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 Gamboa\OneDrive\Documents\Tilburg\Applied economic analysis\"/>
    </mc:Choice>
  </mc:AlternateContent>
  <xr:revisionPtr revIDLastSave="0" documentId="13_ncr:1_{B52FD77A-1CFA-40E5-9987-5089900BF2CB}" xr6:coauthVersionLast="47" xr6:coauthVersionMax="47" xr10:uidLastSave="{00000000-0000-0000-0000-000000000000}"/>
  <bookViews>
    <workbookView xWindow="-110" yWindow="-110" windowWidth="19420" windowHeight="10300" xr2:uid="{9CDE3A6C-BA3A-4039-9E2A-1315F09CC374}"/>
  </bookViews>
  <sheets>
    <sheet name="Sheet1" sheetId="1" r:id="rId1"/>
  </sheets>
  <definedNames>
    <definedName name="_xlnm._FilterDatabase" localSheetId="0" hidden="1">Sheet1!$A$1:$P$17855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7855" i="1" l="1"/>
  <c r="E17855" i="1"/>
  <c r="B17855" i="1"/>
  <c r="O17854" i="1"/>
  <c r="E17854" i="1"/>
  <c r="B17854" i="1"/>
  <c r="O17853" i="1"/>
  <c r="E17853" i="1"/>
  <c r="B17853" i="1"/>
  <c r="O17852" i="1"/>
  <c r="E17852" i="1"/>
  <c r="B17852" i="1"/>
  <c r="O17851" i="1"/>
  <c r="E17851" i="1"/>
  <c r="B17851" i="1"/>
  <c r="O17850" i="1"/>
  <c r="E17850" i="1"/>
  <c r="B17850" i="1"/>
  <c r="O17849" i="1"/>
  <c r="E17849" i="1"/>
  <c r="B17849" i="1"/>
  <c r="O17848" i="1"/>
  <c r="E17848" i="1"/>
  <c r="B17848" i="1"/>
  <c r="O17847" i="1"/>
  <c r="E17847" i="1"/>
  <c r="B17847" i="1"/>
  <c r="O17846" i="1"/>
  <c r="E17846" i="1"/>
  <c r="B17846" i="1"/>
  <c r="O17845" i="1"/>
  <c r="E17845" i="1"/>
  <c r="B17845" i="1"/>
  <c r="O17844" i="1"/>
  <c r="E17844" i="1"/>
  <c r="B17844" i="1"/>
  <c r="O17843" i="1"/>
  <c r="E17843" i="1"/>
  <c r="B17843" i="1"/>
  <c r="O17842" i="1"/>
  <c r="E17842" i="1"/>
  <c r="B17842" i="1"/>
  <c r="O17841" i="1"/>
  <c r="E17841" i="1"/>
  <c r="B17841" i="1"/>
  <c r="O17840" i="1"/>
  <c r="E17840" i="1"/>
  <c r="B17840" i="1"/>
  <c r="O17839" i="1"/>
  <c r="E17839" i="1"/>
  <c r="B17839" i="1"/>
  <c r="O17838" i="1"/>
  <c r="E17838" i="1"/>
  <c r="B17838" i="1"/>
  <c r="O17837" i="1"/>
  <c r="E17837" i="1"/>
  <c r="B17837" i="1"/>
  <c r="O17836" i="1"/>
  <c r="E17836" i="1"/>
  <c r="B17836" i="1"/>
  <c r="O17835" i="1"/>
  <c r="E17835" i="1"/>
  <c r="B17835" i="1"/>
  <c r="O17834" i="1"/>
  <c r="E17834" i="1"/>
  <c r="B17834" i="1"/>
  <c r="O17833" i="1"/>
  <c r="E17833" i="1"/>
  <c r="B17833" i="1"/>
  <c r="O17832" i="1"/>
  <c r="E17832" i="1"/>
  <c r="B17832" i="1"/>
  <c r="O17831" i="1"/>
  <c r="E17831" i="1"/>
  <c r="B17831" i="1"/>
  <c r="O17830" i="1"/>
  <c r="E17830" i="1"/>
  <c r="B17830" i="1"/>
  <c r="O17829" i="1"/>
  <c r="E17829" i="1"/>
  <c r="B17829" i="1"/>
  <c r="O17828" i="1"/>
  <c r="E17828" i="1"/>
  <c r="B17828" i="1"/>
  <c r="O17827" i="1"/>
  <c r="E17827" i="1"/>
  <c r="B17827" i="1"/>
  <c r="O17826" i="1"/>
  <c r="E17826" i="1"/>
  <c r="B17826" i="1"/>
  <c r="O17825" i="1"/>
  <c r="E17825" i="1"/>
  <c r="B17825" i="1"/>
  <c r="O17824" i="1"/>
  <c r="E17824" i="1"/>
  <c r="B17824" i="1"/>
  <c r="O17823" i="1"/>
  <c r="E17823" i="1"/>
  <c r="B17823" i="1"/>
  <c r="O17822" i="1"/>
  <c r="E17822" i="1"/>
  <c r="B17822" i="1"/>
  <c r="O17821" i="1"/>
  <c r="E17821" i="1"/>
  <c r="B17821" i="1"/>
  <c r="O17820" i="1"/>
  <c r="E17820" i="1"/>
  <c r="B17820" i="1"/>
  <c r="O17819" i="1"/>
  <c r="E17819" i="1"/>
  <c r="B17819" i="1"/>
  <c r="O17818" i="1"/>
  <c r="E17818" i="1"/>
  <c r="B17818" i="1"/>
  <c r="O17817" i="1"/>
  <c r="E17817" i="1"/>
  <c r="B17817" i="1"/>
  <c r="O17816" i="1"/>
  <c r="E17816" i="1"/>
  <c r="B17816" i="1"/>
  <c r="O17815" i="1"/>
  <c r="E17815" i="1"/>
  <c r="B17815" i="1"/>
  <c r="O17814" i="1"/>
  <c r="E17814" i="1"/>
  <c r="B17814" i="1"/>
  <c r="O17813" i="1"/>
  <c r="E17813" i="1"/>
  <c r="B17813" i="1"/>
  <c r="O17812" i="1"/>
  <c r="E17812" i="1"/>
  <c r="B17812" i="1"/>
  <c r="O17811" i="1"/>
  <c r="E17811" i="1"/>
  <c r="B17811" i="1"/>
  <c r="O17810" i="1"/>
  <c r="E17810" i="1"/>
  <c r="B17810" i="1"/>
  <c r="O17809" i="1"/>
  <c r="E17809" i="1"/>
  <c r="B17809" i="1"/>
  <c r="O17808" i="1"/>
  <c r="E17808" i="1"/>
  <c r="B17808" i="1"/>
  <c r="O17807" i="1"/>
  <c r="E17807" i="1"/>
  <c r="B17807" i="1"/>
  <c r="O17806" i="1"/>
  <c r="E17806" i="1"/>
  <c r="B17806" i="1"/>
  <c r="O17805" i="1"/>
  <c r="E17805" i="1"/>
  <c r="B17805" i="1"/>
  <c r="O17804" i="1"/>
  <c r="E17804" i="1"/>
  <c r="B17804" i="1"/>
  <c r="O17803" i="1"/>
  <c r="E17803" i="1"/>
  <c r="B17803" i="1"/>
  <c r="O17802" i="1"/>
  <c r="E17802" i="1"/>
  <c r="B17802" i="1"/>
  <c r="O17801" i="1"/>
  <c r="E17801" i="1"/>
  <c r="B17801" i="1"/>
  <c r="O17800" i="1"/>
  <c r="E17800" i="1"/>
  <c r="B17800" i="1"/>
  <c r="O17799" i="1"/>
  <c r="E17799" i="1"/>
  <c r="B17799" i="1"/>
  <c r="O17798" i="1"/>
  <c r="E17798" i="1"/>
  <c r="B17798" i="1"/>
  <c r="O17797" i="1"/>
  <c r="E17797" i="1"/>
  <c r="B17797" i="1"/>
  <c r="O17796" i="1"/>
  <c r="E17796" i="1"/>
  <c r="B17796" i="1"/>
  <c r="O17795" i="1"/>
  <c r="E17795" i="1"/>
  <c r="B17795" i="1"/>
  <c r="O17794" i="1"/>
  <c r="E17794" i="1"/>
  <c r="B17794" i="1"/>
  <c r="O17793" i="1"/>
  <c r="E17793" i="1"/>
  <c r="B17793" i="1"/>
  <c r="O17792" i="1"/>
  <c r="E17792" i="1"/>
  <c r="B17792" i="1"/>
  <c r="O17791" i="1"/>
  <c r="E17791" i="1"/>
  <c r="B17791" i="1"/>
  <c r="O17790" i="1"/>
  <c r="E17790" i="1"/>
  <c r="B17790" i="1"/>
  <c r="O17789" i="1"/>
  <c r="E17789" i="1"/>
  <c r="B17789" i="1"/>
  <c r="O17788" i="1"/>
  <c r="E17788" i="1"/>
  <c r="B17788" i="1"/>
  <c r="O17787" i="1"/>
  <c r="E17787" i="1"/>
  <c r="B17787" i="1"/>
  <c r="O17786" i="1"/>
  <c r="E17786" i="1"/>
  <c r="B17786" i="1"/>
  <c r="O17785" i="1"/>
  <c r="E17785" i="1"/>
  <c r="B17785" i="1"/>
  <c r="O17784" i="1"/>
  <c r="E17784" i="1"/>
  <c r="B17784" i="1"/>
  <c r="O17783" i="1"/>
  <c r="E17783" i="1"/>
  <c r="B17783" i="1"/>
  <c r="O17782" i="1"/>
  <c r="E17782" i="1"/>
  <c r="B17782" i="1"/>
  <c r="O17781" i="1"/>
  <c r="E17781" i="1"/>
  <c r="B17781" i="1"/>
  <c r="O17780" i="1"/>
  <c r="E17780" i="1"/>
  <c r="B17780" i="1"/>
  <c r="O17779" i="1"/>
  <c r="E17779" i="1"/>
  <c r="B17779" i="1"/>
  <c r="O17778" i="1"/>
  <c r="E17778" i="1"/>
  <c r="B17778" i="1"/>
  <c r="O17777" i="1"/>
  <c r="E17777" i="1"/>
  <c r="B17777" i="1"/>
  <c r="O17776" i="1"/>
  <c r="E17776" i="1"/>
  <c r="B17776" i="1"/>
  <c r="O17775" i="1"/>
  <c r="E17775" i="1"/>
  <c r="B17775" i="1"/>
  <c r="O17774" i="1"/>
  <c r="E17774" i="1"/>
  <c r="B17774" i="1"/>
  <c r="O17773" i="1"/>
  <c r="E17773" i="1"/>
  <c r="B17773" i="1"/>
  <c r="O17772" i="1"/>
  <c r="E17772" i="1"/>
  <c r="B17772" i="1"/>
  <c r="O17771" i="1"/>
  <c r="E17771" i="1"/>
  <c r="B17771" i="1"/>
  <c r="O17770" i="1"/>
  <c r="E17770" i="1"/>
  <c r="B17770" i="1"/>
  <c r="O17769" i="1"/>
  <c r="E17769" i="1"/>
  <c r="B17769" i="1"/>
  <c r="O17768" i="1"/>
  <c r="E17768" i="1"/>
  <c r="B17768" i="1"/>
  <c r="O17767" i="1"/>
  <c r="E17767" i="1"/>
  <c r="B17767" i="1"/>
  <c r="O17766" i="1"/>
  <c r="E17766" i="1"/>
  <c r="B17766" i="1"/>
  <c r="O17765" i="1"/>
  <c r="E17765" i="1"/>
  <c r="B17765" i="1"/>
  <c r="O17764" i="1"/>
  <c r="E17764" i="1"/>
  <c r="B17764" i="1"/>
  <c r="O17763" i="1"/>
  <c r="E17763" i="1"/>
  <c r="B17763" i="1"/>
  <c r="O17762" i="1"/>
  <c r="E17762" i="1"/>
  <c r="B17762" i="1"/>
  <c r="O17761" i="1"/>
  <c r="E17761" i="1"/>
  <c r="B17761" i="1"/>
  <c r="O17760" i="1"/>
  <c r="E17760" i="1"/>
  <c r="B17760" i="1"/>
  <c r="O17759" i="1"/>
  <c r="E17759" i="1"/>
  <c r="B17759" i="1"/>
  <c r="O17758" i="1"/>
  <c r="E17758" i="1"/>
  <c r="B17758" i="1"/>
  <c r="O17757" i="1"/>
  <c r="E17757" i="1"/>
  <c r="B17757" i="1"/>
  <c r="O17756" i="1"/>
  <c r="E17756" i="1"/>
  <c r="B17756" i="1"/>
  <c r="O17755" i="1"/>
  <c r="E17755" i="1"/>
  <c r="B17755" i="1"/>
  <c r="O17754" i="1"/>
  <c r="E17754" i="1"/>
  <c r="B17754" i="1"/>
  <c r="O17753" i="1"/>
  <c r="E17753" i="1"/>
  <c r="B17753" i="1"/>
  <c r="O17752" i="1"/>
  <c r="E17752" i="1"/>
  <c r="B17752" i="1"/>
  <c r="O17751" i="1"/>
  <c r="E17751" i="1"/>
  <c r="B17751" i="1"/>
  <c r="O17750" i="1"/>
  <c r="E17750" i="1"/>
  <c r="B17750" i="1"/>
  <c r="O17749" i="1"/>
  <c r="E17749" i="1"/>
  <c r="B17749" i="1"/>
  <c r="O17748" i="1"/>
  <c r="E17748" i="1"/>
  <c r="B17748" i="1"/>
  <c r="O17747" i="1"/>
  <c r="E17747" i="1"/>
  <c r="B17747" i="1"/>
  <c r="O17746" i="1"/>
  <c r="E17746" i="1"/>
  <c r="B17746" i="1"/>
  <c r="O17745" i="1"/>
  <c r="E17745" i="1"/>
  <c r="B17745" i="1"/>
  <c r="O17744" i="1"/>
  <c r="E17744" i="1"/>
  <c r="B17744" i="1"/>
  <c r="O17743" i="1"/>
  <c r="E17743" i="1"/>
  <c r="B17743" i="1"/>
  <c r="O17742" i="1"/>
  <c r="E17742" i="1"/>
  <c r="B17742" i="1"/>
  <c r="O17741" i="1"/>
  <c r="E17741" i="1"/>
  <c r="B17741" i="1"/>
  <c r="O17740" i="1"/>
  <c r="E17740" i="1"/>
  <c r="B17740" i="1"/>
  <c r="O17739" i="1"/>
  <c r="E17739" i="1"/>
  <c r="B17739" i="1"/>
  <c r="O17738" i="1"/>
  <c r="E17738" i="1"/>
  <c r="B17738" i="1"/>
  <c r="O17737" i="1"/>
  <c r="E17737" i="1"/>
  <c r="B17737" i="1"/>
  <c r="O17736" i="1"/>
  <c r="E17736" i="1"/>
  <c r="B17736" i="1"/>
  <c r="O17735" i="1"/>
  <c r="E17735" i="1"/>
  <c r="B17735" i="1"/>
  <c r="O17734" i="1"/>
  <c r="E17734" i="1"/>
  <c r="B17734" i="1"/>
  <c r="O17733" i="1"/>
  <c r="E17733" i="1"/>
  <c r="B17733" i="1"/>
  <c r="O17732" i="1"/>
  <c r="E17732" i="1"/>
  <c r="B17732" i="1"/>
  <c r="O17731" i="1"/>
  <c r="E17731" i="1"/>
  <c r="B17731" i="1"/>
  <c r="O17730" i="1"/>
  <c r="E17730" i="1"/>
  <c r="B17730" i="1"/>
  <c r="O17729" i="1"/>
  <c r="E17729" i="1"/>
  <c r="B17729" i="1"/>
  <c r="O17728" i="1"/>
  <c r="E17728" i="1"/>
  <c r="B17728" i="1"/>
  <c r="O17727" i="1"/>
  <c r="E17727" i="1"/>
  <c r="B17727" i="1"/>
  <c r="O17726" i="1"/>
  <c r="E17726" i="1"/>
  <c r="B17726" i="1"/>
  <c r="O17725" i="1"/>
  <c r="E17725" i="1"/>
  <c r="B17725" i="1"/>
  <c r="O17724" i="1"/>
  <c r="E17724" i="1"/>
  <c r="B17724" i="1"/>
  <c r="O17723" i="1"/>
  <c r="E17723" i="1"/>
  <c r="B17723" i="1"/>
  <c r="O17722" i="1"/>
  <c r="E17722" i="1"/>
  <c r="B17722" i="1"/>
  <c r="O17721" i="1"/>
  <c r="E17721" i="1"/>
  <c r="B17721" i="1"/>
  <c r="O17720" i="1"/>
  <c r="E17720" i="1"/>
  <c r="B17720" i="1"/>
  <c r="O17719" i="1"/>
  <c r="E17719" i="1"/>
  <c r="B17719" i="1"/>
  <c r="O17718" i="1"/>
  <c r="E17718" i="1"/>
  <c r="B17718" i="1"/>
  <c r="O17717" i="1"/>
  <c r="E17717" i="1"/>
  <c r="B17717" i="1"/>
  <c r="O17716" i="1"/>
  <c r="E17716" i="1"/>
  <c r="B17716" i="1"/>
  <c r="O17715" i="1"/>
  <c r="E17715" i="1"/>
  <c r="B17715" i="1"/>
  <c r="O17714" i="1"/>
  <c r="E17714" i="1"/>
  <c r="B17714" i="1"/>
  <c r="O17713" i="1"/>
  <c r="E17713" i="1"/>
  <c r="B17713" i="1"/>
  <c r="O17712" i="1"/>
  <c r="E17712" i="1"/>
  <c r="B17712" i="1"/>
  <c r="O17711" i="1"/>
  <c r="E17711" i="1"/>
  <c r="B17711" i="1"/>
  <c r="O17710" i="1"/>
  <c r="E17710" i="1"/>
  <c r="B17710" i="1"/>
  <c r="O17709" i="1"/>
  <c r="E17709" i="1"/>
  <c r="B17709" i="1"/>
  <c r="O17708" i="1"/>
  <c r="E17708" i="1"/>
  <c r="B17708" i="1"/>
  <c r="O17707" i="1"/>
  <c r="E17707" i="1"/>
  <c r="B17707" i="1"/>
  <c r="O17706" i="1"/>
  <c r="E17706" i="1"/>
  <c r="B17706" i="1"/>
  <c r="O17705" i="1"/>
  <c r="E17705" i="1"/>
  <c r="B17705" i="1"/>
  <c r="O17704" i="1"/>
  <c r="E17704" i="1"/>
  <c r="B17704" i="1"/>
  <c r="O17703" i="1"/>
  <c r="E17703" i="1"/>
  <c r="B17703" i="1"/>
  <c r="O17702" i="1"/>
  <c r="E17702" i="1"/>
  <c r="B17702" i="1"/>
  <c r="O17701" i="1"/>
  <c r="E17701" i="1"/>
  <c r="B17701" i="1"/>
  <c r="O17700" i="1"/>
  <c r="E17700" i="1"/>
  <c r="B17700" i="1"/>
  <c r="O17699" i="1"/>
  <c r="E17699" i="1"/>
  <c r="B17699" i="1"/>
  <c r="O17698" i="1"/>
  <c r="E17698" i="1"/>
  <c r="B17698" i="1"/>
  <c r="O17697" i="1"/>
  <c r="E17697" i="1"/>
  <c r="B17697" i="1"/>
  <c r="O17696" i="1"/>
  <c r="E17696" i="1"/>
  <c r="B17696" i="1"/>
  <c r="O17695" i="1"/>
  <c r="E17695" i="1"/>
  <c r="B17695" i="1"/>
  <c r="O17694" i="1"/>
  <c r="E17694" i="1"/>
  <c r="B17694" i="1"/>
  <c r="O17693" i="1"/>
  <c r="E17693" i="1"/>
  <c r="B17693" i="1"/>
  <c r="O17692" i="1"/>
  <c r="E17692" i="1"/>
  <c r="B17692" i="1"/>
  <c r="O17691" i="1"/>
  <c r="E17691" i="1"/>
  <c r="B17691" i="1"/>
  <c r="O17690" i="1"/>
  <c r="E17690" i="1"/>
  <c r="B17690" i="1"/>
  <c r="O17689" i="1"/>
  <c r="E17689" i="1"/>
  <c r="B17689" i="1"/>
  <c r="O17688" i="1"/>
  <c r="E17688" i="1"/>
  <c r="B17688" i="1"/>
  <c r="O17687" i="1"/>
  <c r="E17687" i="1"/>
  <c r="B17687" i="1"/>
  <c r="O17686" i="1"/>
  <c r="E17686" i="1"/>
  <c r="B17686" i="1"/>
  <c r="O17685" i="1"/>
  <c r="E17685" i="1"/>
  <c r="B17685" i="1"/>
  <c r="O17684" i="1"/>
  <c r="E17684" i="1"/>
  <c r="B17684" i="1"/>
  <c r="O17683" i="1"/>
  <c r="E17683" i="1"/>
  <c r="B17683" i="1"/>
  <c r="O17682" i="1"/>
  <c r="E17682" i="1"/>
  <c r="B17682" i="1"/>
  <c r="O17681" i="1"/>
  <c r="E17681" i="1"/>
  <c r="B17681" i="1"/>
  <c r="O17680" i="1"/>
  <c r="E17680" i="1"/>
  <c r="B17680" i="1"/>
  <c r="O17679" i="1"/>
  <c r="E17679" i="1"/>
  <c r="B17679" i="1"/>
  <c r="O17678" i="1"/>
  <c r="E17678" i="1"/>
  <c r="B17678" i="1"/>
  <c r="O17677" i="1"/>
  <c r="E17677" i="1"/>
  <c r="B17677" i="1"/>
  <c r="O17676" i="1"/>
  <c r="E17676" i="1"/>
  <c r="B17676" i="1"/>
  <c r="O17675" i="1"/>
  <c r="E17675" i="1"/>
  <c r="B17675" i="1"/>
  <c r="O17674" i="1"/>
  <c r="E17674" i="1"/>
  <c r="B17674" i="1"/>
  <c r="O17673" i="1"/>
  <c r="E17673" i="1"/>
  <c r="B17673" i="1"/>
  <c r="O17672" i="1"/>
  <c r="E17672" i="1"/>
  <c r="B17672" i="1"/>
  <c r="O17671" i="1"/>
  <c r="E17671" i="1"/>
  <c r="B17671" i="1"/>
  <c r="O17670" i="1"/>
  <c r="E17670" i="1"/>
  <c r="B17670" i="1"/>
  <c r="O17669" i="1"/>
  <c r="E17669" i="1"/>
  <c r="B17669" i="1"/>
  <c r="O17668" i="1"/>
  <c r="E17668" i="1"/>
  <c r="B17668" i="1"/>
  <c r="O17667" i="1"/>
  <c r="E17667" i="1"/>
  <c r="B17667" i="1"/>
  <c r="O17666" i="1"/>
  <c r="E17666" i="1"/>
  <c r="B17666" i="1"/>
  <c r="O17665" i="1"/>
  <c r="E17665" i="1"/>
  <c r="B17665" i="1"/>
  <c r="O17664" i="1"/>
  <c r="E17664" i="1"/>
  <c r="B17664" i="1"/>
  <c r="O17663" i="1"/>
  <c r="E17663" i="1"/>
  <c r="B17663" i="1"/>
  <c r="O17662" i="1"/>
  <c r="E17662" i="1"/>
  <c r="B17662" i="1"/>
  <c r="O17661" i="1"/>
  <c r="E17661" i="1"/>
  <c r="B17661" i="1"/>
  <c r="O17660" i="1"/>
  <c r="E17660" i="1"/>
  <c r="B17660" i="1"/>
  <c r="O17659" i="1"/>
  <c r="E17659" i="1"/>
  <c r="B17659" i="1"/>
  <c r="O17658" i="1"/>
  <c r="E17658" i="1"/>
  <c r="B17658" i="1"/>
  <c r="O17657" i="1"/>
  <c r="E17657" i="1"/>
  <c r="B17657" i="1"/>
  <c r="O17656" i="1"/>
  <c r="E17656" i="1"/>
  <c r="B17656" i="1"/>
  <c r="O17655" i="1"/>
  <c r="E17655" i="1"/>
  <c r="B17655" i="1"/>
  <c r="O17654" i="1"/>
  <c r="E17654" i="1"/>
  <c r="B17654" i="1"/>
  <c r="O17653" i="1"/>
  <c r="E17653" i="1"/>
  <c r="B17653" i="1"/>
  <c r="O17652" i="1"/>
  <c r="E17652" i="1"/>
  <c r="B17652" i="1"/>
  <c r="O17651" i="1"/>
  <c r="E17651" i="1"/>
  <c r="B17651" i="1"/>
  <c r="O17650" i="1"/>
  <c r="E17650" i="1"/>
  <c r="B17650" i="1"/>
  <c r="O17649" i="1"/>
  <c r="E17649" i="1"/>
  <c r="B17649" i="1"/>
  <c r="O17648" i="1"/>
  <c r="E17648" i="1"/>
  <c r="B17648" i="1"/>
  <c r="O17647" i="1"/>
  <c r="E17647" i="1"/>
  <c r="B17647" i="1"/>
  <c r="O17646" i="1"/>
  <c r="E17646" i="1"/>
  <c r="B17646" i="1"/>
  <c r="O17645" i="1"/>
  <c r="E17645" i="1"/>
  <c r="B17645" i="1"/>
  <c r="O17644" i="1"/>
  <c r="E17644" i="1"/>
  <c r="B17644" i="1"/>
  <c r="O17643" i="1"/>
  <c r="E17643" i="1"/>
  <c r="B17643" i="1"/>
  <c r="O17642" i="1"/>
  <c r="E17642" i="1"/>
  <c r="B17642" i="1"/>
  <c r="O17641" i="1"/>
  <c r="E17641" i="1"/>
  <c r="B17641" i="1"/>
  <c r="O17640" i="1"/>
  <c r="E17640" i="1"/>
  <c r="B17640" i="1"/>
  <c r="O17639" i="1"/>
  <c r="E17639" i="1"/>
  <c r="B17639" i="1"/>
  <c r="O17638" i="1"/>
  <c r="E17638" i="1"/>
  <c r="B17638" i="1"/>
  <c r="O17637" i="1"/>
  <c r="E17637" i="1"/>
  <c r="B17637" i="1"/>
  <c r="O17636" i="1"/>
  <c r="E17636" i="1"/>
  <c r="B17636" i="1"/>
  <c r="O17635" i="1"/>
  <c r="E17635" i="1"/>
  <c r="B17635" i="1"/>
  <c r="O17634" i="1"/>
  <c r="E17634" i="1"/>
  <c r="B17634" i="1"/>
  <c r="O17633" i="1"/>
  <c r="E17633" i="1"/>
  <c r="B17633" i="1"/>
  <c r="O17632" i="1"/>
  <c r="E17632" i="1"/>
  <c r="B17632" i="1"/>
  <c r="O17631" i="1"/>
  <c r="E17631" i="1"/>
  <c r="B17631" i="1"/>
  <c r="O17630" i="1"/>
  <c r="E17630" i="1"/>
  <c r="B17630" i="1"/>
  <c r="O17629" i="1"/>
  <c r="E17629" i="1"/>
  <c r="B17629" i="1"/>
  <c r="O17628" i="1"/>
  <c r="E17628" i="1"/>
  <c r="B17628" i="1"/>
  <c r="O17627" i="1"/>
  <c r="E17627" i="1"/>
  <c r="B17627" i="1"/>
  <c r="O17626" i="1"/>
  <c r="E17626" i="1"/>
  <c r="B17626" i="1"/>
  <c r="O17625" i="1"/>
  <c r="E17625" i="1"/>
  <c r="B17625" i="1"/>
  <c r="O17624" i="1"/>
  <c r="E17624" i="1"/>
  <c r="B17624" i="1"/>
  <c r="O17623" i="1"/>
  <c r="E17623" i="1"/>
  <c r="B17623" i="1"/>
  <c r="O17622" i="1"/>
  <c r="E17622" i="1"/>
  <c r="B17622" i="1"/>
  <c r="O17621" i="1"/>
  <c r="E17621" i="1"/>
  <c r="B17621" i="1"/>
  <c r="O17620" i="1"/>
  <c r="E17620" i="1"/>
  <c r="B17620" i="1"/>
  <c r="O17619" i="1"/>
  <c r="E17619" i="1"/>
  <c r="B17619" i="1"/>
  <c r="O17618" i="1"/>
  <c r="E17618" i="1"/>
  <c r="B17618" i="1"/>
  <c r="O17617" i="1"/>
  <c r="E17617" i="1"/>
  <c r="B17617" i="1"/>
  <c r="O17616" i="1"/>
  <c r="E17616" i="1"/>
  <c r="B17616" i="1"/>
  <c r="O17615" i="1"/>
  <c r="E17615" i="1"/>
  <c r="B17615" i="1"/>
  <c r="O17614" i="1"/>
  <c r="E17614" i="1"/>
  <c r="B17614" i="1"/>
  <c r="O17613" i="1"/>
  <c r="E17613" i="1"/>
  <c r="B17613" i="1"/>
  <c r="O17612" i="1"/>
  <c r="E17612" i="1"/>
  <c r="B17612" i="1"/>
  <c r="O17611" i="1"/>
  <c r="E17611" i="1"/>
  <c r="B17611" i="1"/>
  <c r="O17610" i="1"/>
  <c r="E17610" i="1"/>
  <c r="B17610" i="1"/>
  <c r="O17609" i="1"/>
  <c r="E17609" i="1"/>
  <c r="B17609" i="1"/>
  <c r="O17608" i="1"/>
  <c r="E17608" i="1"/>
  <c r="B17608" i="1"/>
  <c r="O17607" i="1"/>
  <c r="E17607" i="1"/>
  <c r="B17607" i="1"/>
  <c r="O17606" i="1"/>
  <c r="E17606" i="1"/>
  <c r="B17606" i="1"/>
  <c r="O17605" i="1"/>
  <c r="E17605" i="1"/>
  <c r="B17605" i="1"/>
  <c r="O17604" i="1"/>
  <c r="E17604" i="1"/>
  <c r="B17604" i="1"/>
  <c r="O17603" i="1"/>
  <c r="E17603" i="1"/>
  <c r="B17603" i="1"/>
  <c r="O17602" i="1"/>
  <c r="E17602" i="1"/>
  <c r="B17602" i="1"/>
  <c r="O17601" i="1"/>
  <c r="E17601" i="1"/>
  <c r="B17601" i="1"/>
  <c r="O17600" i="1"/>
  <c r="E17600" i="1"/>
  <c r="B17600" i="1"/>
  <c r="O17599" i="1"/>
  <c r="E17599" i="1"/>
  <c r="B17599" i="1"/>
  <c r="O17598" i="1"/>
  <c r="E17598" i="1"/>
  <c r="B17598" i="1"/>
  <c r="O17597" i="1"/>
  <c r="E17597" i="1"/>
  <c r="B17597" i="1"/>
  <c r="O17596" i="1"/>
  <c r="E17596" i="1"/>
  <c r="B17596" i="1"/>
  <c r="O17595" i="1"/>
  <c r="E17595" i="1"/>
  <c r="B17595" i="1"/>
  <c r="O17594" i="1"/>
  <c r="E17594" i="1"/>
  <c r="B17594" i="1"/>
  <c r="O17593" i="1"/>
  <c r="E17593" i="1"/>
  <c r="B17593" i="1"/>
  <c r="O17592" i="1"/>
  <c r="E17592" i="1"/>
  <c r="B17592" i="1"/>
  <c r="O17591" i="1"/>
  <c r="E17591" i="1"/>
  <c r="B17591" i="1"/>
  <c r="O17590" i="1"/>
  <c r="E17590" i="1"/>
  <c r="B17590" i="1"/>
  <c r="O17589" i="1"/>
  <c r="E17589" i="1"/>
  <c r="B17589" i="1"/>
  <c r="O17588" i="1"/>
  <c r="E17588" i="1"/>
  <c r="B17588" i="1"/>
  <c r="O17587" i="1"/>
  <c r="E17587" i="1"/>
  <c r="B17587" i="1"/>
  <c r="O17586" i="1"/>
  <c r="E17586" i="1"/>
  <c r="B17586" i="1"/>
  <c r="O17585" i="1"/>
  <c r="E17585" i="1"/>
  <c r="B17585" i="1"/>
  <c r="O17584" i="1"/>
  <c r="E17584" i="1"/>
  <c r="B17584" i="1"/>
  <c r="O17583" i="1"/>
  <c r="E17583" i="1"/>
  <c r="B17583" i="1"/>
  <c r="O17582" i="1"/>
  <c r="E17582" i="1"/>
  <c r="B17582" i="1"/>
  <c r="O17581" i="1"/>
  <c r="E17581" i="1"/>
  <c r="B17581" i="1"/>
  <c r="O17580" i="1"/>
  <c r="E17580" i="1"/>
  <c r="B17580" i="1"/>
  <c r="O17579" i="1"/>
  <c r="E17579" i="1"/>
  <c r="B17579" i="1"/>
  <c r="O17578" i="1"/>
  <c r="E17578" i="1"/>
  <c r="B17578" i="1"/>
  <c r="O17577" i="1"/>
  <c r="E17577" i="1"/>
  <c r="B17577" i="1"/>
  <c r="O17576" i="1"/>
  <c r="E17576" i="1"/>
  <c r="B17576" i="1"/>
  <c r="O17575" i="1"/>
  <c r="E17575" i="1"/>
  <c r="B17575" i="1"/>
  <c r="O17574" i="1"/>
  <c r="E17574" i="1"/>
  <c r="B17574" i="1"/>
  <c r="O17573" i="1"/>
  <c r="E17573" i="1"/>
  <c r="B17573" i="1"/>
  <c r="O17572" i="1"/>
  <c r="E17572" i="1"/>
  <c r="B17572" i="1"/>
  <c r="O17571" i="1"/>
  <c r="E17571" i="1"/>
  <c r="B17571" i="1"/>
  <c r="O17570" i="1"/>
  <c r="E17570" i="1"/>
  <c r="B17570" i="1"/>
  <c r="O17569" i="1"/>
  <c r="E17569" i="1"/>
  <c r="B17569" i="1"/>
  <c r="O17568" i="1"/>
  <c r="E17568" i="1"/>
  <c r="B17568" i="1"/>
  <c r="O17567" i="1"/>
  <c r="E17567" i="1"/>
  <c r="B17567" i="1"/>
  <c r="O17566" i="1"/>
  <c r="E17566" i="1"/>
  <c r="B17566" i="1"/>
  <c r="O17565" i="1"/>
  <c r="E17565" i="1"/>
  <c r="B17565" i="1"/>
  <c r="O17564" i="1"/>
  <c r="E17564" i="1"/>
  <c r="B17564" i="1"/>
  <c r="O17563" i="1"/>
  <c r="E17563" i="1"/>
  <c r="B17563" i="1"/>
  <c r="O17562" i="1"/>
  <c r="E17562" i="1"/>
  <c r="B17562" i="1"/>
  <c r="O17561" i="1"/>
  <c r="E17561" i="1"/>
  <c r="B17561" i="1"/>
  <c r="O17560" i="1"/>
  <c r="E17560" i="1"/>
  <c r="B17560" i="1"/>
  <c r="O17559" i="1"/>
  <c r="E17559" i="1"/>
  <c r="B17559" i="1"/>
  <c r="O17558" i="1"/>
  <c r="E17558" i="1"/>
  <c r="B17558" i="1"/>
  <c r="O17557" i="1"/>
  <c r="E17557" i="1"/>
  <c r="B17557" i="1"/>
  <c r="O17556" i="1"/>
  <c r="E17556" i="1"/>
  <c r="B17556" i="1"/>
  <c r="O17555" i="1"/>
  <c r="E17555" i="1"/>
  <c r="B17555" i="1"/>
  <c r="O17554" i="1"/>
  <c r="E17554" i="1"/>
  <c r="B17554" i="1"/>
  <c r="O17553" i="1"/>
  <c r="E17553" i="1"/>
  <c r="B17553" i="1"/>
  <c r="O17552" i="1"/>
  <c r="E17552" i="1"/>
  <c r="B17552" i="1"/>
  <c r="O17551" i="1"/>
  <c r="E17551" i="1"/>
  <c r="B17551" i="1"/>
  <c r="O17550" i="1"/>
  <c r="E17550" i="1"/>
  <c r="B17550" i="1"/>
  <c r="O17549" i="1"/>
  <c r="E17549" i="1"/>
  <c r="B17549" i="1"/>
  <c r="O17548" i="1"/>
  <c r="E17548" i="1"/>
  <c r="B17548" i="1"/>
  <c r="O17547" i="1"/>
  <c r="E17547" i="1"/>
  <c r="B17547" i="1"/>
  <c r="O17546" i="1"/>
  <c r="E17546" i="1"/>
  <c r="B17546" i="1"/>
  <c r="O17545" i="1"/>
  <c r="E17545" i="1"/>
  <c r="B17545" i="1"/>
  <c r="O17544" i="1"/>
  <c r="E17544" i="1"/>
  <c r="B17544" i="1"/>
  <c r="O17543" i="1"/>
  <c r="E17543" i="1"/>
  <c r="B17543" i="1"/>
  <c r="O17542" i="1"/>
  <c r="E17542" i="1"/>
  <c r="B17542" i="1"/>
  <c r="O17541" i="1"/>
  <c r="E17541" i="1"/>
  <c r="B17541" i="1"/>
  <c r="O17540" i="1"/>
  <c r="E17540" i="1"/>
  <c r="B17540" i="1"/>
  <c r="O17539" i="1"/>
  <c r="E17539" i="1"/>
  <c r="B17539" i="1"/>
  <c r="O17538" i="1"/>
  <c r="E17538" i="1"/>
  <c r="B17538" i="1"/>
  <c r="O17537" i="1"/>
  <c r="E17537" i="1"/>
  <c r="B17537" i="1"/>
  <c r="O17536" i="1"/>
  <c r="E17536" i="1"/>
  <c r="B17536" i="1"/>
  <c r="O17535" i="1"/>
  <c r="E17535" i="1"/>
  <c r="B17535" i="1"/>
  <c r="O17534" i="1"/>
  <c r="E17534" i="1"/>
  <c r="B17534" i="1"/>
  <c r="O17533" i="1"/>
  <c r="E17533" i="1"/>
  <c r="B17533" i="1"/>
  <c r="O17532" i="1"/>
  <c r="E17532" i="1"/>
  <c r="B17532" i="1"/>
  <c r="O17531" i="1"/>
  <c r="E17531" i="1"/>
  <c r="B17531" i="1"/>
  <c r="O17530" i="1"/>
  <c r="E17530" i="1"/>
  <c r="B17530" i="1"/>
  <c r="O17529" i="1"/>
  <c r="E17529" i="1"/>
  <c r="B17529" i="1"/>
  <c r="O17528" i="1"/>
  <c r="E17528" i="1"/>
  <c r="B17528" i="1"/>
  <c r="O17527" i="1"/>
  <c r="E17527" i="1"/>
  <c r="B17527" i="1"/>
  <c r="O17526" i="1"/>
  <c r="E17526" i="1"/>
  <c r="B17526" i="1"/>
  <c r="O17525" i="1"/>
  <c r="E17525" i="1"/>
  <c r="B17525" i="1"/>
  <c r="O17524" i="1"/>
  <c r="E17524" i="1"/>
  <c r="B17524" i="1"/>
  <c r="O17523" i="1"/>
  <c r="E17523" i="1"/>
  <c r="B17523" i="1"/>
  <c r="O17522" i="1"/>
  <c r="E17522" i="1"/>
  <c r="B17522" i="1"/>
  <c r="O17521" i="1"/>
  <c r="E17521" i="1"/>
  <c r="B17521" i="1"/>
  <c r="O17520" i="1"/>
  <c r="E17520" i="1"/>
  <c r="B17520" i="1"/>
  <c r="O17519" i="1"/>
  <c r="E17519" i="1"/>
  <c r="B17519" i="1"/>
  <c r="O17518" i="1"/>
  <c r="E17518" i="1"/>
  <c r="B17518" i="1"/>
  <c r="O17517" i="1"/>
  <c r="E17517" i="1"/>
  <c r="B17517" i="1"/>
  <c r="O17516" i="1"/>
  <c r="E17516" i="1"/>
  <c r="B17516" i="1"/>
  <c r="O17515" i="1"/>
  <c r="E17515" i="1"/>
  <c r="B17515" i="1"/>
  <c r="O17514" i="1"/>
  <c r="E17514" i="1"/>
  <c r="B17514" i="1"/>
  <c r="O17513" i="1"/>
  <c r="E17513" i="1"/>
  <c r="B17513" i="1"/>
  <c r="O17512" i="1"/>
  <c r="E17512" i="1"/>
  <c r="B17512" i="1"/>
  <c r="O17511" i="1"/>
  <c r="E17511" i="1"/>
  <c r="B17511" i="1"/>
  <c r="O17510" i="1"/>
  <c r="E17510" i="1"/>
  <c r="B17510" i="1"/>
  <c r="O17509" i="1"/>
  <c r="E17509" i="1"/>
  <c r="B17509" i="1"/>
  <c r="O17508" i="1"/>
  <c r="E17508" i="1"/>
  <c r="B17508" i="1"/>
  <c r="O17507" i="1"/>
  <c r="E17507" i="1"/>
  <c r="B17507" i="1"/>
  <c r="O17506" i="1"/>
  <c r="E17506" i="1"/>
  <c r="B17506" i="1"/>
  <c r="O17505" i="1"/>
  <c r="E17505" i="1"/>
  <c r="B17505" i="1"/>
  <c r="O17504" i="1"/>
  <c r="E17504" i="1"/>
  <c r="B17504" i="1"/>
  <c r="O17503" i="1"/>
  <c r="E17503" i="1"/>
  <c r="B17503" i="1"/>
  <c r="O17502" i="1"/>
  <c r="E17502" i="1"/>
  <c r="B17502" i="1"/>
  <c r="O17501" i="1"/>
  <c r="E17501" i="1"/>
  <c r="B17501" i="1"/>
  <c r="O17500" i="1"/>
  <c r="E17500" i="1"/>
  <c r="B17500" i="1"/>
  <c r="O17499" i="1"/>
  <c r="E17499" i="1"/>
  <c r="B17499" i="1"/>
  <c r="O17498" i="1"/>
  <c r="E17498" i="1"/>
  <c r="B17498" i="1"/>
  <c r="O17497" i="1"/>
  <c r="E17497" i="1"/>
  <c r="B17497" i="1"/>
  <c r="O17496" i="1"/>
  <c r="E17496" i="1"/>
  <c r="B17496" i="1"/>
  <c r="O17495" i="1"/>
  <c r="E17495" i="1"/>
  <c r="B17495" i="1"/>
  <c r="O17494" i="1"/>
  <c r="E17494" i="1"/>
  <c r="B17494" i="1"/>
  <c r="O17493" i="1"/>
  <c r="E17493" i="1"/>
  <c r="B17493" i="1"/>
  <c r="O17492" i="1"/>
  <c r="E17492" i="1"/>
  <c r="B17492" i="1"/>
  <c r="O17491" i="1"/>
  <c r="E17491" i="1"/>
  <c r="B17491" i="1"/>
  <c r="O17490" i="1"/>
  <c r="E17490" i="1"/>
  <c r="B17490" i="1"/>
  <c r="O17489" i="1"/>
  <c r="E17489" i="1"/>
  <c r="B17489" i="1"/>
  <c r="O17488" i="1"/>
  <c r="E17488" i="1"/>
  <c r="B17488" i="1"/>
  <c r="O17487" i="1"/>
  <c r="E17487" i="1"/>
  <c r="B17487" i="1"/>
  <c r="O17486" i="1"/>
  <c r="E17486" i="1"/>
  <c r="B17486" i="1"/>
  <c r="O17485" i="1"/>
  <c r="E17485" i="1"/>
  <c r="B17485" i="1"/>
  <c r="O17484" i="1"/>
  <c r="E17484" i="1"/>
  <c r="B17484" i="1"/>
  <c r="O17483" i="1"/>
  <c r="E17483" i="1"/>
  <c r="B17483" i="1"/>
  <c r="O17482" i="1"/>
  <c r="E17482" i="1"/>
  <c r="B17482" i="1"/>
  <c r="O17481" i="1"/>
  <c r="E17481" i="1"/>
  <c r="B17481" i="1"/>
  <c r="O17480" i="1"/>
  <c r="E17480" i="1"/>
  <c r="B17480" i="1"/>
  <c r="O17479" i="1"/>
  <c r="E17479" i="1"/>
  <c r="B17479" i="1"/>
  <c r="O17478" i="1"/>
  <c r="E17478" i="1"/>
  <c r="B17478" i="1"/>
  <c r="O17477" i="1"/>
  <c r="E17477" i="1"/>
  <c r="B17477" i="1"/>
  <c r="O17476" i="1"/>
  <c r="E17476" i="1"/>
  <c r="B17476" i="1"/>
  <c r="O17475" i="1"/>
  <c r="E17475" i="1"/>
  <c r="B17475" i="1"/>
  <c r="O17474" i="1"/>
  <c r="E17474" i="1"/>
  <c r="B17474" i="1"/>
  <c r="O17473" i="1"/>
  <c r="E17473" i="1"/>
  <c r="B17473" i="1"/>
  <c r="O17472" i="1"/>
  <c r="E17472" i="1"/>
  <c r="B17472" i="1"/>
  <c r="O17471" i="1"/>
  <c r="E17471" i="1"/>
  <c r="B17471" i="1"/>
  <c r="O17470" i="1"/>
  <c r="E17470" i="1"/>
  <c r="B17470" i="1"/>
  <c r="O17469" i="1"/>
  <c r="E17469" i="1"/>
  <c r="B17469" i="1"/>
  <c r="O17468" i="1"/>
  <c r="E17468" i="1"/>
  <c r="B17468" i="1"/>
  <c r="O17467" i="1"/>
  <c r="E17467" i="1"/>
  <c r="B17467" i="1"/>
  <c r="O17466" i="1"/>
  <c r="E17466" i="1"/>
  <c r="B17466" i="1"/>
  <c r="O17465" i="1"/>
  <c r="E17465" i="1"/>
  <c r="B17465" i="1"/>
  <c r="O17464" i="1"/>
  <c r="E17464" i="1"/>
  <c r="B17464" i="1"/>
  <c r="O17463" i="1"/>
  <c r="E17463" i="1"/>
  <c r="B17463" i="1"/>
  <c r="O17462" i="1"/>
  <c r="E17462" i="1"/>
  <c r="B17462" i="1"/>
  <c r="O17461" i="1"/>
  <c r="E17461" i="1"/>
  <c r="B17461" i="1"/>
  <c r="O17460" i="1"/>
  <c r="E17460" i="1"/>
  <c r="B17460" i="1"/>
  <c r="O17459" i="1"/>
  <c r="E17459" i="1"/>
  <c r="B17459" i="1"/>
  <c r="O17458" i="1"/>
  <c r="E17458" i="1"/>
  <c r="B17458" i="1"/>
  <c r="O17457" i="1"/>
  <c r="E17457" i="1"/>
  <c r="B17457" i="1"/>
  <c r="O17456" i="1"/>
  <c r="E17456" i="1"/>
  <c r="B17456" i="1"/>
  <c r="O17455" i="1"/>
  <c r="E17455" i="1"/>
  <c r="B17455" i="1"/>
  <c r="O17454" i="1"/>
  <c r="E17454" i="1"/>
  <c r="B17454" i="1"/>
  <c r="O17453" i="1"/>
  <c r="E17453" i="1"/>
  <c r="B17453" i="1"/>
  <c r="O17452" i="1"/>
  <c r="E17452" i="1"/>
  <c r="B17452" i="1"/>
  <c r="O17451" i="1"/>
  <c r="E17451" i="1"/>
  <c r="B17451" i="1"/>
  <c r="O17450" i="1"/>
  <c r="E17450" i="1"/>
  <c r="B17450" i="1"/>
  <c r="O17449" i="1"/>
  <c r="E17449" i="1"/>
  <c r="B17449" i="1"/>
  <c r="O17448" i="1"/>
  <c r="E17448" i="1"/>
  <c r="B17448" i="1"/>
  <c r="O17447" i="1"/>
  <c r="E17447" i="1"/>
  <c r="B17447" i="1"/>
  <c r="O17446" i="1"/>
  <c r="E17446" i="1"/>
  <c r="B17446" i="1"/>
  <c r="O17445" i="1"/>
  <c r="E17445" i="1"/>
  <c r="B17445" i="1"/>
  <c r="O17444" i="1"/>
  <c r="E17444" i="1"/>
  <c r="B17444" i="1"/>
  <c r="O17443" i="1"/>
  <c r="E17443" i="1"/>
  <c r="B17443" i="1"/>
  <c r="O17442" i="1"/>
  <c r="E17442" i="1"/>
  <c r="B17442" i="1"/>
  <c r="O17441" i="1"/>
  <c r="E17441" i="1"/>
  <c r="B17441" i="1"/>
  <c r="O17440" i="1"/>
  <c r="E17440" i="1"/>
  <c r="B17440" i="1"/>
  <c r="O17439" i="1"/>
  <c r="E17439" i="1"/>
  <c r="B17439" i="1"/>
  <c r="O17438" i="1"/>
  <c r="E17438" i="1"/>
  <c r="B17438" i="1"/>
  <c r="O17437" i="1"/>
  <c r="E17437" i="1"/>
  <c r="B17437" i="1"/>
  <c r="O17436" i="1"/>
  <c r="E17436" i="1"/>
  <c r="B17436" i="1"/>
  <c r="O17435" i="1"/>
  <c r="E17435" i="1"/>
  <c r="B17435" i="1"/>
  <c r="O17434" i="1"/>
  <c r="E17434" i="1"/>
  <c r="B17434" i="1"/>
  <c r="O17433" i="1"/>
  <c r="E17433" i="1"/>
  <c r="B17433" i="1"/>
  <c r="O17432" i="1"/>
  <c r="E17432" i="1"/>
  <c r="B17432" i="1"/>
  <c r="O17431" i="1"/>
  <c r="E17431" i="1"/>
  <c r="B17431" i="1"/>
  <c r="O17430" i="1"/>
  <c r="E17430" i="1"/>
  <c r="B17430" i="1"/>
  <c r="O17429" i="1"/>
  <c r="E17429" i="1"/>
  <c r="B17429" i="1"/>
  <c r="O17428" i="1"/>
  <c r="E17428" i="1"/>
  <c r="B17428" i="1"/>
  <c r="O17427" i="1"/>
  <c r="E17427" i="1"/>
  <c r="B17427" i="1"/>
  <c r="O17426" i="1"/>
  <c r="E17426" i="1"/>
  <c r="B17426" i="1"/>
  <c r="O17425" i="1"/>
  <c r="E17425" i="1"/>
  <c r="B17425" i="1"/>
  <c r="O17424" i="1"/>
  <c r="E17424" i="1"/>
  <c r="B17424" i="1"/>
  <c r="O17423" i="1"/>
  <c r="E17423" i="1"/>
  <c r="B17423" i="1"/>
  <c r="O17422" i="1"/>
  <c r="E17422" i="1"/>
  <c r="B17422" i="1"/>
  <c r="O17421" i="1"/>
  <c r="E17421" i="1"/>
  <c r="B17421" i="1"/>
  <c r="O17420" i="1"/>
  <c r="E17420" i="1"/>
  <c r="B17420" i="1"/>
  <c r="O17419" i="1"/>
  <c r="E17419" i="1"/>
  <c r="B17419" i="1"/>
  <c r="O17418" i="1"/>
  <c r="E17418" i="1"/>
  <c r="B17418" i="1"/>
  <c r="O17417" i="1"/>
  <c r="E17417" i="1"/>
  <c r="B17417" i="1"/>
  <c r="O17416" i="1"/>
  <c r="E17416" i="1"/>
  <c r="B17416" i="1"/>
  <c r="O17415" i="1"/>
  <c r="E17415" i="1"/>
  <c r="B17415" i="1"/>
  <c r="O17414" i="1"/>
  <c r="E17414" i="1"/>
  <c r="B17414" i="1"/>
  <c r="O17413" i="1"/>
  <c r="E17413" i="1"/>
  <c r="B17413" i="1"/>
  <c r="O17412" i="1"/>
  <c r="E17412" i="1"/>
  <c r="B17412" i="1"/>
  <c r="O17411" i="1"/>
  <c r="E17411" i="1"/>
  <c r="B17411" i="1"/>
  <c r="O17410" i="1"/>
  <c r="E17410" i="1"/>
  <c r="B17410" i="1"/>
  <c r="O17409" i="1"/>
  <c r="E17409" i="1"/>
  <c r="B17409" i="1"/>
  <c r="O17408" i="1"/>
  <c r="E17408" i="1"/>
  <c r="B17408" i="1"/>
  <c r="O17407" i="1"/>
  <c r="E17407" i="1"/>
  <c r="B17407" i="1"/>
  <c r="O17406" i="1"/>
  <c r="E17406" i="1"/>
  <c r="B17406" i="1"/>
  <c r="O17405" i="1"/>
  <c r="E17405" i="1"/>
  <c r="B17405" i="1"/>
  <c r="O17404" i="1"/>
  <c r="E17404" i="1"/>
  <c r="B17404" i="1"/>
  <c r="O17403" i="1"/>
  <c r="E17403" i="1"/>
  <c r="B17403" i="1"/>
  <c r="O17402" i="1"/>
  <c r="E17402" i="1"/>
  <c r="B17402" i="1"/>
  <c r="O17401" i="1"/>
  <c r="E17401" i="1"/>
  <c r="B17401" i="1"/>
  <c r="O17400" i="1"/>
  <c r="E17400" i="1"/>
  <c r="B17400" i="1"/>
  <c r="O17399" i="1"/>
  <c r="E17399" i="1"/>
  <c r="B17399" i="1"/>
  <c r="O17398" i="1"/>
  <c r="E17398" i="1"/>
  <c r="B17398" i="1"/>
  <c r="O17397" i="1"/>
  <c r="E17397" i="1"/>
  <c r="B17397" i="1"/>
  <c r="O17396" i="1"/>
  <c r="E17396" i="1"/>
  <c r="B17396" i="1"/>
  <c r="O17395" i="1"/>
  <c r="E17395" i="1"/>
  <c r="B17395" i="1"/>
  <c r="O17394" i="1"/>
  <c r="E17394" i="1"/>
  <c r="B17394" i="1"/>
  <c r="O17393" i="1"/>
  <c r="E17393" i="1"/>
  <c r="B17393" i="1"/>
  <c r="O17392" i="1"/>
  <c r="E17392" i="1"/>
  <c r="B17392" i="1"/>
  <c r="O17391" i="1"/>
  <c r="E17391" i="1"/>
  <c r="B17391" i="1"/>
  <c r="O17390" i="1"/>
  <c r="E17390" i="1"/>
  <c r="B17390" i="1"/>
  <c r="O17389" i="1"/>
  <c r="E17389" i="1"/>
  <c r="B17389" i="1"/>
  <c r="O17388" i="1"/>
  <c r="E17388" i="1"/>
  <c r="B17388" i="1"/>
  <c r="O17387" i="1"/>
  <c r="E17387" i="1"/>
  <c r="B17387" i="1"/>
  <c r="O17386" i="1"/>
  <c r="E17386" i="1"/>
  <c r="B17386" i="1"/>
  <c r="O17385" i="1"/>
  <c r="E17385" i="1"/>
  <c r="B17385" i="1"/>
  <c r="O17384" i="1"/>
  <c r="E17384" i="1"/>
  <c r="B17384" i="1"/>
  <c r="O17383" i="1"/>
  <c r="E17383" i="1"/>
  <c r="B17383" i="1"/>
  <c r="O17382" i="1"/>
  <c r="E17382" i="1"/>
  <c r="B17382" i="1"/>
  <c r="O17381" i="1"/>
  <c r="E17381" i="1"/>
  <c r="B17381" i="1"/>
  <c r="O17380" i="1"/>
  <c r="E17380" i="1"/>
  <c r="B17380" i="1"/>
  <c r="O17379" i="1"/>
  <c r="E17379" i="1"/>
  <c r="B17379" i="1"/>
  <c r="O17378" i="1"/>
  <c r="E17378" i="1"/>
  <c r="B17378" i="1"/>
  <c r="O17377" i="1"/>
  <c r="E17377" i="1"/>
  <c r="B17377" i="1"/>
  <c r="O17376" i="1"/>
  <c r="E17376" i="1"/>
  <c r="B17376" i="1"/>
  <c r="O17375" i="1"/>
  <c r="E17375" i="1"/>
  <c r="B17375" i="1"/>
  <c r="O17374" i="1"/>
  <c r="E17374" i="1"/>
  <c r="B17374" i="1"/>
  <c r="O17373" i="1"/>
  <c r="E17373" i="1"/>
  <c r="B17373" i="1"/>
  <c r="O17372" i="1"/>
  <c r="E17372" i="1"/>
  <c r="B17372" i="1"/>
  <c r="O17371" i="1"/>
  <c r="E17371" i="1"/>
  <c r="B17371" i="1"/>
  <c r="O17370" i="1"/>
  <c r="E17370" i="1"/>
  <c r="B17370" i="1"/>
  <c r="O17369" i="1"/>
  <c r="E17369" i="1"/>
  <c r="B17369" i="1"/>
  <c r="O17368" i="1"/>
  <c r="E17368" i="1"/>
  <c r="B17368" i="1"/>
  <c r="O17367" i="1"/>
  <c r="E17367" i="1"/>
  <c r="B17367" i="1"/>
  <c r="O17366" i="1"/>
  <c r="E17366" i="1"/>
  <c r="B17366" i="1"/>
  <c r="O17365" i="1"/>
  <c r="E17365" i="1"/>
  <c r="B17365" i="1"/>
  <c r="O17364" i="1"/>
  <c r="E17364" i="1"/>
  <c r="B17364" i="1"/>
  <c r="O17363" i="1"/>
  <c r="E17363" i="1"/>
  <c r="B17363" i="1"/>
  <c r="O17362" i="1"/>
  <c r="E17362" i="1"/>
  <c r="B17362" i="1"/>
  <c r="O17361" i="1"/>
  <c r="E17361" i="1"/>
  <c r="B17361" i="1"/>
  <c r="O17360" i="1"/>
  <c r="E17360" i="1"/>
  <c r="B17360" i="1"/>
  <c r="O17359" i="1"/>
  <c r="E17359" i="1"/>
  <c r="B17359" i="1"/>
  <c r="O17358" i="1"/>
  <c r="E17358" i="1"/>
  <c r="B17358" i="1"/>
  <c r="O17357" i="1"/>
  <c r="E17357" i="1"/>
  <c r="B17357" i="1"/>
  <c r="O17356" i="1"/>
  <c r="E17356" i="1"/>
  <c r="B17356" i="1"/>
  <c r="O17355" i="1"/>
  <c r="E17355" i="1"/>
  <c r="B17355" i="1"/>
  <c r="O17354" i="1"/>
  <c r="E17354" i="1"/>
  <c r="B17354" i="1"/>
  <c r="O17353" i="1"/>
  <c r="E17353" i="1"/>
  <c r="B17353" i="1"/>
  <c r="O17352" i="1"/>
  <c r="E17352" i="1"/>
  <c r="B17352" i="1"/>
  <c r="O17351" i="1"/>
  <c r="E17351" i="1"/>
  <c r="B17351" i="1"/>
  <c r="O17350" i="1"/>
  <c r="E17350" i="1"/>
  <c r="B17350" i="1"/>
  <c r="O17349" i="1"/>
  <c r="E17349" i="1"/>
  <c r="B17349" i="1"/>
  <c r="O17348" i="1"/>
  <c r="E17348" i="1"/>
  <c r="B17348" i="1"/>
  <c r="O17347" i="1"/>
  <c r="E17347" i="1"/>
  <c r="B17347" i="1"/>
  <c r="O17346" i="1"/>
  <c r="E17346" i="1"/>
  <c r="B17346" i="1"/>
  <c r="O17345" i="1"/>
  <c r="E17345" i="1"/>
  <c r="B17345" i="1"/>
  <c r="O17344" i="1"/>
  <c r="E17344" i="1"/>
  <c r="B17344" i="1"/>
  <c r="O17343" i="1"/>
  <c r="E17343" i="1"/>
  <c r="B17343" i="1"/>
  <c r="O17342" i="1"/>
  <c r="E17342" i="1"/>
  <c r="B17342" i="1"/>
  <c r="O17341" i="1"/>
  <c r="E17341" i="1"/>
  <c r="B17341" i="1"/>
  <c r="O17340" i="1"/>
  <c r="E17340" i="1"/>
  <c r="B17340" i="1"/>
  <c r="O17339" i="1"/>
  <c r="E17339" i="1"/>
  <c r="B17339" i="1"/>
  <c r="O17338" i="1"/>
  <c r="E17338" i="1"/>
  <c r="B17338" i="1"/>
  <c r="O17337" i="1"/>
  <c r="E17337" i="1"/>
  <c r="B17337" i="1"/>
  <c r="O17336" i="1"/>
  <c r="E17336" i="1"/>
  <c r="B17336" i="1"/>
  <c r="O17335" i="1"/>
  <c r="E17335" i="1"/>
  <c r="B17335" i="1"/>
  <c r="O17334" i="1"/>
  <c r="E17334" i="1"/>
  <c r="B17334" i="1"/>
  <c r="O17333" i="1"/>
  <c r="E17333" i="1"/>
  <c r="B17333" i="1"/>
  <c r="O17332" i="1"/>
  <c r="E17332" i="1"/>
  <c r="B17332" i="1"/>
  <c r="O17331" i="1"/>
  <c r="E17331" i="1"/>
  <c r="B17331" i="1"/>
  <c r="O17330" i="1"/>
  <c r="E17330" i="1"/>
  <c r="B17330" i="1"/>
  <c r="O17329" i="1"/>
  <c r="E17329" i="1"/>
  <c r="B17329" i="1"/>
  <c r="O17328" i="1"/>
  <c r="E17328" i="1"/>
  <c r="B17328" i="1"/>
  <c r="O17327" i="1"/>
  <c r="E17327" i="1"/>
  <c r="B17327" i="1"/>
  <c r="O17326" i="1"/>
  <c r="E17326" i="1"/>
  <c r="B17326" i="1"/>
  <c r="O17325" i="1"/>
  <c r="E17325" i="1"/>
  <c r="B17325" i="1"/>
  <c r="O17324" i="1"/>
  <c r="E17324" i="1"/>
  <c r="B17324" i="1"/>
  <c r="O17323" i="1"/>
  <c r="E17323" i="1"/>
  <c r="B17323" i="1"/>
  <c r="O17322" i="1"/>
  <c r="E17322" i="1"/>
  <c r="B17322" i="1"/>
  <c r="O17321" i="1"/>
  <c r="E17321" i="1"/>
  <c r="B17321" i="1"/>
  <c r="O17320" i="1"/>
  <c r="E17320" i="1"/>
  <c r="B17320" i="1"/>
  <c r="O17319" i="1"/>
  <c r="E17319" i="1"/>
  <c r="B17319" i="1"/>
  <c r="O17318" i="1"/>
  <c r="E17318" i="1"/>
  <c r="B17318" i="1"/>
  <c r="O17317" i="1"/>
  <c r="E17317" i="1"/>
  <c r="B17317" i="1"/>
  <c r="O17316" i="1"/>
  <c r="E17316" i="1"/>
  <c r="B17316" i="1"/>
  <c r="O17315" i="1"/>
  <c r="E17315" i="1"/>
  <c r="B17315" i="1"/>
  <c r="O17314" i="1"/>
  <c r="E17314" i="1"/>
  <c r="B17314" i="1"/>
  <c r="O17313" i="1"/>
  <c r="E17313" i="1"/>
  <c r="B17313" i="1"/>
  <c r="O17312" i="1"/>
  <c r="E17312" i="1"/>
  <c r="B17312" i="1"/>
  <c r="O17311" i="1"/>
  <c r="E17311" i="1"/>
  <c r="B17311" i="1"/>
  <c r="O17310" i="1"/>
  <c r="E17310" i="1"/>
  <c r="B17310" i="1"/>
  <c r="O17309" i="1"/>
  <c r="E17309" i="1"/>
  <c r="B17309" i="1"/>
  <c r="O17308" i="1"/>
  <c r="E17308" i="1"/>
  <c r="B17308" i="1"/>
  <c r="O17307" i="1"/>
  <c r="E17307" i="1"/>
  <c r="B17307" i="1"/>
  <c r="O17306" i="1"/>
  <c r="E17306" i="1"/>
  <c r="B17306" i="1"/>
  <c r="O17305" i="1"/>
  <c r="E17305" i="1"/>
  <c r="B17305" i="1"/>
  <c r="O17304" i="1"/>
  <c r="E17304" i="1"/>
  <c r="B17304" i="1"/>
  <c r="O17303" i="1"/>
  <c r="E17303" i="1"/>
  <c r="B17303" i="1"/>
  <c r="O17302" i="1"/>
  <c r="E17302" i="1"/>
  <c r="B17302" i="1"/>
  <c r="O17301" i="1"/>
  <c r="E17301" i="1"/>
  <c r="B17301" i="1"/>
  <c r="O17300" i="1"/>
  <c r="E17300" i="1"/>
  <c r="B17300" i="1"/>
  <c r="O17299" i="1"/>
  <c r="E17299" i="1"/>
  <c r="B17299" i="1"/>
  <c r="O17298" i="1"/>
  <c r="E17298" i="1"/>
  <c r="B17298" i="1"/>
  <c r="O17297" i="1"/>
  <c r="E17297" i="1"/>
  <c r="B17297" i="1"/>
  <c r="O17296" i="1"/>
  <c r="E17296" i="1"/>
  <c r="B17296" i="1"/>
  <c r="O17295" i="1"/>
  <c r="E17295" i="1"/>
  <c r="B17295" i="1"/>
  <c r="O17294" i="1"/>
  <c r="E17294" i="1"/>
  <c r="B17294" i="1"/>
  <c r="O17293" i="1"/>
  <c r="E17293" i="1"/>
  <c r="B17293" i="1"/>
  <c r="O17292" i="1"/>
  <c r="E17292" i="1"/>
  <c r="B17292" i="1"/>
  <c r="O17291" i="1"/>
  <c r="E17291" i="1"/>
  <c r="B17291" i="1"/>
  <c r="O17290" i="1"/>
  <c r="E17290" i="1"/>
  <c r="B17290" i="1"/>
  <c r="O17289" i="1"/>
  <c r="E17289" i="1"/>
  <c r="B17289" i="1"/>
  <c r="O17288" i="1"/>
  <c r="E17288" i="1"/>
  <c r="B17288" i="1"/>
  <c r="O17287" i="1"/>
  <c r="E17287" i="1"/>
  <c r="B17287" i="1"/>
  <c r="O17286" i="1"/>
  <c r="E17286" i="1"/>
  <c r="B17286" i="1"/>
  <c r="O17285" i="1"/>
  <c r="E17285" i="1"/>
  <c r="B17285" i="1"/>
  <c r="O17284" i="1"/>
  <c r="E17284" i="1"/>
  <c r="B17284" i="1"/>
  <c r="O17283" i="1"/>
  <c r="E17283" i="1"/>
  <c r="B17283" i="1"/>
  <c r="O17282" i="1"/>
  <c r="E17282" i="1"/>
  <c r="B17282" i="1"/>
  <c r="O17281" i="1"/>
  <c r="E17281" i="1"/>
  <c r="B17281" i="1"/>
  <c r="O17280" i="1"/>
  <c r="E17280" i="1"/>
  <c r="B17280" i="1"/>
  <c r="O17279" i="1"/>
  <c r="E17279" i="1"/>
  <c r="B17279" i="1"/>
  <c r="O17278" i="1"/>
  <c r="E17278" i="1"/>
  <c r="B17278" i="1"/>
  <c r="O17277" i="1"/>
  <c r="E17277" i="1"/>
  <c r="B17277" i="1"/>
  <c r="O17276" i="1"/>
  <c r="E17276" i="1"/>
  <c r="B17276" i="1"/>
  <c r="O17275" i="1"/>
  <c r="E17275" i="1"/>
  <c r="B17275" i="1"/>
  <c r="O17274" i="1"/>
  <c r="E17274" i="1"/>
  <c r="B17274" i="1"/>
  <c r="O17273" i="1"/>
  <c r="E17273" i="1"/>
  <c r="B17273" i="1"/>
  <c r="O17272" i="1"/>
  <c r="E17272" i="1"/>
  <c r="B17272" i="1"/>
  <c r="O17271" i="1"/>
  <c r="E17271" i="1"/>
  <c r="B17271" i="1"/>
  <c r="O17270" i="1"/>
  <c r="E17270" i="1"/>
  <c r="B17270" i="1"/>
  <c r="O17269" i="1"/>
  <c r="E17269" i="1"/>
  <c r="B17269" i="1"/>
  <c r="O17268" i="1"/>
  <c r="E17268" i="1"/>
  <c r="B17268" i="1"/>
  <c r="O17267" i="1"/>
  <c r="E17267" i="1"/>
  <c r="B17267" i="1"/>
  <c r="O17266" i="1"/>
  <c r="E17266" i="1"/>
  <c r="B17266" i="1"/>
  <c r="O17265" i="1"/>
  <c r="E17265" i="1"/>
  <c r="B17265" i="1"/>
  <c r="O17264" i="1"/>
  <c r="E17264" i="1"/>
  <c r="B17264" i="1"/>
  <c r="O17263" i="1"/>
  <c r="E17263" i="1"/>
  <c r="B17263" i="1"/>
  <c r="O17262" i="1"/>
  <c r="E17262" i="1"/>
  <c r="B17262" i="1"/>
  <c r="O17261" i="1"/>
  <c r="E17261" i="1"/>
  <c r="B17261" i="1"/>
  <c r="O17260" i="1"/>
  <c r="E17260" i="1"/>
  <c r="B17260" i="1"/>
  <c r="O17259" i="1"/>
  <c r="E17259" i="1"/>
  <c r="B17259" i="1"/>
  <c r="O17258" i="1"/>
  <c r="E17258" i="1"/>
  <c r="B17258" i="1"/>
  <c r="O17257" i="1"/>
  <c r="E17257" i="1"/>
  <c r="B17257" i="1"/>
  <c r="O17256" i="1"/>
  <c r="E17256" i="1"/>
  <c r="B17256" i="1"/>
  <c r="O17255" i="1"/>
  <c r="E17255" i="1"/>
  <c r="B17255" i="1"/>
  <c r="O17254" i="1"/>
  <c r="E17254" i="1"/>
  <c r="B17254" i="1"/>
  <c r="O17253" i="1"/>
  <c r="E17253" i="1"/>
  <c r="B17253" i="1"/>
  <c r="O17252" i="1"/>
  <c r="E17252" i="1"/>
  <c r="B17252" i="1"/>
  <c r="O17251" i="1"/>
  <c r="E17251" i="1"/>
  <c r="B17251" i="1"/>
  <c r="O17250" i="1"/>
  <c r="E17250" i="1"/>
  <c r="B17250" i="1"/>
  <c r="O17249" i="1"/>
  <c r="E17249" i="1"/>
  <c r="B17249" i="1"/>
  <c r="O17248" i="1"/>
  <c r="E17248" i="1"/>
  <c r="B17248" i="1"/>
  <c r="O17247" i="1"/>
  <c r="E17247" i="1"/>
  <c r="B17247" i="1"/>
  <c r="O17246" i="1"/>
  <c r="E17246" i="1"/>
  <c r="B17246" i="1"/>
  <c r="O17245" i="1"/>
  <c r="E17245" i="1"/>
  <c r="B17245" i="1"/>
  <c r="O17244" i="1"/>
  <c r="E17244" i="1"/>
  <c r="B17244" i="1"/>
  <c r="O17243" i="1"/>
  <c r="E17243" i="1"/>
  <c r="B17243" i="1"/>
  <c r="O17242" i="1"/>
  <c r="E17242" i="1"/>
  <c r="B17242" i="1"/>
  <c r="O17241" i="1"/>
  <c r="E17241" i="1"/>
  <c r="B17241" i="1"/>
  <c r="O17240" i="1"/>
  <c r="E17240" i="1"/>
  <c r="B17240" i="1"/>
  <c r="O17239" i="1"/>
  <c r="E17239" i="1"/>
  <c r="B17239" i="1"/>
  <c r="O17238" i="1"/>
  <c r="E17238" i="1"/>
  <c r="B17238" i="1"/>
  <c r="O17237" i="1"/>
  <c r="E17237" i="1"/>
  <c r="B17237" i="1"/>
  <c r="O17236" i="1"/>
  <c r="E17236" i="1"/>
  <c r="B17236" i="1"/>
  <c r="O17235" i="1"/>
  <c r="E17235" i="1"/>
  <c r="B17235" i="1"/>
  <c r="O17234" i="1"/>
  <c r="E17234" i="1"/>
  <c r="B17234" i="1"/>
  <c r="O17233" i="1"/>
  <c r="E17233" i="1"/>
  <c r="B17233" i="1"/>
  <c r="O17232" i="1"/>
  <c r="E17232" i="1"/>
  <c r="B17232" i="1"/>
  <c r="O17231" i="1"/>
  <c r="E17231" i="1"/>
  <c r="B17231" i="1"/>
  <c r="O17230" i="1"/>
  <c r="E17230" i="1"/>
  <c r="B17230" i="1"/>
  <c r="O17229" i="1"/>
  <c r="E17229" i="1"/>
  <c r="B17229" i="1"/>
  <c r="O17228" i="1"/>
  <c r="E17228" i="1"/>
  <c r="B17228" i="1"/>
  <c r="O17227" i="1"/>
  <c r="E17227" i="1"/>
  <c r="B17227" i="1"/>
  <c r="O17226" i="1"/>
  <c r="E17226" i="1"/>
  <c r="B17226" i="1"/>
  <c r="O17225" i="1"/>
  <c r="E17225" i="1"/>
  <c r="B17225" i="1"/>
  <c r="O17224" i="1"/>
  <c r="E17224" i="1"/>
  <c r="B17224" i="1"/>
  <c r="O17223" i="1"/>
  <c r="E17223" i="1"/>
  <c r="B17223" i="1"/>
  <c r="O17222" i="1"/>
  <c r="E17222" i="1"/>
  <c r="B17222" i="1"/>
  <c r="O17221" i="1"/>
  <c r="E17221" i="1"/>
  <c r="B17221" i="1"/>
  <c r="O17220" i="1"/>
  <c r="E17220" i="1"/>
  <c r="B17220" i="1"/>
  <c r="O17219" i="1"/>
  <c r="E17219" i="1"/>
  <c r="B17219" i="1"/>
  <c r="O17218" i="1"/>
  <c r="E17218" i="1"/>
  <c r="B17218" i="1"/>
  <c r="O17217" i="1"/>
  <c r="E17217" i="1"/>
  <c r="B17217" i="1"/>
  <c r="O17216" i="1"/>
  <c r="E17216" i="1"/>
  <c r="B17216" i="1"/>
  <c r="O17215" i="1"/>
  <c r="E17215" i="1"/>
  <c r="B17215" i="1"/>
  <c r="O17214" i="1"/>
  <c r="E17214" i="1"/>
  <c r="B17214" i="1"/>
  <c r="O17213" i="1"/>
  <c r="E17213" i="1"/>
  <c r="B17213" i="1"/>
  <c r="O17212" i="1"/>
  <c r="E17212" i="1"/>
  <c r="B17212" i="1"/>
  <c r="O17211" i="1"/>
  <c r="E17211" i="1"/>
  <c r="B17211" i="1"/>
  <c r="O17210" i="1"/>
  <c r="E17210" i="1"/>
  <c r="B17210" i="1"/>
  <c r="O17209" i="1"/>
  <c r="E17209" i="1"/>
  <c r="B17209" i="1"/>
  <c r="O17208" i="1"/>
  <c r="E17208" i="1"/>
  <c r="B17208" i="1"/>
  <c r="O17207" i="1"/>
  <c r="E17207" i="1"/>
  <c r="B17207" i="1"/>
  <c r="O17206" i="1"/>
  <c r="E17206" i="1"/>
  <c r="B17206" i="1"/>
  <c r="O17205" i="1"/>
  <c r="E17205" i="1"/>
  <c r="B17205" i="1"/>
  <c r="O17204" i="1"/>
  <c r="E17204" i="1"/>
  <c r="B17204" i="1"/>
  <c r="O17203" i="1"/>
  <c r="E17203" i="1"/>
  <c r="B17203" i="1"/>
  <c r="O17202" i="1"/>
  <c r="E17202" i="1"/>
  <c r="B17202" i="1"/>
  <c r="O17201" i="1"/>
  <c r="E17201" i="1"/>
  <c r="B17201" i="1"/>
  <c r="O17200" i="1"/>
  <c r="E17200" i="1"/>
  <c r="B17200" i="1"/>
  <c r="O17199" i="1"/>
  <c r="E17199" i="1"/>
  <c r="B17199" i="1"/>
  <c r="O17198" i="1"/>
  <c r="E17198" i="1"/>
  <c r="B17198" i="1"/>
  <c r="O17197" i="1"/>
  <c r="E17197" i="1"/>
  <c r="B17197" i="1"/>
  <c r="O17196" i="1"/>
  <c r="E17196" i="1"/>
  <c r="B17196" i="1"/>
  <c r="O17195" i="1"/>
  <c r="E17195" i="1"/>
  <c r="B17195" i="1"/>
  <c r="O17194" i="1"/>
  <c r="E17194" i="1"/>
  <c r="B17194" i="1"/>
  <c r="O17193" i="1"/>
  <c r="E17193" i="1"/>
  <c r="B17193" i="1"/>
  <c r="O17192" i="1"/>
  <c r="E17192" i="1"/>
  <c r="B17192" i="1"/>
  <c r="O17191" i="1"/>
  <c r="E17191" i="1"/>
  <c r="B17191" i="1"/>
  <c r="O17190" i="1"/>
  <c r="E17190" i="1"/>
  <c r="B17190" i="1"/>
  <c r="O17189" i="1"/>
  <c r="E17189" i="1"/>
  <c r="B17189" i="1"/>
  <c r="O17188" i="1"/>
  <c r="E17188" i="1"/>
  <c r="B17188" i="1"/>
  <c r="O17187" i="1"/>
  <c r="E17187" i="1"/>
  <c r="B17187" i="1"/>
  <c r="O17186" i="1"/>
  <c r="E17186" i="1"/>
  <c r="B17186" i="1"/>
  <c r="O17185" i="1"/>
  <c r="E17185" i="1"/>
  <c r="B17185" i="1"/>
  <c r="O17184" i="1"/>
  <c r="E17184" i="1"/>
  <c r="B17184" i="1"/>
  <c r="O17183" i="1"/>
  <c r="E17183" i="1"/>
  <c r="B17183" i="1"/>
  <c r="O17182" i="1"/>
  <c r="E17182" i="1"/>
  <c r="B17182" i="1"/>
  <c r="O17181" i="1"/>
  <c r="E17181" i="1"/>
  <c r="B17181" i="1"/>
  <c r="O17180" i="1"/>
  <c r="E17180" i="1"/>
  <c r="B17180" i="1"/>
  <c r="O17179" i="1"/>
  <c r="E17179" i="1"/>
  <c r="B17179" i="1"/>
  <c r="O17178" i="1"/>
  <c r="E17178" i="1"/>
  <c r="B17178" i="1"/>
  <c r="O17177" i="1"/>
  <c r="E17177" i="1"/>
  <c r="B17177" i="1"/>
  <c r="O17176" i="1"/>
  <c r="E17176" i="1"/>
  <c r="B17176" i="1"/>
  <c r="O17175" i="1"/>
  <c r="E17175" i="1"/>
  <c r="B17175" i="1"/>
  <c r="O17174" i="1"/>
  <c r="E17174" i="1"/>
  <c r="B17174" i="1"/>
  <c r="O17173" i="1"/>
  <c r="E17173" i="1"/>
  <c r="B17173" i="1"/>
  <c r="O17172" i="1"/>
  <c r="E17172" i="1"/>
  <c r="B17172" i="1"/>
  <c r="O17171" i="1"/>
  <c r="E17171" i="1"/>
  <c r="B17171" i="1"/>
  <c r="O17170" i="1"/>
  <c r="E17170" i="1"/>
  <c r="B17170" i="1"/>
  <c r="O17169" i="1"/>
  <c r="E17169" i="1"/>
  <c r="B17169" i="1"/>
  <c r="O17168" i="1"/>
  <c r="E17168" i="1"/>
  <c r="B17168" i="1"/>
  <c r="O17167" i="1"/>
  <c r="E17167" i="1"/>
  <c r="B17167" i="1"/>
  <c r="O17166" i="1"/>
  <c r="E17166" i="1"/>
  <c r="B17166" i="1"/>
  <c r="O17165" i="1"/>
  <c r="E17165" i="1"/>
  <c r="B17165" i="1"/>
  <c r="O17164" i="1"/>
  <c r="E17164" i="1"/>
  <c r="B17164" i="1"/>
  <c r="O17163" i="1"/>
  <c r="E17163" i="1"/>
  <c r="B17163" i="1"/>
  <c r="O17162" i="1"/>
  <c r="E17162" i="1"/>
  <c r="B17162" i="1"/>
  <c r="O17161" i="1"/>
  <c r="E17161" i="1"/>
  <c r="B17161" i="1"/>
  <c r="O17160" i="1"/>
  <c r="E17160" i="1"/>
  <c r="B17160" i="1"/>
  <c r="O17159" i="1"/>
  <c r="E17159" i="1"/>
  <c r="B17159" i="1"/>
  <c r="O17158" i="1"/>
  <c r="E17158" i="1"/>
  <c r="B17158" i="1"/>
  <c r="O17157" i="1"/>
  <c r="E17157" i="1"/>
  <c r="B17157" i="1"/>
  <c r="O17156" i="1"/>
  <c r="E17156" i="1"/>
  <c r="B17156" i="1"/>
  <c r="O17155" i="1"/>
  <c r="E17155" i="1"/>
  <c r="B17155" i="1"/>
  <c r="O17154" i="1"/>
  <c r="E17154" i="1"/>
  <c r="B17154" i="1"/>
  <c r="O17153" i="1"/>
  <c r="E17153" i="1"/>
  <c r="B17153" i="1"/>
  <c r="O17152" i="1"/>
  <c r="E17152" i="1"/>
  <c r="B17152" i="1"/>
  <c r="O17151" i="1"/>
  <c r="E17151" i="1"/>
  <c r="B17151" i="1"/>
  <c r="O17150" i="1"/>
  <c r="E17150" i="1"/>
  <c r="B17150" i="1"/>
  <c r="O17149" i="1"/>
  <c r="E17149" i="1"/>
  <c r="B17149" i="1"/>
  <c r="O17148" i="1"/>
  <c r="E17148" i="1"/>
  <c r="B17148" i="1"/>
  <c r="O17147" i="1"/>
  <c r="E17147" i="1"/>
  <c r="B17147" i="1"/>
  <c r="O17146" i="1"/>
  <c r="E17146" i="1"/>
  <c r="B17146" i="1"/>
  <c r="O17145" i="1"/>
  <c r="E17145" i="1"/>
  <c r="B17145" i="1"/>
  <c r="O17144" i="1"/>
  <c r="E17144" i="1"/>
  <c r="B17144" i="1"/>
  <c r="O17143" i="1"/>
  <c r="E17143" i="1"/>
  <c r="B17143" i="1"/>
  <c r="O17142" i="1"/>
  <c r="E17142" i="1"/>
  <c r="B17142" i="1"/>
  <c r="O17141" i="1"/>
  <c r="E17141" i="1"/>
  <c r="B17141" i="1"/>
  <c r="O17140" i="1"/>
  <c r="E17140" i="1"/>
  <c r="B17140" i="1"/>
  <c r="O17139" i="1"/>
  <c r="E17139" i="1"/>
  <c r="B17139" i="1"/>
  <c r="O17138" i="1"/>
  <c r="E17138" i="1"/>
  <c r="B17138" i="1"/>
  <c r="O17137" i="1"/>
  <c r="E17137" i="1"/>
  <c r="B17137" i="1"/>
  <c r="O17136" i="1"/>
  <c r="E17136" i="1"/>
  <c r="B17136" i="1"/>
  <c r="O17135" i="1"/>
  <c r="E17135" i="1"/>
  <c r="B17135" i="1"/>
  <c r="O17134" i="1"/>
  <c r="E17134" i="1"/>
  <c r="B17134" i="1"/>
  <c r="O17133" i="1"/>
  <c r="E17133" i="1"/>
  <c r="B17133" i="1"/>
  <c r="O17132" i="1"/>
  <c r="E17132" i="1"/>
  <c r="B17132" i="1"/>
  <c r="O17131" i="1"/>
  <c r="E17131" i="1"/>
  <c r="B17131" i="1"/>
  <c r="O17130" i="1"/>
  <c r="E17130" i="1"/>
  <c r="B17130" i="1"/>
  <c r="O17129" i="1"/>
  <c r="E17129" i="1"/>
  <c r="B17129" i="1"/>
  <c r="O17128" i="1"/>
  <c r="E17128" i="1"/>
  <c r="B17128" i="1"/>
  <c r="O17127" i="1"/>
  <c r="E17127" i="1"/>
  <c r="B17127" i="1"/>
  <c r="O17126" i="1"/>
  <c r="E17126" i="1"/>
  <c r="B17126" i="1"/>
  <c r="O17125" i="1"/>
  <c r="E17125" i="1"/>
  <c r="B17125" i="1"/>
  <c r="O17124" i="1"/>
  <c r="E17124" i="1"/>
  <c r="B17124" i="1"/>
  <c r="O17123" i="1"/>
  <c r="E17123" i="1"/>
  <c r="B17123" i="1"/>
  <c r="O17122" i="1"/>
  <c r="E17122" i="1"/>
  <c r="B17122" i="1"/>
  <c r="O17121" i="1"/>
  <c r="E17121" i="1"/>
  <c r="B17121" i="1"/>
  <c r="O17120" i="1"/>
  <c r="E17120" i="1"/>
  <c r="B17120" i="1"/>
  <c r="O17119" i="1"/>
  <c r="E17119" i="1"/>
  <c r="B17119" i="1"/>
  <c r="O17118" i="1"/>
  <c r="E17118" i="1"/>
  <c r="B17118" i="1"/>
  <c r="O17117" i="1"/>
  <c r="E17117" i="1"/>
  <c r="B17117" i="1"/>
  <c r="O17116" i="1"/>
  <c r="E17116" i="1"/>
  <c r="B17116" i="1"/>
  <c r="O17115" i="1"/>
  <c r="E17115" i="1"/>
  <c r="B17115" i="1"/>
  <c r="O17114" i="1"/>
  <c r="E17114" i="1"/>
  <c r="B17114" i="1"/>
  <c r="O17113" i="1"/>
  <c r="E17113" i="1"/>
  <c r="B17113" i="1"/>
  <c r="O17112" i="1"/>
  <c r="E17112" i="1"/>
  <c r="B17112" i="1"/>
  <c r="O17111" i="1"/>
  <c r="E17111" i="1"/>
  <c r="B17111" i="1"/>
  <c r="O17110" i="1"/>
  <c r="E17110" i="1"/>
  <c r="B17110" i="1"/>
  <c r="O17109" i="1"/>
  <c r="E17109" i="1"/>
  <c r="B17109" i="1"/>
  <c r="O17108" i="1"/>
  <c r="E17108" i="1"/>
  <c r="B17108" i="1"/>
  <c r="O17107" i="1"/>
  <c r="E17107" i="1"/>
  <c r="B17107" i="1"/>
  <c r="O17106" i="1"/>
  <c r="E17106" i="1"/>
  <c r="B17106" i="1"/>
  <c r="O17105" i="1"/>
  <c r="E17105" i="1"/>
  <c r="B17105" i="1"/>
  <c r="O17104" i="1"/>
  <c r="E17104" i="1"/>
  <c r="B17104" i="1"/>
  <c r="O17103" i="1"/>
  <c r="E17103" i="1"/>
  <c r="B17103" i="1"/>
  <c r="O17102" i="1"/>
  <c r="E17102" i="1"/>
  <c r="B17102" i="1"/>
  <c r="O17101" i="1"/>
  <c r="E17101" i="1"/>
  <c r="B17101" i="1"/>
  <c r="O17100" i="1"/>
  <c r="E17100" i="1"/>
  <c r="B17100" i="1"/>
  <c r="O17099" i="1"/>
  <c r="E17099" i="1"/>
  <c r="B17099" i="1"/>
  <c r="O17098" i="1"/>
  <c r="E17098" i="1"/>
  <c r="B17098" i="1"/>
  <c r="O17097" i="1"/>
  <c r="E17097" i="1"/>
  <c r="B17097" i="1"/>
  <c r="O17096" i="1"/>
  <c r="E17096" i="1"/>
  <c r="B17096" i="1"/>
  <c r="O17095" i="1"/>
  <c r="E17095" i="1"/>
  <c r="B17095" i="1"/>
  <c r="O17094" i="1"/>
  <c r="E17094" i="1"/>
  <c r="B17094" i="1"/>
  <c r="O17093" i="1"/>
  <c r="E17093" i="1"/>
  <c r="B17093" i="1"/>
  <c r="O17092" i="1"/>
  <c r="E17092" i="1"/>
  <c r="B17092" i="1"/>
  <c r="O17091" i="1"/>
  <c r="E17091" i="1"/>
  <c r="B17091" i="1"/>
  <c r="O17090" i="1"/>
  <c r="E17090" i="1"/>
  <c r="B17090" i="1"/>
  <c r="O17089" i="1"/>
  <c r="E17089" i="1"/>
  <c r="B17089" i="1"/>
  <c r="O17088" i="1"/>
  <c r="E17088" i="1"/>
  <c r="B17088" i="1"/>
  <c r="O17087" i="1"/>
  <c r="E17087" i="1"/>
  <c r="B17087" i="1"/>
  <c r="O17086" i="1"/>
  <c r="E17086" i="1"/>
  <c r="B17086" i="1"/>
  <c r="O17085" i="1"/>
  <c r="E17085" i="1"/>
  <c r="B17085" i="1"/>
  <c r="O17084" i="1"/>
  <c r="E17084" i="1"/>
  <c r="B17084" i="1"/>
  <c r="O17083" i="1"/>
  <c r="E17083" i="1"/>
  <c r="B17083" i="1"/>
  <c r="O17082" i="1"/>
  <c r="E17082" i="1"/>
  <c r="B17082" i="1"/>
  <c r="O17081" i="1"/>
  <c r="E17081" i="1"/>
  <c r="B17081" i="1"/>
  <c r="O17080" i="1"/>
  <c r="E17080" i="1"/>
  <c r="B17080" i="1"/>
  <c r="O17079" i="1"/>
  <c r="E17079" i="1"/>
  <c r="B17079" i="1"/>
  <c r="O17078" i="1"/>
  <c r="E17078" i="1"/>
  <c r="B17078" i="1"/>
  <c r="O17077" i="1"/>
  <c r="E17077" i="1"/>
  <c r="B17077" i="1"/>
  <c r="O17076" i="1"/>
  <c r="E17076" i="1"/>
  <c r="B17076" i="1"/>
  <c r="O17075" i="1"/>
  <c r="E17075" i="1"/>
  <c r="B17075" i="1"/>
  <c r="O17074" i="1"/>
  <c r="E17074" i="1"/>
  <c r="B17074" i="1"/>
  <c r="O17073" i="1"/>
  <c r="E17073" i="1"/>
  <c r="B17073" i="1"/>
  <c r="O17072" i="1"/>
  <c r="E17072" i="1"/>
  <c r="B17072" i="1"/>
  <c r="O17071" i="1"/>
  <c r="E17071" i="1"/>
  <c r="B17071" i="1"/>
  <c r="O17070" i="1"/>
  <c r="E17070" i="1"/>
  <c r="B17070" i="1"/>
  <c r="O17069" i="1"/>
  <c r="E17069" i="1"/>
  <c r="B17069" i="1"/>
  <c r="O17068" i="1"/>
  <c r="E17068" i="1"/>
  <c r="B17068" i="1"/>
  <c r="O17067" i="1"/>
  <c r="E17067" i="1"/>
  <c r="B17067" i="1"/>
  <c r="O17066" i="1"/>
  <c r="E17066" i="1"/>
  <c r="B17066" i="1"/>
  <c r="O17065" i="1"/>
  <c r="E17065" i="1"/>
  <c r="B17065" i="1"/>
  <c r="O17064" i="1"/>
  <c r="E17064" i="1"/>
  <c r="B17064" i="1"/>
  <c r="O17063" i="1"/>
  <c r="E17063" i="1"/>
  <c r="B17063" i="1"/>
  <c r="O17062" i="1"/>
  <c r="E17062" i="1"/>
  <c r="B17062" i="1"/>
  <c r="O17061" i="1"/>
  <c r="E17061" i="1"/>
  <c r="B17061" i="1"/>
  <c r="O17060" i="1"/>
  <c r="E17060" i="1"/>
  <c r="B17060" i="1"/>
  <c r="O17059" i="1"/>
  <c r="E17059" i="1"/>
  <c r="B17059" i="1"/>
  <c r="O17058" i="1"/>
  <c r="E17058" i="1"/>
  <c r="B17058" i="1"/>
  <c r="O17057" i="1"/>
  <c r="E17057" i="1"/>
  <c r="B17057" i="1"/>
  <c r="O17056" i="1"/>
  <c r="E17056" i="1"/>
  <c r="B17056" i="1"/>
  <c r="O17055" i="1"/>
  <c r="E17055" i="1"/>
  <c r="B17055" i="1"/>
  <c r="O17054" i="1"/>
  <c r="E17054" i="1"/>
  <c r="B17054" i="1"/>
  <c r="O17053" i="1"/>
  <c r="E17053" i="1"/>
  <c r="B17053" i="1"/>
  <c r="O17052" i="1"/>
  <c r="E17052" i="1"/>
  <c r="B17052" i="1"/>
  <c r="O17051" i="1"/>
  <c r="E17051" i="1"/>
  <c r="B17051" i="1"/>
  <c r="O17050" i="1"/>
  <c r="E17050" i="1"/>
  <c r="B17050" i="1"/>
  <c r="O17049" i="1"/>
  <c r="E17049" i="1"/>
  <c r="B17049" i="1"/>
  <c r="O17048" i="1"/>
  <c r="E17048" i="1"/>
  <c r="B17048" i="1"/>
  <c r="O17047" i="1"/>
  <c r="E17047" i="1"/>
  <c r="B17047" i="1"/>
  <c r="O17046" i="1"/>
  <c r="E17046" i="1"/>
  <c r="B17046" i="1"/>
  <c r="O17045" i="1"/>
  <c r="E17045" i="1"/>
  <c r="B17045" i="1"/>
  <c r="O17044" i="1"/>
  <c r="E17044" i="1"/>
  <c r="B17044" i="1"/>
  <c r="O17043" i="1"/>
  <c r="E17043" i="1"/>
  <c r="B17043" i="1"/>
  <c r="O17042" i="1"/>
  <c r="E17042" i="1"/>
  <c r="B17042" i="1"/>
  <c r="O17041" i="1"/>
  <c r="E17041" i="1"/>
  <c r="B17041" i="1"/>
  <c r="O17040" i="1"/>
  <c r="E17040" i="1"/>
  <c r="B17040" i="1"/>
  <c r="O17039" i="1"/>
  <c r="E17039" i="1"/>
  <c r="B17039" i="1"/>
  <c r="O17038" i="1"/>
  <c r="E17038" i="1"/>
  <c r="B17038" i="1"/>
  <c r="O17037" i="1"/>
  <c r="E17037" i="1"/>
  <c r="B17037" i="1"/>
  <c r="O17036" i="1"/>
  <c r="E17036" i="1"/>
  <c r="B17036" i="1"/>
  <c r="O17035" i="1"/>
  <c r="E17035" i="1"/>
  <c r="B17035" i="1"/>
  <c r="O17034" i="1"/>
  <c r="E17034" i="1"/>
  <c r="B17034" i="1"/>
  <c r="O17033" i="1"/>
  <c r="E17033" i="1"/>
  <c r="B17033" i="1"/>
  <c r="O17032" i="1"/>
  <c r="E17032" i="1"/>
  <c r="B17032" i="1"/>
  <c r="O17031" i="1"/>
  <c r="E17031" i="1"/>
  <c r="B17031" i="1"/>
  <c r="O17030" i="1"/>
  <c r="E17030" i="1"/>
  <c r="B17030" i="1"/>
  <c r="O17029" i="1"/>
  <c r="E17029" i="1"/>
  <c r="B17029" i="1"/>
  <c r="O17028" i="1"/>
  <c r="E17028" i="1"/>
  <c r="B17028" i="1"/>
  <c r="O17027" i="1"/>
  <c r="E17027" i="1"/>
  <c r="B17027" i="1"/>
  <c r="O17026" i="1"/>
  <c r="E17026" i="1"/>
  <c r="B17026" i="1"/>
  <c r="O17025" i="1"/>
  <c r="E17025" i="1"/>
  <c r="B17025" i="1"/>
  <c r="O17024" i="1"/>
  <c r="E17024" i="1"/>
  <c r="B17024" i="1"/>
  <c r="O17023" i="1"/>
  <c r="E17023" i="1"/>
  <c r="B17023" i="1"/>
  <c r="O17022" i="1"/>
  <c r="E17022" i="1"/>
  <c r="B17022" i="1"/>
  <c r="O17021" i="1"/>
  <c r="E17021" i="1"/>
  <c r="B17021" i="1"/>
  <c r="O17020" i="1"/>
  <c r="E17020" i="1"/>
  <c r="B17020" i="1"/>
  <c r="O17019" i="1"/>
  <c r="E17019" i="1"/>
  <c r="B17019" i="1"/>
  <c r="O17018" i="1"/>
  <c r="E17018" i="1"/>
  <c r="B17018" i="1"/>
  <c r="O17017" i="1"/>
  <c r="E17017" i="1"/>
  <c r="B17017" i="1"/>
  <c r="O17016" i="1"/>
  <c r="E17016" i="1"/>
  <c r="B17016" i="1"/>
  <c r="O17015" i="1"/>
  <c r="E17015" i="1"/>
  <c r="B17015" i="1"/>
  <c r="O17014" i="1"/>
  <c r="E17014" i="1"/>
  <c r="B17014" i="1"/>
  <c r="O17013" i="1"/>
  <c r="E17013" i="1"/>
  <c r="B17013" i="1"/>
  <c r="O17012" i="1"/>
  <c r="E17012" i="1"/>
  <c r="B17012" i="1"/>
  <c r="O17011" i="1"/>
  <c r="E17011" i="1"/>
  <c r="B17011" i="1"/>
  <c r="O17010" i="1"/>
  <c r="E17010" i="1"/>
  <c r="B17010" i="1"/>
  <c r="O17009" i="1"/>
  <c r="E17009" i="1"/>
  <c r="B17009" i="1"/>
  <c r="O17008" i="1"/>
  <c r="E17008" i="1"/>
  <c r="B17008" i="1"/>
  <c r="O17007" i="1"/>
  <c r="E17007" i="1"/>
  <c r="B17007" i="1"/>
  <c r="O17006" i="1"/>
  <c r="E17006" i="1"/>
  <c r="B17006" i="1"/>
  <c r="O17005" i="1"/>
  <c r="E17005" i="1"/>
  <c r="B17005" i="1"/>
  <c r="O17004" i="1"/>
  <c r="E17004" i="1"/>
  <c r="B17004" i="1"/>
  <c r="O17003" i="1"/>
  <c r="E17003" i="1"/>
  <c r="B17003" i="1"/>
  <c r="O17002" i="1"/>
  <c r="E17002" i="1"/>
  <c r="B17002" i="1"/>
  <c r="O17001" i="1"/>
  <c r="E17001" i="1"/>
  <c r="B17001" i="1"/>
  <c r="O17000" i="1"/>
  <c r="E17000" i="1"/>
  <c r="B17000" i="1"/>
  <c r="O16999" i="1"/>
  <c r="E16999" i="1"/>
  <c r="B16999" i="1"/>
  <c r="O16998" i="1"/>
  <c r="E16998" i="1"/>
  <c r="B16998" i="1"/>
  <c r="O16997" i="1"/>
  <c r="E16997" i="1"/>
  <c r="B16997" i="1"/>
  <c r="O16996" i="1"/>
  <c r="E16996" i="1"/>
  <c r="B16996" i="1"/>
  <c r="O16995" i="1"/>
  <c r="E16995" i="1"/>
  <c r="B16995" i="1"/>
  <c r="O16994" i="1"/>
  <c r="E16994" i="1"/>
  <c r="B16994" i="1"/>
  <c r="O16993" i="1"/>
  <c r="E16993" i="1"/>
  <c r="B16993" i="1"/>
  <c r="O16992" i="1"/>
  <c r="E16992" i="1"/>
  <c r="B16992" i="1"/>
  <c r="O16991" i="1"/>
  <c r="E16991" i="1"/>
  <c r="B16991" i="1"/>
  <c r="O16990" i="1"/>
  <c r="E16990" i="1"/>
  <c r="B16990" i="1"/>
  <c r="O16989" i="1"/>
  <c r="E16989" i="1"/>
  <c r="B16989" i="1"/>
  <c r="O16988" i="1"/>
  <c r="E16988" i="1"/>
  <c r="B16988" i="1"/>
  <c r="O16987" i="1"/>
  <c r="E16987" i="1"/>
  <c r="B16987" i="1"/>
  <c r="O16986" i="1"/>
  <c r="E16986" i="1"/>
  <c r="B16986" i="1"/>
  <c r="O16985" i="1"/>
  <c r="E16985" i="1"/>
  <c r="B16985" i="1"/>
  <c r="O16984" i="1"/>
  <c r="E16984" i="1"/>
  <c r="B16984" i="1"/>
  <c r="O16983" i="1"/>
  <c r="E16983" i="1"/>
  <c r="B16983" i="1"/>
  <c r="O16982" i="1"/>
  <c r="E16982" i="1"/>
  <c r="B16982" i="1"/>
  <c r="O16981" i="1"/>
  <c r="E16981" i="1"/>
  <c r="B16981" i="1"/>
  <c r="O16980" i="1"/>
  <c r="E16980" i="1"/>
  <c r="B16980" i="1"/>
  <c r="O16979" i="1"/>
  <c r="E16979" i="1"/>
  <c r="B16979" i="1"/>
  <c r="O16978" i="1"/>
  <c r="E16978" i="1"/>
  <c r="B16978" i="1"/>
  <c r="O16977" i="1"/>
  <c r="E16977" i="1"/>
  <c r="B16977" i="1"/>
  <c r="O16976" i="1"/>
  <c r="E16976" i="1"/>
  <c r="B16976" i="1"/>
  <c r="O16975" i="1"/>
  <c r="E16975" i="1"/>
  <c r="B16975" i="1"/>
  <c r="O16974" i="1"/>
  <c r="E16974" i="1"/>
  <c r="B16974" i="1"/>
  <c r="O16973" i="1"/>
  <c r="E16973" i="1"/>
  <c r="B16973" i="1"/>
  <c r="O16972" i="1"/>
  <c r="E16972" i="1"/>
  <c r="B16972" i="1"/>
  <c r="O16971" i="1"/>
  <c r="E16971" i="1"/>
  <c r="B16971" i="1"/>
  <c r="O16970" i="1"/>
  <c r="E16970" i="1"/>
  <c r="B16970" i="1"/>
  <c r="O16969" i="1"/>
  <c r="E16969" i="1"/>
  <c r="B16969" i="1"/>
  <c r="O16968" i="1"/>
  <c r="E16968" i="1"/>
  <c r="B16968" i="1"/>
  <c r="O16967" i="1"/>
  <c r="E16967" i="1"/>
  <c r="B16967" i="1"/>
  <c r="O16966" i="1"/>
  <c r="E16966" i="1"/>
  <c r="B16966" i="1"/>
  <c r="O16965" i="1"/>
  <c r="E16965" i="1"/>
  <c r="B16965" i="1"/>
  <c r="O16964" i="1"/>
  <c r="E16964" i="1"/>
  <c r="B16964" i="1"/>
  <c r="O16963" i="1"/>
  <c r="E16963" i="1"/>
  <c r="B16963" i="1"/>
  <c r="O16962" i="1"/>
  <c r="E16962" i="1"/>
  <c r="B16962" i="1"/>
  <c r="O16961" i="1"/>
  <c r="E16961" i="1"/>
  <c r="B16961" i="1"/>
  <c r="O16960" i="1"/>
  <c r="E16960" i="1"/>
  <c r="B16960" i="1"/>
  <c r="O16959" i="1"/>
  <c r="E16959" i="1"/>
  <c r="B16959" i="1"/>
  <c r="O16958" i="1"/>
  <c r="E16958" i="1"/>
  <c r="B16958" i="1"/>
  <c r="O16957" i="1"/>
  <c r="E16957" i="1"/>
  <c r="B16957" i="1"/>
  <c r="O16956" i="1"/>
  <c r="E16956" i="1"/>
  <c r="B16956" i="1"/>
  <c r="O16955" i="1"/>
  <c r="E16955" i="1"/>
  <c r="B16955" i="1"/>
  <c r="O16954" i="1"/>
  <c r="E16954" i="1"/>
  <c r="B16954" i="1"/>
  <c r="O16953" i="1"/>
  <c r="E16953" i="1"/>
  <c r="B16953" i="1"/>
  <c r="O16952" i="1"/>
  <c r="E16952" i="1"/>
  <c r="B16952" i="1"/>
  <c r="O16951" i="1"/>
  <c r="E16951" i="1"/>
  <c r="B16951" i="1"/>
  <c r="O16950" i="1"/>
  <c r="E16950" i="1"/>
  <c r="B16950" i="1"/>
  <c r="O16949" i="1"/>
  <c r="E16949" i="1"/>
  <c r="B16949" i="1"/>
  <c r="O16948" i="1"/>
  <c r="E16948" i="1"/>
  <c r="B16948" i="1"/>
  <c r="O16947" i="1"/>
  <c r="E16947" i="1"/>
  <c r="B16947" i="1"/>
  <c r="O16946" i="1"/>
  <c r="E16946" i="1"/>
  <c r="B16946" i="1"/>
  <c r="O16945" i="1"/>
  <c r="E16945" i="1"/>
  <c r="B16945" i="1"/>
  <c r="O16944" i="1"/>
  <c r="E16944" i="1"/>
  <c r="B16944" i="1"/>
  <c r="O16943" i="1"/>
  <c r="E16943" i="1"/>
  <c r="B16943" i="1"/>
  <c r="O16942" i="1"/>
  <c r="E16942" i="1"/>
  <c r="B16942" i="1"/>
  <c r="O16941" i="1"/>
  <c r="E16941" i="1"/>
  <c r="B16941" i="1"/>
  <c r="O16940" i="1"/>
  <c r="E16940" i="1"/>
  <c r="B16940" i="1"/>
  <c r="O16939" i="1"/>
  <c r="E16939" i="1"/>
  <c r="B16939" i="1"/>
  <c r="O16938" i="1"/>
  <c r="E16938" i="1"/>
  <c r="B16938" i="1"/>
  <c r="O16937" i="1"/>
  <c r="E16937" i="1"/>
  <c r="B16937" i="1"/>
  <c r="O16936" i="1"/>
  <c r="E16936" i="1"/>
  <c r="B16936" i="1"/>
  <c r="O16935" i="1"/>
  <c r="E16935" i="1"/>
  <c r="B16935" i="1"/>
  <c r="O16934" i="1"/>
  <c r="E16934" i="1"/>
  <c r="B16934" i="1"/>
  <c r="O16933" i="1"/>
  <c r="E16933" i="1"/>
  <c r="B16933" i="1"/>
  <c r="O16932" i="1"/>
  <c r="E16932" i="1"/>
  <c r="B16932" i="1"/>
  <c r="O16931" i="1"/>
  <c r="E16931" i="1"/>
  <c r="B16931" i="1"/>
  <c r="O16930" i="1"/>
  <c r="E16930" i="1"/>
  <c r="B16930" i="1"/>
  <c r="O16929" i="1"/>
  <c r="E16929" i="1"/>
  <c r="B16929" i="1"/>
  <c r="O16928" i="1"/>
  <c r="E16928" i="1"/>
  <c r="B16928" i="1"/>
  <c r="O16927" i="1"/>
  <c r="E16927" i="1"/>
  <c r="B16927" i="1"/>
  <c r="O16926" i="1"/>
  <c r="E16926" i="1"/>
  <c r="B16926" i="1"/>
  <c r="O16925" i="1"/>
  <c r="E16925" i="1"/>
  <c r="B16925" i="1"/>
  <c r="O16924" i="1"/>
  <c r="E16924" i="1"/>
  <c r="B16924" i="1"/>
  <c r="O16923" i="1"/>
  <c r="E16923" i="1"/>
  <c r="B16923" i="1"/>
  <c r="O16922" i="1"/>
  <c r="E16922" i="1"/>
  <c r="B16922" i="1"/>
  <c r="O16921" i="1"/>
  <c r="E16921" i="1"/>
  <c r="B16921" i="1"/>
  <c r="O16920" i="1"/>
  <c r="E16920" i="1"/>
  <c r="B16920" i="1"/>
  <c r="O16919" i="1"/>
  <c r="E16919" i="1"/>
  <c r="B16919" i="1"/>
  <c r="O16918" i="1"/>
  <c r="E16918" i="1"/>
  <c r="B16918" i="1"/>
  <c r="O16917" i="1"/>
  <c r="E16917" i="1"/>
  <c r="B16917" i="1"/>
  <c r="O16916" i="1"/>
  <c r="E16916" i="1"/>
  <c r="B16916" i="1"/>
  <c r="O16915" i="1"/>
  <c r="E16915" i="1"/>
  <c r="B16915" i="1"/>
  <c r="O16914" i="1"/>
  <c r="E16914" i="1"/>
  <c r="B16914" i="1"/>
  <c r="O16913" i="1"/>
  <c r="E16913" i="1"/>
  <c r="B16913" i="1"/>
  <c r="O16912" i="1"/>
  <c r="E16912" i="1"/>
  <c r="B16912" i="1"/>
  <c r="O16911" i="1"/>
  <c r="E16911" i="1"/>
  <c r="B16911" i="1"/>
  <c r="O16910" i="1"/>
  <c r="E16910" i="1"/>
  <c r="B16910" i="1"/>
  <c r="O16909" i="1"/>
  <c r="E16909" i="1"/>
  <c r="B16909" i="1"/>
  <c r="O16908" i="1"/>
  <c r="E16908" i="1"/>
  <c r="B16908" i="1"/>
  <c r="O16907" i="1"/>
  <c r="E16907" i="1"/>
  <c r="B16907" i="1"/>
  <c r="O16906" i="1"/>
  <c r="E16906" i="1"/>
  <c r="B16906" i="1"/>
  <c r="O16905" i="1"/>
  <c r="E16905" i="1"/>
  <c r="B16905" i="1"/>
  <c r="O16904" i="1"/>
  <c r="E16904" i="1"/>
  <c r="B16904" i="1"/>
  <c r="O16903" i="1"/>
  <c r="E16903" i="1"/>
  <c r="B16903" i="1"/>
  <c r="O16902" i="1"/>
  <c r="E16902" i="1"/>
  <c r="B16902" i="1"/>
  <c r="O16901" i="1"/>
  <c r="E16901" i="1"/>
  <c r="B16901" i="1"/>
  <c r="O16900" i="1"/>
  <c r="E16900" i="1"/>
  <c r="B16900" i="1"/>
  <c r="O16899" i="1"/>
  <c r="E16899" i="1"/>
  <c r="B16899" i="1"/>
  <c r="O16898" i="1"/>
  <c r="E16898" i="1"/>
  <c r="B16898" i="1"/>
  <c r="O16897" i="1"/>
  <c r="E16897" i="1"/>
  <c r="B16897" i="1"/>
  <c r="O16896" i="1"/>
  <c r="E16896" i="1"/>
  <c r="B16896" i="1"/>
  <c r="O16895" i="1"/>
  <c r="E16895" i="1"/>
  <c r="B16895" i="1"/>
  <c r="O16894" i="1"/>
  <c r="E16894" i="1"/>
  <c r="B16894" i="1"/>
  <c r="O16893" i="1"/>
  <c r="E16893" i="1"/>
  <c r="B16893" i="1"/>
  <c r="O16892" i="1"/>
  <c r="E16892" i="1"/>
  <c r="B16892" i="1"/>
  <c r="O16891" i="1"/>
  <c r="E16891" i="1"/>
  <c r="B16891" i="1"/>
  <c r="O16890" i="1"/>
  <c r="E16890" i="1"/>
  <c r="B16890" i="1"/>
  <c r="O16889" i="1"/>
  <c r="E16889" i="1"/>
  <c r="B16889" i="1"/>
  <c r="O16888" i="1"/>
  <c r="E16888" i="1"/>
  <c r="B16888" i="1"/>
  <c r="O16887" i="1"/>
  <c r="E16887" i="1"/>
  <c r="B16887" i="1"/>
  <c r="O16886" i="1"/>
  <c r="E16886" i="1"/>
  <c r="B16886" i="1"/>
  <c r="O16885" i="1"/>
  <c r="E16885" i="1"/>
  <c r="B16885" i="1"/>
  <c r="O16884" i="1"/>
  <c r="E16884" i="1"/>
  <c r="B16884" i="1"/>
  <c r="O16883" i="1"/>
  <c r="E16883" i="1"/>
  <c r="B16883" i="1"/>
  <c r="O16882" i="1"/>
  <c r="E16882" i="1"/>
  <c r="B16882" i="1"/>
  <c r="O16881" i="1"/>
  <c r="E16881" i="1"/>
  <c r="B16881" i="1"/>
  <c r="O16880" i="1"/>
  <c r="E16880" i="1"/>
  <c r="B16880" i="1"/>
  <c r="O16879" i="1"/>
  <c r="E16879" i="1"/>
  <c r="B16879" i="1"/>
  <c r="O16878" i="1"/>
  <c r="E16878" i="1"/>
  <c r="B16878" i="1"/>
  <c r="O16877" i="1"/>
  <c r="E16877" i="1"/>
  <c r="B16877" i="1"/>
  <c r="O16876" i="1"/>
  <c r="E16876" i="1"/>
  <c r="B16876" i="1"/>
  <c r="O16875" i="1"/>
  <c r="E16875" i="1"/>
  <c r="B16875" i="1"/>
  <c r="O16874" i="1"/>
  <c r="E16874" i="1"/>
  <c r="B16874" i="1"/>
  <c r="O16873" i="1"/>
  <c r="E16873" i="1"/>
  <c r="B16873" i="1"/>
  <c r="O16872" i="1"/>
  <c r="E16872" i="1"/>
  <c r="B16872" i="1"/>
  <c r="O16871" i="1"/>
  <c r="E16871" i="1"/>
  <c r="B16871" i="1"/>
  <c r="O16870" i="1"/>
  <c r="E16870" i="1"/>
  <c r="B16870" i="1"/>
  <c r="O16869" i="1"/>
  <c r="E16869" i="1"/>
  <c r="B16869" i="1"/>
  <c r="O16868" i="1"/>
  <c r="E16868" i="1"/>
  <c r="B16868" i="1"/>
  <c r="O16867" i="1"/>
  <c r="E16867" i="1"/>
  <c r="B16867" i="1"/>
  <c r="O16866" i="1"/>
  <c r="E16866" i="1"/>
  <c r="B16866" i="1"/>
  <c r="O16865" i="1"/>
  <c r="E16865" i="1"/>
  <c r="B16865" i="1"/>
  <c r="O16864" i="1"/>
  <c r="E16864" i="1"/>
  <c r="B16864" i="1"/>
  <c r="O16863" i="1"/>
  <c r="E16863" i="1"/>
  <c r="B16863" i="1"/>
  <c r="O16862" i="1"/>
  <c r="E16862" i="1"/>
  <c r="B16862" i="1"/>
  <c r="O16861" i="1"/>
  <c r="E16861" i="1"/>
  <c r="B16861" i="1"/>
  <c r="O16860" i="1"/>
  <c r="E16860" i="1"/>
  <c r="B16860" i="1"/>
  <c r="O16859" i="1"/>
  <c r="E16859" i="1"/>
  <c r="B16859" i="1"/>
  <c r="O16858" i="1"/>
  <c r="E16858" i="1"/>
  <c r="B16858" i="1"/>
  <c r="O16857" i="1"/>
  <c r="E16857" i="1"/>
  <c r="B16857" i="1"/>
  <c r="O16856" i="1"/>
  <c r="E16856" i="1"/>
  <c r="B16856" i="1"/>
  <c r="O16855" i="1"/>
  <c r="E16855" i="1"/>
  <c r="B16855" i="1"/>
  <c r="O16854" i="1"/>
  <c r="E16854" i="1"/>
  <c r="B16854" i="1"/>
  <c r="O16853" i="1"/>
  <c r="E16853" i="1"/>
  <c r="B16853" i="1"/>
  <c r="O16852" i="1"/>
  <c r="E16852" i="1"/>
  <c r="B16852" i="1"/>
  <c r="O16851" i="1"/>
  <c r="E16851" i="1"/>
  <c r="B16851" i="1"/>
  <c r="O16850" i="1"/>
  <c r="E16850" i="1"/>
  <c r="B16850" i="1"/>
  <c r="O16849" i="1"/>
  <c r="E16849" i="1"/>
  <c r="B16849" i="1"/>
  <c r="O16848" i="1"/>
  <c r="E16848" i="1"/>
  <c r="B16848" i="1"/>
  <c r="O16847" i="1"/>
  <c r="E16847" i="1"/>
  <c r="B16847" i="1"/>
  <c r="O16846" i="1"/>
  <c r="E16846" i="1"/>
  <c r="B16846" i="1"/>
  <c r="O16845" i="1"/>
  <c r="E16845" i="1"/>
  <c r="B16845" i="1"/>
  <c r="O16844" i="1"/>
  <c r="E16844" i="1"/>
  <c r="B16844" i="1"/>
  <c r="O16843" i="1"/>
  <c r="E16843" i="1"/>
  <c r="B16843" i="1"/>
  <c r="O16842" i="1"/>
  <c r="E16842" i="1"/>
  <c r="B16842" i="1"/>
  <c r="O16841" i="1"/>
  <c r="E16841" i="1"/>
  <c r="B16841" i="1"/>
  <c r="O16840" i="1"/>
  <c r="E16840" i="1"/>
  <c r="B16840" i="1"/>
  <c r="O16839" i="1"/>
  <c r="E16839" i="1"/>
  <c r="B16839" i="1"/>
  <c r="O16838" i="1"/>
  <c r="E16838" i="1"/>
  <c r="B16838" i="1"/>
  <c r="O16837" i="1"/>
  <c r="E16837" i="1"/>
  <c r="B16837" i="1"/>
  <c r="O16836" i="1"/>
  <c r="E16836" i="1"/>
  <c r="B16836" i="1"/>
  <c r="O16835" i="1"/>
  <c r="E16835" i="1"/>
  <c r="B16835" i="1"/>
  <c r="O16834" i="1"/>
  <c r="E16834" i="1"/>
  <c r="B16834" i="1"/>
  <c r="O16833" i="1"/>
  <c r="E16833" i="1"/>
  <c r="B16833" i="1"/>
  <c r="O16832" i="1"/>
  <c r="E16832" i="1"/>
  <c r="B16832" i="1"/>
  <c r="O16831" i="1"/>
  <c r="E16831" i="1"/>
  <c r="B16831" i="1"/>
  <c r="O16830" i="1"/>
  <c r="E16830" i="1"/>
  <c r="B16830" i="1"/>
  <c r="O16829" i="1"/>
  <c r="E16829" i="1"/>
  <c r="B16829" i="1"/>
  <c r="O16828" i="1"/>
  <c r="E16828" i="1"/>
  <c r="B16828" i="1"/>
  <c r="O16827" i="1"/>
  <c r="E16827" i="1"/>
  <c r="B16827" i="1"/>
  <c r="O16826" i="1"/>
  <c r="E16826" i="1"/>
  <c r="B16826" i="1"/>
  <c r="O16825" i="1"/>
  <c r="E16825" i="1"/>
  <c r="B16825" i="1"/>
  <c r="O16824" i="1"/>
  <c r="E16824" i="1"/>
  <c r="B16824" i="1"/>
  <c r="O16823" i="1"/>
  <c r="E16823" i="1"/>
  <c r="B16823" i="1"/>
  <c r="O16822" i="1"/>
  <c r="E16822" i="1"/>
  <c r="B16822" i="1"/>
  <c r="O16821" i="1"/>
  <c r="E16821" i="1"/>
  <c r="B16821" i="1"/>
  <c r="O16820" i="1"/>
  <c r="E16820" i="1"/>
  <c r="B16820" i="1"/>
  <c r="O16819" i="1"/>
  <c r="E16819" i="1"/>
  <c r="B16819" i="1"/>
  <c r="O16818" i="1"/>
  <c r="E16818" i="1"/>
  <c r="B16818" i="1"/>
  <c r="O16817" i="1"/>
  <c r="E16817" i="1"/>
  <c r="B16817" i="1"/>
  <c r="O16816" i="1"/>
  <c r="E16816" i="1"/>
  <c r="B16816" i="1"/>
  <c r="O16815" i="1"/>
  <c r="E16815" i="1"/>
  <c r="B16815" i="1"/>
  <c r="O16814" i="1"/>
  <c r="E16814" i="1"/>
  <c r="B16814" i="1"/>
  <c r="O16813" i="1"/>
  <c r="E16813" i="1"/>
  <c r="B16813" i="1"/>
  <c r="O16812" i="1"/>
  <c r="E16812" i="1"/>
  <c r="B16812" i="1"/>
  <c r="O16811" i="1"/>
  <c r="E16811" i="1"/>
  <c r="B16811" i="1"/>
  <c r="O16810" i="1"/>
  <c r="E16810" i="1"/>
  <c r="B16810" i="1"/>
  <c r="O16809" i="1"/>
  <c r="E16809" i="1"/>
  <c r="B16809" i="1"/>
  <c r="O16808" i="1"/>
  <c r="E16808" i="1"/>
  <c r="B16808" i="1"/>
  <c r="O16807" i="1"/>
  <c r="E16807" i="1"/>
  <c r="B16807" i="1"/>
  <c r="O16806" i="1"/>
  <c r="E16806" i="1"/>
  <c r="B16806" i="1"/>
  <c r="O16805" i="1"/>
  <c r="E16805" i="1"/>
  <c r="B16805" i="1"/>
  <c r="O16804" i="1"/>
  <c r="E16804" i="1"/>
  <c r="B16804" i="1"/>
  <c r="O16803" i="1"/>
  <c r="E16803" i="1"/>
  <c r="B16803" i="1"/>
  <c r="O16802" i="1"/>
  <c r="E16802" i="1"/>
  <c r="B16802" i="1"/>
  <c r="O16801" i="1"/>
  <c r="E16801" i="1"/>
  <c r="B16801" i="1"/>
  <c r="O16800" i="1"/>
  <c r="E16800" i="1"/>
  <c r="B16800" i="1"/>
  <c r="O16799" i="1"/>
  <c r="E16799" i="1"/>
  <c r="B16799" i="1"/>
  <c r="O16798" i="1"/>
  <c r="E16798" i="1"/>
  <c r="B16798" i="1"/>
  <c r="O16797" i="1"/>
  <c r="E16797" i="1"/>
  <c r="B16797" i="1"/>
  <c r="O16796" i="1"/>
  <c r="E16796" i="1"/>
  <c r="B16796" i="1"/>
  <c r="O16795" i="1"/>
  <c r="E16795" i="1"/>
  <c r="B16795" i="1"/>
  <c r="O16794" i="1"/>
  <c r="E16794" i="1"/>
  <c r="B16794" i="1"/>
  <c r="O16793" i="1"/>
  <c r="E16793" i="1"/>
  <c r="B16793" i="1"/>
  <c r="O16792" i="1"/>
  <c r="E16792" i="1"/>
  <c r="B16792" i="1"/>
  <c r="O16791" i="1"/>
  <c r="E16791" i="1"/>
  <c r="B16791" i="1"/>
  <c r="O16790" i="1"/>
  <c r="E16790" i="1"/>
  <c r="B16790" i="1"/>
  <c r="O16789" i="1"/>
  <c r="E16789" i="1"/>
  <c r="B16789" i="1"/>
  <c r="O16788" i="1"/>
  <c r="E16788" i="1"/>
  <c r="B16788" i="1"/>
  <c r="O16787" i="1"/>
  <c r="E16787" i="1"/>
  <c r="B16787" i="1"/>
  <c r="O16786" i="1"/>
  <c r="E16786" i="1"/>
  <c r="B16786" i="1"/>
  <c r="O16785" i="1"/>
  <c r="E16785" i="1"/>
  <c r="B16785" i="1"/>
  <c r="O16784" i="1"/>
  <c r="E16784" i="1"/>
  <c r="B16784" i="1"/>
  <c r="O16783" i="1"/>
  <c r="E16783" i="1"/>
  <c r="B16783" i="1"/>
  <c r="O16782" i="1"/>
  <c r="E16782" i="1"/>
  <c r="B16782" i="1"/>
  <c r="O16781" i="1"/>
  <c r="E16781" i="1"/>
  <c r="B16781" i="1"/>
  <c r="O16780" i="1"/>
  <c r="E16780" i="1"/>
  <c r="B16780" i="1"/>
  <c r="O16779" i="1"/>
  <c r="E16779" i="1"/>
  <c r="B16779" i="1"/>
  <c r="O16778" i="1"/>
  <c r="E16778" i="1"/>
  <c r="B16778" i="1"/>
  <c r="O16777" i="1"/>
  <c r="E16777" i="1"/>
  <c r="B16777" i="1"/>
  <c r="O16776" i="1"/>
  <c r="E16776" i="1"/>
  <c r="B16776" i="1"/>
  <c r="O16775" i="1"/>
  <c r="E16775" i="1"/>
  <c r="B16775" i="1"/>
  <c r="O16774" i="1"/>
  <c r="E16774" i="1"/>
  <c r="B16774" i="1"/>
  <c r="O16773" i="1"/>
  <c r="E16773" i="1"/>
  <c r="B16773" i="1"/>
  <c r="O16772" i="1"/>
  <c r="E16772" i="1"/>
  <c r="B16772" i="1"/>
  <c r="O16771" i="1"/>
  <c r="E16771" i="1"/>
  <c r="B16771" i="1"/>
  <c r="O16770" i="1"/>
  <c r="E16770" i="1"/>
  <c r="B16770" i="1"/>
  <c r="O16769" i="1"/>
  <c r="E16769" i="1"/>
  <c r="B16769" i="1"/>
  <c r="O16768" i="1"/>
  <c r="E16768" i="1"/>
  <c r="B16768" i="1"/>
  <c r="O16767" i="1"/>
  <c r="E16767" i="1"/>
  <c r="B16767" i="1"/>
  <c r="O16766" i="1"/>
  <c r="E16766" i="1"/>
  <c r="B16766" i="1"/>
  <c r="O16765" i="1"/>
  <c r="E16765" i="1"/>
  <c r="B16765" i="1"/>
  <c r="O16764" i="1"/>
  <c r="E16764" i="1"/>
  <c r="B16764" i="1"/>
  <c r="O16763" i="1"/>
  <c r="E16763" i="1"/>
  <c r="B16763" i="1"/>
  <c r="O16762" i="1"/>
  <c r="E16762" i="1"/>
  <c r="B16762" i="1"/>
  <c r="O16761" i="1"/>
  <c r="E16761" i="1"/>
  <c r="B16761" i="1"/>
  <c r="O16760" i="1"/>
  <c r="E16760" i="1"/>
  <c r="B16760" i="1"/>
  <c r="O16759" i="1"/>
  <c r="E16759" i="1"/>
  <c r="B16759" i="1"/>
  <c r="O16758" i="1"/>
  <c r="E16758" i="1"/>
  <c r="B16758" i="1"/>
  <c r="O16757" i="1"/>
  <c r="E16757" i="1"/>
  <c r="B16757" i="1"/>
  <c r="O16756" i="1"/>
  <c r="E16756" i="1"/>
  <c r="B16756" i="1"/>
  <c r="O16755" i="1"/>
  <c r="E16755" i="1"/>
  <c r="B16755" i="1"/>
  <c r="O16754" i="1"/>
  <c r="E16754" i="1"/>
  <c r="B16754" i="1"/>
  <c r="O16753" i="1"/>
  <c r="E16753" i="1"/>
  <c r="B16753" i="1"/>
  <c r="O16752" i="1"/>
  <c r="E16752" i="1"/>
  <c r="B16752" i="1"/>
  <c r="O16751" i="1"/>
  <c r="E16751" i="1"/>
  <c r="B16751" i="1"/>
  <c r="O16750" i="1"/>
  <c r="E16750" i="1"/>
  <c r="B16750" i="1"/>
  <c r="O16749" i="1"/>
  <c r="E16749" i="1"/>
  <c r="B16749" i="1"/>
  <c r="O16748" i="1"/>
  <c r="E16748" i="1"/>
  <c r="B16748" i="1"/>
  <c r="O16747" i="1"/>
  <c r="E16747" i="1"/>
  <c r="B16747" i="1"/>
  <c r="O16746" i="1"/>
  <c r="E16746" i="1"/>
  <c r="B16746" i="1"/>
  <c r="O16745" i="1"/>
  <c r="E16745" i="1"/>
  <c r="B16745" i="1"/>
  <c r="O16744" i="1"/>
  <c r="E16744" i="1"/>
  <c r="B16744" i="1"/>
  <c r="O16743" i="1"/>
  <c r="E16743" i="1"/>
  <c r="B16743" i="1"/>
  <c r="O16742" i="1"/>
  <c r="E16742" i="1"/>
  <c r="B16742" i="1"/>
  <c r="O16741" i="1"/>
  <c r="E16741" i="1"/>
  <c r="B16741" i="1"/>
  <c r="O16740" i="1"/>
  <c r="E16740" i="1"/>
  <c r="B16740" i="1"/>
  <c r="O16739" i="1"/>
  <c r="E16739" i="1"/>
  <c r="B16739" i="1"/>
  <c r="O16738" i="1"/>
  <c r="E16738" i="1"/>
  <c r="B16738" i="1"/>
  <c r="O16737" i="1"/>
  <c r="E16737" i="1"/>
  <c r="B16737" i="1"/>
  <c r="O16736" i="1"/>
  <c r="E16736" i="1"/>
  <c r="B16736" i="1"/>
  <c r="O16735" i="1"/>
  <c r="E16735" i="1"/>
  <c r="B16735" i="1"/>
  <c r="O16734" i="1"/>
  <c r="E16734" i="1"/>
  <c r="B16734" i="1"/>
  <c r="O16733" i="1"/>
  <c r="E16733" i="1"/>
  <c r="B16733" i="1"/>
  <c r="O16732" i="1"/>
  <c r="E16732" i="1"/>
  <c r="B16732" i="1"/>
  <c r="O16731" i="1"/>
  <c r="E16731" i="1"/>
  <c r="B16731" i="1"/>
  <c r="O16730" i="1"/>
  <c r="E16730" i="1"/>
  <c r="B16730" i="1"/>
  <c r="O16729" i="1"/>
  <c r="E16729" i="1"/>
  <c r="B16729" i="1"/>
  <c r="O16728" i="1"/>
  <c r="E16728" i="1"/>
  <c r="B16728" i="1"/>
  <c r="O16727" i="1"/>
  <c r="E16727" i="1"/>
  <c r="B16727" i="1"/>
  <c r="O16726" i="1"/>
  <c r="E16726" i="1"/>
  <c r="B16726" i="1"/>
  <c r="O16725" i="1"/>
  <c r="E16725" i="1"/>
  <c r="B16725" i="1"/>
  <c r="O16724" i="1"/>
  <c r="E16724" i="1"/>
  <c r="B16724" i="1"/>
  <c r="O16723" i="1"/>
  <c r="E16723" i="1"/>
  <c r="B16723" i="1"/>
  <c r="O16722" i="1"/>
  <c r="E16722" i="1"/>
  <c r="B16722" i="1"/>
  <c r="O16721" i="1"/>
  <c r="E16721" i="1"/>
  <c r="B16721" i="1"/>
  <c r="O16720" i="1"/>
  <c r="E16720" i="1"/>
  <c r="B16720" i="1"/>
  <c r="O16719" i="1"/>
  <c r="E16719" i="1"/>
  <c r="B16719" i="1"/>
  <c r="O16718" i="1"/>
  <c r="E16718" i="1"/>
  <c r="B16718" i="1"/>
  <c r="O16717" i="1"/>
  <c r="E16717" i="1"/>
  <c r="B16717" i="1"/>
  <c r="O16716" i="1"/>
  <c r="E16716" i="1"/>
  <c r="B16716" i="1"/>
  <c r="O16715" i="1"/>
  <c r="E16715" i="1"/>
  <c r="B16715" i="1"/>
  <c r="O16714" i="1"/>
  <c r="E16714" i="1"/>
  <c r="B16714" i="1"/>
  <c r="O16713" i="1"/>
  <c r="E16713" i="1"/>
  <c r="B16713" i="1"/>
  <c r="O16712" i="1"/>
  <c r="E16712" i="1"/>
  <c r="B16712" i="1"/>
  <c r="O16711" i="1"/>
  <c r="E16711" i="1"/>
  <c r="B16711" i="1"/>
  <c r="O16710" i="1"/>
  <c r="E16710" i="1"/>
  <c r="B16710" i="1"/>
  <c r="O16709" i="1"/>
  <c r="E16709" i="1"/>
  <c r="B16709" i="1"/>
  <c r="O16708" i="1"/>
  <c r="E16708" i="1"/>
  <c r="B16708" i="1"/>
  <c r="O16707" i="1"/>
  <c r="E16707" i="1"/>
  <c r="B16707" i="1"/>
  <c r="O16706" i="1"/>
  <c r="E16706" i="1"/>
  <c r="B16706" i="1"/>
  <c r="O16705" i="1"/>
  <c r="E16705" i="1"/>
  <c r="B16705" i="1"/>
  <c r="O16704" i="1"/>
  <c r="E16704" i="1"/>
  <c r="B16704" i="1"/>
  <c r="O16703" i="1"/>
  <c r="E16703" i="1"/>
  <c r="B16703" i="1"/>
  <c r="O16702" i="1"/>
  <c r="E16702" i="1"/>
  <c r="B16702" i="1"/>
  <c r="O16701" i="1"/>
  <c r="E16701" i="1"/>
  <c r="B16701" i="1"/>
  <c r="O16700" i="1"/>
  <c r="E16700" i="1"/>
  <c r="B16700" i="1"/>
  <c r="O16699" i="1"/>
  <c r="E16699" i="1"/>
  <c r="B16699" i="1"/>
  <c r="O16698" i="1"/>
  <c r="E16698" i="1"/>
  <c r="B16698" i="1"/>
  <c r="O16697" i="1"/>
  <c r="E16697" i="1"/>
  <c r="B16697" i="1"/>
  <c r="O16696" i="1"/>
  <c r="E16696" i="1"/>
  <c r="B16696" i="1"/>
  <c r="O16695" i="1"/>
  <c r="E16695" i="1"/>
  <c r="B16695" i="1"/>
  <c r="O16694" i="1"/>
  <c r="E16694" i="1"/>
  <c r="B16694" i="1"/>
  <c r="O16693" i="1"/>
  <c r="E16693" i="1"/>
  <c r="B16693" i="1"/>
  <c r="O16692" i="1"/>
  <c r="E16692" i="1"/>
  <c r="B16692" i="1"/>
  <c r="O16691" i="1"/>
  <c r="E16691" i="1"/>
  <c r="B16691" i="1"/>
  <c r="O16690" i="1"/>
  <c r="E16690" i="1"/>
  <c r="B16690" i="1"/>
  <c r="O16689" i="1"/>
  <c r="E16689" i="1"/>
  <c r="B16689" i="1"/>
  <c r="O16688" i="1"/>
  <c r="E16688" i="1"/>
  <c r="B16688" i="1"/>
  <c r="O16687" i="1"/>
  <c r="E16687" i="1"/>
  <c r="B16687" i="1"/>
  <c r="O16686" i="1"/>
  <c r="E16686" i="1"/>
  <c r="B16686" i="1"/>
  <c r="O16685" i="1"/>
  <c r="E16685" i="1"/>
  <c r="B16685" i="1"/>
  <c r="O16684" i="1"/>
  <c r="E16684" i="1"/>
  <c r="B16684" i="1"/>
  <c r="O16683" i="1"/>
  <c r="E16683" i="1"/>
  <c r="B16683" i="1"/>
  <c r="O16682" i="1"/>
  <c r="E16682" i="1"/>
  <c r="B16682" i="1"/>
  <c r="O16681" i="1"/>
  <c r="E16681" i="1"/>
  <c r="B16681" i="1"/>
  <c r="O16680" i="1"/>
  <c r="E16680" i="1"/>
  <c r="B16680" i="1"/>
  <c r="O16679" i="1"/>
  <c r="E16679" i="1"/>
  <c r="B16679" i="1"/>
  <c r="O16678" i="1"/>
  <c r="E16678" i="1"/>
  <c r="B16678" i="1"/>
  <c r="O16677" i="1"/>
  <c r="E16677" i="1"/>
  <c r="B16677" i="1"/>
  <c r="O16676" i="1"/>
  <c r="E16676" i="1"/>
  <c r="B16676" i="1"/>
  <c r="O16675" i="1"/>
  <c r="E16675" i="1"/>
  <c r="B16675" i="1"/>
  <c r="O16674" i="1"/>
  <c r="E16674" i="1"/>
  <c r="B16674" i="1"/>
  <c r="O16673" i="1"/>
  <c r="E16673" i="1"/>
  <c r="B16673" i="1"/>
  <c r="O16672" i="1"/>
  <c r="E16672" i="1"/>
  <c r="B16672" i="1"/>
  <c r="O16671" i="1"/>
  <c r="E16671" i="1"/>
  <c r="B16671" i="1"/>
  <c r="O16670" i="1"/>
  <c r="E16670" i="1"/>
  <c r="B16670" i="1"/>
  <c r="O16669" i="1"/>
  <c r="E16669" i="1"/>
  <c r="B16669" i="1"/>
  <c r="O16668" i="1"/>
  <c r="E16668" i="1"/>
  <c r="B16668" i="1"/>
  <c r="O16667" i="1"/>
  <c r="E16667" i="1"/>
  <c r="B16667" i="1"/>
  <c r="O16666" i="1"/>
  <c r="E16666" i="1"/>
  <c r="B16666" i="1"/>
  <c r="O16665" i="1"/>
  <c r="E16665" i="1"/>
  <c r="B16665" i="1"/>
  <c r="O16664" i="1"/>
  <c r="E16664" i="1"/>
  <c r="B16664" i="1"/>
  <c r="O16663" i="1"/>
  <c r="E16663" i="1"/>
  <c r="B16663" i="1"/>
  <c r="O16662" i="1"/>
  <c r="E16662" i="1"/>
  <c r="B16662" i="1"/>
  <c r="O16661" i="1"/>
  <c r="E16661" i="1"/>
  <c r="B16661" i="1"/>
  <c r="O16660" i="1"/>
  <c r="E16660" i="1"/>
  <c r="B16660" i="1"/>
  <c r="O16659" i="1"/>
  <c r="E16659" i="1"/>
  <c r="B16659" i="1"/>
  <c r="O16658" i="1"/>
  <c r="E16658" i="1"/>
  <c r="B16658" i="1"/>
  <c r="O16657" i="1"/>
  <c r="E16657" i="1"/>
  <c r="B16657" i="1"/>
  <c r="O16656" i="1"/>
  <c r="E16656" i="1"/>
  <c r="B16656" i="1"/>
  <c r="O16655" i="1"/>
  <c r="E16655" i="1"/>
  <c r="B16655" i="1"/>
  <c r="O16654" i="1"/>
  <c r="E16654" i="1"/>
  <c r="B16654" i="1"/>
  <c r="O16653" i="1"/>
  <c r="E16653" i="1"/>
  <c r="B16653" i="1"/>
  <c r="O16652" i="1"/>
  <c r="E16652" i="1"/>
  <c r="B16652" i="1"/>
  <c r="O16651" i="1"/>
  <c r="E16651" i="1"/>
  <c r="B16651" i="1"/>
  <c r="O16650" i="1"/>
  <c r="E16650" i="1"/>
  <c r="B16650" i="1"/>
  <c r="O16649" i="1"/>
  <c r="E16649" i="1"/>
  <c r="B16649" i="1"/>
  <c r="O16648" i="1"/>
  <c r="E16648" i="1"/>
  <c r="B16648" i="1"/>
  <c r="O16647" i="1"/>
  <c r="E16647" i="1"/>
  <c r="B16647" i="1"/>
  <c r="O16646" i="1"/>
  <c r="E16646" i="1"/>
  <c r="B16646" i="1"/>
  <c r="O16645" i="1"/>
  <c r="E16645" i="1"/>
  <c r="B16645" i="1"/>
  <c r="O16644" i="1"/>
  <c r="E16644" i="1"/>
  <c r="B16644" i="1"/>
  <c r="O16643" i="1"/>
  <c r="E16643" i="1"/>
  <c r="B16643" i="1"/>
  <c r="O16642" i="1"/>
  <c r="E16642" i="1"/>
  <c r="B16642" i="1"/>
  <c r="O16641" i="1"/>
  <c r="E16641" i="1"/>
  <c r="B16641" i="1"/>
  <c r="O16640" i="1"/>
  <c r="E16640" i="1"/>
  <c r="B16640" i="1"/>
  <c r="O16639" i="1"/>
  <c r="E16639" i="1"/>
  <c r="B16639" i="1"/>
  <c r="O16638" i="1"/>
  <c r="E16638" i="1"/>
  <c r="B16638" i="1"/>
  <c r="O16637" i="1"/>
  <c r="E16637" i="1"/>
  <c r="B16637" i="1"/>
  <c r="O16636" i="1"/>
  <c r="E16636" i="1"/>
  <c r="B16636" i="1"/>
  <c r="O16635" i="1"/>
  <c r="E16635" i="1"/>
  <c r="B16635" i="1"/>
  <c r="O16634" i="1"/>
  <c r="E16634" i="1"/>
  <c r="B16634" i="1"/>
  <c r="O16633" i="1"/>
  <c r="E16633" i="1"/>
  <c r="B16633" i="1"/>
  <c r="O16632" i="1"/>
  <c r="E16632" i="1"/>
  <c r="B16632" i="1"/>
  <c r="O16631" i="1"/>
  <c r="E16631" i="1"/>
  <c r="B16631" i="1"/>
  <c r="O16630" i="1"/>
  <c r="E16630" i="1"/>
  <c r="B16630" i="1"/>
  <c r="O16629" i="1"/>
  <c r="E16629" i="1"/>
  <c r="B16629" i="1"/>
  <c r="O16628" i="1"/>
  <c r="E16628" i="1"/>
  <c r="B16628" i="1"/>
  <c r="O16627" i="1"/>
  <c r="E16627" i="1"/>
  <c r="B16627" i="1"/>
  <c r="O16626" i="1"/>
  <c r="E16626" i="1"/>
  <c r="B16626" i="1"/>
  <c r="O16625" i="1"/>
  <c r="E16625" i="1"/>
  <c r="B16625" i="1"/>
  <c r="O16624" i="1"/>
  <c r="E16624" i="1"/>
  <c r="B16624" i="1"/>
  <c r="O16623" i="1"/>
  <c r="E16623" i="1"/>
  <c r="B16623" i="1"/>
  <c r="O16622" i="1"/>
  <c r="E16622" i="1"/>
  <c r="B16622" i="1"/>
  <c r="O16621" i="1"/>
  <c r="E16621" i="1"/>
  <c r="B16621" i="1"/>
  <c r="O16620" i="1"/>
  <c r="E16620" i="1"/>
  <c r="B16620" i="1"/>
  <c r="O16619" i="1"/>
  <c r="E16619" i="1"/>
  <c r="B16619" i="1"/>
  <c r="O16618" i="1"/>
  <c r="E16618" i="1"/>
  <c r="B16618" i="1"/>
  <c r="O16617" i="1"/>
  <c r="E16617" i="1"/>
  <c r="B16617" i="1"/>
  <c r="O16616" i="1"/>
  <c r="E16616" i="1"/>
  <c r="B16616" i="1"/>
  <c r="O16615" i="1"/>
  <c r="E16615" i="1"/>
  <c r="B16615" i="1"/>
  <c r="O16614" i="1"/>
  <c r="E16614" i="1"/>
  <c r="B16614" i="1"/>
  <c r="O16613" i="1"/>
  <c r="E16613" i="1"/>
  <c r="B16613" i="1"/>
  <c r="O16612" i="1"/>
  <c r="E16612" i="1"/>
  <c r="B16612" i="1"/>
  <c r="O16611" i="1"/>
  <c r="E16611" i="1"/>
  <c r="B16611" i="1"/>
  <c r="O16610" i="1"/>
  <c r="E16610" i="1"/>
  <c r="B16610" i="1"/>
  <c r="O16609" i="1"/>
  <c r="E16609" i="1"/>
  <c r="B16609" i="1"/>
  <c r="O16608" i="1"/>
  <c r="E16608" i="1"/>
  <c r="B16608" i="1"/>
  <c r="O16607" i="1"/>
  <c r="E16607" i="1"/>
  <c r="B16607" i="1"/>
  <c r="O16606" i="1"/>
  <c r="E16606" i="1"/>
  <c r="B16606" i="1"/>
  <c r="O16605" i="1"/>
  <c r="E16605" i="1"/>
  <c r="B16605" i="1"/>
  <c r="O16604" i="1"/>
  <c r="E16604" i="1"/>
  <c r="B16604" i="1"/>
  <c r="O16603" i="1"/>
  <c r="E16603" i="1"/>
  <c r="B16603" i="1"/>
  <c r="O16602" i="1"/>
  <c r="E16602" i="1"/>
  <c r="B16602" i="1"/>
  <c r="O16601" i="1"/>
  <c r="E16601" i="1"/>
  <c r="B16601" i="1"/>
  <c r="O16600" i="1"/>
  <c r="E16600" i="1"/>
  <c r="B16600" i="1"/>
  <c r="O16599" i="1"/>
  <c r="E16599" i="1"/>
  <c r="B16599" i="1"/>
  <c r="O16598" i="1"/>
  <c r="E16598" i="1"/>
  <c r="B16598" i="1"/>
  <c r="O16597" i="1"/>
  <c r="E16597" i="1"/>
  <c r="B16597" i="1"/>
  <c r="O16596" i="1"/>
  <c r="E16596" i="1"/>
  <c r="B16596" i="1"/>
  <c r="O16595" i="1"/>
  <c r="E16595" i="1"/>
  <c r="B16595" i="1"/>
  <c r="O16594" i="1"/>
  <c r="E16594" i="1"/>
  <c r="B16594" i="1"/>
  <c r="O16593" i="1"/>
  <c r="E16593" i="1"/>
  <c r="B16593" i="1"/>
  <c r="O16592" i="1"/>
  <c r="E16592" i="1"/>
  <c r="B16592" i="1"/>
  <c r="O16591" i="1"/>
  <c r="E16591" i="1"/>
  <c r="B16591" i="1"/>
  <c r="O16590" i="1"/>
  <c r="E16590" i="1"/>
  <c r="B16590" i="1"/>
  <c r="O16589" i="1"/>
  <c r="E16589" i="1"/>
  <c r="B16589" i="1"/>
  <c r="O16588" i="1"/>
  <c r="E16588" i="1"/>
  <c r="B16588" i="1"/>
  <c r="O16587" i="1"/>
  <c r="E16587" i="1"/>
  <c r="B16587" i="1"/>
  <c r="O16586" i="1"/>
  <c r="E16586" i="1"/>
  <c r="B16586" i="1"/>
  <c r="O16585" i="1"/>
  <c r="E16585" i="1"/>
  <c r="B16585" i="1"/>
  <c r="O16584" i="1"/>
  <c r="E16584" i="1"/>
  <c r="B16584" i="1"/>
  <c r="O16583" i="1"/>
  <c r="E16583" i="1"/>
  <c r="B16583" i="1"/>
  <c r="O16582" i="1"/>
  <c r="E16582" i="1"/>
  <c r="B16582" i="1"/>
  <c r="O16581" i="1"/>
  <c r="E16581" i="1"/>
  <c r="B16581" i="1"/>
  <c r="O16580" i="1"/>
  <c r="E16580" i="1"/>
  <c r="B16580" i="1"/>
  <c r="O16579" i="1"/>
  <c r="E16579" i="1"/>
  <c r="B16579" i="1"/>
  <c r="O16578" i="1"/>
  <c r="E16578" i="1"/>
  <c r="B16578" i="1"/>
  <c r="O16577" i="1"/>
  <c r="E16577" i="1"/>
  <c r="B16577" i="1"/>
  <c r="O16576" i="1"/>
  <c r="E16576" i="1"/>
  <c r="B16576" i="1"/>
  <c r="O16575" i="1"/>
  <c r="E16575" i="1"/>
  <c r="B16575" i="1"/>
  <c r="O16574" i="1"/>
  <c r="E16574" i="1"/>
  <c r="B16574" i="1"/>
  <c r="O16573" i="1"/>
  <c r="E16573" i="1"/>
  <c r="B16573" i="1"/>
  <c r="O16572" i="1"/>
  <c r="E16572" i="1"/>
  <c r="B16572" i="1"/>
  <c r="O16571" i="1"/>
  <c r="E16571" i="1"/>
  <c r="B16571" i="1"/>
  <c r="O16570" i="1"/>
  <c r="E16570" i="1"/>
  <c r="B16570" i="1"/>
  <c r="O16569" i="1"/>
  <c r="E16569" i="1"/>
  <c r="B16569" i="1"/>
  <c r="O16568" i="1"/>
  <c r="E16568" i="1"/>
  <c r="B16568" i="1"/>
  <c r="O16567" i="1"/>
  <c r="E16567" i="1"/>
  <c r="B16567" i="1"/>
  <c r="O16566" i="1"/>
  <c r="E16566" i="1"/>
  <c r="B16566" i="1"/>
  <c r="O16565" i="1"/>
  <c r="E16565" i="1"/>
  <c r="B16565" i="1"/>
  <c r="O16564" i="1"/>
  <c r="E16564" i="1"/>
  <c r="B16564" i="1"/>
  <c r="O16563" i="1"/>
  <c r="E16563" i="1"/>
  <c r="B16563" i="1"/>
  <c r="O16562" i="1"/>
  <c r="E16562" i="1"/>
  <c r="B16562" i="1"/>
  <c r="O16561" i="1"/>
  <c r="E16561" i="1"/>
  <c r="B16561" i="1"/>
  <c r="O16560" i="1"/>
  <c r="E16560" i="1"/>
  <c r="B16560" i="1"/>
  <c r="O16559" i="1"/>
  <c r="E16559" i="1"/>
  <c r="B16559" i="1"/>
  <c r="O16558" i="1"/>
  <c r="E16558" i="1"/>
  <c r="B16558" i="1"/>
  <c r="O16557" i="1"/>
  <c r="E16557" i="1"/>
  <c r="B16557" i="1"/>
  <c r="O16556" i="1"/>
  <c r="E16556" i="1"/>
  <c r="B16556" i="1"/>
  <c r="O16555" i="1"/>
  <c r="E16555" i="1"/>
  <c r="B16555" i="1"/>
  <c r="O16554" i="1"/>
  <c r="E16554" i="1"/>
  <c r="B16554" i="1"/>
  <c r="O16553" i="1"/>
  <c r="E16553" i="1"/>
  <c r="B16553" i="1"/>
  <c r="O16552" i="1"/>
  <c r="E16552" i="1"/>
  <c r="B16552" i="1"/>
  <c r="O16551" i="1"/>
  <c r="E16551" i="1"/>
  <c r="B16551" i="1"/>
  <c r="O16550" i="1"/>
  <c r="E16550" i="1"/>
  <c r="B16550" i="1"/>
  <c r="O16549" i="1"/>
  <c r="E16549" i="1"/>
  <c r="B16549" i="1"/>
  <c r="O16548" i="1"/>
  <c r="E16548" i="1"/>
  <c r="B16548" i="1"/>
  <c r="O16547" i="1"/>
  <c r="E16547" i="1"/>
  <c r="B16547" i="1"/>
  <c r="O16546" i="1"/>
  <c r="E16546" i="1"/>
  <c r="B16546" i="1"/>
  <c r="O16545" i="1"/>
  <c r="E16545" i="1"/>
  <c r="B16545" i="1"/>
  <c r="O16544" i="1"/>
  <c r="E16544" i="1"/>
  <c r="B16544" i="1"/>
  <c r="O16543" i="1"/>
  <c r="E16543" i="1"/>
  <c r="B16543" i="1"/>
  <c r="O16542" i="1"/>
  <c r="E16542" i="1"/>
  <c r="B16542" i="1"/>
  <c r="O16541" i="1"/>
  <c r="E16541" i="1"/>
  <c r="B16541" i="1"/>
  <c r="O16540" i="1"/>
  <c r="E16540" i="1"/>
  <c r="B16540" i="1"/>
  <c r="O16539" i="1"/>
  <c r="E16539" i="1"/>
  <c r="B16539" i="1"/>
  <c r="O16538" i="1"/>
  <c r="E16538" i="1"/>
  <c r="B16538" i="1"/>
  <c r="O16537" i="1"/>
  <c r="E16537" i="1"/>
  <c r="B16537" i="1"/>
  <c r="O16536" i="1"/>
  <c r="E16536" i="1"/>
  <c r="B16536" i="1"/>
  <c r="O16535" i="1"/>
  <c r="E16535" i="1"/>
  <c r="B16535" i="1"/>
  <c r="O16534" i="1"/>
  <c r="E16534" i="1"/>
  <c r="B16534" i="1"/>
  <c r="O16533" i="1"/>
  <c r="E16533" i="1"/>
  <c r="B16533" i="1"/>
  <c r="O16532" i="1"/>
  <c r="E16532" i="1"/>
  <c r="B16532" i="1"/>
  <c r="O16531" i="1"/>
  <c r="E16531" i="1"/>
  <c r="B16531" i="1"/>
  <c r="O16530" i="1"/>
  <c r="E16530" i="1"/>
  <c r="B16530" i="1"/>
  <c r="O16529" i="1"/>
  <c r="E16529" i="1"/>
  <c r="B16529" i="1"/>
  <c r="O16528" i="1"/>
  <c r="E16528" i="1"/>
  <c r="B16528" i="1"/>
  <c r="O16527" i="1"/>
  <c r="E16527" i="1"/>
  <c r="B16527" i="1"/>
  <c r="O16526" i="1"/>
  <c r="E16526" i="1"/>
  <c r="B16526" i="1"/>
  <c r="O16525" i="1"/>
  <c r="E16525" i="1"/>
  <c r="B16525" i="1"/>
  <c r="O16524" i="1"/>
  <c r="E16524" i="1"/>
  <c r="B16524" i="1"/>
  <c r="O16523" i="1"/>
  <c r="E16523" i="1"/>
  <c r="B16523" i="1"/>
  <c r="O16522" i="1"/>
  <c r="E16522" i="1"/>
  <c r="B16522" i="1"/>
  <c r="O16521" i="1"/>
  <c r="E16521" i="1"/>
  <c r="B16521" i="1"/>
  <c r="O16520" i="1"/>
  <c r="E16520" i="1"/>
  <c r="B16520" i="1"/>
  <c r="O16519" i="1"/>
  <c r="E16519" i="1"/>
  <c r="B16519" i="1"/>
  <c r="O16518" i="1"/>
  <c r="E16518" i="1"/>
  <c r="B16518" i="1"/>
  <c r="O16517" i="1"/>
  <c r="E16517" i="1"/>
  <c r="B16517" i="1"/>
  <c r="O16516" i="1"/>
  <c r="E16516" i="1"/>
  <c r="B16516" i="1"/>
  <c r="O16515" i="1"/>
  <c r="E16515" i="1"/>
  <c r="B16515" i="1"/>
  <c r="O16514" i="1"/>
  <c r="E16514" i="1"/>
  <c r="B16514" i="1"/>
  <c r="O16513" i="1"/>
  <c r="E16513" i="1"/>
  <c r="B16513" i="1"/>
  <c r="O16512" i="1"/>
  <c r="E16512" i="1"/>
  <c r="B16512" i="1"/>
  <c r="O16511" i="1"/>
  <c r="E16511" i="1"/>
  <c r="B16511" i="1"/>
  <c r="O16510" i="1"/>
  <c r="E16510" i="1"/>
  <c r="B16510" i="1"/>
  <c r="O16509" i="1"/>
  <c r="E16509" i="1"/>
  <c r="B16509" i="1"/>
  <c r="O16508" i="1"/>
  <c r="E16508" i="1"/>
  <c r="B16508" i="1"/>
  <c r="O16507" i="1"/>
  <c r="E16507" i="1"/>
  <c r="B16507" i="1"/>
  <c r="O16506" i="1"/>
  <c r="E16506" i="1"/>
  <c r="B16506" i="1"/>
  <c r="O16505" i="1"/>
  <c r="E16505" i="1"/>
  <c r="B16505" i="1"/>
  <c r="O16504" i="1"/>
  <c r="E16504" i="1"/>
  <c r="B16504" i="1"/>
  <c r="O16503" i="1"/>
  <c r="E16503" i="1"/>
  <c r="B16503" i="1"/>
  <c r="O16502" i="1"/>
  <c r="E16502" i="1"/>
  <c r="B16502" i="1"/>
  <c r="O16501" i="1"/>
  <c r="E16501" i="1"/>
  <c r="B16501" i="1"/>
  <c r="O16500" i="1"/>
  <c r="E16500" i="1"/>
  <c r="B16500" i="1"/>
  <c r="O16499" i="1"/>
  <c r="E16499" i="1"/>
  <c r="B16499" i="1"/>
  <c r="O16498" i="1"/>
  <c r="E16498" i="1"/>
  <c r="B16498" i="1"/>
  <c r="O16497" i="1"/>
  <c r="E16497" i="1"/>
  <c r="B16497" i="1"/>
  <c r="O16496" i="1"/>
  <c r="E16496" i="1"/>
  <c r="B16496" i="1"/>
  <c r="O16495" i="1"/>
  <c r="E16495" i="1"/>
  <c r="B16495" i="1"/>
  <c r="O16494" i="1"/>
  <c r="E16494" i="1"/>
  <c r="B16494" i="1"/>
  <c r="O16493" i="1"/>
  <c r="E16493" i="1"/>
  <c r="B16493" i="1"/>
  <c r="O16492" i="1"/>
  <c r="E16492" i="1"/>
  <c r="B16492" i="1"/>
  <c r="O16491" i="1"/>
  <c r="E16491" i="1"/>
  <c r="B16491" i="1"/>
  <c r="O16490" i="1"/>
  <c r="E16490" i="1"/>
  <c r="B16490" i="1"/>
  <c r="O16489" i="1"/>
  <c r="E16489" i="1"/>
  <c r="B16489" i="1"/>
  <c r="O16488" i="1"/>
  <c r="E16488" i="1"/>
  <c r="B16488" i="1"/>
  <c r="O16487" i="1"/>
  <c r="E16487" i="1"/>
  <c r="B16487" i="1"/>
  <c r="O16486" i="1"/>
  <c r="E16486" i="1"/>
  <c r="B16486" i="1"/>
  <c r="O16485" i="1"/>
  <c r="E16485" i="1"/>
  <c r="B16485" i="1"/>
  <c r="O16484" i="1"/>
  <c r="E16484" i="1"/>
  <c r="B16484" i="1"/>
  <c r="O16483" i="1"/>
  <c r="E16483" i="1"/>
  <c r="B16483" i="1"/>
  <c r="O16482" i="1"/>
  <c r="E16482" i="1"/>
  <c r="B16482" i="1"/>
  <c r="O16481" i="1"/>
  <c r="E16481" i="1"/>
  <c r="B16481" i="1"/>
  <c r="O16480" i="1"/>
  <c r="E16480" i="1"/>
  <c r="B16480" i="1"/>
  <c r="O16479" i="1"/>
  <c r="E16479" i="1"/>
  <c r="B16479" i="1"/>
  <c r="O16478" i="1"/>
  <c r="E16478" i="1"/>
  <c r="B16478" i="1"/>
  <c r="O16477" i="1"/>
  <c r="E16477" i="1"/>
  <c r="B16477" i="1"/>
  <c r="O16476" i="1"/>
  <c r="E16476" i="1"/>
  <c r="B16476" i="1"/>
  <c r="O16475" i="1"/>
  <c r="E16475" i="1"/>
  <c r="B16475" i="1"/>
  <c r="O16474" i="1"/>
  <c r="E16474" i="1"/>
  <c r="B16474" i="1"/>
  <c r="O16473" i="1"/>
  <c r="E16473" i="1"/>
  <c r="B16473" i="1"/>
  <c r="O16472" i="1"/>
  <c r="E16472" i="1"/>
  <c r="B16472" i="1"/>
  <c r="O16471" i="1"/>
  <c r="E16471" i="1"/>
  <c r="B16471" i="1"/>
  <c r="O16470" i="1"/>
  <c r="E16470" i="1"/>
  <c r="B16470" i="1"/>
  <c r="O16469" i="1"/>
  <c r="E16469" i="1"/>
  <c r="B16469" i="1"/>
  <c r="O16468" i="1"/>
  <c r="E16468" i="1"/>
  <c r="B16468" i="1"/>
  <c r="O16467" i="1"/>
  <c r="E16467" i="1"/>
  <c r="B16467" i="1"/>
  <c r="O16466" i="1"/>
  <c r="E16466" i="1"/>
  <c r="B16466" i="1"/>
  <c r="O16465" i="1"/>
  <c r="E16465" i="1"/>
  <c r="B16465" i="1"/>
  <c r="O16464" i="1"/>
  <c r="E16464" i="1"/>
  <c r="B16464" i="1"/>
  <c r="O16463" i="1"/>
  <c r="E16463" i="1"/>
  <c r="B16463" i="1"/>
  <c r="O16462" i="1"/>
  <c r="E16462" i="1"/>
  <c r="B16462" i="1"/>
  <c r="O16461" i="1"/>
  <c r="E16461" i="1"/>
  <c r="B16461" i="1"/>
  <c r="O16460" i="1"/>
  <c r="E16460" i="1"/>
  <c r="B16460" i="1"/>
  <c r="O16459" i="1"/>
  <c r="E16459" i="1"/>
  <c r="B16459" i="1"/>
  <c r="O16458" i="1"/>
  <c r="E16458" i="1"/>
  <c r="B16458" i="1"/>
  <c r="O16457" i="1"/>
  <c r="E16457" i="1"/>
  <c r="B16457" i="1"/>
  <c r="O16456" i="1"/>
  <c r="E16456" i="1"/>
  <c r="B16456" i="1"/>
  <c r="O16455" i="1"/>
  <c r="E16455" i="1"/>
  <c r="B16455" i="1"/>
  <c r="O16454" i="1"/>
  <c r="E16454" i="1"/>
  <c r="B16454" i="1"/>
  <c r="O16453" i="1"/>
  <c r="E16453" i="1"/>
  <c r="B16453" i="1"/>
  <c r="O16452" i="1"/>
  <c r="E16452" i="1"/>
  <c r="B16452" i="1"/>
  <c r="O16451" i="1"/>
  <c r="E16451" i="1"/>
  <c r="B16451" i="1"/>
  <c r="O16450" i="1"/>
  <c r="E16450" i="1"/>
  <c r="B16450" i="1"/>
  <c r="O16449" i="1"/>
  <c r="E16449" i="1"/>
  <c r="B16449" i="1"/>
  <c r="O16448" i="1"/>
  <c r="E16448" i="1"/>
  <c r="B16448" i="1"/>
  <c r="O16447" i="1"/>
  <c r="E16447" i="1"/>
  <c r="B16447" i="1"/>
  <c r="O16446" i="1"/>
  <c r="E16446" i="1"/>
  <c r="B16446" i="1"/>
  <c r="O16445" i="1"/>
  <c r="E16445" i="1"/>
  <c r="B16445" i="1"/>
  <c r="O16444" i="1"/>
  <c r="E16444" i="1"/>
  <c r="B16444" i="1"/>
  <c r="O16443" i="1"/>
  <c r="E16443" i="1"/>
  <c r="B16443" i="1"/>
  <c r="O16442" i="1"/>
  <c r="E16442" i="1"/>
  <c r="B16442" i="1"/>
  <c r="O16441" i="1"/>
  <c r="E16441" i="1"/>
  <c r="B16441" i="1"/>
  <c r="O16440" i="1"/>
  <c r="E16440" i="1"/>
  <c r="B16440" i="1"/>
  <c r="O16439" i="1"/>
  <c r="E16439" i="1"/>
  <c r="B16439" i="1"/>
  <c r="O16438" i="1"/>
  <c r="E16438" i="1"/>
  <c r="B16438" i="1"/>
  <c r="O16437" i="1"/>
  <c r="E16437" i="1"/>
  <c r="B16437" i="1"/>
  <c r="O16436" i="1"/>
  <c r="E16436" i="1"/>
  <c r="B16436" i="1"/>
  <c r="O16435" i="1"/>
  <c r="E16435" i="1"/>
  <c r="B16435" i="1"/>
  <c r="O16434" i="1"/>
  <c r="E16434" i="1"/>
  <c r="B16434" i="1"/>
  <c r="O16433" i="1"/>
  <c r="E16433" i="1"/>
  <c r="B16433" i="1"/>
  <c r="O16432" i="1"/>
  <c r="E16432" i="1"/>
  <c r="B16432" i="1"/>
  <c r="O16431" i="1"/>
  <c r="E16431" i="1"/>
  <c r="B16431" i="1"/>
  <c r="O16430" i="1"/>
  <c r="E16430" i="1"/>
  <c r="B16430" i="1"/>
  <c r="O16429" i="1"/>
  <c r="E16429" i="1"/>
  <c r="B16429" i="1"/>
  <c r="O16428" i="1"/>
  <c r="E16428" i="1"/>
  <c r="B16428" i="1"/>
  <c r="O16427" i="1"/>
  <c r="E16427" i="1"/>
  <c r="B16427" i="1"/>
  <c r="O16426" i="1"/>
  <c r="E16426" i="1"/>
  <c r="B16426" i="1"/>
  <c r="O16425" i="1"/>
  <c r="E16425" i="1"/>
  <c r="B16425" i="1"/>
  <c r="O16424" i="1"/>
  <c r="E16424" i="1"/>
  <c r="B16424" i="1"/>
  <c r="O16423" i="1"/>
  <c r="E16423" i="1"/>
  <c r="B16423" i="1"/>
  <c r="O16422" i="1"/>
  <c r="E16422" i="1"/>
  <c r="B16422" i="1"/>
  <c r="O16421" i="1"/>
  <c r="E16421" i="1"/>
  <c r="B16421" i="1"/>
  <c r="O16420" i="1"/>
  <c r="E16420" i="1"/>
  <c r="B16420" i="1"/>
  <c r="O16419" i="1"/>
  <c r="E16419" i="1"/>
  <c r="B16419" i="1"/>
  <c r="O16418" i="1"/>
  <c r="E16418" i="1"/>
  <c r="B16418" i="1"/>
  <c r="O16417" i="1"/>
  <c r="E16417" i="1"/>
  <c r="B16417" i="1"/>
  <c r="O16416" i="1"/>
  <c r="E16416" i="1"/>
  <c r="B16416" i="1"/>
  <c r="O16415" i="1"/>
  <c r="E16415" i="1"/>
  <c r="B16415" i="1"/>
  <c r="O16414" i="1"/>
  <c r="E16414" i="1"/>
  <c r="B16414" i="1"/>
  <c r="O16413" i="1"/>
  <c r="E16413" i="1"/>
  <c r="B16413" i="1"/>
  <c r="O16412" i="1"/>
  <c r="E16412" i="1"/>
  <c r="B16412" i="1"/>
  <c r="O16411" i="1"/>
  <c r="E16411" i="1"/>
  <c r="B16411" i="1"/>
  <c r="O16410" i="1"/>
  <c r="E16410" i="1"/>
  <c r="B16410" i="1"/>
  <c r="O16409" i="1"/>
  <c r="E16409" i="1"/>
  <c r="B16409" i="1"/>
  <c r="O16408" i="1"/>
  <c r="E16408" i="1"/>
  <c r="B16408" i="1"/>
  <c r="O16407" i="1"/>
  <c r="E16407" i="1"/>
  <c r="B16407" i="1"/>
  <c r="O16406" i="1"/>
  <c r="E16406" i="1"/>
  <c r="B16406" i="1"/>
  <c r="O16405" i="1"/>
  <c r="E16405" i="1"/>
  <c r="B16405" i="1"/>
  <c r="O16404" i="1"/>
  <c r="E16404" i="1"/>
  <c r="B16404" i="1"/>
  <c r="O16403" i="1"/>
  <c r="E16403" i="1"/>
  <c r="B16403" i="1"/>
  <c r="O16402" i="1"/>
  <c r="E16402" i="1"/>
  <c r="B16402" i="1"/>
  <c r="O16401" i="1"/>
  <c r="E16401" i="1"/>
  <c r="B16401" i="1"/>
  <c r="O16400" i="1"/>
  <c r="E16400" i="1"/>
  <c r="B16400" i="1"/>
  <c r="O16399" i="1"/>
  <c r="E16399" i="1"/>
  <c r="B16399" i="1"/>
  <c r="O16398" i="1"/>
  <c r="E16398" i="1"/>
  <c r="B16398" i="1"/>
  <c r="O16397" i="1"/>
  <c r="E16397" i="1"/>
  <c r="B16397" i="1"/>
  <c r="O16396" i="1"/>
  <c r="E16396" i="1"/>
  <c r="B16396" i="1"/>
  <c r="O16395" i="1"/>
  <c r="E16395" i="1"/>
  <c r="B16395" i="1"/>
  <c r="O16394" i="1"/>
  <c r="E16394" i="1"/>
  <c r="B16394" i="1"/>
  <c r="O16393" i="1"/>
  <c r="E16393" i="1"/>
  <c r="B16393" i="1"/>
  <c r="O16392" i="1"/>
  <c r="E16392" i="1"/>
  <c r="B16392" i="1"/>
  <c r="O16391" i="1"/>
  <c r="E16391" i="1"/>
  <c r="B16391" i="1"/>
  <c r="O16390" i="1"/>
  <c r="E16390" i="1"/>
  <c r="B16390" i="1"/>
  <c r="O16389" i="1"/>
  <c r="E16389" i="1"/>
  <c r="B16389" i="1"/>
  <c r="O16388" i="1"/>
  <c r="E16388" i="1"/>
  <c r="B16388" i="1"/>
  <c r="O16387" i="1"/>
  <c r="E16387" i="1"/>
  <c r="B16387" i="1"/>
  <c r="O16386" i="1"/>
  <c r="E16386" i="1"/>
  <c r="B16386" i="1"/>
  <c r="O16385" i="1"/>
  <c r="E16385" i="1"/>
  <c r="B16385" i="1"/>
  <c r="O16384" i="1"/>
  <c r="E16384" i="1"/>
  <c r="B16384" i="1"/>
  <c r="O16383" i="1"/>
  <c r="E16383" i="1"/>
  <c r="B16383" i="1"/>
  <c r="O16382" i="1"/>
  <c r="E16382" i="1"/>
  <c r="B16382" i="1"/>
  <c r="O16381" i="1"/>
  <c r="E16381" i="1"/>
  <c r="B16381" i="1"/>
  <c r="O16380" i="1"/>
  <c r="E16380" i="1"/>
  <c r="B16380" i="1"/>
  <c r="O16379" i="1"/>
  <c r="E16379" i="1"/>
  <c r="B16379" i="1"/>
  <c r="O16378" i="1"/>
  <c r="E16378" i="1"/>
  <c r="B16378" i="1"/>
  <c r="O16377" i="1"/>
  <c r="E16377" i="1"/>
  <c r="B16377" i="1"/>
  <c r="O16376" i="1"/>
  <c r="E16376" i="1"/>
  <c r="B16376" i="1"/>
  <c r="O16375" i="1"/>
  <c r="E16375" i="1"/>
  <c r="B16375" i="1"/>
  <c r="O16374" i="1"/>
  <c r="E16374" i="1"/>
  <c r="B16374" i="1"/>
  <c r="O16373" i="1"/>
  <c r="E16373" i="1"/>
  <c r="B16373" i="1"/>
  <c r="O16372" i="1"/>
  <c r="E16372" i="1"/>
  <c r="B16372" i="1"/>
  <c r="O16371" i="1"/>
  <c r="E16371" i="1"/>
  <c r="B16371" i="1"/>
  <c r="O16370" i="1"/>
  <c r="E16370" i="1"/>
  <c r="B16370" i="1"/>
  <c r="O16369" i="1"/>
  <c r="E16369" i="1"/>
  <c r="B16369" i="1"/>
  <c r="O16368" i="1"/>
  <c r="E16368" i="1"/>
  <c r="B16368" i="1"/>
  <c r="O16367" i="1"/>
  <c r="E16367" i="1"/>
  <c r="B16367" i="1"/>
  <c r="O16366" i="1"/>
  <c r="E16366" i="1"/>
  <c r="B16366" i="1"/>
  <c r="O16365" i="1"/>
  <c r="E16365" i="1"/>
  <c r="B16365" i="1"/>
  <c r="O16364" i="1"/>
  <c r="E16364" i="1"/>
  <c r="B16364" i="1"/>
  <c r="O16363" i="1"/>
  <c r="E16363" i="1"/>
  <c r="B16363" i="1"/>
  <c r="O16362" i="1"/>
  <c r="E16362" i="1"/>
  <c r="B16362" i="1"/>
  <c r="O16361" i="1"/>
  <c r="E16361" i="1"/>
  <c r="B16361" i="1"/>
  <c r="O16360" i="1"/>
  <c r="E16360" i="1"/>
  <c r="B16360" i="1"/>
  <c r="O16359" i="1"/>
  <c r="E16359" i="1"/>
  <c r="B16359" i="1"/>
  <c r="O16358" i="1"/>
  <c r="E16358" i="1"/>
  <c r="B16358" i="1"/>
  <c r="O16357" i="1"/>
  <c r="E16357" i="1"/>
  <c r="B16357" i="1"/>
  <c r="O16356" i="1"/>
  <c r="E16356" i="1"/>
  <c r="B16356" i="1"/>
  <c r="O16355" i="1"/>
  <c r="E16355" i="1"/>
  <c r="B16355" i="1"/>
  <c r="O16354" i="1"/>
  <c r="E16354" i="1"/>
  <c r="B16354" i="1"/>
  <c r="O16353" i="1"/>
  <c r="E16353" i="1"/>
  <c r="B16353" i="1"/>
  <c r="O16352" i="1"/>
  <c r="E16352" i="1"/>
  <c r="B16352" i="1"/>
  <c r="O16351" i="1"/>
  <c r="E16351" i="1"/>
  <c r="B16351" i="1"/>
  <c r="O16350" i="1"/>
  <c r="E16350" i="1"/>
  <c r="B16350" i="1"/>
  <c r="O16349" i="1"/>
  <c r="E16349" i="1"/>
  <c r="B16349" i="1"/>
  <c r="O16348" i="1"/>
  <c r="E16348" i="1"/>
  <c r="B16348" i="1"/>
  <c r="O16347" i="1"/>
  <c r="E16347" i="1"/>
  <c r="B16347" i="1"/>
  <c r="O16346" i="1"/>
  <c r="E16346" i="1"/>
  <c r="B16346" i="1"/>
  <c r="O16345" i="1"/>
  <c r="E16345" i="1"/>
  <c r="B16345" i="1"/>
  <c r="O16344" i="1"/>
  <c r="E16344" i="1"/>
  <c r="B16344" i="1"/>
  <c r="O16343" i="1"/>
  <c r="E16343" i="1"/>
  <c r="B16343" i="1"/>
  <c r="O16342" i="1"/>
  <c r="E16342" i="1"/>
  <c r="B16342" i="1"/>
  <c r="O16341" i="1"/>
  <c r="E16341" i="1"/>
  <c r="B16341" i="1"/>
  <c r="O16340" i="1"/>
  <c r="E16340" i="1"/>
  <c r="B16340" i="1"/>
  <c r="O16339" i="1"/>
  <c r="E16339" i="1"/>
  <c r="B16339" i="1"/>
  <c r="O16338" i="1"/>
  <c r="E16338" i="1"/>
  <c r="B16338" i="1"/>
  <c r="O16337" i="1"/>
  <c r="E16337" i="1"/>
  <c r="B16337" i="1"/>
  <c r="O16336" i="1"/>
  <c r="E16336" i="1"/>
  <c r="B16336" i="1"/>
  <c r="O16335" i="1"/>
  <c r="E16335" i="1"/>
  <c r="B16335" i="1"/>
  <c r="O16334" i="1"/>
  <c r="E16334" i="1"/>
  <c r="B16334" i="1"/>
  <c r="O16333" i="1"/>
  <c r="E16333" i="1"/>
  <c r="B16333" i="1"/>
  <c r="O16332" i="1"/>
  <c r="E16332" i="1"/>
  <c r="B16332" i="1"/>
  <c r="O16331" i="1"/>
  <c r="E16331" i="1"/>
  <c r="B16331" i="1"/>
  <c r="O16330" i="1"/>
  <c r="E16330" i="1"/>
  <c r="B16330" i="1"/>
  <c r="O16329" i="1"/>
  <c r="E16329" i="1"/>
  <c r="B16329" i="1"/>
  <c r="O16328" i="1"/>
  <c r="E16328" i="1"/>
  <c r="B16328" i="1"/>
  <c r="O16327" i="1"/>
  <c r="E16327" i="1"/>
  <c r="B16327" i="1"/>
  <c r="O16326" i="1"/>
  <c r="E16326" i="1"/>
  <c r="B16326" i="1"/>
  <c r="O16325" i="1"/>
  <c r="E16325" i="1"/>
  <c r="B16325" i="1"/>
  <c r="O16324" i="1"/>
  <c r="E16324" i="1"/>
  <c r="B16324" i="1"/>
  <c r="O16323" i="1"/>
  <c r="E16323" i="1"/>
  <c r="B16323" i="1"/>
  <c r="O16322" i="1"/>
  <c r="E16322" i="1"/>
  <c r="B16322" i="1"/>
  <c r="O16321" i="1"/>
  <c r="E16321" i="1"/>
  <c r="B16321" i="1"/>
  <c r="O16320" i="1"/>
  <c r="E16320" i="1"/>
  <c r="B16320" i="1"/>
  <c r="O16319" i="1"/>
  <c r="E16319" i="1"/>
  <c r="B16319" i="1"/>
  <c r="O16318" i="1"/>
  <c r="E16318" i="1"/>
  <c r="B16318" i="1"/>
  <c r="O16317" i="1"/>
  <c r="E16317" i="1"/>
  <c r="B16317" i="1"/>
  <c r="O16316" i="1"/>
  <c r="E16316" i="1"/>
  <c r="B16316" i="1"/>
  <c r="O16315" i="1"/>
  <c r="E16315" i="1"/>
  <c r="B16315" i="1"/>
  <c r="O16314" i="1"/>
  <c r="E16314" i="1"/>
  <c r="B16314" i="1"/>
  <c r="O16313" i="1"/>
  <c r="E16313" i="1"/>
  <c r="B16313" i="1"/>
  <c r="O16312" i="1"/>
  <c r="E16312" i="1"/>
  <c r="B16312" i="1"/>
  <c r="O16311" i="1"/>
  <c r="E16311" i="1"/>
  <c r="B16311" i="1"/>
  <c r="O16310" i="1"/>
  <c r="E16310" i="1"/>
  <c r="B16310" i="1"/>
  <c r="O16309" i="1"/>
  <c r="E16309" i="1"/>
  <c r="B16309" i="1"/>
  <c r="O16308" i="1"/>
  <c r="E16308" i="1"/>
  <c r="B16308" i="1"/>
  <c r="O16307" i="1"/>
  <c r="E16307" i="1"/>
  <c r="B16307" i="1"/>
  <c r="O16306" i="1"/>
  <c r="E16306" i="1"/>
  <c r="B16306" i="1"/>
  <c r="O16305" i="1"/>
  <c r="E16305" i="1"/>
  <c r="B16305" i="1"/>
  <c r="O16304" i="1"/>
  <c r="E16304" i="1"/>
  <c r="B16304" i="1"/>
  <c r="O16303" i="1"/>
  <c r="E16303" i="1"/>
  <c r="B16303" i="1"/>
  <c r="O16302" i="1"/>
  <c r="E16302" i="1"/>
  <c r="B16302" i="1"/>
  <c r="O16301" i="1"/>
  <c r="E16301" i="1"/>
  <c r="B16301" i="1"/>
  <c r="O16300" i="1"/>
  <c r="E16300" i="1"/>
  <c r="B16300" i="1"/>
  <c r="O16299" i="1"/>
  <c r="E16299" i="1"/>
  <c r="B16299" i="1"/>
  <c r="O16298" i="1"/>
  <c r="E16298" i="1"/>
  <c r="B16298" i="1"/>
  <c r="O16297" i="1"/>
  <c r="E16297" i="1"/>
  <c r="B16297" i="1"/>
  <c r="O16296" i="1"/>
  <c r="E16296" i="1"/>
  <c r="B16296" i="1"/>
  <c r="O16295" i="1"/>
  <c r="E16295" i="1"/>
  <c r="B16295" i="1"/>
  <c r="O16294" i="1"/>
  <c r="E16294" i="1"/>
  <c r="B16294" i="1"/>
  <c r="O16293" i="1"/>
  <c r="E16293" i="1"/>
  <c r="B16293" i="1"/>
  <c r="O16292" i="1"/>
  <c r="E16292" i="1"/>
  <c r="B16292" i="1"/>
  <c r="O16291" i="1"/>
  <c r="E16291" i="1"/>
  <c r="B16291" i="1"/>
  <c r="O16290" i="1"/>
  <c r="E16290" i="1"/>
  <c r="B16290" i="1"/>
  <c r="O16289" i="1"/>
  <c r="E16289" i="1"/>
  <c r="B16289" i="1"/>
  <c r="O16288" i="1"/>
  <c r="E16288" i="1"/>
  <c r="B16288" i="1"/>
  <c r="O16287" i="1"/>
  <c r="E16287" i="1"/>
  <c r="B16287" i="1"/>
  <c r="O16286" i="1"/>
  <c r="E16286" i="1"/>
  <c r="B16286" i="1"/>
  <c r="O16285" i="1"/>
  <c r="E16285" i="1"/>
  <c r="B16285" i="1"/>
  <c r="O16284" i="1"/>
  <c r="E16284" i="1"/>
  <c r="B16284" i="1"/>
  <c r="O16283" i="1"/>
  <c r="E16283" i="1"/>
  <c r="B16283" i="1"/>
  <c r="O16282" i="1"/>
  <c r="E16282" i="1"/>
  <c r="B16282" i="1"/>
  <c r="O16281" i="1"/>
  <c r="E16281" i="1"/>
  <c r="B16281" i="1"/>
  <c r="O16280" i="1"/>
  <c r="E16280" i="1"/>
  <c r="B16280" i="1"/>
  <c r="O16279" i="1"/>
  <c r="E16279" i="1"/>
  <c r="B16279" i="1"/>
  <c r="O16278" i="1"/>
  <c r="E16278" i="1"/>
  <c r="B16278" i="1"/>
  <c r="O16277" i="1"/>
  <c r="E16277" i="1"/>
  <c r="B16277" i="1"/>
  <c r="O16276" i="1"/>
  <c r="E16276" i="1"/>
  <c r="B16276" i="1"/>
  <c r="O16275" i="1"/>
  <c r="E16275" i="1"/>
  <c r="B16275" i="1"/>
  <c r="O16274" i="1"/>
  <c r="E16274" i="1"/>
  <c r="B16274" i="1"/>
  <c r="O16273" i="1"/>
  <c r="E16273" i="1"/>
  <c r="B16273" i="1"/>
  <c r="O16272" i="1"/>
  <c r="E16272" i="1"/>
  <c r="B16272" i="1"/>
  <c r="O16271" i="1"/>
  <c r="E16271" i="1"/>
  <c r="B16271" i="1"/>
  <c r="O16270" i="1"/>
  <c r="E16270" i="1"/>
  <c r="B16270" i="1"/>
  <c r="O16269" i="1"/>
  <c r="E16269" i="1"/>
  <c r="B16269" i="1"/>
  <c r="O16268" i="1"/>
  <c r="E16268" i="1"/>
  <c r="B16268" i="1"/>
  <c r="O16267" i="1"/>
  <c r="E16267" i="1"/>
  <c r="B16267" i="1"/>
  <c r="O16266" i="1"/>
  <c r="E16266" i="1"/>
  <c r="B16266" i="1"/>
  <c r="O16265" i="1"/>
  <c r="E16265" i="1"/>
  <c r="B16265" i="1"/>
  <c r="O16264" i="1"/>
  <c r="E16264" i="1"/>
  <c r="B16264" i="1"/>
  <c r="O16263" i="1"/>
  <c r="E16263" i="1"/>
  <c r="B16263" i="1"/>
  <c r="O16262" i="1"/>
  <c r="E16262" i="1"/>
  <c r="B16262" i="1"/>
  <c r="O16261" i="1"/>
  <c r="E16261" i="1"/>
  <c r="B16261" i="1"/>
  <c r="O16260" i="1"/>
  <c r="E16260" i="1"/>
  <c r="B16260" i="1"/>
  <c r="O16259" i="1"/>
  <c r="E16259" i="1"/>
  <c r="B16259" i="1"/>
  <c r="O16258" i="1"/>
  <c r="E16258" i="1"/>
  <c r="B16258" i="1"/>
  <c r="O16257" i="1"/>
  <c r="E16257" i="1"/>
  <c r="B16257" i="1"/>
  <c r="O16256" i="1"/>
  <c r="E16256" i="1"/>
  <c r="B16256" i="1"/>
  <c r="O16255" i="1"/>
  <c r="E16255" i="1"/>
  <c r="B16255" i="1"/>
  <c r="O16254" i="1"/>
  <c r="E16254" i="1"/>
  <c r="B16254" i="1"/>
  <c r="O16253" i="1"/>
  <c r="E16253" i="1"/>
  <c r="B16253" i="1"/>
  <c r="O16252" i="1"/>
  <c r="E16252" i="1"/>
  <c r="B16252" i="1"/>
  <c r="O16251" i="1"/>
  <c r="E16251" i="1"/>
  <c r="B16251" i="1"/>
  <c r="O16250" i="1"/>
  <c r="E16250" i="1"/>
  <c r="B16250" i="1"/>
  <c r="O16249" i="1"/>
  <c r="E16249" i="1"/>
  <c r="B16249" i="1"/>
  <c r="O16248" i="1"/>
  <c r="E16248" i="1"/>
  <c r="B16248" i="1"/>
  <c r="O16247" i="1"/>
  <c r="E16247" i="1"/>
  <c r="B16247" i="1"/>
  <c r="O16246" i="1"/>
  <c r="E16246" i="1"/>
  <c r="B16246" i="1"/>
  <c r="O16245" i="1"/>
  <c r="E16245" i="1"/>
  <c r="B16245" i="1"/>
  <c r="O16244" i="1"/>
  <c r="E16244" i="1"/>
  <c r="B16244" i="1"/>
  <c r="O16243" i="1"/>
  <c r="E16243" i="1"/>
  <c r="B16243" i="1"/>
  <c r="O16242" i="1"/>
  <c r="E16242" i="1"/>
  <c r="B16242" i="1"/>
  <c r="O16241" i="1"/>
  <c r="E16241" i="1"/>
  <c r="B16241" i="1"/>
  <c r="O16240" i="1"/>
  <c r="E16240" i="1"/>
  <c r="B16240" i="1"/>
  <c r="O16239" i="1"/>
  <c r="E16239" i="1"/>
  <c r="B16239" i="1"/>
  <c r="O16238" i="1"/>
  <c r="E16238" i="1"/>
  <c r="B16238" i="1"/>
  <c r="O16237" i="1"/>
  <c r="E16237" i="1"/>
  <c r="B16237" i="1"/>
  <c r="O16236" i="1"/>
  <c r="E16236" i="1"/>
  <c r="B16236" i="1"/>
  <c r="O16235" i="1"/>
  <c r="E16235" i="1"/>
  <c r="B16235" i="1"/>
  <c r="O16234" i="1"/>
  <c r="E16234" i="1"/>
  <c r="B16234" i="1"/>
  <c r="O16233" i="1"/>
  <c r="E16233" i="1"/>
  <c r="B16233" i="1"/>
  <c r="O16232" i="1"/>
  <c r="E16232" i="1"/>
  <c r="B16232" i="1"/>
  <c r="O16231" i="1"/>
  <c r="E16231" i="1"/>
  <c r="B16231" i="1"/>
  <c r="O16230" i="1"/>
  <c r="E16230" i="1"/>
  <c r="B16230" i="1"/>
  <c r="O16229" i="1"/>
  <c r="E16229" i="1"/>
  <c r="B16229" i="1"/>
  <c r="O16228" i="1"/>
  <c r="E16228" i="1"/>
  <c r="B16228" i="1"/>
  <c r="O16227" i="1"/>
  <c r="E16227" i="1"/>
  <c r="B16227" i="1"/>
  <c r="O16226" i="1"/>
  <c r="E16226" i="1"/>
  <c r="B16226" i="1"/>
  <c r="O16225" i="1"/>
  <c r="E16225" i="1"/>
  <c r="B16225" i="1"/>
  <c r="O16224" i="1"/>
  <c r="E16224" i="1"/>
  <c r="B16224" i="1"/>
  <c r="O16223" i="1"/>
  <c r="E16223" i="1"/>
  <c r="B16223" i="1"/>
  <c r="O16222" i="1"/>
  <c r="E16222" i="1"/>
  <c r="B16222" i="1"/>
  <c r="O16221" i="1"/>
  <c r="E16221" i="1"/>
  <c r="B16221" i="1"/>
  <c r="O16220" i="1"/>
  <c r="E16220" i="1"/>
  <c r="B16220" i="1"/>
  <c r="O16219" i="1"/>
  <c r="E16219" i="1"/>
  <c r="B16219" i="1"/>
  <c r="O16218" i="1"/>
  <c r="E16218" i="1"/>
  <c r="B16218" i="1"/>
  <c r="O16217" i="1"/>
  <c r="E16217" i="1"/>
  <c r="B16217" i="1"/>
  <c r="O16216" i="1"/>
  <c r="E16216" i="1"/>
  <c r="B16216" i="1"/>
  <c r="O16215" i="1"/>
  <c r="E16215" i="1"/>
  <c r="B16215" i="1"/>
  <c r="O16214" i="1"/>
  <c r="E16214" i="1"/>
  <c r="B16214" i="1"/>
  <c r="O16213" i="1"/>
  <c r="E16213" i="1"/>
  <c r="B16213" i="1"/>
  <c r="O16212" i="1"/>
  <c r="E16212" i="1"/>
  <c r="B16212" i="1"/>
  <c r="O16211" i="1"/>
  <c r="E16211" i="1"/>
  <c r="B16211" i="1"/>
  <c r="O16210" i="1"/>
  <c r="E16210" i="1"/>
  <c r="B16210" i="1"/>
  <c r="O16209" i="1"/>
  <c r="E16209" i="1"/>
  <c r="B16209" i="1"/>
  <c r="O16208" i="1"/>
  <c r="E16208" i="1"/>
  <c r="B16208" i="1"/>
  <c r="O16207" i="1"/>
  <c r="E16207" i="1"/>
  <c r="B16207" i="1"/>
  <c r="O16206" i="1"/>
  <c r="E16206" i="1"/>
  <c r="B16206" i="1"/>
  <c r="O16205" i="1"/>
  <c r="E16205" i="1"/>
  <c r="B16205" i="1"/>
  <c r="O16204" i="1"/>
  <c r="E16204" i="1"/>
  <c r="B16204" i="1"/>
  <c r="O16203" i="1"/>
  <c r="E16203" i="1"/>
  <c r="B16203" i="1"/>
  <c r="O16202" i="1"/>
  <c r="E16202" i="1"/>
  <c r="B16202" i="1"/>
  <c r="O16201" i="1"/>
  <c r="E16201" i="1"/>
  <c r="B16201" i="1"/>
  <c r="O16200" i="1"/>
  <c r="E16200" i="1"/>
  <c r="B16200" i="1"/>
  <c r="O16199" i="1"/>
  <c r="E16199" i="1"/>
  <c r="B16199" i="1"/>
  <c r="O16198" i="1"/>
  <c r="E16198" i="1"/>
  <c r="B16198" i="1"/>
  <c r="O16197" i="1"/>
  <c r="E16197" i="1"/>
  <c r="B16197" i="1"/>
  <c r="O16196" i="1"/>
  <c r="E16196" i="1"/>
  <c r="B16196" i="1"/>
  <c r="O16195" i="1"/>
  <c r="E16195" i="1"/>
  <c r="B16195" i="1"/>
  <c r="O16194" i="1"/>
  <c r="E16194" i="1"/>
  <c r="B16194" i="1"/>
  <c r="O16193" i="1"/>
  <c r="E16193" i="1"/>
  <c r="B16193" i="1"/>
  <c r="O16192" i="1"/>
  <c r="E16192" i="1"/>
  <c r="B16192" i="1"/>
  <c r="O16191" i="1"/>
  <c r="E16191" i="1"/>
  <c r="B16191" i="1"/>
  <c r="O16190" i="1"/>
  <c r="E16190" i="1"/>
  <c r="B16190" i="1"/>
  <c r="O16189" i="1"/>
  <c r="E16189" i="1"/>
  <c r="B16189" i="1"/>
  <c r="O16188" i="1"/>
  <c r="E16188" i="1"/>
  <c r="B16188" i="1"/>
  <c r="O16187" i="1"/>
  <c r="E16187" i="1"/>
  <c r="B16187" i="1"/>
  <c r="O16186" i="1"/>
  <c r="E16186" i="1"/>
  <c r="B16186" i="1"/>
  <c r="O16185" i="1"/>
  <c r="E16185" i="1"/>
  <c r="B16185" i="1"/>
  <c r="O16184" i="1"/>
  <c r="E16184" i="1"/>
  <c r="B16184" i="1"/>
  <c r="O16183" i="1"/>
  <c r="E16183" i="1"/>
  <c r="B16183" i="1"/>
  <c r="O16182" i="1"/>
  <c r="E16182" i="1"/>
  <c r="B16182" i="1"/>
  <c r="O16181" i="1"/>
  <c r="E16181" i="1"/>
  <c r="B16181" i="1"/>
  <c r="O16180" i="1"/>
  <c r="E16180" i="1"/>
  <c r="B16180" i="1"/>
  <c r="O16179" i="1"/>
  <c r="E16179" i="1"/>
  <c r="B16179" i="1"/>
  <c r="O16178" i="1"/>
  <c r="E16178" i="1"/>
  <c r="B16178" i="1"/>
  <c r="O16177" i="1"/>
  <c r="E16177" i="1"/>
  <c r="B16177" i="1"/>
  <c r="O16176" i="1"/>
  <c r="E16176" i="1"/>
  <c r="B16176" i="1"/>
  <c r="O16175" i="1"/>
  <c r="E16175" i="1"/>
  <c r="B16175" i="1"/>
  <c r="O16174" i="1"/>
  <c r="E16174" i="1"/>
  <c r="B16174" i="1"/>
  <c r="O16173" i="1"/>
  <c r="E16173" i="1"/>
  <c r="B16173" i="1"/>
  <c r="O16172" i="1"/>
  <c r="E16172" i="1"/>
  <c r="B16172" i="1"/>
  <c r="O16171" i="1"/>
  <c r="E16171" i="1"/>
  <c r="B16171" i="1"/>
  <c r="O16170" i="1"/>
  <c r="E16170" i="1"/>
  <c r="B16170" i="1"/>
  <c r="O16169" i="1"/>
  <c r="E16169" i="1"/>
  <c r="B16169" i="1"/>
  <c r="O16168" i="1"/>
  <c r="E16168" i="1"/>
  <c r="B16168" i="1"/>
  <c r="O16167" i="1"/>
  <c r="E16167" i="1"/>
  <c r="B16167" i="1"/>
  <c r="O16166" i="1"/>
  <c r="E16166" i="1"/>
  <c r="B16166" i="1"/>
  <c r="O16165" i="1"/>
  <c r="E16165" i="1"/>
  <c r="B16165" i="1"/>
  <c r="O16164" i="1"/>
  <c r="E16164" i="1"/>
  <c r="B16164" i="1"/>
  <c r="O16163" i="1"/>
  <c r="E16163" i="1"/>
  <c r="B16163" i="1"/>
  <c r="O16162" i="1"/>
  <c r="E16162" i="1"/>
  <c r="B16162" i="1"/>
  <c r="O16161" i="1"/>
  <c r="E16161" i="1"/>
  <c r="B16161" i="1"/>
  <c r="O16160" i="1"/>
  <c r="E16160" i="1"/>
  <c r="B16160" i="1"/>
  <c r="O16159" i="1"/>
  <c r="E16159" i="1"/>
  <c r="B16159" i="1"/>
  <c r="O16158" i="1"/>
  <c r="E16158" i="1"/>
  <c r="B16158" i="1"/>
  <c r="O16157" i="1"/>
  <c r="E16157" i="1"/>
  <c r="B16157" i="1"/>
  <c r="O16156" i="1"/>
  <c r="E16156" i="1"/>
  <c r="B16156" i="1"/>
  <c r="O16155" i="1"/>
  <c r="E16155" i="1"/>
  <c r="B16155" i="1"/>
  <c r="O16154" i="1"/>
  <c r="E16154" i="1"/>
  <c r="B16154" i="1"/>
  <c r="O16153" i="1"/>
  <c r="E16153" i="1"/>
  <c r="B16153" i="1"/>
  <c r="O16152" i="1"/>
  <c r="E16152" i="1"/>
  <c r="B16152" i="1"/>
  <c r="O16151" i="1"/>
  <c r="E16151" i="1"/>
  <c r="B16151" i="1"/>
  <c r="O16150" i="1"/>
  <c r="E16150" i="1"/>
  <c r="B16150" i="1"/>
  <c r="O16149" i="1"/>
  <c r="E16149" i="1"/>
  <c r="B16149" i="1"/>
  <c r="O16148" i="1"/>
  <c r="E16148" i="1"/>
  <c r="B16148" i="1"/>
  <c r="O16147" i="1"/>
  <c r="E16147" i="1"/>
  <c r="B16147" i="1"/>
  <c r="O16146" i="1"/>
  <c r="E16146" i="1"/>
  <c r="B16146" i="1"/>
  <c r="O16145" i="1"/>
  <c r="E16145" i="1"/>
  <c r="B16145" i="1"/>
  <c r="O16144" i="1"/>
  <c r="E16144" i="1"/>
  <c r="B16144" i="1"/>
  <c r="O16143" i="1"/>
  <c r="E16143" i="1"/>
  <c r="B16143" i="1"/>
  <c r="O16142" i="1"/>
  <c r="E16142" i="1"/>
  <c r="B16142" i="1"/>
  <c r="O16141" i="1"/>
  <c r="E16141" i="1"/>
  <c r="B16141" i="1"/>
  <c r="O16140" i="1"/>
  <c r="E16140" i="1"/>
  <c r="B16140" i="1"/>
  <c r="O16139" i="1"/>
  <c r="E16139" i="1"/>
  <c r="B16139" i="1"/>
  <c r="O16138" i="1"/>
  <c r="E16138" i="1"/>
  <c r="B16138" i="1"/>
  <c r="O16137" i="1"/>
  <c r="E16137" i="1"/>
  <c r="B16137" i="1"/>
  <c r="O16136" i="1"/>
  <c r="E16136" i="1"/>
  <c r="B16136" i="1"/>
  <c r="O16135" i="1"/>
  <c r="E16135" i="1"/>
  <c r="B16135" i="1"/>
  <c r="O16134" i="1"/>
  <c r="E16134" i="1"/>
  <c r="B16134" i="1"/>
  <c r="O16133" i="1"/>
  <c r="E16133" i="1"/>
  <c r="B16133" i="1"/>
  <c r="O16132" i="1"/>
  <c r="E16132" i="1"/>
  <c r="B16132" i="1"/>
  <c r="O16131" i="1"/>
  <c r="E16131" i="1"/>
  <c r="B16131" i="1"/>
  <c r="O16130" i="1"/>
  <c r="E16130" i="1"/>
  <c r="B16130" i="1"/>
  <c r="O16129" i="1"/>
  <c r="E16129" i="1"/>
  <c r="B16129" i="1"/>
  <c r="O16128" i="1"/>
  <c r="E16128" i="1"/>
  <c r="B16128" i="1"/>
  <c r="O16127" i="1"/>
  <c r="E16127" i="1"/>
  <c r="B16127" i="1"/>
  <c r="O16126" i="1"/>
  <c r="E16126" i="1"/>
  <c r="B16126" i="1"/>
  <c r="O16125" i="1"/>
  <c r="E16125" i="1"/>
  <c r="B16125" i="1"/>
  <c r="O16124" i="1"/>
  <c r="E16124" i="1"/>
  <c r="B16124" i="1"/>
  <c r="O16123" i="1"/>
  <c r="E16123" i="1"/>
  <c r="B16123" i="1"/>
  <c r="O16122" i="1"/>
  <c r="E16122" i="1"/>
  <c r="B16122" i="1"/>
  <c r="O16121" i="1"/>
  <c r="E16121" i="1"/>
  <c r="B16121" i="1"/>
  <c r="O16120" i="1"/>
  <c r="E16120" i="1"/>
  <c r="B16120" i="1"/>
  <c r="O16119" i="1"/>
  <c r="E16119" i="1"/>
  <c r="B16119" i="1"/>
  <c r="O16118" i="1"/>
  <c r="E16118" i="1"/>
  <c r="B16118" i="1"/>
  <c r="O16117" i="1"/>
  <c r="E16117" i="1"/>
  <c r="B16117" i="1"/>
  <c r="O16116" i="1"/>
  <c r="E16116" i="1"/>
  <c r="B16116" i="1"/>
  <c r="O16115" i="1"/>
  <c r="E16115" i="1"/>
  <c r="B16115" i="1"/>
  <c r="O16114" i="1"/>
  <c r="E16114" i="1"/>
  <c r="B16114" i="1"/>
  <c r="O16113" i="1"/>
  <c r="E16113" i="1"/>
  <c r="B16113" i="1"/>
  <c r="O16112" i="1"/>
  <c r="E16112" i="1"/>
  <c r="B16112" i="1"/>
  <c r="O16111" i="1"/>
  <c r="E16111" i="1"/>
  <c r="B16111" i="1"/>
  <c r="O16110" i="1"/>
  <c r="E16110" i="1"/>
  <c r="B16110" i="1"/>
  <c r="O16109" i="1"/>
  <c r="E16109" i="1"/>
  <c r="B16109" i="1"/>
  <c r="O16108" i="1"/>
  <c r="E16108" i="1"/>
  <c r="B16108" i="1"/>
  <c r="O16107" i="1"/>
  <c r="E16107" i="1"/>
  <c r="B16107" i="1"/>
  <c r="O16106" i="1"/>
  <c r="E16106" i="1"/>
  <c r="B16106" i="1"/>
  <c r="O16105" i="1"/>
  <c r="E16105" i="1"/>
  <c r="B16105" i="1"/>
  <c r="O16104" i="1"/>
  <c r="E16104" i="1"/>
  <c r="B16104" i="1"/>
  <c r="O16103" i="1"/>
  <c r="E16103" i="1"/>
  <c r="B16103" i="1"/>
  <c r="O16102" i="1"/>
  <c r="E16102" i="1"/>
  <c r="B16102" i="1"/>
  <c r="O16101" i="1"/>
  <c r="E16101" i="1"/>
  <c r="B16101" i="1"/>
  <c r="O16100" i="1"/>
  <c r="E16100" i="1"/>
  <c r="B16100" i="1"/>
  <c r="O16099" i="1"/>
  <c r="E16099" i="1"/>
  <c r="B16099" i="1"/>
  <c r="O16098" i="1"/>
  <c r="E16098" i="1"/>
  <c r="B16098" i="1"/>
  <c r="O16097" i="1"/>
  <c r="E16097" i="1"/>
  <c r="B16097" i="1"/>
  <c r="O16096" i="1"/>
  <c r="E16096" i="1"/>
  <c r="B16096" i="1"/>
  <c r="O16095" i="1"/>
  <c r="E16095" i="1"/>
  <c r="B16095" i="1"/>
  <c r="O16094" i="1"/>
  <c r="E16094" i="1"/>
  <c r="B16094" i="1"/>
  <c r="O16093" i="1"/>
  <c r="E16093" i="1"/>
  <c r="B16093" i="1"/>
  <c r="O16092" i="1"/>
  <c r="E16092" i="1"/>
  <c r="B16092" i="1"/>
  <c r="O16091" i="1"/>
  <c r="E16091" i="1"/>
  <c r="B16091" i="1"/>
  <c r="O16090" i="1"/>
  <c r="E16090" i="1"/>
  <c r="B16090" i="1"/>
  <c r="O16089" i="1"/>
  <c r="E16089" i="1"/>
  <c r="B16089" i="1"/>
  <c r="O16088" i="1"/>
  <c r="E16088" i="1"/>
  <c r="B16088" i="1"/>
  <c r="O16087" i="1"/>
  <c r="E16087" i="1"/>
  <c r="B16087" i="1"/>
  <c r="O16086" i="1"/>
  <c r="E16086" i="1"/>
  <c r="B16086" i="1"/>
  <c r="O16085" i="1"/>
  <c r="E16085" i="1"/>
  <c r="B16085" i="1"/>
  <c r="O16084" i="1"/>
  <c r="E16084" i="1"/>
  <c r="B16084" i="1"/>
  <c r="O16083" i="1"/>
  <c r="E16083" i="1"/>
  <c r="B16083" i="1"/>
  <c r="O16082" i="1"/>
  <c r="E16082" i="1"/>
  <c r="B16082" i="1"/>
  <c r="O16081" i="1"/>
  <c r="E16081" i="1"/>
  <c r="B16081" i="1"/>
  <c r="O16080" i="1"/>
  <c r="E16080" i="1"/>
  <c r="B16080" i="1"/>
  <c r="O16079" i="1"/>
  <c r="E16079" i="1"/>
  <c r="B16079" i="1"/>
  <c r="O16078" i="1"/>
  <c r="E16078" i="1"/>
  <c r="B16078" i="1"/>
  <c r="O16077" i="1"/>
  <c r="E16077" i="1"/>
  <c r="B16077" i="1"/>
  <c r="O16076" i="1"/>
  <c r="E16076" i="1"/>
  <c r="B16076" i="1"/>
  <c r="O16075" i="1"/>
  <c r="E16075" i="1"/>
  <c r="B16075" i="1"/>
  <c r="O16074" i="1"/>
  <c r="E16074" i="1"/>
  <c r="B16074" i="1"/>
  <c r="O16073" i="1"/>
  <c r="E16073" i="1"/>
  <c r="B16073" i="1"/>
  <c r="O16072" i="1"/>
  <c r="E16072" i="1"/>
  <c r="B16072" i="1"/>
  <c r="O16071" i="1"/>
  <c r="E16071" i="1"/>
  <c r="B16071" i="1"/>
  <c r="O16070" i="1"/>
  <c r="E16070" i="1"/>
  <c r="B16070" i="1"/>
  <c r="O16069" i="1"/>
  <c r="E16069" i="1"/>
  <c r="B16069" i="1"/>
  <c r="O16068" i="1"/>
  <c r="E16068" i="1"/>
  <c r="B16068" i="1"/>
  <c r="O16067" i="1"/>
  <c r="E16067" i="1"/>
  <c r="B16067" i="1"/>
  <c r="O16066" i="1"/>
  <c r="E16066" i="1"/>
  <c r="B16066" i="1"/>
  <c r="O16065" i="1"/>
  <c r="E16065" i="1"/>
  <c r="B16065" i="1"/>
  <c r="O16064" i="1"/>
  <c r="E16064" i="1"/>
  <c r="B16064" i="1"/>
  <c r="O16063" i="1"/>
  <c r="E16063" i="1"/>
  <c r="B16063" i="1"/>
  <c r="O16062" i="1"/>
  <c r="E16062" i="1"/>
  <c r="B16062" i="1"/>
  <c r="O16061" i="1"/>
  <c r="E16061" i="1"/>
  <c r="B16061" i="1"/>
  <c r="O16060" i="1"/>
  <c r="E16060" i="1"/>
  <c r="B16060" i="1"/>
  <c r="O16059" i="1"/>
  <c r="E16059" i="1"/>
  <c r="B16059" i="1"/>
  <c r="O16058" i="1"/>
  <c r="E16058" i="1"/>
  <c r="B16058" i="1"/>
  <c r="O16057" i="1"/>
  <c r="E16057" i="1"/>
  <c r="B16057" i="1"/>
  <c r="O16056" i="1"/>
  <c r="E16056" i="1"/>
  <c r="B16056" i="1"/>
  <c r="O16055" i="1"/>
  <c r="E16055" i="1"/>
  <c r="B16055" i="1"/>
  <c r="O16054" i="1"/>
  <c r="E16054" i="1"/>
  <c r="B16054" i="1"/>
  <c r="O16053" i="1"/>
  <c r="E16053" i="1"/>
  <c r="B16053" i="1"/>
  <c r="O16052" i="1"/>
  <c r="E16052" i="1"/>
  <c r="B16052" i="1"/>
  <c r="O16051" i="1"/>
  <c r="E16051" i="1"/>
  <c r="B16051" i="1"/>
  <c r="O16050" i="1"/>
  <c r="E16050" i="1"/>
  <c r="B16050" i="1"/>
  <c r="O16049" i="1"/>
  <c r="E16049" i="1"/>
  <c r="B16049" i="1"/>
  <c r="O16048" i="1"/>
  <c r="E16048" i="1"/>
  <c r="B16048" i="1"/>
  <c r="O16047" i="1"/>
  <c r="E16047" i="1"/>
  <c r="B16047" i="1"/>
  <c r="O16046" i="1"/>
  <c r="E16046" i="1"/>
  <c r="B16046" i="1"/>
  <c r="O16045" i="1"/>
  <c r="E16045" i="1"/>
  <c r="B16045" i="1"/>
  <c r="O16044" i="1"/>
  <c r="E16044" i="1"/>
  <c r="B16044" i="1"/>
  <c r="O16043" i="1"/>
  <c r="E16043" i="1"/>
  <c r="B16043" i="1"/>
  <c r="O16042" i="1"/>
  <c r="E16042" i="1"/>
  <c r="B16042" i="1"/>
  <c r="O16041" i="1"/>
  <c r="E16041" i="1"/>
  <c r="B16041" i="1"/>
  <c r="O16040" i="1"/>
  <c r="E16040" i="1"/>
  <c r="B16040" i="1"/>
  <c r="O16039" i="1"/>
  <c r="E16039" i="1"/>
  <c r="B16039" i="1"/>
  <c r="O16038" i="1"/>
  <c r="E16038" i="1"/>
  <c r="B16038" i="1"/>
  <c r="O16037" i="1"/>
  <c r="E16037" i="1"/>
  <c r="B16037" i="1"/>
  <c r="O16036" i="1"/>
  <c r="E16036" i="1"/>
  <c r="B16036" i="1"/>
  <c r="O16035" i="1"/>
  <c r="E16035" i="1"/>
  <c r="B16035" i="1"/>
  <c r="O16034" i="1"/>
  <c r="E16034" i="1"/>
  <c r="B16034" i="1"/>
  <c r="O16033" i="1"/>
  <c r="E16033" i="1"/>
  <c r="B16033" i="1"/>
  <c r="O16032" i="1"/>
  <c r="E16032" i="1"/>
  <c r="B16032" i="1"/>
  <c r="O16031" i="1"/>
  <c r="E16031" i="1"/>
  <c r="B16031" i="1"/>
  <c r="O16030" i="1"/>
  <c r="E16030" i="1"/>
  <c r="B16030" i="1"/>
  <c r="O16029" i="1"/>
  <c r="E16029" i="1"/>
  <c r="B16029" i="1"/>
  <c r="O16028" i="1"/>
  <c r="E16028" i="1"/>
  <c r="B16028" i="1"/>
  <c r="O16027" i="1"/>
  <c r="E16027" i="1"/>
  <c r="B16027" i="1"/>
  <c r="O16026" i="1"/>
  <c r="E16026" i="1"/>
  <c r="B16026" i="1"/>
  <c r="O16025" i="1"/>
  <c r="E16025" i="1"/>
  <c r="B16025" i="1"/>
  <c r="O16024" i="1"/>
  <c r="E16024" i="1"/>
  <c r="B16024" i="1"/>
  <c r="O16023" i="1"/>
  <c r="E16023" i="1"/>
  <c r="B16023" i="1"/>
  <c r="O16022" i="1"/>
  <c r="E16022" i="1"/>
  <c r="B16022" i="1"/>
  <c r="O16021" i="1"/>
  <c r="E16021" i="1"/>
  <c r="B16021" i="1"/>
  <c r="O16020" i="1"/>
  <c r="E16020" i="1"/>
  <c r="B16020" i="1"/>
  <c r="O16019" i="1"/>
  <c r="E16019" i="1"/>
  <c r="B16019" i="1"/>
  <c r="O16018" i="1"/>
  <c r="E16018" i="1"/>
  <c r="B16018" i="1"/>
  <c r="O16017" i="1"/>
  <c r="E16017" i="1"/>
  <c r="B16017" i="1"/>
  <c r="O16016" i="1"/>
  <c r="E16016" i="1"/>
  <c r="B16016" i="1"/>
  <c r="O16015" i="1"/>
  <c r="E16015" i="1"/>
  <c r="B16015" i="1"/>
  <c r="O16014" i="1"/>
  <c r="E16014" i="1"/>
  <c r="B16014" i="1"/>
  <c r="O16013" i="1"/>
  <c r="E16013" i="1"/>
  <c r="B16013" i="1"/>
  <c r="O16012" i="1"/>
  <c r="E16012" i="1"/>
  <c r="B16012" i="1"/>
  <c r="O16011" i="1"/>
  <c r="E16011" i="1"/>
  <c r="B16011" i="1"/>
  <c r="O16010" i="1"/>
  <c r="E16010" i="1"/>
  <c r="B16010" i="1"/>
  <c r="O16009" i="1"/>
  <c r="E16009" i="1"/>
  <c r="B16009" i="1"/>
  <c r="O16008" i="1"/>
  <c r="E16008" i="1"/>
  <c r="B16008" i="1"/>
  <c r="O16007" i="1"/>
  <c r="E16007" i="1"/>
  <c r="B16007" i="1"/>
  <c r="O16006" i="1"/>
  <c r="E16006" i="1"/>
  <c r="B16006" i="1"/>
  <c r="O16005" i="1"/>
  <c r="E16005" i="1"/>
  <c r="B16005" i="1"/>
  <c r="O16004" i="1"/>
  <c r="E16004" i="1"/>
  <c r="B16004" i="1"/>
  <c r="O16003" i="1"/>
  <c r="E16003" i="1"/>
  <c r="B16003" i="1"/>
  <c r="O16002" i="1"/>
  <c r="E16002" i="1"/>
  <c r="B16002" i="1"/>
  <c r="O16001" i="1"/>
  <c r="E16001" i="1"/>
  <c r="B16001" i="1"/>
  <c r="O16000" i="1"/>
  <c r="E16000" i="1"/>
  <c r="B16000" i="1"/>
  <c r="O15999" i="1"/>
  <c r="E15999" i="1"/>
  <c r="B15999" i="1"/>
  <c r="O15998" i="1"/>
  <c r="E15998" i="1"/>
  <c r="B15998" i="1"/>
  <c r="O15997" i="1"/>
  <c r="E15997" i="1"/>
  <c r="B15997" i="1"/>
  <c r="O15996" i="1"/>
  <c r="E15996" i="1"/>
  <c r="B15996" i="1"/>
  <c r="O15995" i="1"/>
  <c r="E15995" i="1"/>
  <c r="B15995" i="1"/>
  <c r="O15994" i="1"/>
  <c r="E15994" i="1"/>
  <c r="B15994" i="1"/>
  <c r="O15993" i="1"/>
  <c r="E15993" i="1"/>
  <c r="B15993" i="1"/>
  <c r="O15992" i="1"/>
  <c r="E15992" i="1"/>
  <c r="B15992" i="1"/>
  <c r="O15991" i="1"/>
  <c r="E15991" i="1"/>
  <c r="B15991" i="1"/>
  <c r="O15990" i="1"/>
  <c r="E15990" i="1"/>
  <c r="B15990" i="1"/>
  <c r="O15989" i="1"/>
  <c r="E15989" i="1"/>
  <c r="B15989" i="1"/>
  <c r="O15988" i="1"/>
  <c r="E15988" i="1"/>
  <c r="B15988" i="1"/>
  <c r="O15987" i="1"/>
  <c r="E15987" i="1"/>
  <c r="B15987" i="1"/>
  <c r="O15986" i="1"/>
  <c r="E15986" i="1"/>
  <c r="B15986" i="1"/>
  <c r="O15985" i="1"/>
  <c r="E15985" i="1"/>
  <c r="B15985" i="1"/>
  <c r="O15984" i="1"/>
  <c r="E15984" i="1"/>
  <c r="B15984" i="1"/>
  <c r="O15983" i="1"/>
  <c r="E15983" i="1"/>
  <c r="B15983" i="1"/>
  <c r="O15982" i="1"/>
  <c r="E15982" i="1"/>
  <c r="B15982" i="1"/>
  <c r="O15981" i="1"/>
  <c r="E15981" i="1"/>
  <c r="B15981" i="1"/>
  <c r="O15980" i="1"/>
  <c r="E15980" i="1"/>
  <c r="B15980" i="1"/>
  <c r="O15979" i="1"/>
  <c r="E15979" i="1"/>
  <c r="B15979" i="1"/>
  <c r="O15978" i="1"/>
  <c r="E15978" i="1"/>
  <c r="B15978" i="1"/>
  <c r="O15977" i="1"/>
  <c r="E15977" i="1"/>
  <c r="B15977" i="1"/>
  <c r="O15976" i="1"/>
  <c r="E15976" i="1"/>
  <c r="B15976" i="1"/>
  <c r="O15975" i="1"/>
  <c r="E15975" i="1"/>
  <c r="B15975" i="1"/>
  <c r="O15974" i="1"/>
  <c r="E15974" i="1"/>
  <c r="B15974" i="1"/>
  <c r="O15973" i="1"/>
  <c r="E15973" i="1"/>
  <c r="B15973" i="1"/>
  <c r="O15972" i="1"/>
  <c r="E15972" i="1"/>
  <c r="B15972" i="1"/>
  <c r="O15971" i="1"/>
  <c r="E15971" i="1"/>
  <c r="B15971" i="1"/>
  <c r="O15970" i="1"/>
  <c r="E15970" i="1"/>
  <c r="B15970" i="1"/>
  <c r="O15969" i="1"/>
  <c r="E15969" i="1"/>
  <c r="B15969" i="1"/>
  <c r="O15968" i="1"/>
  <c r="E15968" i="1"/>
  <c r="B15968" i="1"/>
  <c r="O15967" i="1"/>
  <c r="E15967" i="1"/>
  <c r="B15967" i="1"/>
  <c r="O15966" i="1"/>
  <c r="E15966" i="1"/>
  <c r="B15966" i="1"/>
  <c r="O15965" i="1"/>
  <c r="E15965" i="1"/>
  <c r="B15965" i="1"/>
  <c r="O15964" i="1"/>
  <c r="E15964" i="1"/>
  <c r="B15964" i="1"/>
  <c r="O15963" i="1"/>
  <c r="E15963" i="1"/>
  <c r="B15963" i="1"/>
  <c r="O15962" i="1"/>
  <c r="E15962" i="1"/>
  <c r="B15962" i="1"/>
  <c r="O15961" i="1"/>
  <c r="E15961" i="1"/>
  <c r="B15961" i="1"/>
  <c r="O15960" i="1"/>
  <c r="E15960" i="1"/>
  <c r="B15960" i="1"/>
  <c r="O15959" i="1"/>
  <c r="E15959" i="1"/>
  <c r="B15959" i="1"/>
  <c r="O15958" i="1"/>
  <c r="E15958" i="1"/>
  <c r="B15958" i="1"/>
  <c r="O15957" i="1"/>
  <c r="E15957" i="1"/>
  <c r="B15957" i="1"/>
  <c r="O15956" i="1"/>
  <c r="E15956" i="1"/>
  <c r="B15956" i="1"/>
  <c r="O15955" i="1"/>
  <c r="E15955" i="1"/>
  <c r="B15955" i="1"/>
  <c r="O15954" i="1"/>
  <c r="E15954" i="1"/>
  <c r="B15954" i="1"/>
  <c r="O15953" i="1"/>
  <c r="E15953" i="1"/>
  <c r="B15953" i="1"/>
  <c r="O15952" i="1"/>
  <c r="E15952" i="1"/>
  <c r="B15952" i="1"/>
  <c r="O15951" i="1"/>
  <c r="E15951" i="1"/>
  <c r="B15951" i="1"/>
  <c r="O15950" i="1"/>
  <c r="E15950" i="1"/>
  <c r="B15950" i="1"/>
  <c r="O15949" i="1"/>
  <c r="E15949" i="1"/>
  <c r="B15949" i="1"/>
  <c r="O15948" i="1"/>
  <c r="E15948" i="1"/>
  <c r="B15948" i="1"/>
  <c r="O15947" i="1"/>
  <c r="E15947" i="1"/>
  <c r="B15947" i="1"/>
  <c r="O15946" i="1"/>
  <c r="E15946" i="1"/>
  <c r="B15946" i="1"/>
  <c r="O15945" i="1"/>
  <c r="E15945" i="1"/>
  <c r="B15945" i="1"/>
  <c r="O15944" i="1"/>
  <c r="E15944" i="1"/>
  <c r="B15944" i="1"/>
  <c r="O15943" i="1"/>
  <c r="E15943" i="1"/>
  <c r="B15943" i="1"/>
  <c r="O15942" i="1"/>
  <c r="E15942" i="1"/>
  <c r="B15942" i="1"/>
  <c r="O15941" i="1"/>
  <c r="E15941" i="1"/>
  <c r="B15941" i="1"/>
  <c r="O15940" i="1"/>
  <c r="E15940" i="1"/>
  <c r="B15940" i="1"/>
  <c r="O15939" i="1"/>
  <c r="E15939" i="1"/>
  <c r="B15939" i="1"/>
  <c r="O15938" i="1"/>
  <c r="E15938" i="1"/>
  <c r="B15938" i="1"/>
  <c r="O15937" i="1"/>
  <c r="E15937" i="1"/>
  <c r="B15937" i="1"/>
  <c r="O15936" i="1"/>
  <c r="E15936" i="1"/>
  <c r="B15936" i="1"/>
  <c r="O15935" i="1"/>
  <c r="E15935" i="1"/>
  <c r="B15935" i="1"/>
  <c r="O15934" i="1"/>
  <c r="E15934" i="1"/>
  <c r="B15934" i="1"/>
  <c r="O15933" i="1"/>
  <c r="E15933" i="1"/>
  <c r="B15933" i="1"/>
  <c r="O15932" i="1"/>
  <c r="E15932" i="1"/>
  <c r="B15932" i="1"/>
  <c r="O15931" i="1"/>
  <c r="E15931" i="1"/>
  <c r="B15931" i="1"/>
  <c r="O15930" i="1"/>
  <c r="E15930" i="1"/>
  <c r="B15930" i="1"/>
  <c r="O15929" i="1"/>
  <c r="E15929" i="1"/>
  <c r="B15929" i="1"/>
  <c r="O15928" i="1"/>
  <c r="E15928" i="1"/>
  <c r="B15928" i="1"/>
  <c r="O15927" i="1"/>
  <c r="E15927" i="1"/>
  <c r="B15927" i="1"/>
  <c r="O15926" i="1"/>
  <c r="E15926" i="1"/>
  <c r="B15926" i="1"/>
  <c r="O15925" i="1"/>
  <c r="E15925" i="1"/>
  <c r="B15925" i="1"/>
  <c r="O15924" i="1"/>
  <c r="E15924" i="1"/>
  <c r="B15924" i="1"/>
  <c r="O15923" i="1"/>
  <c r="E15923" i="1"/>
  <c r="B15923" i="1"/>
  <c r="O15922" i="1"/>
  <c r="E15922" i="1"/>
  <c r="B15922" i="1"/>
  <c r="O15921" i="1"/>
  <c r="E15921" i="1"/>
  <c r="B15921" i="1"/>
  <c r="O15920" i="1"/>
  <c r="E15920" i="1"/>
  <c r="B15920" i="1"/>
  <c r="O15919" i="1"/>
  <c r="E15919" i="1"/>
  <c r="B15919" i="1"/>
  <c r="O15918" i="1"/>
  <c r="E15918" i="1"/>
  <c r="B15918" i="1"/>
  <c r="O15917" i="1"/>
  <c r="E15917" i="1"/>
  <c r="B15917" i="1"/>
  <c r="O15916" i="1"/>
  <c r="E15916" i="1"/>
  <c r="B15916" i="1"/>
  <c r="O15915" i="1"/>
  <c r="E15915" i="1"/>
  <c r="B15915" i="1"/>
  <c r="O15914" i="1"/>
  <c r="E15914" i="1"/>
  <c r="B15914" i="1"/>
  <c r="O15913" i="1"/>
  <c r="E15913" i="1"/>
  <c r="B15913" i="1"/>
  <c r="O15912" i="1"/>
  <c r="E15912" i="1"/>
  <c r="B15912" i="1"/>
  <c r="O15911" i="1"/>
  <c r="E15911" i="1"/>
  <c r="B15911" i="1"/>
  <c r="O15910" i="1"/>
  <c r="E15910" i="1"/>
  <c r="B15910" i="1"/>
  <c r="O15909" i="1"/>
  <c r="E15909" i="1"/>
  <c r="B15909" i="1"/>
  <c r="O15908" i="1"/>
  <c r="E15908" i="1"/>
  <c r="B15908" i="1"/>
  <c r="O15907" i="1"/>
  <c r="E15907" i="1"/>
  <c r="B15907" i="1"/>
  <c r="O15906" i="1"/>
  <c r="E15906" i="1"/>
  <c r="B15906" i="1"/>
  <c r="O15905" i="1"/>
  <c r="E15905" i="1"/>
  <c r="B15905" i="1"/>
  <c r="O15904" i="1"/>
  <c r="E15904" i="1"/>
  <c r="B15904" i="1"/>
  <c r="O15903" i="1"/>
  <c r="E15903" i="1"/>
  <c r="B15903" i="1"/>
  <c r="O15902" i="1"/>
  <c r="E15902" i="1"/>
  <c r="B15902" i="1"/>
  <c r="O15901" i="1"/>
  <c r="E15901" i="1"/>
  <c r="B15901" i="1"/>
  <c r="O15900" i="1"/>
  <c r="E15900" i="1"/>
  <c r="B15900" i="1"/>
  <c r="O15899" i="1"/>
  <c r="E15899" i="1"/>
  <c r="B15899" i="1"/>
  <c r="O15898" i="1"/>
  <c r="E15898" i="1"/>
  <c r="B15898" i="1"/>
  <c r="O15897" i="1"/>
  <c r="E15897" i="1"/>
  <c r="B15897" i="1"/>
  <c r="O15896" i="1"/>
  <c r="E15896" i="1"/>
  <c r="B15896" i="1"/>
  <c r="O15895" i="1"/>
  <c r="E15895" i="1"/>
  <c r="B15895" i="1"/>
  <c r="O15894" i="1"/>
  <c r="E15894" i="1"/>
  <c r="B15894" i="1"/>
  <c r="O15893" i="1"/>
  <c r="E15893" i="1"/>
  <c r="B15893" i="1"/>
  <c r="O15892" i="1"/>
  <c r="E15892" i="1"/>
  <c r="B15892" i="1"/>
  <c r="O15891" i="1"/>
  <c r="E15891" i="1"/>
  <c r="B15891" i="1"/>
  <c r="O15890" i="1"/>
  <c r="E15890" i="1"/>
  <c r="B15890" i="1"/>
  <c r="O15889" i="1"/>
  <c r="E15889" i="1"/>
  <c r="B15889" i="1"/>
  <c r="O15888" i="1"/>
  <c r="E15888" i="1"/>
  <c r="B15888" i="1"/>
  <c r="O15887" i="1"/>
  <c r="E15887" i="1"/>
  <c r="B15887" i="1"/>
  <c r="O15886" i="1"/>
  <c r="E15886" i="1"/>
  <c r="B15886" i="1"/>
  <c r="O15885" i="1"/>
  <c r="E15885" i="1"/>
  <c r="B15885" i="1"/>
  <c r="O15884" i="1"/>
  <c r="E15884" i="1"/>
  <c r="B15884" i="1"/>
  <c r="O15883" i="1"/>
  <c r="E15883" i="1"/>
  <c r="B15883" i="1"/>
  <c r="O15882" i="1"/>
  <c r="E15882" i="1"/>
  <c r="B15882" i="1"/>
  <c r="O15881" i="1"/>
  <c r="E15881" i="1"/>
  <c r="B15881" i="1"/>
  <c r="O15880" i="1"/>
  <c r="E15880" i="1"/>
  <c r="B15880" i="1"/>
  <c r="O15879" i="1"/>
  <c r="E15879" i="1"/>
  <c r="B15879" i="1"/>
  <c r="O15878" i="1"/>
  <c r="E15878" i="1"/>
  <c r="B15878" i="1"/>
  <c r="O15877" i="1"/>
  <c r="E15877" i="1"/>
  <c r="B15877" i="1"/>
  <c r="O15876" i="1"/>
  <c r="E15876" i="1"/>
  <c r="B15876" i="1"/>
  <c r="O15875" i="1"/>
  <c r="E15875" i="1"/>
  <c r="B15875" i="1"/>
  <c r="O15874" i="1"/>
  <c r="E15874" i="1"/>
  <c r="B15874" i="1"/>
  <c r="O15873" i="1"/>
  <c r="E15873" i="1"/>
  <c r="B15873" i="1"/>
  <c r="O15872" i="1"/>
  <c r="E15872" i="1"/>
  <c r="B15872" i="1"/>
  <c r="O15871" i="1"/>
  <c r="E15871" i="1"/>
  <c r="B15871" i="1"/>
  <c r="O15870" i="1"/>
  <c r="E15870" i="1"/>
  <c r="B15870" i="1"/>
  <c r="O15869" i="1"/>
  <c r="E15869" i="1"/>
  <c r="B15869" i="1"/>
  <c r="O15868" i="1"/>
  <c r="E15868" i="1"/>
  <c r="B15868" i="1"/>
  <c r="O15867" i="1"/>
  <c r="E15867" i="1"/>
  <c r="B15867" i="1"/>
  <c r="O15866" i="1"/>
  <c r="E15866" i="1"/>
  <c r="B15866" i="1"/>
  <c r="O15865" i="1"/>
  <c r="E15865" i="1"/>
  <c r="B15865" i="1"/>
  <c r="O15864" i="1"/>
  <c r="E15864" i="1"/>
  <c r="B15864" i="1"/>
  <c r="O15863" i="1"/>
  <c r="E15863" i="1"/>
  <c r="B15863" i="1"/>
  <c r="O15862" i="1"/>
  <c r="E15862" i="1"/>
  <c r="B15862" i="1"/>
  <c r="O15861" i="1"/>
  <c r="E15861" i="1"/>
  <c r="B15861" i="1"/>
  <c r="O15860" i="1"/>
  <c r="E15860" i="1"/>
  <c r="B15860" i="1"/>
  <c r="O15859" i="1"/>
  <c r="E15859" i="1"/>
  <c r="B15859" i="1"/>
  <c r="O15858" i="1"/>
  <c r="E15858" i="1"/>
  <c r="B15858" i="1"/>
  <c r="O15857" i="1"/>
  <c r="E15857" i="1"/>
  <c r="B15857" i="1"/>
  <c r="O15856" i="1"/>
  <c r="E15856" i="1"/>
  <c r="B15856" i="1"/>
  <c r="O15855" i="1"/>
  <c r="E15855" i="1"/>
  <c r="B15855" i="1"/>
  <c r="O15854" i="1"/>
  <c r="E15854" i="1"/>
  <c r="B15854" i="1"/>
  <c r="O15853" i="1"/>
  <c r="E15853" i="1"/>
  <c r="B15853" i="1"/>
  <c r="O15852" i="1"/>
  <c r="E15852" i="1"/>
  <c r="B15852" i="1"/>
  <c r="O15851" i="1"/>
  <c r="E15851" i="1"/>
  <c r="B15851" i="1"/>
  <c r="O15850" i="1"/>
  <c r="E15850" i="1"/>
  <c r="B15850" i="1"/>
  <c r="O15849" i="1"/>
  <c r="E15849" i="1"/>
  <c r="B15849" i="1"/>
  <c r="O15848" i="1"/>
  <c r="E15848" i="1"/>
  <c r="B15848" i="1"/>
  <c r="O15847" i="1"/>
  <c r="E15847" i="1"/>
  <c r="B15847" i="1"/>
  <c r="O15846" i="1"/>
  <c r="E15846" i="1"/>
  <c r="B15846" i="1"/>
  <c r="O15845" i="1"/>
  <c r="E15845" i="1"/>
  <c r="B15845" i="1"/>
  <c r="O15844" i="1"/>
  <c r="E15844" i="1"/>
  <c r="B15844" i="1"/>
  <c r="O15843" i="1"/>
  <c r="E15843" i="1"/>
  <c r="B15843" i="1"/>
  <c r="O15842" i="1"/>
  <c r="E15842" i="1"/>
  <c r="B15842" i="1"/>
  <c r="O15841" i="1"/>
  <c r="E15841" i="1"/>
  <c r="B15841" i="1"/>
  <c r="O15840" i="1"/>
  <c r="E15840" i="1"/>
  <c r="B15840" i="1"/>
  <c r="O15839" i="1"/>
  <c r="E15839" i="1"/>
  <c r="B15839" i="1"/>
  <c r="O15838" i="1"/>
  <c r="E15838" i="1"/>
  <c r="B15838" i="1"/>
  <c r="O15837" i="1"/>
  <c r="E15837" i="1"/>
  <c r="B15837" i="1"/>
  <c r="O15836" i="1"/>
  <c r="E15836" i="1"/>
  <c r="B15836" i="1"/>
  <c r="O15835" i="1"/>
  <c r="E15835" i="1"/>
  <c r="B15835" i="1"/>
  <c r="O15834" i="1"/>
  <c r="E15834" i="1"/>
  <c r="B15834" i="1"/>
  <c r="O15833" i="1"/>
  <c r="E15833" i="1"/>
  <c r="B15833" i="1"/>
  <c r="O15832" i="1"/>
  <c r="E15832" i="1"/>
  <c r="B15832" i="1"/>
  <c r="O15831" i="1"/>
  <c r="E15831" i="1"/>
  <c r="B15831" i="1"/>
  <c r="O15830" i="1"/>
  <c r="E15830" i="1"/>
  <c r="B15830" i="1"/>
  <c r="O15829" i="1"/>
  <c r="E15829" i="1"/>
  <c r="B15829" i="1"/>
  <c r="O15828" i="1"/>
  <c r="E15828" i="1"/>
  <c r="B15828" i="1"/>
  <c r="O15827" i="1"/>
  <c r="E15827" i="1"/>
  <c r="B15827" i="1"/>
  <c r="O15826" i="1"/>
  <c r="E15826" i="1"/>
  <c r="B15826" i="1"/>
  <c r="O15825" i="1"/>
  <c r="E15825" i="1"/>
  <c r="B15825" i="1"/>
  <c r="O15824" i="1"/>
  <c r="E15824" i="1"/>
  <c r="B15824" i="1"/>
  <c r="O15823" i="1"/>
  <c r="E15823" i="1"/>
  <c r="B15823" i="1"/>
  <c r="O15822" i="1"/>
  <c r="E15822" i="1"/>
  <c r="B15822" i="1"/>
  <c r="O15821" i="1"/>
  <c r="E15821" i="1"/>
  <c r="B15821" i="1"/>
  <c r="O15820" i="1"/>
  <c r="E15820" i="1"/>
  <c r="B15820" i="1"/>
  <c r="O15819" i="1"/>
  <c r="E15819" i="1"/>
  <c r="B15819" i="1"/>
  <c r="O15818" i="1"/>
  <c r="E15818" i="1"/>
  <c r="B15818" i="1"/>
  <c r="O15817" i="1"/>
  <c r="E15817" i="1"/>
  <c r="B15817" i="1"/>
  <c r="O15816" i="1"/>
  <c r="E15816" i="1"/>
  <c r="B15816" i="1"/>
  <c r="O15815" i="1"/>
  <c r="E15815" i="1"/>
  <c r="B15815" i="1"/>
  <c r="O15814" i="1"/>
  <c r="E15814" i="1"/>
  <c r="B15814" i="1"/>
  <c r="O15813" i="1"/>
  <c r="E15813" i="1"/>
  <c r="B15813" i="1"/>
  <c r="O15812" i="1"/>
  <c r="E15812" i="1"/>
  <c r="B15812" i="1"/>
  <c r="O15811" i="1"/>
  <c r="E15811" i="1"/>
  <c r="B15811" i="1"/>
  <c r="O15810" i="1"/>
  <c r="E15810" i="1"/>
  <c r="B15810" i="1"/>
  <c r="O15809" i="1"/>
  <c r="E15809" i="1"/>
  <c r="B15809" i="1"/>
  <c r="O15808" i="1"/>
  <c r="E15808" i="1"/>
  <c r="B15808" i="1"/>
  <c r="O15807" i="1"/>
  <c r="E15807" i="1"/>
  <c r="B15807" i="1"/>
  <c r="O15806" i="1"/>
  <c r="E15806" i="1"/>
  <c r="B15806" i="1"/>
  <c r="O15805" i="1"/>
  <c r="E15805" i="1"/>
  <c r="B15805" i="1"/>
  <c r="O15804" i="1"/>
  <c r="E15804" i="1"/>
  <c r="B15804" i="1"/>
  <c r="O15803" i="1"/>
  <c r="E15803" i="1"/>
  <c r="B15803" i="1"/>
  <c r="O15802" i="1"/>
  <c r="E15802" i="1"/>
  <c r="B15802" i="1"/>
  <c r="O15801" i="1"/>
  <c r="E15801" i="1"/>
  <c r="B15801" i="1"/>
  <c r="O15800" i="1"/>
  <c r="E15800" i="1"/>
  <c r="B15800" i="1"/>
  <c r="O15799" i="1"/>
  <c r="E15799" i="1"/>
  <c r="B15799" i="1"/>
  <c r="O15798" i="1"/>
  <c r="E15798" i="1"/>
  <c r="B15798" i="1"/>
  <c r="O15797" i="1"/>
  <c r="E15797" i="1"/>
  <c r="B15797" i="1"/>
  <c r="O15796" i="1"/>
  <c r="E15796" i="1"/>
  <c r="B15796" i="1"/>
  <c r="O15795" i="1"/>
  <c r="E15795" i="1"/>
  <c r="B15795" i="1"/>
  <c r="O15794" i="1"/>
  <c r="E15794" i="1"/>
  <c r="B15794" i="1"/>
  <c r="O15793" i="1"/>
  <c r="E15793" i="1"/>
  <c r="B15793" i="1"/>
  <c r="O15792" i="1"/>
  <c r="E15792" i="1"/>
  <c r="B15792" i="1"/>
  <c r="O15791" i="1"/>
  <c r="E15791" i="1"/>
  <c r="B15791" i="1"/>
  <c r="O15790" i="1"/>
  <c r="E15790" i="1"/>
  <c r="B15790" i="1"/>
  <c r="O15789" i="1"/>
  <c r="E15789" i="1"/>
  <c r="B15789" i="1"/>
  <c r="O15788" i="1"/>
  <c r="E15788" i="1"/>
  <c r="B15788" i="1"/>
  <c r="O15787" i="1"/>
  <c r="E15787" i="1"/>
  <c r="B15787" i="1"/>
  <c r="O15786" i="1"/>
  <c r="E15786" i="1"/>
  <c r="B15786" i="1"/>
  <c r="O15785" i="1"/>
  <c r="E15785" i="1"/>
  <c r="B15785" i="1"/>
  <c r="O15784" i="1"/>
  <c r="E15784" i="1"/>
  <c r="B15784" i="1"/>
  <c r="O15783" i="1"/>
  <c r="E15783" i="1"/>
  <c r="B15783" i="1"/>
  <c r="O15782" i="1"/>
  <c r="E15782" i="1"/>
  <c r="B15782" i="1"/>
  <c r="O15781" i="1"/>
  <c r="E15781" i="1"/>
  <c r="B15781" i="1"/>
  <c r="O15780" i="1"/>
  <c r="E15780" i="1"/>
  <c r="B15780" i="1"/>
  <c r="O15779" i="1"/>
  <c r="E15779" i="1"/>
  <c r="B15779" i="1"/>
  <c r="O15778" i="1"/>
  <c r="E15778" i="1"/>
  <c r="B15778" i="1"/>
  <c r="O15777" i="1"/>
  <c r="E15777" i="1"/>
  <c r="B15777" i="1"/>
  <c r="O15776" i="1"/>
  <c r="E15776" i="1"/>
  <c r="B15776" i="1"/>
  <c r="O15775" i="1"/>
  <c r="E15775" i="1"/>
  <c r="B15775" i="1"/>
  <c r="O15774" i="1"/>
  <c r="E15774" i="1"/>
  <c r="B15774" i="1"/>
  <c r="O15773" i="1"/>
  <c r="E15773" i="1"/>
  <c r="B15773" i="1"/>
  <c r="O15772" i="1"/>
  <c r="E15772" i="1"/>
  <c r="B15772" i="1"/>
  <c r="O15771" i="1"/>
  <c r="E15771" i="1"/>
  <c r="B15771" i="1"/>
  <c r="O15770" i="1"/>
  <c r="E15770" i="1"/>
  <c r="B15770" i="1"/>
  <c r="O15769" i="1"/>
  <c r="E15769" i="1"/>
  <c r="B15769" i="1"/>
  <c r="O15768" i="1"/>
  <c r="E15768" i="1"/>
  <c r="B15768" i="1"/>
  <c r="O15767" i="1"/>
  <c r="E15767" i="1"/>
  <c r="B15767" i="1"/>
  <c r="O15766" i="1"/>
  <c r="E15766" i="1"/>
  <c r="B15766" i="1"/>
  <c r="O15765" i="1"/>
  <c r="E15765" i="1"/>
  <c r="B15765" i="1"/>
  <c r="O15764" i="1"/>
  <c r="E15764" i="1"/>
  <c r="B15764" i="1"/>
  <c r="O15763" i="1"/>
  <c r="E15763" i="1"/>
  <c r="B15763" i="1"/>
  <c r="O15762" i="1"/>
  <c r="E15762" i="1"/>
  <c r="B15762" i="1"/>
  <c r="O15761" i="1"/>
  <c r="E15761" i="1"/>
  <c r="B15761" i="1"/>
  <c r="O15760" i="1"/>
  <c r="E15760" i="1"/>
  <c r="B15760" i="1"/>
  <c r="O15759" i="1"/>
  <c r="E15759" i="1"/>
  <c r="B15759" i="1"/>
  <c r="O15758" i="1"/>
  <c r="E15758" i="1"/>
  <c r="B15758" i="1"/>
  <c r="O15757" i="1"/>
  <c r="E15757" i="1"/>
  <c r="B15757" i="1"/>
  <c r="O15756" i="1"/>
  <c r="E15756" i="1"/>
  <c r="B15756" i="1"/>
  <c r="O15755" i="1"/>
  <c r="E15755" i="1"/>
  <c r="B15755" i="1"/>
  <c r="O15754" i="1"/>
  <c r="E15754" i="1"/>
  <c r="B15754" i="1"/>
  <c r="O15753" i="1"/>
  <c r="E15753" i="1"/>
  <c r="B15753" i="1"/>
  <c r="O15752" i="1"/>
  <c r="E15752" i="1"/>
  <c r="B15752" i="1"/>
  <c r="O15751" i="1"/>
  <c r="E15751" i="1"/>
  <c r="B15751" i="1"/>
  <c r="O15750" i="1"/>
  <c r="E15750" i="1"/>
  <c r="B15750" i="1"/>
  <c r="O15749" i="1"/>
  <c r="E15749" i="1"/>
  <c r="B15749" i="1"/>
  <c r="O15748" i="1"/>
  <c r="E15748" i="1"/>
  <c r="B15748" i="1"/>
  <c r="O15747" i="1"/>
  <c r="E15747" i="1"/>
  <c r="B15747" i="1"/>
  <c r="O15746" i="1"/>
  <c r="E15746" i="1"/>
  <c r="B15746" i="1"/>
  <c r="O15745" i="1"/>
  <c r="E15745" i="1"/>
  <c r="B15745" i="1"/>
  <c r="O15744" i="1"/>
  <c r="E15744" i="1"/>
  <c r="B15744" i="1"/>
  <c r="O15743" i="1"/>
  <c r="E15743" i="1"/>
  <c r="B15743" i="1"/>
  <c r="O15742" i="1"/>
  <c r="E15742" i="1"/>
  <c r="B15742" i="1"/>
  <c r="O15741" i="1"/>
  <c r="E15741" i="1"/>
  <c r="B15741" i="1"/>
  <c r="O15740" i="1"/>
  <c r="E15740" i="1"/>
  <c r="B15740" i="1"/>
  <c r="O15739" i="1"/>
  <c r="E15739" i="1"/>
  <c r="B15739" i="1"/>
  <c r="O15738" i="1"/>
  <c r="E15738" i="1"/>
  <c r="B15738" i="1"/>
  <c r="O15737" i="1"/>
  <c r="E15737" i="1"/>
  <c r="B15737" i="1"/>
  <c r="O15736" i="1"/>
  <c r="E15736" i="1"/>
  <c r="B15736" i="1"/>
  <c r="O15735" i="1"/>
  <c r="E15735" i="1"/>
  <c r="B15735" i="1"/>
  <c r="O15734" i="1"/>
  <c r="E15734" i="1"/>
  <c r="B15734" i="1"/>
  <c r="O15733" i="1"/>
  <c r="E15733" i="1"/>
  <c r="B15733" i="1"/>
  <c r="O15732" i="1"/>
  <c r="E15732" i="1"/>
  <c r="B15732" i="1"/>
  <c r="O15731" i="1"/>
  <c r="E15731" i="1"/>
  <c r="B15731" i="1"/>
  <c r="O15730" i="1"/>
  <c r="E15730" i="1"/>
  <c r="B15730" i="1"/>
  <c r="O15729" i="1"/>
  <c r="E15729" i="1"/>
  <c r="B15729" i="1"/>
  <c r="O15728" i="1"/>
  <c r="E15728" i="1"/>
  <c r="B15728" i="1"/>
  <c r="O15727" i="1"/>
  <c r="E15727" i="1"/>
  <c r="B15727" i="1"/>
  <c r="O15726" i="1"/>
  <c r="E15726" i="1"/>
  <c r="B15726" i="1"/>
  <c r="O15725" i="1"/>
  <c r="E15725" i="1"/>
  <c r="B15725" i="1"/>
  <c r="O15724" i="1"/>
  <c r="E15724" i="1"/>
  <c r="B15724" i="1"/>
  <c r="O15723" i="1"/>
  <c r="E15723" i="1"/>
  <c r="B15723" i="1"/>
  <c r="O15722" i="1"/>
  <c r="E15722" i="1"/>
  <c r="B15722" i="1"/>
  <c r="O15721" i="1"/>
  <c r="E15721" i="1"/>
  <c r="B15721" i="1"/>
  <c r="O15720" i="1"/>
  <c r="E15720" i="1"/>
  <c r="B15720" i="1"/>
  <c r="O15719" i="1"/>
  <c r="E15719" i="1"/>
  <c r="B15719" i="1"/>
  <c r="O15718" i="1"/>
  <c r="E15718" i="1"/>
  <c r="B15718" i="1"/>
  <c r="O15717" i="1"/>
  <c r="E15717" i="1"/>
  <c r="B15717" i="1"/>
  <c r="O15716" i="1"/>
  <c r="E15716" i="1"/>
  <c r="B15716" i="1"/>
  <c r="O15715" i="1"/>
  <c r="E15715" i="1"/>
  <c r="B15715" i="1"/>
  <c r="O15714" i="1"/>
  <c r="E15714" i="1"/>
  <c r="B15714" i="1"/>
  <c r="O15713" i="1"/>
  <c r="E15713" i="1"/>
  <c r="B15713" i="1"/>
  <c r="O15712" i="1"/>
  <c r="E15712" i="1"/>
  <c r="B15712" i="1"/>
  <c r="O15711" i="1"/>
  <c r="E15711" i="1"/>
  <c r="B15711" i="1"/>
  <c r="O15710" i="1"/>
  <c r="E15710" i="1"/>
  <c r="B15710" i="1"/>
  <c r="O15709" i="1"/>
  <c r="E15709" i="1"/>
  <c r="B15709" i="1"/>
  <c r="O15708" i="1"/>
  <c r="E15708" i="1"/>
  <c r="B15708" i="1"/>
  <c r="O15707" i="1"/>
  <c r="E15707" i="1"/>
  <c r="B15707" i="1"/>
  <c r="O15706" i="1"/>
  <c r="E15706" i="1"/>
  <c r="B15706" i="1"/>
  <c r="O15705" i="1"/>
  <c r="E15705" i="1"/>
  <c r="B15705" i="1"/>
  <c r="O15704" i="1"/>
  <c r="E15704" i="1"/>
  <c r="B15704" i="1"/>
  <c r="O15703" i="1"/>
  <c r="E15703" i="1"/>
  <c r="B15703" i="1"/>
  <c r="O15702" i="1"/>
  <c r="E15702" i="1"/>
  <c r="B15702" i="1"/>
  <c r="O15701" i="1"/>
  <c r="E15701" i="1"/>
  <c r="B15701" i="1"/>
  <c r="O15700" i="1"/>
  <c r="E15700" i="1"/>
  <c r="B15700" i="1"/>
  <c r="O15699" i="1"/>
  <c r="E15699" i="1"/>
  <c r="B15699" i="1"/>
  <c r="O15698" i="1"/>
  <c r="E15698" i="1"/>
  <c r="B15698" i="1"/>
  <c r="O15697" i="1"/>
  <c r="E15697" i="1"/>
  <c r="B15697" i="1"/>
  <c r="O15696" i="1"/>
  <c r="E15696" i="1"/>
  <c r="B15696" i="1"/>
  <c r="O15695" i="1"/>
  <c r="E15695" i="1"/>
  <c r="B15695" i="1"/>
  <c r="O15694" i="1"/>
  <c r="E15694" i="1"/>
  <c r="B15694" i="1"/>
  <c r="O15693" i="1"/>
  <c r="E15693" i="1"/>
  <c r="B15693" i="1"/>
  <c r="O15692" i="1"/>
  <c r="E15692" i="1"/>
  <c r="B15692" i="1"/>
  <c r="O15691" i="1"/>
  <c r="E15691" i="1"/>
  <c r="B15691" i="1"/>
  <c r="O15690" i="1"/>
  <c r="E15690" i="1"/>
  <c r="B15690" i="1"/>
  <c r="O15689" i="1"/>
  <c r="E15689" i="1"/>
  <c r="B15689" i="1"/>
  <c r="O15688" i="1"/>
  <c r="E15688" i="1"/>
  <c r="B15688" i="1"/>
  <c r="O15687" i="1"/>
  <c r="E15687" i="1"/>
  <c r="B15687" i="1"/>
  <c r="O15686" i="1"/>
  <c r="E15686" i="1"/>
  <c r="B15686" i="1"/>
  <c r="O15685" i="1"/>
  <c r="E15685" i="1"/>
  <c r="B15685" i="1"/>
  <c r="O15684" i="1"/>
  <c r="E15684" i="1"/>
  <c r="B15684" i="1"/>
  <c r="O15683" i="1"/>
  <c r="E15683" i="1"/>
  <c r="B15683" i="1"/>
  <c r="O15682" i="1"/>
  <c r="E15682" i="1"/>
  <c r="B15682" i="1"/>
  <c r="O15681" i="1"/>
  <c r="E15681" i="1"/>
  <c r="B15681" i="1"/>
  <c r="O15680" i="1"/>
  <c r="E15680" i="1"/>
  <c r="B15680" i="1"/>
  <c r="O15679" i="1"/>
  <c r="E15679" i="1"/>
  <c r="B15679" i="1"/>
  <c r="O15678" i="1"/>
  <c r="E15678" i="1"/>
  <c r="B15678" i="1"/>
  <c r="O15677" i="1"/>
  <c r="E15677" i="1"/>
  <c r="B15677" i="1"/>
  <c r="O15676" i="1"/>
  <c r="E15676" i="1"/>
  <c r="B15676" i="1"/>
  <c r="O15675" i="1"/>
  <c r="E15675" i="1"/>
  <c r="B15675" i="1"/>
  <c r="O15674" i="1"/>
  <c r="E15674" i="1"/>
  <c r="B15674" i="1"/>
  <c r="O15673" i="1"/>
  <c r="E15673" i="1"/>
  <c r="B15673" i="1"/>
  <c r="O15672" i="1"/>
  <c r="E15672" i="1"/>
  <c r="B15672" i="1"/>
  <c r="O15671" i="1"/>
  <c r="E15671" i="1"/>
  <c r="B15671" i="1"/>
  <c r="O15670" i="1"/>
  <c r="E15670" i="1"/>
  <c r="B15670" i="1"/>
  <c r="O15669" i="1"/>
  <c r="E15669" i="1"/>
  <c r="B15669" i="1"/>
  <c r="O15668" i="1"/>
  <c r="E15668" i="1"/>
  <c r="B15668" i="1"/>
  <c r="O15667" i="1"/>
  <c r="E15667" i="1"/>
  <c r="B15667" i="1"/>
  <c r="O15666" i="1"/>
  <c r="E15666" i="1"/>
  <c r="B15666" i="1"/>
  <c r="O15665" i="1"/>
  <c r="E15665" i="1"/>
  <c r="B15665" i="1"/>
  <c r="O15664" i="1"/>
  <c r="E15664" i="1"/>
  <c r="B15664" i="1"/>
  <c r="O15663" i="1"/>
  <c r="E15663" i="1"/>
  <c r="B15663" i="1"/>
  <c r="O15662" i="1"/>
  <c r="E15662" i="1"/>
  <c r="B15662" i="1"/>
  <c r="O15661" i="1"/>
  <c r="E15661" i="1"/>
  <c r="B15661" i="1"/>
  <c r="O15660" i="1"/>
  <c r="E15660" i="1"/>
  <c r="B15660" i="1"/>
  <c r="O15659" i="1"/>
  <c r="E15659" i="1"/>
  <c r="B15659" i="1"/>
  <c r="O15658" i="1"/>
  <c r="E15658" i="1"/>
  <c r="B15658" i="1"/>
  <c r="O15657" i="1"/>
  <c r="E15657" i="1"/>
  <c r="B15657" i="1"/>
  <c r="O15656" i="1"/>
  <c r="E15656" i="1"/>
  <c r="B15656" i="1"/>
  <c r="O15655" i="1"/>
  <c r="E15655" i="1"/>
  <c r="B15655" i="1"/>
  <c r="O15654" i="1"/>
  <c r="E15654" i="1"/>
  <c r="B15654" i="1"/>
  <c r="O15653" i="1"/>
  <c r="E15653" i="1"/>
  <c r="B15653" i="1"/>
  <c r="O15652" i="1"/>
  <c r="E15652" i="1"/>
  <c r="B15652" i="1"/>
  <c r="O15651" i="1"/>
  <c r="E15651" i="1"/>
  <c r="B15651" i="1"/>
  <c r="O15650" i="1"/>
  <c r="E15650" i="1"/>
  <c r="B15650" i="1"/>
  <c r="O15649" i="1"/>
  <c r="E15649" i="1"/>
  <c r="B15649" i="1"/>
  <c r="O15648" i="1"/>
  <c r="E15648" i="1"/>
  <c r="B15648" i="1"/>
  <c r="O15647" i="1"/>
  <c r="E15647" i="1"/>
  <c r="B15647" i="1"/>
  <c r="O15646" i="1"/>
  <c r="E15646" i="1"/>
  <c r="B15646" i="1"/>
  <c r="O15645" i="1"/>
  <c r="E15645" i="1"/>
  <c r="B15645" i="1"/>
  <c r="O15644" i="1"/>
  <c r="E15644" i="1"/>
  <c r="B15644" i="1"/>
  <c r="O15643" i="1"/>
  <c r="E15643" i="1"/>
  <c r="B15643" i="1"/>
  <c r="O15642" i="1"/>
  <c r="E15642" i="1"/>
  <c r="B15642" i="1"/>
  <c r="O15641" i="1"/>
  <c r="E15641" i="1"/>
  <c r="B15641" i="1"/>
  <c r="O15640" i="1"/>
  <c r="E15640" i="1"/>
  <c r="B15640" i="1"/>
  <c r="O15639" i="1"/>
  <c r="E15639" i="1"/>
  <c r="B15639" i="1"/>
  <c r="O15638" i="1"/>
  <c r="E15638" i="1"/>
  <c r="B15638" i="1"/>
  <c r="O15637" i="1"/>
  <c r="E15637" i="1"/>
  <c r="B15637" i="1"/>
  <c r="O15636" i="1"/>
  <c r="E15636" i="1"/>
  <c r="B15636" i="1"/>
  <c r="O15635" i="1"/>
  <c r="E15635" i="1"/>
  <c r="B15635" i="1"/>
  <c r="O15634" i="1"/>
  <c r="E15634" i="1"/>
  <c r="B15634" i="1"/>
  <c r="O15633" i="1"/>
  <c r="E15633" i="1"/>
  <c r="B15633" i="1"/>
  <c r="O15632" i="1"/>
  <c r="E15632" i="1"/>
  <c r="B15632" i="1"/>
  <c r="O15631" i="1"/>
  <c r="E15631" i="1"/>
  <c r="B15631" i="1"/>
  <c r="O15630" i="1"/>
  <c r="E15630" i="1"/>
  <c r="B15630" i="1"/>
  <c r="O15629" i="1"/>
  <c r="E15629" i="1"/>
  <c r="B15629" i="1"/>
  <c r="O15628" i="1"/>
  <c r="E15628" i="1"/>
  <c r="B15628" i="1"/>
  <c r="O15627" i="1"/>
  <c r="E15627" i="1"/>
  <c r="B15627" i="1"/>
  <c r="O15626" i="1"/>
  <c r="E15626" i="1"/>
  <c r="B15626" i="1"/>
  <c r="O15625" i="1"/>
  <c r="E15625" i="1"/>
  <c r="B15625" i="1"/>
  <c r="O15624" i="1"/>
  <c r="E15624" i="1"/>
  <c r="B15624" i="1"/>
  <c r="O15623" i="1"/>
  <c r="E15623" i="1"/>
  <c r="B15623" i="1"/>
  <c r="O15622" i="1"/>
  <c r="E15622" i="1"/>
  <c r="B15622" i="1"/>
  <c r="O15621" i="1"/>
  <c r="E15621" i="1"/>
  <c r="B15621" i="1"/>
  <c r="O15620" i="1"/>
  <c r="E15620" i="1"/>
  <c r="B15620" i="1"/>
  <c r="O15619" i="1"/>
  <c r="E15619" i="1"/>
  <c r="B15619" i="1"/>
  <c r="O15618" i="1"/>
  <c r="E15618" i="1"/>
  <c r="B15618" i="1"/>
  <c r="O15617" i="1"/>
  <c r="E15617" i="1"/>
  <c r="B15617" i="1"/>
  <c r="O15616" i="1"/>
  <c r="E15616" i="1"/>
  <c r="B15616" i="1"/>
  <c r="O15615" i="1"/>
  <c r="E15615" i="1"/>
  <c r="B15615" i="1"/>
  <c r="O15614" i="1"/>
  <c r="E15614" i="1"/>
  <c r="B15614" i="1"/>
  <c r="O15613" i="1"/>
  <c r="E15613" i="1"/>
  <c r="B15613" i="1"/>
  <c r="O15612" i="1"/>
  <c r="E15612" i="1"/>
  <c r="B15612" i="1"/>
  <c r="O15611" i="1"/>
  <c r="E15611" i="1"/>
  <c r="B15611" i="1"/>
  <c r="O15610" i="1"/>
  <c r="E15610" i="1"/>
  <c r="B15610" i="1"/>
  <c r="O15609" i="1"/>
  <c r="E15609" i="1"/>
  <c r="B15609" i="1"/>
  <c r="O15608" i="1"/>
  <c r="E15608" i="1"/>
  <c r="B15608" i="1"/>
  <c r="O15607" i="1"/>
  <c r="E15607" i="1"/>
  <c r="B15607" i="1"/>
  <c r="O15606" i="1"/>
  <c r="E15606" i="1"/>
  <c r="B15606" i="1"/>
  <c r="O15605" i="1"/>
  <c r="E15605" i="1"/>
  <c r="B15605" i="1"/>
  <c r="O15604" i="1"/>
  <c r="E15604" i="1"/>
  <c r="B15604" i="1"/>
  <c r="O15603" i="1"/>
  <c r="E15603" i="1"/>
  <c r="B15603" i="1"/>
  <c r="O15602" i="1"/>
  <c r="E15602" i="1"/>
  <c r="B15602" i="1"/>
  <c r="O15601" i="1"/>
  <c r="E15601" i="1"/>
  <c r="B15601" i="1"/>
  <c r="O15600" i="1"/>
  <c r="E15600" i="1"/>
  <c r="B15600" i="1"/>
  <c r="O15599" i="1"/>
  <c r="E15599" i="1"/>
  <c r="B15599" i="1"/>
  <c r="O15598" i="1"/>
  <c r="E15598" i="1"/>
  <c r="B15598" i="1"/>
  <c r="O15597" i="1"/>
  <c r="E15597" i="1"/>
  <c r="B15597" i="1"/>
  <c r="O15596" i="1"/>
  <c r="E15596" i="1"/>
  <c r="B15596" i="1"/>
  <c r="O15595" i="1"/>
  <c r="E15595" i="1"/>
  <c r="B15595" i="1"/>
  <c r="O15594" i="1"/>
  <c r="E15594" i="1"/>
  <c r="B15594" i="1"/>
  <c r="O15593" i="1"/>
  <c r="E15593" i="1"/>
  <c r="B15593" i="1"/>
  <c r="O15592" i="1"/>
  <c r="E15592" i="1"/>
  <c r="B15592" i="1"/>
  <c r="O15591" i="1"/>
  <c r="E15591" i="1"/>
  <c r="B15591" i="1"/>
  <c r="O15590" i="1"/>
  <c r="E15590" i="1"/>
  <c r="B15590" i="1"/>
  <c r="O15589" i="1"/>
  <c r="E15589" i="1"/>
  <c r="B15589" i="1"/>
  <c r="O15588" i="1"/>
  <c r="E15588" i="1"/>
  <c r="B15588" i="1"/>
  <c r="O15587" i="1"/>
  <c r="E15587" i="1"/>
  <c r="B15587" i="1"/>
  <c r="O15586" i="1"/>
  <c r="E15586" i="1"/>
  <c r="B15586" i="1"/>
  <c r="O15585" i="1"/>
  <c r="E15585" i="1"/>
  <c r="B15585" i="1"/>
  <c r="O15584" i="1"/>
  <c r="E15584" i="1"/>
  <c r="B15584" i="1"/>
  <c r="O15583" i="1"/>
  <c r="E15583" i="1"/>
  <c r="B15583" i="1"/>
  <c r="O15582" i="1"/>
  <c r="E15582" i="1"/>
  <c r="B15582" i="1"/>
  <c r="O15581" i="1"/>
  <c r="E15581" i="1"/>
  <c r="B15581" i="1"/>
  <c r="O15580" i="1"/>
  <c r="E15580" i="1"/>
  <c r="B15580" i="1"/>
  <c r="O15579" i="1"/>
  <c r="E15579" i="1"/>
  <c r="B15579" i="1"/>
  <c r="O15578" i="1"/>
  <c r="E15578" i="1"/>
  <c r="B15578" i="1"/>
  <c r="O15577" i="1"/>
  <c r="E15577" i="1"/>
  <c r="B15577" i="1"/>
  <c r="O15576" i="1"/>
  <c r="E15576" i="1"/>
  <c r="B15576" i="1"/>
  <c r="O15575" i="1"/>
  <c r="E15575" i="1"/>
  <c r="B15575" i="1"/>
  <c r="O15574" i="1"/>
  <c r="E15574" i="1"/>
  <c r="B15574" i="1"/>
  <c r="O15573" i="1"/>
  <c r="E15573" i="1"/>
  <c r="B15573" i="1"/>
  <c r="O15572" i="1"/>
  <c r="E15572" i="1"/>
  <c r="B15572" i="1"/>
  <c r="O15571" i="1"/>
  <c r="E15571" i="1"/>
  <c r="B15571" i="1"/>
  <c r="O15570" i="1"/>
  <c r="E15570" i="1"/>
  <c r="B15570" i="1"/>
  <c r="O15569" i="1"/>
  <c r="E15569" i="1"/>
  <c r="B15569" i="1"/>
  <c r="O15568" i="1"/>
  <c r="E15568" i="1"/>
  <c r="B15568" i="1"/>
  <c r="O15567" i="1"/>
  <c r="E15567" i="1"/>
  <c r="B15567" i="1"/>
  <c r="O15566" i="1"/>
  <c r="E15566" i="1"/>
  <c r="B15566" i="1"/>
  <c r="O15565" i="1"/>
  <c r="E15565" i="1"/>
  <c r="B15565" i="1"/>
  <c r="O15564" i="1"/>
  <c r="E15564" i="1"/>
  <c r="B15564" i="1"/>
  <c r="O15563" i="1"/>
  <c r="E15563" i="1"/>
  <c r="B15563" i="1"/>
  <c r="O15562" i="1"/>
  <c r="E15562" i="1"/>
  <c r="B15562" i="1"/>
  <c r="O15561" i="1"/>
  <c r="E15561" i="1"/>
  <c r="B15561" i="1"/>
  <c r="O15560" i="1"/>
  <c r="E15560" i="1"/>
  <c r="B15560" i="1"/>
  <c r="O15559" i="1"/>
  <c r="E15559" i="1"/>
  <c r="B15559" i="1"/>
  <c r="O15558" i="1"/>
  <c r="E15558" i="1"/>
  <c r="B15558" i="1"/>
  <c r="O15557" i="1"/>
  <c r="E15557" i="1"/>
  <c r="B15557" i="1"/>
  <c r="O15556" i="1"/>
  <c r="E15556" i="1"/>
  <c r="B15556" i="1"/>
  <c r="O15555" i="1"/>
  <c r="E15555" i="1"/>
  <c r="B15555" i="1"/>
  <c r="O15554" i="1"/>
  <c r="E15554" i="1"/>
  <c r="B15554" i="1"/>
  <c r="O15553" i="1"/>
  <c r="E15553" i="1"/>
  <c r="B15553" i="1"/>
  <c r="O15552" i="1"/>
  <c r="E15552" i="1"/>
  <c r="B15552" i="1"/>
  <c r="O15551" i="1"/>
  <c r="E15551" i="1"/>
  <c r="B15551" i="1"/>
  <c r="O15550" i="1"/>
  <c r="E15550" i="1"/>
  <c r="B15550" i="1"/>
  <c r="O15549" i="1"/>
  <c r="E15549" i="1"/>
  <c r="B15549" i="1"/>
  <c r="O15548" i="1"/>
  <c r="E15548" i="1"/>
  <c r="B15548" i="1"/>
  <c r="O15547" i="1"/>
  <c r="E15547" i="1"/>
  <c r="B15547" i="1"/>
  <c r="O15546" i="1"/>
  <c r="E15546" i="1"/>
  <c r="B15546" i="1"/>
  <c r="O15545" i="1"/>
  <c r="E15545" i="1"/>
  <c r="B15545" i="1"/>
  <c r="O15544" i="1"/>
  <c r="E15544" i="1"/>
  <c r="B15544" i="1"/>
  <c r="O15543" i="1"/>
  <c r="E15543" i="1"/>
  <c r="B15543" i="1"/>
  <c r="O15542" i="1"/>
  <c r="E15542" i="1"/>
  <c r="B15542" i="1"/>
  <c r="O15541" i="1"/>
  <c r="E15541" i="1"/>
  <c r="B15541" i="1"/>
  <c r="O15540" i="1"/>
  <c r="E15540" i="1"/>
  <c r="B15540" i="1"/>
  <c r="O15539" i="1"/>
  <c r="E15539" i="1"/>
  <c r="B15539" i="1"/>
  <c r="O15538" i="1"/>
  <c r="E15538" i="1"/>
  <c r="B15538" i="1"/>
  <c r="O15537" i="1"/>
  <c r="E15537" i="1"/>
  <c r="B15537" i="1"/>
  <c r="O15536" i="1"/>
  <c r="E15536" i="1"/>
  <c r="B15536" i="1"/>
  <c r="O15535" i="1"/>
  <c r="E15535" i="1"/>
  <c r="B15535" i="1"/>
  <c r="O15534" i="1"/>
  <c r="E15534" i="1"/>
  <c r="B15534" i="1"/>
  <c r="O15533" i="1"/>
  <c r="E15533" i="1"/>
  <c r="B15533" i="1"/>
  <c r="O15532" i="1"/>
  <c r="E15532" i="1"/>
  <c r="B15532" i="1"/>
  <c r="O15531" i="1"/>
  <c r="E15531" i="1"/>
  <c r="B15531" i="1"/>
  <c r="O15530" i="1"/>
  <c r="E15530" i="1"/>
  <c r="B15530" i="1"/>
  <c r="O15529" i="1"/>
  <c r="E15529" i="1"/>
  <c r="B15529" i="1"/>
  <c r="O15528" i="1"/>
  <c r="E15528" i="1"/>
  <c r="B15528" i="1"/>
  <c r="O15527" i="1"/>
  <c r="E15527" i="1"/>
  <c r="B15527" i="1"/>
  <c r="O15526" i="1"/>
  <c r="E15526" i="1"/>
  <c r="B15526" i="1"/>
  <c r="O15525" i="1"/>
  <c r="E15525" i="1"/>
  <c r="B15525" i="1"/>
  <c r="O15524" i="1"/>
  <c r="E15524" i="1"/>
  <c r="B15524" i="1"/>
  <c r="O15523" i="1"/>
  <c r="E15523" i="1"/>
  <c r="B15523" i="1"/>
  <c r="O15522" i="1"/>
  <c r="E15522" i="1"/>
  <c r="B15522" i="1"/>
  <c r="O15521" i="1"/>
  <c r="E15521" i="1"/>
  <c r="B15521" i="1"/>
  <c r="O15520" i="1"/>
  <c r="E15520" i="1"/>
  <c r="B15520" i="1"/>
  <c r="O15519" i="1"/>
  <c r="E15519" i="1"/>
  <c r="B15519" i="1"/>
  <c r="O15518" i="1"/>
  <c r="E15518" i="1"/>
  <c r="B15518" i="1"/>
  <c r="O15517" i="1"/>
  <c r="E15517" i="1"/>
  <c r="B15517" i="1"/>
  <c r="O15516" i="1"/>
  <c r="E15516" i="1"/>
  <c r="B15516" i="1"/>
  <c r="O15515" i="1"/>
  <c r="E15515" i="1"/>
  <c r="B15515" i="1"/>
  <c r="O15514" i="1"/>
  <c r="E15514" i="1"/>
  <c r="B15514" i="1"/>
  <c r="O15513" i="1"/>
  <c r="E15513" i="1"/>
  <c r="B15513" i="1"/>
  <c r="O15512" i="1"/>
  <c r="E15512" i="1"/>
  <c r="B15512" i="1"/>
  <c r="O15511" i="1"/>
  <c r="E15511" i="1"/>
  <c r="B15511" i="1"/>
  <c r="O15510" i="1"/>
  <c r="E15510" i="1"/>
  <c r="B15510" i="1"/>
  <c r="O15509" i="1"/>
  <c r="E15509" i="1"/>
  <c r="B15509" i="1"/>
  <c r="O15508" i="1"/>
  <c r="E15508" i="1"/>
  <c r="B15508" i="1"/>
  <c r="O15507" i="1"/>
  <c r="E15507" i="1"/>
  <c r="B15507" i="1"/>
  <c r="O15506" i="1"/>
  <c r="E15506" i="1"/>
  <c r="B15506" i="1"/>
  <c r="O15505" i="1"/>
  <c r="E15505" i="1"/>
  <c r="B15505" i="1"/>
  <c r="O15504" i="1"/>
  <c r="E15504" i="1"/>
  <c r="B15504" i="1"/>
  <c r="O15503" i="1"/>
  <c r="E15503" i="1"/>
  <c r="B15503" i="1"/>
  <c r="O15502" i="1"/>
  <c r="E15502" i="1"/>
  <c r="B15502" i="1"/>
  <c r="O15501" i="1"/>
  <c r="E15501" i="1"/>
  <c r="B15501" i="1"/>
  <c r="O15500" i="1"/>
  <c r="E15500" i="1"/>
  <c r="B15500" i="1"/>
  <c r="O15499" i="1"/>
  <c r="E15499" i="1"/>
  <c r="B15499" i="1"/>
  <c r="O15498" i="1"/>
  <c r="E15498" i="1"/>
  <c r="B15498" i="1"/>
  <c r="O15497" i="1"/>
  <c r="E15497" i="1"/>
  <c r="B15497" i="1"/>
  <c r="O15496" i="1"/>
  <c r="E15496" i="1"/>
  <c r="B15496" i="1"/>
  <c r="O15495" i="1"/>
  <c r="E15495" i="1"/>
  <c r="B15495" i="1"/>
  <c r="O15494" i="1"/>
  <c r="E15494" i="1"/>
  <c r="B15494" i="1"/>
  <c r="O15493" i="1"/>
  <c r="E15493" i="1"/>
  <c r="B15493" i="1"/>
  <c r="O15492" i="1"/>
  <c r="E15492" i="1"/>
  <c r="B15492" i="1"/>
  <c r="O15491" i="1"/>
  <c r="E15491" i="1"/>
  <c r="B15491" i="1"/>
  <c r="O15490" i="1"/>
  <c r="E15490" i="1"/>
  <c r="B15490" i="1"/>
  <c r="O15489" i="1"/>
  <c r="E15489" i="1"/>
  <c r="B15489" i="1"/>
  <c r="O15488" i="1"/>
  <c r="E15488" i="1"/>
  <c r="B15488" i="1"/>
  <c r="O15487" i="1"/>
  <c r="E15487" i="1"/>
  <c r="B15487" i="1"/>
  <c r="O15486" i="1"/>
  <c r="E15486" i="1"/>
  <c r="B15486" i="1"/>
  <c r="O15485" i="1"/>
  <c r="E15485" i="1"/>
  <c r="B15485" i="1"/>
  <c r="O15484" i="1"/>
  <c r="E15484" i="1"/>
  <c r="B15484" i="1"/>
  <c r="O15483" i="1"/>
  <c r="E15483" i="1"/>
  <c r="B15483" i="1"/>
  <c r="O15482" i="1"/>
  <c r="E15482" i="1"/>
  <c r="B15482" i="1"/>
  <c r="O15481" i="1"/>
  <c r="E15481" i="1"/>
  <c r="B15481" i="1"/>
  <c r="O15480" i="1"/>
  <c r="E15480" i="1"/>
  <c r="B15480" i="1"/>
  <c r="O15479" i="1"/>
  <c r="E15479" i="1"/>
  <c r="B15479" i="1"/>
  <c r="O15478" i="1"/>
  <c r="E15478" i="1"/>
  <c r="B15478" i="1"/>
  <c r="O15477" i="1"/>
  <c r="E15477" i="1"/>
  <c r="B15477" i="1"/>
  <c r="O15476" i="1"/>
  <c r="E15476" i="1"/>
  <c r="B15476" i="1"/>
  <c r="O15475" i="1"/>
  <c r="E15475" i="1"/>
  <c r="B15475" i="1"/>
  <c r="O15474" i="1"/>
  <c r="E15474" i="1"/>
  <c r="B15474" i="1"/>
  <c r="O15473" i="1"/>
  <c r="E15473" i="1"/>
  <c r="B15473" i="1"/>
  <c r="O15472" i="1"/>
  <c r="E15472" i="1"/>
  <c r="B15472" i="1"/>
  <c r="O15471" i="1"/>
  <c r="E15471" i="1"/>
  <c r="B15471" i="1"/>
  <c r="O15470" i="1"/>
  <c r="E15470" i="1"/>
  <c r="B15470" i="1"/>
  <c r="O15469" i="1"/>
  <c r="E15469" i="1"/>
  <c r="B15469" i="1"/>
  <c r="O15468" i="1"/>
  <c r="E15468" i="1"/>
  <c r="B15468" i="1"/>
  <c r="O15467" i="1"/>
  <c r="E15467" i="1"/>
  <c r="B15467" i="1"/>
  <c r="O15466" i="1"/>
  <c r="E15466" i="1"/>
  <c r="B15466" i="1"/>
  <c r="O15465" i="1"/>
  <c r="E15465" i="1"/>
  <c r="B15465" i="1"/>
  <c r="O15464" i="1"/>
  <c r="E15464" i="1"/>
  <c r="B15464" i="1"/>
  <c r="O15463" i="1"/>
  <c r="E15463" i="1"/>
  <c r="B15463" i="1"/>
  <c r="O15462" i="1"/>
  <c r="E15462" i="1"/>
  <c r="B15462" i="1"/>
  <c r="O15461" i="1"/>
  <c r="E15461" i="1"/>
  <c r="B15461" i="1"/>
  <c r="O15460" i="1"/>
  <c r="E15460" i="1"/>
  <c r="B15460" i="1"/>
  <c r="O15459" i="1"/>
  <c r="E15459" i="1"/>
  <c r="B15459" i="1"/>
  <c r="O15458" i="1"/>
  <c r="E15458" i="1"/>
  <c r="B15458" i="1"/>
  <c r="O15457" i="1"/>
  <c r="E15457" i="1"/>
  <c r="B15457" i="1"/>
  <c r="O15456" i="1"/>
  <c r="E15456" i="1"/>
  <c r="B15456" i="1"/>
  <c r="O15455" i="1"/>
  <c r="E15455" i="1"/>
  <c r="B15455" i="1"/>
  <c r="O15454" i="1"/>
  <c r="E15454" i="1"/>
  <c r="B15454" i="1"/>
  <c r="O15453" i="1"/>
  <c r="E15453" i="1"/>
  <c r="B15453" i="1"/>
  <c r="O15452" i="1"/>
  <c r="E15452" i="1"/>
  <c r="B15452" i="1"/>
  <c r="O15451" i="1"/>
  <c r="E15451" i="1"/>
  <c r="B15451" i="1"/>
  <c r="O15450" i="1"/>
  <c r="E15450" i="1"/>
  <c r="B15450" i="1"/>
  <c r="O15449" i="1"/>
  <c r="E15449" i="1"/>
  <c r="B15449" i="1"/>
  <c r="O15448" i="1"/>
  <c r="E15448" i="1"/>
  <c r="B15448" i="1"/>
  <c r="O15447" i="1"/>
  <c r="E15447" i="1"/>
  <c r="B15447" i="1"/>
  <c r="O15446" i="1"/>
  <c r="E15446" i="1"/>
  <c r="B15446" i="1"/>
  <c r="O15445" i="1"/>
  <c r="E15445" i="1"/>
  <c r="B15445" i="1"/>
  <c r="O15444" i="1"/>
  <c r="E15444" i="1"/>
  <c r="B15444" i="1"/>
  <c r="O15443" i="1"/>
  <c r="E15443" i="1"/>
  <c r="B15443" i="1"/>
  <c r="O15442" i="1"/>
  <c r="E15442" i="1"/>
  <c r="B15442" i="1"/>
  <c r="O15441" i="1"/>
  <c r="E15441" i="1"/>
  <c r="B15441" i="1"/>
  <c r="O15440" i="1"/>
  <c r="E15440" i="1"/>
  <c r="B15440" i="1"/>
  <c r="O15439" i="1"/>
  <c r="E15439" i="1"/>
  <c r="B15439" i="1"/>
  <c r="O15438" i="1"/>
  <c r="E15438" i="1"/>
  <c r="B15438" i="1"/>
  <c r="O15437" i="1"/>
  <c r="E15437" i="1"/>
  <c r="B15437" i="1"/>
  <c r="O15436" i="1"/>
  <c r="E15436" i="1"/>
  <c r="B15436" i="1"/>
  <c r="O15435" i="1"/>
  <c r="E15435" i="1"/>
  <c r="B15435" i="1"/>
  <c r="O15434" i="1"/>
  <c r="E15434" i="1"/>
  <c r="B15434" i="1"/>
  <c r="O15433" i="1"/>
  <c r="E15433" i="1"/>
  <c r="B15433" i="1"/>
  <c r="O15432" i="1"/>
  <c r="E15432" i="1"/>
  <c r="B15432" i="1"/>
  <c r="O15431" i="1"/>
  <c r="E15431" i="1"/>
  <c r="B15431" i="1"/>
  <c r="O15430" i="1"/>
  <c r="E15430" i="1"/>
  <c r="B15430" i="1"/>
  <c r="O15429" i="1"/>
  <c r="E15429" i="1"/>
  <c r="B15429" i="1"/>
  <c r="O15428" i="1"/>
  <c r="E15428" i="1"/>
  <c r="B15428" i="1"/>
  <c r="O15427" i="1"/>
  <c r="E15427" i="1"/>
  <c r="B15427" i="1"/>
  <c r="O15426" i="1"/>
  <c r="E15426" i="1"/>
  <c r="B15426" i="1"/>
  <c r="O15425" i="1"/>
  <c r="E15425" i="1"/>
  <c r="B15425" i="1"/>
  <c r="O15424" i="1"/>
  <c r="E15424" i="1"/>
  <c r="B15424" i="1"/>
  <c r="O15423" i="1"/>
  <c r="E15423" i="1"/>
  <c r="B15423" i="1"/>
  <c r="O15422" i="1"/>
  <c r="E15422" i="1"/>
  <c r="B15422" i="1"/>
  <c r="O15421" i="1"/>
  <c r="E15421" i="1"/>
  <c r="B15421" i="1"/>
  <c r="O15420" i="1"/>
  <c r="E15420" i="1"/>
  <c r="B15420" i="1"/>
  <c r="O15419" i="1"/>
  <c r="E15419" i="1"/>
  <c r="B15419" i="1"/>
  <c r="O15418" i="1"/>
  <c r="E15418" i="1"/>
  <c r="B15418" i="1"/>
  <c r="O15417" i="1"/>
  <c r="E15417" i="1"/>
  <c r="B15417" i="1"/>
  <c r="O15416" i="1"/>
  <c r="E15416" i="1"/>
  <c r="B15416" i="1"/>
  <c r="O15415" i="1"/>
  <c r="E15415" i="1"/>
  <c r="B15415" i="1"/>
  <c r="O15414" i="1"/>
  <c r="E15414" i="1"/>
  <c r="B15414" i="1"/>
  <c r="O15413" i="1"/>
  <c r="E15413" i="1"/>
  <c r="B15413" i="1"/>
  <c r="O15412" i="1"/>
  <c r="E15412" i="1"/>
  <c r="B15412" i="1"/>
  <c r="O15411" i="1"/>
  <c r="E15411" i="1"/>
  <c r="B15411" i="1"/>
  <c r="O15410" i="1"/>
  <c r="E15410" i="1"/>
  <c r="B15410" i="1"/>
  <c r="O15409" i="1"/>
  <c r="E15409" i="1"/>
  <c r="B15409" i="1"/>
  <c r="O15408" i="1"/>
  <c r="E15408" i="1"/>
  <c r="B15408" i="1"/>
  <c r="O15407" i="1"/>
  <c r="E15407" i="1"/>
  <c r="B15407" i="1"/>
  <c r="O15406" i="1"/>
  <c r="E15406" i="1"/>
  <c r="B15406" i="1"/>
  <c r="O15405" i="1"/>
  <c r="E15405" i="1"/>
  <c r="B15405" i="1"/>
  <c r="O15404" i="1"/>
  <c r="E15404" i="1"/>
  <c r="B15404" i="1"/>
  <c r="O15403" i="1"/>
  <c r="E15403" i="1"/>
  <c r="B15403" i="1"/>
  <c r="O15402" i="1"/>
  <c r="E15402" i="1"/>
  <c r="B15402" i="1"/>
  <c r="O15401" i="1"/>
  <c r="E15401" i="1"/>
  <c r="B15401" i="1"/>
  <c r="O15400" i="1"/>
  <c r="E15400" i="1"/>
  <c r="B15400" i="1"/>
  <c r="O15399" i="1"/>
  <c r="E15399" i="1"/>
  <c r="B15399" i="1"/>
  <c r="O15398" i="1"/>
  <c r="E15398" i="1"/>
  <c r="B15398" i="1"/>
  <c r="O15397" i="1"/>
  <c r="E15397" i="1"/>
  <c r="B15397" i="1"/>
  <c r="O15396" i="1"/>
  <c r="E15396" i="1"/>
  <c r="B15396" i="1"/>
  <c r="O15395" i="1"/>
  <c r="E15395" i="1"/>
  <c r="B15395" i="1"/>
  <c r="O15394" i="1"/>
  <c r="E15394" i="1"/>
  <c r="B15394" i="1"/>
  <c r="O15393" i="1"/>
  <c r="E15393" i="1"/>
  <c r="B15393" i="1"/>
  <c r="O15392" i="1"/>
  <c r="E15392" i="1"/>
  <c r="B15392" i="1"/>
  <c r="O15391" i="1"/>
  <c r="E15391" i="1"/>
  <c r="B15391" i="1"/>
  <c r="O15390" i="1"/>
  <c r="E15390" i="1"/>
  <c r="B15390" i="1"/>
  <c r="O15389" i="1"/>
  <c r="E15389" i="1"/>
  <c r="B15389" i="1"/>
  <c r="O15388" i="1"/>
  <c r="E15388" i="1"/>
  <c r="B15388" i="1"/>
  <c r="O15387" i="1"/>
  <c r="E15387" i="1"/>
  <c r="B15387" i="1"/>
  <c r="O15386" i="1"/>
  <c r="E15386" i="1"/>
  <c r="B15386" i="1"/>
  <c r="O15385" i="1"/>
  <c r="E15385" i="1"/>
  <c r="B15385" i="1"/>
  <c r="O15384" i="1"/>
  <c r="E15384" i="1"/>
  <c r="B15384" i="1"/>
  <c r="O15383" i="1"/>
  <c r="E15383" i="1"/>
  <c r="B15383" i="1"/>
  <c r="O15382" i="1"/>
  <c r="E15382" i="1"/>
  <c r="B15382" i="1"/>
  <c r="O15381" i="1"/>
  <c r="E15381" i="1"/>
  <c r="B15381" i="1"/>
  <c r="O15380" i="1"/>
  <c r="E15380" i="1"/>
  <c r="B15380" i="1"/>
  <c r="O15379" i="1"/>
  <c r="E15379" i="1"/>
  <c r="B15379" i="1"/>
  <c r="O15378" i="1"/>
  <c r="E15378" i="1"/>
  <c r="B15378" i="1"/>
  <c r="O15377" i="1"/>
  <c r="E15377" i="1"/>
  <c r="B15377" i="1"/>
  <c r="O15376" i="1"/>
  <c r="E15376" i="1"/>
  <c r="B15376" i="1"/>
  <c r="O15375" i="1"/>
  <c r="E15375" i="1"/>
  <c r="B15375" i="1"/>
  <c r="O15374" i="1"/>
  <c r="E15374" i="1"/>
  <c r="B15374" i="1"/>
  <c r="O15373" i="1"/>
  <c r="E15373" i="1"/>
  <c r="B15373" i="1"/>
  <c r="O15372" i="1"/>
  <c r="E15372" i="1"/>
  <c r="B15372" i="1"/>
  <c r="O15371" i="1"/>
  <c r="E15371" i="1"/>
  <c r="B15371" i="1"/>
  <c r="O15370" i="1"/>
  <c r="E15370" i="1"/>
  <c r="B15370" i="1"/>
  <c r="O15369" i="1"/>
  <c r="E15369" i="1"/>
  <c r="B15369" i="1"/>
  <c r="O15368" i="1"/>
  <c r="E15368" i="1"/>
  <c r="B15368" i="1"/>
  <c r="O15367" i="1"/>
  <c r="E15367" i="1"/>
  <c r="B15367" i="1"/>
  <c r="O15366" i="1"/>
  <c r="E15366" i="1"/>
  <c r="B15366" i="1"/>
  <c r="O15365" i="1"/>
  <c r="E15365" i="1"/>
  <c r="B15365" i="1"/>
  <c r="O15364" i="1"/>
  <c r="E15364" i="1"/>
  <c r="B15364" i="1"/>
  <c r="O15363" i="1"/>
  <c r="E15363" i="1"/>
  <c r="B15363" i="1"/>
  <c r="O15362" i="1"/>
  <c r="E15362" i="1"/>
  <c r="B15362" i="1"/>
  <c r="O15361" i="1"/>
  <c r="E15361" i="1"/>
  <c r="B15361" i="1"/>
  <c r="O15360" i="1"/>
  <c r="E15360" i="1"/>
  <c r="B15360" i="1"/>
  <c r="O15359" i="1"/>
  <c r="E15359" i="1"/>
  <c r="B15359" i="1"/>
  <c r="O15358" i="1"/>
  <c r="E15358" i="1"/>
  <c r="B15358" i="1"/>
  <c r="O15357" i="1"/>
  <c r="E15357" i="1"/>
  <c r="B15357" i="1"/>
  <c r="O15356" i="1"/>
  <c r="E15356" i="1"/>
  <c r="B15356" i="1"/>
  <c r="O15355" i="1"/>
  <c r="E15355" i="1"/>
  <c r="B15355" i="1"/>
  <c r="O15354" i="1"/>
  <c r="E15354" i="1"/>
  <c r="B15354" i="1"/>
  <c r="O15353" i="1"/>
  <c r="E15353" i="1"/>
  <c r="B15353" i="1"/>
  <c r="O15352" i="1"/>
  <c r="E15352" i="1"/>
  <c r="B15352" i="1"/>
  <c r="O15351" i="1"/>
  <c r="E15351" i="1"/>
  <c r="B15351" i="1"/>
  <c r="O15350" i="1"/>
  <c r="E15350" i="1"/>
  <c r="B15350" i="1"/>
  <c r="O15349" i="1"/>
  <c r="E15349" i="1"/>
  <c r="B15349" i="1"/>
  <c r="O15348" i="1"/>
  <c r="E15348" i="1"/>
  <c r="B15348" i="1"/>
  <c r="O15347" i="1"/>
  <c r="E15347" i="1"/>
  <c r="B15347" i="1"/>
  <c r="O15346" i="1"/>
  <c r="E15346" i="1"/>
  <c r="B15346" i="1"/>
  <c r="O15345" i="1"/>
  <c r="E15345" i="1"/>
  <c r="B15345" i="1"/>
  <c r="O15344" i="1"/>
  <c r="E15344" i="1"/>
  <c r="B15344" i="1"/>
  <c r="O15343" i="1"/>
  <c r="E15343" i="1"/>
  <c r="B15343" i="1"/>
  <c r="O15342" i="1"/>
  <c r="E15342" i="1"/>
  <c r="B15342" i="1"/>
  <c r="O15341" i="1"/>
  <c r="E15341" i="1"/>
  <c r="B15341" i="1"/>
  <c r="O15340" i="1"/>
  <c r="E15340" i="1"/>
  <c r="B15340" i="1"/>
  <c r="O15339" i="1"/>
  <c r="E15339" i="1"/>
  <c r="B15339" i="1"/>
  <c r="O15338" i="1"/>
  <c r="E15338" i="1"/>
  <c r="B15338" i="1"/>
  <c r="O15337" i="1"/>
  <c r="E15337" i="1"/>
  <c r="B15337" i="1"/>
  <c r="O15336" i="1"/>
  <c r="E15336" i="1"/>
  <c r="B15336" i="1"/>
  <c r="O15335" i="1"/>
  <c r="E15335" i="1"/>
  <c r="B15335" i="1"/>
  <c r="O15334" i="1"/>
  <c r="E15334" i="1"/>
  <c r="B15334" i="1"/>
  <c r="O15333" i="1"/>
  <c r="E15333" i="1"/>
  <c r="B15333" i="1"/>
  <c r="O15332" i="1"/>
  <c r="E15332" i="1"/>
  <c r="B15332" i="1"/>
  <c r="O15331" i="1"/>
  <c r="E15331" i="1"/>
  <c r="B15331" i="1"/>
  <c r="O15330" i="1"/>
  <c r="E15330" i="1"/>
  <c r="B15330" i="1"/>
  <c r="O15329" i="1"/>
  <c r="E15329" i="1"/>
  <c r="B15329" i="1"/>
  <c r="O15328" i="1"/>
  <c r="E15328" i="1"/>
  <c r="B15328" i="1"/>
  <c r="O15327" i="1"/>
  <c r="E15327" i="1"/>
  <c r="B15327" i="1"/>
  <c r="O15326" i="1"/>
  <c r="E15326" i="1"/>
  <c r="B15326" i="1"/>
  <c r="O15325" i="1"/>
  <c r="E15325" i="1"/>
  <c r="B15325" i="1"/>
  <c r="O15324" i="1"/>
  <c r="E15324" i="1"/>
  <c r="B15324" i="1"/>
  <c r="O15323" i="1"/>
  <c r="E15323" i="1"/>
  <c r="B15323" i="1"/>
  <c r="O15322" i="1"/>
  <c r="E15322" i="1"/>
  <c r="B15322" i="1"/>
  <c r="O15321" i="1"/>
  <c r="E15321" i="1"/>
  <c r="B15321" i="1"/>
  <c r="O15320" i="1"/>
  <c r="E15320" i="1"/>
  <c r="B15320" i="1"/>
  <c r="O15319" i="1"/>
  <c r="E15319" i="1"/>
  <c r="B15319" i="1"/>
  <c r="O15318" i="1"/>
  <c r="E15318" i="1"/>
  <c r="B15318" i="1"/>
  <c r="O15317" i="1"/>
  <c r="E15317" i="1"/>
  <c r="B15317" i="1"/>
  <c r="O15316" i="1"/>
  <c r="E15316" i="1"/>
  <c r="B15316" i="1"/>
  <c r="O15315" i="1"/>
  <c r="E15315" i="1"/>
  <c r="B15315" i="1"/>
  <c r="O15314" i="1"/>
  <c r="E15314" i="1"/>
  <c r="B15314" i="1"/>
  <c r="O15313" i="1"/>
  <c r="E15313" i="1"/>
  <c r="B15313" i="1"/>
  <c r="O15312" i="1"/>
  <c r="E15312" i="1"/>
  <c r="B15312" i="1"/>
  <c r="O15311" i="1"/>
  <c r="E15311" i="1"/>
  <c r="B15311" i="1"/>
  <c r="O15310" i="1"/>
  <c r="E15310" i="1"/>
  <c r="B15310" i="1"/>
  <c r="O15309" i="1"/>
  <c r="E15309" i="1"/>
  <c r="B15309" i="1"/>
  <c r="O15308" i="1"/>
  <c r="E15308" i="1"/>
  <c r="B15308" i="1"/>
  <c r="O15307" i="1"/>
  <c r="E15307" i="1"/>
  <c r="B15307" i="1"/>
  <c r="O15306" i="1"/>
  <c r="E15306" i="1"/>
  <c r="B15306" i="1"/>
  <c r="O15305" i="1"/>
  <c r="E15305" i="1"/>
  <c r="B15305" i="1"/>
  <c r="O15304" i="1"/>
  <c r="E15304" i="1"/>
  <c r="B15304" i="1"/>
  <c r="O15303" i="1"/>
  <c r="E15303" i="1"/>
  <c r="B15303" i="1"/>
  <c r="O15302" i="1"/>
  <c r="E15302" i="1"/>
  <c r="B15302" i="1"/>
  <c r="O15301" i="1"/>
  <c r="E15301" i="1"/>
  <c r="B15301" i="1"/>
  <c r="O15300" i="1"/>
  <c r="E15300" i="1"/>
  <c r="B15300" i="1"/>
  <c r="O15299" i="1"/>
  <c r="E15299" i="1"/>
  <c r="B15299" i="1"/>
  <c r="O15298" i="1"/>
  <c r="E15298" i="1"/>
  <c r="B15298" i="1"/>
  <c r="O15297" i="1"/>
  <c r="E15297" i="1"/>
  <c r="B15297" i="1"/>
  <c r="O15296" i="1"/>
  <c r="E15296" i="1"/>
  <c r="B15296" i="1"/>
  <c r="O15295" i="1"/>
  <c r="E15295" i="1"/>
  <c r="B15295" i="1"/>
  <c r="O15294" i="1"/>
  <c r="E15294" i="1"/>
  <c r="B15294" i="1"/>
  <c r="O15293" i="1"/>
  <c r="E15293" i="1"/>
  <c r="B15293" i="1"/>
  <c r="O15292" i="1"/>
  <c r="E15292" i="1"/>
  <c r="B15292" i="1"/>
  <c r="O15291" i="1"/>
  <c r="E15291" i="1"/>
  <c r="B15291" i="1"/>
  <c r="O15290" i="1"/>
  <c r="E15290" i="1"/>
  <c r="B15290" i="1"/>
  <c r="O15289" i="1"/>
  <c r="E15289" i="1"/>
  <c r="B15289" i="1"/>
  <c r="O15288" i="1"/>
  <c r="E15288" i="1"/>
  <c r="B15288" i="1"/>
  <c r="O15287" i="1"/>
  <c r="E15287" i="1"/>
  <c r="B15287" i="1"/>
  <c r="O15286" i="1"/>
  <c r="E15286" i="1"/>
  <c r="B15286" i="1"/>
  <c r="O15285" i="1"/>
  <c r="E15285" i="1"/>
  <c r="B15285" i="1"/>
  <c r="O15284" i="1"/>
  <c r="E15284" i="1"/>
  <c r="B15284" i="1"/>
  <c r="O15283" i="1"/>
  <c r="E15283" i="1"/>
  <c r="B15283" i="1"/>
  <c r="O15282" i="1"/>
  <c r="E15282" i="1"/>
  <c r="B15282" i="1"/>
  <c r="O15281" i="1"/>
  <c r="E15281" i="1"/>
  <c r="B15281" i="1"/>
  <c r="O15280" i="1"/>
  <c r="E15280" i="1"/>
  <c r="B15280" i="1"/>
  <c r="O15279" i="1"/>
  <c r="E15279" i="1"/>
  <c r="B15279" i="1"/>
  <c r="O15278" i="1"/>
  <c r="E15278" i="1"/>
  <c r="B15278" i="1"/>
  <c r="O15277" i="1"/>
  <c r="E15277" i="1"/>
  <c r="B15277" i="1"/>
  <c r="O15276" i="1"/>
  <c r="E15276" i="1"/>
  <c r="B15276" i="1"/>
  <c r="O15275" i="1"/>
  <c r="E15275" i="1"/>
  <c r="B15275" i="1"/>
  <c r="O15274" i="1"/>
  <c r="E15274" i="1"/>
  <c r="B15274" i="1"/>
  <c r="O15273" i="1"/>
  <c r="E15273" i="1"/>
  <c r="B15273" i="1"/>
  <c r="O15272" i="1"/>
  <c r="E15272" i="1"/>
  <c r="B15272" i="1"/>
  <c r="O15271" i="1"/>
  <c r="E15271" i="1"/>
  <c r="B15271" i="1"/>
  <c r="O15270" i="1"/>
  <c r="E15270" i="1"/>
  <c r="B15270" i="1"/>
  <c r="O15269" i="1"/>
  <c r="E15269" i="1"/>
  <c r="B15269" i="1"/>
  <c r="O15268" i="1"/>
  <c r="E15268" i="1"/>
  <c r="B15268" i="1"/>
  <c r="O15267" i="1"/>
  <c r="E15267" i="1"/>
  <c r="B15267" i="1"/>
  <c r="O15266" i="1"/>
  <c r="E15266" i="1"/>
  <c r="B15266" i="1"/>
  <c r="O15265" i="1"/>
  <c r="E15265" i="1"/>
  <c r="B15265" i="1"/>
  <c r="O15264" i="1"/>
  <c r="E15264" i="1"/>
  <c r="B15264" i="1"/>
  <c r="O15263" i="1"/>
  <c r="E15263" i="1"/>
  <c r="B15263" i="1"/>
  <c r="O15262" i="1"/>
  <c r="E15262" i="1"/>
  <c r="B15262" i="1"/>
  <c r="O15261" i="1"/>
  <c r="E15261" i="1"/>
  <c r="B15261" i="1"/>
  <c r="O15260" i="1"/>
  <c r="E15260" i="1"/>
  <c r="B15260" i="1"/>
  <c r="O15259" i="1"/>
  <c r="E15259" i="1"/>
  <c r="B15259" i="1"/>
  <c r="O15258" i="1"/>
  <c r="E15258" i="1"/>
  <c r="B15258" i="1"/>
  <c r="O15257" i="1"/>
  <c r="E15257" i="1"/>
  <c r="B15257" i="1"/>
  <c r="O15256" i="1"/>
  <c r="E15256" i="1"/>
  <c r="B15256" i="1"/>
  <c r="O15255" i="1"/>
  <c r="E15255" i="1"/>
  <c r="B15255" i="1"/>
  <c r="O15254" i="1"/>
  <c r="E15254" i="1"/>
  <c r="B15254" i="1"/>
  <c r="O15253" i="1"/>
  <c r="E15253" i="1"/>
  <c r="B15253" i="1"/>
  <c r="O15252" i="1"/>
  <c r="E15252" i="1"/>
  <c r="B15252" i="1"/>
  <c r="O15251" i="1"/>
  <c r="E15251" i="1"/>
  <c r="B15251" i="1"/>
  <c r="O15250" i="1"/>
  <c r="E15250" i="1"/>
  <c r="B15250" i="1"/>
  <c r="O15249" i="1"/>
  <c r="E15249" i="1"/>
  <c r="B15249" i="1"/>
  <c r="O15248" i="1"/>
  <c r="E15248" i="1"/>
  <c r="B15248" i="1"/>
  <c r="O15247" i="1"/>
  <c r="E15247" i="1"/>
  <c r="B15247" i="1"/>
  <c r="O15246" i="1"/>
  <c r="E15246" i="1"/>
  <c r="B15246" i="1"/>
  <c r="O15245" i="1"/>
  <c r="E15245" i="1"/>
  <c r="B15245" i="1"/>
  <c r="O15244" i="1"/>
  <c r="E15244" i="1"/>
  <c r="B15244" i="1"/>
  <c r="O15243" i="1"/>
  <c r="E15243" i="1"/>
  <c r="B15243" i="1"/>
  <c r="O15242" i="1"/>
  <c r="E15242" i="1"/>
  <c r="B15242" i="1"/>
  <c r="O15241" i="1"/>
  <c r="E15241" i="1"/>
  <c r="B15241" i="1"/>
  <c r="O15240" i="1"/>
  <c r="E15240" i="1"/>
  <c r="B15240" i="1"/>
  <c r="O15239" i="1"/>
  <c r="E15239" i="1"/>
  <c r="B15239" i="1"/>
  <c r="O15238" i="1"/>
  <c r="E15238" i="1"/>
  <c r="B15238" i="1"/>
  <c r="O15237" i="1"/>
  <c r="E15237" i="1"/>
  <c r="B15237" i="1"/>
  <c r="O15236" i="1"/>
  <c r="E15236" i="1"/>
  <c r="B15236" i="1"/>
  <c r="O15235" i="1"/>
  <c r="E15235" i="1"/>
  <c r="B15235" i="1"/>
  <c r="O15234" i="1"/>
  <c r="E15234" i="1"/>
  <c r="B15234" i="1"/>
  <c r="O15233" i="1"/>
  <c r="E15233" i="1"/>
  <c r="B15233" i="1"/>
  <c r="O15232" i="1"/>
  <c r="E15232" i="1"/>
  <c r="B15232" i="1"/>
  <c r="O15231" i="1"/>
  <c r="E15231" i="1"/>
  <c r="B15231" i="1"/>
  <c r="O15230" i="1"/>
  <c r="E15230" i="1"/>
  <c r="B15230" i="1"/>
  <c r="O15229" i="1"/>
  <c r="E15229" i="1"/>
  <c r="B15229" i="1"/>
  <c r="O15228" i="1"/>
  <c r="E15228" i="1"/>
  <c r="B15228" i="1"/>
  <c r="O15227" i="1"/>
  <c r="E15227" i="1"/>
  <c r="B15227" i="1"/>
  <c r="O15226" i="1"/>
  <c r="E15226" i="1"/>
  <c r="B15226" i="1"/>
  <c r="O15225" i="1"/>
  <c r="E15225" i="1"/>
  <c r="B15225" i="1"/>
  <c r="O15224" i="1"/>
  <c r="E15224" i="1"/>
  <c r="B15224" i="1"/>
  <c r="O15223" i="1"/>
  <c r="E15223" i="1"/>
  <c r="B15223" i="1"/>
  <c r="O15222" i="1"/>
  <c r="E15222" i="1"/>
  <c r="B15222" i="1"/>
  <c r="O15221" i="1"/>
  <c r="E15221" i="1"/>
  <c r="B15221" i="1"/>
  <c r="O15220" i="1"/>
  <c r="E15220" i="1"/>
  <c r="B15220" i="1"/>
  <c r="O15219" i="1"/>
  <c r="E15219" i="1"/>
  <c r="B15219" i="1"/>
  <c r="O15218" i="1"/>
  <c r="E15218" i="1"/>
  <c r="B15218" i="1"/>
  <c r="O15217" i="1"/>
  <c r="E15217" i="1"/>
  <c r="B15217" i="1"/>
  <c r="O15216" i="1"/>
  <c r="E15216" i="1"/>
  <c r="B15216" i="1"/>
  <c r="O15215" i="1"/>
  <c r="E15215" i="1"/>
  <c r="B15215" i="1"/>
  <c r="O15214" i="1"/>
  <c r="E15214" i="1"/>
  <c r="B15214" i="1"/>
  <c r="O15213" i="1"/>
  <c r="E15213" i="1"/>
  <c r="B15213" i="1"/>
  <c r="O15212" i="1"/>
  <c r="E15212" i="1"/>
  <c r="B15212" i="1"/>
  <c r="O15211" i="1"/>
  <c r="E15211" i="1"/>
  <c r="B15211" i="1"/>
  <c r="O15210" i="1"/>
  <c r="E15210" i="1"/>
  <c r="B15210" i="1"/>
  <c r="O15209" i="1"/>
  <c r="E15209" i="1"/>
  <c r="B15209" i="1"/>
  <c r="O15208" i="1"/>
  <c r="E15208" i="1"/>
  <c r="B15208" i="1"/>
  <c r="O15207" i="1"/>
  <c r="E15207" i="1"/>
  <c r="B15207" i="1"/>
  <c r="O15206" i="1"/>
  <c r="E15206" i="1"/>
  <c r="B15206" i="1"/>
  <c r="O15205" i="1"/>
  <c r="E15205" i="1"/>
  <c r="B15205" i="1"/>
  <c r="O15204" i="1"/>
  <c r="E15204" i="1"/>
  <c r="B15204" i="1"/>
  <c r="O15203" i="1"/>
  <c r="E15203" i="1"/>
  <c r="B15203" i="1"/>
  <c r="O15202" i="1"/>
  <c r="E15202" i="1"/>
  <c r="B15202" i="1"/>
  <c r="O15201" i="1"/>
  <c r="E15201" i="1"/>
  <c r="B15201" i="1"/>
  <c r="O15200" i="1"/>
  <c r="E15200" i="1"/>
  <c r="B15200" i="1"/>
  <c r="O15199" i="1"/>
  <c r="E15199" i="1"/>
  <c r="B15199" i="1"/>
  <c r="O15198" i="1"/>
  <c r="E15198" i="1"/>
  <c r="B15198" i="1"/>
  <c r="O15197" i="1"/>
  <c r="E15197" i="1"/>
  <c r="B15197" i="1"/>
  <c r="O15196" i="1"/>
  <c r="E15196" i="1"/>
  <c r="B15196" i="1"/>
  <c r="O15195" i="1"/>
  <c r="E15195" i="1"/>
  <c r="B15195" i="1"/>
  <c r="O15194" i="1"/>
  <c r="E15194" i="1"/>
  <c r="B15194" i="1"/>
  <c r="O15193" i="1"/>
  <c r="E15193" i="1"/>
  <c r="B15193" i="1"/>
  <c r="O15192" i="1"/>
  <c r="E15192" i="1"/>
  <c r="B15192" i="1"/>
  <c r="O15191" i="1"/>
  <c r="E15191" i="1"/>
  <c r="B15191" i="1"/>
  <c r="O15190" i="1"/>
  <c r="E15190" i="1"/>
  <c r="B15190" i="1"/>
  <c r="O15189" i="1"/>
  <c r="E15189" i="1"/>
  <c r="B15189" i="1"/>
  <c r="O15188" i="1"/>
  <c r="E15188" i="1"/>
  <c r="B15188" i="1"/>
  <c r="O15187" i="1"/>
  <c r="E15187" i="1"/>
  <c r="B15187" i="1"/>
  <c r="O15186" i="1"/>
  <c r="E15186" i="1"/>
  <c r="B15186" i="1"/>
  <c r="O15185" i="1"/>
  <c r="E15185" i="1"/>
  <c r="B15185" i="1"/>
  <c r="O15184" i="1"/>
  <c r="E15184" i="1"/>
  <c r="B15184" i="1"/>
  <c r="O15183" i="1"/>
  <c r="E15183" i="1"/>
  <c r="B15183" i="1"/>
  <c r="O15182" i="1"/>
  <c r="E15182" i="1"/>
  <c r="B15182" i="1"/>
  <c r="O15181" i="1"/>
  <c r="E15181" i="1"/>
  <c r="B15181" i="1"/>
  <c r="O15180" i="1"/>
  <c r="E15180" i="1"/>
  <c r="B15180" i="1"/>
  <c r="O15179" i="1"/>
  <c r="E15179" i="1"/>
  <c r="B15179" i="1"/>
  <c r="O15178" i="1"/>
  <c r="E15178" i="1"/>
  <c r="B15178" i="1"/>
  <c r="O15177" i="1"/>
  <c r="E15177" i="1"/>
  <c r="B15177" i="1"/>
  <c r="O15176" i="1"/>
  <c r="E15176" i="1"/>
  <c r="B15176" i="1"/>
  <c r="O15175" i="1"/>
  <c r="E15175" i="1"/>
  <c r="B15175" i="1"/>
  <c r="O15174" i="1"/>
  <c r="E15174" i="1"/>
  <c r="B15174" i="1"/>
  <c r="O15173" i="1"/>
  <c r="E15173" i="1"/>
  <c r="B15173" i="1"/>
  <c r="O15172" i="1"/>
  <c r="E15172" i="1"/>
  <c r="B15172" i="1"/>
  <c r="O15171" i="1"/>
  <c r="E15171" i="1"/>
  <c r="B15171" i="1"/>
  <c r="O15170" i="1"/>
  <c r="E15170" i="1"/>
  <c r="B15170" i="1"/>
  <c r="O15169" i="1"/>
  <c r="E15169" i="1"/>
  <c r="B15169" i="1"/>
  <c r="O15168" i="1"/>
  <c r="E15168" i="1"/>
  <c r="B15168" i="1"/>
  <c r="O15167" i="1"/>
  <c r="E15167" i="1"/>
  <c r="B15167" i="1"/>
  <c r="O15166" i="1"/>
  <c r="E15166" i="1"/>
  <c r="B15166" i="1"/>
  <c r="O15165" i="1"/>
  <c r="E15165" i="1"/>
  <c r="B15165" i="1"/>
  <c r="O15164" i="1"/>
  <c r="E15164" i="1"/>
  <c r="B15164" i="1"/>
  <c r="O15163" i="1"/>
  <c r="E15163" i="1"/>
  <c r="B15163" i="1"/>
  <c r="O15162" i="1"/>
  <c r="E15162" i="1"/>
  <c r="B15162" i="1"/>
  <c r="O15161" i="1"/>
  <c r="E15161" i="1"/>
  <c r="B15161" i="1"/>
  <c r="O15160" i="1"/>
  <c r="E15160" i="1"/>
  <c r="B15160" i="1"/>
  <c r="O15159" i="1"/>
  <c r="E15159" i="1"/>
  <c r="B15159" i="1"/>
  <c r="O15158" i="1"/>
  <c r="E15158" i="1"/>
  <c r="B15158" i="1"/>
  <c r="O15157" i="1"/>
  <c r="E15157" i="1"/>
  <c r="B15157" i="1"/>
  <c r="O15156" i="1"/>
  <c r="E15156" i="1"/>
  <c r="B15156" i="1"/>
  <c r="O15155" i="1"/>
  <c r="E15155" i="1"/>
  <c r="B15155" i="1"/>
  <c r="O15154" i="1"/>
  <c r="E15154" i="1"/>
  <c r="B15154" i="1"/>
  <c r="O15153" i="1"/>
  <c r="E15153" i="1"/>
  <c r="B15153" i="1"/>
  <c r="O15152" i="1"/>
  <c r="E15152" i="1"/>
  <c r="B15152" i="1"/>
  <c r="O15151" i="1"/>
  <c r="E15151" i="1"/>
  <c r="B15151" i="1"/>
  <c r="O15150" i="1"/>
  <c r="E15150" i="1"/>
  <c r="B15150" i="1"/>
  <c r="O15149" i="1"/>
  <c r="E15149" i="1"/>
  <c r="B15149" i="1"/>
  <c r="O15148" i="1"/>
  <c r="E15148" i="1"/>
  <c r="B15148" i="1"/>
  <c r="O15147" i="1"/>
  <c r="E15147" i="1"/>
  <c r="B15147" i="1"/>
  <c r="O15146" i="1"/>
  <c r="E15146" i="1"/>
  <c r="B15146" i="1"/>
  <c r="O15145" i="1"/>
  <c r="E15145" i="1"/>
  <c r="B15145" i="1"/>
  <c r="O15144" i="1"/>
  <c r="E15144" i="1"/>
  <c r="B15144" i="1"/>
  <c r="O15143" i="1"/>
  <c r="E15143" i="1"/>
  <c r="B15143" i="1"/>
  <c r="O15142" i="1"/>
  <c r="E15142" i="1"/>
  <c r="B15142" i="1"/>
  <c r="O15141" i="1"/>
  <c r="E15141" i="1"/>
  <c r="B15141" i="1"/>
  <c r="O15140" i="1"/>
  <c r="E15140" i="1"/>
  <c r="B15140" i="1"/>
  <c r="O15139" i="1"/>
  <c r="E15139" i="1"/>
  <c r="B15139" i="1"/>
  <c r="O15138" i="1"/>
  <c r="E15138" i="1"/>
  <c r="B15138" i="1"/>
  <c r="O15137" i="1"/>
  <c r="E15137" i="1"/>
  <c r="B15137" i="1"/>
  <c r="O15136" i="1"/>
  <c r="E15136" i="1"/>
  <c r="B15136" i="1"/>
  <c r="O15135" i="1"/>
  <c r="E15135" i="1"/>
  <c r="B15135" i="1"/>
  <c r="O15134" i="1"/>
  <c r="E15134" i="1"/>
  <c r="B15134" i="1"/>
  <c r="O15133" i="1"/>
  <c r="E15133" i="1"/>
  <c r="B15133" i="1"/>
  <c r="O15132" i="1"/>
  <c r="E15132" i="1"/>
  <c r="B15132" i="1"/>
  <c r="O15131" i="1"/>
  <c r="E15131" i="1"/>
  <c r="B15131" i="1"/>
  <c r="O15130" i="1"/>
  <c r="E15130" i="1"/>
  <c r="B15130" i="1"/>
  <c r="O15129" i="1"/>
  <c r="E15129" i="1"/>
  <c r="B15129" i="1"/>
  <c r="O15128" i="1"/>
  <c r="E15128" i="1"/>
  <c r="B15128" i="1"/>
  <c r="O15127" i="1"/>
  <c r="E15127" i="1"/>
  <c r="B15127" i="1"/>
  <c r="O15126" i="1"/>
  <c r="E15126" i="1"/>
  <c r="B15126" i="1"/>
  <c r="O15125" i="1"/>
  <c r="E15125" i="1"/>
  <c r="B15125" i="1"/>
  <c r="O15124" i="1"/>
  <c r="E15124" i="1"/>
  <c r="B15124" i="1"/>
  <c r="O15123" i="1"/>
  <c r="E15123" i="1"/>
  <c r="B15123" i="1"/>
  <c r="O15122" i="1"/>
  <c r="E15122" i="1"/>
  <c r="B15122" i="1"/>
  <c r="O15121" i="1"/>
  <c r="E15121" i="1"/>
  <c r="B15121" i="1"/>
  <c r="O15120" i="1"/>
  <c r="E15120" i="1"/>
  <c r="B15120" i="1"/>
  <c r="O15119" i="1"/>
  <c r="E15119" i="1"/>
  <c r="B15119" i="1"/>
  <c r="O15118" i="1"/>
  <c r="E15118" i="1"/>
  <c r="B15118" i="1"/>
  <c r="O15117" i="1"/>
  <c r="E15117" i="1"/>
  <c r="B15117" i="1"/>
  <c r="O15116" i="1"/>
  <c r="E15116" i="1"/>
  <c r="B15116" i="1"/>
  <c r="O15115" i="1"/>
  <c r="E15115" i="1"/>
  <c r="B15115" i="1"/>
  <c r="O15114" i="1"/>
  <c r="E15114" i="1"/>
  <c r="B15114" i="1"/>
  <c r="O15113" i="1"/>
  <c r="E15113" i="1"/>
  <c r="B15113" i="1"/>
  <c r="O15112" i="1"/>
  <c r="E15112" i="1"/>
  <c r="B15112" i="1"/>
  <c r="O15111" i="1"/>
  <c r="E15111" i="1"/>
  <c r="B15111" i="1"/>
  <c r="O15110" i="1"/>
  <c r="E15110" i="1"/>
  <c r="B15110" i="1"/>
  <c r="O15109" i="1"/>
  <c r="E15109" i="1"/>
  <c r="B15109" i="1"/>
  <c r="O15108" i="1"/>
  <c r="E15108" i="1"/>
  <c r="B15108" i="1"/>
  <c r="O15107" i="1"/>
  <c r="E15107" i="1"/>
  <c r="B15107" i="1"/>
  <c r="O15106" i="1"/>
  <c r="E15106" i="1"/>
  <c r="B15106" i="1"/>
  <c r="O15105" i="1"/>
  <c r="E15105" i="1"/>
  <c r="B15105" i="1"/>
  <c r="O15104" i="1"/>
  <c r="E15104" i="1"/>
  <c r="B15104" i="1"/>
  <c r="O15103" i="1"/>
  <c r="E15103" i="1"/>
  <c r="B15103" i="1"/>
  <c r="O15102" i="1"/>
  <c r="E15102" i="1"/>
  <c r="B15102" i="1"/>
  <c r="O15101" i="1"/>
  <c r="E15101" i="1"/>
  <c r="B15101" i="1"/>
  <c r="O15100" i="1"/>
  <c r="E15100" i="1"/>
  <c r="B15100" i="1"/>
  <c r="O15099" i="1"/>
  <c r="E15099" i="1"/>
  <c r="B15099" i="1"/>
  <c r="O15098" i="1"/>
  <c r="E15098" i="1"/>
  <c r="B15098" i="1"/>
  <c r="O15097" i="1"/>
  <c r="E15097" i="1"/>
  <c r="B15097" i="1"/>
  <c r="O15096" i="1"/>
  <c r="E15096" i="1"/>
  <c r="B15096" i="1"/>
  <c r="O15095" i="1"/>
  <c r="E15095" i="1"/>
  <c r="B15095" i="1"/>
  <c r="O15094" i="1"/>
  <c r="E15094" i="1"/>
  <c r="B15094" i="1"/>
  <c r="O15093" i="1"/>
  <c r="E15093" i="1"/>
  <c r="B15093" i="1"/>
  <c r="O15092" i="1"/>
  <c r="E15092" i="1"/>
  <c r="B15092" i="1"/>
  <c r="O15091" i="1"/>
  <c r="E15091" i="1"/>
  <c r="B15091" i="1"/>
  <c r="O15090" i="1"/>
  <c r="E15090" i="1"/>
  <c r="B15090" i="1"/>
  <c r="O15089" i="1"/>
  <c r="E15089" i="1"/>
  <c r="B15089" i="1"/>
  <c r="O15088" i="1"/>
  <c r="E15088" i="1"/>
  <c r="B15088" i="1"/>
  <c r="O15087" i="1"/>
  <c r="E15087" i="1"/>
  <c r="B15087" i="1"/>
  <c r="O15086" i="1"/>
  <c r="E15086" i="1"/>
  <c r="B15086" i="1"/>
  <c r="O15085" i="1"/>
  <c r="E15085" i="1"/>
  <c r="B15085" i="1"/>
  <c r="O15084" i="1"/>
  <c r="E15084" i="1"/>
  <c r="B15084" i="1"/>
  <c r="O15083" i="1"/>
  <c r="E15083" i="1"/>
  <c r="B15083" i="1"/>
  <c r="O15082" i="1"/>
  <c r="E15082" i="1"/>
  <c r="B15082" i="1"/>
  <c r="O15081" i="1"/>
  <c r="E15081" i="1"/>
  <c r="B15081" i="1"/>
  <c r="O15080" i="1"/>
  <c r="E15080" i="1"/>
  <c r="B15080" i="1"/>
  <c r="O15079" i="1"/>
  <c r="E15079" i="1"/>
  <c r="B15079" i="1"/>
  <c r="O15078" i="1"/>
  <c r="E15078" i="1"/>
  <c r="B15078" i="1"/>
  <c r="O15077" i="1"/>
  <c r="E15077" i="1"/>
  <c r="B15077" i="1"/>
  <c r="O15076" i="1"/>
  <c r="E15076" i="1"/>
  <c r="B15076" i="1"/>
  <c r="O15075" i="1"/>
  <c r="E15075" i="1"/>
  <c r="B15075" i="1"/>
  <c r="O15074" i="1"/>
  <c r="E15074" i="1"/>
  <c r="B15074" i="1"/>
  <c r="O15073" i="1"/>
  <c r="E15073" i="1"/>
  <c r="B15073" i="1"/>
  <c r="O15072" i="1"/>
  <c r="E15072" i="1"/>
  <c r="B15072" i="1"/>
  <c r="O15071" i="1"/>
  <c r="E15071" i="1"/>
  <c r="B15071" i="1"/>
  <c r="O15070" i="1"/>
  <c r="E15070" i="1"/>
  <c r="B15070" i="1"/>
  <c r="O15069" i="1"/>
  <c r="E15069" i="1"/>
  <c r="B15069" i="1"/>
  <c r="O15068" i="1"/>
  <c r="E15068" i="1"/>
  <c r="B15068" i="1"/>
  <c r="O15067" i="1"/>
  <c r="E15067" i="1"/>
  <c r="B15067" i="1"/>
  <c r="O15066" i="1"/>
  <c r="E15066" i="1"/>
  <c r="B15066" i="1"/>
  <c r="O15065" i="1"/>
  <c r="E15065" i="1"/>
  <c r="B15065" i="1"/>
  <c r="O15064" i="1"/>
  <c r="E15064" i="1"/>
  <c r="B15064" i="1"/>
  <c r="O15063" i="1"/>
  <c r="E15063" i="1"/>
  <c r="B15063" i="1"/>
  <c r="O15062" i="1"/>
  <c r="E15062" i="1"/>
  <c r="B15062" i="1"/>
  <c r="O15061" i="1"/>
  <c r="E15061" i="1"/>
  <c r="B15061" i="1"/>
  <c r="O15060" i="1"/>
  <c r="E15060" i="1"/>
  <c r="B15060" i="1"/>
  <c r="O15059" i="1"/>
  <c r="E15059" i="1"/>
  <c r="B15059" i="1"/>
  <c r="O15058" i="1"/>
  <c r="E15058" i="1"/>
  <c r="B15058" i="1"/>
  <c r="O15057" i="1"/>
  <c r="E15057" i="1"/>
  <c r="B15057" i="1"/>
  <c r="O15056" i="1"/>
  <c r="E15056" i="1"/>
  <c r="B15056" i="1"/>
  <c r="O15055" i="1"/>
  <c r="E15055" i="1"/>
  <c r="B15055" i="1"/>
  <c r="O15054" i="1"/>
  <c r="E15054" i="1"/>
  <c r="B15054" i="1"/>
  <c r="O15053" i="1"/>
  <c r="E15053" i="1"/>
  <c r="B15053" i="1"/>
  <c r="O15052" i="1"/>
  <c r="E15052" i="1"/>
  <c r="B15052" i="1"/>
  <c r="O15051" i="1"/>
  <c r="E15051" i="1"/>
  <c r="B15051" i="1"/>
  <c r="O15050" i="1"/>
  <c r="E15050" i="1"/>
  <c r="B15050" i="1"/>
  <c r="O15049" i="1"/>
  <c r="E15049" i="1"/>
  <c r="B15049" i="1"/>
  <c r="O15048" i="1"/>
  <c r="E15048" i="1"/>
  <c r="B15048" i="1"/>
  <c r="O15047" i="1"/>
  <c r="E15047" i="1"/>
  <c r="B15047" i="1"/>
  <c r="O15046" i="1"/>
  <c r="E15046" i="1"/>
  <c r="B15046" i="1"/>
  <c r="O15045" i="1"/>
  <c r="E15045" i="1"/>
  <c r="B15045" i="1"/>
  <c r="O15044" i="1"/>
  <c r="E15044" i="1"/>
  <c r="B15044" i="1"/>
  <c r="O15043" i="1"/>
  <c r="E15043" i="1"/>
  <c r="B15043" i="1"/>
  <c r="O15042" i="1"/>
  <c r="E15042" i="1"/>
  <c r="B15042" i="1"/>
  <c r="O15041" i="1"/>
  <c r="E15041" i="1"/>
  <c r="B15041" i="1"/>
  <c r="O15040" i="1"/>
  <c r="E15040" i="1"/>
  <c r="B15040" i="1"/>
  <c r="O15039" i="1"/>
  <c r="E15039" i="1"/>
  <c r="B15039" i="1"/>
  <c r="O15038" i="1"/>
  <c r="E15038" i="1"/>
  <c r="B15038" i="1"/>
  <c r="O15037" i="1"/>
  <c r="E15037" i="1"/>
  <c r="B15037" i="1"/>
  <c r="O15036" i="1"/>
  <c r="E15036" i="1"/>
  <c r="B15036" i="1"/>
  <c r="O15035" i="1"/>
  <c r="E15035" i="1"/>
  <c r="B15035" i="1"/>
  <c r="O15034" i="1"/>
  <c r="E15034" i="1"/>
  <c r="B15034" i="1"/>
  <c r="O15033" i="1"/>
  <c r="E15033" i="1"/>
  <c r="B15033" i="1"/>
  <c r="O15032" i="1"/>
  <c r="E15032" i="1"/>
  <c r="B15032" i="1"/>
  <c r="O15031" i="1"/>
  <c r="E15031" i="1"/>
  <c r="B15031" i="1"/>
  <c r="O15030" i="1"/>
  <c r="E15030" i="1"/>
  <c r="B15030" i="1"/>
  <c r="O15029" i="1"/>
  <c r="E15029" i="1"/>
  <c r="B15029" i="1"/>
  <c r="O15028" i="1"/>
  <c r="E15028" i="1"/>
  <c r="B15028" i="1"/>
  <c r="O15027" i="1"/>
  <c r="E15027" i="1"/>
  <c r="B15027" i="1"/>
  <c r="O15026" i="1"/>
  <c r="E15026" i="1"/>
  <c r="B15026" i="1"/>
  <c r="O15025" i="1"/>
  <c r="E15025" i="1"/>
  <c r="B15025" i="1"/>
  <c r="O15024" i="1"/>
  <c r="E15024" i="1"/>
  <c r="B15024" i="1"/>
  <c r="O15023" i="1"/>
  <c r="E15023" i="1"/>
  <c r="B15023" i="1"/>
  <c r="O15022" i="1"/>
  <c r="E15022" i="1"/>
  <c r="B15022" i="1"/>
  <c r="O15021" i="1"/>
  <c r="E15021" i="1"/>
  <c r="B15021" i="1"/>
  <c r="O15020" i="1"/>
  <c r="E15020" i="1"/>
  <c r="B15020" i="1"/>
  <c r="O15019" i="1"/>
  <c r="E15019" i="1"/>
  <c r="B15019" i="1"/>
  <c r="O15018" i="1"/>
  <c r="E15018" i="1"/>
  <c r="B15018" i="1"/>
  <c r="O15017" i="1"/>
  <c r="E15017" i="1"/>
  <c r="B15017" i="1"/>
  <c r="O15016" i="1"/>
  <c r="E15016" i="1"/>
  <c r="B15016" i="1"/>
  <c r="O15015" i="1"/>
  <c r="E15015" i="1"/>
  <c r="B15015" i="1"/>
  <c r="O15014" i="1"/>
  <c r="E15014" i="1"/>
  <c r="B15014" i="1"/>
  <c r="O15013" i="1"/>
  <c r="E15013" i="1"/>
  <c r="B15013" i="1"/>
  <c r="O15012" i="1"/>
  <c r="E15012" i="1"/>
  <c r="B15012" i="1"/>
  <c r="O15011" i="1"/>
  <c r="E15011" i="1"/>
  <c r="B15011" i="1"/>
  <c r="O15010" i="1"/>
  <c r="E15010" i="1"/>
  <c r="B15010" i="1"/>
  <c r="O15009" i="1"/>
  <c r="E15009" i="1"/>
  <c r="B15009" i="1"/>
  <c r="O15008" i="1"/>
  <c r="E15008" i="1"/>
  <c r="B15008" i="1"/>
  <c r="O15007" i="1"/>
  <c r="E15007" i="1"/>
  <c r="B15007" i="1"/>
  <c r="O15006" i="1"/>
  <c r="E15006" i="1"/>
  <c r="B15006" i="1"/>
  <c r="O15005" i="1"/>
  <c r="E15005" i="1"/>
  <c r="B15005" i="1"/>
  <c r="O15004" i="1"/>
  <c r="E15004" i="1"/>
  <c r="B15004" i="1"/>
  <c r="O15003" i="1"/>
  <c r="E15003" i="1"/>
  <c r="B15003" i="1"/>
  <c r="O15002" i="1"/>
  <c r="E15002" i="1"/>
  <c r="B15002" i="1"/>
  <c r="O15001" i="1"/>
  <c r="E15001" i="1"/>
  <c r="B15001" i="1"/>
  <c r="O15000" i="1"/>
  <c r="E15000" i="1"/>
  <c r="B15000" i="1"/>
  <c r="O14999" i="1"/>
  <c r="E14999" i="1"/>
  <c r="B14999" i="1"/>
  <c r="O14998" i="1"/>
  <c r="E14998" i="1"/>
  <c r="B14998" i="1"/>
  <c r="O14997" i="1"/>
  <c r="E14997" i="1"/>
  <c r="B14997" i="1"/>
  <c r="O14996" i="1"/>
  <c r="E14996" i="1"/>
  <c r="B14996" i="1"/>
  <c r="O14995" i="1"/>
  <c r="E14995" i="1"/>
  <c r="B14995" i="1"/>
  <c r="O14994" i="1"/>
  <c r="E14994" i="1"/>
  <c r="B14994" i="1"/>
  <c r="O14993" i="1"/>
  <c r="E14993" i="1"/>
  <c r="B14993" i="1"/>
  <c r="O14992" i="1"/>
  <c r="E14992" i="1"/>
  <c r="B14992" i="1"/>
  <c r="O14991" i="1"/>
  <c r="E14991" i="1"/>
  <c r="B14991" i="1"/>
  <c r="O14990" i="1"/>
  <c r="E14990" i="1"/>
  <c r="B14990" i="1"/>
  <c r="O14989" i="1"/>
  <c r="E14989" i="1"/>
  <c r="B14989" i="1"/>
  <c r="O14988" i="1"/>
  <c r="E14988" i="1"/>
  <c r="B14988" i="1"/>
  <c r="O14987" i="1"/>
  <c r="E14987" i="1"/>
  <c r="B14987" i="1"/>
  <c r="O14986" i="1"/>
  <c r="E14986" i="1"/>
  <c r="B14986" i="1"/>
  <c r="O14985" i="1"/>
  <c r="E14985" i="1"/>
  <c r="B14985" i="1"/>
  <c r="O14984" i="1"/>
  <c r="E14984" i="1"/>
  <c r="B14984" i="1"/>
  <c r="O14983" i="1"/>
  <c r="E14983" i="1"/>
  <c r="B14983" i="1"/>
  <c r="O14982" i="1"/>
  <c r="E14982" i="1"/>
  <c r="B14982" i="1"/>
  <c r="O14981" i="1"/>
  <c r="E14981" i="1"/>
  <c r="B14981" i="1"/>
  <c r="O14980" i="1"/>
  <c r="E14980" i="1"/>
  <c r="B14980" i="1"/>
  <c r="O14979" i="1"/>
  <c r="E14979" i="1"/>
  <c r="B14979" i="1"/>
  <c r="O14978" i="1"/>
  <c r="E14978" i="1"/>
  <c r="B14978" i="1"/>
  <c r="O14977" i="1"/>
  <c r="E14977" i="1"/>
  <c r="B14977" i="1"/>
  <c r="O14976" i="1"/>
  <c r="E14976" i="1"/>
  <c r="B14976" i="1"/>
  <c r="O14975" i="1"/>
  <c r="E14975" i="1"/>
  <c r="B14975" i="1"/>
  <c r="O14974" i="1"/>
  <c r="E14974" i="1"/>
  <c r="B14974" i="1"/>
  <c r="O14973" i="1"/>
  <c r="E14973" i="1"/>
  <c r="B14973" i="1"/>
  <c r="O14972" i="1"/>
  <c r="E14972" i="1"/>
  <c r="B14972" i="1"/>
  <c r="O14971" i="1"/>
  <c r="E14971" i="1"/>
  <c r="B14971" i="1"/>
  <c r="O14970" i="1"/>
  <c r="E14970" i="1"/>
  <c r="B14970" i="1"/>
  <c r="O14969" i="1"/>
  <c r="E14969" i="1"/>
  <c r="B14969" i="1"/>
  <c r="O14968" i="1"/>
  <c r="E14968" i="1"/>
  <c r="B14968" i="1"/>
  <c r="O14967" i="1"/>
  <c r="E14967" i="1"/>
  <c r="B14967" i="1"/>
  <c r="O14966" i="1"/>
  <c r="E14966" i="1"/>
  <c r="B14966" i="1"/>
  <c r="O14965" i="1"/>
  <c r="E14965" i="1"/>
  <c r="B14965" i="1"/>
  <c r="O14964" i="1"/>
  <c r="E14964" i="1"/>
  <c r="B14964" i="1"/>
  <c r="O14963" i="1"/>
  <c r="E14963" i="1"/>
  <c r="B14963" i="1"/>
  <c r="O14962" i="1"/>
  <c r="E14962" i="1"/>
  <c r="B14962" i="1"/>
  <c r="O14961" i="1"/>
  <c r="E14961" i="1"/>
  <c r="B14961" i="1"/>
  <c r="O14960" i="1"/>
  <c r="E14960" i="1"/>
  <c r="B14960" i="1"/>
  <c r="O14959" i="1"/>
  <c r="E14959" i="1"/>
  <c r="B14959" i="1"/>
  <c r="O14958" i="1"/>
  <c r="E14958" i="1"/>
  <c r="B14958" i="1"/>
  <c r="O14957" i="1"/>
  <c r="E14957" i="1"/>
  <c r="B14957" i="1"/>
  <c r="O14956" i="1"/>
  <c r="E14956" i="1"/>
  <c r="B14956" i="1"/>
  <c r="O14955" i="1"/>
  <c r="E14955" i="1"/>
  <c r="B14955" i="1"/>
  <c r="O14954" i="1"/>
  <c r="E14954" i="1"/>
  <c r="B14954" i="1"/>
  <c r="O14953" i="1"/>
  <c r="E14953" i="1"/>
  <c r="B14953" i="1"/>
  <c r="O14952" i="1"/>
  <c r="E14952" i="1"/>
  <c r="B14952" i="1"/>
  <c r="O14951" i="1"/>
  <c r="E14951" i="1"/>
  <c r="B14951" i="1"/>
  <c r="O14950" i="1"/>
  <c r="E14950" i="1"/>
  <c r="B14950" i="1"/>
  <c r="O14949" i="1"/>
  <c r="E14949" i="1"/>
  <c r="B14949" i="1"/>
  <c r="O14948" i="1"/>
  <c r="E14948" i="1"/>
  <c r="B14948" i="1"/>
  <c r="O14947" i="1"/>
  <c r="E14947" i="1"/>
  <c r="B14947" i="1"/>
  <c r="O14946" i="1"/>
  <c r="E14946" i="1"/>
  <c r="B14946" i="1"/>
  <c r="O14945" i="1"/>
  <c r="E14945" i="1"/>
  <c r="B14945" i="1"/>
  <c r="O14944" i="1"/>
  <c r="E14944" i="1"/>
  <c r="B14944" i="1"/>
  <c r="O14943" i="1"/>
  <c r="E14943" i="1"/>
  <c r="B14943" i="1"/>
  <c r="O14942" i="1"/>
  <c r="E14942" i="1"/>
  <c r="B14942" i="1"/>
  <c r="O14941" i="1"/>
  <c r="E14941" i="1"/>
  <c r="B14941" i="1"/>
  <c r="O14940" i="1"/>
  <c r="E14940" i="1"/>
  <c r="B14940" i="1"/>
  <c r="O14939" i="1"/>
  <c r="E14939" i="1"/>
  <c r="B14939" i="1"/>
  <c r="O14938" i="1"/>
  <c r="E14938" i="1"/>
  <c r="B14938" i="1"/>
  <c r="O14937" i="1"/>
  <c r="E14937" i="1"/>
  <c r="B14937" i="1"/>
  <c r="O14936" i="1"/>
  <c r="E14936" i="1"/>
  <c r="B14936" i="1"/>
  <c r="O14935" i="1"/>
  <c r="E14935" i="1"/>
  <c r="B14935" i="1"/>
  <c r="O14934" i="1"/>
  <c r="E14934" i="1"/>
  <c r="B14934" i="1"/>
  <c r="O14933" i="1"/>
  <c r="E14933" i="1"/>
  <c r="B14933" i="1"/>
  <c r="O14932" i="1"/>
  <c r="E14932" i="1"/>
  <c r="B14932" i="1"/>
  <c r="O14931" i="1"/>
  <c r="E14931" i="1"/>
  <c r="B14931" i="1"/>
  <c r="O14930" i="1"/>
  <c r="E14930" i="1"/>
  <c r="B14930" i="1"/>
  <c r="O14929" i="1"/>
  <c r="E14929" i="1"/>
  <c r="B14929" i="1"/>
  <c r="O14928" i="1"/>
  <c r="E14928" i="1"/>
  <c r="B14928" i="1"/>
  <c r="O14927" i="1"/>
  <c r="E14927" i="1"/>
  <c r="B14927" i="1"/>
  <c r="O14926" i="1"/>
  <c r="E14926" i="1"/>
  <c r="B14926" i="1"/>
  <c r="O14925" i="1"/>
  <c r="E14925" i="1"/>
  <c r="B14925" i="1"/>
  <c r="O14924" i="1"/>
  <c r="E14924" i="1"/>
  <c r="B14924" i="1"/>
  <c r="O14923" i="1"/>
  <c r="E14923" i="1"/>
  <c r="B14923" i="1"/>
  <c r="O14922" i="1"/>
  <c r="E14922" i="1"/>
  <c r="B14922" i="1"/>
  <c r="O14921" i="1"/>
  <c r="E14921" i="1"/>
  <c r="B14921" i="1"/>
  <c r="O14920" i="1"/>
  <c r="E14920" i="1"/>
  <c r="B14920" i="1"/>
  <c r="O14919" i="1"/>
  <c r="E14919" i="1"/>
  <c r="B14919" i="1"/>
  <c r="O14918" i="1"/>
  <c r="E14918" i="1"/>
  <c r="B14918" i="1"/>
  <c r="O14917" i="1"/>
  <c r="E14917" i="1"/>
  <c r="B14917" i="1"/>
  <c r="O14916" i="1"/>
  <c r="E14916" i="1"/>
  <c r="B14916" i="1"/>
  <c r="O14915" i="1"/>
  <c r="E14915" i="1"/>
  <c r="B14915" i="1"/>
  <c r="O14914" i="1"/>
  <c r="E14914" i="1"/>
  <c r="B14914" i="1"/>
  <c r="O14913" i="1"/>
  <c r="E14913" i="1"/>
  <c r="B14913" i="1"/>
  <c r="O14912" i="1"/>
  <c r="E14912" i="1"/>
  <c r="B14912" i="1"/>
  <c r="O14911" i="1"/>
  <c r="E14911" i="1"/>
  <c r="B14911" i="1"/>
  <c r="O14910" i="1"/>
  <c r="E14910" i="1"/>
  <c r="B14910" i="1"/>
  <c r="O14909" i="1"/>
  <c r="E14909" i="1"/>
  <c r="B14909" i="1"/>
  <c r="O14908" i="1"/>
  <c r="E14908" i="1"/>
  <c r="B14908" i="1"/>
  <c r="O14907" i="1"/>
  <c r="E14907" i="1"/>
  <c r="B14907" i="1"/>
  <c r="O14906" i="1"/>
  <c r="E14906" i="1"/>
  <c r="B14906" i="1"/>
  <c r="O14905" i="1"/>
  <c r="E14905" i="1"/>
  <c r="B14905" i="1"/>
  <c r="O14904" i="1"/>
  <c r="E14904" i="1"/>
  <c r="B14904" i="1"/>
  <c r="O14903" i="1"/>
  <c r="E14903" i="1"/>
  <c r="B14903" i="1"/>
  <c r="O14902" i="1"/>
  <c r="E14902" i="1"/>
  <c r="B14902" i="1"/>
  <c r="O14901" i="1"/>
  <c r="E14901" i="1"/>
  <c r="B14901" i="1"/>
  <c r="O14900" i="1"/>
  <c r="E14900" i="1"/>
  <c r="B14900" i="1"/>
  <c r="O14899" i="1"/>
  <c r="E14899" i="1"/>
  <c r="B14899" i="1"/>
  <c r="O14898" i="1"/>
  <c r="E14898" i="1"/>
  <c r="B14898" i="1"/>
  <c r="O14897" i="1"/>
  <c r="E14897" i="1"/>
  <c r="B14897" i="1"/>
  <c r="O14896" i="1"/>
  <c r="E14896" i="1"/>
  <c r="B14896" i="1"/>
  <c r="O14895" i="1"/>
  <c r="E14895" i="1"/>
  <c r="B14895" i="1"/>
  <c r="O14894" i="1"/>
  <c r="E14894" i="1"/>
  <c r="B14894" i="1"/>
  <c r="O14893" i="1"/>
  <c r="E14893" i="1"/>
  <c r="B14893" i="1"/>
  <c r="O14892" i="1"/>
  <c r="E14892" i="1"/>
  <c r="B14892" i="1"/>
  <c r="O14891" i="1"/>
  <c r="E14891" i="1"/>
  <c r="B14891" i="1"/>
  <c r="O14890" i="1"/>
  <c r="E14890" i="1"/>
  <c r="B14890" i="1"/>
  <c r="O14889" i="1"/>
  <c r="E14889" i="1"/>
  <c r="B14889" i="1"/>
  <c r="O14888" i="1"/>
  <c r="E14888" i="1"/>
  <c r="B14888" i="1"/>
  <c r="O14887" i="1"/>
  <c r="E14887" i="1"/>
  <c r="B14887" i="1"/>
  <c r="O14886" i="1"/>
  <c r="E14886" i="1"/>
  <c r="B14886" i="1"/>
  <c r="O14885" i="1"/>
  <c r="E14885" i="1"/>
  <c r="B14885" i="1"/>
  <c r="O14884" i="1"/>
  <c r="E14884" i="1"/>
  <c r="B14884" i="1"/>
  <c r="O14883" i="1"/>
  <c r="E14883" i="1"/>
  <c r="B14883" i="1"/>
  <c r="O14882" i="1"/>
  <c r="E14882" i="1"/>
  <c r="B14882" i="1"/>
  <c r="O14881" i="1"/>
  <c r="E14881" i="1"/>
  <c r="B14881" i="1"/>
  <c r="O14880" i="1"/>
  <c r="E14880" i="1"/>
  <c r="B14880" i="1"/>
  <c r="O14879" i="1"/>
  <c r="E14879" i="1"/>
  <c r="B14879" i="1"/>
  <c r="O14878" i="1"/>
  <c r="E14878" i="1"/>
  <c r="B14878" i="1"/>
  <c r="O14877" i="1"/>
  <c r="E14877" i="1"/>
  <c r="B14877" i="1"/>
  <c r="O14876" i="1"/>
  <c r="E14876" i="1"/>
  <c r="B14876" i="1"/>
  <c r="O14875" i="1"/>
  <c r="E14875" i="1"/>
  <c r="B14875" i="1"/>
  <c r="O14874" i="1"/>
  <c r="E14874" i="1"/>
  <c r="B14874" i="1"/>
  <c r="O14873" i="1"/>
  <c r="E14873" i="1"/>
  <c r="B14873" i="1"/>
  <c r="O14872" i="1"/>
  <c r="E14872" i="1"/>
  <c r="B14872" i="1"/>
  <c r="O14871" i="1"/>
  <c r="E14871" i="1"/>
  <c r="B14871" i="1"/>
  <c r="O14870" i="1"/>
  <c r="E14870" i="1"/>
  <c r="B14870" i="1"/>
  <c r="O14869" i="1"/>
  <c r="E14869" i="1"/>
  <c r="B14869" i="1"/>
  <c r="O14868" i="1"/>
  <c r="E14868" i="1"/>
  <c r="B14868" i="1"/>
  <c r="O14867" i="1"/>
  <c r="E14867" i="1"/>
  <c r="B14867" i="1"/>
  <c r="O14866" i="1"/>
  <c r="E14866" i="1"/>
  <c r="B14866" i="1"/>
  <c r="O14865" i="1"/>
  <c r="E14865" i="1"/>
  <c r="B14865" i="1"/>
  <c r="O14864" i="1"/>
  <c r="E14864" i="1"/>
  <c r="B14864" i="1"/>
  <c r="O14863" i="1"/>
  <c r="E14863" i="1"/>
  <c r="B14863" i="1"/>
  <c r="O14862" i="1"/>
  <c r="E14862" i="1"/>
  <c r="B14862" i="1"/>
  <c r="O14861" i="1"/>
  <c r="E14861" i="1"/>
  <c r="B14861" i="1"/>
  <c r="O14860" i="1"/>
  <c r="E14860" i="1"/>
  <c r="B14860" i="1"/>
  <c r="O14859" i="1"/>
  <c r="E14859" i="1"/>
  <c r="B14859" i="1"/>
  <c r="O14858" i="1"/>
  <c r="E14858" i="1"/>
  <c r="B14858" i="1"/>
  <c r="O14857" i="1"/>
  <c r="E14857" i="1"/>
  <c r="B14857" i="1"/>
  <c r="O14856" i="1"/>
  <c r="E14856" i="1"/>
  <c r="B14856" i="1"/>
  <c r="O14855" i="1"/>
  <c r="E14855" i="1"/>
  <c r="B14855" i="1"/>
  <c r="O14854" i="1"/>
  <c r="E14854" i="1"/>
  <c r="B14854" i="1"/>
  <c r="O14853" i="1"/>
  <c r="E14853" i="1"/>
  <c r="B14853" i="1"/>
  <c r="O14852" i="1"/>
  <c r="E14852" i="1"/>
  <c r="B14852" i="1"/>
  <c r="O14851" i="1"/>
  <c r="E14851" i="1"/>
  <c r="B14851" i="1"/>
  <c r="O14850" i="1"/>
  <c r="E14850" i="1"/>
  <c r="B14850" i="1"/>
  <c r="O14849" i="1"/>
  <c r="E14849" i="1"/>
  <c r="B14849" i="1"/>
  <c r="O14848" i="1"/>
  <c r="E14848" i="1"/>
  <c r="B14848" i="1"/>
  <c r="O14847" i="1"/>
  <c r="E14847" i="1"/>
  <c r="B14847" i="1"/>
  <c r="O14846" i="1"/>
  <c r="E14846" i="1"/>
  <c r="B14846" i="1"/>
  <c r="O14845" i="1"/>
  <c r="E14845" i="1"/>
  <c r="B14845" i="1"/>
  <c r="O14844" i="1"/>
  <c r="E14844" i="1"/>
  <c r="B14844" i="1"/>
  <c r="O14843" i="1"/>
  <c r="E14843" i="1"/>
  <c r="B14843" i="1"/>
  <c r="O14842" i="1"/>
  <c r="E14842" i="1"/>
  <c r="B14842" i="1"/>
  <c r="O14841" i="1"/>
  <c r="E14841" i="1"/>
  <c r="B14841" i="1"/>
  <c r="O14840" i="1"/>
  <c r="E14840" i="1"/>
  <c r="B14840" i="1"/>
  <c r="O14839" i="1"/>
  <c r="E14839" i="1"/>
  <c r="B14839" i="1"/>
  <c r="O14838" i="1"/>
  <c r="E14838" i="1"/>
  <c r="B14838" i="1"/>
  <c r="O14837" i="1"/>
  <c r="E14837" i="1"/>
  <c r="B14837" i="1"/>
  <c r="O14836" i="1"/>
  <c r="E14836" i="1"/>
  <c r="B14836" i="1"/>
  <c r="O14835" i="1"/>
  <c r="E14835" i="1"/>
  <c r="B14835" i="1"/>
  <c r="O14834" i="1"/>
  <c r="E14834" i="1"/>
  <c r="B14834" i="1"/>
  <c r="O14833" i="1"/>
  <c r="E14833" i="1"/>
  <c r="B14833" i="1"/>
  <c r="O14832" i="1"/>
  <c r="E14832" i="1"/>
  <c r="B14832" i="1"/>
  <c r="O14831" i="1"/>
  <c r="E14831" i="1"/>
  <c r="B14831" i="1"/>
  <c r="O14830" i="1"/>
  <c r="E14830" i="1"/>
  <c r="B14830" i="1"/>
  <c r="O14829" i="1"/>
  <c r="E14829" i="1"/>
  <c r="B14829" i="1"/>
  <c r="O14828" i="1"/>
  <c r="E14828" i="1"/>
  <c r="B14828" i="1"/>
  <c r="O14827" i="1"/>
  <c r="E14827" i="1"/>
  <c r="B14827" i="1"/>
  <c r="O14826" i="1"/>
  <c r="E14826" i="1"/>
  <c r="B14826" i="1"/>
  <c r="O14825" i="1"/>
  <c r="E14825" i="1"/>
  <c r="B14825" i="1"/>
  <c r="O14824" i="1"/>
  <c r="E14824" i="1"/>
  <c r="B14824" i="1"/>
  <c r="O14823" i="1"/>
  <c r="E14823" i="1"/>
  <c r="B14823" i="1"/>
  <c r="O14822" i="1"/>
  <c r="E14822" i="1"/>
  <c r="B14822" i="1"/>
  <c r="O14821" i="1"/>
  <c r="E14821" i="1"/>
  <c r="B14821" i="1"/>
  <c r="O14820" i="1"/>
  <c r="E14820" i="1"/>
  <c r="B14820" i="1"/>
  <c r="O14819" i="1"/>
  <c r="E14819" i="1"/>
  <c r="B14819" i="1"/>
  <c r="O14818" i="1"/>
  <c r="E14818" i="1"/>
  <c r="B14818" i="1"/>
  <c r="O14817" i="1"/>
  <c r="E14817" i="1"/>
  <c r="B14817" i="1"/>
  <c r="O14816" i="1"/>
  <c r="E14816" i="1"/>
  <c r="B14816" i="1"/>
  <c r="O14815" i="1"/>
  <c r="E14815" i="1"/>
  <c r="B14815" i="1"/>
  <c r="O14814" i="1"/>
  <c r="E14814" i="1"/>
  <c r="B14814" i="1"/>
  <c r="O14813" i="1"/>
  <c r="E14813" i="1"/>
  <c r="B14813" i="1"/>
  <c r="O14812" i="1"/>
  <c r="E14812" i="1"/>
  <c r="B14812" i="1"/>
  <c r="O14811" i="1"/>
  <c r="E14811" i="1"/>
  <c r="B14811" i="1"/>
  <c r="O14810" i="1"/>
  <c r="E14810" i="1"/>
  <c r="B14810" i="1"/>
  <c r="O14809" i="1"/>
  <c r="E14809" i="1"/>
  <c r="B14809" i="1"/>
  <c r="O14808" i="1"/>
  <c r="E14808" i="1"/>
  <c r="B14808" i="1"/>
  <c r="O14807" i="1"/>
  <c r="E14807" i="1"/>
  <c r="B14807" i="1"/>
  <c r="O14806" i="1"/>
  <c r="E14806" i="1"/>
  <c r="B14806" i="1"/>
  <c r="O14805" i="1"/>
  <c r="E14805" i="1"/>
  <c r="B14805" i="1"/>
  <c r="O14804" i="1"/>
  <c r="E14804" i="1"/>
  <c r="B14804" i="1"/>
  <c r="O14803" i="1"/>
  <c r="E14803" i="1"/>
  <c r="B14803" i="1"/>
  <c r="O14802" i="1"/>
  <c r="E14802" i="1"/>
  <c r="B14802" i="1"/>
  <c r="O14801" i="1"/>
  <c r="E14801" i="1"/>
  <c r="B14801" i="1"/>
  <c r="O14800" i="1"/>
  <c r="E14800" i="1"/>
  <c r="B14800" i="1"/>
  <c r="O14799" i="1"/>
  <c r="E14799" i="1"/>
  <c r="B14799" i="1"/>
  <c r="O14798" i="1"/>
  <c r="E14798" i="1"/>
  <c r="B14798" i="1"/>
  <c r="O14797" i="1"/>
  <c r="E14797" i="1"/>
  <c r="B14797" i="1"/>
  <c r="O14796" i="1"/>
  <c r="E14796" i="1"/>
  <c r="B14796" i="1"/>
  <c r="O14795" i="1"/>
  <c r="E14795" i="1"/>
  <c r="B14795" i="1"/>
  <c r="O14794" i="1"/>
  <c r="E14794" i="1"/>
  <c r="B14794" i="1"/>
  <c r="O14793" i="1"/>
  <c r="E14793" i="1"/>
  <c r="B14793" i="1"/>
  <c r="O14792" i="1"/>
  <c r="E14792" i="1"/>
  <c r="B14792" i="1"/>
  <c r="O14791" i="1"/>
  <c r="E14791" i="1"/>
  <c r="B14791" i="1"/>
  <c r="O14790" i="1"/>
  <c r="E14790" i="1"/>
  <c r="B14790" i="1"/>
  <c r="O14789" i="1"/>
  <c r="E14789" i="1"/>
  <c r="B14789" i="1"/>
  <c r="O14788" i="1"/>
  <c r="E14788" i="1"/>
  <c r="B14788" i="1"/>
  <c r="O14787" i="1"/>
  <c r="E14787" i="1"/>
  <c r="B14787" i="1"/>
  <c r="O14786" i="1"/>
  <c r="E14786" i="1"/>
  <c r="B14786" i="1"/>
  <c r="O14785" i="1"/>
  <c r="E14785" i="1"/>
  <c r="B14785" i="1"/>
  <c r="O14784" i="1"/>
  <c r="E14784" i="1"/>
  <c r="B14784" i="1"/>
  <c r="O14783" i="1"/>
  <c r="E14783" i="1"/>
  <c r="B14783" i="1"/>
  <c r="O14782" i="1"/>
  <c r="E14782" i="1"/>
  <c r="B14782" i="1"/>
  <c r="O14781" i="1"/>
  <c r="E14781" i="1"/>
  <c r="B14781" i="1"/>
  <c r="O14780" i="1"/>
  <c r="E14780" i="1"/>
  <c r="B14780" i="1"/>
  <c r="O14779" i="1"/>
  <c r="E14779" i="1"/>
  <c r="B14779" i="1"/>
  <c r="O14778" i="1"/>
  <c r="E14778" i="1"/>
  <c r="B14778" i="1"/>
  <c r="O14777" i="1"/>
  <c r="E14777" i="1"/>
  <c r="B14777" i="1"/>
  <c r="O14776" i="1"/>
  <c r="E14776" i="1"/>
  <c r="B14776" i="1"/>
  <c r="O14775" i="1"/>
  <c r="E14775" i="1"/>
  <c r="B14775" i="1"/>
  <c r="O14774" i="1"/>
  <c r="E14774" i="1"/>
  <c r="B14774" i="1"/>
  <c r="O14773" i="1"/>
  <c r="E14773" i="1"/>
  <c r="B14773" i="1"/>
  <c r="O14772" i="1"/>
  <c r="E14772" i="1"/>
  <c r="B14772" i="1"/>
  <c r="O14771" i="1"/>
  <c r="E14771" i="1"/>
  <c r="B14771" i="1"/>
  <c r="O14770" i="1"/>
  <c r="E14770" i="1"/>
  <c r="B14770" i="1"/>
  <c r="O14769" i="1"/>
  <c r="E14769" i="1"/>
  <c r="B14769" i="1"/>
  <c r="O14768" i="1"/>
  <c r="E14768" i="1"/>
  <c r="B14768" i="1"/>
  <c r="O14767" i="1"/>
  <c r="E14767" i="1"/>
  <c r="B14767" i="1"/>
  <c r="O14766" i="1"/>
  <c r="E14766" i="1"/>
  <c r="B14766" i="1"/>
  <c r="O14765" i="1"/>
  <c r="E14765" i="1"/>
  <c r="B14765" i="1"/>
  <c r="O14764" i="1"/>
  <c r="E14764" i="1"/>
  <c r="B14764" i="1"/>
  <c r="O14763" i="1"/>
  <c r="E14763" i="1"/>
  <c r="B14763" i="1"/>
  <c r="O14762" i="1"/>
  <c r="E14762" i="1"/>
  <c r="B14762" i="1"/>
  <c r="O14761" i="1"/>
  <c r="E14761" i="1"/>
  <c r="B14761" i="1"/>
  <c r="O14760" i="1"/>
  <c r="E14760" i="1"/>
  <c r="B14760" i="1"/>
  <c r="O14759" i="1"/>
  <c r="E14759" i="1"/>
  <c r="B14759" i="1"/>
  <c r="O14758" i="1"/>
  <c r="E14758" i="1"/>
  <c r="B14758" i="1"/>
  <c r="O14757" i="1"/>
  <c r="E14757" i="1"/>
  <c r="B14757" i="1"/>
  <c r="O14756" i="1"/>
  <c r="E14756" i="1"/>
  <c r="B14756" i="1"/>
  <c r="O14755" i="1"/>
  <c r="E14755" i="1"/>
  <c r="B14755" i="1"/>
  <c r="O14754" i="1"/>
  <c r="E14754" i="1"/>
  <c r="B14754" i="1"/>
  <c r="O14753" i="1"/>
  <c r="E14753" i="1"/>
  <c r="B14753" i="1"/>
  <c r="O14752" i="1"/>
  <c r="E14752" i="1"/>
  <c r="B14752" i="1"/>
  <c r="O14751" i="1"/>
  <c r="E14751" i="1"/>
  <c r="B14751" i="1"/>
  <c r="O14750" i="1"/>
  <c r="E14750" i="1"/>
  <c r="B14750" i="1"/>
  <c r="O14749" i="1"/>
  <c r="E14749" i="1"/>
  <c r="B14749" i="1"/>
  <c r="O14748" i="1"/>
  <c r="E14748" i="1"/>
  <c r="B14748" i="1"/>
  <c r="O14747" i="1"/>
  <c r="E14747" i="1"/>
  <c r="B14747" i="1"/>
  <c r="O14746" i="1"/>
  <c r="E14746" i="1"/>
  <c r="B14746" i="1"/>
  <c r="O14745" i="1"/>
  <c r="E14745" i="1"/>
  <c r="B14745" i="1"/>
  <c r="O14744" i="1"/>
  <c r="E14744" i="1"/>
  <c r="B14744" i="1"/>
  <c r="O14743" i="1"/>
  <c r="E14743" i="1"/>
  <c r="B14743" i="1"/>
  <c r="O14742" i="1"/>
  <c r="E14742" i="1"/>
  <c r="B14742" i="1"/>
  <c r="O14741" i="1"/>
  <c r="E14741" i="1"/>
  <c r="B14741" i="1"/>
  <c r="O14740" i="1"/>
  <c r="E14740" i="1"/>
  <c r="B14740" i="1"/>
  <c r="O14739" i="1"/>
  <c r="E14739" i="1"/>
  <c r="B14739" i="1"/>
  <c r="O14738" i="1"/>
  <c r="E14738" i="1"/>
  <c r="B14738" i="1"/>
  <c r="O14737" i="1"/>
  <c r="E14737" i="1"/>
  <c r="B14737" i="1"/>
  <c r="O14736" i="1"/>
  <c r="E14736" i="1"/>
  <c r="B14736" i="1"/>
  <c r="O14735" i="1"/>
  <c r="E14735" i="1"/>
  <c r="B14735" i="1"/>
  <c r="O14734" i="1"/>
  <c r="E14734" i="1"/>
  <c r="B14734" i="1"/>
  <c r="O14733" i="1"/>
  <c r="E14733" i="1"/>
  <c r="B14733" i="1"/>
  <c r="O14732" i="1"/>
  <c r="E14732" i="1"/>
  <c r="B14732" i="1"/>
  <c r="O14731" i="1"/>
  <c r="E14731" i="1"/>
  <c r="B14731" i="1"/>
  <c r="O14730" i="1"/>
  <c r="E14730" i="1"/>
  <c r="B14730" i="1"/>
  <c r="O14729" i="1"/>
  <c r="E14729" i="1"/>
  <c r="B14729" i="1"/>
  <c r="O14728" i="1"/>
  <c r="E14728" i="1"/>
  <c r="B14728" i="1"/>
  <c r="O14727" i="1"/>
  <c r="E14727" i="1"/>
  <c r="B14727" i="1"/>
  <c r="O14726" i="1"/>
  <c r="E14726" i="1"/>
  <c r="B14726" i="1"/>
  <c r="O14725" i="1"/>
  <c r="E14725" i="1"/>
  <c r="B14725" i="1"/>
  <c r="O14724" i="1"/>
  <c r="E14724" i="1"/>
  <c r="B14724" i="1"/>
  <c r="O14723" i="1"/>
  <c r="E14723" i="1"/>
  <c r="B14723" i="1"/>
  <c r="O14722" i="1"/>
  <c r="E14722" i="1"/>
  <c r="B14722" i="1"/>
  <c r="O14721" i="1"/>
  <c r="E14721" i="1"/>
  <c r="B14721" i="1"/>
  <c r="O14720" i="1"/>
  <c r="E14720" i="1"/>
  <c r="B14720" i="1"/>
  <c r="O14719" i="1"/>
  <c r="E14719" i="1"/>
  <c r="B14719" i="1"/>
  <c r="O14718" i="1"/>
  <c r="E14718" i="1"/>
  <c r="B14718" i="1"/>
  <c r="O14717" i="1"/>
  <c r="E14717" i="1"/>
  <c r="B14717" i="1"/>
  <c r="O14716" i="1"/>
  <c r="E14716" i="1"/>
  <c r="B14716" i="1"/>
  <c r="O14715" i="1"/>
  <c r="E14715" i="1"/>
  <c r="B14715" i="1"/>
  <c r="O14714" i="1"/>
  <c r="E14714" i="1"/>
  <c r="B14714" i="1"/>
  <c r="O14713" i="1"/>
  <c r="E14713" i="1"/>
  <c r="B14713" i="1"/>
  <c r="O14712" i="1"/>
  <c r="E14712" i="1"/>
  <c r="B14712" i="1"/>
  <c r="O14711" i="1"/>
  <c r="E14711" i="1"/>
  <c r="B14711" i="1"/>
  <c r="O14710" i="1"/>
  <c r="E14710" i="1"/>
  <c r="B14710" i="1"/>
  <c r="O14709" i="1"/>
  <c r="E14709" i="1"/>
  <c r="B14709" i="1"/>
  <c r="O14708" i="1"/>
  <c r="E14708" i="1"/>
  <c r="B14708" i="1"/>
  <c r="O14707" i="1"/>
  <c r="E14707" i="1"/>
  <c r="B14707" i="1"/>
  <c r="O14706" i="1"/>
  <c r="E14706" i="1"/>
  <c r="B14706" i="1"/>
  <c r="O14705" i="1"/>
  <c r="E14705" i="1"/>
  <c r="B14705" i="1"/>
  <c r="O14704" i="1"/>
  <c r="E14704" i="1"/>
  <c r="B14704" i="1"/>
  <c r="O14703" i="1"/>
  <c r="E14703" i="1"/>
  <c r="B14703" i="1"/>
  <c r="O14702" i="1"/>
  <c r="E14702" i="1"/>
  <c r="B14702" i="1"/>
  <c r="O14701" i="1"/>
  <c r="E14701" i="1"/>
  <c r="B14701" i="1"/>
  <c r="O14700" i="1"/>
  <c r="E14700" i="1"/>
  <c r="B14700" i="1"/>
  <c r="O14699" i="1"/>
  <c r="E14699" i="1"/>
  <c r="B14699" i="1"/>
  <c r="O14698" i="1"/>
  <c r="E14698" i="1"/>
  <c r="B14698" i="1"/>
  <c r="O14697" i="1"/>
  <c r="E14697" i="1"/>
  <c r="B14697" i="1"/>
  <c r="O14696" i="1"/>
  <c r="E14696" i="1"/>
  <c r="B14696" i="1"/>
  <c r="O14695" i="1"/>
  <c r="E14695" i="1"/>
  <c r="B14695" i="1"/>
  <c r="O14694" i="1"/>
  <c r="E14694" i="1"/>
  <c r="B14694" i="1"/>
  <c r="O14693" i="1"/>
  <c r="E14693" i="1"/>
  <c r="B14693" i="1"/>
  <c r="O14692" i="1"/>
  <c r="E14692" i="1"/>
  <c r="B14692" i="1"/>
  <c r="O14691" i="1"/>
  <c r="E14691" i="1"/>
  <c r="B14691" i="1"/>
  <c r="O14690" i="1"/>
  <c r="E14690" i="1"/>
  <c r="B14690" i="1"/>
  <c r="O14689" i="1"/>
  <c r="E14689" i="1"/>
  <c r="B14689" i="1"/>
  <c r="O14688" i="1"/>
  <c r="E14688" i="1"/>
  <c r="B14688" i="1"/>
  <c r="O14687" i="1"/>
  <c r="E14687" i="1"/>
  <c r="B14687" i="1"/>
  <c r="O14686" i="1"/>
  <c r="E14686" i="1"/>
  <c r="B14686" i="1"/>
  <c r="O14685" i="1"/>
  <c r="E14685" i="1"/>
  <c r="B14685" i="1"/>
  <c r="O14684" i="1"/>
  <c r="E14684" i="1"/>
  <c r="B14684" i="1"/>
  <c r="O14683" i="1"/>
  <c r="E14683" i="1"/>
  <c r="B14683" i="1"/>
  <c r="O14682" i="1"/>
  <c r="E14682" i="1"/>
  <c r="B14682" i="1"/>
  <c r="O14681" i="1"/>
  <c r="E14681" i="1"/>
  <c r="B14681" i="1"/>
  <c r="O14680" i="1"/>
  <c r="E14680" i="1"/>
  <c r="B14680" i="1"/>
  <c r="O14679" i="1"/>
  <c r="E14679" i="1"/>
  <c r="B14679" i="1"/>
  <c r="O14678" i="1"/>
  <c r="E14678" i="1"/>
  <c r="B14678" i="1"/>
  <c r="O14677" i="1"/>
  <c r="E14677" i="1"/>
  <c r="B14677" i="1"/>
  <c r="O14676" i="1"/>
  <c r="E14676" i="1"/>
  <c r="B14676" i="1"/>
  <c r="O14675" i="1"/>
  <c r="E14675" i="1"/>
  <c r="B14675" i="1"/>
  <c r="O14674" i="1"/>
  <c r="E14674" i="1"/>
  <c r="B14674" i="1"/>
  <c r="O14673" i="1"/>
  <c r="E14673" i="1"/>
  <c r="B14673" i="1"/>
  <c r="O14672" i="1"/>
  <c r="E14672" i="1"/>
  <c r="B14672" i="1"/>
  <c r="O14671" i="1"/>
  <c r="E14671" i="1"/>
  <c r="B14671" i="1"/>
  <c r="O14670" i="1"/>
  <c r="E14670" i="1"/>
  <c r="B14670" i="1"/>
  <c r="O14669" i="1"/>
  <c r="E14669" i="1"/>
  <c r="B14669" i="1"/>
  <c r="O14668" i="1"/>
  <c r="E14668" i="1"/>
  <c r="B14668" i="1"/>
  <c r="O14667" i="1"/>
  <c r="E14667" i="1"/>
  <c r="B14667" i="1"/>
  <c r="O14666" i="1"/>
  <c r="E14666" i="1"/>
  <c r="B14666" i="1"/>
  <c r="O14665" i="1"/>
  <c r="E14665" i="1"/>
  <c r="B14665" i="1"/>
  <c r="O14664" i="1"/>
  <c r="E14664" i="1"/>
  <c r="B14664" i="1"/>
  <c r="O14663" i="1"/>
  <c r="E14663" i="1"/>
  <c r="B14663" i="1"/>
  <c r="O14662" i="1"/>
  <c r="E14662" i="1"/>
  <c r="B14662" i="1"/>
  <c r="O14661" i="1"/>
  <c r="E14661" i="1"/>
  <c r="B14661" i="1"/>
  <c r="O14660" i="1"/>
  <c r="E14660" i="1"/>
  <c r="B14660" i="1"/>
  <c r="O14659" i="1"/>
  <c r="E14659" i="1"/>
  <c r="B14659" i="1"/>
  <c r="O14658" i="1"/>
  <c r="E14658" i="1"/>
  <c r="B14658" i="1"/>
  <c r="O14657" i="1"/>
  <c r="E14657" i="1"/>
  <c r="B14657" i="1"/>
  <c r="O14656" i="1"/>
  <c r="E14656" i="1"/>
  <c r="B14656" i="1"/>
  <c r="O14655" i="1"/>
  <c r="E14655" i="1"/>
  <c r="B14655" i="1"/>
  <c r="O14654" i="1"/>
  <c r="E14654" i="1"/>
  <c r="B14654" i="1"/>
  <c r="O14653" i="1"/>
  <c r="E14653" i="1"/>
  <c r="B14653" i="1"/>
  <c r="O14652" i="1"/>
  <c r="E14652" i="1"/>
  <c r="B14652" i="1"/>
  <c r="O14651" i="1"/>
  <c r="E14651" i="1"/>
  <c r="B14651" i="1"/>
  <c r="O14650" i="1"/>
  <c r="E14650" i="1"/>
  <c r="B14650" i="1"/>
  <c r="O14649" i="1"/>
  <c r="E14649" i="1"/>
  <c r="B14649" i="1"/>
  <c r="O14648" i="1"/>
  <c r="E14648" i="1"/>
  <c r="B14648" i="1"/>
  <c r="O14647" i="1"/>
  <c r="E14647" i="1"/>
  <c r="B14647" i="1"/>
  <c r="O14646" i="1"/>
  <c r="E14646" i="1"/>
  <c r="B14646" i="1"/>
  <c r="O14645" i="1"/>
  <c r="E14645" i="1"/>
  <c r="B14645" i="1"/>
  <c r="O14644" i="1"/>
  <c r="E14644" i="1"/>
  <c r="B14644" i="1"/>
  <c r="O14643" i="1"/>
  <c r="E14643" i="1"/>
  <c r="B14643" i="1"/>
  <c r="O14642" i="1"/>
  <c r="E14642" i="1"/>
  <c r="B14642" i="1"/>
  <c r="O14641" i="1"/>
  <c r="E14641" i="1"/>
  <c r="B14641" i="1"/>
  <c r="O14640" i="1"/>
  <c r="E14640" i="1"/>
  <c r="B14640" i="1"/>
  <c r="O14639" i="1"/>
  <c r="E14639" i="1"/>
  <c r="B14639" i="1"/>
  <c r="O14638" i="1"/>
  <c r="E14638" i="1"/>
  <c r="B14638" i="1"/>
  <c r="O14637" i="1"/>
  <c r="E14637" i="1"/>
  <c r="B14637" i="1"/>
  <c r="O14636" i="1"/>
  <c r="E14636" i="1"/>
  <c r="B14636" i="1"/>
  <c r="O14635" i="1"/>
  <c r="E14635" i="1"/>
  <c r="B14635" i="1"/>
  <c r="O14634" i="1"/>
  <c r="E14634" i="1"/>
  <c r="B14634" i="1"/>
  <c r="O14633" i="1"/>
  <c r="E14633" i="1"/>
  <c r="B14633" i="1"/>
  <c r="O14632" i="1"/>
  <c r="E14632" i="1"/>
  <c r="B14632" i="1"/>
  <c r="O14631" i="1"/>
  <c r="E14631" i="1"/>
  <c r="B14631" i="1"/>
  <c r="O14630" i="1"/>
  <c r="E14630" i="1"/>
  <c r="B14630" i="1"/>
  <c r="O14629" i="1"/>
  <c r="E14629" i="1"/>
  <c r="B14629" i="1"/>
  <c r="O14628" i="1"/>
  <c r="E14628" i="1"/>
  <c r="B14628" i="1"/>
  <c r="O14627" i="1"/>
  <c r="E14627" i="1"/>
  <c r="B14627" i="1"/>
  <c r="O14626" i="1"/>
  <c r="E14626" i="1"/>
  <c r="B14626" i="1"/>
  <c r="O14625" i="1"/>
  <c r="E14625" i="1"/>
  <c r="B14625" i="1"/>
  <c r="O14624" i="1"/>
  <c r="E14624" i="1"/>
  <c r="B14624" i="1"/>
  <c r="O14623" i="1"/>
  <c r="E14623" i="1"/>
  <c r="B14623" i="1"/>
  <c r="O14622" i="1"/>
  <c r="E14622" i="1"/>
  <c r="B14622" i="1"/>
  <c r="O14621" i="1"/>
  <c r="E14621" i="1"/>
  <c r="B14621" i="1"/>
  <c r="O14620" i="1"/>
  <c r="E14620" i="1"/>
  <c r="B14620" i="1"/>
  <c r="O14619" i="1"/>
  <c r="E14619" i="1"/>
  <c r="B14619" i="1"/>
  <c r="O14618" i="1"/>
  <c r="E14618" i="1"/>
  <c r="B14618" i="1"/>
  <c r="O14617" i="1"/>
  <c r="E14617" i="1"/>
  <c r="B14617" i="1"/>
  <c r="O14616" i="1"/>
  <c r="E14616" i="1"/>
  <c r="B14616" i="1"/>
  <c r="O14615" i="1"/>
  <c r="E14615" i="1"/>
  <c r="B14615" i="1"/>
  <c r="O14614" i="1"/>
  <c r="E14614" i="1"/>
  <c r="B14614" i="1"/>
  <c r="O14613" i="1"/>
  <c r="E14613" i="1"/>
  <c r="B14613" i="1"/>
  <c r="O14612" i="1"/>
  <c r="E14612" i="1"/>
  <c r="B14612" i="1"/>
  <c r="O14611" i="1"/>
  <c r="E14611" i="1"/>
  <c r="B14611" i="1"/>
  <c r="O14610" i="1"/>
  <c r="E14610" i="1"/>
  <c r="B14610" i="1"/>
  <c r="O14609" i="1"/>
  <c r="E14609" i="1"/>
  <c r="B14609" i="1"/>
  <c r="O14608" i="1"/>
  <c r="E14608" i="1"/>
  <c r="B14608" i="1"/>
  <c r="O14607" i="1"/>
  <c r="E14607" i="1"/>
  <c r="B14607" i="1"/>
  <c r="O14606" i="1"/>
  <c r="E14606" i="1"/>
  <c r="B14606" i="1"/>
  <c r="O14605" i="1"/>
  <c r="E14605" i="1"/>
  <c r="B14605" i="1"/>
  <c r="O14604" i="1"/>
  <c r="E14604" i="1"/>
  <c r="B14604" i="1"/>
  <c r="O14603" i="1"/>
  <c r="E14603" i="1"/>
  <c r="B14603" i="1"/>
  <c r="O14602" i="1"/>
  <c r="E14602" i="1"/>
  <c r="B14602" i="1"/>
  <c r="O14601" i="1"/>
  <c r="E14601" i="1"/>
  <c r="B14601" i="1"/>
  <c r="O14600" i="1"/>
  <c r="E14600" i="1"/>
  <c r="B14600" i="1"/>
  <c r="O14599" i="1"/>
  <c r="E14599" i="1"/>
  <c r="B14599" i="1"/>
  <c r="O14598" i="1"/>
  <c r="E14598" i="1"/>
  <c r="B14598" i="1"/>
  <c r="O14597" i="1"/>
  <c r="E14597" i="1"/>
  <c r="B14597" i="1"/>
  <c r="O14596" i="1"/>
  <c r="E14596" i="1"/>
  <c r="B14596" i="1"/>
  <c r="O14595" i="1"/>
  <c r="E14595" i="1"/>
  <c r="B14595" i="1"/>
  <c r="O14594" i="1"/>
  <c r="E14594" i="1"/>
  <c r="B14594" i="1"/>
  <c r="O14593" i="1"/>
  <c r="E14593" i="1"/>
  <c r="B14593" i="1"/>
  <c r="O14592" i="1"/>
  <c r="E14592" i="1"/>
  <c r="B14592" i="1"/>
  <c r="O14591" i="1"/>
  <c r="E14591" i="1"/>
  <c r="B14591" i="1"/>
  <c r="O14590" i="1"/>
  <c r="E14590" i="1"/>
  <c r="B14590" i="1"/>
  <c r="O14589" i="1"/>
  <c r="E14589" i="1"/>
  <c r="B14589" i="1"/>
  <c r="O14588" i="1"/>
  <c r="E14588" i="1"/>
  <c r="B14588" i="1"/>
  <c r="O14587" i="1"/>
  <c r="E14587" i="1"/>
  <c r="B14587" i="1"/>
  <c r="O14586" i="1"/>
  <c r="E14586" i="1"/>
  <c r="B14586" i="1"/>
  <c r="O14585" i="1"/>
  <c r="E14585" i="1"/>
  <c r="B14585" i="1"/>
  <c r="O14584" i="1"/>
  <c r="E14584" i="1"/>
  <c r="B14584" i="1"/>
  <c r="O14583" i="1"/>
  <c r="E14583" i="1"/>
  <c r="B14583" i="1"/>
  <c r="O14582" i="1"/>
  <c r="E14582" i="1"/>
  <c r="B14582" i="1"/>
  <c r="O14581" i="1"/>
  <c r="E14581" i="1"/>
  <c r="B14581" i="1"/>
  <c r="O14580" i="1"/>
  <c r="E14580" i="1"/>
  <c r="B14580" i="1"/>
  <c r="O14579" i="1"/>
  <c r="E14579" i="1"/>
  <c r="B14579" i="1"/>
  <c r="O14578" i="1"/>
  <c r="E14578" i="1"/>
  <c r="B14578" i="1"/>
  <c r="O14577" i="1"/>
  <c r="E14577" i="1"/>
  <c r="B14577" i="1"/>
  <c r="O14576" i="1"/>
  <c r="E14576" i="1"/>
  <c r="B14576" i="1"/>
  <c r="O14575" i="1"/>
  <c r="E14575" i="1"/>
  <c r="B14575" i="1"/>
  <c r="O14574" i="1"/>
  <c r="E14574" i="1"/>
  <c r="B14574" i="1"/>
  <c r="O14573" i="1"/>
  <c r="E14573" i="1"/>
  <c r="B14573" i="1"/>
  <c r="O14572" i="1"/>
  <c r="E14572" i="1"/>
  <c r="B14572" i="1"/>
  <c r="O14571" i="1"/>
  <c r="E14571" i="1"/>
  <c r="B14571" i="1"/>
  <c r="O14570" i="1"/>
  <c r="E14570" i="1"/>
  <c r="B14570" i="1"/>
  <c r="O14569" i="1"/>
  <c r="E14569" i="1"/>
  <c r="B14569" i="1"/>
  <c r="O14568" i="1"/>
  <c r="E14568" i="1"/>
  <c r="B14568" i="1"/>
  <c r="O14567" i="1"/>
  <c r="E14567" i="1"/>
  <c r="B14567" i="1"/>
  <c r="O14566" i="1"/>
  <c r="E14566" i="1"/>
  <c r="B14566" i="1"/>
  <c r="O14565" i="1"/>
  <c r="E14565" i="1"/>
  <c r="B14565" i="1"/>
  <c r="O14564" i="1"/>
  <c r="E14564" i="1"/>
  <c r="B14564" i="1"/>
  <c r="O14563" i="1"/>
  <c r="E14563" i="1"/>
  <c r="B14563" i="1"/>
  <c r="O14562" i="1"/>
  <c r="E14562" i="1"/>
  <c r="B14562" i="1"/>
  <c r="O14561" i="1"/>
  <c r="E14561" i="1"/>
  <c r="B14561" i="1"/>
  <c r="O14560" i="1"/>
  <c r="E14560" i="1"/>
  <c r="B14560" i="1"/>
  <c r="O14559" i="1"/>
  <c r="E14559" i="1"/>
  <c r="B14559" i="1"/>
  <c r="O14558" i="1"/>
  <c r="E14558" i="1"/>
  <c r="B14558" i="1"/>
  <c r="O14557" i="1"/>
  <c r="E14557" i="1"/>
  <c r="B14557" i="1"/>
  <c r="O14556" i="1"/>
  <c r="E14556" i="1"/>
  <c r="B14556" i="1"/>
  <c r="O14555" i="1"/>
  <c r="E14555" i="1"/>
  <c r="B14555" i="1"/>
  <c r="O14554" i="1"/>
  <c r="E14554" i="1"/>
  <c r="B14554" i="1"/>
  <c r="O14553" i="1"/>
  <c r="E14553" i="1"/>
  <c r="B14553" i="1"/>
  <c r="O14552" i="1"/>
  <c r="E14552" i="1"/>
  <c r="B14552" i="1"/>
  <c r="O14551" i="1"/>
  <c r="E14551" i="1"/>
  <c r="B14551" i="1"/>
  <c r="O14550" i="1"/>
  <c r="E14550" i="1"/>
  <c r="B14550" i="1"/>
  <c r="O14549" i="1"/>
  <c r="E14549" i="1"/>
  <c r="B14549" i="1"/>
  <c r="O14548" i="1"/>
  <c r="E14548" i="1"/>
  <c r="B14548" i="1"/>
  <c r="O14547" i="1"/>
  <c r="E14547" i="1"/>
  <c r="B14547" i="1"/>
  <c r="O14546" i="1"/>
  <c r="E14546" i="1"/>
  <c r="B14546" i="1"/>
  <c r="O14545" i="1"/>
  <c r="E14545" i="1"/>
  <c r="B14545" i="1"/>
  <c r="O14544" i="1"/>
  <c r="E14544" i="1"/>
  <c r="B14544" i="1"/>
  <c r="O14543" i="1"/>
  <c r="E14543" i="1"/>
  <c r="B14543" i="1"/>
  <c r="O14542" i="1"/>
  <c r="E14542" i="1"/>
  <c r="B14542" i="1"/>
  <c r="O14541" i="1"/>
  <c r="E14541" i="1"/>
  <c r="B14541" i="1"/>
  <c r="O14540" i="1"/>
  <c r="E14540" i="1"/>
  <c r="B14540" i="1"/>
  <c r="O14539" i="1"/>
  <c r="E14539" i="1"/>
  <c r="B14539" i="1"/>
  <c r="O14538" i="1"/>
  <c r="E14538" i="1"/>
  <c r="B14538" i="1"/>
  <c r="O14537" i="1"/>
  <c r="E14537" i="1"/>
  <c r="B14537" i="1"/>
  <c r="O14536" i="1"/>
  <c r="E14536" i="1"/>
  <c r="B14536" i="1"/>
  <c r="O14535" i="1"/>
  <c r="E14535" i="1"/>
  <c r="B14535" i="1"/>
  <c r="O14534" i="1"/>
  <c r="E14534" i="1"/>
  <c r="B14534" i="1"/>
  <c r="O14533" i="1"/>
  <c r="E14533" i="1"/>
  <c r="B14533" i="1"/>
  <c r="O14532" i="1"/>
  <c r="E14532" i="1"/>
  <c r="B14532" i="1"/>
  <c r="O14531" i="1"/>
  <c r="E14531" i="1"/>
  <c r="B14531" i="1"/>
  <c r="O14530" i="1"/>
  <c r="E14530" i="1"/>
  <c r="B14530" i="1"/>
  <c r="O14529" i="1"/>
  <c r="E14529" i="1"/>
  <c r="B14529" i="1"/>
  <c r="O14528" i="1"/>
  <c r="E14528" i="1"/>
  <c r="B14528" i="1"/>
  <c r="O14527" i="1"/>
  <c r="E14527" i="1"/>
  <c r="B14527" i="1"/>
  <c r="O14526" i="1"/>
  <c r="E14526" i="1"/>
  <c r="B14526" i="1"/>
  <c r="O14525" i="1"/>
  <c r="E14525" i="1"/>
  <c r="B14525" i="1"/>
  <c r="O14524" i="1"/>
  <c r="E14524" i="1"/>
  <c r="B14524" i="1"/>
  <c r="O14523" i="1"/>
  <c r="E14523" i="1"/>
  <c r="B14523" i="1"/>
  <c r="O14522" i="1"/>
  <c r="E14522" i="1"/>
  <c r="B14522" i="1"/>
  <c r="O14521" i="1"/>
  <c r="E14521" i="1"/>
  <c r="B14521" i="1"/>
  <c r="O14520" i="1"/>
  <c r="E14520" i="1"/>
  <c r="B14520" i="1"/>
  <c r="O14519" i="1"/>
  <c r="E14519" i="1"/>
  <c r="B14519" i="1"/>
  <c r="O14518" i="1"/>
  <c r="E14518" i="1"/>
  <c r="B14518" i="1"/>
  <c r="O14517" i="1"/>
  <c r="E14517" i="1"/>
  <c r="B14517" i="1"/>
  <c r="O14516" i="1"/>
  <c r="E14516" i="1"/>
  <c r="B14516" i="1"/>
  <c r="O14515" i="1"/>
  <c r="E14515" i="1"/>
  <c r="B14515" i="1"/>
  <c r="O14514" i="1"/>
  <c r="E14514" i="1"/>
  <c r="B14514" i="1"/>
  <c r="O14513" i="1"/>
  <c r="E14513" i="1"/>
  <c r="B14513" i="1"/>
  <c r="O14512" i="1"/>
  <c r="E14512" i="1"/>
  <c r="B14512" i="1"/>
  <c r="O14511" i="1"/>
  <c r="E14511" i="1"/>
  <c r="B14511" i="1"/>
  <c r="O14510" i="1"/>
  <c r="E14510" i="1"/>
  <c r="B14510" i="1"/>
  <c r="O14509" i="1"/>
  <c r="E14509" i="1"/>
  <c r="B14509" i="1"/>
  <c r="O14508" i="1"/>
  <c r="E14508" i="1"/>
  <c r="B14508" i="1"/>
  <c r="O14507" i="1"/>
  <c r="E14507" i="1"/>
  <c r="B14507" i="1"/>
  <c r="O14506" i="1"/>
  <c r="E14506" i="1"/>
  <c r="B14506" i="1"/>
  <c r="O14505" i="1"/>
  <c r="E14505" i="1"/>
  <c r="B14505" i="1"/>
  <c r="O14504" i="1"/>
  <c r="E14504" i="1"/>
  <c r="B14504" i="1"/>
  <c r="O14503" i="1"/>
  <c r="E14503" i="1"/>
  <c r="B14503" i="1"/>
  <c r="O14502" i="1"/>
  <c r="E14502" i="1"/>
  <c r="B14502" i="1"/>
  <c r="O14501" i="1"/>
  <c r="E14501" i="1"/>
  <c r="B14501" i="1"/>
  <c r="O14500" i="1"/>
  <c r="E14500" i="1"/>
  <c r="B14500" i="1"/>
  <c r="O14499" i="1"/>
  <c r="E14499" i="1"/>
  <c r="B14499" i="1"/>
  <c r="O14498" i="1"/>
  <c r="E14498" i="1"/>
  <c r="B14498" i="1"/>
  <c r="O14497" i="1"/>
  <c r="E14497" i="1"/>
  <c r="B14497" i="1"/>
  <c r="O14496" i="1"/>
  <c r="E14496" i="1"/>
  <c r="B14496" i="1"/>
  <c r="O14495" i="1"/>
  <c r="E14495" i="1"/>
  <c r="B14495" i="1"/>
  <c r="O14494" i="1"/>
  <c r="E14494" i="1"/>
  <c r="B14494" i="1"/>
  <c r="O14493" i="1"/>
  <c r="E14493" i="1"/>
  <c r="B14493" i="1"/>
  <c r="O14492" i="1"/>
  <c r="E14492" i="1"/>
  <c r="B14492" i="1"/>
  <c r="O14491" i="1"/>
  <c r="E14491" i="1"/>
  <c r="B14491" i="1"/>
  <c r="O14490" i="1"/>
  <c r="E14490" i="1"/>
  <c r="B14490" i="1"/>
  <c r="O14489" i="1"/>
  <c r="E14489" i="1"/>
  <c r="B14489" i="1"/>
  <c r="O14488" i="1"/>
  <c r="E14488" i="1"/>
  <c r="B14488" i="1"/>
  <c r="O14487" i="1"/>
  <c r="E14487" i="1"/>
  <c r="B14487" i="1"/>
  <c r="O14486" i="1"/>
  <c r="E14486" i="1"/>
  <c r="B14486" i="1"/>
  <c r="O14485" i="1"/>
  <c r="E14485" i="1"/>
  <c r="B14485" i="1"/>
  <c r="O14484" i="1"/>
  <c r="E14484" i="1"/>
  <c r="B14484" i="1"/>
  <c r="O14483" i="1"/>
  <c r="E14483" i="1"/>
  <c r="B14483" i="1"/>
  <c r="O14482" i="1"/>
  <c r="E14482" i="1"/>
  <c r="B14482" i="1"/>
  <c r="O14481" i="1"/>
  <c r="E14481" i="1"/>
  <c r="B14481" i="1"/>
  <c r="O14480" i="1"/>
  <c r="E14480" i="1"/>
  <c r="B14480" i="1"/>
  <c r="O14479" i="1"/>
  <c r="E14479" i="1"/>
  <c r="B14479" i="1"/>
  <c r="O14478" i="1"/>
  <c r="E14478" i="1"/>
  <c r="B14478" i="1"/>
  <c r="O14477" i="1"/>
  <c r="E14477" i="1"/>
  <c r="B14477" i="1"/>
  <c r="O14476" i="1"/>
  <c r="E14476" i="1"/>
  <c r="B14476" i="1"/>
  <c r="O14475" i="1"/>
  <c r="E14475" i="1"/>
  <c r="B14475" i="1"/>
  <c r="O14474" i="1"/>
  <c r="E14474" i="1"/>
  <c r="B14474" i="1"/>
  <c r="O14473" i="1"/>
  <c r="E14473" i="1"/>
  <c r="B14473" i="1"/>
  <c r="O14472" i="1"/>
  <c r="E14472" i="1"/>
  <c r="B14472" i="1"/>
  <c r="O14471" i="1"/>
  <c r="E14471" i="1"/>
  <c r="B14471" i="1"/>
  <c r="O14470" i="1"/>
  <c r="E14470" i="1"/>
  <c r="B14470" i="1"/>
  <c r="O14469" i="1"/>
  <c r="E14469" i="1"/>
  <c r="B14469" i="1"/>
  <c r="O14468" i="1"/>
  <c r="E14468" i="1"/>
  <c r="B14468" i="1"/>
  <c r="O14467" i="1"/>
  <c r="E14467" i="1"/>
  <c r="B14467" i="1"/>
  <c r="O14466" i="1"/>
  <c r="E14466" i="1"/>
  <c r="B14466" i="1"/>
  <c r="O14465" i="1"/>
  <c r="E14465" i="1"/>
  <c r="B14465" i="1"/>
  <c r="O14464" i="1"/>
  <c r="E14464" i="1"/>
  <c r="B14464" i="1"/>
  <c r="O14463" i="1"/>
  <c r="E14463" i="1"/>
  <c r="B14463" i="1"/>
  <c r="O14462" i="1"/>
  <c r="E14462" i="1"/>
  <c r="B14462" i="1"/>
  <c r="O14461" i="1"/>
  <c r="E14461" i="1"/>
  <c r="B14461" i="1"/>
  <c r="O14460" i="1"/>
  <c r="E14460" i="1"/>
  <c r="B14460" i="1"/>
  <c r="O14459" i="1"/>
  <c r="E14459" i="1"/>
  <c r="B14459" i="1"/>
  <c r="O14458" i="1"/>
  <c r="E14458" i="1"/>
  <c r="B14458" i="1"/>
  <c r="O14457" i="1"/>
  <c r="E14457" i="1"/>
  <c r="B14457" i="1"/>
  <c r="O14456" i="1"/>
  <c r="E14456" i="1"/>
  <c r="B14456" i="1"/>
  <c r="O14455" i="1"/>
  <c r="E14455" i="1"/>
  <c r="B14455" i="1"/>
  <c r="O14454" i="1"/>
  <c r="E14454" i="1"/>
  <c r="B14454" i="1"/>
  <c r="O14453" i="1"/>
  <c r="E14453" i="1"/>
  <c r="B14453" i="1"/>
  <c r="O14452" i="1"/>
  <c r="E14452" i="1"/>
  <c r="B14452" i="1"/>
  <c r="O14451" i="1"/>
  <c r="E14451" i="1"/>
  <c r="B14451" i="1"/>
  <c r="O14450" i="1"/>
  <c r="E14450" i="1"/>
  <c r="B14450" i="1"/>
  <c r="O14449" i="1"/>
  <c r="E14449" i="1"/>
  <c r="B14449" i="1"/>
  <c r="O14448" i="1"/>
  <c r="E14448" i="1"/>
  <c r="B14448" i="1"/>
  <c r="O14447" i="1"/>
  <c r="E14447" i="1"/>
  <c r="B14447" i="1"/>
  <c r="O14446" i="1"/>
  <c r="E14446" i="1"/>
  <c r="B14446" i="1"/>
  <c r="O14445" i="1"/>
  <c r="E14445" i="1"/>
  <c r="B14445" i="1"/>
  <c r="O14444" i="1"/>
  <c r="E14444" i="1"/>
  <c r="B14444" i="1"/>
  <c r="O14443" i="1"/>
  <c r="E14443" i="1"/>
  <c r="B14443" i="1"/>
  <c r="O14442" i="1"/>
  <c r="E14442" i="1"/>
  <c r="B14442" i="1"/>
  <c r="O14441" i="1"/>
  <c r="E14441" i="1"/>
  <c r="B14441" i="1"/>
  <c r="O14440" i="1"/>
  <c r="E14440" i="1"/>
  <c r="B14440" i="1"/>
  <c r="O14439" i="1"/>
  <c r="E14439" i="1"/>
  <c r="B14439" i="1"/>
  <c r="O14438" i="1"/>
  <c r="E14438" i="1"/>
  <c r="B14438" i="1"/>
  <c r="O14437" i="1"/>
  <c r="E14437" i="1"/>
  <c r="B14437" i="1"/>
  <c r="O14436" i="1"/>
  <c r="E14436" i="1"/>
  <c r="B14436" i="1"/>
  <c r="O14435" i="1"/>
  <c r="E14435" i="1"/>
  <c r="B14435" i="1"/>
  <c r="O14434" i="1"/>
  <c r="E14434" i="1"/>
  <c r="B14434" i="1"/>
  <c r="O14433" i="1"/>
  <c r="E14433" i="1"/>
  <c r="B14433" i="1"/>
  <c r="O14432" i="1"/>
  <c r="E14432" i="1"/>
  <c r="B14432" i="1"/>
  <c r="O14431" i="1"/>
  <c r="E14431" i="1"/>
  <c r="B14431" i="1"/>
  <c r="O14430" i="1"/>
  <c r="E14430" i="1"/>
  <c r="B14430" i="1"/>
  <c r="O14429" i="1"/>
  <c r="E14429" i="1"/>
  <c r="B14429" i="1"/>
  <c r="O14428" i="1"/>
  <c r="E14428" i="1"/>
  <c r="B14428" i="1"/>
  <c r="O14427" i="1"/>
  <c r="E14427" i="1"/>
  <c r="B14427" i="1"/>
  <c r="O14426" i="1"/>
  <c r="E14426" i="1"/>
  <c r="B14426" i="1"/>
  <c r="O14425" i="1"/>
  <c r="E14425" i="1"/>
  <c r="B14425" i="1"/>
  <c r="O14424" i="1"/>
  <c r="E14424" i="1"/>
  <c r="B14424" i="1"/>
  <c r="O14423" i="1"/>
  <c r="E14423" i="1"/>
  <c r="B14423" i="1"/>
  <c r="O14422" i="1"/>
  <c r="E14422" i="1"/>
  <c r="B14422" i="1"/>
  <c r="O14421" i="1"/>
  <c r="E14421" i="1"/>
  <c r="B14421" i="1"/>
  <c r="O14420" i="1"/>
  <c r="E14420" i="1"/>
  <c r="B14420" i="1"/>
  <c r="O14419" i="1"/>
  <c r="E14419" i="1"/>
  <c r="B14419" i="1"/>
  <c r="O14418" i="1"/>
  <c r="E14418" i="1"/>
  <c r="B14418" i="1"/>
  <c r="O14417" i="1"/>
  <c r="E14417" i="1"/>
  <c r="B14417" i="1"/>
  <c r="O14416" i="1"/>
  <c r="E14416" i="1"/>
  <c r="B14416" i="1"/>
  <c r="O14415" i="1"/>
  <c r="E14415" i="1"/>
  <c r="B14415" i="1"/>
  <c r="O14414" i="1"/>
  <c r="E14414" i="1"/>
  <c r="B14414" i="1"/>
  <c r="O14413" i="1"/>
  <c r="E14413" i="1"/>
  <c r="B14413" i="1"/>
  <c r="O14412" i="1"/>
  <c r="E14412" i="1"/>
  <c r="B14412" i="1"/>
  <c r="O14411" i="1"/>
  <c r="E14411" i="1"/>
  <c r="B14411" i="1"/>
  <c r="O14410" i="1"/>
  <c r="E14410" i="1"/>
  <c r="B14410" i="1"/>
  <c r="O14409" i="1"/>
  <c r="E14409" i="1"/>
  <c r="B14409" i="1"/>
  <c r="O14408" i="1"/>
  <c r="E14408" i="1"/>
  <c r="B14408" i="1"/>
  <c r="O14407" i="1"/>
  <c r="E14407" i="1"/>
  <c r="B14407" i="1"/>
  <c r="O14406" i="1"/>
  <c r="E14406" i="1"/>
  <c r="B14406" i="1"/>
  <c r="O14405" i="1"/>
  <c r="E14405" i="1"/>
  <c r="B14405" i="1"/>
  <c r="O14404" i="1"/>
  <c r="E14404" i="1"/>
  <c r="B14404" i="1"/>
  <c r="O14403" i="1"/>
  <c r="E14403" i="1"/>
  <c r="B14403" i="1"/>
  <c r="O14402" i="1"/>
  <c r="E14402" i="1"/>
  <c r="B14402" i="1"/>
  <c r="O14401" i="1"/>
  <c r="E14401" i="1"/>
  <c r="B14401" i="1"/>
  <c r="O14400" i="1"/>
  <c r="E14400" i="1"/>
  <c r="B14400" i="1"/>
  <c r="O14399" i="1"/>
  <c r="E14399" i="1"/>
  <c r="B14399" i="1"/>
  <c r="O14398" i="1"/>
  <c r="E14398" i="1"/>
  <c r="B14398" i="1"/>
  <c r="O14397" i="1"/>
  <c r="E14397" i="1"/>
  <c r="B14397" i="1"/>
  <c r="O14396" i="1"/>
  <c r="E14396" i="1"/>
  <c r="B14396" i="1"/>
  <c r="O14395" i="1"/>
  <c r="E14395" i="1"/>
  <c r="B14395" i="1"/>
  <c r="O14394" i="1"/>
  <c r="E14394" i="1"/>
  <c r="B14394" i="1"/>
  <c r="O14393" i="1"/>
  <c r="E14393" i="1"/>
  <c r="B14393" i="1"/>
  <c r="O14392" i="1"/>
  <c r="E14392" i="1"/>
  <c r="B14392" i="1"/>
  <c r="O14391" i="1"/>
  <c r="E14391" i="1"/>
  <c r="B14391" i="1"/>
  <c r="O14390" i="1"/>
  <c r="E14390" i="1"/>
  <c r="B14390" i="1"/>
  <c r="O14389" i="1"/>
  <c r="E14389" i="1"/>
  <c r="B14389" i="1"/>
  <c r="O14388" i="1"/>
  <c r="E14388" i="1"/>
  <c r="B14388" i="1"/>
  <c r="O14387" i="1"/>
  <c r="E14387" i="1"/>
  <c r="B14387" i="1"/>
  <c r="O14386" i="1"/>
  <c r="E14386" i="1"/>
  <c r="B14386" i="1"/>
  <c r="O14385" i="1"/>
  <c r="E14385" i="1"/>
  <c r="B14385" i="1"/>
  <c r="O14384" i="1"/>
  <c r="E14384" i="1"/>
  <c r="B14384" i="1"/>
  <c r="O14383" i="1"/>
  <c r="E14383" i="1"/>
  <c r="B14383" i="1"/>
  <c r="O14382" i="1"/>
  <c r="E14382" i="1"/>
  <c r="B14382" i="1"/>
  <c r="O14381" i="1"/>
  <c r="E14381" i="1"/>
  <c r="B14381" i="1"/>
  <c r="O14380" i="1"/>
  <c r="E14380" i="1"/>
  <c r="B14380" i="1"/>
  <c r="O14379" i="1"/>
  <c r="E14379" i="1"/>
  <c r="B14379" i="1"/>
  <c r="O14378" i="1"/>
  <c r="E14378" i="1"/>
  <c r="B14378" i="1"/>
  <c r="O14377" i="1"/>
  <c r="E14377" i="1"/>
  <c r="B14377" i="1"/>
  <c r="O14376" i="1"/>
  <c r="E14376" i="1"/>
  <c r="B14376" i="1"/>
  <c r="O14375" i="1"/>
  <c r="E14375" i="1"/>
  <c r="B14375" i="1"/>
  <c r="O14374" i="1"/>
  <c r="E14374" i="1"/>
  <c r="B14374" i="1"/>
  <c r="O14373" i="1"/>
  <c r="E14373" i="1"/>
  <c r="B14373" i="1"/>
  <c r="O14372" i="1"/>
  <c r="E14372" i="1"/>
  <c r="B14372" i="1"/>
  <c r="O14371" i="1"/>
  <c r="E14371" i="1"/>
  <c r="B14371" i="1"/>
  <c r="O14370" i="1"/>
  <c r="E14370" i="1"/>
  <c r="B14370" i="1"/>
  <c r="O14369" i="1"/>
  <c r="E14369" i="1"/>
  <c r="B14369" i="1"/>
  <c r="O14368" i="1"/>
  <c r="E14368" i="1"/>
  <c r="B14368" i="1"/>
  <c r="O14367" i="1"/>
  <c r="E14367" i="1"/>
  <c r="B14367" i="1"/>
  <c r="O14366" i="1"/>
  <c r="E14366" i="1"/>
  <c r="B14366" i="1"/>
  <c r="O14365" i="1"/>
  <c r="E14365" i="1"/>
  <c r="B14365" i="1"/>
  <c r="O14364" i="1"/>
  <c r="E14364" i="1"/>
  <c r="B14364" i="1"/>
  <c r="O14363" i="1"/>
  <c r="E14363" i="1"/>
  <c r="B14363" i="1"/>
  <c r="O14362" i="1"/>
  <c r="E14362" i="1"/>
  <c r="B14362" i="1"/>
  <c r="O14361" i="1"/>
  <c r="E14361" i="1"/>
  <c r="B14361" i="1"/>
  <c r="O14360" i="1"/>
  <c r="E14360" i="1"/>
  <c r="B14360" i="1"/>
  <c r="O14359" i="1"/>
  <c r="E14359" i="1"/>
  <c r="B14359" i="1"/>
  <c r="O14358" i="1"/>
  <c r="E14358" i="1"/>
  <c r="B14358" i="1"/>
  <c r="O14357" i="1"/>
  <c r="E14357" i="1"/>
  <c r="B14357" i="1"/>
  <c r="O14356" i="1"/>
  <c r="E14356" i="1"/>
  <c r="B14356" i="1"/>
  <c r="O14355" i="1"/>
  <c r="E14355" i="1"/>
  <c r="B14355" i="1"/>
  <c r="O14354" i="1"/>
  <c r="E14354" i="1"/>
  <c r="B14354" i="1"/>
  <c r="O14353" i="1"/>
  <c r="E14353" i="1"/>
  <c r="B14353" i="1"/>
  <c r="O14352" i="1"/>
  <c r="E14352" i="1"/>
  <c r="B14352" i="1"/>
  <c r="O14351" i="1"/>
  <c r="E14351" i="1"/>
  <c r="B14351" i="1"/>
  <c r="O14350" i="1"/>
  <c r="E14350" i="1"/>
  <c r="B14350" i="1"/>
  <c r="O14349" i="1"/>
  <c r="E14349" i="1"/>
  <c r="B14349" i="1"/>
  <c r="O14348" i="1"/>
  <c r="E14348" i="1"/>
  <c r="B14348" i="1"/>
  <c r="O14347" i="1"/>
  <c r="E14347" i="1"/>
  <c r="B14347" i="1"/>
  <c r="O14346" i="1"/>
  <c r="E14346" i="1"/>
  <c r="B14346" i="1"/>
  <c r="O14345" i="1"/>
  <c r="E14345" i="1"/>
  <c r="B14345" i="1"/>
  <c r="O14344" i="1"/>
  <c r="E14344" i="1"/>
  <c r="B14344" i="1"/>
  <c r="O14343" i="1"/>
  <c r="E14343" i="1"/>
  <c r="B14343" i="1"/>
  <c r="O14342" i="1"/>
  <c r="E14342" i="1"/>
  <c r="B14342" i="1"/>
  <c r="O14341" i="1"/>
  <c r="E14341" i="1"/>
  <c r="B14341" i="1"/>
  <c r="O14340" i="1"/>
  <c r="E14340" i="1"/>
  <c r="B14340" i="1"/>
  <c r="O14339" i="1"/>
  <c r="E14339" i="1"/>
  <c r="B14339" i="1"/>
  <c r="O14338" i="1"/>
  <c r="E14338" i="1"/>
  <c r="B14338" i="1"/>
  <c r="O14337" i="1"/>
  <c r="E14337" i="1"/>
  <c r="B14337" i="1"/>
  <c r="O14336" i="1"/>
  <c r="E14336" i="1"/>
  <c r="B14336" i="1"/>
  <c r="O14335" i="1"/>
  <c r="E14335" i="1"/>
  <c r="B14335" i="1"/>
  <c r="O14334" i="1"/>
  <c r="E14334" i="1"/>
  <c r="B14334" i="1"/>
  <c r="O14333" i="1"/>
  <c r="E14333" i="1"/>
  <c r="B14333" i="1"/>
  <c r="O14332" i="1"/>
  <c r="E14332" i="1"/>
  <c r="B14332" i="1"/>
  <c r="O14331" i="1"/>
  <c r="E14331" i="1"/>
  <c r="B14331" i="1"/>
  <c r="O14330" i="1"/>
  <c r="E14330" i="1"/>
  <c r="B14330" i="1"/>
  <c r="O14329" i="1"/>
  <c r="E14329" i="1"/>
  <c r="B14329" i="1"/>
  <c r="O14328" i="1"/>
  <c r="E14328" i="1"/>
  <c r="B14328" i="1"/>
  <c r="O14327" i="1"/>
  <c r="E14327" i="1"/>
  <c r="B14327" i="1"/>
  <c r="O14326" i="1"/>
  <c r="E14326" i="1"/>
  <c r="B14326" i="1"/>
  <c r="O14325" i="1"/>
  <c r="E14325" i="1"/>
  <c r="B14325" i="1"/>
  <c r="O14324" i="1"/>
  <c r="E14324" i="1"/>
  <c r="B14324" i="1"/>
  <c r="O14323" i="1"/>
  <c r="E14323" i="1"/>
  <c r="B14323" i="1"/>
  <c r="O14322" i="1"/>
  <c r="E14322" i="1"/>
  <c r="B14322" i="1"/>
  <c r="O14321" i="1"/>
  <c r="E14321" i="1"/>
  <c r="B14321" i="1"/>
  <c r="O14320" i="1"/>
  <c r="E14320" i="1"/>
  <c r="B14320" i="1"/>
  <c r="O14319" i="1"/>
  <c r="E14319" i="1"/>
  <c r="B14319" i="1"/>
  <c r="O14318" i="1"/>
  <c r="E14318" i="1"/>
  <c r="B14318" i="1"/>
  <c r="O14317" i="1"/>
  <c r="E14317" i="1"/>
  <c r="B14317" i="1"/>
  <c r="O14316" i="1"/>
  <c r="E14316" i="1"/>
  <c r="B14316" i="1"/>
  <c r="O14315" i="1"/>
  <c r="E14315" i="1"/>
  <c r="B14315" i="1"/>
  <c r="O14314" i="1"/>
  <c r="E14314" i="1"/>
  <c r="B14314" i="1"/>
  <c r="O14313" i="1"/>
  <c r="E14313" i="1"/>
  <c r="B14313" i="1"/>
  <c r="O14312" i="1"/>
  <c r="E14312" i="1"/>
  <c r="B14312" i="1"/>
  <c r="O14311" i="1"/>
  <c r="E14311" i="1"/>
  <c r="B14311" i="1"/>
  <c r="O14310" i="1"/>
  <c r="E14310" i="1"/>
  <c r="B14310" i="1"/>
  <c r="O14309" i="1"/>
  <c r="E14309" i="1"/>
  <c r="B14309" i="1"/>
  <c r="O14308" i="1"/>
  <c r="E14308" i="1"/>
  <c r="B14308" i="1"/>
  <c r="O14307" i="1"/>
  <c r="E14307" i="1"/>
  <c r="B14307" i="1"/>
  <c r="O14306" i="1"/>
  <c r="E14306" i="1"/>
  <c r="B14306" i="1"/>
  <c r="O14305" i="1"/>
  <c r="E14305" i="1"/>
  <c r="B14305" i="1"/>
  <c r="O14304" i="1"/>
  <c r="E14304" i="1"/>
  <c r="B14304" i="1"/>
  <c r="O14303" i="1"/>
  <c r="E14303" i="1"/>
  <c r="B14303" i="1"/>
  <c r="O14302" i="1"/>
  <c r="E14302" i="1"/>
  <c r="B14302" i="1"/>
  <c r="O14301" i="1"/>
  <c r="E14301" i="1"/>
  <c r="B14301" i="1"/>
  <c r="O14300" i="1"/>
  <c r="E14300" i="1"/>
  <c r="B14300" i="1"/>
  <c r="O14299" i="1"/>
  <c r="E14299" i="1"/>
  <c r="B14299" i="1"/>
  <c r="O14298" i="1"/>
  <c r="E14298" i="1"/>
  <c r="B14298" i="1"/>
  <c r="O14297" i="1"/>
  <c r="E14297" i="1"/>
  <c r="B14297" i="1"/>
  <c r="O14296" i="1"/>
  <c r="E14296" i="1"/>
  <c r="B14296" i="1"/>
  <c r="O14295" i="1"/>
  <c r="E14295" i="1"/>
  <c r="B14295" i="1"/>
  <c r="O14294" i="1"/>
  <c r="E14294" i="1"/>
  <c r="B14294" i="1"/>
  <c r="O14293" i="1"/>
  <c r="E14293" i="1"/>
  <c r="B14293" i="1"/>
  <c r="O14292" i="1"/>
  <c r="E14292" i="1"/>
  <c r="B14292" i="1"/>
  <c r="O14291" i="1"/>
  <c r="E14291" i="1"/>
  <c r="B14291" i="1"/>
  <c r="O14290" i="1"/>
  <c r="E14290" i="1"/>
  <c r="B14290" i="1"/>
  <c r="O14289" i="1"/>
  <c r="E14289" i="1"/>
  <c r="B14289" i="1"/>
  <c r="O14288" i="1"/>
  <c r="E14288" i="1"/>
  <c r="B14288" i="1"/>
  <c r="O14287" i="1"/>
  <c r="E14287" i="1"/>
  <c r="B14287" i="1"/>
  <c r="O14286" i="1"/>
  <c r="E14286" i="1"/>
  <c r="B14286" i="1"/>
  <c r="O14285" i="1"/>
  <c r="E14285" i="1"/>
  <c r="B14285" i="1"/>
  <c r="O14284" i="1"/>
  <c r="E14284" i="1"/>
  <c r="B14284" i="1"/>
  <c r="O14283" i="1"/>
  <c r="E14283" i="1"/>
  <c r="B14283" i="1"/>
  <c r="O14282" i="1"/>
  <c r="E14282" i="1"/>
  <c r="B14282" i="1"/>
  <c r="O14281" i="1"/>
  <c r="E14281" i="1"/>
  <c r="B14281" i="1"/>
  <c r="O14280" i="1"/>
  <c r="E14280" i="1"/>
  <c r="B14280" i="1"/>
  <c r="O14279" i="1"/>
  <c r="E14279" i="1"/>
  <c r="B14279" i="1"/>
  <c r="O14278" i="1"/>
  <c r="E14278" i="1"/>
  <c r="B14278" i="1"/>
  <c r="O14277" i="1"/>
  <c r="E14277" i="1"/>
  <c r="B14277" i="1"/>
  <c r="O14276" i="1"/>
  <c r="E14276" i="1"/>
  <c r="B14276" i="1"/>
  <c r="O14275" i="1"/>
  <c r="E14275" i="1"/>
  <c r="B14275" i="1"/>
  <c r="O14274" i="1"/>
  <c r="E14274" i="1"/>
  <c r="B14274" i="1"/>
  <c r="O14273" i="1"/>
  <c r="E14273" i="1"/>
  <c r="B14273" i="1"/>
  <c r="O14272" i="1"/>
  <c r="E14272" i="1"/>
  <c r="B14272" i="1"/>
  <c r="O14271" i="1"/>
  <c r="E14271" i="1"/>
  <c r="B14271" i="1"/>
  <c r="O14270" i="1"/>
  <c r="E14270" i="1"/>
  <c r="B14270" i="1"/>
  <c r="O14269" i="1"/>
  <c r="E14269" i="1"/>
  <c r="B14269" i="1"/>
  <c r="O14268" i="1"/>
  <c r="E14268" i="1"/>
  <c r="B14268" i="1"/>
  <c r="O14267" i="1"/>
  <c r="E14267" i="1"/>
  <c r="B14267" i="1"/>
  <c r="O14266" i="1"/>
  <c r="E14266" i="1"/>
  <c r="B14266" i="1"/>
  <c r="O14265" i="1"/>
  <c r="E14265" i="1"/>
  <c r="B14265" i="1"/>
  <c r="O14264" i="1"/>
  <c r="E14264" i="1"/>
  <c r="B14264" i="1"/>
  <c r="O14263" i="1"/>
  <c r="E14263" i="1"/>
  <c r="B14263" i="1"/>
  <c r="O14262" i="1"/>
  <c r="E14262" i="1"/>
  <c r="B14262" i="1"/>
  <c r="O14261" i="1"/>
  <c r="E14261" i="1"/>
  <c r="B14261" i="1"/>
  <c r="O14260" i="1"/>
  <c r="E14260" i="1"/>
  <c r="B14260" i="1"/>
  <c r="O14259" i="1"/>
  <c r="E14259" i="1"/>
  <c r="B14259" i="1"/>
  <c r="O14258" i="1"/>
  <c r="E14258" i="1"/>
  <c r="B14258" i="1"/>
  <c r="O14257" i="1"/>
  <c r="E14257" i="1"/>
  <c r="B14257" i="1"/>
  <c r="O14256" i="1"/>
  <c r="E14256" i="1"/>
  <c r="B14256" i="1"/>
  <c r="O14255" i="1"/>
  <c r="E14255" i="1"/>
  <c r="B14255" i="1"/>
  <c r="O14254" i="1"/>
  <c r="E14254" i="1"/>
  <c r="B14254" i="1"/>
  <c r="O14253" i="1"/>
  <c r="E14253" i="1"/>
  <c r="B14253" i="1"/>
  <c r="O14252" i="1"/>
  <c r="E14252" i="1"/>
  <c r="B14252" i="1"/>
  <c r="O14251" i="1"/>
  <c r="E14251" i="1"/>
  <c r="B14251" i="1"/>
  <c r="O14250" i="1"/>
  <c r="E14250" i="1"/>
  <c r="B14250" i="1"/>
  <c r="O14249" i="1"/>
  <c r="E14249" i="1"/>
  <c r="B14249" i="1"/>
  <c r="O14248" i="1"/>
  <c r="E14248" i="1"/>
  <c r="B14248" i="1"/>
  <c r="O14247" i="1"/>
  <c r="E14247" i="1"/>
  <c r="B14247" i="1"/>
  <c r="O14246" i="1"/>
  <c r="E14246" i="1"/>
  <c r="B14246" i="1"/>
  <c r="O14245" i="1"/>
  <c r="E14245" i="1"/>
  <c r="B14245" i="1"/>
  <c r="O14244" i="1"/>
  <c r="E14244" i="1"/>
  <c r="B14244" i="1"/>
  <c r="O14243" i="1"/>
  <c r="E14243" i="1"/>
  <c r="B14243" i="1"/>
  <c r="O14242" i="1"/>
  <c r="E14242" i="1"/>
  <c r="B14242" i="1"/>
  <c r="O14241" i="1"/>
  <c r="E14241" i="1"/>
  <c r="B14241" i="1"/>
  <c r="O14240" i="1"/>
  <c r="E14240" i="1"/>
  <c r="B14240" i="1"/>
  <c r="O14239" i="1"/>
  <c r="E14239" i="1"/>
  <c r="B14239" i="1"/>
  <c r="O14238" i="1"/>
  <c r="E14238" i="1"/>
  <c r="B14238" i="1"/>
  <c r="O14237" i="1"/>
  <c r="E14237" i="1"/>
  <c r="B14237" i="1"/>
  <c r="O14236" i="1"/>
  <c r="E14236" i="1"/>
  <c r="B14236" i="1"/>
  <c r="O14235" i="1"/>
  <c r="E14235" i="1"/>
  <c r="B14235" i="1"/>
  <c r="O14234" i="1"/>
  <c r="E14234" i="1"/>
  <c r="B14234" i="1"/>
  <c r="O14233" i="1"/>
  <c r="E14233" i="1"/>
  <c r="B14233" i="1"/>
  <c r="O14232" i="1"/>
  <c r="E14232" i="1"/>
  <c r="B14232" i="1"/>
  <c r="O14231" i="1"/>
  <c r="E14231" i="1"/>
  <c r="B14231" i="1"/>
  <c r="O14230" i="1"/>
  <c r="E14230" i="1"/>
  <c r="B14230" i="1"/>
  <c r="O14229" i="1"/>
  <c r="E14229" i="1"/>
  <c r="B14229" i="1"/>
  <c r="O14228" i="1"/>
  <c r="E14228" i="1"/>
  <c r="B14228" i="1"/>
  <c r="O14227" i="1"/>
  <c r="E14227" i="1"/>
  <c r="B14227" i="1"/>
  <c r="O14226" i="1"/>
  <c r="E14226" i="1"/>
  <c r="B14226" i="1"/>
  <c r="O14225" i="1"/>
  <c r="E14225" i="1"/>
  <c r="B14225" i="1"/>
  <c r="O14224" i="1"/>
  <c r="E14224" i="1"/>
  <c r="B14224" i="1"/>
  <c r="O14223" i="1"/>
  <c r="E14223" i="1"/>
  <c r="B14223" i="1"/>
  <c r="O14222" i="1"/>
  <c r="E14222" i="1"/>
  <c r="B14222" i="1"/>
  <c r="O14221" i="1"/>
  <c r="E14221" i="1"/>
  <c r="B14221" i="1"/>
  <c r="O14220" i="1"/>
  <c r="E14220" i="1"/>
  <c r="B14220" i="1"/>
  <c r="O14219" i="1"/>
  <c r="E14219" i="1"/>
  <c r="B14219" i="1"/>
  <c r="O14218" i="1"/>
  <c r="E14218" i="1"/>
  <c r="B14218" i="1"/>
  <c r="O14217" i="1"/>
  <c r="E14217" i="1"/>
  <c r="B14217" i="1"/>
  <c r="O14216" i="1"/>
  <c r="E14216" i="1"/>
  <c r="B14216" i="1"/>
  <c r="O14215" i="1"/>
  <c r="E14215" i="1"/>
  <c r="B14215" i="1"/>
  <c r="O14214" i="1"/>
  <c r="E14214" i="1"/>
  <c r="B14214" i="1"/>
  <c r="O14213" i="1"/>
  <c r="E14213" i="1"/>
  <c r="B14213" i="1"/>
  <c r="O14212" i="1"/>
  <c r="E14212" i="1"/>
  <c r="B14212" i="1"/>
  <c r="O14211" i="1"/>
  <c r="E14211" i="1"/>
  <c r="B14211" i="1"/>
  <c r="O14210" i="1"/>
  <c r="E14210" i="1"/>
  <c r="B14210" i="1"/>
  <c r="O14209" i="1"/>
  <c r="E14209" i="1"/>
  <c r="B14209" i="1"/>
  <c r="O14208" i="1"/>
  <c r="E14208" i="1"/>
  <c r="B14208" i="1"/>
  <c r="O14207" i="1"/>
  <c r="E14207" i="1"/>
  <c r="B14207" i="1"/>
  <c r="O14206" i="1"/>
  <c r="E14206" i="1"/>
  <c r="B14206" i="1"/>
  <c r="O14205" i="1"/>
  <c r="E14205" i="1"/>
  <c r="B14205" i="1"/>
  <c r="O14204" i="1"/>
  <c r="E14204" i="1"/>
  <c r="B14204" i="1"/>
  <c r="O14203" i="1"/>
  <c r="E14203" i="1"/>
  <c r="B14203" i="1"/>
  <c r="O14202" i="1"/>
  <c r="E14202" i="1"/>
  <c r="B14202" i="1"/>
  <c r="O14201" i="1"/>
  <c r="E14201" i="1"/>
  <c r="B14201" i="1"/>
  <c r="O14200" i="1"/>
  <c r="E14200" i="1"/>
  <c r="B14200" i="1"/>
  <c r="O14199" i="1"/>
  <c r="E14199" i="1"/>
  <c r="B14199" i="1"/>
  <c r="O14198" i="1"/>
  <c r="E14198" i="1"/>
  <c r="B14198" i="1"/>
  <c r="O14197" i="1"/>
  <c r="E14197" i="1"/>
  <c r="B14197" i="1"/>
  <c r="O14196" i="1"/>
  <c r="E14196" i="1"/>
  <c r="B14196" i="1"/>
  <c r="O14195" i="1"/>
  <c r="E14195" i="1"/>
  <c r="B14195" i="1"/>
  <c r="O14194" i="1"/>
  <c r="E14194" i="1"/>
  <c r="B14194" i="1"/>
  <c r="O14193" i="1"/>
  <c r="E14193" i="1"/>
  <c r="B14193" i="1"/>
  <c r="O14192" i="1"/>
  <c r="E14192" i="1"/>
  <c r="B14192" i="1"/>
  <c r="O14191" i="1"/>
  <c r="E14191" i="1"/>
  <c r="B14191" i="1"/>
  <c r="O14190" i="1"/>
  <c r="E14190" i="1"/>
  <c r="B14190" i="1"/>
  <c r="O14189" i="1"/>
  <c r="E14189" i="1"/>
  <c r="B14189" i="1"/>
  <c r="O14188" i="1"/>
  <c r="E14188" i="1"/>
  <c r="B14188" i="1"/>
  <c r="O14187" i="1"/>
  <c r="E14187" i="1"/>
  <c r="B14187" i="1"/>
  <c r="O14186" i="1"/>
  <c r="E14186" i="1"/>
  <c r="B14186" i="1"/>
  <c r="O14185" i="1"/>
  <c r="E14185" i="1"/>
  <c r="B14185" i="1"/>
  <c r="O14184" i="1"/>
  <c r="E14184" i="1"/>
  <c r="B14184" i="1"/>
  <c r="O14183" i="1"/>
  <c r="E14183" i="1"/>
  <c r="B14183" i="1"/>
  <c r="O14182" i="1"/>
  <c r="E14182" i="1"/>
  <c r="B14182" i="1"/>
  <c r="O14181" i="1"/>
  <c r="E14181" i="1"/>
  <c r="B14181" i="1"/>
  <c r="O14180" i="1"/>
  <c r="E14180" i="1"/>
  <c r="B14180" i="1"/>
  <c r="O14179" i="1"/>
  <c r="E14179" i="1"/>
  <c r="B14179" i="1"/>
  <c r="O14178" i="1"/>
  <c r="E14178" i="1"/>
  <c r="B14178" i="1"/>
  <c r="O14177" i="1"/>
  <c r="E14177" i="1"/>
  <c r="B14177" i="1"/>
  <c r="O14176" i="1"/>
  <c r="E14176" i="1"/>
  <c r="B14176" i="1"/>
  <c r="O14175" i="1"/>
  <c r="E14175" i="1"/>
  <c r="B14175" i="1"/>
  <c r="O14174" i="1"/>
  <c r="E14174" i="1"/>
  <c r="B14174" i="1"/>
  <c r="O14173" i="1"/>
  <c r="E14173" i="1"/>
  <c r="B14173" i="1"/>
  <c r="O14172" i="1"/>
  <c r="E14172" i="1"/>
  <c r="B14172" i="1"/>
  <c r="O14171" i="1"/>
  <c r="E14171" i="1"/>
  <c r="B14171" i="1"/>
  <c r="O14170" i="1"/>
  <c r="E14170" i="1"/>
  <c r="B14170" i="1"/>
  <c r="O14169" i="1"/>
  <c r="E14169" i="1"/>
  <c r="B14169" i="1"/>
  <c r="O14168" i="1"/>
  <c r="E14168" i="1"/>
  <c r="B14168" i="1"/>
  <c r="O14167" i="1"/>
  <c r="E14167" i="1"/>
  <c r="B14167" i="1"/>
  <c r="O14166" i="1"/>
  <c r="E14166" i="1"/>
  <c r="B14166" i="1"/>
  <c r="O14165" i="1"/>
  <c r="E14165" i="1"/>
  <c r="B14165" i="1"/>
  <c r="O14164" i="1"/>
  <c r="E14164" i="1"/>
  <c r="B14164" i="1"/>
  <c r="O14163" i="1"/>
  <c r="E14163" i="1"/>
  <c r="B14163" i="1"/>
  <c r="O14162" i="1"/>
  <c r="E14162" i="1"/>
  <c r="B14162" i="1"/>
  <c r="O14161" i="1"/>
  <c r="E14161" i="1"/>
  <c r="B14161" i="1"/>
  <c r="O14160" i="1"/>
  <c r="E14160" i="1"/>
  <c r="B14160" i="1"/>
  <c r="O14159" i="1"/>
  <c r="E14159" i="1"/>
  <c r="B14159" i="1"/>
  <c r="O14158" i="1"/>
  <c r="E14158" i="1"/>
  <c r="B14158" i="1"/>
  <c r="O14157" i="1"/>
  <c r="E14157" i="1"/>
  <c r="B14157" i="1"/>
  <c r="O14156" i="1"/>
  <c r="E14156" i="1"/>
  <c r="B14156" i="1"/>
  <c r="O14155" i="1"/>
  <c r="E14155" i="1"/>
  <c r="B14155" i="1"/>
  <c r="O14154" i="1"/>
  <c r="E14154" i="1"/>
  <c r="B14154" i="1"/>
  <c r="O14153" i="1"/>
  <c r="E14153" i="1"/>
  <c r="B14153" i="1"/>
  <c r="O14152" i="1"/>
  <c r="E14152" i="1"/>
  <c r="B14152" i="1"/>
  <c r="O14151" i="1"/>
  <c r="E14151" i="1"/>
  <c r="B14151" i="1"/>
  <c r="O14150" i="1"/>
  <c r="E14150" i="1"/>
  <c r="B14150" i="1"/>
  <c r="O14149" i="1"/>
  <c r="E14149" i="1"/>
  <c r="B14149" i="1"/>
  <c r="O14148" i="1"/>
  <c r="E14148" i="1"/>
  <c r="B14148" i="1"/>
  <c r="O14147" i="1"/>
  <c r="E14147" i="1"/>
  <c r="B14147" i="1"/>
  <c r="O14146" i="1"/>
  <c r="E14146" i="1"/>
  <c r="B14146" i="1"/>
  <c r="O14145" i="1"/>
  <c r="E14145" i="1"/>
  <c r="B14145" i="1"/>
  <c r="O14144" i="1"/>
  <c r="E14144" i="1"/>
  <c r="B14144" i="1"/>
  <c r="O14143" i="1"/>
  <c r="E14143" i="1"/>
  <c r="B14143" i="1"/>
  <c r="O14142" i="1"/>
  <c r="E14142" i="1"/>
  <c r="B14142" i="1"/>
  <c r="O14141" i="1"/>
  <c r="E14141" i="1"/>
  <c r="B14141" i="1"/>
  <c r="O14140" i="1"/>
  <c r="E14140" i="1"/>
  <c r="B14140" i="1"/>
  <c r="O14139" i="1"/>
  <c r="E14139" i="1"/>
  <c r="B14139" i="1"/>
  <c r="O14138" i="1"/>
  <c r="E14138" i="1"/>
  <c r="B14138" i="1"/>
  <c r="O14137" i="1"/>
  <c r="E14137" i="1"/>
  <c r="B14137" i="1"/>
  <c r="O14136" i="1"/>
  <c r="E14136" i="1"/>
  <c r="B14136" i="1"/>
  <c r="O14135" i="1"/>
  <c r="E14135" i="1"/>
  <c r="B14135" i="1"/>
  <c r="O14134" i="1"/>
  <c r="E14134" i="1"/>
  <c r="B14134" i="1"/>
  <c r="O14133" i="1"/>
  <c r="E14133" i="1"/>
  <c r="B14133" i="1"/>
  <c r="O14132" i="1"/>
  <c r="E14132" i="1"/>
  <c r="B14132" i="1"/>
  <c r="O14131" i="1"/>
  <c r="E14131" i="1"/>
  <c r="B14131" i="1"/>
  <c r="O14130" i="1"/>
  <c r="E14130" i="1"/>
  <c r="B14130" i="1"/>
  <c r="O14129" i="1"/>
  <c r="E14129" i="1"/>
  <c r="B14129" i="1"/>
  <c r="O14128" i="1"/>
  <c r="E14128" i="1"/>
  <c r="B14128" i="1"/>
  <c r="O14127" i="1"/>
  <c r="E14127" i="1"/>
  <c r="B14127" i="1"/>
  <c r="O14126" i="1"/>
  <c r="E14126" i="1"/>
  <c r="B14126" i="1"/>
  <c r="O14125" i="1"/>
  <c r="E14125" i="1"/>
  <c r="B14125" i="1"/>
  <c r="O14124" i="1"/>
  <c r="E14124" i="1"/>
  <c r="B14124" i="1"/>
  <c r="O14123" i="1"/>
  <c r="E14123" i="1"/>
  <c r="B14123" i="1"/>
  <c r="O14122" i="1"/>
  <c r="E14122" i="1"/>
  <c r="B14122" i="1"/>
  <c r="O14121" i="1"/>
  <c r="E14121" i="1"/>
  <c r="B14121" i="1"/>
  <c r="O14120" i="1"/>
  <c r="E14120" i="1"/>
  <c r="B14120" i="1"/>
  <c r="O14119" i="1"/>
  <c r="E14119" i="1"/>
  <c r="B14119" i="1"/>
  <c r="O14118" i="1"/>
  <c r="E14118" i="1"/>
  <c r="B14118" i="1"/>
  <c r="O14117" i="1"/>
  <c r="E14117" i="1"/>
  <c r="B14117" i="1"/>
  <c r="O14116" i="1"/>
  <c r="E14116" i="1"/>
  <c r="B14116" i="1"/>
  <c r="O14115" i="1"/>
  <c r="E14115" i="1"/>
  <c r="B14115" i="1"/>
  <c r="O14114" i="1"/>
  <c r="E14114" i="1"/>
  <c r="B14114" i="1"/>
  <c r="O14113" i="1"/>
  <c r="E14113" i="1"/>
  <c r="B14113" i="1"/>
  <c r="O14112" i="1"/>
  <c r="E14112" i="1"/>
  <c r="B14112" i="1"/>
  <c r="O14111" i="1"/>
  <c r="E14111" i="1"/>
  <c r="B14111" i="1"/>
  <c r="O14110" i="1"/>
  <c r="E14110" i="1"/>
  <c r="B14110" i="1"/>
  <c r="O14109" i="1"/>
  <c r="E14109" i="1"/>
  <c r="B14109" i="1"/>
  <c r="O14108" i="1"/>
  <c r="E14108" i="1"/>
  <c r="B14108" i="1"/>
  <c r="O14107" i="1"/>
  <c r="E14107" i="1"/>
  <c r="B14107" i="1"/>
  <c r="O14106" i="1"/>
  <c r="E14106" i="1"/>
  <c r="B14106" i="1"/>
  <c r="O14105" i="1"/>
  <c r="E14105" i="1"/>
  <c r="B14105" i="1"/>
  <c r="O14104" i="1"/>
  <c r="E14104" i="1"/>
  <c r="B14104" i="1"/>
  <c r="O14103" i="1"/>
  <c r="E14103" i="1"/>
  <c r="B14103" i="1"/>
  <c r="O14102" i="1"/>
  <c r="E14102" i="1"/>
  <c r="B14102" i="1"/>
  <c r="O14101" i="1"/>
  <c r="E14101" i="1"/>
  <c r="B14101" i="1"/>
  <c r="O14100" i="1"/>
  <c r="E14100" i="1"/>
  <c r="B14100" i="1"/>
  <c r="O14099" i="1"/>
  <c r="E14099" i="1"/>
  <c r="B14099" i="1"/>
  <c r="O14098" i="1"/>
  <c r="E14098" i="1"/>
  <c r="B14098" i="1"/>
  <c r="O14097" i="1"/>
  <c r="E14097" i="1"/>
  <c r="B14097" i="1"/>
  <c r="O14096" i="1"/>
  <c r="E14096" i="1"/>
  <c r="B14096" i="1"/>
  <c r="O14095" i="1"/>
  <c r="E14095" i="1"/>
  <c r="B14095" i="1"/>
  <c r="O14094" i="1"/>
  <c r="E14094" i="1"/>
  <c r="B14094" i="1"/>
  <c r="O14093" i="1"/>
  <c r="E14093" i="1"/>
  <c r="B14093" i="1"/>
  <c r="O14092" i="1"/>
  <c r="E14092" i="1"/>
  <c r="B14092" i="1"/>
  <c r="O14091" i="1"/>
  <c r="E14091" i="1"/>
  <c r="B14091" i="1"/>
  <c r="O14090" i="1"/>
  <c r="E14090" i="1"/>
  <c r="B14090" i="1"/>
  <c r="O14089" i="1"/>
  <c r="E14089" i="1"/>
  <c r="B14089" i="1"/>
  <c r="O14088" i="1"/>
  <c r="E14088" i="1"/>
  <c r="B14088" i="1"/>
  <c r="O14087" i="1"/>
  <c r="E14087" i="1"/>
  <c r="B14087" i="1"/>
  <c r="O14086" i="1"/>
  <c r="E14086" i="1"/>
  <c r="B14086" i="1"/>
  <c r="O14085" i="1"/>
  <c r="E14085" i="1"/>
  <c r="B14085" i="1"/>
  <c r="O14084" i="1"/>
  <c r="E14084" i="1"/>
  <c r="B14084" i="1"/>
  <c r="O14083" i="1"/>
  <c r="E14083" i="1"/>
  <c r="B14083" i="1"/>
  <c r="O14082" i="1"/>
  <c r="E14082" i="1"/>
  <c r="B14082" i="1"/>
  <c r="O14081" i="1"/>
  <c r="E14081" i="1"/>
  <c r="B14081" i="1"/>
  <c r="O14080" i="1"/>
  <c r="E14080" i="1"/>
  <c r="B14080" i="1"/>
  <c r="O14079" i="1"/>
  <c r="E14079" i="1"/>
  <c r="B14079" i="1"/>
  <c r="O14078" i="1"/>
  <c r="E14078" i="1"/>
  <c r="B14078" i="1"/>
  <c r="O14077" i="1"/>
  <c r="E14077" i="1"/>
  <c r="B14077" i="1"/>
  <c r="O14076" i="1"/>
  <c r="E14076" i="1"/>
  <c r="B14076" i="1"/>
  <c r="O14075" i="1"/>
  <c r="E14075" i="1"/>
  <c r="B14075" i="1"/>
  <c r="O14074" i="1"/>
  <c r="E14074" i="1"/>
  <c r="B14074" i="1"/>
  <c r="O14073" i="1"/>
  <c r="E14073" i="1"/>
  <c r="B14073" i="1"/>
  <c r="O14072" i="1"/>
  <c r="E14072" i="1"/>
  <c r="B14072" i="1"/>
  <c r="O14071" i="1"/>
  <c r="E14071" i="1"/>
  <c r="B14071" i="1"/>
  <c r="O14070" i="1"/>
  <c r="E14070" i="1"/>
  <c r="B14070" i="1"/>
  <c r="O14069" i="1"/>
  <c r="E14069" i="1"/>
  <c r="B14069" i="1"/>
  <c r="O14068" i="1"/>
  <c r="E14068" i="1"/>
  <c r="B14068" i="1"/>
  <c r="O14067" i="1"/>
  <c r="E14067" i="1"/>
  <c r="B14067" i="1"/>
  <c r="O14066" i="1"/>
  <c r="E14066" i="1"/>
  <c r="B14066" i="1"/>
  <c r="O14065" i="1"/>
  <c r="E14065" i="1"/>
  <c r="B14065" i="1"/>
  <c r="O14064" i="1"/>
  <c r="E14064" i="1"/>
  <c r="B14064" i="1"/>
  <c r="O14063" i="1"/>
  <c r="E14063" i="1"/>
  <c r="B14063" i="1"/>
  <c r="O14062" i="1"/>
  <c r="E14062" i="1"/>
  <c r="B14062" i="1"/>
  <c r="O14061" i="1"/>
  <c r="E14061" i="1"/>
  <c r="B14061" i="1"/>
  <c r="O14060" i="1"/>
  <c r="E14060" i="1"/>
  <c r="B14060" i="1"/>
  <c r="O14059" i="1"/>
  <c r="E14059" i="1"/>
  <c r="B14059" i="1"/>
  <c r="O14058" i="1"/>
  <c r="E14058" i="1"/>
  <c r="B14058" i="1"/>
  <c r="O14057" i="1"/>
  <c r="E14057" i="1"/>
  <c r="B14057" i="1"/>
  <c r="O14056" i="1"/>
  <c r="E14056" i="1"/>
  <c r="B14056" i="1"/>
  <c r="O14055" i="1"/>
  <c r="E14055" i="1"/>
  <c r="B14055" i="1"/>
  <c r="O14054" i="1"/>
  <c r="E14054" i="1"/>
  <c r="B14054" i="1"/>
  <c r="O14053" i="1"/>
  <c r="E14053" i="1"/>
  <c r="B14053" i="1"/>
  <c r="O14052" i="1"/>
  <c r="E14052" i="1"/>
  <c r="B14052" i="1"/>
  <c r="O14051" i="1"/>
  <c r="E14051" i="1"/>
  <c r="B14051" i="1"/>
  <c r="O14050" i="1"/>
  <c r="E14050" i="1"/>
  <c r="B14050" i="1"/>
  <c r="O14049" i="1"/>
  <c r="E14049" i="1"/>
  <c r="B14049" i="1"/>
  <c r="O14048" i="1"/>
  <c r="E14048" i="1"/>
  <c r="B14048" i="1"/>
  <c r="O14047" i="1"/>
  <c r="E14047" i="1"/>
  <c r="B14047" i="1"/>
  <c r="O14046" i="1"/>
  <c r="E14046" i="1"/>
  <c r="B14046" i="1"/>
  <c r="O14045" i="1"/>
  <c r="E14045" i="1"/>
  <c r="B14045" i="1"/>
  <c r="O14044" i="1"/>
  <c r="E14044" i="1"/>
  <c r="B14044" i="1"/>
  <c r="O14043" i="1"/>
  <c r="E14043" i="1"/>
  <c r="B14043" i="1"/>
  <c r="O14042" i="1"/>
  <c r="E14042" i="1"/>
  <c r="B14042" i="1"/>
  <c r="O14041" i="1"/>
  <c r="E14041" i="1"/>
  <c r="B14041" i="1"/>
  <c r="O14040" i="1"/>
  <c r="E14040" i="1"/>
  <c r="B14040" i="1"/>
  <c r="O14039" i="1"/>
  <c r="E14039" i="1"/>
  <c r="B14039" i="1"/>
  <c r="O14038" i="1"/>
  <c r="E14038" i="1"/>
  <c r="B14038" i="1"/>
  <c r="O14037" i="1"/>
  <c r="E14037" i="1"/>
  <c r="B14037" i="1"/>
  <c r="O14036" i="1"/>
  <c r="E14036" i="1"/>
  <c r="B14036" i="1"/>
  <c r="O14035" i="1"/>
  <c r="E14035" i="1"/>
  <c r="B14035" i="1"/>
  <c r="O14034" i="1"/>
  <c r="E14034" i="1"/>
  <c r="B14034" i="1"/>
  <c r="O14033" i="1"/>
  <c r="E14033" i="1"/>
  <c r="B14033" i="1"/>
  <c r="O14032" i="1"/>
  <c r="E14032" i="1"/>
  <c r="B14032" i="1"/>
  <c r="O14031" i="1"/>
  <c r="E14031" i="1"/>
  <c r="B14031" i="1"/>
  <c r="O14030" i="1"/>
  <c r="E14030" i="1"/>
  <c r="B14030" i="1"/>
  <c r="O14029" i="1"/>
  <c r="E14029" i="1"/>
  <c r="B14029" i="1"/>
  <c r="O14028" i="1"/>
  <c r="E14028" i="1"/>
  <c r="B14028" i="1"/>
  <c r="O14027" i="1"/>
  <c r="E14027" i="1"/>
  <c r="B14027" i="1"/>
  <c r="O14026" i="1"/>
  <c r="E14026" i="1"/>
  <c r="B14026" i="1"/>
  <c r="O14025" i="1"/>
  <c r="E14025" i="1"/>
  <c r="B14025" i="1"/>
  <c r="O14024" i="1"/>
  <c r="E14024" i="1"/>
  <c r="B14024" i="1"/>
  <c r="O14023" i="1"/>
  <c r="E14023" i="1"/>
  <c r="B14023" i="1"/>
  <c r="O14022" i="1"/>
  <c r="E14022" i="1"/>
  <c r="B14022" i="1"/>
  <c r="O14021" i="1"/>
  <c r="E14021" i="1"/>
  <c r="B14021" i="1"/>
  <c r="O14020" i="1"/>
  <c r="E14020" i="1"/>
  <c r="B14020" i="1"/>
  <c r="O14019" i="1"/>
  <c r="E14019" i="1"/>
  <c r="B14019" i="1"/>
  <c r="O14018" i="1"/>
  <c r="E14018" i="1"/>
  <c r="B14018" i="1"/>
  <c r="O14017" i="1"/>
  <c r="E14017" i="1"/>
  <c r="B14017" i="1"/>
  <c r="O14016" i="1"/>
  <c r="E14016" i="1"/>
  <c r="B14016" i="1"/>
  <c r="O14015" i="1"/>
  <c r="E14015" i="1"/>
  <c r="B14015" i="1"/>
  <c r="O14014" i="1"/>
  <c r="E14014" i="1"/>
  <c r="B14014" i="1"/>
  <c r="O14013" i="1"/>
  <c r="E14013" i="1"/>
  <c r="B14013" i="1"/>
  <c r="O14012" i="1"/>
  <c r="E14012" i="1"/>
  <c r="B14012" i="1"/>
  <c r="O14011" i="1"/>
  <c r="E14011" i="1"/>
  <c r="B14011" i="1"/>
  <c r="O14010" i="1"/>
  <c r="E14010" i="1"/>
  <c r="B14010" i="1"/>
  <c r="O14009" i="1"/>
  <c r="E14009" i="1"/>
  <c r="B14009" i="1"/>
  <c r="O14008" i="1"/>
  <c r="E14008" i="1"/>
  <c r="B14008" i="1"/>
  <c r="O14007" i="1"/>
  <c r="E14007" i="1"/>
  <c r="B14007" i="1"/>
  <c r="O14006" i="1"/>
  <c r="E14006" i="1"/>
  <c r="B14006" i="1"/>
  <c r="O14005" i="1"/>
  <c r="E14005" i="1"/>
  <c r="B14005" i="1"/>
  <c r="O14004" i="1"/>
  <c r="E14004" i="1"/>
  <c r="B14004" i="1"/>
  <c r="O14003" i="1"/>
  <c r="E14003" i="1"/>
  <c r="B14003" i="1"/>
  <c r="O14002" i="1"/>
  <c r="E14002" i="1"/>
  <c r="B14002" i="1"/>
  <c r="O14001" i="1"/>
  <c r="E14001" i="1"/>
  <c r="B14001" i="1"/>
  <c r="O14000" i="1"/>
  <c r="E14000" i="1"/>
  <c r="B14000" i="1"/>
  <c r="O13999" i="1"/>
  <c r="E13999" i="1"/>
  <c r="B13999" i="1"/>
  <c r="O13998" i="1"/>
  <c r="E13998" i="1"/>
  <c r="B13998" i="1"/>
  <c r="O13997" i="1"/>
  <c r="E13997" i="1"/>
  <c r="B13997" i="1"/>
  <c r="O13996" i="1"/>
  <c r="E13996" i="1"/>
  <c r="B13996" i="1"/>
  <c r="O13995" i="1"/>
  <c r="E13995" i="1"/>
  <c r="B13995" i="1"/>
  <c r="O13994" i="1"/>
  <c r="E13994" i="1"/>
  <c r="B13994" i="1"/>
  <c r="O13993" i="1"/>
  <c r="E13993" i="1"/>
  <c r="B13993" i="1"/>
  <c r="O13992" i="1"/>
  <c r="E13992" i="1"/>
  <c r="B13992" i="1"/>
  <c r="O13991" i="1"/>
  <c r="E13991" i="1"/>
  <c r="B13991" i="1"/>
  <c r="O13990" i="1"/>
  <c r="E13990" i="1"/>
  <c r="B13990" i="1"/>
  <c r="O13989" i="1"/>
  <c r="E13989" i="1"/>
  <c r="B13989" i="1"/>
  <c r="O13988" i="1"/>
  <c r="E13988" i="1"/>
  <c r="B13988" i="1"/>
  <c r="O13987" i="1"/>
  <c r="E13987" i="1"/>
  <c r="B13987" i="1"/>
  <c r="O13986" i="1"/>
  <c r="E13986" i="1"/>
  <c r="B13986" i="1"/>
  <c r="O13985" i="1"/>
  <c r="E13985" i="1"/>
  <c r="B13985" i="1"/>
  <c r="O13984" i="1"/>
  <c r="E13984" i="1"/>
  <c r="B13984" i="1"/>
  <c r="O13983" i="1"/>
  <c r="E13983" i="1"/>
  <c r="B13983" i="1"/>
  <c r="O13982" i="1"/>
  <c r="E13982" i="1"/>
  <c r="B13982" i="1"/>
  <c r="O13981" i="1"/>
  <c r="E13981" i="1"/>
  <c r="B13981" i="1"/>
  <c r="O13980" i="1"/>
  <c r="E13980" i="1"/>
  <c r="B13980" i="1"/>
  <c r="O13979" i="1"/>
  <c r="E13979" i="1"/>
  <c r="B13979" i="1"/>
  <c r="O13978" i="1"/>
  <c r="E13978" i="1"/>
  <c r="B13978" i="1"/>
  <c r="O13977" i="1"/>
  <c r="E13977" i="1"/>
  <c r="B13977" i="1"/>
  <c r="O13976" i="1"/>
  <c r="E13976" i="1"/>
  <c r="B13976" i="1"/>
  <c r="O13975" i="1"/>
  <c r="E13975" i="1"/>
  <c r="B13975" i="1"/>
  <c r="O13974" i="1"/>
  <c r="E13974" i="1"/>
  <c r="B13974" i="1"/>
  <c r="O13973" i="1"/>
  <c r="E13973" i="1"/>
  <c r="B13973" i="1"/>
  <c r="O13972" i="1"/>
  <c r="E13972" i="1"/>
  <c r="B13972" i="1"/>
  <c r="O13971" i="1"/>
  <c r="E13971" i="1"/>
  <c r="B13971" i="1"/>
  <c r="O13970" i="1"/>
  <c r="E13970" i="1"/>
  <c r="B13970" i="1"/>
  <c r="O13969" i="1"/>
  <c r="E13969" i="1"/>
  <c r="B13969" i="1"/>
  <c r="O13968" i="1"/>
  <c r="E13968" i="1"/>
  <c r="B13968" i="1"/>
  <c r="O13967" i="1"/>
  <c r="E13967" i="1"/>
  <c r="B13967" i="1"/>
  <c r="O13966" i="1"/>
  <c r="E13966" i="1"/>
  <c r="B13966" i="1"/>
  <c r="O13965" i="1"/>
  <c r="E13965" i="1"/>
  <c r="B13965" i="1"/>
  <c r="O13964" i="1"/>
  <c r="E13964" i="1"/>
  <c r="B13964" i="1"/>
  <c r="O13963" i="1"/>
  <c r="E13963" i="1"/>
  <c r="B13963" i="1"/>
  <c r="O13962" i="1"/>
  <c r="E13962" i="1"/>
  <c r="B13962" i="1"/>
  <c r="O13961" i="1"/>
  <c r="E13961" i="1"/>
  <c r="B13961" i="1"/>
  <c r="O13960" i="1"/>
  <c r="E13960" i="1"/>
  <c r="B13960" i="1"/>
  <c r="O13959" i="1"/>
  <c r="E13959" i="1"/>
  <c r="B13959" i="1"/>
  <c r="O13958" i="1"/>
  <c r="E13958" i="1"/>
  <c r="B13958" i="1"/>
  <c r="O13957" i="1"/>
  <c r="E13957" i="1"/>
  <c r="B13957" i="1"/>
  <c r="O13956" i="1"/>
  <c r="E13956" i="1"/>
  <c r="B13956" i="1"/>
  <c r="O13955" i="1"/>
  <c r="E13955" i="1"/>
  <c r="B13955" i="1"/>
  <c r="O13954" i="1"/>
  <c r="E13954" i="1"/>
  <c r="B13954" i="1"/>
  <c r="O13953" i="1"/>
  <c r="E13953" i="1"/>
  <c r="B13953" i="1"/>
  <c r="O13952" i="1"/>
  <c r="E13952" i="1"/>
  <c r="B13952" i="1"/>
  <c r="O13951" i="1"/>
  <c r="E13951" i="1"/>
  <c r="B13951" i="1"/>
  <c r="O13950" i="1"/>
  <c r="E13950" i="1"/>
  <c r="B13950" i="1"/>
  <c r="O13949" i="1"/>
  <c r="E13949" i="1"/>
  <c r="B13949" i="1"/>
  <c r="O13948" i="1"/>
  <c r="E13948" i="1"/>
  <c r="B13948" i="1"/>
  <c r="O13947" i="1"/>
  <c r="E13947" i="1"/>
  <c r="B13947" i="1"/>
  <c r="O13946" i="1"/>
  <c r="E13946" i="1"/>
  <c r="B13946" i="1"/>
  <c r="O13945" i="1"/>
  <c r="E13945" i="1"/>
  <c r="B13945" i="1"/>
  <c r="O13944" i="1"/>
  <c r="E13944" i="1"/>
  <c r="B13944" i="1"/>
  <c r="O13943" i="1"/>
  <c r="E13943" i="1"/>
  <c r="B13943" i="1"/>
  <c r="O13942" i="1"/>
  <c r="E13942" i="1"/>
  <c r="B13942" i="1"/>
  <c r="O13941" i="1"/>
  <c r="E13941" i="1"/>
  <c r="B13941" i="1"/>
  <c r="O13940" i="1"/>
  <c r="E13940" i="1"/>
  <c r="B13940" i="1"/>
  <c r="O13939" i="1"/>
  <c r="E13939" i="1"/>
  <c r="B13939" i="1"/>
  <c r="O13938" i="1"/>
  <c r="E13938" i="1"/>
  <c r="B13938" i="1"/>
  <c r="O13937" i="1"/>
  <c r="E13937" i="1"/>
  <c r="B13937" i="1"/>
  <c r="O13936" i="1"/>
  <c r="E13936" i="1"/>
  <c r="B13936" i="1"/>
  <c r="O13935" i="1"/>
  <c r="E13935" i="1"/>
  <c r="B13935" i="1"/>
  <c r="O13934" i="1"/>
  <c r="E13934" i="1"/>
  <c r="B13934" i="1"/>
  <c r="O13933" i="1"/>
  <c r="E13933" i="1"/>
  <c r="B13933" i="1"/>
  <c r="O13932" i="1"/>
  <c r="E13932" i="1"/>
  <c r="B13932" i="1"/>
  <c r="O13931" i="1"/>
  <c r="E13931" i="1"/>
  <c r="B13931" i="1"/>
  <c r="O13930" i="1"/>
  <c r="E13930" i="1"/>
  <c r="B13930" i="1"/>
  <c r="O13929" i="1"/>
  <c r="E13929" i="1"/>
  <c r="B13929" i="1"/>
  <c r="O13928" i="1"/>
  <c r="E13928" i="1"/>
  <c r="B13928" i="1"/>
  <c r="O13927" i="1"/>
  <c r="E13927" i="1"/>
  <c r="B13927" i="1"/>
  <c r="O13926" i="1"/>
  <c r="E13926" i="1"/>
  <c r="B13926" i="1"/>
  <c r="O13925" i="1"/>
  <c r="E13925" i="1"/>
  <c r="B13925" i="1"/>
  <c r="O13924" i="1"/>
  <c r="E13924" i="1"/>
  <c r="B13924" i="1"/>
  <c r="O13923" i="1"/>
  <c r="E13923" i="1"/>
  <c r="B13923" i="1"/>
  <c r="O13922" i="1"/>
  <c r="E13922" i="1"/>
  <c r="B13922" i="1"/>
  <c r="O13921" i="1"/>
  <c r="E13921" i="1"/>
  <c r="B13921" i="1"/>
  <c r="O13920" i="1"/>
  <c r="E13920" i="1"/>
  <c r="B13920" i="1"/>
  <c r="O13919" i="1"/>
  <c r="E13919" i="1"/>
  <c r="B13919" i="1"/>
  <c r="O13918" i="1"/>
  <c r="E13918" i="1"/>
  <c r="B13918" i="1"/>
  <c r="O13917" i="1"/>
  <c r="E13917" i="1"/>
  <c r="B13917" i="1"/>
  <c r="O13916" i="1"/>
  <c r="E13916" i="1"/>
  <c r="B13916" i="1"/>
  <c r="O13915" i="1"/>
  <c r="E13915" i="1"/>
  <c r="B13915" i="1"/>
  <c r="O13914" i="1"/>
  <c r="E13914" i="1"/>
  <c r="B13914" i="1"/>
  <c r="O13913" i="1"/>
  <c r="E13913" i="1"/>
  <c r="B13913" i="1"/>
  <c r="O13912" i="1"/>
  <c r="E13912" i="1"/>
  <c r="B13912" i="1"/>
  <c r="O13911" i="1"/>
  <c r="E13911" i="1"/>
  <c r="B13911" i="1"/>
  <c r="O13910" i="1"/>
  <c r="E13910" i="1"/>
  <c r="B13910" i="1"/>
  <c r="O13909" i="1"/>
  <c r="E13909" i="1"/>
  <c r="B13909" i="1"/>
  <c r="O13908" i="1"/>
  <c r="E13908" i="1"/>
  <c r="B13908" i="1"/>
  <c r="O13907" i="1"/>
  <c r="E13907" i="1"/>
  <c r="B13907" i="1"/>
  <c r="O13906" i="1"/>
  <c r="E13906" i="1"/>
  <c r="B13906" i="1"/>
  <c r="O13905" i="1"/>
  <c r="E13905" i="1"/>
  <c r="B13905" i="1"/>
  <c r="O13904" i="1"/>
  <c r="E13904" i="1"/>
  <c r="B13904" i="1"/>
  <c r="O13903" i="1"/>
  <c r="E13903" i="1"/>
  <c r="B13903" i="1"/>
  <c r="O13902" i="1"/>
  <c r="E13902" i="1"/>
  <c r="B13902" i="1"/>
  <c r="O13901" i="1"/>
  <c r="E13901" i="1"/>
  <c r="B13901" i="1"/>
  <c r="O13900" i="1"/>
  <c r="E13900" i="1"/>
  <c r="B13900" i="1"/>
  <c r="O13899" i="1"/>
  <c r="E13899" i="1"/>
  <c r="B13899" i="1"/>
  <c r="O13898" i="1"/>
  <c r="E13898" i="1"/>
  <c r="B13898" i="1"/>
  <c r="O13897" i="1"/>
  <c r="E13897" i="1"/>
  <c r="B13897" i="1"/>
  <c r="O13896" i="1"/>
  <c r="E13896" i="1"/>
  <c r="B13896" i="1"/>
  <c r="O13895" i="1"/>
  <c r="E13895" i="1"/>
  <c r="B13895" i="1"/>
  <c r="O13894" i="1"/>
  <c r="E13894" i="1"/>
  <c r="B13894" i="1"/>
  <c r="O13893" i="1"/>
  <c r="E13893" i="1"/>
  <c r="B13893" i="1"/>
  <c r="O13892" i="1"/>
  <c r="E13892" i="1"/>
  <c r="B13892" i="1"/>
  <c r="O13891" i="1"/>
  <c r="E13891" i="1"/>
  <c r="B13891" i="1"/>
  <c r="O13890" i="1"/>
  <c r="E13890" i="1"/>
  <c r="B13890" i="1"/>
  <c r="O13889" i="1"/>
  <c r="E13889" i="1"/>
  <c r="B13889" i="1"/>
  <c r="O13888" i="1"/>
  <c r="E13888" i="1"/>
  <c r="B13888" i="1"/>
  <c r="O13887" i="1"/>
  <c r="E13887" i="1"/>
  <c r="B13887" i="1"/>
  <c r="O13886" i="1"/>
  <c r="E13886" i="1"/>
  <c r="B13886" i="1"/>
  <c r="O13885" i="1"/>
  <c r="E13885" i="1"/>
  <c r="B13885" i="1"/>
  <c r="O13884" i="1"/>
  <c r="E13884" i="1"/>
  <c r="B13884" i="1"/>
  <c r="O13883" i="1"/>
  <c r="E13883" i="1"/>
  <c r="B13883" i="1"/>
  <c r="O13882" i="1"/>
  <c r="E13882" i="1"/>
  <c r="B13882" i="1"/>
  <c r="O13881" i="1"/>
  <c r="E13881" i="1"/>
  <c r="B13881" i="1"/>
  <c r="O13880" i="1"/>
  <c r="E13880" i="1"/>
  <c r="B13880" i="1"/>
  <c r="O13879" i="1"/>
  <c r="E13879" i="1"/>
  <c r="B13879" i="1"/>
  <c r="O13878" i="1"/>
  <c r="E13878" i="1"/>
  <c r="B13878" i="1"/>
  <c r="O13877" i="1"/>
  <c r="E13877" i="1"/>
  <c r="B13877" i="1"/>
  <c r="O13876" i="1"/>
  <c r="E13876" i="1"/>
  <c r="B13876" i="1"/>
  <c r="O13875" i="1"/>
  <c r="E13875" i="1"/>
  <c r="B13875" i="1"/>
  <c r="O13874" i="1"/>
  <c r="E13874" i="1"/>
  <c r="B13874" i="1"/>
  <c r="O13873" i="1"/>
  <c r="E13873" i="1"/>
  <c r="B13873" i="1"/>
  <c r="O13872" i="1"/>
  <c r="E13872" i="1"/>
  <c r="B13872" i="1"/>
  <c r="O13871" i="1"/>
  <c r="E13871" i="1"/>
  <c r="B13871" i="1"/>
  <c r="O13870" i="1"/>
  <c r="E13870" i="1"/>
  <c r="B13870" i="1"/>
  <c r="O13869" i="1"/>
  <c r="E13869" i="1"/>
  <c r="B13869" i="1"/>
  <c r="O13868" i="1"/>
  <c r="E13868" i="1"/>
  <c r="B13868" i="1"/>
  <c r="O13867" i="1"/>
  <c r="E13867" i="1"/>
  <c r="B13867" i="1"/>
  <c r="O13866" i="1"/>
  <c r="E13866" i="1"/>
  <c r="B13866" i="1"/>
  <c r="O13865" i="1"/>
  <c r="E13865" i="1"/>
  <c r="B13865" i="1"/>
  <c r="O13864" i="1"/>
  <c r="E13864" i="1"/>
  <c r="B13864" i="1"/>
  <c r="O13863" i="1"/>
  <c r="E13863" i="1"/>
  <c r="B13863" i="1"/>
  <c r="O13862" i="1"/>
  <c r="E13862" i="1"/>
  <c r="B13862" i="1"/>
  <c r="O13861" i="1"/>
  <c r="E13861" i="1"/>
  <c r="B13861" i="1"/>
  <c r="O13860" i="1"/>
  <c r="E13860" i="1"/>
  <c r="B13860" i="1"/>
  <c r="O13859" i="1"/>
  <c r="E13859" i="1"/>
  <c r="B13859" i="1"/>
  <c r="O13858" i="1"/>
  <c r="E13858" i="1"/>
  <c r="B13858" i="1"/>
  <c r="O13857" i="1"/>
  <c r="E13857" i="1"/>
  <c r="B13857" i="1"/>
  <c r="O13856" i="1"/>
  <c r="E13856" i="1"/>
  <c r="B13856" i="1"/>
  <c r="O13855" i="1"/>
  <c r="E13855" i="1"/>
  <c r="B13855" i="1"/>
  <c r="O13854" i="1"/>
  <c r="E13854" i="1"/>
  <c r="B13854" i="1"/>
  <c r="O13853" i="1"/>
  <c r="E13853" i="1"/>
  <c r="B13853" i="1"/>
  <c r="O13852" i="1"/>
  <c r="E13852" i="1"/>
  <c r="B13852" i="1"/>
  <c r="O13851" i="1"/>
  <c r="E13851" i="1"/>
  <c r="B13851" i="1"/>
  <c r="O13850" i="1"/>
  <c r="E13850" i="1"/>
  <c r="B13850" i="1"/>
  <c r="O13849" i="1"/>
  <c r="E13849" i="1"/>
  <c r="B13849" i="1"/>
  <c r="O13848" i="1"/>
  <c r="E13848" i="1"/>
  <c r="B13848" i="1"/>
  <c r="O13847" i="1"/>
  <c r="E13847" i="1"/>
  <c r="B13847" i="1"/>
  <c r="O13846" i="1"/>
  <c r="E13846" i="1"/>
  <c r="B13846" i="1"/>
  <c r="O13845" i="1"/>
  <c r="E13845" i="1"/>
  <c r="B13845" i="1"/>
  <c r="O13844" i="1"/>
  <c r="E13844" i="1"/>
  <c r="B13844" i="1"/>
  <c r="O13843" i="1"/>
  <c r="E13843" i="1"/>
  <c r="B13843" i="1"/>
  <c r="O13842" i="1"/>
  <c r="E13842" i="1"/>
  <c r="B13842" i="1"/>
  <c r="O13841" i="1"/>
  <c r="E13841" i="1"/>
  <c r="B13841" i="1"/>
  <c r="O13840" i="1"/>
  <c r="E13840" i="1"/>
  <c r="B13840" i="1"/>
  <c r="O13839" i="1"/>
  <c r="E13839" i="1"/>
  <c r="B13839" i="1"/>
  <c r="O13838" i="1"/>
  <c r="E13838" i="1"/>
  <c r="B13838" i="1"/>
  <c r="O13837" i="1"/>
  <c r="E13837" i="1"/>
  <c r="B13837" i="1"/>
  <c r="O13836" i="1"/>
  <c r="E13836" i="1"/>
  <c r="B13836" i="1"/>
  <c r="O13835" i="1"/>
  <c r="E13835" i="1"/>
  <c r="B13835" i="1"/>
  <c r="O13834" i="1"/>
  <c r="E13834" i="1"/>
  <c r="B13834" i="1"/>
  <c r="O13833" i="1"/>
  <c r="E13833" i="1"/>
  <c r="B13833" i="1"/>
  <c r="O13832" i="1"/>
  <c r="E13832" i="1"/>
  <c r="B13832" i="1"/>
  <c r="O13831" i="1"/>
  <c r="E13831" i="1"/>
  <c r="B13831" i="1"/>
  <c r="O13830" i="1"/>
  <c r="E13830" i="1"/>
  <c r="B13830" i="1"/>
  <c r="O13829" i="1"/>
  <c r="E13829" i="1"/>
  <c r="B13829" i="1"/>
  <c r="O13828" i="1"/>
  <c r="E13828" i="1"/>
  <c r="B13828" i="1"/>
  <c r="O13827" i="1"/>
  <c r="E13827" i="1"/>
  <c r="B13827" i="1"/>
  <c r="O13826" i="1"/>
  <c r="E13826" i="1"/>
  <c r="B13826" i="1"/>
  <c r="O13825" i="1"/>
  <c r="E13825" i="1"/>
  <c r="B13825" i="1"/>
  <c r="O13824" i="1"/>
  <c r="E13824" i="1"/>
  <c r="B13824" i="1"/>
  <c r="O13823" i="1"/>
  <c r="E13823" i="1"/>
  <c r="B13823" i="1"/>
  <c r="O13822" i="1"/>
  <c r="E13822" i="1"/>
  <c r="B13822" i="1"/>
  <c r="O13821" i="1"/>
  <c r="E13821" i="1"/>
  <c r="B13821" i="1"/>
  <c r="O13820" i="1"/>
  <c r="E13820" i="1"/>
  <c r="B13820" i="1"/>
  <c r="O13819" i="1"/>
  <c r="E13819" i="1"/>
  <c r="B13819" i="1"/>
  <c r="O13818" i="1"/>
  <c r="E13818" i="1"/>
  <c r="B13818" i="1"/>
  <c r="O13817" i="1"/>
  <c r="E13817" i="1"/>
  <c r="B13817" i="1"/>
  <c r="O13816" i="1"/>
  <c r="E13816" i="1"/>
  <c r="B13816" i="1"/>
  <c r="O13815" i="1"/>
  <c r="E13815" i="1"/>
  <c r="B13815" i="1"/>
  <c r="O13814" i="1"/>
  <c r="E13814" i="1"/>
  <c r="B13814" i="1"/>
  <c r="O13813" i="1"/>
  <c r="E13813" i="1"/>
  <c r="B13813" i="1"/>
  <c r="O13812" i="1"/>
  <c r="E13812" i="1"/>
  <c r="B13812" i="1"/>
  <c r="O13811" i="1"/>
  <c r="E13811" i="1"/>
  <c r="B13811" i="1"/>
  <c r="O13810" i="1"/>
  <c r="E13810" i="1"/>
  <c r="B13810" i="1"/>
  <c r="O13809" i="1"/>
  <c r="E13809" i="1"/>
  <c r="B13809" i="1"/>
  <c r="O13808" i="1"/>
  <c r="E13808" i="1"/>
  <c r="B13808" i="1"/>
  <c r="O13807" i="1"/>
  <c r="E13807" i="1"/>
  <c r="B13807" i="1"/>
  <c r="O13806" i="1"/>
  <c r="E13806" i="1"/>
  <c r="B13806" i="1"/>
  <c r="O13805" i="1"/>
  <c r="E13805" i="1"/>
  <c r="B13805" i="1"/>
  <c r="O13804" i="1"/>
  <c r="E13804" i="1"/>
  <c r="B13804" i="1"/>
  <c r="O13803" i="1"/>
  <c r="E13803" i="1"/>
  <c r="B13803" i="1"/>
  <c r="O13802" i="1"/>
  <c r="E13802" i="1"/>
  <c r="B13802" i="1"/>
  <c r="O13801" i="1"/>
  <c r="E13801" i="1"/>
  <c r="B13801" i="1"/>
  <c r="O13800" i="1"/>
  <c r="E13800" i="1"/>
  <c r="B13800" i="1"/>
  <c r="O13799" i="1"/>
  <c r="E13799" i="1"/>
  <c r="B13799" i="1"/>
  <c r="O13798" i="1"/>
  <c r="E13798" i="1"/>
  <c r="B13798" i="1"/>
  <c r="O13797" i="1"/>
  <c r="E13797" i="1"/>
  <c r="B13797" i="1"/>
  <c r="O13796" i="1"/>
  <c r="E13796" i="1"/>
  <c r="B13796" i="1"/>
  <c r="O13795" i="1"/>
  <c r="E13795" i="1"/>
  <c r="B13795" i="1"/>
  <c r="O13794" i="1"/>
  <c r="E13794" i="1"/>
  <c r="B13794" i="1"/>
  <c r="O13793" i="1"/>
  <c r="E13793" i="1"/>
  <c r="B13793" i="1"/>
  <c r="O13792" i="1"/>
  <c r="E13792" i="1"/>
  <c r="B13792" i="1"/>
  <c r="O13791" i="1"/>
  <c r="E13791" i="1"/>
  <c r="B13791" i="1"/>
  <c r="O13790" i="1"/>
  <c r="E13790" i="1"/>
  <c r="B13790" i="1"/>
  <c r="O13789" i="1"/>
  <c r="E13789" i="1"/>
  <c r="B13789" i="1"/>
  <c r="O13788" i="1"/>
  <c r="E13788" i="1"/>
  <c r="B13788" i="1"/>
  <c r="O13787" i="1"/>
  <c r="E13787" i="1"/>
  <c r="B13787" i="1"/>
  <c r="O13786" i="1"/>
  <c r="E13786" i="1"/>
  <c r="B13786" i="1"/>
  <c r="O13785" i="1"/>
  <c r="E13785" i="1"/>
  <c r="B13785" i="1"/>
  <c r="O13784" i="1"/>
  <c r="E13784" i="1"/>
  <c r="B13784" i="1"/>
  <c r="O13783" i="1"/>
  <c r="E13783" i="1"/>
  <c r="B13783" i="1"/>
  <c r="O13782" i="1"/>
  <c r="E13782" i="1"/>
  <c r="B13782" i="1"/>
  <c r="O13781" i="1"/>
  <c r="E13781" i="1"/>
  <c r="B13781" i="1"/>
  <c r="O13780" i="1"/>
  <c r="E13780" i="1"/>
  <c r="B13780" i="1"/>
  <c r="O13779" i="1"/>
  <c r="E13779" i="1"/>
  <c r="B13779" i="1"/>
  <c r="O13778" i="1"/>
  <c r="E13778" i="1"/>
  <c r="B13778" i="1"/>
  <c r="O13777" i="1"/>
  <c r="E13777" i="1"/>
  <c r="B13777" i="1"/>
  <c r="O13776" i="1"/>
  <c r="E13776" i="1"/>
  <c r="B13776" i="1"/>
  <c r="O13775" i="1"/>
  <c r="E13775" i="1"/>
  <c r="B13775" i="1"/>
  <c r="O13774" i="1"/>
  <c r="E13774" i="1"/>
  <c r="B13774" i="1"/>
  <c r="O13773" i="1"/>
  <c r="E13773" i="1"/>
  <c r="B13773" i="1"/>
  <c r="O13772" i="1"/>
  <c r="E13772" i="1"/>
  <c r="B13772" i="1"/>
  <c r="O13771" i="1"/>
  <c r="E13771" i="1"/>
  <c r="B13771" i="1"/>
  <c r="O13770" i="1"/>
  <c r="E13770" i="1"/>
  <c r="B13770" i="1"/>
  <c r="O13769" i="1"/>
  <c r="E13769" i="1"/>
  <c r="B13769" i="1"/>
  <c r="O13768" i="1"/>
  <c r="E13768" i="1"/>
  <c r="B13768" i="1"/>
  <c r="O13767" i="1"/>
  <c r="E13767" i="1"/>
  <c r="B13767" i="1"/>
  <c r="O13766" i="1"/>
  <c r="E13766" i="1"/>
  <c r="B13766" i="1"/>
  <c r="O13765" i="1"/>
  <c r="E13765" i="1"/>
  <c r="B13765" i="1"/>
  <c r="O13764" i="1"/>
  <c r="E13764" i="1"/>
  <c r="B13764" i="1"/>
  <c r="O13763" i="1"/>
  <c r="E13763" i="1"/>
  <c r="B13763" i="1"/>
  <c r="O13762" i="1"/>
  <c r="E13762" i="1"/>
  <c r="B13762" i="1"/>
  <c r="O13761" i="1"/>
  <c r="E13761" i="1"/>
  <c r="B13761" i="1"/>
  <c r="O13760" i="1"/>
  <c r="E13760" i="1"/>
  <c r="B13760" i="1"/>
  <c r="O13759" i="1"/>
  <c r="E13759" i="1"/>
  <c r="B13759" i="1"/>
  <c r="O13758" i="1"/>
  <c r="E13758" i="1"/>
  <c r="B13758" i="1"/>
  <c r="O13757" i="1"/>
  <c r="E13757" i="1"/>
  <c r="B13757" i="1"/>
  <c r="O13756" i="1"/>
  <c r="E13756" i="1"/>
  <c r="B13756" i="1"/>
  <c r="O13755" i="1"/>
  <c r="E13755" i="1"/>
  <c r="B13755" i="1"/>
  <c r="O13754" i="1"/>
  <c r="E13754" i="1"/>
  <c r="B13754" i="1"/>
  <c r="O13753" i="1"/>
  <c r="E13753" i="1"/>
  <c r="B13753" i="1"/>
  <c r="O13752" i="1"/>
  <c r="E13752" i="1"/>
  <c r="B13752" i="1"/>
  <c r="O13751" i="1"/>
  <c r="E13751" i="1"/>
  <c r="B13751" i="1"/>
  <c r="O13750" i="1"/>
  <c r="E13750" i="1"/>
  <c r="B13750" i="1"/>
  <c r="O13749" i="1"/>
  <c r="E13749" i="1"/>
  <c r="B13749" i="1"/>
  <c r="O13748" i="1"/>
  <c r="E13748" i="1"/>
  <c r="B13748" i="1"/>
  <c r="O13747" i="1"/>
  <c r="E13747" i="1"/>
  <c r="B13747" i="1"/>
  <c r="O13746" i="1"/>
  <c r="E13746" i="1"/>
  <c r="B13746" i="1"/>
  <c r="O13745" i="1"/>
  <c r="E13745" i="1"/>
  <c r="B13745" i="1"/>
  <c r="O13744" i="1"/>
  <c r="E13744" i="1"/>
  <c r="B13744" i="1"/>
  <c r="O13743" i="1"/>
  <c r="E13743" i="1"/>
  <c r="B13743" i="1"/>
  <c r="O13742" i="1"/>
  <c r="E13742" i="1"/>
  <c r="B13742" i="1"/>
  <c r="O13741" i="1"/>
  <c r="E13741" i="1"/>
  <c r="B13741" i="1"/>
  <c r="O13740" i="1"/>
  <c r="E13740" i="1"/>
  <c r="B13740" i="1"/>
  <c r="O13739" i="1"/>
  <c r="E13739" i="1"/>
  <c r="B13739" i="1"/>
  <c r="O13738" i="1"/>
  <c r="E13738" i="1"/>
  <c r="B13738" i="1"/>
  <c r="O13737" i="1"/>
  <c r="E13737" i="1"/>
  <c r="B13737" i="1"/>
  <c r="O13736" i="1"/>
  <c r="E13736" i="1"/>
  <c r="B13736" i="1"/>
  <c r="O13735" i="1"/>
  <c r="E13735" i="1"/>
  <c r="B13735" i="1"/>
  <c r="O13734" i="1"/>
  <c r="E13734" i="1"/>
  <c r="B13734" i="1"/>
  <c r="O13733" i="1"/>
  <c r="E13733" i="1"/>
  <c r="B13733" i="1"/>
  <c r="O13732" i="1"/>
  <c r="E13732" i="1"/>
  <c r="B13732" i="1"/>
  <c r="O13731" i="1"/>
  <c r="E13731" i="1"/>
  <c r="B13731" i="1"/>
  <c r="O13730" i="1"/>
  <c r="E13730" i="1"/>
  <c r="B13730" i="1"/>
  <c r="O13729" i="1"/>
  <c r="E13729" i="1"/>
  <c r="B13729" i="1"/>
  <c r="O13728" i="1"/>
  <c r="E13728" i="1"/>
  <c r="B13728" i="1"/>
  <c r="O13727" i="1"/>
  <c r="E13727" i="1"/>
  <c r="B13727" i="1"/>
  <c r="O13726" i="1"/>
  <c r="E13726" i="1"/>
  <c r="B13726" i="1"/>
  <c r="O13725" i="1"/>
  <c r="E13725" i="1"/>
  <c r="B13725" i="1"/>
  <c r="O13724" i="1"/>
  <c r="E13724" i="1"/>
  <c r="B13724" i="1"/>
  <c r="O13723" i="1"/>
  <c r="E13723" i="1"/>
  <c r="B13723" i="1"/>
  <c r="O13722" i="1"/>
  <c r="E13722" i="1"/>
  <c r="B13722" i="1"/>
  <c r="O13721" i="1"/>
  <c r="E13721" i="1"/>
  <c r="B13721" i="1"/>
  <c r="O13720" i="1"/>
  <c r="E13720" i="1"/>
  <c r="B13720" i="1"/>
  <c r="O13719" i="1"/>
  <c r="E13719" i="1"/>
  <c r="B13719" i="1"/>
  <c r="O13718" i="1"/>
  <c r="E13718" i="1"/>
  <c r="B13718" i="1"/>
  <c r="O13717" i="1"/>
  <c r="E13717" i="1"/>
  <c r="B13717" i="1"/>
  <c r="O13716" i="1"/>
  <c r="E13716" i="1"/>
  <c r="B13716" i="1"/>
  <c r="O13715" i="1"/>
  <c r="E13715" i="1"/>
  <c r="B13715" i="1"/>
  <c r="O13714" i="1"/>
  <c r="E13714" i="1"/>
  <c r="B13714" i="1"/>
  <c r="O13713" i="1"/>
  <c r="E13713" i="1"/>
  <c r="B13713" i="1"/>
  <c r="O13712" i="1"/>
  <c r="E13712" i="1"/>
  <c r="B13712" i="1"/>
  <c r="O13711" i="1"/>
  <c r="E13711" i="1"/>
  <c r="B13711" i="1"/>
  <c r="O13710" i="1"/>
  <c r="E13710" i="1"/>
  <c r="B13710" i="1"/>
  <c r="O13709" i="1"/>
  <c r="E13709" i="1"/>
  <c r="B13709" i="1"/>
  <c r="O13708" i="1"/>
  <c r="E13708" i="1"/>
  <c r="B13708" i="1"/>
  <c r="O13707" i="1"/>
  <c r="E13707" i="1"/>
  <c r="B13707" i="1"/>
  <c r="O13706" i="1"/>
  <c r="E13706" i="1"/>
  <c r="B13706" i="1"/>
  <c r="O13705" i="1"/>
  <c r="E13705" i="1"/>
  <c r="B13705" i="1"/>
  <c r="O13704" i="1"/>
  <c r="E13704" i="1"/>
  <c r="B13704" i="1"/>
  <c r="O13703" i="1"/>
  <c r="E13703" i="1"/>
  <c r="B13703" i="1"/>
  <c r="O13702" i="1"/>
  <c r="E13702" i="1"/>
  <c r="B13702" i="1"/>
  <c r="O13701" i="1"/>
  <c r="E13701" i="1"/>
  <c r="B13701" i="1"/>
  <c r="O13700" i="1"/>
  <c r="E13700" i="1"/>
  <c r="B13700" i="1"/>
  <c r="O13699" i="1"/>
  <c r="E13699" i="1"/>
  <c r="B13699" i="1"/>
  <c r="O13698" i="1"/>
  <c r="E13698" i="1"/>
  <c r="B13698" i="1"/>
  <c r="O13697" i="1"/>
  <c r="E13697" i="1"/>
  <c r="B13697" i="1"/>
  <c r="O13696" i="1"/>
  <c r="E13696" i="1"/>
  <c r="B13696" i="1"/>
  <c r="O13695" i="1"/>
  <c r="E13695" i="1"/>
  <c r="B13695" i="1"/>
  <c r="O13694" i="1"/>
  <c r="E13694" i="1"/>
  <c r="B13694" i="1"/>
  <c r="O13693" i="1"/>
  <c r="E13693" i="1"/>
  <c r="B13693" i="1"/>
  <c r="O13692" i="1"/>
  <c r="E13692" i="1"/>
  <c r="B13692" i="1"/>
  <c r="O13691" i="1"/>
  <c r="E13691" i="1"/>
  <c r="B13691" i="1"/>
  <c r="O13690" i="1"/>
  <c r="E13690" i="1"/>
  <c r="B13690" i="1"/>
  <c r="O13689" i="1"/>
  <c r="E13689" i="1"/>
  <c r="B13689" i="1"/>
  <c r="O13688" i="1"/>
  <c r="E13688" i="1"/>
  <c r="B13688" i="1"/>
  <c r="O13687" i="1"/>
  <c r="E13687" i="1"/>
  <c r="B13687" i="1"/>
  <c r="O13686" i="1"/>
  <c r="E13686" i="1"/>
  <c r="B13686" i="1"/>
  <c r="O13685" i="1"/>
  <c r="E13685" i="1"/>
  <c r="B13685" i="1"/>
  <c r="O13684" i="1"/>
  <c r="E13684" i="1"/>
  <c r="B13684" i="1"/>
  <c r="O13683" i="1"/>
  <c r="E13683" i="1"/>
  <c r="B13683" i="1"/>
  <c r="O13682" i="1"/>
  <c r="E13682" i="1"/>
  <c r="B13682" i="1"/>
  <c r="O13681" i="1"/>
  <c r="E13681" i="1"/>
  <c r="B13681" i="1"/>
  <c r="O13680" i="1"/>
  <c r="E13680" i="1"/>
  <c r="B13680" i="1"/>
  <c r="O13679" i="1"/>
  <c r="E13679" i="1"/>
  <c r="B13679" i="1"/>
  <c r="O13678" i="1"/>
  <c r="E13678" i="1"/>
  <c r="B13678" i="1"/>
  <c r="O13677" i="1"/>
  <c r="E13677" i="1"/>
  <c r="B13677" i="1"/>
  <c r="O13676" i="1"/>
  <c r="E13676" i="1"/>
  <c r="B13676" i="1"/>
  <c r="O13675" i="1"/>
  <c r="E13675" i="1"/>
  <c r="B13675" i="1"/>
  <c r="O13674" i="1"/>
  <c r="E13674" i="1"/>
  <c r="B13674" i="1"/>
  <c r="O13673" i="1"/>
  <c r="E13673" i="1"/>
  <c r="B13673" i="1"/>
  <c r="O13672" i="1"/>
  <c r="E13672" i="1"/>
  <c r="B13672" i="1"/>
  <c r="O13671" i="1"/>
  <c r="E13671" i="1"/>
  <c r="B13671" i="1"/>
  <c r="O13670" i="1"/>
  <c r="E13670" i="1"/>
  <c r="B13670" i="1"/>
  <c r="O13669" i="1"/>
  <c r="E13669" i="1"/>
  <c r="B13669" i="1"/>
  <c r="O13668" i="1"/>
  <c r="E13668" i="1"/>
  <c r="B13668" i="1"/>
  <c r="O13667" i="1"/>
  <c r="E13667" i="1"/>
  <c r="B13667" i="1"/>
  <c r="O13666" i="1"/>
  <c r="E13666" i="1"/>
  <c r="B13666" i="1"/>
  <c r="O13665" i="1"/>
  <c r="E13665" i="1"/>
  <c r="B13665" i="1"/>
  <c r="O13664" i="1"/>
  <c r="E13664" i="1"/>
  <c r="B13664" i="1"/>
  <c r="O13663" i="1"/>
  <c r="E13663" i="1"/>
  <c r="B13663" i="1"/>
  <c r="O13662" i="1"/>
  <c r="E13662" i="1"/>
  <c r="B13662" i="1"/>
  <c r="O13661" i="1"/>
  <c r="E13661" i="1"/>
  <c r="B13661" i="1"/>
  <c r="O13660" i="1"/>
  <c r="E13660" i="1"/>
  <c r="B13660" i="1"/>
  <c r="O13659" i="1"/>
  <c r="E13659" i="1"/>
  <c r="B13659" i="1"/>
  <c r="O13658" i="1"/>
  <c r="E13658" i="1"/>
  <c r="B13658" i="1"/>
  <c r="O13657" i="1"/>
  <c r="E13657" i="1"/>
  <c r="B13657" i="1"/>
  <c r="O13656" i="1"/>
  <c r="E13656" i="1"/>
  <c r="B13656" i="1"/>
  <c r="O13655" i="1"/>
  <c r="E13655" i="1"/>
  <c r="B13655" i="1"/>
  <c r="O13654" i="1"/>
  <c r="E13654" i="1"/>
  <c r="B13654" i="1"/>
  <c r="O13653" i="1"/>
  <c r="E13653" i="1"/>
  <c r="B13653" i="1"/>
  <c r="O13652" i="1"/>
  <c r="E13652" i="1"/>
  <c r="B13652" i="1"/>
  <c r="O13651" i="1"/>
  <c r="E13651" i="1"/>
  <c r="B13651" i="1"/>
  <c r="O13650" i="1"/>
  <c r="E13650" i="1"/>
  <c r="B13650" i="1"/>
  <c r="O13649" i="1"/>
  <c r="E13649" i="1"/>
  <c r="B13649" i="1"/>
  <c r="O13648" i="1"/>
  <c r="E13648" i="1"/>
  <c r="B13648" i="1"/>
  <c r="O13647" i="1"/>
  <c r="E13647" i="1"/>
  <c r="B13647" i="1"/>
  <c r="O13646" i="1"/>
  <c r="E13646" i="1"/>
  <c r="B13646" i="1"/>
  <c r="O13645" i="1"/>
  <c r="E13645" i="1"/>
  <c r="B13645" i="1"/>
  <c r="O13644" i="1"/>
  <c r="E13644" i="1"/>
  <c r="B13644" i="1"/>
  <c r="O13643" i="1"/>
  <c r="E13643" i="1"/>
  <c r="B13643" i="1"/>
  <c r="O13642" i="1"/>
  <c r="E13642" i="1"/>
  <c r="B13642" i="1"/>
  <c r="O13641" i="1"/>
  <c r="E13641" i="1"/>
  <c r="B13641" i="1"/>
  <c r="O13640" i="1"/>
  <c r="E13640" i="1"/>
  <c r="B13640" i="1"/>
  <c r="O13639" i="1"/>
  <c r="E13639" i="1"/>
  <c r="B13639" i="1"/>
  <c r="O13638" i="1"/>
  <c r="E13638" i="1"/>
  <c r="B13638" i="1"/>
  <c r="O13637" i="1"/>
  <c r="E13637" i="1"/>
  <c r="B13637" i="1"/>
  <c r="O13636" i="1"/>
  <c r="E13636" i="1"/>
  <c r="B13636" i="1"/>
  <c r="O13635" i="1"/>
  <c r="E13635" i="1"/>
  <c r="B13635" i="1"/>
  <c r="O13634" i="1"/>
  <c r="E13634" i="1"/>
  <c r="B13634" i="1"/>
  <c r="O13633" i="1"/>
  <c r="E13633" i="1"/>
  <c r="B13633" i="1"/>
  <c r="O13632" i="1"/>
  <c r="E13632" i="1"/>
  <c r="B13632" i="1"/>
  <c r="O13631" i="1"/>
  <c r="E13631" i="1"/>
  <c r="B13631" i="1"/>
  <c r="O13630" i="1"/>
  <c r="E13630" i="1"/>
  <c r="B13630" i="1"/>
  <c r="O13629" i="1"/>
  <c r="E13629" i="1"/>
  <c r="B13629" i="1"/>
  <c r="O13628" i="1"/>
  <c r="E13628" i="1"/>
  <c r="B13628" i="1"/>
  <c r="O13627" i="1"/>
  <c r="E13627" i="1"/>
  <c r="B13627" i="1"/>
  <c r="O13626" i="1"/>
  <c r="E13626" i="1"/>
  <c r="B13626" i="1"/>
  <c r="O13625" i="1"/>
  <c r="E13625" i="1"/>
  <c r="B13625" i="1"/>
  <c r="O13624" i="1"/>
  <c r="E13624" i="1"/>
  <c r="B13624" i="1"/>
  <c r="O13623" i="1"/>
  <c r="E13623" i="1"/>
  <c r="B13623" i="1"/>
  <c r="O13622" i="1"/>
  <c r="E13622" i="1"/>
  <c r="B13622" i="1"/>
  <c r="O13621" i="1"/>
  <c r="E13621" i="1"/>
  <c r="B13621" i="1"/>
  <c r="O13620" i="1"/>
  <c r="E13620" i="1"/>
  <c r="B13620" i="1"/>
  <c r="O13619" i="1"/>
  <c r="E13619" i="1"/>
  <c r="B13619" i="1"/>
  <c r="O13618" i="1"/>
  <c r="E13618" i="1"/>
  <c r="B13618" i="1"/>
  <c r="O13617" i="1"/>
  <c r="E13617" i="1"/>
  <c r="B13617" i="1"/>
  <c r="O13616" i="1"/>
  <c r="E13616" i="1"/>
  <c r="B13616" i="1"/>
  <c r="O13615" i="1"/>
  <c r="E13615" i="1"/>
  <c r="B13615" i="1"/>
  <c r="O13614" i="1"/>
  <c r="E13614" i="1"/>
  <c r="B13614" i="1"/>
  <c r="O13613" i="1"/>
  <c r="E13613" i="1"/>
  <c r="B13613" i="1"/>
  <c r="O13612" i="1"/>
  <c r="E13612" i="1"/>
  <c r="B13612" i="1"/>
  <c r="O13611" i="1"/>
  <c r="E13611" i="1"/>
  <c r="B13611" i="1"/>
  <c r="O13610" i="1"/>
  <c r="E13610" i="1"/>
  <c r="B13610" i="1"/>
  <c r="O13609" i="1"/>
  <c r="E13609" i="1"/>
  <c r="B13609" i="1"/>
  <c r="O13608" i="1"/>
  <c r="E13608" i="1"/>
  <c r="B13608" i="1"/>
  <c r="O13607" i="1"/>
  <c r="E13607" i="1"/>
  <c r="B13607" i="1"/>
  <c r="O13606" i="1"/>
  <c r="E13606" i="1"/>
  <c r="B13606" i="1"/>
  <c r="O13605" i="1"/>
  <c r="E13605" i="1"/>
  <c r="B13605" i="1"/>
  <c r="O13604" i="1"/>
  <c r="E13604" i="1"/>
  <c r="B13604" i="1"/>
  <c r="O13603" i="1"/>
  <c r="E13603" i="1"/>
  <c r="B13603" i="1"/>
  <c r="O13602" i="1"/>
  <c r="E13602" i="1"/>
  <c r="B13602" i="1"/>
  <c r="O13601" i="1"/>
  <c r="E13601" i="1"/>
  <c r="B13601" i="1"/>
  <c r="O13600" i="1"/>
  <c r="E13600" i="1"/>
  <c r="B13600" i="1"/>
  <c r="O13599" i="1"/>
  <c r="E13599" i="1"/>
  <c r="B13599" i="1"/>
  <c r="O13598" i="1"/>
  <c r="E13598" i="1"/>
  <c r="B13598" i="1"/>
  <c r="O13597" i="1"/>
  <c r="E13597" i="1"/>
  <c r="B13597" i="1"/>
  <c r="O13596" i="1"/>
  <c r="E13596" i="1"/>
  <c r="B13596" i="1"/>
  <c r="O13595" i="1"/>
  <c r="E13595" i="1"/>
  <c r="B13595" i="1"/>
  <c r="O13594" i="1"/>
  <c r="E13594" i="1"/>
  <c r="B13594" i="1"/>
  <c r="O13593" i="1"/>
  <c r="E13593" i="1"/>
  <c r="B13593" i="1"/>
  <c r="O13592" i="1"/>
  <c r="E13592" i="1"/>
  <c r="B13592" i="1"/>
  <c r="O13591" i="1"/>
  <c r="E13591" i="1"/>
  <c r="B13591" i="1"/>
  <c r="O13590" i="1"/>
  <c r="E13590" i="1"/>
  <c r="B13590" i="1"/>
  <c r="O13589" i="1"/>
  <c r="E13589" i="1"/>
  <c r="B13589" i="1"/>
  <c r="O13588" i="1"/>
  <c r="E13588" i="1"/>
  <c r="B13588" i="1"/>
  <c r="O13587" i="1"/>
  <c r="E13587" i="1"/>
  <c r="B13587" i="1"/>
  <c r="O13586" i="1"/>
  <c r="E13586" i="1"/>
  <c r="B13586" i="1"/>
  <c r="O13585" i="1"/>
  <c r="E13585" i="1"/>
  <c r="B13585" i="1"/>
  <c r="O13584" i="1"/>
  <c r="E13584" i="1"/>
  <c r="B13584" i="1"/>
  <c r="O13583" i="1"/>
  <c r="E13583" i="1"/>
  <c r="B13583" i="1"/>
  <c r="O13582" i="1"/>
  <c r="E13582" i="1"/>
  <c r="B13582" i="1"/>
  <c r="O13581" i="1"/>
  <c r="E13581" i="1"/>
  <c r="B13581" i="1"/>
  <c r="O13580" i="1"/>
  <c r="E13580" i="1"/>
  <c r="B13580" i="1"/>
  <c r="O13579" i="1"/>
  <c r="E13579" i="1"/>
  <c r="B13579" i="1"/>
  <c r="O13578" i="1"/>
  <c r="E13578" i="1"/>
  <c r="B13578" i="1"/>
  <c r="O13577" i="1"/>
  <c r="E13577" i="1"/>
  <c r="B13577" i="1"/>
  <c r="O13576" i="1"/>
  <c r="E13576" i="1"/>
  <c r="B13576" i="1"/>
  <c r="O13575" i="1"/>
  <c r="E13575" i="1"/>
  <c r="B13575" i="1"/>
  <c r="O13574" i="1"/>
  <c r="E13574" i="1"/>
  <c r="B13574" i="1"/>
  <c r="O13573" i="1"/>
  <c r="E13573" i="1"/>
  <c r="B13573" i="1"/>
  <c r="O13572" i="1"/>
  <c r="E13572" i="1"/>
  <c r="B13572" i="1"/>
  <c r="O13571" i="1"/>
  <c r="E13571" i="1"/>
  <c r="B13571" i="1"/>
  <c r="O13570" i="1"/>
  <c r="E13570" i="1"/>
  <c r="B13570" i="1"/>
  <c r="O13569" i="1"/>
  <c r="E13569" i="1"/>
  <c r="B13569" i="1"/>
  <c r="O13568" i="1"/>
  <c r="E13568" i="1"/>
  <c r="B13568" i="1"/>
  <c r="O13567" i="1"/>
  <c r="E13567" i="1"/>
  <c r="B13567" i="1"/>
  <c r="O13566" i="1"/>
  <c r="E13566" i="1"/>
  <c r="B13566" i="1"/>
  <c r="O13565" i="1"/>
  <c r="E13565" i="1"/>
  <c r="B13565" i="1"/>
  <c r="O13564" i="1"/>
  <c r="E13564" i="1"/>
  <c r="B13564" i="1"/>
  <c r="O13563" i="1"/>
  <c r="E13563" i="1"/>
  <c r="B13563" i="1"/>
  <c r="O13562" i="1"/>
  <c r="E13562" i="1"/>
  <c r="B13562" i="1"/>
  <c r="O13561" i="1"/>
  <c r="E13561" i="1"/>
  <c r="B13561" i="1"/>
  <c r="O13560" i="1"/>
  <c r="E13560" i="1"/>
  <c r="B13560" i="1"/>
  <c r="O13559" i="1"/>
  <c r="E13559" i="1"/>
  <c r="B13559" i="1"/>
  <c r="O13558" i="1"/>
  <c r="E13558" i="1"/>
  <c r="B13558" i="1"/>
  <c r="O13557" i="1"/>
  <c r="E13557" i="1"/>
  <c r="B13557" i="1"/>
  <c r="O13556" i="1"/>
  <c r="E13556" i="1"/>
  <c r="B13556" i="1"/>
  <c r="O13555" i="1"/>
  <c r="E13555" i="1"/>
  <c r="B13555" i="1"/>
  <c r="O13554" i="1"/>
  <c r="E13554" i="1"/>
  <c r="B13554" i="1"/>
  <c r="O13553" i="1"/>
  <c r="E13553" i="1"/>
  <c r="B13553" i="1"/>
  <c r="O13552" i="1"/>
  <c r="E13552" i="1"/>
  <c r="B13552" i="1"/>
  <c r="O13551" i="1"/>
  <c r="E13551" i="1"/>
  <c r="B13551" i="1"/>
  <c r="O13550" i="1"/>
  <c r="E13550" i="1"/>
  <c r="B13550" i="1"/>
  <c r="O13549" i="1"/>
  <c r="E13549" i="1"/>
  <c r="B13549" i="1"/>
  <c r="O13548" i="1"/>
  <c r="E13548" i="1"/>
  <c r="B13548" i="1"/>
  <c r="O13547" i="1"/>
  <c r="E13547" i="1"/>
  <c r="B13547" i="1"/>
  <c r="O13546" i="1"/>
  <c r="E13546" i="1"/>
  <c r="B13546" i="1"/>
  <c r="O13545" i="1"/>
  <c r="E13545" i="1"/>
  <c r="B13545" i="1"/>
  <c r="O13544" i="1"/>
  <c r="E13544" i="1"/>
  <c r="B13544" i="1"/>
  <c r="O13543" i="1"/>
  <c r="E13543" i="1"/>
  <c r="B13543" i="1"/>
  <c r="O13542" i="1"/>
  <c r="E13542" i="1"/>
  <c r="B13542" i="1"/>
  <c r="O13541" i="1"/>
  <c r="E13541" i="1"/>
  <c r="B13541" i="1"/>
  <c r="O13540" i="1"/>
  <c r="E13540" i="1"/>
  <c r="B13540" i="1"/>
  <c r="O13539" i="1"/>
  <c r="E13539" i="1"/>
  <c r="B13539" i="1"/>
  <c r="O13538" i="1"/>
  <c r="E13538" i="1"/>
  <c r="B13538" i="1"/>
  <c r="O13537" i="1"/>
  <c r="E13537" i="1"/>
  <c r="B13537" i="1"/>
  <c r="O13536" i="1"/>
  <c r="E13536" i="1"/>
  <c r="B13536" i="1"/>
  <c r="O13535" i="1"/>
  <c r="E13535" i="1"/>
  <c r="B13535" i="1"/>
  <c r="O13534" i="1"/>
  <c r="E13534" i="1"/>
  <c r="B13534" i="1"/>
  <c r="O13533" i="1"/>
  <c r="E13533" i="1"/>
  <c r="B13533" i="1"/>
  <c r="O13532" i="1"/>
  <c r="E13532" i="1"/>
  <c r="B13532" i="1"/>
  <c r="O13531" i="1"/>
  <c r="E13531" i="1"/>
  <c r="B13531" i="1"/>
  <c r="O13530" i="1"/>
  <c r="E13530" i="1"/>
  <c r="B13530" i="1"/>
  <c r="O13529" i="1"/>
  <c r="E13529" i="1"/>
  <c r="B13529" i="1"/>
  <c r="O13528" i="1"/>
  <c r="E13528" i="1"/>
  <c r="B13528" i="1"/>
  <c r="O13527" i="1"/>
  <c r="E13527" i="1"/>
  <c r="B13527" i="1"/>
  <c r="O13526" i="1"/>
  <c r="E13526" i="1"/>
  <c r="B13526" i="1"/>
  <c r="O13525" i="1"/>
  <c r="E13525" i="1"/>
  <c r="B13525" i="1"/>
  <c r="O13524" i="1"/>
  <c r="E13524" i="1"/>
  <c r="B13524" i="1"/>
  <c r="O13523" i="1"/>
  <c r="E13523" i="1"/>
  <c r="B13523" i="1"/>
  <c r="O13522" i="1"/>
  <c r="E13522" i="1"/>
  <c r="B13522" i="1"/>
  <c r="O13521" i="1"/>
  <c r="E13521" i="1"/>
  <c r="B13521" i="1"/>
  <c r="O13520" i="1"/>
  <c r="E13520" i="1"/>
  <c r="B13520" i="1"/>
  <c r="O13519" i="1"/>
  <c r="E13519" i="1"/>
  <c r="B13519" i="1"/>
  <c r="O13518" i="1"/>
  <c r="E13518" i="1"/>
  <c r="B13518" i="1"/>
  <c r="O13517" i="1"/>
  <c r="E13517" i="1"/>
  <c r="B13517" i="1"/>
  <c r="O13516" i="1"/>
  <c r="E13516" i="1"/>
  <c r="B13516" i="1"/>
  <c r="O13515" i="1"/>
  <c r="E13515" i="1"/>
  <c r="B13515" i="1"/>
  <c r="O13514" i="1"/>
  <c r="E13514" i="1"/>
  <c r="B13514" i="1"/>
  <c r="O13513" i="1"/>
  <c r="E13513" i="1"/>
  <c r="B13513" i="1"/>
  <c r="O13512" i="1"/>
  <c r="E13512" i="1"/>
  <c r="B13512" i="1"/>
  <c r="O13511" i="1"/>
  <c r="E13511" i="1"/>
  <c r="B13511" i="1"/>
  <c r="O13510" i="1"/>
  <c r="E13510" i="1"/>
  <c r="B13510" i="1"/>
  <c r="O13509" i="1"/>
  <c r="E13509" i="1"/>
  <c r="B13509" i="1"/>
  <c r="O13508" i="1"/>
  <c r="E13508" i="1"/>
  <c r="B13508" i="1"/>
  <c r="O13507" i="1"/>
  <c r="E13507" i="1"/>
  <c r="B13507" i="1"/>
  <c r="O13506" i="1"/>
  <c r="E13506" i="1"/>
  <c r="B13506" i="1"/>
  <c r="O13505" i="1"/>
  <c r="E13505" i="1"/>
  <c r="B13505" i="1"/>
  <c r="O13504" i="1"/>
  <c r="E13504" i="1"/>
  <c r="B13504" i="1"/>
  <c r="O13503" i="1"/>
  <c r="E13503" i="1"/>
  <c r="B13503" i="1"/>
  <c r="O13502" i="1"/>
  <c r="E13502" i="1"/>
  <c r="B13502" i="1"/>
  <c r="O13501" i="1"/>
  <c r="E13501" i="1"/>
  <c r="B13501" i="1"/>
  <c r="O13500" i="1"/>
  <c r="E13500" i="1"/>
  <c r="B13500" i="1"/>
  <c r="O13499" i="1"/>
  <c r="E13499" i="1"/>
  <c r="B13499" i="1"/>
  <c r="O13498" i="1"/>
  <c r="E13498" i="1"/>
  <c r="B13498" i="1"/>
  <c r="O13497" i="1"/>
  <c r="E13497" i="1"/>
  <c r="B13497" i="1"/>
  <c r="O13496" i="1"/>
  <c r="E13496" i="1"/>
  <c r="B13496" i="1"/>
  <c r="O13495" i="1"/>
  <c r="E13495" i="1"/>
  <c r="B13495" i="1"/>
  <c r="O13494" i="1"/>
  <c r="E13494" i="1"/>
  <c r="B13494" i="1"/>
  <c r="O13493" i="1"/>
  <c r="E13493" i="1"/>
  <c r="B13493" i="1"/>
  <c r="O13492" i="1"/>
  <c r="E13492" i="1"/>
  <c r="B13492" i="1"/>
  <c r="O13491" i="1"/>
  <c r="E13491" i="1"/>
  <c r="B13491" i="1"/>
  <c r="O13490" i="1"/>
  <c r="E13490" i="1"/>
  <c r="B13490" i="1"/>
  <c r="O13489" i="1"/>
  <c r="E13489" i="1"/>
  <c r="B13489" i="1"/>
  <c r="O13488" i="1"/>
  <c r="E13488" i="1"/>
  <c r="B13488" i="1"/>
  <c r="O13487" i="1"/>
  <c r="E13487" i="1"/>
  <c r="B13487" i="1"/>
  <c r="O13486" i="1"/>
  <c r="E13486" i="1"/>
  <c r="B13486" i="1"/>
  <c r="O13485" i="1"/>
  <c r="E13485" i="1"/>
  <c r="B13485" i="1"/>
  <c r="O13484" i="1"/>
  <c r="E13484" i="1"/>
  <c r="B13484" i="1"/>
  <c r="O13483" i="1"/>
  <c r="E13483" i="1"/>
  <c r="B13483" i="1"/>
  <c r="O13482" i="1"/>
  <c r="E13482" i="1"/>
  <c r="B13482" i="1"/>
  <c r="O13481" i="1"/>
  <c r="E13481" i="1"/>
  <c r="B13481" i="1"/>
  <c r="O13480" i="1"/>
  <c r="E13480" i="1"/>
  <c r="B13480" i="1"/>
  <c r="O13479" i="1"/>
  <c r="E13479" i="1"/>
  <c r="B13479" i="1"/>
  <c r="O13478" i="1"/>
  <c r="E13478" i="1"/>
  <c r="B13478" i="1"/>
  <c r="O13477" i="1"/>
  <c r="E13477" i="1"/>
  <c r="B13477" i="1"/>
  <c r="O13476" i="1"/>
  <c r="E13476" i="1"/>
  <c r="B13476" i="1"/>
  <c r="O13475" i="1"/>
  <c r="E13475" i="1"/>
  <c r="B13475" i="1"/>
  <c r="O13474" i="1"/>
  <c r="E13474" i="1"/>
  <c r="B13474" i="1"/>
  <c r="O13473" i="1"/>
  <c r="E13473" i="1"/>
  <c r="B13473" i="1"/>
  <c r="O13472" i="1"/>
  <c r="E13472" i="1"/>
  <c r="B13472" i="1"/>
  <c r="O13471" i="1"/>
  <c r="E13471" i="1"/>
  <c r="B13471" i="1"/>
  <c r="O13470" i="1"/>
  <c r="E13470" i="1"/>
  <c r="B13470" i="1"/>
  <c r="O13469" i="1"/>
  <c r="E13469" i="1"/>
  <c r="B13469" i="1"/>
  <c r="O13468" i="1"/>
  <c r="E13468" i="1"/>
  <c r="B13468" i="1"/>
  <c r="O13467" i="1"/>
  <c r="E13467" i="1"/>
  <c r="B13467" i="1"/>
  <c r="O13466" i="1"/>
  <c r="E13466" i="1"/>
  <c r="B13466" i="1"/>
  <c r="O13465" i="1"/>
  <c r="E13465" i="1"/>
  <c r="B13465" i="1"/>
  <c r="O13464" i="1"/>
  <c r="E13464" i="1"/>
  <c r="B13464" i="1"/>
  <c r="O13463" i="1"/>
  <c r="E13463" i="1"/>
  <c r="B13463" i="1"/>
  <c r="O13462" i="1"/>
  <c r="E13462" i="1"/>
  <c r="B13462" i="1"/>
  <c r="O13461" i="1"/>
  <c r="E13461" i="1"/>
  <c r="B13461" i="1"/>
  <c r="O13460" i="1"/>
  <c r="E13460" i="1"/>
  <c r="B13460" i="1"/>
  <c r="O13459" i="1"/>
  <c r="E13459" i="1"/>
  <c r="B13459" i="1"/>
  <c r="O13458" i="1"/>
  <c r="E13458" i="1"/>
  <c r="B13458" i="1"/>
  <c r="O13457" i="1"/>
  <c r="E13457" i="1"/>
  <c r="B13457" i="1"/>
  <c r="O13456" i="1"/>
  <c r="E13456" i="1"/>
  <c r="B13456" i="1"/>
  <c r="O13455" i="1"/>
  <c r="E13455" i="1"/>
  <c r="B13455" i="1"/>
  <c r="O13454" i="1"/>
  <c r="E13454" i="1"/>
  <c r="B13454" i="1"/>
  <c r="O13453" i="1"/>
  <c r="E13453" i="1"/>
  <c r="B13453" i="1"/>
  <c r="O13452" i="1"/>
  <c r="E13452" i="1"/>
  <c r="B13452" i="1"/>
  <c r="O13451" i="1"/>
  <c r="E13451" i="1"/>
  <c r="B13451" i="1"/>
  <c r="O13450" i="1"/>
  <c r="E13450" i="1"/>
  <c r="B13450" i="1"/>
  <c r="O13449" i="1"/>
  <c r="E13449" i="1"/>
  <c r="B13449" i="1"/>
  <c r="O13448" i="1"/>
  <c r="E13448" i="1"/>
  <c r="B13448" i="1"/>
  <c r="O13447" i="1"/>
  <c r="E13447" i="1"/>
  <c r="B13447" i="1"/>
  <c r="O13446" i="1"/>
  <c r="E13446" i="1"/>
  <c r="B13446" i="1"/>
  <c r="O13445" i="1"/>
  <c r="E13445" i="1"/>
  <c r="B13445" i="1"/>
  <c r="O13444" i="1"/>
  <c r="E13444" i="1"/>
  <c r="B13444" i="1"/>
  <c r="O13443" i="1"/>
  <c r="E13443" i="1"/>
  <c r="B13443" i="1"/>
  <c r="O13442" i="1"/>
  <c r="E13442" i="1"/>
  <c r="B13442" i="1"/>
  <c r="O13441" i="1"/>
  <c r="E13441" i="1"/>
  <c r="B13441" i="1"/>
  <c r="O13440" i="1"/>
  <c r="E13440" i="1"/>
  <c r="B13440" i="1"/>
  <c r="O13439" i="1"/>
  <c r="E13439" i="1"/>
  <c r="B13439" i="1"/>
  <c r="O13438" i="1"/>
  <c r="E13438" i="1"/>
  <c r="B13438" i="1"/>
  <c r="O13437" i="1"/>
  <c r="E13437" i="1"/>
  <c r="B13437" i="1"/>
  <c r="O13436" i="1"/>
  <c r="E13436" i="1"/>
  <c r="B13436" i="1"/>
  <c r="O13435" i="1"/>
  <c r="E13435" i="1"/>
  <c r="B13435" i="1"/>
  <c r="O13434" i="1"/>
  <c r="E13434" i="1"/>
  <c r="B13434" i="1"/>
  <c r="O13433" i="1"/>
  <c r="E13433" i="1"/>
  <c r="B13433" i="1"/>
  <c r="O13432" i="1"/>
  <c r="E13432" i="1"/>
  <c r="B13432" i="1"/>
  <c r="O13431" i="1"/>
  <c r="E13431" i="1"/>
  <c r="B13431" i="1"/>
  <c r="O13430" i="1"/>
  <c r="E13430" i="1"/>
  <c r="B13430" i="1"/>
  <c r="O13429" i="1"/>
  <c r="E13429" i="1"/>
  <c r="B13429" i="1"/>
  <c r="O13428" i="1"/>
  <c r="E13428" i="1"/>
  <c r="B13428" i="1"/>
  <c r="O13427" i="1"/>
  <c r="E13427" i="1"/>
  <c r="B13427" i="1"/>
  <c r="O13426" i="1"/>
  <c r="E13426" i="1"/>
  <c r="B13426" i="1"/>
  <c r="O13425" i="1"/>
  <c r="E13425" i="1"/>
  <c r="B13425" i="1"/>
  <c r="O13424" i="1"/>
  <c r="E13424" i="1"/>
  <c r="B13424" i="1"/>
  <c r="O13423" i="1"/>
  <c r="E13423" i="1"/>
  <c r="B13423" i="1"/>
  <c r="O13422" i="1"/>
  <c r="E13422" i="1"/>
  <c r="B13422" i="1"/>
  <c r="O13421" i="1"/>
  <c r="E13421" i="1"/>
  <c r="B13421" i="1"/>
  <c r="O13420" i="1"/>
  <c r="E13420" i="1"/>
  <c r="B13420" i="1"/>
  <c r="O13419" i="1"/>
  <c r="E13419" i="1"/>
  <c r="B13419" i="1"/>
  <c r="O13418" i="1"/>
  <c r="E13418" i="1"/>
  <c r="B13418" i="1"/>
  <c r="O13417" i="1"/>
  <c r="E13417" i="1"/>
  <c r="B13417" i="1"/>
  <c r="O13416" i="1"/>
  <c r="E13416" i="1"/>
  <c r="B13416" i="1"/>
  <c r="O13415" i="1"/>
  <c r="E13415" i="1"/>
  <c r="B13415" i="1"/>
  <c r="O13414" i="1"/>
  <c r="E13414" i="1"/>
  <c r="B13414" i="1"/>
  <c r="O13413" i="1"/>
  <c r="E13413" i="1"/>
  <c r="B13413" i="1"/>
  <c r="O13412" i="1"/>
  <c r="E13412" i="1"/>
  <c r="B13412" i="1"/>
  <c r="O13411" i="1"/>
  <c r="E13411" i="1"/>
  <c r="B13411" i="1"/>
  <c r="O13410" i="1"/>
  <c r="E13410" i="1"/>
  <c r="B13410" i="1"/>
  <c r="O13409" i="1"/>
  <c r="E13409" i="1"/>
  <c r="B13409" i="1"/>
  <c r="O13408" i="1"/>
  <c r="E13408" i="1"/>
  <c r="B13408" i="1"/>
  <c r="O13407" i="1"/>
  <c r="E13407" i="1"/>
  <c r="B13407" i="1"/>
  <c r="O13406" i="1"/>
  <c r="E13406" i="1"/>
  <c r="B13406" i="1"/>
  <c r="O13405" i="1"/>
  <c r="E13405" i="1"/>
  <c r="B13405" i="1"/>
  <c r="O13404" i="1"/>
  <c r="E13404" i="1"/>
  <c r="B13404" i="1"/>
  <c r="O13403" i="1"/>
  <c r="E13403" i="1"/>
  <c r="B13403" i="1"/>
  <c r="O13402" i="1"/>
  <c r="E13402" i="1"/>
  <c r="B13402" i="1"/>
  <c r="O13401" i="1"/>
  <c r="E13401" i="1"/>
  <c r="B13401" i="1"/>
  <c r="O13400" i="1"/>
  <c r="E13400" i="1"/>
  <c r="B13400" i="1"/>
  <c r="O13399" i="1"/>
  <c r="E13399" i="1"/>
  <c r="B13399" i="1"/>
  <c r="O13398" i="1"/>
  <c r="E13398" i="1"/>
  <c r="B13398" i="1"/>
  <c r="O13397" i="1"/>
  <c r="E13397" i="1"/>
  <c r="B13397" i="1"/>
  <c r="O13396" i="1"/>
  <c r="E13396" i="1"/>
  <c r="B13396" i="1"/>
  <c r="O13395" i="1"/>
  <c r="E13395" i="1"/>
  <c r="B13395" i="1"/>
  <c r="O13394" i="1"/>
  <c r="E13394" i="1"/>
  <c r="B13394" i="1"/>
  <c r="O13393" i="1"/>
  <c r="E13393" i="1"/>
  <c r="B13393" i="1"/>
  <c r="O13392" i="1"/>
  <c r="E13392" i="1"/>
  <c r="B13392" i="1"/>
  <c r="O13391" i="1"/>
  <c r="E13391" i="1"/>
  <c r="B13391" i="1"/>
  <c r="O13390" i="1"/>
  <c r="E13390" i="1"/>
  <c r="B13390" i="1"/>
  <c r="O13389" i="1"/>
  <c r="E13389" i="1"/>
  <c r="B13389" i="1"/>
  <c r="O13388" i="1"/>
  <c r="E13388" i="1"/>
  <c r="B13388" i="1"/>
  <c r="O13387" i="1"/>
  <c r="E13387" i="1"/>
  <c r="B13387" i="1"/>
  <c r="O13386" i="1"/>
  <c r="E13386" i="1"/>
  <c r="B13386" i="1"/>
  <c r="O13385" i="1"/>
  <c r="E13385" i="1"/>
  <c r="B13385" i="1"/>
  <c r="O13384" i="1"/>
  <c r="E13384" i="1"/>
  <c r="B13384" i="1"/>
  <c r="O13383" i="1"/>
  <c r="E13383" i="1"/>
  <c r="B13383" i="1"/>
  <c r="O13382" i="1"/>
  <c r="E13382" i="1"/>
  <c r="B13382" i="1"/>
  <c r="O13381" i="1"/>
  <c r="E13381" i="1"/>
  <c r="B13381" i="1"/>
  <c r="O13380" i="1"/>
  <c r="E13380" i="1"/>
  <c r="B13380" i="1"/>
  <c r="O13379" i="1"/>
  <c r="E13379" i="1"/>
  <c r="B13379" i="1"/>
  <c r="O13378" i="1"/>
  <c r="E13378" i="1"/>
  <c r="B13378" i="1"/>
  <c r="O13377" i="1"/>
  <c r="E13377" i="1"/>
  <c r="B13377" i="1"/>
  <c r="O13376" i="1"/>
  <c r="E13376" i="1"/>
  <c r="B13376" i="1"/>
  <c r="O13375" i="1"/>
  <c r="E13375" i="1"/>
  <c r="B13375" i="1"/>
  <c r="O13374" i="1"/>
  <c r="E13374" i="1"/>
  <c r="B13374" i="1"/>
  <c r="O13373" i="1"/>
  <c r="E13373" i="1"/>
  <c r="B13373" i="1"/>
  <c r="O13372" i="1"/>
  <c r="E13372" i="1"/>
  <c r="B13372" i="1"/>
  <c r="O13371" i="1"/>
  <c r="E13371" i="1"/>
  <c r="B13371" i="1"/>
  <c r="O13370" i="1"/>
  <c r="E13370" i="1"/>
  <c r="B13370" i="1"/>
  <c r="O13369" i="1"/>
  <c r="E13369" i="1"/>
  <c r="B13369" i="1"/>
  <c r="O13368" i="1"/>
  <c r="E13368" i="1"/>
  <c r="B13368" i="1"/>
  <c r="O13367" i="1"/>
  <c r="E13367" i="1"/>
  <c r="B13367" i="1"/>
  <c r="O13366" i="1"/>
  <c r="E13366" i="1"/>
  <c r="B13366" i="1"/>
  <c r="O13365" i="1"/>
  <c r="E13365" i="1"/>
  <c r="B13365" i="1"/>
  <c r="O13364" i="1"/>
  <c r="E13364" i="1"/>
  <c r="B13364" i="1"/>
  <c r="O13363" i="1"/>
  <c r="E13363" i="1"/>
  <c r="B13363" i="1"/>
  <c r="O13362" i="1"/>
  <c r="E13362" i="1"/>
  <c r="B13362" i="1"/>
  <c r="O13361" i="1"/>
  <c r="E13361" i="1"/>
  <c r="B13361" i="1"/>
  <c r="O13360" i="1"/>
  <c r="E13360" i="1"/>
  <c r="B13360" i="1"/>
  <c r="O13359" i="1"/>
  <c r="E13359" i="1"/>
  <c r="B13359" i="1"/>
  <c r="O13358" i="1"/>
  <c r="E13358" i="1"/>
  <c r="B13358" i="1"/>
  <c r="O13357" i="1"/>
  <c r="E13357" i="1"/>
  <c r="B13357" i="1"/>
  <c r="O13356" i="1"/>
  <c r="E13356" i="1"/>
  <c r="B13356" i="1"/>
  <c r="O13355" i="1"/>
  <c r="E13355" i="1"/>
  <c r="B13355" i="1"/>
  <c r="O13354" i="1"/>
  <c r="E13354" i="1"/>
  <c r="B13354" i="1"/>
  <c r="O13353" i="1"/>
  <c r="E13353" i="1"/>
  <c r="B13353" i="1"/>
  <c r="O13352" i="1"/>
  <c r="E13352" i="1"/>
  <c r="B13352" i="1"/>
  <c r="O13351" i="1"/>
  <c r="E13351" i="1"/>
  <c r="B13351" i="1"/>
  <c r="O13350" i="1"/>
  <c r="E13350" i="1"/>
  <c r="B13350" i="1"/>
  <c r="O13349" i="1"/>
  <c r="E13349" i="1"/>
  <c r="B13349" i="1"/>
  <c r="O13348" i="1"/>
  <c r="E13348" i="1"/>
  <c r="B13348" i="1"/>
  <c r="O13347" i="1"/>
  <c r="E13347" i="1"/>
  <c r="B13347" i="1"/>
  <c r="O13346" i="1"/>
  <c r="E13346" i="1"/>
  <c r="B13346" i="1"/>
  <c r="O13345" i="1"/>
  <c r="E13345" i="1"/>
  <c r="B13345" i="1"/>
  <c r="O13344" i="1"/>
  <c r="E13344" i="1"/>
  <c r="B13344" i="1"/>
  <c r="O13343" i="1"/>
  <c r="E13343" i="1"/>
  <c r="B13343" i="1"/>
  <c r="O13342" i="1"/>
  <c r="E13342" i="1"/>
  <c r="B13342" i="1"/>
  <c r="O13341" i="1"/>
  <c r="E13341" i="1"/>
  <c r="B13341" i="1"/>
  <c r="O13340" i="1"/>
  <c r="E13340" i="1"/>
  <c r="B13340" i="1"/>
  <c r="O13339" i="1"/>
  <c r="E13339" i="1"/>
  <c r="B13339" i="1"/>
  <c r="O13338" i="1"/>
  <c r="E13338" i="1"/>
  <c r="B13338" i="1"/>
  <c r="O13337" i="1"/>
  <c r="E13337" i="1"/>
  <c r="B13337" i="1"/>
  <c r="O13336" i="1"/>
  <c r="E13336" i="1"/>
  <c r="B13336" i="1"/>
  <c r="O13335" i="1"/>
  <c r="E13335" i="1"/>
  <c r="B13335" i="1"/>
  <c r="O13334" i="1"/>
  <c r="E13334" i="1"/>
  <c r="B13334" i="1"/>
  <c r="O13333" i="1"/>
  <c r="E13333" i="1"/>
  <c r="B13333" i="1"/>
  <c r="O13332" i="1"/>
  <c r="E13332" i="1"/>
  <c r="B13332" i="1"/>
  <c r="O13331" i="1"/>
  <c r="E13331" i="1"/>
  <c r="B13331" i="1"/>
  <c r="O13330" i="1"/>
  <c r="E13330" i="1"/>
  <c r="B13330" i="1"/>
  <c r="O13329" i="1"/>
  <c r="E13329" i="1"/>
  <c r="B13329" i="1"/>
  <c r="O13328" i="1"/>
  <c r="E13328" i="1"/>
  <c r="B13328" i="1"/>
  <c r="O13327" i="1"/>
  <c r="E13327" i="1"/>
  <c r="B13327" i="1"/>
  <c r="O13326" i="1"/>
  <c r="E13326" i="1"/>
  <c r="B13326" i="1"/>
  <c r="O13325" i="1"/>
  <c r="E13325" i="1"/>
  <c r="B13325" i="1"/>
  <c r="O13324" i="1"/>
  <c r="E13324" i="1"/>
  <c r="B13324" i="1"/>
  <c r="O13323" i="1"/>
  <c r="E13323" i="1"/>
  <c r="B13323" i="1"/>
  <c r="O13322" i="1"/>
  <c r="E13322" i="1"/>
  <c r="B13322" i="1"/>
  <c r="O13321" i="1"/>
  <c r="E13321" i="1"/>
  <c r="B13321" i="1"/>
  <c r="O13320" i="1"/>
  <c r="E13320" i="1"/>
  <c r="B13320" i="1"/>
  <c r="O13319" i="1"/>
  <c r="E13319" i="1"/>
  <c r="B13319" i="1"/>
  <c r="O13318" i="1"/>
  <c r="E13318" i="1"/>
  <c r="B13318" i="1"/>
  <c r="O13317" i="1"/>
  <c r="E13317" i="1"/>
  <c r="B13317" i="1"/>
  <c r="O13316" i="1"/>
  <c r="E13316" i="1"/>
  <c r="B13316" i="1"/>
  <c r="O13315" i="1"/>
  <c r="E13315" i="1"/>
  <c r="B13315" i="1"/>
  <c r="O13314" i="1"/>
  <c r="E13314" i="1"/>
  <c r="B13314" i="1"/>
  <c r="O13313" i="1"/>
  <c r="E13313" i="1"/>
  <c r="B13313" i="1"/>
  <c r="O13312" i="1"/>
  <c r="E13312" i="1"/>
  <c r="B13312" i="1"/>
  <c r="O13311" i="1"/>
  <c r="E13311" i="1"/>
  <c r="B13311" i="1"/>
  <c r="O13310" i="1"/>
  <c r="E13310" i="1"/>
  <c r="B13310" i="1"/>
  <c r="O13309" i="1"/>
  <c r="E13309" i="1"/>
  <c r="B13309" i="1"/>
  <c r="O13308" i="1"/>
  <c r="E13308" i="1"/>
  <c r="B13308" i="1"/>
  <c r="O13307" i="1"/>
  <c r="E13307" i="1"/>
  <c r="B13307" i="1"/>
  <c r="O13306" i="1"/>
  <c r="E13306" i="1"/>
  <c r="B13306" i="1"/>
  <c r="O13305" i="1"/>
  <c r="E13305" i="1"/>
  <c r="B13305" i="1"/>
  <c r="O13304" i="1"/>
  <c r="E13304" i="1"/>
  <c r="B13304" i="1"/>
  <c r="O13303" i="1"/>
  <c r="E13303" i="1"/>
  <c r="B13303" i="1"/>
  <c r="O13302" i="1"/>
  <c r="E13302" i="1"/>
  <c r="B13302" i="1"/>
  <c r="O13301" i="1"/>
  <c r="E13301" i="1"/>
  <c r="B13301" i="1"/>
  <c r="O13300" i="1"/>
  <c r="E13300" i="1"/>
  <c r="B13300" i="1"/>
  <c r="O13299" i="1"/>
  <c r="E13299" i="1"/>
  <c r="B13299" i="1"/>
  <c r="O13298" i="1"/>
  <c r="E13298" i="1"/>
  <c r="B13298" i="1"/>
  <c r="O13297" i="1"/>
  <c r="E13297" i="1"/>
  <c r="B13297" i="1"/>
  <c r="O13296" i="1"/>
  <c r="E13296" i="1"/>
  <c r="B13296" i="1"/>
  <c r="O13295" i="1"/>
  <c r="E13295" i="1"/>
  <c r="B13295" i="1"/>
  <c r="O13294" i="1"/>
  <c r="E13294" i="1"/>
  <c r="B13294" i="1"/>
  <c r="O13293" i="1"/>
  <c r="E13293" i="1"/>
  <c r="B13293" i="1"/>
  <c r="O13292" i="1"/>
  <c r="E13292" i="1"/>
  <c r="B13292" i="1"/>
  <c r="O13291" i="1"/>
  <c r="E13291" i="1"/>
  <c r="B13291" i="1"/>
  <c r="O13290" i="1"/>
  <c r="E13290" i="1"/>
  <c r="B13290" i="1"/>
  <c r="O13289" i="1"/>
  <c r="E13289" i="1"/>
  <c r="B13289" i="1"/>
  <c r="O13288" i="1"/>
  <c r="E13288" i="1"/>
  <c r="B13288" i="1"/>
  <c r="O13287" i="1"/>
  <c r="E13287" i="1"/>
  <c r="B13287" i="1"/>
  <c r="O13286" i="1"/>
  <c r="E13286" i="1"/>
  <c r="B13286" i="1"/>
  <c r="O13285" i="1"/>
  <c r="E13285" i="1"/>
  <c r="B13285" i="1"/>
  <c r="O13284" i="1"/>
  <c r="E13284" i="1"/>
  <c r="B13284" i="1"/>
  <c r="O13283" i="1"/>
  <c r="E13283" i="1"/>
  <c r="B13283" i="1"/>
  <c r="O13282" i="1"/>
  <c r="E13282" i="1"/>
  <c r="B13282" i="1"/>
  <c r="O13281" i="1"/>
  <c r="E13281" i="1"/>
  <c r="B13281" i="1"/>
  <c r="O13280" i="1"/>
  <c r="E13280" i="1"/>
  <c r="B13280" i="1"/>
  <c r="O13279" i="1"/>
  <c r="E13279" i="1"/>
  <c r="B13279" i="1"/>
  <c r="O13278" i="1"/>
  <c r="E13278" i="1"/>
  <c r="B13278" i="1"/>
  <c r="O13277" i="1"/>
  <c r="E13277" i="1"/>
  <c r="B13277" i="1"/>
  <c r="O13276" i="1"/>
  <c r="E13276" i="1"/>
  <c r="B13276" i="1"/>
  <c r="O13275" i="1"/>
  <c r="E13275" i="1"/>
  <c r="B13275" i="1"/>
  <c r="O13274" i="1"/>
  <c r="E13274" i="1"/>
  <c r="B13274" i="1"/>
  <c r="O13273" i="1"/>
  <c r="E13273" i="1"/>
  <c r="B13273" i="1"/>
  <c r="O13272" i="1"/>
  <c r="E13272" i="1"/>
  <c r="B13272" i="1"/>
  <c r="O13271" i="1"/>
  <c r="E13271" i="1"/>
  <c r="B13271" i="1"/>
  <c r="O13270" i="1"/>
  <c r="E13270" i="1"/>
  <c r="B13270" i="1"/>
  <c r="O13269" i="1"/>
  <c r="E13269" i="1"/>
  <c r="B13269" i="1"/>
  <c r="O13268" i="1"/>
  <c r="E13268" i="1"/>
  <c r="B13268" i="1"/>
  <c r="O13267" i="1"/>
  <c r="E13267" i="1"/>
  <c r="B13267" i="1"/>
  <c r="O13266" i="1"/>
  <c r="E13266" i="1"/>
  <c r="B13266" i="1"/>
  <c r="O13265" i="1"/>
  <c r="E13265" i="1"/>
  <c r="B13265" i="1"/>
  <c r="O13264" i="1"/>
  <c r="E13264" i="1"/>
  <c r="B13264" i="1"/>
  <c r="O13263" i="1"/>
  <c r="E13263" i="1"/>
  <c r="B13263" i="1"/>
  <c r="O13262" i="1"/>
  <c r="E13262" i="1"/>
  <c r="B13262" i="1"/>
  <c r="O13261" i="1"/>
  <c r="E13261" i="1"/>
  <c r="B13261" i="1"/>
  <c r="O13260" i="1"/>
  <c r="E13260" i="1"/>
  <c r="B13260" i="1"/>
  <c r="O13259" i="1"/>
  <c r="E13259" i="1"/>
  <c r="B13259" i="1"/>
  <c r="O13258" i="1"/>
  <c r="E13258" i="1"/>
  <c r="B13258" i="1"/>
  <c r="O13257" i="1"/>
  <c r="E13257" i="1"/>
  <c r="B13257" i="1"/>
  <c r="O13256" i="1"/>
  <c r="E13256" i="1"/>
  <c r="B13256" i="1"/>
  <c r="O13255" i="1"/>
  <c r="E13255" i="1"/>
  <c r="B13255" i="1"/>
  <c r="O13254" i="1"/>
  <c r="E13254" i="1"/>
  <c r="B13254" i="1"/>
  <c r="O13253" i="1"/>
  <c r="E13253" i="1"/>
  <c r="B13253" i="1"/>
  <c r="O13252" i="1"/>
  <c r="E13252" i="1"/>
  <c r="B13252" i="1"/>
  <c r="O13251" i="1"/>
  <c r="E13251" i="1"/>
  <c r="B13251" i="1"/>
  <c r="O13250" i="1"/>
  <c r="E13250" i="1"/>
  <c r="B13250" i="1"/>
  <c r="O13249" i="1"/>
  <c r="E13249" i="1"/>
  <c r="B13249" i="1"/>
  <c r="O13248" i="1"/>
  <c r="E13248" i="1"/>
  <c r="B13248" i="1"/>
  <c r="O13247" i="1"/>
  <c r="E13247" i="1"/>
  <c r="B13247" i="1"/>
  <c r="O13246" i="1"/>
  <c r="E13246" i="1"/>
  <c r="B13246" i="1"/>
  <c r="O13245" i="1"/>
  <c r="E13245" i="1"/>
  <c r="B13245" i="1"/>
  <c r="O13244" i="1"/>
  <c r="E13244" i="1"/>
  <c r="B13244" i="1"/>
  <c r="O13243" i="1"/>
  <c r="E13243" i="1"/>
  <c r="B13243" i="1"/>
  <c r="O13242" i="1"/>
  <c r="E13242" i="1"/>
  <c r="B13242" i="1"/>
  <c r="O13241" i="1"/>
  <c r="E13241" i="1"/>
  <c r="B13241" i="1"/>
  <c r="O13240" i="1"/>
  <c r="E13240" i="1"/>
  <c r="B13240" i="1"/>
  <c r="O13239" i="1"/>
  <c r="E13239" i="1"/>
  <c r="B13239" i="1"/>
  <c r="O13238" i="1"/>
  <c r="E13238" i="1"/>
  <c r="B13238" i="1"/>
  <c r="O13237" i="1"/>
  <c r="E13237" i="1"/>
  <c r="B13237" i="1"/>
  <c r="O13236" i="1"/>
  <c r="E13236" i="1"/>
  <c r="B13236" i="1"/>
  <c r="O13235" i="1"/>
  <c r="E13235" i="1"/>
  <c r="B13235" i="1"/>
  <c r="O13234" i="1"/>
  <c r="E13234" i="1"/>
  <c r="B13234" i="1"/>
  <c r="O13233" i="1"/>
  <c r="E13233" i="1"/>
  <c r="B13233" i="1"/>
  <c r="O13232" i="1"/>
  <c r="E13232" i="1"/>
  <c r="B13232" i="1"/>
  <c r="O13231" i="1"/>
  <c r="E13231" i="1"/>
  <c r="B13231" i="1"/>
  <c r="O13230" i="1"/>
  <c r="E13230" i="1"/>
  <c r="B13230" i="1"/>
  <c r="O13229" i="1"/>
  <c r="E13229" i="1"/>
  <c r="B13229" i="1"/>
  <c r="O13228" i="1"/>
  <c r="E13228" i="1"/>
  <c r="B13228" i="1"/>
  <c r="O13227" i="1"/>
  <c r="E13227" i="1"/>
  <c r="B13227" i="1"/>
  <c r="O13226" i="1"/>
  <c r="E13226" i="1"/>
  <c r="B13226" i="1"/>
  <c r="O13225" i="1"/>
  <c r="E13225" i="1"/>
  <c r="B13225" i="1"/>
  <c r="O13224" i="1"/>
  <c r="E13224" i="1"/>
  <c r="B13224" i="1"/>
  <c r="O13223" i="1"/>
  <c r="E13223" i="1"/>
  <c r="B13223" i="1"/>
  <c r="O13222" i="1"/>
  <c r="E13222" i="1"/>
  <c r="B13222" i="1"/>
  <c r="O13221" i="1"/>
  <c r="E13221" i="1"/>
  <c r="B13221" i="1"/>
  <c r="O13220" i="1"/>
  <c r="E13220" i="1"/>
  <c r="B13220" i="1"/>
  <c r="O13219" i="1"/>
  <c r="E13219" i="1"/>
  <c r="B13219" i="1"/>
  <c r="O13218" i="1"/>
  <c r="E13218" i="1"/>
  <c r="B13218" i="1"/>
  <c r="O13217" i="1"/>
  <c r="E13217" i="1"/>
  <c r="B13217" i="1"/>
  <c r="O13216" i="1"/>
  <c r="E13216" i="1"/>
  <c r="B13216" i="1"/>
  <c r="O13215" i="1"/>
  <c r="E13215" i="1"/>
  <c r="B13215" i="1"/>
  <c r="O13214" i="1"/>
  <c r="E13214" i="1"/>
  <c r="B13214" i="1"/>
  <c r="O13213" i="1"/>
  <c r="E13213" i="1"/>
  <c r="B13213" i="1"/>
  <c r="O13212" i="1"/>
  <c r="E13212" i="1"/>
  <c r="B13212" i="1"/>
  <c r="O13211" i="1"/>
  <c r="E13211" i="1"/>
  <c r="B13211" i="1"/>
  <c r="O13210" i="1"/>
  <c r="E13210" i="1"/>
  <c r="B13210" i="1"/>
  <c r="O13209" i="1"/>
  <c r="E13209" i="1"/>
  <c r="B13209" i="1"/>
  <c r="O13208" i="1"/>
  <c r="E13208" i="1"/>
  <c r="B13208" i="1"/>
  <c r="O13207" i="1"/>
  <c r="E13207" i="1"/>
  <c r="B13207" i="1"/>
  <c r="O13206" i="1"/>
  <c r="E13206" i="1"/>
  <c r="B13206" i="1"/>
  <c r="O13205" i="1"/>
  <c r="E13205" i="1"/>
  <c r="B13205" i="1"/>
  <c r="O13204" i="1"/>
  <c r="E13204" i="1"/>
  <c r="B13204" i="1"/>
  <c r="O13203" i="1"/>
  <c r="E13203" i="1"/>
  <c r="B13203" i="1"/>
  <c r="O13202" i="1"/>
  <c r="E13202" i="1"/>
  <c r="B13202" i="1"/>
  <c r="O13201" i="1"/>
  <c r="E13201" i="1"/>
  <c r="B13201" i="1"/>
  <c r="O13200" i="1"/>
  <c r="E13200" i="1"/>
  <c r="B13200" i="1"/>
  <c r="O13199" i="1"/>
  <c r="E13199" i="1"/>
  <c r="B13199" i="1"/>
  <c r="O13198" i="1"/>
  <c r="E13198" i="1"/>
  <c r="B13198" i="1"/>
  <c r="O13197" i="1"/>
  <c r="E13197" i="1"/>
  <c r="B13197" i="1"/>
  <c r="O13196" i="1"/>
  <c r="E13196" i="1"/>
  <c r="B13196" i="1"/>
  <c r="O13195" i="1"/>
  <c r="E13195" i="1"/>
  <c r="B13195" i="1"/>
  <c r="O13194" i="1"/>
  <c r="E13194" i="1"/>
  <c r="B13194" i="1"/>
  <c r="O13193" i="1"/>
  <c r="E13193" i="1"/>
  <c r="B13193" i="1"/>
  <c r="O13192" i="1"/>
  <c r="E13192" i="1"/>
  <c r="B13192" i="1"/>
  <c r="O13191" i="1"/>
  <c r="E13191" i="1"/>
  <c r="B13191" i="1"/>
  <c r="O13190" i="1"/>
  <c r="E13190" i="1"/>
  <c r="B13190" i="1"/>
  <c r="O13189" i="1"/>
  <c r="E13189" i="1"/>
  <c r="B13189" i="1"/>
  <c r="O13188" i="1"/>
  <c r="E13188" i="1"/>
  <c r="B13188" i="1"/>
  <c r="O13187" i="1"/>
  <c r="E13187" i="1"/>
  <c r="B13187" i="1"/>
  <c r="O13186" i="1"/>
  <c r="E13186" i="1"/>
  <c r="B13186" i="1"/>
  <c r="O13185" i="1"/>
  <c r="E13185" i="1"/>
  <c r="B13185" i="1"/>
  <c r="O13184" i="1"/>
  <c r="E13184" i="1"/>
  <c r="B13184" i="1"/>
  <c r="O13183" i="1"/>
  <c r="E13183" i="1"/>
  <c r="B13183" i="1"/>
  <c r="O13182" i="1"/>
  <c r="E13182" i="1"/>
  <c r="B13182" i="1"/>
  <c r="O13181" i="1"/>
  <c r="E13181" i="1"/>
  <c r="B13181" i="1"/>
  <c r="O13180" i="1"/>
  <c r="E13180" i="1"/>
  <c r="B13180" i="1"/>
  <c r="O13179" i="1"/>
  <c r="E13179" i="1"/>
  <c r="B13179" i="1"/>
  <c r="O13178" i="1"/>
  <c r="E13178" i="1"/>
  <c r="B13178" i="1"/>
  <c r="O13177" i="1"/>
  <c r="E13177" i="1"/>
  <c r="B13177" i="1"/>
  <c r="O13176" i="1"/>
  <c r="E13176" i="1"/>
  <c r="B13176" i="1"/>
  <c r="O13175" i="1"/>
  <c r="E13175" i="1"/>
  <c r="B13175" i="1"/>
  <c r="O13174" i="1"/>
  <c r="E13174" i="1"/>
  <c r="B13174" i="1"/>
  <c r="O13173" i="1"/>
  <c r="E13173" i="1"/>
  <c r="B13173" i="1"/>
  <c r="O13172" i="1"/>
  <c r="E13172" i="1"/>
  <c r="B13172" i="1"/>
  <c r="O13171" i="1"/>
  <c r="E13171" i="1"/>
  <c r="B13171" i="1"/>
  <c r="O13170" i="1"/>
  <c r="E13170" i="1"/>
  <c r="B13170" i="1"/>
  <c r="O13169" i="1"/>
  <c r="E13169" i="1"/>
  <c r="B13169" i="1"/>
  <c r="O13168" i="1"/>
  <c r="E13168" i="1"/>
  <c r="B13168" i="1"/>
  <c r="O13167" i="1"/>
  <c r="E13167" i="1"/>
  <c r="B13167" i="1"/>
  <c r="O13166" i="1"/>
  <c r="E13166" i="1"/>
  <c r="B13166" i="1"/>
  <c r="O13165" i="1"/>
  <c r="E13165" i="1"/>
  <c r="B13165" i="1"/>
  <c r="O13164" i="1"/>
  <c r="E13164" i="1"/>
  <c r="B13164" i="1"/>
  <c r="O13163" i="1"/>
  <c r="E13163" i="1"/>
  <c r="B13163" i="1"/>
  <c r="O13162" i="1"/>
  <c r="E13162" i="1"/>
  <c r="B13162" i="1"/>
  <c r="O13161" i="1"/>
  <c r="E13161" i="1"/>
  <c r="B13161" i="1"/>
  <c r="O13160" i="1"/>
  <c r="E13160" i="1"/>
  <c r="B13160" i="1"/>
  <c r="O13159" i="1"/>
  <c r="E13159" i="1"/>
  <c r="B13159" i="1"/>
  <c r="O13158" i="1"/>
  <c r="E13158" i="1"/>
  <c r="B13158" i="1"/>
  <c r="O13157" i="1"/>
  <c r="E13157" i="1"/>
  <c r="B13157" i="1"/>
  <c r="O13156" i="1"/>
  <c r="E13156" i="1"/>
  <c r="B13156" i="1"/>
  <c r="O13155" i="1"/>
  <c r="E13155" i="1"/>
  <c r="B13155" i="1"/>
  <c r="O13154" i="1"/>
  <c r="E13154" i="1"/>
  <c r="B13154" i="1"/>
  <c r="O13153" i="1"/>
  <c r="E13153" i="1"/>
  <c r="B13153" i="1"/>
  <c r="O13152" i="1"/>
  <c r="E13152" i="1"/>
  <c r="B13152" i="1"/>
  <c r="O13151" i="1"/>
  <c r="E13151" i="1"/>
  <c r="B13151" i="1"/>
  <c r="O13150" i="1"/>
  <c r="E13150" i="1"/>
  <c r="B13150" i="1"/>
  <c r="O13149" i="1"/>
  <c r="E13149" i="1"/>
  <c r="B13149" i="1"/>
  <c r="O13148" i="1"/>
  <c r="E13148" i="1"/>
  <c r="B13148" i="1"/>
  <c r="O13147" i="1"/>
  <c r="E13147" i="1"/>
  <c r="B13147" i="1"/>
  <c r="O13146" i="1"/>
  <c r="E13146" i="1"/>
  <c r="B13146" i="1"/>
  <c r="O13145" i="1"/>
  <c r="E13145" i="1"/>
  <c r="B13145" i="1"/>
  <c r="O13144" i="1"/>
  <c r="E13144" i="1"/>
  <c r="B13144" i="1"/>
  <c r="O13143" i="1"/>
  <c r="E13143" i="1"/>
  <c r="B13143" i="1"/>
  <c r="O13142" i="1"/>
  <c r="E13142" i="1"/>
  <c r="B13142" i="1"/>
  <c r="O13141" i="1"/>
  <c r="E13141" i="1"/>
  <c r="B13141" i="1"/>
  <c r="O13140" i="1"/>
  <c r="E13140" i="1"/>
  <c r="B13140" i="1"/>
  <c r="O13139" i="1"/>
  <c r="E13139" i="1"/>
  <c r="B13139" i="1"/>
  <c r="O13138" i="1"/>
  <c r="E13138" i="1"/>
  <c r="B13138" i="1"/>
  <c r="O13137" i="1"/>
  <c r="E13137" i="1"/>
  <c r="B13137" i="1"/>
  <c r="O13136" i="1"/>
  <c r="E13136" i="1"/>
  <c r="B13136" i="1"/>
  <c r="O13135" i="1"/>
  <c r="E13135" i="1"/>
  <c r="B13135" i="1"/>
  <c r="O13134" i="1"/>
  <c r="E13134" i="1"/>
  <c r="B13134" i="1"/>
  <c r="O13133" i="1"/>
  <c r="E13133" i="1"/>
  <c r="B13133" i="1"/>
  <c r="O13132" i="1"/>
  <c r="E13132" i="1"/>
  <c r="B13132" i="1"/>
  <c r="O13131" i="1"/>
  <c r="E13131" i="1"/>
  <c r="B13131" i="1"/>
  <c r="O13130" i="1"/>
  <c r="E13130" i="1"/>
  <c r="B13130" i="1"/>
  <c r="O13129" i="1"/>
  <c r="E13129" i="1"/>
  <c r="B13129" i="1"/>
  <c r="O13128" i="1"/>
  <c r="E13128" i="1"/>
  <c r="B13128" i="1"/>
  <c r="O13127" i="1"/>
  <c r="E13127" i="1"/>
  <c r="B13127" i="1"/>
  <c r="O13126" i="1"/>
  <c r="E13126" i="1"/>
  <c r="B13126" i="1"/>
  <c r="O13125" i="1"/>
  <c r="E13125" i="1"/>
  <c r="B13125" i="1"/>
  <c r="O13124" i="1"/>
  <c r="E13124" i="1"/>
  <c r="B13124" i="1"/>
  <c r="O13123" i="1"/>
  <c r="E13123" i="1"/>
  <c r="B13123" i="1"/>
  <c r="O13122" i="1"/>
  <c r="E13122" i="1"/>
  <c r="B13122" i="1"/>
  <c r="O13121" i="1"/>
  <c r="E13121" i="1"/>
  <c r="B13121" i="1"/>
  <c r="O13120" i="1"/>
  <c r="E13120" i="1"/>
  <c r="B13120" i="1"/>
  <c r="O13119" i="1"/>
  <c r="E13119" i="1"/>
  <c r="B13119" i="1"/>
  <c r="O13118" i="1"/>
  <c r="E13118" i="1"/>
  <c r="B13118" i="1"/>
  <c r="O13117" i="1"/>
  <c r="E13117" i="1"/>
  <c r="B13117" i="1"/>
  <c r="O13116" i="1"/>
  <c r="E13116" i="1"/>
  <c r="B13116" i="1"/>
  <c r="O13115" i="1"/>
  <c r="E13115" i="1"/>
  <c r="B13115" i="1"/>
  <c r="O13114" i="1"/>
  <c r="E13114" i="1"/>
  <c r="B13114" i="1"/>
  <c r="O13113" i="1"/>
  <c r="E13113" i="1"/>
  <c r="B13113" i="1"/>
  <c r="O13112" i="1"/>
  <c r="E13112" i="1"/>
  <c r="B13112" i="1"/>
  <c r="O13111" i="1"/>
  <c r="E13111" i="1"/>
  <c r="B13111" i="1"/>
  <c r="O13110" i="1"/>
  <c r="E13110" i="1"/>
  <c r="B13110" i="1"/>
  <c r="O13109" i="1"/>
  <c r="E13109" i="1"/>
  <c r="B13109" i="1"/>
  <c r="O13108" i="1"/>
  <c r="E13108" i="1"/>
  <c r="B13108" i="1"/>
  <c r="O13107" i="1"/>
  <c r="E13107" i="1"/>
  <c r="B13107" i="1"/>
  <c r="O13106" i="1"/>
  <c r="E13106" i="1"/>
  <c r="B13106" i="1"/>
  <c r="O13105" i="1"/>
  <c r="E13105" i="1"/>
  <c r="B13105" i="1"/>
  <c r="O13104" i="1"/>
  <c r="E13104" i="1"/>
  <c r="B13104" i="1"/>
  <c r="O13103" i="1"/>
  <c r="E13103" i="1"/>
  <c r="B13103" i="1"/>
  <c r="O13102" i="1"/>
  <c r="E13102" i="1"/>
  <c r="B13102" i="1"/>
  <c r="O13101" i="1"/>
  <c r="E13101" i="1"/>
  <c r="B13101" i="1"/>
  <c r="O13100" i="1"/>
  <c r="E13100" i="1"/>
  <c r="B13100" i="1"/>
  <c r="O13099" i="1"/>
  <c r="E13099" i="1"/>
  <c r="B13099" i="1"/>
  <c r="O13098" i="1"/>
  <c r="E13098" i="1"/>
  <c r="B13098" i="1"/>
  <c r="O13097" i="1"/>
  <c r="E13097" i="1"/>
  <c r="B13097" i="1"/>
  <c r="O13096" i="1"/>
  <c r="E13096" i="1"/>
  <c r="B13096" i="1"/>
  <c r="O13095" i="1"/>
  <c r="E13095" i="1"/>
  <c r="B13095" i="1"/>
  <c r="O13094" i="1"/>
  <c r="E13094" i="1"/>
  <c r="B13094" i="1"/>
  <c r="O13093" i="1"/>
  <c r="E13093" i="1"/>
  <c r="B13093" i="1"/>
  <c r="O13092" i="1"/>
  <c r="E13092" i="1"/>
  <c r="B13092" i="1"/>
  <c r="O13091" i="1"/>
  <c r="E13091" i="1"/>
  <c r="B13091" i="1"/>
  <c r="O13090" i="1"/>
  <c r="E13090" i="1"/>
  <c r="B13090" i="1"/>
  <c r="O13089" i="1"/>
  <c r="E13089" i="1"/>
  <c r="B13089" i="1"/>
  <c r="O13088" i="1"/>
  <c r="E13088" i="1"/>
  <c r="B13088" i="1"/>
  <c r="O13087" i="1"/>
  <c r="E13087" i="1"/>
  <c r="B13087" i="1"/>
  <c r="O13086" i="1"/>
  <c r="E13086" i="1"/>
  <c r="B13086" i="1"/>
  <c r="O13085" i="1"/>
  <c r="E13085" i="1"/>
  <c r="B13085" i="1"/>
  <c r="O13084" i="1"/>
  <c r="E13084" i="1"/>
  <c r="B13084" i="1"/>
  <c r="O13083" i="1"/>
  <c r="E13083" i="1"/>
  <c r="B13083" i="1"/>
  <c r="O13082" i="1"/>
  <c r="E13082" i="1"/>
  <c r="B13082" i="1"/>
  <c r="O13081" i="1"/>
  <c r="E13081" i="1"/>
  <c r="B13081" i="1"/>
  <c r="O13080" i="1"/>
  <c r="E13080" i="1"/>
  <c r="B13080" i="1"/>
  <c r="O13079" i="1"/>
  <c r="E13079" i="1"/>
  <c r="B13079" i="1"/>
  <c r="O13078" i="1"/>
  <c r="E13078" i="1"/>
  <c r="B13078" i="1"/>
  <c r="O13077" i="1"/>
  <c r="E13077" i="1"/>
  <c r="B13077" i="1"/>
  <c r="O13076" i="1"/>
  <c r="E13076" i="1"/>
  <c r="B13076" i="1"/>
  <c r="O13075" i="1"/>
  <c r="E13075" i="1"/>
  <c r="B13075" i="1"/>
  <c r="O13074" i="1"/>
  <c r="E13074" i="1"/>
  <c r="B13074" i="1"/>
  <c r="O13073" i="1"/>
  <c r="E13073" i="1"/>
  <c r="B13073" i="1"/>
  <c r="O13072" i="1"/>
  <c r="E13072" i="1"/>
  <c r="B13072" i="1"/>
  <c r="O13071" i="1"/>
  <c r="E13071" i="1"/>
  <c r="B13071" i="1"/>
  <c r="O13070" i="1"/>
  <c r="E13070" i="1"/>
  <c r="B13070" i="1"/>
  <c r="O13069" i="1"/>
  <c r="E13069" i="1"/>
  <c r="B13069" i="1"/>
  <c r="O13068" i="1"/>
  <c r="E13068" i="1"/>
  <c r="B13068" i="1"/>
  <c r="O13067" i="1"/>
  <c r="E13067" i="1"/>
  <c r="B13067" i="1"/>
  <c r="O13066" i="1"/>
  <c r="E13066" i="1"/>
  <c r="B13066" i="1"/>
  <c r="O13065" i="1"/>
  <c r="E13065" i="1"/>
  <c r="B13065" i="1"/>
  <c r="O13064" i="1"/>
  <c r="E13064" i="1"/>
  <c r="B13064" i="1"/>
  <c r="O13063" i="1"/>
  <c r="E13063" i="1"/>
  <c r="B13063" i="1"/>
  <c r="O13062" i="1"/>
  <c r="E13062" i="1"/>
  <c r="B13062" i="1"/>
  <c r="O13061" i="1"/>
  <c r="E13061" i="1"/>
  <c r="B13061" i="1"/>
  <c r="O13060" i="1"/>
  <c r="E13060" i="1"/>
  <c r="B13060" i="1"/>
  <c r="O13059" i="1"/>
  <c r="E13059" i="1"/>
  <c r="B13059" i="1"/>
  <c r="O13058" i="1"/>
  <c r="E13058" i="1"/>
  <c r="B13058" i="1"/>
  <c r="O13057" i="1"/>
  <c r="E13057" i="1"/>
  <c r="B13057" i="1"/>
  <c r="O13056" i="1"/>
  <c r="E13056" i="1"/>
  <c r="B13056" i="1"/>
  <c r="O13055" i="1"/>
  <c r="E13055" i="1"/>
  <c r="B13055" i="1"/>
  <c r="O13054" i="1"/>
  <c r="E13054" i="1"/>
  <c r="B13054" i="1"/>
  <c r="O13053" i="1"/>
  <c r="E13053" i="1"/>
  <c r="B13053" i="1"/>
  <c r="O13052" i="1"/>
  <c r="E13052" i="1"/>
  <c r="B13052" i="1"/>
  <c r="O13051" i="1"/>
  <c r="E13051" i="1"/>
  <c r="B13051" i="1"/>
  <c r="O13050" i="1"/>
  <c r="E13050" i="1"/>
  <c r="B13050" i="1"/>
  <c r="O13049" i="1"/>
  <c r="E13049" i="1"/>
  <c r="B13049" i="1"/>
  <c r="O13048" i="1"/>
  <c r="E13048" i="1"/>
  <c r="B13048" i="1"/>
  <c r="O13047" i="1"/>
  <c r="E13047" i="1"/>
  <c r="B13047" i="1"/>
  <c r="O13046" i="1"/>
  <c r="E13046" i="1"/>
  <c r="B13046" i="1"/>
  <c r="O13045" i="1"/>
  <c r="E13045" i="1"/>
  <c r="B13045" i="1"/>
  <c r="O13044" i="1"/>
  <c r="E13044" i="1"/>
  <c r="B13044" i="1"/>
  <c r="O13043" i="1"/>
  <c r="E13043" i="1"/>
  <c r="B13043" i="1"/>
  <c r="O13042" i="1"/>
  <c r="E13042" i="1"/>
  <c r="B13042" i="1"/>
  <c r="O13041" i="1"/>
  <c r="E13041" i="1"/>
  <c r="B13041" i="1"/>
  <c r="O13040" i="1"/>
  <c r="E13040" i="1"/>
  <c r="B13040" i="1"/>
  <c r="O13039" i="1"/>
  <c r="E13039" i="1"/>
  <c r="B13039" i="1"/>
  <c r="O13038" i="1"/>
  <c r="E13038" i="1"/>
  <c r="B13038" i="1"/>
  <c r="O13037" i="1"/>
  <c r="E13037" i="1"/>
  <c r="B13037" i="1"/>
  <c r="O13036" i="1"/>
  <c r="E13036" i="1"/>
  <c r="B13036" i="1"/>
  <c r="O13035" i="1"/>
  <c r="E13035" i="1"/>
  <c r="B13035" i="1"/>
  <c r="O13034" i="1"/>
  <c r="E13034" i="1"/>
  <c r="B13034" i="1"/>
  <c r="O13033" i="1"/>
  <c r="E13033" i="1"/>
  <c r="B13033" i="1"/>
  <c r="O13032" i="1"/>
  <c r="E13032" i="1"/>
  <c r="B13032" i="1"/>
  <c r="O13031" i="1"/>
  <c r="E13031" i="1"/>
  <c r="B13031" i="1"/>
  <c r="O13030" i="1"/>
  <c r="E13030" i="1"/>
  <c r="B13030" i="1"/>
  <c r="O13029" i="1"/>
  <c r="E13029" i="1"/>
  <c r="B13029" i="1"/>
  <c r="O13028" i="1"/>
  <c r="E13028" i="1"/>
  <c r="B13028" i="1"/>
  <c r="O13027" i="1"/>
  <c r="E13027" i="1"/>
  <c r="B13027" i="1"/>
  <c r="O13026" i="1"/>
  <c r="E13026" i="1"/>
  <c r="B13026" i="1"/>
  <c r="O13025" i="1"/>
  <c r="E13025" i="1"/>
  <c r="B13025" i="1"/>
  <c r="O13024" i="1"/>
  <c r="E13024" i="1"/>
  <c r="B13024" i="1"/>
  <c r="O13023" i="1"/>
  <c r="E13023" i="1"/>
  <c r="B13023" i="1"/>
  <c r="O13022" i="1"/>
  <c r="E13022" i="1"/>
  <c r="B13022" i="1"/>
  <c r="O13021" i="1"/>
  <c r="E13021" i="1"/>
  <c r="B13021" i="1"/>
  <c r="O13020" i="1"/>
  <c r="E13020" i="1"/>
  <c r="B13020" i="1"/>
  <c r="O13019" i="1"/>
  <c r="E13019" i="1"/>
  <c r="B13019" i="1"/>
  <c r="O13018" i="1"/>
  <c r="E13018" i="1"/>
  <c r="B13018" i="1"/>
  <c r="O13017" i="1"/>
  <c r="E13017" i="1"/>
  <c r="B13017" i="1"/>
  <c r="O13016" i="1"/>
  <c r="E13016" i="1"/>
  <c r="B13016" i="1"/>
  <c r="O13015" i="1"/>
  <c r="E13015" i="1"/>
  <c r="B13015" i="1"/>
  <c r="O13014" i="1"/>
  <c r="E13014" i="1"/>
  <c r="B13014" i="1"/>
  <c r="O13013" i="1"/>
  <c r="E13013" i="1"/>
  <c r="B13013" i="1"/>
  <c r="O13012" i="1"/>
  <c r="E13012" i="1"/>
  <c r="B13012" i="1"/>
  <c r="O13011" i="1"/>
  <c r="E13011" i="1"/>
  <c r="B13011" i="1"/>
  <c r="O13010" i="1"/>
  <c r="E13010" i="1"/>
  <c r="B13010" i="1"/>
  <c r="O13009" i="1"/>
  <c r="E13009" i="1"/>
  <c r="B13009" i="1"/>
  <c r="O13008" i="1"/>
  <c r="E13008" i="1"/>
  <c r="B13008" i="1"/>
  <c r="O13007" i="1"/>
  <c r="E13007" i="1"/>
  <c r="B13007" i="1"/>
  <c r="O13006" i="1"/>
  <c r="E13006" i="1"/>
  <c r="B13006" i="1"/>
  <c r="O13005" i="1"/>
  <c r="E13005" i="1"/>
  <c r="B13005" i="1"/>
  <c r="O13004" i="1"/>
  <c r="E13004" i="1"/>
  <c r="B13004" i="1"/>
  <c r="O13003" i="1"/>
  <c r="E13003" i="1"/>
  <c r="B13003" i="1"/>
  <c r="O13002" i="1"/>
  <c r="E13002" i="1"/>
  <c r="B13002" i="1"/>
  <c r="O13001" i="1"/>
  <c r="E13001" i="1"/>
  <c r="B13001" i="1"/>
  <c r="O13000" i="1"/>
  <c r="E13000" i="1"/>
  <c r="B13000" i="1"/>
  <c r="O12999" i="1"/>
  <c r="E12999" i="1"/>
  <c r="B12999" i="1"/>
  <c r="O12998" i="1"/>
  <c r="E12998" i="1"/>
  <c r="B12998" i="1"/>
  <c r="O12997" i="1"/>
  <c r="E12997" i="1"/>
  <c r="B12997" i="1"/>
  <c r="O12996" i="1"/>
  <c r="E12996" i="1"/>
  <c r="B12996" i="1"/>
  <c r="O12995" i="1"/>
  <c r="E12995" i="1"/>
  <c r="B12995" i="1"/>
  <c r="O12994" i="1"/>
  <c r="E12994" i="1"/>
  <c r="B12994" i="1"/>
  <c r="O12993" i="1"/>
  <c r="E12993" i="1"/>
  <c r="B12993" i="1"/>
  <c r="O12992" i="1"/>
  <c r="E12992" i="1"/>
  <c r="B12992" i="1"/>
  <c r="O12991" i="1"/>
  <c r="E12991" i="1"/>
  <c r="B12991" i="1"/>
  <c r="O12990" i="1"/>
  <c r="E12990" i="1"/>
  <c r="B12990" i="1"/>
  <c r="O12989" i="1"/>
  <c r="E12989" i="1"/>
  <c r="B12989" i="1"/>
  <c r="O12988" i="1"/>
  <c r="E12988" i="1"/>
  <c r="B12988" i="1"/>
  <c r="O12987" i="1"/>
  <c r="E12987" i="1"/>
  <c r="B12987" i="1"/>
  <c r="O12986" i="1"/>
  <c r="E12986" i="1"/>
  <c r="B12986" i="1"/>
  <c r="O12985" i="1"/>
  <c r="E12985" i="1"/>
  <c r="B12985" i="1"/>
  <c r="O12984" i="1"/>
  <c r="E12984" i="1"/>
  <c r="B12984" i="1"/>
  <c r="O12983" i="1"/>
  <c r="E12983" i="1"/>
  <c r="B12983" i="1"/>
  <c r="O12982" i="1"/>
  <c r="E12982" i="1"/>
  <c r="B12982" i="1"/>
  <c r="O12981" i="1"/>
  <c r="E12981" i="1"/>
  <c r="B12981" i="1"/>
  <c r="O12980" i="1"/>
  <c r="E12980" i="1"/>
  <c r="B12980" i="1"/>
  <c r="O12979" i="1"/>
  <c r="E12979" i="1"/>
  <c r="B12979" i="1"/>
  <c r="O12978" i="1"/>
  <c r="E12978" i="1"/>
  <c r="B12978" i="1"/>
  <c r="O12977" i="1"/>
  <c r="E12977" i="1"/>
  <c r="B12977" i="1"/>
  <c r="O12976" i="1"/>
  <c r="E12976" i="1"/>
  <c r="B12976" i="1"/>
  <c r="O12975" i="1"/>
  <c r="E12975" i="1"/>
  <c r="B12975" i="1"/>
  <c r="O12974" i="1"/>
  <c r="E12974" i="1"/>
  <c r="B12974" i="1"/>
  <c r="O12973" i="1"/>
  <c r="E12973" i="1"/>
  <c r="B12973" i="1"/>
  <c r="O12972" i="1"/>
  <c r="E12972" i="1"/>
  <c r="B12972" i="1"/>
  <c r="O12971" i="1"/>
  <c r="E12971" i="1"/>
  <c r="B12971" i="1"/>
  <c r="O12970" i="1"/>
  <c r="E12970" i="1"/>
  <c r="B12970" i="1"/>
  <c r="O12969" i="1"/>
  <c r="E12969" i="1"/>
  <c r="B12969" i="1"/>
  <c r="O12968" i="1"/>
  <c r="E12968" i="1"/>
  <c r="B12968" i="1"/>
  <c r="O12967" i="1"/>
  <c r="E12967" i="1"/>
  <c r="B12967" i="1"/>
  <c r="O12966" i="1"/>
  <c r="E12966" i="1"/>
  <c r="B12966" i="1"/>
  <c r="O12965" i="1"/>
  <c r="E12965" i="1"/>
  <c r="B12965" i="1"/>
  <c r="O12964" i="1"/>
  <c r="E12964" i="1"/>
  <c r="B12964" i="1"/>
  <c r="O12963" i="1"/>
  <c r="E12963" i="1"/>
  <c r="B12963" i="1"/>
  <c r="O12962" i="1"/>
  <c r="E12962" i="1"/>
  <c r="B12962" i="1"/>
  <c r="O12961" i="1"/>
  <c r="E12961" i="1"/>
  <c r="B12961" i="1"/>
  <c r="O12960" i="1"/>
  <c r="E12960" i="1"/>
  <c r="B12960" i="1"/>
  <c r="O12959" i="1"/>
  <c r="E12959" i="1"/>
  <c r="B12959" i="1"/>
  <c r="O12958" i="1"/>
  <c r="E12958" i="1"/>
  <c r="B12958" i="1"/>
  <c r="O12957" i="1"/>
  <c r="E12957" i="1"/>
  <c r="B12957" i="1"/>
  <c r="O12956" i="1"/>
  <c r="E12956" i="1"/>
  <c r="B12956" i="1"/>
  <c r="O12955" i="1"/>
  <c r="E12955" i="1"/>
  <c r="B12955" i="1"/>
  <c r="O12954" i="1"/>
  <c r="E12954" i="1"/>
  <c r="B12954" i="1"/>
  <c r="O12953" i="1"/>
  <c r="E12953" i="1"/>
  <c r="B12953" i="1"/>
  <c r="O12952" i="1"/>
  <c r="E12952" i="1"/>
  <c r="B12952" i="1"/>
  <c r="O12951" i="1"/>
  <c r="E12951" i="1"/>
  <c r="B12951" i="1"/>
  <c r="O12950" i="1"/>
  <c r="E12950" i="1"/>
  <c r="B12950" i="1"/>
  <c r="O12949" i="1"/>
  <c r="E12949" i="1"/>
  <c r="B12949" i="1"/>
  <c r="O12948" i="1"/>
  <c r="E12948" i="1"/>
  <c r="B12948" i="1"/>
  <c r="O12947" i="1"/>
  <c r="E12947" i="1"/>
  <c r="B12947" i="1"/>
  <c r="O12946" i="1"/>
  <c r="E12946" i="1"/>
  <c r="B12946" i="1"/>
  <c r="O12945" i="1"/>
  <c r="E12945" i="1"/>
  <c r="B12945" i="1"/>
  <c r="O12944" i="1"/>
  <c r="E12944" i="1"/>
  <c r="B12944" i="1"/>
  <c r="O12943" i="1"/>
  <c r="E12943" i="1"/>
  <c r="B12943" i="1"/>
  <c r="O12942" i="1"/>
  <c r="E12942" i="1"/>
  <c r="B12942" i="1"/>
  <c r="O12941" i="1"/>
  <c r="E12941" i="1"/>
  <c r="B12941" i="1"/>
  <c r="O12940" i="1"/>
  <c r="E12940" i="1"/>
  <c r="B12940" i="1"/>
  <c r="O12939" i="1"/>
  <c r="E12939" i="1"/>
  <c r="B12939" i="1"/>
  <c r="O12938" i="1"/>
  <c r="E12938" i="1"/>
  <c r="B12938" i="1"/>
  <c r="O12937" i="1"/>
  <c r="E12937" i="1"/>
  <c r="B12937" i="1"/>
  <c r="O12936" i="1"/>
  <c r="E12936" i="1"/>
  <c r="B12936" i="1"/>
  <c r="O12935" i="1"/>
  <c r="E12935" i="1"/>
  <c r="B12935" i="1"/>
  <c r="O12934" i="1"/>
  <c r="E12934" i="1"/>
  <c r="B12934" i="1"/>
  <c r="O12933" i="1"/>
  <c r="E12933" i="1"/>
  <c r="B12933" i="1"/>
  <c r="O12932" i="1"/>
  <c r="E12932" i="1"/>
  <c r="B12932" i="1"/>
  <c r="O12931" i="1"/>
  <c r="E12931" i="1"/>
  <c r="B12931" i="1"/>
  <c r="O12930" i="1"/>
  <c r="E12930" i="1"/>
  <c r="B12930" i="1"/>
  <c r="O12929" i="1"/>
  <c r="E12929" i="1"/>
  <c r="B12929" i="1"/>
  <c r="O12928" i="1"/>
  <c r="E12928" i="1"/>
  <c r="B12928" i="1"/>
  <c r="O12927" i="1"/>
  <c r="E12927" i="1"/>
  <c r="B12927" i="1"/>
  <c r="O12926" i="1"/>
  <c r="E12926" i="1"/>
  <c r="B12926" i="1"/>
  <c r="O12925" i="1"/>
  <c r="E12925" i="1"/>
  <c r="B12925" i="1"/>
  <c r="O12924" i="1"/>
  <c r="E12924" i="1"/>
  <c r="B12924" i="1"/>
  <c r="O12923" i="1"/>
  <c r="E12923" i="1"/>
  <c r="B12923" i="1"/>
  <c r="O12922" i="1"/>
  <c r="E12922" i="1"/>
  <c r="B12922" i="1"/>
  <c r="O12921" i="1"/>
  <c r="E12921" i="1"/>
  <c r="B12921" i="1"/>
  <c r="O12920" i="1"/>
  <c r="E12920" i="1"/>
  <c r="B12920" i="1"/>
  <c r="O12919" i="1"/>
  <c r="E12919" i="1"/>
  <c r="B12919" i="1"/>
  <c r="O12918" i="1"/>
  <c r="E12918" i="1"/>
  <c r="B12918" i="1"/>
  <c r="O12917" i="1"/>
  <c r="E12917" i="1"/>
  <c r="B12917" i="1"/>
  <c r="O12916" i="1"/>
  <c r="E12916" i="1"/>
  <c r="B12916" i="1"/>
  <c r="O12915" i="1"/>
  <c r="E12915" i="1"/>
  <c r="B12915" i="1"/>
  <c r="O12914" i="1"/>
  <c r="E12914" i="1"/>
  <c r="B12914" i="1"/>
  <c r="O12913" i="1"/>
  <c r="E12913" i="1"/>
  <c r="B12913" i="1"/>
  <c r="O12912" i="1"/>
  <c r="E12912" i="1"/>
  <c r="B12912" i="1"/>
  <c r="O12911" i="1"/>
  <c r="E12911" i="1"/>
  <c r="B12911" i="1"/>
  <c r="O12910" i="1"/>
  <c r="E12910" i="1"/>
  <c r="B12910" i="1"/>
  <c r="O12909" i="1"/>
  <c r="E12909" i="1"/>
  <c r="B12909" i="1"/>
  <c r="O12908" i="1"/>
  <c r="E12908" i="1"/>
  <c r="B12908" i="1"/>
  <c r="O12907" i="1"/>
  <c r="E12907" i="1"/>
  <c r="B12907" i="1"/>
  <c r="O12906" i="1"/>
  <c r="E12906" i="1"/>
  <c r="B12906" i="1"/>
  <c r="O12905" i="1"/>
  <c r="E12905" i="1"/>
  <c r="B12905" i="1"/>
  <c r="O12904" i="1"/>
  <c r="E12904" i="1"/>
  <c r="B12904" i="1"/>
  <c r="O12903" i="1"/>
  <c r="E12903" i="1"/>
  <c r="B12903" i="1"/>
  <c r="O12902" i="1"/>
  <c r="E12902" i="1"/>
  <c r="B12902" i="1"/>
  <c r="O12901" i="1"/>
  <c r="E12901" i="1"/>
  <c r="B12901" i="1"/>
  <c r="O12900" i="1"/>
  <c r="E12900" i="1"/>
  <c r="B12900" i="1"/>
  <c r="O12899" i="1"/>
  <c r="E12899" i="1"/>
  <c r="B12899" i="1"/>
  <c r="O12898" i="1"/>
  <c r="E12898" i="1"/>
  <c r="B12898" i="1"/>
  <c r="O12897" i="1"/>
  <c r="E12897" i="1"/>
  <c r="B12897" i="1"/>
  <c r="O12896" i="1"/>
  <c r="E12896" i="1"/>
  <c r="B12896" i="1"/>
  <c r="O12895" i="1"/>
  <c r="E12895" i="1"/>
  <c r="B12895" i="1"/>
  <c r="O12894" i="1"/>
  <c r="E12894" i="1"/>
  <c r="B12894" i="1"/>
  <c r="O12893" i="1"/>
  <c r="E12893" i="1"/>
  <c r="B12893" i="1"/>
  <c r="O12892" i="1"/>
  <c r="E12892" i="1"/>
  <c r="B12892" i="1"/>
  <c r="O12891" i="1"/>
  <c r="E12891" i="1"/>
  <c r="B12891" i="1"/>
  <c r="O12890" i="1"/>
  <c r="E12890" i="1"/>
  <c r="B12890" i="1"/>
  <c r="O12889" i="1"/>
  <c r="E12889" i="1"/>
  <c r="B12889" i="1"/>
  <c r="O12888" i="1"/>
  <c r="E12888" i="1"/>
  <c r="B12888" i="1"/>
  <c r="O12887" i="1"/>
  <c r="E12887" i="1"/>
  <c r="B12887" i="1"/>
  <c r="O12886" i="1"/>
  <c r="E12886" i="1"/>
  <c r="B12886" i="1"/>
  <c r="O12885" i="1"/>
  <c r="E12885" i="1"/>
  <c r="B12885" i="1"/>
  <c r="O12884" i="1"/>
  <c r="E12884" i="1"/>
  <c r="B12884" i="1"/>
  <c r="O12883" i="1"/>
  <c r="E12883" i="1"/>
  <c r="B12883" i="1"/>
  <c r="O12882" i="1"/>
  <c r="E12882" i="1"/>
  <c r="B12882" i="1"/>
  <c r="O12881" i="1"/>
  <c r="E12881" i="1"/>
  <c r="B12881" i="1"/>
  <c r="O12880" i="1"/>
  <c r="E12880" i="1"/>
  <c r="B12880" i="1"/>
  <c r="O12879" i="1"/>
  <c r="E12879" i="1"/>
  <c r="B12879" i="1"/>
  <c r="O12878" i="1"/>
  <c r="E12878" i="1"/>
  <c r="B12878" i="1"/>
  <c r="O12877" i="1"/>
  <c r="E12877" i="1"/>
  <c r="B12877" i="1"/>
  <c r="O12876" i="1"/>
  <c r="E12876" i="1"/>
  <c r="B12876" i="1"/>
  <c r="O12875" i="1"/>
  <c r="E12875" i="1"/>
  <c r="B12875" i="1"/>
  <c r="O12874" i="1"/>
  <c r="E12874" i="1"/>
  <c r="B12874" i="1"/>
  <c r="O12873" i="1"/>
  <c r="E12873" i="1"/>
  <c r="B12873" i="1"/>
  <c r="O12872" i="1"/>
  <c r="E12872" i="1"/>
  <c r="B12872" i="1"/>
  <c r="O12871" i="1"/>
  <c r="E12871" i="1"/>
  <c r="B12871" i="1"/>
  <c r="O12870" i="1"/>
  <c r="E12870" i="1"/>
  <c r="B12870" i="1"/>
  <c r="O12869" i="1"/>
  <c r="E12869" i="1"/>
  <c r="B12869" i="1"/>
  <c r="O12868" i="1"/>
  <c r="E12868" i="1"/>
  <c r="B12868" i="1"/>
  <c r="O12867" i="1"/>
  <c r="E12867" i="1"/>
  <c r="B12867" i="1"/>
  <c r="O12866" i="1"/>
  <c r="E12866" i="1"/>
  <c r="B12866" i="1"/>
  <c r="O12865" i="1"/>
  <c r="E12865" i="1"/>
  <c r="B12865" i="1"/>
  <c r="O12864" i="1"/>
  <c r="E12864" i="1"/>
  <c r="B12864" i="1"/>
  <c r="O12863" i="1"/>
  <c r="E12863" i="1"/>
  <c r="B12863" i="1"/>
  <c r="O12862" i="1"/>
  <c r="E12862" i="1"/>
  <c r="B12862" i="1"/>
  <c r="O12861" i="1"/>
  <c r="E12861" i="1"/>
  <c r="B12861" i="1"/>
  <c r="O12860" i="1"/>
  <c r="E12860" i="1"/>
  <c r="B12860" i="1"/>
  <c r="O12859" i="1"/>
  <c r="E12859" i="1"/>
  <c r="B12859" i="1"/>
  <c r="O12858" i="1"/>
  <c r="E12858" i="1"/>
  <c r="B12858" i="1"/>
  <c r="O12857" i="1"/>
  <c r="E12857" i="1"/>
  <c r="B12857" i="1"/>
  <c r="O12856" i="1"/>
  <c r="E12856" i="1"/>
  <c r="B12856" i="1"/>
  <c r="O12855" i="1"/>
  <c r="E12855" i="1"/>
  <c r="B12855" i="1"/>
  <c r="O12854" i="1"/>
  <c r="E12854" i="1"/>
  <c r="B12854" i="1"/>
  <c r="O12853" i="1"/>
  <c r="E12853" i="1"/>
  <c r="B12853" i="1"/>
  <c r="O12852" i="1"/>
  <c r="E12852" i="1"/>
  <c r="B12852" i="1"/>
  <c r="O12851" i="1"/>
  <c r="E12851" i="1"/>
  <c r="B12851" i="1"/>
  <c r="O12850" i="1"/>
  <c r="E12850" i="1"/>
  <c r="B12850" i="1"/>
  <c r="O12849" i="1"/>
  <c r="E12849" i="1"/>
  <c r="B12849" i="1"/>
  <c r="O12848" i="1"/>
  <c r="E12848" i="1"/>
  <c r="B12848" i="1"/>
  <c r="O12847" i="1"/>
  <c r="E12847" i="1"/>
  <c r="B12847" i="1"/>
  <c r="O12846" i="1"/>
  <c r="E12846" i="1"/>
  <c r="B12846" i="1"/>
  <c r="O12845" i="1"/>
  <c r="E12845" i="1"/>
  <c r="B12845" i="1"/>
  <c r="O12844" i="1"/>
  <c r="E12844" i="1"/>
  <c r="B12844" i="1"/>
  <c r="O12843" i="1"/>
  <c r="E12843" i="1"/>
  <c r="B12843" i="1"/>
  <c r="O12842" i="1"/>
  <c r="E12842" i="1"/>
  <c r="B12842" i="1"/>
  <c r="O12841" i="1"/>
  <c r="E12841" i="1"/>
  <c r="B12841" i="1"/>
  <c r="O12840" i="1"/>
  <c r="E12840" i="1"/>
  <c r="B12840" i="1"/>
  <c r="O12839" i="1"/>
  <c r="E12839" i="1"/>
  <c r="B12839" i="1"/>
  <c r="O12838" i="1"/>
  <c r="E12838" i="1"/>
  <c r="B12838" i="1"/>
  <c r="O12837" i="1"/>
  <c r="E12837" i="1"/>
  <c r="B12837" i="1"/>
  <c r="O12836" i="1"/>
  <c r="E12836" i="1"/>
  <c r="B12836" i="1"/>
  <c r="O12835" i="1"/>
  <c r="E12835" i="1"/>
  <c r="B12835" i="1"/>
  <c r="O12834" i="1"/>
  <c r="E12834" i="1"/>
  <c r="B12834" i="1"/>
  <c r="O12833" i="1"/>
  <c r="E12833" i="1"/>
  <c r="B12833" i="1"/>
  <c r="O12832" i="1"/>
  <c r="E12832" i="1"/>
  <c r="B12832" i="1"/>
  <c r="O12831" i="1"/>
  <c r="E12831" i="1"/>
  <c r="B12831" i="1"/>
  <c r="O12830" i="1"/>
  <c r="E12830" i="1"/>
  <c r="B12830" i="1"/>
  <c r="O12829" i="1"/>
  <c r="E12829" i="1"/>
  <c r="B12829" i="1"/>
  <c r="O12828" i="1"/>
  <c r="E12828" i="1"/>
  <c r="B12828" i="1"/>
  <c r="O12827" i="1"/>
  <c r="E12827" i="1"/>
  <c r="B12827" i="1"/>
  <c r="O12826" i="1"/>
  <c r="E12826" i="1"/>
  <c r="B12826" i="1"/>
  <c r="O12825" i="1"/>
  <c r="E12825" i="1"/>
  <c r="B12825" i="1"/>
  <c r="O12824" i="1"/>
  <c r="E12824" i="1"/>
  <c r="B12824" i="1"/>
  <c r="O12823" i="1"/>
  <c r="E12823" i="1"/>
  <c r="B12823" i="1"/>
  <c r="O12822" i="1"/>
  <c r="E12822" i="1"/>
  <c r="B12822" i="1"/>
  <c r="O12821" i="1"/>
  <c r="E12821" i="1"/>
  <c r="B12821" i="1"/>
  <c r="O12820" i="1"/>
  <c r="E12820" i="1"/>
  <c r="B12820" i="1"/>
  <c r="O12819" i="1"/>
  <c r="E12819" i="1"/>
  <c r="B12819" i="1"/>
  <c r="O12818" i="1"/>
  <c r="E12818" i="1"/>
  <c r="B12818" i="1"/>
  <c r="O12817" i="1"/>
  <c r="E12817" i="1"/>
  <c r="B12817" i="1"/>
  <c r="O12816" i="1"/>
  <c r="E12816" i="1"/>
  <c r="B12816" i="1"/>
  <c r="O12815" i="1"/>
  <c r="E12815" i="1"/>
  <c r="B12815" i="1"/>
  <c r="O12814" i="1"/>
  <c r="E12814" i="1"/>
  <c r="B12814" i="1"/>
  <c r="O12813" i="1"/>
  <c r="E12813" i="1"/>
  <c r="B12813" i="1"/>
  <c r="O12812" i="1"/>
  <c r="E12812" i="1"/>
  <c r="B12812" i="1"/>
  <c r="O12811" i="1"/>
  <c r="E12811" i="1"/>
  <c r="B12811" i="1"/>
  <c r="O12810" i="1"/>
  <c r="E12810" i="1"/>
  <c r="B12810" i="1"/>
  <c r="O12809" i="1"/>
  <c r="E12809" i="1"/>
  <c r="B12809" i="1"/>
  <c r="O12808" i="1"/>
  <c r="E12808" i="1"/>
  <c r="B12808" i="1"/>
  <c r="O12807" i="1"/>
  <c r="E12807" i="1"/>
  <c r="B12807" i="1"/>
  <c r="O12806" i="1"/>
  <c r="E12806" i="1"/>
  <c r="B12806" i="1"/>
  <c r="O12805" i="1"/>
  <c r="E12805" i="1"/>
  <c r="B12805" i="1"/>
  <c r="O12804" i="1"/>
  <c r="E12804" i="1"/>
  <c r="B12804" i="1"/>
  <c r="O12803" i="1"/>
  <c r="E12803" i="1"/>
  <c r="B12803" i="1"/>
  <c r="O12802" i="1"/>
  <c r="E12802" i="1"/>
  <c r="B12802" i="1"/>
  <c r="O12801" i="1"/>
  <c r="E12801" i="1"/>
  <c r="B12801" i="1"/>
  <c r="O12800" i="1"/>
  <c r="E12800" i="1"/>
  <c r="B12800" i="1"/>
  <c r="O12799" i="1"/>
  <c r="E12799" i="1"/>
  <c r="B12799" i="1"/>
  <c r="O12798" i="1"/>
  <c r="E12798" i="1"/>
  <c r="B12798" i="1"/>
  <c r="O12797" i="1"/>
  <c r="E12797" i="1"/>
  <c r="B12797" i="1"/>
  <c r="O12796" i="1"/>
  <c r="E12796" i="1"/>
  <c r="B12796" i="1"/>
  <c r="O12795" i="1"/>
  <c r="E12795" i="1"/>
  <c r="B12795" i="1"/>
  <c r="O12794" i="1"/>
  <c r="E12794" i="1"/>
  <c r="B12794" i="1"/>
  <c r="O12793" i="1"/>
  <c r="E12793" i="1"/>
  <c r="B12793" i="1"/>
  <c r="O12792" i="1"/>
  <c r="E12792" i="1"/>
  <c r="B12792" i="1"/>
  <c r="O12791" i="1"/>
  <c r="E12791" i="1"/>
  <c r="B12791" i="1"/>
  <c r="O12790" i="1"/>
  <c r="E12790" i="1"/>
  <c r="B12790" i="1"/>
  <c r="O12789" i="1"/>
  <c r="E12789" i="1"/>
  <c r="B12789" i="1"/>
  <c r="O12788" i="1"/>
  <c r="E12788" i="1"/>
  <c r="B12788" i="1"/>
  <c r="O12787" i="1"/>
  <c r="E12787" i="1"/>
  <c r="B12787" i="1"/>
  <c r="O12786" i="1"/>
  <c r="E12786" i="1"/>
  <c r="B12786" i="1"/>
  <c r="O12785" i="1"/>
  <c r="E12785" i="1"/>
  <c r="B12785" i="1"/>
  <c r="O12784" i="1"/>
  <c r="E12784" i="1"/>
  <c r="B12784" i="1"/>
  <c r="O12783" i="1"/>
  <c r="E12783" i="1"/>
  <c r="B12783" i="1"/>
  <c r="O12782" i="1"/>
  <c r="E12782" i="1"/>
  <c r="B12782" i="1"/>
  <c r="O12781" i="1"/>
  <c r="E12781" i="1"/>
  <c r="B12781" i="1"/>
  <c r="O12780" i="1"/>
  <c r="E12780" i="1"/>
  <c r="B12780" i="1"/>
  <c r="O12779" i="1"/>
  <c r="E12779" i="1"/>
  <c r="B12779" i="1"/>
  <c r="O12778" i="1"/>
  <c r="E12778" i="1"/>
  <c r="B12778" i="1"/>
  <c r="O12777" i="1"/>
  <c r="E12777" i="1"/>
  <c r="B12777" i="1"/>
  <c r="O12776" i="1"/>
  <c r="E12776" i="1"/>
  <c r="B12776" i="1"/>
  <c r="O12775" i="1"/>
  <c r="E12775" i="1"/>
  <c r="B12775" i="1"/>
  <c r="O12774" i="1"/>
  <c r="E12774" i="1"/>
  <c r="B12774" i="1"/>
  <c r="O12773" i="1"/>
  <c r="E12773" i="1"/>
  <c r="B12773" i="1"/>
  <c r="O12772" i="1"/>
  <c r="E12772" i="1"/>
  <c r="B12772" i="1"/>
  <c r="O12771" i="1"/>
  <c r="E12771" i="1"/>
  <c r="B12771" i="1"/>
  <c r="O12770" i="1"/>
  <c r="E12770" i="1"/>
  <c r="B12770" i="1"/>
  <c r="O12769" i="1"/>
  <c r="E12769" i="1"/>
  <c r="B12769" i="1"/>
  <c r="O12768" i="1"/>
  <c r="E12768" i="1"/>
  <c r="B12768" i="1"/>
  <c r="O12767" i="1"/>
  <c r="E12767" i="1"/>
  <c r="B12767" i="1"/>
  <c r="O12766" i="1"/>
  <c r="E12766" i="1"/>
  <c r="B12766" i="1"/>
  <c r="O12765" i="1"/>
  <c r="E12765" i="1"/>
  <c r="B12765" i="1"/>
  <c r="O12764" i="1"/>
  <c r="E12764" i="1"/>
  <c r="B12764" i="1"/>
  <c r="O12763" i="1"/>
  <c r="E12763" i="1"/>
  <c r="B12763" i="1"/>
  <c r="O12762" i="1"/>
  <c r="E12762" i="1"/>
  <c r="B12762" i="1"/>
  <c r="O12761" i="1"/>
  <c r="E12761" i="1"/>
  <c r="B12761" i="1"/>
  <c r="O12760" i="1"/>
  <c r="E12760" i="1"/>
  <c r="B12760" i="1"/>
  <c r="O12759" i="1"/>
  <c r="E12759" i="1"/>
  <c r="B12759" i="1"/>
  <c r="O12758" i="1"/>
  <c r="E12758" i="1"/>
  <c r="B12758" i="1"/>
  <c r="O12757" i="1"/>
  <c r="E12757" i="1"/>
  <c r="B12757" i="1"/>
  <c r="O12756" i="1"/>
  <c r="E12756" i="1"/>
  <c r="B12756" i="1"/>
  <c r="O12755" i="1"/>
  <c r="E12755" i="1"/>
  <c r="B12755" i="1"/>
  <c r="O12754" i="1"/>
  <c r="E12754" i="1"/>
  <c r="B12754" i="1"/>
  <c r="O12753" i="1"/>
  <c r="E12753" i="1"/>
  <c r="B12753" i="1"/>
  <c r="O12752" i="1"/>
  <c r="E12752" i="1"/>
  <c r="B12752" i="1"/>
  <c r="O12751" i="1"/>
  <c r="E12751" i="1"/>
  <c r="B12751" i="1"/>
  <c r="O12750" i="1"/>
  <c r="E12750" i="1"/>
  <c r="B12750" i="1"/>
  <c r="O12749" i="1"/>
  <c r="E12749" i="1"/>
  <c r="B12749" i="1"/>
  <c r="O12748" i="1"/>
  <c r="E12748" i="1"/>
  <c r="B12748" i="1"/>
  <c r="O12747" i="1"/>
  <c r="E12747" i="1"/>
  <c r="B12747" i="1"/>
  <c r="O12746" i="1"/>
  <c r="E12746" i="1"/>
  <c r="B12746" i="1"/>
  <c r="O12745" i="1"/>
  <c r="E12745" i="1"/>
  <c r="B12745" i="1"/>
  <c r="O12744" i="1"/>
  <c r="E12744" i="1"/>
  <c r="B12744" i="1"/>
  <c r="O12743" i="1"/>
  <c r="E12743" i="1"/>
  <c r="B12743" i="1"/>
  <c r="O12742" i="1"/>
  <c r="E12742" i="1"/>
  <c r="B12742" i="1"/>
  <c r="O12741" i="1"/>
  <c r="E12741" i="1"/>
  <c r="B12741" i="1"/>
  <c r="O12740" i="1"/>
  <c r="E12740" i="1"/>
  <c r="B12740" i="1"/>
  <c r="O12739" i="1"/>
  <c r="E12739" i="1"/>
  <c r="B12739" i="1"/>
  <c r="O12738" i="1"/>
  <c r="E12738" i="1"/>
  <c r="B12738" i="1"/>
  <c r="O12737" i="1"/>
  <c r="E12737" i="1"/>
  <c r="B12737" i="1"/>
  <c r="O12736" i="1"/>
  <c r="E12736" i="1"/>
  <c r="B12736" i="1"/>
  <c r="O12735" i="1"/>
  <c r="E12735" i="1"/>
  <c r="B12735" i="1"/>
  <c r="O12734" i="1"/>
  <c r="E12734" i="1"/>
  <c r="B12734" i="1"/>
  <c r="O12733" i="1"/>
  <c r="E12733" i="1"/>
  <c r="B12733" i="1"/>
  <c r="O12732" i="1"/>
  <c r="E12732" i="1"/>
  <c r="B12732" i="1"/>
  <c r="O12731" i="1"/>
  <c r="E12731" i="1"/>
  <c r="B12731" i="1"/>
  <c r="O12730" i="1"/>
  <c r="E12730" i="1"/>
  <c r="B12730" i="1"/>
  <c r="O12729" i="1"/>
  <c r="E12729" i="1"/>
  <c r="B12729" i="1"/>
  <c r="O12728" i="1"/>
  <c r="E12728" i="1"/>
  <c r="B12728" i="1"/>
  <c r="O12727" i="1"/>
  <c r="E12727" i="1"/>
  <c r="B12727" i="1"/>
  <c r="O12726" i="1"/>
  <c r="E12726" i="1"/>
  <c r="B12726" i="1"/>
  <c r="O12725" i="1"/>
  <c r="E12725" i="1"/>
  <c r="B12725" i="1"/>
  <c r="O12724" i="1"/>
  <c r="E12724" i="1"/>
  <c r="B12724" i="1"/>
  <c r="O12723" i="1"/>
  <c r="E12723" i="1"/>
  <c r="B12723" i="1"/>
  <c r="O12722" i="1"/>
  <c r="E12722" i="1"/>
  <c r="B12722" i="1"/>
  <c r="O12721" i="1"/>
  <c r="E12721" i="1"/>
  <c r="B12721" i="1"/>
  <c r="O12720" i="1"/>
  <c r="E12720" i="1"/>
  <c r="B12720" i="1"/>
  <c r="O12719" i="1"/>
  <c r="E12719" i="1"/>
  <c r="B12719" i="1"/>
  <c r="O12718" i="1"/>
  <c r="E12718" i="1"/>
  <c r="B12718" i="1"/>
  <c r="O12717" i="1"/>
  <c r="E12717" i="1"/>
  <c r="B12717" i="1"/>
  <c r="O12716" i="1"/>
  <c r="E12716" i="1"/>
  <c r="B12716" i="1"/>
  <c r="O12715" i="1"/>
  <c r="E12715" i="1"/>
  <c r="B12715" i="1"/>
  <c r="O12714" i="1"/>
  <c r="E12714" i="1"/>
  <c r="B12714" i="1"/>
  <c r="O12713" i="1"/>
  <c r="E12713" i="1"/>
  <c r="B12713" i="1"/>
  <c r="O12712" i="1"/>
  <c r="E12712" i="1"/>
  <c r="B12712" i="1"/>
  <c r="O12711" i="1"/>
  <c r="E12711" i="1"/>
  <c r="B12711" i="1"/>
  <c r="O12710" i="1"/>
  <c r="E12710" i="1"/>
  <c r="B12710" i="1"/>
  <c r="O12709" i="1"/>
  <c r="E12709" i="1"/>
  <c r="B12709" i="1"/>
  <c r="O12708" i="1"/>
  <c r="E12708" i="1"/>
  <c r="B12708" i="1"/>
  <c r="O12707" i="1"/>
  <c r="E12707" i="1"/>
  <c r="B12707" i="1"/>
  <c r="O12706" i="1"/>
  <c r="E12706" i="1"/>
  <c r="B12706" i="1"/>
  <c r="O12705" i="1"/>
  <c r="E12705" i="1"/>
  <c r="B12705" i="1"/>
  <c r="O12704" i="1"/>
  <c r="E12704" i="1"/>
  <c r="B12704" i="1"/>
  <c r="O12703" i="1"/>
  <c r="E12703" i="1"/>
  <c r="B12703" i="1"/>
  <c r="O12702" i="1"/>
  <c r="E12702" i="1"/>
  <c r="B12702" i="1"/>
  <c r="O12701" i="1"/>
  <c r="E12701" i="1"/>
  <c r="B12701" i="1"/>
  <c r="O12700" i="1"/>
  <c r="E12700" i="1"/>
  <c r="B12700" i="1"/>
  <c r="O12699" i="1"/>
  <c r="E12699" i="1"/>
  <c r="B12699" i="1"/>
  <c r="O12698" i="1"/>
  <c r="E12698" i="1"/>
  <c r="B12698" i="1"/>
  <c r="O12697" i="1"/>
  <c r="E12697" i="1"/>
  <c r="B12697" i="1"/>
  <c r="O12696" i="1"/>
  <c r="E12696" i="1"/>
  <c r="B12696" i="1"/>
  <c r="O12695" i="1"/>
  <c r="E12695" i="1"/>
  <c r="B12695" i="1"/>
  <c r="O12694" i="1"/>
  <c r="E12694" i="1"/>
  <c r="B12694" i="1"/>
  <c r="O12693" i="1"/>
  <c r="E12693" i="1"/>
  <c r="B12693" i="1"/>
  <c r="O12692" i="1"/>
  <c r="E12692" i="1"/>
  <c r="B12692" i="1"/>
  <c r="O12691" i="1"/>
  <c r="E12691" i="1"/>
  <c r="B12691" i="1"/>
  <c r="O12690" i="1"/>
  <c r="E12690" i="1"/>
  <c r="B12690" i="1"/>
  <c r="O12689" i="1"/>
  <c r="E12689" i="1"/>
  <c r="B12689" i="1"/>
  <c r="O12688" i="1"/>
  <c r="E12688" i="1"/>
  <c r="B12688" i="1"/>
  <c r="O12687" i="1"/>
  <c r="E12687" i="1"/>
  <c r="B12687" i="1"/>
  <c r="O12686" i="1"/>
  <c r="E12686" i="1"/>
  <c r="B12686" i="1"/>
  <c r="O12685" i="1"/>
  <c r="E12685" i="1"/>
  <c r="B12685" i="1"/>
  <c r="O12684" i="1"/>
  <c r="E12684" i="1"/>
  <c r="B12684" i="1"/>
  <c r="O12683" i="1"/>
  <c r="E12683" i="1"/>
  <c r="B12683" i="1"/>
  <c r="O12682" i="1"/>
  <c r="E12682" i="1"/>
  <c r="B12682" i="1"/>
  <c r="O12681" i="1"/>
  <c r="E12681" i="1"/>
  <c r="B12681" i="1"/>
  <c r="O12680" i="1"/>
  <c r="E12680" i="1"/>
  <c r="B12680" i="1"/>
  <c r="O12679" i="1"/>
  <c r="E12679" i="1"/>
  <c r="B12679" i="1"/>
  <c r="O12678" i="1"/>
  <c r="E12678" i="1"/>
  <c r="B12678" i="1"/>
  <c r="O12677" i="1"/>
  <c r="E12677" i="1"/>
  <c r="B12677" i="1"/>
  <c r="O12676" i="1"/>
  <c r="E12676" i="1"/>
  <c r="B12676" i="1"/>
  <c r="O12675" i="1"/>
  <c r="E12675" i="1"/>
  <c r="B12675" i="1"/>
  <c r="O12674" i="1"/>
  <c r="E12674" i="1"/>
  <c r="B12674" i="1"/>
  <c r="O12673" i="1"/>
  <c r="E12673" i="1"/>
  <c r="B12673" i="1"/>
  <c r="O12672" i="1"/>
  <c r="E12672" i="1"/>
  <c r="B12672" i="1"/>
  <c r="O12671" i="1"/>
  <c r="E12671" i="1"/>
  <c r="B12671" i="1"/>
  <c r="O12670" i="1"/>
  <c r="E12670" i="1"/>
  <c r="B12670" i="1"/>
  <c r="O12669" i="1"/>
  <c r="E12669" i="1"/>
  <c r="B12669" i="1"/>
  <c r="O12668" i="1"/>
  <c r="E12668" i="1"/>
  <c r="B12668" i="1"/>
  <c r="O12667" i="1"/>
  <c r="E12667" i="1"/>
  <c r="B12667" i="1"/>
  <c r="O12666" i="1"/>
  <c r="E12666" i="1"/>
  <c r="B12666" i="1"/>
  <c r="O12665" i="1"/>
  <c r="E12665" i="1"/>
  <c r="B12665" i="1"/>
  <c r="O12664" i="1"/>
  <c r="E12664" i="1"/>
  <c r="B12664" i="1"/>
  <c r="O12663" i="1"/>
  <c r="E12663" i="1"/>
  <c r="B12663" i="1"/>
  <c r="O12662" i="1"/>
  <c r="E12662" i="1"/>
  <c r="B12662" i="1"/>
  <c r="O12661" i="1"/>
  <c r="E12661" i="1"/>
  <c r="B12661" i="1"/>
  <c r="O12660" i="1"/>
  <c r="E12660" i="1"/>
  <c r="B12660" i="1"/>
  <c r="O12659" i="1"/>
  <c r="E12659" i="1"/>
  <c r="B12659" i="1"/>
  <c r="O12658" i="1"/>
  <c r="E12658" i="1"/>
  <c r="B12658" i="1"/>
  <c r="O12657" i="1"/>
  <c r="E12657" i="1"/>
  <c r="B12657" i="1"/>
  <c r="O12656" i="1"/>
  <c r="E12656" i="1"/>
  <c r="B12656" i="1"/>
  <c r="O12655" i="1"/>
  <c r="E12655" i="1"/>
  <c r="B12655" i="1"/>
  <c r="O12654" i="1"/>
  <c r="E12654" i="1"/>
  <c r="B12654" i="1"/>
  <c r="O12653" i="1"/>
  <c r="E12653" i="1"/>
  <c r="B12653" i="1"/>
  <c r="O12652" i="1"/>
  <c r="E12652" i="1"/>
  <c r="B12652" i="1"/>
  <c r="O12651" i="1"/>
  <c r="E12651" i="1"/>
  <c r="B12651" i="1"/>
  <c r="O12650" i="1"/>
  <c r="E12650" i="1"/>
  <c r="B12650" i="1"/>
  <c r="O12649" i="1"/>
  <c r="E12649" i="1"/>
  <c r="B12649" i="1"/>
  <c r="O12648" i="1"/>
  <c r="E12648" i="1"/>
  <c r="B12648" i="1"/>
  <c r="O12647" i="1"/>
  <c r="E12647" i="1"/>
  <c r="B12647" i="1"/>
  <c r="O12646" i="1"/>
  <c r="E12646" i="1"/>
  <c r="B12646" i="1"/>
  <c r="O12645" i="1"/>
  <c r="E12645" i="1"/>
  <c r="B12645" i="1"/>
  <c r="O12644" i="1"/>
  <c r="E12644" i="1"/>
  <c r="B12644" i="1"/>
  <c r="O12643" i="1"/>
  <c r="E12643" i="1"/>
  <c r="B12643" i="1"/>
  <c r="O12642" i="1"/>
  <c r="E12642" i="1"/>
  <c r="B12642" i="1"/>
  <c r="O12641" i="1"/>
  <c r="E12641" i="1"/>
  <c r="B12641" i="1"/>
  <c r="O12640" i="1"/>
  <c r="E12640" i="1"/>
  <c r="B12640" i="1"/>
  <c r="O12639" i="1"/>
  <c r="E12639" i="1"/>
  <c r="B12639" i="1"/>
  <c r="O12638" i="1"/>
  <c r="E12638" i="1"/>
  <c r="B12638" i="1"/>
  <c r="O12637" i="1"/>
  <c r="E12637" i="1"/>
  <c r="B12637" i="1"/>
  <c r="O12636" i="1"/>
  <c r="E12636" i="1"/>
  <c r="B12636" i="1"/>
  <c r="O12635" i="1"/>
  <c r="E12635" i="1"/>
  <c r="B12635" i="1"/>
  <c r="O12634" i="1"/>
  <c r="E12634" i="1"/>
  <c r="B12634" i="1"/>
  <c r="O12633" i="1"/>
  <c r="E12633" i="1"/>
  <c r="B12633" i="1"/>
  <c r="O12632" i="1"/>
  <c r="E12632" i="1"/>
  <c r="B12632" i="1"/>
  <c r="O12631" i="1"/>
  <c r="E12631" i="1"/>
  <c r="B12631" i="1"/>
  <c r="O12630" i="1"/>
  <c r="E12630" i="1"/>
  <c r="B12630" i="1"/>
  <c r="O12629" i="1"/>
  <c r="E12629" i="1"/>
  <c r="B12629" i="1"/>
  <c r="O12628" i="1"/>
  <c r="E12628" i="1"/>
  <c r="B12628" i="1"/>
  <c r="O12627" i="1"/>
  <c r="E12627" i="1"/>
  <c r="B12627" i="1"/>
  <c r="O12626" i="1"/>
  <c r="E12626" i="1"/>
  <c r="B12626" i="1"/>
  <c r="O12625" i="1"/>
  <c r="E12625" i="1"/>
  <c r="B12625" i="1"/>
  <c r="O12624" i="1"/>
  <c r="E12624" i="1"/>
  <c r="B12624" i="1"/>
  <c r="O12623" i="1"/>
  <c r="E12623" i="1"/>
  <c r="B12623" i="1"/>
  <c r="O12622" i="1"/>
  <c r="E12622" i="1"/>
  <c r="B12622" i="1"/>
  <c r="O12621" i="1"/>
  <c r="E12621" i="1"/>
  <c r="B12621" i="1"/>
  <c r="O12620" i="1"/>
  <c r="E12620" i="1"/>
  <c r="B12620" i="1"/>
  <c r="O12619" i="1"/>
  <c r="E12619" i="1"/>
  <c r="B12619" i="1"/>
  <c r="O12618" i="1"/>
  <c r="E12618" i="1"/>
  <c r="B12618" i="1"/>
  <c r="O12617" i="1"/>
  <c r="E12617" i="1"/>
  <c r="B12617" i="1"/>
  <c r="O12616" i="1"/>
  <c r="E12616" i="1"/>
  <c r="B12616" i="1"/>
  <c r="O12615" i="1"/>
  <c r="E12615" i="1"/>
  <c r="B12615" i="1"/>
  <c r="O12614" i="1"/>
  <c r="E12614" i="1"/>
  <c r="B12614" i="1"/>
  <c r="O12613" i="1"/>
  <c r="E12613" i="1"/>
  <c r="B12613" i="1"/>
  <c r="O12612" i="1"/>
  <c r="E12612" i="1"/>
  <c r="B12612" i="1"/>
  <c r="O12611" i="1"/>
  <c r="E12611" i="1"/>
  <c r="B12611" i="1"/>
  <c r="O12610" i="1"/>
  <c r="E12610" i="1"/>
  <c r="B12610" i="1"/>
  <c r="O12609" i="1"/>
  <c r="E12609" i="1"/>
  <c r="B12609" i="1"/>
  <c r="O12608" i="1"/>
  <c r="E12608" i="1"/>
  <c r="B12608" i="1"/>
  <c r="O12607" i="1"/>
  <c r="E12607" i="1"/>
  <c r="B12607" i="1"/>
  <c r="O12606" i="1"/>
  <c r="E12606" i="1"/>
  <c r="B12606" i="1"/>
  <c r="O12605" i="1"/>
  <c r="E12605" i="1"/>
  <c r="B12605" i="1"/>
  <c r="O12604" i="1"/>
  <c r="E12604" i="1"/>
  <c r="B12604" i="1"/>
  <c r="O12603" i="1"/>
  <c r="E12603" i="1"/>
  <c r="B12603" i="1"/>
  <c r="O12602" i="1"/>
  <c r="E12602" i="1"/>
  <c r="B12602" i="1"/>
  <c r="O12601" i="1"/>
  <c r="E12601" i="1"/>
  <c r="B12601" i="1"/>
  <c r="O12600" i="1"/>
  <c r="E12600" i="1"/>
  <c r="B12600" i="1"/>
  <c r="O12599" i="1"/>
  <c r="E12599" i="1"/>
  <c r="B12599" i="1"/>
  <c r="O12598" i="1"/>
  <c r="E12598" i="1"/>
  <c r="B12598" i="1"/>
  <c r="O12597" i="1"/>
  <c r="E12597" i="1"/>
  <c r="B12597" i="1"/>
  <c r="O12596" i="1"/>
  <c r="E12596" i="1"/>
  <c r="B12596" i="1"/>
  <c r="O12595" i="1"/>
  <c r="E12595" i="1"/>
  <c r="B12595" i="1"/>
  <c r="O12594" i="1"/>
  <c r="E12594" i="1"/>
  <c r="B12594" i="1"/>
  <c r="O12593" i="1"/>
  <c r="E12593" i="1"/>
  <c r="B12593" i="1"/>
  <c r="O12592" i="1"/>
  <c r="E12592" i="1"/>
  <c r="B12592" i="1"/>
  <c r="O12591" i="1"/>
  <c r="E12591" i="1"/>
  <c r="B12591" i="1"/>
  <c r="O12590" i="1"/>
  <c r="E12590" i="1"/>
  <c r="B12590" i="1"/>
  <c r="O12589" i="1"/>
  <c r="E12589" i="1"/>
  <c r="B12589" i="1"/>
  <c r="O12588" i="1"/>
  <c r="E12588" i="1"/>
  <c r="B12588" i="1"/>
  <c r="O12587" i="1"/>
  <c r="E12587" i="1"/>
  <c r="B12587" i="1"/>
  <c r="O12586" i="1"/>
  <c r="E12586" i="1"/>
  <c r="B12586" i="1"/>
  <c r="O12585" i="1"/>
  <c r="E12585" i="1"/>
  <c r="B12585" i="1"/>
  <c r="O12584" i="1"/>
  <c r="E12584" i="1"/>
  <c r="B12584" i="1"/>
  <c r="O12583" i="1"/>
  <c r="E12583" i="1"/>
  <c r="B12583" i="1"/>
  <c r="O12582" i="1"/>
  <c r="E12582" i="1"/>
  <c r="B12582" i="1"/>
  <c r="O12581" i="1"/>
  <c r="E12581" i="1"/>
  <c r="B12581" i="1"/>
  <c r="O12580" i="1"/>
  <c r="E12580" i="1"/>
  <c r="B12580" i="1"/>
  <c r="O12579" i="1"/>
  <c r="E12579" i="1"/>
  <c r="B12579" i="1"/>
  <c r="O12578" i="1"/>
  <c r="E12578" i="1"/>
  <c r="B12578" i="1"/>
  <c r="O12577" i="1"/>
  <c r="E12577" i="1"/>
  <c r="B12577" i="1"/>
  <c r="O12576" i="1"/>
  <c r="E12576" i="1"/>
  <c r="B12576" i="1"/>
  <c r="O12575" i="1"/>
  <c r="E12575" i="1"/>
  <c r="B12575" i="1"/>
  <c r="O12574" i="1"/>
  <c r="E12574" i="1"/>
  <c r="B12574" i="1"/>
  <c r="O12573" i="1"/>
  <c r="E12573" i="1"/>
  <c r="B12573" i="1"/>
  <c r="O12572" i="1"/>
  <c r="E12572" i="1"/>
  <c r="B12572" i="1"/>
  <c r="O12571" i="1"/>
  <c r="E12571" i="1"/>
  <c r="B12571" i="1"/>
  <c r="O12570" i="1"/>
  <c r="E12570" i="1"/>
  <c r="B12570" i="1"/>
  <c r="O12569" i="1"/>
  <c r="E12569" i="1"/>
  <c r="B12569" i="1"/>
  <c r="O12568" i="1"/>
  <c r="E12568" i="1"/>
  <c r="B12568" i="1"/>
  <c r="O12567" i="1"/>
  <c r="E12567" i="1"/>
  <c r="B12567" i="1"/>
  <c r="O12566" i="1"/>
  <c r="E12566" i="1"/>
  <c r="B12566" i="1"/>
  <c r="O12565" i="1"/>
  <c r="E12565" i="1"/>
  <c r="B12565" i="1"/>
  <c r="O12564" i="1"/>
  <c r="E12564" i="1"/>
  <c r="B12564" i="1"/>
  <c r="O12563" i="1"/>
  <c r="E12563" i="1"/>
  <c r="B12563" i="1"/>
  <c r="O12562" i="1"/>
  <c r="E12562" i="1"/>
  <c r="B12562" i="1"/>
  <c r="O12561" i="1"/>
  <c r="E12561" i="1"/>
  <c r="B12561" i="1"/>
  <c r="O12560" i="1"/>
  <c r="E12560" i="1"/>
  <c r="B12560" i="1"/>
  <c r="O12559" i="1"/>
  <c r="E12559" i="1"/>
  <c r="B12559" i="1"/>
  <c r="O12558" i="1"/>
  <c r="E12558" i="1"/>
  <c r="B12558" i="1"/>
  <c r="O12557" i="1"/>
  <c r="E12557" i="1"/>
  <c r="B12557" i="1"/>
  <c r="O12556" i="1"/>
  <c r="E12556" i="1"/>
  <c r="B12556" i="1"/>
  <c r="O12555" i="1"/>
  <c r="E12555" i="1"/>
  <c r="B12555" i="1"/>
  <c r="O12554" i="1"/>
  <c r="E12554" i="1"/>
  <c r="B12554" i="1"/>
  <c r="O12553" i="1"/>
  <c r="E12553" i="1"/>
  <c r="B12553" i="1"/>
  <c r="O12552" i="1"/>
  <c r="E12552" i="1"/>
  <c r="B12552" i="1"/>
  <c r="O12551" i="1"/>
  <c r="E12551" i="1"/>
  <c r="B12551" i="1"/>
  <c r="O12550" i="1"/>
  <c r="E12550" i="1"/>
  <c r="B12550" i="1"/>
  <c r="O12549" i="1"/>
  <c r="E12549" i="1"/>
  <c r="B12549" i="1"/>
  <c r="O12548" i="1"/>
  <c r="E12548" i="1"/>
  <c r="B12548" i="1"/>
  <c r="O12547" i="1"/>
  <c r="E12547" i="1"/>
  <c r="B12547" i="1"/>
  <c r="O12546" i="1"/>
  <c r="E12546" i="1"/>
  <c r="B12546" i="1"/>
  <c r="O12545" i="1"/>
  <c r="E12545" i="1"/>
  <c r="B12545" i="1"/>
  <c r="O12544" i="1"/>
  <c r="E12544" i="1"/>
  <c r="B12544" i="1"/>
  <c r="O12543" i="1"/>
  <c r="E12543" i="1"/>
  <c r="B12543" i="1"/>
  <c r="O12542" i="1"/>
  <c r="E12542" i="1"/>
  <c r="B12542" i="1"/>
  <c r="O12541" i="1"/>
  <c r="E12541" i="1"/>
  <c r="B12541" i="1"/>
  <c r="O12540" i="1"/>
  <c r="E12540" i="1"/>
  <c r="B12540" i="1"/>
  <c r="O12539" i="1"/>
  <c r="E12539" i="1"/>
  <c r="B12539" i="1"/>
  <c r="O12538" i="1"/>
  <c r="E12538" i="1"/>
  <c r="B12538" i="1"/>
  <c r="O12537" i="1"/>
  <c r="E12537" i="1"/>
  <c r="B12537" i="1"/>
  <c r="O12536" i="1"/>
  <c r="E12536" i="1"/>
  <c r="B12536" i="1"/>
  <c r="O12535" i="1"/>
  <c r="E12535" i="1"/>
  <c r="B12535" i="1"/>
  <c r="O12534" i="1"/>
  <c r="E12534" i="1"/>
  <c r="B12534" i="1"/>
  <c r="O12533" i="1"/>
  <c r="E12533" i="1"/>
  <c r="B12533" i="1"/>
  <c r="O12532" i="1"/>
  <c r="E12532" i="1"/>
  <c r="B12532" i="1"/>
  <c r="O12531" i="1"/>
  <c r="E12531" i="1"/>
  <c r="B12531" i="1"/>
  <c r="O12530" i="1"/>
  <c r="E12530" i="1"/>
  <c r="B12530" i="1"/>
  <c r="O12529" i="1"/>
  <c r="E12529" i="1"/>
  <c r="B12529" i="1"/>
  <c r="O12528" i="1"/>
  <c r="E12528" i="1"/>
  <c r="B12528" i="1"/>
  <c r="O12527" i="1"/>
  <c r="E12527" i="1"/>
  <c r="B12527" i="1"/>
  <c r="O12526" i="1"/>
  <c r="E12526" i="1"/>
  <c r="B12526" i="1"/>
  <c r="O12525" i="1"/>
  <c r="E12525" i="1"/>
  <c r="B12525" i="1"/>
  <c r="O12524" i="1"/>
  <c r="E12524" i="1"/>
  <c r="B12524" i="1"/>
  <c r="O12523" i="1"/>
  <c r="E12523" i="1"/>
  <c r="B12523" i="1"/>
  <c r="O12522" i="1"/>
  <c r="E12522" i="1"/>
  <c r="B12522" i="1"/>
  <c r="O12521" i="1"/>
  <c r="E12521" i="1"/>
  <c r="B12521" i="1"/>
  <c r="O12520" i="1"/>
  <c r="E12520" i="1"/>
  <c r="B12520" i="1"/>
  <c r="O12519" i="1"/>
  <c r="E12519" i="1"/>
  <c r="B12519" i="1"/>
  <c r="O12518" i="1"/>
  <c r="E12518" i="1"/>
  <c r="B12518" i="1"/>
  <c r="O12517" i="1"/>
  <c r="E12517" i="1"/>
  <c r="B12517" i="1"/>
  <c r="O12516" i="1"/>
  <c r="E12516" i="1"/>
  <c r="B12516" i="1"/>
  <c r="O12515" i="1"/>
  <c r="E12515" i="1"/>
  <c r="B12515" i="1"/>
  <c r="O12514" i="1"/>
  <c r="E12514" i="1"/>
  <c r="B12514" i="1"/>
  <c r="O12513" i="1"/>
  <c r="E12513" i="1"/>
  <c r="B12513" i="1"/>
  <c r="O12512" i="1"/>
  <c r="E12512" i="1"/>
  <c r="B12512" i="1"/>
  <c r="O12511" i="1"/>
  <c r="E12511" i="1"/>
  <c r="B12511" i="1"/>
  <c r="O12510" i="1"/>
  <c r="E12510" i="1"/>
  <c r="B12510" i="1"/>
  <c r="O12509" i="1"/>
  <c r="E12509" i="1"/>
  <c r="B12509" i="1"/>
  <c r="O12508" i="1"/>
  <c r="E12508" i="1"/>
  <c r="B12508" i="1"/>
  <c r="O12507" i="1"/>
  <c r="E12507" i="1"/>
  <c r="B12507" i="1"/>
  <c r="O12506" i="1"/>
  <c r="E12506" i="1"/>
  <c r="B12506" i="1"/>
  <c r="O12505" i="1"/>
  <c r="E12505" i="1"/>
  <c r="B12505" i="1"/>
  <c r="O12504" i="1"/>
  <c r="E12504" i="1"/>
  <c r="B12504" i="1"/>
  <c r="O12503" i="1"/>
  <c r="E12503" i="1"/>
  <c r="B12503" i="1"/>
  <c r="O12502" i="1"/>
  <c r="E12502" i="1"/>
  <c r="B12502" i="1"/>
  <c r="O12501" i="1"/>
  <c r="E12501" i="1"/>
  <c r="B12501" i="1"/>
  <c r="O12500" i="1"/>
  <c r="E12500" i="1"/>
  <c r="B12500" i="1"/>
  <c r="O12499" i="1"/>
  <c r="E12499" i="1"/>
  <c r="B12499" i="1"/>
  <c r="O12498" i="1"/>
  <c r="E12498" i="1"/>
  <c r="B12498" i="1"/>
  <c r="O12497" i="1"/>
  <c r="E12497" i="1"/>
  <c r="B12497" i="1"/>
  <c r="O12496" i="1"/>
  <c r="E12496" i="1"/>
  <c r="B12496" i="1"/>
  <c r="O12495" i="1"/>
  <c r="E12495" i="1"/>
  <c r="B12495" i="1"/>
  <c r="O12494" i="1"/>
  <c r="E12494" i="1"/>
  <c r="B12494" i="1"/>
  <c r="O12493" i="1"/>
  <c r="E12493" i="1"/>
  <c r="B12493" i="1"/>
  <c r="O12492" i="1"/>
  <c r="E12492" i="1"/>
  <c r="B12492" i="1"/>
  <c r="O12491" i="1"/>
  <c r="E12491" i="1"/>
  <c r="B12491" i="1"/>
  <c r="O12490" i="1"/>
  <c r="E12490" i="1"/>
  <c r="B12490" i="1"/>
  <c r="O12489" i="1"/>
  <c r="E12489" i="1"/>
  <c r="B12489" i="1"/>
  <c r="O12488" i="1"/>
  <c r="E12488" i="1"/>
  <c r="B12488" i="1"/>
  <c r="O12487" i="1"/>
  <c r="E12487" i="1"/>
  <c r="B12487" i="1"/>
  <c r="O12486" i="1"/>
  <c r="E12486" i="1"/>
  <c r="B12486" i="1"/>
  <c r="O12485" i="1"/>
  <c r="E12485" i="1"/>
  <c r="B12485" i="1"/>
  <c r="O12484" i="1"/>
  <c r="E12484" i="1"/>
  <c r="B12484" i="1"/>
  <c r="O12483" i="1"/>
  <c r="E12483" i="1"/>
  <c r="B12483" i="1"/>
  <c r="O12482" i="1"/>
  <c r="E12482" i="1"/>
  <c r="B12482" i="1"/>
  <c r="O12481" i="1"/>
  <c r="E12481" i="1"/>
  <c r="B12481" i="1"/>
  <c r="O12480" i="1"/>
  <c r="E12480" i="1"/>
  <c r="B12480" i="1"/>
  <c r="O12479" i="1"/>
  <c r="E12479" i="1"/>
  <c r="B12479" i="1"/>
  <c r="O12478" i="1"/>
  <c r="E12478" i="1"/>
  <c r="B12478" i="1"/>
  <c r="O12477" i="1"/>
  <c r="E12477" i="1"/>
  <c r="B12477" i="1"/>
  <c r="O12476" i="1"/>
  <c r="E12476" i="1"/>
  <c r="B12476" i="1"/>
  <c r="O12475" i="1"/>
  <c r="E12475" i="1"/>
  <c r="B12475" i="1"/>
  <c r="O12474" i="1"/>
  <c r="E12474" i="1"/>
  <c r="B12474" i="1"/>
  <c r="O12473" i="1"/>
  <c r="E12473" i="1"/>
  <c r="B12473" i="1"/>
  <c r="O12472" i="1"/>
  <c r="E12472" i="1"/>
  <c r="B12472" i="1"/>
  <c r="O12471" i="1"/>
  <c r="E12471" i="1"/>
  <c r="B12471" i="1"/>
  <c r="O12470" i="1"/>
  <c r="E12470" i="1"/>
  <c r="B12470" i="1"/>
  <c r="O12469" i="1"/>
  <c r="E12469" i="1"/>
  <c r="B12469" i="1"/>
  <c r="O12468" i="1"/>
  <c r="E12468" i="1"/>
  <c r="B12468" i="1"/>
  <c r="O12467" i="1"/>
  <c r="E12467" i="1"/>
  <c r="B12467" i="1"/>
  <c r="O12466" i="1"/>
  <c r="E12466" i="1"/>
  <c r="B12466" i="1"/>
  <c r="O12465" i="1"/>
  <c r="E12465" i="1"/>
  <c r="B12465" i="1"/>
  <c r="O12464" i="1"/>
  <c r="E12464" i="1"/>
  <c r="B12464" i="1"/>
  <c r="O12463" i="1"/>
  <c r="E12463" i="1"/>
  <c r="B12463" i="1"/>
  <c r="O12462" i="1"/>
  <c r="E12462" i="1"/>
  <c r="B12462" i="1"/>
  <c r="O12461" i="1"/>
  <c r="E12461" i="1"/>
  <c r="B12461" i="1"/>
  <c r="O12460" i="1"/>
  <c r="E12460" i="1"/>
  <c r="B12460" i="1"/>
  <c r="O12459" i="1"/>
  <c r="E12459" i="1"/>
  <c r="B12459" i="1"/>
  <c r="O12458" i="1"/>
  <c r="E12458" i="1"/>
  <c r="B12458" i="1"/>
  <c r="O12457" i="1"/>
  <c r="E12457" i="1"/>
  <c r="B12457" i="1"/>
  <c r="O12456" i="1"/>
  <c r="E12456" i="1"/>
  <c r="B12456" i="1"/>
  <c r="O12455" i="1"/>
  <c r="E12455" i="1"/>
  <c r="B12455" i="1"/>
  <c r="O12454" i="1"/>
  <c r="E12454" i="1"/>
  <c r="B12454" i="1"/>
  <c r="O12453" i="1"/>
  <c r="E12453" i="1"/>
  <c r="B12453" i="1"/>
  <c r="O12452" i="1"/>
  <c r="E12452" i="1"/>
  <c r="B12452" i="1"/>
  <c r="O12451" i="1"/>
  <c r="E12451" i="1"/>
  <c r="B12451" i="1"/>
  <c r="O12450" i="1"/>
  <c r="E12450" i="1"/>
  <c r="B12450" i="1"/>
  <c r="O12449" i="1"/>
  <c r="E12449" i="1"/>
  <c r="B12449" i="1"/>
  <c r="O12448" i="1"/>
  <c r="E12448" i="1"/>
  <c r="B12448" i="1"/>
  <c r="O12447" i="1"/>
  <c r="E12447" i="1"/>
  <c r="B12447" i="1"/>
  <c r="O12446" i="1"/>
  <c r="E12446" i="1"/>
  <c r="B12446" i="1"/>
  <c r="O12445" i="1"/>
  <c r="E12445" i="1"/>
  <c r="B12445" i="1"/>
  <c r="O12444" i="1"/>
  <c r="E12444" i="1"/>
  <c r="B12444" i="1"/>
  <c r="O12443" i="1"/>
  <c r="E12443" i="1"/>
  <c r="B12443" i="1"/>
  <c r="O12442" i="1"/>
  <c r="E12442" i="1"/>
  <c r="B12442" i="1"/>
  <c r="O12441" i="1"/>
  <c r="E12441" i="1"/>
  <c r="B12441" i="1"/>
  <c r="O12440" i="1"/>
  <c r="E12440" i="1"/>
  <c r="B12440" i="1"/>
  <c r="O12439" i="1"/>
  <c r="E12439" i="1"/>
  <c r="B12439" i="1"/>
  <c r="O12438" i="1"/>
  <c r="E12438" i="1"/>
  <c r="B12438" i="1"/>
  <c r="O12437" i="1"/>
  <c r="E12437" i="1"/>
  <c r="B12437" i="1"/>
  <c r="O12436" i="1"/>
  <c r="E12436" i="1"/>
  <c r="B12436" i="1"/>
  <c r="O12435" i="1"/>
  <c r="E12435" i="1"/>
  <c r="B12435" i="1"/>
  <c r="O12434" i="1"/>
  <c r="E12434" i="1"/>
  <c r="B12434" i="1"/>
  <c r="O12433" i="1"/>
  <c r="E12433" i="1"/>
  <c r="B12433" i="1"/>
  <c r="O12432" i="1"/>
  <c r="E12432" i="1"/>
  <c r="B12432" i="1"/>
  <c r="O12431" i="1"/>
  <c r="E12431" i="1"/>
  <c r="B12431" i="1"/>
  <c r="O12430" i="1"/>
  <c r="E12430" i="1"/>
  <c r="B12430" i="1"/>
  <c r="O12429" i="1"/>
  <c r="E12429" i="1"/>
  <c r="B12429" i="1"/>
  <c r="O12428" i="1"/>
  <c r="E12428" i="1"/>
  <c r="B12428" i="1"/>
  <c r="O12427" i="1"/>
  <c r="E12427" i="1"/>
  <c r="B12427" i="1"/>
  <c r="O12426" i="1"/>
  <c r="E12426" i="1"/>
  <c r="B12426" i="1"/>
  <c r="O12425" i="1"/>
  <c r="E12425" i="1"/>
  <c r="B12425" i="1"/>
  <c r="O12424" i="1"/>
  <c r="E12424" i="1"/>
  <c r="B12424" i="1"/>
  <c r="O12423" i="1"/>
  <c r="E12423" i="1"/>
  <c r="B12423" i="1"/>
  <c r="O12422" i="1"/>
  <c r="E12422" i="1"/>
  <c r="B12422" i="1"/>
  <c r="O12421" i="1"/>
  <c r="E12421" i="1"/>
  <c r="B12421" i="1"/>
  <c r="O12420" i="1"/>
  <c r="E12420" i="1"/>
  <c r="B12420" i="1"/>
  <c r="O12419" i="1"/>
  <c r="E12419" i="1"/>
  <c r="B12419" i="1"/>
  <c r="O12418" i="1"/>
  <c r="E12418" i="1"/>
  <c r="B12418" i="1"/>
  <c r="O12417" i="1"/>
  <c r="E12417" i="1"/>
  <c r="B12417" i="1"/>
  <c r="O12416" i="1"/>
  <c r="E12416" i="1"/>
  <c r="B12416" i="1"/>
  <c r="O12415" i="1"/>
  <c r="E12415" i="1"/>
  <c r="B12415" i="1"/>
  <c r="O12414" i="1"/>
  <c r="E12414" i="1"/>
  <c r="B12414" i="1"/>
  <c r="O12413" i="1"/>
  <c r="E12413" i="1"/>
  <c r="B12413" i="1"/>
  <c r="O12412" i="1"/>
  <c r="E12412" i="1"/>
  <c r="B12412" i="1"/>
  <c r="O12411" i="1"/>
  <c r="E12411" i="1"/>
  <c r="B12411" i="1"/>
  <c r="O12410" i="1"/>
  <c r="E12410" i="1"/>
  <c r="B12410" i="1"/>
  <c r="O12409" i="1"/>
  <c r="E12409" i="1"/>
  <c r="B12409" i="1"/>
  <c r="O12408" i="1"/>
  <c r="E12408" i="1"/>
  <c r="B12408" i="1"/>
  <c r="O12407" i="1"/>
  <c r="E12407" i="1"/>
  <c r="B12407" i="1"/>
  <c r="O12406" i="1"/>
  <c r="E12406" i="1"/>
  <c r="B12406" i="1"/>
  <c r="O12405" i="1"/>
  <c r="E12405" i="1"/>
  <c r="B12405" i="1"/>
  <c r="O12404" i="1"/>
  <c r="E12404" i="1"/>
  <c r="B12404" i="1"/>
  <c r="O12403" i="1"/>
  <c r="E12403" i="1"/>
  <c r="B12403" i="1"/>
  <c r="O12402" i="1"/>
  <c r="E12402" i="1"/>
  <c r="B12402" i="1"/>
  <c r="O12401" i="1"/>
  <c r="E12401" i="1"/>
  <c r="B12401" i="1"/>
  <c r="O12400" i="1"/>
  <c r="E12400" i="1"/>
  <c r="B12400" i="1"/>
  <c r="O12399" i="1"/>
  <c r="E12399" i="1"/>
  <c r="B12399" i="1"/>
  <c r="O12398" i="1"/>
  <c r="E12398" i="1"/>
  <c r="B12398" i="1"/>
  <c r="O12397" i="1"/>
  <c r="E12397" i="1"/>
  <c r="B12397" i="1"/>
  <c r="O12396" i="1"/>
  <c r="E12396" i="1"/>
  <c r="B12396" i="1"/>
  <c r="O12395" i="1"/>
  <c r="E12395" i="1"/>
  <c r="B12395" i="1"/>
  <c r="O12394" i="1"/>
  <c r="E12394" i="1"/>
  <c r="B12394" i="1"/>
  <c r="O12393" i="1"/>
  <c r="E12393" i="1"/>
  <c r="B12393" i="1"/>
  <c r="O12392" i="1"/>
  <c r="E12392" i="1"/>
  <c r="B12392" i="1"/>
  <c r="O12391" i="1"/>
  <c r="E12391" i="1"/>
  <c r="B12391" i="1"/>
  <c r="O12390" i="1"/>
  <c r="E12390" i="1"/>
  <c r="B12390" i="1"/>
  <c r="O12389" i="1"/>
  <c r="E12389" i="1"/>
  <c r="B12389" i="1"/>
  <c r="O12388" i="1"/>
  <c r="E12388" i="1"/>
  <c r="B12388" i="1"/>
  <c r="O12387" i="1"/>
  <c r="E12387" i="1"/>
  <c r="B12387" i="1"/>
  <c r="O12386" i="1"/>
  <c r="E12386" i="1"/>
  <c r="B12386" i="1"/>
  <c r="O12385" i="1"/>
  <c r="E12385" i="1"/>
  <c r="B12385" i="1"/>
  <c r="O12384" i="1"/>
  <c r="E12384" i="1"/>
  <c r="B12384" i="1"/>
  <c r="O12383" i="1"/>
  <c r="E12383" i="1"/>
  <c r="B12383" i="1"/>
  <c r="O12382" i="1"/>
  <c r="E12382" i="1"/>
  <c r="B12382" i="1"/>
  <c r="O12381" i="1"/>
  <c r="E12381" i="1"/>
  <c r="B12381" i="1"/>
  <c r="O12380" i="1"/>
  <c r="E12380" i="1"/>
  <c r="B12380" i="1"/>
  <c r="O12379" i="1"/>
  <c r="E12379" i="1"/>
  <c r="B12379" i="1"/>
  <c r="O12378" i="1"/>
  <c r="E12378" i="1"/>
  <c r="B12378" i="1"/>
  <c r="O12377" i="1"/>
  <c r="E12377" i="1"/>
  <c r="B12377" i="1"/>
  <c r="O12376" i="1"/>
  <c r="E12376" i="1"/>
  <c r="B12376" i="1"/>
  <c r="O12375" i="1"/>
  <c r="E12375" i="1"/>
  <c r="B12375" i="1"/>
  <c r="O12374" i="1"/>
  <c r="E12374" i="1"/>
  <c r="B12374" i="1"/>
  <c r="O12373" i="1"/>
  <c r="E12373" i="1"/>
  <c r="B12373" i="1"/>
  <c r="O12372" i="1"/>
  <c r="E12372" i="1"/>
  <c r="B12372" i="1"/>
  <c r="O12371" i="1"/>
  <c r="E12371" i="1"/>
  <c r="B12371" i="1"/>
  <c r="O12370" i="1"/>
  <c r="E12370" i="1"/>
  <c r="B12370" i="1"/>
  <c r="O12369" i="1"/>
  <c r="E12369" i="1"/>
  <c r="B12369" i="1"/>
  <c r="O12368" i="1"/>
  <c r="E12368" i="1"/>
  <c r="B12368" i="1"/>
  <c r="O12367" i="1"/>
  <c r="E12367" i="1"/>
  <c r="B12367" i="1"/>
  <c r="O12366" i="1"/>
  <c r="E12366" i="1"/>
  <c r="B12366" i="1"/>
  <c r="O12365" i="1"/>
  <c r="E12365" i="1"/>
  <c r="B12365" i="1"/>
  <c r="O12364" i="1"/>
  <c r="E12364" i="1"/>
  <c r="B12364" i="1"/>
  <c r="O12363" i="1"/>
  <c r="E12363" i="1"/>
  <c r="B12363" i="1"/>
  <c r="O12362" i="1"/>
  <c r="E12362" i="1"/>
  <c r="B12362" i="1"/>
  <c r="O12361" i="1"/>
  <c r="E12361" i="1"/>
  <c r="B12361" i="1"/>
  <c r="O12360" i="1"/>
  <c r="E12360" i="1"/>
  <c r="B12360" i="1"/>
  <c r="O12359" i="1"/>
  <c r="E12359" i="1"/>
  <c r="B12359" i="1"/>
  <c r="O12358" i="1"/>
  <c r="E12358" i="1"/>
  <c r="B12358" i="1"/>
  <c r="O12357" i="1"/>
  <c r="E12357" i="1"/>
  <c r="B12357" i="1"/>
  <c r="O12356" i="1"/>
  <c r="E12356" i="1"/>
  <c r="B12356" i="1"/>
  <c r="O12355" i="1"/>
  <c r="E12355" i="1"/>
  <c r="B12355" i="1"/>
  <c r="O12354" i="1"/>
  <c r="E12354" i="1"/>
  <c r="B12354" i="1"/>
  <c r="O12353" i="1"/>
  <c r="E12353" i="1"/>
  <c r="B12353" i="1"/>
  <c r="O12352" i="1"/>
  <c r="E12352" i="1"/>
  <c r="B12352" i="1"/>
  <c r="O12351" i="1"/>
  <c r="E12351" i="1"/>
  <c r="B12351" i="1"/>
  <c r="O12350" i="1"/>
  <c r="E12350" i="1"/>
  <c r="B12350" i="1"/>
  <c r="O12349" i="1"/>
  <c r="E12349" i="1"/>
  <c r="B12349" i="1"/>
  <c r="O12348" i="1"/>
  <c r="E12348" i="1"/>
  <c r="B12348" i="1"/>
  <c r="O12347" i="1"/>
  <c r="E12347" i="1"/>
  <c r="B12347" i="1"/>
  <c r="O12346" i="1"/>
  <c r="E12346" i="1"/>
  <c r="B12346" i="1"/>
  <c r="O12345" i="1"/>
  <c r="E12345" i="1"/>
  <c r="B12345" i="1"/>
  <c r="O12344" i="1"/>
  <c r="E12344" i="1"/>
  <c r="B12344" i="1"/>
  <c r="O12343" i="1"/>
  <c r="E12343" i="1"/>
  <c r="B12343" i="1"/>
  <c r="O12342" i="1"/>
  <c r="E12342" i="1"/>
  <c r="B12342" i="1"/>
  <c r="O12341" i="1"/>
  <c r="E12341" i="1"/>
  <c r="B12341" i="1"/>
  <c r="O12340" i="1"/>
  <c r="E12340" i="1"/>
  <c r="B12340" i="1"/>
  <c r="O12339" i="1"/>
  <c r="E12339" i="1"/>
  <c r="B12339" i="1"/>
  <c r="O12338" i="1"/>
  <c r="E12338" i="1"/>
  <c r="B12338" i="1"/>
  <c r="O12337" i="1"/>
  <c r="E12337" i="1"/>
  <c r="B12337" i="1"/>
  <c r="O12336" i="1"/>
  <c r="E12336" i="1"/>
  <c r="B12336" i="1"/>
  <c r="O12335" i="1"/>
  <c r="E12335" i="1"/>
  <c r="B12335" i="1"/>
  <c r="O12334" i="1"/>
  <c r="E12334" i="1"/>
  <c r="B12334" i="1"/>
  <c r="O12333" i="1"/>
  <c r="E12333" i="1"/>
  <c r="B12333" i="1"/>
  <c r="O12332" i="1"/>
  <c r="E12332" i="1"/>
  <c r="B12332" i="1"/>
  <c r="O12331" i="1"/>
  <c r="E12331" i="1"/>
  <c r="B12331" i="1"/>
  <c r="O12330" i="1"/>
  <c r="E12330" i="1"/>
  <c r="B12330" i="1"/>
  <c r="O12329" i="1"/>
  <c r="E12329" i="1"/>
  <c r="B12329" i="1"/>
  <c r="O12328" i="1"/>
  <c r="E12328" i="1"/>
  <c r="B12328" i="1"/>
  <c r="O12327" i="1"/>
  <c r="E12327" i="1"/>
  <c r="B12327" i="1"/>
  <c r="O12326" i="1"/>
  <c r="E12326" i="1"/>
  <c r="B12326" i="1"/>
  <c r="O12325" i="1"/>
  <c r="E12325" i="1"/>
  <c r="B12325" i="1"/>
  <c r="O12324" i="1"/>
  <c r="E12324" i="1"/>
  <c r="B12324" i="1"/>
  <c r="O12323" i="1"/>
  <c r="E12323" i="1"/>
  <c r="B12323" i="1"/>
  <c r="O12322" i="1"/>
  <c r="E12322" i="1"/>
  <c r="B12322" i="1"/>
  <c r="O12321" i="1"/>
  <c r="E12321" i="1"/>
  <c r="B12321" i="1"/>
  <c r="O12320" i="1"/>
  <c r="E12320" i="1"/>
  <c r="B12320" i="1"/>
  <c r="O12319" i="1"/>
  <c r="E12319" i="1"/>
  <c r="B12319" i="1"/>
  <c r="O12318" i="1"/>
  <c r="E12318" i="1"/>
  <c r="B12318" i="1"/>
  <c r="O12317" i="1"/>
  <c r="E12317" i="1"/>
  <c r="B12317" i="1"/>
  <c r="O12316" i="1"/>
  <c r="E12316" i="1"/>
  <c r="B12316" i="1"/>
  <c r="O12315" i="1"/>
  <c r="E12315" i="1"/>
  <c r="B12315" i="1"/>
  <c r="O12314" i="1"/>
  <c r="E12314" i="1"/>
  <c r="B12314" i="1"/>
  <c r="O12313" i="1"/>
  <c r="E12313" i="1"/>
  <c r="B12313" i="1"/>
  <c r="O12312" i="1"/>
  <c r="E12312" i="1"/>
  <c r="B12312" i="1"/>
  <c r="O12311" i="1"/>
  <c r="E12311" i="1"/>
  <c r="B12311" i="1"/>
  <c r="O12310" i="1"/>
  <c r="E12310" i="1"/>
  <c r="B12310" i="1"/>
  <c r="O12309" i="1"/>
  <c r="E12309" i="1"/>
  <c r="B12309" i="1"/>
  <c r="O12308" i="1"/>
  <c r="E12308" i="1"/>
  <c r="B12308" i="1"/>
  <c r="O12307" i="1"/>
  <c r="E12307" i="1"/>
  <c r="B12307" i="1"/>
  <c r="O12306" i="1"/>
  <c r="E12306" i="1"/>
  <c r="B12306" i="1"/>
  <c r="O12305" i="1"/>
  <c r="E12305" i="1"/>
  <c r="B12305" i="1"/>
  <c r="O12304" i="1"/>
  <c r="E12304" i="1"/>
  <c r="B12304" i="1"/>
  <c r="O12303" i="1"/>
  <c r="E12303" i="1"/>
  <c r="B12303" i="1"/>
  <c r="O12302" i="1"/>
  <c r="E12302" i="1"/>
  <c r="B12302" i="1"/>
  <c r="O12301" i="1"/>
  <c r="E12301" i="1"/>
  <c r="B12301" i="1"/>
  <c r="O12300" i="1"/>
  <c r="E12300" i="1"/>
  <c r="B12300" i="1"/>
  <c r="O12299" i="1"/>
  <c r="E12299" i="1"/>
  <c r="B12299" i="1"/>
  <c r="O12298" i="1"/>
  <c r="E12298" i="1"/>
  <c r="B12298" i="1"/>
  <c r="O12297" i="1"/>
  <c r="E12297" i="1"/>
  <c r="B12297" i="1"/>
  <c r="O12296" i="1"/>
  <c r="E12296" i="1"/>
  <c r="B12296" i="1"/>
  <c r="O12295" i="1"/>
  <c r="E12295" i="1"/>
  <c r="B12295" i="1"/>
  <c r="O12294" i="1"/>
  <c r="E12294" i="1"/>
  <c r="B12294" i="1"/>
  <c r="O12293" i="1"/>
  <c r="E12293" i="1"/>
  <c r="B12293" i="1"/>
  <c r="O12292" i="1"/>
  <c r="E12292" i="1"/>
  <c r="B12292" i="1"/>
  <c r="O12291" i="1"/>
  <c r="E12291" i="1"/>
  <c r="B12291" i="1"/>
  <c r="O12290" i="1"/>
  <c r="E12290" i="1"/>
  <c r="B12290" i="1"/>
  <c r="O12289" i="1"/>
  <c r="E12289" i="1"/>
  <c r="B12289" i="1"/>
  <c r="O12288" i="1"/>
  <c r="E12288" i="1"/>
  <c r="B12288" i="1"/>
  <c r="O12287" i="1"/>
  <c r="E12287" i="1"/>
  <c r="B12287" i="1"/>
  <c r="O12286" i="1"/>
  <c r="E12286" i="1"/>
  <c r="B12286" i="1"/>
  <c r="O12285" i="1"/>
  <c r="E12285" i="1"/>
  <c r="B12285" i="1"/>
  <c r="O12284" i="1"/>
  <c r="E12284" i="1"/>
  <c r="B12284" i="1"/>
  <c r="O12283" i="1"/>
  <c r="E12283" i="1"/>
  <c r="B12283" i="1"/>
  <c r="O12282" i="1"/>
  <c r="E12282" i="1"/>
  <c r="B12282" i="1"/>
  <c r="O12281" i="1"/>
  <c r="E12281" i="1"/>
  <c r="B12281" i="1"/>
  <c r="O12280" i="1"/>
  <c r="E12280" i="1"/>
  <c r="B12280" i="1"/>
  <c r="O12279" i="1"/>
  <c r="E12279" i="1"/>
  <c r="B12279" i="1"/>
  <c r="O12278" i="1"/>
  <c r="E12278" i="1"/>
  <c r="B12278" i="1"/>
  <c r="O12277" i="1"/>
  <c r="E12277" i="1"/>
  <c r="B12277" i="1"/>
  <c r="O12276" i="1"/>
  <c r="E12276" i="1"/>
  <c r="B12276" i="1"/>
  <c r="O12275" i="1"/>
  <c r="E12275" i="1"/>
  <c r="B12275" i="1"/>
  <c r="O12274" i="1"/>
  <c r="E12274" i="1"/>
  <c r="B12274" i="1"/>
  <c r="O12273" i="1"/>
  <c r="E12273" i="1"/>
  <c r="B12273" i="1"/>
  <c r="O12272" i="1"/>
  <c r="E12272" i="1"/>
  <c r="B12272" i="1"/>
  <c r="O12271" i="1"/>
  <c r="E12271" i="1"/>
  <c r="B12271" i="1"/>
  <c r="O12270" i="1"/>
  <c r="E12270" i="1"/>
  <c r="B12270" i="1"/>
  <c r="O12269" i="1"/>
  <c r="E12269" i="1"/>
  <c r="B12269" i="1"/>
  <c r="O12268" i="1"/>
  <c r="E12268" i="1"/>
  <c r="B12268" i="1"/>
  <c r="O12267" i="1"/>
  <c r="E12267" i="1"/>
  <c r="B12267" i="1"/>
  <c r="O12266" i="1"/>
  <c r="E12266" i="1"/>
  <c r="B12266" i="1"/>
  <c r="O12265" i="1"/>
  <c r="E12265" i="1"/>
  <c r="B12265" i="1"/>
  <c r="O12264" i="1"/>
  <c r="E12264" i="1"/>
  <c r="B12264" i="1"/>
  <c r="O12263" i="1"/>
  <c r="E12263" i="1"/>
  <c r="B12263" i="1"/>
  <c r="O12262" i="1"/>
  <c r="E12262" i="1"/>
  <c r="B12262" i="1"/>
  <c r="O12261" i="1"/>
  <c r="E12261" i="1"/>
  <c r="B12261" i="1"/>
  <c r="O12260" i="1"/>
  <c r="E12260" i="1"/>
  <c r="B12260" i="1"/>
  <c r="O12259" i="1"/>
  <c r="E12259" i="1"/>
  <c r="B12259" i="1"/>
  <c r="O12258" i="1"/>
  <c r="E12258" i="1"/>
  <c r="B12258" i="1"/>
  <c r="O12257" i="1"/>
  <c r="E12257" i="1"/>
  <c r="B12257" i="1"/>
  <c r="O12256" i="1"/>
  <c r="E12256" i="1"/>
  <c r="B12256" i="1"/>
  <c r="O12255" i="1"/>
  <c r="E12255" i="1"/>
  <c r="B12255" i="1"/>
  <c r="O12254" i="1"/>
  <c r="E12254" i="1"/>
  <c r="B12254" i="1"/>
  <c r="O12253" i="1"/>
  <c r="E12253" i="1"/>
  <c r="B12253" i="1"/>
  <c r="O12252" i="1"/>
  <c r="E12252" i="1"/>
  <c r="B12252" i="1"/>
  <c r="O12251" i="1"/>
  <c r="E12251" i="1"/>
  <c r="B12251" i="1"/>
  <c r="O12250" i="1"/>
  <c r="E12250" i="1"/>
  <c r="B12250" i="1"/>
  <c r="O12249" i="1"/>
  <c r="E12249" i="1"/>
  <c r="B12249" i="1"/>
  <c r="O12248" i="1"/>
  <c r="E12248" i="1"/>
  <c r="B12248" i="1"/>
  <c r="O12247" i="1"/>
  <c r="E12247" i="1"/>
  <c r="B12247" i="1"/>
  <c r="O12246" i="1"/>
  <c r="E12246" i="1"/>
  <c r="B12246" i="1"/>
  <c r="O12245" i="1"/>
  <c r="E12245" i="1"/>
  <c r="B12245" i="1"/>
  <c r="O12244" i="1"/>
  <c r="E12244" i="1"/>
  <c r="B12244" i="1"/>
  <c r="O12243" i="1"/>
  <c r="E12243" i="1"/>
  <c r="B12243" i="1"/>
  <c r="O12242" i="1"/>
  <c r="E12242" i="1"/>
  <c r="B12242" i="1"/>
  <c r="O12241" i="1"/>
  <c r="E12241" i="1"/>
  <c r="B12241" i="1"/>
  <c r="O12240" i="1"/>
  <c r="E12240" i="1"/>
  <c r="B12240" i="1"/>
  <c r="O12239" i="1"/>
  <c r="E12239" i="1"/>
  <c r="B12239" i="1"/>
  <c r="O12238" i="1"/>
  <c r="E12238" i="1"/>
  <c r="B12238" i="1"/>
  <c r="O12237" i="1"/>
  <c r="E12237" i="1"/>
  <c r="B12237" i="1"/>
  <c r="O12236" i="1"/>
  <c r="E12236" i="1"/>
  <c r="B12236" i="1"/>
  <c r="O12235" i="1"/>
  <c r="E12235" i="1"/>
  <c r="B12235" i="1"/>
  <c r="O12234" i="1"/>
  <c r="E12234" i="1"/>
  <c r="B12234" i="1"/>
  <c r="O12233" i="1"/>
  <c r="E12233" i="1"/>
  <c r="B12233" i="1"/>
  <c r="O12232" i="1"/>
  <c r="E12232" i="1"/>
  <c r="B12232" i="1"/>
  <c r="O12231" i="1"/>
  <c r="E12231" i="1"/>
  <c r="B12231" i="1"/>
  <c r="O12230" i="1"/>
  <c r="E12230" i="1"/>
  <c r="B12230" i="1"/>
  <c r="O12229" i="1"/>
  <c r="E12229" i="1"/>
  <c r="B12229" i="1"/>
  <c r="O12228" i="1"/>
  <c r="E12228" i="1"/>
  <c r="B12228" i="1"/>
  <c r="O12227" i="1"/>
  <c r="E12227" i="1"/>
  <c r="B12227" i="1"/>
  <c r="O12226" i="1"/>
  <c r="E12226" i="1"/>
  <c r="B12226" i="1"/>
  <c r="O12225" i="1"/>
  <c r="E12225" i="1"/>
  <c r="B12225" i="1"/>
  <c r="O12224" i="1"/>
  <c r="E12224" i="1"/>
  <c r="B12224" i="1"/>
  <c r="O12223" i="1"/>
  <c r="E12223" i="1"/>
  <c r="B12223" i="1"/>
  <c r="O12222" i="1"/>
  <c r="E12222" i="1"/>
  <c r="B12222" i="1"/>
  <c r="O12221" i="1"/>
  <c r="E12221" i="1"/>
  <c r="B12221" i="1"/>
  <c r="O12220" i="1"/>
  <c r="E12220" i="1"/>
  <c r="B12220" i="1"/>
  <c r="O12219" i="1"/>
  <c r="E12219" i="1"/>
  <c r="B12219" i="1"/>
  <c r="O12218" i="1"/>
  <c r="E12218" i="1"/>
  <c r="B12218" i="1"/>
  <c r="O12217" i="1"/>
  <c r="E12217" i="1"/>
  <c r="B12217" i="1"/>
  <c r="O12216" i="1"/>
  <c r="E12216" i="1"/>
  <c r="B12216" i="1"/>
  <c r="O12215" i="1"/>
  <c r="E12215" i="1"/>
  <c r="B12215" i="1"/>
  <c r="O12214" i="1"/>
  <c r="E12214" i="1"/>
  <c r="B12214" i="1"/>
  <c r="O12213" i="1"/>
  <c r="E12213" i="1"/>
  <c r="B12213" i="1"/>
  <c r="O12212" i="1"/>
  <c r="E12212" i="1"/>
  <c r="B12212" i="1"/>
  <c r="O12211" i="1"/>
  <c r="E12211" i="1"/>
  <c r="B12211" i="1"/>
  <c r="O12210" i="1"/>
  <c r="E12210" i="1"/>
  <c r="B12210" i="1"/>
  <c r="O12209" i="1"/>
  <c r="E12209" i="1"/>
  <c r="B12209" i="1"/>
  <c r="O12208" i="1"/>
  <c r="E12208" i="1"/>
  <c r="B12208" i="1"/>
  <c r="O12207" i="1"/>
  <c r="E12207" i="1"/>
  <c r="B12207" i="1"/>
  <c r="O12206" i="1"/>
  <c r="E12206" i="1"/>
  <c r="B12206" i="1"/>
  <c r="O12205" i="1"/>
  <c r="E12205" i="1"/>
  <c r="B12205" i="1"/>
  <c r="O12204" i="1"/>
  <c r="E12204" i="1"/>
  <c r="B12204" i="1"/>
  <c r="O12203" i="1"/>
  <c r="E12203" i="1"/>
  <c r="B12203" i="1"/>
  <c r="O12202" i="1"/>
  <c r="E12202" i="1"/>
  <c r="B12202" i="1"/>
  <c r="O12201" i="1"/>
  <c r="E12201" i="1"/>
  <c r="B12201" i="1"/>
  <c r="O12200" i="1"/>
  <c r="E12200" i="1"/>
  <c r="B12200" i="1"/>
  <c r="O12199" i="1"/>
  <c r="E12199" i="1"/>
  <c r="B12199" i="1"/>
  <c r="O12198" i="1"/>
  <c r="E12198" i="1"/>
  <c r="B12198" i="1"/>
  <c r="O12197" i="1"/>
  <c r="E12197" i="1"/>
  <c r="B12197" i="1"/>
  <c r="O12196" i="1"/>
  <c r="E12196" i="1"/>
  <c r="B12196" i="1"/>
  <c r="O12195" i="1"/>
  <c r="E12195" i="1"/>
  <c r="B12195" i="1"/>
  <c r="O12194" i="1"/>
  <c r="E12194" i="1"/>
  <c r="B12194" i="1"/>
  <c r="O12193" i="1"/>
  <c r="E12193" i="1"/>
  <c r="B12193" i="1"/>
  <c r="O12192" i="1"/>
  <c r="E12192" i="1"/>
  <c r="B12192" i="1"/>
  <c r="O12191" i="1"/>
  <c r="E12191" i="1"/>
  <c r="B12191" i="1"/>
  <c r="O12190" i="1"/>
  <c r="E12190" i="1"/>
  <c r="B12190" i="1"/>
  <c r="O12189" i="1"/>
  <c r="E12189" i="1"/>
  <c r="B12189" i="1"/>
  <c r="O12188" i="1"/>
  <c r="E12188" i="1"/>
  <c r="B12188" i="1"/>
  <c r="O12187" i="1"/>
  <c r="E12187" i="1"/>
  <c r="B12187" i="1"/>
  <c r="O12186" i="1"/>
  <c r="E12186" i="1"/>
  <c r="B12186" i="1"/>
  <c r="O12185" i="1"/>
  <c r="E12185" i="1"/>
  <c r="B12185" i="1"/>
  <c r="O12184" i="1"/>
  <c r="E12184" i="1"/>
  <c r="B12184" i="1"/>
  <c r="O12183" i="1"/>
  <c r="E12183" i="1"/>
  <c r="B12183" i="1"/>
  <c r="O12182" i="1"/>
  <c r="E12182" i="1"/>
  <c r="B12182" i="1"/>
  <c r="O12181" i="1"/>
  <c r="E12181" i="1"/>
  <c r="B12181" i="1"/>
  <c r="O12180" i="1"/>
  <c r="E12180" i="1"/>
  <c r="B12180" i="1"/>
  <c r="O12179" i="1"/>
  <c r="E12179" i="1"/>
  <c r="B12179" i="1"/>
  <c r="O12178" i="1"/>
  <c r="E12178" i="1"/>
  <c r="B12178" i="1"/>
  <c r="O12177" i="1"/>
  <c r="E12177" i="1"/>
  <c r="B12177" i="1"/>
  <c r="O12176" i="1"/>
  <c r="E12176" i="1"/>
  <c r="B12176" i="1"/>
  <c r="O12175" i="1"/>
  <c r="E12175" i="1"/>
  <c r="B12175" i="1"/>
  <c r="O12174" i="1"/>
  <c r="E12174" i="1"/>
  <c r="B12174" i="1"/>
  <c r="O12173" i="1"/>
  <c r="E12173" i="1"/>
  <c r="B12173" i="1"/>
  <c r="O12172" i="1"/>
  <c r="E12172" i="1"/>
  <c r="B12172" i="1"/>
  <c r="O12171" i="1"/>
  <c r="E12171" i="1"/>
  <c r="B12171" i="1"/>
  <c r="O12170" i="1"/>
  <c r="E12170" i="1"/>
  <c r="B12170" i="1"/>
  <c r="O12169" i="1"/>
  <c r="E12169" i="1"/>
  <c r="B12169" i="1"/>
  <c r="O12168" i="1"/>
  <c r="E12168" i="1"/>
  <c r="B12168" i="1"/>
  <c r="O12167" i="1"/>
  <c r="E12167" i="1"/>
  <c r="B12167" i="1"/>
  <c r="O12166" i="1"/>
  <c r="E12166" i="1"/>
  <c r="B12166" i="1"/>
  <c r="O12165" i="1"/>
  <c r="E12165" i="1"/>
  <c r="B12165" i="1"/>
  <c r="O12164" i="1"/>
  <c r="E12164" i="1"/>
  <c r="B12164" i="1"/>
  <c r="O12163" i="1"/>
  <c r="E12163" i="1"/>
  <c r="B12163" i="1"/>
  <c r="O12162" i="1"/>
  <c r="E12162" i="1"/>
  <c r="B12162" i="1"/>
  <c r="O12161" i="1"/>
  <c r="E12161" i="1"/>
  <c r="B12161" i="1"/>
  <c r="O12160" i="1"/>
  <c r="E12160" i="1"/>
  <c r="B12160" i="1"/>
  <c r="O12159" i="1"/>
  <c r="E12159" i="1"/>
  <c r="B12159" i="1"/>
  <c r="O12158" i="1"/>
  <c r="E12158" i="1"/>
  <c r="B12158" i="1"/>
  <c r="O12157" i="1"/>
  <c r="E12157" i="1"/>
  <c r="B12157" i="1"/>
  <c r="O12156" i="1"/>
  <c r="E12156" i="1"/>
  <c r="B12156" i="1"/>
  <c r="O12155" i="1"/>
  <c r="E12155" i="1"/>
  <c r="B12155" i="1"/>
  <c r="O12154" i="1"/>
  <c r="E12154" i="1"/>
  <c r="B12154" i="1"/>
  <c r="O12153" i="1"/>
  <c r="E12153" i="1"/>
  <c r="B12153" i="1"/>
  <c r="O12152" i="1"/>
  <c r="E12152" i="1"/>
  <c r="B12152" i="1"/>
  <c r="O12151" i="1"/>
  <c r="E12151" i="1"/>
  <c r="B12151" i="1"/>
  <c r="O12150" i="1"/>
  <c r="E12150" i="1"/>
  <c r="B12150" i="1"/>
  <c r="O12149" i="1"/>
  <c r="E12149" i="1"/>
  <c r="B12149" i="1"/>
  <c r="O12148" i="1"/>
  <c r="E12148" i="1"/>
  <c r="B12148" i="1"/>
  <c r="O12147" i="1"/>
  <c r="E12147" i="1"/>
  <c r="B12147" i="1"/>
  <c r="O12146" i="1"/>
  <c r="E12146" i="1"/>
  <c r="B12146" i="1"/>
  <c r="O12145" i="1"/>
  <c r="E12145" i="1"/>
  <c r="B12145" i="1"/>
  <c r="O12144" i="1"/>
  <c r="E12144" i="1"/>
  <c r="B12144" i="1"/>
  <c r="O12143" i="1"/>
  <c r="E12143" i="1"/>
  <c r="B12143" i="1"/>
  <c r="O12142" i="1"/>
  <c r="E12142" i="1"/>
  <c r="B12142" i="1"/>
  <c r="O12141" i="1"/>
  <c r="E12141" i="1"/>
  <c r="B12141" i="1"/>
  <c r="O12140" i="1"/>
  <c r="E12140" i="1"/>
  <c r="B12140" i="1"/>
  <c r="O12139" i="1"/>
  <c r="E12139" i="1"/>
  <c r="B12139" i="1"/>
  <c r="O12138" i="1"/>
  <c r="E12138" i="1"/>
  <c r="B12138" i="1"/>
  <c r="O12137" i="1"/>
  <c r="E12137" i="1"/>
  <c r="B12137" i="1"/>
  <c r="O12136" i="1"/>
  <c r="E12136" i="1"/>
  <c r="B12136" i="1"/>
  <c r="O12135" i="1"/>
  <c r="E12135" i="1"/>
  <c r="B12135" i="1"/>
  <c r="O12134" i="1"/>
  <c r="E12134" i="1"/>
  <c r="B12134" i="1"/>
  <c r="O12133" i="1"/>
  <c r="E12133" i="1"/>
  <c r="B12133" i="1"/>
  <c r="O12132" i="1"/>
  <c r="E12132" i="1"/>
  <c r="B12132" i="1"/>
  <c r="O12131" i="1"/>
  <c r="E12131" i="1"/>
  <c r="B12131" i="1"/>
  <c r="O12130" i="1"/>
  <c r="E12130" i="1"/>
  <c r="B12130" i="1"/>
  <c r="O12129" i="1"/>
  <c r="E12129" i="1"/>
  <c r="B12129" i="1"/>
  <c r="O12128" i="1"/>
  <c r="E12128" i="1"/>
  <c r="B12128" i="1"/>
  <c r="O12127" i="1"/>
  <c r="E12127" i="1"/>
  <c r="B12127" i="1"/>
  <c r="O12126" i="1"/>
  <c r="E12126" i="1"/>
  <c r="B12126" i="1"/>
  <c r="O12125" i="1"/>
  <c r="E12125" i="1"/>
  <c r="B12125" i="1"/>
  <c r="O12124" i="1"/>
  <c r="E12124" i="1"/>
  <c r="B12124" i="1"/>
  <c r="O12123" i="1"/>
  <c r="E12123" i="1"/>
  <c r="B12123" i="1"/>
  <c r="O12122" i="1"/>
  <c r="E12122" i="1"/>
  <c r="B12122" i="1"/>
  <c r="O12121" i="1"/>
  <c r="E12121" i="1"/>
  <c r="B12121" i="1"/>
  <c r="O12120" i="1"/>
  <c r="E12120" i="1"/>
  <c r="B12120" i="1"/>
  <c r="O12119" i="1"/>
  <c r="E12119" i="1"/>
  <c r="B12119" i="1"/>
  <c r="O12118" i="1"/>
  <c r="E12118" i="1"/>
  <c r="B12118" i="1"/>
  <c r="O12117" i="1"/>
  <c r="E12117" i="1"/>
  <c r="B12117" i="1"/>
  <c r="O12116" i="1"/>
  <c r="E12116" i="1"/>
  <c r="B12116" i="1"/>
  <c r="O12115" i="1"/>
  <c r="E12115" i="1"/>
  <c r="B12115" i="1"/>
  <c r="O12114" i="1"/>
  <c r="E12114" i="1"/>
  <c r="B12114" i="1"/>
  <c r="O12113" i="1"/>
  <c r="E12113" i="1"/>
  <c r="B12113" i="1"/>
  <c r="O12112" i="1"/>
  <c r="E12112" i="1"/>
  <c r="B12112" i="1"/>
  <c r="O12111" i="1"/>
  <c r="E12111" i="1"/>
  <c r="B12111" i="1"/>
  <c r="O12110" i="1"/>
  <c r="E12110" i="1"/>
  <c r="B12110" i="1"/>
  <c r="O12109" i="1"/>
  <c r="E12109" i="1"/>
  <c r="B12109" i="1"/>
  <c r="O12108" i="1"/>
  <c r="E12108" i="1"/>
  <c r="B12108" i="1"/>
  <c r="O12107" i="1"/>
  <c r="E12107" i="1"/>
  <c r="B12107" i="1"/>
  <c r="O12106" i="1"/>
  <c r="E12106" i="1"/>
  <c r="B12106" i="1"/>
  <c r="O12105" i="1"/>
  <c r="E12105" i="1"/>
  <c r="B12105" i="1"/>
  <c r="O12104" i="1"/>
  <c r="E12104" i="1"/>
  <c r="B12104" i="1"/>
  <c r="O12103" i="1"/>
  <c r="E12103" i="1"/>
  <c r="B12103" i="1"/>
  <c r="O12102" i="1"/>
  <c r="E12102" i="1"/>
  <c r="B12102" i="1"/>
  <c r="O12101" i="1"/>
  <c r="E12101" i="1"/>
  <c r="B12101" i="1"/>
  <c r="O12100" i="1"/>
  <c r="E12100" i="1"/>
  <c r="B12100" i="1"/>
  <c r="O12099" i="1"/>
  <c r="E12099" i="1"/>
  <c r="B12099" i="1"/>
  <c r="O12098" i="1"/>
  <c r="E12098" i="1"/>
  <c r="B12098" i="1"/>
  <c r="O12097" i="1"/>
  <c r="E12097" i="1"/>
  <c r="B12097" i="1"/>
  <c r="O12096" i="1"/>
  <c r="E12096" i="1"/>
  <c r="B12096" i="1"/>
  <c r="O12095" i="1"/>
  <c r="E12095" i="1"/>
  <c r="B12095" i="1"/>
  <c r="O12094" i="1"/>
  <c r="E12094" i="1"/>
  <c r="B12094" i="1"/>
  <c r="O12093" i="1"/>
  <c r="E12093" i="1"/>
  <c r="B12093" i="1"/>
  <c r="O12092" i="1"/>
  <c r="E12092" i="1"/>
  <c r="B12092" i="1"/>
  <c r="O12091" i="1"/>
  <c r="E12091" i="1"/>
  <c r="B12091" i="1"/>
  <c r="O12090" i="1"/>
  <c r="E12090" i="1"/>
  <c r="B12090" i="1"/>
  <c r="O12089" i="1"/>
  <c r="E12089" i="1"/>
  <c r="B12089" i="1"/>
  <c r="O12088" i="1"/>
  <c r="E12088" i="1"/>
  <c r="B12088" i="1"/>
  <c r="O12087" i="1"/>
  <c r="E12087" i="1"/>
  <c r="B12087" i="1"/>
  <c r="O12086" i="1"/>
  <c r="E12086" i="1"/>
  <c r="B12086" i="1"/>
  <c r="O12085" i="1"/>
  <c r="E12085" i="1"/>
  <c r="B12085" i="1"/>
  <c r="O12084" i="1"/>
  <c r="E12084" i="1"/>
  <c r="B12084" i="1"/>
  <c r="O12083" i="1"/>
  <c r="E12083" i="1"/>
  <c r="B12083" i="1"/>
  <c r="O12082" i="1"/>
  <c r="E12082" i="1"/>
  <c r="B12082" i="1"/>
  <c r="O12081" i="1"/>
  <c r="E12081" i="1"/>
  <c r="B12081" i="1"/>
  <c r="O12080" i="1"/>
  <c r="E12080" i="1"/>
  <c r="B12080" i="1"/>
  <c r="O12079" i="1"/>
  <c r="E12079" i="1"/>
  <c r="B12079" i="1"/>
  <c r="O12078" i="1"/>
  <c r="E12078" i="1"/>
  <c r="B12078" i="1"/>
  <c r="O12077" i="1"/>
  <c r="E12077" i="1"/>
  <c r="B12077" i="1"/>
  <c r="O12076" i="1"/>
  <c r="E12076" i="1"/>
  <c r="B12076" i="1"/>
  <c r="O12075" i="1"/>
  <c r="E12075" i="1"/>
  <c r="B12075" i="1"/>
  <c r="O12074" i="1"/>
  <c r="E12074" i="1"/>
  <c r="B12074" i="1"/>
  <c r="O12073" i="1"/>
  <c r="E12073" i="1"/>
  <c r="B12073" i="1"/>
  <c r="O12072" i="1"/>
  <c r="E12072" i="1"/>
  <c r="B12072" i="1"/>
  <c r="O12071" i="1"/>
  <c r="E12071" i="1"/>
  <c r="B12071" i="1"/>
  <c r="O12070" i="1"/>
  <c r="E12070" i="1"/>
  <c r="B12070" i="1"/>
  <c r="O12069" i="1"/>
  <c r="E12069" i="1"/>
  <c r="B12069" i="1"/>
  <c r="O12068" i="1"/>
  <c r="E12068" i="1"/>
  <c r="B12068" i="1"/>
  <c r="O12067" i="1"/>
  <c r="E12067" i="1"/>
  <c r="B12067" i="1"/>
  <c r="O12066" i="1"/>
  <c r="E12066" i="1"/>
  <c r="B12066" i="1"/>
  <c r="O12065" i="1"/>
  <c r="E12065" i="1"/>
  <c r="B12065" i="1"/>
  <c r="O12064" i="1"/>
  <c r="E12064" i="1"/>
  <c r="B12064" i="1"/>
  <c r="O12063" i="1"/>
  <c r="E12063" i="1"/>
  <c r="B12063" i="1"/>
  <c r="O12062" i="1"/>
  <c r="E12062" i="1"/>
  <c r="B12062" i="1"/>
  <c r="O12061" i="1"/>
  <c r="E12061" i="1"/>
  <c r="B12061" i="1"/>
  <c r="O12060" i="1"/>
  <c r="E12060" i="1"/>
  <c r="B12060" i="1"/>
  <c r="O12059" i="1"/>
  <c r="E12059" i="1"/>
  <c r="B12059" i="1"/>
  <c r="O12058" i="1"/>
  <c r="E12058" i="1"/>
  <c r="B12058" i="1"/>
  <c r="O12057" i="1"/>
  <c r="E12057" i="1"/>
  <c r="B12057" i="1"/>
  <c r="O12056" i="1"/>
  <c r="E12056" i="1"/>
  <c r="B12056" i="1"/>
  <c r="O12055" i="1"/>
  <c r="E12055" i="1"/>
  <c r="B12055" i="1"/>
  <c r="O12054" i="1"/>
  <c r="E12054" i="1"/>
  <c r="B12054" i="1"/>
  <c r="O12053" i="1"/>
  <c r="E12053" i="1"/>
  <c r="B12053" i="1"/>
  <c r="O12052" i="1"/>
  <c r="E12052" i="1"/>
  <c r="B12052" i="1"/>
  <c r="O12051" i="1"/>
  <c r="E12051" i="1"/>
  <c r="B12051" i="1"/>
  <c r="O12050" i="1"/>
  <c r="E12050" i="1"/>
  <c r="B12050" i="1"/>
  <c r="O12049" i="1"/>
  <c r="E12049" i="1"/>
  <c r="B12049" i="1"/>
  <c r="O12048" i="1"/>
  <c r="E12048" i="1"/>
  <c r="B12048" i="1"/>
  <c r="O12047" i="1"/>
  <c r="E12047" i="1"/>
  <c r="B12047" i="1"/>
  <c r="O12046" i="1"/>
  <c r="E12046" i="1"/>
  <c r="B12046" i="1"/>
  <c r="O12045" i="1"/>
  <c r="E12045" i="1"/>
  <c r="B12045" i="1"/>
  <c r="O12044" i="1"/>
  <c r="E12044" i="1"/>
  <c r="B12044" i="1"/>
  <c r="O12043" i="1"/>
  <c r="E12043" i="1"/>
  <c r="B12043" i="1"/>
  <c r="O12042" i="1"/>
  <c r="E12042" i="1"/>
  <c r="B12042" i="1"/>
  <c r="O12041" i="1"/>
  <c r="E12041" i="1"/>
  <c r="B12041" i="1"/>
  <c r="O12040" i="1"/>
  <c r="E12040" i="1"/>
  <c r="B12040" i="1"/>
  <c r="O12039" i="1"/>
  <c r="E12039" i="1"/>
  <c r="B12039" i="1"/>
  <c r="O12038" i="1"/>
  <c r="E12038" i="1"/>
  <c r="B12038" i="1"/>
  <c r="O12037" i="1"/>
  <c r="E12037" i="1"/>
  <c r="B12037" i="1"/>
  <c r="O12036" i="1"/>
  <c r="E12036" i="1"/>
  <c r="B12036" i="1"/>
  <c r="O12035" i="1"/>
  <c r="E12035" i="1"/>
  <c r="B12035" i="1"/>
  <c r="O12034" i="1"/>
  <c r="E12034" i="1"/>
  <c r="B12034" i="1"/>
  <c r="O12033" i="1"/>
  <c r="E12033" i="1"/>
  <c r="B12033" i="1"/>
  <c r="O12032" i="1"/>
  <c r="E12032" i="1"/>
  <c r="B12032" i="1"/>
  <c r="O12031" i="1"/>
  <c r="E12031" i="1"/>
  <c r="B12031" i="1"/>
  <c r="O12030" i="1"/>
  <c r="E12030" i="1"/>
  <c r="B12030" i="1"/>
  <c r="O12029" i="1"/>
  <c r="E12029" i="1"/>
  <c r="B12029" i="1"/>
  <c r="O12028" i="1"/>
  <c r="E12028" i="1"/>
  <c r="B12028" i="1"/>
  <c r="O12027" i="1"/>
  <c r="E12027" i="1"/>
  <c r="B12027" i="1"/>
  <c r="O12026" i="1"/>
  <c r="E12026" i="1"/>
  <c r="B12026" i="1"/>
  <c r="O12025" i="1"/>
  <c r="E12025" i="1"/>
  <c r="B12025" i="1"/>
  <c r="O12024" i="1"/>
  <c r="E12024" i="1"/>
  <c r="B12024" i="1"/>
  <c r="O12023" i="1"/>
  <c r="E12023" i="1"/>
  <c r="B12023" i="1"/>
  <c r="O12022" i="1"/>
  <c r="E12022" i="1"/>
  <c r="B12022" i="1"/>
  <c r="O12021" i="1"/>
  <c r="E12021" i="1"/>
  <c r="B12021" i="1"/>
  <c r="O12020" i="1"/>
  <c r="E12020" i="1"/>
  <c r="B12020" i="1"/>
  <c r="O12019" i="1"/>
  <c r="E12019" i="1"/>
  <c r="B12019" i="1"/>
  <c r="O12018" i="1"/>
  <c r="E12018" i="1"/>
  <c r="B12018" i="1"/>
  <c r="O12017" i="1"/>
  <c r="E12017" i="1"/>
  <c r="B12017" i="1"/>
  <c r="O12016" i="1"/>
  <c r="E12016" i="1"/>
  <c r="B12016" i="1"/>
  <c r="O12015" i="1"/>
  <c r="E12015" i="1"/>
  <c r="B12015" i="1"/>
  <c r="O12014" i="1"/>
  <c r="E12014" i="1"/>
  <c r="B12014" i="1"/>
  <c r="O12013" i="1"/>
  <c r="E12013" i="1"/>
  <c r="B12013" i="1"/>
  <c r="O12012" i="1"/>
  <c r="E12012" i="1"/>
  <c r="B12012" i="1"/>
  <c r="O12011" i="1"/>
  <c r="E12011" i="1"/>
  <c r="B12011" i="1"/>
  <c r="O12010" i="1"/>
  <c r="E12010" i="1"/>
  <c r="B12010" i="1"/>
  <c r="O12009" i="1"/>
  <c r="E12009" i="1"/>
  <c r="B12009" i="1"/>
  <c r="O12008" i="1"/>
  <c r="E12008" i="1"/>
  <c r="B12008" i="1"/>
  <c r="O12007" i="1"/>
  <c r="E12007" i="1"/>
  <c r="B12007" i="1"/>
  <c r="O12006" i="1"/>
  <c r="E12006" i="1"/>
  <c r="B12006" i="1"/>
  <c r="O12005" i="1"/>
  <c r="E12005" i="1"/>
  <c r="B12005" i="1"/>
  <c r="O12004" i="1"/>
  <c r="E12004" i="1"/>
  <c r="B12004" i="1"/>
  <c r="O12003" i="1"/>
  <c r="E12003" i="1"/>
  <c r="B12003" i="1"/>
  <c r="O12002" i="1"/>
  <c r="E12002" i="1"/>
  <c r="B12002" i="1"/>
  <c r="O12001" i="1"/>
  <c r="E12001" i="1"/>
  <c r="B12001" i="1"/>
  <c r="O12000" i="1"/>
  <c r="E12000" i="1"/>
  <c r="B12000" i="1"/>
  <c r="O11999" i="1"/>
  <c r="E11999" i="1"/>
  <c r="B11999" i="1"/>
  <c r="O11998" i="1"/>
  <c r="E11998" i="1"/>
  <c r="B11998" i="1"/>
  <c r="O11997" i="1"/>
  <c r="E11997" i="1"/>
  <c r="B11997" i="1"/>
  <c r="O11996" i="1"/>
  <c r="E11996" i="1"/>
  <c r="B11996" i="1"/>
  <c r="O11995" i="1"/>
  <c r="E11995" i="1"/>
  <c r="B11995" i="1"/>
  <c r="O11994" i="1"/>
  <c r="E11994" i="1"/>
  <c r="B11994" i="1"/>
  <c r="O11993" i="1"/>
  <c r="E11993" i="1"/>
  <c r="B11993" i="1"/>
  <c r="O11992" i="1"/>
  <c r="E11992" i="1"/>
  <c r="B11992" i="1"/>
  <c r="O11991" i="1"/>
  <c r="E11991" i="1"/>
  <c r="B11991" i="1"/>
  <c r="O11990" i="1"/>
  <c r="E11990" i="1"/>
  <c r="B11990" i="1"/>
  <c r="O11989" i="1"/>
  <c r="E11989" i="1"/>
  <c r="B11989" i="1"/>
  <c r="O11988" i="1"/>
  <c r="E11988" i="1"/>
  <c r="B11988" i="1"/>
  <c r="O11987" i="1"/>
  <c r="E11987" i="1"/>
  <c r="B11987" i="1"/>
  <c r="O11986" i="1"/>
  <c r="E11986" i="1"/>
  <c r="B11986" i="1"/>
  <c r="O11985" i="1"/>
  <c r="E11985" i="1"/>
  <c r="B11985" i="1"/>
  <c r="O11984" i="1"/>
  <c r="E11984" i="1"/>
  <c r="B11984" i="1"/>
  <c r="O11983" i="1"/>
  <c r="E11983" i="1"/>
  <c r="B11983" i="1"/>
  <c r="O11982" i="1"/>
  <c r="E11982" i="1"/>
  <c r="B11982" i="1"/>
  <c r="O11981" i="1"/>
  <c r="E11981" i="1"/>
  <c r="B11981" i="1"/>
  <c r="O11980" i="1"/>
  <c r="E11980" i="1"/>
  <c r="B11980" i="1"/>
  <c r="O11979" i="1"/>
  <c r="E11979" i="1"/>
  <c r="B11979" i="1"/>
  <c r="O11978" i="1"/>
  <c r="E11978" i="1"/>
  <c r="B11978" i="1"/>
  <c r="O11977" i="1"/>
  <c r="E11977" i="1"/>
  <c r="B11977" i="1"/>
  <c r="O11976" i="1"/>
  <c r="E11976" i="1"/>
  <c r="B11976" i="1"/>
  <c r="O11975" i="1"/>
  <c r="E11975" i="1"/>
  <c r="B11975" i="1"/>
  <c r="O11974" i="1"/>
  <c r="E11974" i="1"/>
  <c r="B11974" i="1"/>
  <c r="O11973" i="1"/>
  <c r="E11973" i="1"/>
  <c r="B11973" i="1"/>
  <c r="O11972" i="1"/>
  <c r="E11972" i="1"/>
  <c r="B11972" i="1"/>
  <c r="O11971" i="1"/>
  <c r="E11971" i="1"/>
  <c r="B11971" i="1"/>
  <c r="O11970" i="1"/>
  <c r="E11970" i="1"/>
  <c r="B11970" i="1"/>
  <c r="O11969" i="1"/>
  <c r="E11969" i="1"/>
  <c r="B11969" i="1"/>
  <c r="O11968" i="1"/>
  <c r="E11968" i="1"/>
  <c r="B11968" i="1"/>
  <c r="O11967" i="1"/>
  <c r="E11967" i="1"/>
  <c r="B11967" i="1"/>
  <c r="O11966" i="1"/>
  <c r="E11966" i="1"/>
  <c r="B11966" i="1"/>
  <c r="O11965" i="1"/>
  <c r="E11965" i="1"/>
  <c r="B11965" i="1"/>
  <c r="O11964" i="1"/>
  <c r="E11964" i="1"/>
  <c r="B11964" i="1"/>
  <c r="O11963" i="1"/>
  <c r="E11963" i="1"/>
  <c r="B11963" i="1"/>
  <c r="O11962" i="1"/>
  <c r="E11962" i="1"/>
  <c r="B11962" i="1"/>
  <c r="O11961" i="1"/>
  <c r="E11961" i="1"/>
  <c r="B11961" i="1"/>
  <c r="O11960" i="1"/>
  <c r="E11960" i="1"/>
  <c r="B11960" i="1"/>
  <c r="O11959" i="1"/>
  <c r="E11959" i="1"/>
  <c r="B11959" i="1"/>
  <c r="O11958" i="1"/>
  <c r="E11958" i="1"/>
  <c r="B11958" i="1"/>
  <c r="O11957" i="1"/>
  <c r="E11957" i="1"/>
  <c r="B11957" i="1"/>
  <c r="O11956" i="1"/>
  <c r="E11956" i="1"/>
  <c r="B11956" i="1"/>
  <c r="O11955" i="1"/>
  <c r="E11955" i="1"/>
  <c r="B11955" i="1"/>
  <c r="O11954" i="1"/>
  <c r="E11954" i="1"/>
  <c r="B11954" i="1"/>
  <c r="O11953" i="1"/>
  <c r="E11953" i="1"/>
  <c r="B11953" i="1"/>
  <c r="O11952" i="1"/>
  <c r="E11952" i="1"/>
  <c r="B11952" i="1"/>
  <c r="O11951" i="1"/>
  <c r="E11951" i="1"/>
  <c r="B11951" i="1"/>
  <c r="O11950" i="1"/>
  <c r="E11950" i="1"/>
  <c r="B11950" i="1"/>
  <c r="O11949" i="1"/>
  <c r="E11949" i="1"/>
  <c r="B11949" i="1"/>
  <c r="O11948" i="1"/>
  <c r="E11948" i="1"/>
  <c r="B11948" i="1"/>
  <c r="O11947" i="1"/>
  <c r="E11947" i="1"/>
  <c r="B11947" i="1"/>
  <c r="O11946" i="1"/>
  <c r="E11946" i="1"/>
  <c r="B11946" i="1"/>
  <c r="O11945" i="1"/>
  <c r="E11945" i="1"/>
  <c r="B11945" i="1"/>
  <c r="O11944" i="1"/>
  <c r="E11944" i="1"/>
  <c r="B11944" i="1"/>
  <c r="O11943" i="1"/>
  <c r="E11943" i="1"/>
  <c r="B11943" i="1"/>
  <c r="O11942" i="1"/>
  <c r="E11942" i="1"/>
  <c r="B11942" i="1"/>
  <c r="O11941" i="1"/>
  <c r="E11941" i="1"/>
  <c r="B11941" i="1"/>
  <c r="O11940" i="1"/>
  <c r="E11940" i="1"/>
  <c r="B11940" i="1"/>
  <c r="O11939" i="1"/>
  <c r="E11939" i="1"/>
  <c r="B11939" i="1"/>
  <c r="O11938" i="1"/>
  <c r="E11938" i="1"/>
  <c r="B11938" i="1"/>
  <c r="O11937" i="1"/>
  <c r="E11937" i="1"/>
  <c r="B11937" i="1"/>
  <c r="O11936" i="1"/>
  <c r="E11936" i="1"/>
  <c r="B11936" i="1"/>
  <c r="O11935" i="1"/>
  <c r="E11935" i="1"/>
  <c r="B11935" i="1"/>
  <c r="O11934" i="1"/>
  <c r="E11934" i="1"/>
  <c r="B11934" i="1"/>
  <c r="O11933" i="1"/>
  <c r="E11933" i="1"/>
  <c r="B11933" i="1"/>
  <c r="O11932" i="1"/>
  <c r="E11932" i="1"/>
  <c r="B11932" i="1"/>
  <c r="O11931" i="1"/>
  <c r="E11931" i="1"/>
  <c r="B11931" i="1"/>
  <c r="O11930" i="1"/>
  <c r="E11930" i="1"/>
  <c r="B11930" i="1"/>
  <c r="O11929" i="1"/>
  <c r="E11929" i="1"/>
  <c r="B11929" i="1"/>
  <c r="O11928" i="1"/>
  <c r="E11928" i="1"/>
  <c r="B11928" i="1"/>
  <c r="O11927" i="1"/>
  <c r="E11927" i="1"/>
  <c r="B11927" i="1"/>
  <c r="O11926" i="1"/>
  <c r="E11926" i="1"/>
  <c r="B11926" i="1"/>
  <c r="O11925" i="1"/>
  <c r="E11925" i="1"/>
  <c r="B11925" i="1"/>
  <c r="O11924" i="1"/>
  <c r="E11924" i="1"/>
  <c r="B11924" i="1"/>
  <c r="O11923" i="1"/>
  <c r="E11923" i="1"/>
  <c r="B11923" i="1"/>
  <c r="O11922" i="1"/>
  <c r="E11922" i="1"/>
  <c r="B11922" i="1"/>
  <c r="O11921" i="1"/>
  <c r="E11921" i="1"/>
  <c r="B11921" i="1"/>
  <c r="O11920" i="1"/>
  <c r="E11920" i="1"/>
  <c r="B11920" i="1"/>
  <c r="O11919" i="1"/>
  <c r="E11919" i="1"/>
  <c r="B11919" i="1"/>
  <c r="O11918" i="1"/>
  <c r="E11918" i="1"/>
  <c r="B11918" i="1"/>
  <c r="O11917" i="1"/>
  <c r="E11917" i="1"/>
  <c r="B11917" i="1"/>
  <c r="O11916" i="1"/>
  <c r="E11916" i="1"/>
  <c r="B11916" i="1"/>
  <c r="O11915" i="1"/>
  <c r="E11915" i="1"/>
  <c r="B11915" i="1"/>
  <c r="O11914" i="1"/>
  <c r="E11914" i="1"/>
  <c r="B11914" i="1"/>
  <c r="O11913" i="1"/>
  <c r="E11913" i="1"/>
  <c r="B11913" i="1"/>
  <c r="O11912" i="1"/>
  <c r="E11912" i="1"/>
  <c r="B11912" i="1"/>
  <c r="O11911" i="1"/>
  <c r="E11911" i="1"/>
  <c r="B11911" i="1"/>
  <c r="O11910" i="1"/>
  <c r="E11910" i="1"/>
  <c r="B11910" i="1"/>
  <c r="O11909" i="1"/>
  <c r="E11909" i="1"/>
  <c r="B11909" i="1"/>
  <c r="O11908" i="1"/>
  <c r="E11908" i="1"/>
  <c r="B11908" i="1"/>
  <c r="O11907" i="1"/>
  <c r="E11907" i="1"/>
  <c r="B11907" i="1"/>
  <c r="O11906" i="1"/>
  <c r="E11906" i="1"/>
  <c r="B11906" i="1"/>
  <c r="O11905" i="1"/>
  <c r="E11905" i="1"/>
  <c r="B11905" i="1"/>
  <c r="O11904" i="1"/>
  <c r="E11904" i="1"/>
  <c r="B11904" i="1"/>
  <c r="O11903" i="1"/>
  <c r="E11903" i="1"/>
  <c r="B11903" i="1"/>
  <c r="O11902" i="1"/>
  <c r="E11902" i="1"/>
  <c r="B11902" i="1"/>
  <c r="O11901" i="1"/>
  <c r="E11901" i="1"/>
  <c r="B11901" i="1"/>
  <c r="O11900" i="1"/>
  <c r="E11900" i="1"/>
  <c r="B11900" i="1"/>
  <c r="O11899" i="1"/>
  <c r="E11899" i="1"/>
  <c r="B11899" i="1"/>
  <c r="O11898" i="1"/>
  <c r="E11898" i="1"/>
  <c r="B11898" i="1"/>
  <c r="O11897" i="1"/>
  <c r="E11897" i="1"/>
  <c r="B11897" i="1"/>
  <c r="O11896" i="1"/>
  <c r="E11896" i="1"/>
  <c r="B11896" i="1"/>
  <c r="O11895" i="1"/>
  <c r="E11895" i="1"/>
  <c r="B11895" i="1"/>
  <c r="O11894" i="1"/>
  <c r="E11894" i="1"/>
  <c r="B11894" i="1"/>
  <c r="O11893" i="1"/>
  <c r="E11893" i="1"/>
  <c r="B11893" i="1"/>
  <c r="O11892" i="1"/>
  <c r="E11892" i="1"/>
  <c r="B11892" i="1"/>
  <c r="O11891" i="1"/>
  <c r="E11891" i="1"/>
  <c r="B11891" i="1"/>
  <c r="O11890" i="1"/>
  <c r="E11890" i="1"/>
  <c r="B11890" i="1"/>
  <c r="O11889" i="1"/>
  <c r="E11889" i="1"/>
  <c r="B11889" i="1"/>
  <c r="O11888" i="1"/>
  <c r="E11888" i="1"/>
  <c r="B11888" i="1"/>
  <c r="O11887" i="1"/>
  <c r="E11887" i="1"/>
  <c r="B11887" i="1"/>
  <c r="O11886" i="1"/>
  <c r="E11886" i="1"/>
  <c r="B11886" i="1"/>
  <c r="O11885" i="1"/>
  <c r="E11885" i="1"/>
  <c r="B11885" i="1"/>
  <c r="O11884" i="1"/>
  <c r="E11884" i="1"/>
  <c r="B11884" i="1"/>
  <c r="O11883" i="1"/>
  <c r="E11883" i="1"/>
  <c r="B11883" i="1"/>
  <c r="O11882" i="1"/>
  <c r="E11882" i="1"/>
  <c r="B11882" i="1"/>
  <c r="O11881" i="1"/>
  <c r="E11881" i="1"/>
  <c r="B11881" i="1"/>
  <c r="O11880" i="1"/>
  <c r="E11880" i="1"/>
  <c r="B11880" i="1"/>
  <c r="O11879" i="1"/>
  <c r="E11879" i="1"/>
  <c r="B11879" i="1"/>
  <c r="O11878" i="1"/>
  <c r="E11878" i="1"/>
  <c r="B11878" i="1"/>
  <c r="O11877" i="1"/>
  <c r="E11877" i="1"/>
  <c r="B11877" i="1"/>
  <c r="O11876" i="1"/>
  <c r="E11876" i="1"/>
  <c r="B11876" i="1"/>
  <c r="O11875" i="1"/>
  <c r="E11875" i="1"/>
  <c r="B11875" i="1"/>
  <c r="O11874" i="1"/>
  <c r="E11874" i="1"/>
  <c r="B11874" i="1"/>
  <c r="O11873" i="1"/>
  <c r="E11873" i="1"/>
  <c r="B11873" i="1"/>
  <c r="O11872" i="1"/>
  <c r="E11872" i="1"/>
  <c r="B11872" i="1"/>
  <c r="O11871" i="1"/>
  <c r="E11871" i="1"/>
  <c r="B11871" i="1"/>
  <c r="O11870" i="1"/>
  <c r="E11870" i="1"/>
  <c r="B11870" i="1"/>
  <c r="O11869" i="1"/>
  <c r="E11869" i="1"/>
  <c r="B11869" i="1"/>
  <c r="O11868" i="1"/>
  <c r="E11868" i="1"/>
  <c r="B11868" i="1"/>
  <c r="O11867" i="1"/>
  <c r="E11867" i="1"/>
  <c r="B11867" i="1"/>
  <c r="O11866" i="1"/>
  <c r="E11866" i="1"/>
  <c r="B11866" i="1"/>
  <c r="O11865" i="1"/>
  <c r="E11865" i="1"/>
  <c r="B11865" i="1"/>
  <c r="O11864" i="1"/>
  <c r="E11864" i="1"/>
  <c r="B11864" i="1"/>
  <c r="O11863" i="1"/>
  <c r="E11863" i="1"/>
  <c r="B11863" i="1"/>
  <c r="O11862" i="1"/>
  <c r="E11862" i="1"/>
  <c r="B11862" i="1"/>
  <c r="O11861" i="1"/>
  <c r="E11861" i="1"/>
  <c r="B11861" i="1"/>
  <c r="O11860" i="1"/>
  <c r="E11860" i="1"/>
  <c r="B11860" i="1"/>
  <c r="O11859" i="1"/>
  <c r="E11859" i="1"/>
  <c r="B11859" i="1"/>
  <c r="O11858" i="1"/>
  <c r="E11858" i="1"/>
  <c r="B11858" i="1"/>
  <c r="O11857" i="1"/>
  <c r="E11857" i="1"/>
  <c r="B11857" i="1"/>
  <c r="O11856" i="1"/>
  <c r="E11856" i="1"/>
  <c r="B11856" i="1"/>
  <c r="O11855" i="1"/>
  <c r="E11855" i="1"/>
  <c r="B11855" i="1"/>
  <c r="O11854" i="1"/>
  <c r="E11854" i="1"/>
  <c r="B11854" i="1"/>
  <c r="O11853" i="1"/>
  <c r="E11853" i="1"/>
  <c r="B11853" i="1"/>
  <c r="O11852" i="1"/>
  <c r="E11852" i="1"/>
  <c r="B11852" i="1"/>
  <c r="O11851" i="1"/>
  <c r="E11851" i="1"/>
  <c r="B11851" i="1"/>
  <c r="O11850" i="1"/>
  <c r="E11850" i="1"/>
  <c r="B11850" i="1"/>
  <c r="O11849" i="1"/>
  <c r="E11849" i="1"/>
  <c r="B11849" i="1"/>
  <c r="O11848" i="1"/>
  <c r="E11848" i="1"/>
  <c r="B11848" i="1"/>
  <c r="O11847" i="1"/>
  <c r="E11847" i="1"/>
  <c r="B11847" i="1"/>
  <c r="O11846" i="1"/>
  <c r="E11846" i="1"/>
  <c r="B11846" i="1"/>
  <c r="O11845" i="1"/>
  <c r="E11845" i="1"/>
  <c r="B11845" i="1"/>
  <c r="O11844" i="1"/>
  <c r="E11844" i="1"/>
  <c r="B11844" i="1"/>
  <c r="O11843" i="1"/>
  <c r="E11843" i="1"/>
  <c r="B11843" i="1"/>
  <c r="O11842" i="1"/>
  <c r="E11842" i="1"/>
  <c r="B11842" i="1"/>
  <c r="O11841" i="1"/>
  <c r="E11841" i="1"/>
  <c r="B11841" i="1"/>
  <c r="O11840" i="1"/>
  <c r="E11840" i="1"/>
  <c r="B11840" i="1"/>
  <c r="O11839" i="1"/>
  <c r="E11839" i="1"/>
  <c r="B11839" i="1"/>
  <c r="O11838" i="1"/>
  <c r="E11838" i="1"/>
  <c r="B11838" i="1"/>
  <c r="O11837" i="1"/>
  <c r="E11837" i="1"/>
  <c r="B11837" i="1"/>
  <c r="O11836" i="1"/>
  <c r="E11836" i="1"/>
  <c r="B11836" i="1"/>
  <c r="O11835" i="1"/>
  <c r="E11835" i="1"/>
  <c r="B11835" i="1"/>
  <c r="O11834" i="1"/>
  <c r="E11834" i="1"/>
  <c r="B11834" i="1"/>
  <c r="O11833" i="1"/>
  <c r="E11833" i="1"/>
  <c r="B11833" i="1"/>
  <c r="O11832" i="1"/>
  <c r="E11832" i="1"/>
  <c r="B11832" i="1"/>
  <c r="O11831" i="1"/>
  <c r="E11831" i="1"/>
  <c r="B11831" i="1"/>
  <c r="O11830" i="1"/>
  <c r="E11830" i="1"/>
  <c r="B11830" i="1"/>
  <c r="O11829" i="1"/>
  <c r="E11829" i="1"/>
  <c r="B11829" i="1"/>
  <c r="O11828" i="1"/>
  <c r="E11828" i="1"/>
  <c r="B11828" i="1"/>
  <c r="O11827" i="1"/>
  <c r="E11827" i="1"/>
  <c r="B11827" i="1"/>
  <c r="O11826" i="1"/>
  <c r="E11826" i="1"/>
  <c r="B11826" i="1"/>
  <c r="O11825" i="1"/>
  <c r="E11825" i="1"/>
  <c r="B11825" i="1"/>
  <c r="O11824" i="1"/>
  <c r="E11824" i="1"/>
  <c r="B11824" i="1"/>
  <c r="O11823" i="1"/>
  <c r="E11823" i="1"/>
  <c r="B11823" i="1"/>
  <c r="O11822" i="1"/>
  <c r="E11822" i="1"/>
  <c r="B11822" i="1"/>
  <c r="O11821" i="1"/>
  <c r="E11821" i="1"/>
  <c r="B11821" i="1"/>
  <c r="O11820" i="1"/>
  <c r="E11820" i="1"/>
  <c r="B11820" i="1"/>
  <c r="O11819" i="1"/>
  <c r="E11819" i="1"/>
  <c r="B11819" i="1"/>
  <c r="O11818" i="1"/>
  <c r="E11818" i="1"/>
  <c r="B11818" i="1"/>
  <c r="O11817" i="1"/>
  <c r="E11817" i="1"/>
  <c r="B11817" i="1"/>
  <c r="O11816" i="1"/>
  <c r="E11816" i="1"/>
  <c r="B11816" i="1"/>
  <c r="O11815" i="1"/>
  <c r="E11815" i="1"/>
  <c r="B11815" i="1"/>
  <c r="O11814" i="1"/>
  <c r="E11814" i="1"/>
  <c r="B11814" i="1"/>
  <c r="O11813" i="1"/>
  <c r="E11813" i="1"/>
  <c r="B11813" i="1"/>
  <c r="O11812" i="1"/>
  <c r="E11812" i="1"/>
  <c r="B11812" i="1"/>
  <c r="O11811" i="1"/>
  <c r="E11811" i="1"/>
  <c r="B11811" i="1"/>
  <c r="O11810" i="1"/>
  <c r="E11810" i="1"/>
  <c r="B11810" i="1"/>
  <c r="O11809" i="1"/>
  <c r="E11809" i="1"/>
  <c r="B11809" i="1"/>
  <c r="O11808" i="1"/>
  <c r="E11808" i="1"/>
  <c r="B11808" i="1"/>
  <c r="O11807" i="1"/>
  <c r="E11807" i="1"/>
  <c r="B11807" i="1"/>
  <c r="O11806" i="1"/>
  <c r="E11806" i="1"/>
  <c r="B11806" i="1"/>
  <c r="O11805" i="1"/>
  <c r="E11805" i="1"/>
  <c r="B11805" i="1"/>
  <c r="O11804" i="1"/>
  <c r="E11804" i="1"/>
  <c r="B11804" i="1"/>
  <c r="O11803" i="1"/>
  <c r="E11803" i="1"/>
  <c r="B11803" i="1"/>
  <c r="O11802" i="1"/>
  <c r="E11802" i="1"/>
  <c r="B11802" i="1"/>
  <c r="O11801" i="1"/>
  <c r="E11801" i="1"/>
  <c r="B11801" i="1"/>
  <c r="O11800" i="1"/>
  <c r="E11800" i="1"/>
  <c r="B11800" i="1"/>
  <c r="O11799" i="1"/>
  <c r="E11799" i="1"/>
  <c r="B11799" i="1"/>
  <c r="O11798" i="1"/>
  <c r="E11798" i="1"/>
  <c r="B11798" i="1"/>
  <c r="O11797" i="1"/>
  <c r="E11797" i="1"/>
  <c r="B11797" i="1"/>
  <c r="O11796" i="1"/>
  <c r="E11796" i="1"/>
  <c r="B11796" i="1"/>
  <c r="O11795" i="1"/>
  <c r="E11795" i="1"/>
  <c r="B11795" i="1"/>
  <c r="O11794" i="1"/>
  <c r="E11794" i="1"/>
  <c r="B11794" i="1"/>
  <c r="O11793" i="1"/>
  <c r="E11793" i="1"/>
  <c r="B11793" i="1"/>
  <c r="O11792" i="1"/>
  <c r="E11792" i="1"/>
  <c r="B11792" i="1"/>
  <c r="O11791" i="1"/>
  <c r="E11791" i="1"/>
  <c r="B11791" i="1"/>
  <c r="O11790" i="1"/>
  <c r="E11790" i="1"/>
  <c r="B11790" i="1"/>
  <c r="O11789" i="1"/>
  <c r="E11789" i="1"/>
  <c r="B11789" i="1"/>
  <c r="O11788" i="1"/>
  <c r="E11788" i="1"/>
  <c r="B11788" i="1"/>
  <c r="O11787" i="1"/>
  <c r="E11787" i="1"/>
  <c r="B11787" i="1"/>
  <c r="O11786" i="1"/>
  <c r="E11786" i="1"/>
  <c r="B11786" i="1"/>
  <c r="O11785" i="1"/>
  <c r="E11785" i="1"/>
  <c r="B11785" i="1"/>
  <c r="O11784" i="1"/>
  <c r="E11784" i="1"/>
  <c r="B11784" i="1"/>
  <c r="O11783" i="1"/>
  <c r="E11783" i="1"/>
  <c r="B11783" i="1"/>
  <c r="O11782" i="1"/>
  <c r="E11782" i="1"/>
  <c r="B11782" i="1"/>
  <c r="O11781" i="1"/>
  <c r="E11781" i="1"/>
  <c r="B11781" i="1"/>
  <c r="O11780" i="1"/>
  <c r="E11780" i="1"/>
  <c r="B11780" i="1"/>
  <c r="O11779" i="1"/>
  <c r="E11779" i="1"/>
  <c r="B11779" i="1"/>
  <c r="O11778" i="1"/>
  <c r="E11778" i="1"/>
  <c r="B11778" i="1"/>
  <c r="O11777" i="1"/>
  <c r="E11777" i="1"/>
  <c r="B11777" i="1"/>
  <c r="O11776" i="1"/>
  <c r="E11776" i="1"/>
  <c r="B11776" i="1"/>
  <c r="O11775" i="1"/>
  <c r="E11775" i="1"/>
  <c r="B11775" i="1"/>
  <c r="O11774" i="1"/>
  <c r="E11774" i="1"/>
  <c r="B11774" i="1"/>
  <c r="O11773" i="1"/>
  <c r="E11773" i="1"/>
  <c r="B11773" i="1"/>
  <c r="O11772" i="1"/>
  <c r="E11772" i="1"/>
  <c r="B11772" i="1"/>
  <c r="O11771" i="1"/>
  <c r="E11771" i="1"/>
  <c r="B11771" i="1"/>
  <c r="O11770" i="1"/>
  <c r="E11770" i="1"/>
  <c r="B11770" i="1"/>
  <c r="O11769" i="1"/>
  <c r="E11769" i="1"/>
  <c r="B11769" i="1"/>
  <c r="O11768" i="1"/>
  <c r="E11768" i="1"/>
  <c r="B11768" i="1"/>
  <c r="O11767" i="1"/>
  <c r="E11767" i="1"/>
  <c r="B11767" i="1"/>
  <c r="O11766" i="1"/>
  <c r="E11766" i="1"/>
  <c r="B11766" i="1"/>
  <c r="O11765" i="1"/>
  <c r="E11765" i="1"/>
  <c r="B11765" i="1"/>
  <c r="O11764" i="1"/>
  <c r="E11764" i="1"/>
  <c r="B11764" i="1"/>
  <c r="O11763" i="1"/>
  <c r="E11763" i="1"/>
  <c r="B11763" i="1"/>
  <c r="O11762" i="1"/>
  <c r="E11762" i="1"/>
  <c r="B11762" i="1"/>
  <c r="O11761" i="1"/>
  <c r="E11761" i="1"/>
  <c r="B11761" i="1"/>
  <c r="O11760" i="1"/>
  <c r="E11760" i="1"/>
  <c r="B11760" i="1"/>
  <c r="O11759" i="1"/>
  <c r="E11759" i="1"/>
  <c r="B11759" i="1"/>
  <c r="O11758" i="1"/>
  <c r="E11758" i="1"/>
  <c r="B11758" i="1"/>
  <c r="O11757" i="1"/>
  <c r="E11757" i="1"/>
  <c r="B11757" i="1"/>
  <c r="O11756" i="1"/>
  <c r="E11756" i="1"/>
  <c r="B11756" i="1"/>
  <c r="O11755" i="1"/>
  <c r="E11755" i="1"/>
  <c r="B11755" i="1"/>
  <c r="O11754" i="1"/>
  <c r="E11754" i="1"/>
  <c r="B11754" i="1"/>
  <c r="O11753" i="1"/>
  <c r="E11753" i="1"/>
  <c r="B11753" i="1"/>
  <c r="O11752" i="1"/>
  <c r="E11752" i="1"/>
  <c r="B11752" i="1"/>
  <c r="O11751" i="1"/>
  <c r="E11751" i="1"/>
  <c r="B11751" i="1"/>
  <c r="O11750" i="1"/>
  <c r="E11750" i="1"/>
  <c r="B11750" i="1"/>
  <c r="O11749" i="1"/>
  <c r="E11749" i="1"/>
  <c r="B11749" i="1"/>
  <c r="O11748" i="1"/>
  <c r="E11748" i="1"/>
  <c r="B11748" i="1"/>
  <c r="O11747" i="1"/>
  <c r="E11747" i="1"/>
  <c r="B11747" i="1"/>
  <c r="O11746" i="1"/>
  <c r="E11746" i="1"/>
  <c r="B11746" i="1"/>
  <c r="O11745" i="1"/>
  <c r="E11745" i="1"/>
  <c r="B11745" i="1"/>
  <c r="O11744" i="1"/>
  <c r="E11744" i="1"/>
  <c r="B11744" i="1"/>
  <c r="O11743" i="1"/>
  <c r="E11743" i="1"/>
  <c r="B11743" i="1"/>
  <c r="O11742" i="1"/>
  <c r="E11742" i="1"/>
  <c r="B11742" i="1"/>
  <c r="O11741" i="1"/>
  <c r="E11741" i="1"/>
  <c r="B11741" i="1"/>
  <c r="O11740" i="1"/>
  <c r="E11740" i="1"/>
  <c r="B11740" i="1"/>
  <c r="O11739" i="1"/>
  <c r="E11739" i="1"/>
  <c r="B11739" i="1"/>
  <c r="O11738" i="1"/>
  <c r="E11738" i="1"/>
  <c r="B11738" i="1"/>
  <c r="O11737" i="1"/>
  <c r="E11737" i="1"/>
  <c r="B11737" i="1"/>
  <c r="O11736" i="1"/>
  <c r="E11736" i="1"/>
  <c r="B11736" i="1"/>
  <c r="O11735" i="1"/>
  <c r="E11735" i="1"/>
  <c r="B11735" i="1"/>
  <c r="O11734" i="1"/>
  <c r="E11734" i="1"/>
  <c r="B11734" i="1"/>
  <c r="O11733" i="1"/>
  <c r="E11733" i="1"/>
  <c r="B11733" i="1"/>
  <c r="O11732" i="1"/>
  <c r="E11732" i="1"/>
  <c r="B11732" i="1"/>
  <c r="O11731" i="1"/>
  <c r="E11731" i="1"/>
  <c r="B11731" i="1"/>
  <c r="O11730" i="1"/>
  <c r="E11730" i="1"/>
  <c r="B11730" i="1"/>
  <c r="O11729" i="1"/>
  <c r="E11729" i="1"/>
  <c r="B11729" i="1"/>
  <c r="O11728" i="1"/>
  <c r="E11728" i="1"/>
  <c r="B11728" i="1"/>
  <c r="O11727" i="1"/>
  <c r="E11727" i="1"/>
  <c r="B11727" i="1"/>
  <c r="O11726" i="1"/>
  <c r="E11726" i="1"/>
  <c r="B11726" i="1"/>
  <c r="O11725" i="1"/>
  <c r="E11725" i="1"/>
  <c r="B11725" i="1"/>
  <c r="O11724" i="1"/>
  <c r="E11724" i="1"/>
  <c r="B11724" i="1"/>
  <c r="O11723" i="1"/>
  <c r="E11723" i="1"/>
  <c r="B11723" i="1"/>
  <c r="O11722" i="1"/>
  <c r="E11722" i="1"/>
  <c r="B11722" i="1"/>
  <c r="O11721" i="1"/>
  <c r="E11721" i="1"/>
  <c r="B11721" i="1"/>
  <c r="O11720" i="1"/>
  <c r="E11720" i="1"/>
  <c r="B11720" i="1"/>
  <c r="O11719" i="1"/>
  <c r="E11719" i="1"/>
  <c r="B11719" i="1"/>
  <c r="O11718" i="1"/>
  <c r="E11718" i="1"/>
  <c r="B11718" i="1"/>
  <c r="O11717" i="1"/>
  <c r="E11717" i="1"/>
  <c r="B11717" i="1"/>
  <c r="O11716" i="1"/>
  <c r="E11716" i="1"/>
  <c r="B11716" i="1"/>
  <c r="O11715" i="1"/>
  <c r="E11715" i="1"/>
  <c r="B11715" i="1"/>
  <c r="O11714" i="1"/>
  <c r="E11714" i="1"/>
  <c r="B11714" i="1"/>
  <c r="O11713" i="1"/>
  <c r="E11713" i="1"/>
  <c r="B11713" i="1"/>
  <c r="O11712" i="1"/>
  <c r="E11712" i="1"/>
  <c r="B11712" i="1"/>
  <c r="O11711" i="1"/>
  <c r="E11711" i="1"/>
  <c r="B11711" i="1"/>
  <c r="O11710" i="1"/>
  <c r="E11710" i="1"/>
  <c r="B11710" i="1"/>
  <c r="O11709" i="1"/>
  <c r="E11709" i="1"/>
  <c r="B11709" i="1"/>
  <c r="O11708" i="1"/>
  <c r="E11708" i="1"/>
  <c r="B11708" i="1"/>
  <c r="O11707" i="1"/>
  <c r="E11707" i="1"/>
  <c r="B11707" i="1"/>
  <c r="O11706" i="1"/>
  <c r="E11706" i="1"/>
  <c r="B11706" i="1"/>
  <c r="O11705" i="1"/>
  <c r="E11705" i="1"/>
  <c r="B11705" i="1"/>
  <c r="O11704" i="1"/>
  <c r="E11704" i="1"/>
  <c r="B11704" i="1"/>
  <c r="O11703" i="1"/>
  <c r="E11703" i="1"/>
  <c r="B11703" i="1"/>
  <c r="O11702" i="1"/>
  <c r="E11702" i="1"/>
  <c r="B11702" i="1"/>
  <c r="O11701" i="1"/>
  <c r="E11701" i="1"/>
  <c r="B11701" i="1"/>
  <c r="O11700" i="1"/>
  <c r="E11700" i="1"/>
  <c r="B11700" i="1"/>
  <c r="O11699" i="1"/>
  <c r="E11699" i="1"/>
  <c r="B11699" i="1"/>
  <c r="O11698" i="1"/>
  <c r="E11698" i="1"/>
  <c r="B11698" i="1"/>
  <c r="O11697" i="1"/>
  <c r="E11697" i="1"/>
  <c r="B11697" i="1"/>
  <c r="O11696" i="1"/>
  <c r="E11696" i="1"/>
  <c r="B11696" i="1"/>
  <c r="O11695" i="1"/>
  <c r="E11695" i="1"/>
  <c r="B11695" i="1"/>
  <c r="O11694" i="1"/>
  <c r="E11694" i="1"/>
  <c r="B11694" i="1"/>
  <c r="O11693" i="1"/>
  <c r="E11693" i="1"/>
  <c r="B11693" i="1"/>
  <c r="O11692" i="1"/>
  <c r="E11692" i="1"/>
  <c r="B11692" i="1"/>
  <c r="O11691" i="1"/>
  <c r="E11691" i="1"/>
  <c r="B11691" i="1"/>
  <c r="O11690" i="1"/>
  <c r="E11690" i="1"/>
  <c r="B11690" i="1"/>
  <c r="O11689" i="1"/>
  <c r="E11689" i="1"/>
  <c r="B11689" i="1"/>
  <c r="O11688" i="1"/>
  <c r="E11688" i="1"/>
  <c r="B11688" i="1"/>
  <c r="O11687" i="1"/>
  <c r="E11687" i="1"/>
  <c r="B11687" i="1"/>
  <c r="O11686" i="1"/>
  <c r="E11686" i="1"/>
  <c r="B11686" i="1"/>
  <c r="O11685" i="1"/>
  <c r="E11685" i="1"/>
  <c r="B11685" i="1"/>
  <c r="O11684" i="1"/>
  <c r="E11684" i="1"/>
  <c r="B11684" i="1"/>
  <c r="O11683" i="1"/>
  <c r="E11683" i="1"/>
  <c r="B11683" i="1"/>
  <c r="O11682" i="1"/>
  <c r="E11682" i="1"/>
  <c r="B11682" i="1"/>
  <c r="O11681" i="1"/>
  <c r="E11681" i="1"/>
  <c r="B11681" i="1"/>
  <c r="O11680" i="1"/>
  <c r="E11680" i="1"/>
  <c r="B11680" i="1"/>
  <c r="O11679" i="1"/>
  <c r="E11679" i="1"/>
  <c r="B11679" i="1"/>
  <c r="O11678" i="1"/>
  <c r="E11678" i="1"/>
  <c r="B11678" i="1"/>
  <c r="O11677" i="1"/>
  <c r="E11677" i="1"/>
  <c r="B11677" i="1"/>
  <c r="O11676" i="1"/>
  <c r="E11676" i="1"/>
  <c r="B11676" i="1"/>
  <c r="O11675" i="1"/>
  <c r="E11675" i="1"/>
  <c r="B11675" i="1"/>
  <c r="O11674" i="1"/>
  <c r="E11674" i="1"/>
  <c r="B11674" i="1"/>
  <c r="O11673" i="1"/>
  <c r="E11673" i="1"/>
  <c r="B11673" i="1"/>
  <c r="O11672" i="1"/>
  <c r="E11672" i="1"/>
  <c r="B11672" i="1"/>
  <c r="O11671" i="1"/>
  <c r="E11671" i="1"/>
  <c r="B11671" i="1"/>
  <c r="O11670" i="1"/>
  <c r="E11670" i="1"/>
  <c r="B11670" i="1"/>
  <c r="O11669" i="1"/>
  <c r="E11669" i="1"/>
  <c r="B11669" i="1"/>
  <c r="O11668" i="1"/>
  <c r="E11668" i="1"/>
  <c r="B11668" i="1"/>
  <c r="O11667" i="1"/>
  <c r="E11667" i="1"/>
  <c r="B11667" i="1"/>
  <c r="O11666" i="1"/>
  <c r="E11666" i="1"/>
  <c r="B11666" i="1"/>
  <c r="O11665" i="1"/>
  <c r="E11665" i="1"/>
  <c r="B11665" i="1"/>
  <c r="O11664" i="1"/>
  <c r="E11664" i="1"/>
  <c r="B11664" i="1"/>
  <c r="O11663" i="1"/>
  <c r="E11663" i="1"/>
  <c r="B11663" i="1"/>
  <c r="O11662" i="1"/>
  <c r="E11662" i="1"/>
  <c r="B11662" i="1"/>
  <c r="O11661" i="1"/>
  <c r="E11661" i="1"/>
  <c r="B11661" i="1"/>
  <c r="O11660" i="1"/>
  <c r="E11660" i="1"/>
  <c r="B11660" i="1"/>
  <c r="O11659" i="1"/>
  <c r="E11659" i="1"/>
  <c r="B11659" i="1"/>
  <c r="O11658" i="1"/>
  <c r="E11658" i="1"/>
  <c r="B11658" i="1"/>
  <c r="O11657" i="1"/>
  <c r="E11657" i="1"/>
  <c r="B11657" i="1"/>
  <c r="O11656" i="1"/>
  <c r="E11656" i="1"/>
  <c r="B11656" i="1"/>
  <c r="O11655" i="1"/>
  <c r="E11655" i="1"/>
  <c r="B11655" i="1"/>
  <c r="O11654" i="1"/>
  <c r="E11654" i="1"/>
  <c r="B11654" i="1"/>
  <c r="O11653" i="1"/>
  <c r="E11653" i="1"/>
  <c r="B11653" i="1"/>
  <c r="O11652" i="1"/>
  <c r="E11652" i="1"/>
  <c r="B11652" i="1"/>
  <c r="O11651" i="1"/>
  <c r="E11651" i="1"/>
  <c r="B11651" i="1"/>
  <c r="O11650" i="1"/>
  <c r="E11650" i="1"/>
  <c r="B11650" i="1"/>
  <c r="O11649" i="1"/>
  <c r="E11649" i="1"/>
  <c r="B11649" i="1"/>
  <c r="O11648" i="1"/>
  <c r="E11648" i="1"/>
  <c r="B11648" i="1"/>
  <c r="O11647" i="1"/>
  <c r="E11647" i="1"/>
  <c r="B11647" i="1"/>
  <c r="O11646" i="1"/>
  <c r="E11646" i="1"/>
  <c r="B11646" i="1"/>
  <c r="O11645" i="1"/>
  <c r="E11645" i="1"/>
  <c r="B11645" i="1"/>
  <c r="O11644" i="1"/>
  <c r="E11644" i="1"/>
  <c r="B11644" i="1"/>
  <c r="O11643" i="1"/>
  <c r="E11643" i="1"/>
  <c r="B11643" i="1"/>
  <c r="O11642" i="1"/>
  <c r="E11642" i="1"/>
  <c r="B11642" i="1"/>
  <c r="O11641" i="1"/>
  <c r="E11641" i="1"/>
  <c r="B11641" i="1"/>
  <c r="O11640" i="1"/>
  <c r="E11640" i="1"/>
  <c r="B11640" i="1"/>
  <c r="O11639" i="1"/>
  <c r="E11639" i="1"/>
  <c r="B11639" i="1"/>
  <c r="O11638" i="1"/>
  <c r="E11638" i="1"/>
  <c r="B11638" i="1"/>
  <c r="O11637" i="1"/>
  <c r="E11637" i="1"/>
  <c r="B11637" i="1"/>
  <c r="O11636" i="1"/>
  <c r="E11636" i="1"/>
  <c r="B11636" i="1"/>
  <c r="O11635" i="1"/>
  <c r="E11635" i="1"/>
  <c r="B11635" i="1"/>
  <c r="O11634" i="1"/>
  <c r="E11634" i="1"/>
  <c r="B11634" i="1"/>
  <c r="O11633" i="1"/>
  <c r="E11633" i="1"/>
  <c r="B11633" i="1"/>
  <c r="O11632" i="1"/>
  <c r="E11632" i="1"/>
  <c r="B11632" i="1"/>
  <c r="O11631" i="1"/>
  <c r="E11631" i="1"/>
  <c r="B11631" i="1"/>
  <c r="O11630" i="1"/>
  <c r="E11630" i="1"/>
  <c r="B11630" i="1"/>
  <c r="O11629" i="1"/>
  <c r="E11629" i="1"/>
  <c r="B11629" i="1"/>
  <c r="O11628" i="1"/>
  <c r="E11628" i="1"/>
  <c r="B11628" i="1"/>
  <c r="O11627" i="1"/>
  <c r="E11627" i="1"/>
  <c r="B11627" i="1"/>
  <c r="O11626" i="1"/>
  <c r="E11626" i="1"/>
  <c r="B11626" i="1"/>
  <c r="O11625" i="1"/>
  <c r="E11625" i="1"/>
  <c r="B11625" i="1"/>
  <c r="O11624" i="1"/>
  <c r="E11624" i="1"/>
  <c r="B11624" i="1"/>
  <c r="O11623" i="1"/>
  <c r="E11623" i="1"/>
  <c r="B11623" i="1"/>
  <c r="O11622" i="1"/>
  <c r="E11622" i="1"/>
  <c r="B11622" i="1"/>
  <c r="O11621" i="1"/>
  <c r="E11621" i="1"/>
  <c r="B11621" i="1"/>
  <c r="O11620" i="1"/>
  <c r="E11620" i="1"/>
  <c r="B11620" i="1"/>
  <c r="O11619" i="1"/>
  <c r="E11619" i="1"/>
  <c r="B11619" i="1"/>
  <c r="O11618" i="1"/>
  <c r="E11618" i="1"/>
  <c r="B11618" i="1"/>
  <c r="O11617" i="1"/>
  <c r="E11617" i="1"/>
  <c r="B11617" i="1"/>
  <c r="O11616" i="1"/>
  <c r="E11616" i="1"/>
  <c r="B11616" i="1"/>
  <c r="O11615" i="1"/>
  <c r="E11615" i="1"/>
  <c r="B11615" i="1"/>
  <c r="O11614" i="1"/>
  <c r="E11614" i="1"/>
  <c r="B11614" i="1"/>
  <c r="O11613" i="1"/>
  <c r="E11613" i="1"/>
  <c r="B11613" i="1"/>
  <c r="O11612" i="1"/>
  <c r="E11612" i="1"/>
  <c r="B11612" i="1"/>
  <c r="O11611" i="1"/>
  <c r="E11611" i="1"/>
  <c r="B11611" i="1"/>
  <c r="O11610" i="1"/>
  <c r="E11610" i="1"/>
  <c r="B11610" i="1"/>
  <c r="O11609" i="1"/>
  <c r="E11609" i="1"/>
  <c r="B11609" i="1"/>
  <c r="O11608" i="1"/>
  <c r="E11608" i="1"/>
  <c r="B11608" i="1"/>
  <c r="O11607" i="1"/>
  <c r="E11607" i="1"/>
  <c r="B11607" i="1"/>
  <c r="O11606" i="1"/>
  <c r="E11606" i="1"/>
  <c r="B11606" i="1"/>
  <c r="O11605" i="1"/>
  <c r="E11605" i="1"/>
  <c r="B11605" i="1"/>
  <c r="O11604" i="1"/>
  <c r="E11604" i="1"/>
  <c r="B11604" i="1"/>
  <c r="O11603" i="1"/>
  <c r="E11603" i="1"/>
  <c r="B11603" i="1"/>
  <c r="O11602" i="1"/>
  <c r="E11602" i="1"/>
  <c r="B11602" i="1"/>
  <c r="O11601" i="1"/>
  <c r="E11601" i="1"/>
  <c r="B11601" i="1"/>
  <c r="O11600" i="1"/>
  <c r="E11600" i="1"/>
  <c r="B11600" i="1"/>
  <c r="O11599" i="1"/>
  <c r="E11599" i="1"/>
  <c r="B11599" i="1"/>
  <c r="O11598" i="1"/>
  <c r="E11598" i="1"/>
  <c r="B11598" i="1"/>
  <c r="O11597" i="1"/>
  <c r="E11597" i="1"/>
  <c r="B11597" i="1"/>
  <c r="O11596" i="1"/>
  <c r="E11596" i="1"/>
  <c r="B11596" i="1"/>
  <c r="O11595" i="1"/>
  <c r="E11595" i="1"/>
  <c r="B11595" i="1"/>
  <c r="O11594" i="1"/>
  <c r="E11594" i="1"/>
  <c r="B11594" i="1"/>
  <c r="O11593" i="1"/>
  <c r="E11593" i="1"/>
  <c r="B11593" i="1"/>
  <c r="O11592" i="1"/>
  <c r="E11592" i="1"/>
  <c r="B11592" i="1"/>
  <c r="O11591" i="1"/>
  <c r="E11591" i="1"/>
  <c r="B11591" i="1"/>
  <c r="O11590" i="1"/>
  <c r="E11590" i="1"/>
  <c r="B11590" i="1"/>
  <c r="O11589" i="1"/>
  <c r="E11589" i="1"/>
  <c r="B11589" i="1"/>
  <c r="O11588" i="1"/>
  <c r="E11588" i="1"/>
  <c r="B11588" i="1"/>
  <c r="O11587" i="1"/>
  <c r="E11587" i="1"/>
  <c r="B11587" i="1"/>
  <c r="O11586" i="1"/>
  <c r="E11586" i="1"/>
  <c r="B11586" i="1"/>
  <c r="O11585" i="1"/>
  <c r="E11585" i="1"/>
  <c r="B11585" i="1"/>
  <c r="O11584" i="1"/>
  <c r="E11584" i="1"/>
  <c r="B11584" i="1"/>
  <c r="O11583" i="1"/>
  <c r="E11583" i="1"/>
  <c r="B11583" i="1"/>
  <c r="O11582" i="1"/>
  <c r="E11582" i="1"/>
  <c r="B11582" i="1"/>
  <c r="O11581" i="1"/>
  <c r="E11581" i="1"/>
  <c r="B11581" i="1"/>
  <c r="O11580" i="1"/>
  <c r="E11580" i="1"/>
  <c r="B11580" i="1"/>
  <c r="O11579" i="1"/>
  <c r="E11579" i="1"/>
  <c r="B11579" i="1"/>
  <c r="O11578" i="1"/>
  <c r="E11578" i="1"/>
  <c r="B11578" i="1"/>
  <c r="O11577" i="1"/>
  <c r="E11577" i="1"/>
  <c r="B11577" i="1"/>
  <c r="O11576" i="1"/>
  <c r="E11576" i="1"/>
  <c r="B11576" i="1"/>
  <c r="O11575" i="1"/>
  <c r="E11575" i="1"/>
  <c r="B11575" i="1"/>
  <c r="O11574" i="1"/>
  <c r="E11574" i="1"/>
  <c r="B11574" i="1"/>
  <c r="O11573" i="1"/>
  <c r="E11573" i="1"/>
  <c r="B11573" i="1"/>
  <c r="O11572" i="1"/>
  <c r="E11572" i="1"/>
  <c r="B11572" i="1"/>
  <c r="O11571" i="1"/>
  <c r="E11571" i="1"/>
  <c r="B11571" i="1"/>
  <c r="O11570" i="1"/>
  <c r="E11570" i="1"/>
  <c r="B11570" i="1"/>
  <c r="O11569" i="1"/>
  <c r="E11569" i="1"/>
  <c r="B11569" i="1"/>
  <c r="O11568" i="1"/>
  <c r="E11568" i="1"/>
  <c r="B11568" i="1"/>
  <c r="O11567" i="1"/>
  <c r="E11567" i="1"/>
  <c r="B11567" i="1"/>
  <c r="O11566" i="1"/>
  <c r="E11566" i="1"/>
  <c r="B11566" i="1"/>
  <c r="O11565" i="1"/>
  <c r="E11565" i="1"/>
  <c r="B11565" i="1"/>
  <c r="O11564" i="1"/>
  <c r="E11564" i="1"/>
  <c r="B11564" i="1"/>
  <c r="O11563" i="1"/>
  <c r="E11563" i="1"/>
  <c r="B11563" i="1"/>
  <c r="O11562" i="1"/>
  <c r="E11562" i="1"/>
  <c r="B11562" i="1"/>
  <c r="O11561" i="1"/>
  <c r="E11561" i="1"/>
  <c r="B11561" i="1"/>
  <c r="O11560" i="1"/>
  <c r="E11560" i="1"/>
  <c r="B11560" i="1"/>
  <c r="O11559" i="1"/>
  <c r="E11559" i="1"/>
  <c r="B11559" i="1"/>
  <c r="O11558" i="1"/>
  <c r="E11558" i="1"/>
  <c r="B11558" i="1"/>
  <c r="O11557" i="1"/>
  <c r="E11557" i="1"/>
  <c r="B11557" i="1"/>
  <c r="O11556" i="1"/>
  <c r="E11556" i="1"/>
  <c r="B11556" i="1"/>
  <c r="O11555" i="1"/>
  <c r="E11555" i="1"/>
  <c r="B11555" i="1"/>
  <c r="O11554" i="1"/>
  <c r="E11554" i="1"/>
  <c r="B11554" i="1"/>
  <c r="O11553" i="1"/>
  <c r="E11553" i="1"/>
  <c r="B11553" i="1"/>
  <c r="O11552" i="1"/>
  <c r="E11552" i="1"/>
  <c r="B11552" i="1"/>
  <c r="O11551" i="1"/>
  <c r="E11551" i="1"/>
  <c r="B11551" i="1"/>
  <c r="O11550" i="1"/>
  <c r="E11550" i="1"/>
  <c r="B11550" i="1"/>
  <c r="O11549" i="1"/>
  <c r="E11549" i="1"/>
  <c r="B11549" i="1"/>
  <c r="O11548" i="1"/>
  <c r="E11548" i="1"/>
  <c r="B11548" i="1"/>
  <c r="O11547" i="1"/>
  <c r="E11547" i="1"/>
  <c r="B11547" i="1"/>
  <c r="O11546" i="1"/>
  <c r="E11546" i="1"/>
  <c r="B11546" i="1"/>
  <c r="O11545" i="1"/>
  <c r="E11545" i="1"/>
  <c r="B11545" i="1"/>
  <c r="O11544" i="1"/>
  <c r="E11544" i="1"/>
  <c r="B11544" i="1"/>
  <c r="O11543" i="1"/>
  <c r="E11543" i="1"/>
  <c r="B11543" i="1"/>
  <c r="O11542" i="1"/>
  <c r="E11542" i="1"/>
  <c r="B11542" i="1"/>
  <c r="O11541" i="1"/>
  <c r="E11541" i="1"/>
  <c r="B11541" i="1"/>
  <c r="O11540" i="1"/>
  <c r="E11540" i="1"/>
  <c r="B11540" i="1"/>
  <c r="O11539" i="1"/>
  <c r="E11539" i="1"/>
  <c r="B11539" i="1"/>
  <c r="O11538" i="1"/>
  <c r="E11538" i="1"/>
  <c r="B11538" i="1"/>
  <c r="O11537" i="1"/>
  <c r="E11537" i="1"/>
  <c r="B11537" i="1"/>
  <c r="O11536" i="1"/>
  <c r="E11536" i="1"/>
  <c r="B11536" i="1"/>
  <c r="O11535" i="1"/>
  <c r="E11535" i="1"/>
  <c r="B11535" i="1"/>
  <c r="O11534" i="1"/>
  <c r="E11534" i="1"/>
  <c r="B11534" i="1"/>
  <c r="O11533" i="1"/>
  <c r="E11533" i="1"/>
  <c r="B11533" i="1"/>
  <c r="O11532" i="1"/>
  <c r="E11532" i="1"/>
  <c r="B11532" i="1"/>
  <c r="O11531" i="1"/>
  <c r="E11531" i="1"/>
  <c r="B11531" i="1"/>
  <c r="O11530" i="1"/>
  <c r="E11530" i="1"/>
  <c r="B11530" i="1"/>
  <c r="O11529" i="1"/>
  <c r="E11529" i="1"/>
  <c r="B11529" i="1"/>
  <c r="O11528" i="1"/>
  <c r="E11528" i="1"/>
  <c r="B11528" i="1"/>
  <c r="O11527" i="1"/>
  <c r="E11527" i="1"/>
  <c r="B11527" i="1"/>
  <c r="O11526" i="1"/>
  <c r="E11526" i="1"/>
  <c r="B11526" i="1"/>
  <c r="O11525" i="1"/>
  <c r="E11525" i="1"/>
  <c r="B11525" i="1"/>
  <c r="O11524" i="1"/>
  <c r="E11524" i="1"/>
  <c r="B11524" i="1"/>
  <c r="O11523" i="1"/>
  <c r="E11523" i="1"/>
  <c r="B11523" i="1"/>
  <c r="O11522" i="1"/>
  <c r="E11522" i="1"/>
  <c r="B11522" i="1"/>
  <c r="O11521" i="1"/>
  <c r="E11521" i="1"/>
  <c r="B11521" i="1"/>
  <c r="O11520" i="1"/>
  <c r="E11520" i="1"/>
  <c r="B11520" i="1"/>
  <c r="O11519" i="1"/>
  <c r="E11519" i="1"/>
  <c r="B11519" i="1"/>
  <c r="O11518" i="1"/>
  <c r="E11518" i="1"/>
  <c r="B11518" i="1"/>
  <c r="O11517" i="1"/>
  <c r="E11517" i="1"/>
  <c r="B11517" i="1"/>
  <c r="O11516" i="1"/>
  <c r="E11516" i="1"/>
  <c r="B11516" i="1"/>
  <c r="O11515" i="1"/>
  <c r="E11515" i="1"/>
  <c r="B11515" i="1"/>
  <c r="O11514" i="1"/>
  <c r="E11514" i="1"/>
  <c r="B11514" i="1"/>
  <c r="O11513" i="1"/>
  <c r="E11513" i="1"/>
  <c r="B11513" i="1"/>
  <c r="O11512" i="1"/>
  <c r="E11512" i="1"/>
  <c r="B11512" i="1"/>
  <c r="O11511" i="1"/>
  <c r="E11511" i="1"/>
  <c r="B11511" i="1"/>
  <c r="O11510" i="1"/>
  <c r="E11510" i="1"/>
  <c r="B11510" i="1"/>
  <c r="O11509" i="1"/>
  <c r="E11509" i="1"/>
  <c r="B11509" i="1"/>
  <c r="O11508" i="1"/>
  <c r="E11508" i="1"/>
  <c r="B11508" i="1"/>
  <c r="O11507" i="1"/>
  <c r="E11507" i="1"/>
  <c r="B11507" i="1"/>
  <c r="O11506" i="1"/>
  <c r="E11506" i="1"/>
  <c r="B11506" i="1"/>
  <c r="O11505" i="1"/>
  <c r="E11505" i="1"/>
  <c r="B11505" i="1"/>
  <c r="O11504" i="1"/>
  <c r="E11504" i="1"/>
  <c r="B11504" i="1"/>
  <c r="O11503" i="1"/>
  <c r="E11503" i="1"/>
  <c r="B11503" i="1"/>
  <c r="O11502" i="1"/>
  <c r="E11502" i="1"/>
  <c r="B11502" i="1"/>
  <c r="O11501" i="1"/>
  <c r="E11501" i="1"/>
  <c r="B11501" i="1"/>
  <c r="O11500" i="1"/>
  <c r="E11500" i="1"/>
  <c r="B11500" i="1"/>
  <c r="O11499" i="1"/>
  <c r="E11499" i="1"/>
  <c r="B11499" i="1"/>
  <c r="O11498" i="1"/>
  <c r="E11498" i="1"/>
  <c r="B11498" i="1"/>
  <c r="O11497" i="1"/>
  <c r="E11497" i="1"/>
  <c r="B11497" i="1"/>
  <c r="O11496" i="1"/>
  <c r="E11496" i="1"/>
  <c r="B11496" i="1"/>
  <c r="O11495" i="1"/>
  <c r="E11495" i="1"/>
  <c r="B11495" i="1"/>
  <c r="O11494" i="1"/>
  <c r="E11494" i="1"/>
  <c r="B11494" i="1"/>
  <c r="O11493" i="1"/>
  <c r="E11493" i="1"/>
  <c r="B11493" i="1"/>
  <c r="O11492" i="1"/>
  <c r="E11492" i="1"/>
  <c r="B11492" i="1"/>
  <c r="O11491" i="1"/>
  <c r="E11491" i="1"/>
  <c r="B11491" i="1"/>
  <c r="O11490" i="1"/>
  <c r="E11490" i="1"/>
  <c r="B11490" i="1"/>
  <c r="O11489" i="1"/>
  <c r="E11489" i="1"/>
  <c r="B11489" i="1"/>
  <c r="O11488" i="1"/>
  <c r="E11488" i="1"/>
  <c r="B11488" i="1"/>
  <c r="O11487" i="1"/>
  <c r="E11487" i="1"/>
  <c r="B11487" i="1"/>
  <c r="O11486" i="1"/>
  <c r="E11486" i="1"/>
  <c r="B11486" i="1"/>
  <c r="O11485" i="1"/>
  <c r="E11485" i="1"/>
  <c r="B11485" i="1"/>
  <c r="O11484" i="1"/>
  <c r="E11484" i="1"/>
  <c r="B11484" i="1"/>
  <c r="O11483" i="1"/>
  <c r="E11483" i="1"/>
  <c r="B11483" i="1"/>
  <c r="O11482" i="1"/>
  <c r="E11482" i="1"/>
  <c r="B11482" i="1"/>
  <c r="O11481" i="1"/>
  <c r="E11481" i="1"/>
  <c r="B11481" i="1"/>
  <c r="O11480" i="1"/>
  <c r="E11480" i="1"/>
  <c r="B11480" i="1"/>
  <c r="O11479" i="1"/>
  <c r="E11479" i="1"/>
  <c r="B11479" i="1"/>
  <c r="O11478" i="1"/>
  <c r="E11478" i="1"/>
  <c r="B11478" i="1"/>
  <c r="O11477" i="1"/>
  <c r="E11477" i="1"/>
  <c r="B11477" i="1"/>
  <c r="O11476" i="1"/>
  <c r="E11476" i="1"/>
  <c r="B11476" i="1"/>
  <c r="O11475" i="1"/>
  <c r="E11475" i="1"/>
  <c r="B11475" i="1"/>
  <c r="O11474" i="1"/>
  <c r="E11474" i="1"/>
  <c r="B11474" i="1"/>
  <c r="O11473" i="1"/>
  <c r="E11473" i="1"/>
  <c r="B11473" i="1"/>
  <c r="O11472" i="1"/>
  <c r="E11472" i="1"/>
  <c r="B11472" i="1"/>
  <c r="O11471" i="1"/>
  <c r="E11471" i="1"/>
  <c r="B11471" i="1"/>
  <c r="O11470" i="1"/>
  <c r="E11470" i="1"/>
  <c r="B11470" i="1"/>
  <c r="O11469" i="1"/>
  <c r="E11469" i="1"/>
  <c r="B11469" i="1"/>
  <c r="O11468" i="1"/>
  <c r="E11468" i="1"/>
  <c r="B11468" i="1"/>
  <c r="O11467" i="1"/>
  <c r="E11467" i="1"/>
  <c r="B11467" i="1"/>
  <c r="O11466" i="1"/>
  <c r="E11466" i="1"/>
  <c r="B11466" i="1"/>
  <c r="O11465" i="1"/>
  <c r="E11465" i="1"/>
  <c r="B11465" i="1"/>
  <c r="O11464" i="1"/>
  <c r="E11464" i="1"/>
  <c r="B11464" i="1"/>
  <c r="O11463" i="1"/>
  <c r="E11463" i="1"/>
  <c r="B11463" i="1"/>
  <c r="O11462" i="1"/>
  <c r="E11462" i="1"/>
  <c r="B11462" i="1"/>
  <c r="O11461" i="1"/>
  <c r="E11461" i="1"/>
  <c r="B11461" i="1"/>
  <c r="O11460" i="1"/>
  <c r="E11460" i="1"/>
  <c r="B11460" i="1"/>
  <c r="O11459" i="1"/>
  <c r="E11459" i="1"/>
  <c r="B11459" i="1"/>
  <c r="O11458" i="1"/>
  <c r="E11458" i="1"/>
  <c r="B11458" i="1"/>
  <c r="O11457" i="1"/>
  <c r="E11457" i="1"/>
  <c r="B11457" i="1"/>
  <c r="O11456" i="1"/>
  <c r="E11456" i="1"/>
  <c r="B11456" i="1"/>
  <c r="O11455" i="1"/>
  <c r="E11455" i="1"/>
  <c r="B11455" i="1"/>
  <c r="O11454" i="1"/>
  <c r="E11454" i="1"/>
  <c r="B11454" i="1"/>
  <c r="O11453" i="1"/>
  <c r="E11453" i="1"/>
  <c r="B11453" i="1"/>
  <c r="O11452" i="1"/>
  <c r="E11452" i="1"/>
  <c r="B11452" i="1"/>
  <c r="O11451" i="1"/>
  <c r="E11451" i="1"/>
  <c r="B11451" i="1"/>
  <c r="O11450" i="1"/>
  <c r="E11450" i="1"/>
  <c r="B11450" i="1"/>
  <c r="O11449" i="1"/>
  <c r="E11449" i="1"/>
  <c r="B11449" i="1"/>
  <c r="O11448" i="1"/>
  <c r="E11448" i="1"/>
  <c r="B11448" i="1"/>
  <c r="O11447" i="1"/>
  <c r="E11447" i="1"/>
  <c r="B11447" i="1"/>
  <c r="O11446" i="1"/>
  <c r="E11446" i="1"/>
  <c r="B11446" i="1"/>
  <c r="O11445" i="1"/>
  <c r="E11445" i="1"/>
  <c r="B11445" i="1"/>
  <c r="O11444" i="1"/>
  <c r="E11444" i="1"/>
  <c r="B11444" i="1"/>
  <c r="O11443" i="1"/>
  <c r="E11443" i="1"/>
  <c r="B11443" i="1"/>
  <c r="O11442" i="1"/>
  <c r="E11442" i="1"/>
  <c r="B11442" i="1"/>
  <c r="O11441" i="1"/>
  <c r="E11441" i="1"/>
  <c r="B11441" i="1"/>
  <c r="O11440" i="1"/>
  <c r="E11440" i="1"/>
  <c r="B11440" i="1"/>
  <c r="O11439" i="1"/>
  <c r="E11439" i="1"/>
  <c r="B11439" i="1"/>
  <c r="O11438" i="1"/>
  <c r="E11438" i="1"/>
  <c r="B11438" i="1"/>
  <c r="O11437" i="1"/>
  <c r="E11437" i="1"/>
  <c r="B11437" i="1"/>
  <c r="O11436" i="1"/>
  <c r="E11436" i="1"/>
  <c r="B11436" i="1"/>
  <c r="O11435" i="1"/>
  <c r="E11435" i="1"/>
  <c r="B11435" i="1"/>
  <c r="O11434" i="1"/>
  <c r="E11434" i="1"/>
  <c r="B11434" i="1"/>
  <c r="O11433" i="1"/>
  <c r="E11433" i="1"/>
  <c r="B11433" i="1"/>
  <c r="O11432" i="1"/>
  <c r="E11432" i="1"/>
  <c r="B11432" i="1"/>
  <c r="O11431" i="1"/>
  <c r="E11431" i="1"/>
  <c r="B11431" i="1"/>
  <c r="O11430" i="1"/>
  <c r="E11430" i="1"/>
  <c r="B11430" i="1"/>
  <c r="O11429" i="1"/>
  <c r="E11429" i="1"/>
  <c r="B11429" i="1"/>
  <c r="O11428" i="1"/>
  <c r="E11428" i="1"/>
  <c r="B11428" i="1"/>
  <c r="O11427" i="1"/>
  <c r="E11427" i="1"/>
  <c r="B11427" i="1"/>
  <c r="O11426" i="1"/>
  <c r="E11426" i="1"/>
  <c r="B11426" i="1"/>
  <c r="O11425" i="1"/>
  <c r="E11425" i="1"/>
  <c r="B11425" i="1"/>
  <c r="O11424" i="1"/>
  <c r="E11424" i="1"/>
  <c r="B11424" i="1"/>
  <c r="O11423" i="1"/>
  <c r="E11423" i="1"/>
  <c r="B11423" i="1"/>
  <c r="O11422" i="1"/>
  <c r="E11422" i="1"/>
  <c r="B11422" i="1"/>
  <c r="O11421" i="1"/>
  <c r="E11421" i="1"/>
  <c r="B11421" i="1"/>
  <c r="O11420" i="1"/>
  <c r="E11420" i="1"/>
  <c r="B11420" i="1"/>
  <c r="O11419" i="1"/>
  <c r="E11419" i="1"/>
  <c r="B11419" i="1"/>
  <c r="O11418" i="1"/>
  <c r="E11418" i="1"/>
  <c r="B11418" i="1"/>
  <c r="O11417" i="1"/>
  <c r="E11417" i="1"/>
  <c r="B11417" i="1"/>
  <c r="O11416" i="1"/>
  <c r="E11416" i="1"/>
  <c r="B11416" i="1"/>
  <c r="O11415" i="1"/>
  <c r="E11415" i="1"/>
  <c r="B11415" i="1"/>
  <c r="O11414" i="1"/>
  <c r="E11414" i="1"/>
  <c r="B11414" i="1"/>
  <c r="O11413" i="1"/>
  <c r="E11413" i="1"/>
  <c r="B11413" i="1"/>
  <c r="O11412" i="1"/>
  <c r="E11412" i="1"/>
  <c r="B11412" i="1"/>
  <c r="O11411" i="1"/>
  <c r="E11411" i="1"/>
  <c r="B11411" i="1"/>
  <c r="O11410" i="1"/>
  <c r="E11410" i="1"/>
  <c r="B11410" i="1"/>
  <c r="O11409" i="1"/>
  <c r="E11409" i="1"/>
  <c r="B11409" i="1"/>
  <c r="O11408" i="1"/>
  <c r="E11408" i="1"/>
  <c r="B11408" i="1"/>
  <c r="O11407" i="1"/>
  <c r="E11407" i="1"/>
  <c r="B11407" i="1"/>
  <c r="O11406" i="1"/>
  <c r="E11406" i="1"/>
  <c r="B11406" i="1"/>
  <c r="O11405" i="1"/>
  <c r="E11405" i="1"/>
  <c r="B11405" i="1"/>
  <c r="O11404" i="1"/>
  <c r="E11404" i="1"/>
  <c r="B11404" i="1"/>
  <c r="O11403" i="1"/>
  <c r="E11403" i="1"/>
  <c r="B11403" i="1"/>
  <c r="O11402" i="1"/>
  <c r="E11402" i="1"/>
  <c r="B11402" i="1"/>
  <c r="O11401" i="1"/>
  <c r="E11401" i="1"/>
  <c r="B11401" i="1"/>
  <c r="O11400" i="1"/>
  <c r="E11400" i="1"/>
  <c r="B11400" i="1"/>
  <c r="O11399" i="1"/>
  <c r="E11399" i="1"/>
  <c r="B11399" i="1"/>
  <c r="O11398" i="1"/>
  <c r="E11398" i="1"/>
  <c r="B11398" i="1"/>
  <c r="O11397" i="1"/>
  <c r="E11397" i="1"/>
  <c r="B11397" i="1"/>
  <c r="O11396" i="1"/>
  <c r="E11396" i="1"/>
  <c r="B11396" i="1"/>
  <c r="O11395" i="1"/>
  <c r="E11395" i="1"/>
  <c r="B11395" i="1"/>
  <c r="O11394" i="1"/>
  <c r="E11394" i="1"/>
  <c r="B11394" i="1"/>
  <c r="O11393" i="1"/>
  <c r="E11393" i="1"/>
  <c r="B11393" i="1"/>
  <c r="O11392" i="1"/>
  <c r="E11392" i="1"/>
  <c r="B11392" i="1"/>
  <c r="O11391" i="1"/>
  <c r="E11391" i="1"/>
  <c r="B11391" i="1"/>
  <c r="O11390" i="1"/>
  <c r="E11390" i="1"/>
  <c r="B11390" i="1"/>
  <c r="O11389" i="1"/>
  <c r="E11389" i="1"/>
  <c r="B11389" i="1"/>
  <c r="O11388" i="1"/>
  <c r="E11388" i="1"/>
  <c r="B11388" i="1"/>
  <c r="O11387" i="1"/>
  <c r="E11387" i="1"/>
  <c r="B11387" i="1"/>
  <c r="O11386" i="1"/>
  <c r="E11386" i="1"/>
  <c r="B11386" i="1"/>
  <c r="O11385" i="1"/>
  <c r="E11385" i="1"/>
  <c r="B11385" i="1"/>
  <c r="O11384" i="1"/>
  <c r="E11384" i="1"/>
  <c r="B11384" i="1"/>
  <c r="O11383" i="1"/>
  <c r="E11383" i="1"/>
  <c r="B11383" i="1"/>
  <c r="O11382" i="1"/>
  <c r="E11382" i="1"/>
  <c r="B11382" i="1"/>
  <c r="O11381" i="1"/>
  <c r="E11381" i="1"/>
  <c r="B11381" i="1"/>
  <c r="O11380" i="1"/>
  <c r="E11380" i="1"/>
  <c r="B11380" i="1"/>
  <c r="O11379" i="1"/>
  <c r="E11379" i="1"/>
  <c r="B11379" i="1"/>
  <c r="O11378" i="1"/>
  <c r="E11378" i="1"/>
  <c r="B11378" i="1"/>
  <c r="O11377" i="1"/>
  <c r="E11377" i="1"/>
  <c r="B11377" i="1"/>
  <c r="O11376" i="1"/>
  <c r="E11376" i="1"/>
  <c r="B11376" i="1"/>
  <c r="O11375" i="1"/>
  <c r="E11375" i="1"/>
  <c r="B11375" i="1"/>
  <c r="O11374" i="1"/>
  <c r="E11374" i="1"/>
  <c r="B11374" i="1"/>
  <c r="O11373" i="1"/>
  <c r="E11373" i="1"/>
  <c r="B11373" i="1"/>
  <c r="O11372" i="1"/>
  <c r="E11372" i="1"/>
  <c r="B11372" i="1"/>
  <c r="O11371" i="1"/>
  <c r="E11371" i="1"/>
  <c r="B11371" i="1"/>
  <c r="O11370" i="1"/>
  <c r="E11370" i="1"/>
  <c r="B11370" i="1"/>
  <c r="O11369" i="1"/>
  <c r="E11369" i="1"/>
  <c r="B11369" i="1"/>
  <c r="O11368" i="1"/>
  <c r="E11368" i="1"/>
  <c r="B11368" i="1"/>
  <c r="O11367" i="1"/>
  <c r="E11367" i="1"/>
  <c r="B11367" i="1"/>
  <c r="O11366" i="1"/>
  <c r="E11366" i="1"/>
  <c r="B11366" i="1"/>
  <c r="O11365" i="1"/>
  <c r="E11365" i="1"/>
  <c r="B11365" i="1"/>
  <c r="O11364" i="1"/>
  <c r="E11364" i="1"/>
  <c r="B11364" i="1"/>
  <c r="O11363" i="1"/>
  <c r="E11363" i="1"/>
  <c r="B11363" i="1"/>
  <c r="O11362" i="1"/>
  <c r="E11362" i="1"/>
  <c r="B11362" i="1"/>
  <c r="O11361" i="1"/>
  <c r="E11361" i="1"/>
  <c r="B11361" i="1"/>
  <c r="O11360" i="1"/>
  <c r="E11360" i="1"/>
  <c r="B11360" i="1"/>
  <c r="O11359" i="1"/>
  <c r="E11359" i="1"/>
  <c r="B11359" i="1"/>
  <c r="O11358" i="1"/>
  <c r="E11358" i="1"/>
  <c r="B11358" i="1"/>
  <c r="O11357" i="1"/>
  <c r="E11357" i="1"/>
  <c r="B11357" i="1"/>
  <c r="O11356" i="1"/>
  <c r="E11356" i="1"/>
  <c r="B11356" i="1"/>
  <c r="O11355" i="1"/>
  <c r="E11355" i="1"/>
  <c r="B11355" i="1"/>
  <c r="O11354" i="1"/>
  <c r="E11354" i="1"/>
  <c r="B11354" i="1"/>
  <c r="O11353" i="1"/>
  <c r="E11353" i="1"/>
  <c r="B11353" i="1"/>
  <c r="O11352" i="1"/>
  <c r="E11352" i="1"/>
  <c r="B11352" i="1"/>
  <c r="O11351" i="1"/>
  <c r="E11351" i="1"/>
  <c r="B11351" i="1"/>
  <c r="O11350" i="1"/>
  <c r="E11350" i="1"/>
  <c r="B11350" i="1"/>
  <c r="O11349" i="1"/>
  <c r="E11349" i="1"/>
  <c r="B11349" i="1"/>
  <c r="O11348" i="1"/>
  <c r="E11348" i="1"/>
  <c r="B11348" i="1"/>
  <c r="O11347" i="1"/>
  <c r="E11347" i="1"/>
  <c r="B11347" i="1"/>
  <c r="O11346" i="1"/>
  <c r="E11346" i="1"/>
  <c r="B11346" i="1"/>
  <c r="O11345" i="1"/>
  <c r="E11345" i="1"/>
  <c r="B11345" i="1"/>
  <c r="O11344" i="1"/>
  <c r="E11344" i="1"/>
  <c r="B11344" i="1"/>
  <c r="O11343" i="1"/>
  <c r="E11343" i="1"/>
  <c r="B11343" i="1"/>
  <c r="O11342" i="1"/>
  <c r="E11342" i="1"/>
  <c r="B11342" i="1"/>
  <c r="O11341" i="1"/>
  <c r="E11341" i="1"/>
  <c r="B11341" i="1"/>
  <c r="O11340" i="1"/>
  <c r="E11340" i="1"/>
  <c r="B11340" i="1"/>
  <c r="O11339" i="1"/>
  <c r="E11339" i="1"/>
  <c r="B11339" i="1"/>
  <c r="O11338" i="1"/>
  <c r="E11338" i="1"/>
  <c r="B11338" i="1"/>
  <c r="O11337" i="1"/>
  <c r="E11337" i="1"/>
  <c r="B11337" i="1"/>
  <c r="O11336" i="1"/>
  <c r="E11336" i="1"/>
  <c r="B11336" i="1"/>
  <c r="O11335" i="1"/>
  <c r="E11335" i="1"/>
  <c r="B11335" i="1"/>
  <c r="O11334" i="1"/>
  <c r="E11334" i="1"/>
  <c r="B11334" i="1"/>
  <c r="O11333" i="1"/>
  <c r="E11333" i="1"/>
  <c r="B11333" i="1"/>
  <c r="O11332" i="1"/>
  <c r="E11332" i="1"/>
  <c r="B11332" i="1"/>
  <c r="O11331" i="1"/>
  <c r="E11331" i="1"/>
  <c r="B11331" i="1"/>
  <c r="O11330" i="1"/>
  <c r="E11330" i="1"/>
  <c r="B11330" i="1"/>
  <c r="O11329" i="1"/>
  <c r="E11329" i="1"/>
  <c r="B11329" i="1"/>
  <c r="O11328" i="1"/>
  <c r="E11328" i="1"/>
  <c r="B11328" i="1"/>
  <c r="O11327" i="1"/>
  <c r="E11327" i="1"/>
  <c r="B11327" i="1"/>
  <c r="O11326" i="1"/>
  <c r="E11326" i="1"/>
  <c r="B11326" i="1"/>
  <c r="O11325" i="1"/>
  <c r="E11325" i="1"/>
  <c r="B11325" i="1"/>
  <c r="O11324" i="1"/>
  <c r="E11324" i="1"/>
  <c r="B11324" i="1"/>
  <c r="O11323" i="1"/>
  <c r="E11323" i="1"/>
  <c r="B11323" i="1"/>
  <c r="O11322" i="1"/>
  <c r="E11322" i="1"/>
  <c r="B11322" i="1"/>
  <c r="O11321" i="1"/>
  <c r="E11321" i="1"/>
  <c r="B11321" i="1"/>
  <c r="O11320" i="1"/>
  <c r="E11320" i="1"/>
  <c r="B11320" i="1"/>
  <c r="O11319" i="1"/>
  <c r="E11319" i="1"/>
  <c r="B11319" i="1"/>
  <c r="O11318" i="1"/>
  <c r="E11318" i="1"/>
  <c r="B11318" i="1"/>
  <c r="O11317" i="1"/>
  <c r="E11317" i="1"/>
  <c r="B11317" i="1"/>
  <c r="O11316" i="1"/>
  <c r="E11316" i="1"/>
  <c r="B11316" i="1"/>
  <c r="O11315" i="1"/>
  <c r="E11315" i="1"/>
  <c r="B11315" i="1"/>
  <c r="O11314" i="1"/>
  <c r="E11314" i="1"/>
  <c r="B11314" i="1"/>
  <c r="O11313" i="1"/>
  <c r="E11313" i="1"/>
  <c r="B11313" i="1"/>
  <c r="O11312" i="1"/>
  <c r="E11312" i="1"/>
  <c r="B11312" i="1"/>
  <c r="O11311" i="1"/>
  <c r="E11311" i="1"/>
  <c r="B11311" i="1"/>
  <c r="O11310" i="1"/>
  <c r="E11310" i="1"/>
  <c r="B11310" i="1"/>
  <c r="O11309" i="1"/>
  <c r="E11309" i="1"/>
  <c r="B11309" i="1"/>
  <c r="O11308" i="1"/>
  <c r="E11308" i="1"/>
  <c r="B11308" i="1"/>
  <c r="O11307" i="1"/>
  <c r="E11307" i="1"/>
  <c r="B11307" i="1"/>
  <c r="O11306" i="1"/>
  <c r="E11306" i="1"/>
  <c r="B11306" i="1"/>
  <c r="O11305" i="1"/>
  <c r="E11305" i="1"/>
  <c r="B11305" i="1"/>
  <c r="O11304" i="1"/>
  <c r="E11304" i="1"/>
  <c r="B11304" i="1"/>
  <c r="O11303" i="1"/>
  <c r="E11303" i="1"/>
  <c r="B11303" i="1"/>
  <c r="O11302" i="1"/>
  <c r="E11302" i="1"/>
  <c r="B11302" i="1"/>
  <c r="O11301" i="1"/>
  <c r="E11301" i="1"/>
  <c r="B11301" i="1"/>
  <c r="O11300" i="1"/>
  <c r="E11300" i="1"/>
  <c r="B11300" i="1"/>
  <c r="O11299" i="1"/>
  <c r="E11299" i="1"/>
  <c r="B11299" i="1"/>
  <c r="O11298" i="1"/>
  <c r="E11298" i="1"/>
  <c r="B11298" i="1"/>
  <c r="O11297" i="1"/>
  <c r="E11297" i="1"/>
  <c r="B11297" i="1"/>
  <c r="O11296" i="1"/>
  <c r="E11296" i="1"/>
  <c r="B11296" i="1"/>
  <c r="O11295" i="1"/>
  <c r="E11295" i="1"/>
  <c r="B11295" i="1"/>
  <c r="O11294" i="1"/>
  <c r="E11294" i="1"/>
  <c r="B11294" i="1"/>
  <c r="O11293" i="1"/>
  <c r="E11293" i="1"/>
  <c r="B11293" i="1"/>
  <c r="O11292" i="1"/>
  <c r="E11292" i="1"/>
  <c r="B11292" i="1"/>
  <c r="O11291" i="1"/>
  <c r="E11291" i="1"/>
  <c r="B11291" i="1"/>
  <c r="O11290" i="1"/>
  <c r="E11290" i="1"/>
  <c r="B11290" i="1"/>
  <c r="O11289" i="1"/>
  <c r="E11289" i="1"/>
  <c r="B11289" i="1"/>
  <c r="O11288" i="1"/>
  <c r="E11288" i="1"/>
  <c r="B11288" i="1"/>
  <c r="O11287" i="1"/>
  <c r="E11287" i="1"/>
  <c r="B11287" i="1"/>
  <c r="O11286" i="1"/>
  <c r="E11286" i="1"/>
  <c r="B11286" i="1"/>
  <c r="O11285" i="1"/>
  <c r="E11285" i="1"/>
  <c r="B11285" i="1"/>
  <c r="O11284" i="1"/>
  <c r="E11284" i="1"/>
  <c r="B11284" i="1"/>
  <c r="O11283" i="1"/>
  <c r="E11283" i="1"/>
  <c r="B11283" i="1"/>
  <c r="O11282" i="1"/>
  <c r="E11282" i="1"/>
  <c r="B11282" i="1"/>
  <c r="O11281" i="1"/>
  <c r="E11281" i="1"/>
  <c r="B11281" i="1"/>
  <c r="O11280" i="1"/>
  <c r="E11280" i="1"/>
  <c r="B11280" i="1"/>
  <c r="O11279" i="1"/>
  <c r="E11279" i="1"/>
  <c r="B11279" i="1"/>
  <c r="O11278" i="1"/>
  <c r="E11278" i="1"/>
  <c r="B11278" i="1"/>
  <c r="O11277" i="1"/>
  <c r="E11277" i="1"/>
  <c r="B11277" i="1"/>
  <c r="O11276" i="1"/>
  <c r="E11276" i="1"/>
  <c r="B11276" i="1"/>
  <c r="O11275" i="1"/>
  <c r="E11275" i="1"/>
  <c r="B11275" i="1"/>
  <c r="O11274" i="1"/>
  <c r="E11274" i="1"/>
  <c r="B11274" i="1"/>
  <c r="O11273" i="1"/>
  <c r="E11273" i="1"/>
  <c r="B11273" i="1"/>
  <c r="O11272" i="1"/>
  <c r="E11272" i="1"/>
  <c r="B11272" i="1"/>
  <c r="O11271" i="1"/>
  <c r="E11271" i="1"/>
  <c r="B11271" i="1"/>
  <c r="O11270" i="1"/>
  <c r="E11270" i="1"/>
  <c r="B11270" i="1"/>
  <c r="O11269" i="1"/>
  <c r="E11269" i="1"/>
  <c r="B11269" i="1"/>
  <c r="O11268" i="1"/>
  <c r="E11268" i="1"/>
  <c r="B11268" i="1"/>
  <c r="O11267" i="1"/>
  <c r="E11267" i="1"/>
  <c r="B11267" i="1"/>
  <c r="O11266" i="1"/>
  <c r="E11266" i="1"/>
  <c r="B11266" i="1"/>
  <c r="O11265" i="1"/>
  <c r="E11265" i="1"/>
  <c r="B11265" i="1"/>
  <c r="O11264" i="1"/>
  <c r="E11264" i="1"/>
  <c r="B11264" i="1"/>
  <c r="O11263" i="1"/>
  <c r="E11263" i="1"/>
  <c r="B11263" i="1"/>
  <c r="O11262" i="1"/>
  <c r="E11262" i="1"/>
  <c r="B11262" i="1"/>
  <c r="O11261" i="1"/>
  <c r="E11261" i="1"/>
  <c r="B11261" i="1"/>
  <c r="O11260" i="1"/>
  <c r="E11260" i="1"/>
  <c r="B11260" i="1"/>
  <c r="O11259" i="1"/>
  <c r="E11259" i="1"/>
  <c r="B11259" i="1"/>
  <c r="O11258" i="1"/>
  <c r="E11258" i="1"/>
  <c r="B11258" i="1"/>
  <c r="O11257" i="1"/>
  <c r="E11257" i="1"/>
  <c r="B11257" i="1"/>
  <c r="O11256" i="1"/>
  <c r="E11256" i="1"/>
  <c r="B11256" i="1"/>
  <c r="O11255" i="1"/>
  <c r="E11255" i="1"/>
  <c r="B11255" i="1"/>
  <c r="O11254" i="1"/>
  <c r="E11254" i="1"/>
  <c r="B11254" i="1"/>
  <c r="O11253" i="1"/>
  <c r="E11253" i="1"/>
  <c r="B11253" i="1"/>
  <c r="O11252" i="1"/>
  <c r="E11252" i="1"/>
  <c r="B11252" i="1"/>
  <c r="O11251" i="1"/>
  <c r="E11251" i="1"/>
  <c r="B11251" i="1"/>
  <c r="O11250" i="1"/>
  <c r="E11250" i="1"/>
  <c r="B11250" i="1"/>
  <c r="O11249" i="1"/>
  <c r="E11249" i="1"/>
  <c r="B11249" i="1"/>
  <c r="O11248" i="1"/>
  <c r="E11248" i="1"/>
  <c r="B11248" i="1"/>
  <c r="O11247" i="1"/>
  <c r="E11247" i="1"/>
  <c r="B11247" i="1"/>
  <c r="O11246" i="1"/>
  <c r="E11246" i="1"/>
  <c r="B11246" i="1"/>
  <c r="O11245" i="1"/>
  <c r="E11245" i="1"/>
  <c r="B11245" i="1"/>
  <c r="O11244" i="1"/>
  <c r="E11244" i="1"/>
  <c r="B11244" i="1"/>
  <c r="O11243" i="1"/>
  <c r="E11243" i="1"/>
  <c r="B11243" i="1"/>
  <c r="O11242" i="1"/>
  <c r="E11242" i="1"/>
  <c r="B11242" i="1"/>
  <c r="O11241" i="1"/>
  <c r="E11241" i="1"/>
  <c r="B11241" i="1"/>
  <c r="O11240" i="1"/>
  <c r="E11240" i="1"/>
  <c r="B11240" i="1"/>
  <c r="O11239" i="1"/>
  <c r="E11239" i="1"/>
  <c r="B11239" i="1"/>
  <c r="O11238" i="1"/>
  <c r="E11238" i="1"/>
  <c r="B11238" i="1"/>
  <c r="O11237" i="1"/>
  <c r="E11237" i="1"/>
  <c r="B11237" i="1"/>
  <c r="O11236" i="1"/>
  <c r="E11236" i="1"/>
  <c r="B11236" i="1"/>
  <c r="O11235" i="1"/>
  <c r="E11235" i="1"/>
  <c r="B11235" i="1"/>
  <c r="O11234" i="1"/>
  <c r="E11234" i="1"/>
  <c r="B11234" i="1"/>
  <c r="O11233" i="1"/>
  <c r="E11233" i="1"/>
  <c r="B11233" i="1"/>
  <c r="O11232" i="1"/>
  <c r="E11232" i="1"/>
  <c r="B11232" i="1"/>
  <c r="O11231" i="1"/>
  <c r="E11231" i="1"/>
  <c r="B11231" i="1"/>
  <c r="O11230" i="1"/>
  <c r="E11230" i="1"/>
  <c r="B11230" i="1"/>
  <c r="O11229" i="1"/>
  <c r="E11229" i="1"/>
  <c r="B11229" i="1"/>
  <c r="O11228" i="1"/>
  <c r="E11228" i="1"/>
  <c r="B11228" i="1"/>
  <c r="O11227" i="1"/>
  <c r="E11227" i="1"/>
  <c r="B11227" i="1"/>
  <c r="O11226" i="1"/>
  <c r="E11226" i="1"/>
  <c r="B11226" i="1"/>
  <c r="O11225" i="1"/>
  <c r="E11225" i="1"/>
  <c r="B11225" i="1"/>
  <c r="O11224" i="1"/>
  <c r="E11224" i="1"/>
  <c r="B11224" i="1"/>
  <c r="O11223" i="1"/>
  <c r="E11223" i="1"/>
  <c r="B11223" i="1"/>
  <c r="O11222" i="1"/>
  <c r="E11222" i="1"/>
  <c r="B11222" i="1"/>
  <c r="O11221" i="1"/>
  <c r="E11221" i="1"/>
  <c r="B11221" i="1"/>
  <c r="O11220" i="1"/>
  <c r="E11220" i="1"/>
  <c r="B11220" i="1"/>
  <c r="O11219" i="1"/>
  <c r="E11219" i="1"/>
  <c r="B11219" i="1"/>
  <c r="O11218" i="1"/>
  <c r="E11218" i="1"/>
  <c r="B11218" i="1"/>
  <c r="O11217" i="1"/>
  <c r="E11217" i="1"/>
  <c r="B11217" i="1"/>
  <c r="O11216" i="1"/>
  <c r="E11216" i="1"/>
  <c r="B11216" i="1"/>
  <c r="O11215" i="1"/>
  <c r="E11215" i="1"/>
  <c r="B11215" i="1"/>
  <c r="O11214" i="1"/>
  <c r="E11214" i="1"/>
  <c r="B11214" i="1"/>
  <c r="O11213" i="1"/>
  <c r="E11213" i="1"/>
  <c r="B11213" i="1"/>
  <c r="O11212" i="1"/>
  <c r="E11212" i="1"/>
  <c r="B11212" i="1"/>
  <c r="O11211" i="1"/>
  <c r="E11211" i="1"/>
  <c r="B11211" i="1"/>
  <c r="O11210" i="1"/>
  <c r="E11210" i="1"/>
  <c r="B11210" i="1"/>
  <c r="O11209" i="1"/>
  <c r="E11209" i="1"/>
  <c r="B11209" i="1"/>
  <c r="O11208" i="1"/>
  <c r="E11208" i="1"/>
  <c r="B11208" i="1"/>
  <c r="O11207" i="1"/>
  <c r="E11207" i="1"/>
  <c r="B11207" i="1"/>
  <c r="O11206" i="1"/>
  <c r="E11206" i="1"/>
  <c r="B11206" i="1"/>
  <c r="O11205" i="1"/>
  <c r="E11205" i="1"/>
  <c r="B11205" i="1"/>
  <c r="O11204" i="1"/>
  <c r="E11204" i="1"/>
  <c r="B11204" i="1"/>
  <c r="O11203" i="1"/>
  <c r="E11203" i="1"/>
  <c r="B11203" i="1"/>
  <c r="O11202" i="1"/>
  <c r="E11202" i="1"/>
  <c r="B11202" i="1"/>
  <c r="O11201" i="1"/>
  <c r="E11201" i="1"/>
  <c r="B11201" i="1"/>
  <c r="O11200" i="1"/>
  <c r="E11200" i="1"/>
  <c r="B11200" i="1"/>
  <c r="O11199" i="1"/>
  <c r="E11199" i="1"/>
  <c r="B11199" i="1"/>
  <c r="O11198" i="1"/>
  <c r="E11198" i="1"/>
  <c r="B11198" i="1"/>
  <c r="O11197" i="1"/>
  <c r="E11197" i="1"/>
  <c r="B11197" i="1"/>
  <c r="O11196" i="1"/>
  <c r="E11196" i="1"/>
  <c r="B11196" i="1"/>
  <c r="O11195" i="1"/>
  <c r="E11195" i="1"/>
  <c r="B11195" i="1"/>
  <c r="O11194" i="1"/>
  <c r="E11194" i="1"/>
  <c r="B11194" i="1"/>
  <c r="O11193" i="1"/>
  <c r="E11193" i="1"/>
  <c r="B11193" i="1"/>
  <c r="O11192" i="1"/>
  <c r="E11192" i="1"/>
  <c r="B11192" i="1"/>
  <c r="O11191" i="1"/>
  <c r="E11191" i="1"/>
  <c r="B11191" i="1"/>
  <c r="O11190" i="1"/>
  <c r="E11190" i="1"/>
  <c r="B11190" i="1"/>
  <c r="O11189" i="1"/>
  <c r="E11189" i="1"/>
  <c r="B11189" i="1"/>
  <c r="O11188" i="1"/>
  <c r="E11188" i="1"/>
  <c r="B11188" i="1"/>
  <c r="O11187" i="1"/>
  <c r="E11187" i="1"/>
  <c r="B11187" i="1"/>
  <c r="O11186" i="1"/>
  <c r="E11186" i="1"/>
  <c r="B11186" i="1"/>
  <c r="O11185" i="1"/>
  <c r="E11185" i="1"/>
  <c r="B11185" i="1"/>
  <c r="O11184" i="1"/>
  <c r="E11184" i="1"/>
  <c r="B11184" i="1"/>
  <c r="O11183" i="1"/>
  <c r="E11183" i="1"/>
  <c r="B11183" i="1"/>
  <c r="O11182" i="1"/>
  <c r="E11182" i="1"/>
  <c r="B11182" i="1"/>
  <c r="O11181" i="1"/>
  <c r="E11181" i="1"/>
  <c r="B11181" i="1"/>
  <c r="O11180" i="1"/>
  <c r="E11180" i="1"/>
  <c r="B11180" i="1"/>
  <c r="O11179" i="1"/>
  <c r="E11179" i="1"/>
  <c r="B11179" i="1"/>
  <c r="O11178" i="1"/>
  <c r="E11178" i="1"/>
  <c r="B11178" i="1"/>
  <c r="O11177" i="1"/>
  <c r="E11177" i="1"/>
  <c r="B11177" i="1"/>
  <c r="O11176" i="1"/>
  <c r="E11176" i="1"/>
  <c r="B11176" i="1"/>
  <c r="O11175" i="1"/>
  <c r="E11175" i="1"/>
  <c r="B11175" i="1"/>
  <c r="O11174" i="1"/>
  <c r="E11174" i="1"/>
  <c r="B11174" i="1"/>
  <c r="O11173" i="1"/>
  <c r="E11173" i="1"/>
  <c r="B11173" i="1"/>
  <c r="O11172" i="1"/>
  <c r="E11172" i="1"/>
  <c r="B11172" i="1"/>
  <c r="O11171" i="1"/>
  <c r="E11171" i="1"/>
  <c r="B11171" i="1"/>
  <c r="O11170" i="1"/>
  <c r="E11170" i="1"/>
  <c r="B11170" i="1"/>
  <c r="O11169" i="1"/>
  <c r="E11169" i="1"/>
  <c r="B11169" i="1"/>
  <c r="O11168" i="1"/>
  <c r="E11168" i="1"/>
  <c r="B11168" i="1"/>
  <c r="O11167" i="1"/>
  <c r="E11167" i="1"/>
  <c r="B11167" i="1"/>
  <c r="O11166" i="1"/>
  <c r="E11166" i="1"/>
  <c r="B11166" i="1"/>
  <c r="O11165" i="1"/>
  <c r="E11165" i="1"/>
  <c r="B11165" i="1"/>
  <c r="O11164" i="1"/>
  <c r="E11164" i="1"/>
  <c r="B11164" i="1"/>
  <c r="O11163" i="1"/>
  <c r="E11163" i="1"/>
  <c r="B11163" i="1"/>
  <c r="O11162" i="1"/>
  <c r="E11162" i="1"/>
  <c r="B11162" i="1"/>
  <c r="O11161" i="1"/>
  <c r="E11161" i="1"/>
  <c r="B11161" i="1"/>
  <c r="O11160" i="1"/>
  <c r="E11160" i="1"/>
  <c r="B11160" i="1"/>
  <c r="O11159" i="1"/>
  <c r="E11159" i="1"/>
  <c r="B11159" i="1"/>
  <c r="O11158" i="1"/>
  <c r="E11158" i="1"/>
  <c r="B11158" i="1"/>
  <c r="O11157" i="1"/>
  <c r="E11157" i="1"/>
  <c r="B11157" i="1"/>
  <c r="O11156" i="1"/>
  <c r="E11156" i="1"/>
  <c r="B11156" i="1"/>
  <c r="O11155" i="1"/>
  <c r="E11155" i="1"/>
  <c r="B11155" i="1"/>
  <c r="O11154" i="1"/>
  <c r="E11154" i="1"/>
  <c r="B11154" i="1"/>
  <c r="O11153" i="1"/>
  <c r="E11153" i="1"/>
  <c r="B11153" i="1"/>
  <c r="O11152" i="1"/>
  <c r="E11152" i="1"/>
  <c r="B11152" i="1"/>
  <c r="O11151" i="1"/>
  <c r="E11151" i="1"/>
  <c r="B11151" i="1"/>
  <c r="O11150" i="1"/>
  <c r="E11150" i="1"/>
  <c r="B11150" i="1"/>
  <c r="O11149" i="1"/>
  <c r="E11149" i="1"/>
  <c r="B11149" i="1"/>
  <c r="O11148" i="1"/>
  <c r="E11148" i="1"/>
  <c r="B11148" i="1"/>
  <c r="O11147" i="1"/>
  <c r="E11147" i="1"/>
  <c r="B11147" i="1"/>
  <c r="O11146" i="1"/>
  <c r="E11146" i="1"/>
  <c r="B11146" i="1"/>
  <c r="O11145" i="1"/>
  <c r="E11145" i="1"/>
  <c r="B11145" i="1"/>
  <c r="O11144" i="1"/>
  <c r="E11144" i="1"/>
  <c r="B11144" i="1"/>
  <c r="O11143" i="1"/>
  <c r="E11143" i="1"/>
  <c r="B11143" i="1"/>
  <c r="O11142" i="1"/>
  <c r="E11142" i="1"/>
  <c r="B11142" i="1"/>
  <c r="O11141" i="1"/>
  <c r="E11141" i="1"/>
  <c r="B11141" i="1"/>
  <c r="O11140" i="1"/>
  <c r="E11140" i="1"/>
  <c r="B11140" i="1"/>
  <c r="O11139" i="1"/>
  <c r="E11139" i="1"/>
  <c r="B11139" i="1"/>
  <c r="O11138" i="1"/>
  <c r="E11138" i="1"/>
  <c r="B11138" i="1"/>
  <c r="O11137" i="1"/>
  <c r="E11137" i="1"/>
  <c r="B11137" i="1"/>
  <c r="O11136" i="1"/>
  <c r="E11136" i="1"/>
  <c r="B11136" i="1"/>
  <c r="O11135" i="1"/>
  <c r="E11135" i="1"/>
  <c r="B11135" i="1"/>
  <c r="O11134" i="1"/>
  <c r="E11134" i="1"/>
  <c r="B11134" i="1"/>
  <c r="O11133" i="1"/>
  <c r="E11133" i="1"/>
  <c r="B11133" i="1"/>
  <c r="O11132" i="1"/>
  <c r="E11132" i="1"/>
  <c r="B11132" i="1"/>
  <c r="O11131" i="1"/>
  <c r="E11131" i="1"/>
  <c r="B11131" i="1"/>
  <c r="O11130" i="1"/>
  <c r="E11130" i="1"/>
  <c r="B11130" i="1"/>
  <c r="O11129" i="1"/>
  <c r="E11129" i="1"/>
  <c r="B11129" i="1"/>
  <c r="O11128" i="1"/>
  <c r="E11128" i="1"/>
  <c r="B11128" i="1"/>
  <c r="O11127" i="1"/>
  <c r="E11127" i="1"/>
  <c r="B11127" i="1"/>
  <c r="O11126" i="1"/>
  <c r="E11126" i="1"/>
  <c r="B11126" i="1"/>
  <c r="O11125" i="1"/>
  <c r="E11125" i="1"/>
  <c r="B11125" i="1"/>
  <c r="O11124" i="1"/>
  <c r="E11124" i="1"/>
  <c r="B11124" i="1"/>
  <c r="O11123" i="1"/>
  <c r="E11123" i="1"/>
  <c r="B11123" i="1"/>
  <c r="O11122" i="1"/>
  <c r="E11122" i="1"/>
  <c r="B11122" i="1"/>
  <c r="O11121" i="1"/>
  <c r="E11121" i="1"/>
  <c r="B11121" i="1"/>
  <c r="O11120" i="1"/>
  <c r="E11120" i="1"/>
  <c r="B11120" i="1"/>
  <c r="O11119" i="1"/>
  <c r="E11119" i="1"/>
  <c r="B11119" i="1"/>
  <c r="O11118" i="1"/>
  <c r="E11118" i="1"/>
  <c r="B11118" i="1"/>
  <c r="O11117" i="1"/>
  <c r="E11117" i="1"/>
  <c r="B11117" i="1"/>
  <c r="O11116" i="1"/>
  <c r="E11116" i="1"/>
  <c r="B11116" i="1"/>
  <c r="O11115" i="1"/>
  <c r="E11115" i="1"/>
  <c r="B11115" i="1"/>
  <c r="O11114" i="1"/>
  <c r="E11114" i="1"/>
  <c r="B11114" i="1"/>
  <c r="O11113" i="1"/>
  <c r="E11113" i="1"/>
  <c r="B11113" i="1"/>
  <c r="O11112" i="1"/>
  <c r="E11112" i="1"/>
  <c r="B11112" i="1"/>
  <c r="O11111" i="1"/>
  <c r="E11111" i="1"/>
  <c r="B11111" i="1"/>
  <c r="O11110" i="1"/>
  <c r="E11110" i="1"/>
  <c r="B11110" i="1"/>
  <c r="O11109" i="1"/>
  <c r="E11109" i="1"/>
  <c r="B11109" i="1"/>
  <c r="O11108" i="1"/>
  <c r="E11108" i="1"/>
  <c r="B11108" i="1"/>
  <c r="O11107" i="1"/>
  <c r="E11107" i="1"/>
  <c r="B11107" i="1"/>
  <c r="O11106" i="1"/>
  <c r="E11106" i="1"/>
  <c r="B11106" i="1"/>
  <c r="O11105" i="1"/>
  <c r="E11105" i="1"/>
  <c r="B11105" i="1"/>
  <c r="O11104" i="1"/>
  <c r="E11104" i="1"/>
  <c r="B11104" i="1"/>
  <c r="O11103" i="1"/>
  <c r="E11103" i="1"/>
  <c r="B11103" i="1"/>
  <c r="O11102" i="1"/>
  <c r="E11102" i="1"/>
  <c r="B11102" i="1"/>
  <c r="O11101" i="1"/>
  <c r="E11101" i="1"/>
  <c r="B11101" i="1"/>
  <c r="O11100" i="1"/>
  <c r="E11100" i="1"/>
  <c r="B11100" i="1"/>
  <c r="O11099" i="1"/>
  <c r="E11099" i="1"/>
  <c r="B11099" i="1"/>
  <c r="O11098" i="1"/>
  <c r="E11098" i="1"/>
  <c r="B11098" i="1"/>
  <c r="O11097" i="1"/>
  <c r="E11097" i="1"/>
  <c r="B11097" i="1"/>
  <c r="O11096" i="1"/>
  <c r="E11096" i="1"/>
  <c r="B11096" i="1"/>
  <c r="O11095" i="1"/>
  <c r="E11095" i="1"/>
  <c r="B11095" i="1"/>
  <c r="O11094" i="1"/>
  <c r="E11094" i="1"/>
  <c r="B11094" i="1"/>
  <c r="O11093" i="1"/>
  <c r="E11093" i="1"/>
  <c r="B11093" i="1"/>
  <c r="O11092" i="1"/>
  <c r="E11092" i="1"/>
  <c r="B11092" i="1"/>
  <c r="O11091" i="1"/>
  <c r="E11091" i="1"/>
  <c r="B11091" i="1"/>
  <c r="O11090" i="1"/>
  <c r="E11090" i="1"/>
  <c r="B11090" i="1"/>
  <c r="O11089" i="1"/>
  <c r="E11089" i="1"/>
  <c r="B11089" i="1"/>
  <c r="O11088" i="1"/>
  <c r="E11088" i="1"/>
  <c r="B11088" i="1"/>
  <c r="O11087" i="1"/>
  <c r="E11087" i="1"/>
  <c r="B11087" i="1"/>
  <c r="O11086" i="1"/>
  <c r="E11086" i="1"/>
  <c r="B11086" i="1"/>
  <c r="O11085" i="1"/>
  <c r="E11085" i="1"/>
  <c r="B11085" i="1"/>
  <c r="O11084" i="1"/>
  <c r="E11084" i="1"/>
  <c r="B11084" i="1"/>
  <c r="O11083" i="1"/>
  <c r="E11083" i="1"/>
  <c r="B11083" i="1"/>
  <c r="O11082" i="1"/>
  <c r="E11082" i="1"/>
  <c r="B11082" i="1"/>
  <c r="O11081" i="1"/>
  <c r="E11081" i="1"/>
  <c r="B11081" i="1"/>
  <c r="O11080" i="1"/>
  <c r="E11080" i="1"/>
  <c r="B11080" i="1"/>
  <c r="O11079" i="1"/>
  <c r="E11079" i="1"/>
  <c r="B11079" i="1"/>
  <c r="O11078" i="1"/>
  <c r="E11078" i="1"/>
  <c r="B11078" i="1"/>
  <c r="O11077" i="1"/>
  <c r="E11077" i="1"/>
  <c r="B11077" i="1"/>
  <c r="O11076" i="1"/>
  <c r="E11076" i="1"/>
  <c r="B11076" i="1"/>
  <c r="O11075" i="1"/>
  <c r="E11075" i="1"/>
  <c r="B11075" i="1"/>
  <c r="O11074" i="1"/>
  <c r="E11074" i="1"/>
  <c r="B11074" i="1"/>
  <c r="O11073" i="1"/>
  <c r="E11073" i="1"/>
  <c r="B11073" i="1"/>
  <c r="O11072" i="1"/>
  <c r="E11072" i="1"/>
  <c r="B11072" i="1"/>
  <c r="O11071" i="1"/>
  <c r="E11071" i="1"/>
  <c r="B11071" i="1"/>
  <c r="O11070" i="1"/>
  <c r="E11070" i="1"/>
  <c r="B11070" i="1"/>
  <c r="O11069" i="1"/>
  <c r="E11069" i="1"/>
  <c r="B11069" i="1"/>
  <c r="O11068" i="1"/>
  <c r="E11068" i="1"/>
  <c r="B11068" i="1"/>
  <c r="O11067" i="1"/>
  <c r="E11067" i="1"/>
  <c r="B11067" i="1"/>
  <c r="O11066" i="1"/>
  <c r="E11066" i="1"/>
  <c r="B11066" i="1"/>
  <c r="O11065" i="1"/>
  <c r="E11065" i="1"/>
  <c r="B11065" i="1"/>
  <c r="O11064" i="1"/>
  <c r="E11064" i="1"/>
  <c r="B11064" i="1"/>
  <c r="O11063" i="1"/>
  <c r="E11063" i="1"/>
  <c r="B11063" i="1"/>
  <c r="O11062" i="1"/>
  <c r="E11062" i="1"/>
  <c r="B11062" i="1"/>
  <c r="O11061" i="1"/>
  <c r="E11061" i="1"/>
  <c r="B11061" i="1"/>
  <c r="O11060" i="1"/>
  <c r="E11060" i="1"/>
  <c r="B11060" i="1"/>
  <c r="O11059" i="1"/>
  <c r="E11059" i="1"/>
  <c r="B11059" i="1"/>
  <c r="O11058" i="1"/>
  <c r="E11058" i="1"/>
  <c r="B11058" i="1"/>
  <c r="O11057" i="1"/>
  <c r="E11057" i="1"/>
  <c r="B11057" i="1"/>
  <c r="O11056" i="1"/>
  <c r="E11056" i="1"/>
  <c r="B11056" i="1"/>
  <c r="O11055" i="1"/>
  <c r="E11055" i="1"/>
  <c r="B11055" i="1"/>
  <c r="O11054" i="1"/>
  <c r="E11054" i="1"/>
  <c r="B11054" i="1"/>
  <c r="O11053" i="1"/>
  <c r="E11053" i="1"/>
  <c r="B11053" i="1"/>
  <c r="O11052" i="1"/>
  <c r="E11052" i="1"/>
  <c r="B11052" i="1"/>
  <c r="O11051" i="1"/>
  <c r="E11051" i="1"/>
  <c r="B11051" i="1"/>
  <c r="O11050" i="1"/>
  <c r="E11050" i="1"/>
  <c r="B11050" i="1"/>
  <c r="O11049" i="1"/>
  <c r="E11049" i="1"/>
  <c r="B11049" i="1"/>
  <c r="O11048" i="1"/>
  <c r="E11048" i="1"/>
  <c r="B11048" i="1"/>
  <c r="O11047" i="1"/>
  <c r="E11047" i="1"/>
  <c r="B11047" i="1"/>
  <c r="O11046" i="1"/>
  <c r="E11046" i="1"/>
  <c r="B11046" i="1"/>
  <c r="O11045" i="1"/>
  <c r="E11045" i="1"/>
  <c r="B11045" i="1"/>
  <c r="O11044" i="1"/>
  <c r="E11044" i="1"/>
  <c r="B11044" i="1"/>
  <c r="O11043" i="1"/>
  <c r="E11043" i="1"/>
  <c r="B11043" i="1"/>
  <c r="O11042" i="1"/>
  <c r="E11042" i="1"/>
  <c r="B11042" i="1"/>
  <c r="O11041" i="1"/>
  <c r="E11041" i="1"/>
  <c r="B11041" i="1"/>
  <c r="O11040" i="1"/>
  <c r="E11040" i="1"/>
  <c r="B11040" i="1"/>
  <c r="O11039" i="1"/>
  <c r="E11039" i="1"/>
  <c r="B11039" i="1"/>
  <c r="O11038" i="1"/>
  <c r="E11038" i="1"/>
  <c r="B11038" i="1"/>
  <c r="O11037" i="1"/>
  <c r="E11037" i="1"/>
  <c r="B11037" i="1"/>
  <c r="O11036" i="1"/>
  <c r="E11036" i="1"/>
  <c r="B11036" i="1"/>
  <c r="O11035" i="1"/>
  <c r="E11035" i="1"/>
  <c r="B11035" i="1"/>
  <c r="O11034" i="1"/>
  <c r="E11034" i="1"/>
  <c r="B11034" i="1"/>
  <c r="O11033" i="1"/>
  <c r="E11033" i="1"/>
  <c r="B11033" i="1"/>
  <c r="O11032" i="1"/>
  <c r="E11032" i="1"/>
  <c r="B11032" i="1"/>
  <c r="O11031" i="1"/>
  <c r="E11031" i="1"/>
  <c r="B11031" i="1"/>
  <c r="O11030" i="1"/>
  <c r="E11030" i="1"/>
  <c r="B11030" i="1"/>
  <c r="O11029" i="1"/>
  <c r="E11029" i="1"/>
  <c r="B11029" i="1"/>
  <c r="O11028" i="1"/>
  <c r="E11028" i="1"/>
  <c r="B11028" i="1"/>
  <c r="O11027" i="1"/>
  <c r="E11027" i="1"/>
  <c r="B11027" i="1"/>
  <c r="O11026" i="1"/>
  <c r="E11026" i="1"/>
  <c r="B11026" i="1"/>
  <c r="O11025" i="1"/>
  <c r="E11025" i="1"/>
  <c r="B11025" i="1"/>
  <c r="O11024" i="1"/>
  <c r="E11024" i="1"/>
  <c r="B11024" i="1"/>
  <c r="O11023" i="1"/>
  <c r="E11023" i="1"/>
  <c r="B11023" i="1"/>
  <c r="O11022" i="1"/>
  <c r="E11022" i="1"/>
  <c r="B11022" i="1"/>
  <c r="O11021" i="1"/>
  <c r="E11021" i="1"/>
  <c r="B11021" i="1"/>
  <c r="O11020" i="1"/>
  <c r="E11020" i="1"/>
  <c r="B11020" i="1"/>
  <c r="O11019" i="1"/>
  <c r="E11019" i="1"/>
  <c r="B11019" i="1"/>
  <c r="O11018" i="1"/>
  <c r="E11018" i="1"/>
  <c r="B11018" i="1"/>
  <c r="O11017" i="1"/>
  <c r="E11017" i="1"/>
  <c r="B11017" i="1"/>
  <c r="O11016" i="1"/>
  <c r="E11016" i="1"/>
  <c r="B11016" i="1"/>
  <c r="O11015" i="1"/>
  <c r="E11015" i="1"/>
  <c r="B11015" i="1"/>
  <c r="O11014" i="1"/>
  <c r="E11014" i="1"/>
  <c r="B11014" i="1"/>
  <c r="O11013" i="1"/>
  <c r="E11013" i="1"/>
  <c r="B11013" i="1"/>
  <c r="O11012" i="1"/>
  <c r="E11012" i="1"/>
  <c r="B11012" i="1"/>
  <c r="O11011" i="1"/>
  <c r="E11011" i="1"/>
  <c r="B11011" i="1"/>
  <c r="O11010" i="1"/>
  <c r="E11010" i="1"/>
  <c r="B11010" i="1"/>
  <c r="O11009" i="1"/>
  <c r="E11009" i="1"/>
  <c r="B11009" i="1"/>
  <c r="O11008" i="1"/>
  <c r="E11008" i="1"/>
  <c r="B11008" i="1"/>
  <c r="O11007" i="1"/>
  <c r="E11007" i="1"/>
  <c r="B11007" i="1"/>
  <c r="O11006" i="1"/>
  <c r="E11006" i="1"/>
  <c r="B11006" i="1"/>
  <c r="O11005" i="1"/>
  <c r="E11005" i="1"/>
  <c r="B11005" i="1"/>
  <c r="O11004" i="1"/>
  <c r="E11004" i="1"/>
  <c r="B11004" i="1"/>
  <c r="O11003" i="1"/>
  <c r="E11003" i="1"/>
  <c r="B11003" i="1"/>
  <c r="O11002" i="1"/>
  <c r="E11002" i="1"/>
  <c r="B11002" i="1"/>
  <c r="O11001" i="1"/>
  <c r="E11001" i="1"/>
  <c r="B11001" i="1"/>
  <c r="O11000" i="1"/>
  <c r="E11000" i="1"/>
  <c r="B11000" i="1"/>
  <c r="O10999" i="1"/>
  <c r="E10999" i="1"/>
  <c r="B10999" i="1"/>
  <c r="O10998" i="1"/>
  <c r="E10998" i="1"/>
  <c r="B10998" i="1"/>
  <c r="O10997" i="1"/>
  <c r="E10997" i="1"/>
  <c r="B10997" i="1"/>
  <c r="O10996" i="1"/>
  <c r="E10996" i="1"/>
  <c r="B10996" i="1"/>
  <c r="O10995" i="1"/>
  <c r="E10995" i="1"/>
  <c r="B10995" i="1"/>
  <c r="O10994" i="1"/>
  <c r="E10994" i="1"/>
  <c r="B10994" i="1"/>
  <c r="O10993" i="1"/>
  <c r="E10993" i="1"/>
  <c r="B10993" i="1"/>
  <c r="O10992" i="1"/>
  <c r="E10992" i="1"/>
  <c r="B10992" i="1"/>
  <c r="O10991" i="1"/>
  <c r="E10991" i="1"/>
  <c r="B10991" i="1"/>
  <c r="O10990" i="1"/>
  <c r="E10990" i="1"/>
  <c r="B10990" i="1"/>
  <c r="O10989" i="1"/>
  <c r="E10989" i="1"/>
  <c r="B10989" i="1"/>
  <c r="O10988" i="1"/>
  <c r="E10988" i="1"/>
  <c r="B10988" i="1"/>
  <c r="O10987" i="1"/>
  <c r="E10987" i="1"/>
  <c r="B10987" i="1"/>
  <c r="O10986" i="1"/>
  <c r="E10986" i="1"/>
  <c r="B10986" i="1"/>
  <c r="O10985" i="1"/>
  <c r="E10985" i="1"/>
  <c r="B10985" i="1"/>
  <c r="O10984" i="1"/>
  <c r="E10984" i="1"/>
  <c r="B10984" i="1"/>
  <c r="O10983" i="1"/>
  <c r="E10983" i="1"/>
  <c r="B10983" i="1"/>
  <c r="O10982" i="1"/>
  <c r="E10982" i="1"/>
  <c r="B10982" i="1"/>
  <c r="O10981" i="1"/>
  <c r="E10981" i="1"/>
  <c r="B10981" i="1"/>
  <c r="O10980" i="1"/>
  <c r="E10980" i="1"/>
  <c r="B10980" i="1"/>
  <c r="O10979" i="1"/>
  <c r="E10979" i="1"/>
  <c r="B10979" i="1"/>
  <c r="O10978" i="1"/>
  <c r="E10978" i="1"/>
  <c r="B10978" i="1"/>
  <c r="O10977" i="1"/>
  <c r="E10977" i="1"/>
  <c r="B10977" i="1"/>
  <c r="O10976" i="1"/>
  <c r="E10976" i="1"/>
  <c r="B10976" i="1"/>
  <c r="O10975" i="1"/>
  <c r="E10975" i="1"/>
  <c r="B10975" i="1"/>
  <c r="O10974" i="1"/>
  <c r="E10974" i="1"/>
  <c r="B10974" i="1"/>
  <c r="O10973" i="1"/>
  <c r="E10973" i="1"/>
  <c r="B10973" i="1"/>
  <c r="O10972" i="1"/>
  <c r="E10972" i="1"/>
  <c r="B10972" i="1"/>
  <c r="O10971" i="1"/>
  <c r="E10971" i="1"/>
  <c r="B10971" i="1"/>
  <c r="O10970" i="1"/>
  <c r="E10970" i="1"/>
  <c r="B10970" i="1"/>
  <c r="O10969" i="1"/>
  <c r="E10969" i="1"/>
  <c r="B10969" i="1"/>
  <c r="O10968" i="1"/>
  <c r="E10968" i="1"/>
  <c r="B10968" i="1"/>
  <c r="O10967" i="1"/>
  <c r="E10967" i="1"/>
  <c r="B10967" i="1"/>
  <c r="O10966" i="1"/>
  <c r="E10966" i="1"/>
  <c r="B10966" i="1"/>
  <c r="O10965" i="1"/>
  <c r="E10965" i="1"/>
  <c r="B10965" i="1"/>
  <c r="O10964" i="1"/>
  <c r="E10964" i="1"/>
  <c r="B10964" i="1"/>
  <c r="O10963" i="1"/>
  <c r="E10963" i="1"/>
  <c r="B10963" i="1"/>
  <c r="O10962" i="1"/>
  <c r="E10962" i="1"/>
  <c r="B10962" i="1"/>
  <c r="O10961" i="1"/>
  <c r="E10961" i="1"/>
  <c r="B10961" i="1"/>
  <c r="O10960" i="1"/>
  <c r="E10960" i="1"/>
  <c r="B10960" i="1"/>
  <c r="O10959" i="1"/>
  <c r="E10959" i="1"/>
  <c r="B10959" i="1"/>
  <c r="O10958" i="1"/>
  <c r="E10958" i="1"/>
  <c r="B10958" i="1"/>
  <c r="O10957" i="1"/>
  <c r="E10957" i="1"/>
  <c r="B10957" i="1"/>
  <c r="O10956" i="1"/>
  <c r="E10956" i="1"/>
  <c r="B10956" i="1"/>
  <c r="O10955" i="1"/>
  <c r="E10955" i="1"/>
  <c r="B10955" i="1"/>
  <c r="O10954" i="1"/>
  <c r="E10954" i="1"/>
  <c r="B10954" i="1"/>
  <c r="O10953" i="1"/>
  <c r="E10953" i="1"/>
  <c r="B10953" i="1"/>
  <c r="O10952" i="1"/>
  <c r="E10952" i="1"/>
  <c r="B10952" i="1"/>
  <c r="O10951" i="1"/>
  <c r="E10951" i="1"/>
  <c r="B10951" i="1"/>
  <c r="O10950" i="1"/>
  <c r="E10950" i="1"/>
  <c r="B10950" i="1"/>
  <c r="O10949" i="1"/>
  <c r="E10949" i="1"/>
  <c r="B10949" i="1"/>
  <c r="O10948" i="1"/>
  <c r="E10948" i="1"/>
  <c r="B10948" i="1"/>
  <c r="O10947" i="1"/>
  <c r="E10947" i="1"/>
  <c r="B10947" i="1"/>
  <c r="O10946" i="1"/>
  <c r="E10946" i="1"/>
  <c r="B10946" i="1"/>
  <c r="O10945" i="1"/>
  <c r="E10945" i="1"/>
  <c r="B10945" i="1"/>
  <c r="O10944" i="1"/>
  <c r="E10944" i="1"/>
  <c r="B10944" i="1"/>
  <c r="O10943" i="1"/>
  <c r="E10943" i="1"/>
  <c r="B10943" i="1"/>
  <c r="O10942" i="1"/>
  <c r="E10942" i="1"/>
  <c r="B10942" i="1"/>
  <c r="O10941" i="1"/>
  <c r="E10941" i="1"/>
  <c r="B10941" i="1"/>
  <c r="O10940" i="1"/>
  <c r="E10940" i="1"/>
  <c r="B10940" i="1"/>
  <c r="O10939" i="1"/>
  <c r="E10939" i="1"/>
  <c r="B10939" i="1"/>
  <c r="O10938" i="1"/>
  <c r="E10938" i="1"/>
  <c r="B10938" i="1"/>
  <c r="O10937" i="1"/>
  <c r="E10937" i="1"/>
  <c r="B10937" i="1"/>
  <c r="O10936" i="1"/>
  <c r="E10936" i="1"/>
  <c r="B10936" i="1"/>
  <c r="O10935" i="1"/>
  <c r="E10935" i="1"/>
  <c r="B10935" i="1"/>
  <c r="O10934" i="1"/>
  <c r="E10934" i="1"/>
  <c r="B10934" i="1"/>
  <c r="O10933" i="1"/>
  <c r="E10933" i="1"/>
  <c r="B10933" i="1"/>
  <c r="O10932" i="1"/>
  <c r="E10932" i="1"/>
  <c r="B10932" i="1"/>
  <c r="O10931" i="1"/>
  <c r="E10931" i="1"/>
  <c r="B10931" i="1"/>
  <c r="O10930" i="1"/>
  <c r="E10930" i="1"/>
  <c r="B10930" i="1"/>
  <c r="O10929" i="1"/>
  <c r="E10929" i="1"/>
  <c r="B10929" i="1"/>
  <c r="O10928" i="1"/>
  <c r="E10928" i="1"/>
  <c r="B10928" i="1"/>
  <c r="O10927" i="1"/>
  <c r="E10927" i="1"/>
  <c r="B10927" i="1"/>
  <c r="O10926" i="1"/>
  <c r="E10926" i="1"/>
  <c r="B10926" i="1"/>
  <c r="O10925" i="1"/>
  <c r="E10925" i="1"/>
  <c r="B10925" i="1"/>
  <c r="O10924" i="1"/>
  <c r="E10924" i="1"/>
  <c r="B10924" i="1"/>
  <c r="O10923" i="1"/>
  <c r="E10923" i="1"/>
  <c r="B10923" i="1"/>
  <c r="O10922" i="1"/>
  <c r="E10922" i="1"/>
  <c r="B10922" i="1"/>
  <c r="O10921" i="1"/>
  <c r="E10921" i="1"/>
  <c r="B10921" i="1"/>
  <c r="O10920" i="1"/>
  <c r="E10920" i="1"/>
  <c r="B10920" i="1"/>
  <c r="O10919" i="1"/>
  <c r="E10919" i="1"/>
  <c r="B10919" i="1"/>
  <c r="O10918" i="1"/>
  <c r="E10918" i="1"/>
  <c r="B10918" i="1"/>
  <c r="O10917" i="1"/>
  <c r="E10917" i="1"/>
  <c r="B10917" i="1"/>
  <c r="O10916" i="1"/>
  <c r="E10916" i="1"/>
  <c r="B10916" i="1"/>
  <c r="O10915" i="1"/>
  <c r="E10915" i="1"/>
  <c r="B10915" i="1"/>
  <c r="O10914" i="1"/>
  <c r="E10914" i="1"/>
  <c r="B10914" i="1"/>
  <c r="O10913" i="1"/>
  <c r="E10913" i="1"/>
  <c r="B10913" i="1"/>
  <c r="O10912" i="1"/>
  <c r="E10912" i="1"/>
  <c r="B10912" i="1"/>
  <c r="O10911" i="1"/>
  <c r="E10911" i="1"/>
  <c r="B10911" i="1"/>
  <c r="O10910" i="1"/>
  <c r="E10910" i="1"/>
  <c r="B10910" i="1"/>
  <c r="O10909" i="1"/>
  <c r="E10909" i="1"/>
  <c r="B10909" i="1"/>
  <c r="O10908" i="1"/>
  <c r="E10908" i="1"/>
  <c r="B10908" i="1"/>
  <c r="O10907" i="1"/>
  <c r="E10907" i="1"/>
  <c r="B10907" i="1"/>
  <c r="O10906" i="1"/>
  <c r="E10906" i="1"/>
  <c r="B10906" i="1"/>
  <c r="O10905" i="1"/>
  <c r="E10905" i="1"/>
  <c r="B10905" i="1"/>
  <c r="O10904" i="1"/>
  <c r="E10904" i="1"/>
  <c r="B10904" i="1"/>
  <c r="O10903" i="1"/>
  <c r="E10903" i="1"/>
  <c r="B10903" i="1"/>
  <c r="O10902" i="1"/>
  <c r="E10902" i="1"/>
  <c r="B10902" i="1"/>
  <c r="O10901" i="1"/>
  <c r="E10901" i="1"/>
  <c r="B10901" i="1"/>
  <c r="O10900" i="1"/>
  <c r="E10900" i="1"/>
  <c r="B10900" i="1"/>
  <c r="O10899" i="1"/>
  <c r="E10899" i="1"/>
  <c r="B10899" i="1"/>
  <c r="O10898" i="1"/>
  <c r="E10898" i="1"/>
  <c r="B10898" i="1"/>
  <c r="O10897" i="1"/>
  <c r="E10897" i="1"/>
  <c r="B10897" i="1"/>
  <c r="O10896" i="1"/>
  <c r="E10896" i="1"/>
  <c r="B10896" i="1"/>
  <c r="O10895" i="1"/>
  <c r="E10895" i="1"/>
  <c r="B10895" i="1"/>
  <c r="O10894" i="1"/>
  <c r="E10894" i="1"/>
  <c r="B10894" i="1"/>
  <c r="O10893" i="1"/>
  <c r="E10893" i="1"/>
  <c r="B10893" i="1"/>
  <c r="O10892" i="1"/>
  <c r="E10892" i="1"/>
  <c r="B10892" i="1"/>
  <c r="O10891" i="1"/>
  <c r="E10891" i="1"/>
  <c r="B10891" i="1"/>
  <c r="O10890" i="1"/>
  <c r="E10890" i="1"/>
  <c r="B10890" i="1"/>
  <c r="O10889" i="1"/>
  <c r="E10889" i="1"/>
  <c r="B10889" i="1"/>
  <c r="O10888" i="1"/>
  <c r="E10888" i="1"/>
  <c r="B10888" i="1"/>
  <c r="O10887" i="1"/>
  <c r="E10887" i="1"/>
  <c r="B10887" i="1"/>
  <c r="O10886" i="1"/>
  <c r="E10886" i="1"/>
  <c r="B10886" i="1"/>
  <c r="O10885" i="1"/>
  <c r="E10885" i="1"/>
  <c r="B10885" i="1"/>
  <c r="O10884" i="1"/>
  <c r="E10884" i="1"/>
  <c r="B10884" i="1"/>
  <c r="O10883" i="1"/>
  <c r="E10883" i="1"/>
  <c r="B10883" i="1"/>
  <c r="O10882" i="1"/>
  <c r="E10882" i="1"/>
  <c r="B10882" i="1"/>
  <c r="O10881" i="1"/>
  <c r="E10881" i="1"/>
  <c r="B10881" i="1"/>
  <c r="O10880" i="1"/>
  <c r="E10880" i="1"/>
  <c r="B10880" i="1"/>
  <c r="O10879" i="1"/>
  <c r="E10879" i="1"/>
  <c r="B10879" i="1"/>
  <c r="O10878" i="1"/>
  <c r="E10878" i="1"/>
  <c r="B10878" i="1"/>
  <c r="O10877" i="1"/>
  <c r="E10877" i="1"/>
  <c r="B10877" i="1"/>
  <c r="O10876" i="1"/>
  <c r="E10876" i="1"/>
  <c r="B10876" i="1"/>
  <c r="O10875" i="1"/>
  <c r="E10875" i="1"/>
  <c r="B10875" i="1"/>
  <c r="O10874" i="1"/>
  <c r="E10874" i="1"/>
  <c r="B10874" i="1"/>
  <c r="O10873" i="1"/>
  <c r="E10873" i="1"/>
  <c r="B10873" i="1"/>
  <c r="O10872" i="1"/>
  <c r="E10872" i="1"/>
  <c r="B10872" i="1"/>
  <c r="O10871" i="1"/>
  <c r="E10871" i="1"/>
  <c r="B10871" i="1"/>
  <c r="O10870" i="1"/>
  <c r="E10870" i="1"/>
  <c r="B10870" i="1"/>
  <c r="O10869" i="1"/>
  <c r="E10869" i="1"/>
  <c r="B10869" i="1"/>
  <c r="O10868" i="1"/>
  <c r="E10868" i="1"/>
  <c r="B10868" i="1"/>
  <c r="O10867" i="1"/>
  <c r="E10867" i="1"/>
  <c r="B10867" i="1"/>
  <c r="O10866" i="1"/>
  <c r="E10866" i="1"/>
  <c r="B10866" i="1"/>
  <c r="O10865" i="1"/>
  <c r="E10865" i="1"/>
  <c r="B10865" i="1"/>
  <c r="O10864" i="1"/>
  <c r="E10864" i="1"/>
  <c r="B10864" i="1"/>
  <c r="O10863" i="1"/>
  <c r="E10863" i="1"/>
  <c r="B10863" i="1"/>
  <c r="O10862" i="1"/>
  <c r="E10862" i="1"/>
  <c r="B10862" i="1"/>
  <c r="O10861" i="1"/>
  <c r="E10861" i="1"/>
  <c r="B10861" i="1"/>
  <c r="O10860" i="1"/>
  <c r="E10860" i="1"/>
  <c r="B10860" i="1"/>
  <c r="O10859" i="1"/>
  <c r="E10859" i="1"/>
  <c r="B10859" i="1"/>
  <c r="O10858" i="1"/>
  <c r="E10858" i="1"/>
  <c r="B10858" i="1"/>
  <c r="O10857" i="1"/>
  <c r="E10857" i="1"/>
  <c r="B10857" i="1"/>
  <c r="O10856" i="1"/>
  <c r="E10856" i="1"/>
  <c r="B10856" i="1"/>
  <c r="O10855" i="1"/>
  <c r="E10855" i="1"/>
  <c r="B10855" i="1"/>
  <c r="O10854" i="1"/>
  <c r="E10854" i="1"/>
  <c r="B10854" i="1"/>
  <c r="O10853" i="1"/>
  <c r="E10853" i="1"/>
  <c r="B10853" i="1"/>
  <c r="O10852" i="1"/>
  <c r="E10852" i="1"/>
  <c r="B10852" i="1"/>
  <c r="O10851" i="1"/>
  <c r="E10851" i="1"/>
  <c r="B10851" i="1"/>
  <c r="O10850" i="1"/>
  <c r="E10850" i="1"/>
  <c r="B10850" i="1"/>
  <c r="O10849" i="1"/>
  <c r="E10849" i="1"/>
  <c r="B10849" i="1"/>
  <c r="O10848" i="1"/>
  <c r="E10848" i="1"/>
  <c r="B10848" i="1"/>
  <c r="O10847" i="1"/>
  <c r="E10847" i="1"/>
  <c r="B10847" i="1"/>
  <c r="O10846" i="1"/>
  <c r="E10846" i="1"/>
  <c r="B10846" i="1"/>
  <c r="O10845" i="1"/>
  <c r="E10845" i="1"/>
  <c r="B10845" i="1"/>
  <c r="O10844" i="1"/>
  <c r="E10844" i="1"/>
  <c r="B10844" i="1"/>
  <c r="O10843" i="1"/>
  <c r="E10843" i="1"/>
  <c r="B10843" i="1"/>
  <c r="O10842" i="1"/>
  <c r="E10842" i="1"/>
  <c r="B10842" i="1"/>
  <c r="O10841" i="1"/>
  <c r="E10841" i="1"/>
  <c r="B10841" i="1"/>
  <c r="O10840" i="1"/>
  <c r="E10840" i="1"/>
  <c r="B10840" i="1"/>
  <c r="O10839" i="1"/>
  <c r="E10839" i="1"/>
  <c r="B10839" i="1"/>
  <c r="O10838" i="1"/>
  <c r="E10838" i="1"/>
  <c r="B10838" i="1"/>
  <c r="O10837" i="1"/>
  <c r="E10837" i="1"/>
  <c r="B10837" i="1"/>
  <c r="O10836" i="1"/>
  <c r="E10836" i="1"/>
  <c r="B10836" i="1"/>
  <c r="O10835" i="1"/>
  <c r="E10835" i="1"/>
  <c r="B10835" i="1"/>
  <c r="O10834" i="1"/>
  <c r="E10834" i="1"/>
  <c r="B10834" i="1"/>
  <c r="O10833" i="1"/>
  <c r="E10833" i="1"/>
  <c r="B10833" i="1"/>
  <c r="O10832" i="1"/>
  <c r="E10832" i="1"/>
  <c r="B10832" i="1"/>
  <c r="O10831" i="1"/>
  <c r="E10831" i="1"/>
  <c r="B10831" i="1"/>
  <c r="O10830" i="1"/>
  <c r="E10830" i="1"/>
  <c r="B10830" i="1"/>
  <c r="O10829" i="1"/>
  <c r="E10829" i="1"/>
  <c r="B10829" i="1"/>
  <c r="O10828" i="1"/>
  <c r="E10828" i="1"/>
  <c r="B10828" i="1"/>
  <c r="O10827" i="1"/>
  <c r="E10827" i="1"/>
  <c r="B10827" i="1"/>
  <c r="O10826" i="1"/>
  <c r="E10826" i="1"/>
  <c r="B10826" i="1"/>
  <c r="O10825" i="1"/>
  <c r="E10825" i="1"/>
  <c r="B10825" i="1"/>
  <c r="O10824" i="1"/>
  <c r="E10824" i="1"/>
  <c r="B10824" i="1"/>
  <c r="O10823" i="1"/>
  <c r="E10823" i="1"/>
  <c r="B10823" i="1"/>
  <c r="O10822" i="1"/>
  <c r="E10822" i="1"/>
  <c r="B10822" i="1"/>
  <c r="O10821" i="1"/>
  <c r="E10821" i="1"/>
  <c r="B10821" i="1"/>
  <c r="O10820" i="1"/>
  <c r="E10820" i="1"/>
  <c r="B10820" i="1"/>
  <c r="O10819" i="1"/>
  <c r="E10819" i="1"/>
  <c r="B10819" i="1"/>
  <c r="O10818" i="1"/>
  <c r="E10818" i="1"/>
  <c r="B10818" i="1"/>
  <c r="O10817" i="1"/>
  <c r="E10817" i="1"/>
  <c r="B10817" i="1"/>
  <c r="O10816" i="1"/>
  <c r="E10816" i="1"/>
  <c r="B10816" i="1"/>
  <c r="O10815" i="1"/>
  <c r="E10815" i="1"/>
  <c r="B10815" i="1"/>
  <c r="O10814" i="1"/>
  <c r="E10814" i="1"/>
  <c r="B10814" i="1"/>
  <c r="O10813" i="1"/>
  <c r="E10813" i="1"/>
  <c r="B10813" i="1"/>
  <c r="O10812" i="1"/>
  <c r="E10812" i="1"/>
  <c r="B10812" i="1"/>
  <c r="O10811" i="1"/>
  <c r="E10811" i="1"/>
  <c r="B10811" i="1"/>
  <c r="O10810" i="1"/>
  <c r="E10810" i="1"/>
  <c r="B10810" i="1"/>
  <c r="O10809" i="1"/>
  <c r="E10809" i="1"/>
  <c r="B10809" i="1"/>
  <c r="O10808" i="1"/>
  <c r="E10808" i="1"/>
  <c r="B10808" i="1"/>
  <c r="O10807" i="1"/>
  <c r="E10807" i="1"/>
  <c r="B10807" i="1"/>
  <c r="O10806" i="1"/>
  <c r="E10806" i="1"/>
  <c r="B10806" i="1"/>
  <c r="O10805" i="1"/>
  <c r="E10805" i="1"/>
  <c r="B10805" i="1"/>
  <c r="O10804" i="1"/>
  <c r="E10804" i="1"/>
  <c r="B10804" i="1"/>
  <c r="O10803" i="1"/>
  <c r="E10803" i="1"/>
  <c r="B10803" i="1"/>
  <c r="O10802" i="1"/>
  <c r="E10802" i="1"/>
  <c r="B10802" i="1"/>
  <c r="O10801" i="1"/>
  <c r="E10801" i="1"/>
  <c r="B10801" i="1"/>
  <c r="O10800" i="1"/>
  <c r="E10800" i="1"/>
  <c r="B10800" i="1"/>
  <c r="O10799" i="1"/>
  <c r="E10799" i="1"/>
  <c r="B10799" i="1"/>
  <c r="O10798" i="1"/>
  <c r="E10798" i="1"/>
  <c r="B10798" i="1"/>
  <c r="O10797" i="1"/>
  <c r="E10797" i="1"/>
  <c r="B10797" i="1"/>
  <c r="O10796" i="1"/>
  <c r="E10796" i="1"/>
  <c r="B10796" i="1"/>
  <c r="O10795" i="1"/>
  <c r="E10795" i="1"/>
  <c r="B10795" i="1"/>
  <c r="O10794" i="1"/>
  <c r="E10794" i="1"/>
  <c r="B10794" i="1"/>
  <c r="O10793" i="1"/>
  <c r="E10793" i="1"/>
  <c r="B10793" i="1"/>
  <c r="O10792" i="1"/>
  <c r="E10792" i="1"/>
  <c r="B10792" i="1"/>
  <c r="O10791" i="1"/>
  <c r="E10791" i="1"/>
  <c r="B10791" i="1"/>
  <c r="O10790" i="1"/>
  <c r="E10790" i="1"/>
  <c r="B10790" i="1"/>
  <c r="O10789" i="1"/>
  <c r="E10789" i="1"/>
  <c r="B10789" i="1"/>
  <c r="O10788" i="1"/>
  <c r="E10788" i="1"/>
  <c r="B10788" i="1"/>
  <c r="O10787" i="1"/>
  <c r="E10787" i="1"/>
  <c r="B10787" i="1"/>
  <c r="O10786" i="1"/>
  <c r="E10786" i="1"/>
  <c r="B10786" i="1"/>
  <c r="O10785" i="1"/>
  <c r="E10785" i="1"/>
  <c r="B10785" i="1"/>
  <c r="O10784" i="1"/>
  <c r="E10784" i="1"/>
  <c r="B10784" i="1"/>
  <c r="O10783" i="1"/>
  <c r="E10783" i="1"/>
  <c r="B10783" i="1"/>
  <c r="O10782" i="1"/>
  <c r="E10782" i="1"/>
  <c r="B10782" i="1"/>
  <c r="O10781" i="1"/>
  <c r="E10781" i="1"/>
  <c r="B10781" i="1"/>
  <c r="O10780" i="1"/>
  <c r="E10780" i="1"/>
  <c r="B10780" i="1"/>
  <c r="O10779" i="1"/>
  <c r="E10779" i="1"/>
  <c r="B10779" i="1"/>
  <c r="O10778" i="1"/>
  <c r="E10778" i="1"/>
  <c r="B10778" i="1"/>
  <c r="O10777" i="1"/>
  <c r="E10777" i="1"/>
  <c r="B10777" i="1"/>
  <c r="O10776" i="1"/>
  <c r="E10776" i="1"/>
  <c r="B10776" i="1"/>
  <c r="O10775" i="1"/>
  <c r="E10775" i="1"/>
  <c r="B10775" i="1"/>
  <c r="O10774" i="1"/>
  <c r="E10774" i="1"/>
  <c r="B10774" i="1"/>
  <c r="O10773" i="1"/>
  <c r="E10773" i="1"/>
  <c r="B10773" i="1"/>
  <c r="O10772" i="1"/>
  <c r="E10772" i="1"/>
  <c r="B10772" i="1"/>
  <c r="O10771" i="1"/>
  <c r="E10771" i="1"/>
  <c r="B10771" i="1"/>
  <c r="O10770" i="1"/>
  <c r="E10770" i="1"/>
  <c r="B10770" i="1"/>
  <c r="O10769" i="1"/>
  <c r="E10769" i="1"/>
  <c r="B10769" i="1"/>
  <c r="O10768" i="1"/>
  <c r="E10768" i="1"/>
  <c r="B10768" i="1"/>
  <c r="O10767" i="1"/>
  <c r="E10767" i="1"/>
  <c r="B10767" i="1"/>
  <c r="O10766" i="1"/>
  <c r="E10766" i="1"/>
  <c r="B10766" i="1"/>
  <c r="O10765" i="1"/>
  <c r="E10765" i="1"/>
  <c r="B10765" i="1"/>
  <c r="O10764" i="1"/>
  <c r="E10764" i="1"/>
  <c r="B10764" i="1"/>
  <c r="O10763" i="1"/>
  <c r="E10763" i="1"/>
  <c r="B10763" i="1"/>
  <c r="O10762" i="1"/>
  <c r="E10762" i="1"/>
  <c r="B10762" i="1"/>
  <c r="O10761" i="1"/>
  <c r="E10761" i="1"/>
  <c r="B10761" i="1"/>
  <c r="O10760" i="1"/>
  <c r="E10760" i="1"/>
  <c r="B10760" i="1"/>
  <c r="O10759" i="1"/>
  <c r="E10759" i="1"/>
  <c r="B10759" i="1"/>
  <c r="O10758" i="1"/>
  <c r="E10758" i="1"/>
  <c r="B10758" i="1"/>
  <c r="O10757" i="1"/>
  <c r="E10757" i="1"/>
  <c r="B10757" i="1"/>
  <c r="O10756" i="1"/>
  <c r="E10756" i="1"/>
  <c r="B10756" i="1"/>
  <c r="O10755" i="1"/>
  <c r="E10755" i="1"/>
  <c r="B10755" i="1"/>
  <c r="O10754" i="1"/>
  <c r="E10754" i="1"/>
  <c r="B10754" i="1"/>
  <c r="O10753" i="1"/>
  <c r="E10753" i="1"/>
  <c r="B10753" i="1"/>
  <c r="O10752" i="1"/>
  <c r="E10752" i="1"/>
  <c r="B10752" i="1"/>
  <c r="O10751" i="1"/>
  <c r="E10751" i="1"/>
  <c r="B10751" i="1"/>
  <c r="O10750" i="1"/>
  <c r="E10750" i="1"/>
  <c r="B10750" i="1"/>
  <c r="O10749" i="1"/>
  <c r="E10749" i="1"/>
  <c r="B10749" i="1"/>
  <c r="O10748" i="1"/>
  <c r="E10748" i="1"/>
  <c r="B10748" i="1"/>
  <c r="O10747" i="1"/>
  <c r="E10747" i="1"/>
  <c r="B10747" i="1"/>
  <c r="O10746" i="1"/>
  <c r="E10746" i="1"/>
  <c r="B10746" i="1"/>
  <c r="O10745" i="1"/>
  <c r="E10745" i="1"/>
  <c r="B10745" i="1"/>
  <c r="O10744" i="1"/>
  <c r="E10744" i="1"/>
  <c r="B10744" i="1"/>
  <c r="O10743" i="1"/>
  <c r="E10743" i="1"/>
  <c r="B10743" i="1"/>
  <c r="O10742" i="1"/>
  <c r="E10742" i="1"/>
  <c r="B10742" i="1"/>
  <c r="O10741" i="1"/>
  <c r="E10741" i="1"/>
  <c r="B10741" i="1"/>
  <c r="O10740" i="1"/>
  <c r="E10740" i="1"/>
  <c r="B10740" i="1"/>
  <c r="O10739" i="1"/>
  <c r="E10739" i="1"/>
  <c r="B10739" i="1"/>
  <c r="O10738" i="1"/>
  <c r="E10738" i="1"/>
  <c r="B10738" i="1"/>
  <c r="O10737" i="1"/>
  <c r="E10737" i="1"/>
  <c r="B10737" i="1"/>
  <c r="O10736" i="1"/>
  <c r="E10736" i="1"/>
  <c r="B10736" i="1"/>
  <c r="O10735" i="1"/>
  <c r="E10735" i="1"/>
  <c r="B10735" i="1"/>
  <c r="O10734" i="1"/>
  <c r="E10734" i="1"/>
  <c r="B10734" i="1"/>
  <c r="O10733" i="1"/>
  <c r="E10733" i="1"/>
  <c r="B10733" i="1"/>
  <c r="O10732" i="1"/>
  <c r="E10732" i="1"/>
  <c r="B10732" i="1"/>
  <c r="O10731" i="1"/>
  <c r="E10731" i="1"/>
  <c r="B10731" i="1"/>
  <c r="O10730" i="1"/>
  <c r="E10730" i="1"/>
  <c r="B10730" i="1"/>
  <c r="O10729" i="1"/>
  <c r="E10729" i="1"/>
  <c r="B10729" i="1"/>
  <c r="O10728" i="1"/>
  <c r="E10728" i="1"/>
  <c r="B10728" i="1"/>
  <c r="O10727" i="1"/>
  <c r="E10727" i="1"/>
  <c r="B10727" i="1"/>
  <c r="O10726" i="1"/>
  <c r="E10726" i="1"/>
  <c r="B10726" i="1"/>
  <c r="O10725" i="1"/>
  <c r="E10725" i="1"/>
  <c r="B10725" i="1"/>
  <c r="O10724" i="1"/>
  <c r="E10724" i="1"/>
  <c r="B10724" i="1"/>
  <c r="O10723" i="1"/>
  <c r="E10723" i="1"/>
  <c r="B10723" i="1"/>
  <c r="O10722" i="1"/>
  <c r="E10722" i="1"/>
  <c r="B10722" i="1"/>
  <c r="O10721" i="1"/>
  <c r="E10721" i="1"/>
  <c r="B10721" i="1"/>
  <c r="O10720" i="1"/>
  <c r="E10720" i="1"/>
  <c r="B10720" i="1"/>
  <c r="O10719" i="1"/>
  <c r="E10719" i="1"/>
  <c r="B10719" i="1"/>
  <c r="O10718" i="1"/>
  <c r="E10718" i="1"/>
  <c r="B10718" i="1"/>
  <c r="O10717" i="1"/>
  <c r="E10717" i="1"/>
  <c r="B10717" i="1"/>
  <c r="O10716" i="1"/>
  <c r="E10716" i="1"/>
  <c r="B10716" i="1"/>
  <c r="O10715" i="1"/>
  <c r="E10715" i="1"/>
  <c r="B10715" i="1"/>
  <c r="O10714" i="1"/>
  <c r="E10714" i="1"/>
  <c r="B10714" i="1"/>
  <c r="O10713" i="1"/>
  <c r="E10713" i="1"/>
  <c r="B10713" i="1"/>
  <c r="O10712" i="1"/>
  <c r="E10712" i="1"/>
  <c r="B10712" i="1"/>
  <c r="O10711" i="1"/>
  <c r="E10711" i="1"/>
  <c r="B10711" i="1"/>
  <c r="O10710" i="1"/>
  <c r="E10710" i="1"/>
  <c r="B10710" i="1"/>
  <c r="O10709" i="1"/>
  <c r="E10709" i="1"/>
  <c r="B10709" i="1"/>
  <c r="O10708" i="1"/>
  <c r="E10708" i="1"/>
  <c r="B10708" i="1"/>
  <c r="O10707" i="1"/>
  <c r="E10707" i="1"/>
  <c r="B10707" i="1"/>
  <c r="O10706" i="1"/>
  <c r="E10706" i="1"/>
  <c r="B10706" i="1"/>
  <c r="O10705" i="1"/>
  <c r="E10705" i="1"/>
  <c r="B10705" i="1"/>
  <c r="O10704" i="1"/>
  <c r="E10704" i="1"/>
  <c r="B10704" i="1"/>
  <c r="O10703" i="1"/>
  <c r="E10703" i="1"/>
  <c r="B10703" i="1"/>
  <c r="O10702" i="1"/>
  <c r="E10702" i="1"/>
  <c r="B10702" i="1"/>
  <c r="O10701" i="1"/>
  <c r="E10701" i="1"/>
  <c r="B10701" i="1"/>
  <c r="O10700" i="1"/>
  <c r="E10700" i="1"/>
  <c r="B10700" i="1"/>
  <c r="O10699" i="1"/>
  <c r="E10699" i="1"/>
  <c r="B10699" i="1"/>
  <c r="O10698" i="1"/>
  <c r="E10698" i="1"/>
  <c r="B10698" i="1"/>
  <c r="O10697" i="1"/>
  <c r="E10697" i="1"/>
  <c r="B10697" i="1"/>
  <c r="O10696" i="1"/>
  <c r="E10696" i="1"/>
  <c r="B10696" i="1"/>
  <c r="O10695" i="1"/>
  <c r="E10695" i="1"/>
  <c r="B10695" i="1"/>
  <c r="O10694" i="1"/>
  <c r="E10694" i="1"/>
  <c r="B10694" i="1"/>
  <c r="O10693" i="1"/>
  <c r="E10693" i="1"/>
  <c r="B10693" i="1"/>
  <c r="O10692" i="1"/>
  <c r="E10692" i="1"/>
  <c r="B10692" i="1"/>
  <c r="O10691" i="1"/>
  <c r="E10691" i="1"/>
  <c r="B10691" i="1"/>
  <c r="O10690" i="1"/>
  <c r="E10690" i="1"/>
  <c r="B10690" i="1"/>
  <c r="O10689" i="1"/>
  <c r="E10689" i="1"/>
  <c r="B10689" i="1"/>
  <c r="O10688" i="1"/>
  <c r="E10688" i="1"/>
  <c r="B10688" i="1"/>
  <c r="O10687" i="1"/>
  <c r="E10687" i="1"/>
  <c r="B10687" i="1"/>
  <c r="O10686" i="1"/>
  <c r="E10686" i="1"/>
  <c r="B10686" i="1"/>
  <c r="O10685" i="1"/>
  <c r="E10685" i="1"/>
  <c r="B10685" i="1"/>
  <c r="O10684" i="1"/>
  <c r="E10684" i="1"/>
  <c r="B10684" i="1"/>
  <c r="O10683" i="1"/>
  <c r="E10683" i="1"/>
  <c r="B10683" i="1"/>
  <c r="O10682" i="1"/>
  <c r="E10682" i="1"/>
  <c r="B10682" i="1"/>
  <c r="O10681" i="1"/>
  <c r="E10681" i="1"/>
  <c r="B10681" i="1"/>
  <c r="O10680" i="1"/>
  <c r="E10680" i="1"/>
  <c r="B10680" i="1"/>
  <c r="O10679" i="1"/>
  <c r="E10679" i="1"/>
  <c r="B10679" i="1"/>
  <c r="O10678" i="1"/>
  <c r="E10678" i="1"/>
  <c r="B10678" i="1"/>
  <c r="O10677" i="1"/>
  <c r="E10677" i="1"/>
  <c r="B10677" i="1"/>
  <c r="O10676" i="1"/>
  <c r="E10676" i="1"/>
  <c r="B10676" i="1"/>
  <c r="O10675" i="1"/>
  <c r="E10675" i="1"/>
  <c r="B10675" i="1"/>
  <c r="O10674" i="1"/>
  <c r="E10674" i="1"/>
  <c r="B10674" i="1"/>
  <c r="O10673" i="1"/>
  <c r="E10673" i="1"/>
  <c r="B10673" i="1"/>
  <c r="O10672" i="1"/>
  <c r="E10672" i="1"/>
  <c r="B10672" i="1"/>
  <c r="O10671" i="1"/>
  <c r="E10671" i="1"/>
  <c r="B10671" i="1"/>
  <c r="O10670" i="1"/>
  <c r="E10670" i="1"/>
  <c r="B10670" i="1"/>
  <c r="O10669" i="1"/>
  <c r="E10669" i="1"/>
  <c r="B10669" i="1"/>
  <c r="O10668" i="1"/>
  <c r="E10668" i="1"/>
  <c r="B10668" i="1"/>
  <c r="O10667" i="1"/>
  <c r="E10667" i="1"/>
  <c r="B10667" i="1"/>
  <c r="O10666" i="1"/>
  <c r="E10666" i="1"/>
  <c r="B10666" i="1"/>
  <c r="O10665" i="1"/>
  <c r="E10665" i="1"/>
  <c r="B10665" i="1"/>
  <c r="O10664" i="1"/>
  <c r="E10664" i="1"/>
  <c r="B10664" i="1"/>
  <c r="O10663" i="1"/>
  <c r="E10663" i="1"/>
  <c r="B10663" i="1"/>
  <c r="O10662" i="1"/>
  <c r="E10662" i="1"/>
  <c r="B10662" i="1"/>
  <c r="O10661" i="1"/>
  <c r="E10661" i="1"/>
  <c r="B10661" i="1"/>
  <c r="O10660" i="1"/>
  <c r="E10660" i="1"/>
  <c r="B10660" i="1"/>
  <c r="O10659" i="1"/>
  <c r="E10659" i="1"/>
  <c r="B10659" i="1"/>
  <c r="O10658" i="1"/>
  <c r="E10658" i="1"/>
  <c r="B10658" i="1"/>
  <c r="O10657" i="1"/>
  <c r="E10657" i="1"/>
  <c r="B10657" i="1"/>
  <c r="O10656" i="1"/>
  <c r="E10656" i="1"/>
  <c r="B10656" i="1"/>
  <c r="O10655" i="1"/>
  <c r="E10655" i="1"/>
  <c r="B10655" i="1"/>
  <c r="O10654" i="1"/>
  <c r="E10654" i="1"/>
  <c r="B10654" i="1"/>
  <c r="O10653" i="1"/>
  <c r="E10653" i="1"/>
  <c r="B10653" i="1"/>
  <c r="O10652" i="1"/>
  <c r="E10652" i="1"/>
  <c r="B10652" i="1"/>
  <c r="O10651" i="1"/>
  <c r="E10651" i="1"/>
  <c r="B10651" i="1"/>
  <c r="O10650" i="1"/>
  <c r="E10650" i="1"/>
  <c r="B10650" i="1"/>
  <c r="O10649" i="1"/>
  <c r="E10649" i="1"/>
  <c r="B10649" i="1"/>
  <c r="O10648" i="1"/>
  <c r="E10648" i="1"/>
  <c r="B10648" i="1"/>
  <c r="O10647" i="1"/>
  <c r="E10647" i="1"/>
  <c r="B10647" i="1"/>
  <c r="O10646" i="1"/>
  <c r="E10646" i="1"/>
  <c r="B10646" i="1"/>
  <c r="O10645" i="1"/>
  <c r="E10645" i="1"/>
  <c r="B10645" i="1"/>
  <c r="O10644" i="1"/>
  <c r="E10644" i="1"/>
  <c r="B10644" i="1"/>
  <c r="O10643" i="1"/>
  <c r="E10643" i="1"/>
  <c r="B10643" i="1"/>
  <c r="O10642" i="1"/>
  <c r="E10642" i="1"/>
  <c r="B10642" i="1"/>
  <c r="O10641" i="1"/>
  <c r="E10641" i="1"/>
  <c r="B10641" i="1"/>
  <c r="O10640" i="1"/>
  <c r="E10640" i="1"/>
  <c r="B10640" i="1"/>
  <c r="O10639" i="1"/>
  <c r="E10639" i="1"/>
  <c r="B10639" i="1"/>
  <c r="O10638" i="1"/>
  <c r="E10638" i="1"/>
  <c r="B10638" i="1"/>
  <c r="O10637" i="1"/>
  <c r="E10637" i="1"/>
  <c r="B10637" i="1"/>
  <c r="O10636" i="1"/>
  <c r="E10636" i="1"/>
  <c r="B10636" i="1"/>
  <c r="O10635" i="1"/>
  <c r="E10635" i="1"/>
  <c r="B10635" i="1"/>
  <c r="O10634" i="1"/>
  <c r="E10634" i="1"/>
  <c r="B10634" i="1"/>
  <c r="O10633" i="1"/>
  <c r="E10633" i="1"/>
  <c r="B10633" i="1"/>
  <c r="O10632" i="1"/>
  <c r="E10632" i="1"/>
  <c r="B10632" i="1"/>
  <c r="O10631" i="1"/>
  <c r="E10631" i="1"/>
  <c r="B10631" i="1"/>
  <c r="O10630" i="1"/>
  <c r="E10630" i="1"/>
  <c r="B10630" i="1"/>
  <c r="O10629" i="1"/>
  <c r="E10629" i="1"/>
  <c r="B10629" i="1"/>
  <c r="O10628" i="1"/>
  <c r="E10628" i="1"/>
  <c r="B10628" i="1"/>
  <c r="O10627" i="1"/>
  <c r="E10627" i="1"/>
  <c r="B10627" i="1"/>
  <c r="O10626" i="1"/>
  <c r="E10626" i="1"/>
  <c r="B10626" i="1"/>
  <c r="O10625" i="1"/>
  <c r="E10625" i="1"/>
  <c r="B10625" i="1"/>
  <c r="O10624" i="1"/>
  <c r="E10624" i="1"/>
  <c r="B10624" i="1"/>
  <c r="O10623" i="1"/>
  <c r="E10623" i="1"/>
  <c r="B10623" i="1"/>
  <c r="O10622" i="1"/>
  <c r="E10622" i="1"/>
  <c r="B10622" i="1"/>
  <c r="O10621" i="1"/>
  <c r="E10621" i="1"/>
  <c r="B10621" i="1"/>
  <c r="O10620" i="1"/>
  <c r="E10620" i="1"/>
  <c r="B10620" i="1"/>
  <c r="O10619" i="1"/>
  <c r="E10619" i="1"/>
  <c r="B10619" i="1"/>
  <c r="O10618" i="1"/>
  <c r="E10618" i="1"/>
  <c r="B10618" i="1"/>
  <c r="O10617" i="1"/>
  <c r="E10617" i="1"/>
  <c r="B10617" i="1"/>
  <c r="O10616" i="1"/>
  <c r="E10616" i="1"/>
  <c r="B10616" i="1"/>
  <c r="O10615" i="1"/>
  <c r="E10615" i="1"/>
  <c r="B10615" i="1"/>
  <c r="O10614" i="1"/>
  <c r="E10614" i="1"/>
  <c r="B10614" i="1"/>
  <c r="O10613" i="1"/>
  <c r="E10613" i="1"/>
  <c r="B10613" i="1"/>
  <c r="O10612" i="1"/>
  <c r="E10612" i="1"/>
  <c r="B10612" i="1"/>
  <c r="O10611" i="1"/>
  <c r="E10611" i="1"/>
  <c r="B10611" i="1"/>
  <c r="O10610" i="1"/>
  <c r="E10610" i="1"/>
  <c r="B10610" i="1"/>
  <c r="O10609" i="1"/>
  <c r="E10609" i="1"/>
  <c r="B10609" i="1"/>
  <c r="O10608" i="1"/>
  <c r="E10608" i="1"/>
  <c r="B10608" i="1"/>
  <c r="O10607" i="1"/>
  <c r="E10607" i="1"/>
  <c r="B10607" i="1"/>
  <c r="O10606" i="1"/>
  <c r="E10606" i="1"/>
  <c r="B10606" i="1"/>
  <c r="O10605" i="1"/>
  <c r="E10605" i="1"/>
  <c r="B10605" i="1"/>
  <c r="O10604" i="1"/>
  <c r="E10604" i="1"/>
  <c r="B10604" i="1"/>
  <c r="O10603" i="1"/>
  <c r="E10603" i="1"/>
  <c r="B10603" i="1"/>
  <c r="O10602" i="1"/>
  <c r="E10602" i="1"/>
  <c r="B10602" i="1"/>
  <c r="O10601" i="1"/>
  <c r="E10601" i="1"/>
  <c r="B10601" i="1"/>
  <c r="O10600" i="1"/>
  <c r="E10600" i="1"/>
  <c r="B10600" i="1"/>
  <c r="O10599" i="1"/>
  <c r="E10599" i="1"/>
  <c r="B10599" i="1"/>
  <c r="O10598" i="1"/>
  <c r="E10598" i="1"/>
  <c r="B10598" i="1"/>
  <c r="O10597" i="1"/>
  <c r="E10597" i="1"/>
  <c r="B10597" i="1"/>
  <c r="O10596" i="1"/>
  <c r="E10596" i="1"/>
  <c r="B10596" i="1"/>
  <c r="O10595" i="1"/>
  <c r="E10595" i="1"/>
  <c r="B10595" i="1"/>
  <c r="O10594" i="1"/>
  <c r="E10594" i="1"/>
  <c r="B10594" i="1"/>
  <c r="O10593" i="1"/>
  <c r="E10593" i="1"/>
  <c r="B10593" i="1"/>
  <c r="O10592" i="1"/>
  <c r="E10592" i="1"/>
  <c r="B10592" i="1"/>
  <c r="O10591" i="1"/>
  <c r="E10591" i="1"/>
  <c r="B10591" i="1"/>
  <c r="O10590" i="1"/>
  <c r="E10590" i="1"/>
  <c r="B10590" i="1"/>
  <c r="O10589" i="1"/>
  <c r="E10589" i="1"/>
  <c r="B10589" i="1"/>
  <c r="O10588" i="1"/>
  <c r="E10588" i="1"/>
  <c r="B10588" i="1"/>
  <c r="O10587" i="1"/>
  <c r="E10587" i="1"/>
  <c r="B10587" i="1"/>
  <c r="O10586" i="1"/>
  <c r="E10586" i="1"/>
  <c r="B10586" i="1"/>
  <c r="O10585" i="1"/>
  <c r="E10585" i="1"/>
  <c r="B10585" i="1"/>
  <c r="O10584" i="1"/>
  <c r="E10584" i="1"/>
  <c r="B10584" i="1"/>
  <c r="O10583" i="1"/>
  <c r="E10583" i="1"/>
  <c r="B10583" i="1"/>
  <c r="O10582" i="1"/>
  <c r="E10582" i="1"/>
  <c r="B10582" i="1"/>
  <c r="O10581" i="1"/>
  <c r="E10581" i="1"/>
  <c r="B10581" i="1"/>
  <c r="O10580" i="1"/>
  <c r="E10580" i="1"/>
  <c r="B10580" i="1"/>
  <c r="O10579" i="1"/>
  <c r="E10579" i="1"/>
  <c r="B10579" i="1"/>
  <c r="O10578" i="1"/>
  <c r="E10578" i="1"/>
  <c r="B10578" i="1"/>
  <c r="O10577" i="1"/>
  <c r="E10577" i="1"/>
  <c r="B10577" i="1"/>
  <c r="O10576" i="1"/>
  <c r="E10576" i="1"/>
  <c r="B10576" i="1"/>
  <c r="O10575" i="1"/>
  <c r="E10575" i="1"/>
  <c r="B10575" i="1"/>
  <c r="O10574" i="1"/>
  <c r="E10574" i="1"/>
  <c r="B10574" i="1"/>
  <c r="O10573" i="1"/>
  <c r="E10573" i="1"/>
  <c r="B10573" i="1"/>
  <c r="O10572" i="1"/>
  <c r="E10572" i="1"/>
  <c r="B10572" i="1"/>
  <c r="O10571" i="1"/>
  <c r="E10571" i="1"/>
  <c r="B10571" i="1"/>
  <c r="O10570" i="1"/>
  <c r="E10570" i="1"/>
  <c r="B10570" i="1"/>
  <c r="O10569" i="1"/>
  <c r="E10569" i="1"/>
  <c r="B10569" i="1"/>
  <c r="O10568" i="1"/>
  <c r="E10568" i="1"/>
  <c r="B10568" i="1"/>
  <c r="O10567" i="1"/>
  <c r="E10567" i="1"/>
  <c r="B10567" i="1"/>
  <c r="O10566" i="1"/>
  <c r="E10566" i="1"/>
  <c r="B10566" i="1"/>
  <c r="O10565" i="1"/>
  <c r="E10565" i="1"/>
  <c r="B10565" i="1"/>
  <c r="O10564" i="1"/>
  <c r="E10564" i="1"/>
  <c r="B10564" i="1"/>
  <c r="O10563" i="1"/>
  <c r="E10563" i="1"/>
  <c r="B10563" i="1"/>
  <c r="O10562" i="1"/>
  <c r="E10562" i="1"/>
  <c r="B10562" i="1"/>
  <c r="O10561" i="1"/>
  <c r="E10561" i="1"/>
  <c r="B10561" i="1"/>
  <c r="O10560" i="1"/>
  <c r="E10560" i="1"/>
  <c r="B10560" i="1"/>
  <c r="O10559" i="1"/>
  <c r="E10559" i="1"/>
  <c r="B10559" i="1"/>
  <c r="O10558" i="1"/>
  <c r="E10558" i="1"/>
  <c r="B10558" i="1"/>
  <c r="O10557" i="1"/>
  <c r="E10557" i="1"/>
  <c r="B10557" i="1"/>
  <c r="O10556" i="1"/>
  <c r="E10556" i="1"/>
  <c r="B10556" i="1"/>
  <c r="O10555" i="1"/>
  <c r="E10555" i="1"/>
  <c r="B10555" i="1"/>
  <c r="O10554" i="1"/>
  <c r="E10554" i="1"/>
  <c r="B10554" i="1"/>
  <c r="O10553" i="1"/>
  <c r="E10553" i="1"/>
  <c r="B10553" i="1"/>
  <c r="O10552" i="1"/>
  <c r="E10552" i="1"/>
  <c r="B10552" i="1"/>
  <c r="O10551" i="1"/>
  <c r="E10551" i="1"/>
  <c r="B10551" i="1"/>
  <c r="O10550" i="1"/>
  <c r="E10550" i="1"/>
  <c r="B10550" i="1"/>
  <c r="O10549" i="1"/>
  <c r="E10549" i="1"/>
  <c r="B10549" i="1"/>
  <c r="O10548" i="1"/>
  <c r="E10548" i="1"/>
  <c r="B10548" i="1"/>
  <c r="O10547" i="1"/>
  <c r="E10547" i="1"/>
  <c r="B10547" i="1"/>
  <c r="O10546" i="1"/>
  <c r="E10546" i="1"/>
  <c r="B10546" i="1"/>
  <c r="O10545" i="1"/>
  <c r="E10545" i="1"/>
  <c r="B10545" i="1"/>
  <c r="O10544" i="1"/>
  <c r="E10544" i="1"/>
  <c r="B10544" i="1"/>
  <c r="O10543" i="1"/>
  <c r="E10543" i="1"/>
  <c r="B10543" i="1"/>
  <c r="O10542" i="1"/>
  <c r="E10542" i="1"/>
  <c r="B10542" i="1"/>
  <c r="O10541" i="1"/>
  <c r="E10541" i="1"/>
  <c r="B10541" i="1"/>
  <c r="O10540" i="1"/>
  <c r="E10540" i="1"/>
  <c r="B10540" i="1"/>
  <c r="O10539" i="1"/>
  <c r="E10539" i="1"/>
  <c r="B10539" i="1"/>
  <c r="O10538" i="1"/>
  <c r="E10538" i="1"/>
  <c r="B10538" i="1"/>
  <c r="O10537" i="1"/>
  <c r="E10537" i="1"/>
  <c r="B10537" i="1"/>
  <c r="O10536" i="1"/>
  <c r="E10536" i="1"/>
  <c r="B10536" i="1"/>
  <c r="O10535" i="1"/>
  <c r="E10535" i="1"/>
  <c r="B10535" i="1"/>
  <c r="O10534" i="1"/>
  <c r="E10534" i="1"/>
  <c r="B10534" i="1"/>
  <c r="O10533" i="1"/>
  <c r="E10533" i="1"/>
  <c r="B10533" i="1"/>
  <c r="O10532" i="1"/>
  <c r="E10532" i="1"/>
  <c r="B10532" i="1"/>
  <c r="O10531" i="1"/>
  <c r="E10531" i="1"/>
  <c r="B10531" i="1"/>
  <c r="O10530" i="1"/>
  <c r="E10530" i="1"/>
  <c r="B10530" i="1"/>
  <c r="O10529" i="1"/>
  <c r="E10529" i="1"/>
  <c r="B10529" i="1"/>
  <c r="O10528" i="1"/>
  <c r="E10528" i="1"/>
  <c r="B10528" i="1"/>
  <c r="O10527" i="1"/>
  <c r="E10527" i="1"/>
  <c r="B10527" i="1"/>
  <c r="O10526" i="1"/>
  <c r="E10526" i="1"/>
  <c r="B10526" i="1"/>
  <c r="O10525" i="1"/>
  <c r="E10525" i="1"/>
  <c r="B10525" i="1"/>
  <c r="O10524" i="1"/>
  <c r="E10524" i="1"/>
  <c r="B10524" i="1"/>
  <c r="O10523" i="1"/>
  <c r="E10523" i="1"/>
  <c r="B10523" i="1"/>
  <c r="O10522" i="1"/>
  <c r="E10522" i="1"/>
  <c r="B10522" i="1"/>
  <c r="O10521" i="1"/>
  <c r="E10521" i="1"/>
  <c r="B10521" i="1"/>
  <c r="O10520" i="1"/>
  <c r="E10520" i="1"/>
  <c r="B10520" i="1"/>
  <c r="O10519" i="1"/>
  <c r="E10519" i="1"/>
  <c r="B10519" i="1"/>
  <c r="O10518" i="1"/>
  <c r="E10518" i="1"/>
  <c r="B10518" i="1"/>
  <c r="O10517" i="1"/>
  <c r="E10517" i="1"/>
  <c r="B10517" i="1"/>
  <c r="O10516" i="1"/>
  <c r="E10516" i="1"/>
  <c r="B10516" i="1"/>
  <c r="O10515" i="1"/>
  <c r="E10515" i="1"/>
  <c r="B10515" i="1"/>
  <c r="O10514" i="1"/>
  <c r="E10514" i="1"/>
  <c r="B10514" i="1"/>
  <c r="O10513" i="1"/>
  <c r="E10513" i="1"/>
  <c r="B10513" i="1"/>
  <c r="O10512" i="1"/>
  <c r="E10512" i="1"/>
  <c r="B10512" i="1"/>
  <c r="O10511" i="1"/>
  <c r="E10511" i="1"/>
  <c r="B10511" i="1"/>
  <c r="O10510" i="1"/>
  <c r="E10510" i="1"/>
  <c r="B10510" i="1"/>
  <c r="O10509" i="1"/>
  <c r="E10509" i="1"/>
  <c r="B10509" i="1"/>
  <c r="O10508" i="1"/>
  <c r="E10508" i="1"/>
  <c r="B10508" i="1"/>
  <c r="O10507" i="1"/>
  <c r="E10507" i="1"/>
  <c r="B10507" i="1"/>
  <c r="O10506" i="1"/>
  <c r="E10506" i="1"/>
  <c r="B10506" i="1"/>
  <c r="O10505" i="1"/>
  <c r="E10505" i="1"/>
  <c r="B10505" i="1"/>
  <c r="O10504" i="1"/>
  <c r="E10504" i="1"/>
  <c r="B10504" i="1"/>
  <c r="O10503" i="1"/>
  <c r="E10503" i="1"/>
  <c r="B10503" i="1"/>
  <c r="O10502" i="1"/>
  <c r="E10502" i="1"/>
  <c r="B10502" i="1"/>
  <c r="O10501" i="1"/>
  <c r="E10501" i="1"/>
  <c r="B10501" i="1"/>
  <c r="O10500" i="1"/>
  <c r="E10500" i="1"/>
  <c r="B10500" i="1"/>
  <c r="O10499" i="1"/>
  <c r="E10499" i="1"/>
  <c r="B10499" i="1"/>
  <c r="O10498" i="1"/>
  <c r="E10498" i="1"/>
  <c r="B10498" i="1"/>
  <c r="O10497" i="1"/>
  <c r="E10497" i="1"/>
  <c r="B10497" i="1"/>
  <c r="O10496" i="1"/>
  <c r="E10496" i="1"/>
  <c r="B10496" i="1"/>
  <c r="O10495" i="1"/>
  <c r="E10495" i="1"/>
  <c r="B10495" i="1"/>
  <c r="O10494" i="1"/>
  <c r="E10494" i="1"/>
  <c r="B10494" i="1"/>
  <c r="O10493" i="1"/>
  <c r="E10493" i="1"/>
  <c r="B10493" i="1"/>
  <c r="O10492" i="1"/>
  <c r="E10492" i="1"/>
  <c r="B10492" i="1"/>
  <c r="O10491" i="1"/>
  <c r="E10491" i="1"/>
  <c r="B10491" i="1"/>
  <c r="O10490" i="1"/>
  <c r="E10490" i="1"/>
  <c r="B10490" i="1"/>
  <c r="O10489" i="1"/>
  <c r="E10489" i="1"/>
  <c r="B10489" i="1"/>
  <c r="O10488" i="1"/>
  <c r="E10488" i="1"/>
  <c r="B10488" i="1"/>
  <c r="O10487" i="1"/>
  <c r="E10487" i="1"/>
  <c r="B10487" i="1"/>
  <c r="O10486" i="1"/>
  <c r="E10486" i="1"/>
  <c r="B10486" i="1"/>
  <c r="O10485" i="1"/>
  <c r="E10485" i="1"/>
  <c r="B10485" i="1"/>
  <c r="O10484" i="1"/>
  <c r="E10484" i="1"/>
  <c r="B10484" i="1"/>
  <c r="O10483" i="1"/>
  <c r="E10483" i="1"/>
  <c r="B10483" i="1"/>
  <c r="O10482" i="1"/>
  <c r="E10482" i="1"/>
  <c r="B10482" i="1"/>
  <c r="O10481" i="1"/>
  <c r="E10481" i="1"/>
  <c r="B10481" i="1"/>
  <c r="O10480" i="1"/>
  <c r="E10480" i="1"/>
  <c r="B10480" i="1"/>
  <c r="O10479" i="1"/>
  <c r="E10479" i="1"/>
  <c r="B10479" i="1"/>
  <c r="O10478" i="1"/>
  <c r="E10478" i="1"/>
  <c r="B10478" i="1"/>
  <c r="O10477" i="1"/>
  <c r="E10477" i="1"/>
  <c r="B10477" i="1"/>
  <c r="O10476" i="1"/>
  <c r="E10476" i="1"/>
  <c r="B10476" i="1"/>
  <c r="O10475" i="1"/>
  <c r="E10475" i="1"/>
  <c r="B10475" i="1"/>
  <c r="O10474" i="1"/>
  <c r="E10474" i="1"/>
  <c r="B10474" i="1"/>
  <c r="O10473" i="1"/>
  <c r="E10473" i="1"/>
  <c r="B10473" i="1"/>
  <c r="O10472" i="1"/>
  <c r="E10472" i="1"/>
  <c r="B10472" i="1"/>
  <c r="O10471" i="1"/>
  <c r="E10471" i="1"/>
  <c r="B10471" i="1"/>
  <c r="O10470" i="1"/>
  <c r="E10470" i="1"/>
  <c r="B10470" i="1"/>
  <c r="O10469" i="1"/>
  <c r="E10469" i="1"/>
  <c r="B10469" i="1"/>
  <c r="O10468" i="1"/>
  <c r="E10468" i="1"/>
  <c r="B10468" i="1"/>
  <c r="O10467" i="1"/>
  <c r="E10467" i="1"/>
  <c r="B10467" i="1"/>
  <c r="O10466" i="1"/>
  <c r="E10466" i="1"/>
  <c r="B10466" i="1"/>
  <c r="O10465" i="1"/>
  <c r="E10465" i="1"/>
  <c r="B10465" i="1"/>
  <c r="O10464" i="1"/>
  <c r="E10464" i="1"/>
  <c r="B10464" i="1"/>
  <c r="O10463" i="1"/>
  <c r="E10463" i="1"/>
  <c r="B10463" i="1"/>
  <c r="O10462" i="1"/>
  <c r="E10462" i="1"/>
  <c r="B10462" i="1"/>
  <c r="O10461" i="1"/>
  <c r="E10461" i="1"/>
  <c r="B10461" i="1"/>
  <c r="O10460" i="1"/>
  <c r="E10460" i="1"/>
  <c r="B10460" i="1"/>
  <c r="O10459" i="1"/>
  <c r="E10459" i="1"/>
  <c r="B10459" i="1"/>
  <c r="O10458" i="1"/>
  <c r="E10458" i="1"/>
  <c r="B10458" i="1"/>
  <c r="O10457" i="1"/>
  <c r="E10457" i="1"/>
  <c r="B10457" i="1"/>
  <c r="O10456" i="1"/>
  <c r="E10456" i="1"/>
  <c r="B10456" i="1"/>
  <c r="O10455" i="1"/>
  <c r="E10455" i="1"/>
  <c r="B10455" i="1"/>
  <c r="O10454" i="1"/>
  <c r="E10454" i="1"/>
  <c r="B10454" i="1"/>
  <c r="O10453" i="1"/>
  <c r="E10453" i="1"/>
  <c r="B10453" i="1"/>
  <c r="O10452" i="1"/>
  <c r="E10452" i="1"/>
  <c r="B10452" i="1"/>
  <c r="O10451" i="1"/>
  <c r="E10451" i="1"/>
  <c r="B10451" i="1"/>
  <c r="O10450" i="1"/>
  <c r="E10450" i="1"/>
  <c r="B10450" i="1"/>
  <c r="O10449" i="1"/>
  <c r="E10449" i="1"/>
  <c r="B10449" i="1"/>
  <c r="O10448" i="1"/>
  <c r="E10448" i="1"/>
  <c r="B10448" i="1"/>
  <c r="O10447" i="1"/>
  <c r="E10447" i="1"/>
  <c r="B10447" i="1"/>
  <c r="O10446" i="1"/>
  <c r="E10446" i="1"/>
  <c r="B10446" i="1"/>
  <c r="O10445" i="1"/>
  <c r="E10445" i="1"/>
  <c r="B10445" i="1"/>
  <c r="O10444" i="1"/>
  <c r="E10444" i="1"/>
  <c r="B10444" i="1"/>
  <c r="O10443" i="1"/>
  <c r="E10443" i="1"/>
  <c r="B10443" i="1"/>
  <c r="O10442" i="1"/>
  <c r="E10442" i="1"/>
  <c r="B10442" i="1"/>
  <c r="O10441" i="1"/>
  <c r="E10441" i="1"/>
  <c r="B10441" i="1"/>
  <c r="O10440" i="1"/>
  <c r="E10440" i="1"/>
  <c r="B10440" i="1"/>
  <c r="O10439" i="1"/>
  <c r="E10439" i="1"/>
  <c r="B10439" i="1"/>
  <c r="O10438" i="1"/>
  <c r="E10438" i="1"/>
  <c r="B10438" i="1"/>
  <c r="O10437" i="1"/>
  <c r="E10437" i="1"/>
  <c r="B10437" i="1"/>
  <c r="O10436" i="1"/>
  <c r="E10436" i="1"/>
  <c r="B10436" i="1"/>
  <c r="O10435" i="1"/>
  <c r="E10435" i="1"/>
  <c r="B10435" i="1"/>
  <c r="O10434" i="1"/>
  <c r="E10434" i="1"/>
  <c r="B10434" i="1"/>
  <c r="O10433" i="1"/>
  <c r="E10433" i="1"/>
  <c r="B10433" i="1"/>
  <c r="O10432" i="1"/>
  <c r="E10432" i="1"/>
  <c r="B10432" i="1"/>
  <c r="O10431" i="1"/>
  <c r="E10431" i="1"/>
  <c r="B10431" i="1"/>
  <c r="O10430" i="1"/>
  <c r="E10430" i="1"/>
  <c r="B10430" i="1"/>
  <c r="O10429" i="1"/>
  <c r="E10429" i="1"/>
  <c r="B10429" i="1"/>
  <c r="O10428" i="1"/>
  <c r="E10428" i="1"/>
  <c r="B10428" i="1"/>
  <c r="O10427" i="1"/>
  <c r="E10427" i="1"/>
  <c r="B10427" i="1"/>
  <c r="O10426" i="1"/>
  <c r="E10426" i="1"/>
  <c r="B10426" i="1"/>
  <c r="O10425" i="1"/>
  <c r="E10425" i="1"/>
  <c r="B10425" i="1"/>
  <c r="O10424" i="1"/>
  <c r="E10424" i="1"/>
  <c r="B10424" i="1"/>
  <c r="O10423" i="1"/>
  <c r="E10423" i="1"/>
  <c r="B10423" i="1"/>
  <c r="O10422" i="1"/>
  <c r="E10422" i="1"/>
  <c r="B10422" i="1"/>
  <c r="O10421" i="1"/>
  <c r="E10421" i="1"/>
  <c r="B10421" i="1"/>
  <c r="O10420" i="1"/>
  <c r="E10420" i="1"/>
  <c r="B10420" i="1"/>
  <c r="O10419" i="1"/>
  <c r="E10419" i="1"/>
  <c r="B10419" i="1"/>
  <c r="O10418" i="1"/>
  <c r="E10418" i="1"/>
  <c r="B10418" i="1"/>
  <c r="O10417" i="1"/>
  <c r="E10417" i="1"/>
  <c r="B10417" i="1"/>
  <c r="O10416" i="1"/>
  <c r="E10416" i="1"/>
  <c r="B10416" i="1"/>
  <c r="O10415" i="1"/>
  <c r="E10415" i="1"/>
  <c r="B10415" i="1"/>
  <c r="O10414" i="1"/>
  <c r="E10414" i="1"/>
  <c r="B10414" i="1"/>
  <c r="O10413" i="1"/>
  <c r="E10413" i="1"/>
  <c r="B10413" i="1"/>
  <c r="O10412" i="1"/>
  <c r="E10412" i="1"/>
  <c r="B10412" i="1"/>
  <c r="O10411" i="1"/>
  <c r="E10411" i="1"/>
  <c r="B10411" i="1"/>
  <c r="O10410" i="1"/>
  <c r="E10410" i="1"/>
  <c r="B10410" i="1"/>
  <c r="O10409" i="1"/>
  <c r="E10409" i="1"/>
  <c r="B10409" i="1"/>
  <c r="O10408" i="1"/>
  <c r="E10408" i="1"/>
  <c r="B10408" i="1"/>
  <c r="O10407" i="1"/>
  <c r="E10407" i="1"/>
  <c r="B10407" i="1"/>
  <c r="O10406" i="1"/>
  <c r="E10406" i="1"/>
  <c r="B10406" i="1"/>
  <c r="O10405" i="1"/>
  <c r="E10405" i="1"/>
  <c r="B10405" i="1"/>
  <c r="O10404" i="1"/>
  <c r="E10404" i="1"/>
  <c r="B10404" i="1"/>
  <c r="O10403" i="1"/>
  <c r="E10403" i="1"/>
  <c r="B10403" i="1"/>
  <c r="O10402" i="1"/>
  <c r="E10402" i="1"/>
  <c r="B10402" i="1"/>
  <c r="O10401" i="1"/>
  <c r="E10401" i="1"/>
  <c r="B10401" i="1"/>
  <c r="O10400" i="1"/>
  <c r="E10400" i="1"/>
  <c r="B10400" i="1"/>
  <c r="O10399" i="1"/>
  <c r="E10399" i="1"/>
  <c r="B10399" i="1"/>
  <c r="O10398" i="1"/>
  <c r="E10398" i="1"/>
  <c r="B10398" i="1"/>
  <c r="O10397" i="1"/>
  <c r="E10397" i="1"/>
  <c r="B10397" i="1"/>
  <c r="O10396" i="1"/>
  <c r="E10396" i="1"/>
  <c r="B10396" i="1"/>
  <c r="O10395" i="1"/>
  <c r="E10395" i="1"/>
  <c r="B10395" i="1"/>
  <c r="O10394" i="1"/>
  <c r="E10394" i="1"/>
  <c r="B10394" i="1"/>
  <c r="O10393" i="1"/>
  <c r="E10393" i="1"/>
  <c r="B10393" i="1"/>
  <c r="O10392" i="1"/>
  <c r="E10392" i="1"/>
  <c r="B10392" i="1"/>
  <c r="O10391" i="1"/>
  <c r="E10391" i="1"/>
  <c r="B10391" i="1"/>
  <c r="O10390" i="1"/>
  <c r="E10390" i="1"/>
  <c r="B10390" i="1"/>
  <c r="O10389" i="1"/>
  <c r="E10389" i="1"/>
  <c r="B10389" i="1"/>
  <c r="O10388" i="1"/>
  <c r="E10388" i="1"/>
  <c r="B10388" i="1"/>
  <c r="O10387" i="1"/>
  <c r="E10387" i="1"/>
  <c r="B10387" i="1"/>
  <c r="O10386" i="1"/>
  <c r="E10386" i="1"/>
  <c r="B10386" i="1"/>
  <c r="O10385" i="1"/>
  <c r="E10385" i="1"/>
  <c r="B10385" i="1"/>
  <c r="O10384" i="1"/>
  <c r="E10384" i="1"/>
  <c r="B10384" i="1"/>
  <c r="O10383" i="1"/>
  <c r="E10383" i="1"/>
  <c r="B10383" i="1"/>
  <c r="O10382" i="1"/>
  <c r="E10382" i="1"/>
  <c r="B10382" i="1"/>
  <c r="O10381" i="1"/>
  <c r="E10381" i="1"/>
  <c r="B10381" i="1"/>
  <c r="O10380" i="1"/>
  <c r="E10380" i="1"/>
  <c r="B10380" i="1"/>
  <c r="O10379" i="1"/>
  <c r="E10379" i="1"/>
  <c r="B10379" i="1"/>
  <c r="O10378" i="1"/>
  <c r="E10378" i="1"/>
  <c r="B10378" i="1"/>
  <c r="O10377" i="1"/>
  <c r="E10377" i="1"/>
  <c r="B10377" i="1"/>
  <c r="O10376" i="1"/>
  <c r="E10376" i="1"/>
  <c r="B10376" i="1"/>
  <c r="O10375" i="1"/>
  <c r="E10375" i="1"/>
  <c r="B10375" i="1"/>
  <c r="O10374" i="1"/>
  <c r="E10374" i="1"/>
  <c r="B10374" i="1"/>
  <c r="O10373" i="1"/>
  <c r="E10373" i="1"/>
  <c r="B10373" i="1"/>
  <c r="O10372" i="1"/>
  <c r="E10372" i="1"/>
  <c r="B10372" i="1"/>
  <c r="O10371" i="1"/>
  <c r="E10371" i="1"/>
  <c r="B10371" i="1"/>
  <c r="O10370" i="1"/>
  <c r="E10370" i="1"/>
  <c r="B10370" i="1"/>
  <c r="O10369" i="1"/>
  <c r="E10369" i="1"/>
  <c r="B10369" i="1"/>
  <c r="O10368" i="1"/>
  <c r="E10368" i="1"/>
  <c r="B10368" i="1"/>
  <c r="O10367" i="1"/>
  <c r="E10367" i="1"/>
  <c r="B10367" i="1"/>
  <c r="O10366" i="1"/>
  <c r="E10366" i="1"/>
  <c r="B10366" i="1"/>
  <c r="O10365" i="1"/>
  <c r="E10365" i="1"/>
  <c r="B10365" i="1"/>
  <c r="O10364" i="1"/>
  <c r="E10364" i="1"/>
  <c r="B10364" i="1"/>
  <c r="O10363" i="1"/>
  <c r="E10363" i="1"/>
  <c r="B10363" i="1"/>
  <c r="O10362" i="1"/>
  <c r="E10362" i="1"/>
  <c r="B10362" i="1"/>
  <c r="O10361" i="1"/>
  <c r="E10361" i="1"/>
  <c r="B10361" i="1"/>
  <c r="O10360" i="1"/>
  <c r="E10360" i="1"/>
  <c r="B10360" i="1"/>
  <c r="O10359" i="1"/>
  <c r="E10359" i="1"/>
  <c r="B10359" i="1"/>
  <c r="O10358" i="1"/>
  <c r="E10358" i="1"/>
  <c r="B10358" i="1"/>
  <c r="O10357" i="1"/>
  <c r="E10357" i="1"/>
  <c r="B10357" i="1"/>
  <c r="O10356" i="1"/>
  <c r="E10356" i="1"/>
  <c r="B10356" i="1"/>
  <c r="O10355" i="1"/>
  <c r="E10355" i="1"/>
  <c r="B10355" i="1"/>
  <c r="O10354" i="1"/>
  <c r="E10354" i="1"/>
  <c r="B10354" i="1"/>
  <c r="O10353" i="1"/>
  <c r="E10353" i="1"/>
  <c r="B10353" i="1"/>
  <c r="O10352" i="1"/>
  <c r="E10352" i="1"/>
  <c r="B10352" i="1"/>
  <c r="O10351" i="1"/>
  <c r="E10351" i="1"/>
  <c r="B10351" i="1"/>
  <c r="O10350" i="1"/>
  <c r="E10350" i="1"/>
  <c r="B10350" i="1"/>
  <c r="O10349" i="1"/>
  <c r="E10349" i="1"/>
  <c r="B10349" i="1"/>
  <c r="O10348" i="1"/>
  <c r="E10348" i="1"/>
  <c r="B10348" i="1"/>
  <c r="O10347" i="1"/>
  <c r="E10347" i="1"/>
  <c r="B10347" i="1"/>
  <c r="O10346" i="1"/>
  <c r="E10346" i="1"/>
  <c r="B10346" i="1"/>
  <c r="O10345" i="1"/>
  <c r="E10345" i="1"/>
  <c r="B10345" i="1"/>
  <c r="O10344" i="1"/>
  <c r="E10344" i="1"/>
  <c r="B10344" i="1"/>
  <c r="O10343" i="1"/>
  <c r="E10343" i="1"/>
  <c r="B10343" i="1"/>
  <c r="O10342" i="1"/>
  <c r="E10342" i="1"/>
  <c r="B10342" i="1"/>
  <c r="O10341" i="1"/>
  <c r="E10341" i="1"/>
  <c r="B10341" i="1"/>
  <c r="O10340" i="1"/>
  <c r="E10340" i="1"/>
  <c r="B10340" i="1"/>
  <c r="O10339" i="1"/>
  <c r="E10339" i="1"/>
  <c r="B10339" i="1"/>
  <c r="O10338" i="1"/>
  <c r="E10338" i="1"/>
  <c r="B10338" i="1"/>
  <c r="O10337" i="1"/>
  <c r="E10337" i="1"/>
  <c r="B10337" i="1"/>
  <c r="O10336" i="1"/>
  <c r="E10336" i="1"/>
  <c r="B10336" i="1"/>
  <c r="O10335" i="1"/>
  <c r="E10335" i="1"/>
  <c r="B10335" i="1"/>
  <c r="O10334" i="1"/>
  <c r="E10334" i="1"/>
  <c r="B10334" i="1"/>
  <c r="O10333" i="1"/>
  <c r="E10333" i="1"/>
  <c r="B10333" i="1"/>
  <c r="O10332" i="1"/>
  <c r="E10332" i="1"/>
  <c r="B10332" i="1"/>
  <c r="O10331" i="1"/>
  <c r="E10331" i="1"/>
  <c r="B10331" i="1"/>
  <c r="O10330" i="1"/>
  <c r="E10330" i="1"/>
  <c r="B10330" i="1"/>
  <c r="O10329" i="1"/>
  <c r="E10329" i="1"/>
  <c r="B10329" i="1"/>
  <c r="O10328" i="1"/>
  <c r="E10328" i="1"/>
  <c r="B10328" i="1"/>
  <c r="O10327" i="1"/>
  <c r="E10327" i="1"/>
  <c r="B10327" i="1"/>
  <c r="O10326" i="1"/>
  <c r="E10326" i="1"/>
  <c r="B10326" i="1"/>
  <c r="O10325" i="1"/>
  <c r="E10325" i="1"/>
  <c r="B10325" i="1"/>
  <c r="O10324" i="1"/>
  <c r="E10324" i="1"/>
  <c r="B10324" i="1"/>
  <c r="O10323" i="1"/>
  <c r="E10323" i="1"/>
  <c r="B10323" i="1"/>
  <c r="O10322" i="1"/>
  <c r="E10322" i="1"/>
  <c r="B10322" i="1"/>
  <c r="O10321" i="1"/>
  <c r="E10321" i="1"/>
  <c r="B10321" i="1"/>
  <c r="O10320" i="1"/>
  <c r="E10320" i="1"/>
  <c r="B10320" i="1"/>
  <c r="O10319" i="1"/>
  <c r="E10319" i="1"/>
  <c r="B10319" i="1"/>
  <c r="O10318" i="1"/>
  <c r="E10318" i="1"/>
  <c r="B10318" i="1"/>
  <c r="O10317" i="1"/>
  <c r="E10317" i="1"/>
  <c r="B10317" i="1"/>
  <c r="O10316" i="1"/>
  <c r="E10316" i="1"/>
  <c r="B10316" i="1"/>
  <c r="O10315" i="1"/>
  <c r="E10315" i="1"/>
  <c r="B10315" i="1"/>
  <c r="O10314" i="1"/>
  <c r="E10314" i="1"/>
  <c r="B10314" i="1"/>
  <c r="O10313" i="1"/>
  <c r="E10313" i="1"/>
  <c r="B10313" i="1"/>
  <c r="O10312" i="1"/>
  <c r="E10312" i="1"/>
  <c r="B10312" i="1"/>
  <c r="O10311" i="1"/>
  <c r="E10311" i="1"/>
  <c r="B10311" i="1"/>
  <c r="O10310" i="1"/>
  <c r="E10310" i="1"/>
  <c r="B10310" i="1"/>
  <c r="O10309" i="1"/>
  <c r="E10309" i="1"/>
  <c r="B10309" i="1"/>
  <c r="O10308" i="1"/>
  <c r="E10308" i="1"/>
  <c r="B10308" i="1"/>
  <c r="O10307" i="1"/>
  <c r="E10307" i="1"/>
  <c r="B10307" i="1"/>
  <c r="O10306" i="1"/>
  <c r="E10306" i="1"/>
  <c r="B10306" i="1"/>
  <c r="O10305" i="1"/>
  <c r="E10305" i="1"/>
  <c r="B10305" i="1"/>
  <c r="O10304" i="1"/>
  <c r="E10304" i="1"/>
  <c r="B10304" i="1"/>
  <c r="O10303" i="1"/>
  <c r="E10303" i="1"/>
  <c r="B10303" i="1"/>
  <c r="O10302" i="1"/>
  <c r="E10302" i="1"/>
  <c r="B10302" i="1"/>
  <c r="O10301" i="1"/>
  <c r="E10301" i="1"/>
  <c r="B10301" i="1"/>
  <c r="O10300" i="1"/>
  <c r="E10300" i="1"/>
  <c r="B10300" i="1"/>
  <c r="O10299" i="1"/>
  <c r="E10299" i="1"/>
  <c r="B10299" i="1"/>
  <c r="O10298" i="1"/>
  <c r="E10298" i="1"/>
  <c r="B10298" i="1"/>
  <c r="O10297" i="1"/>
  <c r="E10297" i="1"/>
  <c r="B10297" i="1"/>
  <c r="O10296" i="1"/>
  <c r="E10296" i="1"/>
  <c r="B10296" i="1"/>
  <c r="O10295" i="1"/>
  <c r="E10295" i="1"/>
  <c r="B10295" i="1"/>
  <c r="O10294" i="1"/>
  <c r="E10294" i="1"/>
  <c r="B10294" i="1"/>
  <c r="O10293" i="1"/>
  <c r="E10293" i="1"/>
  <c r="B10293" i="1"/>
  <c r="O10292" i="1"/>
  <c r="E10292" i="1"/>
  <c r="B10292" i="1"/>
  <c r="O10291" i="1"/>
  <c r="E10291" i="1"/>
  <c r="B10291" i="1"/>
  <c r="O10290" i="1"/>
  <c r="E10290" i="1"/>
  <c r="B10290" i="1"/>
  <c r="O10289" i="1"/>
  <c r="E10289" i="1"/>
  <c r="B10289" i="1"/>
  <c r="O10288" i="1"/>
  <c r="E10288" i="1"/>
  <c r="B10288" i="1"/>
  <c r="O10287" i="1"/>
  <c r="E10287" i="1"/>
  <c r="B10287" i="1"/>
  <c r="O10286" i="1"/>
  <c r="E10286" i="1"/>
  <c r="B10286" i="1"/>
  <c r="O10285" i="1"/>
  <c r="E10285" i="1"/>
  <c r="B10285" i="1"/>
  <c r="O10284" i="1"/>
  <c r="E10284" i="1"/>
  <c r="B10284" i="1"/>
  <c r="O10283" i="1"/>
  <c r="E10283" i="1"/>
  <c r="B10283" i="1"/>
  <c r="O10282" i="1"/>
  <c r="E10282" i="1"/>
  <c r="B10282" i="1"/>
  <c r="O10281" i="1"/>
  <c r="E10281" i="1"/>
  <c r="B10281" i="1"/>
  <c r="O10280" i="1"/>
  <c r="E10280" i="1"/>
  <c r="B10280" i="1"/>
  <c r="O10279" i="1"/>
  <c r="E10279" i="1"/>
  <c r="B10279" i="1"/>
  <c r="O10278" i="1"/>
  <c r="E10278" i="1"/>
  <c r="B10278" i="1"/>
  <c r="O10277" i="1"/>
  <c r="E10277" i="1"/>
  <c r="B10277" i="1"/>
  <c r="O10276" i="1"/>
  <c r="E10276" i="1"/>
  <c r="B10276" i="1"/>
  <c r="O10275" i="1"/>
  <c r="E10275" i="1"/>
  <c r="B10275" i="1"/>
  <c r="O10274" i="1"/>
  <c r="E10274" i="1"/>
  <c r="B10274" i="1"/>
  <c r="O10273" i="1"/>
  <c r="E10273" i="1"/>
  <c r="B10273" i="1"/>
  <c r="O10272" i="1"/>
  <c r="E10272" i="1"/>
  <c r="B10272" i="1"/>
  <c r="O10271" i="1"/>
  <c r="E10271" i="1"/>
  <c r="B10271" i="1"/>
  <c r="O10270" i="1"/>
  <c r="E10270" i="1"/>
  <c r="B10270" i="1"/>
  <c r="O10269" i="1"/>
  <c r="E10269" i="1"/>
  <c r="B10269" i="1"/>
  <c r="O10268" i="1"/>
  <c r="E10268" i="1"/>
  <c r="B10268" i="1"/>
  <c r="O10267" i="1"/>
  <c r="E10267" i="1"/>
  <c r="B10267" i="1"/>
  <c r="O10266" i="1"/>
  <c r="E10266" i="1"/>
  <c r="B10266" i="1"/>
  <c r="O10265" i="1"/>
  <c r="E10265" i="1"/>
  <c r="B10265" i="1"/>
  <c r="O10264" i="1"/>
  <c r="E10264" i="1"/>
  <c r="B10264" i="1"/>
  <c r="O10263" i="1"/>
  <c r="E10263" i="1"/>
  <c r="B10263" i="1"/>
  <c r="O10262" i="1"/>
  <c r="E10262" i="1"/>
  <c r="B10262" i="1"/>
  <c r="O10261" i="1"/>
  <c r="E10261" i="1"/>
  <c r="B10261" i="1"/>
  <c r="O10260" i="1"/>
  <c r="E10260" i="1"/>
  <c r="B10260" i="1"/>
  <c r="O10259" i="1"/>
  <c r="E10259" i="1"/>
  <c r="B10259" i="1"/>
  <c r="O10258" i="1"/>
  <c r="E10258" i="1"/>
  <c r="B10258" i="1"/>
  <c r="O10257" i="1"/>
  <c r="E10257" i="1"/>
  <c r="B10257" i="1"/>
  <c r="O10256" i="1"/>
  <c r="E10256" i="1"/>
  <c r="B10256" i="1"/>
  <c r="O10255" i="1"/>
  <c r="E10255" i="1"/>
  <c r="B10255" i="1"/>
  <c r="O10254" i="1"/>
  <c r="E10254" i="1"/>
  <c r="B10254" i="1"/>
  <c r="O10253" i="1"/>
  <c r="E10253" i="1"/>
  <c r="B10253" i="1"/>
  <c r="O10252" i="1"/>
  <c r="E10252" i="1"/>
  <c r="B10252" i="1"/>
  <c r="O10251" i="1"/>
  <c r="E10251" i="1"/>
  <c r="B10251" i="1"/>
  <c r="O10250" i="1"/>
  <c r="E10250" i="1"/>
  <c r="B10250" i="1"/>
  <c r="O10249" i="1"/>
  <c r="E10249" i="1"/>
  <c r="B10249" i="1"/>
  <c r="O10248" i="1"/>
  <c r="E10248" i="1"/>
  <c r="B10248" i="1"/>
  <c r="O10247" i="1"/>
  <c r="E10247" i="1"/>
  <c r="B10247" i="1"/>
  <c r="O10246" i="1"/>
  <c r="E10246" i="1"/>
  <c r="B10246" i="1"/>
  <c r="O10245" i="1"/>
  <c r="E10245" i="1"/>
  <c r="B10245" i="1"/>
  <c r="O10244" i="1"/>
  <c r="E10244" i="1"/>
  <c r="B10244" i="1"/>
  <c r="O10243" i="1"/>
  <c r="E10243" i="1"/>
  <c r="B10243" i="1"/>
  <c r="O10242" i="1"/>
  <c r="E10242" i="1"/>
  <c r="B10242" i="1"/>
  <c r="O10241" i="1"/>
  <c r="E10241" i="1"/>
  <c r="B10241" i="1"/>
  <c r="O10240" i="1"/>
  <c r="E10240" i="1"/>
  <c r="B10240" i="1"/>
  <c r="O10239" i="1"/>
  <c r="E10239" i="1"/>
  <c r="B10239" i="1"/>
  <c r="O10238" i="1"/>
  <c r="E10238" i="1"/>
  <c r="B10238" i="1"/>
  <c r="O10237" i="1"/>
  <c r="E10237" i="1"/>
  <c r="B10237" i="1"/>
  <c r="O10236" i="1"/>
  <c r="E10236" i="1"/>
  <c r="B10236" i="1"/>
  <c r="O10235" i="1"/>
  <c r="E10235" i="1"/>
  <c r="B10235" i="1"/>
  <c r="O10234" i="1"/>
  <c r="E10234" i="1"/>
  <c r="B10234" i="1"/>
  <c r="O10233" i="1"/>
  <c r="E10233" i="1"/>
  <c r="B10233" i="1"/>
  <c r="O10232" i="1"/>
  <c r="E10232" i="1"/>
  <c r="B10232" i="1"/>
  <c r="O10231" i="1"/>
  <c r="E10231" i="1"/>
  <c r="B10231" i="1"/>
  <c r="O10230" i="1"/>
  <c r="E10230" i="1"/>
  <c r="B10230" i="1"/>
  <c r="O10229" i="1"/>
  <c r="E10229" i="1"/>
  <c r="B10229" i="1"/>
  <c r="O10228" i="1"/>
  <c r="E10228" i="1"/>
  <c r="B10228" i="1"/>
  <c r="O10227" i="1"/>
  <c r="E10227" i="1"/>
  <c r="B10227" i="1"/>
  <c r="O10226" i="1"/>
  <c r="E10226" i="1"/>
  <c r="B10226" i="1"/>
  <c r="O10225" i="1"/>
  <c r="E10225" i="1"/>
  <c r="B10225" i="1"/>
  <c r="O10224" i="1"/>
  <c r="E10224" i="1"/>
  <c r="B10224" i="1"/>
  <c r="O10223" i="1"/>
  <c r="E10223" i="1"/>
  <c r="B10223" i="1"/>
  <c r="O10222" i="1"/>
  <c r="E10222" i="1"/>
  <c r="B10222" i="1"/>
  <c r="O10221" i="1"/>
  <c r="E10221" i="1"/>
  <c r="B10221" i="1"/>
  <c r="O10220" i="1"/>
  <c r="E10220" i="1"/>
  <c r="B10220" i="1"/>
  <c r="O10219" i="1"/>
  <c r="E10219" i="1"/>
  <c r="B10219" i="1"/>
  <c r="O10218" i="1"/>
  <c r="E10218" i="1"/>
  <c r="B10218" i="1"/>
  <c r="O10217" i="1"/>
  <c r="E10217" i="1"/>
  <c r="B10217" i="1"/>
  <c r="O10216" i="1"/>
  <c r="E10216" i="1"/>
  <c r="B10216" i="1"/>
  <c r="O10215" i="1"/>
  <c r="E10215" i="1"/>
  <c r="B10215" i="1"/>
  <c r="O10214" i="1"/>
  <c r="E10214" i="1"/>
  <c r="B10214" i="1"/>
  <c r="O10213" i="1"/>
  <c r="E10213" i="1"/>
  <c r="B10213" i="1"/>
  <c r="O10212" i="1"/>
  <c r="E10212" i="1"/>
  <c r="B10212" i="1"/>
  <c r="O10211" i="1"/>
  <c r="E10211" i="1"/>
  <c r="B10211" i="1"/>
  <c r="O10210" i="1"/>
  <c r="E10210" i="1"/>
  <c r="B10210" i="1"/>
  <c r="O10209" i="1"/>
  <c r="E10209" i="1"/>
  <c r="B10209" i="1"/>
  <c r="O10208" i="1"/>
  <c r="E10208" i="1"/>
  <c r="B10208" i="1"/>
  <c r="O10207" i="1"/>
  <c r="E10207" i="1"/>
  <c r="B10207" i="1"/>
  <c r="O10206" i="1"/>
  <c r="E10206" i="1"/>
  <c r="B10206" i="1"/>
  <c r="O10205" i="1"/>
  <c r="E10205" i="1"/>
  <c r="B10205" i="1"/>
  <c r="O10204" i="1"/>
  <c r="E10204" i="1"/>
  <c r="B10204" i="1"/>
  <c r="O10203" i="1"/>
  <c r="E10203" i="1"/>
  <c r="B10203" i="1"/>
  <c r="O10202" i="1"/>
  <c r="E10202" i="1"/>
  <c r="B10202" i="1"/>
  <c r="O10201" i="1"/>
  <c r="E10201" i="1"/>
  <c r="B10201" i="1"/>
  <c r="O10200" i="1"/>
  <c r="E10200" i="1"/>
  <c r="B10200" i="1"/>
  <c r="O10199" i="1"/>
  <c r="E10199" i="1"/>
  <c r="B10199" i="1"/>
  <c r="O10198" i="1"/>
  <c r="E10198" i="1"/>
  <c r="B10198" i="1"/>
  <c r="O10197" i="1"/>
  <c r="E10197" i="1"/>
  <c r="B10197" i="1"/>
  <c r="O10196" i="1"/>
  <c r="E10196" i="1"/>
  <c r="B10196" i="1"/>
  <c r="O10195" i="1"/>
  <c r="E10195" i="1"/>
  <c r="B10195" i="1"/>
  <c r="O10194" i="1"/>
  <c r="E10194" i="1"/>
  <c r="B10194" i="1"/>
  <c r="O10193" i="1"/>
  <c r="E10193" i="1"/>
  <c r="B10193" i="1"/>
  <c r="O10192" i="1"/>
  <c r="E10192" i="1"/>
  <c r="B10192" i="1"/>
  <c r="O10191" i="1"/>
  <c r="E10191" i="1"/>
  <c r="B10191" i="1"/>
  <c r="O10190" i="1"/>
  <c r="E10190" i="1"/>
  <c r="B10190" i="1"/>
  <c r="O10189" i="1"/>
  <c r="E10189" i="1"/>
  <c r="B10189" i="1"/>
  <c r="O10188" i="1"/>
  <c r="E10188" i="1"/>
  <c r="B10188" i="1"/>
  <c r="O10187" i="1"/>
  <c r="E10187" i="1"/>
  <c r="B10187" i="1"/>
  <c r="O10186" i="1"/>
  <c r="E10186" i="1"/>
  <c r="B10186" i="1"/>
  <c r="O10185" i="1"/>
  <c r="E10185" i="1"/>
  <c r="B10185" i="1"/>
  <c r="O10184" i="1"/>
  <c r="E10184" i="1"/>
  <c r="B10184" i="1"/>
  <c r="O10183" i="1"/>
  <c r="E10183" i="1"/>
  <c r="B10183" i="1"/>
  <c r="O10182" i="1"/>
  <c r="E10182" i="1"/>
  <c r="B10182" i="1"/>
  <c r="O10181" i="1"/>
  <c r="E10181" i="1"/>
  <c r="B10181" i="1"/>
  <c r="O10180" i="1"/>
  <c r="E10180" i="1"/>
  <c r="B10180" i="1"/>
  <c r="O10179" i="1"/>
  <c r="E10179" i="1"/>
  <c r="B10179" i="1"/>
  <c r="O10178" i="1"/>
  <c r="E10178" i="1"/>
  <c r="B10178" i="1"/>
  <c r="O10177" i="1"/>
  <c r="E10177" i="1"/>
  <c r="B10177" i="1"/>
  <c r="O10176" i="1"/>
  <c r="E10176" i="1"/>
  <c r="B10176" i="1"/>
  <c r="O10175" i="1"/>
  <c r="E10175" i="1"/>
  <c r="B10175" i="1"/>
  <c r="O10174" i="1"/>
  <c r="E10174" i="1"/>
  <c r="B10174" i="1"/>
  <c r="O10173" i="1"/>
  <c r="E10173" i="1"/>
  <c r="B10173" i="1"/>
  <c r="O10172" i="1"/>
  <c r="E10172" i="1"/>
  <c r="B10172" i="1"/>
  <c r="O10171" i="1"/>
  <c r="E10171" i="1"/>
  <c r="B10171" i="1"/>
  <c r="O10170" i="1"/>
  <c r="E10170" i="1"/>
  <c r="B10170" i="1"/>
  <c r="O10169" i="1"/>
  <c r="E10169" i="1"/>
  <c r="B10169" i="1"/>
  <c r="O10168" i="1"/>
  <c r="E10168" i="1"/>
  <c r="B10168" i="1"/>
  <c r="O10167" i="1"/>
  <c r="E10167" i="1"/>
  <c r="B10167" i="1"/>
  <c r="O10166" i="1"/>
  <c r="E10166" i="1"/>
  <c r="B10166" i="1"/>
  <c r="O10165" i="1"/>
  <c r="E10165" i="1"/>
  <c r="B10165" i="1"/>
  <c r="O10164" i="1"/>
  <c r="E10164" i="1"/>
  <c r="B10164" i="1"/>
  <c r="O10163" i="1"/>
  <c r="E10163" i="1"/>
  <c r="B10163" i="1"/>
  <c r="O10162" i="1"/>
  <c r="E10162" i="1"/>
  <c r="B10162" i="1"/>
  <c r="O10161" i="1"/>
  <c r="E10161" i="1"/>
  <c r="B10161" i="1"/>
  <c r="O10160" i="1"/>
  <c r="E10160" i="1"/>
  <c r="B10160" i="1"/>
  <c r="O10159" i="1"/>
  <c r="E10159" i="1"/>
  <c r="B10159" i="1"/>
  <c r="O10158" i="1"/>
  <c r="E10158" i="1"/>
  <c r="B10158" i="1"/>
  <c r="O10157" i="1"/>
  <c r="E10157" i="1"/>
  <c r="B10157" i="1"/>
  <c r="O10156" i="1"/>
  <c r="E10156" i="1"/>
  <c r="B10156" i="1"/>
  <c r="O10155" i="1"/>
  <c r="E10155" i="1"/>
  <c r="B10155" i="1"/>
  <c r="O10154" i="1"/>
  <c r="E10154" i="1"/>
  <c r="B10154" i="1"/>
  <c r="O10153" i="1"/>
  <c r="E10153" i="1"/>
  <c r="B10153" i="1"/>
  <c r="O10152" i="1"/>
  <c r="E10152" i="1"/>
  <c r="B10152" i="1"/>
  <c r="O10151" i="1"/>
  <c r="E10151" i="1"/>
  <c r="B10151" i="1"/>
  <c r="O10150" i="1"/>
  <c r="E10150" i="1"/>
  <c r="B10150" i="1"/>
  <c r="O10149" i="1"/>
  <c r="E10149" i="1"/>
  <c r="B10149" i="1"/>
  <c r="O10148" i="1"/>
  <c r="E10148" i="1"/>
  <c r="B10148" i="1"/>
  <c r="O10147" i="1"/>
  <c r="E10147" i="1"/>
  <c r="B10147" i="1"/>
  <c r="O10146" i="1"/>
  <c r="E10146" i="1"/>
  <c r="B10146" i="1"/>
  <c r="O10145" i="1"/>
  <c r="E10145" i="1"/>
  <c r="B10145" i="1"/>
  <c r="O10144" i="1"/>
  <c r="E10144" i="1"/>
  <c r="B10144" i="1"/>
  <c r="O10143" i="1"/>
  <c r="E10143" i="1"/>
  <c r="B10143" i="1"/>
  <c r="O10142" i="1"/>
  <c r="E10142" i="1"/>
  <c r="B10142" i="1"/>
  <c r="O10141" i="1"/>
  <c r="E10141" i="1"/>
  <c r="B10141" i="1"/>
  <c r="O10140" i="1"/>
  <c r="E10140" i="1"/>
  <c r="B10140" i="1"/>
  <c r="O10139" i="1"/>
  <c r="E10139" i="1"/>
  <c r="B10139" i="1"/>
  <c r="O10138" i="1"/>
  <c r="E10138" i="1"/>
  <c r="B10138" i="1"/>
  <c r="O10137" i="1"/>
  <c r="E10137" i="1"/>
  <c r="B10137" i="1"/>
  <c r="O10136" i="1"/>
  <c r="E10136" i="1"/>
  <c r="B10136" i="1"/>
  <c r="O10135" i="1"/>
  <c r="E10135" i="1"/>
  <c r="B10135" i="1"/>
  <c r="O10134" i="1"/>
  <c r="E10134" i="1"/>
  <c r="B10134" i="1"/>
  <c r="O10133" i="1"/>
  <c r="E10133" i="1"/>
  <c r="B10133" i="1"/>
  <c r="O10132" i="1"/>
  <c r="E10132" i="1"/>
  <c r="B10132" i="1"/>
  <c r="O10131" i="1"/>
  <c r="E10131" i="1"/>
  <c r="B10131" i="1"/>
  <c r="O10130" i="1"/>
  <c r="E10130" i="1"/>
  <c r="B10130" i="1"/>
  <c r="O10129" i="1"/>
  <c r="E10129" i="1"/>
  <c r="B10129" i="1"/>
  <c r="O10128" i="1"/>
  <c r="E10128" i="1"/>
  <c r="B10128" i="1"/>
  <c r="O10127" i="1"/>
  <c r="E10127" i="1"/>
  <c r="B10127" i="1"/>
  <c r="O10126" i="1"/>
  <c r="E10126" i="1"/>
  <c r="B10126" i="1"/>
  <c r="O10125" i="1"/>
  <c r="E10125" i="1"/>
  <c r="B10125" i="1"/>
  <c r="O10124" i="1"/>
  <c r="E10124" i="1"/>
  <c r="B10124" i="1"/>
  <c r="O10123" i="1"/>
  <c r="E10123" i="1"/>
  <c r="B10123" i="1"/>
  <c r="O10122" i="1"/>
  <c r="E10122" i="1"/>
  <c r="B10122" i="1"/>
  <c r="O10121" i="1"/>
  <c r="E10121" i="1"/>
  <c r="B10121" i="1"/>
  <c r="O10120" i="1"/>
  <c r="E10120" i="1"/>
  <c r="B10120" i="1"/>
  <c r="O10119" i="1"/>
  <c r="E10119" i="1"/>
  <c r="B10119" i="1"/>
  <c r="O10118" i="1"/>
  <c r="E10118" i="1"/>
  <c r="B10118" i="1"/>
  <c r="O10117" i="1"/>
  <c r="E10117" i="1"/>
  <c r="B10117" i="1"/>
  <c r="O10116" i="1"/>
  <c r="E10116" i="1"/>
  <c r="B10116" i="1"/>
  <c r="O10115" i="1"/>
  <c r="E10115" i="1"/>
  <c r="B10115" i="1"/>
  <c r="O10114" i="1"/>
  <c r="E10114" i="1"/>
  <c r="B10114" i="1"/>
  <c r="O10113" i="1"/>
  <c r="E10113" i="1"/>
  <c r="B10113" i="1"/>
  <c r="O10112" i="1"/>
  <c r="E10112" i="1"/>
  <c r="B10112" i="1"/>
  <c r="O10111" i="1"/>
  <c r="E10111" i="1"/>
  <c r="B10111" i="1"/>
  <c r="O10110" i="1"/>
  <c r="E10110" i="1"/>
  <c r="B10110" i="1"/>
  <c r="O10109" i="1"/>
  <c r="E10109" i="1"/>
  <c r="B10109" i="1"/>
  <c r="O10108" i="1"/>
  <c r="E10108" i="1"/>
  <c r="B10108" i="1"/>
  <c r="O10107" i="1"/>
  <c r="E10107" i="1"/>
  <c r="B10107" i="1"/>
  <c r="O10106" i="1"/>
  <c r="E10106" i="1"/>
  <c r="B10106" i="1"/>
  <c r="O10105" i="1"/>
  <c r="E10105" i="1"/>
  <c r="B10105" i="1"/>
  <c r="O10104" i="1"/>
  <c r="E10104" i="1"/>
  <c r="B10104" i="1"/>
  <c r="O10103" i="1"/>
  <c r="E10103" i="1"/>
  <c r="B10103" i="1"/>
  <c r="O10102" i="1"/>
  <c r="E10102" i="1"/>
  <c r="B10102" i="1"/>
  <c r="O10101" i="1"/>
  <c r="E10101" i="1"/>
  <c r="B10101" i="1"/>
  <c r="O10100" i="1"/>
  <c r="E10100" i="1"/>
  <c r="B10100" i="1"/>
  <c r="O10099" i="1"/>
  <c r="E10099" i="1"/>
  <c r="B10099" i="1"/>
  <c r="O10098" i="1"/>
  <c r="E10098" i="1"/>
  <c r="B10098" i="1"/>
  <c r="O10097" i="1"/>
  <c r="E10097" i="1"/>
  <c r="B10097" i="1"/>
  <c r="O10096" i="1"/>
  <c r="E10096" i="1"/>
  <c r="B10096" i="1"/>
  <c r="O10095" i="1"/>
  <c r="E10095" i="1"/>
  <c r="B10095" i="1"/>
  <c r="O10094" i="1"/>
  <c r="E10094" i="1"/>
  <c r="B10094" i="1"/>
  <c r="O10093" i="1"/>
  <c r="E10093" i="1"/>
  <c r="B10093" i="1"/>
  <c r="O10092" i="1"/>
  <c r="E10092" i="1"/>
  <c r="B10092" i="1"/>
  <c r="O10091" i="1"/>
  <c r="E10091" i="1"/>
  <c r="B10091" i="1"/>
  <c r="O10090" i="1"/>
  <c r="E10090" i="1"/>
  <c r="B10090" i="1"/>
  <c r="O10089" i="1"/>
  <c r="E10089" i="1"/>
  <c r="B10089" i="1"/>
  <c r="O10088" i="1"/>
  <c r="E10088" i="1"/>
  <c r="B10088" i="1"/>
  <c r="O10087" i="1"/>
  <c r="E10087" i="1"/>
  <c r="B10087" i="1"/>
  <c r="O10086" i="1"/>
  <c r="E10086" i="1"/>
  <c r="B10086" i="1"/>
  <c r="O10085" i="1"/>
  <c r="E10085" i="1"/>
  <c r="B10085" i="1"/>
  <c r="O10084" i="1"/>
  <c r="E10084" i="1"/>
  <c r="B10084" i="1"/>
  <c r="O10083" i="1"/>
  <c r="E10083" i="1"/>
  <c r="B10083" i="1"/>
  <c r="O10082" i="1"/>
  <c r="E10082" i="1"/>
  <c r="B10082" i="1"/>
  <c r="O10081" i="1"/>
  <c r="E10081" i="1"/>
  <c r="B10081" i="1"/>
  <c r="O10080" i="1"/>
  <c r="E10080" i="1"/>
  <c r="B10080" i="1"/>
  <c r="O10079" i="1"/>
  <c r="E10079" i="1"/>
  <c r="B10079" i="1"/>
  <c r="O10078" i="1"/>
  <c r="E10078" i="1"/>
  <c r="B10078" i="1"/>
  <c r="O10077" i="1"/>
  <c r="E10077" i="1"/>
  <c r="B10077" i="1"/>
  <c r="O10076" i="1"/>
  <c r="E10076" i="1"/>
  <c r="B10076" i="1"/>
  <c r="O10075" i="1"/>
  <c r="E10075" i="1"/>
  <c r="B10075" i="1"/>
  <c r="O10074" i="1"/>
  <c r="E10074" i="1"/>
  <c r="B10074" i="1"/>
  <c r="O10073" i="1"/>
  <c r="E10073" i="1"/>
  <c r="B10073" i="1"/>
  <c r="O10072" i="1"/>
  <c r="E10072" i="1"/>
  <c r="B10072" i="1"/>
  <c r="O10071" i="1"/>
  <c r="E10071" i="1"/>
  <c r="B10071" i="1"/>
  <c r="O10070" i="1"/>
  <c r="E10070" i="1"/>
  <c r="B10070" i="1"/>
  <c r="O10069" i="1"/>
  <c r="E10069" i="1"/>
  <c r="B10069" i="1"/>
  <c r="O10068" i="1"/>
  <c r="E10068" i="1"/>
  <c r="B10068" i="1"/>
  <c r="O10067" i="1"/>
  <c r="E10067" i="1"/>
  <c r="B10067" i="1"/>
  <c r="O10066" i="1"/>
  <c r="E10066" i="1"/>
  <c r="B10066" i="1"/>
  <c r="O10065" i="1"/>
  <c r="E10065" i="1"/>
  <c r="B10065" i="1"/>
  <c r="O10064" i="1"/>
  <c r="E10064" i="1"/>
  <c r="B10064" i="1"/>
  <c r="O10063" i="1"/>
  <c r="E10063" i="1"/>
  <c r="B10063" i="1"/>
  <c r="O10062" i="1"/>
  <c r="E10062" i="1"/>
  <c r="B10062" i="1"/>
  <c r="O10061" i="1"/>
  <c r="E10061" i="1"/>
  <c r="B10061" i="1"/>
  <c r="O10060" i="1"/>
  <c r="E10060" i="1"/>
  <c r="B10060" i="1"/>
  <c r="O10059" i="1"/>
  <c r="E10059" i="1"/>
  <c r="B10059" i="1"/>
  <c r="O10058" i="1"/>
  <c r="E10058" i="1"/>
  <c r="B10058" i="1"/>
  <c r="O10057" i="1"/>
  <c r="E10057" i="1"/>
  <c r="B10057" i="1"/>
  <c r="O10056" i="1"/>
  <c r="E10056" i="1"/>
  <c r="B10056" i="1"/>
  <c r="O10055" i="1"/>
  <c r="E10055" i="1"/>
  <c r="B10055" i="1"/>
  <c r="O10054" i="1"/>
  <c r="E10054" i="1"/>
  <c r="B10054" i="1"/>
  <c r="O10053" i="1"/>
  <c r="E10053" i="1"/>
  <c r="B10053" i="1"/>
  <c r="O10052" i="1"/>
  <c r="E10052" i="1"/>
  <c r="B10052" i="1"/>
  <c r="O10051" i="1"/>
  <c r="E10051" i="1"/>
  <c r="B10051" i="1"/>
  <c r="O10050" i="1"/>
  <c r="E10050" i="1"/>
  <c r="B10050" i="1"/>
  <c r="O10049" i="1"/>
  <c r="E10049" i="1"/>
  <c r="B10049" i="1"/>
  <c r="O10048" i="1"/>
  <c r="E10048" i="1"/>
  <c r="B10048" i="1"/>
  <c r="O10047" i="1"/>
  <c r="E10047" i="1"/>
  <c r="B10047" i="1"/>
  <c r="O10046" i="1"/>
  <c r="E10046" i="1"/>
  <c r="B10046" i="1"/>
  <c r="O10045" i="1"/>
  <c r="E10045" i="1"/>
  <c r="B10045" i="1"/>
  <c r="O10044" i="1"/>
  <c r="E10044" i="1"/>
  <c r="B10044" i="1"/>
  <c r="O10043" i="1"/>
  <c r="E10043" i="1"/>
  <c r="B10043" i="1"/>
  <c r="O10042" i="1"/>
  <c r="E10042" i="1"/>
  <c r="B10042" i="1"/>
  <c r="O10041" i="1"/>
  <c r="E10041" i="1"/>
  <c r="B10041" i="1"/>
  <c r="O10040" i="1"/>
  <c r="E10040" i="1"/>
  <c r="B10040" i="1"/>
  <c r="O10039" i="1"/>
  <c r="E10039" i="1"/>
  <c r="B10039" i="1"/>
  <c r="O10038" i="1"/>
  <c r="E10038" i="1"/>
  <c r="B10038" i="1"/>
  <c r="O10037" i="1"/>
  <c r="E10037" i="1"/>
  <c r="B10037" i="1"/>
  <c r="O10036" i="1"/>
  <c r="E10036" i="1"/>
  <c r="B10036" i="1"/>
  <c r="O10035" i="1"/>
  <c r="E10035" i="1"/>
  <c r="B10035" i="1"/>
  <c r="O10034" i="1"/>
  <c r="E10034" i="1"/>
  <c r="B10034" i="1"/>
  <c r="O10033" i="1"/>
  <c r="E10033" i="1"/>
  <c r="B10033" i="1"/>
  <c r="O10032" i="1"/>
  <c r="E10032" i="1"/>
  <c r="B10032" i="1"/>
  <c r="O10031" i="1"/>
  <c r="E10031" i="1"/>
  <c r="B10031" i="1"/>
  <c r="O10030" i="1"/>
  <c r="E10030" i="1"/>
  <c r="B10030" i="1"/>
  <c r="O10029" i="1"/>
  <c r="E10029" i="1"/>
  <c r="B10029" i="1"/>
  <c r="O10028" i="1"/>
  <c r="E10028" i="1"/>
  <c r="B10028" i="1"/>
  <c r="O10027" i="1"/>
  <c r="E10027" i="1"/>
  <c r="B10027" i="1"/>
  <c r="O10026" i="1"/>
  <c r="E10026" i="1"/>
  <c r="B10026" i="1"/>
  <c r="O10025" i="1"/>
  <c r="E10025" i="1"/>
  <c r="B10025" i="1"/>
  <c r="O10024" i="1"/>
  <c r="E10024" i="1"/>
  <c r="B10024" i="1"/>
  <c r="O10023" i="1"/>
  <c r="E10023" i="1"/>
  <c r="B10023" i="1"/>
  <c r="O10022" i="1"/>
  <c r="E10022" i="1"/>
  <c r="B10022" i="1"/>
  <c r="O10021" i="1"/>
  <c r="E10021" i="1"/>
  <c r="B10021" i="1"/>
  <c r="O10020" i="1"/>
  <c r="E10020" i="1"/>
  <c r="B10020" i="1"/>
  <c r="O10019" i="1"/>
  <c r="E10019" i="1"/>
  <c r="B10019" i="1"/>
  <c r="O10018" i="1"/>
  <c r="E10018" i="1"/>
  <c r="B10018" i="1"/>
  <c r="O10017" i="1"/>
  <c r="E10017" i="1"/>
  <c r="B10017" i="1"/>
  <c r="O10016" i="1"/>
  <c r="E10016" i="1"/>
  <c r="B10016" i="1"/>
  <c r="O10015" i="1"/>
  <c r="E10015" i="1"/>
  <c r="B10015" i="1"/>
  <c r="O10014" i="1"/>
  <c r="E10014" i="1"/>
  <c r="B10014" i="1"/>
  <c r="O10013" i="1"/>
  <c r="E10013" i="1"/>
  <c r="B10013" i="1"/>
  <c r="O10012" i="1"/>
  <c r="E10012" i="1"/>
  <c r="B10012" i="1"/>
  <c r="O10011" i="1"/>
  <c r="E10011" i="1"/>
  <c r="B10011" i="1"/>
  <c r="O10010" i="1"/>
  <c r="E10010" i="1"/>
  <c r="B10010" i="1"/>
  <c r="O10009" i="1"/>
  <c r="E10009" i="1"/>
  <c r="B10009" i="1"/>
  <c r="O10008" i="1"/>
  <c r="E10008" i="1"/>
  <c r="B10008" i="1"/>
  <c r="O10007" i="1"/>
  <c r="E10007" i="1"/>
  <c r="B10007" i="1"/>
  <c r="O10006" i="1"/>
  <c r="E10006" i="1"/>
  <c r="B10006" i="1"/>
  <c r="O10005" i="1"/>
  <c r="E10005" i="1"/>
  <c r="B10005" i="1"/>
  <c r="O10004" i="1"/>
  <c r="E10004" i="1"/>
  <c r="B10004" i="1"/>
  <c r="O10003" i="1"/>
  <c r="E10003" i="1"/>
  <c r="B10003" i="1"/>
  <c r="O10002" i="1"/>
  <c r="E10002" i="1"/>
  <c r="B10002" i="1"/>
  <c r="O10001" i="1"/>
  <c r="E10001" i="1"/>
  <c r="B10001" i="1"/>
  <c r="O10000" i="1"/>
  <c r="E10000" i="1"/>
  <c r="B10000" i="1"/>
  <c r="O9999" i="1"/>
  <c r="E9999" i="1"/>
  <c r="B9999" i="1"/>
  <c r="O9998" i="1"/>
  <c r="E9998" i="1"/>
  <c r="B9998" i="1"/>
  <c r="O9997" i="1"/>
  <c r="E9997" i="1"/>
  <c r="B9997" i="1"/>
  <c r="O9996" i="1"/>
  <c r="E9996" i="1"/>
  <c r="B9996" i="1"/>
  <c r="O9995" i="1"/>
  <c r="E9995" i="1"/>
  <c r="B9995" i="1"/>
  <c r="O9994" i="1"/>
  <c r="E9994" i="1"/>
  <c r="B9994" i="1"/>
  <c r="O9993" i="1"/>
  <c r="E9993" i="1"/>
  <c r="B9993" i="1"/>
  <c r="O9992" i="1"/>
  <c r="E9992" i="1"/>
  <c r="B9992" i="1"/>
  <c r="O9991" i="1"/>
  <c r="E9991" i="1"/>
  <c r="B9991" i="1"/>
  <c r="O9990" i="1"/>
  <c r="E9990" i="1"/>
  <c r="B9990" i="1"/>
  <c r="O9989" i="1"/>
  <c r="E9989" i="1"/>
  <c r="B9989" i="1"/>
  <c r="O9988" i="1"/>
  <c r="E9988" i="1"/>
  <c r="B9988" i="1"/>
  <c r="O9987" i="1"/>
  <c r="E9987" i="1"/>
  <c r="B9987" i="1"/>
  <c r="O9986" i="1"/>
  <c r="E9986" i="1"/>
  <c r="B9986" i="1"/>
  <c r="O9985" i="1"/>
  <c r="E9985" i="1"/>
  <c r="B9985" i="1"/>
  <c r="O9984" i="1"/>
  <c r="E9984" i="1"/>
  <c r="B9984" i="1"/>
  <c r="O9983" i="1"/>
  <c r="E9983" i="1"/>
  <c r="B9983" i="1"/>
  <c r="O9982" i="1"/>
  <c r="E9982" i="1"/>
  <c r="B9982" i="1"/>
  <c r="O9981" i="1"/>
  <c r="E9981" i="1"/>
  <c r="B9981" i="1"/>
  <c r="O9980" i="1"/>
  <c r="E9980" i="1"/>
  <c r="B9980" i="1"/>
  <c r="O9979" i="1"/>
  <c r="E9979" i="1"/>
  <c r="B9979" i="1"/>
  <c r="O9978" i="1"/>
  <c r="E9978" i="1"/>
  <c r="B9978" i="1"/>
  <c r="O9977" i="1"/>
  <c r="E9977" i="1"/>
  <c r="B9977" i="1"/>
  <c r="O9976" i="1"/>
  <c r="E9976" i="1"/>
  <c r="B9976" i="1"/>
  <c r="O9975" i="1"/>
  <c r="E9975" i="1"/>
  <c r="B9975" i="1"/>
  <c r="O9974" i="1"/>
  <c r="E9974" i="1"/>
  <c r="B9974" i="1"/>
  <c r="O9973" i="1"/>
  <c r="E9973" i="1"/>
  <c r="B9973" i="1"/>
  <c r="O9972" i="1"/>
  <c r="E9972" i="1"/>
  <c r="B9972" i="1"/>
  <c r="O9971" i="1"/>
  <c r="E9971" i="1"/>
  <c r="B9971" i="1"/>
  <c r="O9970" i="1"/>
  <c r="E9970" i="1"/>
  <c r="B9970" i="1"/>
  <c r="O9969" i="1"/>
  <c r="E9969" i="1"/>
  <c r="B9969" i="1"/>
  <c r="O9968" i="1"/>
  <c r="E9968" i="1"/>
  <c r="B9968" i="1"/>
  <c r="O9967" i="1"/>
  <c r="E9967" i="1"/>
  <c r="B9967" i="1"/>
  <c r="O9966" i="1"/>
  <c r="E9966" i="1"/>
  <c r="B9966" i="1"/>
  <c r="O9965" i="1"/>
  <c r="E9965" i="1"/>
  <c r="B9965" i="1"/>
  <c r="O9964" i="1"/>
  <c r="E9964" i="1"/>
  <c r="B9964" i="1"/>
  <c r="O9963" i="1"/>
  <c r="E9963" i="1"/>
  <c r="B9963" i="1"/>
  <c r="O9962" i="1"/>
  <c r="E9962" i="1"/>
  <c r="B9962" i="1"/>
  <c r="O9961" i="1"/>
  <c r="E9961" i="1"/>
  <c r="B9961" i="1"/>
  <c r="O9960" i="1"/>
  <c r="E9960" i="1"/>
  <c r="B9960" i="1"/>
  <c r="O9959" i="1"/>
  <c r="E9959" i="1"/>
  <c r="B9959" i="1"/>
  <c r="O9958" i="1"/>
  <c r="E9958" i="1"/>
  <c r="B9958" i="1"/>
  <c r="O9957" i="1"/>
  <c r="E9957" i="1"/>
  <c r="B9957" i="1"/>
  <c r="O9956" i="1"/>
  <c r="E9956" i="1"/>
  <c r="B9956" i="1"/>
  <c r="O9955" i="1"/>
  <c r="E9955" i="1"/>
  <c r="B9955" i="1"/>
  <c r="O9954" i="1"/>
  <c r="E9954" i="1"/>
  <c r="B9954" i="1"/>
  <c r="O9953" i="1"/>
  <c r="E9953" i="1"/>
  <c r="B9953" i="1"/>
  <c r="O9952" i="1"/>
  <c r="E9952" i="1"/>
  <c r="B9952" i="1"/>
  <c r="O9951" i="1"/>
  <c r="E9951" i="1"/>
  <c r="B9951" i="1"/>
  <c r="O9950" i="1"/>
  <c r="E9950" i="1"/>
  <c r="B9950" i="1"/>
  <c r="O9949" i="1"/>
  <c r="E9949" i="1"/>
  <c r="B9949" i="1"/>
  <c r="O9948" i="1"/>
  <c r="E9948" i="1"/>
  <c r="B9948" i="1"/>
  <c r="O9947" i="1"/>
  <c r="E9947" i="1"/>
  <c r="B9947" i="1"/>
  <c r="O9946" i="1"/>
  <c r="E9946" i="1"/>
  <c r="B9946" i="1"/>
  <c r="O9945" i="1"/>
  <c r="E9945" i="1"/>
  <c r="B9945" i="1"/>
  <c r="O9944" i="1"/>
  <c r="E9944" i="1"/>
  <c r="B9944" i="1"/>
  <c r="O9943" i="1"/>
  <c r="E9943" i="1"/>
  <c r="B9943" i="1"/>
  <c r="O9942" i="1"/>
  <c r="E9942" i="1"/>
  <c r="B9942" i="1"/>
  <c r="O9941" i="1"/>
  <c r="E9941" i="1"/>
  <c r="B9941" i="1"/>
  <c r="O9940" i="1"/>
  <c r="E9940" i="1"/>
  <c r="B9940" i="1"/>
  <c r="O9939" i="1"/>
  <c r="E9939" i="1"/>
  <c r="B9939" i="1"/>
  <c r="O9938" i="1"/>
  <c r="E9938" i="1"/>
  <c r="B9938" i="1"/>
  <c r="O9937" i="1"/>
  <c r="E9937" i="1"/>
  <c r="B9937" i="1"/>
  <c r="O9936" i="1"/>
  <c r="E9936" i="1"/>
  <c r="B9936" i="1"/>
  <c r="O9935" i="1"/>
  <c r="E9935" i="1"/>
  <c r="B9935" i="1"/>
  <c r="O9934" i="1"/>
  <c r="E9934" i="1"/>
  <c r="B9934" i="1"/>
  <c r="O9933" i="1"/>
  <c r="E9933" i="1"/>
  <c r="B9933" i="1"/>
  <c r="O9932" i="1"/>
  <c r="E9932" i="1"/>
  <c r="B9932" i="1"/>
  <c r="O9931" i="1"/>
  <c r="E9931" i="1"/>
  <c r="B9931" i="1"/>
  <c r="O9930" i="1"/>
  <c r="E9930" i="1"/>
  <c r="B9930" i="1"/>
  <c r="O9929" i="1"/>
  <c r="E9929" i="1"/>
  <c r="B9929" i="1"/>
  <c r="O9928" i="1"/>
  <c r="E9928" i="1"/>
  <c r="B9928" i="1"/>
  <c r="O9927" i="1"/>
  <c r="E9927" i="1"/>
  <c r="B9927" i="1"/>
  <c r="O9926" i="1"/>
  <c r="E9926" i="1"/>
  <c r="B9926" i="1"/>
  <c r="O9925" i="1"/>
  <c r="E9925" i="1"/>
  <c r="B9925" i="1"/>
  <c r="O9924" i="1"/>
  <c r="E9924" i="1"/>
  <c r="B9924" i="1"/>
  <c r="O9923" i="1"/>
  <c r="E9923" i="1"/>
  <c r="B9923" i="1"/>
  <c r="O9922" i="1"/>
  <c r="E9922" i="1"/>
  <c r="B9922" i="1"/>
  <c r="O9921" i="1"/>
  <c r="E9921" i="1"/>
  <c r="B9921" i="1"/>
  <c r="O9920" i="1"/>
  <c r="E9920" i="1"/>
  <c r="B9920" i="1"/>
  <c r="O9919" i="1"/>
  <c r="E9919" i="1"/>
  <c r="B9919" i="1"/>
  <c r="O9918" i="1"/>
  <c r="E9918" i="1"/>
  <c r="B9918" i="1"/>
  <c r="O9917" i="1"/>
  <c r="E9917" i="1"/>
  <c r="B9917" i="1"/>
  <c r="O9916" i="1"/>
  <c r="E9916" i="1"/>
  <c r="B9916" i="1"/>
  <c r="O9915" i="1"/>
  <c r="E9915" i="1"/>
  <c r="B9915" i="1"/>
  <c r="O9914" i="1"/>
  <c r="E9914" i="1"/>
  <c r="B9914" i="1"/>
  <c r="O9913" i="1"/>
  <c r="E9913" i="1"/>
  <c r="B9913" i="1"/>
  <c r="O9912" i="1"/>
  <c r="E9912" i="1"/>
  <c r="B9912" i="1"/>
  <c r="O9911" i="1"/>
  <c r="E9911" i="1"/>
  <c r="B9911" i="1"/>
  <c r="O9910" i="1"/>
  <c r="E9910" i="1"/>
  <c r="B9910" i="1"/>
  <c r="O9909" i="1"/>
  <c r="E9909" i="1"/>
  <c r="B9909" i="1"/>
  <c r="O9908" i="1"/>
  <c r="E9908" i="1"/>
  <c r="B9908" i="1"/>
  <c r="O9907" i="1"/>
  <c r="E9907" i="1"/>
  <c r="B9907" i="1"/>
  <c r="O9906" i="1"/>
  <c r="E9906" i="1"/>
  <c r="B9906" i="1"/>
  <c r="O9905" i="1"/>
  <c r="E9905" i="1"/>
  <c r="B9905" i="1"/>
  <c r="O9904" i="1"/>
  <c r="E9904" i="1"/>
  <c r="B9904" i="1"/>
  <c r="O9903" i="1"/>
  <c r="E9903" i="1"/>
  <c r="B9903" i="1"/>
  <c r="O9902" i="1"/>
  <c r="E9902" i="1"/>
  <c r="B9902" i="1"/>
  <c r="O9901" i="1"/>
  <c r="E9901" i="1"/>
  <c r="B9901" i="1"/>
  <c r="O9900" i="1"/>
  <c r="E9900" i="1"/>
  <c r="B9900" i="1"/>
  <c r="O9899" i="1"/>
  <c r="E9899" i="1"/>
  <c r="B9899" i="1"/>
  <c r="O9898" i="1"/>
  <c r="E9898" i="1"/>
  <c r="B9898" i="1"/>
  <c r="O9897" i="1"/>
  <c r="E9897" i="1"/>
  <c r="B9897" i="1"/>
  <c r="O9896" i="1"/>
  <c r="E9896" i="1"/>
  <c r="B9896" i="1"/>
  <c r="O9895" i="1"/>
  <c r="E9895" i="1"/>
  <c r="B9895" i="1"/>
  <c r="O9894" i="1"/>
  <c r="E9894" i="1"/>
  <c r="B9894" i="1"/>
  <c r="O9893" i="1"/>
  <c r="E9893" i="1"/>
  <c r="B9893" i="1"/>
  <c r="O9892" i="1"/>
  <c r="E9892" i="1"/>
  <c r="B9892" i="1"/>
  <c r="O9891" i="1"/>
  <c r="E9891" i="1"/>
  <c r="B9891" i="1"/>
  <c r="O9890" i="1"/>
  <c r="E9890" i="1"/>
  <c r="B9890" i="1"/>
  <c r="O9889" i="1"/>
  <c r="E9889" i="1"/>
  <c r="B9889" i="1"/>
  <c r="O9888" i="1"/>
  <c r="E9888" i="1"/>
  <c r="B9888" i="1"/>
  <c r="O9887" i="1"/>
  <c r="E9887" i="1"/>
  <c r="B9887" i="1"/>
  <c r="O9886" i="1"/>
  <c r="E9886" i="1"/>
  <c r="B9886" i="1"/>
  <c r="O9885" i="1"/>
  <c r="E9885" i="1"/>
  <c r="B9885" i="1"/>
  <c r="O9884" i="1"/>
  <c r="E9884" i="1"/>
  <c r="B9884" i="1"/>
  <c r="O9883" i="1"/>
  <c r="E9883" i="1"/>
  <c r="B9883" i="1"/>
  <c r="O9882" i="1"/>
  <c r="E9882" i="1"/>
  <c r="B9882" i="1"/>
  <c r="O9881" i="1"/>
  <c r="E9881" i="1"/>
  <c r="B9881" i="1"/>
  <c r="O9880" i="1"/>
  <c r="E9880" i="1"/>
  <c r="B9880" i="1"/>
  <c r="O9879" i="1"/>
  <c r="E9879" i="1"/>
  <c r="B9879" i="1"/>
  <c r="O9878" i="1"/>
  <c r="E9878" i="1"/>
  <c r="B9878" i="1"/>
  <c r="O9877" i="1"/>
  <c r="E9877" i="1"/>
  <c r="B9877" i="1"/>
  <c r="O9876" i="1"/>
  <c r="E9876" i="1"/>
  <c r="B9876" i="1"/>
  <c r="O9875" i="1"/>
  <c r="E9875" i="1"/>
  <c r="B9875" i="1"/>
  <c r="O9874" i="1"/>
  <c r="E9874" i="1"/>
  <c r="B9874" i="1"/>
  <c r="O9873" i="1"/>
  <c r="E9873" i="1"/>
  <c r="B9873" i="1"/>
  <c r="O9872" i="1"/>
  <c r="E9872" i="1"/>
  <c r="B9872" i="1"/>
  <c r="O9871" i="1"/>
  <c r="E9871" i="1"/>
  <c r="B9871" i="1"/>
  <c r="O9870" i="1"/>
  <c r="E9870" i="1"/>
  <c r="B9870" i="1"/>
  <c r="O9869" i="1"/>
  <c r="E9869" i="1"/>
  <c r="B9869" i="1"/>
  <c r="O9868" i="1"/>
  <c r="E9868" i="1"/>
  <c r="B9868" i="1"/>
  <c r="O9867" i="1"/>
  <c r="E9867" i="1"/>
  <c r="B9867" i="1"/>
  <c r="O9866" i="1"/>
  <c r="E9866" i="1"/>
  <c r="B9866" i="1"/>
  <c r="O9865" i="1"/>
  <c r="E9865" i="1"/>
  <c r="B9865" i="1"/>
  <c r="O9864" i="1"/>
  <c r="E9864" i="1"/>
  <c r="B9864" i="1"/>
  <c r="O9863" i="1"/>
  <c r="E9863" i="1"/>
  <c r="B9863" i="1"/>
  <c r="O9862" i="1"/>
  <c r="E9862" i="1"/>
  <c r="B9862" i="1"/>
  <c r="O9861" i="1"/>
  <c r="E9861" i="1"/>
  <c r="B9861" i="1"/>
  <c r="O9860" i="1"/>
  <c r="E9860" i="1"/>
  <c r="B9860" i="1"/>
  <c r="O9859" i="1"/>
  <c r="E9859" i="1"/>
  <c r="B9859" i="1"/>
  <c r="O9858" i="1"/>
  <c r="E9858" i="1"/>
  <c r="B9858" i="1"/>
  <c r="O9857" i="1"/>
  <c r="E9857" i="1"/>
  <c r="B9857" i="1"/>
  <c r="O9856" i="1"/>
  <c r="E9856" i="1"/>
  <c r="B9856" i="1"/>
  <c r="O9855" i="1"/>
  <c r="E9855" i="1"/>
  <c r="B9855" i="1"/>
  <c r="O9854" i="1"/>
  <c r="E9854" i="1"/>
  <c r="B9854" i="1"/>
  <c r="O9853" i="1"/>
  <c r="E9853" i="1"/>
  <c r="B9853" i="1"/>
  <c r="O9852" i="1"/>
  <c r="E9852" i="1"/>
  <c r="B9852" i="1"/>
  <c r="O9851" i="1"/>
  <c r="E9851" i="1"/>
  <c r="B9851" i="1"/>
  <c r="O9850" i="1"/>
  <c r="E9850" i="1"/>
  <c r="B9850" i="1"/>
  <c r="O9849" i="1"/>
  <c r="E9849" i="1"/>
  <c r="B9849" i="1"/>
  <c r="O9848" i="1"/>
  <c r="E9848" i="1"/>
  <c r="B9848" i="1"/>
  <c r="O9847" i="1"/>
  <c r="E9847" i="1"/>
  <c r="B9847" i="1"/>
  <c r="O9846" i="1"/>
  <c r="E9846" i="1"/>
  <c r="B9846" i="1"/>
  <c r="O9845" i="1"/>
  <c r="E9845" i="1"/>
  <c r="B9845" i="1"/>
  <c r="O9844" i="1"/>
  <c r="E9844" i="1"/>
  <c r="B9844" i="1"/>
  <c r="O9843" i="1"/>
  <c r="E9843" i="1"/>
  <c r="B9843" i="1"/>
  <c r="O9842" i="1"/>
  <c r="E9842" i="1"/>
  <c r="B9842" i="1"/>
  <c r="O9841" i="1"/>
  <c r="E9841" i="1"/>
  <c r="B9841" i="1"/>
  <c r="O9840" i="1"/>
  <c r="E9840" i="1"/>
  <c r="B9840" i="1"/>
  <c r="O9839" i="1"/>
  <c r="E9839" i="1"/>
  <c r="B9839" i="1"/>
  <c r="O9838" i="1"/>
  <c r="E9838" i="1"/>
  <c r="B9838" i="1"/>
  <c r="O9837" i="1"/>
  <c r="E9837" i="1"/>
  <c r="B9837" i="1"/>
  <c r="O9836" i="1"/>
  <c r="E9836" i="1"/>
  <c r="B9836" i="1"/>
  <c r="O9835" i="1"/>
  <c r="E9835" i="1"/>
  <c r="B9835" i="1"/>
  <c r="O9834" i="1"/>
  <c r="E9834" i="1"/>
  <c r="B9834" i="1"/>
  <c r="O9833" i="1"/>
  <c r="E9833" i="1"/>
  <c r="B9833" i="1"/>
  <c r="O9832" i="1"/>
  <c r="E9832" i="1"/>
  <c r="B9832" i="1"/>
  <c r="O9831" i="1"/>
  <c r="E9831" i="1"/>
  <c r="B9831" i="1"/>
  <c r="O9830" i="1"/>
  <c r="E9830" i="1"/>
  <c r="B9830" i="1"/>
  <c r="O9829" i="1"/>
  <c r="E9829" i="1"/>
  <c r="B9829" i="1"/>
  <c r="O9828" i="1"/>
  <c r="E9828" i="1"/>
  <c r="B9828" i="1"/>
  <c r="O9827" i="1"/>
  <c r="E9827" i="1"/>
  <c r="B9827" i="1"/>
  <c r="O9826" i="1"/>
  <c r="E9826" i="1"/>
  <c r="B9826" i="1"/>
  <c r="O9825" i="1"/>
  <c r="E9825" i="1"/>
  <c r="B9825" i="1"/>
  <c r="O9824" i="1"/>
  <c r="E9824" i="1"/>
  <c r="B9824" i="1"/>
  <c r="O9823" i="1"/>
  <c r="E9823" i="1"/>
  <c r="B9823" i="1"/>
  <c r="O9822" i="1"/>
  <c r="E9822" i="1"/>
  <c r="B9822" i="1"/>
  <c r="O9821" i="1"/>
  <c r="E9821" i="1"/>
  <c r="B9821" i="1"/>
  <c r="O9820" i="1"/>
  <c r="E9820" i="1"/>
  <c r="B9820" i="1"/>
  <c r="O9819" i="1"/>
  <c r="E9819" i="1"/>
  <c r="B9819" i="1"/>
  <c r="O9818" i="1"/>
  <c r="E9818" i="1"/>
  <c r="B9818" i="1"/>
  <c r="O9817" i="1"/>
  <c r="E9817" i="1"/>
  <c r="B9817" i="1"/>
  <c r="O9816" i="1"/>
  <c r="E9816" i="1"/>
  <c r="B9816" i="1"/>
  <c r="O9815" i="1"/>
  <c r="E9815" i="1"/>
  <c r="B9815" i="1"/>
  <c r="O9814" i="1"/>
  <c r="E9814" i="1"/>
  <c r="B9814" i="1"/>
  <c r="O9813" i="1"/>
  <c r="E9813" i="1"/>
  <c r="B9813" i="1"/>
  <c r="O9812" i="1"/>
  <c r="E9812" i="1"/>
  <c r="B9812" i="1"/>
  <c r="O9811" i="1"/>
  <c r="E9811" i="1"/>
  <c r="B9811" i="1"/>
  <c r="O9810" i="1"/>
  <c r="E9810" i="1"/>
  <c r="B9810" i="1"/>
  <c r="O9809" i="1"/>
  <c r="E9809" i="1"/>
  <c r="B9809" i="1"/>
  <c r="O9808" i="1"/>
  <c r="E9808" i="1"/>
  <c r="B9808" i="1"/>
  <c r="O9807" i="1"/>
  <c r="E9807" i="1"/>
  <c r="B9807" i="1"/>
  <c r="O9806" i="1"/>
  <c r="E9806" i="1"/>
  <c r="B9806" i="1"/>
  <c r="O9805" i="1"/>
  <c r="E9805" i="1"/>
  <c r="B9805" i="1"/>
  <c r="O9804" i="1"/>
  <c r="E9804" i="1"/>
  <c r="B9804" i="1"/>
  <c r="O9803" i="1"/>
  <c r="E9803" i="1"/>
  <c r="B9803" i="1"/>
  <c r="O9802" i="1"/>
  <c r="E9802" i="1"/>
  <c r="B9802" i="1"/>
  <c r="O9801" i="1"/>
  <c r="E9801" i="1"/>
  <c r="B9801" i="1"/>
  <c r="O9800" i="1"/>
  <c r="E9800" i="1"/>
  <c r="B9800" i="1"/>
  <c r="O9799" i="1"/>
  <c r="E9799" i="1"/>
  <c r="B9799" i="1"/>
  <c r="O9798" i="1"/>
  <c r="E9798" i="1"/>
  <c r="B9798" i="1"/>
  <c r="O9797" i="1"/>
  <c r="E9797" i="1"/>
  <c r="B9797" i="1"/>
  <c r="O9796" i="1"/>
  <c r="E9796" i="1"/>
  <c r="B9796" i="1"/>
  <c r="O9795" i="1"/>
  <c r="E9795" i="1"/>
  <c r="B9795" i="1"/>
  <c r="O9794" i="1"/>
  <c r="E9794" i="1"/>
  <c r="B9794" i="1"/>
  <c r="O9793" i="1"/>
  <c r="E9793" i="1"/>
  <c r="B9793" i="1"/>
  <c r="O9792" i="1"/>
  <c r="E9792" i="1"/>
  <c r="B9792" i="1"/>
  <c r="O9791" i="1"/>
  <c r="E9791" i="1"/>
  <c r="B9791" i="1"/>
  <c r="O9790" i="1"/>
  <c r="E9790" i="1"/>
  <c r="B9790" i="1"/>
  <c r="O9789" i="1"/>
  <c r="E9789" i="1"/>
  <c r="B9789" i="1"/>
  <c r="O9788" i="1"/>
  <c r="E9788" i="1"/>
  <c r="B9788" i="1"/>
  <c r="O9787" i="1"/>
  <c r="E9787" i="1"/>
  <c r="B9787" i="1"/>
  <c r="O9786" i="1"/>
  <c r="E9786" i="1"/>
  <c r="B9786" i="1"/>
  <c r="O9785" i="1"/>
  <c r="E9785" i="1"/>
  <c r="B9785" i="1"/>
  <c r="O9784" i="1"/>
  <c r="E9784" i="1"/>
  <c r="B9784" i="1"/>
  <c r="O9783" i="1"/>
  <c r="E9783" i="1"/>
  <c r="B9783" i="1"/>
  <c r="O9782" i="1"/>
  <c r="E9782" i="1"/>
  <c r="B9782" i="1"/>
  <c r="O9781" i="1"/>
  <c r="E9781" i="1"/>
  <c r="B9781" i="1"/>
  <c r="O9780" i="1"/>
  <c r="E9780" i="1"/>
  <c r="B9780" i="1"/>
  <c r="O9779" i="1"/>
  <c r="E9779" i="1"/>
  <c r="B9779" i="1"/>
  <c r="O9778" i="1"/>
  <c r="E9778" i="1"/>
  <c r="B9778" i="1"/>
  <c r="O9777" i="1"/>
  <c r="E9777" i="1"/>
  <c r="B9777" i="1"/>
  <c r="O9776" i="1"/>
  <c r="E9776" i="1"/>
  <c r="B9776" i="1"/>
  <c r="O9775" i="1"/>
  <c r="E9775" i="1"/>
  <c r="B9775" i="1"/>
  <c r="O9774" i="1"/>
  <c r="E9774" i="1"/>
  <c r="B9774" i="1"/>
  <c r="O9773" i="1"/>
  <c r="E9773" i="1"/>
  <c r="B9773" i="1"/>
  <c r="O9772" i="1"/>
  <c r="E9772" i="1"/>
  <c r="B9772" i="1"/>
  <c r="O9771" i="1"/>
  <c r="E9771" i="1"/>
  <c r="B9771" i="1"/>
  <c r="O9770" i="1"/>
  <c r="E9770" i="1"/>
  <c r="B9770" i="1"/>
  <c r="O9769" i="1"/>
  <c r="E9769" i="1"/>
  <c r="B9769" i="1"/>
  <c r="O9768" i="1"/>
  <c r="E9768" i="1"/>
  <c r="B9768" i="1"/>
  <c r="O9767" i="1"/>
  <c r="E9767" i="1"/>
  <c r="B9767" i="1"/>
  <c r="O9766" i="1"/>
  <c r="E9766" i="1"/>
  <c r="B9766" i="1"/>
  <c r="O9765" i="1"/>
  <c r="E9765" i="1"/>
  <c r="B9765" i="1"/>
  <c r="O9764" i="1"/>
  <c r="E9764" i="1"/>
  <c r="B9764" i="1"/>
  <c r="O9763" i="1"/>
  <c r="E9763" i="1"/>
  <c r="B9763" i="1"/>
  <c r="O9762" i="1"/>
  <c r="E9762" i="1"/>
  <c r="B9762" i="1"/>
  <c r="O9761" i="1"/>
  <c r="E9761" i="1"/>
  <c r="B9761" i="1"/>
  <c r="O9760" i="1"/>
  <c r="E9760" i="1"/>
  <c r="B9760" i="1"/>
  <c r="O9759" i="1"/>
  <c r="E9759" i="1"/>
  <c r="B9759" i="1"/>
  <c r="O9758" i="1"/>
  <c r="E9758" i="1"/>
  <c r="B9758" i="1"/>
  <c r="O9757" i="1"/>
  <c r="E9757" i="1"/>
  <c r="B9757" i="1"/>
  <c r="O9756" i="1"/>
  <c r="E9756" i="1"/>
  <c r="B9756" i="1"/>
  <c r="O9755" i="1"/>
  <c r="E9755" i="1"/>
  <c r="B9755" i="1"/>
  <c r="O9754" i="1"/>
  <c r="E9754" i="1"/>
  <c r="B9754" i="1"/>
  <c r="O9753" i="1"/>
  <c r="E9753" i="1"/>
  <c r="B9753" i="1"/>
  <c r="O9752" i="1"/>
  <c r="E9752" i="1"/>
  <c r="B9752" i="1"/>
  <c r="O9751" i="1"/>
  <c r="E9751" i="1"/>
  <c r="B9751" i="1"/>
  <c r="O9750" i="1"/>
  <c r="E9750" i="1"/>
  <c r="B9750" i="1"/>
  <c r="O9749" i="1"/>
  <c r="E9749" i="1"/>
  <c r="B9749" i="1"/>
  <c r="O9748" i="1"/>
  <c r="E9748" i="1"/>
  <c r="B9748" i="1"/>
  <c r="O9747" i="1"/>
  <c r="E9747" i="1"/>
  <c r="B9747" i="1"/>
  <c r="O9746" i="1"/>
  <c r="E9746" i="1"/>
  <c r="B9746" i="1"/>
  <c r="O9745" i="1"/>
  <c r="E9745" i="1"/>
  <c r="B9745" i="1"/>
  <c r="O9744" i="1"/>
  <c r="E9744" i="1"/>
  <c r="B9744" i="1"/>
  <c r="O9743" i="1"/>
  <c r="E9743" i="1"/>
  <c r="B9743" i="1"/>
  <c r="O9742" i="1"/>
  <c r="E9742" i="1"/>
  <c r="B9742" i="1"/>
  <c r="O9741" i="1"/>
  <c r="E9741" i="1"/>
  <c r="B9741" i="1"/>
  <c r="O9740" i="1"/>
  <c r="E9740" i="1"/>
  <c r="B9740" i="1"/>
  <c r="O9739" i="1"/>
  <c r="E9739" i="1"/>
  <c r="B9739" i="1"/>
  <c r="O9738" i="1"/>
  <c r="E9738" i="1"/>
  <c r="B9738" i="1"/>
  <c r="O9737" i="1"/>
  <c r="E9737" i="1"/>
  <c r="B9737" i="1"/>
  <c r="O9736" i="1"/>
  <c r="E9736" i="1"/>
  <c r="B9736" i="1"/>
  <c r="O9735" i="1"/>
  <c r="E9735" i="1"/>
  <c r="B9735" i="1"/>
  <c r="O9734" i="1"/>
  <c r="E9734" i="1"/>
  <c r="B9734" i="1"/>
  <c r="O9733" i="1"/>
  <c r="E9733" i="1"/>
  <c r="B9733" i="1"/>
  <c r="O9732" i="1"/>
  <c r="E9732" i="1"/>
  <c r="B9732" i="1"/>
  <c r="O9731" i="1"/>
  <c r="E9731" i="1"/>
  <c r="B9731" i="1"/>
  <c r="O9730" i="1"/>
  <c r="E9730" i="1"/>
  <c r="B9730" i="1"/>
  <c r="O9729" i="1"/>
  <c r="E9729" i="1"/>
  <c r="B9729" i="1"/>
  <c r="O9728" i="1"/>
  <c r="E9728" i="1"/>
  <c r="B9728" i="1"/>
  <c r="O9727" i="1"/>
  <c r="E9727" i="1"/>
  <c r="B9727" i="1"/>
  <c r="O9726" i="1"/>
  <c r="E9726" i="1"/>
  <c r="B9726" i="1"/>
  <c r="O9725" i="1"/>
  <c r="E9725" i="1"/>
  <c r="B9725" i="1"/>
  <c r="O9724" i="1"/>
  <c r="E9724" i="1"/>
  <c r="B9724" i="1"/>
  <c r="O9723" i="1"/>
  <c r="E9723" i="1"/>
  <c r="B9723" i="1"/>
  <c r="O9722" i="1"/>
  <c r="E9722" i="1"/>
  <c r="B9722" i="1"/>
  <c r="O9721" i="1"/>
  <c r="E9721" i="1"/>
  <c r="B9721" i="1"/>
  <c r="O9720" i="1"/>
  <c r="E9720" i="1"/>
  <c r="B9720" i="1"/>
  <c r="O9719" i="1"/>
  <c r="E9719" i="1"/>
  <c r="B9719" i="1"/>
  <c r="O9718" i="1"/>
  <c r="E9718" i="1"/>
  <c r="B9718" i="1"/>
  <c r="O9717" i="1"/>
  <c r="E9717" i="1"/>
  <c r="B9717" i="1"/>
  <c r="O9716" i="1"/>
  <c r="E9716" i="1"/>
  <c r="B9716" i="1"/>
  <c r="O9715" i="1"/>
  <c r="E9715" i="1"/>
  <c r="B9715" i="1"/>
  <c r="O9714" i="1"/>
  <c r="E9714" i="1"/>
  <c r="B9714" i="1"/>
  <c r="O9713" i="1"/>
  <c r="E9713" i="1"/>
  <c r="B9713" i="1"/>
  <c r="O9712" i="1"/>
  <c r="E9712" i="1"/>
  <c r="B9712" i="1"/>
  <c r="O9711" i="1"/>
  <c r="E9711" i="1"/>
  <c r="B9711" i="1"/>
  <c r="O9710" i="1"/>
  <c r="E9710" i="1"/>
  <c r="B9710" i="1"/>
  <c r="O9709" i="1"/>
  <c r="E9709" i="1"/>
  <c r="B9709" i="1"/>
  <c r="O9708" i="1"/>
  <c r="E9708" i="1"/>
  <c r="B9708" i="1"/>
  <c r="O9707" i="1"/>
  <c r="E9707" i="1"/>
  <c r="B9707" i="1"/>
  <c r="O9706" i="1"/>
  <c r="E9706" i="1"/>
  <c r="B9706" i="1"/>
  <c r="O9705" i="1"/>
  <c r="E9705" i="1"/>
  <c r="B9705" i="1"/>
  <c r="O9704" i="1"/>
  <c r="E9704" i="1"/>
  <c r="B9704" i="1"/>
  <c r="O9703" i="1"/>
  <c r="E9703" i="1"/>
  <c r="B9703" i="1"/>
  <c r="O9702" i="1"/>
  <c r="E9702" i="1"/>
  <c r="B9702" i="1"/>
  <c r="O9701" i="1"/>
  <c r="E9701" i="1"/>
  <c r="B9701" i="1"/>
  <c r="O9700" i="1"/>
  <c r="E9700" i="1"/>
  <c r="B9700" i="1"/>
  <c r="O9699" i="1"/>
  <c r="E9699" i="1"/>
  <c r="B9699" i="1"/>
  <c r="O9698" i="1"/>
  <c r="E9698" i="1"/>
  <c r="B9698" i="1"/>
  <c r="O9697" i="1"/>
  <c r="E9697" i="1"/>
  <c r="B9697" i="1"/>
  <c r="O9696" i="1"/>
  <c r="E9696" i="1"/>
  <c r="B9696" i="1"/>
  <c r="O9695" i="1"/>
  <c r="E9695" i="1"/>
  <c r="B9695" i="1"/>
  <c r="O9694" i="1"/>
  <c r="E9694" i="1"/>
  <c r="B9694" i="1"/>
  <c r="O9693" i="1"/>
  <c r="E9693" i="1"/>
  <c r="B9693" i="1"/>
  <c r="O9692" i="1"/>
  <c r="E9692" i="1"/>
  <c r="B9692" i="1"/>
  <c r="O9691" i="1"/>
  <c r="E9691" i="1"/>
  <c r="B9691" i="1"/>
  <c r="O9690" i="1"/>
  <c r="E9690" i="1"/>
  <c r="B9690" i="1"/>
  <c r="O9689" i="1"/>
  <c r="E9689" i="1"/>
  <c r="B9689" i="1"/>
  <c r="O9688" i="1"/>
  <c r="E9688" i="1"/>
  <c r="B9688" i="1"/>
  <c r="O9687" i="1"/>
  <c r="E9687" i="1"/>
  <c r="B9687" i="1"/>
  <c r="O9686" i="1"/>
  <c r="E9686" i="1"/>
  <c r="B9686" i="1"/>
  <c r="O9685" i="1"/>
  <c r="E9685" i="1"/>
  <c r="B9685" i="1"/>
  <c r="O9684" i="1"/>
  <c r="E9684" i="1"/>
  <c r="B9684" i="1"/>
  <c r="O9683" i="1"/>
  <c r="E9683" i="1"/>
  <c r="B9683" i="1"/>
  <c r="O9682" i="1"/>
  <c r="E9682" i="1"/>
  <c r="B9682" i="1"/>
  <c r="O9681" i="1"/>
  <c r="E9681" i="1"/>
  <c r="B9681" i="1"/>
  <c r="O9680" i="1"/>
  <c r="E9680" i="1"/>
  <c r="B9680" i="1"/>
  <c r="O9679" i="1"/>
  <c r="E9679" i="1"/>
  <c r="B9679" i="1"/>
  <c r="O9678" i="1"/>
  <c r="E9678" i="1"/>
  <c r="B9678" i="1"/>
  <c r="O9677" i="1"/>
  <c r="E9677" i="1"/>
  <c r="B9677" i="1"/>
  <c r="O9676" i="1"/>
  <c r="E9676" i="1"/>
  <c r="B9676" i="1"/>
  <c r="O9675" i="1"/>
  <c r="E9675" i="1"/>
  <c r="B9675" i="1"/>
  <c r="O9674" i="1"/>
  <c r="E9674" i="1"/>
  <c r="B9674" i="1"/>
  <c r="O9673" i="1"/>
  <c r="E9673" i="1"/>
  <c r="B9673" i="1"/>
  <c r="O9672" i="1"/>
  <c r="E9672" i="1"/>
  <c r="B9672" i="1"/>
  <c r="O9671" i="1"/>
  <c r="E9671" i="1"/>
  <c r="B9671" i="1"/>
  <c r="O9670" i="1"/>
  <c r="E9670" i="1"/>
  <c r="B9670" i="1"/>
  <c r="O9669" i="1"/>
  <c r="E9669" i="1"/>
  <c r="B9669" i="1"/>
  <c r="O9668" i="1"/>
  <c r="E9668" i="1"/>
  <c r="B9668" i="1"/>
  <c r="O9667" i="1"/>
  <c r="E9667" i="1"/>
  <c r="B9667" i="1"/>
  <c r="O9666" i="1"/>
  <c r="E9666" i="1"/>
  <c r="B9666" i="1"/>
  <c r="O9665" i="1"/>
  <c r="E9665" i="1"/>
  <c r="B9665" i="1"/>
  <c r="O9664" i="1"/>
  <c r="E9664" i="1"/>
  <c r="B9664" i="1"/>
  <c r="O9663" i="1"/>
  <c r="E9663" i="1"/>
  <c r="B9663" i="1"/>
  <c r="O9662" i="1"/>
  <c r="E9662" i="1"/>
  <c r="B9662" i="1"/>
  <c r="O9661" i="1"/>
  <c r="E9661" i="1"/>
  <c r="B9661" i="1"/>
  <c r="O9660" i="1"/>
  <c r="E9660" i="1"/>
  <c r="B9660" i="1"/>
  <c r="O9659" i="1"/>
  <c r="E9659" i="1"/>
  <c r="B9659" i="1"/>
  <c r="O9658" i="1"/>
  <c r="E9658" i="1"/>
  <c r="B9658" i="1"/>
  <c r="O9657" i="1"/>
  <c r="E9657" i="1"/>
  <c r="B9657" i="1"/>
  <c r="O9656" i="1"/>
  <c r="E9656" i="1"/>
  <c r="B9656" i="1"/>
  <c r="O9655" i="1"/>
  <c r="E9655" i="1"/>
  <c r="B9655" i="1"/>
  <c r="O9654" i="1"/>
  <c r="E9654" i="1"/>
  <c r="B9654" i="1"/>
  <c r="O9653" i="1"/>
  <c r="E9653" i="1"/>
  <c r="B9653" i="1"/>
  <c r="O9652" i="1"/>
  <c r="E9652" i="1"/>
  <c r="B9652" i="1"/>
  <c r="O9651" i="1"/>
  <c r="E9651" i="1"/>
  <c r="B9651" i="1"/>
  <c r="O9650" i="1"/>
  <c r="E9650" i="1"/>
  <c r="B9650" i="1"/>
  <c r="O9649" i="1"/>
  <c r="E9649" i="1"/>
  <c r="B9649" i="1"/>
  <c r="O9648" i="1"/>
  <c r="E9648" i="1"/>
  <c r="B9648" i="1"/>
  <c r="O9647" i="1"/>
  <c r="E9647" i="1"/>
  <c r="B9647" i="1"/>
  <c r="O9646" i="1"/>
  <c r="E9646" i="1"/>
  <c r="B9646" i="1"/>
  <c r="O9645" i="1"/>
  <c r="E9645" i="1"/>
  <c r="B9645" i="1"/>
  <c r="O9644" i="1"/>
  <c r="E9644" i="1"/>
  <c r="B9644" i="1"/>
  <c r="O9643" i="1"/>
  <c r="E9643" i="1"/>
  <c r="B9643" i="1"/>
  <c r="O9642" i="1"/>
  <c r="E9642" i="1"/>
  <c r="B9642" i="1"/>
  <c r="O9641" i="1"/>
  <c r="E9641" i="1"/>
  <c r="B9641" i="1"/>
  <c r="O9640" i="1"/>
  <c r="E9640" i="1"/>
  <c r="B9640" i="1"/>
  <c r="O9639" i="1"/>
  <c r="E9639" i="1"/>
  <c r="B9639" i="1"/>
  <c r="O9638" i="1"/>
  <c r="E9638" i="1"/>
  <c r="B9638" i="1"/>
  <c r="O9637" i="1"/>
  <c r="E9637" i="1"/>
  <c r="B9637" i="1"/>
  <c r="O9636" i="1"/>
  <c r="E9636" i="1"/>
  <c r="B9636" i="1"/>
  <c r="O9635" i="1"/>
  <c r="E9635" i="1"/>
  <c r="B9635" i="1"/>
  <c r="O9634" i="1"/>
  <c r="E9634" i="1"/>
  <c r="B9634" i="1"/>
  <c r="O9633" i="1"/>
  <c r="E9633" i="1"/>
  <c r="B9633" i="1"/>
  <c r="O9632" i="1"/>
  <c r="E9632" i="1"/>
  <c r="B9632" i="1"/>
  <c r="O9631" i="1"/>
  <c r="E9631" i="1"/>
  <c r="B9631" i="1"/>
  <c r="O9630" i="1"/>
  <c r="E9630" i="1"/>
  <c r="B9630" i="1"/>
  <c r="O9629" i="1"/>
  <c r="E9629" i="1"/>
  <c r="B9629" i="1"/>
  <c r="O9628" i="1"/>
  <c r="E9628" i="1"/>
  <c r="B9628" i="1"/>
  <c r="O9627" i="1"/>
  <c r="E9627" i="1"/>
  <c r="B9627" i="1"/>
  <c r="O9626" i="1"/>
  <c r="E9626" i="1"/>
  <c r="B9626" i="1"/>
  <c r="O9625" i="1"/>
  <c r="E9625" i="1"/>
  <c r="B9625" i="1"/>
  <c r="O9624" i="1"/>
  <c r="E9624" i="1"/>
  <c r="B9624" i="1"/>
  <c r="O9623" i="1"/>
  <c r="E9623" i="1"/>
  <c r="B9623" i="1"/>
  <c r="O9622" i="1"/>
  <c r="E9622" i="1"/>
  <c r="B9622" i="1"/>
  <c r="O9621" i="1"/>
  <c r="E9621" i="1"/>
  <c r="B9621" i="1"/>
  <c r="O9620" i="1"/>
  <c r="E9620" i="1"/>
  <c r="B9620" i="1"/>
  <c r="O9619" i="1"/>
  <c r="E9619" i="1"/>
  <c r="B9619" i="1"/>
  <c r="O9618" i="1"/>
  <c r="E9618" i="1"/>
  <c r="B9618" i="1"/>
  <c r="O9617" i="1"/>
  <c r="E9617" i="1"/>
  <c r="B9617" i="1"/>
  <c r="O9616" i="1"/>
  <c r="E9616" i="1"/>
  <c r="B9616" i="1"/>
  <c r="O9615" i="1"/>
  <c r="E9615" i="1"/>
  <c r="B9615" i="1"/>
  <c r="O9614" i="1"/>
  <c r="E9614" i="1"/>
  <c r="B9614" i="1"/>
  <c r="O9613" i="1"/>
  <c r="E9613" i="1"/>
  <c r="B9613" i="1"/>
  <c r="O9612" i="1"/>
  <c r="E9612" i="1"/>
  <c r="B9612" i="1"/>
  <c r="O9611" i="1"/>
  <c r="E9611" i="1"/>
  <c r="B9611" i="1"/>
  <c r="O9610" i="1"/>
  <c r="E9610" i="1"/>
  <c r="B9610" i="1"/>
  <c r="O9609" i="1"/>
  <c r="E9609" i="1"/>
  <c r="B9609" i="1"/>
  <c r="O9608" i="1"/>
  <c r="E9608" i="1"/>
  <c r="B9608" i="1"/>
  <c r="O9607" i="1"/>
  <c r="E9607" i="1"/>
  <c r="B9607" i="1"/>
  <c r="O9606" i="1"/>
  <c r="E9606" i="1"/>
  <c r="B9606" i="1"/>
  <c r="O9605" i="1"/>
  <c r="E9605" i="1"/>
  <c r="B9605" i="1"/>
  <c r="O9604" i="1"/>
  <c r="E9604" i="1"/>
  <c r="B9604" i="1"/>
  <c r="O9603" i="1"/>
  <c r="E9603" i="1"/>
  <c r="B9603" i="1"/>
  <c r="O9602" i="1"/>
  <c r="E9602" i="1"/>
  <c r="B9602" i="1"/>
  <c r="O9601" i="1"/>
  <c r="E9601" i="1"/>
  <c r="B9601" i="1"/>
  <c r="O9600" i="1"/>
  <c r="E9600" i="1"/>
  <c r="B9600" i="1"/>
  <c r="O9599" i="1"/>
  <c r="E9599" i="1"/>
  <c r="B9599" i="1"/>
  <c r="O9598" i="1"/>
  <c r="E9598" i="1"/>
  <c r="B9598" i="1"/>
  <c r="O9597" i="1"/>
  <c r="E9597" i="1"/>
  <c r="B9597" i="1"/>
  <c r="O9596" i="1"/>
  <c r="E9596" i="1"/>
  <c r="B9596" i="1"/>
  <c r="O9595" i="1"/>
  <c r="E9595" i="1"/>
  <c r="B9595" i="1"/>
  <c r="O9594" i="1"/>
  <c r="E9594" i="1"/>
  <c r="B9594" i="1"/>
  <c r="O9593" i="1"/>
  <c r="E9593" i="1"/>
  <c r="B9593" i="1"/>
  <c r="O9592" i="1"/>
  <c r="E9592" i="1"/>
  <c r="B9592" i="1"/>
  <c r="O9591" i="1"/>
  <c r="E9591" i="1"/>
  <c r="B9591" i="1"/>
  <c r="O9590" i="1"/>
  <c r="E9590" i="1"/>
  <c r="B9590" i="1"/>
  <c r="O9589" i="1"/>
  <c r="E9589" i="1"/>
  <c r="B9589" i="1"/>
  <c r="O9588" i="1"/>
  <c r="E9588" i="1"/>
  <c r="B9588" i="1"/>
  <c r="O9587" i="1"/>
  <c r="E9587" i="1"/>
  <c r="B9587" i="1"/>
  <c r="O9586" i="1"/>
  <c r="E9586" i="1"/>
  <c r="B9586" i="1"/>
  <c r="O9585" i="1"/>
  <c r="E9585" i="1"/>
  <c r="B9585" i="1"/>
  <c r="O9584" i="1"/>
  <c r="E9584" i="1"/>
  <c r="B9584" i="1"/>
  <c r="O9583" i="1"/>
  <c r="E9583" i="1"/>
  <c r="B9583" i="1"/>
  <c r="O9582" i="1"/>
  <c r="E9582" i="1"/>
  <c r="B9582" i="1"/>
  <c r="O9581" i="1"/>
  <c r="E9581" i="1"/>
  <c r="B9581" i="1"/>
  <c r="O9580" i="1"/>
  <c r="E9580" i="1"/>
  <c r="B9580" i="1"/>
  <c r="O9579" i="1"/>
  <c r="E9579" i="1"/>
  <c r="B9579" i="1"/>
  <c r="O9578" i="1"/>
  <c r="E9578" i="1"/>
  <c r="B9578" i="1"/>
  <c r="O9577" i="1"/>
  <c r="E9577" i="1"/>
  <c r="B9577" i="1"/>
  <c r="O9576" i="1"/>
  <c r="E9576" i="1"/>
  <c r="B9576" i="1"/>
  <c r="O9575" i="1"/>
  <c r="E9575" i="1"/>
  <c r="B9575" i="1"/>
  <c r="O9574" i="1"/>
  <c r="E9574" i="1"/>
  <c r="B9574" i="1"/>
  <c r="O9573" i="1"/>
  <c r="E9573" i="1"/>
  <c r="B9573" i="1"/>
  <c r="O9572" i="1"/>
  <c r="E9572" i="1"/>
  <c r="B9572" i="1"/>
  <c r="O9571" i="1"/>
  <c r="E9571" i="1"/>
  <c r="B9571" i="1"/>
  <c r="O9570" i="1"/>
  <c r="E9570" i="1"/>
  <c r="B9570" i="1"/>
  <c r="O9569" i="1"/>
  <c r="E9569" i="1"/>
  <c r="B9569" i="1"/>
  <c r="O9568" i="1"/>
  <c r="E9568" i="1"/>
  <c r="B9568" i="1"/>
  <c r="O9567" i="1"/>
  <c r="E9567" i="1"/>
  <c r="B9567" i="1"/>
  <c r="O9566" i="1"/>
  <c r="E9566" i="1"/>
  <c r="B9566" i="1"/>
  <c r="O9565" i="1"/>
  <c r="E9565" i="1"/>
  <c r="B9565" i="1"/>
  <c r="O9564" i="1"/>
  <c r="E9564" i="1"/>
  <c r="B9564" i="1"/>
  <c r="O9563" i="1"/>
  <c r="E9563" i="1"/>
  <c r="B9563" i="1"/>
  <c r="O9562" i="1"/>
  <c r="E9562" i="1"/>
  <c r="B9562" i="1"/>
  <c r="O9561" i="1"/>
  <c r="E9561" i="1"/>
  <c r="B9561" i="1"/>
  <c r="O9560" i="1"/>
  <c r="E9560" i="1"/>
  <c r="B9560" i="1"/>
  <c r="O9559" i="1"/>
  <c r="E9559" i="1"/>
  <c r="B9559" i="1"/>
  <c r="O9558" i="1"/>
  <c r="E9558" i="1"/>
  <c r="B9558" i="1"/>
  <c r="O9557" i="1"/>
  <c r="E9557" i="1"/>
  <c r="B9557" i="1"/>
  <c r="O9556" i="1"/>
  <c r="E9556" i="1"/>
  <c r="B9556" i="1"/>
  <c r="O9555" i="1"/>
  <c r="E9555" i="1"/>
  <c r="B9555" i="1"/>
  <c r="O9554" i="1"/>
  <c r="E9554" i="1"/>
  <c r="B9554" i="1"/>
  <c r="O9553" i="1"/>
  <c r="E9553" i="1"/>
  <c r="B9553" i="1"/>
  <c r="O9552" i="1"/>
  <c r="E9552" i="1"/>
  <c r="B9552" i="1"/>
  <c r="O9551" i="1"/>
  <c r="E9551" i="1"/>
  <c r="B9551" i="1"/>
  <c r="O9550" i="1"/>
  <c r="E9550" i="1"/>
  <c r="B9550" i="1"/>
  <c r="O9549" i="1"/>
  <c r="E9549" i="1"/>
  <c r="B9549" i="1"/>
  <c r="O9548" i="1"/>
  <c r="E9548" i="1"/>
  <c r="B9548" i="1"/>
  <c r="O9547" i="1"/>
  <c r="E9547" i="1"/>
  <c r="B9547" i="1"/>
  <c r="O9546" i="1"/>
  <c r="E9546" i="1"/>
  <c r="B9546" i="1"/>
  <c r="O9545" i="1"/>
  <c r="E9545" i="1"/>
  <c r="B9545" i="1"/>
  <c r="O9544" i="1"/>
  <c r="E9544" i="1"/>
  <c r="B9544" i="1"/>
  <c r="O9543" i="1"/>
  <c r="E9543" i="1"/>
  <c r="B9543" i="1"/>
  <c r="O9542" i="1"/>
  <c r="E9542" i="1"/>
  <c r="B9542" i="1"/>
  <c r="O9541" i="1"/>
  <c r="E9541" i="1"/>
  <c r="B9541" i="1"/>
  <c r="O9540" i="1"/>
  <c r="E9540" i="1"/>
  <c r="B9540" i="1"/>
  <c r="O9539" i="1"/>
  <c r="E9539" i="1"/>
  <c r="B9539" i="1"/>
  <c r="O9538" i="1"/>
  <c r="E9538" i="1"/>
  <c r="B9538" i="1"/>
  <c r="O9537" i="1"/>
  <c r="E9537" i="1"/>
  <c r="B9537" i="1"/>
  <c r="O9536" i="1"/>
  <c r="E9536" i="1"/>
  <c r="B9536" i="1"/>
  <c r="O9535" i="1"/>
  <c r="E9535" i="1"/>
  <c r="B9535" i="1"/>
  <c r="O9534" i="1"/>
  <c r="E9534" i="1"/>
  <c r="B9534" i="1"/>
  <c r="O9533" i="1"/>
  <c r="E9533" i="1"/>
  <c r="B9533" i="1"/>
  <c r="O9532" i="1"/>
  <c r="E9532" i="1"/>
  <c r="B9532" i="1"/>
  <c r="O9531" i="1"/>
  <c r="E9531" i="1"/>
  <c r="B9531" i="1"/>
  <c r="O9530" i="1"/>
  <c r="E9530" i="1"/>
  <c r="B9530" i="1"/>
  <c r="O9529" i="1"/>
  <c r="E9529" i="1"/>
  <c r="B9529" i="1"/>
  <c r="O9528" i="1"/>
  <c r="E9528" i="1"/>
  <c r="B9528" i="1"/>
  <c r="O9527" i="1"/>
  <c r="E9527" i="1"/>
  <c r="B9527" i="1"/>
  <c r="O9526" i="1"/>
  <c r="E9526" i="1"/>
  <c r="B9526" i="1"/>
  <c r="O9525" i="1"/>
  <c r="E9525" i="1"/>
  <c r="B9525" i="1"/>
  <c r="O9524" i="1"/>
  <c r="E9524" i="1"/>
  <c r="B9524" i="1"/>
  <c r="O9523" i="1"/>
  <c r="E9523" i="1"/>
  <c r="B9523" i="1"/>
  <c r="O9522" i="1"/>
  <c r="E9522" i="1"/>
  <c r="B9522" i="1"/>
  <c r="O9521" i="1"/>
  <c r="E9521" i="1"/>
  <c r="B9521" i="1"/>
  <c r="O9520" i="1"/>
  <c r="E9520" i="1"/>
  <c r="B9520" i="1"/>
  <c r="O9519" i="1"/>
  <c r="E9519" i="1"/>
  <c r="B9519" i="1"/>
  <c r="O9518" i="1"/>
  <c r="E9518" i="1"/>
  <c r="B9518" i="1"/>
  <c r="O9517" i="1"/>
  <c r="E9517" i="1"/>
  <c r="B9517" i="1"/>
  <c r="O9516" i="1"/>
  <c r="E9516" i="1"/>
  <c r="B9516" i="1"/>
  <c r="O9515" i="1"/>
  <c r="E9515" i="1"/>
  <c r="B9515" i="1"/>
  <c r="O9514" i="1"/>
  <c r="E9514" i="1"/>
  <c r="B9514" i="1"/>
  <c r="O9513" i="1"/>
  <c r="E9513" i="1"/>
  <c r="B9513" i="1"/>
  <c r="O9512" i="1"/>
  <c r="E9512" i="1"/>
  <c r="B9512" i="1"/>
  <c r="O9511" i="1"/>
  <c r="E9511" i="1"/>
  <c r="B9511" i="1"/>
  <c r="O9510" i="1"/>
  <c r="E9510" i="1"/>
  <c r="B9510" i="1"/>
  <c r="O9509" i="1"/>
  <c r="E9509" i="1"/>
  <c r="B9509" i="1"/>
  <c r="O9508" i="1"/>
  <c r="E9508" i="1"/>
  <c r="B9508" i="1"/>
  <c r="O9507" i="1"/>
  <c r="E9507" i="1"/>
  <c r="B9507" i="1"/>
  <c r="O9506" i="1"/>
  <c r="E9506" i="1"/>
  <c r="B9506" i="1"/>
  <c r="O9505" i="1"/>
  <c r="E9505" i="1"/>
  <c r="B9505" i="1"/>
  <c r="O9504" i="1"/>
  <c r="E9504" i="1"/>
  <c r="B9504" i="1"/>
  <c r="O9503" i="1"/>
  <c r="E9503" i="1"/>
  <c r="B9503" i="1"/>
  <c r="O9502" i="1"/>
  <c r="E9502" i="1"/>
  <c r="B9502" i="1"/>
  <c r="O9501" i="1"/>
  <c r="E9501" i="1"/>
  <c r="B9501" i="1"/>
  <c r="O9500" i="1"/>
  <c r="E9500" i="1"/>
  <c r="B9500" i="1"/>
  <c r="O9499" i="1"/>
  <c r="E9499" i="1"/>
  <c r="B9499" i="1"/>
  <c r="O9498" i="1"/>
  <c r="E9498" i="1"/>
  <c r="B9498" i="1"/>
  <c r="O9497" i="1"/>
  <c r="E9497" i="1"/>
  <c r="B9497" i="1"/>
  <c r="O9496" i="1"/>
  <c r="E9496" i="1"/>
  <c r="B9496" i="1"/>
  <c r="O9495" i="1"/>
  <c r="E9495" i="1"/>
  <c r="B9495" i="1"/>
  <c r="O9494" i="1"/>
  <c r="E9494" i="1"/>
  <c r="B9494" i="1"/>
  <c r="O9493" i="1"/>
  <c r="E9493" i="1"/>
  <c r="B9493" i="1"/>
  <c r="O9492" i="1"/>
  <c r="E9492" i="1"/>
  <c r="B9492" i="1"/>
  <c r="O9491" i="1"/>
  <c r="E9491" i="1"/>
  <c r="B9491" i="1"/>
  <c r="O9490" i="1"/>
  <c r="E9490" i="1"/>
  <c r="B9490" i="1"/>
  <c r="O9489" i="1"/>
  <c r="E9489" i="1"/>
  <c r="B9489" i="1"/>
  <c r="O9488" i="1"/>
  <c r="E9488" i="1"/>
  <c r="B9488" i="1"/>
  <c r="O9487" i="1"/>
  <c r="E9487" i="1"/>
  <c r="B9487" i="1"/>
  <c r="O9486" i="1"/>
  <c r="E9486" i="1"/>
  <c r="B9486" i="1"/>
  <c r="O9485" i="1"/>
  <c r="E9485" i="1"/>
  <c r="B9485" i="1"/>
  <c r="O9484" i="1"/>
  <c r="E9484" i="1"/>
  <c r="B9484" i="1"/>
  <c r="O9483" i="1"/>
  <c r="E9483" i="1"/>
  <c r="B9483" i="1"/>
  <c r="O9482" i="1"/>
  <c r="E9482" i="1"/>
  <c r="B9482" i="1"/>
  <c r="O9481" i="1"/>
  <c r="E9481" i="1"/>
  <c r="B9481" i="1"/>
  <c r="O9480" i="1"/>
  <c r="E9480" i="1"/>
  <c r="B9480" i="1"/>
  <c r="O9479" i="1"/>
  <c r="E9479" i="1"/>
  <c r="B9479" i="1"/>
  <c r="O9478" i="1"/>
  <c r="E9478" i="1"/>
  <c r="B9478" i="1"/>
  <c r="O9477" i="1"/>
  <c r="E9477" i="1"/>
  <c r="B9477" i="1"/>
  <c r="O9476" i="1"/>
  <c r="E9476" i="1"/>
  <c r="B9476" i="1"/>
  <c r="O9475" i="1"/>
  <c r="E9475" i="1"/>
  <c r="B9475" i="1"/>
  <c r="O9474" i="1"/>
  <c r="E9474" i="1"/>
  <c r="B9474" i="1"/>
  <c r="O9473" i="1"/>
  <c r="E9473" i="1"/>
  <c r="B9473" i="1"/>
  <c r="O9472" i="1"/>
  <c r="E9472" i="1"/>
  <c r="B9472" i="1"/>
  <c r="O9471" i="1"/>
  <c r="E9471" i="1"/>
  <c r="B9471" i="1"/>
  <c r="O9470" i="1"/>
  <c r="E9470" i="1"/>
  <c r="B9470" i="1"/>
  <c r="O9469" i="1"/>
  <c r="E9469" i="1"/>
  <c r="B9469" i="1"/>
  <c r="O9468" i="1"/>
  <c r="E9468" i="1"/>
  <c r="B9468" i="1"/>
  <c r="O9467" i="1"/>
  <c r="E9467" i="1"/>
  <c r="B9467" i="1"/>
  <c r="O9466" i="1"/>
  <c r="E9466" i="1"/>
  <c r="B9466" i="1"/>
  <c r="O9465" i="1"/>
  <c r="E9465" i="1"/>
  <c r="B9465" i="1"/>
  <c r="O9464" i="1"/>
  <c r="E9464" i="1"/>
  <c r="B9464" i="1"/>
  <c r="O9463" i="1"/>
  <c r="E9463" i="1"/>
  <c r="B9463" i="1"/>
  <c r="O9462" i="1"/>
  <c r="E9462" i="1"/>
  <c r="B9462" i="1"/>
  <c r="O9461" i="1"/>
  <c r="E9461" i="1"/>
  <c r="B9461" i="1"/>
  <c r="O9460" i="1"/>
  <c r="E9460" i="1"/>
  <c r="B9460" i="1"/>
  <c r="O9459" i="1"/>
  <c r="E9459" i="1"/>
  <c r="B9459" i="1"/>
  <c r="O9458" i="1"/>
  <c r="E9458" i="1"/>
  <c r="B9458" i="1"/>
  <c r="O9457" i="1"/>
  <c r="E9457" i="1"/>
  <c r="B9457" i="1"/>
  <c r="O9456" i="1"/>
  <c r="E9456" i="1"/>
  <c r="B9456" i="1"/>
  <c r="O9455" i="1"/>
  <c r="E9455" i="1"/>
  <c r="B9455" i="1"/>
  <c r="O9454" i="1"/>
  <c r="E9454" i="1"/>
  <c r="B9454" i="1"/>
  <c r="O9453" i="1"/>
  <c r="E9453" i="1"/>
  <c r="B9453" i="1"/>
  <c r="O9452" i="1"/>
  <c r="E9452" i="1"/>
  <c r="B9452" i="1"/>
  <c r="O9451" i="1"/>
  <c r="E9451" i="1"/>
  <c r="B9451" i="1"/>
  <c r="O9450" i="1"/>
  <c r="E9450" i="1"/>
  <c r="B9450" i="1"/>
  <c r="O9449" i="1"/>
  <c r="E9449" i="1"/>
  <c r="B9449" i="1"/>
  <c r="O9448" i="1"/>
  <c r="E9448" i="1"/>
  <c r="B9448" i="1"/>
  <c r="O9447" i="1"/>
  <c r="E9447" i="1"/>
  <c r="B9447" i="1"/>
  <c r="O9446" i="1"/>
  <c r="E9446" i="1"/>
  <c r="B9446" i="1"/>
  <c r="O9445" i="1"/>
  <c r="E9445" i="1"/>
  <c r="B9445" i="1"/>
  <c r="O9444" i="1"/>
  <c r="E9444" i="1"/>
  <c r="B9444" i="1"/>
  <c r="O9443" i="1"/>
  <c r="E9443" i="1"/>
  <c r="B9443" i="1"/>
  <c r="O9442" i="1"/>
  <c r="E9442" i="1"/>
  <c r="B9442" i="1"/>
  <c r="O9441" i="1"/>
  <c r="E9441" i="1"/>
  <c r="B9441" i="1"/>
  <c r="O9440" i="1"/>
  <c r="E9440" i="1"/>
  <c r="B9440" i="1"/>
  <c r="O9439" i="1"/>
  <c r="E9439" i="1"/>
  <c r="B9439" i="1"/>
  <c r="O9438" i="1"/>
  <c r="E9438" i="1"/>
  <c r="B9438" i="1"/>
  <c r="O9437" i="1"/>
  <c r="E9437" i="1"/>
  <c r="B9437" i="1"/>
  <c r="O9436" i="1"/>
  <c r="E9436" i="1"/>
  <c r="B9436" i="1"/>
  <c r="O9435" i="1"/>
  <c r="E9435" i="1"/>
  <c r="B9435" i="1"/>
  <c r="O9434" i="1"/>
  <c r="E9434" i="1"/>
  <c r="B9434" i="1"/>
  <c r="O9433" i="1"/>
  <c r="E9433" i="1"/>
  <c r="B9433" i="1"/>
  <c r="O9432" i="1"/>
  <c r="E9432" i="1"/>
  <c r="B9432" i="1"/>
  <c r="O9431" i="1"/>
  <c r="E9431" i="1"/>
  <c r="B9431" i="1"/>
  <c r="O9430" i="1"/>
  <c r="E9430" i="1"/>
  <c r="B9430" i="1"/>
  <c r="O9429" i="1"/>
  <c r="E9429" i="1"/>
  <c r="B9429" i="1"/>
  <c r="O9428" i="1"/>
  <c r="E9428" i="1"/>
  <c r="B9428" i="1"/>
  <c r="O9427" i="1"/>
  <c r="E9427" i="1"/>
  <c r="B9427" i="1"/>
  <c r="O9426" i="1"/>
  <c r="E9426" i="1"/>
  <c r="B9426" i="1"/>
  <c r="O9425" i="1"/>
  <c r="E9425" i="1"/>
  <c r="B9425" i="1"/>
  <c r="O9424" i="1"/>
  <c r="E9424" i="1"/>
  <c r="B9424" i="1"/>
  <c r="O9423" i="1"/>
  <c r="E9423" i="1"/>
  <c r="B9423" i="1"/>
  <c r="O9422" i="1"/>
  <c r="E9422" i="1"/>
  <c r="B9422" i="1"/>
  <c r="O9421" i="1"/>
  <c r="E9421" i="1"/>
  <c r="B9421" i="1"/>
  <c r="O9420" i="1"/>
  <c r="E9420" i="1"/>
  <c r="B9420" i="1"/>
  <c r="O9419" i="1"/>
  <c r="E9419" i="1"/>
  <c r="B9419" i="1"/>
  <c r="O9418" i="1"/>
  <c r="E9418" i="1"/>
  <c r="B9418" i="1"/>
  <c r="O9417" i="1"/>
  <c r="E9417" i="1"/>
  <c r="B9417" i="1"/>
  <c r="O9416" i="1"/>
  <c r="E9416" i="1"/>
  <c r="B9416" i="1"/>
  <c r="O9415" i="1"/>
  <c r="E9415" i="1"/>
  <c r="B9415" i="1"/>
  <c r="O9414" i="1"/>
  <c r="E9414" i="1"/>
  <c r="B9414" i="1"/>
  <c r="O9413" i="1"/>
  <c r="E9413" i="1"/>
  <c r="B9413" i="1"/>
  <c r="O9412" i="1"/>
  <c r="E9412" i="1"/>
  <c r="B9412" i="1"/>
  <c r="O9411" i="1"/>
  <c r="E9411" i="1"/>
  <c r="B9411" i="1"/>
  <c r="O9410" i="1"/>
  <c r="E9410" i="1"/>
  <c r="B9410" i="1"/>
  <c r="O9409" i="1"/>
  <c r="E9409" i="1"/>
  <c r="B9409" i="1"/>
  <c r="O9408" i="1"/>
  <c r="E9408" i="1"/>
  <c r="B9408" i="1"/>
  <c r="O9407" i="1"/>
  <c r="E9407" i="1"/>
  <c r="B9407" i="1"/>
  <c r="O9406" i="1"/>
  <c r="E9406" i="1"/>
  <c r="B9406" i="1"/>
  <c r="O9405" i="1"/>
  <c r="E9405" i="1"/>
  <c r="B9405" i="1"/>
  <c r="O9404" i="1"/>
  <c r="E9404" i="1"/>
  <c r="B9404" i="1"/>
  <c r="O9403" i="1"/>
  <c r="E9403" i="1"/>
  <c r="B9403" i="1"/>
  <c r="O9402" i="1"/>
  <c r="E9402" i="1"/>
  <c r="B9402" i="1"/>
  <c r="O9401" i="1"/>
  <c r="E9401" i="1"/>
  <c r="B9401" i="1"/>
  <c r="O9400" i="1"/>
  <c r="E9400" i="1"/>
  <c r="B9400" i="1"/>
  <c r="O9399" i="1"/>
  <c r="E9399" i="1"/>
  <c r="B9399" i="1"/>
  <c r="O9398" i="1"/>
  <c r="E9398" i="1"/>
  <c r="B9398" i="1"/>
  <c r="O9397" i="1"/>
  <c r="E9397" i="1"/>
  <c r="B9397" i="1"/>
  <c r="O9396" i="1"/>
  <c r="E9396" i="1"/>
  <c r="B9396" i="1"/>
  <c r="O9395" i="1"/>
  <c r="E9395" i="1"/>
  <c r="B9395" i="1"/>
  <c r="O9394" i="1"/>
  <c r="E9394" i="1"/>
  <c r="B9394" i="1"/>
  <c r="O9393" i="1"/>
  <c r="E9393" i="1"/>
  <c r="B9393" i="1"/>
  <c r="O9392" i="1"/>
  <c r="E9392" i="1"/>
  <c r="B9392" i="1"/>
  <c r="O9391" i="1"/>
  <c r="E9391" i="1"/>
  <c r="B9391" i="1"/>
  <c r="O9390" i="1"/>
  <c r="E9390" i="1"/>
  <c r="B9390" i="1"/>
  <c r="O9389" i="1"/>
  <c r="E9389" i="1"/>
  <c r="B9389" i="1"/>
  <c r="O9388" i="1"/>
  <c r="E9388" i="1"/>
  <c r="B9388" i="1"/>
  <c r="O9387" i="1"/>
  <c r="E9387" i="1"/>
  <c r="B9387" i="1"/>
  <c r="O9386" i="1"/>
  <c r="E9386" i="1"/>
  <c r="B9386" i="1"/>
  <c r="O9385" i="1"/>
  <c r="E9385" i="1"/>
  <c r="B9385" i="1"/>
  <c r="O9384" i="1"/>
  <c r="E9384" i="1"/>
  <c r="B9384" i="1"/>
  <c r="O9383" i="1"/>
  <c r="E9383" i="1"/>
  <c r="B9383" i="1"/>
  <c r="O9382" i="1"/>
  <c r="E9382" i="1"/>
  <c r="B9382" i="1"/>
  <c r="O9381" i="1"/>
  <c r="E9381" i="1"/>
  <c r="B9381" i="1"/>
  <c r="O9380" i="1"/>
  <c r="E9380" i="1"/>
  <c r="B9380" i="1"/>
  <c r="O9379" i="1"/>
  <c r="E9379" i="1"/>
  <c r="B9379" i="1"/>
  <c r="O9378" i="1"/>
  <c r="E9378" i="1"/>
  <c r="B9378" i="1"/>
  <c r="O9377" i="1"/>
  <c r="E9377" i="1"/>
  <c r="B9377" i="1"/>
  <c r="O9376" i="1"/>
  <c r="E9376" i="1"/>
  <c r="B9376" i="1"/>
  <c r="O9375" i="1"/>
  <c r="E9375" i="1"/>
  <c r="B9375" i="1"/>
  <c r="O9374" i="1"/>
  <c r="E9374" i="1"/>
  <c r="B9374" i="1"/>
  <c r="O9373" i="1"/>
  <c r="E9373" i="1"/>
  <c r="B9373" i="1"/>
  <c r="O9372" i="1"/>
  <c r="E9372" i="1"/>
  <c r="B9372" i="1"/>
  <c r="O9371" i="1"/>
  <c r="E9371" i="1"/>
  <c r="B9371" i="1"/>
  <c r="O9370" i="1"/>
  <c r="E9370" i="1"/>
  <c r="B9370" i="1"/>
  <c r="O9369" i="1"/>
  <c r="E9369" i="1"/>
  <c r="B9369" i="1"/>
  <c r="O9368" i="1"/>
  <c r="E9368" i="1"/>
  <c r="B9368" i="1"/>
  <c r="O9367" i="1"/>
  <c r="E9367" i="1"/>
  <c r="B9367" i="1"/>
  <c r="O9366" i="1"/>
  <c r="E9366" i="1"/>
  <c r="B9366" i="1"/>
  <c r="O9365" i="1"/>
  <c r="E9365" i="1"/>
  <c r="B9365" i="1"/>
  <c r="O9364" i="1"/>
  <c r="E9364" i="1"/>
  <c r="B9364" i="1"/>
  <c r="O9363" i="1"/>
  <c r="E9363" i="1"/>
  <c r="B9363" i="1"/>
  <c r="O9362" i="1"/>
  <c r="E9362" i="1"/>
  <c r="B9362" i="1"/>
  <c r="O9361" i="1"/>
  <c r="E9361" i="1"/>
  <c r="B9361" i="1"/>
  <c r="O9360" i="1"/>
  <c r="E9360" i="1"/>
  <c r="B9360" i="1"/>
  <c r="O9359" i="1"/>
  <c r="E9359" i="1"/>
  <c r="B9359" i="1"/>
  <c r="O9358" i="1"/>
  <c r="E9358" i="1"/>
  <c r="B9358" i="1"/>
  <c r="O9357" i="1"/>
  <c r="E9357" i="1"/>
  <c r="B9357" i="1"/>
  <c r="O9356" i="1"/>
  <c r="E9356" i="1"/>
  <c r="B9356" i="1"/>
  <c r="O9355" i="1"/>
  <c r="E9355" i="1"/>
  <c r="B9355" i="1"/>
  <c r="O9354" i="1"/>
  <c r="E9354" i="1"/>
  <c r="B9354" i="1"/>
  <c r="O9353" i="1"/>
  <c r="E9353" i="1"/>
  <c r="B9353" i="1"/>
  <c r="O9352" i="1"/>
  <c r="E9352" i="1"/>
  <c r="B9352" i="1"/>
  <c r="O9351" i="1"/>
  <c r="E9351" i="1"/>
  <c r="B9351" i="1"/>
  <c r="O9350" i="1"/>
  <c r="E9350" i="1"/>
  <c r="B9350" i="1"/>
  <c r="O9349" i="1"/>
  <c r="E9349" i="1"/>
  <c r="B9349" i="1"/>
  <c r="O9348" i="1"/>
  <c r="E9348" i="1"/>
  <c r="B9348" i="1"/>
  <c r="O9347" i="1"/>
  <c r="E9347" i="1"/>
  <c r="B9347" i="1"/>
  <c r="O9346" i="1"/>
  <c r="E9346" i="1"/>
  <c r="B9346" i="1"/>
  <c r="O9345" i="1"/>
  <c r="E9345" i="1"/>
  <c r="B9345" i="1"/>
  <c r="O9344" i="1"/>
  <c r="E9344" i="1"/>
  <c r="B9344" i="1"/>
  <c r="O9343" i="1"/>
  <c r="E9343" i="1"/>
  <c r="B9343" i="1"/>
  <c r="O9342" i="1"/>
  <c r="E9342" i="1"/>
  <c r="B9342" i="1"/>
  <c r="O9341" i="1"/>
  <c r="E9341" i="1"/>
  <c r="B9341" i="1"/>
  <c r="O9340" i="1"/>
  <c r="E9340" i="1"/>
  <c r="B9340" i="1"/>
  <c r="O9339" i="1"/>
  <c r="E9339" i="1"/>
  <c r="B9339" i="1"/>
  <c r="O9338" i="1"/>
  <c r="E9338" i="1"/>
  <c r="B9338" i="1"/>
  <c r="O9337" i="1"/>
  <c r="E9337" i="1"/>
  <c r="B9337" i="1"/>
  <c r="O9336" i="1"/>
  <c r="E9336" i="1"/>
  <c r="B9336" i="1"/>
  <c r="O9335" i="1"/>
  <c r="E9335" i="1"/>
  <c r="B9335" i="1"/>
  <c r="O9334" i="1"/>
  <c r="E9334" i="1"/>
  <c r="B9334" i="1"/>
  <c r="O9333" i="1"/>
  <c r="E9333" i="1"/>
  <c r="B9333" i="1"/>
  <c r="O9332" i="1"/>
  <c r="E9332" i="1"/>
  <c r="B9332" i="1"/>
  <c r="O9331" i="1"/>
  <c r="E9331" i="1"/>
  <c r="B9331" i="1"/>
  <c r="O9330" i="1"/>
  <c r="E9330" i="1"/>
  <c r="B9330" i="1"/>
  <c r="O9329" i="1"/>
  <c r="E9329" i="1"/>
  <c r="B9329" i="1"/>
  <c r="O9328" i="1"/>
  <c r="E9328" i="1"/>
  <c r="B9328" i="1"/>
  <c r="O9327" i="1"/>
  <c r="E9327" i="1"/>
  <c r="B9327" i="1"/>
  <c r="O9326" i="1"/>
  <c r="E9326" i="1"/>
  <c r="B9326" i="1"/>
  <c r="O9325" i="1"/>
  <c r="E9325" i="1"/>
  <c r="B9325" i="1"/>
  <c r="O9324" i="1"/>
  <c r="E9324" i="1"/>
  <c r="B9324" i="1"/>
  <c r="O9323" i="1"/>
  <c r="E9323" i="1"/>
  <c r="B9323" i="1"/>
  <c r="O9322" i="1"/>
  <c r="E9322" i="1"/>
  <c r="B9322" i="1"/>
  <c r="O9321" i="1"/>
  <c r="E9321" i="1"/>
  <c r="B9321" i="1"/>
  <c r="O9320" i="1"/>
  <c r="E9320" i="1"/>
  <c r="B9320" i="1"/>
  <c r="O9319" i="1"/>
  <c r="E9319" i="1"/>
  <c r="B9319" i="1"/>
  <c r="O9318" i="1"/>
  <c r="E9318" i="1"/>
  <c r="B9318" i="1"/>
  <c r="O9317" i="1"/>
  <c r="E9317" i="1"/>
  <c r="B9317" i="1"/>
  <c r="O9316" i="1"/>
  <c r="E9316" i="1"/>
  <c r="B9316" i="1"/>
  <c r="O9315" i="1"/>
  <c r="E9315" i="1"/>
  <c r="B9315" i="1"/>
  <c r="O9314" i="1"/>
  <c r="E9314" i="1"/>
  <c r="B9314" i="1"/>
  <c r="O9313" i="1"/>
  <c r="E9313" i="1"/>
  <c r="B9313" i="1"/>
  <c r="O9312" i="1"/>
  <c r="E9312" i="1"/>
  <c r="B9312" i="1"/>
  <c r="O9311" i="1"/>
  <c r="E9311" i="1"/>
  <c r="B9311" i="1"/>
  <c r="O9310" i="1"/>
  <c r="E9310" i="1"/>
  <c r="B9310" i="1"/>
  <c r="O9309" i="1"/>
  <c r="E9309" i="1"/>
  <c r="B9309" i="1"/>
  <c r="O9308" i="1"/>
  <c r="E9308" i="1"/>
  <c r="B9308" i="1"/>
  <c r="O9307" i="1"/>
  <c r="E9307" i="1"/>
  <c r="B9307" i="1"/>
  <c r="O9306" i="1"/>
  <c r="E9306" i="1"/>
  <c r="B9306" i="1"/>
  <c r="O9305" i="1"/>
  <c r="E9305" i="1"/>
  <c r="B9305" i="1"/>
  <c r="O9304" i="1"/>
  <c r="E9304" i="1"/>
  <c r="B9304" i="1"/>
  <c r="O9303" i="1"/>
  <c r="E9303" i="1"/>
  <c r="B9303" i="1"/>
  <c r="O9302" i="1"/>
  <c r="E9302" i="1"/>
  <c r="B9302" i="1"/>
  <c r="O9301" i="1"/>
  <c r="E9301" i="1"/>
  <c r="B9301" i="1"/>
  <c r="O9300" i="1"/>
  <c r="E9300" i="1"/>
  <c r="B9300" i="1"/>
  <c r="O9299" i="1"/>
  <c r="E9299" i="1"/>
  <c r="B9299" i="1"/>
  <c r="O9298" i="1"/>
  <c r="E9298" i="1"/>
  <c r="B9298" i="1"/>
  <c r="O9297" i="1"/>
  <c r="E9297" i="1"/>
  <c r="B9297" i="1"/>
  <c r="O9296" i="1"/>
  <c r="E9296" i="1"/>
  <c r="B9296" i="1"/>
  <c r="O9295" i="1"/>
  <c r="E9295" i="1"/>
  <c r="B9295" i="1"/>
  <c r="O9294" i="1"/>
  <c r="E9294" i="1"/>
  <c r="B9294" i="1"/>
  <c r="O9293" i="1"/>
  <c r="E9293" i="1"/>
  <c r="B9293" i="1"/>
  <c r="O9292" i="1"/>
  <c r="E9292" i="1"/>
  <c r="B9292" i="1"/>
  <c r="O9291" i="1"/>
  <c r="E9291" i="1"/>
  <c r="B9291" i="1"/>
  <c r="O9290" i="1"/>
  <c r="E9290" i="1"/>
  <c r="B9290" i="1"/>
  <c r="O9289" i="1"/>
  <c r="E9289" i="1"/>
  <c r="B9289" i="1"/>
  <c r="O9288" i="1"/>
  <c r="E9288" i="1"/>
  <c r="B9288" i="1"/>
  <c r="O9287" i="1"/>
  <c r="E9287" i="1"/>
  <c r="B9287" i="1"/>
  <c r="O9286" i="1"/>
  <c r="E9286" i="1"/>
  <c r="B9286" i="1"/>
  <c r="O9285" i="1"/>
  <c r="E9285" i="1"/>
  <c r="B9285" i="1"/>
  <c r="O9284" i="1"/>
  <c r="E9284" i="1"/>
  <c r="B9284" i="1"/>
  <c r="O9283" i="1"/>
  <c r="E9283" i="1"/>
  <c r="B9283" i="1"/>
  <c r="O9282" i="1"/>
  <c r="E9282" i="1"/>
  <c r="B9282" i="1"/>
  <c r="O9281" i="1"/>
  <c r="E9281" i="1"/>
  <c r="B9281" i="1"/>
  <c r="O9280" i="1"/>
  <c r="E9280" i="1"/>
  <c r="B9280" i="1"/>
  <c r="O9279" i="1"/>
  <c r="E9279" i="1"/>
  <c r="B9279" i="1"/>
  <c r="O9278" i="1"/>
  <c r="E9278" i="1"/>
  <c r="B9278" i="1"/>
  <c r="O9277" i="1"/>
  <c r="E9277" i="1"/>
  <c r="B9277" i="1"/>
  <c r="O9276" i="1"/>
  <c r="E9276" i="1"/>
  <c r="B9276" i="1"/>
  <c r="O9275" i="1"/>
  <c r="E9275" i="1"/>
  <c r="B9275" i="1"/>
  <c r="O9274" i="1"/>
  <c r="E9274" i="1"/>
  <c r="B9274" i="1"/>
  <c r="O9273" i="1"/>
  <c r="E9273" i="1"/>
  <c r="B9273" i="1"/>
  <c r="O9272" i="1"/>
  <c r="E9272" i="1"/>
  <c r="B9272" i="1"/>
  <c r="O9271" i="1"/>
  <c r="E9271" i="1"/>
  <c r="B9271" i="1"/>
  <c r="O9270" i="1"/>
  <c r="E9270" i="1"/>
  <c r="B9270" i="1"/>
  <c r="O9269" i="1"/>
  <c r="E9269" i="1"/>
  <c r="B9269" i="1"/>
  <c r="O9268" i="1"/>
  <c r="E9268" i="1"/>
  <c r="B9268" i="1"/>
  <c r="O9267" i="1"/>
  <c r="E9267" i="1"/>
  <c r="B9267" i="1"/>
  <c r="O9266" i="1"/>
  <c r="E9266" i="1"/>
  <c r="B9266" i="1"/>
  <c r="O9265" i="1"/>
  <c r="E9265" i="1"/>
  <c r="B9265" i="1"/>
  <c r="O9264" i="1"/>
  <c r="E9264" i="1"/>
  <c r="B9264" i="1"/>
  <c r="O9263" i="1"/>
  <c r="E9263" i="1"/>
  <c r="B9263" i="1"/>
  <c r="O9262" i="1"/>
  <c r="E9262" i="1"/>
  <c r="B9262" i="1"/>
  <c r="O9261" i="1"/>
  <c r="E9261" i="1"/>
  <c r="B9261" i="1"/>
  <c r="O9260" i="1"/>
  <c r="E9260" i="1"/>
  <c r="B9260" i="1"/>
  <c r="O9259" i="1"/>
  <c r="E9259" i="1"/>
  <c r="B9259" i="1"/>
  <c r="O9258" i="1"/>
  <c r="E9258" i="1"/>
  <c r="B9258" i="1"/>
  <c r="O9257" i="1"/>
  <c r="E9257" i="1"/>
  <c r="B9257" i="1"/>
  <c r="O9256" i="1"/>
  <c r="E9256" i="1"/>
  <c r="B9256" i="1"/>
  <c r="O9255" i="1"/>
  <c r="E9255" i="1"/>
  <c r="B9255" i="1"/>
  <c r="O9254" i="1"/>
  <c r="E9254" i="1"/>
  <c r="B9254" i="1"/>
  <c r="O9253" i="1"/>
  <c r="E9253" i="1"/>
  <c r="B9253" i="1"/>
  <c r="O9252" i="1"/>
  <c r="E9252" i="1"/>
  <c r="B9252" i="1"/>
  <c r="O9251" i="1"/>
  <c r="E9251" i="1"/>
  <c r="B9251" i="1"/>
  <c r="O9250" i="1"/>
  <c r="E9250" i="1"/>
  <c r="B9250" i="1"/>
  <c r="O9249" i="1"/>
  <c r="E9249" i="1"/>
  <c r="B9249" i="1"/>
  <c r="O9248" i="1"/>
  <c r="E9248" i="1"/>
  <c r="B9248" i="1"/>
  <c r="O9247" i="1"/>
  <c r="E9247" i="1"/>
  <c r="B9247" i="1"/>
  <c r="O9246" i="1"/>
  <c r="E9246" i="1"/>
  <c r="B9246" i="1"/>
  <c r="O9245" i="1"/>
  <c r="E9245" i="1"/>
  <c r="B9245" i="1"/>
  <c r="O9244" i="1"/>
  <c r="E9244" i="1"/>
  <c r="B9244" i="1"/>
  <c r="O9243" i="1"/>
  <c r="E9243" i="1"/>
  <c r="B9243" i="1"/>
  <c r="O9242" i="1"/>
  <c r="E9242" i="1"/>
  <c r="B9242" i="1"/>
  <c r="O9241" i="1"/>
  <c r="E9241" i="1"/>
  <c r="B9241" i="1"/>
  <c r="O9240" i="1"/>
  <c r="E9240" i="1"/>
  <c r="B9240" i="1"/>
  <c r="O9239" i="1"/>
  <c r="E9239" i="1"/>
  <c r="B9239" i="1"/>
  <c r="O9238" i="1"/>
  <c r="E9238" i="1"/>
  <c r="B9238" i="1"/>
  <c r="O9237" i="1"/>
  <c r="E9237" i="1"/>
  <c r="B9237" i="1"/>
  <c r="O9236" i="1"/>
  <c r="E9236" i="1"/>
  <c r="B9236" i="1"/>
  <c r="O9235" i="1"/>
  <c r="E9235" i="1"/>
  <c r="B9235" i="1"/>
  <c r="O9234" i="1"/>
  <c r="E9234" i="1"/>
  <c r="B9234" i="1"/>
  <c r="O9233" i="1"/>
  <c r="E9233" i="1"/>
  <c r="B9233" i="1"/>
  <c r="O9232" i="1"/>
  <c r="E9232" i="1"/>
  <c r="B9232" i="1"/>
  <c r="O9231" i="1"/>
  <c r="E9231" i="1"/>
  <c r="B9231" i="1"/>
  <c r="O9230" i="1"/>
  <c r="E9230" i="1"/>
  <c r="B9230" i="1"/>
  <c r="O9229" i="1"/>
  <c r="E9229" i="1"/>
  <c r="B9229" i="1"/>
  <c r="O9228" i="1"/>
  <c r="E9228" i="1"/>
  <c r="B9228" i="1"/>
  <c r="O9227" i="1"/>
  <c r="E9227" i="1"/>
  <c r="B9227" i="1"/>
  <c r="O9226" i="1"/>
  <c r="E9226" i="1"/>
  <c r="B9226" i="1"/>
  <c r="O9225" i="1"/>
  <c r="E9225" i="1"/>
  <c r="B9225" i="1"/>
  <c r="O9224" i="1"/>
  <c r="E9224" i="1"/>
  <c r="B9224" i="1"/>
  <c r="O9223" i="1"/>
  <c r="E9223" i="1"/>
  <c r="B9223" i="1"/>
  <c r="O9222" i="1"/>
  <c r="E9222" i="1"/>
  <c r="B9222" i="1"/>
  <c r="O9221" i="1"/>
  <c r="E9221" i="1"/>
  <c r="B9221" i="1"/>
  <c r="O9220" i="1"/>
  <c r="E9220" i="1"/>
  <c r="B9220" i="1"/>
  <c r="O9219" i="1"/>
  <c r="E9219" i="1"/>
  <c r="B9219" i="1"/>
  <c r="O9218" i="1"/>
  <c r="E9218" i="1"/>
  <c r="B9218" i="1"/>
  <c r="O9217" i="1"/>
  <c r="E9217" i="1"/>
  <c r="B9217" i="1"/>
  <c r="O9216" i="1"/>
  <c r="E9216" i="1"/>
  <c r="B9216" i="1"/>
  <c r="O9215" i="1"/>
  <c r="E9215" i="1"/>
  <c r="B9215" i="1"/>
  <c r="O9214" i="1"/>
  <c r="E9214" i="1"/>
  <c r="B9214" i="1"/>
  <c r="O9213" i="1"/>
  <c r="E9213" i="1"/>
  <c r="B9213" i="1"/>
  <c r="O9212" i="1"/>
  <c r="E9212" i="1"/>
  <c r="B9212" i="1"/>
  <c r="O9211" i="1"/>
  <c r="E9211" i="1"/>
  <c r="B9211" i="1"/>
  <c r="O9210" i="1"/>
  <c r="E9210" i="1"/>
  <c r="B9210" i="1"/>
  <c r="O9209" i="1"/>
  <c r="E9209" i="1"/>
  <c r="B9209" i="1"/>
  <c r="O9208" i="1"/>
  <c r="E9208" i="1"/>
  <c r="B9208" i="1"/>
  <c r="O9207" i="1"/>
  <c r="E9207" i="1"/>
  <c r="B9207" i="1"/>
  <c r="O9206" i="1"/>
  <c r="E9206" i="1"/>
  <c r="B9206" i="1"/>
  <c r="O9205" i="1"/>
  <c r="E9205" i="1"/>
  <c r="B9205" i="1"/>
  <c r="O9204" i="1"/>
  <c r="E9204" i="1"/>
  <c r="B9204" i="1"/>
  <c r="O9203" i="1"/>
  <c r="E9203" i="1"/>
  <c r="B9203" i="1"/>
  <c r="O9202" i="1"/>
  <c r="E9202" i="1"/>
  <c r="B9202" i="1"/>
  <c r="O9201" i="1"/>
  <c r="E9201" i="1"/>
  <c r="B9201" i="1"/>
  <c r="O9200" i="1"/>
  <c r="E9200" i="1"/>
  <c r="B9200" i="1"/>
  <c r="O9199" i="1"/>
  <c r="E9199" i="1"/>
  <c r="B9199" i="1"/>
  <c r="O9198" i="1"/>
  <c r="E9198" i="1"/>
  <c r="B9198" i="1"/>
  <c r="O9197" i="1"/>
  <c r="E9197" i="1"/>
  <c r="B9197" i="1"/>
  <c r="O9196" i="1"/>
  <c r="E9196" i="1"/>
  <c r="B9196" i="1"/>
  <c r="O9195" i="1"/>
  <c r="E9195" i="1"/>
  <c r="B9195" i="1"/>
  <c r="O9194" i="1"/>
  <c r="E9194" i="1"/>
  <c r="B9194" i="1"/>
  <c r="O9193" i="1"/>
  <c r="E9193" i="1"/>
  <c r="B9193" i="1"/>
  <c r="O9192" i="1"/>
  <c r="E9192" i="1"/>
  <c r="B9192" i="1"/>
  <c r="O9191" i="1"/>
  <c r="E9191" i="1"/>
  <c r="B9191" i="1"/>
  <c r="O9190" i="1"/>
  <c r="E9190" i="1"/>
  <c r="B9190" i="1"/>
  <c r="O9189" i="1"/>
  <c r="E9189" i="1"/>
  <c r="B9189" i="1"/>
  <c r="O9188" i="1"/>
  <c r="E9188" i="1"/>
  <c r="B9188" i="1"/>
  <c r="O9187" i="1"/>
  <c r="E9187" i="1"/>
  <c r="B9187" i="1"/>
  <c r="O9186" i="1"/>
  <c r="E9186" i="1"/>
  <c r="B9186" i="1"/>
  <c r="O9185" i="1"/>
  <c r="E9185" i="1"/>
  <c r="B9185" i="1"/>
  <c r="O9184" i="1"/>
  <c r="E9184" i="1"/>
  <c r="B9184" i="1"/>
  <c r="O9183" i="1"/>
  <c r="E9183" i="1"/>
  <c r="B9183" i="1"/>
  <c r="O9182" i="1"/>
  <c r="E9182" i="1"/>
  <c r="B9182" i="1"/>
  <c r="O9181" i="1"/>
  <c r="E9181" i="1"/>
  <c r="B9181" i="1"/>
  <c r="O9180" i="1"/>
  <c r="E9180" i="1"/>
  <c r="B9180" i="1"/>
  <c r="O9179" i="1"/>
  <c r="E9179" i="1"/>
  <c r="B9179" i="1"/>
  <c r="O9178" i="1"/>
  <c r="E9178" i="1"/>
  <c r="B9178" i="1"/>
  <c r="O9177" i="1"/>
  <c r="E9177" i="1"/>
  <c r="B9177" i="1"/>
  <c r="O9176" i="1"/>
  <c r="E9176" i="1"/>
  <c r="B9176" i="1"/>
  <c r="O9175" i="1"/>
  <c r="E9175" i="1"/>
  <c r="B9175" i="1"/>
  <c r="O9174" i="1"/>
  <c r="E9174" i="1"/>
  <c r="B9174" i="1"/>
  <c r="O9173" i="1"/>
  <c r="E9173" i="1"/>
  <c r="B9173" i="1"/>
  <c r="O9172" i="1"/>
  <c r="E9172" i="1"/>
  <c r="B9172" i="1"/>
  <c r="O9171" i="1"/>
  <c r="E9171" i="1"/>
  <c r="B9171" i="1"/>
  <c r="O9170" i="1"/>
  <c r="E9170" i="1"/>
  <c r="B9170" i="1"/>
  <c r="O9169" i="1"/>
  <c r="E9169" i="1"/>
  <c r="B9169" i="1"/>
  <c r="O9168" i="1"/>
  <c r="E9168" i="1"/>
  <c r="B9168" i="1"/>
  <c r="O9167" i="1"/>
  <c r="E9167" i="1"/>
  <c r="B9167" i="1"/>
  <c r="O9166" i="1"/>
  <c r="E9166" i="1"/>
  <c r="B9166" i="1"/>
  <c r="O9165" i="1"/>
  <c r="E9165" i="1"/>
  <c r="B9165" i="1"/>
  <c r="O9164" i="1"/>
  <c r="E9164" i="1"/>
  <c r="B9164" i="1"/>
  <c r="O9163" i="1"/>
  <c r="E9163" i="1"/>
  <c r="B9163" i="1"/>
  <c r="O9162" i="1"/>
  <c r="E9162" i="1"/>
  <c r="B9162" i="1"/>
  <c r="O9161" i="1"/>
  <c r="E9161" i="1"/>
  <c r="B9161" i="1"/>
  <c r="O9160" i="1"/>
  <c r="E9160" i="1"/>
  <c r="B9160" i="1"/>
  <c r="O9159" i="1"/>
  <c r="E9159" i="1"/>
  <c r="B9159" i="1"/>
  <c r="O9158" i="1"/>
  <c r="E9158" i="1"/>
  <c r="B9158" i="1"/>
  <c r="O9157" i="1"/>
  <c r="E9157" i="1"/>
  <c r="B9157" i="1"/>
  <c r="O9156" i="1"/>
  <c r="E9156" i="1"/>
  <c r="B9156" i="1"/>
  <c r="O9155" i="1"/>
  <c r="E9155" i="1"/>
  <c r="B9155" i="1"/>
  <c r="O9154" i="1"/>
  <c r="E9154" i="1"/>
  <c r="B9154" i="1"/>
  <c r="O9153" i="1"/>
  <c r="E9153" i="1"/>
  <c r="B9153" i="1"/>
  <c r="O9152" i="1"/>
  <c r="E9152" i="1"/>
  <c r="B9152" i="1"/>
  <c r="O9151" i="1"/>
  <c r="E9151" i="1"/>
  <c r="B9151" i="1"/>
  <c r="O9150" i="1"/>
  <c r="E9150" i="1"/>
  <c r="B9150" i="1"/>
  <c r="O9149" i="1"/>
  <c r="E9149" i="1"/>
  <c r="B9149" i="1"/>
  <c r="O9148" i="1"/>
  <c r="E9148" i="1"/>
  <c r="B9148" i="1"/>
  <c r="O9147" i="1"/>
  <c r="E9147" i="1"/>
  <c r="B9147" i="1"/>
  <c r="O9146" i="1"/>
  <c r="E9146" i="1"/>
  <c r="B9146" i="1"/>
  <c r="O9145" i="1"/>
  <c r="E9145" i="1"/>
  <c r="B9145" i="1"/>
  <c r="O9144" i="1"/>
  <c r="E9144" i="1"/>
  <c r="B9144" i="1"/>
  <c r="O9143" i="1"/>
  <c r="E9143" i="1"/>
  <c r="B9143" i="1"/>
  <c r="O9142" i="1"/>
  <c r="E9142" i="1"/>
  <c r="B9142" i="1"/>
  <c r="O9141" i="1"/>
  <c r="E9141" i="1"/>
  <c r="B9141" i="1"/>
  <c r="O9140" i="1"/>
  <c r="E9140" i="1"/>
  <c r="B9140" i="1"/>
  <c r="O9139" i="1"/>
  <c r="E9139" i="1"/>
  <c r="B9139" i="1"/>
  <c r="O9138" i="1"/>
  <c r="E9138" i="1"/>
  <c r="B9138" i="1"/>
  <c r="O9137" i="1"/>
  <c r="E9137" i="1"/>
  <c r="B9137" i="1"/>
  <c r="O9136" i="1"/>
  <c r="E9136" i="1"/>
  <c r="B9136" i="1"/>
  <c r="O9135" i="1"/>
  <c r="E9135" i="1"/>
  <c r="B9135" i="1"/>
  <c r="O9134" i="1"/>
  <c r="E9134" i="1"/>
  <c r="B9134" i="1"/>
  <c r="O9133" i="1"/>
  <c r="E9133" i="1"/>
  <c r="B9133" i="1"/>
  <c r="O9132" i="1"/>
  <c r="E9132" i="1"/>
  <c r="B9132" i="1"/>
  <c r="O9131" i="1"/>
  <c r="E9131" i="1"/>
  <c r="B9131" i="1"/>
  <c r="O9130" i="1"/>
  <c r="E9130" i="1"/>
  <c r="B9130" i="1"/>
  <c r="O9129" i="1"/>
  <c r="E9129" i="1"/>
  <c r="B9129" i="1"/>
  <c r="O9128" i="1"/>
  <c r="E9128" i="1"/>
  <c r="B9128" i="1"/>
  <c r="O9127" i="1"/>
  <c r="E9127" i="1"/>
  <c r="B9127" i="1"/>
  <c r="O9126" i="1"/>
  <c r="E9126" i="1"/>
  <c r="B9126" i="1"/>
  <c r="O9125" i="1"/>
  <c r="E9125" i="1"/>
  <c r="B9125" i="1"/>
  <c r="O9124" i="1"/>
  <c r="E9124" i="1"/>
  <c r="B9124" i="1"/>
  <c r="O9123" i="1"/>
  <c r="E9123" i="1"/>
  <c r="B9123" i="1"/>
  <c r="O9122" i="1"/>
  <c r="E9122" i="1"/>
  <c r="B9122" i="1"/>
  <c r="O9121" i="1"/>
  <c r="E9121" i="1"/>
  <c r="B9121" i="1"/>
  <c r="O9120" i="1"/>
  <c r="E9120" i="1"/>
  <c r="B9120" i="1"/>
  <c r="O9119" i="1"/>
  <c r="E9119" i="1"/>
  <c r="B9119" i="1"/>
  <c r="O9118" i="1"/>
  <c r="E9118" i="1"/>
  <c r="B9118" i="1"/>
  <c r="O9117" i="1"/>
  <c r="E9117" i="1"/>
  <c r="B9117" i="1"/>
  <c r="O9116" i="1"/>
  <c r="E9116" i="1"/>
  <c r="B9116" i="1"/>
  <c r="O9115" i="1"/>
  <c r="E9115" i="1"/>
  <c r="B9115" i="1"/>
  <c r="O9114" i="1"/>
  <c r="E9114" i="1"/>
  <c r="B9114" i="1"/>
  <c r="O9113" i="1"/>
  <c r="E9113" i="1"/>
  <c r="B9113" i="1"/>
  <c r="O9112" i="1"/>
  <c r="E9112" i="1"/>
  <c r="B9112" i="1"/>
  <c r="O9111" i="1"/>
  <c r="E9111" i="1"/>
  <c r="B9111" i="1"/>
  <c r="O9110" i="1"/>
  <c r="E9110" i="1"/>
  <c r="B9110" i="1"/>
  <c r="O9109" i="1"/>
  <c r="E9109" i="1"/>
  <c r="B9109" i="1"/>
  <c r="O9108" i="1"/>
  <c r="E9108" i="1"/>
  <c r="B9108" i="1"/>
  <c r="O9107" i="1"/>
  <c r="E9107" i="1"/>
  <c r="B9107" i="1"/>
  <c r="O9106" i="1"/>
  <c r="E9106" i="1"/>
  <c r="B9106" i="1"/>
  <c r="O9105" i="1"/>
  <c r="E9105" i="1"/>
  <c r="B9105" i="1"/>
  <c r="O9104" i="1"/>
  <c r="E9104" i="1"/>
  <c r="B9104" i="1"/>
  <c r="O9103" i="1"/>
  <c r="E9103" i="1"/>
  <c r="B9103" i="1"/>
  <c r="O9102" i="1"/>
  <c r="E9102" i="1"/>
  <c r="B9102" i="1"/>
  <c r="O9101" i="1"/>
  <c r="E9101" i="1"/>
  <c r="B9101" i="1"/>
  <c r="O9100" i="1"/>
  <c r="E9100" i="1"/>
  <c r="B9100" i="1"/>
  <c r="O9099" i="1"/>
  <c r="E9099" i="1"/>
  <c r="B9099" i="1"/>
  <c r="O9098" i="1"/>
  <c r="E9098" i="1"/>
  <c r="B9098" i="1"/>
  <c r="O9097" i="1"/>
  <c r="E9097" i="1"/>
  <c r="B9097" i="1"/>
  <c r="O9096" i="1"/>
  <c r="E9096" i="1"/>
  <c r="B9096" i="1"/>
  <c r="O9095" i="1"/>
  <c r="E9095" i="1"/>
  <c r="B9095" i="1"/>
  <c r="O9094" i="1"/>
  <c r="E9094" i="1"/>
  <c r="B9094" i="1"/>
  <c r="O9093" i="1"/>
  <c r="E9093" i="1"/>
  <c r="B9093" i="1"/>
  <c r="O9092" i="1"/>
  <c r="E9092" i="1"/>
  <c r="B9092" i="1"/>
  <c r="O9091" i="1"/>
  <c r="E9091" i="1"/>
  <c r="B9091" i="1"/>
  <c r="O9090" i="1"/>
  <c r="E9090" i="1"/>
  <c r="B9090" i="1"/>
  <c r="O9089" i="1"/>
  <c r="E9089" i="1"/>
  <c r="B9089" i="1"/>
  <c r="O9088" i="1"/>
  <c r="E9088" i="1"/>
  <c r="B9088" i="1"/>
  <c r="O9087" i="1"/>
  <c r="E9087" i="1"/>
  <c r="B9087" i="1"/>
  <c r="O9086" i="1"/>
  <c r="E9086" i="1"/>
  <c r="B9086" i="1"/>
  <c r="O9085" i="1"/>
  <c r="E9085" i="1"/>
  <c r="B9085" i="1"/>
  <c r="O9084" i="1"/>
  <c r="E9084" i="1"/>
  <c r="B9084" i="1"/>
  <c r="O9083" i="1"/>
  <c r="E9083" i="1"/>
  <c r="B9083" i="1"/>
  <c r="O9082" i="1"/>
  <c r="E9082" i="1"/>
  <c r="B9082" i="1"/>
  <c r="O9081" i="1"/>
  <c r="E9081" i="1"/>
  <c r="B9081" i="1"/>
  <c r="O9080" i="1"/>
  <c r="E9080" i="1"/>
  <c r="B9080" i="1"/>
  <c r="O9079" i="1"/>
  <c r="E9079" i="1"/>
  <c r="B9079" i="1"/>
  <c r="O9078" i="1"/>
  <c r="E9078" i="1"/>
  <c r="B9078" i="1"/>
  <c r="O9077" i="1"/>
  <c r="E9077" i="1"/>
  <c r="B9077" i="1"/>
  <c r="O9076" i="1"/>
  <c r="E9076" i="1"/>
  <c r="B9076" i="1"/>
  <c r="O9075" i="1"/>
  <c r="E9075" i="1"/>
  <c r="B9075" i="1"/>
  <c r="O9074" i="1"/>
  <c r="E9074" i="1"/>
  <c r="B9074" i="1"/>
  <c r="O9073" i="1"/>
  <c r="E9073" i="1"/>
  <c r="B9073" i="1"/>
  <c r="O9072" i="1"/>
  <c r="E9072" i="1"/>
  <c r="B9072" i="1"/>
  <c r="O9071" i="1"/>
  <c r="E9071" i="1"/>
  <c r="B9071" i="1"/>
  <c r="O9070" i="1"/>
  <c r="E9070" i="1"/>
  <c r="B9070" i="1"/>
  <c r="O9069" i="1"/>
  <c r="E9069" i="1"/>
  <c r="B9069" i="1"/>
  <c r="O9068" i="1"/>
  <c r="E9068" i="1"/>
  <c r="B9068" i="1"/>
  <c r="O9067" i="1"/>
  <c r="E9067" i="1"/>
  <c r="B9067" i="1"/>
  <c r="O9066" i="1"/>
  <c r="E9066" i="1"/>
  <c r="B9066" i="1"/>
  <c r="O9065" i="1"/>
  <c r="E9065" i="1"/>
  <c r="B9065" i="1"/>
  <c r="O9064" i="1"/>
  <c r="E9064" i="1"/>
  <c r="B9064" i="1"/>
  <c r="O9063" i="1"/>
  <c r="E9063" i="1"/>
  <c r="B9063" i="1"/>
  <c r="O9062" i="1"/>
  <c r="E9062" i="1"/>
  <c r="B9062" i="1"/>
  <c r="O9061" i="1"/>
  <c r="E9061" i="1"/>
  <c r="B9061" i="1"/>
  <c r="O9060" i="1"/>
  <c r="E9060" i="1"/>
  <c r="B9060" i="1"/>
  <c r="O9059" i="1"/>
  <c r="E9059" i="1"/>
  <c r="B9059" i="1"/>
  <c r="O9058" i="1"/>
  <c r="E9058" i="1"/>
  <c r="B9058" i="1"/>
  <c r="O9057" i="1"/>
  <c r="E9057" i="1"/>
  <c r="B9057" i="1"/>
  <c r="O9056" i="1"/>
  <c r="E9056" i="1"/>
  <c r="B9056" i="1"/>
  <c r="O9055" i="1"/>
  <c r="E9055" i="1"/>
  <c r="B9055" i="1"/>
  <c r="O9054" i="1"/>
  <c r="E9054" i="1"/>
  <c r="B9054" i="1"/>
  <c r="O9053" i="1"/>
  <c r="E9053" i="1"/>
  <c r="B9053" i="1"/>
  <c r="O9052" i="1"/>
  <c r="E9052" i="1"/>
  <c r="B9052" i="1"/>
  <c r="O9051" i="1"/>
  <c r="E9051" i="1"/>
  <c r="B9051" i="1"/>
  <c r="O9050" i="1"/>
  <c r="E9050" i="1"/>
  <c r="B9050" i="1"/>
  <c r="O9049" i="1"/>
  <c r="E9049" i="1"/>
  <c r="B9049" i="1"/>
  <c r="O9048" i="1"/>
  <c r="E9048" i="1"/>
  <c r="B9048" i="1"/>
  <c r="O9047" i="1"/>
  <c r="E9047" i="1"/>
  <c r="B9047" i="1"/>
  <c r="O9046" i="1"/>
  <c r="E9046" i="1"/>
  <c r="B9046" i="1"/>
  <c r="O9045" i="1"/>
  <c r="E9045" i="1"/>
  <c r="B9045" i="1"/>
  <c r="O9044" i="1"/>
  <c r="E9044" i="1"/>
  <c r="B9044" i="1"/>
  <c r="O9043" i="1"/>
  <c r="E9043" i="1"/>
  <c r="B9043" i="1"/>
  <c r="O9042" i="1"/>
  <c r="E9042" i="1"/>
  <c r="B9042" i="1"/>
  <c r="O9041" i="1"/>
  <c r="E9041" i="1"/>
  <c r="B9041" i="1"/>
  <c r="O9040" i="1"/>
  <c r="E9040" i="1"/>
  <c r="B9040" i="1"/>
  <c r="O9039" i="1"/>
  <c r="E9039" i="1"/>
  <c r="B9039" i="1"/>
  <c r="O9038" i="1"/>
  <c r="E9038" i="1"/>
  <c r="B9038" i="1"/>
  <c r="O9037" i="1"/>
  <c r="E9037" i="1"/>
  <c r="B9037" i="1"/>
  <c r="O9036" i="1"/>
  <c r="E9036" i="1"/>
  <c r="B9036" i="1"/>
  <c r="O9035" i="1"/>
  <c r="E9035" i="1"/>
  <c r="B9035" i="1"/>
  <c r="O9034" i="1"/>
  <c r="E9034" i="1"/>
  <c r="B9034" i="1"/>
  <c r="O9033" i="1"/>
  <c r="E9033" i="1"/>
  <c r="B9033" i="1"/>
  <c r="O9032" i="1"/>
  <c r="E9032" i="1"/>
  <c r="B9032" i="1"/>
  <c r="O9031" i="1"/>
  <c r="E9031" i="1"/>
  <c r="B9031" i="1"/>
  <c r="O9030" i="1"/>
  <c r="E9030" i="1"/>
  <c r="B9030" i="1"/>
  <c r="O9029" i="1"/>
  <c r="E9029" i="1"/>
  <c r="B9029" i="1"/>
  <c r="O9028" i="1"/>
  <c r="E9028" i="1"/>
  <c r="B9028" i="1"/>
  <c r="O9027" i="1"/>
  <c r="E9027" i="1"/>
  <c r="B9027" i="1"/>
  <c r="O9026" i="1"/>
  <c r="E9026" i="1"/>
  <c r="B9026" i="1"/>
  <c r="O9025" i="1"/>
  <c r="E9025" i="1"/>
  <c r="B9025" i="1"/>
  <c r="O9024" i="1"/>
  <c r="E9024" i="1"/>
  <c r="B9024" i="1"/>
  <c r="O9023" i="1"/>
  <c r="E9023" i="1"/>
  <c r="B9023" i="1"/>
  <c r="O9022" i="1"/>
  <c r="E9022" i="1"/>
  <c r="B9022" i="1"/>
  <c r="O9021" i="1"/>
  <c r="E9021" i="1"/>
  <c r="B9021" i="1"/>
  <c r="O9020" i="1"/>
  <c r="E9020" i="1"/>
  <c r="B9020" i="1"/>
  <c r="O9019" i="1"/>
  <c r="E9019" i="1"/>
  <c r="B9019" i="1"/>
  <c r="O9018" i="1"/>
  <c r="E9018" i="1"/>
  <c r="B9018" i="1"/>
  <c r="O9017" i="1"/>
  <c r="E9017" i="1"/>
  <c r="B9017" i="1"/>
  <c r="O9016" i="1"/>
  <c r="E9016" i="1"/>
  <c r="B9016" i="1"/>
  <c r="O9015" i="1"/>
  <c r="E9015" i="1"/>
  <c r="B9015" i="1"/>
  <c r="O9014" i="1"/>
  <c r="E9014" i="1"/>
  <c r="B9014" i="1"/>
  <c r="O9013" i="1"/>
  <c r="E9013" i="1"/>
  <c r="B9013" i="1"/>
  <c r="O9012" i="1"/>
  <c r="E9012" i="1"/>
  <c r="B9012" i="1"/>
  <c r="O9011" i="1"/>
  <c r="E9011" i="1"/>
  <c r="B9011" i="1"/>
  <c r="O9010" i="1"/>
  <c r="E9010" i="1"/>
  <c r="B9010" i="1"/>
  <c r="O9009" i="1"/>
  <c r="E9009" i="1"/>
  <c r="B9009" i="1"/>
  <c r="O9008" i="1"/>
  <c r="E9008" i="1"/>
  <c r="B9008" i="1"/>
  <c r="O9007" i="1"/>
  <c r="E9007" i="1"/>
  <c r="B9007" i="1"/>
  <c r="O9006" i="1"/>
  <c r="E9006" i="1"/>
  <c r="B9006" i="1"/>
  <c r="O9005" i="1"/>
  <c r="E9005" i="1"/>
  <c r="B9005" i="1"/>
  <c r="O9004" i="1"/>
  <c r="E9004" i="1"/>
  <c r="B9004" i="1"/>
  <c r="O9003" i="1"/>
  <c r="E9003" i="1"/>
  <c r="B9003" i="1"/>
  <c r="O9002" i="1"/>
  <c r="E9002" i="1"/>
  <c r="B9002" i="1"/>
  <c r="O9001" i="1"/>
  <c r="E9001" i="1"/>
  <c r="B9001" i="1"/>
  <c r="O9000" i="1"/>
  <c r="E9000" i="1"/>
  <c r="B9000" i="1"/>
  <c r="O8999" i="1"/>
  <c r="E8999" i="1"/>
  <c r="B8999" i="1"/>
  <c r="O8998" i="1"/>
  <c r="E8998" i="1"/>
  <c r="B8998" i="1"/>
  <c r="O8997" i="1"/>
  <c r="E8997" i="1"/>
  <c r="B8997" i="1"/>
  <c r="O8996" i="1"/>
  <c r="E8996" i="1"/>
  <c r="B8996" i="1"/>
  <c r="O8995" i="1"/>
  <c r="E8995" i="1"/>
  <c r="B8995" i="1"/>
  <c r="O8994" i="1"/>
  <c r="E8994" i="1"/>
  <c r="B8994" i="1"/>
  <c r="O8993" i="1"/>
  <c r="E8993" i="1"/>
  <c r="B8993" i="1"/>
  <c r="O8992" i="1"/>
  <c r="E8992" i="1"/>
  <c r="B8992" i="1"/>
  <c r="O8991" i="1"/>
  <c r="E8991" i="1"/>
  <c r="B8991" i="1"/>
  <c r="O8990" i="1"/>
  <c r="E8990" i="1"/>
  <c r="B8990" i="1"/>
  <c r="O8989" i="1"/>
  <c r="E8989" i="1"/>
  <c r="B8989" i="1"/>
  <c r="O8988" i="1"/>
  <c r="E8988" i="1"/>
  <c r="B8988" i="1"/>
  <c r="O8987" i="1"/>
  <c r="E8987" i="1"/>
  <c r="B8987" i="1"/>
  <c r="O8986" i="1"/>
  <c r="E8986" i="1"/>
  <c r="B8986" i="1"/>
  <c r="O8985" i="1"/>
  <c r="E8985" i="1"/>
  <c r="B8985" i="1"/>
  <c r="O8984" i="1"/>
  <c r="E8984" i="1"/>
  <c r="B8984" i="1"/>
  <c r="O8983" i="1"/>
  <c r="E8983" i="1"/>
  <c r="B8983" i="1"/>
  <c r="O8982" i="1"/>
  <c r="E8982" i="1"/>
  <c r="B8982" i="1"/>
  <c r="O8981" i="1"/>
  <c r="E8981" i="1"/>
  <c r="B8981" i="1"/>
  <c r="O8980" i="1"/>
  <c r="E8980" i="1"/>
  <c r="B8980" i="1"/>
  <c r="O8979" i="1"/>
  <c r="E8979" i="1"/>
  <c r="B8979" i="1"/>
  <c r="O8978" i="1"/>
  <c r="E8978" i="1"/>
  <c r="B8978" i="1"/>
  <c r="O8977" i="1"/>
  <c r="E8977" i="1"/>
  <c r="B8977" i="1"/>
  <c r="O8976" i="1"/>
  <c r="E8976" i="1"/>
  <c r="B8976" i="1"/>
  <c r="O8975" i="1"/>
  <c r="E8975" i="1"/>
  <c r="B8975" i="1"/>
  <c r="O8974" i="1"/>
  <c r="E8974" i="1"/>
  <c r="B8974" i="1"/>
  <c r="O8973" i="1"/>
  <c r="E8973" i="1"/>
  <c r="B8973" i="1"/>
  <c r="O8972" i="1"/>
  <c r="E8972" i="1"/>
  <c r="B8972" i="1"/>
  <c r="O8971" i="1"/>
  <c r="E8971" i="1"/>
  <c r="B8971" i="1"/>
  <c r="O8970" i="1"/>
  <c r="E8970" i="1"/>
  <c r="B8970" i="1"/>
  <c r="O8969" i="1"/>
  <c r="E8969" i="1"/>
  <c r="B8969" i="1"/>
  <c r="O8968" i="1"/>
  <c r="E8968" i="1"/>
  <c r="B8968" i="1"/>
  <c r="O8967" i="1"/>
  <c r="E8967" i="1"/>
  <c r="B8967" i="1"/>
  <c r="O8966" i="1"/>
  <c r="E8966" i="1"/>
  <c r="B8966" i="1"/>
  <c r="O8965" i="1"/>
  <c r="E8965" i="1"/>
  <c r="B8965" i="1"/>
  <c r="O8964" i="1"/>
  <c r="E8964" i="1"/>
  <c r="B8964" i="1"/>
  <c r="O8963" i="1"/>
  <c r="E8963" i="1"/>
  <c r="B8963" i="1"/>
  <c r="O8962" i="1"/>
  <c r="E8962" i="1"/>
  <c r="B8962" i="1"/>
  <c r="O8961" i="1"/>
  <c r="E8961" i="1"/>
  <c r="B8961" i="1"/>
  <c r="O8960" i="1"/>
  <c r="E8960" i="1"/>
  <c r="B8960" i="1"/>
  <c r="O8959" i="1"/>
  <c r="E8959" i="1"/>
  <c r="B8959" i="1"/>
  <c r="O8958" i="1"/>
  <c r="E8958" i="1"/>
  <c r="B8958" i="1"/>
  <c r="O8957" i="1"/>
  <c r="E8957" i="1"/>
  <c r="B8957" i="1"/>
  <c r="O8956" i="1"/>
  <c r="E8956" i="1"/>
  <c r="B8956" i="1"/>
  <c r="O8955" i="1"/>
  <c r="E8955" i="1"/>
  <c r="B8955" i="1"/>
  <c r="O8954" i="1"/>
  <c r="E8954" i="1"/>
  <c r="B8954" i="1"/>
  <c r="O8953" i="1"/>
  <c r="E8953" i="1"/>
  <c r="B8953" i="1"/>
  <c r="O8952" i="1"/>
  <c r="E8952" i="1"/>
  <c r="B8952" i="1"/>
  <c r="O8951" i="1"/>
  <c r="E8951" i="1"/>
  <c r="B8951" i="1"/>
  <c r="O8950" i="1"/>
  <c r="E8950" i="1"/>
  <c r="B8950" i="1"/>
  <c r="O8949" i="1"/>
  <c r="E8949" i="1"/>
  <c r="B8949" i="1"/>
  <c r="O8948" i="1"/>
  <c r="E8948" i="1"/>
  <c r="B8948" i="1"/>
  <c r="O8947" i="1"/>
  <c r="E8947" i="1"/>
  <c r="B8947" i="1"/>
  <c r="O8946" i="1"/>
  <c r="E8946" i="1"/>
  <c r="B8946" i="1"/>
  <c r="O8945" i="1"/>
  <c r="E8945" i="1"/>
  <c r="B8945" i="1"/>
  <c r="O8944" i="1"/>
  <c r="E8944" i="1"/>
  <c r="B8944" i="1"/>
  <c r="O8943" i="1"/>
  <c r="E8943" i="1"/>
  <c r="B8943" i="1"/>
  <c r="O8942" i="1"/>
  <c r="E8942" i="1"/>
  <c r="B8942" i="1"/>
  <c r="O8941" i="1"/>
  <c r="E8941" i="1"/>
  <c r="B8941" i="1"/>
  <c r="O8940" i="1"/>
  <c r="E8940" i="1"/>
  <c r="B8940" i="1"/>
  <c r="O8939" i="1"/>
  <c r="E8939" i="1"/>
  <c r="B8939" i="1"/>
  <c r="O8938" i="1"/>
  <c r="E8938" i="1"/>
  <c r="B8938" i="1"/>
  <c r="O8937" i="1"/>
  <c r="E8937" i="1"/>
  <c r="B8937" i="1"/>
  <c r="O8936" i="1"/>
  <c r="E8936" i="1"/>
  <c r="B8936" i="1"/>
  <c r="O8935" i="1"/>
  <c r="E8935" i="1"/>
  <c r="B8935" i="1"/>
  <c r="O8934" i="1"/>
  <c r="E8934" i="1"/>
  <c r="B8934" i="1"/>
  <c r="O8933" i="1"/>
  <c r="E8933" i="1"/>
  <c r="B8933" i="1"/>
  <c r="O8932" i="1"/>
  <c r="E8932" i="1"/>
  <c r="B8932" i="1"/>
  <c r="O8931" i="1"/>
  <c r="E8931" i="1"/>
  <c r="B8931" i="1"/>
  <c r="O8930" i="1"/>
  <c r="E8930" i="1"/>
  <c r="B8930" i="1"/>
  <c r="O8929" i="1"/>
  <c r="E8929" i="1"/>
  <c r="B8929" i="1"/>
  <c r="O8928" i="1"/>
  <c r="E8928" i="1"/>
  <c r="B8928" i="1"/>
  <c r="O8927" i="1"/>
  <c r="E8927" i="1"/>
  <c r="B8927" i="1"/>
  <c r="O8926" i="1"/>
  <c r="E8926" i="1"/>
  <c r="B8926" i="1"/>
  <c r="O8925" i="1"/>
  <c r="E8925" i="1"/>
  <c r="B8925" i="1"/>
  <c r="O8924" i="1"/>
  <c r="E8924" i="1"/>
  <c r="B8924" i="1"/>
  <c r="O8923" i="1"/>
  <c r="E8923" i="1"/>
  <c r="B8923" i="1"/>
  <c r="O8922" i="1"/>
  <c r="E8922" i="1"/>
  <c r="B8922" i="1"/>
  <c r="O8921" i="1"/>
  <c r="E8921" i="1"/>
  <c r="B8921" i="1"/>
  <c r="O8920" i="1"/>
  <c r="E8920" i="1"/>
  <c r="B8920" i="1"/>
  <c r="O8919" i="1"/>
  <c r="E8919" i="1"/>
  <c r="B8919" i="1"/>
  <c r="O8918" i="1"/>
  <c r="E8918" i="1"/>
  <c r="B8918" i="1"/>
  <c r="O8917" i="1"/>
  <c r="E8917" i="1"/>
  <c r="B8917" i="1"/>
  <c r="O8916" i="1"/>
  <c r="E8916" i="1"/>
  <c r="B8916" i="1"/>
  <c r="O8915" i="1"/>
  <c r="E8915" i="1"/>
  <c r="B8915" i="1"/>
  <c r="O8914" i="1"/>
  <c r="E8914" i="1"/>
  <c r="B8914" i="1"/>
  <c r="O8913" i="1"/>
  <c r="E8913" i="1"/>
  <c r="B8913" i="1"/>
  <c r="O8912" i="1"/>
  <c r="E8912" i="1"/>
  <c r="B8912" i="1"/>
  <c r="O8911" i="1"/>
  <c r="E8911" i="1"/>
  <c r="B8911" i="1"/>
  <c r="O8910" i="1"/>
  <c r="E8910" i="1"/>
  <c r="B8910" i="1"/>
  <c r="O8909" i="1"/>
  <c r="E8909" i="1"/>
  <c r="B8909" i="1"/>
  <c r="O8908" i="1"/>
  <c r="E8908" i="1"/>
  <c r="B8908" i="1"/>
  <c r="O8907" i="1"/>
  <c r="E8907" i="1"/>
  <c r="B8907" i="1"/>
  <c r="O8906" i="1"/>
  <c r="E8906" i="1"/>
  <c r="B8906" i="1"/>
  <c r="O8905" i="1"/>
  <c r="E8905" i="1"/>
  <c r="B8905" i="1"/>
  <c r="O8904" i="1"/>
  <c r="E8904" i="1"/>
  <c r="B8904" i="1"/>
  <c r="O8903" i="1"/>
  <c r="E8903" i="1"/>
  <c r="B8903" i="1"/>
  <c r="O8902" i="1"/>
  <c r="E8902" i="1"/>
  <c r="B8902" i="1"/>
  <c r="O8901" i="1"/>
  <c r="E8901" i="1"/>
  <c r="B8901" i="1"/>
  <c r="O8900" i="1"/>
  <c r="E8900" i="1"/>
  <c r="B8900" i="1"/>
  <c r="O8899" i="1"/>
  <c r="E8899" i="1"/>
  <c r="B8899" i="1"/>
  <c r="O8898" i="1"/>
  <c r="E8898" i="1"/>
  <c r="B8898" i="1"/>
  <c r="O8897" i="1"/>
  <c r="E8897" i="1"/>
  <c r="B8897" i="1"/>
  <c r="O8896" i="1"/>
  <c r="E8896" i="1"/>
  <c r="B8896" i="1"/>
  <c r="O8895" i="1"/>
  <c r="E8895" i="1"/>
  <c r="B8895" i="1"/>
  <c r="O8894" i="1"/>
  <c r="E8894" i="1"/>
  <c r="B8894" i="1"/>
  <c r="O8893" i="1"/>
  <c r="E8893" i="1"/>
  <c r="B8893" i="1"/>
  <c r="O8892" i="1"/>
  <c r="E8892" i="1"/>
  <c r="B8892" i="1"/>
  <c r="O8891" i="1"/>
  <c r="E8891" i="1"/>
  <c r="B8891" i="1"/>
  <c r="O8890" i="1"/>
  <c r="E8890" i="1"/>
  <c r="B8890" i="1"/>
  <c r="O8889" i="1"/>
  <c r="E8889" i="1"/>
  <c r="B8889" i="1"/>
  <c r="O8888" i="1"/>
  <c r="E8888" i="1"/>
  <c r="B8888" i="1"/>
  <c r="O8887" i="1"/>
  <c r="E8887" i="1"/>
  <c r="B8887" i="1"/>
  <c r="O8886" i="1"/>
  <c r="E8886" i="1"/>
  <c r="B8886" i="1"/>
  <c r="O8885" i="1"/>
  <c r="E8885" i="1"/>
  <c r="B8885" i="1"/>
  <c r="O8884" i="1"/>
  <c r="E8884" i="1"/>
  <c r="B8884" i="1"/>
  <c r="O8883" i="1"/>
  <c r="E8883" i="1"/>
  <c r="B8883" i="1"/>
  <c r="O8882" i="1"/>
  <c r="E8882" i="1"/>
  <c r="B8882" i="1"/>
  <c r="O8881" i="1"/>
  <c r="E8881" i="1"/>
  <c r="B8881" i="1"/>
  <c r="O8880" i="1"/>
  <c r="E8880" i="1"/>
  <c r="B8880" i="1"/>
  <c r="O8879" i="1"/>
  <c r="E8879" i="1"/>
  <c r="B8879" i="1"/>
  <c r="O8878" i="1"/>
  <c r="E8878" i="1"/>
  <c r="B8878" i="1"/>
  <c r="O8877" i="1"/>
  <c r="E8877" i="1"/>
  <c r="B8877" i="1"/>
  <c r="O8876" i="1"/>
  <c r="E8876" i="1"/>
  <c r="B8876" i="1"/>
  <c r="O8875" i="1"/>
  <c r="E8875" i="1"/>
  <c r="B8875" i="1"/>
  <c r="O8874" i="1"/>
  <c r="E8874" i="1"/>
  <c r="B8874" i="1"/>
  <c r="O8873" i="1"/>
  <c r="E8873" i="1"/>
  <c r="B8873" i="1"/>
  <c r="O8872" i="1"/>
  <c r="E8872" i="1"/>
  <c r="B8872" i="1"/>
  <c r="O8871" i="1"/>
  <c r="E8871" i="1"/>
  <c r="B8871" i="1"/>
  <c r="O8870" i="1"/>
  <c r="E8870" i="1"/>
  <c r="B8870" i="1"/>
  <c r="O8869" i="1"/>
  <c r="E8869" i="1"/>
  <c r="B8869" i="1"/>
  <c r="O8868" i="1"/>
  <c r="E8868" i="1"/>
  <c r="B8868" i="1"/>
  <c r="O8867" i="1"/>
  <c r="E8867" i="1"/>
  <c r="B8867" i="1"/>
  <c r="O8866" i="1"/>
  <c r="E8866" i="1"/>
  <c r="B8866" i="1"/>
  <c r="O8865" i="1"/>
  <c r="E8865" i="1"/>
  <c r="B8865" i="1"/>
  <c r="O8864" i="1"/>
  <c r="E8864" i="1"/>
  <c r="B8864" i="1"/>
  <c r="O8863" i="1"/>
  <c r="E8863" i="1"/>
  <c r="B8863" i="1"/>
  <c r="O8862" i="1"/>
  <c r="E8862" i="1"/>
  <c r="B8862" i="1"/>
  <c r="O8861" i="1"/>
  <c r="E8861" i="1"/>
  <c r="B8861" i="1"/>
  <c r="O8860" i="1"/>
  <c r="E8860" i="1"/>
  <c r="B8860" i="1"/>
  <c r="O8859" i="1"/>
  <c r="E8859" i="1"/>
  <c r="B8859" i="1"/>
  <c r="O8858" i="1"/>
  <c r="E8858" i="1"/>
  <c r="B8858" i="1"/>
  <c r="O8857" i="1"/>
  <c r="E8857" i="1"/>
  <c r="B8857" i="1"/>
  <c r="O8856" i="1"/>
  <c r="E8856" i="1"/>
  <c r="B8856" i="1"/>
  <c r="O8855" i="1"/>
  <c r="E8855" i="1"/>
  <c r="B8855" i="1"/>
  <c r="O8854" i="1"/>
  <c r="E8854" i="1"/>
  <c r="B8854" i="1"/>
  <c r="O8853" i="1"/>
  <c r="E8853" i="1"/>
  <c r="B8853" i="1"/>
  <c r="O8852" i="1"/>
  <c r="E8852" i="1"/>
  <c r="B8852" i="1"/>
  <c r="O8851" i="1"/>
  <c r="E8851" i="1"/>
  <c r="B8851" i="1"/>
  <c r="O8850" i="1"/>
  <c r="E8850" i="1"/>
  <c r="B8850" i="1"/>
  <c r="O8849" i="1"/>
  <c r="E8849" i="1"/>
  <c r="B8849" i="1"/>
  <c r="O8848" i="1"/>
  <c r="E8848" i="1"/>
  <c r="B8848" i="1"/>
  <c r="O8847" i="1"/>
  <c r="E8847" i="1"/>
  <c r="B8847" i="1"/>
  <c r="O8846" i="1"/>
  <c r="E8846" i="1"/>
  <c r="B8846" i="1"/>
  <c r="O8845" i="1"/>
  <c r="E8845" i="1"/>
  <c r="B8845" i="1"/>
  <c r="O8844" i="1"/>
  <c r="E8844" i="1"/>
  <c r="B8844" i="1"/>
  <c r="O8843" i="1"/>
  <c r="E8843" i="1"/>
  <c r="B8843" i="1"/>
  <c r="O8842" i="1"/>
  <c r="E8842" i="1"/>
  <c r="B8842" i="1"/>
  <c r="O8841" i="1"/>
  <c r="E8841" i="1"/>
  <c r="B8841" i="1"/>
  <c r="O8840" i="1"/>
  <c r="E8840" i="1"/>
  <c r="B8840" i="1"/>
  <c r="O8839" i="1"/>
  <c r="E8839" i="1"/>
  <c r="B8839" i="1"/>
  <c r="O8838" i="1"/>
  <c r="E8838" i="1"/>
  <c r="B8838" i="1"/>
  <c r="O8837" i="1"/>
  <c r="E8837" i="1"/>
  <c r="B8837" i="1"/>
  <c r="O8836" i="1"/>
  <c r="E8836" i="1"/>
  <c r="B8836" i="1"/>
  <c r="O8835" i="1"/>
  <c r="E8835" i="1"/>
  <c r="B8835" i="1"/>
  <c r="O8834" i="1"/>
  <c r="E8834" i="1"/>
  <c r="B8834" i="1"/>
  <c r="O8833" i="1"/>
  <c r="E8833" i="1"/>
  <c r="B8833" i="1"/>
  <c r="O8832" i="1"/>
  <c r="E8832" i="1"/>
  <c r="B8832" i="1"/>
  <c r="O8831" i="1"/>
  <c r="E8831" i="1"/>
  <c r="B8831" i="1"/>
  <c r="O8830" i="1"/>
  <c r="E8830" i="1"/>
  <c r="B8830" i="1"/>
  <c r="O8829" i="1"/>
  <c r="E8829" i="1"/>
  <c r="B8829" i="1"/>
  <c r="O8828" i="1"/>
  <c r="E8828" i="1"/>
  <c r="B8828" i="1"/>
  <c r="O8827" i="1"/>
  <c r="E8827" i="1"/>
  <c r="B8827" i="1"/>
  <c r="O8826" i="1"/>
  <c r="E8826" i="1"/>
  <c r="B8826" i="1"/>
  <c r="O8825" i="1"/>
  <c r="E8825" i="1"/>
  <c r="B8825" i="1"/>
  <c r="O8824" i="1"/>
  <c r="E8824" i="1"/>
  <c r="B8824" i="1"/>
  <c r="O8823" i="1"/>
  <c r="E8823" i="1"/>
  <c r="B8823" i="1"/>
  <c r="O8822" i="1"/>
  <c r="E8822" i="1"/>
  <c r="B8822" i="1"/>
  <c r="O8821" i="1"/>
  <c r="E8821" i="1"/>
  <c r="B8821" i="1"/>
  <c r="O8820" i="1"/>
  <c r="E8820" i="1"/>
  <c r="B8820" i="1"/>
  <c r="O8819" i="1"/>
  <c r="E8819" i="1"/>
  <c r="B8819" i="1"/>
  <c r="O8818" i="1"/>
  <c r="E8818" i="1"/>
  <c r="B8818" i="1"/>
  <c r="O8817" i="1"/>
  <c r="E8817" i="1"/>
  <c r="B8817" i="1"/>
  <c r="O8816" i="1"/>
  <c r="E8816" i="1"/>
  <c r="B8816" i="1"/>
  <c r="O8815" i="1"/>
  <c r="E8815" i="1"/>
  <c r="B8815" i="1"/>
  <c r="O8814" i="1"/>
  <c r="E8814" i="1"/>
  <c r="B8814" i="1"/>
  <c r="O8813" i="1"/>
  <c r="E8813" i="1"/>
  <c r="B8813" i="1"/>
  <c r="O8812" i="1"/>
  <c r="E8812" i="1"/>
  <c r="B8812" i="1"/>
  <c r="O8811" i="1"/>
  <c r="E8811" i="1"/>
  <c r="B8811" i="1"/>
  <c r="O8810" i="1"/>
  <c r="E8810" i="1"/>
  <c r="B8810" i="1"/>
  <c r="O8809" i="1"/>
  <c r="E8809" i="1"/>
  <c r="B8809" i="1"/>
  <c r="O8808" i="1"/>
  <c r="E8808" i="1"/>
  <c r="B8808" i="1"/>
  <c r="O8807" i="1"/>
  <c r="E8807" i="1"/>
  <c r="B8807" i="1"/>
  <c r="O8806" i="1"/>
  <c r="E8806" i="1"/>
  <c r="B8806" i="1"/>
  <c r="O8805" i="1"/>
  <c r="E8805" i="1"/>
  <c r="B8805" i="1"/>
  <c r="O8804" i="1"/>
  <c r="E8804" i="1"/>
  <c r="B8804" i="1"/>
  <c r="O8803" i="1"/>
  <c r="E8803" i="1"/>
  <c r="B8803" i="1"/>
  <c r="O8802" i="1"/>
  <c r="E8802" i="1"/>
  <c r="B8802" i="1"/>
  <c r="O8801" i="1"/>
  <c r="E8801" i="1"/>
  <c r="B8801" i="1"/>
  <c r="O8800" i="1"/>
  <c r="E8800" i="1"/>
  <c r="B8800" i="1"/>
  <c r="O8799" i="1"/>
  <c r="E8799" i="1"/>
  <c r="B8799" i="1"/>
  <c r="O8798" i="1"/>
  <c r="E8798" i="1"/>
  <c r="B8798" i="1"/>
  <c r="O8797" i="1"/>
  <c r="E8797" i="1"/>
  <c r="B8797" i="1"/>
  <c r="O8796" i="1"/>
  <c r="E8796" i="1"/>
  <c r="B8796" i="1"/>
  <c r="O8795" i="1"/>
  <c r="E8795" i="1"/>
  <c r="B8795" i="1"/>
  <c r="O8794" i="1"/>
  <c r="E8794" i="1"/>
  <c r="B8794" i="1"/>
  <c r="O8793" i="1"/>
  <c r="E8793" i="1"/>
  <c r="B8793" i="1"/>
  <c r="O8792" i="1"/>
  <c r="E8792" i="1"/>
  <c r="B8792" i="1"/>
  <c r="O8791" i="1"/>
  <c r="E8791" i="1"/>
  <c r="B8791" i="1"/>
  <c r="O8790" i="1"/>
  <c r="E8790" i="1"/>
  <c r="B8790" i="1"/>
  <c r="O8789" i="1"/>
  <c r="E8789" i="1"/>
  <c r="B8789" i="1"/>
  <c r="O8788" i="1"/>
  <c r="E8788" i="1"/>
  <c r="B8788" i="1"/>
  <c r="O8787" i="1"/>
  <c r="E8787" i="1"/>
  <c r="B8787" i="1"/>
  <c r="O8786" i="1"/>
  <c r="E8786" i="1"/>
  <c r="B8786" i="1"/>
  <c r="O8785" i="1"/>
  <c r="E8785" i="1"/>
  <c r="B8785" i="1"/>
  <c r="O8784" i="1"/>
  <c r="E8784" i="1"/>
  <c r="B8784" i="1"/>
  <c r="O8783" i="1"/>
  <c r="E8783" i="1"/>
  <c r="B8783" i="1"/>
  <c r="O8782" i="1"/>
  <c r="E8782" i="1"/>
  <c r="B8782" i="1"/>
  <c r="O8781" i="1"/>
  <c r="E8781" i="1"/>
  <c r="B8781" i="1"/>
  <c r="O8780" i="1"/>
  <c r="E8780" i="1"/>
  <c r="B8780" i="1"/>
  <c r="O8779" i="1"/>
  <c r="E8779" i="1"/>
  <c r="B8779" i="1"/>
  <c r="O8778" i="1"/>
  <c r="E8778" i="1"/>
  <c r="B8778" i="1"/>
  <c r="O8777" i="1"/>
  <c r="E8777" i="1"/>
  <c r="B8777" i="1"/>
  <c r="O8776" i="1"/>
  <c r="E8776" i="1"/>
  <c r="B8776" i="1"/>
  <c r="O8775" i="1"/>
  <c r="E8775" i="1"/>
  <c r="B8775" i="1"/>
  <c r="O8774" i="1"/>
  <c r="E8774" i="1"/>
  <c r="B8774" i="1"/>
  <c r="O8773" i="1"/>
  <c r="E8773" i="1"/>
  <c r="B8773" i="1"/>
  <c r="O8772" i="1"/>
  <c r="E8772" i="1"/>
  <c r="B8772" i="1"/>
  <c r="O8771" i="1"/>
  <c r="E8771" i="1"/>
  <c r="B8771" i="1"/>
  <c r="O8770" i="1"/>
  <c r="E8770" i="1"/>
  <c r="B8770" i="1"/>
  <c r="O8769" i="1"/>
  <c r="E8769" i="1"/>
  <c r="B8769" i="1"/>
  <c r="O8768" i="1"/>
  <c r="E8768" i="1"/>
  <c r="B8768" i="1"/>
  <c r="O8767" i="1"/>
  <c r="E8767" i="1"/>
  <c r="B8767" i="1"/>
  <c r="O8766" i="1"/>
  <c r="E8766" i="1"/>
  <c r="B8766" i="1"/>
  <c r="O8765" i="1"/>
  <c r="E8765" i="1"/>
  <c r="B8765" i="1"/>
  <c r="O8764" i="1"/>
  <c r="E8764" i="1"/>
  <c r="B8764" i="1"/>
  <c r="O8763" i="1"/>
  <c r="E8763" i="1"/>
  <c r="B8763" i="1"/>
  <c r="O8762" i="1"/>
  <c r="E8762" i="1"/>
  <c r="B8762" i="1"/>
  <c r="O8761" i="1"/>
  <c r="E8761" i="1"/>
  <c r="B8761" i="1"/>
  <c r="O8760" i="1"/>
  <c r="E8760" i="1"/>
  <c r="B8760" i="1"/>
  <c r="O8759" i="1"/>
  <c r="E8759" i="1"/>
  <c r="B8759" i="1"/>
  <c r="O8758" i="1"/>
  <c r="E8758" i="1"/>
  <c r="B8758" i="1"/>
  <c r="O8757" i="1"/>
  <c r="E8757" i="1"/>
  <c r="B8757" i="1"/>
  <c r="O8756" i="1"/>
  <c r="E8756" i="1"/>
  <c r="B8756" i="1"/>
  <c r="O8755" i="1"/>
  <c r="E8755" i="1"/>
  <c r="B8755" i="1"/>
  <c r="O8754" i="1"/>
  <c r="E8754" i="1"/>
  <c r="B8754" i="1"/>
  <c r="O8753" i="1"/>
  <c r="E8753" i="1"/>
  <c r="B8753" i="1"/>
  <c r="O8752" i="1"/>
  <c r="E8752" i="1"/>
  <c r="B8752" i="1"/>
  <c r="O8751" i="1"/>
  <c r="E8751" i="1"/>
  <c r="B8751" i="1"/>
  <c r="O8750" i="1"/>
  <c r="E8750" i="1"/>
  <c r="B8750" i="1"/>
  <c r="O8749" i="1"/>
  <c r="E8749" i="1"/>
  <c r="B8749" i="1"/>
  <c r="O8748" i="1"/>
  <c r="E8748" i="1"/>
  <c r="B8748" i="1"/>
  <c r="O8747" i="1"/>
  <c r="E8747" i="1"/>
  <c r="B8747" i="1"/>
  <c r="O8746" i="1"/>
  <c r="E8746" i="1"/>
  <c r="B8746" i="1"/>
  <c r="O8745" i="1"/>
  <c r="E8745" i="1"/>
  <c r="B8745" i="1"/>
  <c r="O8744" i="1"/>
  <c r="E8744" i="1"/>
  <c r="B8744" i="1"/>
  <c r="O8743" i="1"/>
  <c r="E8743" i="1"/>
  <c r="B8743" i="1"/>
  <c r="O8742" i="1"/>
  <c r="E8742" i="1"/>
  <c r="B8742" i="1"/>
  <c r="O8741" i="1"/>
  <c r="E8741" i="1"/>
  <c r="B8741" i="1"/>
  <c r="O8740" i="1"/>
  <c r="E8740" i="1"/>
  <c r="B8740" i="1"/>
  <c r="O8739" i="1"/>
  <c r="E8739" i="1"/>
  <c r="B8739" i="1"/>
  <c r="O8738" i="1"/>
  <c r="E8738" i="1"/>
  <c r="B8738" i="1"/>
  <c r="O8737" i="1"/>
  <c r="E8737" i="1"/>
  <c r="B8737" i="1"/>
  <c r="O8736" i="1"/>
  <c r="E8736" i="1"/>
  <c r="B8736" i="1"/>
  <c r="O8735" i="1"/>
  <c r="E8735" i="1"/>
  <c r="B8735" i="1"/>
  <c r="O8734" i="1"/>
  <c r="E8734" i="1"/>
  <c r="B8734" i="1"/>
  <c r="O8733" i="1"/>
  <c r="E8733" i="1"/>
  <c r="B8733" i="1"/>
  <c r="O8732" i="1"/>
  <c r="E8732" i="1"/>
  <c r="B8732" i="1"/>
  <c r="O8731" i="1"/>
  <c r="E8731" i="1"/>
  <c r="B8731" i="1"/>
  <c r="O8730" i="1"/>
  <c r="E8730" i="1"/>
  <c r="B8730" i="1"/>
  <c r="O8729" i="1"/>
  <c r="E8729" i="1"/>
  <c r="B8729" i="1"/>
  <c r="O8728" i="1"/>
  <c r="E8728" i="1"/>
  <c r="B8728" i="1"/>
  <c r="O8727" i="1"/>
  <c r="E8727" i="1"/>
  <c r="B8727" i="1"/>
  <c r="O8726" i="1"/>
  <c r="E8726" i="1"/>
  <c r="B8726" i="1"/>
  <c r="O8725" i="1"/>
  <c r="E8725" i="1"/>
  <c r="B8725" i="1"/>
  <c r="O8724" i="1"/>
  <c r="E8724" i="1"/>
  <c r="B8724" i="1"/>
  <c r="O8723" i="1"/>
  <c r="E8723" i="1"/>
  <c r="B8723" i="1"/>
  <c r="O8722" i="1"/>
  <c r="E8722" i="1"/>
  <c r="B8722" i="1"/>
  <c r="O8721" i="1"/>
  <c r="E8721" i="1"/>
  <c r="B8721" i="1"/>
  <c r="O8720" i="1"/>
  <c r="E8720" i="1"/>
  <c r="B8720" i="1"/>
  <c r="O8719" i="1"/>
  <c r="E8719" i="1"/>
  <c r="B8719" i="1"/>
  <c r="O8718" i="1"/>
  <c r="E8718" i="1"/>
  <c r="B8718" i="1"/>
  <c r="O8717" i="1"/>
  <c r="E8717" i="1"/>
  <c r="B8717" i="1"/>
  <c r="O8716" i="1"/>
  <c r="E8716" i="1"/>
  <c r="B8716" i="1"/>
  <c r="O8715" i="1"/>
  <c r="E8715" i="1"/>
  <c r="B8715" i="1"/>
  <c r="O8714" i="1"/>
  <c r="E8714" i="1"/>
  <c r="B8714" i="1"/>
  <c r="O8713" i="1"/>
  <c r="E8713" i="1"/>
  <c r="B8713" i="1"/>
  <c r="O8712" i="1"/>
  <c r="E8712" i="1"/>
  <c r="B8712" i="1"/>
  <c r="O8711" i="1"/>
  <c r="E8711" i="1"/>
  <c r="B8711" i="1"/>
  <c r="O8710" i="1"/>
  <c r="E8710" i="1"/>
  <c r="B8710" i="1"/>
  <c r="O8709" i="1"/>
  <c r="E8709" i="1"/>
  <c r="B8709" i="1"/>
  <c r="O8708" i="1"/>
  <c r="E8708" i="1"/>
  <c r="B8708" i="1"/>
  <c r="O8707" i="1"/>
  <c r="E8707" i="1"/>
  <c r="B8707" i="1"/>
  <c r="O8706" i="1"/>
  <c r="E8706" i="1"/>
  <c r="B8706" i="1"/>
  <c r="O8705" i="1"/>
  <c r="E8705" i="1"/>
  <c r="B8705" i="1"/>
  <c r="O8704" i="1"/>
  <c r="E8704" i="1"/>
  <c r="B8704" i="1"/>
  <c r="O8703" i="1"/>
  <c r="E8703" i="1"/>
  <c r="B8703" i="1"/>
  <c r="O8702" i="1"/>
  <c r="E8702" i="1"/>
  <c r="B8702" i="1"/>
  <c r="O8701" i="1"/>
  <c r="E8701" i="1"/>
  <c r="B8701" i="1"/>
  <c r="O8700" i="1"/>
  <c r="E8700" i="1"/>
  <c r="B8700" i="1"/>
  <c r="O8699" i="1"/>
  <c r="E8699" i="1"/>
  <c r="B8699" i="1"/>
  <c r="O8698" i="1"/>
  <c r="E8698" i="1"/>
  <c r="B8698" i="1"/>
  <c r="O8697" i="1"/>
  <c r="E8697" i="1"/>
  <c r="B8697" i="1"/>
  <c r="O8696" i="1"/>
  <c r="E8696" i="1"/>
  <c r="B8696" i="1"/>
  <c r="O8695" i="1"/>
  <c r="E8695" i="1"/>
  <c r="B8695" i="1"/>
  <c r="O8694" i="1"/>
  <c r="E8694" i="1"/>
  <c r="B8694" i="1"/>
  <c r="O8693" i="1"/>
  <c r="E8693" i="1"/>
  <c r="B8693" i="1"/>
  <c r="O8692" i="1"/>
  <c r="E8692" i="1"/>
  <c r="B8692" i="1"/>
  <c r="O8691" i="1"/>
  <c r="E8691" i="1"/>
  <c r="B8691" i="1"/>
  <c r="O8690" i="1"/>
  <c r="E8690" i="1"/>
  <c r="B8690" i="1"/>
  <c r="O8689" i="1"/>
  <c r="E8689" i="1"/>
  <c r="B8689" i="1"/>
  <c r="O8688" i="1"/>
  <c r="E8688" i="1"/>
  <c r="B8688" i="1"/>
  <c r="O8687" i="1"/>
  <c r="E8687" i="1"/>
  <c r="B8687" i="1"/>
  <c r="O8686" i="1"/>
  <c r="E8686" i="1"/>
  <c r="B8686" i="1"/>
  <c r="O8685" i="1"/>
  <c r="E8685" i="1"/>
  <c r="B8685" i="1"/>
  <c r="O8684" i="1"/>
  <c r="E8684" i="1"/>
  <c r="B8684" i="1"/>
  <c r="O8683" i="1"/>
  <c r="E8683" i="1"/>
  <c r="B8683" i="1"/>
  <c r="O8682" i="1"/>
  <c r="E8682" i="1"/>
  <c r="B8682" i="1"/>
  <c r="O8681" i="1"/>
  <c r="E8681" i="1"/>
  <c r="B8681" i="1"/>
  <c r="O8680" i="1"/>
  <c r="E8680" i="1"/>
  <c r="B8680" i="1"/>
  <c r="O8679" i="1"/>
  <c r="E8679" i="1"/>
  <c r="B8679" i="1"/>
  <c r="O8678" i="1"/>
  <c r="E8678" i="1"/>
  <c r="B8678" i="1"/>
  <c r="O8677" i="1"/>
  <c r="E8677" i="1"/>
  <c r="B8677" i="1"/>
  <c r="O8676" i="1"/>
  <c r="E8676" i="1"/>
  <c r="B8676" i="1"/>
  <c r="O8675" i="1"/>
  <c r="E8675" i="1"/>
  <c r="B8675" i="1"/>
  <c r="O8674" i="1"/>
  <c r="E8674" i="1"/>
  <c r="B8674" i="1"/>
  <c r="O8673" i="1"/>
  <c r="E8673" i="1"/>
  <c r="B8673" i="1"/>
  <c r="O8672" i="1"/>
  <c r="E8672" i="1"/>
  <c r="B8672" i="1"/>
  <c r="O8671" i="1"/>
  <c r="E8671" i="1"/>
  <c r="B8671" i="1"/>
  <c r="O8670" i="1"/>
  <c r="E8670" i="1"/>
  <c r="B8670" i="1"/>
  <c r="O8669" i="1"/>
  <c r="E8669" i="1"/>
  <c r="B8669" i="1"/>
  <c r="O8668" i="1"/>
  <c r="E8668" i="1"/>
  <c r="B8668" i="1"/>
  <c r="O8667" i="1"/>
  <c r="E8667" i="1"/>
  <c r="B8667" i="1"/>
  <c r="O8666" i="1"/>
  <c r="E8666" i="1"/>
  <c r="B8666" i="1"/>
  <c r="O8665" i="1"/>
  <c r="E8665" i="1"/>
  <c r="B8665" i="1"/>
  <c r="O8664" i="1"/>
  <c r="E8664" i="1"/>
  <c r="B8664" i="1"/>
  <c r="O8663" i="1"/>
  <c r="E8663" i="1"/>
  <c r="B8663" i="1"/>
  <c r="O8662" i="1"/>
  <c r="E8662" i="1"/>
  <c r="B8662" i="1"/>
  <c r="O8661" i="1"/>
  <c r="E8661" i="1"/>
  <c r="B8661" i="1"/>
  <c r="O8660" i="1"/>
  <c r="E8660" i="1"/>
  <c r="B8660" i="1"/>
  <c r="O8659" i="1"/>
  <c r="E8659" i="1"/>
  <c r="B8659" i="1"/>
  <c r="O8658" i="1"/>
  <c r="E8658" i="1"/>
  <c r="B8658" i="1"/>
  <c r="O8657" i="1"/>
  <c r="E8657" i="1"/>
  <c r="B8657" i="1"/>
  <c r="O8656" i="1"/>
  <c r="E8656" i="1"/>
  <c r="B8656" i="1"/>
  <c r="O8655" i="1"/>
  <c r="E8655" i="1"/>
  <c r="B8655" i="1"/>
  <c r="O8654" i="1"/>
  <c r="E8654" i="1"/>
  <c r="B8654" i="1"/>
  <c r="O8653" i="1"/>
  <c r="E8653" i="1"/>
  <c r="B8653" i="1"/>
  <c r="O8652" i="1"/>
  <c r="E8652" i="1"/>
  <c r="B8652" i="1"/>
  <c r="O8651" i="1"/>
  <c r="E8651" i="1"/>
  <c r="B8651" i="1"/>
  <c r="O8650" i="1"/>
  <c r="E8650" i="1"/>
  <c r="B8650" i="1"/>
  <c r="O8649" i="1"/>
  <c r="E8649" i="1"/>
  <c r="B8649" i="1"/>
  <c r="O8648" i="1"/>
  <c r="E8648" i="1"/>
  <c r="B8648" i="1"/>
  <c r="O8647" i="1"/>
  <c r="E8647" i="1"/>
  <c r="B8647" i="1"/>
  <c r="O8646" i="1"/>
  <c r="E8646" i="1"/>
  <c r="B8646" i="1"/>
  <c r="O8645" i="1"/>
  <c r="E8645" i="1"/>
  <c r="B8645" i="1"/>
  <c r="O8644" i="1"/>
  <c r="E8644" i="1"/>
  <c r="B8644" i="1"/>
  <c r="O8643" i="1"/>
  <c r="E8643" i="1"/>
  <c r="B8643" i="1"/>
  <c r="O8642" i="1"/>
  <c r="E8642" i="1"/>
  <c r="B8642" i="1"/>
  <c r="O8641" i="1"/>
  <c r="E8641" i="1"/>
  <c r="B8641" i="1"/>
  <c r="O8640" i="1"/>
  <c r="E8640" i="1"/>
  <c r="B8640" i="1"/>
  <c r="O8639" i="1"/>
  <c r="E8639" i="1"/>
  <c r="B8639" i="1"/>
  <c r="O8638" i="1"/>
  <c r="E8638" i="1"/>
  <c r="B8638" i="1"/>
  <c r="O8637" i="1"/>
  <c r="E8637" i="1"/>
  <c r="B8637" i="1"/>
  <c r="O8636" i="1"/>
  <c r="E8636" i="1"/>
  <c r="B8636" i="1"/>
  <c r="O8635" i="1"/>
  <c r="E8635" i="1"/>
  <c r="B8635" i="1"/>
  <c r="O8634" i="1"/>
  <c r="E8634" i="1"/>
  <c r="B8634" i="1"/>
  <c r="O8633" i="1"/>
  <c r="E8633" i="1"/>
  <c r="B8633" i="1"/>
  <c r="O8632" i="1"/>
  <c r="E8632" i="1"/>
  <c r="B8632" i="1"/>
  <c r="O8631" i="1"/>
  <c r="E8631" i="1"/>
  <c r="B8631" i="1"/>
  <c r="O8630" i="1"/>
  <c r="E8630" i="1"/>
  <c r="B8630" i="1"/>
  <c r="O8629" i="1"/>
  <c r="E8629" i="1"/>
  <c r="B8629" i="1"/>
  <c r="O8628" i="1"/>
  <c r="E8628" i="1"/>
  <c r="B8628" i="1"/>
  <c r="O8627" i="1"/>
  <c r="E8627" i="1"/>
  <c r="B8627" i="1"/>
  <c r="O8626" i="1"/>
  <c r="E8626" i="1"/>
  <c r="B8626" i="1"/>
  <c r="O8625" i="1"/>
  <c r="E8625" i="1"/>
  <c r="B8625" i="1"/>
  <c r="O8624" i="1"/>
  <c r="E8624" i="1"/>
  <c r="B8624" i="1"/>
  <c r="O8623" i="1"/>
  <c r="E8623" i="1"/>
  <c r="B8623" i="1"/>
  <c r="O8622" i="1"/>
  <c r="E8622" i="1"/>
  <c r="B8622" i="1"/>
  <c r="O8621" i="1"/>
  <c r="E8621" i="1"/>
  <c r="B8621" i="1"/>
  <c r="O8620" i="1"/>
  <c r="E8620" i="1"/>
  <c r="B8620" i="1"/>
  <c r="O8619" i="1"/>
  <c r="E8619" i="1"/>
  <c r="B8619" i="1"/>
  <c r="O8618" i="1"/>
  <c r="E8618" i="1"/>
  <c r="B8618" i="1"/>
  <c r="O8617" i="1"/>
  <c r="E8617" i="1"/>
  <c r="B8617" i="1"/>
  <c r="O8616" i="1"/>
  <c r="E8616" i="1"/>
  <c r="B8616" i="1"/>
  <c r="O8615" i="1"/>
  <c r="E8615" i="1"/>
  <c r="B8615" i="1"/>
  <c r="O8614" i="1"/>
  <c r="E8614" i="1"/>
  <c r="B8614" i="1"/>
  <c r="O8613" i="1"/>
  <c r="E8613" i="1"/>
  <c r="B8613" i="1"/>
  <c r="O8612" i="1"/>
  <c r="E8612" i="1"/>
  <c r="B8612" i="1"/>
  <c r="O8611" i="1"/>
  <c r="E8611" i="1"/>
  <c r="B8611" i="1"/>
  <c r="O8610" i="1"/>
  <c r="E8610" i="1"/>
  <c r="B8610" i="1"/>
  <c r="O8609" i="1"/>
  <c r="E8609" i="1"/>
  <c r="B8609" i="1"/>
  <c r="O8608" i="1"/>
  <c r="E8608" i="1"/>
  <c r="B8608" i="1"/>
  <c r="O8607" i="1"/>
  <c r="E8607" i="1"/>
  <c r="B8607" i="1"/>
  <c r="O8606" i="1"/>
  <c r="E8606" i="1"/>
  <c r="B8606" i="1"/>
  <c r="O8605" i="1"/>
  <c r="E8605" i="1"/>
  <c r="B8605" i="1"/>
  <c r="O8604" i="1"/>
  <c r="E8604" i="1"/>
  <c r="B8604" i="1"/>
  <c r="O8603" i="1"/>
  <c r="E8603" i="1"/>
  <c r="B8603" i="1"/>
  <c r="O8602" i="1"/>
  <c r="E8602" i="1"/>
  <c r="B8602" i="1"/>
  <c r="O8601" i="1"/>
  <c r="E8601" i="1"/>
  <c r="B8601" i="1"/>
  <c r="O8600" i="1"/>
  <c r="E8600" i="1"/>
  <c r="B8600" i="1"/>
  <c r="O8599" i="1"/>
  <c r="E8599" i="1"/>
  <c r="B8599" i="1"/>
  <c r="O8598" i="1"/>
  <c r="E8598" i="1"/>
  <c r="B8598" i="1"/>
  <c r="O8597" i="1"/>
  <c r="E8597" i="1"/>
  <c r="B8597" i="1"/>
  <c r="O8596" i="1"/>
  <c r="E8596" i="1"/>
  <c r="B8596" i="1"/>
  <c r="O8595" i="1"/>
  <c r="E8595" i="1"/>
  <c r="B8595" i="1"/>
  <c r="O8594" i="1"/>
  <c r="E8594" i="1"/>
  <c r="B8594" i="1"/>
  <c r="O8593" i="1"/>
  <c r="E8593" i="1"/>
  <c r="B8593" i="1"/>
  <c r="O8592" i="1"/>
  <c r="E8592" i="1"/>
  <c r="B8592" i="1"/>
  <c r="O8591" i="1"/>
  <c r="E8591" i="1"/>
  <c r="B8591" i="1"/>
  <c r="O8590" i="1"/>
  <c r="E8590" i="1"/>
  <c r="B8590" i="1"/>
  <c r="O8589" i="1"/>
  <c r="E8589" i="1"/>
  <c r="B8589" i="1"/>
  <c r="O8588" i="1"/>
  <c r="E8588" i="1"/>
  <c r="B8588" i="1"/>
  <c r="O8587" i="1"/>
  <c r="E8587" i="1"/>
  <c r="B8587" i="1"/>
  <c r="O8586" i="1"/>
  <c r="E8586" i="1"/>
  <c r="B8586" i="1"/>
  <c r="O8585" i="1"/>
  <c r="E8585" i="1"/>
  <c r="B8585" i="1"/>
  <c r="O8584" i="1"/>
  <c r="E8584" i="1"/>
  <c r="B8584" i="1"/>
  <c r="O8583" i="1"/>
  <c r="E8583" i="1"/>
  <c r="B8583" i="1"/>
  <c r="O8582" i="1"/>
  <c r="E8582" i="1"/>
  <c r="B8582" i="1"/>
  <c r="O8581" i="1"/>
  <c r="E8581" i="1"/>
  <c r="B8581" i="1"/>
  <c r="O8580" i="1"/>
  <c r="E8580" i="1"/>
  <c r="B8580" i="1"/>
  <c r="O8579" i="1"/>
  <c r="E8579" i="1"/>
  <c r="B8579" i="1"/>
  <c r="O8578" i="1"/>
  <c r="E8578" i="1"/>
  <c r="B8578" i="1"/>
  <c r="O8577" i="1"/>
  <c r="E8577" i="1"/>
  <c r="B8577" i="1"/>
  <c r="O8576" i="1"/>
  <c r="E8576" i="1"/>
  <c r="B8576" i="1"/>
  <c r="O8575" i="1"/>
  <c r="E8575" i="1"/>
  <c r="B8575" i="1"/>
  <c r="O8574" i="1"/>
  <c r="E8574" i="1"/>
  <c r="B8574" i="1"/>
  <c r="O8573" i="1"/>
  <c r="E8573" i="1"/>
  <c r="B8573" i="1"/>
  <c r="O8572" i="1"/>
  <c r="E8572" i="1"/>
  <c r="B8572" i="1"/>
  <c r="O8571" i="1"/>
  <c r="E8571" i="1"/>
  <c r="B8571" i="1"/>
  <c r="O8570" i="1"/>
  <c r="E8570" i="1"/>
  <c r="B8570" i="1"/>
  <c r="O8569" i="1"/>
  <c r="E8569" i="1"/>
  <c r="B8569" i="1"/>
  <c r="O8568" i="1"/>
  <c r="E8568" i="1"/>
  <c r="B8568" i="1"/>
  <c r="O8567" i="1"/>
  <c r="E8567" i="1"/>
  <c r="B8567" i="1"/>
  <c r="O8566" i="1"/>
  <c r="E8566" i="1"/>
  <c r="B8566" i="1"/>
  <c r="O8565" i="1"/>
  <c r="E8565" i="1"/>
  <c r="B8565" i="1"/>
  <c r="O8564" i="1"/>
  <c r="E8564" i="1"/>
  <c r="B8564" i="1"/>
  <c r="O8563" i="1"/>
  <c r="E8563" i="1"/>
  <c r="B8563" i="1"/>
  <c r="O8562" i="1"/>
  <c r="E8562" i="1"/>
  <c r="B8562" i="1"/>
  <c r="O8561" i="1"/>
  <c r="E8561" i="1"/>
  <c r="B8561" i="1"/>
  <c r="O8560" i="1"/>
  <c r="E8560" i="1"/>
  <c r="B8560" i="1"/>
  <c r="O8559" i="1"/>
  <c r="E8559" i="1"/>
  <c r="B8559" i="1"/>
  <c r="O8558" i="1"/>
  <c r="E8558" i="1"/>
  <c r="B8558" i="1"/>
  <c r="O8557" i="1"/>
  <c r="E8557" i="1"/>
  <c r="B8557" i="1"/>
  <c r="O8556" i="1"/>
  <c r="E8556" i="1"/>
  <c r="B8556" i="1"/>
  <c r="O8555" i="1"/>
  <c r="E8555" i="1"/>
  <c r="B8555" i="1"/>
  <c r="O8554" i="1"/>
  <c r="E8554" i="1"/>
  <c r="B8554" i="1"/>
  <c r="O8553" i="1"/>
  <c r="E8553" i="1"/>
  <c r="B8553" i="1"/>
  <c r="O8552" i="1"/>
  <c r="E8552" i="1"/>
  <c r="B8552" i="1"/>
  <c r="O8551" i="1"/>
  <c r="E8551" i="1"/>
  <c r="B8551" i="1"/>
  <c r="O8550" i="1"/>
  <c r="E8550" i="1"/>
  <c r="B8550" i="1"/>
  <c r="O8549" i="1"/>
  <c r="E8549" i="1"/>
  <c r="B8549" i="1"/>
  <c r="O8548" i="1"/>
  <c r="E8548" i="1"/>
  <c r="B8548" i="1"/>
  <c r="O8547" i="1"/>
  <c r="E8547" i="1"/>
  <c r="B8547" i="1"/>
  <c r="O8546" i="1"/>
  <c r="E8546" i="1"/>
  <c r="B8546" i="1"/>
  <c r="O8545" i="1"/>
  <c r="E8545" i="1"/>
  <c r="B8545" i="1"/>
  <c r="O8544" i="1"/>
  <c r="E8544" i="1"/>
  <c r="B8544" i="1"/>
  <c r="O8543" i="1"/>
  <c r="E8543" i="1"/>
  <c r="B8543" i="1"/>
  <c r="O8542" i="1"/>
  <c r="E8542" i="1"/>
  <c r="B8542" i="1"/>
  <c r="O8541" i="1"/>
  <c r="E8541" i="1"/>
  <c r="B8541" i="1"/>
  <c r="O8540" i="1"/>
  <c r="E8540" i="1"/>
  <c r="B8540" i="1"/>
  <c r="O8539" i="1"/>
  <c r="E8539" i="1"/>
  <c r="B8539" i="1"/>
  <c r="O8538" i="1"/>
  <c r="E8538" i="1"/>
  <c r="B8538" i="1"/>
  <c r="O8537" i="1"/>
  <c r="E8537" i="1"/>
  <c r="B8537" i="1"/>
  <c r="O8536" i="1"/>
  <c r="E8536" i="1"/>
  <c r="B8536" i="1"/>
  <c r="O8535" i="1"/>
  <c r="E8535" i="1"/>
  <c r="B8535" i="1"/>
  <c r="O8534" i="1"/>
  <c r="E8534" i="1"/>
  <c r="B8534" i="1"/>
  <c r="O8533" i="1"/>
  <c r="E8533" i="1"/>
  <c r="B8533" i="1"/>
  <c r="O8532" i="1"/>
  <c r="E8532" i="1"/>
  <c r="B8532" i="1"/>
  <c r="O8531" i="1"/>
  <c r="E8531" i="1"/>
  <c r="B8531" i="1"/>
  <c r="O8530" i="1"/>
  <c r="E8530" i="1"/>
  <c r="B8530" i="1"/>
  <c r="O8529" i="1"/>
  <c r="E8529" i="1"/>
  <c r="B8529" i="1"/>
  <c r="O8528" i="1"/>
  <c r="E8528" i="1"/>
  <c r="B8528" i="1"/>
  <c r="O8527" i="1"/>
  <c r="E8527" i="1"/>
  <c r="B8527" i="1"/>
  <c r="O8526" i="1"/>
  <c r="E8526" i="1"/>
  <c r="B8526" i="1"/>
  <c r="O8525" i="1"/>
  <c r="E8525" i="1"/>
  <c r="B8525" i="1"/>
  <c r="O8524" i="1"/>
  <c r="E8524" i="1"/>
  <c r="B8524" i="1"/>
  <c r="O8523" i="1"/>
  <c r="E8523" i="1"/>
  <c r="B8523" i="1"/>
  <c r="O8522" i="1"/>
  <c r="E8522" i="1"/>
  <c r="B8522" i="1"/>
  <c r="O8521" i="1"/>
  <c r="E8521" i="1"/>
  <c r="B8521" i="1"/>
  <c r="O8520" i="1"/>
  <c r="E8520" i="1"/>
  <c r="B8520" i="1"/>
  <c r="O8519" i="1"/>
  <c r="E8519" i="1"/>
  <c r="B8519" i="1"/>
  <c r="O8518" i="1"/>
  <c r="E8518" i="1"/>
  <c r="B8518" i="1"/>
  <c r="O8517" i="1"/>
  <c r="E8517" i="1"/>
  <c r="B8517" i="1"/>
  <c r="O8516" i="1"/>
  <c r="E8516" i="1"/>
  <c r="B8516" i="1"/>
  <c r="O8515" i="1"/>
  <c r="E8515" i="1"/>
  <c r="B8515" i="1"/>
  <c r="O8514" i="1"/>
  <c r="E8514" i="1"/>
  <c r="B8514" i="1"/>
  <c r="O8513" i="1"/>
  <c r="E8513" i="1"/>
  <c r="B8513" i="1"/>
  <c r="O8512" i="1"/>
  <c r="E8512" i="1"/>
  <c r="B8512" i="1"/>
  <c r="O8511" i="1"/>
  <c r="E8511" i="1"/>
  <c r="B8511" i="1"/>
  <c r="O8510" i="1"/>
  <c r="E8510" i="1"/>
  <c r="B8510" i="1"/>
  <c r="O8509" i="1"/>
  <c r="E8509" i="1"/>
  <c r="B8509" i="1"/>
  <c r="O8508" i="1"/>
  <c r="E8508" i="1"/>
  <c r="B8508" i="1"/>
  <c r="O8507" i="1"/>
  <c r="E8507" i="1"/>
  <c r="B8507" i="1"/>
  <c r="O8506" i="1"/>
  <c r="E8506" i="1"/>
  <c r="B8506" i="1"/>
  <c r="O8505" i="1"/>
  <c r="E8505" i="1"/>
  <c r="B8505" i="1"/>
  <c r="O8504" i="1"/>
  <c r="E8504" i="1"/>
  <c r="B8504" i="1"/>
  <c r="O8503" i="1"/>
  <c r="E8503" i="1"/>
  <c r="B8503" i="1"/>
  <c r="O8502" i="1"/>
  <c r="E8502" i="1"/>
  <c r="B8502" i="1"/>
  <c r="O8501" i="1"/>
  <c r="E8501" i="1"/>
  <c r="B8501" i="1"/>
  <c r="O8500" i="1"/>
  <c r="E8500" i="1"/>
  <c r="B8500" i="1"/>
  <c r="O8499" i="1"/>
  <c r="E8499" i="1"/>
  <c r="B8499" i="1"/>
  <c r="O8498" i="1"/>
  <c r="E8498" i="1"/>
  <c r="B8498" i="1"/>
  <c r="O8497" i="1"/>
  <c r="E8497" i="1"/>
  <c r="B8497" i="1"/>
  <c r="O8496" i="1"/>
  <c r="E8496" i="1"/>
  <c r="B8496" i="1"/>
  <c r="O8495" i="1"/>
  <c r="E8495" i="1"/>
  <c r="B8495" i="1"/>
  <c r="O8494" i="1"/>
  <c r="E8494" i="1"/>
  <c r="B8494" i="1"/>
  <c r="O8493" i="1"/>
  <c r="E8493" i="1"/>
  <c r="B8493" i="1"/>
  <c r="O8492" i="1"/>
  <c r="E8492" i="1"/>
  <c r="B8492" i="1"/>
  <c r="O8491" i="1"/>
  <c r="E8491" i="1"/>
  <c r="B8491" i="1"/>
  <c r="O8490" i="1"/>
  <c r="E8490" i="1"/>
  <c r="B8490" i="1"/>
  <c r="O8489" i="1"/>
  <c r="E8489" i="1"/>
  <c r="B8489" i="1"/>
  <c r="O8488" i="1"/>
  <c r="E8488" i="1"/>
  <c r="B8488" i="1"/>
  <c r="O8487" i="1"/>
  <c r="E8487" i="1"/>
  <c r="B8487" i="1"/>
  <c r="O8486" i="1"/>
  <c r="E8486" i="1"/>
  <c r="B8486" i="1"/>
  <c r="O8485" i="1"/>
  <c r="E8485" i="1"/>
  <c r="B8485" i="1"/>
  <c r="O8484" i="1"/>
  <c r="E8484" i="1"/>
  <c r="B8484" i="1"/>
  <c r="O8483" i="1"/>
  <c r="E8483" i="1"/>
  <c r="B8483" i="1"/>
  <c r="O8482" i="1"/>
  <c r="E8482" i="1"/>
  <c r="B8482" i="1"/>
  <c r="O8481" i="1"/>
  <c r="E8481" i="1"/>
  <c r="B8481" i="1"/>
  <c r="O8480" i="1"/>
  <c r="E8480" i="1"/>
  <c r="B8480" i="1"/>
  <c r="O8479" i="1"/>
  <c r="E8479" i="1"/>
  <c r="B8479" i="1"/>
  <c r="O8478" i="1"/>
  <c r="E8478" i="1"/>
  <c r="B8478" i="1"/>
  <c r="O8477" i="1"/>
  <c r="E8477" i="1"/>
  <c r="B8477" i="1"/>
  <c r="O8476" i="1"/>
  <c r="E8476" i="1"/>
  <c r="B8476" i="1"/>
  <c r="O8475" i="1"/>
  <c r="E8475" i="1"/>
  <c r="B8475" i="1"/>
  <c r="O8474" i="1"/>
  <c r="E8474" i="1"/>
  <c r="B8474" i="1"/>
  <c r="O8473" i="1"/>
  <c r="E8473" i="1"/>
  <c r="B8473" i="1"/>
  <c r="O8472" i="1"/>
  <c r="E8472" i="1"/>
  <c r="B8472" i="1"/>
  <c r="O8471" i="1"/>
  <c r="E8471" i="1"/>
  <c r="B8471" i="1"/>
  <c r="O8470" i="1"/>
  <c r="E8470" i="1"/>
  <c r="B8470" i="1"/>
  <c r="O8469" i="1"/>
  <c r="E8469" i="1"/>
  <c r="B8469" i="1"/>
  <c r="O8468" i="1"/>
  <c r="E8468" i="1"/>
  <c r="B8468" i="1"/>
  <c r="O8467" i="1"/>
  <c r="E8467" i="1"/>
  <c r="B8467" i="1"/>
  <c r="O8466" i="1"/>
  <c r="E8466" i="1"/>
  <c r="B8466" i="1"/>
  <c r="O8465" i="1"/>
  <c r="E8465" i="1"/>
  <c r="B8465" i="1"/>
  <c r="O8464" i="1"/>
  <c r="E8464" i="1"/>
  <c r="B8464" i="1"/>
  <c r="O8463" i="1"/>
  <c r="E8463" i="1"/>
  <c r="B8463" i="1"/>
  <c r="O8462" i="1"/>
  <c r="E8462" i="1"/>
  <c r="B8462" i="1"/>
  <c r="O8461" i="1"/>
  <c r="E8461" i="1"/>
  <c r="B8461" i="1"/>
  <c r="O8460" i="1"/>
  <c r="E8460" i="1"/>
  <c r="B8460" i="1"/>
  <c r="O8459" i="1"/>
  <c r="E8459" i="1"/>
  <c r="B8459" i="1"/>
  <c r="O8458" i="1"/>
  <c r="E8458" i="1"/>
  <c r="B8458" i="1"/>
  <c r="O8457" i="1"/>
  <c r="E8457" i="1"/>
  <c r="B8457" i="1"/>
  <c r="O8456" i="1"/>
  <c r="E8456" i="1"/>
  <c r="B8456" i="1"/>
  <c r="O8455" i="1"/>
  <c r="E8455" i="1"/>
  <c r="B8455" i="1"/>
  <c r="O8454" i="1"/>
  <c r="E8454" i="1"/>
  <c r="B8454" i="1"/>
  <c r="O8453" i="1"/>
  <c r="E8453" i="1"/>
  <c r="B8453" i="1"/>
  <c r="O8452" i="1"/>
  <c r="E8452" i="1"/>
  <c r="B8452" i="1"/>
  <c r="O8451" i="1"/>
  <c r="E8451" i="1"/>
  <c r="B8451" i="1"/>
  <c r="O8450" i="1"/>
  <c r="E8450" i="1"/>
  <c r="B8450" i="1"/>
  <c r="O8449" i="1"/>
  <c r="E8449" i="1"/>
  <c r="B8449" i="1"/>
  <c r="O8448" i="1"/>
  <c r="E8448" i="1"/>
  <c r="B8448" i="1"/>
  <c r="O8447" i="1"/>
  <c r="E8447" i="1"/>
  <c r="B8447" i="1"/>
  <c r="O8446" i="1"/>
  <c r="E8446" i="1"/>
  <c r="B8446" i="1"/>
  <c r="O8445" i="1"/>
  <c r="E8445" i="1"/>
  <c r="B8445" i="1"/>
  <c r="O8444" i="1"/>
  <c r="E8444" i="1"/>
  <c r="B8444" i="1"/>
  <c r="O8443" i="1"/>
  <c r="E8443" i="1"/>
  <c r="B8443" i="1"/>
  <c r="O8442" i="1"/>
  <c r="E8442" i="1"/>
  <c r="B8442" i="1"/>
  <c r="O8441" i="1"/>
  <c r="E8441" i="1"/>
  <c r="B8441" i="1"/>
  <c r="O8440" i="1"/>
  <c r="E8440" i="1"/>
  <c r="B8440" i="1"/>
  <c r="O8439" i="1"/>
  <c r="E8439" i="1"/>
  <c r="B8439" i="1"/>
  <c r="O8438" i="1"/>
  <c r="E8438" i="1"/>
  <c r="B8438" i="1"/>
  <c r="O8437" i="1"/>
  <c r="E8437" i="1"/>
  <c r="B8437" i="1"/>
  <c r="O8436" i="1"/>
  <c r="E8436" i="1"/>
  <c r="B8436" i="1"/>
  <c r="O8435" i="1"/>
  <c r="E8435" i="1"/>
  <c r="B8435" i="1"/>
  <c r="O8434" i="1"/>
  <c r="E8434" i="1"/>
  <c r="B8434" i="1"/>
  <c r="O8433" i="1"/>
  <c r="E8433" i="1"/>
  <c r="B8433" i="1"/>
  <c r="O8432" i="1"/>
  <c r="E8432" i="1"/>
  <c r="B8432" i="1"/>
  <c r="O8431" i="1"/>
  <c r="E8431" i="1"/>
  <c r="B8431" i="1"/>
  <c r="O8430" i="1"/>
  <c r="E8430" i="1"/>
  <c r="B8430" i="1"/>
  <c r="O8429" i="1"/>
  <c r="E8429" i="1"/>
  <c r="B8429" i="1"/>
  <c r="O8428" i="1"/>
  <c r="E8428" i="1"/>
  <c r="B8428" i="1"/>
  <c r="O8427" i="1"/>
  <c r="E8427" i="1"/>
  <c r="B8427" i="1"/>
  <c r="O8426" i="1"/>
  <c r="E8426" i="1"/>
  <c r="B8426" i="1"/>
  <c r="O8425" i="1"/>
  <c r="E8425" i="1"/>
  <c r="B8425" i="1"/>
  <c r="O8424" i="1"/>
  <c r="E8424" i="1"/>
  <c r="B8424" i="1"/>
  <c r="O8423" i="1"/>
  <c r="E8423" i="1"/>
  <c r="B8423" i="1"/>
  <c r="O8422" i="1"/>
  <c r="E8422" i="1"/>
  <c r="B8422" i="1"/>
  <c r="O8421" i="1"/>
  <c r="E8421" i="1"/>
  <c r="B8421" i="1"/>
  <c r="O8420" i="1"/>
  <c r="E8420" i="1"/>
  <c r="B8420" i="1"/>
  <c r="O8419" i="1"/>
  <c r="E8419" i="1"/>
  <c r="B8419" i="1"/>
  <c r="O8418" i="1"/>
  <c r="E8418" i="1"/>
  <c r="B8418" i="1"/>
  <c r="O8417" i="1"/>
  <c r="E8417" i="1"/>
  <c r="B8417" i="1"/>
  <c r="O8416" i="1"/>
  <c r="E8416" i="1"/>
  <c r="B8416" i="1"/>
  <c r="O8415" i="1"/>
  <c r="E8415" i="1"/>
  <c r="B8415" i="1"/>
  <c r="O8414" i="1"/>
  <c r="E8414" i="1"/>
  <c r="B8414" i="1"/>
  <c r="O8413" i="1"/>
  <c r="E8413" i="1"/>
  <c r="B8413" i="1"/>
  <c r="O8412" i="1"/>
  <c r="E8412" i="1"/>
  <c r="B8412" i="1"/>
  <c r="O8411" i="1"/>
  <c r="E8411" i="1"/>
  <c r="B8411" i="1"/>
  <c r="O8410" i="1"/>
  <c r="E8410" i="1"/>
  <c r="B8410" i="1"/>
  <c r="O8409" i="1"/>
  <c r="E8409" i="1"/>
  <c r="B8409" i="1"/>
  <c r="O8408" i="1"/>
  <c r="E8408" i="1"/>
  <c r="B8408" i="1"/>
  <c r="O8407" i="1"/>
  <c r="E8407" i="1"/>
  <c r="B8407" i="1"/>
  <c r="O8406" i="1"/>
  <c r="E8406" i="1"/>
  <c r="B8406" i="1"/>
  <c r="O8405" i="1"/>
  <c r="E8405" i="1"/>
  <c r="B8405" i="1"/>
  <c r="O8404" i="1"/>
  <c r="E8404" i="1"/>
  <c r="B8404" i="1"/>
  <c r="O8403" i="1"/>
  <c r="E8403" i="1"/>
  <c r="B8403" i="1"/>
  <c r="O8402" i="1"/>
  <c r="E8402" i="1"/>
  <c r="B8402" i="1"/>
  <c r="O8401" i="1"/>
  <c r="E8401" i="1"/>
  <c r="B8401" i="1"/>
  <c r="O8400" i="1"/>
  <c r="E8400" i="1"/>
  <c r="B8400" i="1"/>
  <c r="O8399" i="1"/>
  <c r="E8399" i="1"/>
  <c r="B8399" i="1"/>
  <c r="O8398" i="1"/>
  <c r="E8398" i="1"/>
  <c r="B8398" i="1"/>
  <c r="O8397" i="1"/>
  <c r="E8397" i="1"/>
  <c r="B8397" i="1"/>
  <c r="O8396" i="1"/>
  <c r="E8396" i="1"/>
  <c r="B8396" i="1"/>
  <c r="O8395" i="1"/>
  <c r="E8395" i="1"/>
  <c r="B8395" i="1"/>
  <c r="O8394" i="1"/>
  <c r="E8394" i="1"/>
  <c r="B8394" i="1"/>
  <c r="O8393" i="1"/>
  <c r="E8393" i="1"/>
  <c r="B8393" i="1"/>
  <c r="O8392" i="1"/>
  <c r="E8392" i="1"/>
  <c r="B8392" i="1"/>
  <c r="O8391" i="1"/>
  <c r="E8391" i="1"/>
  <c r="B8391" i="1"/>
  <c r="O8390" i="1"/>
  <c r="E8390" i="1"/>
  <c r="B8390" i="1"/>
  <c r="O8389" i="1"/>
  <c r="E8389" i="1"/>
  <c r="B8389" i="1"/>
  <c r="O8388" i="1"/>
  <c r="E8388" i="1"/>
  <c r="B8388" i="1"/>
  <c r="O8387" i="1"/>
  <c r="E8387" i="1"/>
  <c r="B8387" i="1"/>
  <c r="O8386" i="1"/>
  <c r="E8386" i="1"/>
  <c r="B8386" i="1"/>
  <c r="O8385" i="1"/>
  <c r="E8385" i="1"/>
  <c r="B8385" i="1"/>
  <c r="O8384" i="1"/>
  <c r="E8384" i="1"/>
  <c r="B8384" i="1"/>
  <c r="O8383" i="1"/>
  <c r="E8383" i="1"/>
  <c r="B8383" i="1"/>
  <c r="O8382" i="1"/>
  <c r="E8382" i="1"/>
  <c r="B8382" i="1"/>
  <c r="O8381" i="1"/>
  <c r="E8381" i="1"/>
  <c r="B8381" i="1"/>
  <c r="O8380" i="1"/>
  <c r="E8380" i="1"/>
  <c r="B8380" i="1"/>
  <c r="O8379" i="1"/>
  <c r="E8379" i="1"/>
  <c r="B8379" i="1"/>
  <c r="O8378" i="1"/>
  <c r="E8378" i="1"/>
  <c r="B8378" i="1"/>
  <c r="O8377" i="1"/>
  <c r="E8377" i="1"/>
  <c r="B8377" i="1"/>
  <c r="O8376" i="1"/>
  <c r="E8376" i="1"/>
  <c r="B8376" i="1"/>
  <c r="O8375" i="1"/>
  <c r="E8375" i="1"/>
  <c r="B8375" i="1"/>
  <c r="O8374" i="1"/>
  <c r="E8374" i="1"/>
  <c r="B8374" i="1"/>
  <c r="O8373" i="1"/>
  <c r="E8373" i="1"/>
  <c r="B8373" i="1"/>
  <c r="O8372" i="1"/>
  <c r="E8372" i="1"/>
  <c r="B8372" i="1"/>
  <c r="O8371" i="1"/>
  <c r="E8371" i="1"/>
  <c r="B8371" i="1"/>
  <c r="O8370" i="1"/>
  <c r="E8370" i="1"/>
  <c r="B8370" i="1"/>
  <c r="O8369" i="1"/>
  <c r="E8369" i="1"/>
  <c r="B8369" i="1"/>
  <c r="O8368" i="1"/>
  <c r="E8368" i="1"/>
  <c r="B8368" i="1"/>
  <c r="O8367" i="1"/>
  <c r="E8367" i="1"/>
  <c r="B8367" i="1"/>
  <c r="O8366" i="1"/>
  <c r="E8366" i="1"/>
  <c r="B8366" i="1"/>
  <c r="O8365" i="1"/>
  <c r="E8365" i="1"/>
  <c r="B8365" i="1"/>
  <c r="O8364" i="1"/>
  <c r="E8364" i="1"/>
  <c r="B8364" i="1"/>
  <c r="O8363" i="1"/>
  <c r="E8363" i="1"/>
  <c r="B8363" i="1"/>
  <c r="O8362" i="1"/>
  <c r="E8362" i="1"/>
  <c r="B8362" i="1"/>
  <c r="O8361" i="1"/>
  <c r="E8361" i="1"/>
  <c r="B8361" i="1"/>
  <c r="O8360" i="1"/>
  <c r="E8360" i="1"/>
  <c r="B8360" i="1"/>
  <c r="O8359" i="1"/>
  <c r="E8359" i="1"/>
  <c r="B8359" i="1"/>
  <c r="O8358" i="1"/>
  <c r="E8358" i="1"/>
  <c r="B8358" i="1"/>
  <c r="O8357" i="1"/>
  <c r="E8357" i="1"/>
  <c r="B8357" i="1"/>
  <c r="O8356" i="1"/>
  <c r="E8356" i="1"/>
  <c r="B8356" i="1"/>
  <c r="O8355" i="1"/>
  <c r="E8355" i="1"/>
  <c r="B8355" i="1"/>
  <c r="O8354" i="1"/>
  <c r="E8354" i="1"/>
  <c r="B8354" i="1"/>
  <c r="O8353" i="1"/>
  <c r="E8353" i="1"/>
  <c r="B8353" i="1"/>
  <c r="O8352" i="1"/>
  <c r="E8352" i="1"/>
  <c r="B8352" i="1"/>
  <c r="O8351" i="1"/>
  <c r="E8351" i="1"/>
  <c r="B8351" i="1"/>
  <c r="O8350" i="1"/>
  <c r="E8350" i="1"/>
  <c r="B8350" i="1"/>
  <c r="O8349" i="1"/>
  <c r="E8349" i="1"/>
  <c r="B8349" i="1"/>
  <c r="O8348" i="1"/>
  <c r="E8348" i="1"/>
  <c r="B8348" i="1"/>
  <c r="O8347" i="1"/>
  <c r="E8347" i="1"/>
  <c r="B8347" i="1"/>
  <c r="O8346" i="1"/>
  <c r="E8346" i="1"/>
  <c r="B8346" i="1"/>
  <c r="O8345" i="1"/>
  <c r="E8345" i="1"/>
  <c r="B8345" i="1"/>
  <c r="O8344" i="1"/>
  <c r="E8344" i="1"/>
  <c r="B8344" i="1"/>
  <c r="O8343" i="1"/>
  <c r="E8343" i="1"/>
  <c r="B8343" i="1"/>
  <c r="O8342" i="1"/>
  <c r="E8342" i="1"/>
  <c r="B8342" i="1"/>
  <c r="O8341" i="1"/>
  <c r="E8341" i="1"/>
  <c r="B8341" i="1"/>
  <c r="O8340" i="1"/>
  <c r="E8340" i="1"/>
  <c r="B8340" i="1"/>
  <c r="O8339" i="1"/>
  <c r="E8339" i="1"/>
  <c r="B8339" i="1"/>
  <c r="O8338" i="1"/>
  <c r="E8338" i="1"/>
  <c r="B8338" i="1"/>
  <c r="O8337" i="1"/>
  <c r="E8337" i="1"/>
  <c r="B8337" i="1"/>
  <c r="O8336" i="1"/>
  <c r="E8336" i="1"/>
  <c r="B8336" i="1"/>
  <c r="O8335" i="1"/>
  <c r="E8335" i="1"/>
  <c r="B8335" i="1"/>
  <c r="O8334" i="1"/>
  <c r="E8334" i="1"/>
  <c r="B8334" i="1"/>
  <c r="O8333" i="1"/>
  <c r="E8333" i="1"/>
  <c r="B8333" i="1"/>
  <c r="O8332" i="1"/>
  <c r="E8332" i="1"/>
  <c r="B8332" i="1"/>
  <c r="O8331" i="1"/>
  <c r="E8331" i="1"/>
  <c r="B8331" i="1"/>
  <c r="O8330" i="1"/>
  <c r="E8330" i="1"/>
  <c r="B8330" i="1"/>
  <c r="O8329" i="1"/>
  <c r="E8329" i="1"/>
  <c r="B8329" i="1"/>
  <c r="O8328" i="1"/>
  <c r="E8328" i="1"/>
  <c r="B8328" i="1"/>
  <c r="O8327" i="1"/>
  <c r="E8327" i="1"/>
  <c r="B8327" i="1"/>
  <c r="O8326" i="1"/>
  <c r="E8326" i="1"/>
  <c r="B8326" i="1"/>
  <c r="O8325" i="1"/>
  <c r="E8325" i="1"/>
  <c r="B8325" i="1"/>
  <c r="O8324" i="1"/>
  <c r="E8324" i="1"/>
  <c r="B8324" i="1"/>
  <c r="O8323" i="1"/>
  <c r="E8323" i="1"/>
  <c r="B8323" i="1"/>
  <c r="O8322" i="1"/>
  <c r="E8322" i="1"/>
  <c r="B8322" i="1"/>
  <c r="O8321" i="1"/>
  <c r="E8321" i="1"/>
  <c r="B8321" i="1"/>
  <c r="O8320" i="1"/>
  <c r="E8320" i="1"/>
  <c r="B8320" i="1"/>
  <c r="O8319" i="1"/>
  <c r="E8319" i="1"/>
  <c r="B8319" i="1"/>
  <c r="O8318" i="1"/>
  <c r="E8318" i="1"/>
  <c r="B8318" i="1"/>
  <c r="O8317" i="1"/>
  <c r="E8317" i="1"/>
  <c r="B8317" i="1"/>
  <c r="O8316" i="1"/>
  <c r="E8316" i="1"/>
  <c r="B8316" i="1"/>
  <c r="O8315" i="1"/>
  <c r="E8315" i="1"/>
  <c r="B8315" i="1"/>
  <c r="O8314" i="1"/>
  <c r="E8314" i="1"/>
  <c r="B8314" i="1"/>
  <c r="O8313" i="1"/>
  <c r="E8313" i="1"/>
  <c r="B8313" i="1"/>
  <c r="O8312" i="1"/>
  <c r="E8312" i="1"/>
  <c r="B8312" i="1"/>
  <c r="O8311" i="1"/>
  <c r="E8311" i="1"/>
  <c r="B8311" i="1"/>
  <c r="O8310" i="1"/>
  <c r="E8310" i="1"/>
  <c r="B8310" i="1"/>
  <c r="O8309" i="1"/>
  <c r="E8309" i="1"/>
  <c r="B8309" i="1"/>
  <c r="O8308" i="1"/>
  <c r="E8308" i="1"/>
  <c r="B8308" i="1"/>
  <c r="O8307" i="1"/>
  <c r="E8307" i="1"/>
  <c r="B8307" i="1"/>
  <c r="O8306" i="1"/>
  <c r="E8306" i="1"/>
  <c r="B8306" i="1"/>
  <c r="O8305" i="1"/>
  <c r="E8305" i="1"/>
  <c r="B8305" i="1"/>
  <c r="O8304" i="1"/>
  <c r="E8304" i="1"/>
  <c r="B8304" i="1"/>
  <c r="O8303" i="1"/>
  <c r="E8303" i="1"/>
  <c r="B8303" i="1"/>
  <c r="O8302" i="1"/>
  <c r="E8302" i="1"/>
  <c r="B8302" i="1"/>
  <c r="O8301" i="1"/>
  <c r="E8301" i="1"/>
  <c r="B8301" i="1"/>
  <c r="O8300" i="1"/>
  <c r="E8300" i="1"/>
  <c r="B8300" i="1"/>
  <c r="O8299" i="1"/>
  <c r="E8299" i="1"/>
  <c r="B8299" i="1"/>
  <c r="O8298" i="1"/>
  <c r="E8298" i="1"/>
  <c r="B8298" i="1"/>
  <c r="O8297" i="1"/>
  <c r="E8297" i="1"/>
  <c r="B8297" i="1"/>
  <c r="O8296" i="1"/>
  <c r="E8296" i="1"/>
  <c r="B8296" i="1"/>
  <c r="O8295" i="1"/>
  <c r="E8295" i="1"/>
  <c r="B8295" i="1"/>
  <c r="O8294" i="1"/>
  <c r="E8294" i="1"/>
  <c r="B8294" i="1"/>
  <c r="O8293" i="1"/>
  <c r="E8293" i="1"/>
  <c r="B8293" i="1"/>
  <c r="O8292" i="1"/>
  <c r="E8292" i="1"/>
  <c r="B8292" i="1"/>
  <c r="O8291" i="1"/>
  <c r="E8291" i="1"/>
  <c r="B8291" i="1"/>
  <c r="O8290" i="1"/>
  <c r="E8290" i="1"/>
  <c r="B8290" i="1"/>
  <c r="O8289" i="1"/>
  <c r="E8289" i="1"/>
  <c r="B8289" i="1"/>
  <c r="O8288" i="1"/>
  <c r="E8288" i="1"/>
  <c r="B8288" i="1"/>
  <c r="O8287" i="1"/>
  <c r="E8287" i="1"/>
  <c r="B8287" i="1"/>
  <c r="O8286" i="1"/>
  <c r="E8286" i="1"/>
  <c r="B8286" i="1"/>
  <c r="O8285" i="1"/>
  <c r="E8285" i="1"/>
  <c r="B8285" i="1"/>
  <c r="O8284" i="1"/>
  <c r="E8284" i="1"/>
  <c r="B8284" i="1"/>
  <c r="O8283" i="1"/>
  <c r="E8283" i="1"/>
  <c r="B8283" i="1"/>
  <c r="O8282" i="1"/>
  <c r="E8282" i="1"/>
  <c r="B8282" i="1"/>
  <c r="O8281" i="1"/>
  <c r="E8281" i="1"/>
  <c r="B8281" i="1"/>
  <c r="O8280" i="1"/>
  <c r="E8280" i="1"/>
  <c r="B8280" i="1"/>
  <c r="O8279" i="1"/>
  <c r="E8279" i="1"/>
  <c r="B8279" i="1"/>
  <c r="O8278" i="1"/>
  <c r="E8278" i="1"/>
  <c r="B8278" i="1"/>
  <c r="O8277" i="1"/>
  <c r="E8277" i="1"/>
  <c r="B8277" i="1"/>
  <c r="O8276" i="1"/>
  <c r="E8276" i="1"/>
  <c r="B8276" i="1"/>
  <c r="O8275" i="1"/>
  <c r="E8275" i="1"/>
  <c r="B8275" i="1"/>
  <c r="O8274" i="1"/>
  <c r="E8274" i="1"/>
  <c r="B8274" i="1"/>
  <c r="O8273" i="1"/>
  <c r="E8273" i="1"/>
  <c r="B8273" i="1"/>
  <c r="O8272" i="1"/>
  <c r="E8272" i="1"/>
  <c r="B8272" i="1"/>
  <c r="O8271" i="1"/>
  <c r="E8271" i="1"/>
  <c r="B8271" i="1"/>
  <c r="O8270" i="1"/>
  <c r="E8270" i="1"/>
  <c r="B8270" i="1"/>
  <c r="O8269" i="1"/>
  <c r="E8269" i="1"/>
  <c r="B8269" i="1"/>
  <c r="O8268" i="1"/>
  <c r="E8268" i="1"/>
  <c r="B8268" i="1"/>
  <c r="O8267" i="1"/>
  <c r="E8267" i="1"/>
  <c r="B8267" i="1"/>
  <c r="O8266" i="1"/>
  <c r="E8266" i="1"/>
  <c r="B8266" i="1"/>
  <c r="O8265" i="1"/>
  <c r="E8265" i="1"/>
  <c r="B8265" i="1"/>
  <c r="O8264" i="1"/>
  <c r="E8264" i="1"/>
  <c r="B8264" i="1"/>
  <c r="O8263" i="1"/>
  <c r="E8263" i="1"/>
  <c r="B8263" i="1"/>
  <c r="O8262" i="1"/>
  <c r="E8262" i="1"/>
  <c r="B8262" i="1"/>
  <c r="O8261" i="1"/>
  <c r="E8261" i="1"/>
  <c r="B8261" i="1"/>
  <c r="O8260" i="1"/>
  <c r="E8260" i="1"/>
  <c r="B8260" i="1"/>
  <c r="O8259" i="1"/>
  <c r="E8259" i="1"/>
  <c r="B8259" i="1"/>
  <c r="O8258" i="1"/>
  <c r="E8258" i="1"/>
  <c r="B8258" i="1"/>
  <c r="O8257" i="1"/>
  <c r="E8257" i="1"/>
  <c r="B8257" i="1"/>
  <c r="O8256" i="1"/>
  <c r="E8256" i="1"/>
  <c r="B8256" i="1"/>
  <c r="O8255" i="1"/>
  <c r="E8255" i="1"/>
  <c r="B8255" i="1"/>
  <c r="O8254" i="1"/>
  <c r="E8254" i="1"/>
  <c r="B8254" i="1"/>
  <c r="O8253" i="1"/>
  <c r="E8253" i="1"/>
  <c r="B8253" i="1"/>
  <c r="O8252" i="1"/>
  <c r="E8252" i="1"/>
  <c r="B8252" i="1"/>
  <c r="O8251" i="1"/>
  <c r="E8251" i="1"/>
  <c r="B8251" i="1"/>
  <c r="O8250" i="1"/>
  <c r="E8250" i="1"/>
  <c r="B8250" i="1"/>
  <c r="O8249" i="1"/>
  <c r="E8249" i="1"/>
  <c r="B8249" i="1"/>
  <c r="O8248" i="1"/>
  <c r="E8248" i="1"/>
  <c r="B8248" i="1"/>
  <c r="O8247" i="1"/>
  <c r="E8247" i="1"/>
  <c r="B8247" i="1"/>
  <c r="O8246" i="1"/>
  <c r="E8246" i="1"/>
  <c r="B8246" i="1"/>
  <c r="O8245" i="1"/>
  <c r="E8245" i="1"/>
  <c r="B8245" i="1"/>
  <c r="O8244" i="1"/>
  <c r="E8244" i="1"/>
  <c r="B8244" i="1"/>
  <c r="O8243" i="1"/>
  <c r="E8243" i="1"/>
  <c r="B8243" i="1"/>
  <c r="O8242" i="1"/>
  <c r="E8242" i="1"/>
  <c r="B8242" i="1"/>
  <c r="O8241" i="1"/>
  <c r="E8241" i="1"/>
  <c r="B8241" i="1"/>
  <c r="O8240" i="1"/>
  <c r="E8240" i="1"/>
  <c r="B8240" i="1"/>
  <c r="O8239" i="1"/>
  <c r="E8239" i="1"/>
  <c r="B8239" i="1"/>
  <c r="O8238" i="1"/>
  <c r="E8238" i="1"/>
  <c r="B8238" i="1"/>
  <c r="O8237" i="1"/>
  <c r="E8237" i="1"/>
  <c r="B8237" i="1"/>
  <c r="O8236" i="1"/>
  <c r="E8236" i="1"/>
  <c r="B8236" i="1"/>
  <c r="O8235" i="1"/>
  <c r="E8235" i="1"/>
  <c r="B8235" i="1"/>
  <c r="O8234" i="1"/>
  <c r="E8234" i="1"/>
  <c r="B8234" i="1"/>
  <c r="O8233" i="1"/>
  <c r="E8233" i="1"/>
  <c r="B8233" i="1"/>
  <c r="O8232" i="1"/>
  <c r="E8232" i="1"/>
  <c r="B8232" i="1"/>
  <c r="O8231" i="1"/>
  <c r="E8231" i="1"/>
  <c r="B8231" i="1"/>
  <c r="O8230" i="1"/>
  <c r="E8230" i="1"/>
  <c r="B8230" i="1"/>
  <c r="O8229" i="1"/>
  <c r="E8229" i="1"/>
  <c r="B8229" i="1"/>
  <c r="O8228" i="1"/>
  <c r="E8228" i="1"/>
  <c r="B8228" i="1"/>
  <c r="O8227" i="1"/>
  <c r="E8227" i="1"/>
  <c r="B8227" i="1"/>
  <c r="O8226" i="1"/>
  <c r="E8226" i="1"/>
  <c r="B8226" i="1"/>
  <c r="O8225" i="1"/>
  <c r="E8225" i="1"/>
  <c r="B8225" i="1"/>
  <c r="O8224" i="1"/>
  <c r="E8224" i="1"/>
  <c r="B8224" i="1"/>
  <c r="O8223" i="1"/>
  <c r="E8223" i="1"/>
  <c r="B8223" i="1"/>
  <c r="O8222" i="1"/>
  <c r="E8222" i="1"/>
  <c r="B8222" i="1"/>
  <c r="O8221" i="1"/>
  <c r="E8221" i="1"/>
  <c r="B8221" i="1"/>
  <c r="O8220" i="1"/>
  <c r="E8220" i="1"/>
  <c r="B8220" i="1"/>
  <c r="O8219" i="1"/>
  <c r="E8219" i="1"/>
  <c r="B8219" i="1"/>
  <c r="O8218" i="1"/>
  <c r="E8218" i="1"/>
  <c r="B8218" i="1"/>
  <c r="O8217" i="1"/>
  <c r="E8217" i="1"/>
  <c r="B8217" i="1"/>
  <c r="O8216" i="1"/>
  <c r="E8216" i="1"/>
  <c r="B8216" i="1"/>
  <c r="O8215" i="1"/>
  <c r="E8215" i="1"/>
  <c r="B8215" i="1"/>
  <c r="O8214" i="1"/>
  <c r="E8214" i="1"/>
  <c r="B8214" i="1"/>
  <c r="O8213" i="1"/>
  <c r="E8213" i="1"/>
  <c r="B8213" i="1"/>
  <c r="O8212" i="1"/>
  <c r="E8212" i="1"/>
  <c r="B8212" i="1"/>
  <c r="O8211" i="1"/>
  <c r="E8211" i="1"/>
  <c r="B8211" i="1"/>
  <c r="O8210" i="1"/>
  <c r="E8210" i="1"/>
  <c r="B8210" i="1"/>
  <c r="O8209" i="1"/>
  <c r="E8209" i="1"/>
  <c r="B8209" i="1"/>
  <c r="O8208" i="1"/>
  <c r="E8208" i="1"/>
  <c r="B8208" i="1"/>
  <c r="O8207" i="1"/>
  <c r="E8207" i="1"/>
  <c r="B8207" i="1"/>
  <c r="O8206" i="1"/>
  <c r="E8206" i="1"/>
  <c r="B8206" i="1"/>
  <c r="O8205" i="1"/>
  <c r="E8205" i="1"/>
  <c r="B8205" i="1"/>
  <c r="O8204" i="1"/>
  <c r="E8204" i="1"/>
  <c r="B8204" i="1"/>
  <c r="O8203" i="1"/>
  <c r="E8203" i="1"/>
  <c r="B8203" i="1"/>
  <c r="O8202" i="1"/>
  <c r="E8202" i="1"/>
  <c r="B8202" i="1"/>
  <c r="O8201" i="1"/>
  <c r="E8201" i="1"/>
  <c r="B8201" i="1"/>
  <c r="O8200" i="1"/>
  <c r="E8200" i="1"/>
  <c r="B8200" i="1"/>
  <c r="O8199" i="1"/>
  <c r="E8199" i="1"/>
  <c r="B8199" i="1"/>
  <c r="O8198" i="1"/>
  <c r="E8198" i="1"/>
  <c r="B8198" i="1"/>
  <c r="O8197" i="1"/>
  <c r="E8197" i="1"/>
  <c r="B8197" i="1"/>
  <c r="O8196" i="1"/>
  <c r="E8196" i="1"/>
  <c r="B8196" i="1"/>
  <c r="O8195" i="1"/>
  <c r="E8195" i="1"/>
  <c r="B8195" i="1"/>
  <c r="O8194" i="1"/>
  <c r="E8194" i="1"/>
  <c r="B8194" i="1"/>
  <c r="O8193" i="1"/>
  <c r="E8193" i="1"/>
  <c r="B8193" i="1"/>
  <c r="O8192" i="1"/>
  <c r="E8192" i="1"/>
  <c r="B8192" i="1"/>
  <c r="O8191" i="1"/>
  <c r="E8191" i="1"/>
  <c r="B8191" i="1"/>
  <c r="O8190" i="1"/>
  <c r="E8190" i="1"/>
  <c r="B8190" i="1"/>
  <c r="O8189" i="1"/>
  <c r="E8189" i="1"/>
  <c r="B8189" i="1"/>
  <c r="O8188" i="1"/>
  <c r="E8188" i="1"/>
  <c r="B8188" i="1"/>
  <c r="O8187" i="1"/>
  <c r="E8187" i="1"/>
  <c r="B8187" i="1"/>
  <c r="O8186" i="1"/>
  <c r="E8186" i="1"/>
  <c r="B8186" i="1"/>
  <c r="O8185" i="1"/>
  <c r="E8185" i="1"/>
  <c r="B8185" i="1"/>
  <c r="O8184" i="1"/>
  <c r="E8184" i="1"/>
  <c r="B8184" i="1"/>
  <c r="O8183" i="1"/>
  <c r="E8183" i="1"/>
  <c r="B8183" i="1"/>
  <c r="O8182" i="1"/>
  <c r="E8182" i="1"/>
  <c r="B8182" i="1"/>
  <c r="O8181" i="1"/>
  <c r="E8181" i="1"/>
  <c r="B8181" i="1"/>
  <c r="O8180" i="1"/>
  <c r="E8180" i="1"/>
  <c r="B8180" i="1"/>
  <c r="O8179" i="1"/>
  <c r="E8179" i="1"/>
  <c r="B8179" i="1"/>
  <c r="O8178" i="1"/>
  <c r="E8178" i="1"/>
  <c r="B8178" i="1"/>
  <c r="O8177" i="1"/>
  <c r="E8177" i="1"/>
  <c r="B8177" i="1"/>
  <c r="O8176" i="1"/>
  <c r="E8176" i="1"/>
  <c r="B8176" i="1"/>
  <c r="O8175" i="1"/>
  <c r="E8175" i="1"/>
  <c r="B8175" i="1"/>
  <c r="O8174" i="1"/>
  <c r="E8174" i="1"/>
  <c r="B8174" i="1"/>
  <c r="O8173" i="1"/>
  <c r="E8173" i="1"/>
  <c r="B8173" i="1"/>
  <c r="O8172" i="1"/>
  <c r="E8172" i="1"/>
  <c r="B8172" i="1"/>
  <c r="O8171" i="1"/>
  <c r="E8171" i="1"/>
  <c r="B8171" i="1"/>
  <c r="O8170" i="1"/>
  <c r="E8170" i="1"/>
  <c r="B8170" i="1"/>
  <c r="O8169" i="1"/>
  <c r="E8169" i="1"/>
  <c r="B8169" i="1"/>
  <c r="O8168" i="1"/>
  <c r="E8168" i="1"/>
  <c r="B8168" i="1"/>
  <c r="O8167" i="1"/>
  <c r="E8167" i="1"/>
  <c r="B8167" i="1"/>
  <c r="O8166" i="1"/>
  <c r="E8166" i="1"/>
  <c r="B8166" i="1"/>
  <c r="O8165" i="1"/>
  <c r="E8165" i="1"/>
  <c r="B8165" i="1"/>
  <c r="O8164" i="1"/>
  <c r="E8164" i="1"/>
  <c r="B8164" i="1"/>
  <c r="O8163" i="1"/>
  <c r="E8163" i="1"/>
  <c r="B8163" i="1"/>
  <c r="O8162" i="1"/>
  <c r="E8162" i="1"/>
  <c r="B8162" i="1"/>
  <c r="O8161" i="1"/>
  <c r="E8161" i="1"/>
  <c r="B8161" i="1"/>
  <c r="O8160" i="1"/>
  <c r="E8160" i="1"/>
  <c r="B8160" i="1"/>
  <c r="O8159" i="1"/>
  <c r="E8159" i="1"/>
  <c r="B8159" i="1"/>
  <c r="O8158" i="1"/>
  <c r="E8158" i="1"/>
  <c r="B8158" i="1"/>
  <c r="O8157" i="1"/>
  <c r="E8157" i="1"/>
  <c r="B8157" i="1"/>
  <c r="O8156" i="1"/>
  <c r="E8156" i="1"/>
  <c r="B8156" i="1"/>
  <c r="O8155" i="1"/>
  <c r="E8155" i="1"/>
  <c r="B8155" i="1"/>
  <c r="O8154" i="1"/>
  <c r="E8154" i="1"/>
  <c r="B8154" i="1"/>
  <c r="O8153" i="1"/>
  <c r="E8153" i="1"/>
  <c r="B8153" i="1"/>
  <c r="O8152" i="1"/>
  <c r="E8152" i="1"/>
  <c r="B8152" i="1"/>
  <c r="O8151" i="1"/>
  <c r="E8151" i="1"/>
  <c r="B8151" i="1"/>
  <c r="O8150" i="1"/>
  <c r="E8150" i="1"/>
  <c r="B8150" i="1"/>
  <c r="O8149" i="1"/>
  <c r="E8149" i="1"/>
  <c r="B8149" i="1"/>
  <c r="O8148" i="1"/>
  <c r="E8148" i="1"/>
  <c r="B8148" i="1"/>
  <c r="O8147" i="1"/>
  <c r="E8147" i="1"/>
  <c r="B8147" i="1"/>
  <c r="O8146" i="1"/>
  <c r="E8146" i="1"/>
  <c r="B8146" i="1"/>
  <c r="O8145" i="1"/>
  <c r="E8145" i="1"/>
  <c r="B8145" i="1"/>
  <c r="O8144" i="1"/>
  <c r="E8144" i="1"/>
  <c r="B8144" i="1"/>
  <c r="O8143" i="1"/>
  <c r="E8143" i="1"/>
  <c r="B8143" i="1"/>
  <c r="O8142" i="1"/>
  <c r="E8142" i="1"/>
  <c r="B8142" i="1"/>
  <c r="O8141" i="1"/>
  <c r="E8141" i="1"/>
  <c r="B8141" i="1"/>
  <c r="O8140" i="1"/>
  <c r="E8140" i="1"/>
  <c r="B8140" i="1"/>
  <c r="O8139" i="1"/>
  <c r="E8139" i="1"/>
  <c r="B8139" i="1"/>
  <c r="O8138" i="1"/>
  <c r="E8138" i="1"/>
  <c r="B8138" i="1"/>
  <c r="O8137" i="1"/>
  <c r="E8137" i="1"/>
  <c r="B8137" i="1"/>
  <c r="O8136" i="1"/>
  <c r="E8136" i="1"/>
  <c r="B8136" i="1"/>
  <c r="O8135" i="1"/>
  <c r="E8135" i="1"/>
  <c r="B8135" i="1"/>
  <c r="O8134" i="1"/>
  <c r="E8134" i="1"/>
  <c r="B8134" i="1"/>
  <c r="O8133" i="1"/>
  <c r="E8133" i="1"/>
  <c r="B8133" i="1"/>
  <c r="O8132" i="1"/>
  <c r="E8132" i="1"/>
  <c r="B8132" i="1"/>
  <c r="O8131" i="1"/>
  <c r="E8131" i="1"/>
  <c r="B8131" i="1"/>
  <c r="O8130" i="1"/>
  <c r="E8130" i="1"/>
  <c r="B8130" i="1"/>
  <c r="O8129" i="1"/>
  <c r="E8129" i="1"/>
  <c r="B8129" i="1"/>
  <c r="O8128" i="1"/>
  <c r="E8128" i="1"/>
  <c r="B8128" i="1"/>
  <c r="O8127" i="1"/>
  <c r="E8127" i="1"/>
  <c r="B8127" i="1"/>
  <c r="O8126" i="1"/>
  <c r="E8126" i="1"/>
  <c r="B8126" i="1"/>
  <c r="O8125" i="1"/>
  <c r="E8125" i="1"/>
  <c r="B8125" i="1"/>
  <c r="O8124" i="1"/>
  <c r="E8124" i="1"/>
  <c r="B8124" i="1"/>
  <c r="O8123" i="1"/>
  <c r="E8123" i="1"/>
  <c r="B8123" i="1"/>
  <c r="O8122" i="1"/>
  <c r="E8122" i="1"/>
  <c r="B8122" i="1"/>
  <c r="O8121" i="1"/>
  <c r="E8121" i="1"/>
  <c r="B8121" i="1"/>
  <c r="O8120" i="1"/>
  <c r="E8120" i="1"/>
  <c r="B8120" i="1"/>
  <c r="O8119" i="1"/>
  <c r="E8119" i="1"/>
  <c r="B8119" i="1"/>
  <c r="O8118" i="1"/>
  <c r="E8118" i="1"/>
  <c r="B8118" i="1"/>
  <c r="O8117" i="1"/>
  <c r="E8117" i="1"/>
  <c r="B8117" i="1"/>
  <c r="O8116" i="1"/>
  <c r="E8116" i="1"/>
  <c r="B8116" i="1"/>
  <c r="O8115" i="1"/>
  <c r="E8115" i="1"/>
  <c r="B8115" i="1"/>
  <c r="O8114" i="1"/>
  <c r="E8114" i="1"/>
  <c r="B8114" i="1"/>
  <c r="O8113" i="1"/>
  <c r="E8113" i="1"/>
  <c r="B8113" i="1"/>
  <c r="O8112" i="1"/>
  <c r="E8112" i="1"/>
  <c r="B8112" i="1"/>
  <c r="O8111" i="1"/>
  <c r="E8111" i="1"/>
  <c r="B8111" i="1"/>
  <c r="O8110" i="1"/>
  <c r="E8110" i="1"/>
  <c r="B8110" i="1"/>
  <c r="O8109" i="1"/>
  <c r="E8109" i="1"/>
  <c r="B8109" i="1"/>
  <c r="O8108" i="1"/>
  <c r="E8108" i="1"/>
  <c r="B8108" i="1"/>
  <c r="O8107" i="1"/>
  <c r="E8107" i="1"/>
  <c r="B8107" i="1"/>
  <c r="O8106" i="1"/>
  <c r="E8106" i="1"/>
  <c r="B8106" i="1"/>
  <c r="O8105" i="1"/>
  <c r="E8105" i="1"/>
  <c r="B8105" i="1"/>
  <c r="O8104" i="1"/>
  <c r="E8104" i="1"/>
  <c r="B8104" i="1"/>
  <c r="O8103" i="1"/>
  <c r="E8103" i="1"/>
  <c r="B8103" i="1"/>
  <c r="O8102" i="1"/>
  <c r="E8102" i="1"/>
  <c r="B8102" i="1"/>
  <c r="O8101" i="1"/>
  <c r="E8101" i="1"/>
  <c r="B8101" i="1"/>
  <c r="O8100" i="1"/>
  <c r="E8100" i="1"/>
  <c r="B8100" i="1"/>
  <c r="O8099" i="1"/>
  <c r="E8099" i="1"/>
  <c r="B8099" i="1"/>
  <c r="O8098" i="1"/>
  <c r="E8098" i="1"/>
  <c r="B8098" i="1"/>
  <c r="O8097" i="1"/>
  <c r="E8097" i="1"/>
  <c r="B8097" i="1"/>
  <c r="O8096" i="1"/>
  <c r="E8096" i="1"/>
  <c r="B8096" i="1"/>
  <c r="O8095" i="1"/>
  <c r="E8095" i="1"/>
  <c r="B8095" i="1"/>
  <c r="O8094" i="1"/>
  <c r="E8094" i="1"/>
  <c r="B8094" i="1"/>
  <c r="O8093" i="1"/>
  <c r="E8093" i="1"/>
  <c r="B8093" i="1"/>
  <c r="O8092" i="1"/>
  <c r="E8092" i="1"/>
  <c r="B8092" i="1"/>
  <c r="O8091" i="1"/>
  <c r="E8091" i="1"/>
  <c r="B8091" i="1"/>
  <c r="O8090" i="1"/>
  <c r="E8090" i="1"/>
  <c r="B8090" i="1"/>
  <c r="O8089" i="1"/>
  <c r="E8089" i="1"/>
  <c r="B8089" i="1"/>
  <c r="O8088" i="1"/>
  <c r="E8088" i="1"/>
  <c r="B8088" i="1"/>
  <c r="O8087" i="1"/>
  <c r="E8087" i="1"/>
  <c r="B8087" i="1"/>
  <c r="O8086" i="1"/>
  <c r="E8086" i="1"/>
  <c r="B8086" i="1"/>
  <c r="O8085" i="1"/>
  <c r="E8085" i="1"/>
  <c r="B8085" i="1"/>
  <c r="O8084" i="1"/>
  <c r="E8084" i="1"/>
  <c r="B8084" i="1"/>
  <c r="O8083" i="1"/>
  <c r="E8083" i="1"/>
  <c r="B8083" i="1"/>
  <c r="O8082" i="1"/>
  <c r="E8082" i="1"/>
  <c r="B8082" i="1"/>
  <c r="O8081" i="1"/>
  <c r="E8081" i="1"/>
  <c r="B8081" i="1"/>
  <c r="O8080" i="1"/>
  <c r="E8080" i="1"/>
  <c r="B8080" i="1"/>
  <c r="O8079" i="1"/>
  <c r="E8079" i="1"/>
  <c r="B8079" i="1"/>
  <c r="O8078" i="1"/>
  <c r="E8078" i="1"/>
  <c r="B8078" i="1"/>
  <c r="O8077" i="1"/>
  <c r="E8077" i="1"/>
  <c r="B8077" i="1"/>
  <c r="O8076" i="1"/>
  <c r="E8076" i="1"/>
  <c r="B8076" i="1"/>
  <c r="O8075" i="1"/>
  <c r="E8075" i="1"/>
  <c r="B8075" i="1"/>
  <c r="O8074" i="1"/>
  <c r="E8074" i="1"/>
  <c r="B8074" i="1"/>
  <c r="O8073" i="1"/>
  <c r="E8073" i="1"/>
  <c r="B8073" i="1"/>
  <c r="O8072" i="1"/>
  <c r="E8072" i="1"/>
  <c r="B8072" i="1"/>
  <c r="O8071" i="1"/>
  <c r="E8071" i="1"/>
  <c r="B8071" i="1"/>
  <c r="O8070" i="1"/>
  <c r="E8070" i="1"/>
  <c r="B8070" i="1"/>
  <c r="O8069" i="1"/>
  <c r="E8069" i="1"/>
  <c r="B8069" i="1"/>
  <c r="O8068" i="1"/>
  <c r="E8068" i="1"/>
  <c r="B8068" i="1"/>
  <c r="O8067" i="1"/>
  <c r="E8067" i="1"/>
  <c r="B8067" i="1"/>
  <c r="O8066" i="1"/>
  <c r="E8066" i="1"/>
  <c r="B8066" i="1"/>
  <c r="O8065" i="1"/>
  <c r="E8065" i="1"/>
  <c r="B8065" i="1"/>
  <c r="O8064" i="1"/>
  <c r="E8064" i="1"/>
  <c r="B8064" i="1"/>
  <c r="O8063" i="1"/>
  <c r="E8063" i="1"/>
  <c r="B8063" i="1"/>
  <c r="O8062" i="1"/>
  <c r="E8062" i="1"/>
  <c r="B8062" i="1"/>
  <c r="O8061" i="1"/>
  <c r="E8061" i="1"/>
  <c r="B8061" i="1"/>
  <c r="O8060" i="1"/>
  <c r="E8060" i="1"/>
  <c r="B8060" i="1"/>
  <c r="O8059" i="1"/>
  <c r="E8059" i="1"/>
  <c r="B8059" i="1"/>
  <c r="O8058" i="1"/>
  <c r="E8058" i="1"/>
  <c r="B8058" i="1"/>
  <c r="O8057" i="1"/>
  <c r="E8057" i="1"/>
  <c r="B8057" i="1"/>
  <c r="O8056" i="1"/>
  <c r="E8056" i="1"/>
  <c r="B8056" i="1"/>
  <c r="O8055" i="1"/>
  <c r="E8055" i="1"/>
  <c r="B8055" i="1"/>
  <c r="O8054" i="1"/>
  <c r="E8054" i="1"/>
  <c r="B8054" i="1"/>
  <c r="O8053" i="1"/>
  <c r="E8053" i="1"/>
  <c r="B8053" i="1"/>
  <c r="O8052" i="1"/>
  <c r="E8052" i="1"/>
  <c r="B8052" i="1"/>
  <c r="O8051" i="1"/>
  <c r="E8051" i="1"/>
  <c r="B8051" i="1"/>
  <c r="O8050" i="1"/>
  <c r="E8050" i="1"/>
  <c r="B8050" i="1"/>
  <c r="O8049" i="1"/>
  <c r="E8049" i="1"/>
  <c r="B8049" i="1"/>
  <c r="O8048" i="1"/>
  <c r="E8048" i="1"/>
  <c r="B8048" i="1"/>
  <c r="O8047" i="1"/>
  <c r="E8047" i="1"/>
  <c r="B8047" i="1"/>
  <c r="O8046" i="1"/>
  <c r="E8046" i="1"/>
  <c r="B8046" i="1"/>
  <c r="O8045" i="1"/>
  <c r="E8045" i="1"/>
  <c r="B8045" i="1"/>
  <c r="O8044" i="1"/>
  <c r="E8044" i="1"/>
  <c r="B8044" i="1"/>
  <c r="O8043" i="1"/>
  <c r="E8043" i="1"/>
  <c r="B8043" i="1"/>
  <c r="O8042" i="1"/>
  <c r="E8042" i="1"/>
  <c r="B8042" i="1"/>
  <c r="O8041" i="1"/>
  <c r="E8041" i="1"/>
  <c r="B8041" i="1"/>
  <c r="O8040" i="1"/>
  <c r="E8040" i="1"/>
  <c r="B8040" i="1"/>
  <c r="O8039" i="1"/>
  <c r="E8039" i="1"/>
  <c r="B8039" i="1"/>
  <c r="O8038" i="1"/>
  <c r="E8038" i="1"/>
  <c r="B8038" i="1"/>
  <c r="O8037" i="1"/>
  <c r="E8037" i="1"/>
  <c r="B8037" i="1"/>
  <c r="O8036" i="1"/>
  <c r="E8036" i="1"/>
  <c r="B8036" i="1"/>
  <c r="O8035" i="1"/>
  <c r="E8035" i="1"/>
  <c r="B8035" i="1"/>
  <c r="O8034" i="1"/>
  <c r="E8034" i="1"/>
  <c r="B8034" i="1"/>
  <c r="O8033" i="1"/>
  <c r="E8033" i="1"/>
  <c r="B8033" i="1"/>
  <c r="O8032" i="1"/>
  <c r="E8032" i="1"/>
  <c r="B8032" i="1"/>
  <c r="O8031" i="1"/>
  <c r="E8031" i="1"/>
  <c r="B8031" i="1"/>
  <c r="O8030" i="1"/>
  <c r="E8030" i="1"/>
  <c r="B8030" i="1"/>
  <c r="O8029" i="1"/>
  <c r="E8029" i="1"/>
  <c r="B8029" i="1"/>
  <c r="O8028" i="1"/>
  <c r="E8028" i="1"/>
  <c r="B8028" i="1"/>
  <c r="O8027" i="1"/>
  <c r="E8027" i="1"/>
  <c r="B8027" i="1"/>
  <c r="O8026" i="1"/>
  <c r="E8026" i="1"/>
  <c r="B8026" i="1"/>
  <c r="O8025" i="1"/>
  <c r="E8025" i="1"/>
  <c r="B8025" i="1"/>
  <c r="O8024" i="1"/>
  <c r="E8024" i="1"/>
  <c r="B8024" i="1"/>
  <c r="O8023" i="1"/>
  <c r="E8023" i="1"/>
  <c r="B8023" i="1"/>
  <c r="O8022" i="1"/>
  <c r="E8022" i="1"/>
  <c r="B8022" i="1"/>
  <c r="O8021" i="1"/>
  <c r="E8021" i="1"/>
  <c r="B8021" i="1"/>
  <c r="O8020" i="1"/>
  <c r="E8020" i="1"/>
  <c r="B8020" i="1"/>
  <c r="O8019" i="1"/>
  <c r="E8019" i="1"/>
  <c r="B8019" i="1"/>
  <c r="O8018" i="1"/>
  <c r="E8018" i="1"/>
  <c r="B8018" i="1"/>
  <c r="O8017" i="1"/>
  <c r="E8017" i="1"/>
  <c r="B8017" i="1"/>
  <c r="O8016" i="1"/>
  <c r="E8016" i="1"/>
  <c r="B8016" i="1"/>
  <c r="O8015" i="1"/>
  <c r="E8015" i="1"/>
  <c r="B8015" i="1"/>
  <c r="O8014" i="1"/>
  <c r="E8014" i="1"/>
  <c r="B8014" i="1"/>
  <c r="O8013" i="1"/>
  <c r="E8013" i="1"/>
  <c r="B8013" i="1"/>
  <c r="O8012" i="1"/>
  <c r="E8012" i="1"/>
  <c r="B8012" i="1"/>
  <c r="O8011" i="1"/>
  <c r="E8011" i="1"/>
  <c r="B8011" i="1"/>
  <c r="O8010" i="1"/>
  <c r="E8010" i="1"/>
  <c r="B8010" i="1"/>
  <c r="O8009" i="1"/>
  <c r="E8009" i="1"/>
  <c r="B8009" i="1"/>
  <c r="O8008" i="1"/>
  <c r="E8008" i="1"/>
  <c r="B8008" i="1"/>
  <c r="O8007" i="1"/>
  <c r="E8007" i="1"/>
  <c r="B8007" i="1"/>
  <c r="O8006" i="1"/>
  <c r="E8006" i="1"/>
  <c r="B8006" i="1"/>
  <c r="O8005" i="1"/>
  <c r="E8005" i="1"/>
  <c r="B8005" i="1"/>
  <c r="O8004" i="1"/>
  <c r="E8004" i="1"/>
  <c r="B8004" i="1"/>
  <c r="O8003" i="1"/>
  <c r="E8003" i="1"/>
  <c r="B8003" i="1"/>
  <c r="O8002" i="1"/>
  <c r="E8002" i="1"/>
  <c r="B8002" i="1"/>
  <c r="O8001" i="1"/>
  <c r="E8001" i="1"/>
  <c r="B8001" i="1"/>
  <c r="O8000" i="1"/>
  <c r="E8000" i="1"/>
  <c r="B8000" i="1"/>
  <c r="O7999" i="1"/>
  <c r="E7999" i="1"/>
  <c r="B7999" i="1"/>
  <c r="O7998" i="1"/>
  <c r="E7998" i="1"/>
  <c r="B7998" i="1"/>
  <c r="O7997" i="1"/>
  <c r="E7997" i="1"/>
  <c r="B7997" i="1"/>
  <c r="O7996" i="1"/>
  <c r="E7996" i="1"/>
  <c r="B7996" i="1"/>
  <c r="O7995" i="1"/>
  <c r="E7995" i="1"/>
  <c r="B7995" i="1"/>
  <c r="O7994" i="1"/>
  <c r="E7994" i="1"/>
  <c r="B7994" i="1"/>
  <c r="O7993" i="1"/>
  <c r="E7993" i="1"/>
  <c r="B7993" i="1"/>
  <c r="O7992" i="1"/>
  <c r="E7992" i="1"/>
  <c r="B7992" i="1"/>
  <c r="O7991" i="1"/>
  <c r="E7991" i="1"/>
  <c r="B7991" i="1"/>
  <c r="O7990" i="1"/>
  <c r="E7990" i="1"/>
  <c r="B7990" i="1"/>
  <c r="O7989" i="1"/>
  <c r="E7989" i="1"/>
  <c r="B7989" i="1"/>
  <c r="O7988" i="1"/>
  <c r="E7988" i="1"/>
  <c r="B7988" i="1"/>
  <c r="O7987" i="1"/>
  <c r="E7987" i="1"/>
  <c r="B7987" i="1"/>
  <c r="O7986" i="1"/>
  <c r="E7986" i="1"/>
  <c r="B7986" i="1"/>
  <c r="O7985" i="1"/>
  <c r="E7985" i="1"/>
  <c r="B7985" i="1"/>
  <c r="O7984" i="1"/>
  <c r="E7984" i="1"/>
  <c r="B7984" i="1"/>
  <c r="O7983" i="1"/>
  <c r="E7983" i="1"/>
  <c r="B7983" i="1"/>
  <c r="O7982" i="1"/>
  <c r="E7982" i="1"/>
  <c r="B7982" i="1"/>
  <c r="O7981" i="1"/>
  <c r="E7981" i="1"/>
  <c r="B7981" i="1"/>
  <c r="O7980" i="1"/>
  <c r="E7980" i="1"/>
  <c r="B7980" i="1"/>
  <c r="O7979" i="1"/>
  <c r="E7979" i="1"/>
  <c r="B7979" i="1"/>
  <c r="O7978" i="1"/>
  <c r="E7978" i="1"/>
  <c r="B7978" i="1"/>
  <c r="O7977" i="1"/>
  <c r="E7977" i="1"/>
  <c r="B7977" i="1"/>
  <c r="O7976" i="1"/>
  <c r="E7976" i="1"/>
  <c r="B7976" i="1"/>
  <c r="O7975" i="1"/>
  <c r="E7975" i="1"/>
  <c r="B7975" i="1"/>
  <c r="O7974" i="1"/>
  <c r="E7974" i="1"/>
  <c r="B7974" i="1"/>
  <c r="O7973" i="1"/>
  <c r="E7973" i="1"/>
  <c r="B7973" i="1"/>
  <c r="O7972" i="1"/>
  <c r="E7972" i="1"/>
  <c r="B7972" i="1"/>
  <c r="O7971" i="1"/>
  <c r="E7971" i="1"/>
  <c r="B7971" i="1"/>
  <c r="O7970" i="1"/>
  <c r="E7970" i="1"/>
  <c r="B7970" i="1"/>
  <c r="O7969" i="1"/>
  <c r="E7969" i="1"/>
  <c r="B7969" i="1"/>
  <c r="O7968" i="1"/>
  <c r="E7968" i="1"/>
  <c r="B7968" i="1"/>
  <c r="O7967" i="1"/>
  <c r="E7967" i="1"/>
  <c r="B7967" i="1"/>
  <c r="O7966" i="1"/>
  <c r="E7966" i="1"/>
  <c r="B7966" i="1"/>
  <c r="O7965" i="1"/>
  <c r="E7965" i="1"/>
  <c r="B7965" i="1"/>
  <c r="O7964" i="1"/>
  <c r="E7964" i="1"/>
  <c r="B7964" i="1"/>
  <c r="O7963" i="1"/>
  <c r="E7963" i="1"/>
  <c r="B7963" i="1"/>
  <c r="O7962" i="1"/>
  <c r="E7962" i="1"/>
  <c r="B7962" i="1"/>
  <c r="O7961" i="1"/>
  <c r="E7961" i="1"/>
  <c r="B7961" i="1"/>
  <c r="O7960" i="1"/>
  <c r="E7960" i="1"/>
  <c r="B7960" i="1"/>
  <c r="O7959" i="1"/>
  <c r="E7959" i="1"/>
  <c r="B7959" i="1"/>
  <c r="O7958" i="1"/>
  <c r="E7958" i="1"/>
  <c r="B7958" i="1"/>
  <c r="O7957" i="1"/>
  <c r="E7957" i="1"/>
  <c r="B7957" i="1"/>
  <c r="O7956" i="1"/>
  <c r="E7956" i="1"/>
  <c r="B7956" i="1"/>
  <c r="O7955" i="1"/>
  <c r="E7955" i="1"/>
  <c r="B7955" i="1"/>
  <c r="O7954" i="1"/>
  <c r="E7954" i="1"/>
  <c r="B7954" i="1"/>
  <c r="O7953" i="1"/>
  <c r="E7953" i="1"/>
  <c r="B7953" i="1"/>
  <c r="O7952" i="1"/>
  <c r="E7952" i="1"/>
  <c r="B7952" i="1"/>
  <c r="O7951" i="1"/>
  <c r="E7951" i="1"/>
  <c r="B7951" i="1"/>
  <c r="O7950" i="1"/>
  <c r="E7950" i="1"/>
  <c r="B7950" i="1"/>
  <c r="O7949" i="1"/>
  <c r="E7949" i="1"/>
  <c r="B7949" i="1"/>
  <c r="O7948" i="1"/>
  <c r="E7948" i="1"/>
  <c r="B7948" i="1"/>
  <c r="O7947" i="1"/>
  <c r="E7947" i="1"/>
  <c r="B7947" i="1"/>
  <c r="O7946" i="1"/>
  <c r="E7946" i="1"/>
  <c r="B7946" i="1"/>
  <c r="O7945" i="1"/>
  <c r="E7945" i="1"/>
  <c r="B7945" i="1"/>
  <c r="O7944" i="1"/>
  <c r="E7944" i="1"/>
  <c r="B7944" i="1"/>
  <c r="O7943" i="1"/>
  <c r="E7943" i="1"/>
  <c r="B7943" i="1"/>
  <c r="O7942" i="1"/>
  <c r="E7942" i="1"/>
  <c r="B7942" i="1"/>
  <c r="O7941" i="1"/>
  <c r="E7941" i="1"/>
  <c r="B7941" i="1"/>
  <c r="O7940" i="1"/>
  <c r="E7940" i="1"/>
  <c r="B7940" i="1"/>
  <c r="O7939" i="1"/>
  <c r="E7939" i="1"/>
  <c r="B7939" i="1"/>
  <c r="O7938" i="1"/>
  <c r="E7938" i="1"/>
  <c r="B7938" i="1"/>
  <c r="O7937" i="1"/>
  <c r="E7937" i="1"/>
  <c r="B7937" i="1"/>
  <c r="O7936" i="1"/>
  <c r="E7936" i="1"/>
  <c r="B7936" i="1"/>
  <c r="O7935" i="1"/>
  <c r="E7935" i="1"/>
  <c r="B7935" i="1"/>
  <c r="O7934" i="1"/>
  <c r="E7934" i="1"/>
  <c r="B7934" i="1"/>
  <c r="O7933" i="1"/>
  <c r="E7933" i="1"/>
  <c r="B7933" i="1"/>
  <c r="O7932" i="1"/>
  <c r="E7932" i="1"/>
  <c r="B7932" i="1"/>
  <c r="O7931" i="1"/>
  <c r="E7931" i="1"/>
  <c r="B7931" i="1"/>
  <c r="O7930" i="1"/>
  <c r="E7930" i="1"/>
  <c r="B7930" i="1"/>
  <c r="O7929" i="1"/>
  <c r="E7929" i="1"/>
  <c r="B7929" i="1"/>
  <c r="O7928" i="1"/>
  <c r="E7928" i="1"/>
  <c r="B7928" i="1"/>
  <c r="O7927" i="1"/>
  <c r="E7927" i="1"/>
  <c r="B7927" i="1"/>
  <c r="O7926" i="1"/>
  <c r="E7926" i="1"/>
  <c r="B7926" i="1"/>
  <c r="O7925" i="1"/>
  <c r="E7925" i="1"/>
  <c r="B7925" i="1"/>
  <c r="O7924" i="1"/>
  <c r="E7924" i="1"/>
  <c r="B7924" i="1"/>
  <c r="O7923" i="1"/>
  <c r="E7923" i="1"/>
  <c r="B7923" i="1"/>
  <c r="O7922" i="1"/>
  <c r="E7922" i="1"/>
  <c r="B7922" i="1"/>
  <c r="O7921" i="1"/>
  <c r="E7921" i="1"/>
  <c r="B7921" i="1"/>
  <c r="O7920" i="1"/>
  <c r="E7920" i="1"/>
  <c r="B7920" i="1"/>
  <c r="O7919" i="1"/>
  <c r="E7919" i="1"/>
  <c r="B7919" i="1"/>
  <c r="O7918" i="1"/>
  <c r="E7918" i="1"/>
  <c r="B7918" i="1"/>
  <c r="O7917" i="1"/>
  <c r="E7917" i="1"/>
  <c r="B7917" i="1"/>
  <c r="O7916" i="1"/>
  <c r="E7916" i="1"/>
  <c r="B7916" i="1"/>
  <c r="O7915" i="1"/>
  <c r="E7915" i="1"/>
  <c r="B7915" i="1"/>
  <c r="O7914" i="1"/>
  <c r="E7914" i="1"/>
  <c r="B7914" i="1"/>
  <c r="O7913" i="1"/>
  <c r="E7913" i="1"/>
  <c r="B7913" i="1"/>
  <c r="O7912" i="1"/>
  <c r="E7912" i="1"/>
  <c r="B7912" i="1"/>
  <c r="O7911" i="1"/>
  <c r="E7911" i="1"/>
  <c r="B7911" i="1"/>
  <c r="O7910" i="1"/>
  <c r="E7910" i="1"/>
  <c r="B7910" i="1"/>
  <c r="O7909" i="1"/>
  <c r="E7909" i="1"/>
  <c r="B7909" i="1"/>
  <c r="O7908" i="1"/>
  <c r="E7908" i="1"/>
  <c r="B7908" i="1"/>
  <c r="O7907" i="1"/>
  <c r="E7907" i="1"/>
  <c r="B7907" i="1"/>
  <c r="O7906" i="1"/>
  <c r="E7906" i="1"/>
  <c r="B7906" i="1"/>
  <c r="O7905" i="1"/>
  <c r="E7905" i="1"/>
  <c r="B7905" i="1"/>
  <c r="O7904" i="1"/>
  <c r="E7904" i="1"/>
  <c r="B7904" i="1"/>
  <c r="O7903" i="1"/>
  <c r="E7903" i="1"/>
  <c r="B7903" i="1"/>
  <c r="O7902" i="1"/>
  <c r="E7902" i="1"/>
  <c r="B7902" i="1"/>
  <c r="O7901" i="1"/>
  <c r="E7901" i="1"/>
  <c r="B7901" i="1"/>
  <c r="O7900" i="1"/>
  <c r="E7900" i="1"/>
  <c r="B7900" i="1"/>
  <c r="O7899" i="1"/>
  <c r="E7899" i="1"/>
  <c r="B7899" i="1"/>
  <c r="O7898" i="1"/>
  <c r="E7898" i="1"/>
  <c r="B7898" i="1"/>
  <c r="O7897" i="1"/>
  <c r="E7897" i="1"/>
  <c r="B7897" i="1"/>
  <c r="O7896" i="1"/>
  <c r="E7896" i="1"/>
  <c r="B7896" i="1"/>
  <c r="O7895" i="1"/>
  <c r="E7895" i="1"/>
  <c r="B7895" i="1"/>
  <c r="O7894" i="1"/>
  <c r="E7894" i="1"/>
  <c r="B7894" i="1"/>
  <c r="O7893" i="1"/>
  <c r="E7893" i="1"/>
  <c r="B7893" i="1"/>
  <c r="O7892" i="1"/>
  <c r="E7892" i="1"/>
  <c r="B7892" i="1"/>
  <c r="O7891" i="1"/>
  <c r="E7891" i="1"/>
  <c r="B7891" i="1"/>
  <c r="O7890" i="1"/>
  <c r="E7890" i="1"/>
  <c r="B7890" i="1"/>
  <c r="O7889" i="1"/>
  <c r="E7889" i="1"/>
  <c r="B7889" i="1"/>
  <c r="O7888" i="1"/>
  <c r="E7888" i="1"/>
  <c r="B7888" i="1"/>
  <c r="O7887" i="1"/>
  <c r="E7887" i="1"/>
  <c r="B7887" i="1"/>
  <c r="O7886" i="1"/>
  <c r="E7886" i="1"/>
  <c r="B7886" i="1"/>
  <c r="O7885" i="1"/>
  <c r="E7885" i="1"/>
  <c r="B7885" i="1"/>
  <c r="O7884" i="1"/>
  <c r="E7884" i="1"/>
  <c r="B7884" i="1"/>
  <c r="O7883" i="1"/>
  <c r="E7883" i="1"/>
  <c r="B7883" i="1"/>
  <c r="O7882" i="1"/>
  <c r="E7882" i="1"/>
  <c r="B7882" i="1"/>
  <c r="O7881" i="1"/>
  <c r="E7881" i="1"/>
  <c r="B7881" i="1"/>
  <c r="O7880" i="1"/>
  <c r="E7880" i="1"/>
  <c r="B7880" i="1"/>
  <c r="O7879" i="1"/>
  <c r="E7879" i="1"/>
  <c r="B7879" i="1"/>
  <c r="O7878" i="1"/>
  <c r="E7878" i="1"/>
  <c r="B7878" i="1"/>
  <c r="O7877" i="1"/>
  <c r="E7877" i="1"/>
  <c r="B7877" i="1"/>
  <c r="O7876" i="1"/>
  <c r="E7876" i="1"/>
  <c r="B7876" i="1"/>
  <c r="O7875" i="1"/>
  <c r="E7875" i="1"/>
  <c r="B7875" i="1"/>
  <c r="O7874" i="1"/>
  <c r="E7874" i="1"/>
  <c r="B7874" i="1"/>
  <c r="O7873" i="1"/>
  <c r="E7873" i="1"/>
  <c r="B7873" i="1"/>
  <c r="O7872" i="1"/>
  <c r="E7872" i="1"/>
  <c r="B7872" i="1"/>
  <c r="O7871" i="1"/>
  <c r="E7871" i="1"/>
  <c r="B7871" i="1"/>
  <c r="O7870" i="1"/>
  <c r="E7870" i="1"/>
  <c r="B7870" i="1"/>
  <c r="O7869" i="1"/>
  <c r="E7869" i="1"/>
  <c r="B7869" i="1"/>
  <c r="O7868" i="1"/>
  <c r="E7868" i="1"/>
  <c r="B7868" i="1"/>
  <c r="O7867" i="1"/>
  <c r="E7867" i="1"/>
  <c r="B7867" i="1"/>
  <c r="O7866" i="1"/>
  <c r="E7866" i="1"/>
  <c r="B7866" i="1"/>
  <c r="O7865" i="1"/>
  <c r="E7865" i="1"/>
  <c r="B7865" i="1"/>
  <c r="O7864" i="1"/>
  <c r="E7864" i="1"/>
  <c r="B7864" i="1"/>
  <c r="O7863" i="1"/>
  <c r="E7863" i="1"/>
  <c r="B7863" i="1"/>
  <c r="O7862" i="1"/>
  <c r="E7862" i="1"/>
  <c r="B7862" i="1"/>
  <c r="O7861" i="1"/>
  <c r="E7861" i="1"/>
  <c r="B7861" i="1"/>
  <c r="O7860" i="1"/>
  <c r="E7860" i="1"/>
  <c r="B7860" i="1"/>
  <c r="O7859" i="1"/>
  <c r="E7859" i="1"/>
  <c r="B7859" i="1"/>
  <c r="O7858" i="1"/>
  <c r="E7858" i="1"/>
  <c r="B7858" i="1"/>
  <c r="O7857" i="1"/>
  <c r="E7857" i="1"/>
  <c r="B7857" i="1"/>
  <c r="O7856" i="1"/>
  <c r="E7856" i="1"/>
  <c r="B7856" i="1"/>
  <c r="O7855" i="1"/>
  <c r="E7855" i="1"/>
  <c r="B7855" i="1"/>
  <c r="O7854" i="1"/>
  <c r="E7854" i="1"/>
  <c r="B7854" i="1"/>
  <c r="O7853" i="1"/>
  <c r="E7853" i="1"/>
  <c r="B7853" i="1"/>
  <c r="O7852" i="1"/>
  <c r="E7852" i="1"/>
  <c r="B7852" i="1"/>
  <c r="O7851" i="1"/>
  <c r="E7851" i="1"/>
  <c r="B7851" i="1"/>
  <c r="O7850" i="1"/>
  <c r="E7850" i="1"/>
  <c r="B7850" i="1"/>
  <c r="O7849" i="1"/>
  <c r="E7849" i="1"/>
  <c r="B7849" i="1"/>
  <c r="O7848" i="1"/>
  <c r="E7848" i="1"/>
  <c r="B7848" i="1"/>
  <c r="O7847" i="1"/>
  <c r="E7847" i="1"/>
  <c r="B7847" i="1"/>
  <c r="O7846" i="1"/>
  <c r="E7846" i="1"/>
  <c r="B7846" i="1"/>
  <c r="O7845" i="1"/>
  <c r="E7845" i="1"/>
  <c r="B7845" i="1"/>
  <c r="O7844" i="1"/>
  <c r="E7844" i="1"/>
  <c r="B7844" i="1"/>
  <c r="O7843" i="1"/>
  <c r="E7843" i="1"/>
  <c r="B7843" i="1"/>
  <c r="O7842" i="1"/>
  <c r="E7842" i="1"/>
  <c r="B7842" i="1"/>
  <c r="O7841" i="1"/>
  <c r="E7841" i="1"/>
  <c r="B7841" i="1"/>
  <c r="O7840" i="1"/>
  <c r="E7840" i="1"/>
  <c r="B7840" i="1"/>
  <c r="O7839" i="1"/>
  <c r="E7839" i="1"/>
  <c r="B7839" i="1"/>
  <c r="O7838" i="1"/>
  <c r="E7838" i="1"/>
  <c r="B7838" i="1"/>
  <c r="O7837" i="1"/>
  <c r="E7837" i="1"/>
  <c r="B7837" i="1"/>
  <c r="O7836" i="1"/>
  <c r="E7836" i="1"/>
  <c r="B7836" i="1"/>
  <c r="O7835" i="1"/>
  <c r="E7835" i="1"/>
  <c r="B7835" i="1"/>
  <c r="O7834" i="1"/>
  <c r="E7834" i="1"/>
  <c r="B7834" i="1"/>
  <c r="O7833" i="1"/>
  <c r="E7833" i="1"/>
  <c r="B7833" i="1"/>
  <c r="O7832" i="1"/>
  <c r="E7832" i="1"/>
  <c r="B7832" i="1"/>
  <c r="O7831" i="1"/>
  <c r="E7831" i="1"/>
  <c r="B7831" i="1"/>
  <c r="O7830" i="1"/>
  <c r="E7830" i="1"/>
  <c r="B7830" i="1"/>
  <c r="O7829" i="1"/>
  <c r="E7829" i="1"/>
  <c r="B7829" i="1"/>
  <c r="O7828" i="1"/>
  <c r="E7828" i="1"/>
  <c r="B7828" i="1"/>
  <c r="O7827" i="1"/>
  <c r="E7827" i="1"/>
  <c r="B7827" i="1"/>
  <c r="O7826" i="1"/>
  <c r="E7826" i="1"/>
  <c r="B7826" i="1"/>
  <c r="O7825" i="1"/>
  <c r="E7825" i="1"/>
  <c r="B7825" i="1"/>
  <c r="O7824" i="1"/>
  <c r="E7824" i="1"/>
  <c r="B7824" i="1"/>
  <c r="O7823" i="1"/>
  <c r="E7823" i="1"/>
  <c r="B7823" i="1"/>
  <c r="O7822" i="1"/>
  <c r="E7822" i="1"/>
  <c r="B7822" i="1"/>
  <c r="O7821" i="1"/>
  <c r="E7821" i="1"/>
  <c r="B7821" i="1"/>
  <c r="O7820" i="1"/>
  <c r="E7820" i="1"/>
  <c r="B7820" i="1"/>
  <c r="O7819" i="1"/>
  <c r="E7819" i="1"/>
  <c r="B7819" i="1"/>
  <c r="O7818" i="1"/>
  <c r="E7818" i="1"/>
  <c r="B7818" i="1"/>
  <c r="O7817" i="1"/>
  <c r="E7817" i="1"/>
  <c r="B7817" i="1"/>
  <c r="O7816" i="1"/>
  <c r="E7816" i="1"/>
  <c r="B7816" i="1"/>
  <c r="O7815" i="1"/>
  <c r="E7815" i="1"/>
  <c r="B7815" i="1"/>
  <c r="O7814" i="1"/>
  <c r="E7814" i="1"/>
  <c r="B7814" i="1"/>
  <c r="O7813" i="1"/>
  <c r="E7813" i="1"/>
  <c r="B7813" i="1"/>
  <c r="O7812" i="1"/>
  <c r="E7812" i="1"/>
  <c r="B7812" i="1"/>
  <c r="O7811" i="1"/>
  <c r="E7811" i="1"/>
  <c r="B7811" i="1"/>
  <c r="O7810" i="1"/>
  <c r="E7810" i="1"/>
  <c r="B7810" i="1"/>
  <c r="O7809" i="1"/>
  <c r="E7809" i="1"/>
  <c r="B7809" i="1"/>
  <c r="O7808" i="1"/>
  <c r="E7808" i="1"/>
  <c r="B7808" i="1"/>
  <c r="O7807" i="1"/>
  <c r="E7807" i="1"/>
  <c r="B7807" i="1"/>
  <c r="O7806" i="1"/>
  <c r="E7806" i="1"/>
  <c r="B7806" i="1"/>
  <c r="O7805" i="1"/>
  <c r="E7805" i="1"/>
  <c r="B7805" i="1"/>
  <c r="O7804" i="1"/>
  <c r="E7804" i="1"/>
  <c r="B7804" i="1"/>
  <c r="O7803" i="1"/>
  <c r="E7803" i="1"/>
  <c r="B7803" i="1"/>
  <c r="O7802" i="1"/>
  <c r="E7802" i="1"/>
  <c r="B7802" i="1"/>
  <c r="O7801" i="1"/>
  <c r="E7801" i="1"/>
  <c r="B7801" i="1"/>
  <c r="O7800" i="1"/>
  <c r="E7800" i="1"/>
  <c r="B7800" i="1"/>
  <c r="O7799" i="1"/>
  <c r="E7799" i="1"/>
  <c r="B7799" i="1"/>
  <c r="O7798" i="1"/>
  <c r="E7798" i="1"/>
  <c r="B7798" i="1"/>
  <c r="O7797" i="1"/>
  <c r="E7797" i="1"/>
  <c r="B7797" i="1"/>
  <c r="O7796" i="1"/>
  <c r="E7796" i="1"/>
  <c r="B7796" i="1"/>
  <c r="O7795" i="1"/>
  <c r="E7795" i="1"/>
  <c r="B7795" i="1"/>
  <c r="O7794" i="1"/>
  <c r="E7794" i="1"/>
  <c r="B7794" i="1"/>
  <c r="O7793" i="1"/>
  <c r="E7793" i="1"/>
  <c r="B7793" i="1"/>
  <c r="O7792" i="1"/>
  <c r="E7792" i="1"/>
  <c r="B7792" i="1"/>
  <c r="O7791" i="1"/>
  <c r="E7791" i="1"/>
  <c r="B7791" i="1"/>
  <c r="O7790" i="1"/>
  <c r="E7790" i="1"/>
  <c r="B7790" i="1"/>
  <c r="O7789" i="1"/>
  <c r="E7789" i="1"/>
  <c r="B7789" i="1"/>
  <c r="O7788" i="1"/>
  <c r="E7788" i="1"/>
  <c r="B7788" i="1"/>
  <c r="O7787" i="1"/>
  <c r="E7787" i="1"/>
  <c r="B7787" i="1"/>
  <c r="O7786" i="1"/>
  <c r="E7786" i="1"/>
  <c r="B7786" i="1"/>
  <c r="O7785" i="1"/>
  <c r="E7785" i="1"/>
  <c r="B7785" i="1"/>
  <c r="O7784" i="1"/>
  <c r="E7784" i="1"/>
  <c r="B7784" i="1"/>
  <c r="O7783" i="1"/>
  <c r="E7783" i="1"/>
  <c r="B7783" i="1"/>
  <c r="O7782" i="1"/>
  <c r="E7782" i="1"/>
  <c r="B7782" i="1"/>
  <c r="O7781" i="1"/>
  <c r="E7781" i="1"/>
  <c r="B7781" i="1"/>
  <c r="O7780" i="1"/>
  <c r="E7780" i="1"/>
  <c r="B7780" i="1"/>
  <c r="O7779" i="1"/>
  <c r="E7779" i="1"/>
  <c r="B7779" i="1"/>
  <c r="O7778" i="1"/>
  <c r="E7778" i="1"/>
  <c r="B7778" i="1"/>
  <c r="O7777" i="1"/>
  <c r="E7777" i="1"/>
  <c r="B7777" i="1"/>
  <c r="O7776" i="1"/>
  <c r="E7776" i="1"/>
  <c r="B7776" i="1"/>
  <c r="O7775" i="1"/>
  <c r="E7775" i="1"/>
  <c r="B7775" i="1"/>
  <c r="O7774" i="1"/>
  <c r="E7774" i="1"/>
  <c r="B7774" i="1"/>
  <c r="O7773" i="1"/>
  <c r="E7773" i="1"/>
  <c r="B7773" i="1"/>
  <c r="O7772" i="1"/>
  <c r="E7772" i="1"/>
  <c r="B7772" i="1"/>
  <c r="O7771" i="1"/>
  <c r="E7771" i="1"/>
  <c r="B7771" i="1"/>
  <c r="O7770" i="1"/>
  <c r="E7770" i="1"/>
  <c r="B7770" i="1"/>
  <c r="O7769" i="1"/>
  <c r="E7769" i="1"/>
  <c r="B7769" i="1"/>
  <c r="O7768" i="1"/>
  <c r="E7768" i="1"/>
  <c r="B7768" i="1"/>
  <c r="O7767" i="1"/>
  <c r="E7767" i="1"/>
  <c r="B7767" i="1"/>
  <c r="O7766" i="1"/>
  <c r="E7766" i="1"/>
  <c r="B7766" i="1"/>
  <c r="O7765" i="1"/>
  <c r="E7765" i="1"/>
  <c r="B7765" i="1"/>
  <c r="O7764" i="1"/>
  <c r="E7764" i="1"/>
  <c r="B7764" i="1"/>
  <c r="O7763" i="1"/>
  <c r="E7763" i="1"/>
  <c r="B7763" i="1"/>
  <c r="O7762" i="1"/>
  <c r="E7762" i="1"/>
  <c r="B7762" i="1"/>
  <c r="O7761" i="1"/>
  <c r="E7761" i="1"/>
  <c r="B7761" i="1"/>
  <c r="O7760" i="1"/>
  <c r="E7760" i="1"/>
  <c r="B7760" i="1"/>
  <c r="O7759" i="1"/>
  <c r="E7759" i="1"/>
  <c r="B7759" i="1"/>
  <c r="O7758" i="1"/>
  <c r="E7758" i="1"/>
  <c r="B7758" i="1"/>
  <c r="O7757" i="1"/>
  <c r="E7757" i="1"/>
  <c r="B7757" i="1"/>
  <c r="O7756" i="1"/>
  <c r="E7756" i="1"/>
  <c r="B7756" i="1"/>
  <c r="O7755" i="1"/>
  <c r="E7755" i="1"/>
  <c r="B7755" i="1"/>
  <c r="O7754" i="1"/>
  <c r="E7754" i="1"/>
  <c r="B7754" i="1"/>
  <c r="O7753" i="1"/>
  <c r="E7753" i="1"/>
  <c r="B7753" i="1"/>
  <c r="O7752" i="1"/>
  <c r="E7752" i="1"/>
  <c r="B7752" i="1"/>
  <c r="O7751" i="1"/>
  <c r="E7751" i="1"/>
  <c r="B7751" i="1"/>
  <c r="O7750" i="1"/>
  <c r="E7750" i="1"/>
  <c r="B7750" i="1"/>
  <c r="O7749" i="1"/>
  <c r="E7749" i="1"/>
  <c r="B7749" i="1"/>
  <c r="O7748" i="1"/>
  <c r="E7748" i="1"/>
  <c r="B7748" i="1"/>
  <c r="O7747" i="1"/>
  <c r="E7747" i="1"/>
  <c r="B7747" i="1"/>
  <c r="O7746" i="1"/>
  <c r="E7746" i="1"/>
  <c r="B7746" i="1"/>
  <c r="O7745" i="1"/>
  <c r="E7745" i="1"/>
  <c r="B7745" i="1"/>
  <c r="O7744" i="1"/>
  <c r="E7744" i="1"/>
  <c r="B7744" i="1"/>
  <c r="O7743" i="1"/>
  <c r="E7743" i="1"/>
  <c r="B7743" i="1"/>
  <c r="O7742" i="1"/>
  <c r="E7742" i="1"/>
  <c r="B7742" i="1"/>
  <c r="O7741" i="1"/>
  <c r="E7741" i="1"/>
  <c r="B7741" i="1"/>
  <c r="O7740" i="1"/>
  <c r="E7740" i="1"/>
  <c r="B7740" i="1"/>
  <c r="O7739" i="1"/>
  <c r="E7739" i="1"/>
  <c r="B7739" i="1"/>
  <c r="O7738" i="1"/>
  <c r="E7738" i="1"/>
  <c r="B7738" i="1"/>
  <c r="O7737" i="1"/>
  <c r="E7737" i="1"/>
  <c r="B7737" i="1"/>
  <c r="O7736" i="1"/>
  <c r="E7736" i="1"/>
  <c r="B7736" i="1"/>
  <c r="O7735" i="1"/>
  <c r="E7735" i="1"/>
  <c r="B7735" i="1"/>
  <c r="O7734" i="1"/>
  <c r="E7734" i="1"/>
  <c r="B7734" i="1"/>
  <c r="O7733" i="1"/>
  <c r="E7733" i="1"/>
  <c r="B7733" i="1"/>
  <c r="O7732" i="1"/>
  <c r="E7732" i="1"/>
  <c r="B7732" i="1"/>
  <c r="O7731" i="1"/>
  <c r="E7731" i="1"/>
  <c r="B7731" i="1"/>
  <c r="O7730" i="1"/>
  <c r="E7730" i="1"/>
  <c r="B7730" i="1"/>
  <c r="O7729" i="1"/>
  <c r="E7729" i="1"/>
  <c r="B7729" i="1"/>
  <c r="O7728" i="1"/>
  <c r="E7728" i="1"/>
  <c r="B7728" i="1"/>
  <c r="O7727" i="1"/>
  <c r="E7727" i="1"/>
  <c r="B7727" i="1"/>
  <c r="O7726" i="1"/>
  <c r="E7726" i="1"/>
  <c r="B7726" i="1"/>
  <c r="O7725" i="1"/>
  <c r="E7725" i="1"/>
  <c r="B7725" i="1"/>
  <c r="O7724" i="1"/>
  <c r="E7724" i="1"/>
  <c r="B7724" i="1"/>
  <c r="O7723" i="1"/>
  <c r="E7723" i="1"/>
  <c r="B7723" i="1"/>
  <c r="O7722" i="1"/>
  <c r="E7722" i="1"/>
  <c r="B7722" i="1"/>
  <c r="O7721" i="1"/>
  <c r="E7721" i="1"/>
  <c r="B7721" i="1"/>
  <c r="O7720" i="1"/>
  <c r="E7720" i="1"/>
  <c r="B7720" i="1"/>
  <c r="O7719" i="1"/>
  <c r="E7719" i="1"/>
  <c r="B7719" i="1"/>
  <c r="O7718" i="1"/>
  <c r="E7718" i="1"/>
  <c r="B7718" i="1"/>
  <c r="O7717" i="1"/>
  <c r="E7717" i="1"/>
  <c r="B7717" i="1"/>
  <c r="O7716" i="1"/>
  <c r="E7716" i="1"/>
  <c r="B7716" i="1"/>
  <c r="O7715" i="1"/>
  <c r="E7715" i="1"/>
  <c r="B7715" i="1"/>
  <c r="O7714" i="1"/>
  <c r="E7714" i="1"/>
  <c r="B7714" i="1"/>
  <c r="O7713" i="1"/>
  <c r="E7713" i="1"/>
  <c r="B7713" i="1"/>
  <c r="O7712" i="1"/>
  <c r="E7712" i="1"/>
  <c r="B7712" i="1"/>
  <c r="O7711" i="1"/>
  <c r="E7711" i="1"/>
  <c r="B7711" i="1"/>
  <c r="O7710" i="1"/>
  <c r="E7710" i="1"/>
  <c r="B7710" i="1"/>
  <c r="O7709" i="1"/>
  <c r="E7709" i="1"/>
  <c r="B7709" i="1"/>
  <c r="O7708" i="1"/>
  <c r="E7708" i="1"/>
  <c r="B7708" i="1"/>
  <c r="O7707" i="1"/>
  <c r="E7707" i="1"/>
  <c r="B7707" i="1"/>
  <c r="O7706" i="1"/>
  <c r="E7706" i="1"/>
  <c r="B7706" i="1"/>
  <c r="O7705" i="1"/>
  <c r="E7705" i="1"/>
  <c r="B7705" i="1"/>
  <c r="O7704" i="1"/>
  <c r="E7704" i="1"/>
  <c r="B7704" i="1"/>
  <c r="O7703" i="1"/>
  <c r="E7703" i="1"/>
  <c r="B7703" i="1"/>
  <c r="O7702" i="1"/>
  <c r="E7702" i="1"/>
  <c r="B7702" i="1"/>
  <c r="O7701" i="1"/>
  <c r="E7701" i="1"/>
  <c r="B7701" i="1"/>
  <c r="O7700" i="1"/>
  <c r="E7700" i="1"/>
  <c r="B7700" i="1"/>
  <c r="O7699" i="1"/>
  <c r="E7699" i="1"/>
  <c r="B7699" i="1"/>
  <c r="O7698" i="1"/>
  <c r="E7698" i="1"/>
  <c r="B7698" i="1"/>
  <c r="O7697" i="1"/>
  <c r="E7697" i="1"/>
  <c r="B7697" i="1"/>
  <c r="O7696" i="1"/>
  <c r="E7696" i="1"/>
  <c r="B7696" i="1"/>
  <c r="O7695" i="1"/>
  <c r="E7695" i="1"/>
  <c r="B7695" i="1"/>
  <c r="O7694" i="1"/>
  <c r="E7694" i="1"/>
  <c r="B7694" i="1"/>
  <c r="O7693" i="1"/>
  <c r="E7693" i="1"/>
  <c r="B7693" i="1"/>
  <c r="O7692" i="1"/>
  <c r="E7692" i="1"/>
  <c r="B7692" i="1"/>
  <c r="O7691" i="1"/>
  <c r="E7691" i="1"/>
  <c r="B7691" i="1"/>
  <c r="O7690" i="1"/>
  <c r="E7690" i="1"/>
  <c r="B7690" i="1"/>
  <c r="O7689" i="1"/>
  <c r="E7689" i="1"/>
  <c r="B7689" i="1"/>
  <c r="O7688" i="1"/>
  <c r="E7688" i="1"/>
  <c r="B7688" i="1"/>
  <c r="O7687" i="1"/>
  <c r="E7687" i="1"/>
  <c r="B7687" i="1"/>
  <c r="O7686" i="1"/>
  <c r="E7686" i="1"/>
  <c r="B7686" i="1"/>
  <c r="O7685" i="1"/>
  <c r="E7685" i="1"/>
  <c r="B7685" i="1"/>
  <c r="O7684" i="1"/>
  <c r="E7684" i="1"/>
  <c r="B7684" i="1"/>
  <c r="O7683" i="1"/>
  <c r="E7683" i="1"/>
  <c r="B7683" i="1"/>
  <c r="O7682" i="1"/>
  <c r="E7682" i="1"/>
  <c r="B7682" i="1"/>
  <c r="O7681" i="1"/>
  <c r="E7681" i="1"/>
  <c r="B7681" i="1"/>
  <c r="O7680" i="1"/>
  <c r="E7680" i="1"/>
  <c r="B7680" i="1"/>
  <c r="O7679" i="1"/>
  <c r="E7679" i="1"/>
  <c r="B7679" i="1"/>
  <c r="O7678" i="1"/>
  <c r="E7678" i="1"/>
  <c r="B7678" i="1"/>
  <c r="O7677" i="1"/>
  <c r="E7677" i="1"/>
  <c r="B7677" i="1"/>
  <c r="O7676" i="1"/>
  <c r="E7676" i="1"/>
  <c r="B7676" i="1"/>
  <c r="O7675" i="1"/>
  <c r="E7675" i="1"/>
  <c r="B7675" i="1"/>
  <c r="O7674" i="1"/>
  <c r="E7674" i="1"/>
  <c r="B7674" i="1"/>
  <c r="O7673" i="1"/>
  <c r="E7673" i="1"/>
  <c r="B7673" i="1"/>
  <c r="O7672" i="1"/>
  <c r="E7672" i="1"/>
  <c r="B7672" i="1"/>
  <c r="O7671" i="1"/>
  <c r="E7671" i="1"/>
  <c r="B7671" i="1"/>
  <c r="O7670" i="1"/>
  <c r="E7670" i="1"/>
  <c r="B7670" i="1"/>
  <c r="O7669" i="1"/>
  <c r="E7669" i="1"/>
  <c r="B7669" i="1"/>
  <c r="O7668" i="1"/>
  <c r="E7668" i="1"/>
  <c r="B7668" i="1"/>
  <c r="O7667" i="1"/>
  <c r="E7667" i="1"/>
  <c r="B7667" i="1"/>
  <c r="O7666" i="1"/>
  <c r="E7666" i="1"/>
  <c r="B7666" i="1"/>
  <c r="O7665" i="1"/>
  <c r="E7665" i="1"/>
  <c r="B7665" i="1"/>
  <c r="O7664" i="1"/>
  <c r="E7664" i="1"/>
  <c r="B7664" i="1"/>
  <c r="O7663" i="1"/>
  <c r="E7663" i="1"/>
  <c r="B7663" i="1"/>
  <c r="O7662" i="1"/>
  <c r="E7662" i="1"/>
  <c r="B7662" i="1"/>
  <c r="O7661" i="1"/>
  <c r="E7661" i="1"/>
  <c r="B7661" i="1"/>
  <c r="O7660" i="1"/>
  <c r="E7660" i="1"/>
  <c r="B7660" i="1"/>
  <c r="O7659" i="1"/>
  <c r="E7659" i="1"/>
  <c r="B7659" i="1"/>
  <c r="O7658" i="1"/>
  <c r="E7658" i="1"/>
  <c r="B7658" i="1"/>
  <c r="O7657" i="1"/>
  <c r="E7657" i="1"/>
  <c r="B7657" i="1"/>
  <c r="O7656" i="1"/>
  <c r="E7656" i="1"/>
  <c r="B7656" i="1"/>
  <c r="O7655" i="1"/>
  <c r="E7655" i="1"/>
  <c r="B7655" i="1"/>
  <c r="O7654" i="1"/>
  <c r="E7654" i="1"/>
  <c r="B7654" i="1"/>
  <c r="O7653" i="1"/>
  <c r="E7653" i="1"/>
  <c r="B7653" i="1"/>
  <c r="O7652" i="1"/>
  <c r="E7652" i="1"/>
  <c r="B7652" i="1"/>
  <c r="O7651" i="1"/>
  <c r="E7651" i="1"/>
  <c r="B7651" i="1"/>
  <c r="O7650" i="1"/>
  <c r="E7650" i="1"/>
  <c r="B7650" i="1"/>
  <c r="O7649" i="1"/>
  <c r="E7649" i="1"/>
  <c r="B7649" i="1"/>
  <c r="O7648" i="1"/>
  <c r="E7648" i="1"/>
  <c r="B7648" i="1"/>
  <c r="O7647" i="1"/>
  <c r="E7647" i="1"/>
  <c r="B7647" i="1"/>
  <c r="O7646" i="1"/>
  <c r="E7646" i="1"/>
  <c r="B7646" i="1"/>
  <c r="O7645" i="1"/>
  <c r="E7645" i="1"/>
  <c r="B7645" i="1"/>
  <c r="O7644" i="1"/>
  <c r="E7644" i="1"/>
  <c r="B7644" i="1"/>
  <c r="O7643" i="1"/>
  <c r="E7643" i="1"/>
  <c r="B7643" i="1"/>
  <c r="O7642" i="1"/>
  <c r="E7642" i="1"/>
  <c r="B7642" i="1"/>
  <c r="O7641" i="1"/>
  <c r="E7641" i="1"/>
  <c r="B7641" i="1"/>
  <c r="O7640" i="1"/>
  <c r="E7640" i="1"/>
  <c r="B7640" i="1"/>
  <c r="O7639" i="1"/>
  <c r="E7639" i="1"/>
  <c r="B7639" i="1"/>
  <c r="O7638" i="1"/>
  <c r="E7638" i="1"/>
  <c r="B7638" i="1"/>
  <c r="O7637" i="1"/>
  <c r="E7637" i="1"/>
  <c r="B7637" i="1"/>
  <c r="O7636" i="1"/>
  <c r="E7636" i="1"/>
  <c r="B7636" i="1"/>
  <c r="O7635" i="1"/>
  <c r="E7635" i="1"/>
  <c r="B7635" i="1"/>
  <c r="O7634" i="1"/>
  <c r="E7634" i="1"/>
  <c r="B7634" i="1"/>
  <c r="O7633" i="1"/>
  <c r="E7633" i="1"/>
  <c r="B7633" i="1"/>
  <c r="O7632" i="1"/>
  <c r="E7632" i="1"/>
  <c r="B7632" i="1"/>
  <c r="O7631" i="1"/>
  <c r="E7631" i="1"/>
  <c r="B7631" i="1"/>
  <c r="O7630" i="1"/>
  <c r="E7630" i="1"/>
  <c r="B7630" i="1"/>
  <c r="O7629" i="1"/>
  <c r="E7629" i="1"/>
  <c r="B7629" i="1"/>
  <c r="O7628" i="1"/>
  <c r="E7628" i="1"/>
  <c r="B7628" i="1"/>
  <c r="O7627" i="1"/>
  <c r="E7627" i="1"/>
  <c r="B7627" i="1"/>
  <c r="O7626" i="1"/>
  <c r="E7626" i="1"/>
  <c r="B7626" i="1"/>
  <c r="O7625" i="1"/>
  <c r="E7625" i="1"/>
  <c r="B7625" i="1"/>
  <c r="O7624" i="1"/>
  <c r="E7624" i="1"/>
  <c r="B7624" i="1"/>
  <c r="O7623" i="1"/>
  <c r="E7623" i="1"/>
  <c r="B7623" i="1"/>
  <c r="O7622" i="1"/>
  <c r="E7622" i="1"/>
  <c r="B7622" i="1"/>
  <c r="O7621" i="1"/>
  <c r="E7621" i="1"/>
  <c r="B7621" i="1"/>
  <c r="O7620" i="1"/>
  <c r="E7620" i="1"/>
  <c r="B7620" i="1"/>
  <c r="O7619" i="1"/>
  <c r="E7619" i="1"/>
  <c r="B7619" i="1"/>
  <c r="O7618" i="1"/>
  <c r="E7618" i="1"/>
  <c r="B7618" i="1"/>
  <c r="O7617" i="1"/>
  <c r="E7617" i="1"/>
  <c r="B7617" i="1"/>
  <c r="O7616" i="1"/>
  <c r="E7616" i="1"/>
  <c r="B7616" i="1"/>
  <c r="O7615" i="1"/>
  <c r="E7615" i="1"/>
  <c r="B7615" i="1"/>
  <c r="O7614" i="1"/>
  <c r="E7614" i="1"/>
  <c r="B7614" i="1"/>
  <c r="O7613" i="1"/>
  <c r="E7613" i="1"/>
  <c r="B7613" i="1"/>
  <c r="O7612" i="1"/>
  <c r="E7612" i="1"/>
  <c r="B7612" i="1"/>
  <c r="O7611" i="1"/>
  <c r="E7611" i="1"/>
  <c r="B7611" i="1"/>
  <c r="O7610" i="1"/>
  <c r="E7610" i="1"/>
  <c r="B7610" i="1"/>
  <c r="O7609" i="1"/>
  <c r="E7609" i="1"/>
  <c r="B7609" i="1"/>
  <c r="O7608" i="1"/>
  <c r="E7608" i="1"/>
  <c r="B7608" i="1"/>
  <c r="O7607" i="1"/>
  <c r="E7607" i="1"/>
  <c r="B7607" i="1"/>
  <c r="O7606" i="1"/>
  <c r="E7606" i="1"/>
  <c r="B7606" i="1"/>
  <c r="O7605" i="1"/>
  <c r="E7605" i="1"/>
  <c r="B7605" i="1"/>
  <c r="O7604" i="1"/>
  <c r="E7604" i="1"/>
  <c r="B7604" i="1"/>
  <c r="O7603" i="1"/>
  <c r="E7603" i="1"/>
  <c r="B7603" i="1"/>
  <c r="O7602" i="1"/>
  <c r="E7602" i="1"/>
  <c r="B7602" i="1"/>
  <c r="O7601" i="1"/>
  <c r="E7601" i="1"/>
  <c r="B7601" i="1"/>
  <c r="O7600" i="1"/>
  <c r="E7600" i="1"/>
  <c r="B7600" i="1"/>
  <c r="O7599" i="1"/>
  <c r="E7599" i="1"/>
  <c r="B7599" i="1"/>
  <c r="O7598" i="1"/>
  <c r="E7598" i="1"/>
  <c r="B7598" i="1"/>
  <c r="O7597" i="1"/>
  <c r="E7597" i="1"/>
  <c r="B7597" i="1"/>
  <c r="O7596" i="1"/>
  <c r="E7596" i="1"/>
  <c r="B7596" i="1"/>
  <c r="O7595" i="1"/>
  <c r="E7595" i="1"/>
  <c r="B7595" i="1"/>
  <c r="O7594" i="1"/>
  <c r="E7594" i="1"/>
  <c r="B7594" i="1"/>
  <c r="O7593" i="1"/>
  <c r="E7593" i="1"/>
  <c r="B7593" i="1"/>
  <c r="O7592" i="1"/>
  <c r="E7592" i="1"/>
  <c r="B7592" i="1"/>
  <c r="O7591" i="1"/>
  <c r="E7591" i="1"/>
  <c r="B7591" i="1"/>
  <c r="O7590" i="1"/>
  <c r="E7590" i="1"/>
  <c r="B7590" i="1"/>
  <c r="O7589" i="1"/>
  <c r="E7589" i="1"/>
  <c r="B7589" i="1"/>
  <c r="O7588" i="1"/>
  <c r="E7588" i="1"/>
  <c r="B7588" i="1"/>
  <c r="O7587" i="1"/>
  <c r="E7587" i="1"/>
  <c r="B7587" i="1"/>
  <c r="O7586" i="1"/>
  <c r="E7586" i="1"/>
  <c r="B7586" i="1"/>
  <c r="O7585" i="1"/>
  <c r="E7585" i="1"/>
  <c r="B7585" i="1"/>
  <c r="O7584" i="1"/>
  <c r="E7584" i="1"/>
  <c r="B7584" i="1"/>
  <c r="O7583" i="1"/>
  <c r="E7583" i="1"/>
  <c r="B7583" i="1"/>
  <c r="O7582" i="1"/>
  <c r="E7582" i="1"/>
  <c r="B7582" i="1"/>
  <c r="O7581" i="1"/>
  <c r="E7581" i="1"/>
  <c r="B7581" i="1"/>
  <c r="O7580" i="1"/>
  <c r="E7580" i="1"/>
  <c r="B7580" i="1"/>
  <c r="O7579" i="1"/>
  <c r="E7579" i="1"/>
  <c r="B7579" i="1"/>
  <c r="O7578" i="1"/>
  <c r="E7578" i="1"/>
  <c r="B7578" i="1"/>
  <c r="O7577" i="1"/>
  <c r="E7577" i="1"/>
  <c r="B7577" i="1"/>
  <c r="O7576" i="1"/>
  <c r="E7576" i="1"/>
  <c r="B7576" i="1"/>
  <c r="O7575" i="1"/>
  <c r="E7575" i="1"/>
  <c r="B7575" i="1"/>
  <c r="O7574" i="1"/>
  <c r="E7574" i="1"/>
  <c r="B7574" i="1"/>
  <c r="O7573" i="1"/>
  <c r="E7573" i="1"/>
  <c r="B7573" i="1"/>
  <c r="O7572" i="1"/>
  <c r="E7572" i="1"/>
  <c r="B7572" i="1"/>
  <c r="O7571" i="1"/>
  <c r="E7571" i="1"/>
  <c r="B7571" i="1"/>
  <c r="O7570" i="1"/>
  <c r="E7570" i="1"/>
  <c r="B7570" i="1"/>
  <c r="O7569" i="1"/>
  <c r="E7569" i="1"/>
  <c r="B7569" i="1"/>
  <c r="O7568" i="1"/>
  <c r="E7568" i="1"/>
  <c r="B7568" i="1"/>
  <c r="O7567" i="1"/>
  <c r="E7567" i="1"/>
  <c r="B7567" i="1"/>
  <c r="O7566" i="1"/>
  <c r="E7566" i="1"/>
  <c r="B7566" i="1"/>
  <c r="O7565" i="1"/>
  <c r="E7565" i="1"/>
  <c r="B7565" i="1"/>
  <c r="O7564" i="1"/>
  <c r="E7564" i="1"/>
  <c r="B7564" i="1"/>
  <c r="O7563" i="1"/>
  <c r="E7563" i="1"/>
  <c r="B7563" i="1"/>
  <c r="O7562" i="1"/>
  <c r="E7562" i="1"/>
  <c r="B7562" i="1"/>
  <c r="O7561" i="1"/>
  <c r="E7561" i="1"/>
  <c r="B7561" i="1"/>
  <c r="O7560" i="1"/>
  <c r="E7560" i="1"/>
  <c r="B7560" i="1"/>
  <c r="O7559" i="1"/>
  <c r="E7559" i="1"/>
  <c r="B7559" i="1"/>
  <c r="O7558" i="1"/>
  <c r="E7558" i="1"/>
  <c r="B7558" i="1"/>
  <c r="O7557" i="1"/>
  <c r="E7557" i="1"/>
  <c r="B7557" i="1"/>
  <c r="O7556" i="1"/>
  <c r="E7556" i="1"/>
  <c r="B7556" i="1"/>
  <c r="O7555" i="1"/>
  <c r="E7555" i="1"/>
  <c r="B7555" i="1"/>
  <c r="O7554" i="1"/>
  <c r="E7554" i="1"/>
  <c r="B7554" i="1"/>
  <c r="O7553" i="1"/>
  <c r="E7553" i="1"/>
  <c r="B7553" i="1"/>
  <c r="O7552" i="1"/>
  <c r="E7552" i="1"/>
  <c r="B7552" i="1"/>
  <c r="O7551" i="1"/>
  <c r="E7551" i="1"/>
  <c r="B7551" i="1"/>
  <c r="O7550" i="1"/>
  <c r="E7550" i="1"/>
  <c r="B7550" i="1"/>
  <c r="O7549" i="1"/>
  <c r="E7549" i="1"/>
  <c r="B7549" i="1"/>
  <c r="O7548" i="1"/>
  <c r="E7548" i="1"/>
  <c r="B7548" i="1"/>
  <c r="O7547" i="1"/>
  <c r="E7547" i="1"/>
  <c r="B7547" i="1"/>
  <c r="O7546" i="1"/>
  <c r="E7546" i="1"/>
  <c r="B7546" i="1"/>
  <c r="O7545" i="1"/>
  <c r="E7545" i="1"/>
  <c r="B7545" i="1"/>
  <c r="O7544" i="1"/>
  <c r="E7544" i="1"/>
  <c r="B7544" i="1"/>
  <c r="O7543" i="1"/>
  <c r="E7543" i="1"/>
  <c r="B7543" i="1"/>
  <c r="O7542" i="1"/>
  <c r="E7542" i="1"/>
  <c r="B7542" i="1"/>
  <c r="O7541" i="1"/>
  <c r="E7541" i="1"/>
  <c r="B7541" i="1"/>
  <c r="O7540" i="1"/>
  <c r="E7540" i="1"/>
  <c r="B7540" i="1"/>
  <c r="O7539" i="1"/>
  <c r="E7539" i="1"/>
  <c r="B7539" i="1"/>
  <c r="O7538" i="1"/>
  <c r="E7538" i="1"/>
  <c r="B7538" i="1"/>
  <c r="O7537" i="1"/>
  <c r="E7537" i="1"/>
  <c r="B7537" i="1"/>
  <c r="O7536" i="1"/>
  <c r="E7536" i="1"/>
  <c r="B7536" i="1"/>
  <c r="O7535" i="1"/>
  <c r="E7535" i="1"/>
  <c r="B7535" i="1"/>
  <c r="O7534" i="1"/>
  <c r="E7534" i="1"/>
  <c r="B7534" i="1"/>
  <c r="O7533" i="1"/>
  <c r="E7533" i="1"/>
  <c r="B7533" i="1"/>
  <c r="O7532" i="1"/>
  <c r="E7532" i="1"/>
  <c r="B7532" i="1"/>
  <c r="O7531" i="1"/>
  <c r="E7531" i="1"/>
  <c r="B7531" i="1"/>
  <c r="O7530" i="1"/>
  <c r="E7530" i="1"/>
  <c r="B7530" i="1"/>
  <c r="O7529" i="1"/>
  <c r="E7529" i="1"/>
  <c r="B7529" i="1"/>
  <c r="O7528" i="1"/>
  <c r="E7528" i="1"/>
  <c r="B7528" i="1"/>
  <c r="O7527" i="1"/>
  <c r="E7527" i="1"/>
  <c r="B7527" i="1"/>
  <c r="O7526" i="1"/>
  <c r="E7526" i="1"/>
  <c r="B7526" i="1"/>
  <c r="O7525" i="1"/>
  <c r="E7525" i="1"/>
  <c r="B7525" i="1"/>
  <c r="O7524" i="1"/>
  <c r="E7524" i="1"/>
  <c r="B7524" i="1"/>
  <c r="O7523" i="1"/>
  <c r="E7523" i="1"/>
  <c r="B7523" i="1"/>
  <c r="O7522" i="1"/>
  <c r="E7522" i="1"/>
  <c r="B7522" i="1"/>
  <c r="O7521" i="1"/>
  <c r="E7521" i="1"/>
  <c r="B7521" i="1"/>
  <c r="O7520" i="1"/>
  <c r="E7520" i="1"/>
  <c r="B7520" i="1"/>
  <c r="O7519" i="1"/>
  <c r="E7519" i="1"/>
  <c r="B7519" i="1"/>
  <c r="O7518" i="1"/>
  <c r="E7518" i="1"/>
  <c r="B7518" i="1"/>
  <c r="O7517" i="1"/>
  <c r="E7517" i="1"/>
  <c r="B7517" i="1"/>
  <c r="O7516" i="1"/>
  <c r="E7516" i="1"/>
  <c r="B7516" i="1"/>
  <c r="O7515" i="1"/>
  <c r="E7515" i="1"/>
  <c r="B7515" i="1"/>
  <c r="O7514" i="1"/>
  <c r="E7514" i="1"/>
  <c r="B7514" i="1"/>
  <c r="O7513" i="1"/>
  <c r="E7513" i="1"/>
  <c r="B7513" i="1"/>
  <c r="O7512" i="1"/>
  <c r="E7512" i="1"/>
  <c r="B7512" i="1"/>
  <c r="O7511" i="1"/>
  <c r="E7511" i="1"/>
  <c r="B7511" i="1"/>
  <c r="O7510" i="1"/>
  <c r="E7510" i="1"/>
  <c r="B7510" i="1"/>
  <c r="O7509" i="1"/>
  <c r="E7509" i="1"/>
  <c r="B7509" i="1"/>
  <c r="O7508" i="1"/>
  <c r="E7508" i="1"/>
  <c r="B7508" i="1"/>
  <c r="O7507" i="1"/>
  <c r="E7507" i="1"/>
  <c r="B7507" i="1"/>
  <c r="O7506" i="1"/>
  <c r="E7506" i="1"/>
  <c r="B7506" i="1"/>
  <c r="O7505" i="1"/>
  <c r="E7505" i="1"/>
  <c r="B7505" i="1"/>
  <c r="O7504" i="1"/>
  <c r="E7504" i="1"/>
  <c r="B7504" i="1"/>
  <c r="O7503" i="1"/>
  <c r="E7503" i="1"/>
  <c r="B7503" i="1"/>
  <c r="O7502" i="1"/>
  <c r="E7502" i="1"/>
  <c r="B7502" i="1"/>
  <c r="O7501" i="1"/>
  <c r="E7501" i="1"/>
  <c r="B7501" i="1"/>
  <c r="O7500" i="1"/>
  <c r="E7500" i="1"/>
  <c r="B7500" i="1"/>
  <c r="O7499" i="1"/>
  <c r="E7499" i="1"/>
  <c r="B7499" i="1"/>
  <c r="O7498" i="1"/>
  <c r="E7498" i="1"/>
  <c r="B7498" i="1"/>
  <c r="O7497" i="1"/>
  <c r="E7497" i="1"/>
  <c r="B7497" i="1"/>
  <c r="O7496" i="1"/>
  <c r="E7496" i="1"/>
  <c r="B7496" i="1"/>
  <c r="O7495" i="1"/>
  <c r="E7495" i="1"/>
  <c r="B7495" i="1"/>
  <c r="O7494" i="1"/>
  <c r="E7494" i="1"/>
  <c r="B7494" i="1"/>
  <c r="O7493" i="1"/>
  <c r="E7493" i="1"/>
  <c r="B7493" i="1"/>
  <c r="O7492" i="1"/>
  <c r="E7492" i="1"/>
  <c r="B7492" i="1"/>
  <c r="O7491" i="1"/>
  <c r="E7491" i="1"/>
  <c r="B7491" i="1"/>
  <c r="O7490" i="1"/>
  <c r="E7490" i="1"/>
  <c r="B7490" i="1"/>
  <c r="O7489" i="1"/>
  <c r="E7489" i="1"/>
  <c r="B7489" i="1"/>
  <c r="O7488" i="1"/>
  <c r="E7488" i="1"/>
  <c r="B7488" i="1"/>
  <c r="O7487" i="1"/>
  <c r="E7487" i="1"/>
  <c r="B7487" i="1"/>
  <c r="O7486" i="1"/>
  <c r="E7486" i="1"/>
  <c r="B7486" i="1"/>
  <c r="O7485" i="1"/>
  <c r="E7485" i="1"/>
  <c r="B7485" i="1"/>
  <c r="O7484" i="1"/>
  <c r="E7484" i="1"/>
  <c r="B7484" i="1"/>
  <c r="O7483" i="1"/>
  <c r="E7483" i="1"/>
  <c r="B7483" i="1"/>
  <c r="O7482" i="1"/>
  <c r="E7482" i="1"/>
  <c r="B7482" i="1"/>
  <c r="O7481" i="1"/>
  <c r="E7481" i="1"/>
  <c r="B7481" i="1"/>
  <c r="O7480" i="1"/>
  <c r="E7480" i="1"/>
  <c r="B7480" i="1"/>
  <c r="O7479" i="1"/>
  <c r="E7479" i="1"/>
  <c r="B7479" i="1"/>
  <c r="O7478" i="1"/>
  <c r="E7478" i="1"/>
  <c r="B7478" i="1"/>
  <c r="O7477" i="1"/>
  <c r="E7477" i="1"/>
  <c r="B7477" i="1"/>
  <c r="O7476" i="1"/>
  <c r="E7476" i="1"/>
  <c r="B7476" i="1"/>
  <c r="O7475" i="1"/>
  <c r="E7475" i="1"/>
  <c r="B7475" i="1"/>
  <c r="O7474" i="1"/>
  <c r="E7474" i="1"/>
  <c r="B7474" i="1"/>
  <c r="O7473" i="1"/>
  <c r="E7473" i="1"/>
  <c r="B7473" i="1"/>
  <c r="O7472" i="1"/>
  <c r="E7472" i="1"/>
  <c r="B7472" i="1"/>
  <c r="O7471" i="1"/>
  <c r="E7471" i="1"/>
  <c r="B7471" i="1"/>
  <c r="O7470" i="1"/>
  <c r="E7470" i="1"/>
  <c r="B7470" i="1"/>
  <c r="O7469" i="1"/>
  <c r="E7469" i="1"/>
  <c r="B7469" i="1"/>
  <c r="O7468" i="1"/>
  <c r="E7468" i="1"/>
  <c r="B7468" i="1"/>
  <c r="O7467" i="1"/>
  <c r="E7467" i="1"/>
  <c r="B7467" i="1"/>
  <c r="O7466" i="1"/>
  <c r="E7466" i="1"/>
  <c r="B7466" i="1"/>
  <c r="O7465" i="1"/>
  <c r="E7465" i="1"/>
  <c r="B7465" i="1"/>
  <c r="O7464" i="1"/>
  <c r="E7464" i="1"/>
  <c r="B7464" i="1"/>
  <c r="O7463" i="1"/>
  <c r="E7463" i="1"/>
  <c r="B7463" i="1"/>
  <c r="O7462" i="1"/>
  <c r="E7462" i="1"/>
  <c r="B7462" i="1"/>
  <c r="O7461" i="1"/>
  <c r="E7461" i="1"/>
  <c r="B7461" i="1"/>
  <c r="O7460" i="1"/>
  <c r="E7460" i="1"/>
  <c r="B7460" i="1"/>
  <c r="O7459" i="1"/>
  <c r="E7459" i="1"/>
  <c r="B7459" i="1"/>
  <c r="O7458" i="1"/>
  <c r="E7458" i="1"/>
  <c r="B7458" i="1"/>
  <c r="O7457" i="1"/>
  <c r="E7457" i="1"/>
  <c r="B7457" i="1"/>
  <c r="O7456" i="1"/>
  <c r="E7456" i="1"/>
  <c r="B7456" i="1"/>
  <c r="O7455" i="1"/>
  <c r="E7455" i="1"/>
  <c r="B7455" i="1"/>
  <c r="O7454" i="1"/>
  <c r="E7454" i="1"/>
  <c r="B7454" i="1"/>
  <c r="O7453" i="1"/>
  <c r="E7453" i="1"/>
  <c r="B7453" i="1"/>
  <c r="O7452" i="1"/>
  <c r="E7452" i="1"/>
  <c r="B7452" i="1"/>
  <c r="O7451" i="1"/>
  <c r="E7451" i="1"/>
  <c r="B7451" i="1"/>
  <c r="O7450" i="1"/>
  <c r="E7450" i="1"/>
  <c r="B7450" i="1"/>
  <c r="O7449" i="1"/>
  <c r="E7449" i="1"/>
  <c r="B7449" i="1"/>
  <c r="O7448" i="1"/>
  <c r="E7448" i="1"/>
  <c r="B7448" i="1"/>
  <c r="O7447" i="1"/>
  <c r="E7447" i="1"/>
  <c r="B7447" i="1"/>
  <c r="O7446" i="1"/>
  <c r="E7446" i="1"/>
  <c r="B7446" i="1"/>
  <c r="O7445" i="1"/>
  <c r="E7445" i="1"/>
  <c r="B7445" i="1"/>
  <c r="O7444" i="1"/>
  <c r="E7444" i="1"/>
  <c r="B7444" i="1"/>
  <c r="O7443" i="1"/>
  <c r="E7443" i="1"/>
  <c r="B7443" i="1"/>
  <c r="O7442" i="1"/>
  <c r="E7442" i="1"/>
  <c r="B7442" i="1"/>
  <c r="O7441" i="1"/>
  <c r="E7441" i="1"/>
  <c r="B7441" i="1"/>
  <c r="O7440" i="1"/>
  <c r="E7440" i="1"/>
  <c r="B7440" i="1"/>
  <c r="O7439" i="1"/>
  <c r="E7439" i="1"/>
  <c r="B7439" i="1"/>
  <c r="O7438" i="1"/>
  <c r="E7438" i="1"/>
  <c r="B7438" i="1"/>
  <c r="O7437" i="1"/>
  <c r="E7437" i="1"/>
  <c r="B7437" i="1"/>
  <c r="O7436" i="1"/>
  <c r="E7436" i="1"/>
  <c r="B7436" i="1"/>
  <c r="O7435" i="1"/>
  <c r="E7435" i="1"/>
  <c r="B7435" i="1"/>
  <c r="O7434" i="1"/>
  <c r="E7434" i="1"/>
  <c r="B7434" i="1"/>
  <c r="O7433" i="1"/>
  <c r="E7433" i="1"/>
  <c r="B7433" i="1"/>
  <c r="O7432" i="1"/>
  <c r="E7432" i="1"/>
  <c r="B7432" i="1"/>
  <c r="O7431" i="1"/>
  <c r="E7431" i="1"/>
  <c r="B7431" i="1"/>
  <c r="O7430" i="1"/>
  <c r="E7430" i="1"/>
  <c r="B7430" i="1"/>
  <c r="O7429" i="1"/>
  <c r="E7429" i="1"/>
  <c r="B7429" i="1"/>
  <c r="O7428" i="1"/>
  <c r="E7428" i="1"/>
  <c r="B7428" i="1"/>
  <c r="O7427" i="1"/>
  <c r="E7427" i="1"/>
  <c r="B7427" i="1"/>
  <c r="O7426" i="1"/>
  <c r="E7426" i="1"/>
  <c r="B7426" i="1"/>
  <c r="O7425" i="1"/>
  <c r="E7425" i="1"/>
  <c r="B7425" i="1"/>
  <c r="O7424" i="1"/>
  <c r="E7424" i="1"/>
  <c r="B7424" i="1"/>
  <c r="O7423" i="1"/>
  <c r="E7423" i="1"/>
  <c r="B7423" i="1"/>
  <c r="O7422" i="1"/>
  <c r="E7422" i="1"/>
  <c r="B7422" i="1"/>
  <c r="O7421" i="1"/>
  <c r="E7421" i="1"/>
  <c r="B7421" i="1"/>
  <c r="O7420" i="1"/>
  <c r="E7420" i="1"/>
  <c r="B7420" i="1"/>
  <c r="O7419" i="1"/>
  <c r="E7419" i="1"/>
  <c r="B7419" i="1"/>
  <c r="O7418" i="1"/>
  <c r="E7418" i="1"/>
  <c r="B7418" i="1"/>
  <c r="O7417" i="1"/>
  <c r="E7417" i="1"/>
  <c r="B7417" i="1"/>
  <c r="O7416" i="1"/>
  <c r="E7416" i="1"/>
  <c r="B7416" i="1"/>
  <c r="O7415" i="1"/>
  <c r="E7415" i="1"/>
  <c r="B7415" i="1"/>
  <c r="O7414" i="1"/>
  <c r="E7414" i="1"/>
  <c r="B7414" i="1"/>
  <c r="O7413" i="1"/>
  <c r="E7413" i="1"/>
  <c r="B7413" i="1"/>
  <c r="O7412" i="1"/>
  <c r="E7412" i="1"/>
  <c r="B7412" i="1"/>
  <c r="O7411" i="1"/>
  <c r="E7411" i="1"/>
  <c r="B7411" i="1"/>
  <c r="O7410" i="1"/>
  <c r="E7410" i="1"/>
  <c r="B7410" i="1"/>
  <c r="O7409" i="1"/>
  <c r="E7409" i="1"/>
  <c r="B7409" i="1"/>
  <c r="O7408" i="1"/>
  <c r="E7408" i="1"/>
  <c r="B7408" i="1"/>
  <c r="O7407" i="1"/>
  <c r="E7407" i="1"/>
  <c r="B7407" i="1"/>
  <c r="O7406" i="1"/>
  <c r="E7406" i="1"/>
  <c r="B7406" i="1"/>
  <c r="O7405" i="1"/>
  <c r="E7405" i="1"/>
  <c r="B7405" i="1"/>
  <c r="O7404" i="1"/>
  <c r="E7404" i="1"/>
  <c r="B7404" i="1"/>
  <c r="O7403" i="1"/>
  <c r="E7403" i="1"/>
  <c r="B7403" i="1"/>
  <c r="O7402" i="1"/>
  <c r="E7402" i="1"/>
  <c r="B7402" i="1"/>
  <c r="O7401" i="1"/>
  <c r="E7401" i="1"/>
  <c r="B7401" i="1"/>
  <c r="O7400" i="1"/>
  <c r="E7400" i="1"/>
  <c r="B7400" i="1"/>
  <c r="O7399" i="1"/>
  <c r="E7399" i="1"/>
  <c r="B7399" i="1"/>
  <c r="O7398" i="1"/>
  <c r="E7398" i="1"/>
  <c r="B7398" i="1"/>
  <c r="O7397" i="1"/>
  <c r="E7397" i="1"/>
  <c r="B7397" i="1"/>
  <c r="O7396" i="1"/>
  <c r="E7396" i="1"/>
  <c r="B7396" i="1"/>
  <c r="O7395" i="1"/>
  <c r="E7395" i="1"/>
  <c r="B7395" i="1"/>
  <c r="O7394" i="1"/>
  <c r="E7394" i="1"/>
  <c r="B7394" i="1"/>
  <c r="O7393" i="1"/>
  <c r="E7393" i="1"/>
  <c r="B7393" i="1"/>
  <c r="O7392" i="1"/>
  <c r="E7392" i="1"/>
  <c r="B7392" i="1"/>
  <c r="O7391" i="1"/>
  <c r="E7391" i="1"/>
  <c r="B7391" i="1"/>
  <c r="O7390" i="1"/>
  <c r="E7390" i="1"/>
  <c r="B7390" i="1"/>
  <c r="O7389" i="1"/>
  <c r="E7389" i="1"/>
  <c r="B7389" i="1"/>
  <c r="O7388" i="1"/>
  <c r="E7388" i="1"/>
  <c r="B7388" i="1"/>
  <c r="O7387" i="1"/>
  <c r="E7387" i="1"/>
  <c r="B7387" i="1"/>
  <c r="O7386" i="1"/>
  <c r="E7386" i="1"/>
  <c r="B7386" i="1"/>
  <c r="O7385" i="1"/>
  <c r="E7385" i="1"/>
  <c r="B7385" i="1"/>
  <c r="O7384" i="1"/>
  <c r="E7384" i="1"/>
  <c r="B7384" i="1"/>
  <c r="O7383" i="1"/>
  <c r="E7383" i="1"/>
  <c r="B7383" i="1"/>
  <c r="O7382" i="1"/>
  <c r="E7382" i="1"/>
  <c r="B7382" i="1"/>
  <c r="O7381" i="1"/>
  <c r="E7381" i="1"/>
  <c r="B7381" i="1"/>
  <c r="O7380" i="1"/>
  <c r="E7380" i="1"/>
  <c r="B7380" i="1"/>
  <c r="O7379" i="1"/>
  <c r="E7379" i="1"/>
  <c r="B7379" i="1"/>
  <c r="O7378" i="1"/>
  <c r="E7378" i="1"/>
  <c r="B7378" i="1"/>
  <c r="O7377" i="1"/>
  <c r="E7377" i="1"/>
  <c r="B7377" i="1"/>
  <c r="O7376" i="1"/>
  <c r="E7376" i="1"/>
  <c r="B7376" i="1"/>
  <c r="O7375" i="1"/>
  <c r="E7375" i="1"/>
  <c r="B7375" i="1"/>
  <c r="O7374" i="1"/>
  <c r="E7374" i="1"/>
  <c r="B7374" i="1"/>
  <c r="O7373" i="1"/>
  <c r="E7373" i="1"/>
  <c r="B7373" i="1"/>
  <c r="O7372" i="1"/>
  <c r="E7372" i="1"/>
  <c r="B7372" i="1"/>
  <c r="O7371" i="1"/>
  <c r="E7371" i="1"/>
  <c r="B7371" i="1"/>
  <c r="O7370" i="1"/>
  <c r="E7370" i="1"/>
  <c r="B7370" i="1"/>
  <c r="O7369" i="1"/>
  <c r="E7369" i="1"/>
  <c r="B7369" i="1"/>
  <c r="O7368" i="1"/>
  <c r="E7368" i="1"/>
  <c r="B7368" i="1"/>
  <c r="O7367" i="1"/>
  <c r="E7367" i="1"/>
  <c r="B7367" i="1"/>
  <c r="O7366" i="1"/>
  <c r="E7366" i="1"/>
  <c r="B7366" i="1"/>
  <c r="O7365" i="1"/>
  <c r="E7365" i="1"/>
  <c r="B7365" i="1"/>
  <c r="O7364" i="1"/>
  <c r="E7364" i="1"/>
  <c r="B7364" i="1"/>
  <c r="O7363" i="1"/>
  <c r="E7363" i="1"/>
  <c r="B7363" i="1"/>
  <c r="O7362" i="1"/>
  <c r="E7362" i="1"/>
  <c r="B7362" i="1"/>
  <c r="O7361" i="1"/>
  <c r="E7361" i="1"/>
  <c r="B7361" i="1"/>
  <c r="O7360" i="1"/>
  <c r="E7360" i="1"/>
  <c r="B7360" i="1"/>
  <c r="O7359" i="1"/>
  <c r="E7359" i="1"/>
  <c r="B7359" i="1"/>
  <c r="O7358" i="1"/>
  <c r="E7358" i="1"/>
  <c r="B7358" i="1"/>
  <c r="O7357" i="1"/>
  <c r="E7357" i="1"/>
  <c r="B7357" i="1"/>
  <c r="O7356" i="1"/>
  <c r="E7356" i="1"/>
  <c r="B7356" i="1"/>
  <c r="O7355" i="1"/>
  <c r="E7355" i="1"/>
  <c r="B7355" i="1"/>
  <c r="O7354" i="1"/>
  <c r="E7354" i="1"/>
  <c r="B7354" i="1"/>
  <c r="O7353" i="1"/>
  <c r="E7353" i="1"/>
  <c r="B7353" i="1"/>
  <c r="O7352" i="1"/>
  <c r="E7352" i="1"/>
  <c r="B7352" i="1"/>
  <c r="O7351" i="1"/>
  <c r="E7351" i="1"/>
  <c r="B7351" i="1"/>
  <c r="O7350" i="1"/>
  <c r="E7350" i="1"/>
  <c r="B7350" i="1"/>
  <c r="O7349" i="1"/>
  <c r="E7349" i="1"/>
  <c r="B7349" i="1"/>
  <c r="O7348" i="1"/>
  <c r="E7348" i="1"/>
  <c r="B7348" i="1"/>
  <c r="O7347" i="1"/>
  <c r="E7347" i="1"/>
  <c r="B7347" i="1"/>
  <c r="O7346" i="1"/>
  <c r="E7346" i="1"/>
  <c r="B7346" i="1"/>
  <c r="O7345" i="1"/>
  <c r="E7345" i="1"/>
  <c r="B7345" i="1"/>
  <c r="O7344" i="1"/>
  <c r="E7344" i="1"/>
  <c r="B7344" i="1"/>
  <c r="O7343" i="1"/>
  <c r="E7343" i="1"/>
  <c r="B7343" i="1"/>
  <c r="O7342" i="1"/>
  <c r="E7342" i="1"/>
  <c r="B7342" i="1"/>
  <c r="O7341" i="1"/>
  <c r="E7341" i="1"/>
  <c r="B7341" i="1"/>
  <c r="O7340" i="1"/>
  <c r="E7340" i="1"/>
  <c r="B7340" i="1"/>
  <c r="O7339" i="1"/>
  <c r="E7339" i="1"/>
  <c r="B7339" i="1"/>
  <c r="O7338" i="1"/>
  <c r="E7338" i="1"/>
  <c r="B7338" i="1"/>
  <c r="O7337" i="1"/>
  <c r="E7337" i="1"/>
  <c r="B7337" i="1"/>
  <c r="O7336" i="1"/>
  <c r="E7336" i="1"/>
  <c r="B7336" i="1"/>
  <c r="O7335" i="1"/>
  <c r="E7335" i="1"/>
  <c r="B7335" i="1"/>
  <c r="O7334" i="1"/>
  <c r="E7334" i="1"/>
  <c r="B7334" i="1"/>
  <c r="O7333" i="1"/>
  <c r="E7333" i="1"/>
  <c r="B7333" i="1"/>
  <c r="O7332" i="1"/>
  <c r="E7332" i="1"/>
  <c r="B7332" i="1"/>
  <c r="O7331" i="1"/>
  <c r="E7331" i="1"/>
  <c r="B7331" i="1"/>
  <c r="O7330" i="1"/>
  <c r="E7330" i="1"/>
  <c r="B7330" i="1"/>
  <c r="O7329" i="1"/>
  <c r="E7329" i="1"/>
  <c r="B7329" i="1"/>
  <c r="O7328" i="1"/>
  <c r="E7328" i="1"/>
  <c r="B7328" i="1"/>
  <c r="O7327" i="1"/>
  <c r="E7327" i="1"/>
  <c r="B7327" i="1"/>
  <c r="O7326" i="1"/>
  <c r="E7326" i="1"/>
  <c r="B7326" i="1"/>
  <c r="O7325" i="1"/>
  <c r="E7325" i="1"/>
  <c r="B7325" i="1"/>
  <c r="O7324" i="1"/>
  <c r="E7324" i="1"/>
  <c r="B7324" i="1"/>
  <c r="O7323" i="1"/>
  <c r="E7323" i="1"/>
  <c r="B7323" i="1"/>
  <c r="O7322" i="1"/>
  <c r="E7322" i="1"/>
  <c r="B7322" i="1"/>
  <c r="O7321" i="1"/>
  <c r="E7321" i="1"/>
  <c r="B7321" i="1"/>
  <c r="O7320" i="1"/>
  <c r="E7320" i="1"/>
  <c r="B7320" i="1"/>
  <c r="O7319" i="1"/>
  <c r="E7319" i="1"/>
  <c r="B7319" i="1"/>
  <c r="O7318" i="1"/>
  <c r="E7318" i="1"/>
  <c r="B7318" i="1"/>
  <c r="O7317" i="1"/>
  <c r="E7317" i="1"/>
  <c r="B7317" i="1"/>
  <c r="O7316" i="1"/>
  <c r="E7316" i="1"/>
  <c r="B7316" i="1"/>
  <c r="O7315" i="1"/>
  <c r="E7315" i="1"/>
  <c r="B7315" i="1"/>
  <c r="O7314" i="1"/>
  <c r="E7314" i="1"/>
  <c r="B7314" i="1"/>
  <c r="O7313" i="1"/>
  <c r="E7313" i="1"/>
  <c r="B7313" i="1"/>
  <c r="O7312" i="1"/>
  <c r="E7312" i="1"/>
  <c r="B7312" i="1"/>
  <c r="O7311" i="1"/>
  <c r="E7311" i="1"/>
  <c r="B7311" i="1"/>
  <c r="O7310" i="1"/>
  <c r="E7310" i="1"/>
  <c r="B7310" i="1"/>
  <c r="O7309" i="1"/>
  <c r="E7309" i="1"/>
  <c r="B7309" i="1"/>
  <c r="O7308" i="1"/>
  <c r="E7308" i="1"/>
  <c r="B7308" i="1"/>
  <c r="O7307" i="1"/>
  <c r="E7307" i="1"/>
  <c r="B7307" i="1"/>
  <c r="O7306" i="1"/>
  <c r="E7306" i="1"/>
  <c r="B7306" i="1"/>
  <c r="O7305" i="1"/>
  <c r="E7305" i="1"/>
  <c r="B7305" i="1"/>
  <c r="O7304" i="1"/>
  <c r="E7304" i="1"/>
  <c r="B7304" i="1"/>
  <c r="O7303" i="1"/>
  <c r="E7303" i="1"/>
  <c r="B7303" i="1"/>
  <c r="O7302" i="1"/>
  <c r="E7302" i="1"/>
  <c r="B7302" i="1"/>
  <c r="O7301" i="1"/>
  <c r="E7301" i="1"/>
  <c r="B7301" i="1"/>
  <c r="O7300" i="1"/>
  <c r="E7300" i="1"/>
  <c r="B7300" i="1"/>
  <c r="O7299" i="1"/>
  <c r="E7299" i="1"/>
  <c r="B7299" i="1"/>
  <c r="O7298" i="1"/>
  <c r="E7298" i="1"/>
  <c r="B7298" i="1"/>
  <c r="O7297" i="1"/>
  <c r="E7297" i="1"/>
  <c r="B7297" i="1"/>
  <c r="O7296" i="1"/>
  <c r="E7296" i="1"/>
  <c r="B7296" i="1"/>
  <c r="O7295" i="1"/>
  <c r="E7295" i="1"/>
  <c r="B7295" i="1"/>
  <c r="O7294" i="1"/>
  <c r="E7294" i="1"/>
  <c r="B7294" i="1"/>
  <c r="O7293" i="1"/>
  <c r="E7293" i="1"/>
  <c r="B7293" i="1"/>
  <c r="O7292" i="1"/>
  <c r="E7292" i="1"/>
  <c r="B7292" i="1"/>
  <c r="O7291" i="1"/>
  <c r="E7291" i="1"/>
  <c r="B7291" i="1"/>
  <c r="O7290" i="1"/>
  <c r="E7290" i="1"/>
  <c r="B7290" i="1"/>
  <c r="O7289" i="1"/>
  <c r="E7289" i="1"/>
  <c r="B7289" i="1"/>
  <c r="O7288" i="1"/>
  <c r="E7288" i="1"/>
  <c r="B7288" i="1"/>
  <c r="O7287" i="1"/>
  <c r="E7287" i="1"/>
  <c r="B7287" i="1"/>
  <c r="O7286" i="1"/>
  <c r="E7286" i="1"/>
  <c r="B7286" i="1"/>
  <c r="O7285" i="1"/>
  <c r="E7285" i="1"/>
  <c r="B7285" i="1"/>
  <c r="O7284" i="1"/>
  <c r="E7284" i="1"/>
  <c r="B7284" i="1"/>
  <c r="O7283" i="1"/>
  <c r="E7283" i="1"/>
  <c r="B7283" i="1"/>
  <c r="O7282" i="1"/>
  <c r="E7282" i="1"/>
  <c r="B7282" i="1"/>
  <c r="O7281" i="1"/>
  <c r="E7281" i="1"/>
  <c r="B7281" i="1"/>
  <c r="O7280" i="1"/>
  <c r="E7280" i="1"/>
  <c r="B7280" i="1"/>
  <c r="O7279" i="1"/>
  <c r="E7279" i="1"/>
  <c r="B7279" i="1"/>
  <c r="O7278" i="1"/>
  <c r="E7278" i="1"/>
  <c r="B7278" i="1"/>
  <c r="O7277" i="1"/>
  <c r="E7277" i="1"/>
  <c r="B7277" i="1"/>
  <c r="O7276" i="1"/>
  <c r="E7276" i="1"/>
  <c r="B7276" i="1"/>
  <c r="O7275" i="1"/>
  <c r="E7275" i="1"/>
  <c r="B7275" i="1"/>
  <c r="O7274" i="1"/>
  <c r="E7274" i="1"/>
  <c r="B7274" i="1"/>
  <c r="O7273" i="1"/>
  <c r="E7273" i="1"/>
  <c r="B7273" i="1"/>
  <c r="O7272" i="1"/>
  <c r="E7272" i="1"/>
  <c r="B7272" i="1"/>
  <c r="O7271" i="1"/>
  <c r="E7271" i="1"/>
  <c r="B7271" i="1"/>
  <c r="O7270" i="1"/>
  <c r="E7270" i="1"/>
  <c r="B7270" i="1"/>
  <c r="O7269" i="1"/>
  <c r="E7269" i="1"/>
  <c r="B7269" i="1"/>
  <c r="O7268" i="1"/>
  <c r="E7268" i="1"/>
  <c r="B7268" i="1"/>
  <c r="O7267" i="1"/>
  <c r="E7267" i="1"/>
  <c r="B7267" i="1"/>
  <c r="O7266" i="1"/>
  <c r="E7266" i="1"/>
  <c r="B7266" i="1"/>
  <c r="O7265" i="1"/>
  <c r="E7265" i="1"/>
  <c r="B7265" i="1"/>
  <c r="O7264" i="1"/>
  <c r="E7264" i="1"/>
  <c r="B7264" i="1"/>
  <c r="O7263" i="1"/>
  <c r="E7263" i="1"/>
  <c r="B7263" i="1"/>
  <c r="O7262" i="1"/>
  <c r="E7262" i="1"/>
  <c r="B7262" i="1"/>
  <c r="O7261" i="1"/>
  <c r="E7261" i="1"/>
  <c r="B7261" i="1"/>
  <c r="O7260" i="1"/>
  <c r="E7260" i="1"/>
  <c r="B7260" i="1"/>
  <c r="O7259" i="1"/>
  <c r="E7259" i="1"/>
  <c r="B7259" i="1"/>
  <c r="O7258" i="1"/>
  <c r="E7258" i="1"/>
  <c r="B7258" i="1"/>
  <c r="O7257" i="1"/>
  <c r="E7257" i="1"/>
  <c r="B7257" i="1"/>
  <c r="O7256" i="1"/>
  <c r="E7256" i="1"/>
  <c r="B7256" i="1"/>
  <c r="O7255" i="1"/>
  <c r="E7255" i="1"/>
  <c r="B7255" i="1"/>
  <c r="O7254" i="1"/>
  <c r="E7254" i="1"/>
  <c r="B7254" i="1"/>
  <c r="O7253" i="1"/>
  <c r="E7253" i="1"/>
  <c r="B7253" i="1"/>
  <c r="O7252" i="1"/>
  <c r="E7252" i="1"/>
  <c r="B7252" i="1"/>
  <c r="O7251" i="1"/>
  <c r="E7251" i="1"/>
  <c r="B7251" i="1"/>
  <c r="O7250" i="1"/>
  <c r="E7250" i="1"/>
  <c r="B7250" i="1"/>
  <c r="O7249" i="1"/>
  <c r="E7249" i="1"/>
  <c r="B7249" i="1"/>
  <c r="O7248" i="1"/>
  <c r="E7248" i="1"/>
  <c r="B7248" i="1"/>
  <c r="O7247" i="1"/>
  <c r="E7247" i="1"/>
  <c r="B7247" i="1"/>
  <c r="O7246" i="1"/>
  <c r="E7246" i="1"/>
  <c r="B7246" i="1"/>
  <c r="O7245" i="1"/>
  <c r="E7245" i="1"/>
  <c r="B7245" i="1"/>
  <c r="O7244" i="1"/>
  <c r="E7244" i="1"/>
  <c r="B7244" i="1"/>
  <c r="O7243" i="1"/>
  <c r="E7243" i="1"/>
  <c r="B7243" i="1"/>
  <c r="O7242" i="1"/>
  <c r="E7242" i="1"/>
  <c r="B7242" i="1"/>
  <c r="O7241" i="1"/>
  <c r="E7241" i="1"/>
  <c r="B7241" i="1"/>
  <c r="O7240" i="1"/>
  <c r="E7240" i="1"/>
  <c r="B7240" i="1"/>
  <c r="O7239" i="1"/>
  <c r="E7239" i="1"/>
  <c r="B7239" i="1"/>
  <c r="O7238" i="1"/>
  <c r="E7238" i="1"/>
  <c r="B7238" i="1"/>
  <c r="O7237" i="1"/>
  <c r="E7237" i="1"/>
  <c r="B7237" i="1"/>
  <c r="O7236" i="1"/>
  <c r="E7236" i="1"/>
  <c r="B7236" i="1"/>
  <c r="O7235" i="1"/>
  <c r="E7235" i="1"/>
  <c r="B7235" i="1"/>
  <c r="O7234" i="1"/>
  <c r="E7234" i="1"/>
  <c r="B7234" i="1"/>
  <c r="O7233" i="1"/>
  <c r="E7233" i="1"/>
  <c r="B7233" i="1"/>
  <c r="O7232" i="1"/>
  <c r="E7232" i="1"/>
  <c r="B7232" i="1"/>
  <c r="O7231" i="1"/>
  <c r="E7231" i="1"/>
  <c r="B7231" i="1"/>
  <c r="O7230" i="1"/>
  <c r="E7230" i="1"/>
  <c r="B7230" i="1"/>
  <c r="O7229" i="1"/>
  <c r="E7229" i="1"/>
  <c r="B7229" i="1"/>
  <c r="O7228" i="1"/>
  <c r="E7228" i="1"/>
  <c r="B7228" i="1"/>
  <c r="O7227" i="1"/>
  <c r="E7227" i="1"/>
  <c r="B7227" i="1"/>
  <c r="O7226" i="1"/>
  <c r="E7226" i="1"/>
  <c r="B7226" i="1"/>
  <c r="O7225" i="1"/>
  <c r="E7225" i="1"/>
  <c r="B7225" i="1"/>
  <c r="O7224" i="1"/>
  <c r="E7224" i="1"/>
  <c r="B7224" i="1"/>
  <c r="O7223" i="1"/>
  <c r="E7223" i="1"/>
  <c r="B7223" i="1"/>
  <c r="O7222" i="1"/>
  <c r="E7222" i="1"/>
  <c r="B7222" i="1"/>
  <c r="O7221" i="1"/>
  <c r="E7221" i="1"/>
  <c r="B7221" i="1"/>
  <c r="O7220" i="1"/>
  <c r="E7220" i="1"/>
  <c r="B7220" i="1"/>
  <c r="O7219" i="1"/>
  <c r="E7219" i="1"/>
  <c r="B7219" i="1"/>
  <c r="O7218" i="1"/>
  <c r="E7218" i="1"/>
  <c r="B7218" i="1"/>
  <c r="O7217" i="1"/>
  <c r="E7217" i="1"/>
  <c r="B7217" i="1"/>
  <c r="O7216" i="1"/>
  <c r="E7216" i="1"/>
  <c r="B7216" i="1"/>
  <c r="O7215" i="1"/>
  <c r="E7215" i="1"/>
  <c r="B7215" i="1"/>
  <c r="O7214" i="1"/>
  <c r="E7214" i="1"/>
  <c r="B7214" i="1"/>
  <c r="O7213" i="1"/>
  <c r="E7213" i="1"/>
  <c r="B7213" i="1"/>
  <c r="O7212" i="1"/>
  <c r="E7212" i="1"/>
  <c r="B7212" i="1"/>
  <c r="O7211" i="1"/>
  <c r="E7211" i="1"/>
  <c r="B7211" i="1"/>
  <c r="O7210" i="1"/>
  <c r="E7210" i="1"/>
  <c r="B7210" i="1"/>
  <c r="O7209" i="1"/>
  <c r="E7209" i="1"/>
  <c r="B7209" i="1"/>
  <c r="O7208" i="1"/>
  <c r="E7208" i="1"/>
  <c r="B7208" i="1"/>
  <c r="O7207" i="1"/>
  <c r="E7207" i="1"/>
  <c r="B7207" i="1"/>
  <c r="O7206" i="1"/>
  <c r="E7206" i="1"/>
  <c r="B7206" i="1"/>
  <c r="O7205" i="1"/>
  <c r="E7205" i="1"/>
  <c r="B7205" i="1"/>
  <c r="O7204" i="1"/>
  <c r="E7204" i="1"/>
  <c r="B7204" i="1"/>
  <c r="O7203" i="1"/>
  <c r="E7203" i="1"/>
  <c r="B7203" i="1"/>
  <c r="O7202" i="1"/>
  <c r="E7202" i="1"/>
  <c r="B7202" i="1"/>
  <c r="O7201" i="1"/>
  <c r="E7201" i="1"/>
  <c r="B7201" i="1"/>
  <c r="O7200" i="1"/>
  <c r="E7200" i="1"/>
  <c r="B7200" i="1"/>
  <c r="O7199" i="1"/>
  <c r="E7199" i="1"/>
  <c r="B7199" i="1"/>
  <c r="O7198" i="1"/>
  <c r="E7198" i="1"/>
  <c r="B7198" i="1"/>
  <c r="O7197" i="1"/>
  <c r="E7197" i="1"/>
  <c r="B7197" i="1"/>
  <c r="O7196" i="1"/>
  <c r="E7196" i="1"/>
  <c r="B7196" i="1"/>
  <c r="O7195" i="1"/>
  <c r="E7195" i="1"/>
  <c r="B7195" i="1"/>
  <c r="O7194" i="1"/>
  <c r="E7194" i="1"/>
  <c r="B7194" i="1"/>
  <c r="O7193" i="1"/>
  <c r="E7193" i="1"/>
  <c r="B7193" i="1"/>
  <c r="O7192" i="1"/>
  <c r="E7192" i="1"/>
  <c r="B7192" i="1"/>
  <c r="O7191" i="1"/>
  <c r="E7191" i="1"/>
  <c r="B7191" i="1"/>
  <c r="O7190" i="1"/>
  <c r="E7190" i="1"/>
  <c r="B7190" i="1"/>
  <c r="O7189" i="1"/>
  <c r="E7189" i="1"/>
  <c r="B7189" i="1"/>
  <c r="O7188" i="1"/>
  <c r="E7188" i="1"/>
  <c r="B7188" i="1"/>
  <c r="O7187" i="1"/>
  <c r="E7187" i="1"/>
  <c r="B7187" i="1"/>
  <c r="O7186" i="1"/>
  <c r="E7186" i="1"/>
  <c r="B7186" i="1"/>
  <c r="O7185" i="1"/>
  <c r="E7185" i="1"/>
  <c r="B7185" i="1"/>
  <c r="O7184" i="1"/>
  <c r="E7184" i="1"/>
  <c r="B7184" i="1"/>
  <c r="O7183" i="1"/>
  <c r="E7183" i="1"/>
  <c r="B7183" i="1"/>
  <c r="O7182" i="1"/>
  <c r="E7182" i="1"/>
  <c r="B7182" i="1"/>
  <c r="O7181" i="1"/>
  <c r="E7181" i="1"/>
  <c r="B7181" i="1"/>
  <c r="O7180" i="1"/>
  <c r="E7180" i="1"/>
  <c r="B7180" i="1"/>
  <c r="O7179" i="1"/>
  <c r="E7179" i="1"/>
  <c r="B7179" i="1"/>
  <c r="O7178" i="1"/>
  <c r="E7178" i="1"/>
  <c r="B7178" i="1"/>
  <c r="O7177" i="1"/>
  <c r="E7177" i="1"/>
  <c r="B7177" i="1"/>
  <c r="O7176" i="1"/>
  <c r="E7176" i="1"/>
  <c r="B7176" i="1"/>
  <c r="O7175" i="1"/>
  <c r="E7175" i="1"/>
  <c r="B7175" i="1"/>
  <c r="O7174" i="1"/>
  <c r="E7174" i="1"/>
  <c r="B7174" i="1"/>
  <c r="O7173" i="1"/>
  <c r="E7173" i="1"/>
  <c r="B7173" i="1"/>
  <c r="O7172" i="1"/>
  <c r="E7172" i="1"/>
  <c r="B7172" i="1"/>
  <c r="O7171" i="1"/>
  <c r="E7171" i="1"/>
  <c r="B7171" i="1"/>
  <c r="O7170" i="1"/>
  <c r="E7170" i="1"/>
  <c r="B7170" i="1"/>
  <c r="O7169" i="1"/>
  <c r="E7169" i="1"/>
  <c r="B7169" i="1"/>
  <c r="O7168" i="1"/>
  <c r="E7168" i="1"/>
  <c r="B7168" i="1"/>
  <c r="O7167" i="1"/>
  <c r="E7167" i="1"/>
  <c r="B7167" i="1"/>
  <c r="O7166" i="1"/>
  <c r="E7166" i="1"/>
  <c r="B7166" i="1"/>
  <c r="O7165" i="1"/>
  <c r="E7165" i="1"/>
  <c r="B7165" i="1"/>
  <c r="O7164" i="1"/>
  <c r="E7164" i="1"/>
  <c r="B7164" i="1"/>
  <c r="O7163" i="1"/>
  <c r="E7163" i="1"/>
  <c r="B7163" i="1"/>
  <c r="O7162" i="1"/>
  <c r="E7162" i="1"/>
  <c r="B7162" i="1"/>
  <c r="O7161" i="1"/>
  <c r="E7161" i="1"/>
  <c r="B7161" i="1"/>
  <c r="O7160" i="1"/>
  <c r="E7160" i="1"/>
  <c r="B7160" i="1"/>
  <c r="O7159" i="1"/>
  <c r="E7159" i="1"/>
  <c r="B7159" i="1"/>
  <c r="O7158" i="1"/>
  <c r="E7158" i="1"/>
  <c r="B7158" i="1"/>
  <c r="O7157" i="1"/>
  <c r="E7157" i="1"/>
  <c r="B7157" i="1"/>
  <c r="O7156" i="1"/>
  <c r="E7156" i="1"/>
  <c r="B7156" i="1"/>
  <c r="O7155" i="1"/>
  <c r="E7155" i="1"/>
  <c r="B7155" i="1"/>
  <c r="O7154" i="1"/>
  <c r="E7154" i="1"/>
  <c r="B7154" i="1"/>
  <c r="O7153" i="1"/>
  <c r="E7153" i="1"/>
  <c r="B7153" i="1"/>
  <c r="O7152" i="1"/>
  <c r="E7152" i="1"/>
  <c r="B7152" i="1"/>
  <c r="O7151" i="1"/>
  <c r="E7151" i="1"/>
  <c r="B7151" i="1"/>
  <c r="O7150" i="1"/>
  <c r="E7150" i="1"/>
  <c r="B7150" i="1"/>
  <c r="O7149" i="1"/>
  <c r="E7149" i="1"/>
  <c r="B7149" i="1"/>
  <c r="O7148" i="1"/>
  <c r="E7148" i="1"/>
  <c r="B7148" i="1"/>
  <c r="O7147" i="1"/>
  <c r="E7147" i="1"/>
  <c r="B7147" i="1"/>
  <c r="O7146" i="1"/>
  <c r="E7146" i="1"/>
  <c r="B7146" i="1"/>
  <c r="O7145" i="1"/>
  <c r="E7145" i="1"/>
  <c r="B7145" i="1"/>
  <c r="O7144" i="1"/>
  <c r="E7144" i="1"/>
  <c r="B7144" i="1"/>
  <c r="O7143" i="1"/>
  <c r="E7143" i="1"/>
  <c r="B7143" i="1"/>
  <c r="O7142" i="1"/>
  <c r="E7142" i="1"/>
  <c r="B7142" i="1"/>
  <c r="O7141" i="1"/>
  <c r="E7141" i="1"/>
  <c r="B7141" i="1"/>
  <c r="O7140" i="1"/>
  <c r="E7140" i="1"/>
  <c r="B7140" i="1"/>
  <c r="O7139" i="1"/>
  <c r="E7139" i="1"/>
  <c r="B7139" i="1"/>
  <c r="O7138" i="1"/>
  <c r="E7138" i="1"/>
  <c r="B7138" i="1"/>
  <c r="O7137" i="1"/>
  <c r="E7137" i="1"/>
  <c r="B7137" i="1"/>
  <c r="O7136" i="1"/>
  <c r="E7136" i="1"/>
  <c r="B7136" i="1"/>
  <c r="O7135" i="1"/>
  <c r="E7135" i="1"/>
  <c r="B7135" i="1"/>
  <c r="O7134" i="1"/>
  <c r="E7134" i="1"/>
  <c r="B7134" i="1"/>
  <c r="O7133" i="1"/>
  <c r="E7133" i="1"/>
  <c r="B7133" i="1"/>
  <c r="O7132" i="1"/>
  <c r="E7132" i="1"/>
  <c r="B7132" i="1"/>
  <c r="O7131" i="1"/>
  <c r="E7131" i="1"/>
  <c r="B7131" i="1"/>
  <c r="O7130" i="1"/>
  <c r="E7130" i="1"/>
  <c r="B7130" i="1"/>
  <c r="O7129" i="1"/>
  <c r="E7129" i="1"/>
  <c r="B7129" i="1"/>
  <c r="O7128" i="1"/>
  <c r="E7128" i="1"/>
  <c r="B7128" i="1"/>
  <c r="O7127" i="1"/>
  <c r="E7127" i="1"/>
  <c r="B7127" i="1"/>
  <c r="O7126" i="1"/>
  <c r="E7126" i="1"/>
  <c r="B7126" i="1"/>
  <c r="O7125" i="1"/>
  <c r="E7125" i="1"/>
  <c r="B7125" i="1"/>
  <c r="O7124" i="1"/>
  <c r="E7124" i="1"/>
  <c r="B7124" i="1"/>
  <c r="O7123" i="1"/>
  <c r="E7123" i="1"/>
  <c r="B7123" i="1"/>
  <c r="O7122" i="1"/>
  <c r="E7122" i="1"/>
  <c r="B7122" i="1"/>
  <c r="O7121" i="1"/>
  <c r="E7121" i="1"/>
  <c r="B7121" i="1"/>
  <c r="O7120" i="1"/>
  <c r="E7120" i="1"/>
  <c r="B7120" i="1"/>
  <c r="O7119" i="1"/>
  <c r="E7119" i="1"/>
  <c r="B7119" i="1"/>
  <c r="O7118" i="1"/>
  <c r="E7118" i="1"/>
  <c r="B7118" i="1"/>
  <c r="O7117" i="1"/>
  <c r="E7117" i="1"/>
  <c r="B7117" i="1"/>
  <c r="O7116" i="1"/>
  <c r="E7116" i="1"/>
  <c r="B7116" i="1"/>
  <c r="O7115" i="1"/>
  <c r="E7115" i="1"/>
  <c r="B7115" i="1"/>
  <c r="O7114" i="1"/>
  <c r="E7114" i="1"/>
  <c r="B7114" i="1"/>
  <c r="O7113" i="1"/>
  <c r="E7113" i="1"/>
  <c r="B7113" i="1"/>
  <c r="O7112" i="1"/>
  <c r="E7112" i="1"/>
  <c r="B7112" i="1"/>
  <c r="O7111" i="1"/>
  <c r="E7111" i="1"/>
  <c r="B7111" i="1"/>
  <c r="O7110" i="1"/>
  <c r="E7110" i="1"/>
  <c r="B7110" i="1"/>
  <c r="O7109" i="1"/>
  <c r="E7109" i="1"/>
  <c r="B7109" i="1"/>
  <c r="O7108" i="1"/>
  <c r="E7108" i="1"/>
  <c r="B7108" i="1"/>
  <c r="O7107" i="1"/>
  <c r="E7107" i="1"/>
  <c r="B7107" i="1"/>
  <c r="O7106" i="1"/>
  <c r="E7106" i="1"/>
  <c r="B7106" i="1"/>
  <c r="O7105" i="1"/>
  <c r="E7105" i="1"/>
  <c r="B7105" i="1"/>
  <c r="O7104" i="1"/>
  <c r="E7104" i="1"/>
  <c r="B7104" i="1"/>
  <c r="O7103" i="1"/>
  <c r="E7103" i="1"/>
  <c r="B7103" i="1"/>
  <c r="O7102" i="1"/>
  <c r="E7102" i="1"/>
  <c r="B7102" i="1"/>
  <c r="O7101" i="1"/>
  <c r="E7101" i="1"/>
  <c r="B7101" i="1"/>
  <c r="O7100" i="1"/>
  <c r="E7100" i="1"/>
  <c r="B7100" i="1"/>
  <c r="O7099" i="1"/>
  <c r="E7099" i="1"/>
  <c r="B7099" i="1"/>
  <c r="O7098" i="1"/>
  <c r="E7098" i="1"/>
  <c r="B7098" i="1"/>
  <c r="O7097" i="1"/>
  <c r="E7097" i="1"/>
  <c r="B7097" i="1"/>
  <c r="O7096" i="1"/>
  <c r="E7096" i="1"/>
  <c r="B7096" i="1"/>
  <c r="O7095" i="1"/>
  <c r="E7095" i="1"/>
  <c r="B7095" i="1"/>
  <c r="O7094" i="1"/>
  <c r="E7094" i="1"/>
  <c r="B7094" i="1"/>
  <c r="O7093" i="1"/>
  <c r="E7093" i="1"/>
  <c r="B7093" i="1"/>
  <c r="O7092" i="1"/>
  <c r="E7092" i="1"/>
  <c r="B7092" i="1"/>
  <c r="O7091" i="1"/>
  <c r="E7091" i="1"/>
  <c r="B7091" i="1"/>
  <c r="O7090" i="1"/>
  <c r="E7090" i="1"/>
  <c r="B7090" i="1"/>
  <c r="O7089" i="1"/>
  <c r="E7089" i="1"/>
  <c r="B7089" i="1"/>
  <c r="O7088" i="1"/>
  <c r="E7088" i="1"/>
  <c r="B7088" i="1"/>
  <c r="O7087" i="1"/>
  <c r="E7087" i="1"/>
  <c r="B7087" i="1"/>
  <c r="O7086" i="1"/>
  <c r="E7086" i="1"/>
  <c r="B7086" i="1"/>
  <c r="O7085" i="1"/>
  <c r="E7085" i="1"/>
  <c r="B7085" i="1"/>
  <c r="O7084" i="1"/>
  <c r="E7084" i="1"/>
  <c r="B7084" i="1"/>
  <c r="O7083" i="1"/>
  <c r="E7083" i="1"/>
  <c r="B7083" i="1"/>
  <c r="O7082" i="1"/>
  <c r="E7082" i="1"/>
  <c r="B7082" i="1"/>
  <c r="O7081" i="1"/>
  <c r="E7081" i="1"/>
  <c r="B7081" i="1"/>
  <c r="O7080" i="1"/>
  <c r="E7080" i="1"/>
  <c r="B7080" i="1"/>
  <c r="O7079" i="1"/>
  <c r="E7079" i="1"/>
  <c r="B7079" i="1"/>
  <c r="O7078" i="1"/>
  <c r="E7078" i="1"/>
  <c r="B7078" i="1"/>
  <c r="O7077" i="1"/>
  <c r="E7077" i="1"/>
  <c r="B7077" i="1"/>
  <c r="O7076" i="1"/>
  <c r="E7076" i="1"/>
  <c r="B7076" i="1"/>
  <c r="O7075" i="1"/>
  <c r="E7075" i="1"/>
  <c r="B7075" i="1"/>
  <c r="O7074" i="1"/>
  <c r="E7074" i="1"/>
  <c r="B7074" i="1"/>
  <c r="O7073" i="1"/>
  <c r="E7073" i="1"/>
  <c r="B7073" i="1"/>
  <c r="O7072" i="1"/>
  <c r="E7072" i="1"/>
  <c r="B7072" i="1"/>
  <c r="O7071" i="1"/>
  <c r="E7071" i="1"/>
  <c r="B7071" i="1"/>
  <c r="O7070" i="1"/>
  <c r="E7070" i="1"/>
  <c r="B7070" i="1"/>
  <c r="O7069" i="1"/>
  <c r="E7069" i="1"/>
  <c r="B7069" i="1"/>
  <c r="O7068" i="1"/>
  <c r="E7068" i="1"/>
  <c r="B7068" i="1"/>
  <c r="O7067" i="1"/>
  <c r="E7067" i="1"/>
  <c r="B7067" i="1"/>
  <c r="O7066" i="1"/>
  <c r="E7066" i="1"/>
  <c r="B7066" i="1"/>
  <c r="O7065" i="1"/>
  <c r="E7065" i="1"/>
  <c r="B7065" i="1"/>
  <c r="O7064" i="1"/>
  <c r="E7064" i="1"/>
  <c r="B7064" i="1"/>
  <c r="O7063" i="1"/>
  <c r="E7063" i="1"/>
  <c r="B7063" i="1"/>
  <c r="O7062" i="1"/>
  <c r="E7062" i="1"/>
  <c r="B7062" i="1"/>
  <c r="O7061" i="1"/>
  <c r="E7061" i="1"/>
  <c r="B7061" i="1"/>
  <c r="O7060" i="1"/>
  <c r="E7060" i="1"/>
  <c r="B7060" i="1"/>
  <c r="O7059" i="1"/>
  <c r="E7059" i="1"/>
  <c r="B7059" i="1"/>
  <c r="O7058" i="1"/>
  <c r="E7058" i="1"/>
  <c r="B7058" i="1"/>
  <c r="O7057" i="1"/>
  <c r="E7057" i="1"/>
  <c r="B7057" i="1"/>
  <c r="O7056" i="1"/>
  <c r="E7056" i="1"/>
  <c r="B7056" i="1"/>
  <c r="O7055" i="1"/>
  <c r="E7055" i="1"/>
  <c r="B7055" i="1"/>
  <c r="O7054" i="1"/>
  <c r="E7054" i="1"/>
  <c r="B7054" i="1"/>
  <c r="O7053" i="1"/>
  <c r="E7053" i="1"/>
  <c r="B7053" i="1"/>
  <c r="O7052" i="1"/>
  <c r="E7052" i="1"/>
  <c r="B7052" i="1"/>
  <c r="O7051" i="1"/>
  <c r="E7051" i="1"/>
  <c r="B7051" i="1"/>
  <c r="O7050" i="1"/>
  <c r="E7050" i="1"/>
  <c r="B7050" i="1"/>
  <c r="O7049" i="1"/>
  <c r="E7049" i="1"/>
  <c r="B7049" i="1"/>
  <c r="O7048" i="1"/>
  <c r="E7048" i="1"/>
  <c r="B7048" i="1"/>
  <c r="O7047" i="1"/>
  <c r="E7047" i="1"/>
  <c r="B7047" i="1"/>
  <c r="O7046" i="1"/>
  <c r="E7046" i="1"/>
  <c r="B7046" i="1"/>
  <c r="O7045" i="1"/>
  <c r="E7045" i="1"/>
  <c r="B7045" i="1"/>
  <c r="O7044" i="1"/>
  <c r="E7044" i="1"/>
  <c r="B7044" i="1"/>
  <c r="O7043" i="1"/>
  <c r="E7043" i="1"/>
  <c r="B7043" i="1"/>
  <c r="O7042" i="1"/>
  <c r="E7042" i="1"/>
  <c r="B7042" i="1"/>
  <c r="O7041" i="1"/>
  <c r="E7041" i="1"/>
  <c r="B7041" i="1"/>
  <c r="O7040" i="1"/>
  <c r="E7040" i="1"/>
  <c r="B7040" i="1"/>
  <c r="O7039" i="1"/>
  <c r="E7039" i="1"/>
  <c r="B7039" i="1"/>
  <c r="O7038" i="1"/>
  <c r="E7038" i="1"/>
  <c r="B7038" i="1"/>
  <c r="O7037" i="1"/>
  <c r="E7037" i="1"/>
  <c r="B7037" i="1"/>
  <c r="O7036" i="1"/>
  <c r="E7036" i="1"/>
  <c r="B7036" i="1"/>
  <c r="O7035" i="1"/>
  <c r="E7035" i="1"/>
  <c r="B7035" i="1"/>
  <c r="O7034" i="1"/>
  <c r="E7034" i="1"/>
  <c r="B7034" i="1"/>
  <c r="O7033" i="1"/>
  <c r="E7033" i="1"/>
  <c r="B7033" i="1"/>
  <c r="O7032" i="1"/>
  <c r="E7032" i="1"/>
  <c r="B7032" i="1"/>
  <c r="O7031" i="1"/>
  <c r="E7031" i="1"/>
  <c r="B7031" i="1"/>
  <c r="O7030" i="1"/>
  <c r="E7030" i="1"/>
  <c r="B7030" i="1"/>
  <c r="O7029" i="1"/>
  <c r="E7029" i="1"/>
  <c r="B7029" i="1"/>
  <c r="O7028" i="1"/>
  <c r="E7028" i="1"/>
  <c r="B7028" i="1"/>
  <c r="O7027" i="1"/>
  <c r="E7027" i="1"/>
  <c r="B7027" i="1"/>
  <c r="O7026" i="1"/>
  <c r="E7026" i="1"/>
  <c r="B7026" i="1"/>
  <c r="O7025" i="1"/>
  <c r="E7025" i="1"/>
  <c r="B7025" i="1"/>
  <c r="O7024" i="1"/>
  <c r="E7024" i="1"/>
  <c r="B7024" i="1"/>
  <c r="O7023" i="1"/>
  <c r="E7023" i="1"/>
  <c r="B7023" i="1"/>
  <c r="O7022" i="1"/>
  <c r="E7022" i="1"/>
  <c r="B7022" i="1"/>
  <c r="O7021" i="1"/>
  <c r="E7021" i="1"/>
  <c r="B7021" i="1"/>
  <c r="O7020" i="1"/>
  <c r="E7020" i="1"/>
  <c r="B7020" i="1"/>
  <c r="O7019" i="1"/>
  <c r="E7019" i="1"/>
  <c r="B7019" i="1"/>
  <c r="O7018" i="1"/>
  <c r="E7018" i="1"/>
  <c r="B7018" i="1"/>
  <c r="O7017" i="1"/>
  <c r="E7017" i="1"/>
  <c r="B7017" i="1"/>
  <c r="O7016" i="1"/>
  <c r="E7016" i="1"/>
  <c r="B7016" i="1"/>
  <c r="O7015" i="1"/>
  <c r="E7015" i="1"/>
  <c r="B7015" i="1"/>
  <c r="O7014" i="1"/>
  <c r="E7014" i="1"/>
  <c r="B7014" i="1"/>
  <c r="O7013" i="1"/>
  <c r="E7013" i="1"/>
  <c r="B7013" i="1"/>
  <c r="O7012" i="1"/>
  <c r="E7012" i="1"/>
  <c r="B7012" i="1"/>
  <c r="O7011" i="1"/>
  <c r="E7011" i="1"/>
  <c r="B7011" i="1"/>
  <c r="O7010" i="1"/>
  <c r="E7010" i="1"/>
  <c r="B7010" i="1"/>
  <c r="O7009" i="1"/>
  <c r="E7009" i="1"/>
  <c r="B7009" i="1"/>
  <c r="O7008" i="1"/>
  <c r="E7008" i="1"/>
  <c r="B7008" i="1"/>
  <c r="O7007" i="1"/>
  <c r="E7007" i="1"/>
  <c r="B7007" i="1"/>
  <c r="O7006" i="1"/>
  <c r="E7006" i="1"/>
  <c r="B7006" i="1"/>
  <c r="O7005" i="1"/>
  <c r="E7005" i="1"/>
  <c r="B7005" i="1"/>
  <c r="O7004" i="1"/>
  <c r="E7004" i="1"/>
  <c r="B7004" i="1"/>
  <c r="O7003" i="1"/>
  <c r="E7003" i="1"/>
  <c r="B7003" i="1"/>
  <c r="O7002" i="1"/>
  <c r="E7002" i="1"/>
  <c r="B7002" i="1"/>
  <c r="O7001" i="1"/>
  <c r="E7001" i="1"/>
  <c r="B7001" i="1"/>
  <c r="O7000" i="1"/>
  <c r="E7000" i="1"/>
  <c r="B7000" i="1"/>
  <c r="O6999" i="1"/>
  <c r="E6999" i="1"/>
  <c r="B6999" i="1"/>
  <c r="O6998" i="1"/>
  <c r="E6998" i="1"/>
  <c r="B6998" i="1"/>
  <c r="O6997" i="1"/>
  <c r="E6997" i="1"/>
  <c r="B6997" i="1"/>
  <c r="O6996" i="1"/>
  <c r="E6996" i="1"/>
  <c r="B6996" i="1"/>
  <c r="O6995" i="1"/>
  <c r="E6995" i="1"/>
  <c r="B6995" i="1"/>
  <c r="O6994" i="1"/>
  <c r="E6994" i="1"/>
  <c r="B6994" i="1"/>
  <c r="O6993" i="1"/>
  <c r="E6993" i="1"/>
  <c r="B6993" i="1"/>
  <c r="O6992" i="1"/>
  <c r="E6992" i="1"/>
  <c r="B6992" i="1"/>
  <c r="O6991" i="1"/>
  <c r="E6991" i="1"/>
  <c r="B6991" i="1"/>
  <c r="O6990" i="1"/>
  <c r="E6990" i="1"/>
  <c r="B6990" i="1"/>
  <c r="O6989" i="1"/>
  <c r="E6989" i="1"/>
  <c r="B6989" i="1"/>
  <c r="O6988" i="1"/>
  <c r="E6988" i="1"/>
  <c r="B6988" i="1"/>
  <c r="O6987" i="1"/>
  <c r="E6987" i="1"/>
  <c r="B6987" i="1"/>
  <c r="O6986" i="1"/>
  <c r="E6986" i="1"/>
  <c r="B6986" i="1"/>
  <c r="O6985" i="1"/>
  <c r="E6985" i="1"/>
  <c r="B6985" i="1"/>
  <c r="O6984" i="1"/>
  <c r="E6984" i="1"/>
  <c r="B6984" i="1"/>
  <c r="O6983" i="1"/>
  <c r="E6983" i="1"/>
  <c r="B6983" i="1"/>
  <c r="O6982" i="1"/>
  <c r="E6982" i="1"/>
  <c r="B6982" i="1"/>
  <c r="O6981" i="1"/>
  <c r="E6981" i="1"/>
  <c r="B6981" i="1"/>
  <c r="O6980" i="1"/>
  <c r="E6980" i="1"/>
  <c r="B6980" i="1"/>
  <c r="O6979" i="1"/>
  <c r="E6979" i="1"/>
  <c r="B6979" i="1"/>
  <c r="O6978" i="1"/>
  <c r="E6978" i="1"/>
  <c r="B6978" i="1"/>
  <c r="O6977" i="1"/>
  <c r="E6977" i="1"/>
  <c r="B6977" i="1"/>
  <c r="O6976" i="1"/>
  <c r="E6976" i="1"/>
  <c r="B6976" i="1"/>
  <c r="O6975" i="1"/>
  <c r="E6975" i="1"/>
  <c r="B6975" i="1"/>
  <c r="O6974" i="1"/>
  <c r="E6974" i="1"/>
  <c r="B6974" i="1"/>
  <c r="O6973" i="1"/>
  <c r="E6973" i="1"/>
  <c r="B6973" i="1"/>
  <c r="O6972" i="1"/>
  <c r="E6972" i="1"/>
  <c r="B6972" i="1"/>
  <c r="O6971" i="1"/>
  <c r="E6971" i="1"/>
  <c r="B6971" i="1"/>
  <c r="O6970" i="1"/>
  <c r="E6970" i="1"/>
  <c r="B6970" i="1"/>
  <c r="O6969" i="1"/>
  <c r="E6969" i="1"/>
  <c r="B6969" i="1"/>
  <c r="O6968" i="1"/>
  <c r="E6968" i="1"/>
  <c r="B6968" i="1"/>
  <c r="O6967" i="1"/>
  <c r="E6967" i="1"/>
  <c r="B6967" i="1"/>
  <c r="O6966" i="1"/>
  <c r="E6966" i="1"/>
  <c r="B6966" i="1"/>
  <c r="O6965" i="1"/>
  <c r="E6965" i="1"/>
  <c r="B6965" i="1"/>
  <c r="O6964" i="1"/>
  <c r="E6964" i="1"/>
  <c r="B6964" i="1"/>
  <c r="O6963" i="1"/>
  <c r="E6963" i="1"/>
  <c r="B6963" i="1"/>
  <c r="O6962" i="1"/>
  <c r="E6962" i="1"/>
  <c r="B6962" i="1"/>
  <c r="O6961" i="1"/>
  <c r="E6961" i="1"/>
  <c r="B6961" i="1"/>
  <c r="O6960" i="1"/>
  <c r="E6960" i="1"/>
  <c r="B6960" i="1"/>
  <c r="O6959" i="1"/>
  <c r="E6959" i="1"/>
  <c r="B6959" i="1"/>
  <c r="O6958" i="1"/>
  <c r="E6958" i="1"/>
  <c r="B6958" i="1"/>
  <c r="O6957" i="1"/>
  <c r="E6957" i="1"/>
  <c r="B6957" i="1"/>
  <c r="O6956" i="1"/>
  <c r="E6956" i="1"/>
  <c r="B6956" i="1"/>
  <c r="O6955" i="1"/>
  <c r="E6955" i="1"/>
  <c r="B6955" i="1"/>
  <c r="O6954" i="1"/>
  <c r="E6954" i="1"/>
  <c r="B6954" i="1"/>
  <c r="O6953" i="1"/>
  <c r="E6953" i="1"/>
  <c r="B6953" i="1"/>
  <c r="O6952" i="1"/>
  <c r="E6952" i="1"/>
  <c r="B6952" i="1"/>
  <c r="O6951" i="1"/>
  <c r="E6951" i="1"/>
  <c r="B6951" i="1"/>
  <c r="O6950" i="1"/>
  <c r="E6950" i="1"/>
  <c r="B6950" i="1"/>
  <c r="O6949" i="1"/>
  <c r="E6949" i="1"/>
  <c r="B6949" i="1"/>
  <c r="O6948" i="1"/>
  <c r="E6948" i="1"/>
  <c r="B6948" i="1"/>
  <c r="O6947" i="1"/>
  <c r="E6947" i="1"/>
  <c r="B6947" i="1"/>
  <c r="O6946" i="1"/>
  <c r="E6946" i="1"/>
  <c r="B6946" i="1"/>
  <c r="O6945" i="1"/>
  <c r="E6945" i="1"/>
  <c r="B6945" i="1"/>
  <c r="O6944" i="1"/>
  <c r="E6944" i="1"/>
  <c r="B6944" i="1"/>
  <c r="O6943" i="1"/>
  <c r="E6943" i="1"/>
  <c r="B6943" i="1"/>
  <c r="O6942" i="1"/>
  <c r="E6942" i="1"/>
  <c r="B6942" i="1"/>
  <c r="O6941" i="1"/>
  <c r="E6941" i="1"/>
  <c r="B6941" i="1"/>
  <c r="O6940" i="1"/>
  <c r="E6940" i="1"/>
  <c r="B6940" i="1"/>
  <c r="O6939" i="1"/>
  <c r="E6939" i="1"/>
  <c r="B6939" i="1"/>
  <c r="O6938" i="1"/>
  <c r="E6938" i="1"/>
  <c r="B6938" i="1"/>
  <c r="O6937" i="1"/>
  <c r="E6937" i="1"/>
  <c r="B6937" i="1"/>
  <c r="O6936" i="1"/>
  <c r="E6936" i="1"/>
  <c r="B6936" i="1"/>
  <c r="O6935" i="1"/>
  <c r="E6935" i="1"/>
  <c r="B6935" i="1"/>
  <c r="O6934" i="1"/>
  <c r="E6934" i="1"/>
  <c r="B6934" i="1"/>
  <c r="O6933" i="1"/>
  <c r="E6933" i="1"/>
  <c r="B6933" i="1"/>
  <c r="O6932" i="1"/>
  <c r="E6932" i="1"/>
  <c r="B6932" i="1"/>
  <c r="O6931" i="1"/>
  <c r="E6931" i="1"/>
  <c r="B6931" i="1"/>
  <c r="O6930" i="1"/>
  <c r="E6930" i="1"/>
  <c r="B6930" i="1"/>
  <c r="O6929" i="1"/>
  <c r="E6929" i="1"/>
  <c r="B6929" i="1"/>
  <c r="O6928" i="1"/>
  <c r="E6928" i="1"/>
  <c r="B6928" i="1"/>
  <c r="O6927" i="1"/>
  <c r="E6927" i="1"/>
  <c r="B6927" i="1"/>
  <c r="O6926" i="1"/>
  <c r="E6926" i="1"/>
  <c r="B6926" i="1"/>
  <c r="O6925" i="1"/>
  <c r="E6925" i="1"/>
  <c r="B6925" i="1"/>
  <c r="O6924" i="1"/>
  <c r="E6924" i="1"/>
  <c r="B6924" i="1"/>
  <c r="O6923" i="1"/>
  <c r="E6923" i="1"/>
  <c r="B6923" i="1"/>
  <c r="O6922" i="1"/>
  <c r="E6922" i="1"/>
  <c r="B6922" i="1"/>
  <c r="O6921" i="1"/>
  <c r="E6921" i="1"/>
  <c r="B6921" i="1"/>
  <c r="O6920" i="1"/>
  <c r="E6920" i="1"/>
  <c r="B6920" i="1"/>
  <c r="O6919" i="1"/>
  <c r="E6919" i="1"/>
  <c r="B6919" i="1"/>
  <c r="O6918" i="1"/>
  <c r="E6918" i="1"/>
  <c r="B6918" i="1"/>
  <c r="O6917" i="1"/>
  <c r="E6917" i="1"/>
  <c r="B6917" i="1"/>
  <c r="O6916" i="1"/>
  <c r="E6916" i="1"/>
  <c r="B6916" i="1"/>
  <c r="O6915" i="1"/>
  <c r="E6915" i="1"/>
  <c r="B6915" i="1"/>
  <c r="O6914" i="1"/>
  <c r="E6914" i="1"/>
  <c r="B6914" i="1"/>
  <c r="O6913" i="1"/>
  <c r="E6913" i="1"/>
  <c r="B6913" i="1"/>
  <c r="O6912" i="1"/>
  <c r="E6912" i="1"/>
  <c r="B6912" i="1"/>
  <c r="O6911" i="1"/>
  <c r="E6911" i="1"/>
  <c r="B6911" i="1"/>
  <c r="O6910" i="1"/>
  <c r="E6910" i="1"/>
  <c r="B6910" i="1"/>
  <c r="O6909" i="1"/>
  <c r="E6909" i="1"/>
  <c r="B6909" i="1"/>
  <c r="O6908" i="1"/>
  <c r="E6908" i="1"/>
  <c r="B6908" i="1"/>
  <c r="O6907" i="1"/>
  <c r="E6907" i="1"/>
  <c r="B6907" i="1"/>
  <c r="O6906" i="1"/>
  <c r="E6906" i="1"/>
  <c r="B6906" i="1"/>
  <c r="O6905" i="1"/>
  <c r="E6905" i="1"/>
  <c r="B6905" i="1"/>
  <c r="O6904" i="1"/>
  <c r="E6904" i="1"/>
  <c r="B6904" i="1"/>
  <c r="O6903" i="1"/>
  <c r="E6903" i="1"/>
  <c r="B6903" i="1"/>
  <c r="O6902" i="1"/>
  <c r="E6902" i="1"/>
  <c r="B6902" i="1"/>
  <c r="O6901" i="1"/>
  <c r="E6901" i="1"/>
  <c r="B6901" i="1"/>
  <c r="O6900" i="1"/>
  <c r="E6900" i="1"/>
  <c r="B6900" i="1"/>
  <c r="O6899" i="1"/>
  <c r="E6899" i="1"/>
  <c r="B6899" i="1"/>
  <c r="O6898" i="1"/>
  <c r="E6898" i="1"/>
  <c r="B6898" i="1"/>
  <c r="O6897" i="1"/>
  <c r="E6897" i="1"/>
  <c r="B6897" i="1"/>
  <c r="O6896" i="1"/>
  <c r="E6896" i="1"/>
  <c r="B6896" i="1"/>
  <c r="O6895" i="1"/>
  <c r="E6895" i="1"/>
  <c r="B6895" i="1"/>
  <c r="O6894" i="1"/>
  <c r="E6894" i="1"/>
  <c r="B6894" i="1"/>
  <c r="O6893" i="1"/>
  <c r="E6893" i="1"/>
  <c r="B6893" i="1"/>
  <c r="O6892" i="1"/>
  <c r="E6892" i="1"/>
  <c r="B6892" i="1"/>
  <c r="O6891" i="1"/>
  <c r="E6891" i="1"/>
  <c r="B6891" i="1"/>
  <c r="O6890" i="1"/>
  <c r="E6890" i="1"/>
  <c r="B6890" i="1"/>
  <c r="O6889" i="1"/>
  <c r="E6889" i="1"/>
  <c r="B6889" i="1"/>
  <c r="O6888" i="1"/>
  <c r="E6888" i="1"/>
  <c r="B6888" i="1"/>
  <c r="O6887" i="1"/>
  <c r="E6887" i="1"/>
  <c r="B6887" i="1"/>
  <c r="O6886" i="1"/>
  <c r="E6886" i="1"/>
  <c r="B6886" i="1"/>
  <c r="O6885" i="1"/>
  <c r="E6885" i="1"/>
  <c r="B6885" i="1"/>
  <c r="O6884" i="1"/>
  <c r="E6884" i="1"/>
  <c r="B6884" i="1"/>
  <c r="O6883" i="1"/>
  <c r="E6883" i="1"/>
  <c r="B6883" i="1"/>
  <c r="O6882" i="1"/>
  <c r="E6882" i="1"/>
  <c r="B6882" i="1"/>
  <c r="O6881" i="1"/>
  <c r="E6881" i="1"/>
  <c r="B6881" i="1"/>
  <c r="O6880" i="1"/>
  <c r="E6880" i="1"/>
  <c r="B6880" i="1"/>
  <c r="O6879" i="1"/>
  <c r="E6879" i="1"/>
  <c r="B6879" i="1"/>
  <c r="O6878" i="1"/>
  <c r="E6878" i="1"/>
  <c r="B6878" i="1"/>
  <c r="O6877" i="1"/>
  <c r="E6877" i="1"/>
  <c r="B6877" i="1"/>
  <c r="O6876" i="1"/>
  <c r="E6876" i="1"/>
  <c r="B6876" i="1"/>
  <c r="O6875" i="1"/>
  <c r="E6875" i="1"/>
  <c r="B6875" i="1"/>
  <c r="O6874" i="1"/>
  <c r="E6874" i="1"/>
  <c r="B6874" i="1"/>
  <c r="O6873" i="1"/>
  <c r="E6873" i="1"/>
  <c r="B6873" i="1"/>
  <c r="O6872" i="1"/>
  <c r="E6872" i="1"/>
  <c r="B6872" i="1"/>
  <c r="O6871" i="1"/>
  <c r="E6871" i="1"/>
  <c r="B6871" i="1"/>
  <c r="O6870" i="1"/>
  <c r="E6870" i="1"/>
  <c r="B6870" i="1"/>
  <c r="O6869" i="1"/>
  <c r="E6869" i="1"/>
  <c r="B6869" i="1"/>
  <c r="O6868" i="1"/>
  <c r="E6868" i="1"/>
  <c r="B6868" i="1"/>
  <c r="O6867" i="1"/>
  <c r="E6867" i="1"/>
  <c r="B6867" i="1"/>
  <c r="O6866" i="1"/>
  <c r="E6866" i="1"/>
  <c r="B6866" i="1"/>
  <c r="O6865" i="1"/>
  <c r="E6865" i="1"/>
  <c r="B6865" i="1"/>
  <c r="O6864" i="1"/>
  <c r="E6864" i="1"/>
  <c r="B6864" i="1"/>
  <c r="O6863" i="1"/>
  <c r="E6863" i="1"/>
  <c r="B6863" i="1"/>
  <c r="O6862" i="1"/>
  <c r="E6862" i="1"/>
  <c r="B6862" i="1"/>
  <c r="O6861" i="1"/>
  <c r="E6861" i="1"/>
  <c r="B6861" i="1"/>
  <c r="O6860" i="1"/>
  <c r="E6860" i="1"/>
  <c r="B6860" i="1"/>
  <c r="O6859" i="1"/>
  <c r="E6859" i="1"/>
  <c r="B6859" i="1"/>
  <c r="O6858" i="1"/>
  <c r="E6858" i="1"/>
  <c r="B6858" i="1"/>
  <c r="O6857" i="1"/>
  <c r="E6857" i="1"/>
  <c r="B6857" i="1"/>
  <c r="O6856" i="1"/>
  <c r="E6856" i="1"/>
  <c r="B6856" i="1"/>
  <c r="O6855" i="1"/>
  <c r="E6855" i="1"/>
  <c r="B6855" i="1"/>
  <c r="O6854" i="1"/>
  <c r="E6854" i="1"/>
  <c r="B6854" i="1"/>
  <c r="O6853" i="1"/>
  <c r="E6853" i="1"/>
  <c r="B6853" i="1"/>
  <c r="O6852" i="1"/>
  <c r="E6852" i="1"/>
  <c r="B6852" i="1"/>
  <c r="O6851" i="1"/>
  <c r="E6851" i="1"/>
  <c r="B6851" i="1"/>
  <c r="O6850" i="1"/>
  <c r="E6850" i="1"/>
  <c r="B6850" i="1"/>
  <c r="O6849" i="1"/>
  <c r="E6849" i="1"/>
  <c r="B6849" i="1"/>
  <c r="O6848" i="1"/>
  <c r="E6848" i="1"/>
  <c r="B6848" i="1"/>
  <c r="O6847" i="1"/>
  <c r="E6847" i="1"/>
  <c r="B6847" i="1"/>
  <c r="O6846" i="1"/>
  <c r="E6846" i="1"/>
  <c r="B6846" i="1"/>
  <c r="O6845" i="1"/>
  <c r="E6845" i="1"/>
  <c r="B6845" i="1"/>
  <c r="O6844" i="1"/>
  <c r="E6844" i="1"/>
  <c r="B6844" i="1"/>
  <c r="O6843" i="1"/>
  <c r="E6843" i="1"/>
  <c r="B6843" i="1"/>
  <c r="O6842" i="1"/>
  <c r="E6842" i="1"/>
  <c r="B6842" i="1"/>
  <c r="O6841" i="1"/>
  <c r="E6841" i="1"/>
  <c r="B6841" i="1"/>
  <c r="O6840" i="1"/>
  <c r="E6840" i="1"/>
  <c r="B6840" i="1"/>
  <c r="O6839" i="1"/>
  <c r="E6839" i="1"/>
  <c r="B6839" i="1"/>
  <c r="O6838" i="1"/>
  <c r="E6838" i="1"/>
  <c r="B6838" i="1"/>
  <c r="O6837" i="1"/>
  <c r="E6837" i="1"/>
  <c r="B6837" i="1"/>
  <c r="O6836" i="1"/>
  <c r="E6836" i="1"/>
  <c r="B6836" i="1"/>
  <c r="O6835" i="1"/>
  <c r="E6835" i="1"/>
  <c r="B6835" i="1"/>
  <c r="O6834" i="1"/>
  <c r="E6834" i="1"/>
  <c r="B6834" i="1"/>
  <c r="O6833" i="1"/>
  <c r="E6833" i="1"/>
  <c r="B6833" i="1"/>
  <c r="O6832" i="1"/>
  <c r="E6832" i="1"/>
  <c r="B6832" i="1"/>
  <c r="O6831" i="1"/>
  <c r="E6831" i="1"/>
  <c r="B6831" i="1"/>
  <c r="O6830" i="1"/>
  <c r="E6830" i="1"/>
  <c r="B6830" i="1"/>
  <c r="O6829" i="1"/>
  <c r="E6829" i="1"/>
  <c r="B6829" i="1"/>
  <c r="O6828" i="1"/>
  <c r="E6828" i="1"/>
  <c r="B6828" i="1"/>
  <c r="O6827" i="1"/>
  <c r="E6827" i="1"/>
  <c r="B6827" i="1"/>
  <c r="O6826" i="1"/>
  <c r="E6826" i="1"/>
  <c r="B6826" i="1"/>
  <c r="O6825" i="1"/>
  <c r="E6825" i="1"/>
  <c r="B6825" i="1"/>
  <c r="O6824" i="1"/>
  <c r="E6824" i="1"/>
  <c r="B6824" i="1"/>
  <c r="O6823" i="1"/>
  <c r="E6823" i="1"/>
  <c r="B6823" i="1"/>
  <c r="O6822" i="1"/>
  <c r="E6822" i="1"/>
  <c r="B6822" i="1"/>
  <c r="O6821" i="1"/>
  <c r="E6821" i="1"/>
  <c r="B6821" i="1"/>
  <c r="O6820" i="1"/>
  <c r="E6820" i="1"/>
  <c r="B6820" i="1"/>
  <c r="O6819" i="1"/>
  <c r="E6819" i="1"/>
  <c r="B6819" i="1"/>
  <c r="O6818" i="1"/>
  <c r="E6818" i="1"/>
  <c r="B6818" i="1"/>
  <c r="O6817" i="1"/>
  <c r="E6817" i="1"/>
  <c r="B6817" i="1"/>
  <c r="O6816" i="1"/>
  <c r="E6816" i="1"/>
  <c r="B6816" i="1"/>
  <c r="O6815" i="1"/>
  <c r="E6815" i="1"/>
  <c r="B6815" i="1"/>
  <c r="O6814" i="1"/>
  <c r="E6814" i="1"/>
  <c r="B6814" i="1"/>
  <c r="O6813" i="1"/>
  <c r="E6813" i="1"/>
  <c r="B6813" i="1"/>
  <c r="O6812" i="1"/>
  <c r="E6812" i="1"/>
  <c r="B6812" i="1"/>
  <c r="O6811" i="1"/>
  <c r="E6811" i="1"/>
  <c r="B6811" i="1"/>
  <c r="O6810" i="1"/>
  <c r="E6810" i="1"/>
  <c r="B6810" i="1"/>
  <c r="O6809" i="1"/>
  <c r="E6809" i="1"/>
  <c r="B6809" i="1"/>
  <c r="O6808" i="1"/>
  <c r="E6808" i="1"/>
  <c r="B6808" i="1"/>
  <c r="O6807" i="1"/>
  <c r="E6807" i="1"/>
  <c r="B6807" i="1"/>
  <c r="O6806" i="1"/>
  <c r="E6806" i="1"/>
  <c r="B6806" i="1"/>
  <c r="O6805" i="1"/>
  <c r="E6805" i="1"/>
  <c r="B6805" i="1"/>
  <c r="O6804" i="1"/>
  <c r="E6804" i="1"/>
  <c r="B6804" i="1"/>
  <c r="O6803" i="1"/>
  <c r="E6803" i="1"/>
  <c r="B6803" i="1"/>
  <c r="O6802" i="1"/>
  <c r="E6802" i="1"/>
  <c r="B6802" i="1"/>
  <c r="O6801" i="1"/>
  <c r="E6801" i="1"/>
  <c r="B6801" i="1"/>
  <c r="O6800" i="1"/>
  <c r="E6800" i="1"/>
  <c r="B6800" i="1"/>
  <c r="O6799" i="1"/>
  <c r="E6799" i="1"/>
  <c r="B6799" i="1"/>
  <c r="O6798" i="1"/>
  <c r="E6798" i="1"/>
  <c r="B6798" i="1"/>
  <c r="O6797" i="1"/>
  <c r="E6797" i="1"/>
  <c r="B6797" i="1"/>
  <c r="O6796" i="1"/>
  <c r="E6796" i="1"/>
  <c r="B6796" i="1"/>
  <c r="O6795" i="1"/>
  <c r="E6795" i="1"/>
  <c r="B6795" i="1"/>
  <c r="O6794" i="1"/>
  <c r="E6794" i="1"/>
  <c r="B6794" i="1"/>
  <c r="O6793" i="1"/>
  <c r="E6793" i="1"/>
  <c r="B6793" i="1"/>
  <c r="O6792" i="1"/>
  <c r="E6792" i="1"/>
  <c r="B6792" i="1"/>
  <c r="O6791" i="1"/>
  <c r="E6791" i="1"/>
  <c r="B6791" i="1"/>
  <c r="O6790" i="1"/>
  <c r="E6790" i="1"/>
  <c r="B6790" i="1"/>
  <c r="O6789" i="1"/>
  <c r="E6789" i="1"/>
  <c r="B6789" i="1"/>
  <c r="O6788" i="1"/>
  <c r="E6788" i="1"/>
  <c r="B6788" i="1"/>
  <c r="O6787" i="1"/>
  <c r="E6787" i="1"/>
  <c r="B6787" i="1"/>
  <c r="O6786" i="1"/>
  <c r="E6786" i="1"/>
  <c r="B6786" i="1"/>
  <c r="O6785" i="1"/>
  <c r="E6785" i="1"/>
  <c r="B6785" i="1"/>
  <c r="O6784" i="1"/>
  <c r="E6784" i="1"/>
  <c r="B6784" i="1"/>
  <c r="O6783" i="1"/>
  <c r="E6783" i="1"/>
  <c r="B6783" i="1"/>
  <c r="O6782" i="1"/>
  <c r="E6782" i="1"/>
  <c r="B6782" i="1"/>
  <c r="O6781" i="1"/>
  <c r="E6781" i="1"/>
  <c r="B6781" i="1"/>
  <c r="O6780" i="1"/>
  <c r="E6780" i="1"/>
  <c r="B6780" i="1"/>
  <c r="O6779" i="1"/>
  <c r="E6779" i="1"/>
  <c r="B6779" i="1"/>
  <c r="O6778" i="1"/>
  <c r="E6778" i="1"/>
  <c r="B6778" i="1"/>
  <c r="O6777" i="1"/>
  <c r="E6777" i="1"/>
  <c r="B6777" i="1"/>
  <c r="O6776" i="1"/>
  <c r="E6776" i="1"/>
  <c r="B6776" i="1"/>
  <c r="O6775" i="1"/>
  <c r="E6775" i="1"/>
  <c r="B6775" i="1"/>
  <c r="O6774" i="1"/>
  <c r="E6774" i="1"/>
  <c r="B6774" i="1"/>
  <c r="O6773" i="1"/>
  <c r="E6773" i="1"/>
  <c r="B6773" i="1"/>
  <c r="O6772" i="1"/>
  <c r="E6772" i="1"/>
  <c r="B6772" i="1"/>
  <c r="O6771" i="1"/>
  <c r="E6771" i="1"/>
  <c r="B6771" i="1"/>
  <c r="O6770" i="1"/>
  <c r="E6770" i="1"/>
  <c r="B6770" i="1"/>
  <c r="O6769" i="1"/>
  <c r="E6769" i="1"/>
  <c r="B6769" i="1"/>
  <c r="O6768" i="1"/>
  <c r="E6768" i="1"/>
  <c r="B6768" i="1"/>
  <c r="O6767" i="1"/>
  <c r="E6767" i="1"/>
  <c r="B6767" i="1"/>
  <c r="O6766" i="1"/>
  <c r="E6766" i="1"/>
  <c r="B6766" i="1"/>
  <c r="O6765" i="1"/>
  <c r="E6765" i="1"/>
  <c r="B6765" i="1"/>
  <c r="O6764" i="1"/>
  <c r="E6764" i="1"/>
  <c r="B6764" i="1"/>
  <c r="O6763" i="1"/>
  <c r="E6763" i="1"/>
  <c r="B6763" i="1"/>
  <c r="O6762" i="1"/>
  <c r="E6762" i="1"/>
  <c r="B6762" i="1"/>
  <c r="O6761" i="1"/>
  <c r="E6761" i="1"/>
  <c r="B6761" i="1"/>
  <c r="O6760" i="1"/>
  <c r="E6760" i="1"/>
  <c r="B6760" i="1"/>
  <c r="O6759" i="1"/>
  <c r="E6759" i="1"/>
  <c r="B6759" i="1"/>
  <c r="O6758" i="1"/>
  <c r="E6758" i="1"/>
  <c r="B6758" i="1"/>
  <c r="O6757" i="1"/>
  <c r="E6757" i="1"/>
  <c r="B6757" i="1"/>
  <c r="O6756" i="1"/>
  <c r="E6756" i="1"/>
  <c r="B6756" i="1"/>
  <c r="O6755" i="1"/>
  <c r="E6755" i="1"/>
  <c r="B6755" i="1"/>
  <c r="O6754" i="1"/>
  <c r="E6754" i="1"/>
  <c r="B6754" i="1"/>
  <c r="O6753" i="1"/>
  <c r="E6753" i="1"/>
  <c r="B6753" i="1"/>
  <c r="O6752" i="1"/>
  <c r="E6752" i="1"/>
  <c r="B6752" i="1"/>
  <c r="O6751" i="1"/>
  <c r="E6751" i="1"/>
  <c r="B6751" i="1"/>
  <c r="O6750" i="1"/>
  <c r="E6750" i="1"/>
  <c r="B6750" i="1"/>
  <c r="O6749" i="1"/>
  <c r="E6749" i="1"/>
  <c r="B6749" i="1"/>
  <c r="O6748" i="1"/>
  <c r="E6748" i="1"/>
  <c r="B6748" i="1"/>
  <c r="O6747" i="1"/>
  <c r="E6747" i="1"/>
  <c r="B6747" i="1"/>
  <c r="O6746" i="1"/>
  <c r="E6746" i="1"/>
  <c r="B6746" i="1"/>
  <c r="O6745" i="1"/>
  <c r="E6745" i="1"/>
  <c r="B6745" i="1"/>
  <c r="O6744" i="1"/>
  <c r="E6744" i="1"/>
  <c r="B6744" i="1"/>
  <c r="O6743" i="1"/>
  <c r="E6743" i="1"/>
  <c r="B6743" i="1"/>
  <c r="O6742" i="1"/>
  <c r="E6742" i="1"/>
  <c r="B6742" i="1"/>
  <c r="O6741" i="1"/>
  <c r="E6741" i="1"/>
  <c r="B6741" i="1"/>
  <c r="O6740" i="1"/>
  <c r="E6740" i="1"/>
  <c r="B6740" i="1"/>
  <c r="O6739" i="1"/>
  <c r="E6739" i="1"/>
  <c r="B6739" i="1"/>
  <c r="O6738" i="1"/>
  <c r="E6738" i="1"/>
  <c r="B6738" i="1"/>
  <c r="O6737" i="1"/>
  <c r="E6737" i="1"/>
  <c r="B6737" i="1"/>
  <c r="O6736" i="1"/>
  <c r="E6736" i="1"/>
  <c r="B6736" i="1"/>
  <c r="O6735" i="1"/>
  <c r="E6735" i="1"/>
  <c r="B6735" i="1"/>
  <c r="O6734" i="1"/>
  <c r="E6734" i="1"/>
  <c r="B6734" i="1"/>
  <c r="O6733" i="1"/>
  <c r="E6733" i="1"/>
  <c r="B6733" i="1"/>
  <c r="O6732" i="1"/>
  <c r="E6732" i="1"/>
  <c r="B6732" i="1"/>
  <c r="O6731" i="1"/>
  <c r="E6731" i="1"/>
  <c r="B6731" i="1"/>
  <c r="O6730" i="1"/>
  <c r="E6730" i="1"/>
  <c r="B6730" i="1"/>
  <c r="O6729" i="1"/>
  <c r="E6729" i="1"/>
  <c r="B6729" i="1"/>
  <c r="O6728" i="1"/>
  <c r="E6728" i="1"/>
  <c r="B6728" i="1"/>
  <c r="O6727" i="1"/>
  <c r="E6727" i="1"/>
  <c r="B6727" i="1"/>
  <c r="O6726" i="1"/>
  <c r="E6726" i="1"/>
  <c r="B6726" i="1"/>
  <c r="O6725" i="1"/>
  <c r="E6725" i="1"/>
  <c r="B6725" i="1"/>
  <c r="O6724" i="1"/>
  <c r="E6724" i="1"/>
  <c r="B6724" i="1"/>
  <c r="O6723" i="1"/>
  <c r="E6723" i="1"/>
  <c r="B6723" i="1"/>
  <c r="O6722" i="1"/>
  <c r="E6722" i="1"/>
  <c r="B6722" i="1"/>
  <c r="O6721" i="1"/>
  <c r="E6721" i="1"/>
  <c r="B6721" i="1"/>
  <c r="O6720" i="1"/>
  <c r="E6720" i="1"/>
  <c r="B6720" i="1"/>
  <c r="O6719" i="1"/>
  <c r="E6719" i="1"/>
  <c r="B6719" i="1"/>
  <c r="O6718" i="1"/>
  <c r="E6718" i="1"/>
  <c r="B6718" i="1"/>
  <c r="O6717" i="1"/>
  <c r="E6717" i="1"/>
  <c r="B6717" i="1"/>
  <c r="O6716" i="1"/>
  <c r="E6716" i="1"/>
  <c r="B6716" i="1"/>
  <c r="O6715" i="1"/>
  <c r="E6715" i="1"/>
  <c r="B6715" i="1"/>
  <c r="O6714" i="1"/>
  <c r="E6714" i="1"/>
  <c r="B6714" i="1"/>
  <c r="O6713" i="1"/>
  <c r="E6713" i="1"/>
  <c r="B6713" i="1"/>
  <c r="O6712" i="1"/>
  <c r="E6712" i="1"/>
  <c r="B6712" i="1"/>
  <c r="O6711" i="1"/>
  <c r="E6711" i="1"/>
  <c r="B6711" i="1"/>
  <c r="O6710" i="1"/>
  <c r="E6710" i="1"/>
  <c r="B6710" i="1"/>
  <c r="O6709" i="1"/>
  <c r="E6709" i="1"/>
  <c r="B6709" i="1"/>
  <c r="O6708" i="1"/>
  <c r="E6708" i="1"/>
  <c r="B6708" i="1"/>
  <c r="O6707" i="1"/>
  <c r="E6707" i="1"/>
  <c r="B6707" i="1"/>
  <c r="O6706" i="1"/>
  <c r="E6706" i="1"/>
  <c r="B6706" i="1"/>
  <c r="O6705" i="1"/>
  <c r="E6705" i="1"/>
  <c r="B6705" i="1"/>
  <c r="O6704" i="1"/>
  <c r="E6704" i="1"/>
  <c r="B6704" i="1"/>
  <c r="O6703" i="1"/>
  <c r="E6703" i="1"/>
  <c r="B6703" i="1"/>
  <c r="O6702" i="1"/>
  <c r="E6702" i="1"/>
  <c r="B6702" i="1"/>
  <c r="O6701" i="1"/>
  <c r="E6701" i="1"/>
  <c r="B6701" i="1"/>
  <c r="O6700" i="1"/>
  <c r="E6700" i="1"/>
  <c r="B6700" i="1"/>
  <c r="O6699" i="1"/>
  <c r="E6699" i="1"/>
  <c r="B6699" i="1"/>
  <c r="O6698" i="1"/>
  <c r="E6698" i="1"/>
  <c r="B6698" i="1"/>
  <c r="O6697" i="1"/>
  <c r="E6697" i="1"/>
  <c r="B6697" i="1"/>
  <c r="O6696" i="1"/>
  <c r="E6696" i="1"/>
  <c r="B6696" i="1"/>
  <c r="O6695" i="1"/>
  <c r="E6695" i="1"/>
  <c r="B6695" i="1"/>
  <c r="O6694" i="1"/>
  <c r="E6694" i="1"/>
  <c r="B6694" i="1"/>
  <c r="O6693" i="1"/>
  <c r="E6693" i="1"/>
  <c r="B6693" i="1"/>
  <c r="O6692" i="1"/>
  <c r="E6692" i="1"/>
  <c r="B6692" i="1"/>
  <c r="O6691" i="1"/>
  <c r="E6691" i="1"/>
  <c r="B6691" i="1"/>
  <c r="O6690" i="1"/>
  <c r="E6690" i="1"/>
  <c r="B6690" i="1"/>
  <c r="O6689" i="1"/>
  <c r="E6689" i="1"/>
  <c r="B6689" i="1"/>
  <c r="O6688" i="1"/>
  <c r="E6688" i="1"/>
  <c r="B6688" i="1"/>
  <c r="O6687" i="1"/>
  <c r="E6687" i="1"/>
  <c r="B6687" i="1"/>
  <c r="O6686" i="1"/>
  <c r="E6686" i="1"/>
  <c r="B6686" i="1"/>
  <c r="O6685" i="1"/>
  <c r="E6685" i="1"/>
  <c r="B6685" i="1"/>
  <c r="O6684" i="1"/>
  <c r="E6684" i="1"/>
  <c r="B6684" i="1"/>
  <c r="O6683" i="1"/>
  <c r="E6683" i="1"/>
  <c r="B6683" i="1"/>
  <c r="O6682" i="1"/>
  <c r="E6682" i="1"/>
  <c r="B6682" i="1"/>
  <c r="O6681" i="1"/>
  <c r="E6681" i="1"/>
  <c r="B6681" i="1"/>
  <c r="O6680" i="1"/>
  <c r="E6680" i="1"/>
  <c r="B6680" i="1"/>
  <c r="O6679" i="1"/>
  <c r="E6679" i="1"/>
  <c r="B6679" i="1"/>
  <c r="O6678" i="1"/>
  <c r="E6678" i="1"/>
  <c r="B6678" i="1"/>
  <c r="O6677" i="1"/>
  <c r="E6677" i="1"/>
  <c r="B6677" i="1"/>
  <c r="O6676" i="1"/>
  <c r="E6676" i="1"/>
  <c r="B6676" i="1"/>
  <c r="O6675" i="1"/>
  <c r="E6675" i="1"/>
  <c r="B6675" i="1"/>
  <c r="O6674" i="1"/>
  <c r="E6674" i="1"/>
  <c r="B6674" i="1"/>
  <c r="O6673" i="1"/>
  <c r="E6673" i="1"/>
  <c r="B6673" i="1"/>
  <c r="O6672" i="1"/>
  <c r="E6672" i="1"/>
  <c r="B6672" i="1"/>
  <c r="O6671" i="1"/>
  <c r="E6671" i="1"/>
  <c r="B6671" i="1"/>
  <c r="O6670" i="1"/>
  <c r="E6670" i="1"/>
  <c r="B6670" i="1"/>
  <c r="O6669" i="1"/>
  <c r="E6669" i="1"/>
  <c r="B6669" i="1"/>
  <c r="O6668" i="1"/>
  <c r="E6668" i="1"/>
  <c r="B6668" i="1"/>
  <c r="O6667" i="1"/>
  <c r="E6667" i="1"/>
  <c r="B6667" i="1"/>
  <c r="O6666" i="1"/>
  <c r="E6666" i="1"/>
  <c r="B6666" i="1"/>
  <c r="O6665" i="1"/>
  <c r="E6665" i="1"/>
  <c r="B6665" i="1"/>
  <c r="O6664" i="1"/>
  <c r="E6664" i="1"/>
  <c r="B6664" i="1"/>
  <c r="O6663" i="1"/>
  <c r="E6663" i="1"/>
  <c r="B6663" i="1"/>
  <c r="O6662" i="1"/>
  <c r="E6662" i="1"/>
  <c r="B6662" i="1"/>
  <c r="O6661" i="1"/>
  <c r="E6661" i="1"/>
  <c r="B6661" i="1"/>
  <c r="O6660" i="1"/>
  <c r="E6660" i="1"/>
  <c r="B6660" i="1"/>
  <c r="O6659" i="1"/>
  <c r="E6659" i="1"/>
  <c r="B6659" i="1"/>
  <c r="O6658" i="1"/>
  <c r="E6658" i="1"/>
  <c r="B6658" i="1"/>
  <c r="O6657" i="1"/>
  <c r="E6657" i="1"/>
  <c r="B6657" i="1"/>
  <c r="O6656" i="1"/>
  <c r="E6656" i="1"/>
  <c r="B6656" i="1"/>
  <c r="O6655" i="1"/>
  <c r="E6655" i="1"/>
  <c r="B6655" i="1"/>
  <c r="O6654" i="1"/>
  <c r="E6654" i="1"/>
  <c r="B6654" i="1"/>
  <c r="O6653" i="1"/>
  <c r="E6653" i="1"/>
  <c r="B6653" i="1"/>
  <c r="O6652" i="1"/>
  <c r="E6652" i="1"/>
  <c r="B6652" i="1"/>
  <c r="O6651" i="1"/>
  <c r="E6651" i="1"/>
  <c r="B6651" i="1"/>
  <c r="O6650" i="1"/>
  <c r="E6650" i="1"/>
  <c r="B6650" i="1"/>
  <c r="O6649" i="1"/>
  <c r="E6649" i="1"/>
  <c r="B6649" i="1"/>
  <c r="O6648" i="1"/>
  <c r="E6648" i="1"/>
  <c r="B6648" i="1"/>
  <c r="O6647" i="1"/>
  <c r="E6647" i="1"/>
  <c r="B6647" i="1"/>
  <c r="O6646" i="1"/>
  <c r="E6646" i="1"/>
  <c r="B6646" i="1"/>
  <c r="O6645" i="1"/>
  <c r="E6645" i="1"/>
  <c r="B6645" i="1"/>
  <c r="O6644" i="1"/>
  <c r="E6644" i="1"/>
  <c r="B6644" i="1"/>
  <c r="O6643" i="1"/>
  <c r="E6643" i="1"/>
  <c r="B6643" i="1"/>
  <c r="O6642" i="1"/>
  <c r="E6642" i="1"/>
  <c r="B6642" i="1"/>
  <c r="O6641" i="1"/>
  <c r="E6641" i="1"/>
  <c r="B6641" i="1"/>
  <c r="O6640" i="1"/>
  <c r="E6640" i="1"/>
  <c r="B6640" i="1"/>
  <c r="O6639" i="1"/>
  <c r="E6639" i="1"/>
  <c r="B6639" i="1"/>
  <c r="O6638" i="1"/>
  <c r="E6638" i="1"/>
  <c r="B6638" i="1"/>
  <c r="O6637" i="1"/>
  <c r="E6637" i="1"/>
  <c r="B6637" i="1"/>
  <c r="O6636" i="1"/>
  <c r="E6636" i="1"/>
  <c r="B6636" i="1"/>
  <c r="O6635" i="1"/>
  <c r="E6635" i="1"/>
  <c r="B6635" i="1"/>
  <c r="O6634" i="1"/>
  <c r="E6634" i="1"/>
  <c r="B6634" i="1"/>
  <c r="O6633" i="1"/>
  <c r="E6633" i="1"/>
  <c r="B6633" i="1"/>
  <c r="O6632" i="1"/>
  <c r="E6632" i="1"/>
  <c r="B6632" i="1"/>
  <c r="O6631" i="1"/>
  <c r="E6631" i="1"/>
  <c r="B6631" i="1"/>
  <c r="O6630" i="1"/>
  <c r="E6630" i="1"/>
  <c r="B6630" i="1"/>
  <c r="O6629" i="1"/>
  <c r="E6629" i="1"/>
  <c r="B6629" i="1"/>
  <c r="O6628" i="1"/>
  <c r="E6628" i="1"/>
  <c r="B6628" i="1"/>
  <c r="O6627" i="1"/>
  <c r="E6627" i="1"/>
  <c r="B6627" i="1"/>
  <c r="O6626" i="1"/>
  <c r="E6626" i="1"/>
  <c r="B6626" i="1"/>
  <c r="O6625" i="1"/>
  <c r="E6625" i="1"/>
  <c r="B6625" i="1"/>
  <c r="O6624" i="1"/>
  <c r="E6624" i="1"/>
  <c r="B6624" i="1"/>
  <c r="O6623" i="1"/>
  <c r="E6623" i="1"/>
  <c r="B6623" i="1"/>
  <c r="O6622" i="1"/>
  <c r="E6622" i="1"/>
  <c r="B6622" i="1"/>
  <c r="O6621" i="1"/>
  <c r="E6621" i="1"/>
  <c r="B6621" i="1"/>
  <c r="O6620" i="1"/>
  <c r="E6620" i="1"/>
  <c r="B6620" i="1"/>
  <c r="O6619" i="1"/>
  <c r="E6619" i="1"/>
  <c r="B6619" i="1"/>
  <c r="O6618" i="1"/>
  <c r="E6618" i="1"/>
  <c r="B6618" i="1"/>
  <c r="O6617" i="1"/>
  <c r="E6617" i="1"/>
  <c r="B6617" i="1"/>
  <c r="O6616" i="1"/>
  <c r="E6616" i="1"/>
  <c r="B6616" i="1"/>
  <c r="O6615" i="1"/>
  <c r="E6615" i="1"/>
  <c r="B6615" i="1"/>
  <c r="O6614" i="1"/>
  <c r="E6614" i="1"/>
  <c r="B6614" i="1"/>
  <c r="O6613" i="1"/>
  <c r="E6613" i="1"/>
  <c r="B6613" i="1"/>
  <c r="O6612" i="1"/>
  <c r="E6612" i="1"/>
  <c r="B6612" i="1"/>
  <c r="O6611" i="1"/>
  <c r="E6611" i="1"/>
  <c r="B6611" i="1"/>
  <c r="O6610" i="1"/>
  <c r="E6610" i="1"/>
  <c r="B6610" i="1"/>
  <c r="O6609" i="1"/>
  <c r="E6609" i="1"/>
  <c r="B6609" i="1"/>
  <c r="O6608" i="1"/>
  <c r="E6608" i="1"/>
  <c r="B6608" i="1"/>
  <c r="O6607" i="1"/>
  <c r="E6607" i="1"/>
  <c r="B6607" i="1"/>
  <c r="O6606" i="1"/>
  <c r="E6606" i="1"/>
  <c r="B6606" i="1"/>
  <c r="O6605" i="1"/>
  <c r="E6605" i="1"/>
  <c r="B6605" i="1"/>
  <c r="O6604" i="1"/>
  <c r="E6604" i="1"/>
  <c r="B6604" i="1"/>
  <c r="O6603" i="1"/>
  <c r="E6603" i="1"/>
  <c r="B6603" i="1"/>
  <c r="O6602" i="1"/>
  <c r="E6602" i="1"/>
  <c r="B6602" i="1"/>
  <c r="O6601" i="1"/>
  <c r="E6601" i="1"/>
  <c r="B6601" i="1"/>
  <c r="O6600" i="1"/>
  <c r="E6600" i="1"/>
  <c r="B6600" i="1"/>
  <c r="O6599" i="1"/>
  <c r="E6599" i="1"/>
  <c r="B6599" i="1"/>
  <c r="O6598" i="1"/>
  <c r="E6598" i="1"/>
  <c r="B6598" i="1"/>
  <c r="O6597" i="1"/>
  <c r="E6597" i="1"/>
  <c r="B6597" i="1"/>
  <c r="O6596" i="1"/>
  <c r="E6596" i="1"/>
  <c r="B6596" i="1"/>
  <c r="O6595" i="1"/>
  <c r="E6595" i="1"/>
  <c r="B6595" i="1"/>
  <c r="O6594" i="1"/>
  <c r="E6594" i="1"/>
  <c r="B6594" i="1"/>
  <c r="O6593" i="1"/>
  <c r="E6593" i="1"/>
  <c r="B6593" i="1"/>
  <c r="O6592" i="1"/>
  <c r="E6592" i="1"/>
  <c r="B6592" i="1"/>
  <c r="O6591" i="1"/>
  <c r="E6591" i="1"/>
  <c r="B6591" i="1"/>
  <c r="O6590" i="1"/>
  <c r="E6590" i="1"/>
  <c r="B6590" i="1"/>
  <c r="O6589" i="1"/>
  <c r="E6589" i="1"/>
  <c r="B6589" i="1"/>
  <c r="O6588" i="1"/>
  <c r="E6588" i="1"/>
  <c r="B6588" i="1"/>
  <c r="O6587" i="1"/>
  <c r="E6587" i="1"/>
  <c r="B6587" i="1"/>
  <c r="O6586" i="1"/>
  <c r="E6586" i="1"/>
  <c r="B6586" i="1"/>
  <c r="O6585" i="1"/>
  <c r="E6585" i="1"/>
  <c r="B6585" i="1"/>
  <c r="O6584" i="1"/>
  <c r="E6584" i="1"/>
  <c r="B6584" i="1"/>
  <c r="O6583" i="1"/>
  <c r="E6583" i="1"/>
  <c r="B6583" i="1"/>
  <c r="O6582" i="1"/>
  <c r="E6582" i="1"/>
  <c r="B6582" i="1"/>
  <c r="O6581" i="1"/>
  <c r="E6581" i="1"/>
  <c r="B6581" i="1"/>
  <c r="O6580" i="1"/>
  <c r="E6580" i="1"/>
  <c r="B6580" i="1"/>
  <c r="O6579" i="1"/>
  <c r="E6579" i="1"/>
  <c r="B6579" i="1"/>
  <c r="O6578" i="1"/>
  <c r="E6578" i="1"/>
  <c r="B6578" i="1"/>
  <c r="O6577" i="1"/>
  <c r="E6577" i="1"/>
  <c r="B6577" i="1"/>
  <c r="O6576" i="1"/>
  <c r="E6576" i="1"/>
  <c r="B6576" i="1"/>
  <c r="O6575" i="1"/>
  <c r="E6575" i="1"/>
  <c r="B6575" i="1"/>
  <c r="O6574" i="1"/>
  <c r="E6574" i="1"/>
  <c r="B6574" i="1"/>
  <c r="O6573" i="1"/>
  <c r="E6573" i="1"/>
  <c r="B6573" i="1"/>
  <c r="O6572" i="1"/>
  <c r="E6572" i="1"/>
  <c r="B6572" i="1"/>
  <c r="O6571" i="1"/>
  <c r="E6571" i="1"/>
  <c r="B6571" i="1"/>
  <c r="O6570" i="1"/>
  <c r="E6570" i="1"/>
  <c r="B6570" i="1"/>
  <c r="O6569" i="1"/>
  <c r="E6569" i="1"/>
  <c r="B6569" i="1"/>
  <c r="O6568" i="1"/>
  <c r="E6568" i="1"/>
  <c r="B6568" i="1"/>
  <c r="O6567" i="1"/>
  <c r="E6567" i="1"/>
  <c r="B6567" i="1"/>
  <c r="O6566" i="1"/>
  <c r="E6566" i="1"/>
  <c r="B6566" i="1"/>
  <c r="O6565" i="1"/>
  <c r="E6565" i="1"/>
  <c r="B6565" i="1"/>
  <c r="O6564" i="1"/>
  <c r="E6564" i="1"/>
  <c r="B6564" i="1"/>
  <c r="O6563" i="1"/>
  <c r="E6563" i="1"/>
  <c r="B6563" i="1"/>
  <c r="O6562" i="1"/>
  <c r="E6562" i="1"/>
  <c r="B6562" i="1"/>
  <c r="O6561" i="1"/>
  <c r="E6561" i="1"/>
  <c r="B6561" i="1"/>
  <c r="O6560" i="1"/>
  <c r="E6560" i="1"/>
  <c r="B6560" i="1"/>
  <c r="O6559" i="1"/>
  <c r="E6559" i="1"/>
  <c r="B6559" i="1"/>
  <c r="O6558" i="1"/>
  <c r="E6558" i="1"/>
  <c r="B6558" i="1"/>
  <c r="O6557" i="1"/>
  <c r="E6557" i="1"/>
  <c r="B6557" i="1"/>
  <c r="O6556" i="1"/>
  <c r="E6556" i="1"/>
  <c r="B6556" i="1"/>
  <c r="O6555" i="1"/>
  <c r="E6555" i="1"/>
  <c r="B6555" i="1"/>
  <c r="O6554" i="1"/>
  <c r="E6554" i="1"/>
  <c r="B6554" i="1"/>
  <c r="O6553" i="1"/>
  <c r="E6553" i="1"/>
  <c r="B6553" i="1"/>
  <c r="O6552" i="1"/>
  <c r="E6552" i="1"/>
  <c r="B6552" i="1"/>
  <c r="O6551" i="1"/>
  <c r="E6551" i="1"/>
  <c r="B6551" i="1"/>
  <c r="O6550" i="1"/>
  <c r="E6550" i="1"/>
  <c r="B6550" i="1"/>
  <c r="O6549" i="1"/>
  <c r="E6549" i="1"/>
  <c r="B6549" i="1"/>
  <c r="O6548" i="1"/>
  <c r="E6548" i="1"/>
  <c r="B6548" i="1"/>
  <c r="O6547" i="1"/>
  <c r="E6547" i="1"/>
  <c r="B6547" i="1"/>
  <c r="O6546" i="1"/>
  <c r="E6546" i="1"/>
  <c r="B6546" i="1"/>
  <c r="O6545" i="1"/>
  <c r="E6545" i="1"/>
  <c r="B6545" i="1"/>
  <c r="O6544" i="1"/>
  <c r="E6544" i="1"/>
  <c r="B6544" i="1"/>
  <c r="O6543" i="1"/>
  <c r="E6543" i="1"/>
  <c r="B6543" i="1"/>
  <c r="O6542" i="1"/>
  <c r="E6542" i="1"/>
  <c r="B6542" i="1"/>
  <c r="O6541" i="1"/>
  <c r="E6541" i="1"/>
  <c r="B6541" i="1"/>
  <c r="O6540" i="1"/>
  <c r="E6540" i="1"/>
  <c r="B6540" i="1"/>
  <c r="O6539" i="1"/>
  <c r="E6539" i="1"/>
  <c r="B6539" i="1"/>
  <c r="O6538" i="1"/>
  <c r="E6538" i="1"/>
  <c r="B6538" i="1"/>
  <c r="O6537" i="1"/>
  <c r="E6537" i="1"/>
  <c r="B6537" i="1"/>
  <c r="O6536" i="1"/>
  <c r="E6536" i="1"/>
  <c r="B6536" i="1"/>
  <c r="O6535" i="1"/>
  <c r="E6535" i="1"/>
  <c r="B6535" i="1"/>
  <c r="O6534" i="1"/>
  <c r="E6534" i="1"/>
  <c r="B6534" i="1"/>
  <c r="O6533" i="1"/>
  <c r="E6533" i="1"/>
  <c r="B6533" i="1"/>
  <c r="O6532" i="1"/>
  <c r="E6532" i="1"/>
  <c r="B6532" i="1"/>
  <c r="O6531" i="1"/>
  <c r="E6531" i="1"/>
  <c r="B6531" i="1"/>
  <c r="O6530" i="1"/>
  <c r="E6530" i="1"/>
  <c r="B6530" i="1"/>
  <c r="O6529" i="1"/>
  <c r="E6529" i="1"/>
  <c r="B6529" i="1"/>
  <c r="O6528" i="1"/>
  <c r="E6528" i="1"/>
  <c r="B6528" i="1"/>
  <c r="O6527" i="1"/>
  <c r="E6527" i="1"/>
  <c r="B6527" i="1"/>
  <c r="O6526" i="1"/>
  <c r="E6526" i="1"/>
  <c r="B6526" i="1"/>
  <c r="O6525" i="1"/>
  <c r="E6525" i="1"/>
  <c r="B6525" i="1"/>
  <c r="O6524" i="1"/>
  <c r="E6524" i="1"/>
  <c r="B6524" i="1"/>
  <c r="O6523" i="1"/>
  <c r="E6523" i="1"/>
  <c r="B6523" i="1"/>
  <c r="O6522" i="1"/>
  <c r="E6522" i="1"/>
  <c r="B6522" i="1"/>
  <c r="O6521" i="1"/>
  <c r="E6521" i="1"/>
  <c r="B6521" i="1"/>
  <c r="O6520" i="1"/>
  <c r="E6520" i="1"/>
  <c r="B6520" i="1"/>
  <c r="O6519" i="1"/>
  <c r="E6519" i="1"/>
  <c r="B6519" i="1"/>
  <c r="O6518" i="1"/>
  <c r="E6518" i="1"/>
  <c r="B6518" i="1"/>
  <c r="O6517" i="1"/>
  <c r="E6517" i="1"/>
  <c r="B6517" i="1"/>
  <c r="O6516" i="1"/>
  <c r="E6516" i="1"/>
  <c r="B6516" i="1"/>
  <c r="O6515" i="1"/>
  <c r="E6515" i="1"/>
  <c r="B6515" i="1"/>
  <c r="O6514" i="1"/>
  <c r="E6514" i="1"/>
  <c r="B6514" i="1"/>
  <c r="O6513" i="1"/>
  <c r="E6513" i="1"/>
  <c r="B6513" i="1"/>
  <c r="O6512" i="1"/>
  <c r="E6512" i="1"/>
  <c r="B6512" i="1"/>
  <c r="O6511" i="1"/>
  <c r="E6511" i="1"/>
  <c r="B6511" i="1"/>
  <c r="O6510" i="1"/>
  <c r="E6510" i="1"/>
  <c r="B6510" i="1"/>
  <c r="O6509" i="1"/>
  <c r="E6509" i="1"/>
  <c r="B6509" i="1"/>
  <c r="O6508" i="1"/>
  <c r="E6508" i="1"/>
  <c r="B6508" i="1"/>
  <c r="O6507" i="1"/>
  <c r="E6507" i="1"/>
  <c r="B6507" i="1"/>
  <c r="O6506" i="1"/>
  <c r="E6506" i="1"/>
  <c r="B6506" i="1"/>
  <c r="O6505" i="1"/>
  <c r="E6505" i="1"/>
  <c r="B6505" i="1"/>
  <c r="O6504" i="1"/>
  <c r="E6504" i="1"/>
  <c r="B6504" i="1"/>
  <c r="O6503" i="1"/>
  <c r="E6503" i="1"/>
  <c r="B6503" i="1"/>
  <c r="O6502" i="1"/>
  <c r="E6502" i="1"/>
  <c r="B6502" i="1"/>
  <c r="O6501" i="1"/>
  <c r="E6501" i="1"/>
  <c r="B6501" i="1"/>
  <c r="O6500" i="1"/>
  <c r="E6500" i="1"/>
  <c r="B6500" i="1"/>
  <c r="O6499" i="1"/>
  <c r="E6499" i="1"/>
  <c r="B6499" i="1"/>
  <c r="O6498" i="1"/>
  <c r="E6498" i="1"/>
  <c r="B6498" i="1"/>
  <c r="O6497" i="1"/>
  <c r="E6497" i="1"/>
  <c r="B6497" i="1"/>
  <c r="O6496" i="1"/>
  <c r="E6496" i="1"/>
  <c r="B6496" i="1"/>
  <c r="O6495" i="1"/>
  <c r="E6495" i="1"/>
  <c r="B6495" i="1"/>
  <c r="O6494" i="1"/>
  <c r="E6494" i="1"/>
  <c r="B6494" i="1"/>
  <c r="O6493" i="1"/>
  <c r="E6493" i="1"/>
  <c r="B6493" i="1"/>
  <c r="O6492" i="1"/>
  <c r="E6492" i="1"/>
  <c r="B6492" i="1"/>
  <c r="O6491" i="1"/>
  <c r="E6491" i="1"/>
  <c r="B6491" i="1"/>
  <c r="O6490" i="1"/>
  <c r="E6490" i="1"/>
  <c r="B6490" i="1"/>
  <c r="O6489" i="1"/>
  <c r="E6489" i="1"/>
  <c r="B6489" i="1"/>
  <c r="O6488" i="1"/>
  <c r="E6488" i="1"/>
  <c r="B6488" i="1"/>
  <c r="O6487" i="1"/>
  <c r="E6487" i="1"/>
  <c r="B6487" i="1"/>
  <c r="O6486" i="1"/>
  <c r="E6486" i="1"/>
  <c r="B6486" i="1"/>
  <c r="O6485" i="1"/>
  <c r="E6485" i="1"/>
  <c r="B6485" i="1"/>
  <c r="O6484" i="1"/>
  <c r="E6484" i="1"/>
  <c r="B6484" i="1"/>
  <c r="O6483" i="1"/>
  <c r="E6483" i="1"/>
  <c r="B6483" i="1"/>
  <c r="O6482" i="1"/>
  <c r="E6482" i="1"/>
  <c r="B6482" i="1"/>
  <c r="O6481" i="1"/>
  <c r="E6481" i="1"/>
  <c r="B6481" i="1"/>
  <c r="O6480" i="1"/>
  <c r="E6480" i="1"/>
  <c r="B6480" i="1"/>
  <c r="O6479" i="1"/>
  <c r="E6479" i="1"/>
  <c r="B6479" i="1"/>
  <c r="O6478" i="1"/>
  <c r="E6478" i="1"/>
  <c r="B6478" i="1"/>
  <c r="O6477" i="1"/>
  <c r="E6477" i="1"/>
  <c r="B6477" i="1"/>
  <c r="O6476" i="1"/>
  <c r="E6476" i="1"/>
  <c r="B6476" i="1"/>
  <c r="O6475" i="1"/>
  <c r="E6475" i="1"/>
  <c r="B6475" i="1"/>
  <c r="O6474" i="1"/>
  <c r="E6474" i="1"/>
  <c r="B6474" i="1"/>
  <c r="O6473" i="1"/>
  <c r="E6473" i="1"/>
  <c r="B6473" i="1"/>
  <c r="O6472" i="1"/>
  <c r="E6472" i="1"/>
  <c r="B6472" i="1"/>
  <c r="O6471" i="1"/>
  <c r="E6471" i="1"/>
  <c r="B6471" i="1"/>
  <c r="O6470" i="1"/>
  <c r="E6470" i="1"/>
  <c r="B6470" i="1"/>
  <c r="O6469" i="1"/>
  <c r="E6469" i="1"/>
  <c r="B6469" i="1"/>
  <c r="O6468" i="1"/>
  <c r="E6468" i="1"/>
  <c r="B6468" i="1"/>
  <c r="O6467" i="1"/>
  <c r="E6467" i="1"/>
  <c r="B6467" i="1"/>
  <c r="O6466" i="1"/>
  <c r="E6466" i="1"/>
  <c r="B6466" i="1"/>
  <c r="O6465" i="1"/>
  <c r="E6465" i="1"/>
  <c r="B6465" i="1"/>
  <c r="O6464" i="1"/>
  <c r="E6464" i="1"/>
  <c r="B6464" i="1"/>
  <c r="O6463" i="1"/>
  <c r="E6463" i="1"/>
  <c r="B6463" i="1"/>
  <c r="O6462" i="1"/>
  <c r="E6462" i="1"/>
  <c r="B6462" i="1"/>
  <c r="O6461" i="1"/>
  <c r="E6461" i="1"/>
  <c r="B6461" i="1"/>
  <c r="O6460" i="1"/>
  <c r="E6460" i="1"/>
  <c r="B6460" i="1"/>
  <c r="O6459" i="1"/>
  <c r="E6459" i="1"/>
  <c r="B6459" i="1"/>
  <c r="O6458" i="1"/>
  <c r="E6458" i="1"/>
  <c r="B6458" i="1"/>
  <c r="O6457" i="1"/>
  <c r="E6457" i="1"/>
  <c r="B6457" i="1"/>
  <c r="O6456" i="1"/>
  <c r="E6456" i="1"/>
  <c r="B6456" i="1"/>
  <c r="O6455" i="1"/>
  <c r="E6455" i="1"/>
  <c r="B6455" i="1"/>
  <c r="O6454" i="1"/>
  <c r="E6454" i="1"/>
  <c r="B6454" i="1"/>
  <c r="O6453" i="1"/>
  <c r="E6453" i="1"/>
  <c r="B6453" i="1"/>
  <c r="O6452" i="1"/>
  <c r="E6452" i="1"/>
  <c r="B6452" i="1"/>
  <c r="O6451" i="1"/>
  <c r="E6451" i="1"/>
  <c r="B6451" i="1"/>
  <c r="O6450" i="1"/>
  <c r="E6450" i="1"/>
  <c r="B6450" i="1"/>
  <c r="O6449" i="1"/>
  <c r="E6449" i="1"/>
  <c r="B6449" i="1"/>
  <c r="O6448" i="1"/>
  <c r="E6448" i="1"/>
  <c r="B6448" i="1"/>
  <c r="O6447" i="1"/>
  <c r="E6447" i="1"/>
  <c r="B6447" i="1"/>
  <c r="O6446" i="1"/>
  <c r="E6446" i="1"/>
  <c r="B6446" i="1"/>
  <c r="O6445" i="1"/>
  <c r="E6445" i="1"/>
  <c r="B6445" i="1"/>
  <c r="O6444" i="1"/>
  <c r="E6444" i="1"/>
  <c r="B6444" i="1"/>
  <c r="O6443" i="1"/>
  <c r="E6443" i="1"/>
  <c r="B6443" i="1"/>
  <c r="O6442" i="1"/>
  <c r="E6442" i="1"/>
  <c r="B6442" i="1"/>
  <c r="O6441" i="1"/>
  <c r="E6441" i="1"/>
  <c r="B6441" i="1"/>
  <c r="O6440" i="1"/>
  <c r="E6440" i="1"/>
  <c r="B6440" i="1"/>
  <c r="O6439" i="1"/>
  <c r="E6439" i="1"/>
  <c r="B6439" i="1"/>
  <c r="O6438" i="1"/>
  <c r="E6438" i="1"/>
  <c r="B6438" i="1"/>
  <c r="O6437" i="1"/>
  <c r="E6437" i="1"/>
  <c r="B6437" i="1"/>
  <c r="O6436" i="1"/>
  <c r="E6436" i="1"/>
  <c r="B6436" i="1"/>
  <c r="O6435" i="1"/>
  <c r="E6435" i="1"/>
  <c r="B6435" i="1"/>
  <c r="O6434" i="1"/>
  <c r="E6434" i="1"/>
  <c r="B6434" i="1"/>
  <c r="O6433" i="1"/>
  <c r="E6433" i="1"/>
  <c r="B6433" i="1"/>
  <c r="O6432" i="1"/>
  <c r="E6432" i="1"/>
  <c r="B6432" i="1"/>
  <c r="O6431" i="1"/>
  <c r="E6431" i="1"/>
  <c r="B6431" i="1"/>
  <c r="O6430" i="1"/>
  <c r="E6430" i="1"/>
  <c r="B6430" i="1"/>
  <c r="O6429" i="1"/>
  <c r="E6429" i="1"/>
  <c r="B6429" i="1"/>
  <c r="O6428" i="1"/>
  <c r="E6428" i="1"/>
  <c r="B6428" i="1"/>
  <c r="O6427" i="1"/>
  <c r="E6427" i="1"/>
  <c r="B6427" i="1"/>
  <c r="O6426" i="1"/>
  <c r="E6426" i="1"/>
  <c r="B6426" i="1"/>
  <c r="O6425" i="1"/>
  <c r="E6425" i="1"/>
  <c r="B6425" i="1"/>
  <c r="O6424" i="1"/>
  <c r="E6424" i="1"/>
  <c r="B6424" i="1"/>
  <c r="O6423" i="1"/>
  <c r="E6423" i="1"/>
  <c r="B6423" i="1"/>
  <c r="O6422" i="1"/>
  <c r="E6422" i="1"/>
  <c r="B6422" i="1"/>
  <c r="O6421" i="1"/>
  <c r="E6421" i="1"/>
  <c r="B6421" i="1"/>
  <c r="O6420" i="1"/>
  <c r="E6420" i="1"/>
  <c r="B6420" i="1"/>
  <c r="O6419" i="1"/>
  <c r="E6419" i="1"/>
  <c r="B6419" i="1"/>
  <c r="O6418" i="1"/>
  <c r="E6418" i="1"/>
  <c r="B6418" i="1"/>
  <c r="O6417" i="1"/>
  <c r="E6417" i="1"/>
  <c r="B6417" i="1"/>
  <c r="O6416" i="1"/>
  <c r="E6416" i="1"/>
  <c r="B6416" i="1"/>
  <c r="O6415" i="1"/>
  <c r="E6415" i="1"/>
  <c r="B6415" i="1"/>
  <c r="O6414" i="1"/>
  <c r="E6414" i="1"/>
  <c r="B6414" i="1"/>
  <c r="O6413" i="1"/>
  <c r="E6413" i="1"/>
  <c r="B6413" i="1"/>
  <c r="O6412" i="1"/>
  <c r="E6412" i="1"/>
  <c r="B6412" i="1"/>
  <c r="O6411" i="1"/>
  <c r="E6411" i="1"/>
  <c r="B6411" i="1"/>
  <c r="O6410" i="1"/>
  <c r="E6410" i="1"/>
  <c r="B6410" i="1"/>
  <c r="O6409" i="1"/>
  <c r="E6409" i="1"/>
  <c r="B6409" i="1"/>
  <c r="O6408" i="1"/>
  <c r="E6408" i="1"/>
  <c r="B6408" i="1"/>
  <c r="O6407" i="1"/>
  <c r="E6407" i="1"/>
  <c r="B6407" i="1"/>
  <c r="O6406" i="1"/>
  <c r="E6406" i="1"/>
  <c r="B6406" i="1"/>
  <c r="O6405" i="1"/>
  <c r="E6405" i="1"/>
  <c r="B6405" i="1"/>
  <c r="O6404" i="1"/>
  <c r="E6404" i="1"/>
  <c r="B6404" i="1"/>
  <c r="O6403" i="1"/>
  <c r="E6403" i="1"/>
  <c r="B6403" i="1"/>
  <c r="O6402" i="1"/>
  <c r="E6402" i="1"/>
  <c r="B6402" i="1"/>
  <c r="O6401" i="1"/>
  <c r="E6401" i="1"/>
  <c r="B6401" i="1"/>
  <c r="O6400" i="1"/>
  <c r="E6400" i="1"/>
  <c r="B6400" i="1"/>
  <c r="O6399" i="1"/>
  <c r="E6399" i="1"/>
  <c r="B6399" i="1"/>
  <c r="O6398" i="1"/>
  <c r="E6398" i="1"/>
  <c r="B6398" i="1"/>
  <c r="O6397" i="1"/>
  <c r="E6397" i="1"/>
  <c r="B6397" i="1"/>
  <c r="O6396" i="1"/>
  <c r="E6396" i="1"/>
  <c r="B6396" i="1"/>
  <c r="O6395" i="1"/>
  <c r="E6395" i="1"/>
  <c r="B6395" i="1"/>
  <c r="O6394" i="1"/>
  <c r="E6394" i="1"/>
  <c r="B6394" i="1"/>
  <c r="O6393" i="1"/>
  <c r="E6393" i="1"/>
  <c r="B6393" i="1"/>
  <c r="O6392" i="1"/>
  <c r="E6392" i="1"/>
  <c r="B6392" i="1"/>
  <c r="O6391" i="1"/>
  <c r="E6391" i="1"/>
  <c r="B6391" i="1"/>
  <c r="O6390" i="1"/>
  <c r="E6390" i="1"/>
  <c r="B6390" i="1"/>
  <c r="O6389" i="1"/>
  <c r="E6389" i="1"/>
  <c r="B6389" i="1"/>
  <c r="O6388" i="1"/>
  <c r="E6388" i="1"/>
  <c r="B6388" i="1"/>
  <c r="O6387" i="1"/>
  <c r="E6387" i="1"/>
  <c r="B6387" i="1"/>
  <c r="O6386" i="1"/>
  <c r="E6386" i="1"/>
  <c r="B6386" i="1"/>
  <c r="O6384" i="1"/>
  <c r="E6384" i="1"/>
  <c r="B6384" i="1"/>
  <c r="O6385" i="1"/>
  <c r="E6385" i="1"/>
  <c r="B6385" i="1"/>
  <c r="O6383" i="1"/>
  <c r="E6383" i="1"/>
  <c r="B6383" i="1"/>
  <c r="O6382" i="1"/>
  <c r="E6382" i="1"/>
  <c r="B6382" i="1"/>
  <c r="O6381" i="1"/>
  <c r="E6381" i="1"/>
  <c r="B6381" i="1"/>
  <c r="O6380" i="1"/>
  <c r="E6380" i="1"/>
  <c r="B6380" i="1"/>
  <c r="O6379" i="1"/>
  <c r="E6379" i="1"/>
  <c r="B6379" i="1"/>
  <c r="O6378" i="1"/>
  <c r="E6378" i="1"/>
  <c r="B6378" i="1"/>
  <c r="O6377" i="1"/>
  <c r="E6377" i="1"/>
  <c r="B6377" i="1"/>
  <c r="O6376" i="1"/>
  <c r="E6376" i="1"/>
  <c r="B6376" i="1"/>
  <c r="O6375" i="1"/>
  <c r="E6375" i="1"/>
  <c r="B6375" i="1"/>
  <c r="O6374" i="1"/>
  <c r="E6374" i="1"/>
  <c r="B6374" i="1"/>
  <c r="O6373" i="1"/>
  <c r="E6373" i="1"/>
  <c r="B6373" i="1"/>
  <c r="O6372" i="1"/>
  <c r="E6372" i="1"/>
  <c r="B6372" i="1"/>
  <c r="O6371" i="1"/>
  <c r="E6371" i="1"/>
  <c r="B6371" i="1"/>
  <c r="O6370" i="1"/>
  <c r="E6370" i="1"/>
  <c r="B6370" i="1"/>
  <c r="O6369" i="1"/>
  <c r="E6369" i="1"/>
  <c r="B6369" i="1"/>
  <c r="O6368" i="1"/>
  <c r="E6368" i="1"/>
  <c r="B6368" i="1"/>
  <c r="O6367" i="1"/>
  <c r="E6367" i="1"/>
  <c r="B6367" i="1"/>
  <c r="O6366" i="1"/>
  <c r="E6366" i="1"/>
  <c r="B6366" i="1"/>
  <c r="O6365" i="1"/>
  <c r="E6365" i="1"/>
  <c r="B6365" i="1"/>
  <c r="O6364" i="1"/>
  <c r="E6364" i="1"/>
  <c r="B6364" i="1"/>
  <c r="O6363" i="1"/>
  <c r="E6363" i="1"/>
  <c r="B6363" i="1"/>
  <c r="O6362" i="1"/>
  <c r="E6362" i="1"/>
  <c r="B6362" i="1"/>
  <c r="O6361" i="1"/>
  <c r="E6361" i="1"/>
  <c r="B6361" i="1"/>
  <c r="O6360" i="1"/>
  <c r="E6360" i="1"/>
  <c r="B6360" i="1"/>
  <c r="O6359" i="1"/>
  <c r="E6359" i="1"/>
  <c r="B6359" i="1"/>
  <c r="O6358" i="1"/>
  <c r="E6358" i="1"/>
  <c r="B6358" i="1"/>
  <c r="O6357" i="1"/>
  <c r="E6357" i="1"/>
  <c r="B6357" i="1"/>
  <c r="O6356" i="1"/>
  <c r="E6356" i="1"/>
  <c r="B6356" i="1"/>
  <c r="O6355" i="1"/>
  <c r="E6355" i="1"/>
  <c r="B6355" i="1"/>
  <c r="O6354" i="1"/>
  <c r="E6354" i="1"/>
  <c r="B6354" i="1"/>
  <c r="O6353" i="1"/>
  <c r="E6353" i="1"/>
  <c r="B6353" i="1"/>
  <c r="O6352" i="1"/>
  <c r="E6352" i="1"/>
  <c r="B6352" i="1"/>
  <c r="O6351" i="1"/>
  <c r="E6351" i="1"/>
  <c r="B6351" i="1"/>
  <c r="O6350" i="1"/>
  <c r="E6350" i="1"/>
  <c r="B6350" i="1"/>
  <c r="O6349" i="1"/>
  <c r="E6349" i="1"/>
  <c r="B6349" i="1"/>
  <c r="O6348" i="1"/>
  <c r="E6348" i="1"/>
  <c r="B6348" i="1"/>
  <c r="O6347" i="1"/>
  <c r="E6347" i="1"/>
  <c r="B6347" i="1"/>
  <c r="O6346" i="1"/>
  <c r="E6346" i="1"/>
  <c r="B6346" i="1"/>
  <c r="O6345" i="1"/>
  <c r="E6345" i="1"/>
  <c r="B6345" i="1"/>
  <c r="O6344" i="1"/>
  <c r="E6344" i="1"/>
  <c r="B6344" i="1"/>
  <c r="O6343" i="1"/>
  <c r="E6343" i="1"/>
  <c r="B6343" i="1"/>
  <c r="O6342" i="1"/>
  <c r="E6342" i="1"/>
  <c r="B6342" i="1"/>
  <c r="O6341" i="1"/>
  <c r="E6341" i="1"/>
  <c r="B6341" i="1"/>
  <c r="O6340" i="1"/>
  <c r="E6340" i="1"/>
  <c r="B6340" i="1"/>
  <c r="O6339" i="1"/>
  <c r="E6339" i="1"/>
  <c r="B6339" i="1"/>
  <c r="O6338" i="1"/>
  <c r="E6338" i="1"/>
  <c r="B6338" i="1"/>
  <c r="O6337" i="1"/>
  <c r="E6337" i="1"/>
  <c r="B6337" i="1"/>
  <c r="O6336" i="1"/>
  <c r="E6336" i="1"/>
  <c r="B6336" i="1"/>
  <c r="O6335" i="1"/>
  <c r="E6335" i="1"/>
  <c r="B6335" i="1"/>
  <c r="O6334" i="1"/>
  <c r="E6334" i="1"/>
  <c r="B6334" i="1"/>
  <c r="O6333" i="1"/>
  <c r="E6333" i="1"/>
  <c r="B6333" i="1"/>
  <c r="O6332" i="1"/>
  <c r="E6332" i="1"/>
  <c r="B6332" i="1"/>
  <c r="O6331" i="1"/>
  <c r="E6331" i="1"/>
  <c r="B6331" i="1"/>
  <c r="O6330" i="1"/>
  <c r="E6330" i="1"/>
  <c r="B6330" i="1"/>
  <c r="O6329" i="1"/>
  <c r="E6329" i="1"/>
  <c r="B6329" i="1"/>
  <c r="O6328" i="1"/>
  <c r="E6328" i="1"/>
  <c r="B6328" i="1"/>
  <c r="O6327" i="1"/>
  <c r="E6327" i="1"/>
  <c r="B6327" i="1"/>
  <c r="O6326" i="1"/>
  <c r="E6326" i="1"/>
  <c r="B6326" i="1"/>
  <c r="O6325" i="1"/>
  <c r="E6325" i="1"/>
  <c r="B6325" i="1"/>
  <c r="O6324" i="1"/>
  <c r="E6324" i="1"/>
  <c r="B6324" i="1"/>
  <c r="O6323" i="1"/>
  <c r="E6323" i="1"/>
  <c r="B6323" i="1"/>
  <c r="O6322" i="1"/>
  <c r="E6322" i="1"/>
  <c r="B6322" i="1"/>
  <c r="O6321" i="1"/>
  <c r="E6321" i="1"/>
  <c r="B6321" i="1"/>
  <c r="O6320" i="1"/>
  <c r="E6320" i="1"/>
  <c r="B6320" i="1"/>
  <c r="O6319" i="1"/>
  <c r="E6319" i="1"/>
  <c r="B6319" i="1"/>
  <c r="O6318" i="1"/>
  <c r="E6318" i="1"/>
  <c r="B6318" i="1"/>
  <c r="O6317" i="1"/>
  <c r="E6317" i="1"/>
  <c r="B6317" i="1"/>
  <c r="O6316" i="1"/>
  <c r="E6316" i="1"/>
  <c r="B6316" i="1"/>
  <c r="O6315" i="1"/>
  <c r="E6315" i="1"/>
  <c r="B6315" i="1"/>
  <c r="O6314" i="1"/>
  <c r="E6314" i="1"/>
  <c r="B6314" i="1"/>
  <c r="O6313" i="1"/>
  <c r="E6313" i="1"/>
  <c r="B6313" i="1"/>
  <c r="O6312" i="1"/>
  <c r="E6312" i="1"/>
  <c r="B6312" i="1"/>
  <c r="O6311" i="1"/>
  <c r="E6311" i="1"/>
  <c r="B6311" i="1"/>
  <c r="O6310" i="1"/>
  <c r="E6310" i="1"/>
  <c r="B6310" i="1"/>
  <c r="O6309" i="1"/>
  <c r="E6309" i="1"/>
  <c r="B6309" i="1"/>
  <c r="O6308" i="1"/>
  <c r="E6308" i="1"/>
  <c r="B6308" i="1"/>
  <c r="O6307" i="1"/>
  <c r="E6307" i="1"/>
  <c r="B6307" i="1"/>
  <c r="O6306" i="1"/>
  <c r="E6306" i="1"/>
  <c r="B6306" i="1"/>
  <c r="O6305" i="1"/>
  <c r="E6305" i="1"/>
  <c r="B6305" i="1"/>
  <c r="O6304" i="1"/>
  <c r="E6304" i="1"/>
  <c r="B6304" i="1"/>
  <c r="O6303" i="1"/>
  <c r="E6303" i="1"/>
  <c r="B6303" i="1"/>
  <c r="O6302" i="1"/>
  <c r="E6302" i="1"/>
  <c r="B6302" i="1"/>
  <c r="O6301" i="1"/>
  <c r="E6301" i="1"/>
  <c r="B6301" i="1"/>
  <c r="O6300" i="1"/>
  <c r="E6300" i="1"/>
  <c r="B6300" i="1"/>
  <c r="O6299" i="1"/>
  <c r="E6299" i="1"/>
  <c r="B6299" i="1"/>
  <c r="O6298" i="1"/>
  <c r="E6298" i="1"/>
  <c r="B6298" i="1"/>
  <c r="O6297" i="1"/>
  <c r="E6297" i="1"/>
  <c r="B6297" i="1"/>
  <c r="O6296" i="1"/>
  <c r="E6296" i="1"/>
  <c r="B6296" i="1"/>
  <c r="O6295" i="1"/>
  <c r="E6295" i="1"/>
  <c r="B6295" i="1"/>
  <c r="O6294" i="1"/>
  <c r="E6294" i="1"/>
  <c r="B6294" i="1"/>
  <c r="O6293" i="1"/>
  <c r="E6293" i="1"/>
  <c r="B6293" i="1"/>
  <c r="O6292" i="1"/>
  <c r="E6292" i="1"/>
  <c r="B6292" i="1"/>
  <c r="O6291" i="1"/>
  <c r="E6291" i="1"/>
  <c r="B6291" i="1"/>
  <c r="O6290" i="1"/>
  <c r="E6290" i="1"/>
  <c r="B6290" i="1"/>
  <c r="O6289" i="1"/>
  <c r="E6289" i="1"/>
  <c r="B6289" i="1"/>
  <c r="O6288" i="1"/>
  <c r="E6288" i="1"/>
  <c r="B6288" i="1"/>
  <c r="O6287" i="1"/>
  <c r="E6287" i="1"/>
  <c r="B6287" i="1"/>
  <c r="O6286" i="1"/>
  <c r="E6286" i="1"/>
  <c r="B6286" i="1"/>
  <c r="O6285" i="1"/>
  <c r="E6285" i="1"/>
  <c r="B6285" i="1"/>
  <c r="O6284" i="1"/>
  <c r="E6284" i="1"/>
  <c r="B6284" i="1"/>
  <c r="O6283" i="1"/>
  <c r="E6283" i="1"/>
  <c r="B6283" i="1"/>
  <c r="O6282" i="1"/>
  <c r="E6282" i="1"/>
  <c r="B6282" i="1"/>
  <c r="O6281" i="1"/>
  <c r="E6281" i="1"/>
  <c r="B6281" i="1"/>
  <c r="O6280" i="1"/>
  <c r="E6280" i="1"/>
  <c r="B6280" i="1"/>
  <c r="O6279" i="1"/>
  <c r="E6279" i="1"/>
  <c r="B6279" i="1"/>
  <c r="O6278" i="1"/>
  <c r="E6278" i="1"/>
  <c r="B6278" i="1"/>
  <c r="O6277" i="1"/>
  <c r="E6277" i="1"/>
  <c r="B6277" i="1"/>
  <c r="O6276" i="1"/>
  <c r="E6276" i="1"/>
  <c r="B6276" i="1"/>
  <c r="O6275" i="1"/>
  <c r="E6275" i="1"/>
  <c r="B6275" i="1"/>
  <c r="O6274" i="1"/>
  <c r="E6274" i="1"/>
  <c r="B6274" i="1"/>
  <c r="O6273" i="1"/>
  <c r="E6273" i="1"/>
  <c r="B6273" i="1"/>
  <c r="O6272" i="1"/>
  <c r="E6272" i="1"/>
  <c r="B6272" i="1"/>
  <c r="O6271" i="1"/>
  <c r="E6271" i="1"/>
  <c r="B6271" i="1"/>
  <c r="O6270" i="1"/>
  <c r="E6270" i="1"/>
  <c r="B6270" i="1"/>
  <c r="O6269" i="1"/>
  <c r="E6269" i="1"/>
  <c r="B6269" i="1"/>
  <c r="O6268" i="1"/>
  <c r="E6268" i="1"/>
  <c r="B6268" i="1"/>
  <c r="O6267" i="1"/>
  <c r="E6267" i="1"/>
  <c r="B6267" i="1"/>
  <c r="O6266" i="1"/>
  <c r="E6266" i="1"/>
  <c r="B6266" i="1"/>
  <c r="O6265" i="1"/>
  <c r="E6265" i="1"/>
  <c r="B6265" i="1"/>
  <c r="O6264" i="1"/>
  <c r="E6264" i="1"/>
  <c r="B6264" i="1"/>
  <c r="O6263" i="1"/>
  <c r="E6263" i="1"/>
  <c r="B6263" i="1"/>
  <c r="O6262" i="1"/>
  <c r="E6262" i="1"/>
  <c r="B6262" i="1"/>
  <c r="O6261" i="1"/>
  <c r="E6261" i="1"/>
  <c r="B6261" i="1"/>
  <c r="O6260" i="1"/>
  <c r="E6260" i="1"/>
  <c r="B6260" i="1"/>
  <c r="O6259" i="1"/>
  <c r="E6259" i="1"/>
  <c r="B6259" i="1"/>
  <c r="O6258" i="1"/>
  <c r="E6258" i="1"/>
  <c r="B6258" i="1"/>
  <c r="O6257" i="1"/>
  <c r="E6257" i="1"/>
  <c r="B6257" i="1"/>
  <c r="O6256" i="1"/>
  <c r="E6256" i="1"/>
  <c r="B6256" i="1"/>
  <c r="O6255" i="1"/>
  <c r="E6255" i="1"/>
  <c r="B6255" i="1"/>
  <c r="O6254" i="1"/>
  <c r="E6254" i="1"/>
  <c r="B6254" i="1"/>
  <c r="O6253" i="1"/>
  <c r="E6253" i="1"/>
  <c r="B6253" i="1"/>
  <c r="O6252" i="1"/>
  <c r="E6252" i="1"/>
  <c r="B6252" i="1"/>
  <c r="O6251" i="1"/>
  <c r="E6251" i="1"/>
  <c r="B6251" i="1"/>
  <c r="O6250" i="1"/>
  <c r="E6250" i="1"/>
  <c r="B6250" i="1"/>
  <c r="O6249" i="1"/>
  <c r="E6249" i="1"/>
  <c r="B6249" i="1"/>
  <c r="O6248" i="1"/>
  <c r="E6248" i="1"/>
  <c r="B6248" i="1"/>
  <c r="O6247" i="1"/>
  <c r="E6247" i="1"/>
  <c r="B6247" i="1"/>
  <c r="O6246" i="1"/>
  <c r="E6246" i="1"/>
  <c r="B6246" i="1"/>
  <c r="O6245" i="1"/>
  <c r="E6245" i="1"/>
  <c r="B6245" i="1"/>
  <c r="O6244" i="1"/>
  <c r="E6244" i="1"/>
  <c r="B6244" i="1"/>
  <c r="O6243" i="1"/>
  <c r="E6243" i="1"/>
  <c r="B6243" i="1"/>
  <c r="O6242" i="1"/>
  <c r="E6242" i="1"/>
  <c r="B6242" i="1"/>
  <c r="O6241" i="1"/>
  <c r="E6241" i="1"/>
  <c r="B6241" i="1"/>
  <c r="O6240" i="1"/>
  <c r="E6240" i="1"/>
  <c r="B6240" i="1"/>
  <c r="O6239" i="1"/>
  <c r="E6239" i="1"/>
  <c r="B6239" i="1"/>
  <c r="O6238" i="1"/>
  <c r="E6238" i="1"/>
  <c r="B6238" i="1"/>
  <c r="O6237" i="1"/>
  <c r="E6237" i="1"/>
  <c r="B6237" i="1"/>
  <c r="O6236" i="1"/>
  <c r="E6236" i="1"/>
  <c r="B6236" i="1"/>
  <c r="O6235" i="1"/>
  <c r="E6235" i="1"/>
  <c r="B6235" i="1"/>
  <c r="O6234" i="1"/>
  <c r="E6234" i="1"/>
  <c r="B6234" i="1"/>
  <c r="O6233" i="1"/>
  <c r="E6233" i="1"/>
  <c r="B6233" i="1"/>
  <c r="O6232" i="1"/>
  <c r="E6232" i="1"/>
  <c r="B6232" i="1"/>
  <c r="O6231" i="1"/>
  <c r="E6231" i="1"/>
  <c r="B6231" i="1"/>
  <c r="O6230" i="1"/>
  <c r="E6230" i="1"/>
  <c r="B6230" i="1"/>
  <c r="O6229" i="1"/>
  <c r="E6229" i="1"/>
  <c r="B6229" i="1"/>
  <c r="O6228" i="1"/>
  <c r="E6228" i="1"/>
  <c r="B6228" i="1"/>
  <c r="O6227" i="1"/>
  <c r="E6227" i="1"/>
  <c r="B6227" i="1"/>
  <c r="O6226" i="1"/>
  <c r="E6226" i="1"/>
  <c r="B6226" i="1"/>
  <c r="O6225" i="1"/>
  <c r="E6225" i="1"/>
  <c r="B6225" i="1"/>
  <c r="O6224" i="1"/>
  <c r="E6224" i="1"/>
  <c r="B6224" i="1"/>
  <c r="O6223" i="1"/>
  <c r="E6223" i="1"/>
  <c r="B6223" i="1"/>
  <c r="O6222" i="1"/>
  <c r="E6222" i="1"/>
  <c r="B6222" i="1"/>
  <c r="O6221" i="1"/>
  <c r="E6221" i="1"/>
  <c r="B6221" i="1"/>
  <c r="O6220" i="1"/>
  <c r="E6220" i="1"/>
  <c r="B6220" i="1"/>
  <c r="O6219" i="1"/>
  <c r="E6219" i="1"/>
  <c r="B6219" i="1"/>
  <c r="O6218" i="1"/>
  <c r="E6218" i="1"/>
  <c r="B6218" i="1"/>
  <c r="O6217" i="1"/>
  <c r="E6217" i="1"/>
  <c r="B6217" i="1"/>
  <c r="O6216" i="1"/>
  <c r="E6216" i="1"/>
  <c r="B6216" i="1"/>
  <c r="O6215" i="1"/>
  <c r="E6215" i="1"/>
  <c r="B6215" i="1"/>
  <c r="O6214" i="1"/>
  <c r="E6214" i="1"/>
  <c r="B6214" i="1"/>
  <c r="O6213" i="1"/>
  <c r="E6213" i="1"/>
  <c r="B6213" i="1"/>
  <c r="O6212" i="1"/>
  <c r="E6212" i="1"/>
  <c r="B6212" i="1"/>
  <c r="O6211" i="1"/>
  <c r="E6211" i="1"/>
  <c r="B6211" i="1"/>
  <c r="O6210" i="1"/>
  <c r="E6210" i="1"/>
  <c r="B6210" i="1"/>
  <c r="O6209" i="1"/>
  <c r="E6209" i="1"/>
  <c r="B6209" i="1"/>
  <c r="O6208" i="1"/>
  <c r="E6208" i="1"/>
  <c r="B6208" i="1"/>
  <c r="O6207" i="1"/>
  <c r="E6207" i="1"/>
  <c r="B6207" i="1"/>
  <c r="O6206" i="1"/>
  <c r="E6206" i="1"/>
  <c r="B6206" i="1"/>
  <c r="O6205" i="1"/>
  <c r="E6205" i="1"/>
  <c r="B6205" i="1"/>
  <c r="O6204" i="1"/>
  <c r="E6204" i="1"/>
  <c r="B6204" i="1"/>
  <c r="O6203" i="1"/>
  <c r="E6203" i="1"/>
  <c r="B6203" i="1"/>
  <c r="O6202" i="1"/>
  <c r="E6202" i="1"/>
  <c r="B6202" i="1"/>
  <c r="O6201" i="1"/>
  <c r="E6201" i="1"/>
  <c r="B6201" i="1"/>
  <c r="O6200" i="1"/>
  <c r="E6200" i="1"/>
  <c r="B6200" i="1"/>
  <c r="O6199" i="1"/>
  <c r="E6199" i="1"/>
  <c r="B6199" i="1"/>
  <c r="O6198" i="1"/>
  <c r="E6198" i="1"/>
  <c r="B6198" i="1"/>
  <c r="O6197" i="1"/>
  <c r="E6197" i="1"/>
  <c r="B6197" i="1"/>
  <c r="O6196" i="1"/>
  <c r="E6196" i="1"/>
  <c r="B6196" i="1"/>
  <c r="O6195" i="1"/>
  <c r="E6195" i="1"/>
  <c r="B6195" i="1"/>
  <c r="O6194" i="1"/>
  <c r="E6194" i="1"/>
  <c r="B6194" i="1"/>
  <c r="O6193" i="1"/>
  <c r="E6193" i="1"/>
  <c r="B6193" i="1"/>
  <c r="O6192" i="1"/>
  <c r="E6192" i="1"/>
  <c r="B6192" i="1"/>
  <c r="O6191" i="1"/>
  <c r="E6191" i="1"/>
  <c r="B6191" i="1"/>
  <c r="O6190" i="1"/>
  <c r="E6190" i="1"/>
  <c r="B6190" i="1"/>
  <c r="O6189" i="1"/>
  <c r="E6189" i="1"/>
  <c r="B6189" i="1"/>
  <c r="O6188" i="1"/>
  <c r="E6188" i="1"/>
  <c r="B6188" i="1"/>
  <c r="O6187" i="1"/>
  <c r="E6187" i="1"/>
  <c r="B6187" i="1"/>
  <c r="O6186" i="1"/>
  <c r="E6186" i="1"/>
  <c r="B6186" i="1"/>
  <c r="O6185" i="1"/>
  <c r="E6185" i="1"/>
  <c r="B6185" i="1"/>
  <c r="O6184" i="1"/>
  <c r="E6184" i="1"/>
  <c r="B6184" i="1"/>
  <c r="O6183" i="1"/>
  <c r="E6183" i="1"/>
  <c r="B6183" i="1"/>
  <c r="O6182" i="1"/>
  <c r="E6182" i="1"/>
  <c r="B6182" i="1"/>
  <c r="O6181" i="1"/>
  <c r="E6181" i="1"/>
  <c r="B6181" i="1"/>
  <c r="O6180" i="1"/>
  <c r="E6180" i="1"/>
  <c r="B6180" i="1"/>
  <c r="O6179" i="1"/>
  <c r="E6179" i="1"/>
  <c r="B6179" i="1"/>
  <c r="O6178" i="1"/>
  <c r="E6178" i="1"/>
  <c r="B6178" i="1"/>
  <c r="O6177" i="1"/>
  <c r="E6177" i="1"/>
  <c r="B6177" i="1"/>
  <c r="O6176" i="1"/>
  <c r="E6176" i="1"/>
  <c r="B6176" i="1"/>
  <c r="O6175" i="1"/>
  <c r="E6175" i="1"/>
  <c r="B6175" i="1"/>
  <c r="O6174" i="1"/>
  <c r="E6174" i="1"/>
  <c r="B6174" i="1"/>
  <c r="O6173" i="1"/>
  <c r="E6173" i="1"/>
  <c r="B6173" i="1"/>
  <c r="O6172" i="1"/>
  <c r="E6172" i="1"/>
  <c r="B6172" i="1"/>
  <c r="O6171" i="1"/>
  <c r="E6171" i="1"/>
  <c r="B6171" i="1"/>
  <c r="O6170" i="1"/>
  <c r="E6170" i="1"/>
  <c r="B6170" i="1"/>
  <c r="O6169" i="1"/>
  <c r="E6169" i="1"/>
  <c r="B6169" i="1"/>
  <c r="O6168" i="1"/>
  <c r="E6168" i="1"/>
  <c r="B6168" i="1"/>
  <c r="O6167" i="1"/>
  <c r="E6167" i="1"/>
  <c r="B6167" i="1"/>
  <c r="O6166" i="1"/>
  <c r="E6166" i="1"/>
  <c r="B6166" i="1"/>
  <c r="O6165" i="1"/>
  <c r="E6165" i="1"/>
  <c r="B6165" i="1"/>
  <c r="O6164" i="1"/>
  <c r="E6164" i="1"/>
  <c r="B6164" i="1"/>
  <c r="O6163" i="1"/>
  <c r="E6163" i="1"/>
  <c r="B6163" i="1"/>
  <c r="O6162" i="1"/>
  <c r="E6162" i="1"/>
  <c r="B6162" i="1"/>
  <c r="O6161" i="1"/>
  <c r="E6161" i="1"/>
  <c r="B6161" i="1"/>
  <c r="O6160" i="1"/>
  <c r="E6160" i="1"/>
  <c r="B6160" i="1"/>
  <c r="O6159" i="1"/>
  <c r="E6159" i="1"/>
  <c r="B6159" i="1"/>
  <c r="O6158" i="1"/>
  <c r="E6158" i="1"/>
  <c r="B6158" i="1"/>
  <c r="O6157" i="1"/>
  <c r="E6157" i="1"/>
  <c r="B6157" i="1"/>
  <c r="O6156" i="1"/>
  <c r="E6156" i="1"/>
  <c r="B6156" i="1"/>
  <c r="O6155" i="1"/>
  <c r="E6155" i="1"/>
  <c r="B6155" i="1"/>
  <c r="O6154" i="1"/>
  <c r="E6154" i="1"/>
  <c r="B6154" i="1"/>
  <c r="O6153" i="1"/>
  <c r="E6153" i="1"/>
  <c r="B6153" i="1"/>
  <c r="O6152" i="1"/>
  <c r="E6152" i="1"/>
  <c r="B6152" i="1"/>
  <c r="O6151" i="1"/>
  <c r="E6151" i="1"/>
  <c r="B6151" i="1"/>
  <c r="O6150" i="1"/>
  <c r="E6150" i="1"/>
  <c r="B6150" i="1"/>
  <c r="O6149" i="1"/>
  <c r="E6149" i="1"/>
  <c r="B6149" i="1"/>
  <c r="O6148" i="1"/>
  <c r="E6148" i="1"/>
  <c r="B6148" i="1"/>
  <c r="O6147" i="1"/>
  <c r="E6147" i="1"/>
  <c r="B6147" i="1"/>
  <c r="O6146" i="1"/>
  <c r="E6146" i="1"/>
  <c r="B6146" i="1"/>
  <c r="O6145" i="1"/>
  <c r="E6145" i="1"/>
  <c r="B6145" i="1"/>
  <c r="O6144" i="1"/>
  <c r="E6144" i="1"/>
  <c r="B6144" i="1"/>
  <c r="O6143" i="1"/>
  <c r="E6143" i="1"/>
  <c r="B6143" i="1"/>
  <c r="O6142" i="1"/>
  <c r="E6142" i="1"/>
  <c r="B6142" i="1"/>
  <c r="O6141" i="1"/>
  <c r="E6141" i="1"/>
  <c r="B6141" i="1"/>
  <c r="O6140" i="1"/>
  <c r="E6140" i="1"/>
  <c r="B6140" i="1"/>
  <c r="O6139" i="1"/>
  <c r="E6139" i="1"/>
  <c r="B6139" i="1"/>
  <c r="O6138" i="1"/>
  <c r="E6138" i="1"/>
  <c r="B6138" i="1"/>
  <c r="O6137" i="1"/>
  <c r="E6137" i="1"/>
  <c r="B6137" i="1"/>
  <c r="O6136" i="1"/>
  <c r="E6136" i="1"/>
  <c r="B6136" i="1"/>
  <c r="O6135" i="1"/>
  <c r="E6135" i="1"/>
  <c r="B6135" i="1"/>
  <c r="O6134" i="1"/>
  <c r="E6134" i="1"/>
  <c r="B6134" i="1"/>
  <c r="O6133" i="1"/>
  <c r="E6133" i="1"/>
  <c r="B6133" i="1"/>
  <c r="O6132" i="1"/>
  <c r="E6132" i="1"/>
  <c r="B6132" i="1"/>
  <c r="O6131" i="1"/>
  <c r="E6131" i="1"/>
  <c r="B6131" i="1"/>
  <c r="O6130" i="1"/>
  <c r="E6130" i="1"/>
  <c r="B6130" i="1"/>
  <c r="O6129" i="1"/>
  <c r="E6129" i="1"/>
  <c r="B6129" i="1"/>
  <c r="O6128" i="1"/>
  <c r="E6128" i="1"/>
  <c r="B6128" i="1"/>
  <c r="O6127" i="1"/>
  <c r="E6127" i="1"/>
  <c r="B6127" i="1"/>
  <c r="O6126" i="1"/>
  <c r="E6126" i="1"/>
  <c r="B6126" i="1"/>
  <c r="O6125" i="1"/>
  <c r="E6125" i="1"/>
  <c r="B6125" i="1"/>
  <c r="O6124" i="1"/>
  <c r="E6124" i="1"/>
  <c r="B6124" i="1"/>
  <c r="O6123" i="1"/>
  <c r="E6123" i="1"/>
  <c r="B6123" i="1"/>
  <c r="O6122" i="1"/>
  <c r="E6122" i="1"/>
  <c r="B6122" i="1"/>
  <c r="O6121" i="1"/>
  <c r="E6121" i="1"/>
  <c r="B6121" i="1"/>
  <c r="O6120" i="1"/>
  <c r="E6120" i="1"/>
  <c r="B6120" i="1"/>
  <c r="O6119" i="1"/>
  <c r="E6119" i="1"/>
  <c r="B6119" i="1"/>
  <c r="O6118" i="1"/>
  <c r="E6118" i="1"/>
  <c r="B6118" i="1"/>
  <c r="O6117" i="1"/>
  <c r="E6117" i="1"/>
  <c r="B6117" i="1"/>
  <c r="O6116" i="1"/>
  <c r="E6116" i="1"/>
  <c r="B6116" i="1"/>
  <c r="O6115" i="1"/>
  <c r="E6115" i="1"/>
  <c r="B6115" i="1"/>
  <c r="O6114" i="1"/>
  <c r="E6114" i="1"/>
  <c r="B6114" i="1"/>
  <c r="O6113" i="1"/>
  <c r="E6113" i="1"/>
  <c r="B6113" i="1"/>
  <c r="O6112" i="1"/>
  <c r="E6112" i="1"/>
  <c r="B6112" i="1"/>
  <c r="O6111" i="1"/>
  <c r="E6111" i="1"/>
  <c r="B6111" i="1"/>
  <c r="O6110" i="1"/>
  <c r="E6110" i="1"/>
  <c r="B6110" i="1"/>
  <c r="O6109" i="1"/>
  <c r="E6109" i="1"/>
  <c r="B6109" i="1"/>
  <c r="O6108" i="1"/>
  <c r="E6108" i="1"/>
  <c r="B6108" i="1"/>
  <c r="O6107" i="1"/>
  <c r="E6107" i="1"/>
  <c r="B6107" i="1"/>
  <c r="O6106" i="1"/>
  <c r="E6106" i="1"/>
  <c r="B6106" i="1"/>
  <c r="O6105" i="1"/>
  <c r="E6105" i="1"/>
  <c r="B6105" i="1"/>
  <c r="O6104" i="1"/>
  <c r="E6104" i="1"/>
  <c r="B6104" i="1"/>
  <c r="O6103" i="1"/>
  <c r="E6103" i="1"/>
  <c r="B6103" i="1"/>
  <c r="O6102" i="1"/>
  <c r="E6102" i="1"/>
  <c r="B6102" i="1"/>
  <c r="O6101" i="1"/>
  <c r="E6101" i="1"/>
  <c r="B6101" i="1"/>
  <c r="O6100" i="1"/>
  <c r="E6100" i="1"/>
  <c r="B6100" i="1"/>
  <c r="O6099" i="1"/>
  <c r="E6099" i="1"/>
  <c r="B6099" i="1"/>
  <c r="O6098" i="1"/>
  <c r="E6098" i="1"/>
  <c r="B6098" i="1"/>
  <c r="O6097" i="1"/>
  <c r="E6097" i="1"/>
  <c r="B6097" i="1"/>
  <c r="O6096" i="1"/>
  <c r="E6096" i="1"/>
  <c r="B6096" i="1"/>
  <c r="O6095" i="1"/>
  <c r="E6095" i="1"/>
  <c r="B6095" i="1"/>
  <c r="O6094" i="1"/>
  <c r="E6094" i="1"/>
  <c r="B6094" i="1"/>
  <c r="O6093" i="1"/>
  <c r="E6093" i="1"/>
  <c r="B6093" i="1"/>
  <c r="O6092" i="1"/>
  <c r="E6092" i="1"/>
  <c r="B6092" i="1"/>
  <c r="O6091" i="1"/>
  <c r="E6091" i="1"/>
  <c r="B6091" i="1"/>
  <c r="O6090" i="1"/>
  <c r="E6090" i="1"/>
  <c r="B6090" i="1"/>
  <c r="O6089" i="1"/>
  <c r="E6089" i="1"/>
  <c r="B6089" i="1"/>
  <c r="O6088" i="1"/>
  <c r="E6088" i="1"/>
  <c r="B6088" i="1"/>
  <c r="O6087" i="1"/>
  <c r="E6087" i="1"/>
  <c r="B6087" i="1"/>
  <c r="O6086" i="1"/>
  <c r="E6086" i="1"/>
  <c r="B6086" i="1"/>
  <c r="O6085" i="1"/>
  <c r="E6085" i="1"/>
  <c r="B6085" i="1"/>
  <c r="O6084" i="1"/>
  <c r="E6084" i="1"/>
  <c r="B6084" i="1"/>
  <c r="O6083" i="1"/>
  <c r="E6083" i="1"/>
  <c r="B6083" i="1"/>
  <c r="O6082" i="1"/>
  <c r="E6082" i="1"/>
  <c r="B6082" i="1"/>
  <c r="O6081" i="1"/>
  <c r="E6081" i="1"/>
  <c r="B6081" i="1"/>
  <c r="O6080" i="1"/>
  <c r="E6080" i="1"/>
  <c r="B6080" i="1"/>
  <c r="O6079" i="1"/>
  <c r="E6079" i="1"/>
  <c r="B6079" i="1"/>
  <c r="O6078" i="1"/>
  <c r="E6078" i="1"/>
  <c r="B6078" i="1"/>
  <c r="O6077" i="1"/>
  <c r="E6077" i="1"/>
  <c r="B6077" i="1"/>
  <c r="O6076" i="1"/>
  <c r="E6076" i="1"/>
  <c r="B6076" i="1"/>
  <c r="O6075" i="1"/>
  <c r="E6075" i="1"/>
  <c r="B6075" i="1"/>
  <c r="O6074" i="1"/>
  <c r="E6074" i="1"/>
  <c r="B6074" i="1"/>
  <c r="O6073" i="1"/>
  <c r="E6073" i="1"/>
  <c r="B6073" i="1"/>
  <c r="O6072" i="1"/>
  <c r="E6072" i="1"/>
  <c r="B6072" i="1"/>
  <c r="O6071" i="1"/>
  <c r="E6071" i="1"/>
  <c r="B6071" i="1"/>
  <c r="O6070" i="1"/>
  <c r="E6070" i="1"/>
  <c r="B6070" i="1"/>
  <c r="O6069" i="1"/>
  <c r="E6069" i="1"/>
  <c r="B6069" i="1"/>
  <c r="O6068" i="1"/>
  <c r="E6068" i="1"/>
  <c r="B6068" i="1"/>
  <c r="O6067" i="1"/>
  <c r="E6067" i="1"/>
  <c r="B6067" i="1"/>
  <c r="O6066" i="1"/>
  <c r="E6066" i="1"/>
  <c r="B6066" i="1"/>
  <c r="O6065" i="1"/>
  <c r="E6065" i="1"/>
  <c r="B6065" i="1"/>
  <c r="O6064" i="1"/>
  <c r="E6064" i="1"/>
  <c r="B6064" i="1"/>
  <c r="O6063" i="1"/>
  <c r="E6063" i="1"/>
  <c r="B6063" i="1"/>
  <c r="O6062" i="1"/>
  <c r="E6062" i="1"/>
  <c r="B6062" i="1"/>
  <c r="O6061" i="1"/>
  <c r="E6061" i="1"/>
  <c r="B6061" i="1"/>
  <c r="O6060" i="1"/>
  <c r="E6060" i="1"/>
  <c r="B6060" i="1"/>
  <c r="O6059" i="1"/>
  <c r="E6059" i="1"/>
  <c r="B6059" i="1"/>
  <c r="O6058" i="1"/>
  <c r="E6058" i="1"/>
  <c r="B6058" i="1"/>
  <c r="O6057" i="1"/>
  <c r="E6057" i="1"/>
  <c r="B6057" i="1"/>
  <c r="O6056" i="1"/>
  <c r="E6056" i="1"/>
  <c r="B6056" i="1"/>
  <c r="O6055" i="1"/>
  <c r="E6055" i="1"/>
  <c r="B6055" i="1"/>
  <c r="O6054" i="1"/>
  <c r="E6054" i="1"/>
  <c r="B6054" i="1"/>
  <c r="O6053" i="1"/>
  <c r="E6053" i="1"/>
  <c r="B6053" i="1"/>
  <c r="O6052" i="1"/>
  <c r="E6052" i="1"/>
  <c r="B6052" i="1"/>
  <c r="O6051" i="1"/>
  <c r="E6051" i="1"/>
  <c r="B6051" i="1"/>
  <c r="O6050" i="1"/>
  <c r="E6050" i="1"/>
  <c r="B6050" i="1"/>
  <c r="O6049" i="1"/>
  <c r="E6049" i="1"/>
  <c r="B6049" i="1"/>
  <c r="O6048" i="1"/>
  <c r="E6048" i="1"/>
  <c r="B6048" i="1"/>
  <c r="O6047" i="1"/>
  <c r="E6047" i="1"/>
  <c r="B6047" i="1"/>
  <c r="O6046" i="1"/>
  <c r="E6046" i="1"/>
  <c r="B6046" i="1"/>
  <c r="O6045" i="1"/>
  <c r="E6045" i="1"/>
  <c r="B6045" i="1"/>
  <c r="O6044" i="1"/>
  <c r="E6044" i="1"/>
  <c r="B6044" i="1"/>
  <c r="O6043" i="1"/>
  <c r="E6043" i="1"/>
  <c r="B6043" i="1"/>
  <c r="O6042" i="1"/>
  <c r="E6042" i="1"/>
  <c r="B6042" i="1"/>
  <c r="O6041" i="1"/>
  <c r="E6041" i="1"/>
  <c r="B6041" i="1"/>
  <c r="O6040" i="1"/>
  <c r="E6040" i="1"/>
  <c r="B6040" i="1"/>
  <c r="O6039" i="1"/>
  <c r="E6039" i="1"/>
  <c r="B6039" i="1"/>
  <c r="O6038" i="1"/>
  <c r="E6038" i="1"/>
  <c r="B6038" i="1"/>
  <c r="O6037" i="1"/>
  <c r="E6037" i="1"/>
  <c r="B6037" i="1"/>
  <c r="O6036" i="1"/>
  <c r="E6036" i="1"/>
  <c r="B6036" i="1"/>
  <c r="O6035" i="1"/>
  <c r="E6035" i="1"/>
  <c r="B6035" i="1"/>
  <c r="O6034" i="1"/>
  <c r="E6034" i="1"/>
  <c r="B6034" i="1"/>
  <c r="O6033" i="1"/>
  <c r="E6033" i="1"/>
  <c r="B6033" i="1"/>
  <c r="O6032" i="1"/>
  <c r="E6032" i="1"/>
  <c r="B6032" i="1"/>
  <c r="O6031" i="1"/>
  <c r="E6031" i="1"/>
  <c r="B6031" i="1"/>
  <c r="O6030" i="1"/>
  <c r="E6030" i="1"/>
  <c r="B6030" i="1"/>
  <c r="O6029" i="1"/>
  <c r="E6029" i="1"/>
  <c r="B6029" i="1"/>
  <c r="O6028" i="1"/>
  <c r="E6028" i="1"/>
  <c r="B6028" i="1"/>
  <c r="O6027" i="1"/>
  <c r="E6027" i="1"/>
  <c r="B6027" i="1"/>
  <c r="O6026" i="1"/>
  <c r="E6026" i="1"/>
  <c r="B6026" i="1"/>
  <c r="O6025" i="1"/>
  <c r="E6025" i="1"/>
  <c r="B6025" i="1"/>
  <c r="O6024" i="1"/>
  <c r="E6024" i="1"/>
  <c r="B6024" i="1"/>
  <c r="O6023" i="1"/>
  <c r="E6023" i="1"/>
  <c r="B6023" i="1"/>
  <c r="O6022" i="1"/>
  <c r="E6022" i="1"/>
  <c r="B6022" i="1"/>
  <c r="O6021" i="1"/>
  <c r="E6021" i="1"/>
  <c r="B6021" i="1"/>
  <c r="O6020" i="1"/>
  <c r="E6020" i="1"/>
  <c r="B6020" i="1"/>
  <c r="O6019" i="1"/>
  <c r="E6019" i="1"/>
  <c r="B6019" i="1"/>
  <c r="O6018" i="1"/>
  <c r="E6018" i="1"/>
  <c r="B6018" i="1"/>
  <c r="O6017" i="1"/>
  <c r="E6017" i="1"/>
  <c r="B6017" i="1"/>
  <c r="O6016" i="1"/>
  <c r="E6016" i="1"/>
  <c r="B6016" i="1"/>
  <c r="O6015" i="1"/>
  <c r="E6015" i="1"/>
  <c r="B6015" i="1"/>
  <c r="O6014" i="1"/>
  <c r="E6014" i="1"/>
  <c r="B6014" i="1"/>
  <c r="O6013" i="1"/>
  <c r="E6013" i="1"/>
  <c r="B6013" i="1"/>
  <c r="O6012" i="1"/>
  <c r="E6012" i="1"/>
  <c r="B6012" i="1"/>
  <c r="O6011" i="1"/>
  <c r="E6011" i="1"/>
  <c r="B6011" i="1"/>
  <c r="O6010" i="1"/>
  <c r="E6010" i="1"/>
  <c r="B6010" i="1"/>
  <c r="O6009" i="1"/>
  <c r="E6009" i="1"/>
  <c r="B6009" i="1"/>
  <c r="O6008" i="1"/>
  <c r="E6008" i="1"/>
  <c r="B6008" i="1"/>
  <c r="O6007" i="1"/>
  <c r="E6007" i="1"/>
  <c r="B6007" i="1"/>
  <c r="O6006" i="1"/>
  <c r="E6006" i="1"/>
  <c r="B6006" i="1"/>
  <c r="O6005" i="1"/>
  <c r="E6005" i="1"/>
  <c r="B6005" i="1"/>
  <c r="O6004" i="1"/>
  <c r="E6004" i="1"/>
  <c r="B6004" i="1"/>
  <c r="O6003" i="1"/>
  <c r="E6003" i="1"/>
  <c r="B6003" i="1"/>
  <c r="O6002" i="1"/>
  <c r="E6002" i="1"/>
  <c r="B6002" i="1"/>
  <c r="O6001" i="1"/>
  <c r="E6001" i="1"/>
  <c r="B6001" i="1"/>
  <c r="O6000" i="1"/>
  <c r="E6000" i="1"/>
  <c r="B6000" i="1"/>
  <c r="O5999" i="1"/>
  <c r="E5999" i="1"/>
  <c r="B5999" i="1"/>
  <c r="O5998" i="1"/>
  <c r="E5998" i="1"/>
  <c r="B5998" i="1"/>
  <c r="O5997" i="1"/>
  <c r="E5997" i="1"/>
  <c r="B5997" i="1"/>
  <c r="O5996" i="1"/>
  <c r="E5996" i="1"/>
  <c r="B5996" i="1"/>
  <c r="O5995" i="1"/>
  <c r="E5995" i="1"/>
  <c r="B5995" i="1"/>
  <c r="O5994" i="1"/>
  <c r="E5994" i="1"/>
  <c r="B5994" i="1"/>
  <c r="O5993" i="1"/>
  <c r="E5993" i="1"/>
  <c r="B5993" i="1"/>
  <c r="O5992" i="1"/>
  <c r="E5992" i="1"/>
  <c r="B5992" i="1"/>
  <c r="O5991" i="1"/>
  <c r="E5991" i="1"/>
  <c r="B5991" i="1"/>
  <c r="O5990" i="1"/>
  <c r="E5990" i="1"/>
  <c r="B5990" i="1"/>
  <c r="O5989" i="1"/>
  <c r="E5989" i="1"/>
  <c r="B5989" i="1"/>
  <c r="O5988" i="1"/>
  <c r="E5988" i="1"/>
  <c r="B5988" i="1"/>
  <c r="O5987" i="1"/>
  <c r="E5987" i="1"/>
  <c r="B5987" i="1"/>
  <c r="O5986" i="1"/>
  <c r="E5986" i="1"/>
  <c r="B5986" i="1"/>
  <c r="O5985" i="1"/>
  <c r="E5985" i="1"/>
  <c r="B5985" i="1"/>
  <c r="O5984" i="1"/>
  <c r="E5984" i="1"/>
  <c r="B5984" i="1"/>
  <c r="O5983" i="1"/>
  <c r="E5983" i="1"/>
  <c r="B5983" i="1"/>
  <c r="O5982" i="1"/>
  <c r="E5982" i="1"/>
  <c r="B5982" i="1"/>
  <c r="O5981" i="1"/>
  <c r="E5981" i="1"/>
  <c r="B5981" i="1"/>
  <c r="O5980" i="1"/>
  <c r="E5980" i="1"/>
  <c r="B5980" i="1"/>
  <c r="O5979" i="1"/>
  <c r="E5979" i="1"/>
  <c r="B5979" i="1"/>
  <c r="O5978" i="1"/>
  <c r="E5978" i="1"/>
  <c r="B5978" i="1"/>
  <c r="O5977" i="1"/>
  <c r="E5977" i="1"/>
  <c r="B5977" i="1"/>
  <c r="O5976" i="1"/>
  <c r="E5976" i="1"/>
  <c r="B5976" i="1"/>
  <c r="O5975" i="1"/>
  <c r="E5975" i="1"/>
  <c r="B5975" i="1"/>
  <c r="O5974" i="1"/>
  <c r="E5974" i="1"/>
  <c r="B5974" i="1"/>
  <c r="O5973" i="1"/>
  <c r="E5973" i="1"/>
  <c r="B5973" i="1"/>
  <c r="O5972" i="1"/>
  <c r="E5972" i="1"/>
  <c r="B5972" i="1"/>
  <c r="O5971" i="1"/>
  <c r="E5971" i="1"/>
  <c r="B5971" i="1"/>
  <c r="O5970" i="1"/>
  <c r="E5970" i="1"/>
  <c r="B5970" i="1"/>
  <c r="O5969" i="1"/>
  <c r="E5969" i="1"/>
  <c r="B5969" i="1"/>
  <c r="O5968" i="1"/>
  <c r="E5968" i="1"/>
  <c r="B5968" i="1"/>
  <c r="O5967" i="1"/>
  <c r="E5967" i="1"/>
  <c r="B5967" i="1"/>
  <c r="O5966" i="1"/>
  <c r="E5966" i="1"/>
  <c r="B5966" i="1"/>
  <c r="O5965" i="1"/>
  <c r="E5965" i="1"/>
  <c r="B5965" i="1"/>
  <c r="O5964" i="1"/>
  <c r="E5964" i="1"/>
  <c r="B5964" i="1"/>
  <c r="O5963" i="1"/>
  <c r="E5963" i="1"/>
  <c r="B5963" i="1"/>
  <c r="O5962" i="1"/>
  <c r="E5962" i="1"/>
  <c r="B5962" i="1"/>
  <c r="O5961" i="1"/>
  <c r="E5961" i="1"/>
  <c r="B5961" i="1"/>
  <c r="O5960" i="1"/>
  <c r="E5960" i="1"/>
  <c r="B5960" i="1"/>
  <c r="O5959" i="1"/>
  <c r="E5959" i="1"/>
  <c r="B5959" i="1"/>
  <c r="O5958" i="1"/>
  <c r="E5958" i="1"/>
  <c r="B5958" i="1"/>
  <c r="O5957" i="1"/>
  <c r="E5957" i="1"/>
  <c r="B5957" i="1"/>
  <c r="O5956" i="1"/>
  <c r="E5956" i="1"/>
  <c r="B5956" i="1"/>
  <c r="O5955" i="1"/>
  <c r="E5955" i="1"/>
  <c r="B5955" i="1"/>
  <c r="O5954" i="1"/>
  <c r="E5954" i="1"/>
  <c r="B5954" i="1"/>
  <c r="O5953" i="1"/>
  <c r="E5953" i="1"/>
  <c r="B5953" i="1"/>
  <c r="O5952" i="1"/>
  <c r="E5952" i="1"/>
  <c r="B5952" i="1"/>
  <c r="O5951" i="1"/>
  <c r="E5951" i="1"/>
  <c r="B5951" i="1"/>
  <c r="O5950" i="1"/>
  <c r="E5950" i="1"/>
  <c r="B5950" i="1"/>
  <c r="O5949" i="1"/>
  <c r="E5949" i="1"/>
  <c r="B5949" i="1"/>
  <c r="O5948" i="1"/>
  <c r="E5948" i="1"/>
  <c r="B5948" i="1"/>
  <c r="O5947" i="1"/>
  <c r="E5947" i="1"/>
  <c r="B5947" i="1"/>
  <c r="O5946" i="1"/>
  <c r="E5946" i="1"/>
  <c r="B5946" i="1"/>
  <c r="O5945" i="1"/>
  <c r="E5945" i="1"/>
  <c r="B5945" i="1"/>
  <c r="O5944" i="1"/>
  <c r="E5944" i="1"/>
  <c r="B5944" i="1"/>
  <c r="O5943" i="1"/>
  <c r="E5943" i="1"/>
  <c r="B5943" i="1"/>
  <c r="O5942" i="1"/>
  <c r="E5942" i="1"/>
  <c r="B5942" i="1"/>
  <c r="O5941" i="1"/>
  <c r="E5941" i="1"/>
  <c r="B5941" i="1"/>
  <c r="O5940" i="1"/>
  <c r="E5940" i="1"/>
  <c r="B5940" i="1"/>
  <c r="O5939" i="1"/>
  <c r="E5939" i="1"/>
  <c r="B5939" i="1"/>
  <c r="O5938" i="1"/>
  <c r="E5938" i="1"/>
  <c r="B5938" i="1"/>
  <c r="O5937" i="1"/>
  <c r="E5937" i="1"/>
  <c r="B5937" i="1"/>
  <c r="O5936" i="1"/>
  <c r="E5936" i="1"/>
  <c r="B5936" i="1"/>
  <c r="O5935" i="1"/>
  <c r="E5935" i="1"/>
  <c r="B5935" i="1"/>
  <c r="O5934" i="1"/>
  <c r="E5934" i="1"/>
  <c r="B5934" i="1"/>
  <c r="O5933" i="1"/>
  <c r="E5933" i="1"/>
  <c r="B5933" i="1"/>
  <c r="O5932" i="1"/>
  <c r="E5932" i="1"/>
  <c r="B5932" i="1"/>
  <c r="O5931" i="1"/>
  <c r="E5931" i="1"/>
  <c r="B5931" i="1"/>
  <c r="O5930" i="1"/>
  <c r="E5930" i="1"/>
  <c r="B5930" i="1"/>
  <c r="O5929" i="1"/>
  <c r="E5929" i="1"/>
  <c r="B5929" i="1"/>
  <c r="O5928" i="1"/>
  <c r="E5928" i="1"/>
  <c r="B5928" i="1"/>
  <c r="O5927" i="1"/>
  <c r="E5927" i="1"/>
  <c r="B5927" i="1"/>
  <c r="O5926" i="1"/>
  <c r="E5926" i="1"/>
  <c r="B5926" i="1"/>
  <c r="O5925" i="1"/>
  <c r="E5925" i="1"/>
  <c r="B5925" i="1"/>
  <c r="O5924" i="1"/>
  <c r="E5924" i="1"/>
  <c r="B5924" i="1"/>
  <c r="O5923" i="1"/>
  <c r="E5923" i="1"/>
  <c r="B5923" i="1"/>
  <c r="O5922" i="1"/>
  <c r="E5922" i="1"/>
  <c r="B5922" i="1"/>
  <c r="O5921" i="1"/>
  <c r="E5921" i="1"/>
  <c r="B5921" i="1"/>
  <c r="O5920" i="1"/>
  <c r="E5920" i="1"/>
  <c r="B5920" i="1"/>
  <c r="O5919" i="1"/>
  <c r="E5919" i="1"/>
  <c r="B5919" i="1"/>
  <c r="O5918" i="1"/>
  <c r="E5918" i="1"/>
  <c r="B5918" i="1"/>
  <c r="O5917" i="1"/>
  <c r="E5917" i="1"/>
  <c r="B5917" i="1"/>
  <c r="O5916" i="1"/>
  <c r="E5916" i="1"/>
  <c r="B5916" i="1"/>
  <c r="O5915" i="1"/>
  <c r="E5915" i="1"/>
  <c r="B5915" i="1"/>
  <c r="O5914" i="1"/>
  <c r="E5914" i="1"/>
  <c r="B5914" i="1"/>
  <c r="O5913" i="1"/>
  <c r="E5913" i="1"/>
  <c r="B5913" i="1"/>
  <c r="O5912" i="1"/>
  <c r="E5912" i="1"/>
  <c r="B5912" i="1"/>
  <c r="O5911" i="1"/>
  <c r="E5911" i="1"/>
  <c r="B5911" i="1"/>
  <c r="O5910" i="1"/>
  <c r="E5910" i="1"/>
  <c r="B5910" i="1"/>
  <c r="O5909" i="1"/>
  <c r="E5909" i="1"/>
  <c r="B5909" i="1"/>
  <c r="O5908" i="1"/>
  <c r="E5908" i="1"/>
  <c r="B5908" i="1"/>
  <c r="O5907" i="1"/>
  <c r="E5907" i="1"/>
  <c r="B5907" i="1"/>
  <c r="O5906" i="1"/>
  <c r="E5906" i="1"/>
  <c r="B5906" i="1"/>
  <c r="O5905" i="1"/>
  <c r="E5905" i="1"/>
  <c r="B5905" i="1"/>
  <c r="O5904" i="1"/>
  <c r="E5904" i="1"/>
  <c r="B5904" i="1"/>
  <c r="O5903" i="1"/>
  <c r="E5903" i="1"/>
  <c r="B5903" i="1"/>
  <c r="O5902" i="1"/>
  <c r="E5902" i="1"/>
  <c r="B5902" i="1"/>
  <c r="O5901" i="1"/>
  <c r="E5901" i="1"/>
  <c r="B5901" i="1"/>
  <c r="O5900" i="1"/>
  <c r="E5900" i="1"/>
  <c r="B5900" i="1"/>
  <c r="O5899" i="1"/>
  <c r="E5899" i="1"/>
  <c r="B5899" i="1"/>
  <c r="O5898" i="1"/>
  <c r="E5898" i="1"/>
  <c r="B5898" i="1"/>
  <c r="O5897" i="1"/>
  <c r="E5897" i="1"/>
  <c r="B5897" i="1"/>
  <c r="O5896" i="1"/>
  <c r="E5896" i="1"/>
  <c r="B5896" i="1"/>
  <c r="O5895" i="1"/>
  <c r="E5895" i="1"/>
  <c r="B5895" i="1"/>
  <c r="O5894" i="1"/>
  <c r="E5894" i="1"/>
  <c r="B5894" i="1"/>
  <c r="O5893" i="1"/>
  <c r="E5893" i="1"/>
  <c r="B5893" i="1"/>
  <c r="O5892" i="1"/>
  <c r="E5892" i="1"/>
  <c r="B5892" i="1"/>
  <c r="O5891" i="1"/>
  <c r="E5891" i="1"/>
  <c r="B5891" i="1"/>
  <c r="O5890" i="1"/>
  <c r="E5890" i="1"/>
  <c r="B5890" i="1"/>
  <c r="O5889" i="1"/>
  <c r="E5889" i="1"/>
  <c r="B5889" i="1"/>
  <c r="O5888" i="1"/>
  <c r="E5888" i="1"/>
  <c r="B5888" i="1"/>
  <c r="O5887" i="1"/>
  <c r="E5887" i="1"/>
  <c r="B5887" i="1"/>
  <c r="O5886" i="1"/>
  <c r="E5886" i="1"/>
  <c r="B5886" i="1"/>
  <c r="O5885" i="1"/>
  <c r="E5885" i="1"/>
  <c r="B5885" i="1"/>
  <c r="O5884" i="1"/>
  <c r="E5884" i="1"/>
  <c r="B5884" i="1"/>
  <c r="O5883" i="1"/>
  <c r="E5883" i="1"/>
  <c r="B5883" i="1"/>
  <c r="O5882" i="1"/>
  <c r="E5882" i="1"/>
  <c r="B5882" i="1"/>
  <c r="O5881" i="1"/>
  <c r="E5881" i="1"/>
  <c r="B5881" i="1"/>
  <c r="O5880" i="1"/>
  <c r="E5880" i="1"/>
  <c r="B5880" i="1"/>
  <c r="O5879" i="1"/>
  <c r="E5879" i="1"/>
  <c r="B5879" i="1"/>
  <c r="O5878" i="1"/>
  <c r="E5878" i="1"/>
  <c r="B5878" i="1"/>
  <c r="O5877" i="1"/>
  <c r="E5877" i="1"/>
  <c r="B5877" i="1"/>
  <c r="O5876" i="1"/>
  <c r="E5876" i="1"/>
  <c r="B5876" i="1"/>
  <c r="O5875" i="1"/>
  <c r="E5875" i="1"/>
  <c r="B5875" i="1"/>
  <c r="O5874" i="1"/>
  <c r="E5874" i="1"/>
  <c r="B5874" i="1"/>
  <c r="O5873" i="1"/>
  <c r="E5873" i="1"/>
  <c r="B5873" i="1"/>
  <c r="O5872" i="1"/>
  <c r="E5872" i="1"/>
  <c r="B5872" i="1"/>
  <c r="O5871" i="1"/>
  <c r="E5871" i="1"/>
  <c r="B5871" i="1"/>
  <c r="O5870" i="1"/>
  <c r="E5870" i="1"/>
  <c r="B5870" i="1"/>
  <c r="O5869" i="1"/>
  <c r="E5869" i="1"/>
  <c r="B5869" i="1"/>
  <c r="O5868" i="1"/>
  <c r="E5868" i="1"/>
  <c r="B5868" i="1"/>
  <c r="O5867" i="1"/>
  <c r="E5867" i="1"/>
  <c r="B5867" i="1"/>
  <c r="O5866" i="1"/>
  <c r="E5866" i="1"/>
  <c r="B5866" i="1"/>
  <c r="O5865" i="1"/>
  <c r="E5865" i="1"/>
  <c r="B5865" i="1"/>
  <c r="O5864" i="1"/>
  <c r="E5864" i="1"/>
  <c r="B5864" i="1"/>
  <c r="O5863" i="1"/>
  <c r="E5863" i="1"/>
  <c r="B5863" i="1"/>
  <c r="O5862" i="1"/>
  <c r="E5862" i="1"/>
  <c r="B5862" i="1"/>
  <c r="O5861" i="1"/>
  <c r="E5861" i="1"/>
  <c r="B5861" i="1"/>
  <c r="O5860" i="1"/>
  <c r="E5860" i="1"/>
  <c r="B5860" i="1"/>
  <c r="O5859" i="1"/>
  <c r="E5859" i="1"/>
  <c r="B5859" i="1"/>
  <c r="O5858" i="1"/>
  <c r="E5858" i="1"/>
  <c r="B5858" i="1"/>
  <c r="O5857" i="1"/>
  <c r="E5857" i="1"/>
  <c r="B5857" i="1"/>
  <c r="O5856" i="1"/>
  <c r="E5856" i="1"/>
  <c r="B5856" i="1"/>
  <c r="O5855" i="1"/>
  <c r="E5855" i="1"/>
  <c r="B5855" i="1"/>
  <c r="O5854" i="1"/>
  <c r="E5854" i="1"/>
  <c r="B5854" i="1"/>
  <c r="O5853" i="1"/>
  <c r="E5853" i="1"/>
  <c r="B5853" i="1"/>
  <c r="O5852" i="1"/>
  <c r="E5852" i="1"/>
  <c r="B5852" i="1"/>
  <c r="O5851" i="1"/>
  <c r="E5851" i="1"/>
  <c r="B5851" i="1"/>
  <c r="O5850" i="1"/>
  <c r="E5850" i="1"/>
  <c r="B5850" i="1"/>
  <c r="O5849" i="1"/>
  <c r="E5849" i="1"/>
  <c r="B5849" i="1"/>
  <c r="O5848" i="1"/>
  <c r="E5848" i="1"/>
  <c r="B5848" i="1"/>
  <c r="O5847" i="1"/>
  <c r="E5847" i="1"/>
  <c r="B5847" i="1"/>
  <c r="O5846" i="1"/>
  <c r="E5846" i="1"/>
  <c r="B5846" i="1"/>
  <c r="O5845" i="1"/>
  <c r="E5845" i="1"/>
  <c r="B5845" i="1"/>
  <c r="O5844" i="1"/>
  <c r="E5844" i="1"/>
  <c r="B5844" i="1"/>
  <c r="O5843" i="1"/>
  <c r="E5843" i="1"/>
  <c r="B5843" i="1"/>
  <c r="O5842" i="1"/>
  <c r="E5842" i="1"/>
  <c r="B5842" i="1"/>
  <c r="O5841" i="1"/>
  <c r="E5841" i="1"/>
  <c r="B5841" i="1"/>
  <c r="O5840" i="1"/>
  <c r="E5840" i="1"/>
  <c r="B5840" i="1"/>
  <c r="O5839" i="1"/>
  <c r="E5839" i="1"/>
  <c r="B5839" i="1"/>
  <c r="O5838" i="1"/>
  <c r="E5838" i="1"/>
  <c r="B5838" i="1"/>
  <c r="O5837" i="1"/>
  <c r="E5837" i="1"/>
  <c r="B5837" i="1"/>
  <c r="O5836" i="1"/>
  <c r="E5836" i="1"/>
  <c r="B5836" i="1"/>
  <c r="O5835" i="1"/>
  <c r="E5835" i="1"/>
  <c r="B5835" i="1"/>
  <c r="O5834" i="1"/>
  <c r="E5834" i="1"/>
  <c r="B5834" i="1"/>
  <c r="O5833" i="1"/>
  <c r="E5833" i="1"/>
  <c r="B5833" i="1"/>
  <c r="O5832" i="1"/>
  <c r="E5832" i="1"/>
  <c r="B5832" i="1"/>
  <c r="O5831" i="1"/>
  <c r="E5831" i="1"/>
  <c r="B5831" i="1"/>
  <c r="O5830" i="1"/>
  <c r="E5830" i="1"/>
  <c r="B5830" i="1"/>
  <c r="O5829" i="1"/>
  <c r="E5829" i="1"/>
  <c r="B5829" i="1"/>
  <c r="O5828" i="1"/>
  <c r="E5828" i="1"/>
  <c r="B5828" i="1"/>
  <c r="O5827" i="1"/>
  <c r="E5827" i="1"/>
  <c r="B5827" i="1"/>
  <c r="O5826" i="1"/>
  <c r="E5826" i="1"/>
  <c r="B5826" i="1"/>
  <c r="O5825" i="1"/>
  <c r="E5825" i="1"/>
  <c r="B5825" i="1"/>
  <c r="O5824" i="1"/>
  <c r="E5824" i="1"/>
  <c r="B5824" i="1"/>
  <c r="O5823" i="1"/>
  <c r="E5823" i="1"/>
  <c r="B5823" i="1"/>
  <c r="O5822" i="1"/>
  <c r="E5822" i="1"/>
  <c r="B5822" i="1"/>
  <c r="O5821" i="1"/>
  <c r="E5821" i="1"/>
  <c r="B5821" i="1"/>
  <c r="O5820" i="1"/>
  <c r="E5820" i="1"/>
  <c r="B5820" i="1"/>
  <c r="O5819" i="1"/>
  <c r="E5819" i="1"/>
  <c r="B5819" i="1"/>
  <c r="O5818" i="1"/>
  <c r="E5818" i="1"/>
  <c r="B5818" i="1"/>
  <c r="O5817" i="1"/>
  <c r="E5817" i="1"/>
  <c r="B5817" i="1"/>
  <c r="O5816" i="1"/>
  <c r="E5816" i="1"/>
  <c r="B5816" i="1"/>
  <c r="O5815" i="1"/>
  <c r="E5815" i="1"/>
  <c r="B5815" i="1"/>
  <c r="O5814" i="1"/>
  <c r="E5814" i="1"/>
  <c r="B5814" i="1"/>
  <c r="O5813" i="1"/>
  <c r="E5813" i="1"/>
  <c r="B5813" i="1"/>
  <c r="O5812" i="1"/>
  <c r="E5812" i="1"/>
  <c r="B5812" i="1"/>
  <c r="O5811" i="1"/>
  <c r="E5811" i="1"/>
  <c r="B5811" i="1"/>
  <c r="O5810" i="1"/>
  <c r="E5810" i="1"/>
  <c r="B5810" i="1"/>
  <c r="O5809" i="1"/>
  <c r="E5809" i="1"/>
  <c r="B5809" i="1"/>
  <c r="O5808" i="1"/>
  <c r="E5808" i="1"/>
  <c r="B5808" i="1"/>
  <c r="O5807" i="1"/>
  <c r="E5807" i="1"/>
  <c r="B5807" i="1"/>
  <c r="O5806" i="1"/>
  <c r="E5806" i="1"/>
  <c r="B5806" i="1"/>
  <c r="O5805" i="1"/>
  <c r="E5805" i="1"/>
  <c r="B5805" i="1"/>
  <c r="O5804" i="1"/>
  <c r="E5804" i="1"/>
  <c r="B5804" i="1"/>
  <c r="O5803" i="1"/>
  <c r="E5803" i="1"/>
  <c r="B5803" i="1"/>
  <c r="O5802" i="1"/>
  <c r="E5802" i="1"/>
  <c r="B5802" i="1"/>
  <c r="O5801" i="1"/>
  <c r="E5801" i="1"/>
  <c r="B5801" i="1"/>
  <c r="O5800" i="1"/>
  <c r="E5800" i="1"/>
  <c r="B5800" i="1"/>
  <c r="O5799" i="1"/>
  <c r="E5799" i="1"/>
  <c r="B5799" i="1"/>
  <c r="O5798" i="1"/>
  <c r="E5798" i="1"/>
  <c r="B5798" i="1"/>
  <c r="O5797" i="1"/>
  <c r="E5797" i="1"/>
  <c r="B5797" i="1"/>
  <c r="O5796" i="1"/>
  <c r="E5796" i="1"/>
  <c r="B5796" i="1"/>
  <c r="O5795" i="1"/>
  <c r="E5795" i="1"/>
  <c r="B5795" i="1"/>
  <c r="O5794" i="1"/>
  <c r="E5794" i="1"/>
  <c r="B5794" i="1"/>
  <c r="O5793" i="1"/>
  <c r="E5793" i="1"/>
  <c r="B5793" i="1"/>
  <c r="O5792" i="1"/>
  <c r="E5792" i="1"/>
  <c r="B5792" i="1"/>
  <c r="O5791" i="1"/>
  <c r="E5791" i="1"/>
  <c r="B5791" i="1"/>
  <c r="O5790" i="1"/>
  <c r="E5790" i="1"/>
  <c r="B5790" i="1"/>
  <c r="O5789" i="1"/>
  <c r="E5789" i="1"/>
  <c r="B5789" i="1"/>
  <c r="O5788" i="1"/>
  <c r="E5788" i="1"/>
  <c r="B5788" i="1"/>
  <c r="O5787" i="1"/>
  <c r="E5787" i="1"/>
  <c r="B5787" i="1"/>
  <c r="O5786" i="1"/>
  <c r="E5786" i="1"/>
  <c r="B5786" i="1"/>
  <c r="O5785" i="1"/>
  <c r="E5785" i="1"/>
  <c r="B5785" i="1"/>
  <c r="O5784" i="1"/>
  <c r="E5784" i="1"/>
  <c r="B5784" i="1"/>
  <c r="O5783" i="1"/>
  <c r="E5783" i="1"/>
  <c r="B5783" i="1"/>
  <c r="O5782" i="1"/>
  <c r="E5782" i="1"/>
  <c r="B5782" i="1"/>
  <c r="O5781" i="1"/>
  <c r="E5781" i="1"/>
  <c r="B5781" i="1"/>
  <c r="O5780" i="1"/>
  <c r="E5780" i="1"/>
  <c r="B5780" i="1"/>
  <c r="O5779" i="1"/>
  <c r="E5779" i="1"/>
  <c r="B5779" i="1"/>
  <c r="O5778" i="1"/>
  <c r="E5778" i="1"/>
  <c r="B5778" i="1"/>
  <c r="O5777" i="1"/>
  <c r="E5777" i="1"/>
  <c r="B5777" i="1"/>
  <c r="O5776" i="1"/>
  <c r="E5776" i="1"/>
  <c r="B5776" i="1"/>
  <c r="O5775" i="1"/>
  <c r="E5775" i="1"/>
  <c r="B5775" i="1"/>
  <c r="O5774" i="1"/>
  <c r="E5774" i="1"/>
  <c r="B5774" i="1"/>
  <c r="O5773" i="1"/>
  <c r="E5773" i="1"/>
  <c r="B5773" i="1"/>
  <c r="O5772" i="1"/>
  <c r="E5772" i="1"/>
  <c r="B5772" i="1"/>
  <c r="O5771" i="1"/>
  <c r="E5771" i="1"/>
  <c r="B5771" i="1"/>
  <c r="O5770" i="1"/>
  <c r="E5770" i="1"/>
  <c r="B5770" i="1"/>
  <c r="O5769" i="1"/>
  <c r="E5769" i="1"/>
  <c r="B5769" i="1"/>
  <c r="O5768" i="1"/>
  <c r="E5768" i="1"/>
  <c r="B5768" i="1"/>
  <c r="O5767" i="1"/>
  <c r="E5767" i="1"/>
  <c r="B5767" i="1"/>
  <c r="O5766" i="1"/>
  <c r="E5766" i="1"/>
  <c r="B5766" i="1"/>
  <c r="O5765" i="1"/>
  <c r="E5765" i="1"/>
  <c r="B5765" i="1"/>
  <c r="O5764" i="1"/>
  <c r="E5764" i="1"/>
  <c r="B5764" i="1"/>
  <c r="O5763" i="1"/>
  <c r="E5763" i="1"/>
  <c r="B5763" i="1"/>
  <c r="O5762" i="1"/>
  <c r="E5762" i="1"/>
  <c r="B5762" i="1"/>
  <c r="O5761" i="1"/>
  <c r="E5761" i="1"/>
  <c r="B5761" i="1"/>
  <c r="O5760" i="1"/>
  <c r="E5760" i="1"/>
  <c r="B5760" i="1"/>
  <c r="O5759" i="1"/>
  <c r="E5759" i="1"/>
  <c r="B5759" i="1"/>
  <c r="O5758" i="1"/>
  <c r="E5758" i="1"/>
  <c r="B5758" i="1"/>
  <c r="O5757" i="1"/>
  <c r="E5757" i="1"/>
  <c r="B5757" i="1"/>
  <c r="O5756" i="1"/>
  <c r="E5756" i="1"/>
  <c r="B5756" i="1"/>
  <c r="O5755" i="1"/>
  <c r="E5755" i="1"/>
  <c r="B5755" i="1"/>
  <c r="O5754" i="1"/>
  <c r="E5754" i="1"/>
  <c r="B5754" i="1"/>
  <c r="O5753" i="1"/>
  <c r="E5753" i="1"/>
  <c r="B5753" i="1"/>
  <c r="O5752" i="1"/>
  <c r="E5752" i="1"/>
  <c r="B5752" i="1"/>
  <c r="O5751" i="1"/>
  <c r="E5751" i="1"/>
  <c r="B5751" i="1"/>
  <c r="O5750" i="1"/>
  <c r="E5750" i="1"/>
  <c r="B5750" i="1"/>
  <c r="O5749" i="1"/>
  <c r="E5749" i="1"/>
  <c r="B5749" i="1"/>
  <c r="O5748" i="1"/>
  <c r="E5748" i="1"/>
  <c r="B5748" i="1"/>
  <c r="O5747" i="1"/>
  <c r="E5747" i="1"/>
  <c r="B5747" i="1"/>
  <c r="O5746" i="1"/>
  <c r="E5746" i="1"/>
  <c r="B5746" i="1"/>
  <c r="O5745" i="1"/>
  <c r="E5745" i="1"/>
  <c r="B5745" i="1"/>
  <c r="O5744" i="1"/>
  <c r="E5744" i="1"/>
  <c r="B5744" i="1"/>
  <c r="O5743" i="1"/>
  <c r="E5743" i="1"/>
  <c r="B5743" i="1"/>
  <c r="O5742" i="1"/>
  <c r="E5742" i="1"/>
  <c r="B5742" i="1"/>
  <c r="O5741" i="1"/>
  <c r="E5741" i="1"/>
  <c r="B5741" i="1"/>
  <c r="O5740" i="1"/>
  <c r="E5740" i="1"/>
  <c r="B5740" i="1"/>
  <c r="O5739" i="1"/>
  <c r="E5739" i="1"/>
  <c r="B5739" i="1"/>
  <c r="O5738" i="1"/>
  <c r="E5738" i="1"/>
  <c r="B5738" i="1"/>
  <c r="O5737" i="1"/>
  <c r="E5737" i="1"/>
  <c r="B5737" i="1"/>
  <c r="O5736" i="1"/>
  <c r="E5736" i="1"/>
  <c r="B5736" i="1"/>
  <c r="O5735" i="1"/>
  <c r="E5735" i="1"/>
  <c r="B5735" i="1"/>
  <c r="O5734" i="1"/>
  <c r="E5734" i="1"/>
  <c r="B5734" i="1"/>
  <c r="O5733" i="1"/>
  <c r="E5733" i="1"/>
  <c r="B5733" i="1"/>
  <c r="O5732" i="1"/>
  <c r="E5732" i="1"/>
  <c r="B5732" i="1"/>
  <c r="O5731" i="1"/>
  <c r="E5731" i="1"/>
  <c r="B5731" i="1"/>
  <c r="O5730" i="1"/>
  <c r="E5730" i="1"/>
  <c r="B5730" i="1"/>
  <c r="O5729" i="1"/>
  <c r="E5729" i="1"/>
  <c r="B5729" i="1"/>
  <c r="O5728" i="1"/>
  <c r="E5728" i="1"/>
  <c r="B5728" i="1"/>
  <c r="O5727" i="1"/>
  <c r="E5727" i="1"/>
  <c r="B5727" i="1"/>
  <c r="O5726" i="1"/>
  <c r="E5726" i="1"/>
  <c r="B5726" i="1"/>
  <c r="O5725" i="1"/>
  <c r="E5725" i="1"/>
  <c r="B5725" i="1"/>
  <c r="O5724" i="1"/>
  <c r="E5724" i="1"/>
  <c r="B5724" i="1"/>
  <c r="O5723" i="1"/>
  <c r="E5723" i="1"/>
  <c r="B5723" i="1"/>
  <c r="O5722" i="1"/>
  <c r="E5722" i="1"/>
  <c r="B5722" i="1"/>
  <c r="O5721" i="1"/>
  <c r="E5721" i="1"/>
  <c r="B5721" i="1"/>
  <c r="O5720" i="1"/>
  <c r="E5720" i="1"/>
  <c r="B5720" i="1"/>
  <c r="O5719" i="1"/>
  <c r="E5719" i="1"/>
  <c r="B5719" i="1"/>
  <c r="O5718" i="1"/>
  <c r="E5718" i="1"/>
  <c r="B5718" i="1"/>
  <c r="O5717" i="1"/>
  <c r="E5717" i="1"/>
  <c r="B5717" i="1"/>
  <c r="O5716" i="1"/>
  <c r="E5716" i="1"/>
  <c r="B5716" i="1"/>
  <c r="O5715" i="1"/>
  <c r="E5715" i="1"/>
  <c r="B5715" i="1"/>
  <c r="O5714" i="1"/>
  <c r="E5714" i="1"/>
  <c r="B5714" i="1"/>
  <c r="O5713" i="1"/>
  <c r="E5713" i="1"/>
  <c r="B5713" i="1"/>
  <c r="O5712" i="1"/>
  <c r="E5712" i="1"/>
  <c r="B5712" i="1"/>
  <c r="O5711" i="1"/>
  <c r="E5711" i="1"/>
  <c r="B5711" i="1"/>
  <c r="O5710" i="1"/>
  <c r="E5710" i="1"/>
  <c r="B5710" i="1"/>
  <c r="O5709" i="1"/>
  <c r="E5709" i="1"/>
  <c r="B5709" i="1"/>
  <c r="O5708" i="1"/>
  <c r="E5708" i="1"/>
  <c r="B5708" i="1"/>
  <c r="O5707" i="1"/>
  <c r="E5707" i="1"/>
  <c r="B5707" i="1"/>
  <c r="O5706" i="1"/>
  <c r="E5706" i="1"/>
  <c r="B5706" i="1"/>
  <c r="O5705" i="1"/>
  <c r="E5705" i="1"/>
  <c r="B5705" i="1"/>
  <c r="O5704" i="1"/>
  <c r="E5704" i="1"/>
  <c r="B5704" i="1"/>
  <c r="O5703" i="1"/>
  <c r="E5703" i="1"/>
  <c r="B5703" i="1"/>
  <c r="O5702" i="1"/>
  <c r="E5702" i="1"/>
  <c r="B5702" i="1"/>
  <c r="O5701" i="1"/>
  <c r="E5701" i="1"/>
  <c r="B5701" i="1"/>
  <c r="O5700" i="1"/>
  <c r="E5700" i="1"/>
  <c r="B5700" i="1"/>
  <c r="O5699" i="1"/>
  <c r="E5699" i="1"/>
  <c r="B5699" i="1"/>
  <c r="O5698" i="1"/>
  <c r="E5698" i="1"/>
  <c r="B5698" i="1"/>
  <c r="O5697" i="1"/>
  <c r="E5697" i="1"/>
  <c r="B5697" i="1"/>
  <c r="O5696" i="1"/>
  <c r="E5696" i="1"/>
  <c r="B5696" i="1"/>
  <c r="O5695" i="1"/>
  <c r="E5695" i="1"/>
  <c r="B5695" i="1"/>
  <c r="O5694" i="1"/>
  <c r="E5694" i="1"/>
  <c r="B5694" i="1"/>
  <c r="O5693" i="1"/>
  <c r="E5693" i="1"/>
  <c r="B5693" i="1"/>
  <c r="O5692" i="1"/>
  <c r="E5692" i="1"/>
  <c r="B5692" i="1"/>
  <c r="O5691" i="1"/>
  <c r="E5691" i="1"/>
  <c r="B5691" i="1"/>
  <c r="O5690" i="1"/>
  <c r="E5690" i="1"/>
  <c r="B5690" i="1"/>
  <c r="O5689" i="1"/>
  <c r="E5689" i="1"/>
  <c r="B5689" i="1"/>
  <c r="O5688" i="1"/>
  <c r="E5688" i="1"/>
  <c r="B5688" i="1"/>
  <c r="O5687" i="1"/>
  <c r="E5687" i="1"/>
  <c r="B5687" i="1"/>
  <c r="O5686" i="1"/>
  <c r="E5686" i="1"/>
  <c r="B5686" i="1"/>
  <c r="O5685" i="1"/>
  <c r="E5685" i="1"/>
  <c r="B5685" i="1"/>
  <c r="O5684" i="1"/>
  <c r="E5684" i="1"/>
  <c r="B5684" i="1"/>
  <c r="O5683" i="1"/>
  <c r="E5683" i="1"/>
  <c r="B5683" i="1"/>
  <c r="O5682" i="1"/>
  <c r="E5682" i="1"/>
  <c r="B5682" i="1"/>
  <c r="O5681" i="1"/>
  <c r="E5681" i="1"/>
  <c r="B5681" i="1"/>
  <c r="O5680" i="1"/>
  <c r="E5680" i="1"/>
  <c r="B5680" i="1"/>
  <c r="O5679" i="1"/>
  <c r="E5679" i="1"/>
  <c r="B5679" i="1"/>
  <c r="O5678" i="1"/>
  <c r="E5678" i="1"/>
  <c r="B5678" i="1"/>
  <c r="O5677" i="1"/>
  <c r="E5677" i="1"/>
  <c r="B5677" i="1"/>
  <c r="O5676" i="1"/>
  <c r="E5676" i="1"/>
  <c r="B5676" i="1"/>
  <c r="O5675" i="1"/>
  <c r="E5675" i="1"/>
  <c r="B5675" i="1"/>
  <c r="O5674" i="1"/>
  <c r="E5674" i="1"/>
  <c r="B5674" i="1"/>
  <c r="O5673" i="1"/>
  <c r="E5673" i="1"/>
  <c r="B5673" i="1"/>
  <c r="O5672" i="1"/>
  <c r="E5672" i="1"/>
  <c r="B5672" i="1"/>
  <c r="O5671" i="1"/>
  <c r="E5671" i="1"/>
  <c r="B5671" i="1"/>
  <c r="O5670" i="1"/>
  <c r="E5670" i="1"/>
  <c r="B5670" i="1"/>
  <c r="O5669" i="1"/>
  <c r="E5669" i="1"/>
  <c r="B5669" i="1"/>
  <c r="O5668" i="1"/>
  <c r="E5668" i="1"/>
  <c r="B5668" i="1"/>
  <c r="O5667" i="1"/>
  <c r="E5667" i="1"/>
  <c r="B5667" i="1"/>
  <c r="O5666" i="1"/>
  <c r="E5666" i="1"/>
  <c r="B5666" i="1"/>
  <c r="O5665" i="1"/>
  <c r="E5665" i="1"/>
  <c r="B5665" i="1"/>
  <c r="O5664" i="1"/>
  <c r="E5664" i="1"/>
  <c r="B5664" i="1"/>
  <c r="O5663" i="1"/>
  <c r="E5663" i="1"/>
  <c r="B5663" i="1"/>
  <c r="O5662" i="1"/>
  <c r="E5662" i="1"/>
  <c r="B5662" i="1"/>
  <c r="O5661" i="1"/>
  <c r="E5661" i="1"/>
  <c r="B5661" i="1"/>
  <c r="O5660" i="1"/>
  <c r="E5660" i="1"/>
  <c r="B5660" i="1"/>
  <c r="O5659" i="1"/>
  <c r="E5659" i="1"/>
  <c r="B5659" i="1"/>
  <c r="O5658" i="1"/>
  <c r="E5658" i="1"/>
  <c r="B5658" i="1"/>
  <c r="O5657" i="1"/>
  <c r="E5657" i="1"/>
  <c r="B5657" i="1"/>
  <c r="O5656" i="1"/>
  <c r="E5656" i="1"/>
  <c r="B5656" i="1"/>
  <c r="O5655" i="1"/>
  <c r="E5655" i="1"/>
  <c r="B5655" i="1"/>
  <c r="O5654" i="1"/>
  <c r="E5654" i="1"/>
  <c r="B5654" i="1"/>
  <c r="O5653" i="1"/>
  <c r="E5653" i="1"/>
  <c r="B5653" i="1"/>
  <c r="O5652" i="1"/>
  <c r="E5652" i="1"/>
  <c r="B5652" i="1"/>
  <c r="O5651" i="1"/>
  <c r="E5651" i="1"/>
  <c r="B5651" i="1"/>
  <c r="O5650" i="1"/>
  <c r="E5650" i="1"/>
  <c r="B5650" i="1"/>
  <c r="O5649" i="1"/>
  <c r="E5649" i="1"/>
  <c r="B5649" i="1"/>
  <c r="O5648" i="1"/>
  <c r="E5648" i="1"/>
  <c r="B5648" i="1"/>
  <c r="O5647" i="1"/>
  <c r="E5647" i="1"/>
  <c r="B5647" i="1"/>
  <c r="O5646" i="1"/>
  <c r="E5646" i="1"/>
  <c r="B5646" i="1"/>
  <c r="O5645" i="1"/>
  <c r="E5645" i="1"/>
  <c r="B5645" i="1"/>
  <c r="O5644" i="1"/>
  <c r="E5644" i="1"/>
  <c r="B5644" i="1"/>
  <c r="O5643" i="1"/>
  <c r="E5643" i="1"/>
  <c r="B5643" i="1"/>
  <c r="O5642" i="1"/>
  <c r="E5642" i="1"/>
  <c r="B5642" i="1"/>
  <c r="O5641" i="1"/>
  <c r="E5641" i="1"/>
  <c r="B5641" i="1"/>
  <c r="O5640" i="1"/>
  <c r="E5640" i="1"/>
  <c r="B5640" i="1"/>
  <c r="O5639" i="1"/>
  <c r="E5639" i="1"/>
  <c r="B5639" i="1"/>
  <c r="O5638" i="1"/>
  <c r="E5638" i="1"/>
  <c r="B5638" i="1"/>
  <c r="O5637" i="1"/>
  <c r="E5637" i="1"/>
  <c r="B5637" i="1"/>
  <c r="O5636" i="1"/>
  <c r="E5636" i="1"/>
  <c r="B5636" i="1"/>
  <c r="O5635" i="1"/>
  <c r="E5635" i="1"/>
  <c r="B5635" i="1"/>
  <c r="O5634" i="1"/>
  <c r="E5634" i="1"/>
  <c r="B5634" i="1"/>
  <c r="O5633" i="1"/>
  <c r="E5633" i="1"/>
  <c r="B5633" i="1"/>
  <c r="O5632" i="1"/>
  <c r="E5632" i="1"/>
  <c r="B5632" i="1"/>
  <c r="O5631" i="1"/>
  <c r="E5631" i="1"/>
  <c r="B5631" i="1"/>
  <c r="O5630" i="1"/>
  <c r="E5630" i="1"/>
  <c r="B5630" i="1"/>
  <c r="O5629" i="1"/>
  <c r="E5629" i="1"/>
  <c r="B5629" i="1"/>
  <c r="O5628" i="1"/>
  <c r="E5628" i="1"/>
  <c r="B5628" i="1"/>
  <c r="O5627" i="1"/>
  <c r="E5627" i="1"/>
  <c r="B5627" i="1"/>
  <c r="O5626" i="1"/>
  <c r="E5626" i="1"/>
  <c r="B5626" i="1"/>
  <c r="O5625" i="1"/>
  <c r="E5625" i="1"/>
  <c r="B5625" i="1"/>
  <c r="O5624" i="1"/>
  <c r="E5624" i="1"/>
  <c r="B5624" i="1"/>
  <c r="O5623" i="1"/>
  <c r="E5623" i="1"/>
  <c r="B5623" i="1"/>
  <c r="O5622" i="1"/>
  <c r="E5622" i="1"/>
  <c r="B5622" i="1"/>
  <c r="O5621" i="1"/>
  <c r="E5621" i="1"/>
  <c r="B5621" i="1"/>
  <c r="O5620" i="1"/>
  <c r="E5620" i="1"/>
  <c r="B5620" i="1"/>
  <c r="O5619" i="1"/>
  <c r="E5619" i="1"/>
  <c r="B5619" i="1"/>
  <c r="O5618" i="1"/>
  <c r="E5618" i="1"/>
  <c r="B5618" i="1"/>
  <c r="O5617" i="1"/>
  <c r="E5617" i="1"/>
  <c r="B5617" i="1"/>
  <c r="O5616" i="1"/>
  <c r="E5616" i="1"/>
  <c r="B5616" i="1"/>
  <c r="O5615" i="1"/>
  <c r="E5615" i="1"/>
  <c r="B5615" i="1"/>
  <c r="O5614" i="1"/>
  <c r="E5614" i="1"/>
  <c r="B5614" i="1"/>
  <c r="O5613" i="1"/>
  <c r="E5613" i="1"/>
  <c r="B5613" i="1"/>
  <c r="O5612" i="1"/>
  <c r="E5612" i="1"/>
  <c r="B5612" i="1"/>
  <c r="O5611" i="1"/>
  <c r="E5611" i="1"/>
  <c r="B5611" i="1"/>
  <c r="O5610" i="1"/>
  <c r="E5610" i="1"/>
  <c r="B5610" i="1"/>
  <c r="O5609" i="1"/>
  <c r="E5609" i="1"/>
  <c r="B5609" i="1"/>
  <c r="O5608" i="1"/>
  <c r="E5608" i="1"/>
  <c r="B5608" i="1"/>
  <c r="O5607" i="1"/>
  <c r="E5607" i="1"/>
  <c r="B5607" i="1"/>
  <c r="O5606" i="1"/>
  <c r="E5606" i="1"/>
  <c r="B5606" i="1"/>
  <c r="O5605" i="1"/>
  <c r="E5605" i="1"/>
  <c r="B5605" i="1"/>
  <c r="O5604" i="1"/>
  <c r="E5604" i="1"/>
  <c r="B5604" i="1"/>
  <c r="O5603" i="1"/>
  <c r="E5603" i="1"/>
  <c r="B5603" i="1"/>
  <c r="O5602" i="1"/>
  <c r="E5602" i="1"/>
  <c r="B5602" i="1"/>
  <c r="O5601" i="1"/>
  <c r="E5601" i="1"/>
  <c r="B5601" i="1"/>
  <c r="O5600" i="1"/>
  <c r="E5600" i="1"/>
  <c r="B5600" i="1"/>
  <c r="O5599" i="1"/>
  <c r="E5599" i="1"/>
  <c r="B5599" i="1"/>
  <c r="O5598" i="1"/>
  <c r="E5598" i="1"/>
  <c r="B5598" i="1"/>
  <c r="O5597" i="1"/>
  <c r="E5597" i="1"/>
  <c r="B5597" i="1"/>
  <c r="O5596" i="1"/>
  <c r="E5596" i="1"/>
  <c r="B5596" i="1"/>
  <c r="O5595" i="1"/>
  <c r="E5595" i="1"/>
  <c r="B5595" i="1"/>
  <c r="O5594" i="1"/>
  <c r="E5594" i="1"/>
  <c r="B5594" i="1"/>
  <c r="O5593" i="1"/>
  <c r="E5593" i="1"/>
  <c r="B5593" i="1"/>
  <c r="O5592" i="1"/>
  <c r="E5592" i="1"/>
  <c r="B5592" i="1"/>
  <c r="O5591" i="1"/>
  <c r="E5591" i="1"/>
  <c r="B5591" i="1"/>
  <c r="O5590" i="1"/>
  <c r="E5590" i="1"/>
  <c r="B5590" i="1"/>
  <c r="O5589" i="1"/>
  <c r="E5589" i="1"/>
  <c r="B5589" i="1"/>
  <c r="O5588" i="1"/>
  <c r="E5588" i="1"/>
  <c r="B5588" i="1"/>
  <c r="O5587" i="1"/>
  <c r="E5587" i="1"/>
  <c r="B5587" i="1"/>
  <c r="O5586" i="1"/>
  <c r="E5586" i="1"/>
  <c r="B5586" i="1"/>
  <c r="O5585" i="1"/>
  <c r="E5585" i="1"/>
  <c r="B5585" i="1"/>
  <c r="O5584" i="1"/>
  <c r="E5584" i="1"/>
  <c r="B5584" i="1"/>
  <c r="O5583" i="1"/>
  <c r="E5583" i="1"/>
  <c r="B5583" i="1"/>
  <c r="O5582" i="1"/>
  <c r="E5582" i="1"/>
  <c r="B5582" i="1"/>
  <c r="O5581" i="1"/>
  <c r="E5581" i="1"/>
  <c r="B5581" i="1"/>
  <c r="O5580" i="1"/>
  <c r="E5580" i="1"/>
  <c r="B5580" i="1"/>
  <c r="O5579" i="1"/>
  <c r="E5579" i="1"/>
  <c r="B5579" i="1"/>
  <c r="O5578" i="1"/>
  <c r="E5578" i="1"/>
  <c r="B5578" i="1"/>
  <c r="O5577" i="1"/>
  <c r="E5577" i="1"/>
  <c r="B5577" i="1"/>
  <c r="O5576" i="1"/>
  <c r="E5576" i="1"/>
  <c r="B5576" i="1"/>
  <c r="O5575" i="1"/>
  <c r="E5575" i="1"/>
  <c r="B5575" i="1"/>
  <c r="O5574" i="1"/>
  <c r="E5574" i="1"/>
  <c r="B5574" i="1"/>
  <c r="O5573" i="1"/>
  <c r="E5573" i="1"/>
  <c r="B5573" i="1"/>
  <c r="O5572" i="1"/>
  <c r="E5572" i="1"/>
  <c r="B5572" i="1"/>
  <c r="O5571" i="1"/>
  <c r="E5571" i="1"/>
  <c r="B5571" i="1"/>
  <c r="O5570" i="1"/>
  <c r="E5570" i="1"/>
  <c r="B5570" i="1"/>
  <c r="O5569" i="1"/>
  <c r="E5569" i="1"/>
  <c r="B5569" i="1"/>
  <c r="O5568" i="1"/>
  <c r="E5568" i="1"/>
  <c r="B5568" i="1"/>
  <c r="O5567" i="1"/>
  <c r="E5567" i="1"/>
  <c r="B5567" i="1"/>
  <c r="O5566" i="1"/>
  <c r="E5566" i="1"/>
  <c r="B5566" i="1"/>
  <c r="O5565" i="1"/>
  <c r="E5565" i="1"/>
  <c r="B5565" i="1"/>
  <c r="O5564" i="1"/>
  <c r="E5564" i="1"/>
  <c r="B5564" i="1"/>
  <c r="O5563" i="1"/>
  <c r="E5563" i="1"/>
  <c r="B5563" i="1"/>
  <c r="O5562" i="1"/>
  <c r="E5562" i="1"/>
  <c r="B5562" i="1"/>
  <c r="O5561" i="1"/>
  <c r="E5561" i="1"/>
  <c r="B5561" i="1"/>
  <c r="O5560" i="1"/>
  <c r="E5560" i="1"/>
  <c r="B5560" i="1"/>
  <c r="O5559" i="1"/>
  <c r="E5559" i="1"/>
  <c r="B5559" i="1"/>
  <c r="O5558" i="1"/>
  <c r="E5558" i="1"/>
  <c r="B5558" i="1"/>
  <c r="O5557" i="1"/>
  <c r="E5557" i="1"/>
  <c r="B5557" i="1"/>
  <c r="O5556" i="1"/>
  <c r="E5556" i="1"/>
  <c r="B5556" i="1"/>
  <c r="O5555" i="1"/>
  <c r="E5555" i="1"/>
  <c r="B5555" i="1"/>
  <c r="O5554" i="1"/>
  <c r="E5554" i="1"/>
  <c r="B5554" i="1"/>
  <c r="O5553" i="1"/>
  <c r="E5553" i="1"/>
  <c r="B5553" i="1"/>
  <c r="O5552" i="1"/>
  <c r="E5552" i="1"/>
  <c r="B5552" i="1"/>
  <c r="O5551" i="1"/>
  <c r="E5551" i="1"/>
  <c r="B5551" i="1"/>
  <c r="O5550" i="1"/>
  <c r="E5550" i="1"/>
  <c r="B5550" i="1"/>
  <c r="O5549" i="1"/>
  <c r="E5549" i="1"/>
  <c r="B5549" i="1"/>
  <c r="O5548" i="1"/>
  <c r="E5548" i="1"/>
  <c r="B5548" i="1"/>
  <c r="O5547" i="1"/>
  <c r="E5547" i="1"/>
  <c r="B5547" i="1"/>
  <c r="O5546" i="1"/>
  <c r="E5546" i="1"/>
  <c r="B5546" i="1"/>
  <c r="O5545" i="1"/>
  <c r="E5545" i="1"/>
  <c r="B5545" i="1"/>
  <c r="O5544" i="1"/>
  <c r="E5544" i="1"/>
  <c r="B5544" i="1"/>
  <c r="O5543" i="1"/>
  <c r="E5543" i="1"/>
  <c r="B5543" i="1"/>
  <c r="O5542" i="1"/>
  <c r="E5542" i="1"/>
  <c r="B5542" i="1"/>
  <c r="O5541" i="1"/>
  <c r="E5541" i="1"/>
  <c r="B5541" i="1"/>
  <c r="O5540" i="1"/>
  <c r="E5540" i="1"/>
  <c r="B5540" i="1"/>
  <c r="O5539" i="1"/>
  <c r="E5539" i="1"/>
  <c r="B5539" i="1"/>
  <c r="O5538" i="1"/>
  <c r="E5538" i="1"/>
  <c r="B5538" i="1"/>
  <c r="O5537" i="1"/>
  <c r="E5537" i="1"/>
  <c r="B5537" i="1"/>
  <c r="O5536" i="1"/>
  <c r="E5536" i="1"/>
  <c r="B5536" i="1"/>
  <c r="O5535" i="1"/>
  <c r="E5535" i="1"/>
  <c r="B5535" i="1"/>
  <c r="O5534" i="1"/>
  <c r="E5534" i="1"/>
  <c r="B5534" i="1"/>
  <c r="O5533" i="1"/>
  <c r="E5533" i="1"/>
  <c r="B5533" i="1"/>
  <c r="O5532" i="1"/>
  <c r="E5532" i="1"/>
  <c r="B5532" i="1"/>
  <c r="O5531" i="1"/>
  <c r="E5531" i="1"/>
  <c r="B5531" i="1"/>
  <c r="O5530" i="1"/>
  <c r="E5530" i="1"/>
  <c r="B5530" i="1"/>
  <c r="O5529" i="1"/>
  <c r="E5529" i="1"/>
  <c r="B5529" i="1"/>
  <c r="O5528" i="1"/>
  <c r="E5528" i="1"/>
  <c r="B5528" i="1"/>
  <c r="O5527" i="1"/>
  <c r="E5527" i="1"/>
  <c r="B5527" i="1"/>
  <c r="O5526" i="1"/>
  <c r="E5526" i="1"/>
  <c r="B5526" i="1"/>
  <c r="O5525" i="1"/>
  <c r="E5525" i="1"/>
  <c r="B5525" i="1"/>
  <c r="O5524" i="1"/>
  <c r="E5524" i="1"/>
  <c r="B5524" i="1"/>
  <c r="O5523" i="1"/>
  <c r="E5523" i="1"/>
  <c r="B5523" i="1"/>
  <c r="O5522" i="1"/>
  <c r="E5522" i="1"/>
  <c r="B5522" i="1"/>
  <c r="O5521" i="1"/>
  <c r="E5521" i="1"/>
  <c r="B5521" i="1"/>
  <c r="O5520" i="1"/>
  <c r="E5520" i="1"/>
  <c r="B5520" i="1"/>
  <c r="O5519" i="1"/>
  <c r="E5519" i="1"/>
  <c r="B5519" i="1"/>
  <c r="O5518" i="1"/>
  <c r="E5518" i="1"/>
  <c r="B5518" i="1"/>
  <c r="O5517" i="1"/>
  <c r="E5517" i="1"/>
  <c r="B5517" i="1"/>
  <c r="O5516" i="1"/>
  <c r="E5516" i="1"/>
  <c r="B5516" i="1"/>
  <c r="O5515" i="1"/>
  <c r="E5515" i="1"/>
  <c r="B5515" i="1"/>
  <c r="O5514" i="1"/>
  <c r="E5514" i="1"/>
  <c r="B5514" i="1"/>
  <c r="O5513" i="1"/>
  <c r="E5513" i="1"/>
  <c r="B5513" i="1"/>
  <c r="O5512" i="1"/>
  <c r="E5512" i="1"/>
  <c r="B5512" i="1"/>
  <c r="O5511" i="1"/>
  <c r="E5511" i="1"/>
  <c r="B5511" i="1"/>
  <c r="O5510" i="1"/>
  <c r="E5510" i="1"/>
  <c r="B5510" i="1"/>
  <c r="O5509" i="1"/>
  <c r="E5509" i="1"/>
  <c r="B5509" i="1"/>
  <c r="O5508" i="1"/>
  <c r="E5508" i="1"/>
  <c r="B5508" i="1"/>
  <c r="O5507" i="1"/>
  <c r="E5507" i="1"/>
  <c r="B5507" i="1"/>
  <c r="O5506" i="1"/>
  <c r="E5506" i="1"/>
  <c r="B5506" i="1"/>
  <c r="O5505" i="1"/>
  <c r="E5505" i="1"/>
  <c r="B5505" i="1"/>
  <c r="O5504" i="1"/>
  <c r="E5504" i="1"/>
  <c r="B5504" i="1"/>
  <c r="O5503" i="1"/>
  <c r="E5503" i="1"/>
  <c r="B5503" i="1"/>
  <c r="O5502" i="1"/>
  <c r="E5502" i="1"/>
  <c r="B5502" i="1"/>
  <c r="O5501" i="1"/>
  <c r="E5501" i="1"/>
  <c r="B5501" i="1"/>
  <c r="O5500" i="1"/>
  <c r="E5500" i="1"/>
  <c r="B5500" i="1"/>
  <c r="O5499" i="1"/>
  <c r="E5499" i="1"/>
  <c r="B5499" i="1"/>
  <c r="O5498" i="1"/>
  <c r="E5498" i="1"/>
  <c r="B5498" i="1"/>
  <c r="O5497" i="1"/>
  <c r="E5497" i="1"/>
  <c r="B5497" i="1"/>
  <c r="O5496" i="1"/>
  <c r="E5496" i="1"/>
  <c r="B5496" i="1"/>
  <c r="O5495" i="1"/>
  <c r="E5495" i="1"/>
  <c r="B5495" i="1"/>
  <c r="O5494" i="1"/>
  <c r="E5494" i="1"/>
  <c r="B5494" i="1"/>
  <c r="O5493" i="1"/>
  <c r="E5493" i="1"/>
  <c r="B5493" i="1"/>
  <c r="O5492" i="1"/>
  <c r="E5492" i="1"/>
  <c r="B5492" i="1"/>
  <c r="O5491" i="1"/>
  <c r="E5491" i="1"/>
  <c r="B5491" i="1"/>
  <c r="O5490" i="1"/>
  <c r="E5490" i="1"/>
  <c r="B5490" i="1"/>
  <c r="O5489" i="1"/>
  <c r="E5489" i="1"/>
  <c r="B5489" i="1"/>
  <c r="O5488" i="1"/>
  <c r="E5488" i="1"/>
  <c r="B5488" i="1"/>
  <c r="O5487" i="1"/>
  <c r="E5487" i="1"/>
  <c r="B5487" i="1"/>
  <c r="O5486" i="1"/>
  <c r="E5486" i="1"/>
  <c r="B5486" i="1"/>
  <c r="O5485" i="1"/>
  <c r="E5485" i="1"/>
  <c r="B5485" i="1"/>
  <c r="O5484" i="1"/>
  <c r="E5484" i="1"/>
  <c r="B5484" i="1"/>
  <c r="O5483" i="1"/>
  <c r="E5483" i="1"/>
  <c r="B5483" i="1"/>
  <c r="O5482" i="1"/>
  <c r="E5482" i="1"/>
  <c r="B5482" i="1"/>
  <c r="O5481" i="1"/>
  <c r="E5481" i="1"/>
  <c r="B5481" i="1"/>
  <c r="O5480" i="1"/>
  <c r="E5480" i="1"/>
  <c r="B5480" i="1"/>
  <c r="O5479" i="1"/>
  <c r="E5479" i="1"/>
  <c r="B5479" i="1"/>
  <c r="O5478" i="1"/>
  <c r="E5478" i="1"/>
  <c r="B5478" i="1"/>
  <c r="O5477" i="1"/>
  <c r="E5477" i="1"/>
  <c r="B5477" i="1"/>
  <c r="O5476" i="1"/>
  <c r="E5476" i="1"/>
  <c r="B5476" i="1"/>
  <c r="O5475" i="1"/>
  <c r="E5475" i="1"/>
  <c r="B5475" i="1"/>
  <c r="O5474" i="1"/>
  <c r="E5474" i="1"/>
  <c r="B5474" i="1"/>
  <c r="O5473" i="1"/>
  <c r="E5473" i="1"/>
  <c r="B5473" i="1"/>
  <c r="O5472" i="1"/>
  <c r="E5472" i="1"/>
  <c r="B5472" i="1"/>
  <c r="O5471" i="1"/>
  <c r="E5471" i="1"/>
  <c r="B5471" i="1"/>
  <c r="O5470" i="1"/>
  <c r="E5470" i="1"/>
  <c r="B5470" i="1"/>
  <c r="O5469" i="1"/>
  <c r="E5469" i="1"/>
  <c r="B5469" i="1"/>
  <c r="O5468" i="1"/>
  <c r="E5468" i="1"/>
  <c r="B5468" i="1"/>
  <c r="O5467" i="1"/>
  <c r="E5467" i="1"/>
  <c r="B5467" i="1"/>
  <c r="O5466" i="1"/>
  <c r="E5466" i="1"/>
  <c r="B5466" i="1"/>
  <c r="O5465" i="1"/>
  <c r="E5465" i="1"/>
  <c r="B5465" i="1"/>
  <c r="O5464" i="1"/>
  <c r="E5464" i="1"/>
  <c r="B5464" i="1"/>
  <c r="O5463" i="1"/>
  <c r="E5463" i="1"/>
  <c r="B5463" i="1"/>
  <c r="O5462" i="1"/>
  <c r="E5462" i="1"/>
  <c r="B5462" i="1"/>
  <c r="O5461" i="1"/>
  <c r="E5461" i="1"/>
  <c r="B5461" i="1"/>
  <c r="O5460" i="1"/>
  <c r="E5460" i="1"/>
  <c r="B5460" i="1"/>
  <c r="O5459" i="1"/>
  <c r="E5459" i="1"/>
  <c r="B5459" i="1"/>
  <c r="O5458" i="1"/>
  <c r="E5458" i="1"/>
  <c r="B5458" i="1"/>
  <c r="O5457" i="1"/>
  <c r="E5457" i="1"/>
  <c r="B5457" i="1"/>
  <c r="O5456" i="1"/>
  <c r="E5456" i="1"/>
  <c r="B5456" i="1"/>
  <c r="O5455" i="1"/>
  <c r="E5455" i="1"/>
  <c r="B5455" i="1"/>
  <c r="O5454" i="1"/>
  <c r="E5454" i="1"/>
  <c r="B5454" i="1"/>
  <c r="O5453" i="1"/>
  <c r="E5453" i="1"/>
  <c r="B5453" i="1"/>
  <c r="O5452" i="1"/>
  <c r="E5452" i="1"/>
  <c r="B5452" i="1"/>
  <c r="O5451" i="1"/>
  <c r="E5451" i="1"/>
  <c r="B5451" i="1"/>
  <c r="O5450" i="1"/>
  <c r="E5450" i="1"/>
  <c r="B5450" i="1"/>
  <c r="O5449" i="1"/>
  <c r="E5449" i="1"/>
  <c r="B5449" i="1"/>
  <c r="O5448" i="1"/>
  <c r="E5448" i="1"/>
  <c r="B5448" i="1"/>
  <c r="O5447" i="1"/>
  <c r="E5447" i="1"/>
  <c r="B5447" i="1"/>
  <c r="O5446" i="1"/>
  <c r="E5446" i="1"/>
  <c r="B5446" i="1"/>
  <c r="O5445" i="1"/>
  <c r="E5445" i="1"/>
  <c r="B5445" i="1"/>
  <c r="O5444" i="1"/>
  <c r="E5444" i="1"/>
  <c r="B5444" i="1"/>
  <c r="O5443" i="1"/>
  <c r="E5443" i="1"/>
  <c r="B5443" i="1"/>
  <c r="O5442" i="1"/>
  <c r="E5442" i="1"/>
  <c r="B5442" i="1"/>
  <c r="O5441" i="1"/>
  <c r="E5441" i="1"/>
  <c r="B5441" i="1"/>
  <c r="O5440" i="1"/>
  <c r="E5440" i="1"/>
  <c r="B5440" i="1"/>
  <c r="O5439" i="1"/>
  <c r="E5439" i="1"/>
  <c r="B5439" i="1"/>
  <c r="O5438" i="1"/>
  <c r="E5438" i="1"/>
  <c r="B5438" i="1"/>
  <c r="O5437" i="1"/>
  <c r="E5437" i="1"/>
  <c r="B5437" i="1"/>
  <c r="O5436" i="1"/>
  <c r="E5436" i="1"/>
  <c r="B5436" i="1"/>
  <c r="O5435" i="1"/>
  <c r="E5435" i="1"/>
  <c r="B5435" i="1"/>
  <c r="O5434" i="1"/>
  <c r="E5434" i="1"/>
  <c r="B5434" i="1"/>
  <c r="O5433" i="1"/>
  <c r="E5433" i="1"/>
  <c r="B5433" i="1"/>
  <c r="O5432" i="1"/>
  <c r="E5432" i="1"/>
  <c r="B5432" i="1"/>
  <c r="O5431" i="1"/>
  <c r="E5431" i="1"/>
  <c r="B5431" i="1"/>
  <c r="O5430" i="1"/>
  <c r="E5430" i="1"/>
  <c r="B5430" i="1"/>
  <c r="O5429" i="1"/>
  <c r="E5429" i="1"/>
  <c r="B5429" i="1"/>
  <c r="O5428" i="1"/>
  <c r="E5428" i="1"/>
  <c r="B5428" i="1"/>
  <c r="O5427" i="1"/>
  <c r="E5427" i="1"/>
  <c r="B5427" i="1"/>
  <c r="O5426" i="1"/>
  <c r="E5426" i="1"/>
  <c r="B5426" i="1"/>
  <c r="O5425" i="1"/>
  <c r="E5425" i="1"/>
  <c r="B5425" i="1"/>
  <c r="O5424" i="1"/>
  <c r="E5424" i="1"/>
  <c r="B5424" i="1"/>
  <c r="O5423" i="1"/>
  <c r="E5423" i="1"/>
  <c r="B5423" i="1"/>
  <c r="O5422" i="1"/>
  <c r="E5422" i="1"/>
  <c r="B5422" i="1"/>
  <c r="O5421" i="1"/>
  <c r="E5421" i="1"/>
  <c r="B5421" i="1"/>
  <c r="O5420" i="1"/>
  <c r="E5420" i="1"/>
  <c r="B5420" i="1"/>
  <c r="O5419" i="1"/>
  <c r="E5419" i="1"/>
  <c r="B5419" i="1"/>
  <c r="O5418" i="1"/>
  <c r="E5418" i="1"/>
  <c r="B5418" i="1"/>
  <c r="O5417" i="1"/>
  <c r="E5417" i="1"/>
  <c r="B5417" i="1"/>
  <c r="O5416" i="1"/>
  <c r="E5416" i="1"/>
  <c r="B5416" i="1"/>
  <c r="O5415" i="1"/>
  <c r="E5415" i="1"/>
  <c r="B5415" i="1"/>
  <c r="O5414" i="1"/>
  <c r="E5414" i="1"/>
  <c r="B5414" i="1"/>
  <c r="O5413" i="1"/>
  <c r="E5413" i="1"/>
  <c r="B5413" i="1"/>
  <c r="O5412" i="1"/>
  <c r="E5412" i="1"/>
  <c r="B5412" i="1"/>
  <c r="O5411" i="1"/>
  <c r="E5411" i="1"/>
  <c r="B5411" i="1"/>
  <c r="O5410" i="1"/>
  <c r="E5410" i="1"/>
  <c r="B5410" i="1"/>
  <c r="O5409" i="1"/>
  <c r="E5409" i="1"/>
  <c r="B5409" i="1"/>
  <c r="O5408" i="1"/>
  <c r="E5408" i="1"/>
  <c r="B5408" i="1"/>
  <c r="O5407" i="1"/>
  <c r="E5407" i="1"/>
  <c r="B5407" i="1"/>
  <c r="O5406" i="1"/>
  <c r="E5406" i="1"/>
  <c r="B5406" i="1"/>
  <c r="O5405" i="1"/>
  <c r="E5405" i="1"/>
  <c r="B5405" i="1"/>
  <c r="O5404" i="1"/>
  <c r="E5404" i="1"/>
  <c r="B5404" i="1"/>
  <c r="O5403" i="1"/>
  <c r="E5403" i="1"/>
  <c r="B5403" i="1"/>
  <c r="O5402" i="1"/>
  <c r="E5402" i="1"/>
  <c r="B5402" i="1"/>
  <c r="O5401" i="1"/>
  <c r="E5401" i="1"/>
  <c r="B5401" i="1"/>
  <c r="O5400" i="1"/>
  <c r="E5400" i="1"/>
  <c r="B5400" i="1"/>
  <c r="O5399" i="1"/>
  <c r="E5399" i="1"/>
  <c r="B5399" i="1"/>
  <c r="O5398" i="1"/>
  <c r="E5398" i="1"/>
  <c r="B5398" i="1"/>
  <c r="O5397" i="1"/>
  <c r="E5397" i="1"/>
  <c r="B5397" i="1"/>
  <c r="O5396" i="1"/>
  <c r="E5396" i="1"/>
  <c r="B5396" i="1"/>
  <c r="O5395" i="1"/>
  <c r="E5395" i="1"/>
  <c r="B5395" i="1"/>
  <c r="O5394" i="1"/>
  <c r="E5394" i="1"/>
  <c r="B5394" i="1"/>
  <c r="O5393" i="1"/>
  <c r="E5393" i="1"/>
  <c r="B5393" i="1"/>
  <c r="O5392" i="1"/>
  <c r="E5392" i="1"/>
  <c r="B5392" i="1"/>
  <c r="O5391" i="1"/>
  <c r="E5391" i="1"/>
  <c r="B5391" i="1"/>
  <c r="O5390" i="1"/>
  <c r="E5390" i="1"/>
  <c r="B5390" i="1"/>
  <c r="O5389" i="1"/>
  <c r="E5389" i="1"/>
  <c r="B5389" i="1"/>
  <c r="O5388" i="1"/>
  <c r="E5388" i="1"/>
  <c r="B5388" i="1"/>
  <c r="O5387" i="1"/>
  <c r="E5387" i="1"/>
  <c r="B5387" i="1"/>
  <c r="O5386" i="1"/>
  <c r="E5386" i="1"/>
  <c r="B5386" i="1"/>
  <c r="O5385" i="1"/>
  <c r="E5385" i="1"/>
  <c r="B5385" i="1"/>
  <c r="O5384" i="1"/>
  <c r="E5384" i="1"/>
  <c r="B5384" i="1"/>
  <c r="O5383" i="1"/>
  <c r="E5383" i="1"/>
  <c r="B5383" i="1"/>
  <c r="O5382" i="1"/>
  <c r="E5382" i="1"/>
  <c r="B5382" i="1"/>
  <c r="O5381" i="1"/>
  <c r="E5381" i="1"/>
  <c r="B5381" i="1"/>
  <c r="O5380" i="1"/>
  <c r="E5380" i="1"/>
  <c r="B5380" i="1"/>
  <c r="O5379" i="1"/>
  <c r="E5379" i="1"/>
  <c r="B5379" i="1"/>
  <c r="O5378" i="1"/>
  <c r="E5378" i="1"/>
  <c r="B5378" i="1"/>
  <c r="O5377" i="1"/>
  <c r="E5377" i="1"/>
  <c r="B5377" i="1"/>
  <c r="O5376" i="1"/>
  <c r="E5376" i="1"/>
  <c r="B5376" i="1"/>
  <c r="O5375" i="1"/>
  <c r="E5375" i="1"/>
  <c r="B5375" i="1"/>
  <c r="O5374" i="1"/>
  <c r="E5374" i="1"/>
  <c r="B5374" i="1"/>
  <c r="O5373" i="1"/>
  <c r="E5373" i="1"/>
  <c r="B5373" i="1"/>
  <c r="O5372" i="1"/>
  <c r="E5372" i="1"/>
  <c r="B5372" i="1"/>
  <c r="O5371" i="1"/>
  <c r="E5371" i="1"/>
  <c r="B5371" i="1"/>
  <c r="O5370" i="1"/>
  <c r="E5370" i="1"/>
  <c r="B5370" i="1"/>
  <c r="O5369" i="1"/>
  <c r="E5369" i="1"/>
  <c r="B5369" i="1"/>
  <c r="O5368" i="1"/>
  <c r="E5368" i="1"/>
  <c r="B5368" i="1"/>
  <c r="O5367" i="1"/>
  <c r="E5367" i="1"/>
  <c r="B5367" i="1"/>
  <c r="O5366" i="1"/>
  <c r="E5366" i="1"/>
  <c r="B5366" i="1"/>
  <c r="O5365" i="1"/>
  <c r="E5365" i="1"/>
  <c r="B5365" i="1"/>
  <c r="O5364" i="1"/>
  <c r="E5364" i="1"/>
  <c r="B5364" i="1"/>
  <c r="O5363" i="1"/>
  <c r="E5363" i="1"/>
  <c r="B5363" i="1"/>
  <c r="O5362" i="1"/>
  <c r="E5362" i="1"/>
  <c r="B5362" i="1"/>
  <c r="O5361" i="1"/>
  <c r="E5361" i="1"/>
  <c r="B5361" i="1"/>
  <c r="O5360" i="1"/>
  <c r="E5360" i="1"/>
  <c r="B5360" i="1"/>
  <c r="O5359" i="1"/>
  <c r="E5359" i="1"/>
  <c r="B5359" i="1"/>
  <c r="O5358" i="1"/>
  <c r="E5358" i="1"/>
  <c r="B5358" i="1"/>
  <c r="O5357" i="1"/>
  <c r="E5357" i="1"/>
  <c r="B5357" i="1"/>
  <c r="O5356" i="1"/>
  <c r="E5356" i="1"/>
  <c r="B5356" i="1"/>
  <c r="O5355" i="1"/>
  <c r="E5355" i="1"/>
  <c r="B5355" i="1"/>
  <c r="O5354" i="1"/>
  <c r="E5354" i="1"/>
  <c r="B5354" i="1"/>
  <c r="O5353" i="1"/>
  <c r="E5353" i="1"/>
  <c r="B5353" i="1"/>
  <c r="O5352" i="1"/>
  <c r="E5352" i="1"/>
  <c r="B5352" i="1"/>
  <c r="O5351" i="1"/>
  <c r="E5351" i="1"/>
  <c r="B5351" i="1"/>
  <c r="O5350" i="1"/>
  <c r="E5350" i="1"/>
  <c r="B5350" i="1"/>
  <c r="O5349" i="1"/>
  <c r="E5349" i="1"/>
  <c r="B5349" i="1"/>
  <c r="O5348" i="1"/>
  <c r="E5348" i="1"/>
  <c r="B5348" i="1"/>
  <c r="O5347" i="1"/>
  <c r="E5347" i="1"/>
  <c r="B5347" i="1"/>
  <c r="O5346" i="1"/>
  <c r="E5346" i="1"/>
  <c r="B5346" i="1"/>
  <c r="O5345" i="1"/>
  <c r="E5345" i="1"/>
  <c r="B5345" i="1"/>
  <c r="O5344" i="1"/>
  <c r="E5344" i="1"/>
  <c r="B5344" i="1"/>
  <c r="O5343" i="1"/>
  <c r="E5343" i="1"/>
  <c r="B5343" i="1"/>
  <c r="O5342" i="1"/>
  <c r="E5342" i="1"/>
  <c r="B5342" i="1"/>
  <c r="O5341" i="1"/>
  <c r="E5341" i="1"/>
  <c r="B5341" i="1"/>
  <c r="O5340" i="1"/>
  <c r="E5340" i="1"/>
  <c r="B5340" i="1"/>
  <c r="O5339" i="1"/>
  <c r="E5339" i="1"/>
  <c r="B5339" i="1"/>
  <c r="O5338" i="1"/>
  <c r="E5338" i="1"/>
  <c r="B5338" i="1"/>
  <c r="O5337" i="1"/>
  <c r="E5337" i="1"/>
  <c r="B5337" i="1"/>
  <c r="O5336" i="1"/>
  <c r="E5336" i="1"/>
  <c r="B5336" i="1"/>
  <c r="O5335" i="1"/>
  <c r="E5335" i="1"/>
  <c r="B5335" i="1"/>
  <c r="O5334" i="1"/>
  <c r="E5334" i="1"/>
  <c r="B5334" i="1"/>
  <c r="O5333" i="1"/>
  <c r="E5333" i="1"/>
  <c r="B5333" i="1"/>
  <c r="O5332" i="1"/>
  <c r="E5332" i="1"/>
  <c r="B5332" i="1"/>
  <c r="O5331" i="1"/>
  <c r="E5331" i="1"/>
  <c r="B5331" i="1"/>
  <c r="O5330" i="1"/>
  <c r="E5330" i="1"/>
  <c r="B5330" i="1"/>
  <c r="O5329" i="1"/>
  <c r="E5329" i="1"/>
  <c r="B5329" i="1"/>
  <c r="O5328" i="1"/>
  <c r="E5328" i="1"/>
  <c r="B5328" i="1"/>
  <c r="O5327" i="1"/>
  <c r="E5327" i="1"/>
  <c r="B5327" i="1"/>
  <c r="O5326" i="1"/>
  <c r="E5326" i="1"/>
  <c r="B5326" i="1"/>
  <c r="O5325" i="1"/>
  <c r="E5325" i="1"/>
  <c r="B5325" i="1"/>
  <c r="O5324" i="1"/>
  <c r="E5324" i="1"/>
  <c r="B5324" i="1"/>
  <c r="O5323" i="1"/>
  <c r="E5323" i="1"/>
  <c r="B5323" i="1"/>
  <c r="O5322" i="1"/>
  <c r="E5322" i="1"/>
  <c r="B5322" i="1"/>
  <c r="O5321" i="1"/>
  <c r="E5321" i="1"/>
  <c r="B5321" i="1"/>
  <c r="O5320" i="1"/>
  <c r="E5320" i="1"/>
  <c r="B5320" i="1"/>
  <c r="O5319" i="1"/>
  <c r="E5319" i="1"/>
  <c r="B5319" i="1"/>
  <c r="O5318" i="1"/>
  <c r="E5318" i="1"/>
  <c r="B5318" i="1"/>
  <c r="O5317" i="1"/>
  <c r="E5317" i="1"/>
  <c r="B5317" i="1"/>
  <c r="O5316" i="1"/>
  <c r="E5316" i="1"/>
  <c r="B5316" i="1"/>
  <c r="O5315" i="1"/>
  <c r="E5315" i="1"/>
  <c r="B5315" i="1"/>
  <c r="O5314" i="1"/>
  <c r="E5314" i="1"/>
  <c r="B5314" i="1"/>
  <c r="O5313" i="1"/>
  <c r="E5313" i="1"/>
  <c r="B5313" i="1"/>
  <c r="O5312" i="1"/>
  <c r="E5312" i="1"/>
  <c r="B5312" i="1"/>
  <c r="O5311" i="1"/>
  <c r="E5311" i="1"/>
  <c r="B5311" i="1"/>
  <c r="O5310" i="1"/>
  <c r="E5310" i="1"/>
  <c r="B5310" i="1"/>
  <c r="O5309" i="1"/>
  <c r="E5309" i="1"/>
  <c r="B5309" i="1"/>
  <c r="O5308" i="1"/>
  <c r="E5308" i="1"/>
  <c r="B5308" i="1"/>
  <c r="O5307" i="1"/>
  <c r="E5307" i="1"/>
  <c r="B5307" i="1"/>
  <c r="O5306" i="1"/>
  <c r="E5306" i="1"/>
  <c r="B5306" i="1"/>
  <c r="O5305" i="1"/>
  <c r="E5305" i="1"/>
  <c r="B5305" i="1"/>
  <c r="O5304" i="1"/>
  <c r="E5304" i="1"/>
  <c r="B5304" i="1"/>
  <c r="O5303" i="1"/>
  <c r="E5303" i="1"/>
  <c r="B5303" i="1"/>
  <c r="O5302" i="1"/>
  <c r="E5302" i="1"/>
  <c r="B5302" i="1"/>
  <c r="O5301" i="1"/>
  <c r="E5301" i="1"/>
  <c r="B5301" i="1"/>
  <c r="O5300" i="1"/>
  <c r="E5300" i="1"/>
  <c r="B5300" i="1"/>
  <c r="O5299" i="1"/>
  <c r="E5299" i="1"/>
  <c r="B5299" i="1"/>
  <c r="O5298" i="1"/>
  <c r="E5298" i="1"/>
  <c r="B5298" i="1"/>
  <c r="O5297" i="1"/>
  <c r="E5297" i="1"/>
  <c r="B5297" i="1"/>
  <c r="O5296" i="1"/>
  <c r="E5296" i="1"/>
  <c r="B5296" i="1"/>
  <c r="O5295" i="1"/>
  <c r="E5295" i="1"/>
  <c r="B5295" i="1"/>
  <c r="O5294" i="1"/>
  <c r="E5294" i="1"/>
  <c r="B5294" i="1"/>
  <c r="O5293" i="1"/>
  <c r="E5293" i="1"/>
  <c r="B5293" i="1"/>
  <c r="O5292" i="1"/>
  <c r="E5292" i="1"/>
  <c r="B5292" i="1"/>
  <c r="O5291" i="1"/>
  <c r="E5291" i="1"/>
  <c r="B5291" i="1"/>
  <c r="O5290" i="1"/>
  <c r="E5290" i="1"/>
  <c r="B5290" i="1"/>
  <c r="O5289" i="1"/>
  <c r="E5289" i="1"/>
  <c r="B5289" i="1"/>
  <c r="O5288" i="1"/>
  <c r="E5288" i="1"/>
  <c r="B5288" i="1"/>
  <c r="O5287" i="1"/>
  <c r="E5287" i="1"/>
  <c r="B5287" i="1"/>
  <c r="O5286" i="1"/>
  <c r="E5286" i="1"/>
  <c r="B5286" i="1"/>
  <c r="O5285" i="1"/>
  <c r="E5285" i="1"/>
  <c r="B5285" i="1"/>
  <c r="O5284" i="1"/>
  <c r="E5284" i="1"/>
  <c r="B5284" i="1"/>
  <c r="O5283" i="1"/>
  <c r="E5283" i="1"/>
  <c r="B5283" i="1"/>
  <c r="O5282" i="1"/>
  <c r="E5282" i="1"/>
  <c r="B5282" i="1"/>
  <c r="O5281" i="1"/>
  <c r="E5281" i="1"/>
  <c r="B5281" i="1"/>
  <c r="O5280" i="1"/>
  <c r="E5280" i="1"/>
  <c r="B5280" i="1"/>
  <c r="O5279" i="1"/>
  <c r="E5279" i="1"/>
  <c r="B5279" i="1"/>
  <c r="O5278" i="1"/>
  <c r="E5278" i="1"/>
  <c r="B5278" i="1"/>
  <c r="O5277" i="1"/>
  <c r="E5277" i="1"/>
  <c r="B5277" i="1"/>
  <c r="O5276" i="1"/>
  <c r="E5276" i="1"/>
  <c r="B5276" i="1"/>
  <c r="O5275" i="1"/>
  <c r="E5275" i="1"/>
  <c r="B5275" i="1"/>
  <c r="O5274" i="1"/>
  <c r="E5274" i="1"/>
  <c r="B5274" i="1"/>
  <c r="O5273" i="1"/>
  <c r="E5273" i="1"/>
  <c r="B5273" i="1"/>
  <c r="O5272" i="1"/>
  <c r="E5272" i="1"/>
  <c r="B5272" i="1"/>
  <c r="O5271" i="1"/>
  <c r="E5271" i="1"/>
  <c r="B5271" i="1"/>
  <c r="O5270" i="1"/>
  <c r="E5270" i="1"/>
  <c r="B5270" i="1"/>
  <c r="O5269" i="1"/>
  <c r="E5269" i="1"/>
  <c r="B5269" i="1"/>
  <c r="O5268" i="1"/>
  <c r="E5268" i="1"/>
  <c r="B5268" i="1"/>
  <c r="O5267" i="1"/>
  <c r="E5267" i="1"/>
  <c r="B5267" i="1"/>
  <c r="O5266" i="1"/>
  <c r="E5266" i="1"/>
  <c r="B5266" i="1"/>
  <c r="O5265" i="1"/>
  <c r="E5265" i="1"/>
  <c r="B5265" i="1"/>
  <c r="O5264" i="1"/>
  <c r="E5264" i="1"/>
  <c r="B5264" i="1"/>
  <c r="O5263" i="1"/>
  <c r="E5263" i="1"/>
  <c r="B5263" i="1"/>
  <c r="O5262" i="1"/>
  <c r="E5262" i="1"/>
  <c r="B5262" i="1"/>
  <c r="O5261" i="1"/>
  <c r="E5261" i="1"/>
  <c r="B5261" i="1"/>
  <c r="O5260" i="1"/>
  <c r="E5260" i="1"/>
  <c r="B5260" i="1"/>
  <c r="O5259" i="1"/>
  <c r="E5259" i="1"/>
  <c r="B5259" i="1"/>
  <c r="O5258" i="1"/>
  <c r="E5258" i="1"/>
  <c r="B5258" i="1"/>
  <c r="O5257" i="1"/>
  <c r="E5257" i="1"/>
  <c r="B5257" i="1"/>
  <c r="O5256" i="1"/>
  <c r="E5256" i="1"/>
  <c r="B5256" i="1"/>
  <c r="O5255" i="1"/>
  <c r="E5255" i="1"/>
  <c r="B5255" i="1"/>
  <c r="O5254" i="1"/>
  <c r="E5254" i="1"/>
  <c r="B5254" i="1"/>
  <c r="O5253" i="1"/>
  <c r="E5253" i="1"/>
  <c r="B5253" i="1"/>
  <c r="O5252" i="1"/>
  <c r="E5252" i="1"/>
  <c r="B5252" i="1"/>
  <c r="O5251" i="1"/>
  <c r="E5251" i="1"/>
  <c r="B5251" i="1"/>
  <c r="O5250" i="1"/>
  <c r="E5250" i="1"/>
  <c r="B5250" i="1"/>
  <c r="O5249" i="1"/>
  <c r="E5249" i="1"/>
  <c r="B5249" i="1"/>
  <c r="O5248" i="1"/>
  <c r="E5248" i="1"/>
  <c r="B5248" i="1"/>
  <c r="O5247" i="1"/>
  <c r="E5247" i="1"/>
  <c r="B5247" i="1"/>
  <c r="O5246" i="1"/>
  <c r="E5246" i="1"/>
  <c r="B5246" i="1"/>
  <c r="O5245" i="1"/>
  <c r="E5245" i="1"/>
  <c r="B5245" i="1"/>
  <c r="O5244" i="1"/>
  <c r="E5244" i="1"/>
  <c r="B5244" i="1"/>
  <c r="O5243" i="1"/>
  <c r="E5243" i="1"/>
  <c r="B5243" i="1"/>
  <c r="O5242" i="1"/>
  <c r="E5242" i="1"/>
  <c r="B5242" i="1"/>
  <c r="O5241" i="1"/>
  <c r="E5241" i="1"/>
  <c r="B5241" i="1"/>
  <c r="O5240" i="1"/>
  <c r="E5240" i="1"/>
  <c r="B5240" i="1"/>
  <c r="O5239" i="1"/>
  <c r="E5239" i="1"/>
  <c r="B5239" i="1"/>
  <c r="O5238" i="1"/>
  <c r="E5238" i="1"/>
  <c r="B5238" i="1"/>
  <c r="O5237" i="1"/>
  <c r="E5237" i="1"/>
  <c r="B5237" i="1"/>
  <c r="O5236" i="1"/>
  <c r="E5236" i="1"/>
  <c r="B5236" i="1"/>
  <c r="O5235" i="1"/>
  <c r="E5235" i="1"/>
  <c r="B5235" i="1"/>
  <c r="O5234" i="1"/>
  <c r="E5234" i="1"/>
  <c r="B5234" i="1"/>
  <c r="O5233" i="1"/>
  <c r="E5233" i="1"/>
  <c r="B5233" i="1"/>
  <c r="O5232" i="1"/>
  <c r="E5232" i="1"/>
  <c r="B5232" i="1"/>
  <c r="O5231" i="1"/>
  <c r="E5231" i="1"/>
  <c r="B5231" i="1"/>
  <c r="O5230" i="1"/>
  <c r="E5230" i="1"/>
  <c r="B5230" i="1"/>
  <c r="O5229" i="1"/>
  <c r="E5229" i="1"/>
  <c r="B5229" i="1"/>
  <c r="O5228" i="1"/>
  <c r="E5228" i="1"/>
  <c r="B5228" i="1"/>
  <c r="O5227" i="1"/>
  <c r="E5227" i="1"/>
  <c r="B5227" i="1"/>
  <c r="O5226" i="1"/>
  <c r="E5226" i="1"/>
  <c r="B5226" i="1"/>
  <c r="O5225" i="1"/>
  <c r="E5225" i="1"/>
  <c r="B5225" i="1"/>
  <c r="O5224" i="1"/>
  <c r="E5224" i="1"/>
  <c r="B5224" i="1"/>
  <c r="O5223" i="1"/>
  <c r="E5223" i="1"/>
  <c r="B5223" i="1"/>
  <c r="O5222" i="1"/>
  <c r="E5222" i="1"/>
  <c r="B5222" i="1"/>
  <c r="O5221" i="1"/>
  <c r="E5221" i="1"/>
  <c r="B5221" i="1"/>
  <c r="O5220" i="1"/>
  <c r="E5220" i="1"/>
  <c r="B5220" i="1"/>
  <c r="O5219" i="1"/>
  <c r="E5219" i="1"/>
  <c r="B5219" i="1"/>
  <c r="O5218" i="1"/>
  <c r="E5218" i="1"/>
  <c r="B5218" i="1"/>
  <c r="O5217" i="1"/>
  <c r="E5217" i="1"/>
  <c r="B5217" i="1"/>
  <c r="O5216" i="1"/>
  <c r="E5216" i="1"/>
  <c r="B5216" i="1"/>
  <c r="O5215" i="1"/>
  <c r="E5215" i="1"/>
  <c r="B5215" i="1"/>
  <c r="O5214" i="1"/>
  <c r="E5214" i="1"/>
  <c r="B5214" i="1"/>
  <c r="O5213" i="1"/>
  <c r="E5213" i="1"/>
  <c r="B5213" i="1"/>
  <c r="O5212" i="1"/>
  <c r="E5212" i="1"/>
  <c r="B5212" i="1"/>
  <c r="O5211" i="1"/>
  <c r="E5211" i="1"/>
  <c r="B5211" i="1"/>
  <c r="O5210" i="1"/>
  <c r="E5210" i="1"/>
  <c r="B5210" i="1"/>
  <c r="O5209" i="1"/>
  <c r="E5209" i="1"/>
  <c r="B5209" i="1"/>
  <c r="O5208" i="1"/>
  <c r="E5208" i="1"/>
  <c r="B5208" i="1"/>
  <c r="O5207" i="1"/>
  <c r="E5207" i="1"/>
  <c r="B5207" i="1"/>
  <c r="O5206" i="1"/>
  <c r="E5206" i="1"/>
  <c r="B5206" i="1"/>
  <c r="O5205" i="1"/>
  <c r="E5205" i="1"/>
  <c r="B5205" i="1"/>
  <c r="O5204" i="1"/>
  <c r="E5204" i="1"/>
  <c r="B5204" i="1"/>
  <c r="O5203" i="1"/>
  <c r="E5203" i="1"/>
  <c r="B5203" i="1"/>
  <c r="O5202" i="1"/>
  <c r="E5202" i="1"/>
  <c r="B5202" i="1"/>
  <c r="O5201" i="1"/>
  <c r="E5201" i="1"/>
  <c r="B5201" i="1"/>
  <c r="O5200" i="1"/>
  <c r="E5200" i="1"/>
  <c r="B5200" i="1"/>
  <c r="O5199" i="1"/>
  <c r="E5199" i="1"/>
  <c r="B5199" i="1"/>
  <c r="O5198" i="1"/>
  <c r="E5198" i="1"/>
  <c r="B5198" i="1"/>
  <c r="O5197" i="1"/>
  <c r="E5197" i="1"/>
  <c r="B5197" i="1"/>
  <c r="O5196" i="1"/>
  <c r="E5196" i="1"/>
  <c r="B5196" i="1"/>
  <c r="O5195" i="1"/>
  <c r="E5195" i="1"/>
  <c r="B5195" i="1"/>
  <c r="O5194" i="1"/>
  <c r="E5194" i="1"/>
  <c r="B5194" i="1"/>
  <c r="O5193" i="1"/>
  <c r="E5193" i="1"/>
  <c r="B5193" i="1"/>
  <c r="O5192" i="1"/>
  <c r="E5192" i="1"/>
  <c r="B5192" i="1"/>
  <c r="O5191" i="1"/>
  <c r="E5191" i="1"/>
  <c r="B5191" i="1"/>
  <c r="O5190" i="1"/>
  <c r="E5190" i="1"/>
  <c r="B5190" i="1"/>
  <c r="O5189" i="1"/>
  <c r="E5189" i="1"/>
  <c r="B5189" i="1"/>
  <c r="O5188" i="1"/>
  <c r="E5188" i="1"/>
  <c r="B5188" i="1"/>
  <c r="O5187" i="1"/>
  <c r="E5187" i="1"/>
  <c r="B5187" i="1"/>
  <c r="O5186" i="1"/>
  <c r="E5186" i="1"/>
  <c r="B5186" i="1"/>
  <c r="O5185" i="1"/>
  <c r="E5185" i="1"/>
  <c r="B5185" i="1"/>
  <c r="O5184" i="1"/>
  <c r="E5184" i="1"/>
  <c r="B5184" i="1"/>
  <c r="O5183" i="1"/>
  <c r="E5183" i="1"/>
  <c r="B5183" i="1"/>
  <c r="O5182" i="1"/>
  <c r="E5182" i="1"/>
  <c r="B5182" i="1"/>
  <c r="O5181" i="1"/>
  <c r="E5181" i="1"/>
  <c r="B5181" i="1"/>
  <c r="O5180" i="1"/>
  <c r="E5180" i="1"/>
  <c r="B5180" i="1"/>
  <c r="O5179" i="1"/>
  <c r="E5179" i="1"/>
  <c r="B5179" i="1"/>
  <c r="O5178" i="1"/>
  <c r="E5178" i="1"/>
  <c r="B5178" i="1"/>
  <c r="O5177" i="1"/>
  <c r="E5177" i="1"/>
  <c r="B5177" i="1"/>
  <c r="O5176" i="1"/>
  <c r="E5176" i="1"/>
  <c r="B5176" i="1"/>
  <c r="O5175" i="1"/>
  <c r="E5175" i="1"/>
  <c r="B5175" i="1"/>
  <c r="O5174" i="1"/>
  <c r="E5174" i="1"/>
  <c r="B5174" i="1"/>
  <c r="O5173" i="1"/>
  <c r="E5173" i="1"/>
  <c r="B5173" i="1"/>
  <c r="O5172" i="1"/>
  <c r="E5172" i="1"/>
  <c r="B5172" i="1"/>
  <c r="O5171" i="1"/>
  <c r="E5171" i="1"/>
  <c r="B5171" i="1"/>
  <c r="O5170" i="1"/>
  <c r="E5170" i="1"/>
  <c r="B5170" i="1"/>
  <c r="O5169" i="1"/>
  <c r="E5169" i="1"/>
  <c r="B5169" i="1"/>
  <c r="O5168" i="1"/>
  <c r="E5168" i="1"/>
  <c r="B5168" i="1"/>
  <c r="O5167" i="1"/>
  <c r="E5167" i="1"/>
  <c r="B5167" i="1"/>
  <c r="O5166" i="1"/>
  <c r="E5166" i="1"/>
  <c r="B5166" i="1"/>
  <c r="O5165" i="1"/>
  <c r="E5165" i="1"/>
  <c r="B5165" i="1"/>
  <c r="O5164" i="1"/>
  <c r="E5164" i="1"/>
  <c r="B5164" i="1"/>
  <c r="O5163" i="1"/>
  <c r="E5163" i="1"/>
  <c r="B5163" i="1"/>
  <c r="O5162" i="1"/>
  <c r="E5162" i="1"/>
  <c r="B5162" i="1"/>
  <c r="O5161" i="1"/>
  <c r="E5161" i="1"/>
  <c r="B5161" i="1"/>
  <c r="O5160" i="1"/>
  <c r="E5160" i="1"/>
  <c r="B5160" i="1"/>
  <c r="O5159" i="1"/>
  <c r="E5159" i="1"/>
  <c r="B5159" i="1"/>
  <c r="O5158" i="1"/>
  <c r="E5158" i="1"/>
  <c r="B5158" i="1"/>
  <c r="O5157" i="1"/>
  <c r="E5157" i="1"/>
  <c r="B5157" i="1"/>
  <c r="O5156" i="1"/>
  <c r="E5156" i="1"/>
  <c r="B5156" i="1"/>
  <c r="O5155" i="1"/>
  <c r="E5155" i="1"/>
  <c r="B5155" i="1"/>
  <c r="O5154" i="1"/>
  <c r="E5154" i="1"/>
  <c r="B5154" i="1"/>
  <c r="O5153" i="1"/>
  <c r="E5153" i="1"/>
  <c r="B5153" i="1"/>
  <c r="O5152" i="1"/>
  <c r="E5152" i="1"/>
  <c r="B5152" i="1"/>
  <c r="O5151" i="1"/>
  <c r="E5151" i="1"/>
  <c r="B5151" i="1"/>
  <c r="O5150" i="1"/>
  <c r="E5150" i="1"/>
  <c r="B5150" i="1"/>
  <c r="O5149" i="1"/>
  <c r="E5149" i="1"/>
  <c r="B5149" i="1"/>
  <c r="O5148" i="1"/>
  <c r="E5148" i="1"/>
  <c r="B5148" i="1"/>
  <c r="O5147" i="1"/>
  <c r="E5147" i="1"/>
  <c r="B5147" i="1"/>
  <c r="O5146" i="1"/>
  <c r="E5146" i="1"/>
  <c r="B5146" i="1"/>
  <c r="O5145" i="1"/>
  <c r="E5145" i="1"/>
  <c r="B5145" i="1"/>
  <c r="O5144" i="1"/>
  <c r="E5144" i="1"/>
  <c r="B5144" i="1"/>
  <c r="O5143" i="1"/>
  <c r="E5143" i="1"/>
  <c r="B5143" i="1"/>
  <c r="O5142" i="1"/>
  <c r="E5142" i="1"/>
  <c r="B5142" i="1"/>
  <c r="O5141" i="1"/>
  <c r="E5141" i="1"/>
  <c r="B5141" i="1"/>
  <c r="O5140" i="1"/>
  <c r="E5140" i="1"/>
  <c r="B5140" i="1"/>
  <c r="O5139" i="1"/>
  <c r="E5139" i="1"/>
  <c r="B5139" i="1"/>
  <c r="O5138" i="1"/>
  <c r="E5138" i="1"/>
  <c r="B5138" i="1"/>
  <c r="O5137" i="1"/>
  <c r="E5137" i="1"/>
  <c r="B5137" i="1"/>
  <c r="O5136" i="1"/>
  <c r="E5136" i="1"/>
  <c r="B5136" i="1"/>
  <c r="O5135" i="1"/>
  <c r="E5135" i="1"/>
  <c r="B5135" i="1"/>
  <c r="O5134" i="1"/>
  <c r="E5134" i="1"/>
  <c r="B5134" i="1"/>
  <c r="O5133" i="1"/>
  <c r="E5133" i="1"/>
  <c r="B5133" i="1"/>
  <c r="O5132" i="1"/>
  <c r="E5132" i="1"/>
  <c r="B5132" i="1"/>
  <c r="O5131" i="1"/>
  <c r="E5131" i="1"/>
  <c r="B5131" i="1"/>
  <c r="O5130" i="1"/>
  <c r="E5130" i="1"/>
  <c r="B5130" i="1"/>
  <c r="O5129" i="1"/>
  <c r="E5129" i="1"/>
  <c r="B5129" i="1"/>
  <c r="O5128" i="1"/>
  <c r="E5128" i="1"/>
  <c r="B5128" i="1"/>
  <c r="O5127" i="1"/>
  <c r="E5127" i="1"/>
  <c r="B5127" i="1"/>
  <c r="O5126" i="1"/>
  <c r="E5126" i="1"/>
  <c r="B5126" i="1"/>
  <c r="O5125" i="1"/>
  <c r="E5125" i="1"/>
  <c r="B5125" i="1"/>
  <c r="O5124" i="1"/>
  <c r="E5124" i="1"/>
  <c r="B5124" i="1"/>
  <c r="O5123" i="1"/>
  <c r="E5123" i="1"/>
  <c r="B5123" i="1"/>
  <c r="O5122" i="1"/>
  <c r="E5122" i="1"/>
  <c r="B5122" i="1"/>
  <c r="O5121" i="1"/>
  <c r="E5121" i="1"/>
  <c r="B5121" i="1"/>
  <c r="O5120" i="1"/>
  <c r="E5120" i="1"/>
  <c r="B5120" i="1"/>
  <c r="O5119" i="1"/>
  <c r="E5119" i="1"/>
  <c r="B5119" i="1"/>
  <c r="O5118" i="1"/>
  <c r="E5118" i="1"/>
  <c r="B5118" i="1"/>
  <c r="O5117" i="1"/>
  <c r="E5117" i="1"/>
  <c r="B5117" i="1"/>
  <c r="O5116" i="1"/>
  <c r="E5116" i="1"/>
  <c r="B5116" i="1"/>
  <c r="O5115" i="1"/>
  <c r="E5115" i="1"/>
  <c r="B5115" i="1"/>
  <c r="O5114" i="1"/>
  <c r="E5114" i="1"/>
  <c r="B5114" i="1"/>
  <c r="O5113" i="1"/>
  <c r="E5113" i="1"/>
  <c r="B5113" i="1"/>
  <c r="O5112" i="1"/>
  <c r="E5112" i="1"/>
  <c r="B5112" i="1"/>
  <c r="O5111" i="1"/>
  <c r="E5111" i="1"/>
  <c r="B5111" i="1"/>
  <c r="O5110" i="1"/>
  <c r="E5110" i="1"/>
  <c r="B5110" i="1"/>
  <c r="O5109" i="1"/>
  <c r="E5109" i="1"/>
  <c r="B5109" i="1"/>
  <c r="O5108" i="1"/>
  <c r="E5108" i="1"/>
  <c r="B5108" i="1"/>
  <c r="O5107" i="1"/>
  <c r="E5107" i="1"/>
  <c r="B5107" i="1"/>
  <c r="O5106" i="1"/>
  <c r="E5106" i="1"/>
  <c r="B5106" i="1"/>
  <c r="O5105" i="1"/>
  <c r="E5105" i="1"/>
  <c r="B5105" i="1"/>
  <c r="O5104" i="1"/>
  <c r="E5104" i="1"/>
  <c r="B5104" i="1"/>
  <c r="O5103" i="1"/>
  <c r="E5103" i="1"/>
  <c r="B5103" i="1"/>
  <c r="O5102" i="1"/>
  <c r="E5102" i="1"/>
  <c r="B5102" i="1"/>
  <c r="O5101" i="1"/>
  <c r="E5101" i="1"/>
  <c r="B5101" i="1"/>
  <c r="O5100" i="1"/>
  <c r="E5100" i="1"/>
  <c r="B5100" i="1"/>
  <c r="O5099" i="1"/>
  <c r="E5099" i="1"/>
  <c r="B5099" i="1"/>
  <c r="O5098" i="1"/>
  <c r="E5098" i="1"/>
  <c r="B5098" i="1"/>
  <c r="O5097" i="1"/>
  <c r="E5097" i="1"/>
  <c r="B5097" i="1"/>
  <c r="O5096" i="1"/>
  <c r="E5096" i="1"/>
  <c r="B5096" i="1"/>
  <c r="O5095" i="1"/>
  <c r="E5095" i="1"/>
  <c r="B5095" i="1"/>
  <c r="O5094" i="1"/>
  <c r="E5094" i="1"/>
  <c r="B5094" i="1"/>
  <c r="O5093" i="1"/>
  <c r="E5093" i="1"/>
  <c r="B5093" i="1"/>
  <c r="O5092" i="1"/>
  <c r="E5092" i="1"/>
  <c r="B5092" i="1"/>
  <c r="O5091" i="1"/>
  <c r="E5091" i="1"/>
  <c r="B5091" i="1"/>
  <c r="O5090" i="1"/>
  <c r="E5090" i="1"/>
  <c r="B5090" i="1"/>
  <c r="O5089" i="1"/>
  <c r="E5089" i="1"/>
  <c r="B5089" i="1"/>
  <c r="O5088" i="1"/>
  <c r="E5088" i="1"/>
  <c r="B5088" i="1"/>
  <c r="O5087" i="1"/>
  <c r="E5087" i="1"/>
  <c r="B5087" i="1"/>
  <c r="O5086" i="1"/>
  <c r="E5086" i="1"/>
  <c r="B5086" i="1"/>
  <c r="O5085" i="1"/>
  <c r="E5085" i="1"/>
  <c r="B5085" i="1"/>
  <c r="O5084" i="1"/>
  <c r="E5084" i="1"/>
  <c r="B5084" i="1"/>
  <c r="O5083" i="1"/>
  <c r="E5083" i="1"/>
  <c r="B5083" i="1"/>
  <c r="O5082" i="1"/>
  <c r="E5082" i="1"/>
  <c r="B5082" i="1"/>
  <c r="O5081" i="1"/>
  <c r="E5081" i="1"/>
  <c r="B5081" i="1"/>
  <c r="O5080" i="1"/>
  <c r="E5080" i="1"/>
  <c r="B5080" i="1"/>
  <c r="O5079" i="1"/>
  <c r="E5079" i="1"/>
  <c r="B5079" i="1"/>
  <c r="O5078" i="1"/>
  <c r="E5078" i="1"/>
  <c r="B5078" i="1"/>
  <c r="O5077" i="1"/>
  <c r="E5077" i="1"/>
  <c r="B5077" i="1"/>
  <c r="O5076" i="1"/>
  <c r="E5076" i="1"/>
  <c r="B5076" i="1"/>
  <c r="O5075" i="1"/>
  <c r="E5075" i="1"/>
  <c r="B5075" i="1"/>
  <c r="O5074" i="1"/>
  <c r="E5074" i="1"/>
  <c r="B5074" i="1"/>
  <c r="O5073" i="1"/>
  <c r="E5073" i="1"/>
  <c r="B5073" i="1"/>
  <c r="O5072" i="1"/>
  <c r="E5072" i="1"/>
  <c r="B5072" i="1"/>
  <c r="O5071" i="1"/>
  <c r="E5071" i="1"/>
  <c r="B5071" i="1"/>
  <c r="O5070" i="1"/>
  <c r="E5070" i="1"/>
  <c r="B5070" i="1"/>
  <c r="O5069" i="1"/>
  <c r="E5069" i="1"/>
  <c r="B5069" i="1"/>
  <c r="O5068" i="1"/>
  <c r="E5068" i="1"/>
  <c r="B5068" i="1"/>
  <c r="O5067" i="1"/>
  <c r="E5067" i="1"/>
  <c r="B5067" i="1"/>
  <c r="O5066" i="1"/>
  <c r="E5066" i="1"/>
  <c r="B5066" i="1"/>
  <c r="O5065" i="1"/>
  <c r="E5065" i="1"/>
  <c r="B5065" i="1"/>
  <c r="O5064" i="1"/>
  <c r="E5064" i="1"/>
  <c r="B5064" i="1"/>
  <c r="O5063" i="1"/>
  <c r="E5063" i="1"/>
  <c r="B5063" i="1"/>
  <c r="O5062" i="1"/>
  <c r="E5062" i="1"/>
  <c r="B5062" i="1"/>
  <c r="O5061" i="1"/>
  <c r="E5061" i="1"/>
  <c r="B5061" i="1"/>
  <c r="O5060" i="1"/>
  <c r="E5060" i="1"/>
  <c r="B5060" i="1"/>
  <c r="O5059" i="1"/>
  <c r="E5059" i="1"/>
  <c r="B5059" i="1"/>
  <c r="O5058" i="1"/>
  <c r="E5058" i="1"/>
  <c r="B5058" i="1"/>
  <c r="O5057" i="1"/>
  <c r="E5057" i="1"/>
  <c r="B5057" i="1"/>
  <c r="O5056" i="1"/>
  <c r="E5056" i="1"/>
  <c r="B5056" i="1"/>
  <c r="O5055" i="1"/>
  <c r="E5055" i="1"/>
  <c r="B5055" i="1"/>
  <c r="O5054" i="1"/>
  <c r="E5054" i="1"/>
  <c r="B5054" i="1"/>
  <c r="O5053" i="1"/>
  <c r="E5053" i="1"/>
  <c r="B5053" i="1"/>
  <c r="O5052" i="1"/>
  <c r="E5052" i="1"/>
  <c r="B5052" i="1"/>
  <c r="O5051" i="1"/>
  <c r="E5051" i="1"/>
  <c r="B5051" i="1"/>
  <c r="O5050" i="1"/>
  <c r="E5050" i="1"/>
  <c r="B5050" i="1"/>
  <c r="O5049" i="1"/>
  <c r="E5049" i="1"/>
  <c r="B5049" i="1"/>
  <c r="O5048" i="1"/>
  <c r="E5048" i="1"/>
  <c r="B5048" i="1"/>
  <c r="O5047" i="1"/>
  <c r="E5047" i="1"/>
  <c r="B5047" i="1"/>
  <c r="O5046" i="1"/>
  <c r="E5046" i="1"/>
  <c r="B5046" i="1"/>
  <c r="O5045" i="1"/>
  <c r="E5045" i="1"/>
  <c r="B5045" i="1"/>
  <c r="O5044" i="1"/>
  <c r="E5044" i="1"/>
  <c r="B5044" i="1"/>
  <c r="O5043" i="1"/>
  <c r="E5043" i="1"/>
  <c r="B5043" i="1"/>
  <c r="O5042" i="1"/>
  <c r="E5042" i="1"/>
  <c r="B5042" i="1"/>
  <c r="O5041" i="1"/>
  <c r="E5041" i="1"/>
  <c r="B5041" i="1"/>
  <c r="O5040" i="1"/>
  <c r="E5040" i="1"/>
  <c r="B5040" i="1"/>
  <c r="O5039" i="1"/>
  <c r="E5039" i="1"/>
  <c r="B5039" i="1"/>
  <c r="O5038" i="1"/>
  <c r="E5038" i="1"/>
  <c r="B5038" i="1"/>
  <c r="O5037" i="1"/>
  <c r="E5037" i="1"/>
  <c r="B5037" i="1"/>
  <c r="O5036" i="1"/>
  <c r="E5036" i="1"/>
  <c r="B5036" i="1"/>
  <c r="O5035" i="1"/>
  <c r="E5035" i="1"/>
  <c r="B5035" i="1"/>
  <c r="O5034" i="1"/>
  <c r="E5034" i="1"/>
  <c r="B5034" i="1"/>
  <c r="O5033" i="1"/>
  <c r="E5033" i="1"/>
  <c r="B5033" i="1"/>
  <c r="O5032" i="1"/>
  <c r="E5032" i="1"/>
  <c r="B5032" i="1"/>
  <c r="O5031" i="1"/>
  <c r="E5031" i="1"/>
  <c r="B5031" i="1"/>
  <c r="O5030" i="1"/>
  <c r="E5030" i="1"/>
  <c r="B5030" i="1"/>
  <c r="O5029" i="1"/>
  <c r="E5029" i="1"/>
  <c r="B5029" i="1"/>
  <c r="O5028" i="1"/>
  <c r="E5028" i="1"/>
  <c r="B5028" i="1"/>
  <c r="O5027" i="1"/>
  <c r="E5027" i="1"/>
  <c r="B5027" i="1"/>
  <c r="O5026" i="1"/>
  <c r="E5026" i="1"/>
  <c r="B5026" i="1"/>
  <c r="O5025" i="1"/>
  <c r="E5025" i="1"/>
  <c r="B5025" i="1"/>
  <c r="O5024" i="1"/>
  <c r="E5024" i="1"/>
  <c r="B5024" i="1"/>
  <c r="O5023" i="1"/>
  <c r="E5023" i="1"/>
  <c r="B5023" i="1"/>
  <c r="O5022" i="1"/>
  <c r="E5022" i="1"/>
  <c r="B5022" i="1"/>
  <c r="O5021" i="1"/>
  <c r="E5021" i="1"/>
  <c r="B5021" i="1"/>
  <c r="O5020" i="1"/>
  <c r="E5020" i="1"/>
  <c r="B5020" i="1"/>
  <c r="O5019" i="1"/>
  <c r="E5019" i="1"/>
  <c r="B5019" i="1"/>
  <c r="O5018" i="1"/>
  <c r="E5018" i="1"/>
  <c r="B5018" i="1"/>
  <c r="O5017" i="1"/>
  <c r="E5017" i="1"/>
  <c r="B5017" i="1"/>
  <c r="O5016" i="1"/>
  <c r="E5016" i="1"/>
  <c r="B5016" i="1"/>
  <c r="O5015" i="1"/>
  <c r="E5015" i="1"/>
  <c r="B5015" i="1"/>
  <c r="O5014" i="1"/>
  <c r="E5014" i="1"/>
  <c r="B5014" i="1"/>
  <c r="O5013" i="1"/>
  <c r="E5013" i="1"/>
  <c r="B5013" i="1"/>
  <c r="O5012" i="1"/>
  <c r="E5012" i="1"/>
  <c r="B5012" i="1"/>
  <c r="O5011" i="1"/>
  <c r="E5011" i="1"/>
  <c r="B5011" i="1"/>
  <c r="O5010" i="1"/>
  <c r="E5010" i="1"/>
  <c r="B5010" i="1"/>
  <c r="O5009" i="1"/>
  <c r="E5009" i="1"/>
  <c r="B5009" i="1"/>
  <c r="O5008" i="1"/>
  <c r="E5008" i="1"/>
  <c r="B5008" i="1"/>
  <c r="O5007" i="1"/>
  <c r="E5007" i="1"/>
  <c r="B5007" i="1"/>
  <c r="O5006" i="1"/>
  <c r="E5006" i="1"/>
  <c r="B5006" i="1"/>
  <c r="O5005" i="1"/>
  <c r="E5005" i="1"/>
  <c r="B5005" i="1"/>
  <c r="O5004" i="1"/>
  <c r="E5004" i="1"/>
  <c r="B5004" i="1"/>
  <c r="O5003" i="1"/>
  <c r="E5003" i="1"/>
  <c r="B5003" i="1"/>
  <c r="O5002" i="1"/>
  <c r="E5002" i="1"/>
  <c r="B5002" i="1"/>
  <c r="O5001" i="1"/>
  <c r="E5001" i="1"/>
  <c r="B5001" i="1"/>
  <c r="O5000" i="1"/>
  <c r="E5000" i="1"/>
  <c r="B5000" i="1"/>
  <c r="O4999" i="1"/>
  <c r="E4999" i="1"/>
  <c r="B4999" i="1"/>
  <c r="O4998" i="1"/>
  <c r="E4998" i="1"/>
  <c r="B4998" i="1"/>
  <c r="O4997" i="1"/>
  <c r="E4997" i="1"/>
  <c r="B4997" i="1"/>
  <c r="O4996" i="1"/>
  <c r="E4996" i="1"/>
  <c r="B4996" i="1"/>
  <c r="O4995" i="1"/>
  <c r="E4995" i="1"/>
  <c r="B4995" i="1"/>
  <c r="O4994" i="1"/>
  <c r="E4994" i="1"/>
  <c r="B4994" i="1"/>
  <c r="O4993" i="1"/>
  <c r="E4993" i="1"/>
  <c r="B4993" i="1"/>
  <c r="O4992" i="1"/>
  <c r="E4992" i="1"/>
  <c r="B4992" i="1"/>
  <c r="O4991" i="1"/>
  <c r="E4991" i="1"/>
  <c r="B4991" i="1"/>
  <c r="O4990" i="1"/>
  <c r="E4990" i="1"/>
  <c r="B4990" i="1"/>
  <c r="O4989" i="1"/>
  <c r="E4989" i="1"/>
  <c r="B4989" i="1"/>
  <c r="O4988" i="1"/>
  <c r="E4988" i="1"/>
  <c r="B4988" i="1"/>
  <c r="O4987" i="1"/>
  <c r="E4987" i="1"/>
  <c r="B4987" i="1"/>
  <c r="O4986" i="1"/>
  <c r="E4986" i="1"/>
  <c r="B4986" i="1"/>
  <c r="O4985" i="1"/>
  <c r="E4985" i="1"/>
  <c r="B4985" i="1"/>
  <c r="O4984" i="1"/>
  <c r="E4984" i="1"/>
  <c r="B4984" i="1"/>
  <c r="O4983" i="1"/>
  <c r="E4983" i="1"/>
  <c r="B4983" i="1"/>
  <c r="O4982" i="1"/>
  <c r="E4982" i="1"/>
  <c r="B4982" i="1"/>
  <c r="O4981" i="1"/>
  <c r="E4981" i="1"/>
  <c r="B4981" i="1"/>
  <c r="O4980" i="1"/>
  <c r="E4980" i="1"/>
  <c r="B4980" i="1"/>
  <c r="O4979" i="1"/>
  <c r="E4979" i="1"/>
  <c r="B4979" i="1"/>
  <c r="O4978" i="1"/>
  <c r="E4978" i="1"/>
  <c r="B4978" i="1"/>
  <c r="O4977" i="1"/>
  <c r="E4977" i="1"/>
  <c r="B4977" i="1"/>
  <c r="O4976" i="1"/>
  <c r="E4976" i="1"/>
  <c r="B4976" i="1"/>
  <c r="O4975" i="1"/>
  <c r="E4975" i="1"/>
  <c r="B4975" i="1"/>
  <c r="O4974" i="1"/>
  <c r="E4974" i="1"/>
  <c r="B4974" i="1"/>
  <c r="O4973" i="1"/>
  <c r="E4973" i="1"/>
  <c r="B4973" i="1"/>
  <c r="O4972" i="1"/>
  <c r="E4972" i="1"/>
  <c r="B4972" i="1"/>
  <c r="O4971" i="1"/>
  <c r="E4971" i="1"/>
  <c r="B4971" i="1"/>
  <c r="O4970" i="1"/>
  <c r="E4970" i="1"/>
  <c r="B4970" i="1"/>
  <c r="O4969" i="1"/>
  <c r="E4969" i="1"/>
  <c r="B4969" i="1"/>
  <c r="O4968" i="1"/>
  <c r="E4968" i="1"/>
  <c r="B4968" i="1"/>
  <c r="O4967" i="1"/>
  <c r="E4967" i="1"/>
  <c r="B4967" i="1"/>
  <c r="O4966" i="1"/>
  <c r="E4966" i="1"/>
  <c r="B4966" i="1"/>
  <c r="O4965" i="1"/>
  <c r="E4965" i="1"/>
  <c r="B4965" i="1"/>
  <c r="O4964" i="1"/>
  <c r="E4964" i="1"/>
  <c r="B4964" i="1"/>
  <c r="O4963" i="1"/>
  <c r="E4963" i="1"/>
  <c r="B4963" i="1"/>
  <c r="O4962" i="1"/>
  <c r="E4962" i="1"/>
  <c r="B4962" i="1"/>
  <c r="O4961" i="1"/>
  <c r="E4961" i="1"/>
  <c r="B4961" i="1"/>
  <c r="O4960" i="1"/>
  <c r="E4960" i="1"/>
  <c r="B4960" i="1"/>
  <c r="O4959" i="1"/>
  <c r="E4959" i="1"/>
  <c r="B4959" i="1"/>
  <c r="O4958" i="1"/>
  <c r="E4958" i="1"/>
  <c r="B4958" i="1"/>
  <c r="O4957" i="1"/>
  <c r="E4957" i="1"/>
  <c r="B4957" i="1"/>
  <c r="O4956" i="1"/>
  <c r="E4956" i="1"/>
  <c r="B4956" i="1"/>
  <c r="O4955" i="1"/>
  <c r="E4955" i="1"/>
  <c r="B4955" i="1"/>
  <c r="O4954" i="1"/>
  <c r="E4954" i="1"/>
  <c r="B4954" i="1"/>
  <c r="O4953" i="1"/>
  <c r="E4953" i="1"/>
  <c r="B4953" i="1"/>
  <c r="O4952" i="1"/>
  <c r="E4952" i="1"/>
  <c r="B4952" i="1"/>
  <c r="O4951" i="1"/>
  <c r="E4951" i="1"/>
  <c r="B4951" i="1"/>
  <c r="O4950" i="1"/>
  <c r="E4950" i="1"/>
  <c r="B4950" i="1"/>
  <c r="O4949" i="1"/>
  <c r="E4949" i="1"/>
  <c r="B4949" i="1"/>
  <c r="O4948" i="1"/>
  <c r="E4948" i="1"/>
  <c r="B4948" i="1"/>
  <c r="O4947" i="1"/>
  <c r="E4947" i="1"/>
  <c r="B4947" i="1"/>
  <c r="O4946" i="1"/>
  <c r="E4946" i="1"/>
  <c r="B4946" i="1"/>
  <c r="O4945" i="1"/>
  <c r="E4945" i="1"/>
  <c r="B4945" i="1"/>
  <c r="O4944" i="1"/>
  <c r="E4944" i="1"/>
  <c r="B4944" i="1"/>
  <c r="O4943" i="1"/>
  <c r="E4943" i="1"/>
  <c r="B4943" i="1"/>
  <c r="O4942" i="1"/>
  <c r="E4942" i="1"/>
  <c r="B4942" i="1"/>
  <c r="O4941" i="1"/>
  <c r="E4941" i="1"/>
  <c r="B4941" i="1"/>
  <c r="O4940" i="1"/>
  <c r="E4940" i="1"/>
  <c r="B4940" i="1"/>
  <c r="O4939" i="1"/>
  <c r="E4939" i="1"/>
  <c r="B4939" i="1"/>
  <c r="O4938" i="1"/>
  <c r="E4938" i="1"/>
  <c r="B4938" i="1"/>
  <c r="O4937" i="1"/>
  <c r="E4937" i="1"/>
  <c r="B4937" i="1"/>
  <c r="O4936" i="1"/>
  <c r="E4936" i="1"/>
  <c r="B4936" i="1"/>
  <c r="O4935" i="1"/>
  <c r="E4935" i="1"/>
  <c r="B4935" i="1"/>
  <c r="O4934" i="1"/>
  <c r="E4934" i="1"/>
  <c r="B4934" i="1"/>
  <c r="O4933" i="1"/>
  <c r="E4933" i="1"/>
  <c r="B4933" i="1"/>
  <c r="O4932" i="1"/>
  <c r="E4932" i="1"/>
  <c r="B4932" i="1"/>
  <c r="O4931" i="1"/>
  <c r="E4931" i="1"/>
  <c r="B4931" i="1"/>
  <c r="O4930" i="1"/>
  <c r="E4930" i="1"/>
  <c r="B4930" i="1"/>
  <c r="O4929" i="1"/>
  <c r="E4929" i="1"/>
  <c r="B4929" i="1"/>
  <c r="O4928" i="1"/>
  <c r="E4928" i="1"/>
  <c r="B4928" i="1"/>
  <c r="O4927" i="1"/>
  <c r="E4927" i="1"/>
  <c r="B4927" i="1"/>
  <c r="O4926" i="1"/>
  <c r="E4926" i="1"/>
  <c r="B4926" i="1"/>
  <c r="O4925" i="1"/>
  <c r="E4925" i="1"/>
  <c r="B4925" i="1"/>
  <c r="O4924" i="1"/>
  <c r="E4924" i="1"/>
  <c r="B4924" i="1"/>
  <c r="O4923" i="1"/>
  <c r="E4923" i="1"/>
  <c r="B4923" i="1"/>
  <c r="O4922" i="1"/>
  <c r="E4922" i="1"/>
  <c r="B4922" i="1"/>
  <c r="O4921" i="1"/>
  <c r="E4921" i="1"/>
  <c r="B4921" i="1"/>
  <c r="O4920" i="1"/>
  <c r="E4920" i="1"/>
  <c r="B4920" i="1"/>
  <c r="O4919" i="1"/>
  <c r="E4919" i="1"/>
  <c r="B4919" i="1"/>
  <c r="O4918" i="1"/>
  <c r="E4918" i="1"/>
  <c r="B4918" i="1"/>
  <c r="O4917" i="1"/>
  <c r="E4917" i="1"/>
  <c r="B4917" i="1"/>
  <c r="O4916" i="1"/>
  <c r="E4916" i="1"/>
  <c r="B4916" i="1"/>
  <c r="O4915" i="1"/>
  <c r="E4915" i="1"/>
  <c r="B4915" i="1"/>
  <c r="O4914" i="1"/>
  <c r="E4914" i="1"/>
  <c r="B4914" i="1"/>
  <c r="O4913" i="1"/>
  <c r="E4913" i="1"/>
  <c r="B4913" i="1"/>
  <c r="O4912" i="1"/>
  <c r="E4912" i="1"/>
  <c r="B4912" i="1"/>
  <c r="O4911" i="1"/>
  <c r="E4911" i="1"/>
  <c r="B4911" i="1"/>
  <c r="O4910" i="1"/>
  <c r="E4910" i="1"/>
  <c r="B4910" i="1"/>
  <c r="O4909" i="1"/>
  <c r="E4909" i="1"/>
  <c r="B4909" i="1"/>
  <c r="O4908" i="1"/>
  <c r="E4908" i="1"/>
  <c r="B4908" i="1"/>
  <c r="O4907" i="1"/>
  <c r="E4907" i="1"/>
  <c r="B4907" i="1"/>
  <c r="O4906" i="1"/>
  <c r="E4906" i="1"/>
  <c r="B4906" i="1"/>
  <c r="O4905" i="1"/>
  <c r="E4905" i="1"/>
  <c r="B4905" i="1"/>
  <c r="O4904" i="1"/>
  <c r="E4904" i="1"/>
  <c r="B4904" i="1"/>
  <c r="O4903" i="1"/>
  <c r="E4903" i="1"/>
  <c r="B4903" i="1"/>
  <c r="O4902" i="1"/>
  <c r="E4902" i="1"/>
  <c r="B4902" i="1"/>
  <c r="O4901" i="1"/>
  <c r="E4901" i="1"/>
  <c r="B4901" i="1"/>
  <c r="O4900" i="1"/>
  <c r="E4900" i="1"/>
  <c r="B4900" i="1"/>
  <c r="O4899" i="1"/>
  <c r="E4899" i="1"/>
  <c r="B4899" i="1"/>
  <c r="O4898" i="1"/>
  <c r="E4898" i="1"/>
  <c r="B4898" i="1"/>
  <c r="O4897" i="1"/>
  <c r="E4897" i="1"/>
  <c r="B4897" i="1"/>
  <c r="O4896" i="1"/>
  <c r="E4896" i="1"/>
  <c r="B4896" i="1"/>
  <c r="O4895" i="1"/>
  <c r="E4895" i="1"/>
  <c r="B4895" i="1"/>
  <c r="O4894" i="1"/>
  <c r="E4894" i="1"/>
  <c r="B4894" i="1"/>
  <c r="O4893" i="1"/>
  <c r="E4893" i="1"/>
  <c r="B4893" i="1"/>
  <c r="O4892" i="1"/>
  <c r="E4892" i="1"/>
  <c r="B4892" i="1"/>
  <c r="O4891" i="1"/>
  <c r="E4891" i="1"/>
  <c r="B4891" i="1"/>
  <c r="O4890" i="1"/>
  <c r="E4890" i="1"/>
  <c r="B4890" i="1"/>
  <c r="O4889" i="1"/>
  <c r="E4889" i="1"/>
  <c r="B4889" i="1"/>
  <c r="O4888" i="1"/>
  <c r="E4888" i="1"/>
  <c r="B4888" i="1"/>
  <c r="O4887" i="1"/>
  <c r="E4887" i="1"/>
  <c r="B4887" i="1"/>
  <c r="O4886" i="1"/>
  <c r="E4886" i="1"/>
  <c r="B4886" i="1"/>
  <c r="O4885" i="1"/>
  <c r="E4885" i="1"/>
  <c r="B4885" i="1"/>
  <c r="O4884" i="1"/>
  <c r="E4884" i="1"/>
  <c r="B4884" i="1"/>
  <c r="O4883" i="1"/>
  <c r="E4883" i="1"/>
  <c r="B4883" i="1"/>
  <c r="O4882" i="1"/>
  <c r="E4882" i="1"/>
  <c r="B4882" i="1"/>
  <c r="O4881" i="1"/>
  <c r="E4881" i="1"/>
  <c r="B4881" i="1"/>
  <c r="O4880" i="1"/>
  <c r="E4880" i="1"/>
  <c r="B4880" i="1"/>
  <c r="O4879" i="1"/>
  <c r="E4879" i="1"/>
  <c r="B4879" i="1"/>
  <c r="O4878" i="1"/>
  <c r="E4878" i="1"/>
  <c r="B4878" i="1"/>
  <c r="O4877" i="1"/>
  <c r="E4877" i="1"/>
  <c r="B4877" i="1"/>
  <c r="O4876" i="1"/>
  <c r="E4876" i="1"/>
  <c r="B4876" i="1"/>
  <c r="O4875" i="1"/>
  <c r="E4875" i="1"/>
  <c r="B4875" i="1"/>
  <c r="O4874" i="1"/>
  <c r="E4874" i="1"/>
  <c r="B4874" i="1"/>
  <c r="O4873" i="1"/>
  <c r="E4873" i="1"/>
  <c r="B4873" i="1"/>
  <c r="O4872" i="1"/>
  <c r="E4872" i="1"/>
  <c r="B4872" i="1"/>
  <c r="O4871" i="1"/>
  <c r="E4871" i="1"/>
  <c r="B4871" i="1"/>
  <c r="O4870" i="1"/>
  <c r="E4870" i="1"/>
  <c r="B4870" i="1"/>
  <c r="O4869" i="1"/>
  <c r="E4869" i="1"/>
  <c r="B4869" i="1"/>
  <c r="O4868" i="1"/>
  <c r="E4868" i="1"/>
  <c r="B4868" i="1"/>
  <c r="O4867" i="1"/>
  <c r="E4867" i="1"/>
  <c r="B4867" i="1"/>
  <c r="O4866" i="1"/>
  <c r="E4866" i="1"/>
  <c r="B4866" i="1"/>
  <c r="O4865" i="1"/>
  <c r="E4865" i="1"/>
  <c r="B4865" i="1"/>
  <c r="O4864" i="1"/>
  <c r="E4864" i="1"/>
  <c r="B4864" i="1"/>
  <c r="O4863" i="1"/>
  <c r="E4863" i="1"/>
  <c r="B4863" i="1"/>
  <c r="O4862" i="1"/>
  <c r="E4862" i="1"/>
  <c r="B4862" i="1"/>
  <c r="O4861" i="1"/>
  <c r="E4861" i="1"/>
  <c r="B4861" i="1"/>
  <c r="O4860" i="1"/>
  <c r="E4860" i="1"/>
  <c r="B4860" i="1"/>
  <c r="O4859" i="1"/>
  <c r="E4859" i="1"/>
  <c r="B4859" i="1"/>
  <c r="O4858" i="1"/>
  <c r="E4858" i="1"/>
  <c r="B4858" i="1"/>
  <c r="O4857" i="1"/>
  <c r="E4857" i="1"/>
  <c r="B4857" i="1"/>
  <c r="O4856" i="1"/>
  <c r="E4856" i="1"/>
  <c r="B4856" i="1"/>
  <c r="O4855" i="1"/>
  <c r="E4855" i="1"/>
  <c r="B4855" i="1"/>
  <c r="O4854" i="1"/>
  <c r="E4854" i="1"/>
  <c r="B4854" i="1"/>
  <c r="O4853" i="1"/>
  <c r="E4853" i="1"/>
  <c r="B4853" i="1"/>
  <c r="O4852" i="1"/>
  <c r="E4852" i="1"/>
  <c r="B4852" i="1"/>
  <c r="O4851" i="1"/>
  <c r="E4851" i="1"/>
  <c r="B4851" i="1"/>
  <c r="O4850" i="1"/>
  <c r="E4850" i="1"/>
  <c r="B4850" i="1"/>
  <c r="O4849" i="1"/>
  <c r="E4849" i="1"/>
  <c r="B4849" i="1"/>
  <c r="O4848" i="1"/>
  <c r="E4848" i="1"/>
  <c r="B4848" i="1"/>
  <c r="O4847" i="1"/>
  <c r="E4847" i="1"/>
  <c r="B4847" i="1"/>
  <c r="O4846" i="1"/>
  <c r="E4846" i="1"/>
  <c r="B4846" i="1"/>
  <c r="O4845" i="1"/>
  <c r="E4845" i="1"/>
  <c r="B4845" i="1"/>
  <c r="O4844" i="1"/>
  <c r="E4844" i="1"/>
  <c r="B4844" i="1"/>
  <c r="O4843" i="1"/>
  <c r="E4843" i="1"/>
  <c r="B4843" i="1"/>
  <c r="O4842" i="1"/>
  <c r="E4842" i="1"/>
  <c r="B4842" i="1"/>
  <c r="O4841" i="1"/>
  <c r="E4841" i="1"/>
  <c r="B4841" i="1"/>
  <c r="O4840" i="1"/>
  <c r="E4840" i="1"/>
  <c r="B4840" i="1"/>
  <c r="O4839" i="1"/>
  <c r="E4839" i="1"/>
  <c r="B4839" i="1"/>
  <c r="O4838" i="1"/>
  <c r="E4838" i="1"/>
  <c r="B4838" i="1"/>
  <c r="O4837" i="1"/>
  <c r="E4837" i="1"/>
  <c r="B4837" i="1"/>
  <c r="O4836" i="1"/>
  <c r="E4836" i="1"/>
  <c r="B4836" i="1"/>
  <c r="O4835" i="1"/>
  <c r="E4835" i="1"/>
  <c r="B4835" i="1"/>
  <c r="O4834" i="1"/>
  <c r="E4834" i="1"/>
  <c r="B4834" i="1"/>
  <c r="O4833" i="1"/>
  <c r="E4833" i="1"/>
  <c r="B4833" i="1"/>
  <c r="O4832" i="1"/>
  <c r="E4832" i="1"/>
  <c r="B4832" i="1"/>
  <c r="O4831" i="1"/>
  <c r="E4831" i="1"/>
  <c r="B4831" i="1"/>
  <c r="O4830" i="1"/>
  <c r="E4830" i="1"/>
  <c r="B4830" i="1"/>
  <c r="O4829" i="1"/>
  <c r="E4829" i="1"/>
  <c r="B4829" i="1"/>
  <c r="O4828" i="1"/>
  <c r="E4828" i="1"/>
  <c r="B4828" i="1"/>
  <c r="O4827" i="1"/>
  <c r="E4827" i="1"/>
  <c r="B4827" i="1"/>
  <c r="O4826" i="1"/>
  <c r="E4826" i="1"/>
  <c r="B4826" i="1"/>
  <c r="O4825" i="1"/>
  <c r="E4825" i="1"/>
  <c r="B4825" i="1"/>
  <c r="O4824" i="1"/>
  <c r="E4824" i="1"/>
  <c r="B4824" i="1"/>
  <c r="O4823" i="1"/>
  <c r="E4823" i="1"/>
  <c r="B4823" i="1"/>
  <c r="O4822" i="1"/>
  <c r="E4822" i="1"/>
  <c r="B4822" i="1"/>
  <c r="O4821" i="1"/>
  <c r="E4821" i="1"/>
  <c r="B4821" i="1"/>
  <c r="O4820" i="1"/>
  <c r="E4820" i="1"/>
  <c r="B4820" i="1"/>
  <c r="O4819" i="1"/>
  <c r="E4819" i="1"/>
  <c r="B4819" i="1"/>
  <c r="O4818" i="1"/>
  <c r="E4818" i="1"/>
  <c r="B4818" i="1"/>
  <c r="O4817" i="1"/>
  <c r="E4817" i="1"/>
  <c r="B4817" i="1"/>
  <c r="O4816" i="1"/>
  <c r="E4816" i="1"/>
  <c r="B4816" i="1"/>
  <c r="O4815" i="1"/>
  <c r="E4815" i="1"/>
  <c r="B4815" i="1"/>
  <c r="O4814" i="1"/>
  <c r="E4814" i="1"/>
  <c r="B4814" i="1"/>
  <c r="O4813" i="1"/>
  <c r="E4813" i="1"/>
  <c r="B4813" i="1"/>
  <c r="O4812" i="1"/>
  <c r="E4812" i="1"/>
  <c r="B4812" i="1"/>
  <c r="O4811" i="1"/>
  <c r="E4811" i="1"/>
  <c r="B4811" i="1"/>
  <c r="O4810" i="1"/>
  <c r="E4810" i="1"/>
  <c r="B4810" i="1"/>
  <c r="O4809" i="1"/>
  <c r="E4809" i="1"/>
  <c r="B4809" i="1"/>
  <c r="O4808" i="1"/>
  <c r="E4808" i="1"/>
  <c r="B4808" i="1"/>
  <c r="O4807" i="1"/>
  <c r="E4807" i="1"/>
  <c r="B4807" i="1"/>
  <c r="O4806" i="1"/>
  <c r="E4806" i="1"/>
  <c r="B4806" i="1"/>
  <c r="O4805" i="1"/>
  <c r="E4805" i="1"/>
  <c r="B4805" i="1"/>
  <c r="O4804" i="1"/>
  <c r="E4804" i="1"/>
  <c r="B4804" i="1"/>
  <c r="O4803" i="1"/>
  <c r="E4803" i="1"/>
  <c r="B4803" i="1"/>
  <c r="O4802" i="1"/>
  <c r="E4802" i="1"/>
  <c r="B4802" i="1"/>
  <c r="O4801" i="1"/>
  <c r="E4801" i="1"/>
  <c r="B4801" i="1"/>
  <c r="O4800" i="1"/>
  <c r="E4800" i="1"/>
  <c r="B4800" i="1"/>
  <c r="O4799" i="1"/>
  <c r="E4799" i="1"/>
  <c r="B4799" i="1"/>
  <c r="O4798" i="1"/>
  <c r="E4798" i="1"/>
  <c r="B4798" i="1"/>
  <c r="O4797" i="1"/>
  <c r="E4797" i="1"/>
  <c r="B4797" i="1"/>
  <c r="O4796" i="1"/>
  <c r="E4796" i="1"/>
  <c r="B4796" i="1"/>
  <c r="O4795" i="1"/>
  <c r="E4795" i="1"/>
  <c r="B4795" i="1"/>
  <c r="O4794" i="1"/>
  <c r="E4794" i="1"/>
  <c r="B4794" i="1"/>
  <c r="O4793" i="1"/>
  <c r="E4793" i="1"/>
  <c r="B4793" i="1"/>
  <c r="O4792" i="1"/>
  <c r="E4792" i="1"/>
  <c r="B4792" i="1"/>
  <c r="O4791" i="1"/>
  <c r="E4791" i="1"/>
  <c r="B4791" i="1"/>
  <c r="O4790" i="1"/>
  <c r="E4790" i="1"/>
  <c r="B4790" i="1"/>
  <c r="O4789" i="1"/>
  <c r="E4789" i="1"/>
  <c r="B4789" i="1"/>
  <c r="O4788" i="1"/>
  <c r="E4788" i="1"/>
  <c r="B4788" i="1"/>
  <c r="O4787" i="1"/>
  <c r="E4787" i="1"/>
  <c r="B4787" i="1"/>
  <c r="O4786" i="1"/>
  <c r="E4786" i="1"/>
  <c r="B4786" i="1"/>
  <c r="O4785" i="1"/>
  <c r="E4785" i="1"/>
  <c r="B4785" i="1"/>
  <c r="O4784" i="1"/>
  <c r="E4784" i="1"/>
  <c r="B4784" i="1"/>
  <c r="O4783" i="1"/>
  <c r="E4783" i="1"/>
  <c r="B4783" i="1"/>
  <c r="O4782" i="1"/>
  <c r="E4782" i="1"/>
  <c r="B4782" i="1"/>
  <c r="O4781" i="1"/>
  <c r="E4781" i="1"/>
  <c r="B4781" i="1"/>
  <c r="O4780" i="1"/>
  <c r="E4780" i="1"/>
  <c r="B4780" i="1"/>
  <c r="O4779" i="1"/>
  <c r="E4779" i="1"/>
  <c r="B4779" i="1"/>
  <c r="O4778" i="1"/>
  <c r="E4778" i="1"/>
  <c r="B4778" i="1"/>
  <c r="O4777" i="1"/>
  <c r="E4777" i="1"/>
  <c r="B4777" i="1"/>
  <c r="O4776" i="1"/>
  <c r="E4776" i="1"/>
  <c r="B4776" i="1"/>
  <c r="O4775" i="1"/>
  <c r="E4775" i="1"/>
  <c r="B4775" i="1"/>
  <c r="O4774" i="1"/>
  <c r="E4774" i="1"/>
  <c r="B4774" i="1"/>
  <c r="O4773" i="1"/>
  <c r="E4773" i="1"/>
  <c r="B4773" i="1"/>
  <c r="O4772" i="1"/>
  <c r="E4772" i="1"/>
  <c r="B4772" i="1"/>
  <c r="O4771" i="1"/>
  <c r="E4771" i="1"/>
  <c r="B4771" i="1"/>
  <c r="O4770" i="1"/>
  <c r="E4770" i="1"/>
  <c r="B4770" i="1"/>
  <c r="O4769" i="1"/>
  <c r="E4769" i="1"/>
  <c r="B4769" i="1"/>
  <c r="O4768" i="1"/>
  <c r="E4768" i="1"/>
  <c r="B4768" i="1"/>
  <c r="O4767" i="1"/>
  <c r="E4767" i="1"/>
  <c r="B4767" i="1"/>
  <c r="O4766" i="1"/>
  <c r="E4766" i="1"/>
  <c r="B4766" i="1"/>
  <c r="O4765" i="1"/>
  <c r="E4765" i="1"/>
  <c r="B4765" i="1"/>
  <c r="O4764" i="1"/>
  <c r="E4764" i="1"/>
  <c r="B4764" i="1"/>
  <c r="O4763" i="1"/>
  <c r="E4763" i="1"/>
  <c r="B4763" i="1"/>
  <c r="O4762" i="1"/>
  <c r="E4762" i="1"/>
  <c r="B4762" i="1"/>
  <c r="O4761" i="1"/>
  <c r="E4761" i="1"/>
  <c r="B4761" i="1"/>
  <c r="O4760" i="1"/>
  <c r="E4760" i="1"/>
  <c r="B4760" i="1"/>
  <c r="O4759" i="1"/>
  <c r="E4759" i="1"/>
  <c r="B4759" i="1"/>
  <c r="O4758" i="1"/>
  <c r="E4758" i="1"/>
  <c r="B4758" i="1"/>
  <c r="O4757" i="1"/>
  <c r="E4757" i="1"/>
  <c r="B4757" i="1"/>
  <c r="O4756" i="1"/>
  <c r="E4756" i="1"/>
  <c r="B4756" i="1"/>
  <c r="O4755" i="1"/>
  <c r="E4755" i="1"/>
  <c r="B4755" i="1"/>
  <c r="O4754" i="1"/>
  <c r="E4754" i="1"/>
  <c r="B4754" i="1"/>
  <c r="O4753" i="1"/>
  <c r="E4753" i="1"/>
  <c r="B4753" i="1"/>
  <c r="O4752" i="1"/>
  <c r="E4752" i="1"/>
  <c r="B4752" i="1"/>
  <c r="O4751" i="1"/>
  <c r="E4751" i="1"/>
  <c r="B4751" i="1"/>
  <c r="O4750" i="1"/>
  <c r="E4750" i="1"/>
  <c r="B4750" i="1"/>
  <c r="O4749" i="1"/>
  <c r="E4749" i="1"/>
  <c r="B4749" i="1"/>
  <c r="O4748" i="1"/>
  <c r="E4748" i="1"/>
  <c r="B4748" i="1"/>
  <c r="O4747" i="1"/>
  <c r="E4747" i="1"/>
  <c r="B4747" i="1"/>
  <c r="O4746" i="1"/>
  <c r="E4746" i="1"/>
  <c r="B4746" i="1"/>
  <c r="O4745" i="1"/>
  <c r="E4745" i="1"/>
  <c r="B4745" i="1"/>
  <c r="O4744" i="1"/>
  <c r="E4744" i="1"/>
  <c r="B4744" i="1"/>
  <c r="O4743" i="1"/>
  <c r="E4743" i="1"/>
  <c r="B4743" i="1"/>
  <c r="O4742" i="1"/>
  <c r="E4742" i="1"/>
  <c r="B4742" i="1"/>
  <c r="O4741" i="1"/>
  <c r="E4741" i="1"/>
  <c r="B4741" i="1"/>
  <c r="O4740" i="1"/>
  <c r="E4740" i="1"/>
  <c r="B4740" i="1"/>
  <c r="O4739" i="1"/>
  <c r="E4739" i="1"/>
  <c r="B4739" i="1"/>
  <c r="O4738" i="1"/>
  <c r="E4738" i="1"/>
  <c r="B4738" i="1"/>
  <c r="O4737" i="1"/>
  <c r="E4737" i="1"/>
  <c r="B4737" i="1"/>
  <c r="O4736" i="1"/>
  <c r="E4736" i="1"/>
  <c r="B4736" i="1"/>
  <c r="O4735" i="1"/>
  <c r="E4735" i="1"/>
  <c r="B4735" i="1"/>
  <c r="O4734" i="1"/>
  <c r="E4734" i="1"/>
  <c r="B4734" i="1"/>
  <c r="O4733" i="1"/>
  <c r="E4733" i="1"/>
  <c r="B4733" i="1"/>
  <c r="O4732" i="1"/>
  <c r="E4732" i="1"/>
  <c r="B4732" i="1"/>
  <c r="O4731" i="1"/>
  <c r="E4731" i="1"/>
  <c r="B4731" i="1"/>
  <c r="O4730" i="1"/>
  <c r="E4730" i="1"/>
  <c r="B4730" i="1"/>
  <c r="O4729" i="1"/>
  <c r="E4729" i="1"/>
  <c r="B4729" i="1"/>
  <c r="O4728" i="1"/>
  <c r="E4728" i="1"/>
  <c r="B4728" i="1"/>
  <c r="O4727" i="1"/>
  <c r="E4727" i="1"/>
  <c r="B4727" i="1"/>
  <c r="O4726" i="1"/>
  <c r="E4726" i="1"/>
  <c r="B4726" i="1"/>
  <c r="O4725" i="1"/>
  <c r="E4725" i="1"/>
  <c r="B4725" i="1"/>
  <c r="O4724" i="1"/>
  <c r="E4724" i="1"/>
  <c r="B4724" i="1"/>
  <c r="O4723" i="1"/>
  <c r="E4723" i="1"/>
  <c r="B4723" i="1"/>
  <c r="O4722" i="1"/>
  <c r="E4722" i="1"/>
  <c r="B4722" i="1"/>
  <c r="O4721" i="1"/>
  <c r="E4721" i="1"/>
  <c r="B4721" i="1"/>
  <c r="O4720" i="1"/>
  <c r="E4720" i="1"/>
  <c r="B4720" i="1"/>
  <c r="O4719" i="1"/>
  <c r="E4719" i="1"/>
  <c r="B4719" i="1"/>
  <c r="O4718" i="1"/>
  <c r="E4718" i="1"/>
  <c r="B4718" i="1"/>
  <c r="O4717" i="1"/>
  <c r="E4717" i="1"/>
  <c r="B4717" i="1"/>
  <c r="O4716" i="1"/>
  <c r="E4716" i="1"/>
  <c r="B4716" i="1"/>
  <c r="O4715" i="1"/>
  <c r="E4715" i="1"/>
  <c r="B4715" i="1"/>
  <c r="O4714" i="1"/>
  <c r="E4714" i="1"/>
  <c r="B4714" i="1"/>
  <c r="O4713" i="1"/>
  <c r="E4713" i="1"/>
  <c r="B4713" i="1"/>
  <c r="O4712" i="1"/>
  <c r="E4712" i="1"/>
  <c r="B4712" i="1"/>
  <c r="O4711" i="1"/>
  <c r="E4711" i="1"/>
  <c r="B4711" i="1"/>
  <c r="O4710" i="1"/>
  <c r="E4710" i="1"/>
  <c r="B4710" i="1"/>
  <c r="O4709" i="1"/>
  <c r="E4709" i="1"/>
  <c r="B4709" i="1"/>
  <c r="O4708" i="1"/>
  <c r="E4708" i="1"/>
  <c r="B4708" i="1"/>
  <c r="O4707" i="1"/>
  <c r="E4707" i="1"/>
  <c r="B4707" i="1"/>
  <c r="O4706" i="1"/>
  <c r="E4706" i="1"/>
  <c r="B4706" i="1"/>
  <c r="O4705" i="1"/>
  <c r="E4705" i="1"/>
  <c r="B4705" i="1"/>
  <c r="O4704" i="1"/>
  <c r="E4704" i="1"/>
  <c r="B4704" i="1"/>
  <c r="O4703" i="1"/>
  <c r="E4703" i="1"/>
  <c r="B4703" i="1"/>
  <c r="O4702" i="1"/>
  <c r="E4702" i="1"/>
  <c r="B4702" i="1"/>
  <c r="O4701" i="1"/>
  <c r="E4701" i="1"/>
  <c r="B4701" i="1"/>
  <c r="O4700" i="1"/>
  <c r="E4700" i="1"/>
  <c r="B4700" i="1"/>
  <c r="O4699" i="1"/>
  <c r="E4699" i="1"/>
  <c r="B4699" i="1"/>
  <c r="O4698" i="1"/>
  <c r="E4698" i="1"/>
  <c r="B4698" i="1"/>
  <c r="O4697" i="1"/>
  <c r="E4697" i="1"/>
  <c r="B4697" i="1"/>
  <c r="O4696" i="1"/>
  <c r="E4696" i="1"/>
  <c r="B4696" i="1"/>
  <c r="O4695" i="1"/>
  <c r="E4695" i="1"/>
  <c r="B4695" i="1"/>
  <c r="O4694" i="1"/>
  <c r="E4694" i="1"/>
  <c r="B4694" i="1"/>
  <c r="O4693" i="1"/>
  <c r="E4693" i="1"/>
  <c r="B4693" i="1"/>
  <c r="O4692" i="1"/>
  <c r="E4692" i="1"/>
  <c r="B4692" i="1"/>
  <c r="O4691" i="1"/>
  <c r="E4691" i="1"/>
  <c r="B4691" i="1"/>
  <c r="O4690" i="1"/>
  <c r="E4690" i="1"/>
  <c r="B4690" i="1"/>
  <c r="O4689" i="1"/>
  <c r="E4689" i="1"/>
  <c r="B4689" i="1"/>
  <c r="O4688" i="1"/>
  <c r="E4688" i="1"/>
  <c r="B4688" i="1"/>
  <c r="O4687" i="1"/>
  <c r="E4687" i="1"/>
  <c r="B4687" i="1"/>
  <c r="O4686" i="1"/>
  <c r="E4686" i="1"/>
  <c r="B4686" i="1"/>
  <c r="O4685" i="1"/>
  <c r="E4685" i="1"/>
  <c r="B4685" i="1"/>
  <c r="O4684" i="1"/>
  <c r="E4684" i="1"/>
  <c r="B4684" i="1"/>
  <c r="O4683" i="1"/>
  <c r="E4683" i="1"/>
  <c r="B4683" i="1"/>
  <c r="O4682" i="1"/>
  <c r="E4682" i="1"/>
  <c r="B4682" i="1"/>
  <c r="O4681" i="1"/>
  <c r="E4681" i="1"/>
  <c r="B4681" i="1"/>
  <c r="O4680" i="1"/>
  <c r="E4680" i="1"/>
  <c r="B4680" i="1"/>
  <c r="O4679" i="1"/>
  <c r="E4679" i="1"/>
  <c r="B4679" i="1"/>
  <c r="O4678" i="1"/>
  <c r="E4678" i="1"/>
  <c r="B4678" i="1"/>
  <c r="O4677" i="1"/>
  <c r="E4677" i="1"/>
  <c r="B4677" i="1"/>
  <c r="O4676" i="1"/>
  <c r="E4676" i="1"/>
  <c r="B4676" i="1"/>
  <c r="O4675" i="1"/>
  <c r="E4675" i="1"/>
  <c r="B4675" i="1"/>
  <c r="O4674" i="1"/>
  <c r="E4674" i="1"/>
  <c r="B4674" i="1"/>
  <c r="O4673" i="1"/>
  <c r="E4673" i="1"/>
  <c r="B4673" i="1"/>
  <c r="O4672" i="1"/>
  <c r="E4672" i="1"/>
  <c r="B4672" i="1"/>
  <c r="O4671" i="1"/>
  <c r="E4671" i="1"/>
  <c r="B4671" i="1"/>
  <c r="O4670" i="1"/>
  <c r="E4670" i="1"/>
  <c r="B4670" i="1"/>
  <c r="O4669" i="1"/>
  <c r="E4669" i="1"/>
  <c r="B4669" i="1"/>
  <c r="O4668" i="1"/>
  <c r="E4668" i="1"/>
  <c r="B4668" i="1"/>
  <c r="O4667" i="1"/>
  <c r="E4667" i="1"/>
  <c r="B4667" i="1"/>
  <c r="O4666" i="1"/>
  <c r="E4666" i="1"/>
  <c r="B4666" i="1"/>
  <c r="O4665" i="1"/>
  <c r="E4665" i="1"/>
  <c r="B4665" i="1"/>
  <c r="O4664" i="1"/>
  <c r="E4664" i="1"/>
  <c r="B4664" i="1"/>
  <c r="O4663" i="1"/>
  <c r="E4663" i="1"/>
  <c r="B4663" i="1"/>
  <c r="O4662" i="1"/>
  <c r="E4662" i="1"/>
  <c r="B4662" i="1"/>
  <c r="O4661" i="1"/>
  <c r="E4661" i="1"/>
  <c r="B4661" i="1"/>
  <c r="O4660" i="1"/>
  <c r="E4660" i="1"/>
  <c r="B4660" i="1"/>
  <c r="O4659" i="1"/>
  <c r="E4659" i="1"/>
  <c r="B4659" i="1"/>
  <c r="O4658" i="1"/>
  <c r="E4658" i="1"/>
  <c r="B4658" i="1"/>
  <c r="O4657" i="1"/>
  <c r="E4657" i="1"/>
  <c r="B4657" i="1"/>
  <c r="O4656" i="1"/>
  <c r="E4656" i="1"/>
  <c r="B4656" i="1"/>
  <c r="O4655" i="1"/>
  <c r="E4655" i="1"/>
  <c r="B4655" i="1"/>
  <c r="O4654" i="1"/>
  <c r="E4654" i="1"/>
  <c r="B4654" i="1"/>
  <c r="O4653" i="1"/>
  <c r="E4653" i="1"/>
  <c r="B4653" i="1"/>
  <c r="O4652" i="1"/>
  <c r="E4652" i="1"/>
  <c r="B4652" i="1"/>
  <c r="O4651" i="1"/>
  <c r="E4651" i="1"/>
  <c r="B4651" i="1"/>
  <c r="O4650" i="1"/>
  <c r="E4650" i="1"/>
  <c r="B4650" i="1"/>
  <c r="O4649" i="1"/>
  <c r="E4649" i="1"/>
  <c r="B4649" i="1"/>
  <c r="O4648" i="1"/>
  <c r="E4648" i="1"/>
  <c r="B4648" i="1"/>
  <c r="O4647" i="1"/>
  <c r="E4647" i="1"/>
  <c r="B4647" i="1"/>
  <c r="O4646" i="1"/>
  <c r="E4646" i="1"/>
  <c r="B4646" i="1"/>
  <c r="O4645" i="1"/>
  <c r="E4645" i="1"/>
  <c r="B4645" i="1"/>
  <c r="O4644" i="1"/>
  <c r="E4644" i="1"/>
  <c r="B4644" i="1"/>
  <c r="O4643" i="1"/>
  <c r="E4643" i="1"/>
  <c r="B4643" i="1"/>
  <c r="O4642" i="1"/>
  <c r="E4642" i="1"/>
  <c r="B4642" i="1"/>
  <c r="O4641" i="1"/>
  <c r="E4641" i="1"/>
  <c r="B4641" i="1"/>
  <c r="O4640" i="1"/>
  <c r="E4640" i="1"/>
  <c r="B4640" i="1"/>
  <c r="O4639" i="1"/>
  <c r="E4639" i="1"/>
  <c r="B4639" i="1"/>
  <c r="O4638" i="1"/>
  <c r="E4638" i="1"/>
  <c r="B4638" i="1"/>
  <c r="O4637" i="1"/>
  <c r="E4637" i="1"/>
  <c r="B4637" i="1"/>
  <c r="O4636" i="1"/>
  <c r="E4636" i="1"/>
  <c r="B4636" i="1"/>
  <c r="O4635" i="1"/>
  <c r="E4635" i="1"/>
  <c r="B4635" i="1"/>
  <c r="O4634" i="1"/>
  <c r="E4634" i="1"/>
  <c r="B4634" i="1"/>
  <c r="O4633" i="1"/>
  <c r="E4633" i="1"/>
  <c r="B4633" i="1"/>
  <c r="O4632" i="1"/>
  <c r="E4632" i="1"/>
  <c r="B4632" i="1"/>
  <c r="O4631" i="1"/>
  <c r="E4631" i="1"/>
  <c r="B4631" i="1"/>
  <c r="O4630" i="1"/>
  <c r="E4630" i="1"/>
  <c r="B4630" i="1"/>
  <c r="O4629" i="1"/>
  <c r="E4629" i="1"/>
  <c r="B4629" i="1"/>
  <c r="O4628" i="1"/>
  <c r="E4628" i="1"/>
  <c r="B4628" i="1"/>
  <c r="O4627" i="1"/>
  <c r="E4627" i="1"/>
  <c r="B4627" i="1"/>
  <c r="O4626" i="1"/>
  <c r="E4626" i="1"/>
  <c r="B4626" i="1"/>
  <c r="O4625" i="1"/>
  <c r="E4625" i="1"/>
  <c r="B4625" i="1"/>
  <c r="O4624" i="1"/>
  <c r="E4624" i="1"/>
  <c r="B4624" i="1"/>
  <c r="O4623" i="1"/>
  <c r="E4623" i="1"/>
  <c r="B4623" i="1"/>
  <c r="O4622" i="1"/>
  <c r="E4622" i="1"/>
  <c r="B4622" i="1"/>
  <c r="O4621" i="1"/>
  <c r="E4621" i="1"/>
  <c r="B4621" i="1"/>
  <c r="O4620" i="1"/>
  <c r="E4620" i="1"/>
  <c r="B4620" i="1"/>
  <c r="O4619" i="1"/>
  <c r="E4619" i="1"/>
  <c r="B4619" i="1"/>
  <c r="O4618" i="1"/>
  <c r="E4618" i="1"/>
  <c r="B4618" i="1"/>
  <c r="O4617" i="1"/>
  <c r="E4617" i="1"/>
  <c r="B4617" i="1"/>
  <c r="O4616" i="1"/>
  <c r="E4616" i="1"/>
  <c r="B4616" i="1"/>
  <c r="O4615" i="1"/>
  <c r="E4615" i="1"/>
  <c r="B4615" i="1"/>
  <c r="O4614" i="1"/>
  <c r="E4614" i="1"/>
  <c r="B4614" i="1"/>
  <c r="O4613" i="1"/>
  <c r="E4613" i="1"/>
  <c r="B4613" i="1"/>
  <c r="O4612" i="1"/>
  <c r="E4612" i="1"/>
  <c r="B4612" i="1"/>
  <c r="O4611" i="1"/>
  <c r="E4611" i="1"/>
  <c r="B4611" i="1"/>
  <c r="O4610" i="1"/>
  <c r="E4610" i="1"/>
  <c r="B4610" i="1"/>
  <c r="O4609" i="1"/>
  <c r="E4609" i="1"/>
  <c r="B4609" i="1"/>
  <c r="O4608" i="1"/>
  <c r="E4608" i="1"/>
  <c r="B4608" i="1"/>
  <c r="O4607" i="1"/>
  <c r="E4607" i="1"/>
  <c r="B4607" i="1"/>
  <c r="O4606" i="1"/>
  <c r="E4606" i="1"/>
  <c r="B4606" i="1"/>
  <c r="O4605" i="1"/>
  <c r="E4605" i="1"/>
  <c r="B4605" i="1"/>
  <c r="O4604" i="1"/>
  <c r="E4604" i="1"/>
  <c r="B4604" i="1"/>
  <c r="O4603" i="1"/>
  <c r="E4603" i="1"/>
  <c r="B4603" i="1"/>
  <c r="O4602" i="1"/>
  <c r="E4602" i="1"/>
  <c r="B4602" i="1"/>
  <c r="O4601" i="1"/>
  <c r="E4601" i="1"/>
  <c r="B4601" i="1"/>
  <c r="O4600" i="1"/>
  <c r="E4600" i="1"/>
  <c r="B4600" i="1"/>
  <c r="O4599" i="1"/>
  <c r="E4599" i="1"/>
  <c r="B4599" i="1"/>
  <c r="O4598" i="1"/>
  <c r="E4598" i="1"/>
  <c r="B4598" i="1"/>
  <c r="O4597" i="1"/>
  <c r="E4597" i="1"/>
  <c r="B4597" i="1"/>
  <c r="O4596" i="1"/>
  <c r="E4596" i="1"/>
  <c r="B4596" i="1"/>
  <c r="O4595" i="1"/>
  <c r="E4595" i="1"/>
  <c r="B4595" i="1"/>
  <c r="O4594" i="1"/>
  <c r="E4594" i="1"/>
  <c r="B4594" i="1"/>
  <c r="O4593" i="1"/>
  <c r="E4593" i="1"/>
  <c r="B4593" i="1"/>
  <c r="O4592" i="1"/>
  <c r="E4592" i="1"/>
  <c r="B4592" i="1"/>
  <c r="O4591" i="1"/>
  <c r="E4591" i="1"/>
  <c r="B4591" i="1"/>
  <c r="O4590" i="1"/>
  <c r="E4590" i="1"/>
  <c r="B4590" i="1"/>
  <c r="O4589" i="1"/>
  <c r="E4589" i="1"/>
  <c r="B4589" i="1"/>
  <c r="O4588" i="1"/>
  <c r="E4588" i="1"/>
  <c r="B4588" i="1"/>
  <c r="O4587" i="1"/>
  <c r="E4587" i="1"/>
  <c r="B4587" i="1"/>
  <c r="O4586" i="1"/>
  <c r="E4586" i="1"/>
  <c r="B4586" i="1"/>
  <c r="O4585" i="1"/>
  <c r="E4585" i="1"/>
  <c r="B4585" i="1"/>
  <c r="O4584" i="1"/>
  <c r="E4584" i="1"/>
  <c r="B4584" i="1"/>
  <c r="O4583" i="1"/>
  <c r="E4583" i="1"/>
  <c r="B4583" i="1"/>
  <c r="O4582" i="1"/>
  <c r="E4582" i="1"/>
  <c r="B4582" i="1"/>
  <c r="O4581" i="1"/>
  <c r="E4581" i="1"/>
  <c r="B4581" i="1"/>
  <c r="O4580" i="1"/>
  <c r="E4580" i="1"/>
  <c r="B4580" i="1"/>
  <c r="O4579" i="1"/>
  <c r="E4579" i="1"/>
  <c r="B4579" i="1"/>
  <c r="O4578" i="1"/>
  <c r="E4578" i="1"/>
  <c r="B4578" i="1"/>
  <c r="O4577" i="1"/>
  <c r="E4577" i="1"/>
  <c r="B4577" i="1"/>
  <c r="O4576" i="1"/>
  <c r="E4576" i="1"/>
  <c r="B4576" i="1"/>
  <c r="O4575" i="1"/>
  <c r="E4575" i="1"/>
  <c r="B4575" i="1"/>
  <c r="O4574" i="1"/>
  <c r="E4574" i="1"/>
  <c r="B4574" i="1"/>
  <c r="O4573" i="1"/>
  <c r="E4573" i="1"/>
  <c r="B4573" i="1"/>
  <c r="O4572" i="1"/>
  <c r="E4572" i="1"/>
  <c r="B4572" i="1"/>
  <c r="O4571" i="1"/>
  <c r="E4571" i="1"/>
  <c r="B4571" i="1"/>
  <c r="O4570" i="1"/>
  <c r="E4570" i="1"/>
  <c r="B4570" i="1"/>
  <c r="O4569" i="1"/>
  <c r="E4569" i="1"/>
  <c r="B4569" i="1"/>
  <c r="O4568" i="1"/>
  <c r="E4568" i="1"/>
  <c r="B4568" i="1"/>
  <c r="O4567" i="1"/>
  <c r="E4567" i="1"/>
  <c r="B4567" i="1"/>
  <c r="O4566" i="1"/>
  <c r="E4566" i="1"/>
  <c r="B4566" i="1"/>
  <c r="O4565" i="1"/>
  <c r="E4565" i="1"/>
  <c r="B4565" i="1"/>
  <c r="O4564" i="1"/>
  <c r="E4564" i="1"/>
  <c r="B4564" i="1"/>
  <c r="O4563" i="1"/>
  <c r="E4563" i="1"/>
  <c r="B4563" i="1"/>
  <c r="O4562" i="1"/>
  <c r="E4562" i="1"/>
  <c r="B4562" i="1"/>
  <c r="O4561" i="1"/>
  <c r="E4561" i="1"/>
  <c r="B4561" i="1"/>
  <c r="O4560" i="1"/>
  <c r="E4560" i="1"/>
  <c r="B4560" i="1"/>
  <c r="O4559" i="1"/>
  <c r="E4559" i="1"/>
  <c r="B4559" i="1"/>
  <c r="O4558" i="1"/>
  <c r="E4558" i="1"/>
  <c r="B4558" i="1"/>
  <c r="O4557" i="1"/>
  <c r="E4557" i="1"/>
  <c r="B4557" i="1"/>
  <c r="O4556" i="1"/>
  <c r="E4556" i="1"/>
  <c r="B4556" i="1"/>
  <c r="O4555" i="1"/>
  <c r="E4555" i="1"/>
  <c r="B4555" i="1"/>
  <c r="O4554" i="1"/>
  <c r="E4554" i="1"/>
  <c r="B4554" i="1"/>
  <c r="O4553" i="1"/>
  <c r="E4553" i="1"/>
  <c r="B4553" i="1"/>
  <c r="O4552" i="1"/>
  <c r="E4552" i="1"/>
  <c r="B4552" i="1"/>
  <c r="O4551" i="1"/>
  <c r="E4551" i="1"/>
  <c r="B4551" i="1"/>
  <c r="O4550" i="1"/>
  <c r="E4550" i="1"/>
  <c r="B4550" i="1"/>
  <c r="O4549" i="1"/>
  <c r="E4549" i="1"/>
  <c r="B4549" i="1"/>
  <c r="O4548" i="1"/>
  <c r="E4548" i="1"/>
  <c r="B4548" i="1"/>
  <c r="O4547" i="1"/>
  <c r="E4547" i="1"/>
  <c r="B4547" i="1"/>
  <c r="O4546" i="1"/>
  <c r="E4546" i="1"/>
  <c r="B4546" i="1"/>
  <c r="O4545" i="1"/>
  <c r="E4545" i="1"/>
  <c r="B4545" i="1"/>
  <c r="O4544" i="1"/>
  <c r="E4544" i="1"/>
  <c r="B4544" i="1"/>
  <c r="O4543" i="1"/>
  <c r="E4543" i="1"/>
  <c r="B4543" i="1"/>
  <c r="O4542" i="1"/>
  <c r="E4542" i="1"/>
  <c r="B4542" i="1"/>
  <c r="O4541" i="1"/>
  <c r="E4541" i="1"/>
  <c r="B4541" i="1"/>
  <c r="O4540" i="1"/>
  <c r="E4540" i="1"/>
  <c r="B4540" i="1"/>
  <c r="O4539" i="1"/>
  <c r="E4539" i="1"/>
  <c r="B4539" i="1"/>
  <c r="O4538" i="1"/>
  <c r="E4538" i="1"/>
  <c r="B4538" i="1"/>
  <c r="O4537" i="1"/>
  <c r="E4537" i="1"/>
  <c r="B4537" i="1"/>
  <c r="O4536" i="1"/>
  <c r="E4536" i="1"/>
  <c r="B4536" i="1"/>
  <c r="O4535" i="1"/>
  <c r="E4535" i="1"/>
  <c r="B4535" i="1"/>
  <c r="O4534" i="1"/>
  <c r="E4534" i="1"/>
  <c r="B4534" i="1"/>
  <c r="O4533" i="1"/>
  <c r="E4533" i="1"/>
  <c r="B4533" i="1"/>
  <c r="O4532" i="1"/>
  <c r="E4532" i="1"/>
  <c r="B4532" i="1"/>
  <c r="O4531" i="1"/>
  <c r="E4531" i="1"/>
  <c r="B4531" i="1"/>
  <c r="O4530" i="1"/>
  <c r="E4530" i="1"/>
  <c r="B4530" i="1"/>
  <c r="O4529" i="1"/>
  <c r="E4529" i="1"/>
  <c r="B4529" i="1"/>
  <c r="O4528" i="1"/>
  <c r="E4528" i="1"/>
  <c r="B4528" i="1"/>
  <c r="O4527" i="1"/>
  <c r="E4527" i="1"/>
  <c r="B4527" i="1"/>
  <c r="O4526" i="1"/>
  <c r="E4526" i="1"/>
  <c r="B4526" i="1"/>
  <c r="O4525" i="1"/>
  <c r="E4525" i="1"/>
  <c r="B4525" i="1"/>
  <c r="O4524" i="1"/>
  <c r="E4524" i="1"/>
  <c r="B4524" i="1"/>
  <c r="O4523" i="1"/>
  <c r="E4523" i="1"/>
  <c r="B4523" i="1"/>
  <c r="O4522" i="1"/>
  <c r="E4522" i="1"/>
  <c r="B4522" i="1"/>
  <c r="O4521" i="1"/>
  <c r="E4521" i="1"/>
  <c r="B4521" i="1"/>
  <c r="O4520" i="1"/>
  <c r="E4520" i="1"/>
  <c r="B4520" i="1"/>
  <c r="O4519" i="1"/>
  <c r="E4519" i="1"/>
  <c r="B4519" i="1"/>
  <c r="O4518" i="1"/>
  <c r="E4518" i="1"/>
  <c r="B4518" i="1"/>
  <c r="O4517" i="1"/>
  <c r="E4517" i="1"/>
  <c r="B4517" i="1"/>
  <c r="O4516" i="1"/>
  <c r="E4516" i="1"/>
  <c r="B4516" i="1"/>
  <c r="O4515" i="1"/>
  <c r="E4515" i="1"/>
  <c r="B4515" i="1"/>
  <c r="O4514" i="1"/>
  <c r="E4514" i="1"/>
  <c r="B4514" i="1"/>
  <c r="O4513" i="1"/>
  <c r="E4513" i="1"/>
  <c r="B4513" i="1"/>
  <c r="O4512" i="1"/>
  <c r="E4512" i="1"/>
  <c r="B4512" i="1"/>
  <c r="O4511" i="1"/>
  <c r="E4511" i="1"/>
  <c r="B4511" i="1"/>
  <c r="O4510" i="1"/>
  <c r="E4510" i="1"/>
  <c r="B4510" i="1"/>
  <c r="O4509" i="1"/>
  <c r="E4509" i="1"/>
  <c r="B4509" i="1"/>
  <c r="O4508" i="1"/>
  <c r="E4508" i="1"/>
  <c r="B4508" i="1"/>
  <c r="O4507" i="1"/>
  <c r="E4507" i="1"/>
  <c r="B4507" i="1"/>
  <c r="O4506" i="1"/>
  <c r="E4506" i="1"/>
  <c r="B4506" i="1"/>
  <c r="O4505" i="1"/>
  <c r="E4505" i="1"/>
  <c r="B4505" i="1"/>
  <c r="O4504" i="1"/>
  <c r="E4504" i="1"/>
  <c r="B4504" i="1"/>
  <c r="O4503" i="1"/>
  <c r="E4503" i="1"/>
  <c r="B4503" i="1"/>
  <c r="O4502" i="1"/>
  <c r="E4502" i="1"/>
  <c r="B4502" i="1"/>
  <c r="O4501" i="1"/>
  <c r="E4501" i="1"/>
  <c r="B4501" i="1"/>
  <c r="O4500" i="1"/>
  <c r="E4500" i="1"/>
  <c r="B4500" i="1"/>
  <c r="O4499" i="1"/>
  <c r="E4499" i="1"/>
  <c r="B4499" i="1"/>
  <c r="O4498" i="1"/>
  <c r="E4498" i="1"/>
  <c r="B4498" i="1"/>
  <c r="O4497" i="1"/>
  <c r="E4497" i="1"/>
  <c r="B4497" i="1"/>
  <c r="O4496" i="1"/>
  <c r="E4496" i="1"/>
  <c r="B4496" i="1"/>
  <c r="O4495" i="1"/>
  <c r="E4495" i="1"/>
  <c r="B4495" i="1"/>
  <c r="O4494" i="1"/>
  <c r="E4494" i="1"/>
  <c r="B4494" i="1"/>
  <c r="O4493" i="1"/>
  <c r="E4493" i="1"/>
  <c r="B4493" i="1"/>
  <c r="O4492" i="1"/>
  <c r="E4492" i="1"/>
  <c r="B4492" i="1"/>
  <c r="O4491" i="1"/>
  <c r="E4491" i="1"/>
  <c r="B4491" i="1"/>
  <c r="O4490" i="1"/>
  <c r="E4490" i="1"/>
  <c r="B4490" i="1"/>
  <c r="O4489" i="1"/>
  <c r="E4489" i="1"/>
  <c r="B4489" i="1"/>
  <c r="O4488" i="1"/>
  <c r="E4488" i="1"/>
  <c r="B4488" i="1"/>
  <c r="O4487" i="1"/>
  <c r="E4487" i="1"/>
  <c r="B4487" i="1"/>
  <c r="O4486" i="1"/>
  <c r="E4486" i="1"/>
  <c r="B4486" i="1"/>
  <c r="O4485" i="1"/>
  <c r="E4485" i="1"/>
  <c r="B4485" i="1"/>
  <c r="O4484" i="1"/>
  <c r="E4484" i="1"/>
  <c r="B4484" i="1"/>
  <c r="O4483" i="1"/>
  <c r="E4483" i="1"/>
  <c r="B4483" i="1"/>
  <c r="O4482" i="1"/>
  <c r="E4482" i="1"/>
  <c r="B4482" i="1"/>
  <c r="O4481" i="1"/>
  <c r="E4481" i="1"/>
  <c r="B4481" i="1"/>
  <c r="O4480" i="1"/>
  <c r="E4480" i="1"/>
  <c r="B4480" i="1"/>
  <c r="O4479" i="1"/>
  <c r="E4479" i="1"/>
  <c r="B4479" i="1"/>
  <c r="O4478" i="1"/>
  <c r="E4478" i="1"/>
  <c r="B4478" i="1"/>
  <c r="O4477" i="1"/>
  <c r="E4477" i="1"/>
  <c r="B4477" i="1"/>
  <c r="O4476" i="1"/>
  <c r="E4476" i="1"/>
  <c r="B4476" i="1"/>
  <c r="O4475" i="1"/>
  <c r="E4475" i="1"/>
  <c r="B4475" i="1"/>
  <c r="O4474" i="1"/>
  <c r="E4474" i="1"/>
  <c r="B4474" i="1"/>
  <c r="O4473" i="1"/>
  <c r="E4473" i="1"/>
  <c r="B4473" i="1"/>
  <c r="O4472" i="1"/>
  <c r="E4472" i="1"/>
  <c r="B4472" i="1"/>
  <c r="O4471" i="1"/>
  <c r="E4471" i="1"/>
  <c r="B4471" i="1"/>
  <c r="O4470" i="1"/>
  <c r="E4470" i="1"/>
  <c r="B4470" i="1"/>
  <c r="O4469" i="1"/>
  <c r="E4469" i="1"/>
  <c r="B4469" i="1"/>
  <c r="O4468" i="1"/>
  <c r="E4468" i="1"/>
  <c r="B4468" i="1"/>
  <c r="O4467" i="1"/>
  <c r="E4467" i="1"/>
  <c r="B4467" i="1"/>
  <c r="O4466" i="1"/>
  <c r="E4466" i="1"/>
  <c r="B4466" i="1"/>
  <c r="O4465" i="1"/>
  <c r="E4465" i="1"/>
  <c r="B4465" i="1"/>
  <c r="O4464" i="1"/>
  <c r="E4464" i="1"/>
  <c r="B4464" i="1"/>
  <c r="O4463" i="1"/>
  <c r="E4463" i="1"/>
  <c r="B4463" i="1"/>
  <c r="O4462" i="1"/>
  <c r="E4462" i="1"/>
  <c r="B4462" i="1"/>
  <c r="O4461" i="1"/>
  <c r="E4461" i="1"/>
  <c r="B4461" i="1"/>
  <c r="O4460" i="1"/>
  <c r="E4460" i="1"/>
  <c r="B4460" i="1"/>
  <c r="O4459" i="1"/>
  <c r="E4459" i="1"/>
  <c r="B4459" i="1"/>
  <c r="O4458" i="1"/>
  <c r="E4458" i="1"/>
  <c r="B4458" i="1"/>
  <c r="O4457" i="1"/>
  <c r="E4457" i="1"/>
  <c r="B4457" i="1"/>
  <c r="O4456" i="1"/>
  <c r="E4456" i="1"/>
  <c r="B4456" i="1"/>
  <c r="O4455" i="1"/>
  <c r="E4455" i="1"/>
  <c r="B4455" i="1"/>
  <c r="O4454" i="1"/>
  <c r="E4454" i="1"/>
  <c r="B4454" i="1"/>
  <c r="O4453" i="1"/>
  <c r="E4453" i="1"/>
  <c r="B4453" i="1"/>
  <c r="O4452" i="1"/>
  <c r="E4452" i="1"/>
  <c r="B4452" i="1"/>
  <c r="O4451" i="1"/>
  <c r="E4451" i="1"/>
  <c r="B4451" i="1"/>
  <c r="O4450" i="1"/>
  <c r="E4450" i="1"/>
  <c r="B4450" i="1"/>
  <c r="O4449" i="1"/>
  <c r="E4449" i="1"/>
  <c r="B4449" i="1"/>
  <c r="O4448" i="1"/>
  <c r="E4448" i="1"/>
  <c r="B4448" i="1"/>
  <c r="O4447" i="1"/>
  <c r="E4447" i="1"/>
  <c r="B4447" i="1"/>
  <c r="O4446" i="1"/>
  <c r="E4446" i="1"/>
  <c r="B4446" i="1"/>
  <c r="O4445" i="1"/>
  <c r="E4445" i="1"/>
  <c r="B4445" i="1"/>
  <c r="O4444" i="1"/>
  <c r="E4444" i="1"/>
  <c r="B4444" i="1"/>
  <c r="O4443" i="1"/>
  <c r="E4443" i="1"/>
  <c r="B4443" i="1"/>
  <c r="O4442" i="1"/>
  <c r="E4442" i="1"/>
  <c r="B4442" i="1"/>
  <c r="O4441" i="1"/>
  <c r="E4441" i="1"/>
  <c r="B4441" i="1"/>
  <c r="O4440" i="1"/>
  <c r="E4440" i="1"/>
  <c r="B4440" i="1"/>
  <c r="O4439" i="1"/>
  <c r="E4439" i="1"/>
  <c r="B4439" i="1"/>
  <c r="O4438" i="1"/>
  <c r="E4438" i="1"/>
  <c r="B4438" i="1"/>
  <c r="O4437" i="1"/>
  <c r="E4437" i="1"/>
  <c r="B4437" i="1"/>
  <c r="O4436" i="1"/>
  <c r="E4436" i="1"/>
  <c r="B4436" i="1"/>
  <c r="O4435" i="1"/>
  <c r="E4435" i="1"/>
  <c r="B4435" i="1"/>
  <c r="O4434" i="1"/>
  <c r="E4434" i="1"/>
  <c r="B4434" i="1"/>
  <c r="O4433" i="1"/>
  <c r="E4433" i="1"/>
  <c r="B4433" i="1"/>
  <c r="O4432" i="1"/>
  <c r="E4432" i="1"/>
  <c r="B4432" i="1"/>
  <c r="O4431" i="1"/>
  <c r="E4431" i="1"/>
  <c r="B4431" i="1"/>
  <c r="O4430" i="1"/>
  <c r="E4430" i="1"/>
  <c r="B4430" i="1"/>
  <c r="O4429" i="1"/>
  <c r="E4429" i="1"/>
  <c r="B4429" i="1"/>
  <c r="O4428" i="1"/>
  <c r="E4428" i="1"/>
  <c r="B4428" i="1"/>
  <c r="O4427" i="1"/>
  <c r="E4427" i="1"/>
  <c r="B4427" i="1"/>
  <c r="O4426" i="1"/>
  <c r="E4426" i="1"/>
  <c r="B4426" i="1"/>
  <c r="O4425" i="1"/>
  <c r="E4425" i="1"/>
  <c r="B4425" i="1"/>
  <c r="O4424" i="1"/>
  <c r="E4424" i="1"/>
  <c r="B4424" i="1"/>
  <c r="O4423" i="1"/>
  <c r="E4423" i="1"/>
  <c r="B4423" i="1"/>
  <c r="O4422" i="1"/>
  <c r="E4422" i="1"/>
  <c r="B4422" i="1"/>
  <c r="O4421" i="1"/>
  <c r="E4421" i="1"/>
  <c r="B4421" i="1"/>
  <c r="O4420" i="1"/>
  <c r="E4420" i="1"/>
  <c r="B4420" i="1"/>
  <c r="O4419" i="1"/>
  <c r="E4419" i="1"/>
  <c r="B4419" i="1"/>
  <c r="O4418" i="1"/>
  <c r="E4418" i="1"/>
  <c r="B4418" i="1"/>
  <c r="O4417" i="1"/>
  <c r="E4417" i="1"/>
  <c r="B4417" i="1"/>
  <c r="O4416" i="1"/>
  <c r="E4416" i="1"/>
  <c r="B4416" i="1"/>
  <c r="O4415" i="1"/>
  <c r="E4415" i="1"/>
  <c r="B4415" i="1"/>
  <c r="O4414" i="1"/>
  <c r="E4414" i="1"/>
  <c r="B4414" i="1"/>
  <c r="O4413" i="1"/>
  <c r="E4413" i="1"/>
  <c r="B4413" i="1"/>
  <c r="O4412" i="1"/>
  <c r="E4412" i="1"/>
  <c r="B4412" i="1"/>
  <c r="O4411" i="1"/>
  <c r="E4411" i="1"/>
  <c r="B4411" i="1"/>
  <c r="O4410" i="1"/>
  <c r="E4410" i="1"/>
  <c r="B4410" i="1"/>
  <c r="O4409" i="1"/>
  <c r="E4409" i="1"/>
  <c r="B4409" i="1"/>
  <c r="O4408" i="1"/>
  <c r="E4408" i="1"/>
  <c r="B4408" i="1"/>
  <c r="O4407" i="1"/>
  <c r="E4407" i="1"/>
  <c r="B4407" i="1"/>
  <c r="O4406" i="1"/>
  <c r="E4406" i="1"/>
  <c r="B4406" i="1"/>
  <c r="O4405" i="1"/>
  <c r="E4405" i="1"/>
  <c r="B4405" i="1"/>
  <c r="O4404" i="1"/>
  <c r="E4404" i="1"/>
  <c r="B4404" i="1"/>
  <c r="O4403" i="1"/>
  <c r="E4403" i="1"/>
  <c r="B4403" i="1"/>
  <c r="O4402" i="1"/>
  <c r="E4402" i="1"/>
  <c r="B4402" i="1"/>
  <c r="O4401" i="1"/>
  <c r="E4401" i="1"/>
  <c r="B4401" i="1"/>
  <c r="O4400" i="1"/>
  <c r="E4400" i="1"/>
  <c r="B4400" i="1"/>
  <c r="O4399" i="1"/>
  <c r="E4399" i="1"/>
  <c r="B4399" i="1"/>
  <c r="O4398" i="1"/>
  <c r="E4398" i="1"/>
  <c r="B4398" i="1"/>
  <c r="O4397" i="1"/>
  <c r="E4397" i="1"/>
  <c r="B4397" i="1"/>
  <c r="O4396" i="1"/>
  <c r="E4396" i="1"/>
  <c r="B4396" i="1"/>
  <c r="O4395" i="1"/>
  <c r="E4395" i="1"/>
  <c r="B4395" i="1"/>
  <c r="O4394" i="1"/>
  <c r="E4394" i="1"/>
  <c r="B4394" i="1"/>
  <c r="O4393" i="1"/>
  <c r="E4393" i="1"/>
  <c r="B4393" i="1"/>
  <c r="O4392" i="1"/>
  <c r="E4392" i="1"/>
  <c r="B4392" i="1"/>
  <c r="O4391" i="1"/>
  <c r="E4391" i="1"/>
  <c r="B4391" i="1"/>
  <c r="O4390" i="1"/>
  <c r="E4390" i="1"/>
  <c r="B4390" i="1"/>
  <c r="O4389" i="1"/>
  <c r="E4389" i="1"/>
  <c r="B4389" i="1"/>
  <c r="O4388" i="1"/>
  <c r="E4388" i="1"/>
  <c r="B4388" i="1"/>
  <c r="O4387" i="1"/>
  <c r="E4387" i="1"/>
  <c r="B4387" i="1"/>
  <c r="O4386" i="1"/>
  <c r="E4386" i="1"/>
  <c r="B4386" i="1"/>
  <c r="O4385" i="1"/>
  <c r="E4385" i="1"/>
  <c r="B4385" i="1"/>
  <c r="O4384" i="1"/>
  <c r="E4384" i="1"/>
  <c r="B4384" i="1"/>
  <c r="O4383" i="1"/>
  <c r="E4383" i="1"/>
  <c r="B4383" i="1"/>
  <c r="O4382" i="1"/>
  <c r="E4382" i="1"/>
  <c r="B4382" i="1"/>
  <c r="O4381" i="1"/>
  <c r="E4381" i="1"/>
  <c r="B4381" i="1"/>
  <c r="O4380" i="1"/>
  <c r="E4380" i="1"/>
  <c r="B4380" i="1"/>
  <c r="O4379" i="1"/>
  <c r="E4379" i="1"/>
  <c r="B4379" i="1"/>
  <c r="O4378" i="1"/>
  <c r="E4378" i="1"/>
  <c r="B4378" i="1"/>
  <c r="O4377" i="1"/>
  <c r="E4377" i="1"/>
  <c r="B4377" i="1"/>
  <c r="O4376" i="1"/>
  <c r="E4376" i="1"/>
  <c r="B4376" i="1"/>
  <c r="O4375" i="1"/>
  <c r="E4375" i="1"/>
  <c r="B4375" i="1"/>
  <c r="O4374" i="1"/>
  <c r="E4374" i="1"/>
  <c r="B4374" i="1"/>
  <c r="O4373" i="1"/>
  <c r="E4373" i="1"/>
  <c r="B4373" i="1"/>
  <c r="O4372" i="1"/>
  <c r="E4372" i="1"/>
  <c r="B4372" i="1"/>
  <c r="O4371" i="1"/>
  <c r="E4371" i="1"/>
  <c r="B4371" i="1"/>
  <c r="O4370" i="1"/>
  <c r="E4370" i="1"/>
  <c r="B4370" i="1"/>
  <c r="O4369" i="1"/>
  <c r="E4369" i="1"/>
  <c r="B4369" i="1"/>
  <c r="O4368" i="1"/>
  <c r="E4368" i="1"/>
  <c r="B4368" i="1"/>
  <c r="O4367" i="1"/>
  <c r="E4367" i="1"/>
  <c r="B4367" i="1"/>
  <c r="O4366" i="1"/>
  <c r="E4366" i="1"/>
  <c r="B4366" i="1"/>
  <c r="O4365" i="1"/>
  <c r="E4365" i="1"/>
  <c r="B4365" i="1"/>
  <c r="O4364" i="1"/>
  <c r="E4364" i="1"/>
  <c r="B4364" i="1"/>
  <c r="O4363" i="1"/>
  <c r="E4363" i="1"/>
  <c r="B4363" i="1"/>
  <c r="O4362" i="1"/>
  <c r="E4362" i="1"/>
  <c r="B4362" i="1"/>
  <c r="O4361" i="1"/>
  <c r="E4361" i="1"/>
  <c r="B4361" i="1"/>
  <c r="O4360" i="1"/>
  <c r="E4360" i="1"/>
  <c r="B4360" i="1"/>
  <c r="O4359" i="1"/>
  <c r="E4359" i="1"/>
  <c r="B4359" i="1"/>
  <c r="O4358" i="1"/>
  <c r="E4358" i="1"/>
  <c r="B4358" i="1"/>
  <c r="O4357" i="1"/>
  <c r="E4357" i="1"/>
  <c r="B4357" i="1"/>
  <c r="O4356" i="1"/>
  <c r="E4356" i="1"/>
  <c r="B4356" i="1"/>
  <c r="O4355" i="1"/>
  <c r="E4355" i="1"/>
  <c r="B4355" i="1"/>
  <c r="O4354" i="1"/>
  <c r="E4354" i="1"/>
  <c r="B4354" i="1"/>
  <c r="O4353" i="1"/>
  <c r="E4353" i="1"/>
  <c r="B4353" i="1"/>
  <c r="O4352" i="1"/>
  <c r="E4352" i="1"/>
  <c r="B4352" i="1"/>
  <c r="O4351" i="1"/>
  <c r="E4351" i="1"/>
  <c r="B4351" i="1"/>
  <c r="O4350" i="1"/>
  <c r="E4350" i="1"/>
  <c r="B4350" i="1"/>
  <c r="O4349" i="1"/>
  <c r="E4349" i="1"/>
  <c r="B4349" i="1"/>
  <c r="O4348" i="1"/>
  <c r="E4348" i="1"/>
  <c r="B4348" i="1"/>
  <c r="O4347" i="1"/>
  <c r="E4347" i="1"/>
  <c r="B4347" i="1"/>
  <c r="O4346" i="1"/>
  <c r="E4346" i="1"/>
  <c r="B4346" i="1"/>
  <c r="O4345" i="1"/>
  <c r="E4345" i="1"/>
  <c r="B4345" i="1"/>
  <c r="O4344" i="1"/>
  <c r="E4344" i="1"/>
  <c r="B4344" i="1"/>
  <c r="O4343" i="1"/>
  <c r="E4343" i="1"/>
  <c r="B4343" i="1"/>
  <c r="O4342" i="1"/>
  <c r="E4342" i="1"/>
  <c r="B4342" i="1"/>
  <c r="O4341" i="1"/>
  <c r="E4341" i="1"/>
  <c r="B4341" i="1"/>
  <c r="O4340" i="1"/>
  <c r="E4340" i="1"/>
  <c r="B4340" i="1"/>
  <c r="O4339" i="1"/>
  <c r="E4339" i="1"/>
  <c r="B4339" i="1"/>
  <c r="O4338" i="1"/>
  <c r="E4338" i="1"/>
  <c r="B4338" i="1"/>
  <c r="O4337" i="1"/>
  <c r="E4337" i="1"/>
  <c r="B4337" i="1"/>
  <c r="O4336" i="1"/>
  <c r="E4336" i="1"/>
  <c r="B4336" i="1"/>
  <c r="O4335" i="1"/>
  <c r="E4335" i="1"/>
  <c r="B4335" i="1"/>
  <c r="O4334" i="1"/>
  <c r="E4334" i="1"/>
  <c r="B4334" i="1"/>
  <c r="O4333" i="1"/>
  <c r="E4333" i="1"/>
  <c r="B4333" i="1"/>
  <c r="O4332" i="1"/>
  <c r="E4332" i="1"/>
  <c r="B4332" i="1"/>
  <c r="O4331" i="1"/>
  <c r="E4331" i="1"/>
  <c r="B4331" i="1"/>
  <c r="O4330" i="1"/>
  <c r="E4330" i="1"/>
  <c r="B4330" i="1"/>
  <c r="O4329" i="1"/>
  <c r="E4329" i="1"/>
  <c r="B4329" i="1"/>
  <c r="O4328" i="1"/>
  <c r="E4328" i="1"/>
  <c r="B4328" i="1"/>
  <c r="O4327" i="1"/>
  <c r="E4327" i="1"/>
  <c r="B4327" i="1"/>
  <c r="O4326" i="1"/>
  <c r="E4326" i="1"/>
  <c r="B4326" i="1"/>
  <c r="O4325" i="1"/>
  <c r="E4325" i="1"/>
  <c r="B4325" i="1"/>
  <c r="O4324" i="1"/>
  <c r="E4324" i="1"/>
  <c r="B4324" i="1"/>
  <c r="O4323" i="1"/>
  <c r="E4323" i="1"/>
  <c r="B4323" i="1"/>
  <c r="O4322" i="1"/>
  <c r="E4322" i="1"/>
  <c r="B4322" i="1"/>
  <c r="O4321" i="1"/>
  <c r="E4321" i="1"/>
  <c r="B4321" i="1"/>
  <c r="O4320" i="1"/>
  <c r="E4320" i="1"/>
  <c r="B4320" i="1"/>
  <c r="O4319" i="1"/>
  <c r="E4319" i="1"/>
  <c r="B4319" i="1"/>
  <c r="O4318" i="1"/>
  <c r="E4318" i="1"/>
  <c r="B4318" i="1"/>
  <c r="O4317" i="1"/>
  <c r="E4317" i="1"/>
  <c r="B4317" i="1"/>
  <c r="O4316" i="1"/>
  <c r="E4316" i="1"/>
  <c r="B4316" i="1"/>
  <c r="O4315" i="1"/>
  <c r="E4315" i="1"/>
  <c r="B4315" i="1"/>
  <c r="O4314" i="1"/>
  <c r="E4314" i="1"/>
  <c r="B4314" i="1"/>
  <c r="O4313" i="1"/>
  <c r="E4313" i="1"/>
  <c r="B4313" i="1"/>
  <c r="O4312" i="1"/>
  <c r="E4312" i="1"/>
  <c r="B4312" i="1"/>
  <c r="O4311" i="1"/>
  <c r="E4311" i="1"/>
  <c r="B4311" i="1"/>
  <c r="O4310" i="1"/>
  <c r="E4310" i="1"/>
  <c r="B4310" i="1"/>
  <c r="O4309" i="1"/>
  <c r="E4309" i="1"/>
  <c r="B4309" i="1"/>
  <c r="O4308" i="1"/>
  <c r="E4308" i="1"/>
  <c r="B4308" i="1"/>
  <c r="O4307" i="1"/>
  <c r="E4307" i="1"/>
  <c r="B4307" i="1"/>
  <c r="O4306" i="1"/>
  <c r="E4306" i="1"/>
  <c r="B4306" i="1"/>
  <c r="O4305" i="1"/>
  <c r="E4305" i="1"/>
  <c r="B4305" i="1"/>
  <c r="O4304" i="1"/>
  <c r="E4304" i="1"/>
  <c r="B4304" i="1"/>
  <c r="O4303" i="1"/>
  <c r="E4303" i="1"/>
  <c r="B4303" i="1"/>
  <c r="O4302" i="1"/>
  <c r="E4302" i="1"/>
  <c r="B4302" i="1"/>
  <c r="O4301" i="1"/>
  <c r="E4301" i="1"/>
  <c r="B4301" i="1"/>
  <c r="O4300" i="1"/>
  <c r="E4300" i="1"/>
  <c r="B4300" i="1"/>
  <c r="O4299" i="1"/>
  <c r="E4299" i="1"/>
  <c r="B4299" i="1"/>
  <c r="O4298" i="1"/>
  <c r="E4298" i="1"/>
  <c r="B4298" i="1"/>
  <c r="O4297" i="1"/>
  <c r="E4297" i="1"/>
  <c r="B4297" i="1"/>
  <c r="O4296" i="1"/>
  <c r="E4296" i="1"/>
  <c r="B4296" i="1"/>
  <c r="O4295" i="1"/>
  <c r="E4295" i="1"/>
  <c r="B4295" i="1"/>
  <c r="O4294" i="1"/>
  <c r="E4294" i="1"/>
  <c r="B4294" i="1"/>
  <c r="O4293" i="1"/>
  <c r="E4293" i="1"/>
  <c r="B4293" i="1"/>
  <c r="O4292" i="1"/>
  <c r="E4292" i="1"/>
  <c r="B4292" i="1"/>
  <c r="O4291" i="1"/>
  <c r="E4291" i="1"/>
  <c r="B4291" i="1"/>
  <c r="O4290" i="1"/>
  <c r="E4290" i="1"/>
  <c r="B4290" i="1"/>
  <c r="O4289" i="1"/>
  <c r="E4289" i="1"/>
  <c r="B4289" i="1"/>
  <c r="O4288" i="1"/>
  <c r="E4288" i="1"/>
  <c r="B4288" i="1"/>
  <c r="O4287" i="1"/>
  <c r="E4287" i="1"/>
  <c r="B4287" i="1"/>
  <c r="O4286" i="1"/>
  <c r="E4286" i="1"/>
  <c r="B4286" i="1"/>
  <c r="O4285" i="1"/>
  <c r="E4285" i="1"/>
  <c r="B4285" i="1"/>
  <c r="O4284" i="1"/>
  <c r="E4284" i="1"/>
  <c r="B4284" i="1"/>
  <c r="O4283" i="1"/>
  <c r="E4283" i="1"/>
  <c r="B4283" i="1"/>
  <c r="O4282" i="1"/>
  <c r="E4282" i="1"/>
  <c r="B4282" i="1"/>
  <c r="O4281" i="1"/>
  <c r="E4281" i="1"/>
  <c r="B4281" i="1"/>
  <c r="O4280" i="1"/>
  <c r="E4280" i="1"/>
  <c r="B4280" i="1"/>
  <c r="O4279" i="1"/>
  <c r="E4279" i="1"/>
  <c r="B4279" i="1"/>
  <c r="O4278" i="1"/>
  <c r="E4278" i="1"/>
  <c r="B4278" i="1"/>
  <c r="O4277" i="1"/>
  <c r="E4277" i="1"/>
  <c r="B4277" i="1"/>
  <c r="O4276" i="1"/>
  <c r="E4276" i="1"/>
  <c r="B4276" i="1"/>
  <c r="O4275" i="1"/>
  <c r="E4275" i="1"/>
  <c r="B4275" i="1"/>
  <c r="O4274" i="1"/>
  <c r="E4274" i="1"/>
  <c r="B4274" i="1"/>
  <c r="O4273" i="1"/>
  <c r="E4273" i="1"/>
  <c r="B4273" i="1"/>
  <c r="O4272" i="1"/>
  <c r="E4272" i="1"/>
  <c r="B4272" i="1"/>
  <c r="O4271" i="1"/>
  <c r="E4271" i="1"/>
  <c r="B4271" i="1"/>
  <c r="O4270" i="1"/>
  <c r="E4270" i="1"/>
  <c r="B4270" i="1"/>
  <c r="O4269" i="1"/>
  <c r="E4269" i="1"/>
  <c r="B4269" i="1"/>
  <c r="O4268" i="1"/>
  <c r="E4268" i="1"/>
  <c r="B4268" i="1"/>
  <c r="O4267" i="1"/>
  <c r="E4267" i="1"/>
  <c r="B4267" i="1"/>
  <c r="O4266" i="1"/>
  <c r="E4266" i="1"/>
  <c r="B4266" i="1"/>
  <c r="O4265" i="1"/>
  <c r="E4265" i="1"/>
  <c r="B4265" i="1"/>
  <c r="O4264" i="1"/>
  <c r="E4264" i="1"/>
  <c r="B4264" i="1"/>
  <c r="O4263" i="1"/>
  <c r="E4263" i="1"/>
  <c r="B4263" i="1"/>
  <c r="O4262" i="1"/>
  <c r="E4262" i="1"/>
  <c r="B4262" i="1"/>
  <c r="O4261" i="1"/>
  <c r="E4261" i="1"/>
  <c r="B4261" i="1"/>
  <c r="O4260" i="1"/>
  <c r="E4260" i="1"/>
  <c r="B4260" i="1"/>
  <c r="O4259" i="1"/>
  <c r="E4259" i="1"/>
  <c r="B4259" i="1"/>
  <c r="O4258" i="1"/>
  <c r="E4258" i="1"/>
  <c r="B4258" i="1"/>
  <c r="O4257" i="1"/>
  <c r="E4257" i="1"/>
  <c r="B4257" i="1"/>
  <c r="O4256" i="1"/>
  <c r="E4256" i="1"/>
  <c r="B4256" i="1"/>
  <c r="O4255" i="1"/>
  <c r="E4255" i="1"/>
  <c r="B4255" i="1"/>
  <c r="O4254" i="1"/>
  <c r="E4254" i="1"/>
  <c r="B4254" i="1"/>
  <c r="O4253" i="1"/>
  <c r="E4253" i="1"/>
  <c r="B4253" i="1"/>
  <c r="O4252" i="1"/>
  <c r="E4252" i="1"/>
  <c r="B4252" i="1"/>
  <c r="O4251" i="1"/>
  <c r="E4251" i="1"/>
  <c r="B4251" i="1"/>
  <c r="O4250" i="1"/>
  <c r="E4250" i="1"/>
  <c r="B4250" i="1"/>
  <c r="O4249" i="1"/>
  <c r="E4249" i="1"/>
  <c r="B4249" i="1"/>
  <c r="O4248" i="1"/>
  <c r="E4248" i="1"/>
  <c r="B4248" i="1"/>
  <c r="O4247" i="1"/>
  <c r="E4247" i="1"/>
  <c r="B4247" i="1"/>
  <c r="O4246" i="1"/>
  <c r="E4246" i="1"/>
  <c r="B4246" i="1"/>
  <c r="O4245" i="1"/>
  <c r="E4245" i="1"/>
  <c r="B4245" i="1"/>
  <c r="O4244" i="1"/>
  <c r="E4244" i="1"/>
  <c r="B4244" i="1"/>
  <c r="O4243" i="1"/>
  <c r="E4243" i="1"/>
  <c r="B4243" i="1"/>
  <c r="O4242" i="1"/>
  <c r="E4242" i="1"/>
  <c r="B4242" i="1"/>
  <c r="O4241" i="1"/>
  <c r="E4241" i="1"/>
  <c r="B4241" i="1"/>
  <c r="O4240" i="1"/>
  <c r="E4240" i="1"/>
  <c r="B4240" i="1"/>
  <c r="O4239" i="1"/>
  <c r="E4239" i="1"/>
  <c r="B4239" i="1"/>
  <c r="O4238" i="1"/>
  <c r="E4238" i="1"/>
  <c r="B4238" i="1"/>
  <c r="O4237" i="1"/>
  <c r="E4237" i="1"/>
  <c r="B4237" i="1"/>
  <c r="O4236" i="1"/>
  <c r="E4236" i="1"/>
  <c r="B4236" i="1"/>
  <c r="O4235" i="1"/>
  <c r="E4235" i="1"/>
  <c r="B4235" i="1"/>
  <c r="O4234" i="1"/>
  <c r="E4234" i="1"/>
  <c r="B4234" i="1"/>
  <c r="O4233" i="1"/>
  <c r="E4233" i="1"/>
  <c r="B4233" i="1"/>
  <c r="O4232" i="1"/>
  <c r="E4232" i="1"/>
  <c r="B4232" i="1"/>
  <c r="O4231" i="1"/>
  <c r="E4231" i="1"/>
  <c r="B4231" i="1"/>
  <c r="O4230" i="1"/>
  <c r="E4230" i="1"/>
  <c r="B4230" i="1"/>
  <c r="O4229" i="1"/>
  <c r="E4229" i="1"/>
  <c r="B4229" i="1"/>
  <c r="O4228" i="1"/>
  <c r="E4228" i="1"/>
  <c r="B4228" i="1"/>
  <c r="O4227" i="1"/>
  <c r="E4227" i="1"/>
  <c r="B4227" i="1"/>
  <c r="O4226" i="1"/>
  <c r="E4226" i="1"/>
  <c r="B4226" i="1"/>
  <c r="O4225" i="1"/>
  <c r="E4225" i="1"/>
  <c r="B4225" i="1"/>
  <c r="O4224" i="1"/>
  <c r="E4224" i="1"/>
  <c r="B4224" i="1"/>
  <c r="O4223" i="1"/>
  <c r="E4223" i="1"/>
  <c r="B4223" i="1"/>
  <c r="O4222" i="1"/>
  <c r="E4222" i="1"/>
  <c r="B4222" i="1"/>
  <c r="O4221" i="1"/>
  <c r="E4221" i="1"/>
  <c r="B4221" i="1"/>
  <c r="O4220" i="1"/>
  <c r="E4220" i="1"/>
  <c r="B4220" i="1"/>
  <c r="O4219" i="1"/>
  <c r="E4219" i="1"/>
  <c r="B4219" i="1"/>
  <c r="O4218" i="1"/>
  <c r="E4218" i="1"/>
  <c r="B4218" i="1"/>
  <c r="O4217" i="1"/>
  <c r="E4217" i="1"/>
  <c r="B4217" i="1"/>
  <c r="O4216" i="1"/>
  <c r="E4216" i="1"/>
  <c r="B4216" i="1"/>
  <c r="O4215" i="1"/>
  <c r="E4215" i="1"/>
  <c r="B4215" i="1"/>
  <c r="O4214" i="1"/>
  <c r="E4214" i="1"/>
  <c r="B4214" i="1"/>
  <c r="O4213" i="1"/>
  <c r="E4213" i="1"/>
  <c r="B4213" i="1"/>
  <c r="O4212" i="1"/>
  <c r="E4212" i="1"/>
  <c r="B4212" i="1"/>
  <c r="O4211" i="1"/>
  <c r="E4211" i="1"/>
  <c r="B4211" i="1"/>
  <c r="O4210" i="1"/>
  <c r="E4210" i="1"/>
  <c r="B4210" i="1"/>
  <c r="O4209" i="1"/>
  <c r="E4209" i="1"/>
  <c r="B4209" i="1"/>
  <c r="O4208" i="1"/>
  <c r="E4208" i="1"/>
  <c r="B4208" i="1"/>
  <c r="O4207" i="1"/>
  <c r="E4207" i="1"/>
  <c r="B4207" i="1"/>
  <c r="O4206" i="1"/>
  <c r="E4206" i="1"/>
  <c r="B4206" i="1"/>
  <c r="O4205" i="1"/>
  <c r="E4205" i="1"/>
  <c r="B4205" i="1"/>
  <c r="O4204" i="1"/>
  <c r="E4204" i="1"/>
  <c r="B4204" i="1"/>
  <c r="O4203" i="1"/>
  <c r="E4203" i="1"/>
  <c r="B4203" i="1"/>
  <c r="O4202" i="1"/>
  <c r="E4202" i="1"/>
  <c r="B4202" i="1"/>
  <c r="O4201" i="1"/>
  <c r="E4201" i="1"/>
  <c r="B4201" i="1"/>
  <c r="O4200" i="1"/>
  <c r="E4200" i="1"/>
  <c r="B4200" i="1"/>
  <c r="O4199" i="1"/>
  <c r="E4199" i="1"/>
  <c r="B4199" i="1"/>
  <c r="O4198" i="1"/>
  <c r="E4198" i="1"/>
  <c r="B4198" i="1"/>
  <c r="O4197" i="1"/>
  <c r="E4197" i="1"/>
  <c r="B4197" i="1"/>
  <c r="O4196" i="1"/>
  <c r="E4196" i="1"/>
  <c r="B4196" i="1"/>
  <c r="O4195" i="1"/>
  <c r="E4195" i="1"/>
  <c r="B4195" i="1"/>
  <c r="O4194" i="1"/>
  <c r="E4194" i="1"/>
  <c r="B4194" i="1"/>
  <c r="O4193" i="1"/>
  <c r="E4193" i="1"/>
  <c r="B4193" i="1"/>
  <c r="O4192" i="1"/>
  <c r="E4192" i="1"/>
  <c r="B4192" i="1"/>
  <c r="O4191" i="1"/>
  <c r="E4191" i="1"/>
  <c r="B4191" i="1"/>
  <c r="O4190" i="1"/>
  <c r="E4190" i="1"/>
  <c r="B4190" i="1"/>
  <c r="O4189" i="1"/>
  <c r="E4189" i="1"/>
  <c r="B4189" i="1"/>
  <c r="O4188" i="1"/>
  <c r="E4188" i="1"/>
  <c r="B4188" i="1"/>
  <c r="O4187" i="1"/>
  <c r="E4187" i="1"/>
  <c r="B4187" i="1"/>
  <c r="O4186" i="1"/>
  <c r="E4186" i="1"/>
  <c r="B4186" i="1"/>
  <c r="O4185" i="1"/>
  <c r="E4185" i="1"/>
  <c r="B4185" i="1"/>
  <c r="O4184" i="1"/>
  <c r="E4184" i="1"/>
  <c r="B4184" i="1"/>
  <c r="O4183" i="1"/>
  <c r="E4183" i="1"/>
  <c r="B4183" i="1"/>
  <c r="O4182" i="1"/>
  <c r="E4182" i="1"/>
  <c r="B4182" i="1"/>
  <c r="O4181" i="1"/>
  <c r="E4181" i="1"/>
  <c r="B4181" i="1"/>
  <c r="O4180" i="1"/>
  <c r="E4180" i="1"/>
  <c r="B4180" i="1"/>
  <c r="O4179" i="1"/>
  <c r="E4179" i="1"/>
  <c r="B4179" i="1"/>
  <c r="O4178" i="1"/>
  <c r="E4178" i="1"/>
  <c r="B4178" i="1"/>
  <c r="O4177" i="1"/>
  <c r="E4177" i="1"/>
  <c r="B4177" i="1"/>
  <c r="O4176" i="1"/>
  <c r="E4176" i="1"/>
  <c r="B4176" i="1"/>
  <c r="O4175" i="1"/>
  <c r="E4175" i="1"/>
  <c r="B4175" i="1"/>
  <c r="O4174" i="1"/>
  <c r="E4174" i="1"/>
  <c r="B4174" i="1"/>
  <c r="O4173" i="1"/>
  <c r="E4173" i="1"/>
  <c r="B4173" i="1"/>
  <c r="O4172" i="1"/>
  <c r="E4172" i="1"/>
  <c r="B4172" i="1"/>
  <c r="O4171" i="1"/>
  <c r="E4171" i="1"/>
  <c r="B4171" i="1"/>
  <c r="O4170" i="1"/>
  <c r="E4170" i="1"/>
  <c r="B4170" i="1"/>
  <c r="O4169" i="1"/>
  <c r="E4169" i="1"/>
  <c r="B4169" i="1"/>
  <c r="O4168" i="1"/>
  <c r="E4168" i="1"/>
  <c r="B4168" i="1"/>
  <c r="O4167" i="1"/>
  <c r="E4167" i="1"/>
  <c r="B4167" i="1"/>
  <c r="O4166" i="1"/>
  <c r="E4166" i="1"/>
  <c r="B4166" i="1"/>
  <c r="O4165" i="1"/>
  <c r="E4165" i="1"/>
  <c r="B4165" i="1"/>
  <c r="O4164" i="1"/>
  <c r="E4164" i="1"/>
  <c r="B4164" i="1"/>
  <c r="O4163" i="1"/>
  <c r="E4163" i="1"/>
  <c r="B4163" i="1"/>
  <c r="O4162" i="1"/>
  <c r="E4162" i="1"/>
  <c r="B4162" i="1"/>
  <c r="O4161" i="1"/>
  <c r="E4161" i="1"/>
  <c r="B4161" i="1"/>
  <c r="O4160" i="1"/>
  <c r="E4160" i="1"/>
  <c r="B4160" i="1"/>
  <c r="O4159" i="1"/>
  <c r="E4159" i="1"/>
  <c r="B4159" i="1"/>
  <c r="O4158" i="1"/>
  <c r="E4158" i="1"/>
  <c r="B4158" i="1"/>
  <c r="O4157" i="1"/>
  <c r="E4157" i="1"/>
  <c r="B4157" i="1"/>
  <c r="O4156" i="1"/>
  <c r="E4156" i="1"/>
  <c r="B4156" i="1"/>
  <c r="O4155" i="1"/>
  <c r="E4155" i="1"/>
  <c r="B4155" i="1"/>
  <c r="O4154" i="1"/>
  <c r="E4154" i="1"/>
  <c r="B4154" i="1"/>
  <c r="O4153" i="1"/>
  <c r="E4153" i="1"/>
  <c r="B4153" i="1"/>
  <c r="O4152" i="1"/>
  <c r="E4152" i="1"/>
  <c r="B4152" i="1"/>
  <c r="O4151" i="1"/>
  <c r="E4151" i="1"/>
  <c r="B4151" i="1"/>
  <c r="O4150" i="1"/>
  <c r="E4150" i="1"/>
  <c r="B4150" i="1"/>
  <c r="O4149" i="1"/>
  <c r="E4149" i="1"/>
  <c r="B4149" i="1"/>
  <c r="O4148" i="1"/>
  <c r="E4148" i="1"/>
  <c r="B4148" i="1"/>
  <c r="O4147" i="1"/>
  <c r="E4147" i="1"/>
  <c r="B4147" i="1"/>
  <c r="O4146" i="1"/>
  <c r="E4146" i="1"/>
  <c r="B4146" i="1"/>
  <c r="O4145" i="1"/>
  <c r="E4145" i="1"/>
  <c r="B4145" i="1"/>
  <c r="O4144" i="1"/>
  <c r="E4144" i="1"/>
  <c r="B4144" i="1"/>
  <c r="O4143" i="1"/>
  <c r="E4143" i="1"/>
  <c r="B4143" i="1"/>
  <c r="O4142" i="1"/>
  <c r="E4142" i="1"/>
  <c r="B4142" i="1"/>
  <c r="O4141" i="1"/>
  <c r="E4141" i="1"/>
  <c r="B4141" i="1"/>
  <c r="O4140" i="1"/>
  <c r="E4140" i="1"/>
  <c r="B4140" i="1"/>
  <c r="O4139" i="1"/>
  <c r="E4139" i="1"/>
  <c r="B4139" i="1"/>
  <c r="O4138" i="1"/>
  <c r="E4138" i="1"/>
  <c r="B4138" i="1"/>
  <c r="O4137" i="1"/>
  <c r="E4137" i="1"/>
  <c r="B4137" i="1"/>
  <c r="O4136" i="1"/>
  <c r="E4136" i="1"/>
  <c r="B4136" i="1"/>
  <c r="O4135" i="1"/>
  <c r="E4135" i="1"/>
  <c r="B4135" i="1"/>
  <c r="O4134" i="1"/>
  <c r="E4134" i="1"/>
  <c r="B4134" i="1"/>
  <c r="O4133" i="1"/>
  <c r="E4133" i="1"/>
  <c r="B4133" i="1"/>
  <c r="O4132" i="1"/>
  <c r="E4132" i="1"/>
  <c r="B4132" i="1"/>
  <c r="O4131" i="1"/>
  <c r="E4131" i="1"/>
  <c r="B4131" i="1"/>
  <c r="O4130" i="1"/>
  <c r="E4130" i="1"/>
  <c r="B4130" i="1"/>
  <c r="O4129" i="1"/>
  <c r="E4129" i="1"/>
  <c r="B4129" i="1"/>
  <c r="O4128" i="1"/>
  <c r="E4128" i="1"/>
  <c r="B4128" i="1"/>
  <c r="O4127" i="1"/>
  <c r="E4127" i="1"/>
  <c r="B4127" i="1"/>
  <c r="O4126" i="1"/>
  <c r="E4126" i="1"/>
  <c r="B4126" i="1"/>
  <c r="O4125" i="1"/>
  <c r="E4125" i="1"/>
  <c r="B4125" i="1"/>
  <c r="O4124" i="1"/>
  <c r="E4124" i="1"/>
  <c r="B4124" i="1"/>
  <c r="O4123" i="1"/>
  <c r="E4123" i="1"/>
  <c r="B4123" i="1"/>
  <c r="O4122" i="1"/>
  <c r="E4122" i="1"/>
  <c r="B4122" i="1"/>
  <c r="O4121" i="1"/>
  <c r="E4121" i="1"/>
  <c r="B4121" i="1"/>
  <c r="O4120" i="1"/>
  <c r="E4120" i="1"/>
  <c r="B4120" i="1"/>
  <c r="O4119" i="1"/>
  <c r="E4119" i="1"/>
  <c r="B4119" i="1"/>
  <c r="O4118" i="1"/>
  <c r="E4118" i="1"/>
  <c r="B4118" i="1"/>
  <c r="O4117" i="1"/>
  <c r="E4117" i="1"/>
  <c r="B4117" i="1"/>
  <c r="O4116" i="1"/>
  <c r="E4116" i="1"/>
  <c r="B4116" i="1"/>
  <c r="O4115" i="1"/>
  <c r="E4115" i="1"/>
  <c r="B4115" i="1"/>
  <c r="O4114" i="1"/>
  <c r="E4114" i="1"/>
  <c r="B4114" i="1"/>
  <c r="O4113" i="1"/>
  <c r="E4113" i="1"/>
  <c r="B4113" i="1"/>
  <c r="O4112" i="1"/>
  <c r="E4112" i="1"/>
  <c r="B4112" i="1"/>
  <c r="O4111" i="1"/>
  <c r="E4111" i="1"/>
  <c r="B4111" i="1"/>
  <c r="O4110" i="1"/>
  <c r="E4110" i="1"/>
  <c r="B4110" i="1"/>
  <c r="O4109" i="1"/>
  <c r="E4109" i="1"/>
  <c r="B4109" i="1"/>
  <c r="O4108" i="1"/>
  <c r="E4108" i="1"/>
  <c r="B4108" i="1"/>
  <c r="O4107" i="1"/>
  <c r="E4107" i="1"/>
  <c r="B4107" i="1"/>
  <c r="O4106" i="1"/>
  <c r="E4106" i="1"/>
  <c r="B4106" i="1"/>
  <c r="O4105" i="1"/>
  <c r="E4105" i="1"/>
  <c r="B4105" i="1"/>
  <c r="O4104" i="1"/>
  <c r="E4104" i="1"/>
  <c r="B4104" i="1"/>
  <c r="O4103" i="1"/>
  <c r="E4103" i="1"/>
  <c r="B4103" i="1"/>
  <c r="O4102" i="1"/>
  <c r="E4102" i="1"/>
  <c r="B4102" i="1"/>
  <c r="O4101" i="1"/>
  <c r="E4101" i="1"/>
  <c r="B4101" i="1"/>
  <c r="O4100" i="1"/>
  <c r="E4100" i="1"/>
  <c r="B4100" i="1"/>
  <c r="O4099" i="1"/>
  <c r="E4099" i="1"/>
  <c r="B4099" i="1"/>
  <c r="O4098" i="1"/>
  <c r="E4098" i="1"/>
  <c r="B4098" i="1"/>
  <c r="O4097" i="1"/>
  <c r="E4097" i="1"/>
  <c r="B4097" i="1"/>
  <c r="O4096" i="1"/>
  <c r="E4096" i="1"/>
  <c r="B4096" i="1"/>
  <c r="O4095" i="1"/>
  <c r="E4095" i="1"/>
  <c r="B4095" i="1"/>
  <c r="O4094" i="1"/>
  <c r="E4094" i="1"/>
  <c r="B4094" i="1"/>
  <c r="O4093" i="1"/>
  <c r="E4093" i="1"/>
  <c r="B4093" i="1"/>
  <c r="O4092" i="1"/>
  <c r="E4092" i="1"/>
  <c r="B4092" i="1"/>
  <c r="O4091" i="1"/>
  <c r="E4091" i="1"/>
  <c r="B4091" i="1"/>
  <c r="O4090" i="1"/>
  <c r="E4090" i="1"/>
  <c r="B4090" i="1"/>
  <c r="O4089" i="1"/>
  <c r="E4089" i="1"/>
  <c r="B4089" i="1"/>
  <c r="O4088" i="1"/>
  <c r="E4088" i="1"/>
  <c r="B4088" i="1"/>
  <c r="O4087" i="1"/>
  <c r="E4087" i="1"/>
  <c r="B4087" i="1"/>
  <c r="O4086" i="1"/>
  <c r="E4086" i="1"/>
  <c r="B4086" i="1"/>
  <c r="O4085" i="1"/>
  <c r="E4085" i="1"/>
  <c r="B4085" i="1"/>
  <c r="O4084" i="1"/>
  <c r="E4084" i="1"/>
  <c r="B4084" i="1"/>
  <c r="O4083" i="1"/>
  <c r="E4083" i="1"/>
  <c r="B4083" i="1"/>
  <c r="O4082" i="1"/>
  <c r="E4082" i="1"/>
  <c r="B4082" i="1"/>
  <c r="O4081" i="1"/>
  <c r="E4081" i="1"/>
  <c r="B4081" i="1"/>
  <c r="O4080" i="1"/>
  <c r="E4080" i="1"/>
  <c r="B4080" i="1"/>
  <c r="O4079" i="1"/>
  <c r="E4079" i="1"/>
  <c r="B4079" i="1"/>
  <c r="O4078" i="1"/>
  <c r="E4078" i="1"/>
  <c r="B4078" i="1"/>
  <c r="O4077" i="1"/>
  <c r="E4077" i="1"/>
  <c r="B4077" i="1"/>
  <c r="O4076" i="1"/>
  <c r="E4076" i="1"/>
  <c r="B4076" i="1"/>
  <c r="O4075" i="1"/>
  <c r="E4075" i="1"/>
  <c r="B4075" i="1"/>
  <c r="O4074" i="1"/>
  <c r="E4074" i="1"/>
  <c r="B4074" i="1"/>
  <c r="O4073" i="1"/>
  <c r="E4073" i="1"/>
  <c r="B4073" i="1"/>
  <c r="O4072" i="1"/>
  <c r="E4072" i="1"/>
  <c r="B4072" i="1"/>
  <c r="O4071" i="1"/>
  <c r="E4071" i="1"/>
  <c r="B4071" i="1"/>
  <c r="O4070" i="1"/>
  <c r="E4070" i="1"/>
  <c r="B4070" i="1"/>
  <c r="O4069" i="1"/>
  <c r="E4069" i="1"/>
  <c r="B4069" i="1"/>
  <c r="O4068" i="1"/>
  <c r="E4068" i="1"/>
  <c r="B4068" i="1"/>
  <c r="O4067" i="1"/>
  <c r="E4067" i="1"/>
  <c r="B4067" i="1"/>
  <c r="O4066" i="1"/>
  <c r="E4066" i="1"/>
  <c r="B4066" i="1"/>
  <c r="O4065" i="1"/>
  <c r="E4065" i="1"/>
  <c r="B4065" i="1"/>
  <c r="O4064" i="1"/>
  <c r="E4064" i="1"/>
  <c r="B4064" i="1"/>
  <c r="O4063" i="1"/>
  <c r="E4063" i="1"/>
  <c r="B4063" i="1"/>
  <c r="O4062" i="1"/>
  <c r="E4062" i="1"/>
  <c r="B4062" i="1"/>
  <c r="O4061" i="1"/>
  <c r="E4061" i="1"/>
  <c r="B4061" i="1"/>
  <c r="O4060" i="1"/>
  <c r="E4060" i="1"/>
  <c r="B4060" i="1"/>
  <c r="O4059" i="1"/>
  <c r="E4059" i="1"/>
  <c r="B4059" i="1"/>
  <c r="O4058" i="1"/>
  <c r="E4058" i="1"/>
  <c r="B4058" i="1"/>
  <c r="O4057" i="1"/>
  <c r="E4057" i="1"/>
  <c r="B4057" i="1"/>
  <c r="O4056" i="1"/>
  <c r="E4056" i="1"/>
  <c r="B4056" i="1"/>
  <c r="O4055" i="1"/>
  <c r="E4055" i="1"/>
  <c r="B4055" i="1"/>
  <c r="O4054" i="1"/>
  <c r="E4054" i="1"/>
  <c r="B4054" i="1"/>
  <c r="O4053" i="1"/>
  <c r="E4053" i="1"/>
  <c r="B4053" i="1"/>
  <c r="O4052" i="1"/>
  <c r="E4052" i="1"/>
  <c r="B4052" i="1"/>
  <c r="O4051" i="1"/>
  <c r="E4051" i="1"/>
  <c r="B4051" i="1"/>
  <c r="O4050" i="1"/>
  <c r="E4050" i="1"/>
  <c r="B4050" i="1"/>
  <c r="O4049" i="1"/>
  <c r="E4049" i="1"/>
  <c r="B4049" i="1"/>
  <c r="O4048" i="1"/>
  <c r="E4048" i="1"/>
  <c r="B4048" i="1"/>
  <c r="O4047" i="1"/>
  <c r="E4047" i="1"/>
  <c r="B4047" i="1"/>
  <c r="O4046" i="1"/>
  <c r="E4046" i="1"/>
  <c r="B4046" i="1"/>
  <c r="O4045" i="1"/>
  <c r="E4045" i="1"/>
  <c r="B4045" i="1"/>
  <c r="O4044" i="1"/>
  <c r="E4044" i="1"/>
  <c r="B4044" i="1"/>
  <c r="O4043" i="1"/>
  <c r="E4043" i="1"/>
  <c r="B4043" i="1"/>
  <c r="O4042" i="1"/>
  <c r="E4042" i="1"/>
  <c r="B4042" i="1"/>
  <c r="O4041" i="1"/>
  <c r="E4041" i="1"/>
  <c r="B4041" i="1"/>
  <c r="O4040" i="1"/>
  <c r="E4040" i="1"/>
  <c r="B4040" i="1"/>
  <c r="O4039" i="1"/>
  <c r="E4039" i="1"/>
  <c r="B4039" i="1"/>
  <c r="O4038" i="1"/>
  <c r="E4038" i="1"/>
  <c r="B4038" i="1"/>
  <c r="O4037" i="1"/>
  <c r="E4037" i="1"/>
  <c r="B4037" i="1"/>
  <c r="O4036" i="1"/>
  <c r="E4036" i="1"/>
  <c r="B4036" i="1"/>
  <c r="O4035" i="1"/>
  <c r="E4035" i="1"/>
  <c r="B4035" i="1"/>
  <c r="O4034" i="1"/>
  <c r="E4034" i="1"/>
  <c r="B4034" i="1"/>
  <c r="O4033" i="1"/>
  <c r="E4033" i="1"/>
  <c r="B4033" i="1"/>
  <c r="O4032" i="1"/>
  <c r="E4032" i="1"/>
  <c r="B4032" i="1"/>
  <c r="O4031" i="1"/>
  <c r="E4031" i="1"/>
  <c r="B4031" i="1"/>
  <c r="O4030" i="1"/>
  <c r="E4030" i="1"/>
  <c r="B4030" i="1"/>
  <c r="O4029" i="1"/>
  <c r="E4029" i="1"/>
  <c r="B4029" i="1"/>
  <c r="O4028" i="1"/>
  <c r="E4028" i="1"/>
  <c r="B4028" i="1"/>
  <c r="O4027" i="1"/>
  <c r="E4027" i="1"/>
  <c r="B4027" i="1"/>
  <c r="O4026" i="1"/>
  <c r="E4026" i="1"/>
  <c r="B4026" i="1"/>
  <c r="O4025" i="1"/>
  <c r="E4025" i="1"/>
  <c r="B4025" i="1"/>
  <c r="O4024" i="1"/>
  <c r="E4024" i="1"/>
  <c r="B4024" i="1"/>
  <c r="O4023" i="1"/>
  <c r="E4023" i="1"/>
  <c r="B4023" i="1"/>
  <c r="O4022" i="1"/>
  <c r="E4022" i="1"/>
  <c r="B4022" i="1"/>
  <c r="O4021" i="1"/>
  <c r="E4021" i="1"/>
  <c r="B4021" i="1"/>
  <c r="O4020" i="1"/>
  <c r="E4020" i="1"/>
  <c r="B4020" i="1"/>
  <c r="O4019" i="1"/>
  <c r="E4019" i="1"/>
  <c r="B4019" i="1"/>
  <c r="O4018" i="1"/>
  <c r="E4018" i="1"/>
  <c r="B4018" i="1"/>
  <c r="O4017" i="1"/>
  <c r="E4017" i="1"/>
  <c r="B4017" i="1"/>
  <c r="O4016" i="1"/>
  <c r="E4016" i="1"/>
  <c r="B4016" i="1"/>
  <c r="O4015" i="1"/>
  <c r="E4015" i="1"/>
  <c r="B4015" i="1"/>
  <c r="O4014" i="1"/>
  <c r="E4014" i="1"/>
  <c r="B4014" i="1"/>
  <c r="O4013" i="1"/>
  <c r="E4013" i="1"/>
  <c r="B4013" i="1"/>
  <c r="O4012" i="1"/>
  <c r="E4012" i="1"/>
  <c r="B4012" i="1"/>
  <c r="O4011" i="1"/>
  <c r="E4011" i="1"/>
  <c r="B4011" i="1"/>
  <c r="O4010" i="1"/>
  <c r="E4010" i="1"/>
  <c r="B4010" i="1"/>
  <c r="O4009" i="1"/>
  <c r="E4009" i="1"/>
  <c r="B4009" i="1"/>
  <c r="O4008" i="1"/>
  <c r="E4008" i="1"/>
  <c r="B4008" i="1"/>
  <c r="O4007" i="1"/>
  <c r="E4007" i="1"/>
  <c r="B4007" i="1"/>
  <c r="O4006" i="1"/>
  <c r="E4006" i="1"/>
  <c r="B4006" i="1"/>
  <c r="O4005" i="1"/>
  <c r="E4005" i="1"/>
  <c r="B4005" i="1"/>
  <c r="O4004" i="1"/>
  <c r="E4004" i="1"/>
  <c r="B4004" i="1"/>
  <c r="O4003" i="1"/>
  <c r="E4003" i="1"/>
  <c r="B4003" i="1"/>
  <c r="O4002" i="1"/>
  <c r="E4002" i="1"/>
  <c r="B4002" i="1"/>
  <c r="O4001" i="1"/>
  <c r="E4001" i="1"/>
  <c r="B4001" i="1"/>
  <c r="O4000" i="1"/>
  <c r="E4000" i="1"/>
  <c r="B4000" i="1"/>
  <c r="O3999" i="1"/>
  <c r="E3999" i="1"/>
  <c r="B3999" i="1"/>
  <c r="O3998" i="1"/>
  <c r="E3998" i="1"/>
  <c r="B3998" i="1"/>
  <c r="O3997" i="1"/>
  <c r="E3997" i="1"/>
  <c r="B3997" i="1"/>
  <c r="O3996" i="1"/>
  <c r="E3996" i="1"/>
  <c r="B3996" i="1"/>
  <c r="O3995" i="1"/>
  <c r="E3995" i="1"/>
  <c r="B3995" i="1"/>
  <c r="O3994" i="1"/>
  <c r="E3994" i="1"/>
  <c r="B3994" i="1"/>
  <c r="O3993" i="1"/>
  <c r="E3993" i="1"/>
  <c r="B3993" i="1"/>
  <c r="O3992" i="1"/>
  <c r="E3992" i="1"/>
  <c r="B3992" i="1"/>
  <c r="O3991" i="1"/>
  <c r="E3991" i="1"/>
  <c r="B3991" i="1"/>
  <c r="O3990" i="1"/>
  <c r="E3990" i="1"/>
  <c r="B3990" i="1"/>
  <c r="O3989" i="1"/>
  <c r="E3989" i="1"/>
  <c r="B3989" i="1"/>
  <c r="O3988" i="1"/>
  <c r="E3988" i="1"/>
  <c r="B3988" i="1"/>
  <c r="O3987" i="1"/>
  <c r="E3987" i="1"/>
  <c r="B3987" i="1"/>
  <c r="O3986" i="1"/>
  <c r="E3986" i="1"/>
  <c r="B3986" i="1"/>
  <c r="O3985" i="1"/>
  <c r="E3985" i="1"/>
  <c r="B3985" i="1"/>
  <c r="O3984" i="1"/>
  <c r="E3984" i="1"/>
  <c r="B3984" i="1"/>
  <c r="O3983" i="1"/>
  <c r="E3983" i="1"/>
  <c r="B3983" i="1"/>
  <c r="O3982" i="1"/>
  <c r="E3982" i="1"/>
  <c r="B3982" i="1"/>
  <c r="O3981" i="1"/>
  <c r="E3981" i="1"/>
  <c r="B3981" i="1"/>
  <c r="O3980" i="1"/>
  <c r="E3980" i="1"/>
  <c r="B3980" i="1"/>
  <c r="O3979" i="1"/>
  <c r="E3979" i="1"/>
  <c r="B3979" i="1"/>
  <c r="O3978" i="1"/>
  <c r="E3978" i="1"/>
  <c r="B3978" i="1"/>
  <c r="O3977" i="1"/>
  <c r="E3977" i="1"/>
  <c r="B3977" i="1"/>
  <c r="O3976" i="1"/>
  <c r="E3976" i="1"/>
  <c r="B3976" i="1"/>
  <c r="O3975" i="1"/>
  <c r="E3975" i="1"/>
  <c r="B3975" i="1"/>
  <c r="O3974" i="1"/>
  <c r="E3974" i="1"/>
  <c r="B3974" i="1"/>
  <c r="O3973" i="1"/>
  <c r="E3973" i="1"/>
  <c r="B3973" i="1"/>
  <c r="O3972" i="1"/>
  <c r="E3972" i="1"/>
  <c r="B3972" i="1"/>
  <c r="O3971" i="1"/>
  <c r="E3971" i="1"/>
  <c r="B3971" i="1"/>
  <c r="O3970" i="1"/>
  <c r="E3970" i="1"/>
  <c r="B3970" i="1"/>
  <c r="O3969" i="1"/>
  <c r="E3969" i="1"/>
  <c r="B3969" i="1"/>
  <c r="O3968" i="1"/>
  <c r="E3968" i="1"/>
  <c r="B3968" i="1"/>
  <c r="O3967" i="1"/>
  <c r="E3967" i="1"/>
  <c r="B3967" i="1"/>
  <c r="O3966" i="1"/>
  <c r="E3966" i="1"/>
  <c r="B3966" i="1"/>
  <c r="O3965" i="1"/>
  <c r="E3965" i="1"/>
  <c r="B3965" i="1"/>
  <c r="O3964" i="1"/>
  <c r="E3964" i="1"/>
  <c r="B3964" i="1"/>
  <c r="O3963" i="1"/>
  <c r="E3963" i="1"/>
  <c r="B3963" i="1"/>
  <c r="O3962" i="1"/>
  <c r="E3962" i="1"/>
  <c r="B3962" i="1"/>
  <c r="O3961" i="1"/>
  <c r="E3961" i="1"/>
  <c r="B3961" i="1"/>
  <c r="O3960" i="1"/>
  <c r="E3960" i="1"/>
  <c r="B3960" i="1"/>
  <c r="O3959" i="1"/>
  <c r="E3959" i="1"/>
  <c r="B3959" i="1"/>
  <c r="O3958" i="1"/>
  <c r="E3958" i="1"/>
  <c r="B3958" i="1"/>
  <c r="O3957" i="1"/>
  <c r="E3957" i="1"/>
  <c r="B3957" i="1"/>
  <c r="O3956" i="1"/>
  <c r="E3956" i="1"/>
  <c r="B3956" i="1"/>
  <c r="O3955" i="1"/>
  <c r="E3955" i="1"/>
  <c r="B3955" i="1"/>
  <c r="O3954" i="1"/>
  <c r="E3954" i="1"/>
  <c r="B3954" i="1"/>
  <c r="O3953" i="1"/>
  <c r="E3953" i="1"/>
  <c r="B3953" i="1"/>
  <c r="O3952" i="1"/>
  <c r="E3952" i="1"/>
  <c r="B3952" i="1"/>
  <c r="O3951" i="1"/>
  <c r="E3951" i="1"/>
  <c r="B3951" i="1"/>
  <c r="O3950" i="1"/>
  <c r="E3950" i="1"/>
  <c r="B3950" i="1"/>
  <c r="O3949" i="1"/>
  <c r="E3949" i="1"/>
  <c r="B3949" i="1"/>
  <c r="O3948" i="1"/>
  <c r="E3948" i="1"/>
  <c r="B3948" i="1"/>
  <c r="O3947" i="1"/>
  <c r="E3947" i="1"/>
  <c r="B3947" i="1"/>
  <c r="O3946" i="1"/>
  <c r="E3946" i="1"/>
  <c r="B3946" i="1"/>
  <c r="O3945" i="1"/>
  <c r="E3945" i="1"/>
  <c r="B3945" i="1"/>
  <c r="O3944" i="1"/>
  <c r="E3944" i="1"/>
  <c r="B3944" i="1"/>
  <c r="O3943" i="1"/>
  <c r="E3943" i="1"/>
  <c r="B3943" i="1"/>
  <c r="O3942" i="1"/>
  <c r="E3942" i="1"/>
  <c r="B3942" i="1"/>
  <c r="O3941" i="1"/>
  <c r="E3941" i="1"/>
  <c r="B3941" i="1"/>
  <c r="O3940" i="1"/>
  <c r="E3940" i="1"/>
  <c r="B3940" i="1"/>
  <c r="O3939" i="1"/>
  <c r="E3939" i="1"/>
  <c r="B3939" i="1"/>
  <c r="O3938" i="1"/>
  <c r="E3938" i="1"/>
  <c r="B3938" i="1"/>
  <c r="O3937" i="1"/>
  <c r="E3937" i="1"/>
  <c r="B3937" i="1"/>
  <c r="O3936" i="1"/>
  <c r="E3936" i="1"/>
  <c r="B3936" i="1"/>
  <c r="O3935" i="1"/>
  <c r="E3935" i="1"/>
  <c r="B3935" i="1"/>
  <c r="O3934" i="1"/>
  <c r="E3934" i="1"/>
  <c r="B3934" i="1"/>
  <c r="O3933" i="1"/>
  <c r="E3933" i="1"/>
  <c r="B3933" i="1"/>
  <c r="O3932" i="1"/>
  <c r="E3932" i="1"/>
  <c r="B3932" i="1"/>
  <c r="O3931" i="1"/>
  <c r="E3931" i="1"/>
  <c r="B3931" i="1"/>
  <c r="O3930" i="1"/>
  <c r="E3930" i="1"/>
  <c r="B3930" i="1"/>
  <c r="O3929" i="1"/>
  <c r="E3929" i="1"/>
  <c r="B3929" i="1"/>
  <c r="O3928" i="1"/>
  <c r="E3928" i="1"/>
  <c r="B3928" i="1"/>
  <c r="O3927" i="1"/>
  <c r="E3927" i="1"/>
  <c r="B3927" i="1"/>
  <c r="O3926" i="1"/>
  <c r="E3926" i="1"/>
  <c r="B3926" i="1"/>
  <c r="O3925" i="1"/>
  <c r="E3925" i="1"/>
  <c r="B3925" i="1"/>
  <c r="O3924" i="1"/>
  <c r="E3924" i="1"/>
  <c r="B3924" i="1"/>
  <c r="O3923" i="1"/>
  <c r="E3923" i="1"/>
  <c r="B3923" i="1"/>
  <c r="O3922" i="1"/>
  <c r="E3922" i="1"/>
  <c r="B3922" i="1"/>
  <c r="O3921" i="1"/>
  <c r="E3921" i="1"/>
  <c r="B3921" i="1"/>
  <c r="O3920" i="1"/>
  <c r="E3920" i="1"/>
  <c r="B3920" i="1"/>
  <c r="O3919" i="1"/>
  <c r="E3919" i="1"/>
  <c r="B3919" i="1"/>
  <c r="O3918" i="1"/>
  <c r="E3918" i="1"/>
  <c r="B3918" i="1"/>
  <c r="O3917" i="1"/>
  <c r="E3917" i="1"/>
  <c r="B3917" i="1"/>
  <c r="O3916" i="1"/>
  <c r="E3916" i="1"/>
  <c r="B3916" i="1"/>
  <c r="O3915" i="1"/>
  <c r="E3915" i="1"/>
  <c r="B3915" i="1"/>
  <c r="O3914" i="1"/>
  <c r="E3914" i="1"/>
  <c r="B3914" i="1"/>
  <c r="O3913" i="1"/>
  <c r="E3913" i="1"/>
  <c r="B3913" i="1"/>
  <c r="O3912" i="1"/>
  <c r="E3912" i="1"/>
  <c r="B3912" i="1"/>
  <c r="O3911" i="1"/>
  <c r="E3911" i="1"/>
  <c r="B3911" i="1"/>
  <c r="O3910" i="1"/>
  <c r="E3910" i="1"/>
  <c r="B3910" i="1"/>
  <c r="O3909" i="1"/>
  <c r="E3909" i="1"/>
  <c r="B3909" i="1"/>
  <c r="O3908" i="1"/>
  <c r="E3908" i="1"/>
  <c r="B3908" i="1"/>
  <c r="O3907" i="1"/>
  <c r="E3907" i="1"/>
  <c r="B3907" i="1"/>
  <c r="O3906" i="1"/>
  <c r="E3906" i="1"/>
  <c r="B3906" i="1"/>
  <c r="O3905" i="1"/>
  <c r="E3905" i="1"/>
  <c r="B3905" i="1"/>
  <c r="O3904" i="1"/>
  <c r="E3904" i="1"/>
  <c r="B3904" i="1"/>
  <c r="O3903" i="1"/>
  <c r="E3903" i="1"/>
  <c r="B3903" i="1"/>
  <c r="O3902" i="1"/>
  <c r="E3902" i="1"/>
  <c r="B3902" i="1"/>
  <c r="O3901" i="1"/>
  <c r="E3901" i="1"/>
  <c r="B3901" i="1"/>
  <c r="O3900" i="1"/>
  <c r="E3900" i="1"/>
  <c r="B3900" i="1"/>
  <c r="O3899" i="1"/>
  <c r="E3899" i="1"/>
  <c r="B3899" i="1"/>
  <c r="O3898" i="1"/>
  <c r="E3898" i="1"/>
  <c r="B3898" i="1"/>
  <c r="O3897" i="1"/>
  <c r="E3897" i="1"/>
  <c r="B3897" i="1"/>
  <c r="O3896" i="1"/>
  <c r="E3896" i="1"/>
  <c r="B3896" i="1"/>
  <c r="O3895" i="1"/>
  <c r="E3895" i="1"/>
  <c r="B3895" i="1"/>
  <c r="O3894" i="1"/>
  <c r="E3894" i="1"/>
  <c r="B3894" i="1"/>
  <c r="O3893" i="1"/>
  <c r="E3893" i="1"/>
  <c r="B3893" i="1"/>
  <c r="O3892" i="1"/>
  <c r="E3892" i="1"/>
  <c r="B3892" i="1"/>
  <c r="O3891" i="1"/>
  <c r="E3891" i="1"/>
  <c r="B3891" i="1"/>
  <c r="O3890" i="1"/>
  <c r="E3890" i="1"/>
  <c r="B3890" i="1"/>
  <c r="O3889" i="1"/>
  <c r="E3889" i="1"/>
  <c r="B3889" i="1"/>
  <c r="O3888" i="1"/>
  <c r="E3888" i="1"/>
  <c r="B3888" i="1"/>
  <c r="O3887" i="1"/>
  <c r="E3887" i="1"/>
  <c r="B3887" i="1"/>
  <c r="O3886" i="1"/>
  <c r="E3886" i="1"/>
  <c r="B3886" i="1"/>
  <c r="O3885" i="1"/>
  <c r="E3885" i="1"/>
  <c r="B3885" i="1"/>
  <c r="O3884" i="1"/>
  <c r="E3884" i="1"/>
  <c r="B3884" i="1"/>
  <c r="O3883" i="1"/>
  <c r="E3883" i="1"/>
  <c r="B3883" i="1"/>
  <c r="O3882" i="1"/>
  <c r="E3882" i="1"/>
  <c r="B3882" i="1"/>
  <c r="O3881" i="1"/>
  <c r="E3881" i="1"/>
  <c r="B3881" i="1"/>
  <c r="O3880" i="1"/>
  <c r="E3880" i="1"/>
  <c r="B3880" i="1"/>
  <c r="O3879" i="1"/>
  <c r="E3879" i="1"/>
  <c r="B3879" i="1"/>
  <c r="O3878" i="1"/>
  <c r="E3878" i="1"/>
  <c r="B3878" i="1"/>
  <c r="O3877" i="1"/>
  <c r="E3877" i="1"/>
  <c r="B3877" i="1"/>
  <c r="O3876" i="1"/>
  <c r="E3876" i="1"/>
  <c r="B3876" i="1"/>
  <c r="O3875" i="1"/>
  <c r="E3875" i="1"/>
  <c r="B3875" i="1"/>
  <c r="O3874" i="1"/>
  <c r="E3874" i="1"/>
  <c r="B3874" i="1"/>
  <c r="O3873" i="1"/>
  <c r="E3873" i="1"/>
  <c r="B3873" i="1"/>
  <c r="O3872" i="1"/>
  <c r="E3872" i="1"/>
  <c r="B3872" i="1"/>
  <c r="O3871" i="1"/>
  <c r="E3871" i="1"/>
  <c r="B3871" i="1"/>
  <c r="O3870" i="1"/>
  <c r="E3870" i="1"/>
  <c r="B3870" i="1"/>
  <c r="O3869" i="1"/>
  <c r="E3869" i="1"/>
  <c r="B3869" i="1"/>
  <c r="O3868" i="1"/>
  <c r="E3868" i="1"/>
  <c r="B3868" i="1"/>
  <c r="O3867" i="1"/>
  <c r="E3867" i="1"/>
  <c r="B3867" i="1"/>
  <c r="O3866" i="1"/>
  <c r="E3866" i="1"/>
  <c r="B3866" i="1"/>
  <c r="O3865" i="1"/>
  <c r="E3865" i="1"/>
  <c r="B3865" i="1"/>
  <c r="O3864" i="1"/>
  <c r="E3864" i="1"/>
  <c r="B3864" i="1"/>
  <c r="O3863" i="1"/>
  <c r="E3863" i="1"/>
  <c r="B3863" i="1"/>
  <c r="O3862" i="1"/>
  <c r="E3862" i="1"/>
  <c r="B3862" i="1"/>
  <c r="O3861" i="1"/>
  <c r="E3861" i="1"/>
  <c r="B3861" i="1"/>
  <c r="O3860" i="1"/>
  <c r="E3860" i="1"/>
  <c r="B3860" i="1"/>
  <c r="O3859" i="1"/>
  <c r="E3859" i="1"/>
  <c r="B3859" i="1"/>
  <c r="O3858" i="1"/>
  <c r="E3858" i="1"/>
  <c r="B3858" i="1"/>
  <c r="O3857" i="1"/>
  <c r="E3857" i="1"/>
  <c r="B3857" i="1"/>
  <c r="O3856" i="1"/>
  <c r="E3856" i="1"/>
  <c r="B3856" i="1"/>
  <c r="O3855" i="1"/>
  <c r="E3855" i="1"/>
  <c r="B3855" i="1"/>
  <c r="O3854" i="1"/>
  <c r="E3854" i="1"/>
  <c r="B3854" i="1"/>
  <c r="O3853" i="1"/>
  <c r="E3853" i="1"/>
  <c r="B3853" i="1"/>
  <c r="O3852" i="1"/>
  <c r="E3852" i="1"/>
  <c r="B3852" i="1"/>
  <c r="O3851" i="1"/>
  <c r="E3851" i="1"/>
  <c r="B3851" i="1"/>
  <c r="O3850" i="1"/>
  <c r="E3850" i="1"/>
  <c r="B3850" i="1"/>
  <c r="O3849" i="1"/>
  <c r="E3849" i="1"/>
  <c r="B3849" i="1"/>
  <c r="O3848" i="1"/>
  <c r="E3848" i="1"/>
  <c r="B3848" i="1"/>
  <c r="O3847" i="1"/>
  <c r="E3847" i="1"/>
  <c r="B3847" i="1"/>
  <c r="O3846" i="1"/>
  <c r="E3846" i="1"/>
  <c r="B3846" i="1"/>
  <c r="O3845" i="1"/>
  <c r="E3845" i="1"/>
  <c r="B3845" i="1"/>
  <c r="O3844" i="1"/>
  <c r="E3844" i="1"/>
  <c r="B3844" i="1"/>
  <c r="O3843" i="1"/>
  <c r="E3843" i="1"/>
  <c r="B3843" i="1"/>
  <c r="O3842" i="1"/>
  <c r="E3842" i="1"/>
  <c r="B3842" i="1"/>
  <c r="O3841" i="1"/>
  <c r="E3841" i="1"/>
  <c r="B3841" i="1"/>
  <c r="O3840" i="1"/>
  <c r="E3840" i="1"/>
  <c r="B3840" i="1"/>
  <c r="O3839" i="1"/>
  <c r="E3839" i="1"/>
  <c r="B3839" i="1"/>
  <c r="O3838" i="1"/>
  <c r="E3838" i="1"/>
  <c r="B3838" i="1"/>
  <c r="O3837" i="1"/>
  <c r="E3837" i="1"/>
  <c r="B3837" i="1"/>
  <c r="O3836" i="1"/>
  <c r="E3836" i="1"/>
  <c r="B3836" i="1"/>
  <c r="O3835" i="1"/>
  <c r="E3835" i="1"/>
  <c r="B3835" i="1"/>
  <c r="O3834" i="1"/>
  <c r="E3834" i="1"/>
  <c r="B3834" i="1"/>
  <c r="O3833" i="1"/>
  <c r="E3833" i="1"/>
  <c r="B3833" i="1"/>
  <c r="O3832" i="1"/>
  <c r="E3832" i="1"/>
  <c r="B3832" i="1"/>
  <c r="O3831" i="1"/>
  <c r="E3831" i="1"/>
  <c r="B3831" i="1"/>
  <c r="O3830" i="1"/>
  <c r="E3830" i="1"/>
  <c r="B3830" i="1"/>
  <c r="O3829" i="1"/>
  <c r="E3829" i="1"/>
  <c r="B3829" i="1"/>
  <c r="O3828" i="1"/>
  <c r="E3828" i="1"/>
  <c r="B3828" i="1"/>
  <c r="O3827" i="1"/>
  <c r="E3827" i="1"/>
  <c r="B3827" i="1"/>
  <c r="O3826" i="1"/>
  <c r="E3826" i="1"/>
  <c r="B3826" i="1"/>
  <c r="O3825" i="1"/>
  <c r="E3825" i="1"/>
  <c r="B3825" i="1"/>
  <c r="O3824" i="1"/>
  <c r="E3824" i="1"/>
  <c r="B3824" i="1"/>
  <c r="O3823" i="1"/>
  <c r="E3823" i="1"/>
  <c r="B3823" i="1"/>
  <c r="O3822" i="1"/>
  <c r="E3822" i="1"/>
  <c r="B3822" i="1"/>
  <c r="O3821" i="1"/>
  <c r="E3821" i="1"/>
  <c r="B3821" i="1"/>
  <c r="O3820" i="1"/>
  <c r="E3820" i="1"/>
  <c r="B3820" i="1"/>
  <c r="O3819" i="1"/>
  <c r="E3819" i="1"/>
  <c r="B3819" i="1"/>
  <c r="O3818" i="1"/>
  <c r="E3818" i="1"/>
  <c r="B3818" i="1"/>
  <c r="O3817" i="1"/>
  <c r="E3817" i="1"/>
  <c r="B3817" i="1"/>
  <c r="O3816" i="1"/>
  <c r="E3816" i="1"/>
  <c r="B3816" i="1"/>
  <c r="O3815" i="1"/>
  <c r="E3815" i="1"/>
  <c r="B3815" i="1"/>
  <c r="O3814" i="1"/>
  <c r="E3814" i="1"/>
  <c r="B3814" i="1"/>
  <c r="O3813" i="1"/>
  <c r="E3813" i="1"/>
  <c r="B3813" i="1"/>
  <c r="O3812" i="1"/>
  <c r="E3812" i="1"/>
  <c r="B3812" i="1"/>
  <c r="O3811" i="1"/>
  <c r="E3811" i="1"/>
  <c r="B3811" i="1"/>
  <c r="O3810" i="1"/>
  <c r="E3810" i="1"/>
  <c r="B3810" i="1"/>
  <c r="O3809" i="1"/>
  <c r="E3809" i="1"/>
  <c r="B3809" i="1"/>
  <c r="O3808" i="1"/>
  <c r="E3808" i="1"/>
  <c r="B3808" i="1"/>
  <c r="O3807" i="1"/>
  <c r="E3807" i="1"/>
  <c r="B3807" i="1"/>
  <c r="O3806" i="1"/>
  <c r="E3806" i="1"/>
  <c r="B3806" i="1"/>
  <c r="O3805" i="1"/>
  <c r="E3805" i="1"/>
  <c r="B3805" i="1"/>
  <c r="O3804" i="1"/>
  <c r="E3804" i="1"/>
  <c r="B3804" i="1"/>
  <c r="O3803" i="1"/>
  <c r="E3803" i="1"/>
  <c r="B3803" i="1"/>
  <c r="O3802" i="1"/>
  <c r="E3802" i="1"/>
  <c r="B3802" i="1"/>
  <c r="O3801" i="1"/>
  <c r="E3801" i="1"/>
  <c r="B3801" i="1"/>
  <c r="O3800" i="1"/>
  <c r="E3800" i="1"/>
  <c r="B3800" i="1"/>
  <c r="O3799" i="1"/>
  <c r="E3799" i="1"/>
  <c r="B3799" i="1"/>
  <c r="O3798" i="1"/>
  <c r="E3798" i="1"/>
  <c r="B3798" i="1"/>
  <c r="O3797" i="1"/>
  <c r="E3797" i="1"/>
  <c r="B3797" i="1"/>
  <c r="O3796" i="1"/>
  <c r="E3796" i="1"/>
  <c r="B3796" i="1"/>
  <c r="O3795" i="1"/>
  <c r="E3795" i="1"/>
  <c r="B3795" i="1"/>
  <c r="O3794" i="1"/>
  <c r="E3794" i="1"/>
  <c r="B3794" i="1"/>
  <c r="O3793" i="1"/>
  <c r="E3793" i="1"/>
  <c r="B3793" i="1"/>
  <c r="O3792" i="1"/>
  <c r="E3792" i="1"/>
  <c r="B3792" i="1"/>
  <c r="O3791" i="1"/>
  <c r="E3791" i="1"/>
  <c r="B3791" i="1"/>
  <c r="O3790" i="1"/>
  <c r="E3790" i="1"/>
  <c r="B3790" i="1"/>
  <c r="O3789" i="1"/>
  <c r="E3789" i="1"/>
  <c r="B3789" i="1"/>
  <c r="O3788" i="1"/>
  <c r="E3788" i="1"/>
  <c r="B3788" i="1"/>
  <c r="O3787" i="1"/>
  <c r="E3787" i="1"/>
  <c r="B3787" i="1"/>
  <c r="O3786" i="1"/>
  <c r="E3786" i="1"/>
  <c r="B3786" i="1"/>
  <c r="O3785" i="1"/>
  <c r="E3785" i="1"/>
  <c r="B3785" i="1"/>
  <c r="O3784" i="1"/>
  <c r="E3784" i="1"/>
  <c r="B3784" i="1"/>
  <c r="O3783" i="1"/>
  <c r="E3783" i="1"/>
  <c r="B3783" i="1"/>
  <c r="O3782" i="1"/>
  <c r="E3782" i="1"/>
  <c r="B3782" i="1"/>
  <c r="O3781" i="1"/>
  <c r="E3781" i="1"/>
  <c r="B3781" i="1"/>
  <c r="O3780" i="1"/>
  <c r="E3780" i="1"/>
  <c r="B3780" i="1"/>
  <c r="O3779" i="1"/>
  <c r="E3779" i="1"/>
  <c r="B3779" i="1"/>
  <c r="O3778" i="1"/>
  <c r="E3778" i="1"/>
  <c r="B3778" i="1"/>
  <c r="O3777" i="1"/>
  <c r="E3777" i="1"/>
  <c r="B3777" i="1"/>
  <c r="O3776" i="1"/>
  <c r="E3776" i="1"/>
  <c r="B3776" i="1"/>
  <c r="O3775" i="1"/>
  <c r="E3775" i="1"/>
  <c r="B3775" i="1"/>
  <c r="O3774" i="1"/>
  <c r="E3774" i="1"/>
  <c r="B3774" i="1"/>
  <c r="O3773" i="1"/>
  <c r="E3773" i="1"/>
  <c r="B3773" i="1"/>
  <c r="O3772" i="1"/>
  <c r="E3772" i="1"/>
  <c r="B3772" i="1"/>
  <c r="O3771" i="1"/>
  <c r="E3771" i="1"/>
  <c r="B3771" i="1"/>
  <c r="O3770" i="1"/>
  <c r="E3770" i="1"/>
  <c r="B3770" i="1"/>
  <c r="O3769" i="1"/>
  <c r="E3769" i="1"/>
  <c r="B3769" i="1"/>
  <c r="O3768" i="1"/>
  <c r="E3768" i="1"/>
  <c r="B3768" i="1"/>
  <c r="O3767" i="1"/>
  <c r="E3767" i="1"/>
  <c r="B3767" i="1"/>
  <c r="O3766" i="1"/>
  <c r="E3766" i="1"/>
  <c r="B3766" i="1"/>
  <c r="O3765" i="1"/>
  <c r="E3765" i="1"/>
  <c r="B3765" i="1"/>
  <c r="O3764" i="1"/>
  <c r="E3764" i="1"/>
  <c r="B3764" i="1"/>
  <c r="O3763" i="1"/>
  <c r="E3763" i="1"/>
  <c r="B3763" i="1"/>
  <c r="O3762" i="1"/>
  <c r="E3762" i="1"/>
  <c r="B3762" i="1"/>
  <c r="O3761" i="1"/>
  <c r="E3761" i="1"/>
  <c r="B3761" i="1"/>
  <c r="O3760" i="1"/>
  <c r="E3760" i="1"/>
  <c r="B3760" i="1"/>
  <c r="O3759" i="1"/>
  <c r="E3759" i="1"/>
  <c r="B3759" i="1"/>
  <c r="O3758" i="1"/>
  <c r="E3758" i="1"/>
  <c r="B3758" i="1"/>
  <c r="O3757" i="1"/>
  <c r="E3757" i="1"/>
  <c r="B3757" i="1"/>
  <c r="O3756" i="1"/>
  <c r="E3756" i="1"/>
  <c r="B3756" i="1"/>
  <c r="O3755" i="1"/>
  <c r="E3755" i="1"/>
  <c r="B3755" i="1"/>
  <c r="O3754" i="1"/>
  <c r="E3754" i="1"/>
  <c r="B3754" i="1"/>
  <c r="O3753" i="1"/>
  <c r="E3753" i="1"/>
  <c r="B3753" i="1"/>
  <c r="O3752" i="1"/>
  <c r="E3752" i="1"/>
  <c r="B3752" i="1"/>
  <c r="O3751" i="1"/>
  <c r="E3751" i="1"/>
  <c r="B3751" i="1"/>
  <c r="O3750" i="1"/>
  <c r="E3750" i="1"/>
  <c r="B3750" i="1"/>
  <c r="O3749" i="1"/>
  <c r="E3749" i="1"/>
  <c r="B3749" i="1"/>
  <c r="O3748" i="1"/>
  <c r="E3748" i="1"/>
  <c r="B3748" i="1"/>
  <c r="O3747" i="1"/>
  <c r="E3747" i="1"/>
  <c r="B3747" i="1"/>
  <c r="O3746" i="1"/>
  <c r="E3746" i="1"/>
  <c r="B3746" i="1"/>
  <c r="O3745" i="1"/>
  <c r="E3745" i="1"/>
  <c r="B3745" i="1"/>
  <c r="O3744" i="1"/>
  <c r="E3744" i="1"/>
  <c r="B3744" i="1"/>
  <c r="O3743" i="1"/>
  <c r="E3743" i="1"/>
  <c r="B3743" i="1"/>
  <c r="O3742" i="1"/>
  <c r="E3742" i="1"/>
  <c r="B3742" i="1"/>
  <c r="O3741" i="1"/>
  <c r="E3741" i="1"/>
  <c r="B3741" i="1"/>
  <c r="O3740" i="1"/>
  <c r="E3740" i="1"/>
  <c r="B3740" i="1"/>
  <c r="O3739" i="1"/>
  <c r="E3739" i="1"/>
  <c r="B3739" i="1"/>
  <c r="O3738" i="1"/>
  <c r="E3738" i="1"/>
  <c r="B3738" i="1"/>
  <c r="O3737" i="1"/>
  <c r="E3737" i="1"/>
  <c r="B3737" i="1"/>
  <c r="O3736" i="1"/>
  <c r="E3736" i="1"/>
  <c r="B3736" i="1"/>
  <c r="O3735" i="1"/>
  <c r="E3735" i="1"/>
  <c r="B3735" i="1"/>
  <c r="O3734" i="1"/>
  <c r="E3734" i="1"/>
  <c r="B3734" i="1"/>
  <c r="O3733" i="1"/>
  <c r="E3733" i="1"/>
  <c r="B3733" i="1"/>
  <c r="O3732" i="1"/>
  <c r="E3732" i="1"/>
  <c r="B3732" i="1"/>
  <c r="O3731" i="1"/>
  <c r="E3731" i="1"/>
  <c r="B3731" i="1"/>
  <c r="O3730" i="1"/>
  <c r="E3730" i="1"/>
  <c r="B3730" i="1"/>
  <c r="O3729" i="1"/>
  <c r="E3729" i="1"/>
  <c r="B3729" i="1"/>
  <c r="O3728" i="1"/>
  <c r="E3728" i="1"/>
  <c r="B3728" i="1"/>
  <c r="O3727" i="1"/>
  <c r="E3727" i="1"/>
  <c r="B3727" i="1"/>
  <c r="O3726" i="1"/>
  <c r="E3726" i="1"/>
  <c r="B3726" i="1"/>
  <c r="O3725" i="1"/>
  <c r="E3725" i="1"/>
  <c r="B3725" i="1"/>
  <c r="O3724" i="1"/>
  <c r="E3724" i="1"/>
  <c r="B3724" i="1"/>
  <c r="O3723" i="1"/>
  <c r="E3723" i="1"/>
  <c r="B3723" i="1"/>
  <c r="O3722" i="1"/>
  <c r="E3722" i="1"/>
  <c r="B3722" i="1"/>
  <c r="O3721" i="1"/>
  <c r="E3721" i="1"/>
  <c r="B3721" i="1"/>
  <c r="O3720" i="1"/>
  <c r="E3720" i="1"/>
  <c r="B3720" i="1"/>
  <c r="O3719" i="1"/>
  <c r="E3719" i="1"/>
  <c r="B3719" i="1"/>
  <c r="O3718" i="1"/>
  <c r="E3718" i="1"/>
  <c r="B3718" i="1"/>
  <c r="O3717" i="1"/>
  <c r="E3717" i="1"/>
  <c r="B3717" i="1"/>
  <c r="O3716" i="1"/>
  <c r="E3716" i="1"/>
  <c r="B3716" i="1"/>
  <c r="O3715" i="1"/>
  <c r="E3715" i="1"/>
  <c r="B3715" i="1"/>
  <c r="O3714" i="1"/>
  <c r="E3714" i="1"/>
  <c r="B3714" i="1"/>
  <c r="O3713" i="1"/>
  <c r="E3713" i="1"/>
  <c r="B3713" i="1"/>
  <c r="O3712" i="1"/>
  <c r="E3712" i="1"/>
  <c r="B3712" i="1"/>
  <c r="O3711" i="1"/>
  <c r="E3711" i="1"/>
  <c r="B3711" i="1"/>
  <c r="O3710" i="1"/>
  <c r="E3710" i="1"/>
  <c r="B3710" i="1"/>
  <c r="O3709" i="1"/>
  <c r="E3709" i="1"/>
  <c r="B3709" i="1"/>
  <c r="O3708" i="1"/>
  <c r="E3708" i="1"/>
  <c r="B3708" i="1"/>
  <c r="O3707" i="1"/>
  <c r="E3707" i="1"/>
  <c r="B3707" i="1"/>
  <c r="O3706" i="1"/>
  <c r="E3706" i="1"/>
  <c r="B3706" i="1"/>
  <c r="O3705" i="1"/>
  <c r="E3705" i="1"/>
  <c r="B3705" i="1"/>
  <c r="O3704" i="1"/>
  <c r="E3704" i="1"/>
  <c r="B3704" i="1"/>
  <c r="O3703" i="1"/>
  <c r="E3703" i="1"/>
  <c r="B3703" i="1"/>
  <c r="O3702" i="1"/>
  <c r="E3702" i="1"/>
  <c r="B3702" i="1"/>
  <c r="O3701" i="1"/>
  <c r="E3701" i="1"/>
  <c r="B3701" i="1"/>
  <c r="O3700" i="1"/>
  <c r="E3700" i="1"/>
  <c r="B3700" i="1"/>
  <c r="O3699" i="1"/>
  <c r="E3699" i="1"/>
  <c r="B3699" i="1"/>
  <c r="O3698" i="1"/>
  <c r="E3698" i="1"/>
  <c r="B3698" i="1"/>
  <c r="O3697" i="1"/>
  <c r="E3697" i="1"/>
  <c r="B3697" i="1"/>
  <c r="O3696" i="1"/>
  <c r="E3696" i="1"/>
  <c r="B3696" i="1"/>
  <c r="O3695" i="1"/>
  <c r="E3695" i="1"/>
  <c r="B3695" i="1"/>
  <c r="O3694" i="1"/>
  <c r="E3694" i="1"/>
  <c r="B3694" i="1"/>
  <c r="O3693" i="1"/>
  <c r="E3693" i="1"/>
  <c r="B3693" i="1"/>
  <c r="O3692" i="1"/>
  <c r="E3692" i="1"/>
  <c r="B3692" i="1"/>
  <c r="O3691" i="1"/>
  <c r="E3691" i="1"/>
  <c r="B3691" i="1"/>
  <c r="O3690" i="1"/>
  <c r="E3690" i="1"/>
  <c r="B3690" i="1"/>
  <c r="O3689" i="1"/>
  <c r="E3689" i="1"/>
  <c r="B3689" i="1"/>
  <c r="O3688" i="1"/>
  <c r="E3688" i="1"/>
  <c r="B3688" i="1"/>
  <c r="O3687" i="1"/>
  <c r="E3687" i="1"/>
  <c r="B3687" i="1"/>
  <c r="O3686" i="1"/>
  <c r="E3686" i="1"/>
  <c r="B3686" i="1"/>
  <c r="O3685" i="1"/>
  <c r="E3685" i="1"/>
  <c r="B3685" i="1"/>
  <c r="O3684" i="1"/>
  <c r="E3684" i="1"/>
  <c r="B3684" i="1"/>
  <c r="O3683" i="1"/>
  <c r="E3683" i="1"/>
  <c r="B3683" i="1"/>
  <c r="O3682" i="1"/>
  <c r="E3682" i="1"/>
  <c r="B3682" i="1"/>
  <c r="O3681" i="1"/>
  <c r="E3681" i="1"/>
  <c r="B3681" i="1"/>
  <c r="O3680" i="1"/>
  <c r="E3680" i="1"/>
  <c r="B3680" i="1"/>
  <c r="O3679" i="1"/>
  <c r="E3679" i="1"/>
  <c r="B3679" i="1"/>
  <c r="O3678" i="1"/>
  <c r="E3678" i="1"/>
  <c r="B3678" i="1"/>
  <c r="O3677" i="1"/>
  <c r="E3677" i="1"/>
  <c r="B3677" i="1"/>
  <c r="O3676" i="1"/>
  <c r="E3676" i="1"/>
  <c r="B3676" i="1"/>
  <c r="O3675" i="1"/>
  <c r="E3675" i="1"/>
  <c r="B3675" i="1"/>
  <c r="O3674" i="1"/>
  <c r="E3674" i="1"/>
  <c r="B3674" i="1"/>
  <c r="O3673" i="1"/>
  <c r="E3673" i="1"/>
  <c r="B3673" i="1"/>
  <c r="O3672" i="1"/>
  <c r="E3672" i="1"/>
  <c r="B3672" i="1"/>
  <c r="O3671" i="1"/>
  <c r="E3671" i="1"/>
  <c r="B3671" i="1"/>
  <c r="O3670" i="1"/>
  <c r="E3670" i="1"/>
  <c r="B3670" i="1"/>
  <c r="O3669" i="1"/>
  <c r="E3669" i="1"/>
  <c r="B3669" i="1"/>
  <c r="O3668" i="1"/>
  <c r="E3668" i="1"/>
  <c r="B3668" i="1"/>
  <c r="O3667" i="1"/>
  <c r="E3667" i="1"/>
  <c r="B3667" i="1"/>
  <c r="O3666" i="1"/>
  <c r="E3666" i="1"/>
  <c r="B3666" i="1"/>
  <c r="O3665" i="1"/>
  <c r="E3665" i="1"/>
  <c r="B3665" i="1"/>
  <c r="O3664" i="1"/>
  <c r="E3664" i="1"/>
  <c r="B3664" i="1"/>
  <c r="O3663" i="1"/>
  <c r="E3663" i="1"/>
  <c r="B3663" i="1"/>
  <c r="O3662" i="1"/>
  <c r="E3662" i="1"/>
  <c r="B3662" i="1"/>
  <c r="O3661" i="1"/>
  <c r="E3661" i="1"/>
  <c r="B3661" i="1"/>
  <c r="O3660" i="1"/>
  <c r="E3660" i="1"/>
  <c r="B3660" i="1"/>
  <c r="O3659" i="1"/>
  <c r="E3659" i="1"/>
  <c r="B3659" i="1"/>
  <c r="O3658" i="1"/>
  <c r="E3658" i="1"/>
  <c r="B3658" i="1"/>
  <c r="O3657" i="1"/>
  <c r="E3657" i="1"/>
  <c r="B3657" i="1"/>
  <c r="O3656" i="1"/>
  <c r="E3656" i="1"/>
  <c r="B3656" i="1"/>
  <c r="O3655" i="1"/>
  <c r="E3655" i="1"/>
  <c r="B3655" i="1"/>
  <c r="O3654" i="1"/>
  <c r="E3654" i="1"/>
  <c r="B3654" i="1"/>
  <c r="O3653" i="1"/>
  <c r="E3653" i="1"/>
  <c r="B3653" i="1"/>
  <c r="O3652" i="1"/>
  <c r="E3652" i="1"/>
  <c r="B3652" i="1"/>
  <c r="O3651" i="1"/>
  <c r="E3651" i="1"/>
  <c r="B3651" i="1"/>
  <c r="O3650" i="1"/>
  <c r="E3650" i="1"/>
  <c r="B3650" i="1"/>
  <c r="O3649" i="1"/>
  <c r="E3649" i="1"/>
  <c r="B3649" i="1"/>
  <c r="O3648" i="1"/>
  <c r="E3648" i="1"/>
  <c r="B3648" i="1"/>
  <c r="O3647" i="1"/>
  <c r="E3647" i="1"/>
  <c r="B3647" i="1"/>
  <c r="O3646" i="1"/>
  <c r="E3646" i="1"/>
  <c r="B3646" i="1"/>
  <c r="O3645" i="1"/>
  <c r="E3645" i="1"/>
  <c r="B3645" i="1"/>
  <c r="O3644" i="1"/>
  <c r="E3644" i="1"/>
  <c r="B3644" i="1"/>
  <c r="O3643" i="1"/>
  <c r="E3643" i="1"/>
  <c r="B3643" i="1"/>
  <c r="O3642" i="1"/>
  <c r="E3642" i="1"/>
  <c r="B3642" i="1"/>
  <c r="O3641" i="1"/>
  <c r="E3641" i="1"/>
  <c r="B3641" i="1"/>
  <c r="O3640" i="1"/>
  <c r="E3640" i="1"/>
  <c r="B3640" i="1"/>
  <c r="O3639" i="1"/>
  <c r="E3639" i="1"/>
  <c r="B3639" i="1"/>
  <c r="O3638" i="1"/>
  <c r="E3638" i="1"/>
  <c r="B3638" i="1"/>
  <c r="O3637" i="1"/>
  <c r="E3637" i="1"/>
  <c r="B3637" i="1"/>
  <c r="O3636" i="1"/>
  <c r="E3636" i="1"/>
  <c r="B3636" i="1"/>
  <c r="O3635" i="1"/>
  <c r="E3635" i="1"/>
  <c r="B3635" i="1"/>
  <c r="O3634" i="1"/>
  <c r="E3634" i="1"/>
  <c r="B3634" i="1"/>
  <c r="O3633" i="1"/>
  <c r="E3633" i="1"/>
  <c r="B3633" i="1"/>
  <c r="O3632" i="1"/>
  <c r="E3632" i="1"/>
  <c r="B3632" i="1"/>
  <c r="O3631" i="1"/>
  <c r="E3631" i="1"/>
  <c r="B3631" i="1"/>
  <c r="O3630" i="1"/>
  <c r="E3630" i="1"/>
  <c r="B3630" i="1"/>
  <c r="O3629" i="1"/>
  <c r="E3629" i="1"/>
  <c r="B3629" i="1"/>
  <c r="O3628" i="1"/>
  <c r="E3628" i="1"/>
  <c r="B3628" i="1"/>
  <c r="O3627" i="1"/>
  <c r="E3627" i="1"/>
  <c r="B3627" i="1"/>
  <c r="O3626" i="1"/>
  <c r="E3626" i="1"/>
  <c r="B3626" i="1"/>
  <c r="O3625" i="1"/>
  <c r="E3625" i="1"/>
  <c r="B3625" i="1"/>
  <c r="O3624" i="1"/>
  <c r="E3624" i="1"/>
  <c r="B3624" i="1"/>
  <c r="O3623" i="1"/>
  <c r="E3623" i="1"/>
  <c r="B3623" i="1"/>
  <c r="O3622" i="1"/>
  <c r="E3622" i="1"/>
  <c r="B3622" i="1"/>
  <c r="O3621" i="1"/>
  <c r="E3621" i="1"/>
  <c r="B3621" i="1"/>
  <c r="O3620" i="1"/>
  <c r="E3620" i="1"/>
  <c r="B3620" i="1"/>
  <c r="O3619" i="1"/>
  <c r="E3619" i="1"/>
  <c r="B3619" i="1"/>
  <c r="O3618" i="1"/>
  <c r="E3618" i="1"/>
  <c r="B3618" i="1"/>
  <c r="O3617" i="1"/>
  <c r="E3617" i="1"/>
  <c r="B3617" i="1"/>
  <c r="O3616" i="1"/>
  <c r="E3616" i="1"/>
  <c r="B3616" i="1"/>
  <c r="O3615" i="1"/>
  <c r="E3615" i="1"/>
  <c r="B3615" i="1"/>
  <c r="O3614" i="1"/>
  <c r="E3614" i="1"/>
  <c r="B3614" i="1"/>
  <c r="O3613" i="1"/>
  <c r="E3613" i="1"/>
  <c r="B3613" i="1"/>
  <c r="O3612" i="1"/>
  <c r="E3612" i="1"/>
  <c r="B3612" i="1"/>
  <c r="O3611" i="1"/>
  <c r="E3611" i="1"/>
  <c r="B3611" i="1"/>
  <c r="O3610" i="1"/>
  <c r="E3610" i="1"/>
  <c r="B3610" i="1"/>
  <c r="O3609" i="1"/>
  <c r="E3609" i="1"/>
  <c r="B3609" i="1"/>
  <c r="O3608" i="1"/>
  <c r="E3608" i="1"/>
  <c r="B3608" i="1"/>
  <c r="O3607" i="1"/>
  <c r="E3607" i="1"/>
  <c r="B3607" i="1"/>
  <c r="O3606" i="1"/>
  <c r="E3606" i="1"/>
  <c r="B3606" i="1"/>
  <c r="O3605" i="1"/>
  <c r="E3605" i="1"/>
  <c r="B3605" i="1"/>
  <c r="O3604" i="1"/>
  <c r="E3604" i="1"/>
  <c r="B3604" i="1"/>
  <c r="O3603" i="1"/>
  <c r="E3603" i="1"/>
  <c r="B3603" i="1"/>
  <c r="O3602" i="1"/>
  <c r="E3602" i="1"/>
  <c r="B3602" i="1"/>
  <c r="O3601" i="1"/>
  <c r="E3601" i="1"/>
  <c r="B3601" i="1"/>
  <c r="O3600" i="1"/>
  <c r="E3600" i="1"/>
  <c r="B3600" i="1"/>
  <c r="O3599" i="1"/>
  <c r="E3599" i="1"/>
  <c r="B3599" i="1"/>
  <c r="O3598" i="1"/>
  <c r="E3598" i="1"/>
  <c r="B3598" i="1"/>
  <c r="O3597" i="1"/>
  <c r="E3597" i="1"/>
  <c r="B3597" i="1"/>
  <c r="O3596" i="1"/>
  <c r="E3596" i="1"/>
  <c r="B3596" i="1"/>
  <c r="O3595" i="1"/>
  <c r="E3595" i="1"/>
  <c r="B3595" i="1"/>
  <c r="O3594" i="1"/>
  <c r="E3594" i="1"/>
  <c r="B3594" i="1"/>
  <c r="O3593" i="1"/>
  <c r="E3593" i="1"/>
  <c r="B3593" i="1"/>
  <c r="O3592" i="1"/>
  <c r="E3592" i="1"/>
  <c r="B3592" i="1"/>
  <c r="O3591" i="1"/>
  <c r="E3591" i="1"/>
  <c r="B3591" i="1"/>
  <c r="O3590" i="1"/>
  <c r="E3590" i="1"/>
  <c r="B3590" i="1"/>
  <c r="O3589" i="1"/>
  <c r="E3589" i="1"/>
  <c r="B3589" i="1"/>
  <c r="O3588" i="1"/>
  <c r="E3588" i="1"/>
  <c r="B3588" i="1"/>
  <c r="O3587" i="1"/>
  <c r="E3587" i="1"/>
  <c r="B3587" i="1"/>
  <c r="O3586" i="1"/>
  <c r="E3586" i="1"/>
  <c r="B3586" i="1"/>
  <c r="O3585" i="1"/>
  <c r="E3585" i="1"/>
  <c r="B3585" i="1"/>
  <c r="O3584" i="1"/>
  <c r="E3584" i="1"/>
  <c r="B3584" i="1"/>
  <c r="O3583" i="1"/>
  <c r="E3583" i="1"/>
  <c r="B3583" i="1"/>
  <c r="O3582" i="1"/>
  <c r="E3582" i="1"/>
  <c r="B3582" i="1"/>
  <c r="O3581" i="1"/>
  <c r="E3581" i="1"/>
  <c r="B3581" i="1"/>
  <c r="O3580" i="1"/>
  <c r="E3580" i="1"/>
  <c r="B3580" i="1"/>
  <c r="O3579" i="1"/>
  <c r="E3579" i="1"/>
  <c r="B3579" i="1"/>
  <c r="O3578" i="1"/>
  <c r="E3578" i="1"/>
  <c r="B3578" i="1"/>
  <c r="O3577" i="1"/>
  <c r="E3577" i="1"/>
  <c r="B3577" i="1"/>
  <c r="O3576" i="1"/>
  <c r="E3576" i="1"/>
  <c r="B3576" i="1"/>
  <c r="O3575" i="1"/>
  <c r="E3575" i="1"/>
  <c r="B3575" i="1"/>
  <c r="O3574" i="1"/>
  <c r="E3574" i="1"/>
  <c r="B3574" i="1"/>
  <c r="O3573" i="1"/>
  <c r="E3573" i="1"/>
  <c r="B3573" i="1"/>
  <c r="O3572" i="1"/>
  <c r="E3572" i="1"/>
  <c r="B3572" i="1"/>
  <c r="O3571" i="1"/>
  <c r="E3571" i="1"/>
  <c r="B3571" i="1"/>
  <c r="O3570" i="1"/>
  <c r="E3570" i="1"/>
  <c r="B3570" i="1"/>
  <c r="O3569" i="1"/>
  <c r="E3569" i="1"/>
  <c r="B3569" i="1"/>
  <c r="O3568" i="1"/>
  <c r="E3568" i="1"/>
  <c r="B3568" i="1"/>
  <c r="O3567" i="1"/>
  <c r="E3567" i="1"/>
  <c r="B3567" i="1"/>
  <c r="O3566" i="1"/>
  <c r="E3566" i="1"/>
  <c r="B3566" i="1"/>
  <c r="O3565" i="1"/>
  <c r="E3565" i="1"/>
  <c r="B3565" i="1"/>
  <c r="O3564" i="1"/>
  <c r="E3564" i="1"/>
  <c r="B3564" i="1"/>
  <c r="O3563" i="1"/>
  <c r="E3563" i="1"/>
  <c r="B3563" i="1"/>
  <c r="O3562" i="1"/>
  <c r="E3562" i="1"/>
  <c r="B3562" i="1"/>
  <c r="O3561" i="1"/>
  <c r="E3561" i="1"/>
  <c r="B3561" i="1"/>
  <c r="O3560" i="1"/>
  <c r="E3560" i="1"/>
  <c r="B3560" i="1"/>
  <c r="O3559" i="1"/>
  <c r="E3559" i="1"/>
  <c r="B3559" i="1"/>
  <c r="O3558" i="1"/>
  <c r="E3558" i="1"/>
  <c r="B3558" i="1"/>
  <c r="O3557" i="1"/>
  <c r="E3557" i="1"/>
  <c r="B3557" i="1"/>
  <c r="O3556" i="1"/>
  <c r="E3556" i="1"/>
  <c r="B3556" i="1"/>
  <c r="O3555" i="1"/>
  <c r="E3555" i="1"/>
  <c r="B3555" i="1"/>
  <c r="O3554" i="1"/>
  <c r="E3554" i="1"/>
  <c r="B3554" i="1"/>
  <c r="O3553" i="1"/>
  <c r="E3553" i="1"/>
  <c r="B3553" i="1"/>
  <c r="O3552" i="1"/>
  <c r="E3552" i="1"/>
  <c r="B3552" i="1"/>
  <c r="O3551" i="1"/>
  <c r="E3551" i="1"/>
  <c r="B3551" i="1"/>
  <c r="O3550" i="1"/>
  <c r="E3550" i="1"/>
  <c r="B3550" i="1"/>
  <c r="O3549" i="1"/>
  <c r="E3549" i="1"/>
  <c r="B3549" i="1"/>
  <c r="O3548" i="1"/>
  <c r="E3548" i="1"/>
  <c r="B3548" i="1"/>
  <c r="O3547" i="1"/>
  <c r="E3547" i="1"/>
  <c r="B3547" i="1"/>
  <c r="O3546" i="1"/>
  <c r="E3546" i="1"/>
  <c r="B3546" i="1"/>
  <c r="O3545" i="1"/>
  <c r="E3545" i="1"/>
  <c r="B3545" i="1"/>
  <c r="O3544" i="1"/>
  <c r="E3544" i="1"/>
  <c r="B3544" i="1"/>
  <c r="O3543" i="1"/>
  <c r="E3543" i="1"/>
  <c r="B3543" i="1"/>
  <c r="O3542" i="1"/>
  <c r="E3542" i="1"/>
  <c r="B3542" i="1"/>
  <c r="O3541" i="1"/>
  <c r="E3541" i="1"/>
  <c r="B3541" i="1"/>
  <c r="O3540" i="1"/>
  <c r="E3540" i="1"/>
  <c r="B3540" i="1"/>
  <c r="O3539" i="1"/>
  <c r="E3539" i="1"/>
  <c r="B3539" i="1"/>
  <c r="O3538" i="1"/>
  <c r="E3538" i="1"/>
  <c r="B3538" i="1"/>
  <c r="O3537" i="1"/>
  <c r="E3537" i="1"/>
  <c r="B3537" i="1"/>
  <c r="O3536" i="1"/>
  <c r="E3536" i="1"/>
  <c r="B3536" i="1"/>
  <c r="O3535" i="1"/>
  <c r="E3535" i="1"/>
  <c r="B3535" i="1"/>
  <c r="O3534" i="1"/>
  <c r="E3534" i="1"/>
  <c r="B3534" i="1"/>
  <c r="O3533" i="1"/>
  <c r="E3533" i="1"/>
  <c r="B3533" i="1"/>
  <c r="O3532" i="1"/>
  <c r="E3532" i="1"/>
  <c r="B3532" i="1"/>
  <c r="O3531" i="1"/>
  <c r="E3531" i="1"/>
  <c r="B3531" i="1"/>
  <c r="O3530" i="1"/>
  <c r="E3530" i="1"/>
  <c r="B3530" i="1"/>
  <c r="O3529" i="1"/>
  <c r="E3529" i="1"/>
  <c r="B3529" i="1"/>
  <c r="O3528" i="1"/>
  <c r="E3528" i="1"/>
  <c r="B3528" i="1"/>
  <c r="O3527" i="1"/>
  <c r="E3527" i="1"/>
  <c r="B3527" i="1"/>
  <c r="O3526" i="1"/>
  <c r="E3526" i="1"/>
  <c r="B3526" i="1"/>
  <c r="O3525" i="1"/>
  <c r="E3525" i="1"/>
  <c r="B3525" i="1"/>
  <c r="O3524" i="1"/>
  <c r="E3524" i="1"/>
  <c r="B3524" i="1"/>
  <c r="O3523" i="1"/>
  <c r="E3523" i="1"/>
  <c r="B3523" i="1"/>
  <c r="O3522" i="1"/>
  <c r="E3522" i="1"/>
  <c r="B3522" i="1"/>
  <c r="O3521" i="1"/>
  <c r="E3521" i="1"/>
  <c r="B3521" i="1"/>
  <c r="O3520" i="1"/>
  <c r="E3520" i="1"/>
  <c r="B3520" i="1"/>
  <c r="O3519" i="1"/>
  <c r="E3519" i="1"/>
  <c r="B3519" i="1"/>
  <c r="O3518" i="1"/>
  <c r="E3518" i="1"/>
  <c r="B3518" i="1"/>
  <c r="O3517" i="1"/>
  <c r="E3517" i="1"/>
  <c r="B3517" i="1"/>
  <c r="O3516" i="1"/>
  <c r="E3516" i="1"/>
  <c r="B3516" i="1"/>
  <c r="O3515" i="1"/>
  <c r="E3515" i="1"/>
  <c r="B3515" i="1"/>
  <c r="O3514" i="1"/>
  <c r="E3514" i="1"/>
  <c r="B3514" i="1"/>
  <c r="O3513" i="1"/>
  <c r="E3513" i="1"/>
  <c r="B3513" i="1"/>
  <c r="O3512" i="1"/>
  <c r="E3512" i="1"/>
  <c r="B3512" i="1"/>
  <c r="O3511" i="1"/>
  <c r="E3511" i="1"/>
  <c r="B3511" i="1"/>
  <c r="O3510" i="1"/>
  <c r="E3510" i="1"/>
  <c r="B3510" i="1"/>
  <c r="O3509" i="1"/>
  <c r="E3509" i="1"/>
  <c r="B3509" i="1"/>
  <c r="O3508" i="1"/>
  <c r="E3508" i="1"/>
  <c r="B3508" i="1"/>
  <c r="O3507" i="1"/>
  <c r="E3507" i="1"/>
  <c r="B3507" i="1"/>
  <c r="O3506" i="1"/>
  <c r="E3506" i="1"/>
  <c r="B3506" i="1"/>
  <c r="O3505" i="1"/>
  <c r="E3505" i="1"/>
  <c r="B3505" i="1"/>
  <c r="O3504" i="1"/>
  <c r="E3504" i="1"/>
  <c r="B3504" i="1"/>
  <c r="O3503" i="1"/>
  <c r="E3503" i="1"/>
  <c r="B3503" i="1"/>
  <c r="O3502" i="1"/>
  <c r="E3502" i="1"/>
  <c r="B3502" i="1"/>
  <c r="O3501" i="1"/>
  <c r="E3501" i="1"/>
  <c r="B3501" i="1"/>
  <c r="O3500" i="1"/>
  <c r="E3500" i="1"/>
  <c r="B3500" i="1"/>
  <c r="O3499" i="1"/>
  <c r="E3499" i="1"/>
  <c r="B3499" i="1"/>
  <c r="O3498" i="1"/>
  <c r="E3498" i="1"/>
  <c r="B3498" i="1"/>
  <c r="O3497" i="1"/>
  <c r="E3497" i="1"/>
  <c r="B3497" i="1"/>
  <c r="O3496" i="1"/>
  <c r="E3496" i="1"/>
  <c r="B3496" i="1"/>
  <c r="O3495" i="1"/>
  <c r="E3495" i="1"/>
  <c r="B3495" i="1"/>
  <c r="O3494" i="1"/>
  <c r="E3494" i="1"/>
  <c r="B3494" i="1"/>
  <c r="O3493" i="1"/>
  <c r="E3493" i="1"/>
  <c r="B3493" i="1"/>
  <c r="O3492" i="1"/>
  <c r="E3492" i="1"/>
  <c r="B3492" i="1"/>
  <c r="O3491" i="1"/>
  <c r="E3491" i="1"/>
  <c r="B3491" i="1"/>
  <c r="O3490" i="1"/>
  <c r="E3490" i="1"/>
  <c r="B3490" i="1"/>
  <c r="O3489" i="1"/>
  <c r="E3489" i="1"/>
  <c r="B3489" i="1"/>
  <c r="O3488" i="1"/>
  <c r="E3488" i="1"/>
  <c r="B3488" i="1"/>
  <c r="O3487" i="1"/>
  <c r="E3487" i="1"/>
  <c r="B3487" i="1"/>
  <c r="O3486" i="1"/>
  <c r="E3486" i="1"/>
  <c r="B3486" i="1"/>
  <c r="O3485" i="1"/>
  <c r="E3485" i="1"/>
  <c r="B3485" i="1"/>
  <c r="O3484" i="1"/>
  <c r="E3484" i="1"/>
  <c r="B3484" i="1"/>
  <c r="O3483" i="1"/>
  <c r="E3483" i="1"/>
  <c r="B3483" i="1"/>
  <c r="O3482" i="1"/>
  <c r="E3482" i="1"/>
  <c r="B3482" i="1"/>
  <c r="O3481" i="1"/>
  <c r="E3481" i="1"/>
  <c r="B3481" i="1"/>
  <c r="O3480" i="1"/>
  <c r="E3480" i="1"/>
  <c r="B3480" i="1"/>
  <c r="O3479" i="1"/>
  <c r="E3479" i="1"/>
  <c r="B3479" i="1"/>
  <c r="O3478" i="1"/>
  <c r="E3478" i="1"/>
  <c r="B3478" i="1"/>
  <c r="O3477" i="1"/>
  <c r="E3477" i="1"/>
  <c r="B3477" i="1"/>
  <c r="O3476" i="1"/>
  <c r="E3476" i="1"/>
  <c r="B3476" i="1"/>
  <c r="O3475" i="1"/>
  <c r="E3475" i="1"/>
  <c r="B3475" i="1"/>
  <c r="O3474" i="1"/>
  <c r="E3474" i="1"/>
  <c r="B3474" i="1"/>
  <c r="O3473" i="1"/>
  <c r="E3473" i="1"/>
  <c r="B3473" i="1"/>
  <c r="O3472" i="1"/>
  <c r="E3472" i="1"/>
  <c r="B3472" i="1"/>
  <c r="O3471" i="1"/>
  <c r="E3471" i="1"/>
  <c r="B3471" i="1"/>
  <c r="O3470" i="1"/>
  <c r="E3470" i="1"/>
  <c r="B3470" i="1"/>
  <c r="O3469" i="1"/>
  <c r="E3469" i="1"/>
  <c r="B3469" i="1"/>
  <c r="O3468" i="1"/>
  <c r="E3468" i="1"/>
  <c r="B3468" i="1"/>
  <c r="O3467" i="1"/>
  <c r="E3467" i="1"/>
  <c r="B3467" i="1"/>
  <c r="O3466" i="1"/>
  <c r="E3466" i="1"/>
  <c r="B3466" i="1"/>
  <c r="O3465" i="1"/>
  <c r="E3465" i="1"/>
  <c r="B3465" i="1"/>
  <c r="O3464" i="1"/>
  <c r="E3464" i="1"/>
  <c r="B3464" i="1"/>
  <c r="O3463" i="1"/>
  <c r="E3463" i="1"/>
  <c r="B3463" i="1"/>
  <c r="O3462" i="1"/>
  <c r="E3462" i="1"/>
  <c r="B3462" i="1"/>
  <c r="O3461" i="1"/>
  <c r="E3461" i="1"/>
  <c r="B3461" i="1"/>
  <c r="O3460" i="1"/>
  <c r="E3460" i="1"/>
  <c r="B3460" i="1"/>
  <c r="O3459" i="1"/>
  <c r="E3459" i="1"/>
  <c r="B3459" i="1"/>
  <c r="O3458" i="1"/>
  <c r="E3458" i="1"/>
  <c r="B3458" i="1"/>
  <c r="O3457" i="1"/>
  <c r="E3457" i="1"/>
  <c r="B3457" i="1"/>
  <c r="O3456" i="1"/>
  <c r="E3456" i="1"/>
  <c r="B3456" i="1"/>
  <c r="O3455" i="1"/>
  <c r="E3455" i="1"/>
  <c r="B3455" i="1"/>
  <c r="O3454" i="1"/>
  <c r="E3454" i="1"/>
  <c r="B3454" i="1"/>
  <c r="O3453" i="1"/>
  <c r="E3453" i="1"/>
  <c r="B3453" i="1"/>
  <c r="O3452" i="1"/>
  <c r="E3452" i="1"/>
  <c r="B3452" i="1"/>
  <c r="O3451" i="1"/>
  <c r="E3451" i="1"/>
  <c r="B3451" i="1"/>
  <c r="O3450" i="1"/>
  <c r="E3450" i="1"/>
  <c r="B3450" i="1"/>
  <c r="O3449" i="1"/>
  <c r="E3449" i="1"/>
  <c r="B3449" i="1"/>
  <c r="O3448" i="1"/>
  <c r="E3448" i="1"/>
  <c r="B3448" i="1"/>
  <c r="O3447" i="1"/>
  <c r="E3447" i="1"/>
  <c r="B3447" i="1"/>
  <c r="O3446" i="1"/>
  <c r="E3446" i="1"/>
  <c r="B3446" i="1"/>
  <c r="O3445" i="1"/>
  <c r="E3445" i="1"/>
  <c r="B3445" i="1"/>
  <c r="O3444" i="1"/>
  <c r="E3444" i="1"/>
  <c r="B3444" i="1"/>
  <c r="O3443" i="1"/>
  <c r="E3443" i="1"/>
  <c r="B3443" i="1"/>
  <c r="O3442" i="1"/>
  <c r="E3442" i="1"/>
  <c r="B3442" i="1"/>
  <c r="O3441" i="1"/>
  <c r="E3441" i="1"/>
  <c r="B3441" i="1"/>
  <c r="O3440" i="1"/>
  <c r="E3440" i="1"/>
  <c r="B3440" i="1"/>
  <c r="O3439" i="1"/>
  <c r="E3439" i="1"/>
  <c r="B3439" i="1"/>
  <c r="O3438" i="1"/>
  <c r="E3438" i="1"/>
  <c r="B3438" i="1"/>
  <c r="O3437" i="1"/>
  <c r="E3437" i="1"/>
  <c r="B3437" i="1"/>
  <c r="O3436" i="1"/>
  <c r="E3436" i="1"/>
  <c r="B3436" i="1"/>
  <c r="O3435" i="1"/>
  <c r="E3435" i="1"/>
  <c r="B3435" i="1"/>
  <c r="O3434" i="1"/>
  <c r="E3434" i="1"/>
  <c r="B3434" i="1"/>
  <c r="O3433" i="1"/>
  <c r="E3433" i="1"/>
  <c r="B3433" i="1"/>
  <c r="O3432" i="1"/>
  <c r="E3432" i="1"/>
  <c r="B3432" i="1"/>
  <c r="O3431" i="1"/>
  <c r="E3431" i="1"/>
  <c r="B3431" i="1"/>
  <c r="O3430" i="1"/>
  <c r="E3430" i="1"/>
  <c r="B3430" i="1"/>
  <c r="O3429" i="1"/>
  <c r="E3429" i="1"/>
  <c r="B3429" i="1"/>
  <c r="O3428" i="1"/>
  <c r="E3428" i="1"/>
  <c r="B3428" i="1"/>
  <c r="O3427" i="1"/>
  <c r="E3427" i="1"/>
  <c r="B3427" i="1"/>
  <c r="O3426" i="1"/>
  <c r="E3426" i="1"/>
  <c r="B3426" i="1"/>
  <c r="O3425" i="1"/>
  <c r="E3425" i="1"/>
  <c r="B3425" i="1"/>
  <c r="O3424" i="1"/>
  <c r="E3424" i="1"/>
  <c r="B3424" i="1"/>
  <c r="O3423" i="1"/>
  <c r="E3423" i="1"/>
  <c r="B3423" i="1"/>
  <c r="O3422" i="1"/>
  <c r="E3422" i="1"/>
  <c r="B3422" i="1"/>
  <c r="O3421" i="1"/>
  <c r="E3421" i="1"/>
  <c r="B3421" i="1"/>
  <c r="O3420" i="1"/>
  <c r="E3420" i="1"/>
  <c r="B3420" i="1"/>
  <c r="O3419" i="1"/>
  <c r="E3419" i="1"/>
  <c r="B3419" i="1"/>
  <c r="O3418" i="1"/>
  <c r="E3418" i="1"/>
  <c r="B3418" i="1"/>
  <c r="O3417" i="1"/>
  <c r="E3417" i="1"/>
  <c r="B3417" i="1"/>
  <c r="O3416" i="1"/>
  <c r="E3416" i="1"/>
  <c r="B3416" i="1"/>
  <c r="O3415" i="1"/>
  <c r="E3415" i="1"/>
  <c r="B3415" i="1"/>
  <c r="O3414" i="1"/>
  <c r="E3414" i="1"/>
  <c r="B3414" i="1"/>
  <c r="O3413" i="1"/>
  <c r="E3413" i="1"/>
  <c r="B3413" i="1"/>
  <c r="O3412" i="1"/>
  <c r="E3412" i="1"/>
  <c r="B3412" i="1"/>
  <c r="O3411" i="1"/>
  <c r="E3411" i="1"/>
  <c r="B3411" i="1"/>
  <c r="O3410" i="1"/>
  <c r="E3410" i="1"/>
  <c r="B3410" i="1"/>
  <c r="O3409" i="1"/>
  <c r="E3409" i="1"/>
  <c r="B3409" i="1"/>
  <c r="O3408" i="1"/>
  <c r="E3408" i="1"/>
  <c r="B3408" i="1"/>
  <c r="O3407" i="1"/>
  <c r="E3407" i="1"/>
  <c r="B3407" i="1"/>
  <c r="O3406" i="1"/>
  <c r="E3406" i="1"/>
  <c r="B3406" i="1"/>
  <c r="O3405" i="1"/>
  <c r="E3405" i="1"/>
  <c r="B3405" i="1"/>
  <c r="O3404" i="1"/>
  <c r="E3404" i="1"/>
  <c r="B3404" i="1"/>
  <c r="O3403" i="1"/>
  <c r="E3403" i="1"/>
  <c r="B3403" i="1"/>
  <c r="O3402" i="1"/>
  <c r="E3402" i="1"/>
  <c r="B3402" i="1"/>
  <c r="O3401" i="1"/>
  <c r="E3401" i="1"/>
  <c r="B3401" i="1"/>
  <c r="O3400" i="1"/>
  <c r="E3400" i="1"/>
  <c r="B3400" i="1"/>
  <c r="O3399" i="1"/>
  <c r="E3399" i="1"/>
  <c r="B3399" i="1"/>
  <c r="O3398" i="1"/>
  <c r="E3398" i="1"/>
  <c r="B3398" i="1"/>
  <c r="O3397" i="1"/>
  <c r="E3397" i="1"/>
  <c r="B3397" i="1"/>
  <c r="O3396" i="1"/>
  <c r="E3396" i="1"/>
  <c r="B3396" i="1"/>
  <c r="O3395" i="1"/>
  <c r="E3395" i="1"/>
  <c r="B3395" i="1"/>
  <c r="O3394" i="1"/>
  <c r="E3394" i="1"/>
  <c r="B3394" i="1"/>
  <c r="O3393" i="1"/>
  <c r="E3393" i="1"/>
  <c r="B3393" i="1"/>
  <c r="O3392" i="1"/>
  <c r="E3392" i="1"/>
  <c r="B3392" i="1"/>
  <c r="O3391" i="1"/>
  <c r="E3391" i="1"/>
  <c r="B3391" i="1"/>
  <c r="O3390" i="1"/>
  <c r="E3390" i="1"/>
  <c r="B3390" i="1"/>
  <c r="O3389" i="1"/>
  <c r="E3389" i="1"/>
  <c r="B3389" i="1"/>
  <c r="O3388" i="1"/>
  <c r="E3388" i="1"/>
  <c r="B3388" i="1"/>
  <c r="O3387" i="1"/>
  <c r="E3387" i="1"/>
  <c r="B3387" i="1"/>
  <c r="O3386" i="1"/>
  <c r="E3386" i="1"/>
  <c r="B3386" i="1"/>
  <c r="O3385" i="1"/>
  <c r="E3385" i="1"/>
  <c r="B3385" i="1"/>
  <c r="O3384" i="1"/>
  <c r="E3384" i="1"/>
  <c r="B3384" i="1"/>
  <c r="O3383" i="1"/>
  <c r="E3383" i="1"/>
  <c r="B3383" i="1"/>
  <c r="O3382" i="1"/>
  <c r="E3382" i="1"/>
  <c r="B3382" i="1"/>
  <c r="O3381" i="1"/>
  <c r="E3381" i="1"/>
  <c r="B3381" i="1"/>
  <c r="O3380" i="1"/>
  <c r="E3380" i="1"/>
  <c r="B3380" i="1"/>
  <c r="O3379" i="1"/>
  <c r="E3379" i="1"/>
  <c r="B3379" i="1"/>
  <c r="O3378" i="1"/>
  <c r="E3378" i="1"/>
  <c r="B3378" i="1"/>
  <c r="O3377" i="1"/>
  <c r="E3377" i="1"/>
  <c r="B3377" i="1"/>
  <c r="O3376" i="1"/>
  <c r="E3376" i="1"/>
  <c r="B3376" i="1"/>
  <c r="O3375" i="1"/>
  <c r="E3375" i="1"/>
  <c r="B3375" i="1"/>
  <c r="O3374" i="1"/>
  <c r="E3374" i="1"/>
  <c r="B3374" i="1"/>
  <c r="O3373" i="1"/>
  <c r="E3373" i="1"/>
  <c r="B3373" i="1"/>
  <c r="O3372" i="1"/>
  <c r="E3372" i="1"/>
  <c r="B3372" i="1"/>
  <c r="O3371" i="1"/>
  <c r="E3371" i="1"/>
  <c r="B3371" i="1"/>
  <c r="O3370" i="1"/>
  <c r="E3370" i="1"/>
  <c r="B3370" i="1"/>
  <c r="O3369" i="1"/>
  <c r="E3369" i="1"/>
  <c r="B3369" i="1"/>
  <c r="O3368" i="1"/>
  <c r="E3368" i="1"/>
  <c r="B3368" i="1"/>
  <c r="O3367" i="1"/>
  <c r="E3367" i="1"/>
  <c r="B3367" i="1"/>
  <c r="O3366" i="1"/>
  <c r="E3366" i="1"/>
  <c r="B3366" i="1"/>
  <c r="O3365" i="1"/>
  <c r="E3365" i="1"/>
  <c r="B3365" i="1"/>
  <c r="O3364" i="1"/>
  <c r="E3364" i="1"/>
  <c r="B3364" i="1"/>
  <c r="O3363" i="1"/>
  <c r="E3363" i="1"/>
  <c r="B3363" i="1"/>
  <c r="O3362" i="1"/>
  <c r="E3362" i="1"/>
  <c r="B3362" i="1"/>
  <c r="O3361" i="1"/>
  <c r="E3361" i="1"/>
  <c r="B3361" i="1"/>
  <c r="O3360" i="1"/>
  <c r="E3360" i="1"/>
  <c r="B3360" i="1"/>
  <c r="O3359" i="1"/>
  <c r="E3359" i="1"/>
  <c r="B3359" i="1"/>
  <c r="O3358" i="1"/>
  <c r="E3358" i="1"/>
  <c r="B3358" i="1"/>
  <c r="O3357" i="1"/>
  <c r="E3357" i="1"/>
  <c r="B3357" i="1"/>
  <c r="O3356" i="1"/>
  <c r="E3356" i="1"/>
  <c r="B3356" i="1"/>
  <c r="O3355" i="1"/>
  <c r="E3355" i="1"/>
  <c r="B3355" i="1"/>
  <c r="O3354" i="1"/>
  <c r="E3354" i="1"/>
  <c r="B3354" i="1"/>
  <c r="O3353" i="1"/>
  <c r="E3353" i="1"/>
  <c r="B3353" i="1"/>
  <c r="O3352" i="1"/>
  <c r="E3352" i="1"/>
  <c r="B3352" i="1"/>
  <c r="O3351" i="1"/>
  <c r="E3351" i="1"/>
  <c r="B3351" i="1"/>
  <c r="O3350" i="1"/>
  <c r="E3350" i="1"/>
  <c r="B3350" i="1"/>
  <c r="O3349" i="1"/>
  <c r="E3349" i="1"/>
  <c r="B3349" i="1"/>
  <c r="O3348" i="1"/>
  <c r="E3348" i="1"/>
  <c r="B3348" i="1"/>
  <c r="O3347" i="1"/>
  <c r="E3347" i="1"/>
  <c r="B3347" i="1"/>
  <c r="O3346" i="1"/>
  <c r="E3346" i="1"/>
  <c r="B3346" i="1"/>
  <c r="O3345" i="1"/>
  <c r="E3345" i="1"/>
  <c r="B3345" i="1"/>
  <c r="O3344" i="1"/>
  <c r="E3344" i="1"/>
  <c r="B3344" i="1"/>
  <c r="O3343" i="1"/>
  <c r="E3343" i="1"/>
  <c r="B3343" i="1"/>
  <c r="O3342" i="1"/>
  <c r="E3342" i="1"/>
  <c r="B3342" i="1"/>
  <c r="O3341" i="1"/>
  <c r="E3341" i="1"/>
  <c r="B3341" i="1"/>
  <c r="O3340" i="1"/>
  <c r="E3340" i="1"/>
  <c r="B3340" i="1"/>
  <c r="O3339" i="1"/>
  <c r="E3339" i="1"/>
  <c r="B3339" i="1"/>
  <c r="O3338" i="1"/>
  <c r="E3338" i="1"/>
  <c r="B3338" i="1"/>
  <c r="O3337" i="1"/>
  <c r="E3337" i="1"/>
  <c r="B3337" i="1"/>
  <c r="O3336" i="1"/>
  <c r="E3336" i="1"/>
  <c r="B3336" i="1"/>
  <c r="O3335" i="1"/>
  <c r="E3335" i="1"/>
  <c r="B3335" i="1"/>
  <c r="O3334" i="1"/>
  <c r="E3334" i="1"/>
  <c r="B3334" i="1"/>
  <c r="O3333" i="1"/>
  <c r="E3333" i="1"/>
  <c r="B3333" i="1"/>
  <c r="O3332" i="1"/>
  <c r="E3332" i="1"/>
  <c r="B3332" i="1"/>
  <c r="O3331" i="1"/>
  <c r="E3331" i="1"/>
  <c r="B3331" i="1"/>
  <c r="O3330" i="1"/>
  <c r="E3330" i="1"/>
  <c r="B3330" i="1"/>
  <c r="O3329" i="1"/>
  <c r="E3329" i="1"/>
  <c r="B3329" i="1"/>
  <c r="O3328" i="1"/>
  <c r="E3328" i="1"/>
  <c r="B3328" i="1"/>
  <c r="O3327" i="1"/>
  <c r="E3327" i="1"/>
  <c r="B3327" i="1"/>
  <c r="O3326" i="1"/>
  <c r="E3326" i="1"/>
  <c r="B3326" i="1"/>
  <c r="O3325" i="1"/>
  <c r="E3325" i="1"/>
  <c r="B3325" i="1"/>
  <c r="O3324" i="1"/>
  <c r="E3324" i="1"/>
  <c r="B3324" i="1"/>
  <c r="O3323" i="1"/>
  <c r="E3323" i="1"/>
  <c r="B3323" i="1"/>
  <c r="O3322" i="1"/>
  <c r="E3322" i="1"/>
  <c r="B3322" i="1"/>
  <c r="O3321" i="1"/>
  <c r="E3321" i="1"/>
  <c r="B3321" i="1"/>
  <c r="O3320" i="1"/>
  <c r="E3320" i="1"/>
  <c r="B3320" i="1"/>
  <c r="O3319" i="1"/>
  <c r="E3319" i="1"/>
  <c r="B3319" i="1"/>
  <c r="O3318" i="1"/>
  <c r="E3318" i="1"/>
  <c r="B3318" i="1"/>
  <c r="O3317" i="1"/>
  <c r="E3317" i="1"/>
  <c r="B3317" i="1"/>
  <c r="O3316" i="1"/>
  <c r="E3316" i="1"/>
  <c r="B3316" i="1"/>
  <c r="O3315" i="1"/>
  <c r="E3315" i="1"/>
  <c r="B3315" i="1"/>
  <c r="O3314" i="1"/>
  <c r="E3314" i="1"/>
  <c r="B3314" i="1"/>
  <c r="O3313" i="1"/>
  <c r="E3313" i="1"/>
  <c r="B3313" i="1"/>
  <c r="O3312" i="1"/>
  <c r="E3312" i="1"/>
  <c r="B3312" i="1"/>
  <c r="O3311" i="1"/>
  <c r="E3311" i="1"/>
  <c r="B3311" i="1"/>
  <c r="O3310" i="1"/>
  <c r="E3310" i="1"/>
  <c r="B3310" i="1"/>
  <c r="O3309" i="1"/>
  <c r="E3309" i="1"/>
  <c r="B3309" i="1"/>
  <c r="O3308" i="1"/>
  <c r="E3308" i="1"/>
  <c r="B3308" i="1"/>
  <c r="O3307" i="1"/>
  <c r="E3307" i="1"/>
  <c r="B3307" i="1"/>
  <c r="O3306" i="1"/>
  <c r="E3306" i="1"/>
  <c r="B3306" i="1"/>
  <c r="O3305" i="1"/>
  <c r="E3305" i="1"/>
  <c r="B3305" i="1"/>
  <c r="O3304" i="1"/>
  <c r="E3304" i="1"/>
  <c r="B3304" i="1"/>
  <c r="O3303" i="1"/>
  <c r="E3303" i="1"/>
  <c r="B3303" i="1"/>
  <c r="O3302" i="1"/>
  <c r="E3302" i="1"/>
  <c r="B3302" i="1"/>
  <c r="O3301" i="1"/>
  <c r="E3301" i="1"/>
  <c r="B3301" i="1"/>
  <c r="O3300" i="1"/>
  <c r="E3300" i="1"/>
  <c r="B3300" i="1"/>
  <c r="O3299" i="1"/>
  <c r="E3299" i="1"/>
  <c r="B3299" i="1"/>
  <c r="O3298" i="1"/>
  <c r="E3298" i="1"/>
  <c r="B3298" i="1"/>
  <c r="O3297" i="1"/>
  <c r="E3297" i="1"/>
  <c r="B3297" i="1"/>
  <c r="O3296" i="1"/>
  <c r="E3296" i="1"/>
  <c r="B3296" i="1"/>
  <c r="O3295" i="1"/>
  <c r="E3295" i="1"/>
  <c r="B3295" i="1"/>
  <c r="O3294" i="1"/>
  <c r="E3294" i="1"/>
  <c r="B3294" i="1"/>
  <c r="O3293" i="1"/>
  <c r="E3293" i="1"/>
  <c r="B3293" i="1"/>
  <c r="O3292" i="1"/>
  <c r="E3292" i="1"/>
  <c r="B3292" i="1"/>
  <c r="O3291" i="1"/>
  <c r="E3291" i="1"/>
  <c r="B3291" i="1"/>
  <c r="O3290" i="1"/>
  <c r="E3290" i="1"/>
  <c r="B3290" i="1"/>
  <c r="O3289" i="1"/>
  <c r="E3289" i="1"/>
  <c r="B3289" i="1"/>
  <c r="O3288" i="1"/>
  <c r="E3288" i="1"/>
  <c r="B3288" i="1"/>
  <c r="O3287" i="1"/>
  <c r="E3287" i="1"/>
  <c r="B3287" i="1"/>
  <c r="O3286" i="1"/>
  <c r="E3286" i="1"/>
  <c r="B3286" i="1"/>
  <c r="O3285" i="1"/>
  <c r="E3285" i="1"/>
  <c r="B3285" i="1"/>
  <c r="O3284" i="1"/>
  <c r="E3284" i="1"/>
  <c r="B3284" i="1"/>
  <c r="O3283" i="1"/>
  <c r="E3283" i="1"/>
  <c r="B3283" i="1"/>
  <c r="O3282" i="1"/>
  <c r="E3282" i="1"/>
  <c r="B3282" i="1"/>
  <c r="O3281" i="1"/>
  <c r="E3281" i="1"/>
  <c r="B3281" i="1"/>
  <c r="O3280" i="1"/>
  <c r="E3280" i="1"/>
  <c r="B3280" i="1"/>
  <c r="O3279" i="1"/>
  <c r="E3279" i="1"/>
  <c r="B3279" i="1"/>
  <c r="O3278" i="1"/>
  <c r="E3278" i="1"/>
  <c r="B3278" i="1"/>
  <c r="O3277" i="1"/>
  <c r="E3277" i="1"/>
  <c r="B3277" i="1"/>
  <c r="O3276" i="1"/>
  <c r="E3276" i="1"/>
  <c r="B3276" i="1"/>
  <c r="O3275" i="1"/>
  <c r="E3275" i="1"/>
  <c r="B3275" i="1"/>
  <c r="O3274" i="1"/>
  <c r="E3274" i="1"/>
  <c r="B3274" i="1"/>
  <c r="O3273" i="1"/>
  <c r="E3273" i="1"/>
  <c r="B3273" i="1"/>
  <c r="O3272" i="1"/>
  <c r="E3272" i="1"/>
  <c r="B3272" i="1"/>
  <c r="O3271" i="1"/>
  <c r="E3271" i="1"/>
  <c r="B3271" i="1"/>
  <c r="O3270" i="1"/>
  <c r="E3270" i="1"/>
  <c r="B3270" i="1"/>
  <c r="O3269" i="1"/>
  <c r="E3269" i="1"/>
  <c r="B3269" i="1"/>
  <c r="O3268" i="1"/>
  <c r="E3268" i="1"/>
  <c r="B3268" i="1"/>
  <c r="O3267" i="1"/>
  <c r="E3267" i="1"/>
  <c r="B3267" i="1"/>
  <c r="O3266" i="1"/>
  <c r="E3266" i="1"/>
  <c r="B3266" i="1"/>
  <c r="O3265" i="1"/>
  <c r="E3265" i="1"/>
  <c r="B3265" i="1"/>
  <c r="O3264" i="1"/>
  <c r="E3264" i="1"/>
  <c r="B3264" i="1"/>
  <c r="O3263" i="1"/>
  <c r="E3263" i="1"/>
  <c r="B3263" i="1"/>
  <c r="O3262" i="1"/>
  <c r="E3262" i="1"/>
  <c r="B3262" i="1"/>
  <c r="O3261" i="1"/>
  <c r="E3261" i="1"/>
  <c r="B3261" i="1"/>
  <c r="O3260" i="1"/>
  <c r="E3260" i="1"/>
  <c r="B3260" i="1"/>
  <c r="O3259" i="1"/>
  <c r="E3259" i="1"/>
  <c r="B3259" i="1"/>
  <c r="O3258" i="1"/>
  <c r="E3258" i="1"/>
  <c r="B3258" i="1"/>
  <c r="O3257" i="1"/>
  <c r="E3257" i="1"/>
  <c r="B3257" i="1"/>
  <c r="O3256" i="1"/>
  <c r="E3256" i="1"/>
  <c r="B3256" i="1"/>
  <c r="O3255" i="1"/>
  <c r="E3255" i="1"/>
  <c r="B3255" i="1"/>
  <c r="O3254" i="1"/>
  <c r="E3254" i="1"/>
  <c r="B3254" i="1"/>
  <c r="O3253" i="1"/>
  <c r="E3253" i="1"/>
  <c r="B3253" i="1"/>
  <c r="O3252" i="1"/>
  <c r="E3252" i="1"/>
  <c r="B3252" i="1"/>
  <c r="O3251" i="1"/>
  <c r="E3251" i="1"/>
  <c r="B3251" i="1"/>
  <c r="O3250" i="1"/>
  <c r="E3250" i="1"/>
  <c r="B3250" i="1"/>
  <c r="O3249" i="1"/>
  <c r="E3249" i="1"/>
  <c r="B3249" i="1"/>
  <c r="O3248" i="1"/>
  <c r="E3248" i="1"/>
  <c r="B3248" i="1"/>
  <c r="O3247" i="1"/>
  <c r="E3247" i="1"/>
  <c r="B3247" i="1"/>
  <c r="O3246" i="1"/>
  <c r="E3246" i="1"/>
  <c r="B3246" i="1"/>
  <c r="O3245" i="1"/>
  <c r="E3245" i="1"/>
  <c r="B3245" i="1"/>
  <c r="O3244" i="1"/>
  <c r="E3244" i="1"/>
  <c r="B3244" i="1"/>
  <c r="O3243" i="1"/>
  <c r="E3243" i="1"/>
  <c r="B3243" i="1"/>
  <c r="O3242" i="1"/>
  <c r="E3242" i="1"/>
  <c r="B3242" i="1"/>
  <c r="O3241" i="1"/>
  <c r="E3241" i="1"/>
  <c r="B3241" i="1"/>
  <c r="O3240" i="1"/>
  <c r="E3240" i="1"/>
  <c r="B3240" i="1"/>
  <c r="O3239" i="1"/>
  <c r="E3239" i="1"/>
  <c r="B3239" i="1"/>
  <c r="O3238" i="1"/>
  <c r="E3238" i="1"/>
  <c r="B3238" i="1"/>
  <c r="O3237" i="1"/>
  <c r="E3237" i="1"/>
  <c r="B3237" i="1"/>
  <c r="O3236" i="1"/>
  <c r="E3236" i="1"/>
  <c r="B3236" i="1"/>
  <c r="O3235" i="1"/>
  <c r="E3235" i="1"/>
  <c r="B3235" i="1"/>
  <c r="O3234" i="1"/>
  <c r="E3234" i="1"/>
  <c r="B3234" i="1"/>
  <c r="O3233" i="1"/>
  <c r="E3233" i="1"/>
  <c r="B3233" i="1"/>
  <c r="O3232" i="1"/>
  <c r="E3232" i="1"/>
  <c r="B3232" i="1"/>
  <c r="O3231" i="1"/>
  <c r="E3231" i="1"/>
  <c r="B3231" i="1"/>
  <c r="O3230" i="1"/>
  <c r="E3230" i="1"/>
  <c r="B3230" i="1"/>
  <c r="O3229" i="1"/>
  <c r="E3229" i="1"/>
  <c r="B3229" i="1"/>
  <c r="O3228" i="1"/>
  <c r="E3228" i="1"/>
  <c r="B3228" i="1"/>
  <c r="O3227" i="1"/>
  <c r="E3227" i="1"/>
  <c r="B3227" i="1"/>
  <c r="O3226" i="1"/>
  <c r="E3226" i="1"/>
  <c r="B3226" i="1"/>
  <c r="O3225" i="1"/>
  <c r="E3225" i="1"/>
  <c r="B3225" i="1"/>
  <c r="O3224" i="1"/>
  <c r="E3224" i="1"/>
  <c r="B3224" i="1"/>
  <c r="O3223" i="1"/>
  <c r="E3223" i="1"/>
  <c r="B3223" i="1"/>
  <c r="O3222" i="1"/>
  <c r="E3222" i="1"/>
  <c r="B3222" i="1"/>
  <c r="O3221" i="1"/>
  <c r="E3221" i="1"/>
  <c r="B3221" i="1"/>
  <c r="O3220" i="1"/>
  <c r="E3220" i="1"/>
  <c r="B3220" i="1"/>
  <c r="O3219" i="1"/>
  <c r="E3219" i="1"/>
  <c r="B3219" i="1"/>
  <c r="O3218" i="1"/>
  <c r="E3218" i="1"/>
  <c r="B3218" i="1"/>
  <c r="O3217" i="1"/>
  <c r="E3217" i="1"/>
  <c r="B3217" i="1"/>
  <c r="O3216" i="1"/>
  <c r="E3216" i="1"/>
  <c r="B3216" i="1"/>
  <c r="O3215" i="1"/>
  <c r="E3215" i="1"/>
  <c r="B3215" i="1"/>
  <c r="O3214" i="1"/>
  <c r="E3214" i="1"/>
  <c r="B3214" i="1"/>
  <c r="O3213" i="1"/>
  <c r="E3213" i="1"/>
  <c r="B3213" i="1"/>
  <c r="O3212" i="1"/>
  <c r="E3212" i="1"/>
  <c r="B3212" i="1"/>
  <c r="O3211" i="1"/>
  <c r="E3211" i="1"/>
  <c r="B3211" i="1"/>
  <c r="O3210" i="1"/>
  <c r="E3210" i="1"/>
  <c r="B3210" i="1"/>
  <c r="O3209" i="1"/>
  <c r="E3209" i="1"/>
  <c r="B3209" i="1"/>
  <c r="O3208" i="1"/>
  <c r="E3208" i="1"/>
  <c r="B3208" i="1"/>
  <c r="O3207" i="1"/>
  <c r="E3207" i="1"/>
  <c r="B3207" i="1"/>
  <c r="O3206" i="1"/>
  <c r="E3206" i="1"/>
  <c r="B3206" i="1"/>
  <c r="O3205" i="1"/>
  <c r="E3205" i="1"/>
  <c r="B3205" i="1"/>
  <c r="O3204" i="1"/>
  <c r="E3204" i="1"/>
  <c r="B3204" i="1"/>
  <c r="O3203" i="1"/>
  <c r="E3203" i="1"/>
  <c r="B3203" i="1"/>
  <c r="O3202" i="1"/>
  <c r="E3202" i="1"/>
  <c r="B3202" i="1"/>
  <c r="O3201" i="1"/>
  <c r="E3201" i="1"/>
  <c r="B3201" i="1"/>
  <c r="O3200" i="1"/>
  <c r="E3200" i="1"/>
  <c r="B3200" i="1"/>
  <c r="O3199" i="1"/>
  <c r="E3199" i="1"/>
  <c r="B3199" i="1"/>
  <c r="O3198" i="1"/>
  <c r="E3198" i="1"/>
  <c r="B3198" i="1"/>
  <c r="O3197" i="1"/>
  <c r="E3197" i="1"/>
  <c r="B3197" i="1"/>
  <c r="O3196" i="1"/>
  <c r="E3196" i="1"/>
  <c r="B3196" i="1"/>
  <c r="O3195" i="1"/>
  <c r="E3195" i="1"/>
  <c r="B3195" i="1"/>
  <c r="O3194" i="1"/>
  <c r="E3194" i="1"/>
  <c r="B3194" i="1"/>
  <c r="O3193" i="1"/>
  <c r="E3193" i="1"/>
  <c r="B3193" i="1"/>
  <c r="O3192" i="1"/>
  <c r="E3192" i="1"/>
  <c r="B3192" i="1"/>
  <c r="O3191" i="1"/>
  <c r="E3191" i="1"/>
  <c r="B3191" i="1"/>
  <c r="O3190" i="1"/>
  <c r="E3190" i="1"/>
  <c r="B3190" i="1"/>
  <c r="O3189" i="1"/>
  <c r="E3189" i="1"/>
  <c r="B3189" i="1"/>
  <c r="O3188" i="1"/>
  <c r="E3188" i="1"/>
  <c r="B3188" i="1"/>
  <c r="O3187" i="1"/>
  <c r="E3187" i="1"/>
  <c r="B3187" i="1"/>
  <c r="O3186" i="1"/>
  <c r="E3186" i="1"/>
  <c r="B3186" i="1"/>
  <c r="O3185" i="1"/>
  <c r="E3185" i="1"/>
  <c r="B3185" i="1"/>
  <c r="O3184" i="1"/>
  <c r="E3184" i="1"/>
  <c r="B3184" i="1"/>
  <c r="O3183" i="1"/>
  <c r="E3183" i="1"/>
  <c r="B3183" i="1"/>
  <c r="O3182" i="1"/>
  <c r="E3182" i="1"/>
  <c r="B3182" i="1"/>
  <c r="O3181" i="1"/>
  <c r="E3181" i="1"/>
  <c r="B3181" i="1"/>
  <c r="O3180" i="1"/>
  <c r="E3180" i="1"/>
  <c r="B3180" i="1"/>
  <c r="O3179" i="1"/>
  <c r="E3179" i="1"/>
  <c r="B3179" i="1"/>
  <c r="O3178" i="1"/>
  <c r="E3178" i="1"/>
  <c r="B3178" i="1"/>
  <c r="O3177" i="1"/>
  <c r="E3177" i="1"/>
  <c r="B3177" i="1"/>
  <c r="O3176" i="1"/>
  <c r="E3176" i="1"/>
  <c r="B3176" i="1"/>
  <c r="O3175" i="1"/>
  <c r="E3175" i="1"/>
  <c r="B3175" i="1"/>
  <c r="O3174" i="1"/>
  <c r="E3174" i="1"/>
  <c r="B3174" i="1"/>
  <c r="O3173" i="1"/>
  <c r="E3173" i="1"/>
  <c r="B3173" i="1"/>
  <c r="O3172" i="1"/>
  <c r="E3172" i="1"/>
  <c r="B3172" i="1"/>
  <c r="O3171" i="1"/>
  <c r="E3171" i="1"/>
  <c r="B3171" i="1"/>
  <c r="O3170" i="1"/>
  <c r="E3170" i="1"/>
  <c r="B3170" i="1"/>
  <c r="O3169" i="1"/>
  <c r="E3169" i="1"/>
  <c r="B3169" i="1"/>
  <c r="O3168" i="1"/>
  <c r="E3168" i="1"/>
  <c r="B3168" i="1"/>
  <c r="O3167" i="1"/>
  <c r="E3167" i="1"/>
  <c r="B3167" i="1"/>
  <c r="O3166" i="1"/>
  <c r="E3166" i="1"/>
  <c r="B3166" i="1"/>
  <c r="O3165" i="1"/>
  <c r="E3165" i="1"/>
  <c r="B3165" i="1"/>
  <c r="O3164" i="1"/>
  <c r="E3164" i="1"/>
  <c r="B3164" i="1"/>
  <c r="O3163" i="1"/>
  <c r="E3163" i="1"/>
  <c r="B3163" i="1"/>
  <c r="O3162" i="1"/>
  <c r="E3162" i="1"/>
  <c r="B3162" i="1"/>
  <c r="O3161" i="1"/>
  <c r="E3161" i="1"/>
  <c r="B3161" i="1"/>
  <c r="O3160" i="1"/>
  <c r="E3160" i="1"/>
  <c r="B3160" i="1"/>
  <c r="O3159" i="1"/>
  <c r="E3159" i="1"/>
  <c r="B3159" i="1"/>
  <c r="O3158" i="1"/>
  <c r="E3158" i="1"/>
  <c r="B3158" i="1"/>
  <c r="O3157" i="1"/>
  <c r="E3157" i="1"/>
  <c r="B3157" i="1"/>
  <c r="O3156" i="1"/>
  <c r="E3156" i="1"/>
  <c r="B3156" i="1"/>
  <c r="O3155" i="1"/>
  <c r="E3155" i="1"/>
  <c r="B3155" i="1"/>
  <c r="O3154" i="1"/>
  <c r="E3154" i="1"/>
  <c r="B3154" i="1"/>
  <c r="O3153" i="1"/>
  <c r="E3153" i="1"/>
  <c r="B3153" i="1"/>
  <c r="O3152" i="1"/>
  <c r="E3152" i="1"/>
  <c r="B3152" i="1"/>
  <c r="O3151" i="1"/>
  <c r="E3151" i="1"/>
  <c r="B3151" i="1"/>
  <c r="O3150" i="1"/>
  <c r="E3150" i="1"/>
  <c r="B3150" i="1"/>
  <c r="O3149" i="1"/>
  <c r="E3149" i="1"/>
  <c r="B3149" i="1"/>
  <c r="O3148" i="1"/>
  <c r="E3148" i="1"/>
  <c r="B3148" i="1"/>
  <c r="O3147" i="1"/>
  <c r="E3147" i="1"/>
  <c r="B3147" i="1"/>
  <c r="O3146" i="1"/>
  <c r="E3146" i="1"/>
  <c r="B3146" i="1"/>
  <c r="O3145" i="1"/>
  <c r="E3145" i="1"/>
  <c r="B3145" i="1"/>
  <c r="O3144" i="1"/>
  <c r="E3144" i="1"/>
  <c r="B3144" i="1"/>
  <c r="O3143" i="1"/>
  <c r="E3143" i="1"/>
  <c r="B3143" i="1"/>
  <c r="O3142" i="1"/>
  <c r="E3142" i="1"/>
  <c r="B3142" i="1"/>
  <c r="O3141" i="1"/>
  <c r="E3141" i="1"/>
  <c r="B3141" i="1"/>
  <c r="O3140" i="1"/>
  <c r="E3140" i="1"/>
  <c r="B3140" i="1"/>
  <c r="O3139" i="1"/>
  <c r="E3139" i="1"/>
  <c r="B3139" i="1"/>
  <c r="O3138" i="1"/>
  <c r="E3138" i="1"/>
  <c r="B3138" i="1"/>
  <c r="O3137" i="1"/>
  <c r="E3137" i="1"/>
  <c r="B3137" i="1"/>
  <c r="O3136" i="1"/>
  <c r="E3136" i="1"/>
  <c r="B3136" i="1"/>
  <c r="O3135" i="1"/>
  <c r="E3135" i="1"/>
  <c r="B3135" i="1"/>
  <c r="O3134" i="1"/>
  <c r="E3134" i="1"/>
  <c r="B3134" i="1"/>
  <c r="O3133" i="1"/>
  <c r="E3133" i="1"/>
  <c r="B3133" i="1"/>
  <c r="O3132" i="1"/>
  <c r="E3132" i="1"/>
  <c r="B3132" i="1"/>
  <c r="O3131" i="1"/>
  <c r="E3131" i="1"/>
  <c r="B3131" i="1"/>
  <c r="O3130" i="1"/>
  <c r="E3130" i="1"/>
  <c r="B3130" i="1"/>
  <c r="O3129" i="1"/>
  <c r="E3129" i="1"/>
  <c r="B3129" i="1"/>
  <c r="O3128" i="1"/>
  <c r="E3128" i="1"/>
  <c r="B3128" i="1"/>
  <c r="O3127" i="1"/>
  <c r="E3127" i="1"/>
  <c r="B3127" i="1"/>
  <c r="O3126" i="1"/>
  <c r="E3126" i="1"/>
  <c r="B3126" i="1"/>
  <c r="O3125" i="1"/>
  <c r="E3125" i="1"/>
  <c r="B3125" i="1"/>
  <c r="O3124" i="1"/>
  <c r="E3124" i="1"/>
  <c r="B3124" i="1"/>
  <c r="O3123" i="1"/>
  <c r="E3123" i="1"/>
  <c r="B3123" i="1"/>
  <c r="O3122" i="1"/>
  <c r="E3122" i="1"/>
  <c r="B3122" i="1"/>
  <c r="O3121" i="1"/>
  <c r="E3121" i="1"/>
  <c r="B3121" i="1"/>
  <c r="O3120" i="1"/>
  <c r="E3120" i="1"/>
  <c r="B3120" i="1"/>
  <c r="O3119" i="1"/>
  <c r="E3119" i="1"/>
  <c r="B3119" i="1"/>
  <c r="O3118" i="1"/>
  <c r="E3118" i="1"/>
  <c r="B3118" i="1"/>
  <c r="O3117" i="1"/>
  <c r="E3117" i="1"/>
  <c r="B3117" i="1"/>
  <c r="O3116" i="1"/>
  <c r="E3116" i="1"/>
  <c r="B3116" i="1"/>
  <c r="O3115" i="1"/>
  <c r="E3115" i="1"/>
  <c r="B3115" i="1"/>
  <c r="O3114" i="1"/>
  <c r="E3114" i="1"/>
  <c r="B3114" i="1"/>
  <c r="O3113" i="1"/>
  <c r="E3113" i="1"/>
  <c r="B3113" i="1"/>
  <c r="O3112" i="1"/>
  <c r="E3112" i="1"/>
  <c r="B3112" i="1"/>
  <c r="O3111" i="1"/>
  <c r="E3111" i="1"/>
  <c r="B3111" i="1"/>
  <c r="O3110" i="1"/>
  <c r="E3110" i="1"/>
  <c r="B3110" i="1"/>
  <c r="O3109" i="1"/>
  <c r="E3109" i="1"/>
  <c r="B3109" i="1"/>
  <c r="O3108" i="1"/>
  <c r="E3108" i="1"/>
  <c r="B3108" i="1"/>
  <c r="O3107" i="1"/>
  <c r="E3107" i="1"/>
  <c r="B3107" i="1"/>
  <c r="O3106" i="1"/>
  <c r="E3106" i="1"/>
  <c r="B3106" i="1"/>
  <c r="O3105" i="1"/>
  <c r="E3105" i="1"/>
  <c r="B3105" i="1"/>
  <c r="O3104" i="1"/>
  <c r="E3104" i="1"/>
  <c r="B3104" i="1"/>
  <c r="O3103" i="1"/>
  <c r="E3103" i="1"/>
  <c r="B3103" i="1"/>
  <c r="O3102" i="1"/>
  <c r="E3102" i="1"/>
  <c r="B3102" i="1"/>
  <c r="O3101" i="1"/>
  <c r="E3101" i="1"/>
  <c r="B3101" i="1"/>
  <c r="O3100" i="1"/>
  <c r="E3100" i="1"/>
  <c r="B3100" i="1"/>
  <c r="O3099" i="1"/>
  <c r="E3099" i="1"/>
  <c r="B3099" i="1"/>
  <c r="O3098" i="1"/>
  <c r="E3098" i="1"/>
  <c r="B3098" i="1"/>
  <c r="O3097" i="1"/>
  <c r="E3097" i="1"/>
  <c r="B3097" i="1"/>
  <c r="O3096" i="1"/>
  <c r="E3096" i="1"/>
  <c r="B3096" i="1"/>
  <c r="O3095" i="1"/>
  <c r="E3095" i="1"/>
  <c r="B3095" i="1"/>
  <c r="O3094" i="1"/>
  <c r="E3094" i="1"/>
  <c r="B3094" i="1"/>
  <c r="O3093" i="1"/>
  <c r="E3093" i="1"/>
  <c r="B3093" i="1"/>
  <c r="O3092" i="1"/>
  <c r="E3092" i="1"/>
  <c r="B3092" i="1"/>
  <c r="O3091" i="1"/>
  <c r="E3091" i="1"/>
  <c r="B3091" i="1"/>
  <c r="O3090" i="1"/>
  <c r="E3090" i="1"/>
  <c r="B3090" i="1"/>
  <c r="O3089" i="1"/>
  <c r="E3089" i="1"/>
  <c r="B3089" i="1"/>
  <c r="O3088" i="1"/>
  <c r="E3088" i="1"/>
  <c r="B3088" i="1"/>
  <c r="O3087" i="1"/>
  <c r="E3087" i="1"/>
  <c r="B3087" i="1"/>
  <c r="O3086" i="1"/>
  <c r="E3086" i="1"/>
  <c r="B3086" i="1"/>
  <c r="O3085" i="1"/>
  <c r="E3085" i="1"/>
  <c r="B3085" i="1"/>
  <c r="O3084" i="1"/>
  <c r="E3084" i="1"/>
  <c r="B3084" i="1"/>
  <c r="O3083" i="1"/>
  <c r="E3083" i="1"/>
  <c r="B3083" i="1"/>
  <c r="O3082" i="1"/>
  <c r="E3082" i="1"/>
  <c r="B3082" i="1"/>
  <c r="O3081" i="1"/>
  <c r="E3081" i="1"/>
  <c r="B3081" i="1"/>
  <c r="O3080" i="1"/>
  <c r="E3080" i="1"/>
  <c r="B3080" i="1"/>
  <c r="O3079" i="1"/>
  <c r="E3079" i="1"/>
  <c r="B3079" i="1"/>
  <c r="O3078" i="1"/>
  <c r="E3078" i="1"/>
  <c r="B3078" i="1"/>
  <c r="O3077" i="1"/>
  <c r="E3077" i="1"/>
  <c r="B3077" i="1"/>
  <c r="O3076" i="1"/>
  <c r="E3076" i="1"/>
  <c r="B3076" i="1"/>
  <c r="O3075" i="1"/>
  <c r="E3075" i="1"/>
  <c r="B3075" i="1"/>
  <c r="O3074" i="1"/>
  <c r="E3074" i="1"/>
  <c r="B3074" i="1"/>
  <c r="O3073" i="1"/>
  <c r="E3073" i="1"/>
  <c r="B3073" i="1"/>
  <c r="O3072" i="1"/>
  <c r="E3072" i="1"/>
  <c r="B3072" i="1"/>
  <c r="O3071" i="1"/>
  <c r="E3071" i="1"/>
  <c r="B3071" i="1"/>
  <c r="O3070" i="1"/>
  <c r="E3070" i="1"/>
  <c r="B3070" i="1"/>
  <c r="O3069" i="1"/>
  <c r="E3069" i="1"/>
  <c r="B3069" i="1"/>
  <c r="O3068" i="1"/>
  <c r="E3068" i="1"/>
  <c r="B3068" i="1"/>
  <c r="O3067" i="1"/>
  <c r="E3067" i="1"/>
  <c r="B3067" i="1"/>
  <c r="O3066" i="1"/>
  <c r="E3066" i="1"/>
  <c r="B3066" i="1"/>
  <c r="O3065" i="1"/>
  <c r="E3065" i="1"/>
  <c r="B3065" i="1"/>
  <c r="O3064" i="1"/>
  <c r="E3064" i="1"/>
  <c r="B3064" i="1"/>
  <c r="O3063" i="1"/>
  <c r="E3063" i="1"/>
  <c r="B3063" i="1"/>
  <c r="O3062" i="1"/>
  <c r="E3062" i="1"/>
  <c r="B3062" i="1"/>
  <c r="O3061" i="1"/>
  <c r="E3061" i="1"/>
  <c r="B3061" i="1"/>
  <c r="O3060" i="1"/>
  <c r="E3060" i="1"/>
  <c r="B3060" i="1"/>
  <c r="O3059" i="1"/>
  <c r="E3059" i="1"/>
  <c r="B3059" i="1"/>
  <c r="O3058" i="1"/>
  <c r="E3058" i="1"/>
  <c r="B3058" i="1"/>
  <c r="O3057" i="1"/>
  <c r="E3057" i="1"/>
  <c r="B3057" i="1"/>
  <c r="O3056" i="1"/>
  <c r="E3056" i="1"/>
  <c r="B3056" i="1"/>
  <c r="O3055" i="1"/>
  <c r="E3055" i="1"/>
  <c r="B3055" i="1"/>
  <c r="O3054" i="1"/>
  <c r="E3054" i="1"/>
  <c r="B3054" i="1"/>
  <c r="O3053" i="1"/>
  <c r="E3053" i="1"/>
  <c r="B3053" i="1"/>
  <c r="O3052" i="1"/>
  <c r="E3052" i="1"/>
  <c r="B3052" i="1"/>
  <c r="O3051" i="1"/>
  <c r="E3051" i="1"/>
  <c r="B3051" i="1"/>
  <c r="O3050" i="1"/>
  <c r="E3050" i="1"/>
  <c r="B3050" i="1"/>
  <c r="O3049" i="1"/>
  <c r="E3049" i="1"/>
  <c r="B3049" i="1"/>
  <c r="O3048" i="1"/>
  <c r="E3048" i="1"/>
  <c r="B3048" i="1"/>
  <c r="O3047" i="1"/>
  <c r="E3047" i="1"/>
  <c r="B3047" i="1"/>
  <c r="O3046" i="1"/>
  <c r="E3046" i="1"/>
  <c r="B3046" i="1"/>
  <c r="O3045" i="1"/>
  <c r="E3045" i="1"/>
  <c r="B3045" i="1"/>
  <c r="O3044" i="1"/>
  <c r="E3044" i="1"/>
  <c r="B3044" i="1"/>
  <c r="O3043" i="1"/>
  <c r="E3043" i="1"/>
  <c r="B3043" i="1"/>
  <c r="O3042" i="1"/>
  <c r="E3042" i="1"/>
  <c r="B3042" i="1"/>
  <c r="O3041" i="1"/>
  <c r="E3041" i="1"/>
  <c r="B3041" i="1"/>
  <c r="O3040" i="1"/>
  <c r="E3040" i="1"/>
  <c r="B3040" i="1"/>
  <c r="O3039" i="1"/>
  <c r="E3039" i="1"/>
  <c r="B3039" i="1"/>
  <c r="O3038" i="1"/>
  <c r="E3038" i="1"/>
  <c r="B3038" i="1"/>
  <c r="O3037" i="1"/>
  <c r="E3037" i="1"/>
  <c r="B3037" i="1"/>
  <c r="O3036" i="1"/>
  <c r="E3036" i="1"/>
  <c r="B3036" i="1"/>
  <c r="O3035" i="1"/>
  <c r="E3035" i="1"/>
  <c r="B3035" i="1"/>
  <c r="O3034" i="1"/>
  <c r="E3034" i="1"/>
  <c r="B3034" i="1"/>
  <c r="O3033" i="1"/>
  <c r="E3033" i="1"/>
  <c r="B3033" i="1"/>
  <c r="O3032" i="1"/>
  <c r="E3032" i="1"/>
  <c r="B3032" i="1"/>
  <c r="O3031" i="1"/>
  <c r="E3031" i="1"/>
  <c r="B3031" i="1"/>
  <c r="O3030" i="1"/>
  <c r="E3030" i="1"/>
  <c r="B3030" i="1"/>
  <c r="O3029" i="1"/>
  <c r="E3029" i="1"/>
  <c r="B3029" i="1"/>
  <c r="O3028" i="1"/>
  <c r="E3028" i="1"/>
  <c r="B3028" i="1"/>
  <c r="O3027" i="1"/>
  <c r="E3027" i="1"/>
  <c r="B3027" i="1"/>
  <c r="O3026" i="1"/>
  <c r="E3026" i="1"/>
  <c r="B3026" i="1"/>
  <c r="O3025" i="1"/>
  <c r="E3025" i="1"/>
  <c r="B3025" i="1"/>
  <c r="O3024" i="1"/>
  <c r="E3024" i="1"/>
  <c r="B3024" i="1"/>
  <c r="O3023" i="1"/>
  <c r="E3023" i="1"/>
  <c r="B3023" i="1"/>
  <c r="O3022" i="1"/>
  <c r="E3022" i="1"/>
  <c r="B3022" i="1"/>
  <c r="O3021" i="1"/>
  <c r="E3021" i="1"/>
  <c r="B3021" i="1"/>
  <c r="O3020" i="1"/>
  <c r="E3020" i="1"/>
  <c r="B3020" i="1"/>
  <c r="O3019" i="1"/>
  <c r="E3019" i="1"/>
  <c r="B3019" i="1"/>
  <c r="O3018" i="1"/>
  <c r="E3018" i="1"/>
  <c r="B3018" i="1"/>
  <c r="O3017" i="1"/>
  <c r="E3017" i="1"/>
  <c r="B3017" i="1"/>
  <c r="O3016" i="1"/>
  <c r="E3016" i="1"/>
  <c r="B3016" i="1"/>
  <c r="O3015" i="1"/>
  <c r="E3015" i="1"/>
  <c r="B3015" i="1"/>
  <c r="O3014" i="1"/>
  <c r="E3014" i="1"/>
  <c r="B3014" i="1"/>
  <c r="O3013" i="1"/>
  <c r="E3013" i="1"/>
  <c r="B3013" i="1"/>
  <c r="O3012" i="1"/>
  <c r="E3012" i="1"/>
  <c r="B3012" i="1"/>
  <c r="O3011" i="1"/>
  <c r="E3011" i="1"/>
  <c r="B3011" i="1"/>
  <c r="O3010" i="1"/>
  <c r="E3010" i="1"/>
  <c r="B3010" i="1"/>
  <c r="O3009" i="1"/>
  <c r="E3009" i="1"/>
  <c r="B3009" i="1"/>
  <c r="O3008" i="1"/>
  <c r="E3008" i="1"/>
  <c r="B3008" i="1"/>
  <c r="O3007" i="1"/>
  <c r="E3007" i="1"/>
  <c r="B3007" i="1"/>
  <c r="O3006" i="1"/>
  <c r="E3006" i="1"/>
  <c r="B3006" i="1"/>
  <c r="O3005" i="1"/>
  <c r="E3005" i="1"/>
  <c r="B3005" i="1"/>
  <c r="O3004" i="1"/>
  <c r="E3004" i="1"/>
  <c r="B3004" i="1"/>
  <c r="O3003" i="1"/>
  <c r="E3003" i="1"/>
  <c r="B3003" i="1"/>
  <c r="O3002" i="1"/>
  <c r="E3002" i="1"/>
  <c r="B3002" i="1"/>
  <c r="O3001" i="1"/>
  <c r="E3001" i="1"/>
  <c r="B3001" i="1"/>
  <c r="O3000" i="1"/>
  <c r="E3000" i="1"/>
  <c r="B3000" i="1"/>
  <c r="O2999" i="1"/>
  <c r="E2999" i="1"/>
  <c r="B2999" i="1"/>
  <c r="O2998" i="1"/>
  <c r="E2998" i="1"/>
  <c r="B2998" i="1"/>
  <c r="O2997" i="1"/>
  <c r="E2997" i="1"/>
  <c r="B2997" i="1"/>
  <c r="O2996" i="1"/>
  <c r="E2996" i="1"/>
  <c r="B2996" i="1"/>
  <c r="O2995" i="1"/>
  <c r="E2995" i="1"/>
  <c r="B2995" i="1"/>
  <c r="O2994" i="1"/>
  <c r="E2994" i="1"/>
  <c r="B2994" i="1"/>
  <c r="O2993" i="1"/>
  <c r="E2993" i="1"/>
  <c r="B2993" i="1"/>
  <c r="O2992" i="1"/>
  <c r="E2992" i="1"/>
  <c r="B2992" i="1"/>
  <c r="O2991" i="1"/>
  <c r="E2991" i="1"/>
  <c r="B2991" i="1"/>
  <c r="O2990" i="1"/>
  <c r="E2990" i="1"/>
  <c r="B2990" i="1"/>
  <c r="O2989" i="1"/>
  <c r="E2989" i="1"/>
  <c r="B2989" i="1"/>
  <c r="O2988" i="1"/>
  <c r="E2988" i="1"/>
  <c r="B2988" i="1"/>
  <c r="O2987" i="1"/>
  <c r="E2987" i="1"/>
  <c r="B2987" i="1"/>
  <c r="O2986" i="1"/>
  <c r="E2986" i="1"/>
  <c r="B2986" i="1"/>
  <c r="O2985" i="1"/>
  <c r="E2985" i="1"/>
  <c r="B2985" i="1"/>
  <c r="O2984" i="1"/>
  <c r="E2984" i="1"/>
  <c r="B2984" i="1"/>
  <c r="O2983" i="1"/>
  <c r="E2983" i="1"/>
  <c r="B2983" i="1"/>
  <c r="O2982" i="1"/>
  <c r="E2982" i="1"/>
  <c r="B2982" i="1"/>
  <c r="O2981" i="1"/>
  <c r="E2981" i="1"/>
  <c r="B2981" i="1"/>
  <c r="O2980" i="1"/>
  <c r="E2980" i="1"/>
  <c r="B2980" i="1"/>
  <c r="O2979" i="1"/>
  <c r="E2979" i="1"/>
  <c r="B2979" i="1"/>
  <c r="O2978" i="1"/>
  <c r="E2978" i="1"/>
  <c r="B2978" i="1"/>
  <c r="O2977" i="1"/>
  <c r="E2977" i="1"/>
  <c r="B2977" i="1"/>
  <c r="O2976" i="1"/>
  <c r="E2976" i="1"/>
  <c r="B2976" i="1"/>
  <c r="O2975" i="1"/>
  <c r="E2975" i="1"/>
  <c r="B2975" i="1"/>
  <c r="O2974" i="1"/>
  <c r="E2974" i="1"/>
  <c r="B2974" i="1"/>
  <c r="O2973" i="1"/>
  <c r="E2973" i="1"/>
  <c r="B2973" i="1"/>
  <c r="O2972" i="1"/>
  <c r="E2972" i="1"/>
  <c r="B2972" i="1"/>
  <c r="O2971" i="1"/>
  <c r="E2971" i="1"/>
  <c r="B2971" i="1"/>
  <c r="O2970" i="1"/>
  <c r="E2970" i="1"/>
  <c r="B2970" i="1"/>
  <c r="O2969" i="1"/>
  <c r="E2969" i="1"/>
  <c r="B2969" i="1"/>
  <c r="O2968" i="1"/>
  <c r="E2968" i="1"/>
  <c r="B2968" i="1"/>
  <c r="O2967" i="1"/>
  <c r="E2967" i="1"/>
  <c r="B2967" i="1"/>
  <c r="O2966" i="1"/>
  <c r="E2966" i="1"/>
  <c r="B2966" i="1"/>
  <c r="O2965" i="1"/>
  <c r="E2965" i="1"/>
  <c r="B2965" i="1"/>
  <c r="O2964" i="1"/>
  <c r="E2964" i="1"/>
  <c r="B2964" i="1"/>
  <c r="O2963" i="1"/>
  <c r="E2963" i="1"/>
  <c r="B2963" i="1"/>
  <c r="O2962" i="1"/>
  <c r="E2962" i="1"/>
  <c r="B2962" i="1"/>
  <c r="O2961" i="1"/>
  <c r="E2961" i="1"/>
  <c r="B2961" i="1"/>
  <c r="O2960" i="1"/>
  <c r="E2960" i="1"/>
  <c r="B2960" i="1"/>
  <c r="O2959" i="1"/>
  <c r="E2959" i="1"/>
  <c r="B2959" i="1"/>
  <c r="O2958" i="1"/>
  <c r="E2958" i="1"/>
  <c r="B2958" i="1"/>
  <c r="O2957" i="1"/>
  <c r="E2957" i="1"/>
  <c r="B2957" i="1"/>
  <c r="O2956" i="1"/>
  <c r="E2956" i="1"/>
  <c r="B2956" i="1"/>
  <c r="O2955" i="1"/>
  <c r="E2955" i="1"/>
  <c r="B2955" i="1"/>
  <c r="O2954" i="1"/>
  <c r="E2954" i="1"/>
  <c r="B2954" i="1"/>
  <c r="O2953" i="1"/>
  <c r="E2953" i="1"/>
  <c r="B2953" i="1"/>
  <c r="O2952" i="1"/>
  <c r="E2952" i="1"/>
  <c r="B2952" i="1"/>
  <c r="O2951" i="1"/>
  <c r="E2951" i="1"/>
  <c r="B2951" i="1"/>
  <c r="O2950" i="1"/>
  <c r="E2950" i="1"/>
  <c r="B2950" i="1"/>
  <c r="O2949" i="1"/>
  <c r="E2949" i="1"/>
  <c r="B2949" i="1"/>
  <c r="O2948" i="1"/>
  <c r="E2948" i="1"/>
  <c r="B2948" i="1"/>
  <c r="O2947" i="1"/>
  <c r="E2947" i="1"/>
  <c r="B2947" i="1"/>
  <c r="O2946" i="1"/>
  <c r="E2946" i="1"/>
  <c r="B2946" i="1"/>
  <c r="O2945" i="1"/>
  <c r="E2945" i="1"/>
  <c r="B2945" i="1"/>
  <c r="O2944" i="1"/>
  <c r="E2944" i="1"/>
  <c r="B2944" i="1"/>
  <c r="O2943" i="1"/>
  <c r="E2943" i="1"/>
  <c r="B2943" i="1"/>
  <c r="O2942" i="1"/>
  <c r="E2942" i="1"/>
  <c r="B2942" i="1"/>
  <c r="O2941" i="1"/>
  <c r="E2941" i="1"/>
  <c r="B2941" i="1"/>
  <c r="O2940" i="1"/>
  <c r="E2940" i="1"/>
  <c r="B2940" i="1"/>
  <c r="O2939" i="1"/>
  <c r="E2939" i="1"/>
  <c r="B2939" i="1"/>
  <c r="O2938" i="1"/>
  <c r="E2938" i="1"/>
  <c r="B2938" i="1"/>
  <c r="O2937" i="1"/>
  <c r="E2937" i="1"/>
  <c r="B2937" i="1"/>
  <c r="O2936" i="1"/>
  <c r="E2936" i="1"/>
  <c r="B2936" i="1"/>
  <c r="O2935" i="1"/>
  <c r="E2935" i="1"/>
  <c r="B2935" i="1"/>
  <c r="O2934" i="1"/>
  <c r="E2934" i="1"/>
  <c r="B2934" i="1"/>
  <c r="O2933" i="1"/>
  <c r="E2933" i="1"/>
  <c r="B2933" i="1"/>
  <c r="O2932" i="1"/>
  <c r="E2932" i="1"/>
  <c r="B2932" i="1"/>
  <c r="O2931" i="1"/>
  <c r="E2931" i="1"/>
  <c r="B2931" i="1"/>
  <c r="O2930" i="1"/>
  <c r="E2930" i="1"/>
  <c r="B2930" i="1"/>
  <c r="O2929" i="1"/>
  <c r="E2929" i="1"/>
  <c r="B2929" i="1"/>
  <c r="O2928" i="1"/>
  <c r="E2928" i="1"/>
  <c r="B2928" i="1"/>
  <c r="O2927" i="1"/>
  <c r="E2927" i="1"/>
  <c r="B2927" i="1"/>
  <c r="O2926" i="1"/>
  <c r="E2926" i="1"/>
  <c r="B2926" i="1"/>
  <c r="O2925" i="1"/>
  <c r="E2925" i="1"/>
  <c r="B2925" i="1"/>
  <c r="O2924" i="1"/>
  <c r="E2924" i="1"/>
  <c r="B2924" i="1"/>
  <c r="O2923" i="1"/>
  <c r="E2923" i="1"/>
  <c r="B2923" i="1"/>
  <c r="O2922" i="1"/>
  <c r="E2922" i="1"/>
  <c r="B2922" i="1"/>
  <c r="O2921" i="1"/>
  <c r="E2921" i="1"/>
  <c r="B2921" i="1"/>
  <c r="O2920" i="1"/>
  <c r="E2920" i="1"/>
  <c r="B2920" i="1"/>
  <c r="O2919" i="1"/>
  <c r="E2919" i="1"/>
  <c r="B2919" i="1"/>
  <c r="O2918" i="1"/>
  <c r="E2918" i="1"/>
  <c r="B2918" i="1"/>
  <c r="O2917" i="1"/>
  <c r="E2917" i="1"/>
  <c r="B2917" i="1"/>
  <c r="O2916" i="1"/>
  <c r="E2916" i="1"/>
  <c r="B2916" i="1"/>
  <c r="O2915" i="1"/>
  <c r="E2915" i="1"/>
  <c r="B2915" i="1"/>
  <c r="O2914" i="1"/>
  <c r="E2914" i="1"/>
  <c r="B2914" i="1"/>
  <c r="O2913" i="1"/>
  <c r="E2913" i="1"/>
  <c r="B2913" i="1"/>
  <c r="O2912" i="1"/>
  <c r="E2912" i="1"/>
  <c r="B2912" i="1"/>
  <c r="O2911" i="1"/>
  <c r="E2911" i="1"/>
  <c r="B2911" i="1"/>
  <c r="O2910" i="1"/>
  <c r="E2910" i="1"/>
  <c r="B2910" i="1"/>
  <c r="O2909" i="1"/>
  <c r="E2909" i="1"/>
  <c r="B2909" i="1"/>
  <c r="O2908" i="1"/>
  <c r="E2908" i="1"/>
  <c r="B2908" i="1"/>
  <c r="O2907" i="1"/>
  <c r="E2907" i="1"/>
  <c r="B2907" i="1"/>
  <c r="O2906" i="1"/>
  <c r="E2906" i="1"/>
  <c r="B2906" i="1"/>
  <c r="O2905" i="1"/>
  <c r="E2905" i="1"/>
  <c r="B2905" i="1"/>
  <c r="O2904" i="1"/>
  <c r="E2904" i="1"/>
  <c r="B2904" i="1"/>
  <c r="O2903" i="1"/>
  <c r="E2903" i="1"/>
  <c r="B2903" i="1"/>
  <c r="O2902" i="1"/>
  <c r="E2902" i="1"/>
  <c r="B2902" i="1"/>
  <c r="O2901" i="1"/>
  <c r="E2901" i="1"/>
  <c r="B2901" i="1"/>
  <c r="O2900" i="1"/>
  <c r="E2900" i="1"/>
  <c r="B2900" i="1"/>
  <c r="O2899" i="1"/>
  <c r="E2899" i="1"/>
  <c r="B2899" i="1"/>
  <c r="O2898" i="1"/>
  <c r="E2898" i="1"/>
  <c r="B2898" i="1"/>
  <c r="O2897" i="1"/>
  <c r="E2897" i="1"/>
  <c r="B2897" i="1"/>
  <c r="O2896" i="1"/>
  <c r="E2896" i="1"/>
  <c r="B2896" i="1"/>
  <c r="O2895" i="1"/>
  <c r="E2895" i="1"/>
  <c r="B2895" i="1"/>
  <c r="O2894" i="1"/>
  <c r="E2894" i="1"/>
  <c r="B2894" i="1"/>
  <c r="O2893" i="1"/>
  <c r="E2893" i="1"/>
  <c r="B2893" i="1"/>
  <c r="O2892" i="1"/>
  <c r="E2892" i="1"/>
  <c r="B2892" i="1"/>
  <c r="O2891" i="1"/>
  <c r="E2891" i="1"/>
  <c r="B2891" i="1"/>
  <c r="O2890" i="1"/>
  <c r="E2890" i="1"/>
  <c r="B2890" i="1"/>
  <c r="O2889" i="1"/>
  <c r="E2889" i="1"/>
  <c r="B2889" i="1"/>
  <c r="O2888" i="1"/>
  <c r="E2888" i="1"/>
  <c r="B2888" i="1"/>
  <c r="O2887" i="1"/>
  <c r="E2887" i="1"/>
  <c r="B2887" i="1"/>
  <c r="O2886" i="1"/>
  <c r="E2886" i="1"/>
  <c r="B2886" i="1"/>
  <c r="O2885" i="1"/>
  <c r="E2885" i="1"/>
  <c r="B2885" i="1"/>
  <c r="O2884" i="1"/>
  <c r="E2884" i="1"/>
  <c r="B2884" i="1"/>
  <c r="O2883" i="1"/>
  <c r="E2883" i="1"/>
  <c r="B2883" i="1"/>
  <c r="O2882" i="1"/>
  <c r="E2882" i="1"/>
  <c r="B2882" i="1"/>
  <c r="O2881" i="1"/>
  <c r="E2881" i="1"/>
  <c r="B2881" i="1"/>
  <c r="O2880" i="1"/>
  <c r="E2880" i="1"/>
  <c r="B2880" i="1"/>
  <c r="O2879" i="1"/>
  <c r="E2879" i="1"/>
  <c r="B2879" i="1"/>
  <c r="O2878" i="1"/>
  <c r="E2878" i="1"/>
  <c r="B2878" i="1"/>
  <c r="O2877" i="1"/>
  <c r="E2877" i="1"/>
  <c r="B2877" i="1"/>
  <c r="O2876" i="1"/>
  <c r="E2876" i="1"/>
  <c r="B2876" i="1"/>
  <c r="O2875" i="1"/>
  <c r="E2875" i="1"/>
  <c r="B2875" i="1"/>
  <c r="O2874" i="1"/>
  <c r="E2874" i="1"/>
  <c r="B2874" i="1"/>
  <c r="O2873" i="1"/>
  <c r="E2873" i="1"/>
  <c r="B2873" i="1"/>
  <c r="O2872" i="1"/>
  <c r="E2872" i="1"/>
  <c r="B2872" i="1"/>
  <c r="O2871" i="1"/>
  <c r="E2871" i="1"/>
  <c r="B2871" i="1"/>
  <c r="O2870" i="1"/>
  <c r="E2870" i="1"/>
  <c r="B2870" i="1"/>
  <c r="O2869" i="1"/>
  <c r="E2869" i="1"/>
  <c r="B2869" i="1"/>
  <c r="O2868" i="1"/>
  <c r="E2868" i="1"/>
  <c r="B2868" i="1"/>
  <c r="O2867" i="1"/>
  <c r="E2867" i="1"/>
  <c r="B2867" i="1"/>
  <c r="O2866" i="1"/>
  <c r="E2866" i="1"/>
  <c r="B2866" i="1"/>
  <c r="O2865" i="1"/>
  <c r="E2865" i="1"/>
  <c r="B2865" i="1"/>
  <c r="O2864" i="1"/>
  <c r="E2864" i="1"/>
  <c r="B2864" i="1"/>
  <c r="O2863" i="1"/>
  <c r="E2863" i="1"/>
  <c r="B2863" i="1"/>
  <c r="O2862" i="1"/>
  <c r="E2862" i="1"/>
  <c r="B2862" i="1"/>
  <c r="O2861" i="1"/>
  <c r="E2861" i="1"/>
  <c r="B2861" i="1"/>
  <c r="O2860" i="1"/>
  <c r="E2860" i="1"/>
  <c r="B2860" i="1"/>
  <c r="O2859" i="1"/>
  <c r="E2859" i="1"/>
  <c r="B2859" i="1"/>
  <c r="O2858" i="1"/>
  <c r="E2858" i="1"/>
  <c r="B2858" i="1"/>
  <c r="O2857" i="1"/>
  <c r="E2857" i="1"/>
  <c r="B2857" i="1"/>
  <c r="O2856" i="1"/>
  <c r="E2856" i="1"/>
  <c r="B2856" i="1"/>
  <c r="O2855" i="1"/>
  <c r="E2855" i="1"/>
  <c r="B2855" i="1"/>
  <c r="O2854" i="1"/>
  <c r="E2854" i="1"/>
  <c r="B2854" i="1"/>
  <c r="O2853" i="1"/>
  <c r="E2853" i="1"/>
  <c r="B2853" i="1"/>
  <c r="O2852" i="1"/>
  <c r="E2852" i="1"/>
  <c r="B2852" i="1"/>
  <c r="O2851" i="1"/>
  <c r="E2851" i="1"/>
  <c r="B2851" i="1"/>
  <c r="O2850" i="1"/>
  <c r="E2850" i="1"/>
  <c r="B2850" i="1"/>
  <c r="O2849" i="1"/>
  <c r="E2849" i="1"/>
  <c r="B2849" i="1"/>
  <c r="O2848" i="1"/>
  <c r="E2848" i="1"/>
  <c r="B2848" i="1"/>
  <c r="O2847" i="1"/>
  <c r="E2847" i="1"/>
  <c r="B2847" i="1"/>
  <c r="O2846" i="1"/>
  <c r="E2846" i="1"/>
  <c r="B2846" i="1"/>
  <c r="O2845" i="1"/>
  <c r="E2845" i="1"/>
  <c r="B2845" i="1"/>
  <c r="O2844" i="1"/>
  <c r="E2844" i="1"/>
  <c r="B2844" i="1"/>
  <c r="O2843" i="1"/>
  <c r="E2843" i="1"/>
  <c r="B2843" i="1"/>
  <c r="O2842" i="1"/>
  <c r="E2842" i="1"/>
  <c r="B2842" i="1"/>
  <c r="O2841" i="1"/>
  <c r="E2841" i="1"/>
  <c r="B2841" i="1"/>
  <c r="O2840" i="1"/>
  <c r="E2840" i="1"/>
  <c r="B2840" i="1"/>
  <c r="O2839" i="1"/>
  <c r="E2839" i="1"/>
  <c r="B2839" i="1"/>
  <c r="O2838" i="1"/>
  <c r="E2838" i="1"/>
  <c r="B2838" i="1"/>
  <c r="O2837" i="1"/>
  <c r="E2837" i="1"/>
  <c r="B2837" i="1"/>
  <c r="O2836" i="1"/>
  <c r="E2836" i="1"/>
  <c r="B2836" i="1"/>
  <c r="O2835" i="1"/>
  <c r="E2835" i="1"/>
  <c r="B2835" i="1"/>
  <c r="O2834" i="1"/>
  <c r="E2834" i="1"/>
  <c r="B2834" i="1"/>
  <c r="O2833" i="1"/>
  <c r="E2833" i="1"/>
  <c r="B2833" i="1"/>
  <c r="O2832" i="1"/>
  <c r="E2832" i="1"/>
  <c r="B2832" i="1"/>
  <c r="O2831" i="1"/>
  <c r="E2831" i="1"/>
  <c r="B2831" i="1"/>
  <c r="O2830" i="1"/>
  <c r="E2830" i="1"/>
  <c r="B2830" i="1"/>
  <c r="O2829" i="1"/>
  <c r="E2829" i="1"/>
  <c r="B2829" i="1"/>
  <c r="O2828" i="1"/>
  <c r="E2828" i="1"/>
  <c r="B2828" i="1"/>
  <c r="O2827" i="1"/>
  <c r="E2827" i="1"/>
  <c r="B2827" i="1"/>
  <c r="O2826" i="1"/>
  <c r="E2826" i="1"/>
  <c r="B2826" i="1"/>
  <c r="O2825" i="1"/>
  <c r="E2825" i="1"/>
  <c r="B2825" i="1"/>
  <c r="O2824" i="1"/>
  <c r="E2824" i="1"/>
  <c r="B2824" i="1"/>
  <c r="O2823" i="1"/>
  <c r="E2823" i="1"/>
  <c r="B2823" i="1"/>
  <c r="O2822" i="1"/>
  <c r="E2822" i="1"/>
  <c r="B2822" i="1"/>
  <c r="O2821" i="1"/>
  <c r="E2821" i="1"/>
  <c r="B2821" i="1"/>
  <c r="O2820" i="1"/>
  <c r="E2820" i="1"/>
  <c r="B2820" i="1"/>
  <c r="O2819" i="1"/>
  <c r="E2819" i="1"/>
  <c r="B2819" i="1"/>
  <c r="O2818" i="1"/>
  <c r="E2818" i="1"/>
  <c r="B2818" i="1"/>
  <c r="O2817" i="1"/>
  <c r="E2817" i="1"/>
  <c r="B2817" i="1"/>
  <c r="O2816" i="1"/>
  <c r="E2816" i="1"/>
  <c r="B2816" i="1"/>
  <c r="O2815" i="1"/>
  <c r="E2815" i="1"/>
  <c r="B2815" i="1"/>
  <c r="O2814" i="1"/>
  <c r="E2814" i="1"/>
  <c r="B2814" i="1"/>
  <c r="O2813" i="1"/>
  <c r="E2813" i="1"/>
  <c r="B2813" i="1"/>
  <c r="O2812" i="1"/>
  <c r="E2812" i="1"/>
  <c r="B2812" i="1"/>
  <c r="O2811" i="1"/>
  <c r="E2811" i="1"/>
  <c r="B2811" i="1"/>
  <c r="O2810" i="1"/>
  <c r="E2810" i="1"/>
  <c r="B2810" i="1"/>
  <c r="O2809" i="1"/>
  <c r="E2809" i="1"/>
  <c r="B2809" i="1"/>
  <c r="O2808" i="1"/>
  <c r="E2808" i="1"/>
  <c r="B2808" i="1"/>
  <c r="O2807" i="1"/>
  <c r="E2807" i="1"/>
  <c r="B2807" i="1"/>
  <c r="O2806" i="1"/>
  <c r="E2806" i="1"/>
  <c r="B2806" i="1"/>
  <c r="O2805" i="1"/>
  <c r="E2805" i="1"/>
  <c r="B2805" i="1"/>
  <c r="O2804" i="1"/>
  <c r="E2804" i="1"/>
  <c r="B2804" i="1"/>
  <c r="O2803" i="1"/>
  <c r="E2803" i="1"/>
  <c r="B2803" i="1"/>
  <c r="O2802" i="1"/>
  <c r="E2802" i="1"/>
  <c r="B2802" i="1"/>
  <c r="O2801" i="1"/>
  <c r="E2801" i="1"/>
  <c r="B2801" i="1"/>
  <c r="O2800" i="1"/>
  <c r="E2800" i="1"/>
  <c r="B2800" i="1"/>
  <c r="O2799" i="1"/>
  <c r="E2799" i="1"/>
  <c r="B2799" i="1"/>
  <c r="O2798" i="1"/>
  <c r="E2798" i="1"/>
  <c r="B2798" i="1"/>
  <c r="O2797" i="1"/>
  <c r="E2797" i="1"/>
  <c r="B2797" i="1"/>
  <c r="O2796" i="1"/>
  <c r="E2796" i="1"/>
  <c r="B2796" i="1"/>
  <c r="O2795" i="1"/>
  <c r="E2795" i="1"/>
  <c r="B2795" i="1"/>
  <c r="O2794" i="1"/>
  <c r="E2794" i="1"/>
  <c r="B2794" i="1"/>
  <c r="O2793" i="1"/>
  <c r="E2793" i="1"/>
  <c r="B2793" i="1"/>
  <c r="O2792" i="1"/>
  <c r="E2792" i="1"/>
  <c r="B2792" i="1"/>
  <c r="O2791" i="1"/>
  <c r="E2791" i="1"/>
  <c r="B2791" i="1"/>
  <c r="O2790" i="1"/>
  <c r="E2790" i="1"/>
  <c r="B2790" i="1"/>
  <c r="O2789" i="1"/>
  <c r="E2789" i="1"/>
  <c r="B2789" i="1"/>
  <c r="O2788" i="1"/>
  <c r="E2788" i="1"/>
  <c r="B2788" i="1"/>
  <c r="O2787" i="1"/>
  <c r="E2787" i="1"/>
  <c r="B2787" i="1"/>
  <c r="O2786" i="1"/>
  <c r="E2786" i="1"/>
  <c r="B2786" i="1"/>
  <c r="O2785" i="1"/>
  <c r="E2785" i="1"/>
  <c r="B2785" i="1"/>
  <c r="O2784" i="1"/>
  <c r="E2784" i="1"/>
  <c r="B2784" i="1"/>
  <c r="O2783" i="1"/>
  <c r="E2783" i="1"/>
  <c r="B2783" i="1"/>
  <c r="O2782" i="1"/>
  <c r="E2782" i="1"/>
  <c r="B2782" i="1"/>
  <c r="O2781" i="1"/>
  <c r="E2781" i="1"/>
  <c r="B2781" i="1"/>
  <c r="O2780" i="1"/>
  <c r="E2780" i="1"/>
  <c r="B2780" i="1"/>
  <c r="O2779" i="1"/>
  <c r="E2779" i="1"/>
  <c r="B2779" i="1"/>
  <c r="O2778" i="1"/>
  <c r="E2778" i="1"/>
  <c r="B2778" i="1"/>
  <c r="O2777" i="1"/>
  <c r="E2777" i="1"/>
  <c r="B2777" i="1"/>
  <c r="O2776" i="1"/>
  <c r="E2776" i="1"/>
  <c r="B2776" i="1"/>
  <c r="O2775" i="1"/>
  <c r="E2775" i="1"/>
  <c r="B2775" i="1"/>
  <c r="O2774" i="1"/>
  <c r="E2774" i="1"/>
  <c r="B2774" i="1"/>
  <c r="O2773" i="1"/>
  <c r="E2773" i="1"/>
  <c r="B2773" i="1"/>
  <c r="O2772" i="1"/>
  <c r="E2772" i="1"/>
  <c r="B2772" i="1"/>
  <c r="O2771" i="1"/>
  <c r="E2771" i="1"/>
  <c r="B2771" i="1"/>
  <c r="O2770" i="1"/>
  <c r="E2770" i="1"/>
  <c r="B2770" i="1"/>
  <c r="O2769" i="1"/>
  <c r="E2769" i="1"/>
  <c r="B2769" i="1"/>
  <c r="O2768" i="1"/>
  <c r="E2768" i="1"/>
  <c r="B2768" i="1"/>
  <c r="O2767" i="1"/>
  <c r="E2767" i="1"/>
  <c r="B2767" i="1"/>
  <c r="O2766" i="1"/>
  <c r="E2766" i="1"/>
  <c r="B2766" i="1"/>
  <c r="O2765" i="1"/>
  <c r="E2765" i="1"/>
  <c r="B2765" i="1"/>
  <c r="O2764" i="1"/>
  <c r="E2764" i="1"/>
  <c r="B2764" i="1"/>
  <c r="O2763" i="1"/>
  <c r="E2763" i="1"/>
  <c r="B2763" i="1"/>
  <c r="O2762" i="1"/>
  <c r="E2762" i="1"/>
  <c r="B2762" i="1"/>
  <c r="O2761" i="1"/>
  <c r="E2761" i="1"/>
  <c r="B2761" i="1"/>
  <c r="O2760" i="1"/>
  <c r="E2760" i="1"/>
  <c r="B2760" i="1"/>
  <c r="O2759" i="1"/>
  <c r="E2759" i="1"/>
  <c r="B2759" i="1"/>
  <c r="O2758" i="1"/>
  <c r="E2758" i="1"/>
  <c r="B2758" i="1"/>
  <c r="O2757" i="1"/>
  <c r="E2757" i="1"/>
  <c r="B2757" i="1"/>
  <c r="O2756" i="1"/>
  <c r="E2756" i="1"/>
  <c r="B2756" i="1"/>
  <c r="O2755" i="1"/>
  <c r="E2755" i="1"/>
  <c r="B2755" i="1"/>
  <c r="O2754" i="1"/>
  <c r="E2754" i="1"/>
  <c r="B2754" i="1"/>
  <c r="O2753" i="1"/>
  <c r="E2753" i="1"/>
  <c r="B2753" i="1"/>
  <c r="O2752" i="1"/>
  <c r="E2752" i="1"/>
  <c r="B2752" i="1"/>
  <c r="O2751" i="1"/>
  <c r="E2751" i="1"/>
  <c r="B2751" i="1"/>
  <c r="O2750" i="1"/>
  <c r="E2750" i="1"/>
  <c r="B2750" i="1"/>
  <c r="O2749" i="1"/>
  <c r="E2749" i="1"/>
  <c r="B2749" i="1"/>
  <c r="O2748" i="1"/>
  <c r="E2748" i="1"/>
  <c r="B2748" i="1"/>
  <c r="O2747" i="1"/>
  <c r="E2747" i="1"/>
  <c r="B2747" i="1"/>
  <c r="O2746" i="1"/>
  <c r="E2746" i="1"/>
  <c r="B2746" i="1"/>
  <c r="O2745" i="1"/>
  <c r="E2745" i="1"/>
  <c r="B2745" i="1"/>
  <c r="O2744" i="1"/>
  <c r="E2744" i="1"/>
  <c r="B2744" i="1"/>
  <c r="O2743" i="1"/>
  <c r="E2743" i="1"/>
  <c r="B2743" i="1"/>
  <c r="O2742" i="1"/>
  <c r="E2742" i="1"/>
  <c r="B2742" i="1"/>
  <c r="O2741" i="1"/>
  <c r="E2741" i="1"/>
  <c r="B2741" i="1"/>
  <c r="O2740" i="1"/>
  <c r="E2740" i="1"/>
  <c r="B2740" i="1"/>
  <c r="O2739" i="1"/>
  <c r="E2739" i="1"/>
  <c r="B2739" i="1"/>
  <c r="O2738" i="1"/>
  <c r="E2738" i="1"/>
  <c r="B2738" i="1"/>
  <c r="O2737" i="1"/>
  <c r="E2737" i="1"/>
  <c r="B2737" i="1"/>
  <c r="O2736" i="1"/>
  <c r="E2736" i="1"/>
  <c r="B2736" i="1"/>
  <c r="O2735" i="1"/>
  <c r="E2735" i="1"/>
  <c r="B2735" i="1"/>
  <c r="O2734" i="1"/>
  <c r="E2734" i="1"/>
  <c r="B2734" i="1"/>
  <c r="O2733" i="1"/>
  <c r="E2733" i="1"/>
  <c r="B2733" i="1"/>
  <c r="O2732" i="1"/>
  <c r="E2732" i="1"/>
  <c r="B2732" i="1"/>
  <c r="O2731" i="1"/>
  <c r="E2731" i="1"/>
  <c r="B2731" i="1"/>
  <c r="O2730" i="1"/>
  <c r="E2730" i="1"/>
  <c r="B2730" i="1"/>
  <c r="O2729" i="1"/>
  <c r="E2729" i="1"/>
  <c r="B2729" i="1"/>
  <c r="O2728" i="1"/>
  <c r="E2728" i="1"/>
  <c r="B2728" i="1"/>
  <c r="O2727" i="1"/>
  <c r="E2727" i="1"/>
  <c r="B2727" i="1"/>
  <c r="O2726" i="1"/>
  <c r="E2726" i="1"/>
  <c r="B2726" i="1"/>
  <c r="O2725" i="1"/>
  <c r="E2725" i="1"/>
  <c r="B2725" i="1"/>
  <c r="O2724" i="1"/>
  <c r="E2724" i="1"/>
  <c r="B2724" i="1"/>
  <c r="O2723" i="1"/>
  <c r="E2723" i="1"/>
  <c r="B2723" i="1"/>
  <c r="O2722" i="1"/>
  <c r="E2722" i="1"/>
  <c r="B2722" i="1"/>
  <c r="O2721" i="1"/>
  <c r="E2721" i="1"/>
  <c r="B2721" i="1"/>
  <c r="O2720" i="1"/>
  <c r="E2720" i="1"/>
  <c r="B2720" i="1"/>
  <c r="O2719" i="1"/>
  <c r="E2719" i="1"/>
  <c r="B2719" i="1"/>
  <c r="O2718" i="1"/>
  <c r="E2718" i="1"/>
  <c r="B2718" i="1"/>
  <c r="O2717" i="1"/>
  <c r="E2717" i="1"/>
  <c r="B2717" i="1"/>
  <c r="O2716" i="1"/>
  <c r="E2716" i="1"/>
  <c r="B2716" i="1"/>
  <c r="O2715" i="1"/>
  <c r="E2715" i="1"/>
  <c r="B2715" i="1"/>
  <c r="O2714" i="1"/>
  <c r="E2714" i="1"/>
  <c r="B2714" i="1"/>
  <c r="O2713" i="1"/>
  <c r="E2713" i="1"/>
  <c r="B2713" i="1"/>
  <c r="O2712" i="1"/>
  <c r="E2712" i="1"/>
  <c r="B2712" i="1"/>
  <c r="O2711" i="1"/>
  <c r="E2711" i="1"/>
  <c r="B2711" i="1"/>
  <c r="O2710" i="1"/>
  <c r="E2710" i="1"/>
  <c r="B2710" i="1"/>
  <c r="O2709" i="1"/>
  <c r="E2709" i="1"/>
  <c r="B2709" i="1"/>
  <c r="O2708" i="1"/>
  <c r="E2708" i="1"/>
  <c r="B2708" i="1"/>
  <c r="O2707" i="1"/>
  <c r="E2707" i="1"/>
  <c r="B2707" i="1"/>
  <c r="O2706" i="1"/>
  <c r="E2706" i="1"/>
  <c r="B2706" i="1"/>
  <c r="O2705" i="1"/>
  <c r="E2705" i="1"/>
  <c r="B2705" i="1"/>
  <c r="O2704" i="1"/>
  <c r="E2704" i="1"/>
  <c r="B2704" i="1"/>
  <c r="O2703" i="1"/>
  <c r="E2703" i="1"/>
  <c r="B2703" i="1"/>
  <c r="O2702" i="1"/>
  <c r="E2702" i="1"/>
  <c r="B2702" i="1"/>
  <c r="O2701" i="1"/>
  <c r="E2701" i="1"/>
  <c r="B2701" i="1"/>
  <c r="O2700" i="1"/>
  <c r="E2700" i="1"/>
  <c r="B2700" i="1"/>
  <c r="O2699" i="1"/>
  <c r="E2699" i="1"/>
  <c r="B2699" i="1"/>
  <c r="O2698" i="1"/>
  <c r="E2698" i="1"/>
  <c r="B2698" i="1"/>
  <c r="O2697" i="1"/>
  <c r="E2697" i="1"/>
  <c r="B2697" i="1"/>
  <c r="O2696" i="1"/>
  <c r="E2696" i="1"/>
  <c r="B2696" i="1"/>
  <c r="O2695" i="1"/>
  <c r="E2695" i="1"/>
  <c r="B2695" i="1"/>
  <c r="O2694" i="1"/>
  <c r="E2694" i="1"/>
  <c r="B2694" i="1"/>
  <c r="O2693" i="1"/>
  <c r="E2693" i="1"/>
  <c r="B2693" i="1"/>
  <c r="O2692" i="1"/>
  <c r="E2692" i="1"/>
  <c r="B2692" i="1"/>
  <c r="O2691" i="1"/>
  <c r="E2691" i="1"/>
  <c r="B2691" i="1"/>
  <c r="O2690" i="1"/>
  <c r="E2690" i="1"/>
  <c r="B2690" i="1"/>
  <c r="O2689" i="1"/>
  <c r="E2689" i="1"/>
  <c r="B2689" i="1"/>
  <c r="O2688" i="1"/>
  <c r="E2688" i="1"/>
  <c r="B2688" i="1"/>
  <c r="O2687" i="1"/>
  <c r="E2687" i="1"/>
  <c r="B2687" i="1"/>
  <c r="O2686" i="1"/>
  <c r="E2686" i="1"/>
  <c r="B2686" i="1"/>
  <c r="O2685" i="1"/>
  <c r="E2685" i="1"/>
  <c r="B2685" i="1"/>
  <c r="O2684" i="1"/>
  <c r="E2684" i="1"/>
  <c r="B2684" i="1"/>
  <c r="O2683" i="1"/>
  <c r="E2683" i="1"/>
  <c r="B2683" i="1"/>
  <c r="O2682" i="1"/>
  <c r="E2682" i="1"/>
  <c r="B2682" i="1"/>
  <c r="O2681" i="1"/>
  <c r="E2681" i="1"/>
  <c r="B2681" i="1"/>
  <c r="O2680" i="1"/>
  <c r="E2680" i="1"/>
  <c r="B2680" i="1"/>
  <c r="O2679" i="1"/>
  <c r="E2679" i="1"/>
  <c r="B2679" i="1"/>
  <c r="O2678" i="1"/>
  <c r="E2678" i="1"/>
  <c r="B2678" i="1"/>
  <c r="O2677" i="1"/>
  <c r="E2677" i="1"/>
  <c r="B2677" i="1"/>
  <c r="O2676" i="1"/>
  <c r="E2676" i="1"/>
  <c r="B2676" i="1"/>
  <c r="O2675" i="1"/>
  <c r="E2675" i="1"/>
  <c r="B2675" i="1"/>
  <c r="O2674" i="1"/>
  <c r="E2674" i="1"/>
  <c r="B2674" i="1"/>
  <c r="O2673" i="1"/>
  <c r="E2673" i="1"/>
  <c r="B2673" i="1"/>
  <c r="O2672" i="1"/>
  <c r="E2672" i="1"/>
  <c r="B2672" i="1"/>
  <c r="O2671" i="1"/>
  <c r="E2671" i="1"/>
  <c r="B2671" i="1"/>
  <c r="O2670" i="1"/>
  <c r="E2670" i="1"/>
  <c r="B2670" i="1"/>
  <c r="O2669" i="1"/>
  <c r="E2669" i="1"/>
  <c r="B2669" i="1"/>
  <c r="O2668" i="1"/>
  <c r="E2668" i="1"/>
  <c r="B2668" i="1"/>
  <c r="O2667" i="1"/>
  <c r="E2667" i="1"/>
  <c r="B2667" i="1"/>
  <c r="O2666" i="1"/>
  <c r="E2666" i="1"/>
  <c r="B2666" i="1"/>
  <c r="O2665" i="1"/>
  <c r="E2665" i="1"/>
  <c r="B2665" i="1"/>
  <c r="O2664" i="1"/>
  <c r="E2664" i="1"/>
  <c r="B2664" i="1"/>
  <c r="O2663" i="1"/>
  <c r="E2663" i="1"/>
  <c r="B2663" i="1"/>
  <c r="O2662" i="1"/>
  <c r="E2662" i="1"/>
  <c r="B2662" i="1"/>
  <c r="O2661" i="1"/>
  <c r="E2661" i="1"/>
  <c r="B2661" i="1"/>
  <c r="O2660" i="1"/>
  <c r="E2660" i="1"/>
  <c r="B2660" i="1"/>
  <c r="O2659" i="1"/>
  <c r="E2659" i="1"/>
  <c r="B2659" i="1"/>
  <c r="O2658" i="1"/>
  <c r="E2658" i="1"/>
  <c r="B2658" i="1"/>
  <c r="O2657" i="1"/>
  <c r="E2657" i="1"/>
  <c r="B2657" i="1"/>
  <c r="O2656" i="1"/>
  <c r="E2656" i="1"/>
  <c r="B2656" i="1"/>
  <c r="O2655" i="1"/>
  <c r="E2655" i="1"/>
  <c r="B2655" i="1"/>
  <c r="O2654" i="1"/>
  <c r="E2654" i="1"/>
  <c r="B2654" i="1"/>
  <c r="O2653" i="1"/>
  <c r="E2653" i="1"/>
  <c r="B2653" i="1"/>
  <c r="O2652" i="1"/>
  <c r="E2652" i="1"/>
  <c r="B2652" i="1"/>
  <c r="O2651" i="1"/>
  <c r="E2651" i="1"/>
  <c r="B2651" i="1"/>
  <c r="O2650" i="1"/>
  <c r="E2650" i="1"/>
  <c r="B2650" i="1"/>
  <c r="O2649" i="1"/>
  <c r="E2649" i="1"/>
  <c r="B2649" i="1"/>
  <c r="O2648" i="1"/>
  <c r="E2648" i="1"/>
  <c r="B2648" i="1"/>
  <c r="O2647" i="1"/>
  <c r="E2647" i="1"/>
  <c r="B2647" i="1"/>
  <c r="O2646" i="1"/>
  <c r="E2646" i="1"/>
  <c r="B2646" i="1"/>
  <c r="O2645" i="1"/>
  <c r="E2645" i="1"/>
  <c r="B2645" i="1"/>
  <c r="O2644" i="1"/>
  <c r="E2644" i="1"/>
  <c r="B2644" i="1"/>
  <c r="O2643" i="1"/>
  <c r="E2643" i="1"/>
  <c r="B2643" i="1"/>
  <c r="O2642" i="1"/>
  <c r="E2642" i="1"/>
  <c r="B2642" i="1"/>
  <c r="O2641" i="1"/>
  <c r="E2641" i="1"/>
  <c r="B2641" i="1"/>
  <c r="O2640" i="1"/>
  <c r="E2640" i="1"/>
  <c r="B2640" i="1"/>
  <c r="O2639" i="1"/>
  <c r="E2639" i="1"/>
  <c r="B2639" i="1"/>
  <c r="O2638" i="1"/>
  <c r="E2638" i="1"/>
  <c r="B2638" i="1"/>
  <c r="O2637" i="1"/>
  <c r="E2637" i="1"/>
  <c r="B2637" i="1"/>
  <c r="O2636" i="1"/>
  <c r="E2636" i="1"/>
  <c r="B2636" i="1"/>
  <c r="O2635" i="1"/>
  <c r="E2635" i="1"/>
  <c r="B2635" i="1"/>
  <c r="O2634" i="1"/>
  <c r="E2634" i="1"/>
  <c r="B2634" i="1"/>
  <c r="O2633" i="1"/>
  <c r="E2633" i="1"/>
  <c r="B2633" i="1"/>
  <c r="O2632" i="1"/>
  <c r="E2632" i="1"/>
  <c r="B2632" i="1"/>
  <c r="O2631" i="1"/>
  <c r="E2631" i="1"/>
  <c r="B2631" i="1"/>
  <c r="O2630" i="1"/>
  <c r="E2630" i="1"/>
  <c r="B2630" i="1"/>
  <c r="O2629" i="1"/>
  <c r="E2629" i="1"/>
  <c r="B2629" i="1"/>
  <c r="O2628" i="1"/>
  <c r="E2628" i="1"/>
  <c r="B2628" i="1"/>
  <c r="O2627" i="1"/>
  <c r="E2627" i="1"/>
  <c r="B2627" i="1"/>
  <c r="O2626" i="1"/>
  <c r="E2626" i="1"/>
  <c r="B2626" i="1"/>
  <c r="O2625" i="1"/>
  <c r="E2625" i="1"/>
  <c r="B2625" i="1"/>
  <c r="O2624" i="1"/>
  <c r="E2624" i="1"/>
  <c r="B2624" i="1"/>
  <c r="O2623" i="1"/>
  <c r="E2623" i="1"/>
  <c r="B2623" i="1"/>
  <c r="O2622" i="1"/>
  <c r="E2622" i="1"/>
  <c r="B2622" i="1"/>
  <c r="O2621" i="1"/>
  <c r="E2621" i="1"/>
  <c r="B2621" i="1"/>
  <c r="O2620" i="1"/>
  <c r="E2620" i="1"/>
  <c r="B2620" i="1"/>
  <c r="O2619" i="1"/>
  <c r="E2619" i="1"/>
  <c r="B2619" i="1"/>
  <c r="O2618" i="1"/>
  <c r="E2618" i="1"/>
  <c r="B2618" i="1"/>
  <c r="O2617" i="1"/>
  <c r="E2617" i="1"/>
  <c r="B2617" i="1"/>
  <c r="O2616" i="1"/>
  <c r="E2616" i="1"/>
  <c r="B2616" i="1"/>
  <c r="O2615" i="1"/>
  <c r="E2615" i="1"/>
  <c r="B2615" i="1"/>
  <c r="O2614" i="1"/>
  <c r="E2614" i="1"/>
  <c r="B2614" i="1"/>
  <c r="O2613" i="1"/>
  <c r="E2613" i="1"/>
  <c r="B2613" i="1"/>
  <c r="O2612" i="1"/>
  <c r="E2612" i="1"/>
  <c r="B2612" i="1"/>
  <c r="O2611" i="1"/>
  <c r="E2611" i="1"/>
  <c r="B2611" i="1"/>
  <c r="O2610" i="1"/>
  <c r="E2610" i="1"/>
  <c r="B2610" i="1"/>
  <c r="O2609" i="1"/>
  <c r="E2609" i="1"/>
  <c r="B2609" i="1"/>
  <c r="O2608" i="1"/>
  <c r="E2608" i="1"/>
  <c r="B2608" i="1"/>
  <c r="O2607" i="1"/>
  <c r="E2607" i="1"/>
  <c r="B2607" i="1"/>
  <c r="O2606" i="1"/>
  <c r="E2606" i="1"/>
  <c r="B2606" i="1"/>
  <c r="O2605" i="1"/>
  <c r="E2605" i="1"/>
  <c r="B2605" i="1"/>
  <c r="O2604" i="1"/>
  <c r="E2604" i="1"/>
  <c r="B2604" i="1"/>
  <c r="O2603" i="1"/>
  <c r="E2603" i="1"/>
  <c r="B2603" i="1"/>
  <c r="O2602" i="1"/>
  <c r="E2602" i="1"/>
  <c r="B2602" i="1"/>
  <c r="O2601" i="1"/>
  <c r="E2601" i="1"/>
  <c r="B2601" i="1"/>
  <c r="O2600" i="1"/>
  <c r="E2600" i="1"/>
  <c r="B2600" i="1"/>
  <c r="O2599" i="1"/>
  <c r="E2599" i="1"/>
  <c r="B2599" i="1"/>
  <c r="O2598" i="1"/>
  <c r="E2598" i="1"/>
  <c r="B2598" i="1"/>
  <c r="O2597" i="1"/>
  <c r="E2597" i="1"/>
  <c r="B2597" i="1"/>
  <c r="O2596" i="1"/>
  <c r="E2596" i="1"/>
  <c r="B2596" i="1"/>
  <c r="O2595" i="1"/>
  <c r="E2595" i="1"/>
  <c r="B2595" i="1"/>
  <c r="O2594" i="1"/>
  <c r="E2594" i="1"/>
  <c r="B2594" i="1"/>
  <c r="O2593" i="1"/>
  <c r="E2593" i="1"/>
  <c r="B2593" i="1"/>
  <c r="O2592" i="1"/>
  <c r="E2592" i="1"/>
  <c r="B2592" i="1"/>
  <c r="O2591" i="1"/>
  <c r="E2591" i="1"/>
  <c r="B2591" i="1"/>
  <c r="O2590" i="1"/>
  <c r="E2590" i="1"/>
  <c r="B2590" i="1"/>
  <c r="O2589" i="1"/>
  <c r="E2589" i="1"/>
  <c r="B2589" i="1"/>
  <c r="O2588" i="1"/>
  <c r="E2588" i="1"/>
  <c r="B2588" i="1"/>
  <c r="O2587" i="1"/>
  <c r="E2587" i="1"/>
  <c r="B2587" i="1"/>
  <c r="O2586" i="1"/>
  <c r="E2586" i="1"/>
  <c r="B2586" i="1"/>
  <c r="O2585" i="1"/>
  <c r="E2585" i="1"/>
  <c r="B2585" i="1"/>
  <c r="O2584" i="1"/>
  <c r="E2584" i="1"/>
  <c r="B2584" i="1"/>
  <c r="O2583" i="1"/>
  <c r="E2583" i="1"/>
  <c r="B2583" i="1"/>
  <c r="O2582" i="1"/>
  <c r="E2582" i="1"/>
  <c r="B2582" i="1"/>
  <c r="O2581" i="1"/>
  <c r="E2581" i="1"/>
  <c r="B2581" i="1"/>
  <c r="O2580" i="1"/>
  <c r="E2580" i="1"/>
  <c r="B2580" i="1"/>
  <c r="O2579" i="1"/>
  <c r="E2579" i="1"/>
  <c r="B2579" i="1"/>
  <c r="O2578" i="1"/>
  <c r="E2578" i="1"/>
  <c r="B2578" i="1"/>
  <c r="O2577" i="1"/>
  <c r="E2577" i="1"/>
  <c r="B2577" i="1"/>
  <c r="O2576" i="1"/>
  <c r="E2576" i="1"/>
  <c r="B2576" i="1"/>
  <c r="O2575" i="1"/>
  <c r="E2575" i="1"/>
  <c r="B2575" i="1"/>
  <c r="O2574" i="1"/>
  <c r="E2574" i="1"/>
  <c r="B2574" i="1"/>
  <c r="O2573" i="1"/>
  <c r="E2573" i="1"/>
  <c r="B2573" i="1"/>
  <c r="O2572" i="1"/>
  <c r="E2572" i="1"/>
  <c r="B2572" i="1"/>
  <c r="O2571" i="1"/>
  <c r="E2571" i="1"/>
  <c r="B2571" i="1"/>
  <c r="O2570" i="1"/>
  <c r="E2570" i="1"/>
  <c r="B2570" i="1"/>
  <c r="O2569" i="1"/>
  <c r="E2569" i="1"/>
  <c r="B2569" i="1"/>
  <c r="O2568" i="1"/>
  <c r="E2568" i="1"/>
  <c r="B2568" i="1"/>
  <c r="O2567" i="1"/>
  <c r="E2567" i="1"/>
  <c r="B2567" i="1"/>
  <c r="O2566" i="1"/>
  <c r="E2566" i="1"/>
  <c r="B2566" i="1"/>
  <c r="O2565" i="1"/>
  <c r="E2565" i="1"/>
  <c r="B2565" i="1"/>
  <c r="O2564" i="1"/>
  <c r="E2564" i="1"/>
  <c r="B2564" i="1"/>
  <c r="O2563" i="1"/>
  <c r="E2563" i="1"/>
  <c r="B2563" i="1"/>
  <c r="O2562" i="1"/>
  <c r="E2562" i="1"/>
  <c r="B2562" i="1"/>
  <c r="O2561" i="1"/>
  <c r="E2561" i="1"/>
  <c r="B2561" i="1"/>
  <c r="O2560" i="1"/>
  <c r="E2560" i="1"/>
  <c r="B2560" i="1"/>
  <c r="O2559" i="1"/>
  <c r="E2559" i="1"/>
  <c r="B2559" i="1"/>
  <c r="O2558" i="1"/>
  <c r="E2558" i="1"/>
  <c r="B2558" i="1"/>
  <c r="O2557" i="1"/>
  <c r="E2557" i="1"/>
  <c r="B2557" i="1"/>
  <c r="O2556" i="1"/>
  <c r="E2556" i="1"/>
  <c r="B2556" i="1"/>
  <c r="O2555" i="1"/>
  <c r="E2555" i="1"/>
  <c r="B2555" i="1"/>
  <c r="O2554" i="1"/>
  <c r="E2554" i="1"/>
  <c r="B2554" i="1"/>
  <c r="O2553" i="1"/>
  <c r="E2553" i="1"/>
  <c r="B2553" i="1"/>
  <c r="O2552" i="1"/>
  <c r="E2552" i="1"/>
  <c r="B2552" i="1"/>
  <c r="O2551" i="1"/>
  <c r="E2551" i="1"/>
  <c r="B2551" i="1"/>
  <c r="O2550" i="1"/>
  <c r="E2550" i="1"/>
  <c r="B2550" i="1"/>
  <c r="O2549" i="1"/>
  <c r="E2549" i="1"/>
  <c r="B2549" i="1"/>
  <c r="O2548" i="1"/>
  <c r="E2548" i="1"/>
  <c r="B2548" i="1"/>
  <c r="O2547" i="1"/>
  <c r="E2547" i="1"/>
  <c r="B2547" i="1"/>
  <c r="O2546" i="1"/>
  <c r="E2546" i="1"/>
  <c r="B2546" i="1"/>
  <c r="O2545" i="1"/>
  <c r="E2545" i="1"/>
  <c r="B2545" i="1"/>
  <c r="O2544" i="1"/>
  <c r="E2544" i="1"/>
  <c r="B2544" i="1"/>
  <c r="O2543" i="1"/>
  <c r="E2543" i="1"/>
  <c r="B2543" i="1"/>
  <c r="O2542" i="1"/>
  <c r="E2542" i="1"/>
  <c r="B2542" i="1"/>
  <c r="O2541" i="1"/>
  <c r="E2541" i="1"/>
  <c r="B2541" i="1"/>
  <c r="O2540" i="1"/>
  <c r="E2540" i="1"/>
  <c r="B2540" i="1"/>
  <c r="O2539" i="1"/>
  <c r="E2539" i="1"/>
  <c r="B2539" i="1"/>
  <c r="O2538" i="1"/>
  <c r="E2538" i="1"/>
  <c r="B2538" i="1"/>
  <c r="O2537" i="1"/>
  <c r="E2537" i="1"/>
  <c r="B2537" i="1"/>
  <c r="O2536" i="1"/>
  <c r="E2536" i="1"/>
  <c r="B2536" i="1"/>
  <c r="O2535" i="1"/>
  <c r="E2535" i="1"/>
  <c r="B2535" i="1"/>
  <c r="O2534" i="1"/>
  <c r="E2534" i="1"/>
  <c r="B2534" i="1"/>
  <c r="O2533" i="1"/>
  <c r="E2533" i="1"/>
  <c r="B2533" i="1"/>
  <c r="O2532" i="1"/>
  <c r="E2532" i="1"/>
  <c r="B2532" i="1"/>
  <c r="O2531" i="1"/>
  <c r="E2531" i="1"/>
  <c r="B2531" i="1"/>
  <c r="O2530" i="1"/>
  <c r="E2530" i="1"/>
  <c r="B2530" i="1"/>
  <c r="O2529" i="1"/>
  <c r="E2529" i="1"/>
  <c r="B2529" i="1"/>
  <c r="O2528" i="1"/>
  <c r="E2528" i="1"/>
  <c r="B2528" i="1"/>
  <c r="O2527" i="1"/>
  <c r="E2527" i="1"/>
  <c r="B2527" i="1"/>
  <c r="O2526" i="1"/>
  <c r="E2526" i="1"/>
  <c r="B2526" i="1"/>
  <c r="O2525" i="1"/>
  <c r="E2525" i="1"/>
  <c r="B2525" i="1"/>
  <c r="O2524" i="1"/>
  <c r="E2524" i="1"/>
  <c r="B2524" i="1"/>
  <c r="O2523" i="1"/>
  <c r="E2523" i="1"/>
  <c r="B2523" i="1"/>
  <c r="O2522" i="1"/>
  <c r="E2522" i="1"/>
  <c r="B2522" i="1"/>
  <c r="O2521" i="1"/>
  <c r="E2521" i="1"/>
  <c r="B2521" i="1"/>
  <c r="O2520" i="1"/>
  <c r="E2520" i="1"/>
  <c r="B2520" i="1"/>
  <c r="O2519" i="1"/>
  <c r="E2519" i="1"/>
  <c r="B2519" i="1"/>
  <c r="O2518" i="1"/>
  <c r="E2518" i="1"/>
  <c r="B2518" i="1"/>
  <c r="O2517" i="1"/>
  <c r="E2517" i="1"/>
  <c r="B2517" i="1"/>
  <c r="O2516" i="1"/>
  <c r="E2516" i="1"/>
  <c r="B2516" i="1"/>
  <c r="O2515" i="1"/>
  <c r="E2515" i="1"/>
  <c r="B2515" i="1"/>
  <c r="O2514" i="1"/>
  <c r="E2514" i="1"/>
  <c r="B2514" i="1"/>
  <c r="O2513" i="1"/>
  <c r="E2513" i="1"/>
  <c r="B2513" i="1"/>
  <c r="O2512" i="1"/>
  <c r="E2512" i="1"/>
  <c r="B2512" i="1"/>
  <c r="O2511" i="1"/>
  <c r="E2511" i="1"/>
  <c r="B2511" i="1"/>
  <c r="O2510" i="1"/>
  <c r="E2510" i="1"/>
  <c r="B2510" i="1"/>
  <c r="O2509" i="1"/>
  <c r="E2509" i="1"/>
  <c r="B2509" i="1"/>
  <c r="O2508" i="1"/>
  <c r="E2508" i="1"/>
  <c r="B2508" i="1"/>
  <c r="O2507" i="1"/>
  <c r="E2507" i="1"/>
  <c r="B2507" i="1"/>
  <c r="O2506" i="1"/>
  <c r="E2506" i="1"/>
  <c r="B2506" i="1"/>
  <c r="O2505" i="1"/>
  <c r="E2505" i="1"/>
  <c r="B2505" i="1"/>
  <c r="O2504" i="1"/>
  <c r="E2504" i="1"/>
  <c r="B2504" i="1"/>
  <c r="O2503" i="1"/>
  <c r="E2503" i="1"/>
  <c r="B2503" i="1"/>
  <c r="O2502" i="1"/>
  <c r="E2502" i="1"/>
  <c r="B2502" i="1"/>
  <c r="O2501" i="1"/>
  <c r="E2501" i="1"/>
  <c r="B2501" i="1"/>
  <c r="O2500" i="1"/>
  <c r="E2500" i="1"/>
  <c r="B2500" i="1"/>
  <c r="O2499" i="1"/>
  <c r="E2499" i="1"/>
  <c r="B2499" i="1"/>
  <c r="O2498" i="1"/>
  <c r="E2498" i="1"/>
  <c r="B2498" i="1"/>
  <c r="O2497" i="1"/>
  <c r="E2497" i="1"/>
  <c r="B2497" i="1"/>
  <c r="O2496" i="1"/>
  <c r="E2496" i="1"/>
  <c r="B2496" i="1"/>
  <c r="O2495" i="1"/>
  <c r="E2495" i="1"/>
  <c r="B2495" i="1"/>
  <c r="O2494" i="1"/>
  <c r="E2494" i="1"/>
  <c r="B2494" i="1"/>
  <c r="O2493" i="1"/>
  <c r="E2493" i="1"/>
  <c r="B2493" i="1"/>
  <c r="O2492" i="1"/>
  <c r="E2492" i="1"/>
  <c r="B2492" i="1"/>
  <c r="O2491" i="1"/>
  <c r="E2491" i="1"/>
  <c r="B2491" i="1"/>
  <c r="O2490" i="1"/>
  <c r="E2490" i="1"/>
  <c r="B2490" i="1"/>
  <c r="O2489" i="1"/>
  <c r="E2489" i="1"/>
  <c r="B2489" i="1"/>
  <c r="O2488" i="1"/>
  <c r="E2488" i="1"/>
  <c r="B2488" i="1"/>
  <c r="O2487" i="1"/>
  <c r="E2487" i="1"/>
  <c r="B2487" i="1"/>
  <c r="O2486" i="1"/>
  <c r="E2486" i="1"/>
  <c r="B2486" i="1"/>
  <c r="O2485" i="1"/>
  <c r="E2485" i="1"/>
  <c r="B2485" i="1"/>
  <c r="O2484" i="1"/>
  <c r="E2484" i="1"/>
  <c r="B2484" i="1"/>
  <c r="O2483" i="1"/>
  <c r="E2483" i="1"/>
  <c r="B2483" i="1"/>
  <c r="O2482" i="1"/>
  <c r="E2482" i="1"/>
  <c r="B2482" i="1"/>
  <c r="O2481" i="1"/>
  <c r="E2481" i="1"/>
  <c r="B2481" i="1"/>
  <c r="O2480" i="1"/>
  <c r="E2480" i="1"/>
  <c r="B2480" i="1"/>
  <c r="O2479" i="1"/>
  <c r="E2479" i="1"/>
  <c r="B2479" i="1"/>
  <c r="O2478" i="1"/>
  <c r="E2478" i="1"/>
  <c r="B2478" i="1"/>
  <c r="O2477" i="1"/>
  <c r="E2477" i="1"/>
  <c r="B2477" i="1"/>
  <c r="O2476" i="1"/>
  <c r="E2476" i="1"/>
  <c r="B2476" i="1"/>
  <c r="O2475" i="1"/>
  <c r="E2475" i="1"/>
  <c r="B2475" i="1"/>
  <c r="O2474" i="1"/>
  <c r="E2474" i="1"/>
  <c r="B2474" i="1"/>
  <c r="O2473" i="1"/>
  <c r="E2473" i="1"/>
  <c r="B2473" i="1"/>
  <c r="O2472" i="1"/>
  <c r="E2472" i="1"/>
  <c r="B2472" i="1"/>
  <c r="O2471" i="1"/>
  <c r="E2471" i="1"/>
  <c r="B2471" i="1"/>
  <c r="O2470" i="1"/>
  <c r="E2470" i="1"/>
  <c r="B2470" i="1"/>
  <c r="O2469" i="1"/>
  <c r="E2469" i="1"/>
  <c r="B2469" i="1"/>
  <c r="O2468" i="1"/>
  <c r="E2468" i="1"/>
  <c r="B2468" i="1"/>
  <c r="O2467" i="1"/>
  <c r="E2467" i="1"/>
  <c r="B2467" i="1"/>
  <c r="O2466" i="1"/>
  <c r="E2466" i="1"/>
  <c r="B2466" i="1"/>
  <c r="O2465" i="1"/>
  <c r="E2465" i="1"/>
  <c r="B2465" i="1"/>
  <c r="O2464" i="1"/>
  <c r="E2464" i="1"/>
  <c r="B2464" i="1"/>
  <c r="O2463" i="1"/>
  <c r="E2463" i="1"/>
  <c r="B2463" i="1"/>
  <c r="O2462" i="1"/>
  <c r="E2462" i="1"/>
  <c r="B2462" i="1"/>
  <c r="O2461" i="1"/>
  <c r="E2461" i="1"/>
  <c r="B2461" i="1"/>
  <c r="O2460" i="1"/>
  <c r="E2460" i="1"/>
  <c r="B2460" i="1"/>
  <c r="O2459" i="1"/>
  <c r="E2459" i="1"/>
  <c r="B2459" i="1"/>
  <c r="O2458" i="1"/>
  <c r="E2458" i="1"/>
  <c r="B2458" i="1"/>
  <c r="O2457" i="1"/>
  <c r="E2457" i="1"/>
  <c r="B2457" i="1"/>
  <c r="O2456" i="1"/>
  <c r="E2456" i="1"/>
  <c r="B2456" i="1"/>
  <c r="O2455" i="1"/>
  <c r="E2455" i="1"/>
  <c r="B2455" i="1"/>
  <c r="O2454" i="1"/>
  <c r="E2454" i="1"/>
  <c r="B2454" i="1"/>
  <c r="O2453" i="1"/>
  <c r="E2453" i="1"/>
  <c r="B2453" i="1"/>
  <c r="O2452" i="1"/>
  <c r="E2452" i="1"/>
  <c r="B2452" i="1"/>
  <c r="O2451" i="1"/>
  <c r="E2451" i="1"/>
  <c r="B2451" i="1"/>
  <c r="O2450" i="1"/>
  <c r="E2450" i="1"/>
  <c r="B2450" i="1"/>
  <c r="O2449" i="1"/>
  <c r="E2449" i="1"/>
  <c r="B2449" i="1"/>
  <c r="O2448" i="1"/>
  <c r="E2448" i="1"/>
  <c r="B2448" i="1"/>
  <c r="O2447" i="1"/>
  <c r="E2447" i="1"/>
  <c r="B2447" i="1"/>
  <c r="O2446" i="1"/>
  <c r="E2446" i="1"/>
  <c r="B2446" i="1"/>
  <c r="O2445" i="1"/>
  <c r="E2445" i="1"/>
  <c r="B2445" i="1"/>
  <c r="O2444" i="1"/>
  <c r="E2444" i="1"/>
  <c r="B2444" i="1"/>
  <c r="O2443" i="1"/>
  <c r="E2443" i="1"/>
  <c r="B2443" i="1"/>
  <c r="O2442" i="1"/>
  <c r="E2442" i="1"/>
  <c r="B2442" i="1"/>
  <c r="O2441" i="1"/>
  <c r="E2441" i="1"/>
  <c r="B2441" i="1"/>
  <c r="O2440" i="1"/>
  <c r="E2440" i="1"/>
  <c r="B2440" i="1"/>
  <c r="O2439" i="1"/>
  <c r="E2439" i="1"/>
  <c r="B2439" i="1"/>
  <c r="O2438" i="1"/>
  <c r="E2438" i="1"/>
  <c r="B2438" i="1"/>
  <c r="O2437" i="1"/>
  <c r="E2437" i="1"/>
  <c r="B2437" i="1"/>
  <c r="O2436" i="1"/>
  <c r="E2436" i="1"/>
  <c r="B2436" i="1"/>
  <c r="O2435" i="1"/>
  <c r="E2435" i="1"/>
  <c r="B2435" i="1"/>
  <c r="O2434" i="1"/>
  <c r="E2434" i="1"/>
  <c r="B2434" i="1"/>
  <c r="O2433" i="1"/>
  <c r="E2433" i="1"/>
  <c r="B2433" i="1"/>
  <c r="O2432" i="1"/>
  <c r="E2432" i="1"/>
  <c r="B2432" i="1"/>
  <c r="O2431" i="1"/>
  <c r="E2431" i="1"/>
  <c r="B2431" i="1"/>
  <c r="O2430" i="1"/>
  <c r="E2430" i="1"/>
  <c r="B2430" i="1"/>
  <c r="O2429" i="1"/>
  <c r="E2429" i="1"/>
  <c r="B2429" i="1"/>
  <c r="O2428" i="1"/>
  <c r="E2428" i="1"/>
  <c r="B2428" i="1"/>
  <c r="O2427" i="1"/>
  <c r="E2427" i="1"/>
  <c r="B2427" i="1"/>
  <c r="O2426" i="1"/>
  <c r="E2426" i="1"/>
  <c r="B2426" i="1"/>
  <c r="O2425" i="1"/>
  <c r="E2425" i="1"/>
  <c r="B2425" i="1"/>
  <c r="O2424" i="1"/>
  <c r="E2424" i="1"/>
  <c r="B2424" i="1"/>
  <c r="O2423" i="1"/>
  <c r="E2423" i="1"/>
  <c r="B2423" i="1"/>
  <c r="O2422" i="1"/>
  <c r="E2422" i="1"/>
  <c r="B2422" i="1"/>
  <c r="O2421" i="1"/>
  <c r="E2421" i="1"/>
  <c r="B2421" i="1"/>
  <c r="O2420" i="1"/>
  <c r="E2420" i="1"/>
  <c r="B2420" i="1"/>
  <c r="O2419" i="1"/>
  <c r="E2419" i="1"/>
  <c r="B2419" i="1"/>
  <c r="O2418" i="1"/>
  <c r="E2418" i="1"/>
  <c r="B2418" i="1"/>
  <c r="O2417" i="1"/>
  <c r="E2417" i="1"/>
  <c r="B2417" i="1"/>
  <c r="O2416" i="1"/>
  <c r="E2416" i="1"/>
  <c r="B2416" i="1"/>
  <c r="O2415" i="1"/>
  <c r="E2415" i="1"/>
  <c r="B2415" i="1"/>
  <c r="O2414" i="1"/>
  <c r="E2414" i="1"/>
  <c r="B2414" i="1"/>
  <c r="O2413" i="1"/>
  <c r="E2413" i="1"/>
  <c r="B2413" i="1"/>
  <c r="O2412" i="1"/>
  <c r="E2412" i="1"/>
  <c r="B2412" i="1"/>
  <c r="O2411" i="1"/>
  <c r="E2411" i="1"/>
  <c r="B2411" i="1"/>
  <c r="O2410" i="1"/>
  <c r="E2410" i="1"/>
  <c r="B2410" i="1"/>
  <c r="O2409" i="1"/>
  <c r="E2409" i="1"/>
  <c r="B2409" i="1"/>
  <c r="O2408" i="1"/>
  <c r="E2408" i="1"/>
  <c r="B2408" i="1"/>
  <c r="O2407" i="1"/>
  <c r="E2407" i="1"/>
  <c r="B2407" i="1"/>
  <c r="O2406" i="1"/>
  <c r="E2406" i="1"/>
  <c r="B2406" i="1"/>
  <c r="O2405" i="1"/>
  <c r="E2405" i="1"/>
  <c r="B2405" i="1"/>
  <c r="O2404" i="1"/>
  <c r="E2404" i="1"/>
  <c r="B2404" i="1"/>
  <c r="O2403" i="1"/>
  <c r="E2403" i="1"/>
  <c r="B2403" i="1"/>
  <c r="O2402" i="1"/>
  <c r="E2402" i="1"/>
  <c r="B2402" i="1"/>
  <c r="O2401" i="1"/>
  <c r="E2401" i="1"/>
  <c r="B2401" i="1"/>
  <c r="O2400" i="1"/>
  <c r="E2400" i="1"/>
  <c r="B2400" i="1"/>
  <c r="O2399" i="1"/>
  <c r="E2399" i="1"/>
  <c r="B2399" i="1"/>
  <c r="O2398" i="1"/>
  <c r="E2398" i="1"/>
  <c r="B2398" i="1"/>
  <c r="O2397" i="1"/>
  <c r="E2397" i="1"/>
  <c r="B2397" i="1"/>
  <c r="O2396" i="1"/>
  <c r="E2396" i="1"/>
  <c r="B2396" i="1"/>
  <c r="O2395" i="1"/>
  <c r="E2395" i="1"/>
  <c r="B2395" i="1"/>
  <c r="O2394" i="1"/>
  <c r="E2394" i="1"/>
  <c r="B2394" i="1"/>
  <c r="O2393" i="1"/>
  <c r="E2393" i="1"/>
  <c r="B2393" i="1"/>
  <c r="O2392" i="1"/>
  <c r="E2392" i="1"/>
  <c r="B2392" i="1"/>
  <c r="O2391" i="1"/>
  <c r="E2391" i="1"/>
  <c r="B2391" i="1"/>
  <c r="O2390" i="1"/>
  <c r="E2390" i="1"/>
  <c r="B2390" i="1"/>
  <c r="O2389" i="1"/>
  <c r="E2389" i="1"/>
  <c r="B2389" i="1"/>
  <c r="O2388" i="1"/>
  <c r="E2388" i="1"/>
  <c r="B2388" i="1"/>
  <c r="O2387" i="1"/>
  <c r="E2387" i="1"/>
  <c r="B2387" i="1"/>
  <c r="O2386" i="1"/>
  <c r="E2386" i="1"/>
  <c r="B2386" i="1"/>
  <c r="O2385" i="1"/>
  <c r="E2385" i="1"/>
  <c r="B2385" i="1"/>
  <c r="O2384" i="1"/>
  <c r="E2384" i="1"/>
  <c r="B2384" i="1"/>
  <c r="O2383" i="1"/>
  <c r="E2383" i="1"/>
  <c r="B2383" i="1"/>
  <c r="O2382" i="1"/>
  <c r="E2382" i="1"/>
  <c r="B2382" i="1"/>
  <c r="O2381" i="1"/>
  <c r="E2381" i="1"/>
  <c r="B2381" i="1"/>
  <c r="O2380" i="1"/>
  <c r="E2380" i="1"/>
  <c r="B2380" i="1"/>
  <c r="O2379" i="1"/>
  <c r="E2379" i="1"/>
  <c r="B2379" i="1"/>
  <c r="O2378" i="1"/>
  <c r="E2378" i="1"/>
  <c r="B2378" i="1"/>
  <c r="O2377" i="1"/>
  <c r="E2377" i="1"/>
  <c r="B2377" i="1"/>
  <c r="O2376" i="1"/>
  <c r="E2376" i="1"/>
  <c r="B2376" i="1"/>
  <c r="O2375" i="1"/>
  <c r="E2375" i="1"/>
  <c r="B2375" i="1"/>
  <c r="O2374" i="1"/>
  <c r="E2374" i="1"/>
  <c r="B2374" i="1"/>
  <c r="O2373" i="1"/>
  <c r="E2373" i="1"/>
  <c r="B2373" i="1"/>
  <c r="O2372" i="1"/>
  <c r="E2372" i="1"/>
  <c r="B2372" i="1"/>
  <c r="O2371" i="1"/>
  <c r="E2371" i="1"/>
  <c r="B2371" i="1"/>
  <c r="O2370" i="1"/>
  <c r="E2370" i="1"/>
  <c r="B2370" i="1"/>
  <c r="O2369" i="1"/>
  <c r="E2369" i="1"/>
  <c r="B2369" i="1"/>
  <c r="O2368" i="1"/>
  <c r="E2368" i="1"/>
  <c r="B2368" i="1"/>
  <c r="O2367" i="1"/>
  <c r="E2367" i="1"/>
  <c r="B2367" i="1"/>
  <c r="O2366" i="1"/>
  <c r="E2366" i="1"/>
  <c r="B2366" i="1"/>
  <c r="O2365" i="1"/>
  <c r="E2365" i="1"/>
  <c r="B2365" i="1"/>
  <c r="O2364" i="1"/>
  <c r="E2364" i="1"/>
  <c r="B2364" i="1"/>
  <c r="O2363" i="1"/>
  <c r="E2363" i="1"/>
  <c r="B2363" i="1"/>
  <c r="O2362" i="1"/>
  <c r="E2362" i="1"/>
  <c r="B2362" i="1"/>
  <c r="O2361" i="1"/>
  <c r="E2361" i="1"/>
  <c r="B2361" i="1"/>
  <c r="O2360" i="1"/>
  <c r="E2360" i="1"/>
  <c r="B2360" i="1"/>
  <c r="O2359" i="1"/>
  <c r="E2359" i="1"/>
  <c r="B2359" i="1"/>
  <c r="O2358" i="1"/>
  <c r="E2358" i="1"/>
  <c r="B2358" i="1"/>
  <c r="O2357" i="1"/>
  <c r="E2357" i="1"/>
  <c r="B2357" i="1"/>
  <c r="O2356" i="1"/>
  <c r="E2356" i="1"/>
  <c r="B2356" i="1"/>
  <c r="O2355" i="1"/>
  <c r="E2355" i="1"/>
  <c r="B2355" i="1"/>
  <c r="O2354" i="1"/>
  <c r="E2354" i="1"/>
  <c r="B2354" i="1"/>
  <c r="O2353" i="1"/>
  <c r="E2353" i="1"/>
  <c r="B2353" i="1"/>
  <c r="O2352" i="1"/>
  <c r="E2352" i="1"/>
  <c r="B2352" i="1"/>
  <c r="O2351" i="1"/>
  <c r="E2351" i="1"/>
  <c r="B2351" i="1"/>
  <c r="O2350" i="1"/>
  <c r="E2350" i="1"/>
  <c r="B2350" i="1"/>
  <c r="O2349" i="1"/>
  <c r="E2349" i="1"/>
  <c r="B2349" i="1"/>
  <c r="O2348" i="1"/>
  <c r="E2348" i="1"/>
  <c r="B2348" i="1"/>
  <c r="O2347" i="1"/>
  <c r="E2347" i="1"/>
  <c r="B2347" i="1"/>
  <c r="O2346" i="1"/>
  <c r="E2346" i="1"/>
  <c r="B2346" i="1"/>
  <c r="O2345" i="1"/>
  <c r="E2345" i="1"/>
  <c r="B2345" i="1"/>
  <c r="O2344" i="1"/>
  <c r="E2344" i="1"/>
  <c r="B2344" i="1"/>
  <c r="O2343" i="1"/>
  <c r="E2343" i="1"/>
  <c r="B2343" i="1"/>
  <c r="O2342" i="1"/>
  <c r="E2342" i="1"/>
  <c r="B2342" i="1"/>
  <c r="O2341" i="1"/>
  <c r="E2341" i="1"/>
  <c r="B2341" i="1"/>
  <c r="O2340" i="1"/>
  <c r="E2340" i="1"/>
  <c r="B2340" i="1"/>
  <c r="O2339" i="1"/>
  <c r="E2339" i="1"/>
  <c r="B2339" i="1"/>
  <c r="O2338" i="1"/>
  <c r="E2338" i="1"/>
  <c r="B2338" i="1"/>
  <c r="O2337" i="1"/>
  <c r="E2337" i="1"/>
  <c r="B2337" i="1"/>
  <c r="O2336" i="1"/>
  <c r="E2336" i="1"/>
  <c r="B2336" i="1"/>
  <c r="O2335" i="1"/>
  <c r="E2335" i="1"/>
  <c r="B2335" i="1"/>
  <c r="O2334" i="1"/>
  <c r="E2334" i="1"/>
  <c r="B2334" i="1"/>
  <c r="O2333" i="1"/>
  <c r="E2333" i="1"/>
  <c r="B2333" i="1"/>
  <c r="O2332" i="1"/>
  <c r="E2332" i="1"/>
  <c r="B2332" i="1"/>
  <c r="O2331" i="1"/>
  <c r="E2331" i="1"/>
  <c r="B2331" i="1"/>
  <c r="O2330" i="1"/>
  <c r="E2330" i="1"/>
  <c r="B2330" i="1"/>
  <c r="O2329" i="1"/>
  <c r="E2329" i="1"/>
  <c r="B2329" i="1"/>
  <c r="O2328" i="1"/>
  <c r="E2328" i="1"/>
  <c r="B2328" i="1"/>
  <c r="O2327" i="1"/>
  <c r="E2327" i="1"/>
  <c r="B2327" i="1"/>
  <c r="O2326" i="1"/>
  <c r="E2326" i="1"/>
  <c r="B2326" i="1"/>
  <c r="O2325" i="1"/>
  <c r="E2325" i="1"/>
  <c r="B2325" i="1"/>
  <c r="O2324" i="1"/>
  <c r="E2324" i="1"/>
  <c r="B2324" i="1"/>
  <c r="O2323" i="1"/>
  <c r="E2323" i="1"/>
  <c r="B2323" i="1"/>
  <c r="O2322" i="1"/>
  <c r="E2322" i="1"/>
  <c r="B2322" i="1"/>
  <c r="O2321" i="1"/>
  <c r="E2321" i="1"/>
  <c r="B2321" i="1"/>
  <c r="O2320" i="1"/>
  <c r="E2320" i="1"/>
  <c r="B2320" i="1"/>
  <c r="O2319" i="1"/>
  <c r="E2319" i="1"/>
  <c r="B2319" i="1"/>
  <c r="O2318" i="1"/>
  <c r="E2318" i="1"/>
  <c r="B2318" i="1"/>
  <c r="O2317" i="1"/>
  <c r="E2317" i="1"/>
  <c r="B2317" i="1"/>
  <c r="O2316" i="1"/>
  <c r="E2316" i="1"/>
  <c r="B2316" i="1"/>
  <c r="O2315" i="1"/>
  <c r="E2315" i="1"/>
  <c r="B2315" i="1"/>
  <c r="O2314" i="1"/>
  <c r="E2314" i="1"/>
  <c r="B2314" i="1"/>
  <c r="O2313" i="1"/>
  <c r="E2313" i="1"/>
  <c r="B2313" i="1"/>
  <c r="O2312" i="1"/>
  <c r="E2312" i="1"/>
  <c r="B2312" i="1"/>
  <c r="O2311" i="1"/>
  <c r="E2311" i="1"/>
  <c r="B2311" i="1"/>
  <c r="O2310" i="1"/>
  <c r="E2310" i="1"/>
  <c r="B2310" i="1"/>
  <c r="O2309" i="1"/>
  <c r="E2309" i="1"/>
  <c r="B2309" i="1"/>
  <c r="O2308" i="1"/>
  <c r="E2308" i="1"/>
  <c r="B2308" i="1"/>
  <c r="O2307" i="1"/>
  <c r="E2307" i="1"/>
  <c r="B2307" i="1"/>
  <c r="O2306" i="1"/>
  <c r="E2306" i="1"/>
  <c r="B2306" i="1"/>
  <c r="O2305" i="1"/>
  <c r="E2305" i="1"/>
  <c r="B2305" i="1"/>
  <c r="O2304" i="1"/>
  <c r="E2304" i="1"/>
  <c r="B2304" i="1"/>
  <c r="O2303" i="1"/>
  <c r="E2303" i="1"/>
  <c r="B2303" i="1"/>
  <c r="O2302" i="1"/>
  <c r="E2302" i="1"/>
  <c r="B2302" i="1"/>
  <c r="O2301" i="1"/>
  <c r="E2301" i="1"/>
  <c r="B2301" i="1"/>
  <c r="O2300" i="1"/>
  <c r="E2300" i="1"/>
  <c r="B2300" i="1"/>
  <c r="O2299" i="1"/>
  <c r="E2299" i="1"/>
  <c r="B2299" i="1"/>
  <c r="O2298" i="1"/>
  <c r="E2298" i="1"/>
  <c r="B2298" i="1"/>
  <c r="O2297" i="1"/>
  <c r="E2297" i="1"/>
  <c r="B2297" i="1"/>
  <c r="O2296" i="1"/>
  <c r="E2296" i="1"/>
  <c r="B2296" i="1"/>
  <c r="O2295" i="1"/>
  <c r="E2295" i="1"/>
  <c r="B2295" i="1"/>
  <c r="O2294" i="1"/>
  <c r="E2294" i="1"/>
  <c r="B2294" i="1"/>
  <c r="O2293" i="1"/>
  <c r="E2293" i="1"/>
  <c r="B2293" i="1"/>
  <c r="O2292" i="1"/>
  <c r="E2292" i="1"/>
  <c r="B2292" i="1"/>
  <c r="O2291" i="1"/>
  <c r="E2291" i="1"/>
  <c r="B2291" i="1"/>
  <c r="O2290" i="1"/>
  <c r="E2290" i="1"/>
  <c r="B2290" i="1"/>
  <c r="O2289" i="1"/>
  <c r="E2289" i="1"/>
  <c r="B2289" i="1"/>
  <c r="O2288" i="1"/>
  <c r="E2288" i="1"/>
  <c r="B2288" i="1"/>
  <c r="O2287" i="1"/>
  <c r="E2287" i="1"/>
  <c r="B2287" i="1"/>
  <c r="O2286" i="1"/>
  <c r="E2286" i="1"/>
  <c r="B2286" i="1"/>
  <c r="O2285" i="1"/>
  <c r="E2285" i="1"/>
  <c r="B2285" i="1"/>
  <c r="O2284" i="1"/>
  <c r="E2284" i="1"/>
  <c r="B2284" i="1"/>
  <c r="O2283" i="1"/>
  <c r="E2283" i="1"/>
  <c r="B2283" i="1"/>
  <c r="O2282" i="1"/>
  <c r="E2282" i="1"/>
  <c r="B2282" i="1"/>
  <c r="O2281" i="1"/>
  <c r="E2281" i="1"/>
  <c r="B2281" i="1"/>
  <c r="O2280" i="1"/>
  <c r="E2280" i="1"/>
  <c r="B2280" i="1"/>
  <c r="O2279" i="1"/>
  <c r="E2279" i="1"/>
  <c r="B2279" i="1"/>
  <c r="O2278" i="1"/>
  <c r="E2278" i="1"/>
  <c r="B2278" i="1"/>
  <c r="O2277" i="1"/>
  <c r="E2277" i="1"/>
  <c r="B2277" i="1"/>
  <c r="O2276" i="1"/>
  <c r="E2276" i="1"/>
  <c r="B2276" i="1"/>
  <c r="O2275" i="1"/>
  <c r="E2275" i="1"/>
  <c r="B2275" i="1"/>
  <c r="O2274" i="1"/>
  <c r="E2274" i="1"/>
  <c r="B2274" i="1"/>
  <c r="O2273" i="1"/>
  <c r="E2273" i="1"/>
  <c r="B2273" i="1"/>
  <c r="O2272" i="1"/>
  <c r="E2272" i="1"/>
  <c r="B2272" i="1"/>
  <c r="O2271" i="1"/>
  <c r="E2271" i="1"/>
  <c r="B2271" i="1"/>
  <c r="O2270" i="1"/>
  <c r="E2270" i="1"/>
  <c r="B2270" i="1"/>
  <c r="O2269" i="1"/>
  <c r="E2269" i="1"/>
  <c r="B2269" i="1"/>
  <c r="O2268" i="1"/>
  <c r="E2268" i="1"/>
  <c r="B2268" i="1"/>
  <c r="O2267" i="1"/>
  <c r="E2267" i="1"/>
  <c r="B2267" i="1"/>
  <c r="O2266" i="1"/>
  <c r="E2266" i="1"/>
  <c r="B2266" i="1"/>
  <c r="O2265" i="1"/>
  <c r="E2265" i="1"/>
  <c r="B2265" i="1"/>
  <c r="O2264" i="1"/>
  <c r="E2264" i="1"/>
  <c r="B2264" i="1"/>
  <c r="O2263" i="1"/>
  <c r="E2263" i="1"/>
  <c r="B2263" i="1"/>
  <c r="O2262" i="1"/>
  <c r="E2262" i="1"/>
  <c r="B2262" i="1"/>
  <c r="O2261" i="1"/>
  <c r="E2261" i="1"/>
  <c r="B2261" i="1"/>
  <c r="O2260" i="1"/>
  <c r="E2260" i="1"/>
  <c r="B2260" i="1"/>
  <c r="O2259" i="1"/>
  <c r="E2259" i="1"/>
  <c r="B2259" i="1"/>
  <c r="O2258" i="1"/>
  <c r="E2258" i="1"/>
  <c r="B2258" i="1"/>
  <c r="O2257" i="1"/>
  <c r="E2257" i="1"/>
  <c r="B2257" i="1"/>
  <c r="O2256" i="1"/>
  <c r="E2256" i="1"/>
  <c r="B2256" i="1"/>
  <c r="O2255" i="1"/>
  <c r="E2255" i="1"/>
  <c r="B2255" i="1"/>
  <c r="O2254" i="1"/>
  <c r="E2254" i="1"/>
  <c r="B2254" i="1"/>
  <c r="O2253" i="1"/>
  <c r="E2253" i="1"/>
  <c r="B2253" i="1"/>
  <c r="O2252" i="1"/>
  <c r="E2252" i="1"/>
  <c r="B2252" i="1"/>
  <c r="O2251" i="1"/>
  <c r="E2251" i="1"/>
  <c r="B2251" i="1"/>
  <c r="O2250" i="1"/>
  <c r="E2250" i="1"/>
  <c r="B2250" i="1"/>
  <c r="O2249" i="1"/>
  <c r="E2249" i="1"/>
  <c r="B2249" i="1"/>
  <c r="O2248" i="1"/>
  <c r="E2248" i="1"/>
  <c r="B2248" i="1"/>
  <c r="O2247" i="1"/>
  <c r="E2247" i="1"/>
  <c r="B2247" i="1"/>
  <c r="O2246" i="1"/>
  <c r="E2246" i="1"/>
  <c r="B2246" i="1"/>
  <c r="O2245" i="1"/>
  <c r="E2245" i="1"/>
  <c r="B2245" i="1"/>
  <c r="O2244" i="1"/>
  <c r="E2244" i="1"/>
  <c r="B2244" i="1"/>
  <c r="O2243" i="1"/>
  <c r="E2243" i="1"/>
  <c r="B2243" i="1"/>
  <c r="O2242" i="1"/>
  <c r="E2242" i="1"/>
  <c r="B2242" i="1"/>
  <c r="O2241" i="1"/>
  <c r="E2241" i="1"/>
  <c r="B2241" i="1"/>
  <c r="O2240" i="1"/>
  <c r="E2240" i="1"/>
  <c r="B2240" i="1"/>
  <c r="O2239" i="1"/>
  <c r="E2239" i="1"/>
  <c r="B2239" i="1"/>
  <c r="O2238" i="1"/>
  <c r="E2238" i="1"/>
  <c r="B2238" i="1"/>
  <c r="O2237" i="1"/>
  <c r="E2237" i="1"/>
  <c r="B2237" i="1"/>
  <c r="O2236" i="1"/>
  <c r="E2236" i="1"/>
  <c r="B2236" i="1"/>
  <c r="O2235" i="1"/>
  <c r="E2235" i="1"/>
  <c r="B2235" i="1"/>
  <c r="O2234" i="1"/>
  <c r="E2234" i="1"/>
  <c r="B2234" i="1"/>
  <c r="O2233" i="1"/>
  <c r="E2233" i="1"/>
  <c r="B2233" i="1"/>
  <c r="O2232" i="1"/>
  <c r="E2232" i="1"/>
  <c r="B2232" i="1"/>
  <c r="O2231" i="1"/>
  <c r="E2231" i="1"/>
  <c r="B2231" i="1"/>
  <c r="O2230" i="1"/>
  <c r="E2230" i="1"/>
  <c r="B2230" i="1"/>
  <c r="O2229" i="1"/>
  <c r="E2229" i="1"/>
  <c r="B2229" i="1"/>
  <c r="O2228" i="1"/>
  <c r="E2228" i="1"/>
  <c r="B2228" i="1"/>
  <c r="O2227" i="1"/>
  <c r="E2227" i="1"/>
  <c r="B2227" i="1"/>
  <c r="O2226" i="1"/>
  <c r="E2226" i="1"/>
  <c r="B2226" i="1"/>
  <c r="O2225" i="1"/>
  <c r="E2225" i="1"/>
  <c r="B2225" i="1"/>
  <c r="O2224" i="1"/>
  <c r="E2224" i="1"/>
  <c r="B2224" i="1"/>
  <c r="O2223" i="1"/>
  <c r="E2223" i="1"/>
  <c r="B2223" i="1"/>
  <c r="O2222" i="1"/>
  <c r="E2222" i="1"/>
  <c r="B2222" i="1"/>
  <c r="O2221" i="1"/>
  <c r="E2221" i="1"/>
  <c r="B2221" i="1"/>
  <c r="O2220" i="1"/>
  <c r="E2220" i="1"/>
  <c r="B2220" i="1"/>
  <c r="O2219" i="1"/>
  <c r="E2219" i="1"/>
  <c r="B2219" i="1"/>
  <c r="O2218" i="1"/>
  <c r="E2218" i="1"/>
  <c r="B2218" i="1"/>
  <c r="O2217" i="1"/>
  <c r="E2217" i="1"/>
  <c r="B2217" i="1"/>
  <c r="O2216" i="1"/>
  <c r="E2216" i="1"/>
  <c r="B2216" i="1"/>
  <c r="O2215" i="1"/>
  <c r="E2215" i="1"/>
  <c r="B2215" i="1"/>
  <c r="O2214" i="1"/>
  <c r="E2214" i="1"/>
  <c r="B2214" i="1"/>
  <c r="O2213" i="1"/>
  <c r="E2213" i="1"/>
  <c r="B2213" i="1"/>
  <c r="O2212" i="1"/>
  <c r="E2212" i="1"/>
  <c r="B2212" i="1"/>
  <c r="O2211" i="1"/>
  <c r="E2211" i="1"/>
  <c r="B2211" i="1"/>
  <c r="O2210" i="1"/>
  <c r="E2210" i="1"/>
  <c r="B2210" i="1"/>
  <c r="O2209" i="1"/>
  <c r="E2209" i="1"/>
  <c r="B2209" i="1"/>
  <c r="O2208" i="1"/>
  <c r="E2208" i="1"/>
  <c r="B2208" i="1"/>
  <c r="O2207" i="1"/>
  <c r="E2207" i="1"/>
  <c r="B2207" i="1"/>
  <c r="O2206" i="1"/>
  <c r="E2206" i="1"/>
  <c r="B2206" i="1"/>
  <c r="O2205" i="1"/>
  <c r="E2205" i="1"/>
  <c r="B2205" i="1"/>
  <c r="O2204" i="1"/>
  <c r="E2204" i="1"/>
  <c r="B2204" i="1"/>
  <c r="O2203" i="1"/>
  <c r="E2203" i="1"/>
  <c r="B2203" i="1"/>
  <c r="O2202" i="1"/>
  <c r="E2202" i="1"/>
  <c r="B2202" i="1"/>
  <c r="O2201" i="1"/>
  <c r="E2201" i="1"/>
  <c r="B2201" i="1"/>
  <c r="O2200" i="1"/>
  <c r="E2200" i="1"/>
  <c r="B2200" i="1"/>
  <c r="O2199" i="1"/>
  <c r="E2199" i="1"/>
  <c r="B2199" i="1"/>
  <c r="O2198" i="1"/>
  <c r="E2198" i="1"/>
  <c r="B2198" i="1"/>
  <c r="O2197" i="1"/>
  <c r="E2197" i="1"/>
  <c r="B2197" i="1"/>
  <c r="O2196" i="1"/>
  <c r="E2196" i="1"/>
  <c r="B2196" i="1"/>
  <c r="O2195" i="1"/>
  <c r="E2195" i="1"/>
  <c r="B2195" i="1"/>
  <c r="O2194" i="1"/>
  <c r="E2194" i="1"/>
  <c r="B2194" i="1"/>
  <c r="O2193" i="1"/>
  <c r="E2193" i="1"/>
  <c r="B2193" i="1"/>
  <c r="O2192" i="1"/>
  <c r="E2192" i="1"/>
  <c r="B2192" i="1"/>
  <c r="O2191" i="1"/>
  <c r="E2191" i="1"/>
  <c r="B2191" i="1"/>
  <c r="O2190" i="1"/>
  <c r="E2190" i="1"/>
  <c r="B2190" i="1"/>
  <c r="O2189" i="1"/>
  <c r="E2189" i="1"/>
  <c r="B2189" i="1"/>
  <c r="O2188" i="1"/>
  <c r="E2188" i="1"/>
  <c r="B2188" i="1"/>
  <c r="O2187" i="1"/>
  <c r="E2187" i="1"/>
  <c r="B2187" i="1"/>
  <c r="O2186" i="1"/>
  <c r="E2186" i="1"/>
  <c r="B2186" i="1"/>
  <c r="O2185" i="1"/>
  <c r="E2185" i="1"/>
  <c r="B2185" i="1"/>
  <c r="O2184" i="1"/>
  <c r="E2184" i="1"/>
  <c r="B2184" i="1"/>
  <c r="O2183" i="1"/>
  <c r="E2183" i="1"/>
  <c r="B2183" i="1"/>
  <c r="O2182" i="1"/>
  <c r="E2182" i="1"/>
  <c r="B2182" i="1"/>
  <c r="O2181" i="1"/>
  <c r="E2181" i="1"/>
  <c r="B2181" i="1"/>
  <c r="O2180" i="1"/>
  <c r="E2180" i="1"/>
  <c r="B2180" i="1"/>
  <c r="O2179" i="1"/>
  <c r="E2179" i="1"/>
  <c r="B2179" i="1"/>
  <c r="O2178" i="1"/>
  <c r="E2178" i="1"/>
  <c r="B2178" i="1"/>
  <c r="O2177" i="1"/>
  <c r="E2177" i="1"/>
  <c r="B2177" i="1"/>
  <c r="O2176" i="1"/>
  <c r="E2176" i="1"/>
  <c r="B2176" i="1"/>
  <c r="O2175" i="1"/>
  <c r="E2175" i="1"/>
  <c r="B2175" i="1"/>
  <c r="O2174" i="1"/>
  <c r="E2174" i="1"/>
  <c r="B2174" i="1"/>
  <c r="O2173" i="1"/>
  <c r="E2173" i="1"/>
  <c r="B2173" i="1"/>
  <c r="O2172" i="1"/>
  <c r="E2172" i="1"/>
  <c r="B2172" i="1"/>
  <c r="O2171" i="1"/>
  <c r="E2171" i="1"/>
  <c r="B2171" i="1"/>
  <c r="O2170" i="1"/>
  <c r="E2170" i="1"/>
  <c r="B2170" i="1"/>
  <c r="O2169" i="1"/>
  <c r="E2169" i="1"/>
  <c r="B2169" i="1"/>
  <c r="O2168" i="1"/>
  <c r="E2168" i="1"/>
  <c r="B2168" i="1"/>
  <c r="O2167" i="1"/>
  <c r="E2167" i="1"/>
  <c r="B2167" i="1"/>
  <c r="O2166" i="1"/>
  <c r="E2166" i="1"/>
  <c r="B2166" i="1"/>
  <c r="O2165" i="1"/>
  <c r="E2165" i="1"/>
  <c r="B2165" i="1"/>
  <c r="O2164" i="1"/>
  <c r="E2164" i="1"/>
  <c r="B2164" i="1"/>
  <c r="O2163" i="1"/>
  <c r="E2163" i="1"/>
  <c r="B2163" i="1"/>
  <c r="O2162" i="1"/>
  <c r="E2162" i="1"/>
  <c r="B2162" i="1"/>
  <c r="O2161" i="1"/>
  <c r="E2161" i="1"/>
  <c r="B2161" i="1"/>
  <c r="O2160" i="1"/>
  <c r="E2160" i="1"/>
  <c r="B2160" i="1"/>
  <c r="O2159" i="1"/>
  <c r="E2159" i="1"/>
  <c r="B2159" i="1"/>
  <c r="O2158" i="1"/>
  <c r="E2158" i="1"/>
  <c r="B2158" i="1"/>
  <c r="O2157" i="1"/>
  <c r="E2157" i="1"/>
  <c r="B2157" i="1"/>
  <c r="O2156" i="1"/>
  <c r="E2156" i="1"/>
  <c r="B2156" i="1"/>
  <c r="O2155" i="1"/>
  <c r="E2155" i="1"/>
  <c r="B2155" i="1"/>
  <c r="O2154" i="1"/>
  <c r="E2154" i="1"/>
  <c r="B2154" i="1"/>
  <c r="O2153" i="1"/>
  <c r="E2153" i="1"/>
  <c r="B2153" i="1"/>
  <c r="O2152" i="1"/>
  <c r="E2152" i="1"/>
  <c r="B2152" i="1"/>
  <c r="O2151" i="1"/>
  <c r="E2151" i="1"/>
  <c r="B2151" i="1"/>
  <c r="O2150" i="1"/>
  <c r="E2150" i="1"/>
  <c r="B2150" i="1"/>
  <c r="O2149" i="1"/>
  <c r="E2149" i="1"/>
  <c r="B2149" i="1"/>
  <c r="O2148" i="1"/>
  <c r="E2148" i="1"/>
  <c r="B2148" i="1"/>
  <c r="O2147" i="1"/>
  <c r="E2147" i="1"/>
  <c r="B2147" i="1"/>
  <c r="O2146" i="1"/>
  <c r="E2146" i="1"/>
  <c r="B2146" i="1"/>
  <c r="O2145" i="1"/>
  <c r="E2145" i="1"/>
  <c r="B2145" i="1"/>
  <c r="O2144" i="1"/>
  <c r="E2144" i="1"/>
  <c r="B2144" i="1"/>
  <c r="O2143" i="1"/>
  <c r="E2143" i="1"/>
  <c r="B2143" i="1"/>
  <c r="O2142" i="1"/>
  <c r="E2142" i="1"/>
  <c r="B2142" i="1"/>
  <c r="O2141" i="1"/>
  <c r="E2141" i="1"/>
  <c r="B2141" i="1"/>
  <c r="O2140" i="1"/>
  <c r="E2140" i="1"/>
  <c r="B2140" i="1"/>
  <c r="O2139" i="1"/>
  <c r="E2139" i="1"/>
  <c r="B2139" i="1"/>
  <c r="O2138" i="1"/>
  <c r="E2138" i="1"/>
  <c r="B2138" i="1"/>
  <c r="O2137" i="1"/>
  <c r="E2137" i="1"/>
  <c r="B2137" i="1"/>
  <c r="O2136" i="1"/>
  <c r="E2136" i="1"/>
  <c r="B2136" i="1"/>
  <c r="O2135" i="1"/>
  <c r="E2135" i="1"/>
  <c r="B2135" i="1"/>
  <c r="O2134" i="1"/>
  <c r="E2134" i="1"/>
  <c r="B2134" i="1"/>
  <c r="O2133" i="1"/>
  <c r="E2133" i="1"/>
  <c r="B2133" i="1"/>
  <c r="O2132" i="1"/>
  <c r="E2132" i="1"/>
  <c r="B2132" i="1"/>
  <c r="O2131" i="1"/>
  <c r="E2131" i="1"/>
  <c r="B2131" i="1"/>
  <c r="O2130" i="1"/>
  <c r="E2130" i="1"/>
  <c r="B2130" i="1"/>
  <c r="O2129" i="1"/>
  <c r="E2129" i="1"/>
  <c r="B2129" i="1"/>
  <c r="O2128" i="1"/>
  <c r="E2128" i="1"/>
  <c r="B2128" i="1"/>
  <c r="O2127" i="1"/>
  <c r="E2127" i="1"/>
  <c r="B2127" i="1"/>
  <c r="O2126" i="1"/>
  <c r="E2126" i="1"/>
  <c r="B2126" i="1"/>
  <c r="O2125" i="1"/>
  <c r="E2125" i="1"/>
  <c r="B2125" i="1"/>
  <c r="O2124" i="1"/>
  <c r="E2124" i="1"/>
  <c r="B2124" i="1"/>
  <c r="O2123" i="1"/>
  <c r="E2123" i="1"/>
  <c r="B2123" i="1"/>
  <c r="O2122" i="1"/>
  <c r="E2122" i="1"/>
  <c r="B2122" i="1"/>
  <c r="O2121" i="1"/>
  <c r="E2121" i="1"/>
  <c r="B2121" i="1"/>
  <c r="O2120" i="1"/>
  <c r="E2120" i="1"/>
  <c r="B2120" i="1"/>
  <c r="O2119" i="1"/>
  <c r="E2119" i="1"/>
  <c r="B2119" i="1"/>
  <c r="O2118" i="1"/>
  <c r="E2118" i="1"/>
  <c r="B2118" i="1"/>
  <c r="O2117" i="1"/>
  <c r="E2117" i="1"/>
  <c r="B2117" i="1"/>
  <c r="O2116" i="1"/>
  <c r="E2116" i="1"/>
  <c r="B2116" i="1"/>
  <c r="O2115" i="1"/>
  <c r="E2115" i="1"/>
  <c r="B2115" i="1"/>
  <c r="O2114" i="1"/>
  <c r="E2114" i="1"/>
  <c r="B2114" i="1"/>
  <c r="O2113" i="1"/>
  <c r="E2113" i="1"/>
  <c r="B2113" i="1"/>
  <c r="O2112" i="1"/>
  <c r="E2112" i="1"/>
  <c r="B2112" i="1"/>
  <c r="O2111" i="1"/>
  <c r="E2111" i="1"/>
  <c r="B2111" i="1"/>
  <c r="O2110" i="1"/>
  <c r="E2110" i="1"/>
  <c r="B2110" i="1"/>
  <c r="O2109" i="1"/>
  <c r="E2109" i="1"/>
  <c r="B2109" i="1"/>
  <c r="O2108" i="1"/>
  <c r="E2108" i="1"/>
  <c r="B2108" i="1"/>
  <c r="O2107" i="1"/>
  <c r="E2107" i="1"/>
  <c r="B2107" i="1"/>
  <c r="O2106" i="1"/>
  <c r="E2106" i="1"/>
  <c r="B2106" i="1"/>
  <c r="O2105" i="1"/>
  <c r="E2105" i="1"/>
  <c r="B2105" i="1"/>
  <c r="O2104" i="1"/>
  <c r="E2104" i="1"/>
  <c r="B2104" i="1"/>
  <c r="O2103" i="1"/>
  <c r="E2103" i="1"/>
  <c r="B2103" i="1"/>
  <c r="O2102" i="1"/>
  <c r="E2102" i="1"/>
  <c r="B2102" i="1"/>
  <c r="O2101" i="1"/>
  <c r="E2101" i="1"/>
  <c r="B2101" i="1"/>
  <c r="O2100" i="1"/>
  <c r="E2100" i="1"/>
  <c r="B2100" i="1"/>
  <c r="O2099" i="1"/>
  <c r="E2099" i="1"/>
  <c r="B2099" i="1"/>
  <c r="O2098" i="1"/>
  <c r="E2098" i="1"/>
  <c r="B2098" i="1"/>
  <c r="O2097" i="1"/>
  <c r="E2097" i="1"/>
  <c r="B2097" i="1"/>
  <c r="O2096" i="1"/>
  <c r="E2096" i="1"/>
  <c r="B2096" i="1"/>
  <c r="O2095" i="1"/>
  <c r="E2095" i="1"/>
  <c r="B2095" i="1"/>
  <c r="O2094" i="1"/>
  <c r="E2094" i="1"/>
  <c r="B2094" i="1"/>
  <c r="O2093" i="1"/>
  <c r="E2093" i="1"/>
  <c r="B2093" i="1"/>
  <c r="O2092" i="1"/>
  <c r="E2092" i="1"/>
  <c r="B2092" i="1"/>
  <c r="O2091" i="1"/>
  <c r="E2091" i="1"/>
  <c r="B2091" i="1"/>
  <c r="O2090" i="1"/>
  <c r="E2090" i="1"/>
  <c r="B2090" i="1"/>
  <c r="O2089" i="1"/>
  <c r="E2089" i="1"/>
  <c r="B2089" i="1"/>
  <c r="O2088" i="1"/>
  <c r="E2088" i="1"/>
  <c r="B2088" i="1"/>
  <c r="O2087" i="1"/>
  <c r="E2087" i="1"/>
  <c r="B2087" i="1"/>
  <c r="O2086" i="1"/>
  <c r="E2086" i="1"/>
  <c r="B2086" i="1"/>
  <c r="O2085" i="1"/>
  <c r="E2085" i="1"/>
  <c r="B2085" i="1"/>
  <c r="O2084" i="1"/>
  <c r="E2084" i="1"/>
  <c r="B2084" i="1"/>
  <c r="O2083" i="1"/>
  <c r="E2083" i="1"/>
  <c r="B2083" i="1"/>
  <c r="O2082" i="1"/>
  <c r="E2082" i="1"/>
  <c r="B2082" i="1"/>
  <c r="O2081" i="1"/>
  <c r="E2081" i="1"/>
  <c r="B2081" i="1"/>
  <c r="O2080" i="1"/>
  <c r="E2080" i="1"/>
  <c r="B2080" i="1"/>
  <c r="O2079" i="1"/>
  <c r="E2079" i="1"/>
  <c r="B2079" i="1"/>
  <c r="O2078" i="1"/>
  <c r="E2078" i="1"/>
  <c r="B2078" i="1"/>
  <c r="O2077" i="1"/>
  <c r="E2077" i="1"/>
  <c r="B2077" i="1"/>
  <c r="O2076" i="1"/>
  <c r="E2076" i="1"/>
  <c r="B2076" i="1"/>
  <c r="O2075" i="1"/>
  <c r="E2075" i="1"/>
  <c r="B2075" i="1"/>
  <c r="O2074" i="1"/>
  <c r="E2074" i="1"/>
  <c r="B2074" i="1"/>
  <c r="O2073" i="1"/>
  <c r="E2073" i="1"/>
  <c r="B2073" i="1"/>
  <c r="O2072" i="1"/>
  <c r="E2072" i="1"/>
  <c r="B2072" i="1"/>
  <c r="O2071" i="1"/>
  <c r="E2071" i="1"/>
  <c r="B2071" i="1"/>
  <c r="O2070" i="1"/>
  <c r="E2070" i="1"/>
  <c r="B2070" i="1"/>
  <c r="O2069" i="1"/>
  <c r="E2069" i="1"/>
  <c r="B2069" i="1"/>
  <c r="O2068" i="1"/>
  <c r="E2068" i="1"/>
  <c r="B2068" i="1"/>
  <c r="O2067" i="1"/>
  <c r="E2067" i="1"/>
  <c r="B2067" i="1"/>
  <c r="O2066" i="1"/>
  <c r="E2066" i="1"/>
  <c r="B2066" i="1"/>
  <c r="O2065" i="1"/>
  <c r="E2065" i="1"/>
  <c r="B2065" i="1"/>
  <c r="O2064" i="1"/>
  <c r="E2064" i="1"/>
  <c r="B2064" i="1"/>
  <c r="O2063" i="1"/>
  <c r="E2063" i="1"/>
  <c r="B2063" i="1"/>
  <c r="O2062" i="1"/>
  <c r="E2062" i="1"/>
  <c r="B2062" i="1"/>
  <c r="O2061" i="1"/>
  <c r="E2061" i="1"/>
  <c r="B2061" i="1"/>
  <c r="O2060" i="1"/>
  <c r="E2060" i="1"/>
  <c r="B2060" i="1"/>
  <c r="O2059" i="1"/>
  <c r="E2059" i="1"/>
  <c r="B2059" i="1"/>
  <c r="O2058" i="1"/>
  <c r="E2058" i="1"/>
  <c r="B2058" i="1"/>
  <c r="O2057" i="1"/>
  <c r="E2057" i="1"/>
  <c r="B2057" i="1"/>
  <c r="O2056" i="1"/>
  <c r="E2056" i="1"/>
  <c r="B2056" i="1"/>
  <c r="O2055" i="1"/>
  <c r="E2055" i="1"/>
  <c r="B2055" i="1"/>
  <c r="O2054" i="1"/>
  <c r="E2054" i="1"/>
  <c r="B2054" i="1"/>
  <c r="O2053" i="1"/>
  <c r="E2053" i="1"/>
  <c r="B2053" i="1"/>
  <c r="O2052" i="1"/>
  <c r="E2052" i="1"/>
  <c r="B2052" i="1"/>
  <c r="O2051" i="1"/>
  <c r="E2051" i="1"/>
  <c r="B2051" i="1"/>
  <c r="O2050" i="1"/>
  <c r="E2050" i="1"/>
  <c r="B2050" i="1"/>
  <c r="O2049" i="1"/>
  <c r="E2049" i="1"/>
  <c r="B2049" i="1"/>
  <c r="O2048" i="1"/>
  <c r="E2048" i="1"/>
  <c r="B2048" i="1"/>
  <c r="O2047" i="1"/>
  <c r="E2047" i="1"/>
  <c r="B2047" i="1"/>
  <c r="O2046" i="1"/>
  <c r="E2046" i="1"/>
  <c r="B2046" i="1"/>
  <c r="O2045" i="1"/>
  <c r="E2045" i="1"/>
  <c r="B2045" i="1"/>
  <c r="O2044" i="1"/>
  <c r="E2044" i="1"/>
  <c r="B2044" i="1"/>
  <c r="O2043" i="1"/>
  <c r="E2043" i="1"/>
  <c r="B2043" i="1"/>
  <c r="O2042" i="1"/>
  <c r="E2042" i="1"/>
  <c r="B2042" i="1"/>
  <c r="O2041" i="1"/>
  <c r="E2041" i="1"/>
  <c r="B2041" i="1"/>
  <c r="O2040" i="1"/>
  <c r="E2040" i="1"/>
  <c r="B2040" i="1"/>
  <c r="O2039" i="1"/>
  <c r="E2039" i="1"/>
  <c r="B2039" i="1"/>
  <c r="O2038" i="1"/>
  <c r="E2038" i="1"/>
  <c r="B2038" i="1"/>
  <c r="O2037" i="1"/>
  <c r="E2037" i="1"/>
  <c r="B2037" i="1"/>
  <c r="O2036" i="1"/>
  <c r="E2036" i="1"/>
  <c r="B2036" i="1"/>
  <c r="O2035" i="1"/>
  <c r="E2035" i="1"/>
  <c r="B2035" i="1"/>
  <c r="O2034" i="1"/>
  <c r="E2034" i="1"/>
  <c r="B2034" i="1"/>
  <c r="O2033" i="1"/>
  <c r="E2033" i="1"/>
  <c r="B2033" i="1"/>
  <c r="O2032" i="1"/>
  <c r="E2032" i="1"/>
  <c r="B2032" i="1"/>
  <c r="O2031" i="1"/>
  <c r="E2031" i="1"/>
  <c r="B2031" i="1"/>
  <c r="O2030" i="1"/>
  <c r="E2030" i="1"/>
  <c r="B2030" i="1"/>
  <c r="O2029" i="1"/>
  <c r="E2029" i="1"/>
  <c r="B2029" i="1"/>
  <c r="O2028" i="1"/>
  <c r="E2028" i="1"/>
  <c r="B2028" i="1"/>
  <c r="O2027" i="1"/>
  <c r="E2027" i="1"/>
  <c r="B2027" i="1"/>
  <c r="O2026" i="1"/>
  <c r="E2026" i="1"/>
  <c r="B2026" i="1"/>
  <c r="O2025" i="1"/>
  <c r="E2025" i="1"/>
  <c r="B2025" i="1"/>
  <c r="O2024" i="1"/>
  <c r="E2024" i="1"/>
  <c r="B2024" i="1"/>
  <c r="O2023" i="1"/>
  <c r="E2023" i="1"/>
  <c r="B2023" i="1"/>
  <c r="O2022" i="1"/>
  <c r="E2022" i="1"/>
  <c r="B2022" i="1"/>
  <c r="O2021" i="1"/>
  <c r="E2021" i="1"/>
  <c r="B2021" i="1"/>
  <c r="O2020" i="1"/>
  <c r="E2020" i="1"/>
  <c r="B2020" i="1"/>
  <c r="O2019" i="1"/>
  <c r="E2019" i="1"/>
  <c r="B2019" i="1"/>
  <c r="O2018" i="1"/>
  <c r="E2018" i="1"/>
  <c r="B2018" i="1"/>
  <c r="O2017" i="1"/>
  <c r="E2017" i="1"/>
  <c r="B2017" i="1"/>
  <c r="O2016" i="1"/>
  <c r="E2016" i="1"/>
  <c r="B2016" i="1"/>
  <c r="O2015" i="1"/>
  <c r="E2015" i="1"/>
  <c r="B2015" i="1"/>
  <c r="O2014" i="1"/>
  <c r="E2014" i="1"/>
  <c r="B2014" i="1"/>
  <c r="O2013" i="1"/>
  <c r="E2013" i="1"/>
  <c r="B2013" i="1"/>
  <c r="O2012" i="1"/>
  <c r="E2012" i="1"/>
  <c r="B2012" i="1"/>
  <c r="O2011" i="1"/>
  <c r="E2011" i="1"/>
  <c r="B2011" i="1"/>
  <c r="O2010" i="1"/>
  <c r="E2010" i="1"/>
  <c r="B2010" i="1"/>
  <c r="O2009" i="1"/>
  <c r="E2009" i="1"/>
  <c r="B2009" i="1"/>
  <c r="O2008" i="1"/>
  <c r="E2008" i="1"/>
  <c r="B2008" i="1"/>
  <c r="O2007" i="1"/>
  <c r="E2007" i="1"/>
  <c r="B2007" i="1"/>
  <c r="O2006" i="1"/>
  <c r="E2006" i="1"/>
  <c r="B2006" i="1"/>
  <c r="O2005" i="1"/>
  <c r="E2005" i="1"/>
  <c r="B2005" i="1"/>
  <c r="O2004" i="1"/>
  <c r="E2004" i="1"/>
  <c r="B2004" i="1"/>
  <c r="O2003" i="1"/>
  <c r="E2003" i="1"/>
  <c r="B2003" i="1"/>
  <c r="O2002" i="1"/>
  <c r="E2002" i="1"/>
  <c r="B2002" i="1"/>
  <c r="O2001" i="1"/>
  <c r="E2001" i="1"/>
  <c r="B2001" i="1"/>
  <c r="O2000" i="1"/>
  <c r="E2000" i="1"/>
  <c r="B2000" i="1"/>
  <c r="O1999" i="1"/>
  <c r="E1999" i="1"/>
  <c r="B1999" i="1"/>
  <c r="O1998" i="1"/>
  <c r="E1998" i="1"/>
  <c r="B1998" i="1"/>
  <c r="O1997" i="1"/>
  <c r="E1997" i="1"/>
  <c r="B1997" i="1"/>
  <c r="O1996" i="1"/>
  <c r="E1996" i="1"/>
  <c r="B1996" i="1"/>
  <c r="O1995" i="1"/>
  <c r="E1995" i="1"/>
  <c r="B1995" i="1"/>
  <c r="O1994" i="1"/>
  <c r="E1994" i="1"/>
  <c r="B1994" i="1"/>
  <c r="O1993" i="1"/>
  <c r="E1993" i="1"/>
  <c r="B1993" i="1"/>
  <c r="O1992" i="1"/>
  <c r="E1992" i="1"/>
  <c r="B1992" i="1"/>
  <c r="O1991" i="1"/>
  <c r="E1991" i="1"/>
  <c r="B1991" i="1"/>
  <c r="O1990" i="1"/>
  <c r="E1990" i="1"/>
  <c r="B1990" i="1"/>
  <c r="O1989" i="1"/>
  <c r="E1989" i="1"/>
  <c r="B1989" i="1"/>
  <c r="O1988" i="1"/>
  <c r="E1988" i="1"/>
  <c r="B1988" i="1"/>
  <c r="O1987" i="1"/>
  <c r="E1987" i="1"/>
  <c r="B1987" i="1"/>
  <c r="O1986" i="1"/>
  <c r="E1986" i="1"/>
  <c r="B1986" i="1"/>
  <c r="O1985" i="1"/>
  <c r="E1985" i="1"/>
  <c r="B1985" i="1"/>
  <c r="O1984" i="1"/>
  <c r="E1984" i="1"/>
  <c r="B1984" i="1"/>
  <c r="O1983" i="1"/>
  <c r="E1983" i="1"/>
  <c r="B1983" i="1"/>
  <c r="O1982" i="1"/>
  <c r="E1982" i="1"/>
  <c r="B1982" i="1"/>
  <c r="O1981" i="1"/>
  <c r="E1981" i="1"/>
  <c r="B1981" i="1"/>
  <c r="O1980" i="1"/>
  <c r="E1980" i="1"/>
  <c r="B1980" i="1"/>
  <c r="O1979" i="1"/>
  <c r="E1979" i="1"/>
  <c r="B1979" i="1"/>
  <c r="O1978" i="1"/>
  <c r="E1978" i="1"/>
  <c r="B1978" i="1"/>
  <c r="O1977" i="1"/>
  <c r="E1977" i="1"/>
  <c r="B1977" i="1"/>
  <c r="O1976" i="1"/>
  <c r="E1976" i="1"/>
  <c r="B1976" i="1"/>
  <c r="O1975" i="1"/>
  <c r="E1975" i="1"/>
  <c r="B1975" i="1"/>
  <c r="O1974" i="1"/>
  <c r="E1974" i="1"/>
  <c r="B1974" i="1"/>
  <c r="O1973" i="1"/>
  <c r="E1973" i="1"/>
  <c r="B1973" i="1"/>
  <c r="O1972" i="1"/>
  <c r="E1972" i="1"/>
  <c r="B1972" i="1"/>
  <c r="O1971" i="1"/>
  <c r="E1971" i="1"/>
  <c r="B1971" i="1"/>
  <c r="O1970" i="1"/>
  <c r="E1970" i="1"/>
  <c r="B1970" i="1"/>
  <c r="O1969" i="1"/>
  <c r="E1969" i="1"/>
  <c r="B1969" i="1"/>
  <c r="O1968" i="1"/>
  <c r="E1968" i="1"/>
  <c r="B1968" i="1"/>
  <c r="O1967" i="1"/>
  <c r="E1967" i="1"/>
  <c r="B1967" i="1"/>
  <c r="O1966" i="1"/>
  <c r="E1966" i="1"/>
  <c r="B1966" i="1"/>
  <c r="O1965" i="1"/>
  <c r="E1965" i="1"/>
  <c r="B1965" i="1"/>
  <c r="O1964" i="1"/>
  <c r="E1964" i="1"/>
  <c r="B1964" i="1"/>
  <c r="O1963" i="1"/>
  <c r="E1963" i="1"/>
  <c r="B1963" i="1"/>
  <c r="O1962" i="1"/>
  <c r="E1962" i="1"/>
  <c r="B1962" i="1"/>
  <c r="O1961" i="1"/>
  <c r="E1961" i="1"/>
  <c r="B1961" i="1"/>
  <c r="O1960" i="1"/>
  <c r="E1960" i="1"/>
  <c r="B1960" i="1"/>
  <c r="O1959" i="1"/>
  <c r="E1959" i="1"/>
  <c r="B1959" i="1"/>
  <c r="O1958" i="1"/>
  <c r="E1958" i="1"/>
  <c r="B1958" i="1"/>
  <c r="O1957" i="1"/>
  <c r="E1957" i="1"/>
  <c r="B1957" i="1"/>
  <c r="O1956" i="1"/>
  <c r="E1956" i="1"/>
  <c r="B1956" i="1"/>
  <c r="O1955" i="1"/>
  <c r="E1955" i="1"/>
  <c r="B1955" i="1"/>
  <c r="O1954" i="1"/>
  <c r="E1954" i="1"/>
  <c r="B1954" i="1"/>
  <c r="O1953" i="1"/>
  <c r="E1953" i="1"/>
  <c r="B1953" i="1"/>
  <c r="O1952" i="1"/>
  <c r="E1952" i="1"/>
  <c r="B1952" i="1"/>
  <c r="O1951" i="1"/>
  <c r="E1951" i="1"/>
  <c r="B1951" i="1"/>
  <c r="O1950" i="1"/>
  <c r="E1950" i="1"/>
  <c r="B1950" i="1"/>
  <c r="O1949" i="1"/>
  <c r="E1949" i="1"/>
  <c r="B1949" i="1"/>
  <c r="O1948" i="1"/>
  <c r="E1948" i="1"/>
  <c r="B1948" i="1"/>
  <c r="O1947" i="1"/>
  <c r="E1947" i="1"/>
  <c r="B1947" i="1"/>
  <c r="O1946" i="1"/>
  <c r="E1946" i="1"/>
  <c r="B1946" i="1"/>
  <c r="O1945" i="1"/>
  <c r="E1945" i="1"/>
  <c r="B1945" i="1"/>
  <c r="O1944" i="1"/>
  <c r="E1944" i="1"/>
  <c r="B1944" i="1"/>
  <c r="O1943" i="1"/>
  <c r="E1943" i="1"/>
  <c r="B1943" i="1"/>
  <c r="O1942" i="1"/>
  <c r="E1942" i="1"/>
  <c r="B1942" i="1"/>
  <c r="O1941" i="1"/>
  <c r="E1941" i="1"/>
  <c r="B1941" i="1"/>
  <c r="O1940" i="1"/>
  <c r="E1940" i="1"/>
  <c r="B1940" i="1"/>
  <c r="O1939" i="1"/>
  <c r="E1939" i="1"/>
  <c r="B1939" i="1"/>
  <c r="O1938" i="1"/>
  <c r="E1938" i="1"/>
  <c r="B1938" i="1"/>
  <c r="O1937" i="1"/>
  <c r="E1937" i="1"/>
  <c r="B1937" i="1"/>
  <c r="O1936" i="1"/>
  <c r="E1936" i="1"/>
  <c r="B1936" i="1"/>
  <c r="O1935" i="1"/>
  <c r="E1935" i="1"/>
  <c r="B1935" i="1"/>
  <c r="O1934" i="1"/>
  <c r="E1934" i="1"/>
  <c r="B1934" i="1"/>
  <c r="O1933" i="1"/>
  <c r="E1933" i="1"/>
  <c r="B1933" i="1"/>
  <c r="O1932" i="1"/>
  <c r="E1932" i="1"/>
  <c r="B1932" i="1"/>
  <c r="O1931" i="1"/>
  <c r="E1931" i="1"/>
  <c r="B1931" i="1"/>
  <c r="O1930" i="1"/>
  <c r="E1930" i="1"/>
  <c r="B1930" i="1"/>
  <c r="O1929" i="1"/>
  <c r="E1929" i="1"/>
  <c r="B1929" i="1"/>
  <c r="O1928" i="1"/>
  <c r="E1928" i="1"/>
  <c r="B1928" i="1"/>
  <c r="O1927" i="1"/>
  <c r="E1927" i="1"/>
  <c r="B1927" i="1"/>
  <c r="O1926" i="1"/>
  <c r="E1926" i="1"/>
  <c r="B1926" i="1"/>
  <c r="O1925" i="1"/>
  <c r="E1925" i="1"/>
  <c r="B1925" i="1"/>
  <c r="O1924" i="1"/>
  <c r="E1924" i="1"/>
  <c r="B1924" i="1"/>
  <c r="O1923" i="1"/>
  <c r="E1923" i="1"/>
  <c r="B1923" i="1"/>
  <c r="O1922" i="1"/>
  <c r="E1922" i="1"/>
  <c r="B1922" i="1"/>
  <c r="O1921" i="1"/>
  <c r="E1921" i="1"/>
  <c r="B1921" i="1"/>
  <c r="O1920" i="1"/>
  <c r="E1920" i="1"/>
  <c r="B1920" i="1"/>
  <c r="O1919" i="1"/>
  <c r="E1919" i="1"/>
  <c r="B1919" i="1"/>
  <c r="O1918" i="1"/>
  <c r="E1918" i="1"/>
  <c r="B1918" i="1"/>
  <c r="O1917" i="1"/>
  <c r="E1917" i="1"/>
  <c r="B1917" i="1"/>
  <c r="O1916" i="1"/>
  <c r="E1916" i="1"/>
  <c r="B1916" i="1"/>
  <c r="O1915" i="1"/>
  <c r="E1915" i="1"/>
  <c r="B1915" i="1"/>
  <c r="O1914" i="1"/>
  <c r="E1914" i="1"/>
  <c r="B1914" i="1"/>
  <c r="O1913" i="1"/>
  <c r="E1913" i="1"/>
  <c r="B1913" i="1"/>
  <c r="O1912" i="1"/>
  <c r="E1912" i="1"/>
  <c r="B1912" i="1"/>
  <c r="O1911" i="1"/>
  <c r="E1911" i="1"/>
  <c r="B1911" i="1"/>
  <c r="O1910" i="1"/>
  <c r="E1910" i="1"/>
  <c r="B1910" i="1"/>
  <c r="O1909" i="1"/>
  <c r="E1909" i="1"/>
  <c r="B1909" i="1"/>
  <c r="O1908" i="1"/>
  <c r="E1908" i="1"/>
  <c r="B1908" i="1"/>
  <c r="O1907" i="1"/>
  <c r="E1907" i="1"/>
  <c r="B1907" i="1"/>
  <c r="O1906" i="1"/>
  <c r="E1906" i="1"/>
  <c r="B1906" i="1"/>
  <c r="O1905" i="1"/>
  <c r="E1905" i="1"/>
  <c r="B1905" i="1"/>
  <c r="O1904" i="1"/>
  <c r="E1904" i="1"/>
  <c r="B1904" i="1"/>
  <c r="O1903" i="1"/>
  <c r="E1903" i="1"/>
  <c r="B1903" i="1"/>
  <c r="O1902" i="1"/>
  <c r="E1902" i="1"/>
  <c r="B1902" i="1"/>
  <c r="O1901" i="1"/>
  <c r="E1901" i="1"/>
  <c r="B1901" i="1"/>
  <c r="O1900" i="1"/>
  <c r="E1900" i="1"/>
  <c r="B1900" i="1"/>
  <c r="O1899" i="1"/>
  <c r="E1899" i="1"/>
  <c r="B1899" i="1"/>
  <c r="O1898" i="1"/>
  <c r="E1898" i="1"/>
  <c r="B1898" i="1"/>
  <c r="O1897" i="1"/>
  <c r="E1897" i="1"/>
  <c r="B1897" i="1"/>
  <c r="O1896" i="1"/>
  <c r="E1896" i="1"/>
  <c r="B1896" i="1"/>
  <c r="O1895" i="1"/>
  <c r="E1895" i="1"/>
  <c r="B1895" i="1"/>
  <c r="O1894" i="1"/>
  <c r="E1894" i="1"/>
  <c r="B1894" i="1"/>
  <c r="O1893" i="1"/>
  <c r="E1893" i="1"/>
  <c r="B1893" i="1"/>
  <c r="O1892" i="1"/>
  <c r="E1892" i="1"/>
  <c r="B1892" i="1"/>
  <c r="O1891" i="1"/>
  <c r="E1891" i="1"/>
  <c r="B1891" i="1"/>
  <c r="O1890" i="1"/>
  <c r="E1890" i="1"/>
  <c r="B1890" i="1"/>
  <c r="O1889" i="1"/>
  <c r="E1889" i="1"/>
  <c r="B1889" i="1"/>
  <c r="O1888" i="1"/>
  <c r="E1888" i="1"/>
  <c r="B1888" i="1"/>
  <c r="O1887" i="1"/>
  <c r="E1887" i="1"/>
  <c r="B1887" i="1"/>
  <c r="O1886" i="1"/>
  <c r="E1886" i="1"/>
  <c r="B1886" i="1"/>
  <c r="O1885" i="1"/>
  <c r="E1885" i="1"/>
  <c r="B1885" i="1"/>
  <c r="O1884" i="1"/>
  <c r="E1884" i="1"/>
  <c r="B1884" i="1"/>
  <c r="O1883" i="1"/>
  <c r="E1883" i="1"/>
  <c r="B1883" i="1"/>
  <c r="O1882" i="1"/>
  <c r="E1882" i="1"/>
  <c r="B1882" i="1"/>
  <c r="O1881" i="1"/>
  <c r="E1881" i="1"/>
  <c r="B1881" i="1"/>
  <c r="O1880" i="1"/>
  <c r="E1880" i="1"/>
  <c r="B1880" i="1"/>
  <c r="O1879" i="1"/>
  <c r="E1879" i="1"/>
  <c r="B1879" i="1"/>
  <c r="O1878" i="1"/>
  <c r="E1878" i="1"/>
  <c r="B1878" i="1"/>
  <c r="O1877" i="1"/>
  <c r="E1877" i="1"/>
  <c r="B1877" i="1"/>
  <c r="O1876" i="1"/>
  <c r="E1876" i="1"/>
  <c r="B1876" i="1"/>
  <c r="O1875" i="1"/>
  <c r="E1875" i="1"/>
  <c r="B1875" i="1"/>
  <c r="O1874" i="1"/>
  <c r="E1874" i="1"/>
  <c r="B1874" i="1"/>
  <c r="O1873" i="1"/>
  <c r="E1873" i="1"/>
  <c r="B1873" i="1"/>
  <c r="O1872" i="1"/>
  <c r="E1872" i="1"/>
  <c r="B1872" i="1"/>
  <c r="O1871" i="1"/>
  <c r="E1871" i="1"/>
  <c r="B1871" i="1"/>
  <c r="O1870" i="1"/>
  <c r="E1870" i="1"/>
  <c r="B1870" i="1"/>
  <c r="O1869" i="1"/>
  <c r="E1869" i="1"/>
  <c r="B1869" i="1"/>
  <c r="O1868" i="1"/>
  <c r="E1868" i="1"/>
  <c r="B1868" i="1"/>
  <c r="O1867" i="1"/>
  <c r="E1867" i="1"/>
  <c r="B1867" i="1"/>
  <c r="O1866" i="1"/>
  <c r="E1866" i="1"/>
  <c r="B1866" i="1"/>
  <c r="O1865" i="1"/>
  <c r="E1865" i="1"/>
  <c r="B1865" i="1"/>
  <c r="O1864" i="1"/>
  <c r="E1864" i="1"/>
  <c r="B1864" i="1"/>
  <c r="O1863" i="1"/>
  <c r="E1863" i="1"/>
  <c r="B1863" i="1"/>
  <c r="O1862" i="1"/>
  <c r="E1862" i="1"/>
  <c r="B1862" i="1"/>
  <c r="O1861" i="1"/>
  <c r="E1861" i="1"/>
  <c r="B1861" i="1"/>
  <c r="O1860" i="1"/>
  <c r="E1860" i="1"/>
  <c r="B1860" i="1"/>
  <c r="O1859" i="1"/>
  <c r="E1859" i="1"/>
  <c r="B1859" i="1"/>
  <c r="O1858" i="1"/>
  <c r="E1858" i="1"/>
  <c r="B1858" i="1"/>
  <c r="O1857" i="1"/>
  <c r="E1857" i="1"/>
  <c r="B1857" i="1"/>
  <c r="O1856" i="1"/>
  <c r="E1856" i="1"/>
  <c r="B1856" i="1"/>
  <c r="O1855" i="1"/>
  <c r="E1855" i="1"/>
  <c r="B1855" i="1"/>
  <c r="O1854" i="1"/>
  <c r="E1854" i="1"/>
  <c r="B1854" i="1"/>
  <c r="O1853" i="1"/>
  <c r="E1853" i="1"/>
  <c r="B1853" i="1"/>
  <c r="O1852" i="1"/>
  <c r="E1852" i="1"/>
  <c r="B1852" i="1"/>
  <c r="O1851" i="1"/>
  <c r="E1851" i="1"/>
  <c r="B1851" i="1"/>
  <c r="O1850" i="1"/>
  <c r="E1850" i="1"/>
  <c r="B1850" i="1"/>
  <c r="O1849" i="1"/>
  <c r="E1849" i="1"/>
  <c r="B1849" i="1"/>
  <c r="O1848" i="1"/>
  <c r="E1848" i="1"/>
  <c r="B1848" i="1"/>
  <c r="O1847" i="1"/>
  <c r="E1847" i="1"/>
  <c r="B1847" i="1"/>
  <c r="O1846" i="1"/>
  <c r="E1846" i="1"/>
  <c r="B1846" i="1"/>
  <c r="O1845" i="1"/>
  <c r="E1845" i="1"/>
  <c r="B1845" i="1"/>
  <c r="O1844" i="1"/>
  <c r="E1844" i="1"/>
  <c r="B1844" i="1"/>
  <c r="O1843" i="1"/>
  <c r="E1843" i="1"/>
  <c r="B1843" i="1"/>
  <c r="O1842" i="1"/>
  <c r="E1842" i="1"/>
  <c r="B1842" i="1"/>
  <c r="O1841" i="1"/>
  <c r="E1841" i="1"/>
  <c r="B1841" i="1"/>
  <c r="O1840" i="1"/>
  <c r="E1840" i="1"/>
  <c r="B1840" i="1"/>
  <c r="O1839" i="1"/>
  <c r="E1839" i="1"/>
  <c r="B1839" i="1"/>
  <c r="O1838" i="1"/>
  <c r="E1838" i="1"/>
  <c r="B1838" i="1"/>
  <c r="O1837" i="1"/>
  <c r="E1837" i="1"/>
  <c r="B1837" i="1"/>
  <c r="O1836" i="1"/>
  <c r="E1836" i="1"/>
  <c r="B1836" i="1"/>
  <c r="O1835" i="1"/>
  <c r="E1835" i="1"/>
  <c r="B1835" i="1"/>
  <c r="O1834" i="1"/>
  <c r="E1834" i="1"/>
  <c r="B1834" i="1"/>
  <c r="O1833" i="1"/>
  <c r="E1833" i="1"/>
  <c r="B1833" i="1"/>
  <c r="O1832" i="1"/>
  <c r="E1832" i="1"/>
  <c r="B1832" i="1"/>
  <c r="O1831" i="1"/>
  <c r="E1831" i="1"/>
  <c r="B1831" i="1"/>
  <c r="O1830" i="1"/>
  <c r="E1830" i="1"/>
  <c r="B1830" i="1"/>
  <c r="O1829" i="1"/>
  <c r="E1829" i="1"/>
  <c r="B1829" i="1"/>
  <c r="O1828" i="1"/>
  <c r="E1828" i="1"/>
  <c r="B1828" i="1"/>
  <c r="O1827" i="1"/>
  <c r="E1827" i="1"/>
  <c r="B1827" i="1"/>
  <c r="O1826" i="1"/>
  <c r="E1826" i="1"/>
  <c r="B1826" i="1"/>
  <c r="O1825" i="1"/>
  <c r="E1825" i="1"/>
  <c r="B1825" i="1"/>
  <c r="O1824" i="1"/>
  <c r="E1824" i="1"/>
  <c r="B1824" i="1"/>
  <c r="O1823" i="1"/>
  <c r="E1823" i="1"/>
  <c r="B1823" i="1"/>
  <c r="O1822" i="1"/>
  <c r="E1822" i="1"/>
  <c r="B1822" i="1"/>
  <c r="O1821" i="1"/>
  <c r="E1821" i="1"/>
  <c r="B1821" i="1"/>
  <c r="O1820" i="1"/>
  <c r="E1820" i="1"/>
  <c r="B1820" i="1"/>
  <c r="O1819" i="1"/>
  <c r="E1819" i="1"/>
  <c r="B1819" i="1"/>
  <c r="O1818" i="1"/>
  <c r="E1818" i="1"/>
  <c r="B1818" i="1"/>
  <c r="O1817" i="1"/>
  <c r="E1817" i="1"/>
  <c r="B1817" i="1"/>
  <c r="O1816" i="1"/>
  <c r="E1816" i="1"/>
  <c r="B1816" i="1"/>
  <c r="O1815" i="1"/>
  <c r="E1815" i="1"/>
  <c r="B1815" i="1"/>
  <c r="O1814" i="1"/>
  <c r="E1814" i="1"/>
  <c r="B1814" i="1"/>
  <c r="O1813" i="1"/>
  <c r="E1813" i="1"/>
  <c r="B1813" i="1"/>
  <c r="O1812" i="1"/>
  <c r="E1812" i="1"/>
  <c r="B1812" i="1"/>
  <c r="O1811" i="1"/>
  <c r="E1811" i="1"/>
  <c r="B1811" i="1"/>
  <c r="O1810" i="1"/>
  <c r="E1810" i="1"/>
  <c r="B1810" i="1"/>
  <c r="O1809" i="1"/>
  <c r="E1809" i="1"/>
  <c r="B1809" i="1"/>
  <c r="O1808" i="1"/>
  <c r="E1808" i="1"/>
  <c r="B1808" i="1"/>
  <c r="O1807" i="1"/>
  <c r="E1807" i="1"/>
  <c r="B1807" i="1"/>
  <c r="O1806" i="1"/>
  <c r="E1806" i="1"/>
  <c r="B1806" i="1"/>
  <c r="O1805" i="1"/>
  <c r="E1805" i="1"/>
  <c r="B1805" i="1"/>
  <c r="O1804" i="1"/>
  <c r="E1804" i="1"/>
  <c r="B1804" i="1"/>
  <c r="O1803" i="1"/>
  <c r="E1803" i="1"/>
  <c r="B1803" i="1"/>
  <c r="O1802" i="1"/>
  <c r="E1802" i="1"/>
  <c r="B1802" i="1"/>
  <c r="O1801" i="1"/>
  <c r="E1801" i="1"/>
  <c r="B1801" i="1"/>
  <c r="O1800" i="1"/>
  <c r="E1800" i="1"/>
  <c r="B1800" i="1"/>
  <c r="O1799" i="1"/>
  <c r="E1799" i="1"/>
  <c r="B1799" i="1"/>
  <c r="O1798" i="1"/>
  <c r="E1798" i="1"/>
  <c r="B1798" i="1"/>
  <c r="O1797" i="1"/>
  <c r="E1797" i="1"/>
  <c r="B1797" i="1"/>
  <c r="O1796" i="1"/>
  <c r="E1796" i="1"/>
  <c r="B1796" i="1"/>
  <c r="O1795" i="1"/>
  <c r="E1795" i="1"/>
  <c r="B1795" i="1"/>
  <c r="O1794" i="1"/>
  <c r="E1794" i="1"/>
  <c r="B1794" i="1"/>
  <c r="O1793" i="1"/>
  <c r="E1793" i="1"/>
  <c r="B1793" i="1"/>
  <c r="O1792" i="1"/>
  <c r="E1792" i="1"/>
  <c r="B1792" i="1"/>
  <c r="O1791" i="1"/>
  <c r="E1791" i="1"/>
  <c r="B1791" i="1"/>
  <c r="O1790" i="1"/>
  <c r="E1790" i="1"/>
  <c r="B1790" i="1"/>
  <c r="O1789" i="1"/>
  <c r="E1789" i="1"/>
  <c r="B1789" i="1"/>
  <c r="O1788" i="1"/>
  <c r="E1788" i="1"/>
  <c r="B1788" i="1"/>
  <c r="O1787" i="1"/>
  <c r="E1787" i="1"/>
  <c r="B1787" i="1"/>
  <c r="O1786" i="1"/>
  <c r="E1786" i="1"/>
  <c r="B1786" i="1"/>
  <c r="O1785" i="1"/>
  <c r="E1785" i="1"/>
  <c r="B1785" i="1"/>
  <c r="O1784" i="1"/>
  <c r="E1784" i="1"/>
  <c r="B1784" i="1"/>
  <c r="O1783" i="1"/>
  <c r="E1783" i="1"/>
  <c r="B1783" i="1"/>
  <c r="O1782" i="1"/>
  <c r="E1782" i="1"/>
  <c r="B1782" i="1"/>
  <c r="O1781" i="1"/>
  <c r="E1781" i="1"/>
  <c r="B1781" i="1"/>
  <c r="O1780" i="1"/>
  <c r="E1780" i="1"/>
  <c r="B1780" i="1"/>
  <c r="O1779" i="1"/>
  <c r="E1779" i="1"/>
  <c r="B1779" i="1"/>
  <c r="O1778" i="1"/>
  <c r="E1778" i="1"/>
  <c r="B1778" i="1"/>
  <c r="O1777" i="1"/>
  <c r="E1777" i="1"/>
  <c r="B1777" i="1"/>
  <c r="O1776" i="1"/>
  <c r="E1776" i="1"/>
  <c r="B1776" i="1"/>
  <c r="O1775" i="1"/>
  <c r="E1775" i="1"/>
  <c r="B1775" i="1"/>
  <c r="O1774" i="1"/>
  <c r="E1774" i="1"/>
  <c r="B1774" i="1"/>
  <c r="O1773" i="1"/>
  <c r="E1773" i="1"/>
  <c r="B1773" i="1"/>
  <c r="O1772" i="1"/>
  <c r="E1772" i="1"/>
  <c r="B1772" i="1"/>
  <c r="O1771" i="1"/>
  <c r="E1771" i="1"/>
  <c r="B1771" i="1"/>
  <c r="O1770" i="1"/>
  <c r="E1770" i="1"/>
  <c r="B1770" i="1"/>
  <c r="O1769" i="1"/>
  <c r="E1769" i="1"/>
  <c r="B1769" i="1"/>
  <c r="O1768" i="1"/>
  <c r="E1768" i="1"/>
  <c r="B1768" i="1"/>
  <c r="O1767" i="1"/>
  <c r="E1767" i="1"/>
  <c r="B1767" i="1"/>
  <c r="O1766" i="1"/>
  <c r="E1766" i="1"/>
  <c r="B1766" i="1"/>
  <c r="O1765" i="1"/>
  <c r="E1765" i="1"/>
  <c r="B1765" i="1"/>
  <c r="O1764" i="1"/>
  <c r="E1764" i="1"/>
  <c r="B1764" i="1"/>
  <c r="O1763" i="1"/>
  <c r="E1763" i="1"/>
  <c r="B1763" i="1"/>
  <c r="O1762" i="1"/>
  <c r="E1762" i="1"/>
  <c r="B1762" i="1"/>
  <c r="O1761" i="1"/>
  <c r="E1761" i="1"/>
  <c r="B1761" i="1"/>
  <c r="O1760" i="1"/>
  <c r="E1760" i="1"/>
  <c r="B1760" i="1"/>
  <c r="O1759" i="1"/>
  <c r="E1759" i="1"/>
  <c r="B1759" i="1"/>
  <c r="O1758" i="1"/>
  <c r="E1758" i="1"/>
  <c r="B1758" i="1"/>
  <c r="O1757" i="1"/>
  <c r="E1757" i="1"/>
  <c r="B1757" i="1"/>
  <c r="O1756" i="1"/>
  <c r="E1756" i="1"/>
  <c r="B1756" i="1"/>
  <c r="O1755" i="1"/>
  <c r="E1755" i="1"/>
  <c r="B1755" i="1"/>
  <c r="O1754" i="1"/>
  <c r="E1754" i="1"/>
  <c r="B1754" i="1"/>
  <c r="O1753" i="1"/>
  <c r="E1753" i="1"/>
  <c r="B1753" i="1"/>
  <c r="O1752" i="1"/>
  <c r="E1752" i="1"/>
  <c r="B1752" i="1"/>
  <c r="O1751" i="1"/>
  <c r="E1751" i="1"/>
  <c r="B1751" i="1"/>
  <c r="O1750" i="1"/>
  <c r="E1750" i="1"/>
  <c r="B1750" i="1"/>
  <c r="O1749" i="1"/>
  <c r="E1749" i="1"/>
  <c r="B1749" i="1"/>
  <c r="O1748" i="1"/>
  <c r="E1748" i="1"/>
  <c r="B1748" i="1"/>
  <c r="O1747" i="1"/>
  <c r="E1747" i="1"/>
  <c r="B1747" i="1"/>
  <c r="O1746" i="1"/>
  <c r="E1746" i="1"/>
  <c r="B1746" i="1"/>
  <c r="O1745" i="1"/>
  <c r="E1745" i="1"/>
  <c r="B1745" i="1"/>
  <c r="O1744" i="1"/>
  <c r="E1744" i="1"/>
  <c r="B1744" i="1"/>
  <c r="O1743" i="1"/>
  <c r="E1743" i="1"/>
  <c r="B1743" i="1"/>
  <c r="O1742" i="1"/>
  <c r="E1742" i="1"/>
  <c r="B1742" i="1"/>
  <c r="O1741" i="1"/>
  <c r="E1741" i="1"/>
  <c r="B1741" i="1"/>
  <c r="O1740" i="1"/>
  <c r="E1740" i="1"/>
  <c r="B1740" i="1"/>
  <c r="O1739" i="1"/>
  <c r="E1739" i="1"/>
  <c r="B1739" i="1"/>
  <c r="O1738" i="1"/>
  <c r="E1738" i="1"/>
  <c r="B1738" i="1"/>
  <c r="O1737" i="1"/>
  <c r="E1737" i="1"/>
  <c r="B1737" i="1"/>
  <c r="O1736" i="1"/>
  <c r="E1736" i="1"/>
  <c r="B1736" i="1"/>
  <c r="O1735" i="1"/>
  <c r="E1735" i="1"/>
  <c r="B1735" i="1"/>
  <c r="O1734" i="1"/>
  <c r="E1734" i="1"/>
  <c r="B1734" i="1"/>
  <c r="O1733" i="1"/>
  <c r="E1733" i="1"/>
  <c r="B1733" i="1"/>
  <c r="O1732" i="1"/>
  <c r="E1732" i="1"/>
  <c r="B1732" i="1"/>
  <c r="O1731" i="1"/>
  <c r="E1731" i="1"/>
  <c r="B1731" i="1"/>
  <c r="O1730" i="1"/>
  <c r="E1730" i="1"/>
  <c r="B1730" i="1"/>
  <c r="O1729" i="1"/>
  <c r="E1729" i="1"/>
  <c r="B1729" i="1"/>
  <c r="O1728" i="1"/>
  <c r="E1728" i="1"/>
  <c r="B1728" i="1"/>
  <c r="O1727" i="1"/>
  <c r="E1727" i="1"/>
  <c r="B1727" i="1"/>
  <c r="O1726" i="1"/>
  <c r="E1726" i="1"/>
  <c r="B1726" i="1"/>
  <c r="O1725" i="1"/>
  <c r="E1725" i="1"/>
  <c r="B1725" i="1"/>
  <c r="O1724" i="1"/>
  <c r="E1724" i="1"/>
  <c r="B1724" i="1"/>
  <c r="O1723" i="1"/>
  <c r="E1723" i="1"/>
  <c r="B1723" i="1"/>
  <c r="O1722" i="1"/>
  <c r="E1722" i="1"/>
  <c r="B1722" i="1"/>
  <c r="O1721" i="1"/>
  <c r="E1721" i="1"/>
  <c r="B1721" i="1"/>
  <c r="O1720" i="1"/>
  <c r="E1720" i="1"/>
  <c r="B1720" i="1"/>
  <c r="O1719" i="1"/>
  <c r="E1719" i="1"/>
  <c r="B1719" i="1"/>
  <c r="O1718" i="1"/>
  <c r="E1718" i="1"/>
  <c r="B1718" i="1"/>
  <c r="O1717" i="1"/>
  <c r="E1717" i="1"/>
  <c r="B1717" i="1"/>
  <c r="O1716" i="1"/>
  <c r="E1716" i="1"/>
  <c r="B1716" i="1"/>
  <c r="O1715" i="1"/>
  <c r="E1715" i="1"/>
  <c r="B1715" i="1"/>
  <c r="O1714" i="1"/>
  <c r="E1714" i="1"/>
  <c r="B1714" i="1"/>
  <c r="O1713" i="1"/>
  <c r="E1713" i="1"/>
  <c r="B1713" i="1"/>
  <c r="O1712" i="1"/>
  <c r="E1712" i="1"/>
  <c r="B1712" i="1"/>
  <c r="O1711" i="1"/>
  <c r="E1711" i="1"/>
  <c r="B1711" i="1"/>
  <c r="O1710" i="1"/>
  <c r="E1710" i="1"/>
  <c r="B1710" i="1"/>
  <c r="O1709" i="1"/>
  <c r="E1709" i="1"/>
  <c r="B1709" i="1"/>
  <c r="O1708" i="1"/>
  <c r="E1708" i="1"/>
  <c r="B1708" i="1"/>
  <c r="O1707" i="1"/>
  <c r="E1707" i="1"/>
  <c r="B1707" i="1"/>
  <c r="O1706" i="1"/>
  <c r="E1706" i="1"/>
  <c r="B1706" i="1"/>
  <c r="O1705" i="1"/>
  <c r="E1705" i="1"/>
  <c r="B1705" i="1"/>
  <c r="O1704" i="1"/>
  <c r="E1704" i="1"/>
  <c r="B1704" i="1"/>
  <c r="O1703" i="1"/>
  <c r="E1703" i="1"/>
  <c r="B1703" i="1"/>
  <c r="O1702" i="1"/>
  <c r="E1702" i="1"/>
  <c r="B1702" i="1"/>
  <c r="O1701" i="1"/>
  <c r="E1701" i="1"/>
  <c r="B1701" i="1"/>
  <c r="O1700" i="1"/>
  <c r="E1700" i="1"/>
  <c r="B1700" i="1"/>
  <c r="O1699" i="1"/>
  <c r="E1699" i="1"/>
  <c r="B1699" i="1"/>
  <c r="O1698" i="1"/>
  <c r="E1698" i="1"/>
  <c r="B1698" i="1"/>
  <c r="O1697" i="1"/>
  <c r="E1697" i="1"/>
  <c r="B1697" i="1"/>
  <c r="O1696" i="1"/>
  <c r="E1696" i="1"/>
  <c r="B1696" i="1"/>
  <c r="O1695" i="1"/>
  <c r="E1695" i="1"/>
  <c r="B1695" i="1"/>
  <c r="O1694" i="1"/>
  <c r="E1694" i="1"/>
  <c r="B1694" i="1"/>
  <c r="O1693" i="1"/>
  <c r="E1693" i="1"/>
  <c r="B1693" i="1"/>
  <c r="O1692" i="1"/>
  <c r="E1692" i="1"/>
  <c r="B1692" i="1"/>
  <c r="O1691" i="1"/>
  <c r="E1691" i="1"/>
  <c r="B1691" i="1"/>
  <c r="O1690" i="1"/>
  <c r="E1690" i="1"/>
  <c r="B1690" i="1"/>
  <c r="O1689" i="1"/>
  <c r="E1689" i="1"/>
  <c r="B1689" i="1"/>
  <c r="O1688" i="1"/>
  <c r="E1688" i="1"/>
  <c r="B1688" i="1"/>
  <c r="O1687" i="1"/>
  <c r="E1687" i="1"/>
  <c r="B1687" i="1"/>
  <c r="O1686" i="1"/>
  <c r="E1686" i="1"/>
  <c r="B1686" i="1"/>
  <c r="O1685" i="1"/>
  <c r="E1685" i="1"/>
  <c r="B1685" i="1"/>
  <c r="O1684" i="1"/>
  <c r="E1684" i="1"/>
  <c r="B1684" i="1"/>
  <c r="O1683" i="1"/>
  <c r="E1683" i="1"/>
  <c r="B1683" i="1"/>
  <c r="O1682" i="1"/>
  <c r="E1682" i="1"/>
  <c r="B1682" i="1"/>
  <c r="O1681" i="1"/>
  <c r="E1681" i="1"/>
  <c r="B1681" i="1"/>
  <c r="O1680" i="1"/>
  <c r="E1680" i="1"/>
  <c r="B1680" i="1"/>
  <c r="O1679" i="1"/>
  <c r="E1679" i="1"/>
  <c r="B1679" i="1"/>
  <c r="O1678" i="1"/>
  <c r="E1678" i="1"/>
  <c r="B1678" i="1"/>
  <c r="O1677" i="1"/>
  <c r="E1677" i="1"/>
  <c r="B1677" i="1"/>
  <c r="O1676" i="1"/>
  <c r="E1676" i="1"/>
  <c r="B1676" i="1"/>
  <c r="O1675" i="1"/>
  <c r="E1675" i="1"/>
  <c r="B1675" i="1"/>
  <c r="O1674" i="1"/>
  <c r="E1674" i="1"/>
  <c r="B1674" i="1"/>
  <c r="O1673" i="1"/>
  <c r="E1673" i="1"/>
  <c r="B1673" i="1"/>
  <c r="O1672" i="1"/>
  <c r="E1672" i="1"/>
  <c r="B1672" i="1"/>
  <c r="O1671" i="1"/>
  <c r="E1671" i="1"/>
  <c r="B1671" i="1"/>
  <c r="O1670" i="1"/>
  <c r="E1670" i="1"/>
  <c r="B1670" i="1"/>
  <c r="O1669" i="1"/>
  <c r="E1669" i="1"/>
  <c r="B1669" i="1"/>
  <c r="O1668" i="1"/>
  <c r="E1668" i="1"/>
  <c r="B1668" i="1"/>
  <c r="O1667" i="1"/>
  <c r="E1667" i="1"/>
  <c r="B1667" i="1"/>
  <c r="O1666" i="1"/>
  <c r="E1666" i="1"/>
  <c r="B1666" i="1"/>
  <c r="O1665" i="1"/>
  <c r="E1665" i="1"/>
  <c r="B1665" i="1"/>
  <c r="O1664" i="1"/>
  <c r="E1664" i="1"/>
  <c r="B1664" i="1"/>
  <c r="O1663" i="1"/>
  <c r="E1663" i="1"/>
  <c r="B1663" i="1"/>
  <c r="O1662" i="1"/>
  <c r="E1662" i="1"/>
  <c r="B1662" i="1"/>
  <c r="O1661" i="1"/>
  <c r="E1661" i="1"/>
  <c r="B1661" i="1"/>
  <c r="O1660" i="1"/>
  <c r="E1660" i="1"/>
  <c r="B1660" i="1"/>
  <c r="O1659" i="1"/>
  <c r="E1659" i="1"/>
  <c r="B1659" i="1"/>
  <c r="O1658" i="1"/>
  <c r="E1658" i="1"/>
  <c r="B1658" i="1"/>
  <c r="O1657" i="1"/>
  <c r="E1657" i="1"/>
  <c r="B1657" i="1"/>
  <c r="O1656" i="1"/>
  <c r="E1656" i="1"/>
  <c r="B1656" i="1"/>
  <c r="O1655" i="1"/>
  <c r="E1655" i="1"/>
  <c r="B1655" i="1"/>
  <c r="O1654" i="1"/>
  <c r="E1654" i="1"/>
  <c r="B1654" i="1"/>
  <c r="O1653" i="1"/>
  <c r="E1653" i="1"/>
  <c r="B1653" i="1"/>
  <c r="O1652" i="1"/>
  <c r="E1652" i="1"/>
  <c r="B1652" i="1"/>
  <c r="O1651" i="1"/>
  <c r="E1651" i="1"/>
  <c r="B1651" i="1"/>
  <c r="O1650" i="1"/>
  <c r="E1650" i="1"/>
  <c r="B1650" i="1"/>
  <c r="O1649" i="1"/>
  <c r="E1649" i="1"/>
  <c r="B1649" i="1"/>
  <c r="O1648" i="1"/>
  <c r="E1648" i="1"/>
  <c r="B1648" i="1"/>
  <c r="O1647" i="1"/>
  <c r="E1647" i="1"/>
  <c r="B1647" i="1"/>
  <c r="O1646" i="1"/>
  <c r="E1646" i="1"/>
  <c r="B1646" i="1"/>
  <c r="O1645" i="1"/>
  <c r="E1645" i="1"/>
  <c r="B1645" i="1"/>
  <c r="O1644" i="1"/>
  <c r="E1644" i="1"/>
  <c r="B1644" i="1"/>
  <c r="O1643" i="1"/>
  <c r="E1643" i="1"/>
  <c r="B1643" i="1"/>
  <c r="O1642" i="1"/>
  <c r="E1642" i="1"/>
  <c r="B1642" i="1"/>
  <c r="O1641" i="1"/>
  <c r="E1641" i="1"/>
  <c r="B1641" i="1"/>
  <c r="O1640" i="1"/>
  <c r="E1640" i="1"/>
  <c r="B1640" i="1"/>
  <c r="O1639" i="1"/>
  <c r="E1639" i="1"/>
  <c r="B1639" i="1"/>
  <c r="O1638" i="1"/>
  <c r="E1638" i="1"/>
  <c r="B1638" i="1"/>
  <c r="O1637" i="1"/>
  <c r="E1637" i="1"/>
  <c r="B1637" i="1"/>
  <c r="O1636" i="1"/>
  <c r="E1636" i="1"/>
  <c r="B1636" i="1"/>
  <c r="O1635" i="1"/>
  <c r="E1635" i="1"/>
  <c r="B1635" i="1"/>
  <c r="O1634" i="1"/>
  <c r="E1634" i="1"/>
  <c r="B1634" i="1"/>
  <c r="O1633" i="1"/>
  <c r="E1633" i="1"/>
  <c r="B1633" i="1"/>
  <c r="O1632" i="1"/>
  <c r="E1632" i="1"/>
  <c r="B1632" i="1"/>
  <c r="O1631" i="1"/>
  <c r="E1631" i="1"/>
  <c r="B1631" i="1"/>
  <c r="O1630" i="1"/>
  <c r="E1630" i="1"/>
  <c r="B1630" i="1"/>
  <c r="O1629" i="1"/>
  <c r="E1629" i="1"/>
  <c r="B1629" i="1"/>
  <c r="O1628" i="1"/>
  <c r="E1628" i="1"/>
  <c r="B1628" i="1"/>
  <c r="O1627" i="1"/>
  <c r="E1627" i="1"/>
  <c r="B1627" i="1"/>
  <c r="O1626" i="1"/>
  <c r="E1626" i="1"/>
  <c r="B1626" i="1"/>
  <c r="O1625" i="1"/>
  <c r="E1625" i="1"/>
  <c r="B1625" i="1"/>
  <c r="O1624" i="1"/>
  <c r="E1624" i="1"/>
  <c r="B1624" i="1"/>
  <c r="O1623" i="1"/>
  <c r="E1623" i="1"/>
  <c r="B1623" i="1"/>
  <c r="O1622" i="1"/>
  <c r="E1622" i="1"/>
  <c r="B1622" i="1"/>
  <c r="O1621" i="1"/>
  <c r="E1621" i="1"/>
  <c r="B1621" i="1"/>
  <c r="O1620" i="1"/>
  <c r="E1620" i="1"/>
  <c r="B1620" i="1"/>
  <c r="O1619" i="1"/>
  <c r="E1619" i="1"/>
  <c r="B1619" i="1"/>
  <c r="O1618" i="1"/>
  <c r="E1618" i="1"/>
  <c r="B1618" i="1"/>
  <c r="O1617" i="1"/>
  <c r="E1617" i="1"/>
  <c r="B1617" i="1"/>
  <c r="O1616" i="1"/>
  <c r="E1616" i="1"/>
  <c r="B1616" i="1"/>
  <c r="O1615" i="1"/>
  <c r="E1615" i="1"/>
  <c r="B1615" i="1"/>
  <c r="O1614" i="1"/>
  <c r="E1614" i="1"/>
  <c r="B1614" i="1"/>
  <c r="O1613" i="1"/>
  <c r="E1613" i="1"/>
  <c r="B1613" i="1"/>
  <c r="O1612" i="1"/>
  <c r="E1612" i="1"/>
  <c r="B1612" i="1"/>
  <c r="O1611" i="1"/>
  <c r="E1611" i="1"/>
  <c r="B1611" i="1"/>
  <c r="O1610" i="1"/>
  <c r="E1610" i="1"/>
  <c r="B1610" i="1"/>
  <c r="O1609" i="1"/>
  <c r="E1609" i="1"/>
  <c r="B1609" i="1"/>
  <c r="O1608" i="1"/>
  <c r="E1608" i="1"/>
  <c r="B1608" i="1"/>
  <c r="O1607" i="1"/>
  <c r="E1607" i="1"/>
  <c r="B1607" i="1"/>
  <c r="O1606" i="1"/>
  <c r="E1606" i="1"/>
  <c r="B1606" i="1"/>
  <c r="O1605" i="1"/>
  <c r="E1605" i="1"/>
  <c r="B1605" i="1"/>
  <c r="O1604" i="1"/>
  <c r="E1604" i="1"/>
  <c r="B1604" i="1"/>
  <c r="O1603" i="1"/>
  <c r="E1603" i="1"/>
  <c r="B1603" i="1"/>
  <c r="O1602" i="1"/>
  <c r="E1602" i="1"/>
  <c r="B1602" i="1"/>
  <c r="O1601" i="1"/>
  <c r="E1601" i="1"/>
  <c r="B1601" i="1"/>
  <c r="O1600" i="1"/>
  <c r="E1600" i="1"/>
  <c r="B1600" i="1"/>
  <c r="O1599" i="1"/>
  <c r="E1599" i="1"/>
  <c r="B1599" i="1"/>
  <c r="O1598" i="1"/>
  <c r="E1598" i="1"/>
  <c r="B1598" i="1"/>
  <c r="O1597" i="1"/>
  <c r="E1597" i="1"/>
  <c r="B1597" i="1"/>
  <c r="O1596" i="1"/>
  <c r="E1596" i="1"/>
  <c r="B1596" i="1"/>
  <c r="O1595" i="1"/>
  <c r="E1595" i="1"/>
  <c r="B1595" i="1"/>
  <c r="O1594" i="1"/>
  <c r="E1594" i="1"/>
  <c r="B1594" i="1"/>
  <c r="O1593" i="1"/>
  <c r="E1593" i="1"/>
  <c r="B1593" i="1"/>
  <c r="O1592" i="1"/>
  <c r="E1592" i="1"/>
  <c r="B1592" i="1"/>
  <c r="O1591" i="1"/>
  <c r="E1591" i="1"/>
  <c r="B1591" i="1"/>
  <c r="O1590" i="1"/>
  <c r="E1590" i="1"/>
  <c r="B1590" i="1"/>
  <c r="O1589" i="1"/>
  <c r="E1589" i="1"/>
  <c r="B1589" i="1"/>
  <c r="O1588" i="1"/>
  <c r="E1588" i="1"/>
  <c r="B1588" i="1"/>
  <c r="O1587" i="1"/>
  <c r="E1587" i="1"/>
  <c r="B1587" i="1"/>
  <c r="O1586" i="1"/>
  <c r="E1586" i="1"/>
  <c r="B1586" i="1"/>
  <c r="O1585" i="1"/>
  <c r="E1585" i="1"/>
  <c r="B1585" i="1"/>
  <c r="O1584" i="1"/>
  <c r="E1584" i="1"/>
  <c r="B1584" i="1"/>
  <c r="O1583" i="1"/>
  <c r="E1583" i="1"/>
  <c r="B1583" i="1"/>
  <c r="O1582" i="1"/>
  <c r="E1582" i="1"/>
  <c r="B1582" i="1"/>
  <c r="O1581" i="1"/>
  <c r="E1581" i="1"/>
  <c r="B1581" i="1"/>
  <c r="O1580" i="1"/>
  <c r="E1580" i="1"/>
  <c r="B1580" i="1"/>
  <c r="O1579" i="1"/>
  <c r="E1579" i="1"/>
  <c r="B1579" i="1"/>
  <c r="O1578" i="1"/>
  <c r="E1578" i="1"/>
  <c r="B1578" i="1"/>
  <c r="O1577" i="1"/>
  <c r="E1577" i="1"/>
  <c r="B1577" i="1"/>
  <c r="O1576" i="1"/>
  <c r="E1576" i="1"/>
  <c r="B1576" i="1"/>
  <c r="O1575" i="1"/>
  <c r="E1575" i="1"/>
  <c r="B1575" i="1"/>
  <c r="O1574" i="1"/>
  <c r="E1574" i="1"/>
  <c r="B1574" i="1"/>
  <c r="O1573" i="1"/>
  <c r="E1573" i="1"/>
  <c r="B1573" i="1"/>
  <c r="O1572" i="1"/>
  <c r="E1572" i="1"/>
  <c r="B1572" i="1"/>
  <c r="O1571" i="1"/>
  <c r="E1571" i="1"/>
  <c r="B1571" i="1"/>
  <c r="O1570" i="1"/>
  <c r="E1570" i="1"/>
  <c r="B1570" i="1"/>
  <c r="O1569" i="1"/>
  <c r="E1569" i="1"/>
  <c r="B1569" i="1"/>
  <c r="O1568" i="1"/>
  <c r="E1568" i="1"/>
  <c r="B1568" i="1"/>
  <c r="O1567" i="1"/>
  <c r="E1567" i="1"/>
  <c r="B1567" i="1"/>
  <c r="O1566" i="1"/>
  <c r="E1566" i="1"/>
  <c r="B1566" i="1"/>
  <c r="O1565" i="1"/>
  <c r="E1565" i="1"/>
  <c r="B1565" i="1"/>
  <c r="O1564" i="1"/>
  <c r="E1564" i="1"/>
  <c r="B1564" i="1"/>
  <c r="O1563" i="1"/>
  <c r="E1563" i="1"/>
  <c r="B1563" i="1"/>
  <c r="O1562" i="1"/>
  <c r="E1562" i="1"/>
  <c r="B1562" i="1"/>
  <c r="O1561" i="1"/>
  <c r="E1561" i="1"/>
  <c r="B1561" i="1"/>
  <c r="O1560" i="1"/>
  <c r="E1560" i="1"/>
  <c r="B1560" i="1"/>
  <c r="O1559" i="1"/>
  <c r="E1559" i="1"/>
  <c r="B1559" i="1"/>
  <c r="O1558" i="1"/>
  <c r="E1558" i="1"/>
  <c r="B1558" i="1"/>
  <c r="O1557" i="1"/>
  <c r="E1557" i="1"/>
  <c r="B1557" i="1"/>
  <c r="O1556" i="1"/>
  <c r="E1556" i="1"/>
  <c r="B1556" i="1"/>
  <c r="O1555" i="1"/>
  <c r="E1555" i="1"/>
  <c r="B1555" i="1"/>
  <c r="O1554" i="1"/>
  <c r="E1554" i="1"/>
  <c r="B1554" i="1"/>
  <c r="O1553" i="1"/>
  <c r="E1553" i="1"/>
  <c r="B1553" i="1"/>
  <c r="O1552" i="1"/>
  <c r="E1552" i="1"/>
  <c r="B1552" i="1"/>
  <c r="O1551" i="1"/>
  <c r="E1551" i="1"/>
  <c r="B1551" i="1"/>
  <c r="O1550" i="1"/>
  <c r="E1550" i="1"/>
  <c r="B1550" i="1"/>
  <c r="O1549" i="1"/>
  <c r="E1549" i="1"/>
  <c r="B1549" i="1"/>
  <c r="O1548" i="1"/>
  <c r="E1548" i="1"/>
  <c r="B1548" i="1"/>
  <c r="O1547" i="1"/>
  <c r="E1547" i="1"/>
  <c r="B1547" i="1"/>
  <c r="O1546" i="1"/>
  <c r="E1546" i="1"/>
  <c r="B1546" i="1"/>
  <c r="O1545" i="1"/>
  <c r="E1545" i="1"/>
  <c r="B1545" i="1"/>
  <c r="O1544" i="1"/>
  <c r="E1544" i="1"/>
  <c r="B1544" i="1"/>
  <c r="O1543" i="1"/>
  <c r="E1543" i="1"/>
  <c r="B1543" i="1"/>
  <c r="O1542" i="1"/>
  <c r="E1542" i="1"/>
  <c r="B1542" i="1"/>
  <c r="O1541" i="1"/>
  <c r="E1541" i="1"/>
  <c r="B1541" i="1"/>
  <c r="O1540" i="1"/>
  <c r="E1540" i="1"/>
  <c r="B1540" i="1"/>
  <c r="O1539" i="1"/>
  <c r="E1539" i="1"/>
  <c r="B1539" i="1"/>
  <c r="O1538" i="1"/>
  <c r="E1538" i="1"/>
  <c r="B1538" i="1"/>
  <c r="O1537" i="1"/>
  <c r="E1537" i="1"/>
  <c r="B1537" i="1"/>
  <c r="O1536" i="1"/>
  <c r="E1536" i="1"/>
  <c r="B1536" i="1"/>
  <c r="O1535" i="1"/>
  <c r="E1535" i="1"/>
  <c r="B1535" i="1"/>
  <c r="O1534" i="1"/>
  <c r="E1534" i="1"/>
  <c r="B1534" i="1"/>
  <c r="O1533" i="1"/>
  <c r="E1533" i="1"/>
  <c r="B1533" i="1"/>
  <c r="O1532" i="1"/>
  <c r="E1532" i="1"/>
  <c r="B1532" i="1"/>
  <c r="O1531" i="1"/>
  <c r="E1531" i="1"/>
  <c r="B1531" i="1"/>
  <c r="O1530" i="1"/>
  <c r="E1530" i="1"/>
  <c r="B1530" i="1"/>
  <c r="O1529" i="1"/>
  <c r="E1529" i="1"/>
  <c r="B1529" i="1"/>
  <c r="O1528" i="1"/>
  <c r="E1528" i="1"/>
  <c r="B1528" i="1"/>
  <c r="O1527" i="1"/>
  <c r="E1527" i="1"/>
  <c r="B1527" i="1"/>
  <c r="O1526" i="1"/>
  <c r="E1526" i="1"/>
  <c r="B1526" i="1"/>
  <c r="O1525" i="1"/>
  <c r="E1525" i="1"/>
  <c r="B1525" i="1"/>
  <c r="O1524" i="1"/>
  <c r="E1524" i="1"/>
  <c r="B1524" i="1"/>
  <c r="O1523" i="1"/>
  <c r="E1523" i="1"/>
  <c r="B1523" i="1"/>
  <c r="O1522" i="1"/>
  <c r="E1522" i="1"/>
  <c r="B1522" i="1"/>
  <c r="O1521" i="1"/>
  <c r="E1521" i="1"/>
  <c r="B1521" i="1"/>
  <c r="O1520" i="1"/>
  <c r="E1520" i="1"/>
  <c r="B1520" i="1"/>
  <c r="O1519" i="1"/>
  <c r="E1519" i="1"/>
  <c r="B1519" i="1"/>
  <c r="O1518" i="1"/>
  <c r="E1518" i="1"/>
  <c r="B1518" i="1"/>
  <c r="O1517" i="1"/>
  <c r="E1517" i="1"/>
  <c r="B1517" i="1"/>
  <c r="O1516" i="1"/>
  <c r="E1516" i="1"/>
  <c r="B1516" i="1"/>
  <c r="O1515" i="1"/>
  <c r="E1515" i="1"/>
  <c r="B1515" i="1"/>
  <c r="O1514" i="1"/>
  <c r="E1514" i="1"/>
  <c r="B1514" i="1"/>
  <c r="O1513" i="1"/>
  <c r="E1513" i="1"/>
  <c r="B1513" i="1"/>
  <c r="O1512" i="1"/>
  <c r="E1512" i="1"/>
  <c r="B1512" i="1"/>
  <c r="O1511" i="1"/>
  <c r="E1511" i="1"/>
  <c r="B1511" i="1"/>
  <c r="O1510" i="1"/>
  <c r="E1510" i="1"/>
  <c r="B1510" i="1"/>
  <c r="O1509" i="1"/>
  <c r="E1509" i="1"/>
  <c r="B1509" i="1"/>
  <c r="O1508" i="1"/>
  <c r="E1508" i="1"/>
  <c r="B1508" i="1"/>
  <c r="O1507" i="1"/>
  <c r="E1507" i="1"/>
  <c r="B1507" i="1"/>
  <c r="O1506" i="1"/>
  <c r="E1506" i="1"/>
  <c r="B1506" i="1"/>
  <c r="O1505" i="1"/>
  <c r="E1505" i="1"/>
  <c r="B1505" i="1"/>
  <c r="O1504" i="1"/>
  <c r="E1504" i="1"/>
  <c r="B1504" i="1"/>
  <c r="O1503" i="1"/>
  <c r="E1503" i="1"/>
  <c r="B1503" i="1"/>
  <c r="O1502" i="1"/>
  <c r="E1502" i="1"/>
  <c r="B1502" i="1"/>
  <c r="O1501" i="1"/>
  <c r="E1501" i="1"/>
  <c r="B1501" i="1"/>
  <c r="O1500" i="1"/>
  <c r="E1500" i="1"/>
  <c r="B1500" i="1"/>
  <c r="O1499" i="1"/>
  <c r="E1499" i="1"/>
  <c r="B1499" i="1"/>
  <c r="O1498" i="1"/>
  <c r="E1498" i="1"/>
  <c r="B1498" i="1"/>
  <c r="O1497" i="1"/>
  <c r="E1497" i="1"/>
  <c r="B1497" i="1"/>
  <c r="O1496" i="1"/>
  <c r="E1496" i="1"/>
  <c r="B1496" i="1"/>
  <c r="O1495" i="1"/>
  <c r="E1495" i="1"/>
  <c r="B1495" i="1"/>
  <c r="O1494" i="1"/>
  <c r="E1494" i="1"/>
  <c r="B1494" i="1"/>
  <c r="O1493" i="1"/>
  <c r="E1493" i="1"/>
  <c r="B1493" i="1"/>
  <c r="O1492" i="1"/>
  <c r="E1492" i="1"/>
  <c r="B1492" i="1"/>
  <c r="O1491" i="1"/>
  <c r="E1491" i="1"/>
  <c r="B1491" i="1"/>
  <c r="O1490" i="1"/>
  <c r="E1490" i="1"/>
  <c r="B1490" i="1"/>
  <c r="O1489" i="1"/>
  <c r="E1489" i="1"/>
  <c r="B1489" i="1"/>
  <c r="O1488" i="1"/>
  <c r="E1488" i="1"/>
  <c r="B1488" i="1"/>
  <c r="O1487" i="1"/>
  <c r="E1487" i="1"/>
  <c r="B1487" i="1"/>
  <c r="O1486" i="1"/>
  <c r="E1486" i="1"/>
  <c r="B1486" i="1"/>
  <c r="O1485" i="1"/>
  <c r="E1485" i="1"/>
  <c r="B1485" i="1"/>
  <c r="O1484" i="1"/>
  <c r="E1484" i="1"/>
  <c r="B1484" i="1"/>
  <c r="O1483" i="1"/>
  <c r="E1483" i="1"/>
  <c r="B1483" i="1"/>
  <c r="O1482" i="1"/>
  <c r="E1482" i="1"/>
  <c r="B1482" i="1"/>
  <c r="O1481" i="1"/>
  <c r="E1481" i="1"/>
  <c r="B1481" i="1"/>
  <c r="O1480" i="1"/>
  <c r="E1480" i="1"/>
  <c r="B1480" i="1"/>
  <c r="O1479" i="1"/>
  <c r="E1479" i="1"/>
  <c r="B1479" i="1"/>
  <c r="O1478" i="1"/>
  <c r="E1478" i="1"/>
  <c r="B1478" i="1"/>
  <c r="O1477" i="1"/>
  <c r="E1477" i="1"/>
  <c r="B1477" i="1"/>
  <c r="O1476" i="1"/>
  <c r="E1476" i="1"/>
  <c r="B1476" i="1"/>
  <c r="O1475" i="1"/>
  <c r="E1475" i="1"/>
  <c r="B1475" i="1"/>
  <c r="O1474" i="1"/>
  <c r="E1474" i="1"/>
  <c r="B1474" i="1"/>
  <c r="O1473" i="1"/>
  <c r="E1473" i="1"/>
  <c r="B1473" i="1"/>
  <c r="O1472" i="1"/>
  <c r="E1472" i="1"/>
  <c r="B1472" i="1"/>
  <c r="O1471" i="1"/>
  <c r="E1471" i="1"/>
  <c r="B1471" i="1"/>
  <c r="O1470" i="1"/>
  <c r="E1470" i="1"/>
  <c r="B1470" i="1"/>
  <c r="O1469" i="1"/>
  <c r="E1469" i="1"/>
  <c r="B1469" i="1"/>
  <c r="O1468" i="1"/>
  <c r="E1468" i="1"/>
  <c r="B1468" i="1"/>
  <c r="O1467" i="1"/>
  <c r="E1467" i="1"/>
  <c r="B1467" i="1"/>
  <c r="O1466" i="1"/>
  <c r="E1466" i="1"/>
  <c r="B1466" i="1"/>
  <c r="O1465" i="1"/>
  <c r="E1465" i="1"/>
  <c r="B1465" i="1"/>
  <c r="O1464" i="1"/>
  <c r="E1464" i="1"/>
  <c r="B1464" i="1"/>
  <c r="O1463" i="1"/>
  <c r="E1463" i="1"/>
  <c r="B1463" i="1"/>
  <c r="O1462" i="1"/>
  <c r="E1462" i="1"/>
  <c r="B1462" i="1"/>
  <c r="O1461" i="1"/>
  <c r="E1461" i="1"/>
  <c r="B1461" i="1"/>
  <c r="O1460" i="1"/>
  <c r="E1460" i="1"/>
  <c r="B1460" i="1"/>
  <c r="O1459" i="1"/>
  <c r="E1459" i="1"/>
  <c r="B1459" i="1"/>
  <c r="O1458" i="1"/>
  <c r="E1458" i="1"/>
  <c r="B1458" i="1"/>
  <c r="O1457" i="1"/>
  <c r="E1457" i="1"/>
  <c r="B1457" i="1"/>
  <c r="O1456" i="1"/>
  <c r="E1456" i="1"/>
  <c r="B1456" i="1"/>
  <c r="O1455" i="1"/>
  <c r="E1455" i="1"/>
  <c r="B1455" i="1"/>
  <c r="O1454" i="1"/>
  <c r="E1454" i="1"/>
  <c r="B1454" i="1"/>
  <c r="O1453" i="1"/>
  <c r="E1453" i="1"/>
  <c r="B1453" i="1"/>
  <c r="O1452" i="1"/>
  <c r="E1452" i="1"/>
  <c r="B1452" i="1"/>
  <c r="O1451" i="1"/>
  <c r="E1451" i="1"/>
  <c r="B1451" i="1"/>
  <c r="O1450" i="1"/>
  <c r="E1450" i="1"/>
  <c r="B1450" i="1"/>
  <c r="O1449" i="1"/>
  <c r="E1449" i="1"/>
  <c r="B1449" i="1"/>
  <c r="O1448" i="1"/>
  <c r="E1448" i="1"/>
  <c r="B1448" i="1"/>
  <c r="O1447" i="1"/>
  <c r="E1447" i="1"/>
  <c r="B1447" i="1"/>
  <c r="O1446" i="1"/>
  <c r="E1446" i="1"/>
  <c r="B1446" i="1"/>
  <c r="O1445" i="1"/>
  <c r="E1445" i="1"/>
  <c r="B1445" i="1"/>
  <c r="O1444" i="1"/>
  <c r="E1444" i="1"/>
  <c r="B1444" i="1"/>
  <c r="O1443" i="1"/>
  <c r="E1443" i="1"/>
  <c r="B1443" i="1"/>
  <c r="O1442" i="1"/>
  <c r="E1442" i="1"/>
  <c r="B1442" i="1"/>
  <c r="O1441" i="1"/>
  <c r="E1441" i="1"/>
  <c r="B1441" i="1"/>
  <c r="O1440" i="1"/>
  <c r="E1440" i="1"/>
  <c r="B1440" i="1"/>
  <c r="O1439" i="1"/>
  <c r="E1439" i="1"/>
  <c r="B1439" i="1"/>
  <c r="O1438" i="1"/>
  <c r="E1438" i="1"/>
  <c r="B1438" i="1"/>
  <c r="O1437" i="1"/>
  <c r="E1437" i="1"/>
  <c r="B1437" i="1"/>
  <c r="O1436" i="1"/>
  <c r="E1436" i="1"/>
  <c r="B1436" i="1"/>
  <c r="O1435" i="1"/>
  <c r="E1435" i="1"/>
  <c r="B1435" i="1"/>
  <c r="O1434" i="1"/>
  <c r="E1434" i="1"/>
  <c r="B1434" i="1"/>
  <c r="O1433" i="1"/>
  <c r="E1433" i="1"/>
  <c r="B1433" i="1"/>
  <c r="O1432" i="1"/>
  <c r="E1432" i="1"/>
  <c r="B1432" i="1"/>
  <c r="O1431" i="1"/>
  <c r="E1431" i="1"/>
  <c r="B1431" i="1"/>
  <c r="O1430" i="1"/>
  <c r="E1430" i="1"/>
  <c r="B1430" i="1"/>
  <c r="O1429" i="1"/>
  <c r="E1429" i="1"/>
  <c r="B1429" i="1"/>
  <c r="O1428" i="1"/>
  <c r="E1428" i="1"/>
  <c r="B1428" i="1"/>
  <c r="O1427" i="1"/>
  <c r="E1427" i="1"/>
  <c r="B1427" i="1"/>
  <c r="O1426" i="1"/>
  <c r="E1426" i="1"/>
  <c r="B1426" i="1"/>
  <c r="O1425" i="1"/>
  <c r="E1425" i="1"/>
  <c r="B1425" i="1"/>
  <c r="O1424" i="1"/>
  <c r="E1424" i="1"/>
  <c r="B1424" i="1"/>
  <c r="O1423" i="1"/>
  <c r="E1423" i="1"/>
  <c r="B1423" i="1"/>
  <c r="O1422" i="1"/>
  <c r="E1422" i="1"/>
  <c r="B1422" i="1"/>
  <c r="O1421" i="1"/>
  <c r="E1421" i="1"/>
  <c r="B1421" i="1"/>
  <c r="O1420" i="1"/>
  <c r="E1420" i="1"/>
  <c r="B1420" i="1"/>
  <c r="O1419" i="1"/>
  <c r="E1419" i="1"/>
  <c r="B1419" i="1"/>
  <c r="O1418" i="1"/>
  <c r="E1418" i="1"/>
  <c r="B1418" i="1"/>
  <c r="O1417" i="1"/>
  <c r="E1417" i="1"/>
  <c r="B1417" i="1"/>
  <c r="O1416" i="1"/>
  <c r="E1416" i="1"/>
  <c r="B1416" i="1"/>
  <c r="O1415" i="1"/>
  <c r="E1415" i="1"/>
  <c r="B1415" i="1"/>
  <c r="O1414" i="1"/>
  <c r="E1414" i="1"/>
  <c r="B1414" i="1"/>
  <c r="O1413" i="1"/>
  <c r="E1413" i="1"/>
  <c r="B1413" i="1"/>
  <c r="O1412" i="1"/>
  <c r="E1412" i="1"/>
  <c r="B1412" i="1"/>
  <c r="O1411" i="1"/>
  <c r="E1411" i="1"/>
  <c r="B1411" i="1"/>
  <c r="O1410" i="1"/>
  <c r="E1410" i="1"/>
  <c r="B1410" i="1"/>
  <c r="O1409" i="1"/>
  <c r="E1409" i="1"/>
  <c r="B1409" i="1"/>
  <c r="O1408" i="1"/>
  <c r="E1408" i="1"/>
  <c r="B1408" i="1"/>
  <c r="O1407" i="1"/>
  <c r="E1407" i="1"/>
  <c r="B1407" i="1"/>
  <c r="O1406" i="1"/>
  <c r="E1406" i="1"/>
  <c r="B1406" i="1"/>
  <c r="O1405" i="1"/>
  <c r="E1405" i="1"/>
  <c r="B1405" i="1"/>
  <c r="O1404" i="1"/>
  <c r="E1404" i="1"/>
  <c r="B1404" i="1"/>
  <c r="O1403" i="1"/>
  <c r="E1403" i="1"/>
  <c r="B1403" i="1"/>
  <c r="O1402" i="1"/>
  <c r="E1402" i="1"/>
  <c r="B1402" i="1"/>
  <c r="O1401" i="1"/>
  <c r="E1401" i="1"/>
  <c r="B1401" i="1"/>
  <c r="O1400" i="1"/>
  <c r="E1400" i="1"/>
  <c r="B1400" i="1"/>
  <c r="O1399" i="1"/>
  <c r="E1399" i="1"/>
  <c r="B1399" i="1"/>
  <c r="O1398" i="1"/>
  <c r="E1398" i="1"/>
  <c r="B1398" i="1"/>
  <c r="O1397" i="1"/>
  <c r="E1397" i="1"/>
  <c r="B1397" i="1"/>
  <c r="O1396" i="1"/>
  <c r="E1396" i="1"/>
  <c r="B1396" i="1"/>
  <c r="O1395" i="1"/>
  <c r="E1395" i="1"/>
  <c r="B1395" i="1"/>
  <c r="O1394" i="1"/>
  <c r="E1394" i="1"/>
  <c r="B1394" i="1"/>
  <c r="O1393" i="1"/>
  <c r="E1393" i="1"/>
  <c r="B1393" i="1"/>
  <c r="O1392" i="1"/>
  <c r="E1392" i="1"/>
  <c r="B1392" i="1"/>
  <c r="O1391" i="1"/>
  <c r="E1391" i="1"/>
  <c r="B1391" i="1"/>
  <c r="O1390" i="1"/>
  <c r="E1390" i="1"/>
  <c r="B1390" i="1"/>
  <c r="O1389" i="1"/>
  <c r="E1389" i="1"/>
  <c r="B1389" i="1"/>
  <c r="O1388" i="1"/>
  <c r="E1388" i="1"/>
  <c r="B1388" i="1"/>
  <c r="O1387" i="1"/>
  <c r="E1387" i="1"/>
  <c r="B1387" i="1"/>
  <c r="O1386" i="1"/>
  <c r="E1386" i="1"/>
  <c r="B1386" i="1"/>
  <c r="O1385" i="1"/>
  <c r="E1385" i="1"/>
  <c r="B1385" i="1"/>
  <c r="O1384" i="1"/>
  <c r="E1384" i="1"/>
  <c r="B1384" i="1"/>
  <c r="O1383" i="1"/>
  <c r="E1383" i="1"/>
  <c r="B1383" i="1"/>
  <c r="O1382" i="1"/>
  <c r="E1382" i="1"/>
  <c r="B1382" i="1"/>
  <c r="O1381" i="1"/>
  <c r="E1381" i="1"/>
  <c r="B1381" i="1"/>
  <c r="O1380" i="1"/>
  <c r="E1380" i="1"/>
  <c r="B1380" i="1"/>
  <c r="O1379" i="1"/>
  <c r="E1379" i="1"/>
  <c r="B1379" i="1"/>
  <c r="O1378" i="1"/>
  <c r="E1378" i="1"/>
  <c r="B1378" i="1"/>
  <c r="O1377" i="1"/>
  <c r="E1377" i="1"/>
  <c r="B1377" i="1"/>
  <c r="O1376" i="1"/>
  <c r="E1376" i="1"/>
  <c r="B1376" i="1"/>
  <c r="O1375" i="1"/>
  <c r="E1375" i="1"/>
  <c r="B1375" i="1"/>
  <c r="O1374" i="1"/>
  <c r="E1374" i="1"/>
  <c r="B1374" i="1"/>
  <c r="O1373" i="1"/>
  <c r="E1373" i="1"/>
  <c r="B1373" i="1"/>
  <c r="O1372" i="1"/>
  <c r="E1372" i="1"/>
  <c r="B1372" i="1"/>
  <c r="O1371" i="1"/>
  <c r="E1371" i="1"/>
  <c r="B1371" i="1"/>
  <c r="O1370" i="1"/>
  <c r="E1370" i="1"/>
  <c r="B1370" i="1"/>
  <c r="O1369" i="1"/>
  <c r="E1369" i="1"/>
  <c r="B1369" i="1"/>
  <c r="O1368" i="1"/>
  <c r="E1368" i="1"/>
  <c r="B1368" i="1"/>
  <c r="O1367" i="1"/>
  <c r="E1367" i="1"/>
  <c r="B1367" i="1"/>
  <c r="O1366" i="1"/>
  <c r="E1366" i="1"/>
  <c r="B1366" i="1"/>
  <c r="O1365" i="1"/>
  <c r="E1365" i="1"/>
  <c r="B1365" i="1"/>
  <c r="O1364" i="1"/>
  <c r="E1364" i="1"/>
  <c r="B1364" i="1"/>
  <c r="O1363" i="1"/>
  <c r="E1363" i="1"/>
  <c r="B1363" i="1"/>
  <c r="O1362" i="1"/>
  <c r="E1362" i="1"/>
  <c r="B1362" i="1"/>
  <c r="O1361" i="1"/>
  <c r="E1361" i="1"/>
  <c r="B1361" i="1"/>
  <c r="O1360" i="1"/>
  <c r="E1360" i="1"/>
  <c r="B1360" i="1"/>
  <c r="O1359" i="1"/>
  <c r="E1359" i="1"/>
  <c r="B1359" i="1"/>
  <c r="O1358" i="1"/>
  <c r="E1358" i="1"/>
  <c r="B1358" i="1"/>
  <c r="O1357" i="1"/>
  <c r="E1357" i="1"/>
  <c r="B1357" i="1"/>
  <c r="O1356" i="1"/>
  <c r="E1356" i="1"/>
  <c r="B1356" i="1"/>
  <c r="O1355" i="1"/>
  <c r="E1355" i="1"/>
  <c r="B1355" i="1"/>
  <c r="O1354" i="1"/>
  <c r="E1354" i="1"/>
  <c r="B1354" i="1"/>
  <c r="O1353" i="1"/>
  <c r="E1353" i="1"/>
  <c r="B1353" i="1"/>
  <c r="O1352" i="1"/>
  <c r="E1352" i="1"/>
  <c r="B1352" i="1"/>
  <c r="O1351" i="1"/>
  <c r="E1351" i="1"/>
  <c r="B1351" i="1"/>
  <c r="O1350" i="1"/>
  <c r="E1350" i="1"/>
  <c r="B1350" i="1"/>
  <c r="O1349" i="1"/>
  <c r="E1349" i="1"/>
  <c r="B1349" i="1"/>
  <c r="O1348" i="1"/>
  <c r="E1348" i="1"/>
  <c r="B1348" i="1"/>
  <c r="O1347" i="1"/>
  <c r="E1347" i="1"/>
  <c r="B1347" i="1"/>
  <c r="O1346" i="1"/>
  <c r="E1346" i="1"/>
  <c r="B1346" i="1"/>
  <c r="O1345" i="1"/>
  <c r="E1345" i="1"/>
  <c r="B1345" i="1"/>
  <c r="O1344" i="1"/>
  <c r="E1344" i="1"/>
  <c r="B1344" i="1"/>
  <c r="O1343" i="1"/>
  <c r="E1343" i="1"/>
  <c r="B1343" i="1"/>
  <c r="O1342" i="1"/>
  <c r="E1342" i="1"/>
  <c r="B1342" i="1"/>
  <c r="O1341" i="1"/>
  <c r="E1341" i="1"/>
  <c r="B1341" i="1"/>
  <c r="O1340" i="1"/>
  <c r="E1340" i="1"/>
  <c r="B1340" i="1"/>
  <c r="O1339" i="1"/>
  <c r="E1339" i="1"/>
  <c r="B1339" i="1"/>
  <c r="O1338" i="1"/>
  <c r="E1338" i="1"/>
  <c r="B1338" i="1"/>
  <c r="O1337" i="1"/>
  <c r="E1337" i="1"/>
  <c r="B1337" i="1"/>
  <c r="O1336" i="1"/>
  <c r="E1336" i="1"/>
  <c r="B1336" i="1"/>
  <c r="O1335" i="1"/>
  <c r="E1335" i="1"/>
  <c r="B1335" i="1"/>
  <c r="O1334" i="1"/>
  <c r="E1334" i="1"/>
  <c r="B1334" i="1"/>
  <c r="O1333" i="1"/>
  <c r="E1333" i="1"/>
  <c r="B1333" i="1"/>
  <c r="O1332" i="1"/>
  <c r="E1332" i="1"/>
  <c r="B1332" i="1"/>
  <c r="O1331" i="1"/>
  <c r="E1331" i="1"/>
  <c r="B1331" i="1"/>
  <c r="O1330" i="1"/>
  <c r="E1330" i="1"/>
  <c r="B1330" i="1"/>
  <c r="O1329" i="1"/>
  <c r="E1329" i="1"/>
  <c r="B1329" i="1"/>
  <c r="O1328" i="1"/>
  <c r="E1328" i="1"/>
  <c r="B1328" i="1"/>
  <c r="O1327" i="1"/>
  <c r="E1327" i="1"/>
  <c r="B1327" i="1"/>
  <c r="O1326" i="1"/>
  <c r="E1326" i="1"/>
  <c r="B1326" i="1"/>
  <c r="O1325" i="1"/>
  <c r="E1325" i="1"/>
  <c r="B1325" i="1"/>
  <c r="O1324" i="1"/>
  <c r="E1324" i="1"/>
  <c r="B1324" i="1"/>
  <c r="O1323" i="1"/>
  <c r="E1323" i="1"/>
  <c r="B1323" i="1"/>
  <c r="O1322" i="1"/>
  <c r="E1322" i="1"/>
  <c r="B1322" i="1"/>
  <c r="O1321" i="1"/>
  <c r="E1321" i="1"/>
  <c r="B1321" i="1"/>
  <c r="O1320" i="1"/>
  <c r="E1320" i="1"/>
  <c r="B1320" i="1"/>
  <c r="O1319" i="1"/>
  <c r="E1319" i="1"/>
  <c r="B1319" i="1"/>
  <c r="O1318" i="1"/>
  <c r="E1318" i="1"/>
  <c r="B1318" i="1"/>
  <c r="O1317" i="1"/>
  <c r="E1317" i="1"/>
  <c r="B1317" i="1"/>
  <c r="O1316" i="1"/>
  <c r="E1316" i="1"/>
  <c r="B1316" i="1"/>
  <c r="O1315" i="1"/>
  <c r="E1315" i="1"/>
  <c r="B1315" i="1"/>
  <c r="O1314" i="1"/>
  <c r="E1314" i="1"/>
  <c r="B1314" i="1"/>
  <c r="O1313" i="1"/>
  <c r="E1313" i="1"/>
  <c r="B1313" i="1"/>
  <c r="O1312" i="1"/>
  <c r="E1312" i="1"/>
  <c r="B1312" i="1"/>
  <c r="O1311" i="1"/>
  <c r="E1311" i="1"/>
  <c r="B1311" i="1"/>
  <c r="O1310" i="1"/>
  <c r="E1310" i="1"/>
  <c r="B1310" i="1"/>
  <c r="O1309" i="1"/>
  <c r="E1309" i="1"/>
  <c r="B1309" i="1"/>
  <c r="O1308" i="1"/>
  <c r="E1308" i="1"/>
  <c r="B1308" i="1"/>
  <c r="O1307" i="1"/>
  <c r="E1307" i="1"/>
  <c r="B1307" i="1"/>
  <c r="O1306" i="1"/>
  <c r="E1306" i="1"/>
  <c r="B1306" i="1"/>
  <c r="O1305" i="1"/>
  <c r="E1305" i="1"/>
  <c r="B1305" i="1"/>
  <c r="O1304" i="1"/>
  <c r="E1304" i="1"/>
  <c r="B1304" i="1"/>
  <c r="O1303" i="1"/>
  <c r="E1303" i="1"/>
  <c r="B1303" i="1"/>
  <c r="O1302" i="1"/>
  <c r="E1302" i="1"/>
  <c r="B1302" i="1"/>
  <c r="O1301" i="1"/>
  <c r="E1301" i="1"/>
  <c r="B1301" i="1"/>
  <c r="O1300" i="1"/>
  <c r="E1300" i="1"/>
  <c r="B1300" i="1"/>
  <c r="O1299" i="1"/>
  <c r="E1299" i="1"/>
  <c r="B1299" i="1"/>
  <c r="O1298" i="1"/>
  <c r="E1298" i="1"/>
  <c r="B1298" i="1"/>
  <c r="O1297" i="1"/>
  <c r="E1297" i="1"/>
  <c r="B1297" i="1"/>
  <c r="O1296" i="1"/>
  <c r="E1296" i="1"/>
  <c r="B1296" i="1"/>
  <c r="O1295" i="1"/>
  <c r="E1295" i="1"/>
  <c r="B1295" i="1"/>
  <c r="O1294" i="1"/>
  <c r="E1294" i="1"/>
  <c r="B1294" i="1"/>
  <c r="O1293" i="1"/>
  <c r="E1293" i="1"/>
  <c r="B1293" i="1"/>
  <c r="O1292" i="1"/>
  <c r="E1292" i="1"/>
  <c r="B1292" i="1"/>
  <c r="O1291" i="1"/>
  <c r="E1291" i="1"/>
  <c r="B1291" i="1"/>
  <c r="O1290" i="1"/>
  <c r="E1290" i="1"/>
  <c r="B1290" i="1"/>
  <c r="O1289" i="1"/>
  <c r="E1289" i="1"/>
  <c r="B1289" i="1"/>
  <c r="O1288" i="1"/>
  <c r="E1288" i="1"/>
  <c r="B1288" i="1"/>
  <c r="O1287" i="1"/>
  <c r="E1287" i="1"/>
  <c r="B1287" i="1"/>
  <c r="O1286" i="1"/>
  <c r="E1286" i="1"/>
  <c r="B1286" i="1"/>
  <c r="O1285" i="1"/>
  <c r="E1285" i="1"/>
  <c r="B1285" i="1"/>
  <c r="O1284" i="1"/>
  <c r="E1284" i="1"/>
  <c r="B1284" i="1"/>
  <c r="O1283" i="1"/>
  <c r="E1283" i="1"/>
  <c r="B1283" i="1"/>
  <c r="O1282" i="1"/>
  <c r="E1282" i="1"/>
  <c r="B1282" i="1"/>
  <c r="O1281" i="1"/>
  <c r="E1281" i="1"/>
  <c r="B1281" i="1"/>
  <c r="O1280" i="1"/>
  <c r="E1280" i="1"/>
  <c r="B1280" i="1"/>
  <c r="O1279" i="1"/>
  <c r="E1279" i="1"/>
  <c r="B1279" i="1"/>
  <c r="O1278" i="1"/>
  <c r="E1278" i="1"/>
  <c r="B1278" i="1"/>
  <c r="O1277" i="1"/>
  <c r="E1277" i="1"/>
  <c r="B1277" i="1"/>
  <c r="O1276" i="1"/>
  <c r="E1276" i="1"/>
  <c r="B1276" i="1"/>
  <c r="O1275" i="1"/>
  <c r="E1275" i="1"/>
  <c r="B1275" i="1"/>
  <c r="O1274" i="1"/>
  <c r="E1274" i="1"/>
  <c r="B1274" i="1"/>
  <c r="O1273" i="1"/>
  <c r="E1273" i="1"/>
  <c r="B1273" i="1"/>
  <c r="O1272" i="1"/>
  <c r="E1272" i="1"/>
  <c r="B1272" i="1"/>
  <c r="O1271" i="1"/>
  <c r="E1271" i="1"/>
  <c r="B1271" i="1"/>
  <c r="O1270" i="1"/>
  <c r="E1270" i="1"/>
  <c r="B1270" i="1"/>
  <c r="O1269" i="1"/>
  <c r="E1269" i="1"/>
  <c r="B1269" i="1"/>
  <c r="O1268" i="1"/>
  <c r="E1268" i="1"/>
  <c r="B1268" i="1"/>
  <c r="O1267" i="1"/>
  <c r="E1267" i="1"/>
  <c r="B1267" i="1"/>
  <c r="O1266" i="1"/>
  <c r="E1266" i="1"/>
  <c r="B1266" i="1"/>
  <c r="O1265" i="1"/>
  <c r="E1265" i="1"/>
  <c r="B1265" i="1"/>
  <c r="O1264" i="1"/>
  <c r="E1264" i="1"/>
  <c r="B1264" i="1"/>
  <c r="O1263" i="1"/>
  <c r="E1263" i="1"/>
  <c r="B1263" i="1"/>
  <c r="O1262" i="1"/>
  <c r="E1262" i="1"/>
  <c r="B1262" i="1"/>
  <c r="O1261" i="1"/>
  <c r="E1261" i="1"/>
  <c r="B1261" i="1"/>
  <c r="O1260" i="1"/>
  <c r="E1260" i="1"/>
  <c r="B1260" i="1"/>
  <c r="O1259" i="1"/>
  <c r="E1259" i="1"/>
  <c r="B1259" i="1"/>
  <c r="O1258" i="1"/>
  <c r="E1258" i="1"/>
  <c r="B1258" i="1"/>
  <c r="O1257" i="1"/>
  <c r="E1257" i="1"/>
  <c r="B1257" i="1"/>
  <c r="O1256" i="1"/>
  <c r="E1256" i="1"/>
  <c r="B1256" i="1"/>
  <c r="O1255" i="1"/>
  <c r="E1255" i="1"/>
  <c r="B1255" i="1"/>
  <c r="O1254" i="1"/>
  <c r="E1254" i="1"/>
  <c r="B1254" i="1"/>
  <c r="O1253" i="1"/>
  <c r="E1253" i="1"/>
  <c r="B1253" i="1"/>
  <c r="O1252" i="1"/>
  <c r="E1252" i="1"/>
  <c r="B1252" i="1"/>
  <c r="O1251" i="1"/>
  <c r="E1251" i="1"/>
  <c r="B1251" i="1"/>
  <c r="O1250" i="1"/>
  <c r="E1250" i="1"/>
  <c r="B1250" i="1"/>
  <c r="O1249" i="1"/>
  <c r="E1249" i="1"/>
  <c r="B1249" i="1"/>
  <c r="O1248" i="1"/>
  <c r="E1248" i="1"/>
  <c r="B1248" i="1"/>
  <c r="O1247" i="1"/>
  <c r="E1247" i="1"/>
  <c r="B1247" i="1"/>
  <c r="O1246" i="1"/>
  <c r="E1246" i="1"/>
  <c r="B1246" i="1"/>
  <c r="O1245" i="1"/>
  <c r="E1245" i="1"/>
  <c r="B1245" i="1"/>
  <c r="O1244" i="1"/>
  <c r="E1244" i="1"/>
  <c r="B1244" i="1"/>
  <c r="O1243" i="1"/>
  <c r="E1243" i="1"/>
  <c r="B1243" i="1"/>
  <c r="O1242" i="1"/>
  <c r="E1242" i="1"/>
  <c r="B1242" i="1"/>
  <c r="O1241" i="1"/>
  <c r="E1241" i="1"/>
  <c r="B1241" i="1"/>
  <c r="O1240" i="1"/>
  <c r="E1240" i="1"/>
  <c r="B1240" i="1"/>
  <c r="O1239" i="1"/>
  <c r="E1239" i="1"/>
  <c r="B1239" i="1"/>
  <c r="O1238" i="1"/>
  <c r="E1238" i="1"/>
  <c r="B1238" i="1"/>
  <c r="O1237" i="1"/>
  <c r="E1237" i="1"/>
  <c r="B1237" i="1"/>
  <c r="O1236" i="1"/>
  <c r="E1236" i="1"/>
  <c r="B1236" i="1"/>
  <c r="O1235" i="1"/>
  <c r="E1235" i="1"/>
  <c r="B1235" i="1"/>
  <c r="O1234" i="1"/>
  <c r="E1234" i="1"/>
  <c r="B1234" i="1"/>
  <c r="O1233" i="1"/>
  <c r="E1233" i="1"/>
  <c r="B1233" i="1"/>
  <c r="O1232" i="1"/>
  <c r="E1232" i="1"/>
  <c r="B1232" i="1"/>
  <c r="O1231" i="1"/>
  <c r="E1231" i="1"/>
  <c r="B1231" i="1"/>
  <c r="O1230" i="1"/>
  <c r="E1230" i="1"/>
  <c r="B1230" i="1"/>
  <c r="O1229" i="1"/>
  <c r="E1229" i="1"/>
  <c r="B1229" i="1"/>
  <c r="O1228" i="1"/>
  <c r="E1228" i="1"/>
  <c r="B1228" i="1"/>
  <c r="O1227" i="1"/>
  <c r="E1227" i="1"/>
  <c r="B1227" i="1"/>
  <c r="O1226" i="1"/>
  <c r="E1226" i="1"/>
  <c r="B1226" i="1"/>
  <c r="O1225" i="1"/>
  <c r="E1225" i="1"/>
  <c r="B1225" i="1"/>
  <c r="O1224" i="1"/>
  <c r="E1224" i="1"/>
  <c r="B1224" i="1"/>
  <c r="O1223" i="1"/>
  <c r="E1223" i="1"/>
  <c r="B1223" i="1"/>
  <c r="O1222" i="1"/>
  <c r="E1222" i="1"/>
  <c r="B1222" i="1"/>
  <c r="O1221" i="1"/>
  <c r="E1221" i="1"/>
  <c r="B1221" i="1"/>
  <c r="O1220" i="1"/>
  <c r="E1220" i="1"/>
  <c r="B1220" i="1"/>
  <c r="O1219" i="1"/>
  <c r="E1219" i="1"/>
  <c r="B1219" i="1"/>
  <c r="O1218" i="1"/>
  <c r="E1218" i="1"/>
  <c r="B1218" i="1"/>
  <c r="O1217" i="1"/>
  <c r="E1217" i="1"/>
  <c r="B1217" i="1"/>
  <c r="O1216" i="1"/>
  <c r="E1216" i="1"/>
  <c r="B1216" i="1"/>
  <c r="O1215" i="1"/>
  <c r="E1215" i="1"/>
  <c r="B1215" i="1"/>
  <c r="O1214" i="1"/>
  <c r="E1214" i="1"/>
  <c r="B1214" i="1"/>
  <c r="O1213" i="1"/>
  <c r="E1213" i="1"/>
  <c r="B1213" i="1"/>
  <c r="O1212" i="1"/>
  <c r="E1212" i="1"/>
  <c r="B1212" i="1"/>
  <c r="O1211" i="1"/>
  <c r="E1211" i="1"/>
  <c r="B1211" i="1"/>
  <c r="O1210" i="1"/>
  <c r="E1210" i="1"/>
  <c r="B1210" i="1"/>
  <c r="O1209" i="1"/>
  <c r="E1209" i="1"/>
  <c r="B1209" i="1"/>
  <c r="O1208" i="1"/>
  <c r="E1208" i="1"/>
  <c r="B1208" i="1"/>
  <c r="O1207" i="1"/>
  <c r="E1207" i="1"/>
  <c r="B1207" i="1"/>
  <c r="O1206" i="1"/>
  <c r="E1206" i="1"/>
  <c r="B1206" i="1"/>
  <c r="O1205" i="1"/>
  <c r="E1205" i="1"/>
  <c r="B1205" i="1"/>
  <c r="O1204" i="1"/>
  <c r="E1204" i="1"/>
  <c r="B1204" i="1"/>
  <c r="O1203" i="1"/>
  <c r="E1203" i="1"/>
  <c r="B1203" i="1"/>
  <c r="O1202" i="1"/>
  <c r="E1202" i="1"/>
  <c r="B1202" i="1"/>
  <c r="O1201" i="1"/>
  <c r="E1201" i="1"/>
  <c r="B1201" i="1"/>
  <c r="O1200" i="1"/>
  <c r="E1200" i="1"/>
  <c r="B1200" i="1"/>
  <c r="O1199" i="1"/>
  <c r="E1199" i="1"/>
  <c r="B1199" i="1"/>
  <c r="O1198" i="1"/>
  <c r="E1198" i="1"/>
  <c r="B1198" i="1"/>
  <c r="O1197" i="1"/>
  <c r="E1197" i="1"/>
  <c r="B1197" i="1"/>
  <c r="O1196" i="1"/>
  <c r="E1196" i="1"/>
  <c r="B1196" i="1"/>
  <c r="O1195" i="1"/>
  <c r="E1195" i="1"/>
  <c r="B1195" i="1"/>
  <c r="O1194" i="1"/>
  <c r="E1194" i="1"/>
  <c r="B1194" i="1"/>
  <c r="O1193" i="1"/>
  <c r="E1193" i="1"/>
  <c r="B1193" i="1"/>
  <c r="O1192" i="1"/>
  <c r="E1192" i="1"/>
  <c r="B1192" i="1"/>
  <c r="O1191" i="1"/>
  <c r="E1191" i="1"/>
  <c r="B1191" i="1"/>
  <c r="O1190" i="1"/>
  <c r="E1190" i="1"/>
  <c r="B1190" i="1"/>
  <c r="O1189" i="1"/>
  <c r="E1189" i="1"/>
  <c r="B1189" i="1"/>
  <c r="O1188" i="1"/>
  <c r="E1188" i="1"/>
  <c r="B1188" i="1"/>
  <c r="O1187" i="1"/>
  <c r="E1187" i="1"/>
  <c r="B1187" i="1"/>
  <c r="O1186" i="1"/>
  <c r="E1186" i="1"/>
  <c r="B1186" i="1"/>
  <c r="O1185" i="1"/>
  <c r="E1185" i="1"/>
  <c r="B1185" i="1"/>
  <c r="O1184" i="1"/>
  <c r="E1184" i="1"/>
  <c r="B1184" i="1"/>
  <c r="O1183" i="1"/>
  <c r="E1183" i="1"/>
  <c r="B1183" i="1"/>
  <c r="O1182" i="1"/>
  <c r="E1182" i="1"/>
  <c r="B1182" i="1"/>
  <c r="O1181" i="1"/>
  <c r="E1181" i="1"/>
  <c r="B1181" i="1"/>
  <c r="O1180" i="1"/>
  <c r="E1180" i="1"/>
  <c r="B1180" i="1"/>
  <c r="O1179" i="1"/>
  <c r="E1179" i="1"/>
  <c r="B1179" i="1"/>
  <c r="O1178" i="1"/>
  <c r="E1178" i="1"/>
  <c r="B1178" i="1"/>
  <c r="O1177" i="1"/>
  <c r="E1177" i="1"/>
  <c r="B1177" i="1"/>
  <c r="O1176" i="1"/>
  <c r="E1176" i="1"/>
  <c r="B1176" i="1"/>
  <c r="O1175" i="1"/>
  <c r="E1175" i="1"/>
  <c r="B1175" i="1"/>
  <c r="O1174" i="1"/>
  <c r="E1174" i="1"/>
  <c r="B1174" i="1"/>
  <c r="O1173" i="1"/>
  <c r="E1173" i="1"/>
  <c r="B1173" i="1"/>
  <c r="O1172" i="1"/>
  <c r="E1172" i="1"/>
  <c r="B1172" i="1"/>
  <c r="O1171" i="1"/>
  <c r="E1171" i="1"/>
  <c r="B1171" i="1"/>
  <c r="O1170" i="1"/>
  <c r="E1170" i="1"/>
  <c r="B1170" i="1"/>
  <c r="O1169" i="1"/>
  <c r="E1169" i="1"/>
  <c r="B1169" i="1"/>
  <c r="O1168" i="1"/>
  <c r="E1168" i="1"/>
  <c r="B1168" i="1"/>
  <c r="O1167" i="1"/>
  <c r="E1167" i="1"/>
  <c r="B1167" i="1"/>
  <c r="O1166" i="1"/>
  <c r="E1166" i="1"/>
  <c r="B1166" i="1"/>
  <c r="O1165" i="1"/>
  <c r="E1165" i="1"/>
  <c r="B1165" i="1"/>
  <c r="O1164" i="1"/>
  <c r="E1164" i="1"/>
  <c r="B1164" i="1"/>
  <c r="O1163" i="1"/>
  <c r="E1163" i="1"/>
  <c r="B1163" i="1"/>
  <c r="O1162" i="1"/>
  <c r="E1162" i="1"/>
  <c r="B1162" i="1"/>
  <c r="O1161" i="1"/>
  <c r="E1161" i="1"/>
  <c r="B1161" i="1"/>
  <c r="O1160" i="1"/>
  <c r="E1160" i="1"/>
  <c r="B1160" i="1"/>
  <c r="O1159" i="1"/>
  <c r="E1159" i="1"/>
  <c r="B1159" i="1"/>
  <c r="O1158" i="1"/>
  <c r="E1158" i="1"/>
  <c r="B1158" i="1"/>
  <c r="O1157" i="1"/>
  <c r="E1157" i="1"/>
  <c r="B1157" i="1"/>
  <c r="O1156" i="1"/>
  <c r="E1156" i="1"/>
  <c r="B1156" i="1"/>
  <c r="O1155" i="1"/>
  <c r="E1155" i="1"/>
  <c r="B1155" i="1"/>
  <c r="O1154" i="1"/>
  <c r="E1154" i="1"/>
  <c r="B1154" i="1"/>
  <c r="O1153" i="1"/>
  <c r="E1153" i="1"/>
  <c r="B1153" i="1"/>
  <c r="O1152" i="1"/>
  <c r="E1152" i="1"/>
  <c r="B1152" i="1"/>
  <c r="O1151" i="1"/>
  <c r="E1151" i="1"/>
  <c r="B1151" i="1"/>
  <c r="O1150" i="1"/>
  <c r="E1150" i="1"/>
  <c r="B1150" i="1"/>
  <c r="O1149" i="1"/>
  <c r="E1149" i="1"/>
  <c r="B1149" i="1"/>
  <c r="O1148" i="1"/>
  <c r="E1148" i="1"/>
  <c r="B1148" i="1"/>
  <c r="O1147" i="1"/>
  <c r="E1147" i="1"/>
  <c r="B1147" i="1"/>
  <c r="O1146" i="1"/>
  <c r="E1146" i="1"/>
  <c r="B1146" i="1"/>
  <c r="O1145" i="1"/>
  <c r="E1145" i="1"/>
  <c r="B1145" i="1"/>
  <c r="O1144" i="1"/>
  <c r="E1144" i="1"/>
  <c r="B1144" i="1"/>
  <c r="O1143" i="1"/>
  <c r="E1143" i="1"/>
  <c r="B1143" i="1"/>
  <c r="O1142" i="1"/>
  <c r="E1142" i="1"/>
  <c r="B1142" i="1"/>
  <c r="O1141" i="1"/>
  <c r="E1141" i="1"/>
  <c r="B1141" i="1"/>
  <c r="O1140" i="1"/>
  <c r="E1140" i="1"/>
  <c r="B1140" i="1"/>
  <c r="O1139" i="1"/>
  <c r="E1139" i="1"/>
  <c r="B1139" i="1"/>
  <c r="O1138" i="1"/>
  <c r="E1138" i="1"/>
  <c r="B1138" i="1"/>
  <c r="O1137" i="1"/>
  <c r="E1137" i="1"/>
  <c r="B1137" i="1"/>
  <c r="O1136" i="1"/>
  <c r="E1136" i="1"/>
  <c r="B1136" i="1"/>
  <c r="O1135" i="1"/>
  <c r="E1135" i="1"/>
  <c r="B1135" i="1"/>
  <c r="O1134" i="1"/>
  <c r="E1134" i="1"/>
  <c r="B1134" i="1"/>
  <c r="O1133" i="1"/>
  <c r="E1133" i="1"/>
  <c r="B1133" i="1"/>
  <c r="O1132" i="1"/>
  <c r="E1132" i="1"/>
  <c r="B1132" i="1"/>
  <c r="O1131" i="1"/>
  <c r="E1131" i="1"/>
  <c r="B1131" i="1"/>
  <c r="O1130" i="1"/>
  <c r="E1130" i="1"/>
  <c r="B1130" i="1"/>
  <c r="O1129" i="1"/>
  <c r="E1129" i="1"/>
  <c r="B1129" i="1"/>
  <c r="O1128" i="1"/>
  <c r="E1128" i="1"/>
  <c r="B1128" i="1"/>
  <c r="O1127" i="1"/>
  <c r="E1127" i="1"/>
  <c r="B1127" i="1"/>
  <c r="O1126" i="1"/>
  <c r="E1126" i="1"/>
  <c r="B1126" i="1"/>
  <c r="O1125" i="1"/>
  <c r="E1125" i="1"/>
  <c r="B1125" i="1"/>
  <c r="O1124" i="1"/>
  <c r="E1124" i="1"/>
  <c r="B1124" i="1"/>
  <c r="O1123" i="1"/>
  <c r="E1123" i="1"/>
  <c r="B1123" i="1"/>
  <c r="O1122" i="1"/>
  <c r="E1122" i="1"/>
  <c r="B1122" i="1"/>
  <c r="O1121" i="1"/>
  <c r="E1121" i="1"/>
  <c r="B1121" i="1"/>
  <c r="O1120" i="1"/>
  <c r="E1120" i="1"/>
  <c r="B1120" i="1"/>
  <c r="O1119" i="1"/>
  <c r="E1119" i="1"/>
  <c r="B1119" i="1"/>
  <c r="O1118" i="1"/>
  <c r="E1118" i="1"/>
  <c r="B1118" i="1"/>
  <c r="O1117" i="1"/>
  <c r="E1117" i="1"/>
  <c r="B1117" i="1"/>
  <c r="O1116" i="1"/>
  <c r="E1116" i="1"/>
  <c r="B1116" i="1"/>
  <c r="O1115" i="1"/>
  <c r="E1115" i="1"/>
  <c r="B1115" i="1"/>
  <c r="O1114" i="1"/>
  <c r="E1114" i="1"/>
  <c r="B1114" i="1"/>
  <c r="O1113" i="1"/>
  <c r="E1113" i="1"/>
  <c r="B1113" i="1"/>
  <c r="O1112" i="1"/>
  <c r="E1112" i="1"/>
  <c r="B1112" i="1"/>
  <c r="O1111" i="1"/>
  <c r="E1111" i="1"/>
  <c r="B1111" i="1"/>
  <c r="O1110" i="1"/>
  <c r="E1110" i="1"/>
  <c r="B1110" i="1"/>
  <c r="O1109" i="1"/>
  <c r="E1109" i="1"/>
  <c r="B1109" i="1"/>
  <c r="O1108" i="1"/>
  <c r="E1108" i="1"/>
  <c r="B1108" i="1"/>
  <c r="O1107" i="1"/>
  <c r="E1107" i="1"/>
  <c r="B1107" i="1"/>
  <c r="O1106" i="1"/>
  <c r="E1106" i="1"/>
  <c r="B1106" i="1"/>
  <c r="O1105" i="1"/>
  <c r="E1105" i="1"/>
  <c r="B1105" i="1"/>
  <c r="O1104" i="1"/>
  <c r="E1104" i="1"/>
  <c r="B1104" i="1"/>
  <c r="O1103" i="1"/>
  <c r="E1103" i="1"/>
  <c r="B1103" i="1"/>
  <c r="O1102" i="1"/>
  <c r="E1102" i="1"/>
  <c r="B1102" i="1"/>
  <c r="O1101" i="1"/>
  <c r="E1101" i="1"/>
  <c r="B1101" i="1"/>
  <c r="O1100" i="1"/>
  <c r="E1100" i="1"/>
  <c r="B1100" i="1"/>
  <c r="O1099" i="1"/>
  <c r="E1099" i="1"/>
  <c r="B1099" i="1"/>
  <c r="O1098" i="1"/>
  <c r="E1098" i="1"/>
  <c r="B1098" i="1"/>
  <c r="O1097" i="1"/>
  <c r="E1097" i="1"/>
  <c r="B1097" i="1"/>
  <c r="O1096" i="1"/>
  <c r="E1096" i="1"/>
  <c r="B1096" i="1"/>
  <c r="O1095" i="1"/>
  <c r="E1095" i="1"/>
  <c r="B1095" i="1"/>
  <c r="O1094" i="1"/>
  <c r="E1094" i="1"/>
  <c r="B1094" i="1"/>
  <c r="O1093" i="1"/>
  <c r="E1093" i="1"/>
  <c r="B1093" i="1"/>
  <c r="O1092" i="1"/>
  <c r="E1092" i="1"/>
  <c r="B1092" i="1"/>
  <c r="O1091" i="1"/>
  <c r="E1091" i="1"/>
  <c r="B1091" i="1"/>
  <c r="O1090" i="1"/>
  <c r="E1090" i="1"/>
  <c r="B1090" i="1"/>
  <c r="O1089" i="1"/>
  <c r="E1089" i="1"/>
  <c r="B1089" i="1"/>
  <c r="O1088" i="1"/>
  <c r="E1088" i="1"/>
  <c r="B1088" i="1"/>
  <c r="O1087" i="1"/>
  <c r="E1087" i="1"/>
  <c r="B1087" i="1"/>
  <c r="O1086" i="1"/>
  <c r="E1086" i="1"/>
  <c r="B1086" i="1"/>
  <c r="O1085" i="1"/>
  <c r="E1085" i="1"/>
  <c r="B1085" i="1"/>
  <c r="O1084" i="1"/>
  <c r="E1084" i="1"/>
  <c r="B1084" i="1"/>
  <c r="O1083" i="1"/>
  <c r="E1083" i="1"/>
  <c r="B1083" i="1"/>
  <c r="O1082" i="1"/>
  <c r="E1082" i="1"/>
  <c r="B1082" i="1"/>
  <c r="O1081" i="1"/>
  <c r="E1081" i="1"/>
  <c r="B1081" i="1"/>
  <c r="O1080" i="1"/>
  <c r="E1080" i="1"/>
  <c r="B1080" i="1"/>
  <c r="O1079" i="1"/>
  <c r="E1079" i="1"/>
  <c r="B1079" i="1"/>
  <c r="O1078" i="1"/>
  <c r="E1078" i="1"/>
  <c r="B1078" i="1"/>
  <c r="O1077" i="1"/>
  <c r="E1077" i="1"/>
  <c r="B1077" i="1"/>
  <c r="O1076" i="1"/>
  <c r="E1076" i="1"/>
  <c r="B1076" i="1"/>
  <c r="O1075" i="1"/>
  <c r="E1075" i="1"/>
  <c r="B1075" i="1"/>
  <c r="O1074" i="1"/>
  <c r="E1074" i="1"/>
  <c r="B1074" i="1"/>
  <c r="O1073" i="1"/>
  <c r="E1073" i="1"/>
  <c r="B1073" i="1"/>
  <c r="O1072" i="1"/>
  <c r="E1072" i="1"/>
  <c r="B1072" i="1"/>
  <c r="O1071" i="1"/>
  <c r="E1071" i="1"/>
  <c r="B1071" i="1"/>
  <c r="O1070" i="1"/>
  <c r="E1070" i="1"/>
  <c r="B1070" i="1"/>
  <c r="O1069" i="1"/>
  <c r="E1069" i="1"/>
  <c r="B1069" i="1"/>
  <c r="O1068" i="1"/>
  <c r="E1068" i="1"/>
  <c r="B1068" i="1"/>
  <c r="O1067" i="1"/>
  <c r="E1067" i="1"/>
  <c r="B1067" i="1"/>
  <c r="O1066" i="1"/>
  <c r="E1066" i="1"/>
  <c r="B1066" i="1"/>
  <c r="O1065" i="1"/>
  <c r="E1065" i="1"/>
  <c r="B1065" i="1"/>
  <c r="O1064" i="1"/>
  <c r="E1064" i="1"/>
  <c r="B1064" i="1"/>
  <c r="O1063" i="1"/>
  <c r="E1063" i="1"/>
  <c r="B1063" i="1"/>
  <c r="O1062" i="1"/>
  <c r="E1062" i="1"/>
  <c r="B1062" i="1"/>
  <c r="O1061" i="1"/>
  <c r="E1061" i="1"/>
  <c r="B1061" i="1"/>
  <c r="O1060" i="1"/>
  <c r="E1060" i="1"/>
  <c r="B1060" i="1"/>
  <c r="O1059" i="1"/>
  <c r="E1059" i="1"/>
  <c r="B1059" i="1"/>
  <c r="O1058" i="1"/>
  <c r="E1058" i="1"/>
  <c r="B1058" i="1"/>
  <c r="O1057" i="1"/>
  <c r="E1057" i="1"/>
  <c r="B1057" i="1"/>
  <c r="O1056" i="1"/>
  <c r="E1056" i="1"/>
  <c r="B1056" i="1"/>
  <c r="O1055" i="1"/>
  <c r="E1055" i="1"/>
  <c r="B1055" i="1"/>
  <c r="O1054" i="1"/>
  <c r="E1054" i="1"/>
  <c r="B1054" i="1"/>
  <c r="O1053" i="1"/>
  <c r="E1053" i="1"/>
  <c r="B1053" i="1"/>
  <c r="O1052" i="1"/>
  <c r="E1052" i="1"/>
  <c r="B1052" i="1"/>
  <c r="O1051" i="1"/>
  <c r="E1051" i="1"/>
  <c r="B1051" i="1"/>
  <c r="O1050" i="1"/>
  <c r="E1050" i="1"/>
  <c r="B1050" i="1"/>
  <c r="O1049" i="1"/>
  <c r="E1049" i="1"/>
  <c r="B1049" i="1"/>
  <c r="O1048" i="1"/>
  <c r="E1048" i="1"/>
  <c r="B1048" i="1"/>
  <c r="O1047" i="1"/>
  <c r="E1047" i="1"/>
  <c r="B1047" i="1"/>
  <c r="O1046" i="1"/>
  <c r="E1046" i="1"/>
  <c r="B1046" i="1"/>
  <c r="O1045" i="1"/>
  <c r="E1045" i="1"/>
  <c r="B1045" i="1"/>
  <c r="O1044" i="1"/>
  <c r="E1044" i="1"/>
  <c r="B1044" i="1"/>
  <c r="O1043" i="1"/>
  <c r="E1043" i="1"/>
  <c r="B1043" i="1"/>
  <c r="O1042" i="1"/>
  <c r="E1042" i="1"/>
  <c r="B1042" i="1"/>
  <c r="O1041" i="1"/>
  <c r="E1041" i="1"/>
  <c r="B1041" i="1"/>
  <c r="O1040" i="1"/>
  <c r="E1040" i="1"/>
  <c r="B1040" i="1"/>
  <c r="O1039" i="1"/>
  <c r="E1039" i="1"/>
  <c r="B1039" i="1"/>
  <c r="O1038" i="1"/>
  <c r="E1038" i="1"/>
  <c r="B1038" i="1"/>
  <c r="O1037" i="1"/>
  <c r="E1037" i="1"/>
  <c r="B1037" i="1"/>
  <c r="O1036" i="1"/>
  <c r="E1036" i="1"/>
  <c r="B1036" i="1"/>
  <c r="O1035" i="1"/>
  <c r="E1035" i="1"/>
  <c r="B1035" i="1"/>
  <c r="O1034" i="1"/>
  <c r="E1034" i="1"/>
  <c r="B1034" i="1"/>
  <c r="O1033" i="1"/>
  <c r="E1033" i="1"/>
  <c r="B1033" i="1"/>
  <c r="O1032" i="1"/>
  <c r="E1032" i="1"/>
  <c r="B1032" i="1"/>
  <c r="O1031" i="1"/>
  <c r="E1031" i="1"/>
  <c r="B1031" i="1"/>
  <c r="O1030" i="1"/>
  <c r="E1030" i="1"/>
  <c r="B1030" i="1"/>
  <c r="O1029" i="1"/>
  <c r="E1029" i="1"/>
  <c r="B1029" i="1"/>
  <c r="O1028" i="1"/>
  <c r="E1028" i="1"/>
  <c r="B1028" i="1"/>
  <c r="O1027" i="1"/>
  <c r="E1027" i="1"/>
  <c r="B1027" i="1"/>
  <c r="O1026" i="1"/>
  <c r="E1026" i="1"/>
  <c r="B1026" i="1"/>
  <c r="O1025" i="1"/>
  <c r="E1025" i="1"/>
  <c r="B1025" i="1"/>
  <c r="O1024" i="1"/>
  <c r="E1024" i="1"/>
  <c r="B1024" i="1"/>
  <c r="O1023" i="1"/>
  <c r="E1023" i="1"/>
  <c r="B1023" i="1"/>
  <c r="O1022" i="1"/>
  <c r="E1022" i="1"/>
  <c r="B1022" i="1"/>
  <c r="O1021" i="1"/>
  <c r="E1021" i="1"/>
  <c r="B1021" i="1"/>
  <c r="O1020" i="1"/>
  <c r="E1020" i="1"/>
  <c r="B1020" i="1"/>
  <c r="O1019" i="1"/>
  <c r="E1019" i="1"/>
  <c r="B1019" i="1"/>
  <c r="O1018" i="1"/>
  <c r="E1018" i="1"/>
  <c r="B1018" i="1"/>
  <c r="O1017" i="1"/>
  <c r="E1017" i="1"/>
  <c r="B1017" i="1"/>
  <c r="O1016" i="1"/>
  <c r="E1016" i="1"/>
  <c r="B1016" i="1"/>
  <c r="O1015" i="1"/>
  <c r="E1015" i="1"/>
  <c r="B1015" i="1"/>
  <c r="O1014" i="1"/>
  <c r="E1014" i="1"/>
  <c r="B1014" i="1"/>
  <c r="O1013" i="1"/>
  <c r="E1013" i="1"/>
  <c r="B1013" i="1"/>
  <c r="O1012" i="1"/>
  <c r="E1012" i="1"/>
  <c r="B1012" i="1"/>
  <c r="O1011" i="1"/>
  <c r="E1011" i="1"/>
  <c r="B1011" i="1"/>
  <c r="O1010" i="1"/>
  <c r="E1010" i="1"/>
  <c r="B1010" i="1"/>
  <c r="O1009" i="1"/>
  <c r="E1009" i="1"/>
  <c r="B1009" i="1"/>
  <c r="O1008" i="1"/>
  <c r="E1008" i="1"/>
  <c r="B1008" i="1"/>
  <c r="O1007" i="1"/>
  <c r="E1007" i="1"/>
  <c r="B1007" i="1"/>
  <c r="O1006" i="1"/>
  <c r="E1006" i="1"/>
  <c r="B1006" i="1"/>
  <c r="O1005" i="1"/>
  <c r="E1005" i="1"/>
  <c r="B1005" i="1"/>
  <c r="O1004" i="1"/>
  <c r="E1004" i="1"/>
  <c r="B1004" i="1"/>
  <c r="O1003" i="1"/>
  <c r="E1003" i="1"/>
  <c r="B1003" i="1"/>
  <c r="O1002" i="1"/>
  <c r="E1002" i="1"/>
  <c r="B1002" i="1"/>
  <c r="O1001" i="1"/>
  <c r="E1001" i="1"/>
  <c r="B1001" i="1"/>
  <c r="O1000" i="1"/>
  <c r="E1000" i="1"/>
  <c r="B1000" i="1"/>
  <c r="O999" i="1"/>
  <c r="E999" i="1"/>
  <c r="B999" i="1"/>
  <c r="O998" i="1"/>
  <c r="E998" i="1"/>
  <c r="B998" i="1"/>
  <c r="O997" i="1"/>
  <c r="E997" i="1"/>
  <c r="B997" i="1"/>
  <c r="O996" i="1"/>
  <c r="E996" i="1"/>
  <c r="B996" i="1"/>
  <c r="O995" i="1"/>
  <c r="E995" i="1"/>
  <c r="B995" i="1"/>
  <c r="O994" i="1"/>
  <c r="E994" i="1"/>
  <c r="B994" i="1"/>
  <c r="O993" i="1"/>
  <c r="E993" i="1"/>
  <c r="B993" i="1"/>
  <c r="O992" i="1"/>
  <c r="E992" i="1"/>
  <c r="B992" i="1"/>
  <c r="O991" i="1"/>
  <c r="E991" i="1"/>
  <c r="B991" i="1"/>
  <c r="O990" i="1"/>
  <c r="E990" i="1"/>
  <c r="B990" i="1"/>
  <c r="O989" i="1"/>
  <c r="E989" i="1"/>
  <c r="B989" i="1"/>
  <c r="O988" i="1"/>
  <c r="E988" i="1"/>
  <c r="B988" i="1"/>
  <c r="O987" i="1"/>
  <c r="E987" i="1"/>
  <c r="B987" i="1"/>
  <c r="O986" i="1"/>
  <c r="E986" i="1"/>
  <c r="B986" i="1"/>
  <c r="O985" i="1"/>
  <c r="E985" i="1"/>
  <c r="B985" i="1"/>
  <c r="O984" i="1"/>
  <c r="E984" i="1"/>
  <c r="B984" i="1"/>
  <c r="O983" i="1"/>
  <c r="E983" i="1"/>
  <c r="B983" i="1"/>
  <c r="O982" i="1"/>
  <c r="E982" i="1"/>
  <c r="B982" i="1"/>
  <c r="O981" i="1"/>
  <c r="E981" i="1"/>
  <c r="B981" i="1"/>
  <c r="O980" i="1"/>
  <c r="E980" i="1"/>
  <c r="B980" i="1"/>
  <c r="O979" i="1"/>
  <c r="E979" i="1"/>
  <c r="B979" i="1"/>
  <c r="O978" i="1"/>
  <c r="E978" i="1"/>
  <c r="B978" i="1"/>
  <c r="O977" i="1"/>
  <c r="E977" i="1"/>
  <c r="B977" i="1"/>
  <c r="O976" i="1"/>
  <c r="E976" i="1"/>
  <c r="B976" i="1"/>
  <c r="O975" i="1"/>
  <c r="E975" i="1"/>
  <c r="B975" i="1"/>
  <c r="O974" i="1"/>
  <c r="E974" i="1"/>
  <c r="B974" i="1"/>
  <c r="O973" i="1"/>
  <c r="E973" i="1"/>
  <c r="B973" i="1"/>
  <c r="O972" i="1"/>
  <c r="E972" i="1"/>
  <c r="B972" i="1"/>
  <c r="O971" i="1"/>
  <c r="E971" i="1"/>
  <c r="B971" i="1"/>
  <c r="O970" i="1"/>
  <c r="E970" i="1"/>
  <c r="B970" i="1"/>
  <c r="O969" i="1"/>
  <c r="E969" i="1"/>
  <c r="B969" i="1"/>
  <c r="O968" i="1"/>
  <c r="E968" i="1"/>
  <c r="B968" i="1"/>
  <c r="O967" i="1"/>
  <c r="E967" i="1"/>
  <c r="B967" i="1"/>
  <c r="O966" i="1"/>
  <c r="E966" i="1"/>
  <c r="B966" i="1"/>
  <c r="O965" i="1"/>
  <c r="E965" i="1"/>
  <c r="B965" i="1"/>
  <c r="O964" i="1"/>
  <c r="E964" i="1"/>
  <c r="B964" i="1"/>
  <c r="O963" i="1"/>
  <c r="E963" i="1"/>
  <c r="B963" i="1"/>
  <c r="O962" i="1"/>
  <c r="E962" i="1"/>
  <c r="B962" i="1"/>
  <c r="O961" i="1"/>
  <c r="E961" i="1"/>
  <c r="B961" i="1"/>
  <c r="O960" i="1"/>
  <c r="E960" i="1"/>
  <c r="B960" i="1"/>
  <c r="O959" i="1"/>
  <c r="E959" i="1"/>
  <c r="B959" i="1"/>
  <c r="O958" i="1"/>
  <c r="E958" i="1"/>
  <c r="B958" i="1"/>
  <c r="O957" i="1"/>
  <c r="E957" i="1"/>
  <c r="B957" i="1"/>
  <c r="O956" i="1"/>
  <c r="E956" i="1"/>
  <c r="B956" i="1"/>
  <c r="O955" i="1"/>
  <c r="E955" i="1"/>
  <c r="B955" i="1"/>
  <c r="O954" i="1"/>
  <c r="E954" i="1"/>
  <c r="B954" i="1"/>
  <c r="O953" i="1"/>
  <c r="E953" i="1"/>
  <c r="B953" i="1"/>
  <c r="O952" i="1"/>
  <c r="E952" i="1"/>
  <c r="B952" i="1"/>
  <c r="O951" i="1"/>
  <c r="E951" i="1"/>
  <c r="B951" i="1"/>
  <c r="O950" i="1"/>
  <c r="E950" i="1"/>
  <c r="B950" i="1"/>
  <c r="O949" i="1"/>
  <c r="E949" i="1"/>
  <c r="B949" i="1"/>
  <c r="O948" i="1"/>
  <c r="E948" i="1"/>
  <c r="B948" i="1"/>
  <c r="O947" i="1"/>
  <c r="E947" i="1"/>
  <c r="B947" i="1"/>
  <c r="O946" i="1"/>
  <c r="E946" i="1"/>
  <c r="B946" i="1"/>
  <c r="O945" i="1"/>
  <c r="E945" i="1"/>
  <c r="B945" i="1"/>
  <c r="O944" i="1"/>
  <c r="E944" i="1"/>
  <c r="B944" i="1"/>
  <c r="O943" i="1"/>
  <c r="E943" i="1"/>
  <c r="B943" i="1"/>
  <c r="O942" i="1"/>
  <c r="E942" i="1"/>
  <c r="B942" i="1"/>
  <c r="O941" i="1"/>
  <c r="E941" i="1"/>
  <c r="B941" i="1"/>
  <c r="O940" i="1"/>
  <c r="E940" i="1"/>
  <c r="B940" i="1"/>
  <c r="O939" i="1"/>
  <c r="E939" i="1"/>
  <c r="B939" i="1"/>
  <c r="O938" i="1"/>
  <c r="E938" i="1"/>
  <c r="B938" i="1"/>
  <c r="O937" i="1"/>
  <c r="E937" i="1"/>
  <c r="B937" i="1"/>
  <c r="O936" i="1"/>
  <c r="E936" i="1"/>
  <c r="B936" i="1"/>
  <c r="O935" i="1"/>
  <c r="E935" i="1"/>
  <c r="B935" i="1"/>
  <c r="O934" i="1"/>
  <c r="E934" i="1"/>
  <c r="B934" i="1"/>
  <c r="O933" i="1"/>
  <c r="E933" i="1"/>
  <c r="B933" i="1"/>
  <c r="O932" i="1"/>
  <c r="E932" i="1"/>
  <c r="B932" i="1"/>
  <c r="O931" i="1"/>
  <c r="E931" i="1"/>
  <c r="B931" i="1"/>
  <c r="O930" i="1"/>
  <c r="E930" i="1"/>
  <c r="B930" i="1"/>
  <c r="O929" i="1"/>
  <c r="E929" i="1"/>
  <c r="B929" i="1"/>
  <c r="O928" i="1"/>
  <c r="E928" i="1"/>
  <c r="B928" i="1"/>
  <c r="O927" i="1"/>
  <c r="E927" i="1"/>
  <c r="B927" i="1"/>
  <c r="O926" i="1"/>
  <c r="E926" i="1"/>
  <c r="B926" i="1"/>
  <c r="O925" i="1"/>
  <c r="E925" i="1"/>
  <c r="B925" i="1"/>
  <c r="O924" i="1"/>
  <c r="E924" i="1"/>
  <c r="B924" i="1"/>
  <c r="O923" i="1"/>
  <c r="E923" i="1"/>
  <c r="B923" i="1"/>
  <c r="O922" i="1"/>
  <c r="E922" i="1"/>
  <c r="B922" i="1"/>
  <c r="O921" i="1"/>
  <c r="E921" i="1"/>
  <c r="B921" i="1"/>
  <c r="O920" i="1"/>
  <c r="E920" i="1"/>
  <c r="B920" i="1"/>
  <c r="O919" i="1"/>
  <c r="E919" i="1"/>
  <c r="B919" i="1"/>
  <c r="O918" i="1"/>
  <c r="E918" i="1"/>
  <c r="B918" i="1"/>
  <c r="O917" i="1"/>
  <c r="E917" i="1"/>
  <c r="B917" i="1"/>
  <c r="O916" i="1"/>
  <c r="E916" i="1"/>
  <c r="B916" i="1"/>
  <c r="O915" i="1"/>
  <c r="E915" i="1"/>
  <c r="B915" i="1"/>
  <c r="O914" i="1"/>
  <c r="E914" i="1"/>
  <c r="B914" i="1"/>
  <c r="O913" i="1"/>
  <c r="E913" i="1"/>
  <c r="B913" i="1"/>
  <c r="O912" i="1"/>
  <c r="E912" i="1"/>
  <c r="B912" i="1"/>
  <c r="O911" i="1"/>
  <c r="E911" i="1"/>
  <c r="B911" i="1"/>
  <c r="O910" i="1"/>
  <c r="E910" i="1"/>
  <c r="B910" i="1"/>
  <c r="O909" i="1"/>
  <c r="E909" i="1"/>
  <c r="B909" i="1"/>
  <c r="O908" i="1"/>
  <c r="E908" i="1"/>
  <c r="B908" i="1"/>
  <c r="O907" i="1"/>
  <c r="E907" i="1"/>
  <c r="B907" i="1"/>
  <c r="O906" i="1"/>
  <c r="E906" i="1"/>
  <c r="B906" i="1"/>
  <c r="O905" i="1"/>
  <c r="E905" i="1"/>
  <c r="B905" i="1"/>
  <c r="O904" i="1"/>
  <c r="E904" i="1"/>
  <c r="B904" i="1"/>
  <c r="O903" i="1"/>
  <c r="E903" i="1"/>
  <c r="B903" i="1"/>
  <c r="O902" i="1"/>
  <c r="E902" i="1"/>
  <c r="B902" i="1"/>
  <c r="O901" i="1"/>
  <c r="E901" i="1"/>
  <c r="B901" i="1"/>
  <c r="O900" i="1"/>
  <c r="E900" i="1"/>
  <c r="B900" i="1"/>
  <c r="O899" i="1"/>
  <c r="E899" i="1"/>
  <c r="B899" i="1"/>
  <c r="O898" i="1"/>
  <c r="E898" i="1"/>
  <c r="B898" i="1"/>
  <c r="O897" i="1"/>
  <c r="E897" i="1"/>
  <c r="B897" i="1"/>
  <c r="O896" i="1"/>
  <c r="E896" i="1"/>
  <c r="B896" i="1"/>
  <c r="O895" i="1"/>
  <c r="E895" i="1"/>
  <c r="B895" i="1"/>
  <c r="O894" i="1"/>
  <c r="E894" i="1"/>
  <c r="B894" i="1"/>
  <c r="O893" i="1"/>
  <c r="E893" i="1"/>
  <c r="B893" i="1"/>
  <c r="O892" i="1"/>
  <c r="E892" i="1"/>
  <c r="B892" i="1"/>
  <c r="O891" i="1"/>
  <c r="E891" i="1"/>
  <c r="B891" i="1"/>
  <c r="O890" i="1"/>
  <c r="E890" i="1"/>
  <c r="B890" i="1"/>
  <c r="O889" i="1"/>
  <c r="E889" i="1"/>
  <c r="B889" i="1"/>
  <c r="O888" i="1"/>
  <c r="E888" i="1"/>
  <c r="B888" i="1"/>
  <c r="O887" i="1"/>
  <c r="E887" i="1"/>
  <c r="B887" i="1"/>
  <c r="O886" i="1"/>
  <c r="E886" i="1"/>
  <c r="B886" i="1"/>
  <c r="O885" i="1"/>
  <c r="E885" i="1"/>
  <c r="B885" i="1"/>
  <c r="O884" i="1"/>
  <c r="E884" i="1"/>
  <c r="B884" i="1"/>
  <c r="O883" i="1"/>
  <c r="E883" i="1"/>
  <c r="B883" i="1"/>
  <c r="O882" i="1"/>
  <c r="E882" i="1"/>
  <c r="B882" i="1"/>
  <c r="O881" i="1"/>
  <c r="E881" i="1"/>
  <c r="B881" i="1"/>
  <c r="O880" i="1"/>
  <c r="E880" i="1"/>
  <c r="B880" i="1"/>
  <c r="O879" i="1"/>
  <c r="E879" i="1"/>
  <c r="B879" i="1"/>
  <c r="O878" i="1"/>
  <c r="E878" i="1"/>
  <c r="B878" i="1"/>
  <c r="O877" i="1"/>
  <c r="E877" i="1"/>
  <c r="B877" i="1"/>
  <c r="O876" i="1"/>
  <c r="E876" i="1"/>
  <c r="B876" i="1"/>
  <c r="O875" i="1"/>
  <c r="E875" i="1"/>
  <c r="B875" i="1"/>
  <c r="O874" i="1"/>
  <c r="E874" i="1"/>
  <c r="B874" i="1"/>
  <c r="O873" i="1"/>
  <c r="E873" i="1"/>
  <c r="B873" i="1"/>
  <c r="O872" i="1"/>
  <c r="E872" i="1"/>
  <c r="B872" i="1"/>
  <c r="O871" i="1"/>
  <c r="E871" i="1"/>
  <c r="B871" i="1"/>
  <c r="O870" i="1"/>
  <c r="E870" i="1"/>
  <c r="B870" i="1"/>
  <c r="O869" i="1"/>
  <c r="E869" i="1"/>
  <c r="B869" i="1"/>
  <c r="O868" i="1"/>
  <c r="E868" i="1"/>
  <c r="B868" i="1"/>
  <c r="O867" i="1"/>
  <c r="E867" i="1"/>
  <c r="B867" i="1"/>
  <c r="O866" i="1"/>
  <c r="E866" i="1"/>
  <c r="B866" i="1"/>
  <c r="O865" i="1"/>
  <c r="E865" i="1"/>
  <c r="B865" i="1"/>
  <c r="O864" i="1"/>
  <c r="E864" i="1"/>
  <c r="B864" i="1"/>
  <c r="O863" i="1"/>
  <c r="E863" i="1"/>
  <c r="B863" i="1"/>
  <c r="O862" i="1"/>
  <c r="E862" i="1"/>
  <c r="B862" i="1"/>
  <c r="O861" i="1"/>
  <c r="E861" i="1"/>
  <c r="B861" i="1"/>
  <c r="O860" i="1"/>
  <c r="E860" i="1"/>
  <c r="B860" i="1"/>
  <c r="O859" i="1"/>
  <c r="E859" i="1"/>
  <c r="B859" i="1"/>
  <c r="O858" i="1"/>
  <c r="E858" i="1"/>
  <c r="B858" i="1"/>
  <c r="O857" i="1"/>
  <c r="E857" i="1"/>
  <c r="B857" i="1"/>
  <c r="O856" i="1"/>
  <c r="E856" i="1"/>
  <c r="B856" i="1"/>
  <c r="O855" i="1"/>
  <c r="E855" i="1"/>
  <c r="B855" i="1"/>
  <c r="O854" i="1"/>
  <c r="E854" i="1"/>
  <c r="B854" i="1"/>
  <c r="O853" i="1"/>
  <c r="E853" i="1"/>
  <c r="B853" i="1"/>
  <c r="O852" i="1"/>
  <c r="E852" i="1"/>
  <c r="B852" i="1"/>
  <c r="O851" i="1"/>
  <c r="E851" i="1"/>
  <c r="B851" i="1"/>
  <c r="O850" i="1"/>
  <c r="E850" i="1"/>
  <c r="B850" i="1"/>
  <c r="O849" i="1"/>
  <c r="E849" i="1"/>
  <c r="B849" i="1"/>
  <c r="O848" i="1"/>
  <c r="E848" i="1"/>
  <c r="B848" i="1"/>
  <c r="O847" i="1"/>
  <c r="E847" i="1"/>
  <c r="B847" i="1"/>
  <c r="O846" i="1"/>
  <c r="E846" i="1"/>
  <c r="B846" i="1"/>
  <c r="O845" i="1"/>
  <c r="E845" i="1"/>
  <c r="B845" i="1"/>
  <c r="O844" i="1"/>
  <c r="E844" i="1"/>
  <c r="B844" i="1"/>
  <c r="O843" i="1"/>
  <c r="E843" i="1"/>
  <c r="B843" i="1"/>
  <c r="O842" i="1"/>
  <c r="E842" i="1"/>
  <c r="B842" i="1"/>
  <c r="O841" i="1"/>
  <c r="E841" i="1"/>
  <c r="B841" i="1"/>
  <c r="O840" i="1"/>
  <c r="E840" i="1"/>
  <c r="B840" i="1"/>
  <c r="O839" i="1"/>
  <c r="E839" i="1"/>
  <c r="B839" i="1"/>
  <c r="O838" i="1"/>
  <c r="E838" i="1"/>
  <c r="B838" i="1"/>
  <c r="O837" i="1"/>
  <c r="E837" i="1"/>
  <c r="B837" i="1"/>
  <c r="O836" i="1"/>
  <c r="E836" i="1"/>
  <c r="B836" i="1"/>
  <c r="O835" i="1"/>
  <c r="E835" i="1"/>
  <c r="B835" i="1"/>
  <c r="O834" i="1"/>
  <c r="E834" i="1"/>
  <c r="B834" i="1"/>
  <c r="O833" i="1"/>
  <c r="E833" i="1"/>
  <c r="B833" i="1"/>
  <c r="O832" i="1"/>
  <c r="E832" i="1"/>
  <c r="B832" i="1"/>
  <c r="O831" i="1"/>
  <c r="E831" i="1"/>
  <c r="B831" i="1"/>
  <c r="O830" i="1"/>
  <c r="E830" i="1"/>
  <c r="B830" i="1"/>
  <c r="O829" i="1"/>
  <c r="E829" i="1"/>
  <c r="B829" i="1"/>
  <c r="O828" i="1"/>
  <c r="E828" i="1"/>
  <c r="B828" i="1"/>
  <c r="O827" i="1"/>
  <c r="E827" i="1"/>
  <c r="B827" i="1"/>
  <c r="O826" i="1"/>
  <c r="E826" i="1"/>
  <c r="B826" i="1"/>
  <c r="O825" i="1"/>
  <c r="E825" i="1"/>
  <c r="B825" i="1"/>
  <c r="O824" i="1"/>
  <c r="E824" i="1"/>
  <c r="B824" i="1"/>
  <c r="O823" i="1"/>
  <c r="E823" i="1"/>
  <c r="B823" i="1"/>
  <c r="O822" i="1"/>
  <c r="E822" i="1"/>
  <c r="B822" i="1"/>
  <c r="O821" i="1"/>
  <c r="E821" i="1"/>
  <c r="B821" i="1"/>
  <c r="O820" i="1"/>
  <c r="E820" i="1"/>
  <c r="B820" i="1"/>
  <c r="O819" i="1"/>
  <c r="E819" i="1"/>
  <c r="B819" i="1"/>
  <c r="O818" i="1"/>
  <c r="E818" i="1"/>
  <c r="B818" i="1"/>
  <c r="O817" i="1"/>
  <c r="E817" i="1"/>
  <c r="B817" i="1"/>
  <c r="O816" i="1"/>
  <c r="E816" i="1"/>
  <c r="B816" i="1"/>
  <c r="O815" i="1"/>
  <c r="E815" i="1"/>
  <c r="B815" i="1"/>
  <c r="O814" i="1"/>
  <c r="E814" i="1"/>
  <c r="B814" i="1"/>
  <c r="O813" i="1"/>
  <c r="E813" i="1"/>
  <c r="B813" i="1"/>
  <c r="O812" i="1"/>
  <c r="E812" i="1"/>
  <c r="B812" i="1"/>
  <c r="O811" i="1"/>
  <c r="E811" i="1"/>
  <c r="B811" i="1"/>
  <c r="O810" i="1"/>
  <c r="E810" i="1"/>
  <c r="B810" i="1"/>
  <c r="O809" i="1"/>
  <c r="E809" i="1"/>
  <c r="B809" i="1"/>
  <c r="O808" i="1"/>
  <c r="E808" i="1"/>
  <c r="B808" i="1"/>
  <c r="O807" i="1"/>
  <c r="E807" i="1"/>
  <c r="B807" i="1"/>
  <c r="O806" i="1"/>
  <c r="E806" i="1"/>
  <c r="B806" i="1"/>
  <c r="O805" i="1"/>
  <c r="E805" i="1"/>
  <c r="B805" i="1"/>
  <c r="O804" i="1"/>
  <c r="E804" i="1"/>
  <c r="B804" i="1"/>
  <c r="O803" i="1"/>
  <c r="E803" i="1"/>
  <c r="B803" i="1"/>
  <c r="O802" i="1"/>
  <c r="E802" i="1"/>
  <c r="B802" i="1"/>
  <c r="O801" i="1"/>
  <c r="E801" i="1"/>
  <c r="B801" i="1"/>
  <c r="O800" i="1"/>
  <c r="E800" i="1"/>
  <c r="B800" i="1"/>
  <c r="O799" i="1"/>
  <c r="E799" i="1"/>
  <c r="B799" i="1"/>
  <c r="O798" i="1"/>
  <c r="E798" i="1"/>
  <c r="B798" i="1"/>
  <c r="O797" i="1"/>
  <c r="E797" i="1"/>
  <c r="B797" i="1"/>
  <c r="O796" i="1"/>
  <c r="E796" i="1"/>
  <c r="B796" i="1"/>
  <c r="O795" i="1"/>
  <c r="E795" i="1"/>
  <c r="B795" i="1"/>
  <c r="O794" i="1"/>
  <c r="E794" i="1"/>
  <c r="B794" i="1"/>
  <c r="O793" i="1"/>
  <c r="E793" i="1"/>
  <c r="B793" i="1"/>
  <c r="O792" i="1"/>
  <c r="E792" i="1"/>
  <c r="B792" i="1"/>
  <c r="O791" i="1"/>
  <c r="E791" i="1"/>
  <c r="B791" i="1"/>
  <c r="O790" i="1"/>
  <c r="E790" i="1"/>
  <c r="B790" i="1"/>
  <c r="O789" i="1"/>
  <c r="E789" i="1"/>
  <c r="B789" i="1"/>
  <c r="O788" i="1"/>
  <c r="E788" i="1"/>
  <c r="B788" i="1"/>
  <c r="O787" i="1"/>
  <c r="E787" i="1"/>
  <c r="B787" i="1"/>
  <c r="O786" i="1"/>
  <c r="E786" i="1"/>
  <c r="B786" i="1"/>
  <c r="O785" i="1"/>
  <c r="E785" i="1"/>
  <c r="B785" i="1"/>
  <c r="O784" i="1"/>
  <c r="E784" i="1"/>
  <c r="B784" i="1"/>
  <c r="O783" i="1"/>
  <c r="E783" i="1"/>
  <c r="B783" i="1"/>
  <c r="O782" i="1"/>
  <c r="E782" i="1"/>
  <c r="B782" i="1"/>
  <c r="O781" i="1"/>
  <c r="E781" i="1"/>
  <c r="B781" i="1"/>
  <c r="O780" i="1"/>
  <c r="E780" i="1"/>
  <c r="B780" i="1"/>
  <c r="O779" i="1"/>
  <c r="E779" i="1"/>
  <c r="B779" i="1"/>
  <c r="O778" i="1"/>
  <c r="E778" i="1"/>
  <c r="B778" i="1"/>
  <c r="O777" i="1"/>
  <c r="E777" i="1"/>
  <c r="B777" i="1"/>
  <c r="O776" i="1"/>
  <c r="E776" i="1"/>
  <c r="B776" i="1"/>
  <c r="O775" i="1"/>
  <c r="E775" i="1"/>
  <c r="B775" i="1"/>
  <c r="O774" i="1"/>
  <c r="E774" i="1"/>
  <c r="B774" i="1"/>
  <c r="O773" i="1"/>
  <c r="E773" i="1"/>
  <c r="B773" i="1"/>
  <c r="O772" i="1"/>
  <c r="E772" i="1"/>
  <c r="B772" i="1"/>
  <c r="O771" i="1"/>
  <c r="E771" i="1"/>
  <c r="B771" i="1"/>
  <c r="O770" i="1"/>
  <c r="E770" i="1"/>
  <c r="B770" i="1"/>
  <c r="O769" i="1"/>
  <c r="E769" i="1"/>
  <c r="B769" i="1"/>
  <c r="O768" i="1"/>
  <c r="E768" i="1"/>
  <c r="B768" i="1"/>
  <c r="O767" i="1"/>
  <c r="E767" i="1"/>
  <c r="B767" i="1"/>
  <c r="O766" i="1"/>
  <c r="E766" i="1"/>
  <c r="B766" i="1"/>
  <c r="O765" i="1"/>
  <c r="E765" i="1"/>
  <c r="B765" i="1"/>
  <c r="O764" i="1"/>
  <c r="E764" i="1"/>
  <c r="B764" i="1"/>
  <c r="O763" i="1"/>
  <c r="E763" i="1"/>
  <c r="B763" i="1"/>
  <c r="O762" i="1"/>
  <c r="E762" i="1"/>
  <c r="B762" i="1"/>
  <c r="O761" i="1"/>
  <c r="E761" i="1"/>
  <c r="B761" i="1"/>
  <c r="O760" i="1"/>
  <c r="E760" i="1"/>
  <c r="B760" i="1"/>
  <c r="O759" i="1"/>
  <c r="E759" i="1"/>
  <c r="B759" i="1"/>
  <c r="O758" i="1"/>
  <c r="E758" i="1"/>
  <c r="B758" i="1"/>
  <c r="O757" i="1"/>
  <c r="E757" i="1"/>
  <c r="B757" i="1"/>
  <c r="O756" i="1"/>
  <c r="E756" i="1"/>
  <c r="B756" i="1"/>
  <c r="O755" i="1"/>
  <c r="E755" i="1"/>
  <c r="B755" i="1"/>
  <c r="O754" i="1"/>
  <c r="E754" i="1"/>
  <c r="B754" i="1"/>
  <c r="O753" i="1"/>
  <c r="E753" i="1"/>
  <c r="B753" i="1"/>
  <c r="O752" i="1"/>
  <c r="E752" i="1"/>
  <c r="B752" i="1"/>
  <c r="O751" i="1"/>
  <c r="E751" i="1"/>
  <c r="B751" i="1"/>
  <c r="O750" i="1"/>
  <c r="E750" i="1"/>
  <c r="B750" i="1"/>
  <c r="O749" i="1"/>
  <c r="E749" i="1"/>
  <c r="B749" i="1"/>
  <c r="O748" i="1"/>
  <c r="E748" i="1"/>
  <c r="B748" i="1"/>
  <c r="O747" i="1"/>
  <c r="E747" i="1"/>
  <c r="B747" i="1"/>
  <c r="O746" i="1"/>
  <c r="E746" i="1"/>
  <c r="B746" i="1"/>
  <c r="O745" i="1"/>
  <c r="E745" i="1"/>
  <c r="B745" i="1"/>
  <c r="O744" i="1"/>
  <c r="E744" i="1"/>
  <c r="B744" i="1"/>
  <c r="O743" i="1"/>
  <c r="E743" i="1"/>
  <c r="B743" i="1"/>
  <c r="O742" i="1"/>
  <c r="E742" i="1"/>
  <c r="B742" i="1"/>
  <c r="O741" i="1"/>
  <c r="E741" i="1"/>
  <c r="B741" i="1"/>
  <c r="O740" i="1"/>
  <c r="E740" i="1"/>
  <c r="B740" i="1"/>
  <c r="O739" i="1"/>
  <c r="E739" i="1"/>
  <c r="B739" i="1"/>
  <c r="O738" i="1"/>
  <c r="E738" i="1"/>
  <c r="B738" i="1"/>
  <c r="O737" i="1"/>
  <c r="E737" i="1"/>
  <c r="B737" i="1"/>
  <c r="O736" i="1"/>
  <c r="E736" i="1"/>
  <c r="B736" i="1"/>
  <c r="O735" i="1"/>
  <c r="E735" i="1"/>
  <c r="B735" i="1"/>
  <c r="O734" i="1"/>
  <c r="E734" i="1"/>
  <c r="B734" i="1"/>
  <c r="O733" i="1"/>
  <c r="E733" i="1"/>
  <c r="B733" i="1"/>
  <c r="O732" i="1"/>
  <c r="E732" i="1"/>
  <c r="B732" i="1"/>
  <c r="O731" i="1"/>
  <c r="E731" i="1"/>
  <c r="B731" i="1"/>
  <c r="O730" i="1"/>
  <c r="E730" i="1"/>
  <c r="B730" i="1"/>
  <c r="O729" i="1"/>
  <c r="E729" i="1"/>
  <c r="B729" i="1"/>
  <c r="O728" i="1"/>
  <c r="E728" i="1"/>
  <c r="B728" i="1"/>
  <c r="O727" i="1"/>
  <c r="E727" i="1"/>
  <c r="B727" i="1"/>
  <c r="O726" i="1"/>
  <c r="E726" i="1"/>
  <c r="B726" i="1"/>
  <c r="O725" i="1"/>
  <c r="E725" i="1"/>
  <c r="B725" i="1"/>
  <c r="O724" i="1"/>
  <c r="E724" i="1"/>
  <c r="B724" i="1"/>
  <c r="O723" i="1"/>
  <c r="E723" i="1"/>
  <c r="B723" i="1"/>
  <c r="O722" i="1"/>
  <c r="E722" i="1"/>
  <c r="B722" i="1"/>
  <c r="O721" i="1"/>
  <c r="E721" i="1"/>
  <c r="B721" i="1"/>
  <c r="O720" i="1"/>
  <c r="E720" i="1"/>
  <c r="B720" i="1"/>
  <c r="O719" i="1"/>
  <c r="E719" i="1"/>
  <c r="B719" i="1"/>
  <c r="O718" i="1"/>
  <c r="E718" i="1"/>
  <c r="B718" i="1"/>
  <c r="O717" i="1"/>
  <c r="E717" i="1"/>
  <c r="B717" i="1"/>
  <c r="O716" i="1"/>
  <c r="E716" i="1"/>
  <c r="B716" i="1"/>
  <c r="O715" i="1"/>
  <c r="E715" i="1"/>
  <c r="B715" i="1"/>
  <c r="O714" i="1"/>
  <c r="E714" i="1"/>
  <c r="B714" i="1"/>
  <c r="O713" i="1"/>
  <c r="E713" i="1"/>
  <c r="B713" i="1"/>
  <c r="O712" i="1"/>
  <c r="E712" i="1"/>
  <c r="B712" i="1"/>
  <c r="O711" i="1"/>
  <c r="E711" i="1"/>
  <c r="B711" i="1"/>
  <c r="O710" i="1"/>
  <c r="E710" i="1"/>
  <c r="B710" i="1"/>
  <c r="O709" i="1"/>
  <c r="E709" i="1"/>
  <c r="B709" i="1"/>
  <c r="O708" i="1"/>
  <c r="E708" i="1"/>
  <c r="B708" i="1"/>
  <c r="O707" i="1"/>
  <c r="E707" i="1"/>
  <c r="B707" i="1"/>
  <c r="O706" i="1"/>
  <c r="E706" i="1"/>
  <c r="B706" i="1"/>
  <c r="O705" i="1"/>
  <c r="E705" i="1"/>
  <c r="B705" i="1"/>
  <c r="O704" i="1"/>
  <c r="E704" i="1"/>
  <c r="B704" i="1"/>
  <c r="O703" i="1"/>
  <c r="E703" i="1"/>
  <c r="B703" i="1"/>
  <c r="O702" i="1"/>
  <c r="E702" i="1"/>
  <c r="B702" i="1"/>
  <c r="O701" i="1"/>
  <c r="E701" i="1"/>
  <c r="B701" i="1"/>
  <c r="O700" i="1"/>
  <c r="E700" i="1"/>
  <c r="B700" i="1"/>
  <c r="O699" i="1"/>
  <c r="E699" i="1"/>
  <c r="B699" i="1"/>
  <c r="O698" i="1"/>
  <c r="E698" i="1"/>
  <c r="B698" i="1"/>
  <c r="O697" i="1"/>
  <c r="E697" i="1"/>
  <c r="B697" i="1"/>
  <c r="O696" i="1"/>
  <c r="E696" i="1"/>
  <c r="B696" i="1"/>
  <c r="O695" i="1"/>
  <c r="E695" i="1"/>
  <c r="B695" i="1"/>
  <c r="O694" i="1"/>
  <c r="E694" i="1"/>
  <c r="B694" i="1"/>
  <c r="O693" i="1"/>
  <c r="E693" i="1"/>
  <c r="B693" i="1"/>
  <c r="O692" i="1"/>
  <c r="E692" i="1"/>
  <c r="B692" i="1"/>
  <c r="O691" i="1"/>
  <c r="E691" i="1"/>
  <c r="B691" i="1"/>
  <c r="O690" i="1"/>
  <c r="E690" i="1"/>
  <c r="B690" i="1"/>
  <c r="O689" i="1"/>
  <c r="E689" i="1"/>
  <c r="B689" i="1"/>
  <c r="O688" i="1"/>
  <c r="E688" i="1"/>
  <c r="B688" i="1"/>
  <c r="O687" i="1"/>
  <c r="E687" i="1"/>
  <c r="B687" i="1"/>
  <c r="O686" i="1"/>
  <c r="E686" i="1"/>
  <c r="B686" i="1"/>
  <c r="O685" i="1"/>
  <c r="E685" i="1"/>
  <c r="B685" i="1"/>
  <c r="O684" i="1"/>
  <c r="E684" i="1"/>
  <c r="B684" i="1"/>
  <c r="O683" i="1"/>
  <c r="E683" i="1"/>
  <c r="B683" i="1"/>
  <c r="O682" i="1"/>
  <c r="E682" i="1"/>
  <c r="B682" i="1"/>
  <c r="O681" i="1"/>
  <c r="E681" i="1"/>
  <c r="B681" i="1"/>
  <c r="O680" i="1"/>
  <c r="E680" i="1"/>
  <c r="B680" i="1"/>
  <c r="O679" i="1"/>
  <c r="E679" i="1"/>
  <c r="B679" i="1"/>
  <c r="O678" i="1"/>
  <c r="E678" i="1"/>
  <c r="B678" i="1"/>
  <c r="O677" i="1"/>
  <c r="E677" i="1"/>
  <c r="B677" i="1"/>
  <c r="O676" i="1"/>
  <c r="E676" i="1"/>
  <c r="B676" i="1"/>
  <c r="O675" i="1"/>
  <c r="E675" i="1"/>
  <c r="B675" i="1"/>
  <c r="O674" i="1"/>
  <c r="E674" i="1"/>
  <c r="B674" i="1"/>
  <c r="O673" i="1"/>
  <c r="E673" i="1"/>
  <c r="B673" i="1"/>
  <c r="O672" i="1"/>
  <c r="E672" i="1"/>
  <c r="B672" i="1"/>
  <c r="O671" i="1"/>
  <c r="E671" i="1"/>
  <c r="B671" i="1"/>
  <c r="O670" i="1"/>
  <c r="E670" i="1"/>
  <c r="B670" i="1"/>
  <c r="O669" i="1"/>
  <c r="E669" i="1"/>
  <c r="B669" i="1"/>
  <c r="O668" i="1"/>
  <c r="E668" i="1"/>
  <c r="B668" i="1"/>
  <c r="O667" i="1"/>
  <c r="E667" i="1"/>
  <c r="B667" i="1"/>
  <c r="O666" i="1"/>
  <c r="E666" i="1"/>
  <c r="B666" i="1"/>
  <c r="O665" i="1"/>
  <c r="E665" i="1"/>
  <c r="B665" i="1"/>
  <c r="O664" i="1"/>
  <c r="E664" i="1"/>
  <c r="B664" i="1"/>
  <c r="O663" i="1"/>
  <c r="E663" i="1"/>
  <c r="B663" i="1"/>
  <c r="O662" i="1"/>
  <c r="E662" i="1"/>
  <c r="B662" i="1"/>
  <c r="O661" i="1"/>
  <c r="E661" i="1"/>
  <c r="B661" i="1"/>
  <c r="O660" i="1"/>
  <c r="E660" i="1"/>
  <c r="B660" i="1"/>
  <c r="O659" i="1"/>
  <c r="E659" i="1"/>
  <c r="B659" i="1"/>
  <c r="O658" i="1"/>
  <c r="E658" i="1"/>
  <c r="B658" i="1"/>
  <c r="O657" i="1"/>
  <c r="E657" i="1"/>
  <c r="B657" i="1"/>
  <c r="O656" i="1"/>
  <c r="E656" i="1"/>
  <c r="B656" i="1"/>
  <c r="O655" i="1"/>
  <c r="E655" i="1"/>
  <c r="B655" i="1"/>
  <c r="O654" i="1"/>
  <c r="E654" i="1"/>
  <c r="B654" i="1"/>
  <c r="O653" i="1"/>
  <c r="E653" i="1"/>
  <c r="B653" i="1"/>
  <c r="O652" i="1"/>
  <c r="E652" i="1"/>
  <c r="B652" i="1"/>
  <c r="O651" i="1"/>
  <c r="E651" i="1"/>
  <c r="B651" i="1"/>
  <c r="O650" i="1"/>
  <c r="E650" i="1"/>
  <c r="B650" i="1"/>
  <c r="O649" i="1"/>
  <c r="E649" i="1"/>
  <c r="B649" i="1"/>
  <c r="O648" i="1"/>
  <c r="E648" i="1"/>
  <c r="B648" i="1"/>
  <c r="O647" i="1"/>
  <c r="E647" i="1"/>
  <c r="B647" i="1"/>
  <c r="O646" i="1"/>
  <c r="E646" i="1"/>
  <c r="B646" i="1"/>
  <c r="O645" i="1"/>
  <c r="E645" i="1"/>
  <c r="B645" i="1"/>
  <c r="O644" i="1"/>
  <c r="E644" i="1"/>
  <c r="B644" i="1"/>
  <c r="O643" i="1"/>
  <c r="E643" i="1"/>
  <c r="B643" i="1"/>
  <c r="O642" i="1"/>
  <c r="E642" i="1"/>
  <c r="B642" i="1"/>
  <c r="O641" i="1"/>
  <c r="E641" i="1"/>
  <c r="B641" i="1"/>
  <c r="O640" i="1"/>
  <c r="E640" i="1"/>
  <c r="B640" i="1"/>
  <c r="O639" i="1"/>
  <c r="E639" i="1"/>
  <c r="B639" i="1"/>
  <c r="O638" i="1"/>
  <c r="E638" i="1"/>
  <c r="B638" i="1"/>
  <c r="O637" i="1"/>
  <c r="E637" i="1"/>
  <c r="B637" i="1"/>
  <c r="O636" i="1"/>
  <c r="E636" i="1"/>
  <c r="B636" i="1"/>
  <c r="O635" i="1"/>
  <c r="E635" i="1"/>
  <c r="B635" i="1"/>
  <c r="O634" i="1"/>
  <c r="E634" i="1"/>
  <c r="B634" i="1"/>
  <c r="O633" i="1"/>
  <c r="E633" i="1"/>
  <c r="B633" i="1"/>
  <c r="O632" i="1"/>
  <c r="E632" i="1"/>
  <c r="B632" i="1"/>
  <c r="O631" i="1"/>
  <c r="E631" i="1"/>
  <c r="B631" i="1"/>
  <c r="O630" i="1"/>
  <c r="E630" i="1"/>
  <c r="B630" i="1"/>
  <c r="O629" i="1"/>
  <c r="E629" i="1"/>
  <c r="B629" i="1"/>
  <c r="O628" i="1"/>
  <c r="E628" i="1"/>
  <c r="B628" i="1"/>
  <c r="O627" i="1"/>
  <c r="E627" i="1"/>
  <c r="B627" i="1"/>
  <c r="O626" i="1"/>
  <c r="E626" i="1"/>
  <c r="B626" i="1"/>
  <c r="O625" i="1"/>
  <c r="E625" i="1"/>
  <c r="B625" i="1"/>
  <c r="O624" i="1"/>
  <c r="E624" i="1"/>
  <c r="B624" i="1"/>
  <c r="O623" i="1"/>
  <c r="E623" i="1"/>
  <c r="B623" i="1"/>
  <c r="O622" i="1"/>
  <c r="E622" i="1"/>
  <c r="B622" i="1"/>
  <c r="O621" i="1"/>
  <c r="E621" i="1"/>
  <c r="B621" i="1"/>
  <c r="O620" i="1"/>
  <c r="E620" i="1"/>
  <c r="B620" i="1"/>
  <c r="O619" i="1"/>
  <c r="E619" i="1"/>
  <c r="B619" i="1"/>
  <c r="O618" i="1"/>
  <c r="E618" i="1"/>
  <c r="B618" i="1"/>
  <c r="O617" i="1"/>
  <c r="E617" i="1"/>
  <c r="B617" i="1"/>
  <c r="O616" i="1"/>
  <c r="E616" i="1"/>
  <c r="B616" i="1"/>
  <c r="O615" i="1"/>
  <c r="E615" i="1"/>
  <c r="B615" i="1"/>
  <c r="O614" i="1"/>
  <c r="E614" i="1"/>
  <c r="B614" i="1"/>
  <c r="O613" i="1"/>
  <c r="E613" i="1"/>
  <c r="B613" i="1"/>
  <c r="O612" i="1"/>
  <c r="E612" i="1"/>
  <c r="B612" i="1"/>
  <c r="O611" i="1"/>
  <c r="E611" i="1"/>
  <c r="B611" i="1"/>
  <c r="O610" i="1"/>
  <c r="E610" i="1"/>
  <c r="B610" i="1"/>
  <c r="O609" i="1"/>
  <c r="E609" i="1"/>
  <c r="B609" i="1"/>
  <c r="O608" i="1"/>
  <c r="E608" i="1"/>
  <c r="B608" i="1"/>
  <c r="O607" i="1"/>
  <c r="E607" i="1"/>
  <c r="B607" i="1"/>
  <c r="O606" i="1"/>
  <c r="E606" i="1"/>
  <c r="B606" i="1"/>
  <c r="O605" i="1"/>
  <c r="E605" i="1"/>
  <c r="B605" i="1"/>
  <c r="O604" i="1"/>
  <c r="E604" i="1"/>
  <c r="B604" i="1"/>
  <c r="O603" i="1"/>
  <c r="E603" i="1"/>
  <c r="B603" i="1"/>
  <c r="O602" i="1"/>
  <c r="E602" i="1"/>
  <c r="B602" i="1"/>
  <c r="O601" i="1"/>
  <c r="E601" i="1"/>
  <c r="B601" i="1"/>
  <c r="O600" i="1"/>
  <c r="E600" i="1"/>
  <c r="B600" i="1"/>
  <c r="O599" i="1"/>
  <c r="E599" i="1"/>
  <c r="B599" i="1"/>
  <c r="O598" i="1"/>
  <c r="E598" i="1"/>
  <c r="B598" i="1"/>
  <c r="O597" i="1"/>
  <c r="E597" i="1"/>
  <c r="B597" i="1"/>
  <c r="O596" i="1"/>
  <c r="E596" i="1"/>
  <c r="B596" i="1"/>
  <c r="O595" i="1"/>
  <c r="E595" i="1"/>
  <c r="B595" i="1"/>
  <c r="O594" i="1"/>
  <c r="E594" i="1"/>
  <c r="B594" i="1"/>
  <c r="O593" i="1"/>
  <c r="E593" i="1"/>
  <c r="B593" i="1"/>
  <c r="O592" i="1"/>
  <c r="E592" i="1"/>
  <c r="B592" i="1"/>
  <c r="O591" i="1"/>
  <c r="E591" i="1"/>
  <c r="B591" i="1"/>
  <c r="O590" i="1"/>
  <c r="E590" i="1"/>
  <c r="B590" i="1"/>
  <c r="O589" i="1"/>
  <c r="E589" i="1"/>
  <c r="B589" i="1"/>
  <c r="O588" i="1"/>
  <c r="E588" i="1"/>
  <c r="B588" i="1"/>
  <c r="O587" i="1"/>
  <c r="E587" i="1"/>
  <c r="B587" i="1"/>
  <c r="O586" i="1"/>
  <c r="E586" i="1"/>
  <c r="B586" i="1"/>
  <c r="O585" i="1"/>
  <c r="E585" i="1"/>
  <c r="B585" i="1"/>
  <c r="O584" i="1"/>
  <c r="E584" i="1"/>
  <c r="B584" i="1"/>
  <c r="O583" i="1"/>
  <c r="E583" i="1"/>
  <c r="B583" i="1"/>
  <c r="O582" i="1"/>
  <c r="E582" i="1"/>
  <c r="B582" i="1"/>
  <c r="O581" i="1"/>
  <c r="E581" i="1"/>
  <c r="B581" i="1"/>
  <c r="O580" i="1"/>
  <c r="E580" i="1"/>
  <c r="B580" i="1"/>
  <c r="O579" i="1"/>
  <c r="E579" i="1"/>
  <c r="B579" i="1"/>
  <c r="O578" i="1"/>
  <c r="E578" i="1"/>
  <c r="B578" i="1"/>
  <c r="O577" i="1"/>
  <c r="E577" i="1"/>
  <c r="B577" i="1"/>
  <c r="O576" i="1"/>
  <c r="E576" i="1"/>
  <c r="B576" i="1"/>
  <c r="O575" i="1"/>
  <c r="E575" i="1"/>
  <c r="B575" i="1"/>
  <c r="O574" i="1"/>
  <c r="E574" i="1"/>
  <c r="B574" i="1"/>
  <c r="O573" i="1"/>
  <c r="E573" i="1"/>
  <c r="B573" i="1"/>
  <c r="O572" i="1"/>
  <c r="E572" i="1"/>
  <c r="B572" i="1"/>
  <c r="O571" i="1"/>
  <c r="E571" i="1"/>
  <c r="B571" i="1"/>
  <c r="O570" i="1"/>
  <c r="E570" i="1"/>
  <c r="B570" i="1"/>
  <c r="O569" i="1"/>
  <c r="E569" i="1"/>
  <c r="B569" i="1"/>
  <c r="O568" i="1"/>
  <c r="E568" i="1"/>
  <c r="B568" i="1"/>
  <c r="O567" i="1"/>
  <c r="E567" i="1"/>
  <c r="B567" i="1"/>
  <c r="O566" i="1"/>
  <c r="E566" i="1"/>
  <c r="B566" i="1"/>
  <c r="O565" i="1"/>
  <c r="E565" i="1"/>
  <c r="B565" i="1"/>
  <c r="O564" i="1"/>
  <c r="E564" i="1"/>
  <c r="B564" i="1"/>
  <c r="O563" i="1"/>
  <c r="E563" i="1"/>
  <c r="B563" i="1"/>
  <c r="O562" i="1"/>
  <c r="E562" i="1"/>
  <c r="B562" i="1"/>
  <c r="O561" i="1"/>
  <c r="E561" i="1"/>
  <c r="B561" i="1"/>
  <c r="O560" i="1"/>
  <c r="E560" i="1"/>
  <c r="B560" i="1"/>
  <c r="O559" i="1"/>
  <c r="E559" i="1"/>
  <c r="B559" i="1"/>
  <c r="O558" i="1"/>
  <c r="E558" i="1"/>
  <c r="B558" i="1"/>
  <c r="O557" i="1"/>
  <c r="E557" i="1"/>
  <c r="B557" i="1"/>
  <c r="O556" i="1"/>
  <c r="E556" i="1"/>
  <c r="B556" i="1"/>
  <c r="O555" i="1"/>
  <c r="E555" i="1"/>
  <c r="B555" i="1"/>
  <c r="O554" i="1"/>
  <c r="E554" i="1"/>
  <c r="B554" i="1"/>
  <c r="O553" i="1"/>
  <c r="E553" i="1"/>
  <c r="B553" i="1"/>
  <c r="O552" i="1"/>
  <c r="E552" i="1"/>
  <c r="B552" i="1"/>
  <c r="O551" i="1"/>
  <c r="E551" i="1"/>
  <c r="B551" i="1"/>
  <c r="O550" i="1"/>
  <c r="E550" i="1"/>
  <c r="B550" i="1"/>
  <c r="O549" i="1"/>
  <c r="E549" i="1"/>
  <c r="B549" i="1"/>
  <c r="O548" i="1"/>
  <c r="E548" i="1"/>
  <c r="B548" i="1"/>
  <c r="O547" i="1"/>
  <c r="E547" i="1"/>
  <c r="B547" i="1"/>
  <c r="O546" i="1"/>
  <c r="E546" i="1"/>
  <c r="B546" i="1"/>
  <c r="O545" i="1"/>
  <c r="E545" i="1"/>
  <c r="B545" i="1"/>
  <c r="O544" i="1"/>
  <c r="E544" i="1"/>
  <c r="B544" i="1"/>
  <c r="O543" i="1"/>
  <c r="E543" i="1"/>
  <c r="B543" i="1"/>
  <c r="O542" i="1"/>
  <c r="E542" i="1"/>
  <c r="B542" i="1"/>
  <c r="O541" i="1"/>
  <c r="E541" i="1"/>
  <c r="B541" i="1"/>
  <c r="O540" i="1"/>
  <c r="E540" i="1"/>
  <c r="B540" i="1"/>
  <c r="O539" i="1"/>
  <c r="E539" i="1"/>
  <c r="B539" i="1"/>
  <c r="O538" i="1"/>
  <c r="E538" i="1"/>
  <c r="B538" i="1"/>
  <c r="O537" i="1"/>
  <c r="E537" i="1"/>
  <c r="B537" i="1"/>
  <c r="O536" i="1"/>
  <c r="E536" i="1"/>
  <c r="B536" i="1"/>
  <c r="O535" i="1"/>
  <c r="E535" i="1"/>
  <c r="B535" i="1"/>
  <c r="O534" i="1"/>
  <c r="E534" i="1"/>
  <c r="B534" i="1"/>
  <c r="O533" i="1"/>
  <c r="E533" i="1"/>
  <c r="B533" i="1"/>
  <c r="O532" i="1"/>
  <c r="E532" i="1"/>
  <c r="B532" i="1"/>
  <c r="O531" i="1"/>
  <c r="E531" i="1"/>
  <c r="B531" i="1"/>
  <c r="O530" i="1"/>
  <c r="E530" i="1"/>
  <c r="B530" i="1"/>
  <c r="O529" i="1"/>
  <c r="E529" i="1"/>
  <c r="B529" i="1"/>
  <c r="O528" i="1"/>
  <c r="E528" i="1"/>
  <c r="B528" i="1"/>
  <c r="O527" i="1"/>
  <c r="E527" i="1"/>
  <c r="B527" i="1"/>
  <c r="O526" i="1"/>
  <c r="E526" i="1"/>
  <c r="B526" i="1"/>
  <c r="O525" i="1"/>
  <c r="E525" i="1"/>
  <c r="B525" i="1"/>
  <c r="O524" i="1"/>
  <c r="E524" i="1"/>
  <c r="B524" i="1"/>
  <c r="O523" i="1"/>
  <c r="E523" i="1"/>
  <c r="B523" i="1"/>
  <c r="O522" i="1"/>
  <c r="E522" i="1"/>
  <c r="B522" i="1"/>
  <c r="O521" i="1"/>
  <c r="E521" i="1"/>
  <c r="B521" i="1"/>
  <c r="O520" i="1"/>
  <c r="E520" i="1"/>
  <c r="B520" i="1"/>
  <c r="O519" i="1"/>
  <c r="E519" i="1"/>
  <c r="B519" i="1"/>
  <c r="O518" i="1"/>
  <c r="E518" i="1"/>
  <c r="B518" i="1"/>
  <c r="O517" i="1"/>
  <c r="E517" i="1"/>
  <c r="B517" i="1"/>
  <c r="O516" i="1"/>
  <c r="E516" i="1"/>
  <c r="B516" i="1"/>
  <c r="O515" i="1"/>
  <c r="E515" i="1"/>
  <c r="B515" i="1"/>
  <c r="O514" i="1"/>
  <c r="E514" i="1"/>
  <c r="B514" i="1"/>
  <c r="O513" i="1"/>
  <c r="E513" i="1"/>
  <c r="B513" i="1"/>
  <c r="O512" i="1"/>
  <c r="E512" i="1"/>
  <c r="B512" i="1"/>
  <c r="O511" i="1"/>
  <c r="E511" i="1"/>
  <c r="B511" i="1"/>
  <c r="O510" i="1"/>
  <c r="E510" i="1"/>
  <c r="B510" i="1"/>
  <c r="O509" i="1"/>
  <c r="E509" i="1"/>
  <c r="B509" i="1"/>
  <c r="O508" i="1"/>
  <c r="E508" i="1"/>
  <c r="B508" i="1"/>
  <c r="O507" i="1"/>
  <c r="E507" i="1"/>
  <c r="B507" i="1"/>
  <c r="O506" i="1"/>
  <c r="E506" i="1"/>
  <c r="B506" i="1"/>
  <c r="O505" i="1"/>
  <c r="E505" i="1"/>
  <c r="B505" i="1"/>
  <c r="O504" i="1"/>
  <c r="E504" i="1"/>
  <c r="B504" i="1"/>
  <c r="O503" i="1"/>
  <c r="E503" i="1"/>
  <c r="B503" i="1"/>
  <c r="O502" i="1"/>
  <c r="E502" i="1"/>
  <c r="B502" i="1"/>
  <c r="O501" i="1"/>
  <c r="E501" i="1"/>
  <c r="B501" i="1"/>
  <c r="O500" i="1"/>
  <c r="E500" i="1"/>
  <c r="B500" i="1"/>
  <c r="O499" i="1"/>
  <c r="E499" i="1"/>
  <c r="B499" i="1"/>
  <c r="O498" i="1"/>
  <c r="E498" i="1"/>
  <c r="B498" i="1"/>
  <c r="O497" i="1"/>
  <c r="E497" i="1"/>
  <c r="B497" i="1"/>
  <c r="O496" i="1"/>
  <c r="E496" i="1"/>
  <c r="B496" i="1"/>
  <c r="O495" i="1"/>
  <c r="E495" i="1"/>
  <c r="B495" i="1"/>
  <c r="O494" i="1"/>
  <c r="E494" i="1"/>
  <c r="B494" i="1"/>
  <c r="O493" i="1"/>
  <c r="E493" i="1"/>
  <c r="B493" i="1"/>
  <c r="O492" i="1"/>
  <c r="E492" i="1"/>
  <c r="B492" i="1"/>
  <c r="O491" i="1"/>
  <c r="E491" i="1"/>
  <c r="B491" i="1"/>
  <c r="O490" i="1"/>
  <c r="E490" i="1"/>
  <c r="B490" i="1"/>
  <c r="O489" i="1"/>
  <c r="E489" i="1"/>
  <c r="B489" i="1"/>
  <c r="O488" i="1"/>
  <c r="E488" i="1"/>
  <c r="B488" i="1"/>
  <c r="O487" i="1"/>
  <c r="E487" i="1"/>
  <c r="B487" i="1"/>
  <c r="O486" i="1"/>
  <c r="E486" i="1"/>
  <c r="B486" i="1"/>
  <c r="O485" i="1"/>
  <c r="E485" i="1"/>
  <c r="B485" i="1"/>
  <c r="O484" i="1"/>
  <c r="E484" i="1"/>
  <c r="B484" i="1"/>
  <c r="O483" i="1"/>
  <c r="E483" i="1"/>
  <c r="B483" i="1"/>
  <c r="O482" i="1"/>
  <c r="E482" i="1"/>
  <c r="B482" i="1"/>
  <c r="O481" i="1"/>
  <c r="E481" i="1"/>
  <c r="B481" i="1"/>
  <c r="O480" i="1"/>
  <c r="E480" i="1"/>
  <c r="B480" i="1"/>
  <c r="O479" i="1"/>
  <c r="E479" i="1"/>
  <c r="B479" i="1"/>
  <c r="O478" i="1"/>
  <c r="E478" i="1"/>
  <c r="B478" i="1"/>
  <c r="O477" i="1"/>
  <c r="E477" i="1"/>
  <c r="B477" i="1"/>
  <c r="O476" i="1"/>
  <c r="E476" i="1"/>
  <c r="B476" i="1"/>
  <c r="O475" i="1"/>
  <c r="E475" i="1"/>
  <c r="B475" i="1"/>
  <c r="O474" i="1"/>
  <c r="E474" i="1"/>
  <c r="B474" i="1"/>
  <c r="O473" i="1"/>
  <c r="E473" i="1"/>
  <c r="B473" i="1"/>
  <c r="O472" i="1"/>
  <c r="E472" i="1"/>
  <c r="B472" i="1"/>
  <c r="O471" i="1"/>
  <c r="E471" i="1"/>
  <c r="B471" i="1"/>
  <c r="O470" i="1"/>
  <c r="E470" i="1"/>
  <c r="B470" i="1"/>
  <c r="O469" i="1"/>
  <c r="E469" i="1"/>
  <c r="B469" i="1"/>
  <c r="O468" i="1"/>
  <c r="E468" i="1"/>
  <c r="B468" i="1"/>
  <c r="O467" i="1"/>
  <c r="E467" i="1"/>
  <c r="B467" i="1"/>
  <c r="O466" i="1"/>
  <c r="E466" i="1"/>
  <c r="B466" i="1"/>
  <c r="O465" i="1"/>
  <c r="E465" i="1"/>
  <c r="B465" i="1"/>
  <c r="O464" i="1"/>
  <c r="E464" i="1"/>
  <c r="B464" i="1"/>
  <c r="O463" i="1"/>
  <c r="E463" i="1"/>
  <c r="B463" i="1"/>
  <c r="O462" i="1"/>
  <c r="E462" i="1"/>
  <c r="B462" i="1"/>
  <c r="O461" i="1"/>
  <c r="E461" i="1"/>
  <c r="B461" i="1"/>
  <c r="O460" i="1"/>
  <c r="E460" i="1"/>
  <c r="B460" i="1"/>
  <c r="O459" i="1"/>
  <c r="E459" i="1"/>
  <c r="B459" i="1"/>
  <c r="O458" i="1"/>
  <c r="E458" i="1"/>
  <c r="B458" i="1"/>
  <c r="O457" i="1"/>
  <c r="E457" i="1"/>
  <c r="B457" i="1"/>
  <c r="O456" i="1"/>
  <c r="E456" i="1"/>
  <c r="B456" i="1"/>
  <c r="O455" i="1"/>
  <c r="E455" i="1"/>
  <c r="B455" i="1"/>
  <c r="O454" i="1"/>
  <c r="E454" i="1"/>
  <c r="B454" i="1"/>
  <c r="O453" i="1"/>
  <c r="E453" i="1"/>
  <c r="B453" i="1"/>
  <c r="O452" i="1"/>
  <c r="E452" i="1"/>
  <c r="B452" i="1"/>
  <c r="O451" i="1"/>
  <c r="E451" i="1"/>
  <c r="B451" i="1"/>
  <c r="O450" i="1"/>
  <c r="E450" i="1"/>
  <c r="B450" i="1"/>
  <c r="O449" i="1"/>
  <c r="E449" i="1"/>
  <c r="B449" i="1"/>
  <c r="O448" i="1"/>
  <c r="E448" i="1"/>
  <c r="B448" i="1"/>
  <c r="O447" i="1"/>
  <c r="E447" i="1"/>
  <c r="B447" i="1"/>
  <c r="O446" i="1"/>
  <c r="E446" i="1"/>
  <c r="B446" i="1"/>
  <c r="O445" i="1"/>
  <c r="E445" i="1"/>
  <c r="B445" i="1"/>
  <c r="O444" i="1"/>
  <c r="E444" i="1"/>
  <c r="B444" i="1"/>
  <c r="O443" i="1"/>
  <c r="E443" i="1"/>
  <c r="B443" i="1"/>
  <c r="O442" i="1"/>
  <c r="E442" i="1"/>
  <c r="B442" i="1"/>
  <c r="O441" i="1"/>
  <c r="E441" i="1"/>
  <c r="B441" i="1"/>
  <c r="O440" i="1"/>
  <c r="E440" i="1"/>
  <c r="B440" i="1"/>
  <c r="O439" i="1"/>
  <c r="E439" i="1"/>
  <c r="B439" i="1"/>
  <c r="O438" i="1"/>
  <c r="E438" i="1"/>
  <c r="B438" i="1"/>
  <c r="O437" i="1"/>
  <c r="E437" i="1"/>
  <c r="B437" i="1"/>
  <c r="O436" i="1"/>
  <c r="E436" i="1"/>
  <c r="B436" i="1"/>
  <c r="O435" i="1"/>
  <c r="E435" i="1"/>
  <c r="B435" i="1"/>
  <c r="O434" i="1"/>
  <c r="E434" i="1"/>
  <c r="B434" i="1"/>
  <c r="O433" i="1"/>
  <c r="E433" i="1"/>
  <c r="B433" i="1"/>
  <c r="O432" i="1"/>
  <c r="E432" i="1"/>
  <c r="B432" i="1"/>
  <c r="O431" i="1"/>
  <c r="E431" i="1"/>
  <c r="B431" i="1"/>
  <c r="O430" i="1"/>
  <c r="E430" i="1"/>
  <c r="B430" i="1"/>
  <c r="O429" i="1"/>
  <c r="E429" i="1"/>
  <c r="B429" i="1"/>
  <c r="O428" i="1"/>
  <c r="E428" i="1"/>
  <c r="B428" i="1"/>
  <c r="O427" i="1"/>
  <c r="E427" i="1"/>
  <c r="B427" i="1"/>
  <c r="O426" i="1"/>
  <c r="E426" i="1"/>
  <c r="B426" i="1"/>
  <c r="O425" i="1"/>
  <c r="E425" i="1"/>
  <c r="B425" i="1"/>
  <c r="O424" i="1"/>
  <c r="E424" i="1"/>
  <c r="B424" i="1"/>
  <c r="O423" i="1"/>
  <c r="E423" i="1"/>
  <c r="B423" i="1"/>
  <c r="O422" i="1"/>
  <c r="E422" i="1"/>
  <c r="B422" i="1"/>
  <c r="O421" i="1"/>
  <c r="E421" i="1"/>
  <c r="B421" i="1"/>
  <c r="O420" i="1"/>
  <c r="E420" i="1"/>
  <c r="B420" i="1"/>
  <c r="O419" i="1"/>
  <c r="E419" i="1"/>
  <c r="B419" i="1"/>
  <c r="O418" i="1"/>
  <c r="E418" i="1"/>
  <c r="B418" i="1"/>
  <c r="O417" i="1"/>
  <c r="E417" i="1"/>
  <c r="B417" i="1"/>
  <c r="O416" i="1"/>
  <c r="E416" i="1"/>
  <c r="B416" i="1"/>
  <c r="O415" i="1"/>
  <c r="E415" i="1"/>
  <c r="B415" i="1"/>
  <c r="O414" i="1"/>
  <c r="E414" i="1"/>
  <c r="B414" i="1"/>
  <c r="O413" i="1"/>
  <c r="E413" i="1"/>
  <c r="B413" i="1"/>
  <c r="O412" i="1"/>
  <c r="E412" i="1"/>
  <c r="B412" i="1"/>
  <c r="O411" i="1"/>
  <c r="E411" i="1"/>
  <c r="B411" i="1"/>
  <c r="O410" i="1"/>
  <c r="E410" i="1"/>
  <c r="B410" i="1"/>
  <c r="O409" i="1"/>
  <c r="E409" i="1"/>
  <c r="B409" i="1"/>
  <c r="O408" i="1"/>
  <c r="E408" i="1"/>
  <c r="B408" i="1"/>
  <c r="O407" i="1"/>
  <c r="E407" i="1"/>
  <c r="B407" i="1"/>
  <c r="O406" i="1"/>
  <c r="E406" i="1"/>
  <c r="B406" i="1"/>
  <c r="O405" i="1"/>
  <c r="E405" i="1"/>
  <c r="B405" i="1"/>
  <c r="O404" i="1"/>
  <c r="E404" i="1"/>
  <c r="B404" i="1"/>
  <c r="O403" i="1"/>
  <c r="E403" i="1"/>
  <c r="B403" i="1"/>
  <c r="O402" i="1"/>
  <c r="E402" i="1"/>
  <c r="B402" i="1"/>
  <c r="O401" i="1"/>
  <c r="E401" i="1"/>
  <c r="B401" i="1"/>
  <c r="O400" i="1"/>
  <c r="E400" i="1"/>
  <c r="B400" i="1"/>
  <c r="O399" i="1"/>
  <c r="E399" i="1"/>
  <c r="B399" i="1"/>
  <c r="O398" i="1"/>
  <c r="E398" i="1"/>
  <c r="B398" i="1"/>
  <c r="O397" i="1"/>
  <c r="E397" i="1"/>
  <c r="B397" i="1"/>
  <c r="O396" i="1"/>
  <c r="E396" i="1"/>
  <c r="B396" i="1"/>
  <c r="O395" i="1"/>
  <c r="E395" i="1"/>
  <c r="B395" i="1"/>
  <c r="O394" i="1"/>
  <c r="E394" i="1"/>
  <c r="B394" i="1"/>
  <c r="O393" i="1"/>
  <c r="E393" i="1"/>
  <c r="B393" i="1"/>
  <c r="O392" i="1"/>
  <c r="E392" i="1"/>
  <c r="B392" i="1"/>
  <c r="O391" i="1"/>
  <c r="E391" i="1"/>
  <c r="B391" i="1"/>
  <c r="O390" i="1"/>
  <c r="E390" i="1"/>
  <c r="B390" i="1"/>
  <c r="O389" i="1"/>
  <c r="E389" i="1"/>
  <c r="B389" i="1"/>
  <c r="O388" i="1"/>
  <c r="E388" i="1"/>
  <c r="B388" i="1"/>
  <c r="O387" i="1"/>
  <c r="E387" i="1"/>
  <c r="B387" i="1"/>
  <c r="O386" i="1"/>
  <c r="E386" i="1"/>
  <c r="B386" i="1"/>
  <c r="O385" i="1"/>
  <c r="E385" i="1"/>
  <c r="B385" i="1"/>
  <c r="O384" i="1"/>
  <c r="E384" i="1"/>
  <c r="B384" i="1"/>
  <c r="O383" i="1"/>
  <c r="E383" i="1"/>
  <c r="B383" i="1"/>
  <c r="O382" i="1"/>
  <c r="E382" i="1"/>
  <c r="B382" i="1"/>
  <c r="O381" i="1"/>
  <c r="E381" i="1"/>
  <c r="B381" i="1"/>
  <c r="O380" i="1"/>
  <c r="E380" i="1"/>
  <c r="B380" i="1"/>
  <c r="O379" i="1"/>
  <c r="E379" i="1"/>
  <c r="B379" i="1"/>
  <c r="O378" i="1"/>
  <c r="E378" i="1"/>
  <c r="B378" i="1"/>
  <c r="O377" i="1"/>
  <c r="E377" i="1"/>
  <c r="B377" i="1"/>
  <c r="O376" i="1"/>
  <c r="E376" i="1"/>
  <c r="B376" i="1"/>
  <c r="O375" i="1"/>
  <c r="E375" i="1"/>
  <c r="B375" i="1"/>
  <c r="O374" i="1"/>
  <c r="E374" i="1"/>
  <c r="B374" i="1"/>
  <c r="O373" i="1"/>
  <c r="E373" i="1"/>
  <c r="B373" i="1"/>
  <c r="O372" i="1"/>
  <c r="E372" i="1"/>
  <c r="B372" i="1"/>
  <c r="O371" i="1"/>
  <c r="E371" i="1"/>
  <c r="B371" i="1"/>
  <c r="O370" i="1"/>
  <c r="E370" i="1"/>
  <c r="B370" i="1"/>
  <c r="O369" i="1"/>
  <c r="E369" i="1"/>
  <c r="B369" i="1"/>
  <c r="O368" i="1"/>
  <c r="E368" i="1"/>
  <c r="B368" i="1"/>
  <c r="O367" i="1"/>
  <c r="E367" i="1"/>
  <c r="B367" i="1"/>
  <c r="O366" i="1"/>
  <c r="E366" i="1"/>
  <c r="B366" i="1"/>
  <c r="O365" i="1"/>
  <c r="E365" i="1"/>
  <c r="B365" i="1"/>
  <c r="O364" i="1"/>
  <c r="E364" i="1"/>
  <c r="B364" i="1"/>
  <c r="O363" i="1"/>
  <c r="E363" i="1"/>
  <c r="B363" i="1"/>
  <c r="O362" i="1"/>
  <c r="E362" i="1"/>
  <c r="B362" i="1"/>
  <c r="O361" i="1"/>
  <c r="E361" i="1"/>
  <c r="B361" i="1"/>
  <c r="O360" i="1"/>
  <c r="E360" i="1"/>
  <c r="B360" i="1"/>
  <c r="O359" i="1"/>
  <c r="E359" i="1"/>
  <c r="B359" i="1"/>
  <c r="O358" i="1"/>
  <c r="E358" i="1"/>
  <c r="B358" i="1"/>
  <c r="O357" i="1"/>
  <c r="E357" i="1"/>
  <c r="B357" i="1"/>
  <c r="O356" i="1"/>
  <c r="E356" i="1"/>
  <c r="B356" i="1"/>
  <c r="O355" i="1"/>
  <c r="E355" i="1"/>
  <c r="B355" i="1"/>
  <c r="O354" i="1"/>
  <c r="E354" i="1"/>
  <c r="B354" i="1"/>
  <c r="O353" i="1"/>
  <c r="E353" i="1"/>
  <c r="B353" i="1"/>
  <c r="O352" i="1"/>
  <c r="E352" i="1"/>
  <c r="B352" i="1"/>
  <c r="O351" i="1"/>
  <c r="E351" i="1"/>
  <c r="B351" i="1"/>
  <c r="O350" i="1"/>
  <c r="E350" i="1"/>
  <c r="B350" i="1"/>
  <c r="O349" i="1"/>
  <c r="E349" i="1"/>
  <c r="B349" i="1"/>
  <c r="O348" i="1"/>
  <c r="E348" i="1"/>
  <c r="B348" i="1"/>
  <c r="O347" i="1"/>
  <c r="E347" i="1"/>
  <c r="B347" i="1"/>
  <c r="O346" i="1"/>
  <c r="E346" i="1"/>
  <c r="B346" i="1"/>
  <c r="O345" i="1"/>
  <c r="E345" i="1"/>
  <c r="B345" i="1"/>
  <c r="O344" i="1"/>
  <c r="E344" i="1"/>
  <c r="B344" i="1"/>
  <c r="O343" i="1"/>
  <c r="E343" i="1"/>
  <c r="B343" i="1"/>
  <c r="O342" i="1"/>
  <c r="E342" i="1"/>
  <c r="B342" i="1"/>
  <c r="O341" i="1"/>
  <c r="E341" i="1"/>
  <c r="B341" i="1"/>
  <c r="O340" i="1"/>
  <c r="E340" i="1"/>
  <c r="B340" i="1"/>
  <c r="O339" i="1"/>
  <c r="E339" i="1"/>
  <c r="B339" i="1"/>
  <c r="O338" i="1"/>
  <c r="E338" i="1"/>
  <c r="B338" i="1"/>
  <c r="O337" i="1"/>
  <c r="E337" i="1"/>
  <c r="B337" i="1"/>
  <c r="O336" i="1"/>
  <c r="E336" i="1"/>
  <c r="B336" i="1"/>
  <c r="O335" i="1"/>
  <c r="E335" i="1"/>
  <c r="B335" i="1"/>
  <c r="O334" i="1"/>
  <c r="E334" i="1"/>
  <c r="B334" i="1"/>
  <c r="O333" i="1"/>
  <c r="E333" i="1"/>
  <c r="B333" i="1"/>
  <c r="O332" i="1"/>
  <c r="E332" i="1"/>
  <c r="B332" i="1"/>
  <c r="O331" i="1"/>
  <c r="E331" i="1"/>
  <c r="B331" i="1"/>
  <c r="O330" i="1"/>
  <c r="E330" i="1"/>
  <c r="B330" i="1"/>
  <c r="O329" i="1"/>
  <c r="E329" i="1"/>
  <c r="B329" i="1"/>
  <c r="O328" i="1"/>
  <c r="E328" i="1"/>
  <c r="B328" i="1"/>
  <c r="O327" i="1"/>
  <c r="E327" i="1"/>
  <c r="B327" i="1"/>
  <c r="O326" i="1"/>
  <c r="E326" i="1"/>
  <c r="B326" i="1"/>
  <c r="O325" i="1"/>
  <c r="E325" i="1"/>
  <c r="B325" i="1"/>
  <c r="O324" i="1"/>
  <c r="E324" i="1"/>
  <c r="B324" i="1"/>
  <c r="O323" i="1"/>
  <c r="E323" i="1"/>
  <c r="B323" i="1"/>
  <c r="O322" i="1"/>
  <c r="E322" i="1"/>
  <c r="B322" i="1"/>
  <c r="O321" i="1"/>
  <c r="E321" i="1"/>
  <c r="B321" i="1"/>
  <c r="O320" i="1"/>
  <c r="E320" i="1"/>
  <c r="B320" i="1"/>
  <c r="O319" i="1"/>
  <c r="E319" i="1"/>
  <c r="B319" i="1"/>
  <c r="O318" i="1"/>
  <c r="E318" i="1"/>
  <c r="B318" i="1"/>
  <c r="O317" i="1"/>
  <c r="E317" i="1"/>
  <c r="B317" i="1"/>
  <c r="O316" i="1"/>
  <c r="E316" i="1"/>
  <c r="B316" i="1"/>
  <c r="O315" i="1"/>
  <c r="E315" i="1"/>
  <c r="B315" i="1"/>
  <c r="O314" i="1"/>
  <c r="E314" i="1"/>
  <c r="B314" i="1"/>
  <c r="O313" i="1"/>
  <c r="E313" i="1"/>
  <c r="B313" i="1"/>
  <c r="O312" i="1"/>
  <c r="E312" i="1"/>
  <c r="B312" i="1"/>
  <c r="O311" i="1"/>
  <c r="E311" i="1"/>
  <c r="B311" i="1"/>
  <c r="O310" i="1"/>
  <c r="E310" i="1"/>
  <c r="B310" i="1"/>
  <c r="O309" i="1"/>
  <c r="E309" i="1"/>
  <c r="B309" i="1"/>
  <c r="O308" i="1"/>
  <c r="E308" i="1"/>
  <c r="B308" i="1"/>
  <c r="O307" i="1"/>
  <c r="E307" i="1"/>
  <c r="B307" i="1"/>
  <c r="O306" i="1"/>
  <c r="E306" i="1"/>
  <c r="B306" i="1"/>
  <c r="O305" i="1"/>
  <c r="E305" i="1"/>
  <c r="B305" i="1"/>
  <c r="O304" i="1"/>
  <c r="E304" i="1"/>
  <c r="B304" i="1"/>
  <c r="O303" i="1"/>
  <c r="E303" i="1"/>
  <c r="B303" i="1"/>
  <c r="O302" i="1"/>
  <c r="E302" i="1"/>
  <c r="B302" i="1"/>
  <c r="O301" i="1"/>
  <c r="E301" i="1"/>
  <c r="B301" i="1"/>
  <c r="O300" i="1"/>
  <c r="E300" i="1"/>
  <c r="B300" i="1"/>
  <c r="O299" i="1"/>
  <c r="E299" i="1"/>
  <c r="B299" i="1"/>
  <c r="O298" i="1"/>
  <c r="E298" i="1"/>
  <c r="B298" i="1"/>
  <c r="O297" i="1"/>
  <c r="E297" i="1"/>
  <c r="B297" i="1"/>
  <c r="O296" i="1"/>
  <c r="E296" i="1"/>
  <c r="B296" i="1"/>
  <c r="O295" i="1"/>
  <c r="E295" i="1"/>
  <c r="B295" i="1"/>
  <c r="O294" i="1"/>
  <c r="E294" i="1"/>
  <c r="B294" i="1"/>
  <c r="O293" i="1"/>
  <c r="E293" i="1"/>
  <c r="B293" i="1"/>
  <c r="O292" i="1"/>
  <c r="E292" i="1"/>
  <c r="B292" i="1"/>
  <c r="O291" i="1"/>
  <c r="E291" i="1"/>
  <c r="B291" i="1"/>
  <c r="O290" i="1"/>
  <c r="E290" i="1"/>
  <c r="B290" i="1"/>
  <c r="O289" i="1"/>
  <c r="E289" i="1"/>
  <c r="B289" i="1"/>
  <c r="O288" i="1"/>
  <c r="E288" i="1"/>
  <c r="B288" i="1"/>
  <c r="O287" i="1"/>
  <c r="E287" i="1"/>
  <c r="B287" i="1"/>
  <c r="O286" i="1"/>
  <c r="E286" i="1"/>
  <c r="B286" i="1"/>
  <c r="O285" i="1"/>
  <c r="E285" i="1"/>
  <c r="B285" i="1"/>
  <c r="O284" i="1"/>
  <c r="E284" i="1"/>
  <c r="B284" i="1"/>
  <c r="O283" i="1"/>
  <c r="E283" i="1"/>
  <c r="B283" i="1"/>
  <c r="O282" i="1"/>
  <c r="E282" i="1"/>
  <c r="B282" i="1"/>
  <c r="O281" i="1"/>
  <c r="E281" i="1"/>
  <c r="B281" i="1"/>
  <c r="O280" i="1"/>
  <c r="E280" i="1"/>
  <c r="B280" i="1"/>
  <c r="O279" i="1"/>
  <c r="E279" i="1"/>
  <c r="B279" i="1"/>
  <c r="O278" i="1"/>
  <c r="E278" i="1"/>
  <c r="B278" i="1"/>
  <c r="O277" i="1"/>
  <c r="E277" i="1"/>
  <c r="B277" i="1"/>
  <c r="O276" i="1"/>
  <c r="E276" i="1"/>
  <c r="B276" i="1"/>
  <c r="O275" i="1"/>
  <c r="E275" i="1"/>
  <c r="B275" i="1"/>
  <c r="O274" i="1"/>
  <c r="E274" i="1"/>
  <c r="B274" i="1"/>
  <c r="O273" i="1"/>
  <c r="E273" i="1"/>
  <c r="B273" i="1"/>
  <c r="O272" i="1"/>
  <c r="E272" i="1"/>
  <c r="B272" i="1"/>
  <c r="O271" i="1"/>
  <c r="E271" i="1"/>
  <c r="B271" i="1"/>
  <c r="O270" i="1"/>
  <c r="E270" i="1"/>
  <c r="B270" i="1"/>
  <c r="O269" i="1"/>
  <c r="E269" i="1"/>
  <c r="B269" i="1"/>
  <c r="O268" i="1"/>
  <c r="E268" i="1"/>
  <c r="B268" i="1"/>
  <c r="O267" i="1"/>
  <c r="E267" i="1"/>
  <c r="B267" i="1"/>
  <c r="O266" i="1"/>
  <c r="E266" i="1"/>
  <c r="B266" i="1"/>
  <c r="O265" i="1"/>
  <c r="E265" i="1"/>
  <c r="B265" i="1"/>
  <c r="O264" i="1"/>
  <c r="E264" i="1"/>
  <c r="B264" i="1"/>
  <c r="O263" i="1"/>
  <c r="E263" i="1"/>
  <c r="B263" i="1"/>
  <c r="O262" i="1"/>
  <c r="E262" i="1"/>
  <c r="B262" i="1"/>
  <c r="O261" i="1"/>
  <c r="E261" i="1"/>
  <c r="B261" i="1"/>
  <c r="O260" i="1"/>
  <c r="E260" i="1"/>
  <c r="B260" i="1"/>
  <c r="O259" i="1"/>
  <c r="E259" i="1"/>
  <c r="B259" i="1"/>
  <c r="O258" i="1"/>
  <c r="E258" i="1"/>
  <c r="B258" i="1"/>
  <c r="O257" i="1"/>
  <c r="E257" i="1"/>
  <c r="B257" i="1"/>
  <c r="O256" i="1"/>
  <c r="E256" i="1"/>
  <c r="B256" i="1"/>
  <c r="O255" i="1"/>
  <c r="E255" i="1"/>
  <c r="B255" i="1"/>
  <c r="O254" i="1"/>
  <c r="E254" i="1"/>
  <c r="B254" i="1"/>
  <c r="O253" i="1"/>
  <c r="E253" i="1"/>
  <c r="B253" i="1"/>
  <c r="O252" i="1"/>
  <c r="E252" i="1"/>
  <c r="B252" i="1"/>
  <c r="O251" i="1"/>
  <c r="E251" i="1"/>
  <c r="B251" i="1"/>
  <c r="O250" i="1"/>
  <c r="E250" i="1"/>
  <c r="B250" i="1"/>
  <c r="O249" i="1"/>
  <c r="E249" i="1"/>
  <c r="B249" i="1"/>
  <c r="O248" i="1"/>
  <c r="E248" i="1"/>
  <c r="B248" i="1"/>
  <c r="O247" i="1"/>
  <c r="E247" i="1"/>
  <c r="B247" i="1"/>
  <c r="O246" i="1"/>
  <c r="E246" i="1"/>
  <c r="B246" i="1"/>
  <c r="O245" i="1"/>
  <c r="E245" i="1"/>
  <c r="B245" i="1"/>
  <c r="O244" i="1"/>
  <c r="E244" i="1"/>
  <c r="B244" i="1"/>
  <c r="O243" i="1"/>
  <c r="E243" i="1"/>
  <c r="B243" i="1"/>
  <c r="O242" i="1"/>
  <c r="E242" i="1"/>
  <c r="B242" i="1"/>
  <c r="O241" i="1"/>
  <c r="E241" i="1"/>
  <c r="B241" i="1"/>
  <c r="O240" i="1"/>
  <c r="E240" i="1"/>
  <c r="B240" i="1"/>
  <c r="O239" i="1"/>
  <c r="E239" i="1"/>
  <c r="B239" i="1"/>
  <c r="O238" i="1"/>
  <c r="E238" i="1"/>
  <c r="B238" i="1"/>
  <c r="O237" i="1"/>
  <c r="E237" i="1"/>
  <c r="B237" i="1"/>
  <c r="O236" i="1"/>
  <c r="E236" i="1"/>
  <c r="B236" i="1"/>
  <c r="O235" i="1"/>
  <c r="E235" i="1"/>
  <c r="B235" i="1"/>
  <c r="O234" i="1"/>
  <c r="E234" i="1"/>
  <c r="B234" i="1"/>
  <c r="O233" i="1"/>
  <c r="E233" i="1"/>
  <c r="B233" i="1"/>
  <c r="O232" i="1"/>
  <c r="E232" i="1"/>
  <c r="B232" i="1"/>
  <c r="O231" i="1"/>
  <c r="E231" i="1"/>
  <c r="B231" i="1"/>
  <c r="O230" i="1"/>
  <c r="E230" i="1"/>
  <c r="B230" i="1"/>
  <c r="O229" i="1"/>
  <c r="E229" i="1"/>
  <c r="B229" i="1"/>
  <c r="O228" i="1"/>
  <c r="E228" i="1"/>
  <c r="B228" i="1"/>
  <c r="O227" i="1"/>
  <c r="E227" i="1"/>
  <c r="B227" i="1"/>
  <c r="O226" i="1"/>
  <c r="E226" i="1"/>
  <c r="B226" i="1"/>
  <c r="O225" i="1"/>
  <c r="E225" i="1"/>
  <c r="B225" i="1"/>
  <c r="O224" i="1"/>
  <c r="E224" i="1"/>
  <c r="B224" i="1"/>
  <c r="O223" i="1"/>
  <c r="E223" i="1"/>
  <c r="B223" i="1"/>
  <c r="O222" i="1"/>
  <c r="E222" i="1"/>
  <c r="B222" i="1"/>
  <c r="O221" i="1"/>
  <c r="E221" i="1"/>
  <c r="B221" i="1"/>
  <c r="O220" i="1"/>
  <c r="E220" i="1"/>
  <c r="B220" i="1"/>
  <c r="O219" i="1"/>
  <c r="E219" i="1"/>
  <c r="B219" i="1"/>
  <c r="O218" i="1"/>
  <c r="E218" i="1"/>
  <c r="B218" i="1"/>
  <c r="O217" i="1"/>
  <c r="E217" i="1"/>
  <c r="B217" i="1"/>
  <c r="O216" i="1"/>
  <c r="E216" i="1"/>
  <c r="B216" i="1"/>
  <c r="O215" i="1"/>
  <c r="E215" i="1"/>
  <c r="B215" i="1"/>
  <c r="O214" i="1"/>
  <c r="E214" i="1"/>
  <c r="B214" i="1"/>
  <c r="O213" i="1"/>
  <c r="E213" i="1"/>
  <c r="B213" i="1"/>
  <c r="O212" i="1"/>
  <c r="E212" i="1"/>
  <c r="B212" i="1"/>
  <c r="O211" i="1"/>
  <c r="E211" i="1"/>
  <c r="B211" i="1"/>
  <c r="O210" i="1"/>
  <c r="E210" i="1"/>
  <c r="B210" i="1"/>
  <c r="O209" i="1"/>
  <c r="E209" i="1"/>
  <c r="B209" i="1"/>
  <c r="O208" i="1"/>
  <c r="E208" i="1"/>
  <c r="B208" i="1"/>
  <c r="O207" i="1"/>
  <c r="E207" i="1"/>
  <c r="B207" i="1"/>
  <c r="O206" i="1"/>
  <c r="E206" i="1"/>
  <c r="B206" i="1"/>
  <c r="O205" i="1"/>
  <c r="E205" i="1"/>
  <c r="B205" i="1"/>
  <c r="O204" i="1"/>
  <c r="E204" i="1"/>
  <c r="B204" i="1"/>
  <c r="O203" i="1"/>
  <c r="E203" i="1"/>
  <c r="B203" i="1"/>
  <c r="O202" i="1"/>
  <c r="E202" i="1"/>
  <c r="B202" i="1"/>
  <c r="O201" i="1"/>
  <c r="E201" i="1"/>
  <c r="B201" i="1"/>
  <c r="O200" i="1"/>
  <c r="E200" i="1"/>
  <c r="B200" i="1"/>
  <c r="O199" i="1"/>
  <c r="E199" i="1"/>
  <c r="B199" i="1"/>
  <c r="O198" i="1"/>
  <c r="E198" i="1"/>
  <c r="B198" i="1"/>
  <c r="O197" i="1"/>
  <c r="E197" i="1"/>
  <c r="B197" i="1"/>
  <c r="O196" i="1"/>
  <c r="E196" i="1"/>
  <c r="B196" i="1"/>
  <c r="O195" i="1"/>
  <c r="E195" i="1"/>
  <c r="B195" i="1"/>
  <c r="O194" i="1"/>
  <c r="E194" i="1"/>
  <c r="B194" i="1"/>
  <c r="O193" i="1"/>
  <c r="E193" i="1"/>
  <c r="B193" i="1"/>
  <c r="O192" i="1"/>
  <c r="E192" i="1"/>
  <c r="B192" i="1"/>
  <c r="O191" i="1"/>
  <c r="E191" i="1"/>
  <c r="B191" i="1"/>
  <c r="O190" i="1"/>
  <c r="E190" i="1"/>
  <c r="B190" i="1"/>
  <c r="O189" i="1"/>
  <c r="E189" i="1"/>
  <c r="B189" i="1"/>
  <c r="O188" i="1"/>
  <c r="E188" i="1"/>
  <c r="B188" i="1"/>
  <c r="O187" i="1"/>
  <c r="E187" i="1"/>
  <c r="B187" i="1"/>
  <c r="O186" i="1"/>
  <c r="E186" i="1"/>
  <c r="B186" i="1"/>
  <c r="O185" i="1"/>
  <c r="E185" i="1"/>
  <c r="B185" i="1"/>
  <c r="O184" i="1"/>
  <c r="E184" i="1"/>
  <c r="B184" i="1"/>
  <c r="O183" i="1"/>
  <c r="E183" i="1"/>
  <c r="B183" i="1"/>
  <c r="O182" i="1"/>
  <c r="E182" i="1"/>
  <c r="B182" i="1"/>
  <c r="O181" i="1"/>
  <c r="E181" i="1"/>
  <c r="B181" i="1"/>
  <c r="O180" i="1"/>
  <c r="E180" i="1"/>
  <c r="B180" i="1"/>
  <c r="O179" i="1"/>
  <c r="E179" i="1"/>
  <c r="B179" i="1"/>
  <c r="O178" i="1"/>
  <c r="E178" i="1"/>
  <c r="B178" i="1"/>
  <c r="O177" i="1"/>
  <c r="E177" i="1"/>
  <c r="B177" i="1"/>
  <c r="O176" i="1"/>
  <c r="E176" i="1"/>
  <c r="B176" i="1"/>
  <c r="O175" i="1"/>
  <c r="E175" i="1"/>
  <c r="B175" i="1"/>
  <c r="O174" i="1"/>
  <c r="E174" i="1"/>
  <c r="B174" i="1"/>
  <c r="O173" i="1"/>
  <c r="E173" i="1"/>
  <c r="B173" i="1"/>
  <c r="O172" i="1"/>
  <c r="E172" i="1"/>
  <c r="B172" i="1"/>
  <c r="O171" i="1"/>
  <c r="E171" i="1"/>
  <c r="B171" i="1"/>
  <c r="O170" i="1"/>
  <c r="E170" i="1"/>
  <c r="B170" i="1"/>
  <c r="O169" i="1"/>
  <c r="E169" i="1"/>
  <c r="B169" i="1"/>
  <c r="O168" i="1"/>
  <c r="E168" i="1"/>
  <c r="B168" i="1"/>
  <c r="O167" i="1"/>
  <c r="E167" i="1"/>
  <c r="B167" i="1"/>
  <c r="O166" i="1"/>
  <c r="E166" i="1"/>
  <c r="B166" i="1"/>
  <c r="O165" i="1"/>
  <c r="E165" i="1"/>
  <c r="B165" i="1"/>
  <c r="O164" i="1"/>
  <c r="E164" i="1"/>
  <c r="B164" i="1"/>
  <c r="O163" i="1"/>
  <c r="E163" i="1"/>
  <c r="B163" i="1"/>
  <c r="O162" i="1"/>
  <c r="E162" i="1"/>
  <c r="B162" i="1"/>
  <c r="O161" i="1"/>
  <c r="E161" i="1"/>
  <c r="B161" i="1"/>
  <c r="O160" i="1"/>
  <c r="E160" i="1"/>
  <c r="B160" i="1"/>
  <c r="O159" i="1"/>
  <c r="E159" i="1"/>
  <c r="B159" i="1"/>
  <c r="O158" i="1"/>
  <c r="E158" i="1"/>
  <c r="B158" i="1"/>
  <c r="O157" i="1"/>
  <c r="E157" i="1"/>
  <c r="B157" i="1"/>
  <c r="O156" i="1"/>
  <c r="E156" i="1"/>
  <c r="B156" i="1"/>
  <c r="O155" i="1"/>
  <c r="E155" i="1"/>
  <c r="B155" i="1"/>
  <c r="O154" i="1"/>
  <c r="E154" i="1"/>
  <c r="B154" i="1"/>
  <c r="O153" i="1"/>
  <c r="E153" i="1"/>
  <c r="B153" i="1"/>
  <c r="O152" i="1"/>
  <c r="E152" i="1"/>
  <c r="B152" i="1"/>
  <c r="O151" i="1"/>
  <c r="E151" i="1"/>
  <c r="B151" i="1"/>
  <c r="O150" i="1"/>
  <c r="E150" i="1"/>
  <c r="B150" i="1"/>
  <c r="O149" i="1"/>
  <c r="E149" i="1"/>
  <c r="B149" i="1"/>
  <c r="O148" i="1"/>
  <c r="E148" i="1"/>
  <c r="B148" i="1"/>
  <c r="O147" i="1"/>
  <c r="E147" i="1"/>
  <c r="B147" i="1"/>
  <c r="O146" i="1"/>
  <c r="E146" i="1"/>
  <c r="B146" i="1"/>
  <c r="O145" i="1"/>
  <c r="E145" i="1"/>
  <c r="B145" i="1"/>
  <c r="O144" i="1"/>
  <c r="E144" i="1"/>
  <c r="B144" i="1"/>
  <c r="O143" i="1"/>
  <c r="E143" i="1"/>
  <c r="B143" i="1"/>
  <c r="O142" i="1"/>
  <c r="E142" i="1"/>
  <c r="B142" i="1"/>
  <c r="O141" i="1"/>
  <c r="E141" i="1"/>
  <c r="B141" i="1"/>
  <c r="O140" i="1"/>
  <c r="E140" i="1"/>
  <c r="B140" i="1"/>
  <c r="O139" i="1"/>
  <c r="E139" i="1"/>
  <c r="B139" i="1"/>
  <c r="O138" i="1"/>
  <c r="E138" i="1"/>
  <c r="B138" i="1"/>
  <c r="O137" i="1"/>
  <c r="E137" i="1"/>
  <c r="B137" i="1"/>
  <c r="O136" i="1"/>
  <c r="E136" i="1"/>
  <c r="B136" i="1"/>
  <c r="O135" i="1"/>
  <c r="E135" i="1"/>
  <c r="B135" i="1"/>
  <c r="O134" i="1"/>
  <c r="E134" i="1"/>
  <c r="B134" i="1"/>
  <c r="O133" i="1"/>
  <c r="E133" i="1"/>
  <c r="B133" i="1"/>
  <c r="O132" i="1"/>
  <c r="E132" i="1"/>
  <c r="B132" i="1"/>
  <c r="O131" i="1"/>
  <c r="E131" i="1"/>
  <c r="B131" i="1"/>
  <c r="O130" i="1"/>
  <c r="E130" i="1"/>
  <c r="B130" i="1"/>
  <c r="O129" i="1"/>
  <c r="E129" i="1"/>
  <c r="B129" i="1"/>
  <c r="O128" i="1"/>
  <c r="E128" i="1"/>
  <c r="B128" i="1"/>
  <c r="O127" i="1"/>
  <c r="E127" i="1"/>
  <c r="B127" i="1"/>
  <c r="O126" i="1"/>
  <c r="E126" i="1"/>
  <c r="B126" i="1"/>
  <c r="O125" i="1"/>
  <c r="E125" i="1"/>
  <c r="B125" i="1"/>
  <c r="O124" i="1"/>
  <c r="E124" i="1"/>
  <c r="B124" i="1"/>
  <c r="O123" i="1"/>
  <c r="E123" i="1"/>
  <c r="B123" i="1"/>
  <c r="O122" i="1"/>
  <c r="E122" i="1"/>
  <c r="B122" i="1"/>
  <c r="O121" i="1"/>
  <c r="E121" i="1"/>
  <c r="B121" i="1"/>
  <c r="O120" i="1"/>
  <c r="E120" i="1"/>
  <c r="B120" i="1"/>
  <c r="O119" i="1"/>
  <c r="E119" i="1"/>
  <c r="B119" i="1"/>
  <c r="O118" i="1"/>
  <c r="E118" i="1"/>
  <c r="B118" i="1"/>
  <c r="O117" i="1"/>
  <c r="E117" i="1"/>
  <c r="B117" i="1"/>
  <c r="O116" i="1"/>
  <c r="E116" i="1"/>
  <c r="B116" i="1"/>
  <c r="O115" i="1"/>
  <c r="E115" i="1"/>
  <c r="B115" i="1"/>
  <c r="O114" i="1"/>
  <c r="E114" i="1"/>
  <c r="B114" i="1"/>
  <c r="O113" i="1"/>
  <c r="E113" i="1"/>
  <c r="B113" i="1"/>
  <c r="O112" i="1"/>
  <c r="E112" i="1"/>
  <c r="B112" i="1"/>
  <c r="O111" i="1"/>
  <c r="E111" i="1"/>
  <c r="B111" i="1"/>
  <c r="O110" i="1"/>
  <c r="E110" i="1"/>
  <c r="B110" i="1"/>
  <c r="O109" i="1"/>
  <c r="E109" i="1"/>
  <c r="B109" i="1"/>
  <c r="O108" i="1"/>
  <c r="E108" i="1"/>
  <c r="B108" i="1"/>
  <c r="O107" i="1"/>
  <c r="E107" i="1"/>
  <c r="B107" i="1"/>
  <c r="O106" i="1"/>
  <c r="E106" i="1"/>
  <c r="B106" i="1"/>
  <c r="O105" i="1"/>
  <c r="E105" i="1"/>
  <c r="B105" i="1"/>
  <c r="O104" i="1"/>
  <c r="E104" i="1"/>
  <c r="B104" i="1"/>
  <c r="O103" i="1"/>
  <c r="E103" i="1"/>
  <c r="B103" i="1"/>
  <c r="O102" i="1"/>
  <c r="E102" i="1"/>
  <c r="B102" i="1"/>
  <c r="O101" i="1"/>
  <c r="E101" i="1"/>
  <c r="B101" i="1"/>
  <c r="O100" i="1"/>
  <c r="E100" i="1"/>
  <c r="B100" i="1"/>
  <c r="O99" i="1"/>
  <c r="E99" i="1"/>
  <c r="B99" i="1"/>
  <c r="O98" i="1"/>
  <c r="E98" i="1"/>
  <c r="B98" i="1"/>
  <c r="O97" i="1"/>
  <c r="E97" i="1"/>
  <c r="B97" i="1"/>
  <c r="O96" i="1"/>
  <c r="E96" i="1"/>
  <c r="B96" i="1"/>
  <c r="O95" i="1"/>
  <c r="E95" i="1"/>
  <c r="B95" i="1"/>
  <c r="O94" i="1"/>
  <c r="E94" i="1"/>
  <c r="B94" i="1"/>
  <c r="O93" i="1"/>
  <c r="E93" i="1"/>
  <c r="B93" i="1"/>
  <c r="O92" i="1"/>
  <c r="E92" i="1"/>
  <c r="B92" i="1"/>
  <c r="O91" i="1"/>
  <c r="E91" i="1"/>
  <c r="B91" i="1"/>
  <c r="O90" i="1"/>
  <c r="E90" i="1"/>
  <c r="B90" i="1"/>
  <c r="O89" i="1"/>
  <c r="E89" i="1"/>
  <c r="B89" i="1"/>
  <c r="O88" i="1"/>
  <c r="E88" i="1"/>
  <c r="B88" i="1"/>
  <c r="O87" i="1"/>
  <c r="E87" i="1"/>
  <c r="B87" i="1"/>
  <c r="O86" i="1"/>
  <c r="E86" i="1"/>
  <c r="B86" i="1"/>
  <c r="O85" i="1"/>
  <c r="E85" i="1"/>
  <c r="B85" i="1"/>
  <c r="O84" i="1"/>
  <c r="E84" i="1"/>
  <c r="B84" i="1"/>
  <c r="O83" i="1"/>
  <c r="E83" i="1"/>
  <c r="B83" i="1"/>
  <c r="O82" i="1"/>
  <c r="E82" i="1"/>
  <c r="B82" i="1"/>
  <c r="O81" i="1"/>
  <c r="E81" i="1"/>
  <c r="B81" i="1"/>
  <c r="O80" i="1"/>
  <c r="E80" i="1"/>
  <c r="B80" i="1"/>
  <c r="O79" i="1"/>
  <c r="E79" i="1"/>
  <c r="B79" i="1"/>
  <c r="O78" i="1"/>
  <c r="E78" i="1"/>
  <c r="B78" i="1"/>
  <c r="O77" i="1"/>
  <c r="E77" i="1"/>
  <c r="B77" i="1"/>
  <c r="O76" i="1"/>
  <c r="E76" i="1"/>
  <c r="B76" i="1"/>
  <c r="O75" i="1"/>
  <c r="E75" i="1"/>
  <c r="B75" i="1"/>
  <c r="O74" i="1"/>
  <c r="E74" i="1"/>
  <c r="B74" i="1"/>
  <c r="O73" i="1"/>
  <c r="E73" i="1"/>
  <c r="B73" i="1"/>
  <c r="O72" i="1"/>
  <c r="E72" i="1"/>
  <c r="B72" i="1"/>
  <c r="O71" i="1"/>
  <c r="E71" i="1"/>
  <c r="B71" i="1"/>
  <c r="O70" i="1"/>
  <c r="E70" i="1"/>
  <c r="B70" i="1"/>
  <c r="O69" i="1"/>
  <c r="E69" i="1"/>
  <c r="B69" i="1"/>
  <c r="O68" i="1"/>
  <c r="E68" i="1"/>
  <c r="B68" i="1"/>
  <c r="O67" i="1"/>
  <c r="E67" i="1"/>
  <c r="B67" i="1"/>
  <c r="O66" i="1"/>
  <c r="E66" i="1"/>
  <c r="B66" i="1"/>
  <c r="O65" i="1"/>
  <c r="E65" i="1"/>
  <c r="B65" i="1"/>
  <c r="O64" i="1"/>
  <c r="E64" i="1"/>
  <c r="B64" i="1"/>
  <c r="O63" i="1"/>
  <c r="E63" i="1"/>
  <c r="B63" i="1"/>
  <c r="O62" i="1"/>
  <c r="E62" i="1"/>
  <c r="B62" i="1"/>
  <c r="O61" i="1"/>
  <c r="E61" i="1"/>
  <c r="B61" i="1"/>
  <c r="O60" i="1"/>
  <c r="E60" i="1"/>
  <c r="B60" i="1"/>
  <c r="O59" i="1"/>
  <c r="E59" i="1"/>
  <c r="B59" i="1"/>
  <c r="O58" i="1"/>
  <c r="E58" i="1"/>
  <c r="B58" i="1"/>
  <c r="O57" i="1"/>
  <c r="E57" i="1"/>
  <c r="B57" i="1"/>
  <c r="O56" i="1"/>
  <c r="E56" i="1"/>
  <c r="B56" i="1"/>
  <c r="O55" i="1"/>
  <c r="E55" i="1"/>
  <c r="B55" i="1"/>
  <c r="O54" i="1"/>
  <c r="E54" i="1"/>
  <c r="B54" i="1"/>
  <c r="O53" i="1"/>
  <c r="E53" i="1"/>
  <c r="B53" i="1"/>
  <c r="O52" i="1"/>
  <c r="E52" i="1"/>
  <c r="B52" i="1"/>
  <c r="O51" i="1"/>
  <c r="E51" i="1"/>
  <c r="B51" i="1"/>
  <c r="O50" i="1"/>
  <c r="E50" i="1"/>
  <c r="B50" i="1"/>
  <c r="O49" i="1"/>
  <c r="E49" i="1"/>
  <c r="B49" i="1"/>
  <c r="O48" i="1"/>
  <c r="E48" i="1"/>
  <c r="B48" i="1"/>
  <c r="O47" i="1"/>
  <c r="E47" i="1"/>
  <c r="B47" i="1"/>
  <c r="O46" i="1"/>
  <c r="E46" i="1"/>
  <c r="B46" i="1"/>
  <c r="O45" i="1"/>
  <c r="E45" i="1"/>
  <c r="B45" i="1"/>
  <c r="O44" i="1"/>
  <c r="E44" i="1"/>
  <c r="B44" i="1"/>
  <c r="O43" i="1"/>
  <c r="E43" i="1"/>
  <c r="B43" i="1"/>
  <c r="O42" i="1"/>
  <c r="E42" i="1"/>
  <c r="B42" i="1"/>
  <c r="O41" i="1"/>
  <c r="E41" i="1"/>
  <c r="B41" i="1"/>
  <c r="O40" i="1"/>
  <c r="E40" i="1"/>
  <c r="B40" i="1"/>
  <c r="O39" i="1"/>
  <c r="E39" i="1"/>
  <c r="B39" i="1"/>
  <c r="O38" i="1"/>
  <c r="E38" i="1"/>
  <c r="B38" i="1"/>
  <c r="O37" i="1"/>
  <c r="E37" i="1"/>
  <c r="B37" i="1"/>
  <c r="O36" i="1"/>
  <c r="E36" i="1"/>
  <c r="B36" i="1"/>
  <c r="O35" i="1"/>
  <c r="E35" i="1"/>
  <c r="B35" i="1"/>
  <c r="O34" i="1"/>
  <c r="E34" i="1"/>
  <c r="B34" i="1"/>
  <c r="O33" i="1"/>
  <c r="E33" i="1"/>
  <c r="B33" i="1"/>
  <c r="O32" i="1"/>
  <c r="E32" i="1"/>
  <c r="B32" i="1"/>
  <c r="O31" i="1"/>
  <c r="E31" i="1"/>
  <c r="B31" i="1"/>
  <c r="O30" i="1"/>
  <c r="E30" i="1"/>
  <c r="B30" i="1"/>
  <c r="O29" i="1"/>
  <c r="E29" i="1"/>
  <c r="B29" i="1"/>
  <c r="O28" i="1"/>
  <c r="E28" i="1"/>
  <c r="B28" i="1"/>
  <c r="O27" i="1"/>
  <c r="E27" i="1"/>
  <c r="B27" i="1"/>
  <c r="O26" i="1"/>
  <c r="E26" i="1"/>
  <c r="B26" i="1"/>
  <c r="O25" i="1"/>
  <c r="E25" i="1"/>
  <c r="B25" i="1"/>
  <c r="O24" i="1"/>
  <c r="E24" i="1"/>
  <c r="B24" i="1"/>
  <c r="O23" i="1"/>
  <c r="E23" i="1"/>
  <c r="B23" i="1"/>
  <c r="O22" i="1"/>
  <c r="E22" i="1"/>
  <c r="B22" i="1"/>
  <c r="O21" i="1"/>
  <c r="E21" i="1"/>
  <c r="B21" i="1"/>
  <c r="O20" i="1"/>
  <c r="E20" i="1"/>
  <c r="B20" i="1"/>
  <c r="O19" i="1"/>
  <c r="E19" i="1"/>
  <c r="B19" i="1"/>
  <c r="O18" i="1"/>
  <c r="E18" i="1"/>
  <c r="B18" i="1"/>
  <c r="O17" i="1"/>
  <c r="E17" i="1"/>
  <c r="B17" i="1"/>
  <c r="O16" i="1"/>
  <c r="E16" i="1"/>
  <c r="B16" i="1"/>
  <c r="O15" i="1"/>
  <c r="E15" i="1"/>
  <c r="B15" i="1"/>
  <c r="O14" i="1"/>
  <c r="E14" i="1"/>
  <c r="B14" i="1"/>
  <c r="O13" i="1"/>
  <c r="E13" i="1"/>
  <c r="B13" i="1"/>
  <c r="O12" i="1"/>
  <c r="E12" i="1"/>
  <c r="B12" i="1"/>
  <c r="O11" i="1"/>
  <c r="E11" i="1"/>
  <c r="B11" i="1"/>
  <c r="O10" i="1"/>
  <c r="E10" i="1"/>
  <c r="B10" i="1"/>
  <c r="O9" i="1"/>
  <c r="E9" i="1"/>
  <c r="B9" i="1"/>
  <c r="O8" i="1"/>
  <c r="E8" i="1"/>
  <c r="B8" i="1"/>
  <c r="O7" i="1"/>
  <c r="E7" i="1"/>
  <c r="B7" i="1"/>
  <c r="O6" i="1"/>
  <c r="E6" i="1"/>
  <c r="B6" i="1"/>
  <c r="O5" i="1"/>
  <c r="E5" i="1"/>
  <c r="B5" i="1"/>
  <c r="O4" i="1"/>
  <c r="E4" i="1"/>
  <c r="B4" i="1"/>
  <c r="O3" i="1"/>
  <c r="E3" i="1"/>
  <c r="B3" i="1"/>
  <c r="O2" i="1"/>
  <c r="E2" i="1"/>
  <c r="B2" i="1"/>
</calcChain>
</file>

<file path=xl/sharedStrings.xml><?xml version="1.0" encoding="utf-8"?>
<sst xmlns="http://schemas.openxmlformats.org/spreadsheetml/2006/main" count="107140" uniqueCount="17180">
  <si>
    <t>Date</t>
  </si>
  <si>
    <t>Screen Name</t>
  </si>
  <si>
    <t>Full Name</t>
  </si>
  <si>
    <t>Tweet Text</t>
  </si>
  <si>
    <t>Tweet ID</t>
  </si>
  <si>
    <t>App</t>
  </si>
  <si>
    <t>Followers</t>
  </si>
  <si>
    <t>Follows</t>
  </si>
  <si>
    <t>Retweets</t>
  </si>
  <si>
    <t>Favorites</t>
  </si>
  <si>
    <t>Verfied</t>
  </si>
  <si>
    <t>User Since</t>
  </si>
  <si>
    <t>Location</t>
  </si>
  <si>
    <t>Bio</t>
  </si>
  <si>
    <t>Profile Image</t>
  </si>
  <si>
    <t>Google Maps</t>
  </si>
  <si>
    <t>Gustavo Petro</t>
  </si>
  <si>
    <t>Twitter for Android</t>
  </si>
  <si>
    <t>No</t>
  </si>
  <si>
    <t>ÜT: 4.650541,-74.074043</t>
  </si>
  <si>
    <t>Perfil Oficial del dirigente político progresista colombiano Gustavo Petro. Por una Colombia Humana con justicia social y en Paz</t>
  </si>
  <si>
    <t>Twitter Ads</t>
  </si>
  <si>
    <t>Periscope</t>
  </si>
  <si>
    <t>RT @elsemblante: A ustedes RCN y Caracol no les contó que Petro le dio dignidad a los vendedores ambulantes en Bogotá. Hoy les mandan al Es…</t>
  </si>
  <si>
    <t>RT @elsemblante: A ustedes RCN y Caracol no les habló del sistema de aseo público implementado en el Gobierno Petro. https://t.co/1TWEqsPgkT</t>
  </si>
  <si>
    <t>RT @petrogustavo: Lo mejor que se puede hacer con la policía y el ejército de Colombia es lograr que todos sus integrantes tengan educación…</t>
  </si>
  <si>
    <t>RT @elsemblante: A ustedes RCN y Caracol no les contó que los médicos de la Bogotá Humana de @petrogustavo visitaron 866 mil hogares para h…</t>
  </si>
  <si>
    <t>RT @elsemblante: A ustedes RCN y Caracol no les habló sobre la construcción de una sede universitaria en la localidad de Bosa, durante el G…</t>
  </si>
  <si>
    <t>RT @Marianiniecheve: Las estrategias más bajas, los más corruptos, los más siniestros cizañeros, todos juntos en la campaña de #DuqueTodaLa…</t>
  </si>
  <si>
    <t>RT @SenorCaicedo: Policías retirados se suman a campaña de @PetroGustavo #YoVotoPetro https://t.co/SMtgqsoNkG vía @BluRadioCo</t>
  </si>
  <si>
    <t>RT @dw_espanol: Documentos desclasificados del Departamento de Estado estadounidense señalan que el expresidente Uribe habría recibido "fin…</t>
  </si>
  <si>
    <t>RT @EpicuroDeSamos_: Para quienes me insistían que desmienta el video de "la bolsa de @petrogustavo", que tanto difundió la prensa privada,…</t>
  </si>
  <si>
    <t>Twitter Web App</t>
  </si>
  <si>
    <t>RT @EnriqueViale: Todo empezó con unos niños y niñas haciendo esto... y ahora van a cambiar la Constitución de Chile. Es realmente emocion…</t>
  </si>
  <si>
    <t>RT @Der_Calo: En las últimas horas el reciente campeón sudamericano de natación, Jorge Iván Agudelo, denunció que fue expulsado del complej…</t>
  </si>
  <si>
    <t>RT @ColombiaHumana_: Gustavo Petro salió en defensa de Duque tras supuestos rumores de su vida privada. ¡Pero el Paro sigue! https://t.co/w…</t>
  </si>
  <si>
    <t>RT @Heidy_UP: Avanza Asamblea Popular en la localidad de #Fontibón. Nos encontramos en el parque principal uniendo fuerzas e ideas para ava…</t>
  </si>
  <si>
    <t>RT @HablaLaJradio: #ElParoNoPara30N | A esta hora se desarrolla la asamblea popular en la localidad de Ciudad Bolívar, construyendo perspec…</t>
  </si>
  <si>
    <t>RT @BluRadioCo: "Pirómanos son los que se niegan a negociar con el pueblo": @petrogustavo responde a @IvanDuque → https://t.co/25XKqVSUM9 #…</t>
  </si>
  <si>
    <t>RT @BatBogota: Un cacerolazo que se escuche en toda América Latina: https://t.co/TolVzUBhsN</t>
  </si>
  <si>
    <t>RT @MoisesAlvaro_: Las y los transportadores han decidido sumarse al #30NParoNacional. Se suman cada vez más sectores organizados de la so…</t>
  </si>
  <si>
    <t>RT @MoisesAlvaro_: ¿Qué necesidad hay, señor Iván Duque, de mandar al Ejército a la Asamblea Popular del Paro en Fontibón mientras el Carte…</t>
  </si>
  <si>
    <t>RT @NachoGomex: La capturas de venezolanos durante el paro nacional ocurrieron por discriminación de su origen nacional, sin probar la part…</t>
  </si>
  <si>
    <t>RT @MaoT99: Cacerolazo latinoamericano mañana primero de diciembre: conoce la hora de cada país. https://t.co/w3n4lPl684</t>
  </si>
  <si>
    <t>RT @darkjota: Este es mi hijo Jean Michael Tafur. Está desaparecido. Viste chaqueta de jean azul, buzo de capota, pantalón jean. Mide 1.80…</t>
  </si>
  <si>
    <t>RT @NachoGomex: El Ejército mandó a psiquiatría al soldado que se declaro partidario del paro nacional desde su guarnición</t>
  </si>
  <si>
    <t>RT @Contagioradio1: In Bogotá, only 4% of those that graduate from public high schools have access to higher education. https://t.co/qhbjPP…</t>
  </si>
  <si>
    <t>RT @ArielAnaliza: Repitan conmigo El Paro Nacional no es el culpable del desempleo, ni de ha causado una crisis económica, tampoco es el ca…</t>
  </si>
  <si>
    <t>RT @MoisesAlvaro_: De los mismos creadores de “invitar a marchar a estudiantes de bachillerato es manipularlos”... https://t.co/9thwu5yDCP</t>
  </si>
  <si>
    <t>Un colombiano con salario mensual de menos de 4 salarios mínimos que logre cotizar al fondo privado de pensión el t… https://t.co/mDXfWBiAvr</t>
  </si>
  <si>
    <t>Invito a las reservas activas de la fuerza pública a construir colectivamente el proyecto de ley del veterano del c… https://t.co/mceIO4aeqQ</t>
  </si>
  <si>
    <t>Ante las inmensas movilizaciones en Irak, y después de centenares de muertos, renuncia el gobierno. https://t.co/ebHBExPGr1</t>
  </si>
  <si>
    <t>Y a propósito de las bolsas, la cancillería no ha permitido hasta el momento el procedimiento para que la Corte Sup… https://t.co/utFzsKeLhS</t>
  </si>
  <si>
    <t>RT @Negociosb1: Lo del ClubElNogal es Delincuencial por todos lados Que hacía durmiendo Martuchis, para la época ministra de Defensa del A…</t>
  </si>
  <si>
    <t>RT @InTweetiva: Las canciones que promueven el paro son como gotas de limón: en los ojos para los que nos quieren ciegos ante la realidad y…</t>
  </si>
  <si>
    <t>RT @piedrahitangela: Voy a hacer un hilo de fotos de #Valiente porque si, porque la extraño y la amo con cada célula de mi ser. ❤️ El es Ho…</t>
  </si>
  <si>
    <t>RT @AlinaDuarte_: [EN/ ES] •Cobardemente han amenazado de muerte a toda mi familia. Elegimos seguir de pie. •Cowardly my whole family ha…</t>
  </si>
  <si>
    <t>Miren este video. La agenda de la movilización debe ir por las reformas democráticas a la ley 100 en salud y pensio… https://t.co/Ki5PviXORZ</t>
  </si>
  <si>
    <t>La reformas a las leyes que son el pilar del neoliberalismo y que han conculcado la garantía de derechos fundamenta… https://t.co/raiEG7zLm4</t>
  </si>
  <si>
    <t>La movilización no es para simplemente rechazar el paquetazo, ahora pasa a una fase propositiva y de ofensiva. Las… https://t.co/f3s2O6QaeF</t>
  </si>
  <si>
    <t>Como un referendo para la reforma de leyes fundamentales como la ley 100, 50 y 30 implica la decisión del gobierno.… https://t.co/5Rp3nVbKwm</t>
  </si>
  <si>
    <t>La agenda de la movilización no incluye el tema agrario hasta ahora, con excepción del movimiento indígena, y esto… https://t.co/PyMPEjViwj</t>
  </si>
  <si>
    <t>Colombia Humana se ha desviado demasiado al plano electoral y como se señaló desde la asamblea fundacional en la pl… https://t.co/0OfmgR8XYJ</t>
  </si>
  <si>
    <t>No mi querido amigo estoy en sano juicio, el mismo que tenía cuando fuiste a pedirme contratos en mi oficina. https://t.co/T9PLg8ZGyN</t>
  </si>
  <si>
    <t>RT @fixasttyles: Así se ven los que critican el paro " El Chiste se cuenta solo... " https://t.co/FcU0qktjU9</t>
  </si>
  <si>
    <t>RT @petrogustavo: Un colombiano con salario mensual de menos de 4 salarios mínimos que logre cotizar al fondo privado de pensión el tiempo…</t>
  </si>
  <si>
    <t>El Esmad ha matado muchos jóvenes en Colombia. No es una entidad de héroes. Debe ser suprimido. La actividad antidi… https://t.co/Y9zmjTl37q</t>
  </si>
  <si>
    <t>RT @ahorapodemos: 📺 No te pierdas esta inteligente entrevista de @BobPopVeTV a @BassiLeo sobre el fascismo y su relación con el humor y el…</t>
  </si>
  <si>
    <t>RT @_Liamgirl22: Cosas que no sabías del incendiario de Gustavo Petro (ABRO HILO) https://t.co/h84Zug3A2W</t>
  </si>
  <si>
    <t>RT @JACOBOSOLANOC: Liberación del gran Cóndor Andino. https://t.co/4BQMW5Ig52</t>
  </si>
  <si>
    <t>RT @Uriasv: Esta afirmación de @petrogustavo es absolutamente cierta. Tengo suficientes argumentos y matemática para sustentarla. Y hay alg…</t>
  </si>
  <si>
    <t>RT @HELIODOPTERO: URGENTE. Se agrava la agonía del joven ecuatoriano Danniel Bajaña en las puertas del hospital Cardiovascular San Mateo, e…</t>
  </si>
  <si>
    <t>Las falsas denuncias de ataques a la comunidad las sembraron varios integrantes de su bancada de gobierno, señora m… https://t.co/6ndUl8sCU9</t>
  </si>
  <si>
    <t>RT @gener_usuga: En vivo desde París @gener_usuga #CacerolazoLatinoamericano latinoamerica unida desde París.#1DElParoSigue #MovimientoAnti…</t>
  </si>
  <si>
    <t>RT @HOLLMANMORRIS: Quienes atacan a pte @IvanDuque con temas personales dañan lo más sagrado que tiene la sociedad y una familia: sus hijos…</t>
  </si>
  <si>
    <t>RT @petrogustavo: Miren este video. La agenda de la movilización debe ir por las reformas democráticas a la ley 100 en salud y pensiones, a…</t>
  </si>
  <si>
    <t>RT @jorgeivan9108: Aquí están los deportistas élite del país, junto con la mediocridad y corrupción de su dirigencia #29NParoNacional AB…</t>
  </si>
  <si>
    <t>Orlando Doria, de 78 años, cordobés, ha muerto por disparo del Esmad. https://t.co/RFgEVM93Ru</t>
  </si>
  <si>
    <t>RT @YolandaRuizCe: #CacerolazoLatinoamericano en París. https://t.co/UWys8h0lbC</t>
  </si>
  <si>
    <t>RT @ManosLimpiasCo: Empezó el #CacerolazoLatinoamericano Hoy 7:00 PM en toda Colombia. Latinoamerica unida. https://t.co/km7yWBgzN8</t>
  </si>
  <si>
    <t>RT @ciudadcaotica: Cacerolazo con la guardia indígena en Bogotá https://t.co/w6UcPhY8uh</t>
  </si>
  <si>
    <t>Hoy en todos los países de Latinoamérica, y en más de cien ciudades del mundo, se realiza un cacerolazo por la Demo… https://t.co/K5E1WU3ASD</t>
  </si>
  <si>
    <t>Demuestre Mauricio que personas que ganan menos de cuatro salario mínimos cumpliendo su tiempo de cotización en un… https://t.co/RsAEglyoyo</t>
  </si>
  <si>
    <t>RT @petrogustavo: Orlando Doria, de 78 años, cordobés, ha muerto por disparo del Esmad. https://t.co/RFgEVM93Ru</t>
  </si>
  <si>
    <t>Aunque estoy de acuerdo con Hassan, me pregunto si ellos mismos pensaron en los niños de Morris. https://t.co/EFpZyLCOnW</t>
  </si>
  <si>
    <t>Autorizo a los jóvenes de este video, tomado en campaña presidencial, que demanden judicialmente a las personas que… https://t.co/8HmPqQzcMJ</t>
  </si>
  <si>
    <t>RT @andrescamachom_: Hoy! #CacerolazoLatinoamericano 🇲🇽 México 5 pm 🇪🇨 Ecuador 6 pm 🇨🇴 Colombia 6 pm 🇵🇪 Perú 6 pm 🇻🇪 Venezuela 7 pm 🇧🇴 Boli…</t>
  </si>
  <si>
    <t>RT @petrogustavo: Hoy en todos los países de Latinoamérica, y en más de cien ciudades del mundo, se realiza un cacerolazo por la Democracia…</t>
  </si>
  <si>
    <t>Todo periodista debe saber que en una democracia moderna, no solo se definen las cosas en elecciones, sino que la s… https://t.co/UggNK02jPM</t>
  </si>
  <si>
    <t>El primer libro propuso una sociedad frugal, el segundo una de abundancia En tiempos d cambio climático el primero… https://t.co/LEMzCldgDv</t>
  </si>
  <si>
    <t>El movimiento sardina contra el fascismo en Italia. Lleno completo d la plaza de Florencia. https://t.co/kMENXHhuwl</t>
  </si>
  <si>
    <t>RT @portonlatino: Para Cristina los hijos de Morris no importan tanto como los de Duque. ¿Dónde venderán ese hijometro? @cristinaplazasm ht…</t>
  </si>
  <si>
    <t>RT @ELTIEMPO: Estampida en favela de Sao Paulo deja ocho muertos ►https://t.co/z0boA41YYV https://t.co/QE1pQO0pff</t>
  </si>
  <si>
    <t>RT @cutcolombia: #Video 📹📹 Desde el Comité Nacional de Paro convocamos a todos los colombianos a movilizarnos masiva y pacíficamente el pró…</t>
  </si>
  <si>
    <t>Me pongo en los zapatos de Sarmiento, ¿Sarmiento se pondrá en los zapatos de sus deudores, de los cotizantes en los… https://t.co/JnLNOQy67r</t>
  </si>
  <si>
    <t>Si se protege la industria del cuero de importaciones, si se democratiza el crédito, si nuestro sistema Zasca, de t… https://t.co/dF9R2VXhPZ</t>
  </si>
  <si>
    <t>RT @jmkarg: Escrutinio final en Uruguay: Lacalle Pou (Partido Nacional y Coalición Multicolor): 48.87% Daniel Martínez (Frente Amplio): 47.…</t>
  </si>
  <si>
    <t>RT @Yezid_Ar_D: Cacerolazo LATINOAMERICANO. Plaça de Sant Jaume de Barcelona.⁦@Antequerajose⁩,⁦@IvanCepedaCast⁩,⁦@ColombiaHumana_⁩,⁦@angela…</t>
  </si>
  <si>
    <t>La.masacre de Senkata de Bolivia: Violaron las mujeres antes de asesinarlas, desmembraron cuerpos. El golpe de Est… https://t.co/4pQGHvxlpZ</t>
  </si>
  <si>
    <t>RT @AndresCamiloHR: Claro, hablemos de los 314 niños que fueron muertos y presentados como bajas en combate por parte del Estado en los últ…</t>
  </si>
  <si>
    <t>RT @DanielRMed: Petro en el paro campesino del 2013 con los campesinos // Duque en el paro nacional del 2019 con los que asesinan jóvenes.…</t>
  </si>
  <si>
    <t>RT @jorgeivan9108: Llegué al complejo acuático de Cartagena donde se desarrollan los juegos nacionales, hice mi protesta en frente de todos…</t>
  </si>
  <si>
    <t>RT @bbcmundo: Hace 75 años, dos hombres huyeron de Auschwitz para advertirle al mundo que los nazis estaban listos para matar a 800.000 ser…</t>
  </si>
  <si>
    <t>RT @UldaricoChilito: Con la derecha. // Con la Izquierda. https://t.co/njK2PqDmB7</t>
  </si>
  <si>
    <t>El expediente sigue mintiendo sobre mi. No he ido al Quindio desde la campaña presidencial. Pero iré pronto a dar… https://t.co/bNhHR19esu</t>
  </si>
  <si>
    <t>Si la @@CIDH no esta en Bolivia, Chile , Colombia, entonces se ha convertido en simple instrumento ideológico del q… https://t.co/oL4FYg9WJK</t>
  </si>
  <si>
    <t>RT @ByHumana: SOMOS CACEROLAS DE LUZ... #CacerolazoLatinoamericano https://t.co/OEd32DLxfn</t>
  </si>
  <si>
    <t>RT @GilbertoTobonS: “Las pensiones (@Colpensiones) están asediadas en este momento por tiburones: Bojanini, que maneja Protección, Porvenir…</t>
  </si>
  <si>
    <t>RT @petrogustavo: Colombia Humana se ha desviado demasiado al plano electoral y como se señaló desde la asamblea fundacional en la plaza de…</t>
  </si>
  <si>
    <t>Hoy primero de diciembre, en la tradición católica es el advenimiento. Se lee a Isaías quien dijo: "y de las espa… https://t.co/CTPLdvrApx</t>
  </si>
  <si>
    <t>RT @ColHumanaEuropa: #CacerolazoLatinoamericano America latina será toda feminista. « Alerta, alerta , alerta que camina la lucha feminis…</t>
  </si>
  <si>
    <t>Que le dirían a este amigo emberracado. https://t.co/MaEibtQlas</t>
  </si>
  <si>
    <t>No ofrezco a la reserva activa de la fuerza pública discursos extremoderechistas, no le ofrezco discursos extremoiz… https://t.co/UtaSgd7nbv</t>
  </si>
  <si>
    <t>RT @MoisesAlvaro_: No sólo asesinaron a Dilan Cruz, van por sus amigos que hoy lo respaldan con su testimonio. Y no sólo por Dilan y sus a…</t>
  </si>
  <si>
    <t>RT @HOLLMANMORRIS: VIDEO: Así sacaron con policía al campeón sudamericano de natación @jorgeivan9108 de los juegos nacionales de Cartagena,…</t>
  </si>
  <si>
    <t>Lo que me.preocuoa de este video es indiferencia de los demás ante la detención inconstitucional del deportista. https://t.co/KLPPsQfVGv</t>
  </si>
  <si>
    <t>RT @charry_manager: Es fascinante que esto esté pasando en Medellín, todos los días despierta más y más la movilización y el paro sigue viv…</t>
  </si>
  <si>
    <t>RT @tikopineda: Esconder la dinámica planetaria de los jóvenes exigiendo sus derechos sociales, económicos, ambientales, culturales y de re…</t>
  </si>
  <si>
    <t>En la dictadura de Bolsonaro la policía reprime a los jóvenes pobres por bailar. En esta acción produjo una masacr… https://t.co/fmPFRVyPaH</t>
  </si>
  <si>
    <t>RT @elespectador: 34 personas han muerto por acciones del Esmad desde su creación: ONG Temblores. https://t.co/EGGLYjTxzA https://t.co/fFuN…</t>
  </si>
  <si>
    <t>RT @jcuestanovoa: #1DParoNacional En el Park Way más de seis mil personas Caceroliando contra la economía que protege al banquero y jode al…</t>
  </si>
  <si>
    <t>RT @charry_manager: En el paradero de @sitpbogota cerca a mi casa, donde había un mensaje de Peñalosa haciéndose publicidad hoy reposa la W…</t>
  </si>
  <si>
    <t>Todavía es más asqueante la operación del gobierno para evitar el proceso judicial por la muerte de Dilan. https://t.co/6ilPAiR7N8</t>
  </si>
  <si>
    <t>RT @JulianRoman: Un HÉROE https://t.co/vzDYyrLMSl</t>
  </si>
  <si>
    <t>La coordinación internacional entre organizaciones latinoamericanas avanza. El objetivo más grande es lanzarnos a u… https://t.co/y3XmxnXUpk</t>
  </si>
  <si>
    <t>Peñalosa se ufana de haber permitido la militarización de la ciudad, De la Bogotá Humana terminamos en la Bogotá mi… https://t.co/RFJgGMGTeP</t>
  </si>
  <si>
    <t>RT @davamara16: @WinchesterMusk @baen_v @AlbertoBernalLe @Mujer_Mamerta @petrogustavo https://t.co/9gmrtVD0mR</t>
  </si>
  <si>
    <t>RT @FelicianoValen: "Las imágenes del 'Cacerolazo Latinoamericano'" https://t.co/qNMDP3wKeZ</t>
  </si>
  <si>
    <t>RT @petrogustavo: La coordinación internacional entre organizaciones latinoamericanas avanza. El objetivo más grande es lanzarnos a una mov…</t>
  </si>
  <si>
    <t>La salida desesperada de Duque a la movilizacion social será lanzarse a una aventura violenta en Venezuela. EL 3… https://t.co/GKpFdpYbco</t>
  </si>
  <si>
    <t>Duque esta en plan de retar la movilizacion social y destruirla, la respuesta es ampliarla. Este 4D es una huelga… https://t.co/LpMuSJOevp</t>
  </si>
  <si>
    <t>Primera reunión de la gran bancada de ediles(esas) y concejale(a)s de la Colombia Humana elegidos en Bogotá https://t.co/5VJsll2MsE</t>
  </si>
  <si>
    <t>RT @MaoNandito: https://t.co/B5NaZcllMn</t>
  </si>
  <si>
    <t>RT @confidencialcol: ¿A alistar el bolsillo? @ANIFCO plantea que el @MetroBogota va a costar prácticamente el doble de lo inicialmente pres…</t>
  </si>
  <si>
    <t>RT @ONIC_Colombia: #ATENCIÓN| Más indígenas del Huila de nuestra organización filial CRIHU siguen llegando a Bogotá para apoyar y nutrir el…</t>
  </si>
  <si>
    <t>RT @JulianFMartinez: El ex embajador en Colombia del autoproclamado presidente @jguaido denuncia que las ayudas humanitarias que piden para…</t>
  </si>
  <si>
    <t>Se robaron la plata de la ayuda humanitaria a Venezuela. https://t.co/eGV48OUPtw</t>
  </si>
  <si>
    <t>La negociación con el gobierno debe ser paralela a la movilización social. Propongo tratar los puntos de reforma a… https://t.co/ukUGhKQvSY</t>
  </si>
  <si>
    <t>RT @fabioariascut: Huelga en Francia. https://t.co/MRdatvSHML</t>
  </si>
  <si>
    <t>RT @wilsonariasc: Las 10 empresas más grandes de Colombia concentran el 94% de ingresos, el otro 6% lo diputan cientos de miles de empresas…</t>
  </si>
  <si>
    <t>RT @LemusteleSUR: Otra vez la foto de enciclopedia que acompaña las estadísticas sobre Brasil. La masacre de 9 personas aplastadas por la e…</t>
  </si>
  <si>
    <t>RT @LemusteleSUR: En números, @GuilhermeBoulos: casi la mitad de los distritos de la ciudad más rica de Sudamérica no tienen cine, teatro,…</t>
  </si>
  <si>
    <t>RT @ClaMoralesM: Lo dice con absoluta impunidad. Lo dice sin que el caso haya tenido una conclusión de la justicia. Lo dice a pesar de que…</t>
  </si>
  <si>
    <t>RT @FelicianoValen: Se siguen sumando delegaciones indígenas en Bogotá para el #ParoNacional ¡El próximo 4 de diciembre debemos ser miles…</t>
  </si>
  <si>
    <t>La pregunta que debería hacerse es porque la Anif hace esta denuncia después de la firma del contrato. Amistad la… https://t.co/4WwluP6LhL</t>
  </si>
  <si>
    <t>RT @wilsonariasc: El Centro Democrático y Cambio Radical van a votar la Reforma Tributaria porque están endeudados con los hombres más rico…</t>
  </si>
  <si>
    <t>RT @ernestosamperp: Comparto la posición del Presidente de México: lo que hubo en Bolivia fue un golpe de Estado militar clásico. Un ponqué…</t>
  </si>
  <si>
    <t>Debo denunciar que el que se llama Gustavo Rugeles ha publicado un video de la primera comunión de mi hija Antonell… https://t.co/lthyufCk74</t>
  </si>
  <si>
    <t>Ha dicho el senador Mejía del Centro Democrático, después de amenazar al presidente del senado, que sobró en el Con… https://t.co/BvPqKs8YbW</t>
  </si>
  <si>
    <t>RT @petrogustavo: Debo denunciar que el que se llama Gustavo Rugeles ha publicado un video de la primera comunión de mi hija Antonella, men…</t>
  </si>
  <si>
    <t>Se acerca el robo de la cuarta curul ganada por Colombia Humana en Bogotá. Lo hará el CNE, es decir los representa… https://t.co/yyJKTfEESm</t>
  </si>
  <si>
    <t>RT @NicoleBridget95: ⚠️ SOY LA DEL BOLILLASO NO LA DE LA PATADA EN LA CARA ⚠️ @Darkwave_girl @petrogustavo https://t.co/fqL6T9Ek42</t>
  </si>
  <si>
    <t>RT @MilesHMora2: @petrogustavo https://t.co/SCLUP9hocR</t>
  </si>
  <si>
    <t>RT @GustavoBolivar: Al último lugar en pruebas Pisa de educación y al 4o país más desigual de la tierra y al 3o donde más matan niños y al…</t>
  </si>
  <si>
    <t>RT @mariovalencia01: Pasaba a recordarles que el sector comercio destruyó 159.000 puestos de trabajo en oc tu bre (un mes antes del paro).…</t>
  </si>
  <si>
    <t>RT @MariaMatusv: “Maria, una niña cómo tú, ¿por qué apoya a Petro?” Primero: ¿qué es una niña como yo, bobo/a? Segundo: escúchalo. Entie…</t>
  </si>
  <si>
    <t>RT @petrogustavo: Ha dicho el senador Mejía del Centro Democrático, después de amenazar al presidente del senado, que sobró en el Congreso.…</t>
  </si>
  <si>
    <t>RT @susanamuhamad: Los magistrados definirán si aceptan las reclamaciones extemporáneas de Cambio Radical, siendo esto una clara violación…</t>
  </si>
  <si>
    <t>RT @jcuestanovoa: #LaCurulDeColombiaHumana fue obtenida en franca lid. En la etapa del escrutinio se recuperaron más de siete mil votos lo…</t>
  </si>
  <si>
    <t>RT @SenorCaicedo: Francia se prepara para afrontar la huelga más amplia desde 1995. https://t.co/ZAdSKmZ0pF</t>
  </si>
  <si>
    <t>RT @tikopineda: Cambalache. Por una ley para los poderosos banqueros, cocinan fraude a cambio para robar una curul de la @ColombiaHumana_ e…</t>
  </si>
  <si>
    <t>Viene el fraude contra Colombia Humana en el CNE. Si queremos ganar la presidencia no se hará con un régimen electo… https://t.co/XQ0R1HBtGE</t>
  </si>
  <si>
    <t>RT @progresistascol: #LaCuruldeColombiaHumana @CNE_COLOMBIA quiere robarnos una curul en el concejo de Bogotá que ganamos en franca lid. Se…</t>
  </si>
  <si>
    <t>RT @ElSaltoDiario: Blogs | "Según Hannah Arendt, éste es uno de los síntomas más evidentes del totalitarismo: la destrucción de la vida pri…</t>
  </si>
  <si>
    <t>RT @Caidadelatorre: Lo dice el @nytimes: -Duque es altamente impopular -Duque DEBE dialogar con líderes del paro y dejar d ignorar un clamo…</t>
  </si>
  <si>
    <t>Desde los fundadores de la democracia hasta la fecha es el.pueblo, es la ciudadanía el eje fundamental de la democr… https://t.co/4duwraHUXF</t>
  </si>
  <si>
    <t>Colombia es el peor país en condiciones de trabajo según este ranking y tiene el peor sistema educativo de toda la… https://t.co/km5yWVDrHD</t>
  </si>
  <si>
    <t>RT @SandinoVictoria: ⚠️ATENCIÓN⚠️ En la noche de ayer fue asesinado el excombatiente Manuel Santo Yatacue en el departamento del Cauca. ¿Si…</t>
  </si>
  <si>
    <t>Este es el desastre financiero de Hidroituango que pagarán todos los colombianos. Es claramente el daño que produc… https://t.co/1pwaw7Cy95</t>
  </si>
  <si>
    <t>RT @susanamuhamad: Hemos recusado al Magistrado @Jaime_Lacouture porque no confiamos en su neutralidad, por antecedentes de cercanía con C…</t>
  </si>
  <si>
    <t>RT @petrogustavo: Viene el fraude contra Colombia Humana en el CNE. Si queremos ganar la presidencia no se hará con un régimen electoral co…</t>
  </si>
  <si>
    <t>RT @Heidy_UP: #LaCurulDeColombiaHumana somos una coalición con perspectiva de poder, consideramos injustas las decisiones que ha tomado el…</t>
  </si>
  <si>
    <t>Pardoja: A cambio de que China importe aguacates colombianos, Duque le cedió el contrato delnmetro de Bogotá de man… https://t.co/tnwf5E7R1F</t>
  </si>
  <si>
    <t>RT @WOLA_org: Para mejor abordar la crisis venezolana, es sumamente importante incluir la sociedad civil en futuras reuniones entre países…</t>
  </si>
  <si>
    <t>¿Cuántas veces no han anunciado mi autodestrucción? Escriben con el deseo. https://t.co/UTi9m4Fz2z</t>
  </si>
  <si>
    <t>Mientras China tiene la mejor educación del mundo, Colombia en el 2018 quedó en el puesto 58 de 79 países. Una de… https://t.co/jYkG7wSrbW</t>
  </si>
  <si>
    <t>RT @MeDicenWally: Ahh no, pero saben quién más es @Jaime_Lacouture el magistrado ponente de #LaCurulDeColombiaHumana Un salpicado más del…</t>
  </si>
  <si>
    <t>Esta es la persona que lidera robo de la curul de Colombia Humana en Bogotá a pesar de haber recuperado los votos s… https://t.co/uFm450AVlP</t>
  </si>
  <si>
    <t>RT @MorenaCactus: Después de 23 días de reconteo con la presencia de TODOS los partidos políticos la CH recupero más de 6000 y recuperó la…</t>
  </si>
  <si>
    <t>Uno de los mejores programas de la Bogotá Humana para.elevar la calidad educativa fue lograr que el 20% del profeso… https://t.co/GnyWGLZJYJ</t>
  </si>
  <si>
    <t>RT @jerojasrodrigue: “El baile de los que sobran” o las formas que adquiere la violencia de quienes han ejercido el poder eliminando al que…</t>
  </si>
  <si>
    <t>RT @DianaAcunaDDHH: @GustavoRugeles @petrogustavo #PetroLeaks ¡Resulta que Petro baila amigos Uribistas! Baila y mucho. Además, como si fue…</t>
  </si>
  <si>
    <t>RT @GustavoCarrionB: #LaCurulDeColombiaHumana se ganó, y le corresponde dicha curul a @susanamuhamad No se puede permitir que @PCambioRadic…</t>
  </si>
  <si>
    <t>RT @jcuestanovoa: #LaCurulDeColombiaHumana Hace un año la misma historia, burlaron la voluntad popular al arrebatarle el senado a @GloriaFl…</t>
  </si>
  <si>
    <t>RT @ConcejoCHumana: En estos momentos los ediles electos de la coalición @ColombiaHumana_ @UP_Colombia @MovimientoMAIS junto a @petrogustav…</t>
  </si>
  <si>
    <t>RT @rcnradio: Petro se enfrentó a Mejía con canción 'El baile de los que sobran' https://t.co/oULHR3c4YP</t>
  </si>
  <si>
    <t>RT @anateresabernal: Hoy estamos pendientes de que el @CNE_COLOMBIA decida la 4a curul de @ColombiaHumana_ para @ConcejoDeBogota en cabeza…</t>
  </si>
  <si>
    <t>RT @petrogustavo: Esta es la persona que lidera robo de la curul de Colombia Humana en Bogotá a pesar de haber recuperado los votos suficie…</t>
  </si>
  <si>
    <t>RT @susanamuhamad: #LaCurulDeColombiaHumana ESTÁ EN VILO Hoy se reúne la Sala Plena del @CNE_COLOMBIA en dónde se definirá el futuro de la…</t>
  </si>
  <si>
    <t>RT @theworldindex: Worst work-life balance in 2019 (0=worst balance) 🇨🇴Colombia: 0.9 🇲🇽Mexico: 1.1 🇹🇷Turkey: 3.1 🇰🇷South Korea: 4.1 🇯🇵Japa…</t>
  </si>
  <si>
    <t>RT @lafm: ¿Por qué Petro respondió a Carlos Felipe Mejía con 'El baile de los que sobran'? https://t.co/AJJI1Qo4yi</t>
  </si>
  <si>
    <t>RT @jimenaoro: La guardia indígena tejió wiphalas en estaciones vandalizadas ♥️ https://t.co/v5jZnSRZTg</t>
  </si>
  <si>
    <t>RT @ktikariza: Lo de la hija de Petro es acoso a una menor de edad, grabar sin el consentimiento de los padres a una menor, es un delito.…</t>
  </si>
  <si>
    <t>RT @MorenaCactus: Señor @Jaime_Lacouture ¿se va a robar la curul de la Colombia Humana para favorecer a Cambio Radical?</t>
  </si>
  <si>
    <t>La exijo al Procurador @fcarrilloflorez que intervenga en el Consejo Nacional Electoral y vigile el escrutinio que… https://t.co/we14iJQDM9</t>
  </si>
  <si>
    <t>RT @PizarroMariaJo: Frente al @CNE_COLOMBIA solicitamos se respete el acuerdo que aceptaron todos los partidos y por lo tanto garantías par…</t>
  </si>
  <si>
    <t>Mientras Duque no acoge la demanda por garantías de derechos que le hace el pueblo colombiano en las calles, su par… https://t.co/lAHhPzGSY2</t>
  </si>
  <si>
    <t>RT @CaracolMedellin: Julián Orrego protestaba para que atendieran a su mamá con cáncer. El estudiante de la UdeA, que falleció por cargar…</t>
  </si>
  <si>
    <t>RT @petrogustavo: Mientras Duque no acoge la demanda por garantías de derechos que le hace el pueblo colombiano en las calles, su partido l…</t>
  </si>
  <si>
    <t>RT @GustavoBolivar: La falsedad del Partido Liberal. Hicieron publicidad diciendo #NoALaReformaTributaria Anunciaron en medios el hundimien…</t>
  </si>
  <si>
    <t>RT @lanavecomunica: &gt; #Venezuela REBELIÓN EN LA GRANJA DEL GUARIMBERO GUAIDÓ Diputado José Brito "Guaidó es un corrupto, este señor y su e…</t>
  </si>
  <si>
    <t>La tarea constitucional de la Fuerza Pública no es matar jóvenes en estado de indefensión. Igual que la suya no era… https://t.co/oRZGnHbLSY</t>
  </si>
  <si>
    <t>CNE ha aplazado la decisión sobre la cuarta curul de Colombia Humana en Bogotá El escrutinio le otorgó esa curul a… https://t.co/LXjF727w6m</t>
  </si>
  <si>
    <t>No es ley Andres Felipe, permite reabrir todos los procesos a los parapoliticos condenados,a los Moreno Rojas,a lo… https://t.co/0QQbSPeFJ3</t>
  </si>
  <si>
    <t>Mañana en todo el país es cese de actividades. No saque el carro, no abra el comercio, salga a marchar, alisten la… https://t.co/hK7js2LwWv</t>
  </si>
  <si>
    <t>RT @avellanedalc: Hoy estudiantes de Harvard dieron inicio a una huelga estudiantil indefinida. Este fue el panorama en este primer día ...…</t>
  </si>
  <si>
    <t>RT @pierrealee: En medio del #ParoNacional, @piedadcordoba sale en defensa de la figura política de @petrogustavo https://t.co/u9GhVtD6g3..…</t>
  </si>
  <si>
    <t>Siendo uno de los países más desiguales socialmente de la tierra y con uno de los peores sistemas educativos de la… https://t.co/Jw1ZlcNnP6</t>
  </si>
  <si>
    <t>RT @JulianRoman: https://t.co/D0LHGHZS5L</t>
  </si>
  <si>
    <t>Si le han rebajado 10 billones de pesos anualmente a los más ricos en impuestos, este dinero saldrá de la clase med… https://t.co/J4EsDjipDg</t>
  </si>
  <si>
    <t>RT @petrogustavo: Mañana en todo el país es cese de actividades. No saque el carro, no abra el comercio, salga a marchar, alisten las cace…</t>
  </si>
  <si>
    <t>RT @MarceloTorresB: Los jóvenes de Magangue también presentes en el paro https://t.co/LswpI71mDZ</t>
  </si>
  <si>
    <t>RT @DianaMunozC: El “escándalo” que pretende armar Gustavo Rugeles es que Gustavo Petro estaba bailando con su esposa en la Primera Comunió…</t>
  </si>
  <si>
    <t>RT @MartaLuxia: @DianaMunozC Niña, estaban bailando el tradicional porro María Barilla, reconocido como el himno de Córdoba y es puro porr…</t>
  </si>
  <si>
    <t>RT @LaSinEstilo: Los medios cubren el paro con la misma ética y objetividad como hicieron las entrevistas de los candidatos presidenciales.…</t>
  </si>
  <si>
    <t>No confunda a los despojadores de tierra, que lavaron el dinero de los narcos comprando tierras, que usaron la sier… https://t.co/lovg4OA5Fq</t>
  </si>
  <si>
    <t>RT @jcuestanovoa: Ya estamos en modo #3DElParoSigue Marcha con la Guardia Indígena en la localidad de Puente Aranda. Desde ya preparando el…</t>
  </si>
  <si>
    <t>RT @SenadoGovCo: #PlenariaSenado | "Lo que estamos presenciando es cómo muere una forma de financiación del Estado que produjo mucho confli…</t>
  </si>
  <si>
    <t>RT @SaninPazC: @DCoronell @MarthaC20423361 @petrogustavo Para que nunca más inventen que Petro es vociferante o atrabiliario, porque eso es…</t>
  </si>
  <si>
    <t>RT @cantoxcolombia: Claritico y desde el respeto. Ella es @AdrianaLucia, de El Carito en Córdoba. “Si el Presidente ha mostrado de alguna m…</t>
  </si>
  <si>
    <t>RT @elkindiaz37: A marchar parte 1) https://t.co/5TcvEKTcyV</t>
  </si>
  <si>
    <t>RT @MamerMoure: Ni la ley Andrés Felipe Arias, ni la reforma tributaria, ni la reforma laboral de Uribe deberían causar sorpresa. El atraco…</t>
  </si>
  <si>
    <t>RT @UldaricoChilito: El Partido liberal se unió al Paro, salieron a marchar con carteles y pitos,pagaron vallas y dijeron suspender la Ley…</t>
  </si>
  <si>
    <t>Ayer el partido liberal votó a favor de la reforma tributaria que rebaja 10 billones anuales de impuestos a los má… https://t.co/mXWjbQ6SOU</t>
  </si>
  <si>
    <t>Este proyecto no beneficia a a otras 225 personas beneficia a toda la clase política condenada por parapolitica, a… https://t.co/KYrr9tHgsi</t>
  </si>
  <si>
    <t>RT @Col_Informa: #4DParoNacional✊Juan Carlos Aguilar, líder sindical de la Unión Sindical Obrera de Barrancabermeja, explica las razones po…</t>
  </si>
  <si>
    <t>Hoy es cese de actividades económicas. Es una huelga general para llevar a Duque a negociar la mejoría de los derec… https://t.co/TQOCdhyYgn</t>
  </si>
  <si>
    <t>Mi intervención ante el esperpento de la ley Arias en la comisión primera del senado Parte I https://t.co/DTSYX1ZM13</t>
  </si>
  <si>
    <t>Mejor que quiten el retrato de Galán de la comisión primera del senado, la comisión decidió aliarse con su asesino… https://t.co/RKNtWSLocl</t>
  </si>
  <si>
    <t>RT @cerosetenta: Avanza la guardia indígena sobre la calle 26 con carrera 30. #4DElParoSigue https://t.co/sDpgpYQdi2</t>
  </si>
  <si>
    <t>RT @Hekatombe_: En la calle 26 con 30 se escucha a esta hora el himno de la guardia indígena. No estamos llorando, solo se nos metió un ba…</t>
  </si>
  <si>
    <t>RT @Col_Informa: #4DParoNacional | Estudiantes universitarios de #Barrancabermeja se tomaron el puente elevado desde las 7:00 a.m en el mar…</t>
  </si>
  <si>
    <t>RT @cutcolombia: #Bogotá Se alista para salir a movilizarse la gigantesca movilización del #4DParoNacional contra el #PaquetazoDeDuque htt…</t>
  </si>
  <si>
    <t>RT @rcnradio: Fecode denunció que su presidente recibió amenazas de muerte en #Paro4D https://t.co/lfjv6EVx1W</t>
  </si>
  <si>
    <t>RT @Col_Informa: #paro4D✊| En el punto de encuentro en Héroes en #Bogotá se preparan para participar en el #paronacional4D https://t.co/K36…</t>
  </si>
  <si>
    <t>RT @FelicianoValen: En el norte del Cauca los pueblos indígenas de @ACIN_Cauca se movilizan hacia Cali en esta gran Minga Nacional contra e…</t>
  </si>
  <si>
    <t>RT @Col_Informa: #4DParoNacional | Cientos de personas se movilizan en #Cúcuta en apoyo a las jornadas de Paro Nacional #paro4D 🥄🚨 https://…</t>
  </si>
  <si>
    <t>RT @Hekatombe_: Ay miren esta bellezura que nos llega desde Barranca, pura 🔥Ay miren esta bellezura que nos llega desde Barranca, pura 🔥 #4…</t>
  </si>
  <si>
    <t>RT @roa_yan: Esto pasa a esta hora en la Av 1ro de Mayo con Cra 10ma‼️ Gracias @PoliciaColombia Cuantos muertos más necesitan para escucha…</t>
  </si>
  <si>
    <t>RT @Col_Informa: #paro4D✊| En Mocoa, en Putumayo inician las protestas durante el #paronacional4D https://t.co/DVh6YmRDEW</t>
  </si>
  <si>
    <t>RT @CanalCapital: De manera pacífica avanza la marcha de la minga indígena que se dirige a esta hora por la NQS sentido norte - sur con des…</t>
  </si>
  <si>
    <t>Ha salido el campesinado del catatumbo al Paro, nacional. https://t.co/YxDxxXB7jN</t>
  </si>
  <si>
    <t>RT @BluRadioCo: #Fotos | A esta hora ya avanzan manifestaciones en las principales vías de la ciudad de Tunja #MañanasBLU https://t.co/0yOk…</t>
  </si>
  <si>
    <t>RT @BluRadioCo: #Video | A esta hora hay bloqueos en el carril mixto de la Autopista Norte, a la altura de la calle 153, por cuenta de una…</t>
  </si>
  <si>
    <t>RT @WRadioColombia: #Regiones Manifestación en #Cartagena obliga a levantar talanqueras de parajes internos. Además de los reclamos a nivel…</t>
  </si>
  <si>
    <t>RT @Col_Informa: #paro4D✊| Protesta por la Avenida Américas en #Bogotá. #paronacional4D #4DParoNacional https://t.co/fN5MmbSbXZ</t>
  </si>
  <si>
    <t>RT @Lopezgrafico: Aviso de un bar cerrado. https://t.co/53umljpBPB</t>
  </si>
  <si>
    <t>Esto es una primera linea. En Chile garantizan la.paz de la manifestación https://t.co/GxkhyFJAue</t>
  </si>
  <si>
    <t>RT @cerosetenta: Así va la marcha que avanza por la carrera 30 #4DElParoSigue https://t.co/ajpk3HSSNn</t>
  </si>
  <si>
    <t>RT @elespectador: #paronacional4D Comienza a avanzar la marcha de estudiantes e indígenas por la carrera 30. https://t.co/aGiZ5ExD5W</t>
  </si>
  <si>
    <t>Desde lo local se organiza la gran movilización nacional. https://t.co/2V97RxCoZK</t>
  </si>
  <si>
    <t>RT @BluRadioCo: #Video | Así transcurre la marcha en una nueva movilización por el #ParoNacional en Ibagué, Tolima #MañanasBLU https://t.c…</t>
  </si>
  <si>
    <t>RT @cerosetenta: #4DElParoSigue y así se ve desde las alturas sobre la carrera 30. https://t.co/9RohWticjT</t>
  </si>
  <si>
    <t>RT @elcolombiano: @personeriamed La marcha del avanza con dirección al Parque de El Poblado. Haga sus reportes con la etiqueta #ParoEnMedel…</t>
  </si>
  <si>
    <t>RT @petrogustavo: Mi intervención ante el esperpento de la ley Arias en la comisión primera del senado Parte I https://t.co/DTSYX1ZM13</t>
  </si>
  <si>
    <t>RT @petrogustavo: Mejor que quiten el retrato de Galán de la comisión primera del senado, la comisión decidió aliarse con su asesino y abri…</t>
  </si>
  <si>
    <t>Los grandes comerciantes están en Fenalco, el presidente de FENALCO quien les pidió votar por Duque era Botero, y l… https://t.co/hVqOeFQGvi</t>
  </si>
  <si>
    <t>RT @DefenderLiberta: #4DElParoSigue Una vez más se demuestra que cuando el #ESMAD no esta "escoltando" las movilizaciones, estas se puede…</t>
  </si>
  <si>
    <t>RT @Sanchezbaute: 3:00 pm y la Plaza de Bolívar ya está repleta. ¿No dizque el 60% no quiere saber nada del paro? ¡Ay, los encuestadores m…</t>
  </si>
  <si>
    <t>En la plaza de Bolívar de Bogotá https://t.co/Ofz2BIWNQK</t>
  </si>
  <si>
    <t>Miren lo que me paso en la Plaza de Bolívar. https://t.co/Xn42TASp3i</t>
  </si>
  <si>
    <t>RT @ActualidadRT: Se cumplen 50 años de la muerte de Fred Hampton, uno de los líderes de la organización radical Panteras negras, que lucha…</t>
  </si>
  <si>
    <t>RT @cutcolombia: #Agenda Vamos al #Cacerolazo4D contra el Paquetazo Tributario que viene aprobando el Congreso de la República por orden d…</t>
  </si>
  <si>
    <t>A partir de las 7 pm en todo el país estalla el cacerolazo cantable. Hoy 4D. Después de las plazas llenas a los ba… https://t.co/0bvorawEkY</t>
  </si>
  <si>
    <t>RT @pulzo: “Si el movimiento se debilita, Duque viene por todo”: @petrogustavo, al hablar del #4DElParoSigue #Paro4D #ParoNacional #ParoOtr…</t>
  </si>
  <si>
    <t>RT @JulianJaraUribe: A esta hora en Cali #4DElParoSigue en el CAM #ParoNacional4D #Paro4D https://t.co/INbALwUXKH</t>
  </si>
  <si>
    <t>RT @AquinoTicias1: Pero mirate esta alegría de la movilizaifon en Medellín. Cuando el arte sale a las calles a manifestar su indignación, l…</t>
  </si>
  <si>
    <t>RT @kienyke: @TrapieLLo @Col_Informa @VictorMarenco @MARIOBURITICA1 @VanessaCastroA_ @lilianacs93 @EnterateCali #Regiones | Varios manifest…</t>
  </si>
  <si>
    <t>RT @ELTIEMPO: #Bogotá | Integrantes de la 'primera linea' se movilizan en este momento por la Séptima hacia el norte de la ciudad. 📸: Camil…</t>
  </si>
  <si>
    <t>RT @descifraguerra: 🇨🇴 Movilización en Pasto, oeste de Colombia por el Paro Nacional. https://t.co/dZhPiqi8ej</t>
  </si>
  <si>
    <t>RT @maritza_serrano: Calle 19, cra 7 a esta hora en Bogotá #paronacional4D #paro4D #ElParoNoPara4D @CathyJuvinao @YolandaRuizCe @ZuluagaCa…</t>
  </si>
  <si>
    <t>RT @AdrianaLucia: No nos van a callar. No lo van a lograr. Tienen una deuda social gigantesca con este país. Sigan sordos y aprobando leyes…</t>
  </si>
  <si>
    <t>RT @andrefelgiraldo: Anuncian paro general en Francia. Culpa de Petrois (Léase Petruá).</t>
  </si>
  <si>
    <t>RT @lasillaenvivo: #4DLaSilla @petrogustavo llegó al Congreso con el puño en alto y la gente comenzó a gritar. #Bogotá https://t.co/cb87arH…</t>
  </si>
  <si>
    <t>RT @petrogustavo: Miren lo que me paso en la Plaza de Bolívar. https://t.co/Xn42TASp3i</t>
  </si>
  <si>
    <t>RT @descifraguerra: 🇨🇴 Manifestaciones en Manizales, oeste de Colombia durante este paro nacional. https://t.co/RCbYO41f3y</t>
  </si>
  <si>
    <t>RT @HozkarHernandez: #paronacional4D Bucaramanga marcha en paz. La fiesta del #paro4D https://t.co/cSv682d0Fu</t>
  </si>
  <si>
    <t>RT @BLUSantanderes: #VIDEO Más de 10.000 personas participan en la marcha del #ParoNacional en Bucaramanga https://t.co/CXTpd4I0v4 #VocesyS…</t>
  </si>
  <si>
    <t>RT @NCBogota: #MarchasEnColombia Grupo de manifestantes sale de la Plaza de Bolívar hacia el parque Santander. Los protestantes se desplaza…</t>
  </si>
  <si>
    <t>RT @JvenesProgresis: El Paro sigue #4DElParoSigue https://t.co/1EZGdSrAbZ</t>
  </si>
  <si>
    <t>RT @kathecorma2209: Te amo Santiago de Cali. #4D https://t.co/AZXVAd1G1j</t>
  </si>
  <si>
    <t>RT @cerosetenta: En la Plaza de Bolívar se encuentra el senador @petrogustavo junto a quienes se manifiestan. #4DParoNacional https://t.co/…</t>
  </si>
  <si>
    <t>RT @NoticiasUno: #NoticiasUno| A esta hora este es el panorama de la Plaza de Bolívar de Bogotá, donde los manifestantes siguen llegando de…</t>
  </si>
  <si>
    <t>RT @petrogustavo: A partir de las 7 pm en todo el país estalla el cacerolazo cantable. Hoy 4D. Después de las plazas llenas a los balcones…</t>
  </si>
  <si>
    <t>RT @ErikaOSanoja: EN DIRECTO | Huelga general en #Colombia https://t.co/uAQoOMzUm1</t>
  </si>
  <si>
    <t>RT @VictorMarenco: Queridos amigos brasileiros, convido-os do fundo do coração a demonstrar sua solidariedade com os colombianos: Estamos l…</t>
  </si>
  <si>
    <t>RT @elANTIMILI: Vea, aquí le pregunto a los 2 Carabineros de @PoliciaMedellin enviados por @tobonvillada ¿Si me vieron algo en las manos o…</t>
  </si>
  <si>
    <t>RT @lasillaenvivo: #4DLaSilla Llegó la Guardia Cimarrona a la Plaza de Bolívar con @tostaocqt incluido. #Bogotá https://t.co/tVK7tZHrKk</t>
  </si>
  <si>
    <t>Ni un policia más herido, ni un joven más asesinado, esto es con Duque.</t>
  </si>
  <si>
    <t>RT @leocastro85: Esta señora da esperanza. #4DElParoSigue #paro4D https://t.co/bE3SztIA3f</t>
  </si>
  <si>
    <t>RT @petrogustavo: Ni un policia más herido, ni un joven más asesinado, esto es con Duque.</t>
  </si>
  <si>
    <t>RT @AndresCamiloHR: ¿Quien dijo que @petrogustavo no toca la cacerola? #4DElParoSigue https://t.co/bUyLsdErX0</t>
  </si>
  <si>
    <t>RT @Col_Informa: #4DElParoSigue✊ | Miles y miles de bogotanos y bogotanas continúan las marchas hacia el norte de Bogotá. #ElBaileDeLosQueS…</t>
  </si>
  <si>
    <t>RT @UldaricoChilito: Según el Uribismo cuatro pelagatos "bloqueaban" las calles en las ciudades. Miren sus cuatro pelagatos en Bogotá, Tunj…</t>
  </si>
  <si>
    <t>RT @DanielBejarano_: Colombia: thousands take to the streets in third national strike in two weeks https://t.co/CZnhaRtwhV</t>
  </si>
  <si>
    <t>RT @WRadioColombia: A esta hora se realiza un cacerolazo en el Parque de los Hippies. La Carrera Séptima está cerrada en ese punto. https:/…</t>
  </si>
  <si>
    <t>RT @MorenaCactus: Creo que amo a la peliroja ❤ si la conocen le dicen https://t.co/VKtxYmAQmh</t>
  </si>
  <si>
    <t>RT @CanalCapital: La música, protagonista de esta nueva jornada de movilizaciones en Bogotá → https://t.co/ZkjOiqHJpw</t>
  </si>
  <si>
    <t>RT @BluRadioCo: ¡Con bombos y redoblantes! Así llegaron cientos de manifestantes al Museo Nacional en Bogotá, en una nueva jornada de #Paro…</t>
  </si>
  <si>
    <t>RT @alexflorezh_: Alcalde @FicoGutierrez ¿por qué decide enviar el ESMAD a una marcha que se desarrollaba pacíficamente? Usted solo es un…</t>
  </si>
  <si>
    <t>RT @Col_Informa: #4DElParoSigue✊| #Pasto, en la capital de #Nariño con lleno total de manifestantes. #ElBaileDeLosQueSobran #paro4D #4DPar…</t>
  </si>
  <si>
    <t>RT @lasillavacia: #DetectorDeMentiras ¿Le llegó una imagen de un supuesto trino de Petro diciendo que si fuese presidente continuaría con e…</t>
  </si>
  <si>
    <t>RT @AdrianaLucia: Este domingo ¡VAMOS A LLENAR LA SÉPTIMA! Nos vemos a las 8:30 en el planetario. No nos van a callar y si nuestra voz inco…</t>
  </si>
  <si>
    <t>RT @AAINJAA: ¡VIVA EL PARO NACIONAL! 🇨🇴 Con arte, fuerza y amor luchamos por un país mejor. #AAINJAA #AAINJAAconelParoNacional #4DElParoS…</t>
  </si>
  <si>
    <t>RT @tikopineda: De las cacerolas a las tamboras. La calle y la movilización. Los sonidos de la democracia callejera. #paronacional4D https…</t>
  </si>
  <si>
    <t>RT @AmarantaHank: Estábamos tranquilos cantando, bailando, gritando en Ciudad del Río y adivinen quién llegó a lanzarnos gases lacrimógenos.</t>
  </si>
  <si>
    <t>RT @CONAIE_Ecuador: La CONAIE expresa su respaldo al #4DParoNacional de #Colombia y a los pueblos indígenas @ONIC_Colombia, junto a la Guar…</t>
  </si>
  <si>
    <t>RT @Essscai: NOS ESTÁN ATACANDO AYUDA PORTADA AL MAR CALI AYUDA https://t.co/FMVfpDHcb6</t>
  </si>
  <si>
    <t>RT @TheTuitero1A: Autopista Norte. Esta gente sí me representa. En la lucha muchachos. #4DElParoSigue https://t.co/Mk9FMx3aIC</t>
  </si>
  <si>
    <t>RT @jfzuluaga: Carmina Burana en el paro en Cali. No estoy llorando. TÚ estás llorando. https://t.co/OMKdgMWaGg</t>
  </si>
  <si>
    <t>RT @OxfamenColombia: Colombia es el país más desigual en el acceso a la tierra en América Latina. Conoce más sobre esta lamentable situació…</t>
  </si>
  <si>
    <t>RT @HOLLMANMORRIS: No se si han visto lo de Bucaramanga en este paro. Este video es de hoy, miles y miles de personas en las calles manifes…</t>
  </si>
  <si>
    <t>RT @ELTIEMPO: Así suena #Bogotá en este momento. Desde el Centro Internacional de la capital reportan un 'cacerolazo' que se suma a las man…</t>
  </si>
  <si>
    <t>RT @HOLLMANMORRIS: A está hora en Bogotá Colombia continúa el Paro Nacional . Crea 7 con 63 , bicicleta , cacerola , tambor , juventud, dig…</t>
  </si>
  <si>
    <t>RT @MafeCarrascal: Van 11 detenidos en Pereira, el ESMAD está reprimiendo a lo que da. @IvanDuque lo que les pase será su responsabilidad.…</t>
  </si>
  <si>
    <t>RT @Citytv: Así suena #Bogotá en este momento. Desde el Centro Internacional de la capital reportan un 'cacerolazo' que se suma a las manif…</t>
  </si>
  <si>
    <t>RT @GuevaMono: Este video fue grabado desde un bar de la puerta del sol donde nos metimos para protegernos. El ESMAD disparaba a matar en B…</t>
  </si>
  <si>
    <t>RT @JaimeDelTodoES: El paro se apropió de Petro https://t.co/Q7g5QepvAg</t>
  </si>
  <si>
    <t>RT @GustavoBolivar: Con toda humildad, doy mi fórmula para ganar la presidencia y las mayorías del Congreso en 2022 #VivaElParoNacional #5D…</t>
  </si>
  <si>
    <t>RT @JuanHoughton: Cosas que vi hoy en Bogotá en la jornada del Paro Nacional (1) Se convoca a sí mismo. Camina por donde le da la gana.…</t>
  </si>
  <si>
    <t>RT @fdbedout: 79% dice que la situación en Colombia está empeorando. 70% desaprobación de la gestión de gobierno. 74% aprueba la motivaci…</t>
  </si>
  <si>
    <t>74% de la población aprueba la motivación del.Paro y el 70% desaprueba la gestión del Presidente Esta es la nueva realidad política.</t>
  </si>
  <si>
    <t>RT @GustavoBolivar: El gob debería perseguir estudiantes pero para matricularlos en las universidades. Es una grosería como Duque -70 persi…</t>
  </si>
  <si>
    <t>RT @Laura_Fajardo13: Les dejo un vídeo de mi abuela llorando viendo las marchas y viendo como les manifestantes le gritaban y mandaban beso…</t>
  </si>
  <si>
    <t>RT @HOLLMANMORRIS: ¡A ver , a ver quien lleva la batuta ! Los estudiantes , la sociedad en las calles , el movimiento social ... Ya es hora…</t>
  </si>
  <si>
    <t>RT @Col_Informa: #4DElParoSigue✊| Policías detienen a manifestantes. Denuncian que miembros de @PoliciaColombia no estaban plenamente iden…</t>
  </si>
  <si>
    <t>El alcalde de Medellín decidió reprimir a los jóvenes del paro en Medellín. Se les escapa la sociedad antioqueña… https://t.co/VC9CbHAz2d</t>
  </si>
  <si>
    <t>RT @ChalecosAmarill: 📽🆘️ #Chile || ¡IMPRESIONANTE! ✔Un estadio vacío y un pueblo en protesta ⚠️VAMOS HACERLO VIRAL⚠️ @rhm1947 @RalitoDig…</t>
  </si>
  <si>
    <t>El voto del partido liberal, de Roy Barreras, de Lara, al lado de los uribistas para generar la destruccion de los.… https://t.co/AzCgI1GYoE</t>
  </si>
  <si>
    <t>RT @petrogustavo: 74% de la población aprueba la motivación del.Paro y el 70% desaprueba la gestión del Presidente Esta es la nueva realid…</t>
  </si>
  <si>
    <t>RT @GOYOCQT: Se trata de respeto, resilencia, recordarles que estamos aquí y que sabemos nuestra historia y la de nuestros ancestros . Re…</t>
  </si>
  <si>
    <t>Se fué Fabio Callejas, periodista. Nos acompañó en muchos de mis episodios por mi tránsito en el Congreso. QEPD https://t.co/5aN5e0yJmx</t>
  </si>
  <si>
    <t>Hoy Francia queda paralizada por una gran huelga general de su pueblo. https://t.co/KUBKi3cDhW</t>
  </si>
  <si>
    <t>RT @dw_espanol: Gran huelga en #Francia Los manifestantes rechazan la reforma de pensiones impulsada por el Gobierno de @EmmanuelMacron.…</t>
  </si>
  <si>
    <t>La idea es que el pueblo colectivanente logre que Duque negocie las reformas a la ley 100, 50 y 30 y reinstale la P… https://t.co/X9BLRAHxMA</t>
  </si>
  <si>
    <t>Esos indígenas marchan porque en el Cauca unos terratenientes desde la época de la esclavitud, entre los cuales est… https://t.co/xPoUwN2Sap</t>
  </si>
  <si>
    <t>RT @descifraguerra: @PablodelAmo77 🇫🇷 La policía informa que se hay movilizados más de 120.000 manifestantes en 20 ciudades francesas a est…</t>
  </si>
  <si>
    <t>RT @LulyBossaTheOne: Que burla tan grande la que nos están haciendo. Los derechos enunciados en la constitución están manchados de sangre q…</t>
  </si>
  <si>
    <t>RT @RoaJavier: Los propios fascistas de #Bolivia han salido a la calle a protestar contra el gobierno de facto porque les incrementó en un…</t>
  </si>
  <si>
    <t>RT @PrensaRural: #UltimoMomento Unidades de policía, #ESMAD y Ejército, no permiten el paso de comisión de DDHH que se dirige al punto don…</t>
  </si>
  <si>
    <t>RT @JulianAPardoAc1: Plantón del gremio de la salud exigiendo #DerechoALaSalud para todos los colombianos y #DerechoAlTrabajoDigno para tod…</t>
  </si>
  <si>
    <t>RT @petrogustavo: El voto del partido liberal, de Roy Barreras, de Lara, al lado de los uribistas para generar la destruccion de los.proces…</t>
  </si>
  <si>
    <t>RT @AdrianaLucia: ¡VAMOS A LLENAR LA SÉPTIMA! Algún día nos tendrán que escuchar. Convoco a todos los artistas que se quieran sumar. Música…</t>
  </si>
  <si>
    <t>RT @JulianRoman: Y siguen indignados por un globo rosado y no por la #LeyAndresFelipeArias ? deberían ir a tratarse con un profesional, a l…</t>
  </si>
  <si>
    <t>RT @Ellefan_SC: Cortège très impressionnant au moins 10000 personnes #Rouen #5decembre #greve5decembre https://t.co/riUJjrtToP</t>
  </si>
  <si>
    <t>RT @jcuestanovoa: Petro en la plaza de Bolívar. Y mientras tanto el 70% de los Colombianos desaprueba la gestión de Duque. https://t.co/DuZ…</t>
  </si>
  <si>
    <t>RT @GOYOCQT: Soy la misma persona, Que canta Ríe y llora. Yo camine por mi Gente con la guardia cimarrona que llegó del Cauca Y no recuerd…</t>
  </si>
  <si>
    <t>RT @PrensaRural: #UltimoMomento Después de retener ilegalmente durante 8 horas a los buses donde viajaban 500 campesinos hacia Barrancaber…</t>
  </si>
  <si>
    <t>RT @Maximo_NoriegaR: ¿Por qué en el juicio a Julio Gerlein y Aida Merlano no se toca al senador Arturo Char, quien es investigado por la Co…</t>
  </si>
  <si>
    <t>RT @wilsonariasc: Estos son los congresistas que votaron sí a la Reforma Tributaria en Comisión III, varios de ellos dijeron ante las cámar…</t>
  </si>
  <si>
    <t>¿Será que el catrochavismo y el Foro de Sao Paulo se compraron la población de Paris?</t>
  </si>
  <si>
    <t>El cambio del sistema tarifario que puso Bogotá Humana, reduciendo tarifas en horas Valle y bajando la tarifa susta… https://t.co/Xu7oRGnlhT</t>
  </si>
  <si>
    <t>RT @lanavecomunica: HUELGA CONTRA MACRON&gt; 5 DE DICIEMBRE &amp;gt; FRANCIA TOULOUSE Miles de manifestantes están en las calles de Toulouse en luch…</t>
  </si>
  <si>
    <t>RT @Robertootrebor6: Lo que los medios callaron ayer de la visita a Cali del subpresidente @IvanDuque, es qué la policía prohibió y reprimi…</t>
  </si>
  <si>
    <t>RT @IvanCepedaCast: De esto te hablamos, viejo. https://t.co/rSoCkPEGH9</t>
  </si>
  <si>
    <t>Mañana a reventar la séptima de Bogotá con arte y con cultura y en movilización social por los derechos de la gente</t>
  </si>
  <si>
    <t>RT @usofrenteobrero: 3 mil contratistas y conductores de @ECOPETROL_SA carecen de condiciones mínimas de trabajo #6DElParoSigue #VivaLaUSO…</t>
  </si>
  <si>
    <t>RT @ManosLimpiasCo: De @ChalaSaenz La gran mentira: el país está dividido en izquierda y derecha con el fin de manipularlo El país está…</t>
  </si>
  <si>
    <t>RT @petrogustavo: Mañana a reventar la séptima de Bogotá con arte y con cultura y en movilización social por los derechos de la gente</t>
  </si>
  <si>
    <t>Otra vez el uribismo usando trinos falsos. Es el movimiento de la mentira. https://t.co/MxOAnZjnRQ</t>
  </si>
  <si>
    <t>RT @MoisesAlvaro_: En el #PlantonEnElDorado la Policía está reteniendo a los manifestantes. ¿De qué se les puede acusar? De oponerse a la d…</t>
  </si>
  <si>
    <t>RT @jcuestanovoa: #PlantonEnElDorado Decir en silencio: No tenemos Miedo. Es motivo para capturar a una mujer y militarizar el aeropuerto e…</t>
  </si>
  <si>
    <t>RT @MafeCarrascal: ¿Qué tiene que pasar para que la @PoliciaBogota deje de abusar de la gente que debe proteger? Esto acaba de ocurrir en e…</t>
  </si>
  <si>
    <t>RT @LaPazColombiani: Ni de las Ceremonias de Graduación te salvas Álvaro Uribe. Esto sucedió en la Institución Educativa Técnica Industrial…</t>
  </si>
  <si>
    <t>La detención de personas que portaban En silencio carteles del paro en el aeropuerto El Dorado, es un acto que va… https://t.co/rbwEl9GrFs</t>
  </si>
  <si>
    <t>Llenar la séptima. El gran concierto del Paro Nacional. El Domingo Duque escuchará el gran grito cantor del puebl… https://t.co/PRAME5NWxQ</t>
  </si>
  <si>
    <t>RT @Declaracion: Visto el informe de la OEA sobre las elecciones de #Bolivia🇧🇴, no hubo fraude sino irregularidades en algunas mesas. Inclu…</t>
  </si>
  <si>
    <t>Esta es la Asamblea de organizaciones populares que dirige la gran movilización social del pueblo colombiano. La f… https://t.co/pk9N0tjeu7</t>
  </si>
  <si>
    <t>RT @petrogustavo: Llenar la séptima. El gran concierto del Paro Nacional. El Domingo Duque escuchará el gran grito cantor del pueblo bogo…</t>
  </si>
  <si>
    <t>RT @DePasillo_col: PARO NACIONAL 🇨🇴 | #ATENCION #URGENTE Acaban de detener a nuestro reportero @JuanGomezOlarte en medio de su labor como…</t>
  </si>
  <si>
    <t>RT @MoisesAlvaro_: Cómo le duele a las roscas que gobiernan, y sus lamezuelas, que la gente sepa que lo de Uribe y Duque es una DICTADURA.…</t>
  </si>
  <si>
    <t>RT @madameperine: ¿Están listos? Mañana los esperamos con lo mejor que sabemos hacer: música. Al servicio de sus voces ponemos nuestras can…</t>
  </si>
  <si>
    <t>Estamos ante un caso de desaparición forzada y posterior asesinato de un joven que habla sido capturado por el Esma… https://t.co/gWUkW8BecH</t>
  </si>
  <si>
    <t>Ante un presidente débil, mandos de la policía están haciendo un ejercicio de arbitrariedad similar a la época de l… https://t.co/LoJ6UMdHGv</t>
  </si>
  <si>
    <t>RT @elquelosdelata: Detienen periodistas, capturan personas por mostrar un cartel, impiden las marchas pacíficas...¿Y no votaron por @petro…</t>
  </si>
  <si>
    <t>RT @DuqueHarol: El gobierno de @IvanDuque ha encerado en jaulas a periodistas que cubrían el Platón en el aeropuerto el Dorado. Qué clase…</t>
  </si>
  <si>
    <t>El MOIR debe comprender que no se trata de tener mayoría artificial en un comité de paro cerrado, con eso dañarían… https://t.co/QTCVoOINFa</t>
  </si>
  <si>
    <t>RT @GustavoBolivar: Viralicemos los mensajes d estas valientes mujeres durante su pacífico #PlantonEnElDorado: “No tenemos miedo” “Bienveni…</t>
  </si>
  <si>
    <t>RT @JulieDuque1: Fueron 28 los/as activistas y periodistas detenidos hoy en el aeropuerto ElDorado en un plantón de máximo 15 personas. Aqu…</t>
  </si>
  <si>
    <t>La policía, ante la debilidad de Duque, esta tomando decisiones autonomamente, de carácter dictatorial y en abierta… https://t.co/yHWz8Qq2V4</t>
  </si>
  <si>
    <t>RT @nicolaspetroB: Las amenazas de los Uribistas. https://t.co/Wf5JAWyKh9</t>
  </si>
  <si>
    <t>Aquí el comandante de la.policía vuelve criminal el uso el derecho a la información y el uso de las redes Todo una… https://t.co/NCL86d3LTh</t>
  </si>
  <si>
    <t>RT @GOYOCQT: Lo de llenar la séptima en Bogota mañana es un acto de Amor y Valentía para muchos de mis compañeros Artistas. !Vos no sabes q…</t>
  </si>
  <si>
    <t>RT @DaniRuedaJ: ¡Libres Emilia Frost y Soledad Granada! Que alzar nuestra voz de protesta no nos cueste la libertad ni la vida. Grandes…</t>
  </si>
  <si>
    <t>RT @PalabrasdePepe: No se preocupen, eran negros.. Así está mundo... https://t.co/o1lwxZIOLz</t>
  </si>
  <si>
    <t>RT @SteveArmero: #DiaDeVelitas #ElParoSigue Desde #BuenosAires siempre en resistencia. Visibilizando nuestra situación. No importa el dia,…</t>
  </si>
  <si>
    <t>RT @jorgeeliecersa: Nos siguen asesinando, en horas de la noche callan la voz de Rubiel Pavi, en la casa de habitación, en Toribio Cauca. A…</t>
  </si>
  <si>
    <t>RT @petrogustavo: Aquí el comandante de la.policía vuelve criminal el uso el derecho a la información y el uso de las redes Todo una funci…</t>
  </si>
  <si>
    <t>RT @jcuestanovoa: Pisoteraon y quemaron la Wiphala y hoy resurge con MAS MAS MAS fuerza. #EvoVolverá y serán millones #BoliviaResisteElGolp…</t>
  </si>
  <si>
    <t>RT @Ariasvilla: No es Maiquetía (Caracas), no es Damasco, no es Piong Yang, no es La Habana, no es Tel Aviv. Es Bogotá (El Dorado). https:/…</t>
  </si>
  <si>
    <t>RT @NoticiasUno: Cubrimiento especial Noticias Uno - Paro nacional “Concierto x Colombia” https://t.co/yYLmPqMCpE</t>
  </si>
  <si>
    <t>RT @CarlosCarrilloA: Peñalosa piensa licitar una más de las troncales “alimentadoras” de su la supertroncal de Transmimetro, lo de siempre:…</t>
  </si>
  <si>
    <t>Colombia tiene un oligopolio en la importación de medicamentos. Las empresas importadoras son a su vez propietarias… https://t.co/UpI1KZ2Pb0</t>
  </si>
  <si>
    <t>RT @ChalaSaenz: 🇨🇴 En cierta ocasión alguien me pregunto. Que porqué siendo militar retirado no era URIBISTA. Simplemente le respondí qu…</t>
  </si>
  <si>
    <t>RT @LinaGarciaSi: Hoy empieza el día con Usaquén militarizada. El objetivo: No dejar trabajar a los vendedores, artistas y artesanos que…</t>
  </si>
  <si>
    <t>RT @JulianRoman: Arrancamos https://t.co/Q4CmhTfz87</t>
  </si>
  <si>
    <t>RT @HELIODOPTERO: Erica Cifuentes, agredida por @PoliciaColombia La arrestaron y golpearon brutalmente en una patrulla el 4 de diciembre.…</t>
  </si>
  <si>
    <t>El mensaje del gobierno de los EEUU es que es válido que los dirigentes latinoamericanos sean corruptos y se articu… https://t.co/DFmzU4c5Qh</t>
  </si>
  <si>
    <t>RT @petrogustavo: Colombia tiene un oligopolio en la importación de medicamentos. Las empresas importadoras son a su vez propietarias de EP…</t>
  </si>
  <si>
    <t>RT @JavierAdaime: Hoy ya sabemos que en Bolivia gano @evoespueblo y que la @OEA_oficial jugó papel importante para ayudar al golpe de estad…</t>
  </si>
  <si>
    <t>Mientras más gente sale a las calles, mas involuciona el Estado y los partidos tradicionales. Hemos vuelto a los t… https://t.co/2EqnBPSDk3</t>
  </si>
  <si>
    <t>RT @PlataformaALTO: En este momento, la ciudadanía levantando su voz!!! #UnCantoXColombia https://t.co/tw2TKoIVOT</t>
  </si>
  <si>
    <t>RT @petrogustavo: Mientras más gente sale a las calles, mas involuciona el Estado y los partidos tradicionales. Hemos vuelto a los tiempos…</t>
  </si>
  <si>
    <t>RT @Santialarconu: Los Prisioneros nos envían un mensaje a todos los Colombianos que Mañana vamos a marchar. #UnCantoXColombia @PPrisioner…</t>
  </si>
  <si>
    <t>RT @Citytv: El concierto móvil se desplaza cerca del Museo Nacional, que emprende su camino hasta llegar a la calle 85, la fase final del c…</t>
  </si>
  <si>
    <t>RT @BluRadioCo: #Video | El músico César López (@HastaVida) también hace presencia en la marcha a que adelanta a esta hora en Bogotá #Voces…</t>
  </si>
  <si>
    <t>RT @RadNalCo: #Hechos Así se ve la carrera Séptima con 36 en el marco del concierto 'Un canto por Colombia' que se realiza hoy en Bogotá. h…</t>
  </si>
  <si>
    <t>RT @JuanHoughton: Toda la Séptima en Bogotá es un río de gente insumisa, digna, resistente. El #8DParoNacional #UnCantoXColombia es un gr…</t>
  </si>
  <si>
    <t>RT @PrensaRural: El pueblo colma las calles de dignidad en Bogotá, durante la jornada de Paro Nacional. #UnCantoXColombia #8DElParoSigue ht…</t>
  </si>
  <si>
    <t>Los impuestos que dejan de cobrarle a los más poderosos se lo cobrarán a la clase media. Lo dije en la campaña pre… https://t.co/qq9N01hd7E</t>
  </si>
  <si>
    <t>RT @PstColombia: #UnCantoXColombia #8DElParoSigue En Bogotá la gente en las calles #AbajoDuque https://t.co/woUUCJSTHB</t>
  </si>
  <si>
    <t>RT @DiegoTrujilloD: Y esto: https://t.co/apdZWRYna2</t>
  </si>
  <si>
    <t>RT @DiegoTrujilloD: Esto es de lo más emocionante que he visto! #VivaElParoNacional viva @AdrianaLucia https://t.co/Xe0vh8jt0K</t>
  </si>
  <si>
    <t>RT @lbertoortiz: A esta hora Bogotá Así despierta Colombia!! #UnCantoXColombia #TodosContraElDesgobiernoDuque https://t.co/oU2XAfX8bM</t>
  </si>
  <si>
    <t>RT @RollingStoneCol: #UnCantoXColombia| El escenario móvil se desplaza por la carrera séptima, mientras la ciudadanía hace sentir su voz.…</t>
  </si>
  <si>
    <t>RT @Citytv: #Bogotá | César López, uno de los músicos y compositores más emblemáticos de #UnCantoPorColombia, camino a uno de los escenario…</t>
  </si>
  <si>
    <t>Lo que no pudo hacer Duque con los rastrojos, el empresario Inglés en Cúcuta, si lo pudo hacer el verdadero pueblo… https://t.co/MHijHELbRr</t>
  </si>
  <si>
    <t>RT @NanyPardo: Bueno saber, senadora @MariaFdaCabal, que es usted quien está detrás de este grupo de personas que se dedican aquí en Twitte…</t>
  </si>
  <si>
    <t>RT @petrogustavo: Los impuestos que dejan de cobrarle a los más poderosos se lo cobrarán a la clase media. Lo dije en la campaña presidenc…</t>
  </si>
  <si>
    <t>RT @petrogustavo: Lo que no pudo hacer Duque con los rastrojos, el empresario Inglés en Cúcuta, si lo pudo hacer el verdadero pueblo colomb…</t>
  </si>
  <si>
    <t>RT @AlejoPalacioRes: El arte para liberar a Colombia. #UnCantoXColombia https://t.co/9QqsJtUnKl</t>
  </si>
  <si>
    <t>RT @CGTCol: #UnCantoXColombia Por la educación gratuita y de calidad, por el salario vital, por la salud digna. #8DParoNacional #8DElPa…</t>
  </si>
  <si>
    <t>RT @ammejiaaguado: Apoteósica manifestación de la Revolución del S XXI . https://t.co/sX1OkbFH78</t>
  </si>
  <si>
    <t>RT @GustavoBolivar: #UnCantoXColombia Duque este es el día 18 de paro y la gente no se cansa. Ni se cansará. Este #ParoNacional se acaba c…</t>
  </si>
  <si>
    <t>RT @HOLLMANMORRIS: En marcha familia Petro #UnCantoXColombia #ParoNacionalIndefinido #8DElParoSigue @petrogustavo https://t.co/mXMGolzL…</t>
  </si>
  <si>
    <t>RT @lfafanador: Por mi casa pasó un río, son jóvenes sedientos de cambio #UnCantoXPorColombia https://t.co/XXeXCdUQ2c</t>
  </si>
  <si>
    <t>RT @charry_manager: #NoPudieron pero detenernos... https://t.co/wGepnemImJ</t>
  </si>
  <si>
    <t>RT @pierrealee: Así luce @Bogota, pero es el mismo sentir en el resto del país. Que el mal gobierno de @IvanDuque sepa de que le hablamos #…</t>
  </si>
  <si>
    <t>RT @nicolaspetroB: Impresionante!!!! #UnCantoXColombia #conciertodelparo #8DElParoSigue https://t.co/fvfwooeMWI</t>
  </si>
  <si>
    <t>RT @IvanCepedaCast: Este es un mensaje claro al Gobierno y al Congreso: no más despotismo, no más corrupción, no más abusos. La gente está…</t>
  </si>
  <si>
    <t>RT @ELTIEMPO: "El Estado no me cuida, me cuidan mis amigas". 'Un violador en tu camino', el canto feminista que le ha dado la vuelta al mun…</t>
  </si>
  <si>
    <t>RT @IvanCepedaCast: Vista aérea del concierto en la calle 60 con carrera 7, hoy sábado, 8 de diciembre, a la 1 p.m. #SíPudimos, #8DElParoSi…</t>
  </si>
  <si>
    <t>RT @IvanCepedaCast: #UnCantoXColombia, #ElParoSigue: https://t.co/YCMYvBBrDc</t>
  </si>
  <si>
    <t>RT @borjahcarlos: Se está haciendo HISTORIA #Temblor #ParoNacionalIndefinido #8DParoNacional https://t.co/at0CwlEdjY</t>
  </si>
  <si>
    <t>RT @IvanCepedaCast: A esta hora el canto al cambio político que requiere Colombia: https://t.co/CxV02Q31J0</t>
  </si>
  <si>
    <t>RT @elsemblante: Los oligarcas por prestación de servicios dirán que "los dejemos producir". Pues sí, esto es trabajar por Colombia. Conci…</t>
  </si>
  <si>
    <t>RT @mapaho4: El pueblo no se rinde, carajo! https://t.co/a9vFkAHk6d</t>
  </si>
  <si>
    <t>RT @WilmerAlcalMu2: ‘El baile de los que sobran’ en el Parque de los Hippies #UnCantoXColombia https://t.co/ixSD2RsCcp</t>
  </si>
  <si>
    <t>RT @MelissaM1904: #UnCantoXColombia Este es mi hermoso país, estimado Gobierno. Le pido el favor de que lo trate bien, con respeto y de man…</t>
  </si>
  <si>
    <t>RT @Julerck: El baile de los que sobran, de los chilenos Los Prisioneros, cantada a pulmón en Bogotá. #UnCantoXColombia #ParoNacional https…</t>
  </si>
  <si>
    <t>Allí cerca a donde nació la palabra democracia, esta hoy la fosa común más grande del planeta. Son los tiempos de… https://t.co/hSfy2IeC3C</t>
  </si>
  <si>
    <t>Duque no quiere escuchar este pueblo, este pueblo ya reventó el comité de paro y exige su ampliación con delegados… https://t.co/fpx7gv0oac</t>
  </si>
  <si>
    <t>RT @ChalecosAmarill: 📽🆘️ BRUTAL!! || #Colombia ✔Orgullo de #Bogota 💪 #UnCantoXColombia #8DElParoSigue ⚠️VAMOS HACERLO VIRAL⚠️ @rhm1947 @…</t>
  </si>
  <si>
    <t>RT @HOLLMANMORRIS: Salí marché y vi juventud empoderada, juventud rebelde, juventud que va a cambiar este país. Ellos marcarán el rumbo.…</t>
  </si>
  <si>
    <t>RT @DanielBejarano_: que hermoso todo! dan ganas de llorar, es emocionante lo que esta pasando! de la mano de los artistas y las ciudadanía…</t>
  </si>
  <si>
    <t>RT @petrogustavo: Duque no quiere escuchar este pueblo, este pueblo ya reventó el comité de paro y exige su ampliación con delegados de las…</t>
  </si>
  <si>
    <t>En marcha. https://t.co/TGfbNDFEkF</t>
  </si>
  <si>
    <t>Esta es la Colombia de las multitudes en la calle. La Colombia que enseña a América Latina su andar. La Colombia qu… https://t.co/Tb9jULL8tE</t>
  </si>
  <si>
    <t>RT @GataFranca: De esto te hablamos, viejo @IvanDuque. Sí podemos, @NancyPatricia_G. https://t.co/0AbZdJNowj</t>
  </si>
  <si>
    <t>RT @petrogustavo: Esta es la Colombia de las multitudes en la calle. La Colombia que enseña a América Latina su andar. La Colombia que le e…</t>
  </si>
  <si>
    <t>RT @ammejiaaguado: Hoy, millones d Colombian@s desde las calles con #UnCantoXColombia le decimos @IvanDuque #ElPuebloNoSeRindeCarajo Hoy es…</t>
  </si>
  <si>
    <t>RT @colombia_hist: Manifestación en Bogotá realizada después de conocerse las noticias de la guerra en el Amazonas y la pérdida de territor…</t>
  </si>
  <si>
    <t>RT @dw_espanol: 🇨🇴 #Colombia: Marcha con artistas da impulso a las protestas Bogotá se ha transformado en un auténtico escenario revulsivo…</t>
  </si>
  <si>
    <t>RT @martinezcats: Afuera no comen cuento https://t.co/CtxZo76CSZ</t>
  </si>
  <si>
    <t>RT @HastaVida: Le hemos cumplido a Colombia. Cantaremos hasta el día que este pueblo nuestro pare de sufrir y viva con dignidad . Foto: Ma…</t>
  </si>
  <si>
    <t>RT @petrogustavo: En marcha. https://t.co/TGfbNDFEkF</t>
  </si>
  <si>
    <t>Este es el debate con el senador Velasco y el partido liberal que voto la ley Arias de impunidad a los crímenes de… https://t.co/Z9mmuRBcdM</t>
  </si>
  <si>
    <t>RT @Ivager69: Marchando con @HOLLMANMORRIS @petrogustavo y miles de colombianos cansados de la corrupción, de las reformas neoliberales, de…</t>
  </si>
  <si>
    <t>RT @ginnamorelo: La generación que se cuenta a través del arte, de la vida, de la esperanza #8D #Colombia https://t.co/zogiPEbdl5</t>
  </si>
  <si>
    <t>RT @AdrianaLucia: ¡¡RESISTENCIA!! @cantoxcolombia https://t.co/MUpzfPsNdW</t>
  </si>
  <si>
    <t>Adelante. Este paro continuara hasta que Duque se siente a negociar las leyes de la salud, la educación, la estabil… https://t.co/cBQqPcb53i</t>
  </si>
  <si>
    <t>¿Se preguntaban que son las ciudadanías libres? Estas son las ciudadanías libres, las que no venden su voto, las qu… https://t.co/f4DZCgjPKg</t>
  </si>
  <si>
    <t>Excelente, Gabriela Tafur, expresa inteligencia y solidaridad social. La conciencia social es básica para transfor… https://t.co/4NRvSzlAwd</t>
  </si>
  <si>
    <t>RT @Uriasv: El dato: Para que uno de sus hijos suba un peldaño en la escalera social en Colombia se requiere de 120 años o lo que es lo mis…</t>
  </si>
  <si>
    <t>Ahora Medellín vera la más grande manifestacion de su historia a través del canto Le solicito a la juventud de las… https://t.co/9tWWWxbBGB</t>
  </si>
  <si>
    <t>Solo el 15% de la población apoya a Duque. Es la crisis de legitimidad más grande en la historia presidencial. Los… https://t.co/sDnzSvoIFh</t>
  </si>
  <si>
    <t>RT @Pontifex_es: La corrupción degrada la dignidad de la persona y destruye los ideales buenos y hermosos. La sociedad está llamada a compr…</t>
  </si>
  <si>
    <t>RT @JuradoDiego: El pueblo resiste y el paro suena #UnCantoXColombia https://t.co/gs2FFY0C6Z</t>
  </si>
  <si>
    <t>El Partido Liberal va a chocar con el anhelo de la mayoría de la sociedad colombiana, gira solo alrededor del anhel… https://t.co/VmwkpTDhOs</t>
  </si>
  <si>
    <t>El Polo democrático sigue bajo la égida del Moir, que prioriza la alianza con los corruptos de hidroituango y del m… https://t.co/if1I43NDpe</t>
  </si>
  <si>
    <t>La cantante @AdrianaLucia a diferencia del canto vallenato que se alejó del campesino y se entregó al traqueto, es… https://t.co/9XiylUabP2</t>
  </si>
  <si>
    <t>En las reuniones con partidos después de las elecciones presidenciales, propuse la conformación de un frente perman… https://t.co/PD1yjG6kM6</t>
  </si>
  <si>
    <t>Creo que el liberalismo y el Polo, si se pudieran liberar de sus actuales lineas de dirección, podríamos configurar… https://t.co/1kkmx8zO1u</t>
  </si>
  <si>
    <t>El Frente Democrático podría hacer girar el actual momento político hacia una mesa de negociación de reformas democ… https://t.co/mQt2xLLmhy</t>
  </si>
  <si>
    <t>Pobre Aurelio. Yo no quiero terciar en la mivimizacion social, quiero que tenga su conducción genuina y popular sa… https://t.co/lrJQ8kdTgW</t>
  </si>
  <si>
    <t>conté co el apoyo de Thomas Piketty en mi campaña presidencial, básicamente porque el prograna de la Colombia Human… https://t.co/tg2L5Zovqt</t>
  </si>
  <si>
    <t>RT @petrogustavo: En las reuniones con partidos después de las elecciones presidenciales, propuse la conformación de un frente permanente q…</t>
  </si>
  <si>
    <t>RT @redfishstream: "El pueblo no se rinde! Carajo!" ("The people don't give up! Damn it!") Thousands of Colombians flooding the streets of…</t>
  </si>
  <si>
    <t>En relación al Indice de Desarrollo Humano que se acaba de expedir para el 2018, no hay ningún éxito. Duque miente… https://t.co/oMCvCos81E</t>
  </si>
  <si>
    <t>RT @DanielRMed: La secta moir repite cualquier estupidez que diga Robledo sin detenerse a estudiar, la OCDE no impone ningún paquetazo porq…</t>
  </si>
  <si>
    <t>RT @Estamos_Listas: Proponemos una política para la vida y por eso nuestro enfoque en temas como la seguridad dista mucho de la anterior ad…</t>
  </si>
  <si>
    <t>Aunque ya sea algo ya fuera de tiempo, este tropicario fue diseñado, y contratado por la Bogotá Humana, gracia a… https://t.co/As1m6xU6gD</t>
  </si>
  <si>
    <t>El acuerdo de Escazú no supera lo que ya estableció la Constitución de Colombia en materia ambiental y en torno al… https://t.co/5dRSGKbaJr</t>
  </si>
  <si>
    <t>RT @gener_usuga: #UnCantoXColombia Mientras muchos "Políticos importantes de oposición" no se les conoce en las marchas, @petrogustavo as…</t>
  </si>
  <si>
    <t>El titular debería ser diferente, Colombia descendió en el Indice de Desarrollo humano, del puesto 78 en 2017 al 79… https://t.co/jfLPW5gO4u</t>
  </si>
  <si>
    <t>O a Duque no le informan bien y lo engañan o es un mentiroso consuetudinario. En el índice de Desarrollo Humano, C… https://t.co/WswBrjqJ8x</t>
  </si>
  <si>
    <t>La música es un arte, cono la pintura o la escultura, como el teatro o el cine. Su objetivo no es simplemente distr… https://t.co/cgO00e5nZU</t>
  </si>
  <si>
    <t>Miren que en Francia los estudiantes de bachillerato votan si entran a la huelga. La prensa no lo ve como una manip… https://t.co/CnT29CBdzB</t>
  </si>
  <si>
    <t>El problema no es del vallenato, el problema es de los canales de comercialización al que tiene que recurrir. Si l… https://t.co/ZNBWoyiDoP</t>
  </si>
  <si>
    <t>RT @petrogustavo: O a Duque no le informan bien y lo engañan o es un mentiroso consuetudinario. En el índice de Desarrollo Humano, Colombi…</t>
  </si>
  <si>
    <t>Este proceso licitatorio solo puede ser terminado por Claudia Lopez. ¿Claudia Lopez construirá esta troncal de tran… https://t.co/aKRrTigcji</t>
  </si>
  <si>
    <t>Paradoja. Gobernada por el progresismo, Brasil era el tercer país más confiable para la inversión extranjera, diero… https://t.co/J69GwSfcGQ</t>
  </si>
  <si>
    <t>RT @Nessnio: No @MariaFdaCabal , la fama de narcos no nos la ganamos por @GustavoBolivar , la obtuvimos por Pablito Escobar primo del honor…</t>
  </si>
  <si>
    <t>RT @susanamuhamad: Estamos en el momento crucial para lograr la cuarta curul de la Colombia Humana. Mañana el CNE tiene sala plena y quer…</t>
  </si>
  <si>
    <t>Mañana veremos si el Consejo Nacional Electoral contra los escrutinios que le otorgan la cuarta curul a Colombia Hu… https://t.co/9I0YfGxQKk</t>
  </si>
  <si>
    <t>La cuota de Sergio Fajardo. La salud de Medellín ha quedado supeditada a Sura la EPS del grupo empresarial antioqu… https://t.co/iqJlKEJtjm</t>
  </si>
  <si>
    <t>Una enorme admiracion por David Bojanini y Sura. Pero privilegiar EPS siempre lleva al deterioro del sistema preven… https://t.co/cDqVDLNh8b</t>
  </si>
  <si>
    <t>En esta entrevista/2013, el nuevo secretario de salud de Bogotá criticaba la reforma presentada por Santos por perm… https://t.co/oIWEs0xFXI</t>
  </si>
  <si>
    <t>Mantuvieron una guerra durante años sabiendo que no la iban a ganar y que no había razón para estar en ella. mataro… https://t.co/jpMmIR0Shx</t>
  </si>
  <si>
    <t>RT @pulzo: Yidis Medina dice que candidata de Duque a fiscal la entrenó para mentir y taparle a Uribe https://t.co/6HWVeAdbjF https://t.co/…</t>
  </si>
  <si>
    <t>Para trabajar en @BluRadioCo escogen como periodistas u opinadores a quien vaya más en contra nuestra. Es su forma… https://t.co/e5TkrwVFCO</t>
  </si>
  <si>
    <t>Bogota Humana construyó tres sedes universitarias nuevas: en Kennedy, Bosa y Ciudad Bolivar, 45 nuevas sedes de col… https://t.co/M1TS0ZlAp0</t>
  </si>
  <si>
    <t>RT @petrogustavo: La cuota de Sergio Fajardo. La salud de Medellín ha quedado supeditada a Sura la EPS del grupo empresarial antioqueño.…</t>
  </si>
  <si>
    <t>Queremos que los artistas de Colombia se multipliquen por cien y hagan arte porque abrimos los espacios, ampliamos… https://t.co/v3aflt3ojk</t>
  </si>
  <si>
    <t>Cace con el Polo un debate en el año 2010 sobre la existencia de un cartel de la contratación dirigido por los More… https://t.co/QT7v8q8HJZ</t>
  </si>
  <si>
    <t>RT @SantiCruz: 4- El descontento con la realidad social del país es evidente, y el que no quiera verlo, independiente de cualquier consider…</t>
  </si>
  <si>
    <t>RT @petrogustavo: En esta entrevista/2013, el nuevo secretario de salud de Bogotá criticaba la reforma presentada por Santos por permitir e…</t>
  </si>
  <si>
    <t>RT @GustavoBolivar: Tarea de periodistas pro-establecimiento: Estigmatizar a los q convocan. Si alguien invita a marchar, indica una hora o…</t>
  </si>
  <si>
    <t>La propuesta de la educación gratuita, efectiva en muchos paises del mundo, y que levanté como eje del programa de… https://t.co/oS4bT7GRc1</t>
  </si>
  <si>
    <t>No hicimos la primera expedición botánica, pero si convertimos el jardín botánico de Bogotá, en centro de excelenci… https://t.co/aoxJtMTL0s</t>
  </si>
  <si>
    <t>Bill Gates yThomas Piketty, son desatendidos por Duque. Claro que Luis Carlos Sarmiento, Ardila Lulle, Santodoming… https://t.co/8z6HmtuLDo</t>
  </si>
  <si>
    <t>RT @AidaAvellaE: El Señor Cristian Krugger, salió de la oficina de Inmigración. Dentro de las irregularidades cometidas, está la orientació…</t>
  </si>
  <si>
    <t>RT @pierrealee: Los convocó a defender la curul ambiental, la curul de @susanamuhamad en el @ConcejoDeBogota, la curul de la @UP_Colombia,…</t>
  </si>
  <si>
    <t>¿No le parece señor Duque, que usted por usar el ejército contra la protesta pacífica de la ciudadanía, dejó inerme… https://t.co/4c9aOjRMCf</t>
  </si>
  <si>
    <t>Este comentario es bastante ignorante, de la OCDE, que no es una organización vinculante, hacen parte naciones con… https://t.co/QD7AJ2kDR3</t>
  </si>
  <si>
    <t>RT @jomnotificacio1: #ULTIMAHORA Mi hijo Mario Fernando, estudiante de Derecho de la U. de Nariño, fue agredido injusta y dolosamente por e…</t>
  </si>
  <si>
    <t>Alfredo el éxito en desarrollo humano se produjo en los gobiernos de Santos donde disminuyó la pobreza monetaria y… https://t.co/OwhhThm8t5</t>
  </si>
  <si>
    <t>Este artículo de El país España, muestra no solo el grado de desinformación con que la prensa nacional mostró los… https://t.co/PX7aE8v2I9</t>
  </si>
  <si>
    <t>RT @petrogustavo: ¿No le parece señor Duque, que usted por usar el ejército contra la protesta pacífica de la ciudadanía, dejó inermes los…</t>
  </si>
  <si>
    <t>¿Porque sacaron a ETB y a EPM de la posibilidad de la banda ancha móvil en Colombia? Duque privatiza por completo… https://t.co/KP3D26KfPj</t>
  </si>
  <si>
    <t>Mientras la mafia se toma el territorio y masacra a los humildes, el ejército por orden de Duque, está viendo como… https://t.co/qBvEBznAIG</t>
  </si>
  <si>
    <t>Edna será una buena secretaria de educación si le dan el presupuesto suficiente. Para lograr que del 50% pasáramos… https://t.co/L9JOyNYN2i</t>
  </si>
  <si>
    <t>Estas son las redes de los neonazis criollos. Una enorme ignorancia brutal que es el reflejo de la irracionalidad q… https://t.co/2y4BbDDYAx</t>
  </si>
  <si>
    <t>RT @petrogustavo: Mientras la mafia se toma el territorio y masacra a los humildes, el ejército por orden de Duque, está viendo como le qui…</t>
  </si>
  <si>
    <t>Sr Robledo el ataque no es al vallenato como género musical, es usted inteligente como para entenderlo, sino a la t… https://t.co/ZOb1UZ8mCl</t>
  </si>
  <si>
    <t>Uno de los puntales de la Colombia humana es relanzar la cultura nacional hacia los niveles del arte con espacios y… https://t.co/aPpxdXpyCE</t>
  </si>
  <si>
    <t>Tenga la seguridad que el vallenato como arte volverá a beber de la fuente campesina de la que nació, mucho más pro… https://t.co/QGrxwD6ndw</t>
  </si>
  <si>
    <t>Cuando la cultura nacional se destraquetice, porque pasamos a una sociedad productiva y a una sociedad del conocimi… https://t.co/tlJOHHnHQX</t>
  </si>
  <si>
    <t>RT @luisrodevia: De ninguna forma he visto a Petro tratando de apoderarse del Paro. Lo ha apoyado, lo ha justificado, ha invitado a marchar…</t>
  </si>
  <si>
    <t>Quiero hacer algunas reflexiones sobre la movilización: El comité del paro siguiendo la costumbre sindical creyó q… https://t.co/r9K9Agxqhl</t>
  </si>
  <si>
    <t>La gente está en la calle porque ya descubrió que sus ahorros en fondos privados no le darán pensión, que los servi… https://t.co/gtUGhVVUDL</t>
  </si>
  <si>
    <t>A la gente ya le quitaron la opción de la Paz que llenaba de esperanza. No son amenazas futuras, son realidades ac… https://t.co/2wkIcuRtdt</t>
  </si>
  <si>
    <t>Por eso la agenda de peticiones cambia sustancialmente. No es el rechazo a un holding futuro. Es la petición de ca… https://t.co/MW9yxqKxR7</t>
  </si>
  <si>
    <t>Cuando la gente quiere estabilidad laboral hablamos de una reforma a la ley 50 y el fin del contrato civil y de cor… https://t.co/kDg8YRB06F</t>
  </si>
  <si>
    <t>Cuando hablamos de la Paz, hablamos del respeto a los acuerdos ya firmados y de la continuación de la negociación con el ELN.</t>
  </si>
  <si>
    <t>La agenda que la gente pide en las calles es una superación de las leyes neoliberales que conculcaron los derechos… https://t.co/DFepdlkrqH</t>
  </si>
  <si>
    <t>Esto es mucho más ambicioso políticamente que el pliego sindical Por eso hay que evitar un fracaso Si la gente se… https://t.co/Vk4nuucE0h</t>
  </si>
  <si>
    <t>O Duque negocia la superación del neoliberalismo en Colombia y restablece la garantía de derechos que ordenó la Con… https://t.co/TyPJWemmBS</t>
  </si>
  <si>
    <t>RT @jaimebastidasA: Acaba de ocurrir en Tumaco, a plena luz del día secuestran a comerciante. El descaro en su máxima expresión, y las auto…</t>
  </si>
  <si>
    <t>RT @redfishstream: Even in one of the southernmost cities in the world people had enough of neoliberalism and government repression. #Punta…</t>
  </si>
  <si>
    <t>Los bailarines de Opera de París, a donde llegó el celebre disidente soviético Nureyev, el cuervo blanco, hoy salen… https://t.co/i8aFuBD5Xx</t>
  </si>
  <si>
    <t>Esta en plena construcción la sede nueva de la universidad distrital en Ciudad Bolivar, la sede de Bosa se hizo con… https://t.co/QMN4ecpqOe</t>
  </si>
  <si>
    <t>Aqui @alvaroargote puede ver las fotos de las sedes de Kennedy con el ITC y de Bosa con la Distrital, que se hicier… https://t.co/XCQrqiBI6L</t>
  </si>
  <si>
    <t>RT @petrogustavo: Quiero hacer algunas reflexiones sobre la movilización: El comité del paro siguiendo la costumbre sindical creyó que se…</t>
  </si>
  <si>
    <t>RT @petrogustavo: Sr Robledo el ataque no es al vallenato como género musical, es usted inteligente como para entenderlo, sino a la traquet…</t>
  </si>
  <si>
    <t>Hemos logrado la cuarta curul de Colombia Humana en el Concejo de Bogotá, si la bancada se mantiene unida solo pod… https://t.co/jiOzt6KFK4</t>
  </si>
  <si>
    <t>RT @graffitiborrao: Una de las pocas voces que enfrentó a @FicoGutierrez y cuestionó #Hidroituango, la concejala @luzmamunera, renunció al…</t>
  </si>
  <si>
    <t>La cultura se traquetiza cuando es pagada por traquetos. Es lo que explica porque se imponía la música de carrilera… https://t.co/oqL5kUMl15</t>
  </si>
  <si>
    <t>Pero las grandes divisiones las ha promocionado al impedir una y otra vez, con su candidato Fajardo, que se consoli… https://t.co/c40Rswiw19</t>
  </si>
  <si>
    <t>RT @petrogustavo: Hemos logrado la cuarta curul de Colombia Humana en el Concejo de Bogotá, si la bancada se mantiene unida solo podrá hab…</t>
  </si>
  <si>
    <t>Ha terminado el gobierno de Peñalosa y su balance final en este trino incluye obras financiadas y contratadas por l… https://t.co/VsIuLecaak</t>
  </si>
  <si>
    <t>Se reunió la bancada del Polo Democrático y Colombia Humana, como dato a analizar, la primera compuesta por hombres… https://t.co/WWXt6L7wn8</t>
  </si>
  <si>
    <t>RT @PateticosC: GORILAS CARABINEROS DEL ASESINO @sebastianpinera HACEN LO QUE LES DA LA GANA CON JÓVENES CHILENAS, Y LA ALTA COMISIONADA DE…</t>
  </si>
  <si>
    <t>RT @MariaMatusv: Petro felicita a la reina.Ella le responde para aclarar “que no lo sigue”, cuando él no lo insinuó.Tampoco fue el único po…</t>
  </si>
  <si>
    <t>El registro de la cultura traqueta no es el culpable amigo, así como quien escribió de los campos de concentración… https://t.co/iWKtH90Shx</t>
  </si>
  <si>
    <t>RT @Bunkerglo: Así es. Como dice el odiado, el maldito, el poca cosa, el ninguniado, el que sobra. https://t.co/vhHL9MsTbb</t>
  </si>
  <si>
    <t>RT @hyperconectado: Uribista promedio. https://t.co/AhAKcSyXYg</t>
  </si>
  <si>
    <t>Una clase política corrupta que intenta para perpetuarse en el poder, encarcelar a quien la puede derrotar a como d… https://t.co/bL4IQftlYg</t>
  </si>
  <si>
    <t>RT @GustavoBolivar: #DiaDeLosDerechosHumanos Secretario de Gob de Claudia López no está de acuerdo con desmontar el Esmad. Mensaje de desco…</t>
  </si>
  <si>
    <t>Una economía creativa implica en el siglo XXI, redes y saber. Duque decidió privatizar las redes y el saber, lo cu… https://t.co/hcJ3Zezgdg</t>
  </si>
  <si>
    <t>A unos líderes sociales los matan y a otros los captura la policía por orden de Duque. https://t.co/5q6fGQpxn4</t>
  </si>
  <si>
    <t>La prensa ha reducido un grave hecho de corrupción a un asunto de farándula. La razón: el involucrado se llama Alej… https://t.co/s6zS0kLCfJ</t>
  </si>
  <si>
    <t>La fiscalía en Arauca ordena detener a quienes luchan por mejores condiciones laborales dentro de las petroleras de… https://t.co/ILdl6AcKG1</t>
  </si>
  <si>
    <t>Las primeras encuestas muestran que con cualquier candidato demócrata, Trump perdería. https://t.co/speUrPUoHz</t>
  </si>
  <si>
    <t>RT @teleSURtv: Sin distinción de género y grupos sociales miles de colombianos se unen al plantón en el marco de las jornadas de protestas…</t>
  </si>
  <si>
    <t>Les voy a denunciar al gran conspirador que está detrás de la movilización social en todo el país. Se llama Gini y… https://t.co/vMFZTEhnVd</t>
  </si>
  <si>
    <t>RT @Col_Informa: #Laboral | En estos momentos profesores de la Universidad Pedagógica Nacional @comunidadUPN realizan un planton, en Bogotá…</t>
  </si>
  <si>
    <t>RT @CELAGeopolitica: 🇧🇴 | El total de las "actas irregulares" constituye el 0,25% del universo completo de actas de votación en Bolivia. I…</t>
  </si>
  <si>
    <t>Cómo se construyen unas verdaderas políticas anticorrupción en Colombia? Mi intervención en el Senado de la Repúbl… https://t.co/giUZXFnfi3</t>
  </si>
  <si>
    <t>Oye Duque, están disparando con la misma munición letal con la que mataron a Dilan. https://t.co/sbpzJ5ZoaT</t>
  </si>
  <si>
    <t>RT @petrogustavo: Cómo se construyen unas verdaderas políticas anticorrupción en Colombia? Mi intervención en el Senado de la República. h…</t>
  </si>
  <si>
    <t>Usted concejal @alvaroargote dice que la sede de la universidad Distrital de Bosa se comenzó a construir hace 12 añ… https://t.co/Vle8CES8AC</t>
  </si>
  <si>
    <t>¿No será concejal @alvaroargote que por ignorar las sedes nuevas de universidades públicas de la Bogotá Humana, ust… https://t.co/KahDFt9M5u</t>
  </si>
  <si>
    <t>Cuando usted @alvaroargote habla de la sede de la Universidad Distrital en Ciudad Bolivar que construyó Lucho Garz… https://t.co/yK4TbbMfrp</t>
  </si>
  <si>
    <t>el sector salud tiene un millon de personas laborando con contratos basura. La reforma de la ley 100, y a la ley 5… https://t.co/1Hqyiukyzw</t>
  </si>
  <si>
    <t>Puede explicarnos señora ministra de Comunicaciones porqué en la subasta de banda ancha no hay empresas públicas de… https://t.co/jf0fkjPYSP</t>
  </si>
  <si>
    <t>La rabia del Esmad contra la primera linea se debe a que no quieren que la gentr tenga ninguna protección contra su… https://t.co/humhREfMj2</t>
  </si>
  <si>
    <t>RT @ICristianRomero: Y el ESMAD acribilló a la primera línea. https://t.co/Ekt6PJiF8v</t>
  </si>
  <si>
    <t>RT @PaoladrateleSUR: Estremece. 352 chilenos y chilenas han perdido la visión total o parcialmente por la represión del Estado de Chile htt…</t>
  </si>
  <si>
    <t>RT @JUANCAELBROKY: ESMAD hiere y retiene a Mateo Camacho, joven que se encontraba en plantón en la Universidad Nacional #10DParoNacional @S…</t>
  </si>
  <si>
    <t>La guardia indígena en el Senado de la República https://t.co/ZTlKipNTZs</t>
  </si>
  <si>
    <t>RT @WRadioColombia: En la Plaza de los Coches, Centro Histórico de Cartagena, artistas de diferentes géneros musicales se unen al concierto…</t>
  </si>
  <si>
    <t>Los ricos de Colombia deben pagar más impuestos. Con ese dinero se debe financiar la educación superior de toda la… https://t.co/XqAyiaQVL6</t>
  </si>
  <si>
    <t>Con esta agresión del Esmad a la juventud colombiana se impone escalar la movilización social a escala nacional. H… https://t.co/0GLBM6bPG2</t>
  </si>
  <si>
    <t>Enorme sería que @juanes fuese al concierto de Medellín y que las juventudes de las comunas populares bajaran liber… https://t.co/Qb7AZkRQSY</t>
  </si>
  <si>
    <t>RT @teleSURtv: El Programa de las Naciones Unidas para el Desarrollo informó que #Colombia perdió 23,1% de su Índice de Desarrollo Humano d…</t>
  </si>
  <si>
    <t>La neutralidad es como ir a ver ballenas cuando se decide el.destino de una Nación. Jamás me verán ir a ver ballen… https://t.co/snBcENXSts</t>
  </si>
  <si>
    <t>RT @petrogustavo: Enorme sería que @juanes fuese al concierto de Medellín y que las juventudes de las comunas populares bajaran liberados d…</t>
  </si>
  <si>
    <t>RT @DaniRuedaJ: ¡Otra vez están disparando a la altura de la cabeza! @PoliciaBogota son los responsables de los asesinatos de estudiantes.…</t>
  </si>
  <si>
    <t>RT @petrogustavo: Con esta agresión del Esmad a la juventud colombiana se impone escalar la movilización social a escala nacional. Hasta q…</t>
  </si>
  <si>
    <t>RT @petrogustavo: Los ricos de Colombia deben pagar más impuestos. Con ese dinero se debe financiar la educación superior de toda la juven…</t>
  </si>
  <si>
    <t>RT @petrogustavo: el sector salud tiene un millon de personas laborando con contratos basura. La reforma de la ley 100, y a la ley 50 de e…</t>
  </si>
  <si>
    <t>RT @Residente: Gracias México 🙏 Fue una de las experiencias mas grandes de mi vida el ver a mas de 200 mil almas con el puño al aire corear…</t>
  </si>
  <si>
    <t>Una manifestación pacífica. Llega el Esmad y ya la ciudad de Bogotá está colapsada. Que manera de incendiar el paro… https://t.co/id43qMPJLj</t>
  </si>
  <si>
    <t>RT @FT_Col: Nos llegó la tecnocracia empapada en el maquillaje del marketing. Total vacío político y apuesta plena por la apariencia que bu…</t>
  </si>
  <si>
    <t>RT @DanielRMed: El senador @Wilsonariasc nombró a los corruptos de este país y el centro democrático todito, le solicitó réplica. ¿Qué pued…</t>
  </si>
  <si>
    <t>Hay 113.000 médicos en Colombia, la mayoría pauperizados y 800.000 trabajadores de la salud la mayoría mujeres con… https://t.co/pMAg3meKKt</t>
  </si>
  <si>
    <t>RT @aceromora: Suena la alarma al interior de la Nacho, la vaina se complica, atentos derechos humanos. @MarioRobertoP @MafeCarrascal @Carl…</t>
  </si>
  <si>
    <t>RT @SilvieChavez: URGENTE!! Chile en estos momentos marchando por derechos humanos violentados, por el Estado opresor de Piñera #ChileRe…</t>
  </si>
  <si>
    <t>Por si alguien duda de donde salió el tropicario que hoy al final del mandato de Peñalosa expone como su obra. Fue… https://t.co/D85AioeAWM</t>
  </si>
  <si>
    <t>RT @petrogustavo: Puede explicarnos señora ministra de Comunicaciones porqué en la subasta de banda ancha no hay empresas públicas de telec…</t>
  </si>
  <si>
    <t>RT @petrogustavo: Hay 113.000 médicos en Colombia, la mayoría pauperizados y 800.000 trabajadores de la salud la mayoría mujeres con contra…</t>
  </si>
  <si>
    <t>RT @petrogustavo: Les voy a denunciar al gran conspirador que está detrás de la movilización social en todo el país. Se llama Gini y es de…</t>
  </si>
  <si>
    <t>RT @el_justo_medio: Estoy escuchando a @petrogustavo y les está dando clases de capitalismo a más de un lugarteniente y feudalista presente…</t>
  </si>
  <si>
    <t>RT @GustavoBolivar: #ApoyoLaGuardiaIndigena porque no olvido mi origen. https://t.co/TPad6hGHZW</t>
  </si>
  <si>
    <t>RT @subcantante: Medellin suena duro!! #MedellinResisteCantando ✊🏻 https://t.co/uzRc89W2ln</t>
  </si>
  <si>
    <t>RT @el_justo_medio: Confieso que comparto totalmente la postura de @petrogustavo con referencia a las tierras, la que no produzca que pague…</t>
  </si>
  <si>
    <t>RT @DanielBejarano_: A esta hora Madelena, Bogotá #ElParoSigue #10D https://t.co/c4GkVXnhPl</t>
  </si>
  <si>
    <t>Cobrenle un alto impuesto a la empresa taurina contratada por Peñalosa y no habrá corrida de toros en Bogotá en el.… https://t.co/rhli3RjNMJ</t>
  </si>
  <si>
    <t>RT @maikybayona: Video de cómo policias del Esmad suben a la fuerza a una mujer a un carro particular Chevrolet HCI 264 ¿Intento de secuest…</t>
  </si>
  <si>
    <t>RT @DrTocinoMalvado: 🚨DENUNCIA PÚBLICA🚨 Hoy, aproximadamente a las 9 pm en la estación de TM Ricaurte agentes del ESMAD agredieron a trans…</t>
  </si>
  <si>
    <t>RT @aljorez123: @petrogustavo Lo que yo entiendo con todo lo que dice y argumenta Petro en sus discursos es que dice la verdad y le duele a…</t>
  </si>
  <si>
    <t>RT @VictorMarenco: Es simple señores: unidireccionaron todos sus cañones contra @petrogustavo. Lo hacen los tibios (el Robledo, la tal Lópe…</t>
  </si>
  <si>
    <t>RT @DanielRMed: “La gente en las calles reclama las reformas a La ley 100, la ley 50 y la ley 30 que hicieron Cesar Gaviria y Él, para que…</t>
  </si>
  <si>
    <t>RT @Erickmontes1997: ¡La joven ya fue liberada y se encuentra bien, gracias a la presión de estos ciudadanos que detuvieron el automóvil!…</t>
  </si>
  <si>
    <t>Lo que ha hecho el Esmad con esta joven se llama desaparición forzada. La fiscalía debe iniciar investigación a qui… https://t.co/TRHmoEtnED</t>
  </si>
  <si>
    <t>RT @SandSuarez: Resumen. https://t.co/LepKNHZRWK</t>
  </si>
  <si>
    <t>RT @yumbila: Comunidad informa: "La @PoliciaColombia ME SECUESTRO" grita una mujer desde un automóvil Chevrolet de placas HCI 264. #Bogotá…</t>
  </si>
  <si>
    <t>RT @avellanedalc: Esto se está saliendo de control ... hago un llamado URGENTE a los organismos defensores de DDHH y a la comunidad interna…</t>
  </si>
  <si>
    <t>RT @JUANCAELBROKY: En la Soledad el ESMAD se lleva a los jóvenes que estén caminando por el sector. Comunidad intenta impedir abusos del ES…</t>
  </si>
  <si>
    <t>RT @maferojas: Esta es una esquina de mi barrio, La Soledad. Llena de Esmad y Policía persiguiendo jóvenes. Los vecinos indignados y preocu…</t>
  </si>
  <si>
    <t>RT @SandraPerezSiii: “Gracias ESMAD pq pude sacar a patadas los estudiantes de la @UdeA y a las comunidades d Hidroituango para hacer el pr…</t>
  </si>
  <si>
    <t>RT @JMVivancoHRW: Desde que Carabineros suspendió escopeta de perdigones (19 de noviembre) se repiten los casos de lesiones graves por disp…</t>
  </si>
  <si>
    <t>RT @JUANCAELBROKY: EL ESMAD SE LLEVÓ UN MUCHACHO CARRO 🚘 Se busca OLX 134 Se busca OLX 134 Se busca OLX 134 Se busca OLX 134 Se busca…</t>
  </si>
  <si>
    <t>RT @avellanedalc: Documentos del vehículo en el que intentan llevarse a la joven según el RUNT https://t.co/JZPZPCzd5G</t>
  </si>
  <si>
    <t>RT @JUANCAELBROKY: Joven David Ramos Pinzón fue retenido y golpeado por ESMAD mientras pasaba puente para ir a su casa #paronacional10d @HE…</t>
  </si>
  <si>
    <t>RT @MadameSiimone: Tengo un reporte de un estudiante desaparecido. Elton Nicolás sanabria OSORIO, tengo el número de cc. Estaba hoy en pri…</t>
  </si>
  <si>
    <t>RT @DanielaPlazasP: No solo asesinan, también secuestran. Gracias a quienes arriesgaron sus vidas para grabar y salvar a la chica que secue…</t>
  </si>
  <si>
    <t>Señor Enrique Peñalosa ordene que el Esmad no salga a reprimir manifestaciones pacificas, abandone la práctica de c… https://t.co/hwJWVO0aJ8</t>
  </si>
  <si>
    <t>RT @Fiida_Munoz: Natalia chaparro guerra, detenida arbitrariamente y montada en la patrulla 17-7153 por favor ayudar a difundir sé la lleva…</t>
  </si>
  <si>
    <t>El arriendo de la plaza debe ser ta alto que desestimule el negocio de la corrida de toros en Bogotá. Los rmpresa… https://t.co/eFow9NoElG</t>
  </si>
  <si>
    <t>RT @andrescamachom_: Anoche mientras ESMAD perseguía jóvenes x las cuadras de La Soledad ocurrió un hecho profundamene amoroso: Abuelas sal…</t>
  </si>
  <si>
    <t>RT @aceromora: En estos carros particulares la @PoliciaBogota anoche metió a la fuerza a ciudadanos, rompiendo todos los protocolos, eso es…</t>
  </si>
  <si>
    <t>RT @jerojasrodrigue: @XimenaAldanaDCo @AbadColorado @CIDH -“¿Estás bien, estás bien?” -“¡Auxilio!, ¡auxilio!, la policía me secuestró” -“…</t>
  </si>
  <si>
    <t>Los carros con los que la policía secuestro estudiantes anoche son de la administración distrital.</t>
  </si>
  <si>
    <t>El delito que la policía atribuye a los jóvenes no es otro que el que gritan "Uribe es un paraco y Duque un huevón"… https://t.co/VmEy7Ccg9F</t>
  </si>
  <si>
    <t>RT @petrogustavo: Los carros con los que la policía secuestro estudiantes anoche son de la administración distrital.</t>
  </si>
  <si>
    <t>RT @RestrepoJCamilo: El próximo año, las exenciones de la reforma tributaria costarían $4,9 billones al recaudo ; los cálculos de a fedesar…</t>
  </si>
  <si>
    <t>La noche de los lápices. https://t.co/2AZtqO04Gh</t>
  </si>
  <si>
    <t>Así se manipula las estadística. En 2015 la pobreza multidimensional la dejamos en 4.7 % después de recibirla en 11… https://t.co/uJEzhfMopn</t>
  </si>
  <si>
    <t>Quiere la @WRadioColombia saber como el vallenato se desplazó del campesino al terrateniente y cómo el terratenient… https://t.co/FGFn4w2Z0W</t>
  </si>
  <si>
    <t>RT @JulieDuque1: Información oficial me confirma que el novio de la joven que fue víctima de un intento de desaparición forzada por parte d…</t>
  </si>
  <si>
    <t>El decreto 563 del 2015 de la administración de la Bogotá Humana estableció un protocolo que implica que antes de c… https://t.co/eAg69A7VLw</t>
  </si>
  <si>
    <t>RT @Doctor_Adax: Hace unos años montaban en camiones a unos muchachos de Soacha para dejarlos muertos con las botas al revés en Ocaña. Ante…</t>
  </si>
  <si>
    <t>RT @AlexLopezMaya: El Congreso no legisla para el pueblo,no escucha a las mayorías. En las calles el pueblo Colombiano está reclamando dere…</t>
  </si>
  <si>
    <t>RT @tostaocqt: Bajémonos de la nube. La música si es una expresión política, obviamente entretiene, te llega al pecho, te hace enamorar o p…</t>
  </si>
  <si>
    <t>Esta es mi intervención sobre la movilización social, sus causas y sus posibles desarrollos en el Senado de la repú… https://t.co/nHAauZs0OG</t>
  </si>
  <si>
    <t>Esta es la segunda parte de mi intervención sobre la movilización social en Colombia en el Senado de la República. https://t.co/TORHFoHKW0</t>
  </si>
  <si>
    <t>RT @petrogustavo: Esta es mi intervención sobre la movilización social, sus causas y sus posibles desarrollos en el Senado de la república.…</t>
  </si>
  <si>
    <t>Amenaza se muerte llega a través del telefonfo de mi oficina en el senado. Le solicito a la @FiscaliaCol la inmedia… https://t.co/amaFC7Vn9A</t>
  </si>
  <si>
    <t>Los medios de comunicación no están para propagandixar y embellecer la represión policial contra la juventud colombiana.</t>
  </si>
  <si>
    <t>Invito a la juventud, trabajadora o estudiantil, la que está en la universidad, la que esta en el taller, la que e… https://t.co/AI8trn0wW4</t>
  </si>
  <si>
    <t>RT @petrogustavo: Esta es la segunda parte de mi intervención sobre la movilización social en Colombia en el Senado de la República. https:…</t>
  </si>
  <si>
    <t>El general confunde Estado Policíaco con Estado Social de Derecho. https://t.co/1FqhpKq7pZ</t>
  </si>
  <si>
    <t>RT @R3voluc1on1917: Una de las últimas de los Pacos psicópatas en Chile. Carabinero le dispara a una joven en el suelo, granada lacrimógena…</t>
  </si>
  <si>
    <t>RT @Bunkerglo: Así es. "@petrogustavo es temido por rebelde y frentero. Nunca después de Gaitán el país había tenido un político que dijera…</t>
  </si>
  <si>
    <t>RT @DanielRMed: El secretario de Hacienda de Claudia Lopez viene de Fedesarrollo, el tanque de pensamiento del neoliberalismo donde se elab…</t>
  </si>
  <si>
    <t>RT @HOLLMANMORRIS: Urgente , Colombia , Se convoca a gran movilización mañana 3pm en el marco del gran Paro Nacional. Motivo : Pretenden ap…</t>
  </si>
  <si>
    <t>RT @CarlosCarrilloA: ¡Qué sorpresa! @HassNassar oficializará su vínculo laboral con la Casa de Nariño, pasará de ser el defensor de oficio…</t>
  </si>
  <si>
    <t>RT @GustavoBolivar: Cinco senadores q encabezan demandas contra la Fuerza Pública por abusos, uso desproporcionado de la fuerza, asesinato…</t>
  </si>
  <si>
    <t>RT @MateoCordobaC: Yo no sé de cuándo sea este video, al parecer fue en el Cauca, pero la sevicia de amarrar a un indígena a un árbol y las…</t>
  </si>
  <si>
    <t>Aquí se conjugan dos realidades: la falta de politica de adaptación al cambio climático. Y la destrucción de la pol… https://t.co/euj86Uox1E</t>
  </si>
  <si>
    <t>Avianca comenzó su crisis con el despido masivo de los pilotos nacionales. No solo su dueño en ese entonces, Efrem… https://t.co/DprmzBWfa5</t>
  </si>
  <si>
    <t>RT @GustavoBolivar: #ReformaTributaria En contra: 21 senadores d oposición +14 liberales=36 A Favor: 19 del CD+14 conservadores +6 cristia…</t>
  </si>
  <si>
    <t>Periodismo que es propaganda política. El dueño de @rcnradio y @CanalRCN es el mayor financiador, con Sarmiento el… https://t.co/BQTDLZLdjj</t>
  </si>
  <si>
    <t>Mockus no me apoyó cuando gane la alcaldía. Al contrario, no solo derrote a Peñalosa que era el candidato del Parti… https://t.co/XUOI5Hd6Cq</t>
  </si>
  <si>
    <t>RT @gener_usuga: Y la rata fue a palacio por mermelada https://t.co/qfs21Lrn7v</t>
  </si>
  <si>
    <t>No contentos con poner un ministro de defensa que bombardea niños, y de idear el paquetazo de Duque. No es cierto… https://t.co/u7fmYJN8pW</t>
  </si>
  <si>
    <t>RT @charry_manager: El joven que secuestró la policia en un carro particular la noche del martes por orden de @EnriquePenalosa y @IvanDuque…</t>
  </si>
  <si>
    <t>RT @Uriasv: Urgente: Se convoca a gran movilización hoy 3pm en el marco del gran Paro Nacional. Motivo : Pretenden aprobar en el congres…</t>
  </si>
  <si>
    <t>Aquí un recuento de mi vida parlamentaria. El coraje de decir la verdad, la parresía griega que no genera simpatía… https://t.co/9bQU1vVNAV</t>
  </si>
  <si>
    <t>Aquí mi debate completo sobre las razones de la movilización social, y lo que viene en el inmediato futuro. https://t.co/gmI2SqRffd</t>
  </si>
  <si>
    <t>RT @PizarroMariaJo: #ReformaTributaria en la @CamaraColombia de vota el 13D En contra: 19 oposición + 35 liberal = 54 votos A favor: 32 C…</t>
  </si>
  <si>
    <t>RT @petrogustavo: Aquí mi debate completo sobre las razones de la movilización social, y lo que viene en el inmediato futuro. https://t.co…</t>
  </si>
  <si>
    <t>Coronel en una sociedad democrática, el Estado no deben aconductar la sociedad. Eso se llama fascismo. Al contrari… https://t.co/8VsqAezW4x</t>
  </si>
  <si>
    <t>Si la busqué en su condición de oposicion porque me daría tranquilidad en la veeduría de los recursos públicos. Igu… https://t.co/OevVzoNodr</t>
  </si>
  <si>
    <t>RT @petrogustavo: Coronel en una sociedad democrática, el Estado no deben aconductar la sociedad. Eso se llama fascismo. Al contrario en u…</t>
  </si>
  <si>
    <t>Cuando hable de una fuerza pública profesional puse cono primer elemento para ese logro la educación superior gener… https://t.co/Xd36QvQEzr</t>
  </si>
  <si>
    <t>La tenebrosa verdad que quiere ocultar el Centro Democrático destruyendo la JEP. Este es el horror del gobierno de… https://t.co/Vg1D23LRmz</t>
  </si>
  <si>
    <t>la @FiscaliaCol debe públicamente indicar cuales son las personas naturales que se esconden detrás de las amenazas… https://t.co/N1LUUT2P8F</t>
  </si>
  <si>
    <t>Por tratarse de una calumnia debo responder esta información. En el año 2010 fui candidato presidencial del Polo D… https://t.co/qIDCkBDM7A</t>
  </si>
  <si>
    <t>Jamás apoyamos a Santos en el año 2010. Siendo presidente electo me reuní con él en reunión de cortesía. Solo apoyé… https://t.co/eHVzX9L96j</t>
  </si>
  <si>
    <t>RT @petrogustavo: La tenebrosa verdad que quiere ocultar el Centro Democrático destruyendo la JEP. Este es el horror del gobierno de Uribe…</t>
  </si>
  <si>
    <t>RT @Hekatombe_: #NoticiaEnDesarrollo | Las y los niños que exigen la apertura del parque del conjunto, realizan un cacerolazo en este momen…</t>
  </si>
  <si>
    <t>RT @pierrealee: Esto fue ayer en #Chile durante el #ConciertoDeLaDignidad, con @inti_illimani el pueblo unido jamás será vencido. Para repl…</t>
  </si>
  <si>
    <t>Siempre me interrogué que la causa de las ejecuciones de civiles inocentes no eran sólo por un decreto, como dije e… https://t.co/wh0ol65NyU</t>
  </si>
  <si>
    <t>Mas allá del decreto que recompensada miembros de la fuerza pública por dar de baja subversivos firmado por Camilo… https://t.co/6i0Iq1Oucx</t>
  </si>
  <si>
    <t>En el ejército se han operado mecanismos de degradación Humana que muestran como un ser humano puede ser copartícip… https://t.co/9lAgJllIio</t>
  </si>
  <si>
    <t>Y aprovecha un tratamiento degradante y con malos tratos a soldados para que estos puedan matar sin reparos de conc… https://t.co/KGqtHXTZHn</t>
  </si>
  <si>
    <t>Al final el soldado se encarga más que el parlamentario, más que la prensa, de mostrarle al mundo la ignominia come… https://t.co/NCoy3oE13f</t>
  </si>
  <si>
    <t>Pero la sociedad debe aprender. Nuestro ejército debe ser diferente, debe ser profesional en el sentido de abrirle… https://t.co/squFRs36ls</t>
  </si>
  <si>
    <t>Un ejército profesional moderno debe ser incapaz de repetir la historia del genocidio, la destrucción de la democra… https://t.co/PxLh3Ha2cm</t>
  </si>
  <si>
    <t>La canción prohibida por Pinochet en 1973, el himno de la Unidad Popular, vuelve convertida en pueblo al Chile revo… https://t.co/dCSzggdQ0h</t>
  </si>
  <si>
    <t>Manuel el gran poder del Capital se tomo la COP25 e impide que la humanidad tome las medidas para salvar su existen… https://t.co/HQ3GSkmLau</t>
  </si>
  <si>
    <t>RT @madameperine: ¡GUARDIA GUARDIA, FUERZA FUERZA! HOY. TODOS JUNTOS A CANTAR. https://t.co/UKvH1AzeMc</t>
  </si>
  <si>
    <t>RT @Uriasv: Hechos: -Gobierno bombardeó, persiguió con perros entrenados y asesinó 18 niños -Compañeritos de esos niños hicieron un cartel…</t>
  </si>
  <si>
    <t>RT @petrogustavo: La canción prohibida por Pinochet en 1973, el himno de la Unidad Popular, vuelve convertida en pueblo al Chile revolucion…</t>
  </si>
  <si>
    <t>RT @petrogustavo: Siempre me interrogué que la causa de las ejecuciones de civiles inocentes no eran sólo por un decreto, como dije en el d…</t>
  </si>
  <si>
    <t>RT @Uniandes: #Debate “80% de los colombianos no se va a pensionar. Del 20% que lo logre, la mayoría va a recibir subsidios pequeños": Ósca…</t>
  </si>
  <si>
    <t>Unanhistoria de traquetos que hoy tienen el Poder. El Caribe bajo las mafias. https://t.co/9gAKbvEJwz</t>
  </si>
  <si>
    <t>RT @GustavoBolivar: #FalsosPositivos Cómo pudo Col premiar con 4 Presidencias, 40 curules, 3.200 millones en subsidios y zonas francas al P…</t>
  </si>
  <si>
    <t>RT @nicolaspetroB: Gustavo Petro: en el Polo se queda Iván Moreno o me quedo yo. El Polo de Robledo prefiero a los hermanos Moreno. No se…</t>
  </si>
  <si>
    <t>Amigo mio fuí claro ante la dirección nacional del Polo, y lo dije públicamente: o expulsan a los Moreno Rojas o m… https://t.co/vk9loRatVx</t>
  </si>
  <si>
    <t>RT @gaitan_presente: @JERobledo @petrogustavo Miente, sr. Robledo. Petro envió una carta pública a Santos impulsándolo a discutir sobre los…</t>
  </si>
  <si>
    <t>16D es dia de paro. No sacar carros, no abrir comercios, salir a marchar. Si el congreso se atreve a reducir los i… https://t.co/laZCayeayZ</t>
  </si>
  <si>
    <t>RT @petrogustavo: 16D es dia de paro. No sacar carros, no abrir comercios, salir a marchar. Si el congreso se atreve a reducir los impuest…</t>
  </si>
  <si>
    <t>Antes de mi denuncia sobre el cartel de la contratación en Bogotá y después de mi primera campaña presidencial en e… https://t.co/Hvq8WZew6R</t>
  </si>
  <si>
    <t>RT @PVacaV: Mientras los medios sigan viendo a las audiencias como 'cifras a monetizar' sin meter en la ecuación la CALIDAD de sus contenid…</t>
  </si>
  <si>
    <t>RT @Bunkerglo: Así es. #CarloGiovanniRussi secuestrado e el Renault Logan Placas OJX 134 de la Secretaría de Seguridad y Convivencia @Segur…</t>
  </si>
  <si>
    <t>La decisión en realidad no la tomó él. Ya Peñalosa y Duque habían permitido que se agredieron manifestaciones pacíf… https://t.co/Ii5pzw7pOF</t>
  </si>
  <si>
    <t>RT @PublimetroCol: "Le voy a cortar la cabeza": decían a joven retenido por el Esmad en carro particular https://t.co/TtNveNyaMk https://t.…</t>
  </si>
  <si>
    <t>Nicolás Henao, alias Colacho, jefe de la Convivir de Dabeiba, llamó al grupo de paramilitares que realizaron la ma… https://t.co/xeTN4p3gof</t>
  </si>
  <si>
    <t>La Convivir de Dabeiba dirigida por Nicolás Henao, alias Colacho, fue autorizada por el entonces gobernador Alvaro… https://t.co/MeXqpdZ7q0</t>
  </si>
  <si>
    <t>RT @petrogustavo: La Convivir de Dabeiba dirigida por Nicolás Henao, alias Colacho, fue autorizada por el entonces gobernador Alvaro Uribe…</t>
  </si>
  <si>
    <t>RT @GustavoBolivar: Listas las cacerolas de la bancada alternativa para la protesta de hoy en Congreso y Plaza de Bolívar, 2:00 PM #16DParo…</t>
  </si>
  <si>
    <t>Gritan su nombre para que el Estado no los desaparezca. A tal grado de degradación han llegado las instituciones a… https://t.co/P2P80gGeby</t>
  </si>
  <si>
    <t>Caracol television y el equipo de "Los informantes" han revictimizado a Dilan. Una complicidad entre el periodista y el crimen de Estado.</t>
  </si>
  <si>
    <t>RT @Col_Informa: #16DParoNacional✊| La plaza de Bolívar en #Bogotá. Siguen llegando personas a protestar en el cacerolazo contra el gobiern…</t>
  </si>
  <si>
    <t>RT @charry_manager: La bancada de la oposición le dice NO a la reforma tributaria de @IvanDuque https://t.co/CdSvtOeWKB</t>
  </si>
  <si>
    <t>RT @NoticiasUno: #NoticiasUno| El estudiante Carlos Russi asegura que dentro del carro lo golpearon y prometieron desaparecerlo y la chica…</t>
  </si>
  <si>
    <t>RT @LupeMohawk: Los productores audiovisuales apoyamos el paro nacional. #ElParoSeVe #Resistencia #ReformaTributaria #ParoNacional #Asam…</t>
  </si>
  <si>
    <t>RT @CamiloMarinE: Frente al cacerolazo pacífico, el gobierno de @IvanDuque manda a EJÉRCITO vestido de ESMAD. Esto acaba de pasar en los pa…</t>
  </si>
  <si>
    <t>RT @DanielRMed: Viva el paro nacional! https://t.co/IzJXM14lbh</t>
  </si>
  <si>
    <t>Le pido a la asamblea popular reunida en este momento en la Plaza de Bolivar de Bogotá, que si el congreso vota la… https://t.co/jPCCvYjdJO</t>
  </si>
  <si>
    <t>Cacerolazo contra la reforma tributaria. Si el Congreso aprueba la reforma quitando impuestos anuales po 10 billone… https://t.co/28GtN7yVox</t>
  </si>
  <si>
    <t>RT @petrogustavo: Cacerolazo contra la reforma tributaria. Si el Congreso aprueba la reforma quitando impuestos anuales po 10 billones a lo…</t>
  </si>
  <si>
    <t>Plaza de Bolívar de Bogotá llena. Duque se dispone a desafiar al pueblo quitándole impuestos a los más ricos del… https://t.co/EqcQIpSgtr</t>
  </si>
  <si>
    <t>Le solicito a Vargas Lleras y a la bancada conservadora no cometer el error de aprobar esta reforma tributaria. L… https://t.co/CywRY731Lg</t>
  </si>
  <si>
    <t>RT @DanielRMed: En el congreso también hay dignidad ! https://t.co/aJwhifDvPf</t>
  </si>
  <si>
    <t>RT @MoisesAlvaro_: ATENCIÓN: en este momento fuerte represión de la dictadura Duque movilización en la Universidad Nacional. Las fuerzas d…</t>
  </si>
  <si>
    <t>RT @andrescamachom_: A esta hora continúa cacerolazo contra la #RefomaTributaria Resistencia! Se grita en la Plaza. https://t.co/R6X2eqG2gc</t>
  </si>
  <si>
    <t>RT @NancyFiallo: #16DParoNacional En este momento @PoliciaBogota detienen una pareja que caminaba por el sector Carrera 40 con calle 26. h…</t>
  </si>
  <si>
    <t>RT @JulieDuque1: Al parecer hay 6 heridos en la Universidad Nacional, que está rodeada de ESMAD y hace imposible acercarse. ¿Qué les pasa,…</t>
  </si>
  <si>
    <t>RT @MateoCordobaC: Algo anda muy mal si para aprobar la Reforma Tributaria tienen que poner a desfilar al ESMAD por los pasillos del Congre…</t>
  </si>
  <si>
    <t>RT @HOLLMANMORRIS: Cristian Rodríguez estudiante de trabajo social herido en el ojo por el ESMAD , varios heridos con aturdidoras y balas…</t>
  </si>
  <si>
    <t>RT @CantorWerner: 5 machos de la BACRIM ESMAD deteniendo a Magaly Pinto, defensora de derecho humanos detenida arbitrariamente en Puente de…</t>
  </si>
  <si>
    <t>RT @Pontifex_es: El tiempo que precede la Navidad nos invita a preguntarnos: ¿Cuál es el deseo más grande de mi corazón? Es Dios quien ha p…</t>
  </si>
  <si>
    <t>RT @Hekatombe_: En este momento, ejército con armadura de Esmad en el Congreso. El escudo no dice Esmad, dice "ejército". https://t.co/WGKo…</t>
  </si>
  <si>
    <t>La militarización del Congreso. Una aberración democrática. Un ejército defendiendo la corrupción. Un congreso de… https://t.co/Dn13Gava1a</t>
  </si>
  <si>
    <t>México apuesta a una activación de la economía por la vía del crecimiento del mercado interno y su demanda, al subi… https://t.co/zQtuSN5NnS</t>
  </si>
  <si>
    <t>Cambio Radical y la U han pasado a ser formaciones de Duque. A pesar de este lleno de la plaza de Bolivar desoyen l… https://t.co/yJ9iBfH66S</t>
  </si>
  <si>
    <t>RT @PiensaPrensa: URGENTE | CHILE | ANTOFAGASTA Joven fue herida, en su boca, por un disparo de perdigones realizado por Carabineros a cort…</t>
  </si>
  <si>
    <t>Si usted votó por congresistas de la U, de Cambio Radical, del Partido Conservador, de los pastores cristianos, esc… https://t.co/m77ytAqc35</t>
  </si>
  <si>
    <t>RT @susanamuhamad: #CatalinaMentirosa Con su voto se sabe a quien representan, la reforma tributaria beneficia a los grandes grupos empresa…</t>
  </si>
  <si>
    <t>¿Que hace que la gente vote por un candidato al que le van a retirar su apoyo tres meses después porque este despli… https://t.co/MbKrlNXfyF</t>
  </si>
  <si>
    <t>Si Claudia aprueba el alza de tarifas que propone Peñalosa en Transmilenio y SITP solo agudizará la crisis financie… https://t.co/mGJk6D5otE</t>
  </si>
  <si>
    <t>RT @SenorCaicedo: Otra vez @petrogustavo tiene la razón, pero si lo dice él, es Castrochavismo. https://t.co/gFTRgtsdND</t>
  </si>
  <si>
    <t>RT @DanielRMed: Francisco dice que la política es para servir al pueblo y que quiere que @petrogustavo sea su presidente https://t.co/qM4Zc…</t>
  </si>
  <si>
    <t>RT @Juventud_Humana: Mockus haciendo un Mockus. https://t.co/DHsb71uiLA</t>
  </si>
  <si>
    <t>Ucrania tiene el doble de tierra fértil que Colombia, tenía un uso equitativo, y decidieron hacer una contrarreform… https://t.co/41HnCw34G0</t>
  </si>
  <si>
    <t>RT @MoisesAlvaro_: Enrique Peñalosa se atreve a referirse a quienes llenamos la Plaza de Bolívar como “un centenar de matoncitos”. Si, el…</t>
  </si>
  <si>
    <t>RT @elespectador: Varias ONG estadounidenses piden a su gobierno no vender armas antidisturbios a Colombia. https://t.co/S5IM9YpRJr https:/…</t>
  </si>
  <si>
    <t>Mockus ha dicho que cree que lo sucedido a Dilan no es un asesinato sino un homicidio, como lo dijo medicina legal.… https://t.co/Ei84o0uY8Z</t>
  </si>
  <si>
    <t>El Esmad de Colombia como los carabineros de Chile disparan al rostro, y causan centenares de pérdidas de ojos en l… https://t.co/yDEnvUGOdL</t>
  </si>
  <si>
    <t>Elininada opción de invasión a Venezuela defendida por Holmes, F Santos y Duque con plan B de un golpe de Estado. H… https://t.co/1bRpTTzab9</t>
  </si>
  <si>
    <t>RT @lucianacadahia: Colombia está plagada de falso progresismo. A veces me pregunto si ese no será el verdadero mal. Me pregunto si Mockus…</t>
  </si>
  <si>
    <t>RT @HOLLMANMORRIS: Esta es la bancada de concejalas de Bogotá elegidas por la convergencia Colombia Humana - @UP_Colombia y @MovimientoMAIS…</t>
  </si>
  <si>
    <t>RT @SenorCaicedo: "Con estas balas de M-60 el ejército asesinaba a jóvenes y adultos en Antioquia para presentarlos como guerrilleros muert…</t>
  </si>
  <si>
    <t>RT @WRadioColombia: Álvaro Uribe alcanza cifra histórica de impopularidad https://t.co/6nkINpPd6j</t>
  </si>
  <si>
    <t>RT @DonIzquierdo_: Metió a la cárcel a Los Nule, los Moreno Rojas, a Mario Uribe, destapó cientos de ollas, a Uribe, denunció Paramilitaris…</t>
  </si>
  <si>
    <t>De la sobretasa a las utilidades del sistema financiero, unos 700.000 millones anuales, se girarán directamente a c… https://t.co/t3lqc2wDDH</t>
  </si>
  <si>
    <t>Con la excusa de beneficiar a campesinos, que se beneficiarían más si se les traslada a áreas de tierras fértiles c… https://t.co/f7FR3M5OxQ</t>
  </si>
  <si>
    <t>Debo reconocer en Maria Mercedes Maldonado una de las principales defensoras de la Reserva Forestal Thomas Van Der… https://t.co/LpThIrJPDv</t>
  </si>
  <si>
    <t>Las peticiones de la gente en la calle se pueden resumir en modificar la la ley 100 de salud y pensiones, la ley 50… https://t.co/sV7eJvdNZl</t>
  </si>
  <si>
    <t>RT @aqmoncaleano: «Uribe nos ordenó que borráramos ese pueblo (El aro), picamos a la gente con motosierra, los intestinos los sacábamos con…</t>
  </si>
  <si>
    <t>Siempre pensé que Villalba, el paramilitar que me llamaba desde la cárcel, en medio de una larga condena por la mas… https://t.co/r0qWq6Yzum</t>
  </si>
  <si>
    <t>Dice Duque que crecerá el empleo si se bajan impuestos a empresas. Mentira. Al reducir el impuesto de renta del 33… https://t.co/DJTgLvhK4G</t>
  </si>
  <si>
    <t>El proyecto del gobierno premia que las utilidades se distribuyan como dividendos y participaciones a los dueños, p… https://t.co/Ion6bCOjd8</t>
  </si>
  <si>
    <t>Como un mecanismo para acrecentar los ingresos del Eatado, se propone una amnistía para bienes activos no declarado… https://t.co/9ffEcqhhkb</t>
  </si>
  <si>
    <t>RT @petrogustavo: De la sobretasa a las utilidades del sistema financiero, unos 700.000 millones anuales, se girarán directamente a constru…</t>
  </si>
  <si>
    <t>Duque propone en la tributaria que el impuesto al patrimonio se cobre solo a personas naturales, el 1% más rico de… https://t.co/elZmnPE7LP</t>
  </si>
  <si>
    <t>RT @DanielRMed: Petro pone el ejemplo de México donde los empresarios entendieron que no es bajando impuestos sino aumentando salarios como…</t>
  </si>
  <si>
    <t>RT @DanielRMed: “No es cierto que la tributación de las empresas sea del 70% de sus utilidades, esa es una mentira que ha repetido el uribi…</t>
  </si>
  <si>
    <t>Mientras Duque pide que no se grave el componente inflacionario de las rentas financieras, que solo obtienen el 1%… https://t.co/N7xRwPsn82</t>
  </si>
  <si>
    <t>RT @DanielRMed: Uds están estimulando la improductividad y que latifundistas pongan sus predios a nombre de una empresa para eludir impuest…</t>
  </si>
  <si>
    <t>Es posmoderno. https://t.co/NjIOo8qyhG</t>
  </si>
  <si>
    <t>Disminuir la renta presuntiva como propone Duque y Vargas Lleras implica que los terratenientes ya no pagarán impue… https://t.co/L2pklD8nUk</t>
  </si>
  <si>
    <t>RT @DanielRMed: ¿Se acuerdan de Francisco? Está pidiéndole a la plenaria del senado que legislen para la vida y que sean concientes de la e…</t>
  </si>
  <si>
    <t>La heroína de hoy se llama Maria José Pizarro, representante por Decentes. Levantó la sesión donde se discutía la… https://t.co/zvN42XE2Pg</t>
  </si>
  <si>
    <t>RT @GustavoBolivar: Gracias Petro por invitarme a la política. Tengo la fortuna de compartir curul con un maestro en todo el sentido d la p…</t>
  </si>
  <si>
    <t>La mermelada esta servida en la mesa de la reforma tributaria y es abundante, son 700.000 millones anuales por tres… https://t.co/CLfIGYRT3o</t>
  </si>
  <si>
    <t>RT @DanielBejarano_: URGENTE, Carabineros en Chile, aplastan con dos vehículos “zorrillo“ a un joven. difundir por todo el mundo https://t…</t>
  </si>
  <si>
    <t>Angela María como mi fórmula vicepresidencial se ganó el derecho a ser Representante a la Cámara al haber obtenido… https://t.co/eH4dXs49gt</t>
  </si>
  <si>
    <t>Privatizaron por completo el espectro Radioeléctrico que es un bien nacional inenajenable según la Constitución https://t.co/NyjOPQBwQk</t>
  </si>
  <si>
    <t>Esta es la primera parte de mi intervención sobre la reforma tributaria de Duque https://t.co/vjGYFnqcti</t>
  </si>
  <si>
    <t>Esta es la segunda parte de mi intervención sobre la reforma tributaria de Duque https://t.co/uktqPyM5kt</t>
  </si>
  <si>
    <t>RT @charry_manager: Recuerdo cuando a @petrogustavo le dieron tan duro porque los baños de los jardines no tenían puertas... La estupidez…</t>
  </si>
  <si>
    <t>RT @tikopineda: Navidad estrangulada por el autoritarismo de la barbarie, la padecen en Chile https://t.co/N9Ei1LqgD6</t>
  </si>
  <si>
    <t>Han muertos más soldados por suicidio que en combate contra las guerrillas. Es la hora que el Estado le brinde a l… https://t.co/77M5klhQng</t>
  </si>
  <si>
    <t>Una tristeza que ingenieros chinos solo por dinero cometan un crimen urbanístico contra la ciudad de Bogotá. https://t.co/HUnaFW5D2O</t>
  </si>
  <si>
    <t>Ojalá toda la juventud de las comunas populares de Medellín baje al concierto y decida dejar de ser objeto de la m… https://t.co/bbm12Szr8F</t>
  </si>
  <si>
    <t>RT @petrogustavo: Esta es la segunda parte de mi intervención sobre la reforma tributaria de Duque https://t.co/uktqPyM5kt</t>
  </si>
  <si>
    <t>RT @petrogustavo: Esta es la primera parte de mi intervención sobre la reforma tributaria de Duque https://t.co/vjGYFnqcti</t>
  </si>
  <si>
    <t>RT @CapazMauricio1: En Huellas Caloto (9 am), un vehículo es incinerado con persona abordo, se desconoce identidad de la víctima de este cr…</t>
  </si>
  <si>
    <t>RT @yeniyepes: Pasen todos los moralistas que se escandalizan con la naturaleza del cuerpo desnudo pero no con los cuerpos violados, tortur…</t>
  </si>
  <si>
    <t>RT @ActualidadRT: ¿Qué tiene que pasar por la mente de alguien para que mate a una persona a cambio de unas vacaciones? ¿Qué tiene que suce…</t>
  </si>
  <si>
    <t>Este bárbaro rompió la familia de la dirigente Gloria Flórez al separar a su esposo violentamente de ella y su hijo… https://t.co/918Xs4OwOb</t>
  </si>
  <si>
    <t>RT @PublimetroCol: Asesinan al guardia del Consejo Regional Indígena del Huila https://t.co/zs5Ls1cDrW</t>
  </si>
  <si>
    <t>La despedida de Peñalosa: Un depredador urbanístico. https://t.co/SrOV7hlg1K</t>
  </si>
  <si>
    <t>Medellín se moviliza con el paro Nacional. El año entrante toda Colombia de nuevo a las calles y con tres veces má… https://t.co/2wttEPhWIF</t>
  </si>
  <si>
    <t>RT @Larangolo: @AdrianaLucia @Santialarconu @subcantante ¡Gracias! #MedellinResisteCantando https://t.co/ybARDG6Q7l</t>
  </si>
  <si>
    <t>RT @nancySua_: El mejor : Petro "Nosotros somos alternativa... oposición ha sido la izquierda colombiana durante décadas. No había nacido…</t>
  </si>
  <si>
    <t>Los madrugones no son del gran San sino de centenares de mujeres confeccionistas a las cuales le entregamos espacio… https://t.co/3ddFDYU18s</t>
  </si>
  <si>
    <t>Los problemas del país se comienzan a resolver con la palabra Paz. Como la palabra Paz entraña la verdad hay quie… https://t.co/PNkHc4GAf5</t>
  </si>
  <si>
    <t>Igual que en Chile, la policía del Esmad dispara a los ojos de las perdonas en Colombia. ¿Por qué usan los mismos… https://t.co/R4QBEhkEiN</t>
  </si>
  <si>
    <t>Otra vez la Sierra Nevada está bajo control narcoparamilitar. Volvieron los viejos tiempos; al parecer los añorab… https://t.co/HX4pDk4MD0</t>
  </si>
  <si>
    <t>Ricardo Villa era un defensor de los derechos de los pequeños expendedores de la plaza de mercado de Santa Marta. E… https://t.co/0XnAbIYon9</t>
  </si>
  <si>
    <t>RT @AlcolirykoZ: Medallo NO ESTÁ EN VENTA⚔️ Colombia NO ESTÁ EN VENTA (Aquí están los “4 gatos” que dijeron que vendrían a este concierto)…</t>
  </si>
  <si>
    <t>Esta es mi entrevista con Alejandra Villamizar, espero sus comentarios. https://t.co/QfuqVbuYL8</t>
  </si>
  <si>
    <t>RT @petrogustavo: Esta es mi entrevista con Alejandra Villamizar, espero sus comentarios. https://t.co/QfuqVbuYL8</t>
  </si>
  <si>
    <t>Los mataron por defender la naturaleza, porque quienes hoy controlan la Sierra Nevada no la ven como la fuente sagr… https://t.co/akq14hmOGp</t>
  </si>
  <si>
    <t>Una Féliz Navidad para toda Colombia. https://t.co/LwwFgwpCes</t>
  </si>
  <si>
    <t>RT @petrogustavo: Una Féliz Navidad para toda Colombia. https://t.co/LwwFgwpCes</t>
  </si>
  <si>
    <t>RT @GustavoBolivar: Asesinada en Tumaco lideresa social y gestora cultural Lucy Villarreal después de impartir taller para niños y coordina…</t>
  </si>
  <si>
    <t>RT @DianaDefensora: ¿Cómo se puede ser feliz en este país, si la gente bella, sensible y con liderazgo social la siguen matando? @IvanDuqu…</t>
  </si>
  <si>
    <t>RT @HADASSA31238785: Los jóvenes estudiantes de la universidad de los Andes asesinados en San Bernardo en Córdoba en manos de narco parami…</t>
  </si>
  <si>
    <t>Lucy Villarreal, asesinada en Llorente, Nariño. La toma mafiosa del territorio, liderada entre el Estado y los cart… https://t.co/DEAc4n88CD</t>
  </si>
  <si>
    <t>Hay una alianza de facto entre el gobierno de Duque y los carteles del narco. Ambos van contra la restitución volun… https://t.co/5CVg4FtjWS</t>
  </si>
  <si>
    <t>RT @GustavoBolivar: Navidad amarga. Asesinado en Pitalito, Huila, Reinaldo Carrillo, dirigente de ANUC. Lideraba procesos de reforma agrari…</t>
  </si>
  <si>
    <t>RT @CECastaneda: Mi más enérgica condena por el asesinato del compañero Gustavo Adolfo Cárdenas Rojas, miembro de la Comisión de quejas y r…</t>
  </si>
  <si>
    <t>Que irresponsable. Esperan que nos quedemos callados o riendo de la desgracia nacional. Para ellos ele ar la voz de… https://t.co/NWlPVUfj5h</t>
  </si>
  <si>
    <t>RT @petrogustavo: Hay una alianza de facto entre el gobierno de Duque y los carteles del narco. Ambos van contra la restitución voluntaria…</t>
  </si>
  <si>
    <t>RT @lbertoortiz: Uribe paraco el pueblo está berraco Así inicia la feria de Cali. Vea pues. https://t.co/9XyG3PN1GI</t>
  </si>
  <si>
    <t>Exactamente. https://t.co/WFNWFEWglK</t>
  </si>
  <si>
    <t>¿Creen que la historia se repite? Lo que el gobierno llama disidencias de las Farc ya no son guerrillas insurgentes… https://t.co/2hFSBoszvw</t>
  </si>
  <si>
    <t>RT @petrogustavo: Exactamente. https://t.co/WFNWFEWglK</t>
  </si>
  <si>
    <t>Protestar con una cacerola es destruir a Colombia, según la vicepresidente, pero entrar a la comuna XIII y desapare… https://t.co/6bYBdK6KyQ</t>
  </si>
  <si>
    <t>RT @cielo_rusinque: En Chile Piñera para tratar de calmar las protestas subió en un 16% el salario mínimo y la gente siguió en las calles.…</t>
  </si>
  <si>
    <t>La mayoría de los electores uribistas son personas que ganan menos de un salrio mínimo. No leerán este trino. Esta… https://t.co/hIGd3W987g</t>
  </si>
  <si>
    <t>Y cómo le explicamos a @Marbelle30 que el Canto General de Pablo Neruda y el Guernica de Picasso son obras de arte y resistencia?</t>
  </si>
  <si>
    <t>Así absorbió Luis Carlos Sarmiento la caída en bolsa por el escándalo de Odebrecht. Al subir el precio de las accio… https://t.co/ANeaC1DBlt</t>
  </si>
  <si>
    <t>RT @EpicuroDeSamos_: Petro ya lo había dicho: "vamos para una mejicanización de Colombia" en el sentido del horror narco que campea en ese…</t>
  </si>
  <si>
    <t>Le dije a Colombia que el nivel de barbarie por el cambio de dueño del narcotrafico iba a aumentar. El dominio de… https://t.co/Qy5NAVxcVE</t>
  </si>
  <si>
    <t>RT @CarlosMataguila: @EpicuroDeSamos_ Petro hizo una impecable lectura de la realidad y análisis político, la propuesta de la Colombia Huma…</t>
  </si>
  <si>
    <t>RT @petrogustavo: Protestar con una cacerola es destruir a Colombia, según la vicepresidente, pero entrar a la comuna XIII y desaparecer a…</t>
  </si>
  <si>
    <t>RT @Mistermopilas: ¿Saben dónde usan esa 'práctica' de degollar y cortar cabezas? En México y Guatemala ¿Saben qué grupo paramafioso se met…</t>
  </si>
  <si>
    <t>RT @gener_usuga: La madre del supuesto asesino de #NataliaYRodrigo pide justicia para su hijo, pues según ella es un falso positivo del gob…</t>
  </si>
  <si>
    <t>Y se fué el mejor ministro que tenía Duque. https://t.co/SkogfR9WyW</t>
  </si>
  <si>
    <t>RT @amoralesan: Columna de Ana María Arango en Café Picante que (aplicando censura económica) Youtube considera no adecuada para anunciante…</t>
  </si>
  <si>
    <t>RT @WRadioColombia: #AlAireEnLaW | Es evidente que la industria del fracking en Estados Unidos está cayendo (...) en Colombia hay bancos co…</t>
  </si>
  <si>
    <t>Esta es la rumba de fin de año en la empresa de Acueducto de Bogotá. Se le llama la piñata. Peñalosa y su gerente p… https://t.co/S8V0IfEqNJ</t>
  </si>
  <si>
    <t>Las tres noticias de hoy están ligadas: Aumento del desempleo, decreto para permitir el fracking y desastre en vere… https://t.co/q7ssN8qpny</t>
  </si>
  <si>
    <t>Entre más se emitan gases efecto invernadero por el uso del petroleo, el carbón y el gas, más abruptos serán los ca… https://t.co/sm0PoCs87K</t>
  </si>
  <si>
    <t>RT @inafinogenova: Toda la información que contiene este vídeo es de fuentes abiertas. Sin embargo, ¿cuánto sabemos de los 'falsos positivo…</t>
  </si>
  <si>
    <t>RT @VladRodValencia: @Marbelle30 me encontré este recuerdo de cuando junto a @AdrianaLucia @HastaVida y otres participaste en la estrategia…</t>
  </si>
  <si>
    <t>Cumple un año de inicio de actividades la primera troncal eléctrica de Bogotá: el Metrocable, que contratamos, y ah… https://t.co/lxxdfucUOC</t>
  </si>
  <si>
    <t>RT @DanielBejarano_: ojo, están bloqueado este video https://t.co/AePyB5MAor</t>
  </si>
  <si>
    <t>RT @PizarroMariaJo: Precisamente sabiendo que se agotan las reservas, propusimos con @petrogustavo abandonar el modelo extractivista y nues…</t>
  </si>
  <si>
    <t>En Chile en medio de las fiestas navideñas y de fin de año, continúa la protesta social; están decididos a vencer.… https://t.co/A02lSMq21E</t>
  </si>
  <si>
    <t>El déficit del SITP, se duplicó entre el final de mi administración y la presente. ¿Por qué? Porque al subir estr… https://t.co/fEET6CkZIm</t>
  </si>
  <si>
    <t>Atacan el arte porque necesitan el silencio. El silencio del miedo o el silencio cómplice. Solo así se puede constr… https://t.co/mmuQybk9qs</t>
  </si>
  <si>
    <t>Aquí se demuestra cómo el gobierno ya sabía de la entrada de mexicanos con la intención de dominar el narcotráfico… https://t.co/5gCNx1kLwZ</t>
  </si>
  <si>
    <t>RT @CapazMauricio1: Luego de días de angustias e incertidumbre, autoridades han confirmado que el cuerpo encontrado en vehículo incinerado…</t>
  </si>
  <si>
    <t>No es solo Luis Carlos Sarmiento, como él los 500 más ricos del mundo vieron crecer sus fortunas en más del 25% en… https://t.co/Colz5wqdne</t>
  </si>
  <si>
    <t>RT @leviand_: El chico que se "había entregado" por la muerte de los ambientalistas sale gritando junto a su madre que es un falso positivo…</t>
  </si>
  <si>
    <t>RT @humedalesbogota: Bajo resolución 03643 @Ambientebogota deroga la resolución 1238 que establecía como área de protección ambiental al hu…</t>
  </si>
  <si>
    <t>RT @ChalecosAmarill: 📽🇨🇱 IMPACTANTE!! #Chile ✔Desde #PlazaDignidad en Santiago de Chile, á una sola voz gritan; FUERA @sebastianpinera !!…</t>
  </si>
  <si>
    <t>RT @petrogustavo: En Chile en medio de las fiestas navideñas y de fin de año, continúa la protesta social; están decididos a vencer. ¿Qué…</t>
  </si>
  <si>
    <t>RT @petrogustavo: Aquí se demuestra cómo el gobierno ya sabía de la entrada de mexicanos con la intención de dominar el narcotráfico bajo l…</t>
  </si>
  <si>
    <t>Parte de mi discurso sobre la Reforma Tributaria de Duque. Incapacidad e ignorancia económica al servicio de aument… https://t.co/XwNOUgOxAk</t>
  </si>
  <si>
    <t>Las guerras invisibles en los barrios de Colombia. Una juventud uniformada contra una juventud excluida. Así no con… https://t.co/IPz2Pe6IAE</t>
  </si>
  <si>
    <t>RT @GustavoBolivar: Por fin se va Peñalosa. Será recordado como el que robó a Btá la posibilidad de tener un Metro subterráneo. Lo echó aba…</t>
  </si>
  <si>
    <t>Estas son las fórmulas en contra del triunfo de la Colombia Humana en 2020 Uribismo y el club de hidroituango y Od… https://t.co/KwB7JOJZ1y</t>
  </si>
  <si>
    <t>El partido Liberal se ha convertido en un saloncito de té de la casa de Cesar Gaviria. Este dueño y señor del otror… https://t.co/p94oSFIpVU</t>
  </si>
  <si>
    <t>La podredumbre de la política tradicional de Colombia. En Sucre serán alcaldes un preso condenado por lavado de act… https://t.co/qLa9ZPeBFQ</t>
  </si>
  <si>
    <t>RT @_hijademinero: Este niño encaró a carabineros, no con piedras, ni insultos. X el contrario con argumentos sólidos. Te deja con los pel…</t>
  </si>
  <si>
    <t>RT @CaracolRadio: #Nacional 🇨🇴 Según los llamados, la ciudadanía busca "comenzar un nuevo año con dignidad". https://t.co/ZJ3w86btDl</t>
  </si>
  <si>
    <t>Con toda, que nuestro primer acto, en el primer segundo del año 2020, sea un cacerolazo contra el mal gobierno, la… https://t.co/dtdjFYfyl3</t>
  </si>
  <si>
    <t>Lamentable. En realidad las cadenas radiales, que pertenecen a los dueños de RCN y Caracol, han destruido la cultur… https://t.co/7EepqsmIvH</t>
  </si>
  <si>
    <t>La política cultural de Colombia Humana, empieza por construir públicos en la escuela, en dar bases teóricas de edu… https://t.co/7CjIjV2JRY</t>
  </si>
  <si>
    <t>La producción de cultura en cualquiera de sus géneros, al existir una base generalizada de formación musical y cult… https://t.co/OlEhDM0xJs</t>
  </si>
  <si>
    <t>RT @amoralesan: Me uno a la propuesta de Petro: cacerolazo el 31 a las doce de la noche para recibir el 2020 con las pilas sociales bien pu…</t>
  </si>
  <si>
    <t>RT @petrogustavo: Con toda, que nuestro primer acto, en el primer segundo del año 2020, sea un cacerolazo contra el mal gobierno, la muerte…</t>
  </si>
  <si>
    <t>¿No será que es al revés?, que la población con mejores conocimientos ya sabe que es insostenible mantener un agres… https://t.co/B7eHhy8ycs</t>
  </si>
  <si>
    <t>El mayor problema para lograr seguridad ciudadana está en la corrupción policial Secciones de la policía están al… https://t.co/tX4IYfNZqc</t>
  </si>
  <si>
    <t>No estoy de acuerdo con Vargas Lleras. Al igual que Duque piensa que reduciendo impuestos a petroleras, carboneras… https://t.co/h2GEDMGEAD</t>
  </si>
  <si>
    <t>Oye Duque, están en este momento reclutando menores en el Doce y la Caucana en el bajo Cauca. Mande el ejército pa… https://t.co/IAD3RSHPkt</t>
  </si>
  <si>
    <t>La prensa no ha querido hacer el análisis comparativo de los resultados de las encuestas de movilidad, 2011/2015/20… https://t.co/KkyODtX3nC</t>
  </si>
  <si>
    <t>En 2011 se hacían 5.1 millones de viajes diarios en transporte público, pasamos a 6.2 millones con Bogotá Humana y… https://t.co/sNy0WcRJeB</t>
  </si>
  <si>
    <t>Pasamos de 1.6 millones de viajes diarios en auto en el 2015, cifra menor a la de 1.7 del 2011, a 2 millones en el… https://t.co/s1IRkKfG9h</t>
  </si>
  <si>
    <t>El gran resultado social de la política de movilidad y tarifaria de Bogotá Humana fue el desplome de largos viajes… https://t.co/4KSnvzHzu3</t>
  </si>
  <si>
    <t>Encuesta de movilidad con 20.000 encuestados, 2011, 2015, 2019 no le dá la razón, sr @Osenramen. Si ve el cuadro qu… https://t.co/pAskBQOXwE</t>
  </si>
  <si>
    <t>Cuando elevamos el uso del bus de 5.1 a 6.2 millones y bajamos el uso del carro de 1.7 a 1.6 millones y los viajes… https://t.co/KKDfXOK2N4</t>
  </si>
  <si>
    <t>Jamás he dicho que el transporte público hay que dejar de usarlo, al contrario; cuando llevamos el dia sin carro a… https://t.co/bpCwnNxSmH</t>
  </si>
  <si>
    <t>Las encuesta de movilidad hechas en 2005, 2011, 2015 y 2019 con más de 20.000 encuestados son encuestas científicam… https://t.co/G7uGJuy089</t>
  </si>
  <si>
    <t>Ahora la primera y hasta ahora única troncal eléctrica de transporte público en Bogotá , después de la destrucción… https://t.co/qMUqWI3NQs</t>
  </si>
  <si>
    <t>RT @petrogustavo: La prensa no ha querido hacer el análisis comparativo de los resultados de las encuestas de movilidad, 2011/2015/2019 en…</t>
  </si>
  <si>
    <t>La extrema derecha son fake news, falsas noticias, o no existe. Eso dijo el filósofo brasileño y parece tener la r… https://t.co/8ftDUcBiOc</t>
  </si>
  <si>
    <t>¿Intentamos entre todos averiguar la identidad de este calumniador? ¿sabrá que en los ochenta era estudiante y que… https://t.co/yJNGo2pVG8</t>
  </si>
  <si>
    <t>¿Intentamos entre todos averiguar la identidad de este calumniador? ¿Sabrá que en los ochenta era estudiante y que… https://t.co/9Q8s6jZzSN</t>
  </si>
  <si>
    <t>La extrema derecha es fake news, noticias falsas, o no existe. Eso dijo el filosofo brasileño y parece tener la ra… https://t.co/MlqKPFBikB</t>
  </si>
  <si>
    <t>A @dhidalgo65 se le olvidó lo más importante de la gran encuesta de movilidad 2019 Peñalosa, obligado por J C Gran… https://t.co/kDeoj2BldN</t>
  </si>
  <si>
    <t>Héroes de la Justicia. Una justicia sin Fiscal general, sin jefe de Estado, es una justicia vulnerable en manos de… https://t.co/KbNE44Ph15</t>
  </si>
  <si>
    <t>Se une el cartel de Odebrecht amigo Sánchez. Bien que quisiéramos un periodismo que revelara las pruebas que existe… https://t.co/Ra6iHtPxnb</t>
  </si>
  <si>
    <t>La prensa pagada abundantemente por los recursos de la alcaldía de Bogotá lo muestra como una gran maratón de entre… https://t.co/I6y6zQHWsi</t>
  </si>
  <si>
    <t>Claudia debe quedar notificada. Subir las tarifas de transporte destruyó el sistema de transporte público de Bogot… https://t.co/ziE3NhUOAw</t>
  </si>
  <si>
    <t>Se me intentó multar con casi cien millones de dólares por mi politica tarifaria, y ahora se me busca procesar pena… https://t.co/jat1owRhkJ</t>
  </si>
  <si>
    <t>En respuesta a @marioherzam que pregunta cuánto empleo generamos, muestro la estadística de tasa ocupación en Bogot… https://t.co/tM2x1WP3Y6</t>
  </si>
  <si>
    <t>RT @petrogustavo: Claudia debe quedar notificada. Subir las tarifas de transporte destruyó el sistema de transporte público de Bogotá. Se…</t>
  </si>
  <si>
    <t>Colombia no está obligada fatalmente a escoger entre Uribe y Petro, pero en el 2018 escogía entre Uribe y Petro y q… https://t.co/TnGo3mHbbu</t>
  </si>
  <si>
    <t>Es cierto que el voto blanco sumado no me hubiera hecho ganar, pero el simple hecho que los líderes derrotados en p… https://t.co/ujA6W0VtEg</t>
  </si>
  <si>
    <t>Ya le corresponde a la historia juzgarlo. La lección inmediata que queda, es que las fuerzas liberales y de izqui… https://t.co/DndUg2taGW</t>
  </si>
  <si>
    <t>Los contratos de implementacion del SITP en 2010 estipulaban una transformación progresiva en el tiempo de renovaci… https://t.co/IPw0x5gUcW</t>
  </si>
  <si>
    <t>La destrucción del sistema público de transporte de Bogotá significa que la gente deja de usarlo para pasarse a mod… https://t.co/Sm6HTU1zNx</t>
  </si>
  <si>
    <t>A punto de consolidarse el gobierno progresista de España. https://t.co/5qHF2afUPW</t>
  </si>
  <si>
    <t>Es hora que con dignidad, Colombia deje de apoyar el golpe de Estado en Bolivia. Que Colombia no sea cómplice de as… https://t.co/703WQEbXcT</t>
  </si>
  <si>
    <t>Usan el arte y el engaño para acabar con el agua y el páramo de Santurbán. Esperamos que el nuevo alcalde de Bucar… https://t.co/RhFsYch4m6</t>
  </si>
  <si>
    <t>El acuerdo para el gobierno progresista de España a punto de conformarse propone una ley de cambio climático que ha… https://t.co/jLaATDeyzf</t>
  </si>
  <si>
    <t>El gobierno progresista de España a punto de conformarse acuerda derogar la reforma laboral para generar más estabi… https://t.co/EXcDhqvTV3</t>
  </si>
  <si>
    <t>El gobierno progresista de España a punto de conformarse acuerda volver universal la educación infantil tres años e… https://t.co/LANEx9jY24</t>
  </si>
  <si>
    <t>El gobierno progresista de España a punto de conformarse aprueba extender la cobertura de la educación superior y s… https://t.co/Kv47DWnyXy</t>
  </si>
  <si>
    <t>El gobierno progresista de España a punto de conformarse aprueba establecer una ley que obligue a la igualdad de sa… https://t.co/dp3kx0RB5H</t>
  </si>
  <si>
    <t>El gobierno progresista a punto de conformarse en españa aprueba subir los impuestos a los más ricos, especialmente… https://t.co/MVU49qRSJ6</t>
  </si>
  <si>
    <t>Continua la danza macabra, la orgía de sangre. https://t.co/0HzvoTBokr</t>
  </si>
  <si>
    <t>RT @ElReticente: El papá de Cuadrado, asesinado. El papá de Juanfer, desaparecido. El papá de Rigo, asesinando. La estadística tiene que e…</t>
  </si>
  <si>
    <t>Se vuelve ley el regalo de fin de año a los mas ricos del país. Dueños de petroleras, carboneras, terratenientes y… https://t.co/NugG166lro</t>
  </si>
  <si>
    <t>La prensa engolosinada con el dinero público que a manos llenas le entrega Peñalosa, no solo no registra el hecho q… https://t.co/NRo1K7telb</t>
  </si>
  <si>
    <t>RT @rcnradio: Sindicatos harán cacerolazo en Pereira, para despedir el año 2019 https://t.co/HILmPPphZR</t>
  </si>
  <si>
    <t>RT @lucianacadahia: Los que hacemos análisis del discurso sabemos distinguir el pastiche del discurso político. Ojalá me equivoque, pero Cl…</t>
  </si>
  <si>
    <t>Para llevar el metro a Suba, hay que realizar estudio de ingeniería en sus tres fases y luego licitar con financiac… https://t.co/JTHq9SXS76</t>
  </si>
  <si>
    <t>Empiezan los nuevos gobiernos locales. Algunos llevaran la agenda de la política de la vida. La adaptación y mitig… https://t.co/jEeOmaVeQ9</t>
  </si>
  <si>
    <t>Recuerdo cuando Francisco Santos decía que lo que hacía EEUU al invadir Irak debía hacerlo en Colombia. Hoy la tom… https://t.co/3Xva9pzcRe</t>
  </si>
  <si>
    <t>Al final de los cuatros años, Peñalosa pudo destruir el metro poderoso para Bogotá. Pero en realidad un electorado… https://t.co/t6e6wZs8IZ</t>
  </si>
  <si>
    <t>RT @EpicuroDeSamos_: "Yo sé que me van a matar allá en Colombia por revelar esto, solo pido seguridad". Testigo contra Uribe, quien luego…</t>
  </si>
  <si>
    <t>RT @VickyDavilaH: Acabando el 2019, a quien prefiere de estos presidenciables para 2022:</t>
  </si>
  <si>
    <t>RT @Nicholas_Medina: Tras casi dos décadas de la toma armada en Bojayá y su trágico desenlace, ayer 31 de diciembre, mientras todas intentá…</t>
  </si>
  <si>
    <t>RT @YoAlejoV: Oigan @IvanDuque y @EnriquePenalosa, ustedes llevarán esta muerte siempre a sus espaldas. ¡Qué dolor! https://t.co/ku2O6Kt6CN</t>
  </si>
  <si>
    <t>Después de la masacre de Bojayáñ y de lograr que las farc dejaran de ser factor de violencia en la región; en el go… https://t.co/gvvgjKnmxb</t>
  </si>
  <si>
    <t>Richard Maok acaba de publicar un video donde un exempleado de una aerolinea colombiana que dice que llevó un carga… https://t.co/B8uSUF8Iat</t>
  </si>
  <si>
    <t>RT @gaitan_presente: Petro dijo en 2018 q 2019 sería, probablemente, "el de la mayor movilización social de Colombia en su historia". Tenía…</t>
  </si>
  <si>
    <t>RT @hackerFiscalia: ATENCION! #ElFinalDeUribe https://t.co/9TNmP7vo7v Air Cargo Lines, ayudado x Uribe, Aerocivil, agente DEA, hijo del Cha…</t>
  </si>
  <si>
    <t>RT @HOLLMANMORRIS: Del “Embrujoautoritario” de Uribe quien hizo creer que Colombia era más segura , cuando en los campos se cometían miles…</t>
  </si>
  <si>
    <t>Entre más se suba la tarifa de bus, más la gente acudirá a la moto y el carro haciendo insostenible la ciudad. Más… https://t.co/Cp0yc40urT</t>
  </si>
  <si>
    <t>RT @CarlosCarrilloA: Creen que porque las hienas sonríen dejan de ser peligrosas, apenas se eligió a Galán, CR se declaró en oposición para…</t>
  </si>
  <si>
    <t>Grandes dueños de fortunas en em mundo empiezan a criticar a sus propios gobiernos que les rebajan los impuestos.… https://t.co/ehi42NrLWL</t>
  </si>
  <si>
    <t>La ratificación de Andres Escobar y su corrupción en la adjudicación de la construcción del metro débil y elevado e… https://t.co/FYJIAAA37U</t>
  </si>
  <si>
    <t>En esta foto se sintetiza la razón por la cual se rompió el acuerdo entre la candidata verde y Colombia Humana a la… https://t.co/MA3TNmOuu4</t>
  </si>
  <si>
    <t>Guillermo Torres es el alcalde de Turbaco elegido por la Colombia Humana, junto al alcalde de Buenaventura, Villavi… https://t.co/BlJFxbo0YS</t>
  </si>
  <si>
    <t>Efectivamente la fuerza que se toma Bojayá es puramente narcotraficante pero con fuertes alianzas con sectores del… https://t.co/KPSTkpWdtS</t>
  </si>
  <si>
    <t>RT @JUANCAELBROKY: ¿Amenaza directa que incita a la violencia y a atentar contra la vida de Gustavo Petro @petrogustavo por parte del uribi…</t>
  </si>
  <si>
    <t>RT @DavidRacero: Los 45 hallazgos determinados por la Contraloría, las irregularidades de la aceleración de la adjudicación del Metro Eleva…</t>
  </si>
  <si>
    <t>RT @AiphanMarcel: «El pueblo unido jamás será vencido...» Manif aux flambeaux ce soir à #Marseille où les vœux incendiaires de #Macron ont…</t>
  </si>
  <si>
    <t>Continuidad del proyecto de movilidad de Peñalosa y continuidad del proyecto de salud, que es privatización de hosp… https://t.co/tADyCszOQp</t>
  </si>
  <si>
    <t>RT @graffitiborrao: El costo final de #Hidroituango ya lo estiman en 16 Billones de pesos. En caso de no seguir incrementándose y si logran…</t>
  </si>
  <si>
    <t>Otra vez la Reserva Thomas Van der Hammen en peligro. No hay necesidad de cruzar vías en la reserva, lo que debe h… https://t.co/quQ1ms794S</t>
  </si>
  <si>
    <t>RT @Annonnymous_R: 🚨ALERTA🚨 Association between former president of Colombia Álvaro Uribe Vélez and Cartel de sinaloa. The former presiden…</t>
  </si>
  <si>
    <t>RT @ChalecosAmarill: 📽⚠️ #FreeAssange “Recordarán cuando el gobierno fascista de Mussolini encarceló a Antonio Gramsci. El fiscal dijo: ‘…</t>
  </si>
  <si>
    <t>Habíamos visto a un Uribe en el centro de la expansión de las Convivir en Antioquia, Córdoba y Sucre, que fueron el… https://t.co/Nzp3IrXLhd</t>
  </si>
  <si>
    <t>Este cartel, el paramilitarismo, en una dimensión mucho mayor que Pablo Escobar y sus amigos de la década de los o… https://t.co/mAOEbfNBg4</t>
  </si>
  <si>
    <t>Según estas informaciones nos muestran un cambio estructural del narcotráfico a una escala aun mayor de poder, esta… https://t.co/9BmwlOL4IA</t>
  </si>
  <si>
    <t>¿Dónde está Ana Maria Uribe Cifuentes, hija de Alberto Uribe Vélez y Dolly Cifuentes, el enlace clave entre el para… https://t.co/CHsbT3BMjB</t>
  </si>
  <si>
    <t>A punto de la tercera guerra mundial y es por Petroleo En donde se produce el 33% del petroleo, EEUU mata al coman… https://t.co/PSSqmNTXDj</t>
  </si>
  <si>
    <t>El desespero político de Trump por su situación interna lo impulsa a desencadenar la tercera guerra mundial. https://t.co/4aJDHsBtnQ</t>
  </si>
  <si>
    <t>RT @petrogustavo: ¿Dónde está Ana Maria Uribe Cifuentes, hija de Alberto Uribe Vélez y Dolly Cifuentes, el enlace clave entre el paramilita…</t>
  </si>
  <si>
    <t>RT @petrogustavo: Habíamos visto a un Uribe en el centro de la expansión de las Convivir en Antioquia, Córdoba y Sucre, que fueron el espac…</t>
  </si>
  <si>
    <t>Jajjaja, el periodismo degradado ya no puede leer el mundo. https://t.co/A21hIgQT3G</t>
  </si>
  <si>
    <t>Este discurso de la derecha de EEUU es el que se irradia en las extremas derechas latinoamericanas. Creer que el mu… https://t.co/VhAkcbqvhp</t>
  </si>
  <si>
    <t>RT @MMFlint: War is good. War is a necessary distraction. War is peace. Trump is our Commander! Shhhh...sleep...there was no collusion...it…</t>
  </si>
  <si>
    <t>RT @ChalecosAmarill: 📽🆘️ #Iran 🇮🇷 #03Ene || MUCHAS MOVILIZACIONES EN MUCHOS PUNTOS TRAS ATENTADO #EEUU #IraqProtests ♾Masivas movilizacion…</t>
  </si>
  <si>
    <t>Tengan ustedes la certeza sra @PaolaRojas_C que jamás Colombia Humana avalará la construcción de una obra adjudicad… https://t.co/mnU43wATml</t>
  </si>
  <si>
    <t>RT @charry_manager: Frente al proceso de desplazamiento forzado y violento que adelantó @CVPBogota y @EnriquePenalosa con más de 1500 famil…</t>
  </si>
  <si>
    <t>Ajá. https://t.co/QgZAmAbhSX</t>
  </si>
  <si>
    <t>RT @JuanitoGuti: Nos declaramos en oposición, pero somos alternativa de poder. #Zipaquirá @UP_Colombia @ColombiaHumana_ https://t.co/EvD7O…</t>
  </si>
  <si>
    <t>Soleimani era el arquitecto de la derrota de ISIS, el fundamentalismo islámico fascista, en Irak, con los Kurdos y… https://t.co/6SHsORIwFr</t>
  </si>
  <si>
    <t>Duque debe ir a Bojayá y demostrar que el gobierno controla el territorio. Pero más aún, las comunidades afro debe… https://t.co/AMFVGm2JuH</t>
  </si>
  <si>
    <t>RT @EpicuroDeSamos_: OJO estudiantes de comunicación social: La prensa PRIVADA dice: -1er ataque d Petro a Claudia (porque hizo criticas…</t>
  </si>
  <si>
    <t>RT @PiensaPrensa: CHILE: Carabinera golpea brutal y descontroladamente a una persona (mujer) por estar mal estacionada en calle San Martin/…</t>
  </si>
  <si>
    <t>RT @ChalecosAmarill: 📰🆘️ #Iran #Iraq || RESPONDE ♾Muqtada al-Sadr anuncia el regreso del Ejército de al-Mahdi para responder a la agresió…</t>
  </si>
  <si>
    <t>Hay personas que creen que el Poder viene del designio divino. Así se pensaba exactamente en la edad media. Pero s… https://t.co/fW4CMM4TCA</t>
  </si>
  <si>
    <t>RT @JuanVelaM214: En 2018 @petrogustavo advirtió la llegada del cartel de Sinaloa a Colombia y sus problemáticas. Hoy no sólo se evidencia…</t>
  </si>
  <si>
    <t>Jajajja, típica ignorancia del mundo. https://t.co/CDwq6tjhN0</t>
  </si>
  <si>
    <t>Nueva doctrina mundial: si no respaldas la política del gobierno de EEUU, eres antinorteamericano, que equivale, ba… https://t.co/sY5ceFb1GL</t>
  </si>
  <si>
    <t>Qué el ejército llegó después que se fueron los paramilitares? Eso es lo que ha pasado en los últimos 40 años. ¿P… https://t.co/8TDglxKfDj</t>
  </si>
  <si>
    <t>RT @petrogustavo: Ajá. https://t.co/QgZAmAbhSX</t>
  </si>
  <si>
    <t>Para ella quizás no es tóxico el de las convivir y el paramilitarismo, ni el que se robo Bogotá con el cartel, ni q… https://t.co/fuwDl4pYNr</t>
  </si>
  <si>
    <t>La Corte Constitucional ya prohibió que recursos públicos se inviertan en corridas de toros. Lo que la administrac… https://t.co/yGQoiioS6G</t>
  </si>
  <si>
    <t>Cuentas neonazis que incentivan la violencia. En sus seguidores encontraran redes neonazis en Colombia. https://t.co/bAe20hL3gY</t>
  </si>
  <si>
    <t>RT @susanamuhamad: No vamos a asumir ahora el eslogan de "Construir sobre lo construido" como un mantra, desfigurando los proyectos políti…</t>
  </si>
  <si>
    <t>RT @petrogustavo: La Corte Constitucional ya prohibió que recursos públicos se inviertan en corridas de toros. Lo que la administración ti…</t>
  </si>
  <si>
    <t>RT @susanamuhamad: @ClaudiaLopez ratificó a @bienconcreto Andrés Escobar en la gerencia del Metro Elevado, esto nos genera alta incertidumb…</t>
  </si>
  <si>
    <t>RT @susanamuhamad: Los humedales son vitales para el equilibrio ecológico, son protección natural contra los desastres, depuradores del air…</t>
  </si>
  <si>
    <t>Y no se la creen. https://t.co/7CBrlxehX9</t>
  </si>
  <si>
    <t>Un trabajador de la salud publica asesinado en Ituango, Antioquia. Antioquia ve como sus hijos son asesinados por… https://t.co/3VatZFKuR4</t>
  </si>
  <si>
    <t>RT @danielbernalb: 1. El humedal El Burrito tenía medida de protección desde oct 2012 en urgencia por el desecamiento ilegal que hizo @Marv…</t>
  </si>
  <si>
    <t>RT @susanamuhamad: @EnriquePenalosa levantó la medida de protección que tenía el humedal el Burrito, medida que lo protegía de su destrucc…</t>
  </si>
  <si>
    <t>RT @ChalecosAmarill: 📽🆘️ #URGENTE | Primera vez en la historia, la bandera roja ha sido desplegada sobre la cúpula sagrada de la mezquita d…</t>
  </si>
  <si>
    <t>La frasecita no se harán corridas con dineros públicos sobra, ya prohibió la Corte la opción de patrocinar con din… https://t.co/mvQyhCe3wt</t>
  </si>
  <si>
    <t>Le solicito a @Marval_SA dejar de destruir el humedal El Burrito que en Bogotá Humana se protegió. Si construyen al… https://t.co/8tALM6N66o</t>
  </si>
  <si>
    <t>RT @ChalecosAmarill: 📽🆘️ #IranWar #wwlll ♾Este es el mensaje enviado por #Irán 🇮🇷 a #EEUU 🇺🇸 después del asesinato del General #Solemaini…</t>
  </si>
  <si>
    <t>RT @MoisesAlvaro_: La Mesa directiva del Concejo de Bogotá escogida a dedo entre el Verde, en cabeza del gobierno de Claudia López, y Cambi…</t>
  </si>
  <si>
    <t>RT @ElSaltoDiario: HEMEROTECA | Noam Chomsky advertía en esta entrevista de agosto de que la estrategia de Trump para las elecciones de 202…</t>
  </si>
  <si>
    <t>RT @Sachaka7: @ISAZULETA La violencia paramiltar en su sangrienta y enferma presentación. Que tipo de gente degolla, viola y tortura una mu…</t>
  </si>
  <si>
    <t>No sabía que entonces a los proyectos políticos patriarcales hay que asesinarles los generales. El tema es el petr… https://t.co/xaizclRqb0</t>
  </si>
  <si>
    <t>RT @JoseGuarnizoA: Se llaman Los Pachencas y son una organización paramilitar que domina silenciosamente La Sierra Nevada de Santa Marta y…</t>
  </si>
  <si>
    <t>RT @PiensaPrensa: URGENTE | (11:00) Carabinero, Sanhueza y cabo 2° Pino, (sacó pistola) golpeo vehículo con 2 mujeres y menores (17-13) en…</t>
  </si>
  <si>
    <t>RT @ricardobonillag: La mesa directiva de la inclusión, hombres representando a las mujeres, todos gobiernistas representando la oposición,…</t>
  </si>
  <si>
    <t>Es una mesa directiva patriarcal, no hay mujeres, se oponen al metro subterráneo, están por extender las troncales… https://t.co/pTeuU2BFLo</t>
  </si>
  <si>
    <t>El general asesinado no era un terrorista. Los EEUU no se hicieron grandes por asesinar, sino por tener muchas tier… https://t.co/XSmqKOCFNb</t>
  </si>
  <si>
    <t>Me gustaría saber si @JERobledo considera que lo que necesita Bogotá es un metro elevado, débil y privado. https://t.co/QCRbToiVfn</t>
  </si>
  <si>
    <t>RT @MoisesAlvaro_: Lo que vendieron / lo que en realidad era. https://t.co/2UWFbsLk4T</t>
  </si>
  <si>
    <t>Cuando un gobernante se permite una alianza con funcionarios adeptos al paramilitarismo narco no se puede hablar de… https://t.co/GulDT0SmKL</t>
  </si>
  <si>
    <t>Las gentes de Washington salen a las calles para oponerse a una guerra con Irán https://t.co/qfc9mUdmqv</t>
  </si>
  <si>
    <t>El socialismo soviético y el Chino son tan adictos al petróleo como el capitalismo y su última forma de regulación… https://t.co/qDRt65Vq38</t>
  </si>
  <si>
    <t>Ni indultado, ni terrorista. Por ahora solo Senador de la República. Otro integrante de las redes neonazis. https://t.co/vPXD5EUBWn</t>
  </si>
  <si>
    <t>No Mario, @marioherzam, ni el iraní era terrorista, ni los lideres sociales son iraníes y menos terroristas. https://t.co/Q1LtvPq6Gp</t>
  </si>
  <si>
    <t>RT @susanamuhamad: Cerramos una productiva jornada con la comunidad del Tintal, Colectivos Ambientalistas y @JuntanzaT Diana Castro Edil de…</t>
  </si>
  <si>
    <t>RT @petrogustavo: Es una mesa directiva patriarcal, no hay mujeres, se oponen al metro subterráneo, están por extender las troncales de tra…</t>
  </si>
  <si>
    <t>Esta es la España no sostenible. La España que le da la espalda a la diferencia. Querer imponer una España a la fue… https://t.co/uuLhwLLFr2</t>
  </si>
  <si>
    <t>RT @ActualidadRT: “¿Sospechosos?” Dos afroamericanos se niegan a identificarse sin razón Un oficial de Policía que prestaba apoyo en un ce…</t>
  </si>
  <si>
    <t>La muerte sigue gota a gota quitándole a Colombia su gente y su territorio. Aun Duque no se da cuenta que es el p… https://t.co/tADkBQUGPt</t>
  </si>
  <si>
    <t>La irresponsabilidad de Trump con el mundo, con la paz, con la democracia; con la idea de un mundo mejor. ¿De cua… https://t.co/d6PlDwZq4E</t>
  </si>
  <si>
    <t>Las acciones judiciales no han fallado; pero yo no creo en una política que pase por el juez primero. Las decisione… https://t.co/0IJFsSj67O</t>
  </si>
  <si>
    <t>Eso no implica, aue nosotros, como minoria actual en la política bogotana, no denuncienos la corrupción de lo que s… https://t.co/oevlV5kJuP</t>
  </si>
  <si>
    <t>No va a enfrentar andanadas del uribismo. Y de nosotros solo argumentos sobre la razón y los datos. De ustedes, mm… https://t.co/dBKzIjJPBv</t>
  </si>
  <si>
    <t>De paso Tola y Maruja nos sindican de tener bots en las redes. No los tenemos por dos razones fundamentales: 1. No… https://t.co/RYGKNQzZGC</t>
  </si>
  <si>
    <t>RT @pablogentili: “Los ricos deberían pagar más impuestos. No veo ninguna razón para favorecer la riqueza sobre el trabajo como lo hacemos…</t>
  </si>
  <si>
    <t>RT @PSOE: 🔴 Intervención de @Adrilastra, portavoz del @gpscongreso, en la segunda jornada de la Sesión de Investidura del candidato, Pedro…</t>
  </si>
  <si>
    <t>Destruir los centros de cultura de Irán, es destruir los origenes de la civilización humana. Amenazar destruir esa… https://t.co/DzCdZFSD2B</t>
  </si>
  <si>
    <t>RT @petrogustavo: La muerte sigue gota a gota quitándole a Colombia su gente y su territorio. Aun Duque no se da cuenta que es el preside…</t>
  </si>
  <si>
    <t>RT @petrogustavo: Las acciones judiciales no han fallado; pero yo no creo en una política que pase por el juez primero. Las decisiones pasa…</t>
  </si>
  <si>
    <t>RT @CNNEE: A pesar de la decepción del soldado estadounidense, su madre fue deportada a México https://t.co/OyY23SnKBo</t>
  </si>
  <si>
    <t>RT @DavidRacero: @AlfredoRamosM @CeDemocratico @AlRangelS 38. Mario Hernández Pérez, designado Ministro Consejero en la Embajada de EUA.…</t>
  </si>
  <si>
    <t>RT @ChalecosAmarill: 📽🆘 #UsaDictadura 🇺🇸⚠️ ♾El dictador satrapa @realDonaldTrump pretende violar la decisión del parlamento iraqui de exp…</t>
  </si>
  <si>
    <t>RT @AJEnglish: Here are 5 things to know about Iran's General Qassem Soleimani - who was assassinated by a US air strike in Baghdad. Read…</t>
  </si>
  <si>
    <t>RT @rudolf_hommes: No quiero que me pregunten si yo sabia que en 2018 y 2019 estaban matando impunemente lideres populares en Colombia y qu…</t>
  </si>
  <si>
    <t>RT @alihashem_tv: The first station for #Soleimani’s funeral was #Ahvaz, the funeral continues in #Mashhad, then #Tehran, #Qom, and #Kerman…</t>
  </si>
  <si>
    <t>Los cabecillas de los grupos de terror en el mundo se iniciaron en escuelas de la CIA y fueron bautizados como " om… https://t.co/5pIHUJSNRv</t>
  </si>
  <si>
    <t>RT @Citytv: Tras los cinco colombianos desaparecidos por la dictadura argentina ► https://t.co/VlTbdpc78q https://t.co/CW0HpKNp8I</t>
  </si>
  <si>
    <t>Y ahora que la propia oposición en el parlamento de Venezuela, en la que es mayoría, no eligió a Guaidó, ¿Qué pasa?… https://t.co/qSEmjzEkKX</t>
  </si>
  <si>
    <t>RT @planwac: Diputado adeco William Dávila reconoce que todos los diputados opositores, en ejercicio y habilitados, pudieron entrar a la AN…</t>
  </si>
  <si>
    <t>RT @robertomalaver: -Yo les digo una vaina –habló Ramos Allup-. Si no fuera porque me van a quitar la visa de Estados Unidos, les confieso…</t>
  </si>
  <si>
    <t>Hora de contar la verdad, todos los diputados de la oposicion entraron al recinto, son mayoría, Guaidó podía entrar… https://t.co/pE6TzMnniN</t>
  </si>
  <si>
    <t>RT @madeleintlSUR: 3. Así entraron todos los diputados, se identificaban en el dispositivo de seguridad de la Guardia Nacional y sin proble…</t>
  </si>
  <si>
    <t>Es decir que la Cancillería colombiana no solo no reconoce a Maduro, sino que ahora no reconoce a la mayoría oposit… https://t.co/QpV3SJ5OlW</t>
  </si>
  <si>
    <t>RT @Mision_Verdad: ¿Por qué no entró @jguaido a la sesión parlamentaria de hoy? El recién electo presidente de la Asamblea Nacional, Luis P…</t>
  </si>
  <si>
    <t>Mientras a Guaidó no lo dejaron saltar las rejas, porque podía entrar sin problemas por la puerta principal de la A… https://t.co/eL4jyLDeHi</t>
  </si>
  <si>
    <t>RT @guardian: Massive crowds attend funeral processions as Qassem Suleimani's body is returned to Iran https://t.co/4WbuLMIWwj</t>
  </si>
  <si>
    <t>RT @RoaJavier: ESTA ES LA VERDAD: -140 de 167 parlamentarios participaron en la elección. -81 votaron por Luis Parra de Primero Justicia -3…</t>
  </si>
  <si>
    <t>RT @ChalecosAmarill: 📽🆘️ INCREIBLEEE || #Iraq #Iran #ULTIMAHORA #BREAKING ⚠️MILLONES de personas en #SoleimaniFuneral en #Ahvaz se avec…</t>
  </si>
  <si>
    <t>RT @tikopineda: Golpe a ⁦@evoespueblo⁩, golpe a ⁦@LulaOficial⁩ y la prensa minimiza. Callan lo que les conviene y exageran igual. No es per…</t>
  </si>
  <si>
    <t>Una manifestación de 30 kilómetros espero al general asesinado en Ahvaz, Irán, y aun falta la llegada del féretro a… https://t.co/mvur1P6muk</t>
  </si>
  <si>
    <t>Roberto, no defiendo la revolución iraní, que no es más que una expresión de un proyecto petrolero, como el de Madu… https://t.co/ikr9K3g9Y5</t>
  </si>
  <si>
    <t>La adaptación al cambio climático es prevenir las consecuencias, implica liberar los espacios del agua y cuidarla,… https://t.co/5gg49EKpL7</t>
  </si>
  <si>
    <t>Violan y asesinan una anciana, quien ya era victima de hidroituango. El megaproyecto ya no es una hidroeléctrica s… https://t.co/3JwsDr4WL3</t>
  </si>
  <si>
    <t>Así se trasluce en el medio el Pulzo el odio ideológico de su periodista que llega a la calumnia. https://t.co/e1tHQDIkMV</t>
  </si>
  <si>
    <t>RT @NoamChomsky_es: "Las protestas en contra del legado dictatorial de Pinochet en Chile son muy inspiradoras.El asalto neoliberal a gran p…</t>
  </si>
  <si>
    <t>Los incendios en Australia hacen parte de su propio ecosistema, pero nunca habían sido tan graves como ahora, y es… https://t.co/wb6TgtWZy2</t>
  </si>
  <si>
    <t>RT @GustavoBolivar: El ineficiente alcalde Petro, investigado por el Contralor Odebrecht por recomprar acciones d TGI, tuvo la razón otra v…</t>
  </si>
  <si>
    <t>RT @MashiRafael: Tengo como norma de vida no alegrarme jamás de las desgracias ajenas, pero, lamentablemente, la palabra “ridículo” en Lati…</t>
  </si>
  <si>
    <t>RT @MovCali: Se acuerdan de @AlejaCif14 la caleña que demandó a @petrogustavo según porque no podía circular libremente debido a la protest…</t>
  </si>
  <si>
    <t>RT @CarlosCarrilloA: Creo que es equivocada la postura de @DanielSamperO, no hay que ser “petrista” para hacerle criticas a la alcaldesa, S…</t>
  </si>
  <si>
    <t>Dije ante el país entero que las investigaciones sobre Odebrecht, muestran que Andres Felipe Arias recibía una mens… https://t.co/Upz8zkdVrt</t>
  </si>
  <si>
    <t>Si plantear una.transición pacifica a una democracia es un error, entonces ¿qué sugiere señora Vicepresidente en Ve… https://t.co/eEy0a7xodP</t>
  </si>
  <si>
    <t>¿Alguna vez Luis Carlos Sarmiento dirá esto? https://t.co/o9PxIw0af6</t>
  </si>
  <si>
    <t>Teherán sale a las calles de negro. https://t.co/03E76TtnC6</t>
  </si>
  <si>
    <t>Prácticamente toda Teherán, Irán, ha salido a las calles en el entierro de su general. https://t.co/6kaId17XKr</t>
  </si>
  <si>
    <t>¿ A quien matan? Al débil en la sociedad. Matan al pobre y al indígena, al que dejó las armas, al que habló de paz.… https://t.co/DN8pr7hl3B</t>
  </si>
  <si>
    <t>Creo que a Monsalve, testigo contra Santiago Uribe Vélez, le quieren hacer lo mismo que a Francisco Villalba, testi… https://t.co/wDgXs3jGdy</t>
  </si>
  <si>
    <t>RT @ChalecosAmarill: 👏👏👏Magistral respuesta de “Pepe” Mujica a una periodista en #México. ⚠️VAMOS A HACERLA VIRAL⚠️ @rhm1947 @OzryelAzrae…</t>
  </si>
  <si>
    <t>RT @petrogustavo: Creo que a Monsalve, testigo contra Santiago Uribe Vélez, le quieren hacer lo mismo que a Francisco Villalba, testigo con…</t>
  </si>
  <si>
    <t>Hoy es Duque uno de los mayores responsables del éxodo venezolano hacia Colombia al ayudar a bloquear a Venezuela.… https://t.co/IP7gezU1JR</t>
  </si>
  <si>
    <t>Al mejorar las relaciones y exportar alimentos a Venezuela, no solo disminuimos el éxodo y subimos el empleo por es… https://t.co/8pwGeDsscj</t>
  </si>
  <si>
    <t>RT @jcuestanovoa: En el país del Sagrado Corazón de Jesús un fanático religioso amenaza con desempolvar las escopetas para enfrentar a "los…</t>
  </si>
  <si>
    <t>RT @colombia_hist: Por desencuentros y filiaciones humanas de la época y del inventor, la invención de Carlos Albán no lleva el nombre del…</t>
  </si>
  <si>
    <t>RT @AleLoucau: Luego de la autoproclamación de Guaidó, del circo mediático, del Aid Live, de las fotos con narcos, de la pérdida de base so…</t>
  </si>
  <si>
    <t>RT @SputnikMundo: La coalición liderada por EEUU saldrá de Irak "por respeto a la soberanía del país" https://t.co/hyeDTE5CL5 https://t.co/…</t>
  </si>
  <si>
    <t>RT @diegoalejocm: No aguantó más 😳 https://t.co/3EzGBfwqMC</t>
  </si>
  <si>
    <t>El #21E empieza la movilización social. Luchemos por aplicar la Constitución del 91, y para ello cambiemos las leye… https://t.co/00iOwvb3ry</t>
  </si>
  <si>
    <t>Dejan a Irak en manos del fundamentalismo, después de un millón de muertos , después de una gran mentira para queda… https://t.co/sY6npr1Cv1</t>
  </si>
  <si>
    <t>RT @SputnikMundo: ⚡️ Secretario de Defensa de EEUU: "Washington no planea salir de Irak" 👉🌐 https://t.co/SBY89aNL9d https://t.co/ArFLtDzcrG</t>
  </si>
  <si>
    <t>RT @Mustafa_salimb: #Breaking: US military tells Iraqi Joint operations command that they are preparing to move out. https://t.co/yqoFiEIHBD</t>
  </si>
  <si>
    <t>RT @elOrdenMundial: 🇺🇸🇮🇶El secretario de Defensa dice desconocer de dónde ha salido la carta, que no han tomado una decisión acerca de la s…</t>
  </si>
  <si>
    <t>Lo cierto Orlenys es que no se necesitaba ese control policial sobre el parlamento. Tal control, inadmisible para u… https://t.co/bT6QJSfr4G</t>
  </si>
  <si>
    <t>RT @SenorCaicedo: Que bestias somos los seres humanos. https://t.co/WDoLZLlrpC</t>
  </si>
  <si>
    <t>RT @MajoDoria: Yo si prefiero el ego de Petro gobernando para el pueblo. No quiero ése sádico Uribismo ni esa falsedad de Fajardo una vez…</t>
  </si>
  <si>
    <t>RT @petrogustavo: Hoy es Duque uno de los mayores responsables del éxodo venezolano hacia Colombia al ayudar a bloquear a Venezuela. Es un…</t>
  </si>
  <si>
    <t>RT @petrogustavo: El #21E empieza la movilización social. Luchemos por aplicar la Constitución del 91, y para ello cambiemos las leyes que…</t>
  </si>
  <si>
    <t>Era el país más avanzado de África, el más rico, con conquistas sociales más desarrolladas gracias a la idea de una… https://t.co/5nNNu5giLf</t>
  </si>
  <si>
    <t>EEUU ya perdió la guerra del medio oriente. El pais que invadió y el gobierno títere que conformó en Irak, ahora le… https://t.co/XjZMHWln5O</t>
  </si>
  <si>
    <t>RT @ChalecosAmarill: 📽🆘#Chile 🇨🇱 HORRIBLE💔😢🆘 ♾La dictadura sanguínaria de @sebastianpinera en estos momentos torturando y secuestrando a…</t>
  </si>
  <si>
    <t>¿Por qué los gobiernos de Colombia sirven tan ciega y estupidamente la política internacional de los gobiernos de l… https://t.co/o65ITWlp3N</t>
  </si>
  <si>
    <t>El fascismo no era colectivista sino capitalista y en Irán hay capitalismo y mucho rentismo como en Colombia. Su so… https://t.co/t0Xpp3jJcl</t>
  </si>
  <si>
    <t>Igual en Colombia, pero custodiar el palacio y sus bienes , no implica controlar parlamentarios. Para eso esta el… https://t.co/KcHmcpIf7f</t>
  </si>
  <si>
    <t>Junior la política exterior de un país soberano no tiene que subordinarse a otro,sino, no es soberano Por ejemplo… https://t.co/T7doKPUh8a</t>
  </si>
  <si>
    <t>RT @petrogustavo: ¿Por qué los gobiernos de Colombia sirven tan ciega y estupidamente la política internacional de los gobiernos de los EEU…</t>
  </si>
  <si>
    <t>Bien la autocrítica de Mario Hernández. Colombia Humana ha propuesto un pacto con los industriales y agroindustria… https://t.co/hImvQJPttF</t>
  </si>
  <si>
    <t>Por eso el programa de la Colombia Humana propone una tasa carbón por emisiones de CO2 a las importaciones. Esta p… https://t.co/61y08ndQQA</t>
  </si>
  <si>
    <t>Ya no es la contraloría distrital, ahora es la contraloría general la que encuentra la corrupción en la licitación… https://t.co/1P0RLCNuhX</t>
  </si>
  <si>
    <t>Lo que muestra el informe de contraloria, tal como denunciamos anteriormente, es que los estudios que hizo Peñalosa… https://t.co/CelYEw8D9D</t>
  </si>
  <si>
    <t>Quedan en manos del constructor del metro, la empresa china y su socio William Vélez, los estudios de fase II, fact… https://t.co/5z8jJuVsmO</t>
  </si>
  <si>
    <t>Un metro elevado por la primero de mayo y la Caracas es un desastre urbanístico. Las ciudades modernas o hacen metr… https://t.co/KcOGrGdoDh</t>
  </si>
  <si>
    <t>RT @ChalecosAmarill: 📽🆘️ Por favor #RT 💔🇨🇱😭 #Chile Horror 😭😰 Esbirros del dictador @sebastianpinera atropeyaron a estudiante 😭👇🏾 Donde…</t>
  </si>
  <si>
    <t>Esto pasa en el Chad, Africa, La barbarie humana https://t.co/3bKKWTqo9D</t>
  </si>
  <si>
    <t>¿Y sabrán a donde caerán las balas? ¿Sabrán que pueden matar niño(a)s? https://t.co/MlYiVzeU5h</t>
  </si>
  <si>
    <t>RT @ColBolivariana: El Tiempo le dio la razón a Petro con los aguacates, con la paz, con la entrada del Sinaloa a Colombia, con educar a po…</t>
  </si>
  <si>
    <t>En realidad le están entregando el pais al cartel de Sinaloa. https://t.co/qRrojQTMJy</t>
  </si>
  <si>
    <t>RT @petrogustavo: Un metro elevado por la primero de mayo y la Caracas es un desastre urbanístico. Las ciudades modernas o hacen metros ele…</t>
  </si>
  <si>
    <t>RT @petrogustavo: En realidad le están entregando el pais al cartel de Sinaloa. https://t.co/qRrojQTMJy</t>
  </si>
  <si>
    <t>Matan a quienes lideran la sustitución voluntaria de cultivos, mas de 93.000 familias se inscribieron, ¿ Quienes no… https://t.co/CC7XMttLgJ</t>
  </si>
  <si>
    <t>La veeduría no da sino consejos. Quien puede detener la corrupción del metro es Claudia, cambiando al responsable d… https://t.co/p5GuE8qrh6</t>
  </si>
  <si>
    <t>Si se trata de prevenir corrupción, no se debe licitar una obra sin saber su costo y menis entregar la determinació… https://t.co/fHoaOxeoQg</t>
  </si>
  <si>
    <t>Con una inflación del 4% cualquier tasa de interés superior al 12% es usura, las utilidades de los banqueros en nue… https://t.co/0zIOyr6qW9</t>
  </si>
  <si>
    <t>La reforma tributaria de diciembre, además permite, que una parte pequeña de la utilidad de los banqueros pase a la… https://t.co/JOARKE8RhE</t>
  </si>
  <si>
    <t>RT @petrogustavo: Si se trata de prevenir corrupción, no se debe licitar una obra sin saber su costo y menis entregar la determinación del…</t>
  </si>
  <si>
    <t>Mi propuesta al.movimiento social es que las reformas a la ley 100, 50 y 30, que no necesitan de reforma Constituci… https://t.co/T6poduGE4o</t>
  </si>
  <si>
    <t>RT @JMalaparte: Si uno repasa las opiniones de Álvaro Gómez Hurtado, verá una increíble coincidencia con las que hoy expresa Gustavo Petro.…</t>
  </si>
  <si>
    <t>La teoría de la renta en economia política, dice que la tasa de interés no se determina por el riesgo, sino que es… https://t.co/vmAydzyKgT</t>
  </si>
  <si>
    <t>RT @AlexKleinO: Curiosidades de @petrogustavo: -Lo tildaron de loco por los aguacates y hoy se exportan a China. -Lo acusaron de exager…</t>
  </si>
  <si>
    <t>Cuando las contralorías, en el caso del metro, encuentran hallazgos penales pasan directamente a fiscalía para su i… https://t.co/6TDhqSo73t</t>
  </si>
  <si>
    <t>Metro de Peñalosa es corrupto, porque empresas estructuradoras se robaron la plata, entre ellas Konfirma SAS, vincu… https://t.co/9mpGq7YGkX</t>
  </si>
  <si>
    <t>Hay una alianza de facto entre el gobierno de Duque y los carteles del narco. Ambos van contra la restitución volun… https://t.co/hIF83noqaV</t>
  </si>
  <si>
    <t>El que a Claudia le vaya bien o mal no depende de mi opinión que Yesid censuraría, depende de su política pública.… https://t.co/qv5GCecl6Z</t>
  </si>
  <si>
    <t>Quieren marcar el proyecto de metro subterraneo como si fuera mío o de izquierda y el elevado de centro, estupidez… https://t.co/lTVC2QiIYP</t>
  </si>
  <si>
    <t>RT @anateresabernal: El contrato 047 de 13/ago/2019 busca revisar los resultados de pruebas de carga sobre los pilotes. Esto fue posterior…</t>
  </si>
  <si>
    <t>Claudia, ¿sabe usted cuánto cuesta el metro elevado de Peñalosa? ¿Sabe usted que nadie en el mundo lo sabe porque… https://t.co/YMkatQBeLz</t>
  </si>
  <si>
    <t>La crisis de la OEA, abre el camino para que la integración política de América Latina y el Caribe tenga como escen… https://t.co/5DMVqfNQSm</t>
  </si>
  <si>
    <t>RT @petrogustavo: El que a Claudia le vaya bien o mal no depende de mi opinión que Yesid censuraría, depende de su política pública. El met…</t>
  </si>
  <si>
    <t>RT @petrogustavo: Metro de Peñalosa es corrupto, porque empresas estructuradoras se robaron la plata, entre ellas Konfirma SAS, vinculada a…</t>
  </si>
  <si>
    <t>La huelga general más grande del mundo se va a a realizar en India. India, Francia, Chile y Colombia, a la vanguard… https://t.co/kODi018fIn</t>
  </si>
  <si>
    <t>Paramilitarizado los Montes de Maria, el golfo de Morrosquillo, San Onofre y el sur de Sucre en la Mojana De nuev… https://t.co/xNCM3i4oeD</t>
  </si>
  <si>
    <t>Jajaja, me pescaron. Laie es una librería, allí adentro llevo "La Enciclopedia" de Hegel, edición bilingue Alemán,… https://t.co/1oDx58vBsj</t>
  </si>
  <si>
    <t>RT @Helios_EM: Nueva víctima mortal de la policía francesa: Cédric Chouviat, repartidor de 42 años y padre de cinco hijos, resulta muerto p…</t>
  </si>
  <si>
    <t>RT @ChalecosAmarill: 📹🆘️ #URGENTE || EL MUNDO EN CONTRA DE TRUMP ℹA raíz del vil asesinato d #Soleimani por parte del criminal #Trump, las…</t>
  </si>
  <si>
    <t>¿Será que Hegel era castrochavista? https://t.co/QGU6uWB3dv</t>
  </si>
  <si>
    <t>RT @ChalecosAmarill: 📽🆘️ #WWIIl || SACA TUS SUCIAS MANOS DE ORIENTE MEDIO ♾ @realDonaldTrump TENEMOS UN MENSAJE PARA LOS "SEÑORES" DE LA G…</t>
  </si>
  <si>
    <t>En Medellín es imprescindible una seguridad ciudadana que no implique pacto con la mafia. Hemos propuesto la inclu… https://t.co/xFIj8lED1a</t>
  </si>
  <si>
    <t>Estoy de acuerdo con que la destruccion del metro subterráneo ganó dos veces las elecciones en Bogotá, con Peñalosa… https://t.co/OdbDyCa5fb</t>
  </si>
  <si>
    <t>RT @lbertoortiz: Vamos a viralizar este video @petrogustavo @GustavoBolivar #CentroDemocráticoDeforestador https://t.co/9AHKuGCxtT</t>
  </si>
  <si>
    <t>RT @Uriasv: Cuentas que participaron en el númeral #AUnMetroDeLaCorrupción Y que @twitterLatam hoy restringe y censura: @RichaardWayne @L…</t>
  </si>
  <si>
    <t>El uribismo no aguanta más el siglo XXI. Se desvanece. Uribe al entrar en caída de impopularidad pierde su soporte… https://t.co/rIokZjE4Wd</t>
  </si>
  <si>
    <t>La posibilidad de Paz y de reformas sociales depende hoy de la movilización social, un acuerdo para reformar la ley… https://t.co/HFxw4aZuRv</t>
  </si>
  <si>
    <t>Hegel casi le gana a Balvin en tendencias de twitter en Colombia. https://t.co/thHjfaDQkW</t>
  </si>
  <si>
    <t>Para reformar la ley 100 en salud , necesitamos que la fuerza de trabajo en salud, golpeada por los contratos basur… https://t.co/NJGp8gN0YE</t>
  </si>
  <si>
    <t>RT @JaimeDelTodoES: Por querer Joder a Petro hicieron hasta lo imposible para bloquear el metro subterráneo de calidad e imponer un metro m…</t>
  </si>
  <si>
    <t>Esta es la huelga en India de mujeres contratadas a tres meses por una empresa de salud en India. En Colombia suce… https://t.co/u3Te92jL7Q</t>
  </si>
  <si>
    <t>Hay 135.000 medico(a)s en Colombia la mayoría con muy malos sueldo, el dinero de la salud se lo llevan los dueños d… https://t.co/S1zaYJ7Gz9</t>
  </si>
  <si>
    <t>RT @OUribismo: https://t.co/eRqsdydJTG</t>
  </si>
  <si>
    <t>RT @petrogustavo: ¿Será que Hegel era castrochavista?</t>
  </si>
  <si>
    <t>RT @petrogustavo: El uribismo no aguanta más el siglo XXI. Se desvanece. Uribe al entrar en caída de impopularidad pierde su soporte judici…</t>
  </si>
  <si>
    <t>Mi opinión es que los conductores de Uber son taxistas, ahora, deben asociarse y sacar su propia plataforma aumenta… https://t.co/ZbCPUi9KjE</t>
  </si>
  <si>
    <t>Para todo servicio público con vehículos, el vehículo debe ser eléctrico, los decretos deben ordenar la transición… https://t.co/bAjOcL9tQ9</t>
  </si>
  <si>
    <t>Lo prometido es deuda. Aquí les muestro lo que llevaba en el talego de la famosa foto reciente. Un hermosa edición… https://t.co/D6w7O00T0M</t>
  </si>
  <si>
    <t>RT @camilo__leon: Líderes asesinados a enero 10 2020 Gloria Ocampo, Putumayo (Pty) Carlos Quintero, Pty Emilio Campaña, Pty Mireya Hernánd…</t>
  </si>
  <si>
    <t>Si Satena no va a las regiones apartadas geograficamente y de pequeñas poblaciones no iría nadie, no es rentables l… https://t.co/kvRWrXm5z7</t>
  </si>
  <si>
    <t>En un gobierno de la Colombia Humana, @AerolineaSatena tendrá vuelos internacionales, nacionales y competirá para… https://t.co/Sy4Te077WT</t>
  </si>
  <si>
    <t>Oye Lafaurie, esposo de Maria Fernanda, las heladas y las sequías, en tiempo de cambio climático, tienen su raíz pr… https://t.co/AEkwPiUAj1</t>
  </si>
  <si>
    <t>Cuando lo intelectual les molesta. Sólo les sirve repetir frases de odio. Lógica de la extrema derecha ciega. A le… https://t.co/QJnOtu9xN7</t>
  </si>
  <si>
    <t>RT @hackerFiscalia: Si claro, aquí la evidencia de la relación de Álvaro Uribe Velez con el Cartel de Sinaloa https://t.co/UDmEEl4L1l En un…</t>
  </si>
  <si>
    <t>RT @petrogustavo: Mi opinión es que los conductores de Uber son taxistas, ahora, deben asociarse y sacar su propia plataforma aumentando su…</t>
  </si>
  <si>
    <t>RT @petrogustavo: Lo prometido es deuda. Aquí les muestro lo que llevaba en el talego de la famosa foto reciente. Un hermosa edición de la…</t>
  </si>
  <si>
    <t>Este es el producto de la dictadura que impera en Bolivia. Paramilitares del gobierno rodearon su casa para amedren… https://t.co/Rfdkc8CtlE</t>
  </si>
  <si>
    <t>Lo peor que se le puede hacer a un habitante de calle es separarlo de su perro. Esto hicieron por decenas en el Bro… https://t.co/zonmu6Qn8i</t>
  </si>
  <si>
    <t>RT @lfafanador: ¿Qué hacía Peñalosa en China con su equipo mucho antes de que una empresa China se ganara la licitación del metro de Bogotá…</t>
  </si>
  <si>
    <t>Para la crítica. Mi familia. https://t.co/E6ZCTlv9NR</t>
  </si>
  <si>
    <t>El nuevo director de transmilenio es funcionario de la anterior alcaldía de Peñalosa, ojalá tenga otras ideas a Peñ… https://t.co/O5W5t9obRm</t>
  </si>
  <si>
    <t>Como si la historia se repitiera, Duque, como Uribe, volvió a interceptar a periodistas, magistrados y líderes de l… https://t.co/SlpWDc53Xv</t>
  </si>
  <si>
    <t>RT @MoisesAlvaro_: Gustavo Petro dio en el punto: es hora de que las y los conductores que quedaron sin trabajo producto de la expulsión de…</t>
  </si>
  <si>
    <t>Si Duque iba a cerrar Uber, debió ayudar a crear plataforma que mantuviera a los taxistas de Uber en actividad. Los… https://t.co/OMH0QLbyQq</t>
  </si>
  <si>
    <t>Que el gobierno de Uribe intercepte magistrados y congresistas de la oposición y periodistas y Duque vuelva a hacer… https://t.co/j1KfJzDctQ</t>
  </si>
  <si>
    <t>RT @eltajalapiz: LOS LECTORES. https://t.co/k3Ptzji3Gp</t>
  </si>
  <si>
    <t>Aquí el manejo del discurso hecha por profesional Sabía desde el 18 de diciembre, al menos, la actividad de chuzad… https://t.co/1OF02sUpii</t>
  </si>
  <si>
    <t>La Corte Suprema allana la central de inteligencia del ejército de Colombia y encuentra que están interceptando a l… https://t.co/qBoOVDusvN</t>
  </si>
  <si>
    <t>Y cómo creen que estas personas que se hacen llamar "Las Águilas Negras" sabían de las conversaciones telefónicas e… https://t.co/FNbQIGL0uy</t>
  </si>
  <si>
    <t>¿No han aprendido las matemáticas del cambio climático? No se mide en material particulado en el aire, sino en gase… https://t.co/yvHHlVxnu4</t>
  </si>
  <si>
    <t>Resultó que el general de la República no era de la República, sino de Uribe. Los altos mandos de la fuerza públic… https://t.co/iYdiYYBFxC</t>
  </si>
  <si>
    <t>RT @JMVivancoHRW: Según esta impresionante investigación de @RevistaSemana, el entonces comandante del Ejército de Colombia habría ordenado…</t>
  </si>
  <si>
    <t>RT @petrogustavo: Resultó que el general de la República no era de la República, sino de Uribe. Los altos mandos de la fuerza pública debe…</t>
  </si>
  <si>
    <t>De manera comprobada, Duque le mintió Colombia. https://t.co/zApJLS1Feq</t>
  </si>
  <si>
    <t>RT @wcamargotriana: Si alguien quiere ahondar en mas detalles. Un anexo de mi informe de empalme sobre metro puede descargarse acá. https:/…</t>
  </si>
  <si>
    <t>¿Ud quiere que reformemos la ley 50 para eliminar los contratos de prestación de servicios y reconstruir la estabil… https://t.co/UDmU2J1Tqr</t>
  </si>
  <si>
    <t>¿Ud quiere que reformemos la ley 100 en pensiones para lograr que todo cotizante lo haga en Colpensiones y obtenga… https://t.co/wqME5HjwBT</t>
  </si>
  <si>
    <t>¿Ud quiere que reformemos la ley 30 y financiemos de tal manera la educación superior que la juventud toda de Colom… https://t.co/8pT25mw52l</t>
  </si>
  <si>
    <t>Si queremos las reformas que nos devolverían garantías reales a los derechos sociales y a la Constitución del 91, e… https://t.co/6JvjxfyZsU</t>
  </si>
  <si>
    <t>La Corte Suprema de Justicia debe abrir investigación contra el ex ministro Botero por las chuzadas ejercidas por e… https://t.co/1B47Z4H150</t>
  </si>
  <si>
    <t>Montes de Maria es un santuario natural y campesino, pero desde que se sabe que hay materiales para la industria de… https://t.co/wkUkNotgl9</t>
  </si>
  <si>
    <t>Las redes y la hipercomunicación, transforman el capitalismo. De la relación salarial se pasa al trabajo colaborati… https://t.co/Wj0aoIJP0v</t>
  </si>
  <si>
    <t>No hay ninguna diferencia entre un trabajador taxista de Uber y uno de amarillos, ambos están tercerizados. Los sob… https://t.co/0UibIQQeLZ</t>
  </si>
  <si>
    <t>La situacion laboral de los taxistas, de Uber o amarillos, y la calidad del servicio mejoran si se quitan los inter… https://t.co/dT80IB7WIZ</t>
  </si>
  <si>
    <t>Mientras dure el oficio de conductor, que la hipercomunicación puede eliminar, los taxistas, de uber o amarillos, p… https://t.co/iTJgwCjftj</t>
  </si>
  <si>
    <t>La decisión del gobierno de ilegalizar Uber está tomada para favorecer a las empresas intermediarias de taxis amari… https://t.co/VQNMJFf9Tv</t>
  </si>
  <si>
    <t>La opción de apoyar la medida de Duque desde el progresismo en la creencia que se apoya al taxista amarillo es fals… https://t.co/YBdx6RE3Ct</t>
  </si>
  <si>
    <t>En nuestra propuesta el Estado se haría presente en el registro del taxista ante la oficina municipal, sea para usa… https://t.co/x7Lkm00RHd</t>
  </si>
  <si>
    <t>La forma de regular el número de taxistas está en el registro municipal, por eso cada municipio debe ser autónomo e… https://t.co/LSmwg8PO9z</t>
  </si>
  <si>
    <t>Me gustaría, que además de dulces, Duque llevara un incremento sustancial al presupuesto de transferencias para la… https://t.co/jSz1FuyzkW</t>
  </si>
  <si>
    <t>Las calumnias de @saludhernandezm surgen por su esclavitud a sus prejuicios ideológicos. Yo no creo en el odio de c… https://t.co/2LZlvqZUUN</t>
  </si>
  <si>
    <t>La fiscalía chuzaba ilegalmente a rivales, políticos y económicos, de Néstor Humberto Martínez, ahora la fiscalía i… https://t.co/ha3vaY8nOe</t>
  </si>
  <si>
    <t>RT @mariodaza: ADVERTENCIA: Sabias que el 6 de febrero de 2020 la @CorteIDH celebrará la audiencia del CASO PETRO VS COLOMBIA y probablemen…</t>
  </si>
  <si>
    <t>RT @WilmerAlcalMu_: Palabras de @petrogustavo, para recordar y nunca olvidar. https://t.co/SfcyQFEYEG</t>
  </si>
  <si>
    <t>De los Cantores Killeros. La Pachamama https://t.co/xMVSEAK2i0</t>
  </si>
  <si>
    <t>Hay quien dice que la movilización no sirve. Miren el logro del pueblo trabajador de Francia https://t.co/4mhxKMvLko</t>
  </si>
  <si>
    <t>@carlos_rijas Hola carlos</t>
  </si>
  <si>
    <t>RT @petrogustavo: ¿Ud quiere que reformemos la ley 50 para eliminar los contratos de prestación de servicios y reconstruir la estabilidad l…</t>
  </si>
  <si>
    <t>Maza Márquez conoce media historia de la truculencia del Estado manejado por la mafia. Si fuera capaz de confesar t… https://t.co/e2wqIKKm4D</t>
  </si>
  <si>
    <t>RT @charry_manager: 1. Recuerdan cuando @petrogustavo denunció la información que fue borrada de mi computador sobre la carpeta “Itagüi” en…</t>
  </si>
  <si>
    <t>RT @petrogustavo: Me gustaría, que además de dulces, Duque llevara un incremento sustancial al presupuesto de transferencias para la educac…</t>
  </si>
  <si>
    <t>En el municipio de Argelia, Cauca, están amenazando a los activistas de la Colombia Humana. @CourPenaleInt @CIDH</t>
  </si>
  <si>
    <t>RT @LinaaRodri4739: Hola, una “mamerta” reportándose. Soy colombiana, vivo en Cali y mi padre de origen japonés me había prohibido hacer…</t>
  </si>
  <si>
    <t>Será un bonito proceso preliminar. Lo cierto es que por subir las tarifas del SITP y transmilenio, el sistema perdi… https://t.co/395LzYHI0K</t>
  </si>
  <si>
    <t>Tulio Sandoval Chía, líder social campesino, asesinado en Tibú, Norte de Santander. https://t.co/ccWs2HSVPL</t>
  </si>
  <si>
    <t>¿y dónde está la risa de los niños y niñas? ¿Se habrá preguntado Duque porqué en Bojayá los niños no ríen como él… https://t.co/DUT9a4Kzv8</t>
  </si>
  <si>
    <t>La critica Laura, es construccion. No hay nada que se mueva sino por su propia negación, decía Hegel, disculpe que… https://t.co/L5s3lhHkZ8</t>
  </si>
  <si>
    <t>Si Nicacio dijese la verdad entonces el no comandaba el ejército, su aparato de inteligencia respondía a otro coman… https://t.co/MELKDt8jPR</t>
  </si>
  <si>
    <t>El exsenador Otto Bula, era un quesero en Sahagún, humilde y trabajador hasta que conoció al senador Mario Uribe pa… https://t.co/topy4KN6vH</t>
  </si>
  <si>
    <t>He presentado desde que soy congresista más de 50 proyectos de ley que sus amigos se niegan a aprobar. Construimos… https://t.co/G8Ao8tI0GW</t>
  </si>
  <si>
    <t>Logramos no solo disminuir la pobreza en todas sus dimensiones, sino disminuir la desigualdad social de Bogotá, los… https://t.co/6O9X5UX5VF</t>
  </si>
  <si>
    <t>RT @carlosguromero: Estos “grupos de choque”, se burlaban de la condición en la que me encontraba al no poder salir y requisaban a quienes…</t>
  </si>
  <si>
    <t>RT @redentor2126: Me quieren matar ayúdenme por favor https://t.co/9z1MrSOvXe</t>
  </si>
  <si>
    <t>Claro que me faltó construir, pero construimos, 45 sedes nuevas de colegios, 3 sedes nuevas de universidad publica,… https://t.co/cujU6pKkPy</t>
  </si>
  <si>
    <t>Ojo, entregué más troncales de transmilenio que cualquier alcalde, pero además entregué los estudios en tercera fas… https://t.co/fhDsSuRUjf</t>
  </si>
  <si>
    <t>Entregué la décima y la 26 terminadas sin problemas jurídicos, la sexta , la ampliación a Soacha, al Dorado, rescat… https://t.co/jZOr7gpcWo</t>
  </si>
  <si>
    <t>Cambiamos la política de seguridad, de más cárceles y más policías, a más jóvenes estudiando, el programa jóvenes e… https://t.co/NcNmEGiSaV</t>
  </si>
  <si>
    <t>Pero lo que más me enorgullece es bajar la mortalidad infantil a un dígito por cada mil nacidos vivos en la ciudad.</t>
  </si>
  <si>
    <t>RT @petrogustavo: El exsenador Otto Bula, era un quesero en Sahagún, humilde y trabajador hasta que conoció al senador Mario Uribe para com…</t>
  </si>
  <si>
    <t>RT @ACIN_Cauca: Lamentamos profundamente el vil asesinato de Amparo Guejia Mestizo y Juan Pablo Dicué Guejia, comuneros del territorio de h…</t>
  </si>
  <si>
    <t>RT @LEVargasSilva: Texto del comunicado de la Corte Suprema de Justicia acerca del muy grave riesgo en que se encuentra la justicia, la dem…</t>
  </si>
  <si>
    <t>Con respeto querida Carolina, demagogia no significa eso que muestra, demagogia es etimológicamente dirigir el pueb… https://t.co/qdUmwDBApD</t>
  </si>
  <si>
    <t>RT @jerojasrodrigue: Fueron tan contundentes los logros de Bogotá Humana en realización de derechos de la primera infancia, adolescencia y…</t>
  </si>
  <si>
    <t>Jorge Luis Betancourt, acaba de ser asesinado en Montelibano, Córdoba. MI departamento se desangra. https://t.co/mMATcnAPp9</t>
  </si>
  <si>
    <t>RT @petrogustavo: ¿y dónde está la risa de los niños y niñas? ¿Se habrá preguntado Duque porqué en Bojayá los niños no ríen como él? Es…</t>
  </si>
  <si>
    <t>RT @petrogustavo: Hay quien dice que la movilización no sirve. Miren el logro del pueblo trabajador de Francia</t>
  </si>
  <si>
    <t>RT @petrogustavo: Si queremos las reformas que nos devolverían garantías reales a los derechos sociales y a la Constitución del 91, entonce…</t>
  </si>
  <si>
    <t>RT @pablogentili: Fue uno de los golpes más despiadados de Brasil y de América Latina. Un golpe de cobardes, corruptos, misóginos y racista…</t>
  </si>
  <si>
    <t>Australia como Colombia son de los más grandes exportadores de carbón del mundo. Hoy es víctima de la crisis climát… https://t.co/6XJzTTsrLc</t>
  </si>
  <si>
    <t>RT @MdeFrancisco12: Esta imagen se repite en demasiados lugares de Colombia. Refleja el espíritu de la política y el poder en Colombia. Si…</t>
  </si>
  <si>
    <t>Le propuse a Fajardo en el 2018 que unieramos fuerzas y cogobernáramos a Colombia. Rechazo la propuesta. El se sent… https://t.co/8Ot2x4Kp1D</t>
  </si>
  <si>
    <t>La FM se lanza contra el paro, no Ardila, los que protestan no son vagos, vagos los presidentes y congresistas que… https://t.co/UyBaC1ZL9p</t>
  </si>
  <si>
    <t>No Presidente usted no ha acordado nada porque mantiene la ley 30 que ordena congelar en términos reales los presup… https://t.co/S3M314pmsw</t>
  </si>
  <si>
    <t>RT @Heidy_UP: Han sido aprobadas nuestras dos proposiciones como banacada: una sobre Protesta social/Acción del ESMAD y otra sobre Irregula…</t>
  </si>
  <si>
    <t>Hemos propuesto una alianza con el progresismo de los EEUU a partir de una lucha común contra las razones que causa… https://t.co/C4peCwq9oI</t>
  </si>
  <si>
    <t>RT @TobonSanin: Duque se fue para Bojayá "apagar un incendio gigantezco" y terminó haciendo el ridículo. ¡Vuélvase serio! No necesitamos n…</t>
  </si>
  <si>
    <t>RT @jcuestanovoa: Demagogia es: https://t.co/xSvsCtteNU</t>
  </si>
  <si>
    <t>RT @Contagioradio1: El Gobierno está del lado contrario de la ciudadanía: Arzobispo de Cali. https://t.co/B0hq4Esyxq https://t.co/DZTBZZvo…</t>
  </si>
  <si>
    <t>La caída del poderío estadounidense en el mundo tiene una causa: la crisis de su sistema educativo concebido desde… https://t.co/AhkxEkir4r</t>
  </si>
  <si>
    <t>RT @PalaciosLeyner: En #Bojayá entregué a Presidente el comunicado de Obispos del Pacífico y Suroccidente que solicitan atención a las ale…</t>
  </si>
  <si>
    <t>Solución al transporte publico de la carrera 68, está ligada a la que se de a la séptima, por su articulación en la… https://t.co/niewsdqJkW</t>
  </si>
  <si>
    <t>RT @petrogustavo: Le propuse a Fajardo en el 2018 que unieramos fuerzas y cogobernáramos a Colombia. Rechazo la propuesta. El se sentía más…</t>
  </si>
  <si>
    <t>RT @elpais_retina: Jeremy Rifkin se inició en el activismo medioambiental organizando una protesta en Boston contra las petroleras en plena…</t>
  </si>
  <si>
    <t>En campaña en el 2018 propuse hacer la tercera revolución industrial en Colombia y me propuse traer a Jeremy Riffki… https://t.co/5XeoqCxAvf</t>
  </si>
  <si>
    <t>RT @GustavoBolivar: Petro no use ferragamo, no compre libros, no celebre 1era comunión de su hija, no tuitee, no pelee, sea tibio para q lo…</t>
  </si>
  <si>
    <t>RT @petrogustavo: En campaña en el 2018 propuse hacer la tercera revolución industrial en Colombia y me propuse traer a Jeremy Riffkin como…</t>
  </si>
  <si>
    <t>Una huelga de batas blancas en Francia. La fuerza blanca de la salud en Colombia debe reaccionar y juntarse al par… https://t.co/gcPp2PQXI0</t>
  </si>
  <si>
    <t>En Europa subsidiaban los pasajes en avión en contra del tren. Para resolver la crisis climática Alemania decidió h… https://t.co/FkRGPSnfmS</t>
  </si>
  <si>
    <t>Una periodismo de verdad en Medellín https://t.co/WTZbsZfS2c</t>
  </si>
  <si>
    <t>RT @Mariaporia: Sin embargo, antes de entrar a discutir sobre este tema tan delicado -y perdón, pero especialmente si son hombres- al menos…</t>
  </si>
  <si>
    <t>RT @petrogustavo: Una periodismo de verdad en Medellín https://t.co/WTZbsZfS2c</t>
  </si>
  <si>
    <t>La movilización nacional de #21E en vez de dispersarse en múltiples objetivos , debe concentrarse en reformas estru… https://t.co/qeDlbFMraq</t>
  </si>
  <si>
    <t>El mundo presencia cómo encarcelan a un periodista por investigar la verdad del Poder. Y periodismo se silencia en… https://t.co/JQIanGmYYD</t>
  </si>
  <si>
    <t>RT @GustavoBolivar: Historia de un país q no aprendió con 6mil falsos positivos, ni con ChuzaDAS ni concentración de la riqueza. Entonces l…</t>
  </si>
  <si>
    <t>RT @TrajanoAndino: @CarlosCarrilloA @ClaudiaLopez @TransMilenio Desde hace décadas, el eje de la Calle 100 ha sido un grave problema para l…</t>
  </si>
  <si>
    <t>Es diferente un ejército que sirve a la Nación y un ejército que sirve a la oligarquía. El primero solo verá enemig… https://t.co/NXRStwsC9Y</t>
  </si>
  <si>
    <t>Cuando Bogotá Humana lo propuso, nos dijeron radicales. Eso se llama organizar el territorio alrededor del agua. Hu… https://t.co/Bmpgyz3JuU</t>
  </si>
  <si>
    <t>RT @petrogustavo: Es diferente un ejército que sirve a la Nación y un ejército que sirve a la oligarquía. El primero solo verá enemigos en…</t>
  </si>
  <si>
    <t>RT @petrogustavo: La movilización nacional de #21E en vez de dispersarse en múltiples objetivos , debe concentrarse en reformas estructural…</t>
  </si>
  <si>
    <t>Duque dice que el problema de la desigualdad social es un problema de legalidad. Es su programa y lo que escribió e… https://t.co/to8nluuqRr</t>
  </si>
  <si>
    <t>Las leyes del transporte, no son muy diferentes en su concepción a las leyes que rigen la salud, la educación, las… https://t.co/j3mMcdH2P2</t>
  </si>
  <si>
    <t>Cuando Duque defiende ese concepto de legalidad, lo hace porque su proyecto político es el de la desigualdad, el de… https://t.co/DtE5XYfCfw</t>
  </si>
  <si>
    <t>Ahora bien no se trata de una reforma que imponga el libre mercado como propone Toro del partido verde, su aliado,… https://t.co/lDLsNjdaXk</t>
  </si>
  <si>
    <t>No engañen a la gente. Lo que contamina no es solo el material particulado, que es lo visible pero lo menos peligro… https://t.co/OQBUq8Ud98</t>
  </si>
  <si>
    <t>Me gustaría escuchar el concepto de Maria Mercedes Maldonado @MMMaldonadoC sobre esta propuesta de Claudia. En mi o… https://t.co/wuj31PQdcK</t>
  </si>
  <si>
    <t>Conocí a Manuel Gustavo Chacón en medio de las luchas obreras en Barrancabermeja siendo joven, y conocí a sus asesi… https://t.co/vPcrgZblG8</t>
  </si>
  <si>
    <t>Colombia es el país donde más se mata defensores de derechos humanos en todo el mundo, y es porque Colombia es uno… https://t.co/uwT67qVP3c</t>
  </si>
  <si>
    <t>Hora de revivir el decreto de declaratoria de utilidad pública de la reserva Thomas Van Der Hammen que Peñalosa de… https://t.co/ipHrAnkLfR</t>
  </si>
  <si>
    <t>RT @PinedaRuizBog: ¿Parecido a Colombia? @MonederoJC pone los puntos sobre las íes "antes el centro era el derecho a los derechos sociales.…</t>
  </si>
  <si>
    <t>¿No creen ustedes que una Era de Paz es un gran objetivo para la sociedad colombiana? Una Era de Paz se construye c… https://t.co/sW3tfiubMi</t>
  </si>
  <si>
    <t>RT @AndresCamiloHR: La Consejería Presidencial para la Jueventud me acaba de llamar invitándome a participar en la mesa d diálogo con el Se…</t>
  </si>
  <si>
    <t>RT @susanamuhamad: Gracias a la Secretaria de Ambiente @colinita y a los Concejales por atender el llamado a la Mesa de Trabajo hoy en el @…</t>
  </si>
  <si>
    <t>RT @Heidy_UP: Queremos que la alcaldesa @ClaudiaLopez asuma el debate sobre la 1 Línea del Metro de Bogotá. Debe responder sobre los hallaz…</t>
  </si>
  <si>
    <t>Si Claudia permite la licitación de transmilenio con troncal de buses por la 68, que hoy podría suspender, obliga a… https://t.co/nXH80UyBZy</t>
  </si>
  <si>
    <t>Haganme el favor, hicieron exiliar a mi familia y ahora no puedo visitarla. Tengo mi mamá en Canadá con mi hermana… https://t.co/eNzak08ohW</t>
  </si>
  <si>
    <t>RT @AndresCamiloHR: Me enseñaron la igualdad, el respeto, la dignidad, la solidaridad, la equidad, a valorar la vida en cada una de sus for…</t>
  </si>
  <si>
    <t>Este artículo trae una crítica profunda a la etapa vivida de gobiernos progresistas en América Latina. En mi opini… https://t.co/SiqkyOsAzE</t>
  </si>
  <si>
    <t>Para desmantelar hidroituango o para hacer el metro subterráneo en Bogotá se necesitaría un liderazgo dispuesto a a… https://t.co/afa3fM4bz3</t>
  </si>
  <si>
    <t>La bancada de gobierno en el concejo apuesta a que la justicia resuelva suspender licitación de transmilenio en la… https://t.co/DLTwV3htWr</t>
  </si>
  <si>
    <t>RT @lucianacadahia: Me voy a permitir una pedantería:¿Saben por qué la narrativa de centro no funciona? Por que está presa de una ontología…</t>
  </si>
  <si>
    <t>Si se hace un tranvía en la carrera séptima, que no necesita compra de predios, este se puede extender hasta Zipaqu… https://t.co/KRfYqt7kYW</t>
  </si>
  <si>
    <t>Desde la campaña presidencial y en medio de ella me investigaban mis movimientos financieros de manera ilegal, en C… https://t.co/4da2A0kSkV</t>
  </si>
  <si>
    <t>Bajo los nuevos dueños del narcotrafico, la barbarie va a ser mayor porque ya no tienen raíces nacionales. Lo dije… https://t.co/hSor2pDmx2</t>
  </si>
  <si>
    <t>Cuando he propuesto un frente democrático para un gobierno pluralista que construya las bases de una Era de Paz imp… https://t.co/yeQnulaVOA</t>
  </si>
  <si>
    <t>Una Era de Paz, si de verdad queremos salir de la violencia y la desigualdad, implica superar el neoliberalismo com… https://t.co/VoVkrWztWd</t>
  </si>
  <si>
    <t>RT @ChalecosAmarill: 📹🆘️ La desigualdad, desde arriba 🤬 https://t.co/PWooxRUQ7U</t>
  </si>
  <si>
    <t>RT @ChalecosAmarill: 📹🆘️ #BREAKING || #ULTIMAHORA 🇵🇸🇮🇱 Policía militar de #Israel detiene a palestinos que protestaban por la demolición d…</t>
  </si>
  <si>
    <t>El senador jhony Besaile debe ser procesado por la Corte Suprema de Justicia por crímenes ambientales. La comunida… https://t.co/WbAWCUcVXn</t>
  </si>
  <si>
    <t>Cabria preguntarle a mi amigo Hommes porque la gente que vive en la séptima no se beneficiaría con un tranvía. Por… https://t.co/zsA47rWM3r</t>
  </si>
  <si>
    <t>Entendida la corrupción como el mal uso del poder público para acrecentar beneficios privados, esta entidad alemana… https://t.co/xfDaTwP5Y9</t>
  </si>
  <si>
    <t>Claro la gente no sabe que el sueldo no le alcanza para terminar el mes o que no tiene sueldo. Los abogados del di… https://t.co/UAIz6g7zOJ</t>
  </si>
  <si>
    <t>RT @petrogustavo: Bajo los nuevos dueños del narcotrafico, la barbarie va a ser mayor porque ya no tienen raíces nacionales. Lo dije en la…</t>
  </si>
  <si>
    <t>A este muchacho lo detuvo injustamente Néstor Humberto Martínez, la prueba contra él era que había estado en Cuba.… https://t.co/lZTelxx0Wn</t>
  </si>
  <si>
    <t>RT @DanielRMed: Va a estar bien complicado tratar de armonizar el modelo Peñalosa en movilidad ($) con algunos esfuerzos de Claudia para ag…</t>
  </si>
  <si>
    <t>RT @FT_Col: Claudia López significa la continuación del desastroso modelo de ciudad de Peñalosa. Se advirtió, pero el arribismo de las clas…</t>
  </si>
  <si>
    <t>Cómo se compara con otros proyectos, el costo/beneficio del proyecto de troncal de buses por la 68, ¿Peñalosa evalu… https://t.co/Z1IcUiTom9</t>
  </si>
  <si>
    <t>RT @SenorCaicedo: Para mi, @petrogustavo es un hombre liberal. https://t.co/8rgQzxCC4o</t>
  </si>
  <si>
    <t>RT @petrogustavo: Cómo se compara con otros proyectos, el costo/beneficio del proyecto de troncal de buses por la 68, ¿Peñalosa evaluó los…</t>
  </si>
  <si>
    <t>RT @petrogustavo: Entendida la corrupción como el mal uso del poder público para acrecentar beneficios privados, esta entidad alemana, colo…</t>
  </si>
  <si>
    <t>¿Por qué en la lista de políticos que Carlos Arenas, jefe de prensa de la policía metropolitana de Bogotá no mete u… https://t.co/Mn1JvcMXoz</t>
  </si>
  <si>
    <t>RT @AndresCamiloHR: Coronel Salinas revela a la Fiscalía que @petrogustavo, fue interceptado, seguido y hasta sus finanzas por parte de la…</t>
  </si>
  <si>
    <t>Esto señor concejal es una mentira, fueron muchas las veces que presidí el consejo superior de la Universidad Distr… https://t.co/JarrqkKZaF</t>
  </si>
  <si>
    <t>Esta muy bien que Claudia presida el Consejo Superior de la U Distrital, pero su comentario @YamitPalaVilla señala… https://t.co/J3l7NcRHd7</t>
  </si>
  <si>
    <t>RT @Heidy_UP: Un muestra de tratamiento a la Protesta social, se dio en el gobierno de @petrogustavo con la expedición del Decreto 563 de 2…</t>
  </si>
  <si>
    <t>RT @petrogustavo: Desde la campaña presidencial y en medio de ella me investigaban mis movimientos financieros de manera ilegal, en Colombi…</t>
  </si>
  <si>
    <t>La repetición de lo mismo. https://t.co/FqTWcNRWsr</t>
  </si>
  <si>
    <t>Quedan Convocadas las Asambleas Municipales de Colombia Humana para preparar la movilización social en todos los mu… https://t.co/p9ATe9VXXd</t>
  </si>
  <si>
    <t>RT @MoisesAlvaro_: El Gobierno de Claudia López se parece demasiado al de Enrique Peñalosa. https://t.co/h162R7WTkG</t>
  </si>
  <si>
    <t>RT @petrogustavo: Quedan Convocadas las Asambleas Municipales de Colombia Humana para preparar la movilización social en todos los municipi…</t>
  </si>
  <si>
    <t>RT @ManuelaDavila: Truculência da PM contra manifestantes que protestam contra o aumento da passagem em São Paulo vídeo via @pontejornalism…</t>
  </si>
  <si>
    <t>RT @PrensaWiphala: Como ayer Añez no ha logrado movilizar la ciudadanía para apoyar el golpe, hoy movilizó las tropas. La ciudad de La Paz…</t>
  </si>
  <si>
    <t>RT @wilberpreciado: Lo cierto es que @petrogustavo no mandaba al ESMAD. Él mismo iba y frenteaba. https://t.co/nRDXJz33R5</t>
  </si>
  <si>
    <t>Lo que dijo Claudia aquí para ganar la encuesta sobre Navarro, resultó ser una mentira en su gobierno. Claudia ha… https://t.co/u6B2ST93en</t>
  </si>
  <si>
    <t>RT @GabrielaTafur: Acepto que me tomen del pelo por peluquearme, y que me terminen de trasquilar, porque en Colombia defender los derechos…</t>
  </si>
  <si>
    <t>RT @jcuestanovoa: En Puente Aranda se reunió la asamblea local de #ElParoNacional Preparando la movilización de #ElParoSigue21E con Cacero…</t>
  </si>
  <si>
    <t>¿Alguien le habrá preguntado a Uribe Turbay porque hay una línea de fuego sobre una manifestación? https://t.co/kAmVDZNqTg</t>
  </si>
  <si>
    <t>¿No han escuchado decir a tantos colombianos que somos comunistas porque defendemos la expansión de la educación a… https://t.co/CUCsOTwik8</t>
  </si>
  <si>
    <t>RT @PODEMOS: Sin vosotros y vosotras no habría sido posible. #6AñosGraciasATi https://t.co/WVT2rkILje</t>
  </si>
  <si>
    <t>RT @petrogustavo: Lo que dijo Claudia aquí para ganar la encuesta sobre Navarro, resultó ser una mentira en su gobierno. Claudia ha decidi…</t>
  </si>
  <si>
    <t>RT @agonvelaz_: Joseph Stiglitz: “Las cooperativas son el modelo empresarial del futuro” https://t.co/h9yrNOEHUM</t>
  </si>
  <si>
    <t>RT @FonsiLoaiza: Un manifestante ayer en las huelgas en Francia a la policía: "¡Defendéis a los ricos y a Macron! Pasáis vuestra vida golpe…</t>
  </si>
  <si>
    <t>RT @MonteriaRadio38: #Córdoba | Magisterio de Córdoba convoca plantón para rechazar asesinato de líderes sociales https://t.co/yQ2ujU7eeZ V…</t>
  </si>
  <si>
    <t>¿Será que la lucha por un transporte público que dignifique al usuario y no contamine y no gire alrededor de hacer… https://t.co/D79dpa0vjb</t>
  </si>
  <si>
    <t>RT @ChalecosAmarill: 📹🆘️ #Chile || ¡YO TENGO DERECHO A CAMINAR! ⚠️Estela Ortiz, viuda de José Manuel Parada (Caso Degollados, 1985) 🔴 @C…</t>
  </si>
  <si>
    <t>Para congraciarse con el establecimiento solo hay que dar dos mensajes: ser capaz de golpear una manifestación y ma… https://t.co/N4ofEpvn4J</t>
  </si>
  <si>
    <t>Veremos como exactivistas de Bogotá Humana dejan de defender a la gente, empiezan a defender a transmilenio y las i… https://t.co/lfDAPQlH24</t>
  </si>
  <si>
    <t>RT @lucianacadahia: En campaña Claudia López se solidarizó con las marchas. Tras asumir la gestión, en cambio, sigue los pasos represores d…</t>
  </si>
  <si>
    <t>Me hacen caso o les pego, el nuevo lenguaje autoritario vestido de verde progresista.</t>
  </si>
  <si>
    <t>RT @petrogustavo: Veremos como exactivistas de Bogotá Humana dejan de defender a la gente, empiezan a defender a transmilenio y las interve…</t>
  </si>
  <si>
    <t>Como se ha puesto de moda tratar de mostrarnos como responsables de la corrupción que enreda una parte de la admini… https://t.co/9OGxJjOTfs</t>
  </si>
  <si>
    <t>Cuando los estudiantes de la Distrital salieron en protesta a la plaza de Bolivar sali a hablar con ellos y los inv… https://t.co/ngz4iGgebU</t>
  </si>
  <si>
    <t>Ayer concejales y periodistas se dedicaron a decir que yo no había ocupado mi puesto como miembro del Consejo super… https://t.co/3yYOzV3N6q</t>
  </si>
  <si>
    <t>Con estas mentiras se oponían a mi politica de extender la universidad pública a toda la juventud bogotana que impl… https://t.co/yXAkijtIdp</t>
  </si>
  <si>
    <t>Aquí ven ustedes como se dialoga directamente con los estudiantes que protestan, cómo luchaba contra la corrupción… https://t.co/OdZIJiLpwV</t>
  </si>
  <si>
    <t>Meta en sus cuentas concejal 110.000 millones de pesos invertidos directamente por el distrito en sedes universitar… https://t.co/NS8EzsU2x0</t>
  </si>
  <si>
    <t>RT @petrogustavo: Aquí ven ustedes como se dialoga directamente con los estudiantes que protestan, cómo luchaba contra la corrupción en la…</t>
  </si>
  <si>
    <t>Ante la aceptación oficial que carteles mexicanos se están tomando porciones del territorio nacional a sangre y fue… https://t.co/8O4Ili7DHR</t>
  </si>
  <si>
    <t>La Corte Suprema de Justicia debe nombrar magistrados ya, y deben ser los y las mejores. La situación del pais, su… https://t.co/ULaGw1DkR5</t>
  </si>
  <si>
    <t>Rodrigo Ramírez es militante de la Colombia Humana_ UP. Ha sido amenazado en Sucre. Hemos denunciado la reparamilit… https://t.co/ihlTEPCHJ6</t>
  </si>
  <si>
    <t>Van en contravia de la experiencia urbanística mundial, entre mas vías abran y expandan más incentivan la urbanizac… https://t.co/tr9xKbXTYZ</t>
  </si>
  <si>
    <t>¿Quieren frenar la corrupción latente en Bogotá? suspendan la construcción del metro elevado y la licitación de la… https://t.co/Fad94SUvZx</t>
  </si>
  <si>
    <t>Si el actual gobierno de los EEUU de verdad estuviera comprometido con la libertad del continente no debería apoyar… https://t.co/gazimiQYSW</t>
  </si>
  <si>
    <t>¿Cuál será el alcalde en Colombia que se atreve a cambiar una troncal de buses de transito rápido por un tranvía so… https://t.co/LBbJo3U5da</t>
  </si>
  <si>
    <t>Con todo el respeto con el alcalde de Bucaramanga, aconsejo no creer en la asesoría de Peñalosa, le hablará de más… https://t.co/xF5HLY5KGf</t>
  </si>
  <si>
    <t>Este estudio profundo hecho sobre participes del narcotráfico en México demuestra una tesis fundamental defendida p… https://t.co/1c3vP3Rtn9</t>
  </si>
  <si>
    <t>RT @LaPazColombiani: Por mensajes como este RCN censura a Adriana Lucía. — @AdrianaLucia Mujer Valiente Hecha en Colombia. 🇨🇴 • • • • #NoCe…</t>
  </si>
  <si>
    <t>Este profesor de economía del Externado nos demuestra cómo los bonos del agua con los que el actual ministro de Hac… https://t.co/DYsOby14Sl</t>
  </si>
  <si>
    <t>Colombia Humana promete una revolución del agua. Desprivatizar acueductos. Hacer del agua un bien público, invertir… https://t.co/oD16oDrgTb</t>
  </si>
  <si>
    <t>RT @anateresabernal: El exalcade @EnriquePenalosa en Bucaramanga vuelve a asegurar que el BRT es el "único sistema viable" para fortalecer…</t>
  </si>
  <si>
    <t>Peñalosa volvió a su empleo, de vendedor de buses, ¿alguna vez lo dejó? Embarcó a Bogotá por 20 años más a los buse… https://t.co/UDpzg7WZHo</t>
  </si>
  <si>
    <t>RT @Mnosuna1: @petrogustavo Aquí en Lima hicieron una troncal de BRT gracias a los buenos oficios de Peñalosa, resultado 10 años más tarde,…</t>
  </si>
  <si>
    <t>En mi alcaldía encontramos que las troncales de tranvía son costo/beneficio mejores que las de buses La infraestru… https://t.co/xIk00Nldxm</t>
  </si>
  <si>
    <t>RT @ChalecosAmarill: 📹🆘️Ayer trabajadores de la aeronáutica militar de #ClermontFerrand tiran indignados sus buzos de trabajo en protesta…</t>
  </si>
  <si>
    <t>Las motos eléctricas de la policía cumplieron su vida útil trabajando, funcionarios de la policía no les dieron man… https://t.co/SaGK7NAcT5</t>
  </si>
  <si>
    <t>Ya no pueden sostener el neoliberalismo sino con violencia. El neoliberalismo es un modo de regulación del capitali… https://t.co/aDikOVxO19</t>
  </si>
  <si>
    <t>RT @macriscasme: Tengo la duda sobre si Colombia se ganó el primer puesto en el ranking de corrupción o lo compró.</t>
  </si>
  <si>
    <t>En realidad todo proceso económico es un acelerador de la degradación de la energía, segunda ley de la termodinámic… https://t.co/d49x4Cdh4q</t>
  </si>
  <si>
    <t>Puede sonar muy duro pero la misma mentalidad que hace que el dueño de un medio, siendo de los hombres más ricos, c… https://t.co/SB8XlTBHKv</t>
  </si>
  <si>
    <t>Richie, lamentablemente una norma hecha por terratenientes permite que solo por solicitud de los dueños la policía… https://t.co/ikS42weean</t>
  </si>
  <si>
    <t>RT @petrogustavo: Puede sonar muy duro pero la misma mentalidad que hace que el dueño de un medio, siendo de los hombres más ricos, censure…</t>
  </si>
  <si>
    <t>Señor @costenoliberta yo no propongo relaciones sociales de producción socialistas, propongo superar las relaciones… https://t.co/eHhHBnAGJz</t>
  </si>
  <si>
    <t>En Foucault encontrarás un hermoso texto donde define con precisión la diferencia entre la teoría económica en la q… https://t.co/04tKK3zONL</t>
  </si>
  <si>
    <t>El neoliberalismo, a diferencia de los neoclásicos, no solo afirman que el mercado de bienes sin regulación lleva a… https://t.co/rsy0M8633h</t>
  </si>
  <si>
    <t>Gabriel, el comunismo como modo de producción no existe en el mundo. Marx solo se refirió a él en pocos párrafos, c… https://t.co/UtnzKpe4fZ</t>
  </si>
  <si>
    <t>Cierto que Macron ganó porque querían detener a Le Pen, su uribismo, pero no es de izquierda, el candidato de la iz… https://t.co/EDwc1eRx8R</t>
  </si>
  <si>
    <t>Sr los métodos conocidos como guerrillas no son invento del marxismo, son inventos que datan de la lucha contra los… https://t.co/UZOoyEYbss</t>
  </si>
  <si>
    <t>William si me has leído, sabrás que el socialismo, al estilo soviético es un modo de producción en donde el Estado… https://t.co/SRu0zmgaZB</t>
  </si>
  <si>
    <t>La renta, es una transferencia de riqueza, no una producción de riqueza, Venezuela transfiere riqueza, cada vez men… https://t.co/hW93IqI53z</t>
  </si>
  <si>
    <t>Colombia Humana propone superar el rentismo, y expandir el capitalismo bajo una regulación de la Vida. Creemos que… https://t.co/KSx9d8OVP9</t>
  </si>
  <si>
    <t>Simplemente pensar, les duele. El irracionalismo es la base filosófica del Fascismo. El racionalismo es la base f… https://t.co/P2oXvGKPPp</t>
  </si>
  <si>
    <t>¿Será que es muy difícil pensar que si se hace un tranvía desde Zipaquirá, este precisamente tiene sentido si se ex… https://t.co/fEx1rhcWBQ</t>
  </si>
  <si>
    <t>Andrés, el pensamiento moderno se forja a partir de una ruptura epistemológica a principios del siglo XIX que intro… https://t.co/LK0EJRvVjE</t>
  </si>
  <si>
    <t>Habrá por esta razón un final del capitalismo que puede coincidir con el fin de la humanidad, o ser superado por un… https://t.co/TuMywTvMGN</t>
  </si>
  <si>
    <t>RT @petrogustavo: ¿Será que es muy difícil pensar que si se hace un tranvía desde Zipaquirá, este precisamente tiene sentido si se extiende…</t>
  </si>
  <si>
    <t>Cuando propuse la transición hacia una matriz de energías limpias, me dijeron loco y radical Si queremos vivir toc… https://t.co/rQOm6qBn6J</t>
  </si>
  <si>
    <t>Así banalizaron el tema de Aída Merlano para meternos al clan Char, responsables de la compra de votos con los Gerl… https://t.co/S4vqsbm0yt</t>
  </si>
  <si>
    <t>¡Por fin! De acuerdo. Por los indicios de corrupción, por luchar contra el cambio climático, por no contaminar la c… https://t.co/f2BgWlOCt2</t>
  </si>
  <si>
    <t>Jajjaja, ataca a Uribe para ver que te pasa. https://t.co/dXl4GabWk6</t>
  </si>
  <si>
    <t>¿Y la @FiscaliaCol ya detectó quien se esconde tras este perfil que amenaza de muerte? ¿O sus plataformas sólo sirv… https://t.co/hQq7wtIAcm</t>
  </si>
  <si>
    <t>RT @susanamuhamad: Desde la bancada de Colombia Humana-UP-Mais, Le solicitamos a la Alcaldesa @ClaudiaLopez Suspender la troncal de la AV…</t>
  </si>
  <si>
    <t>RT @harryrendon: #ParoNacional21E . #ParoNacional21E . #ParoNacional21E .</t>
  </si>
  <si>
    <t>RT @UNEESCol: Mensaje de @AdrianaLucia a los estudiantes del país. https://t.co/NnjlH7NQ6g</t>
  </si>
  <si>
    <t>RT @jorgeccruz1: Camión recolector atropella a perrita y aun con vida la suben para aplastarla https://t.co/IJZOwll21m</t>
  </si>
  <si>
    <t>RT @Jorgomezpinilla: MISIÓN CUMPLIDA Tienen motivos de sobra para levantar los brazos, en señal de satisfacción por el escalafón obtenido.…</t>
  </si>
  <si>
    <t>RT @Erickmontes1997: Así se encuentra el cementerio indígena más grande de latinoamerica en Usme, sus tumbas las cubre el pasto y se está d…</t>
  </si>
  <si>
    <t>RT @LUISEROLAVE: Esta pinta paramilitar desembarca en el malecón de Quibdó con un fusil de asalto a dos cuadras de Estación Policía y nadie…</t>
  </si>
  <si>
    <t>RT @NoTransM68: @TransMilenio es uno de los sistemas de transporte con buses de transito rápido mas atrasados y congestionados del mundo,…</t>
  </si>
  <si>
    <t>Tengo una colección de amenazas de las Águilas Negras, para mí , no son más que sectores de inteligencia de la Poli… https://t.co/a3tinGlIHO</t>
  </si>
  <si>
    <t>¿Será que los "Rastrojos" no son terroristas? https://t.co/aKEt7v3KE9</t>
  </si>
  <si>
    <t>RT @SenorCaicedo: Sigan diciendo que @petrogustavo es igual a Uribe. https://t.co/7y1OmtOW8P</t>
  </si>
  <si>
    <t>RT @MoisesAlvaro_: Veo a algunos justificar la violencia de López y el ESMAD diciendo que @petrogustavo militarizó un día la ciudad. Ese d…</t>
  </si>
  <si>
    <t>RT @petrogustavo: ¿Será que los "Rastrojos" no son terroristas?</t>
  </si>
  <si>
    <t>RT @CarlosCarrilloA: Utilizar la excusa de la @FDNcolombia para adjudicar la troncal de la 68 es una tremenda lavada de manos, si @ClaudiaL…</t>
  </si>
  <si>
    <t>RT @FT_Col: Hacer la troncal de Transmilenio por la Av 68 es una de las muestras más claras de que Claudia López está instalada en la polit…</t>
  </si>
  <si>
    <t>RT @wilsonariasc: Comparto esta denuncia de @CarlosCarrilloA. Alcaldesa @ClaudiaLopez debe honrar sus compromisos de campaña.</t>
  </si>
  <si>
    <t>Dirán que esto es solo un render, pero detrás de este video hay estudios técnicos del tranvia o metro ligero, por l… https://t.co/8L37XkSSW4</t>
  </si>
  <si>
    <t>Este es el proyecto que dejó Bogotá Humana estudiado técnicamente con cuatro troncales de tranvías. Era nuestro apo… https://t.co/WL2DfEdIbx</t>
  </si>
  <si>
    <t>RT @FranciaMarquezM: ¿Porque estos grupos armados hablan en nombre del gobierno, Presidente @IvanDuque ? Cuando dicen que "el territorio na…</t>
  </si>
  <si>
    <t>RT @smilelalis: #ATENCION Hombre armados entraron a la casa del Ex gobernador Indígena Yesid Conda. Tenían armas de largo alcance y tenían…</t>
  </si>
  <si>
    <t>RT @elquelosdelata: Sé que cuando Uribe decida que ya es hora de mandarme a matar, muchas personas que deberían amarme van a descansar, se…</t>
  </si>
  <si>
    <t>RT @LaOrejaRoja: 'En este país, las personas que realmente quieren ayudar o denunciar lo que está sucediendo, son mandados a callar'. https…</t>
  </si>
  <si>
    <t>RT @leonardonzalez: https://t.co/Az0eU6mHSO</t>
  </si>
  <si>
    <t>RT @XHespanol: #VIDEO 🔵 ¡Trolebuses chinos llegan a la #CDMX! Una flota de 63 trolebuses de la marca #Yutong importados de #China comienza…</t>
  </si>
  <si>
    <t>RT @grosherz: El Urabá antioqueño con ola de calor de más de diez días, municipios sin agua, la economía que se basa en el turismo paraliza…</t>
  </si>
  <si>
    <t>Estas denuncias de Richard Riaño, con quien denuncie la infiltración paramilitar en la fiscalía de Luis Camilo Osor… https://t.co/JOeqovcWNe</t>
  </si>
  <si>
    <t>RT @nicolasAmon: Alcaldesa @ClaudiaLopez por favor respete a las personas que votamos por usted y sus propuestas. Votamos por su proyect…</t>
  </si>
  <si>
    <t>En el ejército se han construido una red de extrema al servicio de la mafia y amenaza a la oposición a Uribe/Duque.… https://t.co/Am4wiPW8m7</t>
  </si>
  <si>
    <t>Mandos del ejército han cometido el peor error estratégico para el ejército: tratar de convertirlo en una pandilla… https://t.co/VCW3c3DyoL</t>
  </si>
  <si>
    <t>Dijo Robledo del MOIR que he declarado la guerra a Claudia. No es cierto, no le declaramos la guerra a nadie, ni si… https://t.co/fAfI0FKTUP</t>
  </si>
  <si>
    <t>Luis Rodríguez, desplazado y líder en la restitución de sus tierras de los victimarios, ha sido asesinado en tierra… https://t.co/C09u4ZILr0</t>
  </si>
  <si>
    <t>Estaré el #21E en Barranquilla, al lado de quienes luchan por un país que busque reformar las leyes que le ha quit… https://t.co/KlbTDsZunf</t>
  </si>
  <si>
    <t>RT @TPU19J: #20Enero Paramilitares pagados y protegidos por la dictadora @JeanineAnez, agreden a una mujer de pollera y a otro joven solo p…</t>
  </si>
  <si>
    <t>RT @petrogustavo: Estaré el #21E en Barranquilla, al lado de quienes luchan por un país que busque reformar las leyes que le ha quitado lo…</t>
  </si>
  <si>
    <t>La "Bella Ciao" es la canción que cuenta la historia del guerrillero italiano que deja a su novia para ir a luchar… https://t.co/IRTW7Yzdkw</t>
  </si>
  <si>
    <t>RT @anateresabernal: Nuestra Edilesa Progresista Marisol Rosas le exige a la alcaldesa @ClaudiaLopez cumplir con su promesa de campaña. #No…</t>
  </si>
  <si>
    <t>En Francia se crean ligas de usuarios de los medios para establecer u a veeduría de la ciudadanía en pos de la ver… https://t.co/9d5hIm6Yo3</t>
  </si>
  <si>
    <t>Pero si ninguno trabaja. https://t.co/cfi9R72QT9</t>
  </si>
  <si>
    <t>En elecciones dicen que lucharán contra el cambio climático. Pero en el gobierno prefieren una troncal de buses die… https://t.co/7K6jroqzxT</t>
  </si>
  <si>
    <t>Claudia no ha comprendido que si se hace un tranvía del norte desde Zipaquirá, éste no debe seguir el ramal férreo… https://t.co/FfJgIOephj</t>
  </si>
  <si>
    <t>RT @petrogustavo: Pero si ninguno trabaja.</t>
  </si>
  <si>
    <t>RT @TobonSanin: #LoQueDiceTobón. Robledo NO va a ser Presidente, lo único que logra es restarle posibilidades a Petro, facilitando las cos…</t>
  </si>
  <si>
    <t>Ni soy cómplice de dictadores, ni soy cómplice de los Rastrojos. https://t.co/daZLwb780o</t>
  </si>
  <si>
    <t>RT @MirandaBogota: De cuando acá un extranjero viene a injuriar y calumniar de esa manera a un Senador de la República de Colombia @petrogu…</t>
  </si>
  <si>
    <t>RT @TobonSanin: Los derechos no sólo se reclaman judicialmente, los derechos también se reclaman en la calle. #ParoNacional21E</t>
  </si>
  <si>
    <t>RT @petrogustavo: Ni soy cómplice de dictadores, ni soy cómplice de los Rastrojos.</t>
  </si>
  <si>
    <t>RT @AndresCamiloHR: Petro denunciará a Guaidó tras acusarlo de ser financiado por Maduro https://t.co/xuCjPycZy6 vía @elespectador</t>
  </si>
  <si>
    <t>RT @OscaRuiz_: #ParoNacional21E en Soacha vamos a encontrarnos a las 10:30 a movilizarnos contra el gobierno nacional y a exigir soluciones…</t>
  </si>
  <si>
    <t>RT @wilsonariasc: .@ClaudiaLopez no alimente más la sociedad de la mentira, escuche y cúmplale a sus electores y a Bogotá. Usted dijo "no…</t>
  </si>
  <si>
    <t>RT @ChalecosAmarill: 🎥🆘️ #Colombia || #21eElParoContinua || COLOMBIA SE PARA!! ✊🏻Movilización social en la Primera de mayo con carrera 10.…</t>
  </si>
  <si>
    <t>RT @VirnaJohnson: #FelizMartes |Con respecto al paro, los samarios deben estar tranquilos que las autoridades garantizaremos el derecho a l…</t>
  </si>
  <si>
    <t>Los Rastrojos y sus congéneres son verdaderos grupos terroristas. Matan más norteamericanos todos los días que Al Q… https://t.co/m0HKn2dZAj</t>
  </si>
  <si>
    <t>RT @AlirioUribeMuoz: #ParoNacional21E No más asesinatos de lideres sociales! Apoyemos la Movilización y el Cacerolazo! https://t.co/CL7qJvm…</t>
  </si>
  <si>
    <t>En Bogotá ediles y concejales elegidos por Colombia Humana deben convocar en plaza pública, abierta y en lugares de… https://t.co/jNnBCjzyey</t>
  </si>
  <si>
    <t>RT @GustavoBolivar: Nunca dije nada de Guaidó para q no me tildaran de defensor de Maduro, q no soy ni seré, pero aprovecho q vino a hacer…</t>
  </si>
  <si>
    <t>Solicito a los manifestantes no desgastarse en peleas con la policía, eso es una trampa El problema no es con la p… https://t.co/lkBuAxHOFC</t>
  </si>
  <si>
    <t>RT @HOLLMANMORRIS: Los sectores democráticos de Colombia deberían rechazar la intromisión de @jguaido en la política interna, incluido el p…</t>
  </si>
  <si>
    <t>RT @GustavoBolivar: Demostrémosles que el Paro no se acaba hasta que el pueblo consiga cambios y reivindicaciones. Demostrémosles que no ne…</t>
  </si>
  <si>
    <t>RT @ismene2: Ve: Colombia. Chile. https://t.co/cVG2gVlm3v</t>
  </si>
  <si>
    <t>RT @petrogustavo: En Bogotá ediles y concejales elegidos por Colombia Humana deben convocar en plaza pública, abierta y en lugares definido…</t>
  </si>
  <si>
    <t>RT @petrogustavo: Los Rastrojos y sus congéneres son verdaderos grupos terroristas. Matan más norteamericanos todos los días que Al Qaeda.…</t>
  </si>
  <si>
    <t>RT @santitrujillo8: @RevistaSemana @ColombiaMuisca @ClaudiaLopez @PoloDemocratico @PartidoVerdeCoL En su momento promesa de no hacer TM por…</t>
  </si>
  <si>
    <t>RT @RevistaSemana: La troncal de TransMilenio por la 68 se convirtió en la primera diferencia entre @ClaudiaLopez, el @PoloDemocratico y el…</t>
  </si>
  <si>
    <t>RT @sergio_serrano_: Hezbollah, Rusia, Maduro, Petro... Es como una telenovela sobre la Guerra Fría, pero protagonizada por Los Tres Chifla…</t>
  </si>
  <si>
    <t>RT @DonIzquierdo_: Juan Guaidó: "Petro es cómplice de la dictadura de Maduro" Gustavo Petro: "No soy cómplice de dictadores, ni soy cómpli…</t>
  </si>
  <si>
    <t>En Australia después de la ola de calor y los inmensos incendios que mataron medio millón de animales, caen rocas c… https://t.co/1nh6pIorZk</t>
  </si>
  <si>
    <t>RT @FabianHDiazG: Protestar, resistir, tranformar. #21eElParoContinua #21EelParoSigue #21EParoNal</t>
  </si>
  <si>
    <t>RT @DonIzquierdo_: En Chile las madres están en la Primera Línea, no del lado de la tiranía. Tenemos muchísimo que aprender de la dignidad…</t>
  </si>
  <si>
    <t>RT @JNeiraN: #ParoNacional21E B/Quilla se va de cacerolazo está tarde en el Parque Cementerio Universal, Plazoleta Alfredo Correa De Andréi…</t>
  </si>
  <si>
    <t>RT @Noridaoficial: “Señal de tener gastada la fama propia es procurar la infamia ajena.”</t>
  </si>
  <si>
    <t>RT @Contagioradio1: Los habitantes del sur de Córdoba se preguntan cómo asesinan a sus líderes si en el territorio opera la Fuerza de Tarea…</t>
  </si>
  <si>
    <t>RT @susanamuhamad: Unámonos al #ParoNacional21E. En medio de los "diálogos" el Gobierno aprobó reformas, fracking y asparsiones con glifosa…</t>
  </si>
  <si>
    <t>RT @velascoluisf: Respetamos la lucha del pueblo venezolano por lograr democracia, pero exigimos a @jguaido no intervenir en política inter…</t>
  </si>
  <si>
    <t>RT @SraPatria: Claudia López ya ha ratificado a 3 sirvientes de Peñalosa en sus cargos; IDU, Metro en la nubes y ahora en la ETB. Constru…</t>
  </si>
  <si>
    <t>RT @RafaelPardo: Guaidó está a todas luces interviniendo en asuntos internos. Declaración contra Petro lo muestra.</t>
  </si>
  <si>
    <t>Aquí se ha violado el principio universal de proporcionalidad de la fuerza. Es Suba y es el Esmad. Disparan de man… https://t.co/w4ylhLHgCC</t>
  </si>
  <si>
    <t>Si respetan el derecho a la protesta, suspendan licitación de transmilenio por la avenida 68, permitan que un tranv… https://t.co/urr3yoO4VD</t>
  </si>
  <si>
    <t>RT @wilcan91: El presidente inútil @IvanDuque sabe que hay células de Hezbolá en Venezuela, pero no sabe quienes están asesinando a los líd…</t>
  </si>
  <si>
    <t>RT @MaPaulaFonseca: La concejala @anateresabernal hoy invitó a los concejales a sumarse a su protesta contra Transmilenio por la Av. 68. La…</t>
  </si>
  <si>
    <t>RT @flamihup: Les molesta el Paro Nacional, pero son indiferentes frente a la miseria, el pésimo servicio de salud y los altos costos de la…</t>
  </si>
  <si>
    <t>RT @NoticiasUno: #NoticiasUno|#PuntoFinal| Adriana Lucía asegura que medios de comunicación le han cerrado las puertas de trabajo por apoya…</t>
  </si>
  <si>
    <t>RT @Citytv: #ReportoEnCity | Así se registran las movilizaciones en la localidad de Antonio Nariño en la Avenida 1 de mayo con calle 12B. 6…</t>
  </si>
  <si>
    <t>RT @MonteriaRadio38: #Córdoba | Con un ‘cacerolazo’, organizaciones sindicales y sociales en Córdoba se suman a una nueva movilización nac…</t>
  </si>
  <si>
    <t>RT @ElSaltoDiario: “El neoliberalismo nace y muere en Chile, compañeras”, se escuchó como pacto feminista durante la apertura del encuentro…</t>
  </si>
  <si>
    <t>Delante de toda la prensa nacional, sin protest, de Cancillería y Presidencia de la República, Guaidó, violó el num… https://t.co/HcUqBW26gC</t>
  </si>
  <si>
    <t>La senadora lee como su protegido, que goza de inmunidad diplomática en Colombia, viola al numeral 1 del articulo 4… https://t.co/cDkqBpZIoI</t>
  </si>
  <si>
    <t>RT @Parcejul: ¿Hasta cuándo nos van a culiar con esta trampa? El establecimiento infiltra vándalos q atacan a Policía y Esmad q se agachan,…</t>
  </si>
  <si>
    <t>RT @jc7Jc777777: https://t.co/0omgTTuRyN</t>
  </si>
  <si>
    <t>RT @petrogustavo: Delante de toda la prensa nacional, sin protest, de Cancillería y Presidencia de la República, Guaidó, violó el numeral 1…</t>
  </si>
  <si>
    <t>La movilización de Bogotá, además de apoyar la reforma a leyes que vulneraron los derechos de los colombianos: la… https://t.co/VYiaqBCZvi</t>
  </si>
  <si>
    <t>RT @uryelso: #ParoNacional21E ESMAD con Peñalosa // ESMAD con @ClaudiaLopez Si no ve la diferencia es porque no la hay. https://t.co/E13zp…</t>
  </si>
  <si>
    <t>RT @gener_usuga: ATENCION | La presidente Interina (E) @JeanineAnez de Bolivia, cierra 53 Emisoras de radio por estar transmitiendo propaga…</t>
  </si>
  <si>
    <t>Protocolos?, aquí se ve con claridad un disparo directo a manifestante pacifico con cartel como defensa, se llama u… https://t.co/McoPdzvRLA</t>
  </si>
  <si>
    <t>RT @petrogustavo: Aquí se ha violado el principio universal de proporcionalidad de la fuerza. Es Suba y es el Esmad. Disparan de manera di…</t>
  </si>
  <si>
    <t>RT @jcuestanovoa: El Esmad en Suba captura y agrede brutalmente a un joven manifestante. @ClaudiaLopez @jsanchezcristo @LuisErnestoGL @petr…</t>
  </si>
  <si>
    <t>RT @MafeCarrascal: Los fanáticos están esperando que yo le salga a aplaudir cada cosa a Claudia como a fuera una foca. Como si mi voto hubi…</t>
  </si>
  <si>
    <t>RT @parescolombia: #ParoNacional21E l A esta hora plantón en Banderas, Kennedy #ParesReporta https://t.co/i3WigRpnPh</t>
  </si>
  <si>
    <t>RT @HOLLMANMORRIS: En este momento manifestación de estudiantes frente a la Universidad Javeriana . Sobre la carrera séptima . #21EelParoS…</t>
  </si>
  <si>
    <t>RT @ChalecosAmarill: 🎥🆘️ #21eElParoContinua || #Colombia || Mientas tanto en Suba ¿A quién le conviene deslegitimar la protesta pacífica?…</t>
  </si>
  <si>
    <t>RT @MoisesAlvaro_: Acaban de retener a estas tres personas cerca de la Plaza Fundacional de Suba, detrás de la Alcaldía Local. Me informan…</t>
  </si>
  <si>
    <t>RT @gener_usuga: París estuvo 45 días sin metro, 2 de 14 líneas funcionaron, El Esmad no llego para abrir el metro a bolillo, tampoco se qu…</t>
  </si>
  <si>
    <t>RT @Citytv: #ParoNacional21E | @petrogustavo estará en cacerolazo por paro nacional en Barranquilla. Dos son las manifestaciones previstas…</t>
  </si>
  <si>
    <t>RT @PODEMOS: La lucha contra el cambio climático es un compromiso que llevamos defendiendo desde hace tiempo. @PabloIglesias: “Nuestro trab…</t>
  </si>
  <si>
    <t>RT @JUANCAELBROKY: Avanza la marcha de la primera línea por la 30 con 45 hacia el oriente. Vía @Escudos_Azules #ParoNacional21E @SenorCai…</t>
  </si>
  <si>
    <t>RT @elespectador: Petro pide a la Cancillería sanciones contra Guaidó por declaraciones en su contra. https://t.co/GPda7jWai6 https://t.co/…</t>
  </si>
  <si>
    <t>RT @EpicuroDeSamos_: Como yo no tengo problemas en aceptar mis errores (ya que la perfección es cualidad de los dioses y no de los humanos)…</t>
  </si>
  <si>
    <t>RT @DefenderLiberta: #ParoNacional21E @Bogota informa que no permitirá que marcha de UN avance hasta la Av. Boyacá con Calle 26. ¿Por qué e…</t>
  </si>
  <si>
    <t>RT @elturbion: Defensores de derechos humanos denuncian al menos 9 detenciones arbitrarias en Bogotá en el marco del #ParoNacional21N https…</t>
  </si>
  <si>
    <t>RT @lbertoortiz: La Policía desconoce orden de la Procuraduría General de la Nación, de no utilizar ese tipo de armas en manifestaciones, l…</t>
  </si>
  <si>
    <t>RT @FundacionGabo: Las protestas sociales han desnudado los sesgos de los periodistas latinoamericanos: @sandraborda en nuestro #EncuentroD…</t>
  </si>
  <si>
    <t>RT @elespectador: #ParoNacional21E Estudiantes de la universidad Distrital, habitantes de las localidades de Ciudad Bolívar, Bosa y Kennedy…</t>
  </si>
  <si>
    <t>Noticias RCN va a transmitir la violación a la ley de la República que ratificó el tratado internacional sobre las… https://t.co/klIhpoQbzV</t>
  </si>
  <si>
    <t>RT @Col_Informa: #ParoNacional21E | Decenas de personas en el parque de los Hippies empiezan a concentrarse para la manifestación. Al menos…</t>
  </si>
  <si>
    <t>RT @XHespanol: #VIDEO 🔵 Cientos de #migrantes centroamericanos, integrantes de una #caravana, intentan irrumpir en México desde Guatemala t…</t>
  </si>
  <si>
    <t>RT @CMILANOTICIA: #21E | Medellín marcha en calma y en medio de muestras artísticas https://t.co/lKIKGVP4Ff</t>
  </si>
  <si>
    <t>RT @RevistaSemana: #ParoNacional21E | Zaperoco batucada es el grupo de percusionistas que por medio del arte quieren mostrar sus inconformi…</t>
  </si>
  <si>
    <t>Esta es mi comunicación como senador de la República y dirigente de la oposición en Colombia a la Cancillería sobre… https://t.co/wjP5hjNREs</t>
  </si>
  <si>
    <t>RT @ContraGodarria: Y que la policía no infiltra las marchas 🙄 https://t.co/1ygFqAJq64</t>
  </si>
  <si>
    <t>RT @sofia_n97: El disparo fotográfico. Cuando les digan que el ESMAD es incapaz de apuntar con sus armas, especialmente la escopeta calibre…</t>
  </si>
  <si>
    <t>Señor embajador comombiano ante la @Almagro_OEA2015 usted fortaleció a los violentos cuando apoyo el paramilitarism… https://t.co/pdayb7XJL4</t>
  </si>
  <si>
    <t>RT @AlexLopezMaya: El Sr Guaido recibido como héroe por @IvanDuque y con su apoyo acusa a @petrogustavo de varios delitos de manera falsa e…</t>
  </si>
  <si>
    <t>En estas imágenes usted puede encontrar como se vive en dictadura. Se desvanece el espejismo, están tratando a los… https://t.co/QWX6LwCW3g</t>
  </si>
  <si>
    <t>RT @DefenderLiberta: #URGENTE Han pasado más de 5 horas desde que 11 jóvenes fueron detenidos en Kennedy sin que sean trasladados a CTP. El…</t>
  </si>
  <si>
    <t>RT @elespectador: #ParoNacional21E Con arengas, música y coreografías los manifestantes avanzan en el #Paro21E https://t.co/p9k1Pey8sp *A…</t>
  </si>
  <si>
    <t>RT @FranciscoDeRoux: Siguen matando líderes campesinos, indígenas, negros, excombatientes. La sociedad no se conmueve y el Estado no los pr…</t>
  </si>
  <si>
    <t>No hay ninguna norma que permita a una alcaldía, al gobierno nacional o a la Policía detener una marcha. La Constit… https://t.co/qwIqr4pnOm</t>
  </si>
  <si>
    <t>RT @petrogustavo: Esta es mi comunicación como senador de la República y dirigente de la oposición en Colombia a la Cancillería sobre la vi…</t>
  </si>
  <si>
    <t>RT @ChalecosAmarill: 🎥🆘️ #21eElParoContinua || #Colombia 💪 A MARCHAR !! ⚠️Hasta que el gobierno nos tome en serio https://t.co/et89UDecgn</t>
  </si>
  <si>
    <t>RT @itamaria83: A VOGUEAR PARA AVANZAR, VIVA EL PARO NACIONAL 💁🏻‍♀️ #21E https://t.co/XUOPMmpWHB</t>
  </si>
  <si>
    <t>RT @ELTIEMPO: En este video se ve como la señora Flor Calderón habla con el Esmad y las autoridades presentes, pidiéndoles que dejen cruzar…</t>
  </si>
  <si>
    <t>RT @ammejiaaguado: @petrogustavo Será q el “Presidente Iván Duque” no la conoce o hace caso omiso? https://t.co/VYo7ds98sq</t>
  </si>
  <si>
    <t>RT @ChalecosAmarill: 🎥🆘️ #21eElParoContinua || #Colombia Banderas #ParoNacional21E ESMAD disuelve marcha con gases lacrimógenos https://t…</t>
  </si>
  <si>
    <t>RT @elespectador: #ENVIVO Organizaciones musicales se unen a las marchas del #ParoNacional21E por la carrera Séptima, en Bogotá. https://t…</t>
  </si>
  <si>
    <t>RT @ChalecosAmarill: 🎥🆘️ #21eElParoContinua || #Colombia #AHora | BATUCADA ⚠️Zaperoco a la altura de calle 39. #ElParoSigue21E #21E #ParoN…</t>
  </si>
  <si>
    <t>Ningún protocolo de.dialogo, el único lugar de Colombia donde ser están reprimiendo las marchas es en Bogotá https://t.co/jvBr8uVRha</t>
  </si>
  <si>
    <t>RT @LukasKapunkt: #Bogotá, here we go again! Septima blocked, thousands on their way to the centre. Gathering at Parque Nacional right now…</t>
  </si>
  <si>
    <t>Transmilenio debe ser negociado por la ciudadanía movilizada. La mayoria de la ciudadanía no quiere extender y perp… https://t.co/x70MzX3ftc</t>
  </si>
  <si>
    <t>RT @maperezpirela: ¡Como la guayabera! Juan Guaidó no será recibido por el presidente del Gobierno español https://t.co/DYWuobyice @teleig…</t>
  </si>
  <si>
    <t>RT @Erickmontes1997: La manifestación de la Universidad Distrital iba en total normalidad hasta que el ESMAD nos hizo una encerrona, no int…</t>
  </si>
  <si>
    <t>RT @ernestosamperp: El Secretario Pompeo volvió para felicitarnos por la destruccion de cultivos ilícitos. ¿Alguien le habrá contado el núm…</t>
  </si>
  <si>
    <t>En estos dias han cometido, una matanza en el bajo Cauca, es la gente de Antioquia a la que están matando. https://t.co/WXvzSY84Td</t>
  </si>
  <si>
    <t>RT @lucianacadahia: El partido verde cree que estamos en los 90'. Trata a las protestas como resultado del desorden y el capricho de jóven…</t>
  </si>
  <si>
    <t>RT @DefenderLiberta: #Atención Este joven resultó herido por el ESMAD en el puente peatonal de la Estación de Transmilenio de Mandalay. Con…</t>
  </si>
  <si>
    <t>RT @DanielRMed: Un policía de civil lanzando un ladrillo lejos de los policías uniformados para provocar caos, el Peñalosista publica la fo…</t>
  </si>
  <si>
    <t>La ignorancia haciéndole caso a Guaidó https://t.co/hNAf4vZy6A</t>
  </si>
  <si>
    <t>RT @carolannfiru: ¿Aló subpresidente? Venga @IvanDuque que si es pa esto. #ParoNacional21E https://t.co/6S4910Nb5Z</t>
  </si>
  <si>
    <t>RT @ChalecosAmarill: 🎥🆘️ #ParoNacional21E || #Colombia ⚠️En #Bogotá, la protesta que arrancó desde el parque Los Hippies, avanza por la Cr…</t>
  </si>
  <si>
    <t>Mi rival no es Robledo, mi rival es la estrategia de la oligarquía para poner otro Duque en el 2022. https://t.co/ZPUbEsd1Uk</t>
  </si>
  <si>
    <t>RT @Danielsuarezvoz: La transmisión en vivo de @Telemedellin nos muestra estas escenas. Hombre levanta las manos pidiendo a ESMAD que se de…</t>
  </si>
  <si>
    <t>RT @Svejk_Soldier: @TinoasprillaH @PoliciaColombia Mijo, estamos en Colombia, donde un gobernador hace negocios de finca con los involucrad…</t>
  </si>
  <si>
    <t>RT @biosierra: Ante la #CrisisClimática Alemania dice adiós a energía nuclear y petróleo invirtiendo firme en solar, eólica y biomasa así c…</t>
  </si>
  <si>
    <t>RT @RadNalCo: #NoticiasDeLaHora A esta hora, manifestantes en Barranquilla están bloqueando la avenida Murillo con un cacerolazo, entre las…</t>
  </si>
  <si>
    <t>RT @carlosmontoyas1: El ESMAD tiro gases a un local donde había gente con menores de edad refugiándose de la lluvia en el parque del Poblad…</t>
  </si>
  <si>
    <t>RT @PremiosPopis: Hoy en un nuevo capítulo de "arrepentidos con Duque": https://t.co/dYStcpkZv1</t>
  </si>
  <si>
    <t>RT @Mistermopilas: Se quejan porque una red social es violenta pero les parece normal que maten líderes todo los días. Son los mismos que e…</t>
  </si>
  <si>
    <t>RT @GomeloProgre: Claudia López 2019: "Tenemos que unirnos los ciudadanos para evitar que Peñalosa nos siga imponiendo el negocio de Volvo…</t>
  </si>
  <si>
    <t>RT @lucianacadahia: Walter Benjamin nos enseñó a pensar que la protesta es una interrupción del orden cotidiano. Es la manera que tienen lo…</t>
  </si>
  <si>
    <t>RT @GustavoBolivar: #PrimeraLínea Para algunos vándalos. Para mí tremendos valientes exponiendo sus ojos y sus vidas para defender a quiene…</t>
  </si>
  <si>
    <t>RT @ChalecosAmarill: 🎥🆘️Desde la UNIVERSIDAD NACIONAL de #Colombia así inicia nueva jornada de movilización en el marco del #ParoNacional21…</t>
  </si>
  <si>
    <t>RT @JUANCAELBROKY: El ESMAD presuntamente atacó a joven a quema ropa con una marcadora. ¿Quién responde ahí? @SenorCaicedo @ktikariza @merv…</t>
  </si>
  <si>
    <t>RT @DanielRMed: La policia de Bogotá no está dejando ingresar a manifestantes a la plaza de Bolívar en la Jiménez con séptima, alcaldesa @C…</t>
  </si>
  <si>
    <t>RT @piedrahitangela: Yo a Robledo ya no le creo nada.</t>
  </si>
  <si>
    <t>RT @DefenderLiberta: ⭕️ #Atención Señores @ClaudiaLopez @LuisErnestoGL Solicitamos se investigue a #ESMAD y @PoliciaBogota por golpiza que…</t>
  </si>
  <si>
    <t>RT @CelioNievesH: Ese ¡conversemos!hoy lo puedo aceptar como excepción, en esta Plaza de Bolívar la multitud los espera para dialogar y aco…</t>
  </si>
  <si>
    <t>RT @Juanaafanador1: La zanahoria y el garrote ya no funcionan. El descontento generalizado de la ciudadanía solo se agudiza con la constant…</t>
  </si>
  <si>
    <t>RT @elpaiscali: Esta es la álgida situación que se vive a esta hora en el centro de Bogotá. Enfrentamientos entre manifestantes e integrant…</t>
  </si>
  <si>
    <t>Cuando les entristece una consigna en un vidrio y no la sangre derramada en las tierras de Colombia https://t.co/zAluOGq2lP</t>
  </si>
  <si>
    <t>RT @MMMaldonadoC: No pude llegar a la plaza de Bolívar. Intenté por varios lugares y en todos me cercó el ESMAD, gaseando</t>
  </si>
  <si>
    <t>RT @PateticosC: 🎥🆘 #21eElParoContinua #Colombia ¡NO ES VENEZUELA! @CIDH @ONU_es 🔥Miren cómo el efectivo del ESMAD apunta con el arma “meno…</t>
  </si>
  <si>
    <t>RT @ActualidadRT: Colombia vive una nueva jornada de protestas masivas, la primera en este año https://t.co/l2tDbGmWml https://t.co/SHNvpiQ…</t>
  </si>
  <si>
    <t>RT @Citytv: #ReportoEnCity | En el barrio Restrepo, habitantes han tomado las calles desde las 6 de la mañana para bloquear las vías y mani…</t>
  </si>
  <si>
    <t>RT @AndrsTrece: https://t.co/7iALfewZhx</t>
  </si>
  <si>
    <t>RT @WRadioColombia: En el Centro Administrativo Municipal CAM de Cali, cientos de manifestantes realizan un 'cacerolazo' para rechazar las…</t>
  </si>
  <si>
    <t>RT @TheMedra: Oye, @ClaudiaLopez. Bellos tus muchachos del #ESMAD tirando lacrimógenos en plena zona residencial. #Paro21E #ParoNacional21E…</t>
  </si>
  <si>
    <t>RT @CNNEE: Cacerolazos en Puerto Rico en medio de las protestas que exigen la renuncia de Wanda Vázquez por el escándalo de los suministros…</t>
  </si>
  <si>
    <t>RT @BLUCaribe: Con risas, así reaccionó @petrogustavo a las acusaciones de @jguaido → https://t.co/C1B4qT61dt #VocesySonidos https://t.co/l…</t>
  </si>
  <si>
    <t>¿La martirizacion no es de los.líderes sociales asesinados? ¿Es martirio salir a protestar contra la matanza o el m… https://t.co/7mrCdDqAHl</t>
  </si>
  <si>
    <t>RT @fernandoman987: En las Americas #ReportoEnCity https://t.co/wuKfV4rkdo</t>
  </si>
  <si>
    <t>RT @ELTIEMPO: Gustavo Petro (@petrogustavo) se une al acerolazo del #21E en Barranquilla ►https://t.co/77qiA161J9 https://t.co/WHkL3vwf0Q</t>
  </si>
  <si>
    <t>RT @ELTIEMPO: El senador Gustavo Petro llegó a la concentración de personas que se reúne a esta hora en la calle Murillo, en #Barranquilla.…</t>
  </si>
  <si>
    <t>En Barranquilla el alcalde no envió el Esmad y ni un solo acto de violencia. No tanto cemento y más derechos. https://t.co/wOgMChcRdB</t>
  </si>
  <si>
    <t>RT @ChalecosAmarill: 🎥🆘️ #21eElParoContinua #ParoNacional21E #ParoNacionalIndefinido en #Cali la lucha sigue ⚠️Si abandonamos las calles e…</t>
  </si>
  <si>
    <t>RT @hyperconectado: “La policia cumplió los protocolos”, Claudia López</t>
  </si>
  <si>
    <t>RT @ChalecosAmarill: 🎥🆘️ #21eElParoContinua || #Colombia 🤬 En las Americas #ReportoEnCity https://t.co/UoLyGh8il4</t>
  </si>
  <si>
    <t>RT @camelloso80: @LuisErnestoGL Puede asomarse por el centro. Estamos varios periodistas resguardados en sitios porque el Esmad no deja de…</t>
  </si>
  <si>
    <t>RT @Hekatombe_: #ParoNacional21E | Cacerolazo en la localidad de Kennedy. Esmad rodea a manifestantes. https://t.co/2LplmrOuSE</t>
  </si>
  <si>
    <t>RT @RGeneracionPaz: Esmad @PoliciaMedellin ataca manifestación pacífica #ParoNacional en Parque del Poblado cuando la gente se resguardaba…</t>
  </si>
  <si>
    <t>RT @parescolombia: #ParoNacional2020 l A esta hora cientos de ciudadanos siguen manifestándose, a pocas cuadras de la Plaza de Bolívar dond…</t>
  </si>
  <si>
    <t>El alcalde de Barranquilla se llama Pumarejo, y su decisión de no enviar el Esmad a la movilización ciudadana es lo… https://t.co/z6h4eX3QR2</t>
  </si>
  <si>
    <t>Como en Chile. https://t.co/5pwUzR4OOe</t>
  </si>
  <si>
    <t>RT @josegreghg: Reitero: los asuntos de la política interna de Colombia y los debates Gobierno- Oposición, son de la exclusiva competencia…</t>
  </si>
  <si>
    <t>En Barranquilla, en medio de la movilización social. https://t.co/0PcROnP2aM</t>
  </si>
  <si>
    <t>RT @LauraHuitaca: @Hekatombe_ los mismos ESMAD rompiendo su tanqueta!!! Mentirosos!!! Asesinos!!! #ProtestasEnColombia #Paro21E https://t.c…</t>
  </si>
  <si>
    <t>RT @wilberpreciado: A muchos no les podrá gustar este man, pero lo bueno de @petrogustavo es que el pueblo de a pie lo quiere. https://t.co…</t>
  </si>
  <si>
    <t>RT @lafm: Alcalde de Medellín dice que responsables de desmanes en El Poblado son infiltrados https://t.co/u7lnabKARL</t>
  </si>
  <si>
    <t>Otro verde que habla de mezquindad. Cuando digo más derechos y menos cemento, me refiero exclusivamente al lugar do… https://t.co/s4WnXhalCU</t>
  </si>
  <si>
    <t>En tiempos de cambio climático nadie que merezca llamarse experto puede proponer uso de buses emisores de CO2. https://t.co/0JJpF62L4e</t>
  </si>
  <si>
    <t>RT @petrogustavo: En Barranquilla, en medio de la movilización social. https://t.co/0PcROnP2aM</t>
  </si>
  <si>
    <t>Menos cemento, más derechos. La movilización debe centrarse en reformas a la ley 100, 50 y 30; es decir, la obtenc… https://t.co/vmYuP3HeIO</t>
  </si>
  <si>
    <t>RT @anateresabernal: "¿Y qué debemos hacer nosotros?: apoyar a nuestros Jóvenes, que son futuro de nuestro país, el futuro de uds mismos"…</t>
  </si>
  <si>
    <t>RT @charry_manager: Este video tiene una denuncia gravísima por favor @LuisErnestoGL @secredistmujer buscar a estas mujeres y a quienes las…</t>
  </si>
  <si>
    <t>RT @CineTvCafe: Cuando a uno le duele más una pared rayada con aerosol que la muerte de un reclamante de tierras, poco o nada hay qué decir…</t>
  </si>
  <si>
    <t>Las fuerzas retardatarias tienen buena parte del gobierno de Quintero en Medellín: educación, seguridad, área metro… https://t.co/o1VdOQJHi8</t>
  </si>
  <si>
    <t>El mundo no compra ya buses diesel, los reemplazan por buses o tranvías electricos, cero emisiones. Este accidente… https://t.co/8ZbDPoyUsa</t>
  </si>
  <si>
    <t>RT @SraPatria: Como a dotora Claudia López ayer todo se le salió de control en Bogotá lo verdes sacaron la excusa más uribista que tienen,…</t>
  </si>
  <si>
    <t>RT @obsddhhmartinhg: El ESMAD agrede a estudiantes, no hay garantías para ejercer la protesta social y la defensa de los derechos humanos…</t>
  </si>
  <si>
    <t>RT @Cpaocalde: Señores @TransMilenio Se les están dañando los buses "nuevos" cc @TransMiseria https://t.co/n4Wb57XeiB</t>
  </si>
  <si>
    <t>RT @charry_manager: ¿El trino de sastoque es igual al de Palacio e igual al de Sanguino, existe alguna duda qué hay un complot del centro c…</t>
  </si>
  <si>
    <t>En realidad esto no sólo es un tema de discriminación ideológica sino una bellaquería contra la mujer. https://t.co/jZ2s4a4t60</t>
  </si>
  <si>
    <t>Si la movilización se cansa, los banqueros vendrán por todo. https://t.co/E5MFInVLEm</t>
  </si>
  <si>
    <t>RT @oxfam_es: 💵 Lograr que el 1% más rico pague solo un 0,5% de impuestos adicionales sobre su riqueza en los próximos 10 años equivaldría…</t>
  </si>
  <si>
    <t>¿Y por qué es un imposible? Si queremos combatir el cambio climático y hacer sostenible financieramente el transpo… https://t.co/kSHB1hYJy7</t>
  </si>
  <si>
    <t>RT @DanielRMed: Si @ElJuliSastoque fuera aplicado sabría que ha sido @petrogustavo y no Fajardo, ni Claudia Lopez, el que ha denunciado la…</t>
  </si>
  <si>
    <t>RT @AidaAvellaE: El Gob de izquierda en España suben el salario de los trabajadores. La consecuencia será: Los trabajadores tendrán mayor c…</t>
  </si>
  <si>
    <t>Ser de centro asexuado significa recibir palo de sus lados, la izquierda pedirá que no salga el Esmad, la derecha q… https://t.co/7dv1hoaQES</t>
  </si>
  <si>
    <t>RT @lucianacadahia: ¿Entenderán los centristas del partido demócrata la importancia de postular a Bernie Sanders? Se juega el futuro de la…</t>
  </si>
  <si>
    <t>Los bancos quieren bajar aun más sus impuestos, resultado, se los cobraran a usted. Si la tasa de utilidad de la b… https://t.co/PLxpqLAuJU</t>
  </si>
  <si>
    <t>RT @AlertaNews24: 🇨🇳 | CORONAVIRUS: Se han examinado a cada pasajero de los últimos vuelos que han salido de Wuhan antes de clausurar el ae…</t>
  </si>
  <si>
    <t>RT @DanielRMed: El poder financiero, el mafioso, la derecha, los medios de comunicación y el “centro” se han unido para debilitar el paro.…</t>
  </si>
  <si>
    <t>RT @GustavoBolivar: @MariaFdaCabal Pobres los que se dejan meter en el discurso de que para luchar por un mejor país hay que vivir en una c…</t>
  </si>
  <si>
    <t>Lo que propone la banca es bajar el salario real de los trabajadores de Colombia para aumentar sus ganancias de cor… https://t.co/BkfDeQ3gv4</t>
  </si>
  <si>
    <t>Aquí esta el origen del atraso democrático de Colombia. Igual que la tierra quedó en manos de terratenientes improd… https://t.co/HnDIIP9iVw</t>
  </si>
  <si>
    <t>Los alcaldes no controlan el Esmad que es una estructura nacional centralizada y de élite. Duque quiso sacarlo en c… https://t.co/bIGgp6hhlz</t>
  </si>
  <si>
    <t>El paro agrario es fundamental para llevar a Duque a negociar un referéndum social que reforme las leyes que han ac… https://t.co/LFhUWwrjPu</t>
  </si>
  <si>
    <t>RT @LuzMBernalParra: Este señor me dejó con el tinto servido, yo quería hablar con él y trabajar por un mejor país pero no le importó, ahor…</t>
  </si>
  <si>
    <t>El odio de clases es el que ustedes practican. Aprueban reformas contra los trabajadores, le ponen impuestos a la… https://t.co/kainihabgH</t>
  </si>
  <si>
    <t>Precisamente porque hay laboriosidad en Antioquia es por lo que hay que quitar el poder de las mafias que extorsion… https://t.co/uFL9UKVWan</t>
  </si>
  <si>
    <t>RT @CamiloAQG: Esto acaba de ocurrir en la estación de la Calle 34 con Avenida Caracas con una ciudadana venezolana con dos niños. El polic…</t>
  </si>
  <si>
    <t>RT @jmkarg: En Bolivia hay un cerco mediático total: ningún medio masivo está mostrando esto que sucedió hoy en Cochabamba por el noveno an…</t>
  </si>
  <si>
    <t>Para proteger la.amazonia hay que suspender las explotaciones petroleras y mineras en la zona de selva, hay que det… https://t.co/ZyOoRyOvNb</t>
  </si>
  <si>
    <t>RT @JoseCarlosTecno: Hola @smilelalis yo soy el director digital de @BluRadioCo y @LaKalle. Hoy hemos cometido un terrible error contigo, d…</t>
  </si>
  <si>
    <t>RT @evoespueblo: El estadium Deportivo Español de Buenos Aires se llenó totalmente esta tarde del 22 de enero para conmemorar 14 años de un…</t>
  </si>
  <si>
    <t>RT @GiordanoBrunoFi: https://t.co/pGWZnnxbbs</t>
  </si>
  <si>
    <t>O el alcalde de Medellín profundiza una estrategia reformadora en la ciudad o los fascistas lo tumban. Toda mi sol… https://t.co/ry8g1o32jj</t>
  </si>
  <si>
    <t>RT @ChalecosAmarill: 🎥🆘️GUAIDÓ INSULTA A @petrogustavo || #Colombia || #Venezuela ⚠️Violando la convención de Viena, la inexperiencia de G…</t>
  </si>
  <si>
    <t>RT @RoaJavier: A pesar de la militarización del país y la campaña de intimidaciones del gobierno de facto, el pueblo de #Bolivia salió a la…</t>
  </si>
  <si>
    <t>¿Que ha pasado con el adulto mayor que se encuentra en Estado de coma por la represión desatada en Medellín? https://t.co/ClYtIQv52G</t>
  </si>
  <si>
    <t>RT @MoisesAlvaro_: ATENCIÓN: a @CancimanceL, diputado del Putumayo por la @ColombiaHumana_ @UP_Colombia le fue retirado el esquema de segur…</t>
  </si>
  <si>
    <t>RT @ChalecosAmarill: 🎥🆘️ #Bolivia NO LO VERAS EN NINGUNA TV Impactante y multitudinaria movilizacion en #ElAlto a14 años del Estado Plurin…</t>
  </si>
  <si>
    <t>En aras del debate: hay que recuperar la propiedad pública del agua en tiempos del cambio climático. La gestión del… https://t.co/w2vEXi7rwS</t>
  </si>
  <si>
    <t>RT @Chileokulto: Un solo grito se escucho en el estadio en la copa Chile.. Piñera CTM, asesinoooo.. Igual que Pinochet!! https://t.co/xgCV3…</t>
  </si>
  <si>
    <t>La verdad esta opinión tuya no la comparto. El centro asexuado es un lugar vacío. https://t.co/wgAeL1xTbj</t>
  </si>
  <si>
    <t>RT @ChalecosAmarill: 🆘𝐄𝐋 𝐒𝐈𝐎𝐍𝐈𝐒𝐌𝐎 𝐐𝐔𝐈𝐄𝐑𝐄 𝐎𝐂𝐔𝐋𝐓𝐀𝐑 𝐋𝐀 𝐑𝐄𝐀𝐋𝐈𝐃𝐀𝐃🆘 🤬Las graves violaciones a los #DDHH que sufre #Palestina a diario son difund…</t>
  </si>
  <si>
    <t>RT @petrogustavo: En aras del debate: hay que recuperar la propiedad pública del agua en tiempos del cambio climático. La gestión del agua…</t>
  </si>
  <si>
    <t>RT @GustavoBolivar: A ver doctora. Me puede mostrar una foto de su hijo en la marcha? Yo sí. Lo qué pasa es que en vacaciones disfrutamos…</t>
  </si>
  <si>
    <t>Si mañana adjudican el contrato de construcción de transmilenio por la 68, eso será lo que verán en los próximos cuatro años.</t>
  </si>
  <si>
    <t>RT @dw_espanol: Combatiendo el neofascismo con arte La hermosa ciudad italiana de Verona tiene una creciente escena de ultra derecha que q…</t>
  </si>
  <si>
    <t>Soy republicano pero esta vez estoy de acuerdo con un príncipe impopular, la última vez que logre acuerdos con un p… https://t.co/QfnysmYEEM</t>
  </si>
  <si>
    <t>El Tiempo cuyo dueño es Luis Carlos Sarmiento, anuncia que cambió el operador de la carretera al Llano: pasó de una… https://t.co/hmqtyyzkTd</t>
  </si>
  <si>
    <t>La política que fortaleió el transporte público de Bogotá, la tarifa diferencial a pasajeros y que destruyó, con de… https://t.co/PyOBPtbKZd</t>
  </si>
  <si>
    <t>Las Cajas de compensación son de las pocas instituciones en Colombia que generan pacto social, convivencia pacífica… https://t.co/4WrMwOuYY0</t>
  </si>
  <si>
    <t>RT @fdbedout: 4.000 desplazados por violencia en Tumaco, masacre en Taraza, muertos que bajan por el río Atrato. Pero tranquilos, en cualqu…</t>
  </si>
  <si>
    <t>En Medellín el 70% de los negocios con finalidad económica son extorsionados. La extorsión generalizada ha sido el… https://t.co/HD2MjLp3sZ</t>
  </si>
  <si>
    <t>La extorsión generalizada le sirve a los políticos tradicionales de Medellín porque así logran mantener electorados… https://t.co/oYNvZQrjRi</t>
  </si>
  <si>
    <t>De cómo parte del animalismo dejó de pelear contra la corrida de toros en Bogotá. Divertirse con muerte de animale… https://t.co/5t6Bu368wd</t>
  </si>
  <si>
    <t>Después que ponen a toda la sociedad a financiar las ineficiencias de electricaribe la venden. Una estafa al pueblo… https://t.co/zXNo4o8rlq</t>
  </si>
  <si>
    <t>RT @Heidy_UP: @ClaudiaLopez escucha y revisa las irregularidades que tiene ya el proceso contractual de esa adjudicación, sobre costos por…</t>
  </si>
  <si>
    <t>RT @MadameSiimone: No que no? Ah @ClaudiaLopez, te valió verga el medio ambiente y la evolución del transporte en Bogotá. Nos quedamos con…</t>
  </si>
  <si>
    <t>No amiga, no quiero que incendien la Santamaría, quiero que la llenen de cultura, propuesta en la que estuviste de… https://t.co/PHL61KnT4w</t>
  </si>
  <si>
    <t>RT @HOLLMANMORRIS: Buenos días. Hoy Bogotá le pide a @ClaudiaLopez cumplir lo dicho en campaña y NO hacer Transmilenio por la Av. 68. La…</t>
  </si>
  <si>
    <t>RT @SebasRiveraAr: 2 de noviembre Concejo hundió POT de Peñalosa x manifestación ciudadana. Ese POT priorizaba Transmilenio y nos condenaba…</t>
  </si>
  <si>
    <t>Los organismos de inteligencia no pueden detectar ni quienes organizan vandalismo, ni quienes son las águilas negra… https://t.co/1AB8GEVwXA</t>
  </si>
  <si>
    <t>Amigo Aurelio, en el 2011 no teníamos un conocimiento profundo de los modos férreos de transporte y su papel en la… https://t.co/mG1SAXhOi0</t>
  </si>
  <si>
    <t>Bogotá tiene acceso a estudios en grado de factibilidad técnica de las troncales de tranvía a Soacha, a Faca, por l… https://t.co/D3pmgA0Mmc</t>
  </si>
  <si>
    <t>Claudia tiene a raíz de la petición de la Procuraduría, la razón suficiente para suspender la licitación de transmi… https://t.co/8P7Wdc3agS</t>
  </si>
  <si>
    <t>Mafe tu sabes que si Claudia quiere, suspende el proceso. https://t.co/ju7HO3qi4n</t>
  </si>
  <si>
    <t>RT @nicolasAmon: Por favor @ClaudiaLopez respete nuestro voto https://t.co/RjfqTJ35CK</t>
  </si>
  <si>
    <t>RT @charry_manager: Por varios trinos como este me doy cuenta que el trino de @petrogustavo sobre el centro asexuado, es muy complejo para…</t>
  </si>
  <si>
    <t>Ud es testigo directo que durante dos años, transmilenio adelantó un proceso de APP, hasta el grado de factibilidad… https://t.co/IfAqpdV5iy</t>
  </si>
  <si>
    <t>RT @piedrahitangela: Es exagerado ese nivel de odio. En done se dijo de quemar la plaza? Por qué exagerar de esta forma? Lo personal no cab…</t>
  </si>
  <si>
    <t>Recibir propuestas en una licitación no establece efectos vinculantes. La ley dice explícitamente queno hay derec… https://t.co/g5pOxviQLC</t>
  </si>
  <si>
    <t>RT @SilvanaEFEC: #ClaudiaSuspendaTM68 Alcaldesa @ClaudiaLopez, hay otro hecho contundente: la Ex Gerente del IDU de Peñalosa es hoy la con…</t>
  </si>
  <si>
    <t>Esta es una mentira. No es cierto que por iniciarse una licitación, solo un juez puede suspenderla, antes de la adj… https://t.co/pZqfCBes4P</t>
  </si>
  <si>
    <t>La embajada de Colombia en Guatemala, le da protección a lavadores de dólares? https://t.co/FT2XKMVhXE</t>
  </si>
  <si>
    <t>RT @anarchytecture: Pobrecita, el mentor la dejo “maniatada”... Uno elige alcalde para que demuestre la misma voluntad política que desple…</t>
  </si>
  <si>
    <t>RT @nicolasAmon: Apenas Peñalosa llegó a la alcaldía suspendió la licitación de Transmienio por la Boyaca. ¿Ahora Claudia dice que no pue…</t>
  </si>
  <si>
    <t>Bogotá no pierde esos recursos, porque se redireccionan a otra obra. https://t.co/JBomH09O6u</t>
  </si>
  <si>
    <t>RT @nicolasAmon: Si Claudia licita TM 68 olvídense d ela promesa de extender linea del metro hasta Suba y Engativa. Claudia embaucó a sus…</t>
  </si>
  <si>
    <t>Señor Enrique Peñalosa si se conserva el proyecto tranvía 68, que usted suspendió, se sigue alimentando el metro.… https://t.co/6i5VOzhj4f</t>
  </si>
  <si>
    <t>RT @HOLLMANMORRIS: Le pido a la Alcaldesa @ClaudiaLopez que utilice los estudios de factibilidad del metro ligero de la av 68 y deje atrás…</t>
  </si>
  <si>
    <t>Todos los funcionarios tienen prohibido entregar recursos públicos a corridas de toros por sentencia de la Corte Co… https://t.co/BRMQ0vgSJB</t>
  </si>
  <si>
    <t>RT @Heidy_UP: @ClaudiaLopez cumpla con lo que le prometió a la ciudadanía, no le haga ese daño a Bogotá por favor. #ClaudiaSuspendaTM68 #C…</t>
  </si>
  <si>
    <t>RT @nicolasAmon: Toda licitación se puede suspender antes de adjudicarse. Claudia no mienta.</t>
  </si>
  <si>
    <t>RT @HidalgoHxH: -¿y tu país qué? ¿ya superó el uribismo? 😊 -sí, con Duque 🙃 -¿el de Uribe? 🤔 -sí 😕 -.... bueno, al menos superaron el peña…</t>
  </si>
  <si>
    <t>RT @CarlosCarrilloA: Muchos de los nuevos concejales del @PartidoVerdeCoL parecen decididos a seguir el ejemplo de los “cheerleaders” verde…</t>
  </si>
  <si>
    <t>RT @MaPaulaFonseca: Y la alcaldesa todavía pretendía que le creyéramos que haría el metro elevado y no haría las troncales. Claro que siemp…</t>
  </si>
  <si>
    <t>jajajj; a menos que alguien piense que hablar de hormonas sea una bajeza. Pero le pongo una tarea si quiere cumplir… https://t.co/rgEOwjUW8P</t>
  </si>
  <si>
    <t>Se ha concretado en medio de la mentira, la continuación del proyecto de Peñalosa. Lo que sigue es puro transmileni… https://t.co/E7qDzS9mGk</t>
  </si>
  <si>
    <t>RT @HOLLMANMORRIS: Bogotá no merecía seguir viviendo en el pasado de buses contaminantes, la capital votó por un cambió. Seguimos en el sig…</t>
  </si>
  <si>
    <t>Miren estas falacias. Una vez se adjudica el contratista adquiere derechos, cierto. Pero el transmilenio por la 68… https://t.co/5RbUkpRDWm</t>
  </si>
  <si>
    <t>RT @cielo_rusinque: Adjudicado el TM68 y López sabiendo de su inviabilidad y habiéndose comprometido en campaña a no hacerlo, se lavó olímp…</t>
  </si>
  <si>
    <t>No fué contra viento y marea. En la ciudad desde hace décadas se impone la decisión de los transportistas privados.… https://t.co/UchDe6Yy65</t>
  </si>
  <si>
    <t>RT @JulianRoman: Las primeras 4 promesas rotas de Claudia López - Las2orillas https://t.co/xUte2b88j5</t>
  </si>
  <si>
    <t>RT @DanielRMed: Les dijimos que se estaba reeligiendo Peñalosa en cuerpo ajeno pero como la idea era descalificar, atajar, perjudicar o cas…</t>
  </si>
  <si>
    <t>RT @jerojasrodrigue: El negocio de Peñalosa: amarrar a Bogotá al contaminante sistema de buses de Transmilenio. Solo una decisión política…</t>
  </si>
  <si>
    <t>RT @jcuestanovoa: Se impusieron los mangates del carbono en Bogotá. Adjudicaron la licitación de Transmilenio por la avenida 68. Los intere…</t>
  </si>
  <si>
    <t>RT @HOLLMANMORRIS: Mi reacción al anuncio de la adjudicación por la alcaldía de @ClaudiaLopez de Transmilenio por la Av 68 . Pierde Bogotá,…</t>
  </si>
  <si>
    <t>RT @KikePrivatiza: Se lo advertimos al Polo, no nos escuchó 🙉</t>
  </si>
  <si>
    <t>RT @KikePrivatiza: Claudia, muy al estilo de su Maestro y Mentor, adjudicó la Licitación sin escuchar las observaciones de la @PGN_COL. Pa…</t>
  </si>
  <si>
    <t>RT @cielo_rusinque: Peñalosa compro un huevito, Duque lo cocino, López le hecho la sal y el consorcio eucarístico con el de la infraestruct…</t>
  </si>
  <si>
    <t>Es increíble que una persona que haya metido al país en una consulta anticorrupción, no haya sido capaz siquiera de… https://t.co/F0B2xRLHl1</t>
  </si>
  <si>
    <t>La adjudicación que ud, Claudia hizo de transmilenio en la 68, es de su entera y exclusiva responsabilidad, tenía u… https://t.co/1miW3hcWZJ</t>
  </si>
  <si>
    <t>RT @Sofia_Duran9: - Robledo se calló con el carrusel de los Moreno. - Fajardo no quiso escuchar, Ni quiere hablar de hidroituango. - Cl…</t>
  </si>
  <si>
    <t>RT @Betocoralg: Ahora el “Divo” que pasea a las amigas en las camionetas blindadas que le proporciona el estado, se fundamenta en buscar tw…</t>
  </si>
  <si>
    <t>RT @negrogaviria: Que sentirá el Polo ahora que su función es la de papel toilet de la alcaldía? @ClaudiaLopez se limpio el c... con ellos.</t>
  </si>
  <si>
    <t>El proyecto metro subterráneo quedó en la fase se estructuracion de la licitación para su construccion y fue suspe… https://t.co/DZ8Gf79LCc</t>
  </si>
  <si>
    <t>RT @MariaMatusv: Adjudicaron Transmilenio por la Av. 68,era obvio el engaño.El metro elevado está diseñado para ser la continuación de Tran…</t>
  </si>
  <si>
    <t>RT @nicolasAmon: La troncal 68 necesita la troncal 7ma para tener la supuesta demanda que el FND dice que tiene. O sea que alguna excusa s…</t>
  </si>
  <si>
    <t>RT @kthp25: Mira que llamar ”incendiario” a Petro por pedir que no se hagan corridas de toros es de un nivel de estupidez inigualable.</t>
  </si>
  <si>
    <t>RT @DanielBejarano_: Me alcance a ilusionar con un tranvia por la Av 68, aquí les dejo un clip de un video que grabe en Berlin, Alemania y…</t>
  </si>
  <si>
    <t>RT @nicolasAmon: Mientras en todo el mundo desarrollado están desmontando puentes peatonales, la anacrónica troncal de la 68 tendrá 15 puen…</t>
  </si>
  <si>
    <t>M entrevista en semana con Vicky Dávila sobre Guaidó y otros temas como el transmilenio de la 68 https://t.co/pv1648lXh2</t>
  </si>
  <si>
    <t>Esto es una mentira. Si se compraran costos de infraestructuras, costos del material rodante y costos operacionales… https://t.co/bnPFcW80Mo</t>
  </si>
  <si>
    <t>RT @HOLLMANMORRIS: Conconcreto: empresa sancionada por la SIC recibe millonaria adjudicación en la licitación de la Av. 68. Qué tristeza…</t>
  </si>
  <si>
    <t>RT @CamiloCriollo: Sanguino, sé que estás defendiendo tu cuota burocrática en la alcaldía. Pero de una vez: Petro cambió la decisión a tren…</t>
  </si>
  <si>
    <t>RT @ManosLimpiasCo: Alcaldesa @ClaudiaLopez estamos hablando de esta solicitud de la @PGN_COL. ¿Se la pasó Ud por la faja? https://t.co/1z…</t>
  </si>
  <si>
    <t>Esto no es cierto. El dilema hoy es entre transporte cero emisiones de CO2 y transporte emisor. Si las troncales de… https://t.co/5CxLfGxIcW</t>
  </si>
  <si>
    <t>Me reuní con el gobernador del Magdalena, Carlos Caicedo, a quien apoyamos. Descubrí que el municipio con mayor ta… https://t.co/m6dgN5r8Yk</t>
  </si>
  <si>
    <t>RT @alexbernalradio: Andres Ortiz ex secretario de Peñalosa está casado con la hija del dueño de Conconcreto, empresa a la que se adjudicó…</t>
  </si>
  <si>
    <t>Esto es mentira. No hay norma escrita que le prohíba a un alcalde suspender una licitación. https://t.co/XVHVgJdgGT</t>
  </si>
  <si>
    <t>RT @lbertoortiz: Encapuchados en protesta serían agentes de policía ¿que tiene este gobierno que decir sobre esto? https://t.co/mmTCNDwXI4</t>
  </si>
  <si>
    <t>RT @elettoro: Durante toda la mañana grupos de policías, en la terminal del norte, han estado exigiendo a los jóvenes sus celulares para r…</t>
  </si>
  <si>
    <t>Esta actividad de la policía en medellín de mirar el contenido de las conversaciones en los celulares es abiertamen… https://t.co/It5G1egABB</t>
  </si>
  <si>
    <t>Como dije anteriormente, al meter buses por la 68, tendrán que meter buses articulados en la séptima.</t>
  </si>
  <si>
    <t>RT @psicopolitico__: Conconcreto: empresa sancionada por la SIC recibe millonaria adjudicación en la licitación de la Av. 68;url=https://t.…</t>
  </si>
  <si>
    <t>RT @ByHumana: Hambre en Venezuela agrava crisis social En Colombia @petrogustavo en Semana https://t.co/3nqJ5N9KFc</t>
  </si>
  <si>
    <t>RT @KikePrivatiza: Lo que para Delhi es cada Estación: AMPLITUD DE ESPACIO... ... Acá solo se ve esa amplitud en los pocos Portales, y una…</t>
  </si>
  <si>
    <t>Un millón de iraquíes salen a las calles en Bagdad para pedir el retiro de tropas extranjeras de su país. https://t.co/sa7BwmLkEs</t>
  </si>
  <si>
    <t>También este concepto del conpes es mentiroso. Porque la troncal de buses no va a aumentar la demanda ya existente… https://t.co/QPNptKzik6</t>
  </si>
  <si>
    <t>Estas opiniones por ejemplo inducen a error, porque el proyecto metro subterráneo ya tenía alimentación con las tro… https://t.co/KdN7jTlYHH</t>
  </si>
  <si>
    <t>RT @ma_eugeniam: Azaroso ver al periodismo local normalizando el urbanismo funcionalista del medio siglo pasado. No, @YesidLancheros, no se…</t>
  </si>
  <si>
    <t>RT @graffitiborrao: @sergio_fajardo Lo primero que hizo Fajardo cuando llegó a la alcaldía, fue nombrar a Juan Felipe Gaviria como gerente…</t>
  </si>
  <si>
    <t>Pues si, Claudia le entregó el transmilenio de la 68, a Conconcreto que es una de las constructoras de Hidroituango</t>
  </si>
  <si>
    <t>Esto no es cierto. Igual que yo suspendí licitaciones, ej el transmilenio por la séptima ya adjudicado, o Peñalosa… https://t.co/7WR5kBkSRH</t>
  </si>
  <si>
    <t>Un centro asexuado en la biopolitica es un inexistente. https://t.co/8kYfP5rZMM</t>
  </si>
  <si>
    <t>RT @eldeltapabocas: ¿Ya se dieron cuenta que lo que hizo Peñalosa (al ver que tratar de meter más Transmi no tenía apoyo popular) fue usar…</t>
  </si>
  <si>
    <t>RT @CarlosCarrilloA: La adjudicación de hoy no es responsabilidad de Peñalosa, la alcaldesa de Bogotá se llama @ClaudiaLopez, ella tomó hoy…</t>
  </si>
  <si>
    <t>RT @WinchesterMusk: ¡Claudia López engañó a sus electores! Es mentira que no se pueda suspender una licitación: Hace 4 años, el ex alcalde…</t>
  </si>
  <si>
    <t>El problema hoy no es con Peñalosa, es con usted, que adjudicó un modo de movilidad depredador, de costos creciente… https://t.co/7FNnUCrOJQ</t>
  </si>
  <si>
    <t>RT @DavidRacero: Ella es Alexandra Rojas, hoy Rep. Legal suplente de empresa contratada para realizar estudios TM Av 68. Lamentable que a…</t>
  </si>
  <si>
    <t>Ya desconocieron.el humedal "El Burrito" que se reconoció la alcaldía de Bogotá Humana, hasta esos documentos parec… https://t.co/fF254A8F0C</t>
  </si>
  <si>
    <t>RT @JulieDuque1: Conconcreto, empresa sancionada por la SIC, recibe millonaria adjudicación en la licitación de la Av. 68 Eso sin mencionar…</t>
  </si>
  <si>
    <t>RT @Juanaafanador1: Sanchez viene dirigir la Financiera de Desarrollo Nacional, la misma que tomó decisiones sobre el metro por encima del…</t>
  </si>
  <si>
    <t>RT @Hispantv: Los medios de comunicaciones del mundo se hacen eco de las multimillonarias marchas celebradas en todo #Irak contra la ocupac…</t>
  </si>
  <si>
    <t>RT @ClaudiaLopez: ¡Transmilenio es un sistema colapsado! Por eso no lo haremos por la 7ma. ni la 68. Con esos recursos haremos completa la…</t>
  </si>
  <si>
    <t>RT @susanamuhamad: Desinforman a la alcaldesa @ClaudiaLopez cuando le dicen que no hay estudios, @colinita sigue rodeada de los funcionario…</t>
  </si>
  <si>
    <t>RT @DavidRacero: Concejal, muchas gracias por informarle a la ciudadanía que uds., en lugar de gobernar, van a limitarse a administrar las…</t>
  </si>
  <si>
    <t>RT @JulianRoman: La vida sigue... Igual.</t>
  </si>
  <si>
    <t>RT @petrogustavo: M entrevista en semana con Vicky Dávila sobre Guaidó y otros temas como el transmilenio de la 68 https://t.co/pv1648lXh2</t>
  </si>
  <si>
    <t>La firma Conconcreto está ligada a Fajardo quien nombró a sus miembros de junta directiva en cargos se su administr… https://t.co/jFaluTtd1w</t>
  </si>
  <si>
    <t>RT @SgaviriaA: @juliandezubiria Yo fui el joven que me le acerque al señor Uribe y no fue en una playa en Santa Marta como dicen los medios…</t>
  </si>
  <si>
    <t>RT @graffitiborrao: Hilando delgado (o ni tanto) se llega a los nexos de @sergio_fajardo con el GEA y este con uno de sus mejores jugadores…</t>
  </si>
  <si>
    <t>Nuevo lider social asesinado en Antioquia. Están masacrando al pueblo antioqueño. https://t.co/CqswGbOVhR</t>
  </si>
  <si>
    <t>Lo que estamos presenciando es una operación de salvamento de Conconcreto después de sus desastre de Hidroituango,… https://t.co/EOA4GkGxk1</t>
  </si>
  <si>
    <t>Al mantener a funcionarios ligados al proyecto metro elevado de Peñalosa, en IDU, Metro de Bogotá, en Transmilenio,… https://t.co/nn7EYSIF7R</t>
  </si>
  <si>
    <t>RT @GustavoBolivar: Tristeza no ¡Qué porquería! 1-Nombra en IDU a Gerente d Financiera de Desarrollo Nal q modificó con trampa objeto del c…</t>
  </si>
  <si>
    <t>La manipulación. https://t.co/Yk7gxAWKua</t>
  </si>
  <si>
    <t>¿ Notan el mensaje subliminal vestido de periodismo? https://t.co/NXaxiijrYv</t>
  </si>
  <si>
    <t>¿ Notan el mensaje subliminal vestido de periodismo en @RevistaSemana ? El sereno vs el colérico, cuando es la pol… https://t.co/YyzN0rDREM</t>
  </si>
  <si>
    <t>Aquí se evade la pregunta que sí genera la última sentencia de la Corte Constitucional hecha por un magistrado taur… https://t.co/1kkV3w2oRp</t>
  </si>
  <si>
    <t>RT @geoduque: ¿Ya vieron por qué Petro y Hollman no se unieron con Claudia para la Alcaldía? Unirse al modelo de Transmilenio y dejar la m…</t>
  </si>
  <si>
    <t>RT @MirandaBogota: Como miembro de Partido Verde y Representante a la Cámara de Bogotá, entendiendo que mis ÚNICOS jefes son los ciudadanos…</t>
  </si>
  <si>
    <t>Si Bernie Sanders se convierte en el candidato demócrata, liderando su tendencia progresista, podría derrotar a Tru… https://t.co/4m0L5fx1nr</t>
  </si>
  <si>
    <t>RT @Ivager69: Conconcreto son los Aristizabal, una familia de arquitectos que también tiene participación en la sociedad Aristizabal, Fajar…</t>
  </si>
  <si>
    <t>Se desploma Bayer por las sentencias judiciales que dicen que el glifosato sí produce cáncer. Detener las fumigaci… https://t.co/fvze4XGrt3</t>
  </si>
  <si>
    <t>El cartel de Sinaloa anuncia que matará a nuestro diputado de la Colombia Humana en Putumayo. @CancimanceL La UNP le quita la seguridad.</t>
  </si>
  <si>
    <t>RT @lbertoortiz: Este uniformado resultó gravemente herido cuando el artefacto explosivo que iba a lanzar a los manifestante de la pasada m…</t>
  </si>
  <si>
    <t>RT @petrogustavo: El cartel de Sinaloa anuncia que matará a nuestro diputado de la Colombia Humana en Putumayo. @CancimanceL La UNP le quit…</t>
  </si>
  <si>
    <t>Jorge, la cantidad ofrecida de vivienda no depende del suelo físico de expansión. Usted crea suelo para vivienda y… https://t.co/HHcEAyzgVu</t>
  </si>
  <si>
    <t>El salario no es solo lo que recibe directamente el trabajador y lleva a su hogar, una parte de su salario se vuelv… https://t.co/KOTQCcZCFR</t>
  </si>
  <si>
    <t>La reducción del salario real, así como la ampliación de la jornada laboral, son las más arcaicas formas de increme… https://t.co/eV2SRu5Tdj</t>
  </si>
  <si>
    <t>La decisión de arborizar todo el borde que rodea a Bogotá, como las ciudades modernas lo hacen, debe ir acompañada… https://t.co/EjkxeabwVK</t>
  </si>
  <si>
    <t>RT @luiszolmedo: @manuel_rodb @ClaudiaLopez @ReservaVDHammen @JBotanicoBogota 1/2. Las 27ha fueron entregada a @jbbogota para profundizar s…</t>
  </si>
  <si>
    <t>La expansión urbanística en los municipios aledaños que destruye el territorio sagrado de la Sabana, es producto de… https://t.co/uibAVhN7M8</t>
  </si>
  <si>
    <t>Los medios de transporte que se han vuelto claramente femeninos según encuesta de movilidad, son el caminar, el SI… https://t.co/hOQRhtrUWS</t>
  </si>
  <si>
    <t>Solo aumentando la capacidad del transporte masivo en función de la comodidad y el espacio del usuario podría lleva… https://t.co/mVbYexzkgY</t>
  </si>
  <si>
    <t>Excelente https://t.co/s1FANz9PEz</t>
  </si>
  <si>
    <t>La universidad acaba de becar a mi hija Sofia por su excenlencia académica en Europa. Buen viento y buena mar en un… https://t.co/2XyhrRtn4b</t>
  </si>
  <si>
    <t>RT @EpicuroDeSamos_: Petro // Duque (Las imágenes gritan por sí solas). Muy pertinente hacer el debate sobre la parcialidad de la pren…</t>
  </si>
  <si>
    <t>Laura precisamente por el ex, por la apuesta a la paz, por la lucha permanente por la Paz, es que podemos hablar co… https://t.co/8ohFlTQUOx</t>
  </si>
  <si>
    <t>RT @petrogustavo: La universidad acaba de becar a mi hija Sofia por su excenlencia académica en Europa. Buen viento y buena mar en un mundo…</t>
  </si>
  <si>
    <t>Arriba la foto real, abajo la foto que publica AP de la presencia de activistas por justicia climática en Davos. ¿… https://t.co/xZNDZhfIR0</t>
  </si>
  <si>
    <t>Andrea, no dudo que el magistrado taurino de la Corte Constitucional, quien sin declararse impedido hizo esta sente… https://t.co/d0B9pq1fvD</t>
  </si>
  <si>
    <t>2. La sentencia de la anterior corte no fue derogada y allí se establece la prohibición de invertir recursos públic… https://t.co/7Anw3rDWiC</t>
  </si>
  <si>
    <t>Di la orden de proteger el humedal el burrito y de comprar los terrenos para juntar los humedales "El Burro y el "b… https://t.co/IzwJVunjur</t>
  </si>
  <si>
    <t>Los árboles que sembramos han crecido a pesar de todo. Sembramos 16.000 árboles allí con el jardín botánico en el á… https://t.co/cEaNToFz8f</t>
  </si>
  <si>
    <t>Ajá, Hitler era diestro. https://t.co/tlwaujhbRt</t>
  </si>
  <si>
    <t>RT @neoflash5: @petrogustavo @RevistaSemana 20 años de este siglo en tres portadas como a facturado esta revista https://t.co/ylexLF5PVj</t>
  </si>
  <si>
    <t>Medellín bajo extorsión. Aquí en boca de uno de sus integrantes puede ver cómo las alianzas de mafias con la políti… https://t.co/QwGNbNoIki</t>
  </si>
  <si>
    <t>Duque deshace una política de Uribe que le.costó enormes sumas al sistena de salud en favor de los.importadores de… https://t.co/jg4fRu1IMs</t>
  </si>
  <si>
    <t>Una minería sustentada en el petróleo, el carbón y el gas no tiene futuro en el.planeta. La caída de la mineria en… https://t.co/GECYUanzOF</t>
  </si>
  <si>
    <t>RT @wicarni: "La clase élite que vive en Bogotá, Medellin, Barranquilla, Cali; es la clase más dañina que le está haciendo daño a este país…</t>
  </si>
  <si>
    <t>RT @DianaDefensora: Tener que hacer estos trinos nos llenan de dolor, indignación e impotencia. Esta tarde fue asesinado el lider social de…</t>
  </si>
  <si>
    <t>Esto se llama también manipular. Si la alcaldesa hubiera querido un proyecto diferente simplemente suspende la.lici… https://t.co/Y7OpLrpw1I</t>
  </si>
  <si>
    <t>RT @luisrodevia: O sea que ya todo el mundo sabe, lo que toda la elite de este pais sabia, pero se hacian los mensos por que les convenía.…</t>
  </si>
  <si>
    <t>RT @edwdarodri: Con el señor @petrogustavo se estuvieran implementando los acuerdos de paz con el ELN. los lideres sociales tendrían mayo…</t>
  </si>
  <si>
    <t>RT @ComiteSanturban: #AtenciónBOGOTÁ Minesa está asustada porque nos vamos a movilizar en Bogotá por Santurbán y demás páramos del país el…</t>
  </si>
  <si>
    <t>Con todo y anuncio del.Presidente de la República el atentado al jefe de las FARC parece ser otro falso positivo co… https://t.co/hlM6Y9d754</t>
  </si>
  <si>
    <t>El Transporte público en Bogotá ha sido de buses y privado desde hace 70 años. Desmantelaron los tranvías eléctri… https://t.co/3dT2XMEqhW</t>
  </si>
  <si>
    <t>La máxima indemnización que hubiera tenido un licitante antes de la adjudicación de la av. 68 era devolverles la pl… https://t.co/J4KY1DbFZ8</t>
  </si>
  <si>
    <t>Después de 70 años de construir movilidad de solo buses, en el que se destruyeron la red de tranvias y buses eléctr… https://t.co/PRdAvSiv8B</t>
  </si>
  <si>
    <t>RT @petrogustavo: El Transporte público en Bogotá ha sido de buses y privado desde hace 70 años. Desmantelaron los tranvías eléctricos, l…</t>
  </si>
  <si>
    <t>RT @elespectador: Ernesto Cardenal: 95 años entre la lucha y la poesía https://t.co/4fOmSfFjyK https://t.co/D7PtUnm6yW</t>
  </si>
  <si>
    <t>Seremos destruidos por.el cambio climático, sino actuamos. Ven la urgencia de dejar el carbon.y el petróleo? La urg… https://t.co/us8s8otpMM</t>
  </si>
  <si>
    <t>Están masacrando de nuevo el pueblo del Putumayo. Allí ya se desencadenó un genocidio en tiempos de Uribe. ¿Un pr… https://t.co/4B4HdzFqkH</t>
  </si>
  <si>
    <t>RT @Juanaafanador1: Diego Sánchez fue el encargado de la estructuración del proyecto metro en la FDN, fue también el responsable de la modi…</t>
  </si>
  <si>
    <t>De los 118 km de troncales férreas, incluida el metro subterráneo, que Bogotá Humana logró estudiar hasta niveles d… https://t.co/y5oLytNrEK</t>
  </si>
  <si>
    <t>¿Es que si el metro elevado solo llega a la calle 72, entonces para qué sirve la troncal de transmilenio de la av.… https://t.co/GeSE49UWw6</t>
  </si>
  <si>
    <t>Llevar regiotram del norte en troncal que se desvía por la 9a hacia occidente, obliga a pasajeros de Zipa, Cajicá… https://t.co/PIDkMIr2Mc</t>
  </si>
  <si>
    <t>La FDN no realizó estudios de troncales de tranvía en Bogotá. Los hicieron empresas privadas interesadas en APP Pe… https://t.co/D9pLBegaNN</t>
  </si>
  <si>
    <t>El gran arquitecto de la destrucción del proyecto del metro subterráneo en la Financiera de Desarrollo Nacional del… https://t.co/xtoHFtgcDv</t>
  </si>
  <si>
    <t>RT @AndresCamiloHR: Esta es la respuesta de la Cancillería a la carta del Senador @petrogustavo sobre la intromisión de @jguaido La respu…</t>
  </si>
  <si>
    <t>Va a quedar Aida Merlano libre por la estupidez diplomática de Duque. En el fondo Char, Gerlein y Duque no quieren… https://t.co/cTYZzEXuyH</t>
  </si>
  <si>
    <t>Así Diego le pido que presione a la alcaldía para que restituya la resolución que se expidió bajo mi gobierno de pr… https://t.co/IYKFdc4yAe</t>
  </si>
  <si>
    <t>Las enfermeras y enfermeros no tienen porque estar contratada(o)s bajo contratos civiles de corto término, cumplen… https://t.co/hlQrDCl6Pa</t>
  </si>
  <si>
    <t>RT @Juanaafanador1: El recién nombrado director del IDU Diego Sánchez, fue uno de los responsables de algunas irregularidades destacadas po…</t>
  </si>
  <si>
    <t>RT @HOLLMANMORRIS: Vean esto. En sólo 13 días de Alcaldía, Peñalosa tumbó en 2016 la licitación de buses electricos que había dejado la Bog…</t>
  </si>
  <si>
    <t>¿Si en Medellín se puede por qué no en Bogotá? https://t.co/0kj05XDvue</t>
  </si>
  <si>
    <t>RT @macdonal5: Un político del magdalena de apellido picciotti viajó a Bogotá a denunciar en la @FiscaliaCol de LUÍS CAMILO OSORIO ISAZA lo…</t>
  </si>
  <si>
    <t>RT @DavidRacero: Y Juan Guaidó a quién le va a dar la orden para atender la solicitud de extradición? A los rastrojos?</t>
  </si>
  <si>
    <t>Precisamente porque Guaidó tiene inmunidad en el.pais los funcionarios colombianos no pueden permitirle que esté en… https://t.co/duqz1ghWBU</t>
  </si>
  <si>
    <t>Conozco personalmente a David Chopehuanca, candidato a la vicepresidencia al lado de Luis Arce a la presidencia de… https://t.co/mOWao6Gbjb</t>
  </si>
  <si>
    <t>RT @AlirioUribeMuoz: #ParaTraerAAída Qué @jguaido le pida a sus amigotes los rastrojos que la pasen por la frontera.</t>
  </si>
  <si>
    <t>Ahora Aida debe cuidarse de"Los Rastrojos".</t>
  </si>
  <si>
    <t>Luchar por el metro subterráneo y el modo férreo de movilidad en Bogotá, luchar por la educación superior para toda… https://t.co/e8VDZ3uYM8</t>
  </si>
  <si>
    <t>Me da impresión en cambio que Claudia López y quienes la siguen no están interesadas en ver el papel depredador de… https://t.co/ewzzjdXcTL</t>
  </si>
  <si>
    <t>RT @Heidy_UP: 1/2Estimada @ClaudiaLopez con @petrogustavo somos una coalición que será poder en el 2022, hemos manifestado ser bancada inde…</t>
  </si>
  <si>
    <t>La ausencia de un sistema de salud preventiva y pública ha matado estos cinco niños indígenas en Chocó. El sistema… https://t.co/AIlLQN5swx</t>
  </si>
  <si>
    <t>RT @petrogustavo: Ahora Aida debe cuidarse de"Los Rastrojos".</t>
  </si>
  <si>
    <t>RT @susanamuhamad: No alcaldesa @ClaudiaLopez, no es destruir la ciudad. @petrogustavo fue alcalde de Bogotá, exijimos respeto. Es ejercer…</t>
  </si>
  <si>
    <t>RT @amaurichamorro: 🔴#URGENTE🔴 | Primeras imagenes de la ex senadora colombiana #AidaMerlano detenida en #Venezuela. Su seguridad es brind…</t>
  </si>
  <si>
    <t>Si Francisco Barbosa quiere ser un buen fiscal, debe mantener absoluta independencia del gobierno. Barbosa debe com… https://t.co/SizjSyJUJY</t>
  </si>
  <si>
    <t>RT @pablom_m: Los bomberos franceses también están en huelga en protesta por la reforma de las pensiones que pretende imponer Macron. La po…</t>
  </si>
  <si>
    <t>RT @LuchoXBolivia: Soy Lucho Arce y junto a David Choquehuanca integramos el binomio del MAS - IPSP para recuperar la paz, la democracia y…</t>
  </si>
  <si>
    <t>Colombia Humana buscará restablecer la institucionalidad perdida en el campo: la compra estatal de cosechas, la ref… https://t.co/jNYtUTfM1Z</t>
  </si>
  <si>
    <t>RT @susanamuhamad: También hubo un retroceso en la pobreza extrema de 2.0% en el 2015 a 2.5% en el 2019, las cifras son frías pero la reali…</t>
  </si>
  <si>
    <t>RT @susanamuhamad: Hoy hubo interesante debate desde el @ConcejoDeBogota sobre tarifas de transporte, todas las bancadas están en desacuerd…</t>
  </si>
  <si>
    <t>RT @ricardobonillag: Una opinión no destruye un proyecto político ni alcaldía, inacción y malas decisiones, en cambio, si lo hacen @Claudia…</t>
  </si>
  <si>
    <t>RT @anateresabernal: Como vocera de la bancada de @ColombiaHumana_ en el @ConcejoDeBogota disiento de esta afirmación de @ClaudiaLopez por…</t>
  </si>
  <si>
    <t>La desigualdad social disminuyó en mi gobierno al mínimo histórico estadísticamente, aunque aún falta mucho por hac… https://t.co/LQHXXo3cPr</t>
  </si>
  <si>
    <t>RT @DanielRMed: Cuanta soberbia, cuanto autoritarismo, del mismo modo actuaba Uribe cuando decía que Petro queria destruir el país por denu…</t>
  </si>
  <si>
    <t>RT @petrogustavo: Colombia Humana buscará restablecer la institucionalidad perdida en el campo: la compra estatal de cosechas, la reforma a…</t>
  </si>
  <si>
    <t>Apenas elegido Peñalosa fue a la marcha antitaurina a la que yo asistí con mi hija, duró diez minutos allí, se fue… https://t.co/NU5gLxrrx8</t>
  </si>
  <si>
    <t>RT @ChalecosAmarill: 🎥🆘️ #coronavirus ⚠️Así va la construcción del primer hospital especialmente dedicado para atender a los pacientes de…</t>
  </si>
  <si>
    <t>Las invito a la acción política, hora de transformar a Colombia. Que la mujer se empodere para tener más justicia y… https://t.co/PVrRMZlFBe</t>
  </si>
  <si>
    <t>Precisamente porque la plaza es publica es que se puede evitar con mayor razón las corridas de toros. La sentencia… https://t.co/xt75q461YF</t>
  </si>
  <si>
    <t>La sentencia del magistrado taurino de la Corte constiticional trató de obligarme a entregar la plaza a corridas de… https://t.co/0voLZm6SQO</t>
  </si>
  <si>
    <t>Duque en realidad quiere es proteger a la mafia política de las declaraciones de Aida Merlano. https://t.co/5zprssaTgJ</t>
  </si>
  <si>
    <t>RT @petrogustavo: Las invito a la acción política, hora de transformar a Colombia. Que la mujer se empodere para tener más justicia y Paz.</t>
  </si>
  <si>
    <t>Ni Robledo es el candidato del Polo, ni humberto del partido liberal, ni fajardo del Verde. Lo importante es que l… https://t.co/9zO8BUtjN1</t>
  </si>
  <si>
    <t>Y que el verde sepa que su razón de ser el reequilibrio con la naturaleza. Solo bajo estas ideas podríamos construi… https://t.co/BhHYok73Qj</t>
  </si>
  <si>
    <t>Esta inmensa asamblea de dirección del paro debe ser seguida de asambleas estudiantiles en las universidades y cole… https://t.co/zwjvu6kCaU</t>
  </si>
  <si>
    <t>En Chocó mueren niños por falta de atención, allá no van EPS porque no es rentable, así es la ley 100 que convirtió… https://t.co/4DYupGvc28</t>
  </si>
  <si>
    <t>No se puede cambiar lo injusto si tienes una alta aversión al riesgo. El cambio implica riesgo: atreverse. Claro q… https://t.co/DWHHDfqh5U</t>
  </si>
  <si>
    <t>RT @MoisesAlvaro_: ¡Pilas! En este momento la Alcaldía de @ClaudiaLopez, junto a algunos líderes del Comité de Paro, impiden la entrada al…</t>
  </si>
  <si>
    <t>RT @joseluizlg: A Petro lo buscan Esperanza Gómez y Amaranta Hank a Uribe Mafe Cabal, Paloma y la Corte suprema</t>
  </si>
  <si>
    <t>RT @petrogustavo: En Chocó mueren niños por falta de atención, allá no van EPS porque no es rentable, así es la ley 100 que convirtió la sa…</t>
  </si>
  <si>
    <t>RT @FonsiLoaiza: Los inspectores de Hacienda se unen a las protestas en Francia y arrojan los códigos tributarios delante de sus jefes. Lo…</t>
  </si>
  <si>
    <t>RT @jaarreaza: ¡IRRESPONSABLE! Oportunamente denunciamos que desde el día que @IvanDuque asumió el cargo las instituciones colombianas romp…</t>
  </si>
  <si>
    <t>RT @charry_manager: Cuando @petrogustavo propuso las tarifas subsidiadas, y se atrevió a bajarle al pasaje para que aumentaran los viajes b…</t>
  </si>
  <si>
    <t>RT @ActualidadRT: Fiebre de candidaturas presidenciales en Bolivia, discursos de Goebbels para promover la cultura brasilera y nuevas dosis…</t>
  </si>
  <si>
    <t>RT @lucianacadahia: El desastre propiciado por el MOIR durante el comité del paro dice dos cosas. Primero, fuerza está muerta y solo funcio…</t>
  </si>
  <si>
    <t>RT @GerardoS_Usaque: URGENTE:Más robos en Usaquén,en Cedritos nuevo hurto a personas con la modalidad de moto con parrillero.A diario hurto…</t>
  </si>
  <si>
    <t>RT @ISTVANDRAS: Los bobos de la izquierda ? Robledo Un fraude ese señor ? fajardo Candidato del Grupo Empresarial antioqueño ? Fajardo Pol…</t>
  </si>
  <si>
    <t>RT @petrogustavo: Esta inmensa asamblea de dirección del paro debe ser seguida de asambleas estudiantiles en las universidades y colegios,…</t>
  </si>
  <si>
    <t>RT @et_ernite: Oiga @ClaudiaLopez ¿Con qué autoridad deciden ustedes quién entra o no a la Asamblea? ¿La seguridad de la Alcaldía al servic…</t>
  </si>
  <si>
    <t>RT @gener_usuga: "El paro no es de #MOIR" El paro es del pueblo, nosotros somos el pueblo, es paro es nuestro. https://t.co/9czL1POREG</t>
  </si>
  <si>
    <t>RT @DanielBejarano_: Gracias visionario! La Bogotá de Peñalosa quedó entre las 3 ciudades más congestionadas del mundo Via @Las2orillas htt…</t>
  </si>
  <si>
    <t>RT @susanamuhamad: #SOSHumedales El Burrito en Kennedy, va a desaparecer. La constructora Marval, tiene licencia de construcción y la admin…</t>
  </si>
  <si>
    <t>RT @dianafer9: Ser Petrista en este país es una actividad supremamente arriesgada, sin embargo hoy más que nunca creo en él y estoy con él,…</t>
  </si>
  <si>
    <t>RT @mariomateusvar1: @GobiernoBTA Esa posición es simplemente para garantizar el contrato con esa Corporación Taurina de los Vargas Lleras.…</t>
  </si>
  <si>
    <t>En cumplimiento de la ley 2013 del 2019 hago pública mi última declaración de renta https://t.co/elGhxrSCxa</t>
  </si>
  <si>
    <t>RT @MAPEHKO: Un puente en Vietnam de una belleza inusitada. https://t.co/MEsycftfQU</t>
  </si>
  <si>
    <t>RT @MaPaulaFonseca: La administración de @EnriquePenalosa redujo el presupuesto para la atención a víctimas a más de la mitad del que había…</t>
  </si>
  <si>
    <t>Este es el coeficiente GINI que mide la desigualdad social. Datos del DANE para Bogotá. El Moir ha querido borrar l… https://t.co/lEeUg2miEu</t>
  </si>
  <si>
    <t>RT @petrogustavo: En cumplimiento de la ley 2013 del 2019 hago pública mi última declaración de renta https://t.co/elGhxrSCxa</t>
  </si>
  <si>
    <t>¿Sera que le solicitamos al gobierno venezolano que ayude a sacar a los colombianos de Wuhan? https://t.co/hD9g1TdPsU</t>
  </si>
  <si>
    <t>Un Peñalosista en el gobierno distrital destructor del metro subterráneo de Bogotá, respondiendole a una concejal p… https://t.co/Udct7i0lCC</t>
  </si>
  <si>
    <t>Jhonatan Borja con quien compartí tarima apoyando su candidatura por la Colombia Humana a la alcaldía de Candelaria… https://t.co/mC3G0Y7qhy</t>
  </si>
  <si>
    <t>RT @DemosCarajo: No alcadesa @ClaudiaLopez . No queremos festivales antitaurinos mientras le permite a los empresarios hacer corridas y mas…</t>
  </si>
  <si>
    <t>RT @UJPV1: El Plan de Paz de Trump plantea la creación de un Estado Palestino pero Tendría que estar desmilitarizado y no podría firmar ac…</t>
  </si>
  <si>
    <t>RT @geoduque: ¿En cuanto le habrán vendido esta cuenta al Partido Verde? Est@ caíd@ del zarzo no se ha enterado de la infinidad de veces q…</t>
  </si>
  <si>
    <t>Cuando se habla de un metro subterráneo poderoso, se habla de disminuir el tiempo de viaje, que es tiempo de jornad… https://t.co/7pBp414nay</t>
  </si>
  <si>
    <t>RT @JuanPabloMorris: @GustavoBolivar @YouTube Excelente vídeo de @GustavoBolivar El progresismo no es comunismo ni es pobreza, es querer g…</t>
  </si>
  <si>
    <t>RT @UP_Colombia: En abril del año pasado a Jhonatan Borja Pérez, candidato de la CH UP en alianza con el PDA en Candelaria, Valle, le asesi…</t>
  </si>
  <si>
    <t>El activismo de Colombia Humana debe convocarse en asambleas en lugares públicos y abiertos para organizar la movil… https://t.co/2ulirOvHj9</t>
  </si>
  <si>
    <t>Todos los nodos internacionales de Colombia Humana deben dirigir nota de protesta a la prensa mundial, a gobiernos… https://t.co/OBQzYt7QK1</t>
  </si>
  <si>
    <t>Los nodos del Valle del Cauca a despertarse, este no es un.problema de ir solo a las urnas. O La Colombia Humana se… https://t.co/kTU4fedeXv</t>
  </si>
  <si>
    <t>Señor Fiscal General Francisco Barbosa, usted negó la sistematicidad en el asesinato de lideres sociales, le exijo… https://t.co/06fBVAbnlI</t>
  </si>
  <si>
    <t>RT @petrogustavo: El activismo de Colombia Humana debe convocarse en asambleas en lugares públicos y abiertos para organizar la movilizació…</t>
  </si>
  <si>
    <t>RT @charry_manager: Estas son las denuncias que realizaban los compañeros de #ColombiaHumana Jhonatan Borja e Iván Giraldo en Candelaria Va…</t>
  </si>
  <si>
    <t>RT @AlirioUribeMuoz: Presidente @IvanDuque asesinaron al ex-candidato a la alcaldía de Candelaria por la #ColombiaHumana Jhonatan Borja, ju…</t>
  </si>
  <si>
    <t>RT @MoisesAlvaro_: La respuesta de las cuentas truchas del uribismo en redes sociales al asesinato de nuestros compañeros en Candelaria, Va…</t>
  </si>
  <si>
    <t>RT @jcuestanovoa: La Colombia Humana en Asamblea Distrital este domingo 2 de febrero a las 8 am en la ADE Sur. https://t.co/zDgyXHufc6</t>
  </si>
  <si>
    <t>RT @charry_manager: Los carteles de contratación en el valle están ligados a viejas formas de narcotrafico y paramilitarismo, y a políticos…</t>
  </si>
  <si>
    <t>Este es Ivan Giraldo, candidato al concejo, asesinado al lado de nuestro candidato a la alcaldía en Candelaria, Val… https://t.co/W6TEh7qh1F</t>
  </si>
  <si>
    <t>RT @UldaricoChilito: Jhontan Borja, un ExCandidato de la ColombiaHumana a la alcaldía de la Candelaria en el Valle, acaba de ser asesinado.…</t>
  </si>
  <si>
    <t>RT @petrogustavo: Este es Ivan Giraldo, candidato al concejo, asesinado al lado de nuestro candidato a la alcaldía en Candelaria, Valle. Po…</t>
  </si>
  <si>
    <t>RT @AlexLopezMaya: Srs @IvanDuque @PoliciaColombia @UNPColombia @PGN_COL @FiscaliaCol A Ustedes Jhonatan e Iván hoy asesinados les entreg…</t>
  </si>
  <si>
    <t>RT @HOLLMANMORRIS: #URGENTE #NosEstánMatando. Acaban de asesinar a Jhonathan Borja, excandidato a la Alcaldía de Candelaria Valle por la C…</t>
  </si>
  <si>
    <t>RT @LeKolombie: @angelamrobledo @IvanDuque Vea pues... a mí me parece que el coro unánime es otro #LaIzquierdaHaciendoIzquierdadas https://…</t>
  </si>
  <si>
    <t>RT @petrogustavo: Señor Fiscal General Francisco Barbosa, usted negó la sistematicidad en el asesinato de lideres sociales, le exijo en la…</t>
  </si>
  <si>
    <t>Al lado de nuestros candidatos asesinados, iba un tercero a quien trataron de asesinar también, WIlliam Montenegro,… https://t.co/fyEFCQ9znj</t>
  </si>
  <si>
    <t>Nuestros candidatos asesinados Jhonatan Borja e Ivan Giraldo habían denunciado actos de corrupción del exalcalde Yo… https://t.co/28qne6fwLV</t>
  </si>
  <si>
    <t>RT @IvanCepedaCast: Dos excandidatos de izquierda de Candelaria (Valle) fueron asesinados en Palmira https://t.co/ukEa6sEI7y</t>
  </si>
  <si>
    <t>RT @petrogustavo: Nuestros candidatos asesinados Jhonatan Borja e Ivan Giraldo habían denunciado actos de corrupción del exalcalde Yonk Jai…</t>
  </si>
  <si>
    <t>RT @petrogustavo: Todos los nodos internacionales de Colombia Humana deben dirigir nota de protesta a la prensa mundial, a gobiernos a la…</t>
  </si>
  <si>
    <t>No solamente asesinaron dos personasen Palmira, asesinaron toda la dirigencia y las candidaturas de ColombiaHumana… https://t.co/2rYN4OLuum</t>
  </si>
  <si>
    <t>RT @sergiodussan1: Como es posible que eligieran a alguien tan inutil y sin caracter como Ivan Duque teniendo a un profesor brillante con b…</t>
  </si>
  <si>
    <t>RT @Juventud_Humana: “¿Ahora, usted a quién mandaría a matar, al candidato o al hermano?” El ex Alcalde de Candelaria -Valle- Yonk Jairo T…</t>
  </si>
  <si>
    <t>Después de denunciar hace horas que el tercero que queria matar la mafia política local de candelaria, Valle de nue… https://t.co/zWxb5oHhcZ</t>
  </si>
  <si>
    <t>RT @gener_usuga: ¿Que por que estoy #FirmeConPetro? Basta con escucharlo. https://t.co/rA13vXFwEg</t>
  </si>
  <si>
    <t>RT @AlexLopezMaya: Cómo está denuncia más de 30 hechos de corrupción radicaron a todos los órganos de control @PGN_COL @FiscaliaCol @CGR_Co…</t>
  </si>
  <si>
    <t>RT @GustavoBolivar: #ElNuevoFiscalDebe entregar asesinos de Jhonatan Borja excandidato de Col Humana a alcaldía de Candelaria Valle e Iván…</t>
  </si>
  <si>
    <t>Las denuncias de nuestros compañeros asesinados de Candelaria , Valle, iban contra el exacalde Yonk Jairo Torres, d… https://t.co/lVwRx0MRAO</t>
  </si>
  <si>
    <t>RT @mariahelenaval4: #FirmeConPetro Contracorrupcion Gustavo Petro #PetroPresidente Porque: Fajardo+Hidroituango=Uribe Robledo+taxista Btá…</t>
  </si>
  <si>
    <t>RT @AlexLopezMaya: El vicepresidente del @SenadoGovCo Alexander López Maya, responsabilizó al Estado Colombiano y al gobierno del President…</t>
  </si>
  <si>
    <t>El grupo del exalcalde Yonk Jairo Torres, contra quien iban las denuncias de corrupción de los asesinados, apoyó al… https://t.co/Hi3sajbdyy</t>
  </si>
  <si>
    <t>Cómo me encantaría que @Bluradio le preguntara a la Canciller porque razón ha impedido que la Corte Suprema indagu… https://t.co/WuZHxLXAbc</t>
  </si>
  <si>
    <t>RT @petrogustavo: El grupo del exalcalde Yonk Jairo Torres, contra quien iban las denuncias de corrupción de los asesinados, apoyó al presi…</t>
  </si>
  <si>
    <t>RT @JairoVillaMos: Una magistral lección por parte de @petrogustavo al senador mejía sobre unidad. #NingúnColombianoSobra https://t.co/1Gpo…</t>
  </si>
  <si>
    <t>Lo que aquí está notificando la secretaría de medio ambiente es que continúan las obras duras del acueducto sobre e… https://t.co/92CNTW9al0</t>
  </si>
  <si>
    <t>Mientras Bogotá Humana duplicó el valor de la empresa ETB, Peñalosa la desvalorizó a la mitad. Datos de acuerdo al… https://t.co/eWlhb03K4S</t>
  </si>
  <si>
    <t>Con solo restituir la resolución de la secretaría de medio ambiente de mi gobierno del 2015, salva usted el humedal… https://t.co/Ygre7jFJnz</t>
  </si>
  <si>
    <t>RT @teleSURtv: Dos excandidatos de oposición en #Colombia, afiliados a Colombia fueron asesinados en el municipio Palmira https://t.co/jNkl…</t>
  </si>
  <si>
    <t>Aún no es capaz de aceptar el fracaso de Peñalosa: Por destruir el sistema tarifario de BogotáHumana y el metro pes… https://t.co/76BUoQ5RvF</t>
  </si>
  <si>
    <t>RT @AidaAvellaE: Asesinar Jonathan Borja y Ricardo Ortiz, en Candelaria, Valle del Cauca por no dar protección, se convierte en un crimen d…</t>
  </si>
  <si>
    <t>RT @MafeCarrascal: Entre 300 mil pesos y 2 millones de pesos le pueden pagar a un Influenciador por subir tendencias como la de ayer contra…</t>
  </si>
  <si>
    <t>Toda Colombia humana del Valle del cauca debe ir a el domingo a las 2 pm, Candelaria, Valle, al entierro de nuestro… https://t.co/jcC1lVidMo</t>
  </si>
  <si>
    <t>Natalia, la corte constitucional por el magistrado taurino que hizo la sentencia sin impedirse, trató de hacerme ab… https://t.co/E1GtqTbQN9</t>
  </si>
  <si>
    <t>RT @susanamuhamad: Secretaria @colinita ¿Qué pasa con reverdecer a Bogotá? ¿Dónde queda el punto 6 del acuerdo ambiental firmado en campaña…</t>
  </si>
  <si>
    <t>la OCDE es una asociación de países, donde existen gobiernos de izquierda como el de México y el de Portugal. No po… https://t.co/DhJ1wi0hK6</t>
  </si>
  <si>
    <t>RT @ChalecosAmarill: 📽🆘️ #GoldenGIobes || "El miedo se convierte en un instrumento político" #19Nov19 ♾ @MashiRafael el expresidente de #E…</t>
  </si>
  <si>
    <t>RT @petrogustavo: Toda Colombia humana del Valle del cauca debe ir a el domingo a las 2 pm, Candelaria, Valle, al entierro de nuestro compa…</t>
  </si>
  <si>
    <t>RT @pulislz: @gener_usuga #FirmeConPetro Buen Viernes Gener, un Abracito para Tí, tu Señora y a cuidar mucho esos Bebecitos, un Buen Fin de…</t>
  </si>
  <si>
    <t>RT @lucianacadahia: Por mero principio humanitario ¿no deberían los políticos que se dicen alternativos, como el Partido Verde o el Moir, s…</t>
  </si>
  <si>
    <t>RT @HOLLMANMORRIS: Jhonatan Borja, defensor de DDHH, líder de la Colombia Humana, abogado, magister en medio ambiente y estudiante de docto…</t>
  </si>
  <si>
    <t>RT @HOLLMANMORRIS: En este momento en Candelaria, Valle, protesta la gente frente a la alcaldía. Ivan Giraldo y Jhonatan Borja ex candidato…</t>
  </si>
  <si>
    <t>RT @HOLLMANMORRIS: “Los llevaremos siempre en nuestro corazón” y “NO MÁS VIOLENCIA” son los mensajes que los niños de Candelaria, Valle del…</t>
  </si>
  <si>
    <t>¿Ha dicho algo Ivan Duque y el nuevo Fiscal general sobre el asesinato de la dirigencia de Colombia Humana en Candelaria, Valle del Cauca?</t>
  </si>
  <si>
    <t>RT @wicarni: El senador Jorge Robledo defendiendo a Samuel Moreno ante las denuncias que hacia el entonces senador Gustavo Petro sobre el c…</t>
  </si>
  <si>
    <t>RT @petrogustavo: ¿Ha dicho algo Ivan Duque y el nuevo Fiscal general sobre el asesinato de la dirigencia de Colombia Humana en Candelaria,…</t>
  </si>
  <si>
    <t>RT @LUISEROLAVE: Me quieren matar porque he sido un guerrero luchando por la dignidad del Chocó, ya en 2014 me hicieron un atetentado y la…</t>
  </si>
  <si>
    <t>RT @Suaguagua: Al MOIR y sus concejales se les sale el "mamerto" anticapitalista cuando se trata de Petro. Ojalá criticaran con el mismo cr…</t>
  </si>
  <si>
    <t>RT @petrogustavo: Las denuncias de nuestros compañeros asesinados de Candelaria , Valle, iban contra el exacalde Yonk Jairo Torres, del gru…</t>
  </si>
  <si>
    <t>RT @DIDASKALOSW: Aaaah pero el METRO SUBTERRÁNEO que llevaba invertidos má de $134mil millones, ese sí se puede «irrespetar». Lógica corrup…</t>
  </si>
  <si>
    <t>RT @potogalindo: @RafaelPardo Y quienes fueron los alcaldes de Bogota en esas fechas?? https://t.co/6eLKSLmqaR</t>
  </si>
  <si>
    <t>RT @HOLLMANMORRIS: Así el féretro del compañero Ivan Giraldo de la Convergencia Colombia Humana UP , Polo, en este momento en Candelaria Va…</t>
  </si>
  <si>
    <t>RT @RamiroBejaranoG: Ningún alcalde puede dar por hecho que un ciudadano que ultimó a 3 atracadores obró en legítima defensa. Es tarea de l…</t>
  </si>
  <si>
    <t>RT @HOLLMANMORRIS: “Matan uno, matan otro... matan personas que realmente valen la pena y nadie dice nada, les da miedo” este es el sentimi…</t>
  </si>
  <si>
    <t>RT @ChalecosAmarill: 🎥 #GlobalRevolution #GiletsJaunes #Chile #HongKong #Bolivia #Hirak #Iraq #Lebanon #Colombia... "Those who make peacef…</t>
  </si>
  <si>
    <t>RT @ActualidadRT: "El miedo se convierte en un instrumento político" En esta nueva edición de #ConversandoСonCorrea, @MashiRafael el expre…</t>
  </si>
  <si>
    <t>RT @lanavecomunica: HISTÓRICO MOMENTO En silencio es retirada la bandera británica de la Union Jack en Bruselas. @motoreco_ok @mumimumi09…</t>
  </si>
  <si>
    <t>RT @FelicianoValen: Por su coherencia y apoyo constante a las luchas de los pueblos indígenas del Cauca y de Colombia. Yo estoy #FirmeConP…</t>
  </si>
  <si>
    <t>RT @WilmerAlcalMu_: Palabras de @petrogustavo, para recordar y nunca olvidar. #FirmeConPetro https://t.co/doKvI76bho</t>
  </si>
  <si>
    <t>Este es el mapa no solo de la pobreza multidimensional, donde el gran éxito es Bogotá, sino el de la inmensa desigu… https://t.co/rdbjSa8Ryh</t>
  </si>
  <si>
    <t>RT @LupeMohawk: @petrogustavo Vamos a reunirnos también en Bogotá, asamblea ciudadana con mesas técnicas de trabajo, la Colombia Humana se…</t>
  </si>
  <si>
    <t>RT @colombia_hist: Los Muiscas fueron los creadores de un concepto revolucionario para el modo de pensar de los europeos en la época, pues…</t>
  </si>
  <si>
    <t>Muy bien por el tribunal administrativo de Cundinamarca que se ha parado firme en la defensa de la vida y del agua.… https://t.co/s0eAT7xRsG</t>
  </si>
  <si>
    <t>El silencio del Presidente de la República y del nuevo Fiscal ante el asesinato de la dirigencia de la Colombia Hum… https://t.co/Uiykpmdnmz</t>
  </si>
  <si>
    <t>RT @armestonelson: "Invito a la prensa internacional. Desde allí trazar la fecha de la movilización regional" https://t.co/HXDTt9mDMa</t>
  </si>
  <si>
    <t>La política internacional de la Colombia Humana no sera el lacayismo, será la conformación de un frente de gobierno… https://t.co/611JrJNYmC</t>
  </si>
  <si>
    <t>RT @tikopineda: “No nos gustan las corridas” pero las dejamos hacer. “No nos gusta el metro elevado” pero lo construimos. “No nos gusta TM6…</t>
  </si>
  <si>
    <t>Duque no sabe jugar ajedrez. Usa la cabeza con el balón. Nombramientos como el de Botero en mindefensa, o Arango en… https://t.co/EoWsWmpdHT</t>
  </si>
  <si>
    <t>RT @A_Yilena: #FirmeConPetro por millones de razones. Para Él siempre mi admiración, respeto y por supuesto apoyo, en el 2022 estoy segura…</t>
  </si>
  <si>
    <t>¿ Duque ya puso el avión presidencial para traer los 14 colombianos de Wuhan? https://t.co/8XpaNXNad1</t>
  </si>
  <si>
    <t>RT @CMonteroOficial: "Si quieres salvar el planeta, tu voto es mucho más importante que tu dieta": David Wallace-Wells, autor de "El planet…</t>
  </si>
  <si>
    <t>RT @JavierParadaG: Acabando la #CienagaLaVirgen en #Cartagena . Sin temor alguno talan y poco a poco “secan” la Ciénaga para luego construi…</t>
  </si>
  <si>
    <t>Que maten al ladrón de celulares y bicicletas, gritan por ahí, mientras los que gritan, eligen al ladrón del erario… https://t.co/xSNyeayWxL</t>
  </si>
  <si>
    <t>RT @Uriasv: Es absolutamente necesario que los progresistas que seguimos a Petro estemos unidos, muy unidos. Nos intentarán dividir. Pa…</t>
  </si>
  <si>
    <t>RT @petrogustavo: Duque no sabe jugar ajedrez. Usa la cabeza con el balón. Nombramientos como el de Botero en mindefensa, o Arango en minin…</t>
  </si>
  <si>
    <t>RT @HOLLMANMORRIS: La denuncia que Johnatan Borja e Iván Giraldo hicieron, horas antes de ser asesinados, involucraba en actos de corrupció…</t>
  </si>
  <si>
    <t>Jonathan Borja , candidato a la alcaldía de Candelaria, Valle, asesinado por la mafia política local a la que denun… https://t.co/nWE9Ob66Ya</t>
  </si>
  <si>
    <t>RT @ManuelBeltrn14: Será que Fajardo se opone a la OCDE?? No lo creo. Pero igual los del MOIR le hacen campaña. Solo hipocresía. Son una…</t>
  </si>
  <si>
    <t>Voté por entrar a la OCDE porque quiero ver a Colombia en los centros del poder mundial, no para arrodillarse ni pa… https://t.co/hHushFPZVs</t>
  </si>
  <si>
    <t>Bien que Colombia Humana en el concejo de Bogotá lidere la declararatoria de emergencia climática en Bogotá. Una ci… https://t.co/QDsMNK1wFG</t>
  </si>
  <si>
    <t>Para que Claudia lea, y la ciudadanía bogotana que votó por mantener el sistema BRT, Bus de tránsito Rápido o trans… https://t.co/M1eUVpmBPE</t>
  </si>
  <si>
    <t>RT @Heidy_UP: Denunciamos el asesinato de Jonathan Borja e Iván Giraldo, venían denunciando casos de corrupción de políticos de @PCambioRad…</t>
  </si>
  <si>
    <t>RT @petrogustavo: Para que Claudia lea, y la ciudadanía bogotana que votó por mantener el sistema BRT, Bus de tránsito Rápido o transmileni…</t>
  </si>
  <si>
    <t>RT @GustavoBolivar: Senadora hay 3 formas de ganar dinero: -Trabajar desde los 12 años y hacer empresa, como yo -Robar al Estado (Yo no, ud…</t>
  </si>
  <si>
    <t>Con todo el respeto del taurino, esa afirmación es engañosa y mentirosa. La raza es una construcción Humana artific… https://t.co/SWFkE9b7C1</t>
  </si>
  <si>
    <t>Si se permite el armamento de la población civil, que como alcalde prohibí, solo obtendrán masacres como en los col… https://t.co/bWfAxhKqrU</t>
  </si>
  <si>
    <t>Ya Guaidó le entregó a la Merlano a Duque? ¿Ajedrez o autogoles de cabecita?</t>
  </si>
  <si>
    <t>Encuesta de movilidad Bogotá 2019, comparada con 2015, muestra que las mujeres se trasladan por centenares de miles… https://t.co/ZXozRXZEaa</t>
  </si>
  <si>
    <t>RT @marthaperaltae: #ElPeorGobiernoDeLaHistoria el de @AlvaroUribeVel y su continuación @IvanDuque. Ambos representan falsos positivos, in…</t>
  </si>
  <si>
    <t>Los economistas del poder aun no han entendido como se produce suelo urbano y vivienda sin expandir la ciudad. Sol… https://t.co/pP9zyyw0na</t>
  </si>
  <si>
    <t>El Moir de Robledo esta más a la izquierda de mi ideológicamente es cierto, ellos defendieron el marxismo de mao y… https://t.co/q5qu5ymBvV</t>
  </si>
  <si>
    <t>Es cierto esto que dice Navarro pero hay que agregar que la década de los noventa fue la de mayor número de masacre… https://t.co/AlmrCf8Xlz</t>
  </si>
  <si>
    <t>RT @HOLLMANMORRIS: Jhonatan Borja e Iván Giraldo crearon una veeduría ciudadana que descubrió un contrato para hacer un camerino en el pueb…</t>
  </si>
  <si>
    <t>Colombia Humana venció en las presidenciales en Candelaria,Valle; sin embargo en las elecciones locales después, mu… https://t.co/e6bh8AAZW3</t>
  </si>
  <si>
    <t>¿ Es la Colombia que progresa o es la Colombia que se degrada? https://t.co/QiecHaC8VF</t>
  </si>
  <si>
    <t>Si se suman los votos de los candidatos del transmilenio contra el que defendió el metro subterráneo, tenemos 2.500… https://t.co/cyhS3BmLsn</t>
  </si>
  <si>
    <t>Fiscalía de Néstor Humberto no investigó el atentado que me hicieron, ni la conducta del alcalde de Cúcuta que vio… https://t.co/rtp8HMf5As</t>
  </si>
  <si>
    <t>RT @CamiloAlvarezB: A Jonhatan Borja e Iván Giraldo activistas de @ColombiaHumana_ y candidatos en coalición con @PoloDemocratico en Candel…</t>
  </si>
  <si>
    <t>RT @alexbernalradio: La imagen habla más que mil palabras El man es un bacán #FirmeConPetro https://t.co/9WOLwRLeWW</t>
  </si>
  <si>
    <t>¿Sabrá doña Pily que precisamente el profesionalismo de la policía consiste en no matar? https://t.co/tRzuVY2XEf</t>
  </si>
  <si>
    <t>RT @nancySua_: Atención! #PetroFue "No creo que las cosas como están en Colombia, están bien... Hemos convocado a la ciudadanía a la libe…</t>
  </si>
  <si>
    <t>RT @petrogustavo: Ya Guaidó le entregó a la Merlano a Duque? ¿Ajedrez o autogoles de cabecita?</t>
  </si>
  <si>
    <t>RT @petrogustavo: Que maten al ladrón de celulares y bicicletas, gritan por ahí, mientras los que gritan, eligen al ladrón del erario y el.…</t>
  </si>
  <si>
    <t>El domingo a las 2 estaré en el sepelio de Jhonatan Borja e Ivan Giraldo en Candelaria Valle, espero a toda su ciud… https://t.co/fujpqZfXnS</t>
  </si>
  <si>
    <t>A Ivan Y Jonathan los asesinaron desde el interior del vehículo en que viajaban y lo hicieron dos hombres que les p… https://t.co/xmmHrdFANj</t>
  </si>
  <si>
    <t>RT @petrogustavo: Encuesta de movilidad Bogotá 2019, comparada con 2015, muestra que las mujeres se trasladan por centenares de miles a mov…</t>
  </si>
  <si>
    <t>RT @petrogustavo: A Ivan Y Jonathan los asesinaron desde el interior del vehículo en que viajaban y lo hicieron dos hombres que les pusiero…</t>
  </si>
  <si>
    <t>RT @gpuerta: Este video extraordinario, tomado de una cámara instalada en una de las casas donde ocurrió las erupción del volcán de Isla Bl…</t>
  </si>
  <si>
    <t>RT @CorteIDH: Audiencia Pública del Caso Petro Orrego Vs. Colombia Jueves 6 de febrero. #133PeríodoCorteIDH #ProtegiendoDerechos http…</t>
  </si>
  <si>
    <t>Esta ignorancia premoderna los lleva a pensar que los indigenas no pueden manejar cheques, ni celulares, ni radios,… https://t.co/pLBWQO2hg7</t>
  </si>
  <si>
    <t>RT @petrogustavo: El domingo a las 2 estaré en el sepelio de Jhonatan Borja e Ivan Giraldo en Candelaria Valle, espero a toda su ciudadanía…</t>
  </si>
  <si>
    <t>Qué esta haciendo señor Duque por defender la vida de nuestro dirigente de la Colombia Humana en el chocó… https://t.co/q8A9qXKQFy</t>
  </si>
  <si>
    <t>RT @AlexLopezMaya: #jhonataneivansinimpunidad Mañana #2Feb movilización de siembra de nuestros hermanos asesinados. Dale retw https…</t>
  </si>
  <si>
    <t>Domingo 2 p.m.Todo el progresismo del Valle del Cauca en Candelaria. Que el gobierno sepa que significa permitir qu… https://t.co/qlxHQqefM2</t>
  </si>
  <si>
    <t>En Candelaria, Valle, acaban de amenazar a la hija de otro militante de Colombia Humana: Raul Marin, le asesinaron… https://t.co/cUp5eVei4S</t>
  </si>
  <si>
    <t>RT @GustavoBolivar: Corrijo: Pagué 1.527.971.000 (Mil quinientos veintisiete millones, Novecientos setenta y un pesos) Sin contar prediales…</t>
  </si>
  <si>
    <t>RT @petrogustavo: Domingo 2 p.m.Todo el progresismo del Valle del Cauca en Candelaria. Que el gobierno sepa que significa permitir que ases…</t>
  </si>
  <si>
    <t>En camino a Candelaria, Valle.</t>
  </si>
  <si>
    <t>De las ignorancias uribistas https://t.co/yOMXhJLyzj</t>
  </si>
  <si>
    <t>RT @petrogustavo: En camino a Candelaria, Valle.</t>
  </si>
  <si>
    <t>RT @GustavoBolivar: Próxima marcha #25M? Respeto al Comité de Paro, pero una marcha cada 2 meses es ingenuidad. Un pueblo que reclama cambi…</t>
  </si>
  <si>
    <t>RT @FreddyteleSUR: Ex Ministro de Minería, César Navarro, con salvoconducto para salir del país a su asilo en México, fue agredido en el Ae…</t>
  </si>
  <si>
    <t>RT @elquelosdelata: Vuelvo y repito ¿Qué qué hay que hacer? Será lo mismo que como cuando denuncié durante semanas al traqueto mafioso de J…</t>
  </si>
  <si>
    <t>Duque hasta el momento ha guardado silencio, que se convierte en complicidad, con el asesinato de nuestro candidato… https://t.co/mIr6bb7ckl</t>
  </si>
  <si>
    <t>Aquí con Jonathan Borja, candidato a a Ph, asesinado por la mafia política local. Contra quien iban sus denuncias,… https://t.co/6RUM4Cb9Oy</t>
  </si>
  <si>
    <t>En Candelaria,Valle, hay un verdadero exterminio de luchadores contra la corrupción. La policía sabía, la fiscalí… https://t.co/DE2ygHYrUS</t>
  </si>
  <si>
    <t>RT @petrogustavo: En Candelaria,Valle, hay un verdadero exterminio de luchadores contra la corrupción. La policía sabía, la fiscalía sabí…</t>
  </si>
  <si>
    <t>RT @asepresidencia: Acta desmonte medida protección de JONATAN BORJA,11-11-2019. Dir.UNP Pablo E. González responda? @AlexLopezMaya Porq n…</t>
  </si>
  <si>
    <t>RT @AndresCamiloHR: A esta hora el Senador Gustavo Petro (@petrogustavo) entrega declaraciones a la prensa desde Candelaria - Valle, sobre…</t>
  </si>
  <si>
    <t>RT @Michael_RYS: Dolor y decepción lo que refleja Petro ante el asesinato de Jonathan Borja. Colombia se tiñe de sangre; Uribe y su enfer…</t>
  </si>
  <si>
    <t>Parte de mi discurso de despedida de Jonathan Borja.e Ivan Giraldo en Candelaria, Valle. https://t.co/n9ugazJB83</t>
  </si>
  <si>
    <t>RT @GustavoBolivar: Hoy, sepelio de Jhonatan Borja e Iván Giraldo líderes d Candelaria, Valle. Investigaban la muerte d Mariano Cuero, aspi…</t>
  </si>
  <si>
    <t>RT @JUANCAELBROKY: La Alcaldía de Claudia López desarrolló un gran operativo de protección a los taurinos impidiendo la movilidad en varias…</t>
  </si>
  <si>
    <t>RT @manelmarquez: El pueblo unido jamás será vencido! Así es como el pueblo trabajador de la comuna de Lo Barnechea de #SantiagodeChile #C…</t>
  </si>
  <si>
    <t>RT @AndresCamiloHR: Aquí consta como la @UNPColombia retiró las medidas de protección de Jhonatan Borja, Lider social y excandidato de la C…</t>
  </si>
  <si>
    <t>RT @HOLLMANMORRIS: En Candelaria Valle a Raul Marin militante de Colombia Humana le asesinaron a su hermano y acaban de amenazar a su hija,…</t>
  </si>
  <si>
    <t>RT @nicolasAmon: Que vergüenza Claudia López, usando ilegalmente recursos públicos para garantizar la corridas de toros a unos pocos. ¿No…</t>
  </si>
  <si>
    <t>RT @GustavoBolivar: #DuqueResponda Ya respondió! Nombró Director regional de Planeación a exalcalde de Candelaria, Yonk Jairo Torres. Jhona…</t>
  </si>
  <si>
    <t>RT @petrogustavo: Parte de mi discurso de despedida de Jonathan Borja.e Ivan Giraldo en Candelaria, Valle. https://t.co/n9ugazJB83</t>
  </si>
  <si>
    <t>RT @CarlosCarrilloA: @erickcs09 @titaniavillalba @FDNcolombia @EnriquePenalosa @ClaudiaLopez @idubogota No señor, el @PoloDemocratico Alter…</t>
  </si>
  <si>
    <t>RT @graffitiborrao: De antemano presento excusas por este video. Son imágenes fuertes y ha sido borrado de los portales taurinos. El rejon…</t>
  </si>
  <si>
    <t>Simplemente aislaron a los antitaurinos para que no molesten a los taurinos https://t.co/uLn8aIwmvN</t>
  </si>
  <si>
    <t>RT @SusanaPSandoval: Alcaldía Bogotá ofrece modelo donde cohabitan animalismo y corridas; ambos grupos complacidos por sus preferencias éti…</t>
  </si>
  <si>
    <t>He solicitado frente a los feretros de nuestros compañeros asesinados a la juventud universitaria de Candelaria, pa… https://t.co/Ue1PmDczIX</t>
  </si>
  <si>
    <t>RT @MateoCordobaC: Ni regalando boletas llenan al menos la mitad de la plaza. Otra vez eran más los policías rodeando el perímetro que los…</t>
  </si>
  <si>
    <t>Enorme retroceso ha tenido Bogotá en este encuentro entre su alcaldesa y el Presidente . Los estudios de tranvías ,… https://t.co/Ic1LSm1eZt</t>
  </si>
  <si>
    <t>RT @petrogustavo: He solicitado frente a los feretros de nuestros compañeros asesinados a la juventud universitaria de Candelaria, para que…</t>
  </si>
  <si>
    <t>RT @AlexLopezMaya: JUSTICIA JUSTICIA JUSTICIA JUSTICIA Grita el pueblo de Candelaria por el asesinato de Ivan Giraldo y Jhonatan Borja Muc…</t>
  </si>
  <si>
    <t>Lo que propone Stiglitz y lo que le propone Colombiia Humana al país son sendas económicas similares: Erradicar l… https://t.co/edBMIFalme</t>
  </si>
  <si>
    <t>Están matando la inteligencia. No nos mereceremos llamarnos humanidad si dejamos matar a nuestro jóvenes, en medio… https://t.co/l5awiujYHq</t>
  </si>
  <si>
    <t>Aquí en Candelaria se demuestra que los aliados de Duque eran narcotraficantes y que ellos están asesinando la juve… https://t.co/wmdbrkVcfK</t>
  </si>
  <si>
    <t>Jóvenes de Candelaria, pónganle la fecha a paro regional del Valle por la Vida y tengan la seguridad que la socieda… https://t.co/DOMqSzHRQ9</t>
  </si>
  <si>
    <t>Por eso jóvenes de Candelaria, póngale la fecha al paro cívico regional del valle por la Vida y tengan la seguridad… https://t.co/IJ3IavlHca</t>
  </si>
  <si>
    <t>Discurso en Candelaria Valle, Primera Parte https://t.co/BZMaqpI45A</t>
  </si>
  <si>
    <t>Discurso en Candelaria; valle. segunda parte https://t.co/CgACh6Zvcf</t>
  </si>
  <si>
    <t>La propaganda malintencionada del Moir, igual decian que era de la CIA, pero para apoyar a Fajardo, no hay problema. https://t.co/aN37wdtdFO</t>
  </si>
  <si>
    <t>RT @petrogustavo: Discurso en Candelaria Valle, Primera Parte https://t.co/BZMaqpI45A</t>
  </si>
  <si>
    <t>RT @petrogustavo: Discurso en Candelaria; valle. segunda parte https://t.co/CgACh6Zvcf</t>
  </si>
  <si>
    <t>El tiempo es ahora. El progresismo en los EEUU. https://t.co/5YuX3pEJMf</t>
  </si>
  <si>
    <t>La ministra del trabajo quiere decir es que los y las trabajadore(a)s son desechables, que no vale la pena su estab… https://t.co/eives4ziD2</t>
  </si>
  <si>
    <t>La mentira hecha política. https://t.co/1088u8YE34</t>
  </si>
  <si>
    <t>Julio, un empleo de dos horas no es empleo, solo es un medio para manipular la estadistica pero no origina ni una v… https://t.co/bNEjYJjzvx</t>
  </si>
  <si>
    <t>Si la movilizacion social se suspende, los 5 poderosos económicamente del pais vendrán por todo. O son las gananci… https://t.co/LLnpNTNBH1</t>
  </si>
  <si>
    <t>Le solicito respetuosamente a los comités nacionales del paro adelantar la movilización nacional para el 24 de febr… https://t.co/BqpIrRWHaa</t>
  </si>
  <si>
    <t>Dos horas de transmilenio para que puedas trabajar dos horas. Resumen de la reunión Duque/Claudia.</t>
  </si>
  <si>
    <t>RT @petrogustavo: Le solicito respetuosamente a los comités nacionales del paro adelantar la movilización nacional para el 24 de febrero.…</t>
  </si>
  <si>
    <t>Megavandalos aquellos que pretenden imponer la contratación por horas y acabqr Colpensiones para dejar el ahorro fo… https://t.co/N4mRpNhm0f</t>
  </si>
  <si>
    <t>En Costa Rica adportas de la audiencia final de la Corte Interamericana de DDHH, en el caso de las sanciones admini… https://t.co/M5hWyQLpbq</t>
  </si>
  <si>
    <t>Le solicito a Claudia no hacer el transmilenio por la séptima, sino continuar el tranvía del norte por la séptima p… https://t.co/dvEHDcVFBY</t>
  </si>
  <si>
    <t>RT @Rgargarella: Esta semana estaré en la Corte Interamericana, como perito propuesto por la Comisión IDH, para hablar sobre el caso Petro…</t>
  </si>
  <si>
    <t>RT @ErikaOSanoja: “En #Colombia, más del 90% de la clase dirigente ha sido elegida comprando votos. Más de 25 mil millones de pesos son inv…</t>
  </si>
  <si>
    <t>RT @ErikaOSanoja: “Fueron los Gerlein quienes compraron los tiquetes a Barbados. Pero era otro montaje más porque uno de mis captores de la…</t>
  </si>
  <si>
    <t>Puse una denuncia contra alias "Popeye" por esta actitud y nunca pudimos obtener Justicia. https://t.co/uwVgqRfcf6</t>
  </si>
  <si>
    <t>RT @wilsonariasc: Aida Merlano dice que con sus pruebas y declaraciones a la justicia colombiana: “Caería media clase política y todo el pa…</t>
  </si>
  <si>
    <t>RT @AndresCamiloHR: “El simple hecho de volver un servicio público que era público pero manejado por un privado, provocó la persecución pol…</t>
  </si>
  <si>
    <t>RT @gaitan_presente: Camilo Gómez, delegado del gobierno, dice en la CIDH q @petrogustavo tuvo TODAS las garantías del Estado colombiano pa…</t>
  </si>
  <si>
    <t>RT @AndresCamiloHR: “Hoy puedo decir que el Presidente Duque me embarga mi sueldo” @petrogustavo en audiencia en la @CorteIDH en el caso PE…</t>
  </si>
  <si>
    <t>RT @AndresCamiloHR: “En mi opinión, los que están detrás de esas medidas y embargos me quieren fuera del país... He tenido que resistir esa…</t>
  </si>
  <si>
    <t>RT @AndresCamiloHR: “Son políticos que usan el control administrativo para quitar Derechos políticos para eliminar a los que ellos consider…</t>
  </si>
  <si>
    <t>RT @AndresCamiloHR: “Antes de venir aquí tuve que enterrar a dos compañeros de Colombia Humana en Candelaria - Valle” @petrogustavo en audi…</t>
  </si>
  <si>
    <t>RT @AndresCamiloHR: “Mi familia está exiliada luego de que en 2008 hice un debate del Paramilitarismo en Antioquia... Durante y después del…</t>
  </si>
  <si>
    <t>RT @AndresCamiloHR: “Las sanciones siempre han sido por decretos, jamás me han encontrado actos de corrupción por qué no los tengo” @petrog…</t>
  </si>
  <si>
    <t>RT @ClaudiaLopez: Y q sepan de una vez q el cuento de q el q protesta esta "infiltrado de terrorista" NO se los creemos. Respeto a minga y…</t>
  </si>
  <si>
    <t>RT @angelamrobledo: Hoy nos recuerdan que la primera piedra del @CentroMemoriaH que pusieron @IvanDuque y su negacionista Sr Acevedo, es la…</t>
  </si>
  <si>
    <t>RT @RevistaSemana: @VickyDavilaH #AidaMerlanoSeDestapa | "Una vez se hace Fiscal, comienza a taparla las ollas de todo político, no solo de…</t>
  </si>
  <si>
    <t>RT @GiordanoBrunoFi: La recompensa inicial por Aida Merlano fue $50 millones, luego de fugarse de la finca donde iba ser asesinada y enterr…</t>
  </si>
  <si>
    <t>El calentamiento global hace que las tierras de mayor altitud, por ejemplo Bogotá y los páramos, tentan el doble de… https://t.co/anQIevvcwT</t>
  </si>
  <si>
    <t>La Fiscalía no ha querido investigar el flujo de dinero de Odebrecht pagado como sobornos a la familia Char. https://t.co/USXl6o5Acc</t>
  </si>
  <si>
    <t>RT @cielo_rusinque: El caso Petro ante la @CorteIDH Debería ser visto por todos en AL, por cultura general, dato anecdótico podemos estar o…</t>
  </si>
  <si>
    <t>RT @RevistaSemana: @VickyDavilaH #AidaMerlanoSeDestapa | "Si cae Néstor Humberto Martínez cae media clase política colombiana": Aida Merlan…</t>
  </si>
  <si>
    <t>RT @JulianFMartinez: - Habló de Néstor Humberto Martínez. Dijo que él tapó toda la olla podría de los congresistas y del presidente @IvanDu…</t>
  </si>
  <si>
    <t>RT @EpicuroDeSamos_: ¡Qué día! Murió Popeye, un general de la república dice estar muy dolido por su muerte; Merlano canta y acusa a Uribe…</t>
  </si>
  <si>
    <t>RT @cielo_rusinque: Estoy de acuerdo con el perito alemán en que el caso Petro es un caso “emblemático“ para la región, en mi caso espero u…</t>
  </si>
  <si>
    <t>Esta es la transmision en directo de la audiencia sobre el caso Petro.y.el Estado en las acciones de autoridades ad… https://t.co/fk5DJ4PRzI</t>
  </si>
  <si>
    <t>RT @JulianRoman: 🤦🏽‍♂️ https://t.co/cNSLSDfeDb</t>
  </si>
  <si>
    <t>RT @CorteIDH: ➡ Se levanta la Sesión. Ha finalizado la Audiencia Pública del Caso #Petro Urrego Vs. #Colombia 🎥 Si quieres verlo nuevament…</t>
  </si>
  <si>
    <t>EL gobierno de Duque al impedir la extradicion de Merlano simplemente estaba preparando el encubrimiento de los ali… https://t.co/KKNglIFaoA</t>
  </si>
  <si>
    <t>RT @AlexLopezMaya: Pte @IvanDuque @mluciaramirez M informan q en Candelaria Valle acaban de asesinar 2 pnas en el parque, ayer otros 2 Homi…</t>
  </si>
  <si>
    <t>RT @elespectador: #NiUnaMenos Asesinan a dos estudiantes de la Universidad Industrial de Santander. https://t.co/EQ4wwFtDD4 https://t.co/7e…</t>
  </si>
  <si>
    <t>Claudia debe desplegar toda la fuerza para salvar el páramo. El páramo es la única fuente de agua de nueve millones… https://t.co/HEaJFtquZ3</t>
  </si>
  <si>
    <t>RT @SenorCaicedo: Las sociedades humanas a lo largo de la historia han buscado formas de hacer que la desigualdad sea aceptable, que todos…</t>
  </si>
  <si>
    <t>RT @QuinteroCalle: Hace dos décadas no se veía la extrema derecha estuviera tan feliz de que el ELN realizara un ataque en Medellín. Los ex…</t>
  </si>
  <si>
    <t>Le pregunto a la totalidad de senadores de Colombia si van a elegir como presidente del Congreso de la República a… https://t.co/VoSjr8znHq</t>
  </si>
  <si>
    <t>Ha aclarado @ELTIEMPO, por respeto a sus lectores, que las denuncias públicas de esta señora prófuga de la justicia… https://t.co/VEU7beTt68</t>
  </si>
  <si>
    <t>Colombia es uno de las países del mundo en donde menos existe libertad de prensa. https://t.co/PS7M3Dw92c</t>
  </si>
  <si>
    <t>Lástima que José Roberto Acosta se vaya de Caracol, prácticamente han sacado todas las voces críticas de la prensa. https://t.co/3nWdPRPB5w</t>
  </si>
  <si>
    <t>Claro amigo, nosotros quizás perdemos las elecciones porque no compramos votos, pero al no comprar votos nos preser… https://t.co/ht44QEwV01</t>
  </si>
  <si>
    <t>RT @GustavoBolivar: Ahora q Aida Merlano confirma q las casas Char y Gerlein compran votos para el Pte de turno, les muestro en este #Hilo…</t>
  </si>
  <si>
    <t>RT @graffitiborrao: Un grupo de 50 campesinos sin herramientas apropiadas, solo con su arrojo y valentía lograron sofocar el incendio en pá…</t>
  </si>
  <si>
    <t>Ha terminado la audiencia en la Corte Interamericana y la siguiente fase ya es la sentencia en mi caso de violación… https://t.co/541Kmu3S0u</t>
  </si>
  <si>
    <t>La reforma debe versar sobre eliminar toda figura que le permita a autoridades administrativas quitar derechos polí… https://t.co/rZGiPsTkAK</t>
  </si>
  <si>
    <t>Una reforma así le quitaría miedo al ejercicio de la política y la administración como debe ser en una democracia.… https://t.co/9wGTPBNjZT</t>
  </si>
  <si>
    <t>¿ El bloque de búsqueda buscará a Luis Carlos Sarmiento, Néstor Humberto Martínez, los Char o los Gerlein, por roba… https://t.co/xJdTucEy4a</t>
  </si>
  <si>
    <t>RT @petrogustavo: Ha terminado la audiencia en la Corte Interamericana y la siguiente fase ya es la sentencia en mi caso de violación de de…</t>
  </si>
  <si>
    <t>RT @BernieSandersE: Esto es nada menos que una emergencia mundial. No tenemos tiempo que perder. Necesitamos un Nuevo Tratado Verde ahora.</t>
  </si>
  <si>
    <t>Miren como paras de los terratenientes al lado del ejército amenazan con sierra a los campesinos que reclaman tierr… https://t.co/Soc3py9qK9</t>
  </si>
  <si>
    <t>Muchos electores fueron incrédulos con las denuncias sobre el metro elevado de Bogotá que hacíamos señalando la cor… https://t.co/cPd3KeWZjB</t>
  </si>
  <si>
    <t>Igual hicieron con la familia de Mancuso, amenazan desde el Estado a sus familiares para garantizar su silencio. https://t.co/iQZ5yAYuFV</t>
  </si>
  <si>
    <t>Atentan contra nuestro compañero de Colombia Humana Carlos Rivas, expresidente de Fecode. El ataque a Fecode hecho… https://t.co/BexjxNpmZg</t>
  </si>
  <si>
    <t>RT @ammejiaaguado: Gracias a la negligencia administrativa del gob de @ClaudiaLopez @IvanDuque hoy tenemos un Páramo en ruina, q cobro la v…</t>
  </si>
  <si>
    <t>Pensó el Cúcuta que con Duque se superaba el problema con Venezuela. Al contrario: se acrecentó el éxodo, la econom… https://t.co/VjkNgRcFxw</t>
  </si>
  <si>
    <t>Claudia en vez de construir la torre nueva del Santa Clara, debe restaurar el patrimonio histórico del San Juan de… https://t.co/LDIPZwgM4w</t>
  </si>
  <si>
    <t>La mafia que manda en el municipio de Candelaria, Valle. https://t.co/Y7rnEn0jXc</t>
  </si>
  <si>
    <t>RT @alexbernalradio: El gran Samuel Torres le canta a @petrogustavo “Bienvenidos al Salado” “Aquí hubieron muchos muertos yahasta perdim…</t>
  </si>
  <si>
    <t>Espero escribir ahora los textos de mi libro sobre acumulación ampliada del capital y la crisis climática.</t>
  </si>
  <si>
    <t>Por subir tarifa de transmilenio se perdieron 1.600.000 viajes diarios en bus y aumentaron 400.000 viajes en autos… https://t.co/WiciFYD2Tk</t>
  </si>
  <si>
    <t>Los aumentos de tarifas de transmilenio son decretos de la alcaldía. Cuando Clara López dejo firmado uno, inmediat… https://t.co/lWsnVAfQWG</t>
  </si>
  <si>
    <t>Las fuerzas políticas que apoyaron a Claudia caen en algo que se llama actitud vergonzante. Deberían explicar la ra… https://t.co/ZfH2lASFHQ</t>
  </si>
  <si>
    <t>Invito a todo(a)s lo(a)s estudiantes de los colegios de Colombia a organizar asambleas estudiantiles para decidir e… https://t.co/K9x5v7qS0D</t>
  </si>
  <si>
    <t>Esta información del director de transmilenio es mentirosa. Al subir la tarifa disminuye la demanda por buses y el… https://t.co/Wc2CLvxanO</t>
  </si>
  <si>
    <t>Hoy toda ciudad moderna debe ser capaz de subsidiar su transporte público masivo para desestimular el vehículo part… https://t.co/GZThn7XyV4</t>
  </si>
  <si>
    <t>RT @petrogustavo: Los aumentos de tarifas de transmilenio son decretos de la alcaldía. Cuando Clara López dejo firmado uno, inmediatamente…</t>
  </si>
  <si>
    <t>Ha llegado la hora en que la ciudadanía bogotana se exprese en las calles sobre su transporte. Ya le congelaron el… https://t.co/p6OYLQe62P</t>
  </si>
  <si>
    <t>RT @AndresCamiloHR: Proyecto de @petrogustavo y la Bogotá Humana.</t>
  </si>
  <si>
    <t>Señor Laserna, concejal, la fuente alternativa para financiar el transporte público, la tiene a la mano y es inmedi… https://t.co/vhFNo2RckE</t>
  </si>
  <si>
    <t>RT @MirandaBogota: Se podía echar para atrás el decreto del aumento al pasaje de transmilenio? Si, @petrogustavo lo hizo en su Alcaldía c…</t>
  </si>
  <si>
    <t>Los bicicarriles implementados en Bogotá Humana, deben continuar, la séptima, y la paralela aln rio Funza son bicic… https://t.co/paqG0TuPXf</t>
  </si>
  <si>
    <t>F Sanclemente estuvo en mi gobierno como gerente de transmilenio y yo mismo pedí su renuncia. Quien estuvo al frent… https://t.co/EIwjMMesOt</t>
  </si>
  <si>
    <t>La prórroga fue estudiada por Jorge Ivan González, doctor en economía y uno de los mejores economistas del país y d… https://t.co/rort1QQ4bC</t>
  </si>
  <si>
    <t>Sanclemente dudó del estudio y por ello hizo un nuevo estudio con un economista conservador, apellido Sanín que obt… https://t.co/vbwJqRAbM5</t>
  </si>
  <si>
    <t>necesité datos de los estudios del metro y de la implementacion de SITP que priorizamos. Una vez los obtuvimos inic… https://t.co/1MTAkVKyCP</t>
  </si>
  <si>
    <t>La renegociación de los contratos fue ordenada por sentencia del tribunal administrativo de Cundinamarca del 2011.… https://t.co/90V7ZA0kWW</t>
  </si>
  <si>
    <t>El paso de funcionarios de la aeronáutica en transmilenio, fue importante. Sergio París vino de la aeronáutica y fu… https://t.co/uwXP3UurdQ</t>
  </si>
  <si>
    <t>RT @ammejiaaguado: .@ClaudiaLopez hay 1 distancia abismal entre ese “me toco” q se aparta d la verdad y la voluntad d cumplir lo propuesto…</t>
  </si>
  <si>
    <t>RT @anateresabernal: Este 19 de Febrero nuestra Bancada Colombia Humana/UP/MAIS dará el 1er Gran Debate sobre el Metro de Bogotá. 29 Bill d…</t>
  </si>
  <si>
    <t>RT @Juanaafanador1: Toda la ciudadanía bogotana será afectada por el metro elevado. Cualquier sobrecosto lo asumiremos todos nosotros, el v…</t>
  </si>
  <si>
    <t>RT @susanamuhamad: La alcaldesa @ClaudiaLopez decidió subirle al pasaje de TM, diciendo que fue una decisión de Peñalosa, desde @ConcejoCH…</t>
  </si>
  <si>
    <t>RT @GNavasTalero: Todo decreto de un alcalde puede ser derogado por otro decreto de ese mismo alcalde u otro que le suceda en el cargo. A e…</t>
  </si>
  <si>
    <t>RT @DanielRMed: Lo concreto es que Petro ha sido el único alcalde que ha reducido en vez de aumentar la tarifa de Transmilenio, por eso lo…</t>
  </si>
  <si>
    <t>RT @ChalecosAmarill: 📰🆘️ #Colombia #elfinaldeuribe @hackerFiscalia lo nombró en su denuncia👇 https://t.co/KdGPW6l6gI</t>
  </si>
  <si>
    <t>RT @DanielRMed: El primer concejal que dio un debate sobre las tarifas técnicas de Transmilenio fue Guillermo Asprilla y en sentencia judic…</t>
  </si>
  <si>
    <t>Germán Cortés, maestro de Zipaquirá, sindicalista y luchador democrático ha muerto. Crecí al lado de sus luchas, q… https://t.co/e17DMZY1f5</t>
  </si>
  <si>
    <t>El IPCC, panel de expertos de la ONU, presionado por las empresas petroleras y del automóvil no incluyó en sus prev… https://t.co/cJQ5Rnqwt6</t>
  </si>
  <si>
    <t>Estas falencias en los modelos subvaloraron la capacidad catastrófica del cambio climático, y la elevación del nive… https://t.co/jKNetQp6bg</t>
  </si>
  <si>
    <t>En 20 años de transmilenio solo en mi alcaldía se negocio la reducción de la tarifa técnica, pago a operadores priv… https://t.co/l1mQp84N7Y</t>
  </si>
  <si>
    <t>RT @petrogustavo: Ha llegado la hora en que la ciudadanía bogotana se exprese en las calles sobre su transporte. Ya le congelaron el metro…</t>
  </si>
  <si>
    <t>RT @nicolaspetroB: Según la encuesta Barranquilla cómo vamos, hay un retroceso en materia social. El 22% de los barranquilleros confesó q…</t>
  </si>
  <si>
    <t>RT @danielbernalb: La persona que tomó esta foto HOY en el humedal Juan Amarillo - Tibabuyes me dice que sólo tenía ganas de sentarse a llo…</t>
  </si>
  <si>
    <t>Bajo esta versión, ¿por qué se consideró por parte del uribismo y el gobierno de Santos, un ultraje a las fuerzas m… https://t.co/FsL1zplLZX</t>
  </si>
  <si>
    <t>La profesionalización del ejército y de la policía tiene como primer elemento básico la generalización de la educac… https://t.co/chOClh8T4N</t>
  </si>
  <si>
    <t>Solo este indicador en España nos demuestra la existencia de un gran éxodo colombiano al exterior. El fracaso de un… https://t.co/e7xGEvhUan</t>
  </si>
  <si>
    <t>¿Por qué crece la economía 3,3% pero no crece el empleo? Porque lo que crece no es la producción, sino las simples… https://t.co/4ZFyo5iBVK</t>
  </si>
  <si>
    <t>¿Qué será de la vida de estos jóvenes? https://t.co/NnUin177dn</t>
  </si>
  <si>
    <t>Lo dice el que le ha rebajado 18 billones de impuestos a la oligarquía colombiana y a las empresas del carbón y del… https://t.co/rSwR1eZmL5</t>
  </si>
  <si>
    <t>Hay quien cree que el robo se soluciona matando al ladrón y asumiendose como juez de la vida y de la muerte. El qu… https://t.co/Zlcja9Hj1n</t>
  </si>
  <si>
    <t>RT @petrogustavo: ¿Por qué crece la economía 3,3% pero no crece el empleo? Porque lo que crece no es la producción, sino las simples trans…</t>
  </si>
  <si>
    <t>RT @adolforivasdiaz: 🆘 Fuertes combates en el Catatumbo entre ejército y ELN. Retrocedimos 15 años. ¿Adivinen quienes pelean esta guerr…</t>
  </si>
  <si>
    <t>RT @otromasmal: Ahí van, unos pobres soldados estrato 1 y 2 a pelear una guerra que ni ellos comprenden, pero que a nuestros políticos les…</t>
  </si>
  <si>
    <t>RT @LaSinEstilo: Cuando Petro propuso darles estudio a los soldados, mucha gente se indignó. ¿Ahora qué pensarán de que el general Montoya…</t>
  </si>
  <si>
    <t>¿Y dónde está en este momento el avión presidencial de Colombia que no evacua a nuestros nacionales de Wuhan? https://t.co/XPpmaoTyNY</t>
  </si>
  <si>
    <t>Si nuestros colegios tuvieran un profesional en psicología como apoyo escolar, para mejorar la calidad de vida de l… https://t.co/tnt9PLl2DG</t>
  </si>
  <si>
    <t>Vamos a reformar las pensiones, pero al contrario de lo que propone Duque Hay que fortalecer a Colpensiones con lo… https://t.co/pAmCgR8XZo</t>
  </si>
  <si>
    <t>Si se fortalece Colpensiones con cotizaciones que hoy van a las AFP, el estado liberará 15 billones anuales de sus… https://t.co/csiBiDUm42</t>
  </si>
  <si>
    <t>¿Alguna duda de porque el metro elevado beneficia es a las cementeras y por qué Fajardo tercio por él llevando a Cl… https://t.co/KKaWTDAuMC</t>
  </si>
  <si>
    <t>RT @petrogustavo: Vamos a reformar las pensiones, pero al contrario de lo que propone Duque Hay que fortalecer a Colpensiones con los coti…</t>
  </si>
  <si>
    <t>RT @susanamuhamad: Asi es apreciado German! La presidencial empezó ya, y la estrategia es desprestigiar a @petrogustavo para posicionar a @…</t>
  </si>
  <si>
    <t>Frente al abuso sexual policial, frente a tratar el cuerpo de la mujer como parte del campo de batalla, frente al a… https://t.co/FDUqubJlAB</t>
  </si>
  <si>
    <t>Frente a una política internacional que dejo la frontera colombo/venezolana en manos de las mafias y aceleró el éxo… https://t.co/ZIEcN6XHfr</t>
  </si>
  <si>
    <t>De acuerdo a la encuesta de movilidad con decenas de miles de encuestados, las mujeres de escasos recursos ahora ca… https://t.co/hLkh22X922</t>
  </si>
  <si>
    <t>RT @rudolf_hommes: Un pais que se ensaña contra sus niños y abusa de ellos o mata cobardemente a sus jóvenes como sucedió con los falsos po…</t>
  </si>
  <si>
    <t>RT @Angelicastell83: ¡Veamos si les queda claro que @petrogustavo no es socialista!, y que eso de que quería convertirnos no Cuba no es más…</t>
  </si>
  <si>
    <t>RT @DianAngel01: Estoy loca?????!!!... cerrado por todas partes y es por La Santa María!.. @ClaudiaLopez https://t.co/C3pyMwIHZv</t>
  </si>
  <si>
    <t>RT @SenorCaicedo: Jaime Bateman Cayón, murió el 28 de abril de 1883, hoy, 37 años después, sigue teniendo razón. https://t.co/GgHTJHlbXV</t>
  </si>
  <si>
    <t>A ustedes todos los días le dicen que Colombia es democratica y nos habrán escuchado decir que no es cierto. Bueno… https://t.co/iZSi2tveLk</t>
  </si>
  <si>
    <t>Las cámaras nunca funcionan bien, el puesto fijo pedido al gobierno para mi familia desde hace 4 años, nunca lo pon… https://t.co/nmR8mJNWuP</t>
  </si>
  <si>
    <t>El ELN se fortalece en la medida que Duque rompe con la paz, ambas lógicas solo traerán el fortalecimiento de la ul… https://t.co/AvytQrQqYi</t>
  </si>
  <si>
    <t>RT @susanamuhamad: Desde la Bancada Colombia Humana-UP mantenemos nuestra posición de NO Utilizar el ESMAD, empezar su desmonte y profundiz…</t>
  </si>
  <si>
    <t>Les gusta hacerse autogoles de cabecita. Messi no ha hecho ninguno, menos mal. https://t.co/Y5bUDCrgzi</t>
  </si>
  <si>
    <t>El pago con recursos públicos a personas que se dedican a la calumnia en las redes contra los dirigentes de la opos… https://t.co/IdBugaWmur</t>
  </si>
  <si>
    <t>El fiscal general va hacia el camino de garantizar impunidad en los crímenes de Estado. Le cobran a Claudia García… https://t.co/CmzSMyyS91</t>
  </si>
  <si>
    <t>RT @petrogustavo: El ELN se fortalece en la medida que Duque rompe con la paz, ambas lógicas solo traerán el fortalecimiento de la ultrader…</t>
  </si>
  <si>
    <t>RT @petrogustavo: A ustedes todos los días le dicen que Colombia es democratica y nos habrán escuchado decir que no es cierto. Bueno esto…</t>
  </si>
  <si>
    <t>RT @ctxt_es: "A finales del siglo XIX, la cuestión de clase también delimitó corrientes enfrentadas en el feminismo sufragista en Inglaterr…</t>
  </si>
  <si>
    <t>Aquí se demuestra quien manda. EL derecho a la protesta ha sido conculcado en Bogotá. https://t.co/3fG0X37OJq</t>
  </si>
  <si>
    <t>RT @fernandogp44: Aquí pueden mirar a un narcotraficante extraditado a los Estados Unidos Ahora Supongan a qué partido pertenecía? Antes d…</t>
  </si>
  <si>
    <t>AU... https://t.co/xxhde17W5h</t>
  </si>
  <si>
    <t>Cuando realizamos el programa de médicos en el hogar que cubrió a 3.8 millones de personas en Bogotá, pagando 6 mil… https://t.co/U92JikZy3Y</t>
  </si>
  <si>
    <t>El problema se soluciona en el mediano plazo con facultades de medicina que entrenen médicos generales con vocación… https://t.co/0dwODvVtzt</t>
  </si>
  <si>
    <t>El mundo debe saber que estamos en una dictadura. Tras los discursos de los dirigentes uribistas contra el sindical… https://t.co/mhho99umLT</t>
  </si>
  <si>
    <t>La Salud de Colombia en manos de Luis Carlos Sarmiento y los compradores de votos. La de Bogotá en manos del grupo… https://t.co/VjNStXhHLC</t>
  </si>
  <si>
    <t>Por primera vez la selva amazónica dejó de funcionar como sumidero natural de CO2, y ahora bota más CO2 a la atmósf… https://t.co/mN0DuKikRm</t>
  </si>
  <si>
    <t>El funcionario de Peñalosa que hoy es de Claudia y que dirige transmilenio ya lo ha anunciado. Habrá más buses y pu… https://t.co/OJycaLgOH0</t>
  </si>
  <si>
    <t>La reforma pensional de Duque que acaba Colpensiones, todos los pensionados seran pagados por el presupuesto, y ele… https://t.co/ApAjOK7bcP</t>
  </si>
  <si>
    <t>Catalina, lo que declare Aida no me afectara por una sola razón, nosotros no compramos votos, en cambio tienes un p… https://t.co/jBm8Lm3OHb</t>
  </si>
  <si>
    <t>RT @AlexLopezMaya: Lo hemos estado denunciando hay una probada persecución y agresión contra la oposición política en Colombia, especialmen…</t>
  </si>
  <si>
    <t>Duque sabia de la compra de votos masiva en el Caribe. Las encuestas me daban como ganador holgado en esa región po… https://t.co/NJHBh1b8Jp</t>
  </si>
  <si>
    <t>RT @PortalOtraVoz: #ConfesionDeAida ratifica denuncia de @petrogustavo sobre fraude electoral que implica a presidente @IvanDuque y a @Regi…</t>
  </si>
  <si>
    <t>Estas candidaturas de extrema derecha que ganaron presidencias con fraude, con trampa, poniendo presos a sus rivale… https://t.co/M2qmQwUGKJ</t>
  </si>
  <si>
    <t>Duque esta en la presidencia de manera ilegitima. Sólo se impuso comprando votos por centenares de miles en el Cari… https://t.co/PR7uMKMUWo</t>
  </si>
  <si>
    <t>RT @EpicuroDeSamos_: 1500 millones millones habría costado la fuga de Aida Merlano. Entre la corrupción de Duque (Uribe), la abstención y P…</t>
  </si>
  <si>
    <t>Le robaron la presidencia a las fuerzas populares y trabajadoras, a la juventud, a los territorios pobres en el 201… https://t.co/4StHGyO9bQ</t>
  </si>
  <si>
    <t>¿Qué opinan ustedes? ¿Será que quieren darle el título de dirigente de la oposición a Fajardo? ¿Será que a diferen… https://t.co/szG1bCahY0</t>
  </si>
  <si>
    <t>RT @Juventud_Humana: Bueno muchachos/as, Aida Merlano está confirmando que si Duque es Presidente es porque hizo fraude electoral a @petrog…</t>
  </si>
  <si>
    <t>RT @Lardila83: En tres años y medio del segundo Gobierno de Álex Char en Barranquilla, los Cure ganaron poco más de 243 mil millones de pes…</t>
  </si>
  <si>
    <t>Las pensiones de Colpensiones las pagamos los colombianos porque cotizantes esta en los fondos privados y no recib… https://t.co/NLnXAQH0tn</t>
  </si>
  <si>
    <t>Vargas Lleras fue engañado por Char, que se pasó de darle su apoyo a apoyar a Duque, sin embargo lo protegió con la… https://t.co/ng0Hews35e</t>
  </si>
  <si>
    <t>RT @WRadioColombia: Ataque a la familia de Gustavo Petro: Habla hermano del senador #SigueLaW https://t.co/2Q7HqjyHEp</t>
  </si>
  <si>
    <t>RT @redentor2126: Hoy fueron a buscar a mi hijo menor de 3 años para secuestrarlo, mientras tanto la @UNPColombia sigue sin hacer nada, señ…</t>
  </si>
  <si>
    <t>En el Caribe colombiano ganó Duque por 25.000 votos. Me impuse en las grandes ciudades excepto Valledupar y Monterí… https://t.co/Qvfk19fLWB</t>
  </si>
  <si>
    <t>RT @IvanCepedaCast: Atacan la casa de la mamá de @petrogustavo, amenazan a varios líderes de oposición, integrantes del Comité Nacional del…</t>
  </si>
  <si>
    <t>RT @Denis011114: Esta madrugada destruyeron el monumento que se había construido en homenaje a mi hermano. Quienes justifican el asesinato…</t>
  </si>
  <si>
    <t>¿Entraron estos gastos de Julio Gerlein en la contabilidad de Duque? No Si diez capos clientelistas como estos pus… https://t.co/sF5ys37EY8</t>
  </si>
  <si>
    <t>RT @elquelosdelata: Los votos se los compraron a los pobres y muchos de ellos eran votos costeños. Si a ese trozo de pueblo hambriento lo d…</t>
  </si>
  <si>
    <t>Solo en esta confesión invirtieron ilegalmente para comprar votos en la costa Caribe en favor de Duque, más de lo q… https://t.co/ZrVgRDzQI1</t>
  </si>
  <si>
    <t>RT @EpicuroDeSamos_: —Vicky: "¿Por qué entonces Alex Char es el mejor alcalde del país?" —Aida: "Por el cuarto poder, por los medios de co…</t>
  </si>
  <si>
    <t>RT @AlvaroMaduque: #PresidenciaComprada de eso no cabe ninguna duda, o acaso olvidaron también que no permitieron que una comisión de la Un…</t>
  </si>
  <si>
    <t>RT @Juventud_Humana: #DuqueCompróLasElecciones y las confesiones de Aida Merlano lo confirman. Sólo con fraude electoral pudieron derrotar…</t>
  </si>
  <si>
    <t>Los sobornos de Odebrecht a los Char se hicieron a través de la familia Torres y la firma Torrosa, que recibieron s… https://t.co/V24BcCl2He</t>
  </si>
  <si>
    <t>RT @MajoDoria: Petro es el presidente legítimo de este país. Duque es el Guaido Colombiano, pero elegido por plata. https://t.co/cscli2fa…</t>
  </si>
  <si>
    <t>RT @progresistascol: #DuqueCompróLasElecciones porque limpiamente no hubiera podido ganarnos. La clase política de este país pende de un h…</t>
  </si>
  <si>
    <t>RT @PabloAndrsLpez: @DonIzquierdo_ La compra de votos, sumado a la manipulación del formato E14 y el software inauditable de la registraría…</t>
  </si>
  <si>
    <t>RT @charry_manager: Los motivos sobran para salir el #21E, ahora sabemos que fuimos asaltados en nuestra democracia, los poderes más podrid…</t>
  </si>
  <si>
    <t>Que todos los electores y electoras de Colombia Humana, salgan este 21 a las calles. Es así como debe configurarse… https://t.co/tF6WcAPRx1</t>
  </si>
  <si>
    <t>La persona que entregó los billetes es muy conocida. es el exnovio de la mamá de tu líder: Paloma Valencia. El siti… https://t.co/Bb9RpY1f7y</t>
  </si>
  <si>
    <t>RT @HOLLMANMORRIS: Mientras @petrogustavo llenaba plazas en todo el país, @IvanDuque compraba votos. #PresidenciaComprada #ConfesionDeAida…</t>
  </si>
  <si>
    <t>RT @LUISEROLAVE: Totalmente... No quitaron la oportunidad de vivir.✊🏿Y hoy nos gobierna en Colombia una política de muerte! https://t.co/sw…</t>
  </si>
  <si>
    <t>RT @petrogustavo: Que todos los electores y electoras de Colombia Humana, salgan este 21 a las calles. Es así como debe configurarse el mov…</t>
  </si>
  <si>
    <t>RT @LuzMBernalParra: @petrogustavo Ver las declaraciones de esta señora Aída Merlano, da tanta rabia y peor saber que no va a pasar nada, p…</t>
  </si>
  <si>
    <t>RT @LupeMohawk: @petrogustavo Porque somos la generación sin posibilidad de ahorrar o pensionarse, Vamos a Parar!!! #21F https://t.co/PrwV2…</t>
  </si>
  <si>
    <t>La gente.pobre asesinada, los jóvenes asesinados por el Estado para que una sociedad aplaudiera la seguridad dispen… https://t.co/RyTblIMSHk</t>
  </si>
  <si>
    <t>Parte de la sociedad no puede admitir lo que se sabe, que se ganan curules con las que se hacen leyes y las preside… https://t.co/ld8tcAiBwB</t>
  </si>
  <si>
    <t>RT @GustavoBolivar: Por fin: Declaración de Renta de Alvaro Uribe, uno de los hombres más ricos y con más tierras en Colombia: Saldo a pag…</t>
  </si>
  <si>
    <t>La declaración de renta de AUV. El senador paga impuestos en la retención en la fuente por su sueldo, pero no paga… https://t.co/KS61G49w2d</t>
  </si>
  <si>
    <t>RT @nicolaspetroB: La estrategia del establecimiento sigue siendo la misma: evitar que @petrogustavo obtenga una victoria contundente en la…</t>
  </si>
  <si>
    <t>El estado en Colombia es laico, establece una separación con las creencias religiosas y las respeta a todas, les da… https://t.co/vAKTJZpdIC</t>
  </si>
  <si>
    <t>El déficit comercial se debe a la caída en valor de las exportaciones de carbón y petroleo, y provoca la devaluació… https://t.co/2G3wNgIEmA</t>
  </si>
  <si>
    <t>Por eso el eje de la politica económica de Colombia Humana es desligarse de la extracción de combustibles fósiles y… https://t.co/m0KyHtfuJz</t>
  </si>
  <si>
    <t>Reforma agraria, protección de importaciones usando la tasa carbón, democratización del crédito y sociedad del conocimiento</t>
  </si>
  <si>
    <t>Si los estadios de fútbol de Colombia son públicos, la transmisión de los partidos debe ser, antes que nada, en señ… https://t.co/24wUxUnkay</t>
  </si>
  <si>
    <t>La juventud jamás debe morir asesinada. Que las juventudes de Colombia salgan el 21 de febrero a cantar y a lucha… https://t.co/FGwxx55bL8</t>
  </si>
  <si>
    <t>Señor sergio la tierra renta. https://t.co/3PrMX1gJgc</t>
  </si>
  <si>
    <t>Igual que se hizo con los buses viejos, se hace con los camiones viejos, pero en estos la responsabilidad es de la… https://t.co/7PO6Wo5dji</t>
  </si>
  <si>
    <t>RT @petrogustavo: Si los estadios de fútbol de Colombia son públicos, la transmisión de los partidos debe ser, antes que nada, en señal abi…</t>
  </si>
  <si>
    <t>¿Qué creen que hará la prensa Colombiana hoy. Hablar sobre las dudas de la legitimidad del Presidente de la Repúbli… https://t.co/EFI6mjYuUn</t>
  </si>
  <si>
    <t>Aquí mi abogado Rafael Barrios, al lado de Carlos Rodríguez, explican porque mi demanda ante la Corte Interamerica… https://t.co/ULbd1DNWhB</t>
  </si>
  <si>
    <t>El error de la silla vacía es no analizar la renta presuntiva de la declaración con el valor del patrimonio, que es… https://t.co/psweC1EVmf</t>
  </si>
  <si>
    <t>RT @ChalecosAmarill: 📽♻️COMPARTE♻️ https://t.co/XgBMxGz01o</t>
  </si>
  <si>
    <t>Los camiones con más de 20 años es de gente con poca capacidad de pago que vive de ellos. La restricción afecta sus… https://t.co/nDPRmPql85</t>
  </si>
  <si>
    <t>RT @petrogustavo: Aquí mi abogado Rafael Barrios, al lado de Carlos Rodríguez, explican porque mi demanda ante la Corte Interamericana de…</t>
  </si>
  <si>
    <t>Los héroes de la salud. https://t.co/Rc3NHBGoQd</t>
  </si>
  <si>
    <t>RT @alferdez: En los últimos años el lawfare se instaló en Argentina. Entonces cuestioné la complacencia judicial y mediática con el poder…</t>
  </si>
  <si>
    <t>Bolívar tiene razón, la declaración de renta de Uribe es legal pero tiene el fraude de todos los grandes propietari… https://t.co/L8i8ezJMl8</t>
  </si>
  <si>
    <t>En un país decente ya Julio Gerlein y varios miembros de la familia Char estarían presos. Pero hasta la metira del… https://t.co/jVj5KFZBTe</t>
  </si>
  <si>
    <t>RT @GustavoBolivar: Asesinado Miguel Ángel Marín de 16 años. Integraba la red de radio comunitaria y popular Morada en comuna 13, Medellín…</t>
  </si>
  <si>
    <t>RT @petrogustavo: En un país decente ya Julio Gerlein y varios miembros de la familia Char estarían presos. Pero hasta la metira del Castro…</t>
  </si>
  <si>
    <t>RT @petrogustavo: Parte de la sociedad no puede admitir lo que se sabe, que se ganan curules con las que se hacen leyes y las presidencias,…</t>
  </si>
  <si>
    <t>La critica de muchas personas a la declaración de renta de AUV es cierta ¿por qué con tan grandes fortunas no pagan… https://t.co/HgIoCwHiAb</t>
  </si>
  <si>
    <t>Los elementos de la subvaloración del avalúo catastral rural están desde hace décadas. Los narcoterratenientes en e… https://t.co/c4b1sKoMqe</t>
  </si>
  <si>
    <t>Otro niño asesinado por el gobierno, el de Uribe, lo pasaron como falso positivo en Dabeiba. https://t.co/OCU4jNBnFU</t>
  </si>
  <si>
    <t>RT @EpicuroDeSamos_: "busquemos otros lideres que no sea Petro", dicen algunos, como si forjar un líder fuese cosa de la noche a la mañana,…</t>
  </si>
  <si>
    <t>RT @JulianG40747584: #PresidenciaComprada Estas son las imágenes que reafirman las palabras de Aida Aida Merlano de como le robaron las el…</t>
  </si>
  <si>
    <t>Que la fiscalía no investigue de acuerdo a las denuncias de Aida se llama denegación de justicia y es a toda la sociedad colombiana.</t>
  </si>
  <si>
    <t>Un niño menor de 10 años entre siete jóvenes a los que le pusieron botas. Nueva fosa común encontrada llena de la j… https://t.co/3ttLB7hni2</t>
  </si>
  <si>
    <t>RT @petrogustavo: Que la fiscalía no investigue de acuerdo a las denuncias de Aida se llama denegación de justicia y es a toda la sociedad…</t>
  </si>
  <si>
    <t>Ha muerto nuestro precandidato por ñaColombia Humana a la alcaldía de Sahagún, Córdoba, Ismael Zuleta, cantante y p… https://t.co/jbMjRwtTd0</t>
  </si>
  <si>
    <t>RT @MAGODELASINTONI: "Pido la palabra" Dos frases de Aída Merlano : "la izquierda no necesita comprar votos" y "No hay nadie de la derecha…</t>
  </si>
  <si>
    <t>RT @anateresabernal: Esto es lo que dice la Personera de Bogotá sobre el nuevo protocolo de actuación en la protesta social en Bogotá. Se d…</t>
  </si>
  <si>
    <t>Acaban de atentar contra la vida de William Manrique en la autopista en Gachancipá. William es miembro de la Junta… https://t.co/Fc3ThG6PR2</t>
  </si>
  <si>
    <t>Mi posición ante las denuncias presentadas por Aida Merlano https://t.co/GSD8XaY1z4</t>
  </si>
  <si>
    <t>RT @ChalecosAmarill: 📽🆘Asesinan a niña en #Palestina Actos siniestros q comete el ejército de #Israel 🇮🇱 causan pánico y el mundo silencia…</t>
  </si>
  <si>
    <t>Prefiero que le sirvan al ciudadano y la ciudadana. Hay quienes entre más velas prenden, más le sirven al diablo. https://t.co/IYAuBdKnf0</t>
  </si>
  <si>
    <t>La renta presuntiva se llama así porque permite considerar que determinados patrimonios generan renta y se establec… https://t.co/mvMTHo4aFd</t>
  </si>
  <si>
    <t>RT @petrogustavo: Mi posición ante las denuncias presentadas por Aida Merlano https://t.co/GSD8XaY1z4</t>
  </si>
  <si>
    <t>El robo de las elecciones en el 2018. El delito como base de la ilegitimidad del poder. ¿Qué hacer? Con que cada… https://t.co/imgTW0Pbzb</t>
  </si>
  <si>
    <t>RT @petrogustavo: El robo de las elecciones en el 2018. El delito como base de la ilegitimidad del poder. ¿Qué hacer? Con que cada electo…</t>
  </si>
  <si>
    <t>RT @JUANCAELBROKY: URGENTE DIFUNDIR: Ronaldo Vásquez estudiante de derecho de V semestre de U del Atlántico está desaparecido desde el domi…</t>
  </si>
  <si>
    <t>La visión de los EEUU sobre la masacre de El Salado: la participacion activa del gobierno en la masacre. https://t.co/A2cpc2Hwpe</t>
  </si>
  <si>
    <t>RT @TobonSanin: Los delincuentes también pueden decir verdades, claro que también mienten para salvarse. Merlano ha dicho que la elección d…</t>
  </si>
  <si>
    <t>RT @William_Garra: "Vaya mate a un bobo o un loco", Coronel revela órdenes del General Montoya https://t.co/te46waYPPG vía @caracolradio</t>
  </si>
  <si>
    <t>RT @LemusteleSUR: Un alumno reclamaba porque su nombre no aparecía en la lista de inscritos en la escuela pública Emydgio de Barros, en la…</t>
  </si>
  <si>
    <t>RT @Javiguer666: "Los políticos de izquierda no se venden" Aída Merlano. Las confesiones de @AidaMerlano son tan contundentes, que queda cl…</t>
  </si>
  <si>
    <t>Adelante santandereanos. La movilización por el agua es la movilización por la Vida. https://t.co/CLyjetAhfh</t>
  </si>
  <si>
    <t>RT @FisicoImpuro: Arturo Char q con su familia son dueños del Junior, almacenes, droguerías, Banco, emisoras y equipo de béisbol; tiene un…</t>
  </si>
  <si>
    <t>Es increíble como la prensa oculta lo más estridente de la declaración d renta de Uribe: La renta presuntiva, que a… https://t.co/5SPWtXrqGI</t>
  </si>
  <si>
    <t>RT @Juanaafanador1: La noticia del niño de 10 años encontrado en una fosa común y con las botas al revés, resume la barbarie, el horror y l…</t>
  </si>
  <si>
    <t>RT @MdeFrancisco12: Ciudadanos de a pie defendiendo a la clase política que los estafa. Enajenados.</t>
  </si>
  <si>
    <t>Tratar la vida humana como si fuera una cosa desechable. De que sirve hablar de "Dios y Patria" si la vida Humana l… https://t.co/wdzIuOW6Kx</t>
  </si>
  <si>
    <t>La mafia política de Candelaria, Valle, después de matar la dirigencia de Colombia Humana, sigue amenazando más ciu… https://t.co/92t1anEHBo</t>
  </si>
  <si>
    <t>Después de una denuncia de la magnitud de la de Aida Merlano sobre la clase política del Atlántico y su corrupción… https://t.co/DAlA2DnuwV</t>
  </si>
  <si>
    <t>El problema central mi amigo es que Aida denuncia compra de votos por y para el Presidente de la República lo que c… https://t.co/aSF5BZcRXH</t>
  </si>
  <si>
    <t>RT @AnakareriNannaE: https://t.co/OM2jPNqCrl</t>
  </si>
  <si>
    <t>RT @AlexLopezMaya: ¿De cual política de primera infancia habla @IvanDuque? Si en su desorden administrativo dejó a 618.011 niños sin atenc…</t>
  </si>
  <si>
    <t>RT @LaOrejaRoja: 'Sobre la Fiscalía de Martínez, la excongresista aseguró que Sarmiento Ángulo, Julio Gerlein y el propio Néstor Humberto M…</t>
  </si>
  <si>
    <t>RT @GautierMignot2: En #Dabeiba estuvimos con la @JEP_Colombia y hablamos con mucha gente: para todos no cabe duda que Edison Lezcano fue u…</t>
  </si>
  <si>
    <t>RT @SaraIBolanos: La penalización del aborto solo hace que: *los abortos sean clandestinos *se practiquen en forma insegura *aumente la…</t>
  </si>
  <si>
    <t>RT @RevistaSemana: #ProtejanAAmórtegui | "El general (Mario) Montoya me dice, sin conocerlo, 'viejo, ya le mando brazaletes de las Farc' (.…</t>
  </si>
  <si>
    <t>El aumento del uso del carro y la disminución del transporte público no se deben al dia sin carro o a su inocuidad,… https://t.co/DFi60sgybP</t>
  </si>
  <si>
    <t>Se queman los páramos y los humedales, el agua de Colombia está en peligro, la sequía arrecia. No hay fenómeno del… https://t.co/LffCUJNEQ8</t>
  </si>
  <si>
    <t>La necesidad de dejar de depender del petroleo y del carbón es un asunto de vida o muerte.</t>
  </si>
  <si>
    <t>RT @ricardobonillag: Porqué no prospera catastro multipropósito y se desmontó la renta presuntiva?. Para que dueños de activos improductivo…</t>
  </si>
  <si>
    <t>RT @ricardobonillag: 7. Con qué pagó impuestos?, con su sueldo de congresista, porque de esa gran fortuna no obtiene ni un peso, solo le ge…</t>
  </si>
  <si>
    <t>RT @ricardobonillag: Nadie duda que @AlvaroUribeVel pagó impuestos en 2018, renta, patrimonio y predial sobre base desactualizada y sin otr…</t>
  </si>
  <si>
    <t>RT @wilvacations1: @elsemblante Que tal si Aida, hubiera prendido el ventilador y los cuestionados fueran de Colombia Humana? Como serían l…</t>
  </si>
  <si>
    <t>RT @IreneMontero: Enhorabuena por la firma del primer convenio colectivo de la Liga femenina de fútbol. Meses de organización y movilizació…</t>
  </si>
  <si>
    <t>RT @RadNalCo: #LaSeñalDeLaMañana "En 2017 fueron asesinados 6 maestros, en 2018 se registraron 11 asesinatos y en 2019 la cifra incrementó…</t>
  </si>
  <si>
    <t>Salvador Arana conoce al detalle la entrada del paramilitarismo a Sucre. Sobretodo aquella primera convivir confor… https://t.co/qZkz4tsKtZ</t>
  </si>
  <si>
    <t>La lucha por la educación superior beneficiaria en primer lugar a los jóvenes que hoy estudian en los colegios públ… https://t.co/mgV5yq24mR</t>
  </si>
  <si>
    <t>Claudia puso a Galán de presidente del concejo y Galán sabotea el debate del metro de Peñalosa. ¿Sabrán que la dem… https://t.co/XVt6i3knsA</t>
  </si>
  <si>
    <t>RT @colombia_hist: Presidente de la República en 2002 Alvaro Uribe reunido con #FidelCastro #HistoriaDeColombia https://t.co/vYQ8Ny5G8H</t>
  </si>
  <si>
    <t>RT @fernandoposada_: Decirse 'provida' y votar contra un acuerdo de paz. Decirse 'provida' pero apoyar proyectos de cadena perpetua. Decirs…</t>
  </si>
  <si>
    <t>Ecopetrol puede generar gigas de energía solar. Reemplazar el proyecto de hidroituango y todas las termoeléctricas… https://t.co/VxHfvZHmMI</t>
  </si>
  <si>
    <t>La posición política sobre el cambio climático se va a volver determinante en la elección del próximo presidente de… https://t.co/1H0ext9dAq</t>
  </si>
  <si>
    <t>Ojalá el carnaval se convirtiera en la gran burla festiva del pueblo barranquillero contra su clase política corrup… https://t.co/W9SU1uY8XD</t>
  </si>
  <si>
    <t>Reina el que logra dividir a los trabajadores. Tanto los taxistas como los conductores de uber se autoexplotan en f… https://t.co/eW85m12mL4</t>
  </si>
  <si>
    <t>En los fondos privados pensionales ek dinero cotizado va a inversiones que le sirven al dueño del fondo, generalmen… https://t.co/jT8ycyQvmm</t>
  </si>
  <si>
    <t>La gran diferencia entre el régimen privado de ahorro del fondo y Colpensiones es que la riqueza que sale del traba… https://t.co/1n0xsI2GUw</t>
  </si>
  <si>
    <t>RT @harmanfelipe: ¡Un día histórico para Villavicencio! Desde hoy oficialmente la ciudad es dueña del terreno que dará lugar a nuestro Par…</t>
  </si>
  <si>
    <t>RT @tikopineda: El carnaval es el desorden multitudinario donde el pueblo le canta la tabla y ridiculiza a los gobernantes. Una manera lú…</t>
  </si>
  <si>
    <t>RT @SenSanders: The American people want to know: If we could bail out the crooks on Wall Street, how come we can't protect working class f…</t>
  </si>
  <si>
    <t>Le niegan la casa por cárcel al jefe del clan, pero su clan gobierna a Santander. https://t.co/gz4vowqMEI</t>
  </si>
  <si>
    <t>RT @Carlozada_FARC: Presidente @IvanDuque preferimos renunciar a medidas de protección antes que dejar nuestra seguridad en manos de este…</t>
  </si>
  <si>
    <t>RT @Juanaafanador1: Qué sorpresa que la esposa del concejal @CarlosFGalan tenga un contrato con la empresa que hizo los estudios del metro…</t>
  </si>
  <si>
    <t>RT @susanamuhamad: En nuestro cuestionario, la pregunta sobre la Comisión de Verificación del metro anunciada, una semana después de elegid…</t>
  </si>
  <si>
    <t>En 30 años años han asesinado 1.100 maestro(a)s en Colombia. Una destrucción enorme de acumulación de conocimiento… https://t.co/8UE78qIFMk</t>
  </si>
  <si>
    <t>RT @petrogustavo: En los fondos privados pensionales ek dinero cotizado va a inversiones que le sirven al dueño del fondo, generalmente en…</t>
  </si>
  <si>
    <t>RT @petrogustavo: La lucha por la educación superior beneficiaria en primer lugar a los jóvenes que hoy estudian en los colegios públicos;…</t>
  </si>
  <si>
    <t>Congresistas por sus ingresos salariales pagan los impuestos vía retefuente y por eso si solo tienen esas rentas, n… https://t.co/EXTaVrZNz7</t>
  </si>
  <si>
    <t>Si los grandes propietarios no pagan impuestos por sus tierras, no solo hay una injusticia tributaria, sino que se… https://t.co/qAltVXsuBR</t>
  </si>
  <si>
    <t>Por eso Colombia Humana propuso elevar el impuesto a la tierra fértil pero improductiva en manos de grandes poseedo… https://t.co/oMxNvViWzI</t>
  </si>
  <si>
    <t>¿Por qué la fiscalía colombiana no investigó a Alejandro Char sobre los sobornos que Inassa, dueña de la triple A,… https://t.co/ML2QXf5NXT</t>
  </si>
  <si>
    <t>Hora de luchar por la estabilidad laboral que implica reformar la ley 50, esa que Uribe y Cesar Gaviria hicieron pa… https://t.co/XFFAPpcEGu</t>
  </si>
  <si>
    <t>Nos van a quitar el derecho a la pensión. Hora de salir a las calles este 21 de febrero https://t.co/FnOMgBM5kJ</t>
  </si>
  <si>
    <t>RT @juliherrerap: Es VERDAD, doy fe de ello, es más, lo juro🤚🏼. El proyecto Soto Norte de @Minesa_Col NO TOCA el Páramo de #Santurbán, lo v…</t>
  </si>
  <si>
    <t>RT @ComiteSanturban: #DENUNCIA El que ustedes ven en vídeo; de cabello claro, extranjero, es el encargado de seguridad de @Minesa_Col. Mire…</t>
  </si>
  <si>
    <t>Este es el odio construido. La xenofobia. Olvidamos la historia, olvidamos que 5 millones de colombianos han abando… https://t.co/e7HhdqeKSw</t>
  </si>
  <si>
    <t>El desalojo de las universidades es como quemar los libros.</t>
  </si>
  <si>
    <t>RT @ANNALVAREZG: QUE TAL LA SEPARACIÓN DE PODERES EN ESTE PAIS ........ El cuadrado amoroso ! A todo extranjero q le pregunto q tal esto ?…</t>
  </si>
  <si>
    <t>RT @Fundaforocosta: Les compartimos algunos datos claves del caso de Aída Merlano y unos interrogantes que consideramos importantes dejar p…</t>
  </si>
  <si>
    <t>A diferencia de la fiscalía, que deniega justicia a la sociedad, la Corte Suprema inicia investigación de oficio, c… https://t.co/AteIoAU3EQ</t>
  </si>
  <si>
    <t>RT @intiasprilla: Que si este gobierno es Ilegítimo? Yo creo que es más que obvio... https://t.co/NwB3BqsveS</t>
  </si>
  <si>
    <t>Ingresar a una universidad con la fuerza bruta es como quemar en las hogueras los libros. Parece que hubiera una c… https://t.co/EHSk4hbbAH</t>
  </si>
  <si>
    <t>No permitirán que Evo sea candidato al senado en Bolivia. Así actúa la extrema derecha en el poder: destruye la dem… https://t.co/Lju64EYQOq</t>
  </si>
  <si>
    <t>Un neonazi mata diez personas en Frankfurt, Alemania. En tiempos de la extinción de la vida, la barbarie se hace al… https://t.co/O1cve6KAhy</t>
  </si>
  <si>
    <t>RT @conycamelo: Ustedes sabían que Minesa significa Sociedad minera de Santander pero no hay ni un solo minero de Santander? Los socios s…</t>
  </si>
  <si>
    <t>RT @LaPazColombiani: No me sorprende ver un URIBESTIA Racista, Xenófobo, NO, así son. Pero, estos son los mismos Venezolanos que Apoyaron a…</t>
  </si>
  <si>
    <t>RT @Filosysofos: Agradezco si me ayudan a difundir (hilo) Les cuento que hoy en la U.Minuto de Dios Sede Principal Cll80 hubo una pequeña #…</t>
  </si>
  <si>
    <t>Sobretodo a la candela de Luis Carlos Sarmiento o de Norberto Odebrecht https://t.co/wWrgqZRs7r</t>
  </si>
  <si>
    <t>RT @GustavoBolivar: Uribistas de Santander ¿Uds creen q MINESA solo acabará el agua de quienes se rompen el alma para impedir este suicidio…</t>
  </si>
  <si>
    <t>RT @CarloSotomonte: ¡Alerta Santurbán está en grave peligro! Defenderemos Santurbán a muerte, por el agua y la vida de nuestra región no da…</t>
  </si>
  <si>
    <t>RT @Teresamunozl: Me duele ver mi alma mater militarizada, #NoMasESMAD https://t.co/4QVaDCdd8Y</t>
  </si>
  <si>
    <t>RT @AbadColorado: @QuinteroCalle creí que ibas a ser inteligente para mover el alma de Medellín en construcción de PAZ urgente con todas la…</t>
  </si>
  <si>
    <t>RT @CNNEE: El estado de Colorado en EE.UU. reportó ventas récord de cannabis en 2019. Parte de los ingresos van a las arcas públicas y se t…</t>
  </si>
  <si>
    <t>RT @Phonetiks: ¿Se inventan la marrullería #NoMasPetro para tapar que la esposa de @CarlosFGalan trabajó para la interventoría de los estud…</t>
  </si>
  <si>
    <t>Esto es falso. En fondos privados el ahorro no puede ser usado por el ahorrante hasta décadas después, solo lo util… https://t.co/3yG4cAb9pb</t>
  </si>
  <si>
    <t>RT @AbadColorado: Me corrigen profesores.”Esto no se realizó x encima del rector”. “Hay consentimiento velado desde el interior y se valida…</t>
  </si>
  <si>
    <t>RT @JAntiuribista: No soy petrista, pero debo decir qué hay una gran diferencia entre la propuesta de Petro de llevar a los uniformados a l…</t>
  </si>
  <si>
    <t>RT @CaroSilvestre: "nosotros somos salvajes para la derecha golpista" asegura @evoespueblo y advierte que no quieren que vuelva a Bolivia x…</t>
  </si>
  <si>
    <t>La única manera para que Duque tenga mayoría en el Senado de la República y se le aprueben las leyes que buscan aca… https://t.co/dn0ZMXUa5M</t>
  </si>
  <si>
    <t>RT @CaracolRadio: Comunidades indígenas en Risaralda se suman al paro nacional convocado por Fecode, asegurando que las dificultades en sus…</t>
  </si>
  <si>
    <t>RT @CaracolRadio: #Bogotá Avenida Norte Quito Sur con calle 19 (s-n): a la hora, concentración de manifestantes de FECODE en preparación pa…</t>
  </si>
  <si>
    <t>RT @alfreparedes: Los han hecho despreciar al campesino y adorar al terrateniente Humillar al débil y enaltecer al poderoso Abandonar a la…</t>
  </si>
  <si>
    <t>RT @CerdoDiplomatic: De esta manera tan descarada @IvanDuque le robó la presidencia a @petrogustavo. #ConfesionDeAida #PresidenciaComprada…</t>
  </si>
  <si>
    <t>RT @AlirioUribeMuoz: URGENTE: La fiscalía acaba de capturar al defensor de derechos humanos Hector Sánchez protagonista del documental Ope…</t>
  </si>
  <si>
    <t>54 jóvenes y niños asesinados por un gobierno. Sus cuerpos afloran en Dabeiba. Sus asesinos están en el poder y goz… https://t.co/8iILUiteIX</t>
  </si>
  <si>
    <t>Los industriales de las confecciones obligaron a sus trabajadores a votar por Duque. Le organizaron manifestaciones… https://t.co/1oEnJtEnhg</t>
  </si>
  <si>
    <t>RT @JulianG40747584: Este fue el mensaje que un joven caleño le envió a @sergio_fajardo en 2da vuelta presidencial. Pues todo lo que dice…</t>
  </si>
  <si>
    <t>RT @graffitiborrao: La señora @ClaudiaLopez anunció que con la nueva flotilla de articulados a gas natural, se reduciría la contaminación e…</t>
  </si>
  <si>
    <t>RT @petrogustavo: Los industriales de las confecciones obligaron a sus trabajadores a votar por Duque. Le organizaron manifestaciones y lo…</t>
  </si>
  <si>
    <t>El paro de camiones continua y sin embargo el aire de Bogotá empeora, no miden los gases de CO2 equivalentes que ay… https://t.co/fLJBlGDXb7</t>
  </si>
  <si>
    <t>RT @AlexLopezMaya: ¡QUÉ ES ESTE DESCARO! funcionario del ICBF en Sucre está firmando contratos de aporte con operadores en plena fiesta. Lo…</t>
  </si>
  <si>
    <t>RT @GonzaloAgudeloH: S.O.S.🚨 S.O.S. 🚨 Están quemando lo poco que queda de selva por el Guayabero. Hoy más de 100 quemas. Entre San José y L…</t>
  </si>
  <si>
    <t>RT @nicolasAmon: Decía Peñalosa: “La nueva flota de tranmilenio es biarticulada por lo cual mejorará el sistema” La realidad: Ahora como…</t>
  </si>
  <si>
    <t>Y comienza de nuevo la movilización popular https://t.co/etRpS1NjwT</t>
  </si>
  <si>
    <t>Los campesinos no se oponen a la erradicación, al contrario pactaron con el gobierno anterior un proceso de erradic… https://t.co/jvx3ewufc1</t>
  </si>
  <si>
    <t>Y todavía hay alcaldías que se enorgullecen por cambiar un bus diesel por un bus a gas, ambos el gas y el petróleo… https://t.co/ODX9Fpp0Ph</t>
  </si>
  <si>
    <t>RT @GiordanoBrunoFi: 17 de mayo de 1997 EN MANIFESTACIÓN, LE PIDEN A ALVARO URIBE DIRIGIR EL PAÍS. Entre los ilustres asistentes Fabio Och…</t>
  </si>
  <si>
    <t>RT @soydeituango: A esta hora campesinos de Briceño Antioquia protestan por incumplimiento del gobierno en el programa de sustitución de cu…</t>
  </si>
  <si>
    <t>RT @NoticiasCaracol: Disturbios en Tumaco por desalojo de dos mil familias de un barrio invasión - https://t.co/6i7ID6Be72 https://t.co/6JH…</t>
  </si>
  <si>
    <t>RT @TobonSanin: La autonomía universitaria es una conquista de muchos años, y hay que respetarla. Llamo al Alcalde Quintero a la reflexión,…</t>
  </si>
  <si>
    <t>RT @anateresabernal: La movilización es un ejercicio de reflexión social. Todo cambio requiere unos nuevos pactos de la sociedad y Colombia…</t>
  </si>
  <si>
    <t>RT @AndresCamiloHR: #OFICIAL Luego de las declaraciones del Sr. Carlos Antonio Velez en un medio de comunicación en las que hace graves señ…</t>
  </si>
  <si>
    <t>RT @juliherrerap: #Denuncia conozcan a Carolina Higuavita, defensora de nuestro Páramo de #Santurbán, ayer fue agredida por la espalda por…</t>
  </si>
  <si>
    <t>La instituciones financieras manejan el ahorro libre, las cotizaciones en pensiones son un ahorro forzoso de largo… https://t.co/SvyqZxAQw9</t>
  </si>
  <si>
    <t>RT @juliherrerap: Véanlo una y mil veces! Aquí el sujeto de pelo blanco y camisa morada, cuando pretende tomar a la fuerza a una de nuestra…</t>
  </si>
  <si>
    <t>Dije hace unos meses que el incumplimiento del programa de sustitución de cultivos y erradicación voluntaria firmad… https://t.co/ahLcMZ3EWx</t>
  </si>
  <si>
    <t>Se tomaron el.poder ilegítimamente, iniciaron una dictadura en Bolivia y se dedicaron a llenar jets con cocaína. https://t.co/EzNN13BLho</t>
  </si>
  <si>
    <t>RT @levyrincon: Razones para odiar a Uribe: - masacres - narcotráfico - falsos positivos - fosas comunes - paramilitarismo - Evasión de…</t>
  </si>
  <si>
    <t>Nunca he querido pasar las discusiones con periodistas a la justicia, pero esta vez iniciaré todas las acciones pen… https://t.co/mZrcZiUE87</t>
  </si>
  <si>
    <t>RT @charry_manager: Llegamos a la plaza, sin detenernos la movilización seguirá en las calles, hoy más que nunca respaldando a los estudian…</t>
  </si>
  <si>
    <t>RT @TvMasHumana: Que dirá la @FLIP_org sobre la opinión “deportiva” de VELEZ....??? Instigar odio desde el micrófono es la razón de los ase…</t>
  </si>
  <si>
    <t>RT @susanamuhamad: #Javeriana universidades no son campo de batalla, ni para vándalos ni para la fuerza publica. #NomasESMAD frente a la pr…</t>
  </si>
  <si>
    <t>La autonomía universitaria es un derecho consagrado en la ley para permitir que la universidad sea libre en el pens… https://t.co/KJBL1bJjps</t>
  </si>
  <si>
    <t>RT @OscarFlorezO: #URGENTE nos informan que hay 30 estudiantes heridos en la U. Distrital a causa de la brutalidad policíaca. Hacemos respo…</t>
  </si>
  <si>
    <t>RT @JulieDuque1: Cochinos. Video de @DePasillo_col https://t.co/oi7b3WjfON</t>
  </si>
  <si>
    <t>RT @sebaquiropa: Esta chica fue retenida en la Universidad Distrital, sede 40. Se llama Lorena Moreno. Alerta para que la Policía no cometa…</t>
  </si>
  <si>
    <t>RT @ammejiaaguado: ESMAD ingresa a la U Distrital, sede d ingeniería. La alcaldesa @ClaudiaLopez es la responsable d la violación a la auto…</t>
  </si>
  <si>
    <t>RT @elcolombiano: "Nos duele, como a todos los universitarios, volver a ver nuestra casa convertida en un teatro de operaciones", dice el C…</t>
  </si>
  <si>
    <t>RT @RevistaSemana: Autoridades indígenas hablan de un genocidio silencioso con un patrones comunes en más de cien homicidios. La Acin asegu…</t>
  </si>
  <si>
    <t>RT @JuanPoe: En un informe del CTI de 2014 se consignó que la caída del helicóptero pudo obedecer a acciones criminales. Sigue👇 https://t.c…</t>
  </si>
  <si>
    <t>RT @BogotaTransito: #AEstaHora se presenta manifestación en la avenida Circunvalar con calle 15, sentido norte - sur. Autoridades acompañan…</t>
  </si>
  <si>
    <t>Le habíamos pedido a Claudia que hiciera saltar la educación superior hasta alcanzar 75% de cobertura en toda la ju… https://t.co/bcvKqa5tjb</t>
  </si>
  <si>
    <t>RT @Hekatombe_: Estudiantes de la Universidad Distrital se resguardan en la Universidad Cooperativa, tras fuertes ataques del Esmad. https:…</t>
  </si>
  <si>
    <t>RT @LupeMohawk: 🎶Todo está colapsado🎶 lalallalaaa🎶 https://t.co/mFzCyotABa</t>
  </si>
  <si>
    <t>Desatan la violencia sobre la juventud y ahora la ciudad colapsa en su movilidad. Si el Estado violenta lo que or… https://t.co/ts7fw5sdCT</t>
  </si>
  <si>
    <t>RT @JoseNic84127329: Muy "mal parado" el señor Carlos Antonio Vélez. https://t.co/EoO3EmXKNI</t>
  </si>
  <si>
    <t>RT @ElNuevoSiglo: #AESTAHORA Por manifestaciones, la troncal Caracas de Transmilenio continúa sin paso a la altura de la Calle 35. Por lo t…</t>
  </si>
  <si>
    <t>RT @luisrodevia: “La eutanasia no te obliga a morir. El aborto no te obliga a abortar. El divorcio no te obliga a divorciarte. El matrimo…</t>
  </si>
  <si>
    <t>RT @Jocrogo: Reportan un estudiante herido en la Universidad Distrital tras la intervención del Esmad. https://t.co/r7nhXurLFQ</t>
  </si>
  <si>
    <t>RT @Parcejul: Asamblea del Meta decide cerrar cuentas con el grupo Aval, muy coherente contra el daño hecho a la conectividad de su departa…</t>
  </si>
  <si>
    <t>RT @Opinionoticias: Docentes responden a Carlos Antonio Vélez y dejan en evidencia su ignorancia https://t.co/UjMT6QrkUe https://t.co/ip8lP…</t>
  </si>
  <si>
    <t>RT @jcuestanovoa: A Carlos Antonio Vélez hay que enseñarle que los profesores en las sociedades avanzadas constituyen la piedra angular de…</t>
  </si>
  <si>
    <t>RT @JuanJGarces: Los 4 compañeros detenidos ya se encuentran en libertad, a uno de ellos lo torturaron, le partieron palos en su espalda, l…</t>
  </si>
  <si>
    <t>RT @JuanPoe: ¿Saben por qué el uribismo protege al embajador Fernando Sanclemente? El fue quien elaboró el informe de la Aerocivil mediante…</t>
  </si>
  <si>
    <t>RT @ActualidadRT: La Policía antidisturbios empleó gases lacrimógenos y cañones de agua en una protesta estudiantil por los recortes en la…</t>
  </si>
  <si>
    <t>RT @Juanaafanador1: Ayer en la Udea, hoy en la Universidad Distrital violan la autonomía universitaria y ponen en riesgo a los estudiantes.…</t>
  </si>
  <si>
    <t>RT @CuartoDeHoraCol: Tras las acusaciones de @velezfutbol el senador @petrogustavo señaló que tomará acciones judiciales por las calumnias…</t>
  </si>
  <si>
    <t>RT @PinedaRuizBog: ¡Bernie en peinada libre! - Quizas es tiempo para la clase trabajadora de tener un poquito de poder en lugar de dárselo…</t>
  </si>
  <si>
    <t>RT @SenorCaicedo: En Rusia también saben que @lcvelez, hijo de Carlos Antonio Vélez es severo petardo. https://t.co/ewxWRvH6Cr</t>
  </si>
  <si>
    <t>Acaso esto es defender el derecho a la reunión y a la manifestación? Bajo qué delito detienen a esos muchachos estu… https://t.co/HAnbg2xcob</t>
  </si>
  <si>
    <t>RT @martace64: @melidardila @PirryOficial Ahora sabemos con certeza, que ese tal "miedo" de que Petro llegara a la Presidencia, es la telar…</t>
  </si>
  <si>
    <t>RT @DavidRacero: Declaraciones de renta de Uribe y clase dirigente del @CeDemocratico evidenciaron su interés de eliminar Renta Presuntiva…</t>
  </si>
  <si>
    <t>Jajajjajaj. Ni siquiera tengo un proceso formal en la Corte Suprema de Justicia, mi querido amigo. https://t.co/0b2hx15yLU</t>
  </si>
  <si>
    <t>RT @DanielRMed: Si cada semestre en la distrital cuesta en promedio 7 millones y cada miembro del ESMAD cuesta anualmente 20’800 mil pesos,…</t>
  </si>
  <si>
    <t>RT @OscarFlorezO: #URGENTE Hacemos responsable a @ClaudiaLopez y @LuisErnestoGL por el ingreso del ESMAD a la Universidad Distrital, toda l…</t>
  </si>
  <si>
    <t>RT @anateresabernal: Hoy en las calles y en los corazones de las justas demandas de mi Bogotá. Señora Alcaldesa @ClaudiaLopez, esta es la m…</t>
  </si>
  <si>
    <t>De aeropuertos oficiales de Bogotá y de Santa Cruz Bolivia, han salido aviones cargados de cocaína. El mismo "modus… https://t.co/ALRMNOxuCa</t>
  </si>
  <si>
    <t>Es a esto a lo que Duque le hará caso y lo único que puede impedirlo es que la gente masivamente salga a las calles… https://t.co/AGznOLk1uM</t>
  </si>
  <si>
    <t>RT @JulianFMartinez: Respuesta de @ActualidadRT a un editorial de @lcvelez, en el cual señaló que la indignación en redes sociales por el p…</t>
  </si>
  <si>
    <t>RT @JUANCAELBROKY: El ESMAD agredió a los estudiantes de la Universidad Distrital, sin mediar palabra les lanzaron aturdidoras y los golpea…</t>
  </si>
  <si>
    <t>RT @nicolaspetroB: Con certeza se puede decir que @petrogustavo perdió la presidencia por el voto en blanco y el voto comprado.</t>
  </si>
  <si>
    <t>RT @EpicuroDeSamos_: Si es un líder que verdaderamente representa al pueblo, siempre se lo va a denigrar desde el establecimiento. Por eso,…</t>
  </si>
  <si>
    <t>RT @fabiohcortess: “La bisagra que rechina es la que consigue el aceite". #MalcolmX</t>
  </si>
  <si>
    <t>Lo dicen quienes reformaron la constitución del 91 para restarle recursos a la educación y llevarlos a la guerra.… https://t.co/qIHEce6mty</t>
  </si>
  <si>
    <t>RT @ernesto1972m6: @Mafalda_2020_ @lcvelez @velezfutbol Están Creando Cortinas De Humo Para Proteger a Su Familia Política Sobre Las Acus…</t>
  </si>
  <si>
    <t>RT @ActualidadRT: ¿Las protestas en Colombia se promueven desde fuera? No, pero parece que, para muchos colombianos, desde fuera se explica…</t>
  </si>
  <si>
    <t>RT @EpicuroDeSamos_: Para quienes dicen "Un nuevo líder que no genere resistencia como Petro": La "resistencia a Petro" es una creación de…</t>
  </si>
  <si>
    <t>RT @NegroPrimeroh: @Marianiniecheve 📽🆘#Colombia🇨🇴 🔻Que justifica que un estudiante pacífico sea asfixiado por los esbirros del dictador #…</t>
  </si>
  <si>
    <t>RT @nicolaspetroB: El establecimiento sabía que si @petrogustavo lograba una victoria contundente en la Costa, nadie le ganaba la presidenc…</t>
  </si>
  <si>
    <t>RT @RedMasNoticias: ⚽️#Deportes | "Si los estadios de fútbol de Colombia son públicos, la transmisión de los partidos debe ser, antes que n…</t>
  </si>
  <si>
    <t>Un homenaje a Sophie y Hans, los mienbros del movimiento la Rosa Blanca, integrado por alemanes que se opusieron a… https://t.co/QrbidsycTW</t>
  </si>
  <si>
    <t>La señora estrato 5, es decir de clase media, seguramente asalariada o asalariado su marido, piensa que pertenece a… https://t.co/fYWqH0aQP6</t>
  </si>
  <si>
    <t>Esa mentalidad llevó a centenares de miles de personas que viven en estrato 3 y 4 a tratar de destruir la Bogotá Hu… https://t.co/WaKa7a9QA6</t>
  </si>
  <si>
    <t>Una familia completa y dos niños más fueron encontrados en el cementerio de Dabeiba, después de haber entrado en la… https://t.co/t7hedIpI5Z</t>
  </si>
  <si>
    <t>Para quitarle la curul a Angela Maria Robledo, magistrados del Consejo de Estado dijeron que Colombia Humana existí… https://t.co/5XSz6g2jFq</t>
  </si>
  <si>
    <t>RT @piedrahitangela: FUERAAAAA #MikeFaessler #FueraMinesa @Minesa_Col no solo vienen por nuestros recursos naturales sino que vienen a agr…</t>
  </si>
  <si>
    <t>Galán padre era heredero de las ideas de Lleras abuelo, que venía del liberalismo de López Pumarejo que luchaban po… https://t.co/Jkf9sTIPFg</t>
  </si>
  <si>
    <t>Duque expulsa a la ONU para la veeduría de la sustitución de cultivos, lmquiere es incumplir acuerdos con 93.000 fa… https://t.co/11ct9vW9ON</t>
  </si>
  <si>
    <t>El acuerdo de Turingia Alemania, hace que la derecha, los verdes y la socialdemocracia se decidan votar por un prim… https://t.co/3ifWJN2K7A</t>
  </si>
  <si>
    <t>RT @OUribismo: https://t.co/4X8BnLggfA</t>
  </si>
  <si>
    <t>RT @ManuelBeltrn14: Andan desesperados buscando a un farsante que se disfrace de izquierda para dividirle el voto a Petro. Saben que el cue…</t>
  </si>
  <si>
    <t>RT @petrogustavo: Galán padre era heredero de las ideas de Lleras abuelo, que venía del liberalismo de López Pumarejo que luchaban por una…</t>
  </si>
  <si>
    <t>RT @GiordanoBrunoFi: Corte IDH condena al Estado por desaparicion forzada, tortura, ejecución extrajudicial en el Palacio de Justicia por p…</t>
  </si>
  <si>
    <t>RT @CesarAugustoRe3: @Marianiniecheve La ultraderecha compra medios de comunicación y periodistas prepagos porque conocen su importancia pa…</t>
  </si>
  <si>
    <t>RT @wilsonariasc: La directora del Grupo Energía Bogotá es Astrid Álvarez, señalada de espionaje ilegal en Cali Y Bogotá. Y ahora la nueva…</t>
  </si>
  <si>
    <t>RT @GiordanoBrunoFi: Cuando un uribista opine sobre el Palacio de Justicia culpando a Gustavo Petro, muéstrele esta fuente; es la fuente mi…</t>
  </si>
  <si>
    <t>RT @Ivager69: No se puede olvidar que CAV @velezfutbol trabajó durante 8 años para el Grupo Radial Colombiano, emisora del Cartel de Cali y…</t>
  </si>
  <si>
    <t>RT @AlvaroBenitezV: Cuando tienes un fiscal de bolsillo pasa todo esto y mucho más. https://t.co/04Vh9hhXuX</t>
  </si>
  <si>
    <t>Le propongo gastar la plata, como porcentaje del presupuesto, que se gasta Suecia, Noruega y Finlandia en educación… https://t.co/UmXUZ2UkAp</t>
  </si>
  <si>
    <t>Le propongo al pueblo santandereano que de la misma manera como reaccionó ante los impuestos injustos del rey de la… https://t.co/VhVIS1HN3M</t>
  </si>
  <si>
    <t>RT @IanSchnaida: Hay quienes dicen que lo de Carlos Antonio Vélez es ignorancia y, quizá así lo sea, porque en una mente culta no hay forma…</t>
  </si>
  <si>
    <t>La señora del estrato 5 de Colina Campestre ha cometido un delito que se tipifica como conducta discriminatoria y d… https://t.co/zCgNzA1RDE</t>
  </si>
  <si>
    <t>RT @petrogustavo: Duque expulsa a la ONU para la veeduría de la sustitución de cultivos, lmquiere es incumplir acuerdos con 93.000 familias…</t>
  </si>
  <si>
    <t>El consumidor colombiano, que se mueve en el ciclo de la realización, no esta desligado del ciclo de la producción.… https://t.co/5GxMJqd0Lg</t>
  </si>
  <si>
    <t>RT @YoAlejoV: Ese tal Luis Carlos Vélez da vergüenza. https://t.co/mNKWr8JENe</t>
  </si>
  <si>
    <t>RT @petrogustavo: Le propongo gastar la plata, como porcentaje del presupuesto, que se gasta Suecia, Noruega y Finlandia en educación, segu…</t>
  </si>
  <si>
    <t>Capturado un niño en la Distrital. ¿Qué tendrá el Estado contra los niños para que su fuerza pública se dedique a… https://t.co/dJZsQ3w2FB</t>
  </si>
  <si>
    <t>En mi libro, en preparación, trato de demostrar que si queremos superar el cambio climático, toca desvalorizar toda… https://t.co/ejHSd3PvhZ</t>
  </si>
  <si>
    <t>¿Será que los liberales, los verdes y el Polo, se atreven a hacer esto que se hace en Alemania para detener la extr… https://t.co/k4kmtpkBV2</t>
  </si>
  <si>
    <t>La cámara de la confección no junta a quienes producen telas, que es un oligopolio, sino a quienes hacen las confec… https://t.co/94c6i0imLX</t>
  </si>
  <si>
    <t>OIga periodista Vélez, facebook te desmiente. https://t.co/FtoFfEoQao</t>
  </si>
  <si>
    <t>Derretimiento acelerado del hielo de la Antártica, más: la selva amazónica ya no absorbe sino que expide CO2, más:… https://t.co/yN0Ai2rQre</t>
  </si>
  <si>
    <t>RT @cuestion_p: 13. En este otro video de @DePasillo_col se observa otro momento de la detención de los menores de edad Juan Pablo Perilla…</t>
  </si>
  <si>
    <t>RT @VickyDavilaH: Atentos!!!!! Ayudemos a esta familia que busca a Camilo Urrego de solo 16 años... Camilo desapareció ayer en el sector de…</t>
  </si>
  <si>
    <t>Camilo Urrego está desaparecido. La última vez que se vio fue en el barrio Galerías de Bogotá https://t.co/90U4uLJS9F</t>
  </si>
  <si>
    <t>RT @LiteraturayMas_: "Cuanto más se desvíe una sociedad de la verdad, más odiará a aquellos que la proclaman". George Orwell https://t.co/…</t>
  </si>
  <si>
    <t>RT @angelamariazt: @SenorCaicedo @COL_EJERCITO En Colombia sucedió un genocidio por parte de las fuerzas legítimas del Estado y su brazo il…</t>
  </si>
  <si>
    <t>La confección es de las ramas industriales con mayor número de empleos en toda Colombia, permite articular el saber… https://t.co/pNWir46MUD</t>
  </si>
  <si>
    <t>RT @petrogustavo: Derretimiento acelerado del hielo de la Antártica, más: la selva amazónica ya no absorbe sino que expide CO2, más: se der…</t>
  </si>
  <si>
    <t>Cuando un director de medio se expresa así , es porque ya no es periodista sino propagandista. Sr Vélez, yo soy t… https://t.co/GxUMuR2BxR</t>
  </si>
  <si>
    <t>RT @EpicuroDeSamos_: "El pueblo costeño de provincia votó por Duque —yo creo que a partir de la compra del voto— y ahí fue q perdimos la pr…</t>
  </si>
  <si>
    <t>RT @petrogustavo: Cuando un director de medio se expresa así , es porque ya no es periodista sino propagandista. Sr Vélez, yo soy tóxico…</t>
  </si>
  <si>
    <t>Y en pos de la libertad de prensa en el mundo me inscribo con quienes luchan porque liberen a #Assange Assange rep… https://t.co/mcENWegFRq</t>
  </si>
  <si>
    <t>Urbanizar en la huella histórica del agua y su zona de amortiguación es criminal. Camacol logró romper nuestras nor… https://t.co/6QiiN902t8</t>
  </si>
  <si>
    <t>RT @JulianJimenez15: #RetracteseCarlosAntonioVelez o asuma las consecuencias de sus calumnias ante la justicia.</t>
  </si>
  <si>
    <t>RT @AndresCamiloHR: #RetracteseCarlosAntonioVelez Uno no puede usar los micrófonos como fusiles... debe tener responsabilidad, respeto y pr…</t>
  </si>
  <si>
    <t>RT @armestonelson: Qué dice la @FLIP_org sobre el manejo de la @lafm en manos de Luis Carlos Velez y su papá, para generar odios contra un…</t>
  </si>
  <si>
    <t>RT @DanielRMed: Bogotá humana potenció las empresas públicas bogotanas, con la firma de Peñalosa fueron capturadas por las familias más pod…</t>
  </si>
  <si>
    <t>Y los heridos aparecieron por milagro... https://t.co/6YYGAFfcEa</t>
  </si>
  <si>
    <t>Esto se hizo mientras media Colombia aplaudía, ¿estaban de acuerdo con que se asesinaran los niños? Eran pocos los… https://t.co/nyaJyWJLez</t>
  </si>
  <si>
    <t>RT @PostCameras: @Miro_carrillo @LeonVaLenciaA @petrogustavo Fanático de nada. Río porque no hay conversación en la que algo no sea culpa…</t>
  </si>
  <si>
    <t>RT @adolforivasdiaz: 🚨#ATENCIÓN: El Ejército realizó detenciones arbitrarias, disparo a la población civil, quemó sus casas y les quitó los…</t>
  </si>
  <si>
    <t>RT @Betocoralg: Ahora @lcvelez dice que Petro es Tóxico para Colombia. Mire, pusilánime. Un criminal enfermo de poder, con más de 280 inv…</t>
  </si>
  <si>
    <t>RT @rudolf_hommes: ?Se han preguntado por qué no conmueven noticias sobre hechos atroces como por ejemplo los 54 cadaveres de victimad de…</t>
  </si>
  <si>
    <t>Esto es falso. No he pedido que no se me investigué. Demanda tiene que ver con que se cumpla para todas y todos lo… https://t.co/YfwnnYho9Z</t>
  </si>
  <si>
    <t>RT @DanielRMed: No disimulan lo arrodillados que son #VelezPeriodistasDelodio</t>
  </si>
  <si>
    <t>RT @DanielRMed: La victoria de Petro en las justas presidenciales ha desnudado a la clase dirigente colombiana, se ha evidenciado cómo mata…</t>
  </si>
  <si>
    <t>RT @AlexanderR1675: @Uriasv El mejor castigo que se le puede dar a esta gente es dejar de verlos, de escucharlos y de seguirlos #VelezPerio…</t>
  </si>
  <si>
    <t>Cuando sucedieron estos hechos en el 2005, levantamos nuestra voz en el Congreso de la República. Nadie nos creyó.… https://t.co/pWrdPNYbYr</t>
  </si>
  <si>
    <t>RT @MJDuzan: Comparto de nuevo esta columna en donde lamento que Aida Merlano no hubiera hablado de los periodistas a sueldo que tienen lo…</t>
  </si>
  <si>
    <t>RT @dianalzuleta: Mi papá es quien habla tras el atril. El asesino (Kiko Gómez) está sentado a la derecha, cruzado de brazos. Esta foto fu…</t>
  </si>
  <si>
    <t>RT @Marianiniecheve: Odian a los maestros, a los estudiantes, a los campesinos, a los reinsertados que quieren un oportunidad, a los lídere…</t>
  </si>
  <si>
    <t>RT @Ciudada44438410: @JhonWilliamVel1 Usan fuerzas militares para desplazar campesinos y apropiarse de tierras? Campesinos de la altillanur…</t>
  </si>
  <si>
    <t>RT @colombia_hist: En la independencia le decían godos a los criollos que pertenecían al ejército realista que procuraban el clericalismo,…</t>
  </si>
  <si>
    <t>José Maria Melo es el único presidente indigena de Colombia, fue el último oficial de Bolívar y llegó al poder a me… https://t.co/wODHayi8qR</t>
  </si>
  <si>
    <t>Los liberales de derecha y los conservadores importaron armas de EEUU para destruir violentamente a los artesanos y al general Melo.</t>
  </si>
  <si>
    <t>RT @petrogustavo: José Maria Melo es el único presidente indigena de Colombia, fue el último oficial de Bolívar y llegó al poder a mediados…</t>
  </si>
  <si>
    <t>RT @MoisesAlvaro_: Sólo fue que @petrogustavo anunciara que en una @ColombiaHumana_ la transmisión de fútbol nacional será pública, como lo…</t>
  </si>
  <si>
    <t>RT @FCSH_UdeA: "La Facultad de Ciencias Sociales y Humanas rechaza enfáticamente la presencia y accionar de grupos ilegales, y al mismo tie…</t>
  </si>
  <si>
    <t>RT @wicarni: Luis Carlos Vélez, hijo de Carlos Antonio Vélez es el esposo de Siad Char; prima de Arturo Char y de Alejandro Char. #VelezPer…</t>
  </si>
  <si>
    <t>El Fiscal al no escuchar a Aida, encubre el delito, y eso mismo es un delito. Le solicito al Fiscal General abando… https://t.co/lSOHJGsJ53</t>
  </si>
  <si>
    <t>¿Está el ministro de defensa organizando un desplazamiento forzado en la Macarena y el pie de monte llanero? https://t.co/GPFaW8bQcY</t>
  </si>
  <si>
    <t>Como en Colombia ya aparecen quienes dicen que Sanders no es el candidato para vencer a Trump porque es muy radical… https://t.co/464aDpto4x</t>
  </si>
  <si>
    <t>De acuerdo al periodista David Wallace-Wells en su libro "El Planeta inhóspito", los diferentes escenarios del camb… https://t.co/hZH60ZuUys</t>
  </si>
  <si>
    <t>Silencio. La radiografía exacta de los gobiernos de Uribe sale de la tierra excavada de Dabeiba. ¿Cuantos aún apl… https://t.co/SEdnFYgJMI</t>
  </si>
  <si>
    <t>RT @cielo_rusinque: Con su mensaje de sanidad universal y educación superior gratuita. Sanders encabeza las primarias demócratas. Llegó la…</t>
  </si>
  <si>
    <t>La alianza de los militares con los paramilitares que asesinó a decenas de miles de campesinos no era más que una a… https://t.co/CodVerQNuC</t>
  </si>
  <si>
    <t>RT @GustavoBolivar: Morales es cuñado del Pte Duque; Velez es cuñado de Char, Darcy es esposa de Ríos y qué curioso, los 3 madrugan a decir…</t>
  </si>
  <si>
    <t>Santander, Bolívar y Policarpa fueron guerrilleros. Tambien, Mandela, Rouseff, Pepé Mojica y el Che, y lo fue Washi… https://t.co/KiGv88LBU5</t>
  </si>
  <si>
    <t>Carmenza, los libros no tienen la culpa, la culpa esta en la realidad. Si se eligen traquetos a la presidencia y al… https://t.co/d3ese3MTun</t>
  </si>
  <si>
    <t>RT @EpicuroDeSamos_: Ya me acostumbré a ver a Petro de tendencia todos los días. Ya ni abro para ver de qué trata, solo sé que no será por…</t>
  </si>
  <si>
    <t>RT @PublimetroCol: Vicky Dávila ya tiene pruebas adicionales que sustentan testimonio de Aída Merlano https://t.co/4biIVDSpLu https://t.co…</t>
  </si>
  <si>
    <t>RT @VickyDavilaH: #Aidagate muchos optaron por ocultar testimonio de Aida Merlano premeditadamente y hasta borrarlo. Incluso, algunos medio…</t>
  </si>
  <si>
    <t>Lo de caño cristales en la Macarena suena muy mal. Incendio, desalojo forzado de campesinos con pesca milagrosa inc… https://t.co/oEnXOp65cw</t>
  </si>
  <si>
    <t>RT @ctxt_es: ¿Nos encontramos hoy ante un nuevo giro conservador en algunos sectores del movimiento de mujeres? No se pierdan a @josefina…</t>
  </si>
  <si>
    <t>RT @Eli35155: Der Standard, diario austriaco publicado en Viena: “Cualquiera que testifique contra el ex presidente colombiano Álvaro Uribe…</t>
  </si>
  <si>
    <t>RT @HOLLMANMORRIS: Que los niños se quedan sin clase por el paro de profesores. Pues he visto miles de niños quee no tienen escuela por el…</t>
  </si>
  <si>
    <t>RT @EpicuroDeSamos_: Alexander Cifuentes Villa es el concuñado de Álvaro Uribe Vélez. Cuando dije eso y que el Chapo tuvo estrecha relaci…</t>
  </si>
  <si>
    <t>RT @EpicuroDeSamos_: @hackerFiscalia @petrogustavo @elquelosdelata @GustavoBolivar "Alex" fue la mano derecha del Chapo y fungía como su se…</t>
  </si>
  <si>
    <t>RT @EpicuroDeSamos_: @hackerFiscalia @petrogustavo @elquelosdelata @GustavoBolivar Uno quiere estar tranquilo un domingo pero la prensa pri…</t>
  </si>
  <si>
    <t>RT @cielo_rusinque: Propuestas de Sanders: - Garantizar Universidad gratuita -Eliminar deudas de estudiantes - Enfrentar cambio climático…</t>
  </si>
  <si>
    <t>RT @ChalecosAmarill: @AnonMundo 1-Yo pertenezco al movimiento y si soy #MuyRojo Cada vez que alguien me pone comunista, anarquista, zurdo…</t>
  </si>
  <si>
    <t>Esto es mentira. Subir la tarifa llevará a menos gente a los buses y aumentará el hueco financiero, además los que… https://t.co/WDuUWpW402</t>
  </si>
  <si>
    <t>RT @ContraGodarria2: El de los domicilios y el mediocre "comentatore" gomelo atacando a Petro para defender al nefasto uribestia calvo infa…</t>
  </si>
  <si>
    <t>Pacho, los narcos no apoyan desmonte del Esmad, al contrario, su lógica es la que los jóvenes no se eduquen para po… https://t.co/D8Ta8pvdne</t>
  </si>
  <si>
    <t>RT @elGrafomano: Uno puede tener diferencias con Gustavo Petro, pero al final se trata de un hombre razonable y de talante democrático que…</t>
  </si>
  <si>
    <t>RT @EdisonBedoya21: Desmintiendo al mentiroso de @lcvelez Es más difícil pelar un banano Así se desmiente un mentiroso; con argumentos y…</t>
  </si>
  <si>
    <t>RT @LeonVaLenciaA: Complementos a este artículo: Dolly Cifuentes Villa esposa de Jaime Uribe, -hermano del expresidente- relación de la cu…</t>
  </si>
  <si>
    <t>RT @GustavoBolivar: Además Darcy, con información privilegiada q le envió magistrada sobre mis ingresos, ha jurado q me tumba la curul por…</t>
  </si>
  <si>
    <t>RT @SaraTufanoZ: Mientras los candidatos moderados repiten como loros: "Soy el único que le puede ganar a Trump", Sanders está demostrando…</t>
  </si>
  <si>
    <t>RT @RevistaSemana: "Tras ser detenida cuando protestaba al lado de su mamá, Dana Valentina Reyes, de 16 años, sintió una clara amenaza de a…</t>
  </si>
  <si>
    <t>RT @Andrea_Q23: Hoy me gane una insultada la hijuemadre de los Uribestias solo por llamar señor presidente a @petrogustavo Me siento orgul…</t>
  </si>
  <si>
    <t>RT @colombia_hist: El gobierno conservador de Roberto Urdaneta en 1951 autorizó a Alfonso López Pumarejo para negociar la paz con las guerr…</t>
  </si>
  <si>
    <t>Sanders ha propuesto para EEUU lo que Colombia Humana le propuso a Colombia. Un sistema de educación pública de cal… https://t.co/JOnACLY5Wy</t>
  </si>
  <si>
    <t>RT @MauricioGalin11: “Mala cosa que un periodista deportivo se aproveche de la audiencia que tiene allí cautiva por otros fines, para dejar…</t>
  </si>
  <si>
    <t>Logramos en Bogotá que la gente no se matara por el color de la camiseta del equipo, pero para que no haya odio en… https://t.co/O6ZwMgybfN</t>
  </si>
  <si>
    <t>¿ Entonces de sembrar 280 millones de árboles pasamos a desalojar a la fuerza la macarena e incendiarla?</t>
  </si>
  <si>
    <t>Tanto Colombia como Venezuela malbarataron su riqueza petrolera y carbonera, hoy una anti riqueza. Ni montamos una… https://t.co/u1Ru7KTUHW</t>
  </si>
  <si>
    <t>Yo creo en una sociedad que llegue a aborto cero. Pero el camino de conseguirlo es con la despenalización y con… https://t.co/oPQGnDYIAe</t>
  </si>
  <si>
    <t>En el gobierno de la Colombia Humana, la transmisión del fútbol será en canales abiertos, si los canales privados n… https://t.co/RJXZTQ1vaO</t>
  </si>
  <si>
    <t>El nombramiento del director(a) de los centros de memoria se hará en manos de un colegio nominador de asociaciones… https://t.co/AIo75Yt4f3</t>
  </si>
  <si>
    <t>Que se desate la movilización de la fuerza del agua en toda Colombia. https://t.co/vgu49FIHck</t>
  </si>
  <si>
    <t>RT @SenorCaicedo: Ningún político más liberal hoy, que @petrogustavo. https://t.co/cAOLIBnxwr</t>
  </si>
  <si>
    <t>El cuidado de las reservas no implica desplazamiento de colonos. Solo con un programa de reforma agraria se podría… https://t.co/Xz52EFHoiR</t>
  </si>
  <si>
    <t>En la ruta del Sol III hay un gran hecho de corrupción, sus contratistas son impregilo y Conalvias, la que se robó… https://t.co/HceCIvTtyJ</t>
  </si>
  <si>
    <t>RT @GustavoBolivar: Cundo el periodista renuncia a la verdad por proteger al amo, cuando se arrodilla ante el poder; cuando desinforma al p…</t>
  </si>
  <si>
    <t>¿Que relación hay entre el ametrallamiento de campesinos en la Macarena y la quema de la reserva? https://t.co/D2hOXx8qIL</t>
  </si>
  <si>
    <t>RT @colombia_hist: El expresidente (1978-1982) Julio César Turbay Ayala, contrajo matrimonio con su sobrina Nydia Quintero Turbay, el 1 de…</t>
  </si>
  <si>
    <t>El campo de los EEUU ha entrado en bancarrota por el cambio climático. Van 234 suicidios de pequeños granjeros queb… https://t.co/WCu61Yf6RP</t>
  </si>
  <si>
    <t>RT @NTN24: #ENTRETENIMIENTO Ricky Martin apoya protestas y espera que Chile provoque un "efecto dominó" https://t.co/nJ6P6eyfZB</t>
  </si>
  <si>
    <t>RT @UldaricoChilito: La molestia de los Velez, Darcy, el cuñado de Duque y toda la elite polítiquerera, es porque Merlano habló sobre la co…</t>
  </si>
  <si>
    <t>RT @charry_manager: Nacionalizar las transmisiones del fútbol para que las mafias dejen de coaccionar a la @Dimayor Los hinchas del @AsoD…</t>
  </si>
  <si>
    <t>RT @GarantiasPSG: A esta hora llegan más desplazados al municipio de Ituango. Es muy triste ver cómo la perfidia de @IvanDuque a la paz ter…</t>
  </si>
  <si>
    <t>RT @SenorCaicedo: Nelson Mandela, el pacifista que fue guerrillero. (Para los que joden con el pasado guerrillero de @petrogustavo). https…</t>
  </si>
  <si>
    <t>RT @esantosmolano: Usted es un vendido sin principios @lcvelez, ha dedicado su vida a servirle a los poderosos que hacen de colombia su fin…</t>
  </si>
  <si>
    <t>¿Quien será el funcionario público colombiano que organizó el lavado de dólares de la mafia al lado del agente de… https://t.co/5QCvyLCtnt</t>
  </si>
  <si>
    <t>RT @jcuestanovoa: En la Alcaldía de Jorge Eliecer Gaitán 1936, Bogotá organiza la primera feria del libro. En la Alcaldía de Bogotá Humana…</t>
  </si>
  <si>
    <t>Las olas de calor pueden matar un ser humano en horas. Aparecerán en la mayor parte del territorio colombiano por e… https://t.co/qF5PuyYHi1</t>
  </si>
  <si>
    <t>RT @ComiteSanturban: ¡Fuera Minesa de Santurbán, fuera Minesa! Canta y baila hoy Piedecuesta en el 4to festival de la #tigra 🐯 Esta tierra…</t>
  </si>
  <si>
    <t>RT @ElCuervoNica: 🔴🔥🔴🔥 #ULTIMAHORA / #Chile / En #Vina2020 se están registrando fuertes protestas en contra de @sebastianpinera. #PLOMO19…</t>
  </si>
  <si>
    <t>Esto pasa en el festival de Viña del Mar, en Chile https://t.co/kwQeTkoRBx</t>
  </si>
  <si>
    <t>RT @ruidiaz_ddhh: Fiscal General no le interesa la información que dio Aída Merlano en Venezuela, no enviará ni fiscal ni investigadores a…</t>
  </si>
  <si>
    <t>Simplemente el fiscal General no esta cumpliendo sus deberes constitucionales: perseguir el crimen https://t.co/dz3dHVAUqA</t>
  </si>
  <si>
    <t>RT @GustavoBolivar: Quiénes incendian Caño Cristales? Los q expanden ganadería y palmicultura más allá de la frontera agrícola. Los negocio…</t>
  </si>
  <si>
    <t>RT @adolforivasdiaz: ¿Por qué Ivan Duque, Parques Nacionales y MinAmbiente no nos hablan sobre el oleoducto Tapir, que está diseñado para l…</t>
  </si>
  <si>
    <t>RT @HOLLMANMORRIS: A las 10pm en facebooklive mi análisis sobre la forma en que descalifica el comentarista deportivo Carlos Antonio Velez…</t>
  </si>
  <si>
    <t>RT @OrlenysOV: "Piñera conchetumadre, asesino igual que Piñochet" Viña del Mar, #Chile. #23Feb https://t.co/7S2ICtEiyf</t>
  </si>
  <si>
    <t>Bueno hasta el Capital de Marx marchó en el carnaval de Barranquilla y pasó al frente de Olímpica. https://t.co/IbyK4HCI4r</t>
  </si>
  <si>
    <t>Le pondremos una tarea a nuestro revocador: ¿cuál será el futuro inmediato de las aseguradoras frente a los hechos… https://t.co/9NdvKZPoxv</t>
  </si>
  <si>
    <t>En realidad la piedra y el coctel molotov pertenecen a un mundo nihilista, que surge de la desesperanza y la impote… https://t.co/UzfMKP2GNJ</t>
  </si>
  <si>
    <t>RT @alexrovira1: «Libres son quienes crean, no quienes copian, y libres son quienes piensan, no quienes obedecen. Enseñar, es enseñar a dud…</t>
  </si>
  <si>
    <t>Miren como casi desde el origen de la República, corrientes liberales propugnaron sin éxito una reforma agraria que… https://t.co/fojfSp6sAe</t>
  </si>
  <si>
    <t>RT @OUribismo: https://t.co/Xl24qhRUB9</t>
  </si>
  <si>
    <t>Sin Estado, El nordeste Antioqueño vive la barbarie: Dabeiba, Ituango. La oligarquía solo miró el territorio para… https://t.co/2Df3mAVwFz</t>
  </si>
  <si>
    <t>Me da la impresión que si Aida vuelve le espera un vaso con agua y ... https://t.co/CChwBTDh13</t>
  </si>
  <si>
    <t>RT @MJDuzan: Recomiendo leer esta articulo. La ficha del exprocurador Ordóñez en la cúpula de la Fiscalía https://t.co/aAbLAhxYpa</t>
  </si>
  <si>
    <t>RT @CarlosFGalan: En el pasado critiqué a Petro por haber pertenecido a la guerrilla. Si bien nada justifica apelar a la violencia, ni en e…</t>
  </si>
  <si>
    <t>RT @gregoriopernia: Buenos días señor presidente @petrogustavo</t>
  </si>
  <si>
    <t>Paradójicamente quien ha salvado al capitalismo global desde 2008 es el Partido Comunista Chino al propiciar un sob… https://t.co/5VSKeHimBQ</t>
  </si>
  <si>
    <t>Solo será cuestión de tiempo para que el virus ingrese a Colombia. No hay un sistema preventivo y la población est… https://t.co/hqSTR8nRga</t>
  </si>
  <si>
    <t>RT @ChalecosAmarill: 📽🆘️🆘️ #Anonymous || #GiletsJaunes ℹ Detenida hacktivista defensora de DDHH y amiga @Doemela_IX en operación contra lo…</t>
  </si>
  <si>
    <t>RT @piedadcordoba: En El Salado paramilitares asesinaron cerca de 100 campesinos. Degollaron, torturaron con motosierras, destornilladores,…</t>
  </si>
  <si>
    <t>La iglesia es una maravilla arquitectónica pero creo que Medellín debe hacer el esfuerzo de subterranizar el metro… https://t.co/rRvXGdmRum</t>
  </si>
  <si>
    <t>En esta entrevista el periodista no ew capaz de preguntar que la fibra óptica, la banda ancha, la television digita… https://t.co/SokyOavlJt</t>
  </si>
  <si>
    <t>RT @fidelcanoco: La declaración de renta de Álvaro Uribe Vélez sugiere las causas de una Colombia muy desigual, atrasada en el desarrollo d…</t>
  </si>
  <si>
    <t>RT @MonoMeLlaman: Que alguien me explique, por favor ¿que tiene de heroico recoger 14 personas sanas, en un avión en perfecto estado, en un…</t>
  </si>
  <si>
    <t>El tamaño de las estaciones que está determinado por el tamaño de los buses es de poca capacidad para troncales de… https://t.co/6Vh3uPyMe1</t>
  </si>
  <si>
    <t>RT @Hekatombe_: La alcaldesa de Bogotá contrató a profes provisionales únicamente por 5 meses. En admones anteriores, incluyendo a Peñalosa…</t>
  </si>
  <si>
    <t>RT @elOrdenMundial: "La guerra es la mayor plaga que puede afligir a la humanidad. Destruye la religión, destruye los Estados, destruye las…</t>
  </si>
  <si>
    <t>Ottawa, Canadá, sale a las calles para solidarizarse con los indigenas que luchan contra un oleoducto en sus tierra… https://t.co/e39bpLvaMc</t>
  </si>
  <si>
    <t>RT @ricardobonillag: Lee el siguiente artículo: ¿Cómo leer una declaración de renta en Colombia? - la diferencia entre un congresista con a…</t>
  </si>
  <si>
    <t>RT @anateresabernal: Hoy en debate de la oposición a la administración de @ClaudiaLopez sobre infraestructura, la oposición, Cambio Radical…</t>
  </si>
  <si>
    <t>RT @AdrianaLucia: Esta redes sociales sirven para amplificar el mensaje, hoy no hay excusa, hoy nos enteramos al momento. No me importa cuá…</t>
  </si>
  <si>
    <t>Castigan al pueblo de Antioquia en su eslabón mas débil: la familia campesina productiva. Se quedan con las tierras… https://t.co/ynDBRhLbwG</t>
  </si>
  <si>
    <t>¿La Fiscalía general abrió una investigación contra Aida Merlano por sus declaraciones? ¿Es cierto o un mal titula… https://t.co/1a3y3YW8CE</t>
  </si>
  <si>
    <t>La declaración de renta de Uribe como radiografía del atraso de la economía colombiana propiciada por las personas… https://t.co/RX3ZHJhlZj</t>
  </si>
  <si>
    <t>RT @DemosCarajo: ¡La democracia se toma las calles! No somos sangre nueva para viejas derrotas 🕶 Somos ¡Democracia Carajo! https://t.co/2…</t>
  </si>
  <si>
    <t>RT @trochandosf: #TrochandoHoy Plantón en la Universidad de los Llanos contra la brutalidad policial ➡️https://t.co/5ok4ksLYvY https://t.co…</t>
  </si>
  <si>
    <t>RT @MJDuzan: Estuve en La Macarena investigando los incendios. No es cierto que sean sólo las disidencias las culpables de la deforestación…</t>
  </si>
  <si>
    <t>RT @charry_manager: Desde que Peñalosa negó la importancia de la adaptación y mitigación a las externalidades negativas del #CambioClimatic…</t>
  </si>
  <si>
    <t>RT @GustavoBolivar: Esta tesis refuerza la denuncia de @hackerFiscalia: Por qué la finca laboratorio del embajador Sanclemente queda cerca…</t>
  </si>
  <si>
    <t>No solo eso. el aeropuerto quedó en manos de William Vélez el dueño mayoritario de la concesionaria, y cuando lo sa… https://t.co/uLHHvf4yMO</t>
  </si>
  <si>
    <t>RT @TobonSanin: Absurdas las declaciones de Barbosa de no poder hacer nada para recibir la declaración de Merlano. ¡Por favor! ¡Usted lo qu…</t>
  </si>
  <si>
    <t>RT @ChalecosAmarill: 📽🆘️ Bernie Sanders GANA EN NEVADA y propone frenar los abusos de los poderosos. 🔥Es hora de que el 99% se una para ac…</t>
  </si>
  <si>
    <t>Creo que mucha gente podría responderle esta pregunta, dejémosle que le respondan Juan Diego https://t.co/bcXfFzNyDo</t>
  </si>
  <si>
    <t>A febrero 15 han muerto 64 niños menores de 5 años por enfermedades agudas respiratorias, IRA, en lo poco que va de… https://t.co/jtMP8C2J1r</t>
  </si>
  <si>
    <t>RT @IanSchnaida: ¿Por qué el embajador colombiano permitió que se adecuaran las caballerizas de su finca como dormitorios, para que los pro…</t>
  </si>
  <si>
    <t>Te.aporto algo: dejemos de estimular el fracking y elevemos en 14 billones de pesos anuales el presupuesto de la ed… https://t.co/XGZKmsjvS8</t>
  </si>
  <si>
    <t>Se llama cambio climático y demuestra que La Calera no se debe urbanizar más https://t.co/VGbryXBzCW</t>
  </si>
  <si>
    <t>RT @gregoriopernia: Algunas críticas por hacer un personaje de narco. Pero el embajador con laboratorio en su propia finca y sigue en su pu…</t>
  </si>
  <si>
    <t>Con vías y sin páramos no hay vida señor Aguilar. https://t.co/UDzLDHNW6U</t>
  </si>
  <si>
    <t>RT @ISAZULETA: Una infamia lo que ocurre con #Ituango, el desplazamiento forzado es un delito de lesa humanidad, una y otra vez por los uno…</t>
  </si>
  <si>
    <t>RT @Suaguagua: La nueva funcionaria de @ClaudiaLopez persiguió dos mujeres embarazadas del sindicato de EMCALI. ¿Todavía cree que eso es "…</t>
  </si>
  <si>
    <t>RT @LaOrejaRoja: 'Uribe fue ponente de la Ley 50, con la cual se encargó de suprimir la retroactividad en el pago de cesantías, la estabili…</t>
  </si>
  <si>
    <t>No me disgustaría ver a Rodrigo Lara de presidente del congreso. https://t.co/whe1xUIlFG</t>
  </si>
  <si>
    <t>Piensa hacer el gobierno nacional otra vía a La Calera que solo producirá más urbanización en una zona campesina y… https://t.co/n9AA9VnzMu</t>
  </si>
  <si>
    <t>No había leido este articulo del New Yorl Times en español sobre nuestra campaña. Tiene algunas equivocaciones pero… https://t.co/swza8ljWdJ</t>
  </si>
  <si>
    <t>RT @melisMatik: Esta es la imagen CENSURADA por un juez en Colombia. Pregunta por el asesinato sistemático de chicos pobres y con discapaci…</t>
  </si>
  <si>
    <t>Arabia saudita es uno de los mayores exportadores de petróleo y se ha opuesto a medidas contundentes para dejar la… https://t.co/1daIxGegpq</t>
  </si>
  <si>
    <t>Recordarán que dijeron que el metro comenzaba ya su construcción; lo dijeron solo para que votaran por ese proyecto… https://t.co/kD79wfMdN9</t>
  </si>
  <si>
    <t>No es por el virus que cae Wall Street sino por la parálisis de la economía china, que afectará mucho a América Lat… https://t.co/IneQZyawRz</t>
  </si>
  <si>
    <t>RT @redfishstream: Clashes erupted between riot police and students who were protesting against the violent abuses and brutality of Colombi…</t>
  </si>
  <si>
    <t>Dijero que no habíamos hecho sedes universitarias. Este es el informe de la sede de la Universidad Distrital en el… https://t.co/4pabapBYtL</t>
  </si>
  <si>
    <t>Un tranvía por la séptima es más ventajoso dado que llevaría las personas desde el centro donde la estrechez de la… https://t.co/sNtsT8qldL</t>
  </si>
  <si>
    <t>Pequeño olvido del gobierno. Más preocupado porque saliera en televisión el avión para subir imagen, no hizo el pap… https://t.co/jjegbv3VfT</t>
  </si>
  <si>
    <t>Así es como los políticos del establecimiento compran prensa y periodistas. Peña Nieto pagaba por cada mención posi… https://t.co/MgEi6YHvpp</t>
  </si>
  <si>
    <t>RT @HOLLMANMORRIS: Trabajando. Preparando un sueño, un canal alternativo, que promueva la constitución del 91 , que profundice la paz ....…</t>
  </si>
  <si>
    <t>RT @LuzMBernalParra: Nueva fosa común con mas de 500 cuerpos de #FalsosPositivos en el cementerio Jardines del Ecce Homo, en Valledupar. Co…</t>
  </si>
  <si>
    <t>RT @ernestosamperp: Estados Unidos, Suecia e Inglaterrra están a punto de llevar al cadalso al primer mártir de la era digital que sería Ju…</t>
  </si>
  <si>
    <t>No solo Ignacio Pombo aporta a la campaña de Claudia siendo peñalosista de primera fila y asesor de Alvaro Cruz, si… https://t.co/DgKCvi3sfi</t>
  </si>
  <si>
    <t>RT @LuisaPoncas: @RobertoAnguloS Esta imagen, leída desde el arte, también ha producido "asombro e indignación", y su poder icónico permite…</t>
  </si>
  <si>
    <t>La familia Guerra, los clanes políticos del Caribe son exponentes del feudalismo que genera servidumbre anacrónica… https://t.co/JnP6rDl6gG</t>
  </si>
  <si>
    <t>RT @petrogustavo: No solo Ignacio Pombo aporta a la campaña de Claudia siendo peñalosista de primera fila y asesor de Alvaro Cruz, sino que…</t>
  </si>
  <si>
    <t>Cada vez que tratan así a nuestra juventud, cierran el camino de la esperanza de Colombia. Ese joven y toda la juve… https://t.co/G6Yjty6ZTx</t>
  </si>
  <si>
    <t>RT @DanielRMed: Hace 6 años en lugar de anunciar un aumento en la tarifa de Transmilenio, anunciábamos reducción en las tarifas con enfoque…</t>
  </si>
  <si>
    <t>Le pedí a Claudia hacer un gran esfuerzo de crecimiento en el presupuesto para la educación superior,de cara a cons… https://t.co/bOQ1oKINxi</t>
  </si>
  <si>
    <t>RT @Juanaafanador1: El populismo y el autoritarismo tecnócratico no tiene ninguna intención de resolver los problemas de fondo. La responsa…</t>
  </si>
  <si>
    <t>RT @GustavoBolivar: Tiene razón senadora. Cárcel para ese líder que Infringió la ley. ¿Ha dicho ud algo sobre el laboratorio de Cocaína en…</t>
  </si>
  <si>
    <t>RT @HOLLMANMORRIS: Se olvidaron de Colombia. https://t.co/t7iJEyYfQy</t>
  </si>
  <si>
    <t>RT @GustavoBolivar: #hilo de la vergüenza 1-En finca del embajador Sanclemente en #Uruguay hallaron: 125 kg de Cloruro de calcio 50 kg de…</t>
  </si>
  <si>
    <t>RT @petrogustavo: Le pedí a Claudia hacer un gran esfuerzo de crecimiento en el presupuesto para la educación superior,de cara a construir…</t>
  </si>
  <si>
    <t>RT @petrogustavo: Cada vez que tratan así a nuestra juventud, cierran el camino de la esperanza de Colombia. Ese joven y toda la juventud c…</t>
  </si>
  <si>
    <t>Otra vez entraron a mi casa materna, esta vez en la fundación de mi hermano para educación. Así la dejaron. A solo… https://t.co/kZRqsiyrYq</t>
  </si>
  <si>
    <t>RT @petrogustavo: Otra vez entraron a mi casa materna, esta vez en la fundación de mi hermano para educación. Así la dejaron. A solo una s…</t>
  </si>
  <si>
    <t>La amenaza que dejaron después de violentar la casa de la fundación educativa de mi hermano a diez metros de la cas… https://t.co/I1uUtw8HRY</t>
  </si>
  <si>
    <t>Mauricio Barón Granados el funcionario de la contraloría distrital de Juan Carlos Granados quien nos pudo las multa… https://t.co/qZaeJ3cj1Y</t>
  </si>
  <si>
    <t>Un presidente ilegitimo. https://t.co/ACUeNj0W8m</t>
  </si>
  <si>
    <t>RT @AlexKleinO: Es increíble que @petrogustavo denuncie, una y otra vez, cómo las residencias de sus familiares son saqueadas ilegalmente y…</t>
  </si>
  <si>
    <t>RT @FelicianoValen: Arrecian ataques contra Petro y familia porque saben que les ganamos en el 2022. Sepan que Petro no está solo, hay un p…</t>
  </si>
  <si>
    <t>La barra azul es el precio de la acción de la ETB como la dejamos el 30 de diciembre del 2015; en rojo el precio de… https://t.co/Yrzp7mwKzP</t>
  </si>
  <si>
    <t>Sr Néstor, la flota nueva que compramos efectivamente la están volviendo chatarra, porque Peñalosa volvió a privati… https://t.co/In8jMIe1xw</t>
  </si>
  <si>
    <t>RT @petrogustavo: Mauricio Barón Granados el funcionario de la contraloría distrital de Juan Carlos Granados quien nos pudo las multas impa…</t>
  </si>
  <si>
    <t>RT @petrogustavo: La barra azul es el precio de la acción de la ETB como la dejamos el 30 de diciembre del 2015; en rojo el precio de la mi…</t>
  </si>
  <si>
    <t>¿Por qué es popular golpear a los jóvenes estudiantes? Porque la mayoría de la población adulta no pudo lograr que… https://t.co/UZxm1a7E7o</t>
  </si>
  <si>
    <t>El miedo al cambio de pensar una sociedad donde toda la juventud acceda a la educación superior. A la derecha se l… https://t.co/7EvhixVFlF</t>
  </si>
  <si>
    <t>Por eso la sociedad no reaccionó cuando se supo que habían asesinado miles de jovencitos; por algo sería dijeron; u… https://t.co/lj0Hkrwsvr</t>
  </si>
  <si>
    <t>Solo los dictadores rechazan a la ONU. https://t.co/PCllOKT5DJ</t>
  </si>
  <si>
    <t>RT @Ivan_Velasquez_: En vez de alegar “injerencia indebida” en los asuntos internos o vulneración de la soberanía, un gobierno respetuoso d…</t>
  </si>
  <si>
    <t>José Félix Patiño fue un gran defensor de la salud pública y de la necesidad de salir de ley 100. Después que compr… https://t.co/YE6GBhtiJF</t>
  </si>
  <si>
    <t>No es que la ONU sea comunista, ni como no vean al encapuchado como dice la alcaldesa, sino que siguiendo dos sigl… https://t.co/37C4bWqOpg</t>
  </si>
  <si>
    <t>RT @petrogustavo: ¿Por qué es popular golpear a los jóvenes estudiantes? Porque la mayoría de la población adulta no pudo lograr que sus hi…</t>
  </si>
  <si>
    <t>Réplica de mi hija Sofia Petro a uno de esos uribistas de extrema derecha que nos criticó por sus estudios en el di… https://t.co/oP2USnyYDG</t>
  </si>
  <si>
    <t>En vez de regañar a un joven a los que los medios no le.permiten transmitir su respuesta, lo que hay es que aument… https://t.co/hcUG3CkpJP</t>
  </si>
  <si>
    <t>RT @AlirioUribeMuoz: Presidente @IvanDuque es increíble que usted que compitió por la Presidencia con el líder de oposición @petrogustavo n…</t>
  </si>
  <si>
    <t>RT @CarlosCarrilloA: Lo que más le importa a @ClaudiaLopez es el estado de opinión, su gobierno está siendo un ejercicio de equilibrismo pa…</t>
  </si>
  <si>
    <t>RT @GustavoBolivar: He dicho y lo reitero: creo en la libertad de expresión y no demandaré a nadie por lo q digan de mí. Mi vida es pública…</t>
  </si>
  <si>
    <t>RT @HOLLMANMORRIS: Para los que querían salvarnos de ser como Venezuela, les cuento que hoy somos más idénticos que nunca. #DuqueEsIgualA…</t>
  </si>
  <si>
    <t>Dos veces desaparecidos https://t.co/YjwJGDfXyT</t>
  </si>
  <si>
    <t>¿Por qué no es el berraco el joven? ¿Por qué no piensa como el establecimiento? ¿por qué el medio del poderoso edit… https://t.co/qOE7ujtcIF</t>
  </si>
  <si>
    <t>Lamentable. Mandan el Esmad a golpear y el culpable es el joven pobre. Quitan el presupuesto educativo a la unive… https://t.co/CJPV7ksF0F</t>
  </si>
  <si>
    <t>RT @petrogustavo: En vez de regañar a un joven a los que los medios no le.permiten transmitir su respuesta, lo que hay es que aumentar sus…</t>
  </si>
  <si>
    <t>RT @petrogustavo: Por eso la sociedad no reaccionó cuando se supo que habían asesinado miles de jovencitos; por algo sería dijeron; un buen…</t>
  </si>
  <si>
    <t>RT @petrogustavo: Réplica de mi hija Sofia Petro a uno de esos uribistas de extrema derecha que nos criticó por sus estudios en el diario L…</t>
  </si>
  <si>
    <t>RT @HOLLMANMORRIS: Si le siguen diciendo a la fuerza pública que: Estudiante = vándalo. Sindicalista = terrorista. Oposición = guerrilla. A…</t>
  </si>
  <si>
    <t>RT @HOLLMANMORRIS: El último informe ONU dice que en Colombia la gran mayoría de los manifestantes no tienen nada que ver con los hechos vi…</t>
  </si>
  <si>
    <t>Una sociedad que quiere que le golpeen a sus jóvenes y no está de acuerdo con la demanda de éstos jóvenes por una m… https://t.co/U7WqgU9PGZ</t>
  </si>
  <si>
    <t>Ajá, senadora Maria del Rosario, si ustedes le apostaran a la.paz y la construyeramos entre toda la sociedad, Colom… https://t.co/rmUrcmhLTM</t>
  </si>
  <si>
    <t>RT @ChalecosAmarill: 📽🆘🇨🇴🔻El narco régimen de #Colombia, tortura, mata y desaparece. Los soldados han decidido romper el silencio y denunci…</t>
  </si>
  <si>
    <t>Maria Clara si el objetivo era mitigar el cambio climático ¿cómo se entiende que hagan una troncal de buses diesel… https://t.co/ZWi5h4WJhA</t>
  </si>
  <si>
    <t>Daniel tenga la seguridad que todo sector de la sociedad que desee que golpeen a su juventud y que le parezca irrac… https://t.co/5NvyzeUScc</t>
  </si>
  <si>
    <t>Fascistas de todos los países...uníos. https://t.co/3xoxtNcCi1</t>
  </si>
  <si>
    <t>RT @petrogustavo: Daniel tenga la seguridad que todo sector de la sociedad que desee que golpeen a su juventud y que le parezca irracional…</t>
  </si>
  <si>
    <t>RT @ingridvali2: "Si los paros no te gustan, renuncia a tus derechos y conviértete en un esclavo" https://t.co/7KfQEjeByl</t>
  </si>
  <si>
    <t>Apenas triunfe la estrategia de llevar al progresismo a condenar a jóvenes por su rebeldía, y los aíslen a partir… https://t.co/jz1yHVKNqH</t>
  </si>
  <si>
    <t>Ya saben, Dylan era un vándalo, terrorista, ahora dicen según la nueva historia oficial,y no tenía derecho a pedir… https://t.co/nEBCXrmHXC</t>
  </si>
  <si>
    <t>La @OEA_oficial mintió y avaló un golpe de Estado y una dictadura. https://t.co/jAw0RZoZiS</t>
  </si>
  <si>
    <t>RT @NoticiasONU: Masacres, más de 100 asesinatos a líderes y defensores, abuso de la fuerza, crímenes cometidos por militares y policías, v…</t>
  </si>
  <si>
    <t>RT @rcnradio: Uribismo llena de elogios a Claudia López por posición frente a vándalos https://t.co/6RHzn99YsX</t>
  </si>
  <si>
    <t>El transporte público masivo gratuito será una necesidad indispensable en la lucha contra el cambio climático y la… https://t.co/LtjekPdH2Y</t>
  </si>
  <si>
    <t>RT @carlosecaicedo: Después de casi 30 años de resistencia ante el desplazamiento, el despojo y la violencia, se le hace restitución de tie…</t>
  </si>
  <si>
    <t>RT @Camimi68: Una carta de 1990 que anda en el archivo de Austin Texas, un mensaje de Fidel Castro a Gabo, con cameo de @navarrowolff y @fc…</t>
  </si>
  <si>
    <t>RT @petrogustavo: Ya saben, Dylan era un vándalo, terrorista, ahora dicen según la nueva historia oficial,y no tenía derecho a pedir que lo…</t>
  </si>
  <si>
    <t>La estrategia contra la movilización viene funcionando. Aislar su sector más activo: el estudiantado y golpearlo. E… https://t.co/rarO0WnMFE</t>
  </si>
  <si>
    <t>A menos que el pueblo, el gigante dormido, despierte.</t>
  </si>
  <si>
    <t>Julián Báez simplemente fue usado por Claudia para ganarse unos aplausos y lo dejo ver falsamente como jefe de los… https://t.co/g8MAzRFV4s</t>
  </si>
  <si>
    <t>RT @petrogustavo: La estrategia contra la movilización viene funcionando. Aislar su sector más activo: el estudiantado y golpearlo. Esperar…</t>
  </si>
  <si>
    <t>RT @GustavoBolivar: #YoTambienSoyGustavoBolivar Gracias por tanto poyo🙏 Me comprometen a luchar hasta el último aliento. A veces no es u…</t>
  </si>
  <si>
    <t>No señores, @ELTIEMPO, mi hija no estudia en Europa gracias a una beca. Fue a Europa a estudiar y allá se ganó la b… https://t.co/pv0BZdCtSv</t>
  </si>
  <si>
    <t>Es una ecuación simple. Se paraliza la economía China; se caen, por tanto, los precios de las materias primas en to… https://t.co/CPVzI9OIqj</t>
  </si>
  <si>
    <t>RT @DavidRacero: Por qué @IvanDuque guarda silencio ante los hostigamientos que recibe la familia de @petrogustavo? No deja de ser paradój…</t>
  </si>
  <si>
    <t>Decidimos el apoyo a Carlos Caicedo como gobernador del Magdalena para priorizar la educación superior en la juvent… https://t.co/S8ZfVp3qWK</t>
  </si>
  <si>
    <t>RT @Matador000: A todos los zopencos, subnormales, mentecatos y archibaldos que eligieron al subpresidente que les dijo Uribe, les dejo 2 n…</t>
  </si>
  <si>
    <t>RT @lucianacadahia: Cualquiera que crea en el Estado de derecho y la democracia debería pedir la renuncia de @ClaudiaLopez ante semejante a…</t>
  </si>
  <si>
    <t>RT @joaquinroblesza: ¿Se han pillado que en los panfletos que circulan por todo el país donde se amenaza de muerte a Bolívar, Petro, Avel…</t>
  </si>
  <si>
    <t>¿Oigan, no les parece que ya fue suficiente el engaño con el metro elevado y Bogotá debería como sociedad toda, pre… https://t.co/lt2Hd0a9yI</t>
  </si>
  <si>
    <t>RT @MoisesAlvaro_: Mientras algunos critican a la hija de Petro por ganarse una beca, a los hijos de Uribe los critican por usar el Estado…</t>
  </si>
  <si>
    <t>RT @petrogustavo: ¿Oigan, no les parece que ya fue suficiente el engaño con el metro elevado y Bogotá debería como sociedad toda, presionar…</t>
  </si>
  <si>
    <t>RT @AyarzaAyarka: En la encuesta que publicaron en las últimas horas, omitieron dar a conocer el nivel de aprobación del expresidente y Sen…</t>
  </si>
  <si>
    <t>RT @ActualidadRT: Aída Merlano, la excongresista colombiana presa en Venezuela, puede estar inventando todo lo que dice… o diciendo todo lo…</t>
  </si>
  <si>
    <t>RT @gener_usuga: #YoTambienSoyGustavoBolivar, #PetroYBolivarMeRepresentan, por eso los apoyo, por eso vote por ellos, junto a ellos luchar…</t>
  </si>
  <si>
    <t>La única razón por la cual una obra tan necesaria para Bogotá como el metro subterráneo es saboteada, es porque cre… https://t.co/YuaRz2RPfH</t>
  </si>
  <si>
    <t>RT @HOLLMANMORRIS: Atención. Ya viene #ElTercerCanal. Espérenlo. https://t.co/udBy89HCem</t>
  </si>
  <si>
    <t>RT @colombia_hist: Última alocución como candidato a la Presidencia, el 20 de abril de 1990. Seis días antes de su asesinato "que la vida,…</t>
  </si>
  <si>
    <t>RT @graffitiborrao: No sé si escuché mal, me corrigen por favor. Que el Metro Bogotá va a costar 22 Billones, que si no hay imprevistos est…</t>
  </si>
  <si>
    <t>RT @graffitiborrao: Que entre los imprevistos están el que tienen que remover varios portales de transmilenio, 9 metros a cada lado para da…</t>
  </si>
  <si>
    <t>Duque habló de hacer un cerco diplomático contra el vecino y se lo esta haciendo él mismo, confiado en que Trump ha… https://t.co/bsnW1lGvzE</t>
  </si>
  <si>
    <t>RT @GustavoBolivar: El metro subterráneo estaría rodando hoy, como el de Quito q empezó construcción por la misma época en q Peñalosa sepul…</t>
  </si>
  <si>
    <t>RT @nicolaspetroB: Juan Manuel Santos es muy responsable de que hoy Bogotá no tenga Metro. Saboteo el metro subterráneo solo para hacerle…</t>
  </si>
  <si>
    <t>RT @gener_usuga: Ya entienden por qué @petrogustavo y @HOLLMANMORRIS no llegaron a un acuerdo con Claudia , porque no querían mentirle a #B…</t>
  </si>
  <si>
    <t>El uno director de un medio de comunicación, la hermana miembro de la Comisión estatal Reguladora de Comunicaciones… https://t.co/vREcefPGO4</t>
  </si>
  <si>
    <t>¿Y los árboles? ¿No han escuchado de las olas de calor por el cambio climático? ¿Y el drenaje natural? no han esc… https://t.co/2GMZhbZJNJ</t>
  </si>
  <si>
    <t>Uno de los grandes responsables del engaño a toda la ciudadanía bogotana con el metro elevado es la prensa.</t>
  </si>
  <si>
    <t>Y aún City Tv desinforma porque los 22 billones no es el costo del metro elevado, este es apenas el cupo aprobado e… https://t.co/jtRVOrMcTy</t>
  </si>
  <si>
    <t>Por ahora en el gobierno de Claudia, sólo habrá mas transmilenio el de la av 68, y si Peñalosa la convence, el de la septima.</t>
  </si>
  <si>
    <t>RT @HOLLMANMORRIS: Mensaje a los Bogotanos. El tiempo y la historia nos dan la razón. Irresponsable prometerle a los bogotanos un metro ele…</t>
  </si>
  <si>
    <t>Sin haber firmado el acta de inicio para estudios, aún es tiempo que Claudia y Duque recapaciten. Pueden reducir a… https://t.co/POx63243Ue</t>
  </si>
  <si>
    <t>¿Si el señor Escobar de la empresa Metro de Bogotá mintió de manera tan grotesca y no era cierto que empezaba la co… https://t.co/UWtAJ4WrIQ</t>
  </si>
  <si>
    <t>Un adiós a Tabaré, que deja el gobierno en Uruguay después que el progresismo construyó el país más democrático y c… https://t.co/BHKvyroy3A</t>
  </si>
  <si>
    <t>RT @HOLLMANMORRIS: @ClaudiaLopez No es bueno mentir, lo dijiste en campaña todo el tiempo. Dijiste que harías el Metro y hoy dices que en…</t>
  </si>
  <si>
    <t>RT @EpicuroDeSamos_: A partir de 1951 y después de liquidar la empresa pública de trolebuses, cada vez menos empresarios se benefician de o…</t>
  </si>
  <si>
    <t>RT @EpicuroDeSamos_: comenzaron a determinar su política pública de transporte. Hoy tenemos 3 grandes intereses particulares que se mueven…</t>
  </si>
  <si>
    <t>RT @EpicuroDeSamos_: Su poderío comenzó con la elección de uno de sus miembros al Concejo de Bogotá y son fuertes financiadores de Cambio R…</t>
  </si>
  <si>
    <t>RT @EpicuroDeSamos_: con gran silencio de la prensa, el funcionario Bacca de la superintendencia de industria y comercio, el mismo que sanc…</t>
  </si>
  <si>
    <t>RT @EpicuroDeSamos_: les archivó a los mismos Ríos la investigación por colusión en la licitación del recaudo a pesar de las pruebas existe…</t>
  </si>
  <si>
    <t>RT @EpicuroDeSamos_: Pues bien, el Recaudo se gana nueve pesos por cada pasaje que pagan los usuarios. Es el mejor negocio que se puede hac…</t>
  </si>
  <si>
    <t>RT @EpicuroDeSamos_: El Recaudo perdería su actual monopolio y disminuiría sus utilidades también entre un 30 y un 40% si hay metro, tranví…</t>
  </si>
  <si>
    <t>Este hilo es excepcional y de conocerlo la ciudadanía bogotana entendería porque tiene una de las peores movilidade… https://t.co/gA8J8MOvOg</t>
  </si>
  <si>
    <t>RT @FT_Col: Peñalosa y Claudia López le robaron a Bogotá el metro y nadie reacciona, nadie dice nada, nadie muestra una brizna de dignidad,…</t>
  </si>
  <si>
    <t>Según Vicky vamos picando en punta y de allí "la guerra contra Petro" https://t.co/GPUakx7mDE</t>
  </si>
  <si>
    <t>Pasamos 4 años advirtiendo a Bogotá que los estudios de metro elevado no tenían ni fase II, ni fase III, indispensa… https://t.co/bv0CoArTHz</t>
  </si>
  <si>
    <t>RT @SenorCaicedo: El embajador de Colombia en Uruguay, del gobierno de @IvanDuque, tiene una finca donde se cultiva coca y se produce cocaí…</t>
  </si>
  <si>
    <t>RT @AbadColorado: Sr @IvanDuque ¿le contaron q hoy fue asesinado líder Amado Torres vereda La Miranda San José de Apartadó, por AGC? A fami…</t>
  </si>
  <si>
    <t>RT @EpicuroDeSamos_: Ya en 1951 habían quemado el tranvía público de Bogotá en una ataque de parapoliciales conservadores. El alcalde conse…</t>
  </si>
  <si>
    <t>RT @GustavoBolivar: Estudio del MIT concluye: No hubo fraude en elecciones de Bolivia. Almagro prestó la OEA para robar elecciones a Evo Mo…</t>
  </si>
  <si>
    <t>Pasamos del "Todo bien" al " No joda" y el Pibe tiene toda la razón https://t.co/E2cVT7RND6</t>
  </si>
  <si>
    <t>RT @elsemblante: Tuvo razón en la corrupción del metro elevado, en la presencia de carteles mexicanos en COL, en el éxito de los aguacates…</t>
  </si>
  <si>
    <t>RT @GustavoBolivar: no obstante haber dicho q los metros elevados oscurecen las ciudades, devalúa predios, deterioran el paisaje y solo sir…</t>
  </si>
  <si>
    <t>RT @juliomario55555: En 6 años Panamá ha construido 2 líneas del metro!! la primera línea es un 80% subterránea, ya está adjudicada la 3 li…</t>
  </si>
  <si>
    <t>RT @HOLLMANMORRIS: Otro engaño a los bogotanos con el metro elevado. Dijeron que todo estaba listo y que era irresponsable echarlo para at…</t>
  </si>
  <si>
    <t>RT @PrensaPEsquivel: El fraude en Bolivia 🇧🇴 no fue de @evoespueblo, fue de @Almagro_OEA2015. Fue un golpe de Estado y debemos denunciarlo.…</t>
  </si>
  <si>
    <t>RT @vovallediaz: Éste año estaríamos inaugurando primera línea del metro subterráneo, pero Santos dió cheque Chimbo, Peñalosa firmó uno cor…</t>
  </si>
  <si>
    <t>RT @Juanaafanador1: Terrible y traumática llegada al barrio la Macarena en este momento, taurinos gritándole a un joven « petrista hijueput…</t>
  </si>
  <si>
    <t>RT @periferiaprensa: En horas de la mañana tambien fue asesinado Amado Torres, líder social y tesorero de la junta de acción comunal de la…</t>
  </si>
  <si>
    <t>RT @periferiaprensa: Hoy fue encontrado, amarrado a un árbol y sin vida, el cuerpo de Didian Erley Agudelo, exconcejal y líder campesino de…</t>
  </si>
  <si>
    <t>RT @jcuestanovoa: Así le pusieron conejo Santos y Peñalosa al único Metro, que a la fecha tiene estudios culminados: el Subterráneo. Quito…</t>
  </si>
  <si>
    <t>Si cotizaciones pensionales correspondientes a 4 salarios mínimos mensuales pasan a Colpensiones, pagaría a pensi… https://t.co/CYn4bQj7F7</t>
  </si>
  <si>
    <t>RT @CeciliaOrozcoT: El gobierno Duque cree que puede seguir engañando a Colombia y al mundo con discursos mientras los contradice con sus d…</t>
  </si>
  <si>
    <t>RT @danielpacheco: La Santamaría en la penúltima tarde de la temporada 2020. https://t.co/wBfTBQjN1P</t>
  </si>
  <si>
    <t>RT @Juanaafanador1: ¿Por qué el gerente del metro, Andŕes Escobar @bienconcreto,no se ha pronunciado frente a los retrasos que antes de emp…</t>
  </si>
  <si>
    <t>Dos presidentes que aun no entienden porque su mundo de negocios desorbitados y sin regulación, por qué su política… https://t.co/Ufyu6vtnBv</t>
  </si>
  <si>
    <t>RT @petrogustavo: Sin haber firmado el acta de inicio para estudios, aún es tiempo que Claudia y Duque recapaciten. Pueden reducir a mitad…</t>
  </si>
  <si>
    <t>Esta es la intervención que la prensa censuró en el consejo superior de la Universidad Distrital El joven tiene to… https://t.co/UkJCC4XcYj</t>
  </si>
  <si>
    <t>Le propuse a usted y lo sigo haciendo extensivo al partido liberal hacer un acuerdo programático basado en la Just… https://t.co/0QWYD8yE7z</t>
  </si>
  <si>
    <t>Si la ciudadanía uribista sigue eligiendo esta clase de dirigentes llevará a toda la sociedad colombiana al suicidi… https://t.co/6FaEFx1g59</t>
  </si>
  <si>
    <t>Atacando a la juventud con gases, balas, golpes. Quitándoles sus ojos. Quitándoles la ilusión En una era donde el… https://t.co/60PXDioOw0</t>
  </si>
  <si>
    <t>RT @GustavoBolivar: Reto al sr @jguaido a q presente una sola prueba de su mentira (que Maduro financió campaña de Petro) una sola prueba y…</t>
  </si>
  <si>
    <t>RT @VickyDavilaH: #GuerraContraPetro La investigación a Petro puede ser utilizada para intentar frenarlo como candidato presidencial para 2…</t>
  </si>
  <si>
    <t>RT @anateresabernal: Este Lunes 2 de Marzo - 9 a.m. tendremos nuestro gran Debate al Metro Elevado, un cuento chimbo que nos costará el fut…</t>
  </si>
  <si>
    <t>RT @h_candamil: Sanders diciendo las cosas como son. https://t.co/xeSqq6RvKy</t>
  </si>
  <si>
    <t>La politica tradicional de Antioquia fue generadora del paramilitarismo y es en extremo corrupta. Pero esconde esa… https://t.co/bnait5GKPI</t>
  </si>
  <si>
    <t>RT @Hibai_: Hoy en Lesbos están pasando tantas cosas que no sé ni por dónde empezar. Nunca creí que vería a energúmenos gritando a una emba…</t>
  </si>
  <si>
    <t>Esto es en Grecia, son fascistas agrediendo a los griegos que quieren ayudar al éxodo de refugiados. Se produce en… https://t.co/kyFg2yYAIr</t>
  </si>
  <si>
    <t>RT @nicolasAmon: Miren este trino de noviembre del año pasado, demoro Claudia López 5 meses en decir la verdad, el metro elevado es un embu…</t>
  </si>
  <si>
    <t>Cuantos insultos nos costo cambiar esto. Proponer una ciudad más Humana donde el mayor espacio sea para la gente D… https://t.co/wXcB6dzmle</t>
  </si>
  <si>
    <t>RT @CantorWerner: El indio que arrinconó a la oligarquía fascista. Foto un día antes de ser asesinado. Biblioteca Luis Angel Arango https:/…</t>
  </si>
  <si>
    <t>Simplemente las obras del metro no pueden comenzar este año porque como dice el contrato firmado por Peñalosa, se n… https://t.co/Xw2uYSxPLJ</t>
  </si>
  <si>
    <t>Ha muerto Ernesto Cardenal, un hombre comprometido con los pobres, con Jesús, con el arte, con la revolución sandin… https://t.co/ZNq0BuPrUR</t>
  </si>
  <si>
    <t>El afán no era por hacer el metro, sino por firmar el contrato. https://t.co/tj0eVP8T3r</t>
  </si>
  <si>
    <t>Cuando un movimiento que ejerce el poder se mete con la vida privada de las personas, tengan la certeza que lo que… https://t.co/37o35OytIX</t>
  </si>
  <si>
    <t>RT @petrogustavo: El afán no era por hacer el metro, sino por firmar el contrato.</t>
  </si>
  <si>
    <t>RT @WilsonP81684382: Dos de los que marcharon en Medellín en contra de las marchas. Por personas como estas tenemos a Duque de Presidente.…</t>
  </si>
  <si>
    <t>RT @pnique: IMPRESIONANTE Bernie Sanders ayer en Boston. Qué buena noticia sería para el planeta entero que el pueblo despertase y echara…</t>
  </si>
  <si>
    <t>RT @visomutop: ATENCIÓN. Asamblea Dptal #Putumayo,el territorio + fumigado en #PlanColombia se pronunció x unanimidad contra el #glifosato,…</t>
  </si>
  <si>
    <t>RT @MJDuzan: “Los más adinerados tendremos que pagar más impuestos”, dice Gabriel Gillinsky en esta entrevista para El Tiempo. https://t.c…</t>
  </si>
  <si>
    <t>El transmilenio es un sistema de costos crecientes, en la medida que se expande, las nuevas troncales cargan menos… https://t.co/pWoiGn3Zlg</t>
  </si>
  <si>
    <t>RT @HOLLMANMORRIS: @ClaudiaLopez calificaste de politiquería y populismo lo que nosotros señalábamos del metro elevado , que no tenía estu…</t>
  </si>
  <si>
    <t>RT @AndresCamiloHR: En estos momentos se realiza el debate sobre el Metro Elevado en el Concejo de Bogotá organizado por la bancada de @Col…</t>
  </si>
  <si>
    <t>Aquí la transmisión del debate del metro en el Concejo de Bogotá https://t.co/3UiT7fLfVu</t>
  </si>
  <si>
    <t>RT @IanSchnaida: Ayer fuimos a la marcha contra las marchas que organizaron algunos cuantos uribistas en Medellín. Ni se lo imaginan. Vea…</t>
  </si>
  <si>
    <t>RT @LUISGUIJARA: Santos que gran mentira con Bogotá! Un culpable grandísimo que los Bogotanos no tengan Metro, como condenan a una ciudad…</t>
  </si>
  <si>
    <t>RT @jorgezapata15: Cuando hay periodistas vendidos sin ética profesional https://t.co/rzHw24pfc5</t>
  </si>
  <si>
    <t>RT @CarlosCarrilloA: Querido concejal @riveraalzate, muy políticamente correcto lavarse las manos y decir que el camino es “hacer bien” el…</t>
  </si>
  <si>
    <t>RT @CarlosCarrilloA: El proyecto es un “transmimetro” un segundo piso pensado para alimentar a los buses, no se trata de poner paredes con…</t>
  </si>
  <si>
    <t>RT @alvaroargote: En movilidad se continúa con el modelo peñalosista iniciado en 1.999 y consolidado en 2.019: monopolio del negocio del s…</t>
  </si>
  <si>
    <t>RT @mayamayas: Alza en tarifa del TransMilenio. No son 100 pesos... son CIEN AÑOS de violencia social, injusticia, genocidios, exclusión, v…</t>
  </si>
  <si>
    <t>RT @CarlosCarrilloA: De los verdes que han pasado hoy en este debate del #MetroSinFuturo @MariaClaraName es la primera en defender abiertam…</t>
  </si>
  <si>
    <t>Hermanos, cuando se hacen señalamientos desde el poder y por eso la enorme prudencia que hay que tener allí, se des… https://t.co/RNiPwMknnQ</t>
  </si>
  <si>
    <t>Lideres nacionales de la campaña a la presidencia de la Colombia Humana, Martha Peralta presidenta del Mais y Six… https://t.co/ajrIUbf8ey</t>
  </si>
  <si>
    <t>RT @ChalecosAmarill: 📽🆘️Ve la fuerza de la pequeña Aisha Yakira recitando este poema de la compositora y coreógrafa afroperuana Victoria Sa…</t>
  </si>
  <si>
    <t>RT @SocLaMoMS: "Me estoy muriendo, lenta pero seguramente, todo porque he hecho públicos los crímenes de guerra, para despertar a la socied…</t>
  </si>
  <si>
    <t>La agenda de Colombia y EEUU debe ser la Constitución de un fondo americano multilateral para la mitigación y adapt… https://t.co/RzwfaxZMDI</t>
  </si>
  <si>
    <t>RT @petrogustavo: Lideres nacionales de la campaña a la presidencia de la Colombia Humana, Martha Peralta presidenta del Mais y Sixto Qui…</t>
  </si>
  <si>
    <t>RT @charry_manager: Hoy dos años después del atentado contra @petrogustavo en Cúcuta aún no hay claridad de los hechos, lo que si ha contin…</t>
  </si>
  <si>
    <t>RT @cancinodiegoa: Hacemos un llamado al Gerente de la Empresa Metro, Andrés Escobar (@bienconcreto) para que abramos la discusión pública…</t>
  </si>
  <si>
    <t>La pelea no es pelea, en primer lugar, porque se trata del bienestar de toda la ciudadania y sus finanzas, y en seg… https://t.co/Aq7xgoISJH</t>
  </si>
  <si>
    <t>RT @CorteIDH: 🎥 El pasado 6 de febrero de 2020 se realizó la Audiencia del Caso Petro Urrego Vs. Colombia. En 60 segundos te explicamos de…</t>
  </si>
  <si>
    <t>RT @susanamuhamad: No son peleas inútiles Alcaldesa @ClaudiaLopez regalan norma urbana, con decreto navideño de Peñalosa, renunciando a plu…</t>
  </si>
  <si>
    <t>RT @DemocracyNowEs: Jefes wet’suwet’en mantienen conversaciones con ministros canadienses mientras continúa la lucha contra el gasoducto ht…</t>
  </si>
  <si>
    <t>Los 810 dias que este contrato del metro elevado llama de etapa previa y que son 27 meses, son las etapas para hace… https://t.co/t0oZDs2iYq</t>
  </si>
  <si>
    <t>RT @TobonSanin: Van a DEPREDAR el páramo de Santurbán por unos gramos de oro. Más de 2000000 de personas se van a quedar sin agua. La prote…</t>
  </si>
  <si>
    <t>Siempre estaré dispuesto a dialogar sobre acuerdos alrededor de programas que se consideren pertinentes para constr… https://t.co/hmv2gxQ8rB</t>
  </si>
  <si>
    <t>RT @anateresabernal: He aquí la prueba reina Dra. @ClaudiaLopez: Este es el Informe de revisión del FDN, donde SUMATORIA S.A.S. (firma cont…</t>
  </si>
  <si>
    <t>Siguen repitiendo la frase de un exfuncionario en busca de contrato porque le gusta a usted y no la de los estudios… https://t.co/VDjNumPlNx</t>
  </si>
  <si>
    <t>Sumatoria es la empresa con bastante experiencia en banca de inversión que el gobierno de Santos contrató para eval… https://t.co/cc3QFTb87c</t>
  </si>
  <si>
    <t>No lo es para trenes porque hay que esperar a que se hagan parte de las obras civiles para determinar característic… https://t.co/MP1fknExI4</t>
  </si>
  <si>
    <t>RT @AlvaroLeyva: Inmunda cobardia intimidar a la mamá de Petro y su familia por odio ciego o por incapacidad de enfrentar con argumentos su…</t>
  </si>
  <si>
    <t>Es cierto que una obra como el metro implica no decir mentiras. Sus asesor buscando le mintió. Los estudios de met… https://t.co/I6ArHGE6tY</t>
  </si>
  <si>
    <t>Este es el peridismo que engaña Aquí @ELTIEMPO ni siquiera se pregunta por qué hay una etapa de 810 días, más de d… https://t.co/tTepNhO5hH</t>
  </si>
  <si>
    <t>Hoy por hoy, la única multa que tengo vigente es la de la superintendencia de industria y comercio, que es una dele… https://t.co/NVuZpdTEuh</t>
  </si>
  <si>
    <t>RT @DefenderLiberta: #Atención 🔴 Hacia las 9:30 de la mañana, 3 mujeres fueron retenidas por la @PoliciaColombia en la estación General San…</t>
  </si>
  <si>
    <t>RT @heidy_up: Estamos ante un @MetroBogota de adorno, un "metrico" que sólo servirá para alimentar @TransMilenio y no responder a un sist…</t>
  </si>
  <si>
    <t>RT @heidy_up: A pesar de que los sistemas férreos tienen mucha más capacidad en pasajeros/hora/sentido que Transmilenio, nos están vendiend…</t>
  </si>
  <si>
    <t>RT @heidy_up: La empresa @MetroBogota seleccionó a dedo a Konfirma, que a su vez seleccionó a CONSULTORES PMO Bogotá, contratos plagados de…</t>
  </si>
  <si>
    <t>¿Por qué se entrega en concesión privada el metro elevado si todo el dinero para su construcción lo pone el Estado?… https://t.co/R1X6RShvl1</t>
  </si>
  <si>
    <t>Uribe no aguanta la verdad https://t.co/xCp1AZRYQC</t>
  </si>
  <si>
    <t>RT @MelukLeCuenta: Y subterráneo... https://t.co/kaFwVHJlys</t>
  </si>
  <si>
    <t>RT @HOLLMANMORRIS: La @ContraloriaBta en su informe sobre los efectos del proyecto metro en las finanzas de Bogotá, concluye que no es posi…</t>
  </si>
  <si>
    <t>Lo dijimos a la prensa y lo paso por desapercibido; a Claudia, y no le importó, ahora lo dice la Contraloría El me… https://t.co/7nOr5wHZro</t>
  </si>
  <si>
    <t>RT @alexbernalradio: "Aquí mueren más personas por robo de celulares que por ser defensores de DD. HH”: Alicia Arango La maldad de esta…</t>
  </si>
  <si>
    <t>RT @HOLLMANMORRIS: 2 @EnriquePenalosa usted queda al descubierto , nunca tuvo un solo argumento técnico para tumbar el metro subterráneo. L…</t>
  </si>
  <si>
    <t>RT @HOLLMANMORRIS: Abro hilo 1 - @EnriquePenalosa durante 4 años le dijo a Bogotá y al país que el metro subterráneo no tenía estudios. Ho…</t>
  </si>
  <si>
    <t>RT @petrogustavo: Lo dijimos a la prensa y lo paso por desapercibido; a Claudia, y no le importó, ahora lo dice la Contraloría El metro su…</t>
  </si>
  <si>
    <t>RT @Juanaafanador1: La @Veeduria_Metro comprobó que la administración Peñalosa y la gerencia del metro @bienconcreto, licitaron el metro el…</t>
  </si>
  <si>
    <t>En el metro, escondieron bajo la figura de concesión una licitación de obra pública donde el Estado pone todo el di… https://t.co/1xCaGuxo8S</t>
  </si>
  <si>
    <t>Esta maniobra delictiva que se hizo con funcionarios del gobierno de Duque, hoy en la actual administración de Bogo… https://t.co/CbLEIu2dup</t>
  </si>
  <si>
    <t>El endeudamiento para estudiar es un horror. Bernie Sanders https://t.co/OmvU3kRt1a</t>
  </si>
  <si>
    <t>Mandaron el narcotraficante el Ñeñe Hernández a comprar con sus dineros sucios los votos en la Guajira para Duque.… https://t.co/KuwEfIwmen</t>
  </si>
  <si>
    <t>RT @Contravia: Las investigaciones sobre compra de votos en la Costa Caribe en favor de @IvanDuque y la investigación de @CGR_Colombia cont…</t>
  </si>
  <si>
    <t>RT @ChalecosAmarill: 📽🆘️ #Chile A Bernie Sanders le preguntan sobre el derrocamiento de Allende. ⚠️Miren lo que contestó el senador de #EE…</t>
  </si>
  <si>
    <t>RT @petrogustavo: Mandaron el narcotraficante el Ñeñe Hernández a comprar con sus dineros sucios los votos en la Guajira para Duque. La or…</t>
  </si>
  <si>
    <t>RT @nicolaspetroB: Iban de parrandas en parrandas con el ‘Ñeñe’ Hernández, y ahora salen con el cuento de que no lo conocen. Duque se apoy…</t>
  </si>
  <si>
    <t>RT @HOLLMANMORRIS: Me cansé de advertirlo, lo dije mil veces como Concejal y en campaña. Hoy la @ContraloriaBta nos da la razón. Engañaro…</t>
  </si>
  <si>
    <t>RT @AndresCamiloHR: Me encanta cuando el tiempo le termina dando la razón a @petrogustavo y a @HOLLMANMORRIS https://t.co/YySABp3o9z</t>
  </si>
  <si>
    <t>RT @susanamuhamad: Pero hoy la alcaldesa quiere hacer oídos sordos. Debe investigar a fondo, ver si es legal y legítimo, y deshacerlo si se…</t>
  </si>
  <si>
    <t>RT @HOLLMANMORRIS: Me informan que acaban de atentar contra Leyner Palacios uno de sus escoltas murió en el atentado . Presidente @IvanDuqu…</t>
  </si>
  <si>
    <t>RT @elquelosdelata: Gonzalo Guillén ⁦@HELIODOPTERO⁩ y yo, (apodera ⁦@JuanTrujilloC⁩) acabamos de denunciar a Álvaro Uribe Vélez ante la Cor…</t>
  </si>
  <si>
    <t>RT @lbertoortiz: Informe de la ONU sobre situación de líderes sociales en Colombia fue presentado en Ginebra. "Criminalizacion de los líder…</t>
  </si>
  <si>
    <t>RT @intiasprilla: No hay manera de que Uribe o Duque nieguen su relación con Ñeñe, testaferro del narco Marquitos Figueroa. No hay manera d…</t>
  </si>
  <si>
    <t>RT @PalaciosLeyner: Tenemos mucho dolor ante el brutal asesinato del que fue víctima Arley Hernán Chalá, uno de mis escoltas, 18 impactos…</t>
  </si>
  <si>
    <t>El allanamiento contra la oficina de la fiscal Cerón que ya había estado a punto de morir en un "accidente" de trán… https://t.co/xItdR0MoDZ</t>
  </si>
  <si>
    <t>RT @ChalecosAmarill: 📽🆘️🆘️🆘️ #FreeAssange #DontExtraditeAssange #NoExtraditionUSA #FreeAssangeNOW #FreeAssangeCatLove #Assange https://t.c…</t>
  </si>
  <si>
    <t>RT @NanyPardo: El gobierno de @IvanDuque, que no entiende por qué "chillamos " por la muerte de líderes sociales, ¿pretende que nosotros sí…</t>
  </si>
  <si>
    <t>Plata del narcotráfico en la campaña presidencial. Así de grave. Por eso la mafia se empodera. La mafia no se ac… https://t.co/mS4QWKnKtZ</t>
  </si>
  <si>
    <t>RT @wilberpreciado: En campaña. El de camisa a rayas fue el que compró los votos para Duque? https://t.co/tP1HfEzQ5v</t>
  </si>
  <si>
    <t>El intento de asesinato de una profesora universitaria de Antioquia, es como el camisa negra que gritó "Abajo la In… https://t.co/YFntBnao1m</t>
  </si>
  <si>
    <t>RT @heidy_up: Termina el debate entre Metro elevado y Metro subterráneo, este último SÍ tenía estudios de Ingeniería Básica Avanzada (ingen…</t>
  </si>
  <si>
    <t>RT @HELIODOPTERO: El matarife no tiene arreglo. Echó al agua al tal Luigi y dice que su inmediato y sentido mensaje en Twitter lamentando l…</t>
  </si>
  <si>
    <t>RT @HELIODOPTERO: Cundo publiqué mi investigación sobre los negocios de la cuñada y la sobrina carnal de Uribe con el Chapo Guzmán (le lava…</t>
  </si>
  <si>
    <t>RT @HELIODOPTERO: Para el caso de que desaparezcan en @FiscaliaCol las grabaciones del Ñeñe Hernández y de Priscilla en las que hablan de c…</t>
  </si>
  <si>
    <t>El software de la registraduría es fraudulento y no veo acciones para cambiarlo y volverlo público y auditable. Ca… https://t.co/JVt5XCGv1j</t>
  </si>
  <si>
    <t>El metro subterráneo cuesta USD 7.000 millones de dolares, y la relación costo/ beneficio es indudable si se introd… https://t.co/BX6WBMC5J9</t>
  </si>
  <si>
    <t>Esto no es cierto. La ley colombiana prohibe al distrito entregarle al constructor los diseños de ingeniería, para… https://t.co/R3LO5EtEm6</t>
  </si>
  <si>
    <t>Alicia Arango, con Edmundo del Castillo, y María del Pilar Hurtado, antes de ser parte del gobierno de Uribe eran… https://t.co/xOdYpHb2QZ</t>
  </si>
  <si>
    <t>RT @lbertoortiz: Informan varios medios de comunicación que las grabaciones del "Ñeñe" Hernández, las ocultaron en la fiscalía d Néstor Hum…</t>
  </si>
  <si>
    <t>RT @AndresCamiloHR: Esto fue en campaña presidencial, @petrogustavo lleno todas las plazas donde iba, cientos y miles de personas confiaron…</t>
  </si>
  <si>
    <t>No solo la fiscalía de Néstor Humberto engavetó las grabaciones que comprometían la campaña de Duque con la mafia s… https://t.co/0dif84u2y3</t>
  </si>
  <si>
    <t>RT @UnCaricaturista: #TBT. Hoy en @PublimetroCol https://t.co/890bOcb9Pw</t>
  </si>
  <si>
    <t>RT @ChalecosAmarill: 📽🆘️ #Colombia 🇨🇴 🔻Investigaciones periodísticas, revelan como el dictador colombiano @IvanDuque, habría comprado la…</t>
  </si>
  <si>
    <t>RT @GustavoBolivar: #GrabacionesDelÑeñeSon prueba de 3 cosas: 1- A Duque le compraron la presidencia. 2- La Fiscalía Es corrupta. Tenía…</t>
  </si>
  <si>
    <t>RT @KikePrivatiza: @Diego_Molano @HOLLMANMORRIS @MetroBogota Que raro, ahí hay gato encerrado: esto decía antes ese mismo funcionario que u…</t>
  </si>
  <si>
    <t>RT @Marianiniecheve: La fiscal Amparo Cerón quien estuvo a punto de ser asesinada en lo q pareció un accidente en Chile, piensa que fue sac…</t>
  </si>
  <si>
    <t>RT @wilsonariasc: Fiscal del caso Odebrecht llama a declarar a Luis Carlos Sarmiento Angulo y lo que hace el fiscal general Barbosa es apat…</t>
  </si>
  <si>
    <t>Cada elector de Colombia haya votado por mi o no, hoy debe saber que fue estafado. Si se usa el crimen para subir… https://t.co/u4ST8S5f6D</t>
  </si>
  <si>
    <t>RT @RTultimahora: ÚLTIMA HORA: El Gobierno de Venezuela anuncia la detención del supuesto agresor de Guaidó, quien habría sido contratado…</t>
  </si>
  <si>
    <t>RT @petrogustavo: Cada elector de Colombia haya votado por mi o no, hoy debe saber que fue estafado. Si se usa el crimen para subir al gob…</t>
  </si>
  <si>
    <t>RT @AndresCamiloHR: María Claudia Daza Castro, es la asesora del Senador Alvaro Uribe Velez, es la mujer de la conversación con el Ñeñe Her…</t>
  </si>
  <si>
    <t>RT @PublimetroCol: Contraloría de Bogotá concluye que el metro subterráneo estaba más avanzado que el elevado https://t.co/p5MnMH921h</t>
  </si>
  <si>
    <t>RT @JackDeLaConcha: Cuando salió el video de Petro hubo un especial de Juan Diego Alvira preguntándole a Simón Vélez ¿de este bolsillo sali…</t>
  </si>
  <si>
    <t>RT @AndresCamiloHR: María Claudia Daza la denuncie en abril de 2019, por peculado en el congreso de la República al enviar invitaciones del…</t>
  </si>
  <si>
    <t>RT @HELIODOPTERO: La señora Priscilla Cabrales es íntima amiga de la ministra no sé de qué llamada Alicia Arango, así como lo fue del difun…</t>
  </si>
  <si>
    <t>Esta es la alianza que gobierna a Colombia y la hunde en su crisis social, ética y violenta. Es la alianza entre e… https://t.co/FfZeRoyrQs</t>
  </si>
  <si>
    <t>RT @JulianFMartinez: Respecto a mis afirmaciones en el programa de @VickyDavilaH en @RevistaSemana aporto este documento cuando me cruce en…</t>
  </si>
  <si>
    <t>RT @AntonioSanguino: “Ñeñe”con Alex Char, “Ñeñe con Elsa Noguera”, “Ñeñe con Duque, “Ñeñe” con Uribe...... una imagen vale más que mil pala…</t>
  </si>
  <si>
    <t>RT @UldaricoChilito: Solo en Colombia un Narco va a la posesión de un Presidente. Repito, solo en tranquilandia, Colombia. https://t.co/BnB…</t>
  </si>
  <si>
    <t>RT @DIDASKALOSW: Continúa @ClaudiaLopez #Construyendodictadura sobre las cenizas de lo dejado por Peñalosa. En el video se enfrentan a estu…</t>
  </si>
  <si>
    <t>RT @Juanaafanador1: @EnriquePenalosa demostramos que usted decidió con la financiera de desarrollo, en ese momento en cabeza del actual dir…</t>
  </si>
  <si>
    <t>Nosotros en Bogotá Humana decidimos que el metro era subterráneo porque le daba más capacidad y es lo que más le co… https://t.co/eENgDZKYQA</t>
  </si>
  <si>
    <t>RT @fuedicho: "Lo más revolucionario que una persona puede hacer es decir siempre en voz alta lo que realmente está ocurriendo". Rosa Luxem…</t>
  </si>
  <si>
    <t>RT @CathyJuvinao: Por favor lean esta maravillosa noticia de mayo de 2018. Ya todo tiene sentido. ‘Fiscal dice que revelará fraude electo…</t>
  </si>
  <si>
    <t>RT @GustavoBolivar: Me asaltan varias preguntas: ¿Cuantas pruebas más contra esta clase política putrefacta habrán escondido o borrado los…</t>
  </si>
  <si>
    <t>RT @anateresabernal: Dra. Alcaldesa @ClaudiaLopez y Secretario @LuisErnestoGL, exijo una investigación a los hechos de agresión de esta tar…</t>
  </si>
  <si>
    <t>RT @dianalzuleta: "El Ñeñe" Hernández también era íntimo de Kiko Gómez. En mi libro cuento cómo fue intermediario de una reunión con Gómez…</t>
  </si>
  <si>
    <t>RT @susanamuhamad: Para desincentivar la tauromaquia es importante que no se transformen los artículos que pueden acabar con el toreo (la…</t>
  </si>
  <si>
    <t>RT @AlexLopezMaya: El principal sospechoso del asesinato de los dos líderes sociales en Candelaria - Valle está hoy trabajando en el gobie…</t>
  </si>
  <si>
    <t>RT @Juanaafanador1: La ley de infraestructura existe para evitar el inicio de las obras con apenas el 20% de los estudios de ingeniería. Y…</t>
  </si>
  <si>
    <t>RT @rafacolontorres: Récord Mundial. Gobierno del señor presidente Iván Duque rompe records. Los cultivos ilícitos aumentaron de 208.000 a…</t>
  </si>
  <si>
    <t>Han asesinado a una excombatiente de las Farc en Bogotá. El asesinato sistemática de un grupo civil con identidad… https://t.co/u6HN2qCx90</t>
  </si>
  <si>
    <t>El vinculo de Char y alias "el ñeñe" El eje de la compra de votos pasa por Char, Gerlein, el ñeñe, pero hay vario… https://t.co/4gg9gUBeAS</t>
  </si>
  <si>
    <t>RT @EdisonBedoya21: Viralicen por favor 11 de Junio 2018 ¿Qué hacía la secretaria privada de Álvaro Uribe V. con el narco el "Ñeñe" Herná…</t>
  </si>
  <si>
    <t>Si quieren combatir el cambio climático, no expandan más troncales de transmilenio que usan buses con combustibles… https://t.co/sxM7EjlO8U</t>
  </si>
  <si>
    <t>En mi administración se adelantó un estudio para transformar la Caracas y autonorte en una troncal con buses articu… https://t.co/BxYMPGr0sN</t>
  </si>
  <si>
    <t>RT @HOLLMANMORRIS: Dr @EnriquePenalosa entonces explíquenos. Usted acepta en este trino la ingeniería de detalle del subte , entonces con q…</t>
  </si>
  <si>
    <t>Claudia debería recuperar el decreto para convertir la flota de taxis de hoy en taxis eléctricos. Un taxi rueda 14… https://t.co/vJh7HRHawj</t>
  </si>
  <si>
    <t>RT @dw_espanol: #Colombia es el país con más asesinatos de defensores de Derechos Humanos del mundo. El análisis con @CorreAlexandra #DWN…</t>
  </si>
  <si>
    <t>RT @HOLLMANMORRIS: En hilo Respondo a @lasillavacia sobre metro elevado y demuestro: 1️⃣Violan ley 310/96 porque SIN Estudio de Factibilid…</t>
  </si>
  <si>
    <t>Petro, Corbyn y Sanders https://t.co/dU850AbeTq</t>
  </si>
  <si>
    <t>RT @HOLLMANMORRIS: 1- En primera vuelta ganó @petrogustavo en la Guajira. El Centro Democrático gana en segunda y hoy sabemos según denunci…</t>
  </si>
  <si>
    <t>Ya está el virus en Colombia desde hace quizás diez días, y la red publica fue destruida y con la ley 100 del 93 ya… https://t.co/mMd3l4dmgR</t>
  </si>
  <si>
    <t>A través de decretos de emergencia hay que ordenar que toda institución de salud pública o privada debe atender a t… https://t.co/LSGuXDHOYR</t>
  </si>
  <si>
    <t>RT @marthaperaltae: Después de vivir el peor episodio de mi vida, que ojalá no le pase a nadie, les comento que me he ido recuperando. Segu…</t>
  </si>
  <si>
    <t>RT @RevistaSemana: #ElÑeñeEra | "Oye, yo anoche aquí estaba con el ministro, yo tengo que salir ahora con el ministro de Hacienda": Ñeñe He…</t>
  </si>
  <si>
    <t>¿Tiene espacio en nuestro país la Colombia Humana? https://t.co/Vt153X1sgb</t>
  </si>
  <si>
    <t>Todo fue a su espalda. Pero los dineros del narco y la corrupción fluyeron para comprar votos en todo el Caribe y e… https://t.co/1fwo6bCUvI</t>
  </si>
  <si>
    <t>Hasta ahora entra el virus a sociedades con sus sistemas de salud privatizados. En China, y Europa los sistemas de… https://t.co/KCzwGIIylZ</t>
  </si>
  <si>
    <t>RT @katy_666: Alex Char tampoco conocía a Ñeñe, se le subió al avión a tomar whisky por que ajá. https://t.co/4KMBosKseK</t>
  </si>
  <si>
    <t>¿Algún periodista le habrá preguntado al presidente que si es un enemigo del narcotráfico porque mantiene al embaja… https://t.co/05Z2jQMCyc</t>
  </si>
  <si>
    <t>RT @HELIODOPTERO: Esto tampoco se lo inventó nadie. Mi denuncia en @CorteSupremaJ se limita a llevarle a las autoridades pruebas y document…</t>
  </si>
  <si>
    <t>RT @LaPazColombiani: » Mientras Petro llenaba las plazas en toda Colombia, el Uribismo planeaba como robarse las elecciones... Por eso: ¡PE…</t>
  </si>
  <si>
    <t>Nadie critica al presidente porque sea hermano del Ñeñe, pero si su amigo y aliado político. Jamás los dineros del… https://t.co/EwrWfpVRIE</t>
  </si>
  <si>
    <t>Senador, lo que escriben en redes pues por definición es público, nosotros respetamos al Polo y los invitamos y a u… https://t.co/9fuVE1dr3E</t>
  </si>
  <si>
    <t>Me sorprende de la prensa como le endilga la culpa de la caída del peso frente al dolar, al virus; en EEUU hay más… https://t.co/VDDUvvD4J3</t>
  </si>
  <si>
    <t>RT @AntonioSanguino: Presidente ⁦@IvanDuque⁩ : te saludan tus amigos! https://t.co/xiP2tgkbs9</t>
  </si>
  <si>
    <t>RT @ramirezdo: Hoy me llegó vía whatsapp este video viejito, pero de gran actualidad dadas las últimas noticias. ¿Cuál parte es cierta y cu…</t>
  </si>
  <si>
    <t>RT @petrogustavo: A través de decretos de emergencia hay que ordenar que toda institución de salud pública o privada debe atender a toda pe…</t>
  </si>
  <si>
    <t>RT @DavidRacero: Nosotros a punta de botones; ellos con maletines de millones. Nosotros con la fuerza de la palabra; ellos con el fusil c…</t>
  </si>
  <si>
    <t>El estancamiento económico de China no solo produce la caída del precio de las materias primas, entre ellas el petr… https://t.co/oZxYfgtKkA</t>
  </si>
  <si>
    <t>RT @pelurabar: Paracol comunica q para el manejo del coronavirus en Colombia recomiendan llamar a unos Telefonos y suministra números. Pará…</t>
  </si>
  <si>
    <t>RT @petrogustavo: Me sorprende de la prensa como le endilga la culpa de la caída del peso frente al dolar, al virus; en EEUU hay más enferm…</t>
  </si>
  <si>
    <t>Miren como el pueblo Chileno no se desmoviliza. Es así como se cambia la historia. Colombia tiene muchas más razon… https://t.co/yyxdxELz5W</t>
  </si>
  <si>
    <t>El sistema de EPS no sirve para contener la epidemia Son aseguradoras y una epidemia las quebrará, pero peor aun,… https://t.co/hEsDIBhaX4</t>
  </si>
  <si>
    <t>RT @monlaferte: Chile ✊🏽 https://t.co/j2bQDSW8a1</t>
  </si>
  <si>
    <t>RT @JulianFMartinez: El narcotraficante Ñeñe Hernández era transportado en aeronaves de las Fuerzas Militares durante la administración @Gu…</t>
  </si>
  <si>
    <t>RT @AndresCamiloHR: Luego del bloqueo que me realizaron a la cuenta de Twitter, apele la decisión y presente la documentación necesaria sob…</t>
  </si>
  <si>
    <t>Transportaban el ÑÑ en aviones militares cuando el ministro de defensa era el expresidente de Fenalco Guillermo Bot… https://t.co/iXVTzkFVej</t>
  </si>
  <si>
    <t>RT @PirryOficial: Para el coronavirus, tapabocas y lavarse las manos Para el Ñeñevirus, tapar bocas y limpiar gavetas.</t>
  </si>
  <si>
    <t>RT @UP_Colombia: Nosotros hicimos campaña con la gente y las ideas. El uribismo la hizo con el narcotráficante "Ñeñe" comprando votos. #D…</t>
  </si>
  <si>
    <t>RT @SICNoticia: AHORA Así está la #PlazaDeLaDignidad mientras @illapu le canta a la multitud ...#ChileDesperto para no volver a dormirse ja…</t>
  </si>
  <si>
    <t>RT @cuestion_p: 3. Como demuestran sus fotos de Instagram, Ñeñe Hernández tenía relaciones con dirigentes políticos, entre ellos Álvaro Uri…</t>
  </si>
  <si>
    <t>RT @jo_gir: La registraduria y el CNE callan ante semejante fraude, pero las plazas que llenaba #PetroEsElPresidente demuestran la verdad.…</t>
  </si>
  <si>
    <t>RT @petrogustavo: Han asesinado a una excombatiente de las Farc en Bogotá. El asesinato sistemática de un grupo civil con identidad politi…</t>
  </si>
  <si>
    <t>RT @HELIODOPTERO: En su explicación que no explica nada, Duque no dijo por qué uno de sus invitados especiales era el Ñeñe y los periodista…</t>
  </si>
  <si>
    <t>El ejército de Colombia volverá a su esencia libertaria y republicana el di3a que se separe completamente del narco… https://t.co/hXvmzXVw0j</t>
  </si>
  <si>
    <t>Duque y el Ñeñe eran amigos desde niños, montaban en burra desde pelaos, en la finca del papá, dice el tío del ÑÑ… https://t.co/6eYdsWazN8</t>
  </si>
  <si>
    <t>Con la confesion del exministro de Salud de Uribe, Diego Palacio, a la JEP, la que quiere acabar Uribe, Diego confi… https://t.co/CK3rN3mKiM</t>
  </si>
  <si>
    <t>RT @IvanCepedaCast: Cuando estallan escándalos como el de la innegable intimidad de Duque y Uribe con el ‘Ñeñe’ Hernández, se puede vislumb…</t>
  </si>
  <si>
    <t>Duque positivo para el #Ñeñevirus</t>
  </si>
  <si>
    <t>RT @DiegoVelezGar: Los del voto en blanco le deberían pedir perdón al país. Fueron “neutrales” frente a lo que se está destapando: el contu…</t>
  </si>
  <si>
    <t>RT @MarioRobertoP: El señor Fiscal encargado de investigar la compra de votos de la campaña de @IvanDuque.</t>
  </si>
  <si>
    <t>RT @lfafanador: Una llamada de la asistente de Uribe pidiéndole al Ñeñe que compre votos para Duque. Como decía R. H. Moreno-Durán: «En Co…</t>
  </si>
  <si>
    <t>Una revolución en nuestra sociedad consistirá en que sus héroes sean los y las que estudian, los y las que enseñan.… https://t.co/icVyQ4y1gp</t>
  </si>
  <si>
    <t>Hoy sabemos parcialmente quienes compraron votos y con qué dineros, pero ¿qué pasa con el pobre que vendió su voto… https://t.co/79B0MjuHbo</t>
  </si>
  <si>
    <t>La base de la corrupción y del genocidio es la misma ignorancia a la que conducen a nuestra sociedad. Por eso los… https://t.co/NIF1TCmCZ3</t>
  </si>
  <si>
    <t>Néstor Humberto Martínez ocultó las grabaciones y todas las pruebas del fraude electoral de Duque y su articulación… https://t.co/74RVwCoABH</t>
  </si>
  <si>
    <t>¡A discreción de la mafia...arr! https://t.co/dn65CowdMy</t>
  </si>
  <si>
    <t>Virus que existían antes de la humanidad y que serán liberados con el derretimiento de hielos. Un millón de bacter… https://t.co/ScInvwDPhq</t>
  </si>
  <si>
    <t>La lucha contra el cambio climático es una lucha política dado que lo produce el ser humano y un tipo específico de… https://t.co/PhVT8FI9Vt</t>
  </si>
  <si>
    <t>Los Char se habrían robado el dinero de Vargas Lleras para meterselos a la compra de votos por Duque, dice Maria Ji… https://t.co/6SsnNWHQkM</t>
  </si>
  <si>
    <t>Hoy la Corte Suprema de Justicia debe actuar frente al fraude electoral del 2018. El Fiscal Barbosa es amigo íntim… https://t.co/5yKxBxqjCf</t>
  </si>
  <si>
    <t>Al leer los comentarios a este trino se observa la inmensa desinformación sobre el cambio climático en Colombia Se… https://t.co/skITURwmma</t>
  </si>
  <si>
    <t>RT @petrogustavo: Hoy la Corte Suprema de Justicia debe actuar frente al fraude electoral del 2018. El Fiscal Barbosa es amigo íntimo de D…</t>
  </si>
  <si>
    <t>No veo porque el metro elevado es irreversible. Es una decisión de la alcaldesa, está a su discreción y debería se… https://t.co/iVRegWJCp9</t>
  </si>
  <si>
    <t>RT @GustavoBolivar: Pregunta seria: Para qué los 4 billones q cuesta la Fiscalía, si Odebrecht lo destapó EEUU, Cartel de la Toga la DEA, m…</t>
  </si>
  <si>
    <t>Atencion esto es una calumnia. No existe nada que se llame juventudes petristas, no udo mi nombre oara nominar los… https://t.co/g5vHNmRfpK</t>
  </si>
  <si>
    <t>Alguien sensato en el gobierno de EEUU. El gobernador del Estado de Nueva York ha declarado la emergencia para enfr… https://t.co/9PuXPNTJWA</t>
  </si>
  <si>
    <t>RT @DanielRMed: Tenía razón Petro en este video de la campaña del 2018, no bastaba con llenar las plazas porque ellos no ganan con el poder…</t>
  </si>
  <si>
    <t>RT @JustinAHorwitz: Oh, just Bernie with a small group of friends in Chicago. #notmeus https://t.co/KLKcbhHYkJ</t>
  </si>
  <si>
    <t>RT @nomatarasishr: @JdiegoOrtiz "De tu corazón de máquina me arrojabas al exilio en la alta noche de tus chimeneas donde sólo se oía tu pul…</t>
  </si>
  <si>
    <t>¿Puede Medellín vivir la experiencia de días sin carro y sin moto? https://t.co/nmPvEoRbD2</t>
  </si>
  <si>
    <t>RT @luisrodevia: @petrogustavo @EpicuroDeSamos_ Asi es, senador. La ignorancia es bastante atrevida. Deberían saber que esta pasando con e…</t>
  </si>
  <si>
    <t>Cambio climático amigo Thomas, es producto del aumento de CO2 en la atmósfera, gas que conserva el calor del sol y… https://t.co/nwcuxkOz3R</t>
  </si>
  <si>
    <t>Te equivocas Cosmo @kosmothewokf, el cambio climático actual es producto de los seres humanos; la acumulación de ca… https://t.co/2Zhb1FdCh9</t>
  </si>
  <si>
    <t>Amigo Clavijo las cinco extinciones de la vida que los científicos han descubierto sucedieron antes de la aparición… https://t.co/1oW3LrSZE3</t>
  </si>
  <si>
    <t>Cada vez que trates a otra persona a través de lo que consideras groserías, solo mostrarás la cantidad de inteligen… https://t.co/sBNUG84zAd</t>
  </si>
  <si>
    <t>Nadie ha hablado que el cambio climático tenga que ver con el coranovirus, eso no lo sabemos. Estamos hablando de… https://t.co/Y2x3oI92LX</t>
  </si>
  <si>
    <t>Analizar el cambio climático atraviesa todas las ranas del pensamiento humano, pero es un fenómeno debido a la econ… https://t.co/9beYUlkbDh</t>
  </si>
  <si>
    <t>Colombia no es un gran emisor de CO2 pero debe adaptarse a defender la vida ante él. Además como usted dice, debem… https://t.co/nMymeQEVrT</t>
  </si>
  <si>
    <t>Existe un extenso aparato para legitimar la inacción ante el cambio climático, se constituye por el negacionismo, t… https://t.co/0jFJknF66o</t>
  </si>
  <si>
    <t>Catalina esta vez te desesperaste y entraste a cometer un delito: la calumnia, y procederé. Pablo Escobar era prim… https://t.co/lCCwJrZdn4</t>
  </si>
  <si>
    <t>RT @JulianFMartinez: El Volkswagen Jetta negro con placa RPK122 ha estado haciendo labores de espionaje al edificio donde resido en Bogotá.…</t>
  </si>
  <si>
    <t>RT @ActualidadRT: El planeta se enfrenta a una 'pandemia' silenciosa de contaminación del aire que acorta la vida de las personas en todo e…</t>
  </si>
  <si>
    <t>RT @geoduque: Petro dice que el sistema de EPSs en Colombia no está listo para enfrentar una epidemia, acto seguido, saltan todos los del v…</t>
  </si>
  <si>
    <t>Sr periodista @VLADDO, las EPS son aseguradoras que funcionan bajo la ley de los grandes números, es decir hacen ut… https://t.co/ZwzM0uFD1m</t>
  </si>
  <si>
    <t>De hecho el gobierno al dar números de instituciones públicas a quienes se sientan con síntomas del virus, reconoce… https://t.co/62iBen5xIt</t>
  </si>
  <si>
    <t>Significa que los gastos que se demanden para contener la epidemia y reducir al máximo las posibles victimas y muer… https://t.co/P5YpUk5NVc</t>
  </si>
  <si>
    <t>RT @FranciscoDeRoux: Anoche, la funeraria ante Astrid. Campesina de Acacias. Estudiante. Asesinada. Dejó armas por la paz. Había campesino…</t>
  </si>
  <si>
    <t>RT @ColBolivariana: Ñeñé Hernández, tenía a su disposición un batallón completo del Ejército para coordinar el envío de cocaína hacia el ex…</t>
  </si>
  <si>
    <t>RT @RevistaSemana: "En las interceptaciones al Ñeñe, este habla de una supuesta compra de votos para el candidato Duque por 1.000 millones…</t>
  </si>
  <si>
    <t>RT @JulianFMartinez: Foto subida el 20 julio de 2018 @AliciaArango hoy ministra del Interior @IvanDuque “Cayita” es Maria Claudia Daza,…</t>
  </si>
  <si>
    <t>RT @colombia_hist: El 4 de junio de 1830, cae asesinado el Mariscal Antonio José de Sucre, crimen cometido por quien sería presidente de la…</t>
  </si>
  <si>
    <t>RT @ChalecosAmarill: 📽🆘️En pleno siglo XXI aún queda mucho por luchar #8M 💜✊🏼 👏La emotiva canción de las mujeres en Bilbao ⚠️Sí las mujer…</t>
  </si>
  <si>
    <t>RT @colombia_hist: El 15 de octubre de 1914, es asesinado con hachas en el Capitolio Nacional el General Rafael Uribe Uribe, líder socialis…</t>
  </si>
  <si>
    <t>RT @C_Pueblos: Cárcel del Buen Pastor | Conmemoramos este #8M2020 y acompañamos a las mujeres trabajadoras, a las mujeres privadas de la li…</t>
  </si>
  <si>
    <t>RT @Bunkerglo: Quienes no se mueven, no notan sus cadenas. Rosa Luxemburgo #8M https://t.co/yzzhLMgc3t</t>
  </si>
  <si>
    <t>RT @EFEnoticias: Más de 13.000 personas colapsan A Coruña en el 8M al grito de igualdad https://t.co/DgvYVVcrBk https://t.co/rNlkuAJ1Qn</t>
  </si>
  <si>
    <t>RT @UnitatvsRacisme: La mani de #Diverses8M a Barcelona denuncia el racisme institucional, el feixisme, i l'explotació de les treballadores…</t>
  </si>
  <si>
    <t>Yo diría más bien que son jóvenes que no votan Pero hay una diferencia entre los que van en bus de transmilenio y… https://t.co/Vcyv2w9abS</t>
  </si>
  <si>
    <t>RT @carlos19730516: #ÑeñeVirus @elsemblante @MajoDoria @petrogustavo @VillamilBMauro @sergio_serrano_ @FisicoImpuro @GustavoBolivar @maria…</t>
  </si>
  <si>
    <t>La lucha de una mujer por el amor, la igualdad y la libertad. Sucedió en Irlanda, en 1972. https://t.co/JB9OhfHKh2</t>
  </si>
  <si>
    <t>RT @JulianFMartinez: El presidente @IvanDuque le pidió la cabeza al fiscal @FrBarbosaD de la persona que entregó los audios del Ñeñe Hernan…</t>
  </si>
  <si>
    <t>RT @HELIODOPTERO: El estado Colombiano no tiene derecho a perseguirnos, espiarnos y sabotearnos. No sea cochino, señor @IvanDuque. Su jefe,…</t>
  </si>
  <si>
    <t>RT @petrogustavo: Yo diría más bien que son jóvenes que no votan Pero hay una diferencia entre los que van en bus de transmilenio y los qu…</t>
  </si>
  <si>
    <t>Avanza la construcción de la dictadura civil en Colombia. Duque se habría reunido con el fiscal General y le habrí… https://t.co/iybYZvbq5J</t>
  </si>
  <si>
    <t>RT @AlvaroLeyva: No nos digamos mentiras. Fracasó el pais político. Le toca ahora al pais nacional. Estas no son palabras vacuas. Llegó el…</t>
  </si>
  <si>
    <t>RT @SenorCaicedo: Para derrotar a @petrogustavo tuvo que unirse toda nuestra corrupta clase política con la mafia narcotraficante para comp…</t>
  </si>
  <si>
    <t>Lo dije en campaña: se han juntado los corruptos de un solo lado, es fácil ganarles, solo se necesita no venderles el voto.</t>
  </si>
  <si>
    <t>Esta es la movilización chilena en el dia de la mujer. Así se hace. https://t.co/FdLEmKyZvg</t>
  </si>
  <si>
    <t>RT @AmarantaHank: Estoy orgullosa de ser mujer. https://t.co/9xofeXjxjf</t>
  </si>
  <si>
    <t>RT @algutierrezco: Marcha feminista en Bogotá 💜💚💪💪 @sietepolas @Estamos_Listas @Coordinadora8m @PizarroMariaJo @susanamuhamad @MafeCarrasca…</t>
  </si>
  <si>
    <t>Pan y Rosas. https://t.co/SDBf6iToQX</t>
  </si>
  <si>
    <t>RT @DemosCarajo: ¿Para qué rosas si no podemos decidir sobre nuestros cuerpos? ¿Para qué chocolates si nos matan por ser mujeres? ¿Para qué…</t>
  </si>
  <si>
    <t>RT @RGeneracionPaz: Inicia la conmemoración de la lucha por los derechos de las mujeres en Medellín. Cientos de ellas se reúnen en el parqu…</t>
  </si>
  <si>
    <t>En una Colombia Humana la mujer podrá ser; podrá vestirse como quiera, podrá caminar por donde se le de la gana, po… https://t.co/Wt66I9OkiA</t>
  </si>
  <si>
    <t>La lucha por la igualdad, por la libertad, es una lucha social y política. Tiene que ver con cambiar las relaciones… https://t.co/l8o2h7HGNb</t>
  </si>
  <si>
    <t>RT @colombia_hist: Niña minera de esmeraldas.. en Colombia Autor desconocido, foto sin más datos https://t.co/YF1cKEdMFo</t>
  </si>
  <si>
    <t>RT @HELIODOPTERO: Este ex DAS, asignado a la sección de guerra sucia y sabotaje del despacho de ⁦@FiscaliaCol⁩, nos ha estado siguiendo. S…</t>
  </si>
  <si>
    <t>Este uribismo esta desesperado y se torna violento, su base ideológica es de por si violenta. Busca excluir y gener… https://t.co/agGGBZu8Ac</t>
  </si>
  <si>
    <t>Laura saliste de la universidad de los Andes, y debes estudiar a profundidad. El proceso judicial determinó que qu… https://t.co/vNMYaR4HEU</t>
  </si>
  <si>
    <t>Esta precisamente dándome la razón @harimetsu En Colombia no existe un sistema de salud preventivo que es una resp… https://t.co/2RFAv9reqL</t>
  </si>
  <si>
    <t>Pero ante una epidemia ya declarada, el aseguramiento tampoco sirve porque colapsan las aseguradoras. Todo el proce… https://t.co/j819eqWAAQ</t>
  </si>
  <si>
    <t>RT @CICR_co: En este #díadelamujer, Dulcelina no quiere flores o chocolates, quiere que le den noticias de su hija desaparecida hace 31 año…</t>
  </si>
  <si>
    <t>RT @DavidRacero: ¿Que la izquierda está dividida? Eso NO es cierto. Solo hay un Senador -UNO- que está confundido, creyendo que peleando…</t>
  </si>
  <si>
    <t>¿qué es esto? Alguien en Cúcuta puede confirmar estos hechos? https://t.co/F01paZvMNX</t>
  </si>
  <si>
    <t>La frontera gracias a la política internacional de Duque quedo en manos del narcotráfico. Ha sucedido la peor masa… https://t.co/z9aiHw1ptW</t>
  </si>
  <si>
    <t>RT @TvMasHumana: Abogados de duros narcotràficantes del país con inteteses en el Gobierno DUQUE empiezan a amenazar con demandas al period…</t>
  </si>
  <si>
    <t>RT @Mistermopilas: Estamos en un punto que es más legal la "presidencia" de guaidó que la del hermano del ñeñe.</t>
  </si>
  <si>
    <t>RT @ChalecosAmarill: 📽🆘️ #Catalunya Impresionante! Miles de personas llenan las calles de #Barcelona 👏Éxito total de manifestación del #D…</t>
  </si>
  <si>
    <t>RT @cielo_rusinque: Gracias a todos los que han contestado y quieren participar en la reunión de twitteros de la resistencia. La cita es e…</t>
  </si>
  <si>
    <t>RT @DCoronell: El abogado Samuel Sánchez Cañón, receptor de los giros de Mario Uribe, fue quien llevó a Diego Cadena al paramilitar Carlos…</t>
  </si>
  <si>
    <t>RT @ChalecosAmarill: 📽🆘️ #España ESPELUZNANTE!¡ 👏A su paso por Cibeles, la cabecera de la manifestación de #Madrid #8Marzo #8M https://t.…</t>
  </si>
  <si>
    <t>Y que hubieran sacado en lugar de elegir a Duque elegir otro Duque. El problema no es de individuos sino de los int… https://t.co/TUmaZnxpX2</t>
  </si>
  <si>
    <t>Esta es la típica frase del autoritarismo excluyente. "Si ni le gusta el pais váyase" De hecho se han ido millones… https://t.co/hC0Ma4sH0e</t>
  </si>
  <si>
    <t>RT @fernandoposada_: Hablemos del incendio. Empieza en la noche del 6 de noviembre. ¿Qué encuentra la Comisión de la Verdad? Que para ese m…</t>
  </si>
  <si>
    <t>RT @fernandoposada_: HILO: La más completa Comisión de la Verdad no encontró prueba alguna para demostrar esa tesis de que el M19 "quemó el…</t>
  </si>
  <si>
    <t>RT @attac_fr: Avant d'arriver à la Bastille aujourd'hui, on s'est arrêtées devant l'IBIS de Gare de Lyon pour soutenir les femmes de chambr…</t>
  </si>
  <si>
    <t>En el mundo, el día de la mujer es un dia de movilización femenina, de lucha por los derechos, la igualdad y la li… https://t.co/oMHey8icDy</t>
  </si>
  <si>
    <t>Se tomaron nuestras ideas pero le agregaron su producto. https://t.co/5thMmsJnFA</t>
  </si>
  <si>
    <t>Dos millones de mujeres en las calles de Chile, en contra del régimen dictatorial. https://t.co/BS3ArP2kIv</t>
  </si>
  <si>
    <t>Mujeres en lucha en México. Un pais que ve morir y desaparecer miles de mujeres mexicanas y latinoamericanas en man… https://t.co/X3f8iA3niL</t>
  </si>
  <si>
    <t>RT @OrlenysOV: ¡ERIZA LA PIEL! Millones de mujeres gritan "Piñera, CTM, asesino, igual que Pinochet" en la histórica y espectacular marcha…</t>
  </si>
  <si>
    <t>Chile mantuvo la movilización, Colombia la contuvo. Colombia debe pasar a la movilización masiva, no hay otro cami… https://t.co/R1qb7iH5ag</t>
  </si>
  <si>
    <t>RT @IvanDuque: Si entran dineros oscuros a una campaña política, sanción no debe ser solo para un gerente, elcandidato debe responder con c…</t>
  </si>
  <si>
    <t>RT @DignidadBombero: No es el día de la mujer; es el día de los derechos de la mujer. 8 marzo 1908 40.000 costureras de grandes fabricas…</t>
  </si>
  <si>
    <t>Las brujas tenían razón la sinrazón estaba en la inquisición de los hombres Artistas peruanas https://t.co/kPCm1v6uYz</t>
  </si>
  <si>
    <t>RT @PartidoMorenaMx: Monumento a la Revolución https://t.co/osH0AkbvF3</t>
  </si>
  <si>
    <t>Solo usen la fuerza de las redes para discutir ideas, expresar argumentos, destruir calumnias, informar y organizar… https://t.co/4W7QeCyT7S</t>
  </si>
  <si>
    <t>Desplome del petróleo. Más del 30% cae su precio. No hay demanda por petróleo y carbón Duque no hizo caso de inici… https://t.co/NWnJMi5viI</t>
  </si>
  <si>
    <t>RT @FloridaMpp: “Por un mundo donde seamos socialmente iguales, humanamente diferentes y totalmente libres.” - Rosa Luxemburgo #8M2020 #8…</t>
  </si>
  <si>
    <t>RT @Mistermopilas: El problema es de unos manes fumando en un bus, no el laboratorio encontrado en la finca de un embajador; el problema es…</t>
  </si>
  <si>
    <t>RT @ChalecosAmarill: 📽💞 Marxismo, socialismo, obreras y huelgas: sí, todas estas son claves para entender cómo nació el #DiaDeLaMujer #8M #…</t>
  </si>
  <si>
    <t>RT @mluciaramirez: Es mejor perder decentemente que ganar unas elecciones con trampa. Uno de candidato debe saber qué dineros se mueven en…</t>
  </si>
  <si>
    <t>RT @lasillavacia: Cuando la campaña de Duque en Cesar le dijo al Ñeñe Hernández que retirara una valla mostrando su apoyo al hoy Presidente…</t>
  </si>
  <si>
    <t>El aparato de salud pública de China y las medicinas investigadas en Cuba han logrado detener la epidemia. Mientras… https://t.co/u30ujjj9NA</t>
  </si>
  <si>
    <t>RT @PizarroMariaJo: #Galeria📸 Acompañamos la marcha del #8M ♀️ en #Bogotá. En el sur de la ciudad en el tradicional parque Olaya, se oyeron…</t>
  </si>
  <si>
    <t>Policarpa Salavarrieta, La Pola, la mujer colombiana rebelde y libertaria, la republicana fusilada. La mujer. Muje… https://t.co/69GXBqe8RY</t>
  </si>
  <si>
    <t>Una cosa es no causar pánico, otra hacer como Trump y desconocer la gravedad del problema. https://t.co/jxV2qeAK9g</t>
  </si>
  <si>
    <t>Decían que solo Biden podia ganarle a Trump y que Sanders por radical no. Miren: https://t.co/8fBVdlAflC</t>
  </si>
  <si>
    <t>RT @petrogustavo: Policarpa Salavarrieta, La Pola, la mujer colombiana rebelde y libertaria, la republicana fusilada. La mujer. Mujeres de…</t>
  </si>
  <si>
    <t>China parece haber hecho la operación de salud pública más grande de la historia de la humanidad @agaviriau Esa ex… https://t.co/5b5rCfTp1A</t>
  </si>
  <si>
    <t>Hay algo que debemos aprender y es respetar la ciencia antes que la ideología amigo @FelipeRomero_R sino se cae en… https://t.co/i2gRcxm8uw</t>
  </si>
  <si>
    <t>RT @petrogustavo: Una cosa es no causar pánico, otra hacer como Trump y desconocer la gravedad del problema.</t>
  </si>
  <si>
    <t>RT @OctavioLopezSie: @valomao83 @Desconfiada1975 @AndresV1989 @JimmyPsicol @gregoriooviedo5 @Lauraggils @DanielSamperO @DCoronell @petrogus…</t>
  </si>
  <si>
    <t>RT @redfishstream: Hundreds of thousands of Chilean women have taken to the streets against sexual violence during a historic #Internationa…</t>
  </si>
  <si>
    <t>RT @ChalecosAmarill: 📽✊🏼✊🏼✊🏼 #8M2020 Fuimos millones en las calles, somos históricas 💜 👏👏👏Arriba el feminismo que va a vencer! ✊🏽 #Marcha…</t>
  </si>
  <si>
    <t>La caída sustancial del precio del petróleo y el carbón por la caída de la economía China, pone en evidencia el err… https://t.co/mKeHeraFNH</t>
  </si>
  <si>
    <t>RT @petrogustavo: La caída sustancial del precio del petróleo y el carbón por la caída de la economía China, pone en evidencia el error de…</t>
  </si>
  <si>
    <t>Solicito como víctima del fraude electoral del 2018, al Fiscal Barbosa, que dada su amistad personal con el preside… https://t.co/Un7fDUdl3m</t>
  </si>
  <si>
    <t>RT @ChalecosAmarill: 📽🆘️ M A R A V I L L O S O ! ! #8M Emocionante ✊🏻 [Video de @MelejFotografia ] #8M2020 #DiaInternacionalDeLaMujer #Mar…</t>
  </si>
  <si>
    <t>Mi querida Salud, ya tiene un listado de compradores de votos para Duque: Char, Gerlein, Cure, el ñeñe y hay más; y… https://t.co/0ptjcZSyse</t>
  </si>
  <si>
    <t>Como era de esperarse la caída del precio del petróleo implica el derrumbe del peso ¿Por qué? Porque quienes mane… https://t.co/NqrIVC5kPw</t>
  </si>
  <si>
    <t>Verán que la prensa le hecha la culpa de la relación del valor del peso frente al dólar al coronavirus y eso no es… https://t.co/ezNofDatib</t>
  </si>
  <si>
    <t>Parálisis de la economía china traerá una quiebra financiera global Hay un dato positivo: las emisiones de CO2 se… https://t.co/wFmA1KhDG7</t>
  </si>
  <si>
    <t>El M19 se creo por el fraude electoral contra la Anapo el 19 de abril de 1970. Varios de los integrantes de la Ana… https://t.co/4qemYLrrUG</t>
  </si>
  <si>
    <t>El producto esencial del acuerdo de paz de 1990 fue la asamblea constituyente que ganamos electoralmente y la nueva… https://t.co/gMJCPouEz6</t>
  </si>
  <si>
    <t>La paz hoy asesinada, será posible si se reconstruye moralmente la República como dijera Jorge Eliecer Gaitán.</t>
  </si>
  <si>
    <t>RT @petrogustavo: El M19 se creo por el fraude electoral contra la Anapo el 19 de abril de 1970. Varios de los integrantes de la Anapo, to…</t>
  </si>
  <si>
    <t>RT @MoisesAlvaro_: Policías violan a una mujer en una estación, luego de retenerla por colarse en TM. Días después, el movimiento feminist…</t>
  </si>
  <si>
    <t>RT @GiordanoBrunoFi: Gustavo Petro no fue amnistiado ni indultado por los hechos del Palacio de Justicia Una juez de la República se pronun…</t>
  </si>
  <si>
    <t>RT @CarlosSantiagoL: A esta hora las acciones de Chevron y Exxon Mobil, socias de @ECOPETROL_SA para el fracking caen un 14%. Las acciones…</t>
  </si>
  <si>
    <t>RT @datoatipico: ¡Hay juemadre! Al mentiroso y generador de odio de @petrogustavo se le cumplió otro pronóstico: el dólar se desplomó 30% y…</t>
  </si>
  <si>
    <t>RT @AlexKleinO: El alza histórica del dólar solo tiene un culpable: un gobierno corrupto que insiste en hacernos dependientes del petróleo…</t>
  </si>
  <si>
    <t>Trump se equivoca al ponerse contento por la caída del precio del petróleo. La deuda de la que son dueños los fondo… https://t.co/cN7WZ8M0uG</t>
  </si>
  <si>
    <t>Alvaro Uribe confirma que su asesora, miembro de su UTL en el congreso, Caya Daza, es la que habla con el ÑÑ y le p… https://t.co/8mJ4xhWwBh</t>
  </si>
  <si>
    <t>Hoy queda en evidencia el enorme daño que el ministro de hacienda y las mayorías del Congreso le han hecho al país.… https://t.co/WpYiU5Opja</t>
  </si>
  <si>
    <t>RT @CmarcaFederal: #LaLenguaEsElAzoteDelDuque #RenuncieDuque Qué tal esta prueba de fraternidad y amistad entre el Ñeñe Hernandez y Prisci…</t>
  </si>
  <si>
    <t>Pareciera que colaborar con Uribe fuera una maldición. Todos sus colaboradores terminan presos. https://t.co/oX7xFrdDew</t>
  </si>
  <si>
    <t>RT @jfgartner007: Ante el peligro que significa la vía libre que le dieron Uribe, Duque y el uribismo al Cartel de Sinaloa para que entrara…</t>
  </si>
  <si>
    <t>RT @DavidRacero: DENUNCIA María Claudia Daza (Cayita) tiene el poder para obligar a que UNP le de camioneta blindada con un concepto que la…</t>
  </si>
  <si>
    <t>RT @GiordanoBrunoFi: "Ejército fue responsable del incendio en la toma a Palacio de Justicia" Fiscalía General de la Nación año 2009. No e…</t>
  </si>
  <si>
    <t>RT @ChalecosAmarill: 📽💔 #URGENTE ⚠️ #Chile 🆘 🔻Policías drogados del dictador @sebastianpinera, intentaron asesinaron a golpes y torturaron…</t>
  </si>
  <si>
    <t>Todo el procedimiento de prevencion y tratamiento del coranavirus debe ser permitido sin EPS para toda la población… https://t.co/pQSKxvZB4f</t>
  </si>
  <si>
    <t>Cuando el pueblo colombiano salía a protestar contra las masacres. https://t.co/Src2JPHlu3</t>
  </si>
  <si>
    <t>Sacaron a la fiscal mas importante de Colombia, a la que había logrado el proceso contra alias "don antonio" y desc… https://t.co/RAgqoMbmic</t>
  </si>
  <si>
    <t>RT @ChalecosAmarill: 📽⭕ [#URGENTE ] #Chile 🇨🇱🆘⚠️ 🔻Esbirros del dictador @sebastianpinera, han secuestrado a estudiantes menores de edad de…</t>
  </si>
  <si>
    <t>RT @susanamuhamad: Este es el proceso disciplinario que se iba a archivar pero se revivió el 10 de diciembre el mismo día en el que ganamo…</t>
  </si>
  <si>
    <t>RT @ernestosamperp: El contralor de Bogotá insiste en que sería más barato y rápido construir el metro subterráneo que el elevado. Además,…</t>
  </si>
  <si>
    <t>RT @FisicoImpuro: María Claudia Daza, otra más q se autosacrificó para proteger al delincuente mayor. Renunció a su trabajo como mano derec…</t>
  </si>
  <si>
    <t>RT @Semanaenvivo: #ÑeñeEscándalo | @JulianFMartinez cree que intentarán silenciar a quienes hablen de la investigación y que todavía falta…</t>
  </si>
  <si>
    <t>RT @ChalecosAmarill: 📽🆘️ #CHILE: #Iquique CARABINEROS se ensañaron con dos niños de 13 años. https://t.co/KbKRVKndel</t>
  </si>
  <si>
    <t>RT @sergio_serrano_: Qué bonito que huyen del país quienes ayer gritaban contra la impunidad</t>
  </si>
  <si>
    <t>RT @WRadioColombia: Hasta $400.000 pagaron por voto en elecciones presidenciales en La Guajira &gt;&amp;gt; https://t.co/f7TSRrzpez https://t.co/xTWO…</t>
  </si>
  <si>
    <t>¿ Por qué el graffiti que pintan las mujeres en este CAI, es más importante al hecho que en ese mismo CAI violaron… https://t.co/9nOwNw3M8R</t>
  </si>
  <si>
    <t>Este gráfico móvil le muestra como se ha concentrado CO2 desde la expansión ampliada del capitalismo comparado con… https://t.co/OohLeI7p6N</t>
  </si>
  <si>
    <t>RT @GustavoBolivar: Comunicado para los miembros de mi UTL (Unidad de Trabajo Legislativo): Si alguno de Uds comete un delito, no solo no p…</t>
  </si>
  <si>
    <t>RT @DavidRacero: ¿Por qué el dólar está tan caro y cómo nos afecta? Abro hilo Duque, Uribe y Santos hicieron un modelo económico basado e…</t>
  </si>
  <si>
    <t>RT @DavidRacero: Desplome del precio del petróleo incrementa precios de alimentos, celulares entre otros. Única salida es cambiar dependenc…</t>
  </si>
  <si>
    <t>RT @RobertDeNiroUS: Fascist dictatorship, Turkey, Istanbul #InternationalWomensDay https://t.co/rTZXRMbDEb</t>
  </si>
  <si>
    <t>La entrega de dinero para la compra de votos y el fraude electoral realizado para Duque por parte del ÑÑ, no fue so… https://t.co/LQVJW1LEHg</t>
  </si>
  <si>
    <t>RT @cuestion_p: 16. Juan Carlos Vélez también posó con Daza. Fue senador en el periodo 2010-2014 y además jefe de campaña del No en el pleb…</t>
  </si>
  <si>
    <t>RT @cuestion_p: 19. En septiembre de 2019, Daza declaró en el caso que lleva la Corte Suprema contra Álvaro Uribe por presunta manipulación…</t>
  </si>
  <si>
    <t>RT @petrogustavo: ¿ Por qué el graffiti que pintan las mujeres en este CAI, es más importante al hecho que en ese mismo CAI violaron una mu…</t>
  </si>
  <si>
    <t>RT @JavierAdaime: La solución del gobierno @IvanDuque Lavarse las manos. https://t.co/lLaWr1SZNE</t>
  </si>
  <si>
    <t>RT @dirkjanjanssen: Los adolescentes en los Países Bajos pedalean 2000 km por año. 75% de los alumnos va al colegio en bici. Las ciclovías…</t>
  </si>
  <si>
    <t>RT @linulera: No lo conocían... 🙄🙄🙄</t>
  </si>
  <si>
    <t>Las transportadoras de gas en Colombia, hay dos una de Luis Carlos Sarmiento y otra de Bogotá, ganan por transporta… https://t.co/vPop2BXt2K</t>
  </si>
  <si>
    <t>RT @FranciaMarquezM: Antes no encontraba una respuesta clara frente a la pregunta ¿por qué están asesinando a los líderes sociales? Ahora…</t>
  </si>
  <si>
    <t>RT @elquelosdelata: Y este ...¿también es un faque? https://t.co/RVuZj7v0zS</t>
  </si>
  <si>
    <t>Paradoja. EL capitalismo mundial que entró en crisis en el 2008, logró sostenerse gracias al Partido Comunista de C… https://t.co/0JnXs2s70C</t>
  </si>
  <si>
    <t>La paradoja tiene una incidencia en discusiones sobre salud. El Partido comunista Chino decide cerrar sitios de tr… https://t.co/jkgVmmWQW8</t>
  </si>
  <si>
    <t>Parece existir una lógica del capital, movido por la ganancia, vs una lógica de planificación a largo plazo que aún… https://t.co/9XrnmXyKxd</t>
  </si>
  <si>
    <t>RT @Uriasv: Razones por las cuales el dólar está tan caro. Les voy a explicar porque el dólar está llegando a ese valor, porque no es fácil…</t>
  </si>
  <si>
    <t>RT @Nyscalo: Vivo en Shanghái. Parece que la crisis del coronavirus empieza a estar controlada por fin en China. Os voy a contar cómo se ha…</t>
  </si>
  <si>
    <t>Jajajaja, Colombia hace tiempo gracias a sus amigos, Uribe, Duque, etc; ya es como Venezuela. https://t.co/BEjxovZdkR</t>
  </si>
  <si>
    <t>RT @lbertoortiz: Como les parece? https://t.co/wwfnhbkFuV</t>
  </si>
  <si>
    <t>RT @PublimetroCol: Esmad debe responder por muerte de Dilan Cruz, según informe de organización de los derechos humanos https://t.co/C5qS7w…</t>
  </si>
  <si>
    <t>RT @JMVivancoHRW: Colombian police used excessive force during protests: @HRW report https://t.co/749UskfZkT</t>
  </si>
  <si>
    <t>Hora de ver esto en Colombia. Los movimientos sociales deben ser independientes del Estado. https://t.co/qAqQ35fkp8</t>
  </si>
  <si>
    <t>RT @DiFirulais_Col: Este cínico y siniestro personaje, sabía de la compra de votos en Atlántico, por parte de los clanes Char y Gerlein y t…</t>
  </si>
  <si>
    <t>RT @petrogustavo: Jajajaja, Colombia hace tiempo gracias a sus amigos, Uribe, Duque, etc; ya es como Venezuela.</t>
  </si>
  <si>
    <t>RT @petrogustavo: Paradoja. EL capitalismo mundial que entró en crisis en el 2008, logró sostenerse gracias al Partido Comunista de China.…</t>
  </si>
  <si>
    <t>RT @nicolaspetroB: Ahora resulta que es culpa de la izquierda y de algunos medios de comunicación que la campaña presidencial de Iván Duque…</t>
  </si>
  <si>
    <t>RT @AlirioUribeMuoz: Ejército pública lista de enemigos! https://t.co/kCh9AVa4Us</t>
  </si>
  <si>
    <t>RT @ActualidadRT: Congoleños celebran la curación del último enfermo de ébola En Beni, una provincia de la República Democrática del Congo…</t>
  </si>
  <si>
    <t>RT @DanielBejarano_: No es el invierno en New York, es la #granizada en Usaquen, Bogotá. #CambioClimático https://t.co/5UOYeDRoEx</t>
  </si>
  <si>
    <t>Ya pueden ustedes observar el problema del cambio climático en Bogotá: No porque granice sino por el tamaño del gra… https://t.co/8pvR4AvnfJ</t>
  </si>
  <si>
    <t>RT @LaPazColombiani: Así se evidenciaba desde la Campaña Duque Presidente como iba ser la Presidencia. Hasta en las esquinas y con Mentiras…</t>
  </si>
  <si>
    <t>Estoy de acuerdo con que el general Santoyo, el jefe de seguridad de Uribe vaya a la JEP, colaboró con el paramilit… https://t.co/EifljMGUs1</t>
  </si>
  <si>
    <t>RT @LuisErnestoGL: Los recientes incendios en Sumapaz y la granizada de hoy en la capital son la prueba más clara que no estamos en “cambio…</t>
  </si>
  <si>
    <t>Por eso mismo toda acción del Estado debe pasar por el filtro de la mitigación y de la adaptación al cambio climáti… https://t.co/oozL9BDdhP</t>
  </si>
  <si>
    <t>RT @elsemblante: Les traigo poesía. Así metía miedo el establecimiento colombiano para que no votaran por @petrogustavo y eligieran al nar…</t>
  </si>
  <si>
    <t>RT @FLIP_org: La FLIP expresa su preocupación por esta situación y le recuerda a @COL_EJERCITO que la Constitución colombiana en su artícul…</t>
  </si>
  <si>
    <t>Increible como Duque le ha ayudado a Maduro. Pero ambas sociedades tienen por delante el mismo problema : cómo con… https://t.co/E9H9YSIBEM</t>
  </si>
  <si>
    <t>Ha sido restituida la curul de Colombia Humana en la Cámara de Representantes. Angela Maria Robledo vuelve al Cong… https://t.co/xiu5q2oNRQ</t>
  </si>
  <si>
    <t>Solo dejando de emitir CO2 en todo el mundo se combate la crisis climatica. Si se extiende un transmilenio por la… https://t.co/urHWpdJ7Bb</t>
  </si>
  <si>
    <t>RT @EpicuroDeSamos_: Él es Daniel Mendoza (@elquelosdelata). Desde q denunció a Uribe no paran las amenazas, los seguimientos, interceptaci…</t>
  </si>
  <si>
    <t>RT @JEP_Colombia: 📰No hay errores técnicos en la decisión de la #JEP sobre Marilú Ramírez Baquero, asegura Kai Ambos, autoridad mundial en…</t>
  </si>
  <si>
    <t>Es tan malo que dispersen una manifestación de oposición.en Venezuela a que la dispersen de la misma manera en Colo… https://t.co/KK37U5OEbg</t>
  </si>
  <si>
    <t>Por decreto hay que ordenar que toda empresa o institución debe permitir a trabajadore(a)s que dejen de asistir al… https://t.co/FFIqYFhAFt</t>
  </si>
  <si>
    <t>RT @RT_com: Chinese fumigators vs #coronavirus https://t.co/vbGVubMbIc</t>
  </si>
  <si>
    <t>RT @HOLLMANMORRIS: @ClaudiaLopez la ley de contratación establece que en contratos de obra es obligatoria la Interventoria independiente de…</t>
  </si>
  <si>
    <t>RT @anateresabernal: Solicito cordialmente al Gerente del Metro, Andrés Escobar y a la alcaldesa @ClaudiaLopez nos den informe detallado de…</t>
  </si>
  <si>
    <t>En contra de la ley anticorrupción el gobierno de Claudia decidió no hacer interventoría al proyecto metro. El con… https://t.co/vL88ePXTWJ</t>
  </si>
  <si>
    <t>Señor Andres Escobar, la ingeniería básica avanzada como acaba de decir la contraloría, es un estudio de ingeniería… https://t.co/aSQEq9BbPD</t>
  </si>
  <si>
    <t>Con el debido respeto esta es la manera ignominiosa como se engaña al pueblo. Como pueden decir que el proyecto me… https://t.co/KbMVOpNHym</t>
  </si>
  <si>
    <t>La manera como Peñalosa y su gerente de metro que es el de Claudia, llegaron a firmar que el costo beneficio era ne… https://t.co/CCdkN8xBzd</t>
  </si>
  <si>
    <t>Indudablemente señora periodista la decisión en cada país es si privilegiar la economía o privilegiar la vida de su… https://t.co/9T3wXau2rQ</t>
  </si>
  <si>
    <t>Nuestro director del IDU William Camargo, quien fue el responsable del proyecto Metro en Bogotá Humana, desmiente a… https://t.co/YY41H9e7MZ</t>
  </si>
  <si>
    <t>RT @Caromunozb: Nunca una ciudad estuvo tan preparada para el coronavirus como Bogotá. https://t.co/5Xv0If38Fs</t>
  </si>
  <si>
    <t>Más o menos el 10% de la población que enferma de coronavirus requiere estar en unidades de cuidados intensivos, UC… https://t.co/wItqgt7UOx</t>
  </si>
  <si>
    <t>Adaptamos cuatro pisos del San Juan de Dios en Bogotá para cirugía y cuidados intensivos. Peñalosa suspendió el pro… https://t.co/A2ivTPjjYe</t>
  </si>
  <si>
    <t>Ojalá que cuando claudia dijo que Coronavirus es una gripa por radio, no estuviera influenciada por su secretario d… https://t.co/FbvlEsCLET</t>
  </si>
  <si>
    <t>Simplemente están comprando el silencio de la señora Daza. https://t.co/6oIcEUDOHj</t>
  </si>
  <si>
    <t>RT @petrogustavo: Indudablemente señora periodista la decisión en cada país es si privilegiar la economía o privilegiar la vida de su pobla…</t>
  </si>
  <si>
    <t>No pueden confundir "La Casa" con las redes. Sugerimos a quienes en redes se sienten simpatizantes que solo usen ar… https://t.co/ax7XgxnOav</t>
  </si>
  <si>
    <t>Claudia debe adecuar ya el hospital San Juan de Dios con unidades de Cuidado Intensivo, para preparar a Bogotá en l… https://t.co/Z4HiUWyMzV</t>
  </si>
  <si>
    <t>RT @alexbernalradio: Gaitanistas ✊🏽❤️✊🏽 https://t.co/0njei2SS0d</t>
  </si>
  <si>
    <t>RT @Carolac2584: A los niños del Chocó les llevó dulces de $200 a los de La Guajira que tienen que buscar la comida en canecas de basura qu…</t>
  </si>
  <si>
    <t>¿No se conocen? https://t.co/CAwhqI6Lff</t>
  </si>
  <si>
    <t>RT @SenorCaicedo: El padre de Abelardo de la Espriella borro este vídeo de su cuenta de Instagram en donde aparece en compañía del narcotra…</t>
  </si>
  <si>
    <t>RT @mateocastroee: Vease aquí dos presidentes interinos muy amigos de la ilegalidad. https://t.co/uaPtZiiyeC</t>
  </si>
  <si>
    <t>RT @pmarsupia: Las plazas disponibles en las Unidades de Cuidados Intensivos en cualquier país son muy limitadas. Aquí tenéis el número de…</t>
  </si>
  <si>
    <t>¿Acaso no dijimos esto en la campaña presidencial y los gremios de las corporaciones se burlaron? Hay que separar… https://t.co/ri9QNC9Gd0</t>
  </si>
  <si>
    <t>Transmilenio debe iniciar la desinfeccion.permanente de buses en la ciudad. https://t.co/t6XB6cweb2</t>
  </si>
  <si>
    <t>Tristemente el gobierno nacional se ha dejado presionar de los gremios económicos y está dejando a un lado las medi… https://t.co/HpOQPAbNNR</t>
  </si>
  <si>
    <t>Esto es mentira. No es por el virus que le dan 240 dias a la empresa china para firmar acta de inicio. el represe… https://t.co/jtW6GSAeR4</t>
  </si>
  <si>
    <t>RT @wulfre2: @ELTIEMPO @JJCardenasMoran @IvanDuque Paso por mis espaldas, solia decir el vice- https://t.co/fQ454tc5V5</t>
  </si>
  <si>
    <t>RT @SenorCaicedo: ¿Duque hizo taller para justificar viaje del uribismo a la boda de hija de "Caya" Daza? El pasado 25 de mayo de 2019 el p…</t>
  </si>
  <si>
    <t>Si el ejército es un ejército nacional verá como enemigo a lo que pueda agredir a la sociedad colombiana toda, si e… https://t.co/Srdy1eaUyA</t>
  </si>
  <si>
    <t>Bogotá tiene 967 unidades de cuidados intensivos, UCI, de ellas 198 son de hospitales públicos Ahora están 100% oc… https://t.co/4apPyc9tHw</t>
  </si>
  <si>
    <t>RT @anateresabernal: ¿Un "mico"? la triste historia del Metro Elevado es una Jungla llena de todos los primates conocidos, (con el respeto…</t>
  </si>
  <si>
    <t>Los mayores metros del mundo están situados en ciudades que tienen gélidas temporadas invernales: Nueva York, Moscú… https://t.co/4XcpxZz8XZ</t>
  </si>
  <si>
    <t>En principio las medidas tomadas por Claudia son adecuadas para contener el virus. Temas pendientes y urgentes: L… https://t.co/sD1SRTC3gF</t>
  </si>
  <si>
    <t>La decisión fundamental es si decidimos paralizar la actividad económica para salvar la población laboral, hay que… https://t.co/1fozxGrHlr</t>
  </si>
  <si>
    <t>Es absurdo que en medio de la crisis económica, Duque se interese por trasladarle recursos públicos a grandes hotel… https://t.co/ALUNlf60GO</t>
  </si>
  <si>
    <t>Claudia parte de un principio correcto. La contención del virus no se puede hacer bajo la ley 100 y el sistema de… https://t.co/qei9AaUsiB</t>
  </si>
  <si>
    <t>RT @petrogustavo: Claudia parte de un principio correcto. La contención del virus no se puede hacer bajo la ley 100 y el sistema de EPS L…</t>
  </si>
  <si>
    <t>En este hilo pueden ver como la situación italiana con el virus se vuelve dramática cuando se satura su sistema de… https://t.co/N9Wr0z9ANr</t>
  </si>
  <si>
    <t>Dada nuestra baja capacidad hospitalaria, en términos de unidades de cuidados intensivos, UCI; y el peligro que eso… https://t.co/dD1pIYF9eF</t>
  </si>
  <si>
    <t>En el caso de Bogotá la prevención debería suspender la actividad de transmilenio por la aglomeración, o disminuirl… https://t.co/e8PhjmaoUR</t>
  </si>
  <si>
    <t>Las infraestructuras hospitalarias que no son hoy utilizadas, como el hospital San Juan de Dios en Bogotá, deben se… https://t.co/SWVHaIeK8T</t>
  </si>
  <si>
    <t>RT @petrogustavo: Es absurdo que en medio de la crisis económica, Duque se interese por trasladarle recursos públicos a grandes hoteles y e…</t>
  </si>
  <si>
    <t>RT @petrogustavo: En principio las medidas tomadas por Claudia son adecuadas para contener el virus. Temas pendientes y urgentes: La capa…</t>
  </si>
  <si>
    <t>Deje de amenazar con demandas y entremos a analizar su papel dentro de la sociedad colombiana y dentro de la socied… https://t.co/TavLOzEim3</t>
  </si>
  <si>
    <t>RT @GustavoBolivar: Qué pretexto más vergonzoso. O sea ¿tampoco estará en 2030? Una ciudad colapsada e infernal tiene q lidiar con esta me…</t>
  </si>
  <si>
    <t>RT @SaninPazC: No, no. Más que "Piensa en tu abuelita" es piensa en la anciana a quien no conoces y a quien no quieres. Piensa en su dolor,…</t>
  </si>
  <si>
    <t>La razón por la que los países del oriente asiático logran más éxito que los europeos y EEUU en el control de la en… https://t.co/YAO899neqR</t>
  </si>
  <si>
    <t>Cuando Duque dice que le quita aranceles a la importación de productos médicos pretende bajo su fundamentalismo cre… https://t.co/GuWXlXnwuT</t>
  </si>
  <si>
    <t>Sentimos desconfianza en la capacidad del gobierno nacional y en el sistema de EPS para controlar la enfermedad. P… https://t.co/C4Yh4davuD</t>
  </si>
  <si>
    <t>A cambiar valores. Al no saludar de mano, al apartarse, al desagregarse o entrar en cuarentena, no estamos teniend… https://t.co/ZNeOXRui1v</t>
  </si>
  <si>
    <t>En mi opinión el comité de paro debe suspender las manifestaciones para impedir que se desarrolle la enfermedad. A… https://t.co/LQCeA5ZPtC</t>
  </si>
  <si>
    <t>Geman Vargas Lleras decidió entrar al gobierno y hoy controla el ministerio de salud. Es decisión que no comparto… https://t.co/ry6a0LaAUT</t>
  </si>
  <si>
    <t>RT @JorgeRiechmann: "Tal vez estamos empezando a comprender que nadie se salva solo, que las fronteras no existen, que la salud es un derec…</t>
  </si>
  <si>
    <t>RT @petrogustavo: En mi opinión el comité de paro debe suspender las manifestaciones para impedir que se desarrolle la enfermedad. Aprovec…</t>
  </si>
  <si>
    <t>RT @petrogustavo: Geman Vargas Lleras decidió entrar al gobierno y hoy controla el ministerio de salud. Es decisión que no comparto pero e…</t>
  </si>
  <si>
    <t>Solicito para encarar el virus en Bogotá: 1. Restituir los 5.000 miembros de la fuerza de la salud que construyero… https://t.co/lws16EQXtD</t>
  </si>
  <si>
    <t>RT @ChalecosAmarill: 📽🆘️ Los médicos chinos se quitan las mascarillas y muestran sus rostros, para celebrar el cierre del último hospital t…</t>
  </si>
  <si>
    <t>Cuando escuchen a la prensa decir que se desplomó el peso por el coronavirus, desinforman. Europa tiene muchísimos… https://t.co/kJI5lr8uYA</t>
  </si>
  <si>
    <t>RT @petrogustavo: A cambiar valores. Al no saludar de mano, al apartarse, al desagregarse o entrar en cuarentena, no estamos teniendo mied…</t>
  </si>
  <si>
    <t>RT @petrogustavo: Cuando escuchen a la prensa decir que se desplomó el peso por el coronavirus, desinforman. Europa tiene muchísimos más e…</t>
  </si>
  <si>
    <t>RT @petrogustavo: Solicito para encarar el virus en Bogotá: 1. Restituir los 5.000 miembros de la fuerza de la salud que construyeron la p…</t>
  </si>
  <si>
    <t>La sobrina del.paramilitar Jorge 40 y asesora del Congreso de la República en la UTL del senador Alvaro Uribe Vélez… https://t.co/oC9Fr6NpGS</t>
  </si>
  <si>
    <t>RT @Covid19_Time: #Coronavirus #COVID19 ☣️ El Portavoz del Ministerio de Relaciones Exteriores de #China 🇨🇳 acusa al ejército de los Estad…</t>
  </si>
  <si>
    <t>RT @CamiloFidel: Un cuento dickensiano en el que un empresario obliga a trabajar a sus empleados en una pandemia. Ellos se rebelarían ante…</t>
  </si>
  <si>
    <t>RT @elquelosdelata: A ustedes les tiene miedo. Él les come. Le tiemblan las guevas de solo sentir que ustedes se despiertan. Son ustedes lo…</t>
  </si>
  <si>
    <t>El coronavirus nada tiene que ver con el contrato de metro elevado. El gerente del metro levado debe decirnos si e… https://t.co/3KPpdZiwk9</t>
  </si>
  <si>
    <t>Hospital San Juan de Dios que quieren derribar en contra de la ley, tiene inversión de 40.000 millones de Bogotá Hu… https://t.co/MVtZVA0J45</t>
  </si>
  <si>
    <t>Esta noche a las 8 pm nos vemos en Semana en Vivo. https://t.co/uGQHFxfCTX</t>
  </si>
  <si>
    <t>RT @intiasprilla: La falta de camas hospitalarias y UCIS para atender enfermos graves de COVID 19, en caso de empezar una curva ascendente…</t>
  </si>
  <si>
    <t>RT @AndresCamiloHR: “La plata de ODEBRECHT, los sobornos van para Los Char en Barranquilla” @petrogustavo al aire en @Semanaenvivo con @MJD…</t>
  </si>
  <si>
    <t>RT @ammejiaaguado: “La plata de ODEBRECHT, los sobornos van para Los Char en Barranquilla” @petrogustavo al aire en @Semanaenvivo con @MJDu…</t>
  </si>
  <si>
    <t>RT @elsemblante: @EpicuroDeSamos_ He visto toda la entrevista con @MJDuzan. Una cátedra de país impresionante. Diagnóstico a detalle de la…</t>
  </si>
  <si>
    <t>RT @RevistaSemana: "Los compradores de votos son los dueños de la tierra": @petrogustavo dice que la cultura de la compra del voto se ha no…</t>
  </si>
  <si>
    <t>RT @AndresCamiloHR: “Como los Uribistas no quieren vivir con La Paz, le tienen miedo a La Paz y viven de sacar el voto de la gente con el m…</t>
  </si>
  <si>
    <t>RT @VengaLeCuentoCo: #FotoDelDía La última noche en el último hospital improvisado de #Wuhan, el doctor Jiang Wenyang está acostado en la c…</t>
  </si>
  <si>
    <t>RT @RevistaSemana: #SemanaEnSemanaEnVivo | "Están eligiendo al que tiene la motosierra y los está despedazando": @petrogustavo dice que la…</t>
  </si>
  <si>
    <t>RT @AndresCamiloHR: “Están eligiendo al que tiene la motosierra y los está despedazando” @petrogustavo al aire en @Semanaenvivo con @MJDuza…</t>
  </si>
  <si>
    <t>RT @AndresCamiloHR: Lo que está pasando con el Metro en Bogotá es una catástrofe y Claudia (@ClaudiaLopez) no hace nada” @petrogustavo al a…</t>
  </si>
  <si>
    <t>RT @AndresCamiloHR: “Una Fiscalía que tapa el crimen en su máxima expresión... mientras el gran crimen está en el poder” @petrogustavo al a…</t>
  </si>
  <si>
    <t>RT @RevistaSemana: #PetroEnSemanaEnVivo | "El papá de Duque era amigo del papá del Ñeñe": @petrogustavo insiste en que el presidente Duque…</t>
  </si>
  <si>
    <t>RT @AndresCamiloHR: “Esta saliendo cocaina por los aeropuertos oficiales” @petrogustavo al aire en @Semanaenvivo con @MJDuzan #PetroenSema…</t>
  </si>
  <si>
    <t>RT @AndresCamiloHR: “El escándalo de Odebrecht no solo es en el gobierno de Santos, la mayor parte es en el gobierno de Uribe” @petrogustav…</t>
  </si>
  <si>
    <t>RT @RevistaSemana: #PetroEnSemanaEnVivo | "Los uribistas no pueden vivir en la paz, necesitan del miedo de la guerra y la violencia": @petr…</t>
  </si>
  <si>
    <t>RT @RevistaSemana: "Uribe no tiene que ver con el Ñeñe. El que tiene ver es Duque": @petrogustavo dice que la relación de María Claudia Daz…</t>
  </si>
  <si>
    <t>RT @RevistaSemana: "El uribismo necesitaban de las Farc y la están tratando de revivir": @petrogustavo menciona que el uribismo ha tratado…</t>
  </si>
  <si>
    <t>RT @RubenPinzonHdez: "El uribismo se está autodestruyendo por su propia lógíca, no porque nosotros lo estemos destruyendo" @petrogustavo #P…</t>
  </si>
  <si>
    <t>RT @Semanaenvivo: "El uribismo necesitaban de las Farc y la están tratando de revivir": @petrogustavo menciona que el uribismo ha tratado d…</t>
  </si>
  <si>
    <t>RT @Semanaenvivo: #SemanaEnSemanaEnVivo | "Están eligiendo al que tiene la motosierra y los está despedazando": @petrogustavo dice que la v…</t>
  </si>
  <si>
    <t>RT @Semanaenvivo: "Uribe no tiene que ver con el Ñeñe. El que tiene ver es Duque": @petrogustavo dice que la relación de María Claudia Daza…</t>
  </si>
  <si>
    <t>RT @Semanaenvivo: #PetroEnSemanaEnVivo | "El papá de Duque era amigo del papá del Ñeñe": @petrogustavo insiste en que el presidente Duque n…</t>
  </si>
  <si>
    <t>RT @Semanaenvivo: "Los compradores de votos son los dueños de la tierra": @petrogustavo dice que la cultura de la compra del voto se ha nor…</t>
  </si>
  <si>
    <t>RT @HOLLMANMORRIS: Petro habla sobre su proyecto de canal digital para la ciudadanía. Opiniones? https://t.co/VIM9y7IT61</t>
  </si>
  <si>
    <t>RT @ActualidadRT: Un hombre de 100 años que padece Alzheimer se recuperó del coronavirus el 7 de marzo en un hospital de Wuhan (Hubei, Chin…</t>
  </si>
  <si>
    <t>Excelente ante el cambio climático las sociedades tienen que virar inmediatamente a los transportes eléctricos y la… https://t.co/JtV2TF0CJ8</t>
  </si>
  <si>
    <t>"The Economist" dice que la policía chilena es una fuerza brutal, corrupta e incompetente y necesita ser reformada.… https://t.co/o8H1nrbhuQ</t>
  </si>
  <si>
    <t>El cambio climático es como un coronavirus multiplicado por cien y mantenido y profundizado por décadas hasta las p… https://t.co/XzETjTHMyN</t>
  </si>
  <si>
    <t>RT @ActualidadRT: #Ñeñepolítica o cómo una investigación sobre un asesinato cometido hace años terminó destapando un presunto caso de fraud…</t>
  </si>
  <si>
    <t>Mientras China construyó en cuestión de días, hospitales para tratar la pandemia, en Bogotá, Peñalosa y la actual… https://t.co/IIvB73QJqo</t>
  </si>
  <si>
    <t>Peñalosa quiso borrar de la ciudad el San Juan de Dios que es patrimonio arquitectónico e histórico y protegido por… https://t.co/22f44Go8iE</t>
  </si>
  <si>
    <t>Logró que la universidad nacional modificara el plan de restauración, y que permitiera la demolicion del monumento… https://t.co/mx2igd2gGU</t>
  </si>
  <si>
    <t>Los contratistas que demolerán el San Juan de Dios, recibirán 400.000 millones de pesos para hacer y administrar el… https://t.co/WailqrTyOR</t>
  </si>
  <si>
    <t>El responsable de derribar el hospital San Juan de Dios en Bogotá y de destruir su red publica hospitalaria es el g… https://t.co/w4vDghTl7D</t>
  </si>
  <si>
    <t>RT @SofySkin: Más de una semana con gripa, tos seca intensa y fiebre alta, me he comunicado con las líneas de atención que autorizó @Quinte…</t>
  </si>
  <si>
    <t>Esto es simplemente una barbaridad. https://t.co/n06UvitgGw</t>
  </si>
  <si>
    <t>RT @WSMIreland: One of Ireland's far right provocateur's just got milk shaked in Carrick-On-Shannon at the very moment he was saying he had…</t>
  </si>
  <si>
    <t>Sucede porque los fondos pensionales administrados privadamente ponen estos recursos en los mismos procesos de acu… https://t.co/wjxF5EnJed</t>
  </si>
  <si>
    <t>RT @petrogustavo: Mientras China construyó en cuestión de días, hospitales para tratar la pandemia, en Bogotá, Peñalosa y la actual admini…</t>
  </si>
  <si>
    <t>RT @andres20ad: The Economist, medio de derecha dice que la solución para Chile pasa por Acabar con las Isapres Cambiar las AFP Mayor gast…</t>
  </si>
  <si>
    <t>Peñalosa ordenó demoler el hospital San juan de Dios, cuando una ley lo estatuyó como patrimonio histórico y arqui… https://t.co/8Xgfkc6Tsu</t>
  </si>
  <si>
    <t>Este es el momento de suspender ya actividades en colegios y universidades, centros comerciales y fábricas y sitios… https://t.co/EfZHmqxv1M</t>
  </si>
  <si>
    <t>RT @petrogustavo: Peñalosa ordenó demoler el hospital San juan de Dios, cuando una ley lo estatuyó como patrimonio histórico y arquitectón…</t>
  </si>
  <si>
    <t>Una juez decide la suerte del hospital San juan de Dios de Bogotá, el primero y la cuna de la medicina en Colombia.… https://t.co/ekTDA7jUN5</t>
  </si>
  <si>
    <t>Esta demora en la información en los casos se debe a una razón El Instituto Nacional de Salud esta colapsado, esta… https://t.co/WzsytEHbRH</t>
  </si>
  <si>
    <t>RT @wilsonariasc: El año pasado @IvanDuque dejó de ejecutar $2,7 billones de pesos en salud pública. Ahora que el sistema debe enfrentar l…</t>
  </si>
  <si>
    <t>Los resultados de pruebas en el Insituto Nacional de salud se esta demorando 22 horas más que el promedio mundial.… https://t.co/STew8KudcN</t>
  </si>
  <si>
    <t>España para atender entre los 10.000 enfermos por el virus los casos graves necesitaría 1.000 camas de cuidados int… https://t.co/LpTxc0JbRX</t>
  </si>
  <si>
    <t>El gobierno francés ordeno por el virús, la suspensión de clases para los estudiantes del colegio luis Pasteur en B… https://t.co/Yvbr3HrRT3</t>
  </si>
  <si>
    <t>La gradualidad de las medidas, lo demuestra España no sirve. Colombia no tiene capacidad hospitalaria, ese es el da… https://t.co/ENXihSkl66</t>
  </si>
  <si>
    <t>No se debe aplazar la movilización del 25 de marzo, sino cambiarla de forma para proteger la vida de la población… https://t.co/xcidGuhU6f</t>
  </si>
  <si>
    <t>La movilización del 25 debe levantar una nueva bandera: La acción real y decidida del Estado para proteger a la gen… https://t.co/JY5WESjaOz</t>
  </si>
  <si>
    <t>Tratamiento del virus debe ser gratuito y fuera de la ley 100 El Estado debe implementar inmediatamente con los ho… https://t.co/dlznG1V3MZ</t>
  </si>
  <si>
    <t>Me causó dolor saber que funcionarios de la Universidad Nacional se plegaron a Peñalosa para demoler la cuna de la… https://t.co/ymrzZlJTjX</t>
  </si>
  <si>
    <t>Una movilizacion que es el confinamiento voluntario en nuestras casas, en realidad una huelga general, el 25 de mar… https://t.co/K97oDOob5a</t>
  </si>
  <si>
    <t>RT @MoisesAlvaro_: No sólo es un error estupido, sino que es un hecho de corrupción que favorece a intereses particulares, el que @ClaudiaL…</t>
  </si>
  <si>
    <t>El bloqueo de viajes aéreos a y desde Europa y EEUU debe ser inmediato. Que primen las razones de la vida sobre l… https://t.co/D4zHQs61AO</t>
  </si>
  <si>
    <t>La suspensión de clases en los colegios públicos, que es lo deseable ahora, tiene un inconveniente: muchos niños pe… https://t.co/sUtZQMuSSW</t>
  </si>
  <si>
    <t>RT @JulianG40747584: ¿ Osea que @ClaudiaLopez piensa demoler el San juan de Dios? Esta señora quien es el que la esta asesorando, parec…</t>
  </si>
  <si>
    <t>Amigo, en las zonas afectadas en China fue obligatorio, y las compras masivas y estatales de tapabocas se pusieron… https://t.co/CEyqSxejNm</t>
  </si>
  <si>
    <t>Esto no es pánico, es prevención. El negacionismo no acaba el virus, lo multiplica. Lo que esta ocurriendo es que… https://t.co/kHNlHVbZIg</t>
  </si>
  <si>
    <t>RT @mayamayas: Un masivo confinamiento sería un PARO REAL. En lugar de salir a la calle, que nadie salga. Las fábricas desocupadas, las cal…</t>
  </si>
  <si>
    <t>Solicito una explicación pública a @ClaudiaLopez sobre por qué sus funcionarios estan avalando la demolición del Ho… https://t.co/sE7Hp6rTHG</t>
  </si>
  <si>
    <t>RT @petrogustavo: Esto no es pánico, es prevención. El negacionismo no acaba el virus, lo multiplica. Lo que esta ocurriendo es que por no…</t>
  </si>
  <si>
    <t>Ha colapsado el sistema hospitalario de España Aún aquí se duda en tomar medidas preventivas fuertes y en aumentar… https://t.co/URqkQGLQpL</t>
  </si>
  <si>
    <t>RT @GeorgieARomero: En Tailandia los monos salieron a saquear ante la ausencia de turistas que suelen alimentarlos por el Coronavirus. htt…</t>
  </si>
  <si>
    <t>RT @cepal_onu: Nuestras economías se han volcado a exportar con base en el extractivismo. La explotación de los recursos naturales comenzó…</t>
  </si>
  <si>
    <t>RT @PizarroMariaJo: @petrogustavo @ClaudiaLopez El complejo hospitario San Juan de Dios tiene un PEMP que fue modificado sin cumplir todo e…</t>
  </si>
  <si>
    <t>RT @PizarroMariaJo: @petrogustavo @ClaudiaLopez Además, con la plata que cuesta el nuevo hospital proyectado, casi 550 mil millones, se pod…</t>
  </si>
  <si>
    <t>RT @luisrodevia: @petrogustavo @ClaudiaLopez Actuan así, por que ignoran todo del HSJD. Su historia , el patrimonio historico que represen…</t>
  </si>
  <si>
    <t>Sus fotos no son las de los cuatro pisos que con 40.000 millones de pesos readecuamos. Dejé la alcaldía el 31 de di… https://t.co/2E4vWua798</t>
  </si>
  <si>
    <t>RT @YobaniPerdomoS: @ODanielPoveda @petrogustavo @ClaudiaLopez ...El complejo hospitalario San Juan de Dios fue declarado bien de interés c…</t>
  </si>
  <si>
    <t>RT @Cindy_Varmu: Entonces @ClaudiaLopez en vez de continuar con el proyecto del San Juan de Dios que ya tiene invertido 40 mil millones par…</t>
  </si>
  <si>
    <t>El tratamiento del virus debe partir de la verdad, el racionamiento de las pruebas y su demora se debe a que el gob… https://t.co/jj6Sgk9Mfc</t>
  </si>
  <si>
    <t>RT @JuanLuisCasCo: Corea del Sur tiene la solución: Es el 4to país con más contagiados con coronavirus (7.979). Pero el índice de mortalida…</t>
  </si>
  <si>
    <t>RT @RoyBarreras: Para ser responsables con el riesgo del coronavirus sin coartar la protesta social responsable por el respeto a la vida. E…</t>
  </si>
  <si>
    <t>El 25 de Marzo todos y todas en la casa. No más ÑÑs, no más gobiernos corruptos, no más al robo de los derechos de… https://t.co/VYkvm0u0rb</t>
  </si>
  <si>
    <t>De una manera extraña y por presión de Peñalosa, el PEMP, Plan de manejo y protección del Hospital san Juan de Dios… https://t.co/X0OgqRhwmB</t>
  </si>
  <si>
    <t>Los estudios están hechos. La ley sobre el patrimonio cultural prevalece. Se trata de restaurar no de demoler. Ning… https://t.co/D2sp12fZR0</t>
  </si>
  <si>
    <t>RT @petrogustavo: Solicito una explicación pública a @ClaudiaLopez sobre por qué sus funcionarios estan avalando la demolición del Hospital…</t>
  </si>
  <si>
    <t>RT @petrogustavo: El 25 de Marzo todos y todas en la casa. No más ÑÑs, no más gobiernos corruptos, no más al robo de los derechos de la ge…</t>
  </si>
  <si>
    <t>Toda Cataluña ha quedado confinada. https://t.co/ddtF9ukyCH</t>
  </si>
  <si>
    <t>RT @descifraguerra: 🇺🇲 ESTADO DE EMERGENCIA EN ESTADOS UNIDOS 🇺🇲 Donald Trump ha declarado el Estado de Emergencia de la Nacion por la Cri…</t>
  </si>
  <si>
    <t>RT @WRadioColombia: #NoticieroW | Se apaga Madrid, se ha decretado el cierre de toda la hostelería &gt;&amp;gt; https://t.co/2FftGFckWW https://t.co…</t>
  </si>
  <si>
    <t>Así dejamos cuatro pisos del san Juan de Dios con salas de cirugia y redes de gases con 38 puntos para conectar igu… https://t.co/4fkhUZvSak</t>
  </si>
  <si>
    <t>Así me despedí de la alcaldía, delante de la prensa y presentando las obras de restauración del San Juan de Dios.… https://t.co/lidPgO4Hkx</t>
  </si>
  <si>
    <t>Le solicito al gobierno de Duque pasar por encima del sectarismo y ordenar compras de las medicinas que fueron efic… https://t.co/Boszq3JHrg</t>
  </si>
  <si>
    <t>Hay quienes dudan de mi palabra sobre las inversiones que hicimos del San Juan de Dios y como sólo por un negocio… https://t.co/4Xv1gc6YqQ</t>
  </si>
  <si>
    <t>La sociedad italiana empieza sus protestas confinados en las casa y cantando la Bella Ciao más cacerolas. https://t.co/f4GCtQ9QCa</t>
  </si>
  <si>
    <t>RT @ma_eugeniam: Mala idea la demolición del edificio Central que la @UNColombia propuso reciclar. Ello se logra por cuestionable aclaració…</t>
  </si>
  <si>
    <t>RT @ma_eugeniam: Luis Morales actuó siempre en contra de la ley 735 de 2002. Contrario a su misión, @mincultura incurrió en graves omisione…</t>
  </si>
  <si>
    <t>RT @jcuestanovoa: La Alcaldesa @ClaudiaLopez hubiera podido suspender el Metro Elevado y hacer el Subterráneo que ya tenía listos todos lo…</t>
  </si>
  <si>
    <t>RT @AFPphoto: #China - A bus is disinfected with ultraviolet rays as part of measures against of the COVID-19 coronavirus in Shanghai. #AFP…</t>
  </si>
  <si>
    <t>RT @mayamayas: Un día varias ciudades del país despiertan con un estruendo de cacerolas, las calles están vacías, los escritorios solitario…</t>
  </si>
  <si>
    <t>RT @NicholsUprising: Sicily has figured out this whole self-isolation thing. #COVID19 #CoronavirusPandemic https://t.co/93whPVtQcR</t>
  </si>
  <si>
    <t>RT @BatBogota: Este informe dice que Trump (el mismo que dijo que esto era una gripita, como nuestra alcaldesa) ha hecho todo lo posible po…</t>
  </si>
  <si>
    <t>RT @HELIODOPTERO: Lo más importante en este momento es saber si @FiscaliaCol destruyó las grabaciones lícitas de “Ñeñe” que le entregó debi…</t>
  </si>
  <si>
    <t>Miles de metros listos para el servicio de salud, completamente nuevos , y Peñalosa ordenó demolerlos para un negoc… https://t.co/GHL0iyWEdw</t>
  </si>
  <si>
    <t>Este documento audiovisual de contravia les muestra porque Peñalosa, y al parecer ahora Claudia, quiso borrar de la… https://t.co/6xVumWQL8C</t>
  </si>
  <si>
    <t>RT @petrogustavo: Miles de metros listos para el servicio de salud, completamente nuevos , y Peñalosa ordenó demolerlos para un negocio pri…</t>
  </si>
  <si>
    <t>Los presidentes gobernaban para que las ganancias de los más poderosos crecieran; hoy ante el virus, les toca, y no… https://t.co/EbF169QB0i</t>
  </si>
  <si>
    <t>Esto se demuestra en el caso de transmilenio. Recomiendan estar a distancia de las personas como medida preventiva,… https://t.co/iZFXnvB3pa</t>
  </si>
  <si>
    <t>Tu libro es clave para entender las corrupción del metro elevado. En política siempre se cometen errores, pero siem… https://t.co/IhQKhBSVyv</t>
  </si>
  <si>
    <t>La red de la Resistencia debe jugar un papel positivo de ayuda a la gente en la epidemia. La población que, se irá… https://t.co/o48P455wev</t>
  </si>
  <si>
    <t>RT @elsemblante: En el siguiente hilo les demuestro con evidencias por qué considero que el gobierno de @petrogustavo es de los mejores que…</t>
  </si>
  <si>
    <t>RT @elheraldoco: #Atención | Por coronavirus Venezuela suspende las clases en el país y las congregaciones públicas. https://t.co/vJ4g7lw61…</t>
  </si>
  <si>
    <t>RT @petrogustavo: Este documento audiovisual de contravia les muestra porque Peñalosa, y al parecer ahora Claudia, quiso borrar de la memor…</t>
  </si>
  <si>
    <t>RT @petrogustavo: Los presidentes gobernaban para que las ganancias de los más poderosos crecieran; hoy ante el virus, les toca, y no hay n…</t>
  </si>
  <si>
    <t>Peñalosa trató de acabar con ña ETB. Miren la diferencia entre una gestión gerencial hecha para valorizar el bien c… https://t.co/RmchJoa5gW</t>
  </si>
  <si>
    <t>En este hilo se muestra la relación de lavado de dólares entre la Aerocivil del gobierno de Uribe, Interbolsa, que… https://t.co/rcJn9tUY75</t>
  </si>
  <si>
    <t>Si Sanders pierde ante Biden, Biden no le ganará a Trump. Si Trump es de nuevo elegido, ese día sera el primer día… https://t.co/KnMK0rQhkI</t>
  </si>
  <si>
    <t>Paralizar la economía para salvar la vida de los pueblos. En términos más conceptuales: Detener el capitalismo pa… https://t.co/yb6Zk5y8vc</t>
  </si>
  <si>
    <t>RT @dw_espanol: Bajo sospecha Corte Suprema de #Colombia investiga al expresidente Álvaro #Uribe por presunta corrupción electoral. Infor…</t>
  </si>
  <si>
    <t>RT @DiazCanelB: Biocubafarma garantizará producción de los 22 medicamentos para el tratamiento del Covid-19. #SomosCuba #SomosContinuidad h…</t>
  </si>
  <si>
    <t>Creo @harmanfelipe que con el mismo presupuesto hay que pagar los equipos de visitas domiciliarias y cubrimiento de… https://t.co/7keg96NPui</t>
  </si>
  <si>
    <t>RT @Bunkerglo: Primer ministro del Reino Unido opta por salvar la economía de su país, que proteger a ciudadanía. Considera que no puede al…</t>
  </si>
  <si>
    <t>RT @HOLLMANMORRIS: Alcaldesa @ClaudiaLopez, ¿Usted está autorizando la demolición del Hospital San Juan de Dios? Miren estos 2.500 mts rea…</t>
  </si>
  <si>
    <t>La frontera colombo/venezolana en realidad nunca se ha podido cerrar, es porosa. Lo que corresponde es una polític… https://t.co/xqRO3mTc63</t>
  </si>
  <si>
    <t>Como senador y exalcalde de la ciudad le solicito al actual gobierno de Bogotá, explique porque está defendiendo el… https://t.co/esmdy4quHh</t>
  </si>
  <si>
    <t>El centro/ derecha político empieza a reaccionar a favir de políticas que el progresismo siempre ha defendido. Un… https://t.co/FZ9xVzA7nK</t>
  </si>
  <si>
    <t>Si algo bueno trae el virus es la de sentirnos hoy parte de una misma humanidad, que no puede dividirse por el sect… https://t.co/nivuO6CCKB</t>
  </si>
  <si>
    <t>Hace unos siglos, en la edad media, Europa vivía bajo el espectro de la muerte por el virus de las pestes; hoy, des… https://t.co/LhQrZgHqM5</t>
  </si>
  <si>
    <t>Duque se que le duele, pero tiene que frenar, cuanto antes, las actividades económicas del país, para proteger la p… https://t.co/hU1O3niInu</t>
  </si>
  <si>
    <t>Diego una de las economías más poderosas del mundo, la China, se paralizó por decisión del Estado y la sociedad par… https://t.co/cPsxw97CSb</t>
  </si>
  <si>
    <t>RT @petrogustavo: Duque se que le duele, pero tiene que frenar, cuanto antes, las actividades económicas del país, para proteger la poblaci…</t>
  </si>
  <si>
    <t>RT @ElNacionalWeb: #ENPolítica Maduro aseguró que Colombia no responde sus llamadas para frenar juntos el covid-19 https://t.co/fJFDdUd57y…</t>
  </si>
  <si>
    <t>No se saca nada si se aplana la curva del contagio mediante la prevención, pero el estado no aprovecha el corto tie… https://t.co/Xbr8vHgGT0</t>
  </si>
  <si>
    <t>El gobierno debe convocar a todas las personas con título en salud y paramédicos. La fuerza blanca de la salud hoy… https://t.co/txtZ4T8XmR</t>
  </si>
  <si>
    <t>Todo proceso de liquidación o privatización de hospitales debe ser suspendido. Si el distrito no quiere el San jua… https://t.co/99XcWCynuO</t>
  </si>
  <si>
    <t>Aunque choque con todo el fundamentalismo neoliberal, Duque debe estar listo a intervenir toda institución privada… https://t.co/NErdrPkqki</t>
  </si>
  <si>
    <t>Le propongo al ministro de hacienda que aliste el procedimento jurídico para que parte de las reservas internaciona… https://t.co/WoHoKezgkg</t>
  </si>
  <si>
    <t>Los bonos alimenticios para adquirir alimentos en tiendas de la Bogotá Humana es una buena opción ante el cierre de… https://t.co/VICZB3dOHG</t>
  </si>
  <si>
    <t>La crisis mundial del Capital está destruyendo los fondos privados de pensión. Se está evaporando en las caídas de… https://t.co/2BTNnNviTh</t>
  </si>
  <si>
    <t>El caos no lo causo yo, sino el virus, y muestra la debilidad a la que han sometido la salud en Colombia desde 1993… https://t.co/1syIwF1flY</t>
  </si>
  <si>
    <t>RT @petrogustavo: Le propongo al ministro de hacienda que aliste el procedimento jurídico para que parte de las reservas internacionales pu…</t>
  </si>
  <si>
    <t>RT @Juventud_Humana: #ClaudiaNoDestruyaElSanJuan Sus 2.500 metros readecuados por la Bogotá Humana están listos para cuidar a la ciudad de…</t>
  </si>
  <si>
    <t>RT @LaArrebato: Aeropuerto Colombia / Aeropuerto Rusia https://t.co/y9ATETUZj3</t>
  </si>
  <si>
    <t>RT @lubrio: En el @metro_caracas este #14mar con las mascarillas obligatorias ante el Coronavirus #Covid_19 https://t.co/QI0XZF9mBs</t>
  </si>
  <si>
    <t>Recuerdan las burlas? Bogotáhumana compró un hospital de campaña, decenas de trajes aptos para epidemias, el San Ju… https://t.co/ZQ3bBQA7R5</t>
  </si>
  <si>
    <t>Las crisis del Capital son cíclicas por sobreproducción, por pérdida de velocidad de algunas de sus fases de circul… https://t.co/m24OGbvgmm</t>
  </si>
  <si>
    <t>RT @petrogustavo: Recuerdan las burlas? Bogotáhumana compró un hospital de campaña, decenas de trajes aptos para epidemias, el San Juan de…</t>
  </si>
  <si>
    <t>El triage es escoger entre los pacientes que necesitan de urgencia cama de cuidados intensivos, UCI, el cupo de las… https://t.co/7u1WLkYmnS</t>
  </si>
  <si>
    <t>RT @DemosCarajo: "En Hong Kong declararon que el hecho de que las personas hayan usado mascaras en zonas donde hay grandes cantidades de pe…</t>
  </si>
  <si>
    <t>RT @publico_es: El coronavirus vacía el Paseo de la Castellana de Madrid https://t.co/JmNTRW2VR1</t>
  </si>
  <si>
    <t>RT @MMMaldonadoC: 1. El proyecto del San Juan de Dios, tal como fue concebido por el gobierno Petro, combina la recuperación de un modelo d…</t>
  </si>
  <si>
    <t>RT @MMMaldonadoC: 2. Hace 4 años @ma_eugeniam escribía sobre el tema en @ImaginaBogota_ sobre el tema https://t.co/mYNoLeURYe</t>
  </si>
  <si>
    <t>RT @MMMaldonadoC: 3. El gobierno de Peñalosa intentó echar atrás el proyecto, como a todo lo de Petro. Luego vio que le convenía culminar s…</t>
  </si>
  <si>
    <t>RT @MMMaldonadoC: 4. La restauración urgente del patrimonio arquitectónico fue dejada de lado, con el argumento del secretario Morales de q…</t>
  </si>
  <si>
    <t>RT @MMMaldonadoC: 6. No sé si es posible adecuar algún edificio del San Juan de Dios para enfrentar la emergencia del Coronavirus, pero @ma…</t>
  </si>
  <si>
    <t>RT @Albrunori: “Si matan a un líder social, se están metiendo con nosotros”: comunidad internacional https://t.co/YeR8x4XIhb</t>
  </si>
  <si>
    <t>¿Que ministro de cultura autorizó la demolición de un patrimonio histórico como el edificio del hospital San juan d… https://t.co/1eSo1OCBju</t>
  </si>
  <si>
    <t>RT @petrogustavo: No se saca nada si se aplana la curva del contagio mediante la prevención, pero el estado no aprovecha el corto tiempo en…</t>
  </si>
  <si>
    <t>RT @daniInnerarity: De las crisis aprendemos de un modo desesperadamente lento. Tenemos que dejar de pensar en términos individuales, linea…</t>
  </si>
  <si>
    <t>En ninguna ciudad del.mundo se les ocurre que en medio de una epidemia permitan demoler un hospital preparado para… https://t.co/7snE1nkHEV</t>
  </si>
  <si>
    <t>RT @MashiRafael: El doctor Luis Herrera, uno de los pilares de la biotecnología cubana, nos habla sobre el tiempo que tomaría desarrollar…</t>
  </si>
  <si>
    <t>RT @petrogustavo: ¿Que ministro de cultura autorizó la demolición de un patrimonio histórico como el edificio del hospital San juan de Dios…</t>
  </si>
  <si>
    <t>Cuando un pueblo pierde su memoria y parte de su memoria son sus edificaciones por donde ha transcurrido lo princip… https://t.co/o7FVduSbOI</t>
  </si>
  <si>
    <t>RT @ctxt_es: "No podemos permitirnos la libre circulación del coronavirus porque enfermaría (grave o crítico) un 17% de la población (datos…</t>
  </si>
  <si>
    <t>Entonces la mezquindad esta en intentar que no demuelan hospitales y la no mezquindad en demoler el hospital de los… https://t.co/KX4MocYzxF</t>
  </si>
  <si>
    <t>RT @Mediarse: Un vídeo que muestra la verdadera realidad de Bogotá. La cara que no sacan los medios. #Contaminación #Desigualdad #Abandono…</t>
  </si>
  <si>
    <t>RT @JulianFMartinez: No solo mi integridad física está en riesgo: 1. Hay espías e interceptación de llamadas 2. Están preparando acciones d…</t>
  </si>
  <si>
    <t>RT @ajplusespanol: Pocos saben que Albert Einstein era un defensor de los derechos humanos. Judío discriminado en la Alemania nazi, luchó…</t>
  </si>
  <si>
    <t>RT @RevistaSemana: En @Semanaenvivo | En entrevista con @MJDuzan, el senador @petrogustavo sostuvo que el papel del Ñeñe Hernández era el d…</t>
  </si>
  <si>
    <t>RT @La_SER: 🔴 DIRECTO | Queda suspendida toda actividad comercial minorista salvo aquellos destinados a bienes de primera necesidad: alimen…</t>
  </si>
  <si>
    <t>RT @charry_manager: En ese momento la etiqueta era #TodosSomosSanJuanDeDios hoy de vuelta nos unimos para proteger la salud pública contra…</t>
  </si>
  <si>
    <t>Ha resultado más sectario Duque que Bolsonaro. https://t.co/wtjWAZjOsu</t>
  </si>
  <si>
    <t>RT @RoyalSegolene: Sauvons notre modèle social : une évidence brutalement incontestée. Jamais on aurait pu penser, hélas, que sa défense au…</t>
  </si>
  <si>
    <t>RT @ISAZULETA: La mayoría de familias en #Colombia tienen que trabajar día a día para conseguir comida, no guardarán cuarentena porque esto…</t>
  </si>
  <si>
    <t>RT @Marco_Teruggi: Médicos casa por casa contra el coronavirus: revisan a las personas y explican cómo prevenirse del #COVIDー19. Vean, es C…</t>
  </si>
  <si>
    <t>Si el Fiscal Barbosa desapareció los audios del ÑÑ debe renunciar de inmediato.</t>
  </si>
  <si>
    <t>Le solicito a los comerciantes de San Victorino en Bogotá cerrar actividades hasta que se pueda superar la epidemia. https://t.co/W5Xf4XsjdA</t>
  </si>
  <si>
    <t>La DIJIN de la Policía debe decir si es cierto que nunca remitió las grabaciones a la fiscalía y decir la razón de… https://t.co/mUCoNcQsBV</t>
  </si>
  <si>
    <t>Gonzalo Guillén demuestra que la Fiscalía ya tenía las 23.000 grabaciones hechas al ÑÑ, y sin embargo, la fiscalía… https://t.co/nCvP69tJzX</t>
  </si>
  <si>
    <t>RT @albatrostv: Elegimos como presidente a un imbécil que sale a decir que para evitar contagio hay que saludarse de puñito y estornudar EN…</t>
  </si>
  <si>
    <t>Espero que esta vez no engañen a Claudia y pueda darse cuenta que el Hospital tiene las instalaciones para 38 camas… https://t.co/3uBAcdgxCB</t>
  </si>
  <si>
    <t>La nueva estructura que contrató Peñalosa y que derrumba un monumento histórico esta privatizada, el contrato es un… https://t.co/kpMSNBeZd4</t>
  </si>
  <si>
    <t>RT @JulianFMartinez: El Tiempo hace un resumen de lo que hemos publicado con @HELIODOPTERO sobre el Ñeñe Hernández, solamente que nunca nos…</t>
  </si>
  <si>
    <t>RT @pascual_serrano: ¿Venezuela? No, son los supermercados de Miami hoy. https://t.co/qfCgdHAjRa</t>
  </si>
  <si>
    <t>RT @Petro_Mujeres: ¡¡¡La atención hospitalaria a tiempo marcará la diferencia!!! Sigamos el ejemplo de China. Construyeron hospitales, no l…</t>
  </si>
  <si>
    <t>RT @DanielRMed: #Dato Simón Bolívar le expropió el Hospital San Juan de Dios a la corona y lo declaró público, hoy Peñalosa y @ClaudiaLopez…</t>
  </si>
  <si>
    <t>RT @RoyBarreras: Se canceló a última hora misión de la Comisión de Paz y @MisionONUCol que iba a Ituango porque el helicóptero de la FAC nu…</t>
  </si>
  <si>
    <t>RT @ma_eugeniam: El programa de patrimonio cultural dice "Avanzar en los primeros auxilios del complejo Hospitalario San Juan de Dios". Aun…</t>
  </si>
  <si>
    <t>RT @ma_eugeniam: Estos son los objetivos de la intervención en el San Juan de Dios, además de la reapertura del complejo hospitalario: supe…</t>
  </si>
  <si>
    <t>RT @CesarPachonAgro: El #coronavirus no es sólo una pandemia. El mundo que conocíamos está cambiando para siempre. Es una oportunidad para…</t>
  </si>
  <si>
    <t>RT @HELIODOPTERO: La porquería que conduce a la ÑeñePolítica (que destapé con @JulianFMartinez) la investigo desde hace 7 años. Soy testigo…</t>
  </si>
  <si>
    <t>Usted es un liberal y sabe perfectamente que la posibilidad de debatir y enfrentar politicas es lo que puede mejora… https://t.co/dqn7rKscgF</t>
  </si>
  <si>
    <t>RT @elsemblante: Casos de Coronavirus: Italia: 18 mil España: 5.300 Ecuador: 21 casos Venezuela: 2 casos. ¿Adivinen cuál frontera cerró e…</t>
  </si>
  <si>
    <t>RT @ma_eugeniam: Por supuesto, @PizarroMariaJo. Si el gobierno de @ClaudiaLopez escuchara se podría ir más allá de las obras de primeros au…</t>
  </si>
  <si>
    <t>Blu prestandose para que las miles de cuentas falsas pidan acabar la JEP, la misma estrategia que usaron con el gol… https://t.co/dS7pR2uGbK</t>
  </si>
  <si>
    <t>RT @diegomatteus: Solo se cancelan eventos masivos para gente pudiente, para los pobres seguirá transmilenio, las plazas de mercado y las f…</t>
  </si>
  <si>
    <t>RT @FonsiLoaiza: China, Cuba y Venezuela enviarán médicos a Europa a petición de Italia para combatir el coronavirus. Son los más preparado…</t>
  </si>
  <si>
    <t>RT @camargosky: Europa: 37.000 casos de #coronavirus Venezuela: 2 casos. Pero @IvanDuque cierra la frontera con Venezuela y apenas "contro…</t>
  </si>
  <si>
    <t>¿Un enfermo del virus que llega desde Colombia en Venezuela? ¿Podrá Duque lograr que se me pregunte al enfermo su… https://t.co/3jmBAp3hha</t>
  </si>
  <si>
    <t>RT @MJDuzan: Es increíble: en lugar de que se esté cuestionando a la justicia por haber engavetado la investigación sobre un presunto fraud…</t>
  </si>
  <si>
    <t>RT @gnaranjo013: Estoy con la sintomatología de virus fui anoche a urgencias y me dieron penicilina y mandaron a la casa con ibuprofeno. Ll…</t>
  </si>
  <si>
    <t>El mundo no será igual después del virus Habrá un mayor sentido de humanidad La solidaridad y la acción colectiva… https://t.co/xb9qBypZf2</t>
  </si>
  <si>
    <t>RT @finseya5: Abro hilo @ClaudiaLopez @AlejandroGL2014 @personeriabta @Supersalud @petrogustavo No basta declarar alertas, hay que cumplirl…</t>
  </si>
  <si>
    <t>Hay un enfermo del virus en Venezuela que es un colombiano y habita en Cúcuta. Le solicito al alcalde de Cúcuta tra… https://t.co/FrXv84Qdw4</t>
  </si>
  <si>
    <t>RT @petrogustavo: El mundo no será igual después del virus Habrá un mayor sentido de humanidad La solidaridad y la acción colectiva serán…</t>
  </si>
  <si>
    <t>RT @el_pais: "Nada volverá a ser igual: trabajo, turismo, comercio... no seguirán como si nada hubiera sucedido. Es el final de una época t…</t>
  </si>
  <si>
    <t>La brecha digital, que es una nueva desigualdad ante la información y el saber, no permite el teletrabajo y el estu… https://t.co/OXmf5eWh0a</t>
  </si>
  <si>
    <t>RT @Col_Informa: #LosPueblosConCuba🇨🇺 | Kelvin Rojas, estudiante norteamericano estudia medicina en #Cuba. Agradece los esfuerzos de este p…</t>
  </si>
  <si>
    <t>RT @ActualidadRT: Médico italiano relata su experiencia con pacientes con covid-19 Un doctor que trata a los pacientes que padecen covid-1…</t>
  </si>
  <si>
    <t>RT @AlirioUribeMuoz: Gracias al Cuerpo Diplomático advierte a Presidente @IvanDuque "quién se meta con los líderes sociales se mete con ell…</t>
  </si>
  <si>
    <t>RT @RedRedHer: Daniela Tovar de Bogota lleva 3 años estudiando @ELAM_Cuba agradece afecto, bondad y solidaridad pueblo #Cuba para ser médic…</t>
  </si>
  <si>
    <t>RT @Iran: #Photos: Burial site of coronavirus victims in Qom #Iran #CoronaVirusIran #COVID19 #Qom https://t.co/dajjUI08lu https://t.co/Ef…</t>
  </si>
  <si>
    <t>Esto es una falsedad. Desde las fuerzas progresistas mostraremos la incidencia de la enfermedad, el sistema de sal… https://t.co/PmMzAyjJiD</t>
  </si>
  <si>
    <t>La biopolítica en todo su poder en virtud del virus. Globalizar la salubridad antes que las mercancías. Considera… https://t.co/jjieo66qza</t>
  </si>
  <si>
    <t>RT @Fillipo222: El Ñeñe celebrando la victoria comprada y la fuerza de la corrupción... celebrando que ganó el "hermano" que garantizaría…</t>
  </si>
  <si>
    <t>La profunda corrupción de la policía. Por eso quieren la aspersion aérea con glifosato. https://t.co/Cd8SwsfLyX</t>
  </si>
  <si>
    <t>Duque debe configurar un Consejo director de las acciones contra el virus en todo el país y ejecutar sus decisiones… https://t.co/mQJchYPvPa</t>
  </si>
  <si>
    <t>RT @HELIODOPTERO: La fiscal Jenny Ortiz Ladino puso en libertad ilícitamente al hampón Paul Corrales (rojo), de la banda de Marquitos Figu…</t>
  </si>
  <si>
    <t>RT @DIDASKALOSW: @bettizaa Peñalosa botó $134MILmillones del metro a la caneca. Ahora la mitómana Claudialosa va a botar $150MILmillones qu…</t>
  </si>
  <si>
    <t>RT @luzmcaro: Aún con la pandemia, hay formas d protestar: - cacerolazo - no comprar determinados productos - no escuchar la radio - no…</t>
  </si>
  <si>
    <t>La naturaleza siempre es más poderosa que el.ser humano y hay que respetarla. Cuando se acabe naturaleza habrá acab… https://t.co/JY5FVe05DQ</t>
  </si>
  <si>
    <t>El virus nos demuestra que los seres humanos somos iguales. La igualdad es un valor humano. El virus nos demuestra… https://t.co/0XAHxQQQsL</t>
  </si>
  <si>
    <t>El virus nos demuestra que los gobernantes no están para volver más ricos a los ricos sino para cuidar y proteger l… https://t.co/WVQCjcDYRZ</t>
  </si>
  <si>
    <t>El virus nos demuestra que esta economía fósil, depredadora e innecesaria no es poderosa, se deshace sinplemente qu… https://t.co/hijOZhqFD9</t>
  </si>
  <si>
    <t>El virus demuestra que no somos simples consumidores acelerados, sino que amamos a los otros, a la familia, que que… https://t.co/fFD0YIiBKk</t>
  </si>
  <si>
    <t>El virus nos demuestra que somos ante todo y sobre todo: humanidad</t>
  </si>
  <si>
    <t>¡Qué paradoja! Ante la frontera cerrada son los venezolanos y colombianos los que se lanzan a regresar Venezuela,… https://t.co/GC8MKxriDH</t>
  </si>
  <si>
    <t>El presidente argentino ha dicho que es necesario parar a la Argentina 10 días y lograr un confinamiento generaliza… https://t.co/8I17FA1uGL</t>
  </si>
  <si>
    <t>RT @EpicuroDeSamos_: Q dizque Petro "se las da de saber todo" porque hace recomendaciones INTERNACIONALES para contrarrestar el virus. Pet…</t>
  </si>
  <si>
    <t>RT @petrogustavo: La naturaleza siempre es más poderosa que el.ser humano y hay que respetarla. Cuando se acabe naturaleza habrá acabado la…</t>
  </si>
  <si>
    <t>Unica manera de detener el virus es con cero circulación. Confinamiento voluntario. Si puede hacerlo, hágalo, si aú… https://t.co/VWBQ3bsFX0</t>
  </si>
  <si>
    <t>Las únicas funciones que pueden y deben permanecer son las de los servicios de salud fortalecidos, la produccion y… https://t.co/WaS10M7yQC</t>
  </si>
  <si>
    <t>Te aseguro que tendría a su lado los mejores médicos y científicos al pais y no a los privatizadores y negociantes… https://t.co/5QlR43m0w2</t>
  </si>
  <si>
    <t>Están intentando bloquear mi cuenta de twitter, si eso ocurre vamos a Facebook. @TwitterLatAm</t>
  </si>
  <si>
    <t>Es fácil abrir la plaza de toros, allí se matan animales y se divierten con ello . Pero que tan difícil es abrir e… https://t.co/CcWgc2ckZ9</t>
  </si>
  <si>
    <t>Daniel cuando escribas en estas redes que leen tantos intenta investigar Para que la alcaldia pudiera abrir el hos… https://t.co/248lKiIjBG</t>
  </si>
  <si>
    <t>Luego de comprarlo me dispuse a adaptarlo para abrir servicios de máxima complejidad en salud. Reparé con recursos… https://t.co/9ht0mgo8YY</t>
  </si>
  <si>
    <t>Habilitamos 38 puntos de gases para camas de cuidado intensivo, el espacio de urgencias y varias salas de cirugía.… https://t.co/tD76Rip1cH</t>
  </si>
  <si>
    <t>El hospital nos costo comprarlo enn157.000 millones de pesos. Desde 1998 los gobiernos lo cerraron, ni peñalosa ni… https://t.co/ym3emmn0ym</t>
  </si>
  <si>
    <t>RT @petrogustavo: Es fácil abrir la plaza de toros, allí se matan animales y se divierten con ello . Pero que tan difícil es abrir el hosp…</t>
  </si>
  <si>
    <t>Al lugar mas remoto llegaban los médicos chinos, ¿recuerdan los médicos en su casa que cubrió a 3.800.000 familias… https://t.co/LSWu25R9o4</t>
  </si>
  <si>
    <t>Varios dirigentes colombianos para defender la ley 100 y el sistena privatizado de salud han salido a defender la e… https://t.co/HBMVQRbstx</t>
  </si>
  <si>
    <t>Duque en el tiempo que tenía para frenar la enfermedad uso pura ideologia de derechas. Dedicó recursos públicos pa… https://t.co/KH5sVmzHVj</t>
  </si>
  <si>
    <t>Ni una sola medida que permita el fortalecimiento de la red pública, todo opera bajo la ley 100. Y las EPS no están… https://t.co/tR5lZKKCRN</t>
  </si>
  <si>
    <t>Seguimos a Chile y su modelo que hoy esta mostrando el mayor fracaso para contener el virus de América Latina. Es… https://t.co/wGmQIriJr2</t>
  </si>
  <si>
    <t>RT @petrogustavo: Duque debe configurar un Consejo director de las acciones contra el virus en todo el país y ejecutar sus decisiones. El…</t>
  </si>
  <si>
    <t>RT @petrogustavo: Duque en el tiempo que tenía para frenar la enfermedad uso pura ideologia de derechas. Dedicó recursos públicos para sal…</t>
  </si>
  <si>
    <t>RT @petrogustavo: Ni una sola medida que permita el fortalecimiento de la red pública, todo opera bajo la ley 100. Y las EPS no están hacie…</t>
  </si>
  <si>
    <t>Miles de cuentas falsas en un minuto se lanzaron sobre twitter con una sola intención, intentar bloquear mi cuenta,… https://t.co/oKRFfZjMEr</t>
  </si>
  <si>
    <t>RT @Matador000: Los estudiantes siendo más sensatos que sus directivas. Sé cómo los estudiantes. https://t.co/uIgXHHzp08</t>
  </si>
  <si>
    <t>RT @BrunaHusky: Habéis visto este vídeo maravilloso? https://t.co/D0j2N7sAo1</t>
  </si>
  <si>
    <t>Duque y los alcaldes de las ciudades capitales tienen que contratar a todas las personas con títulos de medicina o… https://t.co/N9SF2x8jxK</t>
  </si>
  <si>
    <t>Con todo el respeto, no es con medidas graduales como vamos a detener la epidemia. Las aglomeraciones deben acabars… https://t.co/4JVqO8UTgZ</t>
  </si>
  <si>
    <t>Todos los hospitales privados en España quedan intervenidos y pasan al manejo de las comunidades autónomas. He ped… https://t.co/IyW6scHjTP</t>
  </si>
  <si>
    <t>RT @rabodeajip: Me llaman intensivistas en Medellín preocupados por la absoluta "fescura" con la que nos comportamos. A mitad de semana ten…</t>
  </si>
  <si>
    <t>Bien por esta decisión en Cartagena. Suspensión de clases, en todos los colegios https://t.co/VCr6fBK1Kw</t>
  </si>
  <si>
    <t>Lo que España ha hecho se considera un insulto en Colombia. El estado interviene toda la red privada para ponerla a… https://t.co/Oq6AjmkNjP</t>
  </si>
  <si>
    <t>La aeronáutica civil debe intervenir la administración del aeropuerto el Dorado y ponerlo a ordenes de las medidas… https://t.co/mg2oa3z334</t>
  </si>
  <si>
    <t>RT @NTN24ve: Régimen de Maduro solicita intervención de la OMS para coordinación entre Venezuela y Colombia ante emergencia de coronavirus…</t>
  </si>
  <si>
    <t>Muy bien por el Externado y muy bien por los 1.200 bares que autónomamente deciden cerrar sus puertas en Bogotá https://t.co/siHN7OIGoR</t>
  </si>
  <si>
    <t>Apenas empiece el uso de camas de cuidado intensivo por la epidemia, comenzará la tragedia del triage Un médico te… https://t.co/EqtERtV3L8</t>
  </si>
  <si>
    <t>RT @SaninPazC: Saqué a pasaear a la perra y pasé por dos iglesias a reventar, atronando con sus cantos desafinados, con congregaciones de c…</t>
  </si>
  <si>
    <t>RT @ALEJOMICHELLS: Gracias a todo el personal de salud que alrededor del mundo trabaja por la contención del #COVIDー19 Infinito reconocim…</t>
  </si>
  <si>
    <t>Si amigos y amigas es así. Como si fuera una guerra, una guerra por la vida No es esperando que los enfermos llegu… https://t.co/DFOwPoUGZu</t>
  </si>
  <si>
    <t>Viviremos la parálisis del capitalismo mundial por un momento; será la oportunidad para que la humanidad se reencuentre por un momento.</t>
  </si>
  <si>
    <t>RT @offensiveprank: Este es Alberto Sánchez, médico del Hospital de La Paz de Madrid que acaba de fallecer a la edad de 24 años a causa del…</t>
  </si>
  <si>
    <t>RT @MauricioGalin11: En Venezuela el presidente Maduro ordena cuarentena en siete estados, incluyendo Caracas. Creo que en Colombia va sien…</t>
  </si>
  <si>
    <t>El mayor problema del confinamiento es que los trabajadore(a)s no pueden asistir a su trabajo y se caen las gananci… https://t.co/7zPzQKabC5</t>
  </si>
  <si>
    <t>RT @petrogustavo: Viviremos la parálisis del capitalismo mundial por un momento; será la oportunidad para que la humanidad se reencuentre p…</t>
  </si>
  <si>
    <t>RT @AFPespanol: #ÚLTIMAHORA Venezuela pone en cuarentena siete estados, incluyendo Caracas, por el coronavirus #AFP https://t.co/B21hElXjzx</t>
  </si>
  <si>
    <t>Muy bien por la iglesia Católica. Suspende las congregaciones. https://t.co/zyTssYJcPv</t>
  </si>
  <si>
    <t>Absolutamente de acuerdo Juan Carlos. La propiedad tiene funcion social. No puede haber clínica u hospital que no… https://t.co/MnKwyEjd9o</t>
  </si>
  <si>
    <t>RT @diegomatteus: El coronavirus mandó a decir: YO NO PARO, YO PRODUZCO.</t>
  </si>
  <si>
    <t>Ante la.parálisis de la economía mundial, los estados luchando contra la epidemia, junto a sus sociedades deben le… https://t.co/H1XJnXexWH</t>
  </si>
  <si>
    <t>RT @EpicuroDeSamos_: Petro siempre termina por tener razón, y no por el hecho q sea muy inteligente (q lo es) sino porque muchos saben lo…</t>
  </si>
  <si>
    <t>RT @FT_Col: Hay gente manifestando solidaridad con el personal de salud en clínicas y hospitales... pero son los primeros en votar por la D…</t>
  </si>
  <si>
    <t>Claudia @ClaudiaLopez, antes que los hospitales actuales tengan que hacer triage, escogiendo quien queda en una cam… https://t.co/ih1j4kEr3q</t>
  </si>
  <si>
    <t>Cayita y los abogados de Uribe cometen delitos en Miami, EEUU, conquistando narcotraficantes para que defiendan a U… https://t.co/tpCgF7GyE0</t>
  </si>
  <si>
    <t>Así es https://t.co/Fv4s7avEII</t>
  </si>
  <si>
    <t>RT @ViceVenezuela: #EnFotos || Arribó a Venezuela la delegación técnica especializada procedente de la hermana República de Cuba y el cread…</t>
  </si>
  <si>
    <t>"El cachaco" y la compra de votos en el Magdalena https://t.co/osyG3HCUse</t>
  </si>
  <si>
    <t>El PEM se comenzó a hacer en nuestra administración y no permitía demoliciones, su amigo Peñalosa lo modificó para… https://t.co/oaOlemDM7m</t>
  </si>
  <si>
    <t>RT @BatBogota: @ClaudiaLopez Usted es una MENTIROSA: https://t.co/MlLfnqLq5s</t>
  </si>
  <si>
    <t>Claudia acaba de confirmar que demolerá el San Juan de Dios. Se niega a reconocer que las actuales instalaciones ti… https://t.co/LB8pu0YTJR</t>
  </si>
  <si>
    <t>RT @SaraTufanoZ: Lean esta entrevista al viceministro de Salud. Según él, se puede seguir yendo al centro comercial, pero no en horas pico;…</t>
  </si>
  <si>
    <t>RT @ContraGodarria: Usa Twitter para denunciar que usted quiere demoler el San Juan de Dios. La vida sigue mi hermana.</t>
  </si>
  <si>
    <t>Nunca pensé que se pusiera por encima de las necesidades de combatir la epidemia, la privatización de hospitales pú… https://t.co/APK4Zau1bj</t>
  </si>
  <si>
    <t>RT @FT_Col: Demoler el San Juan de Dios justo en plena crisis de salud pública tiene una carga simbólica muy grande: se trata de derrumbar…</t>
  </si>
  <si>
    <t>Amigo mio el San juan de Dios no tiene problemas de cimientos, allí ha estado desde antes que usted naciera, el ref… https://t.co/V760oVo0IU</t>
  </si>
  <si>
    <t>RT @Hekatombe_: "Siguiendo al pie de la letra los dos metros de distancia que debemos mantener según recomendaciones de Claudia López e Iv…</t>
  </si>
  <si>
    <t>RT @GustavoBolivar: #CuarentenaYa: Cuando la aberrante desigualdad social empieza a pasar factura: UNICEF avisa de que millones de persona…</t>
  </si>
  <si>
    <t>Llegaron a defender la política inglesa de dejar congregarse a la sociedad para defender la economía y solo atender… https://t.co/OImh2qKMCQ</t>
  </si>
  <si>
    <t>RT @jerojasrodrigue: Violando decreto de emergencia sanitaria expedido por el gobernador del Magdalena @carlosecaicedo, @ParquesColombia pe…</t>
  </si>
  <si>
    <t>En Miami funciona un centro delictivo de abogados de la mafia y funcionarios que buscan a como del lugar torcer lo… https://t.co/plkU5X90ry</t>
  </si>
  <si>
    <t>Las medidas tomadas en Perú, donde ha estallado la enfermedad, son las que sugerimos tomar en Colombia. Espero que… https://t.co/X304XOPP7P</t>
  </si>
  <si>
    <t>Después del cierre general de las escuelas en India, el Estado entrega gratuitamente arroz a los hogares. https://t.co/xZz6oia7VL</t>
  </si>
  <si>
    <t>RT @ctxt_es: "La globalización capitalista es biológicamente insostenible en ausencia de una infraestructura sanitaria pública verdaderamen…</t>
  </si>
  <si>
    <t>RT @TvMasHumana: Mientras @petrogustavo aporta soluciones e ideas, otros aportan odio y más odio...</t>
  </si>
  <si>
    <t>RT @fdbedout: La llegada del Coronavirus a Colombia era prácticamente inevitable, pero la curva de crecimiento desde el primer caso confirm…</t>
  </si>
  <si>
    <t>Estas son dos ciudades italianas, Bergamo y Lodi, pequeñas comparadas con las de Colombia, Bergamo se demoró una se… https://t.co/FAMEL2wT50</t>
  </si>
  <si>
    <t>RT @almuariza: En #Francia los hospitales están al borde de la saturación. Ha habido 900 nuevos casos en las últimas 24 h. Pero la gente an…</t>
  </si>
  <si>
    <t>Medellín ha entendido bien uno de los conceptos claves para tratar la epidemia, hay que aumentar las camas de cuida… https://t.co/UIZOlZMgwy</t>
  </si>
  <si>
    <t>Escucha @ClaudiaLopez uno de los objetivos fundamentales en la estrategia de tratamiento de la enfermedad, además d… https://t.co/16DNAQ3uzl</t>
  </si>
  <si>
    <t>Aqui Maria Mercedes Maldonado desmiente a @ClaudiaLopez en torno al San Juan de Dios. O a Claudia la rodean los faj… https://t.co/5EzOJfvwLq</t>
  </si>
  <si>
    <t>Este es el inmenso trabajo que después de comprar el San Juan de Dios acometimos @ClaudiaLopez dice q compramos un… https://t.co/x3ecEEgwfW</t>
  </si>
  <si>
    <t>La rapidez de propagación del virus en Colombia y, sobretodo, en Bogotá, es más rápido que en la mayoría de los paí… https://t.co/v1tBG4Ff93</t>
  </si>
  <si>
    <t>Solo hay dos medidas realmente eficaces: el confinamiento en las casas y el aumento de camas de cuidados intensivos… https://t.co/6S25fVwTUy</t>
  </si>
  <si>
    <t>Esto es lo que hace dudar a Duque, y lo demora en tomar las medidas necesarias para desacelerar la epidemia Que la… https://t.co/kjCgoXrx9k</t>
  </si>
  <si>
    <t>No es endeudando más los países como vamos a afrontar la epidemia, es condonando la deuda. Colombia debe usar sus… https://t.co/uPqWG614Gh</t>
  </si>
  <si>
    <t>Ayúdeme usted antes de decirme tóxico a que compren las camas de cuidados intensivos y aprovechen las redes que ya… https://t.co/dlC5r00KCX</t>
  </si>
  <si>
    <t>Debemos saber que Bogotá es una de las ciudades del mundo en donde más rápido esta creciendo la enfermedad. Desace… https://t.co/h9zgnp0vYX</t>
  </si>
  <si>
    <t>Le solicito @angelamrobledo entrevistarse con contratistas y médicos que estuvieron al frente de adecuación de urge… https://t.co/5vPrXK2QGW</t>
  </si>
  <si>
    <t>RT @Clafe64: Por q en Colombia somos no solo mezquinos,también mediocres?No hacen el metro subterráneo xq lo dejó G .Petro,demuelen un pa…</t>
  </si>
  <si>
    <t>Cayó más el petróleo, caerá más el peso La oligarquía creyó que sería rica con facilidad con el petroleo y ahora t… https://t.co/nqaKZCFf0K</t>
  </si>
  <si>
    <t>1. No compré un lote, Bogotá compró un patrimonio nacional. 2.dejamos redes de oxigeno adecuada para camas de cuid… https://t.co/n5QGPy8kBm</t>
  </si>
  <si>
    <t>RT @petrogustavo: El san Juan de Dios tiene ya 5.600 m2 intervenidos y ha sido adjudicada su dotación tecnológica https://t.co/SMbcmZNOFz</t>
  </si>
  <si>
    <t>RT @petrogustavo: 1. No compré un lote, Bogotá compró un patrimonio nacional. 2.dejamos redes de oxigeno adecuada para camas de cuidado in…</t>
  </si>
  <si>
    <t>El ministerio de salud en Colombia la maneja Vargas Lleras y el grupo Aval. La secretaria de salud de Bogotá la ma… https://t.co/K8aJ1hIGo9</t>
  </si>
  <si>
    <t>RT @OrlenysOV: ¡Viva la clase obrera! 💪🏽 Trabajadores PARANDO LA PRODUCCIÓN y forzando el cierre de la Mercedes-Benz en Gasteiz (País Vasc…</t>
  </si>
  <si>
    <t>Hay que presionar a la superintendencia de salud para que intervenga el San Juan de Dios y toda infraestructura de… https://t.co/E6f4hSafzA</t>
  </si>
  <si>
    <t>RT @anateresabernal: El hospital San Juan de Dios, que será demolido por la admón @ClaudiaLopez, es patrimonio histórico Bogotano como el 1…</t>
  </si>
  <si>
    <t>RT @anateresabernal: Por medio de la Ley 735 de 2002 (Emanada por el Congreso Nacional), fue declarado junto con el Instituto Materno Infan…</t>
  </si>
  <si>
    <t>RT @petrogustavo: El ministerio de salud en Colombia la maneja Vargas Lleras y el grupo Aval. La secretaria de salud de Bogotá la maneja F…</t>
  </si>
  <si>
    <t>RT @DanielRMed: ¿Por qué somos tan tóxicos y pedimos adecuar camas en la unidad de cuidados intensivos del San Juan? Porque hacemos las cu…</t>
  </si>
  <si>
    <t>RT @petrogustavo: Le solicito @angelamrobledo entrevistarse con contratistas y médicos que estuvieron al frente de adecuación de urgencias…</t>
  </si>
  <si>
    <t>RT @ma_eugeniam: Ayuden a que @ClaudiaLopez no siga diciendo barbaridades sobre el San Juan de Dios. El PEMP es de obligatorio cumplimiento…</t>
  </si>
  <si>
    <t>RT @GPerezPardo: ¡¡Llegan los Medicos Cubanos a Italia!! Esa pequeña Isla llamada Cuba, que sufre hace 60 Años un Bloqueo Económico por pa…</t>
  </si>
  <si>
    <t>En Caracol Radio, aprovechando cuñas para La luciernaga están en plena campaña contra mi, sin derecho a réplica.</t>
  </si>
  <si>
    <t>RT @Juanaafanador1: Alcalde, el San Juan de Dios no es un lote. Es parte de nuestro patrimonio arquitectónico, de nuestra memoria y de los…</t>
  </si>
  <si>
    <t>RT @DanielRMed: A esto @ClaudiaLopez le llama con desprecio “un lote” si fuera privado le llamaría hospital. Nos sigue gobernando Kike http…</t>
  </si>
  <si>
    <t>RT @ma_eugeniam: Adjudicar la demolición del Central y la construcción en el mismo sitio del nuevo Santa Clara, desconociendo el PEMP, la l…</t>
  </si>
  <si>
    <t>Hoy un proyecto progresista que se respete no puede apoyar privatización de hospitales. Al contrario no solo debe… https://t.co/Be2zldI8gD</t>
  </si>
  <si>
    <t>El presidente de la República y el ministro de salud deben decir públicamente ¿cuántos Kits para hacer pruebas del… https://t.co/4IMAB0Zk4N</t>
  </si>
  <si>
    <t>Así estábamos de listos en 2015 ante emergencias, esta fuerza de 5.000 profesionales de la salud, mil médico(a)s y… https://t.co/OInMdxS92q</t>
  </si>
  <si>
    <t>La incidencia de la enorme desvalorización de capitales, trae necesariamente la caída de los Bancos, como aquí Banc… https://t.co/uBRLING9FV</t>
  </si>
  <si>
    <t>RT @MMMaldonadoC: @rincon_her @ClaudiaLopez ¿No es mejor invertir 750 mil millones en recuperar un complejo hospitalario de varios edificio…</t>
  </si>
  <si>
    <t>Adjudicación de la demolición del San Juan y construcción de un nuevo edificio por medio billón de pesos, se hizo e… https://t.co/2cKObAYDDr</t>
  </si>
  <si>
    <t>RT @MMMaldonadoC: @ClaudiaLopez No, Enrique no hizo los estudios para el Plan Especial de Manejo y Protección PEMP del San Juan, porque par…</t>
  </si>
  <si>
    <t>RT @petrogustavo: Adjudicación de la demolición del San Juan y construcción de un nuevo edificio por medio billón de pesos, se hizo el 18 d…</t>
  </si>
  <si>
    <t>Lo único que tiene que hacer Claudia, es modificar el contrato para impedir la demolición, no permitir ningún tipo… https://t.co/VCZZjX9dt6</t>
  </si>
  <si>
    <t>RT @JuanLuisCasCo: Corea del Sur hace 4 pruebas por cada 1000 habitantes. Italia hace 1 prueba por cada 1000 habitantes. España hace 0,3 pr…</t>
  </si>
  <si>
    <t>RT @ma_eugeniam: Pérdida @ClaudiaLopez con el San Juan de Dios. El PEMP, un interesante y valioso proyecto urbano y cultural, fue elaborado…</t>
  </si>
  <si>
    <t>Quiero creer que Claudia cayó en una trampa de Peñalosa. El contrato de demolición del San Juan y contrucción y op… https://t.co/Auxi4c5FsV</t>
  </si>
  <si>
    <t>Claudia firmó el 15 de febrero, contrato de demolición de un patrimonio histórico, el San juan de Dios, y su reempl… https://t.co/lRHCM170t6</t>
  </si>
  <si>
    <t>Amigos y amigas, @ClaudiaLopez privatizó el hospital San Juan de Dios y lo borró de la memoria física de Bogotá El… https://t.co/jYos2ryRII</t>
  </si>
  <si>
    <t>No amigo, queremos la unidad de la sociedad colombiana, pero no la unidad con los corruptos. No haber tomado las m… https://t.co/Q5Sj3mHsm7</t>
  </si>
  <si>
    <t>RT @AndresCamiloHR: Ley 735 de 2002: “Por la cual se declaran monumentos nacionales, el Hospital San Juan de Dios y el Instituto Materno In…</t>
  </si>
  <si>
    <t>Una vez privatizado el San Juan y contratada su demolición por Claudia Lopez, me gustaría saber que piensa el Polo… https://t.co/JU5ozDvDOf</t>
  </si>
  <si>
    <t>¿En plena pandemia y una alcaldesa que se hizo llamar alternativa contrata la demolición del hospital más important… https://t.co/iePGziR7NW</t>
  </si>
  <si>
    <t>Dani defender el san Juan no es dañino, dañino será cuando comencemos a ver el desfile de muertos porque los médico… https://t.co/1yB4bunme2</t>
  </si>
  <si>
    <t>RT @AndresCamiloHR: Ley 735 de 2002: declárese monumentos nacionales, el hospital San Juan de Dios, en reconocimiento a los señalados servi…</t>
  </si>
  <si>
    <t>RT @petrogustavo: Amigos y amigas, @ClaudiaLopez privatizó el hospital San Juan de Dios y lo borró de la memoria física de Bogotá El prime…</t>
  </si>
  <si>
    <t>RT @AndresCamiloHR: @dairorp @petrogustavo El contrato ya fue firmado el 14 de febrero de 2020 (Alcaldia Claudia López), para el diseño, co…</t>
  </si>
  <si>
    <t>RT @AndresCamiloHR: @dairorp @petrogustavo Lea el objeto del contrato... https://t.co/ZvmuupZvqL</t>
  </si>
  <si>
    <t>RT @AndresCamiloHR: @dairorp @petrogustavo Para su duda, tendrá hasta 2026 tendrá la operación la empresa Sociedad Anónima de Obras y servi…</t>
  </si>
  <si>
    <t>RT @el_pais: "Me asusta que el metro de Madrid y Barcelona estuviera lleno para ir a trabajar. Hay que parar todo el transporte público (..…</t>
  </si>
  <si>
    <t>RT @DiazCanelB: Cuba recibirá y brindará atención a viajeros con coronavirus del crucero británico MS Braemar. Somos coherentes con nuestra…</t>
  </si>
  <si>
    <t>Al lado del ÑÑ, narcotraficante y de usurpadores de tierra, Duque anunció la reforma a la justicia y las altas cort… https://t.co/e0bX5e2pwb</t>
  </si>
  <si>
    <t>RT @levyrincon: Crisis de Coronavirus en China: - Construyen un hospital público en 10 días Crisis de Coronavirus en Colombia - Demuele…</t>
  </si>
  <si>
    <t>RT @enlafronteratv: El mundo vive tiempos difíciles. No solo Europa sufre la crisis del #coronavirus: Latinoamérica también la está padecie…</t>
  </si>
  <si>
    <t>RT @ArielAnaliza: España nacionaliza la red privada de hospitales para afrontar la crisis. https://t.co/R5RJYeAHFa</t>
  </si>
  <si>
    <t>RT @MariaMatusv: No toman medidas serias y a los pocos que proponen los señalan. Aquí el discurso de la no polarización sobra. Y quienes lo…</t>
  </si>
  <si>
    <t>RT @MariaMatusv: Es importante que adecuen nuevos espacios de UCI, controlen el sistema masivo de transporte, exijan la cuarentena obligato…</t>
  </si>
  <si>
    <t>Es imposible un acuerdo programático con los que privatizan la red pública hospitalaria. Trafican con el derecho fu… https://t.co/gJLbUpSPsp</t>
  </si>
  <si>
    <t>RT @Pontifex_es: “Convertíos”, es decir, “cambiad de vida” (Mt 4,17), porque ha comenzado una nueva forma de vivir: ha terminado el tiempo…</t>
  </si>
  <si>
    <t>RT @UldaricoChilito: ¿En serio llaman Tóxico a @petrogustavo por defender el patrimonio de los Colombianos? Por lo visto no aprendieron de…</t>
  </si>
  <si>
    <t>RT @el_pais: Muere por coronavirus Vittorio Gregotti, padre de la arquitectura moderna italiana y diseñador del anillo olímpico de Barcelon…</t>
  </si>
  <si>
    <t>RT @Chikatilo_: Petro: no tumben ese hospital que puede servir para atender enfermos ante la pandemia. El centro: DEJE DE POLITIZAR LA TRA…</t>
  </si>
  <si>
    <t>El gobierno debe ordenar a la banca, suspender el cobro de cuotas hipotecarias sin cobros de intereses, suspender e… https://t.co/74iVLC1fse</t>
  </si>
  <si>
    <t>Las medidas de confinamiento deben ser draconianas, solo deben salir de sus casas los integrantes de fuerzas de la… https://t.co/xZKcqh8Vy2</t>
  </si>
  <si>
    <t>RT @lucianacadahia: Hay que tener una actitud muy mezquina para pensar que la defensa del hospital San Juan de Dios es resultado del ego de…</t>
  </si>
  <si>
    <t>RT @AviancaCAM: Agradecemos al Presidente del El Salvador @nayibbukele por darnos la información y alertarnos sobre los pacientes con COVID…</t>
  </si>
  <si>
    <t>La sociedad ante enorme falla de los gobiernos que tenemos y del mercado en que volvieron el derecho a la salud deb… https://t.co/bCjAFxSS7H</t>
  </si>
  <si>
    <t>RT @PartidoPSUV: ¡ATENCIÓN! Pdte. @NicolasMaduro anuncia que Venezuela entera entra en cuarentena social y colectiva este martes 17 de ma…</t>
  </si>
  <si>
    <t>Duque sigue pensando que lo prioritario son los negocios y no la vida. La reducción del precio de lan gasolina, con… https://t.co/14Qtjg3bsD</t>
  </si>
  <si>
    <t>RT @charry_manager: Lo que les molesta es que el Hospital San Juan de Dios es el Hospital de los Pobres. https://t.co/jA4F0u1kV6</t>
  </si>
  <si>
    <t>En campaña presidencial propusimos superar la ley 100 que convirtió la salud en mercado y, a cambio, construir salu… https://t.co/5RdjY3DFuv</t>
  </si>
  <si>
    <t>RT @JUANCAELBROKY: Francia asume créditos y suspende el pago de alquileres, impuestos y recibos de luz, gas y agua: Macron anunció medidas…</t>
  </si>
  <si>
    <t>RT @Bunkerglo: No nos lo merecemos. La diferencia entre un presidente y lo otro. #CoronavirusFrance #CoronavirusColombia https://t.co/BPhzq…</t>
  </si>
  <si>
    <t>RT @petrogustavo: En campaña presidencial propusimos superar la ley 100 que convirtió la salud en mercado y, a cambio, construir salud prev…</t>
  </si>
  <si>
    <t>RT @petrogustavo: El gobierno debe ordenar a la banca, suspender el cobro de cuotas hipotecarias sin cobros de intereses, suspender el pago…</t>
  </si>
  <si>
    <t>RT @segoviamora: Si no hay medidas de alivio económico como congelamiento de pagos de servicios, seguridad social, arriendos y apoyo a la m…</t>
  </si>
  <si>
    <t>RT @MissAntroppia: Han satanizado a Petro de todas las formas posibles, le han dicho incendiario, oportunista, tóxico, de todo, simplemente…</t>
  </si>
  <si>
    <t>RT @BajoTurmeque: ¿Qué esperaban de Petro? ¿Que no criticara el sistema de salud y al gobierno por sus medidas irresponsables? ¿Quieren es…</t>
  </si>
  <si>
    <t>RT @Angelicastell83: Así les duelan los tuétanos @petrogustavo es un visionario, con una gran capacidad de interpretar la realidad y genera…</t>
  </si>
  <si>
    <t>RT @nrangelm_: Entonces @ClaudiaLopez decía que el coronavirus era una simple gripa, y ahora se da el lujo de decirle a @petrogustavo que u…</t>
  </si>
  <si>
    <t>RT @escriboconlaizq: Italia tiene 3,2 camas por cada 1000 habitantes y en este momento hay caos en las UCI en ese país.. Colombia tiene 1,7…</t>
  </si>
  <si>
    <t>El virus ataca los pulmones y es una enfermedad aguda respiratoria. Cuando un enfermo grave llega al hospital nece… https://t.co/araoocadCi</t>
  </si>
  <si>
    <t>Cuando se decretan emergencias o calamidades públicas por el virus, la autoridad en salud debe ordenar a todo hospi… https://t.co/UauVU3mHoy</t>
  </si>
  <si>
    <t>RT @lucianacadahia: El coronavirus es un avisito de lo que puede venirse más adelante. Y es una oportunidad para poner a prueba el sentido…</t>
  </si>
  <si>
    <t>Si una entidad de salud no pone a disposición del tratamiento de la enfermedad sus camas de cuidados intensivos, o… https://t.co/oE52rPhlvx</t>
  </si>
  <si>
    <t>Mañana en video hablaremos de un concepto. El genocidio por omisión</t>
  </si>
  <si>
    <t>Algo de historia no queda mal para conocimiento general. Estamos ante el primer hospital y el más importante de la… https://t.co/fRMs11AbnM</t>
  </si>
  <si>
    <t>RT @petrogustavo: Mañana en video hablaremos de un concepto. El genocidio por omisión</t>
  </si>
  <si>
    <t>Armenia a la vanguardia del confinamiento. Bien. Estas son las medidas, draconianas que hay que tomar en el país, s… https://t.co/CMiZg9qJPB</t>
  </si>
  <si>
    <t>Cuando los gobernantes tiene insensibilidad social no piensan en la gente, no sirven a la gente, solo sirven los gr… https://t.co/aE4dsNCWIG</t>
  </si>
  <si>
    <t>Mi homenaje del alma a toda la fuerza de la salud en Colombia, apaleada, vejada, a la que le han quitado sus derech… https://t.co/GQR0oKsxgz</t>
  </si>
  <si>
    <t>En realidad, a esta hora, ya el virus anda en transmilenio. https://t.co/yGIsZHZRpz</t>
  </si>
  <si>
    <t>RT @petrogustavo: Mi homenaje del alma a toda la fuerza de la salud en Colombia, apaleada, vejada, a la que le han quitado sus derechos, su…</t>
  </si>
  <si>
    <t>Vuelvo a repetirlo, la única medida eficaz para aligerar el crecimiento del virus en Colombia es el confinamiento g… https://t.co/Rxmil1pdWF</t>
  </si>
  <si>
    <t>Con el virus todos vamos a perder mucho, algunos los que más, la vida misma o la de sus seres queridos. Y algunos p… https://t.co/bHWJjSrNNl</t>
  </si>
  <si>
    <t>Esto no es cierto. El trasnporte en tranvía al ser modular, permite acoplar el número de vagones a la demanda. https://t.co/WuJ4EO46kV</t>
  </si>
  <si>
    <t>El problema es que si la señora vendedora ambulante muere del virus también habrá condenado por lo menos a cuatro p… https://t.co/QETQlsqZ11</t>
  </si>
  <si>
    <t>Me gustaría conocer de algún ciudadano(a) si un funcionario de alguna EPS ha llegado a su hogar a hacer pruebas de… https://t.co/T8ONTAlV9k</t>
  </si>
  <si>
    <t>No olvidar que el telebrajo, una solución parcial, es para la minoría de trabajadores. Un albañil , una vendedora a… https://t.co/QTrRiTTTVg</t>
  </si>
  <si>
    <t>Para tener la mayoría de trabajadores en sus casas hay que condonar arriendos, deudas hipotecarias y de consumo, se… https://t.co/EAXCV02uch</t>
  </si>
  <si>
    <t>Lucia Bastidas ha tomado uno de los ejes programáticos de la Colombia Humana. La crisis climática producida por el… https://t.co/rlZ2rX5O20</t>
  </si>
  <si>
    <t>Con todo respeto la crisis del virus no se puede tratar con más endeudamiento, eso sería faltal para países y para… https://t.co/giifgMet48</t>
  </si>
  <si>
    <t>En realidad el cierre de fronteras, incluida la aérea se debió hacer antes. Ahora el asesino ya está dentro de la c… https://t.co/QP2gjordgy</t>
  </si>
  <si>
    <t>Confinar la población de manera drástica, dia y noche y aumentar la capacidad de los hospitales en cuidados intensi… https://t.co/L6bTsTzg4C</t>
  </si>
  <si>
    <t>No Juan david, no hay que caer en ingenuidades, y menos ser acríticos. Si nadie informa que funcionario alguno de… https://t.co/sCu6NYJOLy</t>
  </si>
  <si>
    <t>RT @petrogustavo: Confinar la población de manera drástica, dia y noche y aumentar la capacidad de los hospitales en cuidados intensivos.…</t>
  </si>
  <si>
    <t>Daniel mi único papel hoy no es tomar medidas, por voto popular no tengo gobierno, sino expresar mis opiniones de a… https://t.co/45cmMaB8Gh</t>
  </si>
  <si>
    <t>Si fuera gobernante, no tenga dudas que ya hubiera ordenado el confinamiento generalizado de la poblacion en las ca… https://t.co/ijeUWuXBFG</t>
  </si>
  <si>
    <t>RT @ManuelBeltrn14: Duque dejó llegar el virus por el aeropuerto y Claudia López lo regó con Transmilenio Esa es la verdad completa</t>
  </si>
  <si>
    <t>RT @petrogustavo: Si fuera gobernante, no tenga dudas que ya hubiera ordenado el confinamiento generalizado de la poblacion en las casas co…</t>
  </si>
  <si>
    <t>Aquí mi análisis en video sobre lo que está aconteciendo con el Coronavirus en Colombia https://t.co/SkaVsE4XJp</t>
  </si>
  <si>
    <t>Primera parte de mi análisis sobre el coronavirus en Colombia y las medidas tomadas. Le solicito retransmitirlo en… https://t.co/kkBfBzHxYn</t>
  </si>
  <si>
    <t>No sirven medidas gradualistas para detener el virus. No es toque de queda de noche y de dia no, no es confinamient… https://t.co/K5Ls2RtURX</t>
  </si>
  <si>
    <t>Cada día en que nos demoramos en las medidas eficaces que ya señaló la experiencia china: confinamiento total y dur… https://t.co/qntzBW3H2L</t>
  </si>
  <si>
    <t>RT @petrogustavo: Aquí mi análisis en video sobre lo que está aconteciendo con el Coronavirus en Colombia https://t.co/SkaVsE4XJp</t>
  </si>
  <si>
    <t>Aquí mi posición sobre las medidas tomadas por el gobierno en contra del Coronavirus Parte II Les solicito hacer Rt… https://t.co/6qA1YSdP4y</t>
  </si>
  <si>
    <t>Aquí mi posición sobre las medidas tomadas por el gobierno en contra del Coronavirus Parte I Les solicito hacer R… https://t.co/VBtKDLdimd</t>
  </si>
  <si>
    <t>Vuelvo a repetirlo, no vamos a detener el coronavirus con toque de queda nocturno y de día a trabajar, ni con cuare… https://t.co/8m74tUgOF3</t>
  </si>
  <si>
    <t>RT @el_pais: DIRETO | Así ha sonado en A Coruña la cacerolada convocada a mediodía para pedir a Juan Carlos que done las supuestas comision…</t>
  </si>
  <si>
    <t>RT @Gurusblog: Actualizamos los casos de #COVID19 en 🇪🇸 tenemos 13.716 casos confirmados (+2.437) y 588 muertes (+91). Tasa oficial de leta…</t>
  </si>
  <si>
    <t>RT @petrogustavo: Vuelvo a repetirlo, no vamos a detener el coronavirus con toque de queda nocturno y de día a trabajar, ni con cuarentenas…</t>
  </si>
  <si>
    <t>Con todo el respeto, este ya no es el momento del juego y los simulacros; cada hora que pasa sin medidas drásticas… https://t.co/yhblaQQQvK</t>
  </si>
  <si>
    <t>La sociedad debe tener en claro que en Colombia, en Bogotá a diferencia de China y el Asia, se ha privilegiado las… https://t.co/rRyHbtpz90</t>
  </si>
  <si>
    <t>Este artículo es fundamental. Es de Javier Segura médico Español que vive lo que acontece allí, pero conoce muy bi… https://t.co/cjKZlxIXpP</t>
  </si>
  <si>
    <t>Esta es la estrategia inglesa que ya fracasó, apartheid social con los viejos, para que la población activa siga pr… https://t.co/mtMcCAGFs3</t>
  </si>
  <si>
    <t>RT @petrogustavo: Este artículo es fundamental. Es de Javier Segura médico Español que vive lo que acontece allí, pero conoce muy bien a C…</t>
  </si>
  <si>
    <t>RT @teleSURtv: Así se encuentras las calles de Caracas, #Venezuela🇻🇪 en este tercer día de cuarentena social decretada por el presidente, @…</t>
  </si>
  <si>
    <t>RT @EFEnoticias: #ÚLTIMAHORA | China dice haber desarrollado "con éxito" una vacuna contra el #coronavirus https://t.co/jJrotLQBkD</t>
  </si>
  <si>
    <t>Han ocultado la primera muerte por Coronavirus, ¿será la primera?, los datos del gobierno no son reales porque solo… https://t.co/vwUAGOi9aO</t>
  </si>
  <si>
    <t>Todas las medidas, incluida las de Bogotá, están tomadas de tal manera que no afecten la producción, de donde salen… https://t.co/yCBbv732GQ</t>
  </si>
  <si>
    <t>Bogotá es la ciudad donde más rápidamente crece la epidemia en Colombia y casi que en América. ¿Por qué? Porque l… https://t.co/OH6Ucg8iZY</t>
  </si>
  <si>
    <t>Si no hay intervención sobre Eps y hospitales y clínicas privadas, cuando se dispare la demanda por camas de cuidad… https://t.co/DpR4Ggcoqa</t>
  </si>
  <si>
    <t>La desigualdad hace presencia en el confinamiento voluntario, las clases medias altas pueden hacer uso del teletrab… https://t.co/JD7sEiImLv</t>
  </si>
  <si>
    <t>Perú acaba de nacionalizar hospitales y clínicas. Aquí están demoliendo los.hospitales públicos. Entiendan no es… https://t.co/zmtjYOVD2U</t>
  </si>
  <si>
    <t>Son tan inocuas las medidas de Duque, solo son para salvarle las ganancias a los poderosos, como las de Claudia, so… https://t.co/0Z4wpyr2Mh</t>
  </si>
  <si>
    <t>Le solicito a la señora juez que tiene la demanda contra el contrato de demolición y privatización del San Juan de… https://t.co/CDNwIKO0aA</t>
  </si>
  <si>
    <t>RT @lucianacadahia: Qué clase estructura psíquica atraviesa a @ClaudiaLopez como para llamar "simulacro" a su dizque estrategia de contenci…</t>
  </si>
  <si>
    <t>RT @petrogustavo: Le solicito a la señora juez que tiene la demanda contra el contrato de demolición y privatización del San Juan de Dios e…</t>
  </si>
  <si>
    <t>RT @petrogustavo: Aquí mi posición sobre las medidas tomadas por el gobierno en contra del Coronavirus Parte II Les solicito hacer Rt a est…</t>
  </si>
  <si>
    <t>RT @petrogustavo: Aquí mi posición sobre las medidas tomadas por el gobierno en contra del Coronavirus Parte I Les solicito hacer RT a es…</t>
  </si>
  <si>
    <t>RT @Matador000: Esperen a ver si entiendo. ¿En Bogotá van a hacer un simulacro de aislamiento? Eso es como hacer un simulacro de evacuación…</t>
  </si>
  <si>
    <t>RT @eldiarioes: 📺 Cacerolada contra el rey desde los balcones para pedir que el dinero en paraísos fiscales vaya a Sanidad https://t.co/aDu…</t>
  </si>
  <si>
    <t>Aumentar la capacidad hospitalaria. Tener hospitales exclusivos para enfermos para no contagiar los otros Entiende… https://t.co/WF3aVkTQwH</t>
  </si>
  <si>
    <t>Se despistan con el aeropuerto y se olvidan que ya la mayor parte del virus en Bogotá transita por transmilenio https://t.co/N8R5F6GZEY</t>
  </si>
  <si>
    <t>Aquí podrán ver como en Costa Rica abren nuevos hospitales para separar los enfermos del virus de los demás. Hay m… https://t.co/IT3gkaOzb1</t>
  </si>
  <si>
    <t>RT @petrogustavo: Aumentar la capacidad hospitalaria. Tener hospitales exclusivos para enfermos para no contagiar los otros Entienden porq…</t>
  </si>
  <si>
    <t>Estas son las reconstrucciones que hicimos en el San Juan de Dios y que hoy son indispensables para la epidemia. M… https://t.co/tjUhLC3NOk</t>
  </si>
  <si>
    <t>Este no es el momento para endeudar más sr Duque. Es el momento para no cobrar intereses y condonar endeudamientos.… https://t.co/NuyihFipqD</t>
  </si>
  <si>
    <t>RT @petrogustavo: Son tan inocuas las medidas de Duque, solo son para salvarle las ganancias a los poderosos, como las de Claudia, solo son…</t>
  </si>
  <si>
    <t>RT @petrogustavo: Estas son las reconstrucciones que hicimos en el San Juan de Dios y que hoy son indispensables para la epidemia. Miren l…</t>
  </si>
  <si>
    <t>Como dirigente de la principal fuerza de oposición en Colombia le solicito al presidente de la República confinar a… https://t.co/Dkz6FdUstr</t>
  </si>
  <si>
    <t>Con respeto, defender un toque de queda nocturno pero no diurno, o confinamiento en casa de fin de semana, no sirve… https://t.co/bNKw5MXrVX</t>
  </si>
  <si>
    <t>RT @colombia_hist: Geólogos y expertos, además del alcalde de Armero habían advertido principalmente al Ministro de Minas y Energía Iván Du…</t>
  </si>
  <si>
    <t>Hemos entrado al debate que no es. El gobierno de Duque debe ordenar el confinamiento en los municipios donde ya s… https://t.co/TzCZdM1nJw</t>
  </si>
  <si>
    <t>Esta ciudad es Bergamo, Italia. Ese.desfile de camiones militares. Llevan cadáveres para ser cremados fuera de… https://t.co/EpVXJGtsZK</t>
  </si>
  <si>
    <t>En una situación de máxima crisis el gobierno debe tomar la conduccion, pero para aminorarla. Si Duque se pone en… https://t.co/JVUBs5Y9SX</t>
  </si>
  <si>
    <t>Todos los alcaldes del país deben saber que se coparan las camas de cuidados intensivos y entrarán los médicos a ej… https://t.co/xzlFxmos5X</t>
  </si>
  <si>
    <t>La desobediencia civil es confinarse en casa definitivamente y no transitoriamente. De noche y de día. Solo un miem… https://t.co/iBcZoHRC9e</t>
  </si>
  <si>
    <t>Alcaldesa de Bogotá y los alcaldes de las principales ciudades tienen recursos para comprar camas de cuidados inten… https://t.co/HNqacYYydk</t>
  </si>
  <si>
    <t>Esta es la voz de una médica colombiana en España. Escúchenla por favor. En Bogotá hay media hectárea de construcc… https://t.co/ZzRs5aNMHz</t>
  </si>
  <si>
    <t>RT @ActualidadRT: Lo que se pudo hacer y no se hizo, lo que se podría hacer y no se hace, lo que habrá que hacer en el futuro... ¿Qué apren…</t>
  </si>
  <si>
    <t>Solo hay dos estrategias efectivas contra el virus: ampliar rápidamente la capacidad hospitalaria pública y el conf… https://t.co/6duqurpTgr</t>
  </si>
  <si>
    <t>DESOBEDIENCIA CIVIL: no salir de las casas de manera permanente. Ni de dia ni de noche, ni solo el fin de semana.… https://t.co/dDExXTARq5</t>
  </si>
  <si>
    <t>Alcaldes del area metropolitana de Sao Paulo suspenden el trasnporte en buses municipal. https://t.co/jLzwgh0Y7g</t>
  </si>
  <si>
    <t>RT @jairoriverah: Me dice una amiga italiana: “Aquí en Bergamo, Italia los empresarios presionaron al gobierno para que no cerrara la ciu…</t>
  </si>
  <si>
    <t>Solicito al presidente Duque presentar el plan de ayuda a los hospitales públicos para ampliar su capacidad en el t… https://t.co/sS9LlQ4nYx</t>
  </si>
  <si>
    <t>Este video que hice sobre porque tanta timidez en tomar medidas serias frente al virus ha tenido dos millones de re… https://t.co/efUs3qdAZ1</t>
  </si>
  <si>
    <t>Este que habla en el video es el presidente del Salvador El FMLN, grupo exguerrillero que hizo la paz y ha goberna… https://t.co/QdYHo19t3s</t>
  </si>
  <si>
    <t>Propuestas de médicos bogotanos: recuperar programa territorios saludables, alistar Corferias para la atención médi… https://t.co/yGVW6CbD2q</t>
  </si>
  <si>
    <t>El modelo Inglés o "inmunidad de rebaño" consiste en dejar a los viejos en cuarentena y permitir el funcionamiento… https://t.co/gTGf3jYXwv</t>
  </si>
  <si>
    <t>El virus ahora se transporta en bus https://t.co/qv77bF78Sq</t>
  </si>
  <si>
    <t>Señores empresarios y banqueros de Colombia, dejen de presionar a Duque para que no se confine a la población para… https://t.co/JWgl8dZlXb</t>
  </si>
  <si>
    <t>Nueva York ha dado la orden de confinamiento general y permanente de la población. La economía de EEUU entra en rec… https://t.co/3ZZ8fHVGL9</t>
  </si>
  <si>
    <t>Le solicito a todas las familias bogotanas que entran en cuarentena el viernes, no levantarla el lunes. Una curent… https://t.co/LHaXZHfvWJ</t>
  </si>
  <si>
    <t>Los empresarios que despidan a sus trabajadores por que estos se confinan deben ir a la cárcel. https://t.co/kREfuRVRCc</t>
  </si>
  <si>
    <t>RT @NicolasMaduro: Comparto al pueblo de Venezuela un gráfico que nos muestra el crecimiento exponencial de casos de Coronavirus, cuando no…</t>
  </si>
  <si>
    <t>Italia vive una tragedia que no debe vivir Colombia. Las condiciones sociales, económicas y el estado del sistema d… https://t.co/rZWBqJTitk</t>
  </si>
  <si>
    <t>Señora Juez que examina el contrato de demolición y privatización del hospital San juan de Dios de Bogotá, anule el… https://t.co/6HMMkit54J</t>
  </si>
  <si>
    <t>Familias bogotanas no debe ser un simulacro, es la realidad. Desde.el viernes no salgan más de sus casas. Señores… https://t.co/DAMTOR5SxR</t>
  </si>
  <si>
    <t>Abelardo, uribista de pura cepa, hoy coincide con nosotros. Hay que decretar el confinamiento en sus casas de maner… https://t.co/rMdJgfRkDP</t>
  </si>
  <si>
    <t>Lima se confina en sus casas. No son toques de queda nocturnos, no es confinamiento de fin de semana. Esto es de ve… https://t.co/uNQNYzdHQb</t>
  </si>
  <si>
    <t>Le solicito a @FiscaliaCol investigar esta persona por calumnia. Hasta cuanto van a durar sin una sola acción cont… https://t.co/ZEH5VbQ9Wo</t>
  </si>
  <si>
    <t>RT @descifraguerra: 🇮🇹 Ayer en Bérgamo se desplegaron 70 camiones militares para transportar al crematorio los ataúdes que no pueden ser ya…</t>
  </si>
  <si>
    <t>Este cuadro muestra una salida masiva de capitales de nuestros países. La solución no es ni endeudarse más, ni sub… https://t.co/n5I79aCLRn</t>
  </si>
  <si>
    <t>Israel ordena confinamiento en sus casa por una semana. https://t.co/PooaQFL0kq</t>
  </si>
  <si>
    <t>Todas las medidas tomadas contra el coronavirus, tanto del gobierno nacional como de los gobiernos locales tienen u… https://t.co/H5ONjudRuN</t>
  </si>
  <si>
    <t>RT @petrogustavo: Abelardo, uribista de pura cepa, hoy coincide con nosotros. Hay que decretar el confinamiento en sus casas de manera perm…</t>
  </si>
  <si>
    <t>RT @petrogustavo: Señora Juez que examina el contrato de demolición y privatización del hospital San juan de Dios de Bogotá, anule el contr…</t>
  </si>
  <si>
    <t>Duque no desencadene la desobediencia civil. Ordene el confinamiento de las familias colombianas en sus casas en l… https://t.co/Zc3hVV3CP5</t>
  </si>
  <si>
    <t>Donde menos puede entrar la epidemia es en las regiones más pobres del país. Se desencadenaría la mortandad de niño… https://t.co/jBKwDvxVfd</t>
  </si>
  <si>
    <t>El presidente argentino va a confinar en casa al pueblo por lo menos hasta fin de mes. Así se hace. https://t.co/4vN7WXpQIs</t>
  </si>
  <si>
    <t>Esto es cuarentena, prefiero llamarla confinamiento, y es permanente. Esta es Barcelona. https://t.co/0RhpAVBbbb</t>
  </si>
  <si>
    <t>En campaña trate de explicar como la politica mundial y colombiana tendría un filtro diferente al de izquierda y de… https://t.co/NNyuXam1Jx</t>
  </si>
  <si>
    <t>Muy bien por esta empresaria. Invito a todos los empresarios de Colombia a permitir que sus trabajadores se queden… https://t.co/2eS8ZYDxGn</t>
  </si>
  <si>
    <t>La costa caribe se ha empobrecido sustancialmente y tiene su sistema de salud privatizado. Su economía es mayoritar… https://t.co/3EOLhFcONJ</t>
  </si>
  <si>
    <t>Mientras el Coronavirus alista sus garras, los asesinos humanos siguen acabando con los líderes sociales. https://t.co/hAnjO8hpnQ</t>
  </si>
  <si>
    <t>Duque para obtener mayorías en el Congreso en su perspectiva de acabar la JEP, le entregó a Vargas Lleras y Char el… https://t.co/6IWQgSFt1X</t>
  </si>
  <si>
    <t>RT @charry_manager: Gran ejemplo le da @harmanfelipe a los demás dirigentes del país en especial a aquell@s que quieren demoler el San Juan…</t>
  </si>
  <si>
    <t>Así esta Perú en el cuarto día de confinamiento en las casas. Perú se lo ha tomado en serio. https://t.co/G6OJmrZJ07</t>
  </si>
  <si>
    <t>RT @CamiloPrietoVal: El contagio no se detiene y sigue aumentando. URGE aplanar la curva, pero continuamos con medidas tenues que no contri…</t>
  </si>
  <si>
    <t>Estas son las medidas económicas del Salvador muchísimo más débil que Colombia. Suspensión de pagos de deudas y se… https://t.co/2ZqjgD0men</t>
  </si>
  <si>
    <t>Quiero advertir que la Cloroquina, medicina para la malaria, se produce en Colombia, y vale tres mil pesos la caja.… https://t.co/qUa2X0wGSY</t>
  </si>
  <si>
    <t>RT @HelmerTorres6: @cielo_rusinque https://t.co/k669J2cflL</t>
  </si>
  <si>
    <t>Los casos del taxista muerto en Cartagena y el caso en el hospital Simón Bolívar en Bogotá sin ninguna respuesta of… https://t.co/sOd4qrygNq</t>
  </si>
  <si>
    <t>Las redes progresistas deben alistarse a jornadas de desobediencia civil si el gobierno sigue dilantando las medida… https://t.co/VBqT2DqmwM</t>
  </si>
  <si>
    <t>Lamentable que la cuarentena termine el martes a las 3 am. ¿Por qué? Porque el martes recomienza el trabajo, y po… https://t.co/AF0TVOHeuc</t>
  </si>
  <si>
    <t>Mientras el mundo se lanza a la cuarentena de verdad nosotros hacemos y en contra del presidente, cuarentenas de p… https://t.co/o60fju1aqt</t>
  </si>
  <si>
    <t>Dije que no se podía basar la estrategia de lucha contra el virus en un sistema de aseguramiento privado como las E… https://t.co/9rIe2Z3vu6</t>
  </si>
  <si>
    <t>Lula: primero salvamos al.pueblo, después a la economía. https://t.co/IkXYVTOWUu</t>
  </si>
  <si>
    <t>El.sectrtario de salud de Bogotá dice que el reforzamiento estructural del.edificio central Hospital san Juan de Di… https://t.co/sdxXcCW7NV</t>
  </si>
  <si>
    <t>En el afán de demoler y privatizar el San Juan de Dios, secretario de salud no le dice a la gente que estas obras d… https://t.co/tNiyvuF3rp</t>
  </si>
  <si>
    <t>RT @dw_espanol: Deficiente gestión de la crisis En Colombia, las autoridades locales y nacionales se contradicen a la hora de decretar med…</t>
  </si>
  <si>
    <t>El mundo debe saber que si un solo periodista que ha denunciado el vínculo del narcotráfico a la campaña de Duque,… https://t.co/hWmnTWPqrr</t>
  </si>
  <si>
    <t>Un simulacro de puente festivo es una equivocación y Duque debió detenerlo a cambio de una cuarentena obligatoria e… https://t.co/AXQTIZdhFX</t>
  </si>
  <si>
    <t>Bogotá está cometiendo el mismo error de Madrid. Irse de vacaciones. A España eso le costó la irradiación del foco… https://t.co/OTYkNcuLA3</t>
  </si>
  <si>
    <t>La estampida que se ha provocado en Bogotá no es culpa de Claudia La culpa está en los medios televisivos que está… https://t.co/dlIdGqrKvA</t>
  </si>
  <si>
    <t>En España hay 1.100 personas en UCIs. Y el ejercito hará un hospital para 5.500 camas. Aun mantiene a la gente trab… https://t.co/R08GHM1ksj</t>
  </si>
  <si>
    <t>El alcalde Popayán ya estaba enfermo cuando entró a la reunión física de alcaldes y gobernadores con Duque. Esto s… https://t.co/o7Mag4dz4t</t>
  </si>
  <si>
    <t>Cuando el secretario de gobierno de Bogotá me regaño porque dije que había que usar tapabocas obligatorio, se equiv… https://t.co/0L16m65rf7</t>
  </si>
  <si>
    <t>RT @NoticiasCaracol: “Estuve 3 años escondida en un pozo, ¿no pueden 2 semanas en casa?”: llamado de abuelita sobreviviente del Holocausto…</t>
  </si>
  <si>
    <t>Colombia ya alcanzó a Argentina, principalmente por la extensión de la epidemia en Bogotá. Argentina hizo confinami… https://t.co/pY6OZr9jU8</t>
  </si>
  <si>
    <t>Por mi experiencia como alcalde y desde mi perspectiva progresista que nunca he ocultado, y a pesar que me van a l… https://t.co/kWXCQ0VWxE</t>
  </si>
  <si>
    <t>1. La alcaldesa nombró en salud una persona que viene de un grupo financiero, el de Sura, o grupo empresarial antio… https://t.co/OApgs0RR2I</t>
  </si>
  <si>
    <t>2. En virtud del mal asesoramiento de sus responsables en Salud en plena epidemia, la alcaldesa dijo públicamente q… https://t.co/qrQUVijFie</t>
  </si>
  <si>
    <t>En el momento que la alcaldesa dijo que el coronavirus era una gripa, sus funcionarios en la ERU, sin conocimiento… https://t.co/cd7KwWAwqp</t>
  </si>
  <si>
    <t>Ya declarada la pandemia por OMS, Claudia firma un pacto con las EPS privadas, para construir un sistema de prevenc… https://t.co/W98fMcndsN</t>
  </si>
  <si>
    <t>Se proponen confinamientod parciales y tímidos, confinamiento de puente festivo, cuando eso es contraproducente en… https://t.co/SbkJF1rpZ0</t>
  </si>
  <si>
    <t>Siendo ya Bogotá foco principal de infección en colombia y con el virus ya extendido Las políticas locales de cont… https://t.co/fAP9RuVDL1</t>
  </si>
  <si>
    <t>El gradualismo en las medidas, que es el producto de respetar a grandes empresarios en sus negocios y el temor a fr… https://t.co/PylxcD1Jk0</t>
  </si>
  <si>
    <t>Hoy no sabemos que pasa con los 60 enfermos detectados, no sabemos si murió del virus una paciente en el hospital S… https://t.co/TxkNf1ocC5</t>
  </si>
  <si>
    <t>Lloverán criticas por lo dicho; y aunque Duque tiene razón en tratar de establecer solo un puesto de mando de lucha… https://t.co/fXSg6Y7deI</t>
  </si>
  <si>
    <t>Después de estar insistiendo en la necesidad de una cuarentena obligatoria y permanente, me encuentro que ahora Uri… https://t.co/TGfv1PQ0sA</t>
  </si>
  <si>
    <t>Katia Nule y alejandro Char regalarán 56.000 mercados a la gente en Barranquilla pero transformaron un hospital púb… https://t.co/hvZYfALEyu</t>
  </si>
  <si>
    <t>Le pido al alcalde de Ibagué tomar posesión de estas clínicas y hospitales abandonados y ponerlos en funcionamiento… https://t.co/G0t4PlBF5P</t>
  </si>
  <si>
    <t>RT @petrogustavo: Katia Nule y alejandro Char regalarán 56.000 mercados a la gente en Barranquilla pero transformaron un hospital público e…</t>
  </si>
  <si>
    <t>Si los bogotanos que salieron irresponsablemente se les prohibe la entrada a la ciudad el lunes, el problema será m… https://t.co/Af216CjURW</t>
  </si>
  <si>
    <t>RT @petrogustavo: Después de estar insistiendo en la necesidad de una cuarentena obligatoria y permanente, me encuentro que ahora Uribe y s…</t>
  </si>
  <si>
    <t>La gente de los pueblos receptores de turismo en Cundinamarca salieron a bloquear sus municipios del peligro de inf… https://t.co/OZB0OhCqTg</t>
  </si>
  <si>
    <t>RT @petrogustavo: Por mi experiencia como alcalde y desde mi perspectiva progresista que nunca he ocultado, y a pesar que me van a llover…</t>
  </si>
  <si>
    <t>Dos excombatientes de las FARC asesinados. Los matarifes no cesan. Aprovechan atención pública sobre el virus para… https://t.co/RzN1ooj3dc</t>
  </si>
  <si>
    <t>¿ Pueden dar un listado de cuantas camas de cuidados intensivos se han aprovisionado a las que ya tenemos? ¿Cuanto… https://t.co/RveDxVPrlZ</t>
  </si>
  <si>
    <t>José Antonio Name neurocirujano especializado en Alemania, del Caribe colombiano lanza angustioso llamado al gobie… https://t.co/zi4j0rPYcf</t>
  </si>
  <si>
    <t>La suplica del neurocirujano José Antonio Name a Duque. Cuarentena permanente ya. Es hora que la fuerza blanca de… https://t.co/rSG66v6jyg</t>
  </si>
  <si>
    <t>Todos las personas que tengan impresoras 3D deben estar listas a colaborar en la fabricación de utensilios que ayud… https://t.co/xR93ZcUXSw</t>
  </si>
  <si>
    <t>RT @Juan_Florez: El epidemiólogo Roy Anderson advirtió: "Del otro lado de la balanza se halla el impacto económico, los gobiernos no pueden…</t>
  </si>
  <si>
    <t>En Nueva York y en Noruega se reporta que un porcentaje elevado de personas que tienen que acceder a las camas de c… https://t.co/kv24QG7Vso</t>
  </si>
  <si>
    <t>Ha muerto mi ultima tía en Ciénaga de Oro, Paquita Petro. No puedo ir a su entierro. Cada vez más entierros y crema… https://t.co/Ao6UcGWwTl</t>
  </si>
  <si>
    <t>Este es el caso que representa el primer error en el tratamiento de la epidemia. Las aseguradoras privadas que se… https://t.co/bqiTByA3RS</t>
  </si>
  <si>
    <t>Ante la avalancha de empresarios buscando despedir a sus trabajadores, es positivo que el gobierno de Duque haya or… https://t.co/lqvB3gSCJM</t>
  </si>
  <si>
    <t>Cuando se confunde Ciencia con lagartería. Tanta es la desinformación que mucha gente no sabe que, por ejemplo, la… https://t.co/wMVphPm2oT</t>
  </si>
  <si>
    <t>RT @Mateo_creo: @ClaudiaLopez Alcaldesa, esto es Teleperformance, no tenemos las medidas, trabajamos por piso entre 200 y 300 personas, no…</t>
  </si>
  <si>
    <t>Cucuta va a habilitar la clínica La Salle de la extinta medimas para tratamiento de enfermos del virus de manera aislada. Muy bien.</t>
  </si>
  <si>
    <t>Esta es la nueva realidad del virus hoy, Italia cada vez tiene más casos diarios con casi a 6.000 pero EEUU esta a… https://t.co/Yc3aSZdO9I</t>
  </si>
  <si>
    <t>Shakira también lo dice: Están privilegiando la economía sobre la salud. Ganancias por encima de la vida. En palab… https://t.co/nxpBEDKgDz</t>
  </si>
  <si>
    <t>Mil médicos le piden a Duque: Declare la cuarentena permanente ya. La fuerza blanca se la salud debe salir a habla… https://t.co/gFbqkhaPFE</t>
  </si>
  <si>
    <t>Le solicito a todos los bancos del país congelar el cobro de cuotas de créditos sin cobros de intereses a todos los… https://t.co/5Y6dW5rD4K</t>
  </si>
  <si>
    <t>Esta es la voz del médico infectólogo Carlos Pérez. Solicita el confinamiento obligatorio y permanente. Que la fue… https://t.co/5VzXUkcpOa</t>
  </si>
  <si>
    <t>Daniel, esa salida masiva de Medellín se debe a que no se deben hacer simulacros cuando ya hay un terremoto Las pe… https://t.co/joDru0PdIO</t>
  </si>
  <si>
    <t>Presidente del Perú destituye a su ministra de salud por incompetente ante el virus. https://t.co/i5nbQx2MNL</t>
  </si>
  <si>
    <t>Como van las cosas veremos una paradoja de la historia contemporanea: a Cuba ayudando con personal médico a los EEU… https://t.co/D5P9d6x1gd</t>
  </si>
  <si>
    <t>Somos de los.paises que menos pruebas de coronavirus hace en la muestra mundial Creyeron que las EPS harian la pre… https://t.co/hFJIEJymSm</t>
  </si>
  <si>
    <t>RT @Cronicon: Desde @CELAGeopolitica, @MashiRafael Correa, @GarciaLinera y @petrogustavo abogan por condonación de la deuda externa para Am…</t>
  </si>
  <si>
    <t>He firmado con Rafael Correa , expresidente de Ecuador @MashiRafael, con Alvaro García Linera, ex vicepresidente de… https://t.co/lAMxzsUSJz</t>
  </si>
  <si>
    <t>No hay centro entre la vida y la muerte. https://t.co/099e7VW70h</t>
  </si>
  <si>
    <t>RT @petrogustavo: He firmado con Rafael Correa , expresidente de Ecuador @MashiRafael, con Alvaro García Linera, ex vicepresidente de Boliv…</t>
  </si>
  <si>
    <t>RT @LaPazColombiani: ¡Santo Dios! 😨💔😷 Esto es Italia 🇮🇹 Bérgamo Personas que aparecen muertas en la calle, mismas imágenes que veíamos en…</t>
  </si>
  <si>
    <t>No solo en la reunión con alcaldes se puso en riesgo todo el gobierno al haber al menos uno con el virus, sino que… https://t.co/Ug4NR2bqT9</t>
  </si>
  <si>
    <t>Al cambiar la publicidad de los datos y darlos al medio dia de hoy y no darlos en la noche, el gobierno esta evitan… https://t.co/reYi7WSG8R</t>
  </si>
  <si>
    <t>Efectivamente, los casos detectados crecen a más del 20% en un día. Donde más en Bogotá, pero estos datos de hoy n… https://t.co/DFXaTJHvZb</t>
  </si>
  <si>
    <t>Este trabajo de Andrés muestra la realidad, estamos creciendo muy por encima de Italia en los primeros días de infe… https://t.co/88MkfNbKuM</t>
  </si>
  <si>
    <t>La cuarentena debe excluir solo a trabajadores esenciales: salud, seguridad, servicios públicos y alimentos. Debe… https://t.co/MfgGDhXZ97</t>
  </si>
  <si>
    <t>Fue difícil pero es una buena decisión Ahora viene una época difícil para todas las familias colombianas pero con… https://t.co/uLwzhvCR81</t>
  </si>
  <si>
    <t>Pido a los habitantes de las grandes ciudades que hicieron simulacro no salir en masa el día martes, ese día debe s… https://t.co/cq2Q0MQg7t</t>
  </si>
  <si>
    <t>Que medidas tomar desde el gobierno en plena cuarentena: Cesar el pago de deudas bancarias sin causar intereses.… https://t.co/MkCTax7kfx</t>
  </si>
  <si>
    <t>El Estado debe alistarse a intervenir, pasar bajo administración de las autoridades públicas de salud, toda la red… https://t.co/7DMVrfBIO2</t>
  </si>
  <si>
    <t>La urgencia manifiesta permite a los mandatarios locales contratar rápida y directamente la adecuacion de todas las… https://t.co/uAAHAmIle8</t>
  </si>
  <si>
    <t>El movimiento social, los sindicatos, los militantes de Colombia Humana, deben conectarse en red y enseñar a la ciu… https://t.co/QWdhZbjdnH</t>
  </si>
  <si>
    <t>Muy bien por @Tecnoglass permite el confinamiento de sus trabajadores sin despedirlos y pagando sus salarios https://t.co/HZiEe8i2nl</t>
  </si>
  <si>
    <t>RT @CNA_Colombia: #InsomnioNacional #SerLiderSocialNoEsDelito Marquitos, seguirás presente en nuestras luchas por el territorio y la vida d…</t>
  </si>
  <si>
    <t>RT @JuanLuisCasCo: Camas hospitalarias por cada 1.000 habitantes. BancoMundial Saquen sus conclusiones: 🇨🇺 Cuba 5,2 🇦🇷 Arg 5,0 🇺🇸 EU 2,9…</t>
  </si>
  <si>
    <t>El sistema de producción y distribución de alimentos no se cierra en el confinamiento Sus trabajadores deben tener… https://t.co/BTYUZDSWPp</t>
  </si>
  <si>
    <t>Wuhan se alista para abrir su estación de trenes. Cómo hubiera funcionado de bien, Aguas de Bogotá, en esta emergen… https://t.co/DasED03RIR</t>
  </si>
  <si>
    <t>Trate de comprar productos a los campesinos. No es conveniente los importados por su precio excesivo dada la devalu… https://t.co/F2C2abOWXL</t>
  </si>
  <si>
    <t>Icetex y toda la banca deben dejar de cobrar durante la epidemia las cuotas de deudas y no cargarlas a interés.</t>
  </si>
  <si>
    <t>Sampues, Sucre, exige agua potable y alimentos. La conglomeracion puede ser fatal. El ejército debe elaborar un… https://t.co/jHdAzb5leb</t>
  </si>
  <si>
    <t>Forza Italia Fuerza Colombia https://t.co/6tUyJjDVrY</t>
  </si>
  <si>
    <t>RT @petrogustavo: Icetex y toda la banca deben dejar de cobrar durante la epidemia las cuotas de deudas y no cargarlas a interés.</t>
  </si>
  <si>
    <t>RT @SenorCaicedo: Aeropuerto Rafael Nuñez de Cartagena, Colombia. Naditica voy a decir. (Así es muy berraco). https://t.co/H4Tv3lB1Ng</t>
  </si>
  <si>
    <t>Por eso es tan importante lograr revitalizar la reserva Thomas Van Der Hammen, será la forma de educar en el respet… https://t.co/jeNjKcMmi2</t>
  </si>
  <si>
    <t>RT @fdbedout: La Cuarentena será dura, con el paso de los días más difícil pero su éxito depende de su estricto cumplimiento. Este fue el a…</t>
  </si>
  <si>
    <t>Vamos a publicar un decálogo de las medidas que creemos deben tomarse con urgencia por los mandatarios nacionales y… https://t.co/WP4Gx1oSkI</t>
  </si>
  <si>
    <t>https://t.co/2nG1qNidzt</t>
  </si>
  <si>
    <t>https://t.co/69dkuax9Hq</t>
  </si>
  <si>
    <t>https://t.co/vScI59Of1l</t>
  </si>
  <si>
    <t>https://t.co/bZjJivGyAK</t>
  </si>
  <si>
    <t>https://t.co/OlLENlT6SW</t>
  </si>
  <si>
    <t>https://t.co/P5PNX8V9TI</t>
  </si>
  <si>
    <t>https://t.co/JC2SOIHrfj</t>
  </si>
  <si>
    <t>https://t.co/DP0Hac8fjR</t>
  </si>
  <si>
    <t>https://t.co/GeHqv9O235</t>
  </si>
  <si>
    <t>RT @petrogustavo: Vamos a publicar un decálogo de las medidas que creemos deben tomarse con urgencia por los mandatarios nacionales y local…</t>
  </si>
  <si>
    <t>RT @petrogustavo: Que medidas tomar desde el gobierno en plena cuarentena: Cesar el pago de deudas bancarias sin causar intereses. Cesar…</t>
  </si>
  <si>
    <t>RT @HOLLMANMORRIS: Acá el audio de lo que pasó en la llamada de @IvanDuque a @petrogustavo. Parte 1 Unidos, con las medidas correctas y en…</t>
  </si>
  <si>
    <t>Bogotá Humana logró establecer por 3 años, mil equipos de salud en el territorio que atendieron a 3.800.000 persona… https://t.co/sdPrBTQIey</t>
  </si>
  <si>
    <t>RT @ColegioMedicoCo: La principal forma de prevenir el contagio es evitar el contacto con otras personas, por favor quédate en casa y ayúda…</t>
  </si>
  <si>
    <t>RT @CaroOC_: Hola! Necesito ayuda de algún médico o persona experta en el tema. Llevo 3 días con fiebre de 38.5, congestión, dolor de cabez…</t>
  </si>
  <si>
    <t>La gente que retorna a Venezuela lo esta haciendo por trochas desde nuestro país sin mayor control sanitario Hay q… https://t.co/nKZEs5BkmN</t>
  </si>
  <si>
    <t>Claudia puede usar gratuidad del consumo mínimo de agua que logramos para estrato 1 y 2 y extenderlo a todos El pr… https://t.co/ksw7L3ys5v</t>
  </si>
  <si>
    <t>Le solicito al alcalde de Medellin, intervenir la clínica de saludcoop abandonada y ponerla al servicio del tratami… https://t.co/7aS5Esv7cI</t>
  </si>
  <si>
    <t>Todos los propietarios de impresoras 3D deben ponerse en red, crear una asociación y moverse hacia la posibilidad d… https://t.co/mMp4Juw4cK</t>
  </si>
  <si>
    <t>Hasta este momento después de 800 muertos diarios, Italia decide suspender la actividad productiva. En esto de re… https://t.co/QesL1an3S9</t>
  </si>
  <si>
    <t>RT @petrogustavo: Claudia puede usar gratuidad del consumo mínimo de agua que logramos para estrato 1 y 2 y extenderlo a todos El presiden…</t>
  </si>
  <si>
    <t>En mi opinión el servicio se transmilenio y transporte publico debe ser suspendido desde el martes a primera hora.… https://t.co/DfniAiefDv</t>
  </si>
  <si>
    <t>Claudia debe detener el martes el transmilenio y el sistema masivo de transporte, los carriles de transmilenio pued… https://t.co/NlGft3AMtf</t>
  </si>
  <si>
    <t>Si el Estado, por orden de Duque, paga los servicios públicos y la distribución de alimentos para las personas en e… https://t.co/MTGQvn1Ggo</t>
  </si>
  <si>
    <t>El incremento del gasto social y sobretodo en salud que trae la epidemia en medio de un déficit presupuestal en cre… https://t.co/d3ca0ZlIcV</t>
  </si>
  <si>
    <t>Además del confinamiento obligatorio , tenemos que tener un fuerte fortalecimiento hospitalario y de salud preventi… https://t.co/WkrQ2AGHMF</t>
  </si>
  <si>
    <t>Solo hay una iniciativa de aumentar UCIs, Unidades de cuidado intensivo en todo el país, y no viene del Estado, es… https://t.co/a1oknFzu1c</t>
  </si>
  <si>
    <t>Antes de aplaudir porque tendremos una venganza contra los que se fueron de vacaciones, exijamos que se comunique p… https://t.co/aJLedRTN4z</t>
  </si>
  <si>
    <t>RT @heidy_up: #Denuncia | Cabildo Wounaan Nonam en Ciudad Bolívar con 600 habitantes, necesita con urgencia ayuda humanitaria en mercado, p…</t>
  </si>
  <si>
    <t>RT @RuthQuevedoF: Concejal @heidy_up los recicladores están desesperados más de 4 meses sin pago ni @ClaudiaLopez ni @Uaesp responde. Ya la…</t>
  </si>
  <si>
    <t>RT @wasgyofx: #ALERTA Sucede en #Ibagué nos envían este video de la cárcel de picaleña, le están metiendo candela y los presos se están esc…</t>
  </si>
  <si>
    <t>Bogotá es el principal foco de la infección y esta creciendo aceleradamente, debe comprar masivamente pruebas de de… https://t.co/zDOrKqmWCA</t>
  </si>
  <si>
    <t>RT @ColombiaHumana_: Gustavo Petro pide al FMI que perdone deuda de países latinoamericanos por el coronavirus #GraciasPetro https://t.co/s…</t>
  </si>
  <si>
    <t>Toda la información sobre que no se pagarían servicios públicos terminó siendo irreal Presionar desde la ciudadaní… https://t.co/u90qXowWWJ</t>
  </si>
  <si>
    <t>El virus de acuerdo a la medición del gobierno se disparó en más del 30% ayer, fundamentalmente en Bogotá. No se p… https://t.co/nWzjWE43b9</t>
  </si>
  <si>
    <t>Después de tanta tragedia en Italia, hasta ayer se ordenó el cierre de empresas y fabricas. La tragedia italiana s… https://t.co/qjmqipIvAq</t>
  </si>
  <si>
    <t>Samuel la deficiencia de camas se puede llenar en primera fase usando los hoteles de la ciudad de Barranquilla para… https://t.co/f9jL37Hj0C</t>
  </si>
  <si>
    <t>Con el virus no se puede jugar Anunciar que se dejan de pagar servicios públicos para después de seis horas retrac… https://t.co/T4NQxuE2hS</t>
  </si>
  <si>
    <t>Rafael creo que el hotel Tequendama, en Bogotá, de propiedad de las Fuerzas Armadas, debe ponerse ya al servicio de… https://t.co/WYig4h9QbY</t>
  </si>
  <si>
    <t>RT @IvanCepedaCast: 1/3 Llevo 10 años denunciando desde el Congreso el hacinamiento carcelario: he visitado 40 establecimientos donde están…</t>
  </si>
  <si>
    <t>RT @PrensaRural: #ATENCION || Muy grave situación en la cárcel Modelo. Reclusos denuncian un número indeterminado de heridos y muertos lueg…</t>
  </si>
  <si>
    <t>Le solicito al alcalde y el gobernador de Cundinamarca tomar posesión de la clínica de saludcoop en La Calera y pon… https://t.co/cvyG8UIb5n</t>
  </si>
  <si>
    <t>Duque debe suspender el pago del servicios públicos y deudas, los primeros con cargo a presupuesto y la falta de co… https://t.co/plylrhgsvK</t>
  </si>
  <si>
    <t>La Cruz Roja debe entrar de inmediato a las cárceles, parece que hubo una masacre allí. ¿Cómo desconglomerar a los… https://t.co/gXxx9HCj0N</t>
  </si>
  <si>
    <t>No sirve tener un gerente al frente de la epidemia, las epidemias no se manejan así. Fundamentalismo neoliberal se… https://t.co/XVDI0AotTx</t>
  </si>
  <si>
    <t>RT @petrogustavo: Duque debe suspender el pago del servicios públicos y deudas, los primeros con cargo a presupuesto y la falta de cobro de…</t>
  </si>
  <si>
    <t>Puedo entender el afán de algunos sectores políticos en aplaudir y aplaudir, pero eso no nos puede dejar ciegos. S… https://t.co/MFC4G99QiA</t>
  </si>
  <si>
    <t>En Bogotá debe declararse la urgencia manifiesta. Comprar masivamente kits se pruebas Contratar todas las persona… https://t.co/Wv2ZmLRWFY</t>
  </si>
  <si>
    <t>RT @carolltejada: Las mujeres en el Buen Pastor también se pararon. Tienen todo el derecho a exigir atención en salud y ganantias ante #COV…</t>
  </si>
  <si>
    <t>La falta de pagos al personal de salud se debe a la falta de pago de las EPS a los hospitales públicos y privados.… https://t.co/G1jxqyEea6</t>
  </si>
  <si>
    <t>Los Char tienen un banco: Serfinansa, y desde allí le dieron un crédito por más de un millón de dolares al ÑÑ para… https://t.co/LEwk1TDMkB</t>
  </si>
  <si>
    <t>El ejército debe garantizar agua potable en los puntos de ausencia del servicio y construir la red de distribución… https://t.co/dyi45TyIOh</t>
  </si>
  <si>
    <t>RT @HOLLMANMORRIS: 1 Debemos actuar rápidamente y decisivamente más allá de generar titulares vacíos . ¡URGENTE según analistas se proyecta…</t>
  </si>
  <si>
    <t>RT @petrogustavo: Antes de aplaudir porque tendremos una venganza contra los que se fueron de vacaciones, exijamos que se comunique pública…</t>
  </si>
  <si>
    <t>RT @Gudari75: ¡Joder! ¿Por qué aquí no hay nadie al mando que lo tenga la mitad, aunque sólo fuera la mitad, de claro que lo tiene @nayibbu…</t>
  </si>
  <si>
    <t>Esto es mentiroso. En las cárceles simplemente subió el desespero. Al estar hacinados el virus se transmitiría en… https://t.co/Fin384suI9</t>
  </si>
  <si>
    <t>RT @MariaMatusv: Claudia dice algo y luego lo cambia. Confunde a los ciudadanos. Primero, servicios públicos para todos. Ahora, no será así…</t>
  </si>
  <si>
    <t>RT @piedadcordoba: Amigos de la derecha, ¿ahora sí entienden cuándo los mamertos hablamos de defender la salud pública? ¿ahora sí comprende…</t>
  </si>
  <si>
    <t>RT @andres20ad: Así funciona la salud privada en Chile... En la Clínica Alemana no sólo debes pagar el costo del test #COVIDー19 ($49.800)…</t>
  </si>
  <si>
    <t>El confinamiento hasta ahora es poroso, haberlo llamado simulacro por 4 días sonó a juego y puente, mantener el tra… https://t.co/qI5Z5ZgHO9</t>
  </si>
  <si>
    <t>RT @JMVivancoHRW: Colombia: las autoridades deben entregar urgentemente un parte oficial sobre las protestas y motines ocurridos anoche en…</t>
  </si>
  <si>
    <t>Como ven aquí hay gente sin tapabocas y con las manos desnudas cogiendo plásticos de envoltura de alimentos de pri… https://t.co/4FbV0MbJLT</t>
  </si>
  <si>
    <t>En Bogotá hubo anoche una masacre de presos, centenares de heridos según la defensoría del pueblo y al menos 21 ase… https://t.co/MvERERjRcM</t>
  </si>
  <si>
    <t>RT @Yezid_Ar_D: Pier Paolo Pasolini ante la tumba de Antonio Gramsci. Entramos a un lugar desconocido. Todo está por ver. https://t.co/BrtE…</t>
  </si>
  <si>
    <t>Ahora tenemos más muertos por la masacre en las cárceles, 23 en total, que por el virus; esto se llama incapacidad… https://t.co/slQUQy7SEH</t>
  </si>
  <si>
    <t>Este es un hospital provisional para enfermos leves en España Se hizo en un espacio como los pabellones de Corferi… https://t.co/f9qBYTf2AK</t>
  </si>
  <si>
    <t>Este hospital instalado y desinstalado en China en 10 días se hizo con la mima tecnología instalable de los jardine… https://t.co/WMg3GiV63L</t>
  </si>
  <si>
    <t>RT @AntonioCR1974: #PetroTeniaRazon @petrogustavo denunció, como siempre ha denunciado, el débil e insuficiente Sistema de Salud de Colomb…</t>
  </si>
  <si>
    <t>RT @petrogustavo: En Bogotá debe declararse la urgencia manifiesta. Comprar masivamente kits se pruebas Contratar todas las personas con…</t>
  </si>
  <si>
    <t>RT @petrogustavo: No sirve tener un gerente al frente de la epidemia, las epidemias no se manejan así. Fundamentalismo neoliberal se llama…</t>
  </si>
  <si>
    <t>Los asesinos han decidido exterminar a los excombatientes de las Farc, y aprovechan el confinamiento. Lo que busca… https://t.co/tMIdegdwo1</t>
  </si>
  <si>
    <t>Las medidas del presidente del Salvador, son las mimas que le propongo a Duque: No pago de deudas, no pago de arri… https://t.co/MuGR93HFmH</t>
  </si>
  <si>
    <t>Un simulacro no se puede hacer en medio del terremoto. Han comenzado saqueos en el centro de Bogotá. Le pido a Du… https://t.co/3ZblALWvbN</t>
  </si>
  <si>
    <t>En realidad no hay derecho alguno que justifique esta masacre; quienes la perpretaron no tienen ninguna idea del re… https://t.co/ZerLMYfkqr</t>
  </si>
  <si>
    <t>Una cosa es libertad de cultos, que respeto, otra estafar a la gente. https://t.co/fopq03J6ES</t>
  </si>
  <si>
    <t>RT @petrogustavo: Las medidas del presidente del Salvador, son las mimas que le propongo a Duque: No pago de deudas, no pago de arriendos…</t>
  </si>
  <si>
    <t>Unos envían bombas otros envían médicos. https://t.co/mlK8stAnUW</t>
  </si>
  <si>
    <t>RT @CesarPachonAgro: Está claro que no es tiempo para amantes del libre mercado ni para medidas tibias. El riesgo del colapso económico es…</t>
  </si>
  <si>
    <t>En confinamiento y el transmilenio ahí. https://t.co/M27yL5Svpf</t>
  </si>
  <si>
    <t>Es hora de un análisis crítico de los sistemas de aseguramiento privado, como el que ha seguido Colombia, frente al… https://t.co/nzC0vkfZdR</t>
  </si>
  <si>
    <t>RT @SenorCaicedo: Que se hunda el mundo, pero las empresas no se tocan. La grave crisis provocada por la pandemia del virus Covid-19 ha de…</t>
  </si>
  <si>
    <t>RT @rogerdouglascm: Que horror..... https://t.co/g2irT698jA</t>
  </si>
  <si>
    <t>RT @SenorCaicedo: A @petrogustavo le hacen más caso en el exterior (?) Gobernador de Nueva York pide nacionalizar fabricación de equipos mé…</t>
  </si>
  <si>
    <t>RT @PresidencialVen: #DeInterés 📰 | Decretan supresión del pago de alquileres de comercios y vivienda principal https://t.co/h6SBinglJB @N…</t>
  </si>
  <si>
    <t>Lo más conveniente es que en los peajes de entrada a Bogotá y Medellín debería haber decenas de miles de pruebas pa… https://t.co/V8xj6mb4Xm</t>
  </si>
  <si>
    <t>Qué armas mataron a los 23 presos? ¿Armas de fuego? ¿Fue el Estado quien los asesino? https://t.co/F8B4UZ4QOg</t>
  </si>
  <si>
    <t>RT @HOLLMANMORRIS: Atención Urgente informa #TercerCanal . Secretaria de Salud de Yopal Ingrid Zoraya Criollo resulta positivo de COVI9 des…</t>
  </si>
  <si>
    <t>En Bogotá y por decisión de la alcaldía y la EAB se puede entregar gratuitamente el consumo mínimo vital de agua… https://t.co/BpKhuTOVY0</t>
  </si>
  <si>
    <t>La ONU recoge la versión que no había ninguna fuga de presos, solo una protesta para exigir una política carcelaria… https://t.co/FRY3dZhWZD</t>
  </si>
  <si>
    <t>Duque necesita modificar leyes para afrontar la epidemia, fundamentalmente la ley 100, y cambiar partidas presupues… https://t.co/2355WKQoeN</t>
  </si>
  <si>
    <t>RT @finseya5: @petrogustavo transformar el financiamiento de la oferta en subsidio a la demanda imponiéndose en la práctica un agente priva…</t>
  </si>
  <si>
    <t>Si las proyecciones del doctor Diego Roselli se aproximan a la realidad, en 15 días tendremos colapsada la red hosp… https://t.co/2gwjx2ognw</t>
  </si>
  <si>
    <t>RT @ma_eugeniam: Conviene aclarar al @CONCEJALCELIO y al @ConcejoDeBogota que el PEMP para el San Juan de Dios que elaborara la @un_bogota…</t>
  </si>
  <si>
    <t>RT @finseya5: @petrogustavo en tiempos de pandemia les comparto que en reuniones de "coordinación con Eps e IPS" estas solo preguntan: Y q…</t>
  </si>
  <si>
    <t>RT @petrogustavo: Si las proyecciones del doctor Diego Roselli se aproximan a la realidad, en 15 días tendremos colapsada la red hospitalar…</t>
  </si>
  <si>
    <t>Hoy tenemos 6 enfermos en estado critico usando UCIs. Las camas aquí dispuestas son solo camas, si se les agrega un… https://t.co/yCC88tyaFq</t>
  </si>
  <si>
    <t>El programa presentado por Duque se centra en la red de asistencia social que tiene el estado, lo que es positivo p… https://t.co/thTUiMA7YQ</t>
  </si>
  <si>
    <t>Sigue sin respuesta lo que podría ser una ayuda generalizada a toda la población: congelamiento de las deudas y arr… https://t.co/tccsrg7NTD</t>
  </si>
  <si>
    <t>Duque anuncia seis billones para la salud pero no explico más, ojo, esos dineros deben ir directo a la prevención y… https://t.co/ZsUGovTkoz</t>
  </si>
  <si>
    <t>Mientras Atlántico hace el esfuerzo de recuperar el hospital universitario en Bogotá se va a demoler el hospital un… https://t.co/i3I0wLaZHW</t>
  </si>
  <si>
    <t>Hoy convocamos a los bancos al rescate de los hospitales. https://t.co/OiJBJTKuDG</t>
  </si>
  <si>
    <t>Como pueden observar en el famoso hospital de Wuhan, cuya instalación se hizo en 10 días, las camas están ligadas a… https://t.co/q6TuWncBxW</t>
  </si>
  <si>
    <t>Todos los alcaldes y gobernadores deben decirle a sus ciudadanías cuales son los planes para ampliar la capacidad h… https://t.co/uq9pyVh7P6</t>
  </si>
  <si>
    <t>El problema es que el número actual de UCIs ya están copadas con los enfermos criticos diferentes a los enfermos de… https://t.co/0bgvcbWlRv</t>
  </si>
  <si>
    <t>RT @petrogustavo: El programa presentado por Duque se centra en la red de asistencia social que tiene el estado, lo que es positivo para lo…</t>
  </si>
  <si>
    <t>Vargas Lleras propone los dos objetivos que hemos levantado tambien: 1. Un confinamiento drástico con alivios sici… https://t.co/Qetm7C2efj</t>
  </si>
  <si>
    <t>Chile en su extremo neoliberalismo no para la producción y la economía, el virus esta ahí contaminando. El confina… https://t.co/PL0r2yJp4k</t>
  </si>
  <si>
    <t>Cada vez que pidas cosas innecesarias por ventas a domicilio, incentivas a empresarios irresponsables que están pon… https://t.co/1d3ljgtlDp</t>
  </si>
  <si>
    <t>Me informan que hay déficit mundial de respiradores, claves para atender los enfermos graves del virus El gobierno… https://t.co/yxOzlURnia</t>
  </si>
  <si>
    <t>RT @pelurabar: 'Hay que evitar que esto recaiga sobre los trabajadores': Petro https://t.co/urkjQM6mDZ vía @eltiempo</t>
  </si>
  <si>
    <t>Todo el sector de la mineria.debe suspender inmediatamente actividades. El gobierno debe garantizar que no sean de… https://t.co/eWy1Apu2Sk</t>
  </si>
  <si>
    <t>RT @HOLLMANMORRIS: Hace dos dias dije esto , la tendencia aumenta en Bogotá, ¿Que medidas se están implementando YA en Bogotá para consegui…</t>
  </si>
  <si>
    <t>RT @Solanopo: Según New York Times "los países del sur de Europa recortaron la atención médica en la crisis del 2008 para cumplir con los l…</t>
  </si>
  <si>
    <t>Las comunidades nasa, en el Cauca, se aislan del hombre blanco, de toda la sociedad. Bien. Las comunidades indígen… https://t.co/WNFj8LMnlP</t>
  </si>
  <si>
    <t>El gran compromiso social del.empresariado de Colombia es pagar sus impuestos y no estar usando gobiernos para reba… https://t.co/IMZC02W8YZ</t>
  </si>
  <si>
    <t>RT @PoliciasSpain: "Mi Miguel ,el mendigo que le llevaba yo comida y le regalé mi abrigo, amaneció hoy muerto en la calle, se nos olvidó qu…</t>
  </si>
  <si>
    <t>RT @petrogustavo: Todos los alcaldes y gobernadores deben decirle a sus ciudadanías cuales son los planes para ampliar la capacidad hospita…</t>
  </si>
  <si>
    <t>RT @petrogustavo: Hoy convocamos a los bancos al rescate de los hospitales.</t>
  </si>
  <si>
    <t>RT @petrogustavo: Hoy tenemos 6 enfermos en estado critico usando UCIs. Las camas aquí dispuestas son solo camas, si se les agrega una bala…</t>
  </si>
  <si>
    <t>¿Han preguntado si los laboratorios para análisis de muestras para detectar el virus estan trabajando 24/24 y todos… https://t.co/PN6ZmJcNPN</t>
  </si>
  <si>
    <t>Le pido a todos los nodos de Colombia Humana en el exterior enlazarse en red. Debe ser denunciada la.masacre de la… https://t.co/KajKvT3635</t>
  </si>
  <si>
    <t>Roy tiene razón . Pero hay un problema mayor. La atención de la emergencia vital no es un problema de liquidez de… https://t.co/yBBuLAmgjb</t>
  </si>
  <si>
    <t>EEUU tuvo más de 10.000 casos detectados ayer. Superó a Italia en número de nuevos casos y será el nuevo foco mund… https://t.co/qjOC1LeoYE</t>
  </si>
  <si>
    <t>Continúa el apoyo a nuestra propuesta de condonar la deuda pública externa o al menos una moratoria sin intereses,… https://t.co/3R2j5j1rq8</t>
  </si>
  <si>
    <t>RT @petrogustavo: Duque necesita modificar leyes para afrontar la epidemia, fundamentalmente la ley 100, y cambiar partidas presupuestales…</t>
  </si>
  <si>
    <t>RT @petrogustavo: Roy tiene razón . Pero hay un problema mayor. La atención de la emergencia vital no es un problema de liquidez de los ba…</t>
  </si>
  <si>
    <t>Este no es el momento de defender el peso, ni dolarizar la economía, para eso hay que dejar la dependencia del petr… https://t.co/8WRKLEJMKR</t>
  </si>
  <si>
    <t>Están descubriendo que todo el presupuesto nacional y local le da liquidez a los bancos.desde que acabaron la banca… https://t.co/H2eAHdSN4b</t>
  </si>
  <si>
    <t>Si el fonpet pasa a al fondo para financiar la emergencia, lo que tenemos es que se va a usar dinero de pensionados… https://t.co/SoqpWR6Xsx</t>
  </si>
  <si>
    <t>¿De donde puede salir el dinero para financiar la emergencia? Por decreto de conmoción se puede poner un tributo c… https://t.co/xU5gZ3k1D4</t>
  </si>
  <si>
    <t>¿Por qué le preocupa al presidente la liquidez de los bancos? Porque se sigue priorizando la economía sobre la vid… https://t.co/IpfGFIv1p2</t>
  </si>
  <si>
    <t>El problema no es solo que se quiera usar dinero que no es de los entes territoriales sino de los pensionados para… https://t.co/HhEoaIhRTo</t>
  </si>
  <si>
    <t>Endeudar más a la gente, a las empresas y al Estado, a través del confinamiento y el tratamiento de la pandemia so… https://t.co/5yUmCmsAr3</t>
  </si>
  <si>
    <t>La gran diferencia entre la propuesta de Duque y la nuestra es que en la primera ganan los bancos y en la nuestra,… https://t.co/twgF4ZdXNQ</t>
  </si>
  <si>
    <t>RT @petrogustavo: La gran diferencia entre la propuesta de Duque y la nuestra es que en la primera ganan los bancos y en la nuestra, las u…</t>
  </si>
  <si>
    <t>El fonpet son transferencias de la Nación para pensiones El presupuesto incluido el distrital, lo consignan en ban… https://t.co/Ps7k0Q2gpO</t>
  </si>
  <si>
    <t>RT @petrogustavo: Están descubriendo que todo el presupuesto nacional y local le da liquidez a los bancos.desde que acabaron la banca públi…</t>
  </si>
  <si>
    <t>Es clave no engañarse en demagogia El fonpet desde que los fundaron esta consignado en los bancos y les da liquide… https://t.co/kSIHKV9V4q</t>
  </si>
  <si>
    <t>RT @Hail_Gu: Claudia: NO ME VOY A HACER LA PRUEBA! *Claudia se hace la prueba Claudia: NO VAN A VOLVER A BOGOTA! *Claudia les hace un plan…</t>
  </si>
  <si>
    <t>El fonpet y el FAE son fondos de la Nación, no de las entidades territoriales, El gobierno se financia con préstam… https://t.co/mTpRgEXpdS</t>
  </si>
  <si>
    <t>Los préstamos se tramitan a través de Banco de la República que los entrega en dólares, por la volatilidad. ¿Cual… https://t.co/lFWVVxzq6T</t>
  </si>
  <si>
    <t>Si el Estado compra cartera de las EPS, estas adeudan al Estado, pero los hospitales reciben el dinero de cara a la… https://t.co/MxF6Q8BIJc</t>
  </si>
  <si>
    <t>Sin embargo el decreto no especifica que es empresa de interés nacional donde se invertirían recursos. Eso Dique d… https://t.co/tk2aDB8L4J</t>
  </si>
  <si>
    <t>RT @petrogustavo: Los préstamos se tramitan a través de Banco de la República que los entrega en dólares, por la volatilidad. ¿Cual el pro…</t>
  </si>
  <si>
    <t>RT @petrogustavo: El fonpet y el FAE son fondos de la Nación, no de las entidades territoriales, El gobierno se financia con préstamos de…</t>
  </si>
  <si>
    <t>Los asuntos claves de la epidemia no son contestadas por Duque El confinamiento es muy poroso y evadible No se at… https://t.co/MnQdDLgpiV</t>
  </si>
  <si>
    <t>Este artículo que cita @graffitiborrao lanza una hipótesis científica El virus se queda en el aire hasta días sos… https://t.co/EofiPwz2IU</t>
  </si>
  <si>
    <t>La ministra de minas esta interesada en que no se pare la producción de carbón y petróleo y lo reviste bajo la form… https://t.co/pYurSPVHDh</t>
  </si>
  <si>
    <t>El decreto 444 no quita recursos de las entidades territoriales y bien usado puede financiar el fortalecimiento de… https://t.co/VmbxeHZPg5</t>
  </si>
  <si>
    <t>Claro que el decreto 444 podría usarse mal; pero este es un instrumento para abordar la emergencia a partir de fort… https://t.co/puPyl3Q4Fz</t>
  </si>
  <si>
    <t>Es importante que la protesta y el control social no se guíe por la demagogia y el afán de conseguir imagen buena d… https://t.co/V04oKSKYCS</t>
  </si>
  <si>
    <t>Cese al fuego mundial.propone la ONU. ¿Será que los grupos armados en Colombia atienden esta orden de la humanidad? https://t.co/YcMSXrdawA</t>
  </si>
  <si>
    <t>Existe en nuestra sociedad burbujas informativas. Mucha gente aún no sabe que pasa en el mundo ni la gravedad del v… https://t.co/MXMq2xmJZW</t>
  </si>
  <si>
    <t>RT @gi_bogota: Mañana empiezan las clases virtuales en el Goethe-Institut. Si quieres practicar, visita nuestra página "Practica alemán gra…</t>
  </si>
  <si>
    <t>Perdidas ante el virus. La falta de coordinación entre gobiernos locales y nacional exponen hoy innecesariamente a… https://t.co/bYRU2H7FPY</t>
  </si>
  <si>
    <t>Baltasar Garzón uno de los luchadores contra la ignominia en Colombia, ha enfermado del virus en España. Fuerza. https://t.co/61sotO4T08</t>
  </si>
  <si>
    <t>Dio un paso el gobierno suspendiendo el cobro de cuotas del Icetex; lo mismo hay que hacer con todos los cobros de… https://t.co/Mwo31EkSUt</t>
  </si>
  <si>
    <t>"Nadie se va a quedar sin comida y sin techo en Bogotá" Hay que abrir los hoteles a las personas sin techo mientra… https://t.co/1GAIH891Je</t>
  </si>
  <si>
    <t>En época de pandemia no es con represión como se va a contener la gente que busca como comer. Cancelación de pago… https://t.co/k5HfiyMyRW</t>
  </si>
  <si>
    <t>Las tensiones sociales y la desigualdad inmensa se hace presente.en la necesidad de confinarse. Unos tienen como, l… https://t.co/9NbwkkWFx7</t>
  </si>
  <si>
    <t>El grito del pueblo: comida. La gente no quiere desobedecer la medida de confinamiento, pero esta no se puede hace… https://t.co/PYqm6cbeP2</t>
  </si>
  <si>
    <t>San Cristóbal, Bogotá. "Nadie se quedará sin techo ni comida" pero lo que mandan son gases. https://t.co/wK88tDRfv8</t>
  </si>
  <si>
    <t>Disturbios en la Cárcel de Cúcuta. NO MATEN MAS PRESOS. El gobierno debe evaluar cuales presos se pueden liberar.… https://t.co/oiX0Xjfep1</t>
  </si>
  <si>
    <t>Las empresas no esenciales; deben saber que les sale más caro producir y no vender. Es más barato resguardar la vid… https://t.co/CDFmvs2cw8</t>
  </si>
  <si>
    <t>RT @ismene2: Ve, así como nunca faltó el dinero para dotar con las mejores armas a los héroes de verde, así mismo, los héroes de blanco deb…</t>
  </si>
  <si>
    <t>Hay que expedir una medida que castigue al arrendador que expulse a sus inquilinos. El no pago de arriendos es fun… https://t.co/mPE0adNdYd</t>
  </si>
  <si>
    <t>El ejército es la entidad que mejor puede llevar agua potable a todos los puntos donde no exista, sea de muy mala c… https://t.co/JuRMCTYqFW</t>
  </si>
  <si>
    <t>Claudia, @ClaudiaLopez extienda el consumo vital gratuito de agua potable a toda Bogotá, no es sino hacer reunión v… https://t.co/7n76NeEo2S</t>
  </si>
  <si>
    <t>Todos los sindicatos del sector minero y petrolero busquen cesar la extracción. Proteger la vida de los trabajador… https://t.co/3qDIyWlQ10</t>
  </si>
  <si>
    <t>Solo he hablado una vez con el presidente para recibir su llamada de gratitud por apoyar la medida de confinamiento… https://t.co/n1eYdIkAsM</t>
  </si>
  <si>
    <t>No funcionará la lucha por la vida en Colombia sin un amplio plan de ayuda social. Vale mucho dinero, no es sufici… https://t.co/YrkKWb6Jic</t>
  </si>
  <si>
    <t>RT @sacedator: Esta es la fotografía de un nuevo escenario geopolítico (militares italianos y rusos planificando el despliegue de los últim…</t>
  </si>
  <si>
    <t>Con todo respeto Sara, no me interesa acercarme a la derecha, al contrario, el capital y su derecha se hunden con e… https://t.co/mdpP0OQedh</t>
  </si>
  <si>
    <t>"Habrá techo y comida para todos" https://t.co/IzNdfrjwla</t>
  </si>
  <si>
    <t>"Comida y techo para todos" https://t.co/J2EQiW89gJ</t>
  </si>
  <si>
    <t>Muy interesante el debate entre secciones del estado, pero eso no sirve para enfrentar el virus, todo lo que tengam… https://t.co/zaNWxS3vRU</t>
  </si>
  <si>
    <t>RT @GustavoBolivar: #SerSolidariosEs parar la compra de aviones de guerra por $4.5 billones y destinar ese dinero a dotar UCIs y ayudas a i…</t>
  </si>
  <si>
    <t>Que yo iba a volver a Colombia como en Venezuela, decían. https://t.co/HS8Cz9VX9e</t>
  </si>
  <si>
    <t>RT @ColBolivariana: Meter a las personas, con hambre, sin plata, con deudas, el agua cortada, el gas doméstico por las nubes, con el arrien…</t>
  </si>
  <si>
    <t>Vuelvo a repetir una y otra vez: Aplazar pagos de la deuda sin cobro de interés, para personas, empresas y Estado.… https://t.co/4Dl57KYBNB</t>
  </si>
  <si>
    <t>La Organización Mundial de la Salud lo dijo: "Esto no es un simulacro". El coronavirus no es una gripa,. Es una b… https://t.co/CZHGc3VemO</t>
  </si>
  <si>
    <t>El problema Juan Luis, es que la mayoría de los trabajadores de la salud están por contrato y por tanto, no se esti… https://t.co/bXjtsMloTo</t>
  </si>
  <si>
    <t>RT @JorgeOvalleB: Hoy 24 de marzo día 18 Colombia tiene tasa de contagio por cada 100 mil habitantes de 0,76 con 378 casos. Hoy inicia cua…</t>
  </si>
  <si>
    <t>RT @petrogustavo: Vuelvo a repetir una y otra vez: Aplazar pagos de la deuda sin cobro de interés, para personas, empresas y Estado. Cong…</t>
  </si>
  <si>
    <t>EPM puede extender el mínimo vital gratuito de agua potable a toda la ciudadanía de Medellin. https://t.co/9jUQh35vFW</t>
  </si>
  <si>
    <t>Si no se pagan deudas digamos por dos meses, que calculo será el confinamiento, se prolonga en dos meses el plazo t… https://t.co/0ijD3La0qM</t>
  </si>
  <si>
    <t>EEUU será mañana el país con mayor infección del virus. China protegió la vida EEUU protegió la economía, léase,… https://t.co/xcrcOfSOei</t>
  </si>
  <si>
    <t>#LaGuajiraNecesitaAyuda https://t.co/RDgbYMbXMP</t>
  </si>
  <si>
    <t>RT @Tabeeme91: Jajajajajajaja la historia completa de este personaje https://t.co/zaJ64ZU0f9</t>
  </si>
  <si>
    <t>RT @nytimes: Bogotá, Colombia, March 20. https://t.co/69IpUM8EUH https://t.co/on3SJTupxI</t>
  </si>
  <si>
    <t>RT @MirandaBogota: ¿Cómo es posible que @Compensar_info despidan a casi 2.000 mujeres cabeza de familia que trabajaban como auxiliares de c…</t>
  </si>
  <si>
    <t>¿Cuántas de esas camas tienen unidades de cuidado intensivo y ayudas respiratorias? ¿Cuándo el ministro de salud n… https://t.co/RF5W3KVJUw</t>
  </si>
  <si>
    <t>RT @EpicuroDeSamos_: #SanciónSocialAEmpresasInhumanas @petrogustavo @HOLLMANMORRIS @INPEC_Colombia @MovNaranja3 @YoAlejoV @hackerFiscalia…</t>
  </si>
  <si>
    <t>Ahora podremos entender bien como tener un país menos desigual le sirve a todos para proteger su vida. ¿Recuerdan… https://t.co/U50vZRGwJK</t>
  </si>
  <si>
    <t>RT @sergiodussan1: Gustavo Petro // Vladimir Putin https://t.co/IFq2huHdiQ</t>
  </si>
  <si>
    <t>La ruptura del acuerdo de sustitución voluntaria de cultivos co el campesinado, solo es gasolina para la guerra, l… https://t.co/OOFYJb5cF4</t>
  </si>
  <si>
    <t>Cuántas camas con unidades de cuidados intensivos, cuántas ayudas respiratorias, cuántos kits de pruebas, cuántos v… https://t.co/Lc0CtsjaSk</t>
  </si>
  <si>
    <t>Hay casi 400 quejas del rechazo que hacen las EPS para realizar las pruebas del virus, para ellas eso no es negocio… https://t.co/dko368JIdA</t>
  </si>
  <si>
    <t>RT @anateresabernal: Alcaldesa @ClaudiaLopez, cientos de personas que hoy fueron desalojadas de sus hogares esperan una solución en la Plaz…</t>
  </si>
  <si>
    <t>RT @Clafe64: @FranciscoporBta Y la caridad no puede remplazar al Estado , por eso es que tipo como los Char, están repartiendo mercado (as…</t>
  </si>
  <si>
    <t>En el mundo se escribirá la historia de como hacer un confinamiento en uno de los países más desiguales del mundo.… https://t.co/1soBg419Y0</t>
  </si>
  <si>
    <t>RT @QuinteroCalle: Nuestro equipo de la Alcaldía de Medellín revisó el decreto 444. Se pudo redactar de mejor forma para evitar que algunos…</t>
  </si>
  <si>
    <t>El virus no cambiara el capital, no perderá su lógica: buscar ganancia. Pero algo si cambiara: aumentará la concie… https://t.co/BoYT5VXOHK</t>
  </si>
  <si>
    <t>El virus que entra al cuerpo de la persona más pobre también puede llegar a la de la persona más poderosa. Por eso… https://t.co/3FAcgzrAqo</t>
  </si>
  <si>
    <t>Para quienes no hayan escuchado mi entrevista con Julio Sanchez Cristo, sobre las medidas para contener el virus, a… https://t.co/Gf2TBjrlML</t>
  </si>
  <si>
    <t>¿Cómo afrontar el tema de la desigualdad en Colombia? Si es en el campo hay que discutir el problema de la tenenci… https://t.co/EEj1rpKC2t</t>
  </si>
  <si>
    <t>Esta es la estación Molinos, hoy Esta Conglomeracion es mortal. Disminuyen la frecuencia de transmilenio para aho… https://t.co/LSqwqPuUbx</t>
  </si>
  <si>
    <t>La ventaja del carril exclusivo ya no existe sin congestión. Es mejor tener pasajeros en el anden a distancia prude… https://t.co/J0qvVmacnv</t>
  </si>
  <si>
    <t>Implementen gratuidad del servicio SITP y cambien rutas de acuerdo a las necesidades de la salud y las actividades esenciales</t>
  </si>
  <si>
    <t>Hay que parar tranmilenio. El SITP zonal es flexible y puede adecuar rutas y frecuencias a la actividad esencial E… https://t.co/EDhr3tKgKR</t>
  </si>
  <si>
    <t>Aquí se acabó lo poco avanzado. Aquí se demuestra que incluso la operación de transmilenio que es manejado desde el… https://t.co/vbI29GzbVk</t>
  </si>
  <si>
    <t>Señora alcaldesa la operac4ion de transmilenio es de exclusivo resorte de la empresa pública que usted dirige. Sup… https://t.co/Hj4Dz1E9hq</t>
  </si>
  <si>
    <t>RT @petrogustavo: Para quienes no hayan escuchado mi entrevista con Julio Sanchez Cristo, sobre las medidas para contener el virus, aquí la…</t>
  </si>
  <si>
    <t>RT @petrogustavo: Señora alcaldesa la operac4ion de transmilenio es de exclusivo resorte de la empresa pública que usted dirige. Supenda l…</t>
  </si>
  <si>
    <t>Llevamos 161 casos detectados del virus en Bogotá y es un subregistro. Si los empresarios no dejan de llamar a los… https://t.co/W8THtXz7Nu</t>
  </si>
  <si>
    <t>Las organizaciones sindicales deben ponerse en red, es muy marginal su uso en ellas, y ordenar parar la producción… https://t.co/IQCdIKVym0</t>
  </si>
  <si>
    <t>Este articulo le muestra los protocolos seguidos por China para contener el virus. Compare con Bogotá y Colombia y… https://t.co/KQXm9GTAGH</t>
  </si>
  <si>
    <t>Para quienes gustan de hablar de izquierda y derecha nunca olviden: Es de izquierda buscar que un Estado se financ… https://t.co/qtR9LuFMP8</t>
  </si>
  <si>
    <t>Prefiero hablar de política de la vida y políitica de la muerte que es más pertinente en estos tiempos Es una polí… https://t.co/TuBvUcZrVm</t>
  </si>
  <si>
    <t>Si esto lo puede hacer Bancolombia, no cobrar cuotas ni interes unilateralmente, porque Duque no expide un decreto… https://t.co/M1RtZTUQZ0</t>
  </si>
  <si>
    <t>La cesación de cobros de cuotas e intereses bancarios sobre deudas hipotecarias y de consumo puede hacerse extensiv… https://t.co/zVXAWPYHMV</t>
  </si>
  <si>
    <t>RT @SemanarioVOZ: Abogados y familiares llevan 24 horas sin respuestas sobre el paradero de Lizeth Rodríguez, Alejandra Méndez y Lina Jimén…</t>
  </si>
  <si>
    <t>Hasta el FMI y el Banco Mundial piden lo que con Rafael Correa y Alvaro García Linera y el Celag le propusimos al m… https://t.co/ISFByqKk5u</t>
  </si>
  <si>
    <t>A los ingenieros y arquitectos. Italia desarrolla usando los containers, que nos criticaban en Bogotá, cápsulas pa… https://t.co/pa1pOCBgwL</t>
  </si>
  <si>
    <t>RT @elsemblante: Una más de @petrogustavo. Esta vez a escala internacional.</t>
  </si>
  <si>
    <t>Italia tiene 3.489 pacientes en UCIs, Unidades de Cuidado Intensivo, Colombia tiene 5.000 UCIs en todo el país, per… https://t.co/dvOyYdqOJo</t>
  </si>
  <si>
    <t>RT @petrogustavo: Hasta el FMI y el Banco Mundial piden lo que con Rafael Correa y Alvaro García Linera y el Celag le propusimos al mundo.…</t>
  </si>
  <si>
    <t>Vuelvo a repetirle. @LuisErnestoGL , activen los pisos que adecuamos del San Juan de Dios, tiene redes de gases y… https://t.co/UBJj8MDYqg</t>
  </si>
  <si>
    <t>El transmilenio y similares en el país debe suspenderse totalmente: trabaja bajo una lógica de la aglomeración Se… https://t.co/VVPTp1Mwcc</t>
  </si>
  <si>
    <t>Cuando se afirma que el FONPET es dinero de las entidades territoriales se comete una gran equivocación. La Nación… https://t.co/ZQIohrFWpN</t>
  </si>
  <si>
    <t>Ayuda @angelamrobledo a que el distrito abra de inmediato las instalaciones sin estrenar del hospital San juan de D… https://t.co/MYo2nc3igy</t>
  </si>
  <si>
    <t>No hay un solo bus de transmilenio que no salga sino por orden de la empresa pública transmilenio que dirige la alc… https://t.co/up3Jmd5Xg6</t>
  </si>
  <si>
    <t>RT @petrogustavo: Ayuda @angelamrobledo a que el distrito abra de inmediato las instalaciones sin estrenar del hospital San juan de Dios, h…</t>
  </si>
  <si>
    <t>Venezuela tiene hoy un fuerte apoyo de China y Cuba para tratar la epidemia. Colombia esta sola. Solo nos apoyan s… https://t.co/LP2CNvh7lA</t>
  </si>
  <si>
    <t>No Alvaro. Si preferimos endeudarnos como Estado a través de los bonos, que los compran los bancos, solo generamos… https://t.co/ZVrW1h26BE</t>
  </si>
  <si>
    <t>Que miedo a la verdad sobre el genocidio en Colombia. Sin la verdad habrá más violencia, ya costó 200.000 muertos… https://t.co/9t4X56fMRg</t>
  </si>
  <si>
    <t>Va quedando algo claro, si la epidemia se trata con autoridades neoliberales o con medidas neoliberales, nos equivo… https://t.co/nnrlb7Qq2A</t>
  </si>
  <si>
    <t>RT @DemosCarajo: #IngresoMínimoVital durante el #Covid19Colombia: 🏡 Suspensión del pago de arriendos. 🍊🧹 Ingreso para alimentación y eleme…</t>
  </si>
  <si>
    <t>RT @DavidRacero: Hace un par de meses, @petrogustavo recordaba una vieja idea: hay días que parecen años y años que parecen décadas. Este…</t>
  </si>
  <si>
    <t>Esta es Wuhan. Este desarrollo basado en la depredación de la naturaleza ez la que destapa la muerte Dos caras ant… https://t.co/1BEmoy8M5b</t>
  </si>
  <si>
    <t>El virus ataca la frontera colombo/venezolana en su eslabón mas débil: dos indígenas con Coronavirus. Urge un ente… https://t.co/MlRt765QsB</t>
  </si>
  <si>
    <t>De las primeras iniciativas de fortalecer la red hospitalaria. El Magdalena fortalece el Hospital de Santa Marta. https://t.co/H2Xocb8dte</t>
  </si>
  <si>
    <t>RT @petrogustavo: Si esto lo puede hacer Bancolombia, no cobrar cuotas ni interes unilateralmente, porque Duque no expide un decreto para t…</t>
  </si>
  <si>
    <t>RT @ManosLimpiasCo: Nos ayudan con esta TT #AbranElSanJuanDeDios A ver si @ClaudiaLopez de una vez por todas da la orden de usar este hos…</t>
  </si>
  <si>
    <t>Si los más pobres no tienen cuenta bancaria, puede estar la plata, 150.000 millones pero no llega a la familia y no… https://t.co/7KuPTqEblM</t>
  </si>
  <si>
    <t>¿Cómo lograr a diferencia de lo que pasaba en Bogotá Humana que el bono alimentario no sea un mecanismo para colas… https://t.co/BykaNVFT5m</t>
  </si>
  <si>
    <t>Irlanda vuelve públicos todos los hospitales privados del país. Camino que debería seguir Colombia. El decreto 44… https://t.co/DMUXf85wYV</t>
  </si>
  <si>
    <t>Literalmente hoy todos los hospitales públicos y privados son de las EPS en la práctica. Ese régimen no sirve para… https://t.co/wOUYwMqCyu</t>
  </si>
  <si>
    <t>RT @ActualidadRT: Unos drásticos, otros relajados, impacientes aquellos, tranquilos los otros, algunos coordinados, otros cada quién por su…</t>
  </si>
  <si>
    <t>Las emisiones masivas de dólares por billones en EEUU podría traer como consecuencia, una caída del dolar y, por ta… https://t.co/Io1n0FEiH2</t>
  </si>
  <si>
    <t>Transmilenio es un distribuidor del virus. https://t.co/rM1FUhfsU5</t>
  </si>
  <si>
    <t>RT @JusticiaSanJuan: @GiordanoBrunoFi Habilitación y dotación de unidades Cuidado Intensivo y de Cuidados intermedios del Hospital San Juan…</t>
  </si>
  <si>
    <t>¿De qué le serviría a una familia pobre recibir 400.000 pesos si eso cuesta la pieza y los servicios? Las medidas… https://t.co/po2Lcdsp99</t>
  </si>
  <si>
    <t>RT @somosunitracoop: Cuánto más toca esperar para que @minsalud y dueños de las clínicas que manejaba Esimed realicen el proceso para s…</t>
  </si>
  <si>
    <t>La @Supersalud debe entregar ya a la Nación y a las entidades territoriales toda la red hospitalaria intervenida de… https://t.co/LJRqP5npDQ</t>
  </si>
  <si>
    <t>Si algo no puede hacerse con la gente de escasos recursos es endeudarla por servicios públicos Esta medida debe se… https://t.co/XloXjjzRj3</t>
  </si>
  <si>
    <t>Monseñor Barreto, Obispo de Quibdo pone el punto. 160 billones han ganado en 4 años las mil empresas más grandes d… https://t.co/N8LputmJUB</t>
  </si>
  <si>
    <t>RT @VTVcanal8: Presidente Maduro invita a sectores opositores a Mesa de Diálogo para la Salud ante coronavirus #SolidaridadYUniónNacional…</t>
  </si>
  <si>
    <t>RT @03Aluve: #AbranElSanJuanDeDios. Por qué no seguir la lucha para que los más humildes disfruten de la salud, para que sea lo que debe se…</t>
  </si>
  <si>
    <t>Le ha dado temor al gobierno nal congelar el cobro de las deudas al sistema bancario por el tiempo que dure el co… https://t.co/mRv3gPfkI8</t>
  </si>
  <si>
    <t>RT @Penalosadas: Se imaginan que los 2 BILLONES que van a desperdiciar en TransMilenio de la 68, se utilizarán para mejorar los hospitales…</t>
  </si>
  <si>
    <t>RT @Contravia: #PíldoraparalaMemoria Esto decía ⁦@MinSaludCol⁩ hace 2 meses mientras algunos tildaban de “alarmistas e irresponsables” a l…</t>
  </si>
  <si>
    <t>La mayor parte de la población situada en estrato 2 en el país y 2 y 3 en Bogotá, con núcleos importantes en estra… https://t.co/U1lw222ECz</t>
  </si>
  <si>
    <t>¿Recuerdan? https://t.co/d9w1pqJbAa</t>
  </si>
  <si>
    <t>RT @petrogustavo: Si algo no puede hacerse con la gente de escasos recursos es endeudarla por servicios públicos Esta medida debe ser camb…</t>
  </si>
  <si>
    <t>El grupo AVAL hoy vale menos de la mitad. Espero no sea considerado empresa de interés nacional, a menos que pase a… https://t.co/dJwnPmb2Ac</t>
  </si>
  <si>
    <t>El ejercito francés que se retira de Irak se convierte en Francia en un ejercito de la Vida He propuesto que el ej… https://t.co/RFrT0FbrY8</t>
  </si>
  <si>
    <t>Carmen Isabel Salinas de la Organización Femenina Popular, OFP, del Magalena Medio, asesinada en el sur de Bolívar… https://t.co/vjYDtCSgyk</t>
  </si>
  <si>
    <t>Los incendios, mayores por la crisis climática producida por la economia depredadora, han contaminado aún más, el a… https://t.co/JefqDDidCp</t>
  </si>
  <si>
    <t>La focalización de ayudas en dinero, que son mas bien ayudas a un mercado universal y a la deuda, no contemplan otr… https://t.co/xRBmUluOjT</t>
  </si>
  <si>
    <t>Cuando los excombatientes de las Farc hacen tapabocas para la gente, se convierten en una fuerza de la vida. La tr… https://t.co/6gHZbkiyG5</t>
  </si>
  <si>
    <t>El sistema de salud en la costa fue prácticamente privatizado y paramilitarizado. El pueblo fue clientelizado y pe… https://t.co/crDv8yMjza</t>
  </si>
  <si>
    <t>Hay una discusión dentro del progresismo entre partidarios de la renta mínima vital universal y su efecto practico… https://t.co/baH91Mbz8h</t>
  </si>
  <si>
    <t>Las regalías son el pago a la Nación por extraer unos recursos de la Nación, léase del pueblo colombiano,carbón, pe… https://t.co/yKe1tbgjQG</t>
  </si>
  <si>
    <t>RT @literlandweb1: Nos sentimos como #Benedetti Ya no nos sirven las mismas respuestas. Las preguntas han cambiado. Quizá ahora las respues…</t>
  </si>
  <si>
    <t>Volver el pago de servicios públicos una deuda es una de las peores ideas de Duque frente a esta epidemia. El pago… https://t.co/q0pstrCQDG</t>
  </si>
  <si>
    <t>La evaluación del presidente de la asociación de hospitales de Francia dice: Como no podemos hacer hospitales en 1… https://t.co/rT7RjRYuHz</t>
  </si>
  <si>
    <t>RT @petrogustavo: ¿Recuerdan? https://t.co/d9w1pqJbAa</t>
  </si>
  <si>
    <t>Lo que necesita la micro, pequeña y mediana empresa no es endeudarse más, es poder no pagar las deudas mientras dur… https://t.co/yWGMgnToma</t>
  </si>
  <si>
    <t>Aquí verán como una medida como emitir dos billones de dolares no tiene efecto, si el núcleo central de la producci… https://t.co/sG8C33Zl9D</t>
  </si>
  <si>
    <t>Este cuadro significa que el capitalismo se detuvo y que busca en primer lugar descargar los costos en los trabajad… https://t.co/h3MWTdCGzY</t>
  </si>
  <si>
    <t>RT @amoralesan: Los críticos de lo que llamaban "populismo" todos andan en eso: decretando subsidios, recolectando ayudas, hablando de cuid…</t>
  </si>
  <si>
    <t>Hoy el sindicalismo tiene un nuevo y fundamental papel que cumplir Tiene que organizarse en red, hacer páginas de… https://t.co/Psn66KSMy8</t>
  </si>
  <si>
    <t>Bloquear un pueblo no solo los condena al genocidio y ese es un crimen internacional, sino que ponen en riesgo a la… https://t.co/dyHwoytkHb</t>
  </si>
  <si>
    <t>RT @rectormoreno: Te acuerdas cuándo la Asociación Nacional de Trabajadores Hospitalarios de ColombiaANTHOC marchaba pidiendo recursos para…</t>
  </si>
  <si>
    <t>Son cínicos los funcionarios públicos que piden limosnas para atender la lucha contra el coronavirus, cuando tienen… https://t.co/B1Nj36AjT7</t>
  </si>
  <si>
    <t>Los Españoles compraron a una empresa China que no tiene licencia del gobierno chino pruebas del coronavirus. Y fal… https://t.co/s7H3mTRuNi</t>
  </si>
  <si>
    <t>Cuanto más se necesitaba la coordinación en la frontera y más apoyos políticos conseguía, Duque se acoge al desespe… https://t.co/8SXxSAsRK8</t>
  </si>
  <si>
    <t>En México todos los bancos suspenden el cobro de créditos a sus clientes. Tenemos en Colombia una banca depredador… https://t.co/wvBffIKfoF</t>
  </si>
  <si>
    <t>RT @petrogustavo: Volver el pago de servicios públicos una deuda es una de las peores ideas de Duque frente a esta epidemia. El pago estat…</t>
  </si>
  <si>
    <t>RT @petrogustavo: En México todos los bancos suspenden el cobro de créditos a sus clientes. Tenemos en Colombia una banca depredadora y su…</t>
  </si>
  <si>
    <t>Aquí hay redes para oxígeno y conexión de camas sin estrenar. Las pusimos nuevas y Peñalosa las dejó quietas Se pu… https://t.co/L8QfLeJiok</t>
  </si>
  <si>
    <t>Mientras el mundo entra a una tragedia mundial hay algunos que buscan otra guerra. Son necrofílicos.</t>
  </si>
  <si>
    <t>Capturan un gran arsenal en la carretera principal del Caribe rumbo a Venezuela, el general Alcalá dice que era par… https://t.co/AyCX8fw4N0</t>
  </si>
  <si>
    <t>Aquí si que hay un infundio. Suspendieron los informes nocturnos y éste, bastante retrasado, muestra un quiebre t… https://t.co/9eCLUFF3ru</t>
  </si>
  <si>
    <t>RT @petrogustavo: Mientras el mundo entra a una tragedia mundial hay algunos que buscan otra guerra. Son necrofílicos.</t>
  </si>
  <si>
    <t>RT @finseya5: @ClaudiaLopez cumpla el artículo 9 del decreto 093 que usted acaba de expedir y proceda a abrir el Hospital San Juan de Dios…</t>
  </si>
  <si>
    <t>Gobernador del Magdalena , Carlos Caicedo toma posesión de un clínica de saludcoop abandonada para ponerla al servi… https://t.co/rnQw6YCpic</t>
  </si>
  <si>
    <t>RT @petrogustavo: Aquí hay redes para oxígeno y conexión de camas sin estrenar. Las pusimos nuevas y Peñalosa las dejó quietas Se pueden p…</t>
  </si>
  <si>
    <t>Ha pasado EEUU a ser el país con más contagiados del mundo por el Coronavirus superando a China e Italia. Y ademá… https://t.co/FKaS647d6I</t>
  </si>
  <si>
    <t>No le gustará a nuestra derecha fanática que lo diga, pero lo peor que le podría pasar a Colombia en este momento,… https://t.co/83cOpJjUXF</t>
  </si>
  <si>
    <t>La Olímpica de los Char. Enfrentar pueblo pobre con pueblo pobre. Y el virus ahí. https://t.co/mjSbNp8Hea</t>
  </si>
  <si>
    <t>Esto pasa cuando se entrega dinero en efectivo y no alimentos en la tienda del barrio. Esto es Quibdó y el Virus p… https://t.co/hM7V2o6tYz</t>
  </si>
  <si>
    <t>RT @petrogustavo: Ha pasado EEUU a ser el país con más contagiados del mundo por el Coronavirus superando a China e Italia. Y además, su…</t>
  </si>
  <si>
    <t>RT @anateresabernal: Territorios Saludables cobijó 1.005 microterritorios, cada uno constituido por un promedio de 800 familias. Fueron más…</t>
  </si>
  <si>
    <t>RT @wilcan91: Este el mayor general (r) Cliver Alcalá Cordones, explicando cómo desde Colombia, se organizó el plan para asesinar a altas p…</t>
  </si>
  <si>
    <t>Estos son los datos puestos en un mapa de tráfico de cocaína hacia EEUU. En realidad a EEUU no parece importarle d… https://t.co/8ojHH1VI6h</t>
  </si>
  <si>
    <t>Una caída brupta en el reporte de contagiados del virus solo indica dos cosas: o manipulación de cifras, o se queda… https://t.co/JvrPaVkCy5</t>
  </si>
  <si>
    <t>Ha pasado EE. UU. a ser el principal foco de infección del Coronavirus del mundo y se acelera; será un verdadero de… https://t.co/1GrlIj4i7v</t>
  </si>
  <si>
    <t>Cuando se colectiviza a una familia o a un grupo social o étnica una culpa de un individuo, se esta ante una doctri… https://t.co/xwYRVclwmM</t>
  </si>
  <si>
    <t>Cuando el estado entrega los fondos de familias en acción a supermercados cuyos propietarios son políticos y candid… https://t.co/RAj7N3frcX</t>
  </si>
  <si>
    <t>Bueno, habíamos propuesto que el hotel histórico y simbólico del país, el hotel Tequendama, propiedad de las fuerza… https://t.co/Yx4GU2ecRu</t>
  </si>
  <si>
    <t>RT @AUGUSTOOCAMPO: Alguien que le responda a este campesino... https://t.co/xxhygKLKqM</t>
  </si>
  <si>
    <t>El ministerio de salud se le entregó a Vargas Lleras La jefatura de acción contra el Coronavirus de Antioquia se l… https://t.co/NKzzL0m9du</t>
  </si>
  <si>
    <t>Los hoteles pueden servir para aislar enfermos leves del virus. Propuse usar en primer lugar el Tequendama por ser… https://t.co/AN7Numi0as</t>
  </si>
  <si>
    <t>RT @anateresabernal: Bogotá Humana invirtió $150 mil millones para compra del Hospital San Juan de Dios y $32 Mil millones para culminar el…</t>
  </si>
  <si>
    <t>RT @petrogustavo: Los hoteles pueden servir para aislar enfermos leves del virus. Propuse usar en primer lugar el Tequendama por ser simbó…</t>
  </si>
  <si>
    <t>RT @ActualidadRT: La pandemia del coronavirus se intensifica en América Latina - NOTICIERO 27/03/2020 https://t.co/T9RBvJp3Db</t>
  </si>
  <si>
    <t>Esta entidad: @EruBogota es la directa responsable en tiempos de la epidemia, de firmar el contrato de demolición y… https://t.co/xqMDiiXld8</t>
  </si>
  <si>
    <t>RT @HOLLMANMORRIS: Alcaldesa @ClaudiaLopez en el H.San Juan de Dios se pueden adecuar más de 30 camas con respiradores y más de 144 UCI.…</t>
  </si>
  <si>
    <t>Una señora que se casa con un narcotraficante y lo matan y vuelve a casarse con otro y tambien lo matan , y nunca s… https://t.co/fQNLN5cpSd</t>
  </si>
  <si>
    <t>RT @charry_manager: Con el decreto 093 de @Bogota emitido por @ClaudiaLopez deja el manejo de la pandemia en términos de salud al negocio d…</t>
  </si>
  <si>
    <t>Este es el principal error de la estrategia de contención de la epidemia en Bogotá. Dejar la responsabilidad de la… https://t.co/Q4WNcZbB0O</t>
  </si>
  <si>
    <t>Si el gobierno compra la cartera de las EPS por un billón de pesos que entrarían a los hospitales, las EPS quedan e… https://t.co/p8iMdbP3qB</t>
  </si>
  <si>
    <t>RT @Miguel50Garcia: @HOLLMANMORRIS @ClaudiaLopez @petrogustavo Sres @fcarrilloflorez @PGN_COL @CGR_Colombia @personeriabta @MinSaludCol Lui…</t>
  </si>
  <si>
    <t>RT @UldaricoChilito: Claudia Gurrisatti, dice que las pruebas llevan un atraso de 8 días. El Gobierno dice q no tiene la capacidad suficien…</t>
  </si>
  <si>
    <t>RT @petrogustavo: Si el gobierno compra la cartera de las EPS por un billón de pesos que entrarían a los hospitales, las EPS quedan endeuda…</t>
  </si>
  <si>
    <t>RT @petrogustavo: Este es el principal error de la estrategia de contención de la epidemia en Bogotá. Dejar la responsabilidad de la detec…</t>
  </si>
  <si>
    <t>RT @LeonVaLenciaA: El mundo al revés: mexicanos bloquean frontera para que no entren a su país estadounidenses contagiados por el covid-19…</t>
  </si>
  <si>
    <t>Cuantos de estas masas enceguecidas en el fascismo de Bolsonaro enfermera de Coronavirus. https://t.co/LbS73E1MFP</t>
  </si>
  <si>
    <t>El que propuso el.apartheid para los viejos, para impulsar la economía, ha enfermado del Coronavirus https://t.co/oHESU4AViN</t>
  </si>
  <si>
    <t>Continua el genocidio político de líderes sociales. Joven campesino fue asesinado en el Catatumbo. https://t.co/InTjmvLoDY</t>
  </si>
  <si>
    <t>Una cosa es la politica de EEUU contra Cuba y Venezuela, geopolítica e intereses económicos Y otra cosa es la poli… https://t.co/1PIfBGMjEd</t>
  </si>
  <si>
    <t>RT @Annonnymous_R: ⚠️✴️☣️Anonymous #COVID19 Colombia☣️✴️⚠️ -Opresión sobre población vulnerable durante cuarentena -Expertos científicos d…</t>
  </si>
  <si>
    <t>Ni en Bogotá ni en Colombia hubo una preparación real ante el virus Los gobernantes depositaron su confianza en la… https://t.co/dzzoRorjeE</t>
  </si>
  <si>
    <t>El confinamiento se prolongará al menos dos meses, si hay disciplina. El gobierno no lo dice, pero es así. Las ayu… https://t.co/PpCC7aSOFs</t>
  </si>
  <si>
    <t>Nuestro sistena de salud privatizado va a lograr algo que solo hasta ahora se ve en Italia y España, que la gente c… https://t.co/1qTZSjhOnF</t>
  </si>
  <si>
    <t>El único candidato a la presidencia que propone un sistema de salud para EEUU basado en el derecho y no en el merca… https://t.co/gZEZvL6uQv</t>
  </si>
  <si>
    <t>Propuse en campaña no seguir con el régimen de las EPS y la ley 100 y cambiarlo por un modelo de salud preventiva p… https://t.co/k87jT5QUJD</t>
  </si>
  <si>
    <t>RT @liliortizhdez: @petrogustavo Es imposible olvidar a Bogotá Humana https://t.co/Jcv5FFmYI5</t>
  </si>
  <si>
    <t>Señora alcaldesa @ClaudiaLopez a usted la estan engañando, en los pisos que adecuamos para conección de camas de cu… https://t.co/doz710kHhh</t>
  </si>
  <si>
    <t>Usted @ClaudiaLopez no va a reconstruir el Hospital San Juan de Dios, el contrato firmado habla de demolerlo y reem… https://t.co/hQGu5uWoBL</t>
  </si>
  <si>
    <t>En el video que usted presenta @ClaudiaLopez dice que hay tres pisos adecuados: es media hectárea de adecuación, co… https://t.co/1Ck6vUZHke</t>
  </si>
  <si>
    <t>El propio video le muestra que eso que usted y Peñalosa llaman consultorios, tiene las redes de gases: Oxigeno y ni… https://t.co/8rD8FLR59s</t>
  </si>
  <si>
    <t>RT @ActualidadRT: Esta mujer es conocida como #LadyCuarentena por un video viral en el que insulta a policías de Colombia que la multaron p…</t>
  </si>
  <si>
    <t>RT @petrogustavo: Ni en Bogotá ni en Colombia hubo una preparación real ante el virus Los gobernantes depositaron su confianza en la salud…</t>
  </si>
  <si>
    <t>En este video un científico ruso explica bien en que consiste la enfermedad del covid19 Aún los y las que lo sup… https://t.co/w0W22ebN8J</t>
  </si>
  <si>
    <t>Se ponen UCI donde hay redes de gases. Los hospitales las tienen, Corferias no; en los hospitales los enfermos ya e… https://t.co/eqB8weNe6w</t>
  </si>
  <si>
    <t>Hay que decir la verdad: Ni el gobierno nacional ni los locales se prepararon para el virus, cuando tuvimos un mes.… https://t.co/3tIVSU7lxP</t>
  </si>
  <si>
    <t>La economía mundial ha entrado en recesión, cualquier plata en efectivo que se emita no la va a salvar, porque la… https://t.co/poxDRiXuSB</t>
  </si>
  <si>
    <t>Claudia puso un trino sobre poner 5.000 UCIs, y ahora ustedes hablan de 2.000 UCIs en corferias. Una ayuda respir… https://t.co/LVexcshcBt</t>
  </si>
  <si>
    <t>RT @petrogustavo: Hay que decir la verdad: Ni el gobierno nacional ni los locales se prepararon para el virus, cuando tuvimos un mes. No h…</t>
  </si>
  <si>
    <t>Nos quedamos sin máquinas para hacer las pruebas del virus. El Estado solo tenía una y se dañó. Catastrófico. Las… https://t.co/eZvgeJhDkZ</t>
  </si>
  <si>
    <t>Mafe, las camas UCI en los hospitales ya están ocupadas, la pregunta es, dijo el secretario de salud de Bogotá cuán… https://t.co/2AVtNFopGa</t>
  </si>
  <si>
    <t>RT @SenorCaicedo: Este país necesita más políticos "tóxicos" como @petrogustavo. https://t.co/4FgwMqBVhq</t>
  </si>
  <si>
    <t>De nuevo le solicito al presidente dado que se prolongará el confinamiento al menos dos meses, ordenar el congelami… https://t.co/t69lFHhirN</t>
  </si>
  <si>
    <t>RT @finseya5: #ReabranElSanJuanDeDios sí es posible invertir en bodegas, hoteles, clínicas cerradas (decreto 99, art 9} por qué @ClaudiaLop…</t>
  </si>
  <si>
    <t>RT @alvaroargote: Definitivamente el informe del Secretario de Salud presentado hoy al Concejo de Bogotá muestra que vamos muy atrás de los…</t>
  </si>
  <si>
    <t>¿Habrá algún laboratorio privado que tenga una máquina extractora de ácido nucleico de alta capacidad que se ponga… https://t.co/bxrprUPpth</t>
  </si>
  <si>
    <t>Podemos hoy afirmar con seguridad, ante el informe del secretario de salud de Bogotá, fajardista, que no existe en… https://t.co/GMnG83ITtc</t>
  </si>
  <si>
    <t>RT @ma_eugeniam: El problema es que @mincultura hizo cambios al PEMP, que facilitan la demolición del Central y el azaroso negocio inmobili…</t>
  </si>
  <si>
    <t>RT @jcuestanovoa: Miren con detalle estos datos suministrados por el director de la UCI del Hospital de la Universidad Nacional: Camas UCI…</t>
  </si>
  <si>
    <t>RT @pmarsupia: OMS: "Es fundamental hacer tests para saber dónde está el virus. Si sabes dónde está, puedes romper la cadena de transmision…</t>
  </si>
  <si>
    <t>Por no tener una salud pública fuerte, por seguir pensando en modo neoliberal, cuando esta ideología se fue para el… https://t.co/GkRG4iUasR</t>
  </si>
  <si>
    <t>Miren ustedes como lo que dice Claudia en campaña es todo lo contrario a lo que está haciendo con los hospitales de… https://t.co/p4x7y9Ph1X</t>
  </si>
  <si>
    <t>RT @EpicuroDeSamos_: "No hay que alarmarse, el covid-19 es solo una gripa" —Claudia López, Marzo de 2020. Prohibido olvidar. https://t.co…</t>
  </si>
  <si>
    <t>¿Ud sabe concejal que es quitar el 30% de camas UCI pediátricas para entregarlas a adultos enfermos graves del viru… https://t.co/aZqfgGRp21</t>
  </si>
  <si>
    <t>Vamos analizar el plan de UCIs de Bogotá, quizás el único que existe, para observaciones I fase supone que el 30%… https://t.co/XUG9hxSS1T</t>
  </si>
  <si>
    <t>Como los enfermos graves de virus en UCI que tendrían solo 100 camas en la I fase, no se pueden mezclar con enfermo… https://t.co/cJj9hVA5hD</t>
  </si>
  <si>
    <t>La II fase consiste en transformar 30% de camas UCIs pediátricas, en camas UCIs para adultos y el 30% de las interm… https://t.co/zPbF6L34jT</t>
  </si>
  <si>
    <t>La III fase implica convertir el 40% de todas las camas hospitalarias de la red pública y privada en UCIs; da 4.000… https://t.co/9kiSkeKKt8</t>
  </si>
  <si>
    <t>Para este momento que debería ser ya, como no se pueden mezclar en el mismo lugar enfermos del virus con los no vir… https://t.co/eFNR5VFoHQ</t>
  </si>
  <si>
    <t>Fase IV conversión del 40% de las salas de quirófanos para UCIs, requiere suspender todas las cirugías programadas,… https://t.co/DiNqMl7B49</t>
  </si>
  <si>
    <t>Convertir hospitales que hoy tienen enfermos en camas, en UCIs y en programación de cirugía sin el virus, d ahí der… https://t.co/mp1BQ0lh6h</t>
  </si>
  <si>
    <t>Para atender las UCIs se necesitan los intensivistas que hoy apenas son para 1.000 camas, alcaldía debe emplear tod… https://t.co/Lsd5Gj27aK</t>
  </si>
  <si>
    <t>Como es altamente posible que el Distrito y la Nación, por no preveer desde el principio de la epidemia, no puedan… https://t.co/VLpFrnwx9Q</t>
  </si>
  <si>
    <t>Lo que Claudia propone es el comienzo del triage militar desde el uso de 100 camas UCIs por enfermos del virus, es… https://t.co/nkWCgvP8Jp</t>
  </si>
  <si>
    <t>RT @HOLLMANMORRIS: @ClaudiaLopez dices q el SanJuande Dios se está cayendo y lo comparas con un garaje.Miren este video. Peñalosa con lo qu…</t>
  </si>
  <si>
    <t>RT @petrogustavo: Vamos analizar el plan de UCIs de Bogotá, quizás el único que existe, para observaciones I fase supone que el 30% de las…</t>
  </si>
  <si>
    <t>Plan del distrito es la confesión que no compraron ni una sola cama de cuidado intensivo ni un solo respirador desd… https://t.co/KNrPNf5pnS</t>
  </si>
  <si>
    <t>Aquí desmiento a Claudia. Peñalosa hizo este video para inaugurar las obras que Bogotá Humana hizo en el San Juan… https://t.co/KKaCocx83b</t>
  </si>
  <si>
    <t>Vamos hacia una crisis hospitalaria que comenzará en Bogotá Duque debe hacer todo el esfuerzo posible por adquiri… https://t.co/JZvNo5kdcg</t>
  </si>
  <si>
    <t>RT @ana_sabogal: Urgente Sra. Alcaldesa @ClaudiaLopez, se aglomeraron habitantes en el CAI el Dorado. ¿Quién envió en forma irresponsable…</t>
  </si>
  <si>
    <t>Desde hace tres meses el fortalecimiento de la capacidad hospitalaria consistía en contratar.personal de salud comp… https://t.co/qZyGyAdiHc</t>
  </si>
  <si>
    <t>RT @petrogustavo: Plan del distrito es la confesión que no compraron ni una sola cama de cuidado intensivo ni un solo respirador desde que…</t>
  </si>
  <si>
    <t>RT @petrogustavo: Aquí desmiento a Claudia. Peñalosa hizo este video para inaugurar las obras que Bogotá Humana hizo en el San Juan de Dio…</t>
  </si>
  <si>
    <t>Este plan solo es posible si Bogotá compra o hace 5.000 máquinas de ayuda respiratoria, en tres meses el Distrito n… https://t.co/iSCUttd86o</t>
  </si>
  <si>
    <t>RT @petrogustavo: Vamos hacia una crisis hospitalaria que comenzará en Bogotá Duque debe hacer todo el esfuerzo posible por adquirir ya,…</t>
  </si>
  <si>
    <t>Cada unidad de cuidados intensivos y cada máquina respiratoria es como la lista de Schindler. Salva con nombre prop… https://t.co/qkuSyzDSeV</t>
  </si>
  <si>
    <t>Señor secretario de salud de Bogotá, usted cae en la ruindad cuando muestra el Estado lamentable de parte del San J… https://t.co/NVWFNXVumG</t>
  </si>
  <si>
    <t>Una máquina respiratoria vale 60 millones de pesos, necesitamos 30.000, es decir una compra de un billón de pesos,… https://t.co/JFBysalmkI</t>
  </si>
  <si>
    <t>El ministerio de Ciencia y tecnología debe coordinar ya los mejores ingenieros, electrónicos, mecánicos y de sistem… https://t.co/6fP9VyYjf3</t>
  </si>
  <si>
    <t>La discusión acerca del virus y el Capital entre los filósofos surcoreano Byung-Chul Han y el europeo Žižek. En ti… https://t.co/qRZeK9Yxh0</t>
  </si>
  <si>
    <t>El confinamiento debe tener cese de pagos de deudas, arriendos y servicios públicos pero se concentran en focalizar… https://t.co/oiiv7HiZpb</t>
  </si>
  <si>
    <t>La detección de la enfermedad se debe hacer con equipos de salud pública en las calles y en los barrios masivamente… https://t.co/Qa87fVZVM5</t>
  </si>
  <si>
    <t>Fortalecimiento hospitalario era intervenir toda la red privada, contratar toda persona con título en salud, abrir… https://t.co/wagwjAcNIP</t>
  </si>
  <si>
    <t>La economía no se salva endeudandola más, al contrario, es desendeudandola. Si usted endeuda ganan los bancos y pie… https://t.co/hGjdKVl1av</t>
  </si>
  <si>
    <t>¿Por qué esta discrepancia entre las medidas eficaces contra el virus y las que ha tomado el gobierno fistrital nac… https://t.co/T3nTKjI1Fm</t>
  </si>
  <si>
    <t>Muy bien. Esto es lo que hay que hacer. Rescatar todos los espacios hospitalarios abandonados y ponerles, si tiene… https://t.co/4s5J2bJBVX</t>
  </si>
  <si>
    <t>RT @Matador000: ¿@ClaudiaLopez va a demoler un hospital en tiempos de pandemia? El chiste se cuenta solo.</t>
  </si>
  <si>
    <t>¿Qué fue lo que hizo Peñalosa con las obras que hicimos en el San juan de Dios? Le entregó al cancerológico el sót… https://t.co/QjgBsr683V</t>
  </si>
  <si>
    <t>Peñalosa no quería restaurar el San Juan porque siempre lo vio como una reivindicación mía y entregó los espacios a… https://t.co/F3ZL7sDzdR</t>
  </si>
  <si>
    <t>RT @Juanaafanador1: El legado que dejó el ex secretario de salud Luis Morales es nefasto. La procuraduria @fcarrilloflorez debería investig…</t>
  </si>
  <si>
    <t>RT @cielo_rusinque: NEOLIBERALISMO: Demoler un Hospital público en medio de una pandemia para que un operador privado negocie con la salud…</t>
  </si>
  <si>
    <t>¿Recuerdan? 5.000 médico(a)s y enfermeras recorriendo casa a casa el territorio de 800.000 todos los días. Los ec… https://t.co/SjBA30P8Pq</t>
  </si>
  <si>
    <t>RT @finseya5: Bta Humana amplió 100 camas de UCI adulto/pediátrico en Sta Clara/ S. Bolívar/Tunal/Kennedy. No se compraron para SJ pq 1. Se…</t>
  </si>
  <si>
    <t>Sin tener una epidemia como la actual Concejal, pusimos en Bogotá Humana 100 UCIs tanto de adultos como pediátricas… https://t.co/qxNYCiSNnX</t>
  </si>
  <si>
    <t>RT @yisethcabrera: Respiradores, pruebas rápidas, termómetros infrarrojos, mascarillas, medicamentos, equipos hospitalarios y elementos de…</t>
  </si>
  <si>
    <t>RT @DanielBejarano_: Presupuesto para el Instituto Nacional de Salud, 2019: $63.000'000.000 Presupuesto para el ESMAD 2019: $490.000'000.00…</t>
  </si>
  <si>
    <t>Italia llega a 10.000 muertos, es el país con más muertos, 3.400 personas están graves en UCIs y hay 92.000 contagi… https://t.co/fQ0sfzLU9l</t>
  </si>
  <si>
    <t>RT @lbertoortiz: Se acuerdan de este pendejo, resulta que ahora el chiste se llama Iván Duque que no sirvió ni para enrosca un foco en la c…</t>
  </si>
  <si>
    <t>RT @La_eche: Tumaco ayer 😑 https://t.co/xXX6YkC8mU</t>
  </si>
  <si>
    <t>Muy bien recuperar el Cari, en Atlántico, pero recuerden los hospitales que se abren , estando abandonados, no func… https://t.co/HyWOE3BtVJ</t>
  </si>
  <si>
    <t>En las salas de clínicas privadas de cirugía plástica o en general en muchas clínicas privadas puede haber máquinas… https://t.co/D5VBKgoIaS</t>
  </si>
  <si>
    <t>Esos tres pisos de los que usted habla @ClaudiaLopez los adecuó Bogotá Humana y tienen otra función porque les pusi… https://t.co/X3UwQ9q9kr</t>
  </si>
  <si>
    <t>RT @Veeduria_Metro: El metro y el San Juan de Dios se encuentran. @MetroBogota nos responde en un derecho de petición,que se modificó el pl…</t>
  </si>
  <si>
    <t>RT @petrogustavo: Esos tres pisos de los que usted habla @ClaudiaLopez los adecuó Bogotá Humana y tienen otra función porque les pusimos re…</t>
  </si>
  <si>
    <t>RT @petrogustavo: ¿Recuerdan? 5.000 médico(a)s y enfermeras recorriendo casa a casa el territorio de 800.000 todos los días. Los echó Peñ…</t>
  </si>
  <si>
    <t>En EEUU dijeron que los tapabocas son solo para enfermos. Van a corregir la medida. Es para todo el mundo porque h… https://t.co/z0yvIjXHmf</t>
  </si>
  <si>
    <t>La misma élite de usurpadores de tierras que fue amiga del ÑÑ es la que quema los sitios sagrados de los indígenas… https://t.co/qwvfpdgyjA</t>
  </si>
  <si>
    <t>La falta de detección masiva de la enfermedad por dejarla en manos de EPS que entregan pocas pruebas con un 80% de… https://t.co/wqDizgJtzC</t>
  </si>
  <si>
    <t>RT @gener_usuga: Nayib Bukele y su fórmula simple para responder a la crisis. @Residente lo escucha. Ni parecido a las charlas de Duque co…</t>
  </si>
  <si>
    <t>RT @gener_usuga: Ayúdenme a compartir este nuevo artículo de mi blog donde hemos encontrado un gran fraude en las elecciones presidenciales…</t>
  </si>
  <si>
    <t>Si no se toma la decisión de intervenir, es decir tomar la administración de la red de salud privada, veremos en un… https://t.co/EUOVEeR2zh</t>
  </si>
  <si>
    <t>Como senador le digo @ClaudiaLopez que no es un chiste, los 3 pisos que ud habla y que Peñalosa, para no continuar… https://t.co/yeXMwU8owc</t>
  </si>
  <si>
    <t>Este servicio no debería estar funcionando y estos operadores deberían estar en sus hogares https://t.co/C9gLubb34R</t>
  </si>
  <si>
    <t>Srs @USEmbassyBogota ahora que los ciudadanos norteamericanos se van, es importante que no olviden que la ayuda que… https://t.co/C5TbVRWT1w</t>
  </si>
  <si>
    <t>RT @ryckrocknroll: El chiste se cuenta solo, y ahora que nos dice @cecorrehumor de "el que es" su inepto subpresidente?🤦🏼‍♂️🤦🏼‍♂️🤦🏼‍♂️ @G…</t>
  </si>
  <si>
    <t>Ahora, hay gentes que discriminan a las personas que trabajan en la salud. https://t.co/SCLyf3VfuM</t>
  </si>
  <si>
    <t>RT @CeciliaLopezM: Dinamarca acaba de hacer algo increíble para ayudar a su población: Nacionalizo nominas privadas para preservar trabajad…</t>
  </si>
  <si>
    <t>RT @EpicuroDeSamos_: España paraliza producción tal como viene sugiriendo @petrogustavo.</t>
  </si>
  <si>
    <t>RT @Mision_Verdad: #Ahora Delcy Rodríguez: Con la aplicación de las primeras 500 mil pruebas, Venezuela pasa a ser el primer país en número…</t>
  </si>
  <si>
    <t>RT @ma_eugeniam: No es irrecuperable. La restauración es una disciplina con más de 200 años, en capacidad de levantar muertos. Asesórese, p…</t>
  </si>
  <si>
    <t>RT @CarolinaCorcho: @petrogustavo Así es senador. Se debe suspender desde ya la función intermediaria de las EPS en la contratación de cama…</t>
  </si>
  <si>
    <t>RT @DeCurreaLugo: Señores @MinSaludCol hay reportes de pacientes sintomáticos a a los que las EPS les ha negado la prueba para coronavirus.…</t>
  </si>
  <si>
    <t>RT @MaPaulaFonseca: Dentro de los contratos que adelantó la @EruBogota para habilitar la central de urgencias y que reporta este documento…</t>
  </si>
  <si>
    <t>RT @MaPaulaFonseca: Bogotá Humana contrató la adecuación de la central de urgencias del H. San Juan de Dios. @EnriquePenalosa la subutilizó…</t>
  </si>
  <si>
    <t>Esto es mentira. el contrato que firmaron el 15 de febrero no habla de recuperación del san Juan de Dios. El contra… https://t.co/FP4SKiBMpZ</t>
  </si>
  <si>
    <t>RT @ColombiaHumana_: De los 24 edificios que hacen parte del San Juan de Dios, tambien se restauró este donde Bogota Humana abrió un jardin…</t>
  </si>
  <si>
    <t>RT @LUISEROLAVE: Nos van a llenar Buenaventura de Coronavirus si no cierran el puerto... NO podemos callar ante la complicidad @IvanDuque c…</t>
  </si>
  <si>
    <t>Estas personas viven en un inquilinato en las Cruces, no tienen para el arriendo común. Por esto y por más es impo… https://t.co/maeegTljZI</t>
  </si>
  <si>
    <t>RT @petrogustavo: Si no se toma la decisión de intervenir, es decir tomar la administración de la red de salud privada, veremos en unas sem…</t>
  </si>
  <si>
    <t>RT @petrogustavo: El ministerio de Ciencia y tecnología debe coordinar ya los mejores ingenieros, electrónicos, mecánicos y de sistemas que…</t>
  </si>
  <si>
    <t>En realidad el plan de ayuda social que he propuesto para el confinamiento no cuesta al presupuesto. Si una famili… https://t.co/pL4NfnWlaO</t>
  </si>
  <si>
    <t>El cese de pago de deudas va contra las utilidades bancarias, el de arriendos afecta al arrendador pero este se equ… https://t.co/EwpZIiH1sN</t>
  </si>
  <si>
    <t>La política social que he propuesto para el confinamiento, en realidad es un redistribución de una parte pequeña de… https://t.co/Fk14PiYf8z</t>
  </si>
  <si>
    <t>RT @graffitiborrao: Pastor evangélico de Virginia muere por coronavirus, había dicho que la pandemia era una «histeria masiva», creada por…</t>
  </si>
  <si>
    <t>Aun no escuchamos el plan del gobierno para sacar presos de las cárceles. Ni si quiera han liberado a los que por… https://t.co/NBgP4rG9FD</t>
  </si>
  <si>
    <t>Si estos pulmones artificiales pasan la prueba, deben hacerse 30.000 para todo el país, al costo que sea. Las impre… https://t.co/Olx8YlimDd</t>
  </si>
  <si>
    <t>La fábrica de pulmones artificiales o ayudas respiratorias, debe contar con los mejores ingenieros electrónicos, me… https://t.co/mwQsHpQU64</t>
  </si>
  <si>
    <t>La privatización del San Juan de Dios no solo implica borrar de la memoria histórica, el hospital que acompañó a Co… https://t.co/wemjOmJC7m</t>
  </si>
  <si>
    <t>Los privatizadores de la salud, creadores e hijos de la ley 100, pensaron que la salud podía llegar a toda la socie… https://t.co/iprU2fTnQm</t>
  </si>
  <si>
    <t>No sé si el director actual y anterior, del @EruBogota, que hicieron un negocio inmobiliario con el hospital San j… https://t.co/btE9XjOQJS</t>
  </si>
  <si>
    <t>La medida de demoler el San juan se medirá en muertos, en tanto las redes de gases nuevas que pusimos conectadas a… https://t.co/MR3kEVA0hp</t>
  </si>
  <si>
    <t>Este episodio del San juan no es un capricho o un ego mío, salvar mil vidas no es cuestión de egos, es cuestión de… https://t.co/yVSRtk0xZm</t>
  </si>
  <si>
    <t>He firmado con expresidentes de América Latina una propuesta que lancé en mis días de confinamiento: La necesidad… https://t.co/k32uGNBvTK</t>
  </si>
  <si>
    <t>Daniel ha llegado como conclusión a defender uno de las programas centrales de la Colombia Humana: Superar la ley… https://t.co/BezLw0hmmj</t>
  </si>
  <si>
    <t>Esta es medida que le he pedido a Duque implementar en Colombia. Congelamiento de pagos de deudas, arriendos y ser… https://t.co/5kb2VeBA93</t>
  </si>
  <si>
    <t>Presionan los grandes negociantes del país levantar la cuarentena o suavizarla. La.sociedad colombiana debe estar… https://t.co/ZjNAQWKiuX</t>
  </si>
  <si>
    <t>Sr subdirector del Planeación, @dgomezco ante una pandemia es muchísimo más importante y efectivo pensar en ternino… https://t.co/QegKfDYUKF</t>
  </si>
  <si>
    <t>No amiga @Catalizate No es la misma orilla fortalecer la red pública, comprar el San Juan de Dios a Cundinamarca, h… https://t.co/DrjkSrn5aY</t>
  </si>
  <si>
    <t>RT @JorgeARestrepo: @ThreadReaders unroll</t>
  </si>
  <si>
    <t>RT @FisicoImpuro: El de la izquierda no es médico, es juez. Los de la derecha son médicos y enfermeras que deberían estar usando el traje…</t>
  </si>
  <si>
    <t>Señores periodistas, Daniel dice que su misión en tiempos de la pandemia, es ser críticos, no embellecer imagenes,… https://t.co/lHbZYTSYFT</t>
  </si>
  <si>
    <t>Dos millones de muertos que pudieron sobrevivir si se les trataba de acuerdo a la medicinaes el balance que Gustavo… https://t.co/MJ58yaKd8v</t>
  </si>
  <si>
    <t>Los impresores en 3D deben estar listos a copiar estos diseños que van a poner en red y adaptarlos a las pruebas ya… https://t.co/oeDMwbfs51</t>
  </si>
  <si>
    <t>Lo dice uno de los hombres más ricos del mundo: Bill Gates, la economía ya no debe importarnos, lo que debe importa… https://t.co/gNyEan0jS2</t>
  </si>
  <si>
    <t>Sr Luis Carlos Sarmiento, encontremosle un lugar a la sección de diagnóstico del cancerológico, y liberemos los tre… https://t.co/bDwdaXGvu2</t>
  </si>
  <si>
    <t>Claro Daniel, incluso puede desempolvar los debates de la ADM19 en el Congreso cuando votamos en contra de la ley 1… https://t.co/I8mQuZ8MgC</t>
  </si>
  <si>
    <t>RT @wicarni: Gustavo Petro en la entrevista con María Jimena Duzan del 12/03/2020, habló sobre el proyecto que adelanta Claudia Lopez respe…</t>
  </si>
  <si>
    <t>En un poblado de la Costa detienen un carro con comida y la gente lo saquea. Hambre se llama esto. En el sur de I… https://t.co/E8IVz7cmtx</t>
  </si>
  <si>
    <t>RT @Annonnymous_R: ☣️⚠️ ¿Máquina dañada o Censura?#COVID19⚠️☣️ 👉Es claro el engaño en reportes de #COVID19, una estrategia estatal de cens…</t>
  </si>
  <si>
    <t>RT @petrogustavo: Sr subdirector del Planeación, @dgomezco ante una pandemia es muchísimo más importante y efectivo pensar en terninos de d…</t>
  </si>
  <si>
    <t>RT @petrogustavo: La privatización del San Juan de Dios no solo implica borrar de la memoria histórica, el hospital que acompañó a Colombia…</t>
  </si>
  <si>
    <t>"Pero tal vez las revoluciones son el momento, en el cual, el género humano que viaja en este tren, (el de la histo… https://t.co/03JKIULZsr</t>
  </si>
  <si>
    <t>RT @jerojasrodrigue: “No hay que demoler el Hospital San Juan de Dios de Bogotá, menos en esta emergencia sanitaria del Covid19”. Ingenier…</t>
  </si>
  <si>
    <t>RT @petrogustavo: Sr Luis Carlos Sarmiento, encontremosle un lugar a la sección de diagnóstico del cancerológico, y liberemos los tres piso…</t>
  </si>
  <si>
    <t>RT @petrogustavo: Hoy el sindicalismo tiene un nuevo y fundamental papel que cumplir Tiene que organizarse en red, hacer páginas de afilia…</t>
  </si>
  <si>
    <t>Esto dice Pino Arlacchi, experto mundial en la lucha contra el narcotráfico. https://t.co/6G0mUqXpza</t>
  </si>
  <si>
    <t>Los efectos post coronavirus para quienes lo han sufrido con alguna gravedad, los hará ser clientes mas continuos d… https://t.co/cLrEp915jW</t>
  </si>
  <si>
    <t>RT @GustavoBolivar: Peñalosa enterró el Metro subterráneo porq lo estructuró Petro. Claudia lo secundó. La Contraloria los desmintió a junt…</t>
  </si>
  <si>
    <t>Ha caído el precio del petróleo a 20 dólares por barril Dependencia de la economía al petróleo se tornó en un verd… https://t.co/GG9VE1KFc0</t>
  </si>
  <si>
    <t>Le llamo la ideología Coelho. https://t.co/nA1t2rQqBa</t>
  </si>
  <si>
    <t>Fuerza Roy. https://t.co/6OSnhPqTFW</t>
  </si>
  <si>
    <t>RT @Sintapabocas1: JAVERIANA SILENCIÓ A EXPERTO DIEGO ROSELLI, QUE PROYECTABA AVANCE COVID-19 EN COLOMBIA, error monumental, solo comparabl…</t>
  </si>
  <si>
    <t>RT @DanielRMed: Cuando se critica a Duque se trata de castrochavistas del grupo de São Paulo, cuando se critica a @Claudialopez se trata de…</t>
  </si>
  <si>
    <t>RT @FisicoImpuro: Hoy les traigo 2 gráficas q llamé "con maquina" y "sin maquina" La 1ra es con la maquina "dañada". Según su tendencia, h…</t>
  </si>
  <si>
    <t>RT @GustavoBolivar: 30 años de neoliberalismo: -Red de salud Pública en ruinas. EPS quebradas por corruptas dejaron morir 2 millones de pac…</t>
  </si>
  <si>
    <t>A pesar de la labor embellecedora de algunos medios sobre el poder, hoy podemos sacar una conclusión. Ni el gobier… https://t.co/W3TbcKiG5f</t>
  </si>
  <si>
    <t>A menos que algún país nos regale 30.000 respiradores no habrá capacidad hospitalaria frente al virus. 30 años de… https://t.co/bkifWwCxzB</t>
  </si>
  <si>
    <t>La experiencia asiática muestra que si se sigue el entorno de los afectados se logra contener socialmente el virus… https://t.co/VsK7YGkymD</t>
  </si>
  <si>
    <t>Sentencia del Tribunal Administrativo de Cundinamarca señaló al San Juan de Dios: patrimonio histórico en salud y o… https://t.co/QuQ6gAQJ7H</t>
  </si>
  <si>
    <t>Esto no es cierto. En una ciudad de 1.000 UCIs la mayoría privadas, solo 198 públicas, solo se pueden tener 4.000 n… https://t.co/TDx322zUKt</t>
  </si>
  <si>
    <t>RT @MafeCarrascal: Una trabajadora de @BancodeBogota me contacta para denunciar que las medidas de ese banco y, por ende, de los @BancosAva…</t>
  </si>
  <si>
    <t>El tribunal administrativo de Cundinamarca en sentencia del 2018 ordenó que el hospital no se inscribiera en la ley… https://t.co/rk9Ev0AUos</t>
  </si>
  <si>
    <t>RT @petrogustavo: A pesar de la labor embellecedora de algunos medios sobre el poder, hoy podemos sacar una conclusión. Ni el gobierno nac…</t>
  </si>
  <si>
    <t>Se equivoca doctora, la parte que adecuamos se hizo para UCIs, sala de emergencia y salas de cirugía Tuve un momen… https://t.co/0GbEc2p5RY</t>
  </si>
  <si>
    <t>¿Por qué si la sentencia del 2018 del magistrado Lasso ordenaba la apertura del San Juan de Dios como hospital uni… https://t.co/iWBQdzRjYz</t>
  </si>
  <si>
    <t>Pereira acaba de congelar el pago de servicios públicos, muy bien Bogotá, Medellín, Cali y Barranquilla pueden de… https://t.co/bkOJhPjVCD</t>
  </si>
  <si>
    <t>La debilidad del juzgado 41 administrativo en hacer cumplir la sentencia del tribunal es el que hace que la realida… https://t.co/klDdIvbZFv</t>
  </si>
  <si>
    <t>Lo que hay detrás de la demolición del san Juan de Dios y la construcción de una torre de un hospital que se llamar… https://t.co/zBmNLaybUb</t>
  </si>
  <si>
    <t>Según el contrato firmado por la actual administración de Bogotá, la firma COPASA, después de construida la nueva t… https://t.co/2qfotnmFTg</t>
  </si>
  <si>
    <t>Todo el progresismo Brasileño se une para pedir la renuncia de Bolsonaro como presidente del.Brasil. https://t.co/v3fWDz9zG5</t>
  </si>
  <si>
    <t>Luis Ernesto. En tiempos de crisis como ésta es donde más debe existe vigilancia y control social sobre los gobiern… https://t.co/lGo7CxobrB</t>
  </si>
  <si>
    <t>RT @lbertoortiz: Mostramos estas imágenes de Ecuador al mundo para q sepa lo q está pasando, cadáveres en las calles y en los hospitales, l…</t>
  </si>
  <si>
    <t>Ha decretado el ELN un cese al fuego unilateral. Hace un año se pudo hacer la paz con ese grupo. La ONU ordenó un… https://t.co/HkcVGOlYQI</t>
  </si>
  <si>
    <t>La destrucción de la política social de Bogotá Humana pasa hoy factura de cobro en tiempos de pandemia. La directo… https://t.co/iKkQQxjnSp</t>
  </si>
  <si>
    <t>RT @wilberpreciado: Presidente de izquierda Fernández Argentina:”Una economía que cae siempre se levanta, pero una vida que se pierde no se…</t>
  </si>
  <si>
    <t>La propuesta de congelar deudas, arriendos y pagos de servicios públicos ayuda a mantener no solo el confinamiento… https://t.co/tcCWAXXWkS</t>
  </si>
  <si>
    <t>Si los equipos de ayuda respiratoria ya no se pueden conseguir en el mundo, si China no tiene, puede usted ordenar… https://t.co/ShLrgiRizk</t>
  </si>
  <si>
    <t>Esta es la secretaría que hoy maneja Fajardo en Bogotá. Miren como manipulan mostrando areas deterioradas del hosp… https://t.co/b6nBrB1d3O</t>
  </si>
  <si>
    <t>RT @petrogustavo: ¿Por qué si la sentencia del 2018 del magistrado Lasso ordenaba la apertura del San Juan de Dios como hospital universit…</t>
  </si>
  <si>
    <t>Literalmente Trump quisiera que muriera una parte de la fuerza de trabajo con tal que trabajen. Sabe perfectamente… https://t.co/IJ17qn7ktm</t>
  </si>
  <si>
    <t>El video muestra algo peor, si esta es la misma área que nosotros reparamos, entonces estamos ante un detrimento pa… https://t.co/pexx97tzjo</t>
  </si>
  <si>
    <t>Matha Yolanda Ruiz, la que muestra el San Juan restaurado en el 2016 y luego derrumbado en 2020, es la que firma el… https://t.co/zWTi013GAo</t>
  </si>
  <si>
    <t>Firma española COPASA, que puso sucursal en Colombia en 2016, solo para participar del contrato de demolición, del… https://t.co/rWcGlMOr5c</t>
  </si>
  <si>
    <t>COPASA, solo hace carreteras y no tiene en su objeto social operar hospitales; entregó más de 9 millones de euros e… https://t.co/8yZjZLF0Mj</t>
  </si>
  <si>
    <t>Esta es la lista de empresas que entregaron comisiones, sobornos, en España a políticos por contratos. Caso Púnica.… https://t.co/FXXXS8jMyK</t>
  </si>
  <si>
    <t>RT @petrogustavo: Esta es la lista de empresas que entregaron comisiones, sobornos, en España a políticos por contratos. Caso Púnica. Es l…</t>
  </si>
  <si>
    <t>Esas imagenes no las tengo y ahora son valiosas. Efectivamente eso lo arreglamos pero no para consultorios de atenc… https://t.co/6RbeWaNEH7</t>
  </si>
  <si>
    <t>RT @ricardobonillag: Va 13 muertos, 5 Btá, 3 Cali y Ctgena, 1 Sta Mta y Neiva. Empezó demanda hospitalaria 41 y UCI 41, para 82, el 10 3% c…</t>
  </si>
  <si>
    <t>RT @PateticosC: Imágenes preocupantes de la situación en #Ecuador por coronavirus ante ausencia total y falta de medidas del gobierno de @L…</t>
  </si>
  <si>
    <t>Lenin Moreno prefirió pagarle 300 millones de dólares al FMI, que dedicar ese recurso a la emergencia que inunda a… https://t.co/E05djabgBZ</t>
  </si>
  <si>
    <t>RT @CarolinaCorcho: Tenemos reportes en todo el país, de barreras de EPS para hacer pruebas de detección de COVID19. Y ahora sabemos que ac…</t>
  </si>
  <si>
    <t>Es un error no usar el tapabocas se manera generalizada dicen los médicos chinos. Los hospitales modulares es para… https://t.co/IsJp5u9mXe</t>
  </si>
  <si>
    <t>Que barbaridad. Confundir obreros y trabajadores con banqueros. https://t.co/X7bWDDtK1L</t>
  </si>
  <si>
    <t>En Cali murió un anciano en su hogar por deficiencia respiratoria y solo 28 horas después ha llegado la policía. Tr… https://t.co/BMPJHFqUnp</t>
  </si>
  <si>
    <t>Si la policia de Cali crema el cadáver del anciano en el barrio Rodrigo Lara Bonilla sin exámenes, entonces se esta… https://t.co/6nfjeo5YBi</t>
  </si>
  <si>
    <t>Asi fue mi último dia de alcaldía. Fue en el hospital San juan de Dios le mostré a la prensa, que ahora no recuerda… https://t.co/WimiYc86Qb</t>
  </si>
  <si>
    <t>RT @petrogustavo: El video muestra algo peor, si esta es la misma área que nosotros reparamos, entonces estamos ante un detrimento patrimon…</t>
  </si>
  <si>
    <t>Al menos paren las demoliciones de las casas. No pueden parar este proyecto sin garantizar que la gente que esta al… https://t.co/Z7ckRx3MAh</t>
  </si>
  <si>
    <t>La contaminación, el virus y el cierre de frontera con éxodo de venezolanos hacia Venezuela. Es Cúcuta, vive tres… https://t.co/ogq8QS3IX1</t>
  </si>
  <si>
    <t>Estaré en pocos minutos inaugurando la señal de prueba del tercer canal. Hablaremos de las políticas tomadas sobre… https://t.co/535QjG707X</t>
  </si>
  <si>
    <t>RT @AndresCamiloHR: "Entre la vida y la muerte no hay centro, no hay tibieza" @petrogustavo en @Tercer_Canal con @HOLLMANMORRIS https://t.c…</t>
  </si>
  <si>
    <t>RT @Tercer_Canal: #EnVivo “Bogotá Humana dejó los recursos para comprar los equipos de urgencias del Hospital San Juan de Dios, los dejó as…</t>
  </si>
  <si>
    <t>RT @Tercer_Canal: #EnVivo “llama la atención que la gerente de la Subred Centro Oriente, Martha Yolanda Ruiz, quien presentó hace 4 años la…</t>
  </si>
  <si>
    <t>RT @Tercer_Canal: “Poco a poco acabaron con lo público. La empresa pública de aseo de Bogotá podría estar hoy desinfectando la ciudad en la…</t>
  </si>
  <si>
    <t>RT @Tercer_Canal: #EnVivo “3. A @IvanDuque no le debe dar miedo intervenir y tomar el control de todo el sistema de salud, público y privad…</t>
  </si>
  <si>
    <t>RT @Tercer_Canal: #EnVivo “2. Debemos volver a un programa de territorios saludables que lleve profesionales de la salud a todas las famili…</t>
  </si>
  <si>
    <t>RT @Tercer_Canal: #EnVivo “1. Es urgente que @IvanDuque congele el pago de las deudas, de arriendos, de servicios públicos para garantizar…</t>
  </si>
  <si>
    <t>Así va nuestra propuesta de congelar pagos de la deuda externa para que los Estados tengan el espacio financiero pa… https://t.co/15vHbsDwZJ</t>
  </si>
  <si>
    <t>La mayor amenaza para los EEUU es su propio Presidente. https://t.co/HEDlfswIbA</t>
  </si>
  <si>
    <t>La prueba rápidas debieron llegar hace mucho tiempo para encapsular socialmente la expansión de la epidemia y debía… https://t.co/lgBNBMUsyz</t>
  </si>
  <si>
    <t>Precisamente porque el confinamiento será de meses, prolongado y estricto es que debe cambiar la economía por una e… https://t.co/s4Njg0RFIV</t>
  </si>
  <si>
    <t>Mi entrevista para El espectador sobre las políticas públicas tomadas para enfrentar el virus y la necesidad de su… https://t.co/aSTYfnZYHv</t>
  </si>
  <si>
    <t>Pedro @peimo1968 durante tres años funcionó en Bogotá Humana, territorios salidables: 1.000 equipos integrados por… https://t.co/qkY5Mw4eCW</t>
  </si>
  <si>
    <t>Ahora .@peimo1968 el servicio de aseo quedó completamente organizado en tres meses, con vehículos completamente nue… https://t.co/u51sj8VYnm</t>
  </si>
  <si>
    <t>Y, .@peimo1968 la prensa nunca informó que la contraloría respecto a las motos encontró que nunca se deterioraron q… https://t.co/84OlXGD2qw</t>
  </si>
  <si>
    <t>RT @petrogustavo: Mi entrevista para El espectador sobre las políticas públicas tomadas para enfrentar el virus y la necesidad de superar…</t>
  </si>
  <si>
    <t>Aquí se autodestruye una sombra de la caverna al estilo de Platón EEUU le ha sacado el cuerpo a la sombra, ¿será p… https://t.co/2PAC9L7zxF</t>
  </si>
  <si>
    <t>Italia reconoce que su error fue no parar la producción desde el principio y confinar así estrictamente a la poblac… https://t.co/eQM5JNZq4k</t>
  </si>
  <si>
    <t>RT @ma_eugeniam: 344 hospitales del país (de 607 diagnosticados) no cuentan con reforzamiento estructural. 108 tienen seguridad parcial. Es…</t>
  </si>
  <si>
    <t>Cuando Duque dice que no tiene información suficiente para decisiones, confiesa que el gob no estaba preparado, uno… https://t.co/9GJmtwHxM2</t>
  </si>
  <si>
    <t>RT @petrogustavo: Precisamente porque el confinamiento será de meses, prolongado y estricto es que debe cambiar la economía por una economí…</t>
  </si>
  <si>
    <t>La estrtegia del acordeón que dicen que Duque tomaría no existe en el mundo, por una sola razón, si la gente vuelve… https://t.co/onCNW83C1l</t>
  </si>
  <si>
    <t>Cuando el intensivista del Santa Clara dice que una UCI debe estar donde hay unidades renales, del corazón, etc tie… https://t.co/wrIbOkqUdD</t>
  </si>
  <si>
    <t>RT @colombia_hist: En Cundinamarca las guerrillas conservadoras de Guasca, al mando de Mariano Ospina Rodríguez, fueron derrotadas por el g…</t>
  </si>
  <si>
    <t>Una de las consecuencias de la experiencia humana actual es que cambiara el urbanismo La ciudad no puede hacerse c… https://t.co/cpjp4RLfat</t>
  </si>
  <si>
    <t>RT @petrogustavo: Cuando el intensivista del Santa Clara dice que una UCI debe estar donde hay unidades renales, del corazón, etc tiene raz…</t>
  </si>
  <si>
    <t>RT @petrogustavo: Cuando Duque dice que no tiene información suficiente para decisiones, confiesa que el gob no estaba preparado, unos porq…</t>
  </si>
  <si>
    <t>El tiempo del confinamiento lo determinará la disciplina en el confinamiento actual Hay que apretar ahora, debe s… https://t.co/OSklrlk1dp</t>
  </si>
  <si>
    <t>Hay que apagar la economía y eso significa lo básico para toda la sociedad, no solo para una parte No pagar deuda,… https://t.co/BETVSrxot2</t>
  </si>
  <si>
    <t>Cese de pago de deudas, arriendos y servicios públicos no implica, en el período, gasto público y por tanto, se con… https://t.co/kUysU58pn3</t>
  </si>
  <si>
    <t>¿Cómo van a poner enfermos del virus en la red pública que no tiene unidades renales ni otras? Digan la verdad, no… https://t.co/dCOeQd6NJq</t>
  </si>
  <si>
    <t>Solo con poner los fondos del gobierno en el grupo Aval y ya Luis Carlos recupera su "donación"</t>
  </si>
  <si>
    <t>Porque si deja de pagar sus deudas eso no afecta el presupuesto nacional, si deja de pagar arriendo, tampoco y si d… https://t.co/qQBvD2cDMb</t>
  </si>
  <si>
    <t>Un sistema de salud que no detecta la enfermedad, y que no tiene capacidad hospitalaria produce esto. Más cadávere… https://t.co/zlnRsENDDd</t>
  </si>
  <si>
    <t>Todo espacio que se pudiera usar para poner una UCI o un respirador se esta usando, dice la intensivista colombiana… https://t.co/17D8v71AhQ</t>
  </si>
  <si>
    <t>Ha muerto Jorge Santos, líder de los obreros petroleros de Barrancabermeja QEPD. https://t.co/YFX4fwp3tx</t>
  </si>
  <si>
    <t>RT @HELIODOPTERO: MIENTE este hijueputa @AlvaroUribeVel. Nosotros no somos ni hemos sido de las FARC. Somos periodistas que no le tenemos m…</t>
  </si>
  <si>
    <t>RT @petrogustavo: Todo espacio que se pudiera usar para poner una UCI o un respirador se esta usando, dice la intensivista colombiana Sofía…</t>
  </si>
  <si>
    <t>Nuestro análisis sobre las políticas tomadas contra la expansión del virus. Este es el tercer canal https://t.co/HgxtnPOMJd</t>
  </si>
  <si>
    <t>RT @FT_Col: En Colombia, las ganancias del sector financiero rondan los 20 billones (millones de millones) de pesos al año, y crecen en por…</t>
  </si>
  <si>
    <t>Más cadáveres en las calles de Guayaquil. ¿Aún creemos que no hay que protestar ante el hecho que en Colombia y Bo… https://t.co/pdL5NayYv2</t>
  </si>
  <si>
    <t>RT @susanamuhamad: #ForoSocialCOVID19 Es fundamental en esta crisis que el estado recupere el control de la Salud Pública, con equipos en t…</t>
  </si>
  <si>
    <t>Poder implementar el programa de equipos médicos visitando los hogares es fundamental para detener la epidemia. B… https://t.co/wgnNrOXV2l</t>
  </si>
  <si>
    <t>RT @ma_eugeniam: La gerente del San Juan de Dios de la @EruBogota omite información. Si el edificio Central no cumple con norma de sismorre…</t>
  </si>
  <si>
    <t>RT @ma_eugeniam: La gerente del San Juan de Dios de la @EruBogota falta a la verdad cuando afirma que el PEMP dice que el Central se puede…</t>
  </si>
  <si>
    <t>El alcalde de Cartagena debe intervenir de inmediato esta clínica y con recursos del FOME habilitarla para que se p… https://t.co/TcHIgHVche</t>
  </si>
  <si>
    <t>Duque si usted entrega esas pruebas a las EPS no pasará nada. Esas pruebas deben estar en manos de equipos de salud… https://t.co/t5iuky2mXV</t>
  </si>
  <si>
    <t>RT @gregoriopernia: https://t.co/BoZ0TA2TWH vale mas.el.aguacate que el petróleo quien fue el que hablo de esto hace rato ?</t>
  </si>
  <si>
    <t>Muere un habitante de calle en acera de Cúcuta. La razón de la muerte parece ser el hambre. Avenida cero con calle… https://t.co/HCNzBI8dZA</t>
  </si>
  <si>
    <t>Esto es Suba y esta es la demostración que focalizar las ayudas al estilo neoliberal no sirve. Congelen pago de ar… https://t.co/b7C1fEbCoK</t>
  </si>
  <si>
    <t>Claudia no quiere salvar el San Juan de Dios pero si va a comprar Saludcoop. Claudia no compre, las medidas de eme… https://t.co/U2sqmOs9xM</t>
  </si>
  <si>
    <t>RT @wicarni: "Lo que está sucediendo es un hecho único en la história de la humanidad, reciente. Por primera vez una alianza entre Estados…</t>
  </si>
  <si>
    <t>Colombiano barranquillero de apellido Escandón se encuentra enfermo del virus en Guayaquil, Ecuador, en la clínica… https://t.co/7qcKLKXfRh</t>
  </si>
  <si>
    <t>RT @gener_usuga: "Demoler el edificio central del SJDD es un error y una muestra de desprecio por el patrimonio arquitectónico del país. Co…</t>
  </si>
  <si>
    <t>RT @FelicianoValen: El Gobernador del Resguardo Indígena Kokonuko nos comparte las medidas que han tomado para contener la propagación del…</t>
  </si>
  <si>
    <t>RT @gener_usuga: Lo q muestra este video no es motivo para demoler el Hospital, yo trabajo en el medio de la construcción, y se ve claramen…</t>
  </si>
  <si>
    <t>RT @Juanaafanador1: No desvíen el debate del San Juan de Dios por favor. Esto va más allá de la pandemia y unas camas, es pasarse por encim…</t>
  </si>
  <si>
    <t>RT @AugustoCubides: ¿El empresario donó o devolvió?</t>
  </si>
  <si>
    <t>Por mi experiencia en la alcaldía se que se puede ordenar con cargo a las utilidades de la Empresa de Acueducto no… https://t.co/hdHpyzT06J</t>
  </si>
  <si>
    <t>Edilberto Muñoz, salsero, militante de la Colombia Humana, esta gravemente enfermo del virus en Paris, Francia https://t.co/FnvTFnVsgv</t>
  </si>
  <si>
    <t>Edwin Peña, defensor de familia del ICBF, militante de Colombia Humana ha muerto en Cali por el virus.</t>
  </si>
  <si>
    <t>Ahora estaré en semana entrevistado por Vicky Dávila https://t.co/C6RP9ObRuz</t>
  </si>
  <si>
    <t>RT @HOLLMANMORRIS: Vean este nuevo video 👇 La gerente de la Subred Centro Oriente, Martha Yolanda Ruiz, quien presentó hace 4 años las obr…</t>
  </si>
  <si>
    <t>RT @HOLLMANMORRIS: Estas son las instalaciones que proponemos sean utilizadas para atender la emergencia COVID-19. No pretendan tapar el…</t>
  </si>
  <si>
    <t>RT @AndresCamiloHR: “No creo que cuando salgamos de esto volvamos a ser los mismos” Senador Gustavo Petro (@petrogustavo) al aire en Semana…</t>
  </si>
  <si>
    <t>RT @AndresCamiloHR: “¿De que sirve una economía sin vida?” Senador Gustavo Petro (@petrogustavo) al aire en Semana Noticias con @VickyDavil…</t>
  </si>
  <si>
    <t>RT @RevistaSemana: #PetroPropone “La vida primero que los negocios. Hay una economía que se puede mantener, la economía para subsistir, la…</t>
  </si>
  <si>
    <t>RT @RevistaSemana: #PetroPropone “Yo no creo que cuando salgamos de esto vayamos a ser los mismos, la verdad sea dicha, no lo creo. Increm…</t>
  </si>
  <si>
    <t>RT @RevistaSemana: #PetroPropone “Con Claudia estoy de acuerdo en que son meses, no son días de cuarentena. Veamos lo que le pasa a italia…</t>
  </si>
  <si>
    <t>RT @RevistaSemana: #PetroPropone “Si quitan las deudas y los arriendos como proponemos, la inmensa mayoría de los empresarios pueden resis…</t>
  </si>
  <si>
    <t>RT @RevistaSemana: #PetroPropone “Esto va a ser más difícil. Toca prepararnos. Ojalá no sea así. Pero seres queridos morirán, si es que no…</t>
  </si>
  <si>
    <t>RT @RevistaSemana: #PetroPropone “Lo que Luis Carlos Sarmiento debería hacer es pagar los impuestos como dice la ley. A mi no me conmovió…</t>
  </si>
  <si>
    <t>RT @RevistaSemana: #PetroPropone “Yo quisiera ser el presidente de Colombia, no es por culpa mía que no lo soy (….) entiendo a Duque porqu…</t>
  </si>
  <si>
    <t>RT @RevistaSemana: #PetroPropone “Si no se asegura que la familia pueda vivir en confinamiento, van a salir los más desesperados por obvia…</t>
  </si>
  <si>
    <t>RT @RevistaSemana: #PetroPropone “Un elemento fundamental es no pagar deudas. Tiene que haber un decreto del Gobierno. Se trata de un cese…</t>
  </si>
  <si>
    <t>RT @RevistaSemana: #PetroPropone “Depositar en las EPS, como se ha hecho en el país, la política de tratamiento del virus en su fase preve…</t>
  </si>
  <si>
    <t>RT @RevistaSemana: #PetroPropone “Me preocupa que empezaron a salir los gremios, los interesados en las ganancias, a rodear a Duque tratan…</t>
  </si>
  <si>
    <t>RT @RevistaSemana: #PetroPropone “Con la gente muriéndose en masa qué economía va a haber. Los dueños del poder no quieren perder esta vez…</t>
  </si>
  <si>
    <t>RT @RevistaSemana: #PetroPropone “Después de que salgamos de este virus el núcleo económico es el trabajo, que es lo que hay que conservar…</t>
  </si>
  <si>
    <t>RT @AndresCamiloHR: “Vale la pena vivir la vida hasta el último minuto” Senador Gustavo Petro (@petrogustavo) al aire en Semana Noticias co…</t>
  </si>
  <si>
    <t>RT @susanamuhamad: La situación actual nos lleva a tener que re pensar demasiado como sociedad, debemos dar un cambio de enfoque al PDD de…</t>
  </si>
  <si>
    <t>El plan de desarrollo de los municipios deberían contemplar ahora más el tema de los bienes comunes y el fortaleci… https://t.co/5Z9rR2gXlc</t>
  </si>
  <si>
    <t>Como en la edad media queman los cuerpos de los cadáveres en las calles. El gobierno no existe en el Ecuador. https://t.co/lyRvECZvJb</t>
  </si>
  <si>
    <t>RT @petrogustavo: El plan de desarrollo de los municipios deberían contemplar ahora más el tema de los bienes comunes y el fortalecimiento…</t>
  </si>
  <si>
    <t>La mayor parte del dinero que se presenta en el plan de emergencia de Claudia es para comprar la clinica de Saludc… https://t.co/4R57T2DGBQ</t>
  </si>
  <si>
    <t>Ordenar el no pago de arriendos por decreto del presidente y sanciones duras a quien desaloje en medio de la epidem… https://t.co/y5s7XyUDAg</t>
  </si>
  <si>
    <t>RT @ContraGodarria: Y Petro lo volvió hacer ja ja ja ja ja https://t.co/XUhosRM6uE</t>
  </si>
  <si>
    <t>RT @manuoviedo15: Realmente no había sido tan evidente el fin del humanismo como motor epistémico de nuestras sociedades. Da miedo lo que…</t>
  </si>
  <si>
    <t>RT @ErikaOSanoja: ATENCIÓN || Gobierno de #Venezuela anuncia que donará a #Colombia dos máquinas que llegarán de #China para hacer exámenes…</t>
  </si>
  <si>
    <t>RT @dw_espanol: El triaje: la decisión más temida para los médicos Los doctores franceses se ven obligados a seleccionar a qué pacientes d…</t>
  </si>
  <si>
    <t>RT @petrogustavo: La mayor parte del dinero que se presenta en el plan de emergencia de Claudia es para comprar la clinica de Saludcoop cu…</t>
  </si>
  <si>
    <t>RT @levyrincon: Para los que están diciendo que Sarmiento Angulo donó 80 mil millones y Petro nada: déjenme decirles que Petro no los oblig…</t>
  </si>
  <si>
    <t>Cacerolazo masivo contra Bolsonaro en Brasil. Bolsonaro es un verdadero peligro para la humanidad. https://t.co/W1h2jR9QIz</t>
  </si>
  <si>
    <t>RT @petrogustavo: Claudia no quiere salvar el San Juan de Dios pero si va a comprar Saludcoop. Claudia no compre, las medidas de emergenci…</t>
  </si>
  <si>
    <t>RT @ActualidadRT: Papa Francisco: "No defender al pueblo del coronavirus es genocidio virósico" https://t.co/s7omUuNx6S</t>
  </si>
  <si>
    <t>RT @PolucionBogota: Mientras el mundo ya está utilizando hasta barcos hospitales, la alcaldesa de Bogota busca excusas para demoler en San…</t>
  </si>
  <si>
    <t>Claudia. ¿Usted esta proponiendo que expulsen los venezolanos del país? Todo extranjero tiene derechos y en tiempo… https://t.co/n6ecbgNUQ8</t>
  </si>
  <si>
    <t>RT @fcarrilloflorez: El @INSColombia debe priorizar las muestras de pacientes hospitalizados. Se están demorando los reportes entre 5-7 día…</t>
  </si>
  <si>
    <t>Sr @LuisErnestoGL ¿podría decirnos cuantas unidades renales tienen en los hospitales públicos y por qué la voz del… https://t.co/oPhs0zh5lK</t>
  </si>
  <si>
    <t>RT @Guerra_Civil_: Siento informar que ha muerto por coronavirus Rafael Gómez, último excombatiente de La Nueve con vida. Rafael combatió…</t>
  </si>
  <si>
    <t>Este plan para la emergencia en Bogotá tiene 140.000 millones para operadores de transmilenio para que cubran costo… https://t.co/nwkwZJ3fdJ</t>
  </si>
  <si>
    <t>RT @ChalecosAmarill: 📽 #URGENTE ⚠️🆘⚠️ #Ecuador 🇪🇨 🔻Organizaciónes de DDHH reclaman la captura inmediata del dictador satrapa @Lenin Moreno…</t>
  </si>
  <si>
    <t>Endeudar más la economía es un veneno. https://t.co/6NIC5cZS1A</t>
  </si>
  <si>
    <t>RT @MashiRafael: 🔴🔴🔴¡Difunde! Compatriotas: Mis compañeros y yo somos víctimas de los criminales abusos de #ElPeorGobiernoDeLaHistoria per…</t>
  </si>
  <si>
    <t>RT @juliandezubiria: La naturaleza está enormemente agradecida por la nueva oportunidad que le hemos dado. En un mes hemos reducido 1,2 gra…</t>
  </si>
  <si>
    <t>RT @RevistaSemana: #SemanaNoticias ¿Qué propone Petro ante la emergencia por el coronavirus? Opine con el HT #PetroPropone https://t.co/e1z…</t>
  </si>
  <si>
    <t>RT @petrogustavo: Este plan para la emergencia en Bogotá tiene 140.000 millones para operadores de transmilenio para que cubran costos fijo…</t>
  </si>
  <si>
    <t>La Andi coincide con nuestra propuesta para la crisis. El cese de pago de las deudas dejaría a los empresarios pro… https://t.co/mm6LNB4P8q</t>
  </si>
  <si>
    <t>RT @BogotaLogica: La Universidad de Los Andes desarrolló todo un sistema de reforzamiento estructural para actualizar a la NSR10 los edific…</t>
  </si>
  <si>
    <t>RT @DanielRMed: Excelente entrevista en la que Petro explica por qué las EPS no están facultadas para atender la emergencia, el fracaso del…</t>
  </si>
  <si>
    <t>RT @petrogustavo: La Andi coincide con nuestra propuesta para la crisis. El cese de pago de las deudas dejaría a los empresarios productiv…</t>
  </si>
  <si>
    <t>Colombia hace menos test por cada cien mil habitantes que el Ecuador. El fracaso de las EPS https://t.co/SUr4EzgowB</t>
  </si>
  <si>
    <t>Cuando los trabajadores imponen la solidaridad sobre la competencia entre los dueños del capital. https://t.co/80XiR6eg5U</t>
  </si>
  <si>
    <t>RT @telediario_tve: Rafael Gómez Nieto, el último superviviente de 'La Nueve', la compañía de republicanos españoles que liberó París de lo…</t>
  </si>
  <si>
    <t>Esto dicen los argentinos, ¿qué diríamos nosotros. https://t.co/SUr4EzgowB</t>
  </si>
  <si>
    <t>Cuando derrotaron a los obreros en 1939 en España, después los obreros derrotarían a sus victimarios en Berlín https://t.co/2LJoXA1026</t>
  </si>
  <si>
    <t>En Perú la discusión es la misma. El gobierno entrega el dinero a las EPS y no asume directamente la atención en sa… https://t.co/j93vdJ4VKM</t>
  </si>
  <si>
    <t>RT @RiosVivosColom: Posible caso de #Covid19Colombia en el municipio de #Toledo #Antioquia Gran preocupación entre la población afectada po…</t>
  </si>
  <si>
    <t>RT @dirkjanjanssen: Amsterdam utilizó la crisis del petróleo de los años 70 como catalizador del cambio para convertirse en la ciudad cicli…</t>
  </si>
  <si>
    <t>La secretaría de salud de Bogotá debería explicar cual es el objetivo de comprar la clinica de Saludcoop si la pued… https://t.co/fT3kFsGrRh</t>
  </si>
  <si>
    <t>RT @RTultimahora: URGENTE EE.UU.: Más de 1.400 miembros del departamento de Policía de Nueva York han dado positivo por coronavirus https…</t>
  </si>
  <si>
    <t>RT @susanamuhamad: @ClaudiaLopez @Bogota @MigracionCol @ClaudiaLopez Alcaldesa, cumpla su deber constitucional e incluya a los migrantes, s…</t>
  </si>
  <si>
    <t>RT @ismene2: @sergio_serrano_ Ve, no hay poder humano, no entienden que si viven como viven es porque alguien tomó una decisión política.</t>
  </si>
  <si>
    <t>Si el gobierno no accede a frenar el cobro de cuotas de créditos y pagos de servicios públicos y arriendos hay que… https://t.co/kKRkST7UFW</t>
  </si>
  <si>
    <t>Esta es la ayuda rusa a EEUU. Los tiempos han cambiado. Colombia debe buscar ayuda en Cuba y aceptar la de Venezue… https://t.co/G3nSIoGxcJ</t>
  </si>
  <si>
    <t>RT @petrogustavo: Si el gobierno no accede a frenar el cobro de cuotas de créditos y pagos de servicios públicos y arriendos hay que organi…</t>
  </si>
  <si>
    <t>Se pueden hacer tapabocas de tela, el cuidado especial es quitarlos por los cordones de amarre y lavarlos en agua y… https://t.co/0k5DTYKrQ7</t>
  </si>
  <si>
    <t>RT @petrogustavo: La secretaría de salud de Bogotá debería explicar cual es el objetivo de comprar la clinica de Saludcoop si la puede inte…</t>
  </si>
  <si>
    <t>RT @PinedaRuizBog: ¿Es prioritario que de $ 966.000 millones de pesos para enfrentar la crisis del #COVIDー19, la Administración Distrital v…</t>
  </si>
  <si>
    <t>El gobierno de Duque y el de Claudia han decidido basar la estrategia de lucha contra el virus en las EPS Es un tr… https://t.co/rh4OMRSaQ4</t>
  </si>
  <si>
    <t>Desconectar personas del servicio de agua potable por falta de pago es un verdadero crimen. Implementen el consumo… https://t.co/dqLY8nkUJR</t>
  </si>
  <si>
    <t>Se mueve Duque hacia la suspensión del pago de arriendos, pero no es congelar el valor del arriendo sino suspenderl… https://t.co/FEJlpnmdhr</t>
  </si>
  <si>
    <t>RT @susanamuhamad: Mientras en Medellin @QuinteroCalle toma el Hospital de la 80 a CERO pesos, en Bogotá nos proponen invertir MEDIO BILLÓN…</t>
  </si>
  <si>
    <t>Es muy rara la decisión de Claudia de comprar la clínica de Saludcoop cuando ya es del Estado, y cuando ya los alca… https://t.co/H6jiB6HrWY</t>
  </si>
  <si>
    <t>Muy Nariño que no delega en EPS la pruebas de Covid19. El gobierno departamental ha comprado directamente equipos p… https://t.co/2wgFxsZoBs</t>
  </si>
  <si>
    <t>En Tumaco no hay un solo respirador ni UCI, y ya llegó el virus. ¿Qué pasará en el Pacífico Colombiano, qué pasará… https://t.co/Ujgzl5G30F</t>
  </si>
  <si>
    <t>Es necesario cesar el pago de servicios públicos, deudas y arriendos para mantener empleos durante el confinamiento… https://t.co/cFrpHeVJ1c</t>
  </si>
  <si>
    <t>Reactivado el análisis con la única máquina de alta capacidad y algunos laboratorios adicionales, volvemos a la mis… https://t.co/U5j3cOr4i3</t>
  </si>
  <si>
    <t>RT @ismene2: @ClaMoralesM Ve, querida @ClaMoralesM , manda a decir don Albert Camus. https://t.co/BbdwaXbjgf</t>
  </si>
  <si>
    <t>Muy lamentable. Expreso mi voz en contra de este tipo de decisiones que le quita la palabra, tan necesaria, a quien… https://t.co/VSSabvqgFa</t>
  </si>
  <si>
    <t>El peor error en el tratamiento de la epidemia es delegar en EPS el proceso Por eso no reconstruyeron territorios… https://t.co/rfouaMxH4w</t>
  </si>
  <si>
    <t>RT @ActualidadRT: Cuerpos de enfermos fallecidos de covid-19 se han visto en la última semana en las calles de Guayaquil, Ecuador https://t…</t>
  </si>
  <si>
    <t>Adiós a Jorge Santos, un obrero y un dirigente que muere. Que la clase trabajadora de Barrancabermeja y el país nu… https://t.co/VkEK6w3iHb</t>
  </si>
  <si>
    <t>RT @NoticiasRCN: "No hay que tener pánico, el coronavirus es un tipo común de gripa": @ClaudiaLopez , en #MujeresDeAtaque. Presenta @JuanLo…</t>
  </si>
  <si>
    <t>RT @NancyFiallo: ¡QUÉ HORROR!!! Trump bloquea ayuda de China a Cuba; no podrán recibir mascarillas, ventiladores y pruebas para detectar C…</t>
  </si>
  <si>
    <t>Lo que se vive en EEUU es un genocidio por omisión. ¿Cuantos colombiano(a)s que viven allí morirán? https://t.co/chuWGpNtaC</t>
  </si>
  <si>
    <t>Mientras Duque bloquea a Venezuela y ayuda a hundir a su pueblo en el hambre, Venezuela ayuda a Colombia a que su p… https://t.co/Jq8yUyLrky</t>
  </si>
  <si>
    <t>En este momento en Bogotá hay 24 enfermos graves de Covid19 en UCIs, todavía habrán unas 180 desocupadas si bajó el… https://t.co/6C1eOpWwAC</t>
  </si>
  <si>
    <t>Estas son las propuestas de Rafael Correa frente al Covid19 en el Ecuador. Con @MashiRafael hemos construido una p… https://t.co/BPjRmd9lgR</t>
  </si>
  <si>
    <t>RT @MovimientoMAIS: Alcalde de Ureña Venezuela desmiente que el humo es del vertedero, de dónde viene entonces? Urgente @IvanDuque #SosCucu…</t>
  </si>
  <si>
    <t>Todas las personas nacionales y extranjeras con títulos en medicina o en enfermería o similares y los estudiantes d… https://t.co/xv9sABnZ1S</t>
  </si>
  <si>
    <t>Si la mayor parte de la droga sale por el Pacífico desde Colombia hacia Guatemala, ¿por qué los barcos de USA van h… https://t.co/KZeHrFsD7D</t>
  </si>
  <si>
    <t>RT @elquelosdelata: Hay 11 abogados y varios periodistas en el equipo. 3 ciudades, Nueva York, Madrid y Australia reciben toda la evidencia…</t>
  </si>
  <si>
    <t>Obra de @GiodanysF que me envía https://t.co/u0zBjGaP8n</t>
  </si>
  <si>
    <t>Qué tendrán en el corazón los dueños de albergues del centro de Bogotá echando a sus arrendatarios, mujeres, viejos… https://t.co/m6444M0nGP</t>
  </si>
  <si>
    <t>Muy bien alcalde Daniel Quintero, la medida que permite desencadenar otras y proteger las personas en el hogar y ma… https://t.co/PpciupZcVB</t>
  </si>
  <si>
    <t>Presidente del Perú anuncia reforma al sistema sistema de salud, pensiones y la educación pública. https://t.co/UpPLV91PV0</t>
  </si>
  <si>
    <t>RT @petrogustavo: Si la mayor parte de la droga sale por el Pacífico desde Colombia hacia Guatemala, ¿por qué los barcos de USA van hacia l…</t>
  </si>
  <si>
    <t>RT @petrogustavo: Mientras Duque bloquea a Venezuela y ayuda a hundir a su pueblo en el hambre, Venezuela ayuda a Colombia a que su pueblo…</t>
  </si>
  <si>
    <t>Siento que Ivan Duque se dejó presionar del poder económico y quiere levantar el confinamiento No son capaces de t… https://t.co/PFUkzCYbBi</t>
  </si>
  <si>
    <t>El alcalde de Urueña encima del relleno sanitario demuestra que no es quema de basuras. Los puntos de calor por sa… https://t.co/Fv0Im0J9GY</t>
  </si>
  <si>
    <t>RT @petrogustavo: Siento que Ivan Duque se dejó presionar del poder económico y quiere levantar el confinamiento No son capaces de tomar l…</t>
  </si>
  <si>
    <t>¿Señor ministro de defensa; @CarlosHolmesTru si EEUU ataca a Venezuela usted va a prestar suelo colombiano o va ayu… https://t.co/e9J6IzS70K</t>
  </si>
  <si>
    <t>RT @Luis10337702: Ciudadanos presentan casos de desmayos. Se desconocen las causas. 1. Bogotá 2. Cali. @minsalud @HernnAguirre6 https://t.…</t>
  </si>
  <si>
    <t>RT @Tercer_Canal: @petrogustavo muestra su enojo frente a la actitud de @ClaudiaLopez con el San Juan , "¿Dónde estaba Claudia López en la…</t>
  </si>
  <si>
    <t>RT @ismene2: Ve, los colombianos, millones de colombianos, han sido bien recibidos en Venezuela. El único que los trató mal, los echó de un…</t>
  </si>
  <si>
    <t>RT @CallejerosMise: @AlirioUribeMuoz @NestorMoralesC @ClaudiaLopez En las calles del centro de Bogotá se vive una verdadera crisis humanita…</t>
  </si>
  <si>
    <t>RT @amandaasubiar: #COVID19 🇪🇨 | Guayaquil. Hospital del Guasmo. "Cómo se llevan a la gente, los muertos". "Aquí tiene una, allá tiene dos,…</t>
  </si>
  <si>
    <t>RT @covid19esp_: 🗞☣ #Coronavirus #COVID19 AMERICA CIERRE 1/04 🇺🇸215003 🇨🇦9731 🇧🇷6880 🇨🇱3031 🇪🇨2758 🇵🇪1323 🇵🇦1317 🇩🇴1284 🇲🇽1215 🇦🇷1133 🇨🇴10…</t>
  </si>
  <si>
    <t>Los gremios están presionando a Duque para que el 13 de abril levante el confinamiento, cuando la enfermedad va hac… https://t.co/TSxMdzDKZr</t>
  </si>
  <si>
    <t>Miren el festín de negocios que Peñalosa y Cluadia le están entregando a los consorcios españoles corruptos privat… https://t.co/oNtoPICyOa</t>
  </si>
  <si>
    <t>COPASA a la que Peñalosa/Claudia le entregaron la demolición del San Juan de Dios y privatización ha incumplido com… https://t.co/WOpeZsrjkJ</t>
  </si>
  <si>
    <t>Simón Bolívar y Santander le quitaron el hospital san juan de Dios a los españoles para ponerlo al servicio del pue… https://t.co/8fbalvtKVS</t>
  </si>
  <si>
    <t>¿Se preguntan porque es malo privatizar la salud? Por esto. Al privatizar el hospital entra en la lógica de la ga… https://t.co/cu8ICo4rjy</t>
  </si>
  <si>
    <t>México ha logrado comprar UCIs, ¿por qué Colombia y Bogotá no lo han hecho? ¿Dónde esta el gerente? https://t.co/CU0ZY1hQdu</t>
  </si>
  <si>
    <t>Esta denuncia del periodista Ramiro Velásquez habla de manipulación de cifras de muertos, el alcalde de Cali habla… https://t.co/XeeapJAxpj</t>
  </si>
  <si>
    <t>Trump obliga a General Motors a producir respiradores y en Colombia no somos capaces de intervenir la red hospitala… https://t.co/BN92otIy6y</t>
  </si>
  <si>
    <t>La sanción a quienes desalojen gente debe ser el proceso de expropiación por vía administrativa https://t.co/bdZLHHTc2E</t>
  </si>
  <si>
    <t>RT @susanamuhamad: Como resultado de la reflexión sobre la pandemia 21 concejales de Btá apoyados por 4 senadores y 4 representantes, solic…</t>
  </si>
  <si>
    <t>He firmado con otros congresistas y concejales esta carta solicitando a Duque que se intervenga administrativamente… https://t.co/V6irdVA5Z8</t>
  </si>
  <si>
    <t>La prioridad es la salud de los ciudadanos acaba de decir Putin y prolonga el confinamiento en su país En Colombia… https://t.co/L0d7sXihV3</t>
  </si>
  <si>
    <t>RT @petrogustavo: Miren el festín de negocios que Peñalosa y Cluadia le están entregando a los consorcios españoles corruptos privatizando…</t>
  </si>
  <si>
    <t>¿Qué pasa en Colombia si nuestra seguridad alimentaria se basó en la importación de alimentos y los grandes países… https://t.co/j3qovz59o3</t>
  </si>
  <si>
    <t>Colombia al destruir su producción alimentaria interna con altos nutrientes, para importarla, y financiar esa impor… https://t.co/3InLJzEtVV</t>
  </si>
  <si>
    <t>El gobierno debe abandonar la asistencia en dinero a los más pobres, los especuladores se quedaran con el dinero.… https://t.co/gvhZRlgAWa</t>
  </si>
  <si>
    <t>Colombia equivocó su camino al no construir su propia seguridad alimentaria con producción interna y pensar que se… https://t.co/8hoCAxB1Mq</t>
  </si>
  <si>
    <t>Cuando necesitamos alimentar la población con producción alimentaria interna cabe la pregunta. ¿Qué estamos hacie… https://t.co/hQRB19cgQ7</t>
  </si>
  <si>
    <t>Miren el puesto de Colombia en realización de pruebas de Covid19 por millón de habitantes. El INS debería tener un… https://t.co/Cq5Us4MgF7</t>
  </si>
  <si>
    <t>Esta es la causa de la contaminación de Cúcuta. Incendios forestales y cambio climático https://t.co/0HTSNay1Uv</t>
  </si>
  <si>
    <t>Al no hacer pruebas suficientes porque: 1. No las compraron antes 2. delegaron en EPS Entonces hay enfermos que m… https://t.co/9E3vycQuyU</t>
  </si>
  <si>
    <t>Si el número de pruebas ayer en total sólo llegaba a 17.000, y el cuadro se hizo con una fecha anterior, la cifra u… https://t.co/sznNpRKbEO</t>
  </si>
  <si>
    <t>RT @petrogustavo: Al no hacer pruebas suficientes porque: 1. No las compraron antes 2. delegaron en EPS Entonces hay enfermos que mueren…</t>
  </si>
  <si>
    <t>RT @Airtontorresj: Mi mamá pinta y está vendiendo este cuadro que acabó de pintar anoche .medidas 1.30 x 1.10 $1.000.000, porfa si puedes…</t>
  </si>
  <si>
    <t>Así empiezan a ampliar los cementerios en el Estado de la Florida en EEUU El entierro del sueño americano. https://t.co/cubGKJ9Bv6</t>
  </si>
  <si>
    <t>RT @RV_Berganza: Ecuador tenía salud pública. Correa dejó un presupuesto anual de 320 millones de dólares. El traidor Lenin Moreno lo redu…</t>
  </si>
  <si>
    <t>RT @cielo_rusinque: ”Otra crítica podría ser adelantada desde más arriba; no haber actuado de manera que los servicios públicos se mantuvie…</t>
  </si>
  <si>
    <t>RT @petrogustavo: Así empiezan a ampliar los cementerios en el Estado de la Florida en EEUU El entierro del sueño americano.</t>
  </si>
  <si>
    <t>Demostraciones de qué pasa por no hacer las pruebas a tiempo y dejarlas en manos de la EPS Conductor se enferma y… https://t.co/UrMamtGAoX</t>
  </si>
  <si>
    <t>884 ancianos han muerto sin ser atendidos en instituciones geriátricas. Lo que llamábamos en Colombia ancianatos se… https://t.co/dyg4jBcDQG</t>
  </si>
  <si>
    <t>Cementerios exprés en Brasil. Enterrar centenares de personas en minutos. Las consecuencias de gobiernos indolente… https://t.co/W5JL9nfopp</t>
  </si>
  <si>
    <t>Bien que echen atrás el negocio de la compra de la clínica de saludcoop que deben intervenir inmediatamente y poner… https://t.co/7bEmJFkev9</t>
  </si>
  <si>
    <t>La expropiacion por vía administrativa es una venta obligada y rápida. Si el Estado compra las casas donde se ejerc… https://t.co/CWrEqzWbj9</t>
  </si>
  <si>
    <t>Si el gobierno ordena el cese de pagos de deudas, no se genera pagos de capital fijo del distrito a los operadores… https://t.co/EdHSsERjxA</t>
  </si>
  <si>
    <t>RT @petrogustavo: Bien que echen atrás el negocio de la compra de la clínica de saludcoop que deben intervenir inmediatamente y ponerla al…</t>
  </si>
  <si>
    <t>Ahora podría decirnos ¿por qué es mejor gastar 500.000 millones por un edificio nuevo privatizado llamado hospital… https://t.co/bnc3zWGUd8</t>
  </si>
  <si>
    <t>La convocatoria presencial del Congreso, que movería más de 2.500 personas es un indicio más que el gobierno de Duq… https://t.co/6RLBPja7AM</t>
  </si>
  <si>
    <t>RT @petrogustavo: Demostraciones de qué pasa por no hacer las pruebas a tiempo y dejarlas en manos de la EPS Conductor se enferma y no sab…</t>
  </si>
  <si>
    <t>El congelamiento de los pagos de crefitos o deudas no es una atribución de Asobancaria, que en su naturaleza de in… https://t.co/vi1suK6A2D</t>
  </si>
  <si>
    <t>Entre los países que hacen más de 200 pruebas por millón de habitantes, 67 en total, para el 28 de marzo, Colombia… https://t.co/Yn3dTMTeBt</t>
  </si>
  <si>
    <t>Es por esto que siempre quien salga a la calle debe tener tapabocas. https://t.co/9V5vpbjXMW</t>
  </si>
  <si>
    <t>Edwin Peña, militante de Colombia Humana en Cali y defensor de familia del ICBF, murió por el Covid 19, su esposa e… https://t.co/5j91L0nRFB</t>
  </si>
  <si>
    <t>El peor error de Duque y Claudia es dejar que las EPS manejen el proceso de tratamiento del virus. Un sistema hecho… https://t.co/KmPqE5W10M</t>
  </si>
  <si>
    <t>RT @cielo_rusinque: Han escuchado la tal ”estrategia del acordeón“ con la que @IvanDuque piensa manejar la cuarentena? Piensa jugar con nu…</t>
  </si>
  <si>
    <t>Esto es un irrespeto total a la vida. La.alcaldia debe ser capaz de lograr que la gente se confine en su casa o emp… https://t.co/ajT9tSxqeh</t>
  </si>
  <si>
    <t>Aunque no estoy de acuerdo en emitir dinero, eso sería de las últimas alternativas, básicamente porque se vuelve li… https://t.co/UBLh52RC8W</t>
  </si>
  <si>
    <t>Cuando Alemania se hundía en la crisis del 29 decidieron echarle la culpa de todo a los judios, en Colombia y en Bo… https://t.co/dh2JQSYNWJ</t>
  </si>
  <si>
    <t>Para que los alimentos lleguen a las casas de las personas hay que reactivar territorios saludables. Pero como fue… https://t.co/VxvJNXt6c0</t>
  </si>
  <si>
    <t>No es generosidad incluir en el gasto al refugiado, al contrario, es un deber. El sentido del impuesto es financiar… https://t.co/jDFvOFFGqC</t>
  </si>
  <si>
    <t>¿Por qué se habrá olvidado el principio que dió inicio a la República en nuestro país?: "Los pueblos son soberanos"… https://t.co/J8KAdX9T6r</t>
  </si>
  <si>
    <t>Ignorantes los congresistas que piensan que una expropiación por vía administrativa de acuerdo a nuestra Constituci… https://t.co/ZoyxYTN72d</t>
  </si>
  <si>
    <t>BogotáHumana entregó a 31 de diciembre del 2015 mil equipos de salud, la actual alcaldía solo lleva 74 porque lo ha… https://t.co/fZoRYiZXEg</t>
  </si>
  <si>
    <t>RT @petrogustavo: Ignorantes los congresistas que piensan que una expropiación por vía administrativa de acuerdo a nuestra Constitución es…</t>
  </si>
  <si>
    <t>La idea de los políticos que se han robado el dinero de la salud en el Caribe, es aprovechar los recursos públicos… https://t.co/aKNAdqEXLz</t>
  </si>
  <si>
    <t>No hay otra manera hasta ahora descubierta para desacelerar el crecimiento del virus que el confinamiento más estri… https://t.co/zBE3fCClLQ</t>
  </si>
  <si>
    <t>Sigue en la mentalidad de una parte acomodada del país el creer que la inversión social en la gente menos pudiente… https://t.co/wDEYDioUj6</t>
  </si>
  <si>
    <t>El desalojo de arrendatarios vulnerables en medio de la epidemia es un crimen. Por eso los arrendadores deben saber… https://t.co/9wkpm9sJwh</t>
  </si>
  <si>
    <t>RT @nicolaspetroB: En vez de andar aplaudiendo a Duque, deberían exigirle la gratuidad de los servicios públicos por estos 3 meses para los…</t>
  </si>
  <si>
    <t>Ya no hacen malls en Florida sino cementerios y el gran estadio del fútbol mundial será hospital de campaña. Bogot… https://t.co/K2pRHhwXIa</t>
  </si>
  <si>
    <t>RT @petrogustavo: Sigue en la mentalidad de una parte acomodada del país el creer que la inversión social en la gente menos pudiente es una…</t>
  </si>
  <si>
    <t>RT @petrogustavo: ¿Qué pasa en Colombia si nuestra seguridad alimentaria se basó en la importación de alimentos y los grandes países produc…</t>
  </si>
  <si>
    <t>Un presidente ignorante y vago. Este era el heroe internacional de la mentalidad extremo derechista. https://t.co/Na2hU98nMe</t>
  </si>
  <si>
    <t>Ha estallado la piratería en el comercio mundial, EEUU se toma envíos en curso a países como Alemania, Francia y Ca… https://t.co/QP70jHvMi5</t>
  </si>
  <si>
    <t>El Sena, el ICBF y las Cajas de compensación quedan desfinanciadas con la medida de abolir parafiscales. Era prior… https://t.co/cM53j5rlfa</t>
  </si>
  <si>
    <t>La propuesta oficial del Centro Democratico para enfrentar la crisis es endeudar más a la gente. Esto solo benefic… https://t.co/ZTPGjTk2AO</t>
  </si>
  <si>
    <t>Reestablecer producción agraria de alimentos, implica construir la compra estatal de cosechas y el abastecimiento c… https://t.co/ecMBAXdYJp</t>
  </si>
  <si>
    <t>Construir seguridad alimentaria sobre la base de producción interna Los créditos a campesinos sin tasa de interés… https://t.co/9AV2PXl0rf</t>
  </si>
  <si>
    <t>RT @DavidRacero: Cuatro propuestas económicas para afrontar la crisis. @petrogustavo https://t.co/wcOE5eSymr</t>
  </si>
  <si>
    <t>Vuelve a recordarnoslo la Organización mundial de la Salud, levantar el confinamiento sería muchísimo más costoso e… https://t.co/RTKZEpuYjm</t>
  </si>
  <si>
    <t>Lo(a)s voluntaria(o)s de Colombia Humana deben usar redes con la comunidad Si Duque no cambia su política social d… https://t.co/KPIi8BkOMu</t>
  </si>
  <si>
    <t>RT @SRE_mx: México reitera su apego al principio constitucional de no intervención y autodeterminación de los pueblos. Los asuntos de los v…</t>
  </si>
  <si>
    <t>Estoy a la espera de que entre aunque sea la primera unidad de ayuda respiratoria nueva y nada. De eso dependerá t… https://t.co/8UCYz8TjRU</t>
  </si>
  <si>
    <t>RT @heidy_up: @AlejaR_UP, edilesa de C. Bolívar, denuncia el hostigamiento del que fue víctima la comunidad del barrio Bella Flor ayer por…</t>
  </si>
  <si>
    <t>El Estado de Nueva York confiscará los respiradores de las clínicas privadas. ¿Será que el Estado de Nueva York se… https://t.co/sB3Z4sthk2</t>
  </si>
  <si>
    <t>#LaSaludEsPública #LaSaludNoEsUnNegocio Vamos con toda https://t.co/bnX3pDT5pj</t>
  </si>
  <si>
    <t>RT @NicolasMaduro: Tal y como lo había anunciado, tengo listas las 2 maquinas nuevas de diagnóstico del COVID-19 para ser entregadas de inm…</t>
  </si>
  <si>
    <t>RT @alejand01676940: @DEVISRangel @merv59 @infopresidencia https://t.co/Xup3M3XtNT</t>
  </si>
  <si>
    <t>RT @ricardobonillag: Con 6 nuevos fallecidos (4 Btá, 1 Bquilla y 1 Soledad) tasa letalidad sube a 1.97%. No hay nuevo recuperado. El de Bgu…</t>
  </si>
  <si>
    <t>¿Saben que pasaría si hay un ataque de EEUU a Venezuela? 1. Millones de venezolanos entrarían a Colombia 2. Muchas… https://t.co/cXPI25QAel</t>
  </si>
  <si>
    <t>Duque ha cometido la torpeza final, en medio de la pandemia: calentar la frontera colombo venezolana. Una guerra a… https://t.co/ya9yzv8D5m</t>
  </si>
  <si>
    <t>RT @anateresabernal: Estos fueron los equipamientos con que dotamos al Hospital El Tintal. Bogotá Humana tenía muy claro que #LaSaludNoEsUn…</t>
  </si>
  <si>
    <t>RT @petrogustavo: ¿Saben que pasaría si hay un ataque de EEUU a Venezuela? 1. Millones de venezolanos entrarían a Colombia 2. Muchas guerr…</t>
  </si>
  <si>
    <t>Violaron de nuevo la Constitución con tropas extranjeras en Colombia sin autorización alguna del senado de la Repúb… https://t.co/1TEXL8w9B2</t>
  </si>
  <si>
    <t>RT @anateresabernal: En la administración Peñalosa, el sector privado alcanzo a acaparar el 90% de la prestación de servicios de salud en B…</t>
  </si>
  <si>
    <t>RT @susanamuhamad: #LaSaludNoEsUnNegocio @ClaudiaLopez Por cada 20 camas en el norte de Bogotá hay 1 cama en el Sur. La equidad en la aten…</t>
  </si>
  <si>
    <t>RT @carlos19730516: @merv59 @infopresidencia Aquí esta en cámara lenta, saquen sus propias conclusiones https://t.co/k7473hlMFw</t>
  </si>
  <si>
    <t>RT @ColombiaHumana_: Bogotá tenia en 2015 la mejor herramienta con la que hoy se podría combatir el coronavirus y Peñalosa la acabó. Más d…</t>
  </si>
  <si>
    <t>RT @ReynaldVillalba: Pte @IvanDuque, dígale al país si esto es verdad. De serlo, dígale quién autorizó presencia o desembarco de tropas…</t>
  </si>
  <si>
    <t>RT @FedemedicaC: Cuando los colombianos nos unimos hacia un mismo fin, cambiamos la historia. Colombia llegó la hora de cambiar la histor…</t>
  </si>
  <si>
    <t>RT @wilcan91: Esto es lo que tenemos hasta ahora: 1. Dos helicópteros colombianos hicieron maniobras de desembarco en un sector del barrio…</t>
  </si>
  <si>
    <t>RT @luisrodevia: ¿Entonces Petro volvió a tener razon con lo del tapabocas? cero y van 15 https://t.co/oBNvRhWq7W</t>
  </si>
  <si>
    <t>RT @petrogustavo: #LaSaludEsPública #LaSaludNoEsUnNegocio Vamos con toda https://t.co/bnX3pDT5pj</t>
  </si>
  <si>
    <t>RT @taniapsuv: 🇻🇪"HE ORDENADO LA MOVILIZACIÓN DE PIEZAS DE ARTILLERÍA... • Grupos financiados desde EEUU y Colombia preparan acciones armad…</t>
  </si>
  <si>
    <t>RT @CasandroMartell: Mientras Maduro ofrece máquinas a Colombia para luchar contra el Covid, Duque permite el desembarco de tropas gringas…</t>
  </si>
  <si>
    <t>Ay amigo que sepa los laboratorios de cocaína no están allá, sino por acá, en fincas, allá está el petróleo a manos… https://t.co/dOLDMhLr3d</t>
  </si>
  <si>
    <t>El camino de América Latina es el conocimiento y la biodiversidad https://t.co/ueh3w5gp4T</t>
  </si>
  <si>
    <t>RT @christiamchapar: Hoy los balcones y puertas de Italia tienen sábanas blancas con mensajes de despedida a Lorena Quaranta, doctora de 27…</t>
  </si>
  <si>
    <t>Dejar las pruebas de Covid19 a las EPS para aquellas personas que se sienten ya enfermas se pierde completamente la… https://t.co/1MjSXIBXye</t>
  </si>
  <si>
    <t>RT @ma_eugeniam: Me han llamado algunos colegas a recordarme que el debate del San Juan de Dios, era el mismo que libraban los decanos del…</t>
  </si>
  <si>
    <t>RT @ma_eugeniam: Otros preguntan, ¿si aquello que se vió son efectos del video, del abandono después de la aprobación del obligatorio PEMP…</t>
  </si>
  <si>
    <t>RT @Pedropsalas: A que juega @IvanDuque Militares de Colombia y EE.UU. realizan entrenamientos en Cartagena https://t.co/oWeBKmBwXd vía @…</t>
  </si>
  <si>
    <t>RT @MaPaulaFonseca: La alcaldesa @ClaudiaLopez firmó contrato llave en mano (estudio, diseños, construcción y operación 5años del H. San Ju…</t>
  </si>
  <si>
    <t>RT @drcata: Hoy pedimos a un médico en Bogotá por el Coronavirus. Mientras los funcionarios de la alcaldía usan los trajes de bioseguridad…</t>
  </si>
  <si>
    <t>RT @CarolinaCorcho: Hemos solicitado al Ministro de Salud intervenir recursos de ARL para hacer compra centralizada de insumos de bioseguri…</t>
  </si>
  <si>
    <t>RT @AlexLopezMaya: En semejante Pandemia y no pagan salarios a trabajador@s del hospital San Juan de Dios en Cali. Sr @IvanDuque @MinSaludC…</t>
  </si>
  <si>
    <t>RT @petrogustavo: Lo(a)s voluntaria(o)s de Colombia Humana deben usar redes con la comunidad Si Duque no cambia su política social debemos…</t>
  </si>
  <si>
    <t>RT @marthaperaltae: Por esta situación de riesgo y hambre que viven nuestras comunidades indígenas en todo el país es q solicitamos la entr…</t>
  </si>
  <si>
    <t>Esta foto tomada en el edificio central del San Juan de Dios en Bogotá parece demostrar que fueron rotas las instal… https://t.co/XwSdcwI7Ld</t>
  </si>
  <si>
    <t>RT @BajoTurmeque: Quien se iba a imaginar que en el país donde se vota no a la paz iban a discriminar al personal médico.</t>
  </si>
  <si>
    <t>A muerto Aute,, poeta y cantor español, esta canción "al Alba" la hizo en homenaje a los republicanos fusilados por… https://t.co/bLW7tiE5qc</t>
  </si>
  <si>
    <t>La prensa debe seguir minuciosamente, así como seguían nuestra flota del aseo, el proceso de compra de respiradores… https://t.co/e9tsN406za</t>
  </si>
  <si>
    <t>RT @coxsackie2008: @petrogustavo Así o más claro https://t.co/yE4UzMHAAA</t>
  </si>
  <si>
    <t>Excelente que la clínica de saludcoop abra puertas para luchar contra el coronavirus en manos del gobierno local.… https://t.co/lSJoUA1lJ1</t>
  </si>
  <si>
    <t>RT @ConElMazoDando: Presidente Nicolás Maduro activó operación militar Escudo Bolivariano y movilización de artillería https://t.co/OZc5mkW…</t>
  </si>
  <si>
    <t>Muerto en la calle frente a la gobernación en Cali. El sistema de salud de las EPS marca su ruta con muertos. https://t.co/0ukqs2iyKl</t>
  </si>
  <si>
    <t>"La belleza" de Luis Eduardo Aute QEPD https://t.co/r7dKv3s0gR</t>
  </si>
  <si>
    <t>RT @MashiRafael: Rafael Correa: El coronavirus nos enseña que la salud es un derecho, no una mercancía - CNN Video https://t.co/BPiM14RWDN</t>
  </si>
  <si>
    <t>La OPS, Organización Panamericana de la Salud, vaticina "tsunami" de casos en América Latina. La desigualdad socia… https://t.co/mkFm0Fu5T4</t>
  </si>
  <si>
    <t>La desigualdad social o se pesca en Quibdó o hay hambre y el Estado no envía ni un solo tapabocas. https://t.co/XDE3sCPrdu</t>
  </si>
  <si>
    <t>Asesinaron al líder campesino Hamilton Gasca, a sus tres hijos menores de edad, y su esposa está desaparecida, en P… https://t.co/HeQIWTmbgW</t>
  </si>
  <si>
    <t>RT @susanamuhamad: https://t.co/H4PjKP3Tfk No es que no hubiese otras máquinas en el país, es que estaban en laboratorios privados. @IvanDu…</t>
  </si>
  <si>
    <t>RT @petrogustavo: Asesinaron al líder campesino Hamilton Gasca, a sus tres hijos menores de edad, y su esposa está desaparecida, en Piamont…</t>
  </si>
  <si>
    <t>RT @SaraTufanoZ: .@HassNassar: ¿me quiere poner en la picota pública? No es fake news, sabe que nos referimos a un video que circula y de a…</t>
  </si>
  <si>
    <t>En toda Colombia, las familias que tengan necesidad de alimento saquen una bandera roja a la calle. Permitirá más… https://t.co/MiYazI3gRF</t>
  </si>
  <si>
    <t>En Piendamó, Cauca, esta joven madre está enferma del virus y solo le recetaron acetaminofén, que es contraproducen… https://t.co/mIeBytGlQT</t>
  </si>
  <si>
    <t>Marsella, Risaralda, barrio Santander, anciano cae en la calle, tiene fiebre, no llega la ambulancia https://t.co/wJRRmqkbud</t>
  </si>
  <si>
    <t>Vicky vuelve a poner el tema de la expropiación por vía administrativa como si fuera chavismo, la senadora Cabal no… https://t.co/aMpCLEWXIr</t>
  </si>
  <si>
    <t>RT @SandraPerezSiii: -Necesitamos hacer negocio con el San Juan De Dios por eso vamos a demolerlo,para construirle una clínica privada(EPS)…</t>
  </si>
  <si>
    <t>Joven madre, enferma al parecer de covid 19 sin atención médica en Piendamó, Cauca. https://t.co/kwoOmvaTH9</t>
  </si>
  <si>
    <t>Maria Jimena dice que Uribe habló con Lucas Gnecco Cechar, paramilitar, acusado de asesinato, preso en domicilio, p… https://t.co/VKeYH5Co3K</t>
  </si>
  <si>
    <t>Aquí les presento mi intervención en Comisión Primera de Senado, sobre la pandemia y la situación carcelaria https://t.co/aSjY3pnYDh</t>
  </si>
  <si>
    <t>Señora periodista @NattiRueda, ninguna de mis palabras es refutada por su información. Es de una extrema torpeza ca… https://t.co/8vdo1xTBIX</t>
  </si>
  <si>
    <t>El crecimiento del número de muertes por el coronavirus en los dos últimos días se sitúa en 32 y 28%: altísimo. Es… https://t.co/JkE7UaCo6m</t>
  </si>
  <si>
    <t>RT @petrogustavo: Aquí les presento mi intervención en Comisión Primera de Senado, sobre la pandemia y la situación carcelaria https://t.co…</t>
  </si>
  <si>
    <t>He escrito antes que ni el gobierno de Duque ni el de Claudia se prepararon para la epidemia. Hasta ahora Duque, h… https://t.co/x7yrFuVh4L</t>
  </si>
  <si>
    <t>La empresas contratadas son: Quirugil SAS con 800 respiradores, Mindray con 274 E Instrumentación SAS con mil En M… https://t.co/IwNu6BVuyr</t>
  </si>
  <si>
    <t>RT @petrogustavo: He escrito antes que ni el gobierno de Duque ni el de Claudia se prepararon para la epidemia. Hasta ahora Duque, hace an…</t>
  </si>
  <si>
    <t>¿Por qué que había personas trabajando en esa mina si debían estar confinadas? ¿Será que la ministra de minas dejó… https://t.co/Zqi1x95z7R</t>
  </si>
  <si>
    <t>RT @petrogustavo: La empresas contratadas son: Quirugil SAS con 800 respiradores, Mindray con 274 E Instrumentación SAS con mil En Mayo se…</t>
  </si>
  <si>
    <t>RT @FCBosque: "Aislamiento inteligente" Nuevo eufemismo uribista en el que con tres rezos te echarán a la Pandemia para que sigas producién…</t>
  </si>
  <si>
    <t>Esto es fascismo puro. Esta agrupación armada decide pena de muerte a quien viole la cuarentena. Si no mata el vir… https://t.co/gZvSevBPpI</t>
  </si>
  <si>
    <t>RT @jaarreaza: Efectivamente y para sorpresa de tod@s, está tarde, a través de la @opsoms, nos informaron que el gobierno de Colombia no ac…</t>
  </si>
  <si>
    <t>Rechazar las máquinas de alta capacidad para hacer las pruebas del virus que donaba Venezuela es criminal. La úni… https://t.co/0Zn3baociy</t>
  </si>
  <si>
    <t>RT @ChalecosAmarill: ⭕⚠️ #Ecuador 🇪🇨 🔻Según ONG de DDHH, más de 10.000 ecuatorianos huyen al día por #Peru 🇵🇪 debido al genocidio #COVID1…</t>
  </si>
  <si>
    <t>RT @petrogustavo: Rechazar las máquinas de alta capacidad para hacer las pruebas del virus que donaba Venezuela es criminal. La única don…</t>
  </si>
  <si>
    <t>Los enchufes que ven en las paredes, son las conexiones a redes de emisión de oxígeno continuo que están en esta cl… https://t.co/saVb88GgCB</t>
  </si>
  <si>
    <t>Esta masacre que asesina toda una familia con menores de edad, es parte de un delito de lesa humanidad: el asesinat… https://t.co/lnsGdO7SYd</t>
  </si>
  <si>
    <t>Las donaciones son descontables del impuesto de renta, por eso a las personas dueñas de grandes fortunas y empresas… https://t.co/KZKhPrblbi</t>
  </si>
  <si>
    <t>No hay cuarentena inteligente, lo que hay es temor a una política social mucho mayor de la habitual para mantener a… https://t.co/Yb6StX69dI</t>
  </si>
  <si>
    <t>23 muertos en la masacre de la cárcel Modelo por querer seguridad ante el virus, 17 muertos por explosiones en mina… https://t.co/tOxcc20Oj7</t>
  </si>
  <si>
    <t>Para periodistas e interesados esta información técnica sobre las pruebas rápidas para detectar el virus, me parece… https://t.co/i6slD0SMSa</t>
  </si>
  <si>
    <t>RT @ricardobonillag: Con 32 muertos, tasa letalidad sube a 2.28%, promedio mundial es 5.4%. Fallecen 19 mayores 60 años, su tasa letalidad…</t>
  </si>
  <si>
    <t>El número de muertos por el virus crece mucho más que el número de contagiados. Esto se debe a nuestra debilidad pa… https://t.co/9Bi8aAfhL9</t>
  </si>
  <si>
    <t>"Goyo" Hernández financió la campaña de Duque en Cesar, pero por indicación del paramilitar, acusado de asesinato,… https://t.co/MjkPuV2cxg</t>
  </si>
  <si>
    <t>RT @charry_manager: El campesinado en Usme en su infinita grandeza y frente al olvido del gobierno de @ClaudiaLopez y viendo que sus vecino…</t>
  </si>
  <si>
    <t>Los ventiladores no llegarán sino hasta Julio en su mayor parte Y solo llegarán en Julio, porque los compraron muy… https://t.co/l4sLavR35g</t>
  </si>
  <si>
    <t>RT @elpais_america: "Donald Trump ha propuesto cada año recortes de un tercio en investigación científica", explica Joseph Stiglitz, Nobel…</t>
  </si>
  <si>
    <t>La voz de Dios https://t.co/KdpWEZ5Nm9</t>
  </si>
  <si>
    <t>Sabemos que los respiradores no llegarán cuando toca, lo cual dejará muchos muertos que pudieron ser salvados, el e… https://t.co/frzCwghu0M</t>
  </si>
  <si>
    <t>Sólo hasta que Italia tomó la decisión de cesar la producción, de manera tardía en mi opinión, comenzó a bajar su n… https://t.co/otksH84nnm</t>
  </si>
  <si>
    <t>Por lógica del capital mundial, se desplazó toda la producción de tapabocas a China, como buena parte de la producc… https://t.co/zLKtHPNvxz</t>
  </si>
  <si>
    <t>Miren este artículo de cómo maneja cierta prensa la propuesta de nacionalizaciones, si viene de derecha o del progr… https://t.co/OMm4ntUF5B</t>
  </si>
  <si>
    <t>RT @HassNassar: Si hay que agregarle el adjetivo "inteligente" para que suene mejor o la gente se lo crea, simplemente no lo es.</t>
  </si>
  <si>
    <t>El Goyo, el Ñeñe y el Ñoño, la triste historia de una región que se condena a la pobreza dejando que el poder sea d… https://t.co/U0orGpjwTm</t>
  </si>
  <si>
    <t>Varias mentiras en un solo trino. El muerto es de verdad un muerto, está tirado al frente de la gobernación del Val… https://t.co/fBXla0nCDv</t>
  </si>
  <si>
    <t>El narcoparamilitar poderoso que hace negocios con la Vicepresidente de la República de Colombia. Pero Trump mira… https://t.co/Kz8jKUQz07</t>
  </si>
  <si>
    <t>Y si coincidimos que el capitalismo salvaje puede acabar con toda la humanidad, ¿no es hora de acordar el programa… https://t.co/Szvi96kHRZ</t>
  </si>
  <si>
    <t>Le solicito a Claudia en caso que el Presidente levante parcialmente la cuarentena, que use el Estatuto orgánico de… https://t.co/iVJxqevnSg</t>
  </si>
  <si>
    <t>¡Ave maría! Nunca encarcelaré mi pensamiento ni mi palabra. Incluso creo que hay que "exigir" que no se levante n… https://t.co/yhX3GQe1xr</t>
  </si>
  <si>
    <t>La mención de Corea que hace Duque es porque Corea no hizo confinamiento sino que confinó el virus, y usaban la int… https://t.co/5pXUfGSicN</t>
  </si>
  <si>
    <t>¿Se aplana la curva en Colombia? https://t.co/dm3WIOyxPm</t>
  </si>
  <si>
    <t>RT @geoduque: Venezolanos abandonando el paraíso capitalista que es Colombia 😑 https://t.co/zzJ9XWHTDZ</t>
  </si>
  <si>
    <t>Estos son las horas en que el ministerio de salud esta dando al público sus reportes sobre la trayectoria del virus… https://t.co/ReWItLQPGt</t>
  </si>
  <si>
    <t>RT @petrogustavo: La mención de Corea que hace Duque es porque Corea no hizo confinamiento sino que confinó el virus, y usaban la inteligen…</t>
  </si>
  <si>
    <t>Con fuente en la economista viernamita @Trinhnomics este cuadro muestra la restricción de movilidad respecto al mu… https://t.co/cQc0qswQil</t>
  </si>
  <si>
    <t>La sociedad coreana es lo que llama Nordhaus, un sistema altamente gestionado, cada paso de los coreanos puede segu… https://t.co/4Ptfhbbo4M</t>
  </si>
  <si>
    <t>RT @Julianaramirez6: ¿Los actores de este video ya se pronunciaron sobre el decreto que los afecta?🤷‍♀️</t>
  </si>
  <si>
    <t>Se equivoca Duque cuando cree que reduciendo espacios de actores nacionales y permitiendo series de televisión inte… https://t.co/Hy3cyNpvlr</t>
  </si>
  <si>
    <t>Es indudable que Duque va a aflojar la cuarentena y tal decisión que sería mortal, debe ser confrontada por la sociedad colombiana.</t>
  </si>
  <si>
    <t>No hay otra razón para aflojar la cuarentena en plena expansión del virus sino por la necesidad para algunos muy p… https://t.co/mMr7JJnjEr</t>
  </si>
  <si>
    <t>RT @sergiobarbosach: #AislamientoInteligente que vayan a trabajar los obreros y que los jefes se queden encerrados ! Esa es una macabra po…</t>
  </si>
  <si>
    <t>RT @petrogustavo: Es indudable que Duque va a aflojar la cuarentena y tal decisión que sería mortal, debe ser confrontada por la sociedad c…</t>
  </si>
  <si>
    <t>La necesidad de mantener la cuarentena es vital. Quieren levantarla porque no quieren asumir la política social que… https://t.co/DlmgvIy13c</t>
  </si>
  <si>
    <t>RT @TobonSanin: Señor Robin Hood al revés. En tanto no exista una vacuna, el aislamiento TOTAL SIGUE. Colombia NO tiene garantías para salv…</t>
  </si>
  <si>
    <t>Protestas contra albergues para inmigrantes, protestas para que los médicos no vivan junto, ¿Qué es eso?: Una soci… https://t.co/6ho8cb89N0</t>
  </si>
  <si>
    <t>Duque, quizás siguiendo a la senadora Guerra, dijo hoy que Colombia tiene mas UCIs por millón de habitante que la m… https://t.co/iVlkWQ1TVR</t>
  </si>
  <si>
    <t>El gobierno si tiene los recursos para financiar la cuarentena estricta y a largo plazo. Si se decreta que no se p… https://t.co/iymdxE9Qnn</t>
  </si>
  <si>
    <t>Ni existe el petrismo ni tenemos bodegas, respete. https://t.co/bulOeuwxVk</t>
  </si>
  <si>
    <t>RT @petrogustavo: El gobierno si tiene los recursos para financiar la cuarentena estricta y a largo plazo. Si se decreta que no se paguen…</t>
  </si>
  <si>
    <t>Las decisiones de Duque no son los consejos ni de Corea del sur ni de los expertos en Salud, son consejos de los banqueros.</t>
  </si>
  <si>
    <t>Represar las pruebas, sea porque se dañó la máquina, sea porque las tomaron mal los de las EPS, sea porque se quier… https://t.co/I9cKvziXGy</t>
  </si>
  <si>
    <t>Y quienes se benefician con bajar la cuota nacional en la televisión? Dos personas: Ardila Lulle dueño de RCN y San… https://t.co/y4GvBF7ZGS</t>
  </si>
  <si>
    <t>RT @AntonioSanguino: Habermas : “En desarrollo d la crisis se ha visto algunos políticos q vacilan en basar su estrategia en q el esfuerzo…</t>
  </si>
  <si>
    <t>RT @petrogustavo: Represar las pruebas, sea porque se dañó la máquina, sea porque las tomaron mal los de las EPS, sea porque se quiera apla…</t>
  </si>
  <si>
    <t>RT @petrogustavo: Las decisiones de Duque no son los consejos ni de Corea del sur ni de los expertos en Salud, son consejos de los banquero…</t>
  </si>
  <si>
    <t>La conversación entre Alvaro Uribe y el paramilitar Lucas Gnecco Cechar, para apoyar a Duque es más grave que el ap… https://t.co/Jz3PbAx8DK</t>
  </si>
  <si>
    <t>RT @elquelosdelata: Quieren que salga la gente...¿Y a qué? A comprar con toneladas de muertos carteras y relojes y a las filas de fantasmas…</t>
  </si>
  <si>
    <t>RT @petrogustavo: Ni existe el petrismo ni tenemos bodegas, respete.</t>
  </si>
  <si>
    <t>RT @fcarrilloflorez: Es doloroso decirlo, pero las cifras que conocemos hoy de infectados por #Covid_19 no son reales. Hay que trabajar en…</t>
  </si>
  <si>
    <t>Hemos pedido que se suspenda el servicio de Transmilenio porque congrega poblacion y no es coherente con la lucha c… https://t.co/jYinRS8lkZ</t>
  </si>
  <si>
    <t>Cuando las autoridades expresan discursos xenofóbicos automáticamente se convierte en violencia en la base de la so… https://t.co/TNqaDxGisA</t>
  </si>
  <si>
    <t>Los dueños de los bancos y las más grandes empresas presionan a Duque para levantar la cuarentena y arriesgar la vi… https://t.co/FYPmfJ75vL</t>
  </si>
  <si>
    <t>La extrema derecha de Brasil dale a la calle y presiona a Bolsonaro para que no haya cuarentena. Es la irracionali… https://t.co/cHUHn9440R</t>
  </si>
  <si>
    <t>RT @mamas_fritas: "El patrullero Angel Padilla d la Est. Nueva Floresta el día d hoy 6:15 pm golpea a un menor de edad x estar en el anterj…</t>
  </si>
  <si>
    <t>RT @edgarmorinparis: Difícil establecer cuál será la magnitud del cambio a partir del 'dia después'. Habrá también una fuerza de no-cambio…</t>
  </si>
  <si>
    <t>RT @petrogustavo: Los dueños de los bancos y las más grandes empresas presionan a Duque para levantar la cuarentena y arriesgar la vida de…</t>
  </si>
  <si>
    <t>Estaremos en el gran conversatorio latinoamericano sobre condonación de la deuda. Los esperamos el miércoles 8 de… https://t.co/YLNDuY7BMb</t>
  </si>
  <si>
    <t>Lo que no se debe usar es transmilenio https://t.co/eL1CPQevfC</t>
  </si>
  <si>
    <t>RT @SaraTufanoZ: Mientras @IvanDuque habla de "aislamiento inteligente", @jairbolsonaro incentiva el "aislamiento vertical". Nombres difere…</t>
  </si>
  <si>
    <t>RT @AlexLopezMaya: Países poderosos cómo EE.UU, España e Italia han improvisado el confinamiento obligatorio y hoy no pueden atajar la mort…</t>
  </si>
  <si>
    <t>RT @Angiegars: Me mandan esto, no se si será real, pero me produce terror ver esas imágenes. https://t.co/YW2vgnPZzK</t>
  </si>
  <si>
    <t>RT @oscarsopos: 🇯🇵 Aislamiento de un mes para proteger vidas. 🇮🇹 Extender cuarentena para proteger vidas. 🇪🇦 Extender cuarentena para prote…</t>
  </si>
  <si>
    <t>Esto es en la vía entre Plato, Magdalena, y Carmen de Bolivar, se ha llenado de banderas rojas. En medio de la seq… https://t.co/9a4kwcJ1xW</t>
  </si>
  <si>
    <t>Boris Johnson, quien se oponía al confinamiento obligatorio y hablaba de la "inmunidad de rebaño", bajo la tesis qu… https://t.co/PRjTO3CmXP</t>
  </si>
  <si>
    <t>RT @ma_eugeniam: ¿Cómo así que el edificio Central del San Juan de Dios no tiene valor alguno y se puede demoler, @RevistaSemana, @asantosr…</t>
  </si>
  <si>
    <t>El Congreso aprobó la sobretasa bancaria para vías terciarias. Los contratos de vias terciarias serán asignados a… https://t.co/HEC9USdOJj</t>
  </si>
  <si>
    <t>Detienen a los trabajadores de la salud que van a luchar contra el virus. Y transmilenio ahí como si no hubiera u… https://t.co/NFXaE7tjRI</t>
  </si>
  <si>
    <t>Colombiana buscando comida en la basura. https://t.co/u7J6xFZD03</t>
  </si>
  <si>
    <t>RT @petrogustavo: Este es el momento de suspender ya actividades en colegios y universidades, centros comerciales y fábricas y sitios de pr…</t>
  </si>
  <si>
    <t>Con tapabocas siempre en la calle y ojalá sin transmilenio. https://t.co/5oc7OO6SLJ</t>
  </si>
  <si>
    <t>RT @wilberpreciado: Este es el “aislamiento inteligente” que propone Duque. https://t.co/xb4m30ZJNr</t>
  </si>
  <si>
    <t>RT @FisicoImpuro: Esta noticia no la saldrá en ningún medio de comunicación "importante": Holanda hizo un "Bloqueo Inteligente" y ahora ti…</t>
  </si>
  <si>
    <t>Señor periodista Wuhan mostró el ejemplo a seguir, sólo cuando pudieron controlar el virus y aislarlo y salió el úl… https://t.co/DFDigAwm7u</t>
  </si>
  <si>
    <t>Debido al atraso de dos semanas y el represamiento para examinar muestras, el dato más certero de la evolución de l… https://t.co/nKOhcklLe7</t>
  </si>
  <si>
    <t>Es realmente abusivo el trato de Noticias Uno al ejercicio del control político y a nuestra independencia de la adm… https://t.co/5M0C0aSZ7w</t>
  </si>
  <si>
    <t>Que tal Duque insinuando a Ecuador que priorice la productividad Este frente de gobernantes, varios dictadores, qu… https://t.co/FpddyUmAoa</t>
  </si>
  <si>
    <t>RT @Cindy_Varmu: Esto produce entre nostalgia y rabia. Espero que le demos la oportunidad de que sea nuestro próximo presidente @petrogusta…</t>
  </si>
  <si>
    <t>Dspues de 12 dias esta niña de tres años que había muerto según la noticia de neumonía, es reconocida hoy por el mi… https://t.co/PtHZSEqWuc</t>
  </si>
  <si>
    <t>Banderas rojas en el barrio santa Fé de Bogotá el hambre golpea a la puerta https://t.co/jj98bvv9Oi</t>
  </si>
  <si>
    <t>RT @ColombiaHumana_: Puede ser tu familia la que se contagie de coronavirus. La economia se recupera, pero la vida no. #DuqueTitereDeLosGr…</t>
  </si>
  <si>
    <t>¿Y todavía vamos a apoyar que se privatice la salud de Bogotá? Usme, San Juan de Dios y Bosa, serán hospitales pri… https://t.co/FKC62gbQZ2</t>
  </si>
  <si>
    <t>Yo busco una salida inteligente para la región #PazEntreColombiayVenezuela</t>
  </si>
  <si>
    <t>RT @ChalecosAmarill: 📽🆘️🆘️ #Colombia #URGENTE #BREAKING ⚠️"Señora" @ClaudiaLopez en la localidad de Santa Fe la gente está solicitando ay…</t>
  </si>
  <si>
    <t>Bien por esa decisión. Pero incluirá Mayo también si se.logra hacer estricto. Deben disminuir actividades no esenc… https://t.co/01UJ13RFrv</t>
  </si>
  <si>
    <t>La prolongación de la cuarentena pone de nuevo sobre el tapete la necesidad de cambiar la política social implement… https://t.co/lvjH79MTSA</t>
  </si>
  <si>
    <t>RT @CorteSupremaJ: #SalaDeInstrucción de @CorteSupremaJ se inhibe de abrir proceso penal al senador @petrogustavo por acciones que adelantó…</t>
  </si>
  <si>
    <t>RT @GiordanoBrunoFi: Así como fue el uribismo quien promovió los crímenes de estado por parte de mafiosos y corruptos de la sociedad y del…</t>
  </si>
  <si>
    <t>RT @CarullaMoscoso: Segunda entrega del #MenúSolidario @menusolcol hoy emcontré la ciudad más tensa. Debemos apelar a la solidaridad de to…</t>
  </si>
  <si>
    <t>Muy bien por Emiliano y su cadena de restaurantes que lleva mercados a las casas con bandera roja en el centro de… https://t.co/PqWbPMw1Q3</t>
  </si>
  <si>
    <t>RT @actoresACA: COMUNICADO OFICIAL DE LA ASOCIACIÓN COLOMBIANA DE ACTORES CONTRA EL NUEVO DECRETO 516 DEL 04 DE ABRIL DEL 2020 en el que se…</t>
  </si>
  <si>
    <t>RT @Tercer_Canal: #AlAire “La ciencia no es impoluta, la ciencia puede ser presionada idieologicamente. En este momento no tenemos suficien…</t>
  </si>
  <si>
    <t>RT @ManosLimpiasCo: Esto sucedió hoy en Soacha. Y queremos suspender la cuarentena en 15 días. https://t.co/oDgAOAKZkz</t>
  </si>
  <si>
    <t>RT @pierrealee: Propuestas económicas de @petrogustavo para afrontar la crisis del #CoronavirusEnColombia https://t.co/9PRGZxo8uP</t>
  </si>
  <si>
    <t>RT @jerojasrodrigue: El #TrapoRojo significa S.O.S. Alguien pide auxilio: agua, comida, medicina, consuelo. Lo triste es cuando nadie ve…</t>
  </si>
  <si>
    <t>RT @AlexLopezMaya: !MISERABLES! Jefes de puerto TC BUEN en #buenaventura despiden trabajadores por reclamar elementos de protección contra…</t>
  </si>
  <si>
    <t>RT @Annonnymous_R: "el acordeón nayivanista" refleja la ineptitud de la presidencia y la alcaldía para abordar la pandemia por #COVID19, ad…</t>
  </si>
  <si>
    <t>El gobierno nacional debe suspender toda compra de armamento; este no es el tiempo para guerras. El dinero liberad… https://t.co/Ok2fJK5nyW</t>
  </si>
  <si>
    <t>RT @SaraTufanoZ: El sistema de salud del estado de Amazonas en Brasil está a punto de colapsar; Manaus podría convertirse en otra Guayaquil…</t>
  </si>
  <si>
    <t>Cuando se habla de productividad, debería preguntarse porque la productividad en Colombia es tan baja. Respuesta:… https://t.co/0AgMclIAqb</t>
  </si>
  <si>
    <t>RT @marthaperaltae: #MinistraCumplaLaPalabra Las comunidades indígenas Wayúu de La Guajira solicitan RESPETO al cumplimiento de los compr…</t>
  </si>
  <si>
    <t>RT @petrogustavo: El gobierno nacional debe suspender toda compra de armamento; este no es el tiempo para guerras. El dinero liberado debe…</t>
  </si>
  <si>
    <t>Este cuadro muestra las empresas contratadas, el número de respiradores comprados y las fechas en que llegarán si l… https://t.co/R3u2voEsU9</t>
  </si>
  <si>
    <t>España tiene un repunte en la enfermedad Covid19. Ya tiene 7.069 UCIs, Unidades de Cuidado Intensivo, ocupadas expr… https://t.co/HysBGb7DJu</t>
  </si>
  <si>
    <t>RT @FranciscoDeRoux: Confío en que este paso por el desierto de la cuarentena nos lleve a una Tierra Nueva donde nos cuidemos en adelante l…</t>
  </si>
  <si>
    <t>Hoy, toda la cadena hotelera está en crisis, porque tiene costos fijos y cero clientes, solo con pagar los costos f… https://t.co/jTucnqF3xh</t>
  </si>
  <si>
    <t>La tecnocracia cree que la focalización es un aliado de la lucha contra el virus. El gran aliado son los derechos… https://t.co/im3j7BUBGY</t>
  </si>
  <si>
    <t>RT @petrogustavo: Este cuadro muestra las empresas contratadas, el número de respiradores comprados y las fechas en que llegarán si las emp…</t>
  </si>
  <si>
    <t>Preguntan cual es la fuente del cuadro, que presento arroba sobre el flujo tardío de llegada de los respiradores a… https://t.co/TyZ8ZiTwf1</t>
  </si>
  <si>
    <t>Si el distrito esta pagando los costos fijos de transmilenio, 140.000 millones de pesos, todo el personal de la sal… https://t.co/xW8Agv6JHH</t>
  </si>
  <si>
    <t>Duque como persona está en medio de las tensiones, que son expresión de intereses en la sociedad, la intención de a… https://t.co/yyaE8YAlW6</t>
  </si>
  <si>
    <t>El Congreso de la República debe crear comisión que en conjunto con la sociedad colombiana, trabaje la reforma de l… https://t.co/JR5nSr8hqa</t>
  </si>
  <si>
    <t>RT @petrogustavo: El Congreso de la República debe crear comisión que en conjunto con la sociedad colombiana, trabaje la reforma de la ley…</t>
  </si>
  <si>
    <t>Montenegro no acierta. No habrá rebote que recupere dinero de fondos privados de pensiones. El mercado de capitales… https://t.co/85LO4z5FxK</t>
  </si>
  <si>
    <t>Un mes de donación de altos salarios y contraprestaciones en todas la rama pública, tanto empleados, servidores com… https://t.co/GvRSpdWdn5</t>
  </si>
  <si>
    <t>Cuando se dona, no se avisa, la donación cuando se publica es propaganda, cuando no se publica es solidaridad. Cuan… https://t.co/p9RX6Vz9uL</t>
  </si>
  <si>
    <t>Es mejor que por decreto el presidente transfiera a la ayuda alimentaria un salario de todos los altos servidores p… https://t.co/y81CAZg3ro</t>
  </si>
  <si>
    <t>RT @susanamuhamad: #OTrabajanODonan Apoyo esta propuesta de @ricardobonillag de los ricos de este país no necesitamos donaciones, necesita…</t>
  </si>
  <si>
    <t>La sentencia contra Rafael Correa, como sucedió con Lula, expresa la decisión de la oligarquía ecuatoriana y brasil… https://t.co/gewekZKS0d</t>
  </si>
  <si>
    <t>RT @MashiRafael: Por si acaso, no tengan la MENOR DUDA de que hoy nos van a condenar. No se han detenido frente a nada, ni ante terrible tr…</t>
  </si>
  <si>
    <t>RT @Maryaristizabal: Hoy no tengo noticias, solo mi historia. Mi abuelito murió. Un ser noble y dulce. Solito, aislado en un hospital de Me…</t>
  </si>
  <si>
    <t>RT @Guillermobuga: #NoHayCuarentenaConHambre la economía se va a ir a la mierda si no priorizamos la vida. https://t.co/dzlf0fyY88</t>
  </si>
  <si>
    <t>RT @lugo_py: Rafael Correa: los miserables de la historia no contemplan ni la pandemia. Pero vos y tu pueblo saben que más temprano que t…</t>
  </si>
  <si>
    <t>RT @Tati_Ramirez: #ATENCIÓN| Aquí la guerra no está en cuarentena: Hoy 37 familias indígenas se desplazaron nuevamente debido a enfrentamie…</t>
  </si>
  <si>
    <t>RT @MoisesAlvaro_: El Gobierno de España, uno de los países más golpeados en todo el mundo por la pandemia del #Covid19, está preparándose…</t>
  </si>
  <si>
    <t>RT @ChalaSaenz: 🇨🇴Que en el Atlántico la gobernación contraté la entrega de 4200 mercados por un costo de 21 mil millones es porque cada be…</t>
  </si>
  <si>
    <t>RT @RobertDeNiroUS: 5 weeks ago: 6 deaths 4 weeks ago: 26 deaths 3 weeks ago: 76 deaths 2 weeks ago: 519 deaths 1 week ago: 2,985 deaths Ri…</t>
  </si>
  <si>
    <t>RT @FisicoImpuro: MKS, pillen cómo el gobierno por medio del MinSalud nos MANIPULA DESCARADAMENTE. Pero vamos por partes: La imagen que re…</t>
  </si>
  <si>
    <t>Mañana estaremos con Rafael Correa, Dilma Rouseff, Garcia Linera, y el Celag, en el conversatorio sobre la deuda de… https://t.co/XzhDRHs2oO</t>
  </si>
  <si>
    <t>Colombia se demoró dos meses en comprar respiradores. Los gobiernos esperaron que el sistema de EPS respondiera a l… https://t.co/exlKNFYaV9</t>
  </si>
  <si>
    <t>Antioquia tiene sus UCIs concentradas en el área m. de Medellín y el oriente. Excepto algunas en el Urabá el resto… https://t.co/TddSs2j5zY</t>
  </si>
  <si>
    <t>Si Colombia se endeuda por USD $11.000 millones de dólares, como propone Carrasquilla, mata el futuro inmediato de… https://t.co/rtQBwizAoQ</t>
  </si>
  <si>
    <t>Mi querido amigo Alex, aunque el 60% de mi sueldo se lo lleva de antemano, los impuestos que pago, los bancos y el… https://t.co/L71cgvBedQ</t>
  </si>
  <si>
    <t>RT @petrogustavo: Si Colombia se endeuda por USD $11.000 millones de dólares, como propone Carrasquilla, mata el futuro inmediato de Colomb…</t>
  </si>
  <si>
    <t>RT @wicarni: El consejo de Silvestre Dangond a Ñeñe Hernández. https://t.co/HYwlaU5Sni</t>
  </si>
  <si>
    <t>RT @dwnews: #Coronavirus crisis: Residents in Soacha, Colombia, are hanging red clothes on their windows to show that they are in need of f…</t>
  </si>
  <si>
    <t>Lo que no quisieron hacer con el San Juan de Dios en Bogotá, lo hace Medellin con la Clínica de Saludcoop https://t.co/tDNUrVcOda</t>
  </si>
  <si>
    <t>RT @CNNEE: Las mascarillas hechas en casa no son un sustituto del distanciamiento social y el confinamiento en casa https://t.co/FrGSbXVoJd</t>
  </si>
  <si>
    <t>Bogotá delegó en el gobierno nacional la compra de respiradores esenciales en la lucha contra el virus. Colombia s… https://t.co/iaWKWikn4z</t>
  </si>
  <si>
    <t>Es de un cinismo enorme ver a funcionarios del estado cómplices en la privatización y el debilitamiento de lo públi… https://t.co/9iTPydLxTG</t>
  </si>
  <si>
    <t>Indígenas en las calles de Bogotá hambrientos y desalojados. Esta es la evidencia de fracasos en la política socia… https://t.co/j5srVppVrq</t>
  </si>
  <si>
    <t>Ha muerto un obrero de Ecopetrol por el Covid19. La ministra de minas debe suspender toda actividad laboral en l… https://t.co/y6hCtZd3AS</t>
  </si>
  <si>
    <t>Oscar Andres Pérez, el alcalde del Centro democrático de Bello, Antioquia, quien porta brazalete electrónico del In… https://t.co/u1run4e6ND</t>
  </si>
  <si>
    <t>Se duplicaron los pasivos en la red pública hospitalaria durante el gobierno de Peñalosa después que veniamos forta… https://t.co/e9ikI9u28Q</t>
  </si>
  <si>
    <t>A 31 de dic 2019 Peñalosa entregó la red pública hospitalaria con un faltante en caja de $ 284.000 millones, que de… https://t.co/Nt9P8Ib73g</t>
  </si>
  <si>
    <t>Claudia debe girar inmediatamente 283.000 millones para hacer los giros de falta de pago a personal y operación, si… https://t.co/4qaH9zqM7t</t>
  </si>
  <si>
    <t>El virus comenzó en Bogotá por los estratos altos dada su exposición por viajes con el virus en otros países; vía t… https://t.co/UUpomEGXFI</t>
  </si>
  <si>
    <t>Mantener la privatización de los hospitales Bosa, Usme y Ciudad Bolívar es hoy un despropósito. Hay que transferir… https://t.co/OI0uwqYfTs</t>
  </si>
  <si>
    <t>Claudia puede garantizar recursos inmediatos para la salud así; El adelanto del SGP de la Nación, acordada con Duq… https://t.co/f2xj8YFlwl</t>
  </si>
  <si>
    <t>RT @petrogustavo: A 31 de dic 2019 Peñalosa entregó la red pública hospitalaria con un faltante en caja de $ 284.000 millones, que deben se…</t>
  </si>
  <si>
    <t>RT @petrogustavo: Claudia debe girar inmediatamente 283.000 millones para hacer los giros de falta de pago a personal y operación, sin inve…</t>
  </si>
  <si>
    <t>RT @petrogustavo: El virus comenzó en Bogotá por los estratos altos dada su exposición por viajes con el virus en otros países; vía transmi…</t>
  </si>
  <si>
    <t>RT @petrogustavo: Claudia puede garantizar recursos inmediatos para la salud así; El adelanto del SGP de la Nación, acordada con Duque. Po…</t>
  </si>
  <si>
    <t>RT @petrogustavo: Mantener la privatización de los hospitales Bosa, Usme y Ciudad Bolívar es hoy un despropósito. Hay que transferir recur…</t>
  </si>
  <si>
    <t>RT @petrogustavo: Se duplicaron los pasivos en la red pública hospitalaria durante el gobierno de Peñalosa después que veniamos fortalecien…</t>
  </si>
  <si>
    <t>RT @nicolaspetroB: Contrato de la gobernación del Atlántico para la entrega de Kits(mercados). Su monto es de $19.319.479.750, destinados…</t>
  </si>
  <si>
    <t>En minutos por el tercer canal estaré en el conversatorio sobre condonación de la deuda https://t.co/cv4u2hRJ19</t>
  </si>
  <si>
    <t>El pico y genero permite que ante el derecho restringido de salir de la casa , hombre y mujeres por igual puedan ej… https://t.co/270FIA31oD</t>
  </si>
  <si>
    <t>Tal como se había propuesto el distrito saca dinero de la partida de un año de atraso en la ejecución de los fondos… https://t.co/HkBzARN2IA</t>
  </si>
  <si>
    <t>Claudia olvida que para fortalecer la red publica hospitalaria de Bogotá debe girarle a los hospitales cerca de 400… https://t.co/GPQyQKGH7Y</t>
  </si>
  <si>
    <t>Si se restituyese territorios saludables, 5.000, profesionales de la salud, en los 1.000 microterritorios de 800 fa… https://t.co/7DrCdbsbOe</t>
  </si>
  <si>
    <t>RT @susanamuhamad: Una delegación de la Colombia Humana quiere ir a los sótanos del San Juan de Dios, ya que más de 3000 m² fueron adecuado…</t>
  </si>
  <si>
    <t>RT @AlexLopezMaya: La cédula 123456789 aparece 48 veces en la página del sisben con nombres irrisorios como Qwer qwer qwer. Esto no tiene n…</t>
  </si>
  <si>
    <t>RT @MajoDoria: Tumbaron la página de los subsidios por el COVID-19 cuando nos dimos cuenta que inventaron cédulas de beneficiados para roba…</t>
  </si>
  <si>
    <t>RT @BOTIJON1: Venga, venga si uds ponen las cedulas del fraude del subsidio en la página de la registraduria, estas tambien votan, osea all…</t>
  </si>
  <si>
    <t>RT @AlexLopezMaya: No señores @DNP_Colombia, no le Mientan al país, la función de búsqueda en la página web es responsabilidad de ustedes,…</t>
  </si>
  <si>
    <t>RT @petrogustavo: El pico y genero permite que ante el derecho restringido de salir de la casa , hombre y mujeres por igual puedan ejercerl…</t>
  </si>
  <si>
    <t>Las bases del Sisben periódicamente se cruzan con las bases de datos de la Registraduría. ¿Las fallas son solo del… https://t.co/65Cfp4xzSw</t>
  </si>
  <si>
    <t>RT @MajoDoria: Cuando ustedes se sientan decepcionados, piensen en mí, que creí hasta último momento en Ángela María. La razón no la ten…</t>
  </si>
  <si>
    <t>RT @petrogustavo: Las bases del Sisben periódicamente se cruzan con las bases de datos de la Registraduría. ¿Las fallas son solo del Sisbe…</t>
  </si>
  <si>
    <t>Recuerden siempre la frase de Gaitán; "Por la Reconstrucción moral de la República".</t>
  </si>
  <si>
    <t>RT @ErikaOSanoja: URGENTE | #Venezuela ha realizado 139 mil 282 pruebas gratuitas de despistaje de #COVIDー19 en todo el país. Son 4492 prue…</t>
  </si>
  <si>
    <t>RT @ErikaOSanoja: Otra razón por la cual la curva se mantiene aplanada en #Venezuela es porque el Gobierno impuso medidas radicales de cuar…</t>
  </si>
  <si>
    <t>RT @ComiteSanturban: Bienvenidas las ayudas d Emiratos Árabes Unidos para enfrentar #COVIDー19 en el país, pero que quede claro @IvanDuque @…</t>
  </si>
  <si>
    <t>San José en Bosa, lleno de banderas rojas. 91.000 ayudas en forma de consignaciones bancarias para una ciudad de 2… https://t.co/LdOWUztrbH</t>
  </si>
  <si>
    <t>RT @HistoriaM19: A #JorgeEliecerGaitán "Creían que en ti moría el germen de la lucha y fallaron. Tu no eras un hombre, eras un pueblo y en…</t>
  </si>
  <si>
    <t>Es evidente que la base de datos del Sisben se cruza con la de la Registraduría. https://t.co/QFaT6jGPAW</t>
  </si>
  <si>
    <t>RT @colombia_hist: Jorge Eliécer Gaitán.. un maravilloso orador, un hombre visionario que desde la alcaldía de Bogotá dejó huella #Gaitán72…</t>
  </si>
  <si>
    <t>RT @Tercer_Canal: “El modelo neoliberal fracasó, no puede ser usado para tratar la pandemia. Hay que hacer un cambio, un movimiento de la s…</t>
  </si>
  <si>
    <t>RT @altereddie: En el día de la #Memoria https://t.co/Z6KadjFdmF</t>
  </si>
  <si>
    <t>Este es el presupuesto de la Secretaría de integración social a pesos constantes del 2011 Es la secretaría que ati… https://t.co/kWBi49gdVS</t>
  </si>
  <si>
    <t>Banderas rojas en la Comuna trece de Medellín. El hambre se apodera de las comunas populares. La alcaldía puede o… https://t.co/gIGvtyuHrk</t>
  </si>
  <si>
    <t>Ayer @ClaudiaLopez dijo que si el gobierno no giraba la.plata no se podían tener servicios públicos gratuitos en la… https://t.co/rry9c9qtxN</t>
  </si>
  <si>
    <t>De 2.233 viviendas construidas entregadas a las víctimas de la violencia en nuestro gobierno de Bogotá Humana, se p… https://t.co/jn6WJXqQn6</t>
  </si>
  <si>
    <t>RT @petrogustavo: Ayer @ClaudiaLopez dijo que si el gobierno no giraba la.plata no se podían tener servicios públicos gratuitos en la pande…</t>
  </si>
  <si>
    <t>RT @redcomunitariat: Mientras @ClaudiaLopez pone en peligro nuestras vidas entregándole armas a la policía, son las organizaciones trans en…</t>
  </si>
  <si>
    <t>Esta medida puede ser la más seria después del confinamiento: la nacionalización de la nómina de las empresas, pequ… https://t.co/xrcL7FAQnm</t>
  </si>
  <si>
    <t>RT @anateresabernal: Pasamos de un programa de vivienda gratuita, con el q se entregaron 2233 viviendas VIP, 8500 gestionadas, al modelo PI…</t>
  </si>
  <si>
    <t>RT @historia_bogota: "Cercano está el momento en que veremos si el pueblo manda, si el pueblo ordena, si el pueblo es el pueblo y no una mu…</t>
  </si>
  <si>
    <t>RT @SandraFARC: Condiciones deplorables que tienen que afrontar nuestros médicos y enfermeras esta emergencia sanitarias. Esto es resultado…</t>
  </si>
  <si>
    <t>RT @PachoAlerta: .#NoHayDerecho... Familiares de un oyente denuncian que él falleció desde las 10 a.m. al parecer infartado, en las puertas…</t>
  </si>
  <si>
    <t>RT @colombia_hist: El magnicidio del 9 de Abril de 1948 abrió la caja de Pandora de la violencia: ese día comenzó un Conflicto Armado Inter…</t>
  </si>
  <si>
    <t>RT @Tercer_Canal: “La situación de precariedad es grave en hospitales de todas las regiones del país. Los médicos están amenazando que van…</t>
  </si>
  <si>
    <t>RT @petrogustavo: Esta medida puede ser la más seria después del confinamiento: la nacionalización de la nómina de las empresas, pequeñas y…</t>
  </si>
  <si>
    <t>Si se pudo lo menos, ponerle impuesto a los altos salarios públicos, por que no se hace lo más: impuesto a los patr… https://t.co/oLmqDfop4H</t>
  </si>
  <si>
    <t>Cerca a Wall Street se construye una fosa común. El desastre más grande del mundo frente al Covid19, sucede hoy en… https://t.co/I7rWPspFzk</t>
  </si>
  <si>
    <t>Le pagaban a los venezolanos para que hicieran campaña contra mi en los buses y ahora, los botan como si fueran ani… https://t.co/xPEyQrtLHe</t>
  </si>
  <si>
    <t>Comunicado sobre la situación de mi salud https://t.co/jDBf02v5RW</t>
  </si>
  <si>
    <t>Agradezco a todas las personas que han expresado su solidaridad con mi situación. Gracias muchas gracias. La caden… https://t.co/xLd8XNAQSS</t>
  </si>
  <si>
    <t>Los empresarios productivos saben que nos hace daño la dependencia al petróleo, la falta de política industrial, la… https://t.co/pg2cCSP87i</t>
  </si>
  <si>
    <t>RT @AABenedetti: .@petrogustavo conmovido en el alma con el video que he visto. De corazón quiero que salgas bien. Como colega muchísimo má…</t>
  </si>
  <si>
    <t>RT @ernestosamperp: Mis mejores deseos por el pronto restablecimiento de Gustavo Petro. Por fortuna está en las mejores manos y el tiene ex…</t>
  </si>
  <si>
    <t>RT @Ccajar: "Conocí a Petro en 1.984 cuando, siendo alcalde de Zipaquirá, fue detenido. Desde entonces soy uno de sus abogados y lo represe…</t>
  </si>
  <si>
    <t>Exministro de hacienda en el Ecuador propone para Ecuador, lo mismo que proponemos para Colombia. https://t.co/5XBNYK9Le6</t>
  </si>
  <si>
    <t>RT @Sopadebanano: Este hombre para muchos, más que un político es un profesor una persona que nos da la esperanza de vivir en paz, en igual…</t>
  </si>
  <si>
    <t>Entiendo las dificultades de hoy para comprar respiradores en el mundo. Los que compró el gobierno tardíamente lleg… https://t.co/3tFC12E3Gi</t>
  </si>
  <si>
    <t>Sin censura Hermosas palabras de Gustavo Bolívar, que agradezco profundamente. https://t.co/1mJFivyMGn</t>
  </si>
  <si>
    <t>Esta es mi intervención sobre las medidas económicas ante el virus en la comisión III del Senado. https://t.co/1uDvFcEeht</t>
  </si>
  <si>
    <t>Ha muerto un médico en Bogotá por el virus. Es el reflejo del abandono de la salud. A los médico(a)s lo(a)s transf… https://t.co/smIr4ddDjA</t>
  </si>
  <si>
    <t>Carlos Nieto, padre y esposo, medico, muerto por el virus en Bogotá. Que tristeza que sea a través de la muerte co… https://t.co/x19D9KTcQp</t>
  </si>
  <si>
    <t>He solicitado la intervención de todo el sistema de salud, ponerlo administrativamente bajo responsabilidad del Est… https://t.co/PTiAFEq0Wu</t>
  </si>
  <si>
    <t>En Bergamo y Brescia, Italia; los propietarios de las fábricas que sabotearon el confinamiento, son los mismos dueñ… https://t.co/Ag8dmMNUdx</t>
  </si>
  <si>
    <t>RT @IvanDuque: Senador @petrogustavo, mucha fortaleza en estos momentos difíciles y mis deseos de pronta recuperación. Toda mi solidaridad…</t>
  </si>
  <si>
    <t>RT @evoespueblo: Expresamos nuestra solidaridad con el hermano @petrogustavo y tenemos la absoluta confianza en que vencerá esta batalla co…</t>
  </si>
  <si>
    <t>RT @PattyVirguez: @petrogustavo tus viejitas de nuestro barrio Bolívar 83 de Zipaquirá continúan orando y fortaleciendo la cadena de los af…</t>
  </si>
  <si>
    <t>He invitado al embajador colombiano en Cuba para que me acompañe en la intervención quirúrgica que tendré el lunes en la mañana.</t>
  </si>
  <si>
    <t>Le solicito a Ivan Duque usar las facultades de legislador que hoy tiene gracias a la emergencia y modificar la ley… https://t.co/hEXCok4vC8</t>
  </si>
  <si>
    <t>RT @TobonSanin: No es verdad que: - De aplausos viva el personal de salud - A menores cifras, menores contagios - El personal de salud sea…</t>
  </si>
  <si>
    <t>RT @lucianacadahia: Desde el lente "liberalucho" @petrogustavo es una rareza ininteligible para Colombia. Pero desde el lente de la histori…</t>
  </si>
  <si>
    <t>RT @nijmeijer_tanja: Fuerza @petrogustavo para usted y su familia. Le deseo pronta recuperación.</t>
  </si>
  <si>
    <t>Solo hasta mañana comenzará compras de bioseguridad para la fuerza de la salud en Bogotá Tardío. Ni una sola compr… https://t.co/Ac0oehfw0R</t>
  </si>
  <si>
    <t>RT @CVnoticiastv: El senador Iván Cepeda, expresó su solidaridad con su colega Gustavo Petro, animándolo desde su experiencia personal, a s…</t>
  </si>
  <si>
    <t>No se puede manejar un hospital como una empresa en donde se reduce el ser humano a ser un cliente. El hospital no… https://t.co/5k9am29Vqq</t>
  </si>
  <si>
    <t>Aquellos que rechazan al personal de salud porque entran a comprar comida o viven en sus edificios, nunca olviden… https://t.co/UwqTS5MhVt</t>
  </si>
  <si>
    <t>RT @petrogustavo: Solo hasta mañana comenzará compras de bioseguridad para la fuerza de la salud en Bogotá Tardío. Ni una sola compra de r…</t>
  </si>
  <si>
    <t>La base del derecho a la salud es el agua potable. El agua potable no es un negocio, es la base de la vida y la sa… https://t.co/jVdlfcUf8T</t>
  </si>
  <si>
    <t>RT @MedicosUnidosCo: @MedicosUnidosCo apoya #MinistroRenuncie -Por la memoria de mis colegas caídos -Por la memoria de todos los pacientes…</t>
  </si>
  <si>
    <t>Suena en las instancias de poder mundial la suspensión del pago de la deuda externa. Solo falta la presión social. https://t.co/ozRKWcuCfH</t>
  </si>
  <si>
    <t>Despedida del coronel y médico Gutiérrez. Soldado al servicio de la vida. https://t.co/MX562zUlST</t>
  </si>
  <si>
    <t>RT @AlvaroLeyva: .@petrogustavo un ejemplo. Dejó las armas; las cambió por la política. ¿No se trataba de eso? Senador de la República supe…</t>
  </si>
  <si>
    <t>Hoy se hace evidente una prioridad humana: el derecho universal a la salud. #NoMasLey100 https://t.co/Rdt5L7uBXw</t>
  </si>
  <si>
    <t>RT @petrogustavo: Hoy se hace evidente una prioridad humana: el derecho universal a la salud. #NoMasLey100 https://t.co/Rdt5L7uBXw</t>
  </si>
  <si>
    <t>RT @GloriaFlorezSI: En cuanto el Senador @petrogustavo hizo público su delicado estado de salud, la bodeguita uribista inmediatamente activ…</t>
  </si>
  <si>
    <t>El @INSColombia debe explicar porque ha caído radicalmente el estudio de muestras de COVID 19, de 3.193 a 1.256. Un… https://t.co/4SxcWJnWz1</t>
  </si>
  <si>
    <t>RT @AndresCamiloHR: #OFICIAL El Senador @petrogustavo salió de la intervención quirúrgica, lo acompañó su familia y el Dr. Juan Manuel Co…</t>
  </si>
  <si>
    <t>Le agradezco al embajador Juan Manuel Corzo que me haya acompañado en la intervención quirúrgica esta mañana. En… https://t.co/ipr5ABokT8</t>
  </si>
  <si>
    <t>Mi médico en la Fundación Santa Fé se llama Jairo Roa, neumólogo, hoy está en el centro de la pandemia en Nueva Jersey, EEUU.</t>
  </si>
  <si>
    <t>La Fundación Santa Fe que hoy dirige Henry Gallardo, es una institución a la que le debo mucho. Hoy como muchos ho… https://t.co/7VQJCXxg1R</t>
  </si>
  <si>
    <t>La red pública y privada esta a punto de quebrar en medio de la pandemia. El gobierno nal y los locales deben gira… https://t.co/elcVyaj70f</t>
  </si>
  <si>
    <t>La pandemia no se enfrenta con EPS e intermediarios financieros buscando ganancias. La pandemia se enfrenta con So… https://t.co/jKeDFm4Nvg</t>
  </si>
  <si>
    <t>Primer paso en la lucha por la condonación de la deuda El FMI condona la deuda a 25 países, la mayoría africanos,… https://t.co/iCbHBLqg0X</t>
  </si>
  <si>
    <t>Le solicito al alcalde de Medellín hacer compras directas de alimentos y carnes al campesinado antioqueño para dist… https://t.co/3dA3CKQhwF</t>
  </si>
  <si>
    <t>Al vaciar los hospitales publicos y privados para esperar los enfermos del virus, las instituciones se quedan sin f… https://t.co/olKft70zZj</t>
  </si>
  <si>
    <t>De nuevo repito, gracias a las reservas creadas en las empresas públicas de Bogotá y su alto nivel de utilidades, L… https://t.co/r049V2LVFr</t>
  </si>
  <si>
    <t>RT @petrogustavo: La pandemia no se enfrenta con EPS e intermediarios financieros buscando ganancias. La pandemia se enfrenta con Sociedad…</t>
  </si>
  <si>
    <t>Ocho y medio billones acaban de entregar los bancos en Colombia a sus propietarios. Tres de esos billones, van al… https://t.co/jcTT67fvWA</t>
  </si>
  <si>
    <t>RT @TimoFARC: 50 % mujeres privadas de libertad por delitos de microtráfico, el 93 % son madres, 52 % cabeza de hogar, única alternativa p…</t>
  </si>
  <si>
    <t>¿Cómo es posible que Corferias no haya cedido sus instalaciones y las haya, en cambio, arrendado? https://t.co/VDQGiKRIZv</t>
  </si>
  <si>
    <t>RT @amoralesan: El valor total del hospital en Corferias es de $184.000 millones. ¿Se justifica? Miren en detalle costo a costo. ¿Y si el d…</t>
  </si>
  <si>
    <t>Perú hace el doble de pruebas que Colombia, la falta de pruebas en nuestro país es el reflejo de la destrucción de… https://t.co/0Nl24SNMME</t>
  </si>
  <si>
    <t>RT @newballsegura: @MinSaludCol @IvanDuque, él era don Eloy, murió en la Clínica Santa Sofia de Buenaventura por una neumonía y no había un…</t>
  </si>
  <si>
    <t>El atraso en hacer pruebas también incluye a los muertos. La cifra de muertos confirmados también es de hace 14 día… https://t.co/VjYt7H355U</t>
  </si>
  <si>
    <t>RT @charry_manager: ¿Ustedes vieron esta portada que se pago @ClaudiaLopez en el tiempo con información irrelevante? ¿Ustedes que saben má…</t>
  </si>
  <si>
    <t>RT @JUANCAELBROKY: 📢Habitantes de Santafé DENUNCIAN que NO han recibido ayudas humanitarias NI del Gobierno Duque NI de la Alcaldía de Bogo…</t>
  </si>
  <si>
    <t>RT @NanyPardo: Es decir, señor alcalde @jaimepumarejo, que este mercadito que se consigue por 30 mil pesos en cualquier tienda de Barranqui…</t>
  </si>
  <si>
    <t>RT @DavidRacero: Esto es una bofetada a Bogotan@s. No solo por la falta de solidaridad de @corferiasBogota sino por la mala negociación y v…</t>
  </si>
  <si>
    <t>He insistido en que la politica social del confinamiento antes que nada debe pasar por la suspensión del pago de de… https://t.co/oa2Bc8SMHf</t>
  </si>
  <si>
    <t>RT @petrogustavo: El atraso en hacer pruebas también incluye a los muertos. La cifra de muertos confirmados también es de hace 14 días. E…</t>
  </si>
  <si>
    <t>RT @GranMandrake: Me encontré esta billetera en un estacionamiento, es de la señora Victoria Montt 72 años con la plata de la pensión. Di…</t>
  </si>
  <si>
    <t>Al no decretar la prisión domiciliaria de los actuales presos en las cárceles, lo que han es decretado la pena de m… https://t.co/KLJhqmoSLf</t>
  </si>
  <si>
    <t>RT @petrogustavo: Ocho y medio billones acaban de entregar los bancos en Colombia a sus propietarios. Tres de esos billones, van al Grupo…</t>
  </si>
  <si>
    <t>Días apenas después que el Banco de la República y el gobierno le dieran liquidez por 37 billones a los bancos, est… https://t.co/DKgOxiIYBv</t>
  </si>
  <si>
    <t>Ud @ClaudiaLopez en este trino, no dice la verdad Demuestre que su administración, por privatizar el San Juan de D… https://t.co/1Jm6VHifQJ</t>
  </si>
  <si>
    <t>Para tratar el CovidI19 que es de lo que hablamos se necesita redes de oxígeno y UCIs o respiradores. Eso es lo ese… https://t.co/PEBXQGI7zt</t>
  </si>
  <si>
    <t>RT @petrogustavo: Ud @ClaudiaLopez en este trino, no dice la verdad Demuestre que su administración, por privatizar el San Juan de Dios, n…</t>
  </si>
  <si>
    <t>Dejar el sistema de salud en manos de EPS y la vida de los médicos en manos de ARLs,, continuar la privatización de… https://t.co/BCmmjzxwxb</t>
  </si>
  <si>
    <t>El partido republicano esta llegando al fascismo. Este Representante dice que, entre estancar la economia y dejar m… https://t.co/JiQp74sNim</t>
  </si>
  <si>
    <t>RT @ma_eugeniam: Por razones que desconozco, la Alcaldesa, @ClaudiaLopez, se ha empeñado en defender problemático contrato. ¿Habrá leído, a…</t>
  </si>
  <si>
    <t>El concejal cree que es lo mismo concesionar un espacio de distracción a concesionar tres hospitales públicos, y en… https://t.co/TwRo4XOSjX</t>
  </si>
  <si>
    <t>RT @jnietoblanco: En la localidad de San Cristóbal y por más de seis horas, se encuentra este cuerpo en un andén del barrio Buenos Aires. A…</t>
  </si>
  <si>
    <t>RT @SenadoGovCo: #ComisiónI_Virtual | "Las EPS están hechas es para hacer negocios, no para enfrentar una pandemia. He aquí la crisis que e…</t>
  </si>
  <si>
    <t>RT @ernestosamperp: Bogotá está convertida en la Nueva York del Covid-19. Aunque en Bogotá vive el 15% de la población, tiene más del 45% d…</t>
  </si>
  <si>
    <t>RT @petrogustavo: Días apenas después que el Banco de la República y el gobierno le dieran liquidez por 37 billones a los bancos, estos en…</t>
  </si>
  <si>
    <t>RT @Col_Informa: #Atención🚨| Cacerolazo en el Barrio 'La Resurrección' en Bogotá. La gente pide al gobierno nacional alimentos. No han reci…</t>
  </si>
  <si>
    <t>RT @UJPV1: Niña Palestina de Gaza, después de ser destruida su casa por la aviación militar sionista israelí, sobrevive con su terror, dolo…</t>
  </si>
  <si>
    <t>RT @cortesp07: Este caso de abuso acaba de pasar en el CAI de Versalles en la localidad de Fontibón. 6 policías encerraron a un joven para…</t>
  </si>
  <si>
    <t>En el oriente de Antioquia se genera la mayor parte de la energía eléctrica de Colombia. EPM podría perfectamente… https://t.co/qn9L8qUcCt</t>
  </si>
  <si>
    <t>RT @Eu_femismo: Finalmente expiden el decreto de excarcelación y ¿adivinen qué? Dejan fuera a los más de 300 firmantes de paz que están pre…</t>
  </si>
  <si>
    <t>RT @CarolinaCorcho: En el momento se registra desabastecimiento de Hospitales públicos, no tienen recursos suficientes para el pago de nómi…</t>
  </si>
  <si>
    <t>RT @DeCurreaLugo: Fuente confidencial me confirma que hay más de 15 casos de guardias y dragoneantes de INPEC en cárcel de Villavicencio co…</t>
  </si>
  <si>
    <t>RT @GustavoBolivar: Esta discusión se zanja fácil: Si no quieren q la salud siga en manos de mercaderes y negociantes corruptos q prefieren…</t>
  </si>
  <si>
    <t>Esta es mi intervención en la Comisión primera del Senado sobre la concepción de la política que está afrontando el… https://t.co/uQSjGRIjAR</t>
  </si>
  <si>
    <t>RT @ElParcheCritico: ⚠️#URGENTE🆘 Una delicada situación está ocurriendo en Arborizadora Alta, localidad de Ciudad Bolívar en Bogotá. Famil…</t>
  </si>
  <si>
    <t>RT @BernardoAGuerra: 8 médicos con COVID-19 en Pereira - Las2orillas https://t.co/Vh2A0821IZ</t>
  </si>
  <si>
    <t>Cacerolazo contra el hambre en Bosa, Bogotá https://t.co/WPb5sBaZFg</t>
  </si>
  <si>
    <t>RT @petrogustavo: Esta es mi intervención en la Comisión primera del Senado sobre la concepción de la política que está afrontando el virus…</t>
  </si>
  <si>
    <t>Estoy en plenaria del senado y acabo de escuchar al ministro de salud decir que la situación de Colombia frente al… https://t.co/HZErO4tHVf</t>
  </si>
  <si>
    <t>La focalización bancaria de los más pobres no es suficiente, es mucho más efectivo los derechos universales. Hoy d… https://t.co/BAsZY6OK4Y</t>
  </si>
  <si>
    <t>Cacerolazo contra el hambre en Ciudad Bolívar, Bogotá https://t.co/ZPwcQFh8Rq</t>
  </si>
  <si>
    <t>Una de mis opositoras descubre efectivamente una labor de seguimiento estricto a mis movimientos. ¿Quién avisó a l… https://t.co/bTiHijhhL5</t>
  </si>
  <si>
    <t>¿Ud @ClaudiaLopez si cree que construir un edificio de un hospital vale medio billón? Entre Bosa, Usme y San Juan… https://t.co/IR5liiUCQZ</t>
  </si>
  <si>
    <t>El presidente Duque confundió la lucha contra la pandemia con una operación de salvamento bancario. Y los bancos… https://t.co/hGEOJaMDiG</t>
  </si>
  <si>
    <t>RT @petrogustavo: ¿Ud @ClaudiaLopez si cree que construir un edificio de un hospital vale medio billón? Entre Bosa, Usme y San Juan de Dio…</t>
  </si>
  <si>
    <t>RT @petrogustavo: El presidente Duque confundió la lucha contra la pandemia con una operación de salvamento bancario. Y los bancos repart…</t>
  </si>
  <si>
    <t>Fracasó totalmente el intento de hacer subir los precios del petroleo. Una parte del capital extractivista: petrol… https://t.co/suiI88DqRO</t>
  </si>
  <si>
    <t>Es hora de un cacerolazo generalizado contra el hambre en toda Colombia El.dinero de la emergencia no debe ser par… https://t.co/QEqYVeoehe</t>
  </si>
  <si>
    <t>Claudia, no es mandar el Esmad y los helicópteros con gases a los pobres. Es darles comida. ¿Creen que el confina… https://t.co/IqGg6jdLfY</t>
  </si>
  <si>
    <t>¿Ustedes progresistas creen que así se construye la democracia en Bogotá? Los que protestan no son las bandas deli… https://t.co/QFJkDjraqx</t>
  </si>
  <si>
    <t>La represión sobre Ciudad Bolívar es inaceptable para cualquier demócrata @CIDH @CorteIDH @CourPenaleInt https://t.co/kRYl1UvjEc</t>
  </si>
  <si>
    <t>RT @ChalecosAmarill: 📽🆘️🆘️🆘️ #COVID19 #Nigeria 🇳🇬 ⚠️ Al menos 18 personas ASESINADAS a manos de la policía por incumplir la cuarentena del…</t>
  </si>
  <si>
    <t>Usted Claudia @ClaudiaLopez no puede responderle a las banderas rojas y las cacerolas con gases. Responda con comi… https://t.co/acDMj81Ft0</t>
  </si>
  <si>
    <t>¿El Distrito paga a Davivienda por abrir allí cuentas bancarias de la gente? Pero si debería ser el revés: Davivie… https://t.co/JP45Khb8C2</t>
  </si>
  <si>
    <t>RT @petrogustavo: ¿Ustedes progresistas creen que así se construye la democracia en Bogotá? Los que protestan no son las bandas delincuenc…</t>
  </si>
  <si>
    <t>RT @Angiegars: Hay que ser muy HDP para mandarle al ESMAD a unas personas que solo reclaman lo que usted prometió, “Techo y comida para tod…</t>
  </si>
  <si>
    <t>Mi intervención en la plenaria del senado ante el ministro de salud. No llegaran los respiradores mecánicos antes d… https://t.co/oFtw1KqsJy</t>
  </si>
  <si>
    <t>RT @petrogustavo: Mi intervención en la plenaria del senado ante el ministro de salud. No llegaran los respiradores mecánicos antes del pic…</t>
  </si>
  <si>
    <t>Los cacerolazos de Bogotá no se dan por manipulación de politiqueros buscando quedarse con los mercados. Se dan po… https://t.co/R4yLnYAbLA</t>
  </si>
  <si>
    <t>RT @wilsonariasc: Bogotá se viste de rojo clamando ayudas y @ClaudiaLopez la reviste de negro mandando al ESMAD. Peor de miserable a gasea…</t>
  </si>
  <si>
    <t>RT @arfisica: Claudia López en la pandemia: — Dijo que el COVID-19 era una simple gripita. NO LO ERA. — Hace un simulacro de cuarentena.…</t>
  </si>
  <si>
    <t>RT @epigmenioibarra: Disculparan Uds. que pida nuevamente su solidaridad activa. El ataque masivo de bots y fanáticos a mi cuenta logra red…</t>
  </si>
  <si>
    <t>RT @marthaperaltae: Me informan que ésta es la situación en límites de Ciudad Bolívar con Soacha actualmente. ¿Alguien sabe qué está pasan…</t>
  </si>
  <si>
    <t>El gobierno no es capaz de una politica social seria porque quiere es impulsar a los banqueros y eso lo hará suspen… https://t.co/pGSIqbg9J9</t>
  </si>
  <si>
    <t>Ayer el ministro dijo que estamos como Corea del sur y hoy dice que ya estamos en la fase d supresión del virus, co… https://t.co/Qu8n8Y4vvw</t>
  </si>
  <si>
    <t>Así es como se hace y con producción de los campesinos. https://t.co/ReQDwjPUkk</t>
  </si>
  <si>
    <t>el derecho a la salud no lo garantiza un modelo de salud para el negocio https://t.co/WgjsWf99zi</t>
  </si>
  <si>
    <t>RT @HOLLMANMORRIS: Me informan que en este momento está subiendo el ESMAD a Arborizadora Alta. La gente tiene es hambre, no más represión…</t>
  </si>
  <si>
    <t>Ciudad Bolívar prepara su resistencia ante la ausencia de una verdadera política social para el confinamiento https://t.co/G93uFtp4gJ</t>
  </si>
  <si>
    <t>Frente al ministro de hacienda, alberto carrasquilla. Endeudar solo beneficia a los banqueros, desendeudar benefici… https://t.co/mSVQjvjOFv</t>
  </si>
  <si>
    <t>Lo dijimos con anterioridad y desde 1993. Los fondos privados de pensiones no garantizan pensión sino a aquellos qu… https://t.co/NytgehH5WX</t>
  </si>
  <si>
    <t>La riqueza que producen los colombianos pasa a los dueños de los bancos con ayuda del Estado. Con ayuda del Estad… https://t.co/mMB4kR3U7s</t>
  </si>
  <si>
    <t>RT @Col_Informa: #CuarentenaConDignidad | Habitantes de Usme, Bogotá, se siguieron manifestando hoy, ante la negativa del gobierno para dar…</t>
  </si>
  <si>
    <t>RT @petrogustavo: Frente al ministro de hacienda, alberto carrasquilla. Endeudar solo beneficia a los banqueros, desendeudar beneficia la g…</t>
  </si>
  <si>
    <t>Estos son los mercados que se necesitan para que una familia resista el confinamiento. Lo que estamos viendo en muc… https://t.co/1P9N73RAz5</t>
  </si>
  <si>
    <t>Bien por la alcaldía de Pereira que garantiza gratuidad de los servicios públicos para el estrato 1, 2 y 3 de la c… https://t.co/trsCyMn8SP</t>
  </si>
  <si>
    <t>RT @Omar_FARC: #AEstaHora esta es la situación que se presenta sobre la vía principal que conduce al corregimiento Santa Elena-Medellin, se…</t>
  </si>
  <si>
    <t>RT @anateresabernal: Los y las Ediles y Concejalas de la Colombia Humana - UP, hemos remitido está carta a la alcaldesa @ClaudiaLopez desde…</t>
  </si>
  <si>
    <t>RT @heidy_up: A esta hora en San Francisco Compartir, Ciudad Bolívar, suena el cacerolazo. Hay más miedo al hambre que se padece en nuestro…</t>
  </si>
  <si>
    <t>RT @CristinaRevolt: En Turbaco, un exguerrillero que ahora es alcalde se echó al hombro los mercados para llevárselos él mismo a la gente.…</t>
  </si>
  <si>
    <t>RT @ActualidadRT: Gorbachov: "Para vencer al coronavirus hay que recortar los gastos militares" https://t.co/D0Czq2xXIl https://t.co/OuX2sJ…</t>
  </si>
  <si>
    <t>RT @hernandonietoe: @petrogustavo solidaridad ante la prueba. Hora de escuchar al cuerpo. La fé y la compañía de la familia son el 50% del…</t>
  </si>
  <si>
    <t>RT @Matador000: https://t.co/xu4j3Wttyc</t>
  </si>
  <si>
    <t>RT @HELIODOPTERO: Piden a la Corte Suprema interrogar al director de la UNP sobre su colaboración al narcotraficante “Ñeñe” Hernández en la…</t>
  </si>
  <si>
    <t>RT @GracianaXXI: Hace +5años tengo derecho a pensión, eso lleva pleito con Fondo privado x mala asesoría, casi estafa. Ya Juez falló a favo…</t>
  </si>
  <si>
    <t>Otro preso muerto por Covid 19 en Villavicencio. Al transformar la Justicia en un aparato de venganza contra gente… https://t.co/H0KyD1ZmOg</t>
  </si>
  <si>
    <t>Al hacer que Colpensiones pague pensiones de un salario mínimo que deberían pagar los fondos privados, se demuestra… https://t.co/CUEE5ICVfS</t>
  </si>
  <si>
    <t>Duque aceptó la cuarentena obligado por la presión, y ha buscado formas de levantarla desesperado por la economía… https://t.co/BBoaSSlzfy</t>
  </si>
  <si>
    <t>No es capaz el gobierno de suspender el pago de deudas, servicios públicos y arriendos por una sola razón: No porq… https://t.co/ukEeUiOYGj</t>
  </si>
  <si>
    <t>Extender los derechos a toda la gente significa salvarnos todo(a)s. La gran lección de la pandemia Hambre en Plaz… https://t.co/z8RvnQUSKM</t>
  </si>
  <si>
    <t>RT @HassNassar: Están advertidos. Si de ayuda se trata primero se salvan los bancos y luego las EPS. El resto sigan haciendo fila.</t>
  </si>
  <si>
    <t>Hoy 17 de abril hace unos años, destituyeron a la presidenta legítima de Brasil sin cometer un delito y dieron golp… https://t.co/JSXSsJQ7Nw</t>
  </si>
  <si>
    <t>RT @el_pais: La OMS fija tres condiciones para levantar el confinamiento: 1. Tener la transmisión del virus controlada 2. Tener capacidad…</t>
  </si>
  <si>
    <t>¿Ustedes creen que realmente se está implementando un diálogo democrático y progresista en la ciudad de Bogotá en t… https://t.co/CCUjAKdqF4</t>
  </si>
  <si>
    <t>RT @nicolaspetroB: Estos son los mercados que está entregando el gobernador @carlosecaicedo. Invito a la gobernadora @elsanoguerabaq y al…</t>
  </si>
  <si>
    <t>¿Para qué quiere un señor de 88 años que sus bancos le entreguen dos billones de pesos en utilidades? Ha desangrad… https://t.co/NNpYGI7BnJ</t>
  </si>
  <si>
    <t>RT @Jocrogo: Cerca de 200 personas de la comunidad Embera continúan en el centro de Bogotá. Dicen que llevan ya una semana sin techo y comi…</t>
  </si>
  <si>
    <t>Guarden esa bebida, no se la den a los niños, las bebidas azucaradas y gaseosas son veneno. Estas ayudas buscan es… https://t.co/0J4eJquBjn</t>
  </si>
  <si>
    <t>RT @petrogustavo: ¿Para qué quiere un señor de 88 años que sus bancos le entreguen dos billones de pesos en utilidades? Ha desangrado el p…</t>
  </si>
  <si>
    <t>RT @AndresCamiloHR: Fiscalía, Procuraduria y Contraloría, desmienten a Claudia López (@ClaudiaLopez) y dicen que las demoras que ella justi…</t>
  </si>
  <si>
    <t>El ministro de salud le miente al país diciendo que se aplana la curva de contagios del virús, con datos que tienen… https://t.co/j8hSBL1vBr</t>
  </si>
  <si>
    <t>RT @ZulmaCucunuba: Nunca podremos saber lo que ocurre de forma contemporánea. Esa es una de las grandes limitaciones de nuestra capacidad d…</t>
  </si>
  <si>
    <t>Este cuadro mostrado por la administración de Bogotá no es de costos de construcción de hospitales, como dijeron.… https://t.co/VPQtDHpohN</t>
  </si>
  <si>
    <t>RT @RevistaSemana: #SemanaNoticias | Fiscalía, Contraloría y Procuraduría afirmaron que no son ciertas las declaraciones de @ClaudiaLopez q…</t>
  </si>
  <si>
    <t>Usme se ha levantado contra el hambre. La focalización es un fracaso. Nacida como politica social del neoliberali… https://t.co/2EbxuEMM3p</t>
  </si>
  <si>
    <t>Este es el fascismo sin más https://t.co/BOFY29hlkI</t>
  </si>
  <si>
    <t>RT @heidy_up: Me informan que @ClaudiaLopez hizo presencia eb la localidad de Ciudad Bolívar, en altos de la Estancia, no dejo ayudas porqu…</t>
  </si>
  <si>
    <t>¡Ojo! La comunidad Embera Chamí, en el bajo Atrato de Chocó, reporta tres personas muertas con sintomas similares a… https://t.co/pyCarp1IeE</t>
  </si>
  <si>
    <t>RT @petrogustavo: Este cuadro mostrado por la administración de Bogotá no es de costos de construcción de hospitales, como dijeron. Un hos…</t>
  </si>
  <si>
    <t>RT @anateresabernal: Las víctimas del conflicto de Ciudad Bolívar envían está denuncia alcaldesa @ClaudiaLopez, asegurando que las ayudas y…</t>
  </si>
  <si>
    <t>RT @ElDiariodeSalud: El ministro Fernando Ruiz afirma que la curva se aplanó, la epidemióloga Zulma Cucunubá explica que esto no es así htt…</t>
  </si>
  <si>
    <t>RT @HOLLMANMORRIS: La Fiscalía, la Procuraduría y la Contraloría desmienten a la Alcaldesa y dicen que estos órganos de control no han dado…</t>
  </si>
  <si>
    <t>RT @taniapsuv: 🇪🇨La política de Lenin Moreno ante la pandemia: "NO HICIERON NADA" •"Se viene una catástrofe humanit…</t>
  </si>
  <si>
    <t>RT @BLUAntioquia: Al menos 60 personas mantienen un bloqueo en la vía que lleva hacia el corregimiento de San Cristóbal en Medellín, a la a…</t>
  </si>
  <si>
    <t>Colombia, el virus y los olvidados de siempre New York Times https://t.co/1dD4Nj8bI0</t>
  </si>
  <si>
    <t>RT @anateresabernal: Lamentamos iniciar el día con una ciudad que lleva horas pasando hambre. Se escuchan balas en los barrios que están al…</t>
  </si>
  <si>
    <t>RT @descifraguerra: 🇧🇴 En las últimas horas la policía y el ejercito boliviano desplegado en zonas de mayoría indígena se han tenido que re…</t>
  </si>
  <si>
    <t>Tres reyes, Ciudad Bolívar. La calle pavimentada y el agua potable fueron puestas por Bogotá Humana, pero hoy solo… https://t.co/QwIKRPMBkq</t>
  </si>
  <si>
    <t>Señores @MinSaludCol confirmen si los tres muertos de la comunidad Embera Chamí del Bajo Atrato, Choco se debe al c… https://t.co/Zq8cnyZzcP</t>
  </si>
  <si>
    <t>Argentina va a cesar sus pagos de deuda externa; debería ser seguido por todos los países latinoamericanos. https://t.co/ugzY7rCVTT</t>
  </si>
  <si>
    <t>Este es un análisis desde la Economía Política del impacto del virus en la economía. Se ha detenido la circulación… https://t.co/2NTDt9M4ss</t>
  </si>
  <si>
    <t>RT @susanamuhamad: #LaAyudaQueNecesitoEs @ClaudiaLopez la crisis humanitaria se responde con solidaridad social, no con ESMAD. La violacion…</t>
  </si>
  <si>
    <t>RT @anateresabernal: Una Colombia Humana ubicaría al conocimiento como el 1er factor del desarrollo. En 2020 el @MincienciasCo tiene un pre…</t>
  </si>
  <si>
    <t>En 2018 propuse una salud basada en la prevencion y el fortalecimiento del hospital público Propuse priorizar prod… https://t.co/fmJOUXd1jA</t>
  </si>
  <si>
    <t>RT @ejariasv: El ejército asesinó el día de ayer a Leidy Villa, madre cabeza de hogar deja un hijo huérfano y la hacen pasar por disidente…</t>
  </si>
  <si>
    <t>RT @elquelosdelata: Mil aplausos de pie. Doña Claudia terminó siendo siendo un Fhürer con máscara de Che. Me da lástima verla destilando ur…</t>
  </si>
  <si>
    <t>RT @ernestosamperp: ¡Alerta! Están reapareciendo en el panorama internacional los consejeros neoliberales de siempre proponiendo las mismas…</t>
  </si>
  <si>
    <t>El arte es crítico o no es arte sin el espíritu crítico se transforma en propaganda, o adorno o distracción. https://t.co/ivX6FVON0v</t>
  </si>
  <si>
    <t>RT @petrogustavo: En 2018 propuse una salud basada en la prevencion y el fortalecimiento del hospital público Propuse priorizar producción…</t>
  </si>
  <si>
    <t>Chomsky dice " No votar por Biden equivale a votar por Trump". Lección: cuando se tienen al frente el fascismo no… https://t.co/zJkERzEtR2</t>
  </si>
  <si>
    <t>RT @DemosCarajo: La @DesEconomicoBog hace oídos sordos a los mensajes de la ciudadanía, por eso insiste junto a @PepsiCoCol que la donación…</t>
  </si>
  <si>
    <t>Andre @andremunozve el problema es que el producto del trabajo de la mayoria de la población, se lo apropian, en pr… https://t.co/lw7JnTh3be</t>
  </si>
  <si>
    <t>La alcaldía de Bogotá siguió la politica social de Duque: focalización bancarizada y endeudamiento. Por eso falla y… https://t.co/U8iZUknCwn</t>
  </si>
  <si>
    <t>RT @susanamuhamad: Luego de una semana esperando soluciones, hoy 251 Emberas protestan en el centro de Bogotá. Familias con niños pasan la…</t>
  </si>
  <si>
    <t>RT @petrogustavo: La alcaldía de Bogotá siguió la politica social de Duque: focalización bancarizada y endeudamiento. Por eso falla y la ge…</t>
  </si>
  <si>
    <t>Ha colapsado el sistema de salud de los EEUU, hecho a partir de pólizas de seguros, atención privada y negocios, de… https://t.co/vOn9BncaJ6</t>
  </si>
  <si>
    <t>RT @ismene2: Ve, no se cansan de decir que es el empresario el que crea la riqueza, hoy están urgidos de que los trabajadores regresen a su…</t>
  </si>
  <si>
    <t>Brasil, México, Ecuador, Perú y Colombia, encabezan en ese orden la lista de números de muertos por Covid19 en Amér… https://t.co/y5Zvv2cWu6</t>
  </si>
  <si>
    <t>Hace mucho que una Bogotá humana se perdió en el horizonte, fue una posibilidad, pero el oportunismo y una parte de… https://t.co/L3ulShr9yi</t>
  </si>
  <si>
    <t>Un joven herido a bala. Su delito ser joven y pobre y tener hambre. La.prensa no registro el hecho. Barrio El Recu… https://t.co/JCqjw3bwUQ</t>
  </si>
  <si>
    <t>RT @ElParcheCritico: Todo fue por un supuesto camión que llegó con ayudas. En medio del hambre, las familias salieron a recibir las ayudas,…</t>
  </si>
  <si>
    <t>RT @ElParcheCritico: En medio del forcejeo, un policía le disparó con una pistola electrica a la hermana de Danny, quien está en estado de…</t>
  </si>
  <si>
    <t>¿Cuántos progresistas bogotanos levantamos nuestra voz de protesta ante el asesinato de Dilan Cruz por el Esmad en… https://t.co/dovGHm2okc</t>
  </si>
  <si>
    <t>RT @petrogustavo: Hace mucho que una Bogotá humana se perdió en el horizonte, fue una posibilidad, pero el oportunismo y una parte de la ci…</t>
  </si>
  <si>
    <t>RT @petrogustavo: ¿Cuántos progresistas bogotanos levantamos nuestra voz de protesta ante el asesinato de Dilan Cruz por el Esmad en la mov…</t>
  </si>
  <si>
    <t>Esta posición de la alcaldía de Bogotá de no darle comida al pobre que protesta es supremamente autoritaria, yo dir… https://t.co/n5R2iK5zcO</t>
  </si>
  <si>
    <t>El hambre como bandera roja de solidaridad y protesta. Este es el artículo del País de España sobre el movimiento… https://t.co/beE6vDGEFb</t>
  </si>
  <si>
    <t>Esta es la realidad de la pobreza en Medellin. https://t.co/HnrnMncRz7</t>
  </si>
  <si>
    <t>RT @DeCurreaLugo: Duque vuelve con su "aislamiento inteligente" que fracasó en Suecia y Holanda. Sigue más preocupado por los grandes empre…</t>
  </si>
  <si>
    <t>RT @sergiobarbosach: Lo triste después de leér la columna de @MJDuzan es la actitud de personajes de mi familia diciendo, bueno y si ganó…</t>
  </si>
  <si>
    <t>El procurador @fcarrilloflorez debe detener la accion de inmediato de su fincionario en la procuraduría regional de… https://t.co/XZhrpt05hT</t>
  </si>
  <si>
    <t>Colombia decidió no apoyar a la OMS por apoyar a Trump Duque comete un error monunental. La OMS es la única autori… https://t.co/1s0mDajecL</t>
  </si>
  <si>
    <t>¿Por qué en Bogotá llega más rápido el Esmad que la comida? Porque hay una mentalidad no democrática imperando en… https://t.co/Uw4velrvu2</t>
  </si>
  <si>
    <t>RT @CINDYKATHERIN7: @DefensoriaCol @PGN_COL @petrogustavo Esta es la ayuda que está mandando @ClaudiaLopez mi hermano está entre la vida y…</t>
  </si>
  <si>
    <t>Mientras yo llenaba las plazas públicas del Caribe, la campaña de Duque afiliaba a cuanto mafioso comprador de voto… https://t.co/xYVZbYh2er</t>
  </si>
  <si>
    <t>RT @petrogustavo: Esta posición de la alcaldía de Bogotá de no darle comida al pobre que protesta es supremamente autoritaria, yo diría que…</t>
  </si>
  <si>
    <t>RT @petrogustavo: El hambre como bandera roja de solidaridad y protesta. Este es el artículo del País de España sobre el movimiento popula…</t>
  </si>
  <si>
    <t>RT @MeDicenWally: ¿A Don Berna sí? https://t.co/YVCaMYucf5</t>
  </si>
  <si>
    <t>RT @NotiBAdentro: #EstoyBarrioAdentro Esta es la voz de nuestros barrios populares, así se expresan los habitantes de barrio Compartir en…</t>
  </si>
  <si>
    <t>Mi querido amigo Juan Carlos, busco la unidad de los alternativos, pero alternatividad significa un programa de tra… https://t.co/TcBm7jFNtQ</t>
  </si>
  <si>
    <t>No se puede llamar irracional a oponerse a un metro elevado que solo extiende el transmilenio plagado de corrupción… https://t.co/z8IyCOQ2cc</t>
  </si>
  <si>
    <t>Quiso defender a su hermana a la que le aplicaba un policía electricidad, estando embarazada Su hermana salió a ex… https://t.co/cqMM4nJCS2</t>
  </si>
  <si>
    <t>RT @jcuestanovoa: Hoy en el barrio Independencia de Bosa la comunidad no aguanta más. Piden alimentos y no ESMAD. Es hora de declarar Bogot…</t>
  </si>
  <si>
    <t>RT @letatianosky: Buenos dias. POR FAVOR ¡AYUDENME A DENUNCIAR! Es totalmente falso que el dia de ayer se entregaron Mercados y ayudas a la…</t>
  </si>
  <si>
    <t>RT @JulianFMartinez: Los vínculos de @sergio_fajardo con la Oficina de Envigado y su reunión con Rogelio (socio de Memo Fantasma) y Mario U…</t>
  </si>
  <si>
    <t>La Picota le pide a Duque libertad para no morir del virus. En Colombia no existe la pena de muerte. La prisión do… https://t.co/MBHzTOT4hl</t>
  </si>
  <si>
    <t>Barrio Moravia, Medellín, lleno de banderas rojas. https://t.co/UtHcmLrN6r</t>
  </si>
  <si>
    <t>RT @EpicuroDeSamos_: Si los ricos dicen ser los que crean la riqueza ¿por qué quieren que los pobres sean los que vuelvan a trabajar?🤔</t>
  </si>
  <si>
    <t>¿Si España prorroga la cuarentena, porque Duque quiere levantarla? Porque necesitan la gente trabajando para que l… https://t.co/ZmuI6mEb8d</t>
  </si>
  <si>
    <t>RT @ElParcheCritico: #URGENTE ⚠️🆘 Ayer la @PoliciaBogota le disparó en dos ocasiones a Danny Darío Carvajal Castellanos, de 23 años, en el…</t>
  </si>
  <si>
    <t>Queda comprobada la tesis fundamental con la que apareció la economía clásica hace dos siglos: La riqueza solo nac… https://t.co/3DXPDq8CFl</t>
  </si>
  <si>
    <t>RT @susanamuhamad: La alcaldesa @ClaudiaLopez para corregir el rumbo debe asumir su responsabilidad, no acusar a otros sin sustento y atend…</t>
  </si>
  <si>
    <t>La focalizacion que hace el sisben y sobre la que se ha sustentado toda la política social del neoliberalismo en lo… https://t.co/TbfQf6EiFx</t>
  </si>
  <si>
    <t>Por que las ayudas basadas en el sisben solo son para las personas que están fuera del.mercado, no sirven en tiempo… https://t.co/mUNXpMAOx4</t>
  </si>
  <si>
    <t>No hubo enfrentamiento entre la comunidad y la policía como se observa en el video. Hubo una exigencia de la comuni… https://t.co/ZFKUff8wWY</t>
  </si>
  <si>
    <t>RT @petrogustavo: Por que las ayudas basadas en el sisben solo son para las personas que están fuera del.mercado, no sirven en tiempo de pa…</t>
  </si>
  <si>
    <t>No pagar factura de servicios públicos pero diferir ese pago a 36 meses es endeudar a la población de estratos 1 y… https://t.co/uWWD4IrdtX</t>
  </si>
  <si>
    <t>RT @gener_usuga: Definición de lo que en realidad es la #ColombiaHumana por @petrogustavo. https://t.co/M4DsvmBbE8</t>
  </si>
  <si>
    <t>RT @DanielRMed: En Valledupar, barrio 1o de Mayo, la gente con hambre exige soluciones y el alcalde “Mello” Castro les responde con la viol…</t>
  </si>
  <si>
    <t>Guillermo Torres el al alcalde de Colombia Humana de Turbaco, Bolívar, ha logrado que el servicio de agua potable s… https://t.co/3KD3Jbmp2t</t>
  </si>
  <si>
    <t>El alcalde de Villavicencio, denuncia que hay 23 casos de Covid19 en la cárcel entre presos, guardianes y administr… https://t.co/YX0Nb3QV3N</t>
  </si>
  <si>
    <t>RT @luzpastrana: #CoronavirusColombia Se presenta gráfico con datos oficiales publicados por el @INSColombia en comparación con datos ofic…</t>
  </si>
  <si>
    <t>Duque es presidente por el fraude y por Fajardo. https://t.co/EW964UrdBv</t>
  </si>
  <si>
    <t>RT @luzpastrana: @INSColombia Sres @INSColombia agradezco su rta, el error se presenta desde el día de ayer, los ojos de COLOMBIA están pue…</t>
  </si>
  <si>
    <t>RT @Eccetina: Y el séquito de periodistas aduladores del paquete chileno @sergio_fajardo no es pequeño. En prensa, televisión y, sobre todo…</t>
  </si>
  <si>
    <t>RT @lucianacadahia: En Colombia, la alcaldía de @ClaudiaLopez mandó a reprimir los cacerolazos de los barrios más populares de Bogotá. La f…</t>
  </si>
  <si>
    <t>RT @nicolaspetroB: Un procurador regional que debe ser del clan de los Cotes o de los Char, no quiere dejar trabajar a Caicedo. @carlosec…</t>
  </si>
  <si>
    <t>RT @petrogustavo: El alcalde de Villavicencio, denuncia que hay 23 casos de Covid19 en la cárcel entre presos, guardianes y administrativos…</t>
  </si>
  <si>
    <t>RT @petrogustavo: La focalizacion que hace el sisben y sobre la que se ha sustentado toda la política social del neoliberalismo en los últi…</t>
  </si>
  <si>
    <t>Esta es una oportunidad exepcional para que el gobierno a través de la compra de cosechas y una distribución de ali… https://t.co/6inKVBHurn</t>
  </si>
  <si>
    <t>Hoy se conmemora un 19 de abril más. El día que se robaron por fraude las elecciones en 1970 De allí surgió el M19… https://t.co/j1ikWBNZQu</t>
  </si>
  <si>
    <t>La crisis del virus vista por Naomi Klein y Angela Davis. https://t.co/2VygTD0FsT</t>
  </si>
  <si>
    <t>RT @petrogustavo: Hoy se conmemora un 19 de abril más. El día que se robaron por fraude las elecciones en 1970 De allí surgió el M19 para…</t>
  </si>
  <si>
    <t>El biopoder enfrentado a una biopolitica democrática Me preguntaba el senador Sanguino si no sabia distinguir entr… https://t.co/kZcCf35ZGj</t>
  </si>
  <si>
    <t>La secretaria de salud de Bogotá es una cuota burocrática de Fajardo. Su primera acción fue firmar los contratos d… https://t.co/sh0z9ctvyh</t>
  </si>
  <si>
    <t>Si Duque levanta la cuarentena el 27 de abril, Claudia tiene la obligación moral de mantenerla y volverla más estri… https://t.co/g80sTI2jag</t>
  </si>
  <si>
    <t>Siento que el papel de Fajardo es dividir para impedir un verdadero cambio. ¿Cómo puede considerar que la política… https://t.co/e4ANwphByf</t>
  </si>
  <si>
    <t>En Honduras un narcoestado después del golpe de Estado niegan y ocultan los muertos por el virus. Los cadáveres ll… https://t.co/VQDXcHp9VQ</t>
  </si>
  <si>
    <t>RT @LAURAWEINS: En Ciudad Bolívar, una mujer Trans es apuñaleada. El argumento de su agresor es que estaba en la calle en el día que le cor…</t>
  </si>
  <si>
    <t>RT @petrogustavo: Siento que el papel de Fajardo es dividir para impedir un verdadero cambio. ¿Cómo puede considerar que la política de Co…</t>
  </si>
  <si>
    <t>RT @petrogustavo: Si Duque levanta la cuarentena el 27 de abril, Claudia tiene la obligación moral de mantenerla y volverla más estricta, c…</t>
  </si>
  <si>
    <t>Los días de mi cumpleaños han sido de nostalgias, en la cárcel me ganaba el calabozo y así los festejaba. Hoy los… https://t.co/Ni2D54CGNx</t>
  </si>
  <si>
    <t>RT @Hekatombe_: "decaimiento... falta de memoria? Espere M 19" decía una publicidad en periódicos de circulación nacional en 1974, a los po…</t>
  </si>
  <si>
    <t>RT @dw_espanol: Colombianos sin sustento se lanzan a las calles La semana ha visto protestas de trabajadores informales en varios puntos d…</t>
  </si>
  <si>
    <t>RT @charry_manager: #19deAbril Esta misiva va a quien quiera recibirla, nuestras palabras a pesar de verse hoy mas perseguidas que nunca bu…</t>
  </si>
  <si>
    <t>https://t.co/e6FfinKdyD</t>
  </si>
  <si>
    <t>RT @petrogustavo: Los días de mi cumpleaños han sido de nostalgias, en la cárcel me ganaba el calabozo y así los festejaba. Hoy los festej…</t>
  </si>
  <si>
    <t>RT @fabiohipo: 📻El acontecer noticioso de la jornada electoral lo atendía la radio, Todelar con el 80% de las mesas contabilizadas dio a Ro…</t>
  </si>
  <si>
    <t>RT @ElParcheCritico: Ella es la mamá de Danny, el muchacho de 23 años que fue víctima de dos disparos por parte de la policía en Ciudad Bol…</t>
  </si>
  <si>
    <t>19 de abril de 1970 fraude electoral contra la Alianza Nacional Popular 17 de junio de 2018 fraude electoral contr… https://t.co/0axqaGcesY</t>
  </si>
  <si>
    <t>En una foto la historia condensada de dos siglos de rebeldía https://t.co/Xk7RpXJKGH</t>
  </si>
  <si>
    <t>RT @luchoceliscnai: El M-19 ha marcado nuestra historia contemporánea, tanto desde la guerra, como desde La Paz, huella profunda @navarrow…</t>
  </si>
  <si>
    <t>RT @HOLLMANMORRIS: #FelizCumpleañosPetro Vean este video, Colombia necesita un cambio, Colombia necesita un Presidente que se la juegue p…</t>
  </si>
  <si>
    <t>Alguna persona vinculada al estado y la extrema derecha me pregunta ¿si no tengo vergüenza? De que voy a avergonzar… https://t.co/VPNcq2Oyd0</t>
  </si>
  <si>
    <t>RT @DialogosYPaz: #FelizCumpleAñosPetro Hoy se conmemoran 50 años de fraudes, simulacros de democracia y corrupción imperante. Carlos Ller…</t>
  </si>
  <si>
    <t>RT @americanotuvozm: @petrogustavo #GraciasMédicosColombianos #Carrasquillavirus #felizcumpleanospetro Entrevista a Petro por @DCoronell…</t>
  </si>
  <si>
    <t>RT @Jocrogo: A esta hora cacerolazos en la Carrera 8 con calle sexta en Bogotá. https://t.co/5cKyovGuku</t>
  </si>
  <si>
    <t>La Paz pasa por la Justicia Social. https://t.co/kNPxfSh6Pb</t>
  </si>
  <si>
    <t>RT @CamiloCriollo: Algunos se negarán a entender por ignorancia histórica, arrogancia política o simple mezquindad intelectual cómo el M19…</t>
  </si>
  <si>
    <t>RT @heidy_up: A esta hora en el monumento en el barrio Sierra Morena, Ciudad Bolívar, las y los habitantes vuelven a tomarse las calles. Si…</t>
  </si>
  <si>
    <t>RT @petrogustavo: La Paz pasa por la Justicia Social.</t>
  </si>
  <si>
    <t>RT @HOLLMANMORRIS: A esta hora en Bogotá. Barrio Santa Barbara de la localidad La Candelaria. Protesta y quema llantas. La gente se queja…</t>
  </si>
  <si>
    <t>RT @CarlosCarrilloA: Ni @petrogustavo ni nadie que proponga un cambio real les sirve a los verdes y a Fajardo, el @PartidoVerdeCoL es el nu…</t>
  </si>
  <si>
    <t>En este cuadro de @luzpastrana, pueden ver la diferencia de las curvas del virus en Colombia, cuando se trazan por… https://t.co/SRjz4lWlQ4</t>
  </si>
  <si>
    <t>RT @GustavoBolivar: Rastreamos a empresarios beneficiados por FINAGRO de manera exprés con miles de millones en subsidios y préstamos sin i…</t>
  </si>
  <si>
    <t>Los médicos salen a protestar en EEUU y detienen las manifestaciones de los trumpistas que buscan levantar la cuare… https://t.co/ELNQGSwPyC</t>
  </si>
  <si>
    <t>La mayor parte de las donaciones de las grandes empresas, son descontables en impuestos. Es sacar de un bolsillo pa… https://t.co/IBadLeiRL5</t>
  </si>
  <si>
    <t>Chomsky, gran lingüista y filósofo norteamericano, analiza la situación de EEUU, Trump y el sistema de salud en la… https://t.co/JSoYutSNDg</t>
  </si>
  <si>
    <t>Colombia medida por los expertos de acuerdo a su tasa de letalidad en el virus, es de los países del mundo con mayo… https://t.co/AqdILoheIE</t>
  </si>
  <si>
    <t>La fiesta de la donacion es la fiesta de la doble moral. Los mismos que donan 50.000 millones al Estado en el mismo… https://t.co/3Zq1FiDEX7</t>
  </si>
  <si>
    <t>No pueden seguir engañando más, señores @SectorSalud. Estas camas no son de cuidados intensivos. Mientras ustedes… https://t.co/0Z3iXqd3Kx</t>
  </si>
  <si>
    <t>RT @RobertDeNiroUS: ""Our nation's nurses are now being forced to fight against two enemies-- although one is much dumber than the other.""…</t>
  </si>
  <si>
    <t>Mientras aquí se le reciben donaciones cuando se les rebajaron en diez mil veces más impuestos que la donacion que… https://t.co/5vQok4Z8BJ</t>
  </si>
  <si>
    <t>Amigo, mientras la ley tributaria permita que la donación sea descontable del impuesto de renta, la donación es pro… https://t.co/LnVpouf96U</t>
  </si>
  <si>
    <t>Dijeron que habían entregado el hotel Tequendama a la atención de personas y resulta que están cobrando millones de… https://t.co/bWUTcaBbh3</t>
  </si>
  <si>
    <t>Si el gobierno levanta la cuarentena en plena expansión del virus, la sociedad debe responder en defensa de su vida… https://t.co/XMbDsLXnhb</t>
  </si>
  <si>
    <t>Todo el ahorro forzoso pensional de los cotizantes en fondos privados de pensiones verán su saldo desvalorizarse, n… https://t.co/Aey6evrKJg</t>
  </si>
  <si>
    <t>RT @wilsonariasc: Alerta, otro decreto para Angulo y demás banqueros. Es el 562, autorizó a los bancos a tener menos plata de respaldo en…</t>
  </si>
  <si>
    <t>Localizar familias a través de las cuentas bancarias es un despropósito en los sectores sociales informales y dedic… https://t.co/HYARyccf5P</t>
  </si>
  <si>
    <t>RT @CarolayMorales: Hoy fue un día difícil. Al final de el último informe en el noticiero sobre el hambre en Ciudad Bolívar, boté el micróf…</t>
  </si>
  <si>
    <t>¿Queremos más dinero para atender el Covid19?: Impuesto al patrimonio neto. Deshacer la reforma tributaria aproba… https://t.co/akf878dGBa</t>
  </si>
  <si>
    <t>Cerrar campos petroleros y minas de carbón no debe ser vista como una tragedia para Colombia, si somos capaces de r… https://t.co/XUHgu1TceR</t>
  </si>
  <si>
    <t>No se puede permitir que criminalicen la protesta social. Si somos democracia, la protesta contra el hambre es abso… https://t.co/OnD3jIdhNu</t>
  </si>
  <si>
    <t>RT @petrogustavo: La mayor parte de las donaciones de las grandes empresas, son descontables en impuestos. Es sacar de un bolsillo para met…</t>
  </si>
  <si>
    <t>RT @heidy_up: Manifiesto mi preocupación ante la estigmatización del derecho a la protesta y a la subvaloración a las comunidades culpándon…</t>
  </si>
  <si>
    <t>RT @Hekatombe_: Pero ¿Luego la protesta no es un derecho consagrado en la Constitución Política de 1991? O sea ¿La alcaldesa demuestra que…</t>
  </si>
  <si>
    <t>El deber constitucional de todo concejal, edil o parlamentario es hacer control politico y más si estamos en medio… https://t.co/qFHSKBTyGt</t>
  </si>
  <si>
    <t>RT @anateresabernal: Nos eligieron para hacer control político, en estos días difíciles hemos recibido muchas denuncias y solicitudes de ap…</t>
  </si>
  <si>
    <t>Esto definitivamente se llama persecución politica. Señores @CaracolRadio detrás de las protestas y los trapos roj… https://t.co/bbwfDLE2SN</t>
  </si>
  <si>
    <t>Un Estado mendicante es un Estado estupido https://t.co/iI4GcoelvU</t>
  </si>
  <si>
    <t>El @MinSaludCol está dando los datos de UCIs ocupadas por enfermos confirmados del virus y no con enfermos graves c… https://t.co/mUQW8mx9gT</t>
  </si>
  <si>
    <t>Un barril de petróleo hoy vale 4,81 dólares, es decir menos de 20.000 pesos. Y toda nuestra oligarquía basó el pla… https://t.co/u11BlPrrl1</t>
  </si>
  <si>
    <t>Solo la elevación de las tarifas de servicios públicos en el último mes se llevó por delante la pequeña ayuda dada… https://t.co/PZ0EmlsEQm</t>
  </si>
  <si>
    <t>El comité del paro nacional, hoy debería estar en red, debe convocar al primer cacerolazo en cuarentena para exigir… https://t.co/1PL4ujySoG</t>
  </si>
  <si>
    <t>RT @elsemblante: Un barril de petróleo hoy vale lo mismo que 2 almuerzos corrientazos. Nuestra economía la hicieron dependiente del él, lo…</t>
  </si>
  <si>
    <t>Hoy podemos decir que una libra de aguacate vale más que un barril de petroleo. https://t.co/mJV778CC3K</t>
  </si>
  <si>
    <t>RT @ma_eugeniam: Voté por @ClaudiaLopez y creía haber elegido bien. En los temas del Complejo Hospitalario San Juan de Dios, ha habido poca…</t>
  </si>
  <si>
    <t>Claro que todo edil o concejal o militante de Colombia Humana debe alzar su voz de protesta, si ante el hambre se r… https://t.co/C61CGHYghK</t>
  </si>
  <si>
    <t>RT @petrogustavo: El comité del paro nacional, hoy debería estar en red, debe convocar al primer cacerolazo en cuarentena para exigir una p…</t>
  </si>
  <si>
    <t>RT @MariaMatusv: ¿Y ahora la gente no puede protestar cuando sienten hambre? Entonces, ¿qué esperan? ¿Que se quedan calladitos mientras los…</t>
  </si>
  <si>
    <t>RT @DanielRMed: Los medios de comunicación, Uribe y @ClaudiaLopez tratando de eliminar el control político de Colombia Humana. Los une la…</t>
  </si>
  <si>
    <t>El ascenso del irracionalismo: la ideología de la barbarie. https://t.co/jgNiPFM8eT</t>
  </si>
  <si>
    <t>Al día de hoy las ayudas nacionales: $160.000 por familia, solo han llegado a quienes ya llegaban, familias en acci… https://t.co/9qOAmAkoTO</t>
  </si>
  <si>
    <t>Mientras se mantiene el mismo número de familias, 1.100.000 a nivel nacional, que ya se apoyaban de antemano, el nú… https://t.co/lJiT0StFBS</t>
  </si>
  <si>
    <t>Ha costado al Estado pasar del número de familias ya asistidas a un número que llega a ser el triple, y ya ha pasad… https://t.co/UUCidPuYSw</t>
  </si>
  <si>
    <t>Un ejemplo de que significa el enfoque de derechos universales en politica social en pandemia, más eficaz que la fo… https://t.co/FevoSHVKt8</t>
  </si>
  <si>
    <t>En el ejemplo de los servicios públicos como derecho no hay gasto del presupuesto; otro ejemplo, derecho por tres m… https://t.co/ly6mntu9gl</t>
  </si>
  <si>
    <t>Y doy otro ejemplo de una política social para la pandemia basada en los derechos universales: Derecho por tres me… https://t.co/vwYDpqZxUW</t>
  </si>
  <si>
    <t>Como verán esta política social no tiene mayor costo presupuestal, pero tiene un doliente final: las utilidades del… https://t.co/ytaum7krqp</t>
  </si>
  <si>
    <t>RT @AndresCamiloHR: “Propongo un pacto social nacional para estos tres meses” dice el Senador Gustavo Petro (@petrogustavo) en la plenaria…</t>
  </si>
  <si>
    <t>RT @AndresCamiloHR: “Proponemos un pacto político fundamental por estos tres meses... Cambiar la visión de focalización por la visión de de…</t>
  </si>
  <si>
    <t>Si queremos hacer sostenible la cuarentena a las familias colombianas se necesita un pacto social y político. Propo… https://t.co/mH29nDHPyi</t>
  </si>
  <si>
    <t>Lo que han hecho con la fuerza de la salud es una ignominia. El Estado esta destruyendo la fuerza fundamental de l… https://t.co/XSiki5SNKk</t>
  </si>
  <si>
    <t>Es muy difícil que un narco viva en los barrios difíciles, en general viven en los barrios más fáciles. Los barrio… https://t.co/obn7DX9P7j</t>
  </si>
  <si>
    <t>RT @juan_alies: El meme que pasó de ser una burla contra @petrogustavo y @GustavoBolivar a convertirse en la previsión de una nueva realida…</t>
  </si>
  <si>
    <t>RT @GracianaXXI: ¿La vice tiene fiebre? Dice que el modelo económico fracasó-mucha pobreza y desigualdad- y es necesario un capitalismo +s…</t>
  </si>
  <si>
    <t>RT @petrogustavo: Lo que han hecho con la fuerza de la salud es una ignominia. El Estado esta destruyendo la fuerza fundamental de la luch…</t>
  </si>
  <si>
    <t>RT @petrogustavo: Al día de hoy las ayudas nacionales: $160.000 por familia, solo han llegado a quienes ya llegaban, familias en acción y a…</t>
  </si>
  <si>
    <t>RT @petrogustavo: Si queremos hacer sostenible la cuarentena a las familias colombianas se necesita un pacto social y político. Proponemos…</t>
  </si>
  <si>
    <t>RT @SaninPazC: No entiendo cómo no quieren que se acabe esta estructura injusta, esclavizante y destructiva; que no los emocione pensar en…</t>
  </si>
  <si>
    <t>Duque ayer nos engañó. Saca a la calle a cuatro millones de colombianos, el corazón de las ganancias y de la produ… https://t.co/QlkxYtaVM1</t>
  </si>
  <si>
    <t>Al sacar la fuerza laboral de la construcción y la manufactura, sale toda Bogotá a la calle el 27. La ciudad mxas c… https://t.co/YSo2xnx5YR</t>
  </si>
  <si>
    <t>Un pacto político con la banca para lograr un confinamiento estricto y una política social eficaz para ello. Las p… https://t.co/EbCv6z4ot1</t>
  </si>
  <si>
    <t>RT @Dilaq2015: Ustedes han visto estás imágenes publicadas el 18 de abril? @PoliciaColombia @GustavoBolivar @petrogustavo alguien puede con…</t>
  </si>
  <si>
    <t>RT @petrogustavo: Al sacar la fuerza laboral de la construcción y la manufactura, sale toda Bogotá a la calle el 27. La ciudad mxas contagi…</t>
  </si>
  <si>
    <t>RT @petrogustavo: Un pacto político con la banca para lograr un confinamiento estricto y una política social eficaz para ello. Las propues…</t>
  </si>
  <si>
    <t>De acuerdo al estatuto orgánico del Distrito Capital de Bogotá, decreto ley emanado directamente por orden de la As… https://t.co/a7HPSeukb6</t>
  </si>
  <si>
    <t>No debe salir ni la manufactura ni la construcción; no es vital que salga su fuerza laboral. En la manufactura no h… https://t.co/tHKqLcsoQR</t>
  </si>
  <si>
    <t>No hay ninguna razón para exponer a los trabajadores de la construcción al virus que no sea doblegarse al interés d… https://t.co/eT3cdoNmG0</t>
  </si>
  <si>
    <t>RT @petrogustavo: No hay ninguna razón para exponer a los trabajadores de la construcción al virus que no sea doblegarse al interés de los…</t>
  </si>
  <si>
    <t>RT @AndresCamiloHR: “Hicieron una cuarentena de mentiras, un simulacro” dice el Senador Gustavo Petro (@petrogustavo) en la Comisión Primer…</t>
  </si>
  <si>
    <t>RT @AndresCamiloHR: “Invito a votar una moción de censura al ministro de Hacienda Carrasquilla” dice el Senador Gustavo Petro (@petrogustav…</t>
  </si>
  <si>
    <t>RT @AndresCamiloHR: “El presidente y los alcaldes han cedido a los intereses de los empresarios” señala el Senador Gustavo Petro (@petrogus…</t>
  </si>
  <si>
    <t>RT @petrogustavo: No debe salir ni la manufactura ni la construcción; no es vital que salga su fuerza laboral. En la manufactura no habrá v…</t>
  </si>
  <si>
    <t>RT @petrogustavo: De acuerdo al estatuto orgánico del Distrito Capital de Bogotá, decreto ley emanado directamente por orden de la Asamblea…</t>
  </si>
  <si>
    <t>RT @rcnradio: Petro propone moción de censura contra ministro Carrasquilla https://t.co/8EDVbV5PCS</t>
  </si>
  <si>
    <t>RT @heidy_up: A esta hora en el barrio La Flora, en la localidad de Usme, la comunidad se toma la vía principal ante las precarias condicio…</t>
  </si>
  <si>
    <t>RT @RevistaSemana: #SemanaNoticias Noticia - "¿Por qué no hay una moción de censura sobre el ministro de Hacienda?", dice Gustavo Petro (@…</t>
  </si>
  <si>
    <t>RT @PrensaRural: #ATENCION #ULTIMAHORA En la vereda el pulgante, en el municipio de Tumaco, en medio de operativos de erradicación violent…</t>
  </si>
  <si>
    <t>A mi no tienen que satisfacerme en nada, Angélica. Solo no privaticen la salud, no demuelan el San Juan de Dios y n… https://t.co/HuJAdJopnI</t>
  </si>
  <si>
    <t>Reporte de mi Estado de salud https://t.co/Ssn4nfNbx9</t>
  </si>
  <si>
    <t>RT @petrogustavo: Reporte de mi Estado de salud https://t.co/Ssn4nfNbx9</t>
  </si>
  <si>
    <t>Aquí publico mi historia clínica. https://t.co/8jXQ8ZJl5z</t>
  </si>
  <si>
    <t>No Patricia te equivocas. Y debo decir que poner en duda dictámenes médicos no es ético. Se que la medicina no e… https://t.co/LrTneHzCMu</t>
  </si>
  <si>
    <t>RT @petrogustavo: Aquí publico mi historia clínica. https://t.co/8jXQ8ZJl5z</t>
  </si>
  <si>
    <t>RT @sofia_petro: Se hizo público por presiones que le pedían explicar su presencia en cuba, como siempre se le pide explicación de cada cos…</t>
  </si>
  <si>
    <t>https://t.co/hHZEOlA89p https://t.co/mXLy1vHPDB</t>
  </si>
  <si>
    <t>Noticia contraevidente: Diagnóstico principal: carcinoma https://t.co/2joM0ocIva https://t.co/le9qDBHsj4</t>
  </si>
  <si>
    <t>RT @MoisesAlvaro_: No hay necesidad de ser de la Colombia Humana para ver que lo que hace @BluRadioCo con las narcobodeguitas uribistas es…</t>
  </si>
  <si>
    <t>RT @petrogustavo: No Patricia te equivocas. Y debo decir que poner en duda dictámenes médicos no es ético. Se que la medicina no es una…</t>
  </si>
  <si>
    <t>Este tipo de periodismo es venenoso, ni siquiera sabe leer una historia clínica, ni entender el sentido de una inte… https://t.co/jzrRNoXh6R</t>
  </si>
  <si>
    <t>El gran constructor de la estrategia que puso preso a Lula para entregarle el Brasil al fascismo, hoy, renuncia. R… https://t.co/dOM7RDKgiH</t>
  </si>
  <si>
    <t>RT @finseya5: @IvanDuque @MinSaludCol @PGN_COL @petrogustavo desmonte parcial cuarentena el 27 de abril es contraevidente y va a acelerar l…</t>
  </si>
  <si>
    <t>RT @RevistaSemana: #LaSaludDePetro | “Lo obligaron a contar lo que estaba pasando y si no hubiera sido él, no habría tanta polémica”: @Gust…</t>
  </si>
  <si>
    <t>RT @finseya5: El examen No salió negativo. Es un cáncer en fase temprana que se pudo extirpar afortunadamente.</t>
  </si>
  <si>
    <t>Agradezco al Centro de Investigaciones Medicas y Quirúrgicas, CIMEQ, de Cuba el haber descubierto tempranamente el… https://t.co/y7RHjv6YoT</t>
  </si>
  <si>
    <t>Duque acabó la cuarentena por ceder a intereses económicos poderosos y arriesga todo el país por ellos. https://t.co/gUMUzgWZt3</t>
  </si>
  <si>
    <t>Por temor a una política social digna para el pueblo Colombiano, Duque rompe la cuarentena. No fue capaz de poner e… https://t.co/KN2F7mvMI4</t>
  </si>
  <si>
    <t>RT @petrogustavo: Duque acabó la cuarentena por ceder a intereses económicos poderosos y arriesga todo el país por ellos. https://t.co/gUMU…</t>
  </si>
  <si>
    <t>Javier Hernandez hizo quebrar los pequeños propietarios de buses de Bogotá Y firmó el contrato de estabilidad jurí… https://t.co/Ha8znFKv6a</t>
  </si>
  <si>
    <t>En este hilo de Angie Álvarez, pueden ustedes leer lo que significa la historia clínica que publiqué, dado el nivel… https://t.co/X6mQDMU6AY</t>
  </si>
  <si>
    <t>RT @petrogustavo: En este hilo de Angie Álvarez, pueden ustedes leer lo que significa la historia clínica que publiqué, dado el nivel de ma…</t>
  </si>
  <si>
    <t>RT @YolandaRuizCe: Pregunta a @petrogustavo si está detrás de protestas en Bogotá. Dice: "La política no está detrás, está de frente. El ma…</t>
  </si>
  <si>
    <t>Alejandro Llinás, líder de la Colombia Humana en la Sierra Nevada de Santa Marta ha sido asesinado. El paramilitar… https://t.co/jMv4XD4yan</t>
  </si>
  <si>
    <t>RT @nicolaspetroB: COMUNICADO DE LA FAMILIA PETRO La familia del actual Senador y excandidato presidencial @petrogustavo, exige respeto y…</t>
  </si>
  <si>
    <t>RT @heidy_up: La población del barrio Bella Flor, Ciudad Bolívar, está volcada en las calles. La fila es inmensa esperando las ayudas anunc…</t>
  </si>
  <si>
    <t>RT @petrogustavo: Por temor a una política social digna para el pueblo Colombiano, Duque rompe la cuarentena. No fue capaz de poner en cint…</t>
  </si>
  <si>
    <t>La mafia que presiona la privatización y expansion hotelera en el Tayrona, que de alía con el poder político y poli… https://t.co/OictaeEGdH</t>
  </si>
  <si>
    <t>RT @petrogustavo: La mafia que presiona la privatización y expansion hotelera en el Tayrona, que de alía con el poder político y policial,…</t>
  </si>
  <si>
    <t>Recordar la historia es también reconstruir la liberación: Hace 75 años hombres y mujeres derrotaron a los fascios… https://t.co/bPENBNSbES</t>
  </si>
  <si>
    <t>Les transmito la entrevista que me hizo "El Espectador" sobree el levantamiento de la cuarentena y la política soci… https://t.co/kPushxKz4B</t>
  </si>
  <si>
    <t>RT @5diasPY: 🇮🇹𝗚𝗟𝗢𝗕𝗔𝗟 | Italia festeja 75 años de la ejecución popular de Mussolini y su liberación del fascismo a pesar de las restriccio…</t>
  </si>
  <si>
    <t>RT @petrogustavo: Les transmito la entrevista que me hizo "El Espectador" sobree el levantamiento de la cuarentena y la política social en…</t>
  </si>
  <si>
    <t>Cuentan como mercados los refrigerios escolares. El confinamiento se debilita por un Estado incapaz de asumir una… https://t.co/qePUE9TrDH</t>
  </si>
  <si>
    <t>Hacer decrecer algunos sectores económicos, como el petroleo, el carbón y el gas, representa hacer crecer la prospe… https://t.co/Wdm8Jmfqji</t>
  </si>
  <si>
    <t>El secretario de salud de Bogotá no permite que los concejales vayan al San juan de Dios. Hace una visita guiada a… https://t.co/hoqa2H5X5S</t>
  </si>
  <si>
    <t>RT @anateresabernal: No entendemos como la alcaldesa @ClaudiaLopez dijo en @NoticiasCaracol que se habían entregado 1,7 millones de mercado…</t>
  </si>
  <si>
    <t>RT @petrogustavo: El secretario de salud de Bogotá no permite que los concejales vayan al San juan de Dios. Hace una visita guiada a otras…</t>
  </si>
  <si>
    <t>RT @heidy_up: En el barrio Los Alpes, Ciudad Bolívar, la gente está en la calle esperando las ayudas del gobierno de @ClaudiaLopez ante el…</t>
  </si>
  <si>
    <t>RT @MovimientoMAIS: Solicitamos seriamente al @PartidoVerdeCoL y sus líderes nos aclaren si estás posiciones racistas del señor @LasernaBog…</t>
  </si>
  <si>
    <t>RT @petrogustavo: Recordar la historia es también reconstruir la liberación: Hace 75 años hombres y mujeres derrotaron a los fascios en el…</t>
  </si>
  <si>
    <t>RT @petrogustavo: Cuentan como mercados los refrigerios escolares. El confinamiento se debilita por un Estado incapaz de asumir una políti…</t>
  </si>
  <si>
    <t>RT @petrogustavo: Hacer decrecer algunos sectores económicos, como el petroleo, el carbón y el gas, representa hacer crecer la prosperidad…</t>
  </si>
  <si>
    <t>La gran oportunidad económica hoy, es incentivar el cultivo de alimentos, potenciar el campesino y el pequeño y med… https://t.co/Z5iaiGd873</t>
  </si>
  <si>
    <t>RT @ManuelaDavila: Tá de arrepiar esse vídeo dos portugueses cantando Grândola, vila morena neste 25 de abril ♥️ https://t.co/5cbEvwSS1U</t>
  </si>
  <si>
    <t>Lo que han hecho es levantar la cuarentena cuando el contagio más crece. El primer riesgo lo asume la clase traba… https://t.co/BAZ04S963v</t>
  </si>
  <si>
    <t>Para que chance de cientos de miles de millones a la salud, deben haber millones de personas en las calles. ¿Cuál… https://t.co/nAKZodfnRx</t>
  </si>
  <si>
    <t>Fascismo nunca más. El hermoso canto portugués, conmemorando los 45 años de la Revolución de los claveles. https://t.co/qCHkCFcHsY</t>
  </si>
  <si>
    <t>Si se quiere recuperar la situación difícil del país lo primero es resguardar la vida de la gente. El país es la g… https://t.co/coIGJxMISi</t>
  </si>
  <si>
    <t>RT @petrogustavo: Lo que han hecho es levantar la cuarentena cuando el contagio más crece. El primer riesgo lo asume la clase trabajadora…</t>
  </si>
  <si>
    <t>Otra bella canción sobre guerrilleros resistentes contra el fascismo en Italia , a los 75 años de la liberación, ca… https://t.co/iu63HW4NZ9</t>
  </si>
  <si>
    <t>Para su análisis, mi entrevista en RCN radio. Detrás de la protesta no esta Colombia Humana, está el hambre. https://t.co/LiSjqiUtaa</t>
  </si>
  <si>
    <t>RT @petrogustavo: Para su análisis, mi entrevista en RCN radio. Detrás de la protesta no esta Colombia Humana, está el hambre. https://t.…</t>
  </si>
  <si>
    <t>Guillermo, el fascismo no se basa en una ideologia colectivista, su base económica es el capitalismo; por eso bajo… https://t.co/y6xBK7oF6r</t>
  </si>
  <si>
    <t>RT @CuartoDeHoraCol: “A Llinás, y a la enorme mayoría de líderes y lideresas sociales no las está matando la tal “ausencia del Estado”, sin…</t>
  </si>
  <si>
    <t>RT @luzmcaro: De todos los periodistas y comentaristas de @bluradioco puede esperarse lo peor, pero de @hectorriveross y @AurelioSuarez, n…</t>
  </si>
  <si>
    <t>Bergamo en el norte de Italia fue una sociedad donde su alcalde se dejó presionar del empresariado industrial y no… https://t.co/jZ2CxjUBLB</t>
  </si>
  <si>
    <t>RT @carlosecaicedo: Sicarios no están en cuarentena. Van 56 líderes asesinados en 2020. Desde @MagdalenaGober llamamos a @PGN_COL @Defensor…</t>
  </si>
  <si>
    <t>¿Qué pasará con las librerías si entra Amazon? ¿Lo mismo que con los taxistas y Uber? ¿Es el desarrollo de los tie… https://t.co/YXUMwFoNoy</t>
  </si>
  <si>
    <t>RT @HistoriaM19: "No he visto ojos más melancólicos en alguien de mí mismo sexo. Mirada más lejana, amorosa, tierna, risueña, hundida en cu…</t>
  </si>
  <si>
    <t>¿Por qué la unidad de Victimas, oficina del gobierno, pide anular la protección a 17 sitios donde se supone habría… https://t.co/z0XtXnlk6g</t>
  </si>
  <si>
    <t>A las nueve de la noche por Canal Capital, ustedes podrán ver el documental premiado sobre Carlos Pizarro. https://t.co/11di5x2qZU</t>
  </si>
  <si>
    <t>La Clase Obrera va al matadero... https://t.co/0QuRk6kTAk</t>
  </si>
  <si>
    <t>RT @GustavoBolivar: Columna sobre la burla de varios periodistas de @BluRadioCo sobre la enfermedad de @petrogustavo "Qué vergüenza de per…</t>
  </si>
  <si>
    <t>RT @Veeduria_Metro: Preocupante que @MetroBogota pretenda retomar actividades pressenciales, como el trabajo de campo, para acelerar la co…</t>
  </si>
  <si>
    <t>Maza Márquez, ex director del DAS, sabe perfectamente quien ordenó el asesinato de Carlos Pizarro. Que lo confiese… https://t.co/bA2GNOBuga</t>
  </si>
  <si>
    <t>Duque permite la salida de la fuerza laboral de la manufactura, después que en Bogotá la alcaldía empezó a hablar d… https://t.co/sule8YXsyh</t>
  </si>
  <si>
    <t>RT @ChalecosAmarill: 📽💞💞 ¡VUELVE LA EMPERATRIZ @inafinogenova ! 🛑Los buenos doctores saben que siempre hay que estar preparados para lo pe…</t>
  </si>
  <si>
    <t>RT @petrogustavo: Duque permite la salida de la fuerza laboral de la manufactura, después que en Bogotá la alcaldía empezó a hablar de libe…</t>
  </si>
  <si>
    <t>La oligarquía incumplió el proceso de paz con el M19. ¿Pruebas? El asesinato de Carlos Pizarro. No se aplica la… https://t.co/F31Ag4KrwL</t>
  </si>
  <si>
    <t>RT @AUGUSTOOCAMPO: Ayer lo tuvo que aceptar, el Secretario de Salud de Bogotá afirmó que NO hay respiradores suficientes para enfrentar lo…</t>
  </si>
  <si>
    <t>RT @SemanarioVOZ: #Pizarro30Años Hoy recordamos desde el corazón a Carlos Pizarro Leongómez, el último comandante del M-19. En su memoria,…</t>
  </si>
  <si>
    <t>RT @HistoriaM19: "Ofrecemos algo elemental, simple y sencillo, que la vida no sea asesinada en primavera". #CarlosPizarroLeongómez #Pizar…</t>
  </si>
  <si>
    <t>RT @oscarsopos: #Pizarro30Años I Hoy recordamos a Carlos Pizarro. 30 años después, su crimen se mantiene en la impunidad. El mejor homenaje…</t>
  </si>
  <si>
    <t>El comité de la movilización no ha sabido organizarse en medio del confinamiento, olvida la red como medio y la pro… https://t.co/uqcCLFFf2K</t>
  </si>
  <si>
    <t>Carlos Escobar vuelve a una actividad delictiva al frente de las bodegas de la calumnia uribista. Le pido a… https://t.co/H20XG2rsRJ</t>
  </si>
  <si>
    <t>RT @GloriaFlorezSI: Difícil decir #FelizDomingo porq la tristeza nos embarga. La violencia no da tregua! Hace 3 décadas fue el magnicidio d…</t>
  </si>
  <si>
    <t>Si queremos proteger la vida humana en Colombia, @ClaudiaLopez debe, sustentada en el decreto ley estatuto orgánico… https://t.co/sGklhoBr3q</t>
  </si>
  <si>
    <t>En tiempos de Pandemia hay poca producción: alimentos, servicios públicos. ¿Cómo llega a las familias?: El Estad… https://t.co/AZl8GVKJvv</t>
  </si>
  <si>
    <t>RT @elespectador: Carlos Pizarro y el M-19: el Heavy Metal Latinoamericano (fragmentos). https://t.co/rlUeBqdAzF https://t.co/vDejSWmI4N</t>
  </si>
  <si>
    <t>El interés de la alcaldía de poner a funcionar la economía de la construcción, que no es esencial para la población… https://t.co/vr7GWQtHdo</t>
  </si>
  <si>
    <t>RT @GiordanoBrunoFi: ¿Sabía ud de la especialización de @CAMACOLBOGOTA (Gremio privado de la construcción) en el manejo de pandemias? Clau…</t>
  </si>
  <si>
    <t>RT @petrogustavo: El interés de la alcaldía de poner a funcionar la economía de la construcción, que no es esencial para la población en pa…</t>
  </si>
  <si>
    <t>RT @petrogustavo: Si queremos proteger la vida humana en Colombia, @ClaudiaLopez debe, sustentada en el decreto ley estatuto orgánico de Bo…</t>
  </si>
  <si>
    <t>Hoy a las nueve verán en Canal Capital el documental que Maria José Pizarro hizo sobre la vida de su padre: Carlos Pizarro.</t>
  </si>
  <si>
    <t>https://t.co/RWMRVVMTqj</t>
  </si>
  <si>
    <t>Además, a esta columna habría que agregar la insistencia judicial de negar la personería jurídica para impedir la f… https://t.co/vtRucmSh7d</t>
  </si>
  <si>
    <t>RT @ismene2: Ve, hoy hace 83 años muere en la cárcel el filósofo, teórico marxista, político y periodista italiano Antonio Gramsci, el que…</t>
  </si>
  <si>
    <t>Judicializar la política lleva por ejemplo a enjuiciar a Claudia por salir con su pareja a comprar alimentos. Comet… https://t.co/aAxYhPCPJe</t>
  </si>
  <si>
    <t>Mi querido amigo Robledo, ante la pandemia en crecimiento, sin haber llegado al pico de la enfermedad, no hay razón… https://t.co/ce3c4B3fKG</t>
  </si>
  <si>
    <t>RT @petrogustavo: Judicializar la política lleva por ejemplo a enjuiciar a Claudia por salir con su pareja a comprar alimentos. Cometieron…</t>
  </si>
  <si>
    <t>RT @MovimientoMAIS: "Estos actos no son sólo contra una concejal, es contra un Movimiento al que ella representa y contra una población q h…</t>
  </si>
  <si>
    <t>RT @ChalecosAmarill: 📽👏👏Médicos cubanos llegan a Sudáfrica para ayudar a combatir #coronavirus 🛑Más de 200 médicos cubanos aterrizaron en…</t>
  </si>
  <si>
    <t>RT @AndresCamiloHR: “Voy a tomar acciones judiciales contra la emisora @BluRadioCo por los ataques y señalamientos que me hicieron” añade @…</t>
  </si>
  <si>
    <t>RT @AndresCamiloHR: “Las EPS ya están quebradas desde hace tiempo... La pandemia no la vamos a solucionar ni con EPS, ni con ARL, ni con ba…</t>
  </si>
  <si>
    <t>RT @ammejiaaguado: #AlAireEnLaW #VolverASalirEs @petrogustavo reitera q la experiencia mundial indica q solo después de q los países logran…</t>
  </si>
  <si>
    <t>RT @charry_manager: “En tres meses no se compró un solo respirador en Bogotá” señala @petrogustavo en @WRadioColombia https://t.co/UmwGaORX…</t>
  </si>
  <si>
    <t>RT @AndresCamiloHR: “El hospital no puede ser mirado como una empresa, deber ser mirado como una entidad al servicio público que merece tod…</t>
  </si>
  <si>
    <t>RT @AndresCamiloHR: “La gata debe estar contenta por qué ahora el presidente le permite seguir llenándose los bolsillos” señala @petrogusta…</t>
  </si>
  <si>
    <t>RT @AndresCamiloHR: “La peor salida es sacar la gente a la calle, es exponerla al virus” dice @petrogustavo en @WRadioColombia https://t.co…</t>
  </si>
  <si>
    <t>RT @AndresCamiloHR: “Para frenar el virus y salvar la vida, hay que detener la producción... si se deteriora la vida de la gente mucho meno…</t>
  </si>
  <si>
    <t>RT @AndresCamiloHR: “Esta es una crisis y debe ser atendido con elementos para atender una crisis” señala @petrogustavo en @WRadioColombia…</t>
  </si>
  <si>
    <t>RT @AndresCamiloHR: “Tenemos gobiernos que se pegan a salvar las ganancias de una minoría de la gente” dice Gustavo Petro (@petrogustavo) e…</t>
  </si>
  <si>
    <t>RT @AndresCamiloHR: “Es un exabrupto lo que hizo la Fiscalía en abrir investigación a @ClaudiaLopez... eso fue una irregularidad y debe pag…</t>
  </si>
  <si>
    <t>RT @AndresCamiloHR: “Yo puedo tener críticas a @ClaudiaLopez, pero no me interesa que una discusión política se vuelva judicial” añade @pet…</t>
  </si>
  <si>
    <t>No hay ninguna razón válida para que en plena expansión de la pandemia se arriesgue la vida de los obreros y obrera… https://t.co/cBk8NoNGNR</t>
  </si>
  <si>
    <t>El neoliberalismo es responsable de primer orden en el desmantelamiento de la capacidad hospitalaria pública de tod… https://t.co/WTNX5YI9ff</t>
  </si>
  <si>
    <t>RT @AugustoCubides: Menos mal el Procurador no es el cavernario Ordoñez o sino Claudia ya estaría destituida.</t>
  </si>
  <si>
    <t>La presión de industriales por abrir empresas, hizo de Bergamo y Brescia, en Italia, un cementerio Invite a los in… https://t.co/ZdFDdgITp6</t>
  </si>
  <si>
    <t>RT @jsanchezcristo: ¿Esta foto es de hoy en Transmetro Barranquilla? De ser cierto vamos para una tragedia. https://t.co/qmke3651cC</t>
  </si>
  <si>
    <t>Cuando los presos protestaron por falta de una política que impidiera su contagio, el INPEC los reprimió, ahora gua… https://t.co/lW286ZMffR</t>
  </si>
  <si>
    <t>RT @petrogustavo: La presión de industriales por abrir empresas, hizo de Bergamo y Brescia, en Italia, un cementerio Invite a los industri…</t>
  </si>
  <si>
    <t>RT @RevistaSemana: El excandidato presidencial @petrogustavo se pronunció en medio la controversia que desató la alcaldesa de Bogotá, @Clau…</t>
  </si>
  <si>
    <t>Mi entrevista en la w radio sobre el levantaniento de la cuarentena y la agresión dede la Fiscalía contra Claudia L… https://t.co/WJEVFEYI7e</t>
  </si>
  <si>
    <t>RT @charry_manager: Carrera 30 Calle 26 Abril 27/20 https://t.co/kpGuauYaJ8</t>
  </si>
  <si>
    <t>RT @G_Pisarello: Un 27 de abril moría en las cárceles del fascismo el gran comunista sardo, Antonio Gramsci. Plantó cara a Mussolini y ent…</t>
  </si>
  <si>
    <t>RT @petrogustavo: Mi entrevista en la w radio sobre el levantaniento de la cuarentena y la agresión dede la Fiscalía contra Claudia Lopez…</t>
  </si>
  <si>
    <t>Bogotá decidió basar su política en destruir "Basura Cero"y privatizar el servicio de aseo, cuando tenía la empresa… https://t.co/LksrFxJ6ji</t>
  </si>
  <si>
    <t>RT @heidy_up: 7. Si observamos el comportamiento de los residuos en el relleno desde el año 2000, vemos que entre 2012 y 2015 (política Bog…</t>
  </si>
  <si>
    <t>La amenaza verbal y física a médicos, no es más que la expresión de una manera de entender las cosas que, sin ser e… https://t.co/cPtAkM6PBT</t>
  </si>
  <si>
    <t>"El recuerdo sin porvenir lo único que trae es tristeza y la tristeza no genera lucha, nunca, nunca" Jaime Bateman.… https://t.co/lCrzCyLrY5</t>
  </si>
  <si>
    <t>RT @HistoriaM19: "Y la revolución se hace para el pueblo, el pueblo es lo fundamental, por eso tenemos que nacionalizar la revolución, pone…</t>
  </si>
  <si>
    <t>RT @petrogustavo: "El recuerdo sin porvenir lo único que trae es tristeza y la tristeza no genera lucha, nunca, nunca" Jaime Bateman. Esta…</t>
  </si>
  <si>
    <t>El secretraio de salud de la administracion de Fajardo, gerente de metrosalud, y candidato a la cámara por la lista… https://t.co/OSvvdQsrBF</t>
  </si>
  <si>
    <t>RT @wilsonariasc: En plena pandemia, $9.600 millones de pesos se acaba de gastar Min. Defensa comprando 23 camionetas blindadas para el esq…</t>
  </si>
  <si>
    <t>RT @ConcejoCHumana: Hoy cumple años la defensa de la vida y la dignidad, la esperanza de un buen vivir para todas y todos, hoy cumple años…</t>
  </si>
  <si>
    <t>RT @HumanaMag: A la memoria del líder Social de Colombia Humana Alejandro Llinás su legado seguirá vivo por siempre! https://t.co/ghsUcaOL…</t>
  </si>
  <si>
    <t>RT @FelicianoValen: #Comunicado Un mínimo para la vida: Propuesta para una cuarentena sin hambre #MinimoParaLaVida https://t.co/LlevNqrV6h</t>
  </si>
  <si>
    <t>Ya el estudio científico italiano había mostrado una correlación entre la expansión del virus y la contaminación co… https://t.co/gUSIDkvHoX</t>
  </si>
  <si>
    <t>RT @petrogustavo: El secretraio de salud de la administracion de Fajardo, gerente de metrosalud, y candidato a la cámara por la lista verde…</t>
  </si>
  <si>
    <t>Sr @sergio_fajardo, el señor Alejandro Gómez, secretario de salud de Bogotá y responsable de la privatización de la… https://t.co/CdmhhhBGVD</t>
  </si>
  <si>
    <t>Proponen un cacerolazo hoy contra la avaricia bancaria y la politica de un gobierno que usó la pandemia para salvar… https://t.co/b4rCA7OaPR</t>
  </si>
  <si>
    <t>RT @GustavoBolivar: #NoAlAbusoDeLosBancos por eso me sumo al #CacerolazoEnCasa hoy 6:00PM El sector bancario debe entender q el mayor patri…</t>
  </si>
  <si>
    <t>RT @AlexLopezMaya: Nos vemos hoy a las 6pm en el gran cacerolazo de protesta contra el abuso de los bancos. En los últimos 7 años obtuviero…</t>
  </si>
  <si>
    <t>RT @Tercer_Canal: Varios senadores de distintas vertientes ideológicas lanzan un llamado a manifestarse desde las casas en contra de los ab…</t>
  </si>
  <si>
    <t>RT @HOLLMANMORRIS: A esta hora la gente bloquea la Carrera 7ma con Calle 60 en Bogotá. https://t.co/hbg1jDOqOh</t>
  </si>
  <si>
    <t>Cacerolazo nacional hoy a las 6 pm en contra del abuso de los bancos #NoAlAbusoDeLosBancos https://t.co/XKpTKssDls</t>
  </si>
  <si>
    <t>RT @HOLLMANMORRIS: Sogamoso se suma al cacerolazo por el abuso de los bancos. @petrogustavo #NoAlAbusoDeLosBancos https://t.co/hE8hs0DTR5</t>
  </si>
  <si>
    <t>RT @HOLLMANMORRIS: En Duitama también suenan las cacerolas contra el abuso de la banca. #NoAlAbusoDeLosBancos @petrogustavo https://t.co/…</t>
  </si>
  <si>
    <t>RT @HOLLMANMORRIS: En Ibague también se suman al Cacerolazo contra la poca solidaridad de los banqueros. #NoAlAbusoDeLosBancos https://t.co…</t>
  </si>
  <si>
    <t>RT @alejad3223: Desde Medellín decimos #NoAlAbusoDeLosBancos. Se han enriquecido con nuestro video, ahora ayuden al país en esta cuarentena…</t>
  </si>
  <si>
    <t>RT @VictorMarenco: En #Barranquilla cacerolazo contra los bancos. @HOLLMANMORRIS @jaulloque @goyito_sabater7 @vrom16 @beatriz77748 @Elimo…</t>
  </si>
  <si>
    <t>RT @petrogustavo: Cacerolazo nacional hoy a las 6 pm en contra del abuso de los bancos #NoAlAbusoDeLosBancos https://t.co/XKpTKssDls</t>
  </si>
  <si>
    <t>RT @ruidiaz_ddhh: La Policía iba impedir el paso a nuestro equipo de trabajo para entregar alimentos a los niñ@s venezolanos en la calle 17…</t>
  </si>
  <si>
    <t>RT @bogotamuyfirme: Hoy nos llamó mucho la atención esta declaración de Sergio Fajardo en donde dice “Nunca he tenido una cuota Política” s…</t>
  </si>
  <si>
    <t>Esto esta pasando en el Líbano, en medio de la pandemia la población no aguantó y se lanzó contra los bancos. https://t.co/QOJ1QXoYCU</t>
  </si>
  <si>
    <t>RT @arzobispodecali: Con las voces sociales que me brindan su apoyo, encabezadas por Leyner Palacios, invito a Antonio García, dirigente de…</t>
  </si>
  <si>
    <t>RT @migueldelrioabg: Los internos de la cárcel de Villavicencio están a punto de amotinarse. La guardia no ha podido ingresarlos. El asunto…</t>
  </si>
  <si>
    <t>La mayor parte de las personas que han muerto por el Covid19 en el país, han muerto en sus casas o en hospitales si… https://t.co/pGaLBk0O6p</t>
  </si>
  <si>
    <t>Este muchacho está con su cacerola diciendo es hora de despertar. Si no despertamos se llevarán las cotizaciones de… https://t.co/2pus1Lotu7</t>
  </si>
  <si>
    <t>RT @HOLLMANMORRIS: Desde muy temprano Bogotá rechaza el abuso de los bancos y hace sonar las cacerolas. @petrogustavo #NoAlAbusoDeLosBanc…</t>
  </si>
  <si>
    <t>RT @HOLLMANMORRIS: Medellin quiere que pare el abuso de los bancos y se une al cacerolazo. #NoAlAbusoDeLosBancos @petrogustavo https://t.…</t>
  </si>
  <si>
    <t>No pagar la deuda externa es un derecho de los pueblos que sufren la pandemia. No habrá recuperación económica en… https://t.co/bikf4tJ0up</t>
  </si>
  <si>
    <t>RT @petrogustavo: Este muchacho está con su cacerola diciendo es hora de despertar. Si no despertamos se llevarán las cotizaciones de pensi…</t>
  </si>
  <si>
    <t>RT @petrogustavo: La mayor parte de las personas que han muerto por el Covid19 en el país, han muerto en sus casas o en hospitales sin reci…</t>
  </si>
  <si>
    <t>RT @heidy_up: 1. Mi intervención hoy sobre "Diagnóstico y vida útil del Relleno Doña Juana": señalamos el incremento en tarifas de 14 mil (…</t>
  </si>
  <si>
    <t>RT @ricardobonillag: @manolitosalazar @consejodeestado @petrogustavo @DefensoriaCol Consejo Estado ordenó entregar recursos indemnización D…</t>
  </si>
  <si>
    <t>Esto según usted @Camilo_Alfa son carros chatarra, era la flota de aseo más grande de Colombia, completamente nueva… https://t.co/9b7MopXtkQ</t>
  </si>
  <si>
    <t>En este cuadro pueden ver como el programa Basura Cero, al pagarle a los recicladores y disminuir el poder de los r… https://t.co/wCrmooCWf3</t>
  </si>
  <si>
    <t>El derrumbe del relleno sanitario, fracaso del modelo de privatización del aseo, no es interno al relleno, es sobre… https://t.co/uxZw6Q3ryH</t>
  </si>
  <si>
    <t>RT @OscarFlorezO: Esta es la magnitud del deslizamiento de Doña Juana. CGR, responsable del relleno, seguramente, como en el 2017, pedirá…</t>
  </si>
  <si>
    <t>RT @Hekatombe_: Entonces son amos y señores de las basuras, pero cuando hay un derrumbe no tienen nada que ver. Vea pues, esa gente que at…</t>
  </si>
  <si>
    <t>Al pagar por tonelada de basura depositada en el relleno, Bogotá subsidia toda, un desastre ambiental contra los má… https://t.co/vNaoH8uIgy</t>
  </si>
  <si>
    <t>RT @cisnero_aponte: Que le den un Oscar a quien hizo este video. BRUTAL. https://t.co/rLPExxI6Qt @kalimancastillo @Esther6013 @1412Yolis @a…</t>
  </si>
  <si>
    <t>Bogotá y toda Colombia siguieron el camino exigido por la extrema derecha norteamericana, el de levantar la cuarent… https://t.co/60CuZ043rw</t>
  </si>
  <si>
    <t>RT @DanielRMed: Una vez más el tiempo nos dice que la solución es aplicar el programa de la Colombia Humana: Establecer la política de bas…</t>
  </si>
  <si>
    <t>La unica solución que tiene el derecho a pensionarse en Colombia es que la mayor parte de los cotizantes de los fon… https://t.co/GoCh2jPHIu</t>
  </si>
  <si>
    <t>Y que tal @navarrowolff que no agregaremos ni los trabajadores de la manufactura niblos de la construcción y que el… https://t.co/KGzdUVdDK3</t>
  </si>
  <si>
    <t>A quien hay que salvar es a la aeronáutica colombiana y ella se llama SATENA, la aerolínea de Colombia.</t>
  </si>
  <si>
    <t>La Corte suprema había ordenado que el reciclaje fuese de los recicladores tradicionales de Bogotá, que se les paga… https://t.co/tgMzPbe5Ri</t>
  </si>
  <si>
    <t>En el 2015 los bogotano(a)s votaron por un gobierno que acababa el programa Basura Cero y la Corte Constitucional r… https://t.co/rtX4ZxP0nw</t>
  </si>
  <si>
    <t>Querido amigo @JorgeARestrepo, economista del poder, al poner las cotizaciones de trabajadores en el mercado de cap… https://t.co/afqDtqccIy</t>
  </si>
  <si>
    <t>RT @petrogustavo: La Corte suprema había ordenado que el reciclaje fuese de los recicladores tradicionales de Bogotá, que se les pagará, y…</t>
  </si>
  <si>
    <t>RT @petrogustavo: A quien hay que salvar es a la aeronáutica colombiana y ella se llama SATENA, la aerolínea de Colombia.</t>
  </si>
  <si>
    <t>¿Por qué la mayoría de Bogotá le hacía oposición a Peñalosa? ¿Por qué les caía mal y no se expresaba bien? O, ¿P… https://t.co/tpbBVE7ps6</t>
  </si>
  <si>
    <t>Si la oposicion fue por la personalidad de Peñalosa, entonces la ciudad cayó en una ingenuidad mayúscula Si la opo… https://t.co/zxY4LckNZ8</t>
  </si>
  <si>
    <t>La pandemia en Bogotá ha sido manejada no solo con la privatización de la red pública y a través de EPS y ARL. Sin… https://t.co/0F0n3CbXBf</t>
  </si>
  <si>
    <t>Querido economista del poder, hoy nadie asevera en el mundo que la caída de la economía, es coyuntural; como el der… https://t.co/MoEXeIBQ2l</t>
  </si>
  <si>
    <t>RT @petrogustavo: ¿Por qué la mayoría de Bogotá le hacía oposición a Peñalosa? ¿Por qué les caía mal y no se expresaba bien? O, ¿Por qué…</t>
  </si>
  <si>
    <t>Si la oposición se hace por la personalidad y se mira la política como un teatro de actores, y no como lo que es: e… https://t.co/A1tTZgc7OF</t>
  </si>
  <si>
    <t>RT @anateresabernal: No existe hoy una empresa como @AguasDeBogota cuya estrategia reducía la acumulación de residuos en Doña Juana. Es imp…</t>
  </si>
  <si>
    <t>RT @IvanCepedaCast: Hoy mostré en la Comisión Segunda del Senado cómo son golpeados los internos enfermos por la pandemia en la cárcel de V…</t>
  </si>
  <si>
    <t>RT @LinaGarciaSi: A ésta hora en el Codito bloquean la vía pidiendo que lleguen las ayudas. #SOSUsaquén @Bogota @LuisErnestoGL @ClaudiaLo…</t>
  </si>
  <si>
    <t>RT @EmelRojasC: Es totalmente falso que el Distrito vaya a destinar 220 mil millones para la PYMES como lo afirma la Alcaldesa @ClaudiaLope…</t>
  </si>
  <si>
    <t>Argentina ha logrado con mil impresoras 3D hacer las mascarillas con acetato de protección y bioseguridad a su pers… https://t.co/Pa12udEWlP</t>
  </si>
  <si>
    <t>RT @HaroldLopezAv: Reaparece el olor nauseabundo del Botadero Doña Juana y de quienes destituyeron a Guillermo Asprilla, siendo Secretario…</t>
  </si>
  <si>
    <t>La OMS expidió requisitos estrictos para levantar cuarentenas, Trump decidió atacar la OMS y estimular el levantami… https://t.co/T50Nd9bSmK</t>
  </si>
  <si>
    <t>RT @GustavoBolivar: Satena es una empresa Nacional. Le han dejado las rutas más difíciles, los lugares más apartados y menos rentables. Si…</t>
  </si>
  <si>
    <t>RT @petrogustavo: La OMS expidió requisitos estrictos para levantar cuarentenas, Trump decidió atacar la OMS y estimular el levantamiento d…</t>
  </si>
  <si>
    <t>Avianca no es la marca de Colombia. La marca de Colombia en la aeronautica se llama Satena. Avianca es una empresa… https://t.co/G8eo5Clk9y</t>
  </si>
  <si>
    <t>Este cuadro les muestra la cantidad de toneladas residuos arrojados al relleno Doña Juana en el sur de Bogotá Obse… https://t.co/5VF8YM8W1u</t>
  </si>
  <si>
    <t>La fuente es el pesaje que a través de informe entrega el operador privado del relleno a la UAESP</t>
  </si>
  <si>
    <t>Ministra @carmenIvasquez usted ¿por qué autorizó reformar el PEMP del San Juan de Dios para autorizar la demolición… https://t.co/58NBzONIka</t>
  </si>
  <si>
    <t>RT @petrogustavo: Este cuadro les muestra la cantidad de toneladas residuos arrojados al relleno Doña Juana en el sur de Bogotá Observen c…</t>
  </si>
  <si>
    <t>RT @dw_espanol: Francia, Dinamarca y Polonia se niegan a destinar sus paquetes de ayuda financiera por el #coronavirus a empresas registrad…</t>
  </si>
  <si>
    <t>RT @DanielRMed: “De 28 billones que Carrasquilla ha anunciado, tan solo 3 van a las personas, el resto se dirigen a la intermediación finan…</t>
  </si>
  <si>
    <t>RT @AUGUSTOOCAMPO: Ahí tienen, hace CINCO años lo dijo @petrogustavo. Hizo el llamado pensando en evitar que sucediera lo que hoy reportan…</t>
  </si>
  <si>
    <t>RT @DanielRMed: Tiene razón @petrogustavo las reserva internacionales de Colombia en bonos TES de Estados Unidos rentando a intereses cero…</t>
  </si>
  <si>
    <t>RT @ammejiaaguado: Les recuerdo que estamos en “cuarentena” no parece verdad? Esto es hoy en la avenida Ciudad de Quito (Cra 30) https://t.…</t>
  </si>
  <si>
    <t>RT @hackerFiscalia: #todosAfirmar CARTA DE APOYO DE MIEMBROS DE LA COMUNIDAD ACADÉMICA COLOMBIANA A GUSTAVO PETRO @petrogustavo #yoApoyoApe…</t>
  </si>
  <si>
    <t>Brasil ha dado el paso que no ha querido Colombia, dejar de focalizar y pasar a politicas sociales universales: gen… https://t.co/rSqAJNsdDE</t>
  </si>
  <si>
    <t>RT @nicolaspetroB: En Soledad hay mucho desorden, no hay autoridad por parte del Alcalde y la ciudadanía no se ha concientizado de lo grave…</t>
  </si>
  <si>
    <t>RT @nicolaspetroB: En 5 días, en el departamento del Atlántico subieron los casos de #COVID__19 en casi 100, para un total de 253 casos.…</t>
  </si>
  <si>
    <t>RT @JUANCAELBROKY: 📢Necesario un #PactoPorBogota del Distrito y algunos sectores para: -Congelar arriendos y deudas. -Recuperar San Juan de…</t>
  </si>
  <si>
    <t>En un trino hace meses hablé de la sexta extinción de la vida en el planeta y el papel de los virus en la extinción… https://t.co/yj9tIul0xd</t>
  </si>
  <si>
    <t>Cuando puse en un trino la posibilidad de una sexta extinción de la vida en el planeta, ya han ocurrido cinco de ac… https://t.co/Kz4n3rEQG3</t>
  </si>
  <si>
    <t>Solo un cambio real de nuestra concepción sobre la economía, el consumo y la vida, puede alejarnos de la extinción,… https://t.co/ARvMKUoLZ9</t>
  </si>
  <si>
    <t>Dantesca la masacre del Cauca, sube popularidad del gobierno y suben los asesinatos en el pueblo De nuevo la dinám… https://t.co/Gl9edLPUBE</t>
  </si>
  <si>
    <t>Los grandes constructores y los transportistas privados pusieron sus intereses económicos por encima de la vida en… https://t.co/ljDRKZhYVt</t>
  </si>
  <si>
    <t>Población victima de la violencia se toma nuevas edificaciones en Soacha, en realidad las nuevas edificaciones prom… https://t.co/GIWGSi8nOD</t>
  </si>
  <si>
    <t>RT @petrogustavo: Los grandes constructores y los transportistas privados pusieron sus intereses económicos por encima de la vida en Bogotá…</t>
  </si>
  <si>
    <t>RT @ruidiaz_ddhh: ULTIMO MINUTO A esta hora en conjunto residencial en Bogotá autoridades piden a residentes encerrarse ya que fue encontra…</t>
  </si>
  <si>
    <t>En el debate al ministro de hacienda, cuestiono la actual política económica frente a la pandemia. Los recursos no… https://t.co/lhqW1ETCHQ</t>
  </si>
  <si>
    <t>una Política económica a favor de la banca que puede llevar a la sociedad colombiana a un desastre y que necesita s… https://t.co/VpFbforKaD</t>
  </si>
  <si>
    <t>RT @charry_manager: #PDDBogotá La meta de Claudia 20mil cupos de educación superior gratuita, no especifica si profesional como lo dijo en…</t>
  </si>
  <si>
    <t>RT @DeiAparicio: En el barrio Obapo en Quibdo/Chocó claman por asistencia humanitaria y reciben represión del ESMAD. Mientras se roban la…</t>
  </si>
  <si>
    <t>RT @petrogustavo: una Política económica a favor de la banca que puede llevar a la sociedad colombiana a un desastre y que necesita ser cam…</t>
  </si>
  <si>
    <t>RT @petrogustavo: En el debate al ministro de hacienda, cuestiono la actual política económica frente a la pandemia. Los recursos no van a…</t>
  </si>
  <si>
    <t>RT @MoisesAlvaro_: Cualquier medio de comunicación o politiquero que nos diga que la situación está mejorando para levantar la Cuarentena n…</t>
  </si>
  <si>
    <t>Solo en Marzo y sin que hubiera confinamiento ya se habían perdido 1.700.000 empleos. Este desempleo se debe al re… https://t.co/TshrfuWAjP</t>
  </si>
  <si>
    <t>El Banco de la República debió bajar la tasa de interés a 1% es decir negativa en término real Un decreto de emerg… https://t.co/xCBKGPTgpb</t>
  </si>
  <si>
    <t>Las Repúblicas de Abril. El mes de la magia democrática https://t.co/cLNmdIN62N</t>
  </si>
  <si>
    <t>Tengan la certeza que le modelo mercantil y financiero de la.ley 100 en la salud y las pensiones, no sirve para enf… https://t.co/h0L3BFGbR7</t>
  </si>
  <si>
    <t>RT @nicolasAmon: Al parecer la realidad es que el médico (cirujano plástico) le echó la camioneta a unas personas que protestaban y generó…</t>
  </si>
  <si>
    <t>RT @petrogustavo: Tengan la certeza que le modelo mercantil y financiero de la.ley 100 en la salud y las pensiones, no sirve para enfrentar…</t>
  </si>
  <si>
    <t>Muy lejos de la gratuidad en el consumo mínimo vital de servicios publicos. Algo es algo, pero empresas que dan ma… https://t.co/GF9eDgLPvY</t>
  </si>
  <si>
    <t>RT @CarlosCarrilloA: Yo no me opuse a @EnriquePenalosa porque me cayera "gordo", lo hice porque considero nefastas sus políticas, no voy a…</t>
  </si>
  <si>
    <t>RT @bogotamuyfirme: Salieron las medidas de la Sra. @ClaudiaLopez sobre servicios públicos después de 41 días y vean lo qué hizo: Pasó de…</t>
  </si>
  <si>
    <t>RT @petrogustavo: Muy lejos de la gratuidad en el consumo mínimo vital de servicios publicos. Algo es algo, pero empresas que dan mas de t…</t>
  </si>
  <si>
    <t>Con tres billones de utilidades que se producen por el pago de los bogotano(a)s en agua, aseo, energía y telecomuni… https://t.co/Bb7xEKBfaV</t>
  </si>
  <si>
    <t>RT @nicolaspetroB: Hoy el Atlántico se convirtió en el departamento de la Región Caribe con más casos de contagios del #Covid_19. Lo más d…</t>
  </si>
  <si>
    <t>RT @Marianiniecheve: Se acuerdan de los ambientalistas Rodrigo Monsalve, Natalia Jiménez y Alejandro Llinás, asesinados recientemente por d…</t>
  </si>
  <si>
    <t>RT @indignadocol1: Por fin llegó el Estado al Choco... https://t.co/j65HdqbckW</t>
  </si>
  <si>
    <t>Esta es La Paz, Bolivia, exigiendo democracia. https://t.co/rB0y5u9lLf</t>
  </si>
  <si>
    <t>En confinamiento bueno es este festival de Cine que ahora se hace en la casa https://t.co/gWlPn4PjEu</t>
  </si>
  <si>
    <t>RT @petrogustavo: Con tres billones de utilidades que se producen por el pago de los bogotano(a)s en agua, aseo, energía y telecomunicacion…</t>
  </si>
  <si>
    <t>RT @petrogustavo: Solo en Marzo y sin que hubiera confinamiento ya se habían perdido 1.700.000 empleos. Este desempleo se debe al retroces…</t>
  </si>
  <si>
    <t>RT @Tercer_Canal: #ULTIMAHORA falleció el abuelo Antonio Bolívar actor del Abrazo de la Serpiente. https://t.co/tPzT1u42Ha</t>
  </si>
  <si>
    <t>RT @MoisesAlvaro_: Ya que sabemos la historia completa, y que les tiraron encima una camioneta blindada a un grupo de personas, ¿les arregl…</t>
  </si>
  <si>
    <t>RT @DanielRMed: A uds los engañan muy fácil Parce. De razón esas encuestas de favorabilidad https://t.co/cWTVdFbdBx</t>
  </si>
  <si>
    <t>RT @AdrianaLucia: Jenny Katherine, tenía 15 años, tocaba la trompeta y la quena. Hacía parte de los procesos musicales de la institución Mo…</t>
  </si>
  <si>
    <t>en el dia mundial de la clase obrera. El dia de la gente que trabaja. https://t.co/mELOI4FtLy</t>
  </si>
  <si>
    <t>RT @petrogustavo: en el dia mundial de la clase obrera. El dia de la gente que trabaja. https://t.co/mELOI4FtLy</t>
  </si>
  <si>
    <t>RT @qmoncaleano: 📽️ Ante el hambre macana y bota, así procede la señora @ClaudiaLopez Esto es inhumano e infame ⚠️ Protestas de habitante…</t>
  </si>
  <si>
    <t>RT @ChalecosAmarill: 📽🆘️☣ #COVID19 #DiaDelTrabajador #1Mayo 👇 "Los mártires anarquistas de Chicago" 1886. ⚠️Asesinaron a trabajadores act…</t>
  </si>
  <si>
    <t>Así se enterró a Alejandro Llinás de Colombia Humana, asesinado por narcos paramilitares de la Sierra de Santa Mart… https://t.co/0uR7Lvhwzu</t>
  </si>
  <si>
    <t>Desde el 11 de marzo Colombia Humana pidió iniciar la cuarentena y suspender las actividades de transmilenio, el pr… https://t.co/YasOuzp8YD</t>
  </si>
  <si>
    <t>Por el odio y la xenofobia lanzan un vehículo en carretera del Perú, contra venezolanos que caminando, trataban de… https://t.co/H5OVqtLj2b</t>
  </si>
  <si>
    <t>Introducen a Colombia en las estadísticas oficiales de la OCDE. Este es el número de médicos y enfermeras por cada… https://t.co/bcnuclrm54</t>
  </si>
  <si>
    <t>El ministro de defensa no dirige el ejército. Solo actúa por reacción. El ejército tiene fracturas internas y usa… https://t.co/CLqFXbKG2l</t>
  </si>
  <si>
    <t>La labor delictiva dentro del ejercito se centró en encubrir el asesinato de civiles para pasarlos como bajas guerr… https://t.co/VFQ6GpZt72</t>
  </si>
  <si>
    <t>Toda la actividad escandalosa en el ejército, materia de publicaciones internacionales y nacionales, tiene un núcle… https://t.co/SI6CK8RW5J</t>
  </si>
  <si>
    <t>Al ejército lo degrada una política. Una política que construye su apoyo popular en la guerra y el miedo. Una pol… https://t.co/rz5Cf4pgTp</t>
  </si>
  <si>
    <t>La concepción uribista de seguridad la ve como un tema de número de muertos y profundización de la guerra, cuando l… https://t.co/dlJrTjbmbh</t>
  </si>
  <si>
    <t>RT @petrogustavo: El ministro de defensa no dirige el ejército. Solo actúa por reacción. El ejército tiene fracturas internas y usa la int…</t>
  </si>
  <si>
    <t>Fernando Garcia Guacaneme era obrero industrial, laboraba en la antigua Alcalis de Colombia, hoy refisal o Brinsa,… https://t.co/z4KkF0QHDI</t>
  </si>
  <si>
    <t>Si a los españoles en Colombia que quieren volver a su país, les permiten vuelos de repatriación, ¿por qué a los ve… https://t.co/KTfK9vk6W8</t>
  </si>
  <si>
    <t>El desespero en Quibdó, Chocó: joven al parecer muere por el virus y su familia tiene que robarse el féretro. En l… https://t.co/E8ueNQIVkw</t>
  </si>
  <si>
    <t>Doctor @riveraguillermo en mi calidad de senador de la República y en función del control politico, le solicito a u… https://t.co/EG5Zs0IRmO</t>
  </si>
  <si>
    <t>Avanzar en la cantidad de medica(o)s s y enfermera(o)s, implica replantear la politica de educación superior. Un sa… https://t.co/dEvT0N86iw</t>
  </si>
  <si>
    <t>Hay, ahora, una visita al sótano del edificio central del San Juan de Dios, donde hicimos las instalaciones para cu… https://t.co/0NiJvwDNp3</t>
  </si>
  <si>
    <t>Señores @secresalud, ese sitio es propiedad del Distrito, yo mismo lo compre como alcalde, es el sotano del edifici… https://t.co/GsMsc02Fbe</t>
  </si>
  <si>
    <t>Peñalosa convirtió las adecuaciones que hicimos para sala de urgencias y cuidados intensivos del San Juan de Dios e… https://t.co/QOk0s6N5k6</t>
  </si>
  <si>
    <t>RT @petrogustavo: Avanzar en la cantidad de medica(o)s s y enfermera(o)s, implica replantear la politica de educación superior. Un salto pr…</t>
  </si>
  <si>
    <t>Esta es verdad del San Juan de Dios de Bogotá Aquí ven la manera delictiva como Peñalosa actuó con detrimento patr… https://t.co/jdhnVyjzIJ</t>
  </si>
  <si>
    <t>Juan Fernando, Corferias no tiene redes de gases, no es para enfermos de Covid, el San juan de Dios es parte de la… https://t.co/G9wyD3dBYk</t>
  </si>
  <si>
    <t>RT @susanamuhamad: La lógica de la visita de hoy era saber el estado real del complejo, preparándonos para el Plan de Desarrollo y el contr…</t>
  </si>
  <si>
    <t>RT @petrogustavo: Esta es verdad del San Juan de Dios de Bogotá Aquí ven la manera delictiva como Peñalosa actuó con detrimento patrimonia…</t>
  </si>
  <si>
    <t>RT @anateresabernal: Hoy estuvimos en visita al Hospital San Juan de Dios, estas son las redes de oxígeno, aunque no se alcanzaron a constr…</t>
  </si>
  <si>
    <t>RT @anateresabernal: Siguiendo con la visita de la bancada de la Colombia Humana al HSJD encontramos que en el primer y tercer piso de la…</t>
  </si>
  <si>
    <t>RT @MMMaldonadoC: @MarioRobertoP @AndrsTrece @petrogustavo @HOLLMANMORRIS @heidy_up El PEMP se formuló durante el gobierno de Petro y lo ap…</t>
  </si>
  <si>
    <t>RT @HOLLMANMORRIS: Este video del San Juan de Dios es de hoy, lo grabó la bancada de la Colombia Humana en el Concejo. Dijeron que en este…</t>
  </si>
  <si>
    <t>¿Por qué quieren demoler el San juan? Porque el 15 de febrero contrataron a COPASA, empresa española, que lo va a r… https://t.co/YaopnoXHb1</t>
  </si>
  <si>
    <t>Este tipo de abogados han querido convertir la política en un riesgo, criados en un país donde se mata a quien tien… https://t.co/LXqRjpRyco</t>
  </si>
  <si>
    <t>Este oficio que bautizan como periodismo es en realidad una labor de estigmatización Antaño se acusaba al judío po… https://t.co/5q5Tt2PDuw</t>
  </si>
  <si>
    <t>RT @petrogustavo: Este tipo de abogados han querido convertir la política en un riesgo, criados en un país donde se mata a quien tiene idea…</t>
  </si>
  <si>
    <t>RT @JulianRoman: https://t.co/NgW3a5ZlUh</t>
  </si>
  <si>
    <t>Aquí esta la prueba de cómo Peñalosa al transformar una central de urgencias que incluía decenas de camas de cuidad… https://t.co/Cznp7419oR</t>
  </si>
  <si>
    <t>Ministro de defensa debe aclarar cómo se utilizó suelo colombiano, si se utilizó, para esta aventura de mercenarios… https://t.co/LdRrWZSNUX</t>
  </si>
  <si>
    <t>Sólo hay cuidados intensivos en el sur, oriente y suroccidente de Bogotá en los hospìtales públicos, y fueron puest… https://t.co/VIROOgiXLb</t>
  </si>
  <si>
    <t>RT @alexbernalradio: Querida @AngelicaLozanoC se le cayó este tuit acaso Petro le hace campaña al embajador?* https://t.co/2DNpn3saiJ</t>
  </si>
  <si>
    <t>RT @HOLLMANMORRIS: En este video les muestro con pruebas #Las40FachadasDePeñalosa 1) Peñalosa NO construyó 40 CAPS (Centros de Salud) que…</t>
  </si>
  <si>
    <t>RT @petrogustavo: Sólo hay cuidados intensivos en el sur, oriente y suroccidente de Bogotá en los hospìtales públicos, y fueron puestas en…</t>
  </si>
  <si>
    <t>RT @latablablog: #WITNESS El contrato entre Guaidó y Jordan Goudreau para una "invasión a la carta" Venezuela tuvo testigo formal: el aboga…</t>
  </si>
  <si>
    <t>RT @latablablog: Pero sin duda una de las más importante actuaciones de Retureta fue la representación de varios de los jefes paramilitares…</t>
  </si>
  <si>
    <t>RT @heidy_up: Este sábado hicimos una visita al Hospital San Juan de Dios, en el marco de nuestro ejercicio de control político, como banca…</t>
  </si>
  <si>
    <t>Alejandro Gómez fue el secretario de salud del alcalde Fajardo, de metrosalud del alcalde Salazar del proyecto de F… https://t.co/GqL45hRtGi</t>
  </si>
  <si>
    <t>RT @AlbertoMarioRe: Casos #covid19 última semana *26 abril Atlán/co 176 vs bolivar 240 Atlán/co 176 vs Magd/na 150 Atlán/co 176 vs Cu…</t>
  </si>
  <si>
    <t>RT @SaraTufanoZ: ¿No se cansan de que en Colombia la historia se repita? Volvieron las chuzadas y todos gritan: ¡Fascistas! Pero cuando hab…</t>
  </si>
  <si>
    <t>RT @gener_usuga: Si @ClaudiaLopez renuncia a la alcaldia de Bogotá como lo propone @DCoronell para ser candidata a la presidencia y así enf…</t>
  </si>
  <si>
    <t>Dejaron morir a los niños wayuu en la Guajira de desnutrición y ahora el virus avanza sobre las comunidades indígen… https://t.co/cmRx9LWBqX</t>
  </si>
  <si>
    <t>Mis opiniones sobre el plan de desarrollo de Claudia I Para quienes quieran abrir la discusión sobre el futuro de… https://t.co/wB0wJHMN1k</t>
  </si>
  <si>
    <t>Mis opiniones sobre el Plan de Claudia II. Finaliza el documento https://t.co/BXZ78hARHY</t>
  </si>
  <si>
    <t>RT @petrogustavo: Mis opiniones sobre el plan de desarrollo de Claudia I Para quienes quieran abrir la discusión sobre el futuro de Bogotá…</t>
  </si>
  <si>
    <t>Señor Morales la mayoría de los hospitales de Colombia no cumplen las normas de sismoresistencia que se expidieron… https://t.co/VmqIOCAMSX</t>
  </si>
  <si>
    <t>El estudio de los Andes que ud menciona no señala en ninguna parte que es más costoso el reforzamiento del hospital… https://t.co/jugBMU6izV</t>
  </si>
  <si>
    <t>RT @petrogustavo: Mis opiniones sobre el Plan de Claudia II. Finaliza el documento https://t.co/BXZ78hARHY</t>
  </si>
  <si>
    <t>Morales, exsecretario de salud de Peñalosa y Claudia, han mentido en relación a la incapacidad de las instalaciones… https://t.co/XQR4FF3Hvo</t>
  </si>
  <si>
    <t>La privatización de la salud pública y su subordinación a las leyes del mercado provoca que el hospital se mire com… https://t.co/6Pa9t72lu7</t>
  </si>
  <si>
    <t>La disposición de las UCIs en la geografía nacional muestra el territorio y la población vulnerable. No están estos… https://t.co/aSlk7GadI3</t>
  </si>
  <si>
    <t>En Bogotá las UCIs están en el norte de la ciudad, la mayoría en hospitales y clínicas privadas y muchas en clínica… https://t.co/mBxQvHxJ0T</t>
  </si>
  <si>
    <t>Mantener un modelo de privatización cono el plan de desarrollo de Claudia propone, sin la política de ampliar terri… https://t.co/9cZ33EGIyw</t>
  </si>
  <si>
    <t>La lección más clara que deja el covid19 para prevenir próximas pandemias, que serán cada vez mas frecuentes por e… https://t.co/zyc5a3btSP</t>
  </si>
  <si>
    <t>Estas son los contratos a intermediarios de respiradores que ha hecho el gobierno nacional. Ningún respirador ha e… https://t.co/m1IqqhtfNa</t>
  </si>
  <si>
    <t>RT @MMMaldonadoC: Se acabó el día y el sr. @luismorales0621 no publicó las páginas 100, 101 y mucho menos el concepto técnico de la U de L…</t>
  </si>
  <si>
    <t>RT @petrogustavo: Estas son los contratos a intermediarios de respiradores que ha hecho el gobierno nacional. Ningún respirador ha entrado…</t>
  </si>
  <si>
    <t>RT @AlexLopezMaya: Le exijo a la alcaldesa de Bogota @ClaudiaLopez y @LuisErnestoGL garantizar todas las medidas de protección a los trabaj…</t>
  </si>
  <si>
    <t>Olga Lucía González nos hace un descarnado análisi de la política carcelaria en tiempos del virus. Han usado la Ju… https://t.co/iuEzfJAHFP</t>
  </si>
  <si>
    <t>El libro que preparo trata de articular el concepto marxista de acumulación ampliada del capital con el cambio clim… https://t.co/nmtbDdjfvQ</t>
  </si>
  <si>
    <t>RT @geoduque: Así han gastado plata durante la pandemia: IVÁN DUQUE $9.600 millones en camionetas $3.350 mll en imagen CLAUDIA LÓPEZ $6.0…</t>
  </si>
  <si>
    <t>RT @AndresCamiloHR: Alcaldesa @ClaudiaLopez aún vio hace algunos días que dará 20% de subsidio para hogares 1 y 2 en servicios públicos, h…</t>
  </si>
  <si>
    <t>Me parece bien la autocrítica de Hommes. Siempre he admirado este economista por su franqueza. Neoliberal como nin… https://t.co/JBQqLPYNLk</t>
  </si>
  <si>
    <t>El ministro de Salud ha contratado varios intermediarios privados para comprar respiradores en el mundo. Contratar… https://t.co/SVjRBhvtp2</t>
  </si>
  <si>
    <t>RT @petrogustavo: Morales, exsecretario de salud de Peñalosa y Claudia, han mentido en relación a la incapacidad de las instalaciones que a…</t>
  </si>
  <si>
    <t>El estudio de la U de los Andes sobre el San Juan de Dios, nivel prefactibilidad, dice que la opción más barata par… https://t.co/cwO6TYJtNs</t>
  </si>
  <si>
    <t>La sección del San Juan de Dios donde pusimos la central de urgencias, con 40 puntos para UCIs y salas de cirugía q… https://t.co/jJ6GvIt421</t>
  </si>
  <si>
    <t>Gracias por publicar estudio de la Universidad de los Andes sobre el San juan @MMMaldonadoC, pero el hecho que Clau… https://t.co/rBznjm9Tg6</t>
  </si>
  <si>
    <t>RT @nicolaspetroB: Hoy agentes de la @PGN_COL, @CGR_Colombia y la @FiscaliaCol ingresaron a la las instalaciones de la Gobernación del Atlá…</t>
  </si>
  <si>
    <t>El mayor número de enfermos covid lo tiene Kennedy, su hospital ya está en rojo, en localidades centrales de Bogotá… https://t.co/xiqB0dKRj5</t>
  </si>
  <si>
    <t>RT @ma_eugeniam: Está equivocado de nuevo, querido dr Morales. El interés que tiene el país de avanzar, por fin, en los temas de paisaje, e…</t>
  </si>
  <si>
    <t>El gobierno nacional debe reubicar las UCIs y el personal médico, al que hay que preparar masivamente en ser intens… https://t.co/4DqMa5buSD</t>
  </si>
  <si>
    <t>RT @Betocoralg: Esta pobre alma Uribista que no tiene idea de historia Colombiana, mucho menos Estadounidense, SE VA IR DE CULO cuando se e…</t>
  </si>
  <si>
    <t>La conservación contextual que aplica a todo el edificio central del San Juan de Dios, no es demolición total, es r… https://t.co/5MSQvNgyhe</t>
  </si>
  <si>
    <t>Conocí a doña Rosalba, esposa de @DeLaCalleHum en la campaña presidencial, me pareció una mujer seria, inteligente,… https://t.co/WfLpR6BH6n</t>
  </si>
  <si>
    <t>Este es el texto del decreto 2358 del 2019 de patrimonio del ministerio de cultura. Como pueden leer "conservación… https://t.co/YykqXOe8mU</t>
  </si>
  <si>
    <t>Van a debilitar aun más la cuarentena, luego la fase expansiva se acerca sin tener los respiradores adecuados. Lo… https://t.co/TgjcddjaDM</t>
  </si>
  <si>
    <t>RT @aran_tirado: "Tu salud no es más importante que mis libertades" escribió alguien en su coche en EEUU. El capitalismo asimilado es esto,…</t>
  </si>
  <si>
    <t>El gobierno no fue capaz de adelantar una política social para la cuarentena basada en derechos universales y prefi… https://t.co/wbVH3r43o7</t>
  </si>
  <si>
    <t>RT @RadNalCo: "Solamente el 0,05 % de las instituciones de salud del país han cumplido con la entrega completa de los elementos de protecci…</t>
  </si>
  <si>
    <t>RT @AnonCol_1: Advertencia ⚠️ Imagenes Fuertes ⚠️ En el municipio de Puerto Asis, Dpto del Putumayo, las Aguilas Negras se escudan en la c…</t>
  </si>
  <si>
    <t>RT @petrogustavo: El gobierno no fue capaz de adelantar una política social para la cuarentena basada en derechos universales y prefirió le…</t>
  </si>
  <si>
    <t>RT @DeCurreaLugo: Les comparto esta reflexión sobre "Por qué no le creo a Duque, ni a los de su clase" https://t.co/agO54mhTgn Fin del comu…</t>
  </si>
  <si>
    <t>Que bonito decir esto cuando las redes de internet no llegan a la mayoría de las casas. La extensión de la fibra ó… https://t.co/Aq13QbJVRb</t>
  </si>
  <si>
    <t>¿Por qué @Citytv censura el mensaje institucional, que es obligatorio trasmitir por ley, al movimiento indígena Mai… https://t.co/HvAL5bFwOP</t>
  </si>
  <si>
    <t>RT @GustavoBolivar: Qué orgullo ver a un político luchar sin descanso y con argumentos por salvar un hospital público en un momento históri…</t>
  </si>
  <si>
    <t>RT @Contravia: #Colombia #FalsosPositivis El coronel Amórtegui reveló a @CaracolRadio que “el excomandante del Ejército, general (e) #Mario…</t>
  </si>
  <si>
    <t>Le solicito al nodo de Colombia Humana en España, denunciar en ese país el contrato con COPASA, incursa en pagar co… https://t.co/EQkuVcBtsx</t>
  </si>
  <si>
    <t>Este es el hostorial de incumplimiento e irregularidades dr la firma COPASA, a la que Peñalosa le adjudicó, contra… https://t.co/rkhqfv2yBc</t>
  </si>
  <si>
    <t>RT @ismene2: Ve, si algo ha funcionado bien en Colombia es el distanciamiento social. https://t.co/BLGYa5rli6</t>
  </si>
  <si>
    <t>Narcotraficantes de la Guajira habrían ayudado en la operación mercenaria en Venezuela, los mercenarios se habrían… https://t.co/CBqjwPs2qU</t>
  </si>
  <si>
    <t>Pagina 12 desde Argentina nos propone un nuevo pacto ambiental y social pos-pandemia. La propuesta cabe perfectame… https://t.co/lxw1DYQ05Q</t>
  </si>
  <si>
    <t>RT @jnietoblanco: Manifestantes generan bloqueos, en la troncal #TransMilenio de la Av Caracas con Calle 33 Sur. #NoticiaEnDesarrollo #City…</t>
  </si>
  <si>
    <t>RT @JeideR_8a: El patético éste fue el primero en salir a decir que a Petro no le gustó nada del Plan de desarrollo de la Alcaldesa. Tres…</t>
  </si>
  <si>
    <t>RT @AndresCamiloHR: #ULTIMO El Senador Gustavo Petro (@petrogustavo) le pide oficialmente en la plenaria del Senado de la República al Proc…</t>
  </si>
  <si>
    <t>RT @CarlosMedinaG1: PERDÓN... Alguien sabe si ya levantaron la cuarentena...?. Lo pregunto porque yo veo a todo el mundo en la calle... El…</t>
  </si>
  <si>
    <t>RT @susanamuhamad: La salud como derecho debe ser una base fundamental que se consolide en el Plan de Desarrollo con metas claras y datos c…</t>
  </si>
  <si>
    <t>RT @bogotamuyfirme: La Sra. @ClaudiaLopez dedicada a filosofar sobre la izquierda, la tibieza y la derecha, mientras en Bogotá en la situac…</t>
  </si>
  <si>
    <t>RT @Juanaafanador1: Así transportan a los conductores y a las trabajadoras de la empresa RECAUDO BOGOTÁ, en las madrugadas, para cumplir c…</t>
  </si>
  <si>
    <t>RT @MoisesAlvaro_: Hoy, en plena pandemia, la Alcaldía de Claudia López desaloja con ESMAD a la comunidad en Altos de La Estancia. De verd…</t>
  </si>
  <si>
    <t>La emergencia económica para enfrentar el virus debió tener dos objetivos: cambiar el modelo de salud para garantiz… https://t.co/eTBSVVur2d</t>
  </si>
  <si>
    <t>RT @Penalosadas: - Claudia en medios de comunicación: "Bogotá debe resistir presión del Gobierno de derecha de volver a la normalidad". - C…</t>
  </si>
  <si>
    <t>RT @petrogustavo: La emergencia económica para enfrentar el virus debió tener dos objetivos: cambiar el modelo de salud para garantizar el…</t>
  </si>
  <si>
    <t>RT @AndresCamiloHR: Estos policías golpean a una mujer, ella se desmayó y quedó en el piso, la hija le reclama por que agrede a su mamá y e…</t>
  </si>
  <si>
    <t>RT @rcnradio: #AEstaHora| Un grupo de cerca de 350 indígenas se tomó un edificio de aptos abandonados en Ciudad Bolívar. https://t.co/HCe2E…</t>
  </si>
  <si>
    <t>Esta es la represión que ahora se proclama de "centro izquierda" sobre los indígenas en Bogotá. Jamás un progresis… https://t.co/9F11JhiVKs</t>
  </si>
  <si>
    <t>RT @teleSURtv: #ENVIDEO 📹 | Este es el testimonio de uno de los mercenarios estadounidenses partícipes en la incursión de #Venezuela🇻🇪 del…</t>
  </si>
  <si>
    <t>RT @NYMYfelino: @ClaudiaLopez Lo que su modelo de Gobierno ha hecho con mis hermanos indígenas en Ciudad Bolívar, es mezquino y canalla. D…</t>
  </si>
  <si>
    <t>RT @ElParcheCritico: #URGENTE⚠️🆘 Esta mañana se presentó un grave caso de abuso por parte de la @PoliciaBogota en contra de un grupo de in…</t>
  </si>
  <si>
    <t>RT @EpicuroDeSamos_: Las confesiones del soldado estadounidense Luke Denman sonMuy graves: Asegura q Silla se relacionaba muy bien con las…</t>
  </si>
  <si>
    <t>RT @anateresabernal: Secretario @LuisErnestoGL le recuerdo que ud se comprometió, en esta ceremonia sagrada de posesión de la Concejala @At…</t>
  </si>
  <si>
    <t>RT @EpicuroDeSamos_: Hay un escándalo mayúsculo de este gobierno que aún no se destapa o está a punto de destaparse: La liberación de pelig…</t>
  </si>
  <si>
    <t>RT @Ximecontreras10: Este video me parte el alma 😔 @ClaudiaLopez haga algo! https://t.co/kJp8JTfTTR</t>
  </si>
  <si>
    <t>La cuarentena muestra como una parte de empleadores ha pasado a precarizar tanto el trabajo que lo ha convertido en… https://t.co/xwJsslQX3H</t>
  </si>
  <si>
    <t>RT @GustavoBolivar: Marta Lucía Ramírez, que pagar $0 a la DIAN, diciéndoles atenidos a quienes no han podido salir a trabajar por estar e…</t>
  </si>
  <si>
    <t>RT @C_CaballeroR: Solo para aclarar el escándalo de los contratos de Presidencia con la firma dónde trabaja el hijo del gerente de la campa…</t>
  </si>
  <si>
    <t>RT @HOLLMANMORRIS: Petro pide a Policía determinar quién ordenó operativo del Esmad en La Conejera. ⁦@DanielRuge⁩ Escuche el audio . ¿Qu…</t>
  </si>
  <si>
    <t>RT @HOLLMANMORRIS: La firma del contrato con mercenarios se habría llevado a cabo durante esta visita de Guaidó a Colombia ... Coinciden Gu…</t>
  </si>
  <si>
    <t>RT @LaOrejaRoja: Hoy tendremos en #ConversacionesOR un tema que ha levantado mucha polémica: el Hospital San Juan de Dios. @Juanaafanador1…</t>
  </si>
  <si>
    <t>RT @EpicuroDeSamos_: Acaba de segurar Cliver Alcalá en la @WRadioColombia que Guaidó firmó el contrato para matar a Maduro y que Guaidó est…</t>
  </si>
  <si>
    <t>RT @nananaescob: Sabían que el encargado de "limpiarle la imagen" a Duque es el hijo de Luigi Echeverri, gerente de campaña de alvaro uribe…</t>
  </si>
  <si>
    <t>RT @HOLLMANMORRIS: ¿Cómo se le puede llamar a un desalojo de gente humilde , pobre , que solo tiene un rancho de techos de cartón en medio…</t>
  </si>
  <si>
    <t>RT @HOLLMANMORRIS: 1. ¿Quién dió la orden de desalojar familias en Ciudad Bolivar en medio de la pandemia? Comienzan a aparecer imágenes d…</t>
  </si>
  <si>
    <t>RT @IvanCepedaCast: Repugnante, por inmoral, cuestionar la veracidad del diagnóstico médico en el caso de @petrogustavo, como es repugnante…</t>
  </si>
  <si>
    <t>Afirmé que la vicepresidente de la República siendo ministra de defensa era la responsable política de la operación… https://t.co/SXIcKf99Ne</t>
  </si>
  <si>
    <t>RT @EpicuroDeSamos_: Vean esta perla: los mercenarios gringos tomándose fotos con niños en Cartagena. Estos asesinos profesionales se pase…</t>
  </si>
  <si>
    <t>RT @HOLLMANMORRIS: Al mejor estilo de Peñalosa, la Alcaldía de @ClaudiaLopez gasea y golpea niños en condición de discapacidad y jóvenes, p…</t>
  </si>
  <si>
    <t>La xenofobia, la violencia contra los indígenas desde el poder estatal. La discriminación brutal y salvaje en plena… https://t.co/JDpeP2bJrq</t>
  </si>
  <si>
    <t>El dato desconoce que hay muchas camas con UCI ocupadas por enfermos con síntomas del virus pero que aun no le dan… https://t.co/c1LnySqaen</t>
  </si>
  <si>
    <t>RT @Juanaafanador1: En unos minutos estaré hablando con @ma_eugeniam sobre el San Juan de Dios. Conéctense ! https://t.co/Dc3YsUiTD5</t>
  </si>
  <si>
    <t>RT @HOLLMANMORRIS: Ellos son los padres de Ismael Anthonio Pérez, niño herido con una granada de dispersión en la cabeza por el ESMAD. El n…</t>
  </si>
  <si>
    <t>¿Cual fue la actuación de la personería distrital y la defensoría del pueblo ante este desalojo en medio de la pand… https://t.co/YBEvc4wJaP</t>
  </si>
  <si>
    <t>El Amazonas está en rojo. SI la epidemia avanza sobre las comunidades indígenas las exterminará. Debe distribuir… https://t.co/FQLnw8C5X6</t>
  </si>
  <si>
    <t>RT @Tercer_Canal: Esta noche 8pm Le damos la voz a la gente de Altos de la Estancia, contamos como vivieron el desalojo a través de sus vi…</t>
  </si>
  <si>
    <t>RT @Maximo_NoriegaR: No se puede administrar a B/quilla desde una burbuja de privilegios y riquezas. Alcalde @jaimepumarejo: aterrice en la…</t>
  </si>
  <si>
    <t>La peatonalización de amplios sectores de las ciudades se ha convertido en una forma urbana para evitar aglomeracio… https://t.co/2YegbTaAst</t>
  </si>
  <si>
    <t>Para contener el cambio climático, que en décadas puede extinguir la mayor parte de la vida en el planeta, se neces… https://t.co/Gfe7PWBFvB</t>
  </si>
  <si>
    <t>Al firmante de la.Paz lo mataron y lo quemaron, era un joven, ¿quienes los asesinos?: Los mismos que se creyeron la… https://t.co/aupFRT4u27</t>
  </si>
  <si>
    <t>Nadie puede desmentir el papel central de Alvaro Uribe al involucrar miles de hombres armados en la convivir, ni e… https://t.co/OxbTGHuIS3</t>
  </si>
  <si>
    <t>Este es el Presidente de la República Iván Duque, embargando desde su oficina a su competidor y opositor de la Colo… https://t.co/viNbjB5X2u</t>
  </si>
  <si>
    <t>RT @petrogustavo: Este es el Presidente de la República Iván Duque, embargando desde su oficina a su competidor y opositor de la Colombia H…</t>
  </si>
  <si>
    <t>Lo que sucede en las cárceles y en el Amazonas, lo que sucede con la población golpeada y ensangrentada solo por de… https://t.co/wQDm4DBYPG</t>
  </si>
  <si>
    <t>RT @HOLLMANMORRIS: Esto sucedió hoy en altos de la Estancia, llevan 8 días sacando a la gente de esta forma en medio de una pandemia . No m…</t>
  </si>
  <si>
    <t>RT @petrogustavo: Lo que sucede en las cárceles y en el Amazonas, lo que sucede con la población golpeada y ensangrentada solo por decir qu…</t>
  </si>
  <si>
    <t>Ya Brasil pasa a ser de los lugares del mundo con mayor cantidad de muertes por el virus, pero, sin mebargo, así sa… https://t.co/Ou9qv3L0nL</t>
  </si>
  <si>
    <t>RT @GuerreroCuba: Policía en California, EEUU, propina brutal golpiza a niño de 14 años. Una más de las miles que se pueden ver en redes so…</t>
  </si>
  <si>
    <t>¿Qué le dice el gobierno de Duque a todas esas madres, médicas, enfermeras, trabajadoras de hospitales, que dejó si… https://t.co/KxXAdUsfi9</t>
  </si>
  <si>
    <t>Desde la Colombia Humana todo el corazón a las madres trabajadoras de la salud, abandonadas por el gobierno. La vi… https://t.co/kCV6ZGv1ar</t>
  </si>
  <si>
    <t>Para quienes tengan un tiempo para ver y escuchar a esta hermana Benedictina en una conferencia asombrosa y pertine… https://t.co/jbDhAFd453</t>
  </si>
  <si>
    <t>RT @GarantiasPSG: En peligro el líder social y comunitario de la comuna 1 de Medellín, Jerson Hader González Marulanda "Kanabico Objetor".…</t>
  </si>
  <si>
    <t>RT @JUANCAELBROKY: 📢DENUNCIA: La indígena Embera Amparo Morri, estaba embarazada, pero tras recibir golpiza de la Policía DENUNCIA QUE PERD…</t>
  </si>
  <si>
    <t>Sería interesante para quienes estan en un proyecto progresista intentar analizar el plan de desarrollo de sus muni… https://t.co/oewyZadrmZ</t>
  </si>
  <si>
    <t>RT @susanamuhamad: Bogotá se va a endeudar por 4 billones + esto debería servirnos para reactivar la economía desde la transición climática…</t>
  </si>
  <si>
    <t>Kennedy/Bosa en el suroccidente de Bogotá y Amazonas, representan hoy los territorios con mayor expansión del virus… https://t.co/DDMw2PzdY3</t>
  </si>
  <si>
    <t>Aún el ministerio de Salud no responde a la pregunta que como senador he planteado: ¿Por qué la mayoría de los mue… https://t.co/38OsWvESAp</t>
  </si>
  <si>
    <t>El modelo de salud de concesión privada en Madrid, España, ha fracasado de manera estruendosa. Este modelo de conc… https://t.co/U4tvI80s5q</t>
  </si>
  <si>
    <t>No solo el uribismo ha dividido al Ejército de Colombia, lo ha hecho el narcotráfico, descomponiendolo. El progres… https://t.co/SEAFmhQzIy</t>
  </si>
  <si>
    <t>RT @LupeMohawk: No. Es que esto se llama marketing, populismo y demagogia.</t>
  </si>
  <si>
    <t>RT @petrogustavo: No solo el uribismo ha dividido al Ejército de Colombia, lo ha hecho el narcotráfico, descomponiendolo. El progresismo d…</t>
  </si>
  <si>
    <t>Según encuesta de Cifras y Conceptos la alcaldía mejor evaluada por gestión ante la pandemia es @VirnaJohnson de Sa… https://t.co/7MWrkh6M04</t>
  </si>
  <si>
    <t>¿Entonces el gran estratega de la comunicación de Uribe era un terrorista domiciliado en Miami? https://t.co/tAheAhhcrg</t>
  </si>
  <si>
    <t>RT @petrogustavo: Según encuesta de Cifras y Conceptos la alcaldía mejor evaluada por gestión ante la pandemia es @VirnaJohnson de Santa Ma…</t>
  </si>
  <si>
    <t>Excelente debate plantea @cucharitadepalo a las tesis del exministro de salud @agaviriau El sistema de asistencia… https://t.co/s1OVPXUrPo</t>
  </si>
  <si>
    <t>¿Y por qué no que pilotos y trabajadores de Avianca fueran dueños de la compañía? ¿Eso no es una salvación empresar… https://t.co/ajG22RpAK1</t>
  </si>
  <si>
    <t>RT @DanielRMed: ¡El partido verde dándole la razón a lo que viene denunciando Petro hace semanas! Ni el gobierno nacional ni la alcaldesa @…</t>
  </si>
  <si>
    <t>¿Podría @anibalgaviria explicarnos por qué es tan bajo el número de pruebas de Covid19 para la población de Antioqu… https://t.co/rgPk6s3gYu</t>
  </si>
  <si>
    <t>RT @petrogustavo: Excelente debate plantea @cucharitadepalo a las tesis del exministro de salud @agaviriau El sistema de asistencia social…</t>
  </si>
  <si>
    <t>Cual sera la razón que ha impedido que el @DANE publique los datos de pobreza multidimensional y pobreza monetaria… https://t.co/Feygy4U7FL</t>
  </si>
  <si>
    <t>Altos de la Estancia es un zona de parque para Ciudad Bolívar de actividad de bajo impacto dado que el terreno es d… https://t.co/ls5sXTNBgJ</t>
  </si>
  <si>
    <t>RT @ISAZULETA: Desenmascarar a políticos que ocultan el daño que han hecho a las comunidades y los ecosistemas es un deber de todo ciudadan…</t>
  </si>
  <si>
    <t>RT @teleSURtv: #ENVIDEO | Fuerzas policiales del ESMAD de #Colombia han desalojado a 500 familias de Altos de la Estancia en estado de vul…</t>
  </si>
  <si>
    <t>RT @teleSURtv: #ENVIDEO | Se reporta la destrucción de viviendas, muchas de estas familias colocaron trapos rojos en señal de auxilio https…</t>
  </si>
  <si>
    <t>RT @JuanTrujilloC: Recibimos poder del senador Gustavo Petro (@petrogustavo) para representarlo como víctima del presunto fraude en las ele…</t>
  </si>
  <si>
    <t>Esto si es el colmo, el decreto de alturas y la política en general de habitat de Bogotá Humana, logró por primera… https://t.co/WwxVhzYVTP</t>
  </si>
  <si>
    <t>RT @charry_manager: El profe @tobonsanin denuncia lo que hemos venido diciendo desde aquí y es que Carrasquilla se está robando el pais, y…</t>
  </si>
  <si>
    <t>RT @NancyFiallo: No veo a Caracol, ni a RCN, indignados? Bebe de 9 meses y su padre asesinados en Suarez, Cauca La familia de 4 se trans…</t>
  </si>
  <si>
    <t>RT @susanamuhamad: El modelo de ciudad en que viviremos no puede estar definido por la empresa Metro en función del negocio inmobiliario. E…</t>
  </si>
  <si>
    <t>RT @anateresabernal: El Plan de Desarrollo Distrital tiene un enfoque antropocéntrico, la instrumentalización de los ecosistemas en función…</t>
  </si>
  <si>
    <t>Mientras los dueños reales del gobierno nacional son los banqueros y los mega narco terratenientes, los dueños del… https://t.co/Fka9EPgOCr</t>
  </si>
  <si>
    <t>RT @datoatipico: Hace unos días @petrogustavo dijo q de nada servía abrir la manufactura si no había comercios abiertos para vender. Hoy Ma…</t>
  </si>
  <si>
    <t>¿Por qué no entregan la empresa a sus trabajadores y pilotos para que sigan volando señores dueños de @Avianca? https://t.co/iI0atICUPX</t>
  </si>
  <si>
    <t>Una política basada en la garantía de derechos, universales y gratuitos, para toda la población es mejor que una po… https://t.co/rqcjmWdTPu</t>
  </si>
  <si>
    <t>Es la hora que el gobierno no ha sido capaz de vincular un personal médico, recoger unas UCIs, Unidades de cuidados… https://t.co/pcsvt5dmES</t>
  </si>
  <si>
    <t>RT @PoderAccionSoci: Después de escuchar el audio de Fajardo en el trino anterior, Petro tiene razón: para Fajardo, Alvaro Uribe debe segu…</t>
  </si>
  <si>
    <t>RT @RiosVivosColom: A #Fajardo no le importa la memoria de las víctimas @tobonsanin ¿Por qué a los fajardistas les molesta que denunciemos…</t>
  </si>
  <si>
    <t>Y en el dia de las enfermera(o)s, los que las saludan desde el Estado, les están permitiendo sindicalizarse, tener… https://t.co/sktnqQgXNH</t>
  </si>
  <si>
    <t>RT @MoisesAlvaro_: ¿Se imaginan que esta pandemia nos hubiera agarrado con Petro y la Colombia Humana en la Presidencia?</t>
  </si>
  <si>
    <t>RT @HassNassar: Diplomacia e inteligencia militar venezolana: La culpa es del río.</t>
  </si>
  <si>
    <t>RT @germanreyesf: El Dr Tobón tiene toda la razón y es más la firma de asesores que el controla es la que recorre al país recomendándole a…</t>
  </si>
  <si>
    <t>Mientras la una quería abrir la construcción, el otro quería abrir la manufactura, llegaron a un acuerdo, abrieron… https://t.co/WEtD1RMHJb</t>
  </si>
  <si>
    <t>RT @DaniRodriguezPn: Es inadmisible que nadie de la @Bogota se pronuncie sobre la grave denuncia de Amparo Morri, una indígena embera que p…</t>
  </si>
  <si>
    <t>La superintendencia de salud comete una enorme equivocación solo para servirle a los clanes politicos del uribismo… https://t.co/Rm1lczugkP</t>
  </si>
  <si>
    <t>Lo que ha hecho el superintendente de salud es lo mismo que hizo el SIC Robledo cuando allanó la empresa de acueduc… https://t.co/7IgDiONig5</t>
  </si>
  <si>
    <t>Invito a los congresistas que deseen fortalecer el poder local en Colombia y a los que quieran luchar contra la cor… https://t.co/yqktybL3To</t>
  </si>
  <si>
    <t>Esto es lo que le hacían a los ciudadanos de Colombia, hombres degradados por una concepción tenebrosa de la seguri… https://t.co/kJWabfPvU4</t>
  </si>
  <si>
    <t>EN este momento por el Tercer Canal, entrevista con él gobernador del Magdalena, el gobernador mejor evaluado por s… https://t.co/fgGGU0TzKI</t>
  </si>
  <si>
    <t>RT @ChalecosAmarill: 📽🆘️🆘️🆘️🆘️🆘️🆘️🆘️🆘️🆘️🆘️🆘️🆘️ Se Revela #Bolivia CONTRA LA DICTADURA DE @JeanineAnez Nesecitan ayuda de todas las partes.…</t>
  </si>
  <si>
    <t>RT @ChalecosAmarill: 🇷🇺🆘️ #URGENTE RESPUESTA POR ASESINATOS de K'ara K'ara, Cochabamba - #Bolivia En este momento el pueblo se revela tras…</t>
  </si>
  <si>
    <t>RT @petrogustavo: EN este momento por el Tercer Canal, entrevista con él gobernador del Magdalena, el gobernador mejor evaluado por su ciud…</t>
  </si>
  <si>
    <t>RT @GustavoBolivar: Al Uribismo le duele perder el poder regional q ostentan los caciques corruptos. Primero trataron de robarse la alcaldí…</t>
  </si>
  <si>
    <t>RT @OlaPolitica: #Columnista "Es inaudito e inadmisible que en todo el Pacífico nariñense y caucano, en un millón de habitantes no haya una…</t>
  </si>
  <si>
    <t>La intervención que hace Fabio Aristizabal como superintendente de salud a un hospital en plena recuperación, en ca… https://t.co/fehC4g6TCM</t>
  </si>
  <si>
    <t>RT @Contravia: #Magdalena Desde Enero ⁦@carlosecaicedo⁩ habría denunciado el robo de la Salud en ese departamento. Los Cuestionables Mane…</t>
  </si>
  <si>
    <t>RT @HELIODOPTERO: Petro se vincula a acción penal por fraude de la “ÑeñePolítica” en las elecciones de 2018 https://t.co/MG7Mcg8bYd</t>
  </si>
  <si>
    <t>Típico de Duque, en lugar de llevar médicos y UCIs al Amazonas llevó al ejército. El ejército se contagiará y no h… https://t.co/XhrCOdV851</t>
  </si>
  <si>
    <t>RT @CarolinaCorcho: El Supersalud que ha dejado impunes a las EPS, cuyo aporte a esta pandemia ha sido nula, muestra celeridad para interve…</t>
  </si>
  <si>
    <t>RT @OncaTvR: Os dejo este video tan didáctico de porqué EEUU quiere que Guaidó sea el presidente de Venezuela a la fuerza NOS AYUDAIS A DI…</t>
  </si>
  <si>
    <t>No solo la sentencia de Arias será revisada sino la de todos los congresistas parapolíticos. Es una especie de amni… https://t.co/1a1NRJe10V</t>
  </si>
  <si>
    <t>Fabio aAristazabal @FabioUCD, el supersalud, y la Caya, haciendo campaña en la Guajira. Ya sabemos que la campaña d… https://t.co/Splo9GBxAO</t>
  </si>
  <si>
    <t>Esta esla magnitud que ha alcanzado el movimiento mundial por el congelamiento de la deuda externa y la protección… https://t.co/R7tP1n2HLN</t>
  </si>
  <si>
    <t>Caracol dice que el aliado del ñeñe Hernández en la Guajira le tiene miedo al mandatario elegido por voto popular q… https://t.co/Wz1A7IkHiG</t>
  </si>
  <si>
    <t>Típico de los dirigentes uribistas caer en la calumnia. Nunca @HOLLMANMORRIS al frente de Canal Capital espio a nu… https://t.co/W06Vd8DwLZ</t>
  </si>
  <si>
    <t>En un país en recesión económica y con masivo empobrecimiento de la población el que los banqueros acresienten sus… https://t.co/kSUECZax0y</t>
  </si>
  <si>
    <t>RT @MAFAPOCOLOMBIA: Ni con miles de canecas de pintura nos callaran, porque “Las Madres No Se Rinden Carajo” https://t.co/Hk5MHdgZOG</t>
  </si>
  <si>
    <t>Es profundamente inmoral el que en un país en recesión económica y con masivo empobrecimiento de la población, los… https://t.co/hE5nz8IrS1</t>
  </si>
  <si>
    <t>Sin opciones de ingreso en los estudiantes de bajos recursos ¿de qué sirve la reducción de intereses? La política… https://t.co/mSwTGqrFHd</t>
  </si>
  <si>
    <t>RT @ArielAnaliza: Una cosa vergonzosa lo que Colombia hizo con Cuba 1. Colombia pide a Cuba que acoja proceso de paz con unas reglas. 2. Co…</t>
  </si>
  <si>
    <t>RT @Col_Informa: #Urgente🚨| Nos reportan que en medio de los desalojos en Altos de la Estancia, Ciudad Bolívar, una mujer siempre de negro,…</t>
  </si>
  <si>
    <t>RT @tobonsanin: Tiene que ser uno muy desalmado para arrojar personas vulnerables a la calle en plena pandemia, más viniendo de una alcalde…</t>
  </si>
  <si>
    <t>RT @elingenieroRua: Las promesas // los hechos https://t.co/9HFYK5ShDD</t>
  </si>
  <si>
    <t>RT @charry_manager: Tal cual como Claudia lo describió en este trino, así quedo en el plan de desarrollo la meta y el objeto de la agencia…</t>
  </si>
  <si>
    <t>RT @Contravia: 💊 Cuando el jefe Narco Paramilitar Mancuso reconoció que el 40 % del Congreso era de la Parapolítica el Uribismo empezó la p…</t>
  </si>
  <si>
    <t>RT @petrogustavo: Sin opciones de ingreso en los estudiantes de bajos recursos ¿de qué sirve la reducción de intereses? La política del go…</t>
  </si>
  <si>
    <t>RT @petrogustavo: Es profundamente inmoral el que en un país en recesión económica y con masivo empobrecimiento de la población, los banque…</t>
  </si>
  <si>
    <t>RT @YohanaPantevis: El COVID llegó a mi casa con una GRAN contradicción. La médica estaba usando un traje de protección de plástico y los s…</t>
  </si>
  <si>
    <t>RT @AndresCamiloHR: Esta es la intervención del Senador Gustavo Petro (@petrogustavo) en el debate de urgencia de recursos para la Red Hosp…</t>
  </si>
  <si>
    <t>Esta es mi intervención alrededor del debate sobre la salud y la pandemia hecho en el senado de la Republica https://t.co/rxaR1ZzWpy</t>
  </si>
  <si>
    <t>RT @SenadoGovCo: #SesiónPlenariaNoPresencial | 🎥 Intervención del S. @petrogustavo de @ColombiaHumana, en debate de control político a los…</t>
  </si>
  <si>
    <t>Hasta este momento las privatizaciones que se están adelantando son las de los hospitales, ojo, ni más ni menos qu… https://t.co/3YBCZwwu1X</t>
  </si>
  <si>
    <t>El virus llegó en avión a Bogotá, a sus barrios ricos, y por transmilenio se repartió a toda la ciudad.</t>
  </si>
  <si>
    <t>No soy amigo del insulto verbal, pero muchas veces la corrección en las palabras, ha escondido en nuestro país, la… https://t.co/vqwRAkBXcD</t>
  </si>
  <si>
    <t>Esto es lo que se llama una puñalada trapera. Típico de la insidia hipócrita de los manzanillos perfumados de sie… https://t.co/hrcHZ3VYYe</t>
  </si>
  <si>
    <t>RT @charry_manager: Aún no se descarta el transmilenio por la 7ma, el señor @idubogota intenta arreglarla, pero lo que es cierto es que el…</t>
  </si>
  <si>
    <t>RT @Pedropsalas: Sin palabras esto que está haciendo el gobierno de colombia en contra de la Paz Farc se retiró de CSIVI por la inclusión…</t>
  </si>
  <si>
    <t>RT @heidy_up: ¿Quién es Indira Caicedo Zuluaga? Presuntamente, funcionaria de la @ALCBolivar que se niega a cualquier tipo de interlocución…</t>
  </si>
  <si>
    <t>RT @HOLLMANMORRIS: Atención! El gerente del IDU en este audio confirma q la administración @ClaudiaLopez ¡NO descarta el proyecto de Transm…</t>
  </si>
  <si>
    <t>RT @Andrea_Q23: A propósito miren sobre que partido firma las proposiciones la señora Angela María Robledo. Parece que se le olvida que es…</t>
  </si>
  <si>
    <t>¿Qué hacen @maferojas los biarticulados de transmilenio que la alcaldesa contrató para toda la avenida 68, cuando l… https://t.co/qB6z6fblfl</t>
  </si>
  <si>
    <t>A la alcaldesa la escuchan solo funcionarios, la gente , menos mal, no se agrega, los funcionarios se ponen en peli… https://t.co/Eyo1duf7uk</t>
  </si>
  <si>
    <t>Y de acuerdo a su render, no cree que la mejor solución es que el tranvía eléctrico, delgado para la séptima centra… https://t.co/ND66GKagtW</t>
  </si>
  <si>
    <t>¿Se indignaron con los videos de los presos en El Salvador tratados con un régimen de Nazis? Pues,este video es de… https://t.co/ebc86TsSG2</t>
  </si>
  <si>
    <t>Las Unidades de cuidados intensivos, UCIs, vitales para los enfermos graves del virus, y el personal de salud que l… https://t.co/fg2s6wF6wO</t>
  </si>
  <si>
    <t>RT @petrogustavo: Las Unidades de cuidados intensivos, UCIs, vitales para los enfermos graves del virus, y el personal de salud que las man…</t>
  </si>
  <si>
    <t>Si lo digo, dicen que es odio de clases, si lo dice otro, profundo análisis sicológico. No mis amigos clasistas, es… https://t.co/lVMzJKx50V</t>
  </si>
  <si>
    <t>RT @cataboc: Aquí tienen a la Alcaldesa diciendo lo mismo que trinó Petro, más desmenuzado. Los veo pues tildándola de avivar odios de cl…</t>
  </si>
  <si>
    <t>Amigo @MeDicenWally el problema no es si viajamos en avión o no, sino si ante la crítica a Duque, que debió cerrar… https://t.co/ry1DJkzFH0</t>
  </si>
  <si>
    <t>En reunión del grupo de Puebla, buscando salidas progresistas a América Latina, siga su transmisión aquí: https://t.co/SX0fxNurM7</t>
  </si>
  <si>
    <t>RT @LeoAnselmi: El senador @petrogustavo brillante 👏🏾 poniendo el acento en la crisis climática. Foto #LaUniónEsElCambio del #GrupoDePuebla…</t>
  </si>
  <si>
    <t>RT @progresistascol: "La crisis climática de cara a la reactivación económica nos muestra la inmensa necesidad de construir unas relaciones…</t>
  </si>
  <si>
    <t>RT @JuanMarenghini: @petrogustavo "La pandemia nos impone la necesidad de contar el derecho a la salud como un bien público global. Lo cual…</t>
  </si>
  <si>
    <t>RT @jmkarg: "Los Estados tienen que gastar más en salud. Un buen aparato para defender la vida. Tiene que estar como el cuerpo de bomberos:…</t>
  </si>
  <si>
    <t>RT @Juventud_Humana: "Habrán dos grandes tendencias en concreto: lo que yo llamo la barbarie que se viene expresando en la pandemia agudame…</t>
  </si>
  <si>
    <t>RT @cielo_rusinque: ”La pandemia nos arroja de entrada un objetivo común, la salud pública un bien público global, que implica multilateral…</t>
  </si>
  <si>
    <t>RT @ProgresaLatam: 🇨🇴 #GrupoDePuebla | "La pandemia nos pone un gran objetivo: la salud como un bien público mundial" @petrogustavo | #LaUn…</t>
  </si>
  <si>
    <t>RT @teleSURtv: #ENVIVO | Dilma Rousseff, expresidenta de Brasil, participa en la reunión del Grupo de Puebla: "No hace sentido mantener la…</t>
  </si>
  <si>
    <t>RT @ProgresaLatam: 🇨🇴 #GrupoDePuebla | "Es necesario pensar regionalmente, es la gran oportunidad del progresismo y de la integración latin…</t>
  </si>
  <si>
    <t>RT @El_Ciudadano: @alferdez AlbertoFernández en #GrupoDePuebla "Si algo ha dejado al descubierto el coronavirus, es también la desigualdad…</t>
  </si>
  <si>
    <t>RT @JuanMarenghini: @petrogustavo La agenda progresista tiene que levantar la lucha contra la #CrisisClimatica, disminuir las emisiones de…</t>
  </si>
  <si>
    <t>RT @El_Ciudadano: Gustavo Petro en #GrupoDePuebla la Pandemia nos pone como necesidad la Salud como un bien público Global #Covid19 https:/…</t>
  </si>
  <si>
    <t>RT @DanielRMed: Petro propone en el @ProgresaLatam la creación de una agenda común cuya eficacia se mida en propuestas estructurales como h…</t>
  </si>
  <si>
    <t>RT @Otohiguita: @petrogustavo Pepe Mijica: "el acuerdo de paz en Colombia ha fracasado y es un fracaso de toda la humanidad".</t>
  </si>
  <si>
    <t>RT @Gabocolombia76: @petrogustavo "entre BARBARIE y DEMOCRATIZACION en esta crisis, vale la pena estar juntos con una agenda eficaz: 1. Sa…</t>
  </si>
  <si>
    <t>RT @AndresCamiloHR: Intervención del Senador Gustavo Petro (@petrogustavo) en el V Encuentro del Grupo de Puebla (@ProgresaLatam): La unió…</t>
  </si>
  <si>
    <t>RT @teleSURtv: #ENVIVO | Evo Morales, expresidente de Bolivia: "La salud es un derecho humano, y no un recurso privado" →https://t.co/tqMKH…</t>
  </si>
  <si>
    <t>RT @taniapsuv: JEFREY SACHS, economista, asesor de la ONU: •Si la pandemia no se controla y seguimos propagando el virus alrededor del mun…</t>
  </si>
  <si>
    <t>RT @MoisesAlvaro_: Ver a Petro plantear la necesidad de lograr que la salud sea un bien público mundial en @ProgresaLatam, junto a líderes…</t>
  </si>
  <si>
    <t>RT @ProgresaLatam: 🇨🇴 #GrupoDePuebla | "La vida no puede seguir siendo una mercancía, la salud es un derecho humano y no un bien de consumo…</t>
  </si>
  <si>
    <t>RT @teleSURtv: #ENVIVO | Rafael Correa, expresidente de Ecuador: "El virus no es culpa de los Gobiernos, la catástrofe si(...) Se debilitó…</t>
  </si>
  <si>
    <t>RT @LeonVaLenciaA: Rafael Correa dice en la reunión del Grupo de Puebla, que se debe cargar la crisis sobre los que más tienen, pero ya se…</t>
  </si>
  <si>
    <t>RT @PizarroMariaJo: He firmado junto con @petrogustavo la carta propuesta por el Senador @BernieSanders y más de 300 legisladores del mundo…</t>
  </si>
  <si>
    <t>RT @DanielRMed: “El virus no es culpa de ningún gobierno, la catástrofe si, es culpa de gobiernos neoliberales que pusieron la salud como m…</t>
  </si>
  <si>
    <t>RT @JuamPaPeralta: (MÁS DECLARACIONES DEL PRESIDENTE @alferdez en el @ProgresaLatam) "Si algo ha dejado al descubierto el coronavirus, es t…</t>
  </si>
  <si>
    <t>RT @LeoAnselmi: “En Colombia es necesaria la ausencia de violencia, y también la presencia de justicia” @MashiRafael en el foro #LaUniónEsE…</t>
  </si>
  <si>
    <t>RT @ProgresaLatam: 🇨🇴 #GrupoDePuebla | "El virus no es culpa de ningún gobierno, la catástrofe sí. Es culpa de poner a la salud como una me…</t>
  </si>
  <si>
    <t>Esta es mi propuesta al evento que convocó a los principales presidentes, expresidentes y líderes progresistas en A… https://t.co/VZYR8Q5NGZ</t>
  </si>
  <si>
    <t>RT @LeoAnselmi: El gobernador @carlosecaicedo refuerza la idea de proteger el medio ambiente y trabajar por la justicia social y económica…</t>
  </si>
  <si>
    <t>RT @MiguelSamperS: “El fracaso del Proceso de Paz en Colombia es un fracaso que nos envuelve a todos en Latinoamércia”: Pepe Mujica en el @…</t>
  </si>
  <si>
    <t>RT @PizarroMariaJo: Las discusiones que fueron dejadas de lado durante el covid 19 deben regresar al primer plano del debate público. @Prog…</t>
  </si>
  <si>
    <t>RT @jerojasrodrigue: Unidad progresista del Grupo Puebla para pensar crisis de la pandemia y lo que viene: 1. La salud como derecho y el f…</t>
  </si>
  <si>
    <t>RT @petrogustavo: Esta es mi propuesta al evento que convocó a los principales presidentes, expresidentes y líderes progresistas en América…</t>
  </si>
  <si>
    <t>RT @eponsf: Interesante entrevista a Thomas Piketty (@PikettyLeMonde) en @ctxt_es “La desigualdad de la propiedad crea una enorme desiguald…</t>
  </si>
  <si>
    <t>La desigualdad social es una decisión política. Los planes de desarrollo locales han perdido los objetivos que to… https://t.co/W5yfjlxcIJ</t>
  </si>
  <si>
    <t>El esfuerzo por encontrar una vacuna o de hacer respiradores mecánicos no puede dejarse en manos del mercado. Hoy… https://t.co/1GzIfRjFqO</t>
  </si>
  <si>
    <t>El problema no esta en la cuarentena, esta se vuelve indispensable, el problema está en que si no se logra control… https://t.co/Yc0G5C3p51</t>
  </si>
  <si>
    <t>Hay una estrecha relación entre la crisis climática producida por la emisión de gases de efecto invernadero de la a… https://t.co/cu5EtQShQB</t>
  </si>
  <si>
    <t>¿Por qué la alcaldía de Bogotá no alquila hoteles, actualmente desocupados, para darle techo a población desprotegi… https://t.co/yq7WhSxCFY</t>
  </si>
  <si>
    <t>Decir la verdad no es sembrar odio estimada senadora. Hay sociedades que rehuyen la verdad porque se sienten cómod… https://t.co/Ustvl5pHus</t>
  </si>
  <si>
    <t>RT @C_Pueblos: 🚨Alerta🚨 En estos momentos la fuerza pública está tirando gases lacrimógenos alrededor de las viviendas donde hay niños, muj…</t>
  </si>
  <si>
    <t>RT @cielo_rusinque: De cara a la incompetencia del gobierno, la tentación cada vez mas fuerte de autoritarismo, la estrategia de choc y la…</t>
  </si>
  <si>
    <t>La derecha que gobierna a Brasil después de un golpe de Estado ha llevado el país a un verdadero desastre, que incl… https://t.co/Ss0cGZFn30</t>
  </si>
  <si>
    <t>RT @RollingStoneCol: 'Matarife' es una serie documental basada en artículos periodísticos en los que se ha investigado la relación de Álvar…</t>
  </si>
  <si>
    <t>RT @LuisAlf82940568: @NoticiasCaracol Mientras las FFMM sigan teniendo a Álvaro Uribe Vélez como su comandante en jefe todo colombiano de b…</t>
  </si>
  <si>
    <t>Te recomiendo @ryvillavicencio juntar un activismo en España que presione a la firma Copasa para que desista de su… https://t.co/uAr4u1Z2Eu</t>
  </si>
  <si>
    <t>RT @GustavoBolivar: Una nueva amenaza para mi colección. No deja de sorprender q cada q saco los trapos al sol a Uribe, aparecen inmediatam…</t>
  </si>
  <si>
    <t>RT @petrogustavo: Te recomiendo @ryvillavicencio juntar un activismo en España que presione a la firma Copasa para que desista de su contra…</t>
  </si>
  <si>
    <t>La decisión de no establecer mínimos vitales gratuitos en servicios públicos en Bogotá es de Claudia. Financierame… https://t.co/GQdk6imnJz</t>
  </si>
  <si>
    <t>RT @WOLA_org: Súmate a nuestro webinario con @IvanCepedaCast @IDARDOS de @Justiciaypazcol @CesarJerezM @Ccajar @JohnOtis @nic0b3d de @velac…</t>
  </si>
  <si>
    <t>De 546 muertos por covid, solo un 19% tuvo el servicio de unidad de cuidados intensivos Cuántas de estas personas… https://t.co/7yFaHYIEli</t>
  </si>
  <si>
    <t>RT @jairoriverah: Ha partido Julio Anguita, otro maestro. “Malditas sean las guerras y los canallas que las hacen” https://t.co/jVQ25IbKPO</t>
  </si>
  <si>
    <t>RT @petrogustavo: De 546 muertos por covid, solo un 19% tuvo el servicio de unidad de cuidados intensivos Cuántas de estas personas se hub…</t>
  </si>
  <si>
    <t>RT @IvanCepedaCast: Operación Bastón:”Del total de las misiones de trabajo que forman parte de Bastón aparecen relacionados, además de 16 g…</t>
  </si>
  <si>
    <t>Hay quienes caen en el negacionismo al no mirar la estructura social y los modos de vida que hicieron posible esta… https://t.co/Af0pepMD0l</t>
  </si>
  <si>
    <t>La fiscalía ayudó a funcionarios corruptos del ejército al congelar investigaciones. El gobierno debe sacar de la… https://t.co/JMj2YQmJwN</t>
  </si>
  <si>
    <t>RT @jerojasrodrigue: America Latina debe forjar un pensamiento/acción global para enfrentar la crisis de la postpandemia. Hoy se realizó l…</t>
  </si>
  <si>
    <t>Desde hace dos meses 400 tripulantes colombianos que trabajan en el crucero "Carnival" han estado encerrados en la… https://t.co/tNnzmnVmuR</t>
  </si>
  <si>
    <t>Mi debate con el ministro de salud sobre por qué la mayoría de los fallecidos por covid en Colombia no han pasado p… https://t.co/GgKV3izGQ9</t>
  </si>
  <si>
    <t>La torpeza de llevar la guerra a Venezuela, cuando Venezuela y Colombia están llenos de gasolina. La estrategia de… https://t.co/uv3RhHIbDm</t>
  </si>
  <si>
    <t>Las Unidades de Cuidado Intensivo UCI, como siempre ha sucedido en la ciudad pudo comprarlas el Distrito, desde qu… https://t.co/lr9YkHl9n1</t>
  </si>
  <si>
    <t>RT @petrogustavo: Mi debate con el ministro de salud sobre por qué la mayoría de los fallecidos por covid en Colombia no han pasado por una…</t>
  </si>
  <si>
    <t>Esta investigación del New York Times compara número de muertos por mes en 2020 con el promedio de los años anterio… https://t.co/Ts7TUnFwxc</t>
  </si>
  <si>
    <t>Sería importante una investigación para Colombia de datos de mortalidad promedio por semana en la última década, co… https://t.co/CEh2OwzZFO</t>
  </si>
  <si>
    <t>El impuesto a la riqueza o impuesto al patrimonio de más de 5.000 millones es fundamental para desendeudar el país… https://t.co/LsS1irUzqy</t>
  </si>
  <si>
    <t>La única razón por la que se ha dejado salir gente a la calle cuando el virus arrecia es porque Duque fue incapaz d… https://t.co/mbDxeinhBP</t>
  </si>
  <si>
    <t>RT @petrogustavo: La única razón por la que se ha dejado salir gente a la calle cuando el virus arrecia es porque Duque fue incapaz de hace…</t>
  </si>
  <si>
    <t>En cuanto al abuso sexual de menores, que generalmente proviene de familiares y queda en la impunidad, es mucho mas… https://t.co/9hNmFKAX0E</t>
  </si>
  <si>
    <t>Realmente es una salvajada la política de servicios públicos de Bogotá en tiempos de pandemia. Las empresas tienen… https://t.co/NGiwDEn4ih</t>
  </si>
  <si>
    <t>En él caso urbano, la redistribución de la riqueza puede hacerse con un sistema de impuestos progresivo, es decir q… https://t.co/8WPHRjqz9v</t>
  </si>
  <si>
    <t>De paso @jcarlos_ft, mi patrimonio neto, valor de mi casa, menos la.deuda hipotecaria y la multa que menpuso la presidencia, es negativo.</t>
  </si>
  <si>
    <t>Sectores del ejército han cometido una masacre contra campesinos de Cúcuta por orden del gobierno. Los sectores qu… https://t.co/AkEnCJWUt1</t>
  </si>
  <si>
    <t>La ciudad que desarrolló el consumo mínimo vital del agua potable gratuito y abrir el camino del derecho al agua, n… https://t.co/aEPGQCT0JI</t>
  </si>
  <si>
    <t>El cartel de los soles estaba en Colombia. Un ejército ético, al servicio de la Constitución, de la Vida y la Naci… https://t.co/zwilIQVW0B</t>
  </si>
  <si>
    <t>RT @petrogustavo: Sectores del ejército han cometido una masacre contra campesinos de Cúcuta por orden del gobierno. Los sectores que ases…</t>
  </si>
  <si>
    <t>La sociedad comercial de un general de la República con un narcotraficante megaterrateniente. Así se define el pod… https://t.co/PsPKb24lmR</t>
  </si>
  <si>
    <t>RT @photomauricio: ¿A quién se le ocurre realizar un operativo de desalojo en medio de una pandemia? #CiudadBolívar #AltosDeLaEstancia #De…</t>
  </si>
  <si>
    <t>Que lejos queda ya la Bogotá Humana. https://t.co/R1F7VbBjDh</t>
  </si>
  <si>
    <t>Espero del general Arias Cabrales, aceptado en la Justicia Especial para la Paz, que diga toda la verdad sobre el P… https://t.co/Mtbs5BE8Rd</t>
  </si>
  <si>
    <t>Propusimos el día 8 de marzo @GabrielaTafur el confinamiento, y a Claudia, la suspensión del tranmilenio En confin… https://t.co/DpiEmVJysp</t>
  </si>
  <si>
    <t>Propusimos que la emergencia reformara la ley 100 para que el dinero llegara directamente a hospitales y no a EPS… https://t.co/y5dYceA03x</t>
  </si>
  <si>
    <t>Propusimos una coordinación latinoamericana para producir respiradores. Propusimos reactivar la central de urgenci… https://t.co/hgt8kTcKYx</t>
  </si>
  <si>
    <t>Y finalmente es absolutamente cierto, que el virus llegó en avión a las localidades de más alta capacidad de pago d… https://t.co/BN75H6691l</t>
  </si>
  <si>
    <t>RT @petrogustavo: Que lejos queda ya la Bogotá Humana. https://t.co/R1F7VbBjDh</t>
  </si>
  <si>
    <t>RT @Cosmecastell: El color de la injusticia. #ilustración https://t.co/YyDxx3wqaj</t>
  </si>
  <si>
    <t>Esta mentalidad extremo derechista del entorno uribista es la que ha llevado a Duque a no distribuir recursos a la… https://t.co/NvhXG1glNx</t>
  </si>
  <si>
    <t>No quieren la paz, porque necesitan de la guerra y el miedo para mantener un régimen que solo es una articulación e… https://t.co/pOKjSf8YHr</t>
  </si>
  <si>
    <t>Lo sucedido en la cárcel Modelo fue una masacre a mansalva La muerte de 24 presos desarmados y la responsabilidad… https://t.co/a9Uwwf7IwQ</t>
  </si>
  <si>
    <t>RT @petrogustavo: No quieren la paz, porque necesitan de la guerra y el miedo para mantener un régimen que solo es una articulación entre c…</t>
  </si>
  <si>
    <t>RT @freytterflorian: En la investigación del caso de mi padre Freytter Romero, asesinado por estructuras del Bloque Norte, ´Jorge 40` está…</t>
  </si>
  <si>
    <t>El ciclón más grande de la historia registrada avanza sobre la India. Al lado del virus, la crisis climática. ¿Aú… https://t.co/M2ktOS4gsp</t>
  </si>
  <si>
    <t>Han caído las emisiones de CO2, responsable del calentamiento global, un 7%; todos los años hasta 2030 necesitamos… https://t.co/Cju9bx4Hp7</t>
  </si>
  <si>
    <t>Este artículo del Consejo editorial del New York Times, que Clara Lopez publica en español, muestra la base teórica… https://t.co/vcugVCkjFI</t>
  </si>
  <si>
    <t>Duque decidió burlarse de las víctimas.</t>
  </si>
  <si>
    <t>Duque con el mismo argumento de poner al frente de la dirección de victimas al hijo de un narco tambien podría pone… https://t.co/1uPMeQbl3O</t>
  </si>
  <si>
    <t>¿ Una Bogotá post pandemia necesita invertir sus dinero público en más troncales de transmilenio, o en fortalecer s… https://t.co/comlNvPUNj</t>
  </si>
  <si>
    <t>Aramis Arenas, asesinado en Becerril, Cesar, la noche oscura del genocidio de lideres llega al departamento del Ces… https://t.co/j1jQV9fQ5X</t>
  </si>
  <si>
    <t>RT @AidaAvellaE: Legitiman el paramilitarismo con nombramientos en la coordinación de víctimas. No hacen nada para detener los asesinos de…</t>
  </si>
  <si>
    <t>RT @ammejiaaguado: .⁦@Fruizgomez⁩ ⁦@MinSaludCol⁩ ⁦@IvanDuque⁩ esta es la prueba irrefutable q d nuevo le da la razón ⁦@petrogustavo⁩ cuando…</t>
  </si>
  <si>
    <t>Según este cuadro con datos oficiales, de 168 personas fallecidas en Bogotá por el covid19, solo 38 tuvieron acceso… https://t.co/HAAO70khAc</t>
  </si>
  <si>
    <t>RT @smilelalis: #ATENCION: Acabo de conocer un audio donde se demuestra que @ElJuliSastoque es un oportunista.Manda a sus asesores a decir…</t>
  </si>
  <si>
    <t>RT @AndresCamiloHR: #EXCLUSIVO “Le hemos enviado cartas al presidente @IvanDuque y no han dado respuesta, llevamos 2 meses a bordo” dicen c…</t>
  </si>
  <si>
    <t>RT @petrogustavo: Según este cuadro con datos oficiales, de 168 personas fallecidas en Bogotá por el covid19, solo 38 tuvieron acceso a una…</t>
  </si>
  <si>
    <t>RT @CIDH: #InformeDefensorxsDDHH | La @CIDH advierte que según organizaciones de la sociedad civil, hasta mediados del 2018, este colectivo…</t>
  </si>
  <si>
    <t>RT @PeriodistaPeron: Le preguntan a Bolsonaro por qué Brasil tiene 13.000 muertos y Argentina 300. Se enoja con el periodista y contesta qu…</t>
  </si>
  <si>
    <t>La única manera como ciertos sectores politicos ven la unidad del progresismo es con un candidato que no propone ca… https://t.co/tOlFhK2UBi</t>
  </si>
  <si>
    <t>La reconciliación es devolverle la tierra a las víctimas del desplazamiento. Son millones de hectáreas. ¿Ya lo han… https://t.co/S2SpvoZVm8</t>
  </si>
  <si>
    <t>La reconciliación como el perdón es una acción y un querer que solo es de la víctimas, pertenece a ellas exclusivam… https://t.co/g2dsy0aSWR</t>
  </si>
  <si>
    <t>RT @petrogustavo: La reconciliación como el perdón es una acción y un querer que solo es de la víctimas, pertenece a ellas exclusivamente,…</t>
  </si>
  <si>
    <t>RT @IvanCepedaCast: #reconciliaciones: A Jorge Tovar no lo juzgo por ser hijo de quien es. Pero ¿por qué ataca a mi padre que fue asesinado…</t>
  </si>
  <si>
    <t>Precisamente porque creo en el pluralismo es que se propuso un acuerdo programático y una consulta para escoger can… https://t.co/PVA1478cHD</t>
  </si>
  <si>
    <t>La pandemia es una enfermedad social y depende mucho del tipo de sociedad y estado que se tiene. https://t.co/MTgluTw18y</t>
  </si>
  <si>
    <t>La crisis climática implica la extinción de la vida en décadas, es el reflejo de la acumulación de capital que util… https://t.co/AVgDB2zWmx</t>
  </si>
  <si>
    <t>RT @LevyRincon: Coronell dice que no le gusta Petro porque su presencia divide. Claro que divide, Daniel. Divide a los que quieren un cambi…</t>
  </si>
  <si>
    <t>En la nueva economía basada en el conocimiento y no en el combustible fósil, el acceso a la educación superior debe… https://t.co/O04MEYLjri</t>
  </si>
  <si>
    <t>Bogotá apostó con @ClaudiaLopez salir de Peñalosa Si usted estudia la propuesta de plan de desarrollo de su admini… https://t.co/LcMpA7FnJj</t>
  </si>
  <si>
    <t>¿Por qué la mayoría de las personas que han fallecido comprobadanente por covid19, murieron en su casa o en hospita… https://t.co/g3P3drJUy4</t>
  </si>
  <si>
    <t>Esta afirmacion que hace @SectorSalud no es cierta. Todos los datos presentados en el cuadro tienen como fuente la… https://t.co/GZc3g3MmF0</t>
  </si>
  <si>
    <t>RT @hbecas: En Colombia los héroes si existen. https://t.co/U0VWIxiVCV</t>
  </si>
  <si>
    <t>Este fue mi debate al ministro de hacienda sobre una política económica desarrollada en la pandemia, que no ha serv… https://t.co/IIfHEHqREk</t>
  </si>
  <si>
    <t>Este es mi debate con el ministro de haciendo sobre una política económica durante la pandemia, que ha enriquecido… https://t.co/t39F0qseZQ</t>
  </si>
  <si>
    <t>RT @petrogustavo: Esta afirmacion que hace @SectorSalud no es cierta. Todos los datos presentados en el cuadro tienen como fuente la inform…</t>
  </si>
  <si>
    <t>La destrucción de todo humanismo de expresa en este video. La pandemia hace evidente los rasgos más autoritarios,… https://t.co/f1UBYDrOli</t>
  </si>
  <si>
    <t>RT @AndresPastrana_: Desafortunadamente personajes como este, por razón de sus relaciones de sangre, ponen en entredicho los principios y l…</t>
  </si>
  <si>
    <t>Mi debate con el ministro de defensa sobre la fragmentación del ejército: el sector que se ha aliado con las bandas… https://t.co/5DKyTMfGiR</t>
  </si>
  <si>
    <t>RT @petrogustavo: Mi debate con el ministro de defensa sobre la fragmentación del ejército: el sector que se ha aliado con las bandas narco…</t>
  </si>
  <si>
    <t>Lo gomelos racistas del.ministerio del interior demuestran en este audio todo su odio a los indígenas. Pero eso si… https://t.co/14ND2ZbrFT</t>
  </si>
  <si>
    <t>Lecciones de marketing después que el daño esta hecho. El problema de fondo es golpear violentamente humildes ante… https://t.co/zVxI57u31d</t>
  </si>
  <si>
    <t>RT @petrogustavo: Lo gomelos racistas del.ministerio del interior demuestran en este audio todo su odio a los indígenas. Pero eso si, les…</t>
  </si>
  <si>
    <t>RT @petrogustavo: Este es mi debate con el ministro de haciendo sobre una política económica durante la pandemia, que ha enriquecido banque…</t>
  </si>
  <si>
    <t>RT @petrogustavo: Este fue mi debate al ministro de hacienda sobre una política económica desarrollada en la pandemia, que no ha servido pa…</t>
  </si>
  <si>
    <t>La salud en las calles de EEUU, es lo que Bogotá tenía en forma de 5.000 profesionales de la salud en 1.000 microte… https://t.co/Vie2Rd8W3j</t>
  </si>
  <si>
    <t>Ahora todos los congresistas parapolíticos ya no acudirán a la JEP a decir la verdad sino volverán a repetir sus pr… https://t.co/COIx02P6H2</t>
  </si>
  <si>
    <t>La Constitución prohibe que en emergencia económica se puedan afectar los derechos laborales. Si el gobierno lo hac… https://t.co/Lr4EEuw0kz</t>
  </si>
  <si>
    <t>Lo que se prepara es legitimar que del erario se subsidie las personas más poderosas del pa3is. Quienes han concen… https://t.co/vgLWfjd1V4</t>
  </si>
  <si>
    <t>Esta es la realidad del poder en Colombia. La ley del embudo. https://t.co/zgtSMplBY8</t>
  </si>
  <si>
    <t>Uribe confesó que estaba al tanto de los seguimientos que me hizo su DAS y el motivo: si Chávez me financiaba. 1.U… https://t.co/XQEWXVOcRi</t>
  </si>
  <si>
    <t>¿Por qué la fiscalía general no se lleva el proceso de la masacre de la Guaripa, en la Mojana, Sucre, donde los cam… https://t.co/4a4tB1r5kX</t>
  </si>
  <si>
    <t>RT @petrogustavo: Uribe confesó que estaba al tanto de los seguimientos que me hizo su DAS y el motivo: si Chávez me financiaba. 1.Uribe c…</t>
  </si>
  <si>
    <t>El tratamiento judicial a Andres Felipe Arias es un acuerdo político hecho entre partidos La corte Constitucional… https://t.co/z8S7VyHk6n</t>
  </si>
  <si>
    <t>El centro democrático y el partido conservador querían convertir el Amazonas en zona de fracking a lo Bolsonaro. P… https://t.co/tLMUVpivn1</t>
  </si>
  <si>
    <t>La empresa española que contrató Claudia para hacer el hospital de Bosa, lo hará cobrando14 millones de pesos el me… https://t.co/GpqrXAJrQr</t>
  </si>
  <si>
    <t>En realidad la Corte Constitucional dejó de ser el guardián de la Constitución y hoy esta en el bolsillo de Uribe.… https://t.co/FbUr3pmrmZ</t>
  </si>
  <si>
    <t>Muy bien por Laura. @dulcederomerooo Busquemos hacer vaca para reubicar a los desalojados violentamente por la alca… https://t.co/NddNU557OR</t>
  </si>
  <si>
    <t>La selva Amazónica es captador del CO2 de la atmósfera; si la destruyen, se amplificaría la crisis climática que pr… https://t.co/pyElgHqPco</t>
  </si>
  <si>
    <t>Darle vía libre a sacar petroleo en el Amazonas es una contradicción absoluta con la vida en el planeta . Todo cong… https://t.co/cZpIUb85sA</t>
  </si>
  <si>
    <t>RT @petrogustavo: La empresa española que contrató Claudia para hacer el hospital de Bosa, lo hará cobrando14 millones de pesos el metro cu…</t>
  </si>
  <si>
    <t>Los sindicatos de trabajadores y el virus en Colombia. Duque buscará una reforma laboral o tributaria para descarga… https://t.co/YBkZA9Ph95</t>
  </si>
  <si>
    <t>Se exilia @ruidiaz_ddhh. Lamentable. Un país cuya gente en el poder no es capaz de abrir la oportunidad y el derec… https://t.co/PQcVbIpGAc</t>
  </si>
  <si>
    <t>Un alcalde luchando con las uñas para tener un hospital funcionando en Turbaco,mientras en Bogotá los privatizan y… https://t.co/uarnuNhDUp</t>
  </si>
  <si>
    <t>Paradójicamente cuando más se necesitan médicos más los despiden. ¿Por qué? Porque al girar a las EPS, estas solo… https://t.co/kf1ElkWKNK</t>
  </si>
  <si>
    <t>Con la prensa enmudecida, aquí se dio el primer debate de la ley para Arias. No me quedé en silencio cómplice Esta… https://t.co/ROTodtPvVU</t>
  </si>
  <si>
    <t>Hoy de acuerdo a la muestra tomada por la secretaría de integración de Bogotá, casi la mitad de habitantes de la ca… https://t.co/bgBSbjogft</t>
  </si>
  <si>
    <t>En el Bronx comenzamos "Ciudad Humanidad": Tenía el Camad, el comedor conunutario,el jardin infantil y varios albue… https://t.co/2cAvsP1btz</t>
  </si>
  <si>
    <t>RT @petrogustavo: Con la prensa enmudecida, aquí se dio el primer debate de la ley para Arias. No me quedé en silencio cómplice Estas fuer…</t>
  </si>
  <si>
    <t>Si como dice el plan de Claudia, se entrega por concesión la construcción y operación de la planta de tratamiento d… https://t.co/03AU6wVwUL</t>
  </si>
  <si>
    <t>El solo hecho de aprobar en el plan de desarrollo de Bogotá troncales de tranmilenio basados en biarticulados a die… https://t.co/tLjLFYqODn</t>
  </si>
  <si>
    <t>RT @petrogustavo: Si como dice el plan de Claudia, se entrega por concesión la construcción y operación de la planta de tratamiento de agua…</t>
  </si>
  <si>
    <t>Mientras una iniciativa de periodismo independiente publicaba la relación entre Uribe y el paramilitarismo, que en… https://t.co/Re1Jg9gqJC</t>
  </si>
  <si>
    <t>La empresa Viva Air con sede en Rionegro, Antioquia, fue autorizada por el gobierno colombiano para el vuelo humani… https://t.co/CSOrUxEldB</t>
  </si>
  <si>
    <t>3 millones de personas han visto la serie "Matarife" un éxito audiovisual absoluto. https://t.co/ymLkiSHb7Q</t>
  </si>
  <si>
    <t>Esta es la compañía Gallagher de seguros, que dice ser la más ética del mundo, que se pasó por la faja las razones… https://t.co/Fyh3m0ceIp</t>
  </si>
  <si>
    <t>Han transformado el periodismo en un partido político. Comenzando por la entrega de sus facultades académicas a la… https://t.co/xZLlpE4VZ7</t>
  </si>
  <si>
    <t>Han asesinado un campesino en Antioquia. El incumplimiento del gran acuerdo al que habían llegado los campesinos c… https://t.co/nTELIXQUk7</t>
  </si>
  <si>
    <t>RT @petrogustavo: 3 millones de personas han visto la serie "Matarife" un éxito audiovisual absoluto. https://t.co/ymLkiSHb7Q</t>
  </si>
  <si>
    <t>Los trabajadores no son tuyos, son libres como personas, si los llevas a votar por lo que tú quieres, quizás en con… https://t.co/nqLNqtFDaB</t>
  </si>
  <si>
    <t>En medio del cierre de aeropuertos, y no solo pedí el cierre de aeropuertos, sino la cuarentena y el cierre de tran… https://t.co/571k5UwQC7</t>
  </si>
  <si>
    <t>En Cuba van 1.916 casos de covid y 78 muertes. Les ha funcionado bien su sistema de medicina preventiva. Médicos… https://t.co/fWZMdXmFjQ</t>
  </si>
  <si>
    <t>El objetivo más importante para el progresismo es olvidado en el plan de desarrollo de Claudia: Disminuir la pobre… https://t.co/d3TMnLbjdO</t>
  </si>
  <si>
    <t>RT @Naomy03696427: Más de 1.300 desplazados en el Alto Baudó Chocó por combates entre grupos ilegales https://t.co/pFqKnxrNQ2</t>
  </si>
  <si>
    <t>RT @petrogustavo: El objetivo más importante para el progresismo es olvidado en el plan de desarrollo de Claudia: Disminuir la pobreza y l…</t>
  </si>
  <si>
    <t>Vean ustedes. Quieren destruir al que hace un trabajo crítico de Uribe. La prensa buscando destruir al investigad… https://t.co/f7jIsCWMoK</t>
  </si>
  <si>
    <t>RT @ChalecosAmarill: 🎥🆘️ #VIRAL 🔄 Así es que se ataca la manipulación mediática 👊🏼 ⚠️“Los medios mienten sobre la situación en #Venezuela,…</t>
  </si>
  <si>
    <t>La crisis climática es el principal problema de la humanidad. Puede traer decenas de pandemias como esta y extingui… https://t.co/jVHk1nEXdM</t>
  </si>
  <si>
    <t>La mitigación contra el cambio climático implica una fuerte inversión en una infraestructura diferente que a su vez… https://t.co/lX2hYZF3kW</t>
  </si>
  <si>
    <t>La infraestructura para mitigar el cambio climático será la impulsora del empleo mundial. Además de fibra óptica a… https://t.co/mRmZEAW0BI</t>
  </si>
  <si>
    <t>El plan de Claudia no establece meta de colegios nuevos, si eso no se puede hablar de jornada única No hay sedes… https://t.co/CPDZWbXzgI</t>
  </si>
  <si>
    <t>Continuar el gobierno de Peñalosa no era el propósito de la mayoría del electorado. Sin embargo, ese es el plan de… https://t.co/h3O9syHpgS</t>
  </si>
  <si>
    <t>RT @petrogustavo: El plan de Claudia no establece meta de colegios nuevos, si eso no se puede hablar de jornada única No hay sedes nuevas…</t>
  </si>
  <si>
    <t>RT @heidy_up: 1. ¡Nuestro voto a esta ponencia del Plan de Desarrollo Distrital es NO! por la defensa de la coherencia, los principios y el…</t>
  </si>
  <si>
    <t>RT @heidy_up: 2. Con este voto ratificamos nuestra consecuencia con lo que nosotras proponemos y lo que hemos hecho desde los distintos mov…</t>
  </si>
  <si>
    <t>Colombia Humana UP vota negativo al plan de desarrollo de Claudia. Aunque su retórica sea progresista, sus metas c… https://t.co/3NZBdlipE3</t>
  </si>
  <si>
    <t>Saludo la actictud coherente del concejal de Bogotá @CarlosCarrilloA, representante de una izquierda que no se deja… https://t.co/MLyCOH0naU</t>
  </si>
  <si>
    <t>RT @susanamuhamad: Votamos negativo a la ponencia positiva del Plan de Desarrollo, no tiene la ambición necesaria para abordar el reto que…</t>
  </si>
  <si>
    <t>RT @anateresabernal: De hecho, el nuevo Plan de Desarrollo parece profundizar más el modelo peñalosista: 1. Mantiene la meta de pobreza mul…</t>
  </si>
  <si>
    <t>RT @anateresabernal: Estudiando el Plan de Desarrollo presentado al @ConcejodeBogota por @ClaudiaLopez, tiene un lenguaje y enfoque de cará…</t>
  </si>
  <si>
    <t>RT @anateresabernal: El Plan de Desarrollo 2020-2024 no busca la superación de la pobreza, conserva las mismas metas anteriores y no se atr…</t>
  </si>
  <si>
    <t>RT @petrogustavo: Saludo la actictud coherente del concejal de Bogotá @CarlosCarrilloA, representante de una izquierda que no se deja seduc…</t>
  </si>
  <si>
    <t>RT @CarlosCarrilloA: Anoche el @PoloDemocratico me negó la libertad para votar las ponencias del Plan de Desarrollo: un plan que incluye 17…</t>
  </si>
  <si>
    <t>RT @CarlosCarrilloA: Desde la campaña me opuse a que mi partido se aliara con @ClaudiaLopez, la izquierda no debe seguir siendo el vagón de…</t>
  </si>
  <si>
    <t>Invito al concejal @CelioNievesH a pesar que se tengan diferencias, a que no permita el silenciamiento de… https://t.co/LX7mJJZ9Bn</t>
  </si>
  <si>
    <t>¿Nos podrían explicar que unió a la bancada de gobierno de Claudia con el Centro Democrático? Adelanto una respues… https://t.co/xRGKVRHEN9</t>
  </si>
  <si>
    <t>Las APPs, alianzas público privadas, pueden ser beneficiosas en algunos aspectos, menos en los derechos fundamental… https://t.co/80sBvVhl5d</t>
  </si>
  <si>
    <t>RT @petrogustavo: ¿Nos podrían explicar que unió a la bancada de gobierno de Claudia con el Centro Democrático? Adelanto una respuesta: E…</t>
  </si>
  <si>
    <t>RT @petrogustavo: Colombia Humana UP vota negativo al plan de desarrollo de Claudia. Aunque su retórica sea progresista, sus metas concret…</t>
  </si>
  <si>
    <t>El incremento sustancial de la desigualdad social en Colombia que predice la Universidad de los Andes es político.… https://t.co/cQOlGE9Xoy</t>
  </si>
  <si>
    <t>La desigualdad social se construye políticamente. En los primeros tres meses de este año Luis Carlos Sarmiento, du… https://t.co/X7k6UtEpxX</t>
  </si>
  <si>
    <t>Mil barras, mil millones, una recolecta del ñeñe para Duque. ¡Dios quiera! dice callita. Como si Dios le avalara l… https://t.co/nJ4ohpDolA</t>
  </si>
  <si>
    <t>RT @petrogustavo: El incremento sustancial de la desigualdad social en Colombia que predice la Universidad de los Andes es político. Usaro…</t>
  </si>
  <si>
    <t>La cuarentena se rompió en contra de la vida de las personas porque no fueron capaces de hacer una política social… https://t.co/Xf4LkTg9T4</t>
  </si>
  <si>
    <t>RT @ChalecosAmarill: 📽🆘️🆘️ #Brasil: Más de 360.000 casos y al menos 22.602 muertes 🛑GENOCIDA Bolsonaro paseando hoy en Brasilia sin máscar…</t>
  </si>
  <si>
    <t>RT @susanamuhamad: Nuestra postura en el debate del #PlanDeDesarrollo en el @ConcejoDeBogota con @heidy_up y @anateresabernal es en defensa…</t>
  </si>
  <si>
    <t>RT @MaPaulaFonseca: No señor @AurelioSuarez ustedes mismos se destruyen al perder su coherencia. Es la consecuencia de acompañar un plan de…</t>
  </si>
  <si>
    <t>RT @DanielRMed: Está quedando claro que Peñalosa siempre tuvo el apoyo de la gran mayoría de la clase política colombiana desde todos los e…</t>
  </si>
  <si>
    <t>El peñalosismo no es simplemente Peñalosa, es el proyecto en donde se subordina la ciudad a los intereses de los gr… https://t.co/SU2eCJMtqE</t>
  </si>
  <si>
    <t>No hay una insginaria lucha entre lo público y lo privado, aunque siempre seré partidario de la iniciativa privada… https://t.co/R4kppJisGE</t>
  </si>
  <si>
    <t>Solo las sociedades mafiosas desarrollan un cultura en donde el denunciante es el malo, el culpable de todo. https://t.co/cEgRolgxEg</t>
  </si>
  <si>
    <t>RT @JohaFuentes: “Yo quiero una sin pelo, que no se mueva pa’ yo enseñarla y tenerla encerrada porque me la quitan”. Esto dice Fabio Zuleta…</t>
  </si>
  <si>
    <t>Los hijos de la élite vallenata se criaron con el supuesto derecho de ir al mundo indígena para saciar sus ansias s… https://t.co/7IDKbaZnrn</t>
  </si>
  <si>
    <t>El desarrollo del paramilitarismo en el Cesar, del que Jorge 40 fue su máximo exponente, es el desarrollo de la usu… https://t.co/7HziFmKxQm</t>
  </si>
  <si>
    <t>Cuando Claudia decidió romper el acuerdo hecho con nosotros y que versaba sobre el metro subterráneo y el increment… https://t.co/Ozsv8XBrz0</t>
  </si>
  <si>
    <t>Colombia Humana no apoya un plan que no versa sobre ningún aspecto de su programa: El plan de Claudia: 1. No luch… https://t.co/Aa2pvo8MdE</t>
  </si>
  <si>
    <t>Si el problema fuese por el número de votos, aceptamos que somos minoría hoy por el voto popular en el concejo, pue… https://t.co/VhMgQIlG4r</t>
  </si>
  <si>
    <t>RT @marthaperaltae: Este es el video en respuesta a Fabio Zuleta por sus declaraciones que promueven la explotación sexual de las mujeres i…</t>
  </si>
  <si>
    <t>No solo este comentario sino el de sus seguidores muestran una cosa. Hace mucho las extremas derechas dejaron de te… https://t.co/7Q1XYpPrFL</t>
  </si>
  <si>
    <t>jajajajajajaja https://t.co/GBJ5ASCYtW</t>
  </si>
  <si>
    <t>Tu cuentas con nuestro apoyo y amistad Carolina @SaninPazC https://t.co/0d40ztkeUy</t>
  </si>
  <si>
    <t>RT @susanamuhamad: Las mujeres de la bancada Colombia Humana UP tenemos toda la autonomía para tomar decisiones políticas, reducir nuestra…</t>
  </si>
  <si>
    <t>RT @xcosmonautaX: El Lunes 25 de Mayo a las 4:15pm llegaron soldados del Batallón Ayacucho a intentar borrar el mural de ¿Quién dio la orde…</t>
  </si>
  <si>
    <t>RT @adelinacovo: Buenos dias❗️ Me da mucha pena con mi amigo Teheran, pero el problema de Bazurto no es cuestión de indisciplina sino de fa…</t>
  </si>
  <si>
    <t>¿No le parcerá lógico a @rcnradio que obviamente alias "el ñeñe" mencione mi campaña, dado que con recursos del nar… https://t.co/fgCZSGcOxo</t>
  </si>
  <si>
    <t>Mucha bellaquería la del Fiscal Barbosa que, buscando defender a su amigo intimo Duque en el proceso que evidencia… https://t.co/dMQnuYQAN1</t>
  </si>
  <si>
    <t>Me apoyaron miles de mineros trabajadores del carbón porque creyeron en mi propuesta de construir una economía desc… https://t.co/StNvTWf9bm</t>
  </si>
  <si>
    <t>Para quienes dudan de que dice alias el Ñeñe" de nuestra campaña, aquí les dejo el audio. Gracias a los trabajador… https://t.co/OGjbBp3ZAB</t>
  </si>
  <si>
    <t>RT @petrogustavo: Mucha bellaquería la del Fiscal Barbosa que, buscando defender a su amigo intimo Duque en el proceso que evidencia dinero…</t>
  </si>
  <si>
    <t>RT @DCoronell: No voté por @petrogustavo pero pretender derivar responsabilidades suyas de esta conversación muestra una evidente parcialid…</t>
  </si>
  <si>
    <t>RT @MoisesAlvaro_: Lo que le pica al Fiscal, a Duque, al Ñeñe y a toda esa rosca mafiosa es que no pueden comprar estas conciencias. Gente…</t>
  </si>
  <si>
    <t>RT @HOLLMANMORRIS: Señor presidente @IvanDuque díganle al país quien está detrás del espionaje criminal contra @petrogustavo quien está det…</t>
  </si>
  <si>
    <t>RT @DanielRMed: Se tienen que diferenciar a los mineros que estuvieron con Petro de las multinacionales mineras que estuvieron con Duque. G…</t>
  </si>
  <si>
    <t>No solamente alias "el ñeñe" quería derrotarnos comprando votos para Duque con dinero del narcotráfico, sino que ad… https://t.co/2gWI0MT67B</t>
  </si>
  <si>
    <t>RT @jcuestanovoa: Tenían razón el Ñeñe y el fiscal Barbosa, a Petro si lo apoyan los poderosos mineros de la Guajira https://t.co/8FkNbdfu1A</t>
  </si>
  <si>
    <t>RT @Tercer_Canal: "Al Fiscal Barbosa le quedó muy grande comprobar este montaje comprobado, sobre una grabación que evidentemente habla de…</t>
  </si>
  <si>
    <t>El concejal Daniel Duque hace un buen análisis crítico del plan de desarrollo de Medellin. Todo plan que no priori… https://t.co/oDbfhnRsPE</t>
  </si>
  <si>
    <t>RT @orlancuello: @FiscaliaCol no soy un ñeñe, soy un minero que de manera conciente y voluntad apoye a @petrogustavo por que representa el…</t>
  </si>
  <si>
    <t>Después del fracaso de "ser pilo paga" que restringió la educación superior pública por subsidiar universidades pri… https://t.co/0utObugVQk</t>
  </si>
  <si>
    <t>RT @jcuestanovoa: La ocupación de UCIS en Bogotá está sobre el 42% en un momento donde aumenta el Covid19. Y pensar que el hospital San Jua…</t>
  </si>
  <si>
    <t>RT @AndresCamiloHR: El fiscal en @Hora20, trata de evadir el tema cuando @DianaCalderonF le vuelve a preguntar sobre el caso de los audios…</t>
  </si>
  <si>
    <t>Bogotá no compró ningún respirador y ya todo el suroccidente esta colapsado por el virus. La mayor parte de las UC… https://t.co/yaXQZkVYiG</t>
  </si>
  <si>
    <t>RT @mmiguelangelj: En vez de retomar la conducción pública del sistema de salud y de quitarle a las EPS el control financiero y administrat…</t>
  </si>
  <si>
    <t>RT @anateresabernal: Ha sido aprobado el Artículo 107 del Plan de Desarrollo. Sentamos nuestro rechazo a este artículo que da luz a la Agen…</t>
  </si>
  <si>
    <t>RT @petrogustavo: Bogotá no compró ningún respirador y ya todo el suroccidente esta colapsado por el virus. La mayor parte de las UCIs son…</t>
  </si>
  <si>
    <t>La red suroccidental esta ya colapsada por el virus y aun así la van a privatizar. El contrato firmado para el hos… https://t.co/Z0HO5YiniU</t>
  </si>
  <si>
    <t>Propuestas para hacer crecer los puestos de trabajo de Colombia después de la pandemia. la nueva economía descarbon… https://t.co/4PkCW456yP</t>
  </si>
  <si>
    <t>RT @petrogustavo: Propuestas para hacer crecer los puestos de trabajo de Colombia después de la pandemia. la nueva economía descarbonizada…</t>
  </si>
  <si>
    <t>Si esto fuera cierto, Bogotá debería tener su operador público de transporte en el eje estructurante de movilidad y… https://t.co/DrM6meN17i</t>
  </si>
  <si>
    <t>En su momento dije que el plan de Claudia sobre el tratamiento de la pandemia se sustentaba en poder tener 4.000 re… https://t.co/eIXNJOMj6M</t>
  </si>
  <si>
    <t>Es loable el intento del Concejo de Bogotá por salvar la séptima, pero ese esfuerzo llega a un punto ciego. Lo úni… https://t.co/OVFHAIG6Tm</t>
  </si>
  <si>
    <t>El plan de desarrollo de Claudia invierte la mayor parte de los recursos en más transmilenio, el de 68 que afecta l… https://t.co/w43e6RoGwp</t>
  </si>
  <si>
    <t>RT @MoisesAlvaro_: “Santos se hizo elegir con los Ñoños, y Duque se hizo elegir con los Ñeñes” @petrogustavo. https://t.co/aDeDIQ0qkb</t>
  </si>
  <si>
    <t>RT @HOLLMANMORRIS: "Por 2 o 3 puesticos trafican con las ideas del progresismo" Ahora @petrogustavo en el @Tercer_Canal Vealo en este enl…</t>
  </si>
  <si>
    <t>RT @MaPaulaFonseca: Me llega esta denuncia: a estos enfermeros de Corferias la @SubRedCentroOri los obligó a firmar terminación anticipada…</t>
  </si>
  <si>
    <t>RT @charry_manager: Los intereses de los privados son los que matan a los niños; en la guajira la minería y en @Bogota el @TransMilenio...…</t>
  </si>
  <si>
    <t>A mi no me use para desencadenar la impunidad sobre Duque. La orden que le da la constitución es que investigue el… https://t.co/obC021LHZK</t>
  </si>
  <si>
    <t>RT @CarolinaCorcho: Es un retroceso enorme en Bogota que se conciba en el PDD reducir la atención primaria en salud a los "afiliados del ré…</t>
  </si>
  <si>
    <t>RT @charry_manager: Los mineros dándole el respaldo a @petrogustavo... Al narcoparamilitar le ofendió nuestra victoria popular https://t.c…</t>
  </si>
  <si>
    <t>Bogotá dejó pasar el tiempo para comprar respiradores porque pensó en la alcaldía que el covid19 era una gripa y de… https://t.co/LMtzX8tRGo</t>
  </si>
  <si>
    <t>El fiscal no tiene que mandarme mensajes de tranquilidad, no los necesito. Debe darle tranquilidad al país y para… https://t.co/UNIqvwrDYB</t>
  </si>
  <si>
    <t>La ley 100 al mercantilizar la salud, colocó la infraestructura de salud y su personal en las áreas de alta capacid… https://t.co/c74meei335</t>
  </si>
  <si>
    <t>RT @petrogustavo: El fiscal no tiene que mandarme mensajes de tranquilidad, no los necesito. Debe darle tranquilidad al país y para ello…</t>
  </si>
  <si>
    <t>RT @petrogustavo: A mi no me use para desencadenar la impunidad sobre Duque. La orden que le da la constitución es que investigue el crime…</t>
  </si>
  <si>
    <t>RT @sintracarbon: En @sintracarbon apoyamos a @petrogustavo porque nuestros afiliados creyeron en su programa, porque podemos elegir y ser…</t>
  </si>
  <si>
    <t>Solidaridad para un militante de Colombia Humana en Cartagena. Necesita donación de sangre y se encuentra en Unidad… https://t.co/IK0eh08Qvo</t>
  </si>
  <si>
    <t>RT @Tercer_Canal: "El Ñeñe no es solo un narcotraficante, no es solo un lavador de dólares. El Ñeñe es además un delincuente de fraude elec…</t>
  </si>
  <si>
    <t>RT @Tercer_Canal: "Las encuaestas señalaban un enorme triunfo de la Colombia Humana, que hubiera dado el triunfo en toda Colombia. En el ca…</t>
  </si>
  <si>
    <t>Hay que liberar al menos el 50% de los presos en Colombia para proteger su vida. todos los campesinos que han captu… https://t.co/3ZNWNcMez1</t>
  </si>
  <si>
    <t>RT @HOLLMANMORRIS: Hoy a las 8 p.m. repetiremos la entrevista que le realicé a @petrogustavo donde le responde al Fiscal y habla del PDD de…</t>
  </si>
  <si>
    <t>Cómo pueden llegar tropas extranjeras a Colombia sin autorización de los EEUU como ordena la Constitución nacional? https://t.co/AfYif4TEho</t>
  </si>
  <si>
    <t>RT @petrogustavo: Hay que liberar al menos el 50% de los presos en Colombia para proteger su vida. todos los campesinos que han capturado p…</t>
  </si>
  <si>
    <t>Trump gobierna una parte de nuestro país, y cada banda mafiosa en particular otras partes, el Estado colombiano est… https://t.co/x7pmiP5wZg</t>
  </si>
  <si>
    <t>Cancelaron el contratos laborales en corferias porque demostraron un megaderroche incentivado por @SectorSalud y a… https://t.co/bPXzFjP94F</t>
  </si>
  <si>
    <t>RT @Tercer_Canal: “Yo le he preguntado al ministro @Fruizgomez por qué el 80% de los que mueren por Covid-19 no pasaron por una UCI y no ha…</t>
  </si>
  <si>
    <t>RT @petrogustavo: Cancelaron el contratos laborales en corferias porque demostraron un megaderroche incentivado por @SectorSalud y aceptad…</t>
  </si>
  <si>
    <t>RT @petrogustavo: Trump gobierna una parte de nuestro país, y cada banda mafiosa en particular otras partes, el Estado colombiano está frag…</t>
  </si>
  <si>
    <t>Acaba de expedirse resolución de acusacion contra el ciudadano Roberto Carlos Diaz Bedoya, quien en la campaña pr… https://t.co/jwg1zopy4L</t>
  </si>
  <si>
    <t>Me parece bien que @IvanDuque haya recogido la propuesta mundial que hemos venido impulsando desde América Latina p… https://t.co/2CqXHrYIMA</t>
  </si>
  <si>
    <t>35 años y un genocidio político que asesinó sistemáticamente a miles de sus militantes. Un aliado fundamental en l… https://t.co/L9qbIaZDMJ</t>
  </si>
  <si>
    <t>El general Navarro admite que el ejercito no es capaz con el narcotráfico y necesita de un ejército extranjero. E… https://t.co/JGdzydiHf2</t>
  </si>
  <si>
    <t>El senador José Obdulio me acusa de defender el modelo comunista de Stalin, porque dije que el liberalismo es difer… https://t.co/Oe51Ciqhgg</t>
  </si>
  <si>
    <t>No se puede ocultar lo evidente: se prepara una invasión a Venezuela, con lo peor: la ayuda del narcotráfico. De h… https://t.co/M3zQptw2Vc</t>
  </si>
  <si>
    <t>Un pequeño debate con Claudia I parte. https://t.co/SGEwX78a4u</t>
  </si>
  <si>
    <t>RT @ChalecosAmarill: 🎥🆘️ #EEUUdictadura🔥🇺🇸 🔻El periodismo en #EEUU está de luto, exigimos q el periodista latino de la CNN Omar Jiménez se…</t>
  </si>
  <si>
    <t>El modelo de salud que implementó Colombia es calcado del de Chile. Hoy Chile, al levantar su cuarentena, es el pa… https://t.co/1uzhgiEuMp</t>
  </si>
  <si>
    <t>RT @piedrahitangela: Están rayando las paredes de Minneapolis y no están marchando precisamente por el andén</t>
  </si>
  <si>
    <t>RT @redcomunitariat: A las 3 de la mañana falleció Alejandra, trabajadora sexual trans del barrio Santa Fe después de que una ambulancia se…</t>
  </si>
  <si>
    <t>La UNP reeuce la.seguridad a @FranciaMarquezM quien ya sufrió un atentado en el Cauca. https://t.co/2ZQT91g47S</t>
  </si>
  <si>
    <t>He citado al ministro de defensa para que debata en la comisión primera del senado, la decisión inconstitucional de… https://t.co/So2LF6qjnS</t>
  </si>
  <si>
    <t>Se perdieron cinco millones y medio de empleos, pero Duque prefiere seguir enviando el dinero a los bancos. Hoy má… https://t.co/zH5xTbATvt</t>
  </si>
  <si>
    <t>Mario Hernández descubre aquí algo que ya había discutido acerca de la política económica. Producir es importante… https://t.co/sFHwMfnAuU</t>
  </si>
  <si>
    <t>Este cuadro, presentado por Mauricio Cardenas, muestra la relación entre reactivación económica y lucha contra el c… https://t.co/xpa2N8o0oE</t>
  </si>
  <si>
    <t>RT @RegeneracionDem: https://t.co/V9JfvaRKW0 Las 141 personalidades representantes de 55 organizaciones de 21 países de América y Europa qu…</t>
  </si>
  <si>
    <t>La reactivación de la economía y la lucha contra el cambio climático. las tareas de una Colombia Humana, después de… https://t.co/Zp33BMDE2y</t>
  </si>
  <si>
    <t>RT @JulianFMartinez: La semana pasada, Sarmiento Ángulo se compró una entidad financiera en Centroamerica por más de 400 millones de dólare…</t>
  </si>
  <si>
    <t>RT @petrogustavo: La reactivación de la economía y la lucha contra el cambio climático. las tareas de una Colombia Humana, después de la pa…</t>
  </si>
  <si>
    <t>Duque repite los pasos que iniciaron la guerra de 60 años en nuestro país. Soldados atacando campesinos desarmados… https://t.co/WH0oq3F53g</t>
  </si>
  <si>
    <t>Qué le pasa al distrito que no recoge el cadáver de Alejandra en el barrio Santa Fé de Bogotá? https://t.co/WAsW29hpOL</t>
  </si>
  <si>
    <t>RT @petrogustavo: Duque repite los pasos que iniciaron la guerra de 60 años en nuestro país. Soldados atacando campesinos desarmados. La g…</t>
  </si>
  <si>
    <t>Las inversiones públicas que más producen puestos de trabajo y mitigan cambio climático son: 1. Conexión de fibra… https://t.co/R9PR5dig60</t>
  </si>
  <si>
    <t>Este cuadro es el resultado de una encuesta sobre centenares de expertos en el mundo en economía y cambio climático… https://t.co/MYf7Gl7I66</t>
  </si>
  <si>
    <t>Al invertir 37 de los 109 billones en los próximos cuatro años en transporte tradicional: transmilenio y metro débi… https://t.co/4jYz19h3HZ</t>
  </si>
  <si>
    <t>En los proximos.tres años el pais debe centrarse y Bogotá también, en una fortísima política social para superar l… https://t.co/Jl8GGreKOZ</t>
  </si>
  <si>
    <t>Han sido rechazadas nuestras propuestas de una renta mínima vital, de gratuidad del transporte para los más pobres,… https://t.co/I3s7sWGaTP</t>
  </si>
  <si>
    <t>En lugar de redirigir los recursos públicos de Bogotá, mientras la Nación los dedica a los banqueros, hacia una fue… https://t.co/NWF7J8mAPW</t>
  </si>
  <si>
    <t>Esto pasa en EEUU. De alguna manera se ha abierto un abismo enorme entre medios de comunicacion, hoy propiedad de… https://t.co/vmsPUek1hS</t>
  </si>
  <si>
    <t>Otro joven asesinado en Detroit cuando protestaba. La pandemia hace aflorar las fracturas étnicas y el racismo en… https://t.co/AagV8tsl0z</t>
  </si>
  <si>
    <t>Estos es en Dallas, Texas. Trump ha llevado a la sociedad estadounidense a una de sus mayores fracturas históricas… https://t.co/pkdMDPwKio</t>
  </si>
  <si>
    <t>Según encuesta a 200 expertos mundiales en economía y cambio climático, la peor política que hoy se podría hacer es… https://t.co/5Dc9T0l4e4</t>
  </si>
  <si>
    <t>RT @GustavoBolivar: 8 líderes sociales asesinados esta semana. Es un genocidio silencioso q el mundo debe conocer 1-Olga Lucía Hernández e…</t>
  </si>
  <si>
    <t>RT @GustavoBolivar: 2-Asesinado Ariolfo Sánchez Ruiz, miembro de COCCAM Antioquia y beneficiario del Programa d sustitución de cultivos ilí…</t>
  </si>
  <si>
    <t>RT @GustavoBolivar: 3- Asesinado Cristian Conde, comunero indígena de 23 años, integrante del Cabildo de López Adentro- Caloto, Cauca. Li…</t>
  </si>
  <si>
    <t>La cuarentena no destruye los puestos de trabajo. Los destruye la incapacidad de los empresarios de mantener empleo… https://t.co/9o9RblVf9p</t>
  </si>
  <si>
    <t>Mantener la vigencia de la ley 100 en medio de la pandemia lleva a la quiebra al hospital que no puede facturar ser… https://t.co/fHgJLL2Sc0</t>
  </si>
  <si>
    <t>Al arribismo social no le gusta que yo lo diga. Ahora lo dice este artículo del "Ángeles Times" El virus llego en… https://t.co/9ZA3rPDcsj</t>
  </si>
  <si>
    <t>La manifestación de anoche en Washington buscó entrar a la Casa Blanca. https://t.co/4CO2n2U9JG</t>
  </si>
  <si>
    <t>Asesinados dos médicos ancestrales indigenas en el Cauca. https://t.co/vvjwAJ1fMZ</t>
  </si>
  <si>
    <t>RT @petrogustavo: Al arribismo social no le gusta que yo lo diga. Ahora lo dice este artículo del "Ángeles Times" El virus llego en avión…</t>
  </si>
  <si>
    <t>Ni la política social del distrito descrita en el plan de desarrollo, hoy en discusión, sirve para mitigar la pobre… https://t.co/d7P2vWGRZ1</t>
  </si>
  <si>
    <t>RT @CesarPachonAgro: ¡Botan comida! El país pasa hambre y nuestros campesinos no les queda otra posibilidad que tirar comida. ¡Ojo! No es p…</t>
  </si>
  <si>
    <t>Directivas de la universidad pública del Magdalena tratan de impedir que se logre la gratuidad a pesar del aporte d… https://t.co/TEWyB7PITp</t>
  </si>
  <si>
    <t>El plan de desarrollo de Bogotá, en sus metas, ha terminado siendo un pacto de los matices de derecha de la socieda… https://t.co/9WFvlKxOY6</t>
  </si>
  <si>
    <t>Solo Colombia Humana defendió la necesidad de un plan que afronte los retos que tendrá Bogotá en los próximos años.… https://t.co/lVTH2pDHQG</t>
  </si>
  <si>
    <t>Periodista que aún no sabe que en los informes se cuentan UCIs ocupadas por quienes ya se les certifico a través de… https://t.co/CxlC0Kh6KZ</t>
  </si>
  <si>
    <t>RT @petrogustavo: Solo Colombia Humana defendió la necesidad de un plan que afronte los retos que tendrá Bogotá en los próximos años. En l…</t>
  </si>
  <si>
    <t>RT @CarlosCarrilloA: Es imperativo que se realice el Congreso Nacional del Partido, la dirigencia del Polo hoy no representa a sus bases y…</t>
  </si>
  <si>
    <t>Porque no queremos una salud y educación privatizadas, porque no queremos otro "ser pilo paga" subsidiando la unive… https://t.co/88kHWQ7gVi</t>
  </si>
  <si>
    <t>El moviniento Colombia Humana tiene un programa para Bogotá basado en la superación de la segregación social, la lu… https://t.co/rpMKRU92O0</t>
  </si>
  <si>
    <t>Una cosa es supeditar un metro debil a troncales de transmilenio a diesel, otra cosa es supeditar las troncales de… https://t.co/hTGs7WWL7k</t>
  </si>
  <si>
    <t>Amigo, si toda la juventud puede acceder a la educación superior, y para ello debe ser gratuita para ella, la socie… https://t.co/hwpuZMvE4I</t>
  </si>
  <si>
    <t>Camilo hoy Colombia Humana es el único movimiento que con coherencia propone mitigar y adaptarnos al cambio climáti… https://t.co/dmeZ9wArfG</t>
  </si>
  <si>
    <t>RT @petrogustavo: Porque no queremos una salud y educación privatizadas, porque no queremos otro "ser pilo paga" subsidiando la universidad…</t>
  </si>
  <si>
    <t>El debate de una cuarentena sin grietas tiene un sentido: refleja la incapacidad del gobierno para agenciar una pol… https://t.co/9iq4oAHaly</t>
  </si>
  <si>
    <t>RT @anateresabernal: A la Ponencia Positiva Unificada de hoy al Plan de Desarrollo Distrital, hubo 41 votos por el sí, contando entre ellos…</t>
  </si>
  <si>
    <t>Como se observa en este cuadro la mayoría de los fallecidos por el virus no accedieron a una UCI. El sistema de sa… https://t.co/OxYZRD9xX2</t>
  </si>
  <si>
    <t>RT @andresmania: ¿Cuántos cohetes 🚀 ha enviado al espacio la izquierda, con su ciencia, tecnología y conocimiento?</t>
  </si>
  <si>
    <t>RT @descifraguerra: 🇺🇸 El Gobernador de Utah ordena el despliegue de la Guardia Nacional para controlar los disturbios de Salt Lake City. h…</t>
  </si>
  <si>
    <t>Así está el centro de Filadelfia en EEUU https://t.co/zGaqH7KcML</t>
  </si>
  <si>
    <t>En Miami se ven escenas inimaginables https://t.co/pVpcAFefWv</t>
  </si>
  <si>
    <t>No solo pasa en Mineapolis, esto pasa en Buenaventura. https://t.co/bFulG26zZc</t>
  </si>
  <si>
    <t>RT @susanamuhamad: Con el Art. 44 del #PlanDeDesarrollo se privatizan por medio de las APP obras de infraestructura importantes para la sal…</t>
  </si>
  <si>
    <t>Esto pasa en Salt Lake City, EEUU. https://t.co/kFobDb4aOh</t>
  </si>
  <si>
    <t>RT @jcuestanovoa: La gran ausente en el actual plan de desarrollo de Bogotá fue la ETB. Omisión inexplicable si se tiene en cuenta que para…</t>
  </si>
  <si>
    <t>Esto pasa en Seatle, EEUU https://t.co/WIKTffLcp7</t>
  </si>
  <si>
    <t>La policías de Nashville ha quedado encerrada por los manifestantes que les piden que se unan a la protesta https://t.co/kYwVlnTEf8</t>
  </si>
  <si>
    <t>Las manifestaciones en Colorado, EEUU https://t.co/z20g30BLMz</t>
  </si>
  <si>
    <t>RT @heidy_up: Pueden estar tranquilos, ya @PCambioRadical voto positivo el sentido de la ponencia del Plan de Desarrollo de @ClaudiaLopez…</t>
  </si>
  <si>
    <t>El.medico Haendel Rentería esta gravemente enfermo de covid19 en el hospital san francisco de Asis de Chocó, necesi… https://t.co/zI89Rpt2Vj</t>
  </si>
  <si>
    <t>RT @petrogustavo: Las inversiones públicas que más producen puestos de trabajo y mitigan cambio climático son: 1. Conexión de fibra óptica…</t>
  </si>
  <si>
    <t>La historia de un helicoptero y la muerte de Pedro Juan Moreno. Se parece a la historia escondida del avión de Aer… https://t.co/75m0aZn55f</t>
  </si>
  <si>
    <t>RT @anateresabernal: Con 39 votos por el sí y 6 votos por el no ha sido aprobado el Art. 9 del #PlanDeDesarrollo. Mi voto es un No rotundo,…</t>
  </si>
  <si>
    <t>RT @heidy_up: ¡Votamos NO al sentido de la Ponencia del Plan! la tranquilidad de las bancadas que gobernaron con @EnriquePenalosa votando h…</t>
  </si>
  <si>
    <t>RT @heidy_up: Votamos NO al Art. 19, Proyectos de infraestructura de movilidad priorizados para ejecutar durante la vigencia del Plan de De…</t>
  </si>
  <si>
    <t>RT @heidy_up: 1. En torno a los artículos que se acaban de votar en bloque, resaltar que en torno al Art. 24, nosotras presentamos una prop…</t>
  </si>
  <si>
    <t>¿Qué es la casta? ¿La casta de los guerreristas? ¿La casta de los depredadores? ¿De vivir subsidiados por el Estado… https://t.co/U5YqVpbaCh</t>
  </si>
  <si>
    <t>RT @CarlosCarrilloA: Mi obligación en el Concejo es representar a los 32 mil bogotanos que me honraron con su voto, para eso es indispensab…</t>
  </si>
  <si>
    <t>RT @CarolinaCorcho: @CarlosCarrilloA @PoloDemocratico Admiro su coherencia y dignidad Concejal. El plan tiene cosas buenas, pero es muy con…</t>
  </si>
  <si>
    <t>RT @CarlosCarrilloA: Voto negativo el artículo 9 del Plan Distrital de Desarrollo, la continuidad en las obras de movilidad de @EnriquePena…</t>
  </si>
  <si>
    <t>La protesta en Chicago muestra una manifestación con distanciamiento pero multitudinaria. La movilización social s… https://t.co/sbokG4sd39</t>
  </si>
  <si>
    <t>Se le propuso al gobierno de Dique la compra estatal de las cosechas y un abastecimiento regulado por el gobierno a… https://t.co/Es0oLTklRK</t>
  </si>
  <si>
    <t>RT @ismene2: Ve, el chico no tenía la altura necesaria para que los electrodos hicieran contacto con su cabeza y tuvieron que apilar algun…</t>
  </si>
  <si>
    <t>RT @frey0826: @HGomezBuendia @Juanaafanador1 Costos del Metro no se pueden saber porque carece de diseños, y muy lejos la fase de una ingen…</t>
  </si>
  <si>
    <t>RT @HGomezBuendia: #MetroDeBogota 🚝 No se conocen los costos reales del metro, no se sabe cuánto valdrá la gran apuesta de movilidad del Pl…</t>
  </si>
  <si>
    <t>Aprobar la sede de la Orquesta filarmónica de Bogotá como una APP, por iniciativa privada, significará que los conc… https://t.co/O3AZvGDjQr</t>
  </si>
  <si>
    <t>RT @RobertDeNiroUS: The system must be destroyed! #mineapolis https://t.co/EobtacpWQ1</t>
  </si>
  <si>
    <t>Bogotá es una sociedad que ya cae dramáticamente en la pobreza, su poderoso estrato tres, que una vez apoyo a la iz… https://t.co/AuF6LZLXZ1</t>
  </si>
  <si>
    <t>La invasión de EEUU a Sicilia en la segunda guerra mundial se hizo en alianza con la mafia siciliana. ¿Se usará el… https://t.co/sTWfYERb9n</t>
  </si>
  <si>
    <t>El papá del piloto del helicóptero. Sobre la muerte de Pedro Juan Moreno y el piloto Taborda Botero. https://t.co/YXBFXeS58V</t>
  </si>
  <si>
    <t>RT @petrogustavo: La historia de un helicoptero y la muerte de Pedro Juan Moreno. Se parece a la historia escondida del avión de Aeroselva…</t>
  </si>
  <si>
    <t>RT @LosDanielesOp: El senador @petrogustavo aceptó nuestra invitación. Lo tendremos de invitado para la lectura de las columnas a las 11.00…</t>
  </si>
  <si>
    <t>RT @susanamuhamad: Que en el #PlanDeDesarrollo se plantee que el gota a gota se acaba con educación financiera demuestra una desconexión to…</t>
  </si>
  <si>
    <t>RT @smilelalis: Estas dos imágenes resumen todo, ya nadie quiere escuchar a @AlvaroUribeVel, en cambio @petrogustavo.... 😬✊🏻 https://t.co/U…</t>
  </si>
  <si>
    <t>RT @anateresabernal: Mi voto es No al Art. 48 y 49 sobre la financiación del plan y plan plurianual de inversiones, por que la @Contraloria…</t>
  </si>
  <si>
    <t>RT @GustavoBolivar: Un país que se va a la quiebra en 2 meses de para refleja la fragilidad de un sistema económico q trabaja para ricos, b…</t>
  </si>
  <si>
    <t>RT @susanamuhamad: Votamos NO a la continuidad de los proyectos de Peñalosa en el #PlanDeDesarrollo, no a Lagos de Torca y no a Transmileni…</t>
  </si>
  <si>
    <t>Aprobar la sede de la Orquesta filarmónica de Bogotá como una APP, por iniciativa privada, significará que los conc… https://t.co/OjYkBeZaPW</t>
  </si>
  <si>
    <t>RT @anateresabernal: Nos declaramos en independencia y la ejercemos, votamos no a lo que afecte a la gente y si a lo que reafirme y benefic…</t>
  </si>
  <si>
    <t>RT @RobertDeNiroUS: This is America. https://t.co/EL1c52e0ZL</t>
  </si>
  <si>
    <t>RT @DaniSie: La Policía de Miami se pone de rodillas para pedir perdón a los manifestantes y admiten que debe haber un cambio estructural.…</t>
  </si>
  <si>
    <t>RT @GustavoBolivar: Los Danieles y Petro reviven la esperanza para 2022. Hablan de apoyar al candidato que resulte de una consulta amplia.…</t>
  </si>
  <si>
    <t>RT @ricardobonillag: Crece reporte de muertes, hoy informan 49, pero... varias de ellas, cuántas?, no se produjeron hoy, tienen días. Hasta…</t>
  </si>
  <si>
    <t>RT @juliandezubiria: A pesar de la pandemia, el mundo se levanta contra el racismo y las violaciones a los DDHH. Gigantescas movilizaciones…</t>
  </si>
  <si>
    <t>RT @jenzuar: #Anonymous Eliminó el website de la 👮 de Miniapolis Hackeó la radio de los 👮en Chicago Filtró un ‍📄 q demuestra q Trump estuv…</t>
  </si>
  <si>
    <t>RT @heidy_up: 1. Votamos No al Art. 133, Agencia Distrital para la Educación Superior, la Ciencia y la Tecnología. No es necesaria esta nue…</t>
  </si>
  <si>
    <t>Es incomprensible como si hasta el gobierno uribista suspendió una política como "ser pilo paga" que era un verdade… https://t.co/yQll7o7UDc</t>
  </si>
  <si>
    <t>RT @datoatipico: ¿Se imaginan si en la lista negra de Epstein por tráfico de menores revelada por #Anonymus saliera @petrogustavo? ¡El revu…</t>
  </si>
  <si>
    <t>RT @RobertDeNiroUS: We will win! #GeorgeFloyd https://t.co/vZYb5p7cjS</t>
  </si>
  <si>
    <t>A la séptima solo la salva el metro subterráneo para que no aumente la demanda por transporte en su corredor y el t… https://t.co/4yvzLOBGNT</t>
  </si>
  <si>
    <t>RT @JoseMar72645899: Pido a la @FiscaliaCol que se investigue la muerte de la teniente Pérez ocurrida hoy en sincelejo @PoliciaColombia e…</t>
  </si>
  <si>
    <t>RT @ChalecosAmarill: 🎥🆘️🆘️🆘️✊🏿✊🏼✊🏾 #USA #EEUU 🇺🇸 🛑Over 1,500+ arrested, hundreds injured and 8 deaths in 4 days of protesting. ⚠️Isn't th…</t>
  </si>
  <si>
    <t>RT @anateresabernal: Por iniciativa de la Concejala @susanamuhamad la Bancada Colombia Humana-UP logró incorporar en el Plan de Desarrollo…</t>
  </si>
  <si>
    <t>RT @nicolasAmon: $17.000.000.000.000 está es la cantidad de dinero que gastará Claudia López en hacer Transmienio los próximos años. La m…</t>
  </si>
  <si>
    <t>RT @DavidBegnaud: BREAKING: Tanker truck plows into crowd of demonstrators on Minneapolis highway. Protesters scrambled as truck battled to…</t>
  </si>
  <si>
    <t>RT @ChalecosAmarill: 🎥🆘️🆘️🔥🔥🔥 #BREAKING #EEUU 🇺🇸 #USA #protests2020 🛑Las REVOLUCIONES son los festivales de los oprimidos. ✊🏾Revolutions…</t>
  </si>
  <si>
    <t>RT @redfishstream: [LIVE].Thousands have taken to the streets of New York City for another day of protests against racism and police violen…</t>
  </si>
  <si>
    <t>RT @petrogustavo: A la séptima solo la salva el metro subterráneo para que no aumente la demanda por transporte en su corredor y el tranvía…</t>
  </si>
  <si>
    <t>Lleva ya casi 700.000 reproducciones, los invito a ver la entrevista con los danieles en facebook https://t.co/RzRDBjqlJv</t>
  </si>
  <si>
    <t>Cuarentena en Kennedy sin una fuerte política social que permita a la gente vivir sin el trabajo solo llevará a la… https://t.co/mlL5QS01Bf</t>
  </si>
  <si>
    <t>Ha sido aprobado un plan de desarrollo en Bogotá que con ropaje de progresismo y alternatividad, entrega de cada 10… https://t.co/T3aqEqJwfd</t>
  </si>
  <si>
    <t>RT @AlteraRevista: #Anonymous momento exacto donde se apagaron las luces de la Casa Blanca, esto no había ocurrido desde 1889. https://t.co…</t>
  </si>
  <si>
    <t>Los pueblos del mundo están despertando. En Colombia intentan domesticarnos. https://t.co/3vodDE9sLr</t>
  </si>
  <si>
    <t>RT @Betocoralg: Colombiana en España, denuncia que fue acosada sexualmente por el cónsul en Islas Canarias, Francisco Vélez, papá del repre…</t>
  </si>
  <si>
    <t>Barranquilla como todo el Caribe tiene unos de los mayores porcentajes de trabajo del rebusque de toda Colombia. As… https://t.co/ptloPj79pS</t>
  </si>
  <si>
    <t>Duque no fue capaz de construir una fuerte política social para la cuarentena y delega ahora en alcaldes sin recurs… https://t.co/sOjR2K9x6S</t>
  </si>
  <si>
    <t>Los gases lacrimógenos entraron a la Casa Blanca https://t.co/dvSTkVnJUP</t>
  </si>
  <si>
    <t>El 1% de la población se quedó con la mitad del país, redistribuir riqueza es imprescindible si queremos la vida y… https://t.co/75p4S9awKX</t>
  </si>
  <si>
    <t>Con simplemente dejar de comprar armas por un tiempo toda la población colombiana podría comer en cuarentena. https://t.co/S1Vm80GysL</t>
  </si>
  <si>
    <t>Demasiada hipocresía bautizar al metro elevado de Bogotá como un reactivador de empleo, cuando gastara dos años en… https://t.co/15mVlNUbzV</t>
  </si>
  <si>
    <t>Trump ha desencadenado la represión policial contra su propio pueblo, que no considera suyo porque marchan negros y… https://t.co/w4TUFSsCqK</t>
  </si>
  <si>
    <t>Se ha levantado el pueblo estadounidense, la historia comienza a cambiar. https://t.co/ckjOSRKRgY</t>
  </si>
  <si>
    <t>RT @anateresabernal: Se podría fortalecer la @udistrital y construir una nueva sede en alguna de las localidades necesitadas de Universidad…</t>
  </si>
  <si>
    <t>El gobierno con dinero publico financia los abogados que nos demandan. https://t.co/R8cXe9qWQz</t>
  </si>
  <si>
    <t>RT @petrogustavo: Cuarentena en Kennedy sin una fuerte política social que permita a la gente vivir sin el trabajo solo llevará a la gente…</t>
  </si>
  <si>
    <t>RT @petrogustavo: Duque no fue capaz de construir una fuerte política social para la cuarentena y delega ahora en alcaldes sin recursos hac…</t>
  </si>
  <si>
    <t>RT @petrogustavo: Ha sido aprobado un plan de desarrollo en Bogotá que con ropaje de progresismo y alternatividad, entrega de cada 100 peso…</t>
  </si>
  <si>
    <t>Mi querido amigo Ballesteros, la secretaria de mujer no existía en mi alcaldía, nosotros la creamos y no para que f… https://t.co/GvtvN9ZxXf</t>
  </si>
  <si>
    <t>El gobierno de Colombia fue el que llevó a la delegación del ELN para los diálogos de Paz a Cuba y ahora la ataca p… https://t.co/3f1RBU6YnP</t>
  </si>
  <si>
    <t>La cuarentena militarizada. Esto se vive en Medellín y no es más que la destrucción de la democracia. La aceptació… https://t.co/jQpKKmdHAm</t>
  </si>
  <si>
    <t>RT @YeseniaRiveraV: Hoy son #5meses sin saber de mi mamá, #153días #desaparecida, #LaQueremosViva En la noche de fin de año abrazas a tu m…</t>
  </si>
  <si>
    <t>RT @SomosTodosMov: Ojala la "nueva izquierda" y lo "alternativo" entiendan que negociar para su sector social y electoral no l@s hace difer…</t>
  </si>
  <si>
    <t>RT @petrogustavo: Los pueblos del mundo están despertando. En Colombia intentan domesticarnos.</t>
  </si>
  <si>
    <t>RT @mmiguelangelj: No nos digamos mentiras. Se habla de transporte multimodal pero no habrá Metro, el corazón del transporte seguirá siendo…</t>
  </si>
  <si>
    <t>Cuando los buses de transmilenio llegan a la 26 con séptima por el sur y ahora a la 100 con séptima por el norte, y… https://t.co/xvv3LjuXFe</t>
  </si>
  <si>
    <t>La solución por la séptima pasa porque sus residentes dejen de pensar solo en la séptima y presionen por el metro s… https://t.co/V3k7Jmb22n</t>
  </si>
  <si>
    <t>RT @CaracolCucuta: En hechos confusos, en operación militar muere miembro de la comunidad Uwa Las acciones se desarrollaron en zona rural…</t>
  </si>
  <si>
    <t>Así respondió Amsterdam, Holanda, ante el asesinato de George Floyd por la polic3ia en los EEUU. ¿Cómo reaccionamo… https://t.co/h72JddxTxD</t>
  </si>
  <si>
    <t>La nueva cuarentena para la población de Kennedy, debería ser acompañada del no cobro de sus servicios públicos, co… https://t.co/C6vMAjOF1A</t>
  </si>
  <si>
    <t>Ricardo hablaba de la llegada del capitalismo a un estado estacionario por el cobro de terratenientes de la renta d… https://t.co/cTh00Se8F1</t>
  </si>
  <si>
    <t>Sin embargo Marx, en su crítica a Ricardo, afirmó que la renta de la tierra adquiriria una forma capitalista y el c… https://t.co/TYQ7SioQE2</t>
  </si>
  <si>
    <t>Marx si predijo no solo las crisis recurrentes, sino la tendencia a una mayor concentración de la riqueza, que para… https://t.co/jEZmI41Iik</t>
  </si>
  <si>
    <t>Los desalojos violentos de Claudia en medio de la pandemia pasan a ser noticia mundial. Este es el articulo del Was… https://t.co/XV3eIz7vpM</t>
  </si>
  <si>
    <t>RT @ElParcheCritico: #ATENCIÓN ⚠️ | La Asociación de Autoridades tradicionales y cabildos indígenas U'wa denuncian el asesinato de Joel Vil…</t>
  </si>
  <si>
    <t>RT @ChalecosAmarill: 🎥🆘️ Balance #Anonymous #protests2020 #EEUU🇺🇲 #BlackLivesMatter #GeorgeFloydWasMurdered ◾Protestas y disturbios en 140…</t>
  </si>
  <si>
    <t>RT @PelaizSacha: La orden está dada: Disparen a matar Francotiradores defienden la #WhiteHouse Trump ya no confía ni en la seguridad del #…</t>
  </si>
  <si>
    <t>RT @GOYOCQT: #RacismoEs cuando Policía ASESINA a un joven Negro en puerto Tejada supuestamente por incumplir la cuarentena y esto no se pas…</t>
  </si>
  <si>
    <t>RT @datoatipico: Después de la conversación de @petrogustavo con @LosDanielesOp, ¿no se arrepentirán de haber promovido el voto en blanco?…</t>
  </si>
  <si>
    <t>RT @petrogustavo: Los desalojos violentos de Claudia en medio de la pandemia pasan a ser noticia mundial. Este es el articulo del Washingto…</t>
  </si>
  <si>
    <t>Por esto votamos NO el plan de desarrollo de Claudia y fuimos el único movimiento que lo hizo. Que Cambio radical… https://t.co/N9P5KxtvhD</t>
  </si>
  <si>
    <t>RT @ChalecosAmarill: 🎥🆘️🆘️🆘️Siempre me ha gustado el estilo de #SpikeLee como cineasta PERO AHORA LO AMO POR HUMANO Y POR SU CLARIDAD #US…</t>
  </si>
  <si>
    <t>RT @petrogustavo: Por esto votamos NO el plan de desarrollo de Claudia y fuimos el único movimiento que lo hizo. Que Cambio radical y el c…</t>
  </si>
  <si>
    <t>RT @DCoronell: Para mí, y pienso que para @DanielSamperO, fue muy grato hablar con @petrogustavo. Un diálogo franco, cordial y respetuoso d…</t>
  </si>
  <si>
    <t>Es una verdadera humillación indignante lo que Claudia ha desatado contra la gente humilde de Bogota que lucha por… https://t.co/ZnOpAYmQSX</t>
  </si>
  <si>
    <t>RT @ActualidadRT: Los agentes de un condado de Míchigan (EE.UU.) se quitaron los cascos, bajaron las porras y marcharon junto a la multitud…</t>
  </si>
  <si>
    <t>RT @MundoEConflicto: AHORA: Movilizaciones en Curitiba, Brasil contra Jair Bolsonaro, también se registran incidentes. https://t.co/88Wp0…</t>
  </si>
  <si>
    <t>El virus no es excusa para que la alcaldía haga enmpadronamientos policiales violando el derecho de los ciudadanos… https://t.co/1z21GeMf2O</t>
  </si>
  <si>
    <t>No hay democracia en Estados Unidos. Un autócrata megamillonario arrasa con las libertades de la gente. Es la era… https://t.co/x2Qd1qXsUg</t>
  </si>
  <si>
    <t>RT @petrogustavo: Es una verdadera humillación indignante lo que Claudia ha desatado contra la gente humilde de Bogota que lucha por sobrev…</t>
  </si>
  <si>
    <t>RT @petrogustavo: La nueva cuarentena para la población de Kennedy, debería ser acompañada del no cobro de sus servicios públicos, cobro qu…</t>
  </si>
  <si>
    <t>RT @EOpinista: @ClaudiaLopez Muy grave, q alguien que se hizo elegir como demócrata y progresista imponga un sistema de control de las libe…</t>
  </si>
  <si>
    <t>La localidad de Kennedy sera militarizada. Bogotá observa como destruyen su democracia. El confinamiento se hace co… https://t.co/kIS7UfKKRp</t>
  </si>
  <si>
    <t>¿A quien se le iba a ocurrir que la Bogotá cuidadora era una autocracia policial? Realmente una innovacion politic… https://t.co/TLU0KQJyvu</t>
  </si>
  <si>
    <t>RT @petrogustavo: El virus no es excusa para que la alcaldía haga enmpadronamientos policiales violando el derecho de los ciudadanos a su i…</t>
  </si>
  <si>
    <t>RT @petrogustavo: La localidad de Kennedy sera militarizada. Bogotá observa como destruyen su democracia. El confinamiento se hace con ayud…</t>
  </si>
  <si>
    <t>RT @petrogustavo: ¿A quien se le iba a ocurrir que la Bogotá cuidadora era una autocracia policial? Realmente una innovacion politica dign…</t>
  </si>
  <si>
    <t>Cuando funcionarios de salud pública en la lucha contra la.pandemia permite que sus aplicaciones sean vistas, moni… https://t.co/FKfDlVOuYX</t>
  </si>
  <si>
    <t>Foucault en su investigación encontró que el origen del aparato de salud, como higiene, comenzó siendo un aparato p… https://t.co/F6a7jpYbA0</t>
  </si>
  <si>
    <t>El que el Distrito permita que la.policía vigile y ausculte las aplicaciones de la autoridad de salud para luchar c… https://t.co/ufh7nxc5HI</t>
  </si>
  <si>
    <t>Los economistas/periodistas no saben que en tiempos de crisis, los inversores se dedican a comprar títulos de los e… https://t.co/2ATEHW8N3F</t>
  </si>
  <si>
    <t>La.positivo de ese endeudamiento es que ee dedique a pagar deuda de corto plazo cara, para liberar recursos al Esta… https://t.co/zf0MplC1DO</t>
  </si>
  <si>
    <t>RT @petrogustavo: Cuando funcionarios de salud pública en la lucha contra la.pandemia permite que sus aplicaciones sean vistas, monitoread…</t>
  </si>
  <si>
    <t>RT @Horacio246: Pasaron 50 años y las preguntas son casi las mismas https://t.co/iKHA5r0hjK</t>
  </si>
  <si>
    <t>Claro que labor del cuidado desde el estado, como la labor de la cultura ciudadana, pueden ser actividades profunda… https://t.co/BZATG3mI1T</t>
  </si>
  <si>
    <t>Formar ciudadanía obediente, no es lo mismo que construir cultura demicratica. La sociedad obediente como los rebañ… https://t.co/jhdsU7Iw35</t>
  </si>
  <si>
    <t>Mi discusión con Mockus siempre fue ésta: no se puede confundir cultura ciudadana con cultura democrática, la prime… https://t.co/4iqBUEYiEy</t>
  </si>
  <si>
    <t>RT @Cony_martinez_: Yo votaría 🙋🏼‍♀️ por @petrogustavo y Usted? https://t.co/yvBmXKE7ZR</t>
  </si>
  <si>
    <t>RT @LupeMohawk: ¿Y cuál es el problema puntual con la aplicación BOGOTÁ CUIDADORA? Suben los datos a https://t.co/HKqOU7hosX, muy mala ide…</t>
  </si>
  <si>
    <t>RT @SachaLlorenti: «Vinieron. Ellos tenían la Biblia y nosotros teníamos la tierra. Y nos dijeron: "Cierren los ojos y recen". Y cuando abr…</t>
  </si>
  <si>
    <t>Dominación, el nuevo lenguaje de Trump, lanzo la represión contra su propio pueblo para dominarlo en medio de la cr… https://t.co/noRJe9VkXA</t>
  </si>
  <si>
    <t>Mientras la tutela sobre Arias fue tramitada rapidisimamente por la Corte Constitucional a su favor, la tutela para… https://t.co/HjwvpEteNO</t>
  </si>
  <si>
    <t>RT @LeonVaLenciaA: "Este es el momento para forzar un cambio": Obama sobre protestas en Estados Unidos https://t.co/9U4ySrk6kj vía @elespec…</t>
  </si>
  <si>
    <t>Los funcionarios que han decretado el monitoreo de las aplicaciones médicas contra la pandemia por parte de la poli… https://t.co/pIR2DfU5XC</t>
  </si>
  <si>
    <t>Mi discusión con Mockus siempre fue ésta: no se puede confundir cultura ciudadana con cultura democrática, la prime… https://t.co/GnhNRrNnqD</t>
  </si>
  <si>
    <t>No se trata de construir una ciudadanía obediente al Estado porque, en democracia, esta es la dueña del Estado y el… https://t.co/PwFjz1kU0H</t>
  </si>
  <si>
    <t>RT @ismene2: Ve, @petrogustavo viajó a Cuba por motivos de salud. ¿recuerdan lo que pasó con los medios? @AndresPastrana_ viajó en el Lolit…</t>
  </si>
  <si>
    <t>RT @AdrianaLucia: La protesta es un derecho constitucional.</t>
  </si>
  <si>
    <t>RT @J_LozanoC: En Colombia se le presta más atención a los zapatos de Gustavo Petro que a las conductas sexuales de Pastrana, o las relacio…</t>
  </si>
  <si>
    <t>Esta es Francia después de la pandemia. es una manifestación contra el asesinato racial en EEUU. Cuando haremos la… https://t.co/3sCam3nt6B</t>
  </si>
  <si>
    <t>RT @susanamuhamad: La polémica de hoy con gabo la App de #BogotaCuidadora, es precisamente lo que planteaba hace unos días en el debate del…</t>
  </si>
  <si>
    <t>Hoy a las ocho, nuestra bancada en el concejo se expresa sobre el plan de desarrollo de Claudia https://t.co/7LcdYMIJX5</t>
  </si>
  <si>
    <t>España, de acuerdo a las estadisticas de mortalidad y a diferencia de las cifras de la autoridad sanitaria, tiene 4… https://t.co/vzhIx0kGi1</t>
  </si>
  <si>
    <t>RT @YolandaRuizCe: La noticia del día: 90 menores de 5 años muertos en lo que va corrido del año por causas asociadas a desnutrición. Y par…</t>
  </si>
  <si>
    <t>Los economistas además de estudiar matemáticas, deberían estudiar filosofía, eso los movería hacia algo indispensab… https://t.co/4f0g1pLNfH</t>
  </si>
  <si>
    <t>Con todo y propaganda no tiene explicación que ante la pandemia de civid19 desatada desde fines del 2019, y que afe… https://t.co/7LAqAM0oeu</t>
  </si>
  <si>
    <t>No hablará mientras este en su exilio dorado, sera capaz el gobierno de iniciar proceso de extradición? https://t.co/oPC0SljK6n</t>
  </si>
  <si>
    <t>Mientras se celebraba con luces LED en el lugar donde no hay campesinos, el dia del campesino, en Vistahermosa, Met… https://t.co/cs3R55Qj9b</t>
  </si>
  <si>
    <t>Jamás los datos de salud deben pasar a la actividad policial, o sino, ni tendremos salud ni tendremos democracia. https://t.co/lIFWHkzqdM</t>
  </si>
  <si>
    <t>La humanidad no puede respirar. https://t.co/XRCRAHDT11</t>
  </si>
  <si>
    <t>Compañero ambientalista, la expansión ilegal hacia los bordes de la ciudad tiene dos factores que la incentivan: 1… https://t.co/IyN4gwUhwd</t>
  </si>
  <si>
    <t>Una de las consecuencias mas desafortunadas de romper la integración latinoamericana , es que sabiendo el estado de… https://t.co/XvILJpiIVo</t>
  </si>
  <si>
    <t>Las ciudades post pandemia tienen que ampliar espacio a los y las peatones para asegurar el distanciamiento social,… https://t.co/2Tha9LohLj</t>
  </si>
  <si>
    <t>Una ciudad de peatones, bicicletas y poderoso transporte publico para el distanciamiento social, es una ciudad más… https://t.co/rbbt4kViom</t>
  </si>
  <si>
    <t>En este video de Facebook, encuentran ustedes mi informe en mi función constitucional obligatorio de control políti… https://t.co/gI4lXQCY1V</t>
  </si>
  <si>
    <t>RT @GustavoBolivar: En debate en plenaria alguien nombra a Guillermo Leon Valencia por bombardeo en Marquetalia y Paloma, su nieta, pide ré…</t>
  </si>
  <si>
    <t>RT @MaPaulaFonseca: El proyecto que diseñó @EnriquePenalosa y entregó en APP @ClaudiaLopez a Copasa, firma investigada por corrupción, demo…</t>
  </si>
  <si>
    <t>RT @GustavoBolivar: Dije en plenaria: “Para acabar el narcotráfico, Colombia si necesita asesoría de los EEUU. Pero no para seguir una guer…</t>
  </si>
  <si>
    <t>RT @MaPaulaFonseca: En los próximos días Copasa, firma española cuestionada por presunta corrupción en ese país, demolerá la torre central…</t>
  </si>
  <si>
    <t>RT @AidaAvellaE: Los dormidos hoy son el Gobierno Duque y el uribismo que aplaude la indignidad de convertir a Colombia en el patio trasero…</t>
  </si>
  <si>
    <t>RT @anateresabernal: El San Juan de Dios fue comprado a Cund. y se invirtió $40mil mill en la adecuación de 4 pisos para cuidados intensivo…</t>
  </si>
  <si>
    <t>RT @finseya5: #ElSanJuanEsNuestro @ClaudiaLopez @AlejandroGL2014 @fcarrilloflorez @petrogustavo Hay varios hechos graves que atentan contra…</t>
  </si>
  <si>
    <t>RT @MaPaulaFonseca: Pretenden decirnos que @ClaudiaLopez es el cambio pero en realidad continúa los proyectos de @EnriquePenalosa En los pr…</t>
  </si>
  <si>
    <t>RT @AlexLopezMaya: ❗️TAPEN TAPEN ?❗️ ‘Caya Daza guardó silencio en interrogatorio ante la Fiscalía https://t.co/vlYcw3SbvX</t>
  </si>
  <si>
    <t>RT @redcomunitariat: ⚠️URGENTE 🆘 @Bogota saca un comunicado aceptando que mintió y que nunca existió ningún documento firmado por ninguna…</t>
  </si>
  <si>
    <t>RT @petrogustavo: En este video de Facebook, encuentran ustedes mi informe en mi función constitucional obligatorio de control político a l…</t>
  </si>
  <si>
    <t>La irracionalidad política propia de la corrupción. Hacer un metrillo elevado que genera más uso de buses diesel y… https://t.co/0U4xKW0TxT</t>
  </si>
  <si>
    <t>Nuestra sociedad se está autodestruyendo, esta degradación tiene una responsabilidad política: una casta profundame… https://t.co/bxvuIhrytl</t>
  </si>
  <si>
    <t>RT @VivbernalA: Como arquitecta me parece inconcebible que en la administración de @ClaudiaLopez se priorizen la privatización y los negoci…</t>
  </si>
  <si>
    <t>Hacinaron los jóvenes en las URIs de Bogotá, se echaron culpas mutuas alcaldesa y ministra sin hacer nada, y paso l… https://t.co/edUyne40JO</t>
  </si>
  <si>
    <t>Cuando la Juez 41 administrativa llegue, encontrará que la sentencia que estaba obligada a hacer cumplir ya no tend… https://t.co/XB8uJ2Vfgo</t>
  </si>
  <si>
    <t>En una extraña alianza verde/centro democrático, se impulsa esta reforma a la Constitución que evade la consulta po… https://t.co/eSuwfSeVTg</t>
  </si>
  <si>
    <t>Lo que hizo la alcaldía de Bogotá con Alejandra fue dejarla morir y ni siquiera rescatar a tiempo su cadáver, a pes… https://t.co/GQOsJx6bGp</t>
  </si>
  <si>
    <t>RT @petrogustavo: En una extraña alianza verde/centro democrático, se impulsa esta reforma a la Constitución que evade la consulta popular…</t>
  </si>
  <si>
    <t>RT @emirsader: Petro sobre la llegada de militares: "Duque viola soberanía igual que tropas de EEUU violan a mujeres colombianas" - NODAL h…</t>
  </si>
  <si>
    <t>Una periodista neutral. Este es libreto aprendido en Colombia. https://t.co/svjXI2E0wq</t>
  </si>
  <si>
    <t>RT @CarlosCarrilloA: El gerente del @MetroBogota, Andrés Escobar @bienconcreto (que me tiene bloqueado), dice en el @ConcejoDeBogota que el…</t>
  </si>
  <si>
    <t>Mientras es responsabilidad de Duque no aprobar ni la renta básica ni el pago total de nomina, es responsabilidad d… https://t.co/HP5wRXo0Vl</t>
  </si>
  <si>
    <t>Acostumbrados a dejar violar la soberanía, se permite igual que los soldados extranjeros violen las niñas. Se entr… https://t.co/wrHTk1ajTI</t>
  </si>
  <si>
    <t>RT @petrogustavo: Acostumbrados a dejar violar la soberanía, se permite igual que los soldados extranjeros violen las niñas. Se entrega so…</t>
  </si>
  <si>
    <t>Masacre contra el campesinado de Vista Hermosa perpetrada por el gobierno de Duque. Ha declarado una guerra contra… https://t.co/zzg2LIkDd7</t>
  </si>
  <si>
    <t>Detrás del cambio de la Constitucion para quitarle a la ciudadanía su derecho a decidir por consulta en un municipi… https://t.co/FMrevhTEPX</t>
  </si>
  <si>
    <t>RT @anateresabernal: #Atencion Indira Caicedo, funcionaria de la Alcaldia de Ciudad Bolívar y quien fue identificada como la persona encapu…</t>
  </si>
  <si>
    <t>RT @susanamuhamad: Apoyamos a Concejales y activistas por la región que solicitan a @SenadoGovCo ser escuchados en el debate "Región metrop…</t>
  </si>
  <si>
    <t>Después de medio año de pandemia, de meses de presionar a la alcaldía de Bogotá para que compre respiradores, despu… https://t.co/cvZNOI8J0p</t>
  </si>
  <si>
    <t>RT @susanamuhamad: La empresa China y la empresa Metro firmaron contrato sin estudios de geotecnia detallados y aún siguen sin saber con qu…</t>
  </si>
  <si>
    <t>Desde 1982 he luchado por la autonomía del.municipio sabanero y Cundinamarca, esas luchas de mucho(a)s se plasmaron… https://t.co/CVXFV5LMJR</t>
  </si>
  <si>
    <t>Los grandes constructores auspiciados por Camacol, han incentivado la conurbacion de la sabana destruyendo, las cu… https://t.co/8C9UCJkdIp</t>
  </si>
  <si>
    <t>Por encina de las leyes que protegen la sabana como uno de los territorios mas hermosos y vulnerables del mundo, la… https://t.co/Q1UE22Y8gx</t>
  </si>
  <si>
    <t>Creando una nueva figura en la Constitución: la región metropolitana, se anula el derecho que la Constitución del 9… https://t.co/XQMa9w9S82</t>
  </si>
  <si>
    <t>Al aprobarse, y toda la casta politica del está de acuerdo en ello, las decisiones solo serán de los alcaldes reuni… https://t.co/VYjUjyWoYY</t>
  </si>
  <si>
    <t>Me ha sorprendido el silencio de la organización ciudadana de la Sabana que no se ha percatado de esta transformaci… https://t.co/pUX3shPQ6x</t>
  </si>
  <si>
    <t>Barbosa esta llevando a la Fiscalia a niveles mayores de delito que lo que hizo Néstor Humberto Martínez. Devuelva… https://t.co/roICvslmiO</t>
  </si>
  <si>
    <t>RT @petrogustavo: Desde 1982 he luchado por la autonomía del.municipio sabanero y Cundinamarca, esas luchas de mucho(a)s se plasmaron en la…</t>
  </si>
  <si>
    <t>La Constitución ordena al congresista el control político de los decretos de emergencia, en este caso por el covid… https://t.co/7GvEPMaPjs</t>
  </si>
  <si>
    <t>Esta es la Parte II para retransmitir del informe oficial de Colombia Humana ante los decretos de emergencia del co… https://t.co/QOR2onvOkW</t>
  </si>
  <si>
    <t>Este concejal del Polo me calumnia y le pido su retracción pública oficialmente. Nunca el M19 secuestró algún miem… https://t.co/pYawZBQJac</t>
  </si>
  <si>
    <t>RT @petrogustavo: Esta es la Parte II para retransmitir del informe oficial de Colombia Humana ante los decretos de emergencia del covid19.…</t>
  </si>
  <si>
    <t>RT @petrogustavo: La Constitución ordena al congresista el control político de los decretos de emergencia, en este caso por el covid 19, és…</t>
  </si>
  <si>
    <t>RT @FuerteTrino: Están Romantizando a Aníbal Gaviria... increíble https://t.co/uQh4r7IIOz</t>
  </si>
  <si>
    <t>La captura de Anibal Gaviria es una cortina de humo? https://t.co/2AwXB57pOM</t>
  </si>
  <si>
    <t>Colombia vive por primera vez una deflación de precios. Es síntoma de recesión. La renta mínima básica combinada c… https://t.co/05mQmVE9Yp</t>
  </si>
  <si>
    <t>RT @mayamayas: ¡Aterrador! La orden del juez es ignorada,la fiscalía se ensaña, la agenda es política no judicial, los teléfonos fallan, la…</t>
  </si>
  <si>
    <t>RT @petrogustavo: Después de medio año de pandemia, de meses de presionar a la alcaldía de Bogotá para que compre respiradores, después que…</t>
  </si>
  <si>
    <t>La fiscalía agregó un nuevo propietario, de la fiscalía de Luis Carlos Sarmiento ahora se le agrega la ñeñefiscalía… https://t.co/ubuqiJzqnJ</t>
  </si>
  <si>
    <t>El vicepresidente de Uribe, embajador en EEUU propuso la creación del Bloque Capital a Mancuso y la vicepresidenta… https://t.co/gyrqP8e0gM</t>
  </si>
  <si>
    <t>La sabana de Bogotá necesita coordinación. Las áreas metropolitanas podian conformarse solo con concejos y consult… https://t.co/a5bi5EkHTt</t>
  </si>
  <si>
    <t>¿Será que el metro elevado entonces si es bueno solo porque esta asociado a los Chinos, William Vélez el gran contr… https://t.co/fpVWZgaENr</t>
  </si>
  <si>
    <t>RT @petrogustavo: La sabana de Bogotá necesita coordinación. Las áreas metropolitanas podian conformarse solo con concejos y consultas pop…</t>
  </si>
  <si>
    <t>Si la configuración del área metropolitana de la Sabana ya no tiene la participación de la ciudadanía a través de c… https://t.co/Qz25cNPlWN</t>
  </si>
  <si>
    <t>Dario Barros parece ser el interlocutor del alias "el ñeñe", el mismo que quería asesinar a los trabajadores minero… https://t.co/d9UcJlzwqp</t>
  </si>
  <si>
    <t>Esta es la manifestación en Berlín en apoyo al pueblo afro de los EEUU. https://t.co/zKVSCldtos</t>
  </si>
  <si>
    <t>Dos médicos barranquilleros han muerto por covid 19. La fuerza de la salud tan vilipendiada por la ley 100 en el fr… https://t.co/0ME9QHtjF9</t>
  </si>
  <si>
    <t>Es un absurdo abrir centros comerciales cuando la enfermedad se dispara en la ciudad. https://t.co/1Y2TcAFQ16</t>
  </si>
  <si>
    <t>Los mismos funcionarios de la alcaldía de Bogotá que desalojan violentamente a los humildes serían propulsores de l… https://t.co/AotdalqahG</t>
  </si>
  <si>
    <t>Esta es Filadelfia, cuna de la libertad. https://t.co/ofu1Q3oxQw</t>
  </si>
  <si>
    <t>Esta es la movilización en Manchester, Reino Unido en apoyo del pueblo afro de los EEUU https://t.co/LqlS9JNzeX</t>
  </si>
  <si>
    <t>La historia de las Panteras negras y el Poder Negro. https://t.co/MvOqsUtKAt</t>
  </si>
  <si>
    <t>RT @GustavoBolivar: Quienes quieran ver el debate sobre cambio climático que hicimos con @petrogustavo aquí está el link. Gracias https:/…</t>
  </si>
  <si>
    <t>Melbourne Australia, la Revolución Global. https://t.co/RHMNX51oFb</t>
  </si>
  <si>
    <t>RT @petrogustavo: El vicepresidente de Uribe, embajador en EEUU propuso la creación del Bloque Capital a Mancuso y la vicepresidenta de Du…</t>
  </si>
  <si>
    <t>Del fracaso se aprende una cosa mi querido amigo, asesor de Claudia, quienes derrotaron el área metropolitana con S… https://t.co/RelxiRas8W</t>
  </si>
  <si>
    <t>Solo falta un debate en el senado para que pase la abolición de las consultas populares en la asociacion de los mun… https://t.co/mdfddJoyrg</t>
  </si>
  <si>
    <t>Esta es la.manifestacion de Londres en solidaridad con el pueblo afro de los EEUU https://t.co/Gvc3mGGqWJ</t>
  </si>
  <si>
    <t>Este niño fue asesinado en Ituango, lo mataron por ser hijo de una excombatiente de las Farc. Así quieren presiona… https://t.co/3R760o5Qii</t>
  </si>
  <si>
    <t>Filadelfia, EEUU. La cuna de la libertad se levanta contra Trump https://t.co/ypAKga7MaC</t>
  </si>
  <si>
    <t>El general Sandua, habitante de la calle que encontró cama y afecto en la Bogotá Humana. Amigo progresista. Ha mue… https://t.co/z3vXTdhpGx</t>
  </si>
  <si>
    <t>El general Sandua fue un activista callejero de la Bogotá Humana mi querido amigo apolitico. Solo lea este articulo… https://t.co/r6B6WOxLCl</t>
  </si>
  <si>
    <t>Amigo progresista, alegre y callejero. Tenia la historia de Bogotá en su corazón y sabia quien no quería al pueblo.… https://t.co/CyLJxF8dtj</t>
  </si>
  <si>
    <t>Comenzó la epidemia al mismo tiempo en Cuba y Colombia, allá desde hace ocho dias no tienen un muerto, y el total l… https://t.co/d5ZNUCahou</t>
  </si>
  <si>
    <t>RT @descifraguerra: 🇬🇧 En Bristol manifestantes del Black Lives Matter tiran abajo una estatua de Edward Colston, traficante de esclavos du…</t>
  </si>
  <si>
    <t>RT @petrogustavo: Comenzó la epidemia al mismo tiempo en Cuba y Colombia, allá desde hace ocho dias no tienen un muerto, y el total llegó a…</t>
  </si>
  <si>
    <t>La Corte Suprema de Justicia debe intervenir para nombrar un fiscal adhoc en el proceso de la Ñeñepolitica, tanto f… https://t.co/aE3pQdG8RQ</t>
  </si>
  <si>
    <t>El fiscal Hernández quien ordena la captura de los mienbros de la policia que habían hecho las investigaciones sobr… https://t.co/wS1KI9yI1a</t>
  </si>
  <si>
    <t>¿En donde se contagió del virus el general Sandua? ¿en la institución geriátrica del distrito? ¿En el hospital de S… https://t.co/5zcgrjtitL</t>
  </si>
  <si>
    <t>Lo sucedido en la cárcel modelo es una masacre, como he dicho en mis debates y su autor es el gobierno de Duque. https://t.co/9UBrR5IWbA</t>
  </si>
  <si>
    <t>Madrid decidió provatizar sus instituciones geriátricas con APP, como ahora se hace con hospitales públicos en Bogo… https://t.co/vYwJc36Qvv</t>
  </si>
  <si>
    <t>¿Por qué la estrategia para contener el covid 19 ha sido más eficaz en Medellín que en Bogotá? El alcalde Quintero… https://t.co/HdH2If7Vnd</t>
  </si>
  <si>
    <t>Veamos diferencias. Mientras rápidamente el alcalde Quintero inició la toma de pruebas en la casa de posibles afect… https://t.co/bBLqZN0ovj</t>
  </si>
  <si>
    <t>Mientras Medellín fortalecía sus equipos de atención en salud en casa desde una perspectiva pública, Claudia dejó m… https://t.co/rnYoY0GZI7</t>
  </si>
  <si>
    <t>Medellín tenia información de calidad sobre su población en afugias por la cuarentena y podía determinar ayudas ali… https://t.co/DLihSgKQHo</t>
  </si>
  <si>
    <t>Con informacion confiable, equipos de salud de la alcaldía en barrios y pruebas PCR bajo control público y en los h… https://t.co/J9OZLr36jV</t>
  </si>
  <si>
    <t>El alcalde Quintero logró variar el modelo de medicina privatizada que impulsaba Fajardo, con Alejandro Gómez, y Bo… https://t.co/WHSJ8DvfrQ</t>
  </si>
  <si>
    <t>RT @petrogustavo: ¿Por qué la estrategia para contener el covid 19 ha sido más eficaz en Medellín que en Bogotá? El alcalde Quintero imple…</t>
  </si>
  <si>
    <t>Sao Paulo sale a las calles contra un bárbaro de estos tiempos: Bolsonaro https://t.co/NTzwteBuIt</t>
  </si>
  <si>
    <t>Nueva York sale a las calles contra la barbarie. https://t.co/ugHD7nf8R5</t>
  </si>
  <si>
    <t>La Policía de Minneapolis será desmantelada. https://t.co/ShgNb2cMow</t>
  </si>
  <si>
    <t>El fiscal del caso Anibal Gaviria está investigando una de las peores iniquidades de los gobernantes locales: hidro… https://t.co/16qBX8UWhD</t>
  </si>
  <si>
    <t>RT @BunkerGlo: "Y se murió el único militar respetable que teníamos. El general Sandúa perdió la última batalla, nonagenario y fiel a su fi…</t>
  </si>
  <si>
    <t>Adios compañero. https://t.co/Gp6Bn2HMCY</t>
  </si>
  <si>
    <t>Por que no es conveniente la cadena perpetua en Colombia. Parte II https://t.co/svUeIK4Yxs</t>
  </si>
  <si>
    <t>Porque no es conveniente la Condena perpetua en Colombia. Parte I https://t.co/yAKDBlKEIH</t>
  </si>
  <si>
    <t>RT @petrogustavo: Por que no es conveniente la cadena perpetua en Colombia. Parte II https://t.co/svUeIK4Yxs</t>
  </si>
  <si>
    <t>RT @petrogustavo: Porque no es conveniente la Condena perpetua en Colombia. Parte I https://t.co/yAKDBlKEIH</t>
  </si>
  <si>
    <t>Esta es la movilización popular en Hollywood. El mundo cambia https://t.co/FZzCr30vuN</t>
  </si>
  <si>
    <t>Le respondo Karen: https://t.co/ueFIDqMSFi https://t.co/ImmUS6XYsH</t>
  </si>
  <si>
    <t>RT @OspinaPosse: #CorteProtejaALaColombiaHumana Es su deber proteger nuestro derecho a la participación política y a la oposición. Contamos…</t>
  </si>
  <si>
    <t>RT @MateoPenalozaUN: Por siglos han gobernado en Colombia los matarifes que difunden el terror para seguir estando a cargo. @ColombiaHumana…</t>
  </si>
  <si>
    <t>RT @SergioAHernndez: Desde las tierras comuneras y aguerridas de Santander, decimos: #CorteProtejaALaColombiaHumana https://t.co/QdFhF2lZEd</t>
  </si>
  <si>
    <t>RT @dw_espanol: Para "Pepe" Mujica, la propagación de la COVID-19 tiene mucho que ver con la desigualdad. El nuevo #coronavirus se transmit…</t>
  </si>
  <si>
    <t>De los 54 fallecidos por covid 19 reportados hoy, solo 20 estaban en una UCI. La mayoría muere sin llegar a una UC… https://t.co/damHRmSKhE</t>
  </si>
  <si>
    <t>RT @petrogustavo: Le respondo Karen: https://t.co/ImmUS6XYsH</t>
  </si>
  <si>
    <t>Que los niños y niñas que han sido victimas de abuso sexual puedan en cualquier momento de su vida denunciar al vic… https://t.co/P4juJGcZ0W</t>
  </si>
  <si>
    <t>Hay un paralelismo profundo, entre la casta política que maneja hoy los destinos de Colombia y Venezuela. Ambas hu… https://t.co/OF6WJBQqaA</t>
  </si>
  <si>
    <t>A Caicedo, gobernador del Magdalena, la casta politica corrupta le esta haciendo lo mismo que a la Bogotá Humana.… https://t.co/12NRFu1wWe</t>
  </si>
  <si>
    <t>Decidí responderle el discurso a Mancuso en el Congreso de la República y frente a los paramilitares y los congres… https://t.co/8qdJkbqEM3</t>
  </si>
  <si>
    <t>Mientras Italia está en fase descendente de la epidemia y empieza a levantar cuarentena, los países latinoamericano… https://t.co/vnqVl97S6C</t>
  </si>
  <si>
    <t>RT @petrogustavo: Que los niños y niñas que han sido victimas de abuso sexual puedan en cualquier momento de su vida denunciar al victimari…</t>
  </si>
  <si>
    <t>Este es un fragmento que sobrevive de mi discurso ante Mancuso y ante los congresistas que lo aplaudían en la sede… https://t.co/YuQUWtRpen</t>
  </si>
  <si>
    <t>RT @petrogustavo: Este es un fragmento que sobrevive de mi discurso ante Mancuso y ante los congresistas que lo aplaudían en la sede del Co…</t>
  </si>
  <si>
    <t>De acuerdo a este cuadro de Stiglitz y Stern, entrevistando a más de 200 expertos de Bancos centrales y ministerios… https://t.co/VOtyHjx4kV</t>
  </si>
  <si>
    <t>La mejores políticas que hoy se pueden hacer son las que multiplican puestos de trabajo y combaten el cambio climat… https://t.co/82xPAhAALY</t>
  </si>
  <si>
    <t>RT @petrogustavo: De acuerdo a este cuadro de Stiglitz y Stern, entrevistando a más de 200 expertos de Bancos centrales y ministerios de ha…</t>
  </si>
  <si>
    <t>La fuente del cuadro que les presenté es de la revista de política económica de la Universidad de Oxford "Oxford Re… https://t.co/0JPVHnKWKP</t>
  </si>
  <si>
    <t>RT @JDRestrepoE: #ConOjoCrítico Leyendo el documento de la @FiscaliaCol mediante el cual le dictan medida de aseguramiento al gobernador de…</t>
  </si>
  <si>
    <t>Proyecto de región metropolitana que le quita a la ciudadanía de los municipios de la Sabana de Bogotá y del Distri… https://t.co/7NeRMqZRy7</t>
  </si>
  <si>
    <t>El 30 de enero pedimos a Claudia que ejerciera la opción de impedir la muerte del toro en las corridas, dado que so… https://t.co/XFkIvTMuRc</t>
  </si>
  <si>
    <t>RT @petrogustavo: Proyecto de región metropolitana que le quita a la ciudadanía de los municipios de la Sabana de Bogotá y del Distrito, el…</t>
  </si>
  <si>
    <t>RT @DanielRMed: “La modalidad colombiana de oferta de Cocaina depende de una alianza política entre clanes políticos familiares con los nar…</t>
  </si>
  <si>
    <t>RT @susanamuhamad: Ya estamos en nuestro Facebook Live hablando con los ciudadanos sobre el Complejo Hospitalario San Juan de Dios como esp…</t>
  </si>
  <si>
    <t>RT @IvanCepedaCast: La presencia de tropas foráneas agrede la implementación del Acuerdo de Paz al convertir territorios de implementación…</t>
  </si>
  <si>
    <t>RT @DanielRMed: Viendo el foro en la comisión 1a del senado sobre la iniciativa de región metropolitana en la sabana de Bogotá, queda claro…</t>
  </si>
  <si>
    <t>Usted Representante @CuencaGuainia afecta los derechos constitucionales de mi movimiento Colombia Humana. Desacató… https://t.co/zQrUYw5dfu</t>
  </si>
  <si>
    <t>Hoy estuvimos todo el dia en el foro sobre el acto de reforma a la Constitución que le quita el derecho de decidir… https://t.co/UyxFw2y5lo</t>
  </si>
  <si>
    <t>Y que tiene que ver la amnistía que es para el delito político y no para la delincuencia común, con el derecho conc… https://t.co/jRGZsR4AQF</t>
  </si>
  <si>
    <t>RT @GNavasTalero: Curioso que en la transmisión del debate por Canal Congreso,cuando habló Uribe buena señal igual cuando habló el Conserva…</t>
  </si>
  <si>
    <t>En el gobierno del presidente Uribe estudiaron la fórmula del delito de narcotráfico como conexo al delito político… https://t.co/upszJyPr2Y</t>
  </si>
  <si>
    <t>RT @petrogustavo: Hoy estuvimos todo el dia en el foro sobre el acto de reforma a la Constitución que le quita el derecho de decidir a la c…</t>
  </si>
  <si>
    <t>RT @petrogustavo: En el gobierno del presidente Uribe estudiaron la fórmula del delito de narcotráfico como conexo al delito político, bajo…</t>
  </si>
  <si>
    <t>Este es mi debate sobre el acuerdo de Duque para traer tropas extranjeras en una supuesta lucha contra el narcotrá… https://t.co/r3YEOvR6yX</t>
  </si>
  <si>
    <t>Este es mi debate sobre el acuerdo de Duque para traer tropas extranjeras en una supuesta lucha contra el narcotrá… https://t.co/P4ch7PEQ0W</t>
  </si>
  <si>
    <t>Este es mi debate sobre el acuerdo de Duque para traer tropas extranjeras en una supuesta lucha contra el narcotrá… https://t.co/QmfzmvCP5c</t>
  </si>
  <si>
    <t>RT @petrogustavo: Este es mi debate sobre el acuerdo de Duque para traer tropas extranjeras en una supuesta lucha contra el narcotráfico…</t>
  </si>
  <si>
    <t>RT @petrogustavo: Este es mi debate sobre el acuerdo de Duque para traer tropas extranjeras en una supuesta lucha contra el narcotráfico P…</t>
  </si>
  <si>
    <t>Entre más crece la pandemia en Colombia más abre las actividades Duque, y no hay un sistema de salud capaz. La niñ… https://t.co/AaDWnYVtrE</t>
  </si>
  <si>
    <t>La conexion de fibra óptica al hogar generaría centenares de miles de empleos, tanto para tender la fibra, como por… https://t.co/nlOTAajQ8k</t>
  </si>
  <si>
    <t>La Vicepresidente de la República de Colombia pagó la fianza para liberar a su hermano Bernardo Ramírez de la cárce… https://t.co/Da3tH6qAQN</t>
  </si>
  <si>
    <t>Mas de 100 cápsulas de heroína llevó el hermano de la vicepresidente a Miami, la actual vicepresidente pagó la fian… https://t.co/MZqqN7QHBq</t>
  </si>
  <si>
    <t>Estas fueron mis palabras finales en el debate de ayer sobre la politica en relación al narcotráfico de Duque. Se… https://t.co/rDieBsfqtH</t>
  </si>
  <si>
    <t>En esta constancia ante el Senado de la República solicito la renuncia de la Vicepresidente de la República de Colo… https://t.co/YFxDZsMiv2</t>
  </si>
  <si>
    <t>RT @petrogustavo: En esta constancia ante el Senado de la República solicito la renuncia de la Vicepresidente de la República de Colombia,…</t>
  </si>
  <si>
    <t>Mientras usted, Duque, masacra campesinos por cultivar hoja de Coca, elige a una vicepresidenta que libera de la cá… https://t.co/6a6vEpz7fp</t>
  </si>
  <si>
    <t>RT @petrogustavo: La Vicepresidente de la República de Colombia pagó la fianza para liberar a su hermano Bernardo Ramírez de la cárcel por…</t>
  </si>
  <si>
    <t>RT @petrogustavo: Mientras usted, Duque, masacra campesinos por cultivar hoja de Coca, elige a una vicepresidenta que libera de la cárcel n…</t>
  </si>
  <si>
    <t>Invito a la ciudadania de la Sabana de Bogotá a participar en el foro sobre la Región Metropolitana ¿Una asociació… https://t.co/MZ7c5etj9i</t>
  </si>
  <si>
    <t>Ayer la proposición que logre hacer aprobar en primer debate de no permitir el uso del patrimonio público en espect… https://t.co/jc6SzOdLEc</t>
  </si>
  <si>
    <t>Las cortes han prohibido desalojos, pero en Bogotá los siguen haciendo. https://t.co/xBPzRu2Ja9</t>
  </si>
  <si>
    <t>RT @ma_eugeniam: No hay nada más sostenible que el edificio construido. Demoler el Central del San Juan de Dios (Cuéllar Serrano Gómez, 195…</t>
  </si>
  <si>
    <t>El objetivo de la gratuidad de la educación superior empieza a ser realidad en Córdoba y Magdalena. https://t.co/ySzgMn2Umm</t>
  </si>
  <si>
    <t>Hemos pasado a Ecuador en número de contagiados de Covid19 y cuando alcancemos a Canadá, seremos de los países más… https://t.co/QT8ebXe9Yn</t>
  </si>
  <si>
    <t>Seattle se levanta contra Trump. En la era de barbarie ha llegado también, la hora de los pueblos. https://t.co/ZkmqUKZQCi</t>
  </si>
  <si>
    <t>Cesar Gaviria está desesperado porque él también tiene una tragedia familiar que ocultar. Todos a uno defienden la… https://t.co/vpKEHyR6sw</t>
  </si>
  <si>
    <t>El Poder en Colombia se ha desnudado y es un poder criminal. https://t.co/bbQNdRAipu</t>
  </si>
  <si>
    <t>RT @jcuestanovoa: La gran lección que deja la pandemia, es que si el neoliberalismo no hubiese devastado el sistema de salud pública, la tr…</t>
  </si>
  <si>
    <t>Duque está a punto de iniciar la labor de expropiación más generalizada de viviendas en la historia a la población… https://t.co/vAVPvvfjj5</t>
  </si>
  <si>
    <t>Ya el pensador alemán había dicho que en las crisis del capitalismo hay cambio de dueños. La casa propia tan duram… https://t.co/nxOpBVy3sR</t>
  </si>
  <si>
    <t>RT @France24_es: Vicepresidenta de Colombia, envuelta en escándalo tras conocerse condena por narcotráfico a su hermano https://t.co/KD6a6K…</t>
  </si>
  <si>
    <t>Quieren maquillar a la impresentable Vicepresidenta de la República como si habláramos de un delito de sangre. El… https://t.co/d7RSjfynl0</t>
  </si>
  <si>
    <t>A los viejos les quitaron el ahorro de sus sueldos que fueron a para al banco de Luis Carlos Sarmiento a través de… https://t.co/HEaR9ClHBW</t>
  </si>
  <si>
    <t>RT @petrogustavo: Quieren maquillar a la impresentable Vicepresidenta de la República como si habláramos de un delito de sangre. El proble…</t>
  </si>
  <si>
    <t>Señores del ELN liberen de inmediato a la cabo Nubia Alejandra López. Es una mujer combatiente y como mujer merece… https://t.co/OFqVr5dX7c</t>
  </si>
  <si>
    <t>RT @nicolaspetroB: Los trabajadores del Sector Salud agrupados en Anthoc, denuncian que la muerte de Fabian Palacio, fue producto de la des…</t>
  </si>
  <si>
    <t>Si los hospitales covid atienden enfermos no covid, con riego de su contagio, es porque si no lo hacen la ley 100 l… https://t.co/PfRz5k93Fv</t>
  </si>
  <si>
    <t>Paradoja de la historia. Cuando alisté la central de urgencias del hospital San Juan de Dios para cuidados intensiv… https://t.co/StPbACILdn</t>
  </si>
  <si>
    <t>Hoy el hospital de Kennedy y toda la red pública del centro, sur/occidente está colapsado Ante la terquedad de Cla… https://t.co/dU7LuTLxKo</t>
  </si>
  <si>
    <t>La sede del narcotráfico se ubica en el Congreso, porque necesitan de la ley, es por eso que Pablo Escobar se sentó… https://t.co/LOs1TDDoL5</t>
  </si>
  <si>
    <t>Pero no es la única sede del narcotráfico, sedes han sido los ministerios, los casinos de altos oficiales, los club… https://t.co/FNVaXAlZ5t</t>
  </si>
  <si>
    <t>Este es el efecto de la ley 100 que hizo de la salud un negocio La infraestructura de salud se ubica en las zonas… https://t.co/FNfpEHYuoI</t>
  </si>
  <si>
    <t>Tengan la certeza que la inmensa mayoría de las familias, son 15 millones de hogares, no tienen ningún narcotraficante entre sus miembros.</t>
  </si>
  <si>
    <t>RT @petrogustavo: La sede del narcotráfico se ubica en el Congreso, porque necesitan de la ley, es por eso que Pablo Escobar se sentó allí,…</t>
  </si>
  <si>
    <t>RT @susanamuhamad: Estos son algunos de los argumentos que vamos a profundizar hoy en el Concejo de Bogotá y por los que decimos como Banca…</t>
  </si>
  <si>
    <t>RT @susanamuhamad: Hoy Debate de control político #ElSanJuanEsNuestro en el @ConcejoDeBogota. "El contrato firmado en febrero de 2020 por l…</t>
  </si>
  <si>
    <t>RT @JulianFMartinez: Solicitamos formalmente rectificación a las calumnias publicadas en @lasillavacia. Juanita León, su directora, es al m…</t>
  </si>
  <si>
    <t>Concejal Ana Teresa, si el debate de control político sobre la decisión de la administración de demoler el hospital… https://t.co/b7TxsgB41p</t>
  </si>
  <si>
    <t>La decisión de hacer el transmilenio de la 68 implica comprar muchos predios de hogares, el tranvía no necesitaba d… https://t.co/iOhfTCoAde</t>
  </si>
  <si>
    <t>Más pacientes tirados en las calles del Chocó. Esta es la ley 100. La ley al convertir la salud en mercancía solo… https://t.co/MNSvD5LbDI</t>
  </si>
  <si>
    <t>RT @MajoDoria: La contraloría determinó que el metro subterráneo realmente sí estaba más avanzado que el elevado. Petro tenía razón.</t>
  </si>
  <si>
    <t>Muy bien que @orlandobenitezm el gobernador de Córdoba, le pueda demostrar al país que es posible una educación pub… https://t.co/jlHCO3TmHY</t>
  </si>
  <si>
    <t>RT @heidy_up: 1. Nuestro deber es defender el patrimonio de las y los bogotanos. Por ende, una de nuestras apuestas es la recuperación del…</t>
  </si>
  <si>
    <t>RT @CorteSupremaJ: En indagación previa por presunta corrupción electoral y fuga de Aída Merlano, #SalaDeInstrucción cita a versión libre a…</t>
  </si>
  <si>
    <t>RT @SandraPerezSiii: “Yo votaría por @mluciaramirez con mucho gusto”:@ClaudiaLopez Operación Orión para Nayibe no fue nada,como @JuanitaG…</t>
  </si>
  <si>
    <t>RT @CarlosCarrilloA: En esta alcaldía lo que más importa es el espectáculo, el grave problema de gobernar pensando en la presidencia. ¿Dónd…</t>
  </si>
  <si>
    <t>RT @petrogustavo: Concejal Ana Teresa, si el debate de control político sobre la decisión de la administración de demoler el hospital san J…</t>
  </si>
  <si>
    <t>RT @mluciaramirez: @yocuidomivoto Y pensar que cuando propusimos en Reforma Política 08,prohibir familiares de condenados participar en lis…</t>
  </si>
  <si>
    <t>RT @JulieDuque1: Aquí las cláusulas y obligaciones contractuales de @lasillavacia, entre ellas "desarrollar las notas de acuerdo con los li…</t>
  </si>
  <si>
    <t>RT @pajon_lauraR: @JulianFMartinez @CuartoDeHoraCol #Colombia | ¿Ya vieron cómo quedó la estación de Avenida 39? El graffiti bogotano le m…</t>
  </si>
  <si>
    <t>Paradojas de la prensa: durante años estuvieron diciendo que el aparato de salud de Barranquilla era lo mejor de to… https://t.co/zpmFLPoOjI</t>
  </si>
  <si>
    <t>El alto nivel de actividad informal y de rebusque, de las más altas del país, que la prensa vendía como un alto niv… https://t.co/xtuLHDx6bn</t>
  </si>
  <si>
    <t>Char, ha llevado la administración de Barranquilla hacia una actividad de fuerte especulación inmobiliaria de su pa… https://t.co/Ic25Fjzn9L</t>
  </si>
  <si>
    <t>Aquí va la campaña financiera de apoyo al trabajo periodístico independiente que han protagonizado Julián Martínez… https://t.co/4qmG9wA6fh</t>
  </si>
  <si>
    <t>Mientras a la gente le hablan de castrochavismo, hacen fuertes negocios con el dinero de Venezuela. La ligazón ent… https://t.co/xxztwPyUaZ</t>
  </si>
  <si>
    <t>Jajajajjajaja. Saab era amigo de Jaime Amin, tu copartidario. https://t.co/pqbu9kM04N</t>
  </si>
  <si>
    <t>RT @petrogustavo: Mientras a la gente le hablan de castrochavismo, hacen fuertes negocios con el dinero de Venezuela. La ligazón entre Saa…</t>
  </si>
  <si>
    <t>El país se hundió en un marasmo de sangre. Es una guerra contra la sociedad humilde por su control absoluto para mo… https://t.co/uEZwjHqz9O</t>
  </si>
  <si>
    <t>Para Maria Isabel Rueda poner patas arriba el país es priorizar la inversión pública en salud, educación y energías… https://t.co/BXgXeAfdwt</t>
  </si>
  <si>
    <t>Peor que su relación familiar y económica con narcotraficantes de la actual vicepresidente de la República es haber… https://t.co/Sv1Dgai9uk</t>
  </si>
  <si>
    <t>Qué hace Jaime Amin de embajador de Duque en Emiratos Árabes Unidos? Fácil: concretar el negocio del oro del páram… https://t.co/c6ZL0dK88H</t>
  </si>
  <si>
    <t>RT @petrogustavo: Qué hace Jaime Amin de embajador de Duque en Emiratos Árabes Unidos? Fácil: concretar el negocio del oro del páramo de S…</t>
  </si>
  <si>
    <t>RT @mluciaramirez: Vamos declarar la muerte comercial a los corruptos, vamos a hacerle extinción de dominio a los corruptos y sus familiare…</t>
  </si>
  <si>
    <t>Esta compra de ventiladores que reemplazan el pulmón, ya se acerca a la cantidad objetivo, pero debieron comprarse… https://t.co/5RBtHOThG5</t>
  </si>
  <si>
    <t>Yo soy un demócrata y por eso no voto por la cadena perpetua. Los que piensan en que hay seres irredimibles, piens… https://t.co/r0OyvU5IO1</t>
  </si>
  <si>
    <t>Todo honor al alcalde de Medellín. Logró a través de un fuerte aparato preventivo, de la conciencia en lo público y… https://t.co/4TMX43vDFr</t>
  </si>
  <si>
    <t>La relación política/narcotráfico, eje central de la perpetuación del poder, el control de la sociedad, y la acumul… https://t.co/6XintAIMPo</t>
  </si>
  <si>
    <t>Empieza Laura por dejar de calumniar, fuiste estudiante de Ciencias Políticas de los Andes, y eso merece que al ana… https://t.co/wKfiGR09Vu</t>
  </si>
  <si>
    <t>¿Cuál es el papel de la fiscalía de Barbosa, además de encubrir los delitos en la campaña electoral de Duque? Aseg… https://t.co/AgQydUC8tp</t>
  </si>
  <si>
    <t>RT @finseya5: @EnriquePenalosa @ClaudiaLopez @CarlosCarrilloA @susanamuhamad @anateresabernal @petrogustavo no sólo se llevaron por delante…</t>
  </si>
  <si>
    <t>RT @petrogustavo: ¿Cuál es el papel de la fiscalía de Barbosa, además de encubrir los delitos en la campaña electoral de Duque? Asegurar l…</t>
  </si>
  <si>
    <t>El secretario de salud de Bogotá acaba de afirmar ante el Concejo que efectivamente la central de urgencias que ins… https://t.co/UGvbIfsNHQ</t>
  </si>
  <si>
    <t>La actitud de Claudia delegando en el ministro de salud la dotacion de UCIs de Bogotá es irresponsable. Ella pudo… https://t.co/iYYOPLSIcN</t>
  </si>
  <si>
    <t>El Secretario de salud de Bogotá acaba de reconocer en el concejo que se puede atender enfermos covid en la central… https://t.co/wBaDzHcmQz</t>
  </si>
  <si>
    <t>RT @petrogustavo: La actitud de Claudia delegando en el ministro de salud la dotacion de UCIs de Bogotá es irresponsable. Ella pudo compra…</t>
  </si>
  <si>
    <t>En este momento ante una dependencia total de la llegada de UCIs a Bogotá del contrato firmado por el ministro de s… https://t.co/w34yiyw56z</t>
  </si>
  <si>
    <t>RT @susanamuhamad: #ElSanJuanEsNuestro No pudieron responder por qué no van a abrir el San Juan de Dios, por qué van a demoler la Torre Cen…</t>
  </si>
  <si>
    <t>Repito, ante el hecho que el Distrito dejó pasar medio año sin comprar una sola UCI, y sabiendo que el gobierno nac… https://t.co/C5zfOnTe6O</t>
  </si>
  <si>
    <t>Para quienes hablan de alguna relación mia con Pablo Escobar, les digo, Pablo Escobar tuvo relación con el padre d… https://t.co/pIMSScxUC1</t>
  </si>
  <si>
    <t>Ante la ausencia profunda de ideas o contrargumentos, el uribismo busca desesperado ante su propia corrupción, desa… https://t.co/szfuUnTngu</t>
  </si>
  <si>
    <t>RT @petrogustavo: Para quienes hablan de alguna relación mia con Pablo Escobar, les digo, Pablo Escobar tuvo relación con el padre de Alva…</t>
  </si>
  <si>
    <t>RT @petrogustavo: Paradoja de la historia. Cuando alisté la central de urgencias del hospital San Juan de Dios para cuidados intensivos y c…</t>
  </si>
  <si>
    <t>RT @alexbernalradio: El dinero de las bolsas de Petro venía de Simon Velez ex novio de la mamá de paloma Valencia El dinero del hermano de…</t>
  </si>
  <si>
    <t>RT @velascoluisf: Buena columna de @MJDuzan en especial cuando dice: “nos mira desde la altura de un falso pedestal moral”.... mi abuela Lu…</t>
  </si>
  <si>
    <t>RT @BunkerGlo: La Heroína, además de todo, con un enemigo en el mismo equipo. ¡Qué drama familiar! https://t.co/M4BCPIjkrZ</t>
  </si>
  <si>
    <t>RT @ManuelBeltrn14: ¿Quiénes salieron a defender a Marta Lucía Ramírez? Uribe Samper Pastrana Duque Gaviria Claudia López Vladdo et…</t>
  </si>
  <si>
    <t>Ha partir de allí un poderoso mecanismo de concentración violenta de la riqueza a partir de la usurpación de tierra… https://t.co/0oFhn8xHik</t>
  </si>
  <si>
    <t>Aquí mi respuesta a Uribe Vélez por sus insultos del día de ayer https://t.co/IT9mQgE2sr</t>
  </si>
  <si>
    <t>Mi columna completa en respuesta a los insultos de ayer de Uribe y su Uribato. https://t.co/ZVhjeJ3ttj</t>
  </si>
  <si>
    <t>Estaremos a las tres con los maestros y maestras de Colombia. https://t.co/pWkwNELMdQ</t>
  </si>
  <si>
    <t>RT @petrogustavo: Mi columna completa en respuesta a los insultos de ayer de Uribe y su Uribato. https://t.co/ZVhjeJ3ttj</t>
  </si>
  <si>
    <t>RT @MoisesAlvaro_: Alcaldesa @ClaudiaLopez, ¿qué hace la fuerza pública reteniendo masivamente a estos manifestantes cerca a Corferias? ¿V…</t>
  </si>
  <si>
    <t>RT @charry_manager: El compañero Nicolas Britoha sido desaparecido por la @PoliciaMedellin mientras ejercía su derecho a comunicar y a la…</t>
  </si>
  <si>
    <t>RT @Col_Informa: #Atención🚨| Nos reportan que ESMAD tiene acorraladas a personas que participaban de la movilización hoy en Bogotá y están…</t>
  </si>
  <si>
    <t>RT @GloriaOramas: En barrio Quinta Paredes el ESMAD acaba de estallar granadas aturdidoras y gases lacrimógenos, están capturando manifesta…</t>
  </si>
  <si>
    <t>RT @AquinoTicias1: Capturas ilegales, agresiones a manifestantes, policías reventando cabezas, capturando periodistas ¿qué carajos está pas…</t>
  </si>
  <si>
    <t>Colombia va a salir a las calles, no hay ninguna razón jurídica que lo pueda impedir, es un derecho constitucional. https://t.co/83WgBhqxp0</t>
  </si>
  <si>
    <t>RT @felipedcon: Gracias @petrogustavo por la participación en el conversatorio de Región Metropolitana de Zipaquirá. Propuse y se aprobó un…</t>
  </si>
  <si>
    <t>Claudia imita a Trump en la manejo de las manifestaciones contra la discriminación racial. !Quién lo iba a pensar! https://t.co/Re0A3tSuHy</t>
  </si>
  <si>
    <t>Nicolas Brito perdió dos dientes y fue capturado arbitrariamente en Medellín por participar en la movilización cont… https://t.co/1WsE46Qp1I</t>
  </si>
  <si>
    <t>El cartel de Pablo escobar asesinó a tu padre por avisarle al país que iba a ser tomado su Estado por el narcotráfi… https://t.co/Pvj72n9Hkr</t>
  </si>
  <si>
    <t>RT @petrogustavo: Claudia imita a Trump en la manejo de las manifestaciones contra la discriminación racial. !Quién lo iba a pensar! https:…</t>
  </si>
  <si>
    <t>Comenzó el colapso hospitalario e Barranquilla y las UCIs no llegaron. Aún se podría decretar la cuarentena total… https://t.co/XI3H8efYU7</t>
  </si>
  <si>
    <t>Laura, concuñado es un termino que no representa ningún parentesco familiar, según la doctrina jurídica mundial, lo… https://t.co/TZLkrh6jGI</t>
  </si>
  <si>
    <t>Por orden de Uribe, Martha Lucía puso como asesor en ministerio de defensa, al asesino de Jaime Garzon: José Miguel… https://t.co/OZuoEo8ib2</t>
  </si>
  <si>
    <t>Según la justicia, por años el asesino de Galán fué Alberto Hazbún, y era mentira. Los asesinos estaban en el pode… https://t.co/fezZRkMn8f</t>
  </si>
  <si>
    <t>RT @petrogustavo: Por orden de Uribe, Martha Lucía puso como asesor en ministerio de defensa, al asesino de Jaime Garzon: José Miguel Narva…</t>
  </si>
  <si>
    <t>RT @nicolaspetroB: Los videos que veíamos en otras partes del mundo, los empezamos a vivir en Barranquilla Alcalde @jaimepumarejo se aveci…</t>
  </si>
  <si>
    <t>RT @gaitan_presente: En el carro es el doble de absurdo. Ella no está repitiendo la misma frase, ESTÁ "EXPLICANDO" (por cierto, algo q podr…</t>
  </si>
  <si>
    <t>Así trataron a este periodista @AquinoTicias1 en Medellin, solo por cubrir la marcha contra la discriminación racia… https://t.co/2ZEHdHGENR</t>
  </si>
  <si>
    <t>Mañana crearan una entidad para 10 millones de habitantes autoritaria, sin participación ciudadana, hecha para los… https://t.co/YapIy0e2Iy</t>
  </si>
  <si>
    <t>RT @GustavoBolivar: Los jóvenes no son supuestos inconformes ni Vándalos. Son verdaderos inconformes y llevan la cara cubierta por el tapab…</t>
  </si>
  <si>
    <t>RT @HOLLMANMORRIS: Atención, urgente: el @National Security Archive de Washigton acaba de desclasificar archivos reservados de los EE.UU.…</t>
  </si>
  <si>
    <t>Años de la.ley 100 y su consiguiente toma por el paramilitarismo que controló clínicas, EPS, gobernadores y alcalde… https://t.co/QcfpJ6D4d0</t>
  </si>
  <si>
    <t>La marcha que fue disuelta inconstitucionalmente por Claudia y su policía era la marcha contra la discriminación ra… https://t.co/83anPIGvHC</t>
  </si>
  <si>
    <t>RT @ricardobonillag: Hoy somos país 24 en # contagiados y muertos, el 28 en recuperados, el 38 en pruebas y el 106 en pruebas x millón. Tas…</t>
  </si>
  <si>
    <t>https://t.co/V8WozGZavs https://t.co/G1SKpUOhZ9</t>
  </si>
  <si>
    <t>RT @marthaperaltae: La de hoy era una marcha llena de alegría, dignidad, con mujeres valientes y solidarias, una manifestación pacífica con…</t>
  </si>
  <si>
    <t>La participación empresarial de Martha Lucia Ramirez y su esposo en las zonas francas y su paso por el ministerio d… https://t.co/1E9ItCgcGX</t>
  </si>
  <si>
    <t>Al asesino de Jaime Garzón, asesor de Martha Lucia Ramirez y estratega de las chuzadas del DAS donde era subdirecto… https://t.co/lZ7fN2dA9G</t>
  </si>
  <si>
    <t>No llamen pelea a la defensa https://t.co/BykOVPwTaC</t>
  </si>
  <si>
    <t>RT @petrogustavo: Al asesino de Jaime Garzón, asesor de Martha Lucia Ramirez y estratega de las chuzadas del DAS donde era subdirector, par…</t>
  </si>
  <si>
    <t>RT @petrogustavo: Mañana crearan una entidad para 10 millones de habitantes autoritaria, sin participación ciudadana, hecha para los grande…</t>
  </si>
  <si>
    <t>RT @CarlosCarrilloA: Ningún estudio concluye que la torre central del San Juan de Dios debe demolerse, Bogotá va a perder un edificio impor…</t>
  </si>
  <si>
    <t>No es EEUU, es Bogotá. Son las mismas marchas, las mismas razones, y las mismas represiones. https://t.co/eQyo2toPbp</t>
  </si>
  <si>
    <t>RT @ElQueLosDELATA: Cada frase de @petrogustavo está soportada por la historia colombiana en archivos fílmicos y documentos. Lo que dice Gu…</t>
  </si>
  <si>
    <t>En la medida que el gobierno decidió sacar la gente a la calle para hacerle ganancias a los poderosos, entonces tam… https://t.co/lTsKhAG9dr</t>
  </si>
  <si>
    <t>No necesita ser petrista, solo defender programas que sean pertinentes para cambiar la actual realidad del país. L… https://t.co/SB1XaUuv1Y</t>
  </si>
  <si>
    <t>Pasaron seis meses de pandemia y la secretaria de salud de Bogotá solo ordenó una primera compra de 70, cuando se n… https://t.co/v8pUKfrCMM</t>
  </si>
  <si>
    <t>MI querido amigo, si el gobierno ordenó progresivamente la salida de gente a las calles, contra nuestra opinión qu… https://t.co/Gjth5hcEx9</t>
  </si>
  <si>
    <t>Despues de privatizar la red pública suroccidental de Bogotá, de diseñar el plan para demoler el San Juan de Dios,… https://t.co/A2i2eyrcVH</t>
  </si>
  <si>
    <t>RT @petrogustavo: En la medida que el gobierno decidió sacar la gente a la calle para hacerle ganancias a los poderosos, entonces tambien…</t>
  </si>
  <si>
    <t>Esta es la marcha de Medellín, pacífica hasta que la violentaron. Si sacan gente a la calle por decreto entonces l… https://t.co/ByR3XVchW7</t>
  </si>
  <si>
    <t>La ficción de la extrema derecha es ésta, sentir placer con que le peguen a la juventud que protesta. Ese placer e… https://t.co/MuiDKni4Bt</t>
  </si>
  <si>
    <t>Cuando se disuelve con violencia una marcha que busca protestar por el asesinato de jóvenes negros y la discriminac… https://t.co/VOlyx97Zoq</t>
  </si>
  <si>
    <t>#LasVidasNegrasImportan https://t.co/6OuFSa5n4z</t>
  </si>
  <si>
    <t>Cuando ud saca a la gente a la calle en plena pandemia porque no es capaz de tener una fuerte política social, la g… https://t.co/4j0CnG8t4U</t>
  </si>
  <si>
    <t>RT @PizarroMariaJo: ¿Quién defiende a la gente del ESMAD? Ayer celebraban y defendían las marchas en #USA, hoy tratan de vándalos a los jóv…</t>
  </si>
  <si>
    <t>RT @HOLLMANMORRIS: Señores, el sesgo no los deja ver más allá. El uribismo, y sus bodegas que está demostrado que las tiene y pagas con din…</t>
  </si>
  <si>
    <t>RT @petrogustavo: Cuando ud saca a la gente a la calle en plena pandemia porque no es capaz de tener una fuerte política social, la gente t…</t>
  </si>
  <si>
    <t>En escalas logarítmicas de crecimiento de la enfermedad covid19, Colombia está dentro de los países cuya tasa más c… https://t.co/FYvUcg0IAl</t>
  </si>
  <si>
    <t>Y si el delito es violentar las marchas, y si sus autores son funcionarios públicos?, y si secretarios y alcaldesa… https://t.co/v0qqazmds3</t>
  </si>
  <si>
    <t>RT @petrogustavo: En escalas logarítmicas de crecimiento de la enfermedad covid19, Colombia está dentro de los países cuya tasa más crece…</t>
  </si>
  <si>
    <t>Si el M19 no hubiera existido, no existiría la Constitución de 1991 sino la Constitución de 1886 y su permanente Es… https://t.co/tKygHUGxtv</t>
  </si>
  <si>
    <t>RT @petrogustavo: Pasaron seis meses de pandemia y la secretaria de salud de Bogotá solo ordenó una primera compra de 70, cuando se necesit…</t>
  </si>
  <si>
    <t>En las marchas, es la decisión personal la que define si se arriesga la persona que sale por defender unos valores… https://t.co/v3NhegWjfx</t>
  </si>
  <si>
    <t>RT @Gloria_Petro: @lcvelez @mluciaramirez El ampa en su furor... De: Pretoriano @MatonsizimoKid Tomé la foto del @CeDemocratico y marque…</t>
  </si>
  <si>
    <t>El domingo usted @AlejandroGL2014 le mintió al concejo de la ciudad. Dijo que la central de urgencias que instalam… https://t.co/Cp0AqMy9Sr</t>
  </si>
  <si>
    <t>En un país donde la verdadera fuerza del narcotráfico consiste en su ligazón con el poder político, tener presas a… https://t.co/NZAhs3wb0b</t>
  </si>
  <si>
    <t>Esta nueva figura en la constitución es para sacar a las ciudadanías de la Sabana de Bogotá de su poder de decidir.… https://t.co/MABAAvlhxf</t>
  </si>
  <si>
    <t>Un presidente de la República decente exige la renuncia de Marta Lucía Ramírez Mi entrevista a el diario El Espect… https://t.co/yWwRVbsp7W</t>
  </si>
  <si>
    <t>RT @susanamuhamad: En este momento en el senador @GermanVaronCo quiere mostrar un total apoyo a esta región, siguen invisibilizando las vo…</t>
  </si>
  <si>
    <t>Sobre la creación hoy de la región metropolitana de Bogotá sin consulta a la ciudadanía de la sabana de Bogotá Part… https://t.co/KkzkGNTLUN</t>
  </si>
  <si>
    <t>Sobre la creación hoy de la región metropolitana de Bogotá sin consulta a la ciudadanía de la sabana de Bogotá Part… https://t.co/rdSsE2fsY9</t>
  </si>
  <si>
    <t>Sobre la creación hoy de la región metropolitana de Bogotá sin consulta a la ciudadanía de la sabana de Bogotá Part… https://t.co/GeAKFaQrCw</t>
  </si>
  <si>
    <t>RT @wilsonariasc: El @PoloDemocratico nos retiramos de la votación del Proyecto de Acto Legislativo que crea la Región Metropolitana Bogotá…</t>
  </si>
  <si>
    <t>Ante la posibilidad de una mayor urbanización de la Sabana de Bogotá, por la Región metropolitana sin control polít… https://t.co/xr2gwds02U</t>
  </si>
  <si>
    <t>Quien decidirá en donde ponen el nuevo relleno sanitario, la ciudadanía de Soacha o un gerente sin control político… https://t.co/5t4TjI7hxQ</t>
  </si>
  <si>
    <t>Quien decidirá si la Sabana se tachona de autopistas con troncales de transmilenio o se protege con una red de tren… https://t.co/tzMVeIkbe0</t>
  </si>
  <si>
    <t>Quien decidirá qué áreas se urbanizan de la hoy hermosa Sabana de Bogotá destruyendo la vida municipal y su cultura… https://t.co/ep1WJ7uI02</t>
  </si>
  <si>
    <t>El senador Londoño del verde. con buen tino se separa de la decisión mayoritaria del partido verde de despojar a la… https://t.co/yqRvCjHa90</t>
  </si>
  <si>
    <t>RT @susanamuhamad: #IntegraciónConParticipación es no destruir la democracia es dejarle el poder a la ciudadanía para poder decidir sobre s…</t>
  </si>
  <si>
    <t>RT @petrogustavo: Sobre la creación hoy de la región metropolitana de Bogotá sin consulta a la ciudadanía de la sabana de Bogotá Parte III…</t>
  </si>
  <si>
    <t>RT @petrogustavo: Sobre la creación hoy de la región metropolitana de Bogotá sin consulta a la ciudadanía de la sabana de Bogotá Parte II h…</t>
  </si>
  <si>
    <t>RT @petrogustavo: Sobre la creación hoy de la región metropolitana de Bogotá sin consulta a la ciudadanía de la sabana de Bogotá Parte I ht…</t>
  </si>
  <si>
    <t>RT @JERobledo: El Polo NO respaldó la reforma constitucional sobre la región metropolitana de Bogotá y municipios de Cundinamarca. Porque:…</t>
  </si>
  <si>
    <t>RT @DanielRMed: José Aulo Polo senador del partido verde también se aparta de su partido y vota “no” a la aprobación del acto legislativo B…</t>
  </si>
  <si>
    <t>Hoy la mayor parte del partido verde con las honorables excepciones de Londoño, Sandra Ortiz y Aulo Polo le quitaro… https://t.co/uH3xKAyvU0</t>
  </si>
  <si>
    <t>RT @AmericaProgre: “Para su hermano hubo la mano tendida y el dinero para sacarlo a la libertad, mientras encarcelan campesinos” @petrogust…</t>
  </si>
  <si>
    <t>RT @rectormoreno: #PetroSaqueLaMafiaDelPoder ahí vamos... faltan muchos pero todavía hay tiempo https://t.co/wGTKPx1F6L</t>
  </si>
  <si>
    <t>Una alianza de Claudia con el uribismo ha contrarreformado la Constitución, y le ha quitado el derecho a decidir a… https://t.co/cIhxZO4ZM1</t>
  </si>
  <si>
    <t>Uribe Vélez quiso tapar esta investiga ion insultándome y calumniandome hoy en la plenaria del senado. Esta desespe… https://t.co/eK9el2h89l</t>
  </si>
  <si>
    <t>RT @charry_manager: ¿Que negocios se traen entre mano estas personas? Tengo la esperanza que estén opinando desde su ignorancia y en juici…</t>
  </si>
  <si>
    <t>RT @petrogustavo: Uribe Vélez quiso tapar esta investiga ion insultándome y calumniandome hoy en la plenaria del senado. Esta desesperado.…</t>
  </si>
  <si>
    <t>RT @MoisesAlvaro_: “En cualquier sociedad decente ese expresidente (@AlvaroUribeVel) debería estar preso.” #PetroSaqueLaMafiaDelPoder http…</t>
  </si>
  <si>
    <t>RT @petrogustavo: Una alianza de Claudia con el uribismo ha contrarreformado la Constitución, y le ha quitado el derecho a decidir a la pob…</t>
  </si>
  <si>
    <t>Un Uribe desesperado, hasta el punto que confunde las fechas de la historia, tratando de defender a Marta Lucía se… https://t.co/TcHNyIzpOm</t>
  </si>
  <si>
    <t>jajajajajja. https://t.co/nZZ5aUFhuR</t>
  </si>
  <si>
    <t>RT @petrogustavo: Un Uribe desesperado, hasta el punto que confunde las fechas de la historia, tratando de defender a Marta Lucía se lanza…</t>
  </si>
  <si>
    <t>RT @ColProgresistas: #PetroSaqueLaMafiaDelPoder los colombianos lo apoyaremos https://t.co/KbvdnpGZwX</t>
  </si>
  <si>
    <t>Esta es la historia de Guillermo Camacho el socio narcotraficante ligado a Marta Lucia Ramírez, la vicepresidente… https://t.co/UTsN5ZdTvX</t>
  </si>
  <si>
    <t>RT @JavierAdaime: Salen un montón de bobos a decir que ni Petro ni Uribe. Ellos creen que el discurso progresista de @petrogustavo es igual…</t>
  </si>
  <si>
    <t>De como Guillermo Camacho es en realidad Guillermo León Acevedo Giraldo, uno de los mayores narcotraficantes del pa… https://t.co/GDZjOt9wpe</t>
  </si>
  <si>
    <t>De como Guillermo Acevedo, alias, Colmenares es el verdadero jefe del Bloque Central Bolívar y libertadores del sur… https://t.co/OeEh1QQ5Vk</t>
  </si>
  <si>
    <t>Guillermo L Acevedo era socio del clan Cifuentes, uno de sus integrantes fue pareja de un hermano de Uribe, y patró… https://t.co/GwAjqGW7BK</t>
  </si>
  <si>
    <t>Gracias a la Vicepresidente de la República, su socio enpresarial, Guillermo Acevedo, uno de los mayores narcos, pa… https://t.co/iDtaZSysuC</t>
  </si>
  <si>
    <t>La vicepresidente de la República es socia de uno de los mayores narcotraficantes, paramilitares y genocidas que ha… https://t.co/da9EdfZW2K</t>
  </si>
  <si>
    <t>Asi se va alistando el camino del uribismo sin uribe. la salida cómoda, pero como el gatopardo, no cambia nada, sol… https://t.co/9pfLOjf1Q3</t>
  </si>
  <si>
    <t>RT @petrogustavo: Esta es la historia de Guillermo Camacho el socio narcotraficante ligado a Marta Lucia Ramírez, la vicepresidente de la…</t>
  </si>
  <si>
    <t>RT @petrogustavo: De como Guillermo Camacho es en realidad Guillermo León Acevedo Giraldo, uno de los mayores narcotraficantes del pais rel…</t>
  </si>
  <si>
    <t>RT @petrogustavo: De como Guillermo Acevedo, alias, Colmenares es el verdadero jefe del Bloque Central Bolívar y libertadores del sur en Na…</t>
  </si>
  <si>
    <t>RT @petrogustavo: Guillermo L Acevedo era socio del clan Cifuentes, uno de sus integrantes fue pareja de un hermano de Uribe, y patrón del…</t>
  </si>
  <si>
    <t>RT @petrogustavo: Gracias a la Vicepresidente de la República, su socio enpresarial, Guillermo Acevedo, uno de los mayores narcos, paras y…</t>
  </si>
  <si>
    <t>RT @petrogustavo: La vicepresidente de la República es socia de uno de los mayores narcotraficantes, paramilitares y genocidas que ha exist…</t>
  </si>
  <si>
    <t>Julio, la crisis económica tiene una raíz: la entrega del poder al narcotráfico y de la economía a la extracción de… https://t.co/DIInpzYDAK</t>
  </si>
  <si>
    <t>Tal el tamaño de esta calumnia, que la senadora, ella si hija de un narco, me pone a hablar con Castaño, cuando est… https://t.co/dLQWeJtsF0</t>
  </si>
  <si>
    <t>Un verdadero atentado contra los derechos de la mujer. Considerarla en minusvalía por su edad cuando se rebela, apr… https://t.co/PWbnBO7UIb</t>
  </si>
  <si>
    <t>RT @DanielRMed: “Me podrán matar, no sé qué me pase en este país pero jamás podría ser como usted señor Uribe, dígame cómo soy, un revoluci…</t>
  </si>
  <si>
    <t>RT @petrogustavo: Tal el tamaño de esta calumnia, que la senadora, ella si hija de un narco, me pone a hablar con Castaño, cuando este ya e…</t>
  </si>
  <si>
    <t>Otra muestra de la inmensa incoherencia mental de Uribe es que me acusa de recibir un millón de dolares que según é… https://t.co/vdrULfvfAR</t>
  </si>
  <si>
    <t>Otra incoherencia mental de Uribe: afirmó que recibí dos millones de dólares para la toma del Palacio de Justicia.… https://t.co/9RqgWZduuO</t>
  </si>
  <si>
    <t>Ya estamos en el puesto 12 entre todos los países en el mundo en cantidad de contagiados diarios. Pero somos el 10… https://t.co/1EEYiziRdV</t>
  </si>
  <si>
    <t>RT @DavidRacero: Un día como hoy, 17 de junio del año 2018, Iván Duque y su coalición le robaban las elecciones a @petrogustavo y con ello…</t>
  </si>
  <si>
    <t>RT @petrogustavo: Otra incoherencia mental de Uribe: afirmó que recibí dos millones de dólares para la toma del Palacio de Justicia. Siend…</t>
  </si>
  <si>
    <t>Otra calumnia de Uribe, dijo que varias veces me vi con Carlos Castaño para cuadrar asesinatos de mis compañeros. M… https://t.co/JpgRPBqHtE</t>
  </si>
  <si>
    <t>Finalmente toda la incoherencia de Uribe es para desviar el debate sobre la Presidente de la que solicite renuncia… https://t.co/aSz70qEVEW</t>
  </si>
  <si>
    <t>El debate que he propuesto es definir entre la política mafiosa en el Poder y un proyecto democrático para Colombia… https://t.co/ZoHOmXGWm7</t>
  </si>
  <si>
    <t>Para quienes quieren ver mi entrevista en tercer Canal sobre la política mafiosa en el poder y un proyecto democrát… https://t.co/B7mw7d07Wn</t>
  </si>
  <si>
    <t>La encíclica, nuestra casa común, es la reconciliación de la iglesia católica con la humanidad y con la naturaleza.… https://t.co/h6dTvuknG5</t>
  </si>
  <si>
    <t>RT @PizarroMariaJo: Coherencia + Consistencia: el "Centro" usa los extremos para crecer políticamente. Desde los "Extremos" en los que uds.…</t>
  </si>
  <si>
    <t>El no polaricen, es el quédense callados, gritan cállense, mientras la mafia se toma el estado en medio del asesinato de los humildes.</t>
  </si>
  <si>
    <t>Los grandes comerciantes quisieran desatar una orgía de compras en medio de la especulación de precios y la pandemi… https://t.co/0L0zd3T7p4</t>
  </si>
  <si>
    <t>Mis felicitaciones a @FranciaMarquezM su presidencia en el consejo de Paz. Mostrará que la verdadera paz pasa por… https://t.co/M2y5DK40v8</t>
  </si>
  <si>
    <t>El ser humano que se divierte con la muerte de animales se terminará divirtiendo con muerte de seres humanos. Este… https://t.co/zd7mRTMvpc</t>
  </si>
  <si>
    <t>RT @MonederoJC: Y como ocurría durante el nazismo, están los asesinos de escritorio, los que señalan, jalean, justifican estos comportamien…</t>
  </si>
  <si>
    <t>RT @cielo_rusinque: Ya escucharon este audio? que horror, coscorrón le quedó en pañales y así la quieren Presidenta 😱🤦‍♀️https://t.co/68SfZ…</t>
  </si>
  <si>
    <t>RT @petrogustavo: El no polaricen, es el quédense callados, gritan cállense, mientras la mafia se toma el estado en medio del asesinato de…</t>
  </si>
  <si>
    <t>RT @andrefelgiraldo: Votaron NO en el plebiscito. Votaron por Duque. Celebran que destrocen el acuerdo de paz. Y se preguntan por qué está…</t>
  </si>
  <si>
    <t>RT @ActualidadRT: ¿De qué trata 'Matarife', la serie sobre Uribe de la que todos hablan ahora en Colombia? Vean aquí el nuevo @CartasMesaT…</t>
  </si>
  <si>
    <t>Bien. El cambio climático puede acabar las ballenas y la vida marina en unos años por acidificación de los océanos… https://t.co/OlL2rQ99XY</t>
  </si>
  <si>
    <t>Colombia se burló de los países que aceptaron su invitación para ser garantes de paz: Cuba y Noruega. Ahora Norueg… https://t.co/nKEc6rzwkS</t>
  </si>
  <si>
    <t>Cuando se le quita a la ciudadanía su poder de decisión, tal como sucede con el fracking, ya el primer perdedor es… https://t.co/ar3PvY0Ck0</t>
  </si>
  <si>
    <t>RT @petrogustavo: Bien. El cambio climático puede acabar las ballenas y la vida marina en unos años por acidificación de los océanos Hay…</t>
  </si>
  <si>
    <t>RT @ElCafePicante: La gran mentira de Uribe. Pablo Escobar jamás financió al M-19 y mucho menos ordenó la toma del Palacio de Justicia. ht…</t>
  </si>
  <si>
    <t>La toma del palacio de Justicia tiene un origen politico y no en Pablo Escobar. El M19 buscaba denunciar a Belisar… https://t.co/Cq2RKte7oE</t>
  </si>
  <si>
    <t>parte de II. El mayor poder del narcotráfico está en que ha cooptado el poder político y el Estado https://t.co/HTxMr0084R</t>
  </si>
  <si>
    <t>El socio de la Vicepresidente de la República, Marta Lucía Ramírez, es una fusión de pablo escobar y Carlos castaño… https://t.co/cbtmK4doMw</t>
  </si>
  <si>
    <t>RT @petrogustavo: El socio de la Vicepresidente de la República, Marta Lucía Ramírez, es una fusión de pablo escobar y Carlos castaño: Uno…</t>
  </si>
  <si>
    <t>El socio de la Vicepresidente de la República, Marta Lucía Ramírez, es una fusión de pablo escobar y Carlos castaño… https://t.co/WBXwNvEZ4w</t>
  </si>
  <si>
    <t>RT @RevistaSemana: Hoy en @Semanaenvivo, @MJDuzan entrevista a @petrogustavo. Hablarán sobre la grabación con la que el fiscal Barbosa lo v…</t>
  </si>
  <si>
    <t>RT @BogotaLogica: Los Concejales de Zipaquirá dicen que no se les tuvo en cuenta para el debate de la Región Metropolitana. Ni consulta p…</t>
  </si>
  <si>
    <t>RT @susanamuhamad: @ClaudiaLopez desde el Concejo de Bogotá apoyó esta carta abierta de varias organizaciones y me uno a que la Alcaldesa r…</t>
  </si>
  <si>
    <t>Aquí la prueba que lo que he dicho no es falso. Solo una vez me entreviste con Carlos Castaño, cono lo dije public… https://t.co/APQxUohvpw</t>
  </si>
  <si>
    <t>RT @MaPaulaFonseca: “Entre un proyecto democrático o la mafia en el poder no hay puntos medios. Fajardo tiene que decidirse.” Senador @petr…</t>
  </si>
  <si>
    <t>RT @Semanaenvivo: "Fajardo tiene que definirse, porque si está con Uribe, está con Uribe": @petrogustavo dice que @sergio_fajardo ayuda al…</t>
  </si>
  <si>
    <t>RT @Semanaenvivo: "Maduro no es amigo mío, ellos no me quieren. Chávez fue amigo mío": @petrogustavo dice que lo quieren señalar de ser cer…</t>
  </si>
  <si>
    <t>RT @Semanaenvivo: "Lo más grave es que Marta Lucía Ramírez nombró como asesor, por orden de Uribe, a José Miguel Narváez que era paramilita…</t>
  </si>
  <si>
    <t>RT @Semanaenvivo: "Hubo una planificación criminal de compra de votos para ganar las elecciones": @petrogustavo señala en @Semanaenvivo que…</t>
  </si>
  <si>
    <t>RT @Semanaenvivo: En @semanaenvivo, @petrogustavo habla sobre su derrota en las presidenciales de 2018. "En primera vuelta barrí en toda la…</t>
  </si>
  <si>
    <t>RT @Semanaenvivo: "No se tomó el Palacio por orden de Pablo Escobar. Esa es una mentira oficial": @petrogustavo en entrevista con @MJDuzan.…</t>
  </si>
  <si>
    <t>RT @Semanaenvivo: En @semanaenvivo, @petrogustavo criticó la tesis de Uribe que lo relaciona con Rodríguez Orejuela y Chávez. "¿Cómo puede…</t>
  </si>
  <si>
    <t>RT @Semanaenvivo: "Castaño no era el jefe de los paramilitares. Era una federación de narcotraficantes, eso no tenía un mando": @petrogusta…</t>
  </si>
  <si>
    <t>RT @Semanaenvivo: En entrevista con @MJDuzan, @petrogustavo señaló que el exjefe paramilitar Don Berna confirmó la reunión entre el hoy sen…</t>
  </si>
  <si>
    <t>RT @Semanaenvivo: .@petrogustavo le reveló a @MJDuzan el consejo que le dio Angelino Garzón antes de encontrarse con Carlos Castaño en el 2…</t>
  </si>
  <si>
    <t>RT @SaraTufanoZ: .@petrogustavo explicó en @Semanaenvivo cuál es el vínculo entre el gobierno y el narcotráfico y por qué el país se encuen…</t>
  </si>
  <si>
    <t>RT @Semanaenvivo: "La federación de traquetos esta con el gobierno y con el Uribismo": @petrogustavo le menciona a @MJDuzan que en Colombia…</t>
  </si>
  <si>
    <t>RT @Bio_Saurus: ¿Ya podemos decir que Petro es el hombre más valiente de Colombia? "...Y Petro con su arrogancia lo primero que le dijo…</t>
  </si>
  <si>
    <t>RT @MAGODELASINTONI: "Pido la palabra" Pretender poner a @petrogustavo al mismo nivel de @AlvaroUribeVel, cuando el primero ha expuesto su…</t>
  </si>
  <si>
    <t>RT @ernesto_prado: Los días sin IVA, benefician al grupo Corbeta, su presidente, Manuel Santiago Mejía Correa es socio de Álvaro y Santiago…</t>
  </si>
  <si>
    <t>Quien tenía que garantizar compras de UCI en Bogotá es la alcaldía que tenía recursos más que suficientes y quien c… https://t.co/vhFTS4CTZS</t>
  </si>
  <si>
    <t>Excelente que Alex Vernot, excandidato a la alcaldía de Bogotá, esté en libertad. Víctima de Néstor Humberto Martín… https://t.co/vQtbvAOMQW</t>
  </si>
  <si>
    <t>No salgan a comprar por favor. Los padres valen más que un televisor importado. No dejen ir a los niños y niñas… https://t.co/WLmf9Y2ESd</t>
  </si>
  <si>
    <t>RT @petrogustavo: No salgan a comprar por favor. Los padres valen más que un televisor importado. No dejen ir a los niños y niñas al col…</t>
  </si>
  <si>
    <t>RT @pierrealee: Un corto pero sustancioso análisis de lo que sucede en @BarranquilIa por @petrogustavo. https://t.co/rylfaKi74u</t>
  </si>
  <si>
    <t>RT @AndresCamiloHR: "Las cifras nos muestran que se debe volver a un confinamiento urgente" dice el Senador @petrogustavo en la plenaria de…</t>
  </si>
  <si>
    <t>RT @AndresCamiloHR: "Los decretos del Gobierno han llevado a la muerte a miles de colombianos y no sirve para una reactivación eficaz" seña…</t>
  </si>
  <si>
    <t>RT @AndresCamiloHR: "El dinero no llegó a los hospitales y se quedaron sin recursos en medio de la pandemia" dice @petrogustavo en la plena…</t>
  </si>
  <si>
    <t>RT @AndresCamiloHR: "Los decretos de emergencia del gobierno no fueron usados para fortalecer la red hospitalaria, sino para ayudar a la ba…</t>
  </si>
  <si>
    <t>RT @ammejiaaguado: .⁦@petrogustavo⁩ en plenaria en el ⁦@SenadoGovCo “El gobierno no quizo legislar para llevar las ayudas necesarias a las…</t>
  </si>
  <si>
    <t>RT @angelamrobledo: La creación de la Región metropolitana Bogotá-Cundinamarca tiene bondades, pero crearla como lo hicieron resulta peligr…</t>
  </si>
  <si>
    <t>Empezó por abrir los centros comerciales y permitió el debilitamiento de la cuarentena. Primaron los intereses cod… https://t.co/VEJw7NSQbz</t>
  </si>
  <si>
    <t>RT @DanielRMed: Petro mostró esta gráfica diseñada por Stiglitz, Stern y otros académicos de Oxford en la que se muestran la eficacia climá…</t>
  </si>
  <si>
    <t>RT @DanielRMed: “No se contrató el personal suficiente, no se compraron los equipos ni las pruebas, no se fortalecieron los hospitales, de…</t>
  </si>
  <si>
    <t>Los pueblos que se comportan como rebaños olvidan que los rebaños solo van al matadero.</t>
  </si>
  <si>
    <t>RT @jairoulloacade: Las aguilas negras se dejan ver en las calles de Floridablanca Santander Encapuchados vestido de negro arremeten contra…</t>
  </si>
  <si>
    <t>RT @NancyFiallo: @VickyDavilaH @marthaperaltae Paramilitarismo a una cuadra de la Alcaldía de Floridablanca - Santander https://t.co/wIHvf4…</t>
  </si>
  <si>
    <t>Imitando a Trump y Bolsonaro, Duque lleva a la sociedad colombiana hacia extender la enfermedad y elevar sustancial… https://t.co/cktyNMWUBs</t>
  </si>
  <si>
    <t>Imitando a Trump y Bolsonaro, Duque lleva a la sociedad colombiana hacia extender la enfermedad y elevar sustancial… https://t.co/OVDe3vnaIV</t>
  </si>
  <si>
    <t>Imitando a Trump y Bolsonaro, Duque lleva a la sociedad colombiana hacia extender la enfermedad y elevar sustancial… https://t.co/x3MqnymMHb</t>
  </si>
  <si>
    <t>Los gobernantes autoritarios han aprovechado el confinamiento de la gente para conculcar los derechos fundamentales… https://t.co/XPNyCN8yir</t>
  </si>
  <si>
    <t>RT @petrogustavo: Los pueblos que se comportan como rebaños olvidan que los rebaños solo van al matadero.</t>
  </si>
  <si>
    <t>Y puso a volar a la mafia https://t.co/T5wjOgSppO</t>
  </si>
  <si>
    <t>RT @petrogustavo: Los gobernantes autoritarios han aprovechado el confinamiento de la gente para conculcar los derechos fundamentales. El…</t>
  </si>
  <si>
    <t>Este es el fascismo en Santander. Con la ausencia cómplice de la policía en Floridablanca, las bandas negras golpe… https://t.co/NPJgFpuJNY</t>
  </si>
  <si>
    <t>Manuel Santiago Mejía Correa, dueño de Ktronix, el éxito, Alkosto, financió la campaña de Duque. Duque generó el m… https://t.co/wkZv9MlJB5</t>
  </si>
  <si>
    <t>RT @petrogustavo: Imitando a Trump y Bolsonaro, Duque lleva a la sociedad colombiana hacia extender la enfermedad y elevar sustancialmente…</t>
  </si>
  <si>
    <t>RT @AndresCamiloHR: El Senador Gustavo Petro (@petrogustavo) levanta la voz en el Senado de la República (@SenadoGovCo) por la muerte de Al…</t>
  </si>
  <si>
    <t>Con todo respeto el gas no reverdece. El gas es un combustible fósil, que genera emisiones de CO2 y lleva a la huma… https://t.co/Qp1VrFQjK0</t>
  </si>
  <si>
    <t>Cuando el Congreso hundió la renta mínima básica, hundió en primer lugar la mejor política de reactivación económic… https://t.co/yJAgjY0ub4</t>
  </si>
  <si>
    <t>Esto es un engaño similar al de Peñalosa. Comparado con Euro II todo vehículo nuevo arroja menos material particul… https://t.co/Sug4Ukbsay</t>
  </si>
  <si>
    <t>En las derechas, y aquí coinciden Cabal y la senadora Angélica, se piensa que es igual salir a defender un derecho… https://t.co/KcbN78uBmN</t>
  </si>
  <si>
    <t>Al introducir la cadena perpetua en la constitución, trato cruel del Estado, por una parte se ampliará fácil a cual… https://t.co/Jso6lKsCgp</t>
  </si>
  <si>
    <t>Esto también es falso. Europa no estimula el uso de Euro VI a diesel y gas, sino su reemplazo rápido por vehículos… https://t.co/oN33Wp2saj</t>
  </si>
  <si>
    <t>En Canadá la población tiene derecho a la pensión, en Colombia no. Un adulto mayor puede vivendo de su pensión dec… https://t.co/BDgOAEzYFN</t>
  </si>
  <si>
    <t>Ya en 2015 los buses zonales nuevos comprados eran híbridos, con motor eléctrico. Esto que entregan en Bogotá hoy,… https://t.co/GKElu8W3fW</t>
  </si>
  <si>
    <t>Periodista de peñalosa: Primero yo no estoy promoviendo marchas, pero me opongo rotundamente a que repriman con Es… https://t.co/tNDMTSLPeE</t>
  </si>
  <si>
    <t>RT @susanamuhamad: @ClaudiaLopez No aceptaron en el Plan de Dello que a partir de este año, el distrito NO compre buses que utilicen combus…</t>
  </si>
  <si>
    <t>Siento temor por esta decisión del minsalud presionada por Claudia. En Bogotá aún quedan 400 respiradores y la alca… https://t.co/H4XklqeGNN</t>
  </si>
  <si>
    <t>De cómo la riqueza de Venezuela, gracias al bloqueo que impulsa Duque, termina llenando vía Saab, los bolsillos del… https://t.co/WcYQ5xvnFQ</t>
  </si>
  <si>
    <t>RT @PanclastaBiofil: Esta señora sigue creyendo que no tenemos memoria, y así no la tuviéramos twitter nos ayuda para evidenciar su incoher…</t>
  </si>
  <si>
    <t>Esta información es falsa. Los ventiladores o respiradores solo sirven si entran en Colombia. Una cosa es contrat… https://t.co/tIAn5tQVEF</t>
  </si>
  <si>
    <t>Colombia urgentemente tiene que entrar a una cuarenta sin hambre de manera inmediata. Para ello Duque debe adecuar… https://t.co/PhostQOMzw</t>
  </si>
  <si>
    <t>" Un grupo de vigilantes informales" así llaman ahora a los paramilitares. https://t.co/EJu6O8egCT</t>
  </si>
  <si>
    <t>Peñalosa descubriendo a su compañera de gobierno: Claudia Lopez. https://t.co/MN6I66FPTR</t>
  </si>
  <si>
    <t>RT @sofia_petro: https://t.co/IgNhA1saWQ</t>
  </si>
  <si>
    <t>RT @sofia_petro: https://t.co/kZVlskp96h</t>
  </si>
  <si>
    <t>RT @petrogustavo: Peñalosa descubriendo a su compañera de gobierno: Claudia Lopez. https://t.co/MN6I66FPTR</t>
  </si>
  <si>
    <t>RT @petrogustavo: Colombia urgentemente tiene que entrar a una cuarenta sin hambre de manera inmediata. Para ello Duque debe adecuar otro…</t>
  </si>
  <si>
    <t>Hoy tenemos, en realidad ocurrió hace días, 30 muertos en la zona Barranquilla/Soledad, y 16 muertos en el área Bog… https://t.co/x1VUas6kXX</t>
  </si>
  <si>
    <t>RT @CuartoDeHoraCol: ⚠ ¡Exclusivo @CuartoDeHoraCol! #PetroYBolívarSinMiedo en un solo lugar. Desde este domingo 21 de junio a las 6am tend…</t>
  </si>
  <si>
    <t>Este hombre es el gran beneficiario del dia sin IVA, fue el financiador de la campaña de Duque y dirige a Fajardo.… https://t.co/cjObtorbdF</t>
  </si>
  <si>
    <t>Respuesta completa de Colombia Humana a los decretos de emergencia de Duque. https://t.co/2ZQGyGfSpN</t>
  </si>
  <si>
    <t>RT @GustavoBolivar: “La Pandemia ha desnudado el Poder” Columna de opinión de @petrogustavo para @CuartoDeHoraCol #PetroYBolivarOpinan…</t>
  </si>
  <si>
    <t>Esta es la columna de Gustavo Bolívar para @CuartoDeHoraCol . Reformando la Constitución en calzoncillos. https://t.co/hQjh7pSvJb</t>
  </si>
  <si>
    <t>Fajardo me llama mentiroso por repetir este articulo de la Silla Vacía, pero oculta el centro del debate: La apro… https://t.co/TyjCrIgXHK</t>
  </si>
  <si>
    <t>La mixtura de facto que se ha hecho con la propiedad pública por parte del GEA, financiando los principales polític… https://t.co/u6RL4WocJ5</t>
  </si>
  <si>
    <t>Ejemplo de esta codicia de amasar ganancias con el patrimonio público, finalmente hizo su expresión en la pandemia.… https://t.co/5bIXwPRb41</t>
  </si>
  <si>
    <t>RT @GustavoBolivar: A los q me dicen guerrillero: mis unicas armas son, 2 compus, 2 huevos bien puestos y 2 celulares con mucha munición: 8…</t>
  </si>
  <si>
    <t>RT @Tercer_Canal: HOY 8PM #LosGustavos la lectura de las columnas de @petrogustavo y @GustavoBolivar, comentada y moderada por @HOLLMANMORR…</t>
  </si>
  <si>
    <t>RT @petrogustavo: Esta es la columna de Gustavo Bolívar para @CuartoDeHoraCol . Reformando la Constitución en calzoncillos.</t>
  </si>
  <si>
    <t>El covid19 ya esta a punto de ser la causas de mortalidad en América Latina y el mundo, a pesar de tener los datos… https://t.co/SrENUgTVIP</t>
  </si>
  <si>
    <t>El covid19 ya ha superado al suicidio, la malaria, el hambre, el homicidio, el alcoholismo como principales causas… https://t.co/RxgVclaL7V</t>
  </si>
  <si>
    <t>RT @petrogustavo: Fajardo me llama mentiroso por repetir este articulo de la Silla Vacía, pero oculta el centro del debate: La apropiació…</t>
  </si>
  <si>
    <t>Esta posición del GEA, Grupo Empresarial Antioqueño, contra el proyecto de la Colombia Humana: Un país democrático,… https://t.co/IvQKErO7aP</t>
  </si>
  <si>
    <t>Ahora bien claramente si proponemos un modelo de salud y de pensiones diferentes, basados en la prevención de la sa… https://t.co/MNxHw5DaQE</t>
  </si>
  <si>
    <t>Si proponemos un modelo separado del extractivismo minero, y centrado en conocimiento y la producción, las nuevas v… https://t.co/0eGPWuvlw9</t>
  </si>
  <si>
    <t>La dependencia de Fajardo al GEA, y la nueva posición antiproductiva del GEA, se ha convertido en el princip4añ obs… https://t.co/kg266FDjdI</t>
  </si>
  <si>
    <t>La pandemia ha desnudado el Poder que tenemos https://t.co/mpUN5dixzy</t>
  </si>
  <si>
    <t>Lo único que tenemos para oponernos a la injusticia es la conciencia. https://t.co/u6g7uKos16</t>
  </si>
  <si>
    <t>Esta traducción de un capitulo del libro de Bolton, el ex asesor de Trump, demuestra que no nos equivocamos en nue… https://t.co/LGNO0vA5nE</t>
  </si>
  <si>
    <t>En la semana que viene alcanzaremos el nivel de contagio de China que tanto asombró al mundo. Se trata de la demos… https://t.co/U2qr560izc</t>
  </si>
  <si>
    <t>En el Tercer Canal por facebook live https://t.co/UOTg9jTDDg</t>
  </si>
  <si>
    <t>¿Por qué razón teniendo la.autoridad.para evitarlo, y siendo conciente del riesgo vital para la población, Claudia… https://t.co/d7RX1ObJ7r</t>
  </si>
  <si>
    <t>RT @cielo_rusinque: ”A mi me da grima, ver a los liberales votando proyectos q nada tienen q ver con su idiologia, esas personas no son lib…</t>
  </si>
  <si>
    <t>RT @heidy_up: #AlAireEnLaW | Con la Región Metropolitana se proyecta la edificación de casi 3 millones de viviendas en la región, allí no s…</t>
  </si>
  <si>
    <t>La prohibición de desalojo y dejar de pagar arriendo.era indispensable para las familias arrendatarias en cuarenten… https://t.co/mod9C6uU8I</t>
  </si>
  <si>
    <t>¿Saben que el interventor del metro elevado escogido en el gobierno de Claudia es el mismo que se escogió para vigi… https://t.co/1T8PEil2Pd</t>
  </si>
  <si>
    <t>¿Y si les dijera que el premio Nobel de economia Joseph Stiglitz, propone lo mismo que Colombia Humana? La economí… https://t.co/UbvuBS1cYL</t>
  </si>
  <si>
    <t>RT @juanito2525: https://t.co/sTxVJKF96o</t>
  </si>
  <si>
    <t>RT @bogotamuyfirme: Miren esto: La @PGN_COL denunció que la Sra. @ClaudiaLopez en plena pandemia le entregó contratos por 67.832 millones…</t>
  </si>
  <si>
    <t>RT @cuestion_p: 1. El senador José Obdulio Gaviria es primo de Pablo Escobar, excapo del cartel de Medellín. Dos de sus hermanos estuvieron…</t>
  </si>
  <si>
    <t>El periodismo tradicional se enfrenta con las redes y sufre las consecuencias. Es una oportunidad e la democratiza… https://t.co/kfNXZN1CkQ</t>
  </si>
  <si>
    <t>Fui y soy un revolucionario, no he secuestrado ni asesinado a nadie, y deje a Bogotá en su mejor momento financier… https://t.co/EBXreOTYvG</t>
  </si>
  <si>
    <t>RT @petrogustavo: ¿Y si les dijera que el premio Nobel de economia Joseph Stiglitz, propone lo mismo que Colombia Humana? La economía debe…</t>
  </si>
  <si>
    <t>RT @HOLLMANMORRIS: Los vi rasgandose las vestiduras por el Día Sin IVA, pero van aumentar la capacidad de Transmilenio a un 50%. Es una inc…</t>
  </si>
  <si>
    <t>RT @AidaAvellaE: Murió María Nelly Murillo. Se fue otra líder, mujer luchadora. Siempre al lado de su gente! Solidaridad a su familia http…</t>
  </si>
  <si>
    <t>RT @LUISEROLAVE: No podemos permitir más abusos de gob @IvanDuque⁩ en contra del pueblo Afro e Indígena. Esto que dice el Cónsul de Colombi…</t>
  </si>
  <si>
    <t>RT @ricardobonillag: Siguen dudas sin resolver respecto a decesos, hasta ayer 366, el 16%, fue reportado con diagnóstico póstumo y sin aten…</t>
  </si>
  <si>
    <t>Claro, produzco el gran estrago de la Justicia Social en un país que se distingue porque sus gobernantes depredan a… https://t.co/XWlri55qcF</t>
  </si>
  <si>
    <t>A veces me aterra como una generación de políticos colombianos tienen en comun la ignorancia sobre el mundo, sobre… https://t.co/IWqISZa30c</t>
  </si>
  <si>
    <t>RT @MashiRafael: Correa: “Así se repartieron la Patria” | https://t.co/Z41fmifwkS https://t.co/gtcuphWIrf</t>
  </si>
  <si>
    <t>RT @dianalzuleta: La ausencia de mi padre cupo todo mi ser. Desde que me lo mataron he estado rota, vacía, en ruinas; me ha habitado la inc…</t>
  </si>
  <si>
    <t>RT @HumanaJuventud: Por educación gratis y de calidad #PetroPresidente2022 Por la inclusión de los jóvenes en la toma de decisiones en la t…</t>
  </si>
  <si>
    <t>La cuarenta estricta en Barranquilla implica una fuerte política social Ante la ausencia de gobierno nacional para… https://t.co/k66h6Mh204</t>
  </si>
  <si>
    <t>La gobernación de Cundinamarca a dado el paso hacia la.gratuidad de la educación superior con la universidad de Cun… https://t.co/3uEIgjdtFm</t>
  </si>
  <si>
    <t>RT @petrogustavo: La cuarenta estricta en Barranquilla implica una fuerte política social Ante la ausencia de gobierno nacional para otorg…</t>
  </si>
  <si>
    <t>Pastora, en Bogotá construimos un sistema de salud basado en médicos y enfermeras que cubrían ordenadamente microte… https://t.co/fk1exES3Dj</t>
  </si>
  <si>
    <t>RT @nicolaspetroB: La doble moral de los medios de comunicación, hablan de la polarización y del odio generado, pero hacen noticia a cada a…</t>
  </si>
  <si>
    <t>La universidad de Cundinamarca ha pasado a la gratuidad en la educación superior, sus costos van a los presupuestos… https://t.co/PysX7h3dbH</t>
  </si>
  <si>
    <t>En breves minutos https://t.co/yKRKbr62oC</t>
  </si>
  <si>
    <t>RT @ma_eugeniam: En Bogotá derribarán Héroes, por trazado del metro y con autorización de @mincultura. Antes, esa entidad había retirado…</t>
  </si>
  <si>
    <t>RT @RubenPinzonHdez: "El odio es un sentimiento que yo no tengo, si yo sintiera odio, me habría vengado de quienes me torturaron cuando tuv…</t>
  </si>
  <si>
    <t>RT @AlexKleinO: Nunca sobra decirlo: Con @AlvaroUribeVel están las mafias, las compras de votos, los falsos positivos y la parapolítica.…</t>
  </si>
  <si>
    <t>RT @DanielRMed: De @VocesRCN llamaron a @petrogustavo con la firme intención de hacerlo ver cómo un odiador, con grandilocuencia el senador…</t>
  </si>
  <si>
    <t>RT @ACOOCobjecion: Difícil encontrar uno peor: un país que ha vivido un conflicto por más de 60 años en el que han muerto más de 200.000 pe…</t>
  </si>
  <si>
    <t>Esto significa un billón de pesos que dejo de recibir el estado en el dia sin IVA pero que no quedó en el bolsillo… https://t.co/sWqDAM3ANz</t>
  </si>
  <si>
    <t>La mentira hecha gobierno. Si sigue la reactivacion economica no hay cuarentena, pero tampoco reactivación Lo ún… https://t.co/qIxtaoHsJq</t>
  </si>
  <si>
    <t>RT @GerardoReyesC: ¿Estaba Saab pagando abogados para buscar un acuerdo con EEUU? No hay claridad sobre el destino final de $2.7 millones q…</t>
  </si>
  <si>
    <t>Esta es mi entrevista en @rcnradio https://t.co/60sDwLbp5d</t>
  </si>
  <si>
    <t>RT @petrogustavo: Esta es mi entrevista en @rcnradio https://t.co/60sDwLbp5d</t>
  </si>
  <si>
    <t>Han violado una niña publica y lo hicieron siete funcionarios públicos armados y del gobierno. ¿Hacia donde va el… https://t.co/TJEhRSD071</t>
  </si>
  <si>
    <t>¿Por qué la sevicia de no permitir el entierro del líder social? Porque el mensaje va dirigido a los quedan vivos,… https://t.co/n64SBdQRVL</t>
  </si>
  <si>
    <t>La explosión de la inseguridad de Bogotá es producto de la ausencia de una política social seria en tiempos de pand… https://t.co/T6LqbVUHpI</t>
  </si>
  <si>
    <t>RT @petrogustavo: Han violado una niña publica y lo hicieron siete funcionarios públicos armados y del gobierno. ¿Hacia donde va el Estado…</t>
  </si>
  <si>
    <t>En el dia de hoy llamaron a la misma hora a mi padre de 85 años y a mi hermano para amenazarlos de muerte. El CTI… https://t.co/EiRBOky8jA</t>
  </si>
  <si>
    <t>Para tener el número de teléfono tanto de mi padre como de mi hermano,solo es posible mediante una entidad estatal:… https://t.co/ZWurHowdgc</t>
  </si>
  <si>
    <t>El regiotram de occidente es un proyecto que nació en la gobernación de Andres González, se estudió hasta nivel de… https://t.co/y1bNUHdDsL</t>
  </si>
  <si>
    <t>Cuba solo tuvo un caso positivo y lleva menos muertos en todo el periodo de pandemia que comenzó al mismo tiempo qu… https://t.co/c7m9FI9AkF</t>
  </si>
  <si>
    <t>El sistema de salud preventivo, no mercantil y territorializado, no es exclusivo de Cuba, lo inició y lo tiene Cost… https://t.co/9X8Qg9vBnd</t>
  </si>
  <si>
    <t>Bogotá comenzó a construir un sistema de salud preventiva, no mercantil y territorializado en 2003 con Lucho Garzón… https://t.co/RHpEG4LbKr</t>
  </si>
  <si>
    <t>RT @petrogustavo: La explosión de la inseguridad de Bogotá es producto de la ausencia de una política social seria en tiempos de pandemia.…</t>
  </si>
  <si>
    <t>RT @ruidiaz_ddhh: No entiendo como Nestor (BluRadio) todo un periodista de años da la noticia de la amenaza de la familia de @petrogustavo…</t>
  </si>
  <si>
    <t>RT @AlexLopezMaya: Informan q 7 soldados del ejército nacional violaron niña de 12 años, 18 generales acusados por narcotrafico, 280 oficia…</t>
  </si>
  <si>
    <t>Ella es una de las impulsoras de la cadena perpetua. El delito recién cometido por miembros del ejercito contra un… https://t.co/2nHe8yWmNF</t>
  </si>
  <si>
    <t>Sin una sociedad hundida en la exclusión, la discriminación, el machismo, la ignorancia, no habrá violencia contra… https://t.co/vMgFWpMLmw</t>
  </si>
  <si>
    <t>Nuestro ejército ha sido degradado, lo degradó una guerra permanente, como si fuera de la esencia del ser humano pe… https://t.co/GwNcPchfqv</t>
  </si>
  <si>
    <t>Como nunca antes se había vuelto tan vigente la frase de Gaitán que hablaba de la Reconstrucción moral de la Repúbl… https://t.co/MJc9lvsQem</t>
  </si>
  <si>
    <t>Es un abogado pero pareciera que no hubiera puesto atención a las clases de su universidad. ADM19 fue un partido l… https://t.co/5zvX6NYGM1</t>
  </si>
  <si>
    <t>El general José María Melo, fue el último oficial del ejército Libertador, encabezó la insurrección de los artesano… https://t.co/ec4pvUaMCF</t>
  </si>
  <si>
    <t>José Maria Melo, el primer presidente indígena de Colombia, luchó a la muerte de Bolívar por restablecer la Gran Co… https://t.co/ZEecPBT2ON</t>
  </si>
  <si>
    <t>El general Melo dirigió la insurrección de los artesanos para construir la industria nacional protegiendola de impo… https://t.co/k2LH6zrsJq</t>
  </si>
  <si>
    <t>Derrocado Melo siguió luchando en Costa Rica, en el Salvador, se enfrentó a la invasión norteamericana en Nicaragu… https://t.co/Pdbw1MomO5</t>
  </si>
  <si>
    <t>La vida del general bolivariano José Maria Melo, luchador de Pichincha y Ayacucho, ha sido ocultada a la sociedad c… https://t.co/yvzcBp98QF</t>
  </si>
  <si>
    <t>RT @petrogustavo: Ella es una de las impulsoras de la cadena perpetua. El delito recién cometido por miembros del ejercito contra una meno…</t>
  </si>
  <si>
    <t>Bogotá puede dar el paso a la gratuidad de la educación superior en su universidad pública. El dinero presupuestad… https://t.co/pNGok56asz</t>
  </si>
  <si>
    <t>El gobierno no puede controlar la enfermedad. Ni construyo una política social para el confinamiento, ni fortaleció… https://t.co/uCG6bJRMLr</t>
  </si>
  <si>
    <t>El fiscal Barbosa esta buscando la impunidad de los militares que violaron la niña de 12 años. Esa actitud general… https://t.co/nT8YNX4YFF</t>
  </si>
  <si>
    <t>RT @redcomunitariat: Este 3 de julio saldremos a las calles de manera pacífica a exigir #JusticiaParaAlejandra. Cumpliremos con todos los…</t>
  </si>
  <si>
    <t>RT @DanielRMed: Presenta @JuanitaGoe como gran conquista el concepto del desarrollo sostenible en su acto legislativo, que lejos está el @P…</t>
  </si>
  <si>
    <t>RT @petrogustavo: El fiscal Barbosa esta buscando la impunidad de los militares que violaron la niña de 12 años. Esa actitud generaliza es…</t>
  </si>
  <si>
    <t>RT @rabodeajip: Para pensar en lo que ha pasado en Antioquia Cifras del DANE de hoy sobre muertes en Colombia entre Enero y Marzo Antioquia…</t>
  </si>
  <si>
    <t>La tecnocracia no es tener argumentos. Es reemplazar el poder de la ciudadanía por un poder de seudo técnicos que a… https://t.co/6M9Y0kID9H</t>
  </si>
  <si>
    <t>Colombia deberia parar un dia ante la brutalidad del Estado en contra de la niñez en nuestro país.</t>
  </si>
  <si>
    <t>RT @Josecuervos1975: @Indignara En EEUU policías asesinan a George Floyd y se genera una movilización masiva a nivel nacional e internacion…</t>
  </si>
  <si>
    <t>RT @MajoDoria: Gente, les dejo mi última columna que es una respuesta a las últimas discusiones de ciertos personajes. Monopolios u oligop…</t>
  </si>
  <si>
    <t>RT @petrogustavo: Colombia deberia parar un dia ante la brutalidad del Estado en contra de la niñez en nuestro país.</t>
  </si>
  <si>
    <t>¿Ha visto a gente diciendo que tuve algo que ver con Pablo Escobar? Mren lo que dice este familiar de Escobar https://t.co/SOLSVhGr2e</t>
  </si>
  <si>
    <t>La fiscalía confirma que tipificó el delito de los militares em Risaralda como abuso sexual que no es lo mismo que… https://t.co/aEl4eJeUY9</t>
  </si>
  <si>
    <t>RT @ismene2: Ve, ¿sabes quienes aplicaron la tecnocracia como política? Los Nazis, industrializaron el asesinato al punto de aprovechar tod…</t>
  </si>
  <si>
    <t>En el ártico, en virtud de la crisis climática producida por el consumo de petróleo, carbón y gas, las temperaturas… https://t.co/bf3o2WS49j</t>
  </si>
  <si>
    <t>Un manifiesto progresista mundial https://t.co/8sp2x1zrI9</t>
  </si>
  <si>
    <t>A Caicedo,el gobernador del Magdalena,la clase política corrupta, le esta haciendo lo que ya me hicieron a mi: la l… https://t.co/Q69TS3h7dK</t>
  </si>
  <si>
    <t>RT @nowthisnews: This 10-year-old is leading a climate movement in Colombia https://t.co/eC8IdYHTcP</t>
  </si>
  <si>
    <t>El DANE @DANE_Colombia no publicó los datos del 2019 sobre pobreza multidimensional, porque está cambiando la meto… https://t.co/Cnd3H0jcuX</t>
  </si>
  <si>
    <t>RT @petrogustavo: A Caicedo,el gobernador del Magdalena,la clase política corrupta, le esta haciendo lo que ya me hicieron a mi: la ley de…</t>
  </si>
  <si>
    <t>RT @anateresabernal: El Presidente de El Salvador @nayibbukele ha inaugurado el nuevo Hospital El Salvador. 1000 UCIs nuevas e instalacione…</t>
  </si>
  <si>
    <t>RT @lucianacadahia: Varias compañeras del feminismo en Colombia está proponiendo una movilización en repudio por la violación por parte del…</t>
  </si>
  <si>
    <t>El sistema de salud de Barranquilla fue muy aplaudido por Uribe y Santos. Se trataba de la entrega de toda la red h… https://t.co/QXuQes4cLU</t>
  </si>
  <si>
    <t>La administración de la red hospitalaria de Barranquilla por la Universidad de Antioquia, buscó minimizar costos al… https://t.co/2sckuKwF7I</t>
  </si>
  <si>
    <t>Paralelamente, y también bajo dirección de Char, el.presupuesto se Barranquilla se invirtió en obras públicas de ce… https://t.co/Kbtu2qShXw</t>
  </si>
  <si>
    <t>Nunca quiso decirlo la prensa, pero la accion de perfilamiento de la inteligencia del ejército iba dirigida contra… https://t.co/t6CiUCs00Z</t>
  </si>
  <si>
    <t>El Esmad asesina un niño en Soacha. La guerra contra los pobres Duque indolente,entrga el dinero público a los due… https://t.co/xuyvTgF9M4</t>
  </si>
  <si>
    <t>RT @HOLLMANMORRIS: Hoy a las 8pm sobrino de Pablo Escobar , Nicolas Escobar desmiente a Alvaro Uribe . Dice que conoció al “pecoso” el herm…</t>
  </si>
  <si>
    <t>RT @petrogustavo: Nunca quiso decirlo la prensa, pero la accion de perfilamiento de la inteligencia del ejército iba dirigida contra mi. U…</t>
  </si>
  <si>
    <t>RT @petrogustavo: El sistema de salud de Barranquilla fue muy aplaudido por Uribe y Santos. Se trataba de la entrega de toda la red hospita…</t>
  </si>
  <si>
    <t>RT @Hekatombe_: ¿Quién nos cuida de quiénes nos cuidan? El ejército y la policía son instituciones que forman personas en los marcos de la…</t>
  </si>
  <si>
    <t>Tanto @JuanitaGoe como @gusduncan se equivocan al confundir tecnocracia con técnicos y ciencia, tecnocracia es una… https://t.co/ABhkgRMiiW</t>
  </si>
  <si>
    <t>Estas son las noticias tristes que recibirá la ciudad por sus propias decisiones electorales, cada bus a gas que en… https://t.co/q0uDVEewue</t>
  </si>
  <si>
    <t>Nos sigue engañando Peñalosa, su engaño hoy es de nuevo gobierno. Bogotá Humana inició el proceso licitatorio para… https://t.co/2lAEcVEJAw</t>
  </si>
  <si>
    <t>RT @petrogustavo: Estas son las noticias tristes que recibirá la ciudad por sus propias decisiones electorales, cada bus a gas que entre a…</t>
  </si>
  <si>
    <t>El martes será demandado el acto legislativo región metropolitana por haber excluido a la consulta ciudadana de la… https://t.co/NZV4g6HOcQ</t>
  </si>
  <si>
    <t>RT @Col_Informa: #DDHH🏳| En estos momentos mujeres se dirigen hacia el distrito militar de ciudad Kennedy en rechazo a la violación de la n…</t>
  </si>
  <si>
    <t>RT @MaPaulaFonseca: Bogotá Humana dejó licitación de buses eléctricos, modernos y que no emiten CO2. Cuando @HOLLMANMORRIS preguntó a la ge…</t>
  </si>
  <si>
    <t>Hoy Bogotá entra en alerta roja frente a las Unidades de Cuidados Intensivos. El Distrito no compró ninguna tenien… https://t.co/7RGCfjf3Ov</t>
  </si>
  <si>
    <t>La manifestación en protesta por la violación de la niña indígena por parte de miembros del ejercito, fué reprimida… https://t.co/GBHHbx8usr</t>
  </si>
  <si>
    <t>RT @petrogustavo: Hoy Bogotá entra en alerta roja frente a las Unidades de Cuidados Intensivos. El Distrito no compró ninguna teniendo din…</t>
  </si>
  <si>
    <t>Respaldaré a todo alcalde que decida volver a la cuarentena estricta. Es la real opción que las cifras de la enferm… https://t.co/QPRLgRnBwT</t>
  </si>
  <si>
    <t>RT @petrogustavo: Respaldaré a todo alcalde que decida volver a la cuarentena estricta. Es la real opción que las cifras de la enfermedad a…</t>
  </si>
  <si>
    <t>RT @AspacioSC: Murió el esposo de mi tía, nos cansamos de llamar al 3502118775 de @Gobatlantico y al 3100585 de @soledadalcaldia y nunca re…</t>
  </si>
  <si>
    <t>RT @LauraSauda: Tengo un familiar en mal estado de salud en la urgencia de @epssura con requerimiento de unidad de cuidados intensivos en…</t>
  </si>
  <si>
    <t>Otro militante de Colombia Humana asesinado. Ovidio Baena, dirigente de los trabajadores petroleros fue asesinado… https://t.co/dbGVfpxbuK</t>
  </si>
  <si>
    <t>RT @CuartoDeHoraCol: Qué mejor manera de comenzar este domingo con #LosGustavosOpinan. Aquí pueden leer las columnas de @petrogustavo y @…</t>
  </si>
  <si>
    <t>La hermosa columna de Gustavo Bolívar para cuarto de hora que hoy comentaremos a las siete de la noche en facebook… https://t.co/Ax6176k5qI</t>
  </si>
  <si>
    <t>Si claro, si oíste el audio de video que Paloma Valencia silenció y muchos medios tambien, descubrirás que son tri… https://t.co/pOuIdNbrl9</t>
  </si>
  <si>
    <t>RT @petrogustavo: La hermosa columna de Gustavo Bolívar para cuarto de hora que hoy comentaremos a las siete de la noche en facebook live.…</t>
  </si>
  <si>
    <t>No puede haber rebrote cuando está ascendiendo el primer brote del virus en Bogotá y Colombia. El periódico de Lui… https://t.co/2xiZeay8yX</t>
  </si>
  <si>
    <t>El periódico de Luis Carlos oculta la realidad. Duván Mateo no falleció oscuramente; fue asesinado por la fuerza ar… https://t.co/hzVyaWwMuC</t>
  </si>
  <si>
    <t>A pesar que la mayoria de la población de Soacha decidió por la Colombia Humana en presidenciales, escogió como al… https://t.co/rfaag32s1V</t>
  </si>
  <si>
    <t>Cinco lideres sociales asesinados en un solo día, una menor de edad violada por la fuerza armada del gobierno. Viv… https://t.co/CNdaxoaWTx</t>
  </si>
  <si>
    <t>RT @petrogustavo: Otro militante de Colombia Humana asesinado. Ovidio Baena, dirigente de los trabajadores petroleros fue asesinado en Mac…</t>
  </si>
  <si>
    <t>Esta es mi columna dominguera para Cuarto de hora. Trata del problema de falta de personal de salud y máquinas re… https://t.co/Un9z9C4T5p</t>
  </si>
  <si>
    <t>RT @Rodrigo_Lara_: Cuando Fajardo dice que Uribe se debe retirar es porque quiere que no lo haga. Fajardo solo ha sido viable metido entre…</t>
  </si>
  <si>
    <t>Señor @MelukLeCuenta cuando ni siquiera las encuestas me favorecían, propuse desde un inicio de la campaña presiden… https://t.co/K4i7Wy9hEe</t>
  </si>
  <si>
    <t>De cómo Uribe convirtió un acuerdo humanitario con las Farc en un simple y burdo pago económico por secuestrados.… https://t.co/lMFIVVO8ap</t>
  </si>
  <si>
    <t>RT @AscamcatOficia: El Sgto. yunda de @COL_EJERCITO negó en primer momento que los uniformados que intentaron huir de la escena del crimen…</t>
  </si>
  <si>
    <t>RT @donadolforivas: #Atención: El Ejército asesino a Salvador Jaime Duran en la vereda Filo Guamo, Norte de Santander. La comunidad retien…</t>
  </si>
  <si>
    <t>RT @AscamcatOficia: Slavador Jaime Durán tenía 22 años, iba a ser padre y pertenecía a JAC de la vereda Filo Guano parte baja. Esperaba a s…</t>
  </si>
  <si>
    <t>RT @AscamcatOficia: La comunidad ante la #EjecucciónExtrajudicial bajo la figura de captura ciudadana, realizó un cerco humanitario en dond…</t>
  </si>
  <si>
    <t>RT @CIDH: #Colombia🇨🇴 La @CIDH expresa su preocupación por el asesinato de Duván Aldana, de 15 años, el #26junio en Soacha. El disparo fata…</t>
  </si>
  <si>
    <t>Hicieron una inversión de 200.000 millones en Corferias para desocupar hospitales de pacientes y convertir sus cama… https://t.co/zXr9ylFe74</t>
  </si>
  <si>
    <t>Como en Alemania, China, o Corea, volver a la cuarentena estricta, que es obligatorio hacer, implica redistribuir l… https://t.co/pLT6g3Yigd</t>
  </si>
  <si>
    <t>RT @petrogustavo: Esta es mi columna dominguera para Cuarto de hora. Trata del problema de falta de personal de salud y máquinas respirad…</t>
  </si>
  <si>
    <t>Me pregunto si una niña que visita a alguien que le cae bien libremente , entonces se legitima que pueda ser violad… https://t.co/ah2SkYLraH</t>
  </si>
  <si>
    <t>Otros dos lideres sociales indígenas asesinados. No podemos esperar el cambio de gobierno, hay que actuar ya. La.… https://t.co/T0D985JiJd</t>
  </si>
  <si>
    <t>Ningún país necesita esa paloma de la.paz que propone Willie Colón. Los que incentivan la muerte llevan a la humani… https://t.co/PRtChzJAi9</t>
  </si>
  <si>
    <t>No se necesita una donaton para incluir la juventud y la niñez en la información y el conocimiento. No es con limos… https://t.co/ptJsp71BzG</t>
  </si>
  <si>
    <t>Si el consejo de Estado declaró legal el que las empresas del petroleo y el carbón pueda deducir del impuesto de re… https://t.co/kXBjW1ErIs</t>
  </si>
  <si>
    <t>Si el Consejo de Eatado hizo deducible la regalía del impuesto de renta, no solo seria un golpe profundo a las fina… https://t.co/urXQ4xPXFf</t>
  </si>
  <si>
    <t>RT @lucianacadahia: Mañana haremos una protesta en Bogotá por la violación de una niña de 12 años. Será pacífica y acorde a los protocolos…</t>
  </si>
  <si>
    <t>El secretario de salud d Bogotá para poder mantener el porcentaje de UCI en 69.9 % y no pasar a 70% que marca la al… https://t.co/UPj7jvK58O</t>
  </si>
  <si>
    <t>En este momento por el Tercer Canal https://t.co/UvEilDFQWp</t>
  </si>
  <si>
    <t>RT @petrogustavo: El secretario de salud d Bogotá para poder mantener el porcentaje de UCI en 69.9 % y no pasar a 70% que marca la alerta r…</t>
  </si>
  <si>
    <t>La gobernación de Antioquia debe reexaminar estas cifras que sugieren que muchos casos de covid se mostraron como n… https://t.co/4L6Us3PFEZ</t>
  </si>
  <si>
    <t>La medida que la sociedad de manera colectiva podría tomar para presionar al gobierno a una cuarentena estricta con… https://t.co/RntILEjxLC</t>
  </si>
  <si>
    <t>RT @G_Pisarello: Nos deja Silvia Lazarte, luchadora infatigable por la justicia y la diversidad en Bolivia. Antes del golpe racista de 20…</t>
  </si>
  <si>
    <t>No olvides catherine que una parte de los verdes me apoyó en segunda vuelta después de un acuerdo programático que… https://t.co/22tSxgDd49</t>
  </si>
  <si>
    <t>El acuerdo programático que se hizo con Claudia Lopez para su alcaldia y que inexplicablemente ella rompió públicam… https://t.co/qTLswke9Xq</t>
  </si>
  <si>
    <t>La ruptura de acuerdo democráticos nacionales viene siendo presionada por sectores del grupo empresarial antioqueño… https://t.co/2gh5IUDeYe</t>
  </si>
  <si>
    <t>RT @alexbernalradio: POR FAVOR NO COMPARTIR Repito NO COMPARTIR #NoPagoServiciosPublicos https://t.co/oe83kdflcL</t>
  </si>
  <si>
    <t>Una vez, una de las organizaciones ambientalistas más importantes ee los EEUU, terminó siendo propietaria de campos… https://t.co/LU36iWas1o</t>
  </si>
  <si>
    <t>¿Cómo que Bogotá no tiene presupuesto? La secretaria de salud tiene casi 3 billones y el transmilenio de la 68 val… https://t.co/kYiKnm6low</t>
  </si>
  <si>
    <t>¿Y que pasa con los enfermos no covid que necesitan UCI? ¿Llegamos a la situación de triaje militar de escoger qui… https://t.co/p8ZAVeJIrB</t>
  </si>
  <si>
    <t>La sociedad productiva es la que puede pagar impuestos para que los derechos fundamentales sean garantizados a la s… https://t.co/VOn7WIOwYg</t>
  </si>
  <si>
    <t>RT @petrogustavo: La medida que la sociedad de manera colectiva podría tomar para presionar al gobierno a una cuarentena estricta con fuert…</t>
  </si>
  <si>
    <t>La mutua irresponsabilidad, a ambos se les olvidó que había que comprar UCIs a tiempo, no demoler hospitales ni pri… https://t.co/PKSziDQ0XA</t>
  </si>
  <si>
    <t>Todo indica que @pulzo por tergiversar a Salud Hernández solo para ganar audiencia la expuso a una crítica injusta.… https://t.co/K7Jc8EcygO</t>
  </si>
  <si>
    <t>RT @petrogustavo: La mutua irresponsabilidad, a ambos se les olvidó que había que comprar UCIs a tiempo, no demoler hospitales ni privatiza…</t>
  </si>
  <si>
    <t>Las coaliciones progresistas y ecologistas ganaron casi todas las alcaldías en disputa en Francia, incluida París y… https://t.co/GBwy1U9XKE</t>
  </si>
  <si>
    <t>Con todo respeto si la ciudad solo aumentó 140 camas de Cuidados intensivos UCIs desde finales del año pasado en do… https://t.co/5tTxA2WErR</t>
  </si>
  <si>
    <t>Esta es una mentira de Duque . Las cuarentenas estrictas no se hacen en espera de vacuna sino para suprimir el viru… https://t.co/l7d3d2G2zC</t>
  </si>
  <si>
    <t>RT @petrogustavo: Con todo respeto si la ciudad solo aumentó 140 camas de Cuidados intensivos UCIs desde finales del año pasado en donde ha…</t>
  </si>
  <si>
    <t>RT @ricardobonillag: Al 79% nueva capacidad lab y tasa+ 18.6 vamos hacia top 20 de contagio y en 1 semana al de muertos. Cuando se necesita…</t>
  </si>
  <si>
    <t>RT @SemanarioVOZ: Los llamados a la moderación #política y el rechazo a los #extremos son la fachada de una #derecha vergonzante y narcisis…</t>
  </si>
  <si>
    <t>El Estado autoritario y la mujer indigena. En la acera de arriba: la dictadura; en la calle y en la dignidad indige… https://t.co/Opt4Sg75J0</t>
  </si>
  <si>
    <t>RT @MariaMatusv: No hicieron suficientes UCIs.Transmilenio y sus aglomeraciones.Las medidas del aislamiento preventivo son confusas y la Po…</t>
  </si>
  <si>
    <t>RT @Juanaafanador1: ¿La idea no era abrir corferias para los pacientes sin covid, y así ampliar el # de unidades de cuidados intensivos en…</t>
  </si>
  <si>
    <t>Una oda a la sobre explotación. ¿El trabajador que aquí muestra Lafourie sera el dueño del cultivo? ¿Tendrá prestac… https://t.co/OgVfOrdLSs</t>
  </si>
  <si>
    <t>Claudia corrige sus matemáticas, el crecimiento de UCI para covif se hace sobre la base no del aumento total de UCI… https://t.co/sReoKeWYv6</t>
  </si>
  <si>
    <t>La gran pregunta es ¿por qué en 7 meses de enfermedad en el mundo, el Distrito no destinó 50.000 millones de pesos… https://t.co/CsfNsgjxFz</t>
  </si>
  <si>
    <t>Precisamente porque hay una altísima demanda por respiradores y UCI en el mundo es que desde el principio se debier… https://t.co/HQxyLluW61</t>
  </si>
  <si>
    <t>RT @petrogustavo: La gran pregunta es ¿por qué en 7 meses de enfermedad en el mundo, el Distrito no destinó 50.000 millones de pesos para c…</t>
  </si>
  <si>
    <t>RT @nicolaspetroB: Mientras el Atlántico se ahoga por la pandemia, los politiqueros peleando por contratos. La corrupción por encima de la…</t>
  </si>
  <si>
    <t>Senadores que en lugar de hacer el control político de la pandemia pero si se esfuerzan muchísimo por los contratos. https://t.co/8wdSl0JHAF</t>
  </si>
  <si>
    <t>Cuando teniendo presupuesto se le pide a la Nación para, como Peñalosa la construcción de sedes nuevas de Colegios,… https://t.co/ynPzXObvDJ</t>
  </si>
  <si>
    <t>Angel Daniel Revelo, joven de Cumbal, Nariño, murió en una UCI que ocupó nueve días, pero no murió del Covid, murió… https://t.co/LDPb80Z0DC</t>
  </si>
  <si>
    <t>Esta es la magnitud del covid en América. Los sitemascon con mercantilización de la salud están en la punta en una… https://t.co/YJODN3iFTw</t>
  </si>
  <si>
    <t>RT @DanielRMed: Esto es mentira, Claudia López no defiende a Bogotá del gobierno nacional, Claudia López escuda su propia ineptitud en una…</t>
  </si>
  <si>
    <t>RT @bogotamuyfirme: Hoy la Sra @ClaudiaLopez le acaba de meter 1.049.000.000 de pesos más al elefante blanco de Corferias para prorrogar el…</t>
  </si>
  <si>
    <t>RT @JulianFMartinez: URGENTE: Votantes de @sergio_fajardo en primera vuelta en Santander le vendieron votos al narcotraficante Ñeñe Hernánd…</t>
  </si>
  <si>
    <t>RT @HELIODOPTERO: URGENTE, en un par de horas, con @JulianFMartinez divulgaremos en @lanuevaprensaco audio con el que se demuestra que el F…</t>
  </si>
  <si>
    <t>RT @HELIODOPTERO: NO HAY DERECHO. En este momento están tratando de tumbar la página de LA NUEVA PRENSA para impedir que el mundo lea está…</t>
  </si>
  <si>
    <t>RT @MAGODELASINTONI: "Pido la palabra" Creo más bien que es idiotez suya @ElJuliSastoque. Ningún colombiano ha tenido los pantalones para d…</t>
  </si>
  <si>
    <t>Le he propuesto a la mesa de organizaciones sociales del Atlántico, que en este momento se conforma, estar listos a… https://t.co/RJleAIqwhj</t>
  </si>
  <si>
    <t>RT @DanielRMed: Claudia López necesita a Duque para camuflar su ineptitud en la de él.</t>
  </si>
  <si>
    <t>RT @HOLLMANMORRIS: Atención en este momento exprocuradora delegada para el Amazonas Elsi Angulo en el @Tercer_Canal dice que encontró una…</t>
  </si>
  <si>
    <t>RT @petrogustavo: Le he propuesto a la mesa de organizaciones sociales del Atlántico, que en este momento se conforma, estar listos a convo…</t>
  </si>
  <si>
    <t>RT @abcpoliticacom: #ABCPolítica | “Tiene que ser uno muy ingenuo para creer que Fajardo desea el retiro de Uribe”: Tobón Sanín (@tobonsani…</t>
  </si>
  <si>
    <t>RT @finseya5: No @ClaudiaLopez eso es parcialmente cierto, usted lo sabe. Arriesgue y retome cuarentena con renta básica universal, evite l…</t>
  </si>
  <si>
    <t>RT @MMMaldonadoC: 1. A propósito de desalojos, hay que tener en cuenta que en el periodo 2016-2019 se construyeron en Bogotá/Soacha 26.000…</t>
  </si>
  <si>
    <t>RT @Lukalofonos: https://t.co/bDYSs74rUB Esto era lo que se necesitaba en Bogotá,no camas de campaña en Corferias donde @ClaudiaLopez despi…</t>
  </si>
  <si>
    <t>RT @MajoDoria: Petro pide desobediencia civil en el Atlántico, porque la gobernadora Noguera y sus aliados están conduciendo al pueblo a la…</t>
  </si>
  <si>
    <t>RT @HOLLMANMORRIS: Cuando @JERobledo critica al gobierno, hace denuncias y debates ¿Le hace daño al país? https://t.co/l3rRN70dKZ</t>
  </si>
  <si>
    <t>RT @AlexKleinO: Los colombianos tienen que convencerse que el Estado pertenece al pueblo y no a los banqueros. Eso se llama Democracia. P…</t>
  </si>
  <si>
    <t>RT @HOLLMANMORRIS: Urgente presidente @IvanDuque señores de la policía y del Ejército , ayer y en este momento paramilitares patrullan las…</t>
  </si>
  <si>
    <t>Elecciones en Francia. Pierden los que no son ni de aquí ni de allá, ni fu, ni fa, ni chicha ni limoná El ecolog… https://t.co/IUr5s3NpeN</t>
  </si>
  <si>
    <t>RT @CarolinaCorcho: Poner la existencia o no de ventiladores, como unico parámetro para decidir medidas de aislamiento, es equivocado, esto…</t>
  </si>
  <si>
    <t>Al "chichipatearse" con la cuarentena estricta la alcaldesa de Bogotá mostró que solo quería unas máquinas que se o… https://t.co/jsm5wxp4Lz</t>
  </si>
  <si>
    <t>Las máquinas que recibe Bogotá de la Nación, de les quitan literalmente al Chocó, a Tumaco, al Caribe y el Amazonas… https://t.co/ySBoppuwlQ</t>
  </si>
  <si>
    <t>No hay otra forma de frenar la enfermedad y su muerte que con la cuarentena estricta. No hay otra manera de hacer… https://t.co/3Dw7RnzQsB</t>
  </si>
  <si>
    <t>RT @AndresCamiloHR: Mientras que viven diciendo que @petrogustavo recibió dineros de Venezuela para la campaña (cosa que es totalmente fals…</t>
  </si>
  <si>
    <t>La directora del centro democrático en conversación con Caya Daza confirma que recibieron 300.000 dólares de un ven… https://t.co/g5HCSkoVIM</t>
  </si>
  <si>
    <t>Los dineros del narco nunca estarán en cuentas contables. El ñeñe dirigió una operación de compra de votos para Du… https://t.co/S8XLXCbsUR</t>
  </si>
  <si>
    <t>La platica de Cisneros, el venezolano, se la robaron en el centro democrático. Ya no aparece. https://t.co/jvbAirQdKc</t>
  </si>
  <si>
    <t>Para que no se supieran los nexos de Saab con los dirigentes del uribismo en Colombia echaron al general Buitrago. https://t.co/djBvPHXF71</t>
  </si>
  <si>
    <t>La Armada no ataca este grupo paramilitar porque dice que no existe. Es dirigido desde San Onofre, por politicos a… https://t.co/WKvH5mlUcP</t>
  </si>
  <si>
    <t>Esta es la misma señora que afirmó en columna pública del @ELTIEMPO y sin sonrojo, que nosotros habiamos quebrado 1… https://t.co/DVRJeqiPqf</t>
  </si>
  <si>
    <t>RT @hackerFiscalia: Esta es la foto del #PulpoInvisible, Luis Horacio Escobar Saldarriaga, mencionado en la #noticiaBomba1 sobre #ElFinalDe…</t>
  </si>
  <si>
    <t>RT @wilsonariasc: .@IvanDuque, ¿por qué tiene guardados $25 billones de pesos del presupuesto para atender la pandemia, su gobierno se los…</t>
  </si>
  <si>
    <t>RT @HOLLMANMORRIS: Aparecen nuevas grabaciones de compra de votos con dinero del Narco para la campaña de @IvanDuque ¿Fue una operación si…</t>
  </si>
  <si>
    <t>RT @HELIODOPTERO: LA DELINCUENCIA URIBUSTA en este momento está tratando de tumbar la página de https://t.co/M7Ualca7oZ para que el mundo n…</t>
  </si>
  <si>
    <t>Uno de los grandes defensores de la Región metropolitana para la sabana de Bogotá que anuló las consultas populares… https://t.co/nkyEACyMJe</t>
  </si>
  <si>
    <t>RT @DanielRMed: Los argumentos del claudillismo para defender la pésima gestión de Claudia Lopez. Les toca suponer lo que no fue, para dis…</t>
  </si>
  <si>
    <t>RT @Suaguagua: A dos meses de iniciada la pandemia @ClaudiaLopez dijo que era "una gripa común". Hoy vemos los resultados de su falta de pr…</t>
  </si>
  <si>
    <t>No hay otro método disponible para detener la pandemia y su muerte que la cuarentena estricta por un lapso de tiemp… https://t.co/GL6o0BrHZx</t>
  </si>
  <si>
    <t>La lucha de clases estalla cuando el gobierno entrega lo que es de todos y todas a los dueños de bancos, a las gran… https://t.co/ZCRLP7iSCo</t>
  </si>
  <si>
    <t>Mientras satanizaban y criminalizaban que se financiarán movimientos en Colombia con supuestos dineros venezolanos,… https://t.co/GwhxwfjFrX</t>
  </si>
  <si>
    <t>RT @Juanaafanador1: En medio de todo lo que está pasando, lo primero que se debería caer es el metro elevado de Bogotá. Costoso, obsoleto,…</t>
  </si>
  <si>
    <t>RT @VillamilBMaura: Abandonémos la idea de q @petrogustavo no puede ganar la presidencia solo. Carajo, es que no está solo. Somos los millo…</t>
  </si>
  <si>
    <t>Entre limosnas que le da apoyo político, Duque lleva al pueblo colombiano a una gran mortandad. Millones de person… https://t.co/bR5zjOpU30</t>
  </si>
  <si>
    <t>RT @petrogustavo: Uno de los grandes defensores de la Región metropolitana para la sabana de Bogotá que anuló las consultas populares que o…</t>
  </si>
  <si>
    <t>RT @fixasttyles: Mientras que Petro con su discurso se ganaba el corazón de todos los Colombianos, a Duque le tocó buscar plata de cuánto b…</t>
  </si>
  <si>
    <t>RT @SraPatria: Claudia López tuvo 4 meses para preparar la red hospitalaria de Bogotá para hacerle frente a la pandemia, pero no, ella pref…</t>
  </si>
  <si>
    <t>RT @petroskymora: Me gusta como maneja la política @petrogustavo no se esconde no tiene cálculos políticos va de frente denuncia cuente co…</t>
  </si>
  <si>
    <t>RT @bogotamuyfirme: Miren esto: La Sra. @ClaudiaLopez fue de las únicas en el país que logró la “proeza” de hacer subir los homicidios en B…</t>
  </si>
  <si>
    <t>RT @JUANCAELBROKY: Según este audio, se habría cuadrado que los votantes de Sergio Fajardo en Bucaramanga a cambio de plata le votaran a @I…</t>
  </si>
  <si>
    <t>RT @PinedaRuizBog: Se ganaron la Alcaldía con el discurso de la lucha anticorrupción pero no tuvieron problema en poner a una "arquitecta"…</t>
  </si>
  <si>
    <t>La decisión del tranvía de la 68 que inevitablemente lleva al transmilenio de la séptima y de la décima, estaba en… https://t.co/dMtLwIu1FC</t>
  </si>
  <si>
    <t>RT @FT_Col: P. ej., dado que López es la continuidad de lo peor de Peñalosa y, por ende, no iba a recuperar el H. San Juan de Dios (ordenad…</t>
  </si>
  <si>
    <t>Propuse en campaña presidencial reestructurar la fuerza pública de cara a que la mayor parte de los miembros de la… https://t.co/8ZVSXxzNci</t>
  </si>
  <si>
    <t>RT @ma_eugeniam: Que el gobierno de @ClaudiaLopez siga patinando contratos dañinos para el ambiente (recubrimiento con cemento de humedales…</t>
  </si>
  <si>
    <t>RT @ernestosamperp: Las diferencias de la alcaldesa con el presidente me recuerdan las que tuve con el entonces alcalde Mockus, quien se em…</t>
  </si>
  <si>
    <t>Esto es lo que Duque llama no incentivar la luchas de clases Instituciones financieras proponen extender el IVA a… https://t.co/syzz9ihWxJ</t>
  </si>
  <si>
    <t>RT @SaraTufanoZ: El fraude electoral a favor de @IvanDuque destruye el relato que el "centro" usó en las elecciones de 2018 y quiere volver…</t>
  </si>
  <si>
    <t>RT @petrogustavo: Propuse en campaña presidencial reestructurar la fuerza pública de cara a que la mayor parte de los miembros de la policí…</t>
  </si>
  <si>
    <t>El incremento de la violencia delincuencial en Bogotá, tiene un origen: el hambre Mientras, el Distrito guarda sus… https://t.co/5lZi3SJLuv</t>
  </si>
  <si>
    <t>RT @VictorGGuerrero: Brasil, Perú, Chile, Ecuador y Colombia: los campeones del neoliberalismo en América Latina encabezan la lista de muer…</t>
  </si>
  <si>
    <t>RT @GustavoBolivar: Es un hecho incontrovertible que le robaron la presidencia a Petro en 2018. Pero repito, no estoy de acuerdo con #Duq…</t>
  </si>
  <si>
    <t>El alcalde de Turbaco, por la Colombia Humana,inaugura el nuevo hospital del municipio. Muy bien. https://t.co/DKGNEhyH5M</t>
  </si>
  <si>
    <t>Hoy escuche a la alcaldesa decir que hay un avance en la Región metropolitana porque aunque se acaba la consulta po… https://t.co/kLPQ68LHPE</t>
  </si>
  <si>
    <t>A 50.000 pesos el votico en San Martín , Cesar, así ganó Duque. Los mismos narcoterratenientes amigos del ñeñe comp… https://t.co/d8XWYZf1uA</t>
  </si>
  <si>
    <t>Una renta básica es un derecho, significa que no es discrecional del gobierno a quien se da, ingreso solidario es f… https://t.co/GJFLZU7WbS</t>
  </si>
  <si>
    <t>En Florida, EEUU, decidieron abrir los centros comerciales y las playas y la gente salió feliz a comprar. Hoy tiene… https://t.co/ctClZkk8Yk</t>
  </si>
  <si>
    <t>RT @petrogustavo: Una renta básica es un derecho, significa que no es discrecional del gobierno a quien se da, ingreso solidario es focaliz…</t>
  </si>
  <si>
    <t>Debemos afirmar hoy sin dudas, que Colombia Humana ganó las elecciones presidenciales del 2018. El resultado de D… https://t.co/l4GbO3oFrF</t>
  </si>
  <si>
    <t>RT @petrogustavo: Debemos afirmar hoy sin dudas, que Colombia Humana ganó las elecciones presidenciales del 2018. El resultado de Duque e…</t>
  </si>
  <si>
    <t>RT @carlosecaicedo: Cuarta falsedad: Miente descaradamente la @FiscaliaCol al decir que de cinco centros de salud en Santa Marta ‘solo uno…</t>
  </si>
  <si>
    <t>La Justicia colombiana le ordena a Duque suspender las operaciones de las tropas norteamericanas en el país. https://t.co/vfsGpiFKHS</t>
  </si>
  <si>
    <t>RT @GustavoBolivar: Las mentiras de los vínculos de Petro con el Cartel de Cali. Sígannos en vivo. https://t.co/VhmHI5sABq</t>
  </si>
  <si>
    <t>RT @DrRomainBrunel: Una UCI no es un ventilador y una cama. Es un lugar donde un equipo de profesionales altamente cualificados, con exper…</t>
  </si>
  <si>
    <t>RT @G_Pisarello: Para tapar su corrupción, el Gobierno ilegítimo de Bolivia intenta proscribir a Luis Arce, líder en las encuestas, a 2 mes…</t>
  </si>
  <si>
    <t>RT @MovNaranja3: Queremos denunciar Mermelada y favores políticos en la alcaldía de @ClaudiaLopez, hechos de corrupción que sin duda alguna…</t>
  </si>
  <si>
    <t>Somos el país número 22 de todo el mundo en número de muertos de covid, alcanzaremos la otra semana a China, Ecuado… https://t.co/7aLf1stbho</t>
  </si>
  <si>
    <t>RT @rcajamarca: Con 171 decesos, Colombia ocupó hoy un inédito 6º lugar en muertes diarias por COVID-19 en el mundo, según el último report…</t>
  </si>
  <si>
    <t>Esta es la realidad del sistema de salud que tenemos y de la pesima calidad de la política implementada contra la… https://t.co/GDhmgsU116</t>
  </si>
  <si>
    <t>RT @GracianaXXI: @Juanaafanador1 Ridículo, $109 BILLONES en Plan de Desarrollo, ¿y no hay con que arrancar en sector estratégico y en Pande…</t>
  </si>
  <si>
    <t>Cuando dentro de 10 años vean la troncal de transmilenio de la 68 en Bogotá, recuerden: fue hecha con los dineros q… https://t.co/gBSY4qyNn0</t>
  </si>
  <si>
    <t>RT @petrogustavo: Esta es la realidad del sistema de salud que tenemos y de la pesima calidad de la política implementada contra la pandem…</t>
  </si>
  <si>
    <t>RT @DavidRacero: ¿Por qué como Colombia Humana no estamos con @ClaudiaLopez ? Comento algunas razones. Entre ellas, la certeza que tenemo…</t>
  </si>
  <si>
    <t>Estaré en tercer canal, facebooklive, en un programa con la bancada del concejo de Colombia Humana hablando so re e… https://t.co/IKSm0fsKz7</t>
  </si>
  <si>
    <t>Usted hoy @ClaudiaLopez firmó el acta de inicio de demolición y desaparición del san Juan de Dios, cinco siglos de… https://t.co/GbvK5nmUbv</t>
  </si>
  <si>
    <t>RT @petrogustavo: Usted hoy @ClaudiaLopez firmó el acta de inicio de demolición y desaparición del san Juan de Dios, cinco siglos de histor…</t>
  </si>
  <si>
    <t>RT @RedMasNoticias: 📹#Video | #Política 🇨🇴 "Si la señora Claudia López piensa demoler el San Juan de Dios, pasaremos de independientes a se…</t>
  </si>
  <si>
    <t>RT @GustavoBolivar: Por demolición del Hospital San Juan de Dios @petrogustavo pide a la bancada de la Colombia Humana en el Concejo de Bog…</t>
  </si>
  <si>
    <t>RT @anateresabernal: Btá Humana invirtió $150 mil mill para la compra del Hosp San Juan de Dios y $32 Mil mill para culminar el Hospital de…</t>
  </si>
  <si>
    <t>RT @AtiQuigua: Porqué el Min Cultura altero el sentido original de preservación del edif central del SJDD contenido en la propuesta del PEN…</t>
  </si>
  <si>
    <t>RT @Tercer_Canal: “El procurador en salud está analizando el contrato del San Juan, es un contrato que tiene las mismas características del…</t>
  </si>
  <si>
    <t>Amigo Robledo, Colombia Humana no tiene bodegas, respetenos. Nosotros no guiamos la política por las encuestas, si… https://t.co/98jSm0fYNs</t>
  </si>
  <si>
    <t>RT @jerojasrodrigue: Este es el Hospital San Juan de Dios de Bogotá, Patrimonio Histórico y Cultural y cuna de la medicina en Colombia. E…</t>
  </si>
  <si>
    <t>RT @Tercer_Canal: “Si la alcaldesa @ClaudiaLopez decidió demoler el San Juan de Dios contra la ley, nosotros la Colombia Humana, no podemos…</t>
  </si>
  <si>
    <t>RT @petrogustavo: Amigo Robledo, Colombia Humana no tiene bodegas, respetenos. Nosotros no guiamos la política por las encuestas, sino por…</t>
  </si>
  <si>
    <t>Si para ser presidente tengo que silenciarme ante hechos tan profundamente corruptos como la demolición del San Jua… https://t.co/R0YSZlosyo</t>
  </si>
  <si>
    <t>Le he propuesto a la #MesaPorElAtlanticoYa que prepare la primera jornada de desobediencia civil en el Atlántico pa… https://t.co/StZTvgzSfK</t>
  </si>
  <si>
    <t>RT @AidaAvellaE: La demolición del Hospital San Juan de Dios de Bogotá, el símbolo más importante de la Historia y de la Investigación cien…</t>
  </si>
  <si>
    <t>RT @susanamuhamad: La bancada del @ConcejoDeBogota de Colombia Humana UP rechaza la firma del acta de inicio de la demolición ilegal de la…</t>
  </si>
  <si>
    <t>RT @CMILANOTICIA: #AEstaHora | Marcha #LGBTI avanza por la carrera Séptima con destino a la casa de la alcaldesa de @Bogota, @ClaudiaLopez.…</t>
  </si>
  <si>
    <t>La ilegalidad llena de corrupcion de la demolición y desaparecimiento del san Juan de Dios ordenada por Claudia Lóp… https://t.co/jfDdwLWQhO</t>
  </si>
  <si>
    <t>La ilegalidad llena de corrupcion de la demolición y desaparecimiento del san Juan de Dios ordenada por Claudia Lóp… https://t.co/SbvEAsAVp5</t>
  </si>
  <si>
    <t>Colombia manejada por Duque, junto a EEUU, fueron los únicos dos países del mundo que no rechazaron la anexión ileg… https://t.co/RXy4EuSDUF</t>
  </si>
  <si>
    <t>RT @HOLLMANMORRIS: La firma para la la demolición del Hospital San Juan de Dios.Un plan de desarrollo que continúa el modelo de ciudad de “…</t>
  </si>
  <si>
    <t>Hace exactamente 5 meses le pedimos a la secretaria de salud de Bogotá contratar todo el personal de salud disponib… https://t.co/Q70i4uDzuS</t>
  </si>
  <si>
    <t>La Fiscalía miente https://t.co/4u5YUIuwPj</t>
  </si>
  <si>
    <t>Senador @AntonioSanguino puede publicar sus afirmaciones sin problema. El dia que dinamiten el San Juan de Dios, s… https://t.co/Z8G0y4ayTe</t>
  </si>
  <si>
    <t>Propuse un acuerdo programático con Claudia que ella misma rompió a los tres días de hecho por calculo político Pr… https://t.co/dwPe7y7Dc4</t>
  </si>
  <si>
    <t>Propuse que se contratara todo el personal de salud disponible en la ciudad y se preparara en el.manejo de UCI Pro… https://t.co/upmLUZYbe7</t>
  </si>
  <si>
    <t>Defendí desde 1998 el San juan de Dios, siendo alcalde lo compramos para hacer de él, el principal centro de invest… https://t.co/g57aIRTOH1</t>
  </si>
  <si>
    <t>Como decidieron hacer el metro elevado, este obliga a demoler el hospital Santa Clara, y para ello trasladan el San… https://t.co/PFxIL6AEUB</t>
  </si>
  <si>
    <t>RT @petrogustavo: La ilegalidad llena de corrupcion de la demolición y desaparecimiento del san Juan de Dios ordenada por Claudia López en…</t>
  </si>
  <si>
    <t>La cuarentena estricta no implica quiebra si va acompañada de la politica social que se merece. El pago estatal de… https://t.co/oXyk8JPthO</t>
  </si>
  <si>
    <t>Usted miente Morales Actual capacidad del San juan y el Santa Clara son 750 camas hospitalarias, si se hace restau… https://t.co/SeQu64dCWe</t>
  </si>
  <si>
    <t>RT @bogotamuyfirme: La Sra. @ClaudiaLopez fue la única capaz en Colombia que al recibir 300 ventiladores logró disminuir el número de UCIs…</t>
  </si>
  <si>
    <t>Llegamos a 80% de unidades de cuidados intensivos ocupadas por covid en Bogotá, a pesar de recibir centenares del g… https://t.co/Av3yMylqnT</t>
  </si>
  <si>
    <t>RT @anateresabernal: En vista de la decisión de @ClaudiaLopez de continuar con el contrato del N. Hospital Santa Clara, que desconoce lo or…</t>
  </si>
  <si>
    <t>Claudia engaña a Bogotá. Hoy hay capacidad para 750 camas si se restaura el San Juan. Por hacer el metro elevado y… https://t.co/ikL5YAkr9Q</t>
  </si>
  <si>
    <t>No engañe a Bogotá el contrato que ayer inicia no es de privatización del San Juan. Este es demolido y desaparece… https://t.co/UrHKfDvROz</t>
  </si>
  <si>
    <t>RT @heidy_up: La Ley 735 de 2002 estableció que el Hospital San Juan de Dios (y el Materno Infantil) es INDIVISIBLE como monumento nacional…</t>
  </si>
  <si>
    <t>Amigo Sanguino lea el contrato, está en el SECOP. Ese edificio nuevo pertenecera al Hospital santa Clara. El edific… https://t.co/1ZxrgFuamB</t>
  </si>
  <si>
    <t>RT @charry_manager: No entiendo cómo les da la cara para mentirle a la gente de frente, lo hicieron con la 68, con el metro, con los mercad…</t>
  </si>
  <si>
    <t>RT @petrogustavo: Claudia engaña a Bogotá. Hoy hay capacidad para 750 camas si se restaura el San Juan. Por hacer el metro elevado y un ne…</t>
  </si>
  <si>
    <t>RT @Soniaguer: @ClaudiaLopez Que no Claudia, que no es San Juan de Dios, que hoy oficialmente usted está acabando con ese nombre y con esa…</t>
  </si>
  <si>
    <t>Gloria Cecilia Valbuena, santadereana y militante del M19 ha muerto. Oficial del ejercito de Bolívar y constructor… https://t.co/URNgzmtuQv</t>
  </si>
  <si>
    <t>RT @MaPaulaFonseca: Vean ustedes, 2 hospitales el San Juan de Dios y el Santa Clara que ofrecerían más de 600 camas quedan reducidos a uno…</t>
  </si>
  <si>
    <t>A Bogotá le enterraron 300 quebradas, le destruyeron 40.000 hectáreas de humedales, le privatizaron sus enpresas pu… https://t.co/sxme4tmGIV</t>
  </si>
  <si>
    <t>RT @HOLLMANMORRIS: El Plan de desarrollo de @ClaudiaLopez es la continuidad de @EnriquePenalosa oigan a las bancadas peñalosistas . Bogotá…</t>
  </si>
  <si>
    <t>Ningún hospital de los llamados nuevos, tiene diseños, el contrato le entrega al contratista diseños, construccion… https://t.co/SyAnaH46PS</t>
  </si>
  <si>
    <t>Ud lo que hizo fue un negociado con firmas españolas hoy responsables de entregar sobornos por 50 millones de euros… https://t.co/yVSNMuMk2M</t>
  </si>
  <si>
    <t>RT @HOLLMANMORRIS: @ClaudiaLopez le mentiste a los bogotanos. El metro elevado es sólo la excusa para seguir con más Transmilenio y no se p…</t>
  </si>
  <si>
    <t>Hospital Santa Rosa de la U. Nacional con 22.000 m2 tuvo reforzamiento sismo resistente, con compra d terreno y te… https://t.co/RYThd22oMh</t>
  </si>
  <si>
    <t>Aquí la senadora Angélica confesando que el actual Santa Clara no seguirá, como va a seguir si le hacen allí una su… https://t.co/gMuPIsOwX6</t>
  </si>
  <si>
    <t>RT @petrogustavo: Hospital Santa Rosa de la U. Nacional con 22.000 m2 tuvo reforzamiento sismo resistente, con compra d terreno y tecnolog…</t>
  </si>
  <si>
    <t>RT @LAURAWEINS: Nos invitan a cuidarnos, estar en las casas y nos informan que los hospitales comienzan a estar a tope y les da por ordena…</t>
  </si>
  <si>
    <t>RT @MaPaulaFonseca: Senador esa no es la verdad. Contra la ley demolerán la torre central del Hospital San Juan de Dios y construirán el Nu…</t>
  </si>
  <si>
    <t>RT @heidy_up: Solo en la "Bogotá Cuidadora" se habla de demoler estructura hospitalaria en plena época de pandemia. El negocio de los priva…</t>
  </si>
  <si>
    <t>RT @petrogustavo: Ud lo que hizo fue un negociado con firmas españolas hoy responsables de entregar sobornos por 50 millones de euros, y de…</t>
  </si>
  <si>
    <t>RT @petrogustavo: A Bogotá le enterraron 300 quebradas, le destruyeron 40.000 hectáreas de humedales, le privatizaron sus enpresas publicas…</t>
  </si>
  <si>
    <t>Se de su temores por no firmar un contrato de Peñalosa. Pero este no es un capricho mío. Ud ha violado leyes y num… https://t.co/v3XRcLtrOg</t>
  </si>
  <si>
    <t>RT @DiegoVelezGar: Miedo a debatir con Petro, porque saben que la verdad y la capacidad argumentativa están de su lado</t>
  </si>
  <si>
    <t>RT @ResearcherColS: @ClaudiaLopez Lo que está diciendo es que Bogotá va a perder un hospital? A quién están favoreciendo?</t>
  </si>
  <si>
    <t>El San Juan de Dios es de Bogotá porque Bogotá Humana lo pudo comprar a cundinamarca. No solo lo compró sino que… https://t.co/TQIlch2yTJ</t>
  </si>
  <si>
    <t>La torre central del San Juan de Dios que usted va a dinamitar, es patrimonio nacional y la sentencia del tribunal… https://t.co/JhSr1Y0yhz</t>
  </si>
  <si>
    <t>RT @ammejiaaguado: Discrepo, Claudia lo q ha hecho en pandemia es evadir responsabilidades, como ayudas humanitarias y lavarse las manos ec…</t>
  </si>
  <si>
    <t>RT @petrogustavo: La torre central del San Juan de Dios que usted va a dinamitar, es patrimonio nacional y la sentencia del tribunal admini…</t>
  </si>
  <si>
    <t>RT @petrogustavo: Se de su temores por no firmar un contrato de Peñalosa. Pero este no es un capricho mío. Ud ha violado leyes y numerosas…</t>
  </si>
  <si>
    <t>Médico y abogado, luchador demócrata, el doctor Jorge Arango, habla sobre la demolición del Hospital san Juan de Di… https://t.co/JMlI7HYprg</t>
  </si>
  <si>
    <t>RT @AidaAvellaE: Los alcaldes de la Colombia Humana Unión Patriótica, privilegian la salud del pueblo. No demuelen, construyen.</t>
  </si>
  <si>
    <t>RT @PizarroMariaJo: Alcaldía Bta. anuncia como gran logro firma de acta de inicio de contrato para la demolición del Edificio Central del S…</t>
  </si>
  <si>
    <t>No se puede defender al paciente cuando se hace demolición del hospital que atendió, ese si a millones de pacientes… https://t.co/mKvU2uKIVK</t>
  </si>
  <si>
    <t>En el lote del Santa Clara se va a hacer una subestación electrica del metro elevado, la cercanía no permite servic… https://t.co/2yCjVkHLvE</t>
  </si>
  <si>
    <t>RT @PizarroMariaJo: Jamás sobre las ruinas del San Juan de Dios se logrará reivindicar el patrimonio material e inmaterial q’ este complejo…</t>
  </si>
  <si>
    <t>RT @ma_eugeniam: Por solicitud de la EMB, @mincultura, en de Res. 3917-2019, modifica tratamientos urbanísticos y usos en la zona de influe…</t>
  </si>
  <si>
    <t>RT @ma_eugeniam: @AlejandroGL2014 indicó, en debate del @ConcejoDeBogota (14-6-2020), que Santa Clara se dedica a biblioteca. ¿Conviene qu…</t>
  </si>
  <si>
    <t>RT @jcuestanovoa: Copasa financia ilegalmente al Partido Popular(El Periódico ESP). En un clásico carrusel de la contratación, esta empresa…</t>
  </si>
  <si>
    <t>la concejal Susana Mohamad se expresa sobre la demolición del san Juan de Dios y muestra la corrupción de los contr… https://t.co/t7mcpMMd7r</t>
  </si>
  <si>
    <t>Se quiere construir sobre lo construido cuando se trata de Peñalosa y destruir sobre lo construido cuando se trata… https://t.co/kOQbqhp0kA</t>
  </si>
  <si>
    <t>Concejal Rodriguez, las salas y redes para cuidado intensivo las pusimos en la Central de Urgencias, que tiene 3 pi… https://t.co/hR0bATQRax</t>
  </si>
  <si>
    <t>Senadora @AngelicaLozanoC dice que miento, Este documento demuestra que necesitan desocupar el actual edificio del… https://t.co/jb5uU0c5az</t>
  </si>
  <si>
    <t>Francisco de nuevo le repito, No se que los lleva a defender la destrucción del San Juan de Dios y su desaparición.… https://t.co/a56bUfIZku</t>
  </si>
  <si>
    <t>Este gráfico de rafael pardo muestra la enorme irracionalidad en cuanto a defensa de la vida de la política del gob… https://t.co/Y7MBJyefN1</t>
  </si>
  <si>
    <t>RT @petrogustavo: Senadora @AngelicaLozanoC dice que miento, Este documento demuestra que necesitan desocupar el actual edificio del Santa…</t>
  </si>
  <si>
    <t>RT @ma_eugeniam: Percibo confusión con los niveles de intervención del patrimonio cultural en Colombia. Ningún nivel de Conservación puede…</t>
  </si>
  <si>
    <t>Por qué reemplazan el Hospital san juan de Dios por el Santa Clara con menos servicios? Para destruir un símbolo.… https://t.co/TcZaxOZSGW</t>
  </si>
  <si>
    <t>Preguntan de dónde se sacan datos para saber cuánto cuesta la política de Duque de liberalizar la cuarentena en núm… https://t.co/b45GGlv7wy</t>
  </si>
  <si>
    <t>Este es un modelo epidemiológico usado en Singapur para el caso colombiano hecho por Celag. Subimos la curva con 4… https://t.co/I7AKCmdR1C</t>
  </si>
  <si>
    <t>No hay privatización del San Juan de Dios señores de @elespectador. El San juan de Dios desaparece. Contra todas… https://t.co/PMFJk9ZOQi</t>
  </si>
  <si>
    <t>RT @petrogustavo: No hay privatización del San Juan de Dios señores de @elespectador. El San juan de Dios desaparece. Contra todas las le…</t>
  </si>
  <si>
    <t>Un progresismo que entonces se vende por contratos y defiende ahora la desaparición del Hospital San Juan de Dios,… https://t.co/LSFXs9GTDN</t>
  </si>
  <si>
    <t>Un progresismo que entonces se vende por contratos y defiende ahora la desaparición del Hospital San Juan de Dios,… https://t.co/9nSd10Vimt</t>
  </si>
  <si>
    <t>Senadora Angélica, no se cxompro el predio de San juan para hacer una subestación eléctrica del metro elevado. Esa… https://t.co/5aVjyXU7vr</t>
  </si>
  <si>
    <t>RT @GiordanoBrunoFi: Lo que hace Claudia López con el patrimonio cultural San Juan de Dios es lo mismo que hace el uribismo desde el Centro…</t>
  </si>
  <si>
    <t>Los padres en su mayoría votaron porque sus hijos no tuvieran universidad. La columna de Gustavo Bolívar sobre la… https://t.co/Ca0ngDj8xI</t>
  </si>
  <si>
    <t>RT @petrogustavo: Los padres en su mayoría votaron porque sus hijos no tuvieran universidad. La columna de Gustavo Bolívar sobre la falta…</t>
  </si>
  <si>
    <t>RT @ReynaldVillalba: No puedo pasar por alto la demolición del hospital San Juan de Dios. Un monumento histórico que va más allá de su impo…</t>
  </si>
  <si>
    <t>RT @charry_manager: Ángela la tarea no es dificil cuando la tarea la hacemos alrededor de un acuerdo programático y la defensa de la vida..…</t>
  </si>
  <si>
    <t>Por las secuelas de la pandemia llamada la gripa española, el gobierno conservador de entonces, decidió hacer los e… https://t.co/qUF89fGg9s</t>
  </si>
  <si>
    <t>Este es el engaño premeditado en las comunicaciones del distrito. El contrato no dice que se hará un edificio nuev… https://t.co/tkLQPgBWC8</t>
  </si>
  <si>
    <t>RT @AndresCamiloHR: Bogotá es la única ciudad que en medio de una pandemia manda a demoler hospitales...</t>
  </si>
  <si>
    <t>RT @Bio_Saurus: Se unió peñalosa, jorge robledo, claudia y sanguineo contra Petro. Mientras Petro pide que se respete el fallo de un juzga…</t>
  </si>
  <si>
    <t>RT @Juanaafanador1: El 4 de junio de este año el gerente de la empresa metro aceptó las posibles complicaciones del traslado de la subestac…</t>
  </si>
  <si>
    <t>RT @ActualidadRT: Putin: "Decidir entre salvar vidas o la economía no fue difícil" El presidente de Rusia, Vladímir Putin, explica cuáles…</t>
  </si>
  <si>
    <t>RT @adisemillas: Por su culpa, por su culpa, por su gran culpa.... Prometa firmemente no volver a despilfarrar plata en corferías, ni a men…</t>
  </si>
  <si>
    <t>Fraude Mi columna de hoy que comentaré a las once del dia en facebook live por Cuarto de Hora, tercer Canal y mi… https://t.co/eVOFhQRVqF</t>
  </si>
  <si>
    <t>RT @susanamuhamad: Esto es un no es verdad. El nuevo hospital es el reemplazo del Santa Clara, ningún Santa Clara-San Juan de Dios, la torr…</t>
  </si>
  <si>
    <t>RT @petrogustavo: Fraude Mi columna de hoy que comentaré a las once del dia en facebook live por Cuarto de Hora, tercer Canal y mi págin…</t>
  </si>
  <si>
    <t>Si se sitiaron es por su propia corrupción. https://t.co/jBZSVVOfAT</t>
  </si>
  <si>
    <t>En este momento en mi facebook live comento ésta mi columna #PetroyBolivarOpinan https://t.co/LaakoqOFnm</t>
  </si>
  <si>
    <t>RT @HOLLMANMORRIS: Atención: Gustavo Petro desconoce a Iván Duque como Presidente de Colombia y anuncia acciones legales - Cuarto de Hora h…</t>
  </si>
  <si>
    <t>RT @HOLLMANMORRIS: Urgente : “Colombia Humana ganó las elecciones del 2018 perdió la extrema derecha “ dice ahora @petrogustavo en el @Terc…</t>
  </si>
  <si>
    <t>RT @GustavoBolivar: ATENCIÓN: Para dirimir candidaturas a Congreso en 2022 @petrogustavo llama a la Colombia Humana a elecciones primarias…</t>
  </si>
  <si>
    <t>RT @HELIODOPTERO: Atención: Gustavo Petro desconoce a Iván Duque como Presidente de Colombia y anuncia acciones legales - Cuarto de Hora ht…</t>
  </si>
  <si>
    <t>RT @GiordanoBrunoFi: Adecuar/eforzar estructuralmente los 24 edificios del San Juan de Dios = $729 mil millones 750 Camas Claudia López $2…</t>
  </si>
  <si>
    <t>RT @charry_manager: Petro anuncia elecciones primarias de la Colombia Humana en el 2021, para definir las listas de senado y cámara. Solo…</t>
  </si>
  <si>
    <t>RT @susanamuhamad: Aquí les dejo paso a paso cómo burlaron la ley para demoler el San Juan. Abro Hilo. 1. La U. Nacional que contrató la Bt…</t>
  </si>
  <si>
    <t>Le acepto la invitación https://t.co/8trbGw42gg</t>
  </si>
  <si>
    <t>RT @charry_manager: ¿Que no se podía? Pues se pudo y con los más altos estándares de calidad y avance en ciencia, estos son los ventilador…</t>
  </si>
  <si>
    <t>RT @AidaAvellaE: El Hospital San Juan de Dios tiene un significado histórico por ser la cuna de la medicina en Colombia, y la esperanza de…</t>
  </si>
  <si>
    <t>Aquí podrán ver el programa completo con Gustavo Bolívar sobre nuestras columnas. Las consecuencias del fraude ele… https://t.co/cijzvAyQ7e</t>
  </si>
  <si>
    <t>Wilson Solis Valencia, profesor y dirigente de la Colombia Humana en Tumaco, Nariño, ha muerto víctima del Covid.… https://t.co/Hf5p7CnW9R</t>
  </si>
  <si>
    <t>RT @InTweetiva: En esta infantilización del feminismo no caben las mujeres que critican a López por su gobierno transfóbico, aporofóbico y…</t>
  </si>
  <si>
    <t>RT @ChalecosAmarill: 🎥👏👏 En #EEUU Denzel Washington, brillante !! 👀👇 https://t.co/EV1nXRt0e0</t>
  </si>
  <si>
    <t>RT @petrogustavo: Wilson Solis Valencia, profesor y dirigente de la Colombia Humana en Tumaco, Nariño, ha muerto víctima del Covid. QEPD h…</t>
  </si>
  <si>
    <t>RT @petrogustavo: Aquí podrán ver el programa completo con Gustavo Bolívar sobre nuestras columnas. Las consecuencias del fraude electoral…</t>
  </si>
  <si>
    <t>RT @GerardoVegaMed: BANANEROS Rosalba Zapata y Felipe Echeverri, madre e hijo SON: dueños finca honduras (1ª masacre); financiadores d para…</t>
  </si>
  <si>
    <t>RT @Contravia: #Colombia. “ En un país que se supone Democratico la legitimidad del presidente no puede descansar sobre un delito...”. @p…</t>
  </si>
  <si>
    <t>RT @AndresCamiloHR: "Nadie que sea racional va a condenar a su propia familia al matadero" señala @petrogustavo a esta hora en @WRadioColom…</t>
  </si>
  <si>
    <t>RT @AndresCamiloHR: "La humanidad está muriendo por culpa de acabar la salud pública... Hay silencio de muchas fuerzas que antes apoyaban a…</t>
  </si>
  <si>
    <t>RT @AndresCamiloHR: "Lo que están haciendo es desaparecer el San Juan de Dios es desaparecerlo en contra de decisiones judiciales y leyes q…</t>
  </si>
  <si>
    <t>RT @AndresCamiloHR: "Yo no hago política a través del cálculo, o sino sería callarme un rato... No me vendo" señala @petrogustavo a esta ho…</t>
  </si>
  <si>
    <t>RT @AndresCamiloHR: "Contrataron para el San Juan De Dios a Copasa, una empresa con delitos de sobornos al PP en España" señala @petrogusta…</t>
  </si>
  <si>
    <t>RT @AndresCamiloHR: "La legitimidad del estado está descansando en el crimen" señala @petrogustavo a esta hora en @WRadioColombia. #PetroEn…</t>
  </si>
  <si>
    <t>RT @AndresCamiloHR: "El presidente Duque see puede exigir que no lleve a la gente al matadero" señala @petrogustavo a esta hora en @WRadioC…</t>
  </si>
  <si>
    <t>RT @Santiago_S: Independientemente de quién tenga la razón respecto a la pelea del San Juan de Dios, ¿muy generador de odio si les dijera q…</t>
  </si>
  <si>
    <t>RT @AndresCamiloHR: "No podemos reconocer al presidente de la República... El país debe reaccionar" señala @petrogustavo a esta hora en @WR…</t>
  </si>
  <si>
    <t>RT @HOLLMANMORRIS: Hoy ,Urgente y atención @petrogustavo acaba de reafirmar en la @WRadioColombia los anuncios hechos en el @Tercer_Canal y…</t>
  </si>
  <si>
    <t>Se va un maestro de la música contemporánea. Seguí su música y me queda en la memoria la Romanza de Novecento, tant… https://t.co/QTB5ev1DJ6</t>
  </si>
  <si>
    <t>RT @ammejiaaguado: "Lo que están haciendo es desaparecer el San Juan de Dios es desaparecerlo en contra de decisiones judiciales y leyes qu…</t>
  </si>
  <si>
    <t>Muy bien Medellín, con Córdoba y Magdalena se deciden por la educación superior pública y gratuita. Avanza una pro… https://t.co/a0g9nO2uDx</t>
  </si>
  <si>
    <t>RT @ChalecosAmarill: 🗞🛑 #Atención: Gustavo Petro @petrogustavo desconoce al NARCODICTADOR Iván Duque como Presidente de Colombia por el ÑEÑ…</t>
  </si>
  <si>
    <t>Mi entrevista en la w https://t.co/SFUhc7YEBl</t>
  </si>
  <si>
    <t>RT @manolitosalazar: El Juez 12 Administrativo de Bogotá trámite a Incidente de Desacato interpuesto por el concejal @CarlosCarrilloA contr…</t>
  </si>
  <si>
    <t>RT @WRadioColombia: #NoticieroW | La única forma de presionar a un presidente ilegítimo es la desobediencia civil: Petro (@petrogustavo) &gt;&amp;gt;…</t>
  </si>
  <si>
    <t>RT @CarlosCarrilloA: Hace algunos días el Juez 12 administrativo de Bogotá admitió nuestro incidente de desacato que busca frenar la demoli…</t>
  </si>
  <si>
    <t>RT @CarlosCarrilloA: El fallo de la acción popular fue absolutamente claro: restaurar, recuperar, conservar y defender el patrimonio cultur…</t>
  </si>
  <si>
    <t>RT @guarneto: Lauriano Casas de @WRadioColombia, uno de los enterradores de TELECOM, se vino a dar cuenta que el Hospital San Juan de Dios…</t>
  </si>
  <si>
    <t>RT @Juanaafanador1: Un nuevo desalojo sin plan de reasentamiento, cómo viene pasando en altos de la estancia. Las ayudas si llegan, son 1 m…</t>
  </si>
  <si>
    <t>RT @Uriasv: “Si yo hiciera política con cálculos, lo que me convendría sería callarme, pero yo hago política por principios”, le dijo Petro…</t>
  </si>
  <si>
    <t>RT @jorgeprotesta: Claudia necesita demoler el San Juan de Dios rápido por q los constructores contratistas, amigos de Peñaloza, la están a…</t>
  </si>
  <si>
    <t>RT @carlosjagudelo: Hace una semana la alcaldesa @ClaudiaLopez nos amenazaba con encerrarnos en cuarentena estricta por ocupación del 79%en…</t>
  </si>
  <si>
    <t>RT @susanamuhamad: Cuando estamos llegando al 80 % de ocupación de UCI en Bogotá, se abre la puerta a que la Universidad de la Sábana produ…</t>
  </si>
  <si>
    <t>RT @petrogustavo: Mi entrevista en la w https://t.co/SFUhc7YEBl</t>
  </si>
  <si>
    <t>RT @HOLLMANMORRIS: "Algunos Progresistas cambiaron la consigna de Unidad, Organización y Lucha, por Unidad, Organización y Contrato." @pet…</t>
  </si>
  <si>
    <t>RT @ma_eugeniam: A la manera de los nuevos ricos, demolemos 26.000 m2, ¿y nos compramos hospital de COPASA (firma de infraestructura viaria…</t>
  </si>
  <si>
    <t>RT @GustavoBolivar: Gustavo Petro en la @WRadioColombia: “El Presidente Duque es ilegítimo y hay que desobedecerlo” “No manden sus hijos al…</t>
  </si>
  <si>
    <t>RT @ammejiaaguado: "Contrataron para el San Juan De Dios a Copasa, una empresa con delitos de sobornos al PP en España" señala @petrogustav…</t>
  </si>
  <si>
    <t>RT @ananke_14: @petrogustavo escucharlo a usted en @WRadioColombia defendiendo el patrimonio de los colombianos: Hospital San Juan de Dios…</t>
  </si>
  <si>
    <t>RT @DianaSalinasP: “El intermediario de esa reunión [con Kiko Gómez] fue José ‘El Ñeñe’ Hernández, quien le pidió a la Chachi que fuera sol…</t>
  </si>
  <si>
    <t>RT @anateresabernal: Para que vean que el tema no es de un exalcalde, ni es de sectarismo político, es de patrimonio histórico y cultural,…</t>
  </si>
  <si>
    <t>RT @HOLLMANMORRIS: El gobierno de @IvanDuque no pudo lograr el mínimo vital al pueblo colombiano a los más que sin los menos, los que menos…</t>
  </si>
  <si>
    <t>RT @MovNaranja3: Ahora que quedó claro que #ElUribismoSeRoboLaPresidencia salen los periodistas vendidos como Vicky Davila a decir que no i…</t>
  </si>
  <si>
    <t>No hay proyecto donde Copasa, la firma que contrató Claudia para demoler el San Juan de Dios y entregarle el Santa… https://t.co/Mb4dRKGEf4</t>
  </si>
  <si>
    <t>RT @barrenechebaute: Dr Petro no soy Petrista pero lo apoyo en preservar nuestro hospital San Juan de Dios, estudie medicina en la Nacional…</t>
  </si>
  <si>
    <t>RT @zurdode2: Dark Colombia https://t.co/pBl0EYvDvD</t>
  </si>
  <si>
    <t>Esta es nuestra Proclama a la ciudadanía colombiana Parte II #DuquePresidenteilegitimo https://t.co/tmr2dKxALV</t>
  </si>
  <si>
    <t>Esta es nuestra Proclama a la ciudadanía colombiana Parte I #DuquePresidenteilegitimo https://t.co/35NjIvXIMU</t>
  </si>
  <si>
    <t>Esta concejal como servidora publica esta rompiendo el principio constitucional de la transparencia. El Estado no… https://t.co/e5NfjhWD2k</t>
  </si>
  <si>
    <t>RT @petrogustavo: Esta es nuestra Proclama a la ciudadanía colombiana Parte II #DuquePresidenteilegitimo https://t.co/tmr2dKxALV</t>
  </si>
  <si>
    <t>RT @petrogustavo: Esta es nuestra Proclama a la ciudadanía colombiana Parte I #DuquePresidenteilegitimo https://t.co/35NjIvXIMU</t>
  </si>
  <si>
    <t>RT @JavierAdaime: El discurso de @petrogustavo hay q sacarlo de la palabra izquierda. Es un discurso xra favorecer a la mayoría de Colombia…</t>
  </si>
  <si>
    <t>RT @ernesto_prado: La Sala de Instrucción de la Corte Suprema de Justicia, ordena archivar la investigación contra Gustavo Petro por la imp…</t>
  </si>
  <si>
    <t>Lo que estamos es ante una predictadura y de origen mafioso https://t.co/2hqE1BBj8L</t>
  </si>
  <si>
    <t>RT @NancyFiallo: #SinOlvido Cuando Uribe llamaba a la desobediencia civil y ningún “periodista” le decía nada. Todo lo contrario lo invitab…</t>
  </si>
  <si>
    <t>RT @tobonsanin: Para mi y para millones de colombianos está claro que Iván Duque NO es nuestro presidente. #DuqueNoEsMiPresidente</t>
  </si>
  <si>
    <t>¿Qué busco? Díganle al dueño de @ELTIEMPO que lo que busco es que se sepa que el movimiento que ganó las elecciones… https://t.co/QIiXET3YpC</t>
  </si>
  <si>
    <t>RT @derlopeza: Tasajera no es Venezuela, Tasajera un pueblo olvidado en Colombia, debido a la pobreza extrema que se vive, es común entre s…</t>
  </si>
  <si>
    <t>RT @fernando1836: Con el todo el respeto del mundo pero al secretario de salud de Bogotá le quedó grande el puesto es increíble que hasta a…</t>
  </si>
  <si>
    <t>RT @orlandobenitezm: La @CordobaSalud a través de la resolución 00941 del 5 de julio de 2020, decretó ALERTA ROJA 🚨 en el Departamento de C…</t>
  </si>
  <si>
    <t>RT @bogotamuyfirme: En el precioso momento en que el General Gómez Heredia iba a responder una pregunta sobre temas tácticos de una operaci…</t>
  </si>
  <si>
    <t>RT @LUISEROLAVE: En el Pacífico el pueblo Afro votamos por Petro; y decimos: #DuqueNoEsMiPresidente #DuqueNoEsMiPresidente #DuqueNoEsMiPre…</t>
  </si>
  <si>
    <t>El Consejo de Estado afirmó en sentencia que un solo voto conseguido a través del fraude anula una elección En 20… https://t.co/3Uh3Ibeq43</t>
  </si>
  <si>
    <t>RT @_AnonymousDC: Así habría comprado y estafado a sus votantes Margarita Restrepo del Centro Democrático La Fiscalía imputará cargos a la…</t>
  </si>
  <si>
    <t>RT @GustavoBolivar: Ningún tibio, ninguno, puede arrebatarle el país a las mafias del narco q mataron a su papá. Esa misión es para alguien…</t>
  </si>
  <si>
    <t>RT @Tercer_Canal: HOY 8PM / ¿A qué se refiere el líder de la Colombia Humana @petrogustavo cuando habla de desobediencia civil? ¿Cuáles son…</t>
  </si>
  <si>
    <t>RT @zonafranca: ¿Qué implicaciones políticas tienen las declaraciones de Petro sobre la 'Ñeñepolítica'? Nos acompañan @GustavoBolivar, @Mo…</t>
  </si>
  <si>
    <t>RT @MoisesAlvaro_: “La manera como la Registraduría presentó un triunfo del Presidente Duque fue contando votos que fueron comprados con el…</t>
  </si>
  <si>
    <t>RT @ma_eugeniam: No estaría mal que el Consejo Nacional de Patrimonio Cultural responda, también, por sus actuaciones, @elespectador Advi…</t>
  </si>
  <si>
    <t>1. Si el Presidente se hizo elegir con dineros del narco comprando votos, es ilegitimo, esas la verdad sin tapujos.… https://t.co/ES3igCAPPn</t>
  </si>
  <si>
    <t>La desobediencia civil es el método que invento Henry Thoreau y que siguió Mahatma Gandhi hasta lograr la independe… https://t.co/oLt0fHHlkk</t>
  </si>
  <si>
    <t>RT @Clafe64: @EspinosaRadio @elespectador LA DESOBEDIENCIA CIVIL COMO RECURSO DE LA SOCIEDAD CIVIL PARA EL ALCANCE DE LA JUSTICIA, John Raw…</t>
  </si>
  <si>
    <t>Solo seré presidente si el pueblo quiere con su voto libre. No confunda aliados de los rastrojos conmigo. Los que… https://t.co/YxwqU1RhHB</t>
  </si>
  <si>
    <t>Si usted deja que los niños vayan al colegio en agosto somete a la sociedad al mayor de los peligros. Un president… https://t.co/wMJjw5iFuz</t>
  </si>
  <si>
    <t>RT @javierx092: Quien dijo que desobediencia civil es salir a las calles y romperlo todo?? Tampoco somos tan uribistas... nosotros si estud…</t>
  </si>
  <si>
    <t>RT @Juanaafanador1: La desobediencia cómo arma pacifica y política puede llevar a grandes cambios, en una sociedad pasiva y apaciguada. Per…</t>
  </si>
  <si>
    <t>RT @anateresabernal: @DanielSamperO Pero cuándo hablan de la lucha histórica y pacífica de Gandhi si es buena. No se le olvide cuántos líde…</t>
  </si>
  <si>
    <t>RT @MdeFrancisco12: ¿Se imaginan que en un PAÍS descubran que se compraron votos con dineros del narcotráfico en elecciones presidenciales?</t>
  </si>
  <si>
    <t>RT @MovNaranja3: - ¿Si vio al político que llamó a la desobediencia civil? - Ese resentido mal perdedor de Petro quiere desestabilizar el p…</t>
  </si>
  <si>
    <t>RT @MoisesAlvaro_: Colombia Humana no está creando ningún caos por llamar a la desobediencia civil. Quienes rompen la Constitución son los…</t>
  </si>
  <si>
    <t>RT @lucianacadahia: Desde el campo popular y feminista colombiano se están sentando las bases para la desobediencia civil pacífica y democr…</t>
  </si>
  <si>
    <t>RT @DanielRMed: Henry D Thoreau por objeción de conciencia, desarrolló la teoría de la no violencia en su obra “la desobediencia civil”, es…</t>
  </si>
  <si>
    <t>RT @MeDicenWally: El llamado a desobediencia que hace Petro no debería ser motivo de polémica. Es más escandaloso ver cómo durante años no…</t>
  </si>
  <si>
    <t>RT @DanielRMed: Obedecerle a Duque es legitimar el narcotráfico, es ser esclavos de la mafia https://t.co/e8hjpLaZ5M</t>
  </si>
  <si>
    <t>RT @DanielRMed: A los continuadores del peñalosismo en Bogotá les parece que pedir renta básica universal, salvar las vidas, rescatar hospi…</t>
  </si>
  <si>
    <t>RT @lbertoortiz: Protesta frente al consulado de Colombia en París, por violencia sexual de miembros del ejército colombiano contra niñas d…</t>
  </si>
  <si>
    <t>Los uribistas nos dicen locos. Para ellos es una locura pensar que es ilegítimo el presidente que se hace elegir c… https://t.co/kUKMnZWlaJ</t>
  </si>
  <si>
    <t>Qué es la desobediencia civil? Aquí la definición de John Rawls https://t.co/NPuXeLGkCY</t>
  </si>
  <si>
    <t>Amigo mío mi sueldo está embargado por el gobierno de Duque y lo que me sobra de eso se lo lleva el banco. https://t.co/jGk6s5TfcZ</t>
  </si>
  <si>
    <t>RT @petrogustavo: Qué es la desobediencia civil? Aquí la definición de John Rawls https://t.co/NPuXeLGkCY</t>
  </si>
  <si>
    <t>RT @PizarroMariaJo: Peligroso para la democracia es comprar votos con el narcotrafico @WRadioColombia</t>
  </si>
  <si>
    <t>Aquí se va la platica que era para comprar los respiradores y para contratar el personal de salud para manejarlos.… https://t.co/oE3RVovNEy</t>
  </si>
  <si>
    <t>RT @petrogustavo: Los uribistas nos dicen locos. Para ellos es una locura pensar que es ilegítimo el presidente que se hace elegir con vot…</t>
  </si>
  <si>
    <t>Luis Sandoval del Polo Democrático, sobre la desobediencia civil YA. https://t.co/5upAgmPraK</t>
  </si>
  <si>
    <t>RT @soy_patojo: Ya entendí la desobediencia civil de @petrogustavo, y es muy diferente a la desobediencia civil que nos quiere explicar la…</t>
  </si>
  <si>
    <t>RT @AndresCamiloHR: Hablar de cambio significa tanto y mucho, que no logramos dimensionar la magnitud de lo que podría ser para el rumbo de…</t>
  </si>
  <si>
    <t>Mi antieditorial en el @elespectador les solicito RT para que se pueda entender por toda la ciudadanía que implic… https://t.co/p5BFgpUCMx</t>
  </si>
  <si>
    <t>Amigo Samper la propuesta de desobediencia civil desde que la impulso Thoreau y Mahatma Gandhi ha sido y es profund… https://t.co/yHxhUKhk1T</t>
  </si>
  <si>
    <t>Se les olvidó hasta las matemáticas. Solo se necesitaba comprar un millón de votos de electores posibles de Colombi… https://t.co/F89CPfXDLH</t>
  </si>
  <si>
    <t>RT @petrogustavo: Mi antieditorial en el @elespectador les solicito RT para que se pueda entender por toda la ciudadanía que implica un f…</t>
  </si>
  <si>
    <t>RT @SenorCaicedo: Los Verdes siendo Verdes. @AngelicaLozanoC https://t.co/ajwM9Zq9B6</t>
  </si>
  <si>
    <t>Camilita si yo convoco a la rebelión de inmediato paso a la clandestinidad y lo anuncio. Pero esta vez a diferenci… https://t.co/JSFpHb47os</t>
  </si>
  <si>
    <t>Lo dice quien con mucho cariño recibió nuestro apoyo para ser concejal de la ciudad. https://t.co/bllIgIkWbW</t>
  </si>
  <si>
    <t>Camila, y corrijo, si yo convoco a la rebelión de inmediato paso a la clandestinidad y lo anuncio. A diferencia de… https://t.co/rwRCFPyWsL</t>
  </si>
  <si>
    <t>RT @petrogustavo: Lo dice quien con mucho cariño recibió nuestro apoyo para ser concejal de la ciudad. https://t.co/bllIgIkWbW</t>
  </si>
  <si>
    <t>RT @HOLLMANMORRIS: Que @petrogustavo “destruye” las instituciones,hágame el favor. La impunidad ante violaciones a niñas destruye al ejérci…</t>
  </si>
  <si>
    <t>RT @MariaMatusv: En Colombia, la desobediencia civil es necesaria hace rato. No es un atentado contra la democracia. Todo lo contrario, es…</t>
  </si>
  <si>
    <t>RT @DavidRacero: Abro Hilo: ¿Por qué #GobiernoIlegítimo? John Rawls sostenía que las crisis de legitimidad ocurren cuando los gobiernos c…</t>
  </si>
  <si>
    <t>RT @DiegoVelezGar: Que discurso más elemental y que deslealtad con quien le dio la oportunidad de llegar al concejo por primera vez hace 8…</t>
  </si>
  <si>
    <t>RT @DanielRMed: Tiempos aquellos cuando @petrogustavo te garantizaba una curul, entonces no era tóxico, ni extremista, ni polarizador, ni v…</t>
  </si>
  <si>
    <t>RT @Tercer_Canal: HOY 8PM &gt; El llamado de Petro a la #DesobedienciaCivil ha levantado una polvareda en redes y en medios tradicionales.…</t>
  </si>
  <si>
    <t>Estos son ejemplos de desobediencia civil en el mundo El más famoso, la marcha de la sal. Gandhi rompió el monopo… https://t.co/7Rhh6hewGG</t>
  </si>
  <si>
    <t>Hoy a las ocho de la noche, tercer canal por facebook live tendrá un programa para explicar en que consiste y que e… https://t.co/5h8AKSqEp1</t>
  </si>
  <si>
    <t>RT @GustavoBolivar: Otra que pierde el abogado de Alex Saab: Juez 23 Civil negó tutela de Uribe que pretendía frenar la serie #Matarife de…</t>
  </si>
  <si>
    <t>RT @saludhernandezm: Si el Senado pretende obligarnos por ley a votar, nosotros tenemos que exigirles no robar. Si hay candidatos corruptos…</t>
  </si>
  <si>
    <t>RT @IvanDuque: La resistencia civil no es violenta es persuasiva y pedagógica https://t.co/x3AHUlug0x</t>
  </si>
  <si>
    <t>RT @petrogustavo: Hoy a las ocho de la noche, tercer canal por facebook live tendrá un programa para explicar en que consiste y que es la d…</t>
  </si>
  <si>
    <t>RT @MaPaulaFonseca: La consulta anticorrupción sólo fue una estrategia de @ClaudiaLopez . Solo así se puede entender, cómo quien lideró ese…</t>
  </si>
  <si>
    <t>Estoy de acuerdo. https://t.co/6BknwZoJoY</t>
  </si>
  <si>
    <t>No compraron ningún respirador, el gobierno nacional lo hizo tardíamente. Se dedicaron a meter la plata en los tran… https://t.co/qwa630Ds25</t>
  </si>
  <si>
    <t>Con independencia del sistema de ideas e intereses que se mueve detrás de la actual alcaldía de Bogotá. Lo cierto… https://t.co/3HJxDqwVot</t>
  </si>
  <si>
    <t>Una manera de no mirar la viga en el ojo. Lo que genera la desobediencia civil es un presidente elegido con los vo… https://t.co/e9pm7Tngry</t>
  </si>
  <si>
    <t>Cada vez que se denuncia por parte de las comunidades de la Guajira la desnutrición de los niños aparecen las amena… https://t.co/l94ftD7Nh1</t>
  </si>
  <si>
    <t>RT @MamerMoure: ¿A partir de cuantos votos está permitido llamar fraude electoral a la compra que tradicionalmente se hace durante las ele…</t>
  </si>
  <si>
    <t>RT @petrogustavo: Estoy de acuerdo.</t>
  </si>
  <si>
    <t>RT @dianafer9: Ellas defienden a Duque y a los intereses de los corruptos, Que ha hecho Angélica para defender a la gente que vive en la mi…</t>
  </si>
  <si>
    <t>En medio de la pandemia lo que quieren es guerra y más guerra, una sociedad llevada al matadero. https://t.co/F4AS4RTRQr</t>
  </si>
  <si>
    <t>Pueblo Viejo, es de pescadores. Cada vez pescan menos porque hay menos agua en la Ciénaga. El agua la atrapan las… https://t.co/BInI8PSzPk</t>
  </si>
  <si>
    <t>RT @Matador000: Para la Senadora Angélica Lozano, sí hubo compra de votos, pero en sus justas proporciones. Un concepto moral tan laxo en…</t>
  </si>
  <si>
    <t>Matemáticamente, contando los 400.000 votos en blanco auspiciados por Fajardo/Robledo, Duque solo necesitaba que se… https://t.co/CavkCtrWwA</t>
  </si>
  <si>
    <t>RT @aleltbd: Respetado ciudadano colombiano de la orilla que sea, el acto de corrupción como lo es la compra de votos, no fue contra @petro…</t>
  </si>
  <si>
    <t>Camila, confío en su buena fe, pero la desobediencia civil es una acción de alta conciencia colectiva, de emancipac… https://t.co/ztujXTww3U</t>
  </si>
  <si>
    <t>RT @BunkerGlo: ¿No que andan mamados de la corrupción? De los delincuentes de la Casa de Cariño? Del imbécil del Fiscal? De los paramilitar…</t>
  </si>
  <si>
    <t>RT @anateresabernal: Buen día. La @ocdeenespanol emitió su último informe de desempleo en los países adscritos. Colombia con 21% ocupa el 1…</t>
  </si>
  <si>
    <t>Aun siguen pensando que entre el proyecto mafioso y violento y el proyecto de una democracia real hay un punto medi… https://t.co/UIv4yoruH3</t>
  </si>
  <si>
    <t>Saben por qué somos el país de mayor desempleo de la OCDE? Porque no hubo pago de nóminas en manos del Estado, ni… https://t.co/OSiMdMbgKB</t>
  </si>
  <si>
    <t>RT @ismene2: Ve, después del "polémico" caso de la propuesta de Petro sobre la resistencia civil espero que hayan notado con qué lado se a…</t>
  </si>
  <si>
    <t>RT @Tercer_Canal: #ResumenTC &gt; "Existe una tendencia a desdibujar, incluso a criminalizar cualquier instrumento de oposición o de resistenc…</t>
  </si>
  <si>
    <t>RT @Betocoralg: Señora @ClaudiaLopez y @PartidoVerdeCoL: ¿tienen ustedes un representante por el Partido en el Exterior llamado Nestor Tria…</t>
  </si>
  <si>
    <t>RT @Tercer_Canal: #ResumenTC &gt; "Respecto a la prensa oficial, caricaturizan lo que dijo Petro. Se puede ver que estas reacciones son temero…</t>
  </si>
  <si>
    <t>RT @jcuestanovoa: La Ley 735 y la justicia colombiana ordenan la conservación, protección y restauración del Hospital San Juan de Dios. #El…</t>
  </si>
  <si>
    <t>La Silla Vacía debería mostra si tiene algún contrato con el distrito y, dejar de mentir. 1. Sin el edificio centr… https://t.co/4uK2xweakR</t>
  </si>
  <si>
    <t>La ley ordenó no solo la restauración sino la apertura del hospital universitario como tal. Sin la torre central es… https://t.co/Ug8I5Maqax</t>
  </si>
  <si>
    <t>3. No es cierro que el PEMP contratado con la U Nacional permitiese la demolición. El cambio de estatus del edific… https://t.co/khimuYoYQi</t>
  </si>
  <si>
    <t>5. La silla vacía paseo por el hospital y muestra foros de lugares deteriorados donde no están las redes y reparaci… https://t.co/rMqB0rIhM8</t>
  </si>
  <si>
    <t>6.. EL nuevo edificio no sera del hospital del San Juan de Dios sino del santa Clara,y en el contrato reza que por… https://t.co/GSmxW4Q60F</t>
  </si>
  <si>
    <t>RT @tobonsanin: A Angélica Lozano solo le faltó decir que la compra de votos era legal. Sorprende la tolerancia con la que una de las promo…</t>
  </si>
  <si>
    <t>Lamento que en medio de mi entrevista, mi entrevistador se informe del suicidio de un pariente tan querido para él.… https://t.co/Z78sCwH5TD</t>
  </si>
  <si>
    <t>RT @dianalzuleta: Hay pruebas de sobra para declarar, no solo ilegítima la elección de @IvanDuque, sino para llevar a la justicia a sus cóm…</t>
  </si>
  <si>
    <t>Amigo Daniel el edificio nuevo que llaman Santa Clara en el contrato, no solo se llama así, sino que allí se trasla… https://t.co/bAH1C2qsr7</t>
  </si>
  <si>
    <t>RT @CarlosCortes: Para @petrogustavo, la política pública que no está alineada con su visión, es un delito; los funcionarios que no apoyan…</t>
  </si>
  <si>
    <t>Tenemos presidente y tenemos amigo, dice el traqueto borracho desde Santa Marta. .. https://t.co/b0X6xk6Maq a través de @YouTube</t>
  </si>
  <si>
    <t>Nada más mentiroso. Todas las personas a las que he acusado de algún delito están presas, incluidos copartidarios.… https://t.co/WX7b9yFyNM</t>
  </si>
  <si>
    <t>RT @petrogustavo: Tenemos presidente y tenemos amigo, dice el traqueto borracho desde Santa Marta. .. https://t.co/b0X6xk6Maq a través de…</t>
  </si>
  <si>
    <t>RT @ale_loucau: La frase predilecta de la derecha liberal. Dice ser moderado, pero no lo es https://t.co/HoyXsfSIO7</t>
  </si>
  <si>
    <t>RT @lucianacadahia: El falso progresismo colombiano ya empieza a estigmatizar a Petro para 2022. Seguimos en Macondo. La espiral vuelve a r…</t>
  </si>
  <si>
    <t>Esta muy bien ampliar la cobertura de fibra óptica que dejamos con ETB en la ciudad. Esa es una prioridad de infra… https://t.co/RyBepsvLJU</t>
  </si>
  <si>
    <t>El obispo Monsalve solo dijo la verdad. Existe un genocidio por venganza y la víctima es la Paz</t>
  </si>
  <si>
    <t>RT @Col_Humana: #DesobedienciaCivil @petrogustavo debe evitar a toda costa 1. confrontaciones directas por ejemplo con la Policía o el S…</t>
  </si>
  <si>
    <t>RT @JulianFMartinez: “Ahora que cambiemos de gobierno vamos a tener todo, vamos a tener gobierno, vamos a tener de todo”, dijo en una llama…</t>
  </si>
  <si>
    <t>RT @cuestion_p: #Paninis La experiencia de los ‛paninis’ del equipo del "profe" Fajardo provenienen de las juntas directivas del Grupo Empr…</t>
  </si>
  <si>
    <t>RT @MajoDoria: ¿Por qué a la gente de "centro" le duele tanto reconocer que a Petro le robaron la presidencia?</t>
  </si>
  <si>
    <t>RT @genteconvos: Aquí están metidos los expertos en aceleración de obras, que llevaron al desastre con la construcción del túnel adicional…</t>
  </si>
  <si>
    <t>RT @FisicoImpuro: Eso es lo que me gusta de Petro; el tipo pone a una buena parte de este país a leer. Ayer tibios y uribistas pensaban que…</t>
  </si>
  <si>
    <t>RT @Col_Humana: Cambia CD por DC https://t.co/xahgjbNsM3</t>
  </si>
  <si>
    <t>RT @Juanaafanador1: Ah, y los que pretenden descomplejizar el debate político a punta de « se puede », « no polarizar », « no más extremos …</t>
  </si>
  <si>
    <t>RT @negrogaviria: Yo no creo que @petrogustavo sea el mesías. Lo que si sé es que es el politico más preparado, coherente e inteligente qu…</t>
  </si>
  <si>
    <t>RT @ContraGodarria: 🙄🙄🙄🙄🙄🙄🙄 Uribestias 🤭 https://t.co/5dbVu4uULd</t>
  </si>
  <si>
    <t>RT @FT_Col: Ahora sí aplicó lo de "culpa de Petro", pero peor: - Petro: "se conocieron evidencias jurídicas de compra de votos y financiac…</t>
  </si>
  <si>
    <t>RT @PizarroMariaJo: Hay más encandalo por la propuesta de @petrogustavo sobrea desobediencia civil como acto de protesta y dignidad, que po…</t>
  </si>
  <si>
    <t>RT @Suaguagua: Las más absurdo que dijo @AngelicaLozanoC fue que denunciar el fraude era "una estrategia electoral" de @petrogustavo. En s…</t>
  </si>
  <si>
    <t>RT @CarlosCarrilloA: Qué triste ver lo poco que les importa el patrimonio a los políticos y a los periodistas de este país. Más allá de la…</t>
  </si>
  <si>
    <t>RT @mmiguelangelj: Además de ilegítimo, el presidente @IvanDuque nos mintió. En campaña dijo que en su gobierno no habría fracking y con la…</t>
  </si>
  <si>
    <t>RT @heidy_up: @ClaudiaLopez prometió que no habría @TransMilenio por la Av. 68, en su mandato la realidad es otra. Como si fuera poco, se a…</t>
  </si>
  <si>
    <t>RT @JulianBaezVega1: @ClaudiaLopez sigue mostrando su "compromiso" con la @udistrital. Aparte de no querer hablar de matrícula cero en el c…</t>
  </si>
  <si>
    <t>Este es al estilo de Claudia: la forma de decirle no a la gratuidad en la educación publica superior. No da un peso… https://t.co/kFKnGRWrqq</t>
  </si>
  <si>
    <t>RT @AndresPastrana_: Señor Presidente @IvanDuque: ¿Es cierto que el nombramiento de Juan Miguel Durán Prieto en la ANM está pactado con el…</t>
  </si>
  <si>
    <t>RT @susanamuhamad: Hoy estaremos en la @PGN_COL pidiendo la investigación a los funcionarios que avalan la demolición en el San Juan de Dio…</t>
  </si>
  <si>
    <t>RT @ricardobonillag: Nuevamente aumentó capacidad y pruebas, hoy a 88.6% nueva capacidad, tasa+ 19.4, completamos 13 días en el top10 de co…</t>
  </si>
  <si>
    <t>Colombia es el país número 108 en pruebas diarias. Así la pandemia se desarrolla sin que el gobierna sepa ni su ver… https://t.co/QojfG6DUFT</t>
  </si>
  <si>
    <t>RT @wilsonariasc: Del engaño a la expropiación. Doble atropello ha cometido la alcaldesa @ClaudiaLopez contra los vecinos de la Avenida 68.</t>
  </si>
  <si>
    <t>Un progresista de verdad, antioqueño de pura cepa, revolucionario, andariego lleno de esperanzas. Rafael Uribe Uri… https://t.co/vvKx8SqK94</t>
  </si>
  <si>
    <t>RT @AlexLopezMaya: Presidente, atendiendo a sus palabras, ¿para cuándo renuncia, asume su responsabilidad y cumple su condena en la cárcel…</t>
  </si>
  <si>
    <t>En Colombia no hay estafetas de lo que no existe, en cambio si hay muchos estafetas del narcotráfico. Nosotros som… https://t.co/bEsaLsTs1C</t>
  </si>
  <si>
    <t>Unos estafetas del narcotráfico, otros somos estafetas de la decencia y la dignidad. El narcotrafico y la decencia… https://t.co/1EZaMJXiGt</t>
  </si>
  <si>
    <t>RT @petrogustavo: Unos estafetas del narcotráfico, otros somos estafetas de la decencia y la dignidad. El narcotrafico y la decencia exist…</t>
  </si>
  <si>
    <t>Lo que hemos propuesto es unirnos en torno a un programa sobre lo fundamental. ¿Qué es lo fundamental? Lo que cam… https://t.co/qk8CBX9CEV</t>
  </si>
  <si>
    <t>Eduardo montealegre tiene toda la razón. Tanto la política de las Convivir en la gobernación de Antioquia como la m… https://t.co/4WPkXedXWa</t>
  </si>
  <si>
    <t>No allanan los alkosto en Bogotá pero si allanan los mercados campesinos. Ciudadanía traten de comprar al tendero… https://t.co/0o3PLSu4nU</t>
  </si>
  <si>
    <t>RT @Matador000: El antiguo "castrochavismo" ahora se llama "neochavismo". Uribe sabe que millones de bobos irreflexivos votarán seducidos…</t>
  </si>
  <si>
    <t>RT @jcuestanovoa: Señores @ELTIEMPO En la edición de hoy 7 de julio de 2020, el periódico en mención publica el editorial ¿Apuesta por el C…</t>
  </si>
  <si>
    <t>Lo que somos es, y somos multitud, estafetas de la decencia y la dignidad. https://t.co/dvtDsQEBE6</t>
  </si>
  <si>
    <t>Efectivamente dineros venezolanos petroleros entraron al Centro Democrático. Rompieron la ley y la Constitución si… https://t.co/NsyqC5Twtk</t>
  </si>
  <si>
    <t>El neochavismo es para tapar el ñeñeuribismo. https://t.co/r87s6v8O7B</t>
  </si>
  <si>
    <t>RT @MaPaulaFonseca: Acá la prueba de cómo el secretario de salud @luismorales0621 de @EnriquePenalosa , en contra del CONCEPTO TÉCNICO de l…</t>
  </si>
  <si>
    <t>RT @petrogustavo: Efectivamente dineros venezolanos petroleros entraron al Centro Democrático. Rompieron la ley y la Constitución si estos…</t>
  </si>
  <si>
    <t>RT @petrogustavo: Lo que hemos propuesto es unirnos en torno a un programa sobre lo fundamental. ¿Qué es lo fundamental? Lo que cambie a…</t>
  </si>
  <si>
    <t>RT @MaPaulaFonseca: Según consta en él acta del Consejo de Patrimonio Cultural para @luismorales0621 reforzar la torre central del Hospita…</t>
  </si>
  <si>
    <t>RT @AnaM_Arango: Nos vemos mañana a las 6 p.m ¡va a estar bueno! @petrogustavo @ingrodolfohdez @tobonsanin https://t.co/Wk9Z6ZrCYb</t>
  </si>
  <si>
    <t>RT @susanamuhamad: Hoy estuvimos en la @PGN_COL pidiendo que los funcionarios que avalaron la demolición en el San Juan de Dios incumplien…</t>
  </si>
  <si>
    <t>RT @JoseMar72645899: En el municipio de sucre sucre, terrateniente cultivador de Palma africana, seca sapales, ciénagas y desvía caños para…</t>
  </si>
  <si>
    <t>RT @petrogustavo: El neochavismo es para tapar el ñeñeuribismo. https://t.co/r87s6v8O7B</t>
  </si>
  <si>
    <t>RT @wilsonariasc: De $29 billones de pesos de presupuesto para atender la emergencia, Duque sólo ha ejecutado $3,6. De esos $3,6 billones,…</t>
  </si>
  <si>
    <t>Se equivoca e induce al engaño a la población por imitar un cuadro falso hecho por el Moir. Si usted sima los pres… https://t.co/JqxP2cO8SX</t>
  </si>
  <si>
    <t>Hoy a las seis de la tarde presentamos con este foro, nuestra plataforma virtual de organización y comunicación de… https://t.co/j8LsAnI5JI</t>
  </si>
  <si>
    <t>RT @ma_eugeniam: En artículo @lasillavacia sobre el San Juan de Dios, director de Patrimonio de @mincultura, entidad que había modificado e…</t>
  </si>
  <si>
    <t>RT @petrogustavo: Hoy a las seis de la tarde presentamos con este foro, nuestra plataforma virtual de organización y comunicación de la Col…</t>
  </si>
  <si>
    <t>RT @LevyRincon: Ya pueden verse la entrevista con el máximo líder de la oposición en Colombia y quien asegura que se le robaron las pasadas…</t>
  </si>
  <si>
    <t>Lamentablemente el doctor Tobón ha sufrido un accidente y preferimos suspender este foro de lanzamiento de nuestra… https://t.co/GkDqZ4DRXV</t>
  </si>
  <si>
    <t>RT @nicolasAmon: Operador público de basuras fue legal, y no solo eso, redujo costo de tarifas de basuras y generó utilidades a la ciudad p…</t>
  </si>
  <si>
    <t>Es imprescindible que el Congreso de la República retome sus sesiones presenciales y por lo menos, se recupere algo… https://t.co/FsC3V9kCQt</t>
  </si>
  <si>
    <t>Juanita preocupada por la región metropolitana, reforma que concitó todo el apoyo de la clase política a espaldas d… https://t.co/UIJST2Tgd1</t>
  </si>
  <si>
    <t>RT @Andrea_Q23: Trataron de relacionar a Petro con Alex Saab y en realidad es cercano a De la Espriella y Jaime Amin Trataron de vender qu…</t>
  </si>
  <si>
    <t>Aplicando el método epidemiológico usado en Singapur, la Celag ha logrado este cuadro que muestra la enorme irrespo… https://t.co/8Q574iNi7B</t>
  </si>
  <si>
    <t>La Policía de Bucaramanga causa trauma cerebral con sus golpes al militante de Colombia Humana y exconcejal de la c… https://t.co/RcIZQP23Ox</t>
  </si>
  <si>
    <t>Universidad del Atlántico pasa a la gratuidad en la educación superior. https://t.co/vTM8xNdrc6</t>
  </si>
  <si>
    <t>RT @Maximo_NoriegaR: Con 983 decesos B/quilla es la ciudad colombiana con más víctimas mortales por el #Covid_19, pese a que tiene mucho me…</t>
  </si>
  <si>
    <t>Es increible que Bogotá teniendo el presupuesto mas fuerte del país, su administración no garantice la educación p… https://t.co/BMomaOaayD</t>
  </si>
  <si>
    <t>RT @petrogustavo: Aplicando el método epidemiológico usado en Singapur, la Celag ha logrado este cuadro que muestra la enorme irresponsabil…</t>
  </si>
  <si>
    <t>El modelo metodología de Singapur nos muestra que la decisión de Duque de flexibilizar al máximo la cuarentena trae… https://t.co/jPThbyW1Y8</t>
  </si>
  <si>
    <t>Ya superamos a China en número de muertos y alcanzaremos la cifra oficial de Ecuador. El sistema de salud mercant… https://t.co/nnVRPBsLA9</t>
  </si>
  <si>
    <t>RT @nicolaspetroB: La situación que hoy vive el Atlántico, es trágica. Más de 30mil casos de #COVID__19 y 1.697 fallecidos, y lo peor, no…</t>
  </si>
  <si>
    <t>Me pregunto donde esta el odio, ¿en la familia que deja de pagar los servicios públicos para sobrevivir?¿o en el Pr… https://t.co/PtXvb0XT5H</t>
  </si>
  <si>
    <t>Dado que la mesa directiva del Congreso delegó, inconstitucionalmente, en el gobierno el decreto de sesiones virtua… https://t.co/wMMUTQon3t</t>
  </si>
  <si>
    <t>RT @DiegoVelezGar: Fajardo y compañía hablan de la polarización, de los extremos y del odio de Petro, para evitar la discusión sobre su pro…</t>
  </si>
  <si>
    <t>Cuando alguien habla de mi odio simplemente esta evitando debatir mis propuestas, primero porque no las tiene y por… https://t.co/CN1Pc5GjgO</t>
  </si>
  <si>
    <t>RT @anateresabernal: Expertos de la UN que diseñaron el PEMP del H. San Juan de Dios, no entienden porqué las instituciones que crearon est…</t>
  </si>
  <si>
    <t>RT @PrensaUN: La conservación del Hospital #SanJuandeDios está en discusión porque la primera obra que se plantea para recuperar el conjunt…</t>
  </si>
  <si>
    <t>la universidad Distrital, que es financiada por el Distrito y no por la Nación, puede dar educación superior gratui… https://t.co/sIQbwWx6ty</t>
  </si>
  <si>
    <t>No seré investigado porque no hay delito, díganlo bien claro. Desprivatizar un servicio público no es expropiación… https://t.co/QRm4c8GE2o</t>
  </si>
  <si>
    <t>Cuando aumenta el porcentaje de contagiados de Bogotá sobre el país , las fuerzas progresistas de la ciudad deben a… https://t.co/YCYrwTufqx</t>
  </si>
  <si>
    <t>Si no se pagan servicios públicos y deudas bancarias, las empresas pueden mantener empleos, la gente puede quedarse… https://t.co/iKwScDTxF4</t>
  </si>
  <si>
    <t>RT @ismene2: Ve, se está normalizando el concepto de que es igual atacar que defenderse. No, no es lo mismo.</t>
  </si>
  <si>
    <t>RT @susanamuhamad: https://t.co/bVz6nWWTw6 Volvemos a solicitar 1000 equipos de médicos a casa para masificar pruebas y hacer seguimiento…</t>
  </si>
  <si>
    <t>Atentado a Carlos Caicedo tiene una fuente clara: la clase política del Magdalena. Una casta política ligada a los… https://t.co/I2gOwr8my8</t>
  </si>
  <si>
    <t>RT @petrogustavo: Cuando aumenta el porcentaje de contagiados de Bogotá sobre el país , las fuerzas progresistas de la ciudad deben admitir…</t>
  </si>
  <si>
    <t>La cuarentena de Kennedy y Suba, en Bogotá fracasaron. El fracaso se debe a que no hay política social que las aco… https://t.co/g9S2wJtyVO</t>
  </si>
  <si>
    <t>RT @anateresabernal: La Alcaldia de @Bogota acaba de corregir la estrategia para la cuarentena, pero me llama la atención esta publicidad q…</t>
  </si>
  <si>
    <t>RT @MovNaranja3: A ver Darcy Si la elección de Duque es ilegitima entonces Petro no quedó en segundo lugar sino en primero https://t.co/TCh…</t>
  </si>
  <si>
    <t>La renta básica no es un número cualquiera, es el mínimo nivel de reproducción de la vida: comida, servicios públic… https://t.co/ubSNVbMeso</t>
  </si>
  <si>
    <t>RT @luzmamunera: Matricula cero para tod@s l@s estudiantes de las universidades públicas de Antioquia cuesta 71 mil millones de pesos. Pref…</t>
  </si>
  <si>
    <t>RT @cuestion_p: Tras una marcha de 730,000 pasos y hasta más, 12 caucanos llegaron a #Bogotá para exigirle al gobierno de @IvanDuque que fr…</t>
  </si>
  <si>
    <t>La cuarentena estricta es imprescindible pero no funciona sin política social nacional fuerte, lo demuestra el fra… https://t.co/A4ELvwaWjs</t>
  </si>
  <si>
    <t>Colombia Humana, mi querido Pacheco, hace parte del mismo movimiento progresista mundial al que pertenece Noam Chom… https://t.co/TaFOBYWAts</t>
  </si>
  <si>
    <t>La propagación del virus en el Urabá va a hacer colapsar el sistema de salud de Córdoba profundamente saqueado por… https://t.co/AqPTU9t3c7</t>
  </si>
  <si>
    <t>Estos datos solo demuestran que en realidad, y con el.aplauso de la gran prensa, los grandes banqueros y el gran ca… https://t.co/RrOIsyLZTV</t>
  </si>
  <si>
    <t>Si no hay una fuerte política social en Bogotá, ka cuarentena estricta , que es indispensable, se convertirá en bur… https://t.co/KcPYnKE6ci</t>
  </si>
  <si>
    <t>Solo nos superan en número de muertos, Brasil, México, EEUU e India, en todo el mundo. ¿,Aun se atreven a decir qu… https://t.co/K3bXiXUnri</t>
  </si>
  <si>
    <t>El Centro democrático se reclama ahora de la Santa Inquisición. https://t.co/9eFRU9XqMC</t>
  </si>
  <si>
    <t>Si el gobierno no decreta una cuarentena estricta y el Congreso decide seguir en virtualidad, condenará a Colombia… https://t.co/bitJksN2xP</t>
  </si>
  <si>
    <t>RT @petrogustavo: Solo nos superan en número de muertos, Brasil, México, EEUU e India, en todo el mundo. ¿,Aun se atreven a decir que tene…</t>
  </si>
  <si>
    <t>Bogotá es hoy una de las regiones de mayor contagio del mundo. Su administración no compró ni un solo respirador… https://t.co/loJPmjxbW2</t>
  </si>
  <si>
    <t>RT @ma_eugeniam: El nuevo Santa Clara no cabe en el San Juan de Dios. Son hospitales distintos. @ClaudiaLopez no estaba obligada a continu…</t>
  </si>
  <si>
    <t>RT @petrogustavo: Bogotá es hoy una de las regiones de mayor contagio del mundo. Su administración no compró ni un solo respirador y quie…</t>
  </si>
  <si>
    <t>RT @HOLLMANMORRIS: ¿Por qué me denuncia penalmente @DELAESPRIELLAE ?Por escribir trinos donde pregunto la responsabilidad de directivos de…</t>
  </si>
  <si>
    <t>RT @GustavoBolivar: #QueAparezcaSraPatria ya apareció @SraPatria Se metieron a los aptos de 3 personas del edificio en pleno #ViernesDeMat…</t>
  </si>
  <si>
    <t>La policía allanó la casa de @SraPatria. Se llevo los computadores. Duque profundiza la dictadura https://t.co/5e5C8hDjBS</t>
  </si>
  <si>
    <t>RT @Hekatombe_: El 19 de noviembre de 2019 se presentaron 17 allanamientos en todo el país a medios alternativos, independientes y colectiv…</t>
  </si>
  <si>
    <t>Volvemos a los tiempos de los allanamientos de Turbay Ayala. Ahora agenciados por el Fiscal amigo de Duque. Entre… https://t.co/34yqL3rzv2</t>
  </si>
  <si>
    <t>En Colombia no se esta tratando el virus antes que la gente necesite respiradores Mucha gente habría y puede salva… https://t.co/ahDHSAXs6J</t>
  </si>
  <si>
    <t>Señores del autedenominado centro, que esconde el neoliberalismo, dejen de engañar a la gente. La renta básica tie… https://t.co/oYoFxeCaOE</t>
  </si>
  <si>
    <t>RT @petrogustavo: En Colombia no se esta tratando el virus antes que la gente necesite respiradores Mucha gente habría y puede salvar la v…</t>
  </si>
  <si>
    <t>Muchos italianos y españoles salvaron sus vidas porque fueron tratados ante los primeros síntomas. Pero en Colombi… https://t.co/lqIJhXdUNN</t>
  </si>
  <si>
    <t>El ejemplo de Leticia, Guayaquil,Costa Rica, Cuba y muchísimos países demuestra que si hay tratamiento adecuado a e… https://t.co/ZW5AUaDQNl</t>
  </si>
  <si>
    <t>Médico(a)s en su mayoría siguen obedientes protocolos de EPS que reducen a simple observación y acetaminofen el tra… https://t.co/8zfcBDHZ8W</t>
  </si>
  <si>
    <t>Esta es la demostración de la ausencia de protocolos reales para el tratamiento del covid en Bogotá. A la gente sin… https://t.co/hVMZucpy4x</t>
  </si>
  <si>
    <t>RT @LevyRincon: Si ven la entrevista que le hice a Gustavo Petro se van a dar cuenta del ridículo que hacen cuando llaman comunista, exprop…</t>
  </si>
  <si>
    <t>Puedes guardarte todos los trinos no hay problema y de paso decirles q tus amigos que con Colombia Humana si se qui… https://t.co/XW2StAzWKl</t>
  </si>
  <si>
    <t>Quieren ocultar a como de lugar la realidad El poder político de Colombia está profundamente ligado al narcotrafi… https://t.co/N29Pq30Qec</t>
  </si>
  <si>
    <t>El tratamiento en Colombia ante el virus es el acetaminofen En el mundo son mucho más avalados por la OMS. NO se… https://t.co/4YvyPfllx1</t>
  </si>
  <si>
    <t>En Kennedy, Ciudad Bolívar se hicieron sedes de la U distrital con recursos de los fondos de desarrollo local duran… https://t.co/C44hKZmLdm</t>
  </si>
  <si>
    <t>Claudia puede garantizar hoy la educación gratuita en la universidad Distrital.</t>
  </si>
  <si>
    <t>Antes de un agravamiento del enfermo de covid con tratamiento en UCI , debe haber un tratamiento a los efectos de l… https://t.co/aRkPjhHQJD</t>
  </si>
  <si>
    <t>La respuesta del Colegio médico al doctor Raul Salazar aun no responde su cuestionamiento: dado tratamientos que pu… https://t.co/LnzpW3vPq5</t>
  </si>
  <si>
    <t>Johnattan aquí nadie esta hablando de cura del virus o vacunas. Ese no es el tema. Lo que si existe es que consecu… https://t.co/AxLmU2l80k</t>
  </si>
  <si>
    <t>No veo ninguna razón para incumplir este acuerdo con los verdes. Es más, parte de ese acuerdo se propuso a Claudia… https://t.co/ZLsmWNamP0</t>
  </si>
  <si>
    <t>El médico Raúl Salazar propone, tutelas de los pacientes para exigir tratamiento ante el covid, porque hay omisión… https://t.co/LuSSLE1KOM</t>
  </si>
  <si>
    <t>Te explico: exigencia de tratamiento. con tutelas o con seducción, o como usted prefiera. Los protocolos no los apr… https://t.co/6oSwpHNP8d</t>
  </si>
  <si>
    <t>Esta es la intervención del médico Raul salazar en nocturna de RCN, que abre una discusión de la calidad del tratam… https://t.co/BexgrPXsY8</t>
  </si>
  <si>
    <t>Esta es la intervención del médico Raul salazar en nocturna de RCN, que abre una discusión de la calidad del tratam… https://t.co/Aw9QpNOiyJ</t>
  </si>
  <si>
    <t>Esta es la intervención del médico Raul salazar en nocturna de RCN, que abre una discusión de la calidad del tratam… https://t.co/1gs0De1pfi</t>
  </si>
  <si>
    <t>RT @petrogustavo: Esta es la intervención del médico Raul salazar en nocturna de RCN, que abre una discusión de la calidad del tratamiento…</t>
  </si>
  <si>
    <t>RT @GustavoBolivar: Para quienes critican a @petrogustavo, miren esta estadística. El 81.8% de las personas con covid-19 no han fallecido e…</t>
  </si>
  <si>
    <t>Mi columna para cuarto de hora y el tercer canal en donde la comentaremos. Sin desobediencia hoy, no habrá socieda… https://t.co/XPbFtNQFoV</t>
  </si>
  <si>
    <t>RT @ZiliaCastrillon: @pcorrea78 @petrogustavo Venga para Toronto o vuelva a Boston o lea más e investigue cómo funcionan los hospitales con…</t>
  </si>
  <si>
    <t>Veo como les parece escandalosas a la prensa, dos derechos universales básicos en cualquier sistema de salud: 1. E… https://t.co/ybJAHdgNXp</t>
  </si>
  <si>
    <t>RT @CuartoDeHoraCol: En las últimas horas nuestro director @Uriasv y la activista @SraPatria dieron a conocer públicamente que fueron vícti…</t>
  </si>
  <si>
    <t>La pobreza como resultado de la pandemia y de unos gobiernos miserables en Bogotá, Colombia y América Latina Una c… https://t.co/HUKMaGcakV</t>
  </si>
  <si>
    <t>RT @DiegoVelezGar: Con tal de atacar a @petrogustavo vuelven a cerrar filas al rededor de la nefasta ley 100 y sus EPS.</t>
  </si>
  <si>
    <t>RT @Paisahonesto1: Será que alguien me puede explicar que fue lo tan horrible que dijo @petrogustavo ? Yo entendí completamente lo dicho y…</t>
  </si>
  <si>
    <t>RT @ammejiaaguado: #ATENCION medica ratifica que el Senador Gustavo Petro tiene razón, la Ley 100 es enemigo acérrimo de la salud https://t…</t>
  </si>
  <si>
    <t>Una entrevista Alvaro Uribe que él jamás contestará El articulo de Gustavo Bolívar que comentaremos hoy a las tre… https://t.co/bxLRaiZvqH</t>
  </si>
  <si>
    <t>RT @pousita_jaeymd: @petrogustavo Soy médico de UCI y seguidora suya, y entiendo el motivo de su protesta... y si los MÉDICOS lo analizamos…</t>
  </si>
  <si>
    <t>RT @jerojasrodrigue: “Están coartando la relación médico-paciente que es la base la medicina.” “El médico se volvió un funcionario más de…</t>
  </si>
  <si>
    <t>RT @jeymon06: @CABLENOTICIAS Pero es cierto lo que dice, las EPS se están lavando las manos con el dinero público y la orden es aliviar to…</t>
  </si>
  <si>
    <t>RT @MoisesAlvaro_: La rosca busca hacerle creer al país que @petrogustavo y @ColombiaHumana_ están contra los médicos y la medicina. ¡Tod…</t>
  </si>
  <si>
    <t>La sentencia judicial del 2018 que ordena restaurar y abrir el hospital San Juan de Dios y hacerlo funcionar al ser… https://t.co/ybyovJTXpP</t>
  </si>
  <si>
    <t>RT @FabioEBaquero: Duré solo un ratico acá y ya me sacaron la piedra. Lo que dice Petro es una obviedad, ya que la prioridad del sistema d…</t>
  </si>
  <si>
    <t>RT @AndresCamiloHR: Hoy a las 3:00 P.M. @petrogustavo y @GustavoBolivar leerán sus columnas por @Tercer_Canal @CuartoDeHoraCol y las redes…</t>
  </si>
  <si>
    <t>RT @petrogustavo: Veo como les parece escandalosas a la prensa, dos derechos universales básicos en cualquier sistema de salud: 1. El dere…</t>
  </si>
  <si>
    <t>La ley 100 ha matado un millón y medio de pacientes que con tratamientos pudieron salvarse en Colombia. Para ello… https://t.co/kl7NB9vqw7</t>
  </si>
  <si>
    <t>RT @petrogustavo: Una entrevista Alvaro Uribe que él jamás contestará El articulo de Gustavo Bolívar que comentaremos hoy a las tres de l…</t>
  </si>
  <si>
    <t>RT @petrogustavo: Mi columna para cuarto de hora y el tercer canal en donde la comentaremos. Sin desobediencia hoy, no habrá sociedad. ht…</t>
  </si>
  <si>
    <t>¿Me pide que me retracte por decir que la ley 100 arrasó con los derechos de los pacientes y el acto autónomo médic… https://t.co/DgDbyDHkcX</t>
  </si>
  <si>
    <t>Ya no se trata de medicina basada en la evidencia sino en la obediencia. https://t.co/WwLFss1oV4</t>
  </si>
  <si>
    <t>RT @LevyRincon: No sabía que había tanta gente feliz con el sistema de salud en Colombia. Yo sinceramente sigo pensando que las EPS y la Le…</t>
  </si>
  <si>
    <t>Pues si vas al médico de la EPS a él le van a decir que necesitas acetaminofen. Si no lo despiden. https://t.co/xq2zNFzJE2</t>
  </si>
  <si>
    <t>En Sincelejo se robaron la salud hace tiempo, y lo hicieron los paramilitares. Prácticamente no hay salud publica.… https://t.co/CrrDwnNasa</t>
  </si>
  <si>
    <t>Habiendo comenzado con los mismos datos que Colombia. ¿Por qué Cuba tiene 87 muertos al dia de hoy y Colombia 5.000… https://t.co/EpK1ctXQqA</t>
  </si>
  <si>
    <t>RT @JaimeEliasGonz5: No soy adepto a petro, pero en esto tiene razón, el sistema ha deshumanizado la salud. En mi familia casi todos son mé…</t>
  </si>
  <si>
    <t>RT @petrogustavo: Habiendo comenzado con los mismos datos que Colombia. ¿Por qué Cuba tiene 87 muertos al dia de hoy y Colombia 5.000? Pon…</t>
  </si>
  <si>
    <t>Para quienes aun se atreven a defender la ley 100, cuyos autores son Cesar Gaviria y Alvaro Uribe, de privatización… https://t.co/3z5YeYAnuC</t>
  </si>
  <si>
    <t>La estigmatización no es al médico al que han convertido en obrero automatizado y taylorista, te pido investigar qu… https://t.co/c6dApJql5G</t>
  </si>
  <si>
    <t>Sr periodista, siguiendo mi trino, debería preguntarse y por qué comenzando en la misma fecha y en el mismo nivel d… https://t.co/AFDnmPUGTW</t>
  </si>
  <si>
    <t>El centro democrático, Cambio Radical y el Partido Verde buscan la demolicion y desaparición del San Juan de Dios.… https://t.co/aGEDqnMfnP</t>
  </si>
  <si>
    <t>Paola la autonomía médica es un principio universal de la salud. Es un derecho médico. Las facultades de medicina… https://t.co/i3pO3GJQvY</t>
  </si>
  <si>
    <t>Los procedimientos y protocolos médicos deben surgir del principio de autonomía médica, los derechos del paciente y… https://t.co/ynxRKM4OY5</t>
  </si>
  <si>
    <t>RT @MoisesAlvaro_: ¿Entonces según los verdes es irresponsable cuestionar al modelo de salud en medio de una pandemia? Irresponsable sería…</t>
  </si>
  <si>
    <t>Hoy a las tres comentamos las columnas dominicales que escribimos Puede vernos en tercer canal y en nuestros faceb… https://t.co/FAEPzry9rR</t>
  </si>
  <si>
    <t>RT @luzpastrana: #Covid_19 11 de Julio LOS DATOS SE TOMAN DEL DATASET DIARIO @INSColombia 1. Actualización decesos totales 🎗️: el 81.97% n…</t>
  </si>
  <si>
    <t>RT @petrogustavo: Hoy a las tres comentamos las columnas dominicales que escribimos Puede vernos en tercer canal y en nuestros facebook li…</t>
  </si>
  <si>
    <t>Solo para su conocimiiento señor periodista le envío las discusiones sobre la utonomia del acto médico, para que no… https://t.co/CnG3eoCW78</t>
  </si>
  <si>
    <t>RT @LEVargasSilva: Sin desobediencia, Colombia deja de respirar - Columna- Gustavo Petro. Reflexiones importantes e indispensables para u…</t>
  </si>
  <si>
    <t>RT @GustavoBolivar: Cada que un corrupto queda en evidencia, como hoy el Senador Pulgar sobornando a un Juez, la jauría sale a tender corti…</t>
  </si>
  <si>
    <t>RT @HOLLMANMORRIS: Duque está llevando a Colombia a un genocidio - Cuarto de Hora https://t.co/4nbHGKjipq</t>
  </si>
  <si>
    <t>RT @elsemblante: "El fajardismo no podrá vivir sin la Ley 100, porque el modelo de salud pública preventiva no le conviene al GEA", dice @p…</t>
  </si>
  <si>
    <t>RT @AndresCamiloHR: "Uribe como persona y su entorno político, actúan como una masa sin razón" dice @petrogustavo https://t.co/mKYtNhNVEp</t>
  </si>
  <si>
    <t>RT @Tercer_Canal: "Gobierno de Ivan Duque lleva a Colombia a un genocidio porque con plena conciencia no aplica política publica para salva…</t>
  </si>
  <si>
    <t>RT @AndresCamiloHR: "En Bogotá se salvan los que tienen formas de pagar la salud, los que se están muriendo son los pobres" @petrogustavo…</t>
  </si>
  <si>
    <t>No, las marchas han sido pocas y pequeñas y no las pude usted prohibir así nosotros no las convoquemos el mayor ir… https://t.co/wDO6ZUd0Bc</t>
  </si>
  <si>
    <t>RT @AndresCamiloHR: "Si de verdad queremos un proyecto democrático para Colombia, se hace necesaria una respuesta ciudadana" señala @petrog…</t>
  </si>
  <si>
    <t>RT @AndresCamiloHR: "Hay un miedo en buscar el cambio, hay un miedo en transformar la sociedad" señala @petrogustavo https://t.co/Q3OLKpJJ9s</t>
  </si>
  <si>
    <t>RT @Tercer_Canal: Los Gustavos #PetroyBolívarOpinan https://t.co/2lAIRC45sb a través de @YouTube "Fajardo tiene la secretaria de salud de…</t>
  </si>
  <si>
    <t>Senador le exijo públicamente su retractación. Nunca en mi existencia tuve contacto directo ni indirecto con Pablo… https://t.co/5o9tlM7jVO</t>
  </si>
  <si>
    <t>RT @Bio_Saurus: Adivinen? @petrogustavo tenía razón, hay q implementar tratamiento a tiempo para salvar vidas. No me crean a mi, escuchen…</t>
  </si>
  <si>
    <t>Para quienes quieran ver el programa de tercer canal de tertulia sobre las dos columnas leídas por Gustavo Bolívar… https://t.co/hD755Rwfoj</t>
  </si>
  <si>
    <t>RT @HOLLMANMORRIS: @petrogustavo en este momento en el @Tercer_Canal “El presidente @IvanDuque lleva a Colombia a un Genocidio “ y tiene qu…</t>
  </si>
  <si>
    <t>RT @AndresCamiloHR: La señora @ClaudiaLopez por medio del decreto 169 de Julio 12 de 2020, viola el derecho a la protesta consagrado en la…</t>
  </si>
  <si>
    <t>RT @pierrealee: Con este mal gobierno de @IvanDuque “razones para la #DesobedienciaCivil sobran”:@petrogustavo https://t.co/dUnScFnIbv #Los…</t>
  </si>
  <si>
    <t>RT @petrogustavo: Para quienes quieran ver el programa de tercer canal de tertulia sobre las dos columnas leídas por Gustavo Bolívar y por…</t>
  </si>
  <si>
    <t>Bogotá Humana tuvo 1.000 equipos de salud en el territorio cubriendo a 3.800.000 personas. Esa era la salud prevent… https://t.co/0f6Yaecjg9</t>
  </si>
  <si>
    <t>¿Podría explicarnos @JERobledo porque es irresponsable restituir la autonomía del acto médico que la intermediación… https://t.co/FwOc2XIZJd</t>
  </si>
  <si>
    <t>Bien que los jueces salgan a defender la naturaleza. Solo la ciudadanía y la justicia la salvaran del enorme proces… https://t.co/APLchthnxo</t>
  </si>
  <si>
    <t>RT @gener_usuga: Duque está llevando a Colombia a un genocidio https://t.co/ANGnKmHNIm</t>
  </si>
  <si>
    <t>RT @petrogustavo: ¿Podría explicarnos @JERobledo porque es irresponsable restituir la autonomía del acto médico que la intermediación finan…</t>
  </si>
  <si>
    <t>Un modelo de salud configurado por el mercado y muchas veces por la corrupción no es un buen sistema de salud. Jam… https://t.co/UlbAOvszy4</t>
  </si>
  <si>
    <t>RT @YdeJanisJoplin: La ley 100 hizo ir a mi mamá por un dolor de espalda a terapia física por un mes, destruida por el dolor fue a 5 médico…</t>
  </si>
  <si>
    <t>RT @angelamrobledo: ¡Salvemos el San Juan de Dios! Acabo de enviarle esta carta a la alcaldesa @ClaudiaLopez, le propongo crear una Mesa Té…</t>
  </si>
  <si>
    <t>RT @AnabellRodrgue5: @ammejiaaguado No soy Petrista, pero él ha hecho oposición y control político con sus grandes denuncias, ha visionado…</t>
  </si>
  <si>
    <t>RT @ma_eugeniam: En Cartagena, obra ilícita no la demuelen. En Bogotá, demuelen edificio Central de Cuéllar, Serrano, Gómez del San Juan…</t>
  </si>
  <si>
    <t>RT @petrogustavo: Un modelo de salud configurado por el mercado y muchas veces por la corrupción no es un buen sistema de salud. Jamás el…</t>
  </si>
  <si>
    <t>Señor Daniel si usted demuestra que yo he propagado algún tratamiento para covid póngalo ya en público. Lo que hem… https://t.co/ikr6v6G79z</t>
  </si>
  <si>
    <t>RT @AndresCamiloHR: No se ataca al médico, se ataca al sistema, en muchos de los casos el médico se ve atado a formular medicamentos por qu…</t>
  </si>
  <si>
    <t>Como si las ideas no trascendieran la vida física. Acostumbrados a políticos de modas y transitorios no se dan cue… https://t.co/t2j8Uo1qKY</t>
  </si>
  <si>
    <t>Pongámoslo un poco más claro. La intermediación de las EPS tiene un gran beneficiario en Sura y la privatización d… https://t.co/RsREds7rlU</t>
  </si>
  <si>
    <t>RT @Visalgado: Llovieron críticas a @petrogustavo porque afirmó que los médicos deberíamos desobedecer y prescribir no sólo acetaminofen. Q…</t>
  </si>
  <si>
    <t>RT @bogotamuyfirme: Sobre la “Renta Básica” de @ClaudiaLopez: Darán $240.000 a 550.000 familias, de los cuales Bogotá pone sólo $80.000 y…</t>
  </si>
  <si>
    <t>RT @DanielRMed: Como ha sido una constante en los debates políticos recientes, Colombia Humana se aparta de las definiciones en las que coi…</t>
  </si>
  <si>
    <t>RT @petrogustavo: Pongámoslo un poco más claro. La intermediación de las EPS tiene un gran beneficiario en Sura y la privatización de pens…</t>
  </si>
  <si>
    <t>RT @heidy_up: La comunidad se organiza por la defensa de lo público, el Hospital San Juan de Dios es patrimonio de las y los bogotanos. ✊🏻…</t>
  </si>
  <si>
    <t>La razón del negocio en salud es interferir la autonomia del acto médico, disminuyendo tratamientos y minimizando c… https://t.co/Q7xu7UN28T</t>
  </si>
  <si>
    <t>Estos son los países con más casos de contagio del virus en el mundo. https://t.co/w3MMLHBsjw</t>
  </si>
  <si>
    <t>Hace varias semanas propusimos volver a la cuarentena estricta con fuerte política social que implica pago de nomin… https://t.co/7h7aaljDyf</t>
  </si>
  <si>
    <t>RT @petrogustavo: La razón del negocio en salud es interferir la autonomia del acto médico, disminuyendo tratamientos y minimizando costos,…</t>
  </si>
  <si>
    <t>RT @MaPaulaFonseca: Señor @luismorales0621 ese relato tiene inconsistencias. Si eso era así ¿por qué usted en diciembre de 2015 solicitó al…</t>
  </si>
  <si>
    <t>RT @UldaricoChilito: Entonces culparon el aumento del Covid en Bogotá por dos marchas de 500 personas, y no por un transmilenio que transpo…</t>
  </si>
  <si>
    <t>RT @susanamuhamad: No engañe @luismorales0621 leímos todo el estudio, entregado en el 2015 y aprobado en diciembre. Allí se clasificaba la…</t>
  </si>
  <si>
    <t>RT @susanamuhamad: Señor @luismorales0621 lo invito a escuchar a Juanita Barbosa expertas de patrimonio, y contésteme con que estudio técni…</t>
  </si>
  <si>
    <t>RT @GustavoBolivar: Gracias a todo el Uribismo por leer mi columna #EntrevistaAUribe Nos han colapsado el portal @CuartoDeHoraCol (Uds son…</t>
  </si>
  <si>
    <t>RT @susanamuhamad: Eso que usted muestra no corresponde al documento técnico de soporte. https://t.co/W294Xwvvsg</t>
  </si>
  <si>
    <t>El número de consultas médicas en el hogar alcanzó en el 2015 la suma de 6.871. 811 en Bogotá Humana. Con este niv… https://t.co/rJpbwk0oe6</t>
  </si>
  <si>
    <t>RT @ma_eugeniam: Comparto, plenamente, el texto de @elespectador. Se trata de una socialización del PEMP entregado por @un_bogota. La Univ…</t>
  </si>
  <si>
    <t>RT @DeCurreaLugo: ¿En serio? Eso demostraría que: 1) los hechos no afectan la opinión política de los colombianos, 2) seguimos en la Patria…</t>
  </si>
  <si>
    <t>Este es el número de consultas hechas en el hogar y en instituciones y barrios por el programa territorios saludabl… https://t.co/4lo5scqqhm</t>
  </si>
  <si>
    <t>No se politiza la ciencia, la política debe hacerle caso a la Ciencia. Lo que se politiza es la ley. La ley 100 de… https://t.co/3yBGX6H6iV</t>
  </si>
  <si>
    <t>RT @petrogustavo: Este es el número de consultas hechas en el hogar y en instituciones y barrios por el programa territorios saludables que…</t>
  </si>
  <si>
    <t>Cuando cité al medico Raul Salazar, porque pedía que enfermos covid no solo se observaran sino se trataran a tiempo… https://t.co/8VizBy1pBe</t>
  </si>
  <si>
    <t>Gustavo Márquez Solom, es considerado eminencia en Sucre y narra aquí su experiencia, que es la misma de Honduras… https://t.co/IBpjGiIgck</t>
  </si>
  <si>
    <t>Jamás he defendido algún tipo de tratamiento. Pero lo pertinente de la crítica del doctor Salazar y ahora del doct… https://t.co/UQiNKZKzBn</t>
  </si>
  <si>
    <t>RT @petrogustavo: Cuando cité al medico Raul Salazar, porque pedía que enfermos covid no solo se observaran sino se trataran a tiempo, me c…</t>
  </si>
  <si>
    <t>RT @nicolasAmon: Reto a todos los verdes alternativos de centro a que nos expliquen como se combate una epidemia con un fusil. https://t.co…</t>
  </si>
  <si>
    <t>Lo que he afirmado, a diferencia de los médicos que cito, es que la ausencia de tratamiento en enfermos covid tiene… https://t.co/D8AuF55diI</t>
  </si>
  <si>
    <t>Pueden en nuestros debates y práctica administrativa ver los tres componentes fundamentales de la.propuesta de Colo… https://t.co/FkrXxJZPKq</t>
  </si>
  <si>
    <t>El acceso al sistema de salud integral con la cédula sin necesidad de EPS.</t>
  </si>
  <si>
    <t>Sale todo el personal médico y de salud ha desobedecer a Macron en defensa de la salud pública. https://t.co/sIFqWVICXy</t>
  </si>
  <si>
    <t>Bolivia se levanta en defensa de la salud pública https://t.co/rDfLVuh979</t>
  </si>
  <si>
    <t>Sale todo el personal medico de Francia a desobedecer a Macron y exigir el fortalecimiento de la salud pública. https://t.co/sIFqWVICXy</t>
  </si>
  <si>
    <t>Han hablado de despolitizar el debate de la salud para tener una sociedad obediente que como rebaño vaya al matader… https://t.co/LnQfJbZfWC</t>
  </si>
  <si>
    <t>Algún director de medios dijo que yo pretendía saberlo todo. No. Solo desde muy joven hago parte de corrientes de… https://t.co/56NbnzxJWa</t>
  </si>
  <si>
    <t>Las pandemias que vivimos son el efecto de una apital indiferente, indiferencia en el sentido hegeliano. El capit… https://t.co/dS60tZL8Ow</t>
  </si>
  <si>
    <t>RT @inafinogenova: Para contestar a los que me van a mandar a vivir a Cuba: no sé a mí, pero creo que a mucha de la gente que murió desaten…</t>
  </si>
  <si>
    <t>RT @petrogustavo: Han hablado de despolitizar el debate de la salud para tener una sociedad obediente que como rebaño vaya al matadero. Qu…</t>
  </si>
  <si>
    <t>Por tanto la salud humana depende de un reequilibrio con la naturaleza y con el clima del planeta. Un propósito as… https://t.co/ccNmaqDiCU</t>
  </si>
  <si>
    <t>RT @anateresabernal: Alcaldesa @ClaudiaLopez, ¿A qué lógica se debe la decisión haber decretado cuarentena estricta general cuándo Bogotá n…</t>
  </si>
  <si>
    <t>RT @ChalecosAmarill: 🎥🛑 #CoreaSur, #NuevaZelanda o #Alemania fueron merecidamente aplaudidas en grandes medios por su estrategia frente al…</t>
  </si>
  <si>
    <t>RT @DiegoVelezGar: Cómo servirían ahora los equipos de médicos que implemetó @petrogustavo en su alcaldía y que realizaron más de 6.000.00…</t>
  </si>
  <si>
    <t>Este periodista quiere "informar" que ciertos efectos del virus por los cuales puede morir una parte de la gente no… https://t.co/hEaxpkX0av</t>
  </si>
  <si>
    <t>¿Como hizo Cuba para detener la pandemia? Con salud preventiva y tratamiento al enfermo. La tenía Bogotá y Peñalo… https://t.co/RMCLod8NFi</t>
  </si>
  <si>
    <t>RT @GustavoBolivar: Uribistas: el Vaticano manda a decir que respalda a monseñor Dario Monsalve “un obispo cercano a su pueblo que merece r…</t>
  </si>
  <si>
    <t>RT @SenorCaicedo: La propuesta de @petrogustavo, ya probada durante su alcaldía en Bogotá, Castrochavismo para los Uribistas como @mariafda…</t>
  </si>
  <si>
    <t>Esta es la demostración de la gran efectividad de Bogotá Humana en reducir la pobreza .multidimensional en Bogotá… https://t.co/X19QE5yFBS</t>
  </si>
  <si>
    <t>Mientras Bogotá Humana sacó 519.000 personas de la pobreza multidimensional, Peñalosa condenó 334.000 a ese estado. fuente: DANE</t>
  </si>
  <si>
    <t>La reactivacion del empleo depende de la renta mínima básica y del pago estatal de las nominas. El dia sin IVA so… https://t.co/XnvktYkq8u</t>
  </si>
  <si>
    <t>No solo el distrito no compró un sola UCI que hoy funcione, no preparó personal para manejarlas, sino que sigue en… https://t.co/QCWb3vyJbx</t>
  </si>
  <si>
    <t>Esta es la curva de la pandemia en Israel. Decidieron abrir los colegios y estalló una segunda ola más profunda.… https://t.co/kd3REPJFB5</t>
  </si>
  <si>
    <t>Este es el volumen de interacción en redes en los casos de Fajardo, rojo y mio, azul. Si Guarumo tiene razón, la a… https://t.co/bqfhIQvi8w</t>
  </si>
  <si>
    <t>Marta Lucía expresa un pensamiento dominante: Que los pobres lo son porque quieren, que políticas enfocadas en ello… https://t.co/zHWyjQwhEq</t>
  </si>
  <si>
    <t>El 20 de Julio estaré en el recinto cumpliendo con la Constitución. No puede ser que el pueblo sin ayudas tenga qu… https://t.co/0LMMqBCObv</t>
  </si>
  <si>
    <t>RT @datoatipico: El éxito Cubano para frenar la pandemia es por las visitas domiciliarias preventivas. No esperan que el enfermo llegue al…</t>
  </si>
  <si>
    <t>RT @petrogustavo: El 20 de Julio estaré en el recinto cumpliendo con la Constitución. No puede ser que el pueblo sin ayudas tenga que sali…</t>
  </si>
  <si>
    <t>RT @petrogustavo: Mientras Bogotá Humana sacó 519.000 personas de la pobreza multidimensional, Peñalosa condenó 334.000 a ese estado. fuen…</t>
  </si>
  <si>
    <t>RT @LuchoJacobsen: Petro es un tipo inteligentísimo y valiosísimo y yo lo reconozco. Solo es un poco radical y plantea nos desafíos adaptat…</t>
  </si>
  <si>
    <t>RT @jerojasrodrigue: El crecimiento de la pobreza multidimensional representa un grave retroceso para Bogotá. Las barreras de acceso a ser…</t>
  </si>
  <si>
    <t>RT @DanielRMed: Petro le solicitó a la alcaldesa hace más de 3 meses, cuando la pandemia se acercaba a territorio nacional, que comprara eq…</t>
  </si>
  <si>
    <t>RT @Col_Informa: #MarchaPorLaDignidad✊| Ruta Comunera avanza hacia el municipio de San Gil en Santander, donde continúan denunciando el hos…</t>
  </si>
  <si>
    <t>Va a comenzar el triaje: los viejos serán excluidos de los respiradores La prensa dijo que tenemos uno de los mejo… https://t.co/Pch1ptQgfz</t>
  </si>
  <si>
    <t>En Colombia no hay amenaza sino una dura realidad. El sistena político y e económico que tenemos ha excluido a la m… https://t.co/LyiXiVergC</t>
  </si>
  <si>
    <t>Como si las roscas y su establecimiento político no se heredará en quienes aceptan sus postulados sin criticarlos.… https://t.co/KJ27B8xYOy</t>
  </si>
  <si>
    <t>RT @SebasTobn: ¿Qué ha hecho Fajardo por el país? Alguien que me explique cuál ha sido su lucha real.</t>
  </si>
  <si>
    <t>RT @susanamuhamad: Historia de Corferias I. : 1. Se paga contrato por 200,000. https://t.co/SiZidKB5PW instalan 2000 camas, pero ojo, no es…</t>
  </si>
  <si>
    <t>RT @CarolinaCorcho: Hay 146 pacientes pendientes de ubicar en camas UCI e intermedios en Bogota. Urge decisión de cuarentena total en Bogot…</t>
  </si>
  <si>
    <t>RT @heidy_up: Gravísimo lo que acaba de decir al gerente de la @SubRedCentroOri habla que han habido fallecidos en @CorferiasBogota por el…</t>
  </si>
  <si>
    <t>RT @cuestion_p: En 2018 @cuestion_p reveló 1.674 páginas de los correos de Pizano que prueban que en el Grupo Aval conocía las denuncias so…</t>
  </si>
  <si>
    <t>RT @susanamuhamad: Historia Corferias III. Ahora están considerando adecuar Corferias para atender pacientes COVID con síntomas. Lo que req…</t>
  </si>
  <si>
    <t>RT @GiordanoBrunoFi: Es lo que queda de la biblioteca España en Santo Domingo #Medellín. La construyó Fajardo, se cayó a pedazos. De un pre…</t>
  </si>
  <si>
    <t>RT @susanamuhamad: ¿Se justifica hoy la inversión en Corferias? Estamos al borde del colapso hospitalario y seguimos en un modelo reactivo…</t>
  </si>
  <si>
    <t>RT @charry_manager: #ElSanJuanDeDiosSeRespeta “Tendremos que ver cómo se fortalece el acceso al sistema de salud y seguramente NO será de…</t>
  </si>
  <si>
    <t>RT @AidaAvellaE: Estaré en el Capitolio el próximo 20 de Julio. Al Secretario del @SenadoGovCo , le solicitamos adaptar el espacio para…</t>
  </si>
  <si>
    <t>RT @DanielRMed: Increíble que un tipo tan ignorante haya sido 4 años secretario de salud de Bogotá, pero es la triste realidad de nuestra b…</t>
  </si>
  <si>
    <t>RT @anateresabernal: Los Internistas del Hospital San Blas han emitido esta solicitud a la Gerente de la @SubRedCentroOri Claudia Ardila. D…</t>
  </si>
  <si>
    <t>Esta es la evolución de la pobreza multidimensional 2010/2019 en Bogotá, en miles de personas. Miren como Bogotá Hu… https://t.co/GnZ8OYwYhj</t>
  </si>
  <si>
    <t>RT @GustavoBolivar: #OtraCuarentenaTotalEs URGENTE! Colombia es el 6o país del mundo con más casos activos (Infectados menos recuperados o…</t>
  </si>
  <si>
    <t>Señores, nosotros no hacemos la serie matarife, cualquier inconformidad diríjanse a ellos. Nuestro movimiento se l… https://t.co/a37ke8zwWP</t>
  </si>
  <si>
    <t>He oído el video de Robledo y el se refiere a que no hay pruebas para cuestionar directamente a Uribe en el caso Od… https://t.co/CONBFqJumA</t>
  </si>
  <si>
    <t>Defender al pobre no es ser comunista. Dice el papa Francisco. ¿Qué pensará de esto tanto arribista sin piso en Co… https://t.co/l7vR8eRAxG</t>
  </si>
  <si>
    <t>La fuerza de la salud sale a las calles a defender la salud publica en Valledupar. Esta es fuerza es vital. Se tr… https://t.co/7Vxgu23w6l</t>
  </si>
  <si>
    <t>La humanidad tuvo tres experiencias frente al virus: la asiática, la europea y la americana. Duque decidió por la… https://t.co/jTSIMFbj3v</t>
  </si>
  <si>
    <t>Que importan pactos políticos si lo que importa es que la institución donde se hace la ley sea decente La mayoría… https://t.co/sekIHuZ9dg</t>
  </si>
  <si>
    <t>RT @petrogustavo: La humanidad tuvo tres experiencias frente al virus: la asiática, la europea y la americana. Duque decidió por la peor.…</t>
  </si>
  <si>
    <t>La cuarentena estricta tiene un costo económico . Ese costo es financiable poniendo el impuesto al patrimonio y dis… https://t.co/ZeclhxopYm</t>
  </si>
  <si>
    <t>Como Bolsonaro y Trump. Esta decisión de Duque es criminal. Es un genocidio sobre los más pobres de la sociedad.… https://t.co/2pXsZsRdDj</t>
  </si>
  <si>
    <t>RT @petrogustavo: Como Bolsonaro y Trump. Esta decisión de Duque es criminal. Es un genocidio sobre los más pobres de la sociedad. Con cu…</t>
  </si>
  <si>
    <t>El clan Gnecco se ha robado la Guajira, el Cesar y el Magdalena. se origina en el robo de autos. Lucas Gnecco Cech… https://t.co/qtS5MOegYz</t>
  </si>
  <si>
    <t>Le solicito como senador de la República a @Fruizgomez, ministro de salud, usar el arriendo que la nación tiene del… https://t.co/SFbwNj1iTg</t>
  </si>
  <si>
    <t>En Colombia es mucho mas fácil salvar un banco que un hospital.</t>
  </si>
  <si>
    <t>Guarden este trino por favor. https://t.co/jvGoEPMz8A</t>
  </si>
  <si>
    <t>Hicieron el ranking de los paises maes corruptos del mundo y ¿adivinen en que puesto quedo Colombia? De primera N… https://t.co/TVHCPpH0wl</t>
  </si>
  <si>
    <t>Ante la negativa de Duque de declarar la cuarentena estricta y, em cambio, lanzar millones de colombianos a la call… https://t.co/zTFBd7EpoQ</t>
  </si>
  <si>
    <t>La diferencia entre Duque y Bolsonaro es el tiempo por televisión https://t.co/yYqrhPwb8u</t>
  </si>
  <si>
    <t>RT @petrogustavo: En Colombia es mucho mas fácil salvar un banco que un hospital.</t>
  </si>
  <si>
    <t>RT @Tercer_Canal: #ResumenTC &gt; "El papel del Hospital San Juan de Dios en este momento sería crucial. Que este momento estaría aportando 70…</t>
  </si>
  <si>
    <t>RT @GiordanoBrunoFi: Hablan de politizar y el fundador de la Org. Colegio Médico Colombiano es de Cambio Radical. https://t.co/OnDYjqkIeb</t>
  </si>
  <si>
    <t>El subsidio al estudiante del sisben en universidad privada, muy pocos, puede ser reemplazado por la educación supe… https://t.co/3rCBdzcoAP</t>
  </si>
  <si>
    <t>Proponemos que la prioridad de la inversión en infraestructura del país pase a ser sedes universitarias y colegios… https://t.co/i9y4EczQDk</t>
  </si>
  <si>
    <t>La educación superior gratuita en la universidad pública, la extensión en cobertura de la universidad pública con c… https://t.co/nBXMZgA91h</t>
  </si>
  <si>
    <t>La cuarentena por localidades no sirve en tanto no hay una política social fuerte que le garantice a una familia es… https://t.co/fzZxWcLlVr</t>
  </si>
  <si>
    <t>Los invito al foro internacional sobre desobediencia civil y su importancia para defender la vida en Colombia. Aho… https://t.co/lu8N8LH13M</t>
  </si>
  <si>
    <t>En cambio la alcaldía se fue en contra de la tutela para abrir y restaurar el san Juan de Dios https://t.co/01HEbrKPRQ</t>
  </si>
  <si>
    <t>Comenzó el triaje militar en el hospital San ignacio de Bogotá. Le toca a los médicos escoger ante enfermos graves… https://t.co/D60TEqvDQ3</t>
  </si>
  <si>
    <t>Si no hay política social fuerte las cuarentenas fallan para disminuir la enfermedad. El hambre es más poderosa que… https://t.co/U3aHZ20BMV</t>
  </si>
  <si>
    <t>RT @IvanCepedaCast: Mi primera columna para @CuartoDeHoraCol: “Se podrá decir que Colombia es ‘una de las más antiguas democracias del cont…</t>
  </si>
  <si>
    <t>RT @PachoAlerta: ¡Lo advertí, lo canté, hasta que se dio!. Familia de mecánico de 71 años denuncia que no le quieren asignar UCI porque seg…</t>
  </si>
  <si>
    <t>¿Cómo se puede comprender que mientras ya los hospitales de Bogotá hacen triaje militar para escoger que enfermo de… https://t.co/SEAJtK3qRz</t>
  </si>
  <si>
    <t>RT @Marianiniecheve: El concejal del Centro Democrático de Aquitania, Boyacá, Ronald Gutiérrez, y otra persona, asesinaron a cuchillo a Jos…</t>
  </si>
  <si>
    <t>RT @Andrea_Q23: Estos tibios son la cagada. Si Duque le hubiera dicho a la universidad nacional que realice movimientos presupuestales de s…</t>
  </si>
  <si>
    <t>RT @GracianaXXI: Que tristeza escuchar a medic@s cuando describen la realidad del sistema de salud del país, mientras los dueños de las EPS…</t>
  </si>
  <si>
    <t>La violencia y la omision del gobierno se expande por el Chocó y en las zonas donde ganó la Colombia Humana. Millo… https://t.co/oe62eK5Qi6</t>
  </si>
  <si>
    <t>Es muy decepcionante que en realidad la alcaldía no gire los recursos adicionales para garantizar la matricula grat… https://t.co/fzrRarCIbO</t>
  </si>
  <si>
    <t>RT @petrogustavo: La violencia y la omision del gobierno se expande por el Chocó y en las zonas donde ganó la Colombia Humana. Millones de…</t>
  </si>
  <si>
    <t>Aun hoy se puede mitigar la enfermedad. Rehacer los equipos médicos en el territorio, Bogotá tenia 1000 en 2015, s… https://t.co/9Ez1L5RYwb</t>
  </si>
  <si>
    <t>RT @petrogustavo: Aun hoy se puede mitigar la enfermedad. Rehacer los equipos médicos en el territorio, Bogotá tenia 1000 en 2015, se pued…</t>
  </si>
  <si>
    <t>La tutela tiene como sustento la lucha social del pueblo de Bogotá desde 1998 por reabrir el San Juan de Dios y el… https://t.co/j2rcmtlmeo</t>
  </si>
  <si>
    <t>RT @petrogustavo: ¿Cómo se puede comprender que mientras ya los hospitales de Bogotá hacen triaje militar para escoger que enfermo de covid…</t>
  </si>
  <si>
    <t>RT @JulianBaezVega1: @udistrital Se aprobó #MatriculaCero para próximo semestre de pregrado, No se aprobó lo que exigimos, se pedía gratuid…</t>
  </si>
  <si>
    <t>Una alcaldesa que no gira recursos para garantizar la gratuidad de la educación superior en la universidad y que de… https://t.co/oxM4jwP05e</t>
  </si>
  <si>
    <t>RT @MDalemar_dul: Bueno, como lo había dicho, hoy haré un análisis muy largo y exhaustivo sobre la situación actual de la parte médica en C…</t>
  </si>
  <si>
    <t>Lo que ha propuesto Fajardo es subsidiar a la universidad privada de garage. Yo le propongo extender al máximo la… https://t.co/WJxnLOzb5Z</t>
  </si>
  <si>
    <t>Desde el año pasado se le propuso a usted reconstruir rápidamente los 1.000 equipos de salud en el territorio que l… https://t.co/lF4Ld1KZjY</t>
  </si>
  <si>
    <t>RT @PROMEDICOS: Con el Covid, cosechamos de lo que tenemos. Este es el sistema de salud que hemos construido en estos 27 años de ley 100 y…</t>
  </si>
  <si>
    <t>RT @RobertDeNiroUS: This is America. https://t.co/ZtF3vqir9j</t>
  </si>
  <si>
    <t>Hemos propuesto el impuesto de patrimonio para financiar la política social que necesita una cuarentena seria. Los… https://t.co/7259pJB0zt</t>
  </si>
  <si>
    <t>RT @bogotamuyfirme: Señores @BluRadioCo se les borró este trino donde ustedes denunciaban que el TÍO de @ClaudiaLopez había sido nombrado e…</t>
  </si>
  <si>
    <t>RT @vieneunaguacero: #YoLeCreoAPetro, y una vez más el senador Gustavo Petro tiene la razón. ¿Así de clarito o es necesario con plastilina?…</t>
  </si>
  <si>
    <t>RT @petrogustavo: Hemos propuesto el impuesto de patrimonio para financiar la política social que necesita una cuarentena seria. Los ricos…</t>
  </si>
  <si>
    <t>RT @petrogustavo: Desde el año pasado se le propuso a usted reconstruir rápidamente los 1.000 equipos de salud en el territorio que lograro…</t>
  </si>
  <si>
    <t>No era ver como se le obliga a las EPS a cumplir con su deber, su razón de ser es hacer ganancias y no disminuirlas… https://t.co/SBUVXEW4K1</t>
  </si>
  <si>
    <t>RT @petrogustavo: Una alcaldesa que no gira recursos para garantizar la gratuidad de la educación superior en la universidad y que demuele…</t>
  </si>
  <si>
    <t>Nos acostumbramos a vivir con la desigualdad y pasa factura. https://t.co/E1d83Ej8Hl</t>
  </si>
  <si>
    <t>Consejo Regional Indigena del Cauca, CRIC, convoca a todos los movimientos sociales de Colombia a conectarse y org… https://t.co/taVouoYm6Z</t>
  </si>
  <si>
    <t>RT @LaMonaTaty: @EspinosaRadio va con la Alcaldía a recorrer el San Juan de Dios y constatar que sí, que está en ruinas, pero decreta que n…</t>
  </si>
  <si>
    <t>Ha muerto Oscar Pedraza activista de Colombia Humana en el Magdalena https://t.co/SZJ8Tnxdrd</t>
  </si>
  <si>
    <t>Movilizarse no es solo marchar mi amigo, la desobediencia civil mo necesita de marchas https://t.co/FAVgd5wf84</t>
  </si>
  <si>
    <t>RT @petrogustavo: Consejo Regional Indigena del Cauca, CRIC, convoca a todos los movimientos sociales de Colombia a conectarse y organizar…</t>
  </si>
  <si>
    <t>RT @MariaMatusv: Se robaron todo y no es la primera vez. Ahora, estamos en medio de una pandemia. Todos los países fortalecieron el sistema…</t>
  </si>
  <si>
    <t>El artículo que defiende el profesor Restrepo indica que las vidas salvadas por una cuarentena no valen tanto como… https://t.co/btFBexUv7P</t>
  </si>
  <si>
    <t>RT @elsemblante: El exabrupto de comparar a @petrogustavo con Uribe, cuando este último ha gobernado 20 años a COL (incluyendo al Legislati…</t>
  </si>
  <si>
    <t>RT @MaPaulaFonseca: Miren lo que dice el económista Raventós sobre una renta básica no universal. Y la alcaldesa @ClaudiaLopez que insiste…</t>
  </si>
  <si>
    <t>RT @heidy_up: Como Bancada Colombia Humana - Unión Patriótica llamamos a la alcaldesa @ClaudiaLopez al diálogo en este momento crítico para…</t>
  </si>
  <si>
    <t>Mientras somos el quinto país del mundo en número de muertos somos el 108 en número de pruebas. ¿Por qué no podemo… https://t.co/mSKpG35Syr</t>
  </si>
  <si>
    <t>El horno crematorio de Fontibon se ha convertido en motivo de temor para su vecindario. Ya no deja de salir el hum… https://t.co/ZeiY70cWpJ</t>
  </si>
  <si>
    <t>La gente tirada en la calle frente al hospital de Fontibon, Bogotá. Bogotá tiene un secretario de salud que no com… https://t.co/sM6JXZPSiS</t>
  </si>
  <si>
    <t>Lejos de mi pensar el país en torno al egoísmo y la venganza. Nosotros vamos por un pacto histórico que sea capaz d… https://t.co/LiEWZ0XvLo</t>
  </si>
  <si>
    <t>La sombra en el Palacio de gobierno. https://t.co/EHA1VrpgTT</t>
  </si>
  <si>
    <t>Ya no para el horno crematorio del cementerio serafín en el sur de Bogotá. La ciudad se llena de luto. https://t.co/hGBDp5b2uI</t>
  </si>
  <si>
    <t>RT @ClaraLopezObre: A @JERobledo le aplicaron su propia medicina. Recuerdo matoneo de sus jóvenes del Moir editando mis declaraciones sobre…</t>
  </si>
  <si>
    <t>Cuando vean este informe recuerden que Peñalosa echó a la calle 6.000 profesionales de la salud que hacían consulta… https://t.co/lUiKArozir</t>
  </si>
  <si>
    <t>RT @petrogustavo: Mientras somos el quinto país del mundo en número de muertos somos el 108 en número de pruebas. ¿Por qué no podemos hace…</t>
  </si>
  <si>
    <t>La torre central es el corazón d servicios hospitalarios del san Juan de Dios, al demolerlo y construir una nueva,… https://t.co/3I5SjfHe4Y</t>
  </si>
  <si>
    <t>RT @anamax_x: Quiero informar algo, mi mamá es enfermera en el hospital del tunal el cual tiene UCIS copadas me cuenta recibieron 4 persona…</t>
  </si>
  <si>
    <t>Es de esta manera como la banca podrá ponerse al servicio de la gente. Solo si la gente en forma colectiva le demu… https://t.co/PoqDv6H67K</t>
  </si>
  <si>
    <t>RT @HOLLMANMORRIS: 1- Urgente situación a esta hora de Hospitales y clínicas con ocupación al 100% de UCI . En Bogotá. Hospitales: Medery…</t>
  </si>
  <si>
    <t>RT @petrogustavo: La sombra en el Palacio de gobierno. https://t.co/EHA1VrpgTT</t>
  </si>
  <si>
    <t>RT @petrogustavo: Lo que ha propuesto Fajardo es subsidiar a la universidad privada de garage. Yo le propongo extender al máximo la cobert…</t>
  </si>
  <si>
    <t>La corrupción de Odebrecht en el gobierno de Uribe esta más que probada. https://t.co/PHwFNALe9w</t>
  </si>
  <si>
    <t>Si el presidente actual del senado mos impide votar secretamente en el recinto del senado como ordena la Constituci… https://t.co/5itQVE28dU</t>
  </si>
  <si>
    <t>RT @Juanaafanador1: Senador @JERobledo, para un debate ilustrado es importante citar a los expertos y los puntos que han destacado sobre el…</t>
  </si>
  <si>
    <t>Humberto de la Calle vuelve a plantear las cosas en su justa proporción. No se trata de excluir al progresismo en u… https://t.co/Jmg7j9room</t>
  </si>
  <si>
    <t>Estas imágenes son de un ejército privado conformado por un cartel mexicano. La estrategia la aprendieron de los na… https://t.co/mBSuTI2LCT</t>
  </si>
  <si>
    <t>RT @petrogustavo: Humberto de la Calle vuelve a plantear las cosas en su justa proporción. No se trata de excluir al progresismo en un inte…</t>
  </si>
  <si>
    <t>Esta es la distribución por estrato de 1287 muertos por covid en total en Bogotá Muertos por covid en Bogotá estra… https://t.co/VXdSMM0vzh</t>
  </si>
  <si>
    <t>RT @petrogustavo: Esta es la distribución por estrato de 1287 muertos por covid en total en Bogotá Muertos por covid en Bogotá estrato 5 y…</t>
  </si>
  <si>
    <t>RT @anateresabernal: En minutos iniciamos nuestra charla Colombia Humana - UP con @susanamuhamad @heidy_up @DavidRacero @PizarroMariaJo. Co…</t>
  </si>
  <si>
    <t>De como la senadora @PaolaHolguin , el uribismo de redes y @BluRadioCo trataron de encubrir una ejecución de un jov… https://t.co/LTaGyUrAbA</t>
  </si>
  <si>
    <t>El Senado Olímpica punto com. https://t.co/J3Otn4oVse</t>
  </si>
  <si>
    <t>Entrevista a Uribe segunda parte. Columna de Gustavo Bolivar https://t.co/fFnSJcRK3e</t>
  </si>
  <si>
    <t>¿Un pacto histórico? A las siete de la moche en mi faceboolive y el de tercer canal, comentaré esta columna https://t.co/w6SvpM4DIZ</t>
  </si>
  <si>
    <t>Presento mi propuesta a toda la sociedad colombiana de un Pacto Histórico para Colombia. Nos vemos hoy a las siete… https://t.co/GX90XeqALz</t>
  </si>
  <si>
    <t>Que volverían los tiempos de las masacres y la barbarie les dijeron, y volvieron. https://t.co/Arj7RudHvU</t>
  </si>
  <si>
    <t>RT @IvanCepedaCast: La sistematicidad de los crímenes contra líderes sociales y exguerrilleros proviene de la aplicación planificada del mo…</t>
  </si>
  <si>
    <t>RT @petrogustavo: Presento mi propuesta a toda la sociedad colombiana de un Pacto Histórico para Colombia. Nos vemos hoy a las siete de la…</t>
  </si>
  <si>
    <t>RT @Maximo_NoriegaR: B/quilla tiene una de las tasas de mortalidad por #Covid19 más altas del mundo ¿Por qué? 1-Privatizaron hospitales púb…</t>
  </si>
  <si>
    <t>Nosotros no nos aliamos con los que se alían con el narcotráfico. Les recomendamos a usted y a Duque y su vicepresi… https://t.co/0R5ZDGRVeR</t>
  </si>
  <si>
    <t>RT @charry_manager: Ya se había dicho... Las EPS que son un negocio que se apalancan en la necesidad de aseguramiento de un derecho y nunc…</t>
  </si>
  <si>
    <t>RT @EmbacubaCol: Por primera vez desde el inicio de la #COVIDー19 no se reporta nuevo caso positivo en #Cuba. Total: 2 446 38 positivos act…</t>
  </si>
  <si>
    <t>RT @nicolaspetroB: Gobernadora, hay que elegir la decencia. Pésimo mensaje para el país, elegir como presidente del Senado a un politiquer…</t>
  </si>
  <si>
    <t>En la instalación del Congreso el presidente de dirigió a través de un video sin estar presente en la sesión ni vir… https://t.co/XIGRecQSje</t>
  </si>
  <si>
    <t>En este momento en plenaria de senado, hay conmigo 15 senadores y la presidencia del senado no predispuso los mecan… https://t.co/2k4a2WSHMI</t>
  </si>
  <si>
    <t>RT @AndresCamiloHR: El Senador @petrogustavo en la instalación de legislatura en el Congreso de la República. https://t.co/d0OvJcaDDo</t>
  </si>
  <si>
    <t>RT @CarlosCarrilloA: ¿Ustedes qué escuchan? Pareciera que el presidente @IvanDuque llama a @AidaAvellaE “la vieja” ¿”Que la vieja dice que…</t>
  </si>
  <si>
    <t>RT @AndresCamiloHR: "Yo no quiero un congreso https://t.co/7qVH9a8Y89, por eso postulo a @ivanmarulanda" @petrogustavo</t>
  </si>
  <si>
    <t>RT @cielo_rusinque: Vieron la firmeza de @petrogustavo apoyando la candidatura de @ivanmarulanda del Partido Verde a la Presidencia del Se…</t>
  </si>
  <si>
    <t>RT @GustavoBolivar: Miren como se refiere el Pte Duque a una señora respetable como @AidaAvellaE : “vieja esa” Pte la “vieja esa” es una se…</t>
  </si>
  <si>
    <t>RT @AndresCamiloHR: Intervención del Senador Gustavo Petro (@petrogustavo) en la plenaria del Senado, postula a @ivanmarulanda para la pres…</t>
  </si>
  <si>
    <t>RT @charry_manager: Sin tibiezas y sin dobles discursos @petrogustavo le dio su voto al senador Fajardista y votó blanquista @ivanmarulanda…</t>
  </si>
  <si>
    <t>RT @GustavoBolivar: El Senado acaba de elegir a Arturo Char como Pte del Senado. Cada vez se hunden más en el lodo de la corrupción que lo…</t>
  </si>
  <si>
    <t>RT @GustavoBolivar: #ElCongresoEs Ayer, como lo ordenó la Corte, 16 senadores hicimos presencia en el Capitolio y, ante la ausencia de Pte…</t>
  </si>
  <si>
    <t>Apenas inicien la demolición del san Juan de Dios y su desaparición y reemplazo por el hospital Santa Clara sugiero… https://t.co/8Lx5DTE3Cg</t>
  </si>
  <si>
    <t>RT @jcfrostph: @AndresCamiloHR @petrogustavo Me tomé la libertad de adaptarlo al posapocalipsis Lord Petrosky 2077 #Cyberpunk2077 https://t…</t>
  </si>
  <si>
    <t>RT @GustavoBolivar: A los guerreristas que se revuelcan es su mezquindad por la presencia de una exguerrillera en la mesa directiva de #ElC…</t>
  </si>
  <si>
    <t>RT @charry_manager: 7 edificios no solo uno sino 7 edificios los que piensa demoler @ClaudiaLopez del complejo #SanJuanDeDios... Con tal…</t>
  </si>
  <si>
    <t>RT @MoisesAlvaro_: La gente que de verdad está ejerciendo las transformaciones enfrenta a la oligarquía y avanza con las de abajo desde el…</t>
  </si>
  <si>
    <t>Mientras Duque promueve a Arturo Char, insulta a Aida. Ese es el uribismo: pleitesía al corrupto, amenaza a la líde… https://t.co/Rplz7OpXJG</t>
  </si>
  <si>
    <t>RT @DianaSalinasP: De todo lo que se le pueda criticar a Arturo Char, lo imperdonable -para mi- es llevar a un tipo como Cesar Lorduy al Co…</t>
  </si>
  <si>
    <t>RT @petrogustavo: Mientras Duque promueve a Arturo Char, insulta a Aida. Ese es el uribismo: pleitesía al corrupto, amenaza a la líder soci…</t>
  </si>
  <si>
    <t>Mi perro rayo desaparecio hace tres años y nunca más lo volví a ver, ojalá este vivo y bien en el… https://t.co/zahoE3GFfJ</t>
  </si>
  <si>
    <t>El insulto del Duque y de las mayorías del país a Aída, a la Corte Suprema de Justicia, y a toda Colombia. Estamos… https://t.co/CMF8vEg4jh</t>
  </si>
  <si>
    <t>RT @susanamuhamad: Alcaldesa @ClaudiaLopez asegura que pico durará 7 semanas. Asegura que no colapsarán hospitales y que mantendremos una d…</t>
  </si>
  <si>
    <t>RT @ChalecosAmarill: 🎥🛑En #Bolivia Si usted no se ha enterado de que hace una semana en múltiples ciudades de #Bolivia 🇧🇴 decenas de miles…</t>
  </si>
  <si>
    <t>RT @susanamuhamad: @AngelicaLozanoC Senadora, no vacíen de contenido luchas progresistas. 240,000 pesos para 550,000 familias NO es Renta B…</t>
  </si>
  <si>
    <t>RT @petrogustavo: El insulto del Duque y de las mayorías del país a Aída, a la Corte Suprema de Justicia, y a toda Colombia. Estamos en la…</t>
  </si>
  <si>
    <t>Carta a las directivas de la Universidad Nacional para que apoye el Hospital San juan de Dios cuna de generaciones… https://t.co/MJIR5fGQdp</t>
  </si>
  <si>
    <t>RT @GiordanoBrunoFi: Gerente para contención del coronavirus pasa a dirigir Savia Salud. ¿Ya se da cuenta como este #neoliberal de la salud…</t>
  </si>
  <si>
    <t>RT @lucianacadahia: El pseudo progresismo anuncia su pseudo renta básica. Aunque si lo pensamos mejor esto es, sencillamente, cinismo. O, m…</t>
  </si>
  <si>
    <t>RT @petrogustavo: Carta a las directivas de la Universidad Nacional para que apoye el Hospital San juan de Dios cuna de generaciones enter…</t>
  </si>
  <si>
    <t>RT @CarlosCarrilloA: Vean esta perla: @ClaudiaLopez al igual que @SectorSalud no responde con claridad ante algo muy grave, el 64% de los f…</t>
  </si>
  <si>
    <t>Entramos al top de los países con más contagiados del mundo. Una politica contra la pandemia desastrosa. Un aporic… https://t.co/j3Gi4kg2Kl</t>
  </si>
  <si>
    <t>El.progresismo norteamericano al lado de la vida en Colombia. https://t.co/cHu5Zwr1dz</t>
  </si>
  <si>
    <t>Para Sergio el gobierno es legitimo a pesar de la compra de votos. Luego la corrupción tiene poder legitimador. E… https://t.co/RGXF9NUdL2</t>
  </si>
  <si>
    <t>Esta es una nueva mentira alrededor del metro. No se pueden agilizar obras si no hay estudios de ingenieria de dis… https://t.co/UPVNo3El8V</t>
  </si>
  <si>
    <t>RT @petrogustavo: Para Sergio el gobierno es legitimo a pesar de la compra de votos. Luego la corrupción tiene poder legitimador. Esto si…</t>
  </si>
  <si>
    <t>RT @G_Ardila_: Como es posible que tengan a los pacientes COVID positivo en carpas expuestos a los elementos! A mi papá lo tienen así y no…</t>
  </si>
  <si>
    <t>RT @maromero86: El Sistema de Salud no colapsa si dejamos a la gente muriendo en su casa. Esa @ClaudiaLopez es una genia, pa' eso sirve un…</t>
  </si>
  <si>
    <t>Como lo dije en este artículo, el 62% de los muertos por covid en Bogotá no pudieron llegar a una Unidad de Cuidado… https://t.co/Bz48gtw1Aq</t>
  </si>
  <si>
    <t>RT @SandraPerezSiii: Tenía que corregirlo 🤗: https://t.co/LLJUCbSnsF</t>
  </si>
  <si>
    <t>RT @petrogustavo: Como lo dije en este artículo, el 62% de los muertos por covid en Bogotá no pudieron llegar a una Unidad de Cuidado Inten…</t>
  </si>
  <si>
    <t>RT @MMMaldonadoC: Una funcionaria de @ProBogotaRegion cierra el foro sobre el San Juan cuestionando que se usen las acciones constituciona…</t>
  </si>
  <si>
    <t>Bogotá debería estar en cuarentena total y para ello el presupuesto para obras de tranmilenio debería trasladarse a… https://t.co/j2alYugmlj</t>
  </si>
  <si>
    <t>RT @lucianacadahia: Me pregunto por qué a @CarlosCortes le molesta tanto la sensatez de Petro. Al punto de volver personal algo que ni el m…</t>
  </si>
  <si>
    <t>RT @petrogustavo: Bogotá debería estar en cuarentena total y para ello el presupuesto para obras de tranmilenio debería trasladarse a soste…</t>
  </si>
  <si>
    <t>RT @bogotamuyfirme: En nuestro servicio social, hoy le ayudamos al Concejal de Bogotá @mjsarmientoa del MOIR a actualizar su trino de 2016.…</t>
  </si>
  <si>
    <t>RT @PizarroMariaJo: Ante anuncio de la demolición de 7 edificios del San Juan de Dios y ante el atentado que eso representa al Patrimonio y…</t>
  </si>
  <si>
    <t>RT @bogotamuyfirme: La Sra. @ClaudiaLopez le prometió a mas de 2 millones de personas que los iba a confinar con una supuesta renta básica.…</t>
  </si>
  <si>
    <t>Comunicado de prensa sobre la informacion de @cuestion_p https://t.co/wAafvaFFIs</t>
  </si>
  <si>
    <t>Ha muerto víctima del covid Jorge del Oro Ibáñez, activista progresista y profesor pensionado de la Universidad del Atlántico QEPD</t>
  </si>
  <si>
    <t>RT @ApuntadeLengua: Hoy @SectorSalud quedó en hacerme prueba domiciliaria de #Covid_19 pero nunca llegaron. Lo peor es que por esperarlos c…</t>
  </si>
  <si>
    <t>RT @AndresCamiloHR: Roberto Baquero del Colegio Nacional de Medicina señala que la gente está llegando a urgencias en condiciones deplorabl…</t>
  </si>
  <si>
    <t>RT @charry_manager: Segunda parada del paseo del la muerte del Covid Hospital Simón Bolívar sin UCI el padre de mi amigo sigue en la ambula…</t>
  </si>
  <si>
    <t>RT @susanamuhamad: Insistimos en la implementación de un sistema de salud pública preventiva que haga cerco a la pandemia para evitar el co…</t>
  </si>
  <si>
    <t>Ud miente @luismorales0621 de una capacidad de 700 camas entre el San Juan de Dios y el Santa Clara, al buscar desa… https://t.co/7AWKF2ZKI6</t>
  </si>
  <si>
    <t>RT @lucianacadahia: Es curioso que por no hablar la lengua de la dizque neutralidad periodística acusen a los demás de dogmáticos. En Colom…</t>
  </si>
  <si>
    <t>RT @GA_Jaramillo: Con mucha satisfacción recibimos la noticia que ha sido aprobada la #MatriculaCero en la @Uni_Tolima. Desde acá toda mi a…</t>
  </si>
  <si>
    <t>RT @Annonnymous_R: "el Cartel de Corferias" Mientras las UCIS en Bogotá están a reventar, @ClaudiaLopez se gasto 200 mil millones para 60…</t>
  </si>
  <si>
    <t>Cuando quitaron la consulta popular vinculante de la Constitución para poder hacer expedita la Región metropolitana… https://t.co/CghGumREW4</t>
  </si>
  <si>
    <t>El ejercito de Colombia no puede irradiar la censura y obligar a sus soldados a usar las redes para acallar la expr… https://t.co/MzFkXMEHvV</t>
  </si>
  <si>
    <t>A punto de pasar a Turquía y Italia, países con más población que Colombia. La incapacidad del gobierno para detene… https://t.co/SOjlgZqIZn</t>
  </si>
  <si>
    <t>Que opinan de esta encuesta de semana. En mi opinión abiertamente atentatoria de mis derechos politicos que son der… https://t.co/W2aSjsXGnn</t>
  </si>
  <si>
    <t>RT @CardioTuit: Sra. Alcaldesa @ClaudiaLopez hoy recibo en mi turno en urgencias tres pacientes ventilados, uno de ellos con más de un día…</t>
  </si>
  <si>
    <t>RT @CarlosCarrilloA: En diciembre de 2015, el secretario de salud de Peñalosa @luismorales0621 le pidió al director nacional de patrimonio…</t>
  </si>
  <si>
    <t>RT @luzmcaro: Mientras más quieren enlodar a Petro más demuestran su honestidad. Los Gutiérrez, a quienes conozco, son conservadores, más b…</t>
  </si>
  <si>
    <t>RT @petrogustavo: Que opinan de esta encuesta de semana. En mi opinión abiertamente atentatoria de mis derechos politicos que son derechos…</t>
  </si>
  <si>
    <t>Como observaran aquí, el número de pruebas que se hacen en Bogotá es muy bajo respecto a su población y eso hace in… https://t.co/PugyE1uZlf</t>
  </si>
  <si>
    <t>La vacuna contra el covid ya es un escenario de negocios y de lucha geopolítica. La vacuna debería ser gratuita y u… https://t.co/ptlJzGX0HI</t>
  </si>
  <si>
    <t>El discurso de la polarización es el discurso que intenta ocultar la corrupción en el Estado. El que denuncia, segú… https://t.co/si8WEPmHIs</t>
  </si>
  <si>
    <t>RT @AlexLopezMaya: Este @SenadoGovCo es el único que modifica las disposiciones de una ley orgánica como lo es la Ley 5 de 1992 con una res…</t>
  </si>
  <si>
    <t>RT @petrogustavo: Como observaran aquí, el número de pruebas que se hacen en Bogotá es muy bajo respecto a su población y eso hace ineficaz…</t>
  </si>
  <si>
    <t>El simple titular de esta emisora busca generar una opinión, falsa, que nadie ha dicho. Nadie me ha señalado un sol… https://t.co/958HYhZq1R</t>
  </si>
  <si>
    <t>Las cifras que he publicado en mi columna sobre porcentaje de personas muertas que no pasaron por UCI y estratos so… https://t.co/uRnkByLJ7Z</t>
  </si>
  <si>
    <t>RT @BluRadioCo: Petro tiene razón en crítica a Claudia López sobre cifra de muertos por COVID-19 en UCI #MañanasBLU #ColombiaEstáAlAire → h…</t>
  </si>
  <si>
    <t>Miren.el extremo al que llegó @ELTIEMPO y @CNE_COLOMBIA, ambos en manos del uribismo No es porque Monomeros colomb… https://t.co/s3J3W4Hycn</t>
  </si>
  <si>
    <t>RT @AndresCamiloHR: Alcaldesa @ClaudiaLopez este es el Derecho de Petición que la @SectorSalud le respondió al Senador @petrogustavo del cu…</t>
  </si>
  <si>
    <t>RT @petrogustavo: Miren.el extremo al que llegó @ELTIEMPO y @CNE_COLOMBIA, ambos en manos del uribismo No es porque Monomeros colombovenez…</t>
  </si>
  <si>
    <t>No le abren a Duque investigación por los dineros del ñeñe y si el @CNE_COLOMBIA le pide a la fiscalía que le abra… https://t.co/S7pZ3mNy5T</t>
  </si>
  <si>
    <t>RT @CuartoDeHoraCol: Durante la mañana varios medios de comunicación publicaron como noticia la investigación que el CNE ordenó contra Gust…</t>
  </si>
  <si>
    <t>hoy somos primer país del mundo en muertes covid por millón de habitantes. El sistema de salud mercantil de Colomb… https://t.co/bt5vDbxpsN</t>
  </si>
  <si>
    <t>RT @CarlosCarrilloA: Para que vean que la lucha sí sirve ¿Dónde quedó el cuento de que es imposible deshacer una licitación abierta? Si la…</t>
  </si>
  <si>
    <t>RT @GustavoBolivar: Denuncian a Petro por recibir dinero de Vzla y como El CNE no encuentra esa donación, porq no existe, abre investigació…</t>
  </si>
  <si>
    <t>¿Se atreve a publicar León lo que la misma prensa investigó de las cifras que presenté y que Claudia dice que son m… https://t.co/XE6OQtr7s0</t>
  </si>
  <si>
    <t>RT @yenniferhurtado: Hasta mi mamá que es profesora me preguntó en campaña presidencial que cómo podía donarle a @petrogustavo de su sueldo…</t>
  </si>
  <si>
    <t>Le pedí al ministro de hacienda, en debate del senado, que el Banco de la República comprara más oro en su componen… https://t.co/q77aZ8Mq7N</t>
  </si>
  <si>
    <t>RT @charry_manager: La basura de información en este país el @CNE_COLOMBIA NO formula cargos abre indagaciones e inicia una investigación..…</t>
  </si>
  <si>
    <t>Señores @lafm si tienen algún cuestionamiento sobre si yo o mi familia tienen alguna relación con Saab díganlo, per… https://t.co/6BKgbZlPk0</t>
  </si>
  <si>
    <t>RT @AndresCamiloHR: Ayer usted señora @ClaudiaLopez en el programa de @MJDuzan dice que la información de @petrogustavo es mentira, la inv…</t>
  </si>
  <si>
    <t>RT @intiasprilla: Investigan a @petrogustavo porque unos profesores donaron a su campaña no más de 500 mil pesos en total. Para variar, un…</t>
  </si>
  <si>
    <t>RT @Betocoralg: Él es Renato Rafael Contreras, el magistrado del @CNE_COLOMBIA que abrió investígación en contra de @petrogustavo. Fue el…</t>
  </si>
  <si>
    <t>Mi constancia ante la persecución política del Sr Renato Contreras, representante del Centro Democrático en el… https://t.co/pnXlVGkPB1</t>
  </si>
  <si>
    <t>RT @Eclides3: Renato Rafael Contreras, es el Magistrado del CNE amigo de Paola Holguin, que acuso a Santos de recibir dineros de Odebrecht…</t>
  </si>
  <si>
    <t>RT @Velascomfelipe: Hay de decirle al CNE, que perdón, por vender sancochos, rifas y tamales para financiar la candidatura presidencial de…</t>
  </si>
  <si>
    <t>RT @GustavoBolivar: #PetroPresidente2022 Como no le encuentran un solo acto de corrupción,miren lo q tienen: -Multa por bajar los pasaje de…</t>
  </si>
  <si>
    <t>Superintendencia de sociedades fue la que avaló tesis que por haber ganado en Barranquilla entonces me financiaba l… https://t.co/x241NmrGzf</t>
  </si>
  <si>
    <t>RT @HOLLMANMORRIS: #PetroLesIncomodaPorque hace unas semanas contrataron una encuesta y se dieron cuenta que si las elecciones fueran hoy @…</t>
  </si>
  <si>
    <t>RT @suarezvacca: Muy criminal quien recibe dinero de un humilde profesor, muy decente quien lo recibe de un Narco. Este país pone los valor…</t>
  </si>
  <si>
    <t>RT @EpicuroDeSamos_: Monto de donaciones por las que abren investigación a Petro: -90 mil -95 mil -150 mil La prensa privada agrava y amp…</t>
  </si>
  <si>
    <t>RT @ismene2: Ve, no demoran en acusar a @petrogustavo de empobrecimiento ilícito.</t>
  </si>
  <si>
    <t>RT @AtiQuigua: #PetroLesIncomodaPorque más de ocho millones de colombianos(as) depositaron un voto real y de confianza en las pasadas elecc…</t>
  </si>
  <si>
    <t>RT @carlosecaicedo: Ante nuestra solicitud al Gob Nacional de entregar esta clínica al departamento, recibimos como respuesta del agente li…</t>
  </si>
  <si>
    <t>RT @MoisesAlvaro_: Así va el lawfare de las oligarquías en el campo electoral contra algunos movimientos populares de América Latina: 🇪🇨…</t>
  </si>
  <si>
    <t>RT @petroskymora: 4000 contagios nuevos y 111 muertos y el dinero para las ayudas sociales guardado para el trasmilenio de la 68 ... e hay…</t>
  </si>
  <si>
    <t>León aun no hemos decidido ser oposición a Claudia, cuando ella demuele el hospital San Juan de Dios se hará, no ha… https://t.co/2jAnOs9Qsh</t>
  </si>
  <si>
    <t>RT @elmoral_es: Los aportes “sospechosos” a la campaña de Petro son de estos valores, según acaba de decir el magistrado investigador del C…</t>
  </si>
  <si>
    <t>RT @petrogustavo: Superintendencia de sociedades fue la que avaló tesis que por haber ganado en Barranquilla entonces me financiaba la empr…</t>
  </si>
  <si>
    <t>RT @marthaperaltae: Magistrado del Centro Democrático Renato Contreras acusa a nuestro Movimiento MAIS porque avalamos a @petrogustavo y ha…</t>
  </si>
  <si>
    <t>RT @BluRadioCo: A algo más de $300.000 ascienden presuntos aportes irregulares a campaña Petro Presidente: CNE https://t.co/PsmIsGqCBf #Mañ…</t>
  </si>
  <si>
    <t>Y les demostraremos que los vamos a vencer. El.pueblo ha.hecho su calculo. https://t.co/4rnQPjL6YI</t>
  </si>
  <si>
    <t>La universidad de Oxford publicó en su revista cual sería la politica más reactivadora; el trabajo, hecho por Stigl… https://t.co/Mwbacvpby6</t>
  </si>
  <si>
    <t>Jajajjaa. Y no dice el representante uribista en el @CNE_COLOMBIA, Renato Contreras que cogió todo el listado de ap… https://t.co/E9dl2kVtCb</t>
  </si>
  <si>
    <t>RT @petrogustavo: Jajajjaa. Y no dice el representante uribista en el @CNE_COLOMBIA, Renato Contreras que cogió todo el listado de aportant…</t>
  </si>
  <si>
    <t>RT @petrogustavo: Mi constancia ante la persecución política del Sr Renato Contreras, representante del Centro Democrático en el @CNE_COLOM…</t>
  </si>
  <si>
    <t>M querido @DeLaCalleHum, he leído su propuesta y sugiero que lea la mía sobre un pacto histórico. Ambas columnas s… https://t.co/HYupDnGpcL</t>
  </si>
  <si>
    <t>RT @DRUIDALORC: MIENTE @ClaudiaLopez Mi familiar murió esperando durante 3 días una UCI,murió por COVID-19 Nuestro caso es la prueba de tu…</t>
  </si>
  <si>
    <t>RT @petrogustavo: M querido @DeLaCalleHum, he leído su propuesta y sugiero que lea la mía sobre un pacto histórico. Ambas columnas señalan…</t>
  </si>
  <si>
    <t>RT @OlimpoMartinez2: Por éste almuerzo que campesinos le regalaron en campaña a @petrogustavo , el CNE le abriría investigación. No lo repo…</t>
  </si>
  <si>
    <t>RT @Matador000: https://t.co/9lo9VwurmM</t>
  </si>
  <si>
    <t>RT @JuanMontroya: Parece que en clínica Occidente, médicos ya están decidiendo quién entra o no a una UCI. Ayer me reportaron un caso de un…</t>
  </si>
  <si>
    <t>Las instituciones son de la ciudadanía no de la.politiquería; las instituciones las creó la constituyente del puebl… https://t.co/71sciROah9</t>
  </si>
  <si>
    <t>RT @GustavoBolivar: #MientrasSubenMatarife miren cuántos cadáveres hay debajo de la represa de HidroItuango después de las 72 masacres que…</t>
  </si>
  <si>
    <t>RT @susanamuhamad: La situación actual de la pandemia no la podemos medir solo en la ocupación y disponibilidad UCI, lo que esta pasando en…</t>
  </si>
  <si>
    <t>Premeditadamente la fiscalía y Duque no permitieron la.liberación de presos Los masacraron ante su petición Les… https://t.co/IQxxAXmPig</t>
  </si>
  <si>
    <t>Los fondos privados de pensiones no dan pensión. El modelo chileno del que es copia el colombiano, ha comenzado a d… https://t.co/fduRfvTwCr</t>
  </si>
  <si>
    <t>Le solicito a @TwitterLatAm no censurar la cuenta @matarifeco. Ya censuraron desde el poder y el dinero la prensa… https://t.co/cbopLl0aQP</t>
  </si>
  <si>
    <t>RT @petrogustavo: Las instituciones son de la ciudadanía no de la.politiquería; las instituciones las creó la constituyente del pueblo. No…</t>
  </si>
  <si>
    <t>Mañana pasaremos a Italia en numero de contagiados. Somos de los primeros en el mundo en muertos diarios por covid… https://t.co/EWPjPtNdr7</t>
  </si>
  <si>
    <t>Bien que Medellin solicite ayuda cubana, que Duque debe permitir, para fortalecer el personal de salud en estos tie… https://t.co/O8wE6yKBBL</t>
  </si>
  <si>
    <t>Gustavo Bolívar nos conduce en su columna dominguera a las posibilidades inmediatas: el posneoliberalismo. Ante el… https://t.co/HsNzlHs4mF</t>
  </si>
  <si>
    <t>Hora de un encuentro social, de tomarnos un tinto para cambiar el rumbo del país. Hora de rescatar el país de su r… https://t.co/A9RQ7IFArX</t>
  </si>
  <si>
    <t>Conocí a Alvaro Fayad, lo ví dos o tres veces, siendo yo un joven rebelde. Me sorprendió su capacidad de escribir,… https://t.co/ZxqcTEFN7d</t>
  </si>
  <si>
    <t>RT @elsemblante: Al que investigan // Al que protegen. https://t.co/aDOUp0QXYy</t>
  </si>
  <si>
    <t>¿Hacia un Pacto histórico para Colombia? Dependerá de una ciudadanía que venza el sectarismo e impulse el cambio d… https://t.co/iWrnbZ7AC9</t>
  </si>
  <si>
    <t>RT @petrogustavo: Gustavo Bolívar nos conduce en su columna dominguera a las posibilidades inmediatas: el posneoliberalismo. Ante el fallid…</t>
  </si>
  <si>
    <t>RT @petrogustavo: Hora de un encuentro social, de tomarnos un tinto para cambiar el rumbo del país. Hora de rescatar el país de su ruina e…</t>
  </si>
  <si>
    <t>RT @angelamrobledo: Frente al Pacto Historico propuesto por @petrogustavo y la Coalicion de Centro-Izquierda propuesta por @DeLaCalleHum mu…</t>
  </si>
  <si>
    <t>RT @nicolaspetroB: Hoy la prioridad es salvar vidas, Uribe antepone su odio ideológico.</t>
  </si>
  <si>
    <t>Me uno al pesar por la muerte de Isauro Cabrera quien con dignidad desde su cargo colab3oro con el gobierno de la B… https://t.co/9btYhzSUlZ</t>
  </si>
  <si>
    <t>Ha sido aprobada en comisión primera del Senado mi citación al ministro de salid para responder por el hospital San Juan de Dios.</t>
  </si>
  <si>
    <t>Una entrevista bastante profunda en la que trato de comunicar mi pensamiento politico https://t.co/8dmkoYflvA</t>
  </si>
  <si>
    <t>A las siete por tercer canal y mi facebooklive estaremos comentando con mi tocayo Bolívar nuestras columnas de hoy.… https://t.co/QE9cYKgksg</t>
  </si>
  <si>
    <t>El hospital no esta abandonado desde hace 20 años, fue comprado en el 2014, se le hizo el plan de manejo para resta… https://t.co/HXBvdhCFvz</t>
  </si>
  <si>
    <t>RT @petrogustavo: A las siete por tercer canal y mi facebooklive estaremos comentando con mi tocayo Bolívar nuestras columnas de hoy. Los e…</t>
  </si>
  <si>
    <t>Si se trae un soldado extranjero y un medico extranjero ¿qué puedo esperar si usamos la razón? Del primero la muerte, del segundo la vida.</t>
  </si>
  <si>
    <t>Muertes por covid diarias por millón de habitantes: alcanzamos a Brasil. Esta es una sitiacion extrema señor minis… https://t.co/t2bQGmxMw2</t>
  </si>
  <si>
    <t>Pensé que esto se estaba haciendo desde el primer contagio. https://t.co/EoeBRGodKt</t>
  </si>
  <si>
    <t>RT @petrogustavo: Si se trae un soldado extranjero y un medico extranjero ¿qué puedo esperar si usamos la razón? Del primero la muerte, de…</t>
  </si>
  <si>
    <t>Colombia es el ultimo país de la OCDE en número de médicos y enfermeras por cada cien mil habitantes. Como se rest… https://t.co/H1IYtraVzz</t>
  </si>
  <si>
    <t>En este cuadro pueden ver el compararativo entre la OCDE y Latinoamérica del número de médicos y enfermeras por cad… https://t.co/QUcoI3o4EJ</t>
  </si>
  <si>
    <t>En este cuadro, pueden observar que Colombia es uno de los ultimos paises del mundo en número de médicos y enfermer… https://t.co/xgQHGRzcgT</t>
  </si>
  <si>
    <t>RT @EmbacubaCol: #MedicosCubanosSon profesionales cuyas capacidades científica y humana están demostradas en las centenares de misiones que…</t>
  </si>
  <si>
    <t>El gobierno quiere reducir a la virtualidad total al Congreso, mientras saca millones de trabajadores a la calle, p… https://t.co/xiB2Zeokp6</t>
  </si>
  <si>
    <t>RT @ProgIntl: "When manipulation fails, weapons and extermination will shine: the global genocide." PI Council Member @petrogustavo on the…</t>
  </si>
  <si>
    <t>Aparece en Inglés y español mi trabajo sobre pandemia y quiebra del paradigma civilizatorio actual escrito para la… https://t.co/s9GrwVaC9e</t>
  </si>
  <si>
    <t>RT @GiordanoBrunoFi: Stevenson Marulanda es el Fundador de la Org. Colegio Médico Colombiano es un político de Cambio Radical y también par…</t>
  </si>
  <si>
    <t>RT @petrogustavo: Aparece en Inglés y español mi trabajo sobre pandemia y quiebra del paradigma civilizatorio actual escrito para la Intern…</t>
  </si>
  <si>
    <t>RT @LUISEROLAVE: Es una ofensa que @sergio_fajardo se atreva a mencionar a mi hno @PalaciosLeyner. Sepan que FAJARDO ES PERSONA NO GRATA EN…</t>
  </si>
  <si>
    <t>Si tenemos la tasa más baja de médicos por habitantes casi del mundo, en tiempos de pandemia, la ayuda de más médic… https://t.co/FpjKQq6zbL</t>
  </si>
  <si>
    <t>RT @petrogustavo: El gobierno quiere reducir a la virtualidad total al Congreso, mientras saca millones de trabajadores a la calle, para pa…</t>
  </si>
  <si>
    <t>Este es el cuadro de médico(a)s y enfermero(a)s por cada mil habitantes, en la OCDE, en Colombia, en Cuba y los dem… https://t.co/93m3D7q8nP</t>
  </si>
  <si>
    <t>Tenemos un fracaso contra la pandemia en Bogotá La estrategia de @SectorSalud de basarse en EPS, cuarentena flexib… https://t.co/Vs6wUOjghd</t>
  </si>
  <si>
    <t>RT @jaarreaza: Denunciamos que la sede del Consulado de Venezuela en Bogotá ha sido vandalizada y saqueada por completo. Las autoridades co…</t>
  </si>
  <si>
    <t>RT @CathyJuvinao: #ÚLTIMAHORA presidente del senado Arturo Char emite resolución en la que en que convoca al senado a sesiones virtuales co…</t>
  </si>
  <si>
    <t>En la historia del mundo, en ls historia de sus guerras y violencias no había escuchado jamás que los.medicos se co… https://t.co/xqlmpcDMUI</t>
  </si>
  <si>
    <t>RT @CathyJuvinao: En @TrabajenVagosCo nos preocupa que Arturo Char defina la virtualidad como regla general aún cuando el resto del país es…</t>
  </si>
  <si>
    <t>La.destruccion del Congreso, sumido en una virtualidad oportunista, le abre a Duque el camino de la dictadura. Para… https://t.co/Fo3TW9Z9tm</t>
  </si>
  <si>
    <t>RT @germanreyesf: La profesión médica y sus principios humanitarios guían a que sus actos no sean discriminatorios ni por raza sexo religió…</t>
  </si>
  <si>
    <t>RT @petrogustavo: La.destruccion del Congreso, sumido en una virtualidad oportunista, le abre a Duque el camino de la dictadura. Para eso e…</t>
  </si>
  <si>
    <t>RT @bogotamuyfirme: Bogotá ya tiene más casos #COVIDー19 que China. Son datos y hay que darlos.</t>
  </si>
  <si>
    <t>RT @PalaciosLeyner: En Bojaya nos mataron y siguen matando, sinvergüenzas los que me critican por columna "Un nuevo grito de independencia"…</t>
  </si>
  <si>
    <t>RT @SenorCaicedo: Los abogados del Uribismo... https://t.co/9m5iVKUlk3</t>
  </si>
  <si>
    <t>RT @finseya5: @DANE_Colombia @MinSaludCol cuándo tendremos Informe actualizado de exceso de mortalidad. Es urgente que el país sepa los dat…</t>
  </si>
  <si>
    <t>Mientras todos los países del mundo tienen cifras actuales de mortalidad que reflejan la verdadera situación de la… https://t.co/PeCVCVFw0Z</t>
  </si>
  <si>
    <t>El señor secretario de Salud de Bogotá debería decirle a su ciudad cuantas UCI que haya comprado el Distrito han en… https://t.co/dp6bGurPf2</t>
  </si>
  <si>
    <t>Pagar con dinero para meter a la cárcel a los opositores al régimen de Uribe. Eso es lo que revela el caso del abo… https://t.co/o6DOJ8wHNc</t>
  </si>
  <si>
    <t>"No puedo respirar" en la propia ciudad de Bogotá. La violencia policial es fruto del ascenso del autoritarismo en… https://t.co/yysAD2xAxX</t>
  </si>
  <si>
    <t>¿ y el oro que quiere minesa del páramo de Santurban, señor embajador? https://t.co/lFNjF3ZbEa</t>
  </si>
  <si>
    <t>RT @ComiteSanturban: ¡Empezamos la Twiteratón por Santurbán #ConMinesaMásPobreza! No vamos a permitir que @IvanDuque utilice la crisis ec…</t>
  </si>
  <si>
    <t>Lo que se requiere en Bogotá es cuarentena total con fuerte politica social, lo cual significa trasladar los recurs… https://t.co/Louss9p8uH</t>
  </si>
  <si>
    <t>RT @magarpri: "Today, hundreds of millions of people in the world are called upon to produce, to become infected and, many of them, to die.…</t>
  </si>
  <si>
    <t>RT @petrogustavo: Lo que se requiere en Bogotá es cuarentena total con fuerte politica social, lo cual significa trasladar los recursos de…</t>
  </si>
  <si>
    <t>RT @DrNickolaz: Les voy a contar mi experiencia durante el tiempo que viví en Cuba 🇨🇺 (Hilo)</t>
  </si>
  <si>
    <t>RT @marthaperaltae: Les comparto ese video de lo que decía @IvanDuque en campaña sobre el páramo de Santurbán. Un engaño total a Colombia.…</t>
  </si>
  <si>
    <t>Estoy en la comisión primera y dejo constancia que la mesa directiva no puso los servicios indispensables para el t… https://t.co/ppXFY2M7GV</t>
  </si>
  <si>
    <t>RT @AndresCamiloHR: "Aquí están usando la Constitución para trapear el piso" señala el Senador @petrogustavo quien hace presencia en el rec…</t>
  </si>
  <si>
    <t>RT @ChalecosAmarill: 🎥✊🏿✊🏻✊🏽 GRANDE #Bolivia 🇧🇴 🔻El pueblo arrecho exigen #EleccionesYA y la SALIDA URGENTE de la GOLPISTA LADRONA y ASESI…</t>
  </si>
  <si>
    <t>RT @mateoelflautist: @ColombiaHumana_ exige que el @CNE_COLOMBIA envíe el listado de aportantes a todas las campañas políticas que particip…</t>
  </si>
  <si>
    <t>RT @LuisGPerezCasas: China con 1400 millones de habitantes, contagiados 83959, muertes 4634. Colombia 50 millones de habitantes 257101 con…</t>
  </si>
  <si>
    <t>RT @Rodrigo_Lara_: Estoy cumpliendo con mi deber en la Comisión 1-Senado La Corte Constitucional nos ha recordado que debemos hacer presen…</t>
  </si>
  <si>
    <t>RT @FreddyteleSUR: Masiva protesta de sectores populares en la marcha convocada por la Central Obrera contra la tercera suspensión de las e…</t>
  </si>
  <si>
    <t>RT @charry_manager: El senador @petrogustavo cumpliéndole a los Colombian@s sesionando desde el congreso en comisión I... El pais merece c…</t>
  </si>
  <si>
    <t>RT @AlexLopezMaya: Las sesiones virtuales son ilegales e inconstitucionales al no tener sustento jurídico, es sumamente grave que la mayorí…</t>
  </si>
  <si>
    <t>RT @JavierAdaime: Nunca le perdonaré a @ClaudiaLopez el metro elevado de @EnriquePenalosa Sumió a Bogotá en el subdesarrollo de por vida.…</t>
  </si>
  <si>
    <t>RT @petrogustavo: Estoy en la comisión primera y dejo constancia que la mesa directiva no puso los servicios indispensables para el trabajo…</t>
  </si>
  <si>
    <t>RT @RodrigoUprimny: Comparto con la colega Catalina Botero que la discusión sobre virtualidad en el Congreso no es un asunto menor. Tiene q…</t>
  </si>
  <si>
    <t>La pérdida de poder del Congreso frente a Duque, gracias a una virtualidad total que es inconstitucional, se viene… https://t.co/SXKXUNQCi2</t>
  </si>
  <si>
    <t>Nos están llevando a una dictadura al virtualizar totalmente el Congreso parte II https://t.co/DuRvSExsRt</t>
  </si>
  <si>
    <t>Nos están llevando a una dictadura al virtualizar totalmente el Congreso parte I https://t.co/gPlXvvLGHT</t>
  </si>
  <si>
    <t>El responsable de esos 300 muertos, y de esos 10.000 contagiados oficiales es un sistema: el de la salud mercantil… https://t.co/XMYM82X6q7</t>
  </si>
  <si>
    <t>RT @AndresCamiloHR: Sobre el particular Senadora @palomavalenciaL esta es la respuesta a sus interrogantes por parte del Senador Gustavo Pe…</t>
  </si>
  <si>
    <t>Estos son los seis países donde más crece el virus en el mundo y estos los mandatarios que han llevado a sus pueblo… https://t.co/oXacSdGrIh</t>
  </si>
  <si>
    <t>RT @RoyBarreras: Vean aquí también al Senador Roosevelt Rodriguez a quien le fué imposible que le dieran la palabra antes de votar y a Sen…</t>
  </si>
  <si>
    <t>RT @moecolombia: "El foro de ayer sirvió para poner sobre la mesa que el Congreso de la República tiene que funcionar en presencialidad, pe…</t>
  </si>
  <si>
    <t>RT @BLUSantanderes: Viceministra de Minas le falta al respeto a Bucaramanga: alcalde sobre oro en Santurbán → https://t.co/mc3cliRJ5D #Voce…</t>
  </si>
  <si>
    <t>Duque prometió no entregarle el páramo de Santurban a Minesa y proteger el agua de los santandereanos. Siempre supe… https://t.co/F1uZslkQsW</t>
  </si>
  <si>
    <t>RT @jnietoblanco: Más de 30 horas completa este cuerpo sin vida, de una mujer que murió por #COVID19 en su vivienda. Su familia encerrada e…</t>
  </si>
  <si>
    <t>Entre 105 países del mundo, con más de 7 millones de habitantes, Colombia sigue en el primer puesto mundial de muer… https://t.co/035r7uyxrh</t>
  </si>
  <si>
    <t>RT @SinCensuraCol: ¿Alguien recuerda estos recibimientos? Esto fue en el centro comercial Santa Fe en Usaquen en el 2018. !Así lo recibió l…</t>
  </si>
  <si>
    <t>RT @petrogustavo: Entre 105 países del mundo, con más de 7 millones de habitantes, Colombia sigue en el primer puesto mundial de muertos di…</t>
  </si>
  <si>
    <t>RT @petrogustavo: Duque prometió no entregarle el páramo de Santurban a Minesa y proteger el agua de los santandereanos. Siempre supe por s…</t>
  </si>
  <si>
    <t>RT @petrogustavo: El responsable de esos 300 muertos, y de esos 10.000 contagiados oficiales es un sistema: el de la salud mercantil y el d…</t>
  </si>
  <si>
    <t>RT @piedrahitangela: Asqueante cómo los medios de comunicación se han prestado para apoyar la destrucción de nuestros páramos, cómo se vend…</t>
  </si>
  <si>
    <t>RT @AlexLopezMaya: El Congreso no puede sesionar virtualmente porque viola la Ley 5ta de 1992 y el artículo 149 de la Constitución Política…</t>
  </si>
  <si>
    <t>RT @ammejiaaguado: La magistral réplica del Senador @petrogustavo a @PalomaValenciaL me recuerda el polémico grito de la Senadora “Estudien…</t>
  </si>
  <si>
    <t>El médico Víctor Correa-Lugo con un análisis profundo muestra la miseria de una ideología, la ideología de la ley 1… https://t.co/8U6Fb0WR9V</t>
  </si>
  <si>
    <t>Dos matanzas vive el departamento de Córdoba, donde yacen mis abuelos, la matanza del paramilitarismo que entró a s… https://t.co/PYBpCT9Jp7</t>
  </si>
  <si>
    <t>En Cuba y Colombia empezó la pandemia al mismo tiempo Hoy hay 87 muertos en Cuba y 10.000 en Colombia, 2.800 conta… https://t.co/KCLiPhy2ZR</t>
  </si>
  <si>
    <t>Y dirán las voces del odio y la ignorancia. ¡Entonces vayase a Cuba castrochavista! Y diré, nuestro sistena de sal… https://t.co/fN57BrPiL1</t>
  </si>
  <si>
    <t>Guste o no, BogotáHumana implementó en "territorios saludables", con profesionales colombianos, el método cubano y… https://t.co/3MJCBA2HOx</t>
  </si>
  <si>
    <t>Los modelos de simulación demuestran que si hubiésemos tenido una cuarentena estricta tendríamos al final cinco vec… https://t.co/O5MD4QO3oz</t>
  </si>
  <si>
    <t>La prisión domiciliaria para Gabriel Garcia el hombre de Odebrecht en la administración de Uribe es un regalo por s… https://t.co/vznhOBIqSR</t>
  </si>
  <si>
    <t>RT @GustavoBolivar: Acabo de pedir al Senado, que si vamos a seguir legislando virtualmente, en abierta violacion de la C.N., por lo menos…</t>
  </si>
  <si>
    <t>RT @petrogustavo: En Cuba y Colombia empezó la pandemia al mismo tiempo Hoy hay 87 muertos en Cuba y 10.000 en Colombia, 2.800 contagiados…</t>
  </si>
  <si>
    <t>RT @ColombiaHumana_: Esta es la respuesta del Senador de la Colombia Humana @petrogustavo a la senadora @palomavalenciaL. https://t.co/lBbv…</t>
  </si>
  <si>
    <t>RT @GustavoBolivar: ¿Apoyan no pago de gastos de representación a congresistas que legislen desde sus casas? Son 14 millones mensuales para…</t>
  </si>
  <si>
    <t>RT @ChalecosAmarill: 🎥🛑En #EEUU en el día 58° de protestas en Portland, policía secreta del TERRORISTA #Trump SECUESTRA a manifestante que…</t>
  </si>
  <si>
    <t>RT @elespectador: Que senadores no reciban $ 14 millones en gastos de representación, propone Gustavo Bolívar https://t.co/q4jgzJMNg6</t>
  </si>
  <si>
    <t>Señor eugenio en mi administración jamás adelantamos alguna APP para administrar el San Juan de Dios, al contrario,… https://t.co/XwydQL7BL9</t>
  </si>
  <si>
    <t>Después de la decisión de demoler el San Juan de Dios y de delegar en las EPS pruebas y prevención, la mayor irresp… https://t.co/ge6vRydcyv</t>
  </si>
  <si>
    <t>En esta estadística de Celag y Colombia Humana, ustedes pueden observar cómo ha disminuido el salario relativo en C… https://t.co/0pQetXNeds</t>
  </si>
  <si>
    <t>RT @Carlozada_FARC: Dos propuestas del Centro Democrático en los últimos minutos en la sesión del @SenadoGovCo; nuevo plebiscito contra el…</t>
  </si>
  <si>
    <t>RT @petrogustavo: En esta estadística de Celag y Colombia Humana, ustedes pueden observar cómo ha disminuido el salario relativo en Colombi…</t>
  </si>
  <si>
    <t>La plataforma Zoom en la que sesiona el Congreso de Colombia, prohibida en muchas instituciones publicas del mundo… https://t.co/ggZFJ9w32q</t>
  </si>
  <si>
    <t>Solo su voto es el que permite que se siga en virtualidad en la comisión primera. Si el senador Benedetti lo quisie… https://t.co/et4JzbWEuk</t>
  </si>
  <si>
    <t>En Bogota mucha gente esta muriendo en sus casas. por el Covid Esta una prueba. https://t.co/aq5TJFjsXJ</t>
  </si>
  <si>
    <t>RT @AlexLopezMaya: Este congreso, que cuenta con delincuentes que compran votos, envueltos en la ñeñe política, en el paramilitarismo, que…</t>
  </si>
  <si>
    <t>RT @petrogustavo: La plataforma Zoom en la que sesiona el Congreso de Colombia, prohibida en muchas instituciones publicas del mundo por su…</t>
  </si>
  <si>
    <t>Afirmé que la política de Duque, tanto en salud como social, llevaba a la población colombiana al matadero. Hoy ten… https://t.co/AdzJDDjIuZ</t>
  </si>
  <si>
    <t>RT @ChalecosAmarill: 🎥🛑En #Bolivia 🇧🇴 multitudinaria movilización en El Alto por el día del Estado Plurinacional contra el #GolpeDeEstadoEn…</t>
  </si>
  <si>
    <t>RT @GustavoBolivar: 380 muertos por covid hoy en Colombia, 195 en Btá. No se puede tapar el sol con un reality. Esto se salió de madre. Btá…</t>
  </si>
  <si>
    <t>RT @pierrealee: En la #Guajira, era alguno de los territorios donde el narcotráfico del Ñeñe dominaba con la compra de votos para @IvanDuqu…</t>
  </si>
  <si>
    <t>Miren lo que está pasando con Bogotá: un verdadero desastre de la vida. Cuarentenas que no lo son, sin política so… https://t.co/ECguDZRVzK</t>
  </si>
  <si>
    <t>Ha sido capturado uno de los sicarios que asesinó a los dirigentes de Colombia Humana en Candelaria, Valle, quedan varios libres.</t>
  </si>
  <si>
    <t>RT @petrogustavo: Afirmé que la política de Duque, tanto en salud como social, llevaba a la población colombiana al matadero. Hoy tenemos 3…</t>
  </si>
  <si>
    <t>RT @ColProgresistas: Ya es hora de que el Congreso vuelva a la presencialidad, de ustedes depende, senadores de la Comisión I: @velascolui…</t>
  </si>
  <si>
    <t>A partir de mi pregunta se empezó a sacar esta estadística en Bogotá de muertes por covid por estratos sociales. La… https://t.co/KrHHew6AEy</t>
  </si>
  <si>
    <t>Esta dificil eso. Solo me capturarían por mis ideas políticas, porque no me he robado ni un peso ni matado a nadie, https://t.co/4Xgu3Ofs9Q</t>
  </si>
  <si>
    <t>RT @Matador000: Nada quisiera yo más que el arquitecto del Acuerdo de Paz con las Farc, Humberto de la Calle, y el candidato presidencial q…</t>
  </si>
  <si>
    <t>Cuántos familiares narcotraficantes tienen estas personas en estos trinos? https://t.co/FYL8K17Sok</t>
  </si>
  <si>
    <t>RT @ChalecosAmarill: 🗞🛑En #Bolivia Patricia Hermosa acusada de SEDICIÓN Y TERRORISMO por ser feja de gabinete de .@evoespueblo es liberada…</t>
  </si>
  <si>
    <t>RT @petrogustavo: Cuántos familiares narcotraficantes tienen estas personas en estos trinos? https://t.co/FYL8K17Sok</t>
  </si>
  <si>
    <t>Las EPS no son las dueñas de los laboratorios de pruebas, pero son las que los contratan y determinan la cantidad y… https://t.co/tNo64zCRf0</t>
  </si>
  <si>
    <t>Este es el mundo ante el covid, miren la tendencia de Colombia, el país en donde la enfermedad más crece en el mund… https://t.co/TAlXh1ulXx</t>
  </si>
  <si>
    <t>Mi querida senadora no tengo ningun vinculo con narcos, digame si usted no los tiene. https://t.co/8jNof9EwG1</t>
  </si>
  <si>
    <t>RT @petrogustavo: Este es el mundo ante el covid, miren la tendencia de Colombia, el país en donde la enfermedad más crece en el mundo. Es…</t>
  </si>
  <si>
    <t>RT @MariaMatusv: La pandemia es lo mejor que les pasó. Acaban con lo poco que queda del país y sin controles.Van a regalar el agua y oro a…</t>
  </si>
  <si>
    <t>La caída en un 32% de la economía de EEUU a pesar de la política de Trump de sacar la gente a la calle, muestra que… https://t.co/vDdJSCfQHe</t>
  </si>
  <si>
    <t>Trump, y Duque, creyeron que generando emisión en favor de la oferta: subsidio a banqueros y grandes empresarios, s… https://t.co/Ds7mBH3Ezk</t>
  </si>
  <si>
    <t>Colombia Humana propuso un plan de ayuda inmediata al hogar: cesar losnpagosbde mínimos vitales de servicios públic… https://t.co/fPbG0b3Aii</t>
  </si>
  <si>
    <t>Nuestra propuesta no solo garantizaba cuarentena estricta y por tanto cinco veces menos contagios y muertes de acue… https://t.co/SFK08uiwEz</t>
  </si>
  <si>
    <t>La carta sobre los acontecimientos del valle del rio Nus. Allí es donde se potenció el bloque metro del paramilitar… https://t.co/ldDyZYuD8o</t>
  </si>
  <si>
    <t>RT @InSightCrime_es: "El periodismo en Colombia no se puede hacer cuando se tiene siempre la amenaza de encarcelación encima de uno" @jerr…</t>
  </si>
  <si>
    <t>Con todo respeto Bruce, el que el presupuesto tenga un mayor gasto en defensa que en Salud en un país asolado por l… https://t.co/DvvjpQF2bB</t>
  </si>
  <si>
    <t>RT @petrogustavo: La caída en un 32% de la economía de EEUU a pesar de la política de Trump de sacar la gente a la calle, muestra que ña cr…</t>
  </si>
  <si>
    <t>Quise explicar como la política ya no se dividía en izquierda y derecha sino en una política para la vida y otra pa… https://t.co/9Fj8NafbUi</t>
  </si>
  <si>
    <t>Por la importancia histórica de este debate y sus consecuencias quiero dejarles la argumentación de @JERobledo sobr… https://t.co/5tMAnI6Ppd</t>
  </si>
  <si>
    <t>1. Afirma que no luchamos contra Peñalosa y su idea de demolicióndel San Juan Robledo olvida y no lo menciona, el… https://t.co/YEOcsLmNlG</t>
  </si>
  <si>
    <t>Con ese olvido craso de la sentencia en segunda instancia del tribunal administrativo de Cundinamarca, olvida no so… https://t.co/TDMjsihZon</t>
  </si>
  <si>
    <t>La sentencia del tribunal administrativo de Cundinamarca ordena el rescate y apertura del San Juan de Dios por fuer… https://t.co/OrVxRlTtnR</t>
  </si>
  <si>
    <t>RT @Betocoralg: El señor @petrogustavo indicó qué hay traquetos en las fuerzas militares. Yo no entiendo porque dice eso. Es inaudito. http…</t>
  </si>
  <si>
    <t>¿Cómo pueden haber en este momento UCIs al servicio de cirugías estéticas? https://t.co/0cbr4rj5bB</t>
  </si>
  <si>
    <t>RT @petrogustavo: Por la importancia histórica de este debate y sus consecuencias quiero dejarles la argumentación de @JERobledo sobre la d…</t>
  </si>
  <si>
    <t>3. Robledo esta confundido cuando habla de nuestra obras en 6.500 m2 en 2015 en el San Juan. Se hicieron para rest… https://t.co/N5gpt0IaiJ</t>
  </si>
  <si>
    <t>Este es Carlos Gutierrez Robayo, con quien me sindican falsamente de vínculos con SAAB y otros. Esta es su militanc… https://t.co/PZCWN1L4rs</t>
  </si>
  <si>
    <t>RT @DeCurreaLugo: Perdonen el pesimismo de hoy pero: Yo no veo una sociedad volcada en defender el derecho a la salud, en medio de una pand…</t>
  </si>
  <si>
    <t>RT @bogotamuyfirme: El 29 de junio cuando Bogotá tenía 658 muertos @ClaudiaLopez gritaba diciendo que los ventiladores “no se necesitaban q…</t>
  </si>
  <si>
    <t>La plata de esa bolsa, 20 millones, fue conseguido, y lo dijo bajo gravedad de juramento ante la corte suprema de j… https://t.co/9kPwDDWBae</t>
  </si>
  <si>
    <t>RT @petrogustavo: Este es Carlos Gutierrez Robayo, con quien me sindican falsamente de vínculos con SAAB y otros. Esta es su militancia pol…</t>
  </si>
  <si>
    <t>RT @Rodrigo_Lara_: Luchando contra la peligrosa ley que permite tramitar reformas virtuales que destruyan los acuerdos y la democracia Est…</t>
  </si>
  <si>
    <t>RT @RoyBarreras: Apoyo proposición de @temisortega de no pagar gastos de representación a los congresistas que sesionen virtualmente cómoda…</t>
  </si>
  <si>
    <t>RT @AndresCamiloHR: "por eso apoyo a @AngelicaLozanoC su decisión sobre las sesiones" dice @petrogustavo sobre la decisión de retirar propo…</t>
  </si>
  <si>
    <t>RT @CarolinaCorcho: Este es el número de contagios acumulados de acuerdo al CDC, y la mortalidad diaria por millón habitantes del worldmete…</t>
  </si>
  <si>
    <t>RT @Maximo_NoriegaR: ¿Por qué cuando se habla de traquetos los del Centro Democrático se dan por aludidos? #PetroDenunciaTraquetosPorque</t>
  </si>
  <si>
    <t>Hoy, solo un 26% de personas con intención de trabajar tienen un empleo formal. Ha llegado a lo más bajo el raquit… https://t.co/AnlizP1LtV</t>
  </si>
  <si>
    <t>Como lo hemos repetido desde hace meses, si el gobierno quiere reactivar la economía, debe dedicarse antes y profun… https://t.co/r9Esi8fWV2</t>
  </si>
  <si>
    <t>Este comparativo de Colombia con los países de Europa que más sufrieron la epidemia, Italia, Francia y España, que… https://t.co/hDCxZL42cp</t>
  </si>
  <si>
    <t>No señora no he dicho eso. He dicho que hoy todas las UCIs deben ser intervenidas por el Estado y puestas a disposi… https://t.co/nbUJWMGVF0</t>
  </si>
  <si>
    <t>Mi querido senador @JERobledo, el concepto de mincultura fue reformado en favor de no demoler, por el mismo ministe… https://t.co/6bfdiyvG5C</t>
  </si>
  <si>
    <t>Y de paso, el senador que más ha luchado por el san juan desde 1998 es el que le escribe a usted senador Robledo, a… https://t.co/aQcG87n3yL</t>
  </si>
  <si>
    <t>La vacuna contra el covid debe ser un bien público mundial. Colombia debe construir la gran coalición de países qu… https://t.co/nav7u0qhSA</t>
  </si>
  <si>
    <t>RT @QuinteroCalle: La captura de alias El Piloto, vinculado a terrorismo, narcotrafico, paramilitarismo, a la masacre del Aro y condenado a…</t>
  </si>
  <si>
    <t>Miren lo que pasa con Bogotá frente al covid. El progresismo debe llamar a rectificar la política de salud en la c… https://t.co/Zf5gSrCuu5</t>
  </si>
  <si>
    <t>Con el voto de Ivan Name del partido verde y del partido liberal la comisión primera acaba de aprobar que el Congre… https://t.co/BD73qAnzbV</t>
  </si>
  <si>
    <t>La comisión I empató en la proposición que exige que si los congresistas dejaban de viajar y se confinan en la virt… https://t.co/lW7uQEYjW5</t>
  </si>
  <si>
    <t>Mi padre no fue narcotraficante. https://t.co/LxMJTeslED</t>
  </si>
  <si>
    <t>RT @petrogustavo: Con el voto de Ivan Name del partido verde y del partido liberal la comisión primera acaba de aprobar que el Congreso de…</t>
  </si>
  <si>
    <t>RT @petrogustavo: La comisión I empató en la proposición que exige que si los congresistas dejaban de viajar y se confinan en la virtualida…</t>
  </si>
  <si>
    <t>RT @MafeCarrascal: Como no todo es lo que parece, paso a contarles que @AngelicaLozanoC se ausentó de la sesión previo aviso y a modo de pr…</t>
  </si>
  <si>
    <t>RT @MashiRafael: ¡Nunca se llevaron la esperanza! « Vamos a volver ». Maravillosa canción de artistas ecuatorianos. https://t.co/ykcS8548eI</t>
  </si>
  <si>
    <t>En otras partes del país si se puede recuperar hospitales. https://t.co/fFEx9371M9</t>
  </si>
  <si>
    <t>Si son 10 millones las familias en vulnerabilidad hoy, el giro del gobierno de ayudas solo da un promedio de 450.00… https://t.co/p3mIBLEurP</t>
  </si>
  <si>
    <t>Es coherente la cifra de colapso de cremación de cadáveres y cementerios con el "no colapsan las UCIs ni colpasarán… https://t.co/8WvCkRSIzx</t>
  </si>
  <si>
    <t>Bogota tendrá hoy más de 100.000 contagiados oficiales del virus, probablemente medio millón en realidad, una de la… https://t.co/SfYl8aah3y</t>
  </si>
  <si>
    <t>Los autores de las tres masacres en Norte de Santander: los Rastrojos, son los que se encargaraon de pasar a… https://t.co/2wFAyNIDs1</t>
  </si>
  <si>
    <t>RT @bogotamuyfirme: La Sra. @ClaudiaLopez no pudo traer los ventiladores pero tranquilos que las neveras ya están instaladas. 😔 Un #Madraz…</t>
  </si>
  <si>
    <t>Fuera que no había ninguna razón para insultar a Gustavo Bolívar, lo cierto es que Angélica actuó coherentemente an… https://t.co/XwjEcOsoAS</t>
  </si>
  <si>
    <t>Soad Louis Lakah</t>
  </si>
  <si>
    <t>RT @petrogustavo: Fuera que no había ninguna razón para insultar a Gustavo Bolívar, lo cierto es que Angélica actuó coherentemente anoche,…</t>
  </si>
  <si>
    <t>En el Cesar hubo un genocidio. Genocidio sobre sus indígenas, campesinos, juventudes. Muchos cesarenses votan una… https://t.co/df2JHMKcaI</t>
  </si>
  <si>
    <t>Ojalá el canto vallenato deje de lisonjear a los verdugos y vuelva a cantarle a esos campesinos masacrados. Ojalá… https://t.co/5tUBUy3fIt</t>
  </si>
  <si>
    <t>Este es el campesinado de Córdoba, tierra asolada por el paramilitarismo que llegó de la mano de la convivir. La e… https://t.co/0fzPANBpNW</t>
  </si>
  <si>
    <t>RT @heidy_up: Mientras tanto en Bogotá pretenden demoler estructura hospitalaria en plena época de pandemia. La adecuación sí es posible cu…</t>
  </si>
  <si>
    <t>RT @sandraborda: El golpe de ayer al estado de derecho no fue cualquier cosa: están usando la pandemia para ayudarle a un presidente inepto…</t>
  </si>
  <si>
    <t>Santos ha propuesto dos ejes de acuerdo nacional: la salud pública y la lucha contra el cambio climatico. Agrego l… https://t.co/pBEobvw6Vs</t>
  </si>
  <si>
    <t>Duque esta completamente equivocado y esa equivocación de salda con decenas de miles de muertos. Para reactivar la… https://t.co/sADXoe5Zaf</t>
  </si>
  <si>
    <t>Con Cartagena, La Habana es una de las ciudades más hermosas de América Su restaurador insigne ha muerto. Eusebio… https://t.co/ESdW55ixnv</t>
  </si>
  <si>
    <t>RT @petrogustavo: Santos ha propuesto dos ejes de acuerdo nacional: la salud pública y la lucha contra el cambio climatico. Agrego la educ…</t>
  </si>
  <si>
    <t>Comete @@JERobledo dos grandes errores. Descono que el decreto de mincultura que permitía demolición de la torre ce… https://t.co/hbEjlqZwha</t>
  </si>
  <si>
    <t>RT @lucianacadahia: Muy buen texto sobre qué es Petro para la sociedad colombiana y por qué su ejercicio de "decir veraz" resulta insoporta…</t>
  </si>
  <si>
    <t>Aunque no conozco el autor de este escrito, aquí hay una aplicación del análisis de Foucault sobre la Parresía al c… https://t.co/T6APX6kkUF</t>
  </si>
  <si>
    <t>El virus llego a las localidades populares de Bogotá, quienes hoy aportan la gran mayoría de los muertos, a través… https://t.co/yrHEa2jIc7</t>
  </si>
  <si>
    <t>RT @anateresabernal: Alcaldesa @ClaudiaLopez en nombre de millones de Bogotanos le pido ser consciente del momento crítico que vivimos en B…</t>
  </si>
  <si>
    <t>El irrespeto contra cualquier persona es irrespeto. Implica una violencia predeterminada.</t>
  </si>
  <si>
    <t>Los congresistas pretenden dejar de cumplir funciones presenciales, viajes etc, para que el gobierno pueda asumir s… https://t.co/XCnWu7CA11</t>
  </si>
  <si>
    <t>Pareciera que un sector de la sociedad, incluidos algunos izquierdistas con contrato, les parece que es criticable… https://t.co/XeUdnmIHRP</t>
  </si>
  <si>
    <t>RT @petrogustavo: Los congresistas pretenden dejar de cumplir funciones presenciales, viajes etc, para que el gobierno pueda asumir sin con…</t>
  </si>
  <si>
    <t>RT @petrogustavo: El virus llego a las localidades populares de Bogotá, quienes hoy aportan la gran mayoría de los muertos, a través de tra…</t>
  </si>
  <si>
    <t>De 2307 muertos por covid en Bogotá, 47 eran del estrato 5 y 6; y 1368 eran del estrato 1 y 2</t>
  </si>
  <si>
    <t>Solo 3 respiradores comprados por el distrito han ingresado a la ciudad y están en funcionamiento</t>
  </si>
  <si>
    <t>De los 2307 muertos por covid en Bogotá, 1593 fallecieron sin acceder a una unidad de cuidados intensivos.</t>
  </si>
  <si>
    <t>Pedí a la comisión primera que esperaran solo un tiempo para esperar la sentencia de la Corte Constitucional sobre… https://t.co/Gg37T1rzw1</t>
  </si>
  <si>
    <t>El voto presencial no puede ser impedido, a decenas de congresistas se nos ha impedido. La virtualidad solo puede… https://t.co/YZbIgLugGO</t>
  </si>
  <si>
    <t>La ley 5, que es el reglamento del Congreso, es una ley orgánica de mayoría calificada y parte del bloque de consti… https://t.co/F221Sd4XN9</t>
  </si>
  <si>
    <t>Le propongo al presidente del senado devolver el proyecto de reforma a la ley 5 sobre virtualidad del Congreso, par… https://t.co/sFmwn25WJM</t>
  </si>
  <si>
    <t>RT @petrogustavo: De 2307 muertos por covid en Bogotá, 47 eran del estrato 5 y 6; y 1368 eran del estrato 1 y 2</t>
  </si>
  <si>
    <t>RT @susanamuhamad: https://t.co/U3CJRVLoA5 Es muy duro decirlo: En Bogotá se llenaron primero los crematorios que Corferias. Estamos en el…</t>
  </si>
  <si>
    <t>Universidad del Huila en huelga de hambre. Hoy la gratuidad en la educación pública es un imperativo. Duque deje… https://t.co/nkQpmvhcQN</t>
  </si>
  <si>
    <t>Se ha entregado un billón de pesos a los operadores privados de transmilenio, cuando ese sistema debió quedarse qui… https://t.co/6xkZBJWf1P</t>
  </si>
  <si>
    <t>Ya deben haber núcleos de congresistas gobiernistas tratando de sacarle el quite a las consecuencias de la sentenci… https://t.co/iNcdFbng9o</t>
  </si>
  <si>
    <t>Querido senador @JERobledo, entiendo su defensa de la actual alcaldia y su intension de demoler el San juan de Dio… https://t.co/DhU9SxwjGQ</t>
  </si>
  <si>
    <t>Mi querido senador Sanguino, defienda el hospital San juan de Dios por favor. https://t.co/wulf0mJkie</t>
  </si>
  <si>
    <t>Tengan toda la seguridad que frente al virus la casa es muchísimo menos peligrosa que el transporte. Quienes afirm… https://t.co/XtjGHaka6X</t>
  </si>
  <si>
    <t>RT @YoAlejoV: Por favor, que esto no pase desapercibido: acá los congresistas que votaron para que no se les disminuyera los 14 millones de…</t>
  </si>
  <si>
    <t>Los gestores de convivencia son una institución creada por el.progresismo bogotano para no usar la fuerza bruta en… https://t.co/MAFKR7rW3o</t>
  </si>
  <si>
    <t>Como el nuevo decreto de mincultura expedido el 26 de diciembre del 2019 no permite la demolición de la torre centr… https://t.co/2PXqu4DzWL</t>
  </si>
  <si>
    <t>Querido senador Sanguino lo invito, le suplico, le ruego, hagamos una gavilla por salvar el Hospital san juan de Di… https://t.co/PsuSKyyqmy</t>
  </si>
  <si>
    <t>La transición a la que usted se refiere es de PEP a PEMP, pero no opera para el san Juan dado que se contrató un PE… https://t.co/UrhkROJZFJ</t>
  </si>
  <si>
    <t>RT @petrogustavo: Ya deben haber núcleos de congresistas gobiernistas tratando de sacarle el quite a las consecuencias de la sentencia de l…</t>
  </si>
  <si>
    <t>RT @FuerteTrino: Frank Holguin era el papá de la senadora Paola Holguín, el señor Holguín fue procesado por el delito de narcotráfico y se…</t>
  </si>
  <si>
    <t>RT @NanyPardo: @IvanDuque, quien a diario nos pide que NO DESPIDAMOS a nuestros empleados en medio de esta pandemia y de esta crisis económ…</t>
  </si>
  <si>
    <t>El uribismo, y en eso ha arrastrado al país, es un propuesta política cimentada en la extracción minera. Por eso e… https://t.co/b0DzOGHB04</t>
  </si>
  <si>
    <t>Nuestra propuesta hecha desde marzo frente al virus de abandonar el sistema de EPS y construir un modelo preventivo… https://t.co/sP2ay23mLC</t>
  </si>
  <si>
    <t>Querido senador Sanguino, ya que no acepta ser de la gavilla de los defensores del san Juan, solo le pido que lea e… https://t.co/bfiOdGAvRH</t>
  </si>
  <si>
    <t>RT @petrogustavo: Nuestra propuesta hecha desde marzo frente al virus de abandonar el sistema de EPS y construir un modelo preventivo a fon…</t>
  </si>
  <si>
    <t>En Ecuador como en Colombia se ha impedido que la principal fuerza de oposición se pueda expresar en elecciones y t… https://t.co/8GheeyA09E</t>
  </si>
  <si>
    <t>Así es el irracionalismo político Ese irracionalismo es el que destruye la posibilidad de la paz en Colombia. https://t.co/4gcpyOatcO</t>
  </si>
  <si>
    <t>RT @susanamuhamad: Senador @AntonioSanguino el plan del San Juan no es de @ClaudiaLopez si no de @EnriquePenalosa la alcaldesa no propone o…</t>
  </si>
  <si>
    <t>RT @ma_eugeniam: ARTíCULO 23° de Decreto 2358-2019, dice "Vigencia. El presente decreto rige a partir de la fecha de su publicación en el D…</t>
  </si>
  <si>
    <t>Mi propuesta es dejar de operar con la ley 100 frente al virus, lo cual se puede hacer vía decretos de pandemia. F… https://t.co/EaKxqrKeGu</t>
  </si>
  <si>
    <t>Quien le pidió a la corte constitucional que se declarara exequible el articulo 12, de su decreto, es decir que el… https://t.co/fC6A1u4J13</t>
  </si>
  <si>
    <t>El 31 de dic del 2015 me despedí de la alcaldia con rueda de prensa desde el área recuperada del san Juan de Dios… https://t.co/D4yLrCXaqK</t>
  </si>
  <si>
    <t>La ministra Garces echó a la basura la ley y un Plan de Manejo que duró dos años en elaboración hecho por expertos… https://t.co/5zK9T691t0</t>
  </si>
  <si>
    <t>El ministerio de cultura arrepentido, cambio la norma de la ministra Garces, produciendo un nuevo decreto expedido… https://t.co/f2luuQ5xhC</t>
  </si>
  <si>
    <t>El que sin siquiera haberse posesionado Morales ya buscase como desaparecer el San Juan de Dios, muestra el odio in… https://t.co/ZdJ3WZUJxF</t>
  </si>
  <si>
    <t>Recuerde Alejandro, como la construcción del programa " territorios saludables" logró mil equipos de salud haciendo… https://t.co/f09CF8IZsB</t>
  </si>
  <si>
    <t>¿Explíquenos doctor, por qué un modelo preventivo de salud generaría una crisis peor frente al covid que el actual? https://t.co/emIlLQJ75Q</t>
  </si>
  <si>
    <t>Mi querido amigo Oscar, cuando recibí la alcaldía, la red pública hospitalaria de Bogota tenía 270.000 millones de… https://t.co/jM2iOa7aMi</t>
  </si>
  <si>
    <t>He leido sus opiniones, se que ha querido mantener la ley 100 a pesar de muchos de los hechos que ha producido y me… https://t.co/y2zvZzWYvg</t>
  </si>
  <si>
    <t>RT @ma_eugeniam: Este es importante proyecto urbano, patrimonial y de salud, senador @AntonioSanguino. El PEMP de @UNALOficial trazó una…</t>
  </si>
  <si>
    <t>RT @AndresCamiloHR: Le solicito a @TwitterLatAm restablecer la cuenta de @JulianFMartinez, la libertad de prensa y de expresión debe respet…</t>
  </si>
  <si>
    <t>El enorme negocio de la financiación del Centro Democrático por grandes corporaciones privadas, que se apropian del… https://t.co/32nU3EVIxS</t>
  </si>
  <si>
    <t>El alcalde de Buenaventura fue elegido por la coalicion del Polo Democrático y Colombia Humana/UP, la alcaldía fue… https://t.co/8z5vIJpyQb</t>
  </si>
  <si>
    <t>RT @yesith53736319: Siento miedo de morir . Me e tratado los síntomas en casa porque soy médico . La eps no me hace seguimiento , nunca me…</t>
  </si>
  <si>
    <t>Esto es una gran mentira. El.crecimiento económico de 2019 fue el aumento de ventas ambulantes por la llegada de lo… https://t.co/k8dPyPiTcR</t>
  </si>
  <si>
    <t>En Italia es un gran escándalo la muerte de Mario Paciolla en el Caquetá, miembro de una ONG que trabaja por la paz… https://t.co/VLpVXjBJKK</t>
  </si>
  <si>
    <t>RT @lanuevaprensaco: Informamos que la cuenta de @TwitterLatAm del periodista @JulianFMartinez ha sido arbitrariamente restringida</t>
  </si>
  <si>
    <t>La danza de la.muerte se instala en Colombia y a ella nos invitaron de manera premeditada los dueños de un poder qu… https://t.co/pfVUOPTFaw</t>
  </si>
  <si>
    <t>RT @anateresabernal: @luismorales0621 @petrogustavo No es invento @luismorales0621. Aquí las redes para oxígeno y conexión para 38 camas co…</t>
  </si>
  <si>
    <t>Esto de uribistas llamando a alzarse en armas es una redundancia, desde hace décadas hay personas uribistas alzadas… https://t.co/HSOYmyGlwT</t>
  </si>
  <si>
    <t>Hoy les presento un resumen de la columna que entregué a la internacional Progresista sobre el mundo , el mercado y… https://t.co/kF0SIPcIfT</t>
  </si>
  <si>
    <t>RT @GustavoBolivar: ¿Por qué más de 100 empresas han donado en 3 años casi 70 mil millones de pesos al Centro Democrático? Fácil. Porque es…</t>
  </si>
  <si>
    <t>RT @petrogustavo: El alcalde de Buenaventura fue elegido por la coalicion del Polo Democrático y Colombia Humana/UP, la alcaldía fue agredi…</t>
  </si>
  <si>
    <t>RT @petrogustavo: El enorme negocio de la financiación del Centro Democrático por grandes corporaciones privadas, que se apropian del Estad…</t>
  </si>
  <si>
    <t>RT @petrogustavo: Hoy les presento un resumen de la columna que entregué a la internacional Progresista sobre el mundo , el mercado y la pa…</t>
  </si>
  <si>
    <t>La politica de Duque sobre la pandemia es la de Trump y Bolsonaro, pero aquí lal llamamos, típicamente a la colombi… https://t.co/BdMT69jEyO</t>
  </si>
  <si>
    <t>RT @alexbernalradio: Mientras Petro rogaba por el uso del tapabocas y la adecuación inmediata de hospitales, la corrupta @ClaudiaLopez nega…</t>
  </si>
  <si>
    <t>Aquí nos describen como se esta desarrollando un enorme mercado especulativo sobre la vacuna del covid financiado c… https://t.co/RcrQFNBilB</t>
  </si>
  <si>
    <t>Manguito hoy es senador porque hay una enorme presión política para impedir que Colombia Humana recupere su curul.… https://t.co/Pzue5HTvPk</t>
  </si>
  <si>
    <t>RT @ColProgresistas: Exigimos protección para el alcalde de Buenaventura, Víctor Vidal (@granvidaaal) debido al atentado que se lanzó anoch…</t>
  </si>
  <si>
    <t>¿Qué es mejor exportar servicios médicos o exportar materias primas fósiles? ¿exportar investigación medica o expor… https://t.co/XXQmM669uz</t>
  </si>
  <si>
    <t>RT @GiordanoBrunoFi: En ciencia política se llama "gatopardista" o "lampedusiano" al político cosmético, que insta a una transformación pol…</t>
  </si>
  <si>
    <t>Hoy pasamos a Irán y nos convertimos en el 10 país del mundo en contagiados del virus, detrás de España Hay quiene… https://t.co/xaRxFYNCk8</t>
  </si>
  <si>
    <t>No tuvimos el San Juan de Dios en mis cuatro años de gobierno, Sr mentiras. Solo desde el 2014 que lo compramos. E… https://t.co/rcDxaaW1bz</t>
  </si>
  <si>
    <t>RT @petrogustavo: Hoy pasamos a Irán y nos convertimos en el 10 país del mundo en contagiados del virus, detrás de España Hay quienes aun…</t>
  </si>
  <si>
    <t>Desde mañana comenzamos un dialogo con la Colombia Humana en las regiones desde nuestra plataforma La plataforma… https://t.co/BRJOGblACV</t>
  </si>
  <si>
    <t>RT @ProgIntl_ES: Los Miembros del Consejo de la IP — @AliciaCastroAR, @EliGAlcorta, @GarciaLinera, @yanisvaroufakis, entre ellos — han escr…</t>
  </si>
  <si>
    <t>Mi entrevista para el Celag. Una mirada al progresismo latinoamericano. https://t.co/ZUAVoEnM8f</t>
  </si>
  <si>
    <t>En la campaña presidencial la policía de Cúcuta me llevó exactamente al sitio donde me iban a hacer el.atentado, y… https://t.co/kRbZOBoC3b</t>
  </si>
  <si>
    <t>A Uribe no se le persigue por perseguir a las farc. A Uribe se le investiga judicialmente por presuntamente comete… https://t.co/KchC6R1fy2</t>
  </si>
  <si>
    <t>Un camión recogiendo un cadáver de la calle en Bosa, Bogotá. Aun pretenden defender la ley 100 en esta catástrofe https://t.co/3LDh58VMV4</t>
  </si>
  <si>
    <t>Que el ministerio del medio ambiente de Duque este hoy defendiendo urbanizar la coneccion de la reserva Thomas Van… https://t.co/rSAQE4VVV7</t>
  </si>
  <si>
    <t>RT @BogotaLogica: Robledo también parece perdido con el tema. El plazo de 10 es años es para una revisión del PEMP, el argumento no es es…</t>
  </si>
  <si>
    <t>Si tuviéramos prensa independiente, le estarían preguntando bajo qué concepto la ministra de Cultura Garcés, varió… https://t.co/sXsQTv39oZ</t>
  </si>
  <si>
    <t>RT @heidy_up: El cadáver de un hombre completa 40 horas en la casa donde falleció. Al drama de la familia Castillo en Jerusalén, Ciudad Bol…</t>
  </si>
  <si>
    <t>La renuencia de la dictaforura boliviana para posponer las elecciones ha llevado a Bolivia a una situación insurrec… https://t.co/RHyJDo8EG8</t>
  </si>
  <si>
    <t>La movilizacion popular boliviana en tiempos de pandemia. Marchas con distanciamiento físico. La dictadura tambale… https://t.co/R1PFDt7V0b</t>
  </si>
  <si>
    <t>RT @JMVivancoHRW: ¿Será que el Centro Democrático quisiera que Colombia fuera como Venezuela? En el régimen chavista los jueces siempre f…</t>
  </si>
  <si>
    <t>RT @MovNaranja3: Decir que Uribe es inocente porque fue "buen presidente" es lo mismo que afirmar que Pablo Escobar no era un asesino narco…</t>
  </si>
  <si>
    <t>En Europa se restringió la distribución de dividendos de los bancos, la parte de las utilidades bancarias que va di… https://t.co/kQi4ArAS0u</t>
  </si>
  <si>
    <t>El rey de España huye de España. Juan Carlos de Borbón se va de su país escapando de juicios por su corrupción.</t>
  </si>
  <si>
    <t>Estalla la huelga general indefinida en todo Bolivia. https://t.co/59CFnc3KIu</t>
  </si>
  <si>
    <t>Anuncian los rusos que desarrollaron una vacuna contra el covid19 hasta ahora, 100% exitosa. LA OMS debería compra… https://t.co/OX89uZYBHM</t>
  </si>
  <si>
    <t>Lo que están haciendo desde el centro Democrático y algunos periodistas, que en realidad no lo son, es tratar de am… https://t.co/d7ZsPXy0za</t>
  </si>
  <si>
    <t>Mafia y política en antioquia. El clan Suárez Mira ligado al paramilitarismo y la extorsión masiva sobre la poblac… https://t.co/ssvUPj7FZ8</t>
  </si>
  <si>
    <t>Estaremos con la Colombia Humana en Córdoba y Sucre hoy. Los esperamos. https://t.co/zLlHHCYwaE</t>
  </si>
  <si>
    <t>RT @MyBolivia: 🔥 #EleccionesYa 🔥 Contundentes Bloqueos de caminos en toda Bolivia 🇧🇴, en defensa de la Salud, la Vida y la Democracia de lo…</t>
  </si>
  <si>
    <t>RT @nic_melcocha: ⚜️Now City of ORURO is saying here we are! Social sectors of the municipality of Caracollo join the indefinite blockade #…</t>
  </si>
  <si>
    <t>RT @ChalecosAmarill: 🎥🛑Cateriano hablando, los pueblos indígenas de Loreto luchando. 🔻¡50 años de muerte, desolación e indiferencia deben…</t>
  </si>
  <si>
    <t>RT @wilflorez: Córdoba y Sucre deberían ser de las regiones más ricas del país. Pero han tenido un sistema político que ha ordeñado a la ge…</t>
  </si>
  <si>
    <t>RT @AndresCamiloHR: EN VIVO | El Senador Gustavo Petro dialoga con las regiones, hoy el turno es para Sucre y Córdoba. Puede usted ver la…</t>
  </si>
  <si>
    <t>RT @SalvemosLaUN: La escritora Carolina Sanín pide matrícula cero y mínimo vital para los y las estudiantes de la Universidad Nacional y su…</t>
  </si>
  <si>
    <t>RT @Ivan_Velasquez_: ¿Entonces la extrema derecha va a seguir utilizando a las FARC para justificar sus crímenes?</t>
  </si>
  <si>
    <t>RT @ismene2: Ve, en octubre se empieza a distribuir gratuitamente la vacuna en la Argentina. Aquí los que firmaron el acuerdo. https://t.co…</t>
  </si>
  <si>
    <t>Prsecussion sistematica desde el estado es la que he sufrido y la Colombia Hunana. https://t.co/tL1Oy5B2RD</t>
  </si>
  <si>
    <t>RT @Nessnio: Cuando @petrogustavo propuso desobediencia civil, refiriéndose a no pagar servicios públicos en medio de pandemia, casi lo lin…</t>
  </si>
  <si>
    <t>El piloto oficial de la campaña de Ivan Duque ha desaparecido en Guatemala en un vuelo transportando cocaína del ca… https://t.co/BeCBgpUdMN</t>
  </si>
  <si>
    <t>Sandra Suárez siendo ministra fue la responsable mediante decretonla de intentar urbanizar de los cerros orientale… https://t.co/Kc4v9XAUVE</t>
  </si>
  <si>
    <t>Este es el piloto oficial de la campaña de Duque a la presidencia. Acaba de desaparecer en un vuelo que piloteaba t… https://t.co/TZscbkG59b</t>
  </si>
  <si>
    <t>RT @lanuevaprensaco: 🔴ATENCIÓN: Primicia en @lanuevaprensaco 🛎 Piloto de campaña de Iván Duque y de confianza de Álvaro Uribe desapareció…</t>
  </si>
  <si>
    <t>RT @petrogustavo: El piloto oficial de la campaña de Ivan Duque ha desaparecido en Guatemala en un vuelo transportando cocaína del cartel d…</t>
  </si>
  <si>
    <t>Señor Ivan Duque, respete la Justicia de Colombia.</t>
  </si>
  <si>
    <t>RT @petrogustavo: Este es el piloto oficial de la campaña de Duque a la presidencia. Acaba de desaparecer en un vuelo que piloteaba transpo…</t>
  </si>
  <si>
    <t>Cuando un director de prensa es en realidad un propagandista político https://t.co/lZn6qVpA63</t>
  </si>
  <si>
    <t>Este es el piloto de Duque y del Centro democrático que transportaba cocaína del cartel de Sinaloa. La mentalidad… https://t.co/L2FYqgw0TF</t>
  </si>
  <si>
    <t>184, países del mundo manejaron mejor la epidemia que Colombia El sistema de salud por no ser preventivo y su afán… https://t.co/OQU8A6dznR</t>
  </si>
  <si>
    <t>Todo el traquetismo nacional salió a apoyar a Duque y Uribe en la campaña. Veían en el proyecto de la Colombia Hum… https://t.co/tnIJahxjAn</t>
  </si>
  <si>
    <t>Con nuestra participación, la de otras fuerzas políticas, los gremios médicos y organizaciones sociales y sindicale… https://t.co/zfAV1qhxU6</t>
  </si>
  <si>
    <t>El rey de España Juan Carlos, huye de España para no ser juzgado La prensa colombiana lo oculta, uno de esos delit… https://t.co/FOqqppEDLB</t>
  </si>
  <si>
    <t>Murió por el covid, que el gobierno no supo controlar , mama Franca, líder Wayuu, clave en la compra de votos de Du… https://t.co/WBjl8Oqu4w</t>
  </si>
  <si>
    <t>RT @petrogustavo: El rey de España Juan Carlos, huye de España para no ser juzgado La prensa colombiana lo oculta, uno de esos delitos es…</t>
  </si>
  <si>
    <t>EL rey se exilia por los sobornos que recibió de empresa española por hacer trenes en Arabia Saudita. Copasa es l… https://t.co/qpMmULOm5h</t>
  </si>
  <si>
    <t>Miren ustedes. Dijimos que el metro no comenzaría este año, porque no tiene estudios de ingeniería de detalle que d… https://t.co/CivbKL8W2h</t>
  </si>
  <si>
    <t>El ministro de defensa y el piloto del cartel de Sinaloa. https://t.co/HvqcwXgDqQ</t>
  </si>
  <si>
    <t>El piloto del cartel de Sinaloa y la senadora María Fernanda Cabal. https://t.co/gnH7E1GzfU</t>
  </si>
  <si>
    <t>El piloto del cartel de Sinaloa le donó a la campaña de Alvaro Uribe Velez, pero en el @CNE_COLOMBIA el delito es q… https://t.co/5rcgeqOJv2</t>
  </si>
  <si>
    <t>RT @elsemblante: -Piloto oficial narco -Presidente puesto por narco -Embajador narco -Vicepresidenta con familia narco -Senadores con fami…</t>
  </si>
  <si>
    <t>La Presidencia de la República fe Colombia se permite invitar a sus posesión al piloto del cartel de Sinaloa. Se se… https://t.co/27Rwy4oFJN</t>
  </si>
  <si>
    <t>Dije en esta campaña que los carteles mexicanos se adueñaban del narcotráfico en Colombia y que eso iba a traer más… https://t.co/u58ysSnAWu</t>
  </si>
  <si>
    <t>Una masacre sobre el pueblo indígena en Santander de Quilichao, Cauca. Los carteles de Sinaloa y otros actúan mata… https://t.co/VVqLXurED4</t>
  </si>
  <si>
    <t>RT @MaPaulaFonseca: Senador @AntonioSanguino en este video quien hizo la valoración de patrimonio del H. San Juan de Dios asegura que nunca…</t>
  </si>
  <si>
    <t>RT @AndresCamiloHR: Aquí tienes a Carlos Gutierrez. https://t.co/eDlHiOVXf3</t>
  </si>
  <si>
    <t>RT @petrogustavo: El piloto del cartel de Sinaloa le donó a la campaña de Alvaro Uribe Velez, pero en el @CNE_COLOMBIA el delito es que hum…</t>
  </si>
  <si>
    <t>RT @ma_eugeniam: No es cierto, senadora @AngelicaLozanoC. El Consejo Nacional de Patrimonio Cultural no emite autorizaciones de demolición.…</t>
  </si>
  <si>
    <t>¿Y que sector de la prensa puede decir que no hay que comprar testigos falsos para meter presos a los líderes de la… https://t.co/fCZr2BRR5e</t>
  </si>
  <si>
    <t>RT @ismene2: Ve, imaginar que un particular recopile acusaciones falsas para lograr que se condene a un inocente es terrible. Imaginar que…</t>
  </si>
  <si>
    <t>La prensa colombiana por salvar a Uribe, trata de normalizar el delito de buscar encarcelar con testimonios falsos… https://t.co/FKkKpiFYXA</t>
  </si>
  <si>
    <t>RT @petrogustavo: La prensa colombiana por salvar a Uribe, trata de normalizar el delito de buscar encarcelar con testimonios falsos a quie…</t>
  </si>
  <si>
    <t>RT @rogerdouglascm: No todos los uribistas son traquetos, pero indudablemente, TODOS los traquetos SON uribistas: Twiterland https://t.co/N…</t>
  </si>
  <si>
    <t>RT @Nessnio: Cuando @petrogustavo propuso desobediencia civil desde el confinamiento, los medios prepago @CaracolTV @CanalRCN @BluRadioCo @…</t>
  </si>
  <si>
    <t>Porque el piloto traqueto de Duque públicamente hablaba sobre fumigar y fumigar y contra la Jep? Simple, a los tra… https://t.co/Xxi33RVIvD</t>
  </si>
  <si>
    <t>Más vale el agua que el oro. La pérdida de agua para dos millones de habitantes tiene un costo muchísimo mayor que… https://t.co/ltte1zXKTU</t>
  </si>
  <si>
    <t>¿Cómo es posible que se haga un plan que contempla la necesidad de 4.000 respiradores por la alcaldesa y esta compr… https://t.co/Vhp34IYpl6</t>
  </si>
  <si>
    <t>Copasa ha sobornado en Madrid, en Arabia Saudita, tiene líos judiciales en Argentina, Uruguay, España. ¿Será que e… https://t.co/4bkSLGGNKO</t>
  </si>
  <si>
    <t>Jorge Muñoz, el amigo de la Paz en el Cauca, ha muerto. https://t.co/J0yGPTCIzB</t>
  </si>
  <si>
    <t>El piloto del cártel de Sinaloa era en realidad un activista de confianza del uribismo. Todo el traquetismo nacion… https://t.co/XdZfza8FbG</t>
  </si>
  <si>
    <t>Sr secretario de gobierno, están botando 1,7 billones en desaparecer un hospital y privatizar otros El hospital de… https://t.co/IMxVbXCGin</t>
  </si>
  <si>
    <t>Durante meses se silenció en la prensa colombiana quien era el piloto de esta avioneta accidentada en Guatemala, ll… https://t.co/uyvWx0yZr0</t>
  </si>
  <si>
    <t>RT @petrogustavo: Copasa ha sobornado en Madrid, en Arabia Saudita, tiene líos judiciales en Argentina, Uruguay, España. ¿Será que el cont…</t>
  </si>
  <si>
    <t>Copasa como OHL hace parte del consorcio que construye la linea férrea de alta velocidad a La Meca en arabia Saudit… https://t.co/zd3fNyLsl0</t>
  </si>
  <si>
    <t>Hay conversaciones entre Shahpari y Carolina Larssen, la amante del rey Juan Carlos, que investiga hoy la justicia.… https://t.co/byJBWb1uCM</t>
  </si>
  <si>
    <t>La opinión pública debe saber que en el centro de la investigación de sobornos multimillonarios al rey Juan carlos.… https://t.co/tpFq77FNrb</t>
  </si>
  <si>
    <t>Copasa expresó que le habían robado documentos para intentar ocultar su papel en los sobornos al rey en los contrat… https://t.co/gH2iK8gb56</t>
  </si>
  <si>
    <t>Cuantas ganas de sacarme de la lucha política y de mis derechos fundamentales. Porque tres profesoras aportaron 365… https://t.co/ysXRc2V3uo</t>
  </si>
  <si>
    <t>RT @melbaes: Me parece muy difícil confiar en @petrogustavo, un político que capitaliza la desgracia a su favor en tiempos de crisis. Ojalá…</t>
  </si>
  <si>
    <t>Qué tal? como si la desgracia no hubiera sido producida políticamente. Como si el nivel de la muerte no estuviera e… https://t.co/JGJxFxAjcA</t>
  </si>
  <si>
    <t>RT @petrogustavo: Cuantas ganas de sacarme de la lucha política y de mis derechos fundamentales. Porque tres profesoras aportaron 365.000 p…</t>
  </si>
  <si>
    <t>RT @petrogustavo: La opinión pública debe saber que en el centro de la investigación de sobornos multimillonarios al rey Juan carlos. Y por…</t>
  </si>
  <si>
    <t>Medida de aseguramiento contra Alvaro uribe Velez. Cualquiera que sea el desarrollo de ese proceso. colombia debe… https://t.co/3lx78YJG72</t>
  </si>
  <si>
    <t>RT @MafeCarrascal: Está circulando una foto de @JERobledo con Samuel Niño, el piloto del narco, tratando de vincularlo con él, pero no, no…</t>
  </si>
  <si>
    <t>RT @petrogustavo: Medida de aseguramiento contra Alvaro uribe Velez. Cualquiera que sea el desarrollo de ese proceso. colombia debe respet…</t>
  </si>
  <si>
    <t>Hacia tiempo no veia noticieros de televisión. He prendido @CaracolTV y en media hora no he visto hablar sino aboga… https://t.co/njPRKAFOv4</t>
  </si>
  <si>
    <t>Sergio, que no me siento en guerra así que no tengo victorias de guerra. Me parece más bien que a la Corte Suprema… https://t.co/kEH07WFKGj</t>
  </si>
  <si>
    <t>La sala de instrucción de la Corte Suprema de Justicia no es de izquierda y no destruye al país. A la izquierda en… https://t.co/kxXWV9UkIg</t>
  </si>
  <si>
    <t>RT @petrogustavo: Hacia tiempo no veia noticieros de televisión. He prendido @CaracolTV y en media hora no he visto hablar sino abogados de…</t>
  </si>
  <si>
    <t>¿Que si me siento contento? No Nunca me ha producido satisfacción que una persona pierda su libertad. No seria un… https://t.co/1Ks5EmnFWO</t>
  </si>
  <si>
    <t>La Corte Suprema debe ser protegida y respetada. Parte del acuerdo Nacional que propongo es la de un justicia fuer… https://t.co/NVwayVYGKq</t>
  </si>
  <si>
    <t>Ojo con el vuelo, ahora buscarán restos humanos de vuelos accidentados que no correspondan con el piloto, para deci… https://t.co/6sePs172xV</t>
  </si>
  <si>
    <t>RT @petrogustavo: ¿Que si me siento contento? No Nunca me ha producido satisfacción que una persona pierda su libertad. No seria un democr…</t>
  </si>
  <si>
    <t>Esta frase solo puede significar que se considera a los magistrados de la Corte Suprema de Justicia como parte de u… https://t.co/rN6Tw0qBNx</t>
  </si>
  <si>
    <t>A Santrich mi querido amigo lo liberaron las argucias del fiscal Néstor Humberto Martínez y su propia ineficacia.… https://t.co/Ztf3XDhRRc</t>
  </si>
  <si>
    <t>Mi querido periodista, a Uribe no lo ponen preso por perseguir a la guerrilla, sino por intentar poner preso un sen… https://t.co/c9vfBL8mkh</t>
  </si>
  <si>
    <t>Si hay cacerolazo hoy, que sea para rodear a la Corte Suprema de Justicia.</t>
  </si>
  <si>
    <t>Con estoicismo, a pesar de su enfermedad, quizás causada por el ataque, Iván Cepeda resistió. Hijo de un senador de… https://t.co/WKj9fJeodK</t>
  </si>
  <si>
    <t>RT @RevistaSemana: Ante la decisión de la Corte Suprema de Justicia de ordenar casa por cárcel para Álvaro Uribe Vélez, el senado @petrogus…</t>
  </si>
  <si>
    <t>RT @petrogustavo: Con estoicismo, a pesar de su enfermedad, quizás causada por el ataque, Iván Cepeda resistió. Hijo de un senador de la UP…</t>
  </si>
  <si>
    <t>RT @petrogustavo: Si hay cacerolazo hoy, que sea para rodear a la Corte Suprema de Justicia.</t>
  </si>
  <si>
    <t>RT @susanamuhamad: Cacerolazo 🥘 en Teusaquillo. #YoRodeoaLaCorte https://t.co/V6KdMXaVCM</t>
  </si>
  <si>
    <t>RT @jerojasrodrigue: Cacerolazo por democracia, paz y justicia a esta hora en el centro de Bogotá. #Porfin https://t.co/DgZiOnt8NY</t>
  </si>
  <si>
    <t>RT @MafeCarrascal: Me reporta @DeCurreaLugo desde Chapinero #CacerolazoNacional en apoyo a la separación de poderes, a las decisiones de la…</t>
  </si>
  <si>
    <t>RT @Bogota__DC: Suenan cacerolas en el centro de Bogotá. https://t.co/lidsPJ2Adg</t>
  </si>
  <si>
    <t>Cacerolazo en Bogotá por #YoRodeoALaCorte https://t.co/kItthEMwr7</t>
  </si>
  <si>
    <t>RT @ChalecosAmarill: 🎥🛑En #Colombia sigue el cacerolazo por democracia, paz y justicia a esta hora en el centro de Bogotá. #Porfin Álvaro…</t>
  </si>
  <si>
    <t>RT @undermyskin_02: @ChalecosAmarill @petrogustavo https://t.co/g8JXJ5DeHn</t>
  </si>
  <si>
    <t>Un fascio juvenil https://t.co/z8eQUUd1M0</t>
  </si>
  <si>
    <t>#YoRodeoALaCorte https://t.co/8pez2e7NPZ</t>
  </si>
  <si>
    <t>Vamos por un cacerolazo nacional por #YoRodeoALaCorte 8 pm</t>
  </si>
  <si>
    <t>fascios en las calles #YoRodeoALaCorte https://t.co/oYIX51CCaH</t>
  </si>
  <si>
    <t>RT @BluRadioCo: #Video A esta hora se presenta una manifestación en el centro de Bogotá de personas que apoyan la decisión de la Corte Supr…</t>
  </si>
  <si>
    <t>RT @nanasalazar: @Santialarconu Aquí aplaudiendo la Justicia!!! https://t.co/5a6aTutuA5</t>
  </si>
  <si>
    <t>RT @petrogustavo: Vamos por un cacerolazo nacional por #YoRodeoALaCorte 8 pm</t>
  </si>
  <si>
    <t>RT @MafeCarrascal: Aplauso para las cortes, aplauso para la @CorteSupremaJ, porque pase lo que pase queremos que sepan que apoyamos decisio…</t>
  </si>
  <si>
    <t>RT @LauroBeltran: @Santialarconu @JulianRoman Presentes 👏🏼#AplausoALaJusticia https://t.co/jAhAhnl2ui</t>
  </si>
  <si>
    <t>RT @MafeCarrascal: En Suba a esta hora #CacerolazoNacional #AplausoALaJusticia https://t.co/cNAmEAUi0Q</t>
  </si>
  <si>
    <t>RT @anatalia515: #CacerolazoNacional #AplausoALaJusticia Acá sóla desde Garagoa - Boyacá, pero uniéndome a cada rincón del país que a esta…</t>
  </si>
  <si>
    <t>RT @BLUPacifico: #Video En la plazoleta de San Francisco, en el centro de #Cali, un grupo de personas celebran la decisión de la Corte Supr…</t>
  </si>
  <si>
    <t>RT @Col_Informa: #AplausoALaJusticia👏🔥| Continúan llegando más personas a pronunciarse a favor de la decisión de la Corte Suprema de ordena…</t>
  </si>
  <si>
    <t>RT @WRadioColombia: @AlvaroUribeVel Con cacerolas y carteles manifestantes apoyan la decisión de la Corte contra @AlvaroUribeVel &gt;&amp;gt; https:/…</t>
  </si>
  <si>
    <t>RT @AgenciaAnadolu: 🔴 [EN VIDEO] Imágenes de ciudadanos que respaldan la decisión de la Corte Suprema de Justicia de enviar a prisión preve…</t>
  </si>
  <si>
    <t>RT @WRadioColombia: En Popayán, ciudadanos se reunieron en la Plazoleta de San Francisco para respaldar la decisión de la Corte Suprema de…</t>
  </si>
  <si>
    <t>Por aquí comenzó el debate que hice en el 2007 sobre la hacienda Guacharacas de Uribe, que profundizó Ivan cepeda y… https://t.co/tQH80E0pgi</t>
  </si>
  <si>
    <t>Por aquí comenzó el debate que hice en el 2007 sobre la hacienda Guacharacas de Uribe, que profundizó Ivan cepeda y… https://t.co/ylGa7d1Gez</t>
  </si>
  <si>
    <t>Si Duque cae en la histeria de su partido terminará en renuncia. Esta no es la hora de acabar con la Justicia sino… https://t.co/xSNhj1Sffh</t>
  </si>
  <si>
    <t>Colombia Humana propone un pacto histórico a la sociedad donde la Justicia social y jurídica sea la base de la paz.… https://t.co/OwWZfUM4zT</t>
  </si>
  <si>
    <t>La caravana de las cuatro puertas. De caballos de paso a camionetas de vidrios oscuros. Toda una cultura que tiem… https://t.co/W8Gj3LUeej</t>
  </si>
  <si>
    <t>RT @petrogustavo: Colombia Humana propone un pacto histórico a la sociedad donde la Justicia social y jurídica sea la base de la paz. Hoy…</t>
  </si>
  <si>
    <t>RT @MoisesAlvaro_: Detrás de la rudeza de estas personas lo que se esconde es una cobardía terrible hacia la posibilidad de una Colombia co…</t>
  </si>
  <si>
    <t>RT @ChalecosAmarill: 🛑🚧 #VIRALIZAR #4agosto #Dia2HuelgaGeneral #Bolivia 🇧🇴 🔻Mineros RESPONDEN A AMENAZAS DE MURILLO: "No le tenemos miedo.…</t>
  </si>
  <si>
    <t>Este congresista ha lanzado una calumnia. La sala de instrucción de la Corte Suprema de Justicia que por unanimida… https://t.co/VeI1J3E4Rx</t>
  </si>
  <si>
    <t>RT @c_campesino: El magistrado Boyacense César Augusto Reyes, hijo de campesinos nos devuelve la fe y la esperanza, honor y gloria a este v…</t>
  </si>
  <si>
    <t>#YoRodeoALaJusticia https://t.co/8owgfUSEgj</t>
  </si>
  <si>
    <t>#YoRodeoLaCorte https://t.co/ZlW2nmHJJK</t>
  </si>
  <si>
    <t>RT @petrogustavo: #YoRodeoLaCorte https://t.co/ZlW2nmHJJK</t>
  </si>
  <si>
    <t>Uribe esta preso porque la sala de instrucción consideró que puede obstruir la justicia. Lo que hace Duque y el Ce… https://t.co/3IEIDkp6pF</t>
  </si>
  <si>
    <t>Solo para su cultura general le explico. La.procuraduria no es instancia judicial. La.arbitrariedad de esa procur… https://t.co/K7AgEe7MyX</t>
  </si>
  <si>
    <t>Tanta es la desigualdad en Colombia que la cárcel de Uribe es más grande que todas las cárceles del país juntas.</t>
  </si>
  <si>
    <t>Hoy le corresponde a Medellín darle el ejemplo democrático a Colombia. Rodear a la justicia como la única apuesta… https://t.co/CmGDKz8VI7</t>
  </si>
  <si>
    <t>RT @pvillegas_tlSUR: Antes había que esperar años para que se desclasificaran documentos secretos. Ahora, a plena luz del día, uno de los s…</t>
  </si>
  <si>
    <t>RT @petrogustavo: Hoy le corresponde a Medellín darle el ejemplo democrático a Colombia. Rodear a la justicia como la única apuesta válida…</t>
  </si>
  <si>
    <t>En Medellin #YoRodeoLaCorte Hoy Cacerolazo a las 6 pm https://t.co/HYJJRWmShe</t>
  </si>
  <si>
    <t>No es Trump amigos de Caracol, es su campaña en la Florida llena de destacados uribistas. Si estuviera en EEUU con… https://t.co/awOLUdrLPX</t>
  </si>
  <si>
    <t>RT @luzmamunera: Compartamos! https://t.co/kXSgZF77fb</t>
  </si>
  <si>
    <t>RT @petrogustavo: En Medellin #YoRodeoLaCorte Hoy Cacerolazo a las 6 pm https://t.co/HYJJRWmShe</t>
  </si>
  <si>
    <t>Si nos han informado que el rey de España huye por investigación de sobornos recibidos por la empresa que hoy prete… https://t.co/IBoHJ5v7vd</t>
  </si>
  <si>
    <t>RT @ChalecosAmarill: 🎥🛑Hoy en #Bolivia 🇧🇴 EL PUEBLO UNIDO ✊🏿✊🏽✊🏻 GRANDES ✊🏿✊🏽✊🏻 🔻Comunidades y Ayllus de Potosí se movilizan por la reconq…</t>
  </si>
  <si>
    <t>Abel Rodríguez, pedagogo, artífice del salto de la educación pública en Bogotá, perseguido por su acción progresist… https://t.co/4kMUoRhP7J</t>
  </si>
  <si>
    <t>RT @DianaDefensora: Esta caravana de más de 200 carros costosos, de alta gama y blindados, propios de personas con muchos recursos, es un…</t>
  </si>
  <si>
    <t>Aquí @DCoronell denuncia que Uribe le pidió al abogado Diego cadena grabarme. Lo cual también sería un delito. La… https://t.co/TSxnuySSt5</t>
  </si>
  <si>
    <t>RT @petrogustavo: Tanta es la desigualdad en Colombia que la cárcel de Uribe es más grande que todas las cárceles del país juntas.</t>
  </si>
  <si>
    <t>Hoy se instala la mesa social por Antioquia. Su objetivo coordinar fuerzas sociales de cara a garantizar una mejor… https://t.co/OJyZEcID0p</t>
  </si>
  <si>
    <t>Bogotá no fue fundada por Gonzalo Jiménez de Quesada, ya existía. La historia indígena no debe ser borrada, dado q… https://t.co/eCaTn02oiP</t>
  </si>
  <si>
    <t>Las encuestas no se lo dirán, ni los noticieros de tv, pero esta es la realidad en las calles. La desigualdad socia… https://t.co/ZynLv5vzSZ</t>
  </si>
  <si>
    <t>Por no poner un impuesto a los patromonios ricos, Duque expidió un decreto ilegal y populista. Ponerle el impuesto… https://t.co/HfIxoqZdlH</t>
  </si>
  <si>
    <t>¿Por qué hay que solidarizarse con el delincuente que soborna? Cuando se lleva a la sociedad a aplaudir la corrupc… https://t.co/iryQLLUafD</t>
  </si>
  <si>
    <t>Dije en campaña que no había nada más parecido a Maduro en Colombia que el uribismo. la misma economía: extraer pe… https://t.co/d5k7jmUwCG</t>
  </si>
  <si>
    <t>Hermano, tres vacas del expresidente y un caballo, valen eso. https://t.co/IdQMMTZTeW</t>
  </si>
  <si>
    <t>Un mundo viejo cae. El otoño de los patriarcas. Pero lo nuevo aun no aparece. En ese claro oscuro aparecen los m… https://t.co/OYkyxWeyiA</t>
  </si>
  <si>
    <t>RT @SARGENTOCHALA: Que una persona,pobre,sin trabajo,sin educación,sin salud,sin pensión,colgado en el arriendo,y con la nevera vacía Este…</t>
  </si>
  <si>
    <t>RT @nomatarasishr: "Realmente eran muchos, se estima que para ese momento la población oscilaba entre 1.300.000 y 2.000.000 de habitantes;…</t>
  </si>
  <si>
    <t>Concuerdo con este señor uribista. Hay una narcodictadura y hay que defender la democracia. https://t.co/M1gzOzbKo6</t>
  </si>
  <si>
    <t>RT @ChalecosAmarill: 🎥🛑En #Bolivia #Dia3HuelgaGeneral 🔻Así llegaron los mineros de Sicaya, comunarios de Capinota a reforzar bloqueos en P…</t>
  </si>
  <si>
    <t>Denuncia el periodista Mauricio Castilla de Montería que ofrecen pagar bono de 50.000 pesos y tanqueo de moto a qui… https://t.co/mOiWShsd1J</t>
  </si>
  <si>
    <t>La red @TwitterLatam se está dejando presionar por el uribismo para censurar las cuentas críticas al gobierno. No… https://t.co/sSH8hygY7f</t>
  </si>
  <si>
    <t>Cómo puede un hospital valer un billón de pesos, si el de la Universidad Nacional con 26.000 m2 y alta tecnología,… https://t.co/HScifywhM5</t>
  </si>
  <si>
    <t>RT @lau_vanegas: ¡Oigan! Pues si los Uribistas quieren despedir a los mamertos, nosotros no compremos en sus empresas. ¿ A ver quiénes llor…</t>
  </si>
  <si>
    <t>RT @Sergio_FARC: Si alguien es despedido por razones de discriminación política y delitos de odio, comuniquese conmigo que desde mi oficina…</t>
  </si>
  <si>
    <t>Le solicito a @FiscaliaCol y a la @PGN_COL iniciar investigación de oficio a los promotores de la campaña "despida… https://t.co/su722tERmV</t>
  </si>
  <si>
    <t>Aunque usted no lo crea esto se llama fascismo. https://t.co/IzlPoWFzyz</t>
  </si>
  <si>
    <t>RT @DianaSalinasP: 1. Tres protagonistas sufrirán un impacto muy fuerte al llegar el 16 de febrero de 2018. Ellos ¡ni-se-lo-imaginan! porqu…</t>
  </si>
  <si>
    <t>Las campaña #despideunmamerto, es un delito de odio prohibido en nuestra constitución y en el código penal colombia… https://t.co/fv6TpdDGUK</t>
  </si>
  <si>
    <t>Esta persona de negro., simplemente actúa, por el mensaje que escucha y cree de la cúpula del uribismo y de los med… https://t.co/iaUxDkskIZ</t>
  </si>
  <si>
    <t>A la reserva nacional les digo que es hora de la Paz. la Nación de la eterna violencia debe pasar a ser una nación… https://t.co/KIjF1qUMzU</t>
  </si>
  <si>
    <t>Querido @sergio_fajardo, la Corte Suprema ha sido impecable y transparente, y usted y yo, debemos rodearla y apoyar… https://t.co/wdszTfFLpU</t>
  </si>
  <si>
    <t>Me podría explicar Claudia Palacios, como determinar masacres y conformación de grupos paramilitares puede también… https://t.co/fhDllYm9St</t>
  </si>
  <si>
    <t>Acaba de fallar el tribunal administrativo Cundinamarca, a mi favor y mi familia. El tribunal administrativo dice… https://t.co/U0VVCrz2vk</t>
  </si>
  <si>
    <t>RT @fdbedout: Después de #DespideUnMamerto qué sigue, ¿obligarlos a portar un triángulo rojo en la solapa🔻?</t>
  </si>
  <si>
    <t>RT @CABLENOTICIAS: #Judicial | Tribunal determinó que hubo interceptaciones ilegales contra @petrogustavo por parte del DAS Los detalles…</t>
  </si>
  <si>
    <t>RT @petrogustavo: Acaba de fallar el tribunal administrativo Cundinamarca, a mi favor y mi familia. El tribunal administrativo dice que hu…</t>
  </si>
  <si>
    <t>RT @ChalecosAmarill: 🎥🇧🇴 #BOLIVIA se moviliza masivamente en las calles en contra de el GOLPISMO impuesto por la MAFIOSA @OEA_oficial y los…</t>
  </si>
  <si>
    <t>RT @CuartoDeHoraCol: El fallo asegura que hubo un concierto entre el DAS, la UIAF y la Presidencia de la República para perseguir a Petro y…</t>
  </si>
  <si>
    <t>RT @AlirioUribeMuoz: Encuesta @CMILANOTICIA sobre detención de Uribe, SÍ están de acuerdo: Nacional 78%, Bogotá 75,4%, Cali 92%, Barranquil…</t>
  </si>
  <si>
    <t>RT @Pacifistacol: “El uribisimo es el instrumento político que impidió la ejecución de la Constitución del 91”, nos dijo el senador @petrog…</t>
  </si>
  <si>
    <t>Ya veo que para la extrema derecha latina norteamericana, Washington también era castrochavista, porque Washington… https://t.co/ONSfLifttA</t>
  </si>
  <si>
    <t>Ha muerto Abel Rodríguez, ex secretario de educación de Bogotá y progresista. Abel, fue el gran impulsor de la edu… https://t.co/YbGqd2X6ZZ</t>
  </si>
  <si>
    <t>RT @MoisesAlvaro_: ¿Se han dado cuenta que los golpes que han recibido los de arriba en los últimos días han sido consecuencia de sus propi…</t>
  </si>
  <si>
    <t>RT @petrogustavo: Querido @sergio_fajardo, la Corte Suprema ha sido impecable y transparente, y usted y yo, debemos rodearla y apoyarla. Un…</t>
  </si>
  <si>
    <t>RT @Marianiniecheve: #ColombiaAplaudeAUribe JAJAJAJAJAJAJAJAJAJAJAJAJAJAJJAJAJAJAJ Qué pecaito, ya no hagan más el ridículo! https://t.c…</t>
  </si>
  <si>
    <t>RT @AndresCamiloHR: Intervención del Senador Gustavo Petro (@petrogustavo) en la Cámara de Representantes, en el debate de control político…</t>
  </si>
  <si>
    <t>Mañana tendremos a las once de la mañana nuestra intervención a los dos años del gobierno. Por facebooklive en mi… https://t.co/ya1Fmg3AeN</t>
  </si>
  <si>
    <t>RT @MaPaulaFonseca: A 21 meses de la primera vuelta presidencial el senador @petrogustavo encabeza la intención de voto en encuesta de CM&amp;…</t>
  </si>
  <si>
    <t>Mi querido Lafaurie, la persona que han conducido a su casa como aseguramiento domiciliario ordenó interceptar y pe… https://t.co/7bY3P7idYu</t>
  </si>
  <si>
    <t>RT @Matador000: "Una grabacioncita para Petro": la petición que le habría hecho Álvaro Uribe al abogado Cadena https://t.co/gDjoopf2BX</t>
  </si>
  <si>
    <t>RT @CarlosCarrilloA: Muchos se preocupan porque alguien que fue presidente terminó preso, la pregunta es: ¿Cómo permitimos que alguien que…</t>
  </si>
  <si>
    <t>RT @jcuestanovoa: Carlos Peña dirigente universitario, promotor de #MatriculaCero y líder de la Colombia Humana en Cúcuta fue objeto de la…</t>
  </si>
  <si>
    <t>RT @AndresCamiloHR: #ULTIMO Y siguen llegando las buenas noticias, esta vez, el senador @petrogustavo le gana tutela al pastor @PMiguelArra…</t>
  </si>
  <si>
    <t>RT @ChalecosAmarill: 🗞🛑En #Colombia 🇨🇴 encuesta a 21 meses de la primera vuelta presidencial coloca al senador Gustavo Petro ( @petrogustav…</t>
  </si>
  <si>
    <t>RT @jcuestanovoa: En la más reciente Encuesta del Centro Nacional de Consultoría contratada por CMI, la intención de voto a las presidenci…</t>
  </si>
  <si>
    <t>Desobedecer la orden de matarnos.entre sí https://t.co/9ORfioWkXs</t>
  </si>
  <si>
    <t>Nos vernos hoy a las 11 a m por mi facebook live La.alocución de Colombia Humana https://t.co/LVbfpf1b6f</t>
  </si>
  <si>
    <t>RT @petrogustavo: Nos vernos hoy a las 11 a m por mi facebook live La.alocución de Colombia Humana https://t.co/LVbfpf1b6f</t>
  </si>
  <si>
    <t>RT @RevistaSemana: .@petrogustavo dio un discurso en sus redes sociales. Habló de los dos años del gobierno Duque, del manejo de coronaviru…</t>
  </si>
  <si>
    <t>RT @RedMasNoticias: 🔴#AEstaHora | "Necesitamos una persona que cumpla sus promesas electorales, presidente @IvanDuque: usted dijo que iba a…</t>
  </si>
  <si>
    <t>RT @PaitoF: A esta hora @petrogustavo pronuncia discurso de la oposición frente a los 2 años de gobierno de @IvanDuque en #Colombia. Denunc…</t>
  </si>
  <si>
    <t>RT @Col_Progresista: "Duque ha demostrado total incompetencia histórica" @petrogustavo en vivo https://t.co/AiJeksUJuH https://t.co/xkN6TRp…</t>
  </si>
  <si>
    <t>RT @lafm: ¿Petro lanzó su candidatura a la presidencia en el 2022? https://t.co/1sD8zLrxDb</t>
  </si>
  <si>
    <t>RT @ammejiaaguado: .@petrogustavo en el discurso de la oposición por las redes sociales, hizo un llamado para que haya un pacto histórico d…</t>
  </si>
  <si>
    <t>RT @ammejiaaguado: .@petrogustavo “El jefe, el de Duque, con su propia pólvora se quemó al intentar lanzarla. Ahora quieren que por eso el…</t>
  </si>
  <si>
    <t>RT @rcnradio: ¿Petro lanzó su candidatura para el 2022? https://t.co/llKe18c5Ss</t>
  </si>
  <si>
    <t>Ahora nos encontramos con la Guajira y el Cesar https://t.co/Mwmac4GVCR</t>
  </si>
  <si>
    <t>RT @soloincordiar: @petrogustavo @angelamrobledo @GustavoBolivar @PizarroMariaJo @AidaAvellaE @susanamuhamad ¡Gracias! Nos devuelven la esp…</t>
  </si>
  <si>
    <t>RT @susanamuhamad: Hoy 7 de agosto a las 7:00 P.M. Todos unidos para exigir que en medio de esta pandemia se implementen acciones contunden…</t>
  </si>
  <si>
    <t>RT @KawsachunNews: Bolivians marched today against the US-backed regime, past the Huayllani bridge, Sacaba, where the regime massacred anti…</t>
  </si>
  <si>
    <t>RT @UP_Colombia: El mensaje al país de la senadora @AidaAvellaE junto a la bancada alternativa de Colombia Humana y Decentes a dos años del…</t>
  </si>
  <si>
    <t>Mi alocución hoy 7 de agosto. La hora de la Esperanza Parte III https://t.co/OxeV1lVuIa</t>
  </si>
  <si>
    <t>Mi alocución hoy 7 de agosto. La hora de la Esperanza Parte II https://t.co/9fSzhMTGWn</t>
  </si>
  <si>
    <t>Mi alocución hoy 7 de agosto. La hora de la Esperanza Parte I https://t.co/yEJIipOik0</t>
  </si>
  <si>
    <t>RT @petrogustavo: Mi alocución hoy 7 de agosto. La hora de la Esperanza Parte III https://t.co/OxeV1lVuIa</t>
  </si>
  <si>
    <t>RT @petrogustavo: Mi alocución hoy 7 de agosto. La hora de la Esperanza Parte II https://t.co/9fSzhMTGWn</t>
  </si>
  <si>
    <t>RT @petrogustavo: Mi alocución hoy 7 de agosto. La hora de la Esperanza Parte I https://t.co/yEJIipOik0</t>
  </si>
  <si>
    <t>RT @ChalecosAmarill: 🎥🛑Todo se ha detenido en #Bolivia se han bloqueado más de 100 carreteras en el país. 🔻Los movimientos sociales y sin…</t>
  </si>
  <si>
    <t>RT @ChalecosAmarill: 🎥🛑En #Bolivia es inevitable no emocionarte o sentir orgullo de la gente que lucha unida por sus derechos. 🗣️"No vamos…</t>
  </si>
  <si>
    <t>Uribe es apenas un síntoma de una sociedad disgregada, degradada y violentada por sí misma. Un espectacular anális… https://t.co/gx0Y5HgXzJ</t>
  </si>
  <si>
    <t>RT @RevistaSemana: #LoMásVisto | Gustavo Petro criticó el papel que ha desempeñado el presidente Duque ante esta coyuntura judicial. "Duque…</t>
  </si>
  <si>
    <t>RT @ammejiaaguado: Gustavo Petro: “Duque decidió seguir el camino mortal de Trump y Bolsonaro” ante la COVID-19 https://t.co/rUqPqkSS87</t>
  </si>
  <si>
    <t>RT @MafeCarrascal: Una más. Pastores Arrazola perdieron tutela contra Petro luego de que les dijera estafadores – ABC Política https://t.…</t>
  </si>
  <si>
    <t>RT @Marianiniecheve: El problema si toda esa gente saliera en sus carros a respaldar a Petro es que no habría tanto espacio para tantos car…</t>
  </si>
  <si>
    <t>RT @CMILANOTICIA: #Video | #GranEncuesta: Gustavo Petro (@petrogustavo) lidera intención de voto para elecciones presidenciales de 2022 htt…</t>
  </si>
  <si>
    <t>RT @ammejiaaguado: .@petrogustavo con Congresistas y Concejalas de la #ColombiaHumanaUPMAIS pronuncia discurso d la oposición frente a los…</t>
  </si>
  <si>
    <t>RT @colombia_hist: A Pedro Pascasio Martínez le prometieron ascenderlo a sargento, una pensión de $100 y nunca recibió nada. Murió muy pobr…</t>
  </si>
  <si>
    <t>RT @petrogustavo: Uribe es apenas un síntoma de una sociedad disgregada, degradada y violentada por sí misma. Un espectacular análisis per…</t>
  </si>
  <si>
    <t>RT @ChalecosAmarill: 🎥🛑 #URGENTE | #BreakingNews #Libano 🇱🇧 🔻En marcha Golpe de Estado en #Beirut manifestantes han tomado: - Ministerio…</t>
  </si>
  <si>
    <t>RT @ammejiaaguado: “Sobre mi cuerpo muerto” @ClaudiaLopez que nos dice ahora? Incoherencia o conveniencia? https://t.co/BXHkCRXDUm</t>
  </si>
  <si>
    <t>Nieves Charry, 67 años, afiliada a Coomeva, el lunes tuvo síntomas de covid, solo hasta el miercoles le hacen prueb… https://t.co/01HyiTcqRr</t>
  </si>
  <si>
    <t>El discurso de una alternativa que puede ser poder si la ciudadania quiere https://t.co/v6xq0WtlOk</t>
  </si>
  <si>
    <t>Mi querido amigo @luismorales0621 efectivamente nunca me opuse a una demolición del san Juan de Dios, porque una al… https://t.co/SC8xVU26Z5</t>
  </si>
  <si>
    <t>RT @IvanCepedaCast: Hoy se cumplen 26 años del asesinato del senador Manuel Cepeda Vargas. Invito a ver el documental del gran director de…</t>
  </si>
  <si>
    <t>Daniel Coronell descubre como la práctica de buscar "declaracionsitas" con testigos comprados para atacar la su opo… https://t.co/5ya1RVk58N</t>
  </si>
  <si>
    <t>Qué hay entre Diomedes Diaz y Alvaro Uribe Velez? La columna de Gustavo Bolívar que se comentará hoy a las siete d… https://t.co/kHA3PsuLJd</t>
  </si>
  <si>
    <t>Mi columna de hoy, Prevenir es mejor que curar. La comentaremos hoy a las 7 pm por facebook live https://t.co/56FYPq0PJg</t>
  </si>
  <si>
    <t>Cuando afirme que el Clan del Golfo no era sino una derivación de las Convivir, lo cual es cierto, en mi discurso d… https://t.co/fLe09qXUxs</t>
  </si>
  <si>
    <t>Abelardo me ponía denuncia por supuestamente recibir dineros del Daniel Barrera, mandaron a Cadena a buscar declara… https://t.co/FK88H5rD2X</t>
  </si>
  <si>
    <t>RT @DCoronell: Esta es la conversación entre @AlvaroUribeVel y Diego Cadena, grabada en la primera semana de febrero de 2018, cuando ⁦@petr…</t>
  </si>
  <si>
    <t>RT @DCoronell: El jueves 12 de abril de 2018 ⁦@petrogustavo⁩ dijo en Ibagué esto que molestó profundamente a @AlvaroUribeVel. En el siguien…</t>
  </si>
  <si>
    <t>RT @DCoronell: Aquí pueden oír lo que el expresidente Uribe le encargó a Diego Cadena un día después del discurso de ⁦@petrogustavo⁩ en Iba…</t>
  </si>
  <si>
    <t>Cancillería debería responder porqué se puso en armonía de la estrategia ilegal de Uribe. No permitir que la Corte… https://t.co/rvNu7TDI0K</t>
  </si>
  <si>
    <t>Hoy Roy Barreras me entrevista. 5.30 pm https://t.co/tV5QPeVggn</t>
  </si>
  <si>
    <t>RT @RoyBarreras: Hoy a las 5:30 por Facebook live estaré conversando con @petrogustavo https://t.co/cyqzPPyDBr</t>
  </si>
  <si>
    <t>Duque a través de la ruptura de los acuerdos de erradicación de la coca, ha desatado una verdadera guerra contra el… https://t.co/jwcZPBTzIX</t>
  </si>
  <si>
    <t>El abogado Cadena no hacía las cosas sin que su contratista lo supiera. Al contrario, trabajaba para Uribe y Uribe… https://t.co/ANyrFEk2VW</t>
  </si>
  <si>
    <t>RT @MaPaulaFonseca: ¡Es hora de un pacto histórico por Colombia! 💜 https://t.co/uRoENjMBVG</t>
  </si>
  <si>
    <t>RT @AndresCamiloHR: "Las EPS fueron absolutamente incapaces del control de la enfermedad. Eso sí, se quedaron con billonarias sumas de dine…</t>
  </si>
  <si>
    <t>RT @AndresCamiloHR: "Bogotá solo si hubiera mantenido el programa territorios saludables, con sus siete millones de consultas como las hici…</t>
  </si>
  <si>
    <t>RT @GiordanoBrunoFi: Transmisión comunitaria El concepto no se utiliza en Colombia; ni por los gobiernos nacional, local, ni por los medi…</t>
  </si>
  <si>
    <t>RT @ChalecosAmarill: 🎥🛑En #Bolivia tras los ataques recibidos por paramilitares FASCISTAS de @JeanineAnez el pueblo indígena nos organizamo…</t>
  </si>
  <si>
    <t>RT @ChalecosAmarill: 🎥🛑¡GUERRA CAMPAL EN #BOLIVIA ! 🔻Campesinos resisten ataque armado de fuerzas combinadas (Policías y Paramilitares) fu…</t>
  </si>
  <si>
    <t>RT @PRC2021: ¡ALERTA MUNDO! MASACRE EN BOLIVIA @24h_tve @ABC @abc_es @AP @BBC @C5N @CIDH @CNNEE @dwnews @elmundo @elpais @hrw @nayibbukele…</t>
  </si>
  <si>
    <t>Miren la campaña de Trump en EEUU ¿no se les parece a una campaña en Colombia? ¿No les parece que un elector de Tr… https://t.co/tADq6j2yTB</t>
  </si>
  <si>
    <t>RT @AndresCamiloHR: Hoy 3:00 P.M. (Hora Colombia) entrevista al senador @petrogustavo en @CNNEE. #PetroEnCNN https://t.co/QSrpiBEBni</t>
  </si>
  <si>
    <t>RT @ma_eugeniam: Respuesta dirigida al senador @JERobledo, es propia de la Agencia Inmobiliaria Nacional y no de @mincultura. Olvida la ent…</t>
  </si>
  <si>
    <t>RT @YourAnonS0u1: MILITARY Forces demobilize peaceful protesters with disproportionate force, there are WOUNDED BY BULLETS. #BoliviaEnDic…</t>
  </si>
  <si>
    <t>RT @marthaperaltae: ATENCIÓN. Cristián Caicedo y Maicol Ibarra, de 12 y 17 años, fueron a dejar su tarea al colegio y paramilitares los as…</t>
  </si>
  <si>
    <t>Mi entrevista con Roy Barreras https://t.co/WHbFMcljgU</t>
  </si>
  <si>
    <t>RT @LeonVaLenciaA: La familia de Uribe culpa a la izquierda de haber creado un ambiente de odio en el país contra el expresidente. Pero la…</t>
  </si>
  <si>
    <t>Enrique, el número de buses disminuirá tanto en la séptima, donde se pueden reemplazar por un tranvía, como en la C… https://t.co/Tapv83FhVL</t>
  </si>
  <si>
    <t>Mi querido amigo Diego, cualquiera que conozca el san Juan sabe que los techos son mucho más altos. Solo mire la al… https://t.co/XJpxmDFlo5</t>
  </si>
  <si>
    <t>RT @ChalecosAmarill: 🗞🛑En #Bolivia ¡VICTORIA PARA EL PUEBLO! #Dia8HuelgaGeneral 🔻Más y más ciudadanos se van dando cita para lanzar una of…</t>
  </si>
  <si>
    <t>De las estadisticas de recuperados que brinda @minsalud 350 personas ya han muerto por el virus. La estadística de… https://t.co/D8e9TYXoZq</t>
  </si>
  <si>
    <t>RT @JMVivancoHRW: .@AP examina importantes evidencias del expediente judicial que complica a Uribe en intentos por manipular a testigos. E…</t>
  </si>
  <si>
    <t>Con la decision del alcalde de Medellin de iniciar demandas contra contratistas de EPM, queda claro ante el país qu… https://t.co/rxfKWV2u6e</t>
  </si>
  <si>
    <t>Somos el 25 país del mundo en contagio por millón de habitantes y el 98 enn pruebas por millón de habitantes, avanz… https://t.co/KkEnNAiupN</t>
  </si>
  <si>
    <t>RT @AndresCamiloHR: Entrevista al senador @petrogustavo en @CNNEE. #PetroEnCNN https://t.co/J6cMnYgaBK</t>
  </si>
  <si>
    <t>No creo en la capacidad de investigación de un órgano electoral que esta en manos del gobierno. Solo actúa contra n… https://t.co/RukpLFlO4C</t>
  </si>
  <si>
    <t>RT @ElQueLosDELATA: Ejemplos de la delincuencia cibernetica del exconvicto y hacker chuza teléfonos Carlos Escobar, el peor de los delincue…</t>
  </si>
  <si>
    <t>Los miembros del Grupo enpresarial Antioqueño que hagan parte de la junta directiva de EPM, deberían retirarse de e… https://t.co/7dKgfuYbUn</t>
  </si>
  <si>
    <t>Tendremos un incremento mundial de los precios del oro por varios años. Pedí que el banco de la República pasase pa… https://t.co/TjcqvtL8lU</t>
  </si>
  <si>
    <t>RT @luzmamunera: Inicio hilo: Dutante 4 años en Concejo hicimos varios debates, no sólo a EPM (LOS DEBATES DEL AMOR) sino que nos ocupamos…</t>
  </si>
  <si>
    <t>RT @lylyflower2007: Les recuerdo que ayer, paramilitares asesinaron a dos niños que iban a entregar sus tareas de la escuela. Pero no sé vi…</t>
  </si>
  <si>
    <t>Cuando no se logra ver la realidad de la foto: la sobre explotación del trabajador. https://t.co/rvo31hofyN</t>
  </si>
  <si>
    <t>RT @heidy_up: #FelizMartes | Comparto mi columna para @CuartoDeHoraCol, esta vez acerca de la educación superior en @Bogota: ¿20 mil cupos…</t>
  </si>
  <si>
    <t>De cono un programa tan nefasto para la educación pública superior como "ser pilo paga" que hasta el uribismo desec… https://t.co/nX4kbWawui</t>
  </si>
  <si>
    <t>RT @ChalecosAmarill: 🎥🛑Para la gente de #Colombia y Latinoamérica en #EEUU el senador .@petrogustavo desde la .@CNNEE deja un mensaje para…</t>
  </si>
  <si>
    <t>Dos niños muertos por paramilitares en el Cauca. Me pregunto si esto, a los que - acostumbrados al genocidio - les… https://t.co/GG1tzW46rh</t>
  </si>
  <si>
    <t>Mi respuesta a la campaña de Trump en los EEUU. Entrevista en CNN en español https://t.co/Ii4WVxiuYy</t>
  </si>
  <si>
    <t>En realidad son los dueños del puerto de Buenaventura los que han dominado el territorio y se han impuesto sobre la… https://t.co/C9btXjAUQv</t>
  </si>
  <si>
    <t>RT @marthaperaltae: Niños indígenas lavando su tapabocas en la calle en Bogotá. Triste e indigno, esta no es una ciudad cuidadora. Más de…</t>
  </si>
  <si>
    <t>RT @ChalecosAmarill: 🎥🛑En #Bolivia 🇧🇴 ¡LA DICTADURA BOLIVIANA CON EL AGUA AL CUELLO! 🔻Este video muestra como el pueblo Boliviano se ha vo…</t>
  </si>
  <si>
    <t>RT @ma_eugeniam: 1. No, senador Robledo. La Torre Central nunca se desprotegió. No es cierto, ministra @carmenIvasquez Después de estudios…</t>
  </si>
  <si>
    <t>RT @CeciliaOrozcoT: El dizque nuevo Defensor del Pueblo, Carlos Camargo, yerno de la senadora Nora García B. y primo del senad. Barguil fue…</t>
  </si>
  <si>
    <t>El magistrado Bernal muestra que engañó al Congreso con el.motivo de su renuncia https://t.co/IjAMCRrif3</t>
  </si>
  <si>
    <t>RT @CathyJuvinao: Este es el magistrado Jaime Luis Lacouture, quien investigará la campaña de @IvanDuque en la que él mismo participó, como…</t>
  </si>
  <si>
    <t>Hay miembros de la junta directiva de EPM relacionados con los consorcios constructores del proyecto hidroituango,… https://t.co/ERrnGdiNwx</t>
  </si>
  <si>
    <t>RT @IvanCepedaCast: 1. Respaldo propuesta hecha por @petrogustavo de avanzar no a una simple alianza electoral, sino hacia un Pacto Históri…</t>
  </si>
  <si>
    <t>Nos vemos a las nueve en el debate sobre el San juan de Dios. Se transmitirá por youtube Comisión Primera del cong… https://t.co/DOmP46T3so</t>
  </si>
  <si>
    <t>RT @ismene2: Ve, @petrogustavo ya lo había advertido. Ahora es @Uniandes la que siembra odio.</t>
  </si>
  <si>
    <t>RT @petrogustavo: Nos vemos a las nueve en el debate sobre el San juan de Dios. Se transmitirá por youtube Comisión Primera del congreso d…</t>
  </si>
  <si>
    <t>RT @MaPaulaFonseca: El Senador @petrogustavo en debate del Hospital San Juan de Dios solicita al secretario de la Comisión enviar el debate…</t>
  </si>
  <si>
    <t>RT @anateresabernal: "Es una paradoja. En 1723 nació el San Juan de Dios en Bogotá por obra de la Corona Española. Hoy COPASA, una firma Es…</t>
  </si>
  <si>
    <t>RT @heidy_up: Magistral intervención del Senador @petrogustavo en el debate sobre el Hospital San Juan de Dios. El Ministerio de Cultura, t…</t>
  </si>
  <si>
    <t>RT @Juanaafanador1: Excelente intervención de @petrogustavo en el debate sobre el SJD. Solo agregaría que no hay estudios de impacto sobre…</t>
  </si>
  <si>
    <t>RT @AndresCamiloHR: Desde el recinto de la comisión primera, como lo exige la ley y la corte, el Senador @petrogustavo realiza el debate de…</t>
  </si>
  <si>
    <t>RT @anateresabernal: La Senadora @AngelicaLozanoC dice que NO le gusta el contrato "llave en mano" que entrega desde la construcción, hasta…</t>
  </si>
  <si>
    <t>RT @MaPaulaFonseca: El Hospital que reemplazará el San Juan de Dios es: Nuevo Santa Clara. Por más que @AngelicaLozanoC diga que debe llama…</t>
  </si>
  <si>
    <t>RT @anateresabernal: ¿Entonces la Ley 735/2002 declara al Hospital San Juan de Dios y el Materno infantil como monumento nacional, pero la…</t>
  </si>
  <si>
    <t>Muy bien Galán, lástima que se hubiera opuesto cuando lo hice realidad. https://t.co/VnWOycFEzP</t>
  </si>
  <si>
    <t>RT @heidy_up: No es ninguna “Torre de Llórente” estimada @AngelicaLozanoC al ser un complejo es indivisible, lo que estamos pidiendo es que…</t>
  </si>
  <si>
    <t>RT @MaPaulaFonseca: Dice la senadora @AngelicaLozanoC que los incidentes de desacato son para que el distrito no haga nada con el H. San Ju…</t>
  </si>
  <si>
    <t>RT @ammejiaaguado: .@petrogustavo en debate de control político en defensa del HSJD pidió compulsar copias a la @FiscaliaCol #ElSanJuanDeD…</t>
  </si>
  <si>
    <t>RT @MaPaulaFonseca: Utilizan el término “Complejo Hospitalario San Juan de Dios” para justificar la demolición de un edificio entre más. Pe…</t>
  </si>
  <si>
    <t>RT @anateresabernal: Según la Senadora @AngelicaLozanoC el Ed. Central del Hosp. San Juan de Dios no es patrimonio cultural, porque fue con…</t>
  </si>
  <si>
    <t>RT @AndresCamiloHR: ¿Una subestación eléctrica al lado de un hospital? ¿a quien se le ocurre eso? Si, a la alcaldía de Bogotá.</t>
  </si>
  <si>
    <t>RT @MaPaulaFonseca: Dice la senadora @AngelicaLozanoC que la Ley 735/2002 declaró Monumento Nacional el Complejo Hospitalario San Juan de D…</t>
  </si>
  <si>
    <t>RT @AndresCamiloHR: "No tuve la fortuna de estudiar en el San Juan de Dios... para mi, representa un símbolo muy importante en salud" dice…</t>
  </si>
  <si>
    <t>RT @MaPaulaFonseca: La ley obliga que el Hospital San Juan de Dios sea un establecimiento público al servicio de los pobres y de la educaci…</t>
  </si>
  <si>
    <t>RT @MaPaulaFonseca: “La historia del Hospital San Juan de Dios es la historia de una inmoralidad administrativa” senador @petrogustavo deba…</t>
  </si>
  <si>
    <t>RT @anateresabernal: El senador Gustavo Petro y la Colombia Humana en debate de control político defienden el patrimonio de los bogotanos,…</t>
  </si>
  <si>
    <t>RT @MaPaulaFonseca: El senador @petrogustavo dice que en diciembre de 2015 mientras él inauguraba las obras de urgencias de la Torre centra…</t>
  </si>
  <si>
    <t>RT @MaPaulaFonseca: El contrato con Copasa cuesta 3 veces más de lo que cuestan obras similares revela el senador @petrogustavo . Y pide qu…</t>
  </si>
  <si>
    <t>RT @AndresCamiloHR: "Solicito señor Secretario, enviar este debate y mi intervención a la Fiscalía General de la Nación y a la Corte Suprem…</t>
  </si>
  <si>
    <t>RT @AndresCamiloHR: "El Hospital San Juan de Dios, es monumento nacional, por los edificios y por lo simbólico" @petrogustavo en el debate…</t>
  </si>
  <si>
    <t>RT @AndresCamiloHR: "El PEMP es para proteger el patrimonio, no para demoler" señala @petrogustavo en el debate de control político en la C…</t>
  </si>
  <si>
    <t>RT @AndresCamiloHR: "Aquí lo que se pretende es borran, en contra de la constitución y la ley, la salud... El símbolo de la salud en Colomb…</t>
  </si>
  <si>
    <t>Se apresta el Senado de la República a aprobar la.reforma a su reglamento, que es ley orgánica y hace parte del blo… https://t.co/FlRFwUesjL</t>
  </si>
  <si>
    <t>Este es el resultado de un sistema de salud desastroso, el de la ley 100 que transformó la salud en un negocio. Sus… https://t.co/Zat8PE8Vdt</t>
  </si>
  <si>
    <t>Todo indica que se está subvalorando gravemente el número de muertos por covid, y que el colapso del sistema de sal… https://t.co/PYnWGtA7mc</t>
  </si>
  <si>
    <t>El triste puesto de Colombia en contagios covid en América, y si seguimos así, en semana y media pasaremos a Perú… https://t.co/602zK9ntAT</t>
  </si>
  <si>
    <t>RT @ma_eugeniam: El PEMP NO diseñó una APP, querido concejal @mjsarmientoa. Sí estructuró una entidad administrativa mixta, sin SIN ÁNIMO D…</t>
  </si>
  <si>
    <t>RT @SandraFARC: Dejamos constancia en la Plenaria que no votamos la aprobación del orden del día y nos retiramos, consideramos que no se es…</t>
  </si>
  <si>
    <t>RT @ChalecosAmarill: 🎥🛑El pueblo de #Bolivia se levanta para restablecer la democracia y defender la vida. 🔻Tremendo ejemplo de dignidad.…</t>
  </si>
  <si>
    <t>Este edificio hermoso que recuperó Guillermo Alfonso Jaramillo en Ibagué, fue una de mis cárceles a la que me lleva… https://t.co/YOvNjWwLuq</t>
  </si>
  <si>
    <t>La discusión de liberar a EPM de intereses particulares y lograr que sea el interés general el que la guíe, me pare… https://t.co/Gdvd7ugS9f</t>
  </si>
  <si>
    <t>RT @ChalecosAmarill: 🎥🛑En #Bolivia || #Dia8HuelgaGeneral 🔻En #Potosí se dirigen centenares de manifestantes hacia #LaPaz a exigir la #Renu…</t>
  </si>
  <si>
    <t>RT @jcuestanovoa: El San Juan de Dios es el corazón de la salud pública en Colombia. No permitamos su demolición. Reto a mis amigos @AUGUST…</t>
  </si>
  <si>
    <t>El ataque contra Quintero en emisoras por querer defender el interés ciudadano en EPM, no es más que el intento de… https://t.co/V4jO9zDkas</t>
  </si>
  <si>
    <t>RT @MaPaulaFonseca: “De los edificios del conjunto, la Torre Central es la que tiene los servicios hospitalarios. Si se demuele la torre ce…</t>
  </si>
  <si>
    <t>RT @AndresCamiloHR: "Copasa, la firma sobornadora del Rey en España, será la encargada de demoler el San Juan de Dios" señala @petrogustavo…</t>
  </si>
  <si>
    <t>RT @smilelalis: Murió la hija de una pareja de excombatientes, por 12 puñaladas y luego fue degollada en Caucasia Antioquia. Ayer hubo una…</t>
  </si>
  <si>
    <t>RT @Jhoansalvarez: El día que @petrogustavo con su discurso dejó callado a Uribe. https://t.co/FFpFLzAGoe</t>
  </si>
  <si>
    <t>RT @petrogustavo: El ataque contra Quintero en emisoras por querer defender el interés ciudadano en EPM, no es más que el intento de manten…</t>
  </si>
  <si>
    <t>Deje de calumniar, nosotros no hemos propuesto ninguna APP, que es una concesión privada con animo de lucro, para e… https://t.co/GUmRcCRvpt</t>
  </si>
  <si>
    <t>Evitar que Mancuso vuelva a Colombia es evitar la verdad. ¿A qué le tienen miedo?</t>
  </si>
  <si>
    <t>Es precisamente abrir el camino de una apropiación de facto de EPM por grupos de interes, a través del convenio mun… https://t.co/5WBhS1MQ6F</t>
  </si>
  <si>
    <t>RT @CarlosCarrilloA: El debate de ayer sobre el San Juan reafirmó mi indignación con @ClaudiaLopez; la defensa de los verdes (claramente al…</t>
  </si>
  <si>
    <t>En el centro de Bogotá , contra la Constitución y la ley piensan dinamitar un monumento nacional, ni más ni menos q… https://t.co/957Uk5nBCk</t>
  </si>
  <si>
    <t>RT @IvanCepedaCast: Respaldo la propuesta de Pacto Histórico lanzada por @petrogustavo en su alocución sobre los dos años de gobierno de Iv…</t>
  </si>
  <si>
    <t>Desatar el nudo de intereses privados poderosos que se han apropiado de EPM, llevándola al desastre y al desastre d… https://t.co/M6jj12ct6x</t>
  </si>
  <si>
    <t>En Bolivia hay una dictadura y se dió un golpe de Wst3ado con la complicidad de @Almagro_OEA2015. Corre la sangre.… https://t.co/lS3rpgp72L</t>
  </si>
  <si>
    <t>RT @alexflorezh: El señor @FicoGutierrez acusa sin fundamento al alcalde Quintero Calle por dañar el negocio que el mismo Gutierrez montó c…</t>
  </si>
  <si>
    <t>Una vez vi al capítulo de fedegan en Córdoba convocar a una protesta porque habían allanado la casa de Salvatore Ma… https://t.co/R3NWxy68nA</t>
  </si>
  <si>
    <t>Una masacre contra el pueblo negro, contra la juventud. Un mensaje de terror para paralizar. El pueblo negro de Co… https://t.co/jM5R8bV5xi</t>
  </si>
  <si>
    <t>Hemos afirmado una y otra vez que de un eventual gobierno mío, no habrá un solo gesto que destruya la dignidad de l… https://t.co/4mfDl2hqZ2</t>
  </si>
  <si>
    <t>RT @SaninPazC: Ante el auge de superhéroes ridículos, ojalá recuerden al que sí se ha enfrentado a Uribe una y otra y otra vez y sin histri…</t>
  </si>
  <si>
    <t>Por sacar carbón, cuya utilización genera la crisis climática, la Guajira se queda sin agua. Sus regalías se la rob… https://t.co/xNfp8805xb</t>
  </si>
  <si>
    <t>Pude conocer personalmente a Jaime Garzón. Me lo presentó en la Perseverancia, Edgar Molano, hoy también muerto. E… https://t.co/wHmyJ5TeVD</t>
  </si>
  <si>
    <t>Lo(a)s trabajadore(a)s de EPM se acaban de pronunciar respaldando.el cambio de junta directiva y la demanda por el… https://t.co/hxhEIMNp59</t>
  </si>
  <si>
    <t>Una familia presidencial delincuente. Tranquilos, no me insulten, es en Ecuador. https://t.co/d1WU12FK0U</t>
  </si>
  <si>
    <t>RT @petrogustavo: Pude conocer personalmente a Jaime Garzón. Me lo presentó en la Perseverancia, Edgar Molano, hoy también muerto. El ases…</t>
  </si>
  <si>
    <t>RT @petrogustavo: Desatar el nudo de intereses privados poderosos que se han apropiado de EPM, llevándola al desastre y al desastre de Hidr…</t>
  </si>
  <si>
    <t>RT @Rodrigo_Lara_: Quién cree Ud que debe pagar los 10 billones de pesos de sobrecostos en Hidroituango? 1. Los responsables de los errore…</t>
  </si>
  <si>
    <t>La campaña de medios y políticos contra el alcalde Quintero por su demanda por hidroituango significa una cosa: En… https://t.co/x7jpn5GvXu</t>
  </si>
  <si>
    <t>RT @ChalecosAmarill: 🎥🛑En #Bolivia 🇧🇴 desde las Provincias Sur Carangas y Ladislao Cabrera, en la carretera internacional Bolivia- #Chile,…</t>
  </si>
  <si>
    <t>Si lo dice Paloma no hay proceso por perdida de investidura, pero si lo digo yo, sí. La resistencia es contra el g… https://t.co/uSl7HIkKi1</t>
  </si>
  <si>
    <t>¿Porque la cancillería no ha permitido que la Corte Suprema de Justicia pueda entrevistar a Daniel "el loco" Barrer… https://t.co/HROcfvUDH4</t>
  </si>
  <si>
    <t>Ha renunciado el director se la ANLA. Le solicito a la ciudadanía de Bucaramanga organizar un gran cacerolazo por… https://t.co/JcQhmDEN8N</t>
  </si>
  <si>
    <t>A 28 de junio 3.500 muertes por obstrucción pulmonar no han sido contabilizadas por covid porque no se les hizo pru… https://t.co/f6AATnwckr</t>
  </si>
  <si>
    <t>RT @petrogustavo: Ha renunciado el director se la ANLA. Le solicito a la ciudadanía de Bucaramanga organizar un gran cacerolazo por la def…</t>
  </si>
  <si>
    <t>Acabo de oír esta entrevista y el intento de Vicky de inculpar como sea a Iván Cepeda y la respuesta tranquila del… https://t.co/L0Be8f8qMp</t>
  </si>
  <si>
    <t>Siempre he creido que con el liberalismo progresista que es muy amplio en Colombia, y va mucho mas alla del partido… https://t.co/COlnGlZMBq</t>
  </si>
  <si>
    <t>Vicky escuche la entrevista y.solo arrojo mi opinión. Fueron muy claros el tuso Sierra y su abogado en decir que Iv… https://t.co/9jgHKr7al0</t>
  </si>
  <si>
    <t>RT @petrogustavo: Siempre he creido que con el liberalismo progresista que es muy amplio en Colombia, y va mucho mas alla del partido de su…</t>
  </si>
  <si>
    <t>RT @LAURAMARTlNEZ: El hospital San Juan de Dios ha sido un alivio en la ciudad para la salud de los más pobres, hoy con las mujeres de @col…</t>
  </si>
  <si>
    <t>Nos vemos hoy a las ocho de la noche con María Jimena Duzán. https://t.co/GBS4nUM73u</t>
  </si>
  <si>
    <t>RT @FLIP_org: #AlertaFLIP | Hoy, alrededor del mediodía, Aberlado Lis, comunicador indígena de la emisora Nación Nasa, falleció a causa de…</t>
  </si>
  <si>
    <t>RT @besosxbogota: @AUGUSTOOCAMPO @jcuestanovoa @ElQueLosDELATA @migueldelrioabg Súmate a la campaña, es muy facil: 1 Entra a https://t.co/t…</t>
  </si>
  <si>
    <t>RT @GracianaXXI: Los datos son contundentes: solo 30% de población del país y 18% de población de Bogota han recibido ayudas en Pandemia. ¿…</t>
  </si>
  <si>
    <t>RT @COLElige: #Voto2022 🗳️El senador Gustavo Petro (@petrogustavo) de @ColombiaHumana_ encabeza la intención de voto para la presidencia de…</t>
  </si>
  <si>
    <t>Mi entrevista con María Jimena Duzán sobre un pacto histórico para Colombia https://t.co/YvYSnV9Ykw</t>
  </si>
  <si>
    <t>El New York Times analizando la prensa de Ecuador la califica de revamchista. La transformación de la prensa en pa… https://t.co/2yiASdYmzi</t>
  </si>
  <si>
    <t>Cuarentena sin pago estatal de nóminas, arriendos, deudas y servicios públicos, no sirve. Esta es la demostración.… https://t.co/qqWCGKJV0q</t>
  </si>
  <si>
    <t>Esta encuesta no fue publicada en su momento. Ya había tenido informaciones de otras encuestas similares que explic… https://t.co/uWwJabRMUo</t>
  </si>
  <si>
    <t>Si se quiere que la gente trabaje, priorizar extracción minera es de lo peor que se puede hacer. Es en la agricult… https://t.co/jwp31lcKe7</t>
  </si>
  <si>
    <t>De la tibieza. Yo le llamo el gatopardismo. https://t.co/8EpwxRMjlr</t>
  </si>
  <si>
    <t>RT @petrogustavo: Esta encuesta no fue publicada en su momento. Ya había tenido informaciones de otras encuestas similares que explican la…</t>
  </si>
  <si>
    <t>Abrir la organizacion Colombia Humana en todos los sectores de la sociedad colombiana Cada voto ciudadano por mi d… https://t.co/RuWzflnJPt</t>
  </si>
  <si>
    <t>Esta encuesta muestra que un Pacto Histórico es posible. Podemos juntos pasar de una Colombia violenta, improducti… https://t.co/1znEhzdn4A</t>
  </si>
  <si>
    <t>En suroccidente del país llegamos al 50% de la intención de voto, entre más pobre el estrato es mayor el apoyo la… https://t.co/0hM14c15U2</t>
  </si>
  <si>
    <t>Logramos tener mayoría de los electorados de Colombia Humana, el partido liberal, el partido Mira, el partido de la… https://t.co/YgrmfSMCMg</t>
  </si>
  <si>
    <t>Somos la.primera fuerza politica en el occidente de Colombia, en Bogotá y en el Caribe. Ganamos en la juventud, en… https://t.co/OoYGtD0p9t</t>
  </si>
  <si>
    <t>No solo somos uno de los peores países del mundo en controlar el covid, somos,además, uno de los países que peor ha… https://t.co/lNQpT4h63f</t>
  </si>
  <si>
    <t>RT @elespectador: Petro sería presidente si las elecciones del 2022 fueran hoy, según Invamer. https://t.co/mWlvxaq0n8</t>
  </si>
  <si>
    <t>RT @petrogustavo: No solo somos uno de los peores países del mundo en controlar el covid, somos,además, uno de los países que peor ha manej…</t>
  </si>
  <si>
    <t>Hoy cierran el San Juan de Dios. En días lo van a dinamitar. Se han pasado por la faja la ley de la República que… https://t.co/nzW4beeraD</t>
  </si>
  <si>
    <t>RT @AlexLopezMaya: Sr.@IvanDuque he aquí una testigo que compromete de manera grave a miembros de la @PoliciaColombia y la vigilancia priva…</t>
  </si>
  <si>
    <t>La CAR cree que canalizando, con jarillones se adapta un territorio al cambio climático. Eso solo sirve para urbani… https://t.co/y9oMIoETNT</t>
  </si>
  <si>
    <t>RT @petrogustavo: Hoy cierran el San Juan de Dios. En días lo van a dinamitar. Se han pasado por la faja la ley de la República que lo ele…</t>
  </si>
  <si>
    <t>El gobierno de Trump debe saber que la justicia de Colombia se respeta y que no le está dado ni al ejecutivo nacion… https://t.co/Gzq3SQMaCz</t>
  </si>
  <si>
    <t>RT @ColombiaHumana_: Hoy conversamos con el activismo de Colombia Humana en el departamento de Santander con la presencia de @petrogustavo…</t>
  </si>
  <si>
    <t>RT @Lauraggils: Pasamos de una política exterior para sacar a @NicolasMaduro de Miraflores a una para sacar @AlvaroUribeVel de la cárcel. h…</t>
  </si>
  <si>
    <t>RT @petrogustavo: El gobierno de Trump debe saber que la justicia de Colombia se respeta y que no le está dado ni al ejecutivo nacional ni…</t>
  </si>
  <si>
    <t>RT @petrogustavo: Mi entrevista con María Jimena Duzán sobre un pacto histórico para Colombia https://t.co/YvYSnV9Ykw</t>
  </si>
  <si>
    <t>En plena reunión de campesinos con Naciones Unidas y el gobierno los ataca. Duque le declaró una guerra al campesin… https://t.co/lrD9xi2cbs</t>
  </si>
  <si>
    <t>RT @jcuestanovoa: Hoy cerraron el Hospital San Juan de Dios. Del poder de la ciudadanía depende evitar que sea dinamitado por Copasa. Si, l…</t>
  </si>
  <si>
    <t>RT @DanielRMed: La última vez que cerraron el San Juan de Dios lo hizo Pastrana siendo alcalde, cortó los servicios públicos habiendo pacie…</t>
  </si>
  <si>
    <t>RT @DanielRMed: Esto decíamos en campaña presidencial, nuestra lucha por el san Juan de Dios no es por “joder a claudia” como dicen con lig…</t>
  </si>
  <si>
    <t>Eduar, si estudio UNAL que contratamos dijo que el edificio central es nivel 2 que prohibe la demolición porque pas… https://t.co/QWEGtKZP4L</t>
  </si>
  <si>
    <t>RT @petrogustavo: En plena reunión de campesinos con Naciones Unidas y el gobierno los ataca. Duque le declaró una guerra al campesinado de…</t>
  </si>
  <si>
    <t>RT @cielo_rusinque: Que tristeza tan grande el cierre definitivo del San Juan de Dios. Pasará a la historia esa impresentable demolición, l…</t>
  </si>
  <si>
    <t>RT @AndresCamiloHR: Es una lástima, hoy es el último día de funcionamiento del San Juan de Dios, beneficiaron a Copasa la sobornadora del P…</t>
  </si>
  <si>
    <t>RT @ammejiaaguado: José Caro representante de la Asociación de pacientes del HSJD. Informa q ⁦@ClaudiaLopez⁩ ya clausuró los servicios de s…</t>
  </si>
  <si>
    <t>RT @BunkerGlo: ¿Dónde están los periodistas que el pasado 10 de abril le exigían a @petrogustavo sus exámenes médicos y diagnóstico de cánc…</t>
  </si>
  <si>
    <t>RT @susanamuhamad: No lo vamos a permitir! No van a demoler la Torre Central, daremos todo para ello.</t>
  </si>
  <si>
    <t>RT @ma_eugeniam: Al parecer, la Alcaldía entiende que la ruta heredada contradice la Ley 735. En la barca del médico Morales y COPASA, pers…</t>
  </si>
  <si>
    <t>RT @charry_manager: Jose Caro de la asociación de pacientes del San Juan de Dios notifica el cierre de los servicios médicos por parte de @…</t>
  </si>
  <si>
    <t>Digámosle a este señor en su cuenta. Que debe respetar la.independencia del poder judicial de Colombia y que deje d… https://t.co/7YYDLvatgz</t>
  </si>
  <si>
    <t>Este es mi idebate sobre el San Juan de Dios. Una historia de inmoralidad administrativa https://t.co/05mCKPpxO4</t>
  </si>
  <si>
    <t>M intervención en CNN sobre el narcotráfico y el aseguramiento domiciliario de Uribe https://t.co/uhHdieMEsj</t>
  </si>
  <si>
    <t>Nadie esta por encima de la ley le responde el senador Patrick Leahy al vicepresidente de los EEUU Pence, por sus p… https://t.co/gVgVdbInWy</t>
  </si>
  <si>
    <t>RT @SaninPazC: Lo peor de la cuarentena de Bogotá no es que se prolongue. Es que es MENTIRA, un hacer como si, un hacer por hacer. La polic…</t>
  </si>
  <si>
    <t>RT @JUANCAELBROKY: En Chapinero en estos momentos hay comerciantes y trabajadores informales que se movilizan hacia los alrededores de la r…</t>
  </si>
  <si>
    <t>Y al final, lo único que creció económicamente fue la utilidad bancaria. Mientras el valor agregado financiero crec… https://t.co/LToQcXGcbk</t>
  </si>
  <si>
    <t>RT @JMVivancoHRW: Colombia ha hecho un trabajo llamativamente negligente para extraditar a Mancuso desde EEUU. El ex-comandante paramilit…</t>
  </si>
  <si>
    <t>Por qué es un duro golpe al empresariado antioqueño el que salgan de la junta directiva fe EPM, los miembros del GE… https://t.co/TQkOKZVpqt</t>
  </si>
  <si>
    <t>¿Y los muertos Nicolás Uribe? ¿No importan? ¿Acaso lo que deberiamos pensar no es en una cuarentena estricta con fu… https://t.co/RiEUhc3W0i</t>
  </si>
  <si>
    <t>Lina tiene razón. Invito a todos los abogados demócratas de Bogotá a defender el hospital San Juan de Dios, símbolo… https://t.co/dZlJRoAekN</t>
  </si>
  <si>
    <t>¿Saben que significa que el.Presidente de Colombia le pida al vicepresidente de los EEUU, presionar a la Justicia c… https://t.co/bY0T6nMB3L</t>
  </si>
  <si>
    <t>Mientras nuestra economía cae 17%, la economía China crece 4,8% ¿por qué? Porque hicieron su cuarentena estricta s… https://t.co/4UshvgNFpp</t>
  </si>
  <si>
    <t>Dejar los médicos colombianos fuera del pais es un absurso total. Si algún viaje humanitario debe priorizarse es el… https://t.co/8tiH7GDjF7</t>
  </si>
  <si>
    <t>RT @sofia_petro: ¿Cuantos más deben morir para que en Colombia despierte con furor un movimiento social anti-racista de la magnitud del mov…</t>
  </si>
  <si>
    <t>RT @andosc1: Páramo de Santurbán: independientemente de los límites altitudinales que traten de demarcarlo, el impactó de la megamineria…</t>
  </si>
  <si>
    <t>RT @petrogustavo: Este es mi idebate sobre el San Juan de Dios. Una historia de inmoralidad administrativa https://t.co/05mCKPpxO4</t>
  </si>
  <si>
    <t>RT @LUISEROLAVE: Estamos a punto de un etnocidio en Bogotá por parte de la Policía y el ESMAD en protesta Pacífica frente a la @FiscaliaCol…</t>
  </si>
  <si>
    <t>RT @AndresCamiloHR: El Senador @petrogustavo le gana una nueva batalla a la Vicepresidenta @mluciaramirez en la Corte Suprema de Justicia,…</t>
  </si>
  <si>
    <t>RT @donadolforivas: No es una foto de los años 80s o 90s, es una foto del velorio de la masacre de 5 niños en Cali, Agosto de 2020. ¡Se q…</t>
  </si>
  <si>
    <t>RT @marthaperaltae: ATENCIÓN La Alcaldía de @ClaudiaLopez de nuevo engañó a los indígenas Embera y les incumplieron el acuerdo que habían f…</t>
  </si>
  <si>
    <t>El tiempo de las masacres volvió y como siempre es el pueblo humilde, el pueblo indigena, el pueblo negro, el puebl… https://t.co/fgCDX6WUMd</t>
  </si>
  <si>
    <t>RT @AndresCamiloHR: Parte II entrevista con CNN en Español @petrogustavo: Que haya exguerrilleros en el congreso no quiere decir que a Uri…</t>
  </si>
  <si>
    <t>RT @DavidRacero: Más que titulares sobre discusión con Duque, a los bogotanos nos gustaría ver titulares sobre la no destrucción del San Ju…</t>
  </si>
  <si>
    <t>RT @petrogustavo: El tiempo de las masacres volvió y como siempre es el pueblo humilde, el pueblo indigena, el pueblo negro, el pueblo jove…</t>
  </si>
  <si>
    <t>Lo que hizo el gobierno de Duque con los indígenas y el periodista es una masacre. disparar contra un pueblo desarm… https://t.co/SAUnOoF29b</t>
  </si>
  <si>
    <t>RT @adelinacovo: Buen comienzo. Después de entrevistas con @RoyBarreras y @MJDuzan, excelentes, y las dos esta semana, cada vez más gente…</t>
  </si>
  <si>
    <t>RT @charry_manager: ¿A quien le duelen nuestros muertos? #Los5DeLlanoVerde https://t.co/5WrLNQ8a28</t>
  </si>
  <si>
    <t>Una nueva masacre de nueve personas en Samaniego, Nariño. Duque en silencio, impávido ante la muerte. La dejan ha… https://t.co/NpVFcQYvnF</t>
  </si>
  <si>
    <t>Estuve en Samaniego con su plaza llena. Allí ganamos. Las masacres las hacen en las regiones donde ganó Colombia Hu… https://t.co/c7UADj6fmh</t>
  </si>
  <si>
    <t>No tiene dignidad una Nación que deja asesinar su juventud y su niñez. La fuerza pública la dirige un político. N… https://t.co/lXMCz6tMcA</t>
  </si>
  <si>
    <t>El diario de Carmenza y la masacre de Llano Verde. https://t.co/OEDNwq58Jp</t>
  </si>
  <si>
    <t>De héroes postizos. Si el uribismo fuera racional entendería la verdad en estas palabras, pero para no comprender… https://t.co/C3tdgGa0dV</t>
  </si>
  <si>
    <t>La estafa a la ciudadanía de Mosquera que hicieron los Uribe. Ahora con la senadora Rozo, hija del alcalde que les… https://t.co/OEVZkzeqCD</t>
  </si>
  <si>
    <t>Hicieron trizas la paz, y el pueblo de la patria boba votó por ellos. https://t.co/qH2qfoUEqs</t>
  </si>
  <si>
    <t>Lo que está pasando Vicky, es que en el poder están los verdaderos asesinos. Cuando las mafias tienen poder políti… https://t.co/SSbK4WDquP</t>
  </si>
  <si>
    <t>RT @petrogustavo: Hicieron trizas la paz, y el pueblo de la patria boba votó por ellos.</t>
  </si>
  <si>
    <t>¿Despertó? Zapateiro y Holmes, tal para cual. https://t.co/t2ZOZAhzwf</t>
  </si>
  <si>
    <t>Sergio, ¿se podía votar en blanco ante la barbarie? https://t.co/OVcrTBerrg</t>
  </si>
  <si>
    <t>RT @petrogustavo: Una nueva masacre de nueve personas en Samaniego, Nariño. Duque en silencio, impávido ante la muerte. La dejan hacer, m…</t>
  </si>
  <si>
    <t>Yo de usted, Duque, viajaría personalmente a Samaniego a coordinar la operación ¡atrévase! https://t.co/t2ZOZAhzwf</t>
  </si>
  <si>
    <t>RT @ClaMoralesM: #Hilo. Hace unos días escribí q es aterrador q tengamos más de 14.000 muertos por Covid19. Hubo quienes respondieron q es…</t>
  </si>
  <si>
    <t>RT @petrogustavo: El diario de Carmenza y la masacre de Llano Verde. https://t.co/OEDNwq58Jp</t>
  </si>
  <si>
    <t>RT @pierrealee: Se debe atender la #DesobedienciaCivil convocada por @petrogustavo y la @ColombiaHumana_. Solo una ciudadanía activa, organ…</t>
  </si>
  <si>
    <t>La patria boba es un pueblo manso que llevan como rebaño al matadero.</t>
  </si>
  <si>
    <t>RT @finseya5: @ClaudiaLopez @petrogustavo Las cuarentenas zonales tienen un impacto leve e insostenible, mientras la ciudad sigue con repro…</t>
  </si>
  <si>
    <t>Las masacres son en estas zonas, y de ahí la indiferencia cómplice del gobierno. https://t.co/7pTZiH3Nwy</t>
  </si>
  <si>
    <t>RT @CIDH: La @CIDH recuerda al Estado de #Colombia 🇨🇴 que según sus obligaciones internacionales en materia de DDHH, tiene el deber de prot…</t>
  </si>
  <si>
    <t>RT @MoisesAlvaro_: Así votó Samaniego el plebiscito y las elecciones en 2018. Señalar que quienes son más golpeados por la violencia no eli…</t>
  </si>
  <si>
    <t>¿No es hora acaso? ¿Qué más esperamos? https://t.co/t9enNvZUH2</t>
  </si>
  <si>
    <t>RT @BettyCortesRod1: @MajoDoria Q se escuche nuevamente! https://t.co/TGt2qeaB9m</t>
  </si>
  <si>
    <t>Invito a toda la juventud nariñense, a todo el estudiantado de la Universidad de Nariño, a expresarse con el cacero… https://t.co/WPpjtUA5cP</t>
  </si>
  <si>
    <t>RT @nicolaspetroB: Hoy a las 7pm Cacerolazo y Velatón por la vida de nuestros jóvenes. https://t.co/Z4DJjCtArh</t>
  </si>
  <si>
    <t>RT @Annonnymous_R: #NosEstanMasacrando #QuienMatoALos9 en #Samaniego, Nariño #QuienMatoALos5 en #LlanoVerde, Cali #QuienMatoALos2 en #Ley…</t>
  </si>
  <si>
    <t>RT @JuanGutierrez_G: Nos oímos a las 7pm en el Cacerolazo, que retumbe Colombia.</t>
  </si>
  <si>
    <t>La manera de detener la matanza es con la reacción ciudadana. Si nos quedamos callados y quietos las masacres aumen… https://t.co/Yondwb7ngR</t>
  </si>
  <si>
    <t>RT @Rasilves: Hoy a las 7:00 p.m. Cacerolazo y Velaton por la vida de nuestros jóvenes. https://t.co/nKwjyTKN9G Copie y pegue que llegue a…</t>
  </si>
  <si>
    <t>RT @katheCez: #Samaniego #LlanoVerde #Leyva #Cauca #Narino #Nariño #QuienMatoALos9 #Los5DeLlanoVerde #Cacerolazo #cacerolazonacional #Luto…</t>
  </si>
  <si>
    <t>Solo porque eran universitarios, solo porque estaban reunidos, solo porque eran jóvenes Por eso los mataron. Hoy… https://t.co/NDN1kJNqzI</t>
  </si>
  <si>
    <t>RT @EpicuroDeSamos_: Pese al aguacero, Samaniego salió a escuchar a @petrogustavo. En Nariño Petro ganó. Las regiones golpeadas quieren l…</t>
  </si>
  <si>
    <t>RT @Juventud_Humana: Todas y todos a alzar las voces y las cacerolas desde esta noche a las 7 p.m. Que suene nuestra indignación desde tod…</t>
  </si>
  <si>
    <t>RT @jerojasrodrigue: ¿Esperamos otra masacre como la que la que ocurrió en #Samaniego (Nariño) o reaccionamos en defensa de la vida de nues…</t>
  </si>
  <si>
    <t>RT @IVANSERRANOAL: Profeta https://t.co/davRKVRNmV</t>
  </si>
  <si>
    <t>RT @Vergaran: @IrinaJunieles Invito a protestar contra los asesinos de los líderes sociales que como agentes del ayer persisten en vivir ma…</t>
  </si>
  <si>
    <t>RT @petrogustavo: Solo porque eran universitarios, solo porque estaban reunidos, solo porque eran jóvenes Por eso los mataron. Hoy cacero…</t>
  </si>
  <si>
    <t>RT @JuguitoDignidad: ¡C A C E R O L A Z O! https://t.co/8Xuhds26dt</t>
  </si>
  <si>
    <t>RT @cesarlopezmusic: S.O.S MUNDIAL que alguien nos escuche! nos estan Matando. llamamos a organizaciones mundiales de derechos humanos, me…</t>
  </si>
  <si>
    <t>RT @luzmcaro: Cacerolazo, ya, hoy a la 7 p.m. ¡No más muerte! ¡NO más! ¡A nuestros jóvenes se respeta! 💔🥄🔍🕯🕯</t>
  </si>
  <si>
    <t>RT @ColombiaHumana_: Hoy a las 7:00 p.m. Cacerolazo y Velaton por la vida de nuestros jóvenes. https://t.co/Rnhbz6FHvI</t>
  </si>
  <si>
    <t>RT @anateresabernal: ¡¡¡Protestó!!!Me uno a esta protesta, contra la muerte asesina y despiadada de niños y jóvenes en varios lugares del p…</t>
  </si>
  <si>
    <t>RT @sindesenacol: Ayer fueron 5 y hoy fueron 9 los jóvenes que se suman a la nueva era de muerte y violencia en la que el uribismo tiene su…</t>
  </si>
  <si>
    <t>RT @ONUHumanRights: Cumpliendo nuestro mandato, en lo que va de 2020, hemos documentado 33 masacres y restan 7 por documentar. También, dam…</t>
  </si>
  <si>
    <t>RT @jcuestanovoa: Están matando a los jóvenes colombianos. A CACEROLIAR por la vida de nuestra juventud. Hoy a las 7 pm. Ahí nos vemos. htt…</t>
  </si>
  <si>
    <t>RT @danielalozanocu: 20 de enero de 2019. Nos avisaron y no les creímos: "Plomo es lo que hay, plomo es lo que viene". https://t.co/NclW2M…</t>
  </si>
  <si>
    <t>RT @pierrealee: El mal gobierno de @IvanDuque no se atreve a ir hasta #Samaniego. ¿Por qué? https://t.co/zPXBIiBg7q @petrogustavo #MasacreE…</t>
  </si>
  <si>
    <t>RT @HOLLMANMORRIS: Cacerolaso por la vida hoy 7pm desde todos los balcones y ventanas. Nos duele los jóvenes asesinados en Samaniego los…</t>
  </si>
  <si>
    <t>RT @Otraperiodista: Si los medios justificamos la violencia estamos perdidos https://t.co/vTnZdB1alh</t>
  </si>
  <si>
    <t>RT @cielo_rusinque: En 20 minutos... https://t.co/YGj4lvOyoT</t>
  </si>
  <si>
    <t>RT @VictorJCorreaV: Ante la barbarie que está acabando con los sueños y la vida de nuestros niños, niñas y jóvenes, que no gane el silencio…</t>
  </si>
  <si>
    <t>RT @sergio_serrano_: Ya casi, alisten el kit https://t.co/iL8dhowJZu</t>
  </si>
  <si>
    <t>RT @luzmcaro: luzmcaro (@luzmcaro) twitteó: Cacerolazo, ya, hoy a la 7 p.m. ¡No más muerte! ¡NO más! ¡A nuestros jóvenes se respeta! ht…</t>
  </si>
  <si>
    <t>RT @LuisGPerezCasas: ¡Encendamos una vela contra la noche oscura de la patria¡ ¡hagamos sonar las cacerolas contra el silencio de la justic…</t>
  </si>
  <si>
    <t>RT @barv_: Suenan cacerolas. ¡No más masacres!</t>
  </si>
  <si>
    <t>RT @MafeCarrascal: En mi barrio ya empezó el cacerolazo contra las masacres #NosEstánMatando https://t.co/jUYzTLErWC</t>
  </si>
  <si>
    <t>RT @limoros: Cacerolazo por la vida- https://t.co/zjwKX5yjtw</t>
  </si>
  <si>
    <t>RT @marthaperaltae: Hagamos viral este video y que en cada casa se escuche con fuerza la cacerola. Que suene nuestra indignación. Por nues…</t>
  </si>
  <si>
    <t>RT @madameperine: Siguen sonando las cacerolas con fuerza y no pararemos. No nos van a callar. Este dolor es tan fuerte que vamos a cantarl…</t>
  </si>
  <si>
    <t>RT @angelalilileon: Cacerolazo por #MasacreEnSamaniego #BlackLivesMatter #QuienMatoALos9 #DuqueHueleASangre #cacerolazonacional #LaVidaEsS…</t>
  </si>
  <si>
    <t>RT @LaPazColombiani: Cacerolazo por la Vida. 🍳🥄 #NosEstánMasacrando #CacerolazoNacional #NosEstanMatando #Samaniego https://t.co/EDkiZYjk13</t>
  </si>
  <si>
    <t>RT @greciareynoso_a: Los sacamos por corruptos #CacerolazoSeFueron #cacerolazonacional #Cacerolazo #sevan #BellaVista ⁦@RDSomosPueblo⁩ http…</t>
  </si>
  <si>
    <t>RT @Lizj_L: Suenan las cacerolas por la vida #NosEstanMasacrando #cacerolazonacional 🕯 https://t.co/4uGq108nDN</t>
  </si>
  <si>
    <t>RT @AnaNates: Cacerolazos en Bogotá por el asesinato de 18 jóvenes en una semana. Colombia se indigna porque sabe que #DuqueHueleASangre qu…</t>
  </si>
  <si>
    <t>RT @wilmarperdomo_: Cada vez más vecinos se unen con sus cacerolas para rechazar la violencia. No queremos seguir repitiendo la historia,…</t>
  </si>
  <si>
    <t>RT @arllach90: Aún nos duele tanta violencia Colombia🇨🇴 #cacerolazo por la vida 🍳💥 https://t.co/jk8SKAiNSS</t>
  </si>
  <si>
    <t>RT @linasb_: A esta hora, Pasto-Nariño. #MasacreEnSamaniego #Cacerolazo https://t.co/F3P9UrXORH</t>
  </si>
  <si>
    <t>RT @heidy_up: Suenan las cacerolas, que el silencio de la impunidad se vea opacado por nuestro ruido de indignación. #NosEstanMasacrando h…</t>
  </si>
  <si>
    <t>RT @jcuestanovoa: En nuestro territorio Pablo VI se escucha con fuerza el Cacerolazo por la vida de los jóvenes colombianos. #NosEstanMasac…</t>
  </si>
  <si>
    <t>RT @JuanGutierrez_G: Cacerolazo por la Vida. #DuqueDetengaLaMasacre https://t.co/uklSK8MwIX</t>
  </si>
  <si>
    <t>RT @luisgaburo80: Que llegue al gobierno, se acaben los grupos delincuenciales y no muera más gente en nuestra querida Colombia. Cacerolazo…</t>
  </si>
  <si>
    <t>RT @jerojasrodrigue: #NosEstanMasacrando A esta hora el cacerolazo por la vida en el centro internacional de Bogotá. https://t.co/IVDYxbs…</t>
  </si>
  <si>
    <t>RT @jcuestanovoa: Pablo VI de pie y presente en el Cacerolazo por la Vida de nuestra Juventud. #NosEstanMasacrando #NosEstanMatando https:/…</t>
  </si>
  <si>
    <t>RT @sergio_serrano_: Sonó el cacerolazo https://t.co/tfteYOWPyg</t>
  </si>
  <si>
    <t>RT @ManosLimpiasCo: Colombia alza su voz contra el terrorismo de estado. #CacerolazoNacional #NosEstanMasacrando https://t.co/6Q8KXNfphi</t>
  </si>
  <si>
    <t>RT @ixxmr3: Yo estaba viendo la entrevista de Uribe (perdiendo el tiempo) y ahora me pasé a esta y estoy 🥰🥰🥰 @smilelalis @petrogustavo @Gus…</t>
  </si>
  <si>
    <t>RT @JulieDuque1: Hoy el pueblo Nasa acompañó en su regreso a la madre tierra a Johel Rivera y al periodista Abelardo Liz, asesinados por @C…</t>
  </si>
  <si>
    <t>Increíble, semana potenciando que el subjudice destruya a su juez. https://t.co/cCOKtta0Ui</t>
  </si>
  <si>
    <t>RT @CathyJuvinao: La indignación se metió en mi conjunto. #Cacerolazo #QuienMatoALos9 #QuienMatoALos5 #Pusilánimes https://t.co/FLar0tfumG</t>
  </si>
  <si>
    <t>RT @petrogustavo: Increíble, semana potenciando que el subjudice destruya a su juez. https://t.co/cCOKtta0Ui</t>
  </si>
  <si>
    <t>RT @Magnolia_MZ: #Cacerolazo #Resistimos #BastaYa #NosEstanMasacrando @MovimientoMAIS @heidy_up @FelicianoValen https://t.co/77Dn1289sZ</t>
  </si>
  <si>
    <t>RT @ma_eugeniam: No es cierto, @EnriquePenalosa que nuevo Santa Clara tenga diseños. En 2020, se contrató a COPASA para DISEÑO, construcció…</t>
  </si>
  <si>
    <t>RT @marthaperaltae: ATENCIÓN. Hace unos minutos, mientras estábamos en #Cacerolazo atentaron contra el líder indígena Jesús Emilio Torres,…</t>
  </si>
  <si>
    <t>RT @JNeiraN: Hace 26 años, el DAS de Álvaro Uribe, asesino en B/Quilla al Profesor Alfredo Correa De Andreis; Era un Maestro inofensivo, ma…</t>
  </si>
  <si>
    <t>RT @Ivan_Velasquez_: La arremetida de Duque, Uribe, sus abogados y el partido Centro Democrático contra la Sala de Instrucción, pretende in…</t>
  </si>
  <si>
    <t>Lo que hizo ayer Revista Semana quedará en la historia. Le amplificó durante tres horas a un detenido su posibilida… https://t.co/Y6ptuxsRrX</t>
  </si>
  <si>
    <t>Lo que ha hecho Uribe, las periodistas y Semana, es precisamente interferir en el proceso penal que es la razón por… https://t.co/bZPahJQ7n5</t>
  </si>
  <si>
    <t>Extraño. El GEA, grupo empresarial antioqueño, es el reasegurador de Hidroituango. Este es el origen del desastre.… https://t.co/cB6PFFE7ZP</t>
  </si>
  <si>
    <t>RT @sebaslopezv: Veo muy bravo a @sergio_fajardo tallando al gobierno por seguridad; mientras fue gobernador, yo fui Sec de Gobierno de Sab…</t>
  </si>
  <si>
    <t>Usted señor abogado sabe la diferencia entre tener aseguramiento domiciliario por la investigación de un delito, y… https://t.co/SNTNJtJ2JX</t>
  </si>
  <si>
    <t>RT @EpicuroDeSamos_: Me tomé el atrevimiento de copiar los trinos del comunicado del senador @IvanCepedaCast en un solo texto para su mejor…</t>
  </si>
  <si>
    <t>Si se quiere retomar la senda de crecimiento, lo primero que hay que hacer es controlar la enfermedad. o será que q… https://t.co/UzVyNXHtzI</t>
  </si>
  <si>
    <t>Y por qué, me pregunto, votar en blanco entre escoger el traqueto o la profesora para ser rectores de una sociedad? https://t.co/pepg5cRCn3</t>
  </si>
  <si>
    <t>No lo dirá la prensa porque está ocupada entrevistando a Uribe para denigrar de la Corte Suprema de justicia, pero… https://t.co/mjWeKLkCsY</t>
  </si>
  <si>
    <t>RT @IvanCepedaCast: 29. La larga entrevista de anoche en @RevistaSemana prueba que la decisión de la CSJ de privar de libertad a Uribe para…</t>
  </si>
  <si>
    <t>RT @wilsonariasc: Pendientes hoy de esta conversación con @petrogustavo sobre las violencias estatales y para estatales contra las juventud…</t>
  </si>
  <si>
    <t>RT @nicolaspetroB: Cómo ciudadano, le solicito a @RevistaSemana y a @VickyDavilaH que le hagan una entrevista con el mismo formato y el mis…</t>
  </si>
  <si>
    <t>Le exigimos a revista semana que en el mismo formato y durante el mismo tiempo Iván Cepeda se pueda defender del at… https://t.co/LAZzOjAKXz</t>
  </si>
  <si>
    <t>RT @RadioChecheres: 📲 _⚠️ #DuqueDetengaLaMasacre* ⚠️ 😡 _Luego de las masacres en Llano Verde, Cali, y Samaniego, Nariño,_ *es más que cla…</t>
  </si>
  <si>
    <t>RT @lamendez24: usted @IvanDuque ¡debe respetarnos la vida, se lo exigimos! nuestros niñ@s, jóvenes, l@s firmantes de La Paz y l@s líderes/…</t>
  </si>
  <si>
    <t>RT @RadioChecheres: 📲 Es momento de exigirle a Duque que asuma la responsabilidad que tiene con Colombia._ *Vamos todas y todos a llenar la…</t>
  </si>
  <si>
    <t>RT @michelleobandoc: Desde #NuestraCausa en Cali, nos manifestamos por los asesinatos sistemáticos de jóvenes en el país. #DuqueDetengaLaM…</t>
  </si>
  <si>
    <t>RT @DanielDurantti: #DuqueDetengaLaMasacre #NosEstanMasacrando https://t.co/1t9JbQ4w3f</t>
  </si>
  <si>
    <t>RT @humana_tv: #DuqueDetengaLaMasacre @gatoprogresista https://t.co/oMJstfzSvN</t>
  </si>
  <si>
    <t>RT @yenniferhurtado: @IvanDuque, ¿Cuánta sangre tiene que seguir derramando Colombia por su ineptitud? #DuqueDetengaLaMasacre https://t.co/…</t>
  </si>
  <si>
    <t>RT @Juventud_Humana: Nuestra generación decidió cambiar a Colombia, y ese cambio es imparable. Las masacres no son más que la respuesta asu…</t>
  </si>
  <si>
    <t>RT @jdangarita23: #DuqueDetengaLaMasacre 🆘📣 https://t.co/3GyZazlNq7</t>
  </si>
  <si>
    <t>RT @juanfe_lozano: Porque estamos cansados de vivir con miedo,de vivir bajo el yugo de un gobierno con políticas de la muerte. Silenciaron…</t>
  </si>
  <si>
    <t>RT @Nico_Meneses99: #DuqueDetengaLaMasacre Nos quieren callar generando miedo https://t.co/YOuFs7UVop</t>
  </si>
  <si>
    <t>RT @petrogustavo: Le exigimos a revista semana que en el mismo formato y durante el mismo tiempo Iván Cepeda se pueda defender del ataque d…</t>
  </si>
  <si>
    <t>RT @humana_tv: Juventud Humana Santander en las calles de Bucaramanga para hacer un homenaje a su compañera María Eugenia Gutiérrez y recla…</t>
  </si>
  <si>
    <t>RT @humana_tv: #DuqueDetengaLaMasacre https://t.co/JW8l0uDgp6</t>
  </si>
  <si>
    <t>RT @progresistascol: Las y los jóvenes de la @ColombiaHumana_ dicen: #DuqueDetengaLaMasacre 😡 https://t.co/deljqRzTVp</t>
  </si>
  <si>
    <t>RT @progresistascol: Duque no puede mantener su silencio cómplice ante las masacres contra la juventud y el pueblo colombiano. #DuqueDeten…</t>
  </si>
  <si>
    <t>RT @ismene2: Ve, recuerden que los periodistas dicen que su razón de ser somos nosotros, sus lectores y oyentes. Pues bueno, sin lectores n…</t>
  </si>
  <si>
    <t>RT @Juventud_Humana: Las juventudes tolimenses también se suman al llamado #DuqueDetengaLaMasacre. Presidente, asuma su responsabilidad com…</t>
  </si>
  <si>
    <t>RT @Dianis0397: #DuqueHueleASangre #DuqueRenuncie #DuqueHueleASangre por todas las voces que gritan en silencio no Mas MASACRES. https://t.…</t>
  </si>
  <si>
    <t>RT @Juventud_Humana: Que las masacres de la semana pasada no sean ajenas a nadie en Colombia. No puede ser posible que seamos meros especta…</t>
  </si>
  <si>
    <t>RT @Juventud_Humana: Las juventudes nariñenses no estamos dispuestas a dejar que la masacre en Samaniego quede impune. Duque, su obligació…</t>
  </si>
  <si>
    <t>RT @LeydiVCarvajal: #JuventudHumana #DuqueDetengaLaMasacre https://t.co/2nFsZ5mslL</t>
  </si>
  <si>
    <t>RT @lafm: Masacre de Samaniego: ELN niega participación en el asesinato de los jóvenes https://t.co/FhNNjifiih</t>
  </si>
  <si>
    <t>RT @sergio_fajardo: Yo voto en blanco https://t.co/G0vbc1Slns</t>
  </si>
  <si>
    <t>RT @MoisesAlvaro_: Desde Antioquia, Victoria Strauss expresa su indignación por las recientes masacres que demuestran que Colombia está sec…</t>
  </si>
  <si>
    <t>RT @Juventud_Humana: Es aberrante que, bajo el régimen uribista, a las y los jóvenes y a la niñez se nos asesine y a los paramilitares se l…</t>
  </si>
  <si>
    <t>RT @GustavoBolivar: #CepedaResponde Esta noche 7:00PM los espero en las redes sociales. Verán caer cada mentira del “pobre secuestrado”.…</t>
  </si>
  <si>
    <t>Si algo debería estar abierto, es el consultorio en todas las especialidades médicas. Se disminuye la letalidad de… https://t.co/42qrCDoeGZ</t>
  </si>
  <si>
    <t>RT @GustavoBolivar: No somos @RevistaSemana con sus millones de seguidores y presupuesto pero la entrevista a @IvanCepedaCast tuvo picos de…</t>
  </si>
  <si>
    <t>RT @cielo_rusinque: Por favor, les toma de a 2 minutos ver esto, para que no los engañen tan salvajemente, Audiencia de @petrogustavo ante…</t>
  </si>
  <si>
    <t>RT @Rodrigo_Lara_: Invamer, la encuestadora del Grupo Empresarial Antioqueño, tiene el propósito de hacerle creer a este país que sus dos p…</t>
  </si>
  <si>
    <t>RT @cielo_rusinque: Las sanciones fueron por DECRETOS, NUNCA por ACTOS de CORRUPCIÓN como se ha querido hacer entender a la opinión pública…</t>
  </si>
  <si>
    <t>RT @cielo_rusinque: “Como los operadores que estaban bajo contratación directa de origen PRIVADO, sabían que íbamos a aplicar la Sentencia…</t>
  </si>
  <si>
    <t>RT @cielo_rusinque: ”Tratamos q la opción privilegiada fueran los más débiles y la reacción de intereses privados se movían para impedirlo.…</t>
  </si>
  <si>
    <t>RT @cielo_rusinque: “La @CConstitucional me había ordenado empoderar a los recicladores, 14mil familias muy pobres que viven recogiendo bas…</t>
  </si>
  <si>
    <t>RT @cielo_rusinque: “Son miles las personas que hoy no tienen derechos políticos en virtud de decisiones administrativas” Los órganos de c…</t>
  </si>
  <si>
    <t>RT @MoisesAlvaro_: Patético y desesperado el uribismo intentando convencer al país de que cambiar el modelo de aseo en Bogotá es un delito…</t>
  </si>
  <si>
    <t>RT @petrogustavo: Si algo debería estar abierto, es el consultorio en todas las especialidades médicas. Se disminuye la letalidad del viru…</t>
  </si>
  <si>
    <t>RT @CarlosCarrilloA: Muchos políticos mueren de miedo por el veto de los grandes medios, por eso son incapaces de ser críticos con la medio…</t>
  </si>
  <si>
    <t>Quieren por ley desarrollar el fracking en Colombia. Con esto se perderá el agua de regiones enteras por la explota… https://t.co/8bUQ0LZ3JI</t>
  </si>
  <si>
    <t>No era economía naranja, era economía depredadora.</t>
  </si>
  <si>
    <t>Reconvertir la extracción carbonera en Boyacá, Cundinamarca, Santander y Norte de Santander hacia la agricultura, y… https://t.co/gFIVZ7mWzH</t>
  </si>
  <si>
    <t>Les parece satánica la idea de un banco publico fuerte que tramite créditos a los sectores económicos a donde no ll… https://t.co/pwxmkDffUs</t>
  </si>
  <si>
    <t>Nada se saca cambiando impuestos de hoy por endeudamiento en Bogotá, porque el endeudamiento es más impuestos con i… https://t.co/8Zk1UqBF4G</t>
  </si>
  <si>
    <t>Si se asocian las pequeñas empresas bogotanas con una fuerte inversión estatal en fibra óptica y energías limpias,… https://t.co/7WLr8jL9yk</t>
  </si>
  <si>
    <t>RT @DanielRMed: Fíjese que en su búsqueda de candidato presidencial Angélica Lozano no se interesa por aspectos programáticos, no quiere a…</t>
  </si>
  <si>
    <t>Si se ayuda a asociar a las pequeñas empresas estas pueden renacer Ligar la condonación de créditos a inversión en… https://t.co/sdO9bFv5RV</t>
  </si>
  <si>
    <t>RT @GiordanoBrunoFi: En ciencia política se llama "gatopardista" al político cosmético; que insta a una transformación, pero que en la prác…</t>
  </si>
  <si>
    <t>Que se vayan ellos. Los que prohibieron gritar Libertad. https://t.co/viy9Plyj3R</t>
  </si>
  <si>
    <t>Galán creía, siguiendo a Carlos Lleras, que el partido liberal era una coalición de matices de izquierda. Pero en l… https://t.co/g6KaSg3D0R</t>
  </si>
  <si>
    <t>RT @SenorCaicedo: No pueden negar que @petrogustavo tuvo toda la razón y @sergio_fajardo facilitó las cosas. https://t.co/G69HgMfQNY</t>
  </si>
  <si>
    <t>La policía no es una institución hecha para que se tape su ineptitud con la revictimación de los jóvenes asesinados… https://t.co/ZHTFEbxtkZ</t>
  </si>
  <si>
    <t>No me imagino ni al.partido demócrata ni al republicano, ni a ningún partido europeo o japo3nes o coreano, pretendi… https://t.co/SQmNajRdke</t>
  </si>
  <si>
    <t>Iván cepeda es uno de los mejores senadores. Su compromiso ha sido con la paz y no con las Farc y lo logró. Su logr… https://t.co/f3xxwzZb4M</t>
  </si>
  <si>
    <t>RT @DanielRMed: Se le borró este trino respetada y honorable senadora @AngelicaLozanoC https://t.co/iFxVwDEITP</t>
  </si>
  <si>
    <t>RT @petrogustavo: Iván cepeda es uno de los mejores senadores. Su compromiso ha sido con la paz y no con las Farc y lo logró. Su logro es e…</t>
  </si>
  <si>
    <t>RT @LevyRincon: ¿Por qué Angélica Lozano desde ya quiere vender esa idea ridícula de que Petro genera odio y no une? Le recuerdo que el que…</t>
  </si>
  <si>
    <t>RT @petrogustavo: La policía no es una institución hecha para que se tape su ineptitud con la revictimación de los jóvenes asesinados. El…</t>
  </si>
  <si>
    <t>La única imposición válida en la prensa tradicional del país es la que hace Uribe y sus gobiernos. Permitan que Iva… https://t.co/kfDWfGYzX1</t>
  </si>
  <si>
    <t>Miren como pretenden regalar el oro de Colombia. https://t.co/gD2fZHTsf2</t>
  </si>
  <si>
    <t>Debate de la senadora conservadora Andrade en comisión primera. Ecopetrol se asoció con Oxy para hacer fracking en… https://t.co/reeLSlZfBS</t>
  </si>
  <si>
    <t>RT @GerardoAristiz9: Petro acusa al ministro de Defensa de hacer política mientras ocurren masacres - Noticentro 1 CM&amp; https://t.co/C4BNAau…</t>
  </si>
  <si>
    <t>RT @petrogustavo: Galán creía, siguiendo a Carlos Lleras, que el partido liberal era una coalición de matices de izquierda. Pero en la prác…</t>
  </si>
  <si>
    <t>RT @petrogustavo: Nada se saca cambiando impuestos de hoy por endeudamiento en Bogotá, porque el endeudamiento es más impuestos con interés…</t>
  </si>
  <si>
    <t>Felicitaciones a Carlos Rodríguez y Rafael Barrios mis abogados ante la CIDH. Han obtenido un triunfo contra la arb… https://t.co/2yYosrfWS4</t>
  </si>
  <si>
    <t>Tampoco las contralorías a través de sus sanciones fiscales y el listado de responsables fiscales pueden quitar der… https://t.co/B2bvv74tfy</t>
  </si>
  <si>
    <t>No pueden haber sanciones penales contra candidatos que se inscriban cuando estos hayan sido sancionados por Procur… https://t.co/zrMjUJ5yRM</t>
  </si>
  <si>
    <t>Esta sentencia de la Corte Interamericana de Derechos Humanos es un triunfo de la lucha democrática colombiana. Aq… https://t.co/zZFdPFsTKF</t>
  </si>
  <si>
    <t>Ojo, en Pialambí, Pueblo Viejo, Magdalena. Se habla de cuatro indígenas menores asesinados allí. Pueblo Viejo es… https://t.co/O08328yJX2</t>
  </si>
  <si>
    <t>RT @elespectador: El senador, @petrogustavo, le ganó un pulso de años a la Procuraduría: ahora Colombia deberá cambiar la normatividad inte…</t>
  </si>
  <si>
    <t>RT @piedadcordoba: ¿Ya sumaron cuánto le va costando al país las decisiones arbitrarias de un fanático religioso de extrema derecha que usó…</t>
  </si>
  <si>
    <t>RT @CorteIDH: #Sentencia #Petro Urrego Vs. #Colombia 🇨🇴 La Corte determinó que Colombia es responsable por la violación de los derechos po…</t>
  </si>
  <si>
    <t>RT @GiordanoBrunoFi: 7 años después, la Corte Interamericana de Derechos Humanos falla a favor de Gustavo Petro por destitución de la Alcal…</t>
  </si>
  <si>
    <t>RT @elespectador: Petro le ganó un pulso de años a la Procuraduría: ahora Colombia deberá cambiar la normatividad interna para no permitir…</t>
  </si>
  <si>
    <t>RT @HOLLMANMORRIS: El Estado colombiano, por acción del exprocurador @A_OrdonezM fue condenado hoy por la Corte Interamericana de DDHH de l…</t>
  </si>
  <si>
    <t>RT @CuartoDeHoraCol: CIDH falla a favor de Gustavo Petro. El Estado es responsable por la violación de sus derechos políticos como consec…</t>
  </si>
  <si>
    <t>RT @JulioCesaOrtiz: La Corte Interamericana de Derechos Humanos afirma la tesis de los abogados de Gustavo Petro sobre la inconvencionalida…</t>
  </si>
  <si>
    <t>RT @DeLaCalleHum: Señora Canciller: es presentable que el Embajador en la OEA, quien por arbitrario provocó la condena de Colombia ante la…</t>
  </si>
  <si>
    <t>RT @ArakFialloNancy: "Así se llevaron acabó las honras fúnebres Comunicador indígena Abelardo Liz, asesinado por el Ejército el 13 agosto.…</t>
  </si>
  <si>
    <t>RT @periferiaprensa: #URGENTE se confirma una nueva masacre en Nariño. Fueron asesinados tres hermanos indígenas Awá que hacían parte de la…</t>
  </si>
  <si>
    <t>RT @pierrealee: Y esperamos con @petrogustavo el fallo del @CIDH. Ahora que nos espere el 2022. https://t.co/wsy8r4IJ1Y #OrdonezRenuncie @O…</t>
  </si>
  <si>
    <t>No paga la ciudadanía las indemnizaciones si se repite en accion judicial contra los funcionarios que abusan de su… https://t.co/JtsSwXZfNM</t>
  </si>
  <si>
    <t>RT @AndresCamiloHR: El senador Gustavo Petro (@petrogustavo) sobre la sentencia de la Corte Interamericana de Derechos Humanos. https://t.c…</t>
  </si>
  <si>
    <t>RT @intiasprilla: A @petrogustavo mis más sinceras felicitaciones, tener la valentía de defender al pueblo frente a una rosca rancia que se…</t>
  </si>
  <si>
    <t>RT @carlosecaicedo: Fallo histórico de la CIDH reconoce que el Estado violó los derechos políticos del alcalde de Bogotá @petrogustavo des…</t>
  </si>
  <si>
    <t>RT @JorgeOvalleB: #Atención 🚨 Acaban de asesinar otro líder social Jaime Monge fundador de ASOCAMPESINA y del proyecto ecoturístico Pachama…</t>
  </si>
  <si>
    <t>El ministro de defensa debe irse, es incapaz de contener la violencia, más preocupado en su calculo político que en… https://t.co/3kGtdf38Id</t>
  </si>
  <si>
    <t>RT @ChalecosAmarill: 🎥🛑Mensaje para #España que utiliza el mismo método con políticos en #Catalunya 🔻Sentencia de la .@CorteIDH en el caso…</t>
  </si>
  <si>
    <t>RT @JMVivancoHRW: Importante: @CorteIDH condenó a Colombia por destitución de @petrogustavo de alcaldía de Bogotá. Sentencia se basa en un…</t>
  </si>
  <si>
    <t>RT @teoloax: El fallo de la @CIDH desautoriza la versión con la que @IvanDuque manipuló electoralmente al país para llegar a la presidenci…</t>
  </si>
  <si>
    <t>¿Cómo proteger el agro colombiano de las importaciones si Colombia firmó acuerdos con la OMC y TLC? Con la tasa ca… https://t.co/2chpjTer9X</t>
  </si>
  <si>
    <t>Invito a José Miguel Vivanco para que se coordine un movimiento de derechos humanos en Italia que exija que Mancuso… https://t.co/Y2UvKm7hv5</t>
  </si>
  <si>
    <t>RT @MashiRafael: A los siete años de destituido como alcalde de Bogotá, Corte Interamericana da la razón a Gustavo Petro, y establece que a…</t>
  </si>
  <si>
    <t>Si la cúpula del ejército sabía que iba a bombardear niños, estamos ante un crimen de guerra. Duque deberia respond… https://t.co/ZZ246NWPnf</t>
  </si>
  <si>
    <t>Lo que sucedió en Hidroituango no es un accidente, tiene responsables, algunos son los.propietarios del reasegurado… https://t.co/Kf2aDeayml</t>
  </si>
  <si>
    <t>El relator para la independencia judicial de la ONU, que es un principio básico, ha puesto su atención a la amenaz… https://t.co/NpkaQIKHTd</t>
  </si>
  <si>
    <t>RT @carlosecaicedo: El fallo a favor del senador @PetroGustavo por parte del CIDH es evidencia de la instrumentalización de los órganos de…</t>
  </si>
  <si>
    <t>El tema del fallo de la CIDH en mi favor comienza por la presión que dos megacontratistas hicieron a funcionarios c… https://t.co/Rx42ds8czh</t>
  </si>
  <si>
    <t>La versión de la prensa insinuando que se incentiva la corrupción con la decisión de la Corte Interamericana es fal… https://t.co/SN8tQz6D2a</t>
  </si>
  <si>
    <t>Cuando organos politicos, keade administrativos, como la procuraduría o la contraloría se ponen a perseguir delitos… https://t.co/IK3SW2siz6</t>
  </si>
  <si>
    <t>El objetivo del procurador Ordóñez y del contralor Granados, del superintendente Robledo, fue además de perseguirm… https://t.co/HKXxdyjvq7</t>
  </si>
  <si>
    <t>El @INSColombia debe iniciar contactos cientificos para determinar de las vacunas que avanzan en el mundo cual seri… https://t.co/swfxwAmfTe</t>
  </si>
  <si>
    <t>Claro ya aparecerán irracionales anti cientificos, que digan que la vacuna cubana tiene el problema de inocular el castrochavismo</t>
  </si>
  <si>
    <t>RT @SergioEstevan1: Miren a @sergio_fajardo, y vean la esencia del "centro": para él es igual la decisión judicial que envía a Uribe a la c…</t>
  </si>
  <si>
    <t>RT @guamoargelia: #sosporArgeliaCauca #NosEstanMatando NO dejen que nos asesinen @GustavoBolivar @DavidRacero @IvanCepedaCast @AidaAvellaE…</t>
  </si>
  <si>
    <t>RT @IvanCepedaCast: Sobre mi seguridad: dos personas y un vehículo han estado en mi lugar de residencia tomando fotografías, y haciendo obs…</t>
  </si>
  <si>
    <t>RT @Ivan_Velasquez_: La sentencia de la @CorteIDH que ordena a Colombia adecuar su ordenamiento para ajustarlo a la Convención Americana de…</t>
  </si>
  <si>
    <t>Por criticar el uribismo le quitan el apoyo económico a una gran figura del deporte colombiano. Estas son las expr… https://t.co/XP357AlUL1</t>
  </si>
  <si>
    <t>RT @CorteIDH: #Sentencia #Petro Urrego Vs. #Colombia 🇨🇴 La Corte ordenó diversas medidas de reparación, entre otras: Solicita al Estado ade…</t>
  </si>
  <si>
    <t>RT @velascoluisf: Después del fallo a favor de @petrogustavo en la @CorteIDH , como me gustaría saber quienes presionaron el proceso en Col…</t>
  </si>
  <si>
    <t>¿Prensa o propaganda? ¿Periodista o abogado defensor? https://t.co/vFiVAuk3Dv</t>
  </si>
  <si>
    <t>RT @charry_manager: Apropósito del fallo que le da la razón a @petrogustavo ante su destitución por el modelo de recolección de basuras...…</t>
  </si>
  <si>
    <t>Mi querido amigo, Camilo Gómez defensor del Estado, mi conducta frente al modelo de aseo ya fue examinada por el ju… https://t.co/hCzVahyVAh</t>
  </si>
  <si>
    <t>Una de las consecuencias de la sentencia de la Corte Interamericana es que liberamos la política. Gobernantes y leg… https://t.co/OYK6rFo87A</t>
  </si>
  <si>
    <t>RT @AndresCamiloHR: Alejandro Ordóñez, si es honesto, tendría que renunciar a la OEA: Gustavo Petro (@petrogustavo) https://t.co/9Gke5FjplN</t>
  </si>
  <si>
    <t>Saludo que el Polo Democrático nos ayude a construir el gran Pacto Histórico para llevar a Colombia a ser un país p… https://t.co/aAu75AtOGZ</t>
  </si>
  <si>
    <t>RT @elespectador: “Ya no habrá funcionarios asustados ante un procurador”: dijo @petrogustavo tras fallo de la Corte IDH. https://t.co/1jK…</t>
  </si>
  <si>
    <t>RT @petrogustavo: Mi querido amigo, Camilo Gómez defensor del Estado, mi conducta frente al modelo de aseo ya fue examinada por el juez, pr…</t>
  </si>
  <si>
    <t>RT @IvanCepedaCast: ¿Es presentable que el Embajador en la OEA, quien por arbitrario provocó la condena de Colombia ante la Corte Int... ht…</t>
  </si>
  <si>
    <t>RT @marthaperaltae: Uribe renuncia al Congreso porque según él, la @CorteSupremaJ está politizada, pero la Fiscalía no. #QueAUribeLoJuzgu…</t>
  </si>
  <si>
    <t>El ascenso político del irracionalismo nos quiere hacer creer que la Corte Suprema está politizada y en cambio la F… https://t.co/h00OKKWpMF</t>
  </si>
  <si>
    <t>RT @JavierAdaime: Durante la alcaldía de @petrogustavo era evidente el trabajo coordinado de todas las ias, @PGN_COL @CGR_Colombia con empr…</t>
  </si>
  <si>
    <t>RT @NoticiasCaracol: "Si Alejandro Ordóñez tuviese valores cimentados en la decencia, renunciaría”: Gustavo Petro https://t.co/qZ8z331YbQ</t>
  </si>
  <si>
    <t>No sientas miedo de quien te quiere. Y no es rabia lo que siento, sino una gran desazón de ver cómo el periodismo s… https://t.co/1MtJlHVuiu</t>
  </si>
  <si>
    <t>RT @Tercer_Canal: ¨#HospitalSanJuanDeDios ley ordena no demolerlo, ordena restaurarlo y conservarlo, agregando características de Hospital…</t>
  </si>
  <si>
    <t>RT @AABenedetti: Aprobaron en la @PrimeraSenado una proposición para un debate sobre los alcances del fallo de la @CIDH a favor de @petrogu…</t>
  </si>
  <si>
    <t>Mancuso es antes que nada un delincuente de lesa humanidad, si va a Italia debe ser juzgado como tal, mejor le va s… https://t.co/ghJrtfJgQW</t>
  </si>
  <si>
    <t>RT @fernapaba: Pero si @petrogustavo lo dice: es castrochavismo.</t>
  </si>
  <si>
    <t>Ha muerto Abel Rodríguez, secretario de educación de Lucho Garzón, dirigente del magisterio, perseguido en ese ento… https://t.co/ibOjy9eIuU</t>
  </si>
  <si>
    <t>RT @UNIndepJudges: 1/2 La independencia judicial y la separación de poderes, principios esenciales de la democracia y el Estado de Derecho…</t>
  </si>
  <si>
    <t>Los planes de reactivación de Duque y Claudia son similares. Endeudarse para hacer obras de infraestructura de tran… https://t.co/BZRNeHafac</t>
  </si>
  <si>
    <t>RT @AndresCamiloHR: Nos llega la respuesta del Ministerio del Cultura señora @ClaudiaLopez "Ministerio de Cultura no ha autorizado la demol…</t>
  </si>
  <si>
    <t>Si el ministerio de Cultura no autorizó ni entregar en concesión, ni demoler el Hospital San Juan de Dios por qué s… https://t.co/03yI9ctIfb</t>
  </si>
  <si>
    <t>RT @silviajserranog: Esta nota de @ELTIEMPO sobre fallo de @CorteIDH en el caso Petro me angustió pensando si distorsionarán igual la infor…</t>
  </si>
  <si>
    <t>Bogotá es hoy la octava ciudad del mundo en contagios por millón de habitantes. No se implementó los equipos de sa… https://t.co/bPYHXocJZV</t>
  </si>
  <si>
    <t>Quieren ver un héroe? Aquí lo tienen. Luchador progresista, sindicalista, constituyente de ADM19, secretario de e… https://t.co/4yOnQQxF3v</t>
  </si>
  <si>
    <t>La reactivación económica pasa por una fuerte ayuda en liquidez a las familias; renta básica y subsidio estatal a l… https://t.co/etCmrgmcIh</t>
  </si>
  <si>
    <t>RT @ernestosamperp: El exprocurador Ordóñez debe responder jurídica y fiscalmente, con su renuncia a la OEA, por el acto arbitrario de la…</t>
  </si>
  <si>
    <t>RT @josegreghg: Precisemos. El fallo @CorteIDH en caso Petro vs. Colombia, que aplicó art. 23.2 Convención Americana D.H., no quebranta -co…</t>
  </si>
  <si>
    <t>Steve Bannon, es el referente número uno de la extrema derecha mundial, amigo del uribismo, acaba de ser detenido e… https://t.co/lSpSIqYK5l</t>
  </si>
  <si>
    <t>RT @josegreghg: Fallo @CorteIDH en caso Petro vs. Colombia no hace sino aplicar art. 23.2 Convención Americana DD.HH. (1969, aprobada y r…</t>
  </si>
  <si>
    <t>El futuro de Mancuso es ser juzgado como criminal contra la humanidad en Italia o ser acogido por la JEP en Colombi… https://t.co/M8qBu2qW6q</t>
  </si>
  <si>
    <t>RT @GGarciaRealpe: Habla @petrogustavo, “estamos ante una caída de largo plazo del valor que representa el petróleo, el carbón, gas y los b…</t>
  </si>
  <si>
    <t>RT @MiguelngelCuar1: Ayer en la carrera 70 de Medellín, este señor le pega dos veces a una mujer. Hagamos famoso este tipo que no gusta de…</t>
  </si>
  <si>
    <t>Pedí explícitamente, en el senado de la república desde el mes de marzo, que el Banco de la República comprase oro… https://t.co/ivccJa2Ty0</t>
  </si>
  <si>
    <t>Usar recursos de endeudamiento para financiar gasto corriente, puede ser un suicidio financiero para Bogotá. Endeud… https://t.co/jmpIldK9q3</t>
  </si>
  <si>
    <t>Quitarle las tierras a las negritides en Cartagena ha sido el mecanismo de una elite blanca depredadora que usufruc… https://t.co/FI4I5oZM7s</t>
  </si>
  <si>
    <t>Dije hace meses que el virus no solo entra a la biología del cuerpo físico sino a un sistema social, que si es desi… https://t.co/F8GCnHPZX2</t>
  </si>
  <si>
    <t>Con el respeto que me merece Claudia, el San juan de Dios es un hospital de tres siglos de historia cono para que s… https://t.co/rNJC62Zd4y</t>
  </si>
  <si>
    <t>Con hidroituango se pensó que se podía dominar la naturaleza y borrar la historia y su memoria. Es el pensar de un… https://t.co/afn9bL4wea</t>
  </si>
  <si>
    <t>De los 10 billones de pesos que se piden como endeudamiento al Concejo de Bogotá, tres van a transmilenio que no es… https://t.co/FfabSHTEkH</t>
  </si>
  <si>
    <t>RT @alfreparedes: Que hagan fracking, fumiguen con glifosato, acaben con los páramos, evadan impuestos, se roben el erario, se enriquezcan…</t>
  </si>
  <si>
    <t>¿A quien le vendió el oro el Banco de la república cuando era previsible que iba a subir de precio? https://t.co/BvSqqBsS2Y</t>
  </si>
  <si>
    <t>RT @Ivan_Velasquez_: Defienden "la vida" en abstracto (como un valor, dicen; como un derecho, dicen) pero justifican las masacres. Hipócrit…</t>
  </si>
  <si>
    <t>Espero que sea un lapsus de Claudia, pero si la reserva Thomas Van der Hammen no es reserva, que implica revitaliza… https://t.co/aV1f9YwG7R</t>
  </si>
  <si>
    <t>RT @Juanaafanador1: Lamentable que la alcaldesa reduzca la protección de un bien de interés cultural nacional a una pelea individual. Creo…</t>
  </si>
  <si>
    <t>Si el concejo declara la.emergencia climática para Bogotá, que ya es en el mundo entero, debe implicar que las inve… https://t.co/rtRfFf1xgf</t>
  </si>
  <si>
    <t>RT @susanamuhamad: Hoy ya sabemos que es vivir en emergencia, la declaratoria significa que el gobierno se compromete a decirle la verdad a…</t>
  </si>
  <si>
    <t>RT @heidy_up: El cambio climático es una realidad y como ciudad debemos tomar las medidas correspondientes para enfrentarlo. Hoy es un día…</t>
  </si>
  <si>
    <t>El cambio climático se produce desde hace décadas, quizás dos siglos, pero cada vez es más agufo, y si no se detien… https://t.co/2intpA0Kyc</t>
  </si>
  <si>
    <t>Si el alto mando militar y político del país que tomó la decisión del bombardeo en Caquetá sabía de la presencia de… https://t.co/1LxHMmp4ME</t>
  </si>
  <si>
    <t>Mi investigación demostró que van cerca de 400 menores de edad muertos en operaciones de la fuerza pública. La muer… https://t.co/sXPuL1IyP4</t>
  </si>
  <si>
    <t>Después de la visita de los funcionarios norteamericanos a Duque, éste, en lugar de concentrarse en la pandemia, co… https://t.co/3rk3enCbbu</t>
  </si>
  <si>
    <t>Me podrán criticat cierta fijación con lo que pasa en Bogotá. Se debe a que fui su alcalde Hoy contemplo que sin c… https://t.co/iMrSbDOfyb</t>
  </si>
  <si>
    <t>El endeudamiento publico debe ser para invertir donde haya más beneficio económico/social La infraestructura educa… https://t.co/m9mYTHdH5r</t>
  </si>
  <si>
    <t>Un plan de inversiones de EEB y ETB, en energías limpias y electrificación del trasnporte y en fibra óptica al hoga… https://t.co/0OW1qAkdCh</t>
  </si>
  <si>
    <t>Amigo Lafaurie mire que degradación intelectual ha asumido para atacar una mujer concejal, solo porque es antitauri… https://t.co/A1pm4LfA1p</t>
  </si>
  <si>
    <t>RT @ReservaVDHammen: Alcaldesa @ClaudiaLopez como firmantes del #CompromisoAmbientalPorBogotá solicitamos nos aclare por qué ayer habló de…</t>
  </si>
  <si>
    <t>Como podrán ver, mientras pedía que banco de la República comprara oro para valorizar nuestras reservas internacion… https://t.co/BO69V18vEl</t>
  </si>
  <si>
    <t>Miren los comentarios inteligentes que por esa propuesta se hicieron</t>
  </si>
  <si>
    <t>RT @petrogustavo: Como podrán ver, mientras pedía que banco de la República comprara oro para valorizar nuestras reservas internacionales,…</t>
  </si>
  <si>
    <t>RT @ricardobonillag: Si eso es una pelotera @ClaudiaLopez, está atrapada en ella y lo seguirá estando con las decisiones tomadas y por toma…</t>
  </si>
  <si>
    <t>RT @NotiBAdentro: Denunciamos abuso de fuerza por parte de @PoliciaColombia a nuestro compañeros de la Red Ven-Seremos y Barricada quienes…</t>
  </si>
  <si>
    <t>RT @Col_Informa: #21A | Movilización sobre la calle 26 en Bogotá. Protesta contra el mal gobierno, los asesinatos, feminicidios, masacres y…</t>
  </si>
  <si>
    <t>RT @CarlosCarrilloA: La alcaldesa @ClaudiaLopez suma a su larga lista de mentiras esta sobre la torre central del San Juan de Dios: “es pat…</t>
  </si>
  <si>
    <t>Por qué en transmilenio no es peligroso y en una marcha al aire libre y con distanciamiento, si? https://t.co/DOCwZZvBPK</t>
  </si>
  <si>
    <t>RT @AidaAvellaE: ¿Capturados por ser jóvenes? @PoliciaColombia @mindefensa https://t.co/8fB6R336UJ</t>
  </si>
  <si>
    <t>RT @susanamuhamad: La alcaldesa @ClaudiaLopez no ha entendido que la Protesta Social es un derecho constitucional que ella no puede prohibi…</t>
  </si>
  <si>
    <t>Los humedales no se vuelven lagunas porque se mueren y las reservas no se vuelven parques porque se pierden. https://t.co/jcYJlsishE</t>
  </si>
  <si>
    <t>Crear una atmósfera de insostenibilidad para liberar a Uribe, tal parece ser la consigna de los núcleos estatales d… https://t.co/3Q12qiRz4X</t>
  </si>
  <si>
    <t>RT @ChalecosAmarill: 🎥🛑En #EEUU, una mujer racista persiguió e insultó a un hispano en San Francisco (California) y la reacción tranquila d…</t>
  </si>
  <si>
    <t>La Corte Penal Internacional debe reaccionar ante la violencia desatada en Colombia por el traquetismo armado y sus… https://t.co/lSoVtbZil7</t>
  </si>
  <si>
    <t>RT @petrogustavo: La Corte Penal Internacional debe reaccionar ante la violencia desatada en Colombia por el traquetismo armado y sus aliad…</t>
  </si>
  <si>
    <t>El parque metropolitano, que ya es oficial, corta la conectividad de la reserva con los cerros orientales. De hec… https://t.co/hLiepm98dh</t>
  </si>
  <si>
    <t>Invito a toda colombiano y colombiana en el exterior y en Colombia, a todo ser humano solidario con nuestro país en… https://t.co/vb5YRwr8L1</t>
  </si>
  <si>
    <t>RT @petrogustavo: Crear una atmósfera de insostenibilidad para liberar a Uribe, tal parece ser la consigna de los núcleos estatales de la e…</t>
  </si>
  <si>
    <t>¿Por qué mataron a Dylan entonces? ¿era un violento? O, porque se manifestaba pacíficamente y las manifestaciones… https://t.co/WHkLVtpSwO</t>
  </si>
  <si>
    <t>Significa que las obras que se están haciendo continuarán? Si las obras en cemento que se hacen en los humedales c… https://t.co/bOoIyKf5bU</t>
  </si>
  <si>
    <t>Concejal @maferojas la alcaldesa no se refirió al parque metropolitano Guaymaral, sino al parque Van Der Hammen; su… https://t.co/9TieTXPBgW</t>
  </si>
  <si>
    <t>RT @petrogustavo: ¿Por qué mataron a Dylan entonces? ¿era un violento? O, porque se manifestaba pacíficamente y las manifestaciones molest…</t>
  </si>
  <si>
    <t>Nueva masacre de jóvenes negros en Tumaco, Nariño. Seis jóvenes muertos. No crean que es coincidencia el asegurami… https://t.co/jniy4OgnHr</t>
  </si>
  <si>
    <t>Escríbale a la @CourPenaleInt desde sus redes, millones de mensajes pidiendo su intervención para que pare el genoc… https://t.co/SVqnLQDm9M</t>
  </si>
  <si>
    <t>RT @LaPazColombiani: — Y lo mataron. 😔 https://t.co/1JxybqRITD</t>
  </si>
  <si>
    <t>RT @petrogustavo: Nueva masacre de jóvenes negros en Tumaco, Nariño. Seis jóvenes muertos. No crean que es coincidencia el aseguramiento d…</t>
  </si>
  <si>
    <t>RT @petrogustavo: Escríbale a la @CourPenaleInt desde sus redes, millones de mensajes pidiendo su intervención para que pare el genocidio.…</t>
  </si>
  <si>
    <t>RT @AndresCamiloHR: Hoy Cacerolazo Nacional a las 7:00 P.M. ¡NO MÁS MASACRES EN COLOMBIA #SOSColombia @CourPenaleInt https://t.co/zZmQ1…</t>
  </si>
  <si>
    <t>RT @ColombiaHumana_: Hoy Cacerolazo Nacional a las 7:00 P.M. Alertemos a la @CourPenaleInt que en Colombia están masacrando al pueblo.…</t>
  </si>
  <si>
    <t>RT @MoisesAlvaro_: Juntemos todas las expresiones para detener la masacre contra el pueblo colombiano. La CPI debe intervenir en Colombia…</t>
  </si>
  <si>
    <t>RT @pierrealee: O nos movilizamos o nos siguen masacrando. Los escucho esta noche desde sus casas con las cacerolas en alto #nomasmasacres.…</t>
  </si>
  <si>
    <t>RT @Juventud_Humana: Hoy a las 7 p.m. volveremos a sacar nuestras cacerolas por las ventanas para exigirle a la CPI que intervenga en Colom…</t>
  </si>
  <si>
    <t>https://t.co/f5kSisEiUn</t>
  </si>
  <si>
    <t>RT @ChalecosAmarill: 🎥🛑 #Tumaco toda #Colombia ahora mismo debería estar en la calle 🔻¿Hasta cuándo vamos a permitir estos abusos a los de…</t>
  </si>
  <si>
    <t>RT @AdrianaLucia: ¡Que el mundo entero lo sepa! Hay que replicarlo hasta que todos se enteren que en Colombia hay masacres todos los días,…</t>
  </si>
  <si>
    <t>RT @angelamrobledo: Alcaldesa @ClaudiaLopez cuidar la Vidas,todas las vidas.Llorar las muertes,todas las muertes.Esta deberia ser la premis…</t>
  </si>
  <si>
    <t>RT @WOLA_org: 5 massacres in Colombia this week. 33 this year. Ethnic and rural communities are left reeling by efforts to undercut key par…</t>
  </si>
  <si>
    <t>RT @GustavoBolivar: ¿Tres masacres en 24 horas y no hacemos nada? Sientan que algún masacrado o líder social asesinado es un familiar. Dejé…</t>
  </si>
  <si>
    <t>Envíe un mensaje por redes a la @CourPenaleInt solicitando su intervención para detener las masacres. Salga hoy a… https://t.co/4LByYlBCns</t>
  </si>
  <si>
    <t>El que allanó la empresa pública de Acueducto de Bogotá para defender los intereses de los megacontratistas privado… https://t.co/qZb9STqs4z</t>
  </si>
  <si>
    <t>RT @ElQueLosDELATA: Los mató la industria genocida en la que usted está empleado. Desde su alcaldía en la que tenía de secretario a Don Ber…</t>
  </si>
  <si>
    <t>Igual que hicieron con los "falsos positivos" cuando eran ejecuciones sistemáticas de civiles, ahora le quieren ca… https://t.co/4CHhPs0Iqm</t>
  </si>
  <si>
    <t>#CacerolazoPorLaPaz7PM https://t.co/wIhnUvH6vW</t>
  </si>
  <si>
    <t>Mentalidades paramilitares queriendo agredir con violencia al que lucha por la vida. En Medellín y en Cúcuta, este… https://t.co/Ab76k73tCd</t>
  </si>
  <si>
    <t>RT @petrogustavo: Envíe un mensaje por redes a la @CourPenaleInt solicitando su intervención para detener las masacres. Salga hoy a su ven…</t>
  </si>
  <si>
    <t>Este fue el recibimiento de Duque en Samaniego, Nariño #CacerolazoPorLaPaz7PM https://t.co/TenR8JaR0R</t>
  </si>
  <si>
    <t>Samaniego se levanta. Nos solidarizamos con ese pueblo? Digamosle Si a su juventud, a sus madres, a su pueblo.… https://t.co/DOfmx8bTCf</t>
  </si>
  <si>
    <t>RT @PaisPrimero: Después de 5 horas seguimos en la tarea de #NombrarParaNoOlvidar, ahora en Galerías, Bogotá. Porque a los violentos y al g…</t>
  </si>
  <si>
    <t>Este grito no lo escucharon los electores del NO y de Duque. Nada más Justo. Nada mejor para una sociedad que la Pa… https://t.co/otz1M2MKYr</t>
  </si>
  <si>
    <t>Las masacres seguirán si no hay reacción. Creen que con la pandemia y la represión pueden silenciar a Colombia. Po… https://t.co/b08S3WUBai</t>
  </si>
  <si>
    <t>RT @AndresCamiloHR: @TwitterLatAm nos acaba de bajar las dos tendencias que teníamos #SOSColombia y #CacerolazoPorLaPaz7PM</t>
  </si>
  <si>
    <t>RT @DayroRHernandz: Fui el único en mi cuadra que saqué mi cacerola. Una señora me grito que me callara. Y le dije que nunca nos callaran…</t>
  </si>
  <si>
    <t>RT @DiablaSandi: #AHORA ⚠️ Familias Colombianas se unen en un solo sentir ♥️ al #cacerolazonacional .. pidiendo por la paz de Colombia 🇨🇴 q…</t>
  </si>
  <si>
    <t>RT @nataisaquintero: #CacerolazoPorLaPaz7PM #SOSColombia #DuqueRespondaPorLasMasacres #DuqueRenuncie #NosEstanMasacrando https://t.co/EHL4Q…</t>
  </si>
  <si>
    <t>RT @cielo_rusinque: #CacerolazoPorLaPaz7PM que pasa @TwitterLatAm Miles de Colombianos han trinado hoy uniéndose al #CacerolazoPorLaPaz7PM…</t>
  </si>
  <si>
    <t>RT @AngespegGaitan: Cacerolazo a esta hora en ciudad salitre https://t.co/znf1HG8Jug</t>
  </si>
  <si>
    <t>RT @Betocoralg: Salíeron a preguntar dos vecinos Italianos y otros Norteamericanos, me preguntaron: -¿Cual es el escándalo?, Le contesté q…</t>
  </si>
  <si>
    <t>RT @AndresCamiloHR: Empiezan a sonar las Cacerolas #SOSColombia https://t.co/flZ0VxzZdx</t>
  </si>
  <si>
    <t>RT @Camiloenz: #SOSColombia 🖐🏼 https://t.co/IZKCBD4pFw</t>
  </si>
  <si>
    <t>RT @HOLLMANMORRIS: En Tunja suena en este momento el cacerolazo Nacional por la Vida y la paz en contra de la muerte y el desgobierno. Con…</t>
  </si>
  <si>
    <t>RT @AndresCamiloHR: Nos acaban de censurar, desde esta mañana se ha mantenido en primer lugar la tendencia #SOSColombia y #CacerolazoPorLaP…</t>
  </si>
  <si>
    <t>RT @AlfredoCOES99: Los jóvenes en CALI salieron a las calles a reafirmar que la ciudad no es uribista. Salieron a reclamar justicia frente…</t>
  </si>
  <si>
    <t>RT @JonyUribe: Todos somos Colombia y solo queremos que vuelva la Paz #UribePareSuVenganza #CacerolazoPorLaPaz7PM #Justicia @sandia2416…</t>
  </si>
  <si>
    <t>RT @jcuestanovoa: #SOSColombia #IntlCrimCourt Que el dolor NO sea costumbre #NosEstanMasacrando #NosEstanMatando Cacerolazo por la Vida. ¡B…</t>
  </si>
  <si>
    <t>RT @GuanumenSeb: En @teusaquillo13 salimos a las ventanas para apoyar la defensa de la vida. Cacerolazo en Centro Nariño #CacerolazoPorLaP…</t>
  </si>
  <si>
    <t>RT @Clares9200: #CacerolazoPorLaPaz7PM #SOSColombia #NosEstanMasacrando #VolvieronLasMasacres #DuqueColombiaTeQuedoGrande #MasacresColombia…</t>
  </si>
  <si>
    <t>RT @AndresCamiloHR: Esta es la prueba de que nos han eliminado la tendencia que había estado desde esta mañana en primer lugar, hace menos…</t>
  </si>
  <si>
    <t>RT @ruidiaz_ddhh: Compas nos censuraron el hastag #SOSColombia por eso a pesar del apoyo de todos ustedes por visibilizar la violencia, las…</t>
  </si>
  <si>
    <t>RT @laorejaroja: El honrado departamento de Antioquia sufre su caso de corrupción más horrible en toda la historia. Escribe @Hernan_Muriel…</t>
  </si>
  <si>
    <t>RT @HOLLMANMORRIS: Desde Barranquilla cacerolazo por la vida, la paz y contra la muerte y el mal gobierno en este momento. #VolvieronLasMa…</t>
  </si>
  <si>
    <t>RT @ruidiaz_ddhh: 𝗡𝗢𝗦 𝗖𝗘𝗡𝗦𝗨𝗥𝗔𝗥𝗢𝗡 𝗘𝗟 𝗛𝗔𝗦𝗧𝗔𝗚 #𝗦𝗢𝗦𝗖𝗼𝗹𝗼𝗺𝗯𝗶𝗮 𝗣𝗨𝗘𝗦 𝗔𝗤𝗨𝗜 𝗟𝗟𝗘𝗚𝗔𝗠𝗢𝗦 𝗙𝗨𝗘𝗥𝗧𝗘𝗦 𝗖𝗢𝗡 #NoMasMasacresEnColombia Compas compartamos este has…</t>
  </si>
  <si>
    <t>RT @GuanumenSeb: @petrogustavo En #Teusaquillo nos encontramos las vecinas y los vecinos desde nuestras ventanas apoyando el #CacerolazoPor…</t>
  </si>
  <si>
    <t>RT @HOLLMANMORRIS: De una en una cacerola y serán miles las voces de indignación y conciencia , en rechazo a la muerte a la masacre que se…</t>
  </si>
  <si>
    <t>RT @AlfredoCOES99: Los jóvenes de Cali salieron a reclamar justicia y confirmar que en la ciudad el Uribismo es minoría. @wilsonariasc @p…</t>
  </si>
  <si>
    <t>RT @ahhappe: Nos tumban una tendencia pues nosotros le ponemos las que quieran !! #NoMasMasacresEnColombia #NoMasMasacresEnColombia #NoMas…</t>
  </si>
  <si>
    <t>RT @MarthaCifuentes: #ProtestaCiudadana Cacerolazo en barrios de #Yopal como protesta contra las masacres de niños, jóvenes y líderes socia…</t>
  </si>
  <si>
    <t>RT @jonathancongres: Hacer un #Cacerolazo en #Yopal es casi un acto de terrorismo y sacrilegio. Aquí sí se comieron el cuento chimbo de qu…</t>
  </si>
  <si>
    <t>RT @__valnarvaez: #SOSColombia no nos podemos quedar callados ante los sucesos de este país, así sea desde nuestras casas tenemos que lucha…</t>
  </si>
  <si>
    <t>RT @charry_manager: Mi barrio nunca decepciona. #CacerolazoPorLaPaz7PM https://t.co/U5BztfpiA5</t>
  </si>
  <si>
    <t>RT @valengp30: #NosEstanMasacrando #Los5DeLlanoVerde #NombrarParaNoOlvidar @PaisPrimero @MAFAPOCOLOMBIA @MafeCarrascal #Colombia https://…</t>
  </si>
  <si>
    <t>RT @cielo_rusinque: Teusaquillo mi barrio querido ✊🏼🇨🇴#CacerolazoPorLaPaz7PM #NoMasMasacresEnColombia https://t.co/H0XagV2Ydg</t>
  </si>
  <si>
    <t>RT @camilaporlavida: Como militante del Partido Verde debo apartarme de las declaraciones de hoy de la alcaldesa @ClaudiaLopez El dolor de…</t>
  </si>
  <si>
    <t>RT @GustavoBolivar: Mi columna @CuartoDeHoraCol de hoy se llama “Quien nos está matando” un juicioso análisis de las 105 masacres de la era…</t>
  </si>
  <si>
    <t>¿Quién nos esta matando? La columna de Gustavo Bolívar sobre la dramática situación de violencia que hoy se desen… https://t.co/p8u1KL4WqK</t>
  </si>
  <si>
    <t>Burbujas, orgías y festines. Mi columna para hoy. De la economía de la mentira moribunda a una economía prospera p… https://t.co/16XZsQdXi6</t>
  </si>
  <si>
    <t>RT @AndresCamiloHR: En este documento de 3 hojas revelando hace algunos meses por @petrogustavo y que no prestaron atención, la Fiscalía e…</t>
  </si>
  <si>
    <t>RT @apuntedelibreta: Si Claudia López hubiera dicho que iba a hacer transmilenio de la 68, que iba a seguir poniendo cemento en los humedal…</t>
  </si>
  <si>
    <t>RT @PublimetroCol: Desde 2017 la Fiscalía le advirtió al gobierno de la presencia de carteles mexicanos en las zonas donde hoy lloramos mas…</t>
  </si>
  <si>
    <t>RT @MafeCarrascal: Colombianos en Barcelona se movilizan contra las masacres #NomasmasacresenColombia #NombrarParaNoOlvidar https://t.co/Ps…</t>
  </si>
  <si>
    <t>M A S A C R E S https://t.co/QEUTt5fwka</t>
  </si>
  <si>
    <t>Si no se acaba la extracción minero energética, lease carbón, petróleo y gas, entonces se acaba la vida en el plane… https://t.co/I8p2xIpt2p</t>
  </si>
  <si>
    <t>RT @petrogustavo: ¿Quién nos esta matando? La columna de Gustavo Bolívar sobre la dramática situación de violencia que hoy se desencadena…</t>
  </si>
  <si>
    <t>RT @petrogustavo: Burbujas, orgías y festines. Mi columna para hoy. De la economía de la mentira moribunda a una economía prospera para la…</t>
  </si>
  <si>
    <t>RT @MyBolivia: 🇨🇴 #UnidosSomosMAS ✊🏽 Hoy #23Agosto #Barcelona se moviliza en repudio CONTRA LAS MASACRES en #Colombia #SOSColombia #NoMas…</t>
  </si>
  <si>
    <t>RT @CarolinaCorcho: Colombia ha superado en nuevas muertes y en totales, a países como Chile o Rusia, en nuevos fallecimientos somos el 5 p…</t>
  </si>
  <si>
    <t>Ahora en lectura de mi columna, Burbujas, orgîas y festines. En mi facebook live. Con Gustavo Bolívar y Levy Rincón</t>
  </si>
  <si>
    <t>RT @d23acm: Los Gustavo en vivo con @LevyRincon Vs Fajardo con @VickyDavilaH en @RevistaSemana miren los dislikes de Fajardo en vivo https:…</t>
  </si>
  <si>
    <t>En cambio yo si lo invito a usted, Fajardo, a que participe en un gran acuerdo histórico que lleve a Colombia hacia… https://t.co/90d8dSIU6B</t>
  </si>
  <si>
    <t>La Colombia decente sale a manifestarse contra el gobierno y las masacres en New York, EEUU. Vamos por un Paz Gran… https://t.co/KY0hmHJFeV</t>
  </si>
  <si>
    <t>RT @JuventudAntioq1: Nosotros, como parte de la juventud antioqueña, exigimos nuestro derecho a la vida. Repudiamos las masacres que se ha…</t>
  </si>
  <si>
    <t>RT @AlapePastorFARC: Hoy vuelvo ante los magistrados de la @JEP_Colombia para contar sobre el ingreso de menores y reconocer las responsabi…</t>
  </si>
  <si>
    <t>Un racismo que se convirtió en terrorismo de Estado en donde era la cuna de la democracia. https://t.co/D7SDgYG5Sm</t>
  </si>
  <si>
    <t>En México se usaran canales públicos y privados para transmitir las clases del ciclo escolar y ayudar en las clases… https://t.co/GXwhBDI4FP</t>
  </si>
  <si>
    <t>Mi querido amigo Fajardo. El pueblo debe manifestarse contra la masacre y la ignominia de un gobierno incapaz y el… https://t.co/IAinwDD0FK</t>
  </si>
  <si>
    <t>RT @petrogustavo: En cambio yo si lo invito a usted, Fajardo, a que participe en un gran acuerdo histórico que lleve a Colombia hacia la Pa…</t>
  </si>
  <si>
    <t>RT @MovNaranja3: Los cálculos de @sergio_fajardo son: * Ganarle a @petrogustavo en primera vuelta * Si pierde vuelve a votar en Blanco L…</t>
  </si>
  <si>
    <t>RT @petrogustavo: Mi querido amigo Fajardo. El pueblo debe manifestarse contra la masacre y la ignominia de un gobierno incapaz y el Pacto…</t>
  </si>
  <si>
    <t>RT @JUANCAELBROKY: El individuo de gorra azul atacó con cizalla (herramienta para perforar) a 2 estudiantes de la Universidad Nacional de @…</t>
  </si>
  <si>
    <t>El acta de inicio es para comenzar los estudios de detalle del metro elevado, que durarán dos años, cuando el metro… https://t.co/inPAX64cSA</t>
  </si>
  <si>
    <t>Duque es cómplice de la extradición de Mancuso a Italia. No quisieron tenerlo en Colombia porque les revela la verd… https://t.co/NPfo4g8bAm</t>
  </si>
  <si>
    <t>Claudia no hubo colapso de UCI, simplemente porque la mayor parte de los muertos por covid, han muerto sin acceder… https://t.co/1fpPJtYotq</t>
  </si>
  <si>
    <t>RT @MaPaulaFonseca: Señor @bienconcreto aseguró hace unos días que los diseños del metro avanzaban y no se habían detenido por la pandemia…</t>
  </si>
  <si>
    <t>RT @petrogustavo: El acta de inicio es para comenzar los estudios de detalle del metro elevado, que durarán dos años, cuando el metro subte…</t>
  </si>
  <si>
    <t>La tapa: El embajador de Colombia ante los EEUU: Francisco Santos y el embajador ante la OEA: Alejandro Ordoñez,… https://t.co/Kf7iZTMqrR</t>
  </si>
  <si>
    <t>En los dos últimos días se baja la capacidad de pruebas por covid hasta 44% y 63% con lo cual baja el número de con… https://t.co/pSpHKZk97j</t>
  </si>
  <si>
    <t>RT @petrogustavo: La tapa: El embajador de Colombia ante los EEUU: Francisco Santos y el embajador ante la OEA: Alejandro Ordoñez, según…</t>
  </si>
  <si>
    <t>El miedo al cambio social es lo que nos tiene en esta situación. Deberíamos tenerle miedo a la violencia y la corru… https://t.co/TI0NtRYBFb</t>
  </si>
  <si>
    <t>Irresponsable abrir colegios mostrando cifras del covid manipuladas. No solo llegamos hace tres días al numero of… https://t.co/NilyBykf17</t>
  </si>
  <si>
    <t>El asesino de Garzón, Narváez, reunido con Pacho Santos y Alejandro Ordoñez, y el que quería asesinar al congresist… https://t.co/DeKPJFLDIo</t>
  </si>
  <si>
    <t>El magistrado del Consejo de Estado, Alejandro Ordoñez, fundaba con Mancuso el bloque Capital El fiscal Luis Camil… https://t.co/Fv7j6OdnoA</t>
  </si>
  <si>
    <t>RT @TPU19J: #BREAKING Pueblo de Wisconsin sigue en las calles demandando justicia por la brutalidad cometida por la #Police de Kenosha en #…</t>
  </si>
  <si>
    <t>Invito a todos los nodos de Colombia Humana en Europa, a articular con las organizaciones de derechos humanos del e… https://t.co/TXvDtZYlMM</t>
  </si>
  <si>
    <t>Según Yair Klein, el mercenario que entrenó el primer grupo paramilitar de Pablo Escobar y la familia Ochoa, llamad… https://t.co/bHCLmG6QZ5</t>
  </si>
  <si>
    <t>RT @ArrietaJuvenal: El momento histórico del país convoca a este grupo d ciudadanos a crear una gran alianza para la convergencia democráti…</t>
  </si>
  <si>
    <t>RT @petrogustavo: En los dos últimos días se baja la capacidad de pruebas por covid hasta 44% y 63% con lo cual baja el número de contagiad…</t>
  </si>
  <si>
    <t>RT @charry_manager: La gráfica que muestra @ClaudiaLopez base de toma de decisión para la nueva normalidad, desplaza ejes para eliminar los…</t>
  </si>
  <si>
    <t>Carrasquilla anuncia q la crisis la pagaran con el IVA, es decir con usted, con los que trabajan,con las desemplead… https://t.co/WZrVE8KIq5</t>
  </si>
  <si>
    <t>Por decir esto soy procesado con perdida de investidura, es decir por decir esto se me pretende sacar de la lucha p… https://t.co/h1mr3Cw60v</t>
  </si>
  <si>
    <t>Cierra el hospital de Corferias con una inmensa inversión que no sirvió para nada. El dinero perdido que hubiera p… https://t.co/DNsMIrIWIe</t>
  </si>
  <si>
    <t>RT @SenorCaicedo: Esta fue una propuesta de @petrogustavo.</t>
  </si>
  <si>
    <t>Los colegios de Francia se han cerrado con un nivel de contagio muy inferior que el de Colombia. Dejar que los niñ… https://t.co/c22yiTbLgi</t>
  </si>
  <si>
    <t>Alejandro eres un violador de derechos humanos y oficias como embajador de Colombia ante la OEA https://t.co/Z3xg7pC9v8</t>
  </si>
  <si>
    <t>RT @petrogustavo: Carrasquilla anuncia q la crisis la pagaran con el IVA, es decir con usted, con los que trabajan,con las desempleadas, co…</t>
  </si>
  <si>
    <t>EEUU se burló de la verdad y de millones de victimas de la violencia en Colombia al extraditar a Mancuso a Italia… https://t.co/nncxu8j86r</t>
  </si>
  <si>
    <t>RT @LEVargasSilva: Explosivas declaraciones de Mancuso vinculan a Gobierno Uribe en complot contra la Corte Suprema de Justicia https://t.c…</t>
  </si>
  <si>
    <t>No ataque al mensajero, a usted lo acusa un oficial de la policía que estaba en cumplimiento de sus funciones, esta… https://t.co/9toA7Rvls7</t>
  </si>
  <si>
    <t>Sr Alejandro Ordoñez, violador de Derechos Humanos, la acusación que se le hizo no es 20 años después, ña hicieron… https://t.co/ytNvQZmaaq</t>
  </si>
  <si>
    <t>Margarita Cabello deber pronunciarse sobre el caso Alejandro Ordoñez, su correligionario y amigo si va a ser procur… https://t.co/o2gFjU0rup</t>
  </si>
  <si>
    <t>El tratado de Minnesota propone la creación de comisiones judiciales especiales, con expertos nacionales y extranje… https://t.co/RjsxHYtxhW</t>
  </si>
  <si>
    <t>Hoy estaré a las doce en la W Los y las espero https://t.co/OmkkTcC1ee</t>
  </si>
  <si>
    <t>RT @GustavoBolivar: Ingenieros chinos, ya en Btá, confirman lo que siempre dijimos con @petrogustavo y @HOLLMANMORRIS : No hay estudios de…</t>
  </si>
  <si>
    <t>Restauración y dotación del hospital San Juan de Dios en Bogotá vale 150.000 millones, pero contrataron un nuevo ed… https://t.co/2MVMO7NTnB</t>
  </si>
  <si>
    <t>RT @PaoHerreraC: "La verdad de Mancuso no la quieren aquí en Colombia porque se caería el poder" dice a esta hora el senador @petrogustavo…</t>
  </si>
  <si>
    <t>RT @AndresCamiloHR: "Una de las consecuencias mas dañinas, es que el narcotrafico penetra a su enemigo: el estado" @petrogustavo al aire en…</t>
  </si>
  <si>
    <t>RT @WRadioColombia: #SigueLaW #APetroLeDigo | Mi lucha ha sido la lucha popular (...) si no la hago yo, la hará otra persona: Gustavo Petro…</t>
  </si>
  <si>
    <t>RT @AndresCamiloHR: "Mataron 90 mil personas y llenaron el país de fosas comunes" @petrogustavo al aire en @WRadioColombia SEÑAL EN VIVO…</t>
  </si>
  <si>
    <t>RT @AidaAvellaE: El Dr Gaviria, Jefe del Partido "liberal", se queja del maltrato que recibe del Gobierno @IvanDuque pero están listos a ro…</t>
  </si>
  <si>
    <t>El Banco de la República debería regalarle a Bogotá la reconstrucción del Hotel Granada https://t.co/6ReJrv44VX</t>
  </si>
  <si>
    <t>RT @ChalecosAmarill: 🎥🛑In #USA protesters took to the streets of New York City in solidarity with the Kenosha protests against racist polic…</t>
  </si>
  <si>
    <t>RT @carolltejada: Lean ustedes los comentarios de la secretaria de Turismo de Tumaco luego de la masacre de los 6 jóvenes en la región pací…</t>
  </si>
  <si>
    <t>RT @ArakFialloNancy: Terribles los señalamientos de “guerrillero” al arzobispo de Cali le hace el periodista Nestor Morales. @BluRadioCo…</t>
  </si>
  <si>
    <t>RT @AugustoCubides: Descanse un ratico @NestorMoralesC . Mencionar a @petrogustavo en revelaciones de alianza exProcurador Ordoñez-Santos-M…</t>
  </si>
  <si>
    <t>RT @IvanCepedaCast: Uribe quería destruirme con falsa acusación y 20 falsos testigos. Fui absuelto por CSJ y PGN (2 instancias). Hoy él est…</t>
  </si>
  <si>
    <t>RT @VerdadPacifico: #ATENCION: Asesinado el líder comunitario EDIS CARE en la comunidad de Villa Nueva, Consejo Comunitario de La Larga y T…</t>
  </si>
  <si>
    <t>Para quienes quieran escuchar mi entrevista por la W, aquí la tienen https://t.co/4qCqllohqZ</t>
  </si>
  <si>
    <t>RT @bbcmundo: Salvatore Mancuso, la polémica en Colombia por la posible extradición a Italia del exparamilitar desde Estados Unidos https:/…</t>
  </si>
  <si>
    <t>El gobierno pondrá una de sus funcionarias a que lo controle en la Procuraduría. La funcionaria fue mano derecha de… https://t.co/RZ3Gtp593Q</t>
  </si>
  <si>
    <t>Esta cartilla que proviene de uns institución publica es una abierta persecución contra ideologias y sistemas de pe… https://t.co/fqt0GnQGkv</t>
  </si>
  <si>
    <t>RT @petrogustavo: El gobierno pondrá una de sus funcionarias a que lo controle en la Procuraduría. La funcionaria fue mano derecha de Aleja…</t>
  </si>
  <si>
    <t>RT @finseya5: Esta pandemia cambió los parámetros de la comparación? Hacerlo bien porque es menos peor que los peores y no porque se acerca…</t>
  </si>
  <si>
    <t>RT @EpicuroDeSamos_: Hoy veo a much@s aplaudiendo la propuesta del senador Marulanda sobre la compra por parte del estado de cultivo ilícit…</t>
  </si>
  <si>
    <t>Angelica, Corferias servía par enfermos leves de Covid, Y propusimos el San Juan de Dios y la red hotelera. Y ademá… https://t.co/EGYDsOR3v4</t>
  </si>
  <si>
    <t>RT @petrogustavo: Esta cartilla que proviene de uns institución publica es una abierta persecución contra ideologias y sistemas de pensamie…</t>
  </si>
  <si>
    <t>RT @petrogustavo: Para quienes quieran escuchar mi entrevista por la W, aquí la tienen https://t.co/4qCqllohqZ</t>
  </si>
  <si>
    <t>Los enfermos que no llegaron a Corferias no dejaron de enfermarse, si eran los no covid quedaron en hospitales y ca… https://t.co/kkfzEZV6yT</t>
  </si>
  <si>
    <t>RT @HoracioSerpa: Me parece válido eso de que el Partido Liberal se volvió un estorbo. Ni hace ni deja hacer. Solo piensa en burocracia y e…</t>
  </si>
  <si>
    <t>RT @Clafe64: Italia accoglierà il criminale che ha massacrato migliaia di cittadini e cittadine in Colombia?. Daranno asilo a un capo para…</t>
  </si>
  <si>
    <t>RT @MashiRafael: 🔴🔴🔴 Almagro, en contubernio con Gobierno del Ecuador, intenta desplazar a Paulo Abrao como secretario de CIDH, para poner…</t>
  </si>
  <si>
    <t>Apertura económica con autocuidado" significa, "sálvese quien pueda" No hubo una verdadera política de control de… https://t.co/rHVv8g5Fms</t>
  </si>
  <si>
    <t>RT @petrogustavo: Restauración y dotación del hospital San Juan de Dios en Bogotá vale 150.000 millones, pero contrataron un nuevo edificio…</t>
  </si>
  <si>
    <t>Ahora en el foro latinoamericano sobre la sentencia de la CIDH sobre la prohibicion a autoridades politico/administ… https://t.co/sbbUKuDaM9</t>
  </si>
  <si>
    <t>RT @colombia_hist: Congregación de la gente en la plaza de Bolívar en Bogotá para ver a Jorge Eliécer Gaitán https://t.co/XlHTsIxKVT</t>
  </si>
  <si>
    <t>RT @anateresabernal: Nada que celebrar alcaldesa @ClaudiaLopez. La falsa idea del No colapso de los Hospitales para maquillar el despilfarr…</t>
  </si>
  <si>
    <t>RT @ceprEspanol: Un gran error de codificación en el análisis de la @OEA_oficial sobre las elecciones de 2019 en #Bolivia demuestra otra fa…</t>
  </si>
  <si>
    <t>Cuando hay un combate se llama combate y cuando hay una masacre se llama masacre https://t.co/7OKb7XaJYa</t>
  </si>
  <si>
    <t>Todo su trino es cierto menos en sí es la mayoria verde es la que quiere excluir a Colombia Humana y dividir el blo… https://t.co/DshU2BqGQt</t>
  </si>
  <si>
    <t>RT @CuartoDeHoraCol: #Atención Asesinan a la Líder Social Rita Rubiela Bayona Alfonso en Santa Marta. Hombres armados llegaron a un parquea…</t>
  </si>
  <si>
    <t>RT @cielo_rusinque: Maravilloso desayuno de constitucionalistas iberoamericanos el día de hoy, analizando con @petrogustavo las implicacion…</t>
  </si>
  <si>
    <t>Aquí pueden ustedes ver cómo El Registrador del Estado Civil y el Consejo Nacional electoral presentan al Congreso… https://t.co/NzFqpab6YR</t>
  </si>
  <si>
    <t>Nosotros no hacemos animadversión al partido Verde, simplemente reaccionamos públicamente a ,lo que un grupo pequeñ… https://t.co/r3CmaPwJ22</t>
  </si>
  <si>
    <t>Lo que sería correcto es definir si el Polo y el Verde como partidos políticos quieren excluir de un posible acuerd… https://t.co/TqHEEPvTuL</t>
  </si>
  <si>
    <t>Debo rechazar explícitamente la afirmación de la alcaldesa de Bog3ota quien dijo que hago política con la muerte. N… https://t.co/XZ3mSfAgXK</t>
  </si>
  <si>
    <t>RT @camilaporlavida: Hay mala fe e intención de desinformar en el medio de comunicación o en la fuente. Quienes militamos y hacemos parte…</t>
  </si>
  <si>
    <t>Lo único que hoy mantenía puentes de comunicación con la alcaldía de Claudia era el tema ambiental. La renuncia de… https://t.co/elQJU2gUOo</t>
  </si>
  <si>
    <t>Lo cierto es que un grupo de dirigentes verdes sin consultar a su partido y partidarios de la candidatura de Sergio… https://t.co/fMnTGxkvC6</t>
  </si>
  <si>
    <t>RT @ProgresaLatam: Este "error" se tradujo en un Golpe de Estado y en el asesinato de la democracia boliviana. Es vergonzoso que nuestras e…</t>
  </si>
  <si>
    <t>RT @APjoshgoodman: NEW: Here's the DC court order leaving no doubt whatsoever that the Trump administration has pledged to remove ex Colomb…</t>
  </si>
  <si>
    <t>RT @petrogustavo: Lo cierto es que un grupo de dirigentes verdes sin consultar a su partido y partidarios de la candidatura de Sergio Fajar…</t>
  </si>
  <si>
    <t>RT @petrogustavo: Debo rechazar explícitamente la afirmación de la alcaldesa de Bog3ota quien dijo que hago política con la muerte. Nosotro…</t>
  </si>
  <si>
    <t>RT @alexbernalradio: La señora @ClaudiaLopez dice que Petro hace política de la muerte. Dinamita el hospital San Juan de Dios en plena pan…</t>
  </si>
  <si>
    <t>Mañana va a ser un día clave para la democracia en Colombia. Si el uribismo se apropia de la procuraduría y se la… https://t.co/DhvAHRo2lq</t>
  </si>
  <si>
    <t>RT @wilcan91: El 9 de mayo dl 2019 en la Vda El Reventón una menor de edad venezolana se rindió al ejército luego d un combate con EPL. Est…</t>
  </si>
  <si>
    <t>RT @petrogustavo: Mañana va a ser un día clave para la democracia en Colombia. Si el uribismo se apropia de la procuraduría y se la devuel…</t>
  </si>
  <si>
    <t>Canalla es invertir 200.000 millones de pesos en un hospital de paso para recibir enfermos no covid remitidos de lo… https://t.co/HfK44Ap0ot</t>
  </si>
  <si>
    <t>RT @charry_manager: La senadora cree que negamos la creación de un hospital de campaña, y usa de forma pendenciera los trinos de @petrogust…</t>
  </si>
  <si>
    <t>Puentes de comunicación en materia ambiental mi querida Maria Mercedes son temas programáticos, no dije que con ust… https://t.co/4bGqmK7Fny</t>
  </si>
  <si>
    <t>RT @JorgeOvalleB: "Por supuesto que estoy más cerca de Petro (@petrogustavo) que de Fajardo (@sergio_fajardo) no cabe duda y no me avergüen…</t>
  </si>
  <si>
    <t>RT @LinaGarciaSi: Quieren vender la idea de mayorías en el verde en contra de coalición con @petrogustavo para darle paso a las candidatura…</t>
  </si>
  <si>
    <t>RT @MarlonSLopez: Toma histórica a Gustavo PETRO. Muestra a un joven de 29 años abatido por el asesinato de su Comandante Carlos Pizarro, q…</t>
  </si>
  <si>
    <t>La bancada de Colombia Humana en el concejo no ha bloqueado nada, pero si ha propuesto y mucho, alrededor de los p… https://t.co/qSuw42rYY9</t>
  </si>
  <si>
    <t>RT @trucatto: RT En este momento están entrando sujetos armados (presuntamente paramilitares) al corregimiento de Carreto, municipio del P…</t>
  </si>
  <si>
    <t>Obviamente https://t.co/Ivx3rXKGJY</t>
  </si>
  <si>
    <t>Bueno, interesante ver cómo Duque nos ve a quienes competimos con él por la presidencia. Fajardo y quien les escribe https://t.co/8W26OcSQN4</t>
  </si>
  <si>
    <t>Alguien miente https://t.co/xOU6BAYwLa</t>
  </si>
  <si>
    <t>RT @petrogustavo: Bueno, interesante ver cómo Duque nos ve a quienes competimos con él por la presidencia. Fajardo y quien les escribe http…</t>
  </si>
  <si>
    <t>Ha muerto Soad Louis Lakah, poeta de Ciénaga de Oro, Córdoba. QEPD. https://t.co/oOF3qLjyvf</t>
  </si>
  <si>
    <t>La recolección de datos de ciudadanos y ciudadanas, su clasificación política y sus datos personales, es absolutame… https://t.co/QklaMUlG5f</t>
  </si>
  <si>
    <t>Hoy el gobierno de Duque con la ayuda de Vargas Lleras se apresta a tomar control de todas las ramas del poder público</t>
  </si>
  <si>
    <t>RT @JavierAdaime: Aca está @matteocarvajal el que nos perfila en la @infopresidencia Hagámoslo famoso por favor y escribámosle un mensaje…</t>
  </si>
  <si>
    <t>No es improvisación del gobierno. El gobierno ha luchado denodadamente para que Mancuso no regrese a Colombia. Y lo… https://t.co/ir4HPow2ax</t>
  </si>
  <si>
    <t>La.estrategia de Fajardo, un grupo pequeño de verdes y del polo es repetir la estrategia del 2018 esta vez atrayend… https://t.co/02TnE15mSX</t>
  </si>
  <si>
    <t>"Los negativos", muy contrarios a los falsos positivos.</t>
  </si>
  <si>
    <t>RT @marthaperaltae: Tienen Fiscal, Contralor, Defensor del Pueblo, Presidencia del Congreso, van por la Procuraduría y quieren acabar las C…</t>
  </si>
  <si>
    <t>RT @petrogustavo: "Los negativos", muy contrarios a los falsos positivos.</t>
  </si>
  <si>
    <t>RT @JUANCAELBROKY: ¿El asesor del uribismo y de la Presidencia de la República, Mateo Carvajal pretende ubicar las cédulas de las personas…</t>
  </si>
  <si>
    <t>La salida de María Mercedes Maldonado del gobierno de Claudia puede tener un significado: CAMACOL io se puso al fr… https://t.co/AAuUIRQLQG</t>
  </si>
  <si>
    <t>RT @Betocoralg: Vamos ganando! Por el momento, esta avenidas NO SE VA LLAMAR “Alvaro Uribe Way” Por la polémica, muchos comisionados deci…</t>
  </si>
  <si>
    <t>RT @AndresCamiloHR: Ya está en el Capitolio Nacional el senador @petrogustavo para la elección del Procurador General de la Nación, a su ll…</t>
  </si>
  <si>
    <t>RT @charry_manager: El senador @petrogustavo desde 2004 denunciaba el poder de MANCUSO, hoy le dan tíquete a Italia y a la impunidad, Colom…</t>
  </si>
  <si>
    <t>Solo al uribismo se le podr5ia.ocurrir que los fondos para La Paz se usaran para perseguir opositores.</t>
  </si>
  <si>
    <t>RT @petrogustavo: La.estrategia de Fajardo, un grupo pequeño de verdes y del polo es repetir la estrategia del 2018 esta vez atrayendo a Sa…</t>
  </si>
  <si>
    <t>RT @ricardobonillag: Según @jhonbarrero, información dataset Distrito, lo reportado por @ClaudiaLopez y su secretario de salud @AlejandroGL…</t>
  </si>
  <si>
    <t>La Corte Interamericana de Derechos Humanos determinó que la conducta de Alejandro Ordóñez fue violatoria de derech… https://t.co/wcpz8cf61j</t>
  </si>
  <si>
    <t>RT @ricardobonillag: Igual sucede en resto del país, donde sólo 13% ha muerto en UCI y 44% en sala general, el resto, 43% por fuera de Hosp…</t>
  </si>
  <si>
    <t>RT @PachoSantosC: Fiscal y Contralor de bolsillo. Ahora van por el Procurador de bolsillo. ¡Que viva la mermelada y el clientelismo! Buen G…</t>
  </si>
  <si>
    <t>Se ha reducido el número de pruebas en 15 días de 40.000 PCR a 30.000. Buscan mejorar las cifras. Las EPS no están… https://t.co/J1q7Q9iJkW</t>
  </si>
  <si>
    <t>El lado oscuro. ¿Y dónde estarán los jedis a los que quiere matar el lado oscuro? https://t.co/i9bQGOCTun</t>
  </si>
  <si>
    <t>Para quienes quieran saber sobre si es una tontería el señalamiento y recolección de datos de dueños de cuentas de… https://t.co/B0XTpDwarc</t>
  </si>
  <si>
    <t>Cuando profesores, estudiantes y padres y madres de familia se abstienen de las clases presenciales para defender l… https://t.co/d22cONsVK2</t>
  </si>
  <si>
    <t>Para que en las elecciones del 2022 no opere el mismo programa de cómputo fraudulento que tiene la Registraduria de… https://t.co/xnAMNF9WhO</t>
  </si>
  <si>
    <t>Le propongo a las veedurías ciudadanas y a la misma ciudadanía vigile el presupuesto para ver si esta partida se in… https://t.co/SXhhDYS4od</t>
  </si>
  <si>
    <t>¿Una nueva masacre de jóvenes en Andes, Antioquia? Favor confirmar. https://t.co/l6wuD0Uohd</t>
  </si>
  <si>
    <t>Ivan Marino Ospina, padre del actual alcalde de Cali, fue un verdadero guerrero, miembro del M19, desde su temple d… https://t.co/TWYXMkRhvU</t>
  </si>
  <si>
    <t>Colombia es una.patria para engrandecer y no un botín para repartir, reza la lápida en la tumba de Ivan Marino Ospina</t>
  </si>
  <si>
    <t>Ya lo había dicho Carlos Castaño, las masacres no son masacres sino operaciones militares con objetivos múltiples.… https://t.co/5GEbqizox2</t>
  </si>
  <si>
    <t>El alcalde de Colombia Humana en Turbaco, Bolívar, logra llevar el agua potable a los corregimientos del municipio,… https://t.co/dGK6MfVX2B</t>
  </si>
  <si>
    <t>Hice en mi debate sobre el paramilitarismo en Antioquia en el 2007 la primera exposición pública del grupo los 12 a… https://t.co/S7y6FiCWcy</t>
  </si>
  <si>
    <t>RT @angelamariazt: Como muchos han notado @MAndreaNieto es el nuevo faro moral del país y grita a todo pulmón que @petrogustavo es un pésim…</t>
  </si>
  <si>
    <t>Antioquia ha vivido en este año varias masacres: Urrao, Betulia, Hispania, Ciudad Bolivar y ahora Andes. Es el dep… https://t.co/Ey4NNkcdOD</t>
  </si>
  <si>
    <t>Renuncia de la exalcaldesa de Bogotá, María Mercedes Maldonado, parece traslucir consigo que Camacol se tomó la de… https://t.co/CSkzCgHhBL</t>
  </si>
  <si>
    <t>RT @petrogustavo: Antioquia ha vivido en este año varias masacres: Urrao, Betulia, Hispania, Ciudad Bolivar y ahora Andes. Es el departame…</t>
  </si>
  <si>
    <t>RT @petrogustavo: Para que en las elecciones del 2022 no opere el mismo programa de cómputo fraudulento que tiene la Registraduria debe que…</t>
  </si>
  <si>
    <t>Aquí la veeduría realmente hecha por la ciudadanía sobre EPM. ¿Cómo se les ocurre que es una veeduría, la asociaci… https://t.co/I5ht6TSby4</t>
  </si>
  <si>
    <t>RT @GustavoBolivar: Cuando Petro era Alcalde, pidió a su bancada del Concejo no votar para Contralor porq es inmoral elegir a quien te va a…</t>
  </si>
  <si>
    <t>Un pastor ladrón https://t.co/GqYnxY5nLE</t>
  </si>
  <si>
    <t>¿Quien es el dueño de la empresa de seguridad? ¿Quien el empresario dueño del cañaduzal? ¿Cuántos jóvenes negros ha… https://t.co/34x6ZG8rB6</t>
  </si>
  <si>
    <t>La Colombia profunda también está en Usme, en Ciudad Bolívar, en Bosa, en los bordes del río Bogotá, allí cuando la… https://t.co/SZTirtFh13</t>
  </si>
  <si>
    <t>Si algún ministro se merece una revocatoria del mandato, ese se llama el ministro de defensa. Pero tenemos ya un C… https://t.co/BVbRqgTJd4</t>
  </si>
  <si>
    <t>RT @nubesuavecita: @PizarroMariaJo @petrogustavo https://t.co/nJ2ffQcfg4</t>
  </si>
  <si>
    <t>Algunas frases de mi entrevista al CELAG https://t.co/7u0Xx0bShP</t>
  </si>
  <si>
    <t>Usted se ha apropiado de sus propios órganos de control. Usted es el dueño de quién debería controlarlo con indepen… https://t.co/RCZqfLY99g</t>
  </si>
  <si>
    <t>Esta no es una derrota de César Gaviria sino de Colombia, quienes quisieron cobrarle a César Gaviria, y yo tendría… https://t.co/NAzywkQ3vU</t>
  </si>
  <si>
    <t>Ivan los veedores de la EPM deben ser de la ciudadanía, la ciudadanía es la verdadera dueña de EPM; no pueden ser d… https://t.co/05yYmBx1HS</t>
  </si>
  <si>
    <t>RT @Librosyescritor: "No todas las verdades son para todos los oídos". Umberto Eco https://t.co/ZWn5fk9U3h</t>
  </si>
  <si>
    <t>El 61% de las personas que han muerto por covid en Bogotá no pasaron por una UCI. Cómo pudieron morir en sus casa… https://t.co/h4crGR9qKT</t>
  </si>
  <si>
    <t>RT @petrogustavo: Esta no es una derrota de César Gaviria sino de Colombia, quienes quisieron cobrarle a César Gaviria, y yo tendría mucho…</t>
  </si>
  <si>
    <t>RT @SARGENTOCHALA: no me digan guerrillero no sean hijueputas, que en el 2004 cuando estuve en San Blas sur de Bolívar, muchas veces me hic…</t>
  </si>
  <si>
    <t>RT @DanielRMed: EPM, hidroitugango y la terrible historia de paramilitarismo, narcotráfico y corrupción es el eslabón que une a fajardo y a…</t>
  </si>
  <si>
    <t>RT @DanielRMed: Quisiera saber @angelamrobledo si estarías dispuesta a participar en una consulta que excluya a Gustavo Petro. https://t.co…</t>
  </si>
  <si>
    <t>RT @CamiloCriollo: Los hilos conectores son tan evidentes que uribismo y fajardismo se unen para torpedear la defensa del patrimonio públic…</t>
  </si>
  <si>
    <t>Ecopetrol en el mundo actual. parte I https://t.co/jr0zdW1vN4</t>
  </si>
  <si>
    <t>Ecopetrol en el mundo actual. parte II https://t.co/HbIR8eSklv</t>
  </si>
  <si>
    <t>RT @petrogustavo: Ecopetrol en el mundo actual. parte I https://t.co/jr0zdW1vN4</t>
  </si>
  <si>
    <t>Vuelven a bajar las pruebas de covid PCR de 42.000 diarias a 28.000, cuando estas fueron pedidas hace semanas. Al r… https://t.co/T83uhwmvUt</t>
  </si>
  <si>
    <t>RT @petrogustavo: Ecopetrol en el mundo actual. parte II https://t.co/HbIR8eSklv</t>
  </si>
  <si>
    <t>RT @finseya5: La estrategia Trump, Bolsonaro, Duque busca reducir pruebas para producir imagen de estabilidad y control necesaria para reel…</t>
  </si>
  <si>
    <t>Esto es una buena noticia, pero en realidad muestra el gran raquitismo de la producción en Colombia y la enorme ign… https://t.co/smeMrFAc48</t>
  </si>
  <si>
    <t>Menos mal la sentencia de la CIDH a mi favor, le servirá a Sergio Fajardo para ser candidato presidencial La respo… https://t.co/sHZ6NdG9Zz</t>
  </si>
  <si>
    <t>RT @jimmyvasquezart: Reza el adagio popular: "El que no sabe, es como el que no ve" @republicadperuR Ya abrimos domicilios 3195837646 http…</t>
  </si>
  <si>
    <t>RT @BluRadioCo: "Usted es igual a Maduro": Petro acusa a Duque de construir una dictadura https://t.co/3BGEgSrcPt https://t.co/dKCo3iu5lK</t>
  </si>
  <si>
    <t>Estos son los países con mayor Desigualdad social del mundo. Fuente Banco Mundial. Colombia en el tercer lugar con… https://t.co/kpzjT4Dfxz</t>
  </si>
  <si>
    <t>RT @mluciaramirez: En Colombia el equilibrio entre los poderes no existe. Presidente dueño de legislativo, Fiscalía, Contraloría, Defensorí…</t>
  </si>
  <si>
    <t>Señores uribistas en ataque feroz contra el senador Cepeda. Saben ustedes cual es la diferencia entre el senador… https://t.co/TcatECRWW3</t>
  </si>
  <si>
    <t>Por fin un análisis de la prensa sobre la caída del número de pruebas de covid en Bogotá y toda Colombia que hemos… https://t.co/RWPc3qVKFI</t>
  </si>
  <si>
    <t>RT @petrogustavo: Señores uribistas en ataque feroz contra el senador Cepeda. Saben ustedes cual es la diferencia entre el senador Cepeda…</t>
  </si>
  <si>
    <t>La aprobacion que la Cámara de Representantes ha hecho del fracking, cuando la mayoría de los parlamentos del mundo… https://t.co/HAG3CSWqN0</t>
  </si>
  <si>
    <t>He presentado a la plenaria del Senado una proposicion para eliminar el artículo que legaliza el fracking en Colomb… https://t.co/Z12OfnAa0D</t>
  </si>
  <si>
    <t>Esta es la nueva realidad del cambio climático, la madre de las pandemias. Se produce por las emisiones de gases q… https://t.co/eQ98qwJB57</t>
  </si>
  <si>
    <t>RT @EnterateCali: A esta hora se desplaza una marcha de habitantes de Llano Verde pidiendo justicia y más investigaciones en el caso de los…</t>
  </si>
  <si>
    <t>RT @RafaelePachon: Tibios 2018: Petro es mezquino. Petro 2018: Pide unión (Vídeo). Angélica Lozano y Fajardo, año 2020: Petro divide. Pet…</t>
  </si>
  <si>
    <t>RT @petrogustavo: He presentado a la plenaria del Senado una proposicion para eliminar el artículo que legaliza el fracking en Colombia El…</t>
  </si>
  <si>
    <t>Bajo el prejuicio de prensa y policía contra las motos eléctricas que compramos, nos mostraron como corruptos, hici… https://t.co/sQWnepPFIn</t>
  </si>
  <si>
    <t>Invito al movimiento ambientalista y a los defensores y defensoras del agua hacer pública y debatir en cada región… https://t.co/YM0wPS8wXX</t>
  </si>
  <si>
    <t>Este hombre no es el tercer implicado, es el que supuestamente disparó contra los nińos, tiene dos condenas por por… https://t.co/hjYB3OpjRv</t>
  </si>
  <si>
    <t>Los progresistas colombianos en Miami detienen la calle Uribe https://t.co/VkW5Xk3T35</t>
  </si>
  <si>
    <t>El préstamo que le hará la Nación a Avianca es el peor negocio que se puede hacer, no genera empleo, no reactiva l… https://t.co/pmgaVWWVP0</t>
  </si>
  <si>
    <t>Dos niños gemelos degollados en Tarazá, Antioquia. Nuestro país ha pasado bajo la mirada impávida de Duque al contr… https://t.co/OcPklkFb78</t>
  </si>
  <si>
    <t>De acuerdo a 300 expertos de los países más ricos del mundo entrevistados por Stiglitz la peor politica que se pued… https://t.co/N4fTDDEeGV</t>
  </si>
  <si>
    <t>De cómo un mago desconocido se volvió Presidente de Polombia. Los mágicos hoy tienen el poder. ¿Será que una part… https://t.co/ISA4WSIHi4</t>
  </si>
  <si>
    <t>Jajjaja, la imparcialidad de Semana. Y no podría haber un síndrome anti Uribe? ¿acaso yo he gobernado a Colombia? ¿… https://t.co/LVUOFiO5bO</t>
  </si>
  <si>
    <t>De como una periodista amiga de Peñalosa cree que 12.000 empleos es un plan Marshall. Si se inviertan 3 billones p… https://t.co/J4FCHxBlij</t>
  </si>
  <si>
    <t>RT @petrogustavo: De cómo un mago desconocido se volvió Presidente de Polombia. Los mágicos hoy tienen el poder. ¿Será que una parte del…</t>
  </si>
  <si>
    <t>Hemos tenido a la.prensa nacional defendiendo a Álvaro Uribe y atacando a la.Corte Suprema de Justicia. Y hemos te… https://t.co/rfQLXGzwLH</t>
  </si>
  <si>
    <t>Invito a los abogados democráticos de este país a construir una acción popular en defensa del patrimonio público y… https://t.co/S3q6c8lj0S</t>
  </si>
  <si>
    <t>RT @ismene2: @petrogustavo Ve, ese tuit hace juego con el tuit del muy independiente Nacho Gómez. Si obviamos lo que conlleva daría risa, p…</t>
  </si>
  <si>
    <t>RT @SandinoVictoria: Me informan que en anoche fueron asesinados el presidente de la junta de acción comunal de la vereda San Juan Alto, d…</t>
  </si>
  <si>
    <t>Aquí les presento mi columna sobre la realidad de la crisis climática y la agenda que le demanda a Colombia en los… https://t.co/xgDYFb7LS3</t>
  </si>
  <si>
    <t>RT @petrogustavo: Aquí les presento mi columna sobre la realidad de la crisis climática y la agenda que le demanda a Colombia en los próxim…</t>
  </si>
  <si>
    <t>Le dan dinero público a la empresa cuyo dueño ha dado sobornos. Ninguna diferencia entre Avianca y Copasa.</t>
  </si>
  <si>
    <t>RT @petrogustavo: Le dan dinero público a la empresa cuyo dueño ha dado sobornos. Ninguna diferencia entre Avianca y Copasa.</t>
  </si>
  <si>
    <t>RT @petrogustavo: De acuerdo a 300 expertos de los países más ricos del mundo entrevistados por Stiglitz la peor politica que se puede hace…</t>
  </si>
  <si>
    <t>El asesinato de un ciclo montañista en el Valle. Nos gritan a disparos que el dueño del territorio ya no es el pu… https://t.co/QprbWGrnNI</t>
  </si>
  <si>
    <t>RT @confidencialcol: #TodosPorMedellín la iniciativa donde convergen los verdes y el uribismo contra el alcalde Daniel @QuinteroCalle https…</t>
  </si>
  <si>
    <t>RT @nicolasAmon: Que sinvergüenza la nueva Angelica. Petro redujo a la mitad pobreza, dejó el presupuesto más alto en la historia de la ciu…</t>
  </si>
  <si>
    <t>Lo básico para una alianza es ser sinceros. Claudia rompió unilateralmente el acuerdo programático al que llegamos… https://t.co/8gdiUrMxtg</t>
  </si>
  <si>
    <t>Con empresa fantasma del hijo de Uribe se firma un contrato por 120 millones mensuales a una empresa de lobby en lo… https://t.co/WoxgWnMwrJ</t>
  </si>
  <si>
    <t>Desde el gobierno de Colombia, con el violador de derechos humanos que nos representa en la OEA, han buscado destru… https://t.co/JtR7pSp7kV</t>
  </si>
  <si>
    <t>En un país donde la politica se alía con la corrupción y la violencia se me asigna el nuevo remoquete de ser mala p… https://t.co/R6rqhLyVqS</t>
  </si>
  <si>
    <t>Jacinto Alberto Soto es el gran articulador financiero del paramilitarismo antioqueño y se comunicaba directamente… https://t.co/J2kpIgcZUX</t>
  </si>
  <si>
    <t>No hay ninguna diferencia entre prestarle 1.4 billones a Avianca, cuyo propietario extranjero está preso por soborn… https://t.co/9YABW59ziF</t>
  </si>
  <si>
    <t>Mi posición frente a las regalías petroleras a las regiones y la necesidad de salir de la economía de la extracción… https://t.co/XgA8bEYUK6</t>
  </si>
  <si>
    <t>RT @sergio_serrano_: Sobre las “malas personas” ¿Son malas pera quién? "El tigre, la pantera y el león son animales inofensivos; la paloma,…</t>
  </si>
  <si>
    <t>RT @petrogustavo: Mi posición frente a las regalías petroleras a las regiones y la necesidad de salir de la economía de la extracción, para…</t>
  </si>
  <si>
    <t>RT @petrogustavo: No hay ninguna diferencia entre prestarle 1.4 billones a Avianca, cuyo propietario extranjero está preso por sobornos, y…</t>
  </si>
  <si>
    <t>Porque se publicaron los archivos de la inteligencia de los EEUU donde se muestra la relación del gobernador Uribe… https://t.co/i4lqR5weQZ</t>
  </si>
  <si>
    <t>RT @ma_eugeniam: La ministra de Cultura está investida con funciones de policía. ¿Por qué no demuele Acuarela y si derriba la Torre Central…</t>
  </si>
  <si>
    <t>RT @susanamuhamad: Que forma de hacer política tan baja. Lo peor es que funciona bien el marketing político no la confrontación de ideas de…</t>
  </si>
  <si>
    <t>RT @PachoSantosC: No va a pasar nada. En la Fiscalía el interés de investigar no tiene nada que ver con la verdad y la justicia. Tiene que…</t>
  </si>
  <si>
    <t>No solo el fiscal Barbosa debe declararse impedido en el proceso de la ñeñepolitica, es amigo íntimo de Duque, sino… https://t.co/4GANdUNQqP</t>
  </si>
  <si>
    <t>Otra vez Colombia es el país del mundo con mayor número de muertos por covid registrados hoy por cada millón de hab… https://t.co/WdymcEL8cQ</t>
  </si>
  <si>
    <t>Este deshonroso lugar tiene su origen en una expansión enorme del virus en Bogotá. somos el tercer país latinoameri… https://t.co/K0UpLIxfNF</t>
  </si>
  <si>
    <t>El peor golpe a la estabilidad laboral en la historia lo ha dado Duque con la reforma laboral por decreto: contrata… https://t.co/S6MPqzVAep</t>
  </si>
  <si>
    <t>RT @SanchezCaicedoC: Soy orgullosamente simpatizante del @PartidoVerdeCoL.Vengo construyendo partido y votando 🌻 desde el año 2014. Me iden…</t>
  </si>
  <si>
    <t>Ayer vi el gran esfuerzo de un dirigente de izquierda para hacer ver como un acto de coherencia el que se defienda… https://t.co/giUXW3G5D6</t>
  </si>
  <si>
    <t>El dinero público, de acuerdo con centenares de expertos mundiales se derrocha si va al transporte tradicional, lla… https://t.co/XUenAtbZdy</t>
  </si>
  <si>
    <t>Así fabricaron testigos falsos para impedir que Correa participara en elecciones en Ecuador. ¿Quién habrá asesorado… https://t.co/qvQduEVUDE</t>
  </si>
  <si>
    <t>Sr Duque, el poder del narco que mata a la juventud es lamentable. El narco dispara a jóvenes soldados sin conducc… https://t.co/FKt8iOrDPX</t>
  </si>
  <si>
    <t>Diego trabajó en mi campaña presidencial 2010, nos veía como objeto de estudio, nunca pudo entender los propositos… https://t.co/LiX8IIlEJe</t>
  </si>
  <si>
    <t>En vez de prestarle a Avianca, coja ese dinero e inicie el subsidio de nómina a pequeñas y medianas empresas para p… https://t.co/pH7luFxCr1</t>
  </si>
  <si>
    <t>La plata que le prestan a Avianca irá para Luis Carlos Sarmiento. La jugadita de Duque tiene como beneficiario al… https://t.co/kwPQ9e5Mti</t>
  </si>
  <si>
    <t>Vivir la irrealidad anormal. Los delitos se han disparado en Bogotá por el hambre. Cualquier bogotano(a) lo sabe.… https://t.co/TjUi2qgLos</t>
  </si>
  <si>
    <t>¿Qué pensaran los asalariados que apoyan a Uribe? Mientras escribían groserías contra la Corte Suprema de Justicia… https://t.co/tngjn9Pe3h</t>
  </si>
  <si>
    <t>El valor de Avianca es cero. No vale nada, tiene una deuda de 6.800 millones de dólares. El préstamo del gobierno… https://t.co/lkZ01GRY1g</t>
  </si>
  <si>
    <t>La operación del préstamo a Avianca es en realidad una operación para salvar bancos colombianos. El grupo Aval, el… https://t.co/8pJVcuocC4</t>
  </si>
  <si>
    <t>RT @ProgresaLatam: Se cae el Lawfare contra @mashirafael y la verdad comienza a salir a la luz. Exagente de Inteligencia ecuatoriano, Luis…</t>
  </si>
  <si>
    <t>Los trabajadores del carbón se van a la huelga. Toda mi solidaridad. Hora que el gobierno intermedie e inicie un… https://t.co/TtCAtCqgIl</t>
  </si>
  <si>
    <t>RT @petrogustavo: El peor golpe a la estabilidad laboral en la historia lo ha dado Duque con la reforma laboral por decreto: contratación p…</t>
  </si>
  <si>
    <t>Que pasa si en la ley de reparación de víctimas, en el caso de restitución de tierras se elevan cono derechos los s… https://t.co/hxY3fFC445</t>
  </si>
  <si>
    <t>RT @petrogustavo: ¿Qué pensaran los asalariados que apoyan a Uribe? Mientras escribían groserías contra la Corte Suprema de Justicia, les…</t>
  </si>
  <si>
    <t>La democracia latinoamericana se cierra en Bolivia y Ecuador. https://t.co/NBjF0jeKh3</t>
  </si>
  <si>
    <t>Mi discurso de respuesta a la propuesta de ser precandidato presidencial, acordada por la UP. Parte II https://t.co/opyyeUBh2c</t>
  </si>
  <si>
    <t>Respuesta a la propuesta de precandidatura presidencial acordada por la UP Parte I https://t.co/76U9064zvA</t>
  </si>
  <si>
    <t>RT @petrogustavo: Que pasa si en la ley de reparación de víctimas, en el caso de restitución de tierras se elevan cono derechos los segundo…</t>
  </si>
  <si>
    <t>RT @petrogustavo: Mi discurso de respuesta a la propuesta de ser precandidato presidencial, acordada por la UP. Parte II https://t.co/op…</t>
  </si>
  <si>
    <t>RT @petrogustavo: Respuesta a la propuesta de precandidatura presidencial acordada por la UP Parte I https://t.co/76U9064zvA</t>
  </si>
  <si>
    <t>RT @PizarroMariaJo: #Comunicado/ Las irregularidades que soportan las demoliciones del Hospital San Juan de Dios https://t.co/p0kMr2B0vR</t>
  </si>
  <si>
    <t>Esta es la forma como una empresa publica ha sido usufructuar por un grupo empresarial privado y particular. El ca… https://t.co/tN8RNAU2ds</t>
  </si>
  <si>
    <t>El Senado esta a punto de destruir ley de reparación d víctimas q debe ser prorrogada Por proposición del senador… https://t.co/AfRbqeO8Ln</t>
  </si>
  <si>
    <t>La proposición, cuenta con el apoyo de Cabal y una similar fue presentada por Angélica Lozano y retirada después; i… https://t.co/nkVzOrh26x</t>
  </si>
  <si>
    <t>A pesar del sesgo de este artículo que revictimiza, los indicios apuntan a que Mario Paciolla, funcionario italian… https://t.co/Ml4BVW5qjR</t>
  </si>
  <si>
    <t>RT @finseya5: Muchas cosas no cuadran @ClaudiaLopez, hoy 104 fallecidos, las UCI Covid19 con disponibilidad del 25%, las no covid19 al 35%…</t>
  </si>
  <si>
    <t>RT @petrogustavo: A pesar del sesgo de este artículo que revictimiza, los indicios apuntan a que Mario Paciolla, funcionario italiano de l…</t>
  </si>
  <si>
    <t>RT @petrogustavo: El Senado esta a punto de destruir ley de reparación d víctimas q debe ser prorrogada Por proposición del senador Pachec…</t>
  </si>
  <si>
    <t>El sabotaje informático al debate de la representante María José Pizarro sobre la corruoción en la demolición del h… https://t.co/IxJSJw7yIt</t>
  </si>
  <si>
    <t>RT @ReservaVDHammen: Alcaldesa @ClaudiaLopez la avenida Boyacá al norte no es una vía urbana, es rural. Y requiere licencia y diagnóstico a…</t>
  </si>
  <si>
    <t>RT @petrogustavo: El sabotaje informático al debate de la representante María José Pizarro sobre la corruoción en la demolición del hospita…</t>
  </si>
  <si>
    <t>Todavía usted se siente orgulloso de haber votado el por Duque, de haber gritado a favor de Uribe? Pues solo mire a… https://t.co/kqh83IgmNa</t>
  </si>
  <si>
    <t>RT @DavidRacero: Aquí, los-as 83 Representantes a la Cámara que el viernes 28 de agosto a las 11:45 p.m., votaron SI al art. 210 del Proyec…</t>
  </si>
  <si>
    <t>Los 83 representantes a la cámara que votaron por el fracking: el uso enorme de agua con químicos para sacar petról… https://t.co/mIGtKvNmIC</t>
  </si>
  <si>
    <t>Agúzate que te estan velando. https://t.co/6SYuEIpXTs</t>
  </si>
  <si>
    <t>RT @AndresCamiloHR: "Aquí las regalías se las roban, se las mecatean" @petrogustavo</t>
  </si>
  <si>
    <t>Con 66 votos, el senado acaba de negar que se utilicen recursos de las regalías para financiar la transición hacia las energías limpias.</t>
  </si>
  <si>
    <t>Senado elimina de la ley de regalías el fracking. Hay que ponerle mucha atención a la conciliación</t>
  </si>
  <si>
    <t>Los bicicarriles de la séptima deben mantenerse y extenderse. La ciudad humana implica disminuir el espacio del aut… https://t.co/RquVaHOJWM</t>
  </si>
  <si>
    <t>Aunque es un triunfo transitorio, ayer se logró que no se igualará el derecho del segundo ocupante de buena fe al d… https://t.co/ZUUYMqNuif</t>
  </si>
  <si>
    <t>RT @cielo_rusinque: Bien por los colombianos en el exterior que protestan inminentemente contra las masacres, la salida a la calle NO DA ES…</t>
  </si>
  <si>
    <t>Los empleos no se destruyeron por el encierro sino por falta de subsidio estatal a las nóminas de la pequeña y medi… https://t.co/e3ocBwqdp2</t>
  </si>
  <si>
    <t>El contralor Granados abusó de su poder al hacerme un juicio de repetición, que buscaba multas por decenas de millo… https://t.co/nxzwU1b9Nr</t>
  </si>
  <si>
    <t>Desplazamiento masivo en Cáceres, Antioquia. La política mafiosa ha llenado el departamento de victimas y de sangre… https://t.co/fQYqj4scnc</t>
  </si>
  <si>
    <t>¿Entonces el fiscal de Uribe es el amigo de Ordoñez, el violador de derechos humanos que nos representa en la OEA?.… https://t.co/5LSdfSRA7z</t>
  </si>
  <si>
    <t>Comenzó sus ensayos en seres humanos la única vacuna contra el covid elaborada en América Latina. Al ser procesada… https://t.co/WkZuq5rYJX</t>
  </si>
  <si>
    <t>¿Por que en Cuba se elabora una vacuna y por qué en Colombia no? Porque a quienes han dirigido el estado colombian… https://t.co/VeTYxrcPlo</t>
  </si>
  <si>
    <t>La selección del fiscal amigo de Ordoñez, hecha por el fiscal Barbosa es una verdadera burla a la justicia colombia… https://t.co/grb6HpC6lp</t>
  </si>
  <si>
    <t>¿Rugeles ha infiltrado nuestra escolta de seguridad? En su periodico aparecieron fotos de la primera comunión de m… https://t.co/OB0ZIsHh8J</t>
  </si>
  <si>
    <t>Mandar los niños al colegio es una irresponsabilidad en pleno ascenso de la pandemia. Bien por su desobediencia ci… https://t.co/lG85lcNt4z</t>
  </si>
  <si>
    <t>Mientras esto pasa con los colegios en Francia con un bajísimo nivel de contagio hoy en día, pero en ascenso, la i… https://t.co/ifcchzUkoQ</t>
  </si>
  <si>
    <t>RT @pormillano: Vayan viendo: vota si al fracking https://t.co/RZlHowQbGj</t>
  </si>
  <si>
    <t>Estas personas mataron en el Urabá a un perro de esta manera. Tengan la certeza que la sevicia sobre los animales,… https://t.co/FRQ33Rz49y</t>
  </si>
  <si>
    <t>La inversión de abundantes recursos públicos en troncales de transmilenio es absurdamente ineficaz en reactivar la… https://t.co/udUBw2CytI</t>
  </si>
  <si>
    <t>Esta votación del Senado sobre el fracking traza una clara línea entre la política de la vida y la política de la m… https://t.co/6fjAEezTqp</t>
  </si>
  <si>
    <t>Los programas que hoy la alcaldesa llama la renta básica son los programas de subsidios a familias vulnerables que… https://t.co/itKHAsxZOs</t>
  </si>
  <si>
    <t>Dos campesinos asesinados en Sucre, y un denunciante de la corrupción en la actual alcaldía de Sincelejo, a cuyo al… https://t.co/IdFeJl0CnX</t>
  </si>
  <si>
    <t>Los montes de María ante la mirada de la Armada, ha sido tomada por el paramilitarismo armado y narcotraficante. La… https://t.co/LkO9vMnEju</t>
  </si>
  <si>
    <t>RT @Eccetina: Denuncio públicamente que el @GRUPOSURA se niega a hacerme exámenes en estos momentos que atravieso los días más delicados de…</t>
  </si>
  <si>
    <t>RT @teleSURtv: #Chile | El 4 de septiembre de 1970, #SalvadorAllende se convirtió en el primer presidente socialista electo democráticament…</t>
  </si>
  <si>
    <t>La vacuna rusa contra el covid pasó con resultados excelentes la primera fase de ensayo en seres humanos, viene la… https://t.co/ya0k33hzX2</t>
  </si>
  <si>
    <t>RT @EpicuroDeSamos_: La mitad de la energía en Alemania es solar y eólica. No lo dice el castrochavista @petrogustavo, lo acaba de decir J…</t>
  </si>
  <si>
    <t>RT @albertobemo: Se desmorona la persecución contra @petrogustavo. Las sanciones y demandas en su contra caen. Se demuestra que fue atacado…</t>
  </si>
  <si>
    <t>RT @carlosecaicedo: En mi época de rector de @Unimagdalena, donde ingresé en 1997, el entonces gobernador paramilitar Trino Luna, seguidor…</t>
  </si>
  <si>
    <t>En El Salvador hubo un pacto entre bandas mafiosas y el gobierno para disminuir asesinatos y dar apoyo electoral al… https://t.co/tqQoZYGCIb</t>
  </si>
  <si>
    <t>Parece que fuera solo cosa de abogados pero la ley153 de 1887 en su artículo 40 aún vigente en el pais, dice que al… https://t.co/8MIskxTzV8</t>
  </si>
  <si>
    <t>RT @andrefelgiraldo: Todavía hay güevones que creen que Santos y Timochenko se están repartiendo el país, mientras Duque acapara las tres r…</t>
  </si>
  <si>
    <t>RT @petrogustavo: Esta votación del Senado sobre el fracking traza una clara línea entre la política de la vida y la política de la muerte.…</t>
  </si>
  <si>
    <t>RT @AguzateCO: 1. Enciende una vela desde tu balcón o antejardín.#UnaVelitaPorLasVíctimas 2. Escribe en un papel un mensaje en el que expo…</t>
  </si>
  <si>
    <t>Después de una inversión de tres billones de pesos, de más de una década de obras y corrupción, se reduce el trayec… https://t.co/OyMTbY0bvS</t>
  </si>
  <si>
    <t>Hoy 4s en todo el país. Contra las masacres y la reforma laboral que nos lleva a la esclavitud. !Agúzate que te es… https://t.co/Ntzv0KRNer</t>
  </si>
  <si>
    <t>A 50 años del triunfo electoral del presidente Salvador Allende en Chile, un homenaje desde la Colombia Humana !Ag… https://t.co/QE5OIQQrW4</t>
  </si>
  <si>
    <t>Me pareció que Alicia Arango como ministra del Interior reflejó una incompetencia absoluta. La incapacidad de gob… https://t.co/PLHGOdDUZq</t>
  </si>
  <si>
    <t>La calculada campaña del uribismo contra el senador Cepeda nombrado.por ellos como jefe de las nueva juventud FARC… https://t.co/shZSSSTgZN</t>
  </si>
  <si>
    <t>Inauguran medio túnel que solo abaratará importaciones para mayor ruina de la industria y la agricultura nacional.… https://t.co/fwLjnwKuwE</t>
  </si>
  <si>
    <t>Nueva masacre en Colombia, 4 personas asesinadas en Buesaco, Nariño. !Agúzate! https://t.co/j9r9S21NLv</t>
  </si>
  <si>
    <t>La masacre en Nariño y la incapacidad del ministro de defensa más obsesionado por su candidatura presidencial que d… https://t.co/Jsu8HMYKDn</t>
  </si>
  <si>
    <t>Nos reunimos hoy con Arauca, Meta y Guaviare en https://t.co/1OlHn1uKxE https://t.co/8WocRZpbhZ</t>
  </si>
  <si>
    <t>RT @ChalecosAmarill: 🎥🛑En #Colombia Usaquén #ParoNacional4deSeptiembre #4SPorLaVida #NosEstánMasacrando https://t.co/3aIo3Byte6</t>
  </si>
  <si>
    <t>RT @ChalecosAmarill: 🎥🛑En #Colombia MANIFESTACIONES 🇨🇴 🔻 #AEstaHora en la autopista norte sentido sur norte, protestan de manera pacífica…</t>
  </si>
  <si>
    <t>RT @ChalecosAmarill: 🎥🛑En #Colombia Performance en Medellín, parque San Antonio. #ParoNacional4deSeptiembre #4SPorLaVida #Velaton4SPorLaVi…</t>
  </si>
  <si>
    <t>RT @AlfredoCOES99: En Cali se sigue animando la movilización social. Es preciso salir a enfrentar la MASACRE LABORAL DEL URIBISMO CONTRA…</t>
  </si>
  <si>
    <t>RT @ChalecosAmarill: 🗞🛑En #Colombia Suba firmes, no más jóvenes para la guerra. #ParoNacional4deSeptiembre #4SPorLaVida https://t.co/ab38A…</t>
  </si>
  <si>
    <t>RT @SebasGordonL: No somos muchos, #pereira es un terreno difícil pero aca estamos ejerciendo #democracia Por que vale la pena un esfuezo…</t>
  </si>
  <si>
    <t>RT @ChalecosAmarill: 🗞🛑 #4SPorLaVida ✊🏻 El pueblo de #Colombia 🇨🇴 se levanta tomándose las calles contra las masacres que han apagado la lu…</t>
  </si>
  <si>
    <t>RT @MoisesAlvaro_: Marchamos desde Suba y Usaquén hacia el Cantón Norte, en Bogotá, para decirle en la cara a este régimen corrupto y asesi…</t>
  </si>
  <si>
    <t>RT @DePasillo_col: MANIFESTACIONES 🇨🇴 | #AEstaHora marchan manifestantes por la autopista norte sentido sur norte en rechazo a las masacres…</t>
  </si>
  <si>
    <t>RT @AlfredoCOES99: Los jóvenes en Cali se levantan. Se acabó el miedo. https://t.co/SKoQMqM5vu</t>
  </si>
  <si>
    <t>RT @AguzateCO: Desde la JEP en Bogotá, apoyando a las víctimas. #4SPorLaVida #Velaton4SPorLaVida https://t.co/cweJcDNa6R</t>
  </si>
  <si>
    <t>RT @EnAtomosVolando: #4SPorLaVida con acto artístico Suba rinde homenaje a las víctimas del gobierno asesino https://t.co/i1Of2NCikF</t>
  </si>
  <si>
    <t>RT @AguzateCO: Medellín no se queda callada, el silencio no es una opción. #4SPorLaVida #Velatón4SPorLaVida https://t.co/5ZY5IY2KA4</t>
  </si>
  <si>
    <t>RT @vivizquierfan: @ChalecosAmarill @HumanaUnidos a esta hora en barrios unidos, Bogotá @petrogustavo , somos pocos pero con indignación un…</t>
  </si>
  <si>
    <t>RT @ElremyIsmael: #NosEstanMasacrando y nos estamos moviendo. Hoy es Cúcuta, hoy somos todos y todas ✊🏾. #4DeSeptiembre #4SPorLaVida #Velat…</t>
  </si>
  <si>
    <t>RT @cielo_rusinque: #Fusagasuga se manifiesta contra las masacres #4SPorLaVida https://t.co/oJf2c0n7FY</t>
  </si>
  <si>
    <t>RT @leon_rolo: #4SPorLaVida parque nacional, Bogotá. https://t.co/mt4r3F6XdE</t>
  </si>
  <si>
    <t>RT @giovannyenciso: #4SPorLaVida @EstratoMedio presente en Banderas, Titán y Teatro Patria #Velatón4SPorLaVida https://t.co/mpO5hB3IWo</t>
  </si>
  <si>
    <t>RT @ChalecosAmarill: 🎥🛑En #Colombia @CantorWerner desde Barrios Unidos 🔻Alzamos la voz por la vida!! #ParoNacional4deSeptiembre #4SPorLaV…</t>
  </si>
  <si>
    <t>RT @AdrianaMolinaUr: #4SPorLaVida https://t.co/zkr6hvEZT3</t>
  </si>
  <si>
    <t>RT @ChalecosAmarill: 🎥🛑En #Colombia Popayán empieza a movilizarse en contra de la guerra y la muerte. ⚠️ @Camdres10 "Defendemos la vida y…</t>
  </si>
  <si>
    <t>RT @JohnnBack: #Colombia #4SPorLaVida #Medellin ✊🏼🇨🇴 Estamos hartos de que el gobierno 🐽 esté mirando hacia otro lado, nuestros niñ@s…</t>
  </si>
  <si>
    <t>RT @cielo_rusinque: Desde #Londres los colombianos se unen al #4SPorLaVida con una hermosa manifestación! Gracias por ese gran ejemplo y co…</t>
  </si>
  <si>
    <t>RT @Pedropsalas: Tunja le dice esta noche no a la violencia, no a la muerte que hace trizas La Paz , nos duele el momento difícil qué pasa…</t>
  </si>
  <si>
    <t>RT @LinaGarciaSi: Avanza marcha #4SPorLaVida por la carrera 7ma en Usaquén. Ante las masacres, ni un minuto de silencio. #4DeSeptiembre…</t>
  </si>
  <si>
    <t>RT @CuadrosFJ: Así se ve el Parque Santander en Cúcuta a esta hora, jóvenes cumpliéndo protocolos de cuidado y autocuidado se manifiestan p…</t>
  </si>
  <si>
    <t>RT @ChalecosAmarill: 🎥🛑En #Colombia Cali no se calla!! #4SPorLaVida #ParoNacional4deSeptiembre #Velatón4SPorLaVida https://t.co/DgATNGAXrR</t>
  </si>
  <si>
    <t>RT @CathyJuvinao: ¿Ya vieron cómo #LaJugaditaDelFracking ya empezó? Los presidentes @arturocharc y @GermanBlancoA designaron legisladores…</t>
  </si>
  <si>
    <t>Un esfuerzo regional de nuestros nodos cooperativos. Meta. La Cooperativa Humana. https://t.co/Ej5U9pegyi</t>
  </si>
  <si>
    <t>La marcha Agúzate en Medellín. La salida de lam.población a las calles por orden del gobierno debe traer aparejada… https://t.co/cwbhHVJKIF</t>
  </si>
  <si>
    <t>Ejecutivos del Grupo empresarial Antioqueño, GEA, que han sido funcionarios de EPM. De como un interés particular… https://t.co/nydvkuJOZ4</t>
  </si>
  <si>
    <t>La apropiación inmoral de EPM, patrimonio público de Medellin por el Grupo Empresarial Antioqueño, GEA, la llevó al… https://t.co/c39zZrDKaU</t>
  </si>
  <si>
    <t>Esta es Buenos Aires. Han encontrado los restos de un desaparecido en el gobierno de Macri. Así reacciona una soci… https://t.co/9HJ1KXMYdY</t>
  </si>
  <si>
    <t>RT @AguzateCO: Yarumal -Antioquia - se auto convocó y se sumó a esta jornada nacional por la vida. #4SPorLaVida #Velatón4SPorLaVida https:/…</t>
  </si>
  <si>
    <t>A este tipo de colombiano no le importa la muerte de sus compatriotas, las masacres, no sabe ni siquiera que en est… https://t.co/GF1TG5dD8f</t>
  </si>
  <si>
    <t>Esta es la manifestación en Nueva York por la muerte de un ciudadano negro en manos de la policía. Así reacciona un… https://t.co/Ti3kCh88Im</t>
  </si>
  <si>
    <t>De como generales del ejército de los EEUU piden dejar de honrar instituciones que defendieron la esclavitud. Les… https://t.co/v3VdEv2P60</t>
  </si>
  <si>
    <t>Hoy la fiscalía revictimiza a Iván Cepeda. Es hora de la Justicia Internacional ante nuestra propia incapacidad de… https://t.co/abMn7YAGxt</t>
  </si>
  <si>
    <t>La fiscalía no da libertad ni pone en prisión, son los jueces de garantías. A un juez le tocará decidir si revierte… https://t.co/JE2B5iEKK3</t>
  </si>
  <si>
    <t>De acuerdo al DANE cuando el gobierno dijo que había 17.300 muertos por Covid habría 25.000 muertos por esta enferm… https://t.co/Lka7DUnf4B</t>
  </si>
  <si>
    <t>Todos vimos por televisión las caravanas en camionetas cuatro puertas del uribismo pidiendo libertad de Uribe. ¿Alg… https://t.co/WoNnV8A9qX</t>
  </si>
  <si>
    <t>Uribe, el fascista. Huyendo del Castrochavismo inexistente, la clase media colombiana le entregó el pais a un real… https://t.co/hY8DX5uSez</t>
  </si>
  <si>
    <t>Nueva masacre en el El Tambo, Cauca. Quieren paralizarnos a través del terror porque le tienen miedo a la gran fuer… https://t.co/xmKw6BALEU</t>
  </si>
  <si>
    <t>RT @MovimientoMAIS: "Si el movimiento popular no sale a la calle, la masacre va a avasallarnos. La debilidad del fascismo va a depender de…</t>
  </si>
  <si>
    <t>Señor ministro de defensa, usted no es capaz. !Renuncie! y dediquese a su campaña. Colombia y el ejército necesitan… https://t.co/MhnuceLdEu</t>
  </si>
  <si>
    <t>Como en la dictadura franquista la ultraderecha que gobierna el país busca poner una campaña de silencio mundial a… https://t.co/SsG2zZPaK2</t>
  </si>
  <si>
    <t>Ni poesía, ni reforma, ni revolución, los ni nis de la política. https://t.co/DgE7y5n8rN</t>
  </si>
  <si>
    <t>Goebbels el director de propaganda de Hitler, es el fundador de la estrategia de la mentira y el desprestigio. Los… https://t.co/Teztgg7wk7</t>
  </si>
  <si>
    <t>Más de cinco millones de personas dejaron de comer tres comidas diarias en el país. El hambre hoy es el fundamento… https://t.co/6kyndrQMAR</t>
  </si>
  <si>
    <t>RT @onuhabitat: 1970: Un carril más es la solución... 1980: Un carril más es la solución... 1990: Un carril más es la solución... 2000: Un…</t>
  </si>
  <si>
    <t>Mi columna dominguera que discutiremos hoy a las siete de la noche en mi Facebook live El fascismo a la colombiana… https://t.co/ch4NvAbPwJ</t>
  </si>
  <si>
    <t>No señor Andrés, el odio no es del que saca las fotos de los masacrados para que la sociedad reaccione contra la ma… https://t.co/UU8UrancDA</t>
  </si>
  <si>
    <t>RT @petrogustavo: Mi columna dominguera que discutiremos hoy a las siete de la noche en mi Facebook live El fascismo a la colombiana. htt…</t>
  </si>
  <si>
    <t>Logramos con David Garcia que la orquesta filarmónica de Bogotá pasara a ser un sistema orquestal capaz de educar… https://t.co/TkNl08hlV9</t>
  </si>
  <si>
    <t>Maravillosa parábola del nivel de inteligencia en los debates en Twitter. https://t.co/5G52CPv6mo</t>
  </si>
  <si>
    <t>Darle liquidez a los hogares y no a los bancos; a la pequeña y mediana empresa que genera empleo y no a las grandes… https://t.co/pp7WDlLYFp</t>
  </si>
  <si>
    <t>¿Que hizo Colombia con la mujer? ¿Por qué la condeno a torturas e indignidades? ¿Por qué no le abrió la puerta de l… https://t.co/eo4WxDHaUh</t>
  </si>
  <si>
    <t>RT @GustavoBolivar: Si estos pastores aliados de la ultraderecha no saben ni de Jesús, cómo van a saber de Petro. El deprimido de la 94 l…</t>
  </si>
  <si>
    <t>RT @nicolasAmon: Nunca escuchen a un politólogo hablando de economía, nunca. https://t.co/PM6Jg75Ugb</t>
  </si>
  <si>
    <t>Cuando se busca silenciar es el fascismo el que ataca. Quieren un estado totalitario en Colombia sin voces críticas… https://t.co/jYilbDfnEq</t>
  </si>
  <si>
    <t>Los votos libres en realidad son un gran acumulado construido en la historia e incluso gracias a personas que ya mu… https://t.co/Q15DK4Os9Q</t>
  </si>
  <si>
    <t>RT @petrogustavo: ¿Que hizo Colombia con la mujer? ¿Por qué la condeno a torturas e indignidades? ¿Por qué no le abrió la puerta de las opo…</t>
  </si>
  <si>
    <t>RT @MColombiaHumana: Mañana las mujeres nos reunimos para entablar diálogos de amor, construcción, libertad, por la vida, la paz y la democ…</t>
  </si>
  <si>
    <t>RT @Betocoralg: Esta es una parte de los requerimientos que está haciendo @AlvaroUribeVel ante la corte de 🇺🇸, me pide: Documentos de mi ex…</t>
  </si>
  <si>
    <t>RT @CesarPachonAgro: ¿Será que mañana si el Congreso no transmite la conciliación lo transmito yo desde mis redes? Es importante que la c…</t>
  </si>
  <si>
    <t>RT @elespectador: ¿Qué relación tienen la familia del senador José Gnecco, el paramilitarismo y el “Ñeñe” Hernández? https://t.co/VjglL13fB6</t>
  </si>
  <si>
    <t>RT @Lauraggils: ¿Ya vieron esto? https://t.co/YTW8Bu9AHS</t>
  </si>
  <si>
    <t>RT @MaPaulaFonseca: Miren lo que hizo la Bogotá Humana de @petrogustavo con @anateresabernal con las familias Embera desplazadas en Bogotá.…</t>
  </si>
  <si>
    <t>RT @pierrealee: Que la propaganda de @VickyDavilaH no distorsione el caso de Uribe Vélez. Esta noche no se pierdan @NoticiasUno https://t.c…</t>
  </si>
  <si>
    <t>Empieza nuestra transmisión por Facebook live de nuestra columnas de hoy https://t.co/MIGsK0Fk4I</t>
  </si>
  <si>
    <t>Por aquí pueden ver la transmisión del debate de nuestras columnas https://t.co/whz9p5wzVF</t>
  </si>
  <si>
    <t>La transmision por Twitter de nuestras columnas en los gustavos https://t.co/GHJxWK4A58</t>
  </si>
  <si>
    <t>Es increíble y asqueroso como el periodismo vuelto propaganda ha tratado de destruir la honra de una familia común… https://t.co/pC9Z4VGXGj</t>
  </si>
  <si>
    <t>Para salvar a EPM antes que nada hay que superar la cooptación que representa toda una inmoralidad administrativa q… https://t.co/omOL4VnNZA</t>
  </si>
  <si>
    <t>RT @jerojasrodrigue: #LaVerdadEsQue se empieza a saber todo sobre el desastre de Hidroituango y la intención de ocultar la verdad para salv…</t>
  </si>
  <si>
    <t>En este informe técnico de la reaseguradora de Hidroituango se demuestra que los contratistas se robaron el dinero… https://t.co/zTngjgi5GW</t>
  </si>
  <si>
    <t>El origen de la corrupción demostrada de los contratistas de EPM en Hidroituango dentro de los cuales se encuentra… https://t.co/cNa1Te94le</t>
  </si>
  <si>
    <t>Fundaciones de las empresas que están involucradas en el desfalco de hidroituango y EPM, y por esa vía, del pais en… https://t.co/gzIwibEpLs</t>
  </si>
  <si>
    <t>Lo sucedido en Hidroituango es pura corrupción. Desde que se entregó a EPM a los grupos empresariales privados se l… https://t.co/V8HtQ31Gfw</t>
  </si>
  <si>
    <t>Pueden discutir con calma el cupo de endeudamiento en sesiones extras. El cupo de endeudamiento reemplaza el metro… https://t.co/ENfJUPKxdB</t>
  </si>
  <si>
    <t>RT @petrogustavo: En este informe técnico de la reaseguradora de Hidroituango se demuestra que los contratistas se robaron el dinero y son…</t>
  </si>
  <si>
    <t>Los contratistas de EPM ligados a empresas privadas de miembros de su junta directiva se robaron la empresa haciend… https://t.co/cwtdZBV84m</t>
  </si>
  <si>
    <t>Fajardo aceleró las obras que ya tenían materiales de baja calidad y por eso sobrevino el desastre. Recibió financ… https://t.co/8Ocxm7kQQB</t>
  </si>
  <si>
    <t>En realidad el GEA y pro publica financian al Centro Democrático en forma mayoritaria, pero, subsidiariamente finan… https://t.co/4ERWf9QBF6</t>
  </si>
  <si>
    <t>Independientemente de lo bien intencionado que pueda estar Fajardo, lo cierto es que al dejar que entrase la financ… https://t.co/yaCGmDmzB3</t>
  </si>
  <si>
    <t>El GEA temeroso de las investigaciones sobre hidroituango, y fervoroso partidario del Uribe ha usado su poder econo… https://t.co/BMsZGwqIDP</t>
  </si>
  <si>
    <t>RT @MateoPenalozaUN: El Norte Popular se moviliza por la defensa de la VIDA, el TERRITORIO y los DDHH ✊🏽🔥 ¡Contra la DICTADURA! #4S #NuncaM…</t>
  </si>
  <si>
    <t>Después de una espantosa masacre en Zaragoza, Antioquia, hace décadas, vuelve la masacre de nuevo: CInco campesinos… https://t.co/LSx9EXO1zR</t>
  </si>
  <si>
    <t>RT @ColombiaHumana_: En vivo @petrogustavo dialoga con el activismo de Colombia Humana en el departamento del Atlántico https://t.co/SH9j…</t>
  </si>
  <si>
    <t>RT @CarlosMedinaG1: El eje ambiental de Bogotá teñido de rojo con betanina de remolacha como señal de protesta por las masacres en Colombia…</t>
  </si>
  <si>
    <t>RT @DavidRacero: No solo Federico Gutiérrez tiene intereses en ocultar lo ocurrido en #Hidroituango para favorecer amigos empresarios que c…</t>
  </si>
  <si>
    <t>RT @petrogustavo: Los contratistas de EPM ligados a empresas privadas de miembros de su junta directiva se robaron la empresa haciendo las…</t>
  </si>
  <si>
    <t>Este es el cambio climático https://t.co/RNNK7EgW5b</t>
  </si>
  <si>
    <t>RT @GustavoBolivar: El brazo armado del Fascismo vuelve a amenazar a Petro a Bolívar y a los líderes de Soacha. Solidaridad con los lídere…</t>
  </si>
  <si>
    <t>RT @PizarroMariaJo: #BoletínDePrensa / La Representante a la Cámara, María José Pizarro, radicó queja disciplinaria ante la @PGN_COL y pid…</t>
  </si>
  <si>
    <t>Amigo Luis Ernesto, el tipo de proyectos que financia el cupo de endeudamiento de Bogotá, básicamente troncales de… https://t.co/U1RPQAJRkR</t>
  </si>
  <si>
    <t>RT @tobonsanin: La historia de Fico y Fajardo con Hidroituango es fiel reflejo del proceder maquiavélico de la clase política del país que…</t>
  </si>
  <si>
    <t>RT @RiosVivosColom: Cuando salen a retractarse todos aquellos que acusaron a la "naturaleza" del desastre de #Hidroituango? Cuándo salen a…</t>
  </si>
  <si>
    <t>RT @josellinas70: Por hacer lo correcto @QuinteroCalle se les tiro las espectativas presidenciales @FicoGutierrez y @sergio_fajardo ; eso…</t>
  </si>
  <si>
    <t>Se supone que el taser está prohibido en Colombia, el señor Francisco Santos quiso generalizarlo en el país. Ahora… https://t.co/DZTZsX8FbM</t>
  </si>
  <si>
    <t>RT @bogotamuyfirme: Ojalá toda la ciudadanía pueda saber que en el Hospital de Corferias de @ClaudiaLopez según la Personería de Bogotá se…</t>
  </si>
  <si>
    <t>A EPM se la robaron hasta que le hicieron perder a Colombia billones de.pesos. Quizás Fajardo no sea consciente de… https://t.co/3jhWIS0jCL</t>
  </si>
  <si>
    <t>Nos quieren hacer creer que ya pasó el primer brote y que habrá un segundo, después. No es cierto. El primer brote… https://t.co/tqurl7GbAJ</t>
  </si>
  <si>
    <t>RT @Mijaliocha: Javier Humberto Ordoñez era mi cuñado, el papá de mis sobrinos, la persona que acompañó durante más de 10 años a mi hermana…</t>
  </si>
  <si>
    <t>Queremos reformar la policía? No debe estar el ministerio de defensa. Su personal debe acceder por completo a la ed… https://t.co/I6vkzcuxyS</t>
  </si>
  <si>
    <t>El problema de Colombia ya no es cómo se supera el uribismo, sino cómo se supera el neoliberalismo que es lo que pr… https://t.co/ZGv8qwiYFG</t>
  </si>
  <si>
    <t>RT @Col_Informa: #PolicíaCriminal🚨| Grupo de abogados realizó plantón en la 10 con Av Jiménez en Bogotá para rechazar la brutalidad policia…</t>
  </si>
  <si>
    <t>RT @Clafe64: @AlexLopezMaya @PoliciaColombia Recordemos que la JEFA es @ClaudiaLopez y ella ayudó a redactar un código de policia arbitr…</t>
  </si>
  <si>
    <t>RT @JulianRoman: Aquí unas heroínas! https://t.co/j7xcSSewQq</t>
  </si>
  <si>
    <t>Es así como se permite la masacre. El activismo uribista dice esto: "Plomo es lo que hay". "Si lo mataron fue por… https://t.co/dB7IOddQuR</t>
  </si>
  <si>
    <t>RT @cielo_rusinque: Oigan Uds @ClaudiaLopez asume que es la Jefe De Policía y se compromete en campaña a asumir ese liderazgo. ¿Será que ya…</t>
  </si>
  <si>
    <t>RT @petrogustavo: El problema de Colombia ya no es cómo se supera el uribismo, sino cómo se supera el neoliberalismo que es lo que produjo…</t>
  </si>
  <si>
    <t>A ustedes les han dicho que el mejor sistema de salud es el privado con ánimo de lucro. Así lo forja la ley 100. P… https://t.co/QowQBMwJkQ</t>
  </si>
  <si>
    <t>RT @nicolaspetroB: En campaña presidencial, @petrogustavo propuso la educación superior para todos los miembros de la Policía y del Ejércit…</t>
  </si>
  <si>
    <t>RT @Col_Informa: #Atención🚨| ESMAD irrumpe movilización en Popayán. Ante el rechazo de la agudización de la violencia en el país, las fuerz…</t>
  </si>
  <si>
    <t>Esto decía Claudia López antes de ser elegida. Hoy debería ponerse al frente y garantizar que se inicien los proce… https://t.co/sI9XLxAvlp</t>
  </si>
  <si>
    <t>RT @Col_Informa: #9S✊| Movilización en Bucaramanga en estos momentos. Estudiantes, campesinos y ciudadanía en general de Santander, Norte d…</t>
  </si>
  <si>
    <t>RT @anateresabernal: Hoy 6 PM, saldremos a las calles de manera pacífica, con medidas de bioprotección y con todo el valor de la paz en nue…</t>
  </si>
  <si>
    <t>RT @elespectador: Convocan movilización nacional por la vida y la paz para el 21 de septiembre. https://t.co/XEM08AR7IA https://t.co/DlUvd…</t>
  </si>
  <si>
    <t>RT @Marovaan: Las personas comienzan al CAI de Villa Luz para levantar su voz de protesta contra el asesinato de #JavierOrdónez #Bogotá #9S…</t>
  </si>
  <si>
    <t>RT @Marovaan: Los asistentes al plantón deciden tomarse la vía para protestar contra el asesinato de #JavierOrdónez #Bogotá #9S https://t.c…</t>
  </si>
  <si>
    <t>RT @JuanGutierrez_G: A las calles. #Zipaquirá https://t.co/vPpjJCBIUb</t>
  </si>
  <si>
    <t>RT @CMILANOTICIA: #LoÚltimo | #Bogotá: atacan el CAI de Villa Luz en Engativá por muerte del abogado Javier Ordóñez en violento procedimien…</t>
  </si>
  <si>
    <t>RT @Col_Informa: #Atención🚨| Protestas en estos momentos frente al CAI de Policía Villa Luz en Bogotá. Manifestantes rechazan el abuso y la…</t>
  </si>
  <si>
    <t>Si no se le ponen recursos en el presupuesto a la compra de un software público y transparente para el conteo de vo… https://t.co/vHhEULC0NE</t>
  </si>
  <si>
    <t>RT @BLUAntioquia: #Atención Al menos 50 personas intentaron entrar al comando de la Policía Metropolitana en medio de las manifestaciones q…</t>
  </si>
  <si>
    <t>RT @DianaDefensora: Protestas en Villa Luz, donde la @PoliciaColombia mató a #javierordonez https://t.co/mGAZhH8l9s</t>
  </si>
  <si>
    <t>RT @PanclastaBiofil: ¿Dónde? https://t.co/EzAaLGGMWy</t>
  </si>
  <si>
    <t>RT @Col_Informa: #Atención🚨| Continúa manifestación en estos momentos en Bogotá, en rechazo a la brutalidad policial y todos los crímenes d…</t>
  </si>
  <si>
    <t>RT @petrogustavo: Si no se le ponen recursos en el presupuesto a la compra de un software público y transparente para el conteo de votos en…</t>
  </si>
  <si>
    <t>RT @BLUAntioquia: Así se vive desde adentro del Comando de la Policía Metropolitana las manifestaciones que se adelantan en el Centro de Me…</t>
  </si>
  <si>
    <t>RT @cielo_rusinque: O toman medidas contundentes para que pasen los abusos de autoridad, o la indignación ciudadana no la contendrán más. A…</t>
  </si>
  <si>
    <t>RT @Col_Informa: #DDHH🚨| Esta es la respuesta del Gobierno las personas que se movilizan por la dignidad. Anoche dos policías asesinaron a…</t>
  </si>
  <si>
    <t>RT @PluralidadZ: 12 policías contra un joven en Medellín ⛔ https://t.co/S8Ypis8iht https://t.co/aEVW5w1tJt</t>
  </si>
  <si>
    <t>RT @WRadioColombia: #Video Ciudadanos encienden velas en el CAI del barrio Villa Luz en memoria de Javier Ordóñez → https://t.co/YDzMcee4UT…</t>
  </si>
  <si>
    <t>RT @cerosetenta: “Queremos justicia, queremos paz”. https://t.co/RXKcNZVSGg</t>
  </si>
  <si>
    <t>RT @DanielRMed: Frente al CAÍ del galán en este momento https://t.co/9dZsD38dqF</t>
  </si>
  <si>
    <t>RT @CanalCapital: En las últimas horas se han presentado manifestaciones en Bogotá, Medellín, Barranquilla, Neiva y Tunja por el caso de Ja…</t>
  </si>
  <si>
    <t>RT @DanielRMed: Hacemos ruido, gritamos consignas, nada devolverá las vidas masacradas pero no es momento para ser indiferentes, levántese…</t>
  </si>
  <si>
    <t>RT @Citytv: A esta hora también se reportan disturbios en el CAI de Fontanar de Suba. #ReporteroCiudadano https://t.co/5EVTKaXdJ2</t>
  </si>
  <si>
    <t>RT @IbarraSocarras: Se mantienen fuertes protestas y disturbios en el sector de Villa Luz, occidente de Bogotá, donde murió Javier Ordóñez…</t>
  </si>
  <si>
    <t>RT @sticperiodista: Arde Villa Luz. https://t.co/tPd6NKB65f</t>
  </si>
  <si>
    <t>RT @NoticiasRCN: Esta es la situación que se reporta en este momento en Villa Luz, Engativá. ►https://t.co/TB5jvsVeXY https://t.co/eWfG9Syn…</t>
  </si>
  <si>
    <t>RT @Movicecol: #ATENCIÓN 📢 A esta hora el ESMAD y la Policía lanzan aturdidoras y piedras contra las personas que se encuentran protestando…</t>
  </si>
  <si>
    <t>La respuesta policial y gubernamental a la protesta por el asesinato de civiles en manos de funcionarios armados es… https://t.co/jNqfC2LyWG</t>
  </si>
  <si>
    <t>RT @BLUPacifico: #Atención A esta hora se adelanta un plantón pacífico sobre la calle 5 de Cali, frente al Parque de las Banderas, como for…</t>
  </si>
  <si>
    <t>RT @FCBosque: Al sur de Bogotá. CAI Ciudad Berna. https://t.co/rfMjNqHNvR</t>
  </si>
  <si>
    <t>RT @charry_manager: Hoy en Soacha @PoliciaColombia rodilla al piso sobre e cuello de otro civil, taser en mano dispuesto a asesinar https:/…</t>
  </si>
  <si>
    <t>RT @BLUCaribe: Estudiantes de UniAtlántico realizan plantón pacífico a las afueras de la sede centro de la institución para rechazar la vio…</t>
  </si>
  <si>
    <t>RT @andrescamachom_: BOGOTÁ - LA MACARENA #LaVidaSeRespeta #PoliciasAsesinos https://t.co/4iwJ60zNxr</t>
  </si>
  <si>
    <t>RT @UnivalleU: #Cali 🔥 Inicia movilización de indignación contra la #PolicíaCriminal a esta hora estamos sobre el parque de las banderas.…</t>
  </si>
  <si>
    <t>RT @Lucazo6: Bien por Bucaramanga https://t.co/wkmC70M0Li</t>
  </si>
  <si>
    <t>RT @Lucazo6: Hoy en Bucaramanga iniciaron las marchas de protesta pacifica https://t.co/g1r9zTbs30</t>
  </si>
  <si>
    <t>Vuelve la movilización popular y está bien que aparezca, sino el régimen de Duque barre con las libertades civiles. https://t.co/0Gp1V9xutz</t>
  </si>
  <si>
    <t>RT @ingcritica: Bosa La libertad. https://t.co/kurBpfOGuB</t>
  </si>
  <si>
    <t>RT @Anyelik: Protesta frente al CAI en el Parkway. https://t.co/fnFAwzVSYH</t>
  </si>
  <si>
    <t>RT @NoticiasRCN: A esta hora se reportan disturbios en Suba, frente al CAI Gaitana, en Bogotá. Más información en https://t.co/mDocjcbmRa…</t>
  </si>
  <si>
    <t>RT @cubillosantoni1: @jnietoblanco calle 53 con carerra 77 frente de donde fue problema con el abogado Q.E.P.D https://t.co/hDBDeISj8D</t>
  </si>
  <si>
    <t>RT @Reporteropablo: Al momento: situación en el Cai de Bosa la Libertad #CityNoticias ⁦@Citytv⁩ https://t.co/g8SbC7SKpy</t>
  </si>
  <si>
    <t>RT @DonIzquierdo_: ¿Y esta fotografía de la esposa de Javier Ordóñez llorando su muerte frente al CAI de Villa Luz por qué no es viral? E…</t>
  </si>
  <si>
    <t>RT @derlopeza: Sí, también estamos mamados en #Medellin... En estos momentos a las afueras del comando de Policía del Valle de Aburrá, por…</t>
  </si>
  <si>
    <t>RT @MadameSiimone: ya, Boyacá con mutis y muere mi celular 🔥✊🏽🔥 https://t.co/ifG6TEsBEm</t>
  </si>
  <si>
    <t>RT @TransMilenio: #TMahora 07:02 pm Por manifestaciones ajenas a la operación, se cierran las siguientes estaciones: 🔴 San Bernardo 🔴 P…</t>
  </si>
  <si>
    <t>RT @ElParcheCritico: En este momento se realiza una manifestación en la Av. Boyacá con Mutis, en rechazo al asesinato de Javier Ordóñez a m…</t>
  </si>
  <si>
    <t>RT @RuthQuevedoF: En el Cai de la Soledad la gente grita asesinos #JavierNoMurioAJavierLoMataron https://t.co/B54nISUuxI</t>
  </si>
  <si>
    <t>RT @BLUPacifico: Algunos manifestantes en Cali se subieron sobre un bus del MIO para exponer sus pancartas en rechazo al abuso policial del…</t>
  </si>
  <si>
    <t>RT @cielo_rusinque: CAI del Barrio modelo norte #PoliciaCriminal https://t.co/wZUy2fl7OV</t>
  </si>
  <si>
    <t>RT @cielo_rusinque: Barrio Patio bonito #PoliciaCriminal https://t.co/tRAmSOo1VB</t>
  </si>
  <si>
    <t>RT @RobayoChristian: #JavierNoMurioAJavierLoMataron las protestas contra @PoliciaColombia no dan espera en distintos puntos del país luego…</t>
  </si>
  <si>
    <t>RT @CMILANOTICIA: #AEstaHora | Atacan el CAI Panamericano, al sur de Cali. Ciudadanos protestan por muerte del abogado Javier Ordóñez tras…</t>
  </si>
  <si>
    <t>RT @Linui_md: @Citytv #ReportoEnCity Situación en el Cai de Fontanar-Suba. Hace 10 minutos. https://t.co/uwVIFNXAv0</t>
  </si>
  <si>
    <t>La gente ha salido a los barrios a rodear los cais para protestar contra la violencia y el asesinato policial. Se… https://t.co/2jWgh91WLj</t>
  </si>
  <si>
    <t>RT @AlvaroOrjuelaG2: #MinDefensaRenuncie Exagerada presencia d fuerza pública en CAI de Villaluz augura desmanes d policiales Vs ciudadanos…</t>
  </si>
  <si>
    <t>RT @Col_Informa: #Atención🚨| En estos momentos continúan las protestas en Bogotá en rechazo a la brutalidad policial que ha cobrado la vida…</t>
  </si>
  <si>
    <t>RT @cielo_rusinque: #Parkway #PoliciaCriminal https://t.co/6UyYsx1mvy</t>
  </si>
  <si>
    <t>RT @JoseBaezG: Esto pasa en el barrio Villa Luz de Bogotá: "¡No le peguen más! Fuera un ladrón, no hacen nada", dice un vecino que graba a…</t>
  </si>
  <si>
    <t>RT @RobayoChristian: #JavierNoMurioAJavierLoMataron así avanza protesta en Arborizadora Alta por integrantes de @PoliciaColombia que asesi…</t>
  </si>
  <si>
    <t>RT @AleRamirezMarin: Villa Luz en estos momentos, tras el el asesinato de Javier Ordóñez por parte parte de la policía. #JavierNoMurioAJavi…</t>
  </si>
  <si>
    <t>Joven herido de gravedad en Suba. La población sale a las calles a rodear los Cais contra la violencia policial. La… https://t.co/RvpUdlMfHd</t>
  </si>
  <si>
    <t>RT @RobayoChristian: #JavierNoMurioAJavierLoMataron así van las protestas en #SanCristobal contra el asesinato de Javier Ordóñez por parte…</t>
  </si>
  <si>
    <t>RT @JoseaMojicaP: Protestas pacíficas en el CAI del barrio Villemar, en la localidad de Fontibón. https://t.co/C4r0LFCFLw</t>
  </si>
  <si>
    <t>Atención en Suba, la policía dispara. La misma policía no permite la acción de distensión. https://t.co/lyk8ARqihc</t>
  </si>
  <si>
    <t>Ha sido incendiado el Cai de la Gaitana en Suba. El jefe de policía debe admitir la brutalidad policial y la expuls… https://t.co/OgPHYH204Q</t>
  </si>
  <si>
    <t>RT @MonoMeLlaman: Boyacá con 63, la gente bloquea la avenida. Hay rabia, hay dolor, hay indignación. No fue un procedimiento policial, fue…</t>
  </si>
  <si>
    <t>Usme, Bogotá sale a las calle. Lo que hay hoy en Bogotá es un paro cívico. Una desobediencia civil contra la brutal… https://t.co/4ZIZXd8UGJ</t>
  </si>
  <si>
    <t>Barranquilla abandona la indiferencia y sale a la calle. desobediencia civil contra un régimen de brutalidad. https://t.co/glsFv5Dumz</t>
  </si>
  <si>
    <t>RT @Juanaafanador1: Romper unas ventanas de un CAI o destruir cosas, o quemar motos, esta lejos de ser comparable al asesinato de Javier Or…</t>
  </si>
  <si>
    <t>La señora alcaldesa de policía de Bogotá es la jefe de la policía, por tanto no debe sugerir, debe ordenar. https://t.co/XOixCOjn2E</t>
  </si>
  <si>
    <t>RT @charry_manager: #Urgente La @PoliciaBogota está disparando sus armas de fuego... Señora @ClaudiaLopez ¿quien dio la orden? https://t…</t>
  </si>
  <si>
    <t>RT @DianaDefensora: Cacerolazo contra la @PoliciaColombia. https://t.co/jgrF1krCmg</t>
  </si>
  <si>
    <t>RT @DesinfoColombia: Arde ciudad jardín sur https://t.co/r1MwZnEMS3</t>
  </si>
  <si>
    <t>Duitama, Boyacá, ha salido a las calles. Desobediencia civil contra la brutalidad policial. No más dictaduras en Co… https://t.co/mG5Vu1Hv7D</t>
  </si>
  <si>
    <t>RT @petrogustavo: La señora alcaldesa de policía de Bogotá es la jefe de la policía, por tanto no debe sugerir, debe ordenar. https://t.co/…</t>
  </si>
  <si>
    <t>RT @et_ernite: En este video se escuchan los disparos y vienen de donde está la policia. Dejo de grabar porque veo cómo el joven se desplom…</t>
  </si>
  <si>
    <t>RT @charry_manager: Cae un herido por bala en suba, los disparos los ha hecho la @PoliciaBogota... Señora @ClaudiaLopez ¿Quien dio la Orde…</t>
  </si>
  <si>
    <t>Ciudad Bolívar, Bogotá sale a la calle en desobediencia civil contra la brutalidad policial. Es la hora de reforma… https://t.co/Z3iDF4u4ps</t>
  </si>
  <si>
    <t>RT @cielo_rusinque: #Cali se reporta represión policial #PoliciaCriminal https://t.co/CssRfXG2vH</t>
  </si>
  <si>
    <t>RT @Col_Informa: #Atención🚨| Organizaciones de Derechos Humanos de Bucaramanga reportan dos detenidos al finalizar movilización contra el a…</t>
  </si>
  <si>
    <t>RT @Col_Informa: #Urgente🚨| Policía lanza piedra contra un corresponsal nuestro que se encuentra cubriendo las protestas en estos momentos…</t>
  </si>
  <si>
    <t>Chía, Cundinamarca, sale a las calles en desobediencia civil contra la violencia policial. https://t.co/Vh5Vx4j3gL</t>
  </si>
  <si>
    <t>Cali sale a las calles en desobediencia contra la violencia policial y el régimen de Duque que le ha dado la espald… https://t.co/6FJDISF7UU</t>
  </si>
  <si>
    <t>RT @subcantante: Bogotá a esta hora https://t.co/EoNblDmOxI</t>
  </si>
  <si>
    <t>RT @RuthQuevedoF: Cai la soledad Bogota #JavierNoMurioAJavierLoMataron https://t.co/suGGSTuMI4</t>
  </si>
  <si>
    <t>La policía dispara en el Tintal, Bogotà, al parecer hay un joven herido. https://t.co/O3hav9l6f3</t>
  </si>
  <si>
    <t>Arde el cai de Ciudad Berna, en Bogotá https://t.co/4SdaH97Pge</t>
  </si>
  <si>
    <t>Acaban de desaparecer en Cali, después de salir de la procuraduría a Ricardo Abella, de Colombia Humana por denunci… https://t.co/PvKpd3pYg6</t>
  </si>
  <si>
    <t>La policía ha perdido el control sobre sí misma y la alcaldesa no manda. Este es el barrio La Soledad en el centro/… https://t.co/LxKpNotEin</t>
  </si>
  <si>
    <t>La policía agrede los negocios de la gente. La policía está fuera de control. Le solicitó al director de la policía… https://t.co/DBQXfxlusi</t>
  </si>
  <si>
    <t>RT @petrogustavo: Acaban de desaparecer en Cali, después de salir de la procuraduría a Ricardo Abella, de Colombia Humana por denunciar a l…</t>
  </si>
  <si>
    <t>El ministro de defensa debe renunciar. Esta es mi constancia en el senado de la República sobre la violencia que vi… https://t.co/lLvSZZlSBn</t>
  </si>
  <si>
    <t>La lucha callejera en Santa Cecilia en Bogotá. La reforma a la policía es inaplazable. la policía debe ponerse al s… https://t.co/251fVhPL8k</t>
  </si>
  <si>
    <t>Arde el Cai de la soledad en Bogotá https://t.co/aGTdta0tOr</t>
  </si>
  <si>
    <t>La ciudadanía de Kennedy, Bogotá, sale a las calles. https://t.co/eiSzAscp7T</t>
  </si>
  <si>
    <t>Arde el Cai en Usme, Bogotá https://t.co/JpL6xS9QyG</t>
  </si>
  <si>
    <t>RT @petrogustavo: El ministro de defensa debe renunciar. Esta es mi constancia en el senado de la República sobre la violencia que vive Col…</t>
  </si>
  <si>
    <t>RT @alejandrocifu28: Al señor que mataron, vivía a dos cuadras de mi apartamento. Estoy 💩 https://t.co/SCUE35uOIm</t>
  </si>
  <si>
    <t>La ciudadanía de Puente Aranda, Bogotá, sale a la calle. https://t.co/Bsawluq2HI</t>
  </si>
  <si>
    <t>La policía destruyendo casas en Villa Luz, Bogotá, donde ellos mismos asesinaron al abogado Javier Ordoñez. https://t.co/dW2FW9waVu</t>
  </si>
  <si>
    <t>Arde el cai de Techo en Kennendy, Bogotá https://t.co/FoAAhtLzKb</t>
  </si>
  <si>
    <t>Esto sucede en el barrio Castilla, Kennedy, Bogotá https://t.co/BECIRlKWKr</t>
  </si>
  <si>
    <t>Manifestantes heridos en el barrio Fontanar, Bogotá. Colombia debe salir a las calles en solidaridad con el pueblo… https://t.co/virWqOZ87T</t>
  </si>
  <si>
    <t>En Techo, Kennedy, Bogotá https://t.co/efYONXvMnW</t>
  </si>
  <si>
    <t>Ha sido quemado el cai del barrio Galán, en Puente Aranda, un barrio de la clase trabajadora. https://t.co/Gjwx482ZLe</t>
  </si>
  <si>
    <t>RT @jairoriverah: “¡Este es mi derecho!” grita. La respuesta del policía es golpearla. ¿Cómo no van a estar las calles llenas de rabia y…</t>
  </si>
  <si>
    <t>RT @cielo_rusinque: La Policía en lugar de arrodillarse ante la ciudadanía a pedir disculpas, ahora agraden a las mujeres que salen a prote…</t>
  </si>
  <si>
    <t>RT @Col_Informa: #Atención🚨| Nos reportan incendios en: En este momento reportan incendio en Cai Quirigua Cai Gaitana Cai Molinos Cai Bos…</t>
  </si>
  <si>
    <t>Este hombre de civil, al lado de la policía dispara su arma de fuego contra los manifestantes en Bogotá https://t.co/mUZM0wLnRa</t>
  </si>
  <si>
    <t>Barrio Santa Matilde, Puente Aranda, sale a la calle. https://t.co/dfsonpo3Gj</t>
  </si>
  <si>
    <t>Están tan acostumbrados al silencio y la censura. Que creen que informar sobre lo que pasa en la ciudad es peligros… https://t.co/PD7jNHWnMJ</t>
  </si>
  <si>
    <t>El Cai de Villa Granada en Bogotá https://t.co/TtJ48OFzKx</t>
  </si>
  <si>
    <t>Denuncian que hay dos heridos por disparos en el barrio Verbenal, en Usaquén, Bogotá https://t.co/GkQw9jUEj7</t>
  </si>
  <si>
    <t>Periodista que cree que informar es incendiar. Ya se sabe como se ha entendido la información en Colombia. Callar y… https://t.co/V7hLILxxpK</t>
  </si>
  <si>
    <t>El barrio Verbenal, Bogotá ha salido a las calles a protestar. https://t.co/2kXWWNvC7S</t>
  </si>
  <si>
    <t>RT @fixasttyles: Les traigo poesía 🥰 https://t.co/5tBTsPNBKo</t>
  </si>
  <si>
    <t>Más disparos desde la policía. Otro joven herido en Bogotá. Corre la sangre por el pavimento. El régimen muestra su… https://t.co/rQPPRBTM3l</t>
  </si>
  <si>
    <t>En lugar de pedir disculpas, la policía de Bogotá decidió disparar contra el pueblo bogotano. La reforma a la polic… https://t.co/b3uf0Gr08g</t>
  </si>
  <si>
    <t>RT @ElParcheCritico: #ATENCIÓN⚠️| En el barrio Suba Rincón la @PoliciaBogota acaba de disparar contra uno de los manifestantes, quedó grave…</t>
  </si>
  <si>
    <t>RT @charry_manager: Otro herido con arma de fuego al parecer por la @PoliciaBogota en el tintal... @ClaudiaLopez ¿quien dio la orden? htt…</t>
  </si>
  <si>
    <t>El ministro de defensa y el comandante nacional de la policía es responsable de este uso desmedido de la fuerza. Di… https://t.co/Lh1iUPZDoN</t>
  </si>
  <si>
    <t>Alcaldesa de Bogotá de la orden de suspender la represión policial. La ciudadanía tiene el derecho a la protesta ante la arbitrariedad.</t>
  </si>
  <si>
    <t>RT @carolltejada: Increíble. Esta noche Bogotá está entre la indignación por la brutalidad policial y la doble brutalidad policial. #Poli…</t>
  </si>
  <si>
    <t>Laura, el odio es del que dispara, no del que denuncia. El odio es del que usa el poder del estado para destruir ci… https://t.co/wrNMIuE3Zs</t>
  </si>
  <si>
    <t>RT @MirandaBogota: https://t.co/MhXf4IiiBq</t>
  </si>
  <si>
    <t>RT @Col_Informa: #Urgente🚨| Se desata la violencia policial en Bogotá. Con helicopteros y armas de fuego, Policía Nacional irrumpe las prot…</t>
  </si>
  <si>
    <t>RT @HOLLMANMORRIS: ¿Alcaldesa @ClaudiaLopez ud tiene el mando de la policía en este momento? ¿Quien está detrás de las órdenes de moviliz…</t>
  </si>
  <si>
    <t>Nuevo asesinato de joven por miembros de la policía esta noche en Bogotá. Señora alcaldesa ordene de una vez el ret… https://t.co/sy25SAi2Jk</t>
  </si>
  <si>
    <t>Fabian Peña Rodriguez impactado por la policía en Bogotá en el Tintal. represión salvaje de una dictadura. La movil… https://t.co/mwbGiLYUzo</t>
  </si>
  <si>
    <t>La alcaldesa, como jefe de policía de Bogotá, debe ordenar de inmediato que cese el fuego de la policía contra la población civil.</t>
  </si>
  <si>
    <t>Nuevo crimen de miembros de la policia en Bogota. Alerta en todo en el mundo. Que se denuncie este crimen contra el… https://t.co/gnX7xmdT7J</t>
  </si>
  <si>
    <t>Están matando juventud, están matando la democracia. Este día en que una ciudadanía quiso demandarle a la policía q… https://t.co/PR86PuF94m</t>
  </si>
  <si>
    <t>Incendio de bus de transmilenio en Bosa. https://t.co/KzinJCgLDM</t>
  </si>
  <si>
    <t>RT @CantorWerner: Me acaban de informar que hace una hora un policía en moto, arrinconó a mi sobrino quien viene cerca al Hospital de Suba…</t>
  </si>
  <si>
    <t>Un PMU del ministro de defensa y otro de la alcaldesa. Una dirección de la policía que manda sobre la alcaldesa y s… https://t.co/O8kGnT3PS7</t>
  </si>
  <si>
    <t>Les da pavor la denuncia. Lo entiendo. No les da pavor la masacre. Lo entiendo. https://t.co/3xeF4vCcEu</t>
  </si>
  <si>
    <t>RT @geovatom: Así actúa la @PoliciaColombia frente a las protestas por el abuso de autoridad que ellos practican !!! https://t.co/ee2RKod…</t>
  </si>
  <si>
    <t>Esta es una actitud correcta. Policías defienden ciudadanos de otros policías. La policía es para proteger a la ciu… https://t.co/tMT9NpFQRz</t>
  </si>
  <si>
    <t>"Plomo es lo que hay", decían los uribistas. Civiles, o policías de civil, armados dispuestos a matar. Este es el r… https://t.co/amlBTaXDkL</t>
  </si>
  <si>
    <t>Han llevado a la ciudadanía bogotana casi a una situación insurreccional. Siempre los pueblos tienen el derecho de… https://t.co/ONzEjgBRbK</t>
  </si>
  <si>
    <t>La destrucción la ejercen estudes bombardeando niños, silenciandose ante la masacre, aplaudiendo la seguridad basad… https://t.co/0ZKzj7nHO2</t>
  </si>
  <si>
    <t>Señor ministro de defensa renuncie. Esta es la hora de tener una policia democratica, civil y respetuosa de los der… https://t.co/71B0VM1sUe</t>
  </si>
  <si>
    <t>RT @petrogustavo: Nuevo crimen de miembros de la policia en Bogota. Alerta en todo en el mundo. Que se denuncie este crimen contra el puebl…</t>
  </si>
  <si>
    <t>RT @ClaudiaLopez: ¡Yo voy a ser la jefa de la Policía voy a coordinar la seguridad como principal prioridad! Tendremos policía, inteligenci…</t>
  </si>
  <si>
    <t>RT @petrogustavo: Señor ministro de defensa renuncie. Esta es la hora de tener una policia democratica, civil y respetuosa de los derechos…</t>
  </si>
  <si>
    <t>RT @TembloresOng: #Denuncia: la policía asesinó a un joven de 23 años que se encontraba entregando domicilios cerca del CAI verbenal. El ca…</t>
  </si>
  <si>
    <t>RT @LinaGarciaSi: Acaba de morir en la Cardio Infantil Jaider Fonseca de 16 años. La policía lo asesinó con 3 disparos. Paren la masacr…</t>
  </si>
  <si>
    <t>Han cometido una masacre contra el pueblo desarmado de Bogotá @CIDH @IntlCrimCourt https://t.co/RyLzqOCM5O</t>
  </si>
  <si>
    <t>Policía disparando a diestra y siniestra en Bogotá https://t.co/slHmIjG05h</t>
  </si>
  <si>
    <t>RT @petrogustavo: Han cometido una masacre contra el pueblo desarmado de Bogotá @CIDH @IntlCrimCourt https://t.co/RyLzqOCM5O</t>
  </si>
  <si>
    <t>Este es un asesinato de un joven en Verbenal. la señora llora sobre el cadáver, la policía trata de impedir la grab… https://t.co/hkWd4MF3d0</t>
  </si>
  <si>
    <t>RT @ChalecosAmarill: 🎥🛑En #Colombia noche de terror, una joven llora a su novio que fue acribillado a balazos por los #PoliciasAsesinos de…</t>
  </si>
  <si>
    <t>Mataron un ciudadano indefenso y ante la protesta ciudadana mataron más ciudadanos indefensos. Hoy se marcha de n… https://t.co/ENtj6octrs</t>
  </si>
  <si>
    <t>Cinco asesinados en Bogotá es una masacre desatada desde el gobierno. La reforma para tener una policía democrátic… https://t.co/3d0D68GFbH</t>
  </si>
  <si>
    <t>RT @RicardoGonDuq: “Comenzaron a disparar los policías del CAI del verbenal, lo que hizo Jaider fue cubrirse con una puerta y lo que hicier…</t>
  </si>
  <si>
    <t>RT @petrogustavo: Cinco asesinados en Bogotá es una masacre desatada desde el gobierno. La reforma para tener una policía democrática, civ…</t>
  </si>
  <si>
    <t>Desde el 2017, 639 civiles han sido asesinados por procedimientos policiales. Al estar bajo la justicia penal milit… https://t.co/w8GWaASVNQ</t>
  </si>
  <si>
    <t>La cifra oficial de asesinados en Bogotá se eleva a 8 con Javier Ordoñez. El uribismo trata de culparnos de los h… https://t.co/mjLpecNCQQ</t>
  </si>
  <si>
    <t>El uribato acompañado de algunos miembros de la prensa ligados a negocio enormes que denuncioñ por corrupción como… https://t.co/hwhT0QO67e</t>
  </si>
  <si>
    <t>Este es lo que se llama odio y desprecio por la vida y la dignidad humana. Un Estado así se deslegitima el mismo.… https://t.co/UMYCvu8bre</t>
  </si>
  <si>
    <t>248 ciudadanos heridos, 58 por arma de fuego y 8 muertos. Una masacre del Duque, connla pasividad de Claudia, contr… https://t.co/OIPQgK06XS</t>
  </si>
  <si>
    <t>Ud, Holmes Trujillo, quiere procesar a quienes protestan en vez de procesar a los asesinos. Ante la masacre del p… https://t.co/JfQ2W6INtC</t>
  </si>
  <si>
    <t>Fabián Peña, joven artista, herido en la cabeza en Bogotá por arma de fuego policial. https://t.co/baK8CYSACV</t>
  </si>
  <si>
    <t>RT @petrogustavo: Ud, Holmes Trujillo, quiere procesar a quienes protestan en vez de procesar a los asesinos. Ante la masacre del pueblo…</t>
  </si>
  <si>
    <t>Asesinato a mansalva de joven menor de edad, solo había ido a hablar con su amiga y miembros de la policía se le at… https://t.co/VzBjvorRoc</t>
  </si>
  <si>
    <t>El asesinato contra un pueblo indemne. Duque manchó sus manos de sangre. https://t.co/y6eO8L3FHJ</t>
  </si>
  <si>
    <t>Julieta Ramírez asesinada por efectivos de la policía en Suba, Bogotá. Duque con las manos manchadas de sangre de… https://t.co/Kd9u0CLfLv</t>
  </si>
  <si>
    <t>Edison Ferney Peralta, de 17 años asesinado por efectivos policiales en Bogotá. Duque se ha manchado sus manos con… https://t.co/NzNKCGudrC</t>
  </si>
  <si>
    <t>RT @JhonBallesteros: Vamos con un hilo del antes y después de los CAI's vandalizados ayer. Policías del CAI de Bosa Laureles detienen, des…</t>
  </si>
  <si>
    <t>RT @JhonBallesteros: CAI del Codito en Usaquén, centro de tortura por parte de policías. https://t.co/8rGuIFxJse</t>
  </si>
  <si>
    <t>RT @JhonBallesteros: Integrante del CAI de Soledad robaron, desnudaros y torturanos a dos defensores de los derechos humanos. https://t.co/…</t>
  </si>
  <si>
    <t>RT @JhonBallesteros: Integrantes del CAI de la Gaitana abusan, secuestran y torturan a un joven en Bogotá, fue llevado a un caño afuera de…</t>
  </si>
  <si>
    <t>RT @JhonBallesteros: Policias del CAI Britalia son capturados por alianzas con bandas del microtráfico. https://t.co/QTuPB4ifG7</t>
  </si>
  <si>
    <t>RT @JhonBallesteros: Policias del CAI Oneida extorsionaban residentes del barrio. https://t.co/LHOcOoAzin</t>
  </si>
  <si>
    <t>RT @JhonBallesteros: Después de torturarlo por más de dos minutos con choques eléctricos policías del CAI de Villa Luz llevan a Javier al C…</t>
  </si>
  <si>
    <t>RT @JhonBallesteros: Una niña con discapacidad cognitiva es abusada sexualmente por un intengrante de la policía de un CAI de San Cristobal…</t>
  </si>
  <si>
    <t>RT @JhonBallesteros: CAI del tintal, todos sus integrantes extorsionaban a comerciantes del sector. https://t.co/POr70luzXq</t>
  </si>
  <si>
    <t>RT @JhonBallesteros: Policías del CAI de Santa María del Lago extorsionaban a dueño de una parqueadero del sector. https://t.co/LKwg2pHRky</t>
  </si>
  <si>
    <t>RT @JhonBallesteros: En el cai de los hippies discriminaron, golpearon y robaron a una pareja por pertencer a la comunidad LGTBI. https://t…</t>
  </si>
  <si>
    <t>Después de la masacre desatada por el gobierno, esto: Si los resonsables de los homicidios gubernamentales van a l… https://t.co/VHrXgTjf86</t>
  </si>
  <si>
    <t>La orden que había que dar anoche por parte de la alcaldesa y de manera pública era: "No disparen". Todo hecho con… https://t.co/hm1r2OGpmN</t>
  </si>
  <si>
    <t>¿Protestar en democracia significa riesgo de ser asesinado? ¿No es acaso un derecho fundamental Constitucional? Al… https://t.co/cK87XRu0J0</t>
  </si>
  <si>
    <t>RT @ChalecosAmarill: 🎥🛑3, 2, 1 para desinformar en #Colombia ¿DEMO...QUE? 🔻Declaraciones del Ministro de Defensa Holmes Trujillo, lo dicho…</t>
  </si>
  <si>
    <t>Medellín se convoca en el Parque de los Deseos a las 3 p.m.. A pesar de la indignación, metanle alegría a la marcha… https://t.co/TcPK4SXiT3</t>
  </si>
  <si>
    <t>Joven herida por la policía en Bogotá, pero el ministro de defensa rompiendo con la Constitución persigue a los que… https://t.co/dHSst0mB8i</t>
  </si>
  <si>
    <t>Los violentos mi querida amiga Salud están en el poder y son sus amigos. https://t.co/NlzepRJdUj</t>
  </si>
  <si>
    <t>Esto es lo que se llama una estupidez. Pero la desgracia de Colombia es que millones creen en la estupidez. https://t.co/36Dm4nmg9z</t>
  </si>
  <si>
    <t>RT @petrogustavo: Medellín se convoca en el Parque de los Deseos a las 3 p.m.. A pesar de la indignación, metanle alegría a la marcha. Que…</t>
  </si>
  <si>
    <t>Detenido y golpeado por funcionarios de la policia, profesor y defensor de derechos humanos de Ciudad Bolívar, Bogo… https://t.co/FEs1cGg8dr</t>
  </si>
  <si>
    <t>RT @petrogustavo: Esto es lo que se llama una estupidez. Pero la desgracia de Colombia es que millones creen en la estupidez.</t>
  </si>
  <si>
    <t>RT @Suaguagua: Si no fuera porque @petrogustavo difunde la masacre de anoche en su modesta cuenta de Twitter, los medios enmermelados por C…</t>
  </si>
  <si>
    <t>Solo si las marchas vuelven a ser pacíficas lograrán masividad. Le solicito a quienes hoy se van a manifestar: 1… https://t.co/gI1ZNlm9b2</t>
  </si>
  <si>
    <t>Se eleva a diez el número de asesinados en Bogotá por funcionarios de la policía incluido Javier Ordoñez. Estamos… https://t.co/QiNRGLtyW5</t>
  </si>
  <si>
    <t>No solo asesinatos, detenciones, sino tortura como se ve en este video La.policía rompió el contrato social en el… https://t.co/oIBrUW1Sfm</t>
  </si>
  <si>
    <t>Espere de Claudia su reacción de inmediato frente a los hechos, su intervención de hoy es cierta Lo que hubo ayer… https://t.co/q0W8ByuxFe</t>
  </si>
  <si>
    <t>RT @petrogustavo: Solo si las marchas vuelven a ser pacíficas lograrán masividad. Le solicito a quienes hoy se van a manifestar: 1. Expa…</t>
  </si>
  <si>
    <t>Tratan de dividir la sociedad entre gente de bien y vándalos, tal como hacían los fascistas. Los vándalos son los… https://t.co/XKaMOVXDZI</t>
  </si>
  <si>
    <t>Las consignas del Paro nacional resuenan de nuevo. El pueblo ya no debe retroceder. La movilización debe estar ab… https://t.co/ZZNCAzsBnw</t>
  </si>
  <si>
    <t>Lo inadmisible señores de Caracol, RCN y otras similares es que maten la gente desarmada. Entiendanlo bien: en la… https://t.co/RPgVVrQitt</t>
  </si>
  <si>
    <t>Bogota no debe olvidar jamás esta masacre hasta que sus autores sean judicializados. La policia como institución… https://t.co/9HU0iTnHSM</t>
  </si>
  <si>
    <t>La reforma de la policía se vuelve imprescindible para recuperar su legitimidad democrática. Sacarla del ministeri… https://t.co/FQlZZjpUYG</t>
  </si>
  <si>
    <t>No puede existir barrera de ascensos para cualquier miembro que ingrese la policía. La.educación superior debe ser… https://t.co/JGr4HTvFYQ</t>
  </si>
  <si>
    <t>La policía arremete contra movimientos feministas que protestan contra una violación sexual en un clínica de Bogotá… https://t.co/eVyIFIVbZb</t>
  </si>
  <si>
    <t>RT @petrogustavo: Bogota no debe olvidar jamás esta masacre hasta que sus autores sean judicializados. La policia como institución rompió…</t>
  </si>
  <si>
    <t>Al lado de sus tambores, en su puesto pacífico en la protesta, el disparo contra el artista en Bogotá https://t.co/yyfazaZgw7</t>
  </si>
  <si>
    <t>Cristian Hurtado líder juvenil de Soacha fue asesinado con armas de fuego anoche por la policía. https://t.co/vB0tgli75x</t>
  </si>
  <si>
    <t>Medellín sale pacíficamente a la calle contravla brutalidad policial. Es hora de retomar la movilización popular m… https://t.co/B9XdKj97Mf</t>
  </si>
  <si>
    <t>Una de las revelaciones de anoche fue la presencia de personas de civil al lado de la.policia disparando contra man… https://t.co/jKsUV3xs6y</t>
  </si>
  <si>
    <t>Señor @cvoule son ya 11 los asesinados con armas de fuego por parte de de la policía en Bogotá, 66 civiles heridos… https://t.co/IJoRKquBq1</t>
  </si>
  <si>
    <t>¿"Al precio que sea" es asesinar civiles desarmados señor Coronel? https://t.co/JN1mLLsce9</t>
  </si>
  <si>
    <t>Camilo Hernández, asesinado por lan policía en Bogotá. Todo el episodio fue grabado. Su cuerpo quedó tirado en la a… https://t.co/KbuQUHF88z</t>
  </si>
  <si>
    <t>A todas las organizaciones del mundo les solicito solidaridad. A todos los comités de Colombia Humana del mundo, le… https://t.co/itmOgsCEHF</t>
  </si>
  <si>
    <t>Miren como detienen a este joven en este momento en Fontibón. Alerta.en Fontibón. https://t.co/wkbrDKVKco</t>
  </si>
  <si>
    <t>RT @Matador000: Con Iván Duque volvieron las masacres, los desplazados, los descuartizamientos, las desapariciones, los crímenes de estado,…</t>
  </si>
  <si>
    <t>RT @petrogustavo: A todas las organizaciones del mundo les solicito solidaridad. A todos los comités de Colombia Humana del mundo, les soli…</t>
  </si>
  <si>
    <t>Violación al derecho constitucional de reunión y protesta en Fisagasugá. https://t.co/oPoXSw5nKC</t>
  </si>
  <si>
    <t>En zona franca de.Fontibon, Bogotá, la policía vuelve a disparar. https://t.co/txHtPkxZ4f</t>
  </si>
  <si>
    <t>De nuevo disparan al cuerpo en Fontibón, Bogotá. De esto no puede salir más que la renuncia inmediata de la cúpula… https://t.co/kna888hovH</t>
  </si>
  <si>
    <t>La policía dispara en Cali contra la gente. Es una orden a nivel nacional. La cúpula de la policía debe renunciar d… https://t.co/ROpbDdG1MU</t>
  </si>
  <si>
    <t>Avanza la movilización en Cúcuta contra la violencia policial https://t.co/LrCABVcGYx</t>
  </si>
  <si>
    <t>La ciudadanía de Pereira sale a las calles en protesta contra la violencia policial https://t.co/UfDl1PbrCR</t>
  </si>
  <si>
    <t>En Saravena, Arauca, la ciudadanía sale a la calle contra la violencia policial https://t.co/u9eu7wK1HQ</t>
  </si>
  <si>
    <t>Sale la.ciudadanía de Ocaña, Norte de Santander a la calle. https://t.co/AyDFp47LOl</t>
  </si>
  <si>
    <t>Barranquilla en las calles contra la violencia policial https://t.co/hNRSMR6ELT</t>
  </si>
  <si>
    <t>Barrio la Estación en Bogotá. Represión policial https://t.co/0mr0otNwl9</t>
  </si>
  <si>
    <t>Otra joven herida en la cabeza por la policía en la estación la Alqueria en la autopista sur de Bogotá. La masacre… https://t.co/6DPi78Q3LD</t>
  </si>
  <si>
    <t>Bloqueada la.avenida Ciudad de Cali en Bogotá https://t.co/otLw2cgnnf</t>
  </si>
  <si>
    <t>¿Quien bendijo ministro que asesinar civiles es democracia? ¿quien le dijo que ustedes podían disponer de la vida d… https://t.co/Giz8RE7d62</t>
  </si>
  <si>
    <t>Barricadas popilares en el barrio Perdomo, Ciudad Bolivar en Bogotá https://t.co/tRHDjPqxf6</t>
  </si>
  <si>
    <t>Reprimen con gases movilización de Cúcuta. https://t.co/vcDwxI0Zco</t>
  </si>
  <si>
    <t>La.policia otra vez sin conducción de la alcaldía en Bogota dispara sin cesar .se burlan de la alcaldesa y de la Co… https://t.co/puonszzAWi</t>
  </si>
  <si>
    <t>Atención detienen ilegalmente a un grupo de defensores de derechos humanos en Bogotá. @CIDH @IntlCrimCourt https://t.co/Fv8ujRWch5</t>
  </si>
  <si>
    <t>Tortura al interior de un Cai en Bogotá. Se oyen los gritos de dolor y el llanto de las madres afuera. Pinochet d… https://t.co/jTp5NyNTgU</t>
  </si>
  <si>
    <t>Esta es la ignominia. Inadmisible. Ningún demócrata se puede silenciar y quedar quieto ante estos hechos. Bogotá… https://t.co/wGYX7BO4Ve</t>
  </si>
  <si>
    <t>El uribismo se deshace en la violencia que genera. https://t.co/Eh6cPJYvI4</t>
  </si>
  <si>
    <t>RT @Macondo28: @DonIzquierdo_ David ayuda nos tienen cercaros en timiza nos disparan nos obligaron a huir hacia el sector del rio. .difunda…</t>
  </si>
  <si>
    <t>Policía dispara en la calle 72 al norte de Bogota. La policía se ha transformado en una fuerza letal contra la ciud… https://t.co/ACXwGvWFS9</t>
  </si>
  <si>
    <t>Policía dispara en Cajica, Cundinamarca. . Cuando en diversos puntos del país la policía esta disparando contra la… https://t.co/IaxUaFtlIw</t>
  </si>
  <si>
    <t>Las centrales obreras deben reunirse ta y convocar a paro nacional contra la represión. Le pido a losnmovinientos… https://t.co/5EI3NitUuz</t>
  </si>
  <si>
    <t>Observen la policia disparando a matar. Esto no lo hacen por que sí. El ministro de defensa esta detrás de esto. En… https://t.co/nwISkuOFxn</t>
  </si>
  <si>
    <t>Policia disparando con armas de fuego. ¿Duque usted dio la orden de asesinar la juventud de Colombia? https://t.co/7QcZzmPyDw</t>
  </si>
  <si>
    <t>Toda información de violación de derechos humanos en los barrios de Bogotá y en el país favor enviarla a este telé… https://t.co/gbKoSQxt4g</t>
  </si>
  <si>
    <t>Firma la solicitud de renuncia del ministro de defensa https://t.co/0OfGCCPnip</t>
  </si>
  <si>
    <t>Represión en Teusaquillo, Bogotá https://t.co/tHPDCOeJCE</t>
  </si>
  <si>
    <t>Agresión policial contra la manifestación en Armenia, Quindío. No son manzanas podridas, es la decisión inconstitu… https://t.co/H8A5t1wUnv</t>
  </si>
  <si>
    <t>Favor confirmar si ha ocurrido este nuevo asesinato de un joven en Soacha https://t.co/brOMUaRtHR</t>
  </si>
  <si>
    <t>RT @petrogustavo: Las centrales obreras deben reunirse ta y convocar a paro nacional contra la represión. Le pido a losnmovinientos social…</t>
  </si>
  <si>
    <t>Popayán sale a las calles contra la brutalidad policial https://t.co/BKMeVIrbBA</t>
  </si>
  <si>
    <t>Miren como la policía icia dispara con arma de fuego y al cuerpo en arborizadora alta, en Ciudad Bolivar, en Bogotá https://t.co/XgrrA56LcK</t>
  </si>
  <si>
    <t>Señora María Teresa Herran, mil veces he dicho que la movilizacion debe ser pacífica, pero no confunda pintar un Ca… https://t.co/P1dzu40TEF</t>
  </si>
  <si>
    <t>El disparo aleve. Al desnudo una realidad . La policia presa de la corrupción, de las alianzas secretas con narco… https://t.co/W7gA6UnahR</t>
  </si>
  <si>
    <t>El disparo aleve. Maldito el soldado que levanta su arma contra el pueblo, dijo alguna vez Simón Bolívar. La pol… https://t.co/q9H1ENbfZC</t>
  </si>
  <si>
    <t>Detienen a jóvenes en Villavicencio, Meta Colombia, están violentando tu juventud. https://t.co/ZU2dVYdKUm</t>
  </si>
  <si>
    <t>El mundo presta atención a la violencia en Colombia. https://t.co/594K977Tbo</t>
  </si>
  <si>
    <t>RT @TembloresOng: #Denuncia en e barrio costa azul en la localidad de suba, la @PoliciaBogota golpea a este joven brutalmente. #NoMasViolen…</t>
  </si>
  <si>
    <t>Violencia policial contra la mujer en Zipaquirá, Cundinamarca https://t.co/My0Praxrw1</t>
  </si>
  <si>
    <t>Violencia e Santa María del Lago, Bogotá. #MasacreEnBogota https://t.co/59p1nrYDNm</t>
  </si>
  <si>
    <t>Estrenando tanquetas contra la población en Medellin https://t.co/P578UGJoAb</t>
  </si>
  <si>
    <t>Dos heridos a bala mientras estaban en el interior de su casa porque la policia disparó contra las casas. ¿Se acue… https://t.co/r95n52RhyA</t>
  </si>
  <si>
    <t>Entran a una casa y golpean a las personas que estaban en su interior. Ya no queda nada de Estado de Derecho en B… https://t.co/STfmGjC28b</t>
  </si>
  <si>
    <t>Ingeniero Julian González asesinado en Bogotá por la policía. Víctima afro en la #MasacreEnBogota https://t.co/AUaAl0orKA</t>
  </si>
  <si>
    <t>Tortura a ciudadano en Santa Helenita, Bogotá #MasacreEnBogota https://t.co/rPQ72gie00</t>
  </si>
  <si>
    <t>Más heridos con arma de fuego en la ciudad de Bogotá. Es un hecho que la alcaldesa quedó sobrepasada y la policía… https://t.co/QQiNFnIGZt</t>
  </si>
  <si>
    <t>RT @ONUHumanRights: #AEstaHora En cumplimiento de nuestro mandato estamos haciendo seguimiento a los casos de los defensores y defensoras d…</t>
  </si>
  <si>
    <t>Encapuchados con la policia disparando a la ciudadania: El terror Solo la movilización masiva de la ciudadanía pod… https://t.co/76jHdCU7tD</t>
  </si>
  <si>
    <t>El domingo pasado escribí en mi columna sobre el fascismo y como se habia irrigado en Colombia a través de la polic… https://t.co/35H5fPe7aY</t>
  </si>
  <si>
    <t>Policía entrando a las casas de manera violenta en Libertadores, Bogotá #MasacreEnBogota https://t.co/5IB9GrOR0C</t>
  </si>
  <si>
    <t>Palmira Valle, en las calles contra la violencia policial en este momento https://t.co/TzbRfQE4Gi</t>
  </si>
  <si>
    <t>Bloqueda la autopista norte de Bogotá #MasacreEnBogota https://t.co/laRW1n0K53</t>
  </si>
  <si>
    <t>¿Desde la cárcel un sindicado maneja el pais y lo lleva a la violencia? https://t.co/oeifrPQQag</t>
  </si>
  <si>
    <t>RT @petrogustavo: Encapuchados con la policia disparando a la ciudadania: El terror Solo la movilización masiva de la ciudadanía podrá res…</t>
  </si>
  <si>
    <t>No amigo presidente de la.CUT, cuando el fascismo ataca la población, no debe estar cada loro en su estaca. Los lor… https://t.co/uQiE78RNat</t>
  </si>
  <si>
    <t>RT @mmiguelangelj: ¡Bogotá nos sigue doliendo! Doctora @ClaudiaLopez si usted no dio la orden de actuar, ordené entonces que se detengan.…</t>
  </si>
  <si>
    <t>Brutal. La.sevicia del.que se siente opresor. #MasacreEnBogota https://t.co/7sedXOtiXx</t>
  </si>
  <si>
    <t>Manizales ha salido a las calles. Hoy la protesta fue nacional y salvajemente agredida en todo el país Estamos a… https://t.co/FJsGgq3iso</t>
  </si>
  <si>
    <t>RT @petrogustavo: No amigo presidente de la.CUT, cuando el fascismo ataca la población, no debe estar cada loro en su estaca. Los loros de…</t>
  </si>
  <si>
    <t>RT @petrogustavo: Tortura al interior de un Cai en Bogotá. Se oyen los gritos de dolor y el llanto de las madres afuera. Pinochet desatad…</t>
  </si>
  <si>
    <t>Disparando a la gente en el barrio El Perdomo, Ciudad Bolívar, Bogotá ¿Y dónde está la alcaldesa? #MasacreEnBogota https://t.co/FY8p0ooZpj</t>
  </si>
  <si>
    <t>Hay que restablecer la Democracia en Bogotá. Creo que una gran marcha del silencio común sería clave. La no violen… https://t.co/jFW3Kg6CCK</t>
  </si>
  <si>
    <t>Los hijos del pueblo obrero de Zipaquirá agredidos. Desde 1983 esto no sucedía en la ciudad en donde estudié y me h… https://t.co/rCXARA7R5X</t>
  </si>
  <si>
    <t>La policia ataca a ancianos en su propia casa. #MasacreEnBogota https://t.co/t2xPH5KPis</t>
  </si>
  <si>
    <t>La alcaldesa debe exigir la renuncia de la cúpula de la policía de Bogotá. La ciudadania la apoyará y podrá pacific… https://t.co/nFtUBE6Y5D</t>
  </si>
  <si>
    <t>A este periódico del Valle le importan más las cosas que las vidas, sobretodo cuando las cosas son de los banqueros https://t.co/z9tIfzYcM7</t>
  </si>
  <si>
    <t>RT @petrogustavo: La alcaldesa debe exigir la renuncia de la cúpula de la policía de Bogotá. La ciudadania la apoyará y podrá pacificar dem…</t>
  </si>
  <si>
    <t>RT @petrogustavo: Hay que restablecer la Democracia en Bogotá. Creo que una gran marcha del silencio común sería clave. La no violencia ah…</t>
  </si>
  <si>
    <t>#MasacreEnBogota https://t.co/qJaxeZ6PWl</t>
  </si>
  <si>
    <t>El presidiario ha desatado la violencia desde el Estado que controla, buscando su libertad. Sacrifica a todo un pue… https://t.co/aB0REV9FZI</t>
  </si>
  <si>
    <t>Disparar contra la gente como asesinos #MasacreEnBogota https://t.co/PqNauw3Aef</t>
  </si>
  <si>
    <t>Orden para matanza. https://t.co/mFRQrdX59U</t>
  </si>
  <si>
    <t>RT @Mendozaman6: La indiferencia en mi país es tan grande que se manifiesta primero un artista de afuera que los de aquí, gracias ídolo por…</t>
  </si>
  <si>
    <t>No puede quedar ningún miembro de la policía que haya violentado al pueblo dentro de esa institución. La cupula pol… https://t.co/6je9SDtyJ3</t>
  </si>
  <si>
    <t>Soacha salió en multitud a las calles y pide la realización de un gran paro nacional https://t.co/Kabwrn6YOR</t>
  </si>
  <si>
    <t>Bien Andrés. Toda la violación de derechos humanos cometida por sectores de la policía contra el pueblo colombiano… https://t.co/Q6V3Ara3ia</t>
  </si>
  <si>
    <t>RT @ruidiaz_ddhh: 𝘼𝙩𝙚𝙣𝙘𝙞ó𝙣 𝐔𝐋𝐓𝐈𝐌𝐀 𝐇𝐎𝐑𝐀!! 7 policías vinculados en la muerte del Abogado Ordoñez (6 patrulleros y 1 subintendente) Efectivam…</t>
  </si>
  <si>
    <t>RT @ErikaOSanoja: ¡Que viva Allende, carajo! ✊🏾🇨🇱🕊💙 https://t.co/zQV62VjTnK</t>
  </si>
  <si>
    <t>RT @marthaperaltae: Este es el vandalismo de los poderosos. Ellos no destruyen cais, estos vándalos van por lo grande. No les importa damn…</t>
  </si>
  <si>
    <t>Javier Ordoñez fue torturado en el CAI y murió por los golpes de la.policía, la teaser solo fue el preámbulo Los C… https://t.co/SCBydYRFjz</t>
  </si>
  <si>
    <t>Duque ha dado un golpe de Estado contra la.alcaldesa usando la policía. Se cobra así, las críticas mediáticas de la… https://t.co/uW0DX07uIF</t>
  </si>
  <si>
    <t>El régimen de Duque ya no cabe en la democracia. Es Uribe el que maneja el gobierno en función de lograr su propia… https://t.co/TsfGrFYgzz</t>
  </si>
  <si>
    <t>Para rescatar la democracia en Bogotá y la vigencia de la constitución en el pais es necesario que las fuerzas de l… https://t.co/4bWVef9Ww2</t>
  </si>
  <si>
    <t>RT @ChalecosAmarill: 🎥🛑En #Colombia al menos 13 personas ASESINADAS dejaron las protestas la noche del 9 de septiembre, a esto hay que suma…</t>
  </si>
  <si>
    <t>Los vandalos.son.los.que sacan sus dineros a paraísos fiscales, los que despojan al campesino de sus tierras, los q… https://t.co/1p0S3xKC2T</t>
  </si>
  <si>
    <t>RT @madoalvarez: Es MI HIJO POR EL AMOR DE DIOS https://t.co/XuzU1ZaGON</t>
  </si>
  <si>
    <t>RT @petrogustavo: Los vandalos.son.los.que sacan sus dineros a paraísos fiscales, los que despojan al campesino de sus tierras, los que se…</t>
  </si>
  <si>
    <t>Colombia está bajo dictadura. Lo único que salva la democracia es el pueblo https://t.co/Abp0AbM790</t>
  </si>
  <si>
    <t>Es evidente que la policía desobedece a la alcaldesa, al hacerlo la policía ha entrado en sedición. La impulsa Duq… https://t.co/JVzZXQDUqC</t>
  </si>
  <si>
    <t>El Congreso de la República en su virtualidad impuesta e ilegal ha dejado de existir. Solo queda el pueblo en las… https://t.co/BKMyO0blPu</t>
  </si>
  <si>
    <t>Sr Procurador usted debe suspender de inmediato a la cúpula de la.policia de Bogotá por su actitud sediciosa.</t>
  </si>
  <si>
    <t>El arte al servicio del pueblo. Muchachas de abril. https://t.co/nMKIRqwNO0</t>
  </si>
  <si>
    <t>En medio de estas 48 horas de sangre y represión sediciosa una noticia para recobrar ánimos: Daniel Martinez gana l… https://t.co/VghyAz8aOI</t>
  </si>
  <si>
    <t>Invito al partido verde y a toda la ciudadanía, a salir a marchar con Colombia Humana, con la juventud, con el pueb… https://t.co/2CCoX4WRGv</t>
  </si>
  <si>
    <t>El gobierno de Claudia Lopez fie elegida por el voto popular y a ella constitucionalmente la fuerza policial debe o… https://t.co/bbJm8bzYP6</t>
  </si>
  <si>
    <t>14 asesinatos en Bogotá Y Soacha por la policía. NI respuesta al vandalismo ni al ELN, esto solo se llama crimen d… https://t.co/sF4Hp2y0P7</t>
  </si>
  <si>
    <t>Ojo con estos mensajes falsos de la bodega uribista. Nosotros convocamos a una gran movilización pacífica por la pa… https://t.co/mZndk2GGOv</t>
  </si>
  <si>
    <t>Convertir CAIS en centros de cultura es una buena idea. Policía territorializada terminó en alianzas con los grupo… https://t.co/lohQ2y0nun</t>
  </si>
  <si>
    <t>RT @petrogustavo: Ojo con estos mensajes falsos de la bodega uribista. Nosotros convocamos a una gran movilización pacífica por la paz, la…</t>
  </si>
  <si>
    <t>RT @ActualidadRT: Indignación en la Red por la broma que hace un patrullero de la Policía Nacional de Colombia en la red social TikTok. En…</t>
  </si>
  <si>
    <t>RT @petrogustavo: 14 asesinatos en Bogotá Y Soacha por la policía. NI respuesta al vandalismo ni al ELN, esto solo se llama crimen de Esta…</t>
  </si>
  <si>
    <t>RT @petrogustavo: Invito al partido verde y a toda la ciudadanía, a salir a marchar con Colombia Humana, con la juventud, con el pueblo, co…</t>
  </si>
  <si>
    <t>A ahora nos encontramos con la Colombia Humana de Bogotá https://t.co/twoseEncGK</t>
  </si>
  <si>
    <t>En este momento más de 240 activistas bogotano(a)s de Colombia Humana se reúnen virtualmente para organizar la movi… https://t.co/ld6VO4YnzP</t>
  </si>
  <si>
    <t>Nuevo asesinato en un CAI, esta vez en la comuna 13 de Medellín https://t.co/vhakzPw2LP</t>
  </si>
  <si>
    <t>Por ahora se salvan 1.4 billones de pesos de los colombianos de ir a parar a través de Avianca hacia los banqueros… https://t.co/e52umC1qpc</t>
  </si>
  <si>
    <t>RT @LuisGPerezCasas: Nos faltan 14 jóvenes asesinados las últimas 24 h en el corazón de la República, en acciones contra la Constitución y…</t>
  </si>
  <si>
    <t>RT @GustavoBolivar: #Ayuden 🙏 Av Cali sentido sur norte a la altura de la 80, va un camion lleno de jovenes esposados. Va escoltado por 6…</t>
  </si>
  <si>
    <t>RT @Col_Informa: #11S✊| En estos momentos desde el Park Way en Bogotá, nos reportan gran cantidad de personas que se manifiestan contra la…</t>
  </si>
  <si>
    <t>RT @ArakFialloNancy: #AHORA Bogotá. Calle 53, se escuchan tiros. #NosEstanMasacrando #NoMasAbusoPolicial https://t.co/zp78J0xmwm</t>
  </si>
  <si>
    <t>Usaron el CAI de San Diego, Bogotá para abusar sexualmente de tres mujeres detenidas el 10 de.septiembre. @CIDH https://t.co/vnEoxYp9TZ</t>
  </si>
  <si>
    <t>La ciudadanía marcha sobre RCN para exigir respeto a quienes ejercen el derecho fundamental a la reunión y la prote… https://t.co/JkYm67HA9X</t>
  </si>
  <si>
    <t>Las movilizaciones cada vez son más grandes, Vamos hacia la gran movilización popular de Colombia https://t.co/SoF2kJ8eHY</t>
  </si>
  <si>
    <t>RT @LinaGarciaSi: Avanza cacerolazo en la Macarena contra el abuso policial. La protesta pacífica no se va a detener hasta que hayan camb…</t>
  </si>
  <si>
    <t>RT @DefenderLiberta: #URGENTE 🛑Alertamos que en las concentraciones en la Auto Norte con 170 hay agentes de policía con chaquetas de civil.…</t>
  </si>
  <si>
    <t>Represión destada en la autonorte https://t.co/w3GRFLdrj5</t>
  </si>
  <si>
    <t>Así es como Colombia despierta. Manizales potente en la.lucha democrática. Salo en multitud inmensa se reduce la… https://t.co/qNwMY3ADXh</t>
  </si>
  <si>
    <t>Que lamentable, no es tranquilidad lo que se genera cuando.llega la policía, sino miedo. Esta es la verdadera quie… https://t.co/nSzoq3fMU1</t>
  </si>
  <si>
    <t>Cuando Duque se niega a reformar la policía es porque está con el asesinato de los jóvenes. Le interesa esa violen… https://t.co/Hph6GaX031</t>
  </si>
  <si>
    <t>Llenar los CAIs de libros. Hermosa idea que se generaliza en Bogotá https://t.co/qK6qE4yWD3</t>
  </si>
  <si>
    <t>RT @nicolasAmon: No les indigno cuando violaron a una mujer en el CAI, pero si cuando rayaron una pared del CAI. La moral del cristiano d…</t>
  </si>
  <si>
    <t>RT @mmiguelangelj: Al que hoy llama vándalo y lo juzga desde la comodidad de su hogar , mañana puede ser su hijo o su hija que regresa a ca…</t>
  </si>
  <si>
    <t>Duque ha dado un golpe de Estado en Bogotá Retumba el cacerolazo https://t.co/lX2wBLtaZi</t>
  </si>
  <si>
    <t>Tirando gases a las casas en Ciudad Bolivar https://t.co/1DOytE8PJI</t>
  </si>
  <si>
    <t>De nuevo disparos en Suba. https://t.co/8M2Ri9Dq7p</t>
  </si>
  <si>
    <t>RT @susanamuhamad: Nace la nueva Biblioteca Popular del Park Way, en donde era el antiguo CAI https://t.co/EzRYtHQHat</t>
  </si>
  <si>
    <t>Toda Colombia Humana en todo el.pais a alistar la gran movilización popular. Dialogo con el.moviniento social y a… https://t.co/kjABZfAHPt</t>
  </si>
  <si>
    <t>De nuevo atentado de la policía contra jóvenes en el barrio El Pinar en Suba https://t.co/rF8Aqy61i7</t>
  </si>
  <si>
    <t>RT @petrogustavo: Toda Colombia Humana en todo el.pais a alistar la gran movilización popular. Dialogo con el.moviniento social y acción…</t>
  </si>
  <si>
    <t>Barrancabermeja ha salido a las calles https://t.co/1EKKm04KAB</t>
  </si>
  <si>
    <t>Señor Procurador usted debe suspender la cúpula de la.policia de Bogotá por desobedecer a su mando, la alcaldesa, y… https://t.co/JWp5IPb89M</t>
  </si>
  <si>
    <t>Pereira masivamente esta en las calles. Bogotá debe hacer la más grande manifestación de su historia por la paz, la… https://t.co/o2V4Q6HmQA</t>
  </si>
  <si>
    <t>Bucaramanga está masivamente en las calles en defensa del agua de Santurban https://t.co/joAQdSnaIn</t>
  </si>
  <si>
    <t>Amy y Oliverio, hija y padre, ambos indígenas, ambos asesinados hoy en el Cauca. https://t.co/GAxcMjzi6V</t>
  </si>
  <si>
    <t>El.primer bien público, ministra del interior, es la vida, esa que usted debe cuidar porque es su principal misión… https://t.co/yrTc7W3BGC</t>
  </si>
  <si>
    <t>Agresión a la ciudadanía en Teusaquillo https://t.co/xgxP1RWQSa</t>
  </si>
  <si>
    <t>En este momento en Zipaquirá su juventud sale a defender la democracia https://t.co/Hogp2ooxZL</t>
  </si>
  <si>
    <t>RT @alejandrocont3: ULTIMA HORA: Ciudadanos colombianos en Canada demandarían internacionalmente a @CarlosHolmesTru por Delitos de Lesa Hum…</t>
  </si>
  <si>
    <t>RT @prensabenavides: ¡LIBRE! Estudiante de Quinto Semestre de Comunicación Social de @UniagustOficial Diego Andrés Patiño Galindo (19 años)…</t>
  </si>
  <si>
    <t>RT @ammejiaaguado: #ATENCION escuche a esta joven que nos dice “la vida de los colombianos importa” “si el Estado no actúa el pueblo actúa…</t>
  </si>
  <si>
    <t>RT @ChalecosAmarill: 🎥🛑En #Colombia 🇨🇴 más de 400 heridos en las protestas 🔻Al menos 14 personas ASESINADAS y 3 mujeres VIOLADAS por la PO…</t>
  </si>
  <si>
    <t>RT @ammejiaaguado: #ATENCION una mujer esposa, madre ... arrodillada ante centenares de manifestantes pide justicia por los hechos de bar…</t>
  </si>
  <si>
    <t>RT @cielo_rusinque: Teusaquillo es un símbolo grande en el contexto que vive Bogotá, un barrio tradicional de clase media, ilustrada y que…</t>
  </si>
  <si>
    <t>RT @DianaSalinasP: Uno de ellos empezó a acosarlas sexualmente, preguntándoles “Cómo vamos a arreglar”. aprovecharon la situación de indefe…</t>
  </si>
  <si>
    <t>Jonathan Steven Meneses, padre de familia, asesinado en el CAI de San Javier, comuna 13 de Medellín. Su esposa llo… https://t.co/nQsHZJgYt6</t>
  </si>
  <si>
    <t>RT @ammejiaaguado: Lo invito a escuchar al abogado @migueldelrioabg y saque ud sus propias conclusiones #ColombiaDespierta https://t.co/gm…</t>
  </si>
  <si>
    <t>Revista Semana buscando censurar mi Twitter. Indudablemente que haya fuentes de información alternativas en una so… https://t.co/iDyiv3csZx</t>
  </si>
  <si>
    <t>La.negativa de Duque a reformar la policía y cambiar la cúpula es el.espaldarazo oficial, a más alto nivel, para que continúe el asesinato</t>
  </si>
  <si>
    <t>RT @IvanCepedaCast: Vamos a ir a la calle, en forma pacífica y organizada, a defender la Paz y la Democracia, a respaldar al gobierno Distr…</t>
  </si>
  <si>
    <t>Duque busca un quiebre institucional para poderse defender de su propia debilidad. Apoyarse en los fusiles dado que… https://t.co/9d3vL81Jwi</t>
  </si>
  <si>
    <t>El policía debe saber que lo que más conviene a su vida y la de su familia es La Paz. Es poder acceder a cualquier… https://t.co/8FKBhYxMAr</t>
  </si>
  <si>
    <t>Es esto lo que no se debe hacer. Es esta doctrina la que no sirve para la convivencia social. Así no de hace La Paz… https://t.co/uyVMeSNgeM</t>
  </si>
  <si>
    <t>Que no nos quepa duda que los sectores más desesperados del uribismo, ya sin legitimidad popular, están buscando el… https://t.co/M9Mb8UkGie</t>
  </si>
  <si>
    <t>Que Bogotá salga en un cacerolazo masivo hoy a las seis de la tarde. El cacerolazo es antesala de la gran marcha c… https://t.co/v5NJwIWYR6</t>
  </si>
  <si>
    <t>RT @Sachaka7: Simbólico del dolor de tanta gente en Colombia. Desde Toronto, Canadá 🇨🇦 alertando a la comunidad internacional de la importa…</t>
  </si>
  <si>
    <t>RT @SinCensuraCol: Urgente!! Difundir y dar a conocer este video. La Policía desaparece personas y miren a dónde las llevan. Este es un…</t>
  </si>
  <si>
    <t>RT @ChalecosAmarill: 🔴🏴 #Anonymous #Colombia en conjunto con hacktivistas internacionales dieron de baja el sitio web de la policía naciona…</t>
  </si>
  <si>
    <t>Es como si la mataran dos veces. https://t.co/uIJaPftGpv</t>
  </si>
  <si>
    <t>El.periodismo colombiano de los medios de las grandes corporaciones buscando.que por favor le dejen manejar la EPM… https://t.co/ioGVlBbNca</t>
  </si>
  <si>
    <t>RT @petrogustavo: Es como si la mataran dos veces. https://t.co/uIJaPftGpv</t>
  </si>
  <si>
    <t>RT @petrogustavo: Que Bogotá salga en un cacerolazo masivo hoy a las seis de la tarde. El cacerolazo es antesala de la gran marcha contra…</t>
  </si>
  <si>
    <t>RT @parescolombia: #ParesReporta l A esta hora la @PoliciaBogota arremete contra manifestantes. Centro de @Bogota @ClaudiaLopez @personeria…</t>
  </si>
  <si>
    <t>RT @Col_Informa: #12S✊| Plantón feminista en CAI San Diego, donde el Jueves 10 de Septiembre fueron abusadas sexualmente tres mujeres por p…</t>
  </si>
  <si>
    <t>RT @cielo_rusinque: Hoy en Medellín más de 80 artistas se unieron en Caribe y Comuna13 y este fue el resultado: #NosEstánMatando #MedellínR…</t>
  </si>
  <si>
    <t>RT @ChalecosAmarill: 🎥🛑En #Colombia las calles de Soacha despiden a Cristhian Andres Hurtado, Joven de 27 años asesinado en ese municipio p…</t>
  </si>
  <si>
    <t>El caos se impide con más democracia. https://t.co/QGYMwCikgA</t>
  </si>
  <si>
    <t>RT @charry_manager: Ya no están disparando dicen... https://t.co/VcTod6RlUB</t>
  </si>
  <si>
    <t>Así es como toca hacer. https://t.co/GKQneJNi4n</t>
  </si>
  <si>
    <t>RT @elespectador: Rubén Blades y Residente manifiestan su solidaridad por Colombia https://t.co/ErlvEOtknV https://t.co/5hBHTRyaHe</t>
  </si>
  <si>
    <t>Reconciliación sin justicia, sin reparación de las víctimas y sin verdad, es reconciliación de mentiras. Una recon… https://t.co/pVkjub2XHc</t>
  </si>
  <si>
    <t>RT @alzadoencanto: El gobierno municipal de Turbaco se mantiene firme en su política de defensa de los Derechos Humanos. Jamás se dará la o…</t>
  </si>
  <si>
    <t>Duque es hoy cómplice de delito de lesa humanidad. Permite que la policía dispare con armas de fuego contra la pobl… https://t.co/twGyyCYPSm</t>
  </si>
  <si>
    <t>RT @petrogustavo: Reconciliación sin justicia, sin reparación de las víctimas y sin verdad, es reconciliación de mentiras. Una reconciliac…</t>
  </si>
  <si>
    <t>Una muchacha de 17, una muchacha de abril: Colombia. Hoy a las siete por Facebook, comentaremos nuestras columnas https://t.co/c2RCZkVZc0</t>
  </si>
  <si>
    <t>Esta es mi columna de hoy que comentaré a las siete de la noche. Masacre. Un análisis de lo que pasa dentro de la… https://t.co/CmLmAWb6yd</t>
  </si>
  <si>
    <t>Invito a toda la Colombia Humana cartagenera a marchar con el alcalde de la ciudad en contra del abuso policial y p… https://t.co/QL8yPQEiUF</t>
  </si>
  <si>
    <t>Para una reconciliación entre ciudadanía y policía, que es una manera de llamar a relegitimar la policía, se necesi… https://t.co/aJbSLaUlKz</t>
  </si>
  <si>
    <t>RT @petrogustavo: Esta es mi columna de hoy que comentaré a las siete de la noche. Masacre. Un análisis de lo que pasa dentro de la polic…</t>
  </si>
  <si>
    <t>RT @Colcheck: #NuevoChequeo | El congresista @petrogustavo sí escribió un trino que decía: “Incendio de bus de TransMilenio en Bosa”, luego…</t>
  </si>
  <si>
    <t>No se puede cambiar conceptos básicos de la reconciliación porque las consecuencias pueden ser peores. Efecivanent… https://t.co/K92Y2k2z1r</t>
  </si>
  <si>
    <t>Colombia debe estar en alerta. La decisión del gobierno es la.represion y acabar.las libertades democráticas. Eso… https://t.co/U2FRM1wD5z</t>
  </si>
  <si>
    <t>Los policías que dispararon deben salir de la institución y los que asesinaron al pueblo indefenso deben ser proces… https://t.co/QDbbLHJm3B</t>
  </si>
  <si>
    <t>RT @cielo_rusinque: Ofrecimos firme y oportuno respaldo a @ClaudiaLopez para que se parara en la raya y tomará las riendas de la Policía e…</t>
  </si>
  <si>
    <t>¿Reconciliación o rendición? La diferencia entre esos dos actos es la verdad, la justicia, la reparación de las víc… https://t.co/KpSTmtgSkF</t>
  </si>
  <si>
    <t>RT @petrogustavo: Los policías que dispararon deben salir de la institución y los que asesinaron al pueblo indefenso deben ser procesados p…</t>
  </si>
  <si>
    <t>RT @petrogustavo: Una muchacha de 17, una muchacha de abril: Colombia. Hoy a las siete por Facebook, comentaremos nuestras columnas http…</t>
  </si>
  <si>
    <t>RT @SoyAntiuribista: Soy fans de ella !!👏🏽👏🏽👏🏽 https://t.co/lyPfOh7e1l</t>
  </si>
  <si>
    <t>RT @cielo_rusinque: Después de los atentados de París, hubo una gran marcha a la que fueron convocados los líderes demócratas para cerrar f…</t>
  </si>
  <si>
    <t>RT @Alejandro_vegan: En campaña presidencial @petrogustavo propuso desde el presupuesto de defensa educar a los integrantes de las fuerzas…</t>
  </si>
  <si>
    <t>RT @el_pais: Vídeo | “El debate sobre el cambio climático ha terminado. Simplemente, vengan a California. Véanlo con sus propios ojos. Ni s…</t>
  </si>
  <si>
    <t>Movilización bogotana contra la violencia policial. Justicia. https://t.co/YUtXDNotAj</t>
  </si>
  <si>
    <t>Nueva masacre de jóvenes en Yondó, Antioquia. https://t.co/eJcuxOtWGK</t>
  </si>
  <si>
    <t>Este individuo busca censurar las cuentas progresistas en una verdadera campaña de persecución contra ideas que a é… https://t.co/atkL4m9ca6</t>
  </si>
  <si>
    <t>La represión se desta en el CAI San Diego de Bogotá https://t.co/8j4ESbIgxv</t>
  </si>
  <si>
    <t>Bloqueo policial al concierto. La juventud bogotana quiere tomar la palabra https://t.co/eZGESth3iS</t>
  </si>
  <si>
    <t>Persona con epilepsia sufre convulsiones después el ataque del Esmad a la juventud reunida en el CAI donde se ejerc… https://t.co/TYnPpyRr68</t>
  </si>
  <si>
    <t>CAI de San Diego. La democracia en Bogotá ha sido quebrada https://t.co/ZwQc70P1nQ</t>
  </si>
  <si>
    <t>RT @Marianiniecheve: !Aquí vamos, resistiendo! #LaMovidaALasCallesS13 https://t.co/CPehm0Nw9v</t>
  </si>
  <si>
    <t>La plaza de Bolivar donde se hizo el acto de la reconciliación ha sido tomada por las fuerzas policiales https://t.co/dPKUOSGFjH</t>
  </si>
  <si>
    <t>Por primera vez en meses la juventud entra en manifestación a la plaza de Bolívar. https://t.co/cyCs4B5MoQ</t>
  </si>
  <si>
    <t>La reforma de la policía comienza con la judicialización de los autores de los asesinatos en Bogotá https://t.co/JHmBXhqZyS</t>
  </si>
  <si>
    <t>RT @asonadabailable: @ClaudiaLopez Un camión de la policía se está llevando a un montón de esos jóvenes a los que usted le está pidiendo pe…</t>
  </si>
  <si>
    <t>Detenciones masivas en Bogotá. El derecho a reunión es un derecho constitucional. https://t.co/si9gzokjQo</t>
  </si>
  <si>
    <t>RT @CristianHurtJR: Soy vocero nacional de la @JuvREBELDE. Organización que hoy @NoticiasCaracol señala de ser clandestina y vinculada a or…</t>
  </si>
  <si>
    <t>Ni gentil ni Ivan Marquez, lo único que estan detrás de la violencia en Bogotá es un sector de la policía en alto n… https://t.co/8bNf4yJCin</t>
  </si>
  <si>
    <t>Esta era la reconciliación. Dejen de jugar con la democracia. Han arremetido en la séptima con plaza de Bolívar con… https://t.co/0Zw6S6svxI</t>
  </si>
  <si>
    <t>Trampillas del marketing, mientras esta en juego la democracia https://t.co/yPlu7UKbQ5</t>
  </si>
  <si>
    <t>Se vuelve a pintar el rostro de julieth Ramírez de 18 años, en el CAI la Gaitana después de ser borrada por miembro… https://t.co/4FEfJCtbCt</t>
  </si>
  <si>
    <t>En el mismo sitio del acto de la alcaldesa hablando de reconciliación y unos minutos después, el Esmad ha atacado l… https://t.co/RoJaduEwro</t>
  </si>
  <si>
    <t>Ceballos simplemente está diciendo que los muertos en Bogotá se produjeron por las disidencias y el ELN. Por eso s… https://t.co/7EgMR42Iq1</t>
  </si>
  <si>
    <t>Como en una dictadura la juventud detenida, apresada solo por protestar ante la barbarie. Roto el Estado social de… https://t.co/aVA7rWitPH</t>
  </si>
  <si>
    <t>¿Oye @ClaudiaLopez esta es la reconciliación? https://t.co/LGAb6pqd3I</t>
  </si>
  <si>
    <t>RT @DefenderLiberta: #URGENTE 🔴Denunciamos que el agente identificado como MEBOG-0002 porta un morral que contiene gasolina, vidrios y otro…</t>
  </si>
  <si>
    <t>Este es un golpe de estado en el Distrito. No hay alcaldesa que mande. Se burlan de ella. La orden es golpear y sol… https://t.co/hbgKIyYfCw</t>
  </si>
  <si>
    <t>RT @DanielRMed: En plena masacre @ClaudiaLopez sólo muestra preocupación por su imagen, por eso desató otra batalla, la del marketing; no l…</t>
  </si>
  <si>
    <t>Este es un abierto desafío de Duque y la cúpula policial a la.democracia.y la Constitución. Que se sepa en el mund… https://t.co/fhsrzBmnZE</t>
  </si>
  <si>
    <t>La campaña para censurar mi cuenta de Twitter la inicio la revista Semana. El.silenciamiento de estas cuentas que… https://t.co/XMeQMoT8W9</t>
  </si>
  <si>
    <t>Los dejaron entrar tranquilos a la plaza para.encerralos.alli.y golpearlos. Esto sabe a podredumbre y perversidad. https://t.co/aSB0kf4Ukg</t>
  </si>
  <si>
    <t>RT @AABenedetti: Si el comandante de la policía de Bogotá no estuvo junto a @ClaudiaLopez hoy en el acto de reconciliación, entonces no fue…</t>
  </si>
  <si>
    <t>RT @AndresCamiloHR: Este es nuestro WhatsApp para que puedan realizar sus denuncias y estar informados de la actividad del Senador @petrogu…</t>
  </si>
  <si>
    <t>Una foto amañada con una jugadita de Claudia de la cual Duque se venga mandándole el Esmad a los jóvenes Juego de… https://t.co/5u1HRf9uPv</t>
  </si>
  <si>
    <t>A las 7 p.m. estaremos comentando este escrito y los acontecimientos que nos rodean en estos días por mi Facebook l… https://t.co/nvdayEIhbk</t>
  </si>
  <si>
    <t>Cacerolazo contra la violencia.policial https://t.co/KDYLiMfjHV</t>
  </si>
  <si>
    <t>No dejan ver en el hospital a Angie Paola Arce, quien tiene un proyectil depositado en su columna. La secretaria de… https://t.co/Uwlq9ukwEM</t>
  </si>
  <si>
    <t>RT @heidy_up: Brian Felipe Velasco está desaparecido, lo último que saben de él es que publicó en Facebook que la @PoliciaBogota lo llevaba…</t>
  </si>
  <si>
    <t>¿Hay relación entre los perfilamientos hechos en presidencia y las amenazas se muerte a los perfilados? https://t.co/46Pl7o9jXQ</t>
  </si>
  <si>
    <t>RT @DianaSalinasP: No sé por dónde empezar para pedirles —rogarles— que pasen por este especial y lean cada uno de los casos en los que rec…</t>
  </si>
  <si>
    <t>RT @ElHuffPost: El gobernador de California advierte: "Es una maldita emergencia climática. No es un debate intelectual, ya no es discutibl…</t>
  </si>
  <si>
    <t>Es hora que la sociedad colombiana defienda su juventud. https://t.co/woAY6hBvag</t>
  </si>
  <si>
    <t>RT @naranja_cali: ESTADOS UNIDOS // COLOMBIA https://t.co/9szhrKtPKX</t>
  </si>
  <si>
    <t>RT @josegreghg: Art. 11 C.P. prohíbe la pena capital, y el 12 dice que "nadie será sometido a desaparición forzada, a torturas ni a tratos…</t>
  </si>
  <si>
    <t>El ministro de defensa debe renunciar. Es inadmisible que el Estado asesine a nuestros jóvenes.</t>
  </si>
  <si>
    <t>RT @JuanFddhh: #URGENTE Un policía integrante del CAI Macarena en Fontibón, que participó en el hurto y la tortura a los detenidos el 10S a…</t>
  </si>
  <si>
    <t>Esta bien que la Procuraduría investigue, pero lo que hubo en Bogotá fueron delito sistemáticos y de lesa humanidad… https://t.co/zNmXqhvopb</t>
  </si>
  <si>
    <t>RT @qmoncaleano: #ATENCION En Concepción, Santander el comandante, Intendente Edwin Pérez, quiere callar a una ciudadana que desea expresa…</t>
  </si>
  <si>
    <t>RT @Colcheck: La #FALSA publicación ha sido compartido en Facebook más de 18.000 veces, pero hicimos la búsqueda en el perfil de Twitter de…</t>
  </si>
  <si>
    <t>RT @edilcarlosmo: En Facatativá fueron retenidos unos jóvenes por 36 horas por @PoliciaColombia, las mujeres fueron desnudadas y posteriorm…</t>
  </si>
  <si>
    <t>RT @elmermontana: El presidente Iván Duque @IvanDuque violó la ley al realizar listas negras de opositores al gobierno. Tribunal Superior…</t>
  </si>
  <si>
    <t>Esto se llama Cambio Climático. https://t.co/vHIyu5W9Ug</t>
  </si>
  <si>
    <t>RT @ColHumanaEuropa: En Madrid España la comunidad colombiana se congregó para denunciar internacionalmente las masacres en Colombia. Ni u…</t>
  </si>
  <si>
    <t>RT @AquinoTicias1: Ah bueno, te me cuidas https://t.co/mR1XTXYnI9</t>
  </si>
  <si>
    <t>RT @Tercer_Canal: Preocupante que @IvanDuque no vaya al acto de reconciliación pero que @ClaudiaLopez termine gobernada por @augustoreyes e…</t>
  </si>
  <si>
    <t>RT @petrogustavo: El ministro de defensa debe renunciar. Es inadmisible que el Estado asesine a nuestros jóvenes.</t>
  </si>
  <si>
    <t>Aquí analizo porque no hay línea de mando en la policía https://t.co/DF0pAFnjY7</t>
  </si>
  <si>
    <t>En un país democrático, la policía, hoy una institución militar, está bajo el control civil y ciudadano. Si esto n… https://t.co/gwmp4XP2b9</t>
  </si>
  <si>
    <t>RT @cuestion_p: "Me siento nerviosa, alterada, cada vez más desorientada. Si mi hijo se muere se me llevan mi vida entera, mi sustento, mi…</t>
  </si>
  <si>
    <t>RT @Contravia: Hay más preocupación por una estrategia de Marketing a base de fotos y trucos que por enfrentar la realidad que ocurre en #B…</t>
  </si>
  <si>
    <t>Esto se llama tortura. Es un delito. ¿ Dónde esta la fiscalía? https://t.co/kTNhF4ggVl</t>
  </si>
  <si>
    <t>RT @petrogustavo: Aquí analizo porque no hay línea de mando en la policía https://t.co/DF0pAFnjY7</t>
  </si>
  <si>
    <t>¿Ya no tienen ni un centímetro cuadrado de cerebro para pensar que 75 cais fueron destruidos porque mataron 13 civi… https://t.co/xUqd0GoqFu</t>
  </si>
  <si>
    <t>El poder abusivo es el que genera el caos. La democracia real genera un orden, una tranquilidad permanente, es la… https://t.co/t09UfA90sG</t>
  </si>
  <si>
    <t>Se derrumba el régimen israelí. https://t.co/c1YDTWIcxX</t>
  </si>
  <si>
    <t>RT @ismene2: Ve: Les voy a hacer un quiz: En las respuestas del gobierno a los infaustos hechos ¿cuántos de estos principio se cumplen? ht…</t>
  </si>
  <si>
    <t>RT @heidy_up: Brian Felipe apareció en la estación de policía de la Concordia en la localidad de la candelaria, bajo artimañas y mentiras l…</t>
  </si>
  <si>
    <t>RT @charry_manager: Le di el principio de buena fe, ahora entiendo que todo fue la creación de un titutar... Además que Duque no va y le…</t>
  </si>
  <si>
    <t>Una crisis real no se resuelve con marketing, se resuelve con decisión y asumiendo el riesgo. Una policia sedicios… https://t.co/yjNb82i0vB</t>
  </si>
  <si>
    <t>Angie Paola Arce quedará parapléjica por un disparo propinado por la policía en la masacre en Bogotá, es madre de t… https://t.co/cTKmGrs1zY</t>
  </si>
  <si>
    <t>No disparen en Venezuela, pueden hacerlo aquí... https://t.co/GvwgnabbwR</t>
  </si>
  <si>
    <t>Esto se llama cambio climático: cinco ciclones en el Atlántico. El cambio climático puede acabar la vida en el pla… https://t.co/sKQVCjjGte</t>
  </si>
  <si>
    <t>Ya llegamos a los agitadores profesionales extranjeros. Parece que no supieran que son las redes sociales. https://t.co/aFSqaOczzE</t>
  </si>
  <si>
    <t>El gobierno ecelebró el dia internacional de los Derechos Humanos a la colombiana https://t.co/VdXqxlOFRf</t>
  </si>
  <si>
    <t>Usted señor Holmes es el responsable político de la masacre de Bogotá. No actuó para impedirla, siendo su deber. U… https://t.co/hM307HksQj</t>
  </si>
  <si>
    <t>RT @heidy_up: #EnVivo | Según la alcaldesa @ClaudiaLopez la @PoliciaBogota no le hizo caso cuando disparó a la ciudadanía, pero sí para dis…</t>
  </si>
  <si>
    <t>Realmente inexplicable que se haga un acto de reconciliación y a los diez minutos se ordene al Esmad dispersar la m… https://t.co/MzJhZu8uVy</t>
  </si>
  <si>
    <t>Una triste historia Zipaquireña. Como en tiempos del chavismo lampoliciabpregunta por filiación política a un menor… https://t.co/wyDfrofedh</t>
  </si>
  <si>
    <t>Mi deber constitucional hoy es ejercer el control político sobre el gobierno, y cualquiera que sean los nombres de… https://t.co/vg1oP13U2i</t>
  </si>
  <si>
    <t>RT @petrogustavo: Realmente inexplicable que se haga un acto de reconciliación y a los diez minutos se ordene al Esmad dispersar la manifes…</t>
  </si>
  <si>
    <t>RT @QuinteroCalle: He pedido a la Policía Metropolitana no hacer más uso de caballos en el control de marchas en la ciudad.</t>
  </si>
  <si>
    <t>RT @bogotamuyfirme: Escuchen y repliquen esto: Harold Ramírez, padre de Julieth Ramírez, asesinada en los disturbios en Bogotá dice que no…</t>
  </si>
  <si>
    <t>RT @heidy_up: 1. Hoy en debate sobre avances en el @MetroBogota: El Metro elevado que se quiere construir no satisface las necesidades de l…</t>
  </si>
  <si>
    <t>RT @ClaudiaSpinel: Hola @PoliciaColombia ¿nos están enviando algún mensaje? Creo que ya lo entendimos. Que sepan tod@s que es Zipaquirá es…</t>
  </si>
  <si>
    <t>RT @GNavasTalero: Buen mensaje de Petro al ministro Carlos Holmes Trujillo. Responda políticamente por esos crímenes.</t>
  </si>
  <si>
    <t>RT @EpicuroDeSamos_: "Ni de izquierda ni de derecha", decía Pinochet. https://t.co/jp1Fctbj55</t>
  </si>
  <si>
    <t>RT @YourAnonCentral: #Colombia: @Amnesty International condemns torture and excessive use of force by police. Which reportedly left at leas…</t>
  </si>
  <si>
    <t>RT @LuisGPerezCasas: En Manizales, sector de los Cables, en este momento colectivos de jóvenes en performance se manifiestan contra las mas…</t>
  </si>
  <si>
    <t>RT @AquinoTicias1: Los y las jóvenes de Medellín se siguen moviendo en defensa del vida y contra la brutalidad policial. Parque de las luc…</t>
  </si>
  <si>
    <t>RT @LuisGPerezCasas: Hermosa manifestación en Londres por la vida, para que cesen las masacres, para que cese la impunidad penal, la impuni…</t>
  </si>
  <si>
    <t>RT @anateresabernal: #DebateMetro Mi exposición de hoy en el Concejo (hilo). Aprobadas las vigencias futuras (7.1 billones) por el Concejo…</t>
  </si>
  <si>
    <t>RT @anateresabernal: #DebateMetro Le han mentido a Bogotá, así como cuando dijeron que el metro elevado se construiría en menor tiempo que…</t>
  </si>
  <si>
    <t>RT @TembloresOng: Temblores ONG entregó balance sobre hechos de violencia durante las protestas https://t.co/rhmBKFHeUt vía @CanalCapital</t>
  </si>
  <si>
    <t>Acto de reconciliación donde las víctimas se arrodillan ante los victimarios https://t.co/lGrFAhP7U5</t>
  </si>
  <si>
    <t>RT @Interpolitico: #VALLEDUPAR Un grupo de jóvenes protestan frente a las instalaciones de la URI de la Fiscalía por los hechos acontecid…</t>
  </si>
  <si>
    <t>RT @petrogustavo: Acto de reconciliación donde las víctimas se arrodillan ante los victimarios https://t.co/lGrFAhP7U5</t>
  </si>
  <si>
    <t>RT @ONUHumanRights: El Acuerdo de Paz de 2016 abrió un nuevo capítulo para colombianos y colombianas, y debe ser implementado plenamente p…</t>
  </si>
  <si>
    <t>RT @jcuestanovoa: Bogotá en Estado de Terrror. A la masacre de la semana pasada se suman las amenazas contras los movimientos sociales y l…</t>
  </si>
  <si>
    <t>Asesinan dos mujeres, una de ellas, una niña. Córdoba en manos de la mafia y la barbarie. el ministro de defensa al… https://t.co/Ki9apFGSsO</t>
  </si>
  <si>
    <t>El análisis profundo del por qué de la violencia policial https://t.co/31e59LlvBH</t>
  </si>
  <si>
    <t>RT @JorgeOvalleB: El MOIR (@JERobledo) se acaba de romper del Polo (@PoloDemocratico) porque sabían que es inminente su derrota política en…</t>
  </si>
  <si>
    <t>RT @fidh_es: 📣La FIDH denuncia irrespeto de órdenes de no disparar durante protestas en #Colombia 🚔🚔🚔 https://t.co/5zggl9RjK7 https://t.c…</t>
  </si>
  <si>
    <t>RT @anateresabernal: Y entonces, ¿según algunos de ustedes @RevistaSemana @petrogustavo es responsable de las masacres no solo en Bogotá si…</t>
  </si>
  <si>
    <t>RT @Juventud_Humana: Justo después de que las Águilas Negras amenazan a líderes de la @ColombiaHumana_ y de organizaciones comunitarias en…</t>
  </si>
  <si>
    <t>RT @GustavoBolivar: Los #MensajesDePetroSon apoyaron a la ciudadanía inerme que estaba siendo asesinada a tiros de la policía. Los quiere…</t>
  </si>
  <si>
    <t>RT @lbertoortiz: Buena la reflexión de @Matador000 ¿cuántos ciudadanos murieron cuando @petrogustavo era alcalde a manos de la policía? Tod…</t>
  </si>
  <si>
    <t>RT @susanamuhamad: El abuso policial detonó un estallido social, la respuesta del Ministro de defensa es buscar culpables "en las redes" y…</t>
  </si>
  <si>
    <t>RT @NotiBAdentro: #NoMásAbusoPolicial #NoMásMediosParaLaGuerra Por este tipo de señalamientos el día de hoy tenemos cuatro localidades amen…</t>
  </si>
  <si>
    <t>RT @cerosetenta: Janner García Jaider Brochero Anderson Arboleda Estela Valencia Duvan Álvarez Ángel Revelo Kevin Ávila Harold Payares Jul…</t>
  </si>
  <si>
    <t>RT @cuestion_p: ¿Sabe qué está pasando? La Fiscalía está cogiendo a testigos, los encierran en un cuarto y les dicen que se atengan a las c…</t>
  </si>
  <si>
    <t>RT @ActualidadRT: La respuesta de la policía colombiana ante las protestas contra el brutal homicidio de Javier Ordóñez fue… más brutalidad…</t>
  </si>
  <si>
    <t>RT @Uriasv: “LA MASACRE DE BOGOTÁ” ¿Otra “Alianza Criminal”?: https://t.co/zTIaUUZqzJ</t>
  </si>
  <si>
    <t>RT @Hail_Gu: Ahora un senador nos acusa de vandalismo ajajajajajaja https://t.co/Y9wULUIbNg</t>
  </si>
  <si>
    <t>Mi intervención en la comisión primera del senado sobre la masacre en Bogotá parte I https://t.co/RO5WeGYmee</t>
  </si>
  <si>
    <t>Mi intervención en la comisión primera del senado sobre la masacre en Bogotá parte II https://t.co/SGmaV3Xe1s</t>
  </si>
  <si>
    <t>RT @Agencia_API: 🚨🇨🇴 Guerrilla del ELN niega su participación en protestas y ataques urbanos en Bogotá 👉https://t.co/5P7SjrqNHH https://t.…</t>
  </si>
  <si>
    <t>RT @charry_manager: Lo valiente de los gestores de convivencia que han puesto la vida del otro por encima de la propia... Reconocer su tra…</t>
  </si>
  <si>
    <t>RT @cielo_rusinque: La juventud lejos esta de ser amedrentada, a diario se manifiesta en la calle, esta noche en el Canelazo popular de Tun…</t>
  </si>
  <si>
    <t>RT @GastoMilitar: #URGENTE El es Diego Andrés patinó, estudiante de periodismo, mientras cubría las protestas captó con su cámara el abus…</t>
  </si>
  <si>
    <t>RT @CumbreUrbana: Rechazamos la estigmatización a la profesión y al trabajo comunitario. #TrabajoSocialComunitario no es terrorismo. Exi…</t>
  </si>
  <si>
    <t>RT @DavidRacero: Decir la verdad genera traumatismos. Atacan a @petrogustavo porque dice la verdad de lo que ocurre con la violencia polici…</t>
  </si>
  <si>
    <t>RT @Las2Orillas: "¿Acaso Petro tiene la culpa de que Duque sea un inepto?" https://t.co/1MgAEa6JPd</t>
  </si>
  <si>
    <t>Mi intervención en el senado de la república sobre la masacre en Bogotá https://t.co/k6aG5OHzXE</t>
  </si>
  <si>
    <t>RT @petrogustavo: Mi intervención en el senado de la república sobre la masacre en Bogotá https://t.co/k6aG5OHzXE</t>
  </si>
  <si>
    <t>Anoche la cúpula de la policia frente al Senado en pleno afirmó que toda la actividad policial de la noche del 8 y… https://t.co/drGcmkUoKP</t>
  </si>
  <si>
    <t>Esta es un revista de alta calidad científica a nivel mundial Dice que Colombia está entre los tres países del mun… https://t.co/c7rCOXbNg5</t>
  </si>
  <si>
    <t>RT @petrogustavo: Anoche la cúpula de la policia frente al Senado en pleno afirmó que toda la actividad policial de la noche del 8 y 10 de…</t>
  </si>
  <si>
    <t>Continúa con sus mentiras Enrique. la intersección con la Boyacá y extensión de la calle 63 fue contratada en la Bo… https://t.co/QsdhPO2B8B</t>
  </si>
  <si>
    <t>RT @cami9320: Yo soy psicóloga social, trabajo en comunidad, llevo tres años capacitando y acompañando indígenas, víctimas y población vuln…</t>
  </si>
  <si>
    <t>RT @ChalecosAmarill: 🎥🛑En #Chile #VictorJaraVive ✊🏾 🇨🇱 🔻A 47 años de su asesinato el pueblo de #Chile continúa viviendo torturas, persecuc…</t>
  </si>
  <si>
    <t>RT @HistoriaM19: "te ruego que respires todavía" La Noche de los Lápices: LaPlata, Argentina, 16 de septiembre de 1976. 16 de septiembre:…</t>
  </si>
  <si>
    <t>RT @petrogustavo: Esta es un revista de alta calidad científica a nivel mundial Dice que Colombia está entre los tres países del mundo que…</t>
  </si>
  <si>
    <t>Masacre en Buenaventura, habría muerto allí un militante del partido Verde de la ciudad. https://t.co/vRT2nMhiXr</t>
  </si>
  <si>
    <t>Duque quiere llevar a la policía a ser una policía Chulavita. Entre la corrupción que carcome la fuerza pública y… https://t.co/YSvufDdlzL</t>
  </si>
  <si>
    <t>Ya acusaran a los que derriban monumentos de conquistadores y esclavistas de terroristas, pero los terroristas eran… https://t.co/MAHjNTq4ZM</t>
  </si>
  <si>
    <t>No había una alianza entre el GEA y la alcaldía de Medellín, sino una supeditación del patrimonio y la lógica públi… https://t.co/VuOadSLH2p</t>
  </si>
  <si>
    <t>Aunque no lo crea mucha gente. Los monumentos a los conquistadores y esclavistas son un insulto al pueblo de Colomb… https://t.co/Xco90wThip</t>
  </si>
  <si>
    <t>Aquí Semana muestra el salvajismo como la policía atacó de manera directa y con armas de fuego a la población desar… https://t.co/WMLd4CcZT9</t>
  </si>
  <si>
    <t>La prueba reina: la brutalidad policial y la necesaria renuncia del mini... https://t.co/TxtCbhFifi a través de @YouTube</t>
  </si>
  <si>
    <t>Que no asesinaron, que manzanas podridas, que los jóvenes eran guerrilleros.... mentirosos. Este video muestra la… https://t.co/EOvPyew2Ty</t>
  </si>
  <si>
    <t>Que no asesinaron a la gente, que manzanas podridas, que los jóvenes eran guerrilleros.... mentirosos. Este video… https://t.co/mWRBkEsotm</t>
  </si>
  <si>
    <t>RT @cielo_rusinque: ¿Que político de nuestros tiempos en Colombia despierta esto? Ni repartiendo mercados, plata y tamal logran lo que @pet…</t>
  </si>
  <si>
    <t>RT @petrogustavo: Que no asesinaron a la gente, que manzanas podridas, que los jóvenes eran guerrilleros.... mentirosos. Este video muestr…</t>
  </si>
  <si>
    <t>Una coalición, que incluyó el verde, derrotó al candidato de la Colombia Humana a la alcaldía de Popayán solo por 3… https://t.co/ob7iyPUI1p</t>
  </si>
  <si>
    <t>RT @charry_manager: La señora @MariaFdaCabal intenta ponerse sobre los vecinos con su calidad de senadora la comunidad le grita #EstudieVag…</t>
  </si>
  <si>
    <t>Una vez, en la alcaldía, quité el cuadro de Jiménez de Quesada y.lo cambié por el de Simón Bolívar Me llovieron tr… https://t.co/kSltMA4wcp</t>
  </si>
  <si>
    <t>En un país con más decencia si me pasarían cosas: Hubiera sido presidente en 2018. https://t.co/ZRn0d7EhuI</t>
  </si>
  <si>
    <t>RT @ProgIntl: BREAKING | Three presidential candidates in Latin America are now joining the final panel of our Summit: 🔴 @petrogustavo, Co…</t>
  </si>
  <si>
    <t>RT @petrogustavo: En un país con más decencia si me pasarían cosas: Hubiera sido presidente en 2018.</t>
  </si>
  <si>
    <t>Más importantes los ladrillos que la vida humana. https://t.co/pbxDnnYHjk</t>
  </si>
  <si>
    <t>RT @bogotamuyfirme: La Sra. @ClaudiaLopez acaba de decir en la Localidad de Engativá que “En parte todo lo que sucedió en las noches de vio…</t>
  </si>
  <si>
    <t>RT @petrogustavo: Más importantes los ladrillos que la vida humana.</t>
  </si>
  <si>
    <t>RT @cielo_rusinque: #URGENTE JUEZA 54 Penal Municipal, acaba de tutelar los derechos a la Honra y Buen nombre del Pr Dr Fabián Sanabria y o…</t>
  </si>
  <si>
    <t>RT @charry_manager: Así llegó la DIGNIDAD a lievano... En Bogotá Humana se cambió a Quezada el conquistador y usurpador por Simon el liber…</t>
  </si>
  <si>
    <t>Excelente el paso de la Universidad del Magdalena a ser una universidad pública y gratuita. https://t.co/3BDzsE7TFO</t>
  </si>
  <si>
    <t>Este cuadro muestra que de las 23.478 personas que han muerto por covid19, solo 2880 estaban en una UCi cuando fall… https://t.co/d0YUwhYDVH</t>
  </si>
  <si>
    <t>Usando el indicador internacional de ocupacion de UCI, se encubrió la realidad del tratamiento de la pandemia en el… https://t.co/eOfjKEJlRN</t>
  </si>
  <si>
    <t>Es decir casi han muerto más recuperados por el virus, diagnóstico apresurado mal hecho, que las personas que murie… https://t.co/tWUnuzH4cF</t>
  </si>
  <si>
    <t>En Bogotá, que ya es la séptima ciudad del mundo en incidencia del virus, contagiados por millón de habitantes, la… https://t.co/WGcM1NdvbF</t>
  </si>
  <si>
    <t>Aquí verán, que Colombia es el tercer país del mundo en manejar mal la pandemia. Solo la supera Panamá y Maldivas.… https://t.co/KnzVIaZCHw</t>
  </si>
  <si>
    <t>RT @susanamuhamad: Hoy reconoce la Alcaldesa que no había fuerza suficiente para vigilar la policía y demoró 5 horas en darse cuenta qué p…</t>
  </si>
  <si>
    <t>RT @petrogustavo: Aquí verán, que Colombia es el tercer país del mundo en manejar mal la pandemia. Solo la supera Panamá y Maldivas. Es de…</t>
  </si>
  <si>
    <t>Esto solo va a lograr incrementar la violencia contra el pueblo indígena. El pueblo indígena tiene todo el derecho… https://t.co/qCluYw0eBZ</t>
  </si>
  <si>
    <t>Mi entrevista con Ariel Avila https://t.co/rCFT0SOAxM</t>
  </si>
  <si>
    <t>RT @pabloabitbol: Emotiva imagen del profesor Orlando Fals Borda y el profesor Alfredo Correa de Andreis, quien fue asesinado hoy hace 16 a…</t>
  </si>
  <si>
    <t>Cien mil nodos en el.mundo se dedican a construir contenidos falsos para las redes,la mayoría con intención política https://t.co/QvmCgqjrQr</t>
  </si>
  <si>
    <t>Nueva masacre en el país. Tres jóvenes son asesinados en Ocaña, Norte de Santander. https://t.co/ESU4HzsPa8</t>
  </si>
  <si>
    <t>Coordinación, línea de mando, consulta hacia arriba, antes de disparar a una población desarmada. La masacre de Bo… https://t.co/kVqcr0BwXn</t>
  </si>
  <si>
    <t>Han allanado las casas de varios militantes de Colombia Humana y la fiscalía se ha llevado camisetas de la campaña.</t>
  </si>
  <si>
    <t>Justo Ernesto Villarraga es militante de Colombia Humana, tiene 73 años y cáncer, hace parte de la iniciativa consu… https://t.co/f1frWgF5fZ</t>
  </si>
  <si>
    <t>En este momento mi intervención en la Internacional progresista https://t.co/dVBjOMiLBK</t>
  </si>
  <si>
    <t>RT @Juventud_Humana: “Las fuerzas de la barbarie ya no aceptan las elecciones, quieren volver a la dictadura.” @petrogustavo denuncia en l…</t>
  </si>
  <si>
    <t>RT @LuchoXBolivia: Hoy participaremos en el panel internacional "Recuperar la democracia en América Latina", organizado por @ProgIntl. Esta…</t>
  </si>
  <si>
    <t>RT @ProgIntl: Our final session of the day - Reclaiming Democracy in Latin America, co-organised with @WiphalasW - features @LuchoXBolivia…</t>
  </si>
  <si>
    <t>RT @petrogustavo: En este momento mi intervención en la Internacional progresista https://t.co/dVBjOMiLBK</t>
  </si>
  <si>
    <t>RT @ProgIntl: .@LuchoXBolivia paraphrases Lenin: "It is very nice to write about revolution, but it is more important to make it. It is my…</t>
  </si>
  <si>
    <t>RT @Somos_Rebeldia: " No hay mayor peligro que el fascismo sobreviviente en un régimen de aparente democracia " Th. W. Adorno.</t>
  </si>
  <si>
    <t>RT @ProgIntl: "A real democracy is not possible without economic equality." - @ecuarauz https://t.co/R3baLenmzL</t>
  </si>
  <si>
    <t>RT @MAGODELASINTONI: "Pido la palabra" El gran golpe del Fiscal Barbosa, allana una humilde vivienda y saca de su cama a Justo Ernesto Vill…</t>
  </si>
  <si>
    <t>RT @ElReticente: Los callejones afuera de la casa se los acaba de tomar el Ejército de Colombia. Están tumbando puertas y con fusiles amena…</t>
  </si>
  <si>
    <t>Ahora nos encontraremos con la Colombia Humana de Antioquia https://t.co/1cXCHIIQrL</t>
  </si>
  <si>
    <t>RT @Contagioradio1: El ELN señaló que la manifestación fue una expresión social espontanea en contra del actuar violento de la Policía. htt…</t>
  </si>
  <si>
    <t>Desaparecida Iris del Carmen Gómez activista del Polo Democrático en Cartagena desde el 10 de septiembre. https://t.co/rltLAUNJkd</t>
  </si>
  <si>
    <t>RT @CarlosCarrilloA: ¿Qué habríamos dicho de Peñalosa si en su gobierno la policía hubiera hecho lo que hizo el 9-S y además hubiera milita…</t>
  </si>
  <si>
    <t>Veteranos de la policía se unen a la marcha del 21S. Democratizar la.policia, volverla un cuerpo civil, abrirle la… https://t.co/crW20R8GTU</t>
  </si>
  <si>
    <t>Me pareció muy sugerente hacer el próximo Congreso de la Internacional Progresista en la última ciudad al sur del m… https://t.co/lwMawlgkou</t>
  </si>
  <si>
    <t>Hemos visto como empresas privadas farmacéuticas compiten por descubrir la vacuna contra el Covid19 y hacer un gran… https://t.co/AZ54BXhSHv</t>
  </si>
  <si>
    <t>La fiscalía ha hecho un gran oso tratando de llenar el relato del gobierno que busca mostrar a los jovenes indignad… https://t.co/L1LE2jxTSu</t>
  </si>
  <si>
    <t>El alcalde de Colombia Humana en Turbaco, Bolívar se gradúa con orgullo. https://t.co/GlsdBQ7LTO</t>
  </si>
  <si>
    <t>Una magistrada de los EEUU ha muerto pero quedará en la historia de su pueblo. Magistradas como ella necesitamos… https://t.co/Nv0877rk1T</t>
  </si>
  <si>
    <t>Explotacion no convencional de gas en San Pedro, Sucre, significa Fracking al lado del Magdalena Están amenazando… https://t.co/OXzWSaUHKh</t>
  </si>
  <si>
    <t>RT @petrogustavo: Veteranos de la policía se unen a la marcha del 21S. Democratizar la.policia, volverla un cuerpo civil, abrirle la puert…</t>
  </si>
  <si>
    <t>RT @graffitiborrao: Esperamos que la rectora @DollyMontoyaUN inicie acciones contra el prof Oswaldo Ordóñez quien ha hecho acusaciones cal…</t>
  </si>
  <si>
    <t>Definitivamente a politiqueros, gobierno y prensa se le volvió más importante perseguir la indignación de la juvent… https://t.co/wQItmSrLR0</t>
  </si>
  <si>
    <t>RT @EriKnela: ⚠️ *TUITERAZO DE EMERGENCIA #CriminalizanLaColombiaHumana*⚠️ 3 militantes de Colombia Humana han sido retenidos por fuerzas d…</t>
  </si>
  <si>
    <t>Al periodista Gonzalo Guillén lo persiguen porque ha denunciado la mafia del narcotráfico que está al lado del Pres… https://t.co/iclgN5BRd2</t>
  </si>
  <si>
    <t>En la hacienda Guacharacas pusieron una escuela de entrenamiento del bloque Metro que se fundó allí. La hacienda… https://t.co/O6ugryuyjz</t>
  </si>
  <si>
    <t>Así derrotaron por 3.000 votos al candidato Bastidas de la Colombia Humana a la alcaldía de Popayán. Hoy estos venc… https://t.co/2Xn5HCk1Sd</t>
  </si>
  <si>
    <t>La fiscalía capturó a Justo, militante de Colombia Humana y luchador por el metro subterráneo, de 73 años y enfermo… https://t.co/5lmU9ayick</t>
  </si>
  <si>
    <t>¿Y porque el ejército quiere sacar de sus humildes casas a los campesinos? ¿Aquí si no funciona la.propiedad priv… https://t.co/2lHYu5ZAr3</t>
  </si>
  <si>
    <t>RT @petrogustavo: La fiscalía capturó a Justo, militante de Colombia Humana y luchador por el metro subterráneo, de 73 años y enfermo de cá…</t>
  </si>
  <si>
    <t>Me pregunto ¿por qué el ministerio de cultura critica el derribo de la estatua de un genocida y no que dinamiten el… https://t.co/DHXyRv6t37</t>
  </si>
  <si>
    <t>El ministerio de trabajo debe lograr a partir de la huelga de los trabajadores del carbón en la Guajira, el comprom… https://t.co/73UGX9N4V4</t>
  </si>
  <si>
    <t>RT @AliciaCastroAR: Cumbre Mundial de la Internacional Progresista @ProgIntl_ES @yanisvaroufakis @Haddad_Fernando @GaelGarciaB @EliGAlcort…</t>
  </si>
  <si>
    <t>El primer día de labores del Congreso de la Internacional progresista en el día de ayer, fue vista en directo por m… https://t.co/lrO0sDgfJP</t>
  </si>
  <si>
    <t>De esta manera aumentaron casos de desnutrición infantil durante el gobierno de Peñalosa en Bogotá. Manipularon la… https://t.co/7x5AtRtWic</t>
  </si>
  <si>
    <t>O coordinamos la lucha política y social mundial o nos extinguimos como especie en la tierra. Artículo de Noam Cho… https://t.co/hbMwMmWVXi</t>
  </si>
  <si>
    <t>Invito a hacer de la manifest6acion del lunes 21S una manifestacion de la NO violencia. NO violencia reclama la hi… https://t.co/VrR2ar0Ms5</t>
  </si>
  <si>
    <t>Cada vez que lo normal gana, el virus gana. No se puede retornar a lo usual. El cambio se impone en el mundo si que… https://t.co/0cDL0CACDT</t>
  </si>
  <si>
    <t>Ha muerto Manuel Urueta Thomas, lider social de la Colombia Humana en Cienaga, Magdalena, víctima del covid De lut… https://t.co/MxcJc1aMbs</t>
  </si>
  <si>
    <t>RT @petrogustavo: Invito a hacer de la manifest6acion del lunes 21S una manifestacion de la NO violencia. NO violencia reclama la historia…</t>
  </si>
  <si>
    <t>RT @MoisesAlvaro_: “No llegamos a esta plaza amansados, llegamos como comandantes de la revolución en Colombia.” Así, el M-19 firmaba los…</t>
  </si>
  <si>
    <t>RT @Colcheck: #FALSO ❌ Con el rótulo de “incendiario”, circula esta #desinformación Facebook Pero la exclamación de “felicidad” atribuida…</t>
  </si>
  <si>
    <t>Terrorismo de Estado. La mano negra y la época triste de Turbay han regresado de mano de Duque y su patrón. Column… https://t.co/7Bs7qtcSxm</t>
  </si>
  <si>
    <t>Un desnudo de Duque Mi columna que comentaremos hoy a las siete de la noche por mi Facebook live y se transmitirá… https://t.co/zFYqyctWwR</t>
  </si>
  <si>
    <t>RT @susanamuhamad: En este momento en Soacha CAI Hogares se encuentra detenida @AnaMunozCH, mujer de la Colombia Humana, ex candidata al co…</t>
  </si>
  <si>
    <t>RT @LAURAMARTlNEZ: A las 11 y 30 am la policía de Soacha retiene a la compañera Ana Muñoz, según ellos esta prohibido entregar publicidad e…</t>
  </si>
  <si>
    <t>Le exijo a la policía de Soacha respetar a la militancia de la Colombia Humana https://t.co/KbVVuzBQSA</t>
  </si>
  <si>
    <t>RT @despertar_Llane: Este #21s en Yopal también nos movilizamos. Vamos a encontrarnos en el Plantón Cultural por la vida y la dignidad. N…</t>
  </si>
  <si>
    <t>RT @anateresabernal: Marcha del Duelo, porque nos duelen las masacres. Marcha del silencio, para inhibir el ruido de las balas. Marcha del…</t>
  </si>
  <si>
    <t>Masacre en Buenos Aires, Cauca, seis personas asesinadas entre ellas un niño. https://t.co/DFFeqKY8dF</t>
  </si>
  <si>
    <t>RT @petrogustavo: De esta manera aumentaron casos de desnutrición infantil durante el gobierno de Peñalosa en Bogotá. Manipularon las esta…</t>
  </si>
  <si>
    <t>RT @renacientes: #Alerta Hoy se generó una nueva masacre, 7 jóvenes asesinados con armas de largo alcance, el hecho ocurrió hacia el mediod…</t>
  </si>
  <si>
    <t>RT @petrogustavo: Un desnudo de Duque Mi columna que comentaremos hoy a las siete de la noche por mi Facebook live y se transmitirá en dir…</t>
  </si>
  <si>
    <t>Estoy en vivo junto con @gustavobolivar en la lectura de las columnas. Pueden participar con el #21SporLaPaz https://t.co/2tfwc6v0WF</t>
  </si>
  <si>
    <t>RT @EngCamilo11: Acabo de leer un paper sobre economía sostenible, y todo lo que ha dicho @petrogustavo sobre cómo implementar un modelo pa…</t>
  </si>
  <si>
    <t>RT @CABLENOTICIAS: #ATENCIÓN: 🚨 Coronel del programa "Alerta Aeropuerto" también posa en fotos con 'Neñe' Hernández Los detalles 👉 https:/…</t>
  </si>
  <si>
    <t>Otra masacre en el Charco, Nariño. Cuatro personas han sido asesinadas. El narco se cree empoderado por el gobierno https://t.co/7kKBeBGzGR</t>
  </si>
  <si>
    <t>RT @ammejiaaguado: Colombia se prepara para movilizarse contra la violencia policial y la crisis. #ColombiaDespierta #ResistenciaSinViolenc…</t>
  </si>
  <si>
    <t>Hoy saldré a marchar. La protesta es un derecho. Hoy más que nunca es necesario detener la dictadura y la masacre.… https://t.co/58lCpva7wx</t>
  </si>
  <si>
    <t>El discurso de Noam Chomsky en la inauguración de la Internacional Progresista de la que hace parte Colombia Humana… https://t.co/YilAEgVoyW</t>
  </si>
  <si>
    <t>RT @HistoriaM19: Han hecho de la muerte su forma de gobierno... ¡Aún es tiempo de imponer la vida! "A la vida por fin daremos todo, a la…</t>
  </si>
  <si>
    <t>RT @PartidoLiberal: Se recuperaron los CAI, las 13 personas que murieron no. #ColombianLivesMatter #amoryamistad @PartidoLiberal https://t.…</t>
  </si>
  <si>
    <t>Esta es la masacre que no debe retornar a Colombia. Hacer trizas la paz era esto. https://t.co/5IMPa2gdlm</t>
  </si>
  <si>
    <t>La violencia la quieren ellos porque en la violencia disminuyen la movilizacion y ganan. No caer en la trampa de l… https://t.co/iqEpnC3jne</t>
  </si>
  <si>
    <t>Estas son las víctimas de la masacre de Buenos Aires, Cauca. El exterminio del pueblo negro de Colombia. El genocid… https://t.co/f80SzEXzvC</t>
  </si>
  <si>
    <t>Pompeo @USEmbassyBogota esto es lo que su gran líder latinoamericano produce en Colombia. Duque por omisión ha dej… https://t.co/HfcsdTAWXq</t>
  </si>
  <si>
    <t>Si algo se le pedía esa noche era que detuviese la masacre y no lo hizo. https://t.co/1R97TMD0HF</t>
  </si>
  <si>
    <t>RT @petrogustavo: La violencia la quieren ellos porque en la violencia disminuyen la movilizacion y ganan. No caer en la trampa de la viol…</t>
  </si>
  <si>
    <t>RT @petrogustavo: Hoy saldré a marchar. La protesta es un derecho. Hoy más que nunca es necesario detener la dictadura y la masacre. Por l…</t>
  </si>
  <si>
    <t>RT @CantorWerner: Marcha multicultural en Vancouver en protesta por las masacres en Colombia https://t.co/nSrAkXHMHD</t>
  </si>
  <si>
    <t>RT @ArakFialloNancy: #ParoNacional21S En Bruselas. Y una de sus calles principales permanece desde ayer un pendón ¡Stop Masacre in Colo…</t>
  </si>
  <si>
    <t>Medellín. la inmensa necesidad de ordenar el territorio alrededor del agua y liberar sus espacios. La adaptación al… https://t.co/Z3ESlVDYsH</t>
  </si>
  <si>
    <t>Mi intervención en el primer Congreso de la Internacional Progresista Parte II https://t.co/G83ai7iYye</t>
  </si>
  <si>
    <t>Mi intervención en el primer Congreso de la Internacional Progresista Parte I https://t.co/SwOElTYjTt</t>
  </si>
  <si>
    <t>RT @Barreja: La Cra 28 CERRADA Y EN PIE DE LUCHA EN @BarrancaHumana !!!💪💪💪💪💪💪 @AguzateCO @MoVidaCol #21Sep #NosEstanMasacrando @petrogusta…</t>
  </si>
  <si>
    <t>RT @petrogustavo: Mi intervención en el primer Congreso de la Internacional Progresista Parte II https://t.co/G83ai7iYye</t>
  </si>
  <si>
    <t>RT @petrogustavo: Mi intervención en el primer Congreso de la Internacional Progresista Parte I https://t.co/SwOElTYjTt</t>
  </si>
  <si>
    <t>RT @anateresabernal: Se empiezan a encontrar la alegría, la juventud, la esperanza. En este momento desde la UN la movilización en defensa…</t>
  </si>
  <si>
    <t>RT @susanamuhamad: Avanza movilización pacifica #21sPorLaPaz, en el Sur de ciudad. Hoy defendemos la vida! https://t.co/cJ7r7b6yK3</t>
  </si>
  <si>
    <t>Esta es la Colombia decente. La que no dejará que esta Nación se pierda en la vorágine de la corrupción y la violen… https://t.co/R9iVJumVuO</t>
  </si>
  <si>
    <t>RT @cielo_rusinque: Así avanza la gran movilización en Bogotá, hoy después de varios meses la Plaza de Bolívar con la presencia de la Colom…</t>
  </si>
  <si>
    <t>RT @heidy_up: #21S | Multitudinaria marcha del sur por la Av. 1 de mayo rumbo al centro de la ciudad por la defensa de la vida y la paz.…</t>
  </si>
  <si>
    <t>Esto se llama un troll, son perfiles hechos por empresas que pagan para difundir a través de mensajes falsos la des… https://t.co/Jje4TLf8iE</t>
  </si>
  <si>
    <t>RT @DefenderLiberta: #URGENTE 🛑 Desde la ciudad de Pasto nos reportan aproximadamente tres heridos como consecuencia de la fuerza despropor…</t>
  </si>
  <si>
    <t>RT @marthaperaltae: Junto a la guardia indígena caminamos la palabra en Bogotá, por la Paz, contra las masacres, contra el totalitarismo.…</t>
  </si>
  <si>
    <t>RT @DanielRMed: Que los tambores callen el ruido de las balas, es lo único que pedimos. No nos maten por pensar distinto https://t.co/sHTJi…</t>
  </si>
  <si>
    <t>RT @cielo_rusinque: Teusaquillo en camino, à esta hora llegando al Centro Memoria #21sPorLaPaz #21SALasCalles 🕊✊🏼 https://t.co/sUCpcGHTA2</t>
  </si>
  <si>
    <t>RT @MujeresCHumana: En estos momentos avanza la movilización, por la calle 26, rumbo al Centro de Memoria. En el #ParoNacional21S el país e…</t>
  </si>
  <si>
    <t>RT @AABenedetti: #ParoNacional21S en Barranquilla. Se presentan movilizaciones pacíficas en gran parte del país. https://t.co/ohkOkCqIHL</t>
  </si>
  <si>
    <t>RT @Col_Informa: #ParoNacional21S✊| À Montréal, au Canada, des citoyens ont dénoncé la violation des Droits de l’homme en Colombie et les p…</t>
  </si>
  <si>
    <t>RT @PizarroMariaJo: Ya estamos en las calles. 🇨🇴❤️ #21Septiembre #21Sept https://t.co/AAEH6qDLKt</t>
  </si>
  <si>
    <t>RT @gener_usuga: Aquí el video completo de la masacre grabada por los mismos asesinos. Es urgente que la @IntlCrimCourt y la @CIDH interve…</t>
  </si>
  <si>
    <t>RT @ChalecosAmarill: 🎥🛑En #Colombia IMPARABLE #ParoNacional21S ✊🏿✊🏽✊🏻 🔻Así avanza la gran movilización en Bogotá, hoy después de varios me…</t>
  </si>
  <si>
    <t>RT @Tercer_Canal: Desde #Suba en #Bogotá los jóvenes se marchan en paz - #21SPorLaVida #RegresaElTercerCanal #CanalDeLaPaz https://t.co/ps…</t>
  </si>
  <si>
    <t>RT @Col_Informa: #ParoNacional21S✊| Gran movilización en Bogotá, contra las más de 60 masacres ocurridas en Colombia en lo que va del año,…</t>
  </si>
  <si>
    <t>Llena la septima y la decima de Bogotá en el centro, a esta hora recibe la manifestación un ataque con gases</t>
  </si>
  <si>
    <t>RT @maferojas: Llegando a la plaza, lanzaron gases y golpes indiscriminadamente. Estamos bien, pero algunas personas fueron golpeadas. http…</t>
  </si>
  <si>
    <t>RT @JhonnyNicaragua: Gustavo Petro también se une a las manifestaciones pacíficas en Colombia #ParoNacional21S #21sPorLaPaz #21Septiembre h…</t>
  </si>
  <si>
    <t>RT @GustavoBolivar: Aquí con @petrogustavo @marthaperaltae en la marcha de hoy resistiendo en la calles a la masacre, al asesinato de líder…</t>
  </si>
  <si>
    <t>RT @AndresCamiloHR: Unidos, marchando por la vida y por La Paz @petrogustavo @MirandaBogota @DavidRacero @marthaperaltae @susanamuhamad @Pi…</t>
  </si>
  <si>
    <t>RT @anateresabernal: Caminamos con @petrogustavo y con toda una nueva Colombia. Una que se construye con la vitalidad de la democracia, una…</t>
  </si>
  <si>
    <t>RT @MayePazG: Hace un momento en la ciudad de Pasto fue herido en un ojo por esquirla de aturdidora en la movilizacion de la ciudad de Past…</t>
  </si>
  <si>
    <t>RT @DefenderLiberta: #URGENTE 🛑 Tras intervención por parte de la @PoliciaColombia, nos reportan un joven herido en la ciudad de Bogotá. La…</t>
  </si>
  <si>
    <t>RT @nicolaspetroB: Barranquilla no es Uribista. https://t.co/JP3UZhuZX0</t>
  </si>
  <si>
    <t>RT @marthaperaltae: Hoy caminamos junto a @petrogustavo @GustavoBolivar @AtiQuigua @DavidRacero @PizarroMariaJo @susanamuhamad @LUISEROLAVE…</t>
  </si>
  <si>
    <t>RT @ChalecosAmarill: 🎥🛑En #Colombia ¡VIVA EL PARO NACIONAL! GUSTAVO PETRO CON EL PUEBLO 🇨🇴👏🏼 rumbo a la Plaza de Bolívar de Bogotá. @rhm19…</t>
  </si>
  <si>
    <t>RT @Dana_rattana: Acá la vida y atrás, bien atrás, el ESMAD y su vandalismo de Estado. https://t.co/jdp37BDZkk</t>
  </si>
  <si>
    <t>RT @susanamuhamad: Avanza la movilización pacíficamente en defensa de la vida. No es momento de callar, defendemos la vida. #21sPorLaPaz ht…</t>
  </si>
  <si>
    <t>RT @RevistaSemana: "Si una sociedad no se mueve, se muere": senador Gustavo Petro durante manifestaciones este 21 de septiembre. #YoProtest…</t>
  </si>
  <si>
    <t>RT @DonIzquierdo_: En Medellín también se siente el amor por la vida. Sigue creciendo la manifestación masiva. #ParoNacional21S https://t.c…</t>
  </si>
  <si>
    <t>RT @cerosetenta: #URGENTE El Esmad empieza a dispersar a los manifestantes de la Plaza de Bolivar con bombas aturdidoras. 🚨 https://t.co/uI…</t>
  </si>
  <si>
    <t>RT @MyBolivia: 🔥 #Colombia 🇨🇴 🔥 Asesinos enviados por del narco dictador Iván Duque, se graban matado a balazos a cuatro hermanos Colombian…</t>
  </si>
  <si>
    <t>RT @DePasillo_col: PROTESTAS 🇨🇴 | #AEstaHora el ESMAD interviene con gases lacrimógenos y bombas aturdidoras sobre la manifestación en la P…</t>
  </si>
  <si>
    <t>RT @lasillavacia: #Marchas21Slsv Mientras un par de manifestantes piden que no ataquen a la @PoliciaColombia por ahora, otros siguen hacién…</t>
  </si>
  <si>
    <t>RT @marthaperaltae: Hoy marcho junto a @petrogustavo. Porque los pueblos indígenas queremos que la guerra pare, que paren las masacres, cr…</t>
  </si>
  <si>
    <t>RT @ChalecosAmarill: 🎥🛑En #Colombia ⚠️ #URGENTE 🔻Esmad inicia represión contra manifestantes pacíficos en Plaza de Bolivar #ParoNacional2…</t>
  </si>
  <si>
    <t>RT @DePasillo_col: PROTESTAS 🇨🇴 | Así se desarrollan las protestas en la Plaza de Bolívar https://t.co/resDQMwaF0</t>
  </si>
  <si>
    <t>RT @Pelicolombianas: El mundo entero sabe que nos están masacrando. #ParoNacional21S https://t.co/GgxNWbJBim</t>
  </si>
  <si>
    <t>RT @OverDoradoC: 21S 2020, en Medellin - Parque de las Luces -, con los y las jóvenes...escalando la protesta social. Es un derecho protes…</t>
  </si>
  <si>
    <t>Hace tiempo usted tomando la voz del ministerio del interior que dejó de existir ha masacrado la manifestación pac… https://t.co/IBixv6eJjA</t>
  </si>
  <si>
    <t>RT @roa_yan: Gracias @petrogustavo y @GustavoBolivar por acompañar este clamor del pueblo‼️✊🏼 https://t.co/SzkyPFAvNJ</t>
  </si>
  <si>
    <t>RT @MovimientoMAIS: Ibagué se moviliza en el #ParoNacional21S #ParoNacional #21Septiembre #NosEstanMasacrando 🌽¡#ParoHoyEs luchar por la…</t>
  </si>
  <si>
    <t>RT @C_Pueblos: #Actualidad | Avanza en #Pereira movilización con normalidad, desde los 2500 lotes hacia la Plaza de Bolívar. #21S https://t…</t>
  </si>
  <si>
    <t>Ninguno de los atacantes a la Caja social fue capturado. No les interesa capturarlos, solo tener la excusa para ata… https://t.co/1kN8kNp18F</t>
  </si>
  <si>
    <t>RT @JulianRoman: #21Septiembre https://t.co/e04m5FgVv8</t>
  </si>
  <si>
    <t>RT @PizarroMariaJo: 🔴#URGENTE El #ESMAD agrede a la marcha en el centro de Bogotá. Acorralan a las personas y lanzas lacrimógenos https:/…</t>
  </si>
  <si>
    <t>La barbarie se ha adueñado del pai6s. Esto es hacer trizas La Paz. Millones votaron por esta consigna. Plomo es lo… https://t.co/upWDj9Dkfo</t>
  </si>
  <si>
    <t>Asi el gobierno atacó una marcha pacífica. https://t.co/AzXT57SxZR</t>
  </si>
  <si>
    <t>RT @Col_Informa: #ParoNacional21S✊ | En estos momentos inicia la movilización en defensa de la vida y contra la brutalidad policial, en Med…</t>
  </si>
  <si>
    <t>RT @lucianacadahia: Mientras algunos expresan su racismo histórico hacia los indígenas otres, por le contrario, tiene el honor de recibir e…</t>
  </si>
  <si>
    <t>RT @LuisGui17167201: Pueblo Cartagenero en las calles. La lucha por la dignidad continúa intacta. Junt@s somos más!!! #ParoNacional #DuqueT…</t>
  </si>
  <si>
    <t>RT @BluRadioCo: #Video Los gestores de convivencia tratan de controlar una situación en la que miembros del Esmad habrían intentado tomar a…</t>
  </si>
  <si>
    <t>RT @smilelalis: En todo el recorrido no se ven capuchos, de repente salen de la plaza, como si nada y tienen una excusa perfecta para dispa…</t>
  </si>
  <si>
    <t>RT @CesarPachonAgro: ¿Ya detuvieron a alguno alcaldesa @ClaudiaLopez? No vaya a ser que sea otro caso de vandalismo con CERO detenidos enca…</t>
  </si>
  <si>
    <t>La policía golpea congresista en la plaza de Bolívar. https://t.co/PbhEirhyrL</t>
  </si>
  <si>
    <t>RT @AnonNews_Col: Imágenes de la brutal represión que se vive en estos momentos por parte de la fuerza pública en #Bogota. https://t.co/nlj…</t>
  </si>
  <si>
    <t>RT @MajoDoria: Me reporto a esta hora desde el consulado colombiano en Buenos Aires- Argentina. No más genocidio en Colombia. No más femini…</t>
  </si>
  <si>
    <t>No hay heridos dice la alcaldesa. Mientras la fuente de información de la alcaldesa sea la policía y no los gestore… https://t.co/0CwSES9h90</t>
  </si>
  <si>
    <t>RT @Col_Informa: #ParoNacional21S🚨| Represión, gases, golpes y detenciones, da como respuesta el Gobierno Nacional, al pueblo colombiano qu…</t>
  </si>
  <si>
    <t>RT @AndresCamiloHR: Justo cuando llegamos a la Av Jimenez con Septima, empezaron a sonar los gases y las aturdidoras, la guardia Indígena y…</t>
  </si>
  <si>
    <t>RT @Col_Informa: #ParoNacional21S🚨| Nos reportan otra persona herida por la brutalidad policial, en estos momentos en el centro de Bogotá.…</t>
  </si>
  <si>
    <t>RT @Col_Informa: #ParoNacional21S✊| Gran resistencia social en estos momentos, contra la represión ejercida del ESMAD. Nos reportan varias…</t>
  </si>
  <si>
    <t>Le disparan a los vándalos que apedrearon la caja social? No. Golpean y gasean a la ciudadanía para disolver una ma… https://t.co/ad9VYjqztG</t>
  </si>
  <si>
    <t>RT @MirandaBogota: Viva el PARO NACIONAL 💪🏻 https://t.co/bFf9CzWQwi</t>
  </si>
  <si>
    <t>Y mientras el ministro de defensa manda, el presidente en su reality. Volvimos a los tiempos de Turbay Ayala. https://t.co/vUuPVtgxyf</t>
  </si>
  <si>
    <t>RT @MateoCordobaC: La alcaldesa @ClaudiaLopez hoy incumplió su palabra y no garantizó la protesta pacífica. El ESMAD como primera línea de…</t>
  </si>
  <si>
    <t>RT @CantorWerner: @elsemblante Así es. Ese fue todo un montaje transmitido en vivo por city TV. Esos 10 encapuchados, en un circo, empezar…</t>
  </si>
  <si>
    <t>RT @cerosetenta: #MEDELLÍN En la capital de Antioquia la manifestación está en movimiento. En este momento se dirigen hacia el Parque de lo…</t>
  </si>
  <si>
    <t>Los infiltrados de la policía, una táctica para disolver manifestaciones que rompe con la Constitución nacional https://t.co/LG0SmMGHCM</t>
  </si>
  <si>
    <t>RT @Las2Orillas: Policia intenta atropellar a congresista https://t.co/mY4OguHTDO</t>
  </si>
  <si>
    <t>RT @psicologojulian: Hasta este lugar pudieron llegar @petrogustavo @GustavoBolivar @marthaperaltae @AtiQuigua @LUISEROLAVE @anateresaberna…</t>
  </si>
  <si>
    <t>Miren el irrespeto de los policías a los congresistas del partido verde. Órdenes del ministro de defensa destruyend… https://t.co/3bh1EtmKBs</t>
  </si>
  <si>
    <t>RT @GustavoBolivar: Antes de llegar a la Plaza de Bolivar, en completa paz, el ESMAD empezó a lanzar gases. No querían a Petro en la Plaza,…</t>
  </si>
  <si>
    <t>En la medida que me iba acercando a la plaza de Bolívar y estando a dos cuadras, decidieron romper la manifestación… https://t.co/3TEW66Uixp</t>
  </si>
  <si>
    <t>RT @ChalecosAmarill: 🎥🛑En #Colombia DESPIERTA ✊🏽 #ParoNacional21S 🔻Masiva movilización en Medellín, contra los abusos y atropellos de la P…</t>
  </si>
  <si>
    <t>RT @Marianiniecheve: Así estaba la Plaza de Bolívar en Bogotá, segundos después empezaron a estallar gases lacrimógenas y el resto ya lo sa…</t>
  </si>
  <si>
    <t>Otra líder indígena asesinada en Mallama, Nariño. Hacer trizas la paz. Señor ministro de defensa, deje de politique… https://t.co/WJHekrqS5Y</t>
  </si>
  <si>
    <t>RT @lidyramirezpa: Cartagena Presente en el #ParoNacional21S @GustavoBolivar @petrogustavo @DavidRacero https://t.co/Wz8SvvXHkg</t>
  </si>
  <si>
    <t>RT @BLUCaribe: La movilización de los estudiantes por el sur de Barranquilla llegó a su destino en las inmediaciones de la Plaza de la Paz.…</t>
  </si>
  <si>
    <t>RT @tatiana112612: @ClaudiaLopez Que nos dice señora alcaldesa del accionar del ESMAD en este momento cerca a Plaza de Bolívar... La movili…</t>
  </si>
  <si>
    <t>RT @PrensaRural: Líderes políticos y de opinión preguntan por qué la @PoliciaColombia no hizo nada ante el saqueo de una sede bancaria pero…</t>
  </si>
  <si>
    <t>RT @psicologojulian: @lucianacadahia @ConcejoCHumana La apuesta por una Colombia multiétnica y pluricultural puede verse reflejada en quien…</t>
  </si>
  <si>
    <t>Esta es la inmensa marcha de Medellín por la Vida, por la Paz y por la Democracia https://t.co/XcaI1ZgduW</t>
  </si>
  <si>
    <t>RT @CathyJuvinao: Los medios no deben caer en el engaño: la marcha iba ABSOLUTAMENTE pacífica. El ESMAD gaseó de la nada, sin razón. Por fa…</t>
  </si>
  <si>
    <t>RT @MirandaBogota: Soy absolutamente pacífica, con profundo respeto pedí que me explicaran por qué agredían y se querían llevar a un joven…</t>
  </si>
  <si>
    <t>RT @charry_manager: Bastó con que @petrogustavo pusiera un pie a dos cuadras de la Plaza de Bolívar para que se diera la orden de romper la…</t>
  </si>
  <si>
    <t>Le llaman a la verdad crudeza, porque están acostumbrados a ocultar, a tapar la realidad: la existencia de gobierno… https://t.co/WiCxHo6iMD</t>
  </si>
  <si>
    <t>RT @ChalecosAmarill: 🎥🛑En #Colombia GRANDES también en Ibagué se moviliza en el #ParoNacional21S #ParoNacional #21Septiembre #NosEstanMas…</t>
  </si>
  <si>
    <t>El ministro de defensa también disuelve la manifestación pacífica de Medellín. gasea a la juventud. https://t.co/WOYfW2TJNt</t>
  </si>
  <si>
    <t>RT @BLUPacifico: En total calma inicia la movilización de estudiantes en Cali. Son más de 2.000 personas las que marchan por las calles de…</t>
  </si>
  <si>
    <t>RT @JUANCAELBROKY: Una ciudadana fue agredida y herida por el ESMAD en el centro de Bogotá. De esto no hablan los políticos que defienden l…</t>
  </si>
  <si>
    <t>Gabriel Felipe Rosero, es líder estudiantil de la Colombia Humana en Pasto, la policía le disparó en un ojo y tiene… https://t.co/ff4SinPm7I</t>
  </si>
  <si>
    <t>RT @PortalLaOtraVoz: "Que detenga la violencia y la masacre" palabras de senador @petrogustavo a @IvanDuque. Marchaban ciudadanos, defensor…</t>
  </si>
  <si>
    <t>RT @petrogustavo: Gabriel Felipe Rosero, es líder estudiantil de la Colombia Humana en Pasto, la policía le disparó en un ojo y tiene varia…</t>
  </si>
  <si>
    <t>Empatía congresista del Centro Democrático, significa no gasear manifestaciones a las que tiene derecho la ciudadan… https://t.co/9YTLJ6dNUW</t>
  </si>
  <si>
    <t>RT @eldcano: @elsemblante Todos los locales comerciales tenían protección, menos esa esquina y coincidencialmente desde la terraza del pala…</t>
  </si>
  <si>
    <t>RT @lbertoortiz: Les dio miedo ver a @petrogustavo con la plaza de Bolívar llena. https://t.co/tKmSYsUyuf</t>
  </si>
  <si>
    <t>Hay dos heridos en Bogotá y 16 personas detenidas en una marcha pacífica. Aun creen que no vamos hacia una dictadur… https://t.co/8I7cSm6Z48</t>
  </si>
  <si>
    <t>RT @Betocoralg: Digámoslo claro y sin miedo: Miembros de la policía de civil e infiltrados, vandalizan banco para que otros miembros de la…</t>
  </si>
  <si>
    <t>RT @HeinerGaitan: La marcha en la carrera séptima de Soacha. Siempre pacífica, por la memoria, la vida y el futuro. Hay un país que ganar…</t>
  </si>
  <si>
    <t>El Esmad grabando a la concejal de Bogotá. Ni idea de que es la democracia. https://t.co/QMOHX0qjsM</t>
  </si>
  <si>
    <t>RT @lasillavacia: #Marchas21Slsv Así avanza la marcha en Cali que salió desde el edificio de Comfandi el Prado y se dirige a Puerto Rellena…</t>
  </si>
  <si>
    <t>la señora entró en shock a causa de las manifestaciones? o, a causa que uds señores de la policía la hubieran disue… https://t.co/5wNlm9dCMU</t>
  </si>
  <si>
    <t>RT @susanamuhamad: Este Secretario merece Moción de censura en el Concejo de Bogotá. No hay una política de seguridad de acuerdo a la compl…</t>
  </si>
  <si>
    <t>El teléfono móvil de Apple es hecho por trabajadores, distingues esa idea? de ahí puedes deducir si el celular es d… https://t.co/SoGIOdphpf</t>
  </si>
  <si>
    <t>Esta es la tesis jurídica del Nazismo. Colectivizar la culpa. Así fue como Hitler terminó llevando a los campos de… https://t.co/oZsWBn06ro</t>
  </si>
  <si>
    <t>Alcaldesa esto que se está haciendo en Bogotá es una clara violación de derechos humanos. No se puede perseguir a c… https://t.co/kEboIUCtl6</t>
  </si>
  <si>
    <t>Lo que usted llama democracia en aquella época en que su padre colaboraba con Pablo Escobar, era el Frente Nacional… https://t.co/aTnjY60AKY</t>
  </si>
  <si>
    <t>RT @AliciaCastroAR: No te pierdas las conferencias de la Cumbre : de Naom Chomsky, de @yanisvaroufakis de @NaomiAKlein y nuestra conversaci…</t>
  </si>
  <si>
    <t>Es por qué hay que defender los páramos que toca combatir el cambio climático, lo cual implica dejar de estimular l… https://t.co/g4veYrfV4V</t>
  </si>
  <si>
    <t>Queda prohibida la detención masiva e injustificada de personas en las protestas. La corte ha defendido la libertad… https://t.co/xPWRTJn2Km</t>
  </si>
  <si>
    <t>RT @lapizarraOK: 🇨🇴 Muchas gracias a @petrogustavo que manda saludos y felicitaciones desde Colombia por los 💯 programas de La Pizarra, una…</t>
  </si>
  <si>
    <t>RT @petrogustavo: Queda prohibida la detención masiva e injustificada de personas en las protestas. La corte ha defendido la libertad del p…</t>
  </si>
  <si>
    <t>Todo un exponente del pensamiento reaccionario y antidemocrático. Deseosos de ver la sangre correr en las calles p… https://t.co/yFcWukcYJ0</t>
  </si>
  <si>
    <t>La histeria cunde en los medios de comunicación de los más poderosos del país, solo porque la Corte Suprema ha orde… https://t.co/71eRJnnRMp</t>
  </si>
  <si>
    <t>RT @ChalecosAmarill: 🎥🛑En #Colombia los ÚNICOS CRIMINALES son quienes soportan y justifican las MASACRES al pueblo @CarlosHolmesTru @IvanDu…</t>
  </si>
  <si>
    <t>RT @MaPaulaFonseca: En @BluRadioCo @NestorMoralesC dice que el fallo de la Corte es un golpe a la democracia. No, lo que afecta la democrac…</t>
  </si>
  <si>
    <t>RT @Rodrigo_Lara_: Balance del gobierno nacional en el manejo de la crisis del Covid 19: - 5to país del mundo con más casos de coronaviru…</t>
  </si>
  <si>
    <t>RT @AndresCamiloHR: "El Congreso decidió no otorgar subsidios a las pequeñas empresas, esto es lo mismo que pasó con Agro Ingreso Seguro ex…</t>
  </si>
  <si>
    <t>RT @SebastiaanOlier: @intiasprilla @ClaudiaLopez @MJDuzan El no está diciendo mentiras. Yo lo vi durante toda la marcha muy pacifico. Aquí…</t>
  </si>
  <si>
    <t>Ocultan la realidad para que siga ocurriendo. Ocultan la masacre para que sigan las masacres; ocultan las relacione… https://t.co/7EHxIC4nZO</t>
  </si>
  <si>
    <t>Si no hay estudios del metro elevado y estos durarán 27 meses, de acuerdo al contrato firmado, ¿de dónde sacan que… https://t.co/cKqQI1SbZR</t>
  </si>
  <si>
    <t>RT @RamiroBejaranoG: La Universidad @SergioArboledaE y sus egresados en el gobierno y en la Fiscalia se están convirtiendo en los enemigos…</t>
  </si>
  <si>
    <t>Este hombre de a caballo sindica al joven que manifestaba pacíficamente, que fue apresado arbitrariamente, de ser… https://t.co/2OuZy8AzH3</t>
  </si>
  <si>
    <t>Agencia en el Vaticano reseña la manifestacion pacífica despedazada por la arbitrariedad. 30 detenidos y 16 heridos… https://t.co/Haf30MaFAT</t>
  </si>
  <si>
    <t>Una univerdidad pública de Colombia que permite tener un rector que se le sindica de paramilitarismo, vinculación c… https://t.co/WYgsxwGZbS</t>
  </si>
  <si>
    <t>Realmente es leonina la actitud del Senado al rechazar que la pequeña empresa de Colombia pueda recibir subsidios d… https://t.co/jwrAEkQfy4</t>
  </si>
  <si>
    <t>RT @angelamrobledo: Semejante escándalo porque la Corte Suprema ordenó proteger los derechos humanos, pero ven en video a la Fuerza Pública…</t>
  </si>
  <si>
    <t>RT @petrogustavo: Realmente es leonina la actitud del Senado al rechazar que la pequeña empresa de Colombia pueda recibir subsidios del est…</t>
  </si>
  <si>
    <t>El gobierno puede pedir revisión y la Corte Constitucional no aceptarla. pero debe cumplir de inmediato el fallo de… https://t.co/Vd43vEiVQI</t>
  </si>
  <si>
    <t>El responsable de excluir a la pequeña empresa de los subsidios estatales a la nómina, es el centro democrático y s… https://t.co/E9vLH1r7Fl</t>
  </si>
  <si>
    <t>RT @elsemblante: ¡Atención! En rojo están los senadores que votaron NO a subsidiar las nóminas de las 281 mil 342 micro-empresas del país…</t>
  </si>
  <si>
    <t>Estos son los votos de los senadores, los de rojo votaron en contra de darle subsidio estatal a la nómina de las pe… https://t.co/JmdJRDElhB</t>
  </si>
  <si>
    <t>Estos son los senadores que votaron en contra de dar subsidio estatal a la nómina de las pequeñas empresas. Todo e… https://t.co/Id6GjSx1HX</t>
  </si>
  <si>
    <t>Dictadura. Si el gobierno no respeta el fallo de la Corte Suprema de Justicia, simplemente delinque. A Duque le sol… https://t.co/rAUkzvjgOx</t>
  </si>
  <si>
    <t>RT @nicolaspetroB: El uribismo utilizando a ciertos “periodistas”, golpea diariamente a la Corte Suprema de Justicia. Su objetivo es acab…</t>
  </si>
  <si>
    <t>Se han inscrito para las elecciones del Ecuador, Andrés Arauz para presidente y Rafael Correa para vicepresidente.… https://t.co/3UGNiJWdJK</t>
  </si>
  <si>
    <t>RT @petrogustavo: Dictadura. Si el gobierno no respeta el fallo de la Corte Suprema de Justicia, simplemente delinque. A Duque le solicito…</t>
  </si>
  <si>
    <t>RT @smilelalis: Uno sabe que algo está bien, cuando Luis Carlos Vélez, Vicky Dávila y todos los periodistas del establecimiento, trinan com…</t>
  </si>
  <si>
    <t>RT @petrogustavo: Estos son los senadores que votaron en contra de dar subsidio estatal a la nómina de las pequeñas empresas. Todo el cent…</t>
  </si>
  <si>
    <t>RT @HistoriaM19: "Tomad y bebed" El lunes 30 de septiembre de 1985, a eso de las 7:20 de la mañana, un grupo de jóvenes pertenecientes al…</t>
  </si>
  <si>
    <t>RT @Hekatombe_: Lamentamos informar que el Esmad se prepara para atacar el campamento humanitario de familias sin techo en Ciudad Bolívar.…</t>
  </si>
  <si>
    <t>Bueno ya llegamos a la tapa. los que dispararaon eran guerrilleros disfrazados de policías. https://t.co/cGG56KMBgc</t>
  </si>
  <si>
    <t>RT @anateresabernal: No es de una ciudad cuidadora desalojar así a la población sin techo. Hacen cadena para protegerse del ESMAD. Villa Gl…</t>
  </si>
  <si>
    <t>Y Claudia López no quiso dialogar para impedir el desalojo de víctimas de la violencia. El Distrito cada vez más es… https://t.co/3PbaT6LeHj</t>
  </si>
  <si>
    <t>EEUU redujo a un solo cargo: la conspiración, su denuncia contra Alex Saab, y los amigos de Saab en Colombia result… https://t.co/jJUxVWa7iP</t>
  </si>
  <si>
    <t>No lo dejaron estudiar su especialización porque estudió medicina en Cuba y ahora, es el único colombiano que esta… https://t.co/Xax0lvzbKQ</t>
  </si>
  <si>
    <t>No le dijeron a usted en la campaña presidencial, que yo era enemigo de las empresas y las iba a expropiar? Lucham… https://t.co/wV1hanVOwZ</t>
  </si>
  <si>
    <t>RT @pormillano: La senadora Amanda Rocío, parlamentaria #Casañareña votó #SI al #Fracking. Y ahora vota #NO al subsidio para las pequeñas y…</t>
  </si>
  <si>
    <t>RT @elsemblante: ¿Se acuerdan cuando los votantes de Uribe / Duque decían que @petrogustavo les "expropiaría sus negocios" y que "espantarí…</t>
  </si>
  <si>
    <t>Si el ministro de defensa desacata el fallo de la Corte Suprema de Justicia entonces debe ser suspendido del cargo.</t>
  </si>
  <si>
    <t>RT @JulianFMartinez: Suspenden cuenta del ex magistrado José Gregorio Hernández, tras opinar que el gobierno desacató orden de la Corte Sup…</t>
  </si>
  <si>
    <t>RT @petrogustavo: No le dijeron a usted en la campaña presidencial, que yo era enemigo de las empresas y las iba a expropiar? Luchamos, co…</t>
  </si>
  <si>
    <t>RT @LuisGPerezCasas: 34 jóvenes asesinados por el Esmad desde el año 2000, no son casos aislados @mindefensa 1. Mauricio Octavio Fonseca…</t>
  </si>
  <si>
    <t>El procurador debe actuar sobre el ministro si quiere salvar el estado de derecho. ¿Querían encontrar el espacio de… https://t.co/Nwtk1ViUnI</t>
  </si>
  <si>
    <t>¿Qué pensarían los electores de Macías? ¿Qué el país se puede manejar desde la ignorancia, el sectarismo y el odio?… https://t.co/n4bQZnIAf4</t>
  </si>
  <si>
    <t>Seria importante saber porque hay congresistas liberales que votan por lo que diga el ministro ultraconservador Car… https://t.co/o7OvzTzbA5</t>
  </si>
  <si>
    <t>RT @Ivan_Velasquez_: Duque sale un día ante el mundo atacando la dictadura de Venezuela y al otro día en Colombia declara que no acatará un…</t>
  </si>
  <si>
    <t>RT @petrogustavo: El procurador debe actuar sobre el ministro si quiere salvar el estado de derecho. ¿Querían encontrar el espacio del dere…</t>
  </si>
  <si>
    <t>¿Y dónde está el poder? Guardado en sus casas. La marcha a la plaza de Bolivar termina siendo una marcha a palacios… https://t.co/ST898ACl27</t>
  </si>
  <si>
    <t>¿Creían que esto era una confrontacion polarizada entre un populismo de derecha y un populismo de izquierda? Los e… https://t.co/OBF8uU2ku9</t>
  </si>
  <si>
    <t>En el camino de la dictadura quienes dirigen el Congreso están cumpliendo una función delictiva al no dejarlo actua… https://t.co/mYx0KHCYeB</t>
  </si>
  <si>
    <t>Trump se niega a un traspaso pacifico si pierde las elecciones. Esta es la lección de la barbarie. La tensión en… https://t.co/VD89CdSEYE</t>
  </si>
  <si>
    <t>RT @petrogustavo: En el camino de la dictadura quienes dirigen el Congreso están cumpliendo una función delictiva al no dejarlo actuar y vo…</t>
  </si>
  <si>
    <t>Diga la verdad Duque, usted le entregó la energía de la costa Caribe oriental al grupo financiador de Cambio Radica… https://t.co/kwoJd6eDHv</t>
  </si>
  <si>
    <t>Deje de amenazar señor ministro de defensa, aprendiz de tirano usted ha ocasionado, por omisión, centenares de civ… https://t.co/RRTiDSVZfL</t>
  </si>
  <si>
    <t>Lo que ven en el ministro de defensa es lo que se llama proselitismo armado. Una campaña presidencial con todo el… https://t.co/wGCKOL66cA</t>
  </si>
  <si>
    <t>Nuevo asesinato cometido por las fuerzas del Ministro de defensa. Una mujer desarmada en la carretera de Miranda, C… https://t.co/wQZGTskNcX</t>
  </si>
  <si>
    <t>El gobierno de Duque, siguiendo el libreto de Uribe, ha transformado de nuevo la fuerza pública en una fuerza letal… https://t.co/deSMM5IZXy</t>
  </si>
  <si>
    <t>RT @petrogustavo: Nuevo asesinato cometido por las fuerzas del Ministro de defensa. Una mujer desarmada en la carretera de Miranda, Cauca.…</t>
  </si>
  <si>
    <t>RT @Ivan_Velasquez_: Si al ministro Carlos H. Trujillo lo arrestan por desacatar a la @CorteSupremaJ, como debe ocurrir, un Congreso digno…</t>
  </si>
  <si>
    <t>A la fuerza pública la envenenan con la doctrina del enemigo interno. Es una ideología hecha por civiles para guare… https://t.co/n6kSsQI1bt</t>
  </si>
  <si>
    <t>RT @mateoelflautist: @MauricioCard y @Jrortegal no han explicado aún la razón por la cuál le han dado el manejo de @TGI , la joya d la coro…</t>
  </si>
  <si>
    <t>RT @petrogustavo: A la fuerza pública la envenenan con la doctrina del enemigo interno. Es una ideología hecha por civiles para guarecer un…</t>
  </si>
  <si>
    <t>RT @HELIODOPTERO: Colombia es un estado de derecho. https://t.co/PrPOE3YHNR</t>
  </si>
  <si>
    <t>Que la banca de 8.5 billones de utilidades en medio de un pais que quiebra solo significa una cosa: los dueños de l… https://t.co/2w5H87V9EG</t>
  </si>
  <si>
    <t>Le salió toda la discriminacion sexual a la FM, y en medio de una asesinato aleve del gobierno. https://t.co/IHar5B44jv</t>
  </si>
  <si>
    <t>RT @petrogustavo: Que la banca de 8.5 billones de utilidades en medio de un pais que quiebra solo significa una cosa: los dueños de la banc…</t>
  </si>
  <si>
    <t>A pesar que toda la base jurídica con que montaron los procesos contra mi por el cambio de modelo de aseo en Bogotá… https://t.co/Y6As56ym3z</t>
  </si>
  <si>
    <t>Bien que la policía haya pedido perdón por su actuación. el perdón se sigue de las garantías de no repetición, lo c… https://t.co/5OLip8dFv7</t>
  </si>
  <si>
    <t>Mal que el ministro de defensa no sea capaz de pedir perdón por su propia actuación omisiva frente a los asesinatos… https://t.co/0SCdsBESpF</t>
  </si>
  <si>
    <t>RT @petrogustavo: Mal que el ministro de defensa no sea capaz de pedir perdón por su propia actuación omisiva frente a los asesinatos de ci…</t>
  </si>
  <si>
    <t>RT @Denis011114: #RenuncieHolmes https://t.co/74BG2aff0n</t>
  </si>
  <si>
    <t>El alcalde verde de Popayán debe hacer cumplir la sentencia de la Corte Suprema de Justicia y evitar la violencia d… https://t.co/mKUOoVavFl</t>
  </si>
  <si>
    <t>Que @TwitterLatAm cierre las cuentas de eminentes juristas que se oponen a la arbitrariedad y la inconstitucionalid… https://t.co/wrkmaTCWmp</t>
  </si>
  <si>
    <t>RT @yohirakerman: El problema no es el tapabocas para pedir disculpas, ni las disculpas que no fueron disculpas. El problema es un ministro…</t>
  </si>
  <si>
    <t>Lo más importante de una.petición de perdón es que debe ser continuada por las garantías de no repetición, es decir… https://t.co/UHJ4MjABwj</t>
  </si>
  <si>
    <t>Para hacer inversiones en la antigua electricaribe, los nuevos propietarios, EPM, y la familia Ríos, tendrán que en… https://t.co/S3o1pc43Zt</t>
  </si>
  <si>
    <t>La gloria del soldado consiste en defender los derechos y las libertades de toda la ciudadania colombiana sin excep… https://t.co/xTm46GEEAw</t>
  </si>
  <si>
    <t>RT @CarlosMedinaG1: Los servicios de inteligencia saben que la capacidad operativa del ELN en las ciudades del país no da para convocar siq…</t>
  </si>
  <si>
    <t>Esta bien que la alcaldesa se disculpe contra el joven que sindicó publicamente de vandalismo. Pero detrás de esta… https://t.co/9wIjr8NCmg</t>
  </si>
  <si>
    <t>RT @VickyDavilaH: Si este es Uriel del ELN, se adjudica ataque a Los CAI y pone hasta número de celular y responden. ¿Por qué el Ejército n…</t>
  </si>
  <si>
    <t>Disparar de frente a manifestaciones pacificas parece ser una práctica generalizada y debe ser erradicada de inmedi… https://t.co/Q13CC253nL</t>
  </si>
  <si>
    <t>RT @Juanaafanador1: Hoy en Bogotá a las 6pm frente al ministerio de defensa, nos plantamos a exigir la renuncia de @CarlosHolmesTru. No se…</t>
  </si>
  <si>
    <t>RT @GuzmanJoseVicen: Los políticos uribistas no pueden negar de lo que están hechos: mezquindad, viveza, maldad, cinismo, psicópatías, nega…</t>
  </si>
  <si>
    <t>El gerente de la campaña fraudulenta de Duque tiene que retractarse. No tiene ni idea que es la democracia y quiso… https://t.co/Iayl2qpQnz</t>
  </si>
  <si>
    <t>RT @petrogustavo: La gloria del soldado consiste en defender los derechos y las libertades de toda la ciudadania colombiana sin excepción.…</t>
  </si>
  <si>
    <t>RT @charry_manager: Que nada quede impune que nada quede en la oscuridad... Primer capítulo de la serie #LaOscuraNocheDel9S, que pone en e…</t>
  </si>
  <si>
    <t>Trump acaba de aceptar los consejos de los políticos colombianos íntimamente ligados con el narcotráfico y el genocidio en Colombia</t>
  </si>
  <si>
    <t>Hoy estaremos con la Colombia Humana de Bolívar https://t.co/bpqplNwFo6</t>
  </si>
  <si>
    <t>RT @cielo_rusinque: Acabo de entrar por acá y gozo de verdad con nuestro parroquialismo. Gracias a @petrogustavo muchos colombianos hoy se…</t>
  </si>
  <si>
    <t>RT @nicolaspetroB: Parece que @realDonaldTrump no sabe que sus aliados políticos en Colombia, ganan elecciones comprando votos con Plata de…</t>
  </si>
  <si>
    <t>Les propongo decirle a @realDonaldTrump que sus aliados en Colombia son los que se han empoderado gracias al dinero… https://t.co/fnUbMjhi92</t>
  </si>
  <si>
    <t>RT @petrogustavo: Les propongo decirle a @realDonaldTrump que sus aliados en Colombia son los que se han empoderado gracias al dinero del n…</t>
  </si>
  <si>
    <t>La salud es un derecho y no un privilegio. https://t.co/ax9R35XdBO</t>
  </si>
  <si>
    <t>Me siento muy orgulloso del ataque que me hace Trump. Significa que hemos luchado por lo justo El triunfo de Trump… https://t.co/LU8bGYmQC8</t>
  </si>
  <si>
    <t>RT @subcantante: No disparen Estamos desarmados No queremos ser víctimas del estado! https://t.co/tNpsjVupyH</t>
  </si>
  <si>
    <t>Que la fuerza pública mate civiles indefensos mientras caen 20 soldados ante una disidencia que les quita los fusil… https://t.co/9JRiLLMbJa</t>
  </si>
  <si>
    <t>Es indudable que el discurso de Trump en la Florida lo hicieron los uribistas. El proyecto político uribista es el… https://t.co/4fTWmHwA94</t>
  </si>
  <si>
    <t>RT @MajoDoria: Una masa enfurecida debería ir a rodear la casa de Holmes Trujillo, y que la única forma para salir de su casa sea por helic…</t>
  </si>
  <si>
    <t>Le regalo esta foto a @realDonaldTrump . En realidad los progresistas de todo el mundo nos unimos para luchar por l… https://t.co/kGOiiPlCpu</t>
  </si>
  <si>
    <t>RT @petrogustavo: Le regalo esta foto a @realDonaldTrump . En realidad los progresistas de todo el mundo nos unimos para luchar por la vida…</t>
  </si>
  <si>
    <t>Todo lo dicho en la prensa sobre la participación del ELN en los actos de la indignacion juvenil por el asesinato d… https://t.co/FyjZMvwLJ8</t>
  </si>
  <si>
    <t>Colombia Humana procurará que en la enorme manifestación social que se avecina en todos los rincones del país sea p… https://t.co/cJjIZQuV25</t>
  </si>
  <si>
    <t>RT @petrogustavo: Me siento muy orgulloso del ataque que me hace Trump. Significa que hemos luchado por lo justo El triunfo de Trump repre…</t>
  </si>
  <si>
    <t>Mi respuesta a Trump https://t.co/gf4gBSkQ1i</t>
  </si>
  <si>
    <t>RT @petrogustavo: Mi respuesta a Trump https://t.co/gf4gBSkQ1i</t>
  </si>
  <si>
    <t>Traducido del inglés (twitter): En este momento, nos enfrentamos tanto a la peor crisis de salud pública de nuestr… https://t.co/sOPvCU6Vma</t>
  </si>
  <si>
    <t>RT @Justiciaypazcol: #Urgente #Jiguamiandó Integrantes de las AGC, de civil y con armas cortas, buscan a un habitante de Coredocito para ll…</t>
  </si>
  <si>
    <t>El camino que le ha trazado Duque a Minesa para explotar el oro de Santurbán y su cinismo ante Naciones Unidas. https://t.co/q2KDED2K3M</t>
  </si>
  <si>
    <t>Mi columna de hoy que comentaremos a las siete de la noche aquí por Twitter. El tránsito que hace Colombia hacia l… https://t.co/sZomC21Qb4</t>
  </si>
  <si>
    <t>Los médicos de Chile salen a las calles. NI más mi menos el sistema de salud colombiano es calcado del de Chile. L… https://t.co/xPuk3SWbTN</t>
  </si>
  <si>
    <t>RT @Mafalda_2020_: Latinos con Trump. Judíos con Hitler. Pobres con Uribe.</t>
  </si>
  <si>
    <t>RT @SputnikMundo: Greenpeace advierte de que el ganado es peor para el calentamiento global que los autos 👉 https://t.co/gW3BF8MNvZ @Gree…</t>
  </si>
  <si>
    <t>En algún trino mencioné el tema de la sexta extinción de la vida en el planeta que sobreviene en cuestión de década… https://t.co/ESaewGznIB</t>
  </si>
  <si>
    <t>El sacerdote de los 12 apóstoles ha muerto de viejo. Hizo matar decenas de personas en Yarumal, Antioquia y sus alr… https://t.co/I1P2BdYxaL</t>
  </si>
  <si>
    <t>RT @Colcheck: Las comparaciones del presidente sobre contagios por millón de habitantes son alejadas de la realidad No solo porque los cont…</t>
  </si>
  <si>
    <t>¿Será que el protagonista de "El señor de los anillos" es también castrochavista? ¿O que el tener un sistema de sal… https://t.co/6JBM8fQIm6</t>
  </si>
  <si>
    <t>En un mundo que desplazó y aniquiló al campesinado, ahora Córdoba hace pactos para terratenientes, y en la hacienda… https://t.co/gqFDkzYuKX</t>
  </si>
  <si>
    <t>RT @HOLLMANMORRIS: La presidencia de @IvanDuque configura uno de los peores manejos de la pandemia en el mundo y eso se traduce en muertes…</t>
  </si>
  <si>
    <t>La masacre del día. Esta vez tres personas asesinadas en el playón,, Quibdó, Chocó. https://t.co/fZHsjbxnDG</t>
  </si>
  <si>
    <t>RT @petrogustavo: El camino que le ha trazado Duque a Minesa para explotar el oro de Santurbán y su cinismo ante Naciones Unidas.</t>
  </si>
  <si>
    <t>RT @petrogustavo: Mi columna de hoy que comentaremos a las siete de la noche aquí por Twitter. El tránsito que hace Colombia hacia la dict…</t>
  </si>
  <si>
    <t>Colombia Humana le propuso a San Andrés Islas, la expedición de un estatuto de autonomía raizal y un programa volun… https://t.co/L5e3xhHMRu</t>
  </si>
  <si>
    <t>Estoy en vivo con @gustavobolivar leyendo las columanas. https://t.co/owEo26CfTV</t>
  </si>
  <si>
    <t>Estoy en vivo con @gustavobolivar leyendo las columanas. https://t.co/F0nOiYLt4e</t>
  </si>
  <si>
    <t>RT @LuchoXBolivia: “Para el pueblo lo que es del pueblo, porque el pueblo se lo ganó” Unidos vamos a recuperar nuestra Patria para todas y…</t>
  </si>
  <si>
    <t>RT @SenorCaicedo: No hay derecho https://t.co/QBqi3GZthR https://t.co/iP0nzjxIxr</t>
  </si>
  <si>
    <t>RT @HOLLMANMORRIS: ATENCIÓN gobierno de @IvanDuque se hecha para atrás en el acuerdo al que había llegado con los Misak para que la estatua…</t>
  </si>
  <si>
    <t>Muy bien por el alcalde del Polo y Colombia Humana de Villavicencio. Ha logrado construir y poner en funcionamiento… https://t.co/iJFflNHpgA</t>
  </si>
  <si>
    <t>En CAI de Usme torturan a una niña de 15 años. Aquí las pruebas. https://t.co/xQbU2bNnqe</t>
  </si>
  <si>
    <t>El Cerrejón descarga la caída de los precios del carbón en sus trabajadores. Demuestra la insostenibilidad del nego… https://t.co/wAvNvBmsNc</t>
  </si>
  <si>
    <t>Este informe muestra cómo la policía trataba de obstaculizar mi campaña presidencial en Bogotà y como terminó acusa… https://t.co/MrD94fv9Fa</t>
  </si>
  <si>
    <t>La prueba indudable de la autoría de la policía, aleve y a mansalva, en la masacre de Bogotá. Un informe periodíst… https://t.co/ZTyy3GRed5</t>
  </si>
  <si>
    <t>Estaremos a las 12.15 en entrevista con Camila Zuluaga. Los esperamos. https://t.co/ssLGCQrgWU</t>
  </si>
  <si>
    <t>RT @petrogustavo: La prueba indudable de la autoría de la policía, aleve y a mansalva, en la masacre de Bogotá. Un informe periodístico de…</t>
  </si>
  <si>
    <t>Ahora con la Colombia Humana del Cauca y el Pacifico Colombiano https://t.co/Mo9Ig5mO2g</t>
  </si>
  <si>
    <t>RT @ProgresaLatam: 📄 Grupo Parlamentario Progresista Iberoamericano rechaza posible bloqueo a la candidatura de Andrés Arauz en Ecuador. h…</t>
  </si>
  <si>
    <t>Habla aquí, quien condenó el Congreso a la virtualidad. Para los congresistas si hay cuarentena y pago por su traba… https://t.co/skeYcl9xZv</t>
  </si>
  <si>
    <t>RT @marthaperaltae: ¿Recuerdan cuando Ivan Duque presentó un informe a la ONU con fotos falsa? Pues ahora presentó como suyo un video de v…</t>
  </si>
  <si>
    <t>RT @lasillavacia: Para finalizar el día invitamos a ver esta investigación que hicimos sobre el asesinato de tres jóvenes en Verbenal (Bogo…</t>
  </si>
  <si>
    <t>El joven se defendía con una puerta de madera ante los disparos que le hacía directamente la policía y allí cayó ba… https://t.co/zm4s1dWBk8</t>
  </si>
  <si>
    <t>Continua la campaña de represión arbitraria de la fiscalía de Duque. Ahora al detener al líder campesino Andrés Maí… https://t.co/Gjg5Qo9083</t>
  </si>
  <si>
    <t>Propuse una transición ordenada de la extracción del carbón a energías limpias en la Guajira. Dijeron que era popu… https://t.co/7NWLjIv5BE</t>
  </si>
  <si>
    <t>El Cauca se lanza a la desobediencia civil. Adelante con el paro nacional para el 21 de octubre. Hoy el movimient… https://t.co/m82b76zs4b</t>
  </si>
  <si>
    <t>Un plan de transición del cerrejón, debería reconvertir laboralmente a trabajadores en propietarios junto a las com… https://t.co/93atSX5vpq</t>
  </si>
  <si>
    <t>Las deudas laborales de la Glencore, las regalías por carbón derivadas del cerrejón deberían convertirse en el fond… https://t.co/6Yl3kWCBNY</t>
  </si>
  <si>
    <t>Don Fabio Echeverri y ahora su hijo, Luigi, creyeron que por tener dinero podian apropiarse del Estado y destruir e… https://t.co/Z0XEfxfFeN</t>
  </si>
  <si>
    <t>Este foto muestra el equipo que fortalece la ultraderecha en Colombia. Una foto del etermo retorno, como diría Nie… https://t.co/bmwmi3cxV7</t>
  </si>
  <si>
    <t>Ivan Marulanda es un buen candidato. Debería buscar un gran acuerdo nacional con reformas para hacer transitar a Co… https://t.co/AHA0T2mH0h</t>
  </si>
  <si>
    <t>Además de la masacre cometida por el gobierno de Duque en Bogotá hay nueve personas desaparecidas. En varios casos… https://t.co/w248c05Xa9</t>
  </si>
  <si>
    <t>RT @petrogustavo: Habla aquí, quien condenó el Congreso a la virtualidad. Para los congresistas si hay cuarentena y pago por su trabajo en…</t>
  </si>
  <si>
    <t>Hay que ilegitimar las sesiones virtuales de un Congreso de pacotilla con la presencialidad de las bancadas indepen… https://t.co/Gyc496vAxL</t>
  </si>
  <si>
    <t>Este sacerdote usaba la confesión para hacer el listado de personas que los 12 apóstoles asesinarían en conjunto co… https://t.co/PFI5r0f7dP</t>
  </si>
  <si>
    <t>Investigado en los EEUU por lavado de dólares y sobornos de Odebrecht el gran estratega del uribismo JJ Rendón. In… https://t.co/I3kGSdPOCg</t>
  </si>
  <si>
    <t>RT @petrogustavo: Hay que ilegitimar las sesiones virtuales de un Congreso de pacotilla con la presencialidad de las bancadas independiente…</t>
  </si>
  <si>
    <t>RT @MaPaulaFonseca: Concejal @cancinodiegoa denunció la desaparición de un joven de 13 años en el Codito, norte de Bogotá que según la fami…</t>
  </si>
  <si>
    <t>Ecuador se levanta contra el intento de fraude electoral. El gobierno intenta que el candidato que encabeza las en… https://t.co/pbuMFwXUsP</t>
  </si>
  <si>
    <t>RT @MajoDoria: Los invito a todos a que le preguntemos a los verdes: ¿Participara @PartidoVerdeCoL junto a Gustavo y la Colombia Humana…</t>
  </si>
  <si>
    <t>RT @ecuarauz: ¡Qué alegría vernos nuevamente como un pueblo unido por la democracia! Vamos a mantener la vigilia; saben que si participam…</t>
  </si>
  <si>
    <t>RT @cancinodiegoa: Hay una lógica paramilitar en las noches de las masacres en Bogotá. Lo que hemos encontrado es realmente escalofriante y…</t>
  </si>
  <si>
    <t>Ante la corte Penal Internacional no se denuncian países, sino personas. Los culpables directos e intelectuales de… https://t.co/0q1I1w3LFJ</t>
  </si>
  <si>
    <t>No me equivoqué cuando dije que duque analiza una ruptura institucional del país. Un golpe contra la democracia se… https://t.co/m6gJh4SjwS</t>
  </si>
  <si>
    <t>RT @CarlosCarrilloA: @AngelicaLozanoC @ivanmarulanda @PartidoVerdeCoL Pura operación avispa, le están construyendo a Fajardo una consulta “…</t>
  </si>
  <si>
    <t>RT @petrogustavo: No me equivoqué cuando dije que duque analiza una ruptura institucional del país. Un golpe contra la democracia se enfre…</t>
  </si>
  <si>
    <t>RT @Juventud_Humana: Iván Duque declara un Estado de Conmoción Interior y las juventudes salimos inmediatamente a atestar las calles de est…</t>
  </si>
  <si>
    <t>RT @IvanCepedaCast: Congresistas de bancadas de Gobierno piden que la población salga a lugares de trabajo, escuelas y colegios. Eso sí: pi…</t>
  </si>
  <si>
    <t>RT @Juanaafanador1: Gobernantes que no se parecen a su pueblo, es lo que siempre hemos tenido en Colombia. Élites que se reproducen y se et…</t>
  </si>
  <si>
    <t>Una nueva normalidad solone puede construir a partir de la Justicia Social y ambiental, dice el Papa Francisco. Re… https://t.co/cy1iKK1zfZ</t>
  </si>
  <si>
    <t>El señor Fernando Londoño, principal ideólogo fascista del uribismo, se robó 8 millones de dolares del Banco del P… https://t.co/fwZuIZcjMR</t>
  </si>
  <si>
    <t>El tunel de la línea es una enorme inversión pública para abaratar importaciones dado que se hizo el tramo del mar… https://t.co/0PeCB0gx2d</t>
  </si>
  <si>
    <t>RT @petrogustavo: El señor Fernando Londoño, principal ideólogo fascista del uribismo, se robó 8 millones de dolares del Banco del Pacific…</t>
  </si>
  <si>
    <t>Apuesto a que nuestra prensa no se pregunta porque nunca hubo un debate mío con Duque? https://t.co/Gt9utR3LOo</t>
  </si>
  <si>
    <t>Quino era el filósofo de la caricatura. Un hombre progresista que hizo pensar a la humanidad. https://t.co/Iih7M8GIu8</t>
  </si>
  <si>
    <t>RT @CuartoDeHoraCol: #Opinión La alcaldía firmó un contrato con Corferias por $200 mil millones de pesos. En casi dos meses de funcionamien…</t>
  </si>
  <si>
    <t>RT @ProgIntl_ES: 🚨ATENCIÓN: Si el Consejo Nacional Electoral de #Ecuador @cnegobec bloquea la candidatura presidencial de Andres Arauz-@ecu…</t>
  </si>
  <si>
    <t>RT @Betocoralg: En el 2003 @CarlosHolmesTru fue embajador en Suecia. Se llevó al asesor de Carlos Castaño, @ernestoYamhure para ser secreta…</t>
  </si>
  <si>
    <t>RT @petrogustavo: Quino era el filósofo de la caricatura. Un hombre progresista que hizo pensar a la humanidad.</t>
  </si>
  <si>
    <t>RT @petrogustavo: Apuesto a que nuestra prensa no se pregunta porque nunca hubo un debate mío con Duque?</t>
  </si>
  <si>
    <t>RT @AndresCamiloHR: Tanta realidad en una sola caricatura: Mafalda. Adiós Quino. https://t.co/b6FVufPqKh</t>
  </si>
  <si>
    <t>RT @ianschnaida: Me emputa verlos alarmados por la calidad del debate en EE UU; sabiendo que no dijeron NI MU cuando el actual ”presidente”…</t>
  </si>
  <si>
    <t>La.prensa nacional alarmada por el debate Biden/Trump y se prestaron para que no se hicieran los debates Duque/Petro en Colombia</t>
  </si>
  <si>
    <t>El uribismo o RCN? O es lo mismo? Una sociedad que se mueve no es generar caos , es generar democracia. Una socied… https://t.co/IJt79DlWfD</t>
  </si>
  <si>
    <t>RT @alexflorezh: La vergüenza que representó en 2018 que @IvanDuque dejara esperando en un debate a @petrogustavo y al pueblo colombiano qu…</t>
  </si>
  <si>
    <t>RT @Alexrolapiz1: ¡Hasta siempre, #Quino!✏️😔 Qué extraña es la vida, justo ayer difundíamos nuestro video en homenaje a Quino por la prim…</t>
  </si>
  <si>
    <t>Un uribista logra detectar el principal problema de la economía hoy: la baja demanda. La baja demanda se corrige s… https://t.co/DswILHNfHO</t>
  </si>
  <si>
    <t>La explotación de carbón del Cerrejón, hace más vulnerable al covid a la comunidad Wayúu. Lo dicen los expertos de… https://t.co/jdCV4HC5qt</t>
  </si>
  <si>
    <t>RT @AquinoTicias1: Cuando te dicen que te debes quedar el silencio, que así te ves más bonito, sin polarizar y, si no copias, te meten un b…</t>
  </si>
  <si>
    <t>RT @LeonVaLenciaA: La novela que enfurecerá a Álvaro Uribe Via @Las2orillas https://t.co/Ko4YDDiZay</t>
  </si>
  <si>
    <t>Una vez sufrí el atentado contra mi vida en Cúcuta, que la fiscalía no investigó, en plena campaña presidencial, es… https://t.co/aJwO0zDUJu</t>
  </si>
  <si>
    <t>RT @laorejaroja: Lo que viene ocurriendo en el país hasta el momento, plantea diversas preocupaciones que debería llevarnos a un profundo d…</t>
  </si>
  <si>
    <t>Lo que no puede hacer la indignidad de duque , lo acaba de hacer el Papa Francisco. No recibirá a Pompeo hasta que… https://t.co/l5Db3Y0Psv</t>
  </si>
  <si>
    <t>Será que al retransmitir series, RCN y Caracol le vuelven a pagar a los actores? o será que ganan la plata gracias… https://t.co/Qq6GkjaUsb</t>
  </si>
  <si>
    <t>RT @FRaN_FeRRiZ: Mi humilde homenaje a un maestro. Gracias Quino. https://t.co/PdMmcnudex</t>
  </si>
  <si>
    <t>RT @charry_manager: Ayer cumplía #Mafalda56Años hoy se despide su padre... #Quino https://t.co/K25ouRv7YD</t>
  </si>
  <si>
    <t>RT @elsemblante: ¿Se acuerdan de esto? El día que @IvanDuque le huyó al debate con @petrogustavo y lo dejó plantado previo a las eleccion…</t>
  </si>
  <si>
    <t>RT @OrtizJulioCesar: @RamiroBejaranoG @IvanDuque @sicsuper @CConstitucional Lo mismo se debe preguntar sobre la medida cautelar del embargo…</t>
  </si>
  <si>
    <t>RT @AidaAvellaE: Con las mujeres de la bancada alternativa hemos hecho debates de control político que han evidenciado una violencia instit…</t>
  </si>
  <si>
    <t>El llamado protocolo de la protesta social, no es sino un método para romper los derechos fundamentales de la Const… https://t.co/CUM6Vn8TFn</t>
  </si>
  <si>
    <t>Cuando se demuestra que la policía asesinó ciudadanos indefensos en las manifestaciones, el gobierno decide que la… https://t.co/uO7zVuCASl</t>
  </si>
  <si>
    <t>RT @charry_manager: La Noche Sin Miedo Los jóvenes en la manifestación pacífica, autoconvocada, libre... https://t.co/iPRkgIpcT3</t>
  </si>
  <si>
    <t>RT @anateresabernal: Mi respuesta al Concejal @papoaminCD quien afirmó que Aguas Bogotá de la Bogotá Humana "fue la que ocasionó la crisis…</t>
  </si>
  <si>
    <t>RT @datasketch: #ElDatasetDelDia @Banrepcultural nos inspiró para subir la base de datos de las mujeres fusiladas durante el proceso de ind…</t>
  </si>
  <si>
    <t>Una magistrada del consejo superior de la judicatura, que no deberioa estar ejerciendo porque cumplio su madato, in… https://t.co/B8wsy7WT1Q</t>
  </si>
  <si>
    <t>RT @cancinodiegoa: Cómo es posible que algunos quieran justificar los actos de la Policía conociendo los 10.081 casos de violencia física y…</t>
  </si>
  <si>
    <t>RT @RiosVivosColom: 3. La situación de la montaña encementada está cada vez más grave, primero fue la humedad en toda la zona, creíamos que…</t>
  </si>
  <si>
    <t>RT @danieltapias: https://t.co/oDAZMkdzfw</t>
  </si>
  <si>
    <t>RT @petrogustavo: Cuando se demuestra que la policía asesinó ciudadanos indefensos en las manifestaciones, el gobierno decide que la acción…</t>
  </si>
  <si>
    <t>Elaboramos un protocolo en la Bogotá Humana para el comportamiento policial en la movilización social. Creo deberí… https://t.co/Q4V0nh3KF3</t>
  </si>
  <si>
    <t>La marcha de las mujeres hoy a las 10 a.m. será también de repudio a este atentado contra la ex senadora Piedad Cór… https://t.co/XDikFOo1BC</t>
  </si>
  <si>
    <t>¿Hay un nexo entre Fernando Londoño Hoyos y Luis Alberto Moreno, expresidente del BID? Si lo hay y profundo En m… https://t.co/WEXRetEKRj</t>
  </si>
  <si>
    <t>Superintendente de Industria mantuvo el embargo contra mis ingresos producto de la persecución que se me hizo por d… https://t.co/6he7bsd4xy</t>
  </si>
  <si>
    <t>RT @GenteEme: 35 años de la masacre de la leche en el sur oriente de Bogotá #SemanarioVoz: https://t.co/FjTdmBgdNW "El 30 de septiembre d…</t>
  </si>
  <si>
    <t>Los domiciliarios son trabajadores sobreexplotados. Las plataformas no pueden ocultar la realidad. Los trabajadore… https://t.co/YX5xryVO2C</t>
  </si>
  <si>
    <t>RT @petrogustavo: La marcha de las mujeres hoy a las 10 a.m. será también de repudio a este atentado contra la ex senadora Piedad Córdoba.…</t>
  </si>
  <si>
    <t>Llamenlo como es: privatización de la educación en Colombia. Lo que se necesitan no son bonos escolares para dejar… https://t.co/D6oxsaTRuN</t>
  </si>
  <si>
    <t>Es importante que en las reuniones donde un sector delmpartido verde llega para imponer vetos, Ivan Marulanda lo di… https://t.co/gMxxJjnhIF</t>
  </si>
  <si>
    <t>Esta pelicula de @NaomiAKlein necesita traducción al español. Es importante. Observela y analizela. https://t.co/O2rw0pATpt</t>
  </si>
  <si>
    <t>RT @SemanarioVOZ: El lunes 30 de septiembre de 1985 un comando del M-19, irrumpió la cotidianidad de la actual localidad de San Cristóbal,…</t>
  </si>
  <si>
    <t>RT @RodrigoDDHH: El comunicado de las AGC es una clara amenaza a la movilización y protesta social, las estigmatizaciones del gobierno gene…</t>
  </si>
  <si>
    <t>RT @JuvREBELDE: #Rueda de Prensa: La Juventud Rebelde desmiente las afirmaciones sobre su presunta vinculación a grupos armados y accionar…</t>
  </si>
  <si>
    <t>RT @Ivan_Velasquez_: "Investigar" y "someter a la justicia" a los delincuentes es tarea de la Fiscalía General, no de alcaldes, gobernadore…</t>
  </si>
  <si>
    <t>RT @AidaAvellaE: La movilización contra el abuso policial la encabeza las mujeres que no callamos ante la brutalidad, y no nos cansamos has…</t>
  </si>
  <si>
    <t>RT @HOLLMANMORRIS: La bancada Colombia Humana anuncia que presentará la moción de censura al sec seguridad, Hugo Acero, y moción de observa…</t>
  </si>
  <si>
    <t>RT @_KarenAV_: Gracias al @cabogadosa1 por la invitación a hacer la videocolumna, un análisis sobre la procedencia de la acción de repetici…</t>
  </si>
  <si>
    <t>RT @CarolinaCorcho: El daño más profundo que le hizo @agaviriau, no solo a la salud, sino al estado social de derecho. Fue haber concebido…</t>
  </si>
  <si>
    <t>Asesinado en Medellín profesor universitario y militante de Colombia Humana, Campo Elias Galindo. @CIDH… https://t.co/WNhHXdJbRi</t>
  </si>
  <si>
    <t>RT @AquinoTicias1: JUEPUTA, MATARON A CAMPO ELIAS EN SU CASA!!!! PARTE DE LA COORDINACIÓN DE LA @ColombiaHumana_ EN MEDELLÍN E INCANSABLE I…</t>
  </si>
  <si>
    <t>El caso de JJ y el Andrés Sepulveda, el hacker, de como la corrupción de Odebrecht y del narco llega a los principa… https://t.co/aYy53B6RCZ</t>
  </si>
  <si>
    <t>RT @Alexis__Rossi: El profesor Campo Elías era un estudioso y comprometido líder social, una de las personas más nobles que se podía conoce…</t>
  </si>
  <si>
    <t>RT @felipepalau: Con profundo dolor e indignación recibo noticia del asesinato del profesor Campo Elías Galindo. Académico riguroso y acti…</t>
  </si>
  <si>
    <t>Superintendente de industria, el mismo, que me embarga mis ingresos a nombre de Duque, plagió este mensaje equivoca… https://t.co/fUCAKMkXZz</t>
  </si>
  <si>
    <t>RT @JuventudAntioq1: Campo Elías Galindo dedicó su vida a la construcción de la paz y a la educación. Un maestro, un líder, un padre que ho…</t>
  </si>
  <si>
    <t>RT @charry_manager: Asesinaron al profesor y compañero Campo Elias de la @ColombiaHumana_, un asesinato brutal con las peores formar del te…</t>
  </si>
  <si>
    <t>El último trino de nuestro compañero Campo Elias Galindo, asesinado salvajemente en su apartamento por hombres que… https://t.co/LkX0CPz39x</t>
  </si>
  <si>
    <t>Investigación sobre el asesinato de Campo Elias como de los demás líderes debe ser investigado por comisión judicia… https://t.co/bdFeNIyC6J</t>
  </si>
  <si>
    <t>Terrible, y además, es un plagio. Plagiar a un ignorante. Paradoja, la entidad que dirige Barreto es la que tiene… https://t.co/gmk1K0rMy2</t>
  </si>
  <si>
    <t>Este es el análisis que Campo E Galindo hizo de Medellín, del Grupo Empresarial Antioqueño, GEA, y de la política d… https://t.co/I05d2x6cX6</t>
  </si>
  <si>
    <t>RT @DuqueHarol: Campo Elías Galindo, professeur universitaire et membre de la @ColombiaHumana_ a été assassiné Crée en 2018, la Colombia…</t>
  </si>
  <si>
    <t>RT @GSanchez2019: Luto en la docencia nacional. Ya son centenares los "casos aislados". Alumbran tiempos difíciles para la democracia. @ASC…</t>
  </si>
  <si>
    <t>RT @QuinteroCalle: Dolor por el asesinato en su casa del profesor y activista Campo Elias Galindo. Habrá justicia: Policía y Fiscalía traba…</t>
  </si>
  <si>
    <t>RT @petrogustavo: Este es el análisis que Campo E Galindo hizo de Medellín, del Grupo Empresarial Antioqueño, GEA, y de la política de blue…</t>
  </si>
  <si>
    <t>RT @lucianacadahia: Acaban de asesinar a Campo Elías Galindo, profesor universitario en Colombia, comprometido con el proceso de Paz y un d…</t>
  </si>
  <si>
    <t>RT @petrogustavo: Investigación sobre el asesinato de Campo Elias como de los demás líderes debe ser investigado por comisión judicial inde…</t>
  </si>
  <si>
    <t>RT @AbadColorado: Urgente, me preguntaba qué seguía en el país y aquí la respuesta: asesinado Campo Elías Galindo profe jubilado de @UNALOf…</t>
  </si>
  <si>
    <t>Tal para cual. Son construcciones mutuas, se necesitan mutuamente. son los heraldos de la muerte. El pueblo tiene… https://t.co/u8TkkJbThV</t>
  </si>
  <si>
    <t>RT @MonederoJC: ¿Dónde está la maldita comunidad internacional que grita tanto siempre contra los gobiernos de izquierda? Malditos hipócrit…</t>
  </si>
  <si>
    <t>RT @JMVivancoHRW: Colombia: Mi repudio por el homicidio del historiador Campo Elías Galindo en Medellín. Las autoridades deben garantizar…</t>
  </si>
  <si>
    <t>El cadaver de Campo Elias Galindo, estaba en su apartamento apuñaleado desde hace tres dias, tenia un libro que que… https://t.co/P1WHqsvL7Z</t>
  </si>
  <si>
    <t>RT @Tercer_Canal: #ResumenTC "Petro en este momento va en 33% en las encuestas y los demás van muy resagados. El presidente Duque tiene la…</t>
  </si>
  <si>
    <t>RT @Tercer_Canal: El Profesor Gilberto Tobón analiza el ataque de Trump y el uribismo al proceso de paz y a Petro https://t.co/3kFn6LXWzA</t>
  </si>
  <si>
    <t>RT @CarlosMorenoFr: #Colombie Terrible !!!! Un historien, un intellectuel reconnu par ses travaux assassiné ! La communauté internationale…</t>
  </si>
  <si>
    <t>RT @petrogustavo: El cadaver de Campo Elias Galindo, estaba en su apartamento apuñaleado desde hace tres dias, tenia un libro que quemaron…</t>
  </si>
  <si>
    <t>RT @CampoEGalindo: Los responsables de la tragedia financiera, social y humanitaria llamada Hidroituango, apoyados por el Centro Democrátic…</t>
  </si>
  <si>
    <t>RT @FelicianoValen: @IvanDuque #SeLeAdvirtio https://t.co/TyfVUxgLl9</t>
  </si>
  <si>
    <t>No hay minería del carbón responsable. El uso del carbón en los procesos tecnológicos de acumulación de capital tr… https://t.co/NktSSFlf1M</t>
  </si>
  <si>
    <t>Nuestro embajador fascista ante la OEA en plena campaña electoral. https://t.co/8clDZeKtzg</t>
  </si>
  <si>
    <t>RT @petrogustavo: No hay minería del carbón responsable. El uso del carbón en los procesos tecnológicos de acumulación de capital trae un…</t>
  </si>
  <si>
    <t>RT @elsemblante: Aquí les dejo algunos trinos recientes de Campo Elías Galindo contra Uribe y el GEA. Lo torturaron y lo mataron en Medellí…</t>
  </si>
  <si>
    <t>A quienes asusta más la movilización ciudadana que no genera muertos, que la represión policial, que si, es a quien… https://t.co/aVZGC9taRH</t>
  </si>
  <si>
    <t>El mensaje que dejaron los asesinos del profesor Galindo al quemarle un libro en el pecho es el mismo de las camisa… https://t.co/0NCV1wf2IV</t>
  </si>
  <si>
    <t>Asesinaron a un hombre que denunciaba el maridaje del GEA, Grupo Empresarial, con la clase política de Antioquia, p… https://t.co/rdHZ1GGRhX</t>
  </si>
  <si>
    <t>RT @manrodriguezcar: Inquisición criolla asesina al profesor e investigador Campo Elías Galindo quemando un libro sobre su pecho. Profecía…</t>
  </si>
  <si>
    <t>Colombia Humana exige la aplicación del protocolo de Minnesota y el nombramiento de una comisión judicial independi… https://t.co/Tv8aJc6MLF</t>
  </si>
  <si>
    <t>El 1% de la población mundial, la más rica, emite el doble de todas las emisiones de CO2 que produce la mitad de la… https://t.co/SMz8nReYZU</t>
  </si>
  <si>
    <t>RT @petrogustavo: Colombia Humana exige la aplicación del protocolo de Minnesota y el nombramiento de una comisión judicial independiente p…</t>
  </si>
  <si>
    <t>Porque tanto la propiedad de la producción como la del consumo están concentradas como nunca antes de la humanidad.… https://t.co/PBtc98TXud</t>
  </si>
  <si>
    <t>El Salvador de la humanidad eres tú y tus congéneres si actúan contra el cambio climático que implica cambiar el si… https://t.co/l739DdI9sM</t>
  </si>
  <si>
    <t>Veo que contestaste sin leer el artículo, algo que se observa mucho en personas sin argumentos. El artículo al que… https://t.co/THUgESa2zB</t>
  </si>
  <si>
    <t>Mmmmm, es la primera vez que leo a alguien que diga que la lucha contra el cambio climático es retrograda. La lucha… https://t.co/p0urSegNkL</t>
  </si>
  <si>
    <t>Los jefes el uribismo han desplegado el clima que usan los asesinos para disparar. Al profesor Galindo lo asesinan… https://t.co/D924QHZllR</t>
  </si>
  <si>
    <t>RT @LinaGarciaSi: Encuentren la diferencia en la respuesta de este sector del verde contra @QuinteroCalle ¿Después de esto lanza la candid…</t>
  </si>
  <si>
    <t>RT @melidardila: El presidente se disfraza de Policía, después de que la policía mató a Ordóñez, y 13 ciudadanos más. Ministro de Defens…</t>
  </si>
  <si>
    <t>Será cierto que el 34% de la población colombiana es de estrato 4, 5 y 6 como dice la muestra de la encuesta telefó… https://t.co/1xUMPPJ7vz</t>
  </si>
  <si>
    <t>Aunque no es una encuesta de intención de voto, mide la magnitud de búsquedas en Internet para Juan Manuel Galán, e… https://t.co/Cu3kiS2YO2</t>
  </si>
  <si>
    <t>Cualquiera que sea el resultado, positivo o negativo de la fase III de la vacuna rusa, en Venezuela debe ser observ… https://t.co/aaH0sgzzLo</t>
  </si>
  <si>
    <t>RT @petrogustavo: Aunque no es una encuesta de intención de voto, mide la magnitud de búsquedas en Internet para Juan Manuel Galán, en verd…</t>
  </si>
  <si>
    <t>Esta es la búsqueda en internet hecha por la población colombiana en los últimos 90 días por Sergio Fajardo, en roj… https://t.co/oBVKkLk6pl</t>
  </si>
  <si>
    <t>En este momento me reúno con la Colombia Humana del Magdalena.</t>
  </si>
  <si>
    <t>Hoy a las once en el cementerio Campos de La Paz en Medellín. Sepelio de CAMPO Elias Galindo, profesor asesinado y… https://t.co/DsFWCrAMj8</t>
  </si>
  <si>
    <t>Cuando millones de colombianos votaron porque era mejor seguir con la guerra y sus masacres que abrir el camino de… https://t.co/kNb4OUayqe</t>
  </si>
  <si>
    <t>RT @KirkReportero: LA EVIDENCIA...!!! Carabinero lanza al río Mapocho a Anthony, adolescente de 16 años. https://t.co/HTc1MOvip4</t>
  </si>
  <si>
    <t>RT @ColBolivariana: Todo lo que es Colombia resumida en dos imágenes. https://t.co/IOOdmpWvSQ</t>
  </si>
  <si>
    <t>Cuatro años después del NO, no fue posible parar la matanza entre colombianos. Solo una paz grande hoy podría hace… https://t.co/dDuuGkmrga</t>
  </si>
  <si>
    <t>El Centro Democrático quiere silenciar el pensamiento del profesor Campo E Galindo. A Antioquia la.ha dirigido la… https://t.co/EJZfg1LN7B</t>
  </si>
  <si>
    <t>La corrupción en la construcción del tanque de agua elevado más grande del mundo. El intocable Alexander Char y la… https://t.co/kSOXOSa1r2</t>
  </si>
  <si>
    <t>Usted ministro ha demostrado para.que sirvieron los votos del NO: Para dejar matar un pueblo indefenso. El Consejo… https://t.co/fI345YgzkV</t>
  </si>
  <si>
    <t>Un triunfo del pueblo santandereano. No habrá minería de Minesa en Santurbán. El agua es más valiosa que el oro.</t>
  </si>
  <si>
    <t>Las Farc asesinaron a Alvaro Gómez Hurtado. Mataron a la derecha republicana para que accediera al poder la derecha antidemocrática.</t>
  </si>
  <si>
    <t>La encuesta de Vicky https://t.co/1wO9xUK0wP</t>
  </si>
  <si>
    <t>RT @manelmarquez: El joven que fue tirado al río Mapocho por los #carabinerosdechile #Chile en las protestas contra el régimen neoliberal d…</t>
  </si>
  <si>
    <t>A este joven la policia de carabineros de Chile lo arrojó del puente, durante una manifestación https://t.co/PHYnnZKNXw</t>
  </si>
  <si>
    <t>RT @petrogustavo: La encuesta de Vicky</t>
  </si>
  <si>
    <t>He querido como homenaje a Campo E Galindo, profesor y activista de la Colombia Humana asesinado en Medellín, repro… https://t.co/pyqUYSYSLn</t>
  </si>
  <si>
    <t>RT @GustavoBolivar: Mi columna de hoy, “revivamos a Campo Elías” es un homenaje a los más de 800 líderes sociales asesinados en Colombia de…</t>
  </si>
  <si>
    <t>Entre más bicicarriles tengan las ciudades más humanas son. Las calles no son solo para los carros. La democratizac… https://t.co/e5pIyOSVsu</t>
  </si>
  <si>
    <t>RT @josecaricatura: Fajardo y Fico salpicados por Hidroituango. Fajardo: Cambió el diseño del 3 túnel que se destruyó. Fico Gutiérrez: Ocul…</t>
  </si>
  <si>
    <t>El Papa Francisco dice que el libre mercado y la política de goteo para superar la pobreza le falla al conjunto de… https://t.co/kpKDxySUyk</t>
  </si>
  <si>
    <t>De la lista de asesinados entregada por las FARC a la JEP, tres tuvieron un vínculo conmigo: 1. Chucho Bejarano,… https://t.co/QkaPHRO2WC</t>
  </si>
  <si>
    <t>RT @0128Guztavo: Los partidarios de Trump en EEUU, son los Uribistas acá en Colombia. ¿Por que tanta violencia? https://t.co/H4qvmui8Kl</t>
  </si>
  <si>
    <t>Un país que decide darle 1.4 billones a una empresa en quiebra como Avianca y reduce los.recursos para atender a su… https://t.co/FZI6PyPh9C</t>
  </si>
  <si>
    <t>RT @petrogustavo: De la lista de asesinados entregada por las FARC a la JEP, tres tuvieron un vínculo conmigo: 1. Chucho Bejarano, mi pro…</t>
  </si>
  <si>
    <t>Puedes tener la seguridad que jamás le daría un préstamo de 1.4 billones del erario a Avianca, y puede mirar las ci… https://t.co/wce7tFSbUK</t>
  </si>
  <si>
    <t>Una cosa es que la empresa privada pague sus impuestos y con ellos se haga el gasto social que necesita el país y o… https://t.co/zDjCynmhsZ</t>
  </si>
  <si>
    <t>RT @petrogustavo: He querido como homenaje a Campo E Galindo, profesor y activista de la Colombia Humana asesinado en Medellín, reproducir…</t>
  </si>
  <si>
    <t>RT @charry_manager: Que la vida nos libre de este tipo y si gente... https://t.co/A4kwdpoiOt</t>
  </si>
  <si>
    <t>La encíclica " Hermanos todos" después de " La Casa Comun" es una pieza de análisis político y social desde el cris… https://t.co/TmsRjDkopG</t>
  </si>
  <si>
    <t>RT @el_pais: “La verdad para el fascismo es una verdad absoluta, no demostrable, entendida como una cuestión de fe, una verdad que emana de…</t>
  </si>
  <si>
    <t>RT @AndresCamiloHR: #OFICIAL "Mataron a la derecha republicana para que accediera al poder la derecha antidemocrática" Declaraciones del Se…</t>
  </si>
  <si>
    <t>RT @HOLLMANMORRIS: “Liquidar a sangre y fuego a la oposición, en esa tarea están” Dice el profesor Gilberto Tobon @tobonsanin a proposito…</t>
  </si>
  <si>
    <t>RT @petrogustavo: La encíclica " Hermanos todos" después de " La Casa Comun" es una pieza de análisis político y social desde el cristianis…</t>
  </si>
  <si>
    <t>A las siete de la noche por este medio los espero para comentar nuestras columnas. Hoy estaremos con Matador. https://t.co/XJqmUUVvxy</t>
  </si>
  <si>
    <t>Estoy en vivo con @gustavobolivar leyendo las columanas, hoy nos acompaña el caricaturista @matador000. https://t.co/Jb96JGW5fU</t>
  </si>
  <si>
    <t>RT @AndresCamiloHR: ... https://t.co/xg5n4dqZbM</t>
  </si>
  <si>
    <t>RT @paosalazarss: #YoHace4Años no podía creer que hubiera gente que se creyó el cuento de que votar SI a la paz, nos iba a convertir en Ven…</t>
  </si>
  <si>
    <t>RT @GboRosero: Hoy 14 días después del disparo por parte de ⁦@PoliciaColombia⁩ tuve mi primera cirugía en el ojo, el procedimiento no tuvo…</t>
  </si>
  <si>
    <t>RT @GboRosero: Hoy me dieron de alta del Hospital U Valle. las historias que me encontré en este centro, representan una generación cansada…</t>
  </si>
  <si>
    <t>Confiesan los protagonistas del delito en contra de si mismos que han pagado sobornos a Alex Char y que han comprad… https://t.co/mYHwlCGL2c</t>
  </si>
  <si>
    <t>Recuerdan cuando tantos ciudadanos de clase media bogotana rechazaban el que se priorizará en la atención pública a… https://t.co/YdIajEhd5r</t>
  </si>
  <si>
    <t>RT @DanielRMed: A propósito del debate sobre la desigualdad suscitado en redes: Los “Economistas Peñalosa” https://t.co/Vda34ryfvl</t>
  </si>
  <si>
    <t>Miren como el congresista y el informe de RCN busca lo mismo: demoler el edificio central del San Juan de Dios y re… https://t.co/fpU9ftG9PO</t>
  </si>
  <si>
    <t>Cuando RCN dice que por no tener sismorresistencia el San Juan debe ser demolido, miente. Para eso existe el refo… https://t.co/EvGTI66FzP</t>
  </si>
  <si>
    <t>Cuando RCN dice que el edificio central quedó como conservación contextual y puede ser demolido, miente. El estudi… https://t.co/sCBrvBL7ij</t>
  </si>
  <si>
    <t>Ese paso de nivel 2 a niveln3, para buscar su demolición, no fue propuesto por expertos, sino delictivamente hecho… https://t.co/xdaV5elJKK</t>
  </si>
  <si>
    <t>En la defensa del contrato de Copasa, la sobornadora del rey Juan Carlos de borbón, RCN oculta que: El contrato C… https://t.co/ZJuaLBJcSX</t>
  </si>
  <si>
    <t>No se que le enseñarán ahora a estos economistas. Han confundido ciencia con ideología. La.busqueda científica de… https://t.co/qm7tb6HNi9</t>
  </si>
  <si>
    <t>RT @petrogustavo: Miren como el congresista y el informe de RCN busca lo mismo: demoler el edificio central del San Juan de Dios y reemplaz…</t>
  </si>
  <si>
    <t>Señor congresista porque su informe dice que no se puede usar el actual San Juan de Dios, para darle respaldo a la… https://t.co/brQdfqaI9x</t>
  </si>
  <si>
    <t>Senador Sanguino ud conforma una comisión de políticos y empresarios para sacar adelante el leonino contrato de Cop… https://t.co/hKF68yVu86</t>
  </si>
  <si>
    <t>Que tal ponen de expertos a los congresistas del centro democrático cambio radical y al señor Pinzón Bueno del grup… https://t.co/XNcRcds6qk</t>
  </si>
  <si>
    <t>RT @DanielRMed: Una vez más, uribismo, verdes y cambio radical unidos por el beneficio corporativo! La corrupta Copasa, celebra</t>
  </si>
  <si>
    <t>RT @bogotamuyfirme: El Senador @AntonioSanguino es experto en conseguir puestos y llenarse de burocracia, pero llamarlo “experto” en arquit…</t>
  </si>
  <si>
    <t>Mataron a su hijo y ahora la matan a ella, su delito: ser líder indígena Awa. El Duque impasible ante el crimen se… https://t.co/li2tOABQtp</t>
  </si>
  <si>
    <t>Los tres países con más alto grado de violación de derechos humanos en América: Colombia, Chile y Venezuela. https://t.co/MjWbeHeC7a</t>
  </si>
  <si>
    <t>Conconcreto sobre la que recae investigación por responsabilidad fiscal por el desastre de Hidroituango, hará las a… https://t.co/rugO7dGiOX</t>
  </si>
  <si>
    <t>RT @susanamuhamad: Senador @AntonioSanguino ilustre comisión de patrimonialistas. Revisaron también el contrato de Copasa? Esperando el inf…</t>
  </si>
  <si>
    <t>Este es un interesante análisis desde el pesimismo de la razón sobre las perspectivas electorales del progresismo… https://t.co/bh1vPGiQBY</t>
  </si>
  <si>
    <t>RT @AndresCamiloHR: ¿Como pretenden destruir un patrimonio sin permisos? ¿señores "expertos" van ustedes en contra de la misma Ley? El min…</t>
  </si>
  <si>
    <t>RT @AndresCamiloHR: Para ilustrar a los "expertos" este es el mapa de obras de las cuales en España se investiga a dos firmas COPASA y CORS…</t>
  </si>
  <si>
    <t>RT @AndresCamiloHR: Sin ir más lejos "Expertos" en Mexico, AMLO debió sacar las empresas españolas entre ellas COPASA, por saquear al país.…</t>
  </si>
  <si>
    <t>Al contrario, pienso que Piedad Córdoba fue utilizada por las Farc, que por su amor a sacar adelante la posibilidad… https://t.co/VYwwKEcfLy</t>
  </si>
  <si>
    <t>RT @DonIzquierdo_: Me tomé el tiempo y la labor de hacer esto. En 2:16 les muestro las caras de todos los corruptos Senadores que dijeron S…</t>
  </si>
  <si>
    <t>RT @juanduquega: Abro hilo de lo que presuntamente es un pago de favores a través de contratos en alcaldía de @Bogota: 1. Entregan contrat…</t>
  </si>
  <si>
    <t>RT @petrogustavo: Al contrario, pienso que Piedad Córdoba fue utilizada por las Farc, que por su amor a sacar adelante la posibilidad de la…</t>
  </si>
  <si>
    <t>RT @GustavoBolivar: Acabo de denunciar ante la @CIDH este montaje judicial. En las carpetas secretas existe una que se llama: Caso especial…</t>
  </si>
  <si>
    <t>El ataque de Trump contra mi en la Florida se parece a un tiro por la culata. Eso pasa por tener asesores uribistas… https://t.co/26CRhXTv0F</t>
  </si>
  <si>
    <t>RT @MajoDoria: . @ClaudiaLopez ¿En serio es más importante quedar bien con su partido que ser honesta con el pueblo? Como es posible que…</t>
  </si>
  <si>
    <t>RT @DanielRMed: Se les cayó el internet a las juventudes Claudillistas. El favorecimiento con recursos públicos a corporaciones corruptas…</t>
  </si>
  <si>
    <t>El representante del Estado Colombiano ante procesos de la CIDH, es ni más ni menos, quien la CIDH y el Consejo de… https://t.co/WIoDuq7C94</t>
  </si>
  <si>
    <t>RT @bogotamuyfirme: El MOIR que durante años criticó a Peñalosa por darle contratos a CONCONCRETO, hoy guarda silencio cuando tan sólo en 1…</t>
  </si>
  <si>
    <t>RT @SenorCaicedo: Así es que nos gobiernan y hay gente que cree que esto es una democracia. #ElSobornoChar https://t.co/uVHjoA84UF</t>
  </si>
  <si>
    <t>RT @petrogustavo: Confiesan los protagonistas del delito en contra de si mismos que han pagado sobornos a Alex Char y que han comprado voto…</t>
  </si>
  <si>
    <t>Una especie de amenaza. https://t.co/DMCbJrL9bH</t>
  </si>
  <si>
    <t>Las pruebas del pago de sobornos a Char por la construcción del tanque de agua más grande del mundo. https://t.co/7NlXxD6WLk</t>
  </si>
  <si>
    <t>A las cinco de esta tarde nos encontramos con la Colombia Humana del eje cafetero. https://t.co/h25yhDVZnc</t>
  </si>
  <si>
    <t>RT @petrogustavo: Las pruebas del pago de sobornos a Char por la construcción del tanque de agua más grande del mundo. https://t.co/7NlXxD…</t>
  </si>
  <si>
    <t>RT @petrogustavo: Una especie de amenaza. https://t.co/DMCbJrL9bH</t>
  </si>
  <si>
    <t>RT @ernesto_prado: Álvaro Uribe desiste de la acción penal instaurada contra Petro, por desacato al fallo de tutela que le ordenó a Petro r…</t>
  </si>
  <si>
    <t>Si la ALO desde el sur pasa de la calle 13, entonces se destruirán todos los humedales de la ciudad. https://t.co/Qg7cxoqlXS</t>
  </si>
  <si>
    <t>RT @evoespueblo: No existen milagros económicos. Son las políticas, planes y proyectos comprometidos con los intereses nacionales los que t…</t>
  </si>
  <si>
    <t>RT @mariapa05527055: Paloma Valencia le dice a Petro que nunca será presidente, esperemos que no tenga razón este país no aguanta más en ma…</t>
  </si>
  <si>
    <t>Las Farc nunca entendieron el proceso constituyente del 91, por él se nos calificó de traidores; eso los llevó en 1… https://t.co/aJTrv41ZFY</t>
  </si>
  <si>
    <t>RT @ma_eugeniam: Jhon Ruskin les demostraría a Verdes y Cambio Radical que la ruina está por encima del inculto remedo de plan que improvis…</t>
  </si>
  <si>
    <t>RT @HOLLMANMORRIS: “Qué bonito que la comunidad también se disculpara con el país” Dice el nuevo Ministro de Justicia , cuando le pregunt…</t>
  </si>
  <si>
    <t>Recuerdo que Antonio Navarro tambien hubo información de un plan de las FARC para asesinar a Antonio Navarro. El p… https://t.co/bmvRtLr30g</t>
  </si>
  <si>
    <t>Sin el bloque soviético, desaparecido en 1993 y sin la mayor parte de la guerrilla que hizo la paz en 1990, las FAR… https://t.co/c2RfN2Enlm</t>
  </si>
  <si>
    <t>Tres fases al menos tiene esa larga historia de las FARC, según mi teoría de la cebolla: 1. La fase del sectarismo… https://t.co/U7SnLHJvUs</t>
  </si>
  <si>
    <t>RT @petrogustavo: Las Farc nunca entendieron el proceso constituyente del 91, por él se nos calificó de traidores; eso los llevó en 1993 a…</t>
  </si>
  <si>
    <t>RT @HOLLMANMORRIS: Hoy en el @Tercer_Canal revelamos fotos del entorno de Pablo Escobar con el presidente Iván Duque y con el ex presidente…</t>
  </si>
  <si>
    <t>El gobierno no está recuperando la economía, solo aplica un recetario fracasado en todo el mundo. Estamos en reces… https://t.co/upauMoVWiY</t>
  </si>
  <si>
    <t>Suspender los negocios de los sectores económicos vinculados con la masacre en Colombia en Europa. La aplicación d… https://t.co/d7NE2IOotg</t>
  </si>
  <si>
    <t>Mi pelea es contra la injusticia social, contra la violencia y la masacre, contra una política sometida a las mafia… https://t.co/Zj3xFBnANW</t>
  </si>
  <si>
    <t>RT @petrogustavo: Suspender los negocios de los sectores económicos vinculados con la masacre en Colombia en Europa. La aplicación de la c…</t>
  </si>
  <si>
    <t>Álvaro Uribe Vélez, desiste de su acción penal contra mi. https://t.co/wMlgGarAcn</t>
  </si>
  <si>
    <t>Abrimos la oficina del Congreso. Ahora iremos presencialmente al debate sobre Santurban y la defensa de su agua. https://t.co/7vXqNhUY1l</t>
  </si>
  <si>
    <t>RT @juanduquega: La administración de @ClaudiaLopez metió un elefante blanco a @Bogota. https://t.co/qBxg9wnVGR</t>
  </si>
  <si>
    <t>RT @nicolaspetroB: Hay denuncias que enlodan a Alex Char con actos de corrupción, pero para Vicky el debate debe ser las “peleas” de Petro.…</t>
  </si>
  <si>
    <t>RT @cielo_rusinque: 136 eurodiputados votaron el día de hoy la enmienda que solicitaba la aplicación de la Cláusula Democrática y de DDHH a…</t>
  </si>
  <si>
    <t>Se propaga el virus, porque la alcaldía no fue capaz de implementar el sistema de salud preventiva que se propuso.… https://t.co/WGaMqEfTiq</t>
  </si>
  <si>
    <t>RT @CarolinaCorcho: Alcaldesa, ni ud ni @ivanduque garantizaron a la población de la ciudad unas mínimas condiciones de ingreso, alimentos…</t>
  </si>
  <si>
    <t>Después de 12 horas de debate en donde la mayoría de congresistas en sus discursos dijeron estar a favor de la susp… https://t.co/W3vRxlqAPG</t>
  </si>
  <si>
    <t>RT @ricardobonillag: Matemática no perdona, casos probados requieren prueba, a los cuántos días primeros síntomas se la hacen?, a los cuánt…</t>
  </si>
  <si>
    <t>Hay quien considera que el fascismo es una opinion politica más que debe ser tolerada como las demás Europa aprend… https://t.co/LzsWVrHQnP</t>
  </si>
  <si>
    <t>En Ucrania estalla una huelga con cientos de mineros que se quedan en los tuneles subterraneos desatando solidarid… https://t.co/Dmea59I8FN</t>
  </si>
  <si>
    <t>La policia de Barranquilla intimidando a quien ha denunciado a Char por recibir sobornos. Solicitaría a la ciudada… https://t.co/xGFHA6A8w0</t>
  </si>
  <si>
    <t>Según Nueva Prensa, Uribe tenía lista, a través del abogado Cadena, una red de narcos para declarar contra Samper y… https://t.co/S0i0748Lle</t>
  </si>
  <si>
    <t>Este es un resumen del gobierno de Duque. Esto es Duque Un Estado policiaco en donde hay que destruir todo los q… https://t.co/p8N3Wlslq7</t>
  </si>
  <si>
    <t>Hay dos grandes grupos de poder de facto en Bogotá, nunca han sido elegidos pero tratan de manejar los gobiernos lo… https://t.co/l6FUW67piy</t>
  </si>
  <si>
    <t>Me apareció un pariente en los servicios secretos de Trump. https://t.co/pS6Od8GLYq</t>
  </si>
  <si>
    <t>Esta es la realidad de Barranquilla. Deslumbrada por la especulación inmobiliaria del norte se le olvidó que la may… https://t.co/zyBM4dq9HS</t>
  </si>
  <si>
    <t>La policia no ha presentado ante la justicia los miembros de lan institución que dispararon con alevosía contra la… https://t.co/SszqNaIOFp</t>
  </si>
  <si>
    <t>RT @petrogustavo: Después de 12 horas de debate en donde la mayoría de congresistas en sus discursos dijeron estar a favor de la suspensión…</t>
  </si>
  <si>
    <t>Héctor Amaris, el "oso yogui" es la persona a la que se acusa de recibir los sobornos de Alex Char. El cartel de l… https://t.co/dbE7hiukcI</t>
  </si>
  <si>
    <t>Héctor Amaris Rodríguez se conoce como el " hombre del maletín" recibe todos los sobronos que van a Char. Vincula… https://t.co/CVPDh1gtUC</t>
  </si>
  <si>
    <t>RT @veronicagilf: ¿Por qué en 'La Pulla' nunca le tiran a Fajardo? Via @Las2orillas https://t.co/H3LGGrQdkB</t>
  </si>
  <si>
    <t>RT @redepazant: Una triste noticia apareció sin Vida Christian Montiel, estaba desaparecido desde el 20 de septiembre en @BarbosAntioquia u…</t>
  </si>
  <si>
    <t>Ojo. NO dejarse confundir. Prohibir la minería en los páramos pero dejar que los páramos los delimite el gobierno e… https://t.co/uaTbwtezQL</t>
  </si>
  <si>
    <t>Este era el proyecto para la séptima de la Bogotá Humana que llegó a etapa de factibilidad, a pesar de ser negado p… https://t.co/mhdJ20zc3y</t>
  </si>
  <si>
    <t>RT @petrogustavo: Héctor Amaris, el "oso yogui" es la persona a la que se acusa de recibir los sobornos de Alex Char. El cartel de la cont…</t>
  </si>
  <si>
    <t>Así festeja el pueblo griego, cuando la justicia sentencia a Amanecer Dorado como lo que son: fascistas. Es el pue… https://t.co/QRTzAYIfsj</t>
  </si>
  <si>
    <t>RT @EerazoFeer: Convencí a más 500 personas para que votarán por una representante a la cámara en el valle del cauca,me prometieron un míni…</t>
  </si>
  <si>
    <t>Si la sociedad de los EEUU no es capaz de profundizar su democracia, aparecerá una guerra civil que se viene larvan… https://t.co/NQ4Ju6uVf8</t>
  </si>
  <si>
    <t>RT @ABC_NOTICIERO: #MocionDeCensura De sabotaje califican la música puesta en la intervención de congresistas de la oposición | Así como se…</t>
  </si>
  <si>
    <t>Como la ven. Lo cierto es que esos gobiernos en la época de Gaitán, mataron al pueblo gaitanista. https://t.co/9JZrcHIaZA</t>
  </si>
  <si>
    <t>El asesinato de estos combatientes de las farc, que fueron los que mataron a Álvaro Gómez, no solo nos muestra la t… https://t.co/q25KkI4sUH</t>
  </si>
  <si>
    <t>RT @CarlosCarrilloA: Lamentable que una alcaldesa coavalada por el @PoloDemocratico relativice el derecho a la protesta, los que condujeron…</t>
  </si>
  <si>
    <t>RT @JUANCAELBROKY: ¿Alcaldía de Bogotá paga favores a financiadores de campaña de concejales y congresistas del Partido Verde? A la constr…</t>
  </si>
  <si>
    <t>Uribe es el Laureano de la economía cocalera y minera. La historia de una sociedad que reemplazó a Juan Valdez por… https://t.co/2GGFdwOOkz</t>
  </si>
  <si>
    <t>RT @jcuestanovoa: Sin ningún rubor, reconstruyen la historia por decreto. Tal como lo prescribe el ministerio de la verdad. https://t.co/aG…</t>
  </si>
  <si>
    <t>RT @HELIODOPTERO: La confesión de las FARC sobre el asesinato de Gómez Hurtado desbarató uno de los montajes judiciales más grande de la hi…</t>
  </si>
  <si>
    <t>RT @ColombianoInd: En intervención de congresista de oposición contra Mindefensa, pusieron música electrónica en Canal del Congreso https:/…</t>
  </si>
  <si>
    <t>Queda comprobado por fallo judicial que el ministro de defensa ha desacatado a la justicia colombiana. Se profundi… https://t.co/nXarhz7FYg</t>
  </si>
  <si>
    <t>RT @wilsonariasc: A lo Pilatos lavándose las manos: el Centro Democrático, el Partido Conservador y sus aliados, negaron el Subsidio a la n…</t>
  </si>
  <si>
    <t>RT @cielo_rusinque: Aquí un análisis exhaustivo que hizo el día de hoy el periódico Le Parisien sobre la grave situación de violencia en C…</t>
  </si>
  <si>
    <t>RT @AndresCamiloHR: #OFICIAL Hoy a las 3:00 P.M. (Hora Colombia) El senador @petrogustavo estará dialogando con @evoespueblo en la presenta…</t>
  </si>
  <si>
    <t>RT @ColombiaHumana_: Esta fue la carta radicada por las mujeres de @ColombiaHumana_ frente a la @ONU_es denunciando la sistemática violacio…</t>
  </si>
  <si>
    <t>Cientos de miles de ciudadanos en Indonesia, estudiantes y trabajadores se levantan contra el régimen y exigen acab… https://t.co/bimzKhuHAH</t>
  </si>
  <si>
    <t>Colombia solo supera a Perú en toda Latinoamérica en calidad de vida. Las condiciones laborales se han deteriorado… https://t.co/VPAWp9dV4D</t>
  </si>
  <si>
    <t>RT @Contravia: #Colombia #Narcos Reveladora foto de @AlvaroUribeVel en apretado y fraternal abrazo con la Prima hermana de #PabloEscobar Li…</t>
  </si>
  <si>
    <t>Persiguen en Colombia a la familia de nuestro militante de Colombia Humana Gener Usuga, exiliado. Es evidente que… https://t.co/ch7g03o5KA</t>
  </si>
  <si>
    <t>Lo que pide aquí Duque es que se acabe todo proceso de paz. El inicio de las FARC hace décadas se debe a que no dej… https://t.co/YIckRwXWQB</t>
  </si>
  <si>
    <t>La.aperrura de un gobierno Biden/Harris al tema de la prohibición de la droga y su posible despenalización acabaría… https://t.co/2AVBZODAxg</t>
  </si>
  <si>
    <t>Valiente la actitud de defensa del agua del alcalde de Bucaramanga. Hora de desatar la movilización nacional por e… https://t.co/s2bFtm8UZ4</t>
  </si>
  <si>
    <t>El mensaje desatendido por Duque, entre más esfuerzo se haga en controlar y detener la pandemia, más mejorará la ec… https://t.co/fXOnKzB0EC</t>
  </si>
  <si>
    <t>Trump repite lo que hizo Duque co la complicidad de la prensa tradicional. Sabotear el debate para que la ciudadan… https://t.co/XCVMOh6YKn</t>
  </si>
  <si>
    <t>Colombia tendrá que ser reconstruida por el próximo gobierno La entregarán en ruinas y masacrada Ayudar a la fami… https://t.co/XKePkptjQr</t>
  </si>
  <si>
    <t>Duque esta afirmando aquí que el tribunal de justicia de carácter constitucional llamado JEP no garantiza la verdad… https://t.co/ggJ2lvxUjS</t>
  </si>
  <si>
    <t>Con ayuda de narcotraficantes en Miami y su abogado Cadena, Uribe esperaba hacer un canje, este si no humanitario:… https://t.co/n6xwCCPD0y</t>
  </si>
  <si>
    <t>Se les olvida mencionar que hemos tenido magnicidas en la presidencia. https://t.co/3N27RF46oH</t>
  </si>
  <si>
    <t>RT @petrogustavo: Colombia tendrá que ser reconstruida por el próximo gobierno La entregarán en ruinas y masacrada Ayudar a la familia co…</t>
  </si>
  <si>
    <t>En este momento presento el libro de Evo Morales, con su presencia: Volveremos. https://t.co/Ppi5l2qWgO</t>
  </si>
  <si>
    <t>Hasta el FMI aprendió lo que Duque rechaza, había que lanzarse con toda a controlar y detener la enfermedad para sa… https://t.co/D9nuxA8HuT</t>
  </si>
  <si>
    <t>RT @atilioboron: ¿Saben por qué MADURO está tan tranquilo ante el proceso electoral del 6D, por qué quiere que vengan todos las misiones el…</t>
  </si>
  <si>
    <t>RT @JulianFMartinez: Ya en @lanuevaprensaco #LaVerdadSeaDicha @AlvaroUribeVel desvió investigación de Álvaro Gómez Hurtado para ayudar a…</t>
  </si>
  <si>
    <t>RT @MoisesAlvaro_: ¿Qué es el ESMAD? Esto es el ESMAD: un escuadrón de uribistas con uniforme, por ende anticolombiano. Imágenes tomadas d…</t>
  </si>
  <si>
    <t>Esta es mi intervención en el senado sobre el asesinato de Álvaro Gómez y las Farc Parte II https://t.co/SyAyzKN7ho</t>
  </si>
  <si>
    <t>Esta es mi intervención en el senado sobre el asesinato de Álvaro Gómez y las Farc parte I https://t.co/bU7gvE9Ptu</t>
  </si>
  <si>
    <t>La actuación del fiscal en el caso de Uribe, fue contrario a la de su función constitucional, reemplazó al defensor… https://t.co/EmXrg85tnn</t>
  </si>
  <si>
    <t>RT @Contravia: #Colombia #Narcos La foto de la Ex Cuñada de #PabloEscobar que fuera compañera de Roberto Escobar alias “El Osito”, Claudia…</t>
  </si>
  <si>
    <t>RT @HOLLMANMORRIS: Escucho al concejero Rafael Guarín decir ahora en radio: “Vandalizar CAIS no es protesta , intentar quemar policías no…</t>
  </si>
  <si>
    <t>RT @ColombiaHumana_: La empresa que asesoró de forma errada a Hidroituango es De La Espriella Lawyers Enterprise SAS que, por sus recomenda…</t>
  </si>
  <si>
    <t>La ortografía de quienes amenazan a esta persona, por su pensamiento libre, muestra la enorme esclavitud a la ignor… https://t.co/KNqvifC0lg</t>
  </si>
  <si>
    <t>RT @SaraTufanoZ: La narrativa de la polarización despolitiza el debate y oculta los procesos políticos que ocurren en Colombia y en otros p…</t>
  </si>
  <si>
    <t>El daño que Duque le ha hecho a la justicia es enorme. Ha decidido desacatar y destruir la justicia como una causa… https://t.co/NEJ3dJZ8dk</t>
  </si>
  <si>
    <t>Cuando las mayorías gobiernistas del Congreso: Duque, Vargas Lleras y Char, voten en contra de la moción de censura… https://t.co/Fpzm8F9jaq</t>
  </si>
  <si>
    <t>Aquellos que dicen ubicarse en el centro de dos extremos en Colombia, están es permitiendo el tránsito de la derech… https://t.co/NnlVQJK5qv</t>
  </si>
  <si>
    <t>La fiscalia y la Procuraduría consideran que la Corte se equivocó al pensar que Uribe en libertad podía presionar e… https://t.co/OOQBZOawD6</t>
  </si>
  <si>
    <t>RT @CarlosFajardila: ¿Qué tienen los hijos de Monsalve que no tengan los hijos de @VickyDavilaH o de @IvanDuque? ¿Por qué la mención o el u…</t>
  </si>
  <si>
    <t>Entre el 2016 y el 2019 se desplomó la calidad educativa en los colegios del país. Hoy solo el 18% de los estudian… https://t.co/VhABRlgoIE</t>
  </si>
  <si>
    <t>Le propusimos al país en el 2018 construir una sociedad del conocimiento como base de una sociedad productiva, pros… https://t.co/SGzXoKCBlm</t>
  </si>
  <si>
    <t>RT @LauRobles: "No pueden seguir considerando extremista a quien lucha por preservar el acuerdo de paz y la democracia": @SaraTufanoZ. No…</t>
  </si>
  <si>
    <t>RT @petrogustavo: Aquellos que dicen ubicarse en el centro de dos extremos en Colombia, están es permitiendo el tránsito de la derecha gobe…</t>
  </si>
  <si>
    <t>En Colombia se ha decidido reemplazar las pruebas PCR para covid, costosas pero más seguras, por lo que aconsejó Tr… https://t.co/PjaVU8yhFk</t>
  </si>
  <si>
    <t>El Senado no es para la representacion territorial sino para la representación nacional; la cámara sí lo es, y por… https://t.co/lld8UQBcCp</t>
  </si>
  <si>
    <t>Los buses a gas natural que Peñalosa permitió comprar no son amigables con el medio ambiente, provocan, como los di… https://t.co/SFVpl1Kvb2</t>
  </si>
  <si>
    <t>RT @ismene2: Ve,en octubre de 2006 fue operado de cataratas por médicos cubanos, en hospital de Santa Cruz inaugurado por @evoespueblo, el…</t>
  </si>
  <si>
    <t>RT @HassNassar: Jajajaja me lo acaban de mandar: "el país donde el fiscal defiende a los delincuentes". Realismo trágico.</t>
  </si>
  <si>
    <t>Miren la estupidez que escribió un pastor puertorriqueño sobre la marcha pasada y el bastón que llevo en las manos,… https://t.co/UNyGQ0Hylf</t>
  </si>
  <si>
    <t>Hay quien defiende la politica de salud de Bogotá frente a la pandemia. Es un fracaso. Decidieron poner la pandem… https://t.co/8pUP3Gpzuh</t>
  </si>
  <si>
    <t>Le solicito a todo el.progresismo norteamericano y los nodos de Colombia Humana en EEUU, detener este intento de am… https://t.co/TO20azKbjE</t>
  </si>
  <si>
    <t>RT @AndresCamiloHR: ... https://t.co/5WRhxlE8gY</t>
  </si>
  <si>
    <t>RT @lasillavacia: 🎥 Segunda parte de nuestra investigación visual sobre Verbenal (Bogotá). Los disparos de policías que mataron a tres jóv…</t>
  </si>
  <si>
    <t>¿Aja?, ¿y? https://t.co/fdp3lF831Q</t>
  </si>
  <si>
    <t>RT @ChalecosAmarill: 🎥🛑¡ #COLOMBIA ! 🇨🇴 https://t.co/Ogdo8W39Vg</t>
  </si>
  <si>
    <t>Esto es una mentira. Al operar transmilenio bajo la figura contractual de la concesión, todo gasto del sistema lo… https://t.co/29HzkdfMF5</t>
  </si>
  <si>
    <t>Bogotá tuvo la masacre de la cárcel modelo con 23 muertos y 80 heridos cometida por el Estado bajo responsabilidad… https://t.co/bkewxDEShn</t>
  </si>
  <si>
    <t>En las dos masacres cometidas por el Estado en Bogotá en los últimos meses, van 155 civiles heridos a bala, además… https://t.co/dmCokpzXBa</t>
  </si>
  <si>
    <t>Acoso laboral y sexual en @elcolombiano de Medellín https://t.co/Yr8wvo8VZx</t>
  </si>
  <si>
    <t>El pacto de Ciénaga, una reedición del pacto parapolítico hecha con dineros de las regalías del Magdalena y por ord… https://t.co/aWqydvYnIF</t>
  </si>
  <si>
    <t>Esta es la enseñanza que viene del gobierno: está permitido disparar contra la gente. Cinco heridos a bala en el ce… https://t.co/G24vhFbEkv</t>
  </si>
  <si>
    <t>RT @victorjvqzgil: Por orden del Tribunal Administrativo de Cundinamarca, el día de hoy Presidencia de la República junto con la Agencia d…</t>
  </si>
  <si>
    <t>En la India hay un gobierno parecido al de Trump y Duque, el de Modi. Ha detenido un miembro de la comunidad jesuit… https://t.co/damtkNhOA3</t>
  </si>
  <si>
    <t>RT @Uriasv: En Colombia los datos son: 271 mil muertes en 2017. Muertes por Covid-19 hasta ahora 27 mil. En el caso de duplicarse las fatal…</t>
  </si>
  <si>
    <t>RT @petrogustavo: El pacto de Ciénaga, una reedición del pacto parapolítico hecha con dineros de las regalías del Magdalena y por orden de…</t>
  </si>
  <si>
    <t>Unos tienen la suerte de Uribe, otros las del Che. Unos cantan victoria y desaparecen, otros quedan en la historia. https://t.co/L3ef13AZ6E</t>
  </si>
  <si>
    <t>A Uribe se le derrota en las urnas, y por una sociedad que sepa que es la democracia.</t>
  </si>
  <si>
    <t>Esta es la minga. La minga ya no debe quedarse solo en la movilización indígena, sino ser la minga del pueblo colom… https://t.co/HTqPHC247a</t>
  </si>
  <si>
    <t>Saben quien hace la imputación de cargos que no se la han hecho a Uribe?: La fiscalía. Estamos ante la destrucción de la justicia de facto.</t>
  </si>
  <si>
    <t>RT @petrogustavo: A Uribe se le derrota en las urnas, y por una sociedad que sepa que es la democracia.</t>
  </si>
  <si>
    <t>Enilce López, alias "La gata" tiene mucho que decir. Ella es un actor de la guerra, incitadora de masacres con Manc… https://t.co/dmHU2GwRTA</t>
  </si>
  <si>
    <t>Guarden este trino. https://t.co/lZ5AtzOB9m</t>
  </si>
  <si>
    <t>RT @HOLLMANMORRIS: #ApoyoALaMinga . Cubrimiento especial del @Tercer_Canal . Les presento a Doris Jacanamijoy una de las conductoras de la…</t>
  </si>
  <si>
    <t>Dos aliados. Trump y Uribe. Trump en la vanguardia de la destrucción de la humanidad. Uribe en la vanguardia de la… https://t.co/Vw65vtibO6</t>
  </si>
  <si>
    <t>El pueblo de los EEUU, sus integrantes afros y latinos, los heredero de revolucionarios demócratas con Washington y… https://t.co/DMVMDx1ISd</t>
  </si>
  <si>
    <t>El pueblo de los EEUU, sus integrantes afros y latinos, los herederos de revolucionarios demócratas con Washington… https://t.co/qRWsM2VkSS</t>
  </si>
  <si>
    <t>Comienza la transmisión del inicio de la Minga del suroccidente colombiano hacia Bogotá. Que todo el pueblo colombi… https://t.co/x1Yxk4sQ34</t>
  </si>
  <si>
    <t>Inicia la Minga. Que todo el pueblo colombiano entre en Minga. Aquí la transmisión en directo https://t.co/7uQnMHLmAp</t>
  </si>
  <si>
    <t>RT @ChalecosAmarill: 🎥🛑En #Francia París 🇲🇫 lo tenemos muy claro #DefundThePolice #ACAB 🔻40 activistas auto-organizados atacan esta noche…</t>
  </si>
  <si>
    <t>La historia de la discriminación contra la humanidad negra. La historia del poder negro, un poder que en Colombia c… https://t.co/UVC1zxOwG3</t>
  </si>
  <si>
    <t>Una justicia mafiosa. Mientras los uribistas atacaban a la Corte Suprema de Justicia por atreverse a tocar un oscur… https://t.co/w2tujvBcLg</t>
  </si>
  <si>
    <t>¿Qué pasaría si Biden y nosotros ganamos las elecciones presidenciales? ¿Podriamos elevar la tasa de crecimiento d… https://t.co/vIrF1UhGCr</t>
  </si>
  <si>
    <t>RT @petrogustavo: ¿Qué pasaría si Biden y nosotros ganamos las elecciones presidenciales? ¿Podriamos elevar la tasa de crecimiento del paí…</t>
  </si>
  <si>
    <t>Otro líder asesinado. El desangre gota a gota y la incapacidad del gobierno para garantizar la vida. https://t.co/rCRPxcJNqi</t>
  </si>
  <si>
    <t>Estoy en vivo con @gustavobolivar en la lectura de las columnas de opinión, hoy nos acompaña la periodista @MJDuzan… https://t.co/RYICabyhz4</t>
  </si>
  <si>
    <t>RT @Tercer_Canal: Arranco la Minga para Cali https://t.co/pMJdEl3f6x</t>
  </si>
  <si>
    <t>RT @Juventud_Humana: Las y los jóvenes la tenemos clara: es momento de salir en Minga a las calles de toda Colombia para cambiar este país…</t>
  </si>
  <si>
    <t>Muy bueno. https://t.co/7JE6nEt8Vh</t>
  </si>
  <si>
    <t>La propuesta de Fajardo es un Keynes bastante infantil. Endeudarse para tapar huecos a pico y pala. ¿Después como s… https://t.co/i8YZEsSzln</t>
  </si>
  <si>
    <t>Antes de repartir 30 billones en tapar huecos a pico y placa endeudándose, 10.000 proyectos de este tipo escogidos… https://t.co/51BvwhWG2H</t>
  </si>
  <si>
    <t>Desde las perspectivas del siglo XXI, tendría mucho más sentido si emitiesemos 30 billones de pesos, los mismos que… https://t.co/q7HTn8A0vW</t>
  </si>
  <si>
    <t>RT @Tercer_Canal: Los Caleños reciben la Minga Indígena #LaMingaEnTercerCanal https://t.co/XujgiBnszi</t>
  </si>
  <si>
    <t>RT @velascoluisf: Aunque se me venga medio establecimiento encima, tiene razón @petrogustavo , hay que proteger nuestra industria y agricul…</t>
  </si>
  <si>
    <t>RT @ChalecosAmarill: 🎥🛑Lo mejor del #12Octubre, y creo que del mes #GoraHerriak #12OctubreNadaQueCelebrar #BlackLivesMatter #IndigenasLive…</t>
  </si>
  <si>
    <t>RT @elsemblante: Ni Petro es "socialista", porque nunca le he visto proponer estatizar la economía colombiana ni oponerse a la iniciativa p…</t>
  </si>
  <si>
    <t>RT @petrogustavo: La propuesta de Fajardo es un Keynes bastante infantil. Endeudarse para tapar huecos a pico y pala. ¿Después como se paga…</t>
  </si>
  <si>
    <t>Ante la enfermedad del Covid, Antioquia y Bogotá tienen un denominador común, se llama Morales, el que destruyó el… https://t.co/NTKXECFWGJ</t>
  </si>
  <si>
    <t>RT @lylyflower2007: https://t.co/iiV68NSp3q</t>
  </si>
  <si>
    <t>RT @Tati_Ramirez: 1. Utilizan una foto sin permiso (la foto es mía) y fuera de contexto: La foto NO corresponde a la Minga 2020. 2. Utiliz…</t>
  </si>
  <si>
    <t>Ante el intento del gobierno de estigmatizar la minga indígena, la respuesta es la movilización masiva de todas y t… https://t.co/nB0hoc2RRB</t>
  </si>
  <si>
    <t>RT @MaPaulaFonseca: En @BluRadioCo dicen que la Minga llegó a Cali en camionetas 4x4. No señor @NestorMoralesC describe usted muy bien las…</t>
  </si>
  <si>
    <t>Néstor cree que los indígenas se movilizan como los amigos de su cuñado.</t>
  </si>
  <si>
    <t>Uribe otra vez ha pedido hacer trizas lo poco que queda de la paz por referéndum popular, es decir que los hijos de… https://t.co/fEycduUHAe</t>
  </si>
  <si>
    <t>Se está derrumbando la extrema derecha en EEUU y esa es una hermosa y excelente noticia para la humanidad. https://t.co/K3emYehmGU</t>
  </si>
  <si>
    <t>En el año 2019 la pobreza que aumentó en el país, no fue producto de la pandemia, sino del sistema económico que ha… https://t.co/BwugaF6End</t>
  </si>
  <si>
    <t>Fredy Guetio, exgobernador indígena de Suárez, Cauca, ha sido asesinado. https://t.co/9FS8MM7TMK</t>
  </si>
  <si>
    <t>RT @petrogustavo: Uribe otra vez ha pedido hacer trizas lo poco que queda de la paz por referéndum popular, es decir que los hijos de la ge…</t>
  </si>
  <si>
    <t>¿Por qué suben las acciones de las empresas en el mundo mientras la economía mundial se desploma? Porque están su… https://t.co/EFV8vN8vNi</t>
  </si>
  <si>
    <t>Duque decidió una política basada en el endeudamiento de las empresas, Fajardo propone, endeudamiento del Estado, e… https://t.co/kpfNcJRyBJ</t>
  </si>
  <si>
    <t>Colombia Humana ha propuesto proteger la produccion nacional de las importaciones, con el uso de la tasa carbón, en… https://t.co/uYNEC1B3sD</t>
  </si>
  <si>
    <t>Así hace justicia la politiqueria en Colombia. ¿Que nos digan donde está el audio del senador Pulgar donde propone… https://t.co/6enD8R1g7i</t>
  </si>
  <si>
    <t>Escucho a la periodista Paola de la @BluRadioCo proponer que se haga una burbuja a los pueblos indígenas para aisl… https://t.co/RDezMUfXTG</t>
  </si>
  <si>
    <t>La doble moral de la prensa tradicional, les preocupa que viajen 10.000 indígenas en protesta y olvidan que todos… https://t.co/Fzs1Qmb4KD</t>
  </si>
  <si>
    <t>RT @AndresCamiloHR: "Debemos defender el agua, como un bien de la humanidad, de la vida" señala el Senador @petrogustavo, sobre la defensa…</t>
  </si>
  <si>
    <t>RT @Tercer_Canal: #LaMingaIndigenaSeMueve En estos momentos miles de indígenas, campesinos, estudiantes van por la Av 5ta de la ciudad de…</t>
  </si>
  <si>
    <t>RT @lucianacadahia: Parece que @ClaudiaLopez se molestó con mi comentario sobre el fascimos new age que practica. Me mandó un arsenal de tr…</t>
  </si>
  <si>
    <t>RT @FelicianoValen: Arranca la Minga a Bogota, vamos cargados de honor y dignidad a buscar el país que sufre el rigor de este gobierno. htt…</t>
  </si>
  <si>
    <t>De como @ELTIEMPO voltea el.titular para golpearme. Teníamos razón en la.politica publica de tarifa diferencial en… https://t.co/Qwv7VGTShc</t>
  </si>
  <si>
    <t>RT @FelicianoValen: El uribismo y sus aulicos han sacado a relucir su odio visceral contra la Minga y los indigenas. Desde altos funcionari…</t>
  </si>
  <si>
    <t>Asesinan sistematicamente 167 indígenas y el Presidente no atiende ni escucha a los indígenas. ¿Con quién esta el… https://t.co/CNWSPZByhd</t>
  </si>
  <si>
    <t>RT @MyBolivia: 😍 Impresionante Cierre de Campaña, MAS-IPSP 🥳 Testimonio de la Sra. Arminda👵🏽: “Hemos venido a apoyar a .@LuchoXBolivia, é…</t>
  </si>
  <si>
    <t>Que se llenen los negocios pero no las calles, dice la ANDI. Ante la negativa el uribismo de subsidiar la nómina d… https://t.co/cUfhTBkas8</t>
  </si>
  <si>
    <t>En un solo año de gobierno y sin que hubiera pandemia, Duque mando a la pobreza un millón de personas que estaban e… https://t.co/QhXWPbw7gd</t>
  </si>
  <si>
    <t>RT @HistoriaM19: #Minga2020: La fuerza incontenible de la Dignidad. https://t.co/336CYrB73n</t>
  </si>
  <si>
    <t>RT @petrogustavo: Que se llenen los negocios pero no las calles, dice la ANDI. Ante la negativa el uribismo de subsidiar la nómina de las…</t>
  </si>
  <si>
    <t>Después de macartizar la indignación juvenil ante la masacre de Bogotá, ahora la prensa se lanza con toda a despres… https://t.co/v09MKvQCEa</t>
  </si>
  <si>
    <t>Otro negacionista del cambio climatico. Mientras no logra ver la conección entre neoliberalismo y economía fósil,… https://t.co/9uoOJ0b5pS</t>
  </si>
  <si>
    <t>En esta carta de la ministra de cultura actual se demuestra que la ministra de cultura de Santos de manera oscura y… https://t.co/Yf6tkwydCI</t>
  </si>
  <si>
    <t>Cuando las exigencias de la ciudadanía al Estado se ven como extorsión, es porque no se ha entendido si quiera que… https://t.co/RCsX0tY3pU</t>
  </si>
  <si>
    <t>Se divide el partido de la U, una.parte irá a la consulta uribista con Dilian como candidata, otra parte quiere un… https://t.co/DHH0eyFe4d</t>
  </si>
  <si>
    <t>RT @GustavoBolivar: Quieren culpar del rebrote del Covid a 7 mil indígenas de #LaMinga que vienen para Bogotá pero no a: 2.6 millones de bo…</t>
  </si>
  <si>
    <t>RT @CarlosCarrilloA: La dirigencia trasnochada y caduca del MOIR tomó una decisión que incluso implica dinamitar al @PoloDemocratico: van a…</t>
  </si>
  <si>
    <t>RT @Maximo_NoriegaR: Así les toca entrar y salir de sus casas a los habitantes de Rebolo, por culpa de la "canalización" de la Alcaldía de…</t>
  </si>
  <si>
    <t>RT @BogotaLogica: El Concejal del Polo @alvaroargote dejó prendido el micrófono Admite que no saben que van a hacer en la 7a. Que ésta adm…</t>
  </si>
  <si>
    <t>Invito a los movimientos sociales del Quindio, Tolima, Cundinamarca y Bogotá a salir a encontrase en minga para est… https://t.co/ZdPezvDuCb</t>
  </si>
  <si>
    <t>Me parece importante que @RoyBarreras entre en la campaña presidencial y proponga un gran acuerdo democrático y una… https://t.co/ykyfAVl9wt</t>
  </si>
  <si>
    <t>En Colombia falta una Fuerza Blanca de la medicina capaz de plantear el cambio del sistema de salud por uno prevent… https://t.co/djrIW2jDgc</t>
  </si>
  <si>
    <t>RT @petrogustavo: Me parece importante que @RoyBarreras entre en la campaña presidencial y proponga un gran acuerdo democrático y una consu…</t>
  </si>
  <si>
    <t>RT @AABenedetti: Estoy meditando detenidamente mi posible renuncia al Partido de la U, lo anterior después de la decisión de @RoyBarreras y…</t>
  </si>
  <si>
    <t>Con dejar de hacer troncales de transmilenio, Bogotá podría adelantar una política social de contundencia en la sal… https://t.co/5WvsdszcmT</t>
  </si>
  <si>
    <t>RT @pierrealee: ¿Con quien está el mal gobierno de @IvanDuque? ¿Con los asesinos o los asesinados? @petrogustavo https://t.co/LKSxTu5kyt #…</t>
  </si>
  <si>
    <t>RT @petrogustavo: Invito a los movimientos sociales del Quindio, Tolima, Cundinamarca y Bogotá a salir a encontrase en minga para establece…</t>
  </si>
  <si>
    <t>RT @patdilon: Petro si le da la cara a la minga indígena https://t.co/pGBW4c3aAt</t>
  </si>
  <si>
    <t>La ciudad que más aportó al crecimiento de la pobreza en Colombia en el año 2019, fue Bogotá. 88.000 personas que… https://t.co/43uzyDj09c</t>
  </si>
  <si>
    <t>Mi intervención en el senado sobre la política de Duque de destrucción de la pequeña y mediana empresa en Colombia https://t.co/AED1HZK3yr</t>
  </si>
  <si>
    <t>"pero...no se puede decir". La frase que refleja toda la triste realidad de la prensa colombiana.</t>
  </si>
  <si>
    <t>RT @petrogustavo: Mi intervención en el senado sobre la política de Duque de destrucción de la pequeña y mediana empresa en Colombia https:…</t>
  </si>
  <si>
    <t>RT @petrogustavo: "pero...no se puede decir". La frase que refleja toda la triste realidad de la prensa colombiana.</t>
  </si>
  <si>
    <t>Cómo puede un fiscal como Néstor Humberto reparar a estas víctimas que hizo aparecer como terroristas del atentado… https://t.co/HLQK9MYNeE</t>
  </si>
  <si>
    <t>India Y Sudáfrica ponen el punto donde es. La vacuna contra el covid debe ser un bien común de toda la humanidad y… https://t.co/2ePn2l7CAX</t>
  </si>
  <si>
    <t>El día que la prensa tradicional le dedique más tiempo a examinar el por qué asesinan sistemáticamente decenas de i… https://t.co/Gqm9PmsGql</t>
  </si>
  <si>
    <t>En mi opinión es el @PartidoVerdeCoL el que debería decidir si quiere una consulta amplia para configurar un frente… https://t.co/BeXT2X2ccg</t>
  </si>
  <si>
    <t>RT @nicolaspetroB: El precandidato @ivanmarulanda veta a @petrogustavo. Parece que Fajardo lo regaño. https://t.co/AlC0wEmI1T</t>
  </si>
  <si>
    <t>RT @Betocoralg: Así amaneció la calle #AlvaroUribeWay Uribistas, si necesitan traducción, me avisan. https://t.co/gVNITI4wXe</t>
  </si>
  <si>
    <t>RT @sergio_serrano_: El audio de Vicky no solo habla de Sanclemente. Habla de censura, corrupción, fiscalía, gobierno, CD, clases sociales,…</t>
  </si>
  <si>
    <t>RT @petrogustavo: El día que la prensa tradicional le dedique más tiempo a examinar el por qué asesinan sistemáticamente decenas de indígen…</t>
  </si>
  <si>
    <t>RT @eleconomista: 📈 #AMLOTrackingPoll | La aprobación de López Obrador en su nivel más alto en 10 meses: https://t.co/5G2gzL7OOK https://t.…</t>
  </si>
  <si>
    <t>RT @MMFlint: https://t.co/3fnExCEsa8</t>
  </si>
  <si>
    <t>RT @Juanaafanador1: Qué daño le ha hecho la política coelho al debate público. La confrontación, el debate, las peleas y las luchas por un…</t>
  </si>
  <si>
    <t>RT @petrogustavo: En mi opinión es el @PartidoVerdeCoL el que debería decidir si quiere una consulta amplia para configurar un frente unita…</t>
  </si>
  <si>
    <t>Desastre administrativo en el Distrito. 36.000 contratistas no les han pagado ni el mes de septiembre. El gran ger… https://t.co/d8Bn2PSIX3</t>
  </si>
  <si>
    <t>Nuestra propuesta de extender el derecho al agua a toda Colombia. El agua como la salud no puede ser una mercancía. https://t.co/jp4TlfJZHD</t>
  </si>
  <si>
    <t>RT @petrogustavo: Nuestra propuesta de extender el derecho al agua a toda Colombia. El agua como la salud no puede ser una mercancía. https…</t>
  </si>
  <si>
    <t>RT @SaraTufanoZ: No sabe el daño que le hace al país el llamado centro, con @sergio_fajardo a la cabeza, con la falacia de los extremos y d…</t>
  </si>
  <si>
    <t>RT @jcuestanovoa: Que patrasiada tan verraca la de @ivanmarulanda Antes decía que la polarización la generaba la corrupción, la desigualdad…</t>
  </si>
  <si>
    <t>Cajamarca masivamente recibe la minga indígena. https://t.co/R82LgYXfNf</t>
  </si>
  <si>
    <t>RT @velascoluisf: Si queremos construir opción socialdemócrata con real posibilidad de victoria, dediquémonos a construir las propuestas qu…</t>
  </si>
  <si>
    <t>La policia chilena y la colombiana hacen cursos conjuntos, alguna vez me pidieron como alcalde ayudar a financiar u… https://t.co/rsWXdIAokH</t>
  </si>
  <si>
    <t>RT @gaitan_presente: Recordemos: en marzo de 2019 los indígenas del Cauca hicieron minga y exigieron presencia de Duque. Como es cobarde, n…</t>
  </si>
  <si>
    <t>Todas mis peleas han sido contra la corrupción, contra el silencio frente a la injusticia social, contra la toma ma… https://t.co/JAjbQdUTB5</t>
  </si>
  <si>
    <t>El pueblo de Tailandia se levanta. El sudeste asiático vive una enorme movilización social pro democracia. Son los… https://t.co/fgYx9Bt3ye</t>
  </si>
  <si>
    <t>La.alianza Duque/ Peñalosa nombra a quien iba a destruir la reserva Thomas Van der Hammen cono viceministro ambient… https://t.co/gjoEMGnTgC</t>
  </si>
  <si>
    <t>Miembros del ejército publican datos de las familias de exmiembros del ejército que tienen actitud crítica contra e… https://t.co/Et0dovgoSx</t>
  </si>
  <si>
    <t>RT @petrogustavo: Todas mis peleas han sido contra la corrupción, contra el silencio frente a la injusticia social, contra la toma mafiosa…</t>
  </si>
  <si>
    <t>En Tailandia, una monarquía dictatorial, el pueblo ha decidido construir una democracia Real. Centenares de miles d… https://t.co/iEdneULWXn</t>
  </si>
  <si>
    <t>¿Cómo pueden ser asesinados centenares de excombatientes de las FARC a lo largo y ancho del país, sin que el Estado… https://t.co/zJ9uYYsoMT</t>
  </si>
  <si>
    <t>El uribismo contra la minga indígena, Olvida que la verdadera raíz del pueblo colombiano es indígena, han abrazado… https://t.co/LZkqfR3OSV</t>
  </si>
  <si>
    <t>Esta es la dictafura boliviana, con aval de @OEA_oficial, deteniendo la misión de observación electoral que llega d… https://t.co/Vbep8Glhpw</t>
  </si>
  <si>
    <t>Miren este titular, las Fuerzas Armadas Mexicanas, fuerza narcotraficante, imponen toque de queda en Quibdó, Chocó,… https://t.co/wNHU2zdAwy</t>
  </si>
  <si>
    <t>RT @AlexLopezMaya: ❗️QUE VIVA LA MINGA❗️ NO MAS GUERRA CARAJO https://t.co/sbFan0nuMO</t>
  </si>
  <si>
    <t>RT @Juanaafanador1: Hay un sector político que admira la izquierda pero blanca, europea ( partido socialista francés), del norte global (Be…</t>
  </si>
  <si>
    <t>Bogotá saldrá masivamente a acompañar la minga y el paro nacional del 21 de octubre. Solicito al empresariado bogo… https://t.co/R9Gmp88bvE</t>
  </si>
  <si>
    <t>RT @JuanPabloMorris: Sería bueno recordar los varios días de plazas llenas sin ESMAD durante la BOGOTÁ Humana de @petrogustavo // En esa é…</t>
  </si>
  <si>
    <t>RT @subcantante: GUARDIA GUARDIA FUERZA FUERZA! #VivaLaMinga https://t.co/wfu8Jp6PPZ</t>
  </si>
  <si>
    <t>Toda la población colombiana se empobreció en el 2019, excepto los más ricos. Los más pobres son los que más se emp… https://t.co/kOQ4sDCxWP</t>
  </si>
  <si>
    <t>Ha muerto el profesor Sergio Torrado, militante de la Colombia Humana en Cúcuta. QEPD https://t.co/Hu2EiwUOu2</t>
  </si>
  <si>
    <t>RT @CarolinaCorcho: Para entender el debate del P. de ley 010, es necesario entender que las EPS, no son empresas privadas, allí no hay inv…</t>
  </si>
  <si>
    <t>RT @CarolinaCorcho: Es decir, en Colombia ni si quiera se puede hablar de un sistema de salud de mercado, lo q hay es una serie de agentes…</t>
  </si>
  <si>
    <t>Es esto lo que precisamente le hace daño al periodismo, jamás la prensa puede estar al servicio del poder pues cont… https://t.co/sdawBmpK3r</t>
  </si>
  <si>
    <t>Es altamente probable que tengamos seis mil muertes por covid más que las que reporta el ministerio de salud. https://t.co/HFlclTtrLM</t>
  </si>
  <si>
    <t>La veeduría del Grupo Empresarial Antioqueño, no es una veeduría ciudadana, es un instrumento para tratar de recupe… https://t.co/fu4oznD1p3</t>
  </si>
  <si>
    <t>Toda la capital de un departamento está en toque de queda ordenado por un cartel mexicano. ¿Donde está el ejército… https://t.co/XUndkTqFrk</t>
  </si>
  <si>
    <t>Los monumentos expresan la historia escrita desde el poder. Esta es la estatua de Hernán Cortes pisando la cabeza d… https://t.co/5ulrZNiU3X</t>
  </si>
  <si>
    <t>¿Usted señor Simón Osorio me está acusando de grabaciones a la periodista Vicky Davila? El tirano es el que tiene… https://t.co/FVbxBXdxFz</t>
  </si>
  <si>
    <t>RT @olgabehar1: Me desilusionó @ivanmarulanda, pero es bueno que diga lo que piensa de una vez, así la gente sabe a qué atenerse. Los de 'c…</t>
  </si>
  <si>
    <t>RT @DavidRacero: Si quieren sacar a @petrogustavo del escenario político, pues gánenle en una consulta abierta, no con los acuerdos que aco…</t>
  </si>
  <si>
    <t>Impiden fotos de actas en las mesas electorales de Bolivia. @OEA_oficial ahora si esta avalando un fraude. La sangr… https://t.co/uy6D0Lvjjg</t>
  </si>
  <si>
    <t>En realidad Ivan Marulanda debería hacer públicas las reuniones en su casa y contarnos porque se habla a nombre del… https://t.co/OlVCJAgCoV</t>
  </si>
  <si>
    <t>RT @Rodrigo_Lara_: Me da la impresión que a Fajardo y sus amigos les irrita la sola idea de que se hable de estos tres proyectos de referen…</t>
  </si>
  <si>
    <t>RT @ammejiaaguado: #Bogota anfitrión de la #Minga #YaVieneLaMinga En Bogotá los vamos a recibir como huéspedes de honor #BienvenidaLaMigaS…</t>
  </si>
  <si>
    <t>RT @tiempoarg: Liberaron al diputado Fagioli después de diez horas detenido ilegalmente en Bolivia. https://t.co/4Eg1emr31p https://t.co/kN…</t>
  </si>
  <si>
    <t>RT @AugustoCubides: Fajardo, Robledo, Marulanda y las ‘divas’ Angélica y Claudia, tienen para 2022 un solo objetivo: cerrarle el paso a @pe…</t>
  </si>
  <si>
    <t>¿Lo hace la embajada británica, y el Presidente de la República? https://t.co/4VyrYkQKBz</t>
  </si>
  <si>
    <t>RT @RafaelePachon: Dice Fajardo que si él “fuera presidente, la minga no llegaría a Bogotá”. Obvio, no llegan a Bogotá. Les manda el ESMAD…</t>
  </si>
  <si>
    <t>RT @susanamuhamad: Terrible decisión nombrar a Francisco Cruz Prada, "Viceministro de Políticas y Normalización Ambiental", en su paso por…</t>
  </si>
  <si>
    <t>El progresismo gana las elecciones en Nueva Zelanda. El modelo agrario neozelandés fue el que propuse para Colombia… https://t.co/A0ImKhFMCK</t>
  </si>
  <si>
    <t>RT @platom___: De acuerdo con todo lo que dice @fgutierrezsanin. Añado la tesis de @BrankoMilan: en muchos países colonizados, el comunismo…</t>
  </si>
  <si>
    <t>RT @datoatipico: A @petrogustavo le ponen una multa multimillonaria por subsidiar el transporte público en Bogotá pero el exembajador Sancl…</t>
  </si>
  <si>
    <t>RT @SaraTufanoZ: Mañana domingo a las 7:00 pm estaré en #LosGustavos acompañando a @petrogustavo y a @GustavoBolivar en la lectura de sus c…</t>
  </si>
  <si>
    <t>RT @petrogustavo: El progresismo gana las elecciones en Nueva Zelanda. El modelo agrario neozelandés fue el que propuse para Colombia. Que…</t>
  </si>
  <si>
    <t>RT @petrogustavo: La veeduría del Grupo Empresarial Antioqueño, no es una veeduría ciudadana, es un instrumento para tratar de recuperar su…</t>
  </si>
  <si>
    <t>RT @petrogustavo: Toda la población colombiana se empobreció en el 2019, excepto los más ricos. Los más pobres son los que más se empobreci…</t>
  </si>
  <si>
    <t>RT @petrogustavo: Miren este titular, las Fuerzas Armadas Mexicanas, fuerza narcotraficante, imponen toque de queda en Quibdó, Chocó, Colom…</t>
  </si>
  <si>
    <t>El alcalde uribista de Soacha no quiere recibir a la Minga, Invito a toda la ciudadanía de Soacha que votó por la C… https://t.co/TnXRKYHdeO</t>
  </si>
  <si>
    <t>Ud sin evidencia seria, propició un golpe de estado en Bolivia, argumentando irregularidades electorales. Bolivia s… https://t.co/c0HJjqMNZb</t>
  </si>
  <si>
    <t>RT @glendsolo: Quiero decir dos cosas... La primera: Me gustas. La segunda: ¡PETRO PRESIDENTE HPTA!</t>
  </si>
  <si>
    <t>Después de destruir los tranvías bogotanos, el transporte en bus se volvió privado y el alcalde Mazuera, fue el may… https://t.co/u6uID1fxJW</t>
  </si>
  <si>
    <t>RT @petrogustavo: Ud sin evidencia seria, propició un golpe de estado en Bolivia, argumentando irregularidades electorales. Bolivia se llen…</t>
  </si>
  <si>
    <t>Por fin, la traducción de la investigación más seria hecha sobre la toma del Palacio de Justicia. Ana Carrigan. https://t.co/BSQoK57K8X</t>
  </si>
  <si>
    <t>Ante el intento de la fuscalia de Barbosa de criminalizar la lucha popular de Buenaventura, este 21 de octubre toda… https://t.co/xkntskbu4W</t>
  </si>
  <si>
    <t>RT @petrogustavo: Después de destruir los tranvías bogotanos, el transporte en bus se volvió privado y el alcalde Mazuera, fue el mayor imp…</t>
  </si>
  <si>
    <t>RT @cielo_rusinque: Se denuncia en este momento detención arbitraria en Fusagasugá de joven militante de Colombia Humana que estaba acompañ…</t>
  </si>
  <si>
    <t>RT @MoisesAlvaro_: Poderosa llegada de la Minga a Fusagasugá 💕✊🏾 ‘@Juventud_Humana @ColombiaHumana_ presente siempre desde las luchas del…</t>
  </si>
  <si>
    <t>Atención, se prepara cambio del decreto 563 sobre la movilización social que se expidió en el gobierno de la Bogotá… https://t.co/W6upsdwWbp</t>
  </si>
  <si>
    <t>RT @charry_manager: El Fajardismo es una enfermedad y grave... https://t.co/xawKDXX3PN</t>
  </si>
  <si>
    <t>RT @ChalecosAmarill: 🎥🛑En #Colombia con #LaMingaSomosTodos — "La Debilidad es usar las armas, la Fortaleza es usar la palabra. El Débil N…</t>
  </si>
  <si>
    <t>RT @ChalecosAmarill: 🎥🛑En #Tailandia una VERDADERA MAREA HUMANA EXIGE DEMOCRACIA, la DIMISIÓN del PRIMER MINISTRO y la DECAPITAR a la MONAR…</t>
  </si>
  <si>
    <t>En defensa de los páramos y del agua en Colombia. Mi intervención en la comisión primera del senado. https://t.co/o3dfK91q0T</t>
  </si>
  <si>
    <t>RT @alfreserramanci: Elecciones Bolivia 🇧🇴 1⃣ Difícil tener resultado definitivo hoy 2⃣ MAS será 1ª fuerza 3⃣ Si prevalece voto por economí…</t>
  </si>
  <si>
    <t>RT @Ivager69: @anateresabernal @CVderoux @ivanmarulanda Comparar a Uribe con @petrogustavo sólo cabe en mentes egoístas y 'predicadoras' d…</t>
  </si>
  <si>
    <t>RT @charry_manager: Marulanda: “@petrogustavo genera odio con la palabra”... El odio⬇️⬇️⬇️ https://t.co/R6CqZKIEQl</t>
  </si>
  <si>
    <t>Esto sí es el colmo del oportunismo. Enviar el Esmad a la minga y presentarlo de buenas maneras. El Esmad solo es… https://t.co/WIrK1Z4Xva</t>
  </si>
  <si>
    <t>RT @CarlosCarrilloA: ¿Y en tu país los medios hegemónicos son unos vendidos? Lo que se hace realidad es el sueño de Peñalosa y el de Sarmie…</t>
  </si>
  <si>
    <t>Una Colombia Arruinada que no puede perder la esperanza Mi columna de hoy que analizaremos hoy a las siete de la… https://t.co/vebdIiQG6I</t>
  </si>
  <si>
    <t>Ojo con el 2022. La columna de Gustavo Bolivar que comentaremos con Sara Tufano en este mismo Twitter a las siete… https://t.co/U2wpwQ5TU2</t>
  </si>
  <si>
    <t>Si los centros del pensamiento se hubieran subordinado a lo que demandaban las sociedades de su época, nunca se hub… https://t.co/3P0wYjzCjK</t>
  </si>
  <si>
    <t>RT @petrogustavo: Ojo con el 2022. La columna de Gustavo Bolivar que comentaremos con Sara Tufano en este mismo Twitter a las siete de la…</t>
  </si>
  <si>
    <t>RT @petrogustavo: Una Colombia Arruinada que no puede perder la esperanza Mi columna de hoy que analizaremos hoy a las siete de la noche…</t>
  </si>
  <si>
    <t>Esta es Bolivia hoy día de elecciones presidenciales. El riesgo de un fraude es altísimo porque Arce, el candidato… https://t.co/Maq8jHrmBe</t>
  </si>
  <si>
    <t>RT @Juventud_Humana: Así esperamos a la #MingaIndígena en Bogotá ¡Fuerza guardia! #MingaSOMOStodos https://t.co/MWuLVOfE7v</t>
  </si>
  <si>
    <t>RT @ChalecosAmarill: 🎥🛑En #Bolivia: Hoy convertiremos la obscuridad y la tristeza en luz y alegría, 18 de octubre, con nuestro voto derro…</t>
  </si>
  <si>
    <t>RT @Col_Informa: #MingaPorLaVida | En este momento en Soacha, cientos de personas esperan la llegada de la Minga Indígena, a pesar que de l…</t>
  </si>
  <si>
    <t>RT @felipedcon: Petro que es el "extremista" llama constantemente a realizar acuerdos/consultas para decidir candidato(a) único de alternat…</t>
  </si>
  <si>
    <t>RT @petrogustavo: Esta es Bolivia hoy día de elecciones presidenciales. El riesgo de un fraude es altísimo porque Arce, el candidato del M…</t>
  </si>
  <si>
    <t>Hoy por este Twitter analizaremos a las siete de la noche nuestras columnas, ojo al 2022, y Colo.bia en ruinas https://t.co/jXGVwKhGs6</t>
  </si>
  <si>
    <t>RT @nicolaspetroB: El señor @ivanmarulanda insulta a @petrogustavo y a la Colombia Humana y ahora le salimos a deber. A pesar de eso, el c…</t>
  </si>
  <si>
    <t>RT @nicolaspetroB: Esta es la política del amor que predica @petrogustavo. Para el “centro” esto es generar odio, pelear y polarizar. Es…</t>
  </si>
  <si>
    <t>RT @PilarMurilloR: Doña @LuzMBernalParra madre de Soacha, también salió a las calles de su municipio a recibir a la Minga. Cuanta dignidad…</t>
  </si>
  <si>
    <t>Ufff. La pregunta es si el Partido Verde decidió oficialmente no hacer una consulta popular con todas las fuerzas… https://t.co/bu0a3odnUw</t>
  </si>
  <si>
    <t>RT @ArielAnaliza: Bogotá recibe a la Minga Miles de personas en las calles https://t.co/Suub2EendA</t>
  </si>
  <si>
    <t>La ciudadanía de Soacha y de Bogotá salieron masivamente a recibir la minga indígena. Que cada localidad y munici… https://t.co/CIK3dvJw5t</t>
  </si>
  <si>
    <t>Bogotá salió a las calles en Minga, pero es necesario organizar la ciudadanía de cada localidad en Minga para salir… https://t.co/33b3vhfNyn</t>
  </si>
  <si>
    <t>Estoy en vivo con @gustavobolivar en la lectura de las columnas de opinión, hoy nos acompaña la socióloga y columni… https://t.co/ajnMPnQHKc</t>
  </si>
  <si>
    <t>RT @petrogustavo: Estoy en vivo con @gustavobolivar en la lectura de las columnas de opinión, hoy nos acompaña la socióloga y columnista @s…</t>
  </si>
  <si>
    <t>RT @ChalecosAmarill: 🎥🛑CIRCULA ESTA DENUNCIA POR RRSS⚠️⚠️en #Bolivia 🔻 .@JeanineAnez pretende orquestar un Golpe de Estado y fraude, han a…</t>
  </si>
  <si>
    <t>RT @CarlosRoqueA1: #URGENTE La dictadura empieza a ejecutar el Plan Cóndor a lo Interno del País, pretenden callar al pueblo pero la @OEA_o…</t>
  </si>
  <si>
    <t>RT @Jojotoweb: Vía @ChalecosAmarill: "🎥🛑En #Bolivia Mientras el @TSEBolivia llama a "calma y tranquilidad", militares con armas de guerra m…</t>
  </si>
  <si>
    <t>La policía está robando las actas electorales en Bolivia. Se avecina un golpe de Estado con toda la complicidad de… https://t.co/sVvgrpxtDi</t>
  </si>
  <si>
    <t>RT @ChalecosAmarill: 🎥🛑En #Bolivia Mientras el @TSEBolivia llama a "calma y tranquilidad", militares con armas de guerra mantienen desplieg…</t>
  </si>
  <si>
    <t>RT @evoespueblo: Ayer denunciamos que era sospechoso el levantamiento del Direpre a pocas horas del día de las elecciones. Ahora, las empre…</t>
  </si>
  <si>
    <t>RT @Soniaguer: El que siembra odio// El que está mamado de la violencia. https://t.co/IGlXJQGNdN</t>
  </si>
  <si>
    <t>RT @descifraguerra: 🇧🇴 Crece el despliegue policial en las inmediaciones de la sede central del MAS. Según informan fuentes del partido no…</t>
  </si>
  <si>
    <t>Oiga @Almagro_OEA2015 la policía tiene rodeada la sede del MAS en Bolivia. https://t.co/h5zU8T30iw</t>
  </si>
  <si>
    <t>RT @geoduque: Uribismo: Habla de Castrochavismo Centro: Habla de polarización Petro: Habla de energía limpia, reforma agraria, universida…</t>
  </si>
  <si>
    <t>RT @ellamararodrig1: #18Octubre No pueden hacer un fraude tan grande para ganar, lo intentarán, no tengo dudas, pero no pueden, somos millo…</t>
  </si>
  <si>
    <t>RT @OVargas52: At this polling station in Cochabamba, every single vote went to the MAS, except for 2 spoilt ballots. Extraordinary. How ma…</t>
  </si>
  <si>
    <t>RT @ChalecosAmarill: 🎥🛑Desde #Argentina en el centro de cómputo montado por el MAS en Buenos Aires EUFORIA de @evoespueblo a falta de intro…</t>
  </si>
  <si>
    <t>RT @teleSURtv: #BoliviaDecide | Avanza el cómputo de las elecciones generales con el 0.11 % de los votos escrutado Creemos: 4.16 % ADN: 0…</t>
  </si>
  <si>
    <t>A organizar las mingas ciudadanas en todas las localidades y municipios de Colombia. Que el 21 de octubre inicie l… https://t.co/qxDydZCaxq</t>
  </si>
  <si>
    <t>RT @Juventud_Humana: Nuestro mensaje a @VickyDavilaH. Por favor RT. https://t.co/mtuBgwWUjG</t>
  </si>
  <si>
    <t>El progresismo ha ganado en Bolivia. Una demostración de como la organización y movilización popular pacífica, de… https://t.co/f9qAB9BvvI</t>
  </si>
  <si>
    <t>El MAS muestra que para garantizar un triunfo popular hay que sacar mayoría en el Congreso, además de la presidenci… https://t.co/otXivSfYSG</t>
  </si>
  <si>
    <t>Un retroviral da buenos resultados contra el covid en España. El tratamiento contra el covid, a pesar que no hay v… https://t.co/72SjZuN1aR</t>
  </si>
  <si>
    <t>RT @LeonVaLenciaA: El presidente de la ANDI Bruce Mac Master está preocupadísimo porque los indígenas se arriesgan al contagio con la Minga…</t>
  </si>
  <si>
    <t>Este enorme triunfo popular en Bolivia demuestra que la mayoría de la población siempre estuvo con el MAS, con Evo… https://t.co/8wqILSsmag</t>
  </si>
  <si>
    <t>Jallalla Bolivia https://t.co/G8BKcRne6W</t>
  </si>
  <si>
    <t>Restauración de la democracia en Bolivia. https://t.co/ldDxfL4caC</t>
  </si>
  <si>
    <t>Este es el racismo. Creen que porque alguien no es blanco, no usa corbata, o no se tiñe el pelo de rubio, esta suci… https://t.co/w0XsP6iM71</t>
  </si>
  <si>
    <t>RT @ProgIntl: We salute the people of Bolivia for their courage in the course of this peaceful election. Democracy is in critical conditi…</t>
  </si>
  <si>
    <t>RT @CICR_es: Guerra ➕ Cambio climático ➡ Crisis humanitaria https://t.co/Cewax2gcoG</t>
  </si>
  <si>
    <t>Si Colombia Humana gana la presidencia en 2022 iniciaremos un acuerdo con Bolivia y otros países para desarrollar… https://t.co/8rga2BWU7f</t>
  </si>
  <si>
    <t>Hundir a Bolivia en un golpe antidemocrático y llenarla de sangre, fue su logro Sin embargo, La vida, ños bienes y… https://t.co/SuKtPvYPnY</t>
  </si>
  <si>
    <t>Nunca hicieron cuarentena seria, a pesar de nuestro apoyo a ella, con la excusa de reactivar la economía, y destruy… https://t.co/9hIQHTrgis</t>
  </si>
  <si>
    <t>RT @dw_espanol: La #Minga llega a Bogotá 🇨🇴 Unas 7.000 personas indígenas colombianas llegaron a #Bogotá para exigir un encuentro con el p…</t>
  </si>
  <si>
    <t>RT @evoespueblo: Hermanas y hermanos: la voluntad del pueblo se ha impuesto. Se ha producido una victoria contundente del MAS-IPSP. Nuestro…</t>
  </si>
  <si>
    <t>Y ahora de nuevo Chile se levanta y se alista al gran plebiscito para derrotar la Constitución de Pinochet. Allá n… https://t.co/bvrDSq354c</t>
  </si>
  <si>
    <t>RT @bogotamuyfirme: Los Gestores de Convivencia que hoy @ClaudiaLopez llama héroes que ponen el pecho, llevan casi dos meses sin recibir su…</t>
  </si>
  <si>
    <t>RT @LuchoXBolivia: Muy agradecidos con el apoyo y confianza del pueblo boliviano. Recuperamos la democracia y retomaremos la estabilidad y…</t>
  </si>
  <si>
    <t>RT @DanielRMed: Muy pronto y de la manera más indigna, @ivanmarulanda dejó ver su triste papel de mandadero para hacer entrismo en el @Part…</t>
  </si>
  <si>
    <t>RT @ellamararodrig1: Lo logramos, ¡lo logramos!, tantas horas, tanto estrés, tanta sangre derramada pero lo logramos. Demostramos de una ve…</t>
  </si>
  <si>
    <t>RT @manuelzr: A @evoespueblo lo derrocaron y desde el exilio les GANO. @LuchoXBolivia es el Presidente ! El pueblo de Bolivia por paliza v…</t>
  </si>
  <si>
    <t>¿Qué junta a Colombia Humana con el progresismo de EEUU? La lucha común por adecuar la economía para que no irradi… https://t.co/lA4k7La8LN</t>
  </si>
  <si>
    <t>Filósofos con el trunfo popular en Bolivia. Zizek se pronuncia. https://t.co/q0Hyfy9eRG</t>
  </si>
  <si>
    <t>RT @piedadcordoba: Iván Duque con la ANDI Iván Duque con Fedepalma Iván Duque con la ANIF Iván Duque con los gremios ¿Iván Duque con la M…</t>
  </si>
  <si>
    <t>RT @cielo_rusinque: Con infinita alegría les comunico que la JUEZA 9 Penal del Circuito de Bogotá, CONFIRMÓ INTEGRALMENTE el fallo a favor…</t>
  </si>
  <si>
    <t>RT @CMonteroOficial: El Movimiento al Socialismo logra más de 20 puntos de diferencia sobre Carlos Mesa y perfora los 50 puntos, según Boca…</t>
  </si>
  <si>
    <t>RT @evoespueblo: El gran triunfo del pueblo es histórico, inédito y único en el mundo: a un año del golpe, recuperamos el poder político de…</t>
  </si>
  <si>
    <t>Y gano ella... la Pachamama. https://t.co/r71nnQa8uh</t>
  </si>
  <si>
    <t>Le pido a @LuisErnestoGL que pague el salario atrasado a los gestores de convivencia y los ponga en planta de pers… https://t.co/IhwPlgYIWa</t>
  </si>
  <si>
    <t>La pregunta no es si se necesitan más impuestos: si se necesitan. La pregunta es ¿quién los paga? En nuestro gobi… https://t.co/49Gtq3IarD</t>
  </si>
  <si>
    <t>RT @petrogustavo: Y gano ella... la Pachamama. https://t.co/r71nnQa8uh</t>
  </si>
  <si>
    <t>La dictadura avanza en Colombia. La criminalización de la periodista que denunció la censura que pretendía hacer el… https://t.co/FTbdaWiDF4</t>
  </si>
  <si>
    <t>Un nuevo pacto verde en Colombia. https://t.co/tw1tbrt4Op</t>
  </si>
  <si>
    <t>El Intento de Barbosa de criminalizar a la.peridista DIana Diaz, por denunciar las maniobras de censura desatadas e… https://t.co/wwME2mPPQQ</t>
  </si>
  <si>
    <t>RT @MashiRafael: Bernie Sanders, wonderful! https://t.co/lQa2c5GyU6</t>
  </si>
  <si>
    <t>Ignominioso, echarle la culpa al fotógrafo de lo que aparece en la foto, solo por sectarismo político. https://t.co/9f6lmzwF6l</t>
  </si>
  <si>
    <t>RT @DCoronell: Entendido respetado @ivanmarulanda ¿Y qué pasa si no hay segunda vuelta?</t>
  </si>
  <si>
    <t>RT @MajoDoria: 1. Acaba de arrasar el MÁS en Bolivia. 2. Se viene un referéndum el 25 de oct en Chile donde se busca reformar la constitu…</t>
  </si>
  <si>
    <t>RT @petrogustavo: Ignominioso, echarle la culpa al fotógrafo de lo que aparece en la foto, solo por sectarismo político.</t>
  </si>
  <si>
    <t>RT @ChalecosAmarill: 🎥🛑In #Bolivia the candidate of the Movement to Socialism (#MAS), Luis Arce @LuchoXBolivia, celebrated the party's camp…</t>
  </si>
  <si>
    <t>Como dije en la comisión, el que en la Constitución se diga que Medellín sea distrito de innovación y tecnología no… https://t.co/Za1HlNvdup</t>
  </si>
  <si>
    <t>La reforma política debe asegurar que la política no se a individual, sino que represente sectores colectivos de la… https://t.co/loB7P0Rr9u</t>
  </si>
  <si>
    <t>La reforma política debe asegurar que la política no se a individual, sino que represente sectores colectivos de la… https://t.co/7o9Sd1viRa</t>
  </si>
  <si>
    <t>RT @petrogustavo: La reforma política debe asegurar que la política no se a individual, sino que represente sectores colectivos de la socie…</t>
  </si>
  <si>
    <t>Esta apreciación que se lanza pensando en pasar por moderado, termina estrellándose contra la realidad misma. Desc… https://t.co/KwMyN2Y9ff</t>
  </si>
  <si>
    <t>RT @MashiRafael: El año pasado Evo ganó con 10% y Almagro gritó ¡fraude! Ahora ganaron con 20%, lo cual demuestra que el único fraude fue A…</t>
  </si>
  <si>
    <t>RT @casa_la: La @casa_la acompañando la #MingaIndigena #TodasYTodosSomosMinga #DeLaMingaPienso https://t.co/2zBQqaV4Mf</t>
  </si>
  <si>
    <t>RT @RaicesNomades: Hace 11 meses Patricia Arce fue secuestrada por los golpistas en Bolivia. Fue insultada, humillada y golpeada. Se vertió…</t>
  </si>
  <si>
    <t>Cómo la derecha va a infiltrar la consulta del progresismo, si la misma derecha va a estar en consulta para elegir… https://t.co/skFq2f1jqj</t>
  </si>
  <si>
    <t>Ella se llama dignidad. https://t.co/gHh78VrZ6j</t>
  </si>
  <si>
    <t>RT @olmedolopezm: El MOIR y @JERobledo cumplida la tarea en el @PoloDemocratico partido que aglutinara a toda la izquierda democrática cont…</t>
  </si>
  <si>
    <t>RT @teleSURtv: Jornada de protestas en #Chile🇨🇱 se ha saldado con un joven muerto a manos del cuerpo policial de Carabineros, presuntamente…</t>
  </si>
  <si>
    <t>El nodo de Colombia Humana en Miami, EEUU. Hoy a las cinco de la tarde nos reunimos con todos los nodos de Colombi… https://t.co/KZOFNUNrm6</t>
  </si>
  <si>
    <t>RT @ChalecosAmarill: 🗞🛑ALERTA #Bolivia #URGENTE 🔥 🔻El terrorista Arturo Murillo renuncia al cargo del que había sido destituido, abandona…</t>
  </si>
  <si>
    <t>RT @petrogustavo: El nodo de Colombia Humana en Miami, EEUU. Hoy a las cinco de la tarde nos reunimos con todos los nodos de Colombia Huma…</t>
  </si>
  <si>
    <t>RT @petrogustavo: Ella se llama dignidad. https://t.co/gHh78VrZ6j</t>
  </si>
  <si>
    <t>RT @lamingaporlavi1: SÚBASE A LA MINGA! #LaMingaPorElAmorYLaVida https://t.co/MG4PyqB1w5</t>
  </si>
  <si>
    <t>RT @GenteEme: "Para el Pueblo lo que es del Pueblo". ¡Jallalla Bolivia! https://t.co/ZF7VFgxqT5</t>
  </si>
  <si>
    <t>RT @AlexLopezMaya: Mientras el Fondo Monetario Internacional hace un llamado a los países para gravar a los más ricos y a los sectores empr…</t>
  </si>
  <si>
    <t>RT @AlexLopezMaya: A @IvanDuque le han llenado la Plaza de Bolivar millones de ciudadanos durante todo su mandato exigiendo ser escuchados,…</t>
  </si>
  <si>
    <t>Tan absurda es la obra sobre el humedal tibabuyes, como la del metro elevado con capacidad menor a una troncal de t… https://t.co/Mbtk6VSw27</t>
  </si>
  <si>
    <t>RT @PizarroMariaJo: Claro que no somos lo mismo, no tenemos miedo! La esperanza esta en un futuro más allá del oportunismo y la guerra. La…</t>
  </si>
  <si>
    <t>RT @SoyHernanOspina: Como vocero de @Juventud_Humana en la Gran #MingaNacional, le exijo a @VickyDavilaH un espacio en su programa para ref…</t>
  </si>
  <si>
    <t>RT @SenSanders: Después de un año de lucha ardua por restaurar la democracia, el pueblo boliviano levantó su voz en las elecciones de ayer.…</t>
  </si>
  <si>
    <t>RT @ChalecosAmarill: 🎥🛑La dictadura de Pinochet en #Chile publicó una constitución hecha para proteger al neoliberalismo. Y aunque la dicta…</t>
  </si>
  <si>
    <t>RT @dianamotavo: De acuerdo con la @FiscaliaCol se encontraron laboratorios de coca en la finca del embajador de Uruguay de @IvanDuque. Ad…</t>
  </si>
  <si>
    <t>RT @ismene2: Ve, se llama Luis Arce, economista de la U. de San Andrés con maestría en Warwick, profesor en Harvard Columbia y en la U. de…</t>
  </si>
  <si>
    <t>RT @PatriciaArceGu2: "Somos Mujeres con Valor" Al recordar estos momentos tristes en mi vida, d persecución y agresión, quiero resaltar que…</t>
  </si>
  <si>
    <t>No hay acta de inicio de construccion del metro. Hay acta de inicio de los estudios para el metro elevado, que ya e… https://t.co/BkAcBJ4pSc</t>
  </si>
  <si>
    <t>RT @GustavoBolivar: La ventaja de 20 puntos con que ganó el Partido de Evo Morales en Bolivia nos enseña 3 cosas para 2022: 1. Organizaci…</t>
  </si>
  <si>
    <t>"El que la hace la paga" fue una buena estrategia de campaña hecha por los asesores norteamericanos que le construy… https://t.co/6V8EpMU3MG</t>
  </si>
  <si>
    <t>RT @ChalecosAmarill: 🎥🛑En #Chile DENUNCIA @inddhh @CIDH @ONU_es @CorteIDH @IntlCrimCourt @AmnistiaOnline 🔻Menor de edad es arrastrada por…</t>
  </si>
  <si>
    <t>Ayer el Senado aprobó un presupuesto basado en que la economía colombiana crecerá 6,6% el año entrante. Por tres c… https://t.co/lkrR7yoW9w</t>
  </si>
  <si>
    <t>Esta es una mentira. Los estudios de metro elevado durarán dos años más y no generarán por si mismos empleos. Cua… https://t.co/uGeTI4rO3S</t>
  </si>
  <si>
    <t>La crisis del agua de la Sabana de Bogota. Los especuladores inmobiliarios y el desacierto de la CAR en proteger e… https://t.co/X4hl5SXBHY</t>
  </si>
  <si>
    <t>Mentira. Mañana no comienza la construcción del metro de Bogotá, solo comienzan los estudios del metro elevado que… https://t.co/c3v4L8aeLZ</t>
  </si>
  <si>
    <t>RT @gaitan_presente: @ClaudiaLopez Ud. cumple el sueño de Peñalosa: condena a Bogotá a TM, haciendo un metrico tan inútil, absurdo, costoso…</t>
  </si>
  <si>
    <t>Colombia tiene el.peor sistema pensional de 39 países analizados en el mundo. Nosotros proponemos pasar a un siste… https://t.co/qySRxYoD0w</t>
  </si>
  <si>
    <t>RT @petrogustavo: Mentira. Mañana no comienza la construcción del metro de Bogotá, solo comienzan los estudios del metro elevado que el me…</t>
  </si>
  <si>
    <t>Para el metro elevado no tienen que agradecerme nada. Esa no es nuestra obra y no hemos aportado nada a ella, será… https://t.co/CoQlqqbN80</t>
  </si>
  <si>
    <t>El metro elevado no eran renders, eran estudios de detalle que costaron 65.000 millones, paso indispensable para co… https://t.co/cD70lRcigQ</t>
  </si>
  <si>
    <t>Otro dirigente de Colombia Humana asesinado. Eduardo Alarcon Córdoba, asesinado en Campoalegre, Huila. @CIDH… https://t.co/KuKShfMGT6</t>
  </si>
  <si>
    <t>Atención, segundo dirigente de Colombia Humana, asesinado hoy, Gustavo Herrera, gerente de la campaña presidencial… https://t.co/Y7rfnmPaB4</t>
  </si>
  <si>
    <t>RT @jerojasrodrigue: ¿Metro? Hoy solo se inicia el proceso de estudios del ‘Metro Elevado’ y nos hacen creer que comienza su construcción…</t>
  </si>
  <si>
    <t>RT @ChalecosAmarill: 🗞🛑En #Bolivia #AHORA el conteo oficial al 80% y el MAS sigue subiendo 53,14% del voto escrutado. @LuchoXBolivia @Lar…</t>
  </si>
  <si>
    <t>RT @JorgeEduDiaz: ¿El uribismo dice qué los indígenas son terratenientes? Los resguardos ocupan 31 millones de ha: ➖1,4% (454.782 ha) tie…</t>
  </si>
  <si>
    <t>Mañana en las movilizaciones, asegurar el distanciamiento bioseguro, la paz y la alegría. Señor pequeño y mediano… https://t.co/j06vbSgf5k</t>
  </si>
  <si>
    <t>RT @GustavoBolivar: Duque, Uribe: por cada líder q nos maten, nacerán miles. Una revolución pacífica como la nuestra no la detiene nada. La…</t>
  </si>
  <si>
    <t>Empresario, miembro del.M19 y dirigente de la Colombia Humana del Cauca. Este era nuestro amigo asesinado en el Ca… https://t.co/rKXFaeiArI</t>
  </si>
  <si>
    <t>RT @alfonsocabrerat: Lagrimas de cocodrilo las de Ivan Marulanda ante los asesinatos de dirigentes de Colombia Humana. Mientras ataque con…</t>
  </si>
  <si>
    <t>RT @bogotamuyfirme: Miren este video de @ClaudiaLopez y compártanlo por favor: 22 de Julio de 2019: Peñalosa nos engañó con su Metro eleva…</t>
  </si>
  <si>
    <t>RT @petrogustavo: Empresario, miembro del.M19 y dirigente de la Colombia Humana del Cauca. Este era nuestro amigo asesinado en el Cauca en…</t>
  </si>
  <si>
    <t>RT @petrogustavo: Mañana en las movilizaciones, asegurar el distanciamiento bioseguro, la paz y la alegría. Señor pequeño y mediano empres…</t>
  </si>
  <si>
    <t>RT @heidy_up: Las contradicciones de la alcaldesa @ClaudiaLopez una y otra vez. Con este #MetroSinFuturo nos está condenando al "negocio in…</t>
  </si>
  <si>
    <t>Afirmamos en campaña presidencial que un programa de paneles solares en techos de las casas de los colombianos abar… https://t.co/gE9LYRhwyg</t>
  </si>
  <si>
    <t>RT @RuthQuevedoF: Anoche la comision de hacienda del @ConcejoDeBogota dio la espalda a la ciudadanía, votó en contra de la propuesta de @su…</t>
  </si>
  <si>
    <t>La mayoría del Concejo de Bogotá votó en contra de la propuesta de Colombia Humana de aumentar las transferencias a… https://t.co/gLwtPaVoxm</t>
  </si>
  <si>
    <t>RT @petrogustavo: La mayoría del Concejo de Bogotá votó en contra de la propuesta de Colombia Humana de aumentar las transferencias a las f…</t>
  </si>
  <si>
    <t>RT @petrogustavo: Afirmamos en campaña presidencial que un programa de paneles solares en techos de las casas de los colombianos abarataría…</t>
  </si>
  <si>
    <t>RT @jerojasrodrigue: Se preguntan @jsanchezcristo si habrá otro país del mundo en el que se convoque un paro en medio de la pandemia. Preg…</t>
  </si>
  <si>
    <t>Garantizar derechos a la ciudadanía es lo más político que se puede hacer. La democracia es un concepto político s… https://t.co/v6h8qRrm4k</t>
  </si>
  <si>
    <t>RT @JulianRoman: Leído y visto por ahí: La imagen del día. El problema no es entre nosotros, es con esa clase politiquera de siempre a la q…</t>
  </si>
  <si>
    <t>RT @ctxt_es: TRIBUNA | "La solidaridad internacional y el apoyo incondicional al proceso democrático constituyeron un último freno a las fu…</t>
  </si>
  <si>
    <t>RT @ELTIEMPO: El país ha vivido un martes violento con el asesinato de tres líderes sociales de oposición al Gobierno Nacional: dos miembro…</t>
  </si>
  <si>
    <t>Así manipulaban las encuestadoras en Bolivia. https://t.co/1ouGznIsUt</t>
  </si>
  <si>
    <t>RT @ammejiaaguado: Invito hacer viral el himno de la #GuardiaIndigena https://t.co/cLG642i8jC</t>
  </si>
  <si>
    <t>Diputados franceses y parlamentarios europeos denucian el asesinato de miembros de Colombia Humana ante el mundo. https://t.co/4iHrTeVYk1</t>
  </si>
  <si>
    <t>RT @FelicianoValen: Saliendo de Bogotá, retornando al territorio. El caminar de la Minga en la lucha y resistencia por la defensa del vida,…</t>
  </si>
  <si>
    <t>Miren esta señora y su arribismo. Ese tipo de mentalidad no han permitido una democracia en Colombia y la ha conden… https://t.co/IkWRGKf1Et</t>
  </si>
  <si>
    <t>RT @AndresCamiloHR: #PetroEnMedios @petrogustavo acudirá ante la ONU para denunciar homicidios de integrantes de Colombia Humana. @CMILANOT…</t>
  </si>
  <si>
    <t>RT @charry_manager: Defunciones por #Covid_19 en Colombia... Ya ni pa que les digo que a los pobres nos están dejando morir. https://t.co/…</t>
  </si>
  <si>
    <t>RT @Lauraggils: Aquí les dejo los fake news de @RevistaSemana https://t.co/Lk8ipHgGkh</t>
  </si>
  <si>
    <t>Literalmente la sesion de moción de censura ha sido saboteado por https://t.co/3oyBLG4Dsgñor Char y el uribismo Es… https://t.co/8Ko9kBb78q</t>
  </si>
  <si>
    <t>La mesa directiva y quienes estuvieron expuestos a la senadora uribista Guerra que supuestamente enfermó del virus,… https://t.co/4P7drxR6H9</t>
  </si>
  <si>
    <t>Estos contratos son corruptos y los dejó Peñalosa. Sin corruptos por una simple razón: No se puede correr tuberías… https://t.co/Rq7kfudcRv</t>
  </si>
  <si>
    <t>RT @AABenedetti: .@petrogustavo pregunta que si alguien en Alkosto o en Olímpica da positivo para COVID ¿dejan de trabajar todos los emplea…</t>
  </si>
  <si>
    <t>RT @GNavasTalero: Espectacular la forma como Gustavo Petro zarandeó intelectualmente a Char presidente senado quien Lucia pinta de turista…</t>
  </si>
  <si>
    <t>RT @charry_manager: Char ha creído que el @SenadoGovCo es uno de sus almacenes Olímpica, donde por supuesto nunca cerrarían por un supuesto…</t>
  </si>
  <si>
    <t>A punto de sabotear la moción de censura contra el ministro de defensa. A punto de un prevaricato elnpresidente de… https://t.co/2xXZtVRZMI</t>
  </si>
  <si>
    <t>Solicito a todos los y las abogado(a)s demócratas que quieran organizar la denuncia por prevaricato ante la Corte S… https://t.co/fGgYVjNZpK</t>
  </si>
  <si>
    <t>RT @hackerFiscalia: ¡Atención! Desde lo más alto del poder en Colombia se le dió la orden a Dairo Antonio Usuga, alias Otoniel, jefe máximo…</t>
  </si>
  <si>
    <t>RT @MoisesAlvaro_: Domingo: @VickyDavilaH hace una afirmación injuriosa donde estigmatiza a la @Juventud_Humana. Miércoles: el vocero de l…</t>
  </si>
  <si>
    <t>RT @petrogustavo: Solicito a todos los y las abogado(a)s demócratas que quieran organizar la denuncia por prevaricato ante la Corte Suprema…</t>
  </si>
  <si>
    <t>Lo que ha sucedido en el Senado es ignominioso. La proposicion contra el derecho constitucional de las minorías a d… https://t.co/4ndizKygHa</t>
  </si>
  <si>
    <t>RT @migueldelrioabg: Denunciaré a los 58 senadores que acaban de cometer un prevaricato a la vista pública. esto es inaceptable. Es el acto…</t>
  </si>
  <si>
    <t>Si alguien se enferma de covid en un Olímpica no cierran la Olimpica. Char decidio cerrar el Congreso de la Repúbli… https://t.co/AGYy91QvI7</t>
  </si>
  <si>
    <t>RT @Juventud_Humana: El @CeDemocratico, principal partido de Estado en la dictadura colombiana, avaló a Alias “Marquiño”, quien amenaza a @…</t>
  </si>
  <si>
    <t>RT @SoyHernanOspina: Este es el sujeto que me amenazó de muerte por ser vocero de la Minga. Les pido por favor me ayuden a difundir. ¡Que…</t>
  </si>
  <si>
    <t>Este señor que se dice llamar Marcos Hortúa Castellanos ha amenazado de muerte a nuestro militante de la Colombia H… https://t.co/uGEm0vJO47</t>
  </si>
  <si>
    <t>RT @Gaona5_: Después de la toma pacífica al Aeropuerto El Dorado, y de que fueran retenidos por más de 150 uniformados de la policía la com…</t>
  </si>
  <si>
    <t>RT @AABenedetti: ¡Creo que la denuncia por prevaricato prosperará! Esto es un #GolpeALaDemocracia. Lastimosamente hoy los jueces son los ún…</t>
  </si>
  <si>
    <t>Lo afirmo y lo reafirmo, el gobierno de Duque ha abrazado el camino de la dictadura. Es un régimen antidemocrático.… https://t.co/X4d5WNXw9P</t>
  </si>
  <si>
    <t>RT @intiasprilla: Lo que acaba de pasar en el Senado demuestra en lo que hemos caído. Las dictaduras no se acaban con buenas formas y compl…</t>
  </si>
  <si>
    <t>RT @JUANCAELBROKY: Casa del pueblo Misak rodeada por la Policía en el Centro de Bogotá, si esto no es hostigar y presionar entonces no se q…</t>
  </si>
  <si>
    <t>RT @lbertoortiz: Hoy estoy mas convencido que nunca que la supuesta enfermedad de Covid-19 de Maria del Rosario Guerra, es falsa y planeada…</t>
  </si>
  <si>
    <t>RT @CarlosHolmesTru: RÉQUIEM POR LA MOCIÓN DE CENSURA https://t.co/CtJ1AokeHK</t>
  </si>
  <si>
    <t>RT @alejomantillaq: Ernesto Macías es un personaje ruin que ha ganado notoriedad por su talento para la trampa y por su vocación de idólatr…</t>
  </si>
  <si>
    <t>RT @SaraTufanoZ: ¿Ustedes sí han entendido que un grupo político vinculado al narcotráfico y al paramilitarismo se tomó el Estado y necesit…</t>
  </si>
  <si>
    <t>RT @ChalecosAmarill: 🎥🛑En #Colombia ALERTA #URGENTE el Pueblo Misak se movilizó pacíficamente hacia el aeropuerto el Dorado, ante los despl…</t>
  </si>
  <si>
    <t>RT @HELIODOPTERO: El uribismo se apoderó del congreso con la violencia y la inmoralidad con que el Clan del Golfo se tomó Urabá.</t>
  </si>
  <si>
    <t>Jmmmmmm https://t.co/O9CdddqJOJ</t>
  </si>
  <si>
    <t>No lo digo solo yo. Pero en Colombia aún es difícil de entender. El.petróleo no va más, hay.que producir agricultur… https://t.co/Hafz6KpDFi</t>
  </si>
  <si>
    <t>RT @candelinajolie: Empecemos una campaña de presión para que todo el Congreso vuelva en pleno a sesionar en el Capitolio (Me importa cinco…</t>
  </si>
  <si>
    <t>Criminal el que encerró a los niños latinoamericanos en campos de concentración y kos separó de sus padres. Y así… https://t.co/U0O0yXWSZa</t>
  </si>
  <si>
    <t>RT @GustavoBolivar: El legislativo quedó clausurado hoy. Pte, Congreso, FF.AA, Fiscalía, Procuraduría, bancos y prensa, narcos, encuestador…</t>
  </si>
  <si>
    <t>Todas las bancadas independientes deben reunirse presencialmente en el Senado. Es la única manera de evitar el cier… https://t.co/cdX6luYTk4</t>
  </si>
  <si>
    <t>RT @petrogustavo: Si alguien se enferma de covid en un Olímpica no cierran la Olimpica. Char decidio cerrar el Congreso de la República, an…</t>
  </si>
  <si>
    <t>Y se me olvidaba Serpa, Fortich. La.mayoría liberal abraza, vergonzantemente el fascismo. El liberalismo que ayudó… https://t.co/wTxNtcdXVu</t>
  </si>
  <si>
    <t>RT @petrogustavo: Todas las bancadas independientes deben reunirse presencialmente en el Senado. Es la única manera de evitar el cierre del…</t>
  </si>
  <si>
    <t>RT @AndresCamiloHR: Están asesinando a la Colombia Humana. Caricatura de @UnCaricaturista https://t.co/eq9fvBKnm1</t>
  </si>
  <si>
    <t>Con una proposición el uribismo en el congreso, intenta eliminar el articulo 135 de la Constitución sobre el derech… https://t.co/OH6r19hFbs</t>
  </si>
  <si>
    <t>Este resultado electoral demuestra fehacientemente la existencia de un golpe de Estado en Bolivia con Aval de… https://t.co/bVON2fzmm1</t>
  </si>
  <si>
    <t>RT @petrogustavo: Con una proposición el uribismo en el congreso, intenta eliminar el articulo 135 de la Constitución sobre el derecho parl…</t>
  </si>
  <si>
    <t>RT @LuchoJacobsen: L@s demócratas, las personas buenas que existen y que son uribistas, la gente recta que todos conocemos y que tienen esa…</t>
  </si>
  <si>
    <t>RT @GustavoBolivar: Hay un lenguaje común entre Las Águilas Negras, Las Autodefensas Gaitanistas y el Centro Antidemocrático: los tres grup…</t>
  </si>
  <si>
    <t>Los 58 senadores que con una proposición hundieron el derecho a la moción de censura no son demócratas Aún pudiend… https://t.co/PPCvxHRYTT</t>
  </si>
  <si>
    <t>RT @ArakFialloNancy: "Si alguien se enferma de covid en Olímpica, no lo cierran. Char decidió cerrar el Congreso": Gustavo Petro https://t.…</t>
  </si>
  <si>
    <t>RT @CuartoDeHoraCol: El senador Gustavo Petro propone a abogados interponer denuncia por el delito de prevaricato contra los senadores que…</t>
  </si>
  <si>
    <t>RT @petrogustavo: Los 58 senadores que con una proposición hundieron el derecho a la moción de censura no son demócratas Aún pudiendo esta…</t>
  </si>
  <si>
    <t>RT @HELIODOPTERO: Ya no cabe ni la menor duda: @sergio_fajardo es la llanta de repuesto del uribismo. #OjoConUribeYFajardo</t>
  </si>
  <si>
    <t>Hago directamente responsable a Ivan Duque de la vida de nuestros compañeros en la Guajira. Ya el narcotraficante… https://t.co/lj1xll9mZA</t>
  </si>
  <si>
    <t>Al centro democrático le.parece mal personaje Gustavo Bolívar porque critica, porque hace novelas sobre los narcos,… https://t.co/bOZsd44BmB</t>
  </si>
  <si>
    <t>RT @petrogustavo: Hago directamente responsable a Ivan Duque de la vida de nuestros compañeros en la Guajira. Ya el narcotraficante alias…</t>
  </si>
  <si>
    <t>RT @cielo_rusinque: Desde ayer me quedo rondando en la cabeza la entrevista de @angelamrobledo donde insinuaba maltrato en CH. Maltrato hab…</t>
  </si>
  <si>
    <t>RT @lbertoortiz: La reflexión de @AABenedetti, les va a ganar @petrogustavo la presidencia en el 2022. Verlo hasta el final! https://t.co/x…</t>
  </si>
  <si>
    <t>Aquí se nota toda la intención de la fiscalía de Duque de castigar a los testigos contra Uribe. Si creen que esta… https://t.co/70LzNQEMGN</t>
  </si>
  <si>
    <t>RT @ContraGodarria: Peinando a un uribista https://t.co/JxhELoiqCj</t>
  </si>
  <si>
    <t>Este es el análisis de García Linera sobre lo que ha pasado en Bolivia. Pensamiento progresista en el siglo XXI https://t.co/c1Xkbupr2D</t>
  </si>
  <si>
    <t>Si el asesinato de Kimy Pernía Domicó, dirigente indígena del Sinú que se oponía a la represa de Urrá y que habló a… https://t.co/rj5yZygRAa</t>
  </si>
  <si>
    <t>Es la presidencia la que ofende la dignidad indígena Estos funcionarios del uribismo en su estupidez mental aún no… https://t.co/mxE8ZHwldD</t>
  </si>
  <si>
    <t>Llegamos a un millón de casos confirmados por covid. La estrategia del gobierno para no afectar las EPS fue la "inm… https://t.co/ZwPdqpD6CY</t>
  </si>
  <si>
    <t>Esta son los datos de la pobreza monetaria desde el 2012 hasta el 2019 en Bogotá, según los datos del DANE. Juzguen… https://t.co/pErtBxcHDG</t>
  </si>
  <si>
    <t>Nigeria es el país pais más poblado de África, y el más rico, es un gran exportador de petróleo. Pero la hambruna… https://t.co/jX53OEZuAA</t>
  </si>
  <si>
    <t>RT @evoespueblo: Las encuestas están destinadas a la manipulación, a intentar influir en el voto. En #Bolivia, el pueblo no se deja manipul…</t>
  </si>
  <si>
    <t>La entrevista que ustedes publican de Fajardo es una contradicción en los terminos. Fajardo no puede tratar al que… https://t.co/DfVX9SUfrm</t>
  </si>
  <si>
    <t>Peñalosa no informa que el costo de cada hospital es medio billon cuando su costo normal va de cien a doscientos mi… https://t.co/vnYMiyZkmE</t>
  </si>
  <si>
    <t>RT @petrogustavo: La entrevista que ustedes publican de Fajardo es una contradicción en los terminos. Fajardo no puede tratar al que piens…</t>
  </si>
  <si>
    <t>Este fue mi último discurso en la campaña presidencial del 2018 en la Plaza de Bolivar. Creo que mucho de lo que pa… https://t.co/KzmmtA6h0k</t>
  </si>
  <si>
    <t>Atención en la vereda Yurilla, de Puerto Leguizamo, Putumayo, ha entrado un grupo armado denominado: La Mafia, ha a… https://t.co/Z2ozLbzjMv</t>
  </si>
  <si>
    <t>Jajaja, como si alguna vez Fajardo, Robledo o Ivan Marulanda hubieran sido mis aliados. Son palo del mismo calabazo… https://t.co/fGLMZwnltr</t>
  </si>
  <si>
    <t>RT @acuna_arrieta: Daré una opinión política: @petrogustavo en pasadas elecciones pasó a segunda vuelta sin tener partido, sin @SergioFajar…</t>
  </si>
  <si>
    <t>Uribismo y Covid. Esta es la columna de Gustavo Bolívar, que comentaremos con Gonzalo Guillén, hoy a las siete de… https://t.co/WhbyqZCfRs</t>
  </si>
  <si>
    <t>La Alemania de 1933 o la Bolivia del 2020 Mi columna de hoy que comentaremos con Gustavo Bolívar y Gonzalo Guillén… https://t.co/wawa5icYld</t>
  </si>
  <si>
    <t>Chile se apresta para votar por una constituyente que deje definitivamente en el pasado la dictadura de Pinochet y… https://t.co/GAzDRTL3Ne</t>
  </si>
  <si>
    <t>Miren cono los chilenos salen en multitud a votar en Alemania por su país. Cuando las comunidades de colombianos en… https://t.co/vR8K6PThhi</t>
  </si>
  <si>
    <t>La movilizacion social contundente del pueblo chileno abrió la posibilidad del plebiscito que se realiza hoy. Chil… https://t.co/2XYU6j6HSn</t>
  </si>
  <si>
    <t>RT @manelmarquez: No lo olvideis jamás! La ultraderecha y los fascistas como #Trump apuntan y sus malditos seguidores fanáticos religiosos,…</t>
  </si>
  <si>
    <t>RT @DanielBejarano_: El video que Macias quiere borrar https://t.co/S3mQAfatoA</t>
  </si>
  <si>
    <t>El dictador Pinochet inauguró el neoliberalismo en el mundo que tanta desigualdad social y exclusión trajo para la… https://t.co/2kMgG4KURL</t>
  </si>
  <si>
    <t>El papel de la prensa legitimando el golpe de Estado en Bolivia. ¿No es hora de una autocrítica? ¿Cómo se repondrá… https://t.co/LrNebC2BpX</t>
  </si>
  <si>
    <t>RT @Mistermopilas: Petro es el niño del colegio con el que nadie le gusta jugar pero que todos le copian la tarea.</t>
  </si>
  <si>
    <t>RT @Vero_Mendoza_F: Hoy es el plebiscito en el que Chile decidirá el camino a seguir para tener una nueva Constitución digna y soberana com…</t>
  </si>
  <si>
    <t>El covid enfermó y mató fundamentalmente a los pobres de Bogotá, en mayor medida. La destrucción del sistema preve… https://t.co/Afcp7j2AWx</t>
  </si>
  <si>
    <t>RT @LaramaDavid: El tiempo de los pueblos ha llegado para escribir su historia, elaborando su propia Constitución para gobernarse así mism…</t>
  </si>
  <si>
    <t>RT @piedadcordoba: Los jóvenes de Chile salieron por centenares de miles casi todos los días por dos meses. La policía asesinó más de 20, c…</t>
  </si>
  <si>
    <t>RT @petrogustavo: El covid enfermó y mató fundamentalmente a los pobres de Bogotá, en mayor medida. La destrucción del sistema preventivo…</t>
  </si>
  <si>
    <t>RT @petrogustavo: Uribismo y Covid. Esta es la columna de Gustavo Bolívar, que comentaremos con Gonzalo Guillén, hoy a las siete de la noc…</t>
  </si>
  <si>
    <t>RT @petrogustavo: La Alemania de 1933 o la Bolivia del 2020 Mi columna de hoy que comentaremos con Gustavo Bolívar y Gonzalo Guillén, hoy…</t>
  </si>
  <si>
    <t>Si el. metro fuera subterráneo habría problemas de movilidad en su construcvion? No Empiezan a alistar en la mente… https://t.co/CcqPOhugNx</t>
  </si>
  <si>
    <t>Masacre en Sucre. Asesinan cinco indígenas en San Benito Abad. Siempre detrás de la masacres de Sucre estuvieron… https://t.co/moUEczkelk</t>
  </si>
  <si>
    <t>RT @anateresabernal: EL Cupo de Endeudamiento para @idubogota se plantea en 14.085 empleos 2021-2023 para obras fantasma, porque están en e…</t>
  </si>
  <si>
    <t>RT @josegreghg: Iniciado trámite de moción de censura a partir de su formulación por al menos el 10% de los miembros de la respectiva cámar…</t>
  </si>
  <si>
    <t>RT @anateresabernal: IDU: 14.085 @JuanMRamirezC es mentira que se vaya a reactivar ninguna economía en 2021. Sus cifras de generación de em…</t>
  </si>
  <si>
    <t>RT @AidaAvellaE: #ATENCION Sucre: se reporta masacre en la vereda calle nueva sector el Firme del municipio de San Marcos. Ayer sábado por…</t>
  </si>
  <si>
    <t>Esto es lo que desata el odio y la masacre. En defensa de terratenientes despojadorrs de tierra, terminan estimula… https://t.co/noMXClWMnp</t>
  </si>
  <si>
    <t>Estoy en vivo con @gustavobolivar en la lectura de las columnas, hoy nos acompaña el periodista @HELIODOPTERO https://t.co/MG6lAhGc8L</t>
  </si>
  <si>
    <t>RT @PieroCantautor: Hermanos chilenos 🇨🇱 !!! Los abrazo y feliz x este triunfo de la democracia! Por la nueva Constitución; Por una educac…</t>
  </si>
  <si>
    <t>Hoy revive Allende y muere la Constitución de Pinochet. Viva el pueblo chileno.</t>
  </si>
  <si>
    <t>RT @eldiario: #25Oct | Decenas de ciudadanos chilenos se concentraron en la Plaza Italia, en Santiago de Chile, tras los resultados del #Pl…</t>
  </si>
  <si>
    <t>RT @MyBolivia: 🇨🇱 #ChileDesperto Imágenes históricas desde plaza de la dignidad el pueblo celebra el #Apruebo que lleva la mayoría según el…</t>
  </si>
  <si>
    <t>Desuribizate. https://t.co/hNlCORCSYR</t>
  </si>
  <si>
    <t>RT @ojoalsancocho: Adiós General!! Felicitaciones 🇨🇱 https://t.co/KOq02jItPl</t>
  </si>
  <si>
    <t>RT @Larissacostas: Así fue la quema simbólica de la Constitución del Dictador Pinochet, vigente en Chile desde 1980. Cuarenta años después,…</t>
  </si>
  <si>
    <t>RT @DanielRMed: La soledad de Petro https://t.co/fXiElnGtTo</t>
  </si>
  <si>
    <t>RT @SaraTufanoZ: ¿Entienden por qué tenemos que llegar unidos y arrasar en 1a vuelta? El 22 tiene que ser como el plebiscito chileno: una v…</t>
  </si>
  <si>
    <t>RT @petrogustavo: Hoy revive Allende y muere la Constitución de Pinochet. Viva el pueblo chileno.</t>
  </si>
  <si>
    <t>La ley 100 en salud y en pensiones fue calcada del Chile de Pinochet. Hoy la mayoría del pueblo chileno por el dere… https://t.co/z6Oc8uuEHG</t>
  </si>
  <si>
    <t>Se te olvida hacer la cuenta de los fajardistas que ante el voto en blanco de Fajardo salieron a votar por Duque. f… https://t.co/57hpLoncKv</t>
  </si>
  <si>
    <t>RT @petrogustavo: Desuribizate. https://t.co/hNlCORCSYR</t>
  </si>
  <si>
    <t>RT @CathyJuvinao: Hace un año Chile empezaba una ola de protestas. Semanas después, le siguió Colombia. Hoy Chile elige en las urnas un…</t>
  </si>
  <si>
    <t>RT @Urbannjuan: El centro papá https://t.co/wk0yhsz10A</t>
  </si>
  <si>
    <t>Mi querido amigo, el incremento de cobertura se mide por tener un carnet de afiliado y no por tener atención médica… https://t.co/YlWLe4J6QQ</t>
  </si>
  <si>
    <t>Comienza una nueva fase de la historia de América Latina. Comienza la historia del progresismo multitudinario. La d… https://t.co/MUIUgS9JT4</t>
  </si>
  <si>
    <t>En la masacre de San Marcos, Sucre, mataron al militante de Colombia Humana Arquímedes Centenaro, abogado de la com… https://t.co/rrKoGTmfbr</t>
  </si>
  <si>
    <t>Hace una semana el Gaula militar con asiento en Montería había ido a hacia el sitio de la masacre y quemó los ranch… https://t.co/OxD2vMC5i2</t>
  </si>
  <si>
    <t>Terratenientes d origen antioqueño y cordobés, amigos políticos de Uribe, han planteado conflictos por esas tierras… https://t.co/97XBdtlcmp</t>
  </si>
  <si>
    <t>RT @mausorio: Es increíble, pero lo de Chile de hoy comenzó con unos adolescentes. https://t.co/MtPRsfPLzM</t>
  </si>
  <si>
    <t>RT @GiordanoBrunoFi: Interesante lo del MOIR de Jorge Robledo. En el 2014 un grupo del MOIR -también- se fue, para el uribismo. Fuente⤵ ht…</t>
  </si>
  <si>
    <t>RT @PizarroMariaJo: Siguen las vergüenzas del congreso. En desarrollo de las comisiones sextas conjuntas, nos damos cuenta que varios congr…</t>
  </si>
  <si>
    <t>Saludo la decisión del Polo Democrático de trabajar un gran frente social y político en defensa de la Democracia y… https://t.co/5ve1e8b95t</t>
  </si>
  <si>
    <t>Andres Arauz, progresista, puede ser el próximo presidente del Ecuador. Luchemos conjuntamente por una plan para l… https://t.co/p1IuQgC7xj</t>
  </si>
  <si>
    <t>El proyecto 010 de salud busca profundizar la mercantilización de la salud bajo la perspectiva de disminuir el nume… https://t.co/sWI8OXG34m</t>
  </si>
  <si>
    <t>RT @AUGUSTOOCAMPO: Lista para radicar en horas de la tarde hoy la denuncia penal por tema burla a la Moción de Censura... Impriman coadyuv…</t>
  </si>
  <si>
    <t>RT @dquirogac: @GustavoBolivar https://t.co/OLw7ELpHJe</t>
  </si>
  <si>
    <t>RT @MajoDoria: Que esta victoria del pueblo en Bolivia y Chile, nos de más fuerzas a los Colombianos de dejar el alma para que Gustavo Fran…</t>
  </si>
  <si>
    <t>https://t.co/NqUcHsqCW4</t>
  </si>
  <si>
    <t>RT @DrNickolaz: "Un discurso vacío, lleno de lugares comunes, sin contestar directamente las preguntas." Ese es el discurso verde, un disc…</t>
  </si>
  <si>
    <t>No es cierto @Diego_Molano El metro elevado sólo se comenzará a construir en 27 meses, porque no tienen estudios d… https://t.co/cobWNJY7vP</t>
  </si>
  <si>
    <t>RT @graffitiborrao: Implícitamente @JERobledo manifiesta que si le toca escoger entre @petrogustavo y @tomasuribeEco volvería a votar en bl…</t>
  </si>
  <si>
    <t>RT @MovNaranja3: Me pregunto si en Chile había gente diciendo: - No vamos a votar para cambiar la constitución de Pinochet porque eso seri…</t>
  </si>
  <si>
    <t>RT @HELIODOPTERO: Los abogados @migueldelrioabg y @AUGUSTOOCAMPO denunciaron por prevaricato ante la @CorteSupremaJ a los congresistas que…</t>
  </si>
  <si>
    <t>Confunden la libertad humana con la libertad de comprar, siempre que tengas el dinero Olvidan que el afán de la ga… https://t.co/V1CWpiFmoP</t>
  </si>
  <si>
    <t>Lamentable que hagas lo que hace Duque en TV, compararnos con los peores países en Covid, para engañar a le gente y… https://t.co/OGiUJVzRmp</t>
  </si>
  <si>
    <t>Ellas, estudiantes de secundaria, fueron las que comenzaron el movimiento que está a punto de cambiar históricament… https://t.co/P8EXzBzpCC</t>
  </si>
  <si>
    <t>Ivan, tu manera de pensar y actuar te coloca del lado de Pinochet; de hecho estas al lado de Uribe, que es igual. https://t.co/c9oxHnVr44</t>
  </si>
  <si>
    <t>RT @RTultimahora: ÚLTIMA HORA: La Justicia de Bolivia deja sin efecto la imputación y orden de aprehensión contra Evo Morales por el caso d…</t>
  </si>
  <si>
    <t>RT @HELIODOPTERO: DENUNCIA. Por tercera vez ha sido suspendida la cuenta del periodista @JulianFMartinez en @TwitterLatAm, esta vez por 40…</t>
  </si>
  <si>
    <t>La derecha de Medellín sigue aún a Pablo Escobar que es su referente intelectual. Le preocupa cómo alguien puede t… https://t.co/h8W5O4isBy</t>
  </si>
  <si>
    <t>Hoy estamos reunidos con más de 355 jóvenes de la Colombia Humana Colombia Humana debe ser dirigida por la juventud.</t>
  </si>
  <si>
    <t>Saben porque en China corren este edificio viejo, y alguien diría feo, en vez de demolerlo? Porque tiene historia… https://t.co/Ky4TPShh5y</t>
  </si>
  <si>
    <t>La masacre de San Marcos. Los hacendados que buscan apropiarse de baldíos nacionales donde estaban los campesinos… https://t.co/i74UpFjqWJ</t>
  </si>
  <si>
    <t>RT @Juventud_Humana: Así termina nuestro diálogo con @petrogustavo a través de la plataforma virtual de la @ColombiaHumana_ 💚 ¡Seguimos p…</t>
  </si>
  <si>
    <t>RT @charry_manager: La tremenda columna de @AndresCamiloHR devela las peligrosas relaciones del Uribismo con el Narco Ñeñe Hernández y mues…</t>
  </si>
  <si>
    <t>RT @petrogustavo: La masacre de San Marcos. Los hacendados que buscan apropiarse de baldíos nacionales donde estaban los campesinos de Col…</t>
  </si>
  <si>
    <t>Nos acabamos de reunir con 355 jóvenes de la Colombia Humana. Le he pedido a la juventud que lidere el movimiento… https://t.co/Xy3sl68oF5</t>
  </si>
  <si>
    <t>En este lugar de la geografía nacional surgió mi familia Petro, alguien llegó allí y su rastro desapareció, dejó un… https://t.co/V0TCylelW3</t>
  </si>
  <si>
    <t>Carlos H Trujillo debe explicar porque el Gaula militar quemó los ranchos de los campesinos de Colombia Humana una… https://t.co/EYyRKmXGRV</t>
  </si>
  <si>
    <t>Realmente creo que Lafaurie ha perdido facultades mentales. La histeria uribista, de buscar un enemigo interno para… https://t.co/QaKa26KX1F</t>
  </si>
  <si>
    <t>Aún hoy estas frases de Rafael Pardo siguen siendo ciertas Lo más avanzado que hay hoy es el metro subterráneo que… https://t.co/4yCmmybjeq</t>
  </si>
  <si>
    <t>Carlos Holmes Trujillo debe decirle al país porque sus fuerzas quemaron los ranchos de los campesinos de San Marcos… https://t.co/sdFRfcqVA5</t>
  </si>
  <si>
    <t>Cuando la estrategia consiste en ver cómo se destruye la Colombia Humana, simplemente porque es la fuerza popular p… https://t.co/KVG2huqSKj</t>
  </si>
  <si>
    <t>La emisora difundiendo la estupidez. Si Petro gana será vigente te la Constitución de 1991. La que el abogado quis… https://t.co/DpYXmzvvTq</t>
  </si>
  <si>
    <t>RT @susanamuhamad: Desde la bancada de Colombia Humana UP no apoyamos el Cupo de endeudamiento porque no se prioriza la inversión en funció…</t>
  </si>
  <si>
    <t>RT @ernesto_prado: Por este trino José Félix Lafaurie denunció a Petro ante la Corte Suprema de Justicia, la Corte, se abstuvo de abrir inv…</t>
  </si>
  <si>
    <t>RT @migueldelrioabg: Quedó radicada denuncia contra 58 senadores que violaron la constitución de manera flagrante en desmedro de la ciudada…</t>
  </si>
  <si>
    <t>Angela María Robledo es una mujer valiosa y democrática, la invitamos a una campaña mágica que creo nunca olvidará,… https://t.co/RcfKuDg1L4</t>
  </si>
  <si>
    <t>Es solo mi opinión.Hay una enorme distancia entre el programa de la Bogotá Humana y el.programa de la actual alcald… https://t.co/HwoMcu0rs2</t>
  </si>
  <si>
    <t>Nadie quiere que Ángela María Robledo se vaya de la Colombia Humana y todos los espacios están abiertos para ella,… https://t.co/dEfBkGYiuE</t>
  </si>
  <si>
    <t>RT @susanamuhamad: GRACIAS por el voto de confianza que nos dieron hace un año a cuatro mujeres de la coalición Colombia Humana UP MAIS par…</t>
  </si>
  <si>
    <t>Según la alcaldesa, 712.000 hogares de los dos millones y medio que tiene Bogotá tienen una renta básica garantiza… https://t.co/nIqPkCtSvp</t>
  </si>
  <si>
    <t>RT @ma_eugeniam: En el patrimonio cultural de Bogotá no hubo laxitud alguna entre 2012 y 2015, @AurelioSuarez. El Plan de Revitalización de…</t>
  </si>
  <si>
    <t>He estado reunido con más de tres mil militantes de Colombia Humana de todos los departamentos del país a través de… https://t.co/bm42XgIkKN</t>
  </si>
  <si>
    <t>RT @ma_eugeniam: La densificación derivada del dcto. 562 no aplicaba en los sectores de conservación. El POT de 2004 cambió el tratamiento…</t>
  </si>
  <si>
    <t>RT @Margaritarosadf: Cuando hablan de “la terquedad de Petro”, a mí sí que me alarma la terquedad histórica de todo un pueblo que ha elegid…</t>
  </si>
  <si>
    <t>RT @petrogustavo: Angela María Robledo es una mujer valiosa y democrática, la invitamos a una campaña mágica que creo nunca olvidará, esta…</t>
  </si>
  <si>
    <t>Han puesto.preso a Xavier Vendrell, en España, es un empresario cuyo delito es ayudar a la independencia de Cataluñ… https://t.co/3AF5E9RKZd</t>
  </si>
  <si>
    <t>Xavier Vendrell es militante de la Esquerra Republicana, hoy el mayor partido de Cataluña y aliado de la Colombia Humana por un mejor mundo.</t>
  </si>
  <si>
    <t>Por qué la defensa del páramo y del agua en Colombia. Intervención en la plenaria del senado. https://t.co/cBJEvJvH5w</t>
  </si>
  <si>
    <t>RT @JavierAdaime: @angelamrobledo @ClaudiaLopez El Peñalosismo es muy parecido al Uribismo. @ClaudiaLopez engaño a los bogotanos. https:/…</t>
  </si>
  <si>
    <t>De acuerdo a las elecciones si no hubiera sido Claudia, hubiera sido Galán, con similar programa, no es uribista, y… https://t.co/znEHG888d6</t>
  </si>
  <si>
    <t>No fue posible. Hoy se deshace el sistema de salud preventivo tan vital para Bogotá, el fortalecimiento de la unive… https://t.co/m5eSQc6MDA</t>
  </si>
  <si>
    <t>RT @heda_supreme: @petrogustavo Me ayudas a difundir porfavor! Motitas aún necesita un par de exámenes para terminar de curarse y asegurarn…</t>
  </si>
  <si>
    <t>RT @petrogustavo: De acuerdo a las elecciones si no hubiera sido Claudia, hubiera sido Galán, con similar programa, no es uribista, y con e…</t>
  </si>
  <si>
    <t>La posibilidad de un gran acuerdo democrático que hemos propuesto, aún es posible, solo se puede hacer sobre la bas… https://t.co/rlqESEV8R5</t>
  </si>
  <si>
    <t>RT @petrogustavo: Por qué la defensa del páramo y del agua en Colombia. Intervención en la plenaria del senado. https://t.co/cBJEvJvH5w</t>
  </si>
  <si>
    <t>RT @petrogustavo: He estado reunido con más de tres mil militantes de Colombia Humana de todos los departamentos del país a través de reuni…</t>
  </si>
  <si>
    <t>RT @ChalecosAmarill: 🎥🛑En #Bolivia última entrevista del hermano Orlando Gutiérrez, justo después de las elecciones, hablaba de conciencia…</t>
  </si>
  <si>
    <t>Uffff. Dejemos la pelea del metro para la otra vida, nos sugiere Sergio Es así que Bogotá ha deteriorado su calida… https://t.co/KCWXtYTEdF</t>
  </si>
  <si>
    <t>RT @anateresabernal: Según la última encuesta de percepción ciudadana de @cifrasyconcepto se reveló que las personas de izquierda son menor…</t>
  </si>
  <si>
    <t>Porque este proyecto de la U Distrital se financia por el fondo nacional de regalías que va a quedar desfinanciado… https://t.co/YjlKrLtD1m</t>
  </si>
  <si>
    <t>Nuevamente escucho la @Bluradio diciendo que nosotros criticamos la presencia de Ángela María en al inauguración de… https://t.co/uq8Q8bl4Ym</t>
  </si>
  <si>
    <t>No se puede hacer ni los talleres, ni el deprimido de la 72, sin tener los estudios de detalle del metro elevado qu… https://t.co/t10gv1um3E</t>
  </si>
  <si>
    <t>Mi sentido pésame a Carlos Caicedo, gobernador del Magdalena y Patricia por la muerte de su señora madre. Fuerza.</t>
  </si>
  <si>
    <t>RT @MaPaulaFonseca: @sebasarte @ClaudiaLopez @petrogustavo @ivanmarulanda @Juan_Florez @CarlosCarrilloA @HOLLMANMORRIS @anateresabernal @Ju…</t>
  </si>
  <si>
    <t>RT @petrogustavo: Nuevamente escucho la @Bluradio diciendo que nosotros criticamos la presencia de Ángela María en al inauguración del cade…</t>
  </si>
  <si>
    <t>Ya al Moir no que gusta llamarse Moir, Movimiento Obrero Independiente Y revolucionario. Ojalá le vaya bien en su… https://t.co/IDpXhB1SKm</t>
  </si>
  <si>
    <t>Vuelvo a preguntar si esta es una posición oficial del partido verde. Si se está construyendo una estrategia para… https://t.co/7eX7S4qhgc</t>
  </si>
  <si>
    <t>RT @PizarroMariaJo: Querida @AngelicaLozanoC las generaciones que representamos buscan superar las eternas disputas entre izquierdas y dere…</t>
  </si>
  <si>
    <t>Contestaremos la columna de Sara Tufano el próximo domingo en mi columna de opinión de cuarto de hora.</t>
  </si>
  <si>
    <t>Por esta razón la propuesta de Colombia Huma en el concejo era más pertinente para el cupo de endeudamiento que su… https://t.co/051CqGqWgb</t>
  </si>
  <si>
    <t>Tenemos hoy dos encuestas. En la de cifras y conceptos empatados en primer lugar esta el partido Centro democrátic… https://t.co/Hh9p9W7ymJ</t>
  </si>
  <si>
    <t>Dentro de la encuesta Invamer, entre las personas sobre las que se interrogó sobre su favorabilidad en la pobla6cio… https://t.co/A2N9ZR4fVr</t>
  </si>
  <si>
    <t>La investigación sobre el terreno de la masacre de San Marcos. Hemos logrado rescatar a Carlos Balerio Vetín, líde… https://t.co/p4dAMt2CnH</t>
  </si>
  <si>
    <t>Es por esto que recibimos los ataques recientes. Tenemos la más alta favorabilidad entre los dirigentes político… https://t.co/H6J7b7orkb</t>
  </si>
  <si>
    <t>Una fina y profunda critica a la economía naranja de Duque. La mercantilización de la cultura que no es más que la… https://t.co/xchACEMwyq</t>
  </si>
  <si>
    <t>RT @nicolaspetroB: A pesar de que Petro recibe ataques diarios de los grandes medios de comunicación, hoy tiene la misma imagen favorable d…</t>
  </si>
  <si>
    <t>RT @GustavoBolivar: Señores @CConstitucional: Adivinen cual de todos estos partidos es el que no tiene sede, ni gastos de funcionamiento, n…</t>
  </si>
  <si>
    <t>RT @GustavoBolivar: Algo hemos hecho bien para mercer este cariño y esta credibilidad de las ciudadanías libres. Gracias 🙏 https://t.co/g…</t>
  </si>
  <si>
    <t>RT @CeciliaOrozcoT: Se tienen confianza los uribistas: el fiscal Barbosa "compra" a su investigador Ferro, de la Comisión de Acusación, dán…</t>
  </si>
  <si>
    <t>RT @petrogustavo: Es por esto que recibimos los ataques recientes. Tenemos la más alta favorabilidad entre los dirigentes políticos y Co…</t>
  </si>
  <si>
    <t>Así se borra la historia del regiotram en manos de @ELTIEMPO La idea fue de Andrés González gobernador de Cundina… https://t.co/1rgqyzsUOX</t>
  </si>
  <si>
    <t>El regiotram fue una iniciativa privada, ante la oposicion del concejo, el regiotram cobró cuerpo en la empresa fér… https://t.co/BJo01ArxzW</t>
  </si>
  <si>
    <t>RT @JFColombia: El senador irlandés @paul_gavan del partido @sinnfeinireland condena el asesinato del joven sindicalista colombiano Jayder…</t>
  </si>
  <si>
    <t>Los bienes de los narcos, en extinción de dominio, se los roban los políticos y luego los politicos se los devuelve… https://t.co/Qlqr7qwgl5</t>
  </si>
  <si>
    <t>Si miramos la realidad política ante esta opinión acertada de Daniel. Lo cierto es que la extrema derecha se disfra… https://t.co/Ldcbac5e4Y</t>
  </si>
  <si>
    <t>RT @petrogustavo: Así se borra la historia del regiotram en manos de @ELTIEMPO La idea fue de Andrés González gobernador de Cundinamarca…</t>
  </si>
  <si>
    <t>El senador indígena Feliciano Valencia, del MAIS en coalición con Colombia Humana, acaba de sufrir un atentado Mie… https://t.co/ZkZGs3KM44</t>
  </si>
  <si>
    <t>Estoy completamente de acuerdo con el bicicarril de la calle 13. La posibilidad de entrar y salir desde Mosquera, F… https://t.co/rzkbkRFOkG</t>
  </si>
  <si>
    <t>Quién es el responsable del atentado a Feliciano Valencia? Ivan Duque. Su desdén al movimiento indígena empodera… https://t.co/96Xmvi3YPH</t>
  </si>
  <si>
    <t>RT @charry_manager: Por las malas es por las malas... Asesinato a líderes de @ColombiaHumana_ y un atentado contra el senador @FelicianoVa…</t>
  </si>
  <si>
    <t>Yo pensé que corrupción era que Popeye comprara votos para apoyar una candidatura https://t.co/CEpuifODAD</t>
  </si>
  <si>
    <t>RT @UKinColombia: La Embajada Británica en Colombia quiere expresar su rechazo frente al atentado que sufrió el senador indígena @Feliciano…</t>
  </si>
  <si>
    <t>Amenaza a la Colombia Humana en Montes de Maria, Sucre. Ganaderos y narcotraficantes de San Onofre afines al gobie… https://t.co/4yEKlTORnj</t>
  </si>
  <si>
    <t>RT @GNavasTalero: Será qué hay que escribirlo en piedra : El Polo no es Claudia. El Polo es Polo. Entendieron ?</t>
  </si>
  <si>
    <t>Y se impuso al fin la peor de las discriminaciones: El apartheid social en Bogotá en las mismas calles públicas. T… https://t.co/l00X0KiBlc</t>
  </si>
  <si>
    <t>No hay otra alternativa. O se sale a las calles o el fascismo llenará de sangre el pais. Atentan contra dirigente… https://t.co/jlRR2xibvf</t>
  </si>
  <si>
    <t>Asesinada Juana Perea lideresa de Nuquí, Chocó. https://t.co/8tBGfJSNPa</t>
  </si>
  <si>
    <t>Duque quería el puerto de Tribugá. Juana Maria Plata Perea se opuso. Juana María Plata Perea ha sido asesinada. ¿… https://t.co/pnz6SoCpSB</t>
  </si>
  <si>
    <t>El discurso de la xenofobia. Ya tienen enemigo interno en Bogotá: los venezolanos que huyeron del bloqueo. Los cul… https://t.co/5OpN6u9qGe</t>
  </si>
  <si>
    <t>RT @petrogustavo: Y se impuso al fin la peor de las discriminaciones: El apartheid social en Bogotá en las mismas calles públicas. Tanto q…</t>
  </si>
  <si>
    <t>Mi carta a Ivan Duque. https://t.co/sBGIf2o3fD</t>
  </si>
  <si>
    <t>RT @DCoronell: Esta declaración de la alcaldesa @ClaudiaLopez es xenófoba y discriminatoria. No hay delito originado en la nacionalidad. Co…</t>
  </si>
  <si>
    <t>RT @miltonmuriIIo: Cada vez entiendo más (creo) lo “polarizado” del país: los que quieren un lodazal con sangre y los que no. Lo que entien…</t>
  </si>
  <si>
    <t>El proyecto de vivienda del gobierno busca hacer grandes proyectos a lo ciudad verde de Soacha, sin tener en cuenta… https://t.co/we3RTv6rXi</t>
  </si>
  <si>
    <t>Propone Duque invertir las plusvalías, que es un dinero público recibido por el cambio de suelo que hace el estado… https://t.co/n7FQh3PXLa</t>
  </si>
  <si>
    <t>La vivienda es antes que nada es hábitat para desarrollar vida plena de la gente, que implica cercanía al trabajo,… https://t.co/EsHTHVDqmM</t>
  </si>
  <si>
    <t>El habiitat no solo implica la ganancia del constructor, sino la.preservacion del medio ambiente, la construcción d… https://t.co/AWvrlBBh86</t>
  </si>
  <si>
    <t>El financiamiento de la construcción de hábitat digno para la población implica cobrar plusvalías por valorización… https://t.co/wtQEDHTNSk</t>
  </si>
  <si>
    <t>Acaso, contrario, a lo que piensa mucha gente, si Colombia restablece relaciones diplomáticas y vende alimentos en… https://t.co/6TeZgV20kp</t>
  </si>
  <si>
    <t>La barbarie es también esto. El hambre ha estallado, no hay política social, Hay una rapiña de los poderosos para q… https://t.co/nN92eAY6BM</t>
  </si>
  <si>
    <t>¿Por qué Duque esta silencioso ante el atentado al senador Feliciano Valencia, a quien no quiso recibir en la minga… https://t.co/RT5uJ1EH0x</t>
  </si>
  <si>
    <t>Creer que el crimen pertenece a un grupo étnico específico, es reproducir con exactitud el pensamiento antisemita d… https://t.co/sAhL3mmHAc</t>
  </si>
  <si>
    <t>La doctrina del enemigo interno solo promociona el ascenso de la baja pasión hacia el poder y la política. El crim… https://t.co/Kb9B6bK0e7</t>
  </si>
  <si>
    <t>RT @charry_manager: “No hay información o indicios que los atacantes de la victima de @TransMilenio sean venezolanos”... Dijo @HugoASegur…</t>
  </si>
  <si>
    <t>RT @wilsonariasc: ¿Qué le está pasando a @ClaudiaLopez ? ¿Va del centro al populismo de derecha y por esa senda a la declarada xenofobia? ¿…</t>
  </si>
  <si>
    <t>RT @hyperconectado: Lo que me parece más grave de Claudia es que sus declaraciones públicas son motivadas por la discusión del momento a ta…</t>
  </si>
  <si>
    <t>¿Cual verdad cree esta persona? Que los delitos en Colombia lo cometen los venezolanos? Eso mismo decían de los c… https://t.co/7D3XvOXHD4</t>
  </si>
  <si>
    <t>RT @Juan_Florez: Pretender que venezolanos son la causa principal de la inseguridad en nuestras ciudades es demagogia populista-oportunista…</t>
  </si>
  <si>
    <t>RT @ismene2: Ve, el que haga énfasis en la nacionalidad o raza de un delincuente es un fascista de mierda.</t>
  </si>
  <si>
    <t>RT @pierrealee: El “desdén” del mal gobierno de @IvanDuque empodera a los gatilleros contra la #mingaindigena. @petrogustavo https://t.co/O…</t>
  </si>
  <si>
    <t>RT @pierrealee: El riesgo no es que se esté a favor de @petrogustavo cómo lo muestra @lasillavacia. Un sector político asesina a quien defi…</t>
  </si>
  <si>
    <t>RT @GustavoBolivar: Más de 3 millones de colombianos pobres emigraron a Venezuela y pudieron establecerse en ese país y hacer una vida en c…</t>
  </si>
  <si>
    <t>RT @heidy_up: Se puede llegar a un acuerdo que no implique el desalojo mediante el uso de la fuerza @LuisErnestoGL son familia recicladoras…</t>
  </si>
  <si>
    <t>RT @ismene2: Ve, "pueblo indolente y cruel" nos llamó una campesina de Guaduas. Ningún intelectual ha podido rebatir esta definición. https…</t>
  </si>
  <si>
    <t>RT @freytterflorian: Asesinan en Colombia a descendiente vasca activista ecologista, que ha aparecido muerta con un tiro en la cabeza. Ju…</t>
  </si>
  <si>
    <t>RT @petrogustavo: El proyecto de vivienda del gobierno busca hacer grandes proyectos a lo ciudad verde de Soacha, sin tener en cuenta la vo…</t>
  </si>
  <si>
    <t>RT @petrogustavo: Acaso, contrario, a lo que piensa mucha gente, si Colombia restablece relaciones diplomáticas y vende alimentos en Venezu…</t>
  </si>
  <si>
    <t>Asesinado Pompilio Narváez, en Argelia, Cauca. En Argelia, reina el dominio de los grupos mafiosos. El Estado colo… https://t.co/qkAvvf84HF</t>
  </si>
  <si>
    <t>Este es un desalojo de recicladores de su lugar de vivienda en Bogotá.MIren a la niña con su colchón. ¿Donde quedó… https://t.co/95FCkpEHiC</t>
  </si>
  <si>
    <t>RT @MovimientoMAIS: 🌽 Nuestra presidenta @marthaperaltae dialogó hoy con el senador @petrogustavo. ¡Sueños comunes y esperanza! ✊🇨🇴 https:/…</t>
  </si>
  <si>
    <t>Colombia Humana no es petrismo. No nos interesa algo como el petrismo. Colombia Humana junta las ciudadanías libres… https://t.co/PEcjusbDny</t>
  </si>
  <si>
    <t>Eduardo Alarcon, dirigente de la ANUC y de Colombia Humana en el Huila, era seguido hasta antes de su muerte por mi… https://t.co/ZzqfrxldGy</t>
  </si>
  <si>
    <t>Las haciendas de los terratenientes involucrados en el asesinato de los militantes campesinos de Colombia Humana en… https://t.co/O9Veq2jIuV</t>
  </si>
  <si>
    <t>RT @carlosecaicedo: Partió mi madre, la persona que más influyó en mi vida, de la que más me he sentido orgulloso, la que siempre me inspir…</t>
  </si>
  <si>
    <t>RT @heidy_up: Luego del desalojo de hoy Engativá, comienza la demolición de las casas de familias que vivían allí. Urge que @Bogota, @habit…</t>
  </si>
  <si>
    <t>RT @heidy_up: Hoy fueron desalojadas familias dedicadas al reciclaje en el barrio Santa Librada en la localidad de Engativá. Reclaman garan…</t>
  </si>
  <si>
    <t>RT @gonzagalindodel: Vuelve y juega este medio con su insidioso y malintencionado concepto de "petrismo". Mi papá no fue petrista ni adulad…</t>
  </si>
  <si>
    <t>Nueva masacre en Mercaderes, cauca, en el mismo sitio donde ya había ocurrido la masacre sobre una familia hace ape… https://t.co/nwk6ZDPb2O</t>
  </si>
  <si>
    <t>RT @gener_usuga: #Atención #URGENTE Esta información me ha llegado sobre la masacre ocurrida hace una semana, esto es muy grave. Todos s…</t>
  </si>
  <si>
    <t>RT @PascaGuerrero: #FelizSabado Lo sucedido en Málaga, Santander, es un buen ejemplo, que deberíamos mejorar a donde vaya este ilegitimo,…</t>
  </si>
  <si>
    <t>RT @Juventud_Humana: Colombia es el tercer país con mayor desempleo juvenil de la OCDE, con 34.6%. La dictadura uribista, al servicio de b…</t>
  </si>
  <si>
    <t>RT @cielo_rusinque: Yo no se uds, pero yo desde ayer no me quito esa imagen de la cabeza. No entiendo como no mereció un mensaje y un segui…</t>
  </si>
  <si>
    <t>RT @CIDH: #Colombia🇨🇴 La @CIDH expresa preocupación por las declaraciones públicas de la alcaldesa de Bogotá el #29Oct en las que vinculó a…</t>
  </si>
  <si>
    <t>Seis miembros de la familia Daza fueron asesinados en dos masacres en el mismo lugar. Uno de los asesinos de la pr… https://t.co/Bl0kCOguhA</t>
  </si>
  <si>
    <t>RT @pierrealee: El mal gobierno de @IvanDuque es rechazado en los territorios donde asesinan a los líderes sociales. https://t.co/xWQoND63JO</t>
  </si>
  <si>
    <t>RT @redfishstream: As Chile voted to replace the Pinochet dictatorship-era constitution, we remember all the women who have been on the fro…</t>
  </si>
  <si>
    <t>Trump les negó las visas a los y las golpistas de Bolivia. Se olvidaron que en EEUU, en este gobierno, no quiere… https://t.co/tNqYVeWl2d</t>
  </si>
  <si>
    <t>Si le vendemos alimentos a Venezuela, los venezolanos no vendrían en masa a Colombia. En una propuesta así, ganamos todos.</t>
  </si>
  <si>
    <t>RT @ChalecosAmarill: 🎥🛑En #Chile INCREIBLE REPRESIÓN 🤬🤬🤬 🔻Ayer, momento en que @Carabdechile mojó, golpeó, tiró al piso y lanzó gas pimien…</t>
  </si>
  <si>
    <t>RT @GiordanoBrunoFi: https://t.co/ShQAfKTPNV</t>
  </si>
  <si>
    <t>Propusimos que en renovación urbana, los propietarios deberían conservar su espacio y su lugar en los nuevos proyec… https://t.co/nT1pCyNDS1</t>
  </si>
  <si>
    <t>¿Quien anhela el puerto de Tribugá? Lampoblacion del Chocó? O ¿capitales importadores para abaratar mercaderías im… https://t.co/gLHaFLwX7s</t>
  </si>
  <si>
    <t>RT @petrogustavo: Si le vendemos alimentos a Venezuela, los venezolanos no vendrían en masa a Colombia. En una propuesta así, ganamos todo…</t>
  </si>
  <si>
    <t>El problema amigos de @Bogotá es que al hacer un metro elevado con 36.000 pasajeros hora sentido, a la séptima hay… https://t.co/JkqSj30oxl</t>
  </si>
  <si>
    <t>Por eso el.metro subterráneo con más de 70.000 pasajeros hora sentido, podía disminuir la Caracas a 25.000 pasajero… https://t.co/oULG0toZU3</t>
  </si>
  <si>
    <t>La demanda de todo el corredor oriental: Caracas, Déptima y Trece, llegará a 120.000 pasajeros hora sentido en hora… https://t.co/rSGOPdinvF</t>
  </si>
  <si>
    <t>Cuando introduje el subsidio sisben al pasajero pobre, logré que usaran el bus en lugar del caminar forzoso. El tra… https://t.co/o75rE34UCr</t>
  </si>
  <si>
    <t>RT @SenorCaicedo: Los niños de Chile la tienen clara. Parte 2. https://t.co/PVBSV00uHm</t>
  </si>
  <si>
    <t>Con Horacio Serpa muere uno de los últimos liberales de verdad. La defensa de los derechos individuales que hace e… https://t.co/VZsWbWUTHQ</t>
  </si>
  <si>
    <t>RT @AndresCamiloHR: Mañana en #losgustavos a las 3:00 p.m, Gustavo Petro (@petrogustavo) y Gustavo Bolívar (@GustavoBolivar) leerán sus col…</t>
  </si>
  <si>
    <t>RT @NanyPardo: Esto pasó en la 7ma peatonal con calle 22. En la esquina frente a la casa de Manuel H. Un señor iba con sus dos hijas menore…</t>
  </si>
  <si>
    <t>RT @ProgIntl: "We, members of the Progressive International, know that Jeremy Corbyn is under attack because of his life-long fight to tran…</t>
  </si>
  <si>
    <t>RT @ChalecosAmarill: 🎥🛑TERRORIFICO Halloween en #Colombia ¿el truco o trato de @ClaudiaLopez ? 🔻En la 7ma peatonal con calle 22, un señor…</t>
  </si>
  <si>
    <t>RT @AndresCamiloHR: Hoy en #losgustavos a las 3:00 p.m, Gustavo Petro (@petrogustavo) y Gustavo Bolívar (@GustavoBolivar) leerán sus column…</t>
  </si>
  <si>
    <t>¿Como sería la Constitución de Colombia si quienes hoy gobiernan pudieran hacerla? Columna de Gustavo Bolívar que… https://t.co/5dRaaYAKbz</t>
  </si>
  <si>
    <t>Colombia Humana camina por ser un movimiento para empoderar a la mujer colombiana No se puede separar la lucha por… https://t.co/3xVACiSHiS</t>
  </si>
  <si>
    <t>¿Quien le dijo a Rudolf que una.política de la vida es extremista? En horas de un debate con argumentos, que Rudol… https://t.co/i7IGb2sRMD</t>
  </si>
  <si>
    <t>La.encuesta que menciona no le pregunto a nadie sobre si se consideraban extremistas, solo pregunto si se considera… https://t.co/zan6nKZHl3</t>
  </si>
  <si>
    <t>RT @petrogustavo: ¿Como sería la Constitución de Colombia si quienes hoy gobiernan pudieran hacerla? Columna de Gustavo Bolívar que se com…</t>
  </si>
  <si>
    <t>RT @petrogustavo: Colombia Humana camina por ser un movimiento para empoderar a la mujer colombiana No se puede separar la lucha por la eq…</t>
  </si>
  <si>
    <t>El magistrado Urán fue torturado y asesinado por el gobierno una vez salió del Palacio de justicia durante la toma… https://t.co/60lMf0M6iZ</t>
  </si>
  <si>
    <t>RT @Margaritarosadf: De todas las cosas nuevas que he aprendido últimamente, es que la política en favor de la vida digna que propone @petr…</t>
  </si>
  <si>
    <t>RT @Margaritarosadf: Los que están dándose la oportunidad de construir una opinión política propia, lean esta respuesta del senador Gustavo…</t>
  </si>
  <si>
    <t>Duque esta a punto de controlar la Justicia. Las mayorías del Congreso, bastante engrasadad, le darán la oportuni… https://t.co/q9L3hz5wLy</t>
  </si>
  <si>
    <t>RT @Margaritarosadf: Estoy por creer que el “centro” es el miedo extremo al cambio.</t>
  </si>
  <si>
    <t>Está denunciando a una contratista de prestación de servicios porque apoyó mi campaña? o porque apoyó la paz? Lo q… https://t.co/TelJkuU3Ea</t>
  </si>
  <si>
    <t>Las curules que hoy tenemos, Angela Maria y yo, se deben exclusivamente al electorado que nos hizo pasar a la segun… https://t.co/uoIinMtg6P</t>
  </si>
  <si>
    <t>Estoy en vivo con @gustavobolivar en la lectura de las columnas, hoy nos acompaña el periodista @ jsanchezcristo… https://t.co/H8EIF7TKLm</t>
  </si>
  <si>
    <t>Fidel castro se murió hace tiempo. Nadie es muñeco de un fantasma. https://t.co/r9oBeJR7pb</t>
  </si>
  <si>
    <t>RT @elsemblante: Mientras el pueblo chileno vota en un 78% a favor de reformar la vieja Constitución del genocida Pinochet y así impulsar s…</t>
  </si>
  <si>
    <t>RT @AABenedetti: Miami-Dade va por Trump. Tiene que ser uno muy gusano, despreciable, igualado, o creerse mejor que sus orígenes y "gringo"…</t>
  </si>
  <si>
    <t>RT @RodrigoUprimny: Hay muchos otros casos de personas venezolanas que trabajaban honestamente y que Migración Colombia dijo que eran deli…</t>
  </si>
  <si>
    <t>RT @PabloIglesias: Jeremy Corbyn representó la posibilidad de un laborismo que volviera a representar los intereses de los trabajadores bri…</t>
  </si>
  <si>
    <t>RT @BunkerGlo: "El gran acuerdo nacional que proponemos forjará un movimiento político diverso, muy amplio, que será el encargado de gobern…</t>
  </si>
  <si>
    <t>RT @susanamuhamad: Así es @SaraTufanoZ hay que avanzar hacia el Congreso Nacional de la Colombia Humana, para deliberar, para que el movimi…</t>
  </si>
  <si>
    <t>RT @ColombianoInd: “La política en favor de la vida digna que propone Petro no es extremista”: Margarita Rosa defendió al Senador https://t…</t>
  </si>
  <si>
    <t>RT @SaraTufanoZ: Leí con atención las respuestas de @petrogustavo. No comparto algunos de sus planteamientos, pero valoro inmensamente que…</t>
  </si>
  <si>
    <t>La propuesta de Uribe implica congelar los salarios de educadores, médicos y enfermeras y militares y policías por… https://t.co/zh1TWMb9h9</t>
  </si>
  <si>
    <t>RT @DanielRMed: “La separación de la lucha popular y la lucha por la equidad de género conforma nuevas subjetividades funcionales al neolib…</t>
  </si>
  <si>
    <t>RT @petrogustavo: La propuesta de Uribe implica congelar los salarios de educadores, médicos y enfermeras y militares y policías por seis a…</t>
  </si>
  <si>
    <t>Hay hambre en Bogotá y en Colombia. Eso dispara el delito y la enfermedad. La mayor política de seguridad hoy es l… https://t.co/azJW0FvRI6</t>
  </si>
  <si>
    <t>RT @charry_manager: Todos apoyamos y lo volveríamos a hacer todas las veces que haya que defender la democracia... https://t.co/RUYJGFkMCH</t>
  </si>
  <si>
    <t>RT @susanamuhamad: Alcaldesa @ClaudiaLopez Porque hoy, sin ningún hecho de orden público notorio, ni conmoción interior está la Policía Mil…</t>
  </si>
  <si>
    <t>RT @cielo_rusinque: Hasta ahora leo la columna de @petrogustavo, comparto su lectura sobre la necesidad de un feminismo dialógico, abierto…</t>
  </si>
  <si>
    <t>RT @AndresCamiloHR: ... https://t.co/EUac5jk7sR</t>
  </si>
  <si>
    <t>RT @nicolasAmon: Otra casa histórica bogotana que desaparecerá por la pésima gestión de @Patrimoniobta En la 7ma con 54. Desaparecen la h…</t>
  </si>
  <si>
    <t>RT @ChalecosAmarill: 🎥🛑¿Cómo se ve el horror a través de los ojos de los niños? 🔻A los 12 años, esta pequeña describió así el golpe de Es…</t>
  </si>
  <si>
    <t>Militarizar a Bogotá para contrarrestar el robo de bicicletas. El ejército no está entrenado para la lucha contra… https://t.co/YGuDz3XArR</t>
  </si>
  <si>
    <t>Esta es una prueba de cómo el uribato canalizaba dineros a través del centro Democrático para violar los topes de l… https://t.co/1he7I2ipr6</t>
  </si>
  <si>
    <t>Esta grabación publicada de Esteban Moreno , el subcontratista de Odebrecht, demuestra cómo el Fiscal general Nésto… https://t.co/3SZrLMjGjr</t>
  </si>
  <si>
    <t>RT @gener_usuga: Asi pensaba Horacio Serpa de @petrogustavo. https://t.co/AtWulxmp5J</t>
  </si>
  <si>
    <t>Por qué el fiscal de Duque no adelanta la investigación de Odebrecht? Porque manteniendo sin citar a los implicado… https://t.co/b34TETJMsY</t>
  </si>
  <si>
    <t>RT @marthaperaltae: Dialogué con @petrogustavo, coincidimos con sueños y esperanzas. Educación pública de calidad. No más salud negocio.…</t>
  </si>
  <si>
    <t>RT @petrogustavo: Por qué el fiscal de Duque no adelanta la investigación de Odebrecht? Porque manteniendo sin citar a los implicados, Duq…</t>
  </si>
  <si>
    <t>RT @cielo_rusinque: Comparto con ustedes algunas reflexiones matinales, aprovechando el día feriado... gracias por tomarse el tiempo de lee…</t>
  </si>
  <si>
    <t>RT @gomezandresf: ¿O sea que el Uribismo califica como gente “rara” o “marcianos” a los negros y indígenas? Que tal el complejo de superio…</t>
  </si>
  <si>
    <t>RT @JanosocLady: Que este señor esté tocando -Eternal flame- en medio de los disturbios, me parece algo épico.. Poesía pura 😏 #piano #B…</t>
  </si>
  <si>
    <t>RT @lucianacadahia: ¿Por qué atentan contra la vida de los líderes de la Colombia Humana, UP o Mais? Por que ahí están las fuerzas del camb…</t>
  </si>
  <si>
    <t>Les propongo unirnos al referendo que propone Roy e incluir : Renta mínima vital. El subsidio a la nómina de la pe… https://t.co/vv2tx9fAPt</t>
  </si>
  <si>
    <t>Luigi y el uribato, muestran un sistema de ideas: el del supremacismo blanco sin ser blancos. La idea de una raza… https://t.co/7Vw4C9h4vh</t>
  </si>
  <si>
    <t>RT @petrogustavo: Les propongo unirnos al referendo que propone Roy e incluir : Renta mínima vital. El subsidio a la nómina de la pequeña…</t>
  </si>
  <si>
    <t>En mis escritos y en mi programa presidencial he descrito cómo protegeríamos la agricultura nacional: a través de i… https://t.co/evPeHqO8nZ</t>
  </si>
  <si>
    <t>Jamás dije que conociera a tu padre en el Externado. El magistrado Gaona, Chucho Bejarano y Low Murtra si fueron mi… https://t.co/GY7xUL7mjc</t>
  </si>
  <si>
    <t>Me.acerque a la historia de tu padre y afirmé que fue asesinado por el gobierno, después de la toma del palacio, y… https://t.co/nxy2km3cA2</t>
  </si>
  <si>
    <t>Es con testigos del baño, donde estaba Andrés Almarales, con quien se reconstruye la historia del magistrado Urån,… https://t.co/kY7SM9s16W</t>
  </si>
  <si>
    <t>El que una persona hubiese tenido ideas progresistas en 1985 y antes no lo vuelve militante del M19. Pero si lo pon… https://t.co/Rr7OzfbjRL</t>
  </si>
  <si>
    <t>En nuestras militancia jamás contábamos a nuestras familias en que estábamos, precisamente por protegerlas y por ev… https://t.co/bxISiPhuMD</t>
  </si>
  <si>
    <t>Se que quizás no quieras oír nuestra opinión y lo respeto. Pero siempre me pareció correcto publicar la investigaci… https://t.co/TXPAyRHVIq</t>
  </si>
  <si>
    <t>Para la fecha en que conocí a Carlos Horacio Urán, yo tenía 22 años, y era aproximadamente hacia el año 1982 o 83.… https://t.co/3jBCOQrPl2</t>
  </si>
  <si>
    <t>RT @Suaguagua: Lo curioso es que uno se pone a ver y todos los demás "partidos y movimientos alternativos" son más patriarcales que el de @…</t>
  </si>
  <si>
    <t>Las grabaciones presentada por @CaracolTV de alias Cayita, muestran la ilegalidad de la eleccion de Duque. Así de s… https://t.co/fAOnDSUiGW</t>
  </si>
  <si>
    <t>Invitaría a todas las fuerzas de Colombia a impulsar el referendo de la Democracia y La Paz. https://t.co/wg0MRpdNef</t>
  </si>
  <si>
    <t>La investigación de Juan David Laverde demuestra una cosa: Nos robaron las elecciones. Necesitaban saltar los tope… https://t.co/mBqjt4VcsP</t>
  </si>
  <si>
    <t>RT @spanishrevorg: "Cualquier feminismo que privilegia a quienes ya tienen privilegios será irrelevante para las mujeres pobres, las mujere…</t>
  </si>
  <si>
    <t>RT @PluralidadZ: 'La soledad de Gustavo Petro' https://t.co/S8Ypis8iht https://t.co/MCRr6DpTqs</t>
  </si>
  <si>
    <t>RT @petrogustavo: La investigación de Juan David Laverde demuestra una cosa: Nos robaron las elecciones. Necesitaban saltar los topes lega…</t>
  </si>
  <si>
    <t>Senadora @AngelicaLozanoC como puede ver, el artículo del 2019, sobre mimitares como policías en Bogotá, se verific… https://t.co/aZFXIwmEWK</t>
  </si>
  <si>
    <t>Les propongo elaborar un protocolo para las campañas y para el movimiento contra el acoso sexual y la violencia, qu… https://t.co/BwIpfgWQeZ</t>
  </si>
  <si>
    <t>RT @LevyRincon: Me da risa cuando los uribistas le dicen a Petro que se retire porque le ha hecho mucho daño al país. ¿Cuál es el daño? Se…</t>
  </si>
  <si>
    <t>RT @Marianiniecheve: ¿Y si hacemos viral la canción de #DuqueChao antes de que no la hagan quitar? 🤣 #ChaoDuque https://t.co/R11ga41SYk</t>
  </si>
  <si>
    <t>La perimetral de la Sabana de Bogotá busca la urbanización del valle del Río Frío, entre Tabio y Tenjo. Es el tipo… https://t.co/SIeWggkfGz</t>
  </si>
  <si>
    <t>En Bello, Antioquia, en uno de los asentamientos informales de Colombia, pretenden desalojos masivos , para liberar… https://t.co/51nUcWpYII</t>
  </si>
  <si>
    <t>Pretende el alcalde de Bello desalojar a la fuerza un barrio que ya es de desplazados de la violencia. Aledaño a e… https://t.co/jJzfYR0aK4</t>
  </si>
  <si>
    <t>RT @anateresabernal: No hay duda. La alcaldesa @ClaudiaLopez decidió persistir en el arcaico modelo de ciudad de Peñalosa. Seguir con un mo…</t>
  </si>
  <si>
    <t>Han asesinado a Jorge Solano, defensor de derechos humanos de Ocaña, Norte de Santander. Tengan la seguridad que… https://t.co/vge9l3uprF</t>
  </si>
  <si>
    <t>Hoy me reuní con el gobierno a través de la ministra del interior para exigir q se cumpla la ley y se presente el p… https://t.co/whM4KQAe5z</t>
  </si>
  <si>
    <t>RT @Juanaafanador1: Un corredor verde por la 7ma sin estudios y demoliendo bienes de interés cultural, un metro que no sabemos cuanto costa…</t>
  </si>
  <si>
    <t>Claudia Lopez engañó al electorado al decir que no haría transmilenio por la calle 13,ni por la 68, ni por la aveni… https://t.co/lQdyFjPyGM</t>
  </si>
  <si>
    <t>La troncal de trasnmilenio por la calle 13, es la demostración que el metro elevado no es una realidad, con el metr… https://t.co/0cbjz0Uj5Y</t>
  </si>
  <si>
    <t>RT @nicolaspetroB: Radiqué un proyecto de ordenanza para fomentar la cultura ambiental en el Atlántico Entre las iniciativas buscamos inst…</t>
  </si>
  <si>
    <t>RT @SaraTufanoZ: En Estados Unidos la tienen clara: "Esta no es solo una elección entre Trump y Biden. Se trata de una elección entre la de…</t>
  </si>
  <si>
    <t>Esta no es una elección entre Trump y Biden, sino una elección sobre la democracia y el autoritarismo. Exactamente… https://t.co/XGQbEbsObB</t>
  </si>
  <si>
    <t>RT @ChalecosAmarill: 🎥🛑En #Bolivia 🔥 #ULTIMAHORA ante amenazas de un nuevo golpe de Estado. 🔻El pueblo sale a las calles a defender su vot…</t>
  </si>
  <si>
    <t>RT @CasandroMartell: Los últimos líderes asesinados por defender a Colombia. https://t.co/niGxsip7kw</t>
  </si>
  <si>
    <t>RT @jerojasrodrigue: “Seguiré en la lucha, así me condenen a cadena perpetua. El día que no me dejen pensar ni expresarme, ese día me daré…</t>
  </si>
  <si>
    <t>RT @petrogustavo: Han asesinado a Jorge Solano, defensor de derechos humanos de Ocaña, Norte de Santander. Tengan la seguridad que detrá…</t>
  </si>
  <si>
    <t>Jorge Solano, defensor de derechos humanos, amigo, asesinado en Ocaña, Norte de Santander. @CIDH @IntlCrimCourt https://t.co/oYoGH0Ivsq</t>
  </si>
  <si>
    <t>RT @AndresCamiloHR: Esta mañana @NestorMoralesC en BLU Radio salió atacar a Petro por el Caso de Carlos Urán y la AnApo Buscando en el li…</t>
  </si>
  <si>
    <t>RT @jerojasrodrigue: Si, Jorge Solano era defensor de derechos humanos y también activista de Colombia Humana. Lo mataron hoy, había vota…</t>
  </si>
  <si>
    <t>RT @susanamuhamad: La integración que propone, Alcaldesa @ClaudiaLopez con la región, es principalmente Buses y autopistas, no vía férrea.…</t>
  </si>
  <si>
    <t>RT @JusticiaSanJuan: @elsemblante Los latinos en Florida, muchos llegados como refugiados, apoyan a Trump porque bloquea la llegada de más…</t>
  </si>
  <si>
    <t>RT @AbadColorado: Así de claro era Jorge Solano con sus denuncias. Sres @FiscaliaCol es fácil investigar los determinadores de su asesinato…</t>
  </si>
  <si>
    <t>RT @Eclides3: En la Contraloría de Bogotá existe un proceso engavetado, se acusa a Enrique Peñalosa por detrimento patrimonial de 146 m…</t>
  </si>
  <si>
    <t>Bueno, mientras transcurren los conteos de votos en EEUU. Llegamos a cuatro millones en esta cuenta de Twitter.</t>
  </si>
  <si>
    <t>Significa esto destrucción de humedales y algo que todos los alcaldes habíamos evitado: pasar la 63 por encima del… https://t.co/sXpSuKHUEh</t>
  </si>
  <si>
    <t>Estupidez. https://t.co/NJWgIOQTcS</t>
  </si>
  <si>
    <t>Biden está a 60 delegados electorales de ganar la.presidencia. https://t.co/Z9OCdp7uOr</t>
  </si>
  <si>
    <t>Porque es rápido el resultado en Colombia y en EEUU no? Porque los datos del.preconteo en Colombia no son legales y ya incluyen el fraude.</t>
  </si>
  <si>
    <t>Entre más pobre la gente en EEUU más votaron por Biden, entre más ricos, más votaron por Trump. Las clases medias… https://t.co/xaqnSUQP2G</t>
  </si>
  <si>
    <t>El general Arias Cabrales es de los pocos que saben lo que pasó en realidad en el Palacio de Justicia. La JEP lo de… https://t.co/RfgNWZ5rgo</t>
  </si>
  <si>
    <t>RT @Santulan5: Quien Ganó en Texas y La Florida ? https://t.co/pObxqXKf0Q</t>
  </si>
  <si>
    <t>RT @ONUHumanRights: #Hilo Lamentamos tener que condenar nuevamente el homicidio de un defensor de derechos humanos: Jorge Luis Solano Vega…</t>
  </si>
  <si>
    <t>El señor Jairo Pinzón debe ser llamado a declarar en la investigación por el asesinato de Jorge Solano en Ocaña. Er… https://t.co/pmtd95BxWr</t>
  </si>
  <si>
    <t>Con esta decisión de la Cámara, quienes ganan son los mafiosos, porque la ilegalidad construye la mafia. Mafiosos… https://t.co/1dgJGxK2dP</t>
  </si>
  <si>
    <t>La mayoría de la población, hasta ahora escrutada votó por Biden. Sucede en EEUU que a pesar de ser mayoría, Biden… https://t.co/OgazYPKPTV</t>
  </si>
  <si>
    <t>Oregon, Arizona y New jersey legalizaron ayer la marihuana. Oregon, por primera vez en EEUU, legalizó la Cocaína.… https://t.co/zFaZswMM86</t>
  </si>
  <si>
    <t>Ayer de manera grosera en la @BluRadioCo, Néstor y Aurelio, trataron de descalificar mi afirmación sobre el magistr… https://t.co/o7ZAmxMhmY</t>
  </si>
  <si>
    <t>Aurelio llegó al extremo de dar por mía una versión falsa de El Espectador del día del debate donde decía que yo h… https://t.co/eXjEHhClCF</t>
  </si>
  <si>
    <t>Lo que mi investigación hecha debate en el 2004, y libro, "Prohibido Olvidar", fue, basándome en el libro que aún n… https://t.co/lyDsdPuvEe</t>
  </si>
  <si>
    <t>Al magistrado Urán , que nunca perteneció al M19, y que discutió con Almarales un camino pacifico en la Anapo, lo m… https://t.co/yLrssqoUQ4</t>
  </si>
  <si>
    <t>El caso de Carlos Horacio demuestra que la historia oficial del palacio: un grupo de personas pagadas por Pablo Esc… https://t.co/VWMY7fLHw7</t>
  </si>
  <si>
    <t>Al hacer la troncal de transmilenio por la calle 13, el tranvía a Faca quedará en déficit operacional y demuestra q… https://t.co/3HR0GqsGmn</t>
  </si>
  <si>
    <t>Que paradoja de la humanidad. Al retirarse EEUU de los acuerdos para frenar el cambio climático, los mayores afecta… https://t.co/aqsyrKOY15</t>
  </si>
  <si>
    <t>RT @HOLLMANMORRIS: El tiempo nos da la razón. El medio millón de bogotanos que votó por mi hoy sabe que les dije la verdad. Colombia Humana…</t>
  </si>
  <si>
    <t>RT @heidy_up: .@ClaudiaLopez si gobierno es: “así como sigo una cosa, digo la otra” enero, no haría Transmilenio por la 13, noviembre dice…</t>
  </si>
  <si>
    <t>Nos han hasta insultado porque no apoyamos a Claudia a la alcaldía, después que ella rompió el acuerdo con Colombia… https://t.co/4gHbgKhq0y</t>
  </si>
  <si>
    <t>Como el alcohol y el cigarrillo. Más peligroso para niños y jóvenes que la marihuana sea ilegal, a que sea legal. https://t.co/WNrdN20Yr3</t>
  </si>
  <si>
    <t>RT @petrogustavo: Nos han hasta insultado porque no apoyamos a Claudia a la alcaldía, después que ella rompió el acuerdo con Colombia Human…</t>
  </si>
  <si>
    <t>RT @petrogustavo: Ayer de manera grosera en la @BluRadioCo, Néstor y Aurelio, trataron de descalificar mi afirmación sobre el magistrado Ca…</t>
  </si>
  <si>
    <t>¿Quien es el terrorista? El terrorista es el que ordenó el desalojo y produjo tanto temor en estas familias humild… https://t.co/62sq6HIFRK</t>
  </si>
  <si>
    <t>RT @DanielRMed: Los congresistas @DavidRacero , @GustavoBolivar y @wilsonariasc hacen un llamado a la acción climática en las comisiones ec…</t>
  </si>
  <si>
    <t>Si Biden gana en este e Estado será presidente de los EEUU. Pocas cosas cambiarán, pero podrá haber un diálogo rac… https://t.co/V5QaGPtr5o</t>
  </si>
  <si>
    <t>Mientras en EEUU se dirime el poder del mundo, en Colombia seguimos en lo mismo: una nueva masacre de cinco persona… https://t.co/gQ6PSvr6ih</t>
  </si>
  <si>
    <t>Biden está a seis delegados electorales de ser presidente. Tiene mayoría del voto popular. La posibilidad de un pa… https://t.co/hCIXULXZ72</t>
  </si>
  <si>
    <t>RT @rcajamarca: @MinSaludCol @Fruizgomez @Supersalud @ViceColombia @MinInterior @UNGRD @IvanDuque @urnadecristal @infopresidencia @Twiteros…</t>
  </si>
  <si>
    <t>La politica anticovid del gobierno es dejar que la gente se enferme y se muera. https://t.co/rKcwk6fsrd</t>
  </si>
  <si>
    <t>RT @GustavoBolivar: En verde los 16 estados q han regulado marihuana de uso adulto en USA. Los azules tienen medicinal y los amarillos cann…</t>
  </si>
  <si>
    <t>RT @ismene2: Ve, Trump tiene las horas contadas...y Maduro ahí.</t>
  </si>
  <si>
    <t>RT @petrogustavo: Porque es rápido el resultado en Colombia y en EEUU no? Porque los datos del.preconteo en Colombia no son legales y ya i…</t>
  </si>
  <si>
    <t>RT @petrogustavo: La politica anticovid del gobierno es dejar que la gente se enferme y se muera.</t>
  </si>
  <si>
    <t>Biden promete en 77 dias reingresar EEUU al acuerdo de Paris para desacelerar el cambio climático De eso se tratab… https://t.co/xKnv2kv7Zy</t>
  </si>
  <si>
    <t>RT @ChalecosAmarill: 🎥🛑En #EEUU 🇺🇲 manifestación multitudinaria en Filadelfia, Pensilvania, pidiendo que se cuenten todos los votos, Trump…</t>
  </si>
  <si>
    <t>Las personas creen que la ilegalización de la marihuana es lo que separa a sus hijos de ella, lo cual es una mentir… https://t.co/nC10HKy96m</t>
  </si>
  <si>
    <t>Porque si Texas y La Florida son los estados que padecerán en el corto plazo los efectos del cambio climatico con… https://t.co/SpWrN819Ud</t>
  </si>
  <si>
    <t>La respuesta está en la ideologia que oscurece la razón Los electores se creyeron el cuento que Biden los llevaria… https://t.co/AsuxU6hSKC</t>
  </si>
  <si>
    <t>Creen en el supremacismo y niegan el cambio climático que les va a destruir sus propios bienes, privilegios y vidas… https://t.co/P7rrd5QSQ4</t>
  </si>
  <si>
    <t>En Texas y La Florida contra la razón, muchos latinos votaron por Trump y le dieron mayoría porque el miedo a perde… https://t.co/yPYyACTQoU</t>
  </si>
  <si>
    <t>Es así de simple y brutal, muchos colombianos en la Florida con derecho a votar, ni siquiera se dan cuenta que el c… https://t.co/lZXEUHCbjx</t>
  </si>
  <si>
    <t>Duque esta viviendo en otro mundo y así no se solucionan los problemas. https://t.co/7Z2Y3SU1U2</t>
  </si>
  <si>
    <t>RT @petrogustavo: Porque si Texas y La Florida son los estados que padecerán en el corto plazo los efectos del cambio climatico con pérdid…</t>
  </si>
  <si>
    <t>En la huelga del carbón en la Guajira, Duque debe buscar defender a los trabajadores del despido y apostar a un pla… https://t.co/UkbwAmsgjw</t>
  </si>
  <si>
    <t>RT @petrogustavo: Biden promete en 77 dias reingresar EEUU al acuerdo de Paris para desacelerar el cambio climático De eso se trataba la e…</t>
  </si>
  <si>
    <t>Quiere Duque reactivar el turismo no pudiendo pruebas PCR a los turistas. Eso se llama condenar la población colom… https://t.co/32ZUS6Gzv2</t>
  </si>
  <si>
    <t>RT @le_trinante: El mapa actual de las elecciones en los Estados Unidos distribuído por nucleos demográficos. #Elecciones https://t.co/X8sW…</t>
  </si>
  <si>
    <t>San Andrés hoy necesita de la ayuda del gobierno de Duque. Entre la.pandemia, la crisis económica y el huracán, cuy… https://t.co/ibmP6ypRNc</t>
  </si>
  <si>
    <t>RT @sarahcpr: Very soothing https://t.co/urdvqXFrmd</t>
  </si>
  <si>
    <t>RT @petrogustavo: San Andrés hoy necesita de la ayuda del gobierno de Duque. Entre la.pandemia, la crisis económica y el huracán, cuya inte…</t>
  </si>
  <si>
    <t>Esto pasa en Colombia? He propuesto que los partidos puedan auditar en tiempo real todo el procedimiento desde qu… https://t.co/pIMtyAjTpw</t>
  </si>
  <si>
    <t>El respeto al diferente se convierte en compromiso ciudadano en la exclusión del diferente. La profunda contradicc… https://t.co/b9uqWl0cXv</t>
  </si>
  <si>
    <t>Mientras tanto en China... https://t.co/xUJDfxsJDX</t>
  </si>
  <si>
    <t>RT @tobonsanin: Luis Carlos Vélez, experto en duelos de rock y en lambonería de alto nivel, hace el oso mundial al insinuar que Biden debía…</t>
  </si>
  <si>
    <t>Le pregunto a los uribistas: ¿ No era lo más racional, lo más cuerdo, lo más conveniente para el país, que Duque hu… https://t.co/73qnYUdnQz</t>
  </si>
  <si>
    <t>La fiscalía persigue a los miembros de la policía que interceptaron al narcotraficante alias "el ñeñe" y que descub… https://t.co/GRE7KTITUl</t>
  </si>
  <si>
    <t>¿Recuerdan cuando el registrador Galindo, que propició el fraude en las presidenciales, permitió votar por Duque co… https://t.co/8diy3CxWgZ</t>
  </si>
  <si>
    <t>RT @petrogustavo: En la huelga del carbón en la Guajira, Duque debe buscar defender a los trabajadores del despido y apostar a un plan de r…</t>
  </si>
  <si>
    <t>Le solicito a @TwitterLatAm explicación de porque suspendió la cuenta de @humanaradio_ Es un medio de prensa ind… https://t.co/b0OnNe3Ycr</t>
  </si>
  <si>
    <t>RT @EdgarMontenegr8: #ParaSanarHeridas el @COL_EJERCITO debe salir de la caverna del deshonor. Ese día cometió todos los crímenes de lesa…</t>
  </si>
  <si>
    <t>¿Cuanto es el dinero que los mandos de la fuerza pública contratan con empresas que son propiedad de sus propios i… https://t.co/AQbCD8pTNt</t>
  </si>
  <si>
    <t>RT @FBuenAbad: Recordemos que el Pensamiento Crítico no es un compendio de opinología caprichosa para desautorizar ideas ajenas. Exige un m…</t>
  </si>
  <si>
    <t>No existen las razas mi amigo. Sobre el concepto artificial de las razas es que se construyó el pensamiento fascist… https://t.co/AG4vNIadLO</t>
  </si>
  <si>
    <t>Más o menos: Paren la democracia, ha dicho Trump https://t.co/RB9hpiGbxh</t>
  </si>
  <si>
    <t>RT @petrogustavo: ¿Cuanto es el dinero que los mandos de la fuerza pública contratan con empresas que son propiedad de sus propios integra…</t>
  </si>
  <si>
    <t>Contrario a la tesis de la escogencia por méritos que tanto exigió el partido verde en el Congreso, en el concejo v… https://t.co/xoMKo4DFnF</t>
  </si>
  <si>
    <t>Las mujeres son mucho más progresistas que los hombres en EEUU https://t.co/Eb0DfMRQad</t>
  </si>
  <si>
    <t>Apuntes sobre la ley de vivienda del gobierno. Los factores que han impedido que hacer vivienda en Colombia se conv… https://t.co/OFJ1C829Ue</t>
  </si>
  <si>
    <t>Apuntes sobre la ley de vivienda del gobierno. Los factores que han impedido que hacer vivienda en Colombia se conv… https://t.co/Cx6bA5LrHD</t>
  </si>
  <si>
    <t>La posibilidad que tiene hoy Biden de ser presidente, se debe a que aceptó un aconsulta con Sanders, eso se llama r… https://t.co/gBnB0g0oEr</t>
  </si>
  <si>
    <t>Se llama deflación y significa que la gente no tiene con que comer. Es hambre lo que hay en la Colombia arruinada… https://t.co/y5Zx4EhRin</t>
  </si>
  <si>
    <t>Mañana se reúne Duque con los partidos políticos para analizar las medidas para garantizar la acción política en el… https://t.co/nXxkRLlKPt</t>
  </si>
  <si>
    <t>Armando Gnecco el capo que dirige el clan mafioso y de cuya organizacion hacia parte alias " el ñeñe Hernández"' fi… https://t.co/r0nn8yrFzG</t>
  </si>
  <si>
    <t>Quieren elegir un subordinado del contralor Juan Carlos Granados, el contralor de Odebrecht, en la próxima contralo… https://t.co/vNGZPdpIjA</t>
  </si>
  <si>
    <t>Invito a leer el libro de Helena Urán, sobre cono vivió siendo hija de un magistrado asesinado por el ejército, los… https://t.co/o9PJJ4bga5</t>
  </si>
  <si>
    <t>Acaba de ocurrir un atentado con dinamita al presidente electo Luis Arce en Bolivia. Atacaron la casa donde se encuentra reunido</t>
  </si>
  <si>
    <t>RT @petrogustavo: Apuntes sobre la ley de vivienda del gobierno. Los factores que han impedido que hacer vivienda en Colombia se convierta…</t>
  </si>
  <si>
    <t>¿A quien se le ocurriría votar en blanco en las elecciones presidenciales de EEUU?</t>
  </si>
  <si>
    <t>Sepanlo, el clan Gnecco creció gracias al boom de la mariguana ilegal. Este tipo de clanes político/mafiosos neces… https://t.co/wJYbTb5iD4</t>
  </si>
  <si>
    <t>RT @petrogustavo: Quiere Duque reactivar el turismo no pudiendo pruebas PCR a los turistas. Eso se llama condenar la población colombiana…</t>
  </si>
  <si>
    <t>Las carboneras dejarán enormes huecos, tierras sin agua, y decenas de miles de desempleados en La Guajira y el Cesa… https://t.co/35EY0aJBcm</t>
  </si>
  <si>
    <t>Realmente creen que Trump era el enviado de Dios y que quienes no comulgamos con sus ideas reaccionarias, clasistas… https://t.co/0Vdy5UJdN9</t>
  </si>
  <si>
    <t>Al periodismo colombiano le pasa que se prepara mal en las facultades universitarias, la mayoría de las cuales est… https://t.co/p28D9gbs2G</t>
  </si>
  <si>
    <t>RT @CarlosCarrilloA: Brevemente les explico lo que acaba de suceder durante la elección del Personero. Lo que por ley debe ser un concurso…</t>
  </si>
  <si>
    <t>RT @petrogustavo: Sepanlo, el clan Gnecco creció gracias al boom de la mariguana ilegal. Este tipo de clanes político/mafiosos necesitan d…</t>
  </si>
  <si>
    <t>Si los colombianos de la Florida hubieran apoyado a Biden, no solo hubieran podido obtener una fuerte política cont… https://t.co/iPv7TGLpz4</t>
  </si>
  <si>
    <t>La irracionalidad política mayoritaria en las clases medias colombianas no le permite tener grandes perspectivas.… https://t.co/dSQ5rpuVUo</t>
  </si>
  <si>
    <t>Cómo es que Medellín en realidad puede volverse un distrito de innovación tecnológica? Aquí mi propuesta: https://t.co/QIybkmMvKK</t>
  </si>
  <si>
    <t>Me dijiste "loser", amigo Trump, ahora yo te digo a ti: "loser". @realDonaldTrump https://t.co/REA8C7aUm9</t>
  </si>
  <si>
    <t>RT @petrogustavo: Me dijiste "loser", amigo Trump, ahora yo te digo a ti: "loser". @realDonaldTrump https://t.co/REA8C7aUm9</t>
  </si>
  <si>
    <t>El uribismo al creer en la vieja idea del fantasma comunista, no comprende el mundo de hoy, esta absurdamente perdi… https://t.co/FaCS5pr2Do</t>
  </si>
  <si>
    <t>RT @petrogustavo: Me dijiste "loser", amigo Trump, ahora yo te digo a ti: "loser". @realDonaldTrump</t>
  </si>
  <si>
    <t>RT @ChalecosAmarill: 🎥🛑En #EEUU 🇺🇲 manifestación en Nueva York para celebrar la "derrota de Donald Trump" en las elecciones. #Election2020…</t>
  </si>
  <si>
    <t>Desde ayer el expresidente Uribe es una persona subjudice. Queda bajo juicio formal. Tanto sus seguidores como… https://t.co/KGr53DIeAY</t>
  </si>
  <si>
    <t>Excelente artículo sobre las "burbujas comunicacionales" y su uso por la extrema derecha en las redes, que las vuel… https://t.co/qCeo1D8gnp</t>
  </si>
  <si>
    <t>El poder de una organización está en su poder comunicacional, que es físico y virtual. Si el.progresismo invade lo… https://t.co/N5ClVsHV4r</t>
  </si>
  <si>
    <t>La mayor parte de los cultivadores de papa votaron por Duque. Duque logró la mayor importación de papá extranjera… https://t.co/yn4gAp4H7Z</t>
  </si>
  <si>
    <t>RT @samuelkaputt: Sigo soñando con q el despertar de Colombia llegará con @petrogustavo Les dejo esta canción q compuse para @ColombiaHuman…</t>
  </si>
  <si>
    <t>El éxito de una interlocución con el rival, está en que esta no se grosera, no puede ser igualmente pasional como l… https://t.co/ms358QHbTF</t>
  </si>
  <si>
    <t>RT @platom___: Hegel explica en la ‘Fenomenología’ que es el Amo quien lo quiere todo regalado. El Amo por definición no trabaja, solo cons…</t>
  </si>
  <si>
    <t>RT @charry_manager: LOSER... Quedaron plenas las vallas @petrogustavo https://t.co/5N5M3RvMe1</t>
  </si>
  <si>
    <t>Nuestras ciudades no se construyeron alrededor del agua sino contra el agua. Hoy aún hay alcaldes que canalizan y… https://t.co/jt82QsPY3P</t>
  </si>
  <si>
    <t>La triste realidad de nuestro pueblo: votar por el verdugo. Votas por el que enterrará a tus hijos en una fosa com… https://t.co/sixiJnI9py</t>
  </si>
  <si>
    <t>RT @petrogustavo: Cómo es que Medellín en realidad puede volverse un distrito de innovación tecnológica? Aquí mi propuesta: https://t.co/Q…</t>
  </si>
  <si>
    <t>RT @alfreserramanci: ¡¡Programón @lapizarraOK!! 🇧🇴🇪🇨Charla con @LuchoXBolivia y @ecuarauz 🇺🇸Especial Elecciones EEUU con J.L.R.Zapatero @d…</t>
  </si>
  <si>
    <t>Con Biden hay que abrir un diálogo constructivo alrededor de: 1.Un pacto verde para luchar conjuntamente contra el… https://t.co/E5S6KcogdU</t>
  </si>
  <si>
    <t>RT @petrogustavo: Con Biden hay que abrir un diálogo constructivo alrededor de: 1.Un pacto verde para luchar conjuntamente contra el cambi…</t>
  </si>
  <si>
    <t>El Goebbels colombiano. Cómo sobre la base de la mentira se puede llevar a millones, ccmo un rebaño, al matadero.… https://t.co/TnWKWeGuqQ</t>
  </si>
  <si>
    <t>Esta es mi columna " La Esperanza". Versa sobre el triunfo de Biden y sus implicaciones para Colombia La comenta… https://t.co/iNNecdTDMu</t>
  </si>
  <si>
    <t>RT @AndresCamiloHR: El matoneo de Luis Carlos Velez. https://t.co/EGciex83FH</t>
  </si>
  <si>
    <t>Un eco ancestral hace bailar a este indígena norteamericano de alegría. Ojalá sus espíritus ayuden a la humanidad y… https://t.co/0Llr2sozcI</t>
  </si>
  <si>
    <t>RT @Matador000: https://t.co/hG3cJC2lGt</t>
  </si>
  <si>
    <t>La alcaldesa ataca a los venezolanos pero resultó que eran policías. El camino fácil de la xenofobia para ocultar l… https://t.co/dFOHmXrn9G</t>
  </si>
  <si>
    <t>RT @JulianRoman: Mejor no lo pudo decir @iliacalderon 💪🏾🙏🏾 https://t.co/x2toXIgCR6</t>
  </si>
  <si>
    <t>RT @petrogustavo: La alcaldesa ataca a los venezolanos pero resultó que eran policías. El camino fácil de la xenofobia para ocultar la real…</t>
  </si>
  <si>
    <t>RT @petrogustavo: El Goebbels colombiano. Cómo sobre la base de la mentira se puede llevar a millones, ccmo un rebaño, al matadero. Colum…</t>
  </si>
  <si>
    <t>RT @petrogustavo: Esta es mi columna " La Esperanza". Versa sobre el triunfo de Biden y sus implicaciones para Colombia La comentaremos…</t>
  </si>
  <si>
    <t>No Terry. Sanders no se sumó a Biden, Sanders y Biden compitieron por el voto popular en las primarias del partido… https://t.co/FTgDs2oKGA</t>
  </si>
  <si>
    <t>RT @velascoluisf: Innecesaria descalificación la de @juanmanuelgalan en Semana de esfuerzos que algunos hacemos en @PartidoLiberal para evi…</t>
  </si>
  <si>
    <t>Iván, apoyaste el golpe de Estado, la dictadura y la masacre contra el pueblo boliviano, ahora llegó el momento de… https://t.co/aXXeB5PJoL</t>
  </si>
  <si>
    <t>Sobre @lcvelez https://t.co/9sRKRW3Ag6</t>
  </si>
  <si>
    <t>En estos 24,000 audios de llamadas interceptadas a Marlon Marín, con los agentes encubiertos de la DEA que creía na… https://t.co/LDZt9w5G1C</t>
  </si>
  <si>
    <t>RT @claudia26san: @SenorCaicedo @juanmanuelgalan @petrogustavo No distan mucho... https://t.co/cCvqrI7qdH</t>
  </si>
  <si>
    <t>RT @petrogustavo: En estos 24,000 audios de llamadas interceptadas a Marlon Marín, con los agentes encubiertos de la DEA que creía narcos m…</t>
  </si>
  <si>
    <t>Cuando los jóvenes del programa de educación de la Bogotá Humana: "Generación de Paz" firmaron un manifiesto por la… https://t.co/g6fX0mx1wf</t>
  </si>
  <si>
    <t>Este es el manifiesto en defensa de la Democracia, que firmé con varios lideres y lideresas progresistas de América… https://t.co/coXMrauZGS</t>
  </si>
  <si>
    <t>Estoy en vivo con @gustavobolivar en la lectura de las columnas, hoy nos acompaña el columnista @ArielAnaliza… https://t.co/RrPiZgFq06</t>
  </si>
  <si>
    <t>Estoy en vivo con @gustavobolivar en la lectura de las columnas, hoy nos acompaña el columnista @ArielAnaliza… https://t.co/Rj3nEDWnG5</t>
  </si>
  <si>
    <t>Otra vez impiden en Bogotá que los sacerdotes ayuden a los habitantes de calle. La misma política de Peñalosa de ha… https://t.co/jqvh4uEIyp</t>
  </si>
  <si>
    <t>Claudia, el programa territorios saludables con médico(a)s visitando de los hogares y profesionales de la atención… https://t.co/On6HfxCMTx</t>
  </si>
  <si>
    <t>La vacuna de Pfizer que hasta el momento es efectiva en 90% en tercera fase, la definitiva, irá primero a EEUU y so… https://t.co/FqPL1QnUXm</t>
  </si>
  <si>
    <t>Se necesita un acuerdo mundial multilateral para que la molécula de la vacuna pueda ser producida por todos los lab… https://t.co/LpbaqV4Gh8</t>
  </si>
  <si>
    <t>RT @MJDuzan: Esta investigación confirma que si hubo una operación de entrampamiento de la DEA y de la fiscalía de NHM contra Márquez y San…</t>
  </si>
  <si>
    <t>Señores y señoras, Santrich y Márquez fueron llevados a una trampa montada por la Fiscalía General para romper los… https://t.co/zunnfr3BDq</t>
  </si>
  <si>
    <t>Le solicito a la JEP recaudar todos los audios de las conversaciones de Marlon Marín y solicitar al próximo gobier… https://t.co/SyQrAzFVjP</t>
  </si>
  <si>
    <t>Es pavorosa la capacidad de Néstor Humberto Martínez para destruir el proceso de Paz. Condenó a miles de colombian… https://t.co/rLnSFaZ8re</t>
  </si>
  <si>
    <t>RT @petrogustavo: Es pavorosa la capacidad de Néstor Humberto Martínez para destruir el proceso de Paz. Condenó a miles de colombianos a l…</t>
  </si>
  <si>
    <t>RT @PizarroMariaJo: Así es Alcaldesa @ClaudiaLopez gran iniciativa de la Bancada Femenina de la @ColombiaHumana_ @susanamuhamad @heidy_up…</t>
  </si>
  <si>
    <t>La bancada de Colombia Humana en el concejo de Bogotá logró hacer aprobar su propuesta de declaratoria de emergenci… https://t.co/32oHRwcO6R</t>
  </si>
  <si>
    <t>RT @ChalecosAmarill: 🎥🛑En #Peru #ULTIMO EL PUEBLO SE LEVANTA!!! 🔻La marcha se desplaza por la avenida Abancay, rumbo al congreso. https://…</t>
  </si>
  <si>
    <t>RT @ChalecosAmarill: 🗞🛑La Asamblea de #Bolivia aprueba seis procesos penales en contra de @JeanineAnez, once de sus ministros de y siete o…</t>
  </si>
  <si>
    <t>RT @evoespueblo: Hoy, cuando #Potosí celebra la efemérides del departamento, estamos aquí. Felicitaciones afectuosas al pueblo potosino por…</t>
  </si>
  <si>
    <t>Reacción popular peruana contra otro presidente que se autoproclama. Merino. https://t.co/TqrtxYyHGt</t>
  </si>
  <si>
    <t>Nueva masacre en Antioquia. vereda Palermo, municipio de Támesis. https://t.co/sCRxXgsM7w</t>
  </si>
  <si>
    <t>La trampa puesta por la fiscalía a Santrich y Márquez es una trampa contra Colombia No porque Santrich o Márquez r… https://t.co/wdkdQMMYx6</t>
  </si>
  <si>
    <t>Claro que querían extraditar a Santrich y Marques con cocaina puesta por la fiscalía y con agentes al servicio de l… https://t.co/F4qMsdDM5p</t>
  </si>
  <si>
    <t>Lanpolitica de la extrema derecha y la corrupción necesitan de la guerra, el narcotráfico necesita de la guerra. E… https://t.co/TGiWnM315H</t>
  </si>
  <si>
    <t>Necesitan de las FARC en guerra para poder legitimar las masacres, los asesinatos de líderes sociales, la construcc… https://t.co/qjNJky9HGT</t>
  </si>
  <si>
    <t>En la trampa puesta por la fiscalía , esta y la DEA trataban de enlodar la campaña de Colombia Humana con un futuro… https://t.co/5ZI3bhkLTE</t>
  </si>
  <si>
    <t>Sin ninguna duda las llamadas disidencias de las FARC son una construcción premeditada del gobierno para excusar la destrucción de La Paz.</t>
  </si>
  <si>
    <t>En EEUU hay una persona que debe responder por esta trampa contra la paz de Colombia: Elliot Abrams, condenado por… https://t.co/PT68t9LEIJ</t>
  </si>
  <si>
    <t>RT @Betocoralg: Esto es grave. El propio Alvaro Uribe y el gob de @IvanDuque interfirió en política interna de los 🇺🇸. Apoyaron a todos l…</t>
  </si>
  <si>
    <t>Es por esto que si queremos cambiar a Colombia lo primero que hay que hacer es sacar millones de votos para cambiar… https://t.co/4btNcwYZ28</t>
  </si>
  <si>
    <t>RT @susanamuhamad: Gracias al trabajo colectivo de ciudadanos, activistas, organizaciones ambientales, instituciones educativas, al @Concej…</t>
  </si>
  <si>
    <t>Pero la cocaína con la que querían extraditar a Santrich era de la fiscalía y el señor Marlon Marín trabajaba con e… https://t.co/0LeoZQJB2c</t>
  </si>
  <si>
    <t>No solo se trata que las listas que se conformen en unas elecciones sean paritarias respecto al genero. Vote si a e… https://t.co/vf3EAqAHvS</t>
  </si>
  <si>
    <t>RT @charry_manager: Recuerdos de un dia como hoy en 2015... @_CLACSO https://t.co/LEWl8lkAFL</t>
  </si>
  <si>
    <t>Claro que el día sin carne es importante porque la rama mundial de producción de carne a través de ganaderías estab… https://t.co/OB1jZImdYx</t>
  </si>
  <si>
    <t>RT @petrogustavo: No solo se trata que las listas que se conformen en unas elecciones sean paritarias respecto al genero. Vote si a eso, pe…</t>
  </si>
  <si>
    <t>RT @ChalecosAmarill: 🎥🛑En #Bolivia IMPRESIONANTE Orinoca!!! 🔻Llega Evo a su tierra natal, hermanos y hermanas le esperaban con música y da…</t>
  </si>
  <si>
    <t>RT @elsemblante: Dice @IvanDuque: "Vamos a multiplicar por 20 la capacidad de energía solar con páneles en Colombia". Cuando @petrogustav…</t>
  </si>
  <si>
    <t>La respuesta del gobernador del Magdalena: Carlos Caicedo a los ataques de @lcvelez https://t.co/4YCcjbg8qX</t>
  </si>
  <si>
    <t>Lo que hizo la fiscalía de Néstor Humberto Martínez con la ayuda del gobierno de Trump, a través de Elliot Abrams,… https://t.co/qbQAegq7hR</t>
  </si>
  <si>
    <t>En solo unos meses, la policía dejó morir nueve jóvenes incinerados en Soacha, el INPEC mató 23 presos indefensos e… https://t.co/GybdL6TRlF</t>
  </si>
  <si>
    <t>Profundamente lamentable lo que sucede en la revista Semana. Me parece que un medio debe escoger una planta perio… https://t.co/TcAYUfN2bP</t>
  </si>
  <si>
    <t>He presentado una proposición con varios senadores de diversos partidos para citar a debate al gobierno e invitar a… https://t.co/3L9KetuBDC</t>
  </si>
  <si>
    <t>El protocolo contra el acoso sexual que será norma en Colombia Humana y ejemplo para el país se construirá con la p… https://t.co/p6VWn6LqHH</t>
  </si>
  <si>
    <t>RT @petrogustavo: He presentado una proposición con varios senadores de diversos partidos para citar a debate al gobierno e invitar a la ju…</t>
  </si>
  <si>
    <t>La papa de Bélgica que se importa, viene con subsidios del PAC, la política alimentaria europea, por eso es mucho m… https://t.co/xUIxXjj3b4</t>
  </si>
  <si>
    <t>Duque permite la importación de alimentos subsidiados que destruyen nuestra economía, porque eso abarata la aliment… https://t.co/1njpCyvd2C</t>
  </si>
  <si>
    <t>En el 2022 Duque habrá escogido los registradores. El que escruta elige, decía el sacerdote Camilo Torres. https://t.co/9lTXunOnkj</t>
  </si>
  <si>
    <t>Todas las mujeres que hacen parte del movimiento Colombia Humana tienen pleno derecho a participar en la elaboració… https://t.co/AtPTX1wD28</t>
  </si>
  <si>
    <t>RT @petrogustavo: La papa de Bélgica que se importa, viene con subsidios del PAC, la política alimentaria europea, por eso es mucho más bar…</t>
  </si>
  <si>
    <t>Así informó la prensa local el mismo día del incendio del CAi de San Mateo de Soacha, con 11 heridos en ese momento… https://t.co/q8tMX4HhEW</t>
  </si>
  <si>
    <t>El gobernador de Cundinamarca se expresó así de los hechos de San Mateo, Soacha. No fue capaz de investigar más a… https://t.co/yFp5x1e2Kj</t>
  </si>
  <si>
    <t>Los hechos de la muerte de 9 personas incineradas en el CAI San Mateo se produce en medio de la.protesta ciudadana… https://t.co/ehiRH8fHcQ</t>
  </si>
  <si>
    <t>Casi paralelo al asesinato de Javier Ordoñez se realizó esta masacre de seres humanos incinerados en el CAI de San… https://t.co/tDAXMpCANL</t>
  </si>
  <si>
    <t>El contralor de Odebrecht, postulado por Duque para disciplinar a los jueces. Buscan arrodillar la justicia a la c… https://t.co/OK7VSIE0wb</t>
  </si>
  <si>
    <t>Si se fuera coherente con la declaratoria de emergencia climática de Bogotá, debería arrancar un plan de transforma… https://t.co/nJpHCMm5jP</t>
  </si>
  <si>
    <t>RT @Margaritarosadf: Yo sigo escuchando con mucha atención a @petrogustavo . Tiene un proyecto de gobierno muy claro y esperanzador. Los G…</t>
  </si>
  <si>
    <t>RT @heidy_up: El concejal de Soacha @HeinerGaitan ya había denunciado el caso de la estación y ha sido recurrente en develar el paramilitar…</t>
  </si>
  <si>
    <t>Esta es la manifestación que recibe a Evo Morales en Bolivia. https://t.co/v6UWyFc9Lu</t>
  </si>
  <si>
    <t>RT @AndresCamiloHR: #OFICIAL Quedo aprobada la proposición de los senadores @petrogustavo @RoyBarreras @IvanCepedaCast @AntonioSanguino y @…</t>
  </si>
  <si>
    <t>En que país decente del mundo, no renuncia el director de la policía que le oculta durante un mes al todo un país,… https://t.co/tdAPkjplQT</t>
  </si>
  <si>
    <t>RT @Margaritarosadf: No crean que mi simpatía con el proyecto de @petrogustavo es para que me den ministerio. Lo que mejor he aprendido a h…</t>
  </si>
  <si>
    <t>23 muertos asesinados por la policía y 23 muertos por el Inpec. El gobierno ha asesinado 46 personas en la capital… https://t.co/361OdVAE4N</t>
  </si>
  <si>
    <t>Por el asesinato cometido por la fuerza armada del gobierno nacional contra las 46 personas en condiciones de indef… https://t.co/sujpvwCzDh</t>
  </si>
  <si>
    <t>Elliot Abrams, quien ya había construido el mecanismo de armar con cocaína vendida por la CIA y entregada por Pablo… https://t.co/SMvmzklbCo</t>
  </si>
  <si>
    <t>RT @evoespueblo: Volví a mi casita de Orinoca para recordar mi niñez, a mis padres, a mis hermanos y a mi hermana Esther que partió este añ…</t>
  </si>
  <si>
    <t>Al fiscal de Odebrecht y destructor de la paz: Néstor Humberto Martínez, lo premian con la embajada en donde tiene… https://t.co/U7Ky8VUzzk</t>
  </si>
  <si>
    <t>RT @carlosecaicedo: Sr. @lcvelez, en un acto de caballerosidad cuéntele al país que no solo su suegro CHAR trabaja en la @CGR_Colombia, su…</t>
  </si>
  <si>
    <t>RT @nicolaspetroB: El periodismo que está al servio del clan Char y de los Cotes, quiere a toda costa tumbar al gobernador @carlosecaicedo.…</t>
  </si>
  <si>
    <t>RT @ManuelBeltrn14: Alexandria Ocasio Cortez denuncia que la élite liberal del Partido Demócrata quiere sacar del camino al ala progresista…</t>
  </si>
  <si>
    <t>RT @maromero86: El único político latinoamericano que tiene un discurso progresista, industrializador y creador de riqueza capitalista, dem…</t>
  </si>
  <si>
    <t>Al concejal de la Colombia Humana Heiner Gaitán por sus denuncias sobre la brutalidad policial en Soacha, lo han am… https://t.co/IVao4apbUm</t>
  </si>
  <si>
    <t>RT @andresarellanob: De la misma manera que les mintieron con Santrich, les han mentido toda la vida con la droga, con la guerra en Colombi…</t>
  </si>
  <si>
    <t>Este es el alcalde uribista de Soacha. "No mueren por el incendio sino por el humo" dice. Permaneció impasible y e… https://t.co/ouXS0SLRNW</t>
  </si>
  <si>
    <t>RT @AndresCamiloHR: A esta hora el senador @petrogustavo participa de foro sobre procesos de movilización en Bolivia, Chile y Colombia, org…</t>
  </si>
  <si>
    <t>ALERTA Se alista gran fraude electoral para las elecciones del 2022. El congreso deroga la ley de garantías y le… https://t.co/FgEVyadahK</t>
  </si>
  <si>
    <t>De acuerdo a Cifras y Conceptos Felipe Harman, alcalde de Colombia Humana de Villavicencio es el mejor alcalde de l… https://t.co/OREqa7UDQW</t>
  </si>
  <si>
    <t>RT @petrogustavo: ALERTA Se alista gran fraude electoral para las elecciones del 2022. El congreso deroga la ley de garantías y le permi…</t>
  </si>
  <si>
    <t>La extrema derecha ha tomado el gobierno del Perú a través de un golpe de Estado. https://t.co/5erddIWqK0</t>
  </si>
  <si>
    <t>El cartel del volteo de tierras en la Sabana de Bogotá, eligió gobernador, impuso el cambio de la Constitución con… https://t.co/zBMWxfBjhl</t>
  </si>
  <si>
    <t>Así recibió España el nombramiento de Nestor Humberto Martínez, como embajador de Colombia. El gran saboteador de… https://t.co/JbFvObBG5t</t>
  </si>
  <si>
    <t>RT @heidy_up: Admirable labor del concejal @HeinerGaitan, quien ya había denunciado el caso de los 9 jóvenes incinerados y ha sido constant…</t>
  </si>
  <si>
    <t>RT @ChalecosAmarill: 🎥🛑Nexos con paramilitares, masacres y una presunta participación en golpes de estado. @IntlCrimCourt 🔻¿Qué más hay en…</t>
  </si>
  <si>
    <t>Ayer logramos detener la derogatoria de la ley de garantías electorales en último momento, logrando empatar la vota… https://t.co/R5vYd0UHWQ</t>
  </si>
  <si>
    <t>RT @JulianRoman: Señores de @MedimasEPS llevamos más de dos meses esperando unas autorizaciones para mi padre. Ya agotamos todas las instan…</t>
  </si>
  <si>
    <t>Aquí un breve relato de las mentiras de Peñalosa. El SITP no tiene déficit, lo que necesita es aporte del presupue… https://t.co/1DcJUXxA2Z</t>
  </si>
  <si>
    <t>RT @ricardobonillag: Peñalosa aumentó tarifas 33% y redujo capacidad pago de usuarios, como consecuencia 100.000 personas diarias se bajaro…</t>
  </si>
  <si>
    <t>RT @charry_manager: José Orlando Velandia Otavo, el @PoliciaBogota que ocultando el uniforme en actitud paramilitar atacó a manifestantes,…</t>
  </si>
  <si>
    <t>RT @pierrealee: Esto le escribía Santrich al fiscal Nestor Humberto Martinez, el 27 de Octubre de 2018. @FiscaliaCol https://t.co/tDk0DNdz…</t>
  </si>
  <si>
    <t>La dictadura peruana ha comenzado su masacre en Perú. Qué hace @Almagro_OEA2015 ¿cual la posición de Duque? https://t.co/164XuXqNFU</t>
  </si>
  <si>
    <t>RT @CMonteroOficial: Resultados finales #Elecciones https://t.co/0Vj4GND3W6</t>
  </si>
  <si>
    <t>Yo si creo que Colombia necesita de un liberalismo socialdemócrata. https://t.co/AGrdXN1GZs</t>
  </si>
  <si>
    <t>Así tratan a los verdaderos dueños del territorio: los campesinos. Esto ocurre en Briceño, Antioquia. https://t.co/EJuAOJZZuN</t>
  </si>
  <si>
    <t>RT @petrogustavo: Si se fuera coherente con la declaratoria de emergencia climática de Bogotá, debería arrancar un plan de transformación d…</t>
  </si>
  <si>
    <t>Perú se levanta por la democracia https://t.co/qYUIchJ9CI</t>
  </si>
  <si>
    <t>La clase política que ha gobernado a Cundinamarca últimamente ha surgido del cartel de volteo de tierras del Occide… https://t.co/dha9frR3JB</t>
  </si>
  <si>
    <t>RT @moecolombia: ¡OJO! El #CódigoElectoral pretende derogar algunas medidas de la Ley de Garantías (Ley 996 de 2005) que promueven la trans…</t>
  </si>
  <si>
    <t>Esta es la confesión del fracaso del gobierno en la reactivación económica: economía puede decrecer 10%, el doble d… https://t.co/UVFfg0TeKw</t>
  </si>
  <si>
    <t>Quieren matar a Feliciano Valencia, líder indígena y senador, y a su familia. Feliciano Valencia dirigente de la m… https://t.co/SQnb2zp2iZ</t>
  </si>
  <si>
    <t>Importan fascistas. Dice el progresismo español acerca de Néstor Humberto Martínez. https://t.co/uGdORBqKcV</t>
  </si>
  <si>
    <t>Es el gobierno quien debería comprar la papa de los campesinos y otras cosechas para ponerla en venta en dispensari… https://t.co/H7C1aPugTO</t>
  </si>
  <si>
    <t>Mientras el gobierno no implemente una política de soberanía alimentaria, le corresponde a la sociedaď dejar de com… https://t.co/UUGnEyHBMG</t>
  </si>
  <si>
    <t>Jesucristo jamás hubiera organizado paramilitares, jamás hubiera encubierto narcotraficantes, jamás hubiera confund… https://t.co/LfqAo8rttd</t>
  </si>
  <si>
    <t>Chocó se inunda. La navegabilidad del río Atrato pondría a Quibdó frente al mundo, y quien lo dijera, con un ferro… https://t.co/nbDyedfcLp</t>
  </si>
  <si>
    <t>Una lectura para considerar la propuesta de un pacto nacional. La idea de Humberto de la Calle, que olvidó Humbert… https://t.co/H7vmjbBa2b</t>
  </si>
  <si>
    <t>Los derechos de la gente los garantiza el mercado o los movimientos sociales surgen como lucha de la gente para gar… https://t.co/5rbnvIgHTV</t>
  </si>
  <si>
    <t>La libertad es la defensa del individuo ante el Estado o es la apropiación del Estado por una sociedad que quiere ser autónoma?</t>
  </si>
  <si>
    <t>La libertad del individuo ante el Estado conduce a estados raquíticos espectadores de una inmensa desigualdad socia… https://t.co/Sz7bAp1Tu6</t>
  </si>
  <si>
    <t>Le dijimos a Cartagena en la campaña presidencial que su territorio sería afectado gravemente por el cambio climáti… https://t.co/RhwwhCr963</t>
  </si>
  <si>
    <t>Los derechos individuales, frente al estado y frente a los poderes económicos no son antagónicos frente a los derec… https://t.co/mHlFLe79nb</t>
  </si>
  <si>
    <t>Una familia campesina entera de luchadores por la restitución de tierra fue masacrada en Tierralta, Córdoba. ¿Quie… https://t.co/DF3miLzhSQ</t>
  </si>
  <si>
    <t>Ordenar el territorio alrededor del agua y no contra el agua, es la máxima de la adaptación al cambio climático.… https://t.co/l7XEndteK7</t>
  </si>
  <si>
    <t>El desarrollo debe consultar la capacidad de tener agua. Una civilización ecológica. La nueva narrativa en China. https://t.co/miuEFqwMXn</t>
  </si>
  <si>
    <t>Si no se le dio al campesinado la forma de traer su papa, solo llegará la papa de los revendedores. Por eso es imp… https://t.co/pc3LMySMM6</t>
  </si>
  <si>
    <t>Colombia Humana propuso en la campaña presidencial reconstruir el IDEMA para comprar cosechas con precios de susten… https://t.co/HJq7ugg43j</t>
  </si>
  <si>
    <t>RT @petrogustavo: Jesucristo jamás hubiera organizado paramilitares, jamás hubiera encubierto narcotraficantes, jamás hubiera confundido la…</t>
  </si>
  <si>
    <t>Hermanas, para la configuración del protocolo contra el acoso y la igualdad de la mujer, en Colombia Humana, usen t… https://t.co/XeozOFaLWS</t>
  </si>
  <si>
    <t>RT @alexbernalradio: A los golpes también se aprende https://t.co/gSc9kUiAD8</t>
  </si>
  <si>
    <t>RT @ChalecosAmarill: 🎥🛑Censuraron su vídeo, su letra... Pero nunca pudieron censurar su mensaje. 🔻Su grito de #TheyDontCareAboutUs se acab…</t>
  </si>
  <si>
    <t>Proteger a la niñez implica proteger a la niñez de las mafias del narcotráfico. Pero con su política el centro demo… https://t.co/sDmRVT5SAh</t>
  </si>
  <si>
    <t>RT @petrogustavo: Hermanas, para la configuración del protocolo contra el acoso y la igualdad de la mujer, en Colombia Humana, usen todos l…</t>
  </si>
  <si>
    <t>Cuando el Estado no compra la cosecha o no pone los medios para que el campesino llegue directamente al mercado, te… https://t.co/BxxcgOqSfp</t>
  </si>
  <si>
    <t>Uribe me va a acusar de traer 600.000 venezolanos para votar. Quienes trajeron un millón y medio de venezolanos fu… https://t.co/qrODPpvN7m</t>
  </si>
  <si>
    <t>En medio de la histeria que les produce su desplome, el uribismo cree que Maduro es tan estúpido de mandar sus prop… https://t.co/AEmIetUdX6</t>
  </si>
  <si>
    <t>SOS Chocó. Chocó esta bajo el agua. La depredación de las riberas de los ríos por la minería, la pandemia, la viol… https://t.co/jvLsWhCpKJ</t>
  </si>
  <si>
    <t>RT @RazonPublica: #CandidaturaPetro A diferencia de Robledo, la mayoría del Polo está dispuesta a hacer una consulta con Petro antes de la…</t>
  </si>
  <si>
    <t>SOS Chocó. Se han desatado en el mundo las nuevas esclavitudes. El éxodo, los desplazamientos motivados por el cam… https://t.co/PjkHtqGM23</t>
  </si>
  <si>
    <t>El gobierno nacional debe ordenar la suspensión definitiva de vertimiento del agua del río Bogotá en la represa del… https://t.co/8UYBHnwvyu</t>
  </si>
  <si>
    <t>RT @petrogustavo: SOS Chocó. Se han desatado en el mundo las nuevas esclavitudes. El éxodo, los desplazamientos motivados por el cambio cl…</t>
  </si>
  <si>
    <t>Cartagena bajo el agua. El plan de adaptación contra el cambio climático hecho por la cámara de comercio solo salv… https://t.co/62etoAzTmr</t>
  </si>
  <si>
    <t>Le solicitaría a Ramiro que en la tragedia de la papa, dejen de priorizar los intermediarios amigos. Que sean las a… https://t.co/mcJcNcsuXe</t>
  </si>
  <si>
    <t>RT @CesarPachonAgro: La mejor papa del mundo alistándose para llegar a Bogotá. Directo de campesinos para una ciudadanía dispuesta a colabo…</t>
  </si>
  <si>
    <t>RT @CIDH: #Colombia🇨🇴 La @CIDH condena el asesinato de Onilda Díaz, Tomás Correa y su hija, Luisa Fernanda Correa Díaz, en Tierralta, Córdo…</t>
  </si>
  <si>
    <t>Flora Tristán, feminista y luchadora social. Nunca separó la lucha por la igualdad de género de la emancipación de… https://t.co/UobSlENFAs</t>
  </si>
  <si>
    <t>No soy uribista, y parte de lo que sucede allí es precisamente por ese tipo de proyecto político, pero le ayudo ami… https://t.co/bqYfp8rHdK</t>
  </si>
  <si>
    <t>RT @HOLLMANMORRIS: Oigan a esta mujer Isabel Cristina Zuleta. Campesina, una vida defendiendo a los campesinos de Antioquia de los interes…</t>
  </si>
  <si>
    <t>La pena de muerte que existe en Colombia. En plena capital de Colombia y sus alrededores, el estado ha matado 46… https://t.co/JpGAFUUbzb</t>
  </si>
  <si>
    <t>Hoy a las 7 p.m. comentaremos mi columna de hoy: Política sin propósitos. https://t.co/VH0kJqLUhh</t>
  </si>
  <si>
    <t>Se está derrumbando la dictadura peruana ante el empuje de la movilización popular. https://t.co/wG44UrKGOE</t>
  </si>
  <si>
    <t>RT @datoatipico: Petro proponía reactivar el agro como eje fundamental de la economía colombiana. Incluso propuso pensionar a los ancianos…</t>
  </si>
  <si>
    <t>Despues de dos muertos y 70 heridos, 13 ministros renuncian en Perú. El pueblo se ha levantado exigiendo democraci… https://t.co/8QLxyPbVKO</t>
  </si>
  <si>
    <t>Excelente análisis de lo que significa ordenar el territorio alrededor del agua, y de como padecemos la triste hist… https://t.co/pv1SzzUt6s</t>
  </si>
  <si>
    <t>Alguna vez pregunté públicamente si las obras que los Char hacían en Barranquilla tan alabadas por la prensa, se c… https://t.co/JOR06Zqw17</t>
  </si>
  <si>
    <t>Ha renunciado el dictador de seis días en el Perú. https://t.co/iTdbv7C3sW</t>
  </si>
  <si>
    <t>Así celebra el pueblo peruano la caída del dictador. https://t.co/KNnzkX3gbS</t>
  </si>
  <si>
    <t>Esto decía en el 2018 sobre Cartagena y el cambio climático. Juzguen ustedes si estábamos equivocados, juzguen uste… https://t.co/ybGXb2xsch</t>
  </si>
  <si>
    <t>Sergio Arboleda era dueño de 90 adultos y 113 niños esclavizados. Para detener la libertad definitiva de los escla… https://t.co/JmIqna22bC</t>
  </si>
  <si>
    <t>Bajo la figura de Sergio Arboleda se educa hoy, una élite de abogados y abogadas. El derecho bajo el nombre de un esclavista militante.</t>
  </si>
  <si>
    <t>Insultos como este nos dicen que trabajamos en lo justo. https://t.co/zlETUTYY6H</t>
  </si>
  <si>
    <t>Indudablemente hay que renegociar los TLC para proteger la producción nacional y centrar el esfuerzo en la agricult… https://t.co/far9MRRUH4</t>
  </si>
  <si>
    <t>Bienvenida la aspiración presidencial de @AlexLopezMaya, dirigente obrero y parlamentario del Polo. https://t.co/AIkZ1ZpWh3</t>
  </si>
  <si>
    <t>¿Qué políticas son las que hacen peor la vida de las mujeres? Hacia una agenda feminista de la Colombia Humana. https://t.co/UhaPeTna0h</t>
  </si>
  <si>
    <t>Conocí a Lara Parada en el esfuerzo de coordinar los movimientos regionales que luchábamos, él en Barrancabermeja y… https://t.co/37Sgfftzmz</t>
  </si>
  <si>
    <t>RT @petrogustavo: Hoy a las 7 p.m. comentaremos mi columna de hoy: Política sin propósitos. https://t.co/VH0kJqLUhh</t>
  </si>
  <si>
    <t>Estoy en vivo con @gustavobolivar en la lectura de las columnas, hoy nos acompaña la periodista @zuluagacamila… https://t.co/y3tUcMeh5v</t>
  </si>
  <si>
    <t>Cuando la papa está lavada y en bolsa plástica, es señal que es papa de intermediarios y no la que vende directamen… https://t.co/3K73HDCxBp</t>
  </si>
  <si>
    <t>Atentado contra toda la familia de la concejal Eneriet Penna de Puerto Guzmán, Putumayo. Ella no sobrevivió ni su e… https://t.co/QOPYWSGtdN</t>
  </si>
  <si>
    <t>RT @ammejiaaguado: .@petrogustavo una y otra vez con sus acertados discursos nos pone en alerta ante los eminentes riesgos q trae el cambio…</t>
  </si>
  <si>
    <t>RT @ismene2: Ve, el 16 de noviembre de 1989 el mundo se conmovió con el asesinato de los jesuitas: Ignacio Ellacuría, filósofo, rector de…</t>
  </si>
  <si>
    <t>Alias "Toto", socio santandereano y amigo íntimo de alias "el Ñeñe", simulaba ser ganadero mientras construía una r… https://t.co/qGIz0dghUg</t>
  </si>
  <si>
    <t>RT @ChalecosAmarill: 🎥🛑🎥🛑Un mensaje claro para los POLICIAS y FFAA del mundo. 👀👇 https://t.co/lbeTX5W1UO</t>
  </si>
  <si>
    <t>El huracán en categoría tres y sobre San Andrés y Providencia. Hubo evacuación? No. Existió algún plan ante la cris… https://t.co/WoTiIWlhQ2</t>
  </si>
  <si>
    <t>La expansión de los virus y las grandes ganaderías y monocultivos. Es necesario introducir diversidad en las ganad… https://t.co/dhWiec3dfH</t>
  </si>
  <si>
    <t>RT @Matador000: @ClaudiaLopez no tiene sangre en la cara a la hora de hacer demagogia con la tragedia de los pobres, que en su ignorancia d…</t>
  </si>
  <si>
    <t>RT @Gabocolombia76: Este tipo de amenaza es fácilmente identificable, pues no todo mundo usa este tipo de términos. https://t.co/jJ7xCEdu7U</t>
  </si>
  <si>
    <t>Muy bien. Por este camino de investigación que acoge el problema mundial del cambio climatico, el MOIR podría llega… https://t.co/6c0813cncW</t>
  </si>
  <si>
    <t>Esta es una de las peores noticias que podría recibir la humanidad. Gigantescas reservas congeladas de gas metano,… https://t.co/HUiJSB0jx1</t>
  </si>
  <si>
    <t>El calentamiento global provoca un cambio drástico del ciclo del agua a escala planetaria que desata la crisis clim… https://t.co/cPkJLTAfKd</t>
  </si>
  <si>
    <t>Si no se frena el uso de hidrocombustibles en todo el planeta se producen efectos que nos pueden llevar en cualquie… https://t.co/A8h4FreJxM</t>
  </si>
  <si>
    <t>Aunque usted no lo crea, es la emisión de gases efecto invernadero producido por la acumulación de capital en el mu… https://t.co/go4F14DaY2</t>
  </si>
  <si>
    <t>Ante la ferocidad del cambio climático Colombia debe adaptar a su territorio y su gente para conservar la vida, lo… https://t.co/lxdi7zRBbu</t>
  </si>
  <si>
    <t>El plan verde que proponemos implica una reforma agraria para que campesinos dejen de vivir en riesgo en zonas del… https://t.co/N5dW3gRPaH</t>
  </si>
  <si>
    <t>En el programa de la Colombia Humana se concretiza un plan para adaptar a Colombia al cambio climático y para desca… https://t.co/bgsNNYp1M1</t>
  </si>
  <si>
    <t>La decarbonizacion se basa en cinco elementos: paneles solares en los techos que reactiva la construcción de manera… https://t.co/oC7qcB6kjG</t>
  </si>
  <si>
    <t>La electrificación del transporte que implica pasar a reconstruir la red férrea nacional, la transformación de tron… https://t.co/yt3BPsGOMl</t>
  </si>
  <si>
    <t>La descarbonizacion de nuestra economía implica proteger de importaciones la agricultura y la industria con tasas p… https://t.co/XP8cfjU2AC</t>
  </si>
  <si>
    <t>Han colapsado albergues en Providencia, no resistieron la fuerza del huracán. https://t.co/M6PTEZEzZW</t>
  </si>
  <si>
    <t>RT @ammejiaaguado: Hasta dónde van mis conocimientos el campesino vende y despacha su producto x cargas; nunca en mí larga existencia he vi…</t>
  </si>
  <si>
    <t>Simple Carlos. Si el directo productor de papá pudiera lavar, comprar bolsas plásticas y disminuir el tamaño del em… https://t.co/feo4GoRqv3</t>
  </si>
  <si>
    <t>El plan de adaptación al cambio climaticos liberando espacios del agua implica la generación de centenares de mile… https://t.co/nVE6LNPlGs</t>
  </si>
  <si>
    <t>Cómo se financia el plan de adaptación y mitigación del cambio climático? A través del cambio de prioridades de inv… https://t.co/1u0tYP7vw8</t>
  </si>
  <si>
    <t>RT @AliWkd: Toda San Andrés sin electricidad. Sopesa acaba de confirmar que el sistema eléctrico sufrió importantes afectaciones durante ho…</t>
  </si>
  <si>
    <t>RT @AliWkd: Como isleño, la situación de hoy nos deja un mensaje claro: fuimos, somos y seguiremos siendo un pedazo de tierra olvidado por…</t>
  </si>
  <si>
    <t>Prefirieron mantener el turismo en San Andrés que evacuar la población de Providencia. Su población hoy busca refug… https://t.co/gSI4yTATF8</t>
  </si>
  <si>
    <t>RT @Vero_Mendoza_F: Ha llegado el momento de ponernos nuevamente de pie De reencontrarnos y unirnos De alzar la voz De recuperar lo que es…</t>
  </si>
  <si>
    <t>RT @Vero_Mendoza_F: 1/2 Quienquiera que presida el gobierno de transición tendrá que lidiar con una mayoría parlamentaria mafiosa y de espa…</t>
  </si>
  <si>
    <t>RT @MColombiaHumana: https://t.co/iJ6Rcm28dk</t>
  </si>
  <si>
    <t>RT @AliWkd: Aumenta la intesidad de lluvias en San Andrés. Se prolonga la tensión e incertidumbre social. Población está sufriendo las hora…</t>
  </si>
  <si>
    <t>No confundir movimiento con redes. Todas las mujeres de Colombia Humana tienen derecho a hablar, a opinar. Es neces… https://t.co/hZEIa0HLcg</t>
  </si>
  <si>
    <t>RT @AliWkd: Providencia sigue siendo una incognita. Lo poco que se sabe son rumores y vagas declaraciones oficiales. El daño es bastante su…</t>
  </si>
  <si>
    <t>En las elecciones de gobiernos locales de Brasil Bolsonaro obtuvo una estruendosa derrota. Avanzaron las fuerzas pr… https://t.co/Q9Ji8jiP7h</t>
  </si>
  <si>
    <t>En el condado de Orange en el Estado de la Florida, EEUU, los electores votaron por una ley que le otorga derechos… https://t.co/u0fJ9tFSeG</t>
  </si>
  <si>
    <t>Miren este cuento tan estúpido, Maduro mandó sus propios electores para Colombia. Es como si Uribe mandara sus elec… https://t.co/Is7W5RZFHs</t>
  </si>
  <si>
    <t>Votamos en contra de los TLC en el Congreso de Colombia y yo mismo fuí a EEUU a dialogar con el partido demócrata p… https://t.co/nE6mZQaWRD</t>
  </si>
  <si>
    <t>Evacuación masiva en Nicaragua. https://t.co/1qPYevVQE9</t>
  </si>
  <si>
    <t>Así sí es. Es la cultura anfibia que un supuesto desarrollo de Colombia no reconoce. la cultura anfibia va a ser mu… https://t.co/XrCLQv3xUT</t>
  </si>
  <si>
    <t>RT @DanielRMed: A @angelamrobledo a @Juanaafanador1 y a varias personas que han decidido abandonar el proyecto más ambicioso, transformador…</t>
  </si>
  <si>
    <t>Carlos, igual que tengo que criticarle su papel en la configuración de la región metropolitana que puso en manos d… https://t.co/Ru2mLfnDtY</t>
  </si>
  <si>
    <t>El wiki plan hecho por el candidato presidencial Andrés Arauz a la presidencia del Ecuador. https://t.co/ahDzkzXrVM</t>
  </si>
  <si>
    <t>RT @LulaOficial: 1 - A extrema direita de Bolsonaro foi a grande derrotada nessas eleições. O fortalecimento da esquerda e de seus valores…</t>
  </si>
  <si>
    <t>Tal como dijimos en campaña una solucion fundamental a los problemas del agro es que el Estado ayude a la asociació… https://t.co/vvIEhHaE0g</t>
  </si>
  <si>
    <t>RT @ChalecosAmarill: 🎥🛑 #Perú 🇵🇪, ese pueblo revolucionario que hizo renunciar a un presidente golpista en 6 días, bajo el grito "se metier…</t>
  </si>
  <si>
    <t>El sistema de salud de Colombia ante el cambio climatico. El abandono estatal de un derecho fundamental de la ciuda… https://t.co/X0aC85CKcS</t>
  </si>
  <si>
    <t>Volvimos a la tesis de responder a las emergencias después que se produce el daño y no a la política de disminuir e… https://t.co/gdkZ2yk8wr</t>
  </si>
  <si>
    <t>RT @enlafronteratv: ¿Qué está ocurriendo en Perú? Responde @Vero_Mendoza_F, presidenta de @NuevoPeruMov, a @MonederoJC: https://t.co/a82q…</t>
  </si>
  <si>
    <t>En Cartagena hay que trasladar 26.000 familias que viven en riesgo. Significa rehacer la ciudad con un sentido de j… https://t.co/Axdla5d3do</t>
  </si>
  <si>
    <t>Empieza a configurarse otra tormenta en el Caribe y también afectará el Caribe colombiano. https://t.co/TBplHIEXXk</t>
  </si>
  <si>
    <t>RT @ALVAROMOLINAP: Se cae parte de las obras que la firma China que construye la carretera hacia Turbo a la altura de Dabeiba. Esa firma g…</t>
  </si>
  <si>
    <t>RT @Clafe64: @CesarPachonAgro @CarlosAmayaR Son los intermediarios los que lavan https://t.co/DB1vdEJCKz</t>
  </si>
  <si>
    <t>En este momento me encuentro con casi 60 empleados y empleadas de la DIAN, conversando sobre tributación y garantía… https://t.co/W52t8m04Ah</t>
  </si>
  <si>
    <t>Error en el debate, Colombia no solo aporta lo que emite al interior del país, sino lo que emiten en otros lugares… https://t.co/JxtYLUQkvC</t>
  </si>
  <si>
    <t>RT @jcuestanovoa: Miren la calidad de obras que construye la firma que ganó la licitación del Metro de Bogotá. Las obras de la carretera ha…</t>
  </si>
  <si>
    <t>RT @diegoandres_g: Oscar Rodriguez, un joven campesino colombiano, esta a punto de perder toda su cosecha de pepinos 🥒... si hay alguien in…</t>
  </si>
  <si>
    <t>RT @Marianiniecheve: Murieron los dos niños de 14 años que en extrañas circunstancias recibieron varios disparos por parte del ejército, en…</t>
  </si>
  <si>
    <t>Se configura un gran bloque progresista para ganar la alcaldía de Sao Paulo en Brasil. https://t.co/6KjTuCNxpE</t>
  </si>
  <si>
    <t>RT @hyperconectado: Mañana veremos en los medios que el gobierno de Duque no tiene la culpa del desastre de San Andrés. En las emisoras de…</t>
  </si>
  <si>
    <t>RT @MaPaulaFonseca: Que sea la primera vez que un huracán categoría 5 llega al país no es excusa para que el gobierno nacional no hubiese t…</t>
  </si>
  <si>
    <t>RT @GiordanoBrunoFi: La historia del MOIR en los sindicatos es muy interesante. Se puede resumir en este ejemplo. Este señor directivo del…</t>
  </si>
  <si>
    <t>Hay 30 años de literatura científica explicando en qué consiste el Cambio Climatico, algunas fuerzas políticas se h… https://t.co/8cfreUzsIM</t>
  </si>
  <si>
    <t>Lo que hemos dicho es precisamente lo contrario y hemos traído en nuestro programa de gobierno el modelo neozelandé… https://t.co/exTuYWkm6C</t>
  </si>
  <si>
    <t>RT @AbadColorado: Para no borrar de la memoria a familia asesinada en Tierralta el viernes 13Nov que sustituía cultivos. Duele el alma pens…</t>
  </si>
  <si>
    <t>RT @Juanaafanador1: Voy a continuar haciendo veeduría del metro. Es un compromiso ciudadano, ético y por Bogotá. Y si no les gusta de mala…</t>
  </si>
  <si>
    <t>¿Qué hacen todos los países cuando llega un huracán? Evacuar.</t>
  </si>
  <si>
    <t>Una niña indígena desaparecida, torturada y luego encontrada incinerada. La barbarie se ha apropiado de Colombia https://t.co/4Lc6yl2wWk</t>
  </si>
  <si>
    <t>RT @FrasesSilvio: “Hoy viene a mí la damisela soledad, con pamela, impertinentes y botón de amapola en el oleaje de sus vuelos. Hoy la volu…</t>
  </si>
  <si>
    <t>RT @LuisGPerezCasas: #EsUnDesastre SOS @PoliciaBogota Roxana tiene la mente de una niña de 5 años por discapacidad cognitiva lleva 20 h des…</t>
  </si>
  <si>
    <t>RT @evoespueblo: La grave situación que enfrenta el hermano pueblo peruano también revela la doble moral del Grupo de Lima y de @Almagro_OE…</t>
  </si>
  <si>
    <t>Lota ha sido uno de los huracanes más rápidos y fuertes de la historia. Su intensidad es producto del cambio climát… https://t.co/stZzOQGfan</t>
  </si>
  <si>
    <t>RT @elespectador: El calentamiento global, una amenaza mucho mayor que el covid-19 (Cruz Roja) https://t.co/Q3dmcaRi5v https://t.co/vv2WI2F…</t>
  </si>
  <si>
    <t>Así, después que la Cámara había votado por derogar la ley de garantías electorales, logramos rescatarla en el códi… https://t.co/ydPtF0P2fK</t>
  </si>
  <si>
    <t>Esta fue mi conferencia sobre Cambio climático en la Universidad de Cartagena. Me equivoque en el calculo del cost… https://t.co/VEgwnU2QCL</t>
  </si>
  <si>
    <t>Exactamente se reducirán en lo que esas materias primas al ser utilizadas por el gran capital generan como desechos… https://t.co/Xngaxsv8N6</t>
  </si>
  <si>
    <t>RT @petrogustavo: Esta fue mi conferencia sobre Cambio climático en la Universidad de Cartagena. Me equivoque en el calculo del costo de r…</t>
  </si>
  <si>
    <t>RT @elcachaco: ¿Por qué si la Armada emitió las alertas correspondientes y evacuó al personal militar de las islas menores, no se tomó ning…</t>
  </si>
  <si>
    <t>La política de reactivación economica de Duque es un absoluto fracaso, la economía decreció en el tercer trimestre… https://t.co/sjv2wLkW0M</t>
  </si>
  <si>
    <t>El partido conservador ha presentado un proyecto de ley que volvería delito el uso de anticonceptivos después de la… https://t.co/DcVphTeWC9</t>
  </si>
  <si>
    <t>RT @petrogustavo: La política de reactivación economica de Duque es un absoluto fracaso, la economía decreció en el tercer trimestre 9%. L…</t>
  </si>
  <si>
    <t>RT @DanielRMed: Estimado @CarlosCarrilloA el panel intergub/tal de cambio climático de la ONU, ha dicho q para evitar una extinción se debe…</t>
  </si>
  <si>
    <t>Contra viento y marea, contra el clima, contra la naturaleza, contra el agua, contra la gente, con tal de hacer neg… https://t.co/GOc26fiZQY</t>
  </si>
  <si>
    <t>A Barranquilla se la están robando y centenares de miles de ciudadanos aplauden. https://t.co/Hu9FiBxRcg</t>
  </si>
  <si>
    <t>Hemos tenido una prensa que no ha sido nada crítica con la política del gobierno frente al covid. Hoy la.prensa in… https://t.co/nvNmhbHopH</t>
  </si>
  <si>
    <t>Otra vez el distrito capital deja sin pago a sus empleados contratistas. Detrás del software de la secretaria de h… https://t.co/WcT4y2St4s</t>
  </si>
  <si>
    <t>Hidroituango no es empleo amigo Juan, pero si le quitó empleo a miles de familias desplazadas. No es oportunidad pa… https://t.co/CAXXzO04NZ</t>
  </si>
  <si>
    <t>RT @SenorCaicedo: Para Pizano las coimas de Odebrecht fueron a parar a campaña del clan Char. @petrogustavo revela documentos y facturas en…</t>
  </si>
  <si>
    <t>RT @DanielRMed: Sabemos que la lucha contra los efectos del cambio climático trasciende fronteras, por eso @ColombiaHumana_ hace parte de u…</t>
  </si>
  <si>
    <t>Me alegra que el MOIR entre a estudiar el tema del cambio climático que le propusimos estudiar a la izquierda hace… https://t.co/HSAS61UJDv</t>
  </si>
  <si>
    <t>Cuando muestras que China, igual EEUU,consumen mucho carbón y petroleo, olvidas que al dejar de consumir, cesan las… https://t.co/zRsMx2gmYk</t>
  </si>
  <si>
    <t>Definitivamente los Char cerraron el Congreso de la República. No hay ninguna razón para que la plenaria del Senad… https://t.co/3DFrsAZZfz</t>
  </si>
  <si>
    <t>En medio de la salamería periodística, que endulza, el momento, esta es la realidad colombiana. Por primera vez en… https://t.co/rFubIcEwKo</t>
  </si>
  <si>
    <t>Le extraña muerte de la funcionaria.que investigaba al clan Char. https://t.co/X5LaixTQGY</t>
  </si>
  <si>
    <t>RT @petrogustavo: En medio de la salamería periodística, que endulza, el momento, esta es la realidad colombiana. Por primera vez en dos dé…</t>
  </si>
  <si>
    <t>Andres Castros candidato del ex contralor Granados, a su vez, el contralor de Odebrecht, se apresta a ser el nuevo… https://t.co/jJn5AxG6Mu</t>
  </si>
  <si>
    <t>Desde hace un mes, con la excusa del contagio de la senadora Guerra y en donde sabotearon la moción de censura de R… https://t.co/EmZSFfBheQ</t>
  </si>
  <si>
    <t>RT @AndrsTrece: Mi amigo geógrafo, que me mandó las fotos de Providencia, también me mandó éstas del Choco. Yo literalmente estoy sin pala…</t>
  </si>
  <si>
    <t>RT @JUANCAELBROKY: Estado actual de Providencia, totalmente destruida. El hospital también está gravemente afectado, el personal médico no…</t>
  </si>
  <si>
    <t>RT @IvanCepedaCast: En Colombia debemos pasar de la movilización social para la protesta, a la movilización para el cambio social.</t>
  </si>
  <si>
    <t>Si el Reino Unido se salió de la Union Europea para proteger su producción, como es que estos congresistas aprueba… https://t.co/e4FJL5jwrX</t>
  </si>
  <si>
    <t>Esta es Colombia, así la ha querido su Estado y su propia sociedad. https://t.co/TjPTtlR0V4</t>
  </si>
  <si>
    <t>RT @ReporteYa: #17Nov 6:54pm #Colombia Esta es la situación en el sector de El Rodadero en #SantaMarta, la marea alta está causando inundac…</t>
  </si>
  <si>
    <t>RT @ammejiaaguado: #ATENCION Mañana a las 7:00 a.m. ⁦@petrogustavo⁩ en entrevista con ⁦@MJDuzan⁩ en la ⁦@WRadioCoIombia⁩ Participa con el…</t>
  </si>
  <si>
    <t>RT @CarolineDuvalll: Otra perla de @Leonidasgomezg obviamente avalada por @JERobledo, se encargan de hacer su campaña sembrando odio por @p…</t>
  </si>
  <si>
    <t>RT @MJDuzan: A las 7 am voy a estar con @petrogustavo en la @WRadio. !Los espero!!</t>
  </si>
  <si>
    <t>RT @donadolforivas: El engaño detrás de una foto. Este gobierno es puro show, un montaje en todo sentido. https://t.co/5l80943GHS</t>
  </si>
  <si>
    <t>A las siete estaré con María Jimena Duzán en su nueva actividad periodística. https://t.co/oQOmtqAfzA</t>
  </si>
  <si>
    <t>Colombia tiene el peor desempleo de toda la OCDE. La culpa no es solo del virus, todos los pais6es de la OCDE sufr… https://t.co/Kuv0KC8oVq</t>
  </si>
  <si>
    <t>Mi intervención en l plenaria del senado sobre el desastre climático en Colombia. https://t.co/GBsmDPWOxH</t>
  </si>
  <si>
    <t>Usted ministro, Carlos Holmes Trujillo, sabía de la magnitud de la tragedia, evacuó las fuerzas de su ministerio, p… https://t.co/4qUoK1s8Of</t>
  </si>
  <si>
    <t>RT @ammejiaaguado: .@Petrogustavo “El cambio climático puede llevar a la extinción a la especie humana. La política se divide en política d…</t>
  </si>
  <si>
    <t>RT @ammejiaaguado: #PetroEnLaW “Colombia Humana y mi nombre no habrían sido absolutamente nada si ocho millones de personas no salieran a v…</t>
  </si>
  <si>
    <t>RT @WRadioColombia: #NoticieroW | Si Tomás Uribe será candidato, tendrá que explicar el tema de zona franca: Gustavo Petro (@petrogustavo)…</t>
  </si>
  <si>
    <t>A pesar de tanta evidencia delictiva en el gobierno de Char, este nos será procesado por la fiscalía porque se romp… https://t.co/7WBlbSptP8</t>
  </si>
  <si>
    <t>RT @adelina_covo: He creado un nuevo perfil de Twitter para señalar el peligro que corre Colombia y el Caribe colombiano por el cambio clim…</t>
  </si>
  <si>
    <t>El.partido verde debería explicarnos públicamente, y lo digo como víctima del contralor Granados, porque eligió una… https://t.co/NGALJbg0Pc</t>
  </si>
  <si>
    <t>Un estatuto de autonomía de la población raizal de San Andrés, Providencia y Santa Catalina. La democracia debe ll… https://t.co/AYcS1aS3Z4</t>
  </si>
  <si>
    <t>RT @petrogustavo: El.partido verde debería explicarnos públicamente, y lo digo como víctima del contralor Granados, porque eligió una ficha…</t>
  </si>
  <si>
    <t>RT @Sergio27Arias: Le tengo una diferencia real, la campaña de @petrogustavo fue con la ciudadanía, no con el narcotrafico.</t>
  </si>
  <si>
    <t>RT @CarlosCarrilloA: Estimado @petrogustavo, medio @PartidoVerdeCoL. Quienes votaron por el heredero de Granados fueron: @luciabastidasu,…</t>
  </si>
  <si>
    <t>Sigue la encuestadora Guarumo haciendo muestras con un 27,3% en estrato 4, 5 y 6, ¿esa es la realidad de la poblaci… https://t.co/SuJzb4yxCJ</t>
  </si>
  <si>
    <t>El Senado de la República en abierto desacato a la sentencia de la Corte constitucional que no permite reformar la… https://t.co/yby3iZ2X4v</t>
  </si>
  <si>
    <t>RT @MashiRafael: #AsíTeEngañaron Como nosotros no repartíamos hospitales ni nos sometíamos a prensa o banqueros, nos decían “autoritarios”…</t>
  </si>
  <si>
    <t>RT @CarlosCarrilloA: ¿Y se preguntan por qué en campaña nos tiran los volantes en la cara? ¿Por qué la gente no cree en la política? Pues p…</t>
  </si>
  <si>
    <t>RT @marthaperaltae: Hoy me reuní con el Senador @petrogustavo, nuestro Senador de MAIS @GustavoBolivar y el candidato presidencial del @Pol…</t>
  </si>
  <si>
    <t>RT @ammejiaaguado: #ATENCION @petrogustavo en el @SenadoGovCo “sino se puede usar este recinto por alguna razón” el pdte del Senado @Artur…</t>
  </si>
  <si>
    <t>Le dicen democracia hereditaria: es decir volvimos a la monarquía contra la que luchó Bolivar y Santander. Toca que… https://t.co/gG6wAY42qI</t>
  </si>
  <si>
    <t>Si la libertad depende del dinero que tengas, no hay libertad; la libertad está donde hay derechos para todos y tod… https://t.co/YZnRIp2u89</t>
  </si>
  <si>
    <t>Parte del partido verde, del liberalismo, y lo más reaccionario del Concejo de Bogota eligieron al heredero del con… https://t.co/BnHXSkeSDW</t>
  </si>
  <si>
    <t>No entiendo por un lado defienden el catolicismo y a nombre de él quieren que quiten el diablo de Riosucio, pero po… https://t.co/y97faFL0O1</t>
  </si>
  <si>
    <t>El contralor corrupto Granados impuso el nuevo contralor de Bogotá con una parte del partido verde y liberal. Era e… https://t.co/Kyv2ksZkq5</t>
  </si>
  <si>
    <t>Sobre el aborto y la Mujer. Parte II https://t.co/0uhA226cKS</t>
  </si>
  <si>
    <t>Sobre el aborto y la Mujer. Parte I https://t.co/iAz4n5oAAg</t>
  </si>
  <si>
    <t>Ahora estaré en entrevista con Vanessa de la Torre https://t.co/Cj9z1q4q8I</t>
  </si>
  <si>
    <t>RT @petrogustavo: Sobre el aborto y la Mujer. Parte II https://t.co/0uhA226cKS</t>
  </si>
  <si>
    <t>RT @petrogustavo: Sobre el aborto y la Mujer. Parte I https://t.co/iAz4n5oAAg</t>
  </si>
  <si>
    <t>Bienvenido Benedetti https://t.co/WmbWMe2E2t</t>
  </si>
  <si>
    <t>Chávez se dio cuenta antes de morir, que iba a ser presidente Trump y logró hacer el plan para derribarlo en su.ree… https://t.co/Bjj1H0Qwf2</t>
  </si>
  <si>
    <t>RT @petrogustavo: Bienvenido Benedetti https://t.co/WmbWMe2E2t</t>
  </si>
  <si>
    <t>Laura @lauracortes026 necesita de personas que le expliquen que es cultura anfibia y como existe en Colombia. Le p… https://t.co/68DIXJRVP9</t>
  </si>
  <si>
    <t>Resulta @EnriquePenalosa que su oficina de control interno y los funcionarios que usted nombró, consideraron que lo… https://t.co/udkZtEAGOD</t>
  </si>
  <si>
    <t>RT @CarrilloConcejo: ¡Coronaron al heredero de Granados! Estos fueron los concejales que eligieron a una ficha de un excontralor investigad…</t>
  </si>
  <si>
    <t>Esta amenaza de muerte proviene de un grupo que ya decidió acoger las tesis de Álvaro Uribe Vélez y aplicarlas de… https://t.co/1F4qUHMGyR</t>
  </si>
  <si>
    <t>RT @AABenedetti: Otros que no se sonrojan son los que supuestamente quieren un cambio pero apoyan a Fajardo. Te invito a que me muestres un…</t>
  </si>
  <si>
    <t>RT @velascoluisf: Una apuesta atrevida, inteligente y arriesgada la de Armando Benedetti, puede ser el primero de varios dirigentes polític…</t>
  </si>
  <si>
    <t>RT @Eclides3: En Colombia, el político que más duerme y no opina, es el que tiene la mayor imagen positiva https://t.co/iC2lODkHJQ</t>
  </si>
  <si>
    <t>RT @piedrahitangela: @DanielSamperO @AABenedetti Daniel, tomar partido es elegir un camino, cada quien según su criterio elegirá cuál en su…</t>
  </si>
  <si>
    <t>expedimos el plan de Ordenamiento Territorial que liberaba espacios del agua y adaptaba a Bogotá al cambio climátic… https://t.co/jecm7B4I1L</t>
  </si>
  <si>
    <t>RT @jciragorri: "Nunca he considerado que @petrogustavo sea un hombre de extrema izquierda. Es más bien de izquierda clásica. De la europea…</t>
  </si>
  <si>
    <t>RT @amorliquida: @PizarroMariaJo @angelamrobledo @LeonFredyM @CesarPachonAgro @DavidRacero @GustavoBolivar @wilsonariasc @AlexLopezMaya @An…</t>
  </si>
  <si>
    <t>RT @ramca16: @jciragorri @30Mamerta @petrogustavo @velascoluisf @VocesRCN En realidad Petro no es de izquierda...pero en este país profunda…</t>
  </si>
  <si>
    <t>RT @AABenedetti: Benedetti traza su camino a la Colombia Humana de Petro. https://t.co/6F4kHmmnHC</t>
  </si>
  <si>
    <t>RT @petrogustavo: expedimos el plan de Ordenamiento Territorial que liberaba espacios del agua y adaptaba a Bogotá al cambio climático, lo…</t>
  </si>
  <si>
    <t>RT @GustavoBolivar: Se quejan porque Bennedetti o Roy apoyaron a Uribe. ¿Acaso no se trata de eso? De permitir que la gente se quite la ven…</t>
  </si>
  <si>
    <t>RT @HOLLMANMORRIS: En este análisis coincido con @AABenedetti Buscan un “centro” para asfixiar a @petrogustavo El objetivo del “centro…</t>
  </si>
  <si>
    <t>RT @Pontifex_es: La Tierra y los pobres necesitan con urgencia una economía saludable y un desarrollo sostenible. Por eso estamos llamados…</t>
  </si>
  <si>
    <t>Aunque suene extraño en Colombia, desde hace hace varias décadas hemos sido solidarios con el Frente Polisario y su… https://t.co/KR4i5SB3zQ</t>
  </si>
  <si>
    <t>RT @Margaritarosadf: Gracias, @GustavoBolivar , por esta explicación. Bolsa de petro y Montes. Explicación. https://t.co/kCtQkeTCO5 vía @Yo…</t>
  </si>
  <si>
    <t>RT @HeinerGaitan: Frente a la Alcaldía de Soacha familiares de las 13 víctimas mortales que dejó el abuso policial en los últimos cinco mes…</t>
  </si>
  <si>
    <t>RT @velascoluisf: A través de una alianza que permita construir una consulta de distintos sectores con claro sentido social demócrata para…</t>
  </si>
  <si>
    <t>RT @gricerio: Santa Catalina, Providencia y San Andrés destrozada y la Colombia inundada producto del Calentamiento Global. La Gestión de R…</t>
  </si>
  <si>
    <t>RT @petrogustavo: Aunque suene extraño en Colombia, desde hace hace varias décadas hemos sido solidarios con el Frente Polisario y su lucha…</t>
  </si>
  <si>
    <t>RT @RoyBarreras: En 2012 siendo Presidente del Congreso fuí invitado a un gran viaje oficial por el Gobierno de Marruecos. Decliné la invi…</t>
  </si>
  <si>
    <t>RT @lanuevaprensaco: 🔎 | #Ñeñepolítica es una investigación que hasta la fecha ha producido 19 entregas y que continúa. Conózcalas y pónga…</t>
  </si>
  <si>
    <t>Como siempre un gerente encargado de la reconstrucción sentado en Bogotá. Pregunto: ¿no sería mejor que el gobernad… https://t.co/cUQMtaFE3I</t>
  </si>
  <si>
    <t>Las discusiones inglesas sobre la revolución industrial verde. Los caminos para descarbonizar la economía. En Col… https://t.co/ywQPtB2Slb</t>
  </si>
  <si>
    <t>RT @Jhoansalvarez: Mi primera columna de opinion. En nuestras manos está cambiar a Colombia de ese hueco oscuro que está. ¡Por una Colom…</t>
  </si>
  <si>
    <t>RT @HistoriaM19: "La paz que el pueblo quiere es la paz de la libertad política, es la paz de la independencia, es la paz del trabajo, es l…</t>
  </si>
  <si>
    <t>Bastante difícil definir el giro cuando se ha defendido la paz y se pasa a defender la paz, a cuando se ha defendid… https://t.co/2IkqrIh0EV</t>
  </si>
  <si>
    <t>La fiscalía no investiga el desfalco de la triple AAA , ni el desfalco de Odebrecht porque ambos llevan a Char. Y s… https://t.co/YepHrFSBAf</t>
  </si>
  <si>
    <t>RT @Ivan_Velasquez_: ¿Cuál es el programa mínimo, social y democrático, que podría permitir la unidad política para las próximas elecciones…</t>
  </si>
  <si>
    <t>RT @MirandaBogota: A mi si me gusta el giro que está dando @AABenedetti Escuchar la ciudadanía siempre es el camino.</t>
  </si>
  <si>
    <t>Este será nuestro debate el jueves entrante en el Senado de la república. El cuestionado que destruyó la Paz e en… https://t.co/8Nuj2zGPah</t>
  </si>
  <si>
    <t>RT @DavidRacero: @CeDemocratico 2. Susana Correa Borrero, ex Senadora del @CeDemocratico y actual Directora del @ProsperidadCol. Las empres…</t>
  </si>
  <si>
    <t>Un gran paso caribeño, sacar la Universidad de Córdoba del paramilitarismo, que asesinaba profesores y estudiantes… https://t.co/y3Y2HiSe7F</t>
  </si>
  <si>
    <t>RT @H_U_V_A: #UnPremioPara esta joven, la que los auténticos decadentes llamarían Castrochavista, porque su dosis diaria de inteligencia no…</t>
  </si>
  <si>
    <t>RT @MariaMatusv: Hilo Para los que me dicen fanática por creer que Petro es la única opción viable, les cuento que me baso en la historia…</t>
  </si>
  <si>
    <t>RT @petrogustavo: Este será nuestro debate el jueves entrante en el Senado de la república. El cuestionado que destruyó la Paz e encubrió…</t>
  </si>
  <si>
    <t>Una vacuna contra el covid universal, pública y gratuita para Colombia. parte I https://t.co/hHP1OExxzX</t>
  </si>
  <si>
    <t>Cual es la negociación del gobierno para obtener una vacuna para toda la población de Colombia? Ir en vagón de Col… https://t.co/WMwFaGrLpc</t>
  </si>
  <si>
    <t>RT @primaverasimple: Como Feminista, docente universitaria e investigadora,exijo q' @UnCaricaturista, ofrezca disculpas públicas a las vali…</t>
  </si>
  <si>
    <t>RT @petrogustavo: Cual es la negociación del gobierno para obtener una vacuna para toda la población de Colombia? Ir en vagón de Cola? Ve…</t>
  </si>
  <si>
    <t>RT @petrogustavo: Una vacuna contra el covid universal, pública y gratuita para Colombia. parte I https://t.co/hHP1OExxzX</t>
  </si>
  <si>
    <t>RT @adelina_covo: Al fin se encamina @AABenedetti por donde debe, por donde lo quieren y lo reciben con los brazos abiertos. Bienvenido!</t>
  </si>
  <si>
    <t>RT @Margaritarosadf: Pasarse de cualquier partido político tradicional a la Colombia Humana para mí es señal de que se quiere un cambio est…</t>
  </si>
  <si>
    <t>RT @Constanzapinog: Las Mujeres de CH, RECHAZAMOS contundentemente la caricatura de @UnCaricaturista sobre nosotras. La carta será publica…</t>
  </si>
  <si>
    <t>Todas las mujeres que deseen participar pueden organizarse con autono6mia en https://t.co/1OlHn1uKxE construir allí… https://t.co/T63IeW7ysI</t>
  </si>
  <si>
    <t>RT @RiosLibresAnt: Al unísono las #VictimasdeHidroituango de los departamentos de #Antioquia #Sucre y #Bolivar expresamos ante el señor jue…</t>
  </si>
  <si>
    <t>RT @nicolaspetroB: Hoy me reuní con el Senador @AABenedetti y dialogamos sobre la importancia de la Región Caribe en las elecciones presid…</t>
  </si>
  <si>
    <t>Esta sería la muerte durante mucho tiempo de la economía colombiana. Si la crisis económica se debe a la caída de… https://t.co/ZAuUgAtqyy</t>
  </si>
  <si>
    <t>La fiscalía ha decidido judicializar lo que el Consejo de Estado en Sala plena demostró que era licito. Pasamos a… https://t.co/X2vDZf8IlJ</t>
  </si>
  <si>
    <t>Por denunciar la mafia que dirige Candelaria,Valle, nuestros compañeros de Colombia Humana fueron asesinados. Caen… https://t.co/vOq87UNnjv</t>
  </si>
  <si>
    <t>Fernando, la política no se mueve en un plano cartesiano. El plano cartesiano solo tiene dos dimensiones, la socied… https://t.co/yNe90k2eJo</t>
  </si>
  <si>
    <t>RT @HOLLMANMORRIS: ATENCIÓN Colombia Humana. Hoy fueron detenidos en Candelaria - Valle la red de corrupción que habían denunciado los com…</t>
  </si>
  <si>
    <t>El candidato a la alcaldía de Sao Paulo que reivindica el programa de educación progresista. La educación es para l… https://t.co/MrjfMqqKPL</t>
  </si>
  <si>
    <t>¿Que clase de parlamento tenemos en Colombia? Uno que bajo el discurso de la moral apoya el fortalecimiento de la… https://t.co/iD4aB2ergJ</t>
  </si>
  <si>
    <t>RT @ElQueLosDELATA: Hay muchas diferencias de pensamiento entre un Uribista y un Petrista pero hay una esencial: El Uribista siempre va a…</t>
  </si>
  <si>
    <t>RT @LigaNoSilencio: "El segundo a segundo del disparo que mató de Dilan Cruz" Un trabajo conjunto realizado por @cerosetenta y @LigaNoSile…</t>
  </si>
  <si>
    <t>Puede amenazarnos la fiscalía tratando de criminalizados porque desprivatizamos un servicio público que era el neg… https://t.co/6lXGmPMaOA</t>
  </si>
  <si>
    <t>La fiscalía ha detenido las investigaciones de Odebrecht, de reficarr, de hidroituango, de la triple A, del ñeñe, d… https://t.co/xCB3A9td15</t>
  </si>
  <si>
    <t>Pretenden poner a un sobornado de Odebrecht a disciplinar a los jueces de Colombia. Hasta ese punto llegó la corrup… https://t.co/ZDYupv0ldk</t>
  </si>
  <si>
    <t>Una vez Colombia puso como embajador ante la unión Europea a Carlos Arturo Marulanda, el paramilitar del sur del Ce… https://t.co/OIuPuBiU6C</t>
  </si>
  <si>
    <t>RT @MariaPradaU: @avelasquez1984 El punto es que toda posición ideológica está en algún grado, no existe un "centro" como la palabra busca…</t>
  </si>
  <si>
    <t>Suena abstracto, pero esta es una brillante exposición de la profesora María Angélica Prada sobre porque algo llama… https://t.co/Bo9fv5cIDe</t>
  </si>
  <si>
    <t>12 millones de dolares costó el helicóptero fel presidente y pide limosna para atender a los damnificados de la cri… https://t.co/cYfdVlP4hT</t>
  </si>
  <si>
    <t>RT @petrogustavo: Una vez Colombia puso como embajador ante la unión Europea a Carlos Arturo Marulanda, el paramilitar del sur del Cesar y…</t>
  </si>
  <si>
    <t>RT @bogotamuyfirme: Siguen abandonadas en Ciudad Bolívar más de 30 familias que las misma @ClaudiaLopez mandó a desalojar de Altos de la Es…</t>
  </si>
  <si>
    <t>Esta investigación periodística demuestra lo que afirmamos en relación al tratamiento del covid en Bogotá Solo po… https://t.co/MvS1APA5VX</t>
  </si>
  <si>
    <t>Dejar en manos de las EPS la política pública contra la epidemia fue un verdadero crimen. Una secretaria de salud… https://t.co/quZIL1FdPE</t>
  </si>
  <si>
    <t>La misma secretaria de salud que contrató la demolición del San Juan de Dios y la privatizacion del Santa Clara, es… https://t.co/DuquOJGLEe</t>
  </si>
  <si>
    <t>Efectivamente concejal Julio, Benedetti viene por el camino en el que tu inversamente vas. https://t.co/sS9E1Acjcf</t>
  </si>
  <si>
    <t>Mi compromiso si la vida y el pueblo lo permiten, será presentar una terna anticorrupción para que de ahí salga un… https://t.co/tvLmxMav4w</t>
  </si>
  <si>
    <t>La burla a los planes de adaptación al cambio climático traen y traerán muchísimos muertos. Una magistrada de Ordo… https://t.co/hstepOh6Wt</t>
  </si>
  <si>
    <t>Hoy hay que decidir entre Democracia y fascismo, la historia nos demostró dramáticamente, que allí no había un punt… https://t.co/skCl5crOq9</t>
  </si>
  <si>
    <t>Pero el jefe de la banda del alcalde corrupto, trabaja con Duque https://t.co/bBsrawYhSj</t>
  </si>
  <si>
    <t>Usan la palabra centro, solo para esconder que continuarán con el neoliberalismo. https://t.co/Uu1KKhxzGy</t>
  </si>
  <si>
    <t>Aquí está una pista de las amenazas a Colombia Humana en la Guajira, el camino pasa por Necoclí, pero su origen est… https://t.co/1X5BY282pm</t>
  </si>
  <si>
    <t>En realidad el pensamiento verde no puede estar en el centro entre si se destruye el planeta y su vida o reformamos… https://t.co/bwo99Io8G2</t>
  </si>
  <si>
    <t>Justicia social y justicia climática son los ejes del programa de la Colombia Humana, sin las cuales no hay Vida, n… https://t.co/uMvYsXixX9</t>
  </si>
  <si>
    <t>Ernesto Laclau, filósofo argentino hace poco muerto, nos pone en una lógica que no tiene que ver con el pensamiento… https://t.co/itQDT9ePww</t>
  </si>
  <si>
    <t>En Colombia esas coaliciones de poder han tenido como centro hegemonico a los terratenientes y últimamente, también… https://t.co/JtiSoKp7f6</t>
  </si>
  <si>
    <t>El Polo balbuceantemente, y luego Bogotá Humana cambiaron transitoriamente la hegemonía en Bogotá. Construimos un… https://t.co/pxgpgjjsPT</t>
  </si>
  <si>
    <t>En 2015 muchas de las singularidades sociales que gobernaron con nosotros se desplazaron de nuevo a ser coordinada… https://t.co/ByQlzJRKGe</t>
  </si>
  <si>
    <t>Por eso las definiciones: derecha, izquierda y centro ya no dicen mucho Hemos propuesto un pacto social con la div… https://t.co/gqHzDlMyFb</t>
  </si>
  <si>
    <t>RT @petrogustavo: Mi compromiso si la vida y el pueblo lo permiten, será presentar una terna anticorrupción para que de ahí salga un o una…</t>
  </si>
  <si>
    <t>RT @tobonsanin: El momento histórico q atraviesa 🇨🇴 ha motivado a que políticos como Benedetti se inclinen por movimientos alternativos, un…</t>
  </si>
  <si>
    <t>RT @ma_eugeniam: Vi el centro, en todo su esplendor, defender el reemplazo del edificio de Cuellar Serrano Gómez, en el San Juan de Dios, p…</t>
  </si>
  <si>
    <t>El autor de esta columna endilga el nombre de "centro" a pensadores y políticos que se definieron a sí mismos de ot… https://t.co/CUVr2DooOB</t>
  </si>
  <si>
    <t>Comienza con la guerra civil española y olvida que todo el liberalismo del mundo apoyó la República española porqu… https://t.co/9InAj3tAbE</t>
  </si>
  <si>
    <t>En Europa no habia otro camini que combatir al fascismo. Entre los fascistas y la lucha por la democracia no hubo p… https://t.co/Yl65cYMG7U</t>
  </si>
  <si>
    <t>Alexis de Tocqueville, citado por el autor como de centro, es fundador del liberalismo, participa de la revolución… https://t.co/i338NdEFuI</t>
  </si>
  <si>
    <t>Teodoro Roosevelt, para citar otro ejemplo, presidente de los EEUU, quien se une con Stalin para derrotar a Hitler,… https://t.co/aJQYYXnb3o</t>
  </si>
  <si>
    <t>Mauricio García lo que hace es confundir el concepto de centro político que no es más que el punto medio entre dos… https://t.co/tmHGRsMX3U</t>
  </si>
  <si>
    <t>El pensamiento fluye y lo que ayer era revolucionario y radical, hoy se ve como conservador. Casi nadie por ejemplo… https://t.co/Bh9aRzmADU</t>
  </si>
  <si>
    <t>Al mirar la historia con una mentalidad mecánica y lineal, entonces el centro, como punto medio , consistiría en ha… https://t.co/FtCYkOqLsa</t>
  </si>
  <si>
    <t>Me solidarizo con Marco Enríquez Ominami, progresita chileno al que le pretenden quitar sus derechos politicos. La… https://t.co/GJVCb8kSxH</t>
  </si>
  <si>
    <t>La privatizacion de Cartagena. https://t.co/mqd7EIeJD3</t>
  </si>
  <si>
    <t>Efectivamente a través de la ley 2038, que silenciosamente fue aprobada en sesiones virtuales, me paso desapercibid… https://t.co/MbxQgQpcza</t>
  </si>
  <si>
    <t>Miren el fascismo dentro del uribismo. https://t.co/6xVRzXu7eu</t>
  </si>
  <si>
    <t>RT @petrogustavo: El autor de esta columna endilga el nombre de "centro" a pensadores y políticos que se definieron a sí mismos de otra man…</t>
  </si>
  <si>
    <t>RT @petrogustavo: Pretenden poner a un sobornado de Odebrecht a disciplinar a los jueces de Colombia. Hasta ese punto llegó la corrupción e…</t>
  </si>
  <si>
    <t>El pueblo guatemalteco se ha levantado contra la corrupción. https://t.co/QhTwVAxfWK</t>
  </si>
  <si>
    <t>¿Y el culpable del asesinato de Dilan Cruz? ¿Y los culpables del asesinato de 23 presos en la modelo? ¿Y los culp… https://t.co/vKxHdT6isF</t>
  </si>
  <si>
    <t>Al ignorar en que consiste el pacto keynesiano y el ascenso del salario.real por incremento de la productividad que… https://t.co/AjOWvEEHVb</t>
  </si>
  <si>
    <t>RT @donadolforivas: https://t.co/OUvuTCd41a</t>
  </si>
  <si>
    <t>Fernando porque la política no se divide en tres, sino en miles y millones de personas con causas y singularidades… https://t.co/ORYpnuxtLF</t>
  </si>
  <si>
    <t>Muy bien por nuestro concejal Jaime Arias que logra declarar al Valle de Cocora cono sujeto de derechos. Lograr qu… https://t.co/orXK5LrAEF</t>
  </si>
  <si>
    <t>Los puntos de encuentro entre diversas fuerzas políticas no se llaman centro tampoco, se llaman pactos, que han ope… https://t.co/KpRRh2830h</t>
  </si>
  <si>
    <t>RT @petrogustavo: Muy bien por nuestro concejal Jaime Arias que logra declarar al Valle de Cocora cono sujeto de derechos. Lograr que la n…</t>
  </si>
  <si>
    <t>RT @Jhaimearias: Lo logramos!. La tutela q promoví como concejal de @ColombiaHumana_ logró declarar el Valle de Cocora como Sujeto de Der…</t>
  </si>
  <si>
    <t>Franklin D Roosevelt, para citar otro ejemplo, presidente de los EEUU, quien se une con Stalin para derrotar a Hitl… https://t.co/dCeE1JIqXj</t>
  </si>
  <si>
    <t>Esta es la miseria humana a la que nos condujo Duque y sus amigos. Una fuerza pública sin objetivos, sin estrategia… https://t.co/WKaLW4bYwv</t>
  </si>
  <si>
    <t>Alumno de feminismos, la columna de Gustavo Bolívar que comentaremos hoy a las siete de la noche en este mismo Twit… https://t.co/KtqrR54peS</t>
  </si>
  <si>
    <t>Mi columna " Una fiscalía corrupta" que analizaremos hoy a las siete de la noche por esta misma cuenta de Twitter y… https://t.co/5iCaxOgsZY</t>
  </si>
  <si>
    <t>Paulo VI siempre solidario. https://t.co/6Om7e2i9US</t>
  </si>
  <si>
    <t>"Tomad y bebed" un libro sobre la masacre de jóvenes militantes del M19 que repartían leche a la población del sur… https://t.co/J4H967ygI1</t>
  </si>
  <si>
    <t>Un periodIsmo al servicio del fascismo decía que los descubrimientos de fosas comunes en el cementerio de Dabeiba n… https://t.co/R9eO07bjKE</t>
  </si>
  <si>
    <t>RT @Lauraggils: No necesito definiciones para saber que, entre Petro y la ultraderecha, Petro de lejos. Miren lo que pasó: que Duque no era…</t>
  </si>
  <si>
    <t>Peor que un huracán, la violencia de un paramilitarismo de Estado sembró el país no solo de terror, sino que constr… https://t.co/w7w68DJYAV</t>
  </si>
  <si>
    <t>Tal como sucedió con Belisario en los hechos del palacio donde rescató a su hermano antes de desatar la masacre, o… https://t.co/Abimk8LkDz</t>
  </si>
  <si>
    <t>El presupuesto nacional se destina a dar liquidez a los bancos, nosotros hemos dicho que para reactivar la economía… https://t.co/mLqENpeWQ2</t>
  </si>
  <si>
    <t>RT @CesarPachonAgro: Gracias @AndresCamiloHR y a todo el equipo de @petrogustavo por el apoyo en este #PapaChallenge</t>
  </si>
  <si>
    <t>RT @MonederoJC: El Presidente de Colombia @IvanDuque quiere mandar de Embajador en España al ex Fiscal, señalado por genocidio, narcotráfic…</t>
  </si>
  <si>
    <t>RT @G_Pisarello: Hace 84 años se apagaba el corazón indomable de Buenaventura Durruti, obrero y anarquista. A su entierro en Barcelona acu…</t>
  </si>
  <si>
    <t>Senador lo invito a oponerse al distrito minero que el gobierno que usted apoya quiere sobre Caramanta. Si el gobi… https://t.co/1OgIJ0DjH7</t>
  </si>
  <si>
    <t>Este debate sobre la vacuna en Colombia lo plantee en el Senado. De acuerdo a la estrategia del gobierno, Colombia… https://t.co/J6EDTQvYOm</t>
  </si>
  <si>
    <t>La justicia ambiental, que para el archipiélago implica que el mundo mitigue las causas del cambio climatico, pasa… https://t.co/jft1dQHPyI</t>
  </si>
  <si>
    <t>RT @Margaritarosadf: @DCoronell Yo diría que entre el candidato que diga Uribe y una gran coalición progresista que no transija dejándose f…</t>
  </si>
  <si>
    <t>RT @SenorCaicedo: Póngase usted a leer y el liberal es @petrogustavo. https://t.co/DYqqo44u7R</t>
  </si>
  <si>
    <t>RT @LevyRincon: Se la pasan diciendo que Petro no une y polarizaba pero ahora que está logrando alianzas fundamentales entonces es un oport…</t>
  </si>
  <si>
    <t>RT @SenorCaicedo: Si usted se dice liberal, usted es de izquierda, Socialdemócrata. (Solo para colombianos). No sea tibio,no le de vergüenz…</t>
  </si>
  <si>
    <t>RT @petrogustavo: Tal como sucedió con Belisario en los hechos del palacio donde rescató a su hermano antes de desatar la masacre, o con J…</t>
  </si>
  <si>
    <t>RT @petrogustavo: Alumno de feminismos, la columna de Gustavo Bolívar que comentaremos hoy a las siete de la noche en este mismo Twitter co…</t>
  </si>
  <si>
    <t>RT @petrogustavo: Mi columna " Una fiscalía corrupta" que analizaremos hoy a las siete de la noche por esta misma cuenta de Twitter y que c…</t>
  </si>
  <si>
    <t>RT @Margaritarosadf: ¿Alguien puede desmentir esto? Una Fiscalía Corrupta - Columna - Gustavo Petro ⁦@petrogustavo⁩ https://t.co/iySaBXXUQ8</t>
  </si>
  <si>
    <t>Ahora a las siete de la noche por esta misma cuenta de Twitter los y las espero con Margarita Rosa de Francisco https://t.co/XxubSQC8Dd</t>
  </si>
  <si>
    <t>Estoy en vivo con @gustavobolivar en la lectura de las columnas, hoy bajo la conducción de @margaritarosadf… https://t.co/EnMwNKVcLW</t>
  </si>
  <si>
    <t>Asesinado otro militante de la Colombia Humana. Byron Revelo, maestro de Nariño. @CIDH @IntlCrimCourt https://t.co/FtTh1zfH1z</t>
  </si>
  <si>
    <t>El humedal Juan amarillo es agredido por la administración de Peñalosa y la actual. Creen que un humedal es una alb… https://t.co/KSgPezbt6A</t>
  </si>
  <si>
    <t>RT @53_Jonathan: @ls_bautistap @MaoM777 @Diegolizarazol Campaña: Metro metro y mas metro Alcaldia: Tres troncales de Transmilenio mas C…</t>
  </si>
  <si>
    <t>RT @cielo_rusinque: En este momento @Margaritarosadf refiere como se decepcionó de @Sergio_fajardo y como había tenido en parte por la gran…</t>
  </si>
  <si>
    <t>RT @IvanCepedaCast: La disyuntiva que plantea @petrogustavo de que hoy se debe optar entre la política de la vida o la política de la muert…</t>
  </si>
  <si>
    <t>Hay una política asesina. No son los narcos los que asesinan a la Colombia Humana. Es una clase política que presio… https://t.co/dnKGVq2XFt</t>
  </si>
  <si>
    <t>RT @ChalecosAmarill: 🎥🛑Herman@s #Anonymous Hoy un dúo de cuentas a seguir @MrsC_Assange (Madre de Assange) @StellaMoris1 (Pareja de Assan…</t>
  </si>
  <si>
    <t>"Yo en eso no me meto" se ha vuelto toda una consigna del "ni fu ni fa". https://t.co/pyX7kmtYtB</t>
  </si>
  <si>
    <t>Esto no es cierto. Cuando el liberalismo fue liberal tomó posición. Contra la esclavitud en 1851, y la erradicó, Co… https://t.co/IPILZUX6Ul</t>
  </si>
  <si>
    <t>RT @navascatalina1: Un periodista hoy en la radio : «sí, desafortunado que el pelado se hubiera muerto, pero hay que preguntarse qué pasa s…</t>
  </si>
  <si>
    <t>RT @petrogustavo: "Yo en eso no me meto" se ha vuelto toda una consigna del "ni fu ni fa". https://t.co/pyX7kmtYtB</t>
  </si>
  <si>
    <t>RT @petrogustavo: Hay una política asesina. No son los narcos los que asesinan a la Colombia Humana. Es una clase política que presiona a l…</t>
  </si>
  <si>
    <t>Asesinado el profesor Douglas Cortes en Risaralda. Quien empezó la campaña contra fecode? No fue Duque y su Centr… https://t.co/fPXEe8Enls</t>
  </si>
  <si>
    <t>RT @SaraTufanoZ: Muy difícil que Petro gane con ese estigma de "castrochavista" y de "extrema izquierda". Ha sido la campaña del autodenomi…</t>
  </si>
  <si>
    <t>RT @AlexLopezMaya: Esta semana se celebrarán otras sesiones virtuales del Congreso que carecen de sustento jurídico al no existir ley que p…</t>
  </si>
  <si>
    <t>RT @MaPaulaFonseca: Alcaldesa @ClaudiaLopez no insista en mentir a los bogotanos, el ingreso mínimo garantizado $160mil -$240 mil NO ES UNA…</t>
  </si>
  <si>
    <t>Si la avenida Boyacá la extienden por la reserva forestal Thomas van der Hammen, simplemente acaban con la reserva.… https://t.co/gvSTgec4im</t>
  </si>
  <si>
    <t>Esto se llama el borreguismo en política internacional, al abstenerse Colombia para suspender los derechos de paten… https://t.co/5pKlCzp4Kq</t>
  </si>
  <si>
    <t>Apuntes intelectuales para una discusión de oportunistas. Tomar posición es básico si queremos cambiar el país. Si… https://t.co/5ZqUZdGw3t</t>
  </si>
  <si>
    <t>RT @ISAZULETA: Nunca hemos tratado de eliminar a nadie, no hacemos falsas acusaciones. Que en época electoral se destaque más una verdad qu…</t>
  </si>
  <si>
    <t>RT @petrogustavo: Esto se llama el borreguismo en política internacional, al abstenerse Colombia para suspender los derechos de patente a l…</t>
  </si>
  <si>
    <t>RT @petrogustavo: Si la avenida Boyacá la extienden por la reserva forestal Thomas van der Hammen, simplemente acaban con la reserva. Supe…</t>
  </si>
  <si>
    <t>RT @Margaritarosadf: A mí lo que me parece es que no hay una polarización entre extrema izquierda y derecha. porque la propuesta de @petrog…</t>
  </si>
  <si>
    <t>La política no se divide en derecha, centro e izquierda. La acción política es más compleja pero al final si defin… https://t.co/lr62xJYIYy</t>
  </si>
  <si>
    <t>por qué, @DCoronell, reducir la pobreza al mínimo histórico en la ciudad de Bogotá es ser un mal administrador? https://t.co/FXBHMyHE25</t>
  </si>
  <si>
    <t>Además del anuncio de destrucción de la reserva Thomas Van Der Hammen, ahora llega el anuncio de transmilenio por l… https://t.co/j0CkSU09Us</t>
  </si>
  <si>
    <t>Una Fiscalía corrupta. https://t.co/HCznljTUOB</t>
  </si>
  <si>
    <t>RT @MaPaulaFonseca: ¿Cuál es el problema que tienen con los tranvías? Mientras el mundo hace tranvías, en Bogotá siguen empeñados en hacer…</t>
  </si>
  <si>
    <t>RT @petrogustavo: Una Fiscalía corrupta. https://t.co/HCznljTUOB</t>
  </si>
  <si>
    <t>Más transmilenio, pero no así. Han doblegado la ciudad a los intereses de los grandes propietarios de buses y de l… https://t.co/wFgbCSW7Zp</t>
  </si>
  <si>
    <t>RT @EpicuroDeSamos_: Petristas fanáticos mesiánicos dijimos hasta el cansancio que con Duque volverían masacres, falsos positivos, corrupci…</t>
  </si>
  <si>
    <t>RT @AngelicaLozanoC: Hoy en @CanalCapital 8:30 pm #LaSéptimaSeRespeta! El metro de de mentiras busca servirle al TM. La agenda del coraz…</t>
  </si>
  <si>
    <t>RT @RuthQuevedoF: Jovenes en contra del oportunismo de @ClaudiaLopez la expulsan de la conmemoracion de la muerte de #DylanCruz. Donde esta…</t>
  </si>
  <si>
    <t>RT @charry_manager: Claudia... https://t.co/GipogMo6aR</t>
  </si>
  <si>
    <t>RT @GerardoVegaMed: Mujeres viudas, madres y sus hijos relaman las tierras donde se construirá el Puerto de Pisisí en Antioquia. https://t.…</t>
  </si>
  <si>
    <t>Franck Cueto, candidato de Colombia Humana a la alcaldía de Galeras, Sucre, ha sido amenazado por el clan del golfo… https://t.co/dLtM7V5gNB</t>
  </si>
  <si>
    <t>RT @piedadcordoba: #DeLaPazPienso Duque hizo trizas la paz y ahora sale con que la culpa es de acuerdo de paz. - Apoyo a campesinos culti…</t>
  </si>
  <si>
    <t>RT @lbertoortiz: La derecha dice que es de izquierda, la izquierda dice que es de derecha, qué futuro puede tener un candidato que crea sem…</t>
  </si>
  <si>
    <t>Nunca he escuchado una sola voz de la prensa nacional exigiendo la libertad de Assange. Assange es un periodista q… https://t.co/VpSSnIEkgY</t>
  </si>
  <si>
    <t>Hay personas que piensan que nosotros no queremos que se nos investigue por parte de los organos de control y la fi… https://t.co/6wLmzQq2kW</t>
  </si>
  <si>
    <t>El estatuto de Roma que es la base normativa de la Corte Penal Internacional de la que Colombia es signataria, esta… https://t.co/C6FhcdTyjd</t>
  </si>
  <si>
    <t>No deja de ser segregador a profundidad que ños buses eléctricos se pongan en el área más rica de la ciudad. Acaba… https://t.co/VgSqDtki0d</t>
  </si>
  <si>
    <t>Cuando diseñamos el metro subterráneo con 90.000 pasajeros hora sentido de capacidad, se podía poner un tranvía con… https://t.co/KkzZLWYaPm</t>
  </si>
  <si>
    <t>Con un metro elevado como el de Claudia/Peñalosa con 36.000 pasajeros hora sentido, necesitamos muchísimo más trand… https://t.co/bJIkwhxBX2</t>
  </si>
  <si>
    <t>La idea de Peñalosa/Claudia de reducir el metro, a ser un simple alimentador de troncales de buses, idea exótica e… https://t.co/iuVMhDoYfe</t>
  </si>
  <si>
    <t>¿Por que una idea tan irracional es empujada en Bogotá? Porque detrás esta la corrupción como sucede con la ruta d… https://t.co/Fb0KqNIyCI</t>
  </si>
  <si>
    <t>En el contrato del metro elevado que va a perjudicar por medio siglo a la ciudad está la corrupción. William Vélez… https://t.co/1YK4u5mVMl</t>
  </si>
  <si>
    <t>Ya saldrán quien diga y "porque no hizo el metro subterraneo" hicimos lo posible, llevamos el proyecto hasta finali… https://t.co/5dt92Z9wCZ</t>
  </si>
  <si>
    <t>Y no estrellamos con la falta de persistencia del electorado de estrato 3 y 4 de la ciudad. Las mayorías de estos e… https://t.co/RZf1P3cCZM</t>
  </si>
  <si>
    <t>Al no ponerle cuidado a las elecciones locales del 2015, siendo alcalde, y dejar la división de candidaturas entre… https://t.co/JyB5GZ2KCE</t>
  </si>
  <si>
    <t>RT @AABenedetti: Yo voté por Claudia López porque se vendió como la alternativa a Peñalosa pero va para un año gobernando con la misma agen…</t>
  </si>
  <si>
    <t>RT @petrogustavo: No deja de ser segregador a profundidad que ños buses eléctricos se pongan en el área más rica de la ciudad. Acabar la s…</t>
  </si>
  <si>
    <t>La gente no protesta solo por el asesinato de Dilan, sino por de él y de Ordoñez y el de 23 presos muertos a mansal… https://t.co/p0LicBWr13</t>
  </si>
  <si>
    <t>No me gusta 1ue abucheen a politicos, perobtampoco que se haga marketing con la muerte.</t>
  </si>
  <si>
    <t>Hoy el estado integralmente debe dar una explicación, con responsables encarcelados y renuncias de responsables pol… https://t.co/wX9HjNnGsC</t>
  </si>
  <si>
    <t>Que tal esto. La culpa no fue del que hizo el holocausto sino del que tomó la foto. El abucheo es expresión de alg… https://t.co/oBuwMYOKRo</t>
  </si>
  <si>
    <t>¿Por qué Claudia no escogió el tranvia para la 7a si sus estudios ya estaban en factibilidad? Porque éste llegaba… https://t.co/Z9iU9BoqVu</t>
  </si>
  <si>
    <t>Le solicito muy respetuosamente Laura, primero dejar de tildar a las personas que fueron al acto en homenaje a Dila… https://t.co/HLQfeHp7lw</t>
  </si>
  <si>
    <t>Aunque solo es prefactibilidad, esta bien que el gobierno de Duque recoja unab propuesta presidencial de Colombia H… https://t.co/zLHN29sc0S</t>
  </si>
  <si>
    <t>Ahora dicen que los que le demos RT a estos vídeos somos xenófobos y sectarios, y además promotores de los hechos.… https://t.co/KhXzPIAXlC</t>
  </si>
  <si>
    <t>Laura no consideró enemigo a la ultraderecha ni a nadie. La política debe abandonar esos términos. Tras toda manif… https://t.co/usCEuRgYdA</t>
  </si>
  <si>
    <t>RT @petrogustavo: ¿Por qué Claudia no escogió el tranvia para la 7a si sus estudios ya estaban en factibilidad? Porque éste llegaba hasta…</t>
  </si>
  <si>
    <t>Sólo porque el mejor proyecto para la séptima: el tranvía de ocho metros de ancho midiendo los dos sentidos y eléct… https://t.co/1kJisq8bDH</t>
  </si>
  <si>
    <t>La nueva procuradora, responsable política de la masacre de 24 presos en la cárcel Modelo, será la que debe investi… https://t.co/ZQJV7qcylb</t>
  </si>
  <si>
    <t>Censuran a Carrillo cuando explica la verdad. Que Peñalosa recibió dineros de la Volvo y de eso vivió durante 15 añ… https://t.co/njDo1XRNei</t>
  </si>
  <si>
    <t>Es el modelo Mazuera. Mazuera, alcalde fascista de Bogotá, destruyó los tranvías eléctricos en 1951, porque fue el… https://t.co/7ZtQjnHXVq</t>
  </si>
  <si>
    <t>¿Cuál la diferencia entre los que hoy insultan la inteligencia de los que abuchearon a la alcaldesa y quienes acusa… https://t.co/AwGsCSLZiN</t>
  </si>
  <si>
    <t>Siempre hay que mirar que hay detrás del descontento, que lo motiva, y no macartizar al que expresa su protesta. S… https://t.co/MPloPjCxyL</t>
  </si>
  <si>
    <t>En mi opinión la expansión de la corrupción se debe al régimen político real que hay en Colombia, no al que aparece… https://t.co/hgpx8u7Nqu</t>
  </si>
  <si>
    <t>Por tanto destruir la corrupción comienza, antes que nada, por el cambio de régimen político La emancipación ciuda… https://t.co/vCQx4UY7HH</t>
  </si>
  <si>
    <t>En ese debate sobre el derecha , centro e izquierda desatado en medios en donde no son capaces de decir porque nos… https://t.co/LdiTU5LH49</t>
  </si>
  <si>
    <t>RT @GustavoBolivar: El archivo del caso de Santiago Uribe, a pesar de la cantidad de pruebas y de testimonios, de testigos vivos y asesinad…</t>
  </si>
  <si>
    <t>RT @dianafer9: Ustedes hace cuanto siguen a Petro? Yo recuerdo que cree mi cuenta de Twitter para seguirlo a él en el 2009. Y desde el 2005…</t>
  </si>
  <si>
    <t>RT @EpicuroDeSamos_: Si examinamos juiciosamente, no solo en la propuesta política actual de Petro sino en la transversal de su vida públic…</t>
  </si>
  <si>
    <t>RT @JERobledo: Acompañando a los vecinos de la Cra 7ma y a los ciudadanos que defienden esta vía de la pésima idea de Peñalosa de meter Tra…</t>
  </si>
  <si>
    <t>RT @Betocoralg: No participen en desinformación. El archivo del proceso de Santiago Uribe no es el mismo de los 12 apóstoles; es de otro qu…</t>
  </si>
  <si>
    <t>RT @sergio_serrano_: ARTÍCULO ÚNICO Se creará un Comité Editorial de Tibios al que Petro deberá mandar todos sus tuits y retuits para aprob…</t>
  </si>
  <si>
    <t>Calos F Galán propuso siendo candidato a la alcaldía en 2011 un tranvía para la séptima Era la idea más apropiada.… https://t.co/X23mBl8KMK</t>
  </si>
  <si>
    <t>RT @ammejiaaguado: #PildorasParaLaMemoria Esto era lo q pensaban @mjsarmientoa @JERobledo cuando @ClaudiaLopez no era Alcaldesa, ahora q lo…</t>
  </si>
  <si>
    <t>Una vez en 1945 los aliados hallaron los campos de concentración y alguien publicó una foto con los horrores que en… https://t.co/I4YOR72JLz</t>
  </si>
  <si>
    <t>Camilo.Arteaga ha escrito un bien artículo sobre extrema derecha e izquierda. https://t.co/N1hYjTZ8u1</t>
  </si>
  <si>
    <t>No me siento encartado. En mi vida parlamentaria es mucho en lo que hemos coincidido y poco lo que nos ha separado. https://t.co/e5AxTpMemJ</t>
  </si>
  <si>
    <t>Colombia aseguró 20 millones de dosis de vacunas, que sirven para 10 millones de sus habitantes, pero olvida titula… https://t.co/Fbibt8PEMT</t>
  </si>
  <si>
    <t>Esto decía Duque para engañar incautos https://t.co/e53gduZ0ws</t>
  </si>
  <si>
    <t>Por qué tienen que hacer una troncal de transmilenio en la séptima? Porque redujeron a la mitad la capacidad del me… https://t.co/OXx00EVimH</t>
  </si>
  <si>
    <t>En este video Claudia recoge el desarrollo de los proyectos de la Bogotá Humana en su campaña: tranvías en corredor… https://t.co/QoowoN3KOR</t>
  </si>
  <si>
    <t>Dejamos el tranvía de la 7a en factibilidad, el tranvía de la 68 con estudios de factibilidad, el tranvía a Soacha… https://t.co/qZ6ieR6W1F</t>
  </si>
  <si>
    <t>Claudia sabe hoy que una troncal de tranvías es más barata que una de buses, que no contamina y que deja más espaci… https://t.co/jYTwJbA3ll</t>
  </si>
  <si>
    <t>La bancada del verde en el concejo está devidida, hay un ala peñalosista y clientelista que ya hizo alianza con Cam… https://t.co/hrpjaf1IkG</t>
  </si>
  <si>
    <t>Si hay manifestaciones contra el rechazo a la violencia a las mujeres en el centro de Bogotá, pues es mejor ir al c… https://t.co/kXeTA3zXHm</t>
  </si>
  <si>
    <t>Esta es la masacre de campesinos en Betania, Antioquia. Esta es la Colombia de Duque. Ayer expliqué en la plenaria… https://t.co/WNGxj076MS</t>
  </si>
  <si>
    <t>Entre más glifosato y erradicación forzada más le entregan la población a la mafia y más fortalecen así la mafia.… https://t.co/GgHwNT6E8z</t>
  </si>
  <si>
    <t>Vamos por un protocolo que libere a la mujer del acoso y la violencia en la Colombia Humana. Somos el primer movim… https://t.co/nT6a5tp6Lt</t>
  </si>
  <si>
    <t>Solo 10 millones de personas serán vacunadas en Colombia, de los 50 millones de habitantes hacia finales del año en… https://t.co/Mzrl9dqtYm</t>
  </si>
  <si>
    <t>Queremos que miles de mujeres de todas las regiones del pais participen en la discusión del protocolo contra el aco… https://t.co/IlTXCxNLPj</t>
  </si>
  <si>
    <t>Las hermanas Mirabal se levantaron contra una dictadura en República Dominicana, lucharon por la Democracia y la Ju… https://t.co/aYHALFL5LA</t>
  </si>
  <si>
    <t>RT @petrogustavo: Si hay manifestaciones contra el rechazo a la violencia a las mujeres en el centro de Bogotá, pues es mejor ir al centro…</t>
  </si>
  <si>
    <t>RT @petrogustavo: Vamos por un protocolo que libere a la mujer del acoso y la violencia en la Colombia Humana. Somos el primer movimiento…</t>
  </si>
  <si>
    <t>Habría que preguntarle al concejal del mais y del verde en Bucaramanga porque van en contravía de sus partidos en… https://t.co/XVgwzwDTcQ</t>
  </si>
  <si>
    <t>RT @Hekatombe_: Alcaldesa, una cosa es no convocar, pero otra, sabotear el derecho constitucional a la protesta. Increíble cómo busca de cu…</t>
  </si>
  <si>
    <t>En pleno Bogotá atacan con explosivos la vivienda de Amparo Toloza. Dirigente verde de Bolívar. Violencia contra l… https://t.co/3bPmY3pFCZ</t>
  </si>
  <si>
    <t>Acaso el tiempo no se pregunta en vez de brindar esta afirmación engañosa. Que si se vacuna para finales del.año en… https://t.co/zs53JwhDLm</t>
  </si>
  <si>
    <t>El borreguismo internacional de Colombia, sumado a una desastrosa política interna contra el covid, solo para privi… https://t.co/Oa5vMVaPzl</t>
  </si>
  <si>
    <t>La politiquería del gobierno en abierta persecución a la oposición. El superintendente de salud va a proceso penal. https://t.co/7RD2uCfuMW</t>
  </si>
  <si>
    <t>Con todo respeto al elector verde de Bogotá. Pero esto constituye en boca de Claudia un verdadero engaño al elector… https://t.co/0SHeGaiijn</t>
  </si>
  <si>
    <t>Este es el llamado que desde la propia población de Providencia se hace a Colombia. la comida enviada se esta pudri… https://t.co/ia8IONa49W</t>
  </si>
  <si>
    <t>RT @susanamuhamad: Este #25N nos unimos desde el @ConcejoDeBogota a la gran movilización feminista. Ser mujer no puede ser sinónimo de vivi…</t>
  </si>
  <si>
    <t>RT @LupeMohawk: Isabel Cristina Zuleta, líder del Movimiento Ríos Vivos (campesinos víctimas de Hidroituango) y su lucha por la paridad par…</t>
  </si>
  <si>
    <t>RT @petrogustavo: Con todo respeto al elector verde de Bogotá. Pero esto constituye en boca de Claudia un verdadero engaño al elector. "NO…</t>
  </si>
  <si>
    <t>Se fue Maradona. Un luchador de barrio pobre que de pronto encontró la fama gracias a su genialidad en el fútbol.… https://t.co/mtnhDtWIGN</t>
  </si>
  <si>
    <t>Se nos va el genio del fútbol. Un luchador incluso contra sí mismo. Un hombre de barrio pobre que nunca se avergonz… https://t.co/tyg4EuLcAK</t>
  </si>
  <si>
    <t>RT @petrogustavo: Se nos va el genio del fútbol. Un luchador incluso contra sí mismo. Un hombre de barrio pobre que nunca se avergonzó de s…</t>
  </si>
  <si>
    <t>RT @Jhoansalvarez: Un amigo me dijo que votar por @petrogustavo es votar por otra Venezuela y que es guerrillero. Le respondo: Abrí los o…</t>
  </si>
  <si>
    <t>Propongo que todos los referendos propuestos por sectores populares del país, se junten en uno solo, el del "Chao D… https://t.co/3mxIDEonHV</t>
  </si>
  <si>
    <t>Hoy desde las diez de mañana haré el debate, con otros senadores de varios partidos: Roy, Cepeda, Garcia Realpe, Sa… https://t.co/59B69SNxI4</t>
  </si>
  <si>
    <t>Adelante. https://t.co/8RXyGZxmBN</t>
  </si>
  <si>
    <t>RT @petrogustavo: Hoy desde las diez de mañana haré el debate, con otros senadores de varios partidos: Roy, Cepeda, Garcia Realpe, Sanguino…</t>
  </si>
  <si>
    <t>RT @charry_manager: Denuncia @petrogustavo que Martínez Neira fue quien entregó la droga y que Gomez España no fue capturado, un entramado…</t>
  </si>
  <si>
    <t>RT @ammejiaaguado: .#ÚLTIMOMINUTO .@petrogustavo en ⁦@SenadoGovCo⁩ revela pruebas y audios del montaje de la fiscalía de Nestor Humberto M…</t>
  </si>
  <si>
    <t>RT @charry_manager: El senador @petrogustavo muestra como desde la @FiscaliaCol de Martinez Neira falsearon las pruebas en contra de Santri…</t>
  </si>
  <si>
    <t>RT @ammejiaaguado: Los audios y los videos evidencian q la cocaina era de la @FiscaliaCol y los números mágicos eran 5 y 10 el primero se…</t>
  </si>
  <si>
    <t>RT @charry_manager: La cara del senador uribista Santiago Valencia frente a las revelaciones de @petrogustavo desenmascarando a Nestor Humb…</t>
  </si>
  <si>
    <t>RT @AABenedetti: Gran debate de @petrogustavo, @AntonioSanguino, @IvanCepedaCast y @RoyBarreras en la Comisión Primera sobre el papel de Né…</t>
  </si>
  <si>
    <t>RT @AndresCamiloHR: El Senador @petrogustavo presentó pruebas en el debate del "Entrampamiento a la paz" donde evidencia que el Departament…</t>
  </si>
  <si>
    <t>RT @AndresCamiloHR: Para lo cual por parte de la Fiscalía, se dió el visto bueno para realizar dicha operación autorizando además un agente…</t>
  </si>
  <si>
    <t>RT @ammejiaaguado: .@petrogustavo en debate en ⁦@SenadoGovCo⁩ ex fiscal Nestor Humberto Martinez debe responder por destruir La Paz... No p…</t>
  </si>
  <si>
    <t>RT @RedMasNoticias: 🔴#Política | El senador @petrogustavo cuestionó al Gobierno sobre el proceso de paz y pidió aclaración al respecto, dur…</t>
  </si>
  <si>
    <t>RT @MJDuzan: He aquí el vídeo que hice sobre las chuzadas ilegales en la fiscalía de NHM. https://t.co/InT4MeA08A</t>
  </si>
  <si>
    <t>RT @AntonioSanguino: Sobre el exfiscal: queda en evidencia que Néstor Humberto Martínez ocultó y mostró a medias información sobre el caso…</t>
  </si>
  <si>
    <t>RT @AntonioSanguino: Sobre el exfiscal: Martínez SÍ sabía de la operación encubierta de la DEA para generar una provocación del delito a Sa…</t>
  </si>
  <si>
    <t>RT @Contravia: #Colombia Los audios presentados pir @petrogustavo que demostrarían que Marlon Marin engañó a #Santrich para hablar sobre pu…</t>
  </si>
  <si>
    <t>RT @constanzavieira: ¿Por qué lo hicieron? ¿Para qué? ¿Quién dio la orden de entrampar a Santrich? ⁦@RoyBarreras⁩ #ENVIVO Debate de contr…</t>
  </si>
  <si>
    <t>RT @AABenedetti: La investigación de @petrogustavo sobre Néstor Humberto Martínez es inédita, fuera de serie y sorprendente, en compañía de…</t>
  </si>
  <si>
    <t>RT @AndresCamiloHR: "hubo un entrampamiento a la paz" senador @petrogustavo en debate en la Comisión Primera del Senado. https://t.co/VdH…</t>
  </si>
  <si>
    <t>RT @AUGUSTOOCAMPO: Acaba de quedar en evidencia el complot para acabar con el proceso de paz... Burdos montajes, para involucrar a negocia…</t>
  </si>
  <si>
    <t>RT @RedMasNoticias: 🔴#Política | El senador @petrogustavo reveló pruebas y audios del supuesto montaje de la fiscalía de Néstor Humberto Ma…</t>
  </si>
  <si>
    <t>RT @RoyBarreras: Mi Primera conclusión en el debate sobre el entrampamiento contra el Acuerdo de Paz durante la Fiscalía de NHMartinez: Se…</t>
  </si>
  <si>
    <t>RT @HOLLMANMORRIS: Debate de @petrogustavo en este momento demuestra con sin número de detalles técnicos como manipularon el video donde su…</t>
  </si>
  <si>
    <t>RT @hyperconectado: Alguien que me explique por qué no han capturado a Néstor Humberto Martínez</t>
  </si>
  <si>
    <t>RT @JulianFMartinez: "Néstor Humberto Martínez quiso acabar con el proceso de paz y no pudo": @IvanCepedaCast https://t.co/JYuLUgKGoP</t>
  </si>
  <si>
    <t>RT @andrearoae: Por debates como el de hoy es que muchos nos sentimos en el lado correcto de la historia. Gracias @petrogustavo @IvanCepeda…</t>
  </si>
  <si>
    <t>RT @carlos_franco78: #ElEntrampamientoDeLaPaz @petrogustavo demostró que, la Fiscalía General interceptó sindicalistas, un parlamentario e…</t>
  </si>
  <si>
    <t>RT @IvanCepedaCast: Para alquilar balcón: Debate de Petro y Cepeda al exfiscal Martínez https://t.co/t7SfDP5Zka vía @caracolradio</t>
  </si>
  <si>
    <t>RT @HOLLMANMORRIS: En este momento habla Nestor Humberto Martinez en el debate promovido por el senador @petrogustavo quien con pruebas en…</t>
  </si>
  <si>
    <t>RT @AABenedetti: El debate que ha hecho @petrogustavo es impecable. Y todavía hay creativos que me preguntan ¿qué hago en la izquierda? La…</t>
  </si>
  <si>
    <t>RT @AlexLopezMaya: Celebro el increíble debate citado por @IvanCepedaCast, @AntonioSanguino, @RoyBarreras y @petrogustavo en @PrimeraSenado…</t>
  </si>
  <si>
    <t>RT @IvanCepedaCast: Néstor Humberto Martínez nunca informó al presidente Juan Manuel Santos que se estaban ejecutando operaciones de la DEA…</t>
  </si>
  <si>
    <t>RT @MovNaranja3: Mientras uno está en un debate aportando pruebas de un vil montaje del gobierno en contra de los acuerdos de paz, el otro.…</t>
  </si>
  <si>
    <t>RT @Juan_Florez: El ex fiscal Néstor Humberto Martínez es una de las figuras más sórdidas que han pasado por la fiscalía. Engavetó la inves…</t>
  </si>
  <si>
    <t>RT @SaraTufanoZ: Que Néstor Humberto Martínez nunca le informó a Santos de sus fechorías es apenas lógico. ¿Pero cómo es posible que Santos…</t>
  </si>
  <si>
    <t>RT @DiegoVelezGar: Néstor Humberto Martinez acepta que el video del entrampamiento a Santrich está alterado, pero que no fue él. Como buen…</t>
  </si>
  <si>
    <t>RT @AntonioSanguino: El exfiscal Néstor Humberto Martínez puso en peligro la seguridad nacional de Colombia: Antonio Sanguino https://t.c…</t>
  </si>
  <si>
    <t>RT @kienyke: #Política | El senador Gustavo Petro (@petrogustavo), aseguró que en las conversaciones interceptadas, no se evidencia que Jes…</t>
  </si>
  <si>
    <t>RT @sophiashouse: El montaje con el que quisieron involucrar a Santrich, a Márquez y hasta a Piedad Córdoba me recuerda otros: los narcocas…</t>
  </si>
  <si>
    <t>RT @AndresCamiloHR: Grave denuncia hace el senador @petrogustavo Secuestraron y violaron a una de las hijas de un firmante del acuerdo de…</t>
  </si>
  <si>
    <t>RT @SergioChaparro8: El discurso del ex fiscal Néstor Humberto Martínez en el debate es un ejemplo de cómo "en nombre del imperio de la ley…</t>
  </si>
  <si>
    <t>RT @CuartoDeHoraCol: Iván Cepeda (@IvanCepedaCast) dijo en el debate de control político que Néstor Humberto Martínez quiso acabar con el p…</t>
  </si>
  <si>
    <t>RT @ArielAnaliza: Es algo que no entiendo. Cómo es posible que un señor como Néstor Humberto Martínez sea un abogado supuestamente "prestig…</t>
  </si>
  <si>
    <t>RT @AUGUSTOOCAMPO: Una investigación apunta a que un exfiscal general de Colombia intentó “sabotear” el acuerdo con las FARC via @el_pais h…</t>
  </si>
  <si>
    <t>RT @chococongas: @SaraTufanoZ Petro dió una cátedra hoy en su debate,por eso nuestra preferencia por el,no se pone con tibiezas,al pan pan…</t>
  </si>
  <si>
    <t>RT @RevistaSemana: La última encuesta de Invamer plantea escenarios hipotéticos para las elecciones presidenciales de 2022. ¿Por cuál de es…</t>
  </si>
  <si>
    <t>RT @MajoDoria: La paz es un derecho y Néstor Humberto Martínez nos pisoteo a todos los colombianos.</t>
  </si>
  <si>
    <t>RT @JuanFelipeJojo4: Aquí dejo cuando @sergio_fajardo decía que Néstor Humberto es "la persona más importante contra la lucha de la corrupc…</t>
  </si>
  <si>
    <t>RT @DiegoVelezGar: @petrogustavo acaba de demostrar de manera impecable e inequívoca que Ivan Márquez y Santrich no estaban en ningún negoc…</t>
  </si>
  <si>
    <t>RT @CortizJ_: Nunca... Nunca ... Nunca... Ustedes verán a @sergio_fajardo con la gallardía de @petrogustavo como lo ha hecho hoy desenmasca…</t>
  </si>
  <si>
    <t>RT @LevyRincon: Petro acaba de dar un debate en donde muestra con pruebas que Néstor Humberto Martinez y el uribismo planearon una trampa c…</t>
  </si>
  <si>
    <t>RT @intiasprilla: Hace más de un año reconocí que el actuar respecto a Santrich fue un error y pedí las excusas correspondientes. Hoy reafi…</t>
  </si>
  <si>
    <t>RT @Pedropsalas: Gustavo Petro e Iván Cepeda presentaron pruebas en donde califican como un “montaje” y “una mentira” el caso de narcotráfi…</t>
  </si>
  <si>
    <t>RT @IvanCepedaCast: Exfiscal Néstor Humberto Martínez: usted quiso acabar con el proceso de paz, y no pudo.</t>
  </si>
  <si>
    <t>RT @lilicatadiaz: En un país decente, después del debate de @petrogustavo sobre el montaje de Néstor Humberto Martinez a Santrich, dirigido…</t>
  </si>
  <si>
    <t>RT @JulianFMartinez: Néstor Humberto Martínez está haciendo una exposición en el Congreso que estigmatiza la labor del reportero @eabolanos…</t>
  </si>
  <si>
    <t>RT @AntonioSanguino: Sobre el exfiscal: la actuación del fiscal Martínez puso en 'jaque' la seguridad nacional al permitir que entidades de…</t>
  </si>
  <si>
    <t>RT @eabolanos: Y les encimo la ñapa: la entrevista que me concedió el exfiscal Néstor Humberto Martínez sobre el tema. Juzguen ustedes. htt…</t>
  </si>
  <si>
    <t>RT @armestonelson: Paloma Valencia llamando a sus amigos para ver quién tiene un video de Petro para salvar a Néstor Humberto Martínez y de…</t>
  </si>
  <si>
    <t>RT @elsemblante: El video que Néstor Humberto y la Fiscalía le llevaron a la prensa y ésta difundió fue manipulado. Se muestran pruebas téc…</t>
  </si>
  <si>
    <t>RT @MoisesAlvaro_: Si Nestor Humberto Martinez no hace parte hoy de un proceso judicial por los crímenes que ha cometido contra el país es…</t>
  </si>
  <si>
    <t>RT @MJDuzan: Aquí está la denuncia de la que hablaron @petrogustavo e Ivan Cepeda sobre las chuzadas ilegales en la fiscalía de NHM. Ahí p…</t>
  </si>
  <si>
    <t>RT @bogotamuyfirme: Nestor Humberto Martínez https://t.co/75gOZucPgv</t>
  </si>
  <si>
    <t>Como siempre @rcnradio saca la defensa del fiscal que buscó acabar un proceso de paz con pruebas manipuladas pero n… https://t.co/IttkAvp53n</t>
  </si>
  <si>
    <t>RT @WRadioColombia: #Actualidad | 'Néstor Humberto Martínez hizo todo lo posible para destruir el proceso de paz': Barreras (@RoyBarreras)…</t>
  </si>
  <si>
    <t>RT @luisrodevia: Que vergüenza la @FiscaliaCol ! PETRO le hace control político a NESTOR HUMBERTO MARTINEZ. 🔴 HOY... https://t.co/ytufUb1u…</t>
  </si>
  <si>
    <t>RT @lasillavacia: #ElPaísEnVivo Después del debate de control político al Exfiscal Nestor Humberto Martínez, @AntonioSanguino anunció una…</t>
  </si>
  <si>
    <t>RT @lbertoortiz: Sencillo el pago a Néstor Humberto Martínez, por intentar acabar el proceso d paz, es la embajada d Colombia en España, ni…</t>
  </si>
  <si>
    <t>RT @DianaDefensora: Néstor Humberto Martínez es simplemente un hampón y corrupto que le ha hecho daño y le sigue haciendo mucho daño al paí…</t>
  </si>
  <si>
    <t>RT @ArielAnaliza: El debate de hoy que lideró en el congreso el senador @petrogustavo demuestra comportamientos y acciones de la @FiscaliaC…</t>
  </si>
  <si>
    <t>RT @AndresCamiloHR: @petrogustavo e Iván Cepeda presentaron pruebas en donde califican como un “montaje” y "una mentira” el caso de narcotr…</t>
  </si>
  <si>
    <t>RT @AlexKleinO: El daño que el delincuente de Néstor Humberto Martínez le ha hecho a Colombia es uno de los peores crímenes en la historia…</t>
  </si>
  <si>
    <t>RT @AABenedetti: Uno es de izquierda o de derecha por los principios y valores que uno defiende. No por el amigo, la casa, los partidos, et…</t>
  </si>
  <si>
    <t>RT @DanielRMed: El debate de @petrogustavo al exfiscal Martínez con argumentos, datos y precisiones, demuestra el talante de un dirigente c…</t>
  </si>
  <si>
    <t>RT @Jhoansalvarez: Petro reveló la parapolítica. Petro reveló la Farc-política. Petro reveló que Néstor Humberto Martínez hizo trizas el…</t>
  </si>
  <si>
    <t>RT @AngelicaLozanoC: Admirable tesón y pruebas expusieron hoy @IvanCepedaCast, @petrogustavo, @RoyBarreras y @AntonioSanguino 👏👏 Infame t…</t>
  </si>
  <si>
    <t>RT @HOLLMANMORRIS: ATENCIÓN Nestor Humberto Martinez le acepta a @petrogustavo que el video donde aparece Santrich supuestamente negociand…</t>
  </si>
  <si>
    <t>RT @PizarroMariaJo: El debate liderado por @petrogustavo sobre las andanzas de NHM, demuestra las pocas garantías que el señor ofreció cuan…</t>
  </si>
  <si>
    <t>RT @DavidRacero: Quieren más evidencias que las que ha presentado @petrogustavo sobre la destrucción de la paz liderada por el propio fisca…</t>
  </si>
  <si>
    <t>RT @GustavoBolivar: El burdo montaje de Néstor Huberto Martínez para enviar a las FARC de nuevo a la clandestinidad quedó probado hoy con s…</t>
  </si>
  <si>
    <t>RT @lbertoortiz: Néstor Humberto Martínez tiene un pie en una cárcel en los Estados Unidos. https://t.co/Tyq6s8otXo</t>
  </si>
  <si>
    <t>RT @HOLLMANMORRIS: Viendo el debate a Nestor Humberto Martinez por el “entrampamiento” a la paz surge con la pregunta: ¿ Quién o quienes…</t>
  </si>
  <si>
    <t>RT @IvanCepedaCast: N. H. Martínez afirmó que entregó a la @JEP_Colombia solo 12 de los 24.000 audios porque solo esos contenían informació…</t>
  </si>
  <si>
    <t>RT @intiasprilla: Señor Néstor Humberto Martínez usted es un HAMPON DE LA PEOR CALAÑA y estoy dispuesto a que usted me denuncie para sosten…</t>
  </si>
  <si>
    <t>RT @HOLLMANMORRIS: Interviene en este momento el senador @petrogustavo cerrando el debate . En este link , véalo : https://t.co/TgrM6jSpXo</t>
  </si>
  <si>
    <t>RT @HOLLMANMORRIS: Siga en @Tercer_Canal la transmisión del debate que le hace el senador @petrogustavo al exfiscal Nestor Humberto Martine…</t>
  </si>
  <si>
    <t>RT @nimbuscienta: ¿O sea que Petro sí les sirve en el Senado investigando y denunciando corrupción y demás delitos y los otros son los que…</t>
  </si>
  <si>
    <t>RT @lbertoortiz: Cuando la @JEP_Colombia le pidió las pruebas al gobierno de Estados Unidos y al fiscal Néstor Humberto Martínez, simplemen…</t>
  </si>
  <si>
    <t>RT @HOLLMANMORRIS: “Nestor Humberto Martinez prestó la fiscalía para darle un golpe contundente a La Paz de Cololombia” “Este proceso se t…</t>
  </si>
  <si>
    <t>RT @jcuestanovoa: Nestor Humberto Martínez organizó un entrampamiento a la paz. Para ello destinó recursos públicos con el fin de comprar 5…</t>
  </si>
  <si>
    <t>RT @Verchiljeffer: Quieren ver por que los hacen odiar tanto a @petrogustavo?.. Sera porque es uno d los pocos políticos que se atreve a de…</t>
  </si>
  <si>
    <t>RT @HOLLMANMORRIS: En este momento @petrogustavo revela pruebas - audios- del montaje de la fiscalía de Nestor Humberto Martinez a Ivan Már…</t>
  </si>
  <si>
    <t>Hoy realice uno de mis mejores debates demostrando como una parte de la sociedad a través de personales oscuros due… https://t.co/X1SsIKfhjj</t>
  </si>
  <si>
    <t>RT @petrogustavo: Hoy realice uno de mis mejores debates demostrando como una parte de la sociedad a través de personales oscuros dueños de…</t>
  </si>
  <si>
    <t>RT @LuisGPerezCasas: #MeQuejoDe que @NestorHMN le haya hecho tanto daño al país,tanto daño a la democracia, tanto daño a la paz,tanto daño…</t>
  </si>
  <si>
    <t>Las pruebas contra Santrich e Ivan Márquez, que nunca cayó en la trampa eran conversaciones entre la DEA y la DEA… https://t.co/6EySBIbt06</t>
  </si>
  <si>
    <t>En la única prueba en donde Santrich accede a hablar por teléfono con el supuesto cartel de Sinaloa, que es en real… https://t.co/cdC94H85S5</t>
  </si>
  <si>
    <t>El video que mostró Néstor Humberto a la prensa, de la reunión del cartel de Sinaloa, que es la DEA, con Santrich,… https://t.co/ovHAe8PYs7</t>
  </si>
  <si>
    <t>Marlon Marín, el sobrino de Ivan Marquez, sabía que trabajaba para la DEA, y buscaba ha toda costa hacerle pasar Iv… https://t.co/qqxKLWBplG</t>
  </si>
  <si>
    <t>Los 5 kilos de Coca que supuestamente Santrich entregó al cartel de Sinaloa para un prueba antes de venderle 10 ton… https://t.co/NNs4R9Ypqk</t>
  </si>
  <si>
    <t>Marlon Marín, colaborador de la DEA, y hablando con sus jefes hizo grabar, haciendo pasar a sus jefes como el cart… https://t.co/NjzcWPBJq6</t>
  </si>
  <si>
    <t>Marlon Marín, se fue librementente a EEUU como testigo protegido pero era en realidad colaborador de la DEA, declar… https://t.co/1SyXqaJep0</t>
  </si>
  <si>
    <t>Asistimos a una estratagema de extraditar dos firmantes de la paz , con pruebas falsas, para destruir el proceso de… https://t.co/KZhsR4XBrO</t>
  </si>
  <si>
    <t>El actual fiscal Barbosa asesoró al presidente Duque para que por decreto aboliera a la JEP, extraditara a Santrich… https://t.co/6jqfHoZKzH</t>
  </si>
  <si>
    <t>La conclusión del debate es que se debería reparar el proceso de paz, con los EEUU reparar los daños causados por u… https://t.co/NhDtsGxYNr</t>
  </si>
  <si>
    <t>Hoy sabemos que no solo toda la insurgencia pudo dejar las armas, incluido el ELN, que las disidencias pudieron red… https://t.co/lIKwOx95DL</t>
  </si>
  <si>
    <t>La seguridad de la ciudadanía pasa por la paz con toda la insurgencia, por el desmantelamiento pacífico del narcotr… https://t.co/GzQiBx1ADN</t>
  </si>
  <si>
    <t>RT @WRadioColombia: #LaHoraCero #OpiniónW | El debate de control político dejó a Martínez en la lona por knockout: María Jimena Duzán (@MJD…</t>
  </si>
  <si>
    <t>RT @AUGUSTOOCAMPO: Y los medios engañados por Nestor Humberto con la edición de un video, presentado fuera de contexto ? Luego de la reve…</t>
  </si>
  <si>
    <t>RT @elsemblante: Escándalos denunciados por @petrogustavo: Parapolítica, Farcpolítica, Carrusel en Bogotá, Odebrecht, falso positivo de la…</t>
  </si>
  <si>
    <t>RT @petrogustavo: Las pruebas contra Santrich e Ivan Márquez, que nunca cayó en la trampa eran conversaciones entre la DEA y la DEA, simu…</t>
  </si>
  <si>
    <t>RT @ricardobonillag: Los terratenientes colombianos, 1.500 familias, poseen 44 millones hectáreas, 87% en ganadería extensiva agremiada en…</t>
  </si>
  <si>
    <t>Querían que el metro de Bogotá lo hiciera William Vélez, el contratista preferido de Uribe, y quisieron que la inte… https://t.co/tJmBEL3Vvl</t>
  </si>
  <si>
    <t>Ni mansa paloma es Santrich y Halcón, indudablemente es es Nestor Humberto. Su fiscal Barbosa quiso aprovechar la t… https://t.co/hInHHNzvKZ</t>
  </si>
  <si>
    <t>Un cuento de Balzac en la obra inacabada de un Marx que no se deja aprisionar de los dogmas. Un nuevo libro biográ… https://t.co/9qK8QyXU1o</t>
  </si>
  <si>
    <t>RT @AndresCamiloHR: Las pruebas que presentó en el debate @petrogustavo fueron tan contundentes, que él mismo presidente tuvo que salir a d…</t>
  </si>
  <si>
    <t>He visto a dos presidentes salir a defenderse de mis debates parlamentarios, el uno por el debate sobre el paramili… https://t.co/9cTF6dIkTB</t>
  </si>
  <si>
    <t>Néstor Humberto destruyó la paz de Colombia para defender los intereses de sus clientes. De aquellos, muy poderosos… https://t.co/rru8x3WLBj</t>
  </si>
  <si>
    <t>RT @petrogustavo: He visto a dos presidentes salir a defenderse de mis debates parlamentarios, el uno por el debate sobre el paramilitarism…</t>
  </si>
  <si>
    <t>Si el general Salamanca lo amenazan por denunciar corrupción en la policia, imagínense lo que pasa con la ciudadaní… https://t.co/D1vCCJc96v</t>
  </si>
  <si>
    <t>La carrera policial y la militar abiertas significa que el que ingrese pueda llegar a ser general sin barreras. El… https://t.co/USzNwluO6P</t>
  </si>
  <si>
    <t>La calificación ciudadana para el ascenso policial y la calificación de los sargentos de las Fuerzas Armadas para e… https://t.co/cTLE660vKb</t>
  </si>
  <si>
    <t>Esta es mi intervención en el debate "El entrampamiento a la Paz". https://t.co/ZnSRJJqQgb</t>
  </si>
  <si>
    <t>RT @petrogustavo: Esta es mi intervención en el debate "El entrampamiento a la Paz". https://t.co/ZnSRJJqQgb</t>
  </si>
  <si>
    <t>Inaugurada la sede del Mais, movimiento político indígena en Bogotá https://t.co/fJiE3CcIZN</t>
  </si>
  <si>
    <t>En la II Convención de Fuerza Ciudadana en Santa Marta. Mi primer viaje en medio del covid. #HayFuturoSiHayCambio https://t.co/HDA53AVVq4</t>
  </si>
  <si>
    <t>RT @fzciudadana: "Si el pacto se vuelve imposible, la nación se hace imposible, la Colombia posible es la Colombia en una era de paz" @petr…</t>
  </si>
  <si>
    <t>RT @fzciudadana: ¡Fuerza Ciudadana se extiende por toda Colombia!🇨🇴 El senador Gustavo Petro nos acompaña en la 2da Convención Nacional de…</t>
  </si>
  <si>
    <t>RT @HOLLMANMORRIS: Hallazgos de @ContraloriaBta reafirman la denuncia y advertencia que hicimos con los senadores @petrogustavo y @GustavoB…</t>
  </si>
  <si>
    <t>Si Santrich quiere darme las gracias por descubrir la manipulación que le hicieron para extraditarlo y dañar el pro… https://t.co/eHzLMV34NF</t>
  </si>
  <si>
    <t>En pleno Urabá, con miles de militares en el territorio y no fue posible helicopetros para apagar el incendio de Ri… https://t.co/zBtKNIjzON</t>
  </si>
  <si>
    <t>Volvieron las barricadas a París. La gente se levanta contra el recorte de los derechos democráticos https://t.co/WyBcvJtisN</t>
  </si>
  <si>
    <t>Esta es la movilización de París, ayer. Una multitud en lucha por la democracia. https://t.co/s8z6SjzASf</t>
  </si>
  <si>
    <t>Los negocios más lucrativos del mundo. La columna de Gustavo Bolívar que comentaremos hoy a las siete de la noche… https://t.co/QNqYnGAcXC</t>
  </si>
  <si>
    <t>Una política de seguridad eficaz. Mi columna que comentaremos hoy por esta cuenta de Twitter a las siete de la noc… https://t.co/CIMRXi3GcM</t>
  </si>
  <si>
    <t>RT @petrogustavo: Los negocios más lucrativos del mundo. La columna de Gustavo Bolívar que comentaremos hoy a las siete de la noche con J…</t>
  </si>
  <si>
    <t>RT @petrogustavo: Una política de seguridad eficaz. Mi columna que comentaremos hoy por esta cuenta de Twitter a las siete de la noche, co…</t>
  </si>
  <si>
    <t>Estoy en vivo con @gustavobolivar en la lectura de las columnas, hoy bajo la conducción del actor @julianroman https://t.co/ZRk6Ez15Rw</t>
  </si>
  <si>
    <t>RT @Eclides3: Los noticieros de RCN, defienden la "Honestida y Dignidad" de Néstor Humberto Martínez y atacan a Petro, acusándolo de guerr…</t>
  </si>
  <si>
    <t>RT @petrogustavo: Estoy en vivo con @gustavobolivar en la lectura de las columnas, hoy bajo la conducción del actor @julianroman https://t.…</t>
  </si>
  <si>
    <t>RT @colombia_hist: El 1 de enero de 1852, se estableció un Hito histórico, fue abolida la esclavitud después de años de negociaciones entre…</t>
  </si>
  <si>
    <t>Adivinen que hace el ministro de Justicia con el excontralor corrupto de Odebrecht, Juan Carlos Granados: lo van a… https://t.co/SZpUhTcaJN</t>
  </si>
  <si>
    <t>Me encantaría German Tejada que nos contara públicamente que mafias andan detrás de nosotros, solo he visto detrás… https://t.co/RpeCBzOC9x</t>
  </si>
  <si>
    <t>Les dejo aquí, clips del debate sobre el entrampamiento a la paz. Clip 10 https://t.co/MCmZtz06mA</t>
  </si>
  <si>
    <t>Les dejo aquí, clips del debate sobre el entrampamiento a la paz. Clip 9 https://t.co/j6eIjmf5s1</t>
  </si>
  <si>
    <t>Les dejo aquí, clips del debate sobre el entrampamiento a la paz. Clip 8 https://t.co/QsYQuT2I8b</t>
  </si>
  <si>
    <t>Les dejo aquí, clips del debate sobre el entrampamiento a la paz. Clip 7 https://t.co/qLIT6s8FQd</t>
  </si>
  <si>
    <t>Les dejo aquí, clips del debate sobre el entrampamiento a la paz. Clip 6 https://t.co/jnJEM0xGYn</t>
  </si>
  <si>
    <t>Les dejo aquí, clips del debate sobre el entrampamiento a la paz. Clip 5 https://t.co/bK8NMkQDyG</t>
  </si>
  <si>
    <t>Les dejo aquí, clips del debate sobre el entrampamiento a la paz. Clip 4 https://t.co/27yjZlGNWk</t>
  </si>
  <si>
    <t>Les dejo aquí, clips del debate sobre el entrampamiento a la paz. Clip 3 https://t.co/lxpYsL3ym4</t>
  </si>
  <si>
    <t>Les dejo aquí, clips del debate sobre el entrampamiento a la paz. Clip 2 https://t.co/uppL2u7oIJ</t>
  </si>
  <si>
    <t>La capacidad de la.prensa de Colombia la pueden ustedes ver en la manera como los medios cubrieron el video del din… https://t.co/aVrBKLN8QK</t>
  </si>
  <si>
    <t>Otro excombatiente de las FARC asesinado. Son ya 244 los asesinados que hacen parte de lo que constituye la persecu… https://t.co/UOYBJlveIf</t>
  </si>
  <si>
    <t>RT @piedadcordoba: Apreciados @sanchezcastejon y @PabloIglesias: Apareció documento de investigadores de la Fiscalía de Colombia donde man…</t>
  </si>
  <si>
    <t>Esta es una manera simple de ver el efecto de los líderes del voto en blanco. No solo parte de sus electores votar… https://t.co/ClUmULWpUt</t>
  </si>
  <si>
    <t>RT @HELIODOPTERO: PRIMICIA Juan Manuel Santos fue chuzado durante Fiscalía de NéstorMartínez. Los montajes judiciales para tratar de mezcl…</t>
  </si>
  <si>
    <t>RT @petrogustavo: Esta es una manera simple de ver el efecto de los líderes del voto en blanco. No solo parte de sus electores votaron en…</t>
  </si>
  <si>
    <t>RT @petrogustavo: Les dejo aquí, clips del debate sobre el entrampamiento a la paz. Clip 10 https://t.co/MCmZtz06mA</t>
  </si>
  <si>
    <t>RT @petrogustavo: Les dejo aquí, clips del debate sobre el entrampamiento a la paz. Clip 9 https://t.co/j6eIjmf5s1</t>
  </si>
  <si>
    <t>RT @petrogustavo: Les dejo aquí, clips del debate sobre el entrampamiento a la paz. Clip 8 https://t.co/QsYQuT2I8b</t>
  </si>
  <si>
    <t>RT @petrogustavo: Les dejo aquí, clips del debate sobre el entrampamiento a la paz. Clip 7 https://t.co/qLIT6s8FQd</t>
  </si>
  <si>
    <t>RT @petrogustavo: Les dejo aquí, clips del debate sobre el entrampamiento a la paz. Clip 6 https://t.co/jnJEM0xGYn</t>
  </si>
  <si>
    <t>RT @petrogustavo: Les dejo aquí, clips del debate sobre el entrampamiento a la paz. Clip 5 https://t.co/bK8NMkQDyG</t>
  </si>
  <si>
    <t>RT @petrogustavo: Les dejo aquí, clips del debate sobre el entrampamiento a la paz. Clip 4 https://t.co/27yjZlGNWk</t>
  </si>
  <si>
    <t>RT @petrogustavo: Les dejo aquí, clips del debate sobre el entrampamiento a la paz. Clip 3 https://t.co/lxpYsL3ym4</t>
  </si>
  <si>
    <t>RT @petrogustavo: Les dejo aquí, clips del debate sobre el entrampamiento a la paz. Clip 2 https://t.co/uppL2u7oIJ</t>
  </si>
  <si>
    <t>RT @elsemblante: Al metro elevado de Peñalosa, Duque, Vargas Lleras y Claudia, la Contraloría le encontró 86 hallazgos: 45 son administrati…</t>
  </si>
  <si>
    <t>Un extremista https://t.co/sID1My8acl</t>
  </si>
  <si>
    <t>RT @Margaritarosadf: ¿No es muy lógica esta política de seguridad que propone @petrogustavo ? Por favor, “otras opciones” presidenciales: s…</t>
  </si>
  <si>
    <t>RT @FLIP_org: #ComunicadoFLIP | Las estigmatizaciones del exfiscal Néstor Humberto Martínez hacia la prensa buscan desviar los cuestionamie…</t>
  </si>
  <si>
    <t>Lamentable que cuando solo resta una década para el punto de no retorno en el cambio climático si no detenemos las… https://t.co/ReqPmapU4i</t>
  </si>
  <si>
    <t>RT @AlexLopezMaya: Increíble que el Nobel de Paz haya nombrado como Fiscal al sujeto que más daño le ha hecho a La Paz. Para Santos, prot…</t>
  </si>
  <si>
    <t>RT @petrogustavo: Lamentable que cuando solo resta una década para el punto de no retorno en el cambio climático si no detenemos las emisio…</t>
  </si>
  <si>
    <t>Según la encuesta de Invamer mientras Martha Lucia Ramírez y Sergio Fajardo son los candidatos mayoritarios de lo(a… https://t.co/dvEFG8Kkc5</t>
  </si>
  <si>
    <t>RT @JoseGuarnizoA: Una pregunta respetuosa para @ClaudiaLopez: ¿Por qué su secretario jurídico William Mendieta se reúne con el excontral…</t>
  </si>
  <si>
    <t>El gobierno guardó más de la mitad de los recursos que se consiguieron para la pandemia. El resultado de ello fue… https://t.co/ctWvhW9YHX</t>
  </si>
  <si>
    <t>Cuando cambiamos el sistema de aseo en Bogotá sabíamos que la cantidad de desechos sólidos, líquidos y gaseosos, es… https://t.co/8ZpGGWfP7a</t>
  </si>
  <si>
    <t>Néstor Humberto ya nos había amenazado en pleno Senado de la República y ahora amenaza a María Jimena Duzan Es la… https://t.co/CpmUVryEbZ</t>
  </si>
  <si>
    <t>Néstor Humberto debe ser juzgado por sus delitos. El mayor de ellos, el atentar contra la paz de una Nación, desde el Estado.</t>
  </si>
  <si>
    <t>Con el apoyo de la prensa y de una parte de la ciudadanía bogotana proclive a la manipulación mediática, Peñalosa a… https://t.co/r1GxsfAKpY</t>
  </si>
  <si>
    <t>Las ganancias bancarias están en crecimiento, en un país en ruina económica. No es un indicador de recuperación, e… https://t.co/MlVyuX5s0V</t>
  </si>
  <si>
    <t>Entre aplauso y aplauso de la prensa, de una parte de la ciudadanía domesticada, y de horas eternas de programas te… https://t.co/4OqiJu3CDL</t>
  </si>
  <si>
    <t>Vamos a reformar la fuerza pública de tal manera que el honor sea su valor fundamental. Honor en el servicio a la c… https://t.co/Zxrdl3u12u</t>
  </si>
  <si>
    <t>Contraloría comprobó corrupción en la asignación tanto del constructor como del interventor del metro, el primero,… https://t.co/To1K2fmkLr</t>
  </si>
  <si>
    <t>Esta es la huelga más grande en la historia del mundo. Se desarrolla en estos momentos en la India. https://t.co/HXukOQV33H</t>
  </si>
  <si>
    <t>¿Quien le dijo a los empresarios, que si los trabajadores están mal pagos tendrán futuro? Tendrán más ganancias e… https://t.co/fhOjkwsCBi</t>
  </si>
  <si>
    <t>RT @petrogustavo: Entre aplauso y aplauso de la prensa, de una parte de la ciudadanía domesticada, y de horas eternas de programas televisi…</t>
  </si>
  <si>
    <t>Esta es La Paz: Que la juventud tenga como su gran día, para todos y todas, su día de graduación en el saber. Que… https://t.co/grfkdYPljH</t>
  </si>
  <si>
    <t>RT @MarioNoriegaT1: Bogotá (7,1 M) con el 14% de la población de Colombia (49,6M) tiene, hasta ahora, el 23% de las muertes (8.449) por co…</t>
  </si>
  <si>
    <t>RT @petrogustavo: Vamos a reformar la fuerza pública de tal manera que el honor sea su valor fundamental. Honor en el servicio a la ciudada…</t>
  </si>
  <si>
    <t>Pulgar es uno de los políticos más representativos del Senado. Anodino, sin ideas, partícipe de esa masas gris del… https://t.co/xukJ3PzA2T</t>
  </si>
  <si>
    <t>RT @petrogustavo: Según la encuesta de Invamer mientras Martha Lucia Ramírez y Sergio Fajardo son los candidatos mayoritarios de lo(a)s que…</t>
  </si>
  <si>
    <t>RT @petrogustavo: Adivinen que hace el ministro de Justicia con el excontralor corrupto de Odebrecht, Juan Carlos Granados: lo van a hacer…</t>
  </si>
  <si>
    <t>RT @laorejaroja: El Grupo Empresarial Antioqueño (GEA) y lo que se conoce como el uribismo, entre otros sectores de poder, tienen, para el…</t>
  </si>
  <si>
    <t>RT @angserranoz: Hola. Tengo algo que confesar: soy economista uniandina 😖 Pero… estoy en proceso de rehabilitación 😅 Como parte de est…</t>
  </si>
  <si>
    <t>¿Por qué el presidente ternó para la comisión que hace juicios disciplinarios a los jueces de Colombia, a quien ha… https://t.co/jx8lHDxF09</t>
  </si>
  <si>
    <t>RT @adam_wola: Importante que se sepa en #Colombia que una comisión gubernamental bipartidista de EEUU dijo, como punto de consenso, que "E…</t>
  </si>
  <si>
    <t>RT @adam_wola: An @elespectador editorial says #Colombia's last chief prosecutor, Néstor Humberto Martínez, has endangered one of their rep…</t>
  </si>
  <si>
    <t>Hasta la comisión bipartidista del Congreso de los EEUU recomienda que no se erradique forzadamente cultivos de coc… https://t.co/5hhk0TJ0za</t>
  </si>
  <si>
    <t>En el 2022 dado el derrumbe del uribismo y el fracaso mundial del neoliberalismo, se pondrà de moda el camuflaje po… https://t.co/QgrDPWJIiB</t>
  </si>
  <si>
    <t>Estas son las mentiras que no se deben dejar pasar . El gas natural es un gas efecto invernadero, no solo porque em… https://t.co/E80qBbNuK6</t>
  </si>
  <si>
    <t>Oye, Vargas Lleras, su ministro de salud, condenó a toda Colombia en quedar en la cola del mundo para la vacunación… https://t.co/iYaaKZpfve</t>
  </si>
  <si>
    <t>Oficialmente acaba de salir la marihuana del listado de drogas peligrosas de la ONU. Y nosotros matandonos aquí po… https://t.co/z08RP2F0cN</t>
  </si>
  <si>
    <t>El embajador de los EEUU le dio toda su confianza a Néstor Humberto Martínez y se equivocó. Hay que reexaminar el… https://t.co/atbEXgcHAs</t>
  </si>
  <si>
    <t>RT @GustavoBolivar: A esta hora excontralor Odebrecht Juan Carlos Granados pide votos al Congreso para q lo elijamos como magistrado d la C…</t>
  </si>
  <si>
    <t>Eduardo Pulgar en la presidencia del senado fue el que me impidió responder al video sin audio que publicó Paloma V… https://t.co/gXDfgXwxf8</t>
  </si>
  <si>
    <t>RT @EpicuroDeSamos_: Pero no solo Cotes dominaban el Magdalena, sino todos esos clanes de similar calaña, como los Gnecco, los Char, los Lu…</t>
  </si>
  <si>
    <t>Así desmontan una investigación seria. Los 5 kilos de cocaína que son la prueba para acusar a Santrich, se compraro… https://t.co/zqzbYb8pZn</t>
  </si>
  <si>
    <t>En realidad lo primero que hay que hacer en educación es subir el presupuesto sustancialmente para hacer sedes de l… https://t.co/fv2ORM3ZJU</t>
  </si>
  <si>
    <t>Esto querían. El Capital primero que la vida. En realidad, la política en el mundo, desde ya y por décadas, girará… https://t.co/IyDLZD8wJK</t>
  </si>
  <si>
    <t>RT @petrogustavo: Eduardo Pulgar en la presidencia del senado fue el que me impidió responder al video sin audio que publicó Paloma Valenci…</t>
  </si>
  <si>
    <t>Elegido el excontralor de Odebrecht, Juan Carlos Granados como miembro de la comisión de disciplinamiento de los ju… https://t.co/j7jZYLCT38</t>
  </si>
  <si>
    <t>Otro disciplinador de jueces elegido por el Congreso será carlos arturo Ramirez, el mismo que firmó el fallo del pr… https://t.co/VhTYCHEoRG</t>
  </si>
  <si>
    <t>Será que @Avianca puede dar explicación pública de porque el equipaje de nuestra compañera, candidata al senado, ex… https://t.co/9YPhW0RiVX</t>
  </si>
  <si>
    <t>El congreso nombró a Juan Carlos Granados para que no fuera juzgado por la justicia por los sobornos de Odebrecht https://t.co/oq8iP7PAa7</t>
  </si>
  <si>
    <t>Es increíble lo que ha hecho Vargas Lleras y Duque para salvar a Granados de su proceso judicial usando al Congreso… https://t.co/HDT63wy3xE</t>
  </si>
  <si>
    <t>Así quedamos en educación en los gobiernos que terminaron en 2015 Mientras Bogotá avanzaba, Antioquia retrocedía.… https://t.co/ZVMvrhDyHS</t>
  </si>
  <si>
    <t>RT @susanamuhamad: horror! Del congreso al concejo. Con contralor distrital.Aquí todos a manteles incluido secretario jurídico de @ClaudiaL…</t>
  </si>
  <si>
    <t>RT @MdeFrancisco12: Esta comparsa de manilargos ya está saturando a la gente. Pasean su ostentación de hamponería con total descaro. https:…</t>
  </si>
  <si>
    <t>Concejo de Bogotá y Congreso premian a Juan Carlos Granados, y la alcaldía le amplia el presupuesto a la ficha de G… https://t.co/q6bjxNxDlV</t>
  </si>
  <si>
    <t>Además de los congresistas, incluidos los liberales, que votan por una persona que se le sindica de corrupción, es… https://t.co/AdXCGuhMUe</t>
  </si>
  <si>
    <t>Esta es una de las mejores noticias para Colombia. Descubiertos murales rupestres con pinturas de hace 12.000 años… https://t.co/BKwGyMrFae</t>
  </si>
  <si>
    <t>11.000 personas han muerto por covid en Bogotá, tres mil más que en las cifras oficiales. Es una de las tasas más… https://t.co/DOQwtLQJ7n</t>
  </si>
  <si>
    <t>Margarita Rosa de Francisco y la politica. Todo lo que diferencia al ser humano del animal, siendo uno de ellos, e… https://t.co/tlORucOl0f</t>
  </si>
  <si>
    <t>A los jóvenes que Nestor Humberto Martínez capturó para hacerlos pasar como los autores del atentado al centro Andi… https://t.co/NqslCfeXgW</t>
  </si>
  <si>
    <t>Angélica tiene razón, la razón por la que Char, copartidario de Granados no permitió hablar y adelantó la elección… https://t.co/PGzsVe7Hi1</t>
  </si>
  <si>
    <t>Pero hay una incoherencia sino se explica por qué parte del partido verde votó por la ficha de Granados para la con… https://t.co/ha4O7giV6m</t>
  </si>
  <si>
    <t>RT @petrogustavo: Esta es una de las mejores noticias para Colombia. Descubiertos murales rupestres con pinturas de hace 12.000 años en el…</t>
  </si>
  <si>
    <t>En esta foto está el ministro de justicia de Duque, el secretario jurídico de la alcaldía de Bogotá y el señor Gran… https://t.co/affVyAVRGi</t>
  </si>
  <si>
    <t>Le faltó decir Claudia, que el abogado Mendieta, sus secretario jurídico, es la ficha política que el exconyralor G… https://t.co/M3nKtBs8L5</t>
  </si>
  <si>
    <t>RT @HOLLMANMORRIS: ATENCIÓN INGETEC e INTEGRAl son para la contraloria también responsables fiscales del descalabro de Hidroituango. IN…</t>
  </si>
  <si>
    <t>Los hechos de Hidroituango son protuberantes. Los directivos para acelerar la terminación hicieron túneles sin com… https://t.co/4tMscG8dW0</t>
  </si>
  <si>
    <t>Propongo que corrija lo dicho Senador Robledo. https://t.co/alMEJsMVJ1</t>
  </si>
  <si>
    <t>Por volar, se perdieron 4.7 billones. El problema no fue solo hacer un túnel sin compuertas para el agua de maner… https://t.co/TcVyiGfHDr</t>
  </si>
  <si>
    <t>RT @cielo_rusinque: A @petrogustavo lo persiguieron por bajarle pasaje a TM, quitarle negocio de basuras a privados y acatar ordenes de la…</t>
  </si>
  <si>
    <t>RT @AndresCamiloHR: "Eligieron a un corrupto y violador de derechos humanos" Senador @petrogustavo, sobre la elección de Magistrado al ex c…</t>
  </si>
  <si>
    <t>RT @adelina_covo: Hoy, @sergio_fajardo puede aspirar a la Presidencia porque no ha sido condenado por un juez, pero será la pregunta obliga…</t>
  </si>
  <si>
    <t>Hidroituango es el desastre de la ingeniería y de las finanzas más grande de la historia de Colombia</t>
  </si>
  <si>
    <t>Miren como califican la obra de infraestructura de transporte que Bogotá Humana hizo para Ciudad Bolivar: EL METRO… https://t.co/tKFWflAEwE</t>
  </si>
  <si>
    <t>RT @HOLLMANMORRIS: “Tambalea la candidatura de Sergio Fajardo” dice @tobonsanin a raíz del escándalo de Hidroituango que involucra al exgob…</t>
  </si>
  <si>
    <t>RT @HOLLMANMORRIS: Escándalo de Hidroituango le dio la razón a Daniel Quintero https://t.co/HitDOm3dUH</t>
  </si>
  <si>
    <t>RT @Pelicolombianas: Bogotanos y bogotanas: díganme qué se siente haber votado por un metro elevado que tiene detrás las mismas firmas cons…</t>
  </si>
  <si>
    <t>RT @tobonsanin: Sergio Fajardo acaba de ser imputado por el detrimento de 4.7 billones en el proyecto Hidroituango. El candidato "profesor"…</t>
  </si>
  <si>
    <t>RT @pierrealee: La razón del porqué @ivanmarulanda y el comité de @sergio_fajardo le hacen oposición a @QuinteroCalle. https://t.co/zSfxqu…</t>
  </si>
  <si>
    <t>RT @ammejiaaguado: .@petrogustavo prende las alarmas con radicado de constancia en @SenadoGovCo ante la aberrante elección de Granados para…</t>
  </si>
  <si>
    <t>RT @ismene2: Ve, le creemos a las víctimas. Eso dicen, claro, menos a @ISAZULETA .</t>
  </si>
  <si>
    <t>No entiendo por qué la critica es un asunto de machismo? La crítica es un asunto de pensamiento libre. Los congres… https://t.co/pcfs2T4ShB</t>
  </si>
  <si>
    <t>RT @intiasprilla: Seamos serios: 1) No comparen el Hidrouitango de @sergio_fajardo con la reducción de pasajes para personas de bajos recu…</t>
  </si>
  <si>
    <t>Ya llegaron al punto que capturar recursos públicos para el.Grupo Empresarial Antioqueño es lo mismo que entregar r… https://t.co/6rEJDDYLKT</t>
  </si>
  <si>
    <t>Señor senador Honorio en ese video que publicó su copartidaria Paloma Valencia, esta el dinero que entregó a Montes… https://t.co/z0x1ceG3N8</t>
  </si>
  <si>
    <t>RT @charry_manager: #ULTIMOMINUTO Expulsan a Manguito de su partido político @PartidoASI_ https://t.co/zCBL3UUwT8</t>
  </si>
  <si>
    <t>El presidente de la república rompe el.estado social de derecho al desobedecer al juez. Ministro que desobedece un… https://t.co/YfCJUeYGG0</t>
  </si>
  <si>
    <t>RT @EpicuroDeSamos_: La verdad del video de "La bolsa de @petrogustavo". Ya que mucho(a)s —pese a que esto está totalmente aclarado— sigue…</t>
  </si>
  <si>
    <t>RT @FranciaMarquezM: Escuchar estas declaraciones de @sergio_fajardo sobre el proyecto de muerte Hidroituango, después de escuchar a las ví…</t>
  </si>
  <si>
    <t>Una decisión tan estratégica que ponía en riesgo todo el futuro de EPM,de miles de vidas, de la sostenibilidad ambi… https://t.co/jQ4CydvhEg</t>
  </si>
  <si>
    <t>Señores @ELTIEMPO no me.retracto de ningún plan ni supuesto ni real porque yo no hice el plan de asesinarme. El pl… https://t.co/PxBGSjhShu</t>
  </si>
  <si>
    <t>RT @IvanCepedaCast: Caso exfiscal Martínez llega a la Corte Penal de La Haya, https://t.co/Mri11htUXD</t>
  </si>
  <si>
    <t>El fiscal corrupto que Néstor Humberto Martínez, puso como fiscal anticorrupción. Miembro del cartel de la toga. https://t.co/aaQjJOEH2Y</t>
  </si>
  <si>
    <t>La política laboral de Uribe refleja la mentalidad de un capitalismo del siglo XIX, muy ligado a terratenientes feu… https://t.co/ojEQplTyPL</t>
  </si>
  <si>
    <t>RT @petrogustavo: Señores @ELTIEMPO no me.retracto de ningún plan ni supuesto ni real porque yo no hice el plan de asesinarme. El plan y l…</t>
  </si>
  <si>
    <t>¿Por qué es un despropósito que un juez ordene hacer pruebas PCR a quienes quieran viajar a Colombia si eso mismo p… https://t.co/rSwUdTysEb</t>
  </si>
  <si>
    <t>RT @GNavasTalero: Esoectacular la intervencion de Gustavo Petro el dua de hoy jueves cuando le canto la tabla a Char por su antietico compo…</t>
  </si>
  <si>
    <t>Si la política de salud tiene que ver con un derecho fundamental de la sociedad, cualquier juez puede expresarse co… https://t.co/1IrwzHA0KZ</t>
  </si>
  <si>
    <t>RT @MJDuzan: La elección del imputado Juan Carlos Granados a la Comisión que va a vigilar a los jueces. Aquí mi opinión sobre semejante pa…</t>
  </si>
  <si>
    <t>RT @GiordanoBrunoFi: Cómo será la mangüala de los nefastos de siempre que, hasta la uribista María Isabel Rueda indulta a Sergio Fajardo po…</t>
  </si>
  <si>
    <t>RT @DespiertaAnt: #Antioquia | León F Muñoz Representante @CamaraColombia "No tengo relaciones políticas con #SergioFajardo, él ha sido c…</t>
  </si>
  <si>
    <t>El gobierno de Duque ha lanzado una ofensiva sucia contra nosotros. Después de la derrota en la CIDH busca penaliz… https://t.co/xxk3gEdTYd</t>
  </si>
  <si>
    <t>El gobierno se lanza a un nuevo embargo de mis ingresos, a través de la Previsora y mantiene el de la SIC por los m… https://t.co/7KzuKfLBZN</t>
  </si>
  <si>
    <t>RT @ISAZULETA: Siempre la hemos cuestionado esa candidatura y en eso nada ha tenido que ver Petro ni nadie, sólo la certeza de lo que ha oc…</t>
  </si>
  <si>
    <t>Si yo hubiese cometido con mi actuar un desastre como el de Hidroituango, jamás pediría solidaridad. Me retiraría a… https://t.co/cqaUZBYmZE</t>
  </si>
  <si>
    <t>RT @AtiQuigua: ¡Bogotá debe ordenarse en torno al agua! Hoy la Comisión Primera del Plan del @ConcejoDeBogota aprobó el primer debate del p…</t>
  </si>
  <si>
    <t>RT @CuartoDeHoraCol: Estamos a pocos meses de una legalización mundial de la Marihuana. Colombia, por su parte, produce 1mil toneladas de…</t>
  </si>
  <si>
    <t>Las decisiones estratégicas de una empresa publica municipal siempre son de la incumbencia del alcalde. No confund… https://t.co/arWS5MnCGS</t>
  </si>
  <si>
    <t>Andrés, todos los procesos por detrimento patrimonial que falló la contraloría de Bogotá contra nosotros, como la r… https://t.co/vPfPEahABZ</t>
  </si>
  <si>
    <t>En hidroituango hay dos problemas de carácter politico: 1. No sancionar contratistas incumplidos y reemplazar las… https://t.co/8t3rokwaxe</t>
  </si>
  <si>
    <t>RT @AABenedetti: .@JuanitaGoe que flexible con la corrupción! Pierdes con cara y con sello. Porque si @sergio_fajardo no estuvo al tanto de…</t>
  </si>
  <si>
    <t>Se llama hacer un gobierno pensando en la gente. Eso fue Bogotá Humana. https://t.co/YUi6BGvb6z</t>
  </si>
  <si>
    <t>RT @petrogustavo: En hidroituango hay dos problemas de carácter politico: 1. No sancionar contratistas incumplidos y reemplazar las sancio…</t>
  </si>
  <si>
    <t>RT @petrogustavo: Si yo hubiese cometido con mi actuar un desastre como el de Hidroituango, jamás pediría solidaridad. Me retiraría avergon…</t>
  </si>
  <si>
    <t>RT @petrogustavo: El gobierno se lanza a un nuevo embargo de mis ingresos, a través de la Previsora y mantiene el de la SIC por los mismos…</t>
  </si>
  <si>
    <t>RT @OtonielUmaa: Álvaro Hernán Prada y Juan Carlos Granados. Dos joyitas que están siendo investigadas por la justicia, ahora son investiga…</t>
  </si>
  <si>
    <t>Un miembro del cartel de la toga será disciplinador de jueces. https://t.co/qlOEuoco7T</t>
  </si>
  <si>
    <t>Mi política de seguridad para Colombia https://t.co/pfizoy9acj</t>
  </si>
  <si>
    <t>RT @JuanPabloMorris: Creo que a diferencia de @sergio_fajardo el exalcalde @petrogustavo asistía casi a todas las Juntas de #BOGOTA , algo…</t>
  </si>
  <si>
    <t>RT @petrogustavo: Un miembro del cartel de la toga será disciplinador de jueces. https://t.co/qlOEuoco7T</t>
  </si>
  <si>
    <t>RT @ISAZULETA: Y dale...Que vaina tan berraca. Quién dijo que "permitir" no es corrupción? Mucho más si con ese "permitir" se generó un eco…</t>
  </si>
  <si>
    <t>Hay que replantear la paz cono un acuerdo de la ciudadanía. Una Era de Paz implica una sociedad regulada por pacto… https://t.co/ptixAi9PlQ</t>
  </si>
  <si>
    <t>Federico Restrepo fue gerente de integral SA. También fue quien desde la administración firmó el contrato con Inte… https://t.co/VsnVPC0YKg</t>
  </si>
  <si>
    <t>Diez jóvenes acusados falsamente por la fiscalía que vieron sus vidas parcialmente destruidas. La complicidad de Se… https://t.co/SVRZwtO3Sp</t>
  </si>
  <si>
    <t>Lo que mejor le podría pasar a Cúcuta es normalizar las relaciones con Venezuela. De lo mejor le podria pasar a la… https://t.co/bwW1QndMrW</t>
  </si>
  <si>
    <t>RT @AlbertoLopezMes: @Zuletalleras @CorteSupremaJ Petrín le dice a Petro: "Hermano le están buscando el quiebre" Petro lo tranquiliza: "lle…</t>
  </si>
  <si>
    <t>Creo que el espacio más importante que se la abre a la justicia contenciosa administrativa es la protección de la n… https://t.co/Zg7U47g7f7</t>
  </si>
  <si>
    <t>RT @Juventud_Humana: Isabel Cristina Zuleta desde Ituango advirtió al país quién es Fajardo. Desde el Movimiento Ríos Vivos, ha luchado ju…</t>
  </si>
  <si>
    <t>Mi querido Robledo, usted ha sido un brillante parlamentario ejerciendo el control político. Sabe perfectamente que… https://t.co/Md59rfusak</t>
  </si>
  <si>
    <t>Realmente es increíble que esta sea la respuesta al mayor descalabro financiero y de la ingeniería colombiana en la… https://t.co/bVXxmaHndg</t>
  </si>
  <si>
    <t>Así Argentina volvió la educación universitaria pública y gratuita. El compromiso de Colombia Humana es lograr que… https://t.co/hyA1vFOds4</t>
  </si>
  <si>
    <t>El afiche de Bogotá Humana en homenaje a Nelson Mandela. https://t.co/7bEz8NsmWs</t>
  </si>
  <si>
    <t>El.masivo desplazamiento de indígenas en Bahía Solano, por el asesinato de su líder indígena. Aquí ustedes pueden… https://t.co/GYQ3FkcZYw</t>
  </si>
  <si>
    <t>RT @petrogustavo: Realmente es increíble que esta sea la respuesta al mayor descalabro financiero y de la ingeniería colombiana en la histo…</t>
  </si>
  <si>
    <t>RT @petrogustavo: Mi política de seguridad para Colombia https://t.co/pfizoy9acj</t>
  </si>
  <si>
    <t>Ha fallecido la maestra Ligia Avellaneda del Magdalena. QEPD https://t.co/CZMAygvjVJ</t>
  </si>
  <si>
    <t>Más de doscientas personas fueron quemadas por químicos que la policía de Chile arrojó contra los manifestantes. An… https://t.co/ZEg6oFCWw7</t>
  </si>
  <si>
    <t>Masacres de indígenas en el Cauca. https://t.co/2HimomW1d7</t>
  </si>
  <si>
    <t>ha muerto una figura fundamental del progresismo latinoamericano: Tabaré Vásquez. QEPD https://t.co/beSYNbN9gj</t>
  </si>
  <si>
    <t>La verdadera Patria es la gente. Estas comunidades indígenas a las que le han decapitado salvajemente a su líder, e… https://t.co/Tc52eDuBbp</t>
  </si>
  <si>
    <t>RT @colombia_hist: #JorgeEliécerGaitán demostró vínculos económicos del general Cortés Vargas con la United Fruit Co. En la ejecución de la…</t>
  </si>
  <si>
    <t>RT @Son15Letras: Les voy a contar la historia de Hidroituango... Para que Juzguen ustedes si es posible escurrir el bulto de la responsabil…</t>
  </si>
  <si>
    <t>RT @GustavoBolivar: Petro “El mal administrador” en 3 años dejó estructurado y con diseños fase 3 el Metro subterráneo, los cables a Ciudad…</t>
  </si>
  <si>
    <t>El Mundo regula. La columna dominical de Gustavo Bolívar que comentaremos hoy a las siete de la noche en esta mism… https://t.co/lbWEdoslNU</t>
  </si>
  <si>
    <t>Bienvenido @CamiloRomero a las elecciones presidenciales. Ojalá su candidatura ayude a sumar en el gran bloque demo… https://t.co/x4x6tqfSFp</t>
  </si>
  <si>
    <t>RT @petrogustavo: El Mundo regula. La columna dominical de Gustavo Bolívar que comentaremos hoy a las siete de la noche en esta misma cuen…</t>
  </si>
  <si>
    <t>Un Pacto Social: la respuesta a un debate. Esta es mi columna dominical que comentaremos hoy a las siete por esta… https://t.co/Jw7CEY3fIW</t>
  </si>
  <si>
    <t>RT @petrogustavo: Un Pacto Social: la respuesta a un debate. Esta es mi columna dominical que comentaremos hoy a las siete por esta misma…</t>
  </si>
  <si>
    <t>Estoy en vivo con @gustavobolivar en la lectura de las columnas, hoy bajo la conducción de @LeonVaLenciaA. https://t.co/Wsu8Uz1Xk3</t>
  </si>
  <si>
    <t>RT @Margaritarosadf: Lo que entendí de la frase “la gente hace la política y no los políticos”, entre varias cosas, es que no hay nadie que…</t>
  </si>
  <si>
    <t>He repetido la frase de Aristoteles: : "el hombre es un animal politico", corregida por "todos los seres humanos s… https://t.co/JWanxm6dqh</t>
  </si>
  <si>
    <t>La estrategia de Trump, Duque y Guaidó le hizo perder la mayoría del parlamento venezolano a la oposición.</t>
  </si>
  <si>
    <t>RT @EsMemorable: "Nos hallamos en el período inicial de toda revolución: la emoción. Por eso no somos revolucionarios sino simplemente rebe…</t>
  </si>
  <si>
    <t>RT @jcuestanovoa: En un país acostumbrado a que la política la hagan las élites, se sorprenden que Gustavo Petro proponga recuperar la sobe…</t>
  </si>
  <si>
    <t>Tres masacres, trece muertos. Los números malditos de un gobierno incapaz de garantizar la seguridad de la gente.… https://t.co/JiOhOKaBR9</t>
  </si>
  <si>
    <t>RT @ManuelBeltrn14: Claudia López mintió sobre las troncales de transmilenio El metro elevado Corferias La Reserva Van Der Hammen Los h…</t>
  </si>
  <si>
    <t>Ella, la.presidente de Nueva Zelanda, si es capaz de declarar la emergencia climática y establecer para 2025 una ec… https://t.co/GjB1uJLHbW</t>
  </si>
  <si>
    <t>Como por ejemplo entregar 33 colegios sin decir que fueron contratados en obras y diseños por la Bogotá Humana y qu… https://t.co/5673Pd2GGV</t>
  </si>
  <si>
    <t>No veo porque Daniel, mi crítica tiene que ser vista como la caza de votos. Yo no supedito mi pensamiento a si se v… https://t.co/ukiTEA0LAo</t>
  </si>
  <si>
    <t>Yo estoy de acuerdo con disminuir la jornada laboral, pero disiento de Uribe en que es la reducción la que acelera… https://t.co/3SQlEY2MoD</t>
  </si>
  <si>
    <t>La ANDI está completamente equivocada, el desarrollo del capitalismo en Colombia depende de ampliar el mercado inte… https://t.co/silM3oMKj3</t>
  </si>
  <si>
    <t>La huelga más grande de la historia. Más de 250 millones de personas han salido a protestar contra un gobierno de e… https://t.co/Pora5ptKI1</t>
  </si>
  <si>
    <t>Buscando posesionarse para evitar el juicio de la Corte Suprema de Justicia. La comisión de acreditaciones del Cong… https://t.co/137uJnEEBJ</t>
  </si>
  <si>
    <t>Si Duque consciente del entrampamiento pérfido que se le hizo al proceso de paz desde la fiscalía, decide relanzar… https://t.co/Yk3C30Gw5B</t>
  </si>
  <si>
    <t>RT @liberalesbase: @Rosa_Alcarajo @merv59 @ACaballeroH @petrogustavo @GustavoBolivar @Margaritarosadf @nelsonopereira #Unidos2022 para derr…</t>
  </si>
  <si>
    <t>RT @colombia_hist: Jorge Eliécer Gaitán fue la voz de las denuncias en el caso de la #MasacreDeLasBananeras diciembre de 1928 https://t.co/…</t>
  </si>
  <si>
    <t>A pesar del triunfo de Maduro en las elecciones parlamentarias de Venezuela, la mayoría de la población no salió a… https://t.co/5oqhuPSDoA</t>
  </si>
  <si>
    <t>RT @petrogustavo: Si Duque consciente del entrampamiento pérfido que se le hizo al proceso de paz desde la fiscalía, decide relanzar los ac…</t>
  </si>
  <si>
    <t>RT @AABenedetti: ¡Descubrí la trampa de las cifras de muertes por COVID-19! @MinSaludCol: ¿es verdad que se le pidió a clínicas no reportar…</t>
  </si>
  <si>
    <t>51 colegios, una línea de cable, 1200 aulas de preescolar, 3.000 km de vías arregladas, tres sedes universitarias,… https://t.co/0RFCcMd4v3</t>
  </si>
  <si>
    <t>Recuperación de 40 hectáreas de humedales, 57 kilómetros de quebradas recuperadas, terminación del túnel de aguas s… https://t.co/qrgRPs42zY</t>
  </si>
  <si>
    <t>19 centros de aprendizajes de artes, el teatro del sur, la renovación del voto nacional, la peatonalización de la s… https://t.co/EEWbkKXIJo</t>
  </si>
  <si>
    <t>Terminamos las troncales de transmilenio de la décima y la 26, hicimos la troncal sexta y la extensión de transmile… https://t.co/sP18nga7tH</t>
  </si>
  <si>
    <t>Se logró la maximización de distribución de energía en la ciudad, tanto en gas como en electricidad,se cambio el 30… https://t.co/fqWo0WoUoq</t>
  </si>
  <si>
    <t>Se hicieron tres instalaciones modernas para dormitorios de habitantes de calle, la Akademia para su preparación, p… https://t.co/e0irDrTzOG</t>
  </si>
  <si>
    <t>Se instalaron 19 Camads para drogodependientes, se reubicaron 5.000 familias que vivían en alto riesgo, se dejaron… https://t.co/gTWtL6q6vy</t>
  </si>
  <si>
    <t>RT @gusgomez1701: ATENCIÓN: el drama de las comunidades indígenas en Bahía Solano (Chocó) por el asesinato del líder Miguel Tapí. Cientos d…</t>
  </si>
  <si>
    <t>RT @cielo_rusinque: Una imagen vale más que mil palabras, cada vez que les hablen de lo mal administrador que fue @petrogustavo, aqui les d…</t>
  </si>
  <si>
    <t>Con los 11.600 millones de dólares que EEUU ha entregado en la guerra contra las drogas , se hubiera podido hacer u… https://t.co/0AY8UHn8j2</t>
  </si>
  <si>
    <t>RT @cielo_rusinque: https://t.co/c9nCXpeBbj</t>
  </si>
  <si>
    <t>El presidente Duque debería confesar que están cedulando venezolanos a los que se les promete subsidios si votan p… https://t.co/H9l557fXXv</t>
  </si>
  <si>
    <t>Este fue el esfuerzo de Bogotá Humana en la construcción de colegios en la ciudad. Logramos obtener 69 lotes para… https://t.co/ttYjQUzMSJ</t>
  </si>
  <si>
    <t>Estos son los 19 colegios que entregamos en nuestro gobierno. https://t.co/LCRN6trHsh</t>
  </si>
  <si>
    <t>Estos son los 16 colegios que entregamos en obra https://t.co/ljEQMjj3CT</t>
  </si>
  <si>
    <t>Estos son los 34 colegios que entregamos en diseño. https://t.co/nfn5OVESur</t>
  </si>
  <si>
    <t>Estos 69 colegios que entregamos en diferentes fases es la obra más grande en educación pública hecha en la histori… https://t.co/qklS33R5to</t>
  </si>
  <si>
    <t>Peñalosa por su parte dejó 20 colegios más en obra y 4 en diseños, todos los que entregó venían de mi administració… https://t.co/QpmOZ8JQoG</t>
  </si>
  <si>
    <t>RT @petrogustavo: Este fue el esfuerzo de Bogotá Humana en la construcción de colegios en la ciudad. Logramos obtener 69 lotes para colegi…</t>
  </si>
  <si>
    <t>RT @GustavoBolivar: Plebiscito por la paz, Consulta anticorrupción y elección de Petro fueron objeto de fraude. Hay como demostrarlo. Y no…</t>
  </si>
  <si>
    <t>RT @dw_espanol: Colombia, sin justicia social Según #IdereLatam, ningún otro país de Latinoamérica tiene brechas tan grandes entre sus reg…</t>
  </si>
  <si>
    <t>RT @susanamuhamad: Dejar a partir de ahora, no de mañana,el petróleo que podría sacar, enterrado. Decisión histórica de Dinamarca. Estas s…</t>
  </si>
  <si>
    <t>El debate que silenció buena parte de la prensa nacional, rompe fronteras. El entrampamiento a la paz que hizo Nést… https://t.co/FtwviN6U45</t>
  </si>
  <si>
    <t>Si 4 mandatos de los 7 de la consulta anticorrupción han sido reglamentadas, pero la corrupción no disminuye, no se… https://t.co/INOnCspMCe</t>
  </si>
  <si>
    <t>Una computadora que se podía hacer por usted mismo en un país rebelde contra el occidente y contra los soviéticos.… https://t.co/mwhN16SZQY</t>
  </si>
  <si>
    <t>RT @charry_manager: #BogotaHumana https://t.co/QLafdy2FVu</t>
  </si>
  <si>
    <t>El método Yakarta y su influencia en la violencia en Colombia. Un genocidio político e indonesia en 1965, ha reper… https://t.co/1n5LYq9iXq</t>
  </si>
  <si>
    <t>RT @petrogustavo: El debate que silenció buena parte de la prensa nacional, rompe fronteras. El entrampamiento a la paz que hizo Néstor Hum…</t>
  </si>
  <si>
    <t>RT @IvanCepedaCast: “Desde un gobierno con mandato para construir la paz por un electorado mayoritario, se podrá desencadenar el pacto de l…</t>
  </si>
  <si>
    <t>Mi querida Darcy bienvenidas tus noticias sobre como hasta ahora imputan penalmente a muchos de mis exfuncionarios.… https://t.co/eW2rLa6czY</t>
  </si>
  <si>
    <t>La politiqueria intenta la retoma de la Universidad de Córdoba. Esta ya había sido tomada a sangre y fuego por el p… https://t.co/zvWnmxFwYu</t>
  </si>
  <si>
    <t>Con ocasión de los hechos ocurridos el día 2 de marzo de 2018 en la ciudad de Cúcuta escribí unos trinos donde seña… https://t.co/z1GTEZShDX</t>
  </si>
  <si>
    <t>La fiscalía de Néstor Humberto Martínez no realizó ninguna investigación seria sobre el atentado que sufrí en mi ca… https://t.co/bID2w1f2Cs</t>
  </si>
  <si>
    <t>El alcalde Cesar Rojas, había prohibido inconstitucionalmente la realización de mi manifestación. Decidimos hacerl… https://t.co/DOGnfAVkGs</t>
  </si>
  <si>
    <t>RT @EspanaTovio: La jugadita del corrupto magistrado de la Comisión Nacional de Disciplina Judicial Juan Carlos Granados, fue suspender el…</t>
  </si>
  <si>
    <t>RT @nicolasAmon: El crecimiento económico promedio de Bogota durante los 4 años de alcaldía Petro fue el doble que durante los 4 años de al…</t>
  </si>
  <si>
    <t>RT @JoseGuarnizoA: La imagen de la desolación: el corregimiento el Brazo, de Bahía Solano, totalmente vacío. Sus habitantes indígenas fue…</t>
  </si>
  <si>
    <t>RT @adelina_covo: Así esta Venecia desde ayer, el “Acqua alta” o inundación, en la madrugada de hoy ha alcanzado 120 cms. ¿Cuándo el Gobier…</t>
  </si>
  <si>
    <t>RT @adelina_covo: Me asalta una duda... ¿No creen ustedes que un crimen contra la PAZ que se comenzaba a forjar en Colombia, bien podría se…</t>
  </si>
  <si>
    <t>El fracking solo es rentable con precios altos del petróleo. Consume más energía que la que produce. Es abiertament… https://t.co/Z2EdQFlXlv</t>
  </si>
  <si>
    <t>RT @HELIODOPTERO: Exclusivo: “Marlon Marín sabía que sus conversaciones eran grabadas y seguía un libreto convenido con la Fiscalía” #laver…</t>
  </si>
  <si>
    <t>El daño que le hace Duque a la Justicia es inconmensurable. y lo peor es que ya instancias de la cúpula le hacen c… https://t.co/kbNI6H6ZW9</t>
  </si>
  <si>
    <t>RT @SARGENTOCHALA: Yo no sabía que legislar por zoom generaba viáticos, llevamos 9 meses pagandole a los congresistas 14 millones en gastos…</t>
  </si>
  <si>
    <t>La demagogia. https://t.co/slH5Cqcd2w</t>
  </si>
  <si>
    <t>Con la figura.impuesta.por voto virtual de Región Metropolitana, no solo se cambio de nombre al área metropolitana… https://t.co/rlGfwiW3eT</t>
  </si>
  <si>
    <t>RT @petrogustavo: La demagogia. https://t.co/slH5Cqcd2w</t>
  </si>
  <si>
    <t>RT @Marianiniecheve: No pudo quedar peor Colombia en el Parlamento británico, en materia de DDHH y proceso de paz. Y NéstorHM estás pilla…</t>
  </si>
  <si>
    <t>RT @evoespueblo: Cotizar el agua en Wall Street es como ponerle precio a la vida. Si el capitalismo salvaje continúa, estaremos condenando…</t>
  </si>
  <si>
    <t>Era insostenible mantener como gerente del metro a un responsable de primer orden de la corrupción en los contratos… https://t.co/UbfeAYYbC9</t>
  </si>
  <si>
    <t>Durante cinco años Andrés Escobar engañó a la ciudadanía bogotana con unos estudios de metro elevado inexistentes,… https://t.co/FOmrTRBWYk</t>
  </si>
  <si>
    <t>RT @marthaperaltae: #ProhibidoOlvidar Hoy hace 3 meses bajo el mandato de @ClaudiaLopez e @IvanDuque, hubo una masacre en Bogotá, asesinar…</t>
  </si>
  <si>
    <t>RT @Juanaafanador1: Esto dije hace un año sobre Andrés Escobar. Cuando Claudia López lo ratificó en el cargo, prolongo un año de irregulari…</t>
  </si>
  <si>
    <t>RT @AABenedetti: Néstor Humberto Martínez puso a Marlon Marín para hacerle un entrampamiento a Armando Benedetti, a Oscar Naranjo, Piedad C…</t>
  </si>
  <si>
    <t>Néstor Humberto alistaba el entrampamiento contra Armando Benedetti. https://t.co/E1zYXPJkna</t>
  </si>
  <si>
    <t>Claudia no ha comprendido la gravedad de la crisis climática. Nos quedan 10 años para hacer algo, después todo será… https://t.co/NIUUO3UF9C</t>
  </si>
  <si>
    <t>RT @charry_manager: El 10 de diciembre de 2012 @petrogustavo daba apertura a la fase I del San Juan de Dios, hoy el sueño de un hospital pa…</t>
  </si>
  <si>
    <t>RT @GustavoBolivar: Hay dos formas de hacer la política en Colombia. 1-La normal: para llegar hay que untarse. Recibirles plata, darles pri…</t>
  </si>
  <si>
    <t>RT @MoisesAlvaro_: Cómo pasa el tiempo. Hace 7 años ya desde que el fascismo destituyó a @petrogustavo y la Bogotá Humana, el mejor gobie…</t>
  </si>
  <si>
    <t>RT @KikePrivatiza: Habla Carlos Moreno, Director científico, Catedrático ETI, Universidad Panteón Sorbona. "En Francia es imposible que la…</t>
  </si>
  <si>
    <t>RT @Pontifex_es: Todos estamos llamados a contribuir con determinación para que se respeten los #DerechosHumanos fundamentales de cada pers…</t>
  </si>
  <si>
    <t>RT @AbadColorado: SOS Bahía Solano. Asesinos de AGC que decapitaron a Miguel Tapi quieren doblegar alma de pueblos y Emberas en todo el Pac…</t>
  </si>
  <si>
    <t>Que pasó con los responsables de las masacres de la cárcel modelo? De los jóvenes incinerador en Soacha? con los qu… https://t.co/ZcN4SVmQ1k</t>
  </si>
  <si>
    <t>Señoras y señores miembros del uribismo, de verdad se sienten orgullosos de haber construido el país más corrupto d… https://t.co/X7vo2DQ1O6</t>
  </si>
  <si>
    <t>Esto en la traducción del lenguaje de el Tiempo significa que España no aceptó al embajador. Y que habrá una comis… https://t.co/e0o7OIFYvH</t>
  </si>
  <si>
    <t>El director de la policia, arrestado. El.ministro de defensa, arrestado. Estos dos personajes, si en el poder hubi… https://t.co/uWloTldlnj</t>
  </si>
  <si>
    <t>Se fue otro grande del fútbol. Siendo muy joven despertó mi admiración: Paolo Rossi. https://t.co/W4fQA52G4t</t>
  </si>
  <si>
    <t>RT @petrogustavo: Esto en la traducción del lenguaje de el Tiempo significa que España no aceptó al embajador. Y que habrá una comisión qu…</t>
  </si>
  <si>
    <t>RT @petrogustavo: Señoras y señores miembros del uribismo, de verdad se sienten orgullosos de haber construido el país más corrupto de la t…</t>
  </si>
  <si>
    <t>RT @WFSJ: El polémico “descubrimiento” de pinturas rupestres en Guaviare Por Helena Calle (@helenanodepatio) #Colombia https://t.co/dHmK…</t>
  </si>
  <si>
    <t>El agua no tieme valor, no es producto del trabajo humano, pero si tiene precio cuando se convierte en mercancía.… https://t.co/GE879PS5IL</t>
  </si>
  <si>
    <t>El calentamiento global, producto de la emisión de gases derivados del uso del petróleo y el carbón, no disminuye e… https://t.co/6fwe7psa8P</t>
  </si>
  <si>
    <t>Por eso instaurar el derecho al agua como un bien común universal y gratuito, en su mínimo vital, es esencial para… https://t.co/l8Zx06z2G6</t>
  </si>
  <si>
    <t>Colombia no compró las vacunas, no porque no tuviera el dinero para ello, Duque ha guardado 24 billones de pesos en… https://t.co/M44IvIyZMW</t>
  </si>
  <si>
    <t>En esa mesa transformaron la rayita a la izquierda en un cuatro y así mientras yo le ganaba a Duque en la mesa, est… https://t.co/MzlayY3cwx</t>
  </si>
  <si>
    <t>Pero si buscaba el contrato con la CAR, en la que la gobernación tiene incidencia https://t.co/JtPNQ99cz4</t>
  </si>
  <si>
    <t>RT @petrogustavo: Colombia no compró las vacunas, no porque no tuviera el dinero para ello, Duque ha guardado 24 billones de pesos en el Fo…</t>
  </si>
  <si>
    <t>Usar el periodismo ligado familiarmente a la estrategia político empresarial de los amigos de Cambio Radical. El gr… https://t.co/1Uuz69r49L</t>
  </si>
  <si>
    <t>Camilo Gómez debería responder públicamente porque se niega a entregar los archivos militares a la comisión de la v… https://t.co/5sJzCL8wMR</t>
  </si>
  <si>
    <t>RT @IvanCepedaCast: 4. En 2018, Registraduría firmó contratos por $11.740 millones con ID SYSTEMS para depurar censo electoral. Esta empres…</t>
  </si>
  <si>
    <t>Hoy el uribismo se toma la Corte Constitucional.</t>
  </si>
  <si>
    <t>RT @petrogustavo: El agua no tieme valor, no es producto del trabajo humano, pero si tiene precio cuando se convierte en mercancía. El agu…</t>
  </si>
  <si>
    <t>Ganaron con fraude. https://t.co/Zfvde8PCJD</t>
  </si>
  <si>
    <t>RT @ammejiaaguado: Hoy @petrogustavo a las 6:00 p.m. y otros expertos en economía hablaran sobre la Agenda Económica del Gobierno en la Pan…</t>
  </si>
  <si>
    <t>Muy bien por el concejo de Bogotá que rechazo la objeción de la.alcaldesa a implementar transporte con energías lim… https://t.co/yNtKm4nV8L</t>
  </si>
  <si>
    <t>RT @ammejiaaguado: “Indudablemente estamos viviendo unas circunstancias como sociedad profundamente difíciles y muchísimo más agravadas por…</t>
  </si>
  <si>
    <t>La concejal Susana Muhamad @susanamuhamad y la bancada se Cilombia Humana han logrado un portentoso triunfo en el… https://t.co/YKst2RAJj6</t>
  </si>
  <si>
    <t>RT @DanielRMed: .@petrogustavo propone además de revivir la idea Keynesiana de producir un shock de demanda, revivir también el entendimien…</t>
  </si>
  <si>
    <t>RT @anateresabernal: Hemos ganado todos. Desde la Bogotá Humana siempre le apuntamos a una ciudad que se ordena al rededor del agua, a defe…</t>
  </si>
  <si>
    <t>RT @petrogustavo: La concejal Susana Muhamad @susanamuhamad y la bancada se Cilombia Humana han logrado un portentoso triunfo en el concej…</t>
  </si>
  <si>
    <t>RT @AABenedetti: ¿Es verdad que Luis Carlos Sarmiento y otros ricos de los ricos se van en sus aviones privados a vacunarse a Londres este…</t>
  </si>
  <si>
    <t>RT @Tercer_Canal: 🔴Alerta, Mientras Duque gasta $6.382.267.525 millones de pesos en contrato para Televisión, CNE niega espacios de TV de l…</t>
  </si>
  <si>
    <t>RT @anateresabernal: Se va Andrés Escobar @bienconcreto el gerente que engañó a Bogotá. El metro subterráneo estaba más avanzado, como lo e…</t>
  </si>
  <si>
    <t>Estas son las vacunas adquiridas en América Latina. Duque ni peleo por una vacuna sin patente en el.mundo, el mejo… https://t.co/nTT69sqxMG</t>
  </si>
  <si>
    <t>RT @AidaAvellaE: ! Que se vaya para siempre la corrupción, la guerra y el mal gobierno ! Invito a la @ColombiaHumana_ @UP_Colombia en toda…</t>
  </si>
  <si>
    <t>Rafael escogiste una foto recortada para hacer una critica destructiva a la JEP. Como Goebbels y como Néstor Humbe… https://t.co/kAluxvLr7T</t>
  </si>
  <si>
    <t>La lucha por la vacuna es una lucha social. Es una lucha por la vida El año entrante tratarán de elevar el IVA y… https://t.co/EqfAKk5y30</t>
  </si>
  <si>
    <t>Cúcuta entra a la crisis vital por el covid. Es hoy la ciudad de más rápido empobrecimiento del país Votó masivame… https://t.co/6GbI7bI9VS</t>
  </si>
  <si>
    <t>En un posible gobierno de Pacto Social creo que podríamos tener un dialogo fructífero y constructivo con el nuevo g… https://t.co/Czt7Kwz5QA</t>
  </si>
  <si>
    <t>RT @petrogustavo: La lucha por la vacuna es una lucha social. Es una lucha por la vida El año entrante tratarán de elevar el IVA y no va…</t>
  </si>
  <si>
    <t>RT @Margaritarosadf: Yo decidí que no podía votar por Fajardo cuando, en su momento, no pudo responder la pregunta sobre la protesta estudi…</t>
  </si>
  <si>
    <t>RT @DIDASKALOSW: 2017/2020 ¡La corrupción del centro! ¿O van a decir que estos TRES personajes no se han decarado de centro? https://t.co/…</t>
  </si>
  <si>
    <t>RT @heidy_up: “Escobar debió ser el primero en ser removido del cargo por lo que representa. Él es un constructor que botó a la basura los…</t>
  </si>
  <si>
    <t>La OEA esta a punto de dividirse profundamente. Apoyaría a Santos en dirigir el organismo hacia un continente en pa… https://t.co/LdAcSjLtOW</t>
  </si>
  <si>
    <t>El gobernador de Cundinamarca debería presionar por hacer el tranvía Zipaquirá, séptima hasta el centro de la ciuda… https://t.co/1In9waDtBL</t>
  </si>
  <si>
    <t>RT @petrogustavo: La OEA esta a punto de dividirse profundamente. Apoyaría a Santos en dirigir el organismo hacia un continente en paz, don…</t>
  </si>
  <si>
    <t>Acabo de proponer, con Aida Abello, que el 80% de los recursos presupuestales del fondo para el subsidio de nómina,… https://t.co/dCYjGhXbi6</t>
  </si>
  <si>
    <t>Acaba el Centro Democrático con el apoyo del partido conservador y cambio radical de hundir la propuesta que hicimo… https://t.co/xOUfBbSVVH</t>
  </si>
  <si>
    <t>RT @jcuestanovoa: Recuerdan el complot de las basuras que pretendió tumbar a Gustavo Petro de la Alcaldía de Bogotá? Pues hoy el TAC, orden…</t>
  </si>
  <si>
    <t>RT @petrogustavo: Acabo de proponer, con Aida Abello, que el 80% de los recursos presupuestales del fondo para el subsidio de nómina, vayan…</t>
  </si>
  <si>
    <t>RT @petrogustavo: Acaba el Centro Democrático con el apoyo del partido conservador y cambio radical de hundir la propuesta que hicimos que…</t>
  </si>
  <si>
    <t>Hoy nos vemos a las 4 pm con Yesid Lancheros de Semana. https://t.co/zvFtQvQ9l3</t>
  </si>
  <si>
    <t>RT @DanielRMed: ¿Quiénes son las familias que están tras la expansión turística y hotelera en la sierra nevada de santa Marta? ¿No son fam…</t>
  </si>
  <si>
    <t>¿Cómo es posible asistir a un foro para lograr economía cero carbono e impulsar una red de troncales de buses diese… https://t.co/vP5e2hHO5T</t>
  </si>
  <si>
    <t>RT @wilberpreciado: Hoy hace cinco (5) años, @petrogustavo entregaba 336 viviendas VIP en Usme. https://t.co/tVPq545Pyl</t>
  </si>
  <si>
    <t>RT @petrogustavo: Hoy nos vemos a las 4 pm con Yesid Lancheros de Semana. https://t.co/zvFtQvQ9l3</t>
  </si>
  <si>
    <t>RT @DanielRMed: 3 periodistas de @RevistaSemana se fueron con toda contra @petrogustavo , pillen como les fue. Petro responde todas las pr…</t>
  </si>
  <si>
    <t>Mi entrevista con Yezid Lancheros en Semana https://t.co/6OMSP3wKHJ</t>
  </si>
  <si>
    <t>RT @petrogustavo: Mi entrevista con Yezid Lancheros en Semana https://t.co/6OMSP3wKHJ</t>
  </si>
  <si>
    <t>Entre más expandan la ciudad con alta densificacion , más caerá la calidad de vida por congestión, la congestión es… https://t.co/LnAe6KDMTN</t>
  </si>
  <si>
    <t>RT @GustavoBolivar: Me Comunica el Registrador Nacional Alexander Vega sobre 7 cambios en el Nuevo Código, aprobados en Cámara que nos elim…</t>
  </si>
  <si>
    <t>RT @magarpri: @YesidLancheros @petrogustavo @RevistaSemana Me encantó de la entrevista cuando obligan a Petro a ubicarse en la extrema izqu…</t>
  </si>
  <si>
    <t>4 personas asesinadas en el Bagre, Antioquia y tres miembros de la.policía en el Cauca, una muerte gratuita produc… https://t.co/oigwTC1PbP</t>
  </si>
  <si>
    <t>RT @mmiguelangelj: Madame @anne_hidalgo: Félicitations au #ZeroCarbonForum pour un meilleur environnement! Dommage que @ClaudiaLopez, mair…</t>
  </si>
  <si>
    <t>Asesinada Elizabeth Betancur , lidereza social de Yolombó, Antioquia. Antioquia se desangra llevada por una clase… https://t.co/UCCYEit5YN</t>
  </si>
  <si>
    <t>Oiga señora Paloma ¿cuál es el problema que la segunda vicepresidenta del Senado, que usted eligió, este en un home… https://t.co/Uao2YZ5bri</t>
  </si>
  <si>
    <t>Se les olvida decir que lo que aprobaron es la disminución de algunos pagos de registro pero votaron en contra de p… https://t.co/LMn0PXjtCQ</t>
  </si>
  <si>
    <t>Todas estas tropelías, que incluyeron mi destitución, multas, procesos penales, se hicieron solo para defender los… https://t.co/GdzYr02OCf</t>
  </si>
  <si>
    <t>Toda Europa ha decidido subir el salario mínimo para impulsar la reactivación. En colombia se impone las doctrinas… https://t.co/GjWSZUBWAF</t>
  </si>
  <si>
    <t>Barranquilla y Cartagena son las ciudades capitales que más sufren el hambre en toda Colombia. Pensaron en el ceme… https://t.co/Ee6lj15awN</t>
  </si>
  <si>
    <t>Quería verme preso sin cometer delitos, señor Felipe Zuleta? https://t.co/lQXw3nDH9L</t>
  </si>
  <si>
    <t>Dijimos que el virus mataría más que por sí mismo, por la desigualdad social. Es decir que el virus pasa por la est… https://t.co/51qBBrcmRT</t>
  </si>
  <si>
    <t>Quién dijo que la informalidad se acaba con la reducción los costos laborales, es decir llevando a la esclavitud al… https://t.co/DCpxmCfVpv</t>
  </si>
  <si>
    <t>RT @AUGUSTOOCAMPO: "...SI estamos construyendo un movimiento diverso, plural...va a llegar mucha gente diversa, no solamente políticos, pro…</t>
  </si>
  <si>
    <t>RT @HOLLMANMORRIS: Desde el monumento a la infamia: Hidrohituango, que a la fecha no produce 1 kilovatio y por el contrario si un detriment…</t>
  </si>
  <si>
    <t>RT @Perroacuadros: “Los únicos que pagan impuestos en Colombia son los pobres”. Jaime Batemán Cayón. https://t.co/gFLEim9APJ</t>
  </si>
  <si>
    <t>RT @MoisesAlvaro_: El Premio Puskas al gol del año deberían dárselo a Petro por decirle a los periodistas de Semana, que lo querían ubicar…</t>
  </si>
  <si>
    <t>El estado se ha vuelto cada vez más un aparato de coacción como dijera Weber, un aparato de dominación como dijera… https://t.co/2j6H7WCEw9</t>
  </si>
  <si>
    <t>RT @pierrealee: Hace décadas Jaime Bateman denunciaba que los pobres eran los únicos que pagan impuestos. O nos unimos o nada cambia. http…</t>
  </si>
  <si>
    <t>RT @GNavasTalero: DIAN decomisó irregularmente los camiones de basura que trajo Gustavo Petro a Colombia: deberá pagar indemnización y devo…</t>
  </si>
  <si>
    <t>William Vélez , contratista de la Empresa de Energía de Bogotá, en obras de conexión eléctrica en Guatemala, pagó s… https://t.co/E3KILlh7Ul</t>
  </si>
  <si>
    <t>William Vélez se vinculó como contratista de EEB en Guatemala en el 2011, y empezó a incumplir su contrato, logró c… https://t.co/GaHpCopBfy</t>
  </si>
  <si>
    <t>William Vélez es socio con los Chinos en la construcción del metro de Bogotá. Es el zar del aseo y la electricidad… https://t.co/Rk6pzdug2C</t>
  </si>
  <si>
    <t>Lo que ha dicho Néstor Humberto Martinez es ni más ni menos que piensa, para quitarse la competencia de Fajardo y… https://t.co/psTvfXpZ8Z</t>
  </si>
  <si>
    <t>La Cúcuta de la Constitución de 1821, la vanguardia del pensamiento y la acción de la independencia, la república y… https://t.co/AWRJ83IeXb</t>
  </si>
  <si>
    <t>El terrible 2020 en cifras. La última columna de Gustavo Bolívar este año que comentaremos hoy a las siete de la no… https://t.co/mmsK8GewAL</t>
  </si>
  <si>
    <t>Por que habría una sin gerencia en Bogotá , si las empresas que gerenciamos de propiedad pública duplicaron su valo… https://t.co/DvxmfaH8fB</t>
  </si>
  <si>
    <t>Emprendedores y expropiadores. La columna que les presento hoy y que será debatida a las siete de la noche en esta… https://t.co/SVekZsR4Hw</t>
  </si>
  <si>
    <t>No se puede festejar el desastre de Hidroituango, Daniel, ni que este hecho afecte a Fajardo. La responsabilidad d… https://t.co/NYnlpyLnJF</t>
  </si>
  <si>
    <t>RT @petrogustavo: El terrible 2020 en cifras. La última columna de Gustavo Bolívar este año que comentaremos hoy a las siete de la noche po…</t>
  </si>
  <si>
    <t>RT @petrogustavo: Emprendedores y expropiadores. La columna que les presento hoy y que será debatida a las siete de la noche en esta misma…</t>
  </si>
  <si>
    <t>¿Los 19 venezolanos que murieron ahogados cerca a Trinidad Tobago no son acaso, la consecuencia mortal de un bloque… https://t.co/ZGPW5ZhScY</t>
  </si>
  <si>
    <t>Bogotá aun ignora que quien le construirá su débil metro elevado es William Vélez. Este es William Vélez, socio en… https://t.co/G6gBMaPkhT</t>
  </si>
  <si>
    <t>De paso @DCoronell la responsabilidad de Fajardo no es porque no prestó atención. Es porque como alcalde le entreg… https://t.co/IpOPCesBQ1</t>
  </si>
  <si>
    <t>La búsqueda de ganancias rápidas para el GEA, que tenía el control de Hidroituango a través de EPM, gracias a Fajar… https://t.co/RzpNsRMOWE</t>
  </si>
  <si>
    <t>RT @cielo_rusinque: Hoy #LosGustavos estarán leyendo sus columnas con @ISAZULETA y #LosDanieles con @sergio_fajardo. Unos dando voz a las v…</t>
  </si>
  <si>
    <t>RT @segoviamora: Hoy @LosDanielesOp con Sergio Fajardo a la defensa y @PetroYBolivar con Isabel Cristina Zuleta en la denuncia, le ponen el…</t>
  </si>
  <si>
    <t>Ni más ni menos que Juan Felipe Gaviria, el gerente de EPM en el gobierno de Fajardo era el directivo de Conconcret… https://t.co/58VUSEziVt</t>
  </si>
  <si>
    <t>Aquí propuse y defendí que la ley le entregará al menos el 80% del fondo público para el subsidio de nómina a las m… https://t.co/xE63xOOHeg</t>
  </si>
  <si>
    <t>Sergio, Juan Felipe Gaviria el gerente que ud nombró en EPM, venía de Conconcreto e Integral, Conconcreto es del GE… https://t.co/T7uj36tz3f</t>
  </si>
  <si>
    <t>Salazar, alcalde de Compromiso Ciudadano, nombró como gerente de EPM, a Federico Restrepo, exgerente de Integral, t… https://t.co/SpJxeAF8Jd</t>
  </si>
  <si>
    <t>Aunque ahora niegan que Conconcreto sea del GEA, la entrega de Hidroituango al GEA a través del control total accio… https://t.co/WgACllH1II</t>
  </si>
  <si>
    <t>Esta operación es clásica bajo el pensamiento neoliberal: creer que las empresas públicas gerenciadas por grupos de… https://t.co/TVnpw9o6HD</t>
  </si>
  <si>
    <t>A usted, Sergio, lo piensan llevar a la cárcel por estos hechos, solo por quitarse un rival electoral. Sin que pued… https://t.co/TlnWRn8ecK</t>
  </si>
  <si>
    <t>Juan Felipe Gaviria fue miembro de la junta directiva de Conconcreto, y gerenció EPM llevado por Fajardo. Eso no es… https://t.co/fU9S5QBOoZ</t>
  </si>
  <si>
    <t>Permítame contradecirlo. El proyecto metro subterráneo de Bogotá es mucho más complejo y costoso que Hidroituango.… https://t.co/58V6JhfQ3P</t>
  </si>
  <si>
    <t>RT @petrogustavo: Sergio, Juan Felipe Gaviria el gerente que ud nombró en EPM, venía de Conconcreto e Integral, Conconcreto es del GEA, Nic…</t>
  </si>
  <si>
    <t>Por qué una afirmación de estas en mi boca, es calumnia? le pregunto a la representante verde @cataortizcamara. Por… https://t.co/7fGHfxE7Cp</t>
  </si>
  <si>
    <t>RT @petrogustavo: Aquí propuse y defendí que la ley le entregará al menos el 80% del fondo público para el subsidio de nómina a las mipymes…</t>
  </si>
  <si>
    <t>RT @CuartoDeHoraCol: No se pierda el último programa de #LosGustavos. Los invitamos a que se conecten en 1 hora con @ISAZULETA y Los senado…</t>
  </si>
  <si>
    <t>Estoy en vivo con @gustavobolivar en la lectura de las columnas, hoy bajo la conducción de @ISAZULETA https://t.co/VKF2uT8U3E</t>
  </si>
  <si>
    <t>RT @Dios2020Dios: En extrañas circunstancias fue encontrado muerto mi amigo @AnestesiologOp. Tstigo clave en la investigación por la corrup…</t>
  </si>
  <si>
    <t>RT @cielo_rusinque: La opinión publica tiene que conocer detalles de la muerte del médico Oscar Pastrana el día de ayer, el venía siendo pe…</t>
  </si>
  <si>
    <t>Asesinaron a Oscar Alarcon por denunciar la corrupción del ahorita de Caucasia, Antioquia. Profesional médico, ane… https://t.co/cs1x419XG6</t>
  </si>
  <si>
    <t>El gobernador Anibal Gaviria debe separar de su cargo al alcalde encargado de Caucasia y la fiscalía investigar al… https://t.co/agGLGkAygB</t>
  </si>
  <si>
    <t>El miembro de la comisión contra el crimen y exfiscal entregó dineros públicos para entrampar magistrados de la jus… https://t.co/DCkCcvXvqg</t>
  </si>
  <si>
    <t>Perú comenzará a vacunar su población en diciembre. https://t.co/Fyy1BIvj5m</t>
  </si>
  <si>
    <t>Nueva masacre en Colombia. Indígenas Wayuu asesinados en Albania, Guajira. https://t.co/8JQAUHkLxM</t>
  </si>
  <si>
    <t>Freiner Lemus, indigena caucano, asesinado https://t.co/AoU85aX48q</t>
  </si>
  <si>
    <t>Yo no odio amigo Lizarazo, pero deberían de dejar de odiar al río Cauca, y a las comunidades de barequeros y pescad… https://t.co/7et0JniIK0</t>
  </si>
  <si>
    <t>Innovación tecnológica en Energía solar en el mundo Pero esto solo será posible en Colombia si se rompe el oligopo… https://t.co/tK0ZolIkqI</t>
  </si>
  <si>
    <t>RT @susanamuhamad: Las obras en los humedales avanzan y las afectaciones ambientales son críticas. ¿Qué dice @Bogota "no queríamos pero nos…</t>
  </si>
  <si>
    <t>RT @AABenedetti: En minutos iniciará un debate en la Comisión Primera donde demostraré que Néstor Humberto Martínez hizo de todo por sus am…</t>
  </si>
  <si>
    <t>RT @AlexLopezMaya: Nadie que asuma un cargo público puede decir “yo no sabía nada” frente a la ejecución de un proyecto que cuesta 16,2 bil…</t>
  </si>
  <si>
    <t>RT @AABenedetti: ¿Por qué el fiscal Daniel Hernández no ha querido dejar que la JEP escuche a Gómez Góngora y a Martínez Lugo? ¿Será porque…</t>
  </si>
  <si>
    <t>Más sobre los entrampamientos de Néstor Humberto Martínez. https://t.co/tCvbJGQt4v</t>
  </si>
  <si>
    <t>RT @fidelcanoco: El modelo neoliberal e incluso algunas formas de capitalismo que se las dan de compasivas hace rato que no dan más que pro…</t>
  </si>
  <si>
    <t>RT @VillanueAle: Vicky Davila: ¿Alvaro Uribe? J Balvin: Un bacán El bacán: https://t.co/EYW1mac9hB</t>
  </si>
  <si>
    <t>RT @DavidRacero: Fajardo manda a la ciudanía a buscar en google. Nosotros investigamos a profundidad y estuvimos en territorio con las comu…</t>
  </si>
  <si>
    <t>RT @GustavoBolivar: Catalina resolvamos esto con argumentos: Petro recibió 20 millones del reconocido arquitecto Simón Vélez por encima de…</t>
  </si>
  <si>
    <t>RT @HOLLMANMORRIS: Como concejal advertí a @MetroBogota que el patio taller del metro no podía ubicarse en El Corzo, Bosa. Fue una decisión…</t>
  </si>
  <si>
    <t>RT @GustavoBolivar: Ayúdenme a recordarle a la Corte Penal Internacional que Colombia existe. Que aquí acabaron un partido a punta de bala,…</t>
  </si>
  <si>
    <t>Uno de los miembros del equipo de entrampadores de la DEA, Ivaan Libreros Diaz, apareció muerto en el baño de su ca… https://t.co/0PRFlWiTkL</t>
  </si>
  <si>
    <t>RT @HOLLMANMORRIS: En 2018 advertí que el metro elevado no tenía estudios, que la empresa Metro se había constituido sobre los estudios del…</t>
  </si>
  <si>
    <t>RT @CarlosCarrilloA: Me parece de quinta la forma en que @AngelicaLozanoC instrumentaliza a @angelamrobledo. Ángela María es una mujer vali…</t>
  </si>
  <si>
    <t>RT @anateresabernal: "No vamos a permitir que llenen los humedales de cemento y de pasto sintético" "La protección ambiental NO se negocia"…</t>
  </si>
  <si>
    <t>RT @SaninPazC: No me aguanto a los políticos colombianos más resonantes. Es insoportable su estulticia. Petro, con todo, es el único que no…</t>
  </si>
  <si>
    <t>RT @DavidRacero: Cada vez que alguien apela a algo como "los extremos son iguales, "los extremos se unen" "los extremos se necesitan" como…</t>
  </si>
  <si>
    <t>Lo que proponemos es un país más justo. Sin justicia no hay humanidad. https://t.co/7v3F1f8DYf</t>
  </si>
  <si>
    <t>El plan de reconstrucción de San Andrés y Providencia no permite que la población de las islas decida. Es simplemen… https://t.co/Lg30nuBDCG</t>
  </si>
  <si>
    <t>Existe un mercado laboral en donde si se baja el salario aumenta la demanda por empleo, es decir aumente el empleo?… https://t.co/bIOZnEVq1z</t>
  </si>
  <si>
    <t>RT @petrogustavo: Lo que proponemos es un país más justo. Sin justicia no hay humanidad.</t>
  </si>
  <si>
    <t>Establecerá un sistema de puerta giratoria entre alcaldes. Yo te contrato tu concejal tu me contratas del mio. Así… https://t.co/XnuC7H57pA</t>
  </si>
  <si>
    <t>RT @petrogustavo: Uno de los miembros del equipo de entrampadores de la DEA, Ivaan Libreros Diaz, apareció muerto en el baño de su casa en…</t>
  </si>
  <si>
    <t>RT @AnalisisUrbano: #Recordando | #Colombia 🇨🇴🏳️La condena de Schifano se debió a que no lavó nada, pero mostró la disposición de hacerlo c…</t>
  </si>
  <si>
    <t>RT @alfonsocabrerat: Colombia: país de leyes falsas. No tenemos vacuna contra el coronavirus, pero tenemos una ley que ordena vacunarnos a…</t>
  </si>
  <si>
    <t>RT @latablablog: #NarcoPollo El gobierno de México anunció ayer la captura de un avión con 350 kilos de cocaína (además de armas) que iba e…</t>
  </si>
  <si>
    <t>RT @GabrielaEsPais: Un placer compartir panel con @GloriaFlorezSI. El debate alrededor del sistema patriarcal debe llevarnos a cuestionar r…</t>
  </si>
  <si>
    <t>RT @Juanaafanador1: El legado del gerente del metro, que Claudia López se niega a ver de frente. Unidad social de 50 personas, aldultos may…</t>
  </si>
  <si>
    <t>RT @anateresabernal: Abro hilo de los #GrandesHits de Andrés Escobar @bienconcreto como Gte de La Empresa Metro, que afectarán el futuro de…</t>
  </si>
  <si>
    <t>RT @CNA_Colombia: #Alerta Continúa la persecución al movimiento popular y campesino. Hacia las 3am fue capturado en el municipio de #Pasto…</t>
  </si>
  <si>
    <t>RT @PrimoECosta: Van a sacar a la directora de Parques Nacionales, ¿Adivinen por qué? Van detrás del Tayrona. Ya Uribe había dejado ver sus…</t>
  </si>
  <si>
    <t>Robert Daza, dirigente campesino del macizo colombiano ha sido detenido por la fiscalía de Duque y Néstor Humberto. https://t.co/Q3xQw60lSr</t>
  </si>
  <si>
    <t>El diseño del corredor verde de la séptima como el del metro elevado, que significa estudios de ingeniería fase III… https://t.co/7RiJyQRi9l</t>
  </si>
  <si>
    <t>Uno de los grandes sueños de Uribe después del proyecto de Hidroituango es desarrollar la hoteleria de gran impacto… https://t.co/BrqwCus3if</t>
  </si>
  <si>
    <t>Le solicité a @ProgIntl que liderara a escala mundial la conversión de la vacuna anticovid en un bien público globa… https://t.co/0sPV7yfqNd</t>
  </si>
  <si>
    <t>RT @wilberpreciado: Hace 5 años @petrogustavo hacía entrega de 1.100 viviendas VIP en Bosa. https://t.co/zZaKyGLUgb</t>
  </si>
  <si>
    <t>La relación entre el peñalosismo y el uribismo es intima e incestuosa. Son dos proyectos profundamente depredadore… https://t.co/nNrEBN8e4I</t>
  </si>
  <si>
    <t>La fiscalía de Nestor Humberto y Duque ha involucrado a 10.000 estudiantes universitarios en procesos de terrorismo… https://t.co/le1Ft9MdWi</t>
  </si>
  <si>
    <t>Al mismo tiempo que Duque lanza su ofensiva gran hotelera sobre la Sierra Nevada, llega el paramilitar Hernan Giral… https://t.co/IiY7DB4aWd</t>
  </si>
  <si>
    <t>RT @petrogustavo: La fiscalía de Nestor Humberto y Duque ha involucrado a 10.000 estudiantes universitarios en procesos de terrorismo. Ni…</t>
  </si>
  <si>
    <t>RT @Colcheck: La fuente de @susanamuhamad es el inventario de gases de efecto invernadero de #Bogotá realizado en 2008, en la que los resid…</t>
  </si>
  <si>
    <t>RT @anateresabernal: Hago un llamado a la admón. distrital @planeacionbog para que rinda explicaciones al Concejo sobre la situación del me…</t>
  </si>
  <si>
    <t>Al final el código electoral solo tenia un objetivo votado por la mayoría del senado. Quitarle derechos políticos… https://t.co/KmYeXFflVx</t>
  </si>
  <si>
    <t>RT @petrogustavo: Al final el código electoral solo tenia un objetivo votado por la mayoría del senado. Quitarle derechos políticos fundam…</t>
  </si>
  <si>
    <t>RT @Eclides3: Edward Rodríguez, uno de los Congresistas del Centro Democrático, beneficiado con la la plata del Ñeñe Hernández, cita al exm…</t>
  </si>
  <si>
    <t>Deje de calumniar Catherine. He participado en todo el debate del código electoral. Creo que fui fundamental en imp… https://t.co/O8TEkUJL5g</t>
  </si>
  <si>
    <t>Votamos en contra del código electoral porque el senado de la República decidió suspender los derechos politicos a… https://t.co/mjgDJ7ZINR</t>
  </si>
  <si>
    <t>No hay paridad de genero solo porque las listas se integren por mitad hombres y mitad mujeres. Como propusimos en… https://t.co/GdCHIFyJ1v</t>
  </si>
  <si>
    <t>Ante la decision del Congreso de quitar derechos políticos a Colombia Humana, la convoco a discutir la estrategia p… https://t.co/vkoldKTwPn</t>
  </si>
  <si>
    <t>RT @PortalLaOtraVoz: Bella Ciao-el himno popular en la época de Benito Mussolini, ahora en tiempo de @IvanDuque suena como #DuqueChao http…</t>
  </si>
  <si>
    <t>Vargas Lleras con el Centro Democrático y los ayudaron liberales y verdes fajardistas, son los que se lanzaron a qu… https://t.co/rMJEwf2zpo</t>
  </si>
  <si>
    <t>RT @RoyBarreras: 30 senadores apoyaron mi propuesta de paridad REAL eligiendo a la mitad de miembros del Congreso mujeres pero mayorías o…</t>
  </si>
  <si>
    <t>No entiendo una lucha femenina sino es para garantizar derechos reales. Los premios de consolación no sirven. Lo q… https://t.co/HuPwM8zdeo</t>
  </si>
  <si>
    <t>La proposición de Roy rechazada en la plenaria, que recogía nuestras propuestas en comisión primera, arroja ahora q… https://t.co/a3uNu9gyqP</t>
  </si>
  <si>
    <t>Para ordenar la gran lista cerrada por el Pacto para cambiar el Congreso y hacer de la ley, la regla al servicio de… https://t.co/b7poZKVZ2W</t>
  </si>
  <si>
    <t>RT @CATALINAVELASCO: La paridad de género como candidatas no sirve de mucho. La real paridad es en calidad de congresistas. Y en el ejercic…</t>
  </si>
  <si>
    <t>El mecanismo COVAX, que depende de donaciones para la vacuna, es supremamente débil para garantizar la inmunización… https://t.co/elo2yqUUKQ</t>
  </si>
  <si>
    <t>RT @petrogustavo: El mecanismo COVAX, que depende de donaciones para la vacuna, es supremamente débil para garantizar la inmunización de la…</t>
  </si>
  <si>
    <t>RT @wilsonariasc: El Grupo empresarial Daabon hizo agricultura en la Sierra Nevada, Juliana Miranda de PNN iba a ratificar la multa contra…</t>
  </si>
  <si>
    <t>RT @DCoronell: Una reforma destinada a eliminar voces disidentes no puede ser democrática. Colombia necesita las ideas que encarna @petrogu…</t>
  </si>
  <si>
    <t>Por fin Oscar Sanchez mi secretario de educación, decide defender su propia obra educativa en Bogotá Humana. Bril… https://t.co/ov1aRf3PoB</t>
  </si>
  <si>
    <t>Concejal Lucía Bastidas, el sueño lo vive ud al hacer una apología de Peñalosa y no investigar la realidad de la ci… https://t.co/kdEW2dGseo</t>
  </si>
  <si>
    <t>RT @JMVivancoHRW: Grave error de @leopoldolopez. En relación con el estado de derecho y la vigencia de los DDHH, Uribe es el equivalente e…</t>
  </si>
  <si>
    <t>RT @petrogustavo: Concejal Lucía Bastidas, el sueño lo vive ud al hacer una apología de Peñalosa y no investigar la realidad de la ciudad q…</t>
  </si>
  <si>
    <t>RT @petrogustavo: Por fin Oscar Sanchez mi secretario de educación, decide defender su propia obra educativa en Bogotá Humana. Brillante…</t>
  </si>
  <si>
    <t>Esto sucede cuando no se vacuna a toda la población. No solo llegará tarde la vacuna a Colombia, por incapacidad de… https://t.co/uQcxwHGibg</t>
  </si>
  <si>
    <t>RT @piedrahitangela: No creo en esas personas que atacan la oposición y luego aparecen teniendo contratos con el estado. No les creo nada.</t>
  </si>
  <si>
    <t>RT @abcpoliticacom: #ABCPolitica | 'Uribe es el equivalente en Colombia a Chávez': Director de Human Rights Watch, Vivanco https://t.co/91q…</t>
  </si>
  <si>
    <t>Ha muerto Jose Vicente Rangel, líder venezolano y luchador progresista por décadas. QEPD. https://t.co/E7Kv1VYlC8</t>
  </si>
  <si>
    <t>Por decisión de Duque y el Centro Democrático ha sido excluida Colombia Humana de la vida jurídica legal de Colombi… https://t.co/nToV2TtcNS</t>
  </si>
  <si>
    <t>De nuevo se crea un DAS, un cuerpo de inteligencia dependiente directamente del Presidente. La construcción dictat… https://t.co/MzG3NbRhjr</t>
  </si>
  <si>
    <t>RT @petrogustavo: Por decisión de Duque y el Centro Democrático ha sido excluida Colombia Humana de la vida jurídica legal de Colombia, en…</t>
  </si>
  <si>
    <t>Mi intervención sobre la exclusión de Colombia Humana, y demas grupos significativos de ciudadanos, de sus derechos… https://t.co/uK9SOFd4b0</t>
  </si>
  <si>
    <t>La decisión tomada a última hora en la aprobación del código electoral y por iniciativa de German Varón, de Vargas… https://t.co/7c1wRHvjwY</t>
  </si>
  <si>
    <t>RT @petrogustavo: Mi intervención sobre la exclusión de Colombia Humana, y demas grupos significativos de ciudadanos, de sus derechos polit…</t>
  </si>
  <si>
    <t>La destrucción de una ciudad de derechos en Bogotá. https://t.co/j5Xs3UZV41</t>
  </si>
  <si>
    <t>Nueva masacre cometida por la policía contra jóvenes en Bogotá https://t.co/p2L7hbCkJT</t>
  </si>
  <si>
    <t>El trabajo del capital es insultarnos los unos a los otros, el del progresismo es recuperar la hermandad en un proy… https://t.co/FjmUDON4fy</t>
  </si>
  <si>
    <t>La decisión de Cambio Radical y Centro Democrático, que ganó la mayoría del Congreso, de excluir a los grupos signi… https://t.co/TaZWJFZTFJ</t>
  </si>
  <si>
    <t>Si luchar por la personería jurídica de Colombia Humana en una lista independiente y solitaria. O sacrificar nuest… https://t.co/LghBwWHqpl</t>
  </si>
  <si>
    <t>Les propongo sacrificar la existencia legal de Colombia Humana y construir el Pacto Histórico para cambiar el Congr… https://t.co/ufYzOCInDB</t>
  </si>
  <si>
    <t>Pasa desapercibida por la prensa y los influencers superficiales, que uno de lo temas centrales propuestos por noso… https://t.co/QvPDRqiw5O</t>
  </si>
  <si>
    <t>Un trabajo arduo que llevó a que Colombia tiene 40.000 muertos y quizás duplique la cifra, uno de los peores result… https://t.co/GMEmweNloh</t>
  </si>
  <si>
    <t>RT @petrogustavo: Pasa desapercibida por la prensa y los influencers superficiales, que uno de lo temas centrales propuestos por nosotros,…</t>
  </si>
  <si>
    <t>RT @Margaritarosadf: Qué gran injusticia, senador @petrogustavo . ¿Qué se puede hacer para que @ColombiaHumana_ tenga los mismos derechos q…</t>
  </si>
  <si>
    <t>RT @tobonsanin: Ante la inminente llegada de un Gobierno alternativo, la Derecha pretende sacar de contienda a movimientos como la Colombia…</t>
  </si>
  <si>
    <t>RT @petrogustavo: La decisión de Cambio Radical y Centro Democrático, que ganó la mayoría del Congreso, de excluir a los grupos significati…</t>
  </si>
  <si>
    <t>Colombia Humana se mantendrá como fuerza política organizada, colectiva y democrática en todos los municipios del… https://t.co/JMFzefm1kK</t>
  </si>
  <si>
    <t>Duque separó violentamente la familia de nuestra candidata al senado y ex parlamentaria andina, Gloria Florez. Pasó… https://t.co/4YxMHdb0mu</t>
  </si>
  <si>
    <t>Estas denuncias casi anónimas de miles de personas que hoy son amenazadas a lo largo y ancho del país , gritándonos… https://t.co/zPGoYVs6QL</t>
  </si>
  <si>
    <t>RT @lucianacadahia: La historia se repite en Colombia. La derecha cocina la narcodictadura del futuro en complicidad con los liberales del…</t>
  </si>
  <si>
    <t>La diferencia entre lo que hizo Varón Cotrino y los uribistas tratando de eliminar políticamente la Colombia Humana… https://t.co/2bKDLD3csh</t>
  </si>
  <si>
    <t>RT @migueldelrioabg: Colombia Humana no es un partido; es un símbolo. Una lucha laboriosa por la dignidad. Un pacto civil contra el absolut…</t>
  </si>
  <si>
    <t>Hasta el coordinador de ponentes del Senado, Armando Benedetti, terminó votando negativo el proyecto de Código elec… https://t.co/DrZBT6ReHl</t>
  </si>
  <si>
    <t>El progresista Andrés Arauz ganaria la presidencia de Ecuador, pero el régimen de Ecuador planea suspender ilícitam… https://t.co/1e2PJzoGV1</t>
  </si>
  <si>
    <t>RT @GustavoBolivar: Cada vez que esta clase política mafiosa y sucia pisotea a la Colombia Humana, me dan más ganas de hacerme reventar por…</t>
  </si>
  <si>
    <t>RT @elsemblante: Cuando aquí les hablen de "dictadura en Venezuela", recuerden que en la "democracia" colombiana no reconocen jurídica ni p…</t>
  </si>
  <si>
    <t>Piendan que es locura que la vacuna debe ser universal y gratuita como un bien publico al servicio de la vida. https://t.co/41TjWycnjJ</t>
  </si>
  <si>
    <t>¿Que opinan? ¿Cuantos colombianos se lo creyeron? https://t.co/h5VV0WvHkv</t>
  </si>
  <si>
    <t>Lo peor que podría sobrevenir ahora es una mutación del virus más contagiosa. Duque debe extremar medidas para la e… https://t.co/iswa6XolU0</t>
  </si>
  <si>
    <t>Guste o no le guste a Duque, no vacunar la población venezolana en Colombia, si llegamos a tener vacunas, iría cont… https://t.co/CGHQHjeMQS</t>
  </si>
  <si>
    <t>Paramilitarismo en marcha en Cali. https://t.co/nHkocbmyiI</t>
  </si>
  <si>
    <t>Hasta este momento tenemos compradas 20 millones de vacunas para 10 millones de personas, es mejor que nada, pero l… https://t.co/Ltzyo7Y5lp</t>
  </si>
  <si>
    <t>La base de vacunación de Colombia sigue siendo muy deficiente. Compradas vacunas para 10 millones de personas, otr… https://t.co/MVzduIhheS</t>
  </si>
  <si>
    <t>Bajo una perspectiva de 30 millones de personas sin vacunación en 2021, Colombia tendría que mantener permantemente… https://t.co/ou5zUrVNjh</t>
  </si>
  <si>
    <t>RT @DianAngel01: Que lo “mamerto” no te quite lo “fashion”. Quién dijo que ser de izquierda es vivir en la miseria??? Queremos igualdad, eq…</t>
  </si>
  <si>
    <t>RT @CarolinaCorcho: Me propongo responder todas estas imprecisiones, desinformación, opiniones, que entraña un marcado sesgo ideológico y…</t>
  </si>
  <si>
    <t>RT @GustavoBolivar: Los uribistas ponen el grito en el cielo por los Ferragamo de Petro, la Harley de Julian Román o el yate de mi casa por…</t>
  </si>
  <si>
    <t>¿Cuál la diferencia entre el Hitler antijudío y el Duque antivenezolano? ¿cuál la diferencia entre matar masivament… https://t.co/8o5yaNLjhv</t>
  </si>
  <si>
    <t>En el Cesar ganó Duque. El Cesar ha sido condenado a la extracción del carbón, a la desertización de su tierra y a… https://t.co/4MqjAbtI1L</t>
  </si>
  <si>
    <t>RT @anateresabernal: No hay nada que le impida al río volverse mar, ni al viento volverse palabra, ni a la fe volverse esperanza. Colombia…</t>
  </si>
  <si>
    <t>Ser parte de un proyecto en donde la masacre y el uso del poder para el enriquecimiento merece el aplauso del seudo… https://t.co/LEm42rjNpP</t>
  </si>
  <si>
    <t>Hubo un simulacro de confinamiento y ahora un simulacro de vacunación. https://t.co/iuRe7f3SPA</t>
  </si>
  <si>
    <t>RT @teoloax: Si un político en Europa llegará a sugerir marginalmente esto que afirmó categóricamente el presidente colombiano, sería perse…</t>
  </si>
  <si>
    <t>El presidente Duque debería ayudar a construir una estrategia común de negociación de las vacunas a escala latinoam… https://t.co/5ajlMPMjDH</t>
  </si>
  <si>
    <t>Este mensaje logra que millones de colombianos aplaudan olvidando que hay millones de colombianos en Venezuela, Ecu… https://t.co/Y9xrZtm3Ah</t>
  </si>
  <si>
    <t>Es lamentable que un hijo de Córdoba se haya dejado entrampar de su contexto de esta manera. Creyeron en el paramil… https://t.co/tyncD90wWe</t>
  </si>
  <si>
    <t>Las naciones originarias vuelven al poder en EEUU de la mano de una mujer. https://t.co/s5g2jM7VZC</t>
  </si>
  <si>
    <t>RT @EjercitoSt: El Uribismo no quiere vacunar a los Venezolanos, pero si les regala cédulas para que voten por ellos en el 2022.🇨🇴</t>
  </si>
  <si>
    <t>RT @JulianRoman: Era lo que me faltaba oír. Permiso me retiro a mis aposentos</t>
  </si>
  <si>
    <t>RT @petrogustavo: Es lamentable que un hijo de Córdoba se haya dejado entrampar de su contexto de esta manera. Creyeron en el paramilitaris…</t>
  </si>
  <si>
    <t>Este artículo analiza a profundidad la política antinarcoticos de nuestro país, su estruendoso fracaso y la necesid… https://t.co/Bzaz2Zh2Wr</t>
  </si>
  <si>
    <t>El cambio de la cúpula policial expresa la insostenibilidad del general Atehortua, sindicado de corrupción y respon… https://t.co/KYy87ck0WH</t>
  </si>
  <si>
    <t>La universalización de la educación superior para toda la Policía, la eliminación de barreras de ascenso para cualq… https://t.co/FntgHj8zZG</t>
  </si>
  <si>
    <t>Muy bueno. Expresa la gran diferencia entre Colombia Humana y el uribismo. https://t.co/hEWQlIhYhB</t>
  </si>
  <si>
    <t>Que triste que con ayuda de miembros de la Justicia, la universidad de Córdoba retorne al control paramilitar ¿Dón… https://t.co/Tj5NGua9Tu</t>
  </si>
  <si>
    <t>Quiénes compran estos bonos del gobierno son los que deberían pagar más impuestos: dueños de bancos y administrador… https://t.co/jRmQ21mVOU</t>
  </si>
  <si>
    <t>Mañana se inicia la vacunación en México con Pfizer y en Argentina, lo harán pasado mañana con la vacuna rusa. Lat… https://t.co/0gXmPkPPJU</t>
  </si>
  <si>
    <t>No se sabe cuanto durará la inmunización de las vacunas en las personas. El virus estará al menos diez años en la… https://t.co/hyFbQqL6qe</t>
  </si>
  <si>
    <t>Sería inmoral negar la vacuna a los inmigrantes ilegales, dice el actual gobierno de Trump. https://t.co/ukE69dAh8H</t>
  </si>
  <si>
    <t>RT @inafinogenova: Después de leerlo sigo sin saber "qué es Rusia Today" (sic) para ellos. Eso sí, me he enterado de algo que debió de deci…</t>
  </si>
  <si>
    <t>RT @petrogustavo: Muy bueno. Expresa la gran diferencia entre Colombia Humana y el uribismo. https://t.co/hEWQlIhYhB</t>
  </si>
  <si>
    <t>RT @CMonteroOficial: Aplican primera vacuna #COVID19 en #México; enfermera es la primera en recibirla https://t.co/c5aCq1KOtc</t>
  </si>
  <si>
    <t>RT @rcnradio: Nueva masacre: tres personas fueron asesinadas en zona rural de Neiva https://t.co/ZaHGKLgqq5</t>
  </si>
  <si>
    <t>Va un millón de vacunados en EEUU. Hoy se puso la primera vacuna Pfizer en México y acaba de llegar 300.000 vacunas… https://t.co/SLXmXgda4I</t>
  </si>
  <si>
    <t>Llegaron primeras vacunas Pfizer a Chile, muy bien por ellos. Con México, Argentina y Costa Rica, inician la vacuna… https://t.co/YIRkowdcNk</t>
  </si>
  <si>
    <t>La ministra Carmen Helena Vásquez fue capaz de no autorizar la demolición del Hospital San Juan de Dios de Bogotá.… https://t.co/WlcXTojGvm</t>
  </si>
  <si>
    <t>No se si la acción de Duque contra los diplomaticos rusos, buscando alistarse con Biden ante un presunto conflicto… https://t.co/MzY703Z2KX</t>
  </si>
  <si>
    <t>La primera vacunada en America Latina, es una enfermera. Ha sucedido en México. Bien por México, por la mujer, po… https://t.co/Zel3rly5cp</t>
  </si>
  <si>
    <t>Coincido con el arzobispo de Bogotá: Colombia necesita una reforma rural integral que modernice el uso de la tierra… https://t.co/qYaeUGXynr</t>
  </si>
  <si>
    <t>Una feliz navidad a toda la fuerza de la salud de Colombia. En un gobierno progresista habrá estabilidad laboral.… https://t.co/d3hE1xqANe</t>
  </si>
  <si>
    <t>Les deseamos, con toda mi familia, una feliz navidad y un 2021 con mucha salud y amor. https://t.co/M8XTgO7w2P</t>
  </si>
  <si>
    <t>RT @petrogustavo: Les deseamos, con toda mi familia, una feliz navidad y un 2021 con mucha salud y amor. https://t.co/M8XTgO7w2P</t>
  </si>
  <si>
    <t>Si el experto en epidemias en EEUU, Fauci, tiene razón, Colombia necesita 90 millones de dosis, dos por persona, pa… https://t.co/sLxSsGXsWo</t>
  </si>
  <si>
    <t>RT @tikopineda: En Colombia, la cultura mafiosa ha inoculado un desprecio por la vida. Los gobernantes lo saben. Por ello privilegian el ne…</t>
  </si>
  <si>
    <t>Historia de otro entrampamiento. https://t.co/yXw7dJBhaB</t>
  </si>
  <si>
    <t>La manera de engañar bogotanos, hasta conseguir su voto. Se completan seis años de suspensión de la construcción de… https://t.co/qnryYzqdR4</t>
  </si>
  <si>
    <t>Si 5.3, subieron los salarios del Congreso,al. menos, eso mismo, debe subir el salario mínimo.</t>
  </si>
  <si>
    <t>RT @AUGUSTOOCAMPO: Lo dijo @petrogustavo hace siete años... "...Si Bogotá no moviliza la ciudadanía nos masacrarán las ciudadanías en las…</t>
  </si>
  <si>
    <t>RT @KikePrivatiza: Son muchos más los aciertos de @petrogustavo que sus ocasionales errores: https://t.co/qBtk5Zf9LY</t>
  </si>
  <si>
    <t>RT @trochandosf: #ATENCION Hoy murió Alejandro Morales, joven de 16 años al que la policía le disparó en el cráneo el #18D en El Codito, #…</t>
  </si>
  <si>
    <t>RT @petrogustavo: Si 5.3, subieron los salarios del Congreso,al. menos, eso mismo, debe subir el salario mínimo.</t>
  </si>
  <si>
    <t>En la reforma política aprobada por la comisión primera del senado venía una fórmula para disminuir el salario de l… https://t.co/IB7TWSXAvN</t>
  </si>
  <si>
    <t>RT @DeCurreaLugo: A esos que dijeron: "preferimos comer mierda antes que votar por Petro", les subrayo que con el nuevo salario mínimo se a…</t>
  </si>
  <si>
    <t>Son los congresistas uribistas los que hundieron en comisión primera la propuesta, apoyada por nosotros, de no reci… https://t.co/cRCogzcAiq</t>
  </si>
  <si>
    <t>Esta es la realidad hoy en Providencia. Ha matado más gente la reconstrucción que el huracán. https://t.co/Fg8k8Mbk6j</t>
  </si>
  <si>
    <t>RT @susanamuhamad: La recuperación económica de Bogotá en el 2021 depende de un manejo efectivo de la pandemia. La salud pública tiene que…</t>
  </si>
  <si>
    <t>RT @DianaAcunaQ: Linda Michelle Amaya va a completar 1 mes desaparecida en Bogotá, las autoridades no han hecho lo que les corresponde y la…</t>
  </si>
  <si>
    <t>RT @GustavoBolivar: No caigan en la trampa populista. El Centro Democrático se ha opuesto a todos los proyectos de rebaja de salario. Ahí e…</t>
  </si>
  <si>
    <t>Este es el modelo madrileño de salud que Peñalosa introdujo en Bogotá. Disminuyó el número de camas hospitalarias… https://t.co/Vm85k9UFum</t>
  </si>
  <si>
    <t>Toda mi solidaridad a las comunidades campesinas e indígenas del alto Sinú. Víctimas de la violencia y la desidia d… https://t.co/rJFwv2ou5y</t>
  </si>
  <si>
    <t>Manuel Alonso, firmante de la Paz, asesinado en Miranda, Cauca. https://t.co/PZmN4LPfIM</t>
  </si>
  <si>
    <t>RT @carolinaguerram: Muy a pesar de la procrastinación… nos volveremos a ver pronto. ✈️ y cómo dice mi papá: https://t.co/4pxkYZjaUf</t>
  </si>
  <si>
    <t>Matemáticas de Uribe. Pide a sus congresistas renunciar al retroactivo del incremento del salario parlamentario de… https://t.co/ITKen9Sg0B</t>
  </si>
  <si>
    <t>¿Por qué el virus logró detener el capitalismo? Un análisis de la crisis económica frente al virus. Ahora lo único… https://t.co/MzFXZkjXTL</t>
  </si>
  <si>
    <t>Nueva masacre. Un niño y una joven firmante de acuerdo de paz, entre los cinco muertos, en Montecristo, Bolívar. N… https://t.co/i8Wb2qy2pF</t>
  </si>
  <si>
    <t>RT @petrogustavo: Matemáticas de Uribe. Pide a sus congresistas renunciar al retroactivo del incremento del salario parlamentario decretad…</t>
  </si>
  <si>
    <t>Al asesinar a la bebe de la excombatiente de las farc, a la excombatiente y a sus familiares, dejaron una razón en… https://t.co/LM3WmsPxa4</t>
  </si>
  <si>
    <t>Santiago Valencia votó, con su bancada, en contra de quitar los gastos de representación de los congresistas que de… https://t.co/SgqrCszMCf</t>
  </si>
  <si>
    <t>Según la Cepal, Perú, Panamá y Bolivia, seran las economías latinoamericanas que más crecerán en 2021 Las economía… https://t.co/hnKnWDPPFh</t>
  </si>
  <si>
    <t>RT @petrogustavo: Al asesinar a la bebe de la excombatiente de las farc, a la excombatiente y a sus familiares, dejaron una razón en el sur…</t>
  </si>
  <si>
    <t>RT @PabloIglesias: Hoy he tenido ocasión de reunirme con @petrogustavo, senador y líder de @ColombiaHumana_. Ha sido un placer poder charla…</t>
  </si>
  <si>
    <t>Como dirigente de la oposición en Colombia he propuesto al gobierno español, si puede transferir soberanamente part… https://t.co/J7Q6CK1V1m</t>
  </si>
  <si>
    <t>Europa.a diferencia de Latinoamérica, negoció unitariamente con las farmacéuticas la compra de vacunas en una canti… https://t.co/M3vpwLthrL</t>
  </si>
  <si>
    <t>RT @petrogustavo: Como dirigente de la oposición en Colombia he propuesto al gobierno español, si puede transferir soberanamente parte de s…</t>
  </si>
  <si>
    <t>Si quieres una sociedad cero aborto, el camino no es prohibir, es educar.</t>
  </si>
  <si>
    <t>Yo no estoy gestionando compra de vacunas, estoy gestionando donaciones, dado que las vacunas son un derecho fundam… https://t.co/ETMDtcOBJO</t>
  </si>
  <si>
    <t>Esto se llama mezquindad. No es un miembro del Congreso, es un dirigente de la oposición que le dice al mundo, que… https://t.co/6MC2HGY3d6</t>
  </si>
  <si>
    <t>Este es mi mensaje de año nuevo para todas y todos los colombianos. https://t.co/kKbb6ISaAA</t>
  </si>
  <si>
    <t>RT @petrogustavo: Este es mi mensaje de año nuevo para todas y todos los colombianos.</t>
  </si>
  <si>
    <t>A ellas las mataron. ¿Por haber sido rebeldes armadas? ¿Por qué firmaron la paz? Vamos por una Colombia en donde… https://t.co/KAPxW7vCZL</t>
  </si>
  <si>
    <t>RT @ACEM_: Con gran preocupación vemos saturación de las camas de UCI en Bogotá pero con 81% de ocupación?Saturación de los servicios de #U…</t>
  </si>
  <si>
    <t>RT @CarolinaCorcho: ALERTA: tenemos reportes de pacientes ventilados en urgencias, cuando esto ocurre se superó el tope de las UCI, sistema…</t>
  </si>
  <si>
    <t>RT @GustavoBolivar: Para que la derecha y los tibios dejen de calumniar a Petro, Vale mucho la pena leer este artículo de @EpicuroDeSamos_…</t>
  </si>
  <si>
    <t>RT @CarolinaCorcho: Médico ginecologo Manuel Solano está grave en Clínica Cardio Infantil de Bogota, desde ayer está esperando acceso a una…</t>
  </si>
  <si>
    <t>RT @MaPaulaFonseca: ¿Cómo explican que hay al menos 40 pacientes ventilados que no están siendo direccionados a camas UCI? Es la pregunta q…</t>
  </si>
  <si>
    <t>RT @HOLLMANMORRIS: URGENTE Presidente de la asociación colombiana de especialistas en medicina de urgencias y emergencias ACEM pone en du…</t>
  </si>
  <si>
    <t>Siempre observe el trabajo de Laura Weinstein, como el que toda persona progresista debe hacer. Al servicio de los… https://t.co/ygLD31nupn</t>
  </si>
  <si>
    <t>RT @CarolinaCorcho: Hoy se procesaron solo 30.847 pruebas Covid en Colombia, menos de la tercera parte de lo que se debería estar haciendo.…</t>
  </si>
  <si>
    <t>Un año para montar todo el sistema de prevención en salud que Bogotá tenía en el 2015 y todo un año para adecuar el… https://t.co/ic7zPdomFm</t>
  </si>
  <si>
    <t>RT @constanzavieira: Los 3 últimos líderes asesinados (Eunice Medina en el municipio de Los Patios, Norte de Santander; Gerardo León en Pue…</t>
  </si>
  <si>
    <t>RT @petrogustavo: Un año para montar todo el sistema de prevención en salud que Bogotá tenía en el 2015 y todo un año para adecuar el San J…</t>
  </si>
  <si>
    <t>Voy a hacer un análisis económico con estos datos que me parece ilustrador de la situación mundial con el covid En… https://t.co/a1E1Em4bXW</t>
  </si>
  <si>
    <t>Ese dinero emitido por billones en Europa y EEUU no llegó en su mayor parte a las familias, tampoco se tradujo en i… https://t.co/HNTeJMxMsN</t>
  </si>
  <si>
    <t>Es decir que el dinero emitido públicamente, vía el sistema financiero, acrecentó la demanda en acciones y disparó… https://t.co/kGAK3wLdvW</t>
  </si>
  <si>
    <t>La inmensa masa de liquidez emitida para enfrentar la crisis ha pasado vía créditos, con interés negativo, a grande… https://t.co/pOIoaYnovH</t>
  </si>
  <si>
    <t>Existe una inmensa burbuja especulativa de dimensiones nunca antes vista, que se mueve de la emisión de los países… https://t.co/23cmqTHNuo</t>
  </si>
  <si>
    <t>La consecuencia previsible es que la burbuja estallará y generará la devaluación de las divisas más fuertes, la caí… https://t.co/IYrKObTa8D</t>
  </si>
  <si>
    <t>Al principio habrá un crecimiento económico con el final de la pandemia pero será veloz y fugaz. Viene una crisis d… https://t.co/KcxYjDPJvR</t>
  </si>
  <si>
    <t>Colombia debe alistarse y dejar de perder tiempo y recursos en un sistema que ya no se recuperará, el del petroleo… https://t.co/cUzc7oQb6B</t>
  </si>
  <si>
    <t>Todo el impulso a la agricultura y la industria, que pasa por créditos subsidiados y protección a las importaciones… https://t.co/C4MKv1b1I3</t>
  </si>
  <si>
    <t>RT @petrogustavo: Voy a hacer un análisis económico con estos datos que me parece ilustrador de la situación mundial con el covid En esta…</t>
  </si>
  <si>
    <t>El gran error del manejo del covid consiste en dejar su manejo en manos de las EPS. La emergencia ameritaba una gra… https://t.co/FcT0XI0aCF</t>
  </si>
  <si>
    <t>Igual que la paz implica superar la enorme desigualdad, superar el covid implica superar las EPS. Pero hay millone… https://t.co/CiPJaophQk</t>
  </si>
  <si>
    <t>RT @Margaritarosadf: “Petro divide” porque hay una división de fondo entre ceder un poquito a los intereses de los poderes económicos y no…</t>
  </si>
  <si>
    <t>RT @CMBogotaDC: El CMB solicita declarar alerta roja hospitalaria y emergencia sanitaria en Bogotá D.C. La situación actual no puede ser mi…</t>
  </si>
  <si>
    <t>Se le recuerda al concejal que no es lo mismo las basuras que los seres humanos. Y se le recuerda que la crisis de… https://t.co/gMTFohsMPA</t>
  </si>
  <si>
    <t>RT @periodistan_: Si asesinás civiles en Irak, te indultan. Si informás sobre esos asesinatos, te condenan. El primer mundo... https://t.c…</t>
  </si>
  <si>
    <t>Así la prensa lo silencie, hoy ha sucedido un hecho fundamental en la historia de la libertad de prensa. Reino Unid… https://t.co/Svr1m5QotD</t>
  </si>
  <si>
    <t>RT @velascoluisf: Que bien pensada esta campaña ⁦@petrogustavo⁩ ⁦@DeLaCalleHum⁩ ⁦@juanmanuelgalan⁩ ⁦@AntonioSanguino⁩ ⁦@GustavoBolivar⁩ ⁦@A…</t>
  </si>
  <si>
    <t>No se si esta persona existirá realmente, pero así se construyen las fake news. Irradian la manipulación en redes h… https://t.co/LeJQlv8r4i</t>
  </si>
  <si>
    <t>Al ritmo actual de vacunación, EEUU demoraría 10 años en vacunar a toda su población. No existe un sistema prevent… https://t.co/bEEyNlk1na</t>
  </si>
  <si>
    <t>Dos visiones de gobierno, dos resultados completamente divergentes. El voto ciudadano determina los objetivos de un… https://t.co/wqpjIpPN6r</t>
  </si>
  <si>
    <t>RT @elpais_america: Enrique de Luxemburgo y María Teresa Mestre han vuelto a ser objeto de críticas por su última escapada a Biarritz. Pasa…</t>
  </si>
  <si>
    <t>El confinamiento total decidido por Reino Unido es la confesión del fracaso total de la política de " inmunidad de… https://t.co/ivP0ZahMeZ</t>
  </si>
  <si>
    <t>Hoy la lentitud en la vacunación en países que tienen vacunas, muestra que los sistemas de salud después de 40 años… https://t.co/fepIySsACV</t>
  </si>
  <si>
    <t>Un sistema de prevención se caracteriza, entre otras medidas como la nutrición, el agua potable, el aire limpio, po… https://t.co/M2eDI8c78a</t>
  </si>
  <si>
    <t>La profunda corrupción del gabinete de Guaidó, aliado de Duque, es descubierta por el Washington Post El entramado… https://t.co/kCw566Flap</t>
  </si>
  <si>
    <t>Marcel Silva fue el abogado de los trabajadores de Alcalis de Colombia, ahora llamada Refisal. Lo conocí en mis lu… https://t.co/y19NzDLrMn</t>
  </si>
  <si>
    <t>Duque quiso levantar la cuarentena , porque no se atrevió a generar una política de ayudas a las familias Expuso a… https://t.co/bGa5F0Ratw</t>
  </si>
  <si>
    <t>En EEUU comenzarán a dejar morir la gente en sus casas por el virus, tal como sucede desde hace un año en toda Colo… https://t.co/Kz1u2q4O0z</t>
  </si>
  <si>
    <t>En Madrid, España, cuyo modelo de salud decidieron imitar en Bogotá: las constructoras operando hospitales, no tien… https://t.co/vRT8Ao6Sa3</t>
  </si>
  <si>
    <t>El plan de vacunación hecho por Duque, privatiza la vacunación de los colombianos. Se hará a través de las EPS, que… https://t.co/7rTuJzsxQo</t>
  </si>
  <si>
    <t>Las EPS no tienen sistemas de medicina preventiva, no cubren el territorio nacional, la población más desfavorecida… https://t.co/QsOIyjKLn9</t>
  </si>
  <si>
    <t>En Bogotá con 5.000 profesionales de la salud contratados pudimos hacer 7, 5 millones de consultas en el 2015. La m… https://t.co/zRS9zglKGx</t>
  </si>
  <si>
    <t>Tibios argumentos. Una columna que sirve como respuesta a quienes quieren repetir el escenario político del 2018. https://t.co/P7TDYjUjFH</t>
  </si>
  <si>
    <t>RT @GustavoBolivar: #ConfinamientoEs Colombia 50 millones de habitantes y 44.187 muertos. Korea 51 millones de hab y 1.007 muertos. Japón…</t>
  </si>
  <si>
    <t>El éxito de la rapidez de la vacunación en Israel,se debe a sacar el personal de salud a donde esta la gente y no e… https://t.co/PDrqMpEaE4</t>
  </si>
  <si>
    <t>Esta es la vacunación en el mundo. Unos cuantos países. El mayor éxito el de Israel, los peores fracasos España y… https://t.co/dYbxfUf3CK</t>
  </si>
  <si>
    <t>RT @petrogustavo: El plan de vacunación hecho por Duque, privatiza la vacunación de los colombianos. Se hará a través de las EPS, que obvia…</t>
  </si>
  <si>
    <t>Esta experta, muestra vacíos del plan de vacunación. ¿Dónde esta el personal de salud para vacunar 40 millones de… https://t.co/qkwc2koT7J</t>
  </si>
  <si>
    <t>Esto es lo que se llama macartismo. Toda denuncia es aislada, aislando el mensajero, sin profundizar en las denunci… https://t.co/eT4z2VUECA</t>
  </si>
  <si>
    <t>Invertirán un billón y medio en tres hospitales privatizados por constructoras españolas: Usme, Bosa y Santa Clara… https://t.co/KGrmLfEZjb</t>
  </si>
  <si>
    <t>Mi hijo es libre y tiene la ideología que quiera. Que sepa jamás ha sido comunista, señora Cabal. Deje de calumniar. https://t.co/zKW6KmOpxs</t>
  </si>
  <si>
    <t>El que el secretario de salud de Bogotá, esté manipulando cifras de camas UCI ocupadas, para disminuir la gravedad… https://t.co/mUjxgJIbAX</t>
  </si>
  <si>
    <t>La Unión Europea da un paso correcto. Al dejar de reconocer a Guaidó, puede construir un gran acuerdo democrático e… https://t.co/7WOa5FSjJK</t>
  </si>
  <si>
    <t>Colombia Humana, no participará en las revocatoria de los alcaldes de Medellín, Bogotá y Cúcuta. Extremistas y cor… https://t.co/Gq1LRuPcz7</t>
  </si>
  <si>
    <t>RT @petrogustavo: Invertirán un billón y medio en tres hospitales privatizados por constructoras españolas: Usme, Bosa y Santa Clara que oc…</t>
  </si>
  <si>
    <t>RT @DanielRMed: Por denunciar esto, la prensa y la administración distrital atacaron a los médicos a quienes acusaron de estar dirigidos po…</t>
  </si>
  <si>
    <t>¿Quien asesino a Lola Salcedo? https://t.co/UCZzrhOWCv</t>
  </si>
  <si>
    <t>RT @Margaritarosadf: Este es un “padrenuestro” que se han aprendido como autómatas y lo repiten y lo repiten. Ninguna frase de estas tiene…</t>
  </si>
  <si>
    <t>Es perfectamente normal. En mi posible gobierno, habrá gremios manejados por personas de diferente manera de pensar… https://t.co/g5d0Nl088L</t>
  </si>
  <si>
    <t>Los acontecimientos en Washington demuestran que la derecha anacrónica liderada por Trump en todo el mundo ha decid… https://t.co/U7quo8m6lA</t>
  </si>
  <si>
    <t>Esto no es cierto. La virulencia del segundo pico tiene que ver con medidas mucho más laxas en la movilidad por dec… https://t.co/mHtXA3ANGE</t>
  </si>
  <si>
    <t>El ascenso del virus estaba pronosticado y el gobierno lo sabía. En lugar de fortalecer el sistema público de salu… https://t.co/v2jtJMkRUc</t>
  </si>
  <si>
    <t>Lo que decidieron era que la gente gastase todo lo que tuviera antes del 24 de diciembre, y luego encerrar la pobla… https://t.co/rc8ZsZArTm</t>
  </si>
  <si>
    <t>RT @susanamuhamad: No se puede decir que nos tomó por sorpresa, tampoco es la segunda cepa, la falta de acción de la Alcaldia de @ClaudiaLo…</t>
  </si>
  <si>
    <t>El peaje a la vía al llano se convierte en un verdadero confinamiento de la población del llano en virtud de la dec… https://t.co/j1GTq3fPk1</t>
  </si>
  <si>
    <t>No hubiera ocurrido el golpe al Capitolio delos EEUU sin apoyo policial. Es el fascismo señores y señoras. https://t.co/QFf0AslWGL</t>
  </si>
  <si>
    <t>RT @petrogustavo: El ascenso del virus estaba pronosticado y el gobierno lo sabía. En lugar de fortalecer el sistema público de salud, cos…</t>
  </si>
  <si>
    <t>La barbarie esta aquí; es el efecto de la economía que genera la crisis climática. Da miedo el cambio y por eso n… https://t.co/pSldvogmOQ</t>
  </si>
  <si>
    <t>RT @tatianaroaa: Por qué ahora todos sorprendidos de la situación por el #COVID19? Somos el segundo país del continente con más casos de co…</t>
  </si>
  <si>
    <t>Los países más ricos tienen aseguradas hasta seis veces más dosis de vacunas que su propia población, mientras la m… https://t.co/wItQMxOyqq</t>
  </si>
  <si>
    <t>No puede un banquero confinar el llano a través de los peajes. Es como volver a la edad media. La sociedad llanera… https://t.co/n9wmRJbivp</t>
  </si>
  <si>
    <t>¿Y que ha dicho @Almagro_OEA2015 del intento de golpe de estado en EEUU.</t>
  </si>
  <si>
    <t>RT @GustavoBolivar: 18.221 infectados hoy (nuevo récord diario) Otros 364 muertos hoy para un total de 45.431. Sin embargo, miren de los 11…</t>
  </si>
  <si>
    <t>RT @susanamuhamad: Aquí respondemos a comentarios del video de ayer fijado. ¿Es solo responsable la Alcaldesa o también el gob. Nacional? ¿…</t>
  </si>
  <si>
    <t>Cuatro décadas de privatización de la salud, de debilitamiento de los sistemas públicos de prevención produce esto.… https://t.co/I4Wmmq7Ozk</t>
  </si>
  <si>
    <t>La vacuna debe ser llevada hasta donde esta la gente y no esperar que llegue la gente hasta donde estará la vacuna,… https://t.co/SUlKaycEju</t>
  </si>
  <si>
    <t>RT @FedemedicaC: Sociedades científicas y gremios de la salud del país proponen al gobierno nacional, gobernadores y alcaldes, estrategia n…</t>
  </si>
  <si>
    <t>El gran paro agrario de la India. https://t.co/EVZDEqvV9J</t>
  </si>
  <si>
    <t>Encontré en Twitter esta editorial del periódico @elcolombiano sobre el golpe de estado de Videla en Argentina. El… https://t.co/OFmZH2NQ3M</t>
  </si>
  <si>
    <t>Detrás del fascismo ario que recorre los EEUU y Europa está la misma fuerza que hizo ganar el NO contra la Paz en C… https://t.co/8f7n5mo7vB</t>
  </si>
  <si>
    <t>Crecen las fuerzas irracionales en la medida que se vuelve inminente un cambio real de los sistemas económicos del… https://t.co/tbmIq303a0</t>
  </si>
  <si>
    <t>En Colombia estas fuerzas actuaron por miedo a la Paz y el cambio social que la paz conllevaba. El miedo a la verda… https://t.co/nPtqpIq2Fi</t>
  </si>
  <si>
    <t>Las fuerzas sociales detrás de Trump y de Uribe tienen algunas diferencias: el color de su piel, la riqueza patrimo… https://t.co/rPrCaPkSRb</t>
  </si>
  <si>
    <t>Una de las últimas iniciativas del gobierno de Trump en la OEA es usarla para actividades ideológicas, que llaman a… https://t.co/1O26wPQ1ju</t>
  </si>
  <si>
    <t>Así va la vacunación en el mundo. China pasa a la delantera con casi 10 millones de personas vacunadas, pero es Isr… https://t.co/l9nobhiFQZ</t>
  </si>
  <si>
    <t>RT @eldiarioes: Arnold Schwarzenegger compara asalto al Capitolio con el nazismo en Alemania: "Trump es un líder fallido" https://t.co/blx4…</t>
  </si>
  <si>
    <t>Aparece un rastro del exterminio de la UP. El presidente Barco contrató a Eitan, agente de la Mossad, quien sugirió… https://t.co/LeGnZTHbZ7</t>
  </si>
  <si>
    <t>Nueva masacre en Antioquia. Asesinan tres personas en Betania. https://t.co/S2iD3E3ooR</t>
  </si>
  <si>
    <t>RT @petrogustavo: Así va la vacunación en el mundo. China pasa a la delantera con casi 10 millones de personas vacunadas, pero es Israel el…</t>
  </si>
  <si>
    <t>La llamada indisciplina no es más que la acción desesperada de la población por sobrevivir en un estado que no quis… https://t.co/4iRxWCAvtv</t>
  </si>
  <si>
    <t>Una Vacuna para el pueblo. Mientras naciones ricas con el 14% de la población, han monopolizado un 53% de las dosi… https://t.co/jFDVYu9wG5</t>
  </si>
  <si>
    <t>El esfuerzo de cuerta prensa y de muchos políticos por desenfocar la responsabilidad de la profunda expansión del v… https://t.co/aeJb1xYAKA</t>
  </si>
  <si>
    <t>La rosca solo estaba interesada en mantener los privilegios del establecimiento y no en cuidar la vida de la poblac… https://t.co/9hP98w6HQZ</t>
  </si>
  <si>
    <t>Claro que el virus pudo tener un menor peso, si la primera cuarentena hubiese sido seria, lo cual implicaba una fue… https://t.co/aGw2sdVV9I</t>
  </si>
  <si>
    <t>La prensa nacional ha dulcificado una política de salud desastrosa, ha ocultado la privatización de los servicios d… https://t.co/1ta2frRKn9</t>
  </si>
  <si>
    <t>La vacuna, que debió ser negociada a escala latinoamericana, como hizo Europa, implica un fuerte sistema preventivo… https://t.co/yZ7JuuZUE0</t>
  </si>
  <si>
    <t>Bogotá tuvo una experiencia de 12 años de construcción de un sistema preventivo de salud que llegó a tener 5.000 pr… https://t.co/IHn5kXC6tJ</t>
  </si>
  <si>
    <t>RT @UP_Colombia: Aquí estan los nombres de los integrantes de la Junta Directiva de @ECOPETROL_SA de 1986 quienes aprobaron el pago del pla…</t>
  </si>
  <si>
    <t>RT @petrogustavo: La llamada indisciplina no es más que la acción desesperada de la población por sobrevivir en un estado que no quiso cons…</t>
  </si>
  <si>
    <t>RT @petrogustavo: Una Vacuna para el pueblo. Mientras naciones ricas con el 14% de la población, han monopolizado un 53% de las dosis de v…</t>
  </si>
  <si>
    <t>RT @SpinozaNepantla: "Algún día, si se decide que estas historias se puedan contar se verá que el Estado ha estado involucrado en actos mil…</t>
  </si>
  <si>
    <t>De Israel vino Klein y Eitan, el uno para preparar al paramilitarismo y el segundo para iniciar el genocidio de la… https://t.co/1eDSoTnWQB</t>
  </si>
  <si>
    <t>RT @navarrowolff: En la segunda mitad de los 1980 hubo “pena de muerte institucional”para los vinculados o sospechosos de apoyo a la lucha…</t>
  </si>
  <si>
    <t>Ha muerto Jose Fernando Muñoz Flórez, ingeniero sanitario de la Universidad del Valle y militante del M19, QEPD https://t.co/Fi3scHZHaL</t>
  </si>
  <si>
    <t>Este es el fascismo que asciende en el mundo impulsado por el éxodo que de todo el mundo parte hacia los países ric… https://t.co/ntdioJNtPY</t>
  </si>
  <si>
    <t>La violencia con terror masivo golpea a los habitantes del centro de Barranquilla. https://t.co/qRObM7kVTf</t>
  </si>
  <si>
    <t>Este es el hospital de Kennedy hoy, el mismo que se inundó por un aguacero. No solo se vive esta situación por el v… https://t.co/4r8HHlKVgx</t>
  </si>
  <si>
    <t>El dueño del territorio debe ser la ciudadanía, ella es la que debe definir su destino. Pero la ciudadanía es conf… https://t.co/MuubhGT7Mp</t>
  </si>
  <si>
    <t>RT @UP_Colombia: El ex general Samudio le dice a la senadora @AidaAvellaE cobarde por "irse del Pais" , general, el exilio no es cobardía.…</t>
  </si>
  <si>
    <t>RT @AidaAvellaE: Me pregunto por que los medios y periodistas que atacan la investigación del periodista Donadío no publicaron en su época…</t>
  </si>
  <si>
    <t>Esta es la información de CNN sobre la vacunación en América Latina. Colombia se quedó atrás. Las centrales obrera… https://t.co/LXcm3SdNSq</t>
  </si>
  <si>
    <t>Ha muerto Alejandro Cardona, Pacho Paz , mi amigo y compañero del alma. Me acompañó en la cárcel, en las luchas d… https://t.co/EL9ZSCbBa7</t>
  </si>
  <si>
    <t>RT @petrogustavo: Ha muerto Alejandro Cardona, Pacho Paz , mi amigo y compañero del alma. Me acompañó en la cárcel, en las luchas del M19…</t>
  </si>
  <si>
    <t>Somos de una generación bisagra: hicimos las luchas del siglo XX y nos corresponde entregarle el testimonio a los j… https://t.co/mFmoPFGjTE</t>
  </si>
  <si>
    <t>RT @CarlosCarrilloA: Lo de @DanielSamperO es increíble, le encantan los troles pero si son de extremo centro. Esa cruzada por igualar a Pet…</t>
  </si>
  <si>
    <t>América Latina toda, debió negociar conjuntamente las vacunas tal como lo hizo la Union Europea; pero hoy, el probl… https://t.co/qkZHr0u8ws</t>
  </si>
  <si>
    <t>El nacionalismo de vacunas y su acaparamiento por parte de Norteamérica y la Union Europea, matarán centenares de m… https://t.co/g6Kian9LZa</t>
  </si>
  <si>
    <t>Hoy hay que implementar una fuerte presión social y humana sobre las farmacéuticas para rehacer los contratos. Vari… https://t.co/ytqfmYMia2</t>
  </si>
  <si>
    <t>RT @SenorCaicedo: En total desacuerdo con @DanielSamperO, promoviendo a quien llama violador al que se le da la gana, a sicarios morales qu…</t>
  </si>
  <si>
    <t>RT @petrogustavo: América Latina toda, debió negociar conjuntamente las vacunas tal como lo hizo la Union Europea; pero hoy, el problema ce…</t>
  </si>
  <si>
    <t>RT @jdelacueva: Dado que se cumplen los 20 años de la Wikipedia, creo que es relevante recordar que en sus inicios la Wikipedia corrió el r…</t>
  </si>
  <si>
    <t>Bolivia firma contrato, y no convenio, para empezar a vacunar su población https://t.co/uXrd7nkrUU</t>
  </si>
  <si>
    <t>Paul Mason, analiza como el fascismo ha dejado de ser respuesta de clases medias y empresarios a las revoluciones o… https://t.co/c1UnJGk62u</t>
  </si>
  <si>
    <t>Astra Zeneca se comprometió con la Universidad de Oxford, quien es la que hace la investigación de la vacuna con fo… https://t.co/5o0Dvb6zIq</t>
  </si>
  <si>
    <t>Invito a las organizaciones sociales de Colombia y a los profesores y decanos de facultades de medicina a dirigirse… https://t.co/3Jl0rE8ey8</t>
  </si>
  <si>
    <t>RT @ParraLuisE: Acaba de terminar la audiencia del art. 27/L. 472 de la Acción Popular que instauré contra Néstor Humberto Martínez por su…</t>
  </si>
  <si>
    <t>RT @WOLA_org: .@StateDept named #Cuba a "terrorism sponsor" after hosting a ELN delegation. "If a country risks being placed on a terroris…</t>
  </si>
  <si>
    <t>RT @petrogustavo: Astra Zeneca se comprometió con la Universidad de Oxford, quien es la que hace la investigación de la vacuna con fondos p…</t>
  </si>
  <si>
    <t>RT @nicolaspetroB: Barranquilla y la crisis financiera bajo la era Char. En el reciente informe del Departamento Nacional de Planeación, B…</t>
  </si>
  <si>
    <t>10 países concentran el 95% de las vacunas contra el covid Se desnuda la realidad del poder mundial. Para ese pode… https://t.co/5IZI0W7AAz</t>
  </si>
  <si>
    <t>Como anunciamos en el 2018, si no hay un plan de reconversión laboral de los trabajadores mineros del carbón del Ce… https://t.co/PuD4OHIeBm</t>
  </si>
  <si>
    <t>La tormenta Filomena en España, que la ha convertido en una especie de Siberia, es producto del calentamiento globa… https://t.co/UBrWV5roL0</t>
  </si>
  <si>
    <t>Los modelos de los científicos sobre el cambio climático muestran que el occidente de Europa llegaría a tener el cl… https://t.co/6sHI3D2b5b</t>
  </si>
  <si>
    <t>La corriente del golfo es sustancial para la vida de miles de especies marinas. Si desacelera es uno de los grandes… https://t.co/oPbUWRpoKW</t>
  </si>
  <si>
    <t>No esta demostrado científicamente que pueda existir inmunidad de rebaño, es decir que la mayor parte de la poblaci… https://t.co/YitZyI8QwF</t>
  </si>
  <si>
    <t>RT @Eclides3: Señor Fiscal Francisco Barbosa, esto no amerita iniciar un proceso? https://t.co/XJYRPwvgPc</t>
  </si>
  <si>
    <t>La procuraduria sigue incumpliendo la Convención Americana. Un órgano administrativo no le puede quitar derechos po… https://t.co/aySGyllJDf</t>
  </si>
  <si>
    <t>Más difícil que conseguir la vacuna será aplicarla a millones de personas. Si el gobierno delega en las EPS, fracas… https://t.co/Kq6hjRdjv3</t>
  </si>
  <si>
    <t>AstraZeneca ha hecho contratos con otros países latinoamericanos para producir la vacuna en laboratorios nacionales… https://t.co/eJRvDqsl6I</t>
  </si>
  <si>
    <t>RT @petrogustavo: Más difícil que conseguir la vacuna será aplicarla a millones de personas. Si el gobierno delega en las EPS, fracasará.…</t>
  </si>
  <si>
    <t>Ha colapsado el sistema de salud de Bogotá. Falta de UCIs que no se compraron y sobretodo inversión en troncales de… https://t.co/Y07somSU4J</t>
  </si>
  <si>
    <t>Les dejo esta columna sobre la experiencia en la manipulación de la vacuna Pfizer. Las vacunas se pierden por falt… https://t.co/JcAU3Ku84L</t>
  </si>
  <si>
    <t>RT @petrogustavo: Ha colapsado el sistema de salud de Bogotá. Falta de UCIs que no se compraron y sobretodo inversión en troncales de trans…</t>
  </si>
  <si>
    <t>Respondo al presidente Duque: La solidaridad de la sociedad es clave para lograr la vacunación masiva. Le propong… https://t.co/KR2rDqL1lz</t>
  </si>
  <si>
    <t>Un funcionario del gobierno estableciendo la pena de muerte. https://t.co/uXazwswnP6</t>
  </si>
  <si>
    <t>El 95% de las vacunas producidas y por producir este año ha quedado en manos de los10 países más ricos de la tierra… https://t.co/00Hmqjcxgr</t>
  </si>
  <si>
    <t>No puede haber silencio en este momento ante una aberración que no se veía desde los tiempos de los Nazis. Las co… https://t.co/XzHJSji6uQ</t>
  </si>
  <si>
    <t>RT @petrogustavo: Respondo al presidente Duque: La solidaridad de la sociedad es clave para lograr la vacunación masiva. Le propongo: 1.…</t>
  </si>
  <si>
    <t>El gobierno de Colombia le pidió a Cuba ser sede de los diálogos de paz y Cuba accedió; luego el otro gobierno de C… https://t.co/8L2EmlpEgS</t>
  </si>
  <si>
    <t>RT @merv59: Hoy recuerdo este trino como respuesta a uno de Gustavo Petro cuando anunciaba la crisis de salud en Bogotà. Tenía toda la razó…</t>
  </si>
  <si>
    <t>Hoy por hoy el acaparamiento de las vacunas hecho por EEUU, la Unión Europea y Canadá es el peor enemigo de la huma… https://t.co/fbguEIbFm2</t>
  </si>
  <si>
    <t>RT @anateresabernal: Atención📢)) Trasladan 4 pacientes de Bogotá a la red hospitalaria de Barranquilla, luego ¿No se supone que no hay cola…</t>
  </si>
  <si>
    <t>RT @petrogustavo: Hoy por hoy el acaparamiento de las vacunas hecho por EEUU, la Unión Europea y Canadá es el peor enemigo de la humanidad.…</t>
  </si>
  <si>
    <t>RT @petrogustavo: El 95% de las vacunas producidas y por producir este año ha quedado en manos de los10 países más ricos de la tierra. Est…</t>
  </si>
  <si>
    <t>Uribe sigue la posición de Trump frente al virus. El negacionismo, dejar que la población se contagie. Por eso esta… https://t.co/rXTkU1FoGJ</t>
  </si>
  <si>
    <t>No existe el petrismo, existe la Colombia Humana y la Colombia Humana en sus páginas o redes sociales no ataca ni a… https://t.co/QvbEuq0iZn</t>
  </si>
  <si>
    <t>Pfizer ha hecho secretos todos sus contratos en el mundo. https://t.co/xKSqDys4PJ</t>
  </si>
  <si>
    <t>RT @petrogustavo: El gobierno de Colombia le pidió a Cuba ser sede de los diálogos de paz y Cuba accedió; luego el otro gobierno de Colombi…</t>
  </si>
  <si>
    <t>Y que se habrá hecho este hombre que me insultaba porque hice públicos los modelos estadísticos que mostraban que C… https://t.co/KZWAexquxC</t>
  </si>
  <si>
    <t>RT @Pelicolombianas: @JulianG40747584 @DanielSamperO https://t.co/0F3drkH5w6</t>
  </si>
  <si>
    <t>RT @petrogustavo: Uribe sigue la posición de Trump frente al virus. El negacionismo, dejar que la población se contagie. Por eso estamos en…</t>
  </si>
  <si>
    <t>Muere el profesor Mauricio Lopez en Bogotá esperando una UCI. https://t.co/4XfPYK62MT</t>
  </si>
  <si>
    <t>Con mucho respeto Maria Jimena , si la alcaldesa habla de vacunar 10.000 personas diarias, eso solo permitiría inmu… https://t.co/Kf4LKb2gYF</t>
  </si>
  <si>
    <t>Cada vez más se vuelve imprescindible restablecer los equipos territoriales de salud que ya no deben ser mil como t… https://t.co/XWImHH85XO</t>
  </si>
  <si>
    <t>Muy bien por el alcalde de Villavicencio. Propongo la confirmación del comité cívico del llano para luchar contra l… https://t.co/rSjpHCtTXm</t>
  </si>
  <si>
    <t>Nos muestra Carlos que lo que importa para censurar, ( o matar?), no es que se use el fusil, que yo no los uso y Má… https://t.co/bigcYsqiGJ</t>
  </si>
  <si>
    <t>Fredman Herazo era gran amigo de la Colombia Humana, lamentamos el que lo hayan asesinado en Córdoba. Muere un líd… https://t.co/sQxLOGeBkS</t>
  </si>
  <si>
    <t>Pfizer ha incumplido los pedidos de vacuna a la Union Europea. Imaginen lo que pasa con Colombia Propuse hoy en el… https://t.co/TLyNZVLmT8</t>
  </si>
  <si>
    <t>RT @ColombiaHumana_: Desde @ColombiaHumana_ enviamos un mensaje de solidaridad al joven ambientalista @franciscoactiv2, quien en las última…</t>
  </si>
  <si>
    <t>RT @petrogustavo: Pfizer ha incumplido los pedidos de vacuna a la Union Europea. Imaginen lo que pasa con Colombia Propuse hoy en el Conse…</t>
  </si>
  <si>
    <t>Asesinada Maria Camila Nuñez, en Córdoba. La sangre joven y femenina derramada por un poder vampiro alimentado de l… https://t.co/IJYbIkdlyP</t>
  </si>
  <si>
    <t>Santa Marta recibe pacientes que necesitan UCI de Bogotá. Siempre pensé que sería Bogotá la ciudad que recibiría p… https://t.co/8IKceYdCNR</t>
  </si>
  <si>
    <t>Revista Semana esta repitiendo el modelo de las armas de destrucción masiva de Irak: no existían, pero sirvieron de… https://t.co/Pc72K3vjUR</t>
  </si>
  <si>
    <t>Y aun hay 38 puntos de conección a redes de oxígeno en los pisos del San Juan de Dios que adecuamos. Pero lo que quieren es demolerlo.</t>
  </si>
  <si>
    <t>RT @rcnradio: Venezuela dona cilindros de oxígeno a Brasil para pacientes con covid-19 https://t.co/CnKksHIgOa</t>
  </si>
  <si>
    <t>RT @bascobscd: Otro caso de : "el tiempo siempre le da la razón a Petro". https://t.co/8FeYyWgdDE</t>
  </si>
  <si>
    <t>Aun hay 38 puntos de conexión a redes de oxígeno en los pisos que restauramos del San Juan de Dios, sin estrenar.… https://t.co/VLnXZzbyAb</t>
  </si>
  <si>
    <t>RT @MariaMatusv: No hay UCI para nadie. Ni para ricos, ni para pobres. No hay, así de simple. La situación se salió de control. Qué angusti…</t>
  </si>
  <si>
    <t>India se queda con las vacunas de Oxford/AstraZeneca que iban hacia Brasil en una fábrica de producción en ese país… https://t.co/hitaeE24qJ</t>
  </si>
  <si>
    <t>Se acercan las elecciones en Ecuador. Andrés Arauz, candidato progresista, encabeza las encuestas He hablado con é… https://t.co/xBGvToRhYK</t>
  </si>
  <si>
    <t>Colombia producía hace unos años en el Instituto Nacional de Salud decenas de millones de vacunas Un hombre destru… https://t.co/tUyHCo23tZ</t>
  </si>
  <si>
    <t>RT @EjercitoSt: Soy de izquierda y lo digo con orgullo, mi candidato es 100% Gustavo Petro, puede llamarme Petrista, Mamerto, Izquierdoso,…</t>
  </si>
  <si>
    <t>RT @susanamuhamad: La bancada de Colombia Humana-UP en @ConcejoDeBogota como resultado del debate de control político realizado hoy frente…</t>
  </si>
  <si>
    <t>RT @LauraDanielaCM: ¿Por qué se ofenden cuando Petro compara a Uribe con Trump?¿Luego no le estaban haciendo campaña a ese tirano?</t>
  </si>
  <si>
    <t>Conocí personalmente a Manuel Gustavo Chacón, el poeta obrero, en Barrancabermeja, y conocí a sus asesinos cuando m… https://t.co/VNrj0Y6cjA</t>
  </si>
  <si>
    <t>RT @FCBosque: Fallecimientos COVID-19 Colombia: 47.891 Venezuela: 1.095 La REALIDAD.</t>
  </si>
  <si>
    <t>RT @Francis80085282: Hoy el San Juan de Dios mira de reojo a Claudia y deja escapar una sonrisa socarrona. " El pez muere por la boca" Dec…</t>
  </si>
  <si>
    <t>RT @GustavoBolivar: -Cero vacunas -Cero UCIs disponibles -Cero renta básica -140 mil empresas quebradas -48 mil muertos -Congreso 4 mes…</t>
  </si>
  <si>
    <t>RT @Reuters: Reeling again from COVID-19, Amazonas gets respirators, oxygen from Brazil military and Venezuela https://t.co/0tz2i4MC5P http…</t>
  </si>
  <si>
    <t>RT @sergio_serrano_: Entonces Bogotá cuidadora se quedó sin unidades de cuidados intensivos</t>
  </si>
  <si>
    <t>Wasserman dice algo que debería llamar a una profunda reflexión en Colombia. Concebimos la seguridad como una segu… https://t.co/rCa7HlO7Pt</t>
  </si>
  <si>
    <t>RT @petrogustavo: Con mucho respeto Maria Jimena , si la alcaldesa habla de vacunar 10.000 personas diarias, eso solo permitiría inmunizar…</t>
  </si>
  <si>
    <t>RT @petrogustavo: Aun hay 38 puntos de conexión a redes de oxígeno en los pisos que restauramos del San Juan de Dios, sin estrenar. Pero p…</t>
  </si>
  <si>
    <t>RT @petrogustavo: Colombia producía hace unos años en el Instituto Nacional de Salud decenas de millones de vacunas Un hombre destruyó esa…</t>
  </si>
  <si>
    <t>RT @emmalouisejay: Francisco Javier Vera // Greta Thunberg Francisco (Colombian) has been threatened to death for trying to stand up for n…</t>
  </si>
  <si>
    <t>La cuenta para pagar la vacuna está en manos de un grupo político, el de Miguel Uribe Turbay, que ya se está comien… https://t.co/iyDaLfuO8H</t>
  </si>
  <si>
    <t>Barco era un hombre enfermo que gobernó sin capacidad mental. Tenía equipos que el partido liberal puso para gobern… https://t.co/SKr4LPbeTY</t>
  </si>
  <si>
    <t>El éxodo centroamericano hacia los EEUU De una región sin agua hacia los grandes ríos del norte, de una región de… https://t.co/ioRTJ4iD2t</t>
  </si>
  <si>
    <t>RT @petrogustavo: La cuenta para pagar la vacuna está en manos de un grupo político, el de Miguel Uribe Turbay, que ya se está comiendo el…</t>
  </si>
  <si>
    <t>RT @Opinionoticias: LEER Y RETUIT No hay vacunas. Los de la política de la muerte no están apostando a una inmunidad por vacunación sino a…</t>
  </si>
  <si>
    <t>Por remodelación de su fábrica en Bélgica, Pfizer reducirá la entrega de vacunas pactada en todo el mundo, durante… https://t.co/hQJIwVksze</t>
  </si>
  <si>
    <t>RT @alfreserramanci: El mundo iba a cambiar con la llegada del Covid... Y bueno... 10 países concentran el 95% de las vacunas (según datos…</t>
  </si>
  <si>
    <t>RT @susanamuhamad: #UrgeUnNuevoRumbo para salvar vidas y recuperar a Bogotá desde lo esencial, LA SALUD! La bancada de @ColombiaHumana_ @U…</t>
  </si>
  <si>
    <t>RT @G_Pisarello: Hoy, hace 60 años, era asesinado el líder republicano congolés, Patrice Lumumba. Detrás del crímen: la monarquía colonial…</t>
  </si>
  <si>
    <t>¿Por qué ascienden de manera tan estrepitosa los peajes? Porque el tráfico disminuyó por la pandemia y la crisis,… https://t.co/04cy43lIpt</t>
  </si>
  <si>
    <t>RT @bogotamuyfirme: Aquí tienen la prueba reina: No sólo @ClaudiaLopez había tomado vacaciones en el momento más difícil del segundo pico,…</t>
  </si>
  <si>
    <t>Y continúan con la suciedad, manipulando hasta la niñez. No solo amenazan sino que manipulan https://t.co/Y2ALbkxhsA</t>
  </si>
  <si>
    <t>La violencia contra el éxodo. Como si con los golpes se pudiera detener el deseo de vivir. Ha sucedido en Guatemal… https://t.co/hmyLObmWcA</t>
  </si>
  <si>
    <t>El ministro de salud es la cuota de Vargas Lleras en el gobierno. Vargas Lleras es corresponsable del desastre en e… https://t.co/8POyVLLgsr</t>
  </si>
  <si>
    <t>Nueva masacre, esta vez en Popayán,Cauca. Tres jóvenes que le quitan a nuestra Patria. https://t.co/PMAk69r2ED</t>
  </si>
  <si>
    <t>Las vacunas siendo una esperanza, se han convertido en otro ladrillo de la desigualdad. Entre los que tienen y los… https://t.co/PCPMdcwHLr</t>
  </si>
  <si>
    <t>RT @GustavoBolivar: Si para algo ha servido el COVID es para desnudar la ineficacia de los sistemas de salud privatizados y para acabar con…</t>
  </si>
  <si>
    <t>En Corea del Sur se sacrifican 19 millones de aves en granjas por propagación de nueva cepa del virus aviar más con… https://t.co/SycXhyOs4Z</t>
  </si>
  <si>
    <t>La forma capitalista de producir carne disminuyendo al máximo su valor a través de grandes aglomeraciones estaciona… https://t.co/IgfaYtnHVN</t>
  </si>
  <si>
    <t>RT @petrogustavo: Las vacunas siendo una esperanza, se han convertido en otro ladrillo de la desigualdad. Entre los que tienen y los que no…</t>
  </si>
  <si>
    <t>No dispararon porque quemaron CAIs sino que primero disparó la policía y después quemaron los CAIs , evidencia audi… https://t.co/6CVtpAOg65</t>
  </si>
  <si>
    <t>No hay fuerza política en la historia de Colombia, que haya llevado adelante con más convicción la igualdad y el po… https://t.co/RyCIpyNtiB</t>
  </si>
  <si>
    <t>Sólo 25 vacunas de 39.000.000 que ya se han aplicado, han sido usadas en países pobres. Una catástrofe moral de la… https://t.co/koBgrIesjG</t>
  </si>
  <si>
    <t>Toda mi solidaridad al concejal de Medellín: Alex Flórez; amenazan a su mamá por su posición en contra de la políti… https://t.co/Sh5HlYUK7s</t>
  </si>
  <si>
    <t>RT @petrogustavo: No hay fuerza política en la historia de Colombia, que haya llevado adelante con más convicción la igualdad y el poder pa…</t>
  </si>
  <si>
    <t>RT @elsemblante: ¡144 camas de cuidados intensivos! Adicionales pudo tener hoy Bogotá. Pero primero muertos que con un legado de Petro. Pas…</t>
  </si>
  <si>
    <t>RT @GustavoBolivar: Miles me proponen traicionar a Petro y lanzarme. 1-No está en mi ADN la deslealtad. 2-Petro es el más preparado. 3-Mis…</t>
  </si>
  <si>
    <t>Manaos, Brasil, demuestra que no existe "inmunidad de rebaño" con el covid 19. La población se contagió en masa y m… https://t.co/dXRAi804J6</t>
  </si>
  <si>
    <t>Comunicado de liderezas y bancadas femeninas de la Colombia Humana. Ante la carta pública enviada por Angela Maria… https://t.co/6c5yiaj5rR</t>
  </si>
  <si>
    <t>Comunicado de lideresas y bancadas femeninas de la Colombia Humana. Ante la carta pública de Angela Maria Robledo… https://t.co/lViU0nTUnJ</t>
  </si>
  <si>
    <t>RT @anateresabernal: Colombia Humana está construyendo una agenda permanente desde y para las mujeres en una visión de país donde quepamos…</t>
  </si>
  <si>
    <t>La fuente principal de contagio es en el sitio de trabajo, pero los políticos dominantes buscan desplazar la respon… https://t.co/bmw97VyuYa</t>
  </si>
  <si>
    <t>RT @susanamuhamad: El Progresismo exige el Ecologismo y al Feminismo como fuerza de cambio del Siglo XXI, seguimos comprometidas con esto,…</t>
  </si>
  <si>
    <t>RT @vivianavivacuba: Profesionales graduados en #Cuba rechazan difamaciones de la @RevistaSemana @TheIntCom @EmbacubaCol @Cubanamera_ @cuba…</t>
  </si>
  <si>
    <t>RT @JusticiaSanJuan: @petrogustavo El Hospital San Juan Dios Bogotá, fue construido por firma Cuéllar Serrano Gómez, mismos constructores d…</t>
  </si>
  <si>
    <t>RT @CMBogotaDC: Más de 230 organizaciones y redes sociales, políticas y académicas, 600 personalidades y centenares de ciudadanos exigimos…</t>
  </si>
  <si>
    <t>Estuve en El Salado hablando con sus cantores para empezar mi campaña presidencial en el 2018. Ganamos en el corre… https://t.co/ZFNnp3p8Y0</t>
  </si>
  <si>
    <t>Es la actitud política alternativa del campesinado del Salado a diferencia de la postura conservadora de la clase p… https://t.co/N69FAsCe9R</t>
  </si>
  <si>
    <t>El Salado es Colombia Humana, la paramilitarización de los Montes de Maria ha sido denunciada desde hace meses sin… https://t.co/vl0xYFJGWS</t>
  </si>
  <si>
    <t>Las Aguilas negras es la razón social de funcionarios públicos y políticos, para amenazar masivamente las regiones… https://t.co/yhOmgwpIPc</t>
  </si>
  <si>
    <t>RT @PizarroMariaJo: #Comunucado a la opinión pública. La @ColombiaHumana_ es un proyecto incluyente y feminista https://t.co/5r6QjgYYK6</t>
  </si>
  <si>
    <t>RT @cielo_rusinque: Comparto la carta que firmamos mujeres de @ColombiaHumana_, a propósito de la partida de @angelamrobledo todavía pueden…</t>
  </si>
  <si>
    <t>RT @Betocoralg: El señor @IvanDuque si se reunió con funcionarios de Trump, el mismo día en el que la mano derecha de Uribe en 🇺🇸,Fabio And…</t>
  </si>
  <si>
    <t>RT @susanamuhamad: Bogotá colapsó, estamos en crisis. Es momento de Cambiar El rumbo para salvar vidas Unámonos para encontrar salidas. Es…</t>
  </si>
  <si>
    <t>RT @marthaperaltae: Como mujer, líder indígena y Presidenta del @MovimientoMAIS, firmo esta carta. La coalición Mais/Colombia Humana/UP es…</t>
  </si>
  <si>
    <t>Joseba Grajales director del grupo Sanitas, una EPS en Colombia, concuerda con el planteamiento de Colombia Humana.… https://t.co/A2zEk7fq63</t>
  </si>
  <si>
    <t>RT @MColombiaHumana: Las @MColombiaHumana respetamos la decisión de @angelamrobledo de renunciar a ser parte del movimiento, para habilita…</t>
  </si>
  <si>
    <t>¿Es cierto que los demás partidos hacen mejor la tarea de inclusión de la mujer que Colombia humana? Tres mujeres… https://t.co/Jc9WTe3sya</t>
  </si>
  <si>
    <t>Mientras Rafael Pardo hacia el proceso de diálogo y paz con el M19, Maza Marquez al frente del DAS, asesinaba a sus… https://t.co/PVBYzYft5w</t>
  </si>
  <si>
    <t>Solicito el máximo respeto de la militancia de Colombia Humana a Angela Maria Robledo. Respeto para quien se vaya,… https://t.co/hPFtd6Ei4V</t>
  </si>
  <si>
    <t>Si cada progresista logra ubicar diez perfiles de personas reales sumidas en las teorías de conspiración y deshacer… https://t.co/EWWGpLNoCB</t>
  </si>
  <si>
    <t>El argumento científico, la razón, son más poderosas que el insulto o la grosería en las redes, lo cual significa e… https://t.co/cmgpandxeH</t>
  </si>
  <si>
    <t>RT @CortadaFranc: @LauraFreixas @LaVanguardia Hasta ahora, todas las dosis de Moderna y el 96 % de Pfizer/BioNTech han sido adquiridas por…</t>
  </si>
  <si>
    <t>Esta es copia de un contrato por fin publicado por presión de fuerzas políticas progresistas, entre la Union Europe… https://t.co/FDWmWTqJMv</t>
  </si>
  <si>
    <t>Como pueden ver en el contrato se prohibe la entrega de las vacunas que reciban los países de la Union Europea a pa… https://t.co/SZ5oTbN7uT</t>
  </si>
  <si>
    <t>Increíble el nivel de sectarismo del gobierno que raya con lo criminal. Quitarle la escolta a dirigentes efectivame… https://t.co/BeVMNwszIB</t>
  </si>
  <si>
    <t>RT @Betocoralg: GRAVE: Después de la masacre de 23 personas en La modelo, el abogado @AUGUSTOOCAMPO denunció ante la corte a Margarita Cabe…</t>
  </si>
  <si>
    <t>¿Y cuales son las dos vertientes del trumpismo? El trompismo es extrema derecha y punto. Solo fue derrotado por la… https://t.co/UxhiZojT5N</t>
  </si>
  <si>
    <t>ATENCION: Esta reforma tiene un objetivo: ligar las grandes maquinarias con sus dineros sucios en elección del Con… https://t.co/ETjNWsVDYA</t>
  </si>
  <si>
    <t>Este será el principal cambio que podrá hacer Biden y en esto consiste el gran acuerdo con el progresismo norteamer… https://t.co/McsPZkl18z</t>
  </si>
  <si>
    <t>En este cuadro pueden dimensionar la enorme desigualdad que habrá en la inmunización de las población del mundo. C… https://t.co/kH05mqUJ3Y</t>
  </si>
  <si>
    <t>La propuesta progresista de Biden en Economía: Subir impuestos a los ricos. Elevar en 100% el salario mínimo Inver… https://t.co/QEvHtFdJs8</t>
  </si>
  <si>
    <t>¿Ven diferencias del programa de Biden con el programa económico que propuso Colombia Humana en 2018? Es de la mi… https://t.co/RDzJbJy9PH</t>
  </si>
  <si>
    <t>RT @petrogustavo: La propuesta progresista de Biden en Economía: Subir impuestos a los ricos. Elevar en 100% el salario mínimo Invertir en…</t>
  </si>
  <si>
    <t>Avanza la única vacuna latinoamericana contra el covid. La cancillería decidió realizar rupturas diplomáticas con… https://t.co/APiPnGDcb9</t>
  </si>
  <si>
    <t>RT @anateresabernal: Se ha desatado una crisis de una magnitud incontenible, pero que era totalmente previsible, porque desde el principio…</t>
  </si>
  <si>
    <t>RT @GustavoBolivar: #arturoCalleEs Un empresario que no le tiene miedo al cambio. Miren lo que respondió a @VickyDavilaH cuando ella le pr…</t>
  </si>
  <si>
    <t>Desde antes de las elecciones del 2018 propusimos un acuerdo programatico y una consulta sin vetos, cuando nos supe… https://t.co/cK2wFowBX8</t>
  </si>
  <si>
    <t>RT @NoticiasCaracol: “Nunca habíamos visto tantos muertos en un día”: médico de una UCI en Bogotá https://t.co/1CwJUO62Ai</t>
  </si>
  <si>
    <t>Cuando se pregunte porque Colombia es el segundo país de toda la América Latina en contagios de Covid, piense en qu… https://t.co/XlTzMdMPAj</t>
  </si>
  <si>
    <t>Un sistema de salud articulado a partir y como prioridad, de la atención primaria y la prevención, organizado con p… https://t.co/lSyOIb5BBX</t>
  </si>
  <si>
    <t>RT @petrogustavo: Cuando se pregunte porque Colombia es el segundo país de toda la América Latina en contagios de Covid, piense en que esto…</t>
  </si>
  <si>
    <t>RT @charry_manager: A @Avianca este tipo @IvanDuque le iba a regalar 340millones USD, si se compraran vacunas al precio más alto 20USD con…</t>
  </si>
  <si>
    <t>Ayuda para Luis Fernando Arias, consejero mayor de la ONIC, quien requiere sangre en una clínica de Barranquilla. https://t.co/DRTJ9W3nyM</t>
  </si>
  <si>
    <t>Se mantiene en el primer lugar y lejano, el candidato presidencial del progresismo en el Ecuador. En febrero son la… https://t.co/1VygxB4eOR</t>
  </si>
  <si>
    <t>RT @YoAlejoV: Muchos aplaudieron a Duque y otros pidieron que Fernando Ruiz fuera presidente porque “consiguieron millones de vacunas”. Me…</t>
  </si>
  <si>
    <t>RT @MoisesAlvaro_: “Mi biografía politica es la de la lucha a riesgo de morir contra la corrupción”, Petro. ¿Qué nos diferencia a progresi…</t>
  </si>
  <si>
    <t>RT @FelicianoValen: El mismo día que Alex Char lanza su candidatura presidencial conocemos otro escándalo de corrupción inmobiliario en La…</t>
  </si>
  <si>
    <t>RT @Agencia_API: #Multimedia 📽️🇵🇦 Panamá se suma a los países de Latinoamérica que comenzaron la vacunación contra el #COVID19 👉https://t.c…</t>
  </si>
  <si>
    <t>El gobierno Duque/ Uribe le entrega la cuenta publica de compra de vacunas al uribismo turbayista, y ahora ponen en… https://t.co/Ylsmuzj2dS</t>
  </si>
  <si>
    <t>RT @ismene2: Ve, hace 130 años nació el hombre que dijo: "La indiferencia es abulia, parasitismo y cobardía, la indiferencia actúa poderos…</t>
  </si>
  <si>
    <t>RT @CIDH: La #CIDH reitera que la prohibición y la criminalización absoluta de la interrupción del embarazo fomentan la práctica de abortos…</t>
  </si>
  <si>
    <t>Algunas vacunas del mecanismo Covax, donaciones de vacunas a un fondo común, llegarían a Colombia, pero en el mes d… https://t.co/2fbnLROQzo</t>
  </si>
  <si>
    <t>Esta debe ser la gran conspiración que denunció Semana, seguro Rusia y Cuba estaban espiando la producción de la va… https://t.co/cyJQrPi8QL</t>
  </si>
  <si>
    <t>América Latina podría lograr inmunización de su población, con un acuerdo de producción de la vacuna cubana entre l… https://t.co/WQ2nLNZu8b</t>
  </si>
  <si>
    <t>Una de las peores decisiones contra la seguridad vital del pueblo colombiano la tomó Andrés Pastrana al ordenar la… https://t.co/rhSC8BFzi0</t>
  </si>
  <si>
    <t>RT @wilsonariasc: El delfín que se anuncia como cabeza de lista al Senado del Centro Democrático, a través de su grupo político, canaliza e…</t>
  </si>
  <si>
    <t>Algunos medios en la tesis que destruir la democracia ahorra dinero. Señores entregar la presidencia de la Repúbli… https://t.co/pic31FYSs9</t>
  </si>
  <si>
    <t>RT @GustavoBolivar: En los 3 meses q tendremos de retraso en la vacunación, respecto de los 64 países q ya la iniciaron, morirán 30.000 col…</t>
  </si>
  <si>
    <t>La política con EEUU debe integrar la implementación del acuerdo de paz con la lucha contra el narco y la lucha con… https://t.co/ulclzOJmQY</t>
  </si>
  <si>
    <t>Comenzó la vacunación en Brasil, Ecuador y Panamá, crece EN Mexico, Argentina, Costa Rica y Chile. Colombia aun na… https://t.co/atW5Sg7eup</t>
  </si>
  <si>
    <t>Parte de mi entrevista de una hora a la revista semana sobre política económica para ya y en el largo plazo. https://t.co/AEKwg9TU9a</t>
  </si>
  <si>
    <t>RT @Margaritarosadf: 🔴 Me gustaron mucho las respuestas de @GustavoBolivar a @VickyDavilaH en esta entrevista. ¿Quién le hizo daño? Gustav…</t>
  </si>
  <si>
    <t>RT @tobonsanin: Colombia empezará la vacunación con las vacunas regaladas por el COVAX y no con las que prometió Duque en diciembre. Al Gob…</t>
  </si>
  <si>
    <t>Colombia entre los países que menos preparados estaban en el mundo para resistir una epidemia. ¿La razón? Su sist… https://t.co/DMhJV6hPGB</t>
  </si>
  <si>
    <t>Señor Pacho Santos Colombia ha emitido 23 billones de pesos el año pasado, y el gobierno al que nos representa mil… https://t.co/eecNVxFWuy</t>
  </si>
  <si>
    <t>Se le olvido a Enrique que hay una teoría económica, llamada keynesiana, que demostró que en momentos de recesión,… https://t.co/2cAeP8vQVP</t>
  </si>
  <si>
    <t>RT @JaimeDelTodoES1: Ningún político en Colombia le da a los tobillos y no lo quieren aceptar. Politiqueros lo atacan y el pueblo sabiament…</t>
  </si>
  <si>
    <t>RT @PROMEDICOS: Digamos que por sus hechos los conoceréis. Esto ea una amenaza de la alcaldía de Bogotá. Que es lo que tanto temen que se c…</t>
  </si>
  <si>
    <t>RT @DanielRMed: Bancos centrales independientes del interés general y desligados de la responsabilidad del Estado han contribuido a aumenta…</t>
  </si>
  <si>
    <t>RT @wilsonariasc: La diferencia que encuentro con la propuesta de @petrogustavo que coincide con la ponencia que hice para la ley de presup…</t>
  </si>
  <si>
    <t>RT @petrogustavo: Parte de mi entrevista de una hora a la revista semana sobre política económica para ya y en el largo plazo. https://t.c…</t>
  </si>
  <si>
    <t>Para su análisis esta es parte de mi propuesta económica para un gobierno progresista en Colombia. https://t.co/9ELpUB4zl7</t>
  </si>
  <si>
    <t>La patria no es solo la tierra que llega hasta la frontera, sino la gente que habita esa tierra. Cuando la gente c… https://t.co/eoW0gYPfXm</t>
  </si>
  <si>
    <t>La masacre de Buga. La masacre de los jóvenes. Hay quienes creen que un país así es normal, que por algo será, que… https://t.co/BbXUAZ7mUL</t>
  </si>
  <si>
    <t>RT @AlexKleinO: Se le vienen encima a @petrogustavo por decir q el Estado debería emitir dinero para el ciudadano del común, pero se quedan…</t>
  </si>
  <si>
    <t>Les encanta a nuestros economistas del establecimiento que se emita para Luis Carlos Sarmiento pero no para las fam… https://t.co/LEtZf2iBBp</t>
  </si>
  <si>
    <t>Los argumentos que leo aquí contra la posibilidad de un préstamo del banco de la República al gobierno, se mueven e… https://t.co/k2nczrELJy</t>
  </si>
  <si>
    <t>El dinero no genera riqueza, la riqueza está en el trabajo, la emisión de dinero tiene sentido si es para aumentar… https://t.co/ZwiRijA29A</t>
  </si>
  <si>
    <t>Nuestra propuesta es que esa emisión, orgánica, no vaya a los bancos privados, sino directamente a las familias en… https://t.co/kOWh0UWVeM</t>
  </si>
  <si>
    <t>El señoreaje de la creación de dinero es clave para construir desigualdad social o igualdad. Si el señoreaje lo ha… https://t.co/HAe1ODkSNC</t>
  </si>
  <si>
    <t>Por emitir billones de euros y dolares y entregarlos a la banca privada, en EEUU y en la Unión Europea los dineros… https://t.co/0jFh4uLeQP</t>
  </si>
  <si>
    <t>RT @AlexFlorezH: El “dream team” que Alvaro Uribe armó para liderar el intento de revocatoria en Medellín: Alfredo Ramos el hijo del para p…</t>
  </si>
  <si>
    <t>El sistema de salud de Bogotá, a partir de Peñalosa, es el mismo de la ciudad de Madrid, España, incluso con constr… https://t.co/pnVjDV5cgh</t>
  </si>
  <si>
    <t>Esto jamás debería suceder en un país decente. Los mejores estudiantes en las pruebas Saber de Córdoba no pueden in… https://t.co/asRkZWUZ4H</t>
  </si>
  <si>
    <t>Conseguir que la vacuna sea Bien Común Global, es decir sin patentes de acuerdo al art 6 del acuerdo ADPIC de la OM… https://t.co/x8u26e6HTI</t>
  </si>
  <si>
    <t>Colombia Humana Internacional se reunió el sábado pasado con más de 50 nodos en países europeos, de los EEUU y de A… https://t.co/5KFaBhNsgi</t>
  </si>
  <si>
    <t>Como denuncie en días pasados por esta red, el documento de vacunación que presentó el gobierno, establece que quie… https://t.co/IqXJasyy2E</t>
  </si>
  <si>
    <t>Las EPS no cubren el territorio, la población marginada territorialmente, incluidas zonas pobres de grandes ciudade… https://t.co/5BR6N0zBNy</t>
  </si>
  <si>
    <t>Propusimos que el ministerio de salud observara la experiencia de 12 años de "Territorios Saludables" de Bogotá, es… https://t.co/HmXr26hpOz</t>
  </si>
  <si>
    <t>RT @ammejiaaguado: .#ATENCION @angelamrobledo confiesa abierta/ q se fue d la #ColombiaHumana NO x maltrato como lo hizo creer, sino xq que…</t>
  </si>
  <si>
    <t>RT @HRI_ONG: •8 cuerpos fueron encontrados cerca a Tumaco dónde hace unos días desaparecieron 11 personas. •5 jóvenes masacrados en Antioq…</t>
  </si>
  <si>
    <t>Espero el restablecimiento de la salud de Carlos Holmes Trujillo. Hay una base común que precede cualquier discrepa… https://t.co/WY6JWY9wiP</t>
  </si>
  <si>
    <t>RT @petrogustavo: Como denuncie en días pasados por esta red, el documento de vacunación que presentó el gobierno, establece que quien hará…</t>
  </si>
  <si>
    <t>RT @petrogustavo: Conseguir que la vacuna sea Bien Común Global, es decir sin patentes de acuerdo al art 6 del acuerdo ADPIC de la OMC, y a…</t>
  </si>
  <si>
    <t>Mi querido amigo Fernán, todos los años eL Banco de la República emite billetes, el año pasado 40 billones. ¿Eso le… https://t.co/LSnOrk3ltm</t>
  </si>
  <si>
    <t>RT @DanielRMed: El año pasado escribí sobre la supuesta autonomía del Banco de la República y el poder de los bancos privados sobre la ofe…</t>
  </si>
  <si>
    <t>El Banco Central emitió en tres meses 40 billones, en 3 meses, es decir 13 billones mensuales, se transfirieron com… https://t.co/aaBwTogiSd</t>
  </si>
  <si>
    <t>Ojalá sus hijos, representante Lozada, sean más preparados que usted, porque si lo son se darán cuenta de como en c… https://t.co/11GUtZGYZj</t>
  </si>
  <si>
    <t>Para quienes quieran profundizar en el tema de la emisión monetaria, desde perspectivas no neoliberales, los invito… https://t.co/YcebRgkxh9</t>
  </si>
  <si>
    <t>Ya que sacas mis notas de pregrado que hice públicas en mis redes, debiste agregar mis notas de la maestría de econ… https://t.co/hO9mZKJiGs</t>
  </si>
  <si>
    <t>Y además te agrego mis notas de la especialización en desarrollo que hice en Bélgica https://t.co/uw8Obl09ZB</t>
  </si>
  <si>
    <t>Para quienes sigan interesados en la discusion de nuestra propuesta economica para estos momentos de pandemia y en… https://t.co/PLicgwOptm</t>
  </si>
  <si>
    <t>RT @anateresabernal: Convocamos a la Alcaldesa @ClaudiaLopez #CabildoAbiertoPorLaVida para reorientar decisiones políticas y presupuestales…</t>
  </si>
  <si>
    <t>Acabo de reunirme con 20 dirigentes de restaurantes, bares, empresas de transporte escolar y otras sobre el impact… https://t.co/YyFNMuyLHR</t>
  </si>
  <si>
    <t>Aun me sorprende como recibe aplauso la emisión en favor del sistema financiero y el estrangulamiento que han hecho… https://t.co/oU1X4EuxiL</t>
  </si>
  <si>
    <t>RT @DavidRacero: @ClaudiaLopez Así mismo, para la atención de COVID-19, Bogotá, a 15 de enero/21 cuenta en este momento con tan solo 35 equ…</t>
  </si>
  <si>
    <t>RT @AliWkd: 78 días despues. Así se encuentra Providencia. Hay casas que siguen en la misma condición y aún esperan un mínimo de asistencia…</t>
  </si>
  <si>
    <t>RT @petrogustavo: Para quienes sigan interesados en la discusion de nuestra propuesta economica para estos momentos de pandemia y en el med…</t>
  </si>
  <si>
    <t>Ha muerto Julio Roberto Gómez, presidente de la Central General de Trabajadores. Muchas veces trabajamos juntos ot… https://t.co/QNJH5BVkk4</t>
  </si>
  <si>
    <t>Lamento que la muerte se lleve a Carlos Holmes Trujillo. La.controversia y el contradictor debe tener como base co… https://t.co/kHwls0vFt2</t>
  </si>
  <si>
    <t>El cambio climático es la metacrisis. Sólo si cambiamos formas de producir, y consumir, podremos superarla, sino,… https://t.co/JnIt9qeo1N</t>
  </si>
  <si>
    <t>Espero que Duque amplíe el duelo nacional a todas las personas que han muerto en masacres, por los líderes asesinad… https://t.co/ZyzEcaT5qX</t>
  </si>
  <si>
    <t>RT @AlejandraTuk_: Hoy celebro los 77 años de Angela Davis, que así el feminismo del techo de cristal cada día le quite más contenido polít…</t>
  </si>
  <si>
    <t>RT @petrogustavo: Espero que Duque amplíe el duelo nacional a todas las personas que han muerto en masacres, por los líderes asesinados, po…</t>
  </si>
  <si>
    <t>Espero se restablezca Cesar. La organización del mundo agrario y la lucha campesina lo esperan. https://t.co/eyCrMWBVBE</t>
  </si>
  <si>
    <t>Entre 56 países, Colombia quedó en el puesto 51 por el mal manejo de la epidemia del Covid, según el canal Bloomber… https://t.co/abR09ZvsL8</t>
  </si>
  <si>
    <t>Recorro la lista de♥️ y no encuentro lo que ustedes muestran. Quizás la.persona que puso ese trino lo quitó. Pero… https://t.co/Ut8ew4ENr2</t>
  </si>
  <si>
    <t>Colombia debe liderar esta propuesta de usar el art 6 de los acuerdos Adpic, de la Organización Mundial del Comerci… https://t.co/vQEq4nr6Ml</t>
  </si>
  <si>
    <t>No es una mala idea, siempre que Ecopetrol pase a generar energías limpias como propusimos en el 2018. https://t.co/9P7uMlRJeO</t>
  </si>
  <si>
    <t>Esta es mi entrevista con Néstor Morales hecha en el día de hoy Entrevista Blu Radio - 27 de enero de 2021.: https://t.co/P53XAGsYIj</t>
  </si>
  <si>
    <t>Hoy el 75% de las vacunas usadas se ha concentrado en 10 países. https://t.co/Alw9WxqXsl</t>
  </si>
  <si>
    <t>Cuando se cambia la.politica dicen que es odio. Para ellos amor es comprar votos y mantener familias robándo el era… https://t.co/vohu331VoP</t>
  </si>
  <si>
    <t>RT @AndresCamiloHR: #OFICIAL el @CNE_COLOMBIA se ABSTIENE de continuar con la investigación relacionada con una presunta financiación de la…</t>
  </si>
  <si>
    <t>Andanada diarias de la.prensa en plena campaña diciendo que había financiación venezolana de mi campaña, y miren, n… https://t.co/rQ3FA8DiFt</t>
  </si>
  <si>
    <t>Mi intervención en el Senado de la República sobre la vacunación contra el covid en Colombia https://t.co/jtaPWby5iy</t>
  </si>
  <si>
    <t>RT @anateresabernal: @ClaudiaLopez se distanció de todas nuestras banderas y de las lineas políticas alternativas. Desde su llegada a la al…</t>
  </si>
  <si>
    <t>RT @petrogustavo: Mi intervención en el Senado de la República sobre la vacunación contra el covid en Colombia https://t.co/jtaPWby5iy</t>
  </si>
  <si>
    <t>Ha detenido la construcción de oleoducto que desde Canadá, como lo pidieron las comunidades indígenas y ha detenido… https://t.co/IORcnTpB6i</t>
  </si>
  <si>
    <t>A punto de ganar la presidencia del Ecuador , el candidato progresista Andrés Arau Nariño con una fuerte integraci… https://t.co/zlA0LpEcld</t>
  </si>
  <si>
    <t>RT @bogotamuyfirme: La Alcaldesa anticorrupción acaba de nombrar como Gerente de la Empresa Metro de Bogotá a Leonidas Narvaez, quién fue e…</t>
  </si>
  <si>
    <t>Recuerdos. La experiencia de mejoramiento de fachadas en Ciudad Bolívar, Bogotá. https://t.co/fD3uh9CvCv</t>
  </si>
  <si>
    <t>Casi todas las vacunas hoy aprobadas en el mundo, tuvieron un proceso de investigación financiado con recursos públ… https://t.co/c8kwVDVIHd</t>
  </si>
  <si>
    <t>¿Es cierto que Uribe y Duque aportaron una pista y un lugar de transitio libre en la frontera para dar el golpe a M… https://t.co/ZQf29PM9zY</t>
  </si>
  <si>
    <t>RT @G_Pisarello: La voracidad de las farmacéuticas y de las multinacionales no puede estar por encima de los derechos de la ciudadanía. Eu…</t>
  </si>
  <si>
    <t>RT @G_Pisarello: 📽AstraZeneca y las grandes farmacéuticas no pueden reirse en la cara de la ciudadanía. Las vacunas deben ser bienes públi…</t>
  </si>
  <si>
    <t>RT @petrogustavo: Casi todas las vacunas hoy aprobadas en el mundo, tuvieron un proceso de investigación financiado con recursos públicos.…</t>
  </si>
  <si>
    <t>RT @FelicianoValen: Según el primer informe de DD.HH. de Bogotá, la protesta social tuvo como única respuesta la policía, provocando violac…</t>
  </si>
  <si>
    <t>Colombia queda en el puesto 96 entre 98 países frente a la estrategia contra el covid. Solo aplausos de la gran pre… https://t.co/UlWMi05Cdf</t>
  </si>
  <si>
    <t>Hay que decirlo con claridad. Todos los paises que privatizaron sus sistemas de salud y debilitaron sus salud públi… https://t.co/JJ4zQ8LmLT</t>
  </si>
  <si>
    <t>Me propongo construir un fuerte sistema preventivo y de salud primaria con equipos de salud que puedan llegar a tod… https://t.co/oXg7HZnfx9</t>
  </si>
  <si>
    <t>La vacuna que Duque dice que contrató, aun estando en fase 2 de las 3 de la investigación científica, ha resultado… https://t.co/BmqwDsHbET</t>
  </si>
  <si>
    <t>RT @mariapa05527055: Al director de Asobancaria le preguntaron cómo le parecía la propuesta de Petro, el señor dijo que eso era posible en…</t>
  </si>
  <si>
    <t>Siguen las exclusiones en el intento de hacer una consulta presidencial Por ahí no es el camino. La consulta pres… https://t.co/QLfdpY3mIH</t>
  </si>
  <si>
    <t>Salieron por todos los rincones a decir que habría un operador público de transporte de buses en Bogotá, pero no, t… https://t.co/nNtOJvdPAj</t>
  </si>
  <si>
    <t>Duque ha cometido un grave error, por reinventarse la cortina de hierro, no ha permitido negociar vacunas rusas, ch… https://t.co/U5GeIOgXUB</t>
  </si>
  <si>
    <t>RT @AugustoCubides: La 'rosca' verde y del MOIR liderada por Angélica Lozano, su esposo y Robledo, el MEZQUINO mayor, anuncian lo mismo de…</t>
  </si>
  <si>
    <t>RT @AProgresista_: Lamentamos las palabras de la senadora Angélica Lozano en la @WRadioColombia. Insiste en la división, habla con soberbia…</t>
  </si>
  <si>
    <t>RT @petrogustavo: Siguen las exclusiones en el intento de hacer una consulta presidencial Por ahí no es el camino. La consulta presidenci…</t>
  </si>
  <si>
    <t>A buena parte de los empresarios del país les pareció más fácil despedir a las mujeres que a los hombres a causa de… https://t.co/3IhyFvyrXG</t>
  </si>
  <si>
    <t>RT @Betocoralg: Algunas perlas de @AngelicaLozanoC en la W: 1. “Elsa Noguera es una pequeña Gigante” 2. “El verde no va a ningún lado, vie…</t>
  </si>
  <si>
    <t>RT @AndresCamiloHR: Una cosa dice Angélica Lozano, otra muy distinta el partido: “Si los alternativos nos dividimos, es aceptar la derrota…</t>
  </si>
  <si>
    <t>RT @charry_manager: Necesitamos los 1000 equipos de salud preventiva territorial, Dra @ClaudiaLopez si no sabe cómo funciona un modelo de s…</t>
  </si>
  <si>
    <t>RT @LevyRincon: Hoy el centro cerró las puertas a Gustavo Petro y a la Colombia Humana. Ya está claro que los votos no se buscan en la tecn…</t>
  </si>
  <si>
    <t>RT @RoyBarreras: Es hora de construir #UnNuevoCentro firme, sólido, con una propuesta precisa para la reconstrucción del país y no un centr…</t>
  </si>
  <si>
    <t>El partido verde no ha tomado posición frente al tipo de consulta presidencial que se necesita y hay diversas posic… https://t.co/1cIXChxZ9M</t>
  </si>
  <si>
    <t>Dada la dispersión de candidaturas a la presidencia del Partido Verde y su proceso de selección, Colombia Humana de… https://t.co/wYvHtrnXI5</t>
  </si>
  <si>
    <t>Intentan por todos los medios impedir la victoria de Andrés Arauz en el Ecuador el próximo 7 de agosto. Con calumn… https://t.co/Z3nj9gi6vu</t>
  </si>
  <si>
    <t>RT @MajoDoria: Es ilógico que tilden a Petro como homofóbico, cuando el mismo impulsó a Angélica Lozano, la gerente de su campaña presidenc…</t>
  </si>
  <si>
    <t>RT @petrogustavo: Hay que decirlo con claridad. Todos los paises que privatizaron sus sistemas de salud y debilitaron sus salud pública suc…</t>
  </si>
  <si>
    <t>RT @petrogustavo: Colombia queda en el puesto 96 entre 98 países frente a la estrategia contra el covid. Solo aplausos de la gran prensa al…</t>
  </si>
  <si>
    <t>Ha muerto Javier Quitian, subdirector de Metrovivienda en la Bogotá Humana QEPD Fue fundamental en al ejecución d… https://t.co/goM17hTHsj</t>
  </si>
  <si>
    <t>Carlos Caicedo gobernador del Magdalena, fortalece el programa de equipos de salud en los territorios y con visita… https://t.co/2terls4Mgf</t>
  </si>
  <si>
    <t>RT @alferdez: Seguimos con especial atención el proceso electoral de Ecuador que debe culminar con las elecciones del próximo día 7 de febr…</t>
  </si>
  <si>
    <t>RT @LupeMohawk: En Ecuador están haciendo un ejercicio de innovación en tecnología política, tratando garantizar que la democracia se cumpl…</t>
  </si>
  <si>
    <t>RT @Margaritarosadf: Apoyo esta propuesta. Una gran consulta entre los sectores alternativos, sin vetos, para no llegar divididos.</t>
  </si>
  <si>
    <t>Ha muerto Carlos Arturo Jurado, militante del M19 en Yumbo y gran luchador vallecaucano por la Democracia. QEPD https://t.co/UCW80YS2y8</t>
  </si>
  <si>
    <t>Ojo @Almagro_OEA2015 con permitir un golpe de estado en Ecuador. El gobierno ecuatoriano quiere suspender eleccion… https://t.co/yTnao7lwrG</t>
  </si>
  <si>
    <t>Ha vuelto el paramilitarismo a Yarumal, Antioquia, en donde nacieron los 12 apóstoles, y dejan la cabeza decapitada… https://t.co/7xF3EZUnE6</t>
  </si>
  <si>
    <t>RT @ChalecosAmarill: 🎥🛑En #Ecuador están haciendo un ejercicio de innovación en tecnología, tratando garantizar que la democracia se cumple…</t>
  </si>
  <si>
    <t>RT @MashiRafael: Siguen los abusos y hostigamiento. Allanaron nuestra sede en Tulcán y encontraron... ¡pruebas COVID!!!😱 Nos dice que el CN…</t>
  </si>
  <si>
    <t>Carlos Ramón Gonzales del partido Verde, tiene toda la razón. Hay que conformar el gran Bloque Histórico que constr… https://t.co/fAOLEe6W12</t>
  </si>
  <si>
    <t>RT @teoloax: Lean por favor cómo Steven Levitsky (profesor en Harvard) le dice de todas las formas posibles a @lcvelez que Gustavo Petro no…</t>
  </si>
  <si>
    <t>Es un Estado que ha llevado al desespero a la gente humilde, el cumplimiento de normas hechas contra el pobre pero… https://t.co/qT9lESrOce</t>
  </si>
  <si>
    <t>RT @intiasprilla: Este es el estremecedor testimonio de Alexander, el joven vendedor informal que tras discutir con @ClaudiaLopez fue objet…</t>
  </si>
  <si>
    <t>Andrés Pastrana debería explicar públicamente cual fue su razonamiento para desmantelar la producción de vacunas en… https://t.co/bYeabCNpre</t>
  </si>
  <si>
    <t>Me comprometo a reinstalar la capacidad productiva de vacunas en Colombia y de medicamentos genéricos . El hospita… https://t.co/yuOfm6KzYu</t>
  </si>
  <si>
    <t>Le propongo al presidente Duque reunirnos para construir conjuntamente una agenda nacional en defensa de la vida fr… https://t.co/s2Y85tcumb</t>
  </si>
  <si>
    <t>RT @ClaraLopezObre: @angelicalizanoc Si queremos construir una Colombia que supere los gobiernos de la mentira que le dan la espalda a la v…</t>
  </si>
  <si>
    <t>RT @ClaraLopezObre: Padecemos un gobierno incompetente y mentiroso que le da la espalda a la vida y a La Paz. Con @petrogustavo debemos con…</t>
  </si>
  <si>
    <t>RT @petrogustavo: Le propongo al presidente Duque reunirnos para construir conjuntamente una agenda nacional en defensa de la vida frente a…</t>
  </si>
  <si>
    <t>RT @AUGUSTOOCAMPO: Ahhh bueno... https://t.co/DIjMFDvMVN</t>
  </si>
  <si>
    <t>Gustavo Bolívar como Augusto Ocampo fueron vendedores ambulantes. El uno, hoy senador, y el otro, abogado, pueden h… https://t.co/OtqmzRihr0</t>
  </si>
  <si>
    <t>Comunicado que firmamos con progresistas del mundo en torno a la situación en Ecuador y el respeto a la decisión po… https://t.co/VjurYvtJFl</t>
  </si>
  <si>
    <t>RT @cielo_rusinque: Agradezco a @Contagioradio1 por la invitación a escribir sobre el lugar del feminismo en @ColombiaHumana_ comparto con…</t>
  </si>
  <si>
    <t>RT @manuel_rodb: Esperamos que la alcaldesa @ClaudiaLopez no ceda a las pretensiones de los urbanizadores de echar para atrás la resolución…</t>
  </si>
  <si>
    <t>RT @GustavoBolivar: Construyendo el relato de los extremos, Angélica Lozano dijo hoy en Semana que Petristas y Uribistas nunca nos peleábam…</t>
  </si>
  <si>
    <t>RT @IvanCepedaCast: Apoyo la iniciativa de @petrogustavo de diálogo constructivo con el Presidente y el Gobierno que sirva para salvar vida…</t>
  </si>
  <si>
    <t>RT @Contravia: El papa Francisco: “Defender al pobre no es ser comunista, es el centro del Evangelio” - Infobae https://t.co/PqWhsUiocs</t>
  </si>
  <si>
    <t>El Pacto Histórico que proponemos incluye al uribismo, si lo desea. No nos negamos ni nos negaremos jamás al dialog… https://t.co/HIDB7MfDtw</t>
  </si>
  <si>
    <t>La estrategia nacional contra el covid merecería, desde las posiciones que nos diferencian, el esfuerzo al menos de… https://t.co/KzTLRutusK</t>
  </si>
  <si>
    <t>Historias como ésta donde el amor impulsa y la guerra y el poder lo destruye todo, me llevó a los debates sobre los… https://t.co/Ge7wYOSNTa</t>
  </si>
  <si>
    <t>RT @petrogustavo: El Pacto Histórico que proponemos incluye al uribismo, si lo desea. No nos negamos ni nos negaremos jamás al dialogo. Ne…</t>
  </si>
  <si>
    <t>El presidente del Salvador lanza un ataque contra el proceso de paz hecho hace varias décadas y de inmediato un gr… https://t.co/2bB5m6ANsk</t>
  </si>
  <si>
    <t>RT @AlexFlorezH: En Medellín no había ocurrido un enfrentamiento como el que vivimos, porque nunca nadie había enfrentado a las élites que…</t>
  </si>
  <si>
    <t>Un poco así es el mundo, miles de millones ante la barbarie y no se dan cuenta de ella. https://t.co/ew4ezugrL1</t>
  </si>
  <si>
    <t>Apenas se instaló el contralor de Bogotá, ficha del Granados, el excontralor de Odebrecht y ahora disciplinador sub… https://t.co/lTdYKDjVbD</t>
  </si>
  <si>
    <t>Esto sucedió en Zipaquirá. Una ruptura del Estado de Derecho que el director general de la policía debería explica… https://t.co/s8XDzzxdDc</t>
  </si>
  <si>
    <t>Este es el ministro de defensa https://t.co/BVXcpvf4md</t>
  </si>
  <si>
    <t>RT @wilsonariasc: Los economistas de la 7a han criticado una propuesta con argumentos trasnochados muy bien rebatidos por los economistas d…</t>
  </si>
  <si>
    <t>La emisión monetaria en tiempos de crisis económica y pandemia es un debate necesario https://t.co/Zsu1bSUUpg</t>
  </si>
  <si>
    <t>RT @ernestosamperp: Comparto la solicitud de @petrogustavo al presidente para llegar a un gran acuerdo nacional que nos comprometa a todos…</t>
  </si>
  <si>
    <t>Solo el 20% de la población de países pobres y en desarrollo se vacunará en el 2021. Mientras el 50% de todas las v… https://t.co/9XPHK6xPGQ</t>
  </si>
  <si>
    <t>Liberar las patentes de las vacunas, a través del articulo 6 de la ADPIC de la Organización Mundial del Comercio y… https://t.co/MadCkTXYO4</t>
  </si>
  <si>
    <t>Para el efecto debe citarse extraordinariamente las asambleas de Naciones Unidas, la Organización Mundial de la Sal… https://t.co/9KSCFc11Gz</t>
  </si>
  <si>
    <t>RT @petrogustavo: Solo el 20% de la población de países pobres y en desarrollo se vacunará en el 2021. Mientras el 50% de todas las vacunas…</t>
  </si>
  <si>
    <t>La vacuna rusa ha cumplido todas las fases de investigación científica, incluida la investigación por pares, y alca… https://t.co/rP1kQmTSH4</t>
  </si>
  <si>
    <t>RT @CELAGeopolitica: 🌎 Esta tarde, el Consejo Directivo de CELAG se reunió junto a @petrogustavo para debatir sobre los desafíos de Latinoa…</t>
  </si>
  <si>
    <t>Me encuentro con representantes de las empresas y escuelas privadas de apoyo al transporte en Colombia. Escuelas de… https://t.co/ZhmDNwHQlM</t>
  </si>
  <si>
    <t>Así han engañado a Bogotá durante décadas. El transfondo de ese engaño es sostener un sistema privado de transport… https://t.co/Y8nHejfXfv</t>
  </si>
  <si>
    <t>RT @DiegoVelezGar: Si el problema para no unirse son los insultos y las agresiones en las redes, entonces póngale nivel a la discusión. Si…</t>
  </si>
  <si>
    <t>RT @petrogustavo: La vacuna rusa ha cumplido todas las fases de investigación científica, incluida la investigación por pares, y alcanza 10…</t>
  </si>
  <si>
    <t>RT @finseya5: @ClaudiaLopez @SectorSalud irresponsable y sin fundamento levantar alerta roja hospitalaria y cuarentenas afirmando que se s…</t>
  </si>
  <si>
    <t>RT @teoloax: Este acontecimiento judicial -que es el precedente- nos incumbe a todos los docentes en Colombia, como también a todas las muj…</t>
  </si>
  <si>
    <t>RT @willj84753699: ¡ATENCIÓN COLOMBIA! Los argumentos d la derecha en Colombia son la ideología. "Si vacunamos al Colombiano con Vacuna Sp…</t>
  </si>
  <si>
    <t>Un Partido Liberal respaldando al hijo de Uribe, construiría su acto final de suicidio. Estallaría en pedazos. Esp… https://t.co/JKaBjGrCUw</t>
  </si>
  <si>
    <t>La vacuna que no necesita sino una nevera de casa, o una caja de icopor con hielo, es la que nos permitiría vacunar… https://t.co/KQVcavqwAQ</t>
  </si>
  <si>
    <t>Confundieron el actual capitalismo ruso con el socialismo soviético y creyeron que había que pelear con Rusia y es… https://t.co/DAIArOPBPc</t>
  </si>
  <si>
    <t>RT @LupeMohawk: Un ejercito netbot lleva 24 millones de ataques a las redes de Andrés Arauz en Ecuador. El ataque ha sido debidamente coord…</t>
  </si>
  <si>
    <t>La burla a la justicia, ¿pueden los llamados magistrados de la nueva instancia disciplinaria de la justicia ser exo… https://t.co/YifZs1QSN1</t>
  </si>
  <si>
    <t>RT @BogotaLogica: Claudia López le acaba de decir Uri-Petrista a un Concejal de su propio partido por no hacerle caso... ¿Si ven que el Pa…</t>
  </si>
  <si>
    <t>Irresponsable para hacer política con recursos públicos. A ud le dijimos que si se reconstituían los equipos médic… https://t.co/s1W7g8gIsf</t>
  </si>
  <si>
    <t>RT @CarolinaCorcho: #Hilo Mi solidaridad con el médico y concejal @LuisCarlosLealA del @PartidoVerdeCoL y ex Pte de @ANIRNACIONAL, quien es…</t>
  </si>
  <si>
    <t>En el 2018 afirmé que las empresas dueñas de minas de carbón dejarían tiradas las minas y en una gran crisis social… https://t.co/DYcCKjMacw</t>
  </si>
  <si>
    <t>RT @LadoBCol: @ClaudiaLopez: Nadie en sano juicio igualaría a @petrogustavo y @AlvaroUribeVel. https://t.co/XLvyCE7Pio</t>
  </si>
  <si>
    <t>Biden solo pudo ganar con Sanders, sino hubiera existido esa consulta demócrata, hoy Trump sería presidente. https://t.co/sApiaLAYGC</t>
  </si>
  <si>
    <t>La violencia en Buenaventura tiene un foco además del narcotráfico: el uso del territorio que tenían las comunidade… https://t.co/fX5CJ16bO0</t>
  </si>
  <si>
    <t>Proponemos la constitución de una región administrativa y planificadora con autonomía en todo el litoral Pacifico.… https://t.co/jZKU3JlgPd</t>
  </si>
  <si>
    <t>RT @cielo_rusinque: LLaman Petrismo a quienes no nos arrodillamos al poder ni buscamos favores personales de la administración ni contratos…</t>
  </si>
  <si>
    <t>RT @lacoboschica: Este es el único país del mundo en el que los políticos alternativos (@PartidoVerdeCoL) hacen campaña para derrotar al je…</t>
  </si>
  <si>
    <t>Secretos de la vacuna y el covid: Los contratos de compra de vacunas son secretos en todo el mundo. La vacuna es u… https://t.co/wMDxyOe3Sv</t>
  </si>
  <si>
    <t>RT @intiasprilla: No es cierto que ya se haya tomado una decisión sobre la entrada de @sergio_fajardo al Partido Verde. Toda decisión deber…</t>
  </si>
  <si>
    <t>RT @andrefelgiraldo: Le quisiera preguntar a @intiasprilla si se siente identificado con esa "amplia convergencia" con Fajardo, De la Calle…</t>
  </si>
  <si>
    <t>RT @petrogustavo: Secretos de la vacuna y el covid: Los contratos de compra de vacunas son secretos en todo el mundo. La vacuna es una mer…</t>
  </si>
  <si>
    <t>RT @lucianacadahia: El debate en Colombia no es entre @petrogustavo y @sergio_fajardo, sino entre los proyectos que representan. Dibujalo c…</t>
  </si>
  <si>
    <t>RT @StevePa23325715: Señor @petrogustavo: viendo el esfuerzo que hacen para derrotarlo sin ser Ud., gobierno, a partir de hoy me sumo a su…</t>
  </si>
  <si>
    <t>RT @GustavoBolivar: #MePreocupa la consulta alternativa con vetos que lanzó ayer “El Centro”. Uribe debe estar feliz. Se despejan los camin…</t>
  </si>
  <si>
    <t>RT @IvanCepedaCast: Bien que se avance en alianzas políticas. La que deseamos es la que incluya a todas las fuerzas y personas que queremos…</t>
  </si>
  <si>
    <t>RT @DanielRMed: Si se trata de derrotar al uribismo pues a apoyar a Gustavo Petro y a Ivan Cepeda las personas más perseguidas por el uribi…</t>
  </si>
  <si>
    <t>RT @intiasprilla: Puedo estar de acuerdo en unirnos a políticos de “centro” (con uno que otro viso de derecha) con el fin de vencer al uri…</t>
  </si>
  <si>
    <t>Respaldo la propuesta del gobernador del Magdalena Carlos Caicedo de solicitar que Naciones Unidas declare la Sierr… https://t.co/Dku6iMXLJ4</t>
  </si>
  <si>
    <t>El ministerio de salud y Duque deben entender que la vacuna Pfizer, por la necesidad de alta congelación y la de As… https://t.co/NX3bbUkyKj</t>
  </si>
  <si>
    <t>Denuncié en el 2018 que se irían las multinacionales del carbón del país. Duque no quiso en la negociación con Sin… https://t.co/cOBjyKwTcQ</t>
  </si>
  <si>
    <t>La Guajira y el Cesar son los departamentos que más radiación solar reciben en un año en toda Colombia. Son aptos p… https://t.co/97rlGuF4uD</t>
  </si>
  <si>
    <t>Si no se realiza la reconversión laboral hacia la energía solar en la Guajira y el Cesar, el abandono de las multin… https://t.co/v9byUFMDMM</t>
  </si>
  <si>
    <t>Nada más justo hoy que el.paro cívico de Buenaventura. Un paro por la Paz y contra la exclusión</t>
  </si>
  <si>
    <t>RT @LeonFredyM: Fajardo no es candidato del @PartidoVerdeCoL hace parte del movimiento @compromisociu Si bien, es urgente que los altern…</t>
  </si>
  <si>
    <t>Les propongo el siguiente ejercicio: Con argumentos y sin groserías, contestarle a cada comentario que haya generad… https://t.co/3u8CWmcNIN</t>
  </si>
  <si>
    <t>Duque le pidió a Trump que declarase terrorista a Cuba, solo por haber aceptado la propuesta que el anterior gobier… https://t.co/m9knaBzIo0</t>
  </si>
  <si>
    <t>RT @CesarPachonAgro: Ni consulta. Ni alternativa. Crónica de un candidato de centro derecha anunciado. Dividen para que en Colombia nada c…</t>
  </si>
  <si>
    <t>No aumentar las tarifas del SITP en Bogotá me trajo varios procesos con multas de decenas de millones de dólares en… https://t.co/Cinm3q7GR0</t>
  </si>
  <si>
    <t>Lo paradójico es que la financiación pública del transporte masivo que me trajo las multas del contralor de Odebrec… https://t.co/nzuFmUxtnK</t>
  </si>
  <si>
    <t>RT @SoyCristie: Hagámosle saber a Cristo, Delacalle, Fajardo, Galán, Robledo quienes estamos con @petrogustavo #YoEstoyConPetro #PetroPre…</t>
  </si>
  <si>
    <t>Les propongo ganar la presidencia de la República en primera vuelta para cambiar de verdad a Colombia hacia la Paz,… https://t.co/cw6a9EUdpa</t>
  </si>
  <si>
    <t>RT @petrogustavo: Les propongo ganar la presidencia de la República en primera vuelta para cambiar de verdad a Colombia hacia la Paz, el Tr…</t>
  </si>
  <si>
    <t>A los nodos internacionales de Colombia Humana, les solicitó reproducir en la prensa internacional Esta es Buenav… https://t.co/8AllUFlNhS</t>
  </si>
  <si>
    <t>Saludos a @ecuarauz en su cumpleaños, mañana puede ser el Presidente progresista del Ecuador. https://t.co/auGUkE6BXq</t>
  </si>
  <si>
    <t>RT @igarzonvallejo: “¿Pa’ qué putas uno vive en una sociedad en la que no puede estar tranquilo?”. El clamor del país. https://t.co/XroWrL4…</t>
  </si>
  <si>
    <t>Ahora lo dice @ELTIEMPO, en el.pasado se burlaron de ello. Pero no solo debe ser el aguacate, sino decenas de pro… https://t.co/TQsdyb36F3</t>
  </si>
  <si>
    <t>RT @Dagosa20: Ediles Verdes Valle del Cauca y Santiago de Cali decimos NO a @sergio_fajardo y NO a avalar un candidato Presidencial que pie…</t>
  </si>
  <si>
    <t>¿Y los culpables de detener jóvenes estudiantes inocentes durante años? De la.misma manera con entramparon el proc… https://t.co/Fq4JyOUaFZ</t>
  </si>
  <si>
    <t>RT @Marianiniecheve: Está sufriendo el uribismo con las tendencias #PetroPresidente2022 y #CuenteConMiVotoPetro. No las retrinemos mas p…</t>
  </si>
  <si>
    <t>RT @ecuarauz: A pesar de millones de sabotajes, nuestro sistema de control electoral está listo para el 7F. App funcionando a pleno, milita…</t>
  </si>
  <si>
    <t>RT @HOLLMANMORRIS: Sigue la movilización en Buenaventura a esta hora. 11am por el @Tercer_Canal #Buenaventura #SOSBuenaventura https://…</t>
  </si>
  <si>
    <t>La intervención de EPM por parte del gobierno nacional, sería un verdadero golpe del uribismo contra el voto popula… https://t.co/dE1PJUUjiy</t>
  </si>
  <si>
    <t>La respuesta de Leonard Rentería de Buenaventura es la respuesta de la realidad del país a un pensamiento ideológic… https://t.co/EQkk2mYee4</t>
  </si>
  <si>
    <t>RT @ColBolivariana: No hacen alianzas con el que metió preso a medio congreso por paramilitarismo, pero sí la hacen con el que mató un río,…</t>
  </si>
  <si>
    <t>RT @QuinteroCalle: Señor Ex Presidente, sé que es duro, pero me toca recordarle que en Medellín ustedes son la oposición. https://t.co/p1Z1…</t>
  </si>
  <si>
    <t>Ponen trabas en los puestos de votación populares para intentar desesperadamente impedir la victoria de Arauz en el… https://t.co/FEap3JB1DB</t>
  </si>
  <si>
    <t>En Ecuador tratan de impedir que el pueblo vote, disminuyendo la cantidad de recintos electorales. Así cometen el… https://t.co/WQ6uuevo2Y</t>
  </si>
  <si>
    <t>RT @Rocisoto10: No me canso de decir que siempre he votado por la derecha, pero, un día, me tomé el trabajo de "leer" y enterarme, cuál re…</t>
  </si>
  <si>
    <t>RT @petrogustavo: En Ecuador tratan de impedir que el pueblo vote, disminuyendo la cantidad de recintos electorales. Así cometen el fraude.</t>
  </si>
  <si>
    <t>En este negocio de Carrasquilla, el gobierno desplaza recursos de Ecopetrol al presupuesto, valoriza Ecopetrol al m… https://t.co/442feRbUeK</t>
  </si>
  <si>
    <t>Nuestra propuesta es lograr que Ecopetrol se convierta en la empresa de generación de energía solar más grande de A… https://t.co/A1JmRa8Dl7</t>
  </si>
  <si>
    <t>RT @RevistaDinero: “La intervención de EPM sería un golpe al Uribismo en Medellín”: Petro https://t.co/2GiZ3nOji4</t>
  </si>
  <si>
    <t>RT @petrogustavo: La intervención de EPM por parte del gobierno nacional, sería un verdadero golpe del uribismo contra el voto popular en M…</t>
  </si>
  <si>
    <t>Dos terceras partes del Ecuador le dijo no al neoliberalismo y su despotismo en el gobierno. Todo el establecinien… https://t.co/xS0fxzvdR9</t>
  </si>
  <si>
    <t>RT @petrogustavo: Dos terceras partes del Ecuador le dijo no al neoliberalismo y su despotismo en el gobierno. Todo el estableciniento pol…</t>
  </si>
  <si>
    <t>Es obvio que una empresa como EPM a la que meten en una obra como Hidroituango, y que la privatizan de facto, trans… https://t.co/Hn4iq9akli</t>
  </si>
  <si>
    <t>Primeras vacunas llegan a Perú provinientes de China. https://t.co/rkWXVrkjxw</t>
  </si>
  <si>
    <t>A esta asociación internacional pertenece la Colombia Humana: La Internacional Progresista. Los invito a leer el… https://t.co/Yy8b7oov5r</t>
  </si>
  <si>
    <t>RT @petrogustavo: Es obvio que una empresa como EPM a la que meten en una obra como Hidroituango, y que la privatizan de facto, transfirien…</t>
  </si>
  <si>
    <t>Hoy se juzga una de las páginas más dantescas de la historia de Colombia. El asesinato de miles de militares de la… https://t.co/SfcYq5kaOs</t>
  </si>
  <si>
    <t>La movilización popular asciende en Myanmar, antigua Birmania. Se ha convocado una huelga general contra la dictad… https://t.co/kHXT3NDg23</t>
  </si>
  <si>
    <t>Este artículo demuestra que la mayoría de países en este momento emiten para prestarle al gobierno o a las empresas… https://t.co/IDzDllTDB7</t>
  </si>
  <si>
    <t>Decir parte de está verdad es lo que los hace llamarnos de extrema izquierda. No es que seamos de extrema izquierd… https://t.co/Yak9ql0HWd</t>
  </si>
  <si>
    <t>Ella triunfó en el Ecuador. El progresismo es la gran mayoría del pueblo ecuatoriano que no tuvo dudas en votar po… https://t.co/WTcYicfU02</t>
  </si>
  <si>
    <t>RT @BetoLuso: Respeto y admiro a @hectorabadf, riguroso y con una elocuencia envidiable, además de un gran ser humano, tal y como lo fue su…</t>
  </si>
  <si>
    <t>Estoy de acuerdo con la propuesta de Duque de crear el estatuto especial de inmigración a los venezolanos. La ileg… https://t.co/cXwBycszkR</t>
  </si>
  <si>
    <t>La enorme inmigración venezolana tiene su origen en profundos errores de políticas económica del vecino país, que n… https://t.co/56cyFdPU3G</t>
  </si>
  <si>
    <t>Un levantamiento del bloqueo llevará a que centenares de miles de venezolanos voluntariamente quieran regresar a su… https://t.co/F09E1EBnkr</t>
  </si>
  <si>
    <t>El incremento de nuestra población con la inmigración debe ser pensado en términos productivos para que ayude a gen… https://t.co/S9lRvlqN6F</t>
  </si>
  <si>
    <t>Todo trato al inmigrante debe enmarcarse en la apertura a la legalidad, el buen trato y las decisiones libres del m… https://t.co/cVgBySCkWD</t>
  </si>
  <si>
    <t>RT @petrogustavo: Estoy de acuerdo con la propuesta de Duque de crear el estatuto especial de inmigración a los venezolanos. La ilegalidad…</t>
  </si>
  <si>
    <t>RT @AndresCamiloHR: Según Encuesta PulsoPais que revela @WRadioColombia la única persona que sube su imagen favorable fue @petrogustavo pas…</t>
  </si>
  <si>
    <t>La reducción de impuestos a los más ricos de moda en Colombia, siguiendo a Trump, no sirve para nada, excepto para… https://t.co/CrjA19hemm</t>
  </si>
  <si>
    <t>https://t.co/DSLswpYb4S</t>
  </si>
  <si>
    <t>Cuando un presidente inaugura sedes universitarias, esta en la senda correcta Nuestro compromiso es llenar la Colo… https://t.co/MbqEzzzt8v</t>
  </si>
  <si>
    <t>RT @RevistaSemana: Petro, el único político cuya imagen favorable aumentó considerablemente. https://t.co/0kSrIbADuZ</t>
  </si>
  <si>
    <t>RT @petrogustavo: Cuando un presidente inaugura sedes universitarias, esta en la senda correcta Nuestro compromiso es llenar la Colombia p…</t>
  </si>
  <si>
    <t>Excelente ensayo de Naomi Klein, sobre Edward Said y el cambio climático Déjalos ahogar. Hoy podríamos decir déj… https://t.co/0gZ7PYOitx</t>
  </si>
  <si>
    <t>RT @petrogustavo: Excelente ensayo de Naomi Klein, sobre Edward Said y el cambio climático Déjalos ahogar. Hoy podríamos decir déjalos s…</t>
  </si>
  <si>
    <t>Primera investigación científica que establece la posibilidad que el cambio climático, al variar la geolocalización… https://t.co/el7BYzUsbR</t>
  </si>
  <si>
    <t>Contra el cambio climático solo opera una producción y consumo cero carbono. Y para lograrlo se necesitan verdadero… https://t.co/M5izGBBuSe</t>
  </si>
  <si>
    <t>RT @anateresabernal: Lo dice el @DANE_Colombia, fuera de toda discusión política, las cifras siempre nos dan la razón. https://t.co/Bq10Gt…</t>
  </si>
  <si>
    <t>RT @ernesto_prado: Después de 25 años de investigación sobre la relación de la familia Uribe Vélez con el paramilitarismo, se da comienzo a…</t>
  </si>
  <si>
    <t>La decisión del gobierno de resolver el alto nivel de endeudamiento del país a partir del IVA a la canasta familiar… https://t.co/96zW4qEoKm</t>
  </si>
  <si>
    <t>RT @adelina_covo: Según el DANE, Gustavo Petro generó empleo y riqueza durante su alcaldía en Bogotá https://t.co/msfBgYMBtn via @pluralida…</t>
  </si>
  <si>
    <t>RT @IvanCepedaCast: Encuesta Pulso País: mientras @petrogustavo es el único dirigente político que aumenta su imagen positiva, el president…</t>
  </si>
  <si>
    <t>RT @petrogustavo: La decisión del gobierno de resolver el alto nivel de endeudamiento del país a partir del IVA a la canasta familiar seria…</t>
  </si>
  <si>
    <t>Tuvimos la tasa de ocupación y de construcción de riqueza más alta de la historia estadística de la ciudad en el g… https://t.co/4bv6eHTZEs</t>
  </si>
  <si>
    <t>Alemania aprueba dejar de usar el glifosato totalmente https://t.co/mMK2jbwzdW</t>
  </si>
  <si>
    <t>A esta hora Buenaventura y su juventud, despiden a Didier Castillo asesinado ayer en Pampalinda, que este desagrada… https://t.co/oNQyJAh3y7</t>
  </si>
  <si>
    <t>Creo que Roy Barreras ha sido in parlamentario fiel a los acuerdos de paz firmados. Esa posición, que hoy es una p… https://t.co/Vdi8EkyRQv</t>
  </si>
  <si>
    <t>RT @nicolaspetroB: #PetroPresidente2022❤️ https://t.co/ody2EoRZPj</t>
  </si>
  <si>
    <t>Para cambiar de verdad el país, que comienza por cambiar el Congreso donde se hacen las leyes. Porque las leyes es… https://t.co/PTbTQvwpP2</t>
  </si>
  <si>
    <t>RT @RevistaSemana: Si las elecciones presidenciales fueran hoy y solo tuviera estas cuatro opciones, ¿por cuál votaría?</t>
  </si>
  <si>
    <t>La comisión de Derechos Humanos de Naciones Unidas solicita aplicar las clausulas de la ADPIC de la OMC, que permi… https://t.co/PHWhCA9ul6</t>
  </si>
  <si>
    <t>He pedido ante diversos organismos políticos a nivel mundial, que las vacunas sean un bien común universal sin que… https://t.co/mu6T2zlzlQ</t>
  </si>
  <si>
    <t>Le solicito al presidente Duque conformar un frente de países latinoamericanos que presione conjuntamente el levant… https://t.co/ZA1VReXBRn</t>
  </si>
  <si>
    <t>Hemos propuesto un Pacto Historico para Colombia, que lleve el país hacia la democraci, la justicia social y ambien… https://t.co/u2Yo4MnTVq</t>
  </si>
  <si>
    <t>Rueda de prensa: Vamos por los derechos #QuiénDiceYo https://t.co/6yHTewU0se</t>
  </si>
  <si>
    <t>En rueda de prensa, en breve mensaje importante a toda Colombia</t>
  </si>
  <si>
    <t>RT @petrogustavo: Rueda de prensa: Vamos por los derechos #QuiénDiceYo https://t.co/6yHTewU0se</t>
  </si>
  <si>
    <t>RT @AABenedetti: Yo me comprometo y me uno al #PactoHistórico. Entre todos podemos construir un país democrático, equitativo y en paz. http…</t>
  </si>
  <si>
    <t>RT @adelina_covo: #QuienDijoYo Llegó el momento de unirnos, de hacer una sola fuerza entre todos, necesitamos un Congreso comprometido con…</t>
  </si>
  <si>
    <t>RT @GNavasTalero: Para que pueda haber una verdadera renovación, el primero que debe comprometerse con el cambio es el elector. #QuiénDijoY…</t>
  </si>
  <si>
    <t>No hemos propuesto una lista de coalicion de izquierda, al Congreso; hemos propuesto una lista de coalición democrá… https://t.co/s4w5BecXoS</t>
  </si>
  <si>
    <t>RT @heidy_up: 1. ¿#QuiénDijoYo para un #PactoHistórico que logre cambiar el rumbo del país? Esta lista es la representación de una agenda d…</t>
  </si>
  <si>
    <t>RT @ColombiaHumana_: .@Margaritarosadf Lee el manifiesto presentado hoy en rueda de prensa al país sobre las listas al Congreso. Un Pacto…</t>
  </si>
  <si>
    <t>Esta es la proclama de convocatoria para cambiar el Congreso. A construir la lista unitaria del Cambio Histórico… https://t.co/T72OqjdZ1C</t>
  </si>
  <si>
    <t>La convocatoria es a toda fuerza social, ciudadana, a toda agrupación política que quiera acabar la corrupción y ll… https://t.co/VGiBczcHFK</t>
  </si>
  <si>
    <t>Si alguien me va a defender así, mejor no me defienda. No es esto lo que queremos para Colombia, lo que queremos es… https://t.co/2wUSzn0tbr</t>
  </si>
  <si>
    <t>Debo rechazar el trato que el gobierno chileno le da a la inmigración colombiana y venezolana. La expulsión de los… https://t.co/3RNKXAxNhg</t>
  </si>
  <si>
    <t>RT @AProgresista_: El progresismo lanza una lista única al Congreso 2022, basada en los principios de decencia, transparencia y unidad para…</t>
  </si>
  <si>
    <t>RT @GustavoBolivar: #PACTOHISTÓRICO Este es nuestro manifiesto, leído esta mañana por Margarita Rosa. Les pido imprimirlo, rotarlo, postear…</t>
  </si>
  <si>
    <t>RT @PtcVerde: Rueda de prensa de PACTO HISTORICO POR COLOMBIA Videos de la intervención de Margarita Rosa de Francisco y Marcelo Torres. Ig…</t>
  </si>
  <si>
    <t>Nos encontramos a las siete en la W https://t.co/luzz0pIMPY</t>
  </si>
  <si>
    <t>RT @petrogustavo: Esta es la proclama de convocatoria para cambiar el Congreso. A construir la lista unitaria del Cambio Histórico Que la…</t>
  </si>
  <si>
    <t>RT @MabelLaraNews: Estas fotografías son de mi colega Santiago Saldarriaga, reportero gráfico que conoce las entrañas del Pacífico Colombia…</t>
  </si>
  <si>
    <t>Anoche Buenaventura se cubrió de terror. La policía no salió a proteger a la ciudadanía, pero hoy si sale pero a do… https://t.co/0RsnppFmGN</t>
  </si>
  <si>
    <t>RT @ClaraLopezObre: Con esta proclama se busca lo que une a la gente y no lo que la separa. Una gran propuesta de renovación y esperanza.</t>
  </si>
  <si>
    <t>RT @Cyanider_: Únete al baile, #PetroPresidente2022 #PactoHistorico #PactoPorLaDemocracia @petrogustavo @GustavoBolivar https://t.co/sJy9…</t>
  </si>
  <si>
    <t>Les quiero recordar que cuando dirigimos las empresas públicas de Bogotá, les duplicamos su valor. https://t.co/iWDXxdU4eK</t>
  </si>
  <si>
    <t>Bienvenido @RoyBarreras al Pacto Histórico. https://t.co/AYNaNS0EkP</t>
  </si>
  <si>
    <t>RT @ClaraLopezObre: Fue antiético de @PalomaValenciaL omitir el sonido cuando presentó video en el Congreso. Ahi se escucha a @petrogustavo…</t>
  </si>
  <si>
    <t>RT @petrogustavo: Bienvenido @RoyBarreras al Pacto Histórico.</t>
  </si>
  <si>
    <t>Esta es mi entrevista hoy en la W con Julio Sanchez https://t.co/ZVlNJ6cg4B</t>
  </si>
  <si>
    <t>El fiscal rompe la Constitución de Colombia. A nombre del uribismo ha decidido intervenir en las elecciones del Ecu… https://t.co/5Wl2hh5KNp</t>
  </si>
  <si>
    <t>Cuando la fiscalía accedió a las pruebas reales de compra de votos con dineros del narcotráfico en la misma Colombi… https://t.co/UuQVzo8rns</t>
  </si>
  <si>
    <t>Ha muerto Luis Fernando Arias, consejero mayor de la Organización Nacional Indígena de Colombia, ONIC, y líder del… https://t.co/0Nf4arhdZc</t>
  </si>
  <si>
    <t>Llegan cien mil vacunas a Venezuela. https://t.co/Njrcqf5qcp</t>
  </si>
  <si>
    <t>RT @petrogustavo: El fiscal rompe la Constitución de Colombia. A nombre del uribismo ha decidido intervenir en las elecciones del Ecuador,…</t>
  </si>
  <si>
    <t>Esta es la gran estupidez cometida por el Fiscal General de Colombia en el Ecuador. Con su intervención se avecina… https://t.co/3p8xB9ioIY</t>
  </si>
  <si>
    <t>RT @estebanmayoral: No conozco otro alcalde de Bogotá al que la gente humilde lo recuerde con tanta nostalgia y cariño... https://t.co/rkcc…</t>
  </si>
  <si>
    <t>RT @petrogustavo: Esta es la gran estupidez cometida por el Fiscal General de Colombia en el Ecuador. Con su intervención se avecina un go…</t>
  </si>
  <si>
    <t>Los pensamientos y acciones de izquierda, o de derecha, o progresistas, o retrógradas se realizan generalmente en e… https://t.co/aExvjpZkjh</t>
  </si>
  <si>
    <t>Invito a contestarle con argumentos y sin groserías toda(o)s, quienes han hecho comentarios sobre su trino, así ha… https://t.co/K1PKN6MOK0</t>
  </si>
  <si>
    <t>Sabían que hay parlamentarios que plantean la iniciativa, con la excusa del covid, de prorrogar dos años el mandato… https://t.co/uUkqdV4hOn</t>
  </si>
  <si>
    <t>Mi entrevista en El Espectador. En que consiste eso que llamamos una política de la vida? https://t.co/QGqp9YqsEb</t>
  </si>
  <si>
    <t>En el debate de Fajardo/Uribe contra Quintero, no está sino la defensa de los grupos empresariales que usufructuaro… https://t.co/rTeWoFq6x8</t>
  </si>
  <si>
    <t>No quedó bien este trino y corrijo: Hay algunos parlamentarios que plantean prorrogar el gobierno de Duque y el pe… https://t.co/ekFcTQ9nio</t>
  </si>
  <si>
    <t>RT @UnidadsinVetos: En el 2018 o nos uniamos o nos hundiamos. El tiempo nos dio la razón. Esta vez vamos por la unidad @Sebas960507 #PasaLa…</t>
  </si>
  <si>
    <t>RT @petrogustavo: Mi entrevista en El Espectador. En que consiste eso que llamamos una política de la vida? https://t.co/QGqp9YqsEb</t>
  </si>
  <si>
    <t>Enorme marcha del pueblo de Haití en lucha por la democracia. Una dictadura existe en el país y su pueblo se rebel… https://t.co/efrAdoGnmJ</t>
  </si>
  <si>
    <t>RT @datoatipico: ¿Por qué @sergio_fajardo arremete contra @QuinteroCalle? Porque el GEA controlaba a EPM. Quintero le ha venido quitando es…</t>
  </si>
  <si>
    <t>Cuando decidí desmontar la privatización de la empresa Acueducto de Bogotá y el Aseo, me cayeron truenos y centella… https://t.co/dILjfv1YGQ</t>
  </si>
  <si>
    <t>Muy bien porque algunos colombianos, ojalá del sector salud, puedan vacunarse. Pero no deja de ser una desfachatez… https://t.co/17kPkRnAIi</t>
  </si>
  <si>
    <t>RT @TresEnMil: Mi entrevista con @petrogustavo hoy en @elespectador https://t.co/6kJhDucn4t</t>
  </si>
  <si>
    <t>RT @elespectador: "Los han asustado con Venezuela, con el comunismo, o que creían que yo iba a quemar iglesias, pero cuando fui alcalde rec…</t>
  </si>
  <si>
    <t>RT @petrogustavo: Muy bien porque algunos colombianos, ojalá del sector salud, puedan vacunarse. Pero no deja de ser una desfachatez estos…</t>
  </si>
  <si>
    <t>Hicieron coincidir la llegada de algunas vacunas con el reporte del DANE sobre la situación económica. Esta es la… https://t.co/mAz7QcKkuE</t>
  </si>
  <si>
    <t>No es Gilberto Toro, es el núcleo duro del Uribismo y el liberalismo el que quiere proponer el golpe de estado parl… https://t.co/cubNTk2lBX</t>
  </si>
  <si>
    <t>RT @petrogustavo: Hicieron coincidir la llegada de algunas vacunas con el reporte del DANE sobre la situación económica. Esta es la realid…</t>
  </si>
  <si>
    <t>RT @Santiag81039690: Excelente escrito del ex magistrado @Rafael_Ballen "Ojo Petro, a tres momentos" https://t.co/8ZYlGYGZ57</t>
  </si>
  <si>
    <t>El enorme grado de incoherencia con la democracia en la que está cayendo este régimen no puede ser respondida desde… https://t.co/BEBq6pA873</t>
  </si>
  <si>
    <t>Es esto lo que toca hacer hoy. Fuera del marketing del gobierno, hoy no hay perspectivas de inmunización de la pob… https://t.co/hncj2ZZlti</t>
  </si>
  <si>
    <t>Colombia necesita 100 millones de dosis de vacuna, si son dos dosis la recomendación científica. El gobierno no las… https://t.co/MaiOGnrgSO</t>
  </si>
  <si>
    <t>Insistimos en que el modelo de salud debe cambiar por uno público que logre controlar el contagio de la nueva cepa… https://t.co/BACOpoEJvF</t>
  </si>
  <si>
    <t>Integrantes de la cultura, el teatro, el cine y la música, abajo firmantes, se unen al Pacto Histórico https://t.co/v2Bz5KpI1N</t>
  </si>
  <si>
    <t>Ay señores de @BluRadioCo , la sentencia de 471 del 2008 de la Corte Constitucional, dice que la desobediencia civi… https://t.co/Sur1VtazzT</t>
  </si>
  <si>
    <t>Miren de boca del candidato @ecuarauz el tamaño de las mentiras del Fiscal General de Colombia para intervenir en… https://t.co/T2QwsdalR1</t>
  </si>
  <si>
    <t>Dice Dani Rodrik, uno de los economistas mas destacados del mundo, que es necesario algo de populismo de izquierdas… https://t.co/Ir9rXvryQT</t>
  </si>
  <si>
    <t>La industria colombiana se desplomó un 8% en el 2020. Propusimos un subsidio estatal del 100% de la nómina de la… https://t.co/1OZp3cmuP7</t>
  </si>
  <si>
    <t>Aquí comienza el peor desplome económico de la historia de Colombia. La caída en casi un 40% de las exportaciones d… https://t.co/ngHSiMC696</t>
  </si>
  <si>
    <t>Se va Margarita Rosa de @ELTIEMPO. El pluralismo informativo que ordena la constitución ya no existe en nuestro pa… https://t.co/Ep8KyZnfZM</t>
  </si>
  <si>
    <t>Edwin Palma, presidente nacional de la union Sindical Obrera, USO, invita a los trabajadores del sector de los hidr… https://t.co/S11EfqsT0j</t>
  </si>
  <si>
    <t>En España, hace un tiempo, fusilaron un poeta y encarcelaron muchos hasta su muerte, era el ¡muera la inteligencia!… https://t.co/VsKIRi6lQz</t>
  </si>
  <si>
    <t>¿Que por qué ataco el fascismo en su forma colombiana: el narcofascismo? Porque fue capaz de llevar a las sociedad… https://t.co/fmmY9HMb8a</t>
  </si>
  <si>
    <t>Este es el análisis político de Gilberto Tobón sobre la política Colombiana. "Están paniqueados con un posible tri… https://t.co/zfzVuDMXiu</t>
  </si>
  <si>
    <t>¿Por qué me opongo al narcofascismo, aplaudido por millones de colombianos y con un poder tal que ha dominado la pr… https://t.co/JYHiERq00J</t>
  </si>
  <si>
    <t>¿Se les olvidó el Amazonas? Se les olvidó toda region excluidas, y los pobres y los pequeños empresarios, se les ol… https://t.co/vuyWjLGFZ1</t>
  </si>
  <si>
    <t>RT @charry_manager: El temor de @lcvelez era que Petro hiciera algo para quedarse más de 4 años en la presidencia su respuesta fue contunde…</t>
  </si>
  <si>
    <t>RT @FabiolaPinacue: He presentado renuncia a la militancia en el @PartidoVerdeCoL porque amo la vida, amo a Colombia, Hidroituango con su e…</t>
  </si>
  <si>
    <t>Se dibuja una estrategia antidrogas en los EEUU basada en dedicar todos los recursos a la rehabilitación de adictos… https://t.co/KPSgznzU95</t>
  </si>
  <si>
    <t>RT @petrogustavo: ¿Se les olvidó el Amazonas? Se les olvidó toda region excluidas, y los pobres y los pequeños empresarios, se les olvidó e…</t>
  </si>
  <si>
    <t>RT @OFICIALCALDER0N: Gracias Senador @GustavoBolivar por atender el llamado, de este grupo de Militares y Policías valientes, que luchan p…</t>
  </si>
  <si>
    <t>En este momento por https://t.co/1OlHn1uKxE iniciamos dialoho con las y los trabajadores del carbón, el prtroleo y… https://t.co/TipEQojpI5</t>
  </si>
  <si>
    <t>RT @charry_manager: La bajeza de los funcionarios en Colombia es inconmensurable, cada día se preocupan por superar su miserableza, engañan…</t>
  </si>
  <si>
    <t>RT @pulzo: Ácida dosis al Gobierno: a primera enfermera vacunada le deben varios meses de salario 👀👉 https://t.co/HLHgx3ZhDq https://t.co/c…</t>
  </si>
  <si>
    <t>Ayer se pusieron 18 vacunas mientras el mundo lleva 188 millones de vacunados. La vacuna no fue al ciudadano sino a… https://t.co/6hOOCyxP5v</t>
  </si>
  <si>
    <t>Es la desigualdad social la que llevó a Colombia a ser el segundo país más contagiado de America Latina Tengo el t… https://t.co/V4lwJrLL4I</t>
  </si>
  <si>
    <t>El Estado debería adelantar, contratando los equipos de salud puestos en microterritorios, la vacunación efectiva d… https://t.co/fr7nXGqu0V</t>
  </si>
  <si>
    <t>RT @petrogustavo: Ayer se pusieron 18 vacunas mientras el mundo lleva 188 millones de vacunados. La vacuna no fue al ciudadano sino al func…</t>
  </si>
  <si>
    <t>El asesinato sistemático de 6.402 personas por parte del Estado, para hacerlas pasar por guerrilleros muertos y lev… https://t.co/rN5MtO0HZb</t>
  </si>
  <si>
    <t>Duque trafica con la vacuna a través de la politiquería. El pueblo eligió gobernadores y alcaldes así no nos gusten… https://t.co/2nxsoszj56</t>
  </si>
  <si>
    <t>RT @petrogustavo: El asesinato sistemático de 6.402 personas por parte del Estado, para hacerlas pasar por guerrilleros muertos y levantar…</t>
  </si>
  <si>
    <t>De la Espriella, el DAS y los paramilitares presos en Itaguí a quienes defendía. Julian Martínez publicará su inve… https://t.co/OwkPMSxdmI</t>
  </si>
  <si>
    <t>RT @adam_wola: Imagínese querer gobernar un país cuando ni siquiera puede distinguir entre un "bandido" y una familia obligada a depender d…</t>
  </si>
  <si>
    <t>Por ejemplo bajo la tesis de moralizar la política se podría actuar en función de evitar que en la privatización de… https://t.co/d6jrg0i1Gh</t>
  </si>
  <si>
    <t>La moral es un ajustamiento del individuo a la sociedad y a la naturaleza de la que es parte indivisible. La moral… https://t.co/UJSvwulAL6</t>
  </si>
  <si>
    <t>Una sociedad reaccionaría quitando del poder a los autores políticos de un crimen contra la humanidad tan grave, c… https://t.co/YWLBZyYhNk</t>
  </si>
  <si>
    <t>El estado de anomia en que ha caído la sociedad colombiana y, en un gran sector, la complicidad con el crimen d les… https://t.co/inEoYV0lxk</t>
  </si>
  <si>
    <t>La manipulación mediática por décadas de la sociedad colombiana ha construido odios profundos que provocan la viole… https://t.co/aTqmaI5she</t>
  </si>
  <si>
    <t>Al legitimar que ante el crimen insurgente, el estado pueda efectuar crímenes, se ha abierto la puerta al crimen co… https://t.co/NF2R5LSgUk</t>
  </si>
  <si>
    <t>Hoy aun con todas las evidencias del papel de Uribe en la conformación del paramilitarismo a través de las convivir… https://t.co/kS9c4wJPm8</t>
  </si>
  <si>
    <t>Es el mismo aplauso que recibía Pinochet, Franco,o Hitler. El Salvador de la sociedad del "comunismo", real o inexi… https://t.co/QiZNy3dXvp</t>
  </si>
  <si>
    <t>Protestar, levantar la voz contra el crimen de lesa humanidad en Colombia, es tildado de polarización, de extremism… https://t.co/9iMY4sPucX</t>
  </si>
  <si>
    <t>Una de las necesidades básicas para que Colombia llegue a una era de paz, y por eso la pertinencia de un Pacto Hist… https://t.co/zzc79xGV8o</t>
  </si>
  <si>
    <t>Cualquiera de esas cifras que usted presenta senadora, sobre asesinato de personas por parte de funcionarios del go… https://t.co/quWzjYpJdL</t>
  </si>
  <si>
    <t>RT @JulianFMartinez: Las ChuzaDAS de Abelardo De La Espriella https://t.co/QoptbLarN2 vía @YouTube</t>
  </si>
  <si>
    <t>RT @petrogustavo: Una sociedad reaccionaría quitando del poder a los autores políticos de un crimen contra la humanidad tan grave, como el…</t>
  </si>
  <si>
    <t>RT @GiordanoBrunoFi: "El motivo de los "falsos positivos" es una resolución del gobierno..." Gustavo Francisco Petro Urrego Video año 2009…</t>
  </si>
  <si>
    <t>Feministas con el Pacto Histórico. https://t.co/pAUkTF3ZXM</t>
  </si>
  <si>
    <t>Dios no está con el asesinato de civiles para pasarlos por bajas guerrilleras Los soldados de la Patria son los qu… https://t.co/sfvNg6t4Me</t>
  </si>
  <si>
    <t>RT @Juventud_Humana: @petrogustavo lo denunció en 2009: falsos positivos no son un accidente, ni se dan por una infiltración de fuerzas osc…</t>
  </si>
  <si>
    <t>La Unidad Democrática, que hacía parte del Partido Verde, decide salirse de allí e ingresar a la gran fuerza de un… https://t.co/jdkOHN2tcU</t>
  </si>
  <si>
    <t>RT @petrogustavo: La Unidad Democrática, que hacía parte del Partido Verde, decide salirse de allí e ingresar a la gran fuerza de un Pacto…</t>
  </si>
  <si>
    <t>Aquí les presento el primer debate público en donde le demostré al entonces ministro de defensa Juan Manuel Santos… https://t.co/Mb6LEMQFdU</t>
  </si>
  <si>
    <t>RT @petrogustavo: Aquí les presento el primer debate público en donde le demostré al entonces ministro de defensa Juan Manuel Santos y al p…</t>
  </si>
  <si>
    <t>Una política de seguridad no se hace para matar al ciudadano sino para protegerlo Este fue mi debate del 19 de sep… https://t.co/y5QQrHlsJu</t>
  </si>
  <si>
    <t>Esta es la historia de un luchador. Su vida épica, como la de millones, ha mantenido en pie la idea de la democraci… https://t.co/Q3zDnDBgEi</t>
  </si>
  <si>
    <t>RT @QuinteroCalle: En Medellín Fajardo trató de dividir votación para que ganara el candidato de Uribe a la Alcaldía. Los une el GEA, EPM,…</t>
  </si>
  <si>
    <t>RT @Ivanteacher69: Miren el amor que una vendedora ambulante Luz Elena Velásquez (mi prima) le expresa a @petrogustavo . https://t.co/F2iIC…</t>
  </si>
  <si>
    <t>RT @GamboaOfir: Él era mi hermano Héctor Gamboa, tenía 33 años en el 2003. Tenía problemas de salud por un accidente en moto y vendía CD’s…</t>
  </si>
  <si>
    <t>RT @jcuestanovoa: ¡Prohibido Ovidar! https://t.co/qzbUPldsMy</t>
  </si>
  <si>
    <t>La universidad pública gratuita para toda la juventud, implica elevar el presupuesto de 3.8 billones anuales a 13.… https://t.co/iKg9MyXqDX</t>
  </si>
  <si>
    <t>RT @patdilon: Macabro relato del General Gabriel Rincón... “saque cadaveres del anfiteatro y unifórmelos” Asesinos. https://t.co/DxBOg3mo…</t>
  </si>
  <si>
    <t>RT @LoMujer: El hombre que cubre fosas comunes con agua, busca un acuerdo ético... https://t.co/yVGZGzraKM</t>
  </si>
  <si>
    <t>RT @Larangolo: "No nos financiaba el narcotráfico, nos financiaban las empresas, las alcaldías, El Gobierno. Éramos unos 300 hombres" "En u…</t>
  </si>
  <si>
    <t>Hemos convocado, entre varias organizaciones sociales y políticas, la configuración de listas al Congreso de la Rep… https://t.co/yaieW9tnNS</t>
  </si>
  <si>
    <t>Estas listas tendrán mayoría femenina y cuotas afro e indígenas. No solo serán una coalición de organizaciones pol… https://t.co/cHByRLUOY1</t>
  </si>
  <si>
    <t>Le solicitaré a cada ciudadana y ciudadano que desee votar por mi, que quiera cambiar la historia de nuestro país,v… https://t.co/EKN84vPOYU</t>
  </si>
  <si>
    <t>El estatuto del trabajo para alcanzar la dignidad laboral, el cambio del régimen de pensiones y salud para lograr e… https://t.co/aKbBE7Owsv</t>
  </si>
  <si>
    <t>La ley de la reforma y el fortalecimiento agrario, la de la igualdad de la mujer, entre otras. Vamos a un Pacto hi… https://t.co/gUz59KJxaH</t>
  </si>
  <si>
    <t>Germán Prado, militante vallecaucano de la Colombia Humana, ha muerto. Se lo llevó la enfermedad. Nuestras condolen… https://t.co/liYNtbbCQs</t>
  </si>
  <si>
    <t>Aquí les presento mi propuesta de reforma económica, en entrevista con la revista Dinero. Traten de difundirla entr… https://t.co/ea7sgZeiEN</t>
  </si>
  <si>
    <t>RT @petrogustavo: Aquí les presento mi propuesta de reforma económica, en entrevista con la revista Dinero. Traten de difundirla entre sus…</t>
  </si>
  <si>
    <t>Ahí tienen los extremos; en la extrema izquierda está Santrich y el ELN y en la extrema derecha: Uribe, y se juntan… https://t.co/BRPjNuP7Zp</t>
  </si>
  <si>
    <t>RT @UnivalleU: Como organización estudiantil @UnivalleU saludamos la creación de #UnicaucaUnida. Le proponemos al movimiento estudiantil a…</t>
  </si>
  <si>
    <t>RT @ChalecosAmarill: 🎥🛑Desde #Colombia me llegó este vídeo. ⚠️Lo comparto, es importante lo vean. @petrogustavo @GustavoBolivar @evoespueb…</t>
  </si>
  <si>
    <t>Los llamados "falsos positivos" son un asesinato sistemático de personas desde el Estado, por tanto se llama: crime… https://t.co/COiTWeo2UE</t>
  </si>
  <si>
    <t>RT @Margaritarosadf: Tocaya, ¿cómo así retroceder? ¿No estamos ya como muy atrás en derechos humanos, el insumo más importante para el verd…</t>
  </si>
  <si>
    <t>RT @petrogustavo: Los llamados "falsos positivos" son un asesinato sistemático de personas desde el Estado, por tanto se llama: crimen cont…</t>
  </si>
  <si>
    <t>Faltan 30.000 millones de dólares en el COVAX para vacunar la humanidad, para detener el virus hay que vacunar a t… https://t.co/Mh33nCV4Jy</t>
  </si>
  <si>
    <t>RT @BogotaLogica: Camacol cambió su estrategia para "incidir" en el POT, se apropió de la coordinación de la comisión de POT del CTPD (Part…</t>
  </si>
  <si>
    <t>El hecho de revelarse por la justicia colombiana un delito de lesa humanidad de una enorme magnitud: la ejecución… https://t.co/gtWNulwKBX</t>
  </si>
  <si>
    <t>RT @AProgresista_: Los alternativos nos unimos para llevar a mujeres, sindicatos, jóvenes, pymes, indígenas, negritudes, académicos, ambien…</t>
  </si>
  <si>
    <t>RT @GuzmanJoseVicen: Si en las elecciones de 2022, el uribismo y la ultraderecha ganan, sería una catástrofe para el país. Si gana la Coali…</t>
  </si>
  <si>
    <t>RT @petrogustavo: El hecho de revelarse por la justicia colombiana un delito de lesa humanidad de una enorme magnitud: la ejecución de 6.4…</t>
  </si>
  <si>
    <t>Buena parte de la emisión en dinero hecha por EEUU y la UE frente al covid, se ha transformado en altos precios de… https://t.co/UyPxzD7iBi</t>
  </si>
  <si>
    <t>El dinero por si mismo no crea riqueza, la riqueza se crea en la producción. La burbuja es el atesoramiento de gra… https://t.co/FXKG9FoFoh</t>
  </si>
  <si>
    <t>Nuestra propuesta es desarrollar la capacidad productiva de Colombia. Es decir, crear riqueza y lograr distribuirla… https://t.co/fsSBiHOIY3</t>
  </si>
  <si>
    <t>La producción es la única que crea riqueza, y por eso nos dedicaremos al crecimiento productivo y al trabajo del pa… https://t.co/ObyahHqEcN</t>
  </si>
  <si>
    <t>Corea del Sur es un buen ejemplo de este camino. A esa experiencia hay que añadirle el reequilibrio con la naturale… https://t.co/XtnmoKMMRt</t>
  </si>
  <si>
    <t>Trato de evitar judicializar la política,a pesar que he sido víctima de cualquier cantidad de calumnias e injurias.… https://t.co/NIx03IXmqx</t>
  </si>
  <si>
    <t>RT @ActualidadRT: El doble de víctimas que durante la dictadura de Pinochet y diez veces más que las causadas por el yihadismo en la Unión…</t>
  </si>
  <si>
    <t>RT @bogotamuyfirme: #ATENCION Este es el momento donde los señores Melciades Vanegas, director financiero del H. Santa Clara, Natacha Mosqu…</t>
  </si>
  <si>
    <t>RT @anateresabernal: 🧵🪡En un país de 19 mill de personas, ya se vacunaron 3 mill. Chile tiene la capacidad para inocular a 87 mil personas…</t>
  </si>
  <si>
    <t>RT @JMVivancoHRW: **Importante** El Congresista de EEUU @RepMcGovern le pide al Congreso de EEUU y a la administración Biden que estudien…</t>
  </si>
  <si>
    <t>Reducir las regalías del carbón , es regalarle el carbón a las multinacionales. Subsidiar unas empresas que están m… https://t.co/YBDw5ggjTf</t>
  </si>
  <si>
    <t>RT @Juanaafanador1: Escuchen bien el final de este video. China Harbour Engineering parte del consorcio Chino a quien le adjudicaron la con…</t>
  </si>
  <si>
    <t>RT @javiergarces17: PARTIDO #VERDE CAMBIA REGLAS DE JUEGO: &lt;&amp;lt;Todo estaba listo para el anuncio de un proceso que nos dejaría con candidatur…</t>
  </si>
  <si>
    <t>Así van las vacunas creadas en Cuba. Duque debería permitir que la fase III de la investigación científica se haga… https://t.co/6DSJI1yUEc</t>
  </si>
  <si>
    <t>RT @WRadioColombia: #NoticieroW | Dirigencia del Verde se equivoca haciendo reuniones a manteles y en clubes: @CamiloRomero &gt;&amp;gt; https://t.co…</t>
  </si>
  <si>
    <t>RT @RutasConflicto: #LicenciaParaElDespojo | El allanamiento al parqueadero padilla es una oportunidad desaprovechada para desmantelar a la…</t>
  </si>
  <si>
    <t>Después de tanta foto,se les olvidó que las vacunas habia que transportarlas en aeronaves para cuidarlas por su sen… https://t.co/jeYNroczeF</t>
  </si>
  <si>
    <t>RT @wcamargotriana: El tiempo es el mejor juez. En 2015 cuando se planteó la idea de cambiar tipologia, estas fueron mis impresiones. Adema…</t>
  </si>
  <si>
    <t>¿Saben ustedes cuanta vida, tiempo, economía, se ha perdido por la decisión de suspender la licitación de construcc… https://t.co/FJu01bBz0h</t>
  </si>
  <si>
    <t>El Consejo de Estado, en segunda instancia, ratifica al tribunal administrativo de Cundinamarca y ordena suspender… https://t.co/gE0tLh6X0q</t>
  </si>
  <si>
    <t>Es una sanción moral contra el actual disciplinador de jueces, el contralor de Odebrecht, Juan Carlos Granados, qui… https://t.co/qTrL0iquI8</t>
  </si>
  <si>
    <t>El actual contralor distrital, ficha de Granados, ha vuelto a iniciar procesos contra mi, por mi decisión legal de… https://t.co/GadBHqAOO1</t>
  </si>
  <si>
    <t>Se define si en Colombia se puede financiar el transporte público con el.presupuesto, como en todos los paises mode… https://t.co/0N0h6RfOhA</t>
  </si>
  <si>
    <t>EN VIVO | Estoy en diálogo con las y los trabajadores del sector agropecuario, escuchamos al campo colombiano para… https://t.co/fjGYq7zgjS</t>
  </si>
  <si>
    <t>Denle una oportunidad al cambio dice Aura Cristina Geithner. Votaría por el Pacto Histórico. https://t.co/X9PJ4hVnlR</t>
  </si>
  <si>
    <t>Usted, Claudia, es la jefe de policía de Bogotá. El arte de gobernar bien, le implica saber dirigir la policía. ¿La… https://t.co/Id4ybGAOKk</t>
  </si>
  <si>
    <t>RT @petrogustavo: Denle una oportunidad al cambio dice Aura Cristina Geithner. Votaría por el Pacto Histórico.</t>
  </si>
  <si>
    <t>Solo que no estamos pidiendo una entrada a una consulta, sino hacer una sola consulta de fuerzas democráticas. https://t.co/pFy4vAZiI2</t>
  </si>
  <si>
    <t>El Pacto histórico no es solo en las cúpulas de la sociedad, es fundamentalmente con el pueblo. A construir el Pact… https://t.co/3XqJZXx6pX</t>
  </si>
  <si>
    <t>Este documental de la televisión alemana en español muestra como las empresas carboneras financiaron el genocidio p… https://t.co/ZOFgdYU9DS</t>
  </si>
  <si>
    <t>Le han dicho que gobernamos mal, que podríamos paralizar el país. Pero miren lo que pasó cuando gobernamos a Bogot… https://t.co/R2oRkMkX7U</t>
  </si>
  <si>
    <t>RT @petrogustavo: Le han dicho que gobernamos mal, que podríamos paralizar el país. Pero miren lo que pasó cuando gobernamos a Bogotá. Lo…</t>
  </si>
  <si>
    <t>Esta imitación de mi cuenta con mensajes injuriosos contra mi y contra Jorge Oñate debería ser investigada por la F… https://t.co/ULOt6o4D8e</t>
  </si>
  <si>
    <t>Y será del clan de los Char . https://t.co/RsY5hePLJx</t>
  </si>
  <si>
    <t>RT @petrogustavo: Esta imitación de mi cuenta con mensajes injuriosos contra mi y contra Jorge Oñate debería ser investigada por la Fiscalí…</t>
  </si>
  <si>
    <t>RT @AProgresista_: #ATENCIÓN | @AntanasMockus pide coalición con @petrogustavo y manifiesta que no está de acuerdo con que se lo vete. ¡Que…</t>
  </si>
  <si>
    <t>Gracias Terry, Inti, Leon Fredy y Antanas. Las voces en el Partido Verde que luchan por un gran Pacto democrático,… https://t.co/hhPZWVF72U</t>
  </si>
  <si>
    <t>La vacuna debe ser un bien común global y por tanto debe liberarse de patentes para producirla en todo el mundo.… https://t.co/hDtxGxDI1h</t>
  </si>
  <si>
    <t>Gracias edilesa Camila Manzanares, por levantar su voz en el partido Verde, por una gran convergencia democrática q… https://t.co/uhixINE2yN</t>
  </si>
  <si>
    <t>RT @petrogustavo: La vacuna debe ser un bien común global y por tanto debe liberarse de patentes para producirla en todo el mundo. 110 pa…</t>
  </si>
  <si>
    <t>Este es el listado de vacunación en el mundo al día de hoy. Mientras Chile logra vacunar el 17% de su población, e… https://t.co/xP6kff0Ck6</t>
  </si>
  <si>
    <t>Cerca de mil cuerpos encontrados en un cementerio de Medellín podrían ser de personas desaparecidas y ejecutadas po… https://t.co/WQVtPWHW6l</t>
  </si>
  <si>
    <t>RT @intiasprilla: Hago un llamado a todas las bases del @PartidoVerdeCoL que quieran ser escuchadas dentro de la discusión de las eleccione…</t>
  </si>
  <si>
    <t>Ha sido asesinado Jaime Basilio, en La Libertad, San Onofre, Sucre. Líder campesino. Sucre esta en pleno proceso d… https://t.co/sveyXCHeWa</t>
  </si>
  <si>
    <t>Hemos convocado a todas las fuerzas democráticas del país sin excepción, a escoger en consulta popular el candidato… https://t.co/fYYgdZnH2O</t>
  </si>
  <si>
    <t>El gran Pacto Histórico será la forma de gobernar, buscando el mayor de los consensos para la mayor de las reformas… https://t.co/uHpspVlW7o</t>
  </si>
  <si>
    <t>Lanzamos la propuesta de una gran lista al Congreso que permita hacer mayorías allí, para quitarle la hechura de la… https://t.co/7S1I5fsjA3</t>
  </si>
  <si>
    <t>La lista del pacto histórico al Congreso de la República será una lista con mayoría femenina, representará la diver… https://t.co/ThBUWELFGw</t>
  </si>
  <si>
    <t>RT @petrogustavo: Hemos convocado a todas las fuerzas democráticas del país sin excepción, a escoger en consulta popular el candidato a la…</t>
  </si>
  <si>
    <t>Mas integrantes del.Partido Verde se suman a la propuesta del Pacto Historico para cambiar a Colombia. https://t.co/x4V0P7MyN5</t>
  </si>
  <si>
    <t>RT @JoseMar72645899: RT. Por favor. Gobierno Duque,nos matan bajo su mirada . El líder social indígena Jaime Basilio, era alguacil primero…</t>
  </si>
  <si>
    <t>RT @dw_espanol: Suprimir las patentes de las vacunas contra la #COVID19 podría acelerar su producción, pero va contra los intereses de las…</t>
  </si>
  <si>
    <t>RT @MirandaBogota: No malinterpretes, @juanitagoe. Que la pasión con la que quieres derrotar los extremos no te nuble el juicio. En una co…</t>
  </si>
  <si>
    <t>RT @AlexFlorezH: Tildar al alcalde de “cobarde” es la salida fácil de la supuesta oposición. Los que atacan a esta administración quieren m…</t>
  </si>
  <si>
    <t>RT @ChalecosAmarill: 🎥🛑En #EEUU ⚠️ Policías de San Diego disparan a una persona sin hogar por la espalda. ¿Qué pasó con la humanidad? ¿Dón…</t>
  </si>
  <si>
    <t>Nunca había escuchado una investigación periodística tan profunda sobre la toma y contratoma del Palacio de Justici… https://t.co/xmCsgKng00</t>
  </si>
  <si>
    <t>RT @bogotamuyfirme: En la @Uaesp de la señora @ClaudiaLopez compraron tapabocas de tela lavables los cuales costaron $146.217 LA UNIDAD. 😦…</t>
  </si>
  <si>
    <t>RT @anateresabernal: Dra. @ClaudiaLopez exigimos se aclaren inmediatamente las razones y argumentos para la adquisición de 170 tapabocas de…</t>
  </si>
  <si>
    <t>El concejal Diego Cancino ha sido firme contra la violencia policial. Como concejal es en realidad coautoridad máxi… https://t.co/v8ObkOSV7m</t>
  </si>
  <si>
    <t>Ha decidido Roy Barreras como precandidato presidencial participar en la consulta abierta y unitaria que hemos prop… https://t.co/rokgAgyaKo</t>
  </si>
  <si>
    <t>Esta es la dictadura birmana, ya han asesinado 25 personas en las manifestaciones por la Democracia. https://t.co/wx6dbmUdWU</t>
  </si>
  <si>
    <t>Más ediles del partido verde se suman a la realización de una consulta abierta y unitaria. Primero es la sociedad c… https://t.co/kVrlQ7MMNG</t>
  </si>
  <si>
    <t>RT @Contravia: #Colombia Varias Empresas del Grupo Antioqueño GEA también recibieron subsidios del Gobierno de ⁦@IvanDuque⁩ LaOrejaRoja -…</t>
  </si>
  <si>
    <t>RT @petrogustavo: Ha decidido Roy Barreras como precandidato presidencial participar en la consulta abierta y unitaria que hemos propuesto…</t>
  </si>
  <si>
    <t>RT @petrogustavo: Nunca había escuchado una investigación periodística tan profunda sobre la toma y contratoma del Palacio de Justicia en 1…</t>
  </si>
  <si>
    <t>Bienvenido Alexander Lopez como candidato presidencial del Polo Democrático a la consulta abierta y unitaria del Pa… https://t.co/dZIb9hNSYo</t>
  </si>
  <si>
    <t>RT @elespectador: "Voy a competir con Gustavo Petro en una consulta presidencial, una consulta sin vetos y sin miedos, no le tengo miedo a…</t>
  </si>
  <si>
    <t>Al ritmo de vacunación diaria que va Colombia, necesitariamos 20 años para inmunizar a la población. https://t.co/7Dbcoip02P</t>
  </si>
  <si>
    <t>RT @RoyBarreras: Bienvenidos todos a una Gran Alianza por un Pacto Histórico. Invito a los buenos liberales que defienden la paz, la vida y…</t>
  </si>
  <si>
    <t>Subsidiaron la nómina del Cerrejón y el Cerrejón responde despidiendo 450 trabajadores. https://t.co/Rb0n1XcyQM</t>
  </si>
  <si>
    <t>Le solicitamos a Duque que la vacunación no la hicieran las EPS. Sino el Estado directamente No se nos escucho siq… https://t.co/wm1vlUFdkS</t>
  </si>
  <si>
    <t>RT @anateresabernal: Para arrebatarle nuestro país al narco-Estado, para devolverle los territorios a la vida y el progreso, para recuperar…</t>
  </si>
  <si>
    <t>RT @PalmaEdwin: Invito a todos los dirigentes sindicales del país a este conversatorio sobre lo que el #PactoHistorico haría respecto de lo…</t>
  </si>
  <si>
    <t>Gobernador del Magdalena denuncia que el clan político de la familia Cotes ha saqueado el presupuesto en 275.000 mi… https://t.co/cHRiXikXfg</t>
  </si>
  <si>
    <t>RT @UNIndepJudges: 2. Me preocupa si la cooperación judicial internacional, entre las Fiscalías General de #Ecuador y de #Colombia, se podr…</t>
  </si>
  <si>
    <t>Mostré al pais el caso del.senador Alvaro Jose García Romero y su papel como determinador de masacres en Sucre. De… https://t.co/7ucI3MqWVb</t>
  </si>
  <si>
    <t>Alcaldesa, esa obra que muestra, sede de laboratorios de la Universidad Distrital en Ciudad Bolivar, fue contratada… https://t.co/DamRuVKbZm</t>
  </si>
  <si>
    <t>El.alma impulsora de este proyecto fue nuestro alcalde local de Ciudad Bolivar, Cristobal Padilla, barranquillero y… https://t.co/V53V9xAN8O</t>
  </si>
  <si>
    <t>Colombia Humana llenará de sedes de la universidad pública a todos los territorios del país. Nuestro compromiso es… https://t.co/TsbGUd4tRm</t>
  </si>
  <si>
    <t>RT @LupeMohawk: Vean a @GustavoBolivar lo quieren hasta los gatos. Ese sí suma votos de todos los sectores. 😻 https://t.co/BEVORd0X82</t>
  </si>
  <si>
    <t>Nuevamente el Consejo Nacional Electoral, archiva investigaciones sobre las cuentas de nuestra campaña presidencial… https://t.co/0VG1qu8Pui</t>
  </si>
  <si>
    <t>Un fiscal de bolsillo ha solicitado a un juez, desautorizar a la Corte Suprema de Justicia, solo para garantizar la… https://t.co/SxxZ3eSCfs</t>
  </si>
  <si>
    <t>El expresidente Uribe, violando el mandato popular que había recibido como senador, decidió hacerse investigar por… https://t.co/TOACiWW7Oi</t>
  </si>
  <si>
    <t>El Consejo de Estado ha fallado en contra de la solicitud de pérdida de investidura que el ciudadano Cely trató de… https://t.co/6JRBBRq2hE</t>
  </si>
  <si>
    <t>#ENVIVO | Estoy en diálogo con las y los dirigentes sindicales para construir el #PactoHistórico https://t.co/7Yybhmi9Ca</t>
  </si>
  <si>
    <t>En este momento me reuno con 150 lideresas y líderes de trabajadores, alrededor del Pacto histórico y las propuesta… https://t.co/q48N1ibOFW</t>
  </si>
  <si>
    <t>Momentos. https://t.co/tRMVPIUmnL</t>
  </si>
  <si>
    <t>RT @sofia_petro: No veo cual es la propuesta, no me parece algo serio en este momento tan crítico. Respeto su posición pero creo que más qu…</t>
  </si>
  <si>
    <t>En el plato central ¿hallaré alguna frase sobre la degradación de la justicia que el fiscal Jaimes ha producido par… https://t.co/thJe6SUDrR</t>
  </si>
  <si>
    <t>RT @IvanCepedaCast: Lecciones democráticas del caso Uribe, https://t.co/cnKqtw9vDW</t>
  </si>
  <si>
    <t>Asi protesa el.pueblo paraguayo contra la deficiencia de sus sistema de salud. Hay que recordar que el.sistema de… https://t.co/8q1oBHFe51</t>
  </si>
  <si>
    <t>Bien por reconocer el error ¿Qué tal si los platos de la metáfora se unen, forman un espectro multicolor lleno de c… https://t.co/hA4so93TWK</t>
  </si>
  <si>
    <t>Nos vemos hoy a las dos de la tarde con los Gustavos e Ivan Cepeda. https://t.co/cPmblc4TS2</t>
  </si>
  <si>
    <t>Mi columna para eldia de Hoy: EL Pacto Histórico https://t.co/pvB65yC9gB</t>
  </si>
  <si>
    <t>Este es el Procurador regional del Casanare haciendo política contra mi. ¿Para dónde va la Procuraduría? https://t.co/QegqeiVlu9</t>
  </si>
  <si>
    <t>El movimiento Alianza por el Agua, decide avanzar hacia el Pacto Histórico. El Pacto es con el agua, como eje de l… https://t.co/fnShYZDKvG</t>
  </si>
  <si>
    <t>RT @petrogustavo: Mi columna para eldia de Hoy: EL Pacto Histórico https://t.co/pvB65yC9gB</t>
  </si>
  <si>
    <t>EN VIVO | Los Gustavos en su segunda temporada, hoy nos acompaña el senador @IvanCepedaCast #CepedaEnLosGustavos https://t.co/qADR0gkwcW</t>
  </si>
  <si>
    <t>Un pacto histórico para cambiar a Colombia hacia la Paz, la Justicia Social y la Democracia no es posible si no es… https://t.co/WNlwGf1TbX</t>
  </si>
  <si>
    <t>Estas retransmitiendo una campaña falsa del DAS de Uribe A Gloria Lara no la secuestró ni asesinó el M19. Todo ind… https://t.co/kFv48qDceb</t>
  </si>
  <si>
    <t>En contados minutos comenzará el lanzamiento de la propuesta de protocolo sobre la prevención, atención, sanción, y… https://t.co/9QQCneHPnP</t>
  </si>
  <si>
    <t>He estado en mi vida rodeado de muchas mujeres. Mi madre Clara, mi hermana Adriana, mis hijas Andrea, Sofía y Anton… https://t.co/nPe0ptWNwX</t>
  </si>
  <si>
    <t>RT @fidelcanoco: Cuando Gustavo Petro, en su campaña presidencial, argumentó sobre los daños ambientales que ocasionan petróleo y carbón -l…</t>
  </si>
  <si>
    <t>RT @susanamuhamad: 🔴EN VIVO🔴 Lanzamiento de propuesta base para la construcción de un protocolo que prevenga y erradique la violencia contr…</t>
  </si>
  <si>
    <t>Aquí pueden ver el lanzamiento del protocolo para la prevención, sanción y erradicación de la violencia de género e… https://t.co/9pL31IZjoL</t>
  </si>
  <si>
    <t>Este es el primer protocolo contra la violencia contra la mujer en un partido político. Lo elaboraron activistas de… https://t.co/81NKWJPj4F</t>
  </si>
  <si>
    <t>Los jóvenes caldenses que querían conocer el mar, fueron secuestrados y reclutados forzadamente por un grupo narco… https://t.co/Z9kfgQ1coa</t>
  </si>
  <si>
    <t>RT @petrogustavo: Este es el primer protocolo contra la violencia contra la mujer en un partido político. Lo elaboraron activistas de la Co…</t>
  </si>
  <si>
    <t>Una justicia amañada al poder corrupto, impidió que Lula fuese candidato presidencial, y seguro presidente del Bras… https://t.co/2Wky5xKGJc</t>
  </si>
  <si>
    <t>RT @LauraRdondo: Sucedió en 1908 en Nueva York. Reclamaban la igualdad salarial, disminución de la Jornada de 10 horas o poder amamantar a…</t>
  </si>
  <si>
    <t>RT @cielo_rusinque: Para conmemorar este #8M los y las invitamos a acompañarnos hoy a las 7 p.m. a este panel inaugural de nuestro programa…</t>
  </si>
  <si>
    <t>RT @FranciscoporBta: La administración no puede llegar como cuatreros a talar árboles en la noche, ese modus operandi de peñalosa debe ser…</t>
  </si>
  <si>
    <t>Me.parece perverso que usen las mujeres para deslegitimar la lucha de las mujeres. Puedo apostar que quien da la or… https://t.co/xauDz2tylS</t>
  </si>
  <si>
    <t>RT @Jorgomezpinilla: Si la memoria no me falla... https://t.co/UW5NFpCjGX</t>
  </si>
  <si>
    <t>¡Qué tal! Matan miles de mujeres, violan decenas de miles, golpean millones. Violan y maltratan a su hijos, incluso… https://t.co/Y11CSYn05X</t>
  </si>
  <si>
    <t>Y lo dice quien quemó libros en la hoguera en nombre de la fe, igual que antes quemaban a las mujeres. https://t.co/uQaC896yCC</t>
  </si>
  <si>
    <t>RT @petrogustavo: ¡Qué tal! Matan miles de mujeres, violan decenas de miles, golpean millones. Violan y maltratan a su hijos, incluso presi…</t>
  </si>
  <si>
    <t>La mujer antioqueña se puso a la vanguardia de la transformación democrática de Colombia https://t.co/0KY7DTiJ6N</t>
  </si>
  <si>
    <t>Estalla la piratería sobre las vacunas. Los europeos no permitirán que se exporten desde su territorio sin antes te… https://t.co/AuBAtp9TGI</t>
  </si>
  <si>
    <t>RT @DonIzquierdo_: Estoy indignado con este video. La Bogotá Cuidadora y Taladora también. Igual de autoritaria y continuista. Es increíble…</t>
  </si>
  <si>
    <t>Camila.Manzanares, edilesa en Bogotá, renuncia al partido verde, tal como lo hizo el PTC y la Unidad Democrática, c… https://t.co/eb6SxWwBU7</t>
  </si>
  <si>
    <t>El asesinato de los niños por bombardeo del gobierno en el Guaviare. Siguiendo el libreto de mostrar muertos para… https://t.co/5QhN223p0F</t>
  </si>
  <si>
    <t>14 niños asesinados en el Guaviare en un bombardeo ordenado por el ministro de defensa. Estos son sus nombres. Aca… https://t.co/4vtypKtwaR</t>
  </si>
  <si>
    <t>Si el Congreso se atreve a prorrogarse a sí mismo su mandato y el del Presidente por dos años, perderá toda legitim… https://t.co/fFkrRlDOVQ</t>
  </si>
  <si>
    <t>RT @FelipeSanchezfs: Anunció: retiraré militancia al partido Verde. No podemos sentar bases sobre el sectarismo, así no se llega a nada.…</t>
  </si>
  <si>
    <t>El voto contra la paz, la elección de un gobierno que abiertamente proclamó acabar con la JEP y los acuerdos de paz… https://t.co/bCQ0VfMWqV</t>
  </si>
  <si>
    <t>RT @CarrilloConcejo: ¡Algunos nunca creímos en las promesas de @ClaudiaLopez! https://t.co/2bUDjUb50p</t>
  </si>
  <si>
    <t>El.bombardeo a los niños en el Guaviare es un crimen de guerra. Sus planificadores deben renunciar de inmediato.</t>
  </si>
  <si>
    <t>RT @graffitiborrao: Si se tratara de controlar el caudal, no se hubiesen abierto las compuertas, todo lo contrario, se debió retener el exc…</t>
  </si>
  <si>
    <t>RT @petrogustavo: El.bombardeo a los niños en el Guaviare es un crimen de guerra. Sus planificadores deben renunciar de inmediato.</t>
  </si>
  <si>
    <t>Matar niños con un bombardeo no es un daño colateral. Es un crimen de guerra https://t.co/vkNoPuDgS6</t>
  </si>
  <si>
    <t>Estaré en entrevista con Ariel Avila. https://t.co/muqL5jLQw6</t>
  </si>
  <si>
    <t>RT @petrogustavo: Matar niños con un bombardeo no es un daño colateral. Es un crimen de guerra</t>
  </si>
  <si>
    <t>Esta es hasta ahora la eficiencia alcanzada en vacunación acumulada en Colombia. Bien por Chocó, Amazonas, Casanare… https://t.co/tGcihrv59g</t>
  </si>
  <si>
    <t>El máximo nivel de vacunación diaria alcanzada: 45.000 dosis, implicaría, si se mantiene, que se inmunizaria la.pob… https://t.co/97lgwJPpuP</t>
  </si>
  <si>
    <t>La necroseguridad liberticida. Para mejorar la seguridad hay que abrirle sustancialmente las oportunidades a la ge… https://t.co/QN8jOBRIPW</t>
  </si>
  <si>
    <t>Esta es una barbaridad de extrema derecha. Si quieren hacer aparecer esto como centro, hasta Montesquieu les parece… https://t.co/eystYqqVnl</t>
  </si>
  <si>
    <t>Esta es mi entrevista con Ariel Avila para Canal Capital https://t.co/AusFDPvzrK</t>
  </si>
  <si>
    <t>Cualquier análisis sobre datos de seguridad muestra lo obvio: los delincuentes pertenecientes a minorías, son mino… https://t.co/k9ltuMXCn1</t>
  </si>
  <si>
    <t>El problema de esa estrategia Nazi: la colectivizacion de las culpas y delitos, lleva al genocidio.</t>
  </si>
  <si>
    <t>RT @jerojasrodrigue: Los niños y las niñas reclutadas por grupos criminales son víctimas y matarlas en bombardeos indiscriminados nos acerc…</t>
  </si>
  <si>
    <t>RT @yobanymontilla2: Desde el sur iniciamos la construccion del pacto histórico por una nueva Colombia, más justa, más incluyente, más huma…</t>
  </si>
  <si>
    <t>RT @PluralidadZ: Alcaldía de Gustavo Petro generó miles de empresas y capitalistas según DANE y CCB https://t.co/haCCZqik5z</t>
  </si>
  <si>
    <t>RT @RodrigoUprimny: ¿Qué trata de decir este trino del ministro? ¿Que como algunos jefes guerrilleros fueron reclutados siendo menores, ent…</t>
  </si>
  <si>
    <t>RT @CathyJuvinao: ¿Se imaginan decir ‘es que hay unas minorías de negros que cometen delitos, necesitamos garantías para los blancos’? O de…</t>
  </si>
  <si>
    <t>RT @DavidRacero: ¿En qué se diferencia @ClaudiaLopez de Donald Trump? Crear un enemigo externo para generar cohesión social, ha sido una e…</t>
  </si>
  <si>
    <t>RT @ElQueLosDELATA: Con @petrogustavo de presidente el ejército no andaría bombardeando niños. Este hecho macabro debería bastar para que c…</t>
  </si>
  <si>
    <t>No entiendo como una persona que es dirigente político se pueda contradecir tanto con su propio discurso de campaña https://t.co/3eQm9P9V0M</t>
  </si>
  <si>
    <t>RT @PalmaEdwin: La unidad sindical no es solamente un instrumento sino un valor tan relevante como los objetivos que queremos alcanzar. Inv…</t>
  </si>
  <si>
    <t>RT @SARGENTOCHALA: Yo el único campamento de los paramilitares que he visto bombardear fue uno ubicado en el cerro el oso en Antioquia, una…</t>
  </si>
  <si>
    <t>Mi entrevista en revista Semana https://t.co/TRGmRPIVca</t>
  </si>
  <si>
    <t>RT @cielo_rusinque: Amigos del Pacto Histórico, desde ayer estamos conversando con los Senadores @GustavoBolivar y @AABenedetti y con alegr…</t>
  </si>
  <si>
    <t>Las decisiones del Pacto Histórico son colectivas. Los procedimientos para tramitar divergencias están en construcc… https://t.co/vaW0GNOedb</t>
  </si>
  <si>
    <t>RT @petrogustavo: Mi entrevista en revista Semana https://t.co/TRGmRPIVca</t>
  </si>
  <si>
    <t>RT @AABenedetti: En señal de reconciliación con @GustavoBolivar nos hemos dado la mano simbólicamente en la virtualidad mientras tenemos la…</t>
  </si>
  <si>
    <t>¿Qué diría @ma_eugeniam de esta afirmación que Peñalosa acaba de hacer? Maria Eugenia Martinez fue nuestra directo… https://t.co/nOYC0L9ZYC</t>
  </si>
  <si>
    <t>RT @CuartoDeHoraCol: Los congresistas lograron superar el impasse de las últimas horas, y se comprometieron a seguir trabajando en la const…</t>
  </si>
  <si>
    <t>RT @CuartoDeHoraCol: #FelizDomingo Los invitamos a leer las columnas de #LosGustavos @petrogustavo su columna la titula: “Las Fuerzas Arma…</t>
  </si>
  <si>
    <t>La columna de Gustavo Bolívar que comentaremos hoy. Paramilitares y guerrilleros en la historia. https://t.co/AZ06ZdtTGd</t>
  </si>
  <si>
    <t>Mi columna para el dia de hoy: Las Fuerzas Armadas y el Pacto Histórico. Será comentada con @AdrianaLucia por este… https://t.co/O8IXzwniUE</t>
  </si>
  <si>
    <t>Hay un desalojo masivo por parte del gobierno de Duque de una comunidad entera en Puerto Libertador, Córdoba. Quie… https://t.co/WN1HfmShSp</t>
  </si>
  <si>
    <t>RT @CarlosCarrilloA: Victoria Eugenia hoy hizo una pieza de propaganda invaluable para @petrogustavo. Los ataques arteros de una militante…</t>
  </si>
  <si>
    <t>RT @emiliolagos1: Vicky le endilga responsabilidad a Petro por la muerte de Mercado (ejecutado por el M cuando Petro tenía 16 años) pero ex…</t>
  </si>
  <si>
    <t>RT @MadameSiimone: Ya vi la entrevista de Vicky a Petro... Y sólo puedo decir una cosa... ESE SEÑOR ES MI PRESIDENTE!!!!!</t>
  </si>
  <si>
    <t>Sobre la restauración del Voto Nacional y el negacionismo de Peñalosa. https://t.co/mRaP8LvwqJ</t>
  </si>
  <si>
    <t>RT @Velascomfelipe: Hoy estamos en Asamblea de @Juventud_Humana Cauca. Nos organizamos y preparamos para gobernar y sacar adelante el #Pact…</t>
  </si>
  <si>
    <t>RT @ChalecosAmarill: 📽🆘️Sobre #Bolivia .@BernieSanders diciendo en su día las cosas claritas. 👇🏾 https://t.co/NRMQqhaQtm</t>
  </si>
  <si>
    <t>RT @FisicoImpuro: Tutanmatón // Tutangüevón Tutancabrón y TutanAtenida Nos gobiernan puros "faraones" https://t.co/IACn3ejiaa</t>
  </si>
  <si>
    <t>RT @AABenedetti: La Revista Semana nos debe otra portada, las respuestas de @petrogustavo a @VickyDavilaH son del carajo aunque las pregunt…</t>
  </si>
  <si>
    <t>RT @IjGuarin: Sra. @VickyDavilaH si quiere conocer hampones aquí le dejo algunos ya condenados y otros investigados. https://t.co/FcEpZqsf…</t>
  </si>
  <si>
    <t>En contados minutos... https://t.co/erHUAwCosL</t>
  </si>
  <si>
    <t>#ENVIVO | Hoy en #LosGustavos nos acompaña la cantautora @AdrianaLucia #AdrianaLuciaConLosGustavos https://t.co/9n6gBzAVCZ</t>
  </si>
  <si>
    <t>RT @ArielAnaliza: Aclaración 1. Su papá es el que no ha aclarado muchas cosas como política de falsos positivos o DAS en manos de paras 2.…</t>
  </si>
  <si>
    <t>RT @AlejandroRia: Denunció públicamente a @juanpab31018549 por amenazas contra mi familia, sin contar las que me hace a mi. Este no es el p…</t>
  </si>
  <si>
    <t>Justicias que si pueden defender la democracia. https://t.co/JSnfvQqhIM</t>
  </si>
  <si>
    <t>El Estado permitió que los paramilitares presos patrullaran la cárcel modelo con fusiles y violaran mujeres. Ahora… https://t.co/jqiU9WJw1f</t>
  </si>
  <si>
    <t>La compra de aviones en medio de una crisis como la que vivimos, es el máximo grado de irresponsabilidad de un gobe… https://t.co/I3hashrvJy</t>
  </si>
  <si>
    <t>RT @AlejandraWil16: La burocracia en el orden del día en ETB:Nombran Vice de Talento Humano a "amiga de la canciller Holguín" A la anterior…</t>
  </si>
  <si>
    <t>Este tipo de personajes de redes filofascistas, logran engañar muchos seguidores en redes. La única manera de contr… https://t.co/c0O9G1VbmJ</t>
  </si>
  <si>
    <t>RT @FisicoImpuro: Quieren saber quien es Alias 'El Mello' Cotes quien junto con su familia (el clan Cotes) han desangrado al departamento d…</t>
  </si>
  <si>
    <t>Este es el programa que en Bogotá llamamos, territorios saludables, y que implica la constitución de equipos de sal… https://t.co/mX8GpeLXop</t>
  </si>
  <si>
    <t>Bien que se haya identificado al dueño de la cuenta que amenazó a los hijos de Alejandro Riaño. En mi caso la fisca… https://t.co/MfCGQgTraD</t>
  </si>
  <si>
    <t>La mayoría de estas personas ostentan una enorme ignorancia, no saben en que mundo viven, los bombardean desde medi… https://t.co/b5rYQ8h8EF</t>
  </si>
  <si>
    <t>Incluso políticamente terminan actuando en contra de sus propios intereses. En general ellos son asalariados, pero… https://t.co/dhctegJPK0</t>
  </si>
  <si>
    <t>Alguien por ahí se inventó el termino "petromadurismo", hay que ser poco inteligente para mezclar a una persona que… https://t.co/khv1CqwMnS</t>
  </si>
  <si>
    <t>La extrema derecha ha pasado a la defensiva, solo responde a nuestras iniciativas. Que se junten en una sola lista… https://t.co/SjHT8OrH2e</t>
  </si>
  <si>
    <t>RT @LeonVaLenciaA: Vicky Davila debería mirar con detenimiento sus entrevistas acompañada de maestros del periodismo como Yamid Amat y Juan…</t>
  </si>
  <si>
    <t>RT @MovNaranja3: JAJAJAJAJAJJAJAJAJAJAJAJJA ¿Que pasó amiguito? https://t.co/2LJvCfo4fs</t>
  </si>
  <si>
    <t>Se aprestan a dar un golpe de Estado. Eso no se responde simplemente en el Congreso. Un golpe de estado se enfrent… https://t.co/RHy1PzipJv</t>
  </si>
  <si>
    <t>Las organizaciones sociales, sindicales y políticas democráticas, sin sectarismo, deben coordinar los planes de acc… https://t.co/8xXUhNIqPR</t>
  </si>
  <si>
    <t>No creo que el ministro sea tan torpe como para tener problemas de entendimiento de lo que dije y que esta grabado.… https://t.co/rCtGJGiYuk</t>
  </si>
  <si>
    <t>RT @petrogustavo: Se aprestan a dar un golpe de Estado. Eso no se responde simplemente en el Congreso. Un golpe de estado se enfrenta en l…</t>
  </si>
  <si>
    <t>Viene el tercer pico del covid, sin mayor fortalecimiento hospitalario. La vacunación seguirá retrasada mientras lo… https://t.co/OPpaYD8RCC</t>
  </si>
  <si>
    <t>RT @fernapaba: A ver @VickyDavilaH yo sé que no va a entender ni mierda; pero aquí le dejo de muestra el pensamiento de un revolucionario q…</t>
  </si>
  <si>
    <t>RT @GustavoBolivar: Cae otra calumnia: “Gustavo Petro nunca participó en actividades violentas” “No hizo parte de las estructuras militares…</t>
  </si>
  <si>
    <t>RT @LupeMohawk: Estoy aterrada con la Revista Semana dedicada con vida, alma y sombrero a Petro. A atacarlo obviamente y tratar de descalif…</t>
  </si>
  <si>
    <t>RT @JMVivancoHRW: Hace un año, 24 presos murieron en la cárcel de La Modelo, en Bogotá. Hasta ahora no hay imputados. Nuestro informe, ba…</t>
  </si>
  <si>
    <t>Este tiene que ser el Pacto Histórico. https://t.co/0ElT73dmof</t>
  </si>
  <si>
    <t>RT @petrogustavo: Este tiene que ser el Pacto Histórico. https://t.co/0ElT73dmof</t>
  </si>
  <si>
    <t>RT @lafm: Consejo de Estado rechaza demanda que busca sacar del Congreso Gustavo Petro https://t.co/S9F2oZgie3</t>
  </si>
  <si>
    <t>RT @MoisesAlvaro_: El uribismo es incapaz de diferenciar la rebeldía y la criminalidad: intentaron quitarle a Petro la curul por llamar a l…</t>
  </si>
  <si>
    <t>Informo a la ciudadanía que hoy salí del hospital en el que me interné por una neumonía leve producto del covid. E… https://t.co/GlIODGUDFX</t>
  </si>
  <si>
    <t>Con una muestra de 4.400 perdonas. Esta encuesta tiene capacidad de mostrar la situación política objetiva de hoy.… https://t.co/eZm3OT72wi</t>
  </si>
  <si>
    <t>RT @VickyDavilaH: Gustavo Petro ganaría en todas las regiones del país #GranEstudioSemana https://t.co/Lyk3O8jpWL</t>
  </si>
  <si>
    <t>Este es el enceguecimiento que no les permite sino pensar la actividad política en términos de persecución, como un… https://t.co/F2C0QAytoH</t>
  </si>
  <si>
    <t>Mi regreso estará determinado por los protocolos nacionales e internacionales de bioseguridad frente al covid.</t>
  </si>
  <si>
    <t>RT @petrogustavo: Con una muestra de 4.400 perdonas. Esta encuesta tiene capacidad de mostrar la situación política objetiva de hoy. Estam…</t>
  </si>
  <si>
    <t>RT @MoisesAlvaro_: La campaña del “centro” en 2018: “Fajardo es el único que puede ganarle al uribismo en segunda vuelta”. La campaña del…</t>
  </si>
  <si>
    <t>Muchas veces los ministros de hacienda se aprovechan de los vacíos académicos en economía de los reporteros de la p… https://t.co/Pa0119ZXLO</t>
  </si>
  <si>
    <t>Que en los bienes exentos de IVA, el IVA pagado en la cadena de producción no pasa al precio final, es decir no lo… https://t.co/TMbb9maFIN</t>
  </si>
  <si>
    <t>En el típico manejo comunicacional engañoso, Carrasquilla si está aumentando sustancialmente el IVA pagado por los… https://t.co/iXbofYZd2t</t>
  </si>
  <si>
    <t>RT @pierrealee: El senador @petrogustavo tiene todo el derecho y el deber de hacer publico sus ideales políticos. https://t.co/AkkNAmr4pM #…</t>
  </si>
  <si>
    <t>RT @petrogustavo: Muchas veces los ministros de hacienda se aprovechan de los vacíos académicos en economía de los reporteros de la prensa.…</t>
  </si>
  <si>
    <t>RT @Petro_2022: Denle RT y ayuden a difundir esta encuesta @Petro_2022 @petrogustavo https://t.co/BPRADZGWri</t>
  </si>
  <si>
    <t>Los objetivos hoy de una reforma tributaria además de allegar recursos al Estado son: 1. Aumentar la justicia soci… https://t.co/8L7DXQfD5U</t>
  </si>
  <si>
    <t>Los dineros y patrimonios atesorados sin fines productivos son las utilidades bancarias distribuidas a los banquero… https://t.co/DP94jtcqvj</t>
  </si>
  <si>
    <t>Mientras proponemos grabar losnatesoramientos en dinero y patrimonio sin finalidad productiva: fondos en paraísos b… https://t.co/ZGiSRzIOFq</t>
  </si>
  <si>
    <t>Proponemos pasar bienes de la canasta familiar, por grado de nutrientes, del régimen de excluidos al de exentos. Es… https://t.co/1DIbyftN7Z</t>
  </si>
  <si>
    <t>Paul Krugman, uno de los mejores economistas del mundo, nos muestra como la emisión de dinero por billones de dólar… https://t.co/6HhJ6VzaFE</t>
  </si>
  <si>
    <t>En Colombia se emite pero con destino a la banca, y a través de ella a sus grandes clientes. El efecto en el empleo… https://t.co/1YzBcB7YHC</t>
  </si>
  <si>
    <t>Hay quienes critican la propuesta de emisión transitoria como populismo. La riqueza no nace del vomunen del dinero… https://t.co/0P5aglyN3F</t>
  </si>
  <si>
    <t>Lo cierto es que si la emisión va hacia la familia y el pequeño y mediano empresario y no al banco y sus grandes cl… https://t.co/fyHD3bFVDm</t>
  </si>
  <si>
    <t>Agresión contra la sede del Mais en Bogotá. https://t.co/n1aFg3Cz5F</t>
  </si>
  <si>
    <t>Le solicito a @FiscaliaCol inicie cuanto antes la investigación sobre este ciudadano que ha decidido públicamente a… https://t.co/yGmf4ksOSI</t>
  </si>
  <si>
    <t>RT @SenorCaicedo: Por esto es que debe ser @petrogustavo y no @sergio_fajardo. https://t.co/cdOKADHU6o</t>
  </si>
  <si>
    <t>RT @petrogustavo: Paul Krugman, uno de los mejores economistas del mundo, nos muestra como la emisión de dinero por billones de dólares en…</t>
  </si>
  <si>
    <t>En un momento de crisis económica y de empobrecimiento generalizado de la población, el gobierno nacional debería r… https://t.co/b1qrHFG1dy</t>
  </si>
  <si>
    <t>El terrible atentado en Corinto, Cauca, en contra de la población civil, muestra la degradación de los actores de l… https://t.co/q0PDRmZOlS</t>
  </si>
  <si>
    <t>RT @alexbernalradio: “La coalición hidroituango” https://t.co/ELwgp2Rymn</t>
  </si>
  <si>
    <t>Creo que para mitigar el daño que las mayorías de la dirección del Partido Verde le hace a una convergencia democrá… https://t.co/4ZkvggDo1x</t>
  </si>
  <si>
    <t>RT @petrogustavo: Creo que para mitigar el daño que las mayorías de la dirección del Partido Verde le hace a una convergencia democrática q…</t>
  </si>
  <si>
    <t>Señor Daniel. El sistema financiero en la medida que usa recursos del público esta bajo control y dirección constit… https://t.co/UKmfDKj7kn</t>
  </si>
  <si>
    <t>RT @LinaGarciaSi: Conmigo no cuenten para que @sergio_fajardo, el indiferente eterno, sea presidente de este país. Al establecimiento dis…</t>
  </si>
  <si>
    <t>RT @tobonsanin: Lamentable decisión del Partido Verde al no permitir una convergencia de fuerzas alternativas para 1ra vuelta. Justo cuando…</t>
  </si>
  <si>
    <t>Esta es la columna de Gustavo Bolivar sobre el Pacto Histórico y la reforna a la Justicia que analizaremos esta tar… https://t.co/A61sR4W7U0</t>
  </si>
  <si>
    <t>Esta es mi columna sobre mi viaje por el covid, que analizaremos con Gilberto Tobón, esta tarde. Espero sus comenta… https://t.co/gBC6f8nIqT</t>
  </si>
  <si>
    <t>RT @petrogustavo: Esta es la columna de Gustavo Bolivar sobre el Pacto Histórico y la reforna a la Justicia que analizaremos esta tarde con…</t>
  </si>
  <si>
    <t>RT @petrogustavo: Esta es mi columna sobre mi viaje por el covid, que analizaremos con Gilberto Tobón, esta tarde. Espero sus comentarios.…</t>
  </si>
  <si>
    <t>Con Gilberto Tobón los espero en 40 minutos por este mismo canal. Para comentar las columnas y comunicarnos con ust… https://t.co/kYkIxlAXwr</t>
  </si>
  <si>
    <t>#ENVIVO | #LosGustavos nos acompaña @tobonsanin en la lectura de columnas. Pueden participar con el… https://t.co/qTgFGWvPf0</t>
  </si>
  <si>
    <t>En Birmania, hoy Myanmar, las fuerzas de la dictadura han matado mas de 114 personas en manifestaciones. Sin embarg… https://t.co/pL5P16lT9G</t>
  </si>
  <si>
    <t>RT @fabriciomaya4: Pedí a Angélica Lozano que me dijera si una de las conclusiones de la unanimidad fue apoyar a Petro en segunda y no cont…</t>
  </si>
  <si>
    <t>RT @CarolinaCorcho: En Colombia, por su historia, es muy difícil ganar un gobierno alternativo, sin una coalición de centro Izquierda. La d…</t>
  </si>
  <si>
    <t>RT @JAntiuribista: Oye @DanielSamperO, hace un par de días quisiste ridiculizar a @petrogustavo por proponer que no se paguen dividendos de…</t>
  </si>
  <si>
    <t>RT @sergio_serrano_: Han construido un relato de ficción sobre el país, la desigualdad y la corrupción las presentan como virtudes. Cuando…</t>
  </si>
  <si>
    <t>RT @olmedolopezm: La decisión del @PartidoVerdeCoL es otro motivo más para doblar esfuerzos y trabajo en mi compromiso con el #PactoHistóri…</t>
  </si>
  <si>
    <t>RT @donadolforivas: Hoy he recibido muchas llamadas de líderes que habían apoyando al Partido Verde, y ante la decisión de este por fraccio…</t>
  </si>
  <si>
    <t>RT @ElMonoS19: Caminé junto a Gustavo algunos años, el siendo Aureliano y yo Esteban. Está es la columna de la que se asombran unos y otro…</t>
  </si>
  <si>
    <t>RT @Margaritarosadf: Siempre he admirado a esta mujer. Desafortunadamente no le creo a la tal coalición de la esperanza, tan forzada y cosm…</t>
  </si>
  <si>
    <t>RT @teoloax: lo que más lamento de la campaña del partido verde es que hayan decidido unánimemente acabar con el poco significado que tenía…</t>
  </si>
  <si>
    <t>Bienvenido Gilberto Tobón al Pacto Histórico, estoy seguro que el pueblo antioqueño acompañará su lucha por quitarl… https://t.co/mkYzCqlXea</t>
  </si>
  <si>
    <t>Una Colombia que se gasta 14 billones de pesos en aviones de combate y otra Colombia que decide no hacerlo e invert… https://t.co/LRX6RiRmmi</t>
  </si>
  <si>
    <t>RT @camilaporlavida: Ante las decisiones tomadas x las directivas del @PartidoVerdeCoL demostrando desconexión entre las directivas y el in…</t>
  </si>
  <si>
    <t>RT @petrogustavo: Una Colombia que se gasta 14 billones de pesos en aviones de combate y otra Colombia que decide no hacerlo e invertir ese…</t>
  </si>
  <si>
    <t>La fosa común de Bogotá. 26 cuerpos de personas desaparecidas en la capital del país muestran el derrumbamiento com… https://t.co/8gaK7atI1F</t>
  </si>
  <si>
    <t>Barranquilla hoy se enfrenta con su realidad. Dedicó sus recursos a la especulación inmobiliaria y a la privatizaci… https://t.co/Jp2EuToDlo</t>
  </si>
  <si>
    <t>RT @ArakFialloNancy: “Petro puede llegar a la presidencia, si no lo matan”: Matador https://t.co/VlOik5NzQ7</t>
  </si>
  <si>
    <t>Han asesinado a Carlos Alberto Vidal, dirigente obrero en Florida, Valle. Gramsci decía que el fascismo se impone… https://t.co/fu3544Ikpj</t>
  </si>
  <si>
    <t>Me produce satisfacción que el estudio de la universidad Jhons Hopkins me haya puesto en los dos primeros lugares,… https://t.co/dSVZzdhB94</t>
  </si>
  <si>
    <t>RT @tobonsanin: Sergio Fajardo, cuya gobernabilidad fue la Donbernabilidad y su mayor logro fue acelerar el desastre de Hidroituango, se in…</t>
  </si>
  <si>
    <t>RT @petrogustavo: Me produce satisfacción que el estudio de la universidad Jhons Hopkins me haya puesto en los dos primeros lugares, con Pa…</t>
  </si>
  <si>
    <t>RT @pierrealee: Entonces @sergio_fajardo también admiro a Carlos Castaño y comparó al paramilitar con un poeta. ¿#CoalicionDeLaEsperanza? h…</t>
  </si>
  <si>
    <t>RT @DavidRacero: En toda Colombia nos hemos encontrado personas como Antonio que nos dijo en Neiva: "yo era uribista pero ahora voy a votar…</t>
  </si>
  <si>
    <t>A pesar de todo, espero que Fajardo salga bien librado de esta acusación. No suena bien que a meses de una elección… https://t.co/l6GDrhvQjc</t>
  </si>
  <si>
    <t>Hice una investigación a fondo y documentada para demostrar el papel de Uribe en la configuración del paramilitaris… https://t.co/ucj8uvh9VR</t>
  </si>
  <si>
    <t>Esto es lo que llaman populismo en Colombia. Pero es lo que hay que hacer en estos momentos. Subirle el impuesto a… https://t.co/FS09Q7Y1Uw</t>
  </si>
  <si>
    <t>Apoyaré a Duque en su propuesta se subir el impuesto al patrimonio, siempre que no sea a activos productivos. Y re… https://t.co/KZk4LTrB4f</t>
  </si>
  <si>
    <t>Aquí pueden ver el cuadro del volumen de endeudamiento durante la Bogotá Humana y Antioquia en esa época. Indudab… https://t.co/acm1bOYaKE</t>
  </si>
  <si>
    <t>Endeudarse en dólares en una época de baja tasa de cambio por alto precio del petroleo, era un riesgo si no había c… https://t.co/Ggr0zuBzIy</t>
  </si>
  <si>
    <t>Sin embargo, del gran error administrativo, que llevó a una pérdida de mas trescientos mil millones de pesos del pr… https://t.co/SsauoaCVr2</t>
  </si>
  <si>
    <t>Se puede criticar a Fajardo por razones politicas, incluso fiscales, por la decisión que tomó y que sacrificó buena… https://t.co/47Zl0Kuu7Y</t>
  </si>
  <si>
    <t>RT @ColombiaHumana_: Desde la Colombia Humana pedimos garantías y respeto para nuestra bancada en el concejo de Bogotá (@anateresabernal, @…</t>
  </si>
  <si>
    <t>El candidato presidencial del Ecuador Guillermo Lasso tiene decenas de propiedades escondidas por decenas de millon… https://t.co/RTrrs2LLuC</t>
  </si>
  <si>
    <t>El origen de esa inmensa riqueza escondida será materia de investigación judicial en el Ecuador. Guillermo Lasso,… https://t.co/P6YLOcr0qx</t>
  </si>
  <si>
    <t>La USO, Unión Sindical Obrera, ha decidido oficialmente ingresar al Pacto Historico. Las listas al Congreso del P… https://t.co/l1dPfF3wbR</t>
  </si>
  <si>
    <t>RT @petrogustavo: El candidato presidencial del Ecuador Guillermo Lasso tiene decenas de propiedades escondidas por decenas de millones de…</t>
  </si>
  <si>
    <t>RT @petrogustavo: La USO, Unión Sindical Obrera, ha decidido oficialmente ingresar al Pacto Historico. Las listas al Congreso del Pacto H…</t>
  </si>
  <si>
    <t>RT @petrogustavo: Aquí pueden ver el cuadro del volumen de endeudamiento durante la Bogotá Humana y Antioquia en esa época. Indudablement…</t>
  </si>
  <si>
    <t>Así lo engañan a usted. Se aprovechan de la.miseria para con dinero hacer propaganda. Esto lo veremos el año entra… https://t.co/ik0q1MpDKG</t>
  </si>
  <si>
    <t>Bienvenido Fernando al Pacto Historico, es muy importante el reconocimiento que usted hace de la gran equivocación… https://t.co/3r0xn8wnSt</t>
  </si>
  <si>
    <t>El uribismo propagandizó el concepto d economía naranja como si existiera en la discusión económica mundial. En el… https://t.co/7cDJ8eGiii</t>
  </si>
  <si>
    <t>La diferencia entre "economia naranja" y la " economia de las donas" no es la de unos nombres simpáticos. Es la dif… https://t.co/RmEKFPb121</t>
  </si>
  <si>
    <t>La.sostenibilidad de la humanidad y de la vida implica una economía capaz de atender las necesidades reales de la g… https://t.co/cofc1Kzod8</t>
  </si>
  <si>
    <t>La industria regenerativa que propongo para Colombia, es la producción de lo reparable. Un limite al consumismo irr… https://t.co/NvAHlVm1jF</t>
  </si>
  <si>
    <t>Propuse en 2018, que Colombia necesita una politica de industrialización, y este campo de la industria regenerativa… https://t.co/7LJBcodASu</t>
  </si>
  <si>
    <t>RT @Juan_Florez: Frente a las que probablemente sean las elecciones presidenciales más decisivas en décadas, el partido verde parece haber…</t>
  </si>
  <si>
    <t>Me gusta que haya un interés por priorizar la entrada a los colegios. Si el sentimiento fuera sincero, debería esta… https://t.co/k0jxLqqZj6</t>
  </si>
  <si>
    <t>Fray Gabriel fue un gran colaborador de la Bogotá Humana, fue perseguido por Peñalosa que le impedía cumplir con su… https://t.co/ejWrQI8cZ9</t>
  </si>
  <si>
    <t>RT @petrogustavo: Fray Gabriel fue un gran colaborador de la Bogotá Humana, fue perseguido por Peñalosa que le impedía cumplir con su labor…</t>
  </si>
  <si>
    <t>Exigen que el profesor vaya a la escuela, pero no dijeron nada cuando Duque dijo que gastaría 14 billones en avione… https://t.co/dZbBEvI1s6</t>
  </si>
  <si>
    <t>RT @petrogustavo: Exigen que el profesor vaya a la escuela, pero no dijeron nada cuando Duque dijo que gastaría 14 billones en aviones de g…</t>
  </si>
  <si>
    <t>RT @CuartoDeHoraCol: Se acercan las columnas de @petrogustavo y @GustavoBolivar en nuestro medio, mañana desde las 6a.m. ¡Estarán imperdibl…</t>
  </si>
  <si>
    <t>La columna de Gustavo Bolívar para ser analizada hoy. REFORMA POLITICA. https://t.co/6Z2odV4czW</t>
  </si>
  <si>
    <t>Mi columna que será analizada hoy. GENERAR RIQUEZA https://t.co/HEryxlSooq</t>
  </si>
  <si>
    <t>Otra masacre. Circasia, Quindio. La masacre es la expresión terrorífica del control de organizaciones criminales so… https://t.co/nQABUvcRpO</t>
  </si>
  <si>
    <t>Duque apuesta a que haya una sobreproduccion de vacunas en el mundo, por efecto de la competencia, para el segundo… https://t.co/Yrx0EDMwXe</t>
  </si>
  <si>
    <t>Llevamos dos millones de vacunas aplicadas en dos meses y hay que aplicar 90 millones de dosis. Detrás de los titul… https://t.co/5ALImTkob1</t>
  </si>
  <si>
    <t>La primera causa del lento desarrollo de la vacunación está en la falta de vacunas suficientes en el país. La apues… https://t.co/rTDNuJL6s8</t>
  </si>
  <si>
    <t>La segunda causa del lentísimo ritmo de vacunación, es por entregar la responsabilidad de la vacunación a las EPS.… https://t.co/het9oB3nQn</t>
  </si>
  <si>
    <t>RT @petrogustavo: La columna de Gustavo Bolívar para ser analizada hoy. REFORMA POLITICA. https://t.co/6Z2odV4czW</t>
  </si>
  <si>
    <t>RT @petrogustavo: Mi columna que será analizada hoy. GENERAR RIQUEZA https://t.co/HEryxlSooq</t>
  </si>
  <si>
    <t>#ENVIVO | #LosGustavos nos acompaña la periodista @dianalzuleta en la lectura de columnas. Pueden participar con el… https://t.co/PbbqnjOfK3</t>
  </si>
  <si>
    <t>RT @ecuarauz: Mi sueño es que los hijos de los comuneros de las zonas mineras vayan a los mismos colegios del gerente de la operación miner…</t>
  </si>
  <si>
    <t>RT @gerpaezm: @ivanmarulanda que desenfocado estás. No hay por cual escoger. Ivan, EL TERRIBLE SECTARIO. https://t.co/9Vf1qRSPqr</t>
  </si>
  <si>
    <t>RT @LinaGarciaSi: Senador @ivanmarulanda si no nos escuchan, nos tomamos la palabra. Está en nuestras manos fortalecer el rumbo democrátic…</t>
  </si>
  <si>
    <t>RT @Caidadelatorre: Técnica de la obra: 6402. https://t.co/gd3hMBrD4F</t>
  </si>
  <si>
    <t>RT @ProgIntl: Global vaccine distribution: Rich countries: 86% Poor counties: 0.1%</t>
  </si>
  <si>
    <t>RT @PabloIglesias: https://t.co/adN6q1WKwX</t>
  </si>
  <si>
    <t>Esta es una mentira. La devolución del IVA no llega a la mayoría de los.pobres. Primero porque la base de datos est… https://t.co/5EGFzNRS1e</t>
  </si>
  <si>
    <t>RT @jazzozzz: Mi esposa y yo somos empresarios, dueños de una 'pequeña' constructora, padres de 3 hijos, un medico, un estudiante de aviac…</t>
  </si>
  <si>
    <t>Cuando nos olvidamos que al que hay que ganarle es a Uribe y su candidato, y que se trata es de juntar todas las fu… https://t.co/iK5UZAlOhg</t>
  </si>
  <si>
    <t>Con titulares apologéticos se festejó que en dos meses se hubieran vacunado, con una dosis, dos millones de persona… https://t.co/P8ElPXvf9x</t>
  </si>
  <si>
    <t>Hay que aplicar 90 millones de dosis en nuestro país. A un millón por mes son 90 meses: más de siete años. Un desa… https://t.co/lcK6J1ckdJ</t>
  </si>
  <si>
    <t>El país tiene que presionar un cambio de la política de vacunación. El país debe presionar como toda la humanidad… https://t.co/gvvbzFSaHq</t>
  </si>
  <si>
    <t>RT @cielo_rusinque: La consulta amplia sin vetos entre alternativos tiene por objetivo principal derrotar al uribismo, no a "los hombres" e…</t>
  </si>
  <si>
    <t>RT @petrogustavo: Con titulares apologéticos se festejó que en dos meses se hubieran vacunado, con una dosis, dos millones de personas. Qu…</t>
  </si>
  <si>
    <t>RT @petrogustavo: Cuando nos olvidamos que al que hay que ganarle es a Uribe y su candidato, y que se trata es de juntar todas las fuerzas…</t>
  </si>
  <si>
    <t>La Asociacion Distrital de Trabajadores de la Educación, ADE Bogotá, decide entrar al Pacto Histórico. Bienvenida… https://t.co/WbgwXRmj9F</t>
  </si>
  <si>
    <t>Cuando el gobierno nacional priorizó salvar banqueros y empresas, que no necesitaban ayuda, condenó a la muerte a d… https://t.co/XTnaktr5GP</t>
  </si>
  <si>
    <t>El gobierno no quiere usar el dinero público ni en la renta básica ni en el subsidio a la totalidad de la nómina de… https://t.co/Oj6N8kJr7V</t>
  </si>
  <si>
    <t>Yo si creo que para mitigar el cambio climático e industrializar a Colombia se necesita una red ferroviaria naciona… https://t.co/xik8ap0ABH</t>
  </si>
  <si>
    <t>RT @petrogustavo: Cuando el gobierno nacional priorizó salvar banqueros y empresas, que no necesitaban ayuda, condenó a la muerte a decenas…</t>
  </si>
  <si>
    <t>No lo dicen, pero el teatro El ensueño en Ciudad Bolívar, Bogotá, es la obra de la Bogotá Humana en el esfuerzo de… https://t.co/0jGyUf8xls</t>
  </si>
  <si>
    <t>RT @sofia_petro: Esta candidatura, fuera de cualquier coalición, tiene su valor propio, enorme, en un país donde solo han gobernado hombre…</t>
  </si>
  <si>
    <t>RT @petrogustavo: No lo dicen, pero el teatro El ensueño en Ciudad Bolívar, Bogotá, es la obra de la Bogotá Humana en el esfuerzo de no per…</t>
  </si>
  <si>
    <t>RT @AndresCamiloHR: "La seguridad no es llenar las cuentas con muertes de jovencitos... La seguridad es la seguridad de la vida y no la de…</t>
  </si>
  <si>
    <t>El enorme error de hacer una reforma tributaria ya aprobada rebajandole los impuestos a los grandes capitales amigo… https://t.co/XUE5mUOeyX</t>
  </si>
  <si>
    <t>RT @petrogustavo: El enorme error de hacer una reforma tributaria ya aprobada rebajandole los impuestos a los grandes capitales amigos del…</t>
  </si>
  <si>
    <t>RT @AProgresista_: ˝Lo digo con claridad: yo nunca apoyaría a Sergio Fajardo porque conozco las consecuencias del proyecto de muerte que ha…</t>
  </si>
  <si>
    <t>RT @finseya5: @EnriquePenalosa @ClaudiaLopez a Bta le va mejor cuando se construye sobre lo construido. Una iniciativa de @petrogustavo q…</t>
  </si>
  <si>
    <t>El teatro el ensueño en Ciudad Bolivar, fue una obra, diseñada, financiada y contratada por la Bogotá Humana. Empe… https://t.co/K8IuXCw604</t>
  </si>
  <si>
    <t>RT @graffitiborrao: Esta es la @FranciaMarquezM que enamora, mujer valiente, que sabe perfectamente lo que quiere, independiente, con digni…</t>
  </si>
  <si>
    <t>Si Francia Marquez decide ingresar en el Pacto Histórico y allí poner a decisión de la ciudadanía su candidatura pr… https://t.co/14N0poRrz2</t>
  </si>
  <si>
    <t>RT @HeinerGaitan: Colombia Humana en Soacha cuenta con un concejal, ocho Ediles (+4 del Polo) y decenas de liderazgos en el movimiento soci…</t>
  </si>
  <si>
    <t>Cuando confunden democracia con monarquía hereditaria, nazismo con socialismo, y le ponen el apellido democrático a… https://t.co/EfsCbvOrLm</t>
  </si>
  <si>
    <t>RT @AABenedetti: Me envian esta denuncia sobre pacientes positivos de COVID y con problemas para respirar, los cuales tienen que esperar at…</t>
  </si>
  <si>
    <t>Dice llamarse Jaime Arizabaleta y, a través de redes, persigue a una profesora porque puso un tarea sobre la ejecuc… https://t.co/rOlqICUPkf</t>
  </si>
  <si>
    <t>Este es el porro " A la Carga" de Francisco " Pacho" Galán Debería volver a sonar en las nuevas luchas del Pacto H… https://t.co/C8Ve3fLOhS</t>
  </si>
  <si>
    <t>Anoche nos toco hundir la iniciativa de reforma a la constitución que lideraba el Centro Democrático alrededor de d… https://t.co/YgCjeWQBSb</t>
  </si>
  <si>
    <t>No solo era aprobar una mentira. Que se puede proteger un páramo si se rodea de minería, y que así no se acabaría e… https://t.co/oWq9Y1ysLH</t>
  </si>
  <si>
    <t>Cesar, cuando tengo maleta, yo mismo la cargo. https://t.co/jUSO6g0WdU</t>
  </si>
  <si>
    <t>RT @luisrodevia: "Nos hallamos apenas en el período inicial de toda revolución: la emoción. Por eso no somos revolucionarios sino simplemen…</t>
  </si>
  <si>
    <t>RT @petrogustavo: Este es el porro " A la Carga" de Francisco " Pacho" Galán Debería volver a sonar en las nuevas luchas del Pacto Históri…</t>
  </si>
  <si>
    <t>Mientras el gobernador del Magdalena compra 45 ambulancias para la red hospitalaria, Duque permite el turismo pensa… https://t.co/wbmK4KVq57</t>
  </si>
  <si>
    <t>RT @MaPaulaFonseca: Claro que la justicia tiene que actuar, siempre hemos sostenido eso. Pero su discurso antes era otro. @angelamrobledo…</t>
  </si>
  <si>
    <t>RT @ruidiaz_ddhh: Estoy seguro que las actuales relaciones internacionales con las que cuenta @petrogustavo favorecería enormemente a a Col…</t>
  </si>
  <si>
    <t>Todo testigo contra Uribe será destruido moralmente; antes, otros, los mataban. A Deyanira la acusó falsamente de… https://t.co/wYUCXyoAxG</t>
  </si>
  <si>
    <t>RT @JuventudesUPSP: #sinbosquenohayparamo , explicación sencilla de la ponencia presentada por @PalomaValenciaL sobre la reforma constituci…</t>
  </si>
  <si>
    <t>Este es un excelente discurso en el senado. Armando Benedetti se expresa con sabiduría aquí. De paso ya es una real… https://t.co/HvRy51UB1t</t>
  </si>
  <si>
    <t>Hay quienes desde diversos ángulos políticos solo dicen groserías y descalificaciones en redes Los invito a profun… https://t.co/TQn0er4Xfs</t>
  </si>
  <si>
    <t>Excepto las fotos de Fajardo. https://t.co/FTnQF8IUo8</t>
  </si>
  <si>
    <t>Fuerza Claudia. https://t.co/bE2VxzfQen</t>
  </si>
  <si>
    <t>RT @petrogustavo: Este es un excelente discurso en el senado. Armando Benedetti se expresa con sabiduría aquí. De paso ya es una realidad l…</t>
  </si>
  <si>
    <t>RT @petrogustavo: Excepto las fotos de Fajardo.</t>
  </si>
  <si>
    <t>RT @nicolasAmon: Hace 4 años la construcción de vivienda nueva en el centro de Bogotá parecía una utopía, hoy gracias a la alcaldía de Petr…</t>
  </si>
  <si>
    <t>Monsalve fue un paramilitar que se entrenó en la hacienda de la familia Uribe Vélez, en Guacharacas, San Roque, Ant… https://t.co/d6TxvxC5xs</t>
  </si>
  <si>
    <t>RT @EncuestasColom8: #Encuesta 📊 // ¿Con cuál de los siguientes partidos o movimientos politicos se siente mas identificado? @CeDemocratic…</t>
  </si>
  <si>
    <t>RT @marthaperaltae: Como mujer, líder indígena y presidenta del @MovimientoMAIS, le exijo respeto Concejal @ElJuliSastoque Las mujeres del…</t>
  </si>
  <si>
    <t>Usted es hombre concejal, en cambio todas las concejales que elegimos en esa campaña a la que insulta, son mujeres.… https://t.co/U6EWaCKBu0</t>
  </si>
  <si>
    <t>RT @petrogustavo: Hay quienes desde diversos ángulos políticos solo dicen groserías y descalificaciones en redes Los invito a profundizar…</t>
  </si>
  <si>
    <t>Hoy Juan Diego Alvira estará comentando las columnas de "los gustavos" a las 2 pm. https://t.co/n06nOojOpE</t>
  </si>
  <si>
    <t>Esta es la columna de Gustavo Bolívar para comentar hoy a las 2 pm en facebook live y en este canal. El espejo de… https://t.co/IbGQL5fqaw</t>
  </si>
  <si>
    <t>Esta es mi columna para hoy, que comentaremos a las dos de la tarde. Por la Mujer y la familia. https://t.co/H17whTdrtx</t>
  </si>
  <si>
    <t>Esta es la manera como la extrema derecha trata de influir para que el progresismo no gane en Ecuador tal como lo h… https://t.co/RLLdWqaek8</t>
  </si>
  <si>
    <t>RT @petrogustavo: Esta es la columna de Gustavo Bolívar para comentar hoy a las 2 pm en facebook live y en este canal. El espejo de Ecuado…</t>
  </si>
  <si>
    <t>RT @petrogustavo: Esta es mi columna para hoy, que comentaremos a las dos de la tarde. Por la Mujer y la familia. https://t.co/H17whTdrtx</t>
  </si>
  <si>
    <t>#ENVIVO | #LosGustavos nos acompaña el periodista @juandiegoalvira en la lectura de columnas. Pueden participar con… https://t.co/ZJv4mSuxe7</t>
  </si>
  <si>
    <t>Que pasó en Ecuador? El movimiento indígena logró 1.600.000 votos nulos y le dió el triunfo así, a la extrema dere… https://t.co/6JGK0cxNeX</t>
  </si>
  <si>
    <t>La dispersión del campo democrático y popular del Ecuador le entrega el país a lo más retardatario de la economía,… https://t.co/fXEoQQof4y</t>
  </si>
  <si>
    <t>Ecuador apenas se muestren las realidades de la política de Lasso entrará en una fase de lucha popular. Ojalá sus… https://t.co/clJB2ohyhj</t>
  </si>
  <si>
    <t>El arte de las calles te esta gritando. Actúa no te resignes https://t.co/07wJBKzuoF</t>
  </si>
  <si>
    <t>RT @Reporteropablo: Atención: colapsado, así amaneció el sistema @TransMilenio estas imágenes corresponden al Portal Américas #ArribaBogotá…</t>
  </si>
  <si>
    <t>RT @AABenedetti: EL CAOS EN BARRANQUILLA: 2.883 contagios hoy por la negligencia y la irresponsabilidad de la Alcaldía y los medios. ¿Puede…</t>
  </si>
  <si>
    <t>¿Es cierto esto señor Alvaro Uribe Velez?: ¿Usted se reunió con los hijos de Rodriguez Orejuela? ¿Es cierto que e… https://t.co/9TG63Omr3a</t>
  </si>
  <si>
    <t>Asesinan a Joel Mosquera Castillo hermano del coordinador de la campaña de Colombia Humana en Buenaventura. Desde… https://t.co/JRYDAHVRLU</t>
  </si>
  <si>
    <t>RT @petrogustavo: ¿Es cierto esto señor Alvaro Uribe Velez?: ¿Usted se reunió con los hijos de Rodriguez Orejuela? ¿Es cierto que ellos l…</t>
  </si>
  <si>
    <t>La Union Nacional de Empleados Bancarios, UNEB se integra al Pacto Histórico. Bienvenida. https://t.co/N2Qsr0ye0E</t>
  </si>
  <si>
    <t>Más música y arte en funcion del cambio y una mejor sociedad.. https://t.co/SN4ChPjLfV</t>
  </si>
  <si>
    <t>RT @lucianacadahia: Qué libreto tan manido y predecible. En Bolivia el problema es Evo; en Argentina, Cristina; en Colombia, Petro; en Ecua…</t>
  </si>
  <si>
    <t>RT @AProgresista_: .@GustavoBolivar, @petrogustavo y @DavidRacero radicaron proyecto de #Empleo👲 que tiene como objetivo ˝contribuir a la g…</t>
  </si>
  <si>
    <t>RT @IvanCepedaCast: Se dice que las fuerzas democráticas en Colombia deberían aprender la lección de lo ocurrido en las recientes eleccione…</t>
  </si>
  <si>
    <t>RT @ismene2: Ve, en el fondo lo que quieren es privatizar a @EPMestamosahi . Van a hacer hasta lo imposible con el apoyo de paisas de bien.…</t>
  </si>
  <si>
    <t>RT @NCCaribe: Colapso en centros asistenciales en La Guajira por contagios y muertes de #COVID_19. Este es difícil panorama ya que solo que…</t>
  </si>
  <si>
    <t>RT @ConsueloVlez1: Matador y Margarita rosa igualitos con la cabeza destrozada x la droga sin valores blasfemos están poseídos por el demon…</t>
  </si>
  <si>
    <t>Hacer transmilenio por la av 68, que lleva obligatoriamente el transmilenio tambien a la séptima es tan erróneo, cu… https://t.co/rupEgBbkKR</t>
  </si>
  <si>
    <t>RT @RedInterNodosCH: Este es el nuevo perfil de la Red Internacional de Nodos de Colombia Humana Una red abierta a toda la diáspora colomb…</t>
  </si>
  <si>
    <t>RT @ComisionVerdadC: “Nos encarcelaron, nos cortaron el pelo y quemaron nuestras casas en un intento de apagar el fuego de la lucha que lle…</t>
  </si>
  <si>
    <t>RT @Nessnio: EPM es de los antioqueños, jamás volverá a ser la caja menor del @CeDemocratico... Si está de acuerdo, apoye esta tendencia...…</t>
  </si>
  <si>
    <t>RT @mistermagu72: #MeDecidíPorPetro La camapaña ya comenzó, y no lo dudo ni un segundo @petrogustavo es el hombre indicado para cambiar la…</t>
  </si>
  <si>
    <t>Si la vacuna cubana es exitosa como anuncia la OMS, no solo es la única vacuna latinoamericana, sino que es mas efi… https://t.co/6Hceylk9Br</t>
  </si>
  <si>
    <t>Los 5 billones de dólares en que ha crecido el patrimonio de los más ricos del mundo es una cifra similar a las emi… https://t.co/n8GVpMQnJJ</t>
  </si>
  <si>
    <t>El panorama económico mundial se centra en la reducción de la producción, el consumo y el empleo El crecimiento de… https://t.co/6nCna5bN5Y</t>
  </si>
  <si>
    <t>Como se puede explicar tal paradoja de empresas que pierden, de aumento del desempleo y la pobreza mundial, pero de… https://t.co/raJ5fGLP84</t>
  </si>
  <si>
    <t>La explicación está en que las emisiones públicas de dinero que fueron a parar a los bancos, fueron entregadas como… https://t.co/rOHZCwt7jv</t>
  </si>
  <si>
    <t>En vez de liberar las patentes para vacunar a toda la humanidad contra el covid y de apoyar a las familias pobres y… https://t.co/hKnevTLoFW</t>
  </si>
  <si>
    <t>RT @donadolforivas: Jajaja rt https://t.co/m7VH4bgVTQ</t>
  </si>
  <si>
    <t>RT @Margaritarosadf: Vénganse pal Pacto, gentes. Que no nos pase lo de Ecuador. A los que no les gusta Petro, entiendan que el Pacto Histór…</t>
  </si>
  <si>
    <t>En el gobierno del "Pacto Histórico" no habrá una sola gota de glifosato que se arroje sobre las tierras de nuestra… https://t.co/h1tzdjvkDV</t>
  </si>
  <si>
    <t>Ahora le llaman presión ciudadana a la presión de losn grupos empresariales y políticos que estaban ordeñando a EPM. https://t.co/M69AHjaTmK</t>
  </si>
  <si>
    <t>RT @petrogustavo: En el gobierno del "Pacto Histórico" no habrá una sola gota de glifosato que se arroje sobre las tierras de nuestra Patri…</t>
  </si>
  <si>
    <t>Con toda exactitud no estoy con ex alcaldes que privatizaron de facto la empresa pública EPM, ni con quienes la usa… https://t.co/A1Gh0z9BOr</t>
  </si>
  <si>
    <t>¡Atención! Esta denuncia debe tener toda la resonancia internacional Integrante del uribismo en el Consejo Naciona… https://t.co/Zt6UFwQCbz</t>
  </si>
  <si>
    <t>RT @petrogustavo: ¡Atención! Esta denuncia debe tener toda la resonancia internacional Integrante del uribismo en el Consejo Nacional Elec…</t>
  </si>
  <si>
    <t>RT @G_Pisarello: #Colombia 🇨🇴 Un miembro del Consejo Electoral cercano a Álvaro Uribe pretende inhabilitar a @petrogustavo por recibir 80…</t>
  </si>
  <si>
    <t>RT @ClaraLopezObre: Arranca nueva fase de guerra jurídica para impedir que @petrogustavo gane elecciones presidencial. Alerta comunidad int…</t>
  </si>
  <si>
    <t>RT @Milchcafe: En Colombia los narcos se tomaron el poder y tienen miedo a perderlo por la via de la democracia, a ellos solo les funciona…</t>
  </si>
  <si>
    <t>RT @CesarPachonAgro: Quieren prohibir y proscribir a @petrogustavo porque saben que les gana en el 2022 de la mano del #PactoHistórico. Cob…</t>
  </si>
  <si>
    <t>Lo que busca el señor Renato Contreras representante del uribismo en el Consejo Nacional Electoral, al definir que… https://t.co/I9iTLdykx5</t>
  </si>
  <si>
    <t>Van a subir impuestos a la comida y bajar el salario real de la mayoría de los trabajadores sólo para pagar las tra… https://t.co/5Tzn9brZWC</t>
  </si>
  <si>
    <t>RT @petrogustavo: Van a subir impuestos a la comida y bajar el salario real de la mayoría de los trabajadores sólo para pagar las transfere…</t>
  </si>
  <si>
    <t>Quedó confirmado como a través de decisiones judiciales injustas, le quitaron al progresismo el gobierno del Brasil… https://t.co/pa36C5cw33</t>
  </si>
  <si>
    <t>Jacinto Alberto Soto Toro era el jefe de las finanzas del paramilitarismo y conocía a quienes aportaban financieram… https://t.co/IJcZ9JV9QH</t>
  </si>
  <si>
    <t>El allanamiento a sus oficinas en el parqueadero de Padilla, en 1998, permitió al CTI de Antioquia, conocer miles d… https://t.co/LkeE3AUNsz</t>
  </si>
  <si>
    <t>La investigación adelantada en la fiscalía de Gómez Méndez llevó al allanamiento de la casa de Mancuso y de Fedegan… https://t.co/qq8ujY2wgx</t>
  </si>
  <si>
    <t>Luis Camilo Osorio fue el siguiente fiscal y destruyó la investigación del "Parqueadero de Padilla" dividiendo el p… https://t.co/ywazP4nPfD</t>
  </si>
  <si>
    <t>Luis Camilo Osorio, el Fiscal general de la Nación, fue acusado por los mismos paramilitares de ser su amigo, y de… https://t.co/rLsRa6xAiu</t>
  </si>
  <si>
    <t>Uribe dijo públicamente, cuando terminó el periodo de Luis Camilo Osorio, que quería un "clon" de él, para que continuara en la fiscalía</t>
  </si>
  <si>
    <t>RT @petrogustavo: Jacinto Alberto Soto Toro era el jefe de las finanzas del paramilitarismo y conocía a quienes aportaban financieramente.…</t>
  </si>
  <si>
    <t>Conocí a Giacometto desde muy joven en Santa Marta, líder popular siempre, y militante de la Unión patriótica ha si… https://t.co/P26gzoO35B</t>
  </si>
  <si>
    <t>RT @cielo_rusinque: Millones de mujeres nos sentimos representadas en el proyecto político que contra viento y marea lidera @GustavoPetro.…</t>
  </si>
  <si>
    <t>RT @humana_juventud: #AsambleaFundacionalJHI Este 15 de mayo, juventudes de todas las latitudes, nos encontramos para avanzar en la constr…</t>
  </si>
  <si>
    <t>RT @AndresCamiloHR: #ULTIMO Corte Suprema de Justicia archiva investigación contra Gustavo Petro @petrogustavo, entonces alcalde de Bogotá,…</t>
  </si>
  <si>
    <t>Sandra Liliana Peña líder indígena del Cauca, ha sido asesinada. Se puede considerar el gobierno de Duque y a quie… https://t.co/0LMByjVIDQ</t>
  </si>
  <si>
    <t>RT @ammejiaaguado: Gracias a todas y cada una de las mujeres y a @petrogustavo q hicieron posible ese gran encuentro de #MujeresConPetro ht…</t>
  </si>
  <si>
    <t>RT @amoralesan: ! Denuncio! Fui citado ayer por Medimas para vacuna en Corvesalud en Fontibon. Me dicen que no hay. Que no saben que decir…</t>
  </si>
  <si>
    <t>RT @juanduquega: 1. Juan Esteban Calle, hoy presidente de @Cementos_Argos está investigado por la Contralotría por: 1. Responsabilidad fis…</t>
  </si>
  <si>
    <t>RT @juanduquega: 3. Andrés Bernal Correa hizo toda su carrera en el GEA, está investigado por su responsabilidad en descalabro de Bonyic mi…</t>
  </si>
  <si>
    <t>RT @juanduquega: 4. El mismo Bernal tuvo cargos en @GRUPOSURA entre el año 2004 Y 2017, el grupo es parte de la reaseguradora de Hidroituan…</t>
  </si>
  <si>
    <t>RT @juanduquega: 6. #Conconcreto filial de @Grupo_Argos es el constructor de #Hidroituango, socios en el proyecto de Camargo Correo (Odebre…</t>
  </si>
  <si>
    <t>RT @marthaperaltae: Hoy asesinaron a nuestra Gobernadora indígena Sandra Peña. Les dejo este discurso de hoy a los jóvenes y a las mujeres.…</t>
  </si>
  <si>
    <t>Aquí Juan David demuestra el trasfondo de por qué no dejan unificar las fuerzas democráticas de Colombia. https://t.co/MXg60npLkM</t>
  </si>
  <si>
    <t>IVA al servicio de agua potable pero exención del IVA a las gaseosas. Ese el gobierno uribista. Averiguen ustedes… https://t.co/U5nJOhSFUs</t>
  </si>
  <si>
    <t>En los dos años de Duque el sector financiero en el país ha recaudado 80 billones de pesos de utilidades. Al mismo… https://t.co/F4unYbHpWZ</t>
  </si>
  <si>
    <t>Desde el año 2005, la era de Uribe, el sector bancario es tres veces más rentable que el europeo, el norteamericano… https://t.co/G4exrUfPkN</t>
  </si>
  <si>
    <t>Esa inmensa rentabilidad, que llega a ser del 20% anual sobre patrimonio, en los bancos del grupo Aval, se debe a u… https://t.co/eGQd7ZONw6</t>
  </si>
  <si>
    <t>En 2019 el sector financiero obtuvo 55 billones de pesos en utilidades, mientras la industria entraba en recesión y… https://t.co/JR6a5lM9AQ</t>
  </si>
  <si>
    <t>Estas inmensas utilidades financieras sin economia real que las sustenten, solo tienen su origen en el petroleo y e… https://t.co/QVkGXXNWOv</t>
  </si>
  <si>
    <t>Antes, parte del excedente petrolero inflaba las utilidades de la banca, hoy se hace con la deuda pública y la emis… https://t.co/XaKQro86Cb</t>
  </si>
  <si>
    <t>RT @petrogustavo: En los dos años de Duque el sector financiero en el país ha recaudado 80 billones de pesos de utilidades. Al mismo tiemp…</t>
  </si>
  <si>
    <t>Esta es la demostración de la inmensa parcialidad política del Consejo Nacional Electoral que va a dirigir las elec… https://t.co/dAUaawzwUy</t>
  </si>
  <si>
    <t>Dignidad que se opone al proyecto de Colombia Humana y el Polo Democrático, y es una escisión de este partido, adqu… https://t.co/HjCL4zjhuE</t>
  </si>
  <si>
    <t>RT @Annonnymous_R: HOY EMBARGAN CONCONCRETO, La empresa que @sergio_fajardo contrato para desastre de Hidroituango, y es la misma que @cla…</t>
  </si>
  <si>
    <t>RT @petrogustavo: Esta es la demostración de la inmensa parcialidad política del Consejo Nacional Electoral que va a dirigir las elecciones…</t>
  </si>
  <si>
    <t>RT @Pelicolombianas: Qué peligro tan trentahijueputa este señor @JuanEulogioMesa. No deberían permitirle subir a ninguna tarima en Colombia…</t>
  </si>
  <si>
    <t>RT @DanielRMed: Intención de voto en una eventual segunda vuelta @petrogustavo vs @sergio_fajardo . Hay esperanza de cambiar este país !!…</t>
  </si>
  <si>
    <t>Esta es la encuesta de hoy de Invamer. Este es el susto de los corruptos. Tanto en primera como en segunda vuelta g… https://t.co/MAgfC7x9ax</t>
  </si>
  <si>
    <t>Mi hija Antonella me ha pedido que reproduzca su video de receta de una torta algo francesa, algo italiana y con mu… https://t.co/gi6a7YgZCY</t>
  </si>
  <si>
    <t>Claudia, lo que debe hacer Duque es retirar la ley de Reforma tributaria, si se necesitan más recursos, deroguemos… https://t.co/iiEAohn9GC</t>
  </si>
  <si>
    <t>Nos vemos hoy a las ocho con Maria Jimena Duzán en este canal https://t.co/IN2wfG15Do</t>
  </si>
  <si>
    <t>Esta es mi entrevista con Maria Jimena Duzán que llegó a tener 20.000 espectadores en directo. https://t.co/9utXW9wp2Z</t>
  </si>
  <si>
    <t>RT @MONIQUILLA301: que mente tan torcida la de esa Sra en Colombia al hacer un foto montaje de un niño inocente con su dedito sucio de barr…</t>
  </si>
  <si>
    <t>RT @JavierAdaime: El odio a @petrogustavo siempre fue la desinformación generada por los menos medios de comunicación, propiedad de los gru…</t>
  </si>
  <si>
    <t>RT @petrogustavo: Esta es mi entrevista con Maria Jimena Duzán que llegó a tener 20.000 espectadores en directo. https://t.co/9utXW9wp2Z</t>
  </si>
  <si>
    <t>Si los Estados no logran comprar las vacunas a las farmacéuticas, ¿cómo creen que una empresa privada, pequeña y local si podría hacerlo?</t>
  </si>
  <si>
    <t>RT @franciscoactiv2: Hoy quiero dejar este video a modo de reflexión junto con la invitación a qué no nos callemos nunca ni permitamos que…</t>
  </si>
  <si>
    <t>RT @ElQueLosDELATA: Mañana 7 pm. Muy honrado y agradecido con Los Gustavo por su invitación. Se lanzará el trailer de Matarife en simultáne…</t>
  </si>
  <si>
    <t>Arrepentimientos en el uribismo. El pastor Oswaldo Ortiz. Sin embargo aún no llegan a explicaciones serias. El des… https://t.co/xkegtnJbbq</t>
  </si>
  <si>
    <t>RT @Barreja: REPLICA DE GUSTAVO PETRO A MARIA FERNANDA CABAL https://t.co/H3Vce3smQL a través de @YouTube</t>
  </si>
  <si>
    <t>RT @anateresabernal: 📻)) El arte, la vida, el color de la Colombia Humana. #CántaloTúTambién #PetroPresidente https://t.co/7Q6CQ64TCx</t>
  </si>
  <si>
    <t>RT @AABenedetti: El sistema de salud en Barranquilla colapsó, no se tomaron las medidas a tiempo y las que se tomaron fueron insuficientes.…</t>
  </si>
  <si>
    <t>Una época que fue un sueño. Portugal. https://t.co/DdRb94OPCd</t>
  </si>
  <si>
    <t>RT @PODEMOS: El 4-M demos una lección de democracia al fascismo. #QueHableLaMayoría ♀️✊ https://t.co/Lx54GK7zJs</t>
  </si>
  <si>
    <t>Este es el genocidio del pueblo Armenio. 1915. ¿Nos habremos dado cuenta que en Colombia se ha cometido un genocidi… https://t.co/kc8xyNB264</t>
  </si>
  <si>
    <t>Interesante ver como el dinero de Venezuela termina en el entorno paramilitar colombiano. Detrás de la lucha retór… https://t.co/ybSNZebkoO</t>
  </si>
  <si>
    <t>RT @pablom_m: Hoy, 25 de abril, Italia celebra el 76 aniversario de la expulsión del fascismo. El comandante Gilberto Malvestuto fue el pri…</t>
  </si>
  <si>
    <t>RT @petrogustavo: Interesante ver como el dinero de Venezuela termina en el entorno paramilitar colombiano. Detrás de la lucha retórica en…</t>
  </si>
  <si>
    <t>El miedo para detener el cambio. Por encima del miedo la tranquilidad de hacer un cambio en función de la vida en… https://t.co/UOU7Vz89ed</t>
  </si>
  <si>
    <t>De como la política económica de Duque solo es para sostener las utilidades del sector financiero Y de como su pol… https://t.co/m50SWALEy0</t>
  </si>
  <si>
    <t>Hoy es el dia de la liberación de Italia del fascismo en 1945. El partisano era el guerrillero que luchaba por la… https://t.co/Ea5sqZKcfU</t>
  </si>
  <si>
    <t>RT @petrogustavo: El miedo para detener el cambio. Por encima del miedo la tranquilidad de hacer un cambio en función de la vida en uno d…</t>
  </si>
  <si>
    <t>RT @petrogustavo: De como la política económica de Duque solo es para sostener las utilidades del sector financiero Y de como su política…</t>
  </si>
  <si>
    <t>EN VIVO | Lectura de columna de Los Gustavos, hoy nos acompaña Daniel Mendoza. https://t.co/i4Wvk8azRs</t>
  </si>
  <si>
    <t>Si la fuerza de trabajo va juiciosa, aglomerada, en transmilenio a trabajarle a otros y a hacerles ganancias en tra… https://t.co/WGVzMbRHUE</t>
  </si>
  <si>
    <t>Ninguna de estas medidas sirve para contener el virus. Solo han demostrado eficacia dos: Vacunación masiva o, cuare… https://t.co/gHqVok0aQD</t>
  </si>
  <si>
    <t>Que no quieren aglomeraciones de gente protestando? Entonces, es fácil: retiren la reforma tributaria.</t>
  </si>
  <si>
    <t>El día del paro, es mejor no ir a trabajar, no sacar el carro, no hacer transacciones financieras, no tomar gaseosa… https://t.co/0MuDnABQQj</t>
  </si>
  <si>
    <t>En aras de la salud de Colombia, les propongo retirar la reforma tributaria. https://t.co/Hm1Fnp4Gpb</t>
  </si>
  <si>
    <t>El exgobernador de Nariño y exalcalde de Pasto, Raul Delgado, decide unirse al Pacto Histórico. Bienvenido Raul. P… https://t.co/sg9QYAoilS</t>
  </si>
  <si>
    <t>Extorsión es la Reforma Tributaria. https://t.co/8gA8ILoc3F</t>
  </si>
  <si>
    <t>El proyecto de renovación urbana más grande que haya tenido Medellín puede desatarse en todo el área aledaña, por c… https://t.co/Hf2aQwrasD</t>
  </si>
  <si>
    <t>RT @petrogustavo: Extorsión es la Reforma Tributaria. https://t.co/8gA8ILoc3F</t>
  </si>
  <si>
    <t>Un paro es antes que nada un cese de actividades. No abrir su negocio. No sacar su carro No ir al trabajo. No comp… https://t.co/tSeX0o3KNG</t>
  </si>
  <si>
    <t>Hoy a las nueve me dirijo.a la Nación en vísperas del paro contra la Reforma tributaria https://t.co/VbZ2t458Sy</t>
  </si>
  <si>
    <t>Mi alocución a la Nación colombiana en la víspera del Paro contra la reforma Tributaria. https://t.co/7tuCkgrDPU</t>
  </si>
  <si>
    <t>RT @petrogustavo: Mi alocución a la Nación colombiana en la víspera del Paro contra la reforma Tributaria. https://t.co/7tuCkgrDPU</t>
  </si>
  <si>
    <t>RT @FRANCE24: Colombians rally against unpopular tax reform plans https://t.co/ecX1VHgobS https://t.co/kfWv2vi8gW</t>
  </si>
  <si>
    <t>RT @CAHUCOPANA: #ParoNacional28A #Antioquia Cahucopana se moviliza en #Segovia. Campesinos, mineros y la población del municipio, salió…</t>
  </si>
  <si>
    <t>RT @iSUNSEOK: Casi nadie habla de las manifestaciones en Tunja pero solo quiero decir que hpta los amo 😭 #ParoNacionalIndefinido #ParoNaci…</t>
  </si>
  <si>
    <t>RT @ruidiaz_ddhh: Los jóvenes colombianos tienen clara su responsabilidad en la transformación del país. 𝗩𝗔𝗠𝗢𝗦 𝗔𝗣𝗢𝗬𝗔𝗥𝗟𝗢𝗦!! 𝗨𝗻 𝗖𝗼𝗹𝗼𝗺𝗯𝗶𝗮𝗻𝗼 𝗮𝗺…</t>
  </si>
  <si>
    <t>El vandalismo se ha hecho gobierno lamentablemente y la reforma tributaria es su mejor demostración. Un gobierno qu… https://t.co/BClbjlsEHu</t>
  </si>
  <si>
    <t>Este barrio es estrato 5 en Medellín. Miren el enorme cacerolazo contra la reforma tributaria que han dado. Hoy h… https://t.co/bHdVT0j7Ag</t>
  </si>
  <si>
    <t>Hay unidad nacional contra la reforma tributaria, todo el intento de volver violenta la movilización que hace el go… https://t.co/LjXFxAuQnA</t>
  </si>
  <si>
    <t>Esta es la.movilización de Neiva, Huila. Duque debe escuchar.rste pueblo. Salir de de su ofivina y dejar sus asesor… https://t.co/z0DDVCXRFw</t>
  </si>
  <si>
    <t>Los que solo sacan escenas de vandalismo para deslegitimar la inmensa movilización de la sociedad, no presentarán e… https://t.co/RkY4N8BKEJ</t>
  </si>
  <si>
    <t>Un gobierno que asesina. Este no es el camino de Colombia. El gobierno debe servir a la sociedad y no asesinarla. D… https://t.co/W0xQQGXPp4</t>
  </si>
  <si>
    <t>RT @Inaguantable_: Un abrazo grande a todos, perdí mi ojo pero les juro que siento que tengo diez mil allá afuera, sigan en pie de lucha qu…</t>
  </si>
  <si>
    <t>Esta es la movilización en Pasto. Duque escuche. Un gobernante debe siempre escuchar y corregir si es necesario. L… https://t.co/IPHpilstjQ</t>
  </si>
  <si>
    <t>Claudia, estas son las imágenes internacionales de una Bogotä que debió ser una ciudad democrätica. Le recuerdo,… https://t.co/ZoEBfwKvdg</t>
  </si>
  <si>
    <t>RT @Velascomfelipe: Daniel David Meléndez, estudiante de Derecho de la Universidad del Cauca fue herido de gravedad en su ojo por el ESMAD,…</t>
  </si>
  <si>
    <t>Nadie en la prensa del establecimiento diría una frase como esta. Pero hay que decirlo. Es una verdad histórica y c… https://t.co/nFBxIJXQI0</t>
  </si>
  <si>
    <t>RT @petrogustavo: Un gobierno que asesina. Este no es el camino de Colombia. El gobierno debe servir a la sociedad y no asesinarla. Duque,…</t>
  </si>
  <si>
    <t>RT @TembloresOng: El es el padre de Marcelo Agredo, el padre del joven que fue asesinado ayer en cali a manos de la policía. Exigimos una p…</t>
  </si>
  <si>
    <t>Hoy un 42% de la población colombiana es pobre. Los amigos del gobierno dirán que por culpa del covid, pero su prop… https://t.co/xR4lCilKhv</t>
  </si>
  <si>
    <t>RT @Marianiniecheve: Esta tarde en la Estación San Antonio. Policías le pasan la moto por encima a un joven, en lugar de socorrerlo. ¿Por…</t>
  </si>
  <si>
    <t>El incremento de la pobreza en Colombia es de los peores de América latina, lo que demuestra como ha sido de "michi… https://t.co/MG1XK01jHb</t>
  </si>
  <si>
    <t>En Bogotá donde se ubicó 1 de cada 3 nuevos pobres de Colombia, se dedicó el dinero público de la ciudad a hacer tr… https://t.co/K7Vifq7e5q</t>
  </si>
  <si>
    <t>En Colombia solo es destacable que la pobreza no haya aumentado en el campo. La devaluación del peso, por caída de… https://t.co/OVL7UvBCOo</t>
  </si>
  <si>
    <t>El gobierno dirá que para aumentar las ayudas sociales hay que aprobar la reforma tributaria, no es cierto. Las tra… https://t.co/oIHc20D944</t>
  </si>
  <si>
    <t>Proponemos planes de empleo estatal garantizado, que son aquellos.en donde el estado emplea centenares de miles de… https://t.co/EbCOf4polc</t>
  </si>
  <si>
    <t>Proponemos instaurar un subsidio transitorio al pago de personal de la pequeña y mediana empresa, que podría recupe… https://t.co/2OqiblaTOW</t>
  </si>
  <si>
    <t>Los.recursos para financiar el.plan de empleo estatal garantizado, las transferencias sociales como renta básica y… https://t.co/f8XogoBffG</t>
  </si>
  <si>
    <t>Cali requiere toda la solidaridad nacional y mundial. van ocho muertos asesinados por las fuerzas del gobierno de D… https://t.co/PiPwuSIITe</t>
  </si>
  <si>
    <t>Duque usted es responsable de este asesinato. ¿Cree que así se mantiene lancalma de los inversores y las calificado… https://t.co/uRB0NpniZY</t>
  </si>
  <si>
    <t>Retire la reforma tributaria con impuestos a la comida y al trabajo así usted podrá garantizar la tranquilidad soci… https://t.co/iQhBkCrKAp</t>
  </si>
  <si>
    <t>Invito a Claudia a construir una reunión con el alcalde Medellin y Cali, para trazar una política común que detenga… https://t.co/e0bYtHme7y</t>
  </si>
  <si>
    <t>La columna de hoy de Gustavo Bolivar Uribe dio la orden lLa comentaremos hoy a las siete de la noche https://t.co/A5yixw6fGk</t>
  </si>
  <si>
    <t>Esta es mi columna para hoy que comentaremos a las siete de la noche calles tomadas y pobreza. Duque lo que mejo… https://t.co/V6gWfiNBRp</t>
  </si>
  <si>
    <t>El pueblo colombiano ha ganado. es suya esta victoria popular, ha aprendido la fuerza de su propia acción colectiv… https://t.co/61wNXUzge9</t>
  </si>
  <si>
    <t>RT @petrogustavo: Esta es mi columna para hoy que comentaremos a las siete de la noche calles tomadas y pobreza. Duque lo que mejor pued…</t>
  </si>
  <si>
    <t>EN VIVO | Lectura de columna de Los Gustavos, hoy nos acompaña el periodista @julianfmartinez. https://t.co/OBzTU6EOX2</t>
  </si>
  <si>
    <t>Si quieren reducir el el déficit fiscal lo que hay que hacer es derogar la reforma tributaria del 2019, que fue un… https://t.co/HMe5jSt2aP</t>
  </si>
  <si>
    <t>RT @vanedelatorre: Asesinados en Cali, según Indepaz, a manos de la Fuerza Pública: (1) Daniel Azcárate en el barrio Brisas del Limonar po…</t>
  </si>
  <si>
    <t>Juan David García líder de la Colombia Humana en San Luis, Antioquia y dirigente de la movilización contra la refor… https://t.co/povXA5kZm4</t>
  </si>
  <si>
    <t>Escuche esta mañana a una.periodista sugerir que se bloquee internet. Lo dicho, no nos volvieron como Venezuela sino como Birmania.</t>
  </si>
  <si>
    <t>Este lenguaje es peligrosísimo, es la nueva cartilla de Uribe. Es el lenguaje para desencadenar una masacre sobre l… https://t.co/y854jIqRiz</t>
  </si>
  <si>
    <t>RT @HELIODOPTERO: Mensaje volante sobre Miami: “Uribe genocida. SOS Colombia”. Felicitaciones, @Betocoralg https://t.co/0GHSQtDdc6</t>
  </si>
  <si>
    <t>Cada policia cada soldado de la patria debe saber que lo que lucha la joven y el trabajador en la calle lo benefic… https://t.co/ykfScEXscx</t>
  </si>
  <si>
    <t>RT @NoticiasCaracol: Asesinaron a Juan David García, líder del paro nacional de la Colombia Humana. El joven fue atacado por sicarios cuan…</t>
  </si>
  <si>
    <t>EN VIVO | Rueda de prensa del Pacto Histórico. https://t.co/AMOaPNMGag</t>
  </si>
  <si>
    <t>En estas estupideces es que esta creyendo el expresidente Uribe. Esta apunto de entrar en QAnon. Están perdiendo l… https://t.co/lZgJQ99AuL</t>
  </si>
  <si>
    <t>Jajjaja, no fueron ni capaces de sostener una discusión filosófica sobre lo que planteaban y cerraron la página. De… https://t.co/U2ViX38cSB</t>
  </si>
  <si>
    <t>Todo el cambio de gabinete no fue sino un enroque. Más de los mismo. https://t.co/6yuyCDqWY1</t>
  </si>
  <si>
    <t>Oiga Duque esto es en lo que está creyendo su jefe y es impartido a la oficialidad del ejército. Meter la deconstr… https://t.co/Ijdhkh3201</t>
  </si>
  <si>
    <t>Precisamente el posmodernismo rechaza los grandes relatos, entre ellos el marxismo, aquí están jugando con la ignor… https://t.co/MEP3da70tn</t>
  </si>
  <si>
    <t>Precisamente la teoria vonspirativa de la revolución molecular disipada lo que produce es convertir al.manifestante… https://t.co/XSwtJzw5IP</t>
  </si>
  <si>
    <t>RT @petrogustavo: Oiga Duque esto es en lo que está creyendo su jefe y es impartido a la oficialidad del ejército. Meter la deconstruccion…</t>
  </si>
  <si>
    <t>RT @MoisesAlvaro_: ALERTA: Al parecer este estudiante de tercer semestre de la UNAB acaba de ser gravemente herido por la Policía en Bucar…</t>
  </si>
  <si>
    <t>RT @cuervoji: Es oficial, el uribismo y el gobierno de @IvanDuque están leyendo la protesta social a la luz de la tesis de la revolución mo…</t>
  </si>
  <si>
    <t>Esto pasa en Miami https://t.co/JliZs0QCbu</t>
  </si>
  <si>
    <t>Uribe usando un neonazi chileno como si ideológo de cabecera y metiendolo a la escuela militar. Duque como tonto d… https://t.co/LhqJ1ZJALx</t>
  </si>
  <si>
    <t>RT @marthaperaltae: Miles de personas en Bucaramanga en estos momentos siguen en las calles. El #ParoNacional no termina. Rechazan los as…</t>
  </si>
  <si>
    <t>RT @JMVivancoHRW: Un equipo de investigadores de Human Rights Watch está documentando casos de abuso policial y violencia durante las prote…</t>
  </si>
  <si>
    <t>Entendamos esto para entender a Colombia y lograr la convivencia social. La protesta es un derecho fundamental y n… https://t.co/SITwp3EaN0</t>
  </si>
  <si>
    <t>RT @ElParcheCritico: #ParoNacional3M| #ParoNacionalIndefinido| Por la desinformación y la manipulación mediática los habitantes de Ciudad J…</t>
  </si>
  <si>
    <t>RT @IsabelaPuyana: Está rondando un audio de Alexis López Tapia, un chileno q en estos días ha inspirando a @AlvaroUribeVel. López dice hab…</t>
  </si>
  <si>
    <t>RT @MariaMatusv: Toda Colombia está igual. Ya no son solo Cali, Bogotá y Medellin. También Neiva, B/quilla, Manizales, en fin. Casi todo el…</t>
  </si>
  <si>
    <t>RT @luisjuvinao: @PizarroMariaJo @Cathe_tr @cielo_rusinque @IvanDuque En Cali, la policía. https://t.co/xva7sDCXlG</t>
  </si>
  <si>
    <t>RT @AABenedetti: ¿Qué está pasando en Cali? La gente denuncia explosiones y abusos de la Fuerza Pública por toda la ciudad. https://t.co/AG…</t>
  </si>
  <si>
    <t>Ivan Duque, usted esta a punto de llevar al país al.punto de no retorno. Si usted aun cree en este país, le solici… https://t.co/3FcHvF1dQT</t>
  </si>
  <si>
    <t>Esto es en Siloé. Esta es la doctrina de Uribe, la masacre contra su propio pueblo. https://t.co/QjXLyl6y2E</t>
  </si>
  <si>
    <t>Disparando a.matar en Floridablanca, Santander. https://t.co/lhM9QTjG5v</t>
  </si>
  <si>
    <t>Queman las casa en Cali. El mundo debe enterarse de esta barbarie de Duque y su jefe Uribe. https://t.co/MMBlva3CVx</t>
  </si>
  <si>
    <t>Si las fuerzas del gobierno deciden el quiebre institucional toda la sociedad colombiana debe salir a las calles.… https://t.co/q6OSLj1Iap</t>
  </si>
  <si>
    <t>RT @petrogustavo: Si las fuerzas del gobierno deciden el quiebre institucional toda la sociedad colombiana debe salir a las calles. La def…</t>
  </si>
  <si>
    <t>RT @petrogustavo: Ivan Duque, usted esta a punto de llevar al país al.punto de no retorno. Si usted aun cree en este país, le solicito reu…</t>
  </si>
  <si>
    <t>Este es Alexis López, el conferencista y adoctrinador de la escuela militar en Colombia, nuevo guía ideológico de A… https://t.co/iaN7YlwYAq</t>
  </si>
  <si>
    <t>RT @Nataliaescribe: Mucho ojo a este hilo que abro: ¿Le pareció raro lo de la revolución molecular disipada que nombró el señor @AlvaroUrib…</t>
  </si>
  <si>
    <t>Miren como incendiaron el hotel La Luna de Cali. https://t.co/REyVFsMakj</t>
  </si>
  <si>
    <t>RT @HENRIQUEAM_51: El ESMAD está haciendo estragos obedeciendo la orden del matarife. RETWITEAR por favor. https://t.co/8inV7xVSDZ</t>
  </si>
  <si>
    <t>RT @CMILANOTICIA: ONU condena el uso excesivo de la fuerza durante el paro nacional https://t.co/k6PTnJE8vU</t>
  </si>
  <si>
    <t>RT @publico_es: La Oficina de la ONU para los Derechos Humanos denunció que los cuerpos de seguridad colombianos han ejercido un "excesivo…</t>
  </si>
  <si>
    <t>Disparos de la policia contra miembros de la comisión de la ONU de Derechos Humanos. Duque, pare la barbarie. https://t.co/MzdBpFZjdF</t>
  </si>
  <si>
    <t>RT @AndresCamiloHR: Esto es indignante, el abuso policial descabellado y aberrante https://t.co/ZnQNwHsBxe</t>
  </si>
  <si>
    <t>RT @UNHumanRights: 🇨🇴 #Colombia: We are deeply alarmed at developments in Cali overnight, where police opened fire on demonstrators, and a…</t>
  </si>
  <si>
    <t>Esto se llama barbarie y proviene de un gobierno tiránico. Aún hoy se puede salvar la paz social si hay dialogo. S… https://t.co/VJJx4NRxeh</t>
  </si>
  <si>
    <t>22 muertos en Cali, denuncia Q'hubo. Una masacre ordenada por un desquiciado ideológico que arrastra al ejército y… https://t.co/s4ZfairYxq</t>
  </si>
  <si>
    <t>Todos los nodos internacionales de Colombia Humana deben ya comunicarse con todos lo órganos de justicia del mundo,… https://t.co/YInIMchQF7</t>
  </si>
  <si>
    <t>Esto ocurrió en Manizales. https://t.co/j301kzLHyQ</t>
  </si>
  <si>
    <t>Esta es la masacre de Duque, así es como Uribe realiza su proyecto político de hambre para el pueblo y ganancias a… https://t.co/X353Qs2F0A</t>
  </si>
  <si>
    <t>RT @bbcmundo: Protestas en Colombia | "Si no hay castigo, van a seguir matando sin miedo": el repudio de familiares de los fallecidos contr…</t>
  </si>
  <si>
    <t>RT @Isarc__: NO PUEDE SER, ENSERIO NECESITAMOS AYUDAAAAA #SOSColombiaDDHH #SOSColombiaEnDictadura https://t.co/NYFA4dRhYw</t>
  </si>
  <si>
    <t>RT @JLMelenchon: En estos momentos, el gobierno colombiano está masacrando a los opositores por decenas en #Colombia. El silencio francés n…</t>
  </si>
  <si>
    <t>RT @RobinsonDiazU: Que se siente ser tibio? En un país ardiendo?</t>
  </si>
  <si>
    <t>RT @MiguelUrban: Mi más rotunda condena a la represión que sufre el pueblo colombiano en lucha contra las políticas neoliberales y reaccion…</t>
  </si>
  <si>
    <t>Señor General Vargas, @DirectorPolicia como Senador de la República, le exijo a usted que detenga la represión que… https://t.co/j93P8vdDSO</t>
  </si>
  <si>
    <t>RT @ChalecosAmarill: 🎥🛑En #Colombia están masacrando a Jóvenes en Siloe , la Portada y la Luna en Cali #URGENTE Derechos humanos @MisionON…</t>
  </si>
  <si>
    <t>RT @daosanchez26: Que dolor de patria! Por una Colombia mejor y justa 😭🇨🇴❤️@iclgi_network @CIDH https://t.co/YeO3o6sjg3</t>
  </si>
  <si>
    <t>A toda la Nación Colombiana. Al comité de Paro, al soldado, al policía y al manifestante, al presidente Duque. Segu… https://t.co/R7RlZUh8fX</t>
  </si>
  <si>
    <t>RT @petrogustavo: A toda la Nación Colombiana. Al comité de Paro, al soldado, al policía y al manifestante, al presidente Duque. Segunda al…</t>
  </si>
  <si>
    <t>La Medellín más hermosa es esta. La Medellín en Paz y Progresista. Si quemas un CAI te derrotan. Es la derrota pop… https://t.co/TbM0yze4n8</t>
  </si>
  <si>
    <t>Esta es una excelente noticia. EEUU renuncia a proteger las patentes de las vacunas anticovid. Se han desplomado la… https://t.co/c5OnmEwh0C</t>
  </si>
  <si>
    <t>Medellin dio un gran ejemplo de movilización progresista, popular y pacífica. Felicitaciones a la juventud y las ge… https://t.co/SSiABmxzHx</t>
  </si>
  <si>
    <t>El gobierno en su deriva dictatorial se apresta a decretar la conmoción interior. Mi rechazo total a ese camino Pr… https://t.co/CRyHDbFKpG</t>
  </si>
  <si>
    <t>RT @RoyBarreras: Terminamos positiva e inédita reunión de @DefendamosPaz , el Pacto Histórico, la Coalición de la Esperanza y el Comité Nac…</t>
  </si>
  <si>
    <t>Señor ministro de defensa @Diego_Molano desde que firmé la paz en 1989 jamás, oiga bien, jamás he insinuado que se… https://t.co/GGTzsGiDVW</t>
  </si>
  <si>
    <t>Sicarios disparando contra manifestantes en Pasto. Es el paramilitatismo en el poder. Plomo es lo que hay gritaban. https://t.co/He71rgd95b</t>
  </si>
  <si>
    <t>La.marcha de Bucaramanga fue inmensa. El alcalde no permitió presencia de la policía y todo fue en paz https://t.co/NvOlVsgvZy</t>
  </si>
  <si>
    <t>A pesar de la masacre desatada por el gobierno, Cali de nuevo se congrega pacífica y con el himno en la boca https://t.co/y3NUiqetWg</t>
  </si>
  <si>
    <t>Señor Fiscal General de la Nación, ¿no debería usted investigar estos hechos? Señor @Almagro_OEA2015 no debería us… https://t.co/sBx7A4SwRe</t>
  </si>
  <si>
    <t>Señora @ClaudiaLopez ¿qué propuesta concreta estamos haciendo? Derogar la reforma tributaria del 2019 para consegui… https://t.co/mlWPvzuPnj</t>
  </si>
  <si>
    <t>Esta es la dictadura. No se podía esperar mas cuando la sociedad decidió entregarle el poder al uribismo. Que nos v… https://t.co/H3w4XwcA8X</t>
  </si>
  <si>
    <t>Y si hacemos en Bogotá una marcha de un millón de personas. ¿se le miden? En completa paz, con todos y todas las ar… https://t.co/H9sYY2iK4T</t>
  </si>
  <si>
    <t>Les propongo hacerla si decretan la conmoción interior. Les propongo que todo el sur, el occidente, el centro orien… https://t.co/8Kh2tiO0es</t>
  </si>
  <si>
    <t>Que no sea una marcha mia, sino de la gente, yo iré allí, como uno más. No vamos a hablar de votos, ni elecciones ,… https://t.co/NKNn0kBbtv</t>
  </si>
  <si>
    <t>Bogotá una vez hizo una marcha del silencio cuando más se necesitaba, ¿Por qué no hacemos una marcha de un millón d… https://t.co/hOdPY1cRq9</t>
  </si>
  <si>
    <t>Después de tan hermosas marchas en Medellín, vino la noche y con ella la muerte de Duque. Esto esta pasando en esto… https://t.co/oGi3JiwVjo</t>
  </si>
  <si>
    <t>En cada poro de su piel brotaba la vida. El.alcalde de Pereira pidió que se conformaran grupos armados. Lucas er… https://t.co/9lOFoXhtNn</t>
  </si>
  <si>
    <t>Esta era la Bogotá Humana, hoy no solo es la Bogotá del hambre, es también la Bogotá del terror desatado desde las… https://t.co/DtP7HdO50O</t>
  </si>
  <si>
    <t>Este joven era un policía, también murió hoy víctima de los herederos del paramilitatismo, víctima de quienes quisi… https://t.co/dkflURbtVg</t>
  </si>
  <si>
    <t>Este joven por este ataque de las nuevas tanquetas compradas con el dinero público quedo con muerte cerebral es Cri… https://t.co/Ka8ZMUjnWB</t>
  </si>
  <si>
    <t>Para ellos ser joven y pobre lo convierte en el enemigo. En ese joven pobre esta la Patria. https://t.co/7EqXGxWO7J</t>
  </si>
  <si>
    <t>RT @rubenblades: COLOMBIA Las protestas que han sacudido a Colombia estos últimos días no me parece pueden ser explicadas solamente por el…</t>
  </si>
  <si>
    <t>Señor alcalde de Pereira, usted debería renunciar. Su misión es cuidar la ciudadanía no ayudar a destruirla. https://t.co/Xpd0XnzDAT</t>
  </si>
  <si>
    <t>RT @mintavillalba: Valientes estos jóvenes que exponen su propia vida para cambiar este país, mientras el narcoparamilitarismo los asesina,…</t>
  </si>
  <si>
    <t>RT @ChalecosAmarill: 🎥🛑En #Colombia ¡Otro ASESINADO! 🔻Por favor, difundir!!! Esta vez en Medellín, Parque de los Deseos. #SOSColombiaNos…</t>
  </si>
  <si>
    <t>RT @petrogustavo: Y si hacemos en Bogotá una marcha de un millón de personas. ¿se le miden? En completa paz, con todos y todas las artistas…</t>
  </si>
  <si>
    <t>Es increible que la ANDI después de coincidir conmigo en la.propuesta de salida económica: derogar la.reforma tribu… https://t.co/u9065WvZox</t>
  </si>
  <si>
    <t>Señor @brucemaster y señores @ANDI_Colombia les pido una explicación sobre sus acusaciones falsas en Cali.</t>
  </si>
  <si>
    <t>Señor y señora empresaria, familias de la clase media colombiana, esta es el ideologo que esta detrás hoy, de Uribe… https://t.co/7F9FlGoS3M</t>
  </si>
  <si>
    <t>RT @washingtonpost: Global Opinions: Duque’s repressive security policies have failed Colombia https://t.co/40X0agSqpk</t>
  </si>
  <si>
    <t>RT @petrogustavo: Es increible que la ANDI después de coincidir conmigo en la.propuesta de salida económica: derogar la.reforma tributaria…</t>
  </si>
  <si>
    <t>RT @petrogustavo: Señor y señora empresaria, familias de la clase media colombiana, esta es el ideologo que esta detrás hoy, de Uribe y del…</t>
  </si>
  <si>
    <t>Senadora @charoguerra, usted transmitió una información al público donde se afirma que yo recibo dineros de Maduro… https://t.co/qtnDJBxg6z</t>
  </si>
  <si>
    <t>Esta es la manifestación en Londres, Inglaterra, en contra de la represión brutal en Colombia. Le pido a todos lo… https://t.co/BoxssGiof4</t>
  </si>
  <si>
    <t>Igualmente le solicito a la colombianidad en Washington DC realizar una gran manifestación en el Departamento de E… https://t.co/JSW5lE5aNh</t>
  </si>
  <si>
    <t>RT @heidy_up: La alcaldesa del marketing y los eufemismos cae una vez más en la mentira. Antenoche negaba la militarización en redes, mient…</t>
  </si>
  <si>
    <t>RT @SusanaBoreal: Les dejo el video del minuto de silencio de hoy. Gracias a mis queridos músicos. ♥️♥️♥️ (Y gracias Twitter por acogerme e…</t>
  </si>
  <si>
    <t>Representante a la Cámara de los EEUU Ilhan Omar en solidaridad con la juventud colombiana. https://t.co/3CtIjidp4U</t>
  </si>
  <si>
    <t>Representante a la Cámara de los EEUU, Jim McGovern en solidaridad con la juventud colombiana https://t.co/7lZCSskHCL</t>
  </si>
  <si>
    <t>Este es un excelente artista, que no olvida su origen y su compromiso https://t.co/MVQzLKVfEn</t>
  </si>
  <si>
    <t>RT @nicolaspetroB: La estrategia de un sector del uribismo es sencilla, a punta de mentiras, llenan de odio a un sector de la sociedad cont…</t>
  </si>
  <si>
    <t>RT @petrogustavo: Senadora @charoguerra, usted transmitió una información al público donde se afirma que yo recibo dineros de Maduro y del…</t>
  </si>
  <si>
    <t>RT @JMVivancoHRW: Colombia: Con testigos presenciales y verificación digital de videos hemos corroborado el uso de tanquetas con lanzadores…</t>
  </si>
  <si>
    <t>Este hecho lo que indica es que la.policía de Duque disfraza a sus hombres de civil para cometer actos contra nego… https://t.co/7A6u4B9H2s</t>
  </si>
  <si>
    <t>Enorme la.manifestación de la colombianidad en Nueva York. En la proxima hay.que presionar medidas de la ONU, y rea… https://t.co/kH8Vs9C9U9</t>
  </si>
  <si>
    <t>Excelente.para el país que se hayan podido pactar los corredores humanitarios para el paso de medicinas, enfermos,… https://t.co/vhmgB6W3zJ</t>
  </si>
  <si>
    <t>Inmensa manifestación en Bruselas, Bélgica, ante la Comisión y el Parlamento Europeo. Les propongo repetir con mile… https://t.co/Dai2agpdhW</t>
  </si>
  <si>
    <t>RT @JMVivancoHRW: Hemos corroborado este video de @canal2co. Los hechos ocurrieron el 3 de mayo en Cali. La policía dispara gases lacrimó…</t>
  </si>
  <si>
    <t>RT @petrogustavo: Inmensa manifestación en Bruselas, Bélgica, ante la Comisión y el Parlamento Europeo. Les propongo repetir con miles de c…</t>
  </si>
  <si>
    <t>Con una alcaldía y una gobernación democráticas esta es la inmensa movilización en Santa Marta. https://t.co/1COKlrgCdC</t>
  </si>
  <si>
    <t>RT @animesa: Pablo Díaz, sobreviviente de la noche de los lápices tiene un mensaje para los jóvenes colombianos. https://t.co/VfY5PProIa</t>
  </si>
  <si>
    <t>RT @SARGENTOCHALA: Me pueden decir resentido, bandido, comunista, vándalo, incendiario, mamerto, pero eso no va a dejar que yo apoye el par…</t>
  </si>
  <si>
    <t>RT @alferdez: Con preocupación observo la represión desatada ante las protestas sociales ocurridas en Colombia. Ruego porque el pueblo colo…</t>
  </si>
  <si>
    <t>RT @petrogustavo: Este hecho lo que indica es que la.policía de Duque disfraza a sus hombres de civil para cometer actos contra negocios y…</t>
  </si>
  <si>
    <t>RT @MJDuzan: Echarle la culpa a @petrogustavo de los actos vandálicos para que Duque desde su torre de marfil declare la conmoción interior…</t>
  </si>
  <si>
    <t>Si movilizaciones como esta en Londres llegaran desde toda Europa a la Haya, Holanda, a la Corte Penal Internaciona… https://t.co/JmYsjNBR6l</t>
  </si>
  <si>
    <t>La Bogotá cuidadora https://t.co/J4otl1MIJV</t>
  </si>
  <si>
    <t>RT @CamiloRomero: Pensaba que el único desconectado de la realidad era @IvanDuque, estaba equivocado. Ahora la llamada Coalición de la Espe…</t>
  </si>
  <si>
    <t>Por transmitir este video me dirán espía ruso, pero este análisis dificilmente lo encontraremos en nuestra prensa n… https://t.co/llvU41SNgT</t>
  </si>
  <si>
    <t>Bien soldados de la Patria, al pueblo jamás se le alzan las armas. https://t.co/qTTS2wJzOk</t>
  </si>
  <si>
    <t>Esto es en Bogotá, barrio San José hace unos momentos. https://t.co/lfjVIYHnsn</t>
  </si>
  <si>
    <t>En campaña decían que yo iba a expropiar taxis, casas, salones de belleza y miren quienes son los expropiadores. Qu… https://t.co/VTtsa048fI</t>
  </si>
  <si>
    <t>Las comunas populares de Medellín tanto tiempo martirizadas y aterrorizadas hoy se emancipan. Si la comuna popular… https://t.co/6tjbBaLLSD</t>
  </si>
  <si>
    <t>Terrón Colorado, Cali. Siguiendo el libreto del neonazi de la Revolución molecular disipada, han convertido a Cali… https://t.co/UV3rUHhKsK</t>
  </si>
  <si>
    <t>Ataque de nuevo en Siloé Cali, la ciudad de Cali es convertida en teatro de guerra contra la ciudadanía pobre https://t.co/XSykScwD5w</t>
  </si>
  <si>
    <t>RT @HRI_ONG: Nuestro Director para la #RegionalPacifico, Diego Gamboa (@gamboa_bejarano) Activo la Línea Telefonica: 3168195149, para atend…</t>
  </si>
  <si>
    <t>RT @shakira: Pido al gobierno de mi país que tome medidas urgentes, PARE YA la violación a los derechos humanos y restituya el valor de la…</t>
  </si>
  <si>
    <t>RT @shakira: Las balas jamás podrán silenciar la voz del que sufre. Y se hace imprescindible que no seamos sordos al clamor de los nuestro…</t>
  </si>
  <si>
    <t>RT @DanielHabif: Hice este vídeo desde la sede mundial de la ONU. Quise proyectar las imágenes del caos en COLOMBIA en la entrada principal…</t>
  </si>
  <si>
    <t>RT @marthaperaltae: En Bogotá le están dando duro a las manifestaciones pacíficas. Esto ocurre ahora en la localidad de Kennedy. Alcaldes…</t>
  </si>
  <si>
    <t>RT @DianaSalinasP: #CALI Las noches de Cali son una batalla campal. No me creen, pero es verdad. Pasoancho con 39, hace pocos minutos. Mayo…</t>
  </si>
  <si>
    <t>Ni en el golpe de estado de Pinochet se vivió esto. La cúpula de la policía tendrá que ser procesada. Esto se llam… https://t.co/vqYpcCrq4V</t>
  </si>
  <si>
    <t>Aquí hay un video, que despues censuraron de una jovencita tirada en un barrio de Cali con un tiro en la cabeza y… https://t.co/PqDR0KSZ5r</t>
  </si>
  <si>
    <t>Acaba de pasar en Bogotá en Candelaria la Nueva. https://t.co/serW29f6x7</t>
  </si>
  <si>
    <t>Aqui el video del asesinato de una jovencita en Cali. Dramático, dantesco. Esto es peor que la epidemia. https://t.co/pYuUAxeWAv</t>
  </si>
  <si>
    <t>RT @ISAZULETA: Anoche en el barrio La Luna #CaliResiste hombres de civil dispararon y dejaron acorralados a más de 10 defensores de #ddhhCo…</t>
  </si>
  <si>
    <t>RT @alfreserramanci: ¿Qué está pasando en Colombia 🇨🇴? Mañana estaremos conversando con @petrogustavo en @lapizarraOK Queremos saber todo…</t>
  </si>
  <si>
    <t>Para la Paz nunca es tarde. Para la Democracia es ahora. Paz y Democracia son dos pilares imprescindibles para obt… https://t.co/8AGvDEMQEL</t>
  </si>
  <si>
    <t>Mis nietas salen a su primera marcha en su existencia en Marsella, Francia. Seguro que participarán en muchísimas m… https://t.co/onandDipNl</t>
  </si>
  <si>
    <t>Duque en su fanatismo ideológico, que es el de muchos en Colombia, decidió quebrantar las relaciones diplomáticas c… https://t.co/BtHFY8Fd58</t>
  </si>
  <si>
    <t>¿Y si les dijera que esta es una clara manipulación periodistica con fuente en un grupo político determinado? ¿Por… https://t.co/RoQpTUIeqg</t>
  </si>
  <si>
    <t>RT @Lauraggils: A los medios de comunicación y ciudadanos/as interesados, les envío esta aclaración sobre la filtración del audio del senad…</t>
  </si>
  <si>
    <t>RT @PalmaEdwin: La fuente: @dignidad_col, unida con @BluRadioCo donde trabaja @AurelioSuarez, que graban, sin contexto, unos audios de una…</t>
  </si>
  <si>
    <t>RT @CortizJ_: El MOIR grabo a @petrogustavo y editó una intervención que hizo durante una invitación realizada por @Lauraggils al comité na…</t>
  </si>
  <si>
    <t>Con el afan de llamarme incendiario unos, y traidor, otros, tergiversan hasta lo.que digo, eeditan videos, graban c… https://t.co/AvPwSL4F9l</t>
  </si>
  <si>
    <t>Esta es la manifestación de Valencia, España, contra la violencia de Duque. https://t.co/jf01LijDmy</t>
  </si>
  <si>
    <t>La manifestación de la colombianidad en Japón contra la violencia de Duque https://t.co/icstImpTeP</t>
  </si>
  <si>
    <t>Le solicto a quienes editaron mi conversación privada con "Defendamos la Paz" que presenten completa toda mi interv… https://t.co/lwSzeKmbAH</t>
  </si>
  <si>
    <t>Esta es la movilizacion de la bicicletas, muy diferente a la de las toyotas, por la paz de Colombia, por una vida d… https://t.co/SyLeR4yT1X</t>
  </si>
  <si>
    <t>Repartir la leche y el pan, policías y manifestantes en comunión.En esta escena se concentra buena parte del objeti… https://t.co/vf9JXBwkKt</t>
  </si>
  <si>
    <t>Las primeras damas de la Nación son las madres que han perdido a sus hijos víctimas de la barbarie de Uribe/Duque,… https://t.co/W6RqQn8VoH</t>
  </si>
  <si>
    <t>RT @petrogustavo: Las primeras damas de la Nación son las madres que han perdido a sus hijos víctimas de la barbarie de Uribe/Duque, las qu…</t>
  </si>
  <si>
    <t>RT @alfreserramanci: ¿Qué está pasando en Colombia 🇨🇴? Nos lo cuenta @petrogustavo en @lapizarraOK Análisis de la estrategia militar de U…</t>
  </si>
  <si>
    <t>Le retransmito aquí la entrevista con Alfredo Serrano donde expreso mi análisis sobre la situación que vive hoy la… https://t.co/GiZplKpHVt</t>
  </si>
  <si>
    <t>RT @FrasesSilvio: “Madre, que tu nostalgia se vuelva el odio más feroz. Madre, necesitamos de tu arroz. Madre, ya no estés triste, la prima…</t>
  </si>
  <si>
    <t>París se llena de la Colombia que clama Paz y Democracia. Cese la barbarie. https://t.co/zheUYObq3t</t>
  </si>
  <si>
    <t>RT @jhonjacome: Héctor Paredes, escolta asignado al coordinador del @CeDemocratico en Norte de Santander, tildó de ‘guerrilleros hijueputas…</t>
  </si>
  <si>
    <t>RT @WendyGeraldin3: @SARGENTOCHALA @FisicoImpuro Solo quería un cese al fuego por el Esmad y este les respondió con un ataque https://t.co/…</t>
  </si>
  <si>
    <t>RT @Antequerajose: “Esta ha sido quizás la respuesta más violentamente represiva en tiempos de pandemia a nivel mundial". Boaventura de So…</t>
  </si>
  <si>
    <t>RT @charry_manager: #DiaDeLaMadre En Colombia están corriendo ríos de sangre de jóvenes, mujeres y hombres que han decidido salir a las c…</t>
  </si>
  <si>
    <t>RT @JulieDuque1: Dylan Barbosa, el joven que murió arrollado por el ESMAD en Bogotá, era reportero de KallesCapital, medio alternativo de l…</t>
  </si>
  <si>
    <t>RT @spaceforpeace: From the site at #KentState where the US government killed protesters in 1970, we stand for the right to protest and say…</t>
  </si>
  <si>
    <t>¡Gracias JOVENES! La columna de Gustavo Bolívar que comentaremos hoy a las siete de lo noche. https://t.co/xwaFsgceUM</t>
  </si>
  <si>
    <t>Con la violencia gana Uribe. Mi columna que comentaremos hoy domingo a las siete de la noche https://t.co/SceEbU0fjW</t>
  </si>
  <si>
    <t>RT @Col_Informa: #ParoNacional9M🔥| Multitudinaria movilización en estos momentos en la capital colombiana. Miles de manifestantes le exigen…</t>
  </si>
  <si>
    <t>RT @pepemujicacom: Soy apolítico, no soy de derecha ni de izquierda. ¹ _____ ¹ Soy de derecha</t>
  </si>
  <si>
    <t>RT @pepemujicacom: Fuerza Colombia 🇨🇴 💪🏻</t>
  </si>
  <si>
    <t>RT @AdrianaLucia: En el día de ayer recibí una invitación del presidente @IvanDuque y el @ComisionadoPaz Miguel Cevallos para participar de…</t>
  </si>
  <si>
    <t>Esta es nuestra meta. https://t.co/NaqVhCJn3V</t>
  </si>
  <si>
    <t>A todas las madres en su día. Construiremos un país democrático donde nuestros hijos puedan estudiar y vivir y no c… https://t.co/9z0Cyxr8UG</t>
  </si>
  <si>
    <t>RT @CMonteroOficial: A ver si alguien me puede explicar: por qué los que apoyaban las manifestaciones en #Venezuela repudian las de #Colomb…</t>
  </si>
  <si>
    <t>tiranía. https://t.co/FJpsGqQf6I</t>
  </si>
  <si>
    <t>Alegría https://t.co/iM86jkp9s7</t>
  </si>
  <si>
    <t>El deporte se expresa contra la tiranía https://t.co/QJtXmoCPdJ</t>
  </si>
  <si>
    <t>Los vàndalos https://t.co/FBYM5z1C1R</t>
  </si>
  <si>
    <t>RT @andreanimalidad: ¿Se puede ser más evidente? Gracias @RollingStoneCol https://t.co/wl6uN2jW2W</t>
  </si>
  <si>
    <t>Esto hay que evitarlo a toda costa o si no el Cauca y el Valle estallarán en una guerra étnica. Irresponsable Urib… https://t.co/8qnhRaQoaU</t>
  </si>
  <si>
    <t>RT @Fillipo222: Uribe dio de nuevo la orden y este es el resultado. #SOSColombiaDDHH @Europarl_ES @IdoiaVR @JMVivancoHRW @ONUHumanRigh…</t>
  </si>
  <si>
    <t>Ocho heridos indígenas por arma de fuego disparada por civiles Este camino no tiene retorno y quienes disparan deb… https://t.co/4qGdihFfOe</t>
  </si>
  <si>
    <t>RT @portonlatino: Civiles disparando detrás de los policías, ¿Cuál es la novedad? https://t.co/Pk92Xfktp7</t>
  </si>
  <si>
    <t>Solicito a la Minga la más absoluta calma ante la agresión armada recibida. La guardia indígena logró contener la b… https://t.co/sewyMwCgON</t>
  </si>
  <si>
    <t>Cali debe llegar a un pacto entre las ciudadanías y para ello el pequeño y mediano empresariado de la ciudad es cla… https://t.co/SE0uKM3Xnp</t>
  </si>
  <si>
    <t>La guardia indígena debe ser respetada por todos y todas. Es la única fuerza organizada de paz en el territorio. E… https://t.co/dlm1pRpya1</t>
  </si>
  <si>
    <t>Este tipo de lideres políticos está llevando a la confrontacion fratricida, cuando deberían luchar por abrir las op… https://t.co/7UgIc9AjdY</t>
  </si>
  <si>
    <t>RT @ACIN_Cauca: Denunciamos la complicidad miembros de la fuerza publica, con civiles armados a dispararon en contra de la comunidad indíge…</t>
  </si>
  <si>
    <t>RT @AnasaSaavedra: Este paro, con todo lo que ha pasado en Cali, sacó a la luz una sociedad enferma por décadas de violencia, de narcotráfi…</t>
  </si>
  <si>
    <t>No es enfrentamiento de la comunidad con los indígenas, los indígenas son comunidad. Es policia con civiles paramil… https://t.co/ExVc2RN9h8</t>
  </si>
  <si>
    <t>RT @Nataliaescribe: ¿Qué va a decir la Policía acá? Otro operativo de civiles contra la extorsión? https://t.co/a6tyXNYqwa</t>
  </si>
  <si>
    <t>Atentar contra comunidades indígenas es un delito de lesa humanidad cuya jurisdicción es la Corte Penal Internacion… https://t.co/2UQf6Oupgl</t>
  </si>
  <si>
    <t>Los resultados mentales del uribismo. La paramilitarizacion de la conciencia. Así en estos seres humanos nació el… https://t.co/d6baTte0RX</t>
  </si>
  <si>
    <t>Uribe puso un trino de un carro con bandera del CRIC y dijo que era el ELN, enseguida una cadena de whatsapp irradi… https://t.co/IIFooXgZNX</t>
  </si>
  <si>
    <t>Así estos politicos del uribismo muestran como si los indígenas agredieran a la gente porque si. No muestra lo que… https://t.co/XfxEirjsWr</t>
  </si>
  <si>
    <t>Este traquetismo, ciudadanos del sur de Cali, no es de "gente de bien", la gente de bien no tiene fusiles en sus ca… https://t.co/wCogOePR1n</t>
  </si>
  <si>
    <t>Solicito a la Iglesia católica de Cali iniciar diálogos inter ciudadanos para construir un pacto de ciudad por la P… https://t.co/HXMxc8YClo</t>
  </si>
  <si>
    <t>Con todo respeto Mábel, los indígenas son ciudadanos y ciudadanas de Colombia de acuerdo a la Constitución de 1991. https://t.co/DtQjn7WyrQ</t>
  </si>
  <si>
    <t>La violencia paramilitar en Cali debe ser respondida en paz, ojalá mañana, salga una enorme manifestación de caleño… https://t.co/3tLClgBK1a</t>
  </si>
  <si>
    <t>EN VIVO | Lectura de columnas de Los Gustavos, hoy nos acompaña Gloria Cuartas. https://t.co/lcg6yIbchB</t>
  </si>
  <si>
    <t>RT @petrogustavo: Solicito a la Iglesia católica de Cali iniciar diálogos inter ciudadanos para construir un pacto de ciudad por la Paz. Qu…</t>
  </si>
  <si>
    <t>RT @petrogustavo: La violencia paramilitar en Cali debe ser respondida en paz, ojalá mañana, salga una enorme manifestación de caleños y ca…</t>
  </si>
  <si>
    <t>La prensa muestra el momento en que los indígenas golpean el carro, pero no lo que pasa antes. Así construyen una m… https://t.co/V9brVuip14</t>
  </si>
  <si>
    <t>Belle Ciao indígena https://t.co/WcX7EIgeJx</t>
  </si>
  <si>
    <t>RT @wilsonariasc: Los indígenas son ciudadanos. Los afros, negros y palenqueros, son ciudadanos. Los pobres, son ciudadanos. Mentalidad s…</t>
  </si>
  <si>
    <t>RT @marthaperaltae: ¿Quieren ver cómo comenzó todo en Cali hoy? 👇🏿 #ParoNacional10M #ColombiaSinPresidente https://t.co/oRxpJSSGbt</t>
  </si>
  <si>
    <t>RT @petrogustavo: La prensa muestra el momento en que los indígenas golpean el carro, pero no lo que pasa antes. Así construyen una mentira…</t>
  </si>
  <si>
    <t>México y Argentina han podido acelerar la vacunación porque cuentan con capacidad productiva para vacunas. Colomb… https://t.co/zK4m0hFBjR</t>
  </si>
  <si>
    <t>Hay que.retituir las relaviones diplomáticas con.quienes tienen capacidad de producción de vacunas. La canciller e… https://t.co/URH64c3knz</t>
  </si>
  <si>
    <t>Le exijo al Fiscal.General de la Nación, @FiscaliaCol ordenar la captura de quienes dispararon contra indígenas des… https://t.co/7vLSUkpbtq</t>
  </si>
  <si>
    <t>Me llegó un audio de una.persona que dijo tener contactos con la Mosad y afirmaba en la cadena, que los indígenas l… https://t.co/o9z7bljcIK</t>
  </si>
  <si>
    <t>RT @CIDH: #Colombia🇨🇴 The @CIDH/#IACHR deeply regrets the death of #LucasVillaVásquez, a young university student who was shot 8 times by u…</t>
  </si>
  <si>
    <t>El problema de la juventud popular que está en la movilización no es solamente que la universidad pública sea gratu… https://t.co/1W9YWtGTeb</t>
  </si>
  <si>
    <t>Mas de 50 parlamentarios europeos firman carta de rechazo a la sistemática violación de Derechos Humanos de los man… https://t.co/PvktbodMkN</t>
  </si>
  <si>
    <t>RT @ISAZULETA: Hemos tenido dificultades de conexión en el punto de protesta #Hidroituango Hoy estaremos participando de jornada nacional d…</t>
  </si>
  <si>
    <t>Los trinos de Uribe muestran que han entendido la pertinencia que tenía el programa de la Colombia Humana en el 201… https://t.co/YeGrLcvC9l</t>
  </si>
  <si>
    <t>La propuesta no puede ser transitoria y solo por este semestre, al suspenderse ocasionaría una gran deserción de lo… https://t.co/TsR8CyUL9S</t>
  </si>
  <si>
    <t>La juventud que hoy lucha ni siquiera tiene acceso a la universidad no solo porque es cara sino porque no hay cupo… https://t.co/lmwrWyaiH2</t>
  </si>
  <si>
    <t>RT @gimena_wola: @CSIS Minister Palacios-How do you explain the videos showing members of the police standing by idly while civilians shoot…</t>
  </si>
  <si>
    <t>RT @SenatorLeahy: It is shocking to see the violent police response by the Colombian govt of overwhelmingly peaceful protesters. Legitimate…</t>
  </si>
  <si>
    <t>RT @nytimes: Colombia’s police fought rebel groups for years. Now, they’re accused of using battlefield tactics against protesters. As ang…</t>
  </si>
  <si>
    <t>RT @AndGomezSuarez: 50+ académicos en Reino Unido piden a gobierno británico proteger derecho a la protesta y promover verdadero diálogo na…</t>
  </si>
  <si>
    <t>Esta es la.inmensa manifestación en Pasto. El regreso de las grandes manifestaciones permite neutralizar la violenc… https://t.co/WMk7XBeVeJ</t>
  </si>
  <si>
    <t>Recuerde general lo mas importante para garantizar manifestaciones pacificas es no matar manifestantes. Siempre se… https://t.co/1ILMSFdRdi</t>
  </si>
  <si>
    <t>Plaza de Bolívar de Bogotá por la.paz y la Democracia. Duque a negociar sin trampas con la movilización social. https://t.co/1vsleSJXlS</t>
  </si>
  <si>
    <t>RT @petrogustavo: Los trinos de Uribe muestran que han entendido la pertinencia que tenía el programa de la Colombia Humana en el 2018. Su…</t>
  </si>
  <si>
    <t>En este momento reunido con el consejo indígena de fundadores del movimiento Mais. Hacia un Pacto Histórico para Co… https://t.co/NJ6PqMmJbI</t>
  </si>
  <si>
    <t>Portal de la 80, Bogotá https://t.co/equoiVCoYm</t>
  </si>
  <si>
    <t>Madrid, España https://t.co/6VSVToda2v</t>
  </si>
  <si>
    <t>Me reúno vonnmiembros de la bancada de gobierno en el parlamento argentino. Propuse la conformación de un grupo de… https://t.co/IrN9pZOUTW</t>
  </si>
  <si>
    <t>No solo es un estallido social, también es un estallido de la cultura. Herencia Aficana https://t.co/8UoG8woSba</t>
  </si>
  <si>
    <t>De esta reunión de los congresistas Vallejo y Corrales del Centro democrático con empresarios durante horas en Pere… https://t.co/q5D2PLCBFd</t>
  </si>
  <si>
    <t>Claro que a un empresario le molesta que sus mercancías no puedan circular. Pero la causa de eso es el grave estado… https://t.co/ZlliaQ8QNV</t>
  </si>
  <si>
    <t>La circulación de mercancías, dificultada sobre todo por el paro camionero, cuyos gremios votaron por Duque, tiene… https://t.co/HBSQmspQu4</t>
  </si>
  <si>
    <t>Las grandes empresas de carga en tractomulas trasladan el cobro de peajes a los.dueños de las mercancías transporta… https://t.co/pMHRgGFCkD</t>
  </si>
  <si>
    <t>Los dueños de las concesionarias privadas de carreteras son en realidad los bancos. El empresariado debería promov… https://t.co/1sJxgpBTL9</t>
  </si>
  <si>
    <t>Tanto en el transporte del gas, combustible para la producción, como en el transporte de mercancías por carreteras,… https://t.co/SP79dQVacS</t>
  </si>
  <si>
    <t>Espero que Luis Ernesto Gómez, secretario de gobierno de Bogotá, se pueda restablecer pronto de la enfermedad. Mi… https://t.co/nz2UKJ2Fwu</t>
  </si>
  <si>
    <t>Un día ellas y ellos harán brillar a Antioquia como nunca antes. https://t.co/8jsD8KvEE5</t>
  </si>
  <si>
    <t>La renuncia de la canciller puede ser una oportunidad para Duque. Hacer una diplomacia alrededor de las vacunas. E… https://t.co/aIpriNjdyF</t>
  </si>
  <si>
    <t>RT @petrogustavo: De esta reunión de los congresistas Vallejo y Corrales del Centro democrático con empresarios durante horas en Pereira ni…</t>
  </si>
  <si>
    <t>Las fuerzas de seguridad de Duque abusaron sexualmente de una menor en medio de las protestas, la detuvieron y term… https://t.co/V67lzKTRp2</t>
  </si>
  <si>
    <t>El gobierno quiere construir la violencia y el caos para dar un goloe contra la celebración de elecciones en el 202… https://t.co/7htWSsVpsV</t>
  </si>
  <si>
    <t>RT @JMVivancoHRW: Hemos corroborado este video publicado por @DefenderLiberta Anoche en Popayán, el ESMAD usó el lanzador de projectiles…</t>
  </si>
  <si>
    <t>En Bogotá se han convertido estaciones de transmilenio en centros de detención y tortura. Los barrios se han conve… https://t.co/kGZ4QiQuGN</t>
  </si>
  <si>
    <t>RT @petrogustavo: Las fuerzas de seguridad de Duque abusaron sexualmente de una menor en medio de las protestas, la detuvieron y terminó su…</t>
  </si>
  <si>
    <t>Esto es Buga, Valle del Cauca, Colombia, solo hay una violencia similar en el mundo: Gaza, Palestina. https://t.co/TOgC5yjNKw</t>
  </si>
  <si>
    <t>Madres de Colombia, así estan tratando a sus hijos. No son los hijos de la vecina, los hijos de los pobres, son nue… https://t.co/w2SJongGVy</t>
  </si>
  <si>
    <t>Querían usar el fútbol para tapar la violencia y lo hicieron en Barranquilla al estilo Char. El futbol terminó con… https://t.co/Vh5KnTLwuj</t>
  </si>
  <si>
    <t>RT @HerbertMeLoz: Que cantidad de jóvenes engañados y financiados por el Foro de Sao Pablo y el castrochavismo. Que no están informados, no…</t>
  </si>
  <si>
    <t>RT @HRI_ONG: Paro Nacional: menor de edad se habría quitado la vida tras ser violentada sexualmente por policías https://t.co/Vrgp4KO7nW</t>
  </si>
  <si>
    <t>Le.exijo a la Fiscalia @FiscaliaCol la captura y detención inmediata de los agentes de policía que abusaron sexual… https://t.co/MuMr8PGv6R</t>
  </si>
  <si>
    <t>RT @sigfridoreyes: Israel lanza una nueva operación de limpieza étnica contra el pueblo de Palestina. Asesinan niños, ancianos, gente inoce…</t>
  </si>
  <si>
    <t>RT @otrobogotanomas: La hijueputez... Ahora que ya le imputaron cargos, sigue con la intención de ayudarlo?</t>
  </si>
  <si>
    <t>Si se quiere que el actual conflicto social tenga posibilidades constructivas y no sirva al golpe que planea el uri… https://t.co/yNTxWsDeng</t>
  </si>
  <si>
    <t>Ningún sector del pueblo debe sufrir por culpa de la movilización. Las juventudes barriales al organizarse deben c… https://t.co/a76LG9mWyY</t>
  </si>
  <si>
    <t>La organización juvenil si se junta con las mayorías del país y no se aisla, puede lograr las mayores conquistas de… https://t.co/nvRZ3dYaGE</t>
  </si>
  <si>
    <t>En la violencia gana Uribe, en la no violencia activa, los cambios. Si el uribismo decide dar un golpe contra la d… https://t.co/Xa6NwwCslx</t>
  </si>
  <si>
    <t>RT @HoyPalestina: Genocidio en Palestina. Favor difundir. https://t.co/ZskzqLL4Sl</t>
  </si>
  <si>
    <t>RT @petrogustavo: Si se quiere que el actual conflicto social tenga posibilidades constructivas y no sirva al golpe que planea el uribismo,…</t>
  </si>
  <si>
    <t>El.proceso organizativo juvenil debe cubrir las ciudades de Colombia y establecer una delegación nacional Es el pr… https://t.co/oweBN9JixL</t>
  </si>
  <si>
    <t>El abuso sexual cometido sobre una menor de edad y su posterior suicidio implica la renuncia del director del Esma… https://t.co/Xe2PcFYAgs</t>
  </si>
  <si>
    <t>Lo que esta haciendo Acueducto de Bogotá es generar unnterror innecesario. Toda la población sabe que aun con dific… https://t.co/62DHhKmnuS</t>
  </si>
  <si>
    <t>,Por qué si llegan normalmente los alimentos a Bogotá, la gerencia del Acueducto genera terror falso? ¿Por qué Cla… https://t.co/8EQzLjtLqx</t>
  </si>
  <si>
    <t>Aplaudo que se inicie el dialogo entre la alcaldía de Medellín, EPM y el movimiento "Rios Vivos" sobre Hidroituango… https://t.co/JXlDIAJm3G</t>
  </si>
  <si>
    <t>RT @petrogustavo: El abuso sexual cometido sobre una menor de edad y su posterior suicidio implica la renuncia del director del Esmad y la…</t>
  </si>
  <si>
    <t>RT @EscudosAzules: Nuestro derecho a la palabra y la organización NO es violencia. Invitamos a todos los sectores que deseen participar en…</t>
  </si>
  <si>
    <t>RT @ivan_0007: @A_Mrghrt @Barreja Con que nos saldrán ahora... Otra noticia falsa O tentativa de homicidio?? Popayán Tanqueta arrolla a ma…</t>
  </si>
  <si>
    <t>La.masacre de la juventud payanesa. https://t.co/e45W9jHvgA</t>
  </si>
  <si>
    <t>RT @mafequinalzate: Agentes civiles al servicio de las fuerzas del estado para la contraofensiva . @merv59 @DeCurreaLugo @IllichLosada @CRI…</t>
  </si>
  <si>
    <t>RT @cuervoji: No es Gaza, es Buga, fotografía de Sebastián Gómez https://t.co/ydqNHlopSZ</t>
  </si>
  <si>
    <t>RT @SaraTufanoZ: El Parlamento británico pide que el gobierno británico revise su cooperación en la formación de la Policía colombiana, sus…</t>
  </si>
  <si>
    <t>Ibagué enorme vuelve a ser una ciudad libertaria y progresista. https://t.co/lTBLGt5Xyt</t>
  </si>
  <si>
    <t>RT @ONUHumanRights: Lamentamos y rechazamos la muerte violenta del joven Sebastián Quintero Munera,de 22 años, hace pocas horas en #Popayan…</t>
  </si>
  <si>
    <t>RT @Lindauer1991: Vicky Dávila hace unos meses trató a Petro de hampón y hoy condenan a su suegro Lucas Gnecco a 6 años de cárcel por robar…</t>
  </si>
  <si>
    <t>Que bien. Así se construye humanidad. https://t.co/qkesmqFHsW</t>
  </si>
  <si>
    <t>Esto se llama asesinato. Son crímenes de estado. La justicia en silencio permitiendo la dictadura https://t.co/0OfDWWPRAb</t>
  </si>
  <si>
    <t>Más golpes sobre mujeres https://t.co/4w5C8lcsr9</t>
  </si>
  <si>
    <t>RT @gener_usuga: El último día, el ultimo mensaje, la desilusión, la soledad, la traición. La tragedia. https://t.co/etLDH3cwoY</t>
  </si>
  <si>
    <t>Duque gasea hasta los niños. No hay forma de parar esta masacre que con inmensas movilizaciones nacionales, con or… https://t.co/AZKt7xtOSQ</t>
  </si>
  <si>
    <t>RT @charry_manager: Violadores... https://t.co/lOEY7yTp5q</t>
  </si>
  <si>
    <t>RT @petrogustavo: Duque gasea hasta los niños. No hay forma de parar esta masacre que con inmensas movilizaciones nacionales, con organiza…</t>
  </si>
  <si>
    <t>RT @JUANCAELBROKY: Ibagué en su edición de la Marcha Carnaval, en apoyo al Paro Nacional y en protección del territorio. #ParoNacional14M @…</t>
  </si>
  <si>
    <t>Discúlpeme señora congresista. Creo que el presidente se llama Duque, no Petro. https://t.co/5F4jK5SqLc</t>
  </si>
  <si>
    <t>RT @petrogustavo: Esto se llama asesinato. Son crímenes de estado. La justicia en silencio permitiendo la dictadura</t>
  </si>
  <si>
    <t>RT @edisonburbanoOK: #SOSPopayán 💔🇨🇴😭😭😭 #DuquePareLaMasacre #SOSColombia Cómo me dueles Colombia... https://t.co/KwE9lyOxjG</t>
  </si>
  <si>
    <t>RT @yepes_robin: El baile de moda... "Uribe Paraco HP" 🇨🇴♥️ https://t.co/WUu74ClmJL</t>
  </si>
  <si>
    <t>RT @pepemujicacom: Jóvenes, hagan política, porque si no la hacen se va a hacer igual y seguramente en su contra</t>
  </si>
  <si>
    <t>No solo un estallido social ha sucedido sino un estallido de arte https://t.co/XxP1xgeCYJ</t>
  </si>
  <si>
    <t>RT @ruidiaz_ddhh: Chocó. Mi pueblo en las calles, perdón en el río....somos grandes!! Y dice el gobierno que son violentos y vándalos los j…</t>
  </si>
  <si>
    <t>RT @CIDH: #Colombia🇨🇴 La @CIDH condena el asesinato de Cecilia Valderrama, defensora de #DDHH. Según información pública, Cecilia desaparec…</t>
  </si>
  <si>
    <t>RT @JUANCAELBROKY: La ciudadanía en Ibagué le canta a @IvanDuque: "Duque chao, Duque chao, Duque chao, chao, chao! #ParoNacional14M #Colomb…</t>
  </si>
  <si>
    <t>RT @CIDH: La #CIDH, en virtud de su mandato y en respuesta a la solicitud de miles de personas, cientos de organizaciones y movimientos soc…</t>
  </si>
  <si>
    <t>RT @pierrealee: Compañero @petrogustavo esto sucede en la @BarranquilIa del clan Char, @jaimepumarejo la convertido en la ciudad imparable…</t>
  </si>
  <si>
    <t>Ahora hay que mirar hacia adelante. https://t.co/8Mpa0LNsXG</t>
  </si>
  <si>
    <t>RT @_carlosduque: Llegó el momento de escuchar lo que los jóvenes están pidiendo. Oidos despiertos. https://t.co/I1hvIUzfXW</t>
  </si>
  <si>
    <t>El proyecto de Reforma a la salud consistía en disminuir el número de EPS para que se quedarán con el mercado. Las… https://t.co/9Ala4jquFO</t>
  </si>
  <si>
    <t>En.lugar de concentratse en como lograr superar la pandemia , esta clase politiquera busca es hacer negocios.</t>
  </si>
  <si>
    <t>RT @Marianiniecheve: Gustavo Petro se reunía con empresarios, para empezar a engranar acciones e ideas que ayuden a sacar a Colombia de est…</t>
  </si>
  <si>
    <t>RT @ammejiaaguado: La juventud hoy sale a las calles a defender sus derechos, la vida ... y el 22 saldrá a las urnas a defender de la democ…</t>
  </si>
  <si>
    <t>Bogotá cada vez más cerca de la marcha del millón de seres humanos que van por la Paz y la Democracia https://t.co/xv0do8V03n</t>
  </si>
  <si>
    <t>RT @CristoAtado: Impresionante la marcha en Bogotá. 😲 https://t.co/ftfBYxRm7c</t>
  </si>
  <si>
    <t>RT @Marianiniecheve: Qué dolor ver este testimonio, pero, ¿y los desaparecidos qué? No podemos esperar que @PoliciaColombia los mate, y d…</t>
  </si>
  <si>
    <t>Llegó el momento de las multitudes. Bogotá, Los Héroes. https://t.co/bvRqxQxNdS</t>
  </si>
  <si>
    <t>RT @petrogustavo: Bogotá cada vez más cerca de la marcha del millón de seres humanos que van por la Paz y la Democracia https://t.co/xv0do8…</t>
  </si>
  <si>
    <t>La encuesta de hoy. Es por esto que desatan la barbarie buscando que el miedo cambie la.intención de voto a favor… https://t.co/1zvao6mPqD</t>
  </si>
  <si>
    <t>Esta es la columna de @GustavoBolivar que analizaremos hoy a las siete de la noche Entrañable primera linea https://t.co/F4l34KnnWF</t>
  </si>
  <si>
    <t>Esta es mi columna que comentaremos hoy a las siete de la noche. De la Barricada a la Multitud. https://t.co/zirhgvbYtQ</t>
  </si>
  <si>
    <t>RT @petrogustavo: Esta es mi columna que comentaremos hoy a las siete de la noche. De la Barricada a la Multitud. https://t.co/zirhgvbYtQ</t>
  </si>
  <si>
    <t>EN VIVO | Lectura de columnas de Los Gustavos, hoy nos acompaña el senador @AlexLopezMaya. https://t.co/xSuWTHMflU</t>
  </si>
  <si>
    <t>RT @MaPaulaFonseca: Este es el momento en el que disparan a los jóvenes de loma de la dignidad, Cali, justo cuando @HOLLMANMORRIS estaba tr…</t>
  </si>
  <si>
    <t>Después de enormes manifestaciones de la juventud chilena, lograron pactar una constituyente y han logrado hoy, a t… https://t.co/tbAjcRf59e</t>
  </si>
  <si>
    <t>RT @CesarPachonAgro: Sin comentarios. https://t.co/fleq4LnYPM</t>
  </si>
  <si>
    <t>Volvieron a matar un jóven en Yumbo. El gobierno dialoga de día y mata de noche. https://t.co/zEPjkdSN5H</t>
  </si>
  <si>
    <t>RT @JaimeDelTodoES1: El uribismo murió / Petro les gana las elecciones con muenda electoral / les gana a Uribe y a los tibios / por eso qui…</t>
  </si>
  <si>
    <t>RT @Gu2Hail: Escocia https://t.co/8I0rehtnTG</t>
  </si>
  <si>
    <t>Duque ha masacrado Yumbo, Valle del Cauca. https://t.co/ysclMTTRy9</t>
  </si>
  <si>
    <t>Para quien tenga dudas sibre que dije delante del embajador isrelí, aquí dejo mi intervención respecto al pueblo pa… https://t.co/BAFBdTNLhE</t>
  </si>
  <si>
    <t>RT @petrogustavo: Volvieron a matar un jóven en Yumbo. El gobierno dialoga de día y mata de noche.</t>
  </si>
  <si>
    <t>Mujeres negras. Estallido de arte y resitencia https://t.co/ancfvBYpCw</t>
  </si>
  <si>
    <t>La alcaldía de Jamundí fue quemada por la politiquería corrupta https://t.co/hS0MsoQMJG</t>
  </si>
  <si>
    <t>RT @VivianMeja3: https://t.co/E8eRhL0IST</t>
  </si>
  <si>
    <t>RT @Cicuto7: Lo que más odia @AlvaroUribeVel los gestos de paz. Cada Colombiano muerto, cada acción violenta, cada policía caído es una ex…</t>
  </si>
  <si>
    <t>Esto es lo que hace Duque/Uribe a la juventud colombiana. Bárbaros. https://t.co/JAO4KIFUHj</t>
  </si>
  <si>
    <t>RT @famcrod91: Los vecinos del portal Américas cansados de los atropellos salimos a exigirle al ESMAD que soltara a los muchachos que tenía…</t>
  </si>
  <si>
    <t>RT @famcrod91: https://t.co/ml1MiVbQgR</t>
  </si>
  <si>
    <t>Ha muerto ahora si Pinochet. Vuelve a vivir Allende. Desde 1973, solo la juventud chilena de hoy, logró en verdad c… https://t.co/ZMR9iaSEbx</t>
  </si>
  <si>
    <t>RT @PartisanoNegro: A 8 horas de reunión con Alcalde de Yumbo Valle del Cauca Colombia Ejército y policías arremeten contra los jóvenes, h…</t>
  </si>
  <si>
    <t>RT @IvanCepedaCast: Anoche las atrocidades del ESMAD se perpetraron en el barrio La Estancia, municipio de Yumbo, Valle. La comunidad denun…</t>
  </si>
  <si>
    <t>RT @MoisesSolorza: 🚨Chile: "Y en una hermosa plaza liberada, me detendré a llorar por los ausentes"..Serán 70% de los 155 representantes en…</t>
  </si>
  <si>
    <t>RT @MoisesAlvaro_: Qué diferencia la de Petro con esos que corren al Palacio de Nariño a suplantarnos para ver qué coima le rasguñan a la d…</t>
  </si>
  <si>
    <t>RT @petrogustavo: Ha muerto ahora si Pinochet. Vuelve a vivir Allende. Desde 1973, solo la juventud chilena de hoy, logró en verdad cambiar…</t>
  </si>
  <si>
    <t>RT @petrogustavo: Después de enormes manifestaciones de la juventud chilena, lograron pactar una constituyente y han logrado hoy, a través…</t>
  </si>
  <si>
    <t>Me gustaría que esta columna fuera deliberada en los puntos de resistencia, que los nodos de la Colombia.Humana se… https://t.co/EbiiYWeyHD</t>
  </si>
  <si>
    <t>Gracias Sergio, la competencia muchas veces es una construcción ideológica de algo llamado neoliberalismo, hoy anac… https://t.co/12fIbhnsUt</t>
  </si>
  <si>
    <t>RT @MadameSiimone: #URGENTE Necesitamos ayuda en Yumbo, Se necesitan gasas, alcohol, insumos médicos. Hay dos muertos, el ESMAD no deja pas…</t>
  </si>
  <si>
    <t>El candidato presidencial.del Polo Democrático @AlexLopezMaya ha sido amenazado de muerte con toda su familia entre… https://t.co/h1KjsSFMsl</t>
  </si>
  <si>
    <t>Ahora en Chile. 50 años despues. https://t.co/n0sZxrU2et</t>
  </si>
  <si>
    <t>RT @ONIC_Colombia: #ATENCIÓN| Desde @ONIC_Colombia DENUNCIAMOS que a esta hora la situación en Yumbo, Valle es gravísima: El ESMAD está d…</t>
  </si>
  <si>
    <t>RT @Garciaa913: Se requiere presencia de Derechos Humanos en Caldas Antioquia, hay varios heridos y detenidos arbitrariamente #SOS También…</t>
  </si>
  <si>
    <t>Y así Duque hizo trizas la paz. https://t.co/6mFz2EoBAK</t>
  </si>
  <si>
    <t>Tanques de guerra contra manifestaciones Hicieron trizas la Constitución y la Justicia en silencio. https://t.co/rlfsKUsXGX</t>
  </si>
  <si>
    <t>RT @wilsonariasc: Me dicen que en enorme y macabra provocación, han volado un tanque de Ecopetrol Yumbo. Como el incendio del Reichstag en…</t>
  </si>
  <si>
    <t>RT @DrSuazo915: 🆘 #SOSYumbo 🆘 #Colombia vive otra noche de terror, en estos momentos la población de Yumbo está siendo atacada por los escu…</t>
  </si>
  <si>
    <t>RT @Moi1227cs: ESTAMOS SIN LUZ Y SIN SEÑAL POR ZONAS, @PoliciaColombia DISPARA COMO LOCOS SIN IMPORTAR NIÑOS, ADULTOS MAYORES Y DEMÁS CIUDA…</t>
  </si>
  <si>
    <t>RT @PrensaRural: #URGENTE Yumbo Valle, comunidad había advertido que los disparos del ESMAD en el barrio nueva estancia, estaban generand…</t>
  </si>
  <si>
    <t>RT @juanpisrules: Wuon, todo lo que hacemos la gente de bien, lo hacemos por ustedes. I’m sorry pero la libertad que tanto piden solo se l…</t>
  </si>
  <si>
    <t>RT @ComidaPaTodes: @FisicoImpuro @wilsonariasc @AlexLopezMaya @GustavoBolivar @PizarroMariaJo @intiasprilla @DavidRacero @Julianaramirez6 @…</t>
  </si>
  <si>
    <t>Le.propondría Jorge Ivan que en su reestructuración de gobierno incluya la construcción de más sedes de la univers… https://t.co/gbxpnr46gl</t>
  </si>
  <si>
    <t>Quemada ranchería indígena wayuu en la Guajira. El.mensaje anti indígena del gobierno se ha.transformado en violenc… https://t.co/IASdtnMYLg</t>
  </si>
  <si>
    <t>Uribe ha transformado los pueblos de Colombia en campos de batalla, siguiendo su libreto neonazi. Que enorme equiv… https://t.co/0hZtjqB2r8</t>
  </si>
  <si>
    <t>Usted, Duque, ha dado la.orden para matanza. https://t.co/xnAbFfFlDG</t>
  </si>
  <si>
    <t>Líderes del mundo, asesinan al.pueblo colombiano, estamos bajo dictadura. Este es Yumbo, Valle del Cauca, un muni… https://t.co/kB6OhNYPgl</t>
  </si>
  <si>
    <t>Este es el incendio de la alcaldía de Yumbo, ¿lo hacen los manifestantes o el gobierno nacional? Uribe quiere la m… https://t.co/uPeVsUrQ5I</t>
  </si>
  <si>
    <t>En este video ustedes pueden ver como las fuerzas armadas de Uribe entregan material y protegen a vándalos de civil… https://t.co/hFQGv6kpJk</t>
  </si>
  <si>
    <t>Lo.que esta hacuendo el ejercito es ayudar y proteger a quienes atacan la alcaldía de Yumbo, la.prensa dirá que fue… https://t.co/p4XaRRFB82</t>
  </si>
  <si>
    <t>La sociedad colombiana esta ante el mayor desafío del siglo. Uribe ha desencadenado la ruptura de la Constitución… https://t.co/ZvhBlzOWL1</t>
  </si>
  <si>
    <t>Espero que ud, Claudia, se pueda restablecer de su enfermedad. La invito a defender la democracia. Lo que viene es… https://t.co/0MWQuO0X0d</t>
  </si>
  <si>
    <t>La invito a movilizar en paz, con alegria un millón de personas en la ciudad. Mañana 19 de mayo es un día de multi… https://t.co/w3lqShn7Xy</t>
  </si>
  <si>
    <t>Mi entrevista con la juventud en Barranquilla https://t.co/C1MR15wZLv</t>
  </si>
  <si>
    <t>Esta es mi entrevista para "El Termómetro" en CTV Barranquilla https://t.co/J1ankq5p4D</t>
  </si>
  <si>
    <t>No me opongo a que Duque pacte con los manifestantes, soy el mayor impulsor de ese pacto, ud, Claudia, me calumnia… https://t.co/BLiTj5ehzT</t>
  </si>
  <si>
    <t>RT @susanamuhamad: Alcaldesa @ClaudiaLopez yo la llamo a asumir responsabilidad. Su Alcaldia no ha hecho nada en Bogotá para darle una sali…</t>
  </si>
  <si>
    <t>RT @anateresabernal: @ClaudiaLopez Qué equivocación Alcaldesa, con todo respeto no tiene ni idea de lo que realmente pasa. Lea los últimos…</t>
  </si>
  <si>
    <t>RT @CarolinaCorcho: Mantener los bloqueos es darles justificación para que extremen aún más la violencia y el propagandismo que oculta las…</t>
  </si>
  <si>
    <t>RT @gener_usuga: Primero les cambian el uniforme por ropas de civil, luego los cuidan para que destruyan la alcaldía de Yumbo. Es un acto…</t>
  </si>
  <si>
    <t>RT @DeCurreaLugo: Mensajes que inspiran https://t.co/RdixvCyMTO</t>
  </si>
  <si>
    <t>No existe en Colombia ningún derecho a matar ciudadanos, a abusar sexualmente de menores de edad por parte de funci… https://t.co/I7mGhFnb30</t>
  </si>
  <si>
    <t>La.mentalidad paramilitar en sectores pudientes de Montería. Les crece el.odio solo por. ver jóvenes humildes movi… https://t.co/ZGRLEorZes</t>
  </si>
  <si>
    <t>RT @JorgeOvalleB: ¿Porque el estallido social en #CALI? lejos de la idea miope de la infiltración insurgente del #ParoNacional que plantea…</t>
  </si>
  <si>
    <t>Los gestores de convivencia del distrito han cumplido un papel importante en desactivar la confrontación policial e… https://t.co/AXrvtHrVjN</t>
  </si>
  <si>
    <t>La ciudadanía de Medellín no puede permitir que Duque le de un golpe de estado al voto popular de su ciudadanía. Si… https://t.co/6qVZFNb2dU</t>
  </si>
  <si>
    <t>Bruce convoca a todo el empresariado para que se deje de usar el Esmad y se adelante de inmediato la negociación en… https://t.co/QUfhfFj0HZ</t>
  </si>
  <si>
    <t>RT @Coces_al_aire: COLOMBIA, UN MAR DE FUEGUITOS Una reflexión sobre los estados de ánimo rebeldes y su relación con las formas de ser y d…</t>
  </si>
  <si>
    <t>No sacar el Esmad hoy, permitir las movilizaciones ciudadanas en paz. Cambiar el curso de los acontecimientos para… https://t.co/AZNmnb7OnY</t>
  </si>
  <si>
    <t>RT @QuinteroCalle: Cada día me levanto para trabajar contra la pobreza, el desempleo y la corrupción, defender a EPM y los recursos público…</t>
  </si>
  <si>
    <t>La prensa reproduciendo la jauría calumniadora. Yo no sueño con matanzas, ustedes señores del gobierno las hacen.… https://t.co/z8BgiAmOJQ</t>
  </si>
  <si>
    <t>En marcha. La democracia y la paz se defienden con multitudes https://t.co/0NdmLvqXHz</t>
  </si>
  <si>
    <t>RT @PlataformaALTO: En el marco de la marcha del #ParoNacional19M, gran encuentro con @petrogustavo de quién recordamos como en su adminis…</t>
  </si>
  <si>
    <t>RT @NoticiasCaracol: El senador Gustavo Petro se unió a las movilizaciones de este 19 de mayo. Avanzó con los manifestantes que marchan por…</t>
  </si>
  <si>
    <t>En las calles tambien se teje la unidad. Con el precandidato presidencial del Partido Verde Camilo Romero https://t.co/pB0Z7A0LgR</t>
  </si>
  <si>
    <t>Con Percy Oyola, presidente de la Central General de Trabajadores https://t.co/LijTlFbUwW</t>
  </si>
  <si>
    <t>Con la.manifestante más hermosa que encontré https://t.co/OcDbqJhCH0</t>
  </si>
  <si>
    <t>RT @NoticiasCaracol: Gustavo Petro marchó en Bogotá: "presidente tiene que reunirse con los delegados de la movilización". “Lo demás es ca…</t>
  </si>
  <si>
    <t>RT @petrogustavo: Con la.manifestante más hermosa que encontré https://t.co/OcDbqJhCH0</t>
  </si>
  <si>
    <t>RT @WRadioColombia: #NoticiasW | La marcha es liderada por el gobernador del Magdalena, @Carlosecaicedo, quien a pesar de tener abierta una…</t>
  </si>
  <si>
    <t>RT @Contagioradio1: #Cali Siguen llenando de vida la Loma de La Dignidad #19M #ParoNacional https://t.co/GGtjui92Rj</t>
  </si>
  <si>
    <t>Este es el comunicado del Pacto Histórico sobre el abuso de poder de Rafael Guarín Pondré las denuncias correspond… https://t.co/Id8okukiYF</t>
  </si>
  <si>
    <t>¿Por qué el gobierno no permite la entrada de la CiDH? No que han actuado con total respeto de los Derechos Human… https://t.co/9DSdLqT929</t>
  </si>
  <si>
    <t>Aquí han herido centenares de jóvenes , muchos de ellos han perdido sus ojos. Una reforma tributaria y a la.salud… https://t.co/vQw214dVZe</t>
  </si>
  <si>
    <t>Estas son las fotos de muchas de las marchas de ayer. De la barricada a la multitud. Las multitudes pacíficas son… https://t.co/ehRns5bH5X</t>
  </si>
  <si>
    <t>RT @GustavoBolivar: Ni la prensa prepago ha podido ocultar el fracaso tildando a quienes protestan de guerrilleros y terroristas. En más de…</t>
  </si>
  <si>
    <t>La movilización de Ipiales,Nariño. Ahora Uribe se burla porque dice que no salio un millón de personas. ¿Qué le r… https://t.co/sXZG5rOngm</t>
  </si>
  <si>
    <t>RT @arttesano: quieren apoyar desde sus casas a los pelaos ? apunten sus cámaras de vigilancia hacia la calle... qué frentes de seguridad…</t>
  </si>
  <si>
    <t>Las empresas se han quebrado desde cuando ustedes, congresistas uribistas, negaron que del presupuesto público se s… https://t.co/dtn927bMFN</t>
  </si>
  <si>
    <t>Foto icónica https://t.co/XkmfYGUKIL</t>
  </si>
  <si>
    <t>Así hirieron a un periodista en Medellín https://t.co/2HmnRwQjig</t>
  </si>
  <si>
    <t>Una narrativa perversa. El paro frena la economía. No, porque frenaron la economía y la politica social fue un fias… https://t.co/bLFUbp1Hpt</t>
  </si>
  <si>
    <t>RT @JMVivancoHRW: No se pierdan este excelente informe del Washington Post sobre las evidencias que implican a la policía colombiana en hom…</t>
  </si>
  <si>
    <t>Por qué Colombia.perdió el.grado de inversion? 1. Porque en el 2019 aprobó una reforma tributaria que por reducir… https://t.co/wSW260Hisl</t>
  </si>
  <si>
    <t>Si se combina desfinanciacion con sobre enedeudaniento, hay déficit presupuestal. Por eso quisieron, como solución… https://t.co/YBeLSO80qo</t>
  </si>
  <si>
    <t>RT @pelurabar: "Aquí o nos unimos todos o nos vamos todos a la puta mierda" https://t.co/bRSEk0FtWC</t>
  </si>
  <si>
    <t>RT @AmnistiaOnline: Verificamos el uso de armas "Made in USA" para reprimir las protestas del #ParoNacional y exigimos a @SecBlinken que fr…</t>
  </si>
  <si>
    <t>A pesar de toda la barbarie desatada por Duque sobre Cali, está fue la manifestación de ayer. https://t.co/OArHLRfcRF</t>
  </si>
  <si>
    <t>RT @ivan_0007: @Margaritarosadf @lamediz450 Estaba realizando deporte cuando salieron a su encuentro unos personajes que le atacaron por la…</t>
  </si>
  <si>
    <t>Aún en los conflictos más graves hay un momento de sensatez. Se ha pactado una tregua bilateral Israel/Hamas. Aquí… https://t.co/t9kf8UutsB</t>
  </si>
  <si>
    <t>La dictadura uribista. Vivían soñandoselo. https://t.co/ZRapGtpTCR</t>
  </si>
  <si>
    <t>RT @bbcmundo: "En Colombia se cree que el rico tiene derechos y el pobre no", dice Maurice Armitage, exalcalde de Cali, a @pardodaniel http…</t>
  </si>
  <si>
    <t>RT @JADOZ12: #PetroNuncaSeraPresidente jejejeje Uribistas pendejos https://t.co/pHqbFBIbV2</t>
  </si>
  <si>
    <t>El origen de la crisis presupuestal, de la caída de los bonos del encareciniento de la deuda y del descenso en la… https://t.co/xghJIuPpfi</t>
  </si>
  <si>
    <t>Este es el fascismo. Los jóvenes iban a buscar refugio de la policía que los perseguía por manifestarse. Entraron… https://t.co/8cOdaPcF92</t>
  </si>
  <si>
    <t>RT @petrogustavo: El origen de la crisis presupuestal, de la caída de los bonos del encareciniento de la deuda y del descenso en la califi…</t>
  </si>
  <si>
    <t>RT @petrogustavo: Las empresas se han quebrado desde cuando ustedes, congresistas uribistas, negaron que del presupuesto público se subsidi…</t>
  </si>
  <si>
    <t>RT @NanyPardo: Hablemos de enfoque a partir de las portadas mismas. Vean aquí una muestra muy diciente del tema en cuestión. ¿Por qué, ante…</t>
  </si>
  <si>
    <t>RT @Dejusticia: Le pedimos a @JoeBiden y al Congreso de EE. UU. : 1. Insistir en #ReformaPolicía #Colombia 2. Exigir protección a DD. HH.…</t>
  </si>
  <si>
    <t>Amoroso, tratando de besarme https://t.co/HTmZC7atSV</t>
  </si>
  <si>
    <t>Tambien tratando de besarme https://t.co/Jb3689T7ca</t>
  </si>
  <si>
    <t>RT @AABenedetti: Así como @VickyDavilaH es nuestra jefe de campaña, nosotros no podemos ser los jefes de publicidad de esa revista. Nuestra…</t>
  </si>
  <si>
    <t>RT @Col_Informa: #ParoNacional22M✊| Inicio la movilización masiva en la ciudad de Medellín desde la avenida San Juan. La marcha del norte,…</t>
  </si>
  <si>
    <t>RT @_carlosduque: Leyendo en telepronter el editorial de Vicky bajo la dirección de Hassan.</t>
  </si>
  <si>
    <t>Este es el comunucado sobre la actitud difamatoria de @VickyDavilaH que pone en peligro mi vida, la de.mi familia y… https://t.co/9sYiYf3DKS</t>
  </si>
  <si>
    <t>RT @CristoBustos: No podemos aceptar que como sociedad estamos condenados al odio y la violencia. Todos debemos rechazar la muy peligrosa…</t>
  </si>
  <si>
    <t>RT @petrogustavo: Este es el comunucado sobre la actitud difamatoria de @VickyDavilaH que pone en peligro mi vida, la de.mi familia y la de…</t>
  </si>
  <si>
    <t>Le pido a @Pontifex_es desarrollar en el mundo las acciones que se necesitan para detener el golpe de estado en Col… https://t.co/U9aimAYAou</t>
  </si>
  <si>
    <t>La columna de Gustavo Bolivar que comentaremos hoy a las siete de la noche. La innombrable. https://t.co/I9ZSnn9i8t</t>
  </si>
  <si>
    <t>Mi columna de hoy que comentaremos a las siete de la noche. De la Violencia, de la Paz y de la Vida. https://t.co/3wlk81DHEH</t>
  </si>
  <si>
    <t>Han llevado a la fuerza pública a enfrentarse bárbaramente con la juventud popular. Ambos son grupos de jóvenes, am… https://t.co/ub1dLtcIjD</t>
  </si>
  <si>
    <t>RT @elpais_america: 8. En ese laberinto burocrático está Sara Córdoba, estudiante que recibió un impacto de la policía cuando se refugiaba.…</t>
  </si>
  <si>
    <t>RT @elpais_america: 🇨🇴 El precio a pagar por protestar en Colombia Ojos extirpados y cráneos fracturados. Desde que comenzaron las manifes…</t>
  </si>
  <si>
    <t>RT @AlejamillerR: La CuchiMarcha hoy: "No los maten, no están solos" "Entre más cucha más capucha" ❤️✊🏽 #ParoNacional23M https://t.co/7R8Rx…</t>
  </si>
  <si>
    <t>RT @tatianaroaa: @FranciscoDeRoux Esto dice el Canal Dos que sí está en terreno. https://t.co/zlRJYL6Yci</t>
  </si>
  <si>
    <t>RT @Contagioradio1: #Cali el niño asesinado hace una hora en Calipso, Jhon Erik Larrahondo https://t.co/tBpGbJcvNC</t>
  </si>
  <si>
    <t>RT @lucianacadahia: ¿Tan difícil es leer a @petrogustavo por fuera de la lógica uribista? El país entero debería Rodearlo. Además de cuidar…</t>
  </si>
  <si>
    <t>RT @MaDeLosGuardias: En la Paila, paramilitares con apoyo de la policía, intimidan a la población civil @RepMcGovern @JMVivancoHRW @dw_espa…</t>
  </si>
  <si>
    <t>El director marítimo de la Armada tenía toda la razón al tomar medidas que impidieran que los buques se incendiaran… https://t.co/DZyVvlpuOF</t>
  </si>
  <si>
    <t>RT @naranja_cali: https://t.co/SUNEkQcwJ7</t>
  </si>
  <si>
    <t>Los tiempos de los mochacabezas como se llamaba a los paramilitares en los montes de maria han regresado, pero ahor… https://t.co/zQuaNj2BH0</t>
  </si>
  <si>
    <t>RT @el_pais: “Cuando gané las elecciones, el candidato que derroté dijo que iba a estar en las calles todo mi mandato, que iba a protestar…</t>
  </si>
  <si>
    <t>Ni siquiera Chile rechazó la visita de la CIDH, el gobierno de Duque lo hace. ¿A que le teme? A que un informe inde… https://t.co/SU7yBc5cFx</t>
  </si>
  <si>
    <t>RT @EspanaTovio: En Colombia el Uribato, y la fuerza pública están matando y desapareciendo sistemáticamente a los jóvenes para los viejos,…</t>
  </si>
  <si>
    <t>RT @CasandroMartell: Estos son los cadáveres de la recta Palmira Cali. Observen los detalles de la ropa y la mano. https://t.co/Bd6vm6kUhN</t>
  </si>
  <si>
    <t>RT @SARGENTOCHALA: El uribismo planea un golpe de estado utilizando a la fuerza pública con el fin de intensificar las acciones de represió…</t>
  </si>
  <si>
    <t>El Cerrejón cierra operación después de despedir casi 300 trabajadores que, luego, bloquearon su línea férrea. ¿Po… https://t.co/hxR0yjntle</t>
  </si>
  <si>
    <t>¿Qué había que hacer con el Cerrejón? Comenzar el programa de reconversión laboral con granjas de energía solar en… https://t.co/oOiGasVSXF</t>
  </si>
  <si>
    <t>RT @jcuestanovoa: Ayúdenme a ponerle nombre a esta imagen de la resistencia en Colombia. #ParoNacional22M https://t.co/4ZZKQZsE69</t>
  </si>
  <si>
    <t>RT @GGarciaRealpe: Señores @RevistaSemana retiren todas sus comunicaciones conmigo. Cancelo suscripción</t>
  </si>
  <si>
    <t>Lo que no pueden entender quienes el odio ha llevado a aplaudir el asesinato. En este niño, aún, lo que hay es dig… https://t.co/gWFw5O20Nb</t>
  </si>
  <si>
    <t>RT @dw_espanol: Misa de Pentecostés El papa Francisco rezó por "el querido pueblo colombiano", pidió diálogo y "evitar comportamientos dañ…</t>
  </si>
  <si>
    <t>RT @petrogustavo: Mi columna de hoy que comentaremos a las siete de la noche. De la Violencia, de la Paz y de la Vida. https://t.co/3wlk8…</t>
  </si>
  <si>
    <t>EN VIVO | Lectura de columnas de Los Gustavos, hoy nos acompaña la periodista Guylaine Roujol https://t.co/bQC3QL5Xfe</t>
  </si>
  <si>
    <t>RT @AnalisisUrbano: #ATENCIÓN 🆘🚨 #Alerta @PrimeraLineacol "Se hace una alerta temprana." https://t.co/iGtXceSP3g</t>
  </si>
  <si>
    <t>RT @wilsonariasc: Mi pueblo hoy💜 https://t.co/VNDdxsZsIo</t>
  </si>
  <si>
    <t>RT @JorgeMelguizo: Borrar un mural, como pasó hoy en Medellín con el mural CONVIVIR CON EL ESTADO, es anular la expresión del otro. Elimina…</t>
  </si>
  <si>
    <t>Este informe de Justicia y Paz sobre Cali es dantesco. Duque ha quebrado éticamente el estado colombiano. 120 des… https://t.co/NqaCZpEUGY</t>
  </si>
  <si>
    <t>RT @Pontifex_es: #RecemosJuntos para la situación de Colombia, que sigue siendo preocupante. Exhorto a todas las personas a evitar, por raz…</t>
  </si>
  <si>
    <t>Puede que mantener los Kfir sea más costoso que comprar aviones de guerra nuevos. Pero este no es el momento para e… https://t.co/yevXpxUUOl</t>
  </si>
  <si>
    <t>RT @conycamelo: RT URGENTE El 4 de mayo la @CIDH le pidió al gobierno de @IvanDuque venir a verificar violaciones de DDHH en las protest…</t>
  </si>
  <si>
    <t>RT @anateresabernal: 🇨🇴En una clase magistral de derecho constitucional, @petrogustavo le acaba de recordar a la cúpula militar que el Esta…</t>
  </si>
  <si>
    <t>RT @AndresCamiloHR: “Se les olvido que no solo le obedecen a un presidente, le obedece a una constitución” señala @petrogustavo</t>
  </si>
  <si>
    <t>RT @Juanaafanador1: Petro la cantó clarita, Uribe da las ordenes. « La quiebra ética del estado » dice @petrogustavo.</t>
  </si>
  <si>
    <t>RT @AndresCamiloHR: “Usted es corresponsable de terrorismo de estado” senador @petrogustavo le dice al ministro de defensa Diego Molano.</t>
  </si>
  <si>
    <t>RT @RafaelePachon: “Cuando al contrario el Estado mata a ciudadanos y niños desarmados, a eso no se le llama Estado Social de Derecho, a es…</t>
  </si>
  <si>
    <t>RT @elsemblante: "La Constitución del 91 exige al Estado proteger a todos los ciudadanos y ciudadanas de Colombia. No dice que sólo a los a…</t>
  </si>
  <si>
    <t>RT @AndresCamiloHR: “Si ustedes tienen en su cabeza que la manifestación es un acto de guerra han perdido todo en su vida” señala @petrogus…</t>
  </si>
  <si>
    <t>RT @elsemblante: "La fuerza pública es elitista y monárquica. El policía y el soldado raso están condenados al bajo salario y a la indignid…</t>
  </si>
  <si>
    <t>RT @SenadoGovCo: #PlenariaSenado_Mixta | “No se puede convertir una protesta en un acto de guerra. La manifestación es un derecho universal…</t>
  </si>
  <si>
    <t>RT @borjahcarlos: Acá está @petrogustavo diciendo las verdades que tienen a las élites arrinconadas https://t.co/qSdtRrftgs</t>
  </si>
  <si>
    <t>RT @Yanguis_: Maldito Petro, incendiando el pais diciendo que los policías deben tener más oportunidades.</t>
  </si>
  <si>
    <t>Mi intervención en el senado sobre la moción de censura al ministro de defensa https://t.co/KFSySiEbTP</t>
  </si>
  <si>
    <t>RT @petrogustavo: Mi intervención en el senado sobre la moción de censura al ministro de defensa https://t.co/KFSySiEbTP</t>
  </si>
  <si>
    <t>Atención para difundir en todas las redes. Este trino es falso. Ni hablo de bloqueos sino de pasar a manifestacion… https://t.co/dp0okZNNtE</t>
  </si>
  <si>
    <t>Este video muestra un crimen contra la humanidad. Duque incendió el país, intenta dividirlo de manera grave y ha… https://t.co/S6JRlHvDQw</t>
  </si>
  <si>
    <t>Tengan la seguridad que los incendiarios buscan la excusa para decretar la conmoción interior. Quien incendia busca… https://t.co/3shOT8gdig</t>
  </si>
  <si>
    <t>RT @petrogustavo: Atención para difundir en todas las redes. Este trino es falso. Ni hablo de bloqueos sino de pasar a manifestaciones pac…</t>
  </si>
  <si>
    <t>RT @PrensaPEsquivel: Repudiamos la decisión política antidemocrática de @IvanDuque de impedir el ingreso de @JuanGrabois a Colombia en el m…</t>
  </si>
  <si>
    <t>RT @petrogustavo: Este video muestra un crimen contra la humanidad. Duque incendió el país, intenta dividirlo de manera grave y ha quebra…</t>
  </si>
  <si>
    <t>RT @PrensaRural: #ATENCION En #Tuluá la ciudadanía reportó la presencia de civiles armados que estaban junto a unidades policiales. Jóve…</t>
  </si>
  <si>
    <t>RT @Declaracion: #Colombia🇨🇴 La mayoría de las pruebas e informaciones que recibimos señalan a la acción de civiles armados, paramilitares…</t>
  </si>
  <si>
    <t>Mi querido general, creo que el irrespeto es con el voto popular. El legislativo es independiente del ejecutivo. Si… https://t.co/gaMBGNnfYT</t>
  </si>
  <si>
    <t>RT @heidy_up: Camilo Arango era estudiante de Derecho y tenía 19 años. Ayer fue asesinado en Tuluá, Valle del Cauca. ¿Cuántas vidas más? ht…</t>
  </si>
  <si>
    <t>RT @SandSuarez: Buenos días solo a esta reina. https://t.co/D06iGUFRWw</t>
  </si>
  <si>
    <t>RT @olmedolopezm: "Dignificar la fuerza pública en Colombia significa que un agente de policía pueda ser general" @petrogustavo</t>
  </si>
  <si>
    <t>RT @johnherrerago: Venezolanos se van de colombia porque @IvanDuque convirtió a Colombia en Venezuela. https://t.co/oqaNr0ebrH</t>
  </si>
  <si>
    <t>Las ambulancias son sagradas 0 https://t.co/YkjxLsYQcG</t>
  </si>
  <si>
    <t>El incendio del palacio de justicia de Tulua lo que revela es que estamos ante un terrorismo de Estado. El gobiern… https://t.co/2KUdh3vOXO</t>
  </si>
  <si>
    <t>La llegada inmediata de la CIDH no solo permite una instancia judicial independiente para investigar los hechos de… https://t.co/gs8W6YHQxY</t>
  </si>
  <si>
    <t>Durísimo pronunciamiento de la CIDH sobre violación de derechos humanos en Colombia con ocasión de laprotesta ciuda… https://t.co/XrSIjPO7lw</t>
  </si>
  <si>
    <t>RT @UniNoticias: #JaniotPM - Gustavo Petro se defiende acusando a Iván Duque de promover el caos y prolongar el paro nacional https://t.co/…</t>
  </si>
  <si>
    <t>RT @LuisGPerezCasas: Un joven de la primera línea recibe en Usme un balazo en la cabeza por parte de la Policía ¿ creen Sr @IvanDuque que v…</t>
  </si>
  <si>
    <t>Que tengamos 139 heridos anoche en el sur de Bogotá indica la más profunda crisis humanitaria de la historia desde… https://t.co/1B12jHmoGZ</t>
  </si>
  <si>
    <t>RT @RevistaDinero: Los vacunados con Sputnik V no propagarían el coronavirus si se contagian. https://t.co/RDDm8ofev6</t>
  </si>
  <si>
    <t>RT @petrogustavo: Que tengamos 139 heridos anoche en el sur de Bogotá indica la más profunda crisis humanitaria de la historia desde el 9 d…</t>
  </si>
  <si>
    <t>Lo que ha hecho el Senado de la República es avalar el asesinato de jóvenes en Colombia y.el terrorismo de Estado.… https://t.co/fRNy4DDlRO</t>
  </si>
  <si>
    <t>RT @IvanCepedaCast: He aquí la lista de senadores que votaron contra la moción de censura (en rojo). Por favor, en memoria de los jóvenes a…</t>
  </si>
  <si>
    <t>RT @MJDuzan: Me llega esta denuncia de primera mano. Sucedió anoche en Usme. Un joven que salió a comprar café y panela fue atacado por el…</t>
  </si>
  <si>
    <t>RT @Tercer_Canal: La tragedia tocó las puertas del @Tercer_Canal Edwin Daniel Sepulveda es un colaborador nuestro, un joven lleno de sueños…</t>
  </si>
  <si>
    <t>RT @cancinodiegoa: INFAME, sigue pasando que los jóvenes que salen a protestar no regresan, dolor para sus familias y para Colombia. Pido q…</t>
  </si>
  <si>
    <t>El gobierno quiere prolongar el paro e incendiar el país con violencia porque cree que así ganará las elecciones.… https://t.co/nQY9PKENJf</t>
  </si>
  <si>
    <t>La confrontación con la policía, como afirmé desde el principio, es una trampa. La barricada solo atrae la violenci… https://t.co/Km0gc4bZbK</t>
  </si>
  <si>
    <t>¿Que se negocia? El cambio de la politica social del país: el pacto social. El empresariado hoy debería ser concie… https://t.co/vZ1bZ9Iqnu</t>
  </si>
  <si>
    <t>Dejar al esmad sin funciones al cambiar formas de protesta: No consumir gaseosas. Salirse de los fondos privados de… https://t.co/onVzhpZu6n</t>
  </si>
  <si>
    <t>La base del pacto social al que llamamos al empresariado, es tributar justamente, mayores impuestos al patrimonio i… https://t.co/x5ImQOdwAz</t>
  </si>
  <si>
    <t>RT @petrogustavo: El gobierno quiere prolongar el paro e incendiar el país con violencia porque cree que así ganará las elecciones. Cambia…</t>
  </si>
  <si>
    <t>RT @anateresabernal: 🔴 ATENCIÓN: Nos llega está información de otro joven de 1a línea asesinado, oriundo del barrio Poblado Campestre, Vía…</t>
  </si>
  <si>
    <t>RT @petrogustavo: La confrontación con la policía, como afirmé desde el principio, es una trampa. La barricada solo atrae la violencia esta…</t>
  </si>
  <si>
    <t>RT @petrogustavo: ¿Que se negocia? El cambio de la politica social del país: el pacto social. El empresariado hoy debería ser conciente qu…</t>
  </si>
  <si>
    <t>Ni.el asesinato de manifestantes ni el asesinato del asesino. Nada de eso sirve, sino es para perpetuar el poder de… https://t.co/5Egdyjznok</t>
  </si>
  <si>
    <t>Inmensa Medellin. https://t.co/bSByzN00sS</t>
  </si>
  <si>
    <t>RT @petrogustavo: Dejar al esmad sin funciones al cambiar formas de protesta: No consumir gaseosas. Salirse de los fondos privados de pensi…</t>
  </si>
  <si>
    <t>¿Señor fiscal general de la nación, porque sus hombres asesinan manifestantes? @FiscaliaCol</t>
  </si>
  <si>
    <t>RT @nicolaspetroB: Barranquilla resiste! https://t.co/S24xPrfUO8</t>
  </si>
  <si>
    <t>RT @GustavoBolivar: Así no @NoticiasCaracol Muestran la noticia, por supuesto lamentable, de un agente del CTI o el Gaula, pero no dicen q…</t>
  </si>
  <si>
    <t>RT @ChalecosAmarill: 🎥🛑En #Colombia Ciudad del Campo 🔻Sebastián Herrera fue el joven asesinado esta mañana por un civil armado en el bloqu…</t>
  </si>
  <si>
    <t>Esta es la transmisión en directo del canal 2 de tv en Cali. Esta es la.forma como una manifestación pacifica es ag… https://t.co/AGLfXYJQUP</t>
  </si>
  <si>
    <t>RT @ChalecosAmarill: 🛑En #Colombia documentos de la persona que le disparó y ASESINÓ a dos jovenes manifestantes de la Luna en Cali. 🔻Miem…</t>
  </si>
  <si>
    <t>Terrorismo de estado, el crimen más grande que se puede cometer antes fel genocidio https://t.co/dPtpdl3Uxs</t>
  </si>
  <si>
    <t>Terrorismo de estado. Por esto votó la mayoría del Congreso de la República Nosotros proponemos un pacto social https://t.co/DFtk0usibs</t>
  </si>
  <si>
    <t>Multitudes pacíficas en Pasto. https://t.co/7FThkbVRXl</t>
  </si>
  <si>
    <t>Este es el portal de la resistencia en Bogotá. Multitudes pacíficas https://t.co/c6lCXbfgVb</t>
  </si>
  <si>
    <t>La manifestación es pacífica en Pereira pero el Esmad ataca. Esta es la enorme mentira del ministro de defensa. Una… https://t.co/ZwOBRosyAL</t>
  </si>
  <si>
    <t>Esta es la multitud pacífica en Bogotá https://t.co/oqKPJi3hx5</t>
  </si>
  <si>
    <t>Las ambulancias son sagradas. BIEN https://t.co/mFPpKyud9c</t>
  </si>
  <si>
    <t>Multitudes pacíficas en Bucaramanga https://t.co/2pTw0bLoDg</t>
  </si>
  <si>
    <t>Este es el sur de Bogotá. Multitudes pacíficas https://t.co/edwN6maION</t>
  </si>
  <si>
    <t>Multitudes pacíficas en Barranquilla https://t.co/uvn3TUtKIh</t>
  </si>
  <si>
    <t>Permitan la manifestación pacifica, no la agredan. Este es el suroccidente de Bogotá. Las multitudes hacia un nuev… https://t.co/ip5WJDQg6c</t>
  </si>
  <si>
    <t>El gobierno no quiere negociar, quiere matar para sacar más votos en el 2022. La respuesta no es más violencia. Es… https://t.co/YDaaJ1GXxL</t>
  </si>
  <si>
    <t>De Duque no sale más propuesta que represión, más armas, más violencia. Su proyecto es violento. Nosotros proponem… https://t.co/Fp98Jxbrj1</t>
  </si>
  <si>
    <t>En Venezuela golpearon un violinista, aquí el que tocaba el saxofón. https://t.co/TthCEmjq7F</t>
  </si>
  <si>
    <t>RT @petrogustavo: De Duque no sale más propuesta que represión, más armas, más violencia. Su proyecto es violento. Nosotros proponemos un…</t>
  </si>
  <si>
    <t>RT @madameperine: Músicos de Colombia, colegas y amigos queridos, artistas, gente del entretenimiento por favor, necesitamos ayudar a Álvar…</t>
  </si>
  <si>
    <t>Este es el Portal de la Ressitencia en Bogotá. Le duele a Duque la paz. https://t.co/WIDujId8A4</t>
  </si>
  <si>
    <t>El paramilitarismo que desata Duque en Cali es un crimen contra la humanidad. El.terrorismo de Estado. https://t.co/noaisaWtpE</t>
  </si>
  <si>
    <t>A usted le obligan a creer, a través de los medios de comunicación, que éste joven es un vándalo y que por eso debe… https://t.co/F36xsdlAWM</t>
  </si>
  <si>
    <t>A usted le hacen creer que este joven es del narco, que es terrorista, pero narcos y terroristas son los que ordena… https://t.co/862ze8bCZm</t>
  </si>
  <si>
    <t>A través del goteo permanente de los medios que muestran las reacciones indignadas de la juventud pero jamás le mue… https://t.co/5TITTxWsby</t>
  </si>
  <si>
    <t>RT @Contagioradio1: #Cali #28M Michael Aranda, joven herido por arma de fuego activada por policiales, murió hace tres horas en el hospital…</t>
  </si>
  <si>
    <t>RT @ONUHumanRights: Estamos extremadamente preocupados X situación en Meléndez #Cali en este momento. Tenemos reporte de dos personas falle…</t>
  </si>
  <si>
    <t>RT @Juanaafanador1: Sebatián Mejía Belalcázar con CC. 1113689072 fue retenido injustamente y llevado a la estación de policía La María jun…</t>
  </si>
  <si>
    <t>RT @hoyosjohnjairo: 28M. Cali. Estación la María. Denunció que fui expulsado de manera grosera de la estación la María en ciudad Jardín cu…</t>
  </si>
  <si>
    <t>RT @nytimes: Colombia lleva más de un mes de protestas. El @nytimes analizó cientos de videos y habló con testigos y víctimas, y muestra el…</t>
  </si>
  <si>
    <t>RT @JaviHIVer: Según el Uribismo: Los vándalos // La gente de bien https://t.co/qHOv6T5Q5P</t>
  </si>
  <si>
    <t>RT @petrogustavo: A usted le obligan a creer, a través de los medios de comunicación, que éste joven es un vándalo y que por eso deben pega…</t>
  </si>
  <si>
    <t>Ayer estuvimos construyendo el equipo de política económica del próximo gobierno. https://t.co/g9k2e2YMp7</t>
  </si>
  <si>
    <t>No crean que estábamos haciendo barricadas, estamos construyendo el país democrático que toda Colombia merece ante… https://t.co/6oYx6g7hPZ</t>
  </si>
  <si>
    <t>De alguna manera las soluciones exploradas por el equipo económico que empieza a trabajar son las que la gente dema… https://t.co/P2pCE4U08K</t>
  </si>
  <si>
    <t>RT @AbadColorado: Dijeron que eras de una banda y que tenías ¡un corno! Gente de bien, levantada en armas, golpeó tu cuerpo y cara. No cono…</t>
  </si>
  <si>
    <t>RT @petrogustavo: Ayer estuvimos construyendo el equipo de política económica del próximo gobierno. https://t.co/g9k2e2YMp7</t>
  </si>
  <si>
    <t>RT @FelicianoValen: Imágenes que nos hacen doler el alma. Jóvenes de Colombia que resisten, ustedes no están solos. https://t.co/CWnMhVBT9V</t>
  </si>
  <si>
    <t>Esto general Vargas, es la calificación de su gestión. No es al abraso del congresista corrupto, es la reacción de… https://t.co/iGA0aeC5yx</t>
  </si>
  <si>
    <t>RT @Elizabe48301339: @CaptainPolombia @IvanDuque Esta es la gente que me representa https://t.co/r30K5ryRZJ</t>
  </si>
  <si>
    <t>RT @Hernan_MurielP: Un hombre vestido de civil sale del Centro Comercial El Diamante, en Medellín, y le dispara a la manifestación. Nosotro…</t>
  </si>
  <si>
    <t>Porque estamos del lado de la juventud nos llaman incendiarios. No amigos y amigas del privilegio, no es el incendi… https://t.co/gfs1LF9VcU</t>
  </si>
  <si>
    <t>En todos los tonos posibles. https://t.co/QyZe6hpRx2</t>
  </si>
  <si>
    <t>RT @Tweet1A: Tenemos identificado al tombo asesino que disparaba a los de la Primera Línea. Difundir. https://t.co/aJ1d6QrLqn</t>
  </si>
  <si>
    <t>RT @MidiaNINJA: O estado onde nasceu o genocida também não aguenta mais. O Rio de Janeiro está lotado em ato contra Bolsonaro. Vaza, genoci…</t>
  </si>
  <si>
    <t>RT @NanyPardo: Los 69 congresistas que apoyaron a Molano y no a los pelaos, deberían leer esto de jóvenes que lo tienen todo, pero que está…</t>
  </si>
  <si>
    <t>Esta es la manifestación contra Bolsonaro en Brasil https://t.co/1CUC57BbiN</t>
  </si>
  <si>
    <t>Vacunas, alimentos y la salida de Bolsonaro, son los gritos en la avenida paulista de Sao Paulo, Brasil. Es toda l… https://t.co/KBhfovkCcG</t>
  </si>
  <si>
    <t>RT @SergioChaparro8: La gran paradoja es que las sociedades más desiguales crean un conjunto de creencias y de mecanismos que legitiman y e…</t>
  </si>
  <si>
    <t>Este es el terrorismo de Estado, Policías de civil junto a policías uniformados disparando armas de fuego a la mani… https://t.co/ruQfY4SATe</t>
  </si>
  <si>
    <t>Jóvenes a inscribir la cédula. Hoy comienza el periodo de inscripciones en la registraduría. Cómo se hace el cambi… https://t.co/HF81d3X2wX</t>
  </si>
  <si>
    <t>RT @petrogustavo: En todos los tonos posibles. https://t.co/QyZe6hpRx2</t>
  </si>
  <si>
    <t>RT @petrogustavo: Jóvenes a inscribir la cédula. Hoy comienza el periodo de inscripciones en la registraduría. Cómo se hace el cambio? en…</t>
  </si>
  <si>
    <t>La columna para hoy de Gustavo Bolivar Alerta Aeropuerto La comentaremos hoy a las siete de la noche https://t.co/bgAslBjtwb</t>
  </si>
  <si>
    <t>Les presento mi columna Gentes de Bien La analizaremos hoy a las siete de ls noche. https://t.co/vKxEGEKdRD</t>
  </si>
  <si>
    <t>Aquí la columna de Gustavo Bolívar Alerta Aeropuerto La comentaremos hoy a las siete de la noche https://t.co/2sL6H1B2Cf</t>
  </si>
  <si>
    <t>Les presento mi columna de hoy Gentes de Bien La comentaremos hoy a las siete de la noche https://t.co/1OhiZuy9D7</t>
  </si>
  <si>
    <t>Este joven salió del barrio Bolivar 83 de Zipaquirá. Llegará pronto el dia en que toda la juventud de ese barrio,… https://t.co/s1NeHnbDq3</t>
  </si>
  <si>
    <t>RT @petrogustavo: Aquí la columna de Gustavo Bolívar Alerta Aeropuerto La comentaremos hoy a las siete de la noche https://t.co/2sL6H1B2…</t>
  </si>
  <si>
    <t>RT @petrogustavo: Les presento mi columna de hoy Gentes de Bien La comentaremos hoy a las siete de la noche https://t.co/1OhiZuy9D7</t>
  </si>
  <si>
    <t>RT @graffitiborrao: En el pasado paro camionero (año 2016 - duró 45 días) Uribe le pedía a Santos dialogar con los transportadores para que…</t>
  </si>
  <si>
    <t>RT @ColomBitcoin: Este es uno de los paramilitares (Andrés Escobar) que estaban disparando en ciudad bacrim, y sí, tiene negocio (media ive…</t>
  </si>
  <si>
    <t>RT @TembloresOng: Los rostros de las 13 personas que murieron durante el violento 28 de mayo en Cali. https://t.co/8W2gylYgba</t>
  </si>
  <si>
    <t>Cinco.policías que mueren en el cumplimiento de su deber constitucional y que son.parte también de la tragedia naci… https://t.co/BuK1cqUvBX</t>
  </si>
  <si>
    <t>RT @ChalecosAmarill: 🎥🛑Lo que se vive en #Colombia no es una guerra, es una masacre contra los pobres. 🔻Así están las calles de Madrid #Cu…</t>
  </si>
  <si>
    <t>RT @JUANCAELBROKY: Un ciudadano es gravemente herido tras intervención del ESMAD en Facatativá. #SOSFacatativa #ParoNacional #ParoNacional3…</t>
  </si>
  <si>
    <t>Este es el gran crimen de Duque y Uribe contra el pueblo de Colombia. https://t.co/0xg9pwnwJm</t>
  </si>
  <si>
    <t>El gobierno debería sacar el Esmad de Facatativá y Madrid para distensionar la situación. Se esta viendo in verdad… https://t.co/3pQ5siUnmG</t>
  </si>
  <si>
    <t>Toda mi solidaridad Rodrigo. Que esos vientos rebeldes de tu hermano florezcan de nuevo en esta humanidad. Paz en… https://t.co/fOepxaBpWT</t>
  </si>
  <si>
    <t>EN VIVO | Lectura de columnas de Los Gustavos, hoy nos acompaña @RoyBarreras. https://t.co/irzWrCJZ3r</t>
  </si>
  <si>
    <t>Cuando este agente de policía pudo ser linchado, jóvenes organizados pudieron rescatarlo y ponerlo a salvo. Agentes… https://t.co/Y3AR9vscNQ</t>
  </si>
  <si>
    <t>RT @ChalecosAmarill: 🎥🛑En #España, grande @jmvillarroya sobre #Colombia 🔻"Si fuera Maduro en Venezuela, dirian que el pueblo ha salido a p…</t>
  </si>
  <si>
    <t>RT @bbcmundo: Protestas en Colombia: la ONU pide una investigación independiente de las muertes tras la militarización de Cali https://t.co…</t>
  </si>
  <si>
    <t>Los civiles onparapoliciales disparando contra manifestantes no configuran una irregularidad administrativa, sino u… https://t.co/VCIzKG3CTC</t>
  </si>
  <si>
    <t>En general los menores de edad pobres de 16 años en Colombia trabajan o buscan trabajo porque no hay comida en la c… https://t.co/7YuJZ7jo01</t>
  </si>
  <si>
    <t>RT @gener_usuga: Rt https://t.co/BpUlvzMqt5</t>
  </si>
  <si>
    <t>RT @CabrPalencia: https://t.co/mY91dpgVoQ</t>
  </si>
  <si>
    <t>En mi opinión el estallido social se frena y se pasa a la manifestación pacifica si usted, Claudia, da la.orden púb… https://t.co/eC7nUjMBiU</t>
  </si>
  <si>
    <t>RT @Jhonsal93960680: El es el joven encontrado dentro del dollar city incinerado. Dicen fue asesinado porque tiene disparos en su cuerpo s…</t>
  </si>
  <si>
    <t>Lo.que dice este agente de policía es absolutamente cierto. El problema está en el voto. La más grande marcha deb… https://t.co/x05Qa02us5</t>
  </si>
  <si>
    <t>RT @VMallarino: Sería tanto más útil para un país lesionado de muerte en tantos órganos que la vocería del CD estudiara las tesis de @petro…</t>
  </si>
  <si>
    <t>Esta entrevista con este líder estudiantil muestra lan realidad del paro y su complejidad. Su solución no va a dep… https://t.co/WLcXzyw8vD</t>
  </si>
  <si>
    <t>La obsesion de Duque de sacar provecho electoral y de creer que el paro se soluciona a punta de fusiles y gases ha… https://t.co/TsniZYg3Ew</t>
  </si>
  <si>
    <t>Las comisiones primeras del senado están a punto de aprobar el desacato de la sentencia de la CIDH sobre prohibició… https://t.co/iCf6kxKOjM</t>
  </si>
  <si>
    <t>RT @kienyke: #Judicial | El senador Gustavo Petro (@petrogustavo), advirtió acciones legales en contra de quienes aprobaron el proyecto que…</t>
  </si>
  <si>
    <t>RT @gener_usuga: Congresistas italianos piden a la CPI investigar a responsables estatales por crímenes en manifestaciones en Colombia. Ví…</t>
  </si>
  <si>
    <t>RT @andrefelgiraldo: Hundir la reforma a la Procuraduría es tan importante como haber hundido la reforma tributaria y la reforma a la salud…</t>
  </si>
  <si>
    <t>RT @La_eche: Todos los días hay una nueva lucha. Hundir la reforma a ma Procuraduría es la que nos convoca. Le. Importamos tan poco a este…</t>
  </si>
  <si>
    <t>Lo que hizo ayer, con ayuda de dos senadores liberales, es la conversión de la procuraduría en una policía política… https://t.co/0Ib8iSU7eF</t>
  </si>
  <si>
    <t>RT @PedroCastilloTe: Estamos viviendo un momento único y crucial en nuestra historia. El voto de la dignidad, de la memoria y de los sueños…</t>
  </si>
  <si>
    <t>RT @CesarPachonAgro: ¡Buen día sumercé! Sin inscribir la cédula ni pío... https://t.co/UAsDDQBqA9</t>
  </si>
  <si>
    <t>RT @HassNassar: Sólo en la mente de un incauto, los malos son los estudiantes torturados y los buenos son las milicias urbanas armadas por…</t>
  </si>
  <si>
    <t>RT @petrogustavo: Lo que hizo ayer, con ayuda de dos senadores liberales, es la conversión de la procuraduría en una policía política con c…</t>
  </si>
  <si>
    <t>RT @SaraTufanoZ: "Si aquí la gente para el Estado dispara fue la orden del para". ¡Poderosas! 💜🔥 https://t.co/RRX0SE1E8o</t>
  </si>
  <si>
    <t>Sobre los sepulcros blanqueados. Voces de la juventud que quisieran silenciar. https://t.co/PW5BlTkhEv</t>
  </si>
  <si>
    <t>Esto pasa en Siloé. Como.en las dictaduras del cono sur, como en.el peor momento del paramilitarismo en Colombia… https://t.co/5eXDfrBnT8</t>
  </si>
  <si>
    <t>RT @RubenPinzonHdez: #GOOOOOL Las Comisiones Primeras del Senado aprobaron en 1er. debate el proyecto q permite a la @PGN_COL quitar derech…</t>
  </si>
  <si>
    <t>RT @petrogustavo: Esto pasa en Siloé. Como.en las dictaduras del cono sur, como en.el peor momento del paramilitarismo en Colombia El cam…</t>
  </si>
  <si>
    <t>Los senadores liberales Fabio Amin de Córdoba y Pinto de Santander con su voto, permitieron la conformación de una… https://t.co/Pz3x5Lb1Lm</t>
  </si>
  <si>
    <t>Los gangsters de Duque https://t.co/aXgAMtYZCi</t>
  </si>
  <si>
    <t>Paloma Valencia y Néstor Humberto, la jugadita no les salió bien. La justicia habló. Soy inocente y ustedes afect… https://t.co/Vzr2J2NcUY</t>
  </si>
  <si>
    <t>Pregunto si @CanalRCN y @CaracolTV y las emisoras de radio que tanto propagaron la duda del origen de los recursos… https://t.co/PLro3saf5E</t>
  </si>
  <si>
    <t>El gobierno ayer masacró a la juventud caleña. Cinco muertos despues de 70 asesinatos. Duque aun no entiende que es… https://t.co/DYgv2Id5cT</t>
  </si>
  <si>
    <t>RT @petrogustavo: Paloma Valencia y Néstor Humberto, la jugadita no les salió bien. La justicia habló. Soy inocente y ustedes afectaron,…</t>
  </si>
  <si>
    <t>RT @RoyBarreras: No habrá reparación. La fábrica de fakes funciona así:1) Una calumnia judicial filtrada2) Grandes medios’”difunden la “no…</t>
  </si>
  <si>
    <t>RT @ChalecosAmarill: 🛑En #Colombia #UnivalleDeLuto💔 🔻Lamentamos informar que la 2ª víctima mortal en Paso del Aguante #CALI a manos de la…</t>
  </si>
  <si>
    <t>RT @AnalisisUrbano: #ATENCIÓN 🚨 #SOSColombiaDDHH 🇨🇴🤬🆘 #Denuncia @ChalecosAmarill "🎥🛑" "Este es el momento exacto en que un joven manifestan…</t>
  </si>
  <si>
    <t>Yo no se a ustedes, pero a mi esto me da ganas de llorar de indignación. Un gobierno que en vez de escuchar y enten… https://t.co/46copemQ4F</t>
  </si>
  <si>
    <t>RT @HOLLMANMORRIS: 2) Imagen dolorosa que debe conocer el mundo . Los cuerpos sin vida de 2 de los 5 jóvenes asesinados anoche en el paso…</t>
  </si>
  <si>
    <t>RT @ruidiaz_ddhh: Y la Procuradora Cabello @PGN_COL tiene el descaro de decir que no hay pruebas contundentes que vinculen a @PoliciaColomb…</t>
  </si>
  <si>
    <t>RT @Marianiniecheve: En Loma de la Cruz, Cali, la comunidad unida echó al ESMAD. Así, unidos, siempre seremos superiores a esa banda crim…</t>
  </si>
  <si>
    <t>RT @ernesto_prado: Como apoderado del Doctor Gustavo Petro en el tema del Petrovideo, el martes me notificaré de la providencia de la Sala…</t>
  </si>
  <si>
    <t>RT @sergio_serrano_: Hoy es domingo, los que salen a disparar contra los pelados que protestan, los que aplauden cada muerto y los que pide…</t>
  </si>
  <si>
    <t>RT @CIDH: #CIDHEnColombia #VisitaDeTrabajo La #CIDH mantendrá reuniones con la sociedad civil, además recibirá testimonios presenciales y…</t>
  </si>
  <si>
    <t>La columna de Gustavo Bolívar apunta a uno de los ejes centrales de nuestro programa de gobierno. La descarbonizac… https://t.co/0C6IjZkLRE</t>
  </si>
  <si>
    <t>Esta es mi columna de hoy La difamación La comentaremos hoy a las siete de la noche https://t.co/QCBJDLNxQm</t>
  </si>
  <si>
    <t>RT @JUANCAELBROKY: En inmediaciones a la calle 26 con Cali, varias personas se reúnen para recibir a la @CIDH en Bogotá. #ParoNacional6J ¿…</t>
  </si>
  <si>
    <t>RT @petrogustavo: La columna de Gustavo Bolívar apunta a uno de los ejes centrales de nuestro programa de gobierno. La descarbonización de…</t>
  </si>
  <si>
    <t>RT @petrogustavo: Esta es mi columna de hoy La difamación La comentaremos hoy a las siete de la noche https://t.co/QCBJDLNxQm</t>
  </si>
  <si>
    <t>Que lamentable ministro.que todos los cuerpos sin vida, casi 80 pertenezcan a jóvenes que protestan, que todos muer… https://t.co/2AQaxgtNQZ</t>
  </si>
  <si>
    <t>RT @ProgIntl_ES: URGENTE (1/3): La @ONPE_oficial de Perú ha restringido el acceso público a los datos de votación hasta hacerlos obsoletos.…</t>
  </si>
  <si>
    <t>RT @anateresabernal: 📢)) A esta hora una mancha tricolor recibe y saluda la llegada de la @CIDH a Colombia en inmediaciones de la Av Ciudad…</t>
  </si>
  <si>
    <t>RT @RodrigoUprimny: Mi columna hoy: Procuradora Cabello le toma del pelo a la Corte IDH, para así mantener el poder de destituir y suspende…</t>
  </si>
  <si>
    <t>Bien Falcao. Derechos humanos, derecho a la protesta y no violencia https://t.co/t8Z4GJZJWc</t>
  </si>
  <si>
    <t>RT @AlejamillerR: Vemos imágenes de allanamientos y capturas sin orden judicial en todo el país, ¿Estado de excepción de facto? Solidarida…</t>
  </si>
  <si>
    <t>Acaba el Pacto Histórico de ganar la alcaldía de Caucasia, Antioquia. Jefferson Sarmiento ha contado con el apoyo… https://t.co/yI6RHLCkfL</t>
  </si>
  <si>
    <t>EN VIVO | Lectura de columnas de Los Gustavos, hoy nos acompaña @marthaperaltae https://t.co/y69r7drxeY</t>
  </si>
  <si>
    <t>Estamos en vivo en #LosGustavos por space. https://t.co/oYQW6gaBUa</t>
  </si>
  <si>
    <t>RT @petrogustavo: Estamos en vivo en #LosGustavos por space. https://t.co/oYQW6gaBUa</t>
  </si>
  <si>
    <t>RT @hoyosjohnjairo: 6J- A MINDEFENSA MOLANO: El joven JAIME ROSAS estudiante de estadística en Univalle lo asesinaron el 4J en el paso del…</t>
  </si>
  <si>
    <t>Cualquiera que sea el triunfador en Perú ya no se podrá hacer los cambios que una parte de la sociedad quisiera que… https://t.co/x4W2zArgiu</t>
  </si>
  <si>
    <t>La sociedad colombiana en el 2022 deberá decidir si quiere el cambio o el autoritarismo. Si quiere las institucione… https://t.co/dqMbNEgzQV</t>
  </si>
  <si>
    <t>Si el que diga Uribe pasa conmigo a segunda vuelta, esa será la decisión a tomar. Si el desastre del uribismo permi… https://t.co/NCLeyK0zbr</t>
  </si>
  <si>
    <t>El movimiento Mais, movimiento indígena y social por decisión de su convención ha decidido hacer parte del Pacto H… https://t.co/rKHWcvvDAn</t>
  </si>
  <si>
    <t>Ha aumentado la ventaja de Pedro Castillo sobre Fujimori que puede llegar a 50.000. Es virtualmente el presidente d… https://t.co/88QwzG7I9R</t>
  </si>
  <si>
    <t>No conozco a Pedro Castillo. Le deseo un buen gobierno en favor del Perú. El empate real electoral llama a buscar f… https://t.co/dzpoBoTj6L</t>
  </si>
  <si>
    <t>El progresismo ha sido mayoritario en Ecuador, dividido, en Perú y lo es ya en Brasil y Argentina Ojalá abandonemo… https://t.co/fZvzYGFtWE</t>
  </si>
  <si>
    <t>Tengo que confesar que en cuestión de avionetas, el uribismo nos lleva mucha ventaja. https://t.co/azx4fs53vA</t>
  </si>
  <si>
    <t>El que esta detrás de los desmanes es el hambre y el mismo Duque por no entender y escuchar la juventud colombiana.… https://t.co/B3fAafeMms</t>
  </si>
  <si>
    <t>RT @petrogustavo: Tengo que confesar que en cuestión de avionetas, el uribismo nos lleva mucha ventaja.</t>
  </si>
  <si>
    <t>RT @PedroCastilloTe: Queridos personeros y personeras, para mí, héroes y heroínas de la democracia, aún faltan votos de algunos rincones de…</t>
  </si>
  <si>
    <t>Sergio es hora de ser libres, en tus manos está y sabes como. Mi objetivo no es llegar a segunda vuelta. El objeti… https://t.co/pICrOiCgNO</t>
  </si>
  <si>
    <t>Señores @FiscaliaCol les solicito investigar si Alberto Brando es el autor de esta amenaza contra mi. Esperamos su… https://t.co/atzfSibKTv</t>
  </si>
  <si>
    <t>RT @alejocalder0n: • Las calles también hablan • Intervención grafica de 3 km de longitud aprox que inicia en la plaza de bolivar por la Cr…</t>
  </si>
  <si>
    <t>RT @MovimientoMAIS: Por decisión unánime de más de 300 delegados de todo el país, nuestro @MovimientoMAIS decidió ser parte del #PactoHisto…</t>
  </si>
  <si>
    <t>RT @GustavoBolivar: Petro hace la propuesta más grande para quienes deseamos q no se derrame una gota más de sangre en Colombia: “Podemos h…</t>
  </si>
  <si>
    <t>Esto es lo que se llama terrorismo. https://t.co/jvxhmsgwGP</t>
  </si>
  <si>
    <t>RT @petrogustavo: Señores @FiscaliaCol les solicito investigar si Alberto Brando es el autor de esta amenaza contra mi. Esperamos su infor…</t>
  </si>
  <si>
    <t>RT @petrogustavo: Sergio es hora de ser libres, en tus manos está y sabes como. Mi objetivo no es llegar a segunda vuelta. El objetivo es…</t>
  </si>
  <si>
    <t>RT @RodrigoUprimny: Maria Isabel Rueda hace “fast-check” a un discurso de Petro sobre tierras. No me interesa defender a Petro, de quien di…</t>
  </si>
  <si>
    <t>RT @PedroCastilloTe: Debemos estar atentos para defender la democracia que se expresa en cada uno de los votos, dentro y fuera de nuestro a…</t>
  </si>
  <si>
    <t>Uribe ha caído en el error de pensar que entre más mano dura con la protesta, más popularidad obtendrían. Equivoca… https://t.co/94L4xlbCkM</t>
  </si>
  <si>
    <t>Precisamente es el atraso terrateniente el que permite que la cultura política de Colombia sean tan arcaica y autor… https://t.co/kADDpEMfZN</t>
  </si>
  <si>
    <t>RT @petrogustavo: Uribe ha caído en el error de pensar que entre más mano dura con la protesta, más popularidad obtendrían. Equivocación c…</t>
  </si>
  <si>
    <t>RT @AbadColorado: S.O.S Cauca. Cómo duele muerte hoy de Beatriz Cano periodista Radio Payumat. En ataque criminal, su hija Ayelen perdió un…</t>
  </si>
  <si>
    <t>RT @NuevoPeruMov: 📺@Vero_Mendoza_F en @tvperupe: "Lamento que fuerzas políticas hayan azuzado el miedo, hayan invocado a la muerte o a un g…</t>
  </si>
  <si>
    <t>¿ No tienen nada que Esconder? 80 asesinatos hoy y miles de detenidos. 6.402 asesinatos ayer. https://t.co/oqGAlRtd1e</t>
  </si>
  <si>
    <t>En Europa cuando sube el pico de la pandemia se ordena el confinamiento, pero allá financian a la familia en cuaren… https://t.co/KQio5sBOtB</t>
  </si>
  <si>
    <t>La política de salud del gobierno frente al covid es dejar que la gente se contagie La cuarentena en tiempos de co… https://t.co/YYGw2FDqHx</t>
  </si>
  <si>
    <t>Incluso se debería pactar una tregua entre la movilización popular y el gobierno para hacer bajar los contagios del… https://t.co/DqizVjiVnt</t>
  </si>
  <si>
    <t>RT @DonIzquierdo_: Hola Senadora @PalomaValenciaL, a los colombianos nos gustaría saber qué tipo de vínculo o relación tiene con la persona…</t>
  </si>
  <si>
    <t>RT @ChalecosAmarill: 🎥🛑En #Canada derriban la estatua de Egerton Ryerson, creador del modelo de internados para niños indígenas, donde hall…</t>
  </si>
  <si>
    <t>Siempre engañando @EnriquePenalosa Sume la contribución a seguridad social y verá que pasa https://t.co/nPiir3s2az</t>
  </si>
  <si>
    <t>Ni jóvenes civiles ni jóvenes uniformados deben perecer en una protesta. La protesta es un derecho y debe estar ll… https://t.co/1t1vFInLk8</t>
  </si>
  <si>
    <t>De acuerdo alcaldesa, pero la mayor aglomeración diaria es la de transmilenio y se reproduce en los sitios de traba… https://t.co/nEtIdNOaBn</t>
  </si>
  <si>
    <t>Echarle la culpa a las actividades al aire libre, usted lo sabe, es anticientífico.</t>
  </si>
  <si>
    <t>RT @lbertoortiz: Llegó la @CIDH a Cali, así la recibe el pueblo caleño. https://t.co/cYkm4aqozp</t>
  </si>
  <si>
    <t>RT @ChalecosAmarill: 🛑En #Peru #ÚLTIMAHORA 🔻Pedro Castillo acaba de anunciar que ha ganado las elecciones, según el conteo de los interven…</t>
  </si>
  <si>
    <t>RT @CesarPachonAgro: #atención: Esta madrugada fue asesinada la profesora y Sa't We'sx (autoridad ancestral) del resguardo Páez de Corinto:…</t>
  </si>
  <si>
    <t>RT @LauraMMoficial: Este es el diálogo de la alcaldesa cuidadora. Una hpta dictadura es la que tenemos en Bogotá en cabeza de @ClaudiaLopez…</t>
  </si>
  <si>
    <t>RT @ChalecosAmarill: 🎥🛑En #Peru La alegría es popular ✏️💜✊🏽 #CastilloPresidente Vía @Nat_iva https://t.co/Z2vqsfTcy5</t>
  </si>
  <si>
    <t>RT @heidy_up: ¡Que pare el exterminio! Fue asesinada la profesora y Autoridad Indígena Argenis Yatacué del resguardo Páez de Corinto, Cauca…</t>
  </si>
  <si>
    <t>RT @AnalisisUrbano: #ATENCIÓN 🚨 #FirmanteDePazAsesinado | #Denuncia @PrensaRural que esta noche asesinaron en Tibú, norte de Santander a Ed…</t>
  </si>
  <si>
    <t>¿Me pregubto si en el salón libertadores de la alcaldía aún esta el cuadro de Gonzalo Jimenez se Quesada y no el Bo… https://t.co/lSgaFYvq6q</t>
  </si>
  <si>
    <t>Esta es mi tercera alocución a la Nación Colombiana. En los momentos de la más grande movilización social de nuest… https://t.co/5jmeqH4pxN</t>
  </si>
  <si>
    <t>RT @petrogustavo: Esta es mi tercera alocución a la Nación Colombiana. En los momentos de la más grande movilización social de nuestra his…</t>
  </si>
  <si>
    <t>RT @H_U_V_A: #GustavoBolivarSoyYo en #Pasto el ESMAD disparó de frente contra un joven. Sr. Ministro @Diego_Molano, usted sigue siendo res…</t>
  </si>
  <si>
    <t>RT @ChalecosAmarill: 🎥🛑En #Colombia #BREAKING IMAGEN SENSIBLE⚠️ 🔻Cali ,9 junio Andrés sanin policía acaba de matar a un manifestante , han…</t>
  </si>
  <si>
    <t>RT @VoragineCo: #NuevaInvestigación: Vorágine visitó durante una semana la Comuna 20 de Cali y reconstruyó los hechos en los que fueron ase…</t>
  </si>
  <si>
    <t>RT @indignados999: Esta señora me representa! #Pasto 9 de Junio de 2021 ✊🏽🇨🇴🏳️❤️🌋🔥 https://t.co/Lt9NsZJjSJ</t>
  </si>
  <si>
    <t>Es el fascismo en su versión latina. Se creen arios.puros, pero con seguridad tienen sangres indígenas. Creen que l… https://t.co/n5dr1e8mzv</t>
  </si>
  <si>
    <t>Para poder pasar la reforma de la procuraduría que la convierte en una policía política, peor que en tiempos de Ord… https://t.co/lpaYtbrtXQ</t>
  </si>
  <si>
    <t>Atención con esta encuesta. La dejo para el análisis. https://t.co/JUepmI9zvR</t>
  </si>
  <si>
    <t>RT @ChalecosAmarill: 🎥🛑En #Colombia #URGENTE DIFUNDIR, DIFUNDIR Grave ⚠️ 🔻"10 heridos y un muchacho muerto, ese es el resultado de la defe…</t>
  </si>
  <si>
    <t>RT @ChalecosAmarill: 🛑En #Peru desde lo más profundo de las sierras, desde las comunidades andinas. ✊🏿✊🏼✊ 🔻Comienzan las #MarchasDeLaVicto…</t>
  </si>
  <si>
    <t>RT @petrogustavo: Atención con esta encuesta. La dejo para el análisis.</t>
  </si>
  <si>
    <t>RT @MaoNandito: @VickyDavilaH Esto es tener gónadas. Las que les falta a muchos! https://t.co/kUCT8Mk30s</t>
  </si>
  <si>
    <t>RT @petrogustavo: Para poder pasar la reforma de la procuraduría que la convierte en una policía política, peor que en tiempos de Ordoñez,…</t>
  </si>
  <si>
    <t>RT @Juan_Camilo144: Sin palabras. Uno ya no sabe que más hacer. Por favor, ayuden a difundir. @petrogustavo @PizarroMariaJo @GustavoBol…</t>
  </si>
  <si>
    <t>Casi lla mitad de la poblacion peruana votó por una corrupta porque le dijeron que era mejor porque el otro candida… https://t.co/otsF2RiCKP</t>
  </si>
  <si>
    <t>Hace unos meses pedí que se hiciera una diplomacia de vacunas y no una diplomacia ideológica. No fue así. Ahora s… https://t.co/exUOGYlVPY</t>
  </si>
  <si>
    <t>RT @LFMedinaMadrid: Esto es indignante. Yo siempre he sabido que los medios de comunicación en Colombia mienten descaradamente pero es la p…</t>
  </si>
  <si>
    <t>RT @CPPL_Oficial: Las y los invitamos al lanzamiento del @CPPL_Oficial con la Conferencia inaugural sobre cambio climático a cargo del sena…</t>
  </si>
  <si>
    <t>RT @petrogustavo: Hace unos meses pedí que se hiciera una diplomacia de vacunas y no una diplomacia ideológica. No fue así. Ahora somo de…</t>
  </si>
  <si>
    <t>Por esto lanzan la campaña de calumnias https://t.co/q3P7IdW3by</t>
  </si>
  <si>
    <t>En esta agenda, la de la Revolución en marcha, que quedó suspendida está la posibilidad el Pacto Histórico. Por es… https://t.co/OCZciX0rs9</t>
  </si>
  <si>
    <t>RT @SergioComunes: Campaña peruana contra el cuento de la “amenaza del comunismo”. ¡Cambiemos la historia sin miedo! https://t.co/dzr9qSAl6L</t>
  </si>
  <si>
    <t>RT @Gu2Hail: Este fue el hombre que apuñalo a un muchacho de la protesta social en Sincelejo. La policía lo protegió como raro. https://t.c…</t>
  </si>
  <si>
    <t>RT @RoyBarreras: Es una trampa mediática q PROCURADURÍA diga q van a “prescribir procesos” para justificar la aprobación de su ley de POLIC…</t>
  </si>
  <si>
    <t>RT @carlosecaicedo: Hoy recibiremos al senador @petrogustavo, líder de la bancada alternativa. Hablaremos sobre necesidades prioritarias de…</t>
  </si>
  <si>
    <t>Con Carlos Caicedo gobernador del Magdalena en Santa Marta. Estamos ante un gobierno local bloqueado por Duque. https://t.co/HvoIjxGoo2</t>
  </si>
  <si>
    <t>RT @HOLLMANMORRIS: ATENCIÓN Dos Jovenes mujeres MISAk que tomaron un SITP en la calle 26 para dirigirse al aeropuerto son obligadas a baj…</t>
  </si>
  <si>
    <t>RT @luisrodevia: Me llega por el wsp. Tal cuál! https://t.co/mCzirCOdhK</t>
  </si>
  <si>
    <t>RT @jerojasrodrigue: Esta imagen tiene una poderos carga simbólica, histórica y política. El pueblo indígena Misak en lo que antes era el…</t>
  </si>
  <si>
    <t>RT @anateresabernal: ¡Qué tal esto! ¿Por qué las quieren bajar del bus? Esto es una clara discriminación que merece todo el repudio. @Claud…</t>
  </si>
  <si>
    <t>RT @CMonteroOficial: Fuerza #Peru !!!!! https://t.co/NZSVjsDBKr</t>
  </si>
  <si>
    <t>RT @PinedaRuizBog: Éste es el Perú 🇵🇪 profundo que no se dejó "seducir el voto" por el establecimiento y su candidata, la hija del criminal…</t>
  </si>
  <si>
    <t>RT @LeonVaLenciaA: Esta foto sobre la intención de voto en el momento refleja la profunda inconformidad del país, la derecha y el uribismo…</t>
  </si>
  <si>
    <t>RT @EEColombia2020: Falleció Raúl Carvajal, el hombre que pasó los últimos año de su vida viajando por el país buscando la verdad sobre la…</t>
  </si>
  <si>
    <t>RT @LauraMMoficial: Su hijo fue asesinado por no cumplir órdenes, órdenes que le arrebataban la vida a inocentes para mostrar unas cifras…</t>
  </si>
  <si>
    <t>RT @GustavoBolivar: Esto que le dice Nestor Humberto Martínez a Gustavo Petro Se lo dijo un expresidente a Luis Carlos Galán antes de que l…</t>
  </si>
  <si>
    <t>RT @FCollizzolli: Hoy participé a distancia de la actividad de lanzamiento del @CPPL_Oficial en 🇨🇴 con una impecable conferencia a cargo de…</t>
  </si>
  <si>
    <t>RT @alzadoencanto: Hoy, los corruptos, en Turbaco empezaron a agitar la consigna de incendiar mi casa. No me callaré, y pase lo que pase,…</t>
  </si>
  <si>
    <t>RT @AbelDavidJara: #Urgente, nos informan que una compañera del pueblo Embera Katío ha sido retenida en @FiscaliaCol en Chía, recibe trato…</t>
  </si>
  <si>
    <t>RT @SergioComunes: Medellín, Puente Coca- Cola 🇨🇴 #ParoNacional12J https://t.co/wn393u84SD</t>
  </si>
  <si>
    <t>RT @El_Disidente_: Muy grato escuchar la perspectiva económica y política del senador @petrogustavo para enfrentar el Cambio Climático… htt…</t>
  </si>
  <si>
    <t>Esto es una amenaza. Proviene de un corrupto. El abogado de Odebrecht y Luis Carlos Sarmiento, que luego como fisc… https://t.co/cHjqmKIBrJ</t>
  </si>
  <si>
    <t>RT @alfreserramanci: Colombia Cambia 🇨🇴. El neoliberalismo 'fallido', el uribismo en decadencia, una mayoría que desea otro modelo económi…</t>
  </si>
  <si>
    <t>RT @Hekatombe_: Cali, la capital de la resistencia, en este momento celebrando la inauguración del monumento a la Resistencia, por supuesto…</t>
  </si>
  <si>
    <t>RT @MabelLaraNews: #JuniorJein fue asesinado. Junior fue pionero en la música urbana del pacifico y siempre fue una voz vital, poderosa de…</t>
  </si>
  <si>
    <t>RT @jcuestanovoa: El artista Junior Jein fue asesinado anoche en una discoteca de Cali con tiros de fusil por el paramilitarismo de la "Gen…</t>
  </si>
  <si>
    <t>RT @ChalecosAmarill: 🎥🛑Lamentablemente, esto sucede en #Colombia y se está conociendo su magnitud gracias a las redes sociales. #SOSColomb…</t>
  </si>
  <si>
    <t>RT @juanfotosadn: #HomenajeAJuniorJeinBuenaventura Miles salen en caravana a entonar sus canciones en la ciudad que lo vio nacer. 🙏🏼 Mañana…</t>
  </si>
  <si>
    <t>RT @jesuitajonathan: Camarada @MariaFdaCabal: nosotros estamos muy contentos de poder educar a sus hijos en nuestra “castrochavista” Univer…</t>
  </si>
  <si>
    <t>La.historia permanente de un gobierno que quiere violencia. Paz es lo que reclama la sociedad y mucho, pero mucho c… https://t.co/fy8DPBzebn</t>
  </si>
  <si>
    <t>RT @ChalecosAmarill: 🛑Desde #EEUU, #UK y otros muchos países con el apoyo de referentes como Noam Chomsky, Roger Waters, etc se llama a res…</t>
  </si>
  <si>
    <t>RT @SARGENTOCHALA: Alvaro Uribe dice en semana que los soldados lo engañaron porque le decían que atacaban a las FARC mientras asesinaban c…</t>
  </si>
  <si>
    <t>RT @alfreparedes: Las "tragedias familiares" son de vieja data: Pepe Cabrera, tío de Luis Carlos Sarmiento Angulo, el primer narco extradit…</t>
  </si>
  <si>
    <t>RT @Gloria_Petro: A qué vinimos? 👉A participar de la magestuosidad del Universo. https://t.co/YV39A2olWx</t>
  </si>
  <si>
    <t>La indolencia de quienes de se han apropiado del estado es extrema. La ejecución de miles de jóvenes para pasarlos… https://t.co/ChMThX2GBR</t>
  </si>
  <si>
    <t>El levantamiento juvenil popular semeja a la intifada. Esa juventud no se silenciará ni se arrodillará. Un gobiern… https://t.co/Y8zS28QwUu</t>
  </si>
  <si>
    <t>Le propongo a Colombia un cambio de verdad. Un cambio hacia la paz, hacia la democracia, hacia una sociedad produc… https://t.co/bbpYxORg73</t>
  </si>
  <si>
    <t>El sistema de buses de transito rápido con carril exclusivo es de costos crecientes. Por eso implica tarifas elevad… https://t.co/EIEOQuw8So</t>
  </si>
  <si>
    <t>El salto a transportes eléctricos de energías limpias permite menores costos de.operacion y decrecientes, por eso p… https://t.co/DM4PL6h4W9</t>
  </si>
  <si>
    <t>Que jóvenes pierdan sus ojos por disparos del Esmad, demuestra la brutalidad del gobierno, por eso la prensa del po… https://t.co/lkQ5NqYtyV</t>
  </si>
  <si>
    <t>Estamos ante un gobierno anticonstitucional</t>
  </si>
  <si>
    <t>RT @petrogustavo: Le propongo a Colombia un cambio de verdad. Un cambio hacia la paz, hacia la democracia, hacia una sociedad productiva y…</t>
  </si>
  <si>
    <t>El empresariado caleño trata de reaccionar para abrir el diálogo, pero me preocupa que vean a la juventud como la p… https://t.co/6u72nEqC9C</t>
  </si>
  <si>
    <t>Un Valle del Cauca más diverso productivamente abriría mucho más las puerta de la vida plena a su población. Me gu… https://t.co/qSsnhM1hXj</t>
  </si>
  <si>
    <t>RT @wilsonariasc: Juez acaba de decretar medida cautelar de suspensión del decreto que en Cali permitía dialogar con jóvenes para levantar…</t>
  </si>
  <si>
    <t>Con el 100% de las actas escrutadas, el profesor Pedro Castillo es el nuevo presidente del Perú. Ojalá un nuevo tie… https://t.co/dng9JXfyDm</t>
  </si>
  <si>
    <t>RT @RoyBarreras: 📌MAÑANA! (Jueves 10:30am) Estaremos debatiendo con @petrogustavo en el primer #GranDebatePactoHistorico. Moderan: @lucaspo…</t>
  </si>
  <si>
    <t>RT @ChalecosAmarill: 🎥🛑En #Peru sigue en #ParoIndefinido hasta la PROCLAMACIÓN 🔻Hoy llegan más Ronderos, Campesinos e Indígenas del Sur a…</t>
  </si>
  <si>
    <t>RT @ChalecosAmarill: 🎥🛑En #Colombia aquí claramente afirman que NO FUE NINGUN CARRO BOMBA, los NARCOMEDIOS DE COMUNICACIÓN @RevistaSemana…</t>
  </si>
  <si>
    <t>Se aprobó ayer la ley de autoría de @PizarroMariaJo y con mi ponencia que hace que el orden de los apellidos del hi… https://t.co/7P9Qqsh10U</t>
  </si>
  <si>
    <t>RT @gener_usuga: Este 15 de junio, la Fiscal de la Corte Penal Internacional, Fatou Bensouda, publicó una declaración acompañada de un info…</t>
  </si>
  <si>
    <t>RT @IvanCepedaCast: Asesinan a José William Mayoral, líder social y militante del MAIS en Putumayo https://t.co/5QzYtC1Ino vía @contagiorad…</t>
  </si>
  <si>
    <t>RT @Tweet1A: #ParoNacional16J Gustavo Petro va a ser presidente de Colombia duela a quien le duela. https://t.co/lH2iWFKKdJ</t>
  </si>
  <si>
    <t>RT @MarioArceZ: Marchan para evitar el comunismo, no saben qué es el comunismo 😂 https://t.co/GwlwIVoPAB</t>
  </si>
  <si>
    <t>RT @LauraMMoficial: No hay palabras ☹️ https://t.co/cxyTqKpKeW</t>
  </si>
  <si>
    <t>RT @petrogustavo: Se aprobó ayer la ley de autoría de @PizarroMariaJo y con mi ponencia que hace que el orden de los apellidos del hijo o h…</t>
  </si>
  <si>
    <t>RT @LEVargasSilva: Si el adefesio a que se refiere la noticia se convierte en ley para vergüenza infinita del país, será no solo afrenta co…</t>
  </si>
  <si>
    <t>Debates e ideas en el Pacto Histórico. Un debate de los programas para el próximo gobierno con el precandidato pres… https://t.co/FSw90EGYj3</t>
  </si>
  <si>
    <t>RT @MafeCarrascal: El proyecto que le daría súper poderes a la procuradora Cabello para destituir funcionarios y candidatos y crearía 500 n…</t>
  </si>
  <si>
    <t>RT @petrogustavo: Debates e ideas en el Pacto Histórico. Un debate de los programas para el próximo gobierno con el precandidato presidenci…</t>
  </si>
  <si>
    <t>RT @GustavoBolivar: Ojo a la jugadita. Llenan a miembros de la oposición de investigaciones en la Procuraduría para q nos tengamos q declar…</t>
  </si>
  <si>
    <t>RT @jerojasrodrigue: Un día después de que el Comité de Paro dijo que se levantaba la movilización popular, el Congreso niega la #Matricula…</t>
  </si>
  <si>
    <t>RT @AndresCamiloHR: "Para poder desacatar a la sentencia de Corte IDH ocurre este acto de corrupción, inhabilitar a toda la oposición" seña…</t>
  </si>
  <si>
    <t>RT @JulianRoman: Ni se les ocurra darle RT a este tweet. Eso sería una descortesía parlamentaria. Y que pena con Manguito y con el señor qu…</t>
  </si>
  <si>
    <t>RT @lbertoortiz: Miren en campaña al congresista Horacio Serpa prometiendo educación, hoy le negó con su voto la posibilidad de educación p…</t>
  </si>
  <si>
    <t>No es una terrorista solo es una muchacha con sueños. https://t.co/cHd21utMkl</t>
  </si>
  <si>
    <t>RT @AlexLopezMaya: #ATENCION DENUNCIA PÚBLICA. Hoy en la plenaria del @SenadoGovCo el presidente y los ponentes del proyecto inconstituci…</t>
  </si>
  <si>
    <t>RT @silviajserranog: En este video @PGN_COL Margarita Cabello supuestamente desarticula mentiras sobre su proyecto pero lo hace diciendo do…</t>
  </si>
  <si>
    <t>RT @AidaAvellaE: Para votar la reforma a la Procuraduría callan a la oposición. ¿Quién dio la orden de sacarme de la sesión? Golpe a la…</t>
  </si>
  <si>
    <t>Si el costo de operación del tranvia es menor que el de los buses, es por lo cual la tarifa, que cubre el costo ope… https://t.co/BhqshVLobw</t>
  </si>
  <si>
    <t>RT @IvanCepedaCast: Comienzan los grandes debates de las figuras del #PactoHistórico. Mañana a las 10:30 de la mañana tendrá lugar el prime…</t>
  </si>
  <si>
    <t>RT @ammejiaaguado: .#ATENCION Modus operandi d corrupción, bandera d este gob ilegítimo e inepto, es coadyuvado x la Procuradora Margarita…</t>
  </si>
  <si>
    <t>RT @LaSinEstilo: Duque prometió matrícula cero en primer semestre, y el Centro Democrático fue uno de los que votó en contra. Así juegan c…</t>
  </si>
  <si>
    <t>RT @wilsonariasc: Tan bellos, primero que sacar a Molano era echarle gasolina al incendio y después que aprobar la Matrícula Cero era invia…</t>
  </si>
  <si>
    <t>RT @RollingStoneCol: #EspecialDigital | @AdrianaLucia habla sobre el precio que ha tenido que pagar por sus opiniones e iniciativas, sobre…</t>
  </si>
  <si>
    <t>RT @AnalisisUrbano: #BrutalidadPolicial | #CriminalidadOculta 🚔 #SOSColombiaDDHH 🚨🇨🇴🆘 ¿Qué responde @PoliciaColombia? @ONUHumanRights @hrw…</t>
  </si>
  <si>
    <t>RT @AlexLopezMaya: Niegan matrícula cero “por falta de recursos”, mientras que al mismo tiempo votaban más burocracia a la procuradora. Los…</t>
  </si>
  <si>
    <t>RT @FelicianoValen: "Con esos nuevos "superpoderes", la oposición indica que esto daría pie para que el Ministerio Público aproveché las fu…</t>
  </si>
  <si>
    <t>RT @ContraGodarria: No había responsabilidad fiscal cuando iban a comprar aviones de guerra para bombardear niños.</t>
  </si>
  <si>
    <t>RT @DaniSie: Les presento a @LucianoQuindio. Representante a la Cámara por el Quindío que ha utilizado el discurso de defensa de la natural…</t>
  </si>
  <si>
    <t>RT @lbertoortiz: Que vergüenza con el 🌏 https://t.co/Ks2xtNeWCq</t>
  </si>
  <si>
    <t>Si se quiere un mejor país el Congreso de la República hay que csmbiarlo de verdad. Ustedes deciden. Inscriban su… https://t.co/fsZFs17pgl</t>
  </si>
  <si>
    <t>RT @carlosecaicedo: Vergonzoso: Congreso contradice lo dictado por @CorteIDH y mantiene facultad de la @PGN_COL para destituir a alcaldes…</t>
  </si>
  <si>
    <t>Lo que hizo el Congreso ayer fue desacatar la sentencia de la Corte Interamericana de Derechos Humanos. Le pido a… https://t.co/IJhU0AZjj6</t>
  </si>
  <si>
    <t>Primer Gran Debate De Pre-Candidatos Del Pacto Histórico con Gustavo Petro (@petrogustavo) y Roy Barreras (… https://t.co/ZEUziIYBFw</t>
  </si>
  <si>
    <t>Arrancamos el primer debate hacia el 2022. Transmisión en todas las redes. https://t.co/NK0Kn0CEMG</t>
  </si>
  <si>
    <t>Primer Gran Debate De Pre-Candidatos Del Pacto Histórico con Gustavo Petro (@petrogustavo) y Roy Barreras (… https://t.co/ry2ySI8tTQ</t>
  </si>
  <si>
    <t>RT @ColombiaHumana_: «La marihuana puede sustituir cultivos de coca con más éxito de lo que ha hecho y es una posibilidad cierta para la ag…</t>
  </si>
  <si>
    <t>RT @ColombiaHumana_: «En Colombia hay quienes incitan a que fumiguen al campesino y se abrazan con los narcos en campaña y en el Congreso d…</t>
  </si>
  <si>
    <t>Primer Gran Debate De Pre-Candidatos Del Pacto Histórico con Gustavo Petro (@petrogustavo) y Roy Barreras (… https://t.co/uRwGpu1sRT</t>
  </si>
  <si>
    <t>RT @ColombiaHumana_: Estamos en vivo con @RoyBarreras en el lanzamiento del #PactoHistórico. Explicamos por qué es vital redirigir nuestros…</t>
  </si>
  <si>
    <t>Asi fué el debate de @RoyBarreras conmigo. Tres horas de debate sobre temas nacionales. https://t.co/Xyv7ZmPmFP</t>
  </si>
  <si>
    <t>RT @HOLLMANMORRIS: Reforma Agraria para acabar el feudalismo que se vive en el campo colombiano. Aquí la explicación que hace @petrogustav…</t>
  </si>
  <si>
    <t>RT @Tercer_Canal: #SeDijoEnElTercerCanal @RoyBarreras "Quién no conoce la pobreza, quien no conoce el sufrimiento no puede gobernar". #Pac…</t>
  </si>
  <si>
    <t>RT @ChalecosAmarill: 🎥🛑En #Colombia 🚨 Se confirma la muerte de Juan David Muñoz, hoy 17 de junio a las 4:40 p.m. en el sector conocido com…</t>
  </si>
  <si>
    <t>RT @cielo_rusinque: Un aspecto FUNDAMENTAL que dejó claro @petrogustavo en el debate y que olvidé comentar, se piensa proteger agroindustri…</t>
  </si>
  <si>
    <t>RT @ColombiaHumana_: En @WRadioColombia compartimos las ideas del Pacto Histórico y cómo construir las reformas necesarias para Colombia. ¿…</t>
  </si>
  <si>
    <t>RT @ColombiaHumana_: ¿Va a hacer una reforma tributaria para sufragar los gastos de la pandemia? Esta es nuestra respuesta en el debate #En…</t>
  </si>
  <si>
    <t>RT @RoyBarreras: #SigueLaW| Hay que hacer una reconversión de la tierra respetando la propiedad privada y la inversión. Hay que tomar la de…</t>
  </si>
  <si>
    <t>RT @ColombiaHumana_: La pandemia nos demostró que hay que construir un sistema de salud preventivo: médicos y enfermeras en el territorio q…</t>
  </si>
  <si>
    <t>RT @ColombiaHumana_: Los periodistas de @WRadioColombia preguntan si nuestro modelo es el de la China, donde hay mucho crecimiento económic…</t>
  </si>
  <si>
    <t>RT @RoyBarreras: #SigueLaW| La única manera en que el Estado pueda garantizar equidad y dar opciones de futuro, es que sea un Estado que ac…</t>
  </si>
  <si>
    <t>RT @susanamuhamad: "El agua en Colombia esta considerada como una mercancía, es irresponsable el estado respecto al agua y por lo tanto res…</t>
  </si>
  <si>
    <t>RT @RoyBarreras: #SigueLaW| El Pacto Histórico será un gobierno estable que cree en la propiedad privada, en la democracia y en las institu…</t>
  </si>
  <si>
    <t>RT @anateresabernal: “La priorización en política social de Bogotá Humana fueron las víctimas” “La restitución de tierras es una prioridad…</t>
  </si>
  <si>
    <t>RT @AnalisisUrbano: #RecomendableLeer | #InvestigaciónProfunda | #CuestiónPública | #SOSCaliDDHH 🆘🚨🇨🇴 Eran las 3:18 p.m. del 28 de mayo. Ll…</t>
  </si>
  <si>
    <t>RT @HRI_ONG: Como Kevin Andrés García de 15 años, mas conocido como "Chinga", nacido en Belalcázar Caldas, oriundo de La Virginia y vecino…</t>
  </si>
  <si>
    <t>RT @HumanaNoticias: #ATENCION | Según denuncia ciudadana el senador @jonatantamayop "Manguito" habría participado en el cubrimiento con pin…</t>
  </si>
  <si>
    <t>RT @MariaPradaU: Este informe es muy revelador no sólo de las prioridades de la Alcaldía sino de su ideología neoliberal. Son más important…</t>
  </si>
  <si>
    <t>RT @TerryHurtado: Nuevamente intentan intimidarme. Esta vez haciendo tiros al frente de mi casa.</t>
  </si>
  <si>
    <t>RT @HRI_ONG: Siguen apareciendo restos de jóvenes mutilados en conformaciones, en varios sectores del país. La pregunta es: ¿Hasta cuando?…</t>
  </si>
  <si>
    <t>RT @AnalisisUrbano: #LaColombiaReal 🇨🇴 Ofrecen recompensas para capturar a quien raya muros, daña carros, orina en el parque. Aparecen des…</t>
  </si>
  <si>
    <t>RT @GrajalesWider: @VickyDavilaH https://t.co/G8NL0OqHaL</t>
  </si>
  <si>
    <t>Hoy la movilización más grande de la juventud debe ser hacia las registradurías para inscribir la cédula y cambiar… https://t.co/LgUnllSy26</t>
  </si>
  <si>
    <t>Hemos llegado a la barbarie. El miedo de cambiar la historia nos ha conducido hacia el abismo https://t.co/LLIuxvinQR</t>
  </si>
  <si>
    <t>RT @petrogustavo: Hoy la movilización más grande de la juventud debe ser hacia las registradurías para inscribir la cédula y cambiar el pod…</t>
  </si>
  <si>
    <t>RT @periferiaprensa: Un joven murió después de ser impacto en el pecho por el ESMAD en Usme, Bogotá; y en Puerto Resistencia una persona qu…</t>
  </si>
  <si>
    <t>RT @anateresabernal: Lamentable que excesos de la fuerza en manifestaciones sigan hiriendo y mutilando a nuestros jóvenes. A Carlos Alirio…</t>
  </si>
  <si>
    <t>Un joven asesinado otra vez por la policía en Bogotá. No se juzgaron los muertos del año pasado y creen que tiene… https://t.co/uX0bcZ31Fl</t>
  </si>
  <si>
    <t>Miles de jovenes detenidos arbitrariamente. Una constitución vuelta papel de basura por las ordenes de Duque que no… https://t.co/SVZB7Amq6R</t>
  </si>
  <si>
    <t>Su cabeza apareció decapitada y arrojada en una calle. Era un joven que protestaba. Sectores pudientes pagan a la… https://t.co/8Fo95Az897</t>
  </si>
  <si>
    <t>RT @COLOMBIADIFUNDE: 🚨#SOSColombiaDDHH🇨🇴| #SantiagoOchoa Joven Caleño que pertenecía a la primera línea fue encontrado descuartizado despué…</t>
  </si>
  <si>
    <t>El director de la policía, recientemente ascendido por el senado, debe responder por este crimen. Santiago Ochoa, f… https://t.co/wAbRxbL4aS</t>
  </si>
  <si>
    <t>Mentiroso. Los contagios se dan en los sitios de trabajo y el transporte público. Usted Duque, decidió no controlar… https://t.co/dwfO8LMmsq</t>
  </si>
  <si>
    <t>RT @cuestion_p: Las imágenes del video que obtuvimos permiten establecer que el pasado 28 de mayo hubo coordinación entre policías y hombre…</t>
  </si>
  <si>
    <t>RT @caliinforma: A esta hora la comunidad de Santa Elena encuentra un cadáver en la cañería a la altura de la Calle 25 con 25 https://t.co/…</t>
  </si>
  <si>
    <t>RT @ChalecosAmarill: 🎥🛑En #Colombia piensan que con asesinar a los jóvenes, desaparecerlos, tortularlos, decapitarlos y tirarlos al río, lo…</t>
  </si>
  <si>
    <t>RT @petrogustavo: Mentiroso. Los contagios se dan en los sitios de trabajo y el transporte público. Usted Duque, decidió no controlar la en…</t>
  </si>
  <si>
    <t>RT @petrogustavo: El director de la policía, recientemente ascendido por el senado, debe responder por este crimen. Santiago Ochoa, fue det…</t>
  </si>
  <si>
    <t>Estoy de acuerdo con hacer un pacto de convivencia en Bogotá. Propongo para ello dos puntos: Que ud, Claudia de la… https://t.co/XUgj6a9AZN</t>
  </si>
  <si>
    <t>RT @KikeVis: Aun no se nombres de heridos y asesinados pero tengo un video donde una señora que vivía en el sector fue alcanzada por una de…</t>
  </si>
  <si>
    <t>RT @petrogustavo: Estoy de acuerdo con hacer un pacto de convivencia en Bogotá. Propongo para ello dos puntos: Que ud, Claudia de la orden…</t>
  </si>
  <si>
    <t>Valiente postura. Por encima del contrato, los principios. https://t.co/9roa7xTHBc</t>
  </si>
  <si>
    <t>¿Cúal la diferencia con Vicky Dávila? Una: como funcionaria pública, la alcaldesa esta haciendo política electoral… https://t.co/2GKOnwkEFZ</t>
  </si>
  <si>
    <t>Mi querida alcaldesa, usted sabe que me esta calumniando, porque nosotros, Colombia Humana y el Pacto Histórico, no… https://t.co/tUIIR7xK6C</t>
  </si>
  <si>
    <t>Han hecho de la mentira, gobierno. https://t.co/y8VaVJuAS5</t>
  </si>
  <si>
    <t>RT @petrogustavo: Valiente postura. Por encima del contrato, los principios.</t>
  </si>
  <si>
    <t>Cuando se aplaude que mutilen los jóvenes, los detengan, abusen sexualmente a las jovenes, los bombardeen, los haga… https://t.co/h1QqS2nQAc</t>
  </si>
  <si>
    <t>RT @JECastellanos2: No hay evidencia de que el actual pico/meseta de COVID en Colombia, haya sido causado exclusivamente por las protestas.…</t>
  </si>
  <si>
    <t>RT @nicolaspetroB: Uribismo y @ClaudiaLopez se unen para intentar destruir a @petrogustavo. Lo que no dicen es que tanto Claudia como Duqu…</t>
  </si>
  <si>
    <t>RT @GustavoBolivar: Peñalosa culpaba de su fracaso a Petro. Claudia culpa de su fracaso a Petro. Duque culpa de su fracaso a Petro. Trío d…</t>
  </si>
  <si>
    <t>RT @NadadordelValle: Herná Rámirez que estaba desaparecido en Tuluá desde el pasado 10 de junio hoy apareció muerto en las aguas de nuestro…</t>
  </si>
  <si>
    <t>RT @willj84753699: ¡ATENCIÓN! Agotadas Vacunas Pfizer. Bogota con el 98.5% d ocupación UCI. Fallecidos sobre 700 diarios. Sistema d Salud C…</t>
  </si>
  <si>
    <t>RT @ascsucor_org: #URGENTE ⛔️ @SandinoVictoria @CICR_co @petrogustavo @DefensoriaCol @AndresCalleA @ONUHumanRights @RoyBarreras @IvanCepeda…</t>
  </si>
  <si>
    <t>RT @PascaGuerrero: #MeDuele lo que sucede en mi país #ParoNacional22J #SOSCali Ante los asesinatos, agresiones del ESMAD y Policías al pu…</t>
  </si>
  <si>
    <t>¿Quienes sacan la.gente de sus casas? Hasta donde llega la información solo el gobierno con su fuerza esta sacando… https://t.co/0VIT5wXIT5</t>
  </si>
  <si>
    <t>Le pedí a la alcaldesa como contribución a construir un pacto de convivencia en Bogotá que diera la orden pública d… https://t.co/CDbw0VcsmF</t>
  </si>
  <si>
    <t>Es por esto que aumentan los muertos por covid. Un sistema de salud pública debilitado por la ley 100, y un sistema… https://t.co/uYbrKdJpWp</t>
  </si>
  <si>
    <t>Ud, Claudia, es jefe constitucional de la policía en Bogotá. Le sugiero dar la orden pública de retirar el Esmad de… https://t.co/s6GTuocXzA</t>
  </si>
  <si>
    <t>La revolución del agua. https://t.co/C0aziu09WZ</t>
  </si>
  <si>
    <t>RT @ChalecosAmarill: 🎥🛑En #Colombia #ParoNacional23J 🔻Panorama en estos momentos sobre la vía Panamericana en la ciudad de Popayán ✊🏼Mile…</t>
  </si>
  <si>
    <t>RT @AProgresista_: .@AtiQuigua, @FelicianoValen, @arelisuriana y @jpinacue competirán democráticamente por ser el candidato(a) presidencial…</t>
  </si>
  <si>
    <t>RT @FisicoImpuro: Duque dice que Petro es un pirómano que busca incendiar el país. No sé quien es más piromano, si Petro que le pide a Duqu…</t>
  </si>
  <si>
    <t>RT @AdrianaLucia: A esta hora en #Providencia se lleva a cabo la #MarchaDeLaDignidad https://t.co/aUlOcqZn8s</t>
  </si>
  <si>
    <t>RT @GustavoBolivar: #APeñalosaLeDigo Le quitó a Bogotá la posibilidad de tener un Metro subterráneo con la mentira del Metro elevado. Dijo…</t>
  </si>
  <si>
    <t>RT @Mujer_Mamerta: https://t.co/7bjz9dNGpS</t>
  </si>
  <si>
    <t>La única vacuna latinoamericana contra el covid. La hizo la ciencia cubana con un 92,2 de eficiencia. Un acuerdo C… https://t.co/pcFTuhgKem</t>
  </si>
  <si>
    <t>RT @petrogustavo: La revolución del agua. https://t.co/C0aziu09WZ</t>
  </si>
  <si>
    <t>Yo si creo que fue un acto de piromanía pretender aprobar impuestos a la comida en un pais con hambre. Piromanía l… https://t.co/TBJOisA5MX</t>
  </si>
  <si>
    <t>La cosecha de esa irrespondabilidad de Duque son 100.000 muertos Colombia 100.000 muertos, Brasil: 500.000, EEUU:… https://t.co/WtKx9e0z5A</t>
  </si>
  <si>
    <t>RT @petrogustavo: Yo si creo que fue un acto de piromanía pretender aprobar impuestos a la comida en un pais con hambre. Piromanía llevars…</t>
  </si>
  <si>
    <t>RT @LauraMMoficial: No es Venezuela, es Colombia, esa Colombia olvidada que lleva años sufriendo la desigualdad social y la injusticia. Dec…</t>
  </si>
  <si>
    <t>Esta es la sociedad dividida en ricos y pobres. Pero no es nuestra culpa. Nosotros hemos querido disminuir las dife… https://t.co/IeD9cKJPXN</t>
  </si>
  <si>
    <t>RT @andresidarragaf: Para quienes sin desvirtuar aún los argumentos de mi renuncia a la Alcaldía, aquí refuerzo mi argumento: Eufemismo:…</t>
  </si>
  <si>
    <t>RT @petrogustavo: Esta es la sociedad dividida en ricos y pobres. Pero no es nuestra culpa. Nosotros hemos querido disminuir las diferencia…</t>
  </si>
  <si>
    <t>RT @GustavoBolivar: #SinSaludPor Petro inepto compró las vacunas tarde y las aplicó con desorden y lentitud. Petro bruto, cerró la economía…</t>
  </si>
  <si>
    <t>RT @charry_manager: A Cristian Castillo lo asesinó el ESMAD, no protestaba, regresaba a su casa... En @Bogota ¿Quien Dio La Orden? https…</t>
  </si>
  <si>
    <t>RT @charry_manager: Un escudo le salvó la vida a este joven... Cuidar la vida de l@s jóvenes de los ataques de los asesinos del estado se…</t>
  </si>
  <si>
    <t>Guillermo Botero era presidente de Fenalco, gremio que hoy es dominado no por los pequeños comerciantes del país, s… https://t.co/NoFpREbAGq</t>
  </si>
  <si>
    <t>Es necesario cambiar la estructura de nuestras importaciones. Reemplazar combustibles fósiles, y productos agrarios… https://t.co/QwVpRdH4M8</t>
  </si>
  <si>
    <t>En Venezuela, Bolivia de Añez y Nicaragua, hemos visto la practica de poner presos a los opositores por sus postura… https://t.co/QhgGG4ZM6w</t>
  </si>
  <si>
    <t>Aquí en este video se encuentra una pedagogía de la responsabilidad sobre las acciones del Esmad. Nota: en mi gobi… https://t.co/qntNJjN7bc</t>
  </si>
  <si>
    <t>Se les olvidó que la inseguridad disminuye si se reduce el hambre y se abren oportunidades para la población exclui… https://t.co/U4KPoMCewU</t>
  </si>
  <si>
    <t>Movimiento liberal "La Piragua" de Córdoba se adhiere al Pacto Histórico. https://t.co/c0xOKv4Ri1</t>
  </si>
  <si>
    <t>Otra víctima de Hidroituango. Una obra pensada para los grandes negocios, pero no para la gente. Una niña de 13 añ… https://t.co/koxiNGd7CP</t>
  </si>
  <si>
    <t>Ningún muerto por el Esmad en mi gobierno. Revisa bien tu información y sabrás que no miento. https://t.co/A87s9RfXxs</t>
  </si>
  <si>
    <t>RT @petrogustavo: Movimiento liberal "La Piragua" de Córdoba se adhiere al Pacto Histórico. https://t.co/c0xOKv4Ri1</t>
  </si>
  <si>
    <t>¿Quienes son los responsables de las acciones del Esmad? Los alcaldes y alcaldesas por acción o por omisión. https://t.co/Qw9vvp8gJ3</t>
  </si>
  <si>
    <t>Alcaldesa Claudia Lopez, en vez de culparme a mi, asuma su responsabilidad en las acciones de violación de derechos… https://t.co/H3iIWcmM83</t>
  </si>
  <si>
    <t>Jajaja, me temo que la cifra es falsa. Pero lo cierto es que el Esmad no mató a ningún ciudadano o ciudadana en mi… https://t.co/Sd4Fg1k1mh</t>
  </si>
  <si>
    <t>RT @ChalecosAmarill: 🛑"Lo importante no es mantenerse vivo, sino mantenerse humano". -George Orwell https://t.co/xYyPxljzkw</t>
  </si>
  <si>
    <t>RT @ammejiaaguado: Qué quiere decir eso Senadora, q la admón d @petrogustavo en la #BogotaHumana sabia perfecta/ cuáles eran las funciones…</t>
  </si>
  <si>
    <t>RT @PinedaRuizBog: Apareció el comunicado real de Asamblea Popular de Suba desmintiendo el comunicado falso difundido por el Uribismo, al c…</t>
  </si>
  <si>
    <t>RT @DanielRMed: ¿Y por este vandalismo quién responde? https://t.co/d85gJTQxbl</t>
  </si>
  <si>
    <t>Así de simple. Este es el gobierno donde el narcotráfico encontró su paraíso. https://t.co/r7xAynbMWr</t>
  </si>
  <si>
    <t>La minoría violenta que comete abusos contra los derechos humanos es el Esmad, y usted, Claudia, lo dirige. Evite… https://t.co/I6gvIauEkp</t>
  </si>
  <si>
    <t>RT @Oscarpanesso: @amoralesan @aureliobabiloni Que horror</t>
  </si>
  <si>
    <t>RT @AlexKleinO: En la alcaldía de @petrogustavo no hubo muertos por el ESMAD. En cambio lo que sí hubo fueron pasajes de Transmilenio con…</t>
  </si>
  <si>
    <t>RT @petrogustavo: Jajaja, me temo que la cifra es falsa. Pero lo cierto es que el Esmad no mató a ningún ciudadano o ciudadana en mi admini…</t>
  </si>
  <si>
    <t>Cualquiera que sean.las distancias que nos separen, rechazo el atentado contra el presidente. Una democracia consis… https://t.co/hzXrN1MF0S</t>
  </si>
  <si>
    <t>RT @AndresCamiloHR: A la pregunta en la encuesta del Centro Nacional de Consultoría y Semana: Si las elecciones a la presidencia fueran ma…</t>
  </si>
  <si>
    <t>Angelica Verbel , presidente del Partido Verde de Córdoba, decide adherirse al Pacto Histórico. https://t.co/ctW5BDDGvy</t>
  </si>
  <si>
    <t>Mauricio, ponte en contexto. Defendí el voto en blanco en contra de los candidatos únicos del paramilitarismo en 20… https://t.co/Pznu5jYO0l</t>
  </si>
  <si>
    <t>RT @petrogustavo: Angelica Verbel , presidente del Partido Verde de Córdoba, decide adherirse al Pacto Histórico.</t>
  </si>
  <si>
    <t>RT @susanamuhamad: Alcaldesa @ClaudiaLopez Cómo va a prohibir el derecho a asamblea y reunión? Y qué significa esto que dice, si la gente…</t>
  </si>
  <si>
    <t>RT @_Gelver_: Todos sabemos que ese proyectil cuando entra hace un roto y cuando sale hace chácara, quiere decir que la bala no entró sino…</t>
  </si>
  <si>
    <t>¿Saben porque el Esmad no mató a nadie en mi gobierno en Bogotá? Porque siempre vimos a la juventud popular como nu… https://t.co/ZabIok3mZH</t>
  </si>
  <si>
    <t>Esto es ir contra la constitución. https://t.co/99GiaOOv5E</t>
  </si>
  <si>
    <t>No me arrepiento de haber votado tres veces por Mockus, no tengo porque negarlo. Lo he hecho por decisión libre.</t>
  </si>
  <si>
    <t>Hay que tener absoluta falta de comprensión de lectura y una ignorancia de la historia reciente del pais, para no d… https://t.co/p1zylCRTiU</t>
  </si>
  <si>
    <t>Ante las candidaturas únicas a alcaldías y gobernaciones que los paramilitares construyeron en el Cesar y el Magdal… https://t.co/hUXNt2UkrK</t>
  </si>
  <si>
    <t>RT @ChalecosAmarill: 🎥🛑En #Colombia #ParoNacional25J 🔻El joven está sin identificar, tiene 2 tatuajes uno en el antebrazo (Juan Daniel) y…</t>
  </si>
  <si>
    <t>RT @GiordanoBrunoFi: ¡Sigan echándole la culpa a Petro! #LaPrimeraLinea @Tercer_Canal, desde Armenia, hoy. https://t.co/Sp4XsPz2yr https:…</t>
  </si>
  <si>
    <t>La democracia hereditaria https://t.co/WcVV6PRare</t>
  </si>
  <si>
    <t>RT @petrogustavo: Hay que tener absoluta falta de comprensión de lectura y una ignorancia de la historia reciente del pais, para no darse c…</t>
  </si>
  <si>
    <t>Este es un titular mentiroso. Nunca Mockus o Santos han sido candidatos únicos. Los candidatos únicos, es decir s… https://t.co/PAhtNC06wD</t>
  </si>
  <si>
    <t>Es increíble el nivel de tergiversación al que llegan. Lo hacen con claridad y sin autoengaño. Simplemente quieren… https://t.co/29CgyR4LIO</t>
  </si>
  <si>
    <t>Esta es una encuesta de intención de voto para las presidenciales en Brasil Brasil será progresista. El Amazonas… https://t.co/JPbpNw6jW1</t>
  </si>
  <si>
    <t>El grupo liberal y de la U integrado por exconcejales: "SOS por Bogotá" decide adherirse al Pacto Histórico. https://t.co/ZZVVxcbrAy</t>
  </si>
  <si>
    <t>Otros en la misma onda. ¿Puede la @lasillavacia mostrarle a sus lectores, por responsabilidad ética con ellos, don… https://t.co/jwO7WO4wst</t>
  </si>
  <si>
    <t>RT @yoligrilla: Qué la pasión no nos nuble la razón. @petrogustavo no dijo que Mockus o Santos fueran paracos. Su tuit respecto al voto en…</t>
  </si>
  <si>
    <t>No veo en esta foto nadie vinculado al paramilitarismo. Porqué afirma usted,@DanielSamperO que uno de ellos era ca… https://t.co/mPVg8LgEj7</t>
  </si>
  <si>
    <t>RT @UnidadsinVetos: No más mentiras que destruyan la #UnidadSinVetos entre los sectores alternativos. El profe @AntanasMockus tiene muy cl…</t>
  </si>
  <si>
    <t>RT @NanyPardo: @elespectador y la periodista @laurisospina poniendo ejemplo. Esto es lo correcto. @petrogustavo no se refería ni a @Antanas…</t>
  </si>
  <si>
    <t>RT @petrogustavo: Esta es una encuesta de intención de voto para las presidenciales en Brasil Brasil será progresista. El Amazonas como b…</t>
  </si>
  <si>
    <t>Angela Merkel sabe que es un Nazi y lo rechaza. Maria Fernanda no, al contrario, lo abraza. https://t.co/ZsYy4vqkyF</t>
  </si>
  <si>
    <t>RT @Cony_martinez_: Otra que pierde el URIBISMO. RECHAZAN pérdida de investidura de @petrogustavo @GustavoBolivar y otros Congresistas de O…</t>
  </si>
  <si>
    <t>Capturado el jefe paramilitar y narcotraficante alias "memo fantasma" socio de la vicepresidente de la República.… https://t.co/AAi8gfOaCF</t>
  </si>
  <si>
    <t>RT @alfonsoprada: @NanyPardo @MauricioJaramil @petrogustavo @AProgresista_ Estoy sorprendido de ver cómo tergiversan sin rubor un texto que…</t>
  </si>
  <si>
    <t>Somos de los peores lugares del mundo en afrontar la pandemia. Fuente BBC Hoy habría que restringir movilidad y lu… https://t.co/rGpquhFp0K</t>
  </si>
  <si>
    <t>El gobierno debe proceder a controlar la enfermedad. La economía reaccionará mejor sin covid que con covid. La tre… https://t.co/QJJ9AXuXpL</t>
  </si>
  <si>
    <t>La mejor reactivación económica es vacunar a la gente. Duque debe levantar el sesgo ideológico de la vacunación y a… https://t.co/ZOs9sWbeRq</t>
  </si>
  <si>
    <t>RT @petrogustavo: Somos de los peores lugares del mundo en afrontar la pandemia. Fuente BBC Hoy habría que restringir movilidad y lugares…</t>
  </si>
  <si>
    <t>Nadie que sea libre pensador se cree dueño del conocimiento. Yo soy librepensador, Sergio, pero no bobo. Detecto… https://t.co/L4YVJpTmEP</t>
  </si>
  <si>
    <t>Nuestra posición contra Duque y Uribe se debe a la defensa de la democracia que no separamos de la justicia social… https://t.co/nxH9wmnro6</t>
  </si>
  <si>
    <t>Algo es algo. Acepto su rectificación @DanielSamperO https://t.co/XxsnNnFDt5</t>
  </si>
  <si>
    <t>Lucero Martinez hace un análisis de la movilización de la juventud ¿Y si los jovenes se plantearan una nueva hegem… https://t.co/eXBfAC3G4j</t>
  </si>
  <si>
    <t>Alvaro, esos jóvenes no son una amenaza a Medellín, son los hijos de Medellín Esos jóvenes a los que usted condena… https://t.co/uLbaEO4rkq</t>
  </si>
  <si>
    <t>Uribe ordena y el Esmad procede. El Esmad se ha convertido en la policía de Uribe. Lleva decenas de asesinatos enci… https://t.co/20IjcEo05i</t>
  </si>
  <si>
    <t>RT @petrogustavo: Alvaro, esos jóvenes no son una amenaza a Medellín, son los hijos de Medellín Esos jóvenes a los que usted condena, son…</t>
  </si>
  <si>
    <t>RT @MelissaPelaez_: ¿Por quién piensa votar a la presidencia usted como miembro del @PartidoVerdeCoL ? * @petrogustavo 22 % * @sergio_faja…</t>
  </si>
  <si>
    <t>En Villavicencio no hay muertos, ni heridos, ni mutilados en medio de la.movilización juvenil. ¿Por qué? Porque s… https://t.co/JztFnnee8j</t>
  </si>
  <si>
    <t>La ley descabellada. Desacatando la sentencia de la CIDH en mi caso, el uribismo decidió convertir la procuraduría… https://t.co/8SCp6enO9z</t>
  </si>
  <si>
    <t>RT @IvanCepedaCast: Se negaron 17 acciones de tutela que pretendían responsabilizarnos a @petrogustavo, @PizarroMariaJo, @GustavoBolivar, a…</t>
  </si>
  <si>
    <t>RT @AyarzaAyarka: Veronica Zambrano, otra uribista y empresaria de bien; no sabe por qué razón había US$500 mil dólares en su camioneta bli…</t>
  </si>
  <si>
    <t>RT @HOLLMANMORRIS: “ @ClaudiaLopez se convierte hoy en un paquete chileno dentro del @PartidoVerdeCoL .” @AngelicaVerbelL Vean la entrev…</t>
  </si>
  <si>
    <t>Y creen que el cambio climatico es una mentira. El cambio climático se produce por consumir enormes y crecientes c… https://t.co/iUaPFStcvN</t>
  </si>
  <si>
    <t>Colombia depende económicamente de exportar carbón y petroleo. Por eso el programa de la Colombia Humana de desliga… https://t.co/lHZixF5fSy</t>
  </si>
  <si>
    <t>RT @JUANCAELBROKY: Persisten las agresiones contra la prensa, el ESMAD causó herida en la cara a periodista del @Tercer_Canal, en el marco…</t>
  </si>
  <si>
    <t>RT @Col_Informa: #ParoNacional28J🔥| En Bucaramanga la movilización se nutre con diversas expresiones artísticas que rechazan el gobierno de…</t>
  </si>
  <si>
    <t>RT @LeonFredyM: Lo que pasa en Medellín durante el #ParoNacional28J es muy delicado: disparan gases lacrimógenos directamente al cuerpo de…</t>
  </si>
  <si>
    <t>Denuncia de violación sexual de un miembro del Esmad contra una menor de edad en Medellín. https://t.co/DWDt5ARoFf</t>
  </si>
  <si>
    <t>RT @ColombiaHumana_: Alcaldesa @ClaudiaLopez, por favor no mienta más para difamar nuestro proyecto político. Ni @petrogustavo ni @Colombi…</t>
  </si>
  <si>
    <t>Solicito públicamente a la alcaldesa de Bogotá rectificar esta afirmación calumniosa. Para desinflar llantas no se… https://t.co/yBtHjJYNCh</t>
  </si>
  <si>
    <t>Cuando el claudismo decía que no le podíamos ganar a Uribe competía en progresismo; ahora, que saben que solo una c… https://t.co/fXIHKTwTs4</t>
  </si>
  <si>
    <t>He solicitado el levantamiento de bloqueos y una tregua mientras pasa la ola de pandemia hace meses, pero la respue… https://t.co/NZoFgkghpX</t>
  </si>
  <si>
    <t>Así es Vicky. Hay un sector político que quiere ganar la presidencia. Ha generado el peor de los caos, hizo trizas… https://t.co/amGDnyNe2E</t>
  </si>
  <si>
    <t>Todavía no se han dado cuenta.que atacar a un partido progresista de manera falsa de ser un auspiciador de la viole… https://t.co/9ezar4rx83</t>
  </si>
  <si>
    <t>Duque ocultó parte de la conversación con Biden. Respetar la protesta y el derecho a manifestarse, esa fue la soli… https://t.co/Yqb4TI4gLb</t>
  </si>
  <si>
    <t>RT @IvanCepedaCast: Las acusaciones de la alcaldesa Claudia López contra @ColombiaHumana_ son temerarias e inaceptables. La determinación d…</t>
  </si>
  <si>
    <t>RT @Jahfrann: El derecho a la libre protesta en Colombia te hace ser un objetivo militar. #ParoNacional28J https://t.co/PPj839AM7R</t>
  </si>
  <si>
    <t>RT @intiasprilla: La señora @ClaudiaLopez cree tener todo permitido en su actuar político, al igual que Uribe estigmatiza y macartiza a qui…</t>
  </si>
  <si>
    <t>RT @JaimeDelTodoES1: La policía se convirtió en el terror de la juventud desde que Uribe declaró a los jóvenes como una amenaza / desde que…</t>
  </si>
  <si>
    <t>RT @La_eche: ¿Con cascos y gafas los manifestantes se enfrentan a la policía? ... No, con cascos y gafas se protegen de la violencia desbor…</t>
  </si>
  <si>
    <t>RT @alterna_red: Momento de agresión contra reporteros Kevin y Martín. Gracias a Martín quien valiente defendió a su compañero. #ParoNacion…</t>
  </si>
  <si>
    <t>RT @MujeresPolo: Rechazamos la estigmatización a los compañeros y compañeras de la @ColombiaHumana_. Exigimos a Claudia López que se retrac…</t>
  </si>
  <si>
    <t>RT @GustavoBolivar: Los hijos se fueron a luchar por lo que nosotros no pudimos darles. Pueda que no vuelvan… Sus desgracias, sus sueños f…</t>
  </si>
  <si>
    <t>RT @anateresabernal: La Bancada Colombia Humana-UP en el @ConcejoDeBogota rechaza las equivocadas declaraciones y señalamientos de la alcal…</t>
  </si>
  <si>
    <t>RT @PizarroMariaJo: Las declaraciones públicas irresponsables, difamatorias y sin pruebas, son una forma de violencia muy profunda en Colom…</t>
  </si>
  <si>
    <t>¿Si se acepta a Fajardo porque no aceptan a Alejandro Gaviria? ¿Cual la diferencia ideológica? https://t.co/pLJJn2t63R</t>
  </si>
  <si>
    <t>Alcaldesa, que ud invierta los recursos para las troncales de transmilenio en sedes universitarias, es una sugerenc… https://t.co/UcZlpWWJrp</t>
  </si>
  <si>
    <t>Que usted vea mis sugerencias nacidas de la experiencia y mi conocimiento de Bogotá como supuestas condiciones para… https://t.co/5HFdQRxCMa</t>
  </si>
  <si>
    <t>Dejó, usted, la salud pública de la ciudad en manos de las EPS no fortaleció la red pública y hasta ordenó demoler… https://t.co/lxNThpSTdD</t>
  </si>
  <si>
    <t>RT @UnidadsinVetos: Militantes, Ediles, concejales, diputados y representantes a la cámara del partido Alianza Verde que confluyen en #Verd…</t>
  </si>
  <si>
    <t>La coalición centro derecha que se configurará busca antes que nada impedir que las cosas cambien. Y si algo neces… https://t.co/LX4ylFc76I</t>
  </si>
  <si>
    <t>Pregunta: ¿y si la segunda línea del metro se puede hacer subterránea, por qué no la primera?</t>
  </si>
  <si>
    <t>Con toda la brutalidad golpeando un niño en Suba. Este es tu caos Duque/ Claudia. https://t.co/q0L5e5Yo3F</t>
  </si>
  <si>
    <t>La posicion de Robledo contra Alejandro Gaviria podría ser por la posicion de Alejandro en favor de la privatizaci… https://t.co/mtsrdwtYjQ</t>
  </si>
  <si>
    <t>Los impuestos a las gaseosas solo perjudica a Ardilla Lulle pero en cambio salva la vida de centenares de miles de niños y adultos.</t>
  </si>
  <si>
    <t>RT @petrogustavo: Con toda la brutalidad golpeando un niño en Suba. Este es tu caos Duque/ Claudia.</t>
  </si>
  <si>
    <t>RT @petrogustavo: Pregunta: ¿y si la segunda línea del metro se puede hacer subterránea, por qué no la primera?</t>
  </si>
  <si>
    <t>¿Ustedes le llaman a esto centro izquierda? Esto no es más que fascismo mis queridos amigos y amigas. ¿Alguna vez… https://t.co/erk9Pd3Si8</t>
  </si>
  <si>
    <t>Si los jovenes no tuvieran cascos y gafas habrían más muertos y mutilados. Triste un país donde para ejercer el de… https://t.co/DpWVtdV7R5</t>
  </si>
  <si>
    <t>RT @marthaepll: Los vecinos ayuden en Suba, salgan para sacar a los motorizados que disparan en estos momentos</t>
  </si>
  <si>
    <t>RT @marthaepll: Jueputa auxilio están disparando armas de fuego en Suba, los motorizados tienen acorralados a los pelados en una cuadra, si…</t>
  </si>
  <si>
    <t>RT @lu_marsamar: #SOSColombiaDDHH #NosEstanMantando @ONUHumanRights @CIDH @hrw @amnesty está sucediendo en Bogotá bajo el gobierno de la al…</t>
  </si>
  <si>
    <t>Lo que hay es un estallido del hambre. https://t.co/4S9mtpgpCw</t>
  </si>
  <si>
    <t>RT @juanfe_lozano: A esta hora tengo reportes de una fuerte represion por parte del ESMAD en Suba. Agentes del ESMAD estan disparando a cu…</t>
  </si>
  <si>
    <t>RT @Estudianteslas1: Aquí les informamos. Aproximadamente desde hace 20 minutos en la localidad de Suba en Bogotá continua la extrema repre…</t>
  </si>
  <si>
    <t>RT @petrogustavo: Lo que hay es un estallido del hambre.</t>
  </si>
  <si>
    <t>RT @petrogustavo: Si los jovenes no tuvieran cascos y gafas habrían más muertos y mutilados. Triste un país donde para ejercer el derecho…</t>
  </si>
  <si>
    <t>RT @anateresabernal: 🎙️)) Dice @petrogustavo en @WRadioColombia "Qué la juventud tenga que ponerse casco para salir a manifestarse, signifi…</t>
  </si>
  <si>
    <t>RT @MaPaulaFonseca: “Si los jóvenes no tuvieran casco o gafas hoy la cifra de muertos y mutilados sería mayor. Esa es la realidad. Una mani…</t>
  </si>
  <si>
    <t>RT @GustavoBolivar: Ese senador, que soy yo y por eso exijo excluir a Colombia Humana y a Petro de sus rastreras calumnias, solo cuida los…</t>
  </si>
  <si>
    <t>RT @charry_manager: Este es el audio de la entrevista ayer de @NestorMoralesC a Wilimer compañero de la @ColombiaHumana_ donde junto a @Eri…</t>
  </si>
  <si>
    <t>RT @elespectador: "Si los jóvenes no tuvieran esos cascos y esas gafas, hoy las cifras de muertos y mutilados sería mayor. Esto tiene que v…</t>
  </si>
  <si>
    <t>RT @AlexLopezMaya: Las generalizaciones irresponsables de @ClaudiaLopez son un peligro para la manifestación y para líderes políticos, las…</t>
  </si>
  <si>
    <t>RT @wilsonariasc: ¿Dónde está uno de los hombres que en Cali disparó a manifestantes? De vacaciones en yate. ¿Y dónde las familias de las v…</t>
  </si>
  <si>
    <t>RT @ColombiaHumana_: «Si los jóvenes no tuvieran escudos, ni cascos, ni gafas, hoy la cifra de muertos y de mutilados sería mayor. Eso no h…</t>
  </si>
  <si>
    <t>RT @IvanCepedaCast: Alcaldesa, la historia de Colombia muestra que la acusación genérica hecha contra partidos de oposición ha terminado en…</t>
  </si>
  <si>
    <t>RT @ColombiaHumana_: «No nos interesa auspiciar la violencia, no hemos querido ni deseado, ni en pensamiento ni en acción, que una moviliza…</t>
  </si>
  <si>
    <t>Nosotros no tenemos nada que ver con la violencia. https://t.co/RxcVeKvyHe</t>
  </si>
  <si>
    <t>La.acusación de la alcaldesa no es más que un cálculo electoral https://t.co/hziCRAxDaB</t>
  </si>
  <si>
    <t>Los jóvenes se ponen escudos y gafas porque los están matando y mutilando. https://t.co/VHDiXPQa7E</t>
  </si>
  <si>
    <t>Lo que.ustedes están viendo es un grito de la historia. Ese grito debemos escucharlo. https://t.co/uKSsrj77Fo</t>
  </si>
  <si>
    <t>Colombia Humana jamás ha generado un solo hecho de violencia https://t.co/19wTSJARxY</t>
  </si>
  <si>
    <t>Violación de niña.por un agente del esmad en Medellín. https://t.co/fRATrLi0dg</t>
  </si>
  <si>
    <t>RT @AndresCamiloHR: El @CeDemocratico nos acusa de terroristas y después borra el trino. https://t.co/1vSF7tltgx</t>
  </si>
  <si>
    <t>La organización juvenil cultural Barbukana decide unirse al Pacto Histórico. https://t.co/QEmTmI9EBi</t>
  </si>
  <si>
    <t>RT @WillymerRincon: https://t.co/zsQ7VsPsg5 Irresponsable la acusación de @ClaudiaLopez y de @BluRadioCo al poner en riesgo mi integridad…</t>
  </si>
  <si>
    <t>Entre 53 paises evaluados en sus politicas anticovid quedamos de penúltimas. Duque, igual que Bolsonaro y Trump, d… https://t.co/lI9RCXX425</t>
  </si>
  <si>
    <t>Lo más responsable hoy sería la cuarentena por 14 días de toda la población, pero para ello hay que financiarla, lo… https://t.co/d7Y8kDq4cA</t>
  </si>
  <si>
    <t>1. Dejar de financiarse endeudando el pais con la banca privada nacional y extranjera y pasar a endeudarse a cero p… https://t.co/BtJnmU4ZHd</t>
  </si>
  <si>
    <t>Desde el principio de la pandemia pedimos que la estrategia para controlar la.enfermedad no se basara en EPS privad… https://t.co/Ins7BHNqz3</t>
  </si>
  <si>
    <t>En todas las regiones del mundo donde existen sistemas fuertes de salud publica preventiva los resultados frente al… https://t.co/fZIVKuyNmd</t>
  </si>
  <si>
    <t>RT @cargapanama1: @ChalecosAmarill #NoMasMiedo recuérdelo el día de votar. https://t.co/SSOHp1U1e2</t>
  </si>
  <si>
    <t>RT @MaPaulaFonseca: Le dice Yamid Amat en @CMILANOTICIA a la alcaldesa @ClaudiaLopez “Con todo respeto alcaldesa, usted ha señalado a alg…</t>
  </si>
  <si>
    <t>RT @FelicianoValen: #YoVotoAlSenadoPor el Pacto Histórico. No se trata solo de inscribir la cédula, es no vender el voto y elegir bien.</t>
  </si>
  <si>
    <t>Ahora entiendo. https://t.co/K4utQrSPqt</t>
  </si>
  <si>
    <t>¡El que la hace, la paga!, decía Duque... Excepto cuando se trata de disparar a jóvenes pobres. https://t.co/gdk2w8la0M</t>
  </si>
  <si>
    <t>RT @La_eche: Cuando hablan de que Colombia se convertirá en Venezuela. https://t.co/f4Y0vcFL4o</t>
  </si>
  <si>
    <t>Van 100 muertos en el Canadá por el calor. Es el cambio climático producto del alto consumo de.petroleo y carbón de… https://t.co/dZCuJq2Lkt</t>
  </si>
  <si>
    <t>Para luchar contra la crisis climática hay que separar la economía colombiana del carbón y del petroleo, reemplazar… https://t.co/Z4onoKW9y6</t>
  </si>
  <si>
    <t>Luchar contra la crisis climática implica cambiar nuestra movilidad por movilidad eléctrica en todo el país, transf… https://t.co/6PZ2lGcr70</t>
  </si>
  <si>
    <t>Luchar contra la crisis climática implica reemplazar termoeléctricas por generación solar desde el techo del hogar.… https://t.co/ySwYtb1Acx</t>
  </si>
  <si>
    <t>Luchar contra la crisis climática, x las pandemias que trae, implica cambiar el sistema de salud por un sistema de… https://t.co/OZdIDDewUe</t>
  </si>
  <si>
    <t>Luchar contra la crisis climática implica dejar de usar los rellenos para los residuos y pasar al reciclaje, y la g… https://t.co/RdickJJkUd</t>
  </si>
  <si>
    <t>Luchar contra la crisis climática implica descontaminar los ríos, comenzando por el río Bogotá. El agua debe ser sa… https://t.co/HWMRtXVa9G</t>
  </si>
  <si>
    <t>RT @petrogustavo: Entre 53 paises evaluados en sus politicas anticovid quedamos de penúltimas. Duque, igual que Bolsonaro y Trump, decidió…</t>
  </si>
  <si>
    <t>Pero es lo que hace en emergencia del covid, EEUU, Union Europea y el este asiático. https://t.co/FaFNRrvhlf</t>
  </si>
  <si>
    <t>RT @DonIzquierdo_: Esto es mentira. Los jóvenes de la primera línea SÍ asistieron al diálogo convocado desde la Alcaldía pero @ClaudiaLopez…</t>
  </si>
  <si>
    <t>¿Por qué la alcaldesa no está en esta reunión? La juventud merece la máxima de las atenciones https://t.co/RGLZcZlMfh</t>
  </si>
  <si>
    <t>RT @SebastianNohra: No es cierto que el peligro inflacionario y una posible pérdida de la independencia del @BancoRepublica venga sólo por…</t>
  </si>
  <si>
    <t>Muy lamentable que la alcaldesa haya dejado la silla vacía en el encuentro con los jóvenes de primera línea. Era l… https://t.co/UmpcVwdgQA</t>
  </si>
  <si>
    <t>Han pasado tres años desde las elecciones del 2018 donde fuimos la segunda fuerza del país. para nosotros no hubo r… https://t.co/twPgrOG65Z</t>
  </si>
  <si>
    <t>Parte de las vías de hecho que hoy observamos como protesta social tiene que ver con que las demandas sociales no p… https://t.co/7a8lC8lV0u</t>
  </si>
  <si>
    <t>Y aun así, mientras el centro democrático ha recibido 60.000 millones de pesos y Colombia Humana ninguno, ya no som… https://t.co/ms1dZQXrYM</t>
  </si>
  <si>
    <t>Esto dice uno de los que condenó a Colombia a depender del petroleo y acabó con el trabajo Cuando hablamos de tran… https://t.co/aVT6FXhv3e</t>
  </si>
  <si>
    <t>RT @velascoluisf: Se le vino el mundo encima a @petrogustavo por proponer algo que desde hace más de un año vengo defendiendo y paso a expl…</t>
  </si>
  <si>
    <t>RT @PensamientoCH: Nadie lo informa pero el Banco de la República sí está haciendo emisión monetaria para financiar el gasto público, y tam…</t>
  </si>
  <si>
    <t>Que barbaridad de articulo. El año pasado el Banco de la República emitió 31 billones de pesos de los cuales entreg… https://t.co/7zee6vXZen</t>
  </si>
  <si>
    <t>RT @ChalecosAmarill: 🎥🛑Roger Waters se solidariza con el Pueblo de #Colombia y espera que se puedan liberar del yugo impuesto por el uribis…</t>
  </si>
  <si>
    <t>Los países más represivos de la movilización social del mundo, medido en número de muertos de manifestantes, son en… https://t.co/MHaKbGVOAk</t>
  </si>
  <si>
    <t>La extrema derecha en.el gobierno sepultó el grado de inversión en Colombia. Nosotros lo recuperaremos. Se empiez… https://t.co/ndwVWtdO5P</t>
  </si>
  <si>
    <t>RT @octaviomonroyb: @danomito @JOEL37922821 @alvaguti @JulianG40747584 @MadameSiimone @JCecheverryCol @petrogustavo https://t.co/boiB1lQ8HR</t>
  </si>
  <si>
    <t>En este hilo hay un buen resumen de los grandes logros de Bogotá Humana para aquello(a)s que piensan que administra… https://t.co/ACHaOp0Dts</t>
  </si>
  <si>
    <t>RT @elsemblante: A ustedes RCN y Caracol no les habló sobre los colegios en el Gobierno Petro. https://t.co/waHdwGR7c7</t>
  </si>
  <si>
    <t>RT @ChalecosAmarill: 🎥🛑En #Colombia #ParoNacional2Jul 🔻Hoy es el segundo día ayer esto le paso a los jóvenes en Barrancabermeja que buscab…</t>
  </si>
  <si>
    <t>RT @petrogustavo: En este hilo hay un buen resumen de los grandes logros de Bogotá Humana para aquello(a)s que piensan que administramos ma…</t>
  </si>
  <si>
    <t>RT @elsemblante: A ustedes RCN y Caracol no les habló del programa real de vivienda en Ciudad Bolívar, durante el Gobierno Petro. https://t…</t>
  </si>
  <si>
    <t>RT @elsemblante: A ustedes RCN y Caracol seguramente no les contó sobre este sistema de transporte público en ciudad Bolívar, en el Gobiern…</t>
  </si>
  <si>
    <t>RT @elsemblante: A ustedes RCN y Caracol solo les mostraba los testimonios de los opositores de la peatonalización de la séptima. Hoy aplau…</t>
  </si>
  <si>
    <t>RT @elsemblante: A ustedes RCN y Caracol no les contó que en el Gobierno Petro la gente dejó de pagar en sus facturas de aseo $37.505 millo…</t>
  </si>
  <si>
    <t>Literalmente se han robado a monómeros colombo/venezolanos de la que Colombia era socia. Una expropiación uribista. https://t.co/ZkWgaMjWg2</t>
  </si>
  <si>
    <t>Adelina Covo nos cuenta aquí brevemente uno de los episodios más interesantes de la historia de Colombia. Los días… https://t.co/lwkFMNNZta</t>
  </si>
  <si>
    <t>RT @BluRadioCo: #AlAIre "Una cosa es emitir y otra que el Banco de la República preste a los gobiernos. El banco central de Japón lleva 25…</t>
  </si>
  <si>
    <t>RT @BluRadioCo: #AlAire "@PetroGustavo tiene razón en que es mejor pedirle prestado al que lo hace más barato que a la banca internacional,…</t>
  </si>
  <si>
    <t>RT @MaDeLosGuardias: En el gobierno de Uribe pasamos de el tercer productor mundial, al cuarto. Dejamos de sembrar café para sembrar coca.…</t>
  </si>
  <si>
    <t>RT @DanielRMed: La monetización del déficit no consiste en emitir billetes o cheques del banco central como ligeramente afirman algunos. Pa…</t>
  </si>
  <si>
    <t>RT @gacs1987: Dos alcaldías de @EnriquePenalosa más una de @ClaudiaLopez q sumadas no han hecho ni los estudios del metro que dejó @petrogu…</t>
  </si>
  <si>
    <t>RT @intiasprilla: Cabe agregar que manifiestan que al momento de la llegada de @PoliciaBogota no había ningún disturbio que justifique la e…</t>
  </si>
  <si>
    <t>RT @moyano_paternin: https://t.co/v8ymQ8KVTD</t>
  </si>
  <si>
    <t>RT @LauraMMoficial: Ya estamos en el #PactoHistórico. Colombia puede. https://t.co/gmr5DN9vuz</t>
  </si>
  <si>
    <t>RT @ChalecosAmarill: 🛑En todo #Brasil ya es otra jornada histórica, más de 361 movilizaciones 👏🏽👏🏽👏🏽 ✊🏿✊🏼✊ 🔻En este momento, así se ve la…</t>
  </si>
  <si>
    <t>RT @GustavoBolivar: Antes de decir q Semana se volvió un pasquín, mantuve con Vicky Dávila una relación cordial y cariñosa. A partir de eso…</t>
  </si>
  <si>
    <t>RT @petrogustavo: Adelina Covo nos cuenta aquí brevemente uno de los episodios más interesantes de la historia de Colombia. Los días en qu…</t>
  </si>
  <si>
    <t>RT @petrogustavo: La extrema derecha en.el gobierno sepultó el grado de inversión en Colombia. Nosotros lo recuperaremos. Se empieza con…</t>
  </si>
  <si>
    <t>RT @ChalecosAmarill: 🎥🛑En #Colombia #ParoNacional3Jul 🔻El pueblo sale a manifestarse entre otras cosas, por la menor abusada sexualmente…</t>
  </si>
  <si>
    <t>RT @ChalecosAmarill: 🎥🛑En #Colombia #ParoNacional3Jul 🔻Denuncia @GarantiasPSG en Medellín se vivieron momentos de pánico mientras avanzaba…</t>
  </si>
  <si>
    <t>RT @G_Pisarello: 🛑 Impresionante jornada de movilizaciones contra Bolsonaro en todo Brasil🇧🇷 En Sao Paulo, epicentro de la pandemia, han…</t>
  </si>
  <si>
    <t>El programa presidencial de Colombia Humana es aplicar la Constitución de 1991. https://t.co/N2HV1giRvw</t>
  </si>
  <si>
    <t>RT @elespectador: El Polo Democrático emitió un comunicado en el que le pide a Claudia López, alcaldesa de Bogotá, no estigmatizar la prote…</t>
  </si>
  <si>
    <t>No deberíamos volver a la normalidad antes del covid: ya se había destruido buena parte de la industria y la agricu… https://t.co/9j3ImHLG7G</t>
  </si>
  <si>
    <t>Bogotá perdió todo el acumulado de disminución de la pobreza y la desigualdad que se había logrado entre el año 200… https://t.co/MqlOHE8Jnl</t>
  </si>
  <si>
    <t>Excelente ejemplo de solidaridad del arzobispo de Bogotá. La principal tarea del próximo gobierno sera disminuir l… https://t.co/MbjW7E9oel</t>
  </si>
  <si>
    <t>El enriquecimiento de la población pobre pasa por garantizarle sus derechos universales, por priorizar el gasto púb… https://t.co/JcJcIFeuQX</t>
  </si>
  <si>
    <t>Los programas de empleo garantizado por el Estado deben llegar con prioridad a la mujer y a la juventud popular en… https://t.co/ixihTz1cUf</t>
  </si>
  <si>
    <t>El programa jovenes en Paz, que entregó subvención económica al joven a cambio de estudiar, el de territorios salud… https://t.co/jOtgdURgtJ</t>
  </si>
  <si>
    <t>Acaba la Corte Suprema de Justicia de rechazar la denuncia que se nos hacia por supuestamente estimular la violenci… https://t.co/SFPLqmebbF</t>
  </si>
  <si>
    <t>#QueNoTeConfundan https://t.co/H24dSkfzKJ</t>
  </si>
  <si>
    <t>RT @petrogustavo: #QueNoTeConfundan https://t.co/H24dSkfzKJ</t>
  </si>
  <si>
    <t>RT @CIDH: #CIDH invita a seguir en vivo a la conferencia de prensa sobre las observaciones y recomendaciones de la visita de trabajo de #C…</t>
  </si>
  <si>
    <t>El informe de la CIDH dice lo que todo el mundo sabe en Colombia, que el gobierno de Duque quebró la constitución y… https://t.co/BCEJubGDnQ</t>
  </si>
  <si>
    <t>El gobierno de Duque ya ha roto con el sistema interamericano de Derechos Humanos que es parte de nuestra Constituc… https://t.co/5pRz67kbug</t>
  </si>
  <si>
    <t>El.debate sobre la financiacion de la superación de la crisis del covid en Colombia https://t.co/MdPR41krJh</t>
  </si>
  <si>
    <t>Como todo dictador Duque desatenderá las recomendaciones de la CIDH.</t>
  </si>
  <si>
    <t>Vimos 82 jóvenes morir bajo las fuerzas del gobierno y del paragobierno. Se trata de crímenes contra lanhunanidad p… https://t.co/LSsAosNIna</t>
  </si>
  <si>
    <t>RT @petrogustavo: Como todo dictador Duque desatenderá las recomendaciones de la CIDH.</t>
  </si>
  <si>
    <t>Precisamente, presidente, porque nadie puede recomendar a un país ser tolerante con la criminalidad es que la socie… https://t.co/Izwsbn2bkX</t>
  </si>
  <si>
    <t>RT @FranciaMarquezM: El Director d DDHH d su administración @andresidarragaf renunció porque usted no asumió la responsabilidad d ser garan…</t>
  </si>
  <si>
    <t>¿Si la alcaldesa de Bogotá acepta el infoeme de @CIDH será posible que de la orden pública de no sacar el Esmad en… https://t.co/2li8b7FslK</t>
  </si>
  <si>
    <t>Gente poderosa de Cali ha hecho colectas de dinero para pagarle a las mafias el asesinato de jovenes de las barriad… https://t.co/IVdBLOMyu4</t>
  </si>
  <si>
    <t>RT @jesuitajonathan: #ElInformeEs la constatación de que se usó la fuerza de una manera desproporcionada contra la protesta social violando…</t>
  </si>
  <si>
    <t>No es obligatorio cumplir con las normas que la sabiduría hunana durante milenios ha construido como base de una ci… https://t.co/RxB2zTpQOR</t>
  </si>
  <si>
    <t>Una mujer venezolana migrante tiene el doble de riego de morir asesinada que una mujer colombiana. El feminicidio c… https://t.co/9VnwvcQ83I</t>
  </si>
  <si>
    <t>Derechos humanos significa dignidad humana. Es el resultado máximo de la civilización. Cuando un gobierno viola los… https://t.co/g9SBZ15GYM</t>
  </si>
  <si>
    <t>La policía nacional debe salir del ministerio de defensa, todos y todas sus integrantes deben tener garantia del es… https://t.co/ON2oCYrqjm</t>
  </si>
  <si>
    <t>RT @GustavoBolivar: #Hilo La primera persona que denuncié penalmente es este ex oficial del ejército @ferheilbron que se autodenomina ideól…</t>
  </si>
  <si>
    <t>RT @petrogustavo: La policía nacional debe salir del ministerio de defensa, todos y todas sus integrantes deben tener garantia del estado p…</t>
  </si>
  <si>
    <t>RT @petrogustavo: Derechos humanos significa dignidad humana. Es el resultado máximo de la civilización. Cuando un gobierno viola los derec…</t>
  </si>
  <si>
    <t>Los fondos privados de pensiones son un negocio donde los cotizantes que buscan pensión le prestan su plata a los b… https://t.co/Xs7KXV5INj</t>
  </si>
  <si>
    <t>RT @JMVivancoHRW: La respuesta del gobierno colombiano a la @CIDH es lamentable. Hilo:</t>
  </si>
  <si>
    <t>RT @petrogustavo: Los fondos privados de pensiones son un negocio donde los cotizantes que buscan pensión le prestan su plata a los banquer…</t>
  </si>
  <si>
    <t>RT @GustavoBolivar: Y qué casualidad, este hombre @ferheilbron que pide mi asesinato y el de mis hijos apoya la candidatura de la sra Cabal…</t>
  </si>
  <si>
    <t>La casa del presidente de Haití fue tomada por grupos delincuenciales que lo asesinaron y ustedes, amigos, no se di… https://t.co/igubuIxP97</t>
  </si>
  <si>
    <t>Se ha enseñado en la fuerza pública la letalidad pero sin corazón democrático. La única manera para que la capacida… https://t.co/0lVEFl1rsw</t>
  </si>
  <si>
    <t>Si han matado un presidente extranjero en su casa al lado de su esposa, imaginen lo que han hecho con el pueblo col… https://t.co/veZGOp0W6W</t>
  </si>
  <si>
    <t>¿Quien le enseñó a torturar a los exmilitares colombianos que torturaron y asesinaron al presidente de Haití? ¿ qui… https://t.co/T36c5TOzrl</t>
  </si>
  <si>
    <t>Lamentable la.muerte de William, lamentable que se prefiera troncales de transmilenio de cemento armado a sedes uni… https://t.co/E6jIEnkjM8</t>
  </si>
  <si>
    <t>¿Por qué el Estado ha educado asesinos? 1. Porque la doctrina es la del enemigo interno y no la cultura democrátic… https://t.co/ezhxRD3xUl</t>
  </si>
  <si>
    <t>Ha sido.atacado con.arma de fuego uno de mis escoltas en Bogotá. Elnpateulleri Aguirre recibió un disparo en la.pie… https://t.co/UZ0Oc9pqRY</t>
  </si>
  <si>
    <t>RT @Marianiniecheve: Ya van 6 militares activos en la lista de manzanas podridas que asesinaron al presidente de Haití. Dios mío, líbrano…</t>
  </si>
  <si>
    <t>RT @HernanPorrasM: Uno de los detenidos en Haití es primo de consejero presidencial colombiano https://t.co/LdWm7Xwbtj https://t.co/DF45nmv…</t>
  </si>
  <si>
    <t>Masacre tras masacre contra.los que reclaman sus tierras. El compromiso del Pacto Histórico es restituir todas las… https://t.co/HQhmDoveJV</t>
  </si>
  <si>
    <t>No usan máscaras ni escudos, no se llaman primera línea, son jóvenes. Quieren justicia para su Guajira Le muestran… https://t.co/vNhxXRTsmo</t>
  </si>
  <si>
    <t>Eata denuncia de @HELIODOPTERO pondría de relieve la peor degradación de la política internacional del uribismo. L… https://t.co/ECL7I8nVTZ</t>
  </si>
  <si>
    <t>RT @petrogustavo: No usan máscaras ni escudos, no se llaman primera línea, son jóvenes. Quieren justicia para su Guajira Le muestran su ro…</t>
  </si>
  <si>
    <t>Borrar con el gris la realidad. https://t.co/VumdgmLWWl</t>
  </si>
  <si>
    <t>Si somos gobierno nuestra reforma tributaria le subirá impuestos solo a 4.000 personas.</t>
  </si>
  <si>
    <t>Hipocresías. https://t.co/3VrJhUpiZ0</t>
  </si>
  <si>
    <t>En Cuba como en Colombia se impone el Dialogo social. Las sociedades vivas son las que se mueven y logran las trans… https://t.co/vvQS1W7tzm</t>
  </si>
  <si>
    <t>Sergio, ¿no pensará usted subirle impuestos a una clase media ya derruida, o peor aun, a los pobres? 4.000 persona… https://t.co/K7WJWO2jZ2</t>
  </si>
  <si>
    <t>Son las personas más ricas de Colombia, y los impuestos que propongo subirles no son a su patrimonio productivo, si… https://t.co/h4Eypj5AF6</t>
  </si>
  <si>
    <t>Mi propuesta por tanto, no es populista, me gustaría @sergio_fajardo nos definiera que entiende por esa palabra, si… https://t.co/pjijDKM4V2</t>
  </si>
  <si>
    <t>RT @petrogustavo: Sergio, ¿no pensará usted subirle impuestos a una clase media ya derruida, o peor aun, a los pobres? 4.000 personas deja…</t>
  </si>
  <si>
    <t>RT @GiordanoBrunoFi: Mientras las empresas mediáticas colombianas motivan las manifestaciones en Cuba🇨🇺 y crean numerales como #LibertaEs,…</t>
  </si>
  <si>
    <t>Duvan Felipe estaba en el portal Américas, Bogotá, en la.protesta; desapareció y ahora su cuerpo fue encontrado si… https://t.co/Y4fKUykosv</t>
  </si>
  <si>
    <t>La revista incendiaria confunde debate con pelea. https://t.co/H8ySGagNM5</t>
  </si>
  <si>
    <t>RT @petrogustavo: Duvan Felipe estaba en el portal Américas, Bogotá, en la.protesta; desapareció y ahora su cuerpo fue encontrado sin vida…</t>
  </si>
  <si>
    <t>RT @France24_es: Colombia: acallar la revuelta a todo precio https://t.co/ve5r72Uhr6 https://t.co/6uuZ7Hpi7I</t>
  </si>
  <si>
    <t>Siguen apareciendo cuerpos de jóvenes desaparecidos en medio de las manifestaciones. https://t.co/bXkJzvPdS3</t>
  </si>
  <si>
    <t>RT @Juventud_Humana: Enviamos nuestra solidaridad a familiares, amigos/as y compas de la @ColombiaHumana_ en el Chocó por el fallecimiento…</t>
  </si>
  <si>
    <t>RT @PartidoMorenaMx: El presidente @lopezobrador_ llama a retirar el bloqueo a Cuba. https://t.co/edjThSHnug</t>
  </si>
  <si>
    <t>El reclutador de mercenarios para secuestrar o matar al.presidente de Haití, era también el.organizador del convier… https://t.co/LCV5AakyLC</t>
  </si>
  <si>
    <t>RT @petrogustavo: Si somos gobierno nuestra reforma tributaria le subirá impuestos solo a 4.000 personas.</t>
  </si>
  <si>
    <t>Amigo Pacho Santos, nosotros recuperaremos el grado de inversión que ustedes dejaron perder. La.inversión extranje… https://t.co/HGbhDv88g9</t>
  </si>
  <si>
    <t>Aquí Santamaría, el socio en Miami de Itarrago, el venezolano que contrató a los mercenarios colombianos para asesi… https://t.co/b6XhEIM7cL</t>
  </si>
  <si>
    <t>RT @rolandoteleSUR: #MagnicidioEnHaiti. Revelan supuesta reunión de @IvanDuque el 10/02/2018 en #Miami, con Tony Intriago, pdte de la contr…</t>
  </si>
  <si>
    <t>Si esta foto es cierta, Duque si se reunió con Tony Intriago, el Venezolano que contrató a los mercenarios colombia… https://t.co/hitXCMqsok</t>
  </si>
  <si>
    <t>RT @tobonsanin: El gobierno de Duque desde hace dos meses viene violentando los Derechos Humanos de manifestantes y calumniando a la CIDH,…</t>
  </si>
  <si>
    <t>RT @julestwww: Y como ustedes lo pidieron, aquí está el hilo de lo que fue la operación Orión. Espero lo lean, investiguen y compartan much…</t>
  </si>
  <si>
    <t>RT @ColombiaHumana_: Bancadas Colombia Humana, UP y Mais se declaran en oposición a Claudia López https://t.co/QMjoHUIMg1 vía @WradioColom…</t>
  </si>
  <si>
    <t>RT @petrogustavo: Amigo Pacho Santos, nosotros recuperaremos el grado de inversión que ustedes dejaron perder. La.inversión extranjera que…</t>
  </si>
  <si>
    <t>RT @GustavoBolivar: Uribistas desempleados, de bajo salario, uribistas pobres: Gracias a 190 jóvenes q ofrendaron su vida o sus ojos en las…</t>
  </si>
  <si>
    <t>RT @latablablog: El presidente de la firma de seguridad CTU Security es Antonio Enmanuel Intriago Valera, residente en Miami desde al menos…</t>
  </si>
  <si>
    <t>Después de 190 jóvenes asesinados y mutilados por el gobierno de Duque por protestar salen con esto. Hipocresía.… https://t.co/7EcEqR0fSO</t>
  </si>
  <si>
    <t>El actual mandatario de Haití sería el determinador de la operación de asesinato. Nuestra política internacional h… https://t.co/76D7Yyu9gm</t>
  </si>
  <si>
    <t>De nuevo sale cuestionada la doctrina de entrenamiento militar de la escuela de lanceros tal como denuncie en mi de… https://t.co/zaxTXmPuVY</t>
  </si>
  <si>
    <t>El narcotraficante haitiano Jaar, financió la operación mercenaria en beneficio del actual mandatario. Jaar export… https://t.co/sARTwiWxUQ</t>
  </si>
  <si>
    <t>La política exterior del gobierno se ha construido en las redes de la extrema derecha mundial y particularmente de… https://t.co/PIr8YwpOuC</t>
  </si>
  <si>
    <t>Queda cuestionada tambien la doctrina de entrenamiento de la fuerza élite del ejercito, la escuela de lanceros, tal… https://t.co/KcvV7abrgD</t>
  </si>
  <si>
    <t>Asesinado edil en Cali. La matanza continúa en la ciudad. https://t.co/23OlPQbkSl</t>
  </si>
  <si>
    <t>RT @colombia_hist: Óleo "Colombia Asesinada". De Sebastián Villalaz, 1902. reposa en el Museo de Historia de Panamá Se observa a Colombia a…</t>
  </si>
  <si>
    <t>RT @ricarospina: Atentos: @JEP_Colombia revela que el 87% de los resultados operacionales del @CoronelHMejia al frente del Batallón La Popa…</t>
  </si>
  <si>
    <t>RT @charry_manager: Para entender un poco de la brutalidad cometida por comandos del @COL_EJERCITO en #Haiti les recomiendo ver el debate d…</t>
  </si>
  <si>
    <t>En el festival de Cine de Cannes, Francia. Una denuncia que no pueden acallar, ni con sangre, ni con violencia med… https://t.co/H0guPob5c4</t>
  </si>
  <si>
    <t>Siempre han creído que la gente que trabaja es el esclavo del pasado. El trabajo digno es una de las prioridades e… https://t.co/uQNzSHu6vf</t>
  </si>
  <si>
    <t>RT @ruidiaz_ddhh: A este que le pasa, quién habla de comunismo en Colombia, pareciera que la derecha le dio algún cheque. Lo creí inteligen…</t>
  </si>
  <si>
    <t>RT @petrogustavo: Siempre han creído que la gente que trabaja es el esclavo del pasado. El trabajo digno es una de las prioridades en una…</t>
  </si>
  <si>
    <t>RT @petrogustavo: En el festival de Cine de Cannes, Francia. Una denuncia que no pueden acallar, ni con sangre, ni con violencia mediática…</t>
  </si>
  <si>
    <t>La crisis climática no solo mata en Canadá o Alemania. Tambien agrede en Arauca Los planes de adaptación al cambio… https://t.co/XqcJbRtmSZ</t>
  </si>
  <si>
    <t>No habrá conciertos en la frontera organizados por mafiosos para ella, ni los medios harán cadena noticiosa, ni los… https://t.co/MIAPR16KtR</t>
  </si>
  <si>
    <t>RT @FranciaMarquezM: En el marco d la conmemoración d los 200 años d la ley d libertad de vientres, el día 21 de julio les convocamos a una…</t>
  </si>
  <si>
    <t>RT @Margaritarosadf: Que tal yo de candidata al Senado y encabezar una lista cerrada, cremallera, conformada por líderes sociales y activis…</t>
  </si>
  <si>
    <t>Increíble. ¿De verdad los cascos de constructor se les volvieron subversivos? ¿ De verdad bautizaron a la juventud… https://t.co/xbRmS2DZ7y</t>
  </si>
  <si>
    <t>No se puede cambiar el gobierno sin cambiar el Congreso. Que la sociedad fuera de verdad representada por la decenc… https://t.co/B7jaA1XUnI</t>
  </si>
  <si>
    <t>RT @petrogustavo: Increíble. ¿De verdad los cascos de constructor se les volvieron subversivos? ¿ De verdad bautizaron a la juventud de te…</t>
  </si>
  <si>
    <t>La violencia mediática contra la juventud y la actitud del gobierno de criminalizar la juventud que protesta es el… https://t.co/a5K7IR2DkB</t>
  </si>
  <si>
    <t>Terrorista es el que criminaliza a un joven porque exige sus derechos.</t>
  </si>
  <si>
    <t>Liberar los espacios del agua en tiempos de cambio climático es crucial para salvar la vida de miles de personas. E… https://t.co/NNnlshQ0iQ</t>
  </si>
  <si>
    <t>Intereses de especulación inmobiliaria llevan a construir en zonas de alto riesgo de inundación. Por eso el plan de… https://t.co/dNy5kS9nwk</t>
  </si>
  <si>
    <t>Decidieron crear zozobra y terror. Decidieron estigmatizar a la juventud y llamarla terrorista. Decidieron criminal… https://t.co/kbscYpkO28</t>
  </si>
  <si>
    <t>RT @PizarroMariaJo: Fascismo! Decomisan cascos pero no armas, les torturan, violan, asesinan y luego tildan de terroristas. Las movilizaci…</t>
  </si>
  <si>
    <t>Una tragedia zipaquireña. Pueblo de obreros, de estudio, de ciclistas. Cuna comunera, hoy vive la tragedia en lammu… https://t.co/40Gip4n0tj</t>
  </si>
  <si>
    <t>RT @SusanaBoreal: No podemos dejar las calles, no hay que dejar de apoyar a quienes siguen en pie de lucha. El Paro NO es una moda. Video…</t>
  </si>
  <si>
    <t>RT @petrogustavo: Decidieron crear zozobra y terror. Decidieron estigmatizar a la juventud y llamarla terrorista. Decidieron criminalizar l…</t>
  </si>
  <si>
    <t>Aquí el presidente Duque confiesa su gran amistad con Santamaría, el socio del dueño de la empresa que contrató los… https://t.co/D6iK2NBgFG</t>
  </si>
  <si>
    <t>Duque es amigo de Alfred Santamaría, miembro de la extrema derecha en La Florida, EEUU, y socio de Tony Intriago, e… https://t.co/rb3TWx2LLu</t>
  </si>
  <si>
    <t>Hoy gritamos independencia. Ayer querían libertad los fundadores de esta nación. Protestaron ese 20 de julio y desc… https://t.co/gQvR8uwGtq</t>
  </si>
  <si>
    <t>RT @SusanaBoreal: #ProtegerMiVidaNoEsUnDelito Envuelvo mi casco con música. Seguro no demoran en quitarnos los instrumentos o la voz porqu…</t>
  </si>
  <si>
    <t>La primera línea de la vida: el personal de la salud, no tiene estabilidad laboral ni les pagan. En la reforma de… https://t.co/M6QEDSlZ6x</t>
  </si>
  <si>
    <t>Decidieron subsidiar a las más grandes empresas con recursos públicos, pero dejaron sin ningún apoyo del estado a 1… https://t.co/4YvuvEHfus</t>
  </si>
  <si>
    <t>El mayor bloqueador de la vida ha sido el que permitió que las armas oficiales mataran decenas de jóvenes, mutilara… https://t.co/jl1m7wdCTH</t>
  </si>
  <si>
    <t>Solo puede haber odio en quienes hacen trizas la paz. Odio hacia la gente, hacia el pobre, hacia el joven, hacia la… https://t.co/KovZqX8EA7</t>
  </si>
  <si>
    <t>RT @NoticiasCaracol: “Escuchamos a Duque y pensamos que vive en un país que no es Colombia. Se va justo cuando va a hablar la oposición. En…</t>
  </si>
  <si>
    <t>RT @PizarroMariaJo: Pacto Histórico Discurso María José Pizarro R. en la instalación del Congreso 2021- 2022 Un pacto por Colombia https…</t>
  </si>
  <si>
    <t>Lo dice el que se negó a debatir conmigo en la segunda vuelta presidencial y acaba de retirarse del senado para no… https://t.co/9Z8RSIZ5li</t>
  </si>
  <si>
    <t>RT @AlexLopezMaya: Hoy, hemos tenido que presenciar un discurso del jefe de estado que no atiende a la realidad, vanagloriándose del fracas…</t>
  </si>
  <si>
    <t>Hace algún tiempo Jorge Eliecer Gaitán dijo que había que reconstruir moralmente la república. Sus palabras cobran… https://t.co/doO4rXckED</t>
  </si>
  <si>
    <t>Si Duque respetara y garantizara el derecho a la.protesta acataría las recomendaciones de la comisión interamerican… https://t.co/GXDaYpWnXH</t>
  </si>
  <si>
    <t>RT @petrogustavo: Hace algún tiempo Jorge Eliecer Gaitán dijo que había que reconstruir moralmente la república. Sus palabras cobran vigen…</t>
  </si>
  <si>
    <t>No es perdió, es la vulneración de los.derechos de la.oposición y del estatuto legal que los garantiza hecha por el… https://t.co/FoQxDTRODm</t>
  </si>
  <si>
    <t>Las mayorías del congreso impiden que la minoría, la oposición, tenga presencia en la mesa directiva. Eso lo prohib… https://t.co/ExWyYTF8tT</t>
  </si>
  <si>
    <t>Ayer, 20 de Julio, en Cali, ante una manifestación pacifica, civiles o policias de civil en medio de la policía uni… https://t.co/0FtcwQQda9</t>
  </si>
  <si>
    <t>RT @jerojasrodrigue: En cambio @PizarroMariaJo le dijo al país en 5 minutos lo que Duque no quiso escuchar 👇🏽 https://t.co/J2s2iixzOg</t>
  </si>
  <si>
    <t>RT @CaroZ19: LO QUE PASÓ HOY EN EL SENADO aqui va un hilo del agarron entre la izquierda y los verdes, principalmente entre @AngelicaLozano…</t>
  </si>
  <si>
    <t>RT @susanamuhamad: Nos llega esta denuncia, un bebé recién nacido ahogado por los gases lanzados en zona residencial del #portalamericas Es…</t>
  </si>
  <si>
    <t>RT @RoyBarreras: En @CaracolRadio #VanessaTraiciónEs negar el derecho de la oposición a elegir quien los represente en las mesas directivas…</t>
  </si>
  <si>
    <t>RT @JorgeLondonoU: El día de hoy me aparté de la decisión mayoritaria de la bancada de mi Partido en el @SenadoGovCo, y me retiré de la Ses…</t>
  </si>
  <si>
    <t>La clase política tradicional no soporta a Gustavo Bolívar por su ferrea posición contra la corrupción y por la de… https://t.co/VQaC1nx96o</t>
  </si>
  <si>
    <t>RT @intiasprilla: Les voy a dar un dato para que entiendan el tamaño de la treta: La candidatura de @AntonioSanguino NUNCA se socializo con…</t>
  </si>
  <si>
    <t>Respetado periodista, la Constitución establece el derecho de las minorías a estar representada en las mesas direct… https://t.co/rSHw4LXMGW</t>
  </si>
  <si>
    <t>Señora Laura Gil yo soy el senador de la Colombia Humana y ayer voté en blanco la.presidencia del senado. Ayer la… https://t.co/NDlzKQqN10</t>
  </si>
  <si>
    <t>Ni más ni menos el senador Sanguino plantea aquí, que las bancadas oficialistas puedan seleccionar el representante… https://t.co/cV6jrHK6ZQ</t>
  </si>
  <si>
    <t>Les parece bien tener en la presidencia de las corporaciones públicas a los familiares de los narcotraficantes, per… https://t.co/UDHw9PqDD7</t>
  </si>
  <si>
    <t>Con dirigentes del pueblo negro de Colombia en el lanzamiento de la precandidatura presidencial de Francia Márquez… https://t.co/w3cFCMjHC2</t>
  </si>
  <si>
    <t>Establecer el Poder Negro, como indemnización histórica a las víctimas de una época en que se condenó a seres human… https://t.co/ZyjFfLk4zF</t>
  </si>
  <si>
    <t>RT @RoyBarreras: Con @FranciaMarquezM estamos juntos en un proyecto que va más allá de una aspiración personal, vamos a transformar a Colom…</t>
  </si>
  <si>
    <t>RT @YamilaSantosS: Con @FranciaMarquez avanza nuestro poder étnico ancestral, nuestro poder negro, poder que irrumpe de las raíces de la ti…</t>
  </si>
  <si>
    <t>El movimiento "Soy porque Somos" que lanza hoy la.precandidatura presidencial de Francia Márquez Mina, se vincula o… https://t.co/yoKtdD87iu</t>
  </si>
  <si>
    <t>RT @AndresCamiloHR: "Los pueblos libres de Colombia, creo que ya han tomado la decisión mayoritaria de cambiar la historia del país" señala…</t>
  </si>
  <si>
    <t>https://t.co/xUwQ0p3AfZ</t>
  </si>
  <si>
    <t>https://t.co/8ZuBJx0UTv</t>
  </si>
  <si>
    <t>https://t.co/i1d2v2yoAS</t>
  </si>
  <si>
    <t>https://t.co/djRn9EULU8</t>
  </si>
  <si>
    <t>RT @Isabel_Fajardo3: Quiero compartir con ustedes un hilo sobre lo qué pasó ayer en Bogotá desde mi labor como defensora de DDHH (1/8) 1.…</t>
  </si>
  <si>
    <t>El gobierno cree que la movilización social entró en reflujo, pero creo que cambio de formas. Miren ustedes este r… https://t.co/Up7WRhiG2D</t>
  </si>
  <si>
    <t>Sufrimos dos vetos solo por interés electoral, el que yo no pudiera replicar al presidente Duque tal como sí apoyam… https://t.co/Nxp3gkOBKe</t>
  </si>
  <si>
    <t>RT @vanguardiacom: #Colombia | la lideresa social Francia Márquez anunció que se lanza a la presidencia de la República. Acompañada de impo…</t>
  </si>
  <si>
    <t>Un feliz cumpleaños para el senador Gustavo Bolívar. https://t.co/cYoGJtc6Ql</t>
  </si>
  <si>
    <t>Colombia debe acostumbrarse a que en los próximos gobiernos habrá en todas las entidades públicas muchos más negros… https://t.co/RAD2goRVbN</t>
  </si>
  <si>
    <t>Poder Negro y Política tica del amor. parte I https://t.co/BhgEOsAc6V</t>
  </si>
  <si>
    <t>Poder Negro y Política del amor Parte II https://t.co/MfUg9zsxqN</t>
  </si>
  <si>
    <t>RT @AtiQuigua: Rindo ponencia NEGATIVA al PA 265/2021 de autoria del Gobierno Distrital, al no responder a las causas y demandas del actual…</t>
  </si>
  <si>
    <t>Señora Vicky. el caso del petrovideo no existe porque la Corte Suprema de Justicia no detecto ningún delito https://t.co/inOd9KF2fq</t>
  </si>
  <si>
    <t>Hoy públicamente en proceso de la fiscalía una de las personas que nos ha amenazado y calumniado por redes rendirá… https://t.co/qYHtM0yc1s</t>
  </si>
  <si>
    <t>Josep Borrell, alto representante para asuntos exteriores de la Unión Europea ha respondido favorablemente mi solic… https://t.co/PaDrCjgFct</t>
  </si>
  <si>
    <t>Isabel Cristina Zuleta y Susana Boreal enriquecen el Pacto Histórico. ¡Bienvenidas! Sigan aquí el evento en viv… https://t.co/FlxzikGef0</t>
  </si>
  <si>
    <t>Isabel Cristina Zuleta (@ISAZULETA) enriquece con su presencia y sabiduría ambiental al Pacto Histórico. Tiene clar… https://t.co/rMbJnfMUNA</t>
  </si>
  <si>
    <t>RT @SusanaBoreal: Lanzamiento de campaña al senado - Isabel Zuñeta con Gustavo Petro https://t.co/n0qZySxr2j</t>
  </si>
  <si>
    <t>RT @ColombiaHumana_: Roberto Díaz Bedoya hoy le pidió disculpas públicas en Medellín a @petrogustavo por perturbadora amenaza de muerte en…</t>
  </si>
  <si>
    <t>RT @nicolaspetroB: Bienvenidas @ISAZULETA y @SusanaBoreal al Pacto Histórico!!! https://t.co/t9phcOtYcY</t>
  </si>
  <si>
    <t>RT @ISAZULETA: Por el agua, la naturaleza y la vida decimos Sí al #PactoHistorico. Sumando voces y manos para que la vida sea posible! htt…</t>
  </si>
  <si>
    <t>RT @SusanaBoreal: #IsabelZuletaAlSenado Me llena de felicidad que @ISAZULETA dé este paso hacia la participación y representación de mujere…</t>
  </si>
  <si>
    <t>RT @AnalisisUrbano: #UltimaHora La líder del movimiento Ríos Vivos Isabel Zuleta @ISAZULETA se lanza al senado de la república con el apoyo…</t>
  </si>
  <si>
    <t>Esta es @SusanaBoreal, la directora de la orquesta clásica se la.Resistencia en Medellín, así se vincula al Pacto H… https://t.co/yueF3rDBOv</t>
  </si>
  <si>
    <t>Atacada periodista alemana que registraba las marchas por un sicario en Cali. La falta de acción de la.fiscalía.con… https://t.co/Kvh9Xw6SXD</t>
  </si>
  <si>
    <t>RT @petrogustavo: Esta es @SusanaBoreal, la directora de la orquesta clásica se la.Resistencia en Medellín, así se vincula al Pacto Históri…</t>
  </si>
  <si>
    <t>El expediente es un medio de extrema derecha vinculado fuertemente a círculos de inteligencia militar. Por eso est… https://t.co/x7PSzEPrwB</t>
  </si>
  <si>
    <t>Desligar a la fuerza pública de la corrupción es fundamental.para construir una nación democrática fuerte y en paz.… https://t.co/dpl1Xp6GFU</t>
  </si>
  <si>
    <t>En un ejército democrático un sargento debe ter la oportunidad brindada por el estado de ser general El estado tie… https://t.co/j7LyQkxomu</t>
  </si>
  <si>
    <t>Siempre a pesar de la ofensa, la reconciliación y el perdón son fundamentales para restablecer la humanidad. La de… https://t.co/rgwRWPSWOD</t>
  </si>
  <si>
    <t>Cuando se subsidia con dineros públicos la operación de transmilenio debe redundar en una disminución de la tarifa… https://t.co/rl2yGaKkxX</t>
  </si>
  <si>
    <t>Si la operación de los buses rojos de transmilenio ahora tiene que ser pagada por el distrito, por disminución del… https://t.co/KpL2VdddFu</t>
  </si>
  <si>
    <t>Me correpondió a mi denunciar a este señor como el gran beneficiario del cartel de la contratación de Bogotá Fué é… https://t.co/UIu1lCuqt6</t>
  </si>
  <si>
    <t>RT @petrogustavo: Siempre a pesar de la ofensa, la reconciliación y el perdón son fundamentales para restablecer la humanidad. La decisión…</t>
  </si>
  <si>
    <t>RT @tobonsanin: Luis Carlos Vélez en su afán de congraciarse con Duque estigmatiza a la periodista alemana Rebecca Sprober y a los días ate…</t>
  </si>
  <si>
    <t>Toda politica de estigmatizacion a los jóvenes de la prensa lleva al asesinato de los jóvenes. Todo quiebre de la… https://t.co/JN35CGCunE</t>
  </si>
  <si>
    <t>Isabel Cristina Zuleta y Susana Boreal son dos jóvenes antioqueñas que le dan mucha fuerza vital y cultural al Pact… https://t.co/y3pr7Q7U6q</t>
  </si>
  <si>
    <t>Así comienza el asesinato. Prensa y redes cuyos dueños son de extrema derecha señalan y luego.los sicarios matan. https://t.co/TZVqLwlxqa</t>
  </si>
  <si>
    <t>Se nos fue Eider Ballesteros, gran voluntario de la Colombia Humana en Córdoba QEPD https://t.co/YjxbeuRARU</t>
  </si>
  <si>
    <t>#LibérateLiberal https://t.co/bH2GXKatwz</t>
  </si>
  <si>
    <t>Me encuentro en Cali en el lanzamiento de la candidatura presidencial en el liberalismo de Luis Fernando Velasco.… https://t.co/zCAJhie07y</t>
  </si>
  <si>
    <t>#LibérateLiberal y súmate al #PactoHistórico, la verdadera coalición progresista. Pongamos al país primero. https://t.co/EKogORaqlw</t>
  </si>
  <si>
    <t>RT @ColombiaHumana_: @petrogustavo se dirigió a representantes del auténtico liberalismo reunidos en Cali por iniciativa del senador @velas…</t>
  </si>
  <si>
    <t>RT @velascoluisf: #El25PensamosLiberal Quienes pensamos liberal vemos que esta monumental fuerza histórica de progreso no cabe en los estre…</t>
  </si>
  <si>
    <t>Adorando a un español conquistador que fue tan genocida que la misma corona española lo iba a ejecutar. Adorar el… https://t.co/f10wYXww4r</t>
  </si>
  <si>
    <t>RT @Las2Orillas: Gustavo Petro, Roy Barreras y Alexander López acompañaron en Cali la precandidatura del senador Luis Fernando Velasco que…</t>
  </si>
  <si>
    <t>RT @susanamuhamad: Es una irresponsabilidad que la administración no haya negociado cláusulas de emergencia 🚨 con los operadores debido a l…</t>
  </si>
  <si>
    <t>RT @DemocracyNowEs: "En Colombia, 1.100 líderes de movimientos de base han sido blanco de una guerra sucia de eliminación, que podemos llam…</t>
  </si>
  <si>
    <t>RT @petrogustavo: Adorando a un español conquistador que fue tan genocida que la misma corona española lo iba a ejecutar. Adorar el genoci…</t>
  </si>
  <si>
    <t>Me quieren poner la etiqueta de expropiador pero en mi alcaldía se crearon mas de 400.000 empresas y se generó el i… https://t.co/0LY7sR0mAI</t>
  </si>
  <si>
    <t>Hoy asistiré en la Corte Suprema de Justicia a la diligencia judicial de conciliación con la persona que denuncié… https://t.co/48RSJPE1Se</t>
  </si>
  <si>
    <t>Acepto la retractacción y rectificación de la senadora Maria del Rosario Guerra del Centro Democrático acerca de su… https://t.co/AnB7H5drS5</t>
  </si>
  <si>
    <t>RT @petrogustavo: Acepto la retractacción y rectificación de la senadora Maria del Rosario Guerra del Centro Democrático acerca de sus trin…</t>
  </si>
  <si>
    <t>El candidato liberal Luis Fernando Velasco dijo que quería una consulta sin vetos y pidió a la coalicion de Fajardo… https://t.co/TQ0S4bI80i</t>
  </si>
  <si>
    <t>RT @ammejiaaguado: .@petrogustavo en entrevista en @rcnradio con @YolandaRuizCe Devela lo q fue su administración en la #BogotaHumana ht…</t>
  </si>
  <si>
    <t>Estas son las dramáticas realidades que ocultó la prensa pero que muestran los hechos de uno de los gobiernos más p… https://t.co/x4kiGRhDqL</t>
  </si>
  <si>
    <t>RT @petrogustavo: El candidato liberal Luis Fernando Velasco dijo que quería una consulta sin vetos y pidió a la coalicion de Fajardo, al s…</t>
  </si>
  <si>
    <t>El éxodo humano del mundo está también en el Urabá y como dijera el papa Francisco es cuna de las nuevas esclavitud… https://t.co/3QgVKsstsN</t>
  </si>
  <si>
    <t>Barranquilla es quizas la capital con más hambre hoy. Es el producto de una politica que privilegia la especulacion… https://t.co/FlBAlocAxN</t>
  </si>
  <si>
    <t>RT @IvanCepedaCast: Bienvenida la candidata de @MovimientoMAIS y la quinta candidatura presidencial del #PactoHistórico: Elecciones 2022…</t>
  </si>
  <si>
    <t>El SITP no estuvo quebrado en mi gobierno, lo implementamos al 90% partiendo de cero, y Peñalosa por subir las tari… https://t.co/qnwXubKoXC</t>
  </si>
  <si>
    <t>RT @ColombianoInd: “Da un poco de miedito”: periodista rusa dio a conocer que Álvaro Uribe la bloqueó en Twitter https://t.co/m3BMgjrxxF</t>
  </si>
  <si>
    <t>¡No más bloqueos! #PetroNoBloquea https://t.co/K0exROE0Ec</t>
  </si>
  <si>
    <t>RT @PactoHBoyaca: Hoy somos muchos, mañana seremos millones que luchamos por un verdadero cambio social. Lanzamiento, Pacto Histórico Boya…</t>
  </si>
  <si>
    <t>Bienvenida @urianaguariyu a la consulta presidencial del Pacto Histórico, hoy hay precandidatos presidenciales de l… https://t.co/Nhxg53ATF1</t>
  </si>
  <si>
    <t>RT @DanielRMed: El salto de @AngelicaLozanoC y @JuanitaGoe hacia la campaña de Alejandro Gaviria es un cálculo electoral que revela la trai…</t>
  </si>
  <si>
    <t>RT @petrogustavo: ¡No más bloqueos! #PetroNoBloquea https://t.co/K0exROE0Ec</t>
  </si>
  <si>
    <t>RT @DanielRMed: Alejandro Gaviria @agaviriau no fue un funcionario cualquiera en el gobierno de Álvaro Uribe, tuvo un rol estratégico como…</t>
  </si>
  <si>
    <t>Un periodista la estigmatizó y el gobierno la expulsa. Expulsar un.periodista extranjero es digno de las dictadur… https://t.co/c482k2aRSf</t>
  </si>
  <si>
    <t>Invito a toda la juventud de Colombia a participar y ganar todos los Consejos municipales y locales de juventud par… https://t.co/8TrUnKK1DA</t>
  </si>
  <si>
    <t>RT @RoyBarreras: Una diferencia importante con la “centro-derecha”: Ellos justifican dispararle a los estudiantes. 👇 https://t.co/4rBh9bTbsV</t>
  </si>
  <si>
    <t>Nos quieren hacer creer que los vándalos son los jóvenes y no los corruptos. ¿Adivinen quienes quieren que usted piense así?</t>
  </si>
  <si>
    <t>Le contesto a @dignidad_col. No debe subir el impuesto de renta a las empresas no financieras y no extractivas. D… https://t.co/KqlIYhlJbM</t>
  </si>
  <si>
    <t>Se trata de una reforma tributaria que no afecte a la pequeña y mediana empresa. Duque va aumentar el impuesto a la… https://t.co/3t74SN08UR</t>
  </si>
  <si>
    <t>Hay que desestimular que se saquen recursos de las empresas para sus propietarios, hay es que aumentar la inversión.</t>
  </si>
  <si>
    <t>Para quienes siguen nuestro debate de politicas económicas para una Colombia en crisis, les presento este articulo… https://t.co/3wVHHBxSv7</t>
  </si>
  <si>
    <t>RT @petrogustavo: Le contesto a @dignidad_col. No debe subir el impuesto de renta a las empresas no financieras y no extractivas. Debe di…</t>
  </si>
  <si>
    <t>RT @CarolinaCorcho: Las fuerzas progresistas, liberales y democráticas deben condicionar a Alejandro Gaviria a una propuesta de salud y tra…</t>
  </si>
  <si>
    <t>Mientras Duque con su política quebró 600.000 empresas, en mi gobierno creamos 400.000 empresas, y dicen que el que expropia soy yo.</t>
  </si>
  <si>
    <t>RT @petrogustavo: Mientras Duque con su política quebró 600.000 empresas, en mi gobierno creamos 400.000 empresas, y dicen que el que expro…</t>
  </si>
  <si>
    <t>En épocas de crisis, la repartición de dividendos va contra la empresa privada y contra la sociedad. Por eso en Eu… https://t.co/vYhyppxZhj</t>
  </si>
  <si>
    <t>Señores revista Semana cuando.ustedes dicen "peligrosa primera línea" están llevando de la mano a los asesinos de.l… https://t.co/baAnS522fq</t>
  </si>
  <si>
    <t>RT @RoyBarreras: El insólito negacionismo de la derecha colombiana:Hasta la Revolución Francesa reducida a vulgar vandalismo. Nada les dice…</t>
  </si>
  <si>
    <t>Aurelio quiere que los ciudadanos y ciudadanas, a los que llama "barras bravas" no opinen, solo sigan y digan lo qu… https://t.co/qtRvBhQFNq</t>
  </si>
  <si>
    <t>La masacre del pueblo llanero. Cuando los llanos griten de nuevo "Libertad" cambiará Colombia. https://t.co/TWliNYBZKm</t>
  </si>
  <si>
    <t>Bogotá esta a punto de ver uno de los peores errores que se puede cometer con las finanzas públicas: pagar con recu… https://t.co/6kGaL7dLFk</t>
  </si>
  <si>
    <t>Para salvar el sistema BRT que en todo el pais está quebrado porque no es sostenible financieramente, hay que cofin… https://t.co/h410t07kL4</t>
  </si>
  <si>
    <t>No se pueden perder el domingo a las 8:00 p.m. los @InformantesTV con la @nenarrazola, estaremos @gustavopetro y… https://t.co/TqOF8Fk0js</t>
  </si>
  <si>
    <t>La reforma tributaria propuesta no solo le aumenta el impuesto de renta a la pequeña y mediana empresa y a todas la… https://t.co/gNBV9SvMxR</t>
  </si>
  <si>
    <t>RT @AndresCamiloHR: No se lo pueden perder, estará muy bueno! https://t.co/bCdj72WnoG</t>
  </si>
  <si>
    <t>RT @petrogustavo: La reforma tributaria propuesta no solo le aumenta el impuesto de renta a la pequeña y mediana empresa y a todas las empr…</t>
  </si>
  <si>
    <t>RT @petrogustavo: Bogotá esta a punto de ver uno de los peores errores que se puede cometer con las finanzas públicas: pagar con recursos d…</t>
  </si>
  <si>
    <t>RT @MMMaldonadoC: Según el proyecto de POT, las actuaciones estratégicas concretan el modelo de ocupación territorial y no hay ni una sola…</t>
  </si>
  <si>
    <t>Lo que ha sucedido en Bogotá es una catástrofe social. Todos los avances de 12 años de disminución de la pobreza se… https://t.co/nSt9SgTedZ</t>
  </si>
  <si>
    <t>Se le puede echar la culpa al covid, pero lo cierto es que en EEUU gracias a las ayudas estatales, la pobreza en lu… https://t.co/lO6tgwrdYB</t>
  </si>
  <si>
    <t>Se reemplazó las ayudas masivas a los hogares por inversiones en transmilenio, o en subsidios de liquidez a la banc… https://t.co/8hcPdlWcya</t>
  </si>
  <si>
    <t>Muy mala noticia que implica un cambio total de la política de salud y económica. Las vacunas no sirven para el vi… https://t.co/jnPo3e4jK9</t>
  </si>
  <si>
    <t>El virus no es solo un problema biológico, tiene un origen en el sistema económico y su tratamiento pasa también p… https://t.co/23WAc5gvQ0</t>
  </si>
  <si>
    <t>Ya el virus original lo demostró pero Delta nos lo estallará mortalmente en nuestra propia cara, la ley 100, la sal… https://t.co/zifCNGWbSm</t>
  </si>
  <si>
    <t>Como han salido a decirme irresponsable por mi advertencia sobre el virus Covid/Delta, les informó que quien ha dic… https://t.co/TNvQoAYT6r</t>
  </si>
  <si>
    <t>Para algunos esto es infundir terror. No. Es aterrizar, no aterrorizar, en la realidad y tomar las medidas que toca… https://t.co/XvFK3z71HE</t>
  </si>
  <si>
    <t>RT @petrogustavo: Como han salido a decirme irresponsable por mi advertencia sobre el virus Covid/Delta, les informó que quien ha dicho que…</t>
  </si>
  <si>
    <t>Transmito la información traducida del doctor Fauci. Cambia totalmente el panorama. Hay que volver al debate del mo… https://t.co/oI2Dqw7Zyd</t>
  </si>
  <si>
    <t>La irreponsable es usted que cree que podemos mejorar la salud actual de Colombia con la variante Delta ya en nuest… https://t.co/MTpXDtnKMj</t>
  </si>
  <si>
    <t>Lo dijo Fauci, el nivel de contagio para la Delta es igual para vacunados y no vacunados, se transmite más rápido,… https://t.co/so3CSIYIaS</t>
  </si>
  <si>
    <t>El calumniador. le pido a Juan José Lafaurie, y a la revista Dinero de Semana hacer retracción pública de su declar… https://t.co/MxFLUbLtPF</t>
  </si>
  <si>
    <t>¡Qué significa que las vacunas sean inocuas para detener el contagio con Covid/Delta? 1. Que solo una vacunación T… https://t.co/M41LdgdU9V</t>
  </si>
  <si>
    <t>2. que las medidas de no aglomeración en recinto cerrado deben profundizarse y no liberarse como está haciendo el a… https://t.co/RdllqWJPVV</t>
  </si>
  <si>
    <t>Agradezco que se exprese en el debate que he incentivado en el dia de hoy en esta red, pero no contesta las consecu… https://t.co/V2yYVjpjhg</t>
  </si>
  <si>
    <t>Si el virus delta se contagia mucho más rápido, la falta de vacunación en Colombia, que solo llega a la minoría de… https://t.co/2XeofAmInJ</t>
  </si>
  <si>
    <t>¿Si las vacunas son inocuas para detener el contagio, que se acelera por la variante Delta, cuales son los cambios… https://t.co/Ck4eM4puk0</t>
  </si>
  <si>
    <t>Dijeron que era fake news, que era irresponsable solo por.poner la.alerta de lo.que significará el virus covid/Delt… https://t.co/0YqGEzjLsS</t>
  </si>
  <si>
    <t>Medios como este ni siquiera leyeron las fuentes sobre las que se basaba mi trino sobre el covid/delta y su inciden… https://t.co/EFIY2YQ0WF</t>
  </si>
  <si>
    <t>Aqui les transmito.el articulo.del New York Times y la necesidsd de cambiar la estrategia frente al Covid debido al… https://t.co/Iyab3EDCHJ</t>
  </si>
  <si>
    <t>Informe de CNN vuelve a decir que las vacunas son inocuas para impedir el contagio con delta. La vacunacion total y… https://t.co/lDfS8UZKxQ</t>
  </si>
  <si>
    <t>Si Duque no acelera la vacunación y no ordena nuevas medidas de restricción de actividades con aglomeraciones en re… https://t.co/JZAFmAXE8T</t>
  </si>
  <si>
    <t>RT @petrogustavo: Informe de CNN vuelve a decir que las vacunas son inocuas para impedir el contagio con delta. La vacunacion total y rápid…</t>
  </si>
  <si>
    <t>El caos Duque lo siembra usted. La nueva investigación de la variante Delta lo que demuestra es que se debe vacuna… https://t.co/X2l18TVTvo</t>
  </si>
  <si>
    <t>Esta es la lógica que Duque no entiende 1. El delta se transmite dos veces y media más rápido que el covid origina… https://t.co/tk8YoAkYPE</t>
  </si>
  <si>
    <t>Son decenas de miles de muertos más, y si no hay cambio de la estrategia, podemos hablar de cien mil más. Como de… https://t.co/IsGqh5ATIB</t>
  </si>
  <si>
    <t>Este trino mio desligado de los demás puede llevar a engaño al lector desprevenido: las vacunas no sirven para dete… https://t.co/Pe74CS4ldV</t>
  </si>
  <si>
    <t>RT @petrogustavo: El caos Duque lo siembra usted. La nueva investigación de la variante Delta lo que demuestra es que se debe vacunar de u…</t>
  </si>
  <si>
    <t>RT @CNNEE: Un reciente estudio publicado este viernes en Nature Scientific Reports advierte: la vacunación sola es insuficiente contra las…</t>
  </si>
  <si>
    <t>Me encuentro en Popayán en reunión con los líderes sociales: indígenas, estudiantiles, campesinos, del suroccidente… https://t.co/CzI9i7MhZO</t>
  </si>
  <si>
    <t>Segunda mentira de ustedes revista semana y Duque. Jamás he dicho.que no se vacune , al contrario, he dicho que ha… https://t.co/DRNGIX2RPC</t>
  </si>
  <si>
    <t>El gobierno sacó a la fuerza del país a la única testigo del asesinato del joven Johan Sebastian Bonilla. Es un ver… https://t.co/HBAI42zQeG</t>
  </si>
  <si>
    <t>Literalmente Claudia Lopez hizo aprobar una inmensa partida de más de un billón de pesos para salvar las ganancias… https://t.co/zoooOOcg7P</t>
  </si>
  <si>
    <t>La transferencia de dineros públicos no es a cambio d rebajar tarifas en beneficio de los.usuarios, sino para garan… https://t.co/RAM1fO7cpG</t>
  </si>
  <si>
    <t>Bien pudo la alcaldesa, si iba usar recursos de deuda de la ciudad, en vez de transferirlos a un gasto corriente si… https://t.co/C8bdfxAFmK</t>
  </si>
  <si>
    <t>El cambio de la transferencia pública de dinero por porcentaje de propiedad sobre las empresas contratistas permiti… https://t.co/FUJCaW17rW</t>
  </si>
  <si>
    <t>... mientras, duermen guardados ya durante seis años, los estudios que permiten una solución real: el metro poderos… https://t.co/WywaRjfiLM</t>
  </si>
  <si>
    <t>El.proveso social del suroccidente de Colombia surgido de la minga social, decide inscribirse en el pacto históric… https://t.co/FjbyeHQmRK</t>
  </si>
  <si>
    <t>RT @CarolinaCorcho: A ver Dr @agaviriau, el derecho a la salud no va a aguantar, porque Ud durante años estipuló que las EPS podían existir…</t>
  </si>
  <si>
    <t>RT @progresistascol: ¿Cuál es la razón del negacionismo de los colombianos ante estudios irrefutables? Dejo aquí uno de los ultimos estudio…</t>
  </si>
  <si>
    <t>RT @NYTScience: An internal C.D.C. document said that the Delta variant was as transmissible as chickenpox. Here are answers to some common…</t>
  </si>
  <si>
    <t>RT @NYTScience: Vaccinated people with breakthrough infections of the Delta variant may spread the virus to others just as easily as unvacc…</t>
  </si>
  <si>
    <t>Mientras indígenas, campesinos, juventudes barriales de todo el suroccidente de Colombia nos reuníamos para configu… https://t.co/zKAw5gixQx</t>
  </si>
  <si>
    <t>En Paipa, se instalaba el comité del Pacto Histórico del departamento de Boyacá. https://t.co/TCU8zR7rdc</t>
  </si>
  <si>
    <t>RT @rquiroga777: 21683 casos y 108 fallecidos hoy en Florida. Los estados/provincias donde hay pocos vacunados (sólo 58% con al menos 1 do…</t>
  </si>
  <si>
    <t>Si la tercera dosis de vacuna se vuelve imprescindible por la variante Delta. Colombia necesita 150 millones de dos… https://t.co/paEbwtv3Al</t>
  </si>
  <si>
    <t>RT @petrogustavo: Mientras indígenas, campesinos, juventudes barriales de todo el suroccidente de Colombia nos reuníamos para configurar el…</t>
  </si>
  <si>
    <t>Debo reconocer que por fin un medio de comunicación nacional se digna reconocer la nueva realidad del virus. Falta… https://t.co/UtneFQufN0</t>
  </si>
  <si>
    <t>Sin levantar las patentes de las farmacéuticas y unir a latinoamérica para producir vacunas que cubran toda la pobl… https://t.co/TqjLJYN0h4</t>
  </si>
  <si>
    <t>RT @petrogustavo: Sin levantar las patentes de las farmacéuticas y unir a latinoamérica para producir vacunas que cubran toda la población…</t>
  </si>
  <si>
    <t>La carta de Rebecca a toda Colombia https://t.co/Uq8pW5yxJ0</t>
  </si>
  <si>
    <t>Esta es la bellaquería más grande que he visto de @ELTIEMPO. Enfrentarme con mis hijos falsamente. Tantos mis hijo… https://t.co/vRN9bAuPwF</t>
  </si>
  <si>
    <t>¿Que invito a la gente a que no se vacune? ¿Que soy antivacunas? ¡mandan cáscara! Vacunese ya y si no hay vacunas… https://t.co/0HgDCXBfKK</t>
  </si>
  <si>
    <t>RT @ISAZULETA: Con el corazón en la mano, sin poder dormir del dolor que siento después de haber visitado varios albergues y ver los rostro…</t>
  </si>
  <si>
    <t>RT @DCoronell: Felicitaciones a Yulimar Rojas @TeamRojas45 Nuevo récord olímpico en #Tokio2020 Es conmovedor cuando se ve el resultado del…</t>
  </si>
  <si>
    <t>A pesar de no llegar al podio @tripleCIbarguen será siempre una de las principales deportistas de Colombia. Un trib… https://t.co/YQmKrUyuky</t>
  </si>
  <si>
    <t>RT @juan_alies: Me da risa, se pegaron de un trino de @petrogustavo para atacarlo, un trino que luego de analizado todo es verdad, solo que…</t>
  </si>
  <si>
    <t>Hoy tendremos de nuevo los Gustavos. Esperen las columnas y el programa a las siete de la noche.</t>
  </si>
  <si>
    <t>Comparto mi columna, la cual leeremos hoy en Los Gustavos a las 7:00 p.m. por todas nuestras redes. Otra vez el Co… https://t.co/Ufi6egJNcC</t>
  </si>
  <si>
    <t>Mi artículo para el día de hoy, que analizaremos en los Gustavos a las siete de la noche. Otra vez el Covid. https://t.co/wf6ijvkpZI</t>
  </si>
  <si>
    <t>RT @petrogustavo: Comparto mi columna, la cual leeremos hoy en Los Gustavos a las 7:00 p.m. por todas nuestras redes. Otra vez el Covid ht…</t>
  </si>
  <si>
    <t>La columna de Gustavo Bolívar que comentaremos hoy a las siete de la noche Jhoan Sebastián Bonilla https://t.co/E3QqcyaNDO</t>
  </si>
  <si>
    <t>RT @GustavoBolivar: #EXCLUSIVAMUNDIAL Una grata sorpresa en #LosGustavos esta noche 7:00 PM Junto a @petrogustavo y @sergiobarbosach tend…</t>
  </si>
  <si>
    <t>¿La mentira será cosa de familia? https://t.co/JK3xyDtBLh https://t.co/jbszDXd56r</t>
  </si>
  <si>
    <t>¿Será que la mentira viene de familia? https://t.co/JK3xyDtBLh https://t.co/MRy6ISrn7H</t>
  </si>
  <si>
    <t>RT @petrogustavo: La columna de Gustavo Bolívar que comentaremos hoy a las siete de la noche Jhoan Sebastián Bonilla https://t.co/E3Qqcya…</t>
  </si>
  <si>
    <t>A las 7:00 p.m. Nos vemos en la lectura de columnas por todas nuestras redes, estaremos con @sergiobarbosach y Lind… https://t.co/S2TzCt9eBU</t>
  </si>
  <si>
    <t>#LosGustavos hoy nos acompaña @sergiobarbosach y la periodista alemana expulsada de Colombia, Linda Marlene Sprößer. https://t.co/rlfxY9XXjt</t>
  </si>
  <si>
    <t>En plena Bogotá un caso de desaparicion forzada.. La represión de la policia del gobierno de Duque ha roto todas l… https://t.co/bhQE9vy4qU</t>
  </si>
  <si>
    <t>RT @Jokeraton: ¡Despierten, estamos secuestrados! "A @petrogustavo lo demandaron por bajar el costo del transporte público a los menos fav…</t>
  </si>
  <si>
    <t>RT @camilaporlavida: Cuánta agresividad de la senadora por un llamado de una concejal a estudiar la variable delta, después de que su espo…</t>
  </si>
  <si>
    <t>RT @EDGARPAPAMIJA: Defender terratenientes porque tienen ganadería extensiva,es desviar el debate de una reforma agraria orientada hacia un…</t>
  </si>
  <si>
    <t>Lo asesinaron, querian asesinarla, no les robaron nada, la expulsaron del.pais siendo testigo del caso, borraron la… https://t.co/lDP4YQhpew</t>
  </si>
  <si>
    <t>RT @EFEnoticias: El cubano Mijaín López logró en los Juegos de Tokio su cuarto oro olímpico consecutivo en lucha grecorromana, un récord en…</t>
  </si>
  <si>
    <t>RT @TeamRojas45: ¡Momentos inolvidables con los colores de mi bandera 🇻🇪! 🥇 y WR 1️⃣5️⃣. 6️⃣7️⃣ #JuegosOlimpicos https://t.co/dLX9mTPWVb</t>
  </si>
  <si>
    <t>RT @CELAGeopolitica: 💉| El tablero geopolítico ha estado marcado por la producción y distribución de vacunas. Un dato alarmante es que en l…</t>
  </si>
  <si>
    <t>RT @suarezvacca: En este país anticomunista, capitalista salvaje, el Estado es el que salva a los bancos privados, a Avianca y ahora al pri…</t>
  </si>
  <si>
    <t>RT @petrogustavo: En plena Bogotá un caso de desaparicion forzada.. La represión de la policia del gobierno de Duque ha roto todas las bar…</t>
  </si>
  <si>
    <t>El 75% de lo que se ha recuperado de empleo lo ha hecho la pequeña empresa de Colombia pero es ahi donde Duque pien… https://t.co/HbeSrabQHp</t>
  </si>
  <si>
    <t>Solo si se protege la agricultura y se construye una política industrial aumentará sustancialmente el empleo en el… https://t.co/C6V2NmFhrT</t>
  </si>
  <si>
    <t>Amigos y amigas de nuevo.les repito. Salga a vacunarse ya, agote las vacunas que hay. La politica anticovid del g… https://t.co/MCKhpA0dql</t>
  </si>
  <si>
    <t>Si la procuraduria suspende al alcalde de Cali, o a cualquier servidor de elección popular, simplemente se pasaron… https://t.co/prYPyQybNC</t>
  </si>
  <si>
    <t>RT @petrogustavo: Amigos y amigas de nuevo.les repito. Salga a vacunarse ya, agote las vacunas que hay. La politica anticovid del gibiern…</t>
  </si>
  <si>
    <t>De que sirve tener una economía sana si estas muerto. Así Paul Krugman, uno de los mejores economistas del mundo, c… https://t.co/54tXR27hH4</t>
  </si>
  <si>
    <t>RT @OverDoradoC: 7. A propósito de lo que plantea @petrogustavo con razones de peso: Epidemiólogo principal de EE.UU. advierte que el país…</t>
  </si>
  <si>
    <t>RT @CuartoDeHoraCol: El Instituto de Estudios para el Desarrollo y la Paz (@Indepaz) reportó una masacre que dejó tres personas muertas, en…</t>
  </si>
  <si>
    <t>En mi gobierno no se permitirá la construcción con asbesto. Reemplazaremos con un modelo financiero que estimula la… https://t.co/Yjv5tfizLE</t>
  </si>
  <si>
    <t>RT @Mafalda_2020_: Escuchar a Rebecca Sprößer con los ojos secos sería realmente algo titánico. Si alguno de ustedes es de los que estigmat…</t>
  </si>
  <si>
    <t>Le propongo a Maria Fernanda que hagamos rugir los tractores en el campo y no los fusiles.</t>
  </si>
  <si>
    <t>RT @petrogustavo: El 75% de lo que se ha recuperado de empleo lo ha hecho la pequeña empresa de Colombia pero es ahi donde Duque piensa ele…</t>
  </si>
  <si>
    <t>RT @petrogustavo: Le propongo a Maria Fernanda que hagamos rugir los tractores en el campo y no los fusiles.</t>
  </si>
  <si>
    <t>RT @sofia_petro: No. Estaba apoyando su tweet en el que rectificó lo que dijo, porque considero fundamental enviar el mensaje a favor de la…</t>
  </si>
  <si>
    <t>Que barbaridad. Por lo menos lo reconocen. https://t.co/G62Aa3wDnc</t>
  </si>
  <si>
    <t>¿Por qué si ya no hay bloqueos, se cae el peso colombiano? Con la caída del peso somos más pobres y se cae porque… https://t.co/2Tii9cW11E</t>
  </si>
  <si>
    <t>Solicité al gobierno derogar la reforma tributaria del 2019 para mejorar las finanzas públicas y decidió fue subirl… https://t.co/mSa7VQxkGk</t>
  </si>
  <si>
    <t>Tal como lo hemos pregonado Colombia necesita verdaderos cambios y no cambios de maquillaje Debemos pasar a una e… https://t.co/6BnSkCvxYu</t>
  </si>
  <si>
    <t>Si queremos más empleo, el estado debe garantizarlo, bajando impuestos a la empresa productiva y subiéndolos a patr… https://t.co/f1dE1JhjbT</t>
  </si>
  <si>
    <t>Los programas de empleo garantizado son contrataciones masivas de personas para funciones hoy esenciales. La salud… https://t.co/bTsFunVnZm</t>
  </si>
  <si>
    <t>Debemos transitar hacia modelos de educación, salud y pensiones que garanticen los derechos de la gente y no las ut… https://t.co/J72T08HHkb</t>
  </si>
  <si>
    <t>Mantener lanley 100 de mercantilizacion de la salud como ya la sociedad lo ha comprobado dramáticamente con más de… https://t.co/UNgjLvHlrV</t>
  </si>
  <si>
    <t>La gente quentrabaja hoy y cotiza a fondos privados de pensión manejados por los dos banqueros más grandes no obten… https://t.co/zgrv5koeTK</t>
  </si>
  <si>
    <t>Si el que cotiza paga con su dinero la pensión de otro a través del fondo pensional del país, se garantiza la pensi… https://t.co/j9hyl6CvYE</t>
  </si>
  <si>
    <t>Y no fue esta prensa la que me agredió porque dije exactamente que la variante Delta debía hacer cambiar de urgenci… https://t.co/QEllZa0SaR</t>
  </si>
  <si>
    <t>Todo va a empeorar por culpa que no hay vacunas. Que se concentraron en los países más ricos. Porque al mantener la… https://t.co/tS38yKHUL2</t>
  </si>
  <si>
    <t>Solo se han produvido 1.700 millones de dosis en el mundo para una necesidad de 14.000 millones, y de esas 1.700 mi… https://t.co/xbEdKViiHn</t>
  </si>
  <si>
    <t>Pero para un sector de la sociedad y de los medios que prefiere mejo política del avestruz y crucificar al mensajero.</t>
  </si>
  <si>
    <t>RT @AngelicaVerbelL: En 2018 muchos artistas decían @IvanDuque “salve el país y la patria”. Ahora quieren poner a @agaviriau como lo hicier…</t>
  </si>
  <si>
    <t>RT @petrogustavo: ¿Por qué si ya no hay bloqueos, se cae el peso colombiano? Con la caída del peso somos más pobres y se cae porque se sus…</t>
  </si>
  <si>
    <t>De inmediato hay que exigir pruebas PCR a los viajeros que ingresan. El gobierno no.puede estimular la entrada de… https://t.co/kMPPYJu6ac</t>
  </si>
  <si>
    <t>Segunda dosis. Vacúnese ya. La Delta ya llegó al país. https://t.co/xuUPyRFdid</t>
  </si>
  <si>
    <t>Las vacunas no son efectivas para detener el virus variante Delta pero sí la enfermedad grave y la muerte. El virus… https://t.co/HgjqlHVlTQ</t>
  </si>
  <si>
    <t>RT @petrogustavo: Segunda dosis. Vacúnese ya. La Delta ya llegó al país. https://t.co/xuUPyRFdid</t>
  </si>
  <si>
    <t>Aquí otra vez revista semana expresa varias mentiras. 1. Visite a Alejandro Gaviria en abril. No le propuse ningun… https://t.co/PEaccLuak9</t>
  </si>
  <si>
    <t>2. No existe el petrismo. Colombia Humana no se ha expresado alrededor de una posible campaña de Alejandro Gaviria… https://t.co/TsaeBZZYQd</t>
  </si>
  <si>
    <t>Por tanto un dialogo entre el liberalismo y el progresismo, como le propuse al doctor Gaviria, tanto a Alejandro co… https://t.co/PrQcnqecyJ</t>
  </si>
  <si>
    <t>RT @DanielRMed: O sea, @AngelicaLozanoC ya tenía lista la jugadita, demuestra que es capaz de validar la trampa del uribismo con tal de atr…</t>
  </si>
  <si>
    <t>RT @elnuevoherald: La Habana vacuna a gran parte de su población, en momento crítico por covid https://t.co/JcYcbothhJ</t>
  </si>
  <si>
    <t>RT @EpicuroDeSamos_: Procedo a hacer un hilo sobre la campaña sucia en redes sobre @petrogustavo, desmontando uno a uno los mitos que el Es…</t>
  </si>
  <si>
    <t>Solo haga el porcentaje respecto al total de población mundial. 7.600 millones y le dará un.porcentaje tan elevado… https://t.co/R6p6pmhTmy</t>
  </si>
  <si>
    <t>RT @petrogustavo: Aquí otra vez revista semana expresa varias mentiras. 1. Visite a Alejandro Gaviria en abril. No le propuse ninguna cand…</t>
  </si>
  <si>
    <t>RT @Akustronique: Desde antes de las cuarentenas, Cartagena era la ciudad con el menor porcentaje de hogares que comían 3 veces al día (67.…</t>
  </si>
  <si>
    <t>Si algo logró la movilización social de estos meses fue la.unidad de la juventud. Las barras de futbol contribuyero… https://t.co/xLIOy6foJj</t>
  </si>
  <si>
    <t>Este cuadro de @Akustronique es un verdadero medidor de la calidad de la politica social de los alcaldes durante el… https://t.co/kQr6rcRO4n</t>
  </si>
  <si>
    <t>Si lo que se necesita es el apoyo de Duque para que Maria Angela Holguín sea una dirigente destacada de una asociac… https://t.co/scdgz4W93a</t>
  </si>
  <si>
    <t>RT @petrogustavo: Este cuadro de @Akustronique es un verdadero medidor de la calidad de la politica social de los alcaldes durante el covid…</t>
  </si>
  <si>
    <t>RT @petrogustavo: Si algo logró la movilización social de estos meses fue la.unidad de la juventud. Las barras de futbol contribuyeron a el…</t>
  </si>
  <si>
    <t>La tercera dosis que se vuelve necesaria por la reducción de efectividad de las vacunas ante el Delta, que es peque… https://t.co/G1xNyHIgGi</t>
  </si>
  <si>
    <t>RT @RoyBarreras: Que doloroso ver como compatriotas actúan como fieras primitivas en manada agresora contra otro ser humano.En Colombia,nue…</t>
  </si>
  <si>
    <t>RT @CarolinaCorcho: Nuestras críticas al Dr A. Gaviria, no provienen del "Petrismo", cómo lo quieren presentar. Son resultado de una profun…</t>
  </si>
  <si>
    <t>El uribismo quiere desatar el golpe de estado sobre los mandatarios locales que no le son afines y amedrentarlos. https://t.co/EGBaqYGpYO</t>
  </si>
  <si>
    <t>Este triunfo histórico de Anthony Zambrano (primer colombiano hombre en estar en el podio olímpico de los 400 metro… https://t.co/XtVDjSsgz6</t>
  </si>
  <si>
    <t>El pacto Histórico decide ir en lista cerrada para garantizar que la mitad de las curules que usted elija sean muje… https://t.co/y0QRdFc6lL</t>
  </si>
  <si>
    <t>RT @ColombiaHumana_: Invitados esta noche a las 8:00 p.m. en Twitter para aclarar dudas sobre la #ListaCerrada en el #PactoHistórico. Entre…</t>
  </si>
  <si>
    <t>Invitados todos y todas a este space en el que se aclararán dudas sobre por qué se tomó la decisión de optar por un… https://t.co/JUVtcPwNOI</t>
  </si>
  <si>
    <t>Felicitaciones Lorena. Adelante. @lorenaarenas22 https://t.co/9OIaXiSHrS</t>
  </si>
  <si>
    <t>RT @RepMcGovern: Me reuní con @RollingStoneCol para conversar sobre qué puedo hacer siendo co-presidente de @TLHumanRights y presidente de…</t>
  </si>
  <si>
    <t>Asesinado el taita Miguel en el Putumayo. El gobierno de Duque no tiene una estrategia para frenar el desangre. Al… https://t.co/bwKpYqpSVY</t>
  </si>
  <si>
    <t>RT @LadoBCol: ⚠️#ATENCIÓN | Archivan denuncia contra @HOLLMANMORRIS por supuesto acoso sexual https://t.co/NXfXqYZjIV</t>
  </si>
  <si>
    <t>A Colombia.le proponemos un Pacto, el pacto para cambiar el Congreso de la República y quitarselo de las garras de… https://t.co/HbvJAJGV3o</t>
  </si>
  <si>
    <t>Ahora viene la etapa de postulación de candidaturas al senado y la Camara, de organizaciones indígenas, afros y soc… https://t.co/0Jek9JrMSk</t>
  </si>
  <si>
    <t>La lista al ser cerrado hará que la mitad de las curules elegidas sean efectivamente de mujeres, es un paso históri… https://t.co/TprVMMLOE2</t>
  </si>
  <si>
    <t>La lista cerrada que implica que usted votará por un proyecto de cambio colectivo y no por una persona en particula… https://t.co/jnQ2mOFLi4</t>
  </si>
  <si>
    <t>El Pacto que proponemos es un Pacto por el Cambio real, por la Paz, por una democracia plena. Las leyes deben hacer… https://t.co/BNRSuEzQYD</t>
  </si>
  <si>
    <t>https://t.co/HpCVhkdNxf</t>
  </si>
  <si>
    <t>¡Felices 483 años, Bogotá! La capital que resiste y sigue soñando con el cambio: la #BogotáHumana. https://t.co/qx84G40cnF</t>
  </si>
  <si>
    <t>RT @petrogustavo: A Colombia.le proponemos un Pacto, el pacto para cambiar el Congreso de la República y quitarselo de las garras de la cor…</t>
  </si>
  <si>
    <t>RT @charry_manager: Los invito a recordar el maravilloso discurso de @petrogustavo en el Pantano de Vargas hoy 7 de agosto... #BatallaDeBo…</t>
  </si>
  <si>
    <t>Muertos y mas muertos de jóvenes en manos del gobierno. Solo basta abrir las puertas de un dialogo que seria muy c… https://t.co/dBY9ug3tXt</t>
  </si>
  <si>
    <t>Les presento la columna de Gustavo Bolívar que comentaremos hoy a las siete de la noche El puesto 20 de la.lista. https://t.co/VXsdgy0Srd</t>
  </si>
  <si>
    <t>Les presento mi última columna para "Los Gustavos" que comentaremos hoy a las siete de la noche. Viejo y Nuevo lib… https://t.co/StgyonBYMN</t>
  </si>
  <si>
    <t>RT @petrogustavo: Les presento mi última columna para "Los Gustavos" que comentaremos hoy a las siete de la noche. Viejo y Nuevo libetalis…</t>
  </si>
  <si>
    <t>RT @SusanaBoreal: Un espacio para que conversemos todos y nos conozcamos. Hoy hablaremos de nuestra experiencia en Ituango acompañando a la…</t>
  </si>
  <si>
    <t>#LosGustavos hoy nos acompaña el abogado Miguel Ángel del Río. https://t.co/oFoBGOY5uT</t>
  </si>
  <si>
    <t>El enorme Congreso del Consejo Regional Indígena del Cauca.,CRIC. Por primera vez, en mediio siglo, pernite que un… https://t.co/W9iegRbqUy</t>
  </si>
  <si>
    <t>El Cauca indígena hacia el Pacto Histórico. Mosoco, Cauca. https://t.co/12uLGQsRgi</t>
  </si>
  <si>
    <t>En este mismo lugar, Mosoco en el Páramo de las Moras estuve cuando tenia 28 años. Caminé 13 días, me perdi y perno… https://t.co/Dx4rRzahDb</t>
  </si>
  <si>
    <t>Hoy el movimiento indígena es el espíritu ético de una Colombia diferente. Convoco a la inmensa diversidad de Colom… https://t.co/iD3feUHY8g</t>
  </si>
  <si>
    <t>Ha muerto el taita Martin Tengana Narvaez, por el covid. Era dirigente del.movimiento de autoridades indígenas, Aic… https://t.co/zMhjtl43iC</t>
  </si>
  <si>
    <t>Si Avianca quiebra hay que ayudarla, si Bolívar quiebra hay que criminalizarlo. Triste lógica de la prensa. Siendo… https://t.co/lVGjs0YG7z</t>
  </si>
  <si>
    <t>El ataque de Caudia contra Bolívar es electoral y trapero. Bolívar no le quita los ojos a los jóvenes. No destruye… https://t.co/dywekABLH7</t>
  </si>
  <si>
    <t>Se eligió con el programa de la Bogotá Humana y gobernó con el programa de Peñalosa https://t.co/kWvV3nskzJ</t>
  </si>
  <si>
    <t>¿Por que si no hay bloqueos se cae el peso colombiano? Porque lo que esta bloqueado es un sistema económico raquít… https://t.co/Qy7NqdU2F4</t>
  </si>
  <si>
    <t>Los ataques a Bolívar no son sino la respuesta a que es el el verdadero segundo vicepresidente del senado y que no… https://t.co/xiFwT1ix04</t>
  </si>
  <si>
    <t>RT @petrogustavo: Se eligió con el programa de la Bogotá Humana y gobernó con el programa de Peñalosa</t>
  </si>
  <si>
    <t>Clqudia no nos asignes la violencia que tu misma desatas por destruir el humedal de Tibabuyes, nosotros estamos aqu… https://t.co/6kZa0fS1ee</t>
  </si>
  <si>
    <t>RT @PizarroMariaJo: 1. Conmigo no cuenten para esa política de trampas rastreras, jamás para destruir o atacar a los compañeros como @Gusta…</t>
  </si>
  <si>
    <t>Un Estado al cual entran a trabajar en él, jóvenes comunes e inocentes y salen convertidos en mercenarios, asesinos… https://t.co/M8hidiQeea</t>
  </si>
  <si>
    <t>RT @Tercer_Canal: 🚨 URGENTE / Video grabado por manifestantes en #Suba daría cuenta que sería ESMAD el que incendió el bus en el Humedal Ti…</t>
  </si>
  <si>
    <t>RT @heidy_up: La comunidad de #Suba realiza grave denuncia en torno a lo ocurrido el día de ayer. Señalan que, presuntamente, quien habría…</t>
  </si>
  <si>
    <t>La fiscalía de Uribe dice que Uribe no cometió delito. https://t.co/1AVqKVENhR</t>
  </si>
  <si>
    <t>RT @anateresabernal: La alcaldesa @ClaudiaLopez nuevamente señala de manera irresponsable y calumniosa a Colombia Humana Además de incumpl…</t>
  </si>
  <si>
    <t>Entonces resulta que el bus no lo quemó el "petrismo" como calumnio la alcaldesa, sino la propia fuerza armada de l… https://t.co/bVLvL47O86</t>
  </si>
  <si>
    <t>A esto es que los convoco. A esto, y no a otra cosa (que no los confundan). Yo no incito a la violencia como muchos… https://t.co/HwuDDiih9B</t>
  </si>
  <si>
    <t>Twitter Media Studio</t>
  </si>
  <si>
    <t>En este video se demuestra contundentemente el nivel de calumnia a la que ha llegado la alcaldesa @ClaudiaLopez Pi… https://t.co/Zpey4VM0Mh</t>
  </si>
  <si>
    <t>Siempre que hablo al pueblo en multitud, hablo desde mi corazón, permito que fluyan las energías en libertad transf… https://t.co/OBI9JoIId1</t>
  </si>
  <si>
    <t>RT @petrogustavo: A esto es que los convoco. A esto, y no a otra cosa (que no los confundan). Yo no incito a la violencia como muchos difam…</t>
  </si>
  <si>
    <t>Estos son los contratistas que se quedaron con 70.000 millones de pesos del ministerio de telecomunicaciones y deja… https://t.co/rnw0hUVI81</t>
  </si>
  <si>
    <t>Para que estos contratistas lograran un contrato de un billón sin tener la mas mínima experiencia en infraestructur… https://t.co/iiQ4s6MJ8Q</t>
  </si>
  <si>
    <t>La seguridad privada, la sobrexplotación de vigilantes, la división social en ejercito y policía, los mercenarios,… https://t.co/hwH03pqe06</t>
  </si>
  <si>
    <t>La seguridad privada, la sobrexplotación de vigilantes, la división social en ejercito y policía, los mercenarios,… https://t.co/C8Gt9ZgWBA</t>
  </si>
  <si>
    <t>La seguridad privada, la sobrexplotación de vigilantes, la división social en ejercito y policía, los mercenarios,… https://t.co/OEuVde7cRa</t>
  </si>
  <si>
    <t>RT @petrogustavo: La seguridad privada, la sobrexplotación de vigilantes, la división social en ejercito y policía, los mercenarios, el nar…</t>
  </si>
  <si>
    <t>Mañana a las 7:00 a.m. estaré en entrevista con Gustavo Gómez en 6AM Hoy x Hoy de @CaracolRadio. #PetroEnCaracol https://t.co/TmRbz8Op0f</t>
  </si>
  <si>
    <t>El discurso completo de Mosoco, Cauca. parte I https://t.co/Rbwn0He6FG</t>
  </si>
  <si>
    <t>El discurso completo de Mosoco, Cauca. Por un gobierno del agua y de la vida. parte II https://t.co/JeVel5QBSr</t>
  </si>
  <si>
    <t>El discurso completo de Mosoco, Cauca. Por un gobierno del agua y de la vida. parte III https://t.co/ze3kltWxcT</t>
  </si>
  <si>
    <t>El discurso completo de Mosoco, Cauca. Por un gobierno del agua y de la vida. parte IV https://t.co/xl2j6hoDQm</t>
  </si>
  <si>
    <t>El discurso completo de Mosoco, Cauca. Por un gobierno del agua y de la vida. parte V https://t.co/JB5BsY3NgY</t>
  </si>
  <si>
    <t>RT @petrogustavo: El discurso completo de Mosoco, Cauca. Por un gobierno del agua y de la vida. parte IV https://t.co/xl2j6hoDQm</t>
  </si>
  <si>
    <t>RT @petrogustavo: El discurso completo de Mosoco, Cauca. Por un gobierno del agua y de la vida. parte III https://t.co/ze3kltWxcT</t>
  </si>
  <si>
    <t>RT @petrogustavo: El discurso completo de Mosoco, Cauca. Por un gobierno del agua y de la vida. parte II https://t.co/JeVel5QBSr</t>
  </si>
  <si>
    <t>RT @petrogustavo: El discurso completo de Mosoco, Cauca. parte I https://t.co/Rbwn0He6FG</t>
  </si>
  <si>
    <t>En minutos estaré en entrevista con Gustavo Gómez por @CaracolRadio.</t>
  </si>
  <si>
    <t>RT @fdementiras: Recuerdan al tipo que le pegó a dos mujeres por pedir que le bajara el volumen a su fiesta en Barranquilla? Es uno de los…</t>
  </si>
  <si>
    <t>RT @HOLLMANMORRIS: Acabo de radicarle a la alcaldesa @ClaudiaLopez esta solicitud de retractación. Con sus declaraciones viola el derecho…</t>
  </si>
  <si>
    <t>Comparto con ustedes mi entrevista en Caracol Radio. https://t.co/9RH6pzZr80</t>
  </si>
  <si>
    <t>RT @petrogustavo: El discurso completo de Mosoco, Cauca. Por un gobierno del agua y de la vida. parte V https://t.co/JB5BsY3NgY</t>
  </si>
  <si>
    <t>RT @petrogustavo: Comparto con ustedes mi entrevista en Caracol Radio. https://t.co/9RH6pzZr80</t>
  </si>
  <si>
    <t>A partir de hoy, y todos los jueves a las 8:00 p.m., estaré hablando de temas de interés en Twitter Spaces con invi… https://t.co/qjTvIDd0TW</t>
  </si>
  <si>
    <t>RT @susanamuhamad: A @iEpaOficial se le arruina la vida, la juventud popular debe pagar hasta el final, mientras la corrupción pulula en la…</t>
  </si>
  <si>
    <t>Pobre y mujer, esos son los motivos que llevan a una estrafalaria condena a @EpaOficial_ . Mientras poderosos corru… https://t.co/qhJb0MVhFn</t>
  </si>
  <si>
    <t>RT @petrogustavo: A partir de hoy, y todos los jueves a las 8:00 p.m., estaré hablando de temas de interés en Twitter Spaces con invitados…</t>
  </si>
  <si>
    <t>RT @ColombiaHumana_: Entren. Invitados todas y todos. https://t.co/QWxMSkC9Ua</t>
  </si>
  <si>
    <t>Estamos al aire. Las y los invito a mi Space. Hoy sobre desastre climático. #PetroAlAire https://t.co/aEgYp3cfnJ</t>
  </si>
  <si>
    <t>RT @ColombiaHumana_: Se nos cayó la sala por la cantidad de gente conectada. Nuevo link. 👇👇👇 https://t.co/aFPYfDJEsg</t>
  </si>
  <si>
    <t>El gobierno del Pacto Histórico será el que enfrente de verdad el desastre climático en Colombia https://t.co/J6jRbQEDFk</t>
  </si>
  <si>
    <t>En todos los escenarios con Fajardo, con Gaviria, con el que ponga Uribe, según la encuesta Invamer, ganamos la Pre… https://t.co/PCl3NLqGbw</t>
  </si>
  <si>
    <t>José Luis Bohorquez es nuestro candidato a la alcaldía de Duitama. Esperamos el.apoyo de toda la ciudadanía de Duit… https://t.co/uL5twTkGXT</t>
  </si>
  <si>
    <t>RT @petrogustavo: En todos los escenarios con Fajardo, con Gaviria, con el que ponga Uribe, según la encuesta Invamer, ganamos la Presidenc…</t>
  </si>
  <si>
    <t>Dice esto el que por sus políticas estatales quebró 600.000 empresas y ahora propone aunentarle el impuesto de rent… https://t.co/cqX1KHjZVY</t>
  </si>
  <si>
    <t>RT @jerojasrodrigue: Agredieron y golpearon a los jóvenes, dispararon gases desde las tanquetas Venom contra los conjuntos residenciales, a…</t>
  </si>
  <si>
    <t>RT @petrogustavo: Dice esto el que por sus políticas estatales quebró 600.000 empresas y ahora propone aunentarle el impuesto de renta a la…</t>
  </si>
  <si>
    <t>https://t.co/gZkffo5P1A https://t.co/yq1VmglYyo</t>
  </si>
  <si>
    <t>No hay otra manera de parar la extinción de la vida en el planeta con el desastre climático que la separación de la… https://t.co/qewoLUodCq</t>
  </si>
  <si>
    <t>Invito todos los jóvenes caleños a que se unan hoy, 14 de agosto, a este #PactoHistórico que le proponemos al país,… https://t.co/ir7CCGuOe5</t>
  </si>
  <si>
    <t>Los invito a conectarse a la rueda de prensa desde Cali. #PetroEnCali https://t.co/FpjUKQ8BwB</t>
  </si>
  <si>
    <t>Semana muy movida. Aquí les dejo mis opiniones personales sobre los asuntos más relevantes que ocurrieron en Colomb… https://t.co/Mmn4V2a7Xu</t>
  </si>
  <si>
    <t>RT @petrogustavo: Semana muy movida. Aquí les dejo mis opiniones personales sobre los asuntos más relevantes que ocurrieron en Colombia en…</t>
  </si>
  <si>
    <t>En Cali, en el.lanzamiento del gran Pacto Histórico de las Juventudes. Le proponemos a Cali un gran pacto social p… https://t.co/UEkGxEW95Y</t>
  </si>
  <si>
    <t>Este es mi resumen de opiniones sobre los hechos de la semana. #PetroOpina https://t.co/r79SRlbJ57</t>
  </si>
  <si>
    <t>RT @petrogustavo: En Cali, en el.lanzamiento del gran Pacto Histórico de las Juventudes. Le proponemos a Cali un gran pacto social para ca…</t>
  </si>
  <si>
    <t>RT @GabrielaPossoR: @petrogustavo Cali apoya a Gustavo Petro❤️ https://t.co/9OKKoNp02A</t>
  </si>
  <si>
    <t>RT @petrogustavo: Este es mi resumen de opiniones sobre los hechos de la semana. #PetroOpina https://t.co/r79SRlbJ57</t>
  </si>
  <si>
    <t>RT @alexbernalradio: Hermoso La música no miente https://t.co/Pa1Ren6ytz</t>
  </si>
  <si>
    <t>Desde Colombia debo decir que este ataque a la prensa, cualquiera que sea su color en Nicaragua, no se puede llamar… https://t.co/vHTexP7Pds</t>
  </si>
  <si>
    <t>Invito al Centro Democrático en el Congreso de la República a tomar la iniciativa de la moción de censura a la min… https://t.co/ORgpKl9Ssp</t>
  </si>
  <si>
    <t>La imputación que hace la fiscalía contra el general Montoya es ilegal. Busca destruir la Justicia Epecial para la… https://t.co/h2roKDJ8Gd</t>
  </si>
  <si>
    <t>Viene un conservatismo extremo para Afganistán. Pero una cosa es hoy clara, lo único que cambia la historia de un p… https://t.co/SRl19rtgW3</t>
  </si>
  <si>
    <t>Ha sido @EpaOficial_ condenada por un juez que decidió volver doctrina jurídica la ideología de Uribe Ella y los… https://t.co/Ul8yb2NlqR</t>
  </si>
  <si>
    <t>Fiscal Barbosa instruyó a sus fiscales a transformar el delito de asonada que se cometió bajo la protesta social en… https://t.co/l7mP80vBac</t>
  </si>
  <si>
    <t>Claro que somos de centro. Hacemos de la vida el centro de la política. https://t.co/rAdlkePngC</t>
  </si>
  <si>
    <t>Este fue el lugar de mis paseos de adolescente como estudiante de Zipaquirá. Se de su hermosura. Aquí sale el agua… https://t.co/oyqo83oqwM</t>
  </si>
  <si>
    <t>Que triste que estos debates en el Congreso de Colombia solo salgan en la prensa extranjera. A tal punto la censur… https://t.co/CbYJ6btpoR</t>
  </si>
  <si>
    <t>RT @JeSuisEspe_: ⚠️ Imágenes sensibles. Al menos cinco civiles afganos han sido asesinados por los soldados USA en el aeropuerto de Kabul.…</t>
  </si>
  <si>
    <t>RT @JeSuisEspe_: Soldados del Ejército USA disparan desde helicópteros para dispersar a los civiles afganos que bloquean las pistas del aer…</t>
  </si>
  <si>
    <t>El taliban hace parte de una constelación de fuerzas ultraconservadoras, que se oponen a la libertad e igualdad de… https://t.co/ILI581UmIC</t>
  </si>
  <si>
    <t>Sin embargo, solo el mismo pueblo afgano es el dueño de su historia. Todo intento de forzar a las sociedades con in… https://t.co/yROUACmW6y</t>
  </si>
  <si>
    <t>El gran error de Duque y de la.junta del Banco de la República es que se le olvidó Keynes en época de crisis. Queb… https://t.co/k27JqEirJF</t>
  </si>
  <si>
    <t>¿Cómo construir un pacto social en Cali? mis palabras ante la juventud caleña diversa, que ansia llenar las necesid… https://t.co/VTVWYCpHjz</t>
  </si>
  <si>
    <t>RT @petrogustavo: ¿Cómo construir un pacto social en Cali? mis palabras ante la juventud caleña diversa, que ansia llenar las necesidades d…</t>
  </si>
  <si>
    <t>En el corazon de la comuna 13, caminando para vencer los miedos, en las calles para caminar la esperanza. Medellín. https://t.co/8u0qqXNKdi</t>
  </si>
  <si>
    <t>Respete a los soldados de Colombia señor Uribe. https://t.co/GMx10e7eEx</t>
  </si>
  <si>
    <t>No.pueden iniciar las verdaderas obras del.metro.sin l.os.estudios de ingeniería de detalle. Y esta es la hota que… https://t.co/lOnLW77caD</t>
  </si>
  <si>
    <t>RT @Siempre_Lynx: Y ahora un poema ❤️ Medellín ya no es de Uribe, es de Petro. #PetroPresidente2022 https://t.co/zM46OM0JIZ</t>
  </si>
  <si>
    <t>RT @cancinodiegoa: Cuando denuncié que el Portal Américas fue usado como centro de detenciones me dijeron mentiroso, luego aceptaron que er…</t>
  </si>
  <si>
    <t>Mañana se.realiza la huelga general contra Bolsonaro en Brasil. La irracionalidad de los gobiernos es enfrentada po… https://t.co/1zz49qZlwg</t>
  </si>
  <si>
    <t>Estoy de acuerdo con una amnistía general en Colombia. El perdón social e histórico es una momento casi irrepetible… https://t.co/6fbLfHHrFv</t>
  </si>
  <si>
    <t>RT @ismene2: Ve, sonrisas que alegran el alma. Sonrisas cargadas de futuro. #Mujeres. @petrogustavo , @SusanaBoreal , @ISAZULETA https://t.…</t>
  </si>
  <si>
    <t>RT @petrogustavo: Estoy de acuerdo con una amnistía general en Colombia. El perdón social e histórico es una momento casi irrepetible pero…</t>
  </si>
  <si>
    <t>Con @SusanaBoreal y @ISAZULETA , le pedimos a Antioquia a votar por el arte, el agua, la Vida. No más votos a mafio… https://t.co/Yx8xbKSe8o</t>
  </si>
  <si>
    <t>RT @SusanaBoreal: Ayer decidí poner mi nombre a disposición de ustedes, de las personas que creen en un cambio. Por eso confirmo mi postula…</t>
  </si>
  <si>
    <t>RT @petrogustavo: Con @SusanaBoreal y @ISAZULETA , le pedimos a Antioquia a votar por el arte, el agua, la Vida. No más votos a mafiosos de…</t>
  </si>
  <si>
    <t>Se abren las postulaciones a toda la ciudadanía para candidaturas a senado y cámaras del Pacto Histórico. Que el pu… https://t.co/Xn7ow5Q0Py</t>
  </si>
  <si>
    <t>Una Medellín que cambie a Colombia. con juventud. flores. con arte y conocimiento, con agua y vida. https://t.co/7hTG6OfPeF</t>
  </si>
  <si>
    <t>Continua el manto de la muerte cubriendo el departamento del Cauca en su gente mas sagrada: su juventud. Estos son… https://t.co/78ESnO108R</t>
  </si>
  <si>
    <t>Cuando decidimos listas cerradas para el Pacto, no nos equivocamos, miren la proporción de mujeres que hacen leyes… https://t.co/opfSWitecW</t>
  </si>
  <si>
    <t>Se configura "Tierra y Vida" organización campesina que busca la restitución de tierras en el Urabá. https://t.co/MCvavON4bO</t>
  </si>
  <si>
    <t>RT @petrogustavo: Cuando decidimos listas cerradas para el Pacto, no nos equivocamos, miren la proporción de mujeres que hacen leyes entre…</t>
  </si>
  <si>
    <t>RT @colombia_hist: El gobierno de Julio César Turbay Ayala y su estatuto de seguridad señaló y acusó a Gabriel García Márquez de financiar…</t>
  </si>
  <si>
    <t>Los.soldados engañaron a Uribe. Los mercenarios engañaron al gobierno. Los contratistas de mintic engañaron a Abund… https://t.co/VvVtpXBnJU</t>
  </si>
  <si>
    <t>Como política de adaptación al desastre climático, Bogotá Humana logro reubicar 5.000 familias que vivían en alto r… https://t.co/5DEg2eSNr7</t>
  </si>
  <si>
    <t>Colombia es el noveno país del mundo en número de muertos por covid. No crean que nuestro sistema de salud fue capa… https://t.co/rVzfgESmhi</t>
  </si>
  <si>
    <t>RT @CABLEPOLOMBIA: Alguien me puede explicar ¿Por qué YottaHijueputas Uribistas y tibios están alborotados conmigo?porque coloque estás 2 i…</t>
  </si>
  <si>
    <t>RT @olmedolopezm: Gran afecto por jóvenes q en 2018 nos acompañaron a recorrer #Antioquia. Aquí llegando a la comuna 13 #Medellín llevando…</t>
  </si>
  <si>
    <t>Robledo nos propone un debate que creo se debe dar. Implica la concepción de lo que significa el cambio climático… https://t.co/hgDYDWqOt3</t>
  </si>
  <si>
    <t>1. el cambio climático se debe al consumo de carbón, petróleo y gas por parte de una acumulación ampliada e intensa… https://t.co/i1ek8c0d7P</t>
  </si>
  <si>
    <t>2. La solución a la crisis climática consiste en dejar de consumir petróleo, carbón y gas, lo cual implica a escala… https://t.co/pGCzYCtnZC</t>
  </si>
  <si>
    <t>3. Colombia es un gran exportador de carbón y algo de petróleo y ha dependido en los últimos 35 años de esta econom… https://t.co/TG6Im5E1vJ</t>
  </si>
  <si>
    <t>4. La lucha por la vida de la humanidad hace que la demanda por carbón, sobretodo, y más débilmente por petróleo, t… https://t.co/3ZIeo7CkVE</t>
  </si>
  <si>
    <t>5. Un gobierno responsable debe construir los pilares de la economía descarbonizada en Colombia e iniciar la transi… https://t.co/Mnvl3fO6pr</t>
  </si>
  <si>
    <t>6. Lo que proponemos es priorizar las reservas descubiertas para consumo interno mientras dura la transición. La tr… https://t.co/NyJGdsDqOa</t>
  </si>
  <si>
    <t>7. El fin de las actividades de exploración no pone en riesgo la demanda interna, si el próximo gobierno es serio y… https://t.co/KVbQIxSk3T</t>
  </si>
  <si>
    <t>8. La dependencia de nuestras exportaciones al carbón y el petróleo, ya debilitada por la caída del precio internac… https://t.co/TC9BTvvs0K</t>
  </si>
  <si>
    <t>9. En mediano plazo, dado que la crisis climática también hará descender el turismo internacional por restricción d… https://t.co/p7m7iARfb4</t>
  </si>
  <si>
    <t>10. Este proceso implica cambiar nuestra matriz energética eliminando termoeléctricas y su reemplazando por energía… https://t.co/lkCOseDU0W</t>
  </si>
  <si>
    <t>11. Estos cambios demandan en muchos sectores el cambio de relaciones sociales de producción, por ejemplo en la gen… https://t.co/Ud71bkcfdE</t>
  </si>
  <si>
    <t>12. Ante una agenda de este tamaño, imprescindible para salvar la vida del planeta, y no hemos escrito de la agenda… https://t.co/FtZtMLVOfw</t>
  </si>
  <si>
    <t>13. En América Latina hay una fuerte tendencia en el progresismo a mantener el capital fósil y mantener nuestra reg… https://t.co/7p6RQt3e3h</t>
  </si>
  <si>
    <t>14. Invito al Moir a abandonar el camino de la izquierda fósil y ayudarnos a defender las grandes transformaciones… https://t.co/tjEAnnHLoy</t>
  </si>
  <si>
    <t>RT @AngelicaVerbelL: He puesto mi nombre a consideración al senado de la República por el @PactoHistorico. Las mujeres estamos llamadas a h…</t>
  </si>
  <si>
    <t>RT @anateresabernal: ¿Cómo es posible que inicien obras del patio taller del metro elevado sin estudios de ingeniería de detalle? La impr…</t>
  </si>
  <si>
    <t>Esta propuesta de Claudia es simplemente fascista. El incremento de la delincuencia tiene una raíz social: el crec… https://t.co/X13TsCYH4O</t>
  </si>
  <si>
    <t>RT @pulzo: Revelan video de cuando cargan coca en avión ligado a esposo de Azcárate; ¿hay 2 policías?👉https://t.co/7hCAp5xRtn https://t.co/…</t>
  </si>
  <si>
    <t>Exmilitares asesinando un presidente extranjero y policías cargando con cocaína una avioneta. Se trata de un narcor… https://t.co/l7e45IxP6B</t>
  </si>
  <si>
    <t>RT @migueldelrioabg: La única razón que me motiva para postularme a la lista del Pacto Histórico en el Senado es la firme determinación de…</t>
  </si>
  <si>
    <t>RT @petrogustavo: Exmilitares asesinando un presidente extranjero y policías cargando con cocaína una avioneta. Se trata de un narcorregime…</t>
  </si>
  <si>
    <t>Acusar a soldados de la responsabilidad que es del mandatario de la nación en un tema tan grave como el asesinato s… https://t.co/hWdN3AAzCb</t>
  </si>
  <si>
    <t>En el afán desesperado por recoger la votación de derechas que el uribismo está perdiendo, se desplazan a tal punto… https://t.co/Xs8AL229TH</t>
  </si>
  <si>
    <t>RT @SARGENTOCHALA: Hoy me reuní con unos militares en retiro, unos amputados sin una pensión digna y otros que trabajan de mototaxistas por…</t>
  </si>
  <si>
    <t>El anticipo del contrato se ha usado para pagar por adelantado las comisiones a los sobornados El anticipo entrega… https://t.co/DRcKbl8jeP</t>
  </si>
  <si>
    <t>Me pregunto si ya el fiscal pidió la detención de los implicados en el robo de los 70.000 millones del erario, o ¿p… https://t.co/TemOgLPlLJ</t>
  </si>
  <si>
    <t>Que en la base antinarcóticos de la policía, la policía cargue la avioneta de un amigo de Duque con Cocaína para en… https://t.co/Gkna4mqUez</t>
  </si>
  <si>
    <t>Esta noche, a las ocho en punto, estaré nuevamente en #PetroAlAire hablando sobre la economía colombiana con expert… https://t.co/UWibfkr7mI</t>
  </si>
  <si>
    <t>Y de paso se van planillando para el próximo jueves 2 de septiembre para el space "la economía colombiana desde la… https://t.co/HifpvMWD6N</t>
  </si>
  <si>
    <t>Por primera vez preguntan en una encuesta por el Pacto Histórico y resulta que les dió que es la primera fuera polí… https://t.co/k6o65oqjg3</t>
  </si>
  <si>
    <t>Por primera vez preguntan en una encuesta por el Pacto Histórico y resulta que les dio que es la primera fuerza pol… https://t.co/JRR0F5dFYr</t>
  </si>
  <si>
    <t>Esta noche, a las ocho en punto, estaré nuevamente en #PetroAlAire hablando sobre la economía colombiana con expert… https://t.co/hH49sBubCC</t>
  </si>
  <si>
    <t>Y de paso se van planillando para el próximo jueves 2 de septiembre para el space "la economía colombiana desde la… https://t.co/zJGUIcC3nF</t>
  </si>
  <si>
    <t>RT @mlucascir: En Alemania también hay democracia directa y, como debe ser, para evitar gastos y molestias, el mismo día de las elecciones…</t>
  </si>
  <si>
    <t>RT @ContraGodarria: Hermoso.</t>
  </si>
  <si>
    <t>RT @AtiQuigua: Este no es un debate hacendatario, de pura mecánica financiera, como nos quieren hacer creer ahora que el proyecto 265 ha ca…</t>
  </si>
  <si>
    <t>Me correspondió, después de mi investigación y debate sobre el paramilitarismo en Sucre, decirle a la opinión públi… https://t.co/TB6OKYfDJP</t>
  </si>
  <si>
    <t>Visité luego la hacienda con las víctimas, en las paredes de la casa había señales de disparos y sitios de tortura… https://t.co/6OfGqQLLpu</t>
  </si>
  <si>
    <t>RT @petrogustavo: Esta noche, a las ocho en punto, estaré nuevamente en #PetroAlAire hablando sobre la economía colombiana con expertos eco…</t>
  </si>
  <si>
    <t>¡Ven a mi Espacio! https://t.co/QE1M4FUFHC</t>
  </si>
  <si>
    <t>RT @danica_melissa: En la madrugada de hoy, sucedió un hecho que los grandes medios de comunicación aún no han registrado: en Tarazá, un mu…</t>
  </si>
  <si>
    <t>RT @petrogustavo: Que en la base antinarcóticos de la policía, la policía cargue la avioneta de un amigo de Duque con Cocaína para enviarla…</t>
  </si>
  <si>
    <t>Un video breve que explica la necesidad de cambiar la economía colombiana ante el desastre climático. https://t.co/F9gBHtGG4M</t>
  </si>
  <si>
    <t>Lo acontecido en el Exito en la zona calipso de Cali es un delito de lesa humanidad. Efectivamente convirtieron ese… https://t.co/AgjZqGI8PX</t>
  </si>
  <si>
    <t>Una transferencia de dinero público a la operación privada de transmilenio que no se refleje en reducción de tarifa… https://t.co/D8DpuYqfaG</t>
  </si>
  <si>
    <t>La transferencia del erario a la operación de transmilenio, sin reducción de tarifa al usuario lo cual hace que no… https://t.co/tKLlDonhy0</t>
  </si>
  <si>
    <t>El comportamiento de Uribe y su hijo frente a la comisionada Lucía Gonzalez es de cobardes.</t>
  </si>
  <si>
    <t>El gerente del Exito a nivel nacional debería dar una explicación. Los mandos policiales de Cali para la fecha ya d… https://t.co/3SJgU0JgxA</t>
  </si>
  <si>
    <t>Felicitaciones a Tecnoglass, ojalá lidere desde el empresarido, la transformación industrial de Colombia hacía la d… https://t.co/BnyvXhCuJt</t>
  </si>
  <si>
    <t>Hay quienes creen que se puede pañetar las murallas y demoler hospitales que son patrimonio mundial y nacional. Eso… https://t.co/NTYj7dHhzC</t>
  </si>
  <si>
    <t>Válida la excusa, pero en la confusión de Hitler con Einstein hay que tener la claridad histórica e ideológica de s… https://t.co/L0FNAvcjue</t>
  </si>
  <si>
    <t>Le solicito a Abundinen que embargue el lote que se puso como garantía de la poliza, que queda cerca de Cartagena a… https://t.co/T1XUepYQTr</t>
  </si>
  <si>
    <t>Estoy en vivo en entrevista con MasTV de Sincelejo. https://t.co/fUiMykkdgd</t>
  </si>
  <si>
    <t>Eso es todo, se trata de la democracia hereditaria. https://t.co/3F1uCs1t1B</t>
  </si>
  <si>
    <t>RT @ColombiaHumana_: Palabras de @petrogustavo en su visita a Sincelejo. ¡Muy valioso mensaje! #PactoHistórico 🇨🇴 https://t.co/hjfNES7SdK</t>
  </si>
  <si>
    <t>RT @ISAZULETA: Entre la alegría de conocer gente bonita, juiciosa, trabajadora y, la desazón, miedo y rabia de lo que me hacen mientras no…</t>
  </si>
  <si>
    <t>https://t.co/g7kPHoMtB3</t>
  </si>
  <si>
    <t>RT @DCoronell: Este mensaje me permite decir dos cosas: 1. No invitamos necesariamente a las personas con las que estamos de acuerdo. Entre…</t>
  </si>
  <si>
    <t>Les solicito retransmitir este mensaje a sus amigos y amigas. Son mis opiniones sobre los hechos más importantes de… https://t.co/ixwfnnPMIP</t>
  </si>
  <si>
    <t>¿Qué creen que se debe hacer legalmente con un señor como éste? ¿Es cierto que es el primo del ministro de medio am… https://t.co/hXwP4eEhBw</t>
  </si>
  <si>
    <t>Los textileros apoyaron masivamente a Duque y este los quebró al darle todo el poder a los grandes importadores de… https://t.co/nxI8t7ryY1</t>
  </si>
  <si>
    <t>RT @nicolaspetroB: Primer encuentro #EquipoPetro2022 en #Barranquilla. El 10 de Septiembre tendremos una cita con la historia. El 10 de S…</t>
  </si>
  <si>
    <t>RT @petrogustavo: Los textileros apoyaron masivamente a Duque y este los quebró al darle todo el poder a los grandes importadores de confec…</t>
  </si>
  <si>
    <t>RT @petrogustavo: Les solicito retransmitir este mensaje a sus amigos y amigas. Son mis opiniones sobre los hechos más importantes de esta…</t>
  </si>
  <si>
    <t>RT @RafaelePachon: Multa de $55 millones de dólares al alcalde de la Bogotá Humana por bajarle el pasaje de Transmilenio a población humild…</t>
  </si>
  <si>
    <t>RT @SaninPazC: Usar con fines políticos el suicidio de un muchacho: no tiene límites la porquería la política colombiana. Ni los tiene la…</t>
  </si>
  <si>
    <t>Me reúno con las juventudes campesinas y barriales de Sucre en Sincelejo https://t.co/7xIiomVNm9</t>
  </si>
  <si>
    <t>Si han detenido 165 jóvenes de primera línea solo por defender el derecho a la protesta estamos ante 165 presos pol… https://t.co/ZCbXUyr8SR</t>
  </si>
  <si>
    <t>Si el fiscal general ha dado instrucción a sus subalternos para judicializar la protesta social, estamos ante un de… https://t.co/epLyKYItmB</t>
  </si>
  <si>
    <t>RT @ColombiaHumana_: ¿Otra vez Emilio Tapia involucrado en un contrato corrupto? Recuerden que fue @petrogustavo quien destapó sus nexos co…</t>
  </si>
  <si>
    <t>RT @petrogustavo: Si han detenido 165 jóvenes de primera línea solo por defender el derecho a la protesta estamos ante 165 presos políticos…</t>
  </si>
  <si>
    <t>RT @IvanCepedaCast: Llevan 27 años justificando el asesinato de mi padre. Día tras día. Lo acusan de pertenecer a la guerrilla. Nunca fue e…</t>
  </si>
  <si>
    <t>El terrorismo lo comete aquel que con dolo, es decir con la voluntad premeditada de hacerlo, busque aterrorizar ind… https://t.co/19eF50bLvv</t>
  </si>
  <si>
    <t>Calificar a un joven que protesta y que ha buscado que el gobierno dialogue sobre los problemas colectivos de la ju… https://t.co/DEILDBf3J6</t>
  </si>
  <si>
    <t>Si la protesta es violenta y transgrede la ley, el código penal ha tipificado esos presuntos delitos como asonada.… https://t.co/2I5cswrNw4</t>
  </si>
  <si>
    <t>RT @Matador000: Irrefutable. https://t.co/9JcBPMLrhm</t>
  </si>
  <si>
    <t>¿Apostamos a que esta persona no es capaz de aceptar que una calumnia como esta sea dirimida en un tribunal de just… https://t.co/HTAxVm9s9k</t>
  </si>
  <si>
    <t>RT @SusanaBoreal: 1. Usted pide respeto por los hechos de la 13 cuando repetidamente en casos como éstos afirma que todo se hizo a sus esp…</t>
  </si>
  <si>
    <t>RT @ierrejon: Un estudio en 18 países durante 50 años demuestra que bajar impuestos a los ricos solamente aumenta la desigualdad. Ahora ve…</t>
  </si>
  <si>
    <t>El estudio está y se demostró que es más barato y no destruye el urbanismo, una.troncal de tranvía eléctrico por la… https://t.co/MDOFvUNLtE</t>
  </si>
  <si>
    <t>Las juventudes asumen el Pacto Histórico en Sucre. https://t.co/LiKdEwjizA</t>
  </si>
  <si>
    <t>Sucre la juventud y su papel Histórico en el cambio y en el Pacto. https://t.co/3YbypHf7SH</t>
  </si>
  <si>
    <t>Noticias de Google para una revista. https://t.co/JzUdj7Kv5d</t>
  </si>
  <si>
    <t>Este asesinato sistemático de jóvenes que adelanta el gobierno se basa no solo en la fobia gubernamental a la prote… https://t.co/azaLdGsfrN</t>
  </si>
  <si>
    <t>RT @SusanaBoreal: A Esteban lo conocí hace ocho años cuando él estudiaba Percusión y yo Canto en UdeA. Vendía alfajores para ayudarse en l…</t>
  </si>
  <si>
    <t>Presidente Duque, la responsabilidad de la muerte de Esteban recae en usted mismo. Recapacite. Usted se negó al dia… https://t.co/VW8hej9QSG</t>
  </si>
  <si>
    <t>Las protestas y el conflicto social, que siempre habrá, en las sociedades democráticas, bien tratadas, son motor de… https://t.co/TAGZ1oAADh</t>
  </si>
  <si>
    <t>RT @jerojasrodrigue: Cronología de la infamia 👇🏽 https://t.co/v2DYGTwIKj</t>
  </si>
  <si>
    <t>RT @petrogustavo: Presidente Duque, la responsabilidad de la muerte de Esteban recae en usted mismo. Recapacite. Usted se negó al dialogo y…</t>
  </si>
  <si>
    <t>No hizo ni las troncales que dejamos diseñadas. Fatal su decisión de frenar el metro subterráneo, pero lo logró: si… https://t.co/4HiC6j899M</t>
  </si>
  <si>
    <t>Es por la larga durabilidad de los proyectos férreos y eléctricos y porque no emiten gases efecto invernadero y ayu… https://t.co/V4D60nregH</t>
  </si>
  <si>
    <t>Le propongo a la coalición de la esperanza un debate sobre cambio climático y política pública para Colombia abiert… https://t.co/r6nDNVSt2V</t>
  </si>
  <si>
    <t>RT @elsemblante: Aquí @petrogustavo describe a los verdaderos vándalos y terroristas. https://t.co/mFwuy7GDuF</t>
  </si>
  <si>
    <t>El senador que hoy renuncia @JuanLuisCasCo es una persona que por sus conocimientos en los sistemas de salud puede… https://t.co/a3MMOq4Lxr</t>
  </si>
  <si>
    <t>Tanto la ministra de comunicaciones como la procuradora pertenecen al mismo entorno de los estafadores del presupue… https://t.co/pESQT8waaY</t>
  </si>
  <si>
    <t>RT @petrogustavo: Le propongo a la coalición de la esperanza un debate sobre cambio climático y política pública para Colombia abierto a lo…</t>
  </si>
  <si>
    <t>Recomiendo forrtalecer en unidades de cuidado intensivo la red hospitalaria con su respectivo personal experto, log… https://t.co/oKZmNdFHH0</t>
  </si>
  <si>
    <t>Le tocó al gobierno de Uribe después de dejar desfalcar al pueblo colombiano y a su niñez rural, acudir a los resul… https://t.co/MCPGvIkZiy</t>
  </si>
  <si>
    <t>Propusimos el debate del cambio climático entre dos candidatos de la coalición de la esperanza y dos del Pacto Hist… https://t.co/yhyxzUYtHs</t>
  </si>
  <si>
    <t>Llega a la Cartagena de Reficar un buque cargado de... ¡gasolina! ¿Qué Colombia no se iba a volver como Venezuela? https://t.co/xEININE6lt</t>
  </si>
  <si>
    <t>Aunque el autor del articulo pertenece a una campaña, que no es la.mia, hace un balance relqtivamente objetivo del… https://t.co/f09sten8S7</t>
  </si>
  <si>
    <t>Y le llaman ciencia, pero es una especie de negacionismo lo que aparece en lo que llamo la izquierda fósil : aquell… https://t.co/tiFbc2mGIK</t>
  </si>
  <si>
    <t>No fue la.ONU la que me invito a exponer nuestra propuesta de ordenamiento territorial frente al cambio climático q… https://t.co/LgkPUL0oXH</t>
  </si>
  <si>
    <t>RT @petrogustavo: Y le llaman ciencia, pero es una especie de negacionismo lo que aparece en lo que llamo la izquierda fósil : aquella que…</t>
  </si>
  <si>
    <t>RT @petrogustavo: Le tocó al gobierno de Uribe después de dejar desfalcar al pueblo colombiano y a su niñez rural, acudir a los resultados…</t>
  </si>
  <si>
    <t>RT @IvanCepedaCast: Vamos sumando: plan para asesinar al gobernador Caicedo, campaña propagandística para ligar al Polo a grupos ilegales,…</t>
  </si>
  <si>
    <t>Entra al senado, en reemplazo de Juan Luis Castro, @yezidgarciaa, senador costeño, exconcejal de progresistas nuest… https://t.co/TBpeJFHBfJ</t>
  </si>
  <si>
    <t>A las ocho en punto https://t.co/sF6niOEe4D</t>
  </si>
  <si>
    <t>¡Ven a mi Espacio! https://t.co/k9rZLjRxpn</t>
  </si>
  <si>
    <t>¡Ven a mi Espacio! https://t.co/yHkSyVVPt4</t>
  </si>
  <si>
    <t>RT @lbertoortiz: Será por esto que el uribismo te pone a mirar a Venezuela y no a Colombia? No quieren que lo veas pero aquí te lo mostramo…</t>
  </si>
  <si>
    <t>RT @marioenelblog: Para hablar con propiedad debe decirse que Colombia, más que un país derechizado, es un país fascistizado.</t>
  </si>
  <si>
    <t>La acusación de la fiscalía contra Sergio Fajardo se basa en que no tuvo en cuenta el riesgo cambiario a la hora de… https://t.co/byZy0pOOj4</t>
  </si>
  <si>
    <t>La fiscalía no debería participar del debate político con su proceder que es penal. Termina judicializando la polít… https://t.co/UMQzFEUgzg</t>
  </si>
  <si>
    <t>Estos son los puntos que presenta Alejandro Gaviria como comienzo de un debate político. Muchos se acercan a nuestr… https://t.co/rKYkZx9JIq</t>
  </si>
  <si>
    <t>El desarrollo económico no pasa simplemente por incentivar la competencia y corregir monopolios. Muy liberal pero i… https://t.co/gzyxAtf6s5</t>
  </si>
  <si>
    <t>La descarbonización de la economía no se logra con tasas carbón, muy neoliberal la propuesta, pero el mercado no co… https://t.co/HWAg7Czewn</t>
  </si>
  <si>
    <t>El problema pensional no es solo de cobertura, con el actual modelo, el aumento de cobertura solo redunda en mayor… https://t.co/Gb0p2qmN0r</t>
  </si>
  <si>
    <t>Por eso para garantizar pensión hay que construir un modelo de reparto simple: el pago de cotización va directament… https://t.co/j88Y0wEjO0</t>
  </si>
  <si>
    <t>No cambiamos el modelo de salud, sino establecemos una prioridad en el sistema preventivo de salud, que esta fuera… https://t.co/7b3vIeqE09</t>
  </si>
  <si>
    <t>Como la prevención de la enfermedad no es un negocio, la ley 100 no permite construir un modelo adecuado al derecho… https://t.co/fZFez2ujaq</t>
  </si>
  <si>
    <t>El desarrollo agrario no es solo un problema de titularización de la tierra, ademas es un problema de desigualdad… https://t.co/5KLLzZivlk</t>
  </si>
  <si>
    <t>La educación superior sin duda es clave para la disminución de la desigualdad, pero lograr que la juventud de esca… https://t.co/qjwKoVFJXL</t>
  </si>
  <si>
    <t>Por tanto la propuesta liberal de Alejandro Gaviria no logra superar el neoliberalismo y de ahí sus silencios en es… https://t.co/TVUhdEEiF9</t>
  </si>
  <si>
    <t>Ayer subí por esta carretera de noche después de dictar una conferencia sobre el cambio climático y el futuro del l… https://t.co/ni1knfoZqq</t>
  </si>
  <si>
    <t>RT @petrogustavo: El desarrollo económico no pasa simplemente por incentivar la competencia y corregir monopolios. Muy liberal pero insufic…</t>
  </si>
  <si>
    <t>Señor director de la policía, General Vargas, usted debe proteger la vida y los bienes del abogado defensor de dere… https://t.co/RpVcP1Lh2r</t>
  </si>
  <si>
    <t>Plantea un debate Luis Fernando Veladconalrededor de las ideas liberales que serían pertinentes hoy para cambiar a… https://t.co/yEvPAD6PzV</t>
  </si>
  <si>
    <t>El objetivo del cambio es salir de la violencia, la corrupción y la desigualdad social. Una Era de Paz lo he llamad… https://t.co/3hm4u4qfBO</t>
  </si>
  <si>
    <t>RT @piedrahitangela: @DiegoASantos No sé qué tiene que ver Petro con lo que pasa en mi ciudad, Diego. Hasta dónde veo, llévamos varios gobi…</t>
  </si>
  <si>
    <t>RT @petrogustavo: Plantea un debate Luis Fernando Veladconalrededor de las ideas liberales que serían pertinentes hoy para cambiar a Colomb…</t>
  </si>
  <si>
    <t>RT @jerojasrodrigue: El 18 de septiembre haremos en Bogotá (Teusaquillo) un acto de desagravio y reconocimiento al senador @GustavoBolivar…</t>
  </si>
  <si>
    <t>Mientras aprueban las leyes que llevan a millones de trabajadores a fondos privados de pensiones, para disfrute de… https://t.co/qvboy0ALIM</t>
  </si>
  <si>
    <t>Por eso hemos propuesto para garantizar pensiones a las y los trabajadores de Colombia, reformar la ley 100 en pens… https://t.co/pfKu3ZtBAN</t>
  </si>
  <si>
    <t>Los fondos privados de pensiones no son sino un ahorro forzoso donde usted paga por ahorrar.</t>
  </si>
  <si>
    <t>Con la salida de Carolina Soto de la junta directiva del Banco de la República, el uribismo tendra control total de… https://t.co/B391hGlujZ</t>
  </si>
  <si>
    <t>Hay una gran diferencia entre tratar de mover las personas hacia una agenda de cambio y moverlas bajo la lógica de… https://t.co/BHiaq23MXY</t>
  </si>
  <si>
    <t>RT @JulianG40747584: @DiegoASantos Lo q ocurrió en mi ciudad Cali no se ocasionó @petrogustavo No mientas Lo ocasionó el Gob genocida q se…</t>
  </si>
  <si>
    <t>RT @AlejandraWil16: Hoy nuestra ETB cumple 137 años! 14 intentos de privatización,miles de familias con trabajo digno.Debe cumplir su compr…</t>
  </si>
  <si>
    <t>RT @petrogustavo: Mientras aprueban las leyes que llevan a millones de trabajadores a fondos privados de pensiones, para disfrute de Sarmie…</t>
  </si>
  <si>
    <t>Va muriendo la generación que de joven cambio el mundo. Después no volvió a surgir una generación semejante. Quizás… https://t.co/sUMYodQuct</t>
  </si>
  <si>
    <t>Pero, de alguna manera, en la juventud, retorna la idea de cambiar el mundo</t>
  </si>
  <si>
    <t>RT @IvanCepedaCast: ‘No me avergüenza estar endeudado, sí asesinar a 6.402 inocentes’: Gustavo Bolívar https://t.co/L5YL9fCtaM</t>
  </si>
  <si>
    <t>Ellos son defensores de Derechos Humanos golpeados salvajemente. y la ciudad es Bogotá, la que queríamos que fuera… https://t.co/Hn91PL13FL</t>
  </si>
  <si>
    <t>Srs de la revista innombrable, la humanidad hace siglos logró establecer un principio civilizatorio: que no pagar d… https://t.co/Rge3FpFWRl</t>
  </si>
  <si>
    <t>RT @petrogustavo: Va muriendo la generación que de joven cambio el mundo. Después no volvió a surgir una generación semejante. Quizás nos h…</t>
  </si>
  <si>
    <t>¿Se puede desde una cafetería de la 93, parque que embellecimos, conocer el país a profundidad, entender a sus gent… https://t.co/xaoypJTWaG</t>
  </si>
  <si>
    <t>El neoliberalismo no es solo la ideología de Uribe, también es la de la mayor parte de la clase política del país.… https://t.co/TjmvyxGnF0</t>
  </si>
  <si>
    <t>El neoliberalismo nos condenó a ser un país extractivista dependiente del petróleo y sin empleo, aumentó la desigua… https://t.co/aH8EVe2u4I</t>
  </si>
  <si>
    <t>Hay una columnista que dice que es una propuesta absurda imprimir billetes. Si no se hace se acaba el papel moneda.… https://t.co/kYyGh6AxJf</t>
  </si>
  <si>
    <t>¿Será que en el plan del descrédito, la revista innombrable terminará en el sótano infernal de la absurdidad?</t>
  </si>
  <si>
    <t>RT @petrogustavo: El neoliberalismo no es solo la ideología de Uribe, también es la de la mayor parte de la clase política del país. Cree e…</t>
  </si>
  <si>
    <t>Aquí se sintetiza el fracaso de una Nación. Una madre con sus hijos que mueren por el calor del desierto tratando d… https://t.co/tRlnVX2L2q</t>
  </si>
  <si>
    <t>Me reuní con dirigentes de los Llanos: indígenas, empresarios, artistas, dirigentes políticos, sociales para hablar… https://t.co/bpLnzeTqGw</t>
  </si>
  <si>
    <t>Cualquiera que sea la discusión interna en un movimiento, esta no debería llegar al punto de llevar al exilio a los… https://t.co/pGQrEW9JeL</t>
  </si>
  <si>
    <t>RT @petrogustavo: Me reuní con dirigentes de los Llanos: indígenas, empresarios, artistas, dirigentes políticos, sociales para hablar del i…</t>
  </si>
  <si>
    <t>Aquí una demostración de cómo la ideología del uribismo es el neoliberalismo. En realidad Colombia jamás ha sido so… https://t.co/U0jLUObEq8</t>
  </si>
  <si>
    <t>El neoliberalismo esa idea falseada de la realidad de pensar que solo el mercado lleva al bienestar, que todo debe… https://t.co/4UFSI5cp0w</t>
  </si>
  <si>
    <t>Cuando desde el centro nos atacan y se niegan a una gran confluencia política, no es porque se le tenga temor a Pet… https://t.co/YApykfvjYU</t>
  </si>
  <si>
    <t>El modo de desregulación neoliberal genera un beneficiario por encima de todos: los dueños del sistema financiero.… https://t.co/0Kc4AJrGyi</t>
  </si>
  <si>
    <t>Es por eso que a usted le ofrecen diversas alternativas, no solo la uribista, como en un mercado, pero todas neolib… https://t.co/jLwAI36W1v</t>
  </si>
  <si>
    <t>Si queremos paz, una sociedad más justa, muchísimo más productiva y con empleo, no solo hay que superar el uribismo… https://t.co/rY4KiHO9Ey</t>
  </si>
  <si>
    <t>Este es "Petro Opina". mis opiniones sobre los hechos más relevantes de la semana que ha pasado. Espero ayuden a re… https://t.co/xTQf3AXWfP</t>
  </si>
  <si>
    <t>Un revista innombrable colombiana que pasó al negacionismo de la crisis climática dice que es absurdo plantearse el… https://t.co/jbCd0pbXrX</t>
  </si>
  <si>
    <t>La mentalidad paramilitar de la politica dominante parte del viejo chulavismo de los conservadores de los cincuenta… https://t.co/raN61ePaSv</t>
  </si>
  <si>
    <t>El hilo conductor de esa política es considerar que en Colombia hay un enemigo interno que conspira para acabar la… https://t.co/08UzAn7W3V</t>
  </si>
  <si>
    <t>La guerra perpetua les ha permitido a los estratos privilegiados amasar enormes fortunas con ayuda y a través del E… https://t.co/akeDpkRRWM</t>
  </si>
  <si>
    <t>Por eso son tan incapaces de asumir un dialogo y un pacto social con el pueblo y garantizar el tránsito hacia la pa… https://t.co/oLnpcFIG9v</t>
  </si>
  <si>
    <t>Si el pacto social es rechazado como forma para construir una nación grande, próspera y pacífica, no cabe otra alte… https://t.co/lQJI4VsCyB</t>
  </si>
  <si>
    <t>RT @petrogustavo: Este es "Petro Opina". mis opiniones sobre los hechos más relevantes de la semana que ha pasado. Espero ayuden a retransm…</t>
  </si>
  <si>
    <t>RT @RoyBarreras: “La gente quiere a alguien distinto…no atrapado en las peleas de siempre”…Las peleas de siempre, digo yo, son las peleas p…</t>
  </si>
  <si>
    <t>El pacto histórico no es un partido, es una forma de gobernar. https://t.co/EYivup0Llc</t>
  </si>
  <si>
    <t>RT @wilmarperdomo_: ¡Lo que está pasando en Colombia es horrible! Tuve que huir del país por mi salud mental en medio de presiones polític…</t>
  </si>
  <si>
    <t>RT @CarlosCarrilloA: Entre @agaviriau y @sergio_fajardo las diferencias ideológicas son pocas, quizá Gavira es aún más neoliberal. ¿Por qué…</t>
  </si>
  <si>
    <t>RT @IvanCepedaCast: En Colombia, el problema es el sistema de violencias y las violencias de sistema. El debate sobre esta cuestión esencia…</t>
  </si>
  <si>
    <t>Hay quienes creen en la clase media alta bogotana que los problemas del país se solucionan en las cafeterías de la… https://t.co/Zy4ge5uMFH</t>
  </si>
  <si>
    <t>RT @petrogustavo: Hay quienes creen en la clase media alta bogotana que los problemas del país se solucionan en las cafeterías de la 93, y…</t>
  </si>
  <si>
    <t>RT @Maritza96: Vengo a chicanear! Es mi papá! Físico matemático y rector de un colegio Ahora entienden como admiramos en mi familia a…</t>
  </si>
  <si>
    <t>Son dos maneras de entender el mundo: una élite racista y un talante democrático. https://t.co/DaB3GbJQU7</t>
  </si>
  <si>
    <t>Sr Mario Hernández, @marioherzam usted esta mintiendo y desinformando a la sociedad. En mi gobierno se abrieron má… https://t.co/idjDIADUfA</t>
  </si>
  <si>
    <t>RT @petrogustavo: Son dos maneras de entender el mundo: una élite racista y un talante democrático. https://t.co/DaB3GbJQU7</t>
  </si>
  <si>
    <t>RT @AlexLopezMaya: Habla de machismo aquel Ministro de Salud que propuso eliminar del POS la reconstrucción mamaria cuando la mujer se vier…</t>
  </si>
  <si>
    <t>RT @wilsonariasc: Hoy en la radio @agaviriau dijo de nuevo que soy un mentiroso. Gaviria, la Contraloría en el informe Acumulación Irregula…</t>
  </si>
  <si>
    <t>El movimiento "Tierra y Vida" de victimas de lanviolencia y por la restitución de tierras, decide unirse al Pacto H… https://t.co/5I6v8bnJpp</t>
  </si>
  <si>
    <t>Este agua es la que se necesitará en tiempos de sequía, pero los gobiernos al abandonar la agricultura decidieron a… https://t.co/xXE0Ta5tav</t>
  </si>
  <si>
    <t>Este esfuerzo de aclarar es un esfuerzo de ocultar. En un gobierno de Carrasquilla le va bien a Gaviria y en un go… https://t.co/b44NEi6cL5</t>
  </si>
  <si>
    <t>Para alcanzar la convivencia social y construir una economía productiva que garantice la financiación de los derech… https://t.co/6WLNRyDtpr</t>
  </si>
  <si>
    <t>Y claro que henos invitado el liberalismo a un gran acuerdo, a un pacto encina de la.mesa, pero no sobre la base de… https://t.co/y11HBjhK0j</t>
  </si>
  <si>
    <t>Hacen una invitación a la juventud de Usme. Estas si son nuestras convocatorias a la juventud y son públicas. Es l… https://t.co/yIvdnDzh3X</t>
  </si>
  <si>
    <t>Siempre debes separar personas de formas de pensamiento; las personas pueden abandonar o acoger las formas de pensa… https://t.co/VokBEzeyNW</t>
  </si>
  <si>
    <t>RT @RevistaSemana: Si las elecciones presidenciales de 2022 fueran hoy, por cuál de estos candidatos votaría:</t>
  </si>
  <si>
    <t>Vino la crisis del petroleo y el carbón y Duque lo que propone es más petróleo con fracking. Vino la crisis mundia… https://t.co/NZS5O6ffev</t>
  </si>
  <si>
    <t>Les propongo un cambio real para construir democracia, producción y justicia social.</t>
  </si>
  <si>
    <t>Avanza el Pacto Histórico en las propuestas para Cambiar a Colombia. https://t.co/Noqd41G9Pz</t>
  </si>
  <si>
    <t>La tutela fallada judicialmente contra la revista lo que muestra es que la revista manipuló la información: una rup… https://t.co/8m5bzotbbZ</t>
  </si>
  <si>
    <t>RT @petrogustavo: Vino la crisis del petroleo y el carbón y Duque lo que propone es más petróleo con fracking. Vino la crisis mundial del…</t>
  </si>
  <si>
    <t>RT @RubenPinzonHdez: "El silencio del Senado es simplemente complicidad, porque muchos de los senadores hacen parte de ese régimen corrupto…</t>
  </si>
  <si>
    <t>RT @9a83298d8acf419: "Quienes recibieron los sobornos siguen manejando el estado"...en el debate citado con Néstor Humberto Martínez sobre…</t>
  </si>
  <si>
    <t>RT @petrogustavo: Avanza el Pacto Histórico en las propuestas para Cambiar a Colombia. https://t.co/Noqd41G9Pz</t>
  </si>
  <si>
    <t>El partido liberal ha oficializado lo que Cesar Gaviria quería: que Alejandro fuese su candidato. Los Gaviria han r… https://t.co/1144sF3fyS</t>
  </si>
  <si>
    <t>Doctor en Economía Juan Rallo, comienza por decir la verdad: le propuse a Duque financiar las cuarentena de la gent… https://t.co/cS4z1Ej9J8</t>
  </si>
  <si>
    <t>Mi gobierno se financiará con un aumento de impuestos a los 4.000 mayores tenedores de riqueza improductivos</t>
  </si>
  <si>
    <t>Esta es la tercera parte de la terminación del debate sobre Odebrecht que hicimos con Angélica Lozano y Jorge Roble… https://t.co/0koX7aBm7k</t>
  </si>
  <si>
    <t>Esta es la segunda parte de la terminación del debate sobre Odebrecht que hicimos con Angélica Lozano y Jorge Roble… https://t.co/NECmjZNvNF</t>
  </si>
  <si>
    <t>Esta es la primera parte de la terminación del debate sobre Odebrecht que hicimos con Angélica Lozano y Jorge Roble… https://t.co/NOr4tHySp7</t>
  </si>
  <si>
    <t>RT @NicolasLopezLT: DENUNCIA🛑🛑 Quiero denunciar que las directivas de mi @PartidoLiberal están utilizando las bases de datos de la milita…</t>
  </si>
  <si>
    <t>RT @susanamuhamad: Señora @ClaudiaLopez usted es la alcaldesa de Bogotà, la seguridad se le salió de las manos, el abuso policial se le sal…</t>
  </si>
  <si>
    <t>RT @Margaritarosadf: Como ciudadana dueña y soberana de mi opinión y mi voluntad de voto (no de la verdad), no me sirve un candidato a la p…</t>
  </si>
  <si>
    <t>RT @ConFrancia2022: Nos encontraremos con @FranciaMarquezM y Angela Davis a conspirar. La cita es el 7 de septiembre. Queremos una lucha i…</t>
  </si>
  <si>
    <t>Aparatos de inteligencia del Estado, junto a periodistas e infuenciadores, con financiación de empresarios ha const… https://t.co/Bu8WYux1FT</t>
  </si>
  <si>
    <t>Esteban yo leería esa gráfica de otra manera, en todas las regiones hubo paro pero no se ve efecto en caída del emp… https://t.co/T4Eql713bv</t>
  </si>
  <si>
    <t>RT @petrogustavo: Esta es la tercera parte de la terminación del debate sobre Odebrecht que hicimos con Angélica Lozano y Jorge Robledo, so…</t>
  </si>
  <si>
    <t>RT @petrogustavo: Esta es la segunda parte de la terminación del debate sobre Odebrecht que hicimos con Angélica Lozano y Jorge Robledo, so…</t>
  </si>
  <si>
    <t>RT @petrogustavo: Esta es la primera parte de la terminación del debate sobre Odebrecht que hicimos con Angélica Lozano y Jorge Robledo, so…</t>
  </si>
  <si>
    <t>Mañana la Corte Constitucional define si Colombia Humana, la primera fuerza política del país, obtiene su personerí… https://t.co/AJ44jZgkyW</t>
  </si>
  <si>
    <t>RT @angelamrobledo: Será que @agaviriau podría llevar al llamado " centro " al centro- derecha? Su invitación a dos uribistas como @FicoGut…</t>
  </si>
  <si>
    <t>RT @lbertoortiz: Le solicito a @TwitterLatAm investigar este tipo de encuestas por parte de la @RevistaSemana en la que se puede ver un cam…</t>
  </si>
  <si>
    <t>RT @petrogustavo: Mañana la Corte Constitucional define si Colombia Humana, la primera fuerza política del país, obtiene su personería jurí…</t>
  </si>
  <si>
    <t>Hay quienes hoy se proponen como fuerza transformadora después de estar en los últimos gobiernos durante 20 años en… https://t.co/cZf7lpZFVD</t>
  </si>
  <si>
    <t>Esto es Nueva York. El cambio climático está aquí, lo produce el consumo de petróleo y carbón a gran escala; puede… https://t.co/zZ33E7XLJN</t>
  </si>
  <si>
    <t>RT @petrogustavo: Hay quienes hoy se proponen como fuerza transformadora después de estar en los últimos gobiernos durante 20 años en prime…</t>
  </si>
  <si>
    <t>Excelente. El.poder negro, el poder de la mujer. Los verdaderos cambios. El Pacto histórico abre el camino de la e… https://t.co/o4dI98vPy4</t>
  </si>
  <si>
    <t>Mikis Theodorakis ha muerto. El gran compositor griego. El del Canto General de Pablo Neruda. El de la Ifigenia que… https://t.co/3c8K78IW9v</t>
  </si>
  <si>
    <t>En cambio nosotros invitamos a la Coalición de la Esperanza a dialogar sobre una agenda de cambio real antes que tr… https://t.co/pF07UhRX3W</t>
  </si>
  <si>
    <t>Bueno, se llegó a lo que había que llegar. El problema ya no es el neoliberalismo sino lo que no está con Duque. Yo… https://t.co/Ek84XqUe0W</t>
  </si>
  <si>
    <t>RT @petrogustavo: En cambio nosotros invitamos a la Coalición de la Esperanza a dialogar sobre una agenda de cambio real antes que transite…</t>
  </si>
  <si>
    <t>RT @LiberalSinVetos: https://t.co/C8MNLmHMi4</t>
  </si>
  <si>
    <t>Hay quienes niegan el cambio climático o dicen frases retóricas para salir del problema. Cada día será peor. La so… https://t.co/hnVeKCMR8d</t>
  </si>
  <si>
    <t>RT @ALFREDOSAADEV: Vicky davila de gnecco no pierde su costumbre delincuencial. Miren cómo de la nada aparecen más de 50 mil votos para @ag…</t>
  </si>
  <si>
    <t>RT @petrogustavo: Hay quienes niegan el cambio climático o dicen frases retóricas para salir del problema. Cada día será peor. La solución…</t>
  </si>
  <si>
    <t>RT @petrogustavo: Excelente. El.poder negro, el poder de la mujer. Los verdaderos cambios. El Pacto histórico abre el camino de la esperan…</t>
  </si>
  <si>
    <t>Vamos a impulsar la cuenta oficial del Pacto Histórico para evitar equívocos. https://t.co/X9nX4GDZTm</t>
  </si>
  <si>
    <t>RT @angelamrobledo: Una conversación que promete ser maravillosa @FranciaMarquezM ! https://t.co/9jEpg2ffv2</t>
  </si>
  <si>
    <t>RT @AProgresista_: El #PactoHistórico es el encuentro nacional, plural, multiétnico y democrático donde nos encontramos los colombianos que…</t>
  </si>
  <si>
    <t>Nos vemos en Barranquilla. Llegó la hora del triunfo de la gente. https://t.co/Yn5YGHo2sI</t>
  </si>
  <si>
    <t>No puede ser que por atacar la fuerza de Carlos Caicedo, lograda con la ciudadanía que ha querido liberar el Magdal… https://t.co/dl5U5t7ULl</t>
  </si>
  <si>
    <t>RT @isalondono: Miren la diferencia en la propuesta (que conste que no tengo claro que habra diferencia en los resultados finales): https:/…</t>
  </si>
  <si>
    <t>RT @petrogustavo: Nos vemos en Barranquilla. Llegó la hora del triunfo de la gente. https://t.co/Yn5YGHo2sI</t>
  </si>
  <si>
    <t>RT @isalondono: El pacto historico arranca mas cerca del futuro al que aspiramos y por el que lucharemos las mujeres de Colombia: inclusion…</t>
  </si>
  <si>
    <t>Nos vemos en Barranquilla. Le llegó la hora de triunfar a la gente y construir una Colombia pacífica, justa y produ… https://t.co/5Ae9QFzIYY</t>
  </si>
  <si>
    <t>En breves minutos en nuestro espacio de twitter. https://t.co/SdvPaHpgmT</t>
  </si>
  <si>
    <t>¡Ven a mi Espacio! https://t.co/UPWncaH2Pt</t>
  </si>
  <si>
    <t>RT @derlilopeza: "El estado no ve sino comunistas y peligrosos opositores en cualquier persona inquieta o pensante." - Héctor Abad Gómez</t>
  </si>
  <si>
    <t>Yo me opuse al.proyecto de cadena perpetua de Duque no solo porque la Constitución prohibe malos tratos y tortura c… https://t.co/2rg1ECdPdk</t>
  </si>
  <si>
    <t>Necesitamos un cambio transformador ahora, dice Bernie Sanders ante el desastre del huracán Ida y la crisis climáti… https://t.co/92vRpegxYK</t>
  </si>
  <si>
    <t>RT @edwardLibreros_: He puesto mi nombre a consideración en la lista al senado del @PactoHistorico; por la defensa del agua, la urgente Tra…</t>
  </si>
  <si>
    <t>¿No entiendo porque borran artículos escritos antes? ¿Para construir una persona diferente a la que ha pensado, esc… https://t.co/10DeCt5sAH</t>
  </si>
  <si>
    <t>RT @ISAZULETA: . “Estoy muy triste; el humedal está muy mal, el río que lo atraviesa está muy mal, el agua casi no corre y está muy contami…</t>
  </si>
  <si>
    <t>RT @mrafael70: [1/3] Entonces la @CoaliEsperanza viene a Santa Marta a hablar de un proyecto político distinto junto a ex funcionarios de l…</t>
  </si>
  <si>
    <t>RT @petrogustavo: Nos vemos en Barranquilla. Le llegó la hora de triunfar a la gente y construir una Colombia pacífica, justa y productiva.…</t>
  </si>
  <si>
    <t>RT @velascoluisf: Que @CConstitucional dé personeria juridica a @ColombiaHumana_ no solo es un acto que muestra respeto por el ordenamiento…</t>
  </si>
  <si>
    <t>Deberían explicarnos cómo ante un gobernador que la corrupción mafiosa amenaza de muerte y tiene que irse, llega un… https://t.co/QDbPIY84ts</t>
  </si>
  <si>
    <t>Según el DANE mientras en mi gobierno en Bogotá sacamos medio millón de personas de la pobreza multidimensional, Du… https://t.co/AR7wFUnukX</t>
  </si>
  <si>
    <t>RT @petrogustavo: Según el DANE mientras en mi gobierno en Bogotá sacamos medio millón de personas de la pobreza multidimensional, Duque me…</t>
  </si>
  <si>
    <t>RT @alexbernalradio: “Que no nos pongan a luchar pueblo con pueblo y matarnos entre sí. Es hora de un abrazo” Gustavo Petro Foto tomada en…</t>
  </si>
  <si>
    <t>La amenaza de muerte contra Levy Rincón vuelve a poner en primer plano la existencia de la alianza aparatos de inte… https://t.co/cbkUtkwY1i</t>
  </si>
  <si>
    <t>El estatuto de Roma y por tanto la Corte Penal Internacional prohiben la persecución sistemática contra grupo pobla… https://t.co/WQTATselho</t>
  </si>
  <si>
    <t>La reunión del Estado al tener la presencia de miembros de la inteligencia, que son funcionarios públicos, empresar… https://t.co/E7ee4YI0kr</t>
  </si>
  <si>
    <t>La.peor manera de manejar el desastre climático es encarcelar los ríos. La propuesta del gobernador de Sucre seria… https://t.co/ZvFs7A9fk6</t>
  </si>
  <si>
    <t>RT @HypatiaHurtado: Soy Chocó Futuro, Soy Pacífico Futuro, #SomosColombiaHumana y tenemos derecho a la personería jurídica. https://t.co/K9…</t>
  </si>
  <si>
    <t>RT @petrogustavo: La.peor manera de manejar el desastre climático es encarcelar los ríos. La propuesta del gobernador de Sucre seria nefast…</t>
  </si>
  <si>
    <t>El aumento de la pobreza multidimensional que es sobretodo en el mundo rural, tiene que ver con la falta de acceso… https://t.co/WpMJaDiz58</t>
  </si>
  <si>
    <t>RT @MovimientoMAIS: Presentamos a nuestra precandidata al senado Aida Quilcué “desde las bases hemos luchado por nuestros pueblos indígenas…</t>
  </si>
  <si>
    <t>RT @petrogustavo: El aumento de la pobreza multidimensional que es sobretodo en el mundo rural, tiene que ver con la falta de acceso de la…</t>
  </si>
  <si>
    <t>RT @ISAZULETA: 😻 ver la cultura, baile, canto, música, tejidos y la posibilidad de una política que proteja las manifestaciones y formas de…</t>
  </si>
  <si>
    <t>Una Barranquilla Humana. Una Barranquilla pensada para la gente Para la justicia, para la paz. Una Barranquilla qu… https://t.co/Uk8VDbska8</t>
  </si>
  <si>
    <t>Esta fue una idea personal que traté contra viento y marea de llevar adelante. Que un teatro de la misma calidad de… https://t.co/K76ERlcTE6</t>
  </si>
  <si>
    <t>La Bogotá Humana decidió dar un gran salto en la cultura en la ciudad sin exclusiones. 90.000 niños aprendieron art… https://t.co/Kkcd8VSLHw</t>
  </si>
  <si>
    <t>El Canal Capital elevó su calidad hasta lo digital para irradiar a toda la ciudad las mejores obras culturales que… https://t.co/0NVJhUBDFQ</t>
  </si>
  <si>
    <t>Jorge Senior, es un intelectual barranquillero que propone esta discusión a quien quiera leerla. el Pacto Histórico… https://t.co/JG0CbQuNRm</t>
  </si>
  <si>
    <t>La articulación entre la idea de un ser humano destinado solo a la muerte, sin trascendencia ni divina ni histórica… https://t.co/s5DNgAz73n</t>
  </si>
  <si>
    <t>No es una idea de centro, ni liberal, es un extremismo del pensamiento dominante del mundo: el neoliberalismo ante… https://t.co/VshSiWB94x</t>
  </si>
  <si>
    <t>El concepto de biopoder que creo Foucault examinando la política de los Nazis, hoy se ha impuesto en Colombia. la c… https://t.co/wmnBp82NJr</t>
  </si>
  <si>
    <t>Cesar Gaviria introdujo estos planteamientos al construir alrededor de derechos como la educación, la salud, las pe… https://t.co/UCBPvarUQK</t>
  </si>
  <si>
    <t>La garantía de los derechos de las gentes es la base de la convivencia social, es decir de la Paz Gaviria fracasó… https://t.co/IA9jnsg13H</t>
  </si>
  <si>
    <t>Por eso el Pacto Histórico debe emprender otra política respecto a la garantía real de los derechos de los colombia… https://t.co/mTv6jspNhL</t>
  </si>
  <si>
    <t>Si se garantizan los derechos de las gentes, se garantiza la convivencia social, es decir, la Paz</t>
  </si>
  <si>
    <t>RT @petrogustavo: La articulación entre la idea de un ser humano destinado solo a la muerte, sin trascendencia ni divina ni histórica y la…</t>
  </si>
  <si>
    <t>Creo que se viene otra rectificación. https://t.co/uwo8Fk3qXM</t>
  </si>
  <si>
    <t>A Abudinen la puso allí el clan Char que controla Cambio Radical y la mayoría liberal. Sin ellos Duque no tiene may… https://t.co/anTE0zbO9w</t>
  </si>
  <si>
    <t>Invito a Barranquilla a decirle a Abudinen que se vaya. La niñez campesina se respeta. 10 de septiembre, tres de l… https://t.co/NJemXq8HBf</t>
  </si>
  <si>
    <t>Mis opiniones sobre lo que ha pasado en la última semana. "Petro Opina" https://t.co/hLN73PfTAn</t>
  </si>
  <si>
    <t>RT @petrogustavo: Mis opiniones sobre lo que ha pasado en la última semana. "Petro Opina" https://t.co/hLN73PfTAn</t>
  </si>
  <si>
    <t>RT @petrogustavo: Invito a Barranquilla a decirle a Abudinen que se vaya. La niñez campesina se respeta. 10 de septiembre, tres de la.tard…</t>
  </si>
  <si>
    <t>Este es el indicador mundial de tránsito hacia energías limpias. Si reemplazamos las termoeléctricas que generan 3… https://t.co/1wKjNTH64f</t>
  </si>
  <si>
    <t>RT @qmoncaleano: – ¿Sabes bailar? – Más que Petro. Tengo voluntad y también método, sin método no hay nada. https://t.co/YynndNcQi4</t>
  </si>
  <si>
    <t>Nuestro doctor en economía español: Rallo, ha reconocido que su primera crítica a mi propuesta a Duque para imprimi… https://t.co/x9bBPqbkUm</t>
  </si>
  <si>
    <t>En el fondo Rallo reconoce la tesis keynesiana que permite aumentar emisión monetaria y gasto público sin desatar i… https://t.co/rTUh76uQfW</t>
  </si>
  <si>
    <t>Por eso no ataca mi propuesta a Duque; sin embargo ahora se agarra de mi trino refutando a la periodista de la revi… https://t.co/PBitIpBFr0</t>
  </si>
  <si>
    <t>Lo cierto Rallo, es que yo considero válida la teoría cuantitativa del dinero. Es decir, que no creo que el dinero… https://t.co/0h3Ly71UFB</t>
  </si>
  <si>
    <t>Por tanto considero que si se emite más dinero que el que se necesita para reemplazar el desgastado y el aumento de… https://t.co/f79W9TyfZ5</t>
  </si>
  <si>
    <t>Creo que fui algo duro en mi anterior trino, pero me parece que la teoría económica debe reconocer que la realidad… https://t.co/LC1c8BJB2a</t>
  </si>
  <si>
    <t>RT @petrogustavo: Este es el indicador mundial de tránsito hacia energías limpias. Si reemplazamos las termoeléctricas que generan 3,6 gig…</t>
  </si>
  <si>
    <t>RT @manuelhborbolla: Ultraderecha para principiantes La ultraderecha es una ideología política conservadora, caracterizada por un nacional…</t>
  </si>
  <si>
    <t>Colombia solo asegurará su soberanía en San Andres y Providencia si se empodera la población raizal. Todo el área… https://t.co/jEmdDaAAXi</t>
  </si>
  <si>
    <t>Ve... Dicen que todo lo del pobre es robado... pero esta es la realidad. De toda la historia estadística de Bogo… https://t.co/54cTax51Xu</t>
  </si>
  <si>
    <t>Nariño comienza la organización de su principal fuerza política: El Pacto Histórico. https://t.co/B3ekZj9mUG</t>
  </si>
  <si>
    <t>RT @petrogustavo: Ve... Dicen que todo lo del pobre es robado... pero esta es la realidad. De toda la historia estadística de Bogotá, la…</t>
  </si>
  <si>
    <t>Las campañas van evaporando estos momentos... https://t.co/gIVJZE5EUr</t>
  </si>
  <si>
    <t>RT @petrogustavo: Las campañas van evaporando estos momentos... https://t.co/gIVJZE5EUr</t>
  </si>
  <si>
    <t>Swift era irlandés y rival de los terratenientes ingleses y su reina Ana. Por eso todo el mundo reconocía que su es… https://t.co/0jt8xpEDfU</t>
  </si>
  <si>
    <t>En cambio hoy, en la realidad y no en la sátira, los viejos están sin pensión porque su ahorro pensional fue devora… https://t.co/VFuQctscdj</t>
  </si>
  <si>
    <t>El envenenamiento que hizo la policía de una olla comunitaria para gente pobre que se efectuaba en el parque de la… https://t.co/KJyb2z53NX</t>
  </si>
  <si>
    <t>RT @petrogustavo: Swift era irlandés y rival de los terratenientes ingleses y su reina Ana. Por eso todo el mundo reconocía que su escrito…</t>
  </si>
  <si>
    <t>RT @petrogustavo: El envenenamiento que hizo la policía de una olla comunitaria para gente pobre que se efectuaba en el parque de la 93. N…</t>
  </si>
  <si>
    <t>Uribe es un buen estratega y tiene la facultad de lograr manipular millones de voluntades, incluso las que no creen… https://t.co/kKLu2MTCZX</t>
  </si>
  <si>
    <t>RT @AlirioUribeMuoz: #EsNecesario QUE PARE LA CORRUPCIÓN! Sin esto no es posible tener un buen gobierno. https://t.co/ZGrxw6rxvU</t>
  </si>
  <si>
    <t>RT @petrogustavo: Uribe es un buen estratega y tiene la facultad de lograr manipular millones de voluntades, incluso las que no creen en él…</t>
  </si>
  <si>
    <t>Se reunieron delegados de 38 municipios de Cundinamarca del Pacto Histórico. Preservar la Sabana de Bogotá y el mu… https://t.co/Gr6Po4o4Rr</t>
  </si>
  <si>
    <t>Este viernes estaremos en la plaza de la Paz de Barranquilla. Arranca el Pacto Histórico en el Caribe. https://t.co/miPlaZt0S6</t>
  </si>
  <si>
    <t>Ahora en el canal del Tiempo en facebook live y youtube</t>
  </si>
  <si>
    <t>Con el empresariado del Norte de Santander por un renacer de la frontera. https://t.co/9Gqy0TFjqG</t>
  </si>
  <si>
    <t>Asi tambien la fiscalia de Nestor Humberto entrampó la paz: con cocaína de la.misma fiscalía. https://t.co/Yccwo2VNKm</t>
  </si>
  <si>
    <t>RT @Gerardodefra: @Margaritarosadf @AnaBejaranoRG @losdanieles Al señor Bernal quien le dice comunista de New York a MR le digo que la sens…</t>
  </si>
  <si>
    <t>La historia de HIdroituango no se debe repetir. Es la historia de una privatización de facto, en beneficio de un gr… https://t.co/aT4zoW5SyP</t>
  </si>
  <si>
    <t>https://t.co/aoHVArtnXs</t>
  </si>
  <si>
    <t>RT @petrogustavo: La historia de HIdroituango no se debe repetir. Es la historia de una privatización de facto, en beneficio de un grupo em…</t>
  </si>
  <si>
    <t>Buena vecindad, independientemente de las ideologías, será nuestra política internacional de fronteras. Primero es… https://t.co/p9U85c6Zwv</t>
  </si>
  <si>
    <t>El joven jonathan Silvera, voluntario por el Cambio, y quien escribió estos trinos que le agradezco con.el alma, ha… https://t.co/W9yULd6ojv</t>
  </si>
  <si>
    <t>Para quienes quieran ver mi entrevista completa con @ELTIEMPO, verla en su canal de youtube o en su facebook. https://t.co/PSOMjRHMXG</t>
  </si>
  <si>
    <t>Esta es mi intervención sobre la reforma tributaria a punto de aprobarse. decidieron con la clase media y la pequeñ… https://t.co/s0gyqWdPIa</t>
  </si>
  <si>
    <t>RT @petrogustavo: Esta es mi intervención sobre la reforma tributaria a punto de aprobarse. decidieron con la clase media y la pequeña y me…</t>
  </si>
  <si>
    <t>RT @FranciaMarquezM: En pocos minutos empezará mi conversación con Angela Davis. Agradezco su entusiasmo. Pueden seguir el evento en viv…</t>
  </si>
  <si>
    <t>RT @Carlos_Luna_R: Hoy en compañía de varios empresarios de Norte de Santander nos reunimos con el senador @petrogustavo para compartir la…</t>
  </si>
  <si>
    <t>Esta es la forma como el gobierno compra el apoyo a una de las fuerzas políticas más retardatarias y dañinas de la… https://t.co/MBrDPYH6IS</t>
  </si>
  <si>
    <t>El costeño que pudo hacer un tranvía en Bogotá. https://t.co/oaEJKCSUqe</t>
  </si>
  <si>
    <t>41 millones de dosis son menos de la mitad de las que se necesitan para fines de año. Esto implica unannueva ola d… https://t.co/kouIpuu9yP</t>
  </si>
  <si>
    <t>RT @FeliFqtv: Petro 2022 y punto https://t.co/CNNMVg7mEx</t>
  </si>
  <si>
    <t>RT @elpaismexico: 🔴México despenaliza el aborto tras una decisión judicial histórica La @SCJN anula la cárcel con la que se castiga la int…</t>
  </si>
  <si>
    <t>RT @LeonViviana: Como viuda del periodista Giraldo #LeCreoA Alberto Giraldo. Por eso le digo al Embajador Álvaro Pava, que cuente todo lo q…</t>
  </si>
  <si>
    <t>El Char Tank. De cmo hasta los contratistas confiesan el pago de sobornos a Alex y la fiscalía y la procuraduría co… https://t.co/vIUER1DSsf</t>
  </si>
  <si>
    <t>Mientras en Perú la maniobra para dejar en la impunidad el caso de corrupción promovido por Odebrecht es castigado,… https://t.co/Rq8wHyLlfR</t>
  </si>
  <si>
    <t>RT @cielo_rusinque: En los últimos días se ha rumorado de mi llegada a @fzciudadana (a quienes debo agradecer sus puertas abiertas para ent…</t>
  </si>
  <si>
    <t>El gobierno de los EEUU debería evaluar conjuntamente con el próximo gobierno de Colombia, si los Rodriguez Orejuel… https://t.co/0ZOCI1IZz6</t>
  </si>
  <si>
    <t>RT @CeciliaOrozcoT: Aviso que reporteros independientes deberíamos investigar: "periodistas y blogueros tbn hacen parte de estrategia (de d…</t>
  </si>
  <si>
    <t>La inseguridad de Bogotá se debe el hambre. Una fuerte política social podría garantizar mejores niveles de segurid… https://t.co/LMOUgaGTEd</t>
  </si>
  <si>
    <t>¡Que barbaridad! Un movimiento con tantos millones de colombianos detrás que solo sabe de corrupción, mafias y juga… https://t.co/aqb19Fvrnc</t>
  </si>
  <si>
    <t>RT @AlexLopezMaya: A pesar de esto, hay quienes proponen que las transiciones a energías limpias para evitar seguir padeciendo un cambio cl…</t>
  </si>
  <si>
    <t>RT @sergioramirezm: DECLARACIÓN DE SERGIO RAMÍREZ La dictadura de la familia Ortega me ha acusado a través de su propia fiscalía, y ante s…</t>
  </si>
  <si>
    <t>RT @petrogustavo: ¡Que barbaridad! Un movimiento con tantos millones de colombianos detrás que solo sabe de corrupción, mafias y jugaditas.…</t>
  </si>
  <si>
    <t>La renuncia de la señoras Abudinen no es solo la demostración del enorme fracaso de la clase política tradicional e… https://t.co/so6GHO8Ak8</t>
  </si>
  <si>
    <t>Acabo de terminar una conversación telefónica con el senador y excandidato presidencial Bernie Sanders. Hemos habl… https://t.co/kfBq4Em9vo</t>
  </si>
  <si>
    <t>2. Observar que la ayuda militar y policial de los EEUU a Colombia se supedite al estricto cumplimiento de los dere… https://t.co/YzlvTacNn4</t>
  </si>
  <si>
    <t>RT @petrogustavo: La renuncia de la señoras Abudinen no es solo la demostración del enorme fracaso de la clase política tradicional en gobe…</t>
  </si>
  <si>
    <t>RT @anateresabernal: ¡Atención! Demuestro con pruebas que el metro elevado no era más rápido, ni más barato que el subterráneo 6 años de…</t>
  </si>
  <si>
    <t>RT @LauraMMoficial: En una posible 2da vuelta @petrogustavo vs Fajardo el 51% del Partido Verde apoyaría a Petro sacándole 11 puntos a Faja…</t>
  </si>
  <si>
    <t>Le solicito a @FiscaliaCol investigar el autor de esta cadena calumniosa. Este tipo de mensajes en whatsap busca at… https://t.co/EITv2UCQm5</t>
  </si>
  <si>
    <t>RT @nicolaspetroB: Petro en #Barranquilla. Algunos medios quieren mostrar a @petrogustavo debilitado, mañana en la plaza de la Paz les vam…</t>
  </si>
  <si>
    <t>Así va la plaza de la Paz de Barranquilla en estos momentos . Los espero mañana a las tres de la tarde. https://t.co/054BfZtCka</t>
  </si>
  <si>
    <t>Mientras Biden busca que el 45% de la energia de EEUU sea solar, yo aspiro a reemplazar la energia de las termoeléc… https://t.co/XhAu4dZ1B4</t>
  </si>
  <si>
    <t>RT @brasildefato: NEGRAS NO PODER I Encontro de gigantes: Angela Davis conversa com Francia Márquez, pré-candidata na Colômbia. "Chegar à p…</t>
  </si>
  <si>
    <t>Los espero a las tres en la Plaza de la Paz de Barranquilla. Mucha paz y mucha alegría y esperanza. https://t.co/51F5wdvGJJ</t>
  </si>
  <si>
    <t>Popuestas para la mujer colombiana https://t.co/DR1vX8fav9</t>
  </si>
  <si>
    <t>RT @petrogustavo: Los espero a las tres en la Plaza de la Paz de Barranquilla. Mucha paz y mucha alegría y esperanza.</t>
  </si>
  <si>
    <t>Comunicado de militantes y congresistas verdes y del Pacto Histórico. Vamos hacia la Unidas Democrática https://t.co/eGKkaMakoq</t>
  </si>
  <si>
    <t>Siento la muerte de Antonio Caballero, era mi crítico, pero siempre lo respeté y lo consideré como un progresista.… https://t.co/syIagA9s52</t>
  </si>
  <si>
    <t>RT @petrogustavo: Comunicado de militantes y congresistas verdes y del Pacto Histórico. Vamos hacia la Unidas Democrática https://t.co/…</t>
  </si>
  <si>
    <t>RT @adelina_covo: Los candidatos no están haciendo propuestas porque creen que es más taquillero armar peleas, eso es una deformación de la…</t>
  </si>
  <si>
    <t>Para ver en directo el evento en la plaza de la Paz en Barranquilla. https://t.co/ek6Y1ur09R</t>
  </si>
  <si>
    <t>Con la P de Patria, de Paz, de Pueblo. De Pacto. De Petro. https://t.co/tJ2RzYid71</t>
  </si>
  <si>
    <t>Gracias Barranquilla. https://t.co/7OHDPzBgX5</t>
  </si>
  <si>
    <t>Solo el pueblo puede cambiar la historia de Colombia. Solo si la mujer y el joven del barrio y la vereda quieren y… https://t.co/LwsIO6jPtV</t>
  </si>
  <si>
    <t>Con la P de Pacto, de pueblo, de progreso y de Paz. Barranquilla comienza la construcción del gran cambio históric… https://t.co/tTTGHcBu7K</t>
  </si>
  <si>
    <t>Liberales libres deciden ingresar al Pacto Histórico en el Atlántico. Antonio Vallejo, Emilio Lébolo, Bolívar Acuñ… https://t.co/X9yGC0GC1l</t>
  </si>
  <si>
    <t>Me.reuno con el colectivo "Barras colombianas por la convivencia", dirigentes de las barras fútboleras de todo el p… https://t.co/SV5eD8w7y5</t>
  </si>
  <si>
    <t>lo que vivimos en Barranquilla fue mágico. Ojalá las palabras, las energias, las multitudes, el pueblo que todo lo… https://t.co/V7ttCR4I3I</t>
  </si>
  <si>
    <t>Lo vivido en Barranquilla fue mágico. Ojalá las palabras, las energías, las multitudes, el pueblo que todo lo decid… https://t.co/lf1UwltopL</t>
  </si>
  <si>
    <t>RT @gaitan_presente: Por fin tuve tiempo para escuchar completo el discurso de Petro en Barranquilla y es IMPRESIONANTE👏🏾. Vean este fragme…</t>
  </si>
  <si>
    <t>En la constitución de 1991 defendimos con fuerza y así quedó como mandato constitucional, la libertad de cultos. Na… https://t.co/IwbpONB9hN</t>
  </si>
  <si>
    <t>RT @anateresabernal: Después de ver este presunto asesinato es inevitable preguntarse ¿qué está pasando con la Policía? Si no hay educaci…</t>
  </si>
  <si>
    <t>RT @Colcheck: #FALSO 🔴 Luego del evento que realizó el senador @petrogustavo en Barranquilla empezó a circular un pantallazo de un supuesto…</t>
  </si>
  <si>
    <t>RT @WMO: Unidos en la Ciencia: El cambio climático y sus efectos se aceleran #COVID19 causó solo una reducción temporal de las emisiones d…</t>
  </si>
  <si>
    <t>Colombia necesita comprar 40 millones de dosis de vacuna ya. https://t.co/4MRURZVbk3</t>
  </si>
  <si>
    <t>Hoy me encontraré de nuevo con las comunidades Wayúu, en Fonseca, Guajira. Los espero. En la trade conn todas las… https://t.co/EhUXdH79wO</t>
  </si>
  <si>
    <t>La creencia que la militarización de una ciudad trae más seguridad no se ha verificado en ninguna ciudad del mundo.… https://t.co/sqSelIkN8C</t>
  </si>
  <si>
    <t>Bogotá cimentó su política de seguridad sobre la inversión social y la inclusión y tuvo éxito Uribe cimentó su pol… https://t.co/1kQrYgEwDh</t>
  </si>
  <si>
    <t>Hoy en la tierra mágica Wayúu, resguardo Mayabangloma, Fonseca, Guajira. Lanzamiento de la campaña presidencial in… https://t.co/cH6ktuftZA</t>
  </si>
  <si>
    <t>Ahora en Valledupar. Fuerza juvenil popular. https://t.co/PPgu1n1ljw</t>
  </si>
  <si>
    <t>RT @DanielRMed: “Estoy convencido que la titulación de la tierra debe ser para la mujer campesina que sabe administrarla mejor que el hombr…</t>
  </si>
  <si>
    <t>RT @ColombiaHumana_: #ValleduparConPetro celebrando la personería jurídica de #ColombiaHumana. 🥳🥳🥳 https://t.co/tSvLYd2JOq</t>
  </si>
  <si>
    <t>RT @jamartinezcab: Gran momento vivimos hoy en Valledupar con @petrogustavo y #PartidoColombiaHumana Jamás olvidaremos este día en #Valled…</t>
  </si>
  <si>
    <t>RT @JulianG40747584: Colombia humana ya tiene personería Jurídica.. Gracias Colombia! Gracias Corte Constitucional! Estamos muy felice…</t>
  </si>
  <si>
    <t>RT @AngelicaVerbelL: Un nuevo triunfo para @petrogustavo y la @ColombiaHumana_ , la Corte Constitucional le entrega la personería jurídica…</t>
  </si>
  <si>
    <t>Cordobeses, cesarenses y guajiras wayúus, buscando el cambio de Colombia. https://t.co/Ae4oCxCkwj</t>
  </si>
  <si>
    <t>RT @petrogustavo: Cordobeses, cesarenses y guajiras wayúus, buscando el cambio de Colombia. https://t.co/Ae4oCxCkwj</t>
  </si>
  <si>
    <t>De rojo la candidata presidencial Wayúu Arelis Uriana. La foto muestra como el Pacto Histórico comienza a tomar la… https://t.co/wdOq0qDJAt</t>
  </si>
  <si>
    <t>Me reúno en el Club Valledupar con dirigentes empresariales del Cesar para estudiar la transición de la economía de… https://t.co/30InNlLsta</t>
  </si>
  <si>
    <t>Desde la magia de Mayabangloma, sale el corazón y la fuerza que llevará al pueblo colombiano a quitarle la ley a la… https://t.co/1UWCkXXTB4</t>
  </si>
  <si>
    <t>RT @petrogustavo: Desde la magia de Mayabangloma, sale el corazón y la fuerza que llevará al pueblo colombiano a quitarle la ley a las mafi…</t>
  </si>
  <si>
    <t>Colombia necesita un cambio del maestro Alexander Avila https://t.co/SAarkr75dU a través de @YouTube</t>
  </si>
  <si>
    <t>RT @MafeCarrascal: El @PartidoVerdeCoL fue fundado con la personería jurídica de la Alianza Democrática M-19 y posteriormente se fusionó co…</t>
  </si>
  <si>
    <t>Decidí firmar esta propuesta de unidad, porque creo que es posible alrededor de un programa de verdadero cambio par… https://t.co/o6XAUerfCo</t>
  </si>
  <si>
    <t>Le hemos propuesto al liberalismo superar el régimen neoliberal que convirtió los derechos de las gentes en simples… https://t.co/tc5XGr6Eyn</t>
  </si>
  <si>
    <t>Le hemos propuesto la partido verde un acuerdo programático, como acordamos con Antonio Navarro, recordando que el… https://t.co/FDGbSweCV8</t>
  </si>
  <si>
    <t>Le hemos propuesto a la coalición de la esperanza hacer una sola consulta en marzo del 2022, para tener una sola ca… https://t.co/NYfCRCaXQq</t>
  </si>
  <si>
    <t>Acepto la propuesta de Camilo Romero, para que una sola candidatura unificada de la coalición de la esperanza compi… https://t.co/5rF9txeGM5</t>
  </si>
  <si>
    <t>Le agradezco a la Corte Constitucional que haya hecho justicia con Colombia Humana y sus electores. Ahora le toca… https://t.co/zwJCy4UPAs</t>
  </si>
  <si>
    <t>Recibo tu saludo Poncho, gracias, ayer dialogue en el valledupar con el maestro Santander Durán. Se voltió la.arepa… https://t.co/PJRuAkCMlc</t>
  </si>
  <si>
    <t>RT @piedadcordoba: Con gran alegría y total convicción quiero anunciar a todo el país que Poder Ciudadano se suma al Pacto Histórico. A l…</t>
  </si>
  <si>
    <t>Entrevista en @rcnradio con @YolandaRuizCe #PetroEnRCN https://t.co/ceo7t9VVEE</t>
  </si>
  <si>
    <t>#PetroEnRCN https://t.co/OQhOmAPYQN</t>
  </si>
  <si>
    <t>Entrevista en @rcnradio con @YolandaRuizCe #PetroEnRCN https://t.co/VESQ9HtAV7</t>
  </si>
  <si>
    <t>Entrevista en @rcnradio con @YolandaRuizCe #PetroEnRCN https://t.co/9lTgGflHB2</t>
  </si>
  <si>
    <t>Entrevista en @rcnradio con @YolandaRuizCe #PetroEnRCN https://t.co/0YGJiwgHz6</t>
  </si>
  <si>
    <t>RT @Colcheck: #NoComaCuento | Una búsqueda inversa de la imagen demuestra que no tiene nada que ver con @petrogustavo y su pasado en el M-1…</t>
  </si>
  <si>
    <t>Esta es mi entrevista para "el País" de España. Espero sus comentarios. https://t.co/5pXobgqSdl</t>
  </si>
  <si>
    <t>La economía popular, es el verdadero motor de la economía nacional. Los gobiernos han creido que su función es golp… https://t.co/I4FTrRSrgE</t>
  </si>
  <si>
    <t>Bienvenido senador Luis Fernando Velasco al Pacto Histórico, como candidato presidencial y como liberal, tiene uste… https://t.co/2zYqnCfE63</t>
  </si>
  <si>
    <t>A esta hora participo en el Conversatorio Precandidatos Presidenciales sobre Política de Drogas organizado por la U… https://t.co/GYcBHJzXBZ</t>
  </si>
  <si>
    <t>RT @adelinacovo: Entrevista con @petrogustavo sobre el general José María Melo, único presidente indígena en la historia de Colombia, y cóm…</t>
  </si>
  <si>
    <t>RT @Barreja: https://t.co/h8w0gXtQXk</t>
  </si>
  <si>
    <t>Una política de sustitución de cultivos de hoja de Coca implica una alianza entre el Estado y el campesinado colomb… https://t.co/MQXJRsDc6H</t>
  </si>
  <si>
    <t>¿Por qué hay narcotráfico en Colombia? https://t.co/SgGsaIlLFU</t>
  </si>
  <si>
    <t>El problema de la tierra en Colombia Parte I. Comisión primera del senado en el debate sobre volver sujeto de derec… https://t.co/I4PvB4r25L</t>
  </si>
  <si>
    <t>El problema de la tierra en Colombia Parte II. Comisión primera del senado en el debate sobre volver sujeto de dere… https://t.co/xjwrHQmKgp</t>
  </si>
  <si>
    <t>RT @petrogustavo: El problema de la tierra en Colombia Parte I. Comisión primera del senado en el debate sobre volver sujeto de derechos en…</t>
  </si>
  <si>
    <t>La estrategia del uribismo para ganar las elecciones es destruir a Fajardo y a mi y comprar millones de votos con e… https://t.co/WDEab9frMg</t>
  </si>
  <si>
    <t>El silencio del gobierno de Duque ante la propuesta del ELN de una tregua unilateral para elecciones, tiene una lóg… https://t.co/DjMtSfclSc</t>
  </si>
  <si>
    <t>RT @PactoHMed: "La justicia, como la libertad y la vida, tenemos que conquistarla todos los días. La lucha por estos ideales no termina nun…</t>
  </si>
  <si>
    <t>RT @petrogustavo: La estrategia del uribismo para ganar las elecciones es destruir a Fajardo y a mi y comprar millones de votos con el dine…</t>
  </si>
  <si>
    <t>RT @almayadeen_es: Compartimos imágenes de la manera en que la policía de #EEUU trata a los migrantes, que llegaron a #Texas, a quienes con…</t>
  </si>
  <si>
    <t>Es la reedición del esclavismo y la xenofobia. Un acto de injusticia e inhumanidad. https://t.co/Eakh6HSCCC</t>
  </si>
  <si>
    <t>Se cumplen tres años de fundada Colombia Humana, ahora integrante del Pacto Historico https://t.co/xWKl9XOnnc</t>
  </si>
  <si>
    <t>RT @canal2co: Esta es la respuesta de nuestro Director José Alberto Tejada a los jóvenes que le proponen que se postule a la cámara de Repr…</t>
  </si>
  <si>
    <t>Yo soy economista y técnico. Nada más salida de la realidad esta afirmación del eterno ministro de hacienda. Suced… https://t.co/BWLZHiZ1XG</t>
  </si>
  <si>
    <t>Bienvenido Agmeth al Pacto Histórico. Por la dignidad del trabajo y un Atlántico Humano. https://t.co/W9VA3RXAoO</t>
  </si>
  <si>
    <t>https://t.co/RgaWCFl8y0</t>
  </si>
  <si>
    <t>El traslado de los fondos privados de pensiones a Colpensiones debe ir acompañado del bono pensional con el ahorro… https://t.co/O42SdhmAzX</t>
  </si>
  <si>
    <t>Mientras en EEUU regalan millones de dólares a los venezolanos inmigrantes en Colombia, estos están en la pobreza e… https://t.co/z3o9hiHF8q</t>
  </si>
  <si>
    <t>RT @velascoluisf: El Partido Liberal Colombiano debe integrar el Pacto Histórico https://t.co/UVh8AHOYsX</t>
  </si>
  <si>
    <t>95 sindicatos, el.movimiento de trabajadores en el lanzamiento al senado de la Republica del presidente de la USO,… https://t.co/gpVW9jc0eS</t>
  </si>
  <si>
    <t>RT @Villegasalejo: #OpinionesCruzadas ¿Qué quiso decir @petrogustavo con lo de "feminismo popular"? Hay razones para la controversia? , @ci…</t>
  </si>
  <si>
    <t>Todas las ganancia que obtengan los empresarios por reducción de costos de producción que logrará nuestro gobierno:… https://t.co/uPivquJmqf</t>
  </si>
  <si>
    <t>Estimada @Jtria05 la repartición de las ganancias de productividad entre empresarios yntrabajadores, no es una exp… https://t.co/dEvuYSRD4U</t>
  </si>
  <si>
    <t>La repartición de utilidades por productividad entre trabajadores y empresarios no es el paraiso, se que en un país… https://t.co/7OIxhAYX01</t>
  </si>
  <si>
    <t>Hernando, si las ganancias de productividad se distribuyen entre el salario real de los trabajadores y las utilidad… https://t.co/xopj13nhgz</t>
  </si>
  <si>
    <t>La protección de importaciones y sus sustitución no es un principio socialista, lo usan los países que quieren desa… https://t.co/idelqCpnsf</t>
  </si>
  <si>
    <t>Proteger de importaciones no reduce costos pero amplia mercados: genera economías de escala que si reduce costos.… https://t.co/4UuN5wmF0Z</t>
  </si>
  <si>
    <t>Se trata de un pacto entre empresarios y trabajadores, en donde la actividad del estado.que genere ganancias por in… https://t.co/cwG11roLD9</t>
  </si>
  <si>
    <t>Poder Ciudadano de Piedad Córdoba y el liberalismo social se articulan al Pacto Histórico. Bogotá, salón rojo del… https://t.co/DIHuIr1kLy</t>
  </si>
  <si>
    <t>Has mostrado aquí tu vertiente neoliberal que te solicito superar, Sergio. Lo que hace crecer los salarios reales e… https://t.co/AW5anB12T1</t>
  </si>
  <si>
    <t>La baja productivIdad de la economía colombiana se debe a la atrofia de sus sistema de educación, al uso improducti… https://t.co/rmkoa0GtXz</t>
  </si>
  <si>
    <t>La liberación de comercio, en la que ahora confiesas que crees, Sergio, solo ha arruinado la industria y la agricul… https://t.co/ezL5XjVLnK</t>
  </si>
  <si>
    <t>RT @cielo_rusinque: “Yo estoy aquí por ⁦@petrogustavo⁩ y vuelvo a la política por él” ⁦⁦@piedadcordoba⁩ Bienvenida al Pacto Histórico! htt…</t>
  </si>
  <si>
    <t>RT @donadolforivas: Dice @petrogustavo: "@piedadcordoba, mujer, liberal y negra, bienvenida al #PactoHistorico" 💛💙❤️ https://t.co/Z4Hh8rtuDv</t>
  </si>
  <si>
    <t>RT @jehysanchez: Los proyectos solo se materializan, si trabajas por ellos. Vamos por ese #PactoHistorico #Barrancabermeja #PetroPresident…</t>
  </si>
  <si>
    <t>RT @leonidasname: Seguimos trabajando en el #PactoHistórico por una agenda laboral, progresista, cultural, fraterna @petrogustavo @ClaraLop…</t>
  </si>
  <si>
    <t>RT @UtpcolombiaOrg: La Unión de trabajadores penitenciarios anuncia su adhesión al #PactoHistorico, apoyamos la candidatura al senado de @P…</t>
  </si>
  <si>
    <t>Lo que ha hecho EEUU durante un siglo, que el alza en.productividad provoque el alza de los salarios reales es irre… https://t.co/aVpzu7iUsg</t>
  </si>
  <si>
    <t>RT @joraveols: Espectacular esta noticia: https://t.co/nXNYF4Cgcl</t>
  </si>
  <si>
    <t>Acabar la exploración de petroleo es lo que permite transitar a energías limpias en 12 años. Si no,nunca lo harás.… https://t.co/HqVsTzOqze</t>
  </si>
  <si>
    <t>RT @AlexKleinO: Es increíble que critiquen a @petrogustavo por hablar de proteccionismo cuando todos los países desarrollados lo hacen. N…</t>
  </si>
  <si>
    <t>Sergio, decir que la libertad de comercio internacional genera mejores condiciones laborales para los trabajadores… https://t.co/nZKfLzCs1Y</t>
  </si>
  <si>
    <t>RT @AugustoCubides: El candidato @petrogustavo le pidió esta noche al liberalismo abandonar el neo-liberalismo el cual, dijo, solo le ha tr…</t>
  </si>
  <si>
    <t>Para quienes desde la prensa o desde la academia ahora llaman comunista o expropiadora mi propuesta de ligar el cre… https://t.co/XV8gmSIwXj</t>
  </si>
  <si>
    <t>En el capitalismo es ley que el incremento de productividad trae el incremento del bienestar social y el salario re… https://t.co/oy82XueNlT</t>
  </si>
  <si>
    <t>RT @petrogustavo: Poder Ciudadano de Piedad Córdoba y el liberalismo social se articulan al Pacto Histórico. Bogotá, salón rojo del Tequen…</t>
  </si>
  <si>
    <t>¿Por qué proponemos un pacto entre empresarios y trabajadores para elevar la productividad con ayuda del Estado.y e… https://t.co/k88ChArzip</t>
  </si>
  <si>
    <t>RT @petrogustavo: ¿Por qué proponemos un pacto entre empresarios y trabajadores para elevar la productividad con ayuda del Estado.y elevar…</t>
  </si>
  <si>
    <t>En Santiago de Guambía, Cauca. Reunido con la comunidad Misak. Tierra, autonomía y cultura. Estas son parte de nue… https://t.co/KTegTJF3yz</t>
  </si>
  <si>
    <t>A las cinco estaré hoy con la ciudadanía payanesa. https://t.co/ZFJ3AgkQ5C</t>
  </si>
  <si>
    <t>Para ser justos este es el producto del proyecto metro elevado de Peñalosa que aun no tiene estudios; saben que tie… https://t.co/wZruwmcgSK</t>
  </si>
  <si>
    <t>Este es uno de los mayores errores en obras públicas de Bogotá. Se debe a la orden de un magistrado oscuro. No se… https://t.co/XpJ019lFSg</t>
  </si>
  <si>
    <t>RT @petrogustavo: A las cinco estaré hoy con la ciudadanía payanesa.</t>
  </si>
  <si>
    <t>Preparando el encuentro del Pacto en Popayán. https://t.co/hPxahugzhf</t>
  </si>
  <si>
    <t>Plazoleta San Francisco, Popayán con el Pacto Histórico. https://t.co/nq6Cov1C4y</t>
  </si>
  <si>
    <t>Popayán, Cauca. Ahora mismo. El cambio de la historia de Colombia https://t.co/xuUdbyuzZJ</t>
  </si>
  <si>
    <t>Enorme. El pacto histórico es el pacto de convivencia que permita que todas y todos los caucanos puedan convivir en… https://t.co/cLggirvi25</t>
  </si>
  <si>
    <t>RT @JUANCAELBROKY: Jóvenes de Cali le entregan 2.300 firmas a @petrogustavo ante miles de personas en Popayán, para que el periodista y di…</t>
  </si>
  <si>
    <t>Es aquí con la belleza que comienza el torrente de la historia y la cultura. Gracias pueblo Mizak Sebastian de Gu… https://t.co/mS6gj8f1dk</t>
  </si>
  <si>
    <t>Me reúno con el empresariado de Nariño para hablar de la economía productiva que proponemos. https://t.co/bI2HepBWJx</t>
  </si>
  <si>
    <t>RT @petrogustavo: Es aquí con la belleza que comienza el torrente de la historia y la cultura. Gracias pueblo Mizak Sebastian de Guambia,…</t>
  </si>
  <si>
    <t>Transmisión en vivo de la reunión política del Pacto Histórico en la plaza de Nariño de Pasto https://t.co/wOkHL6DuZ2</t>
  </si>
  <si>
    <t>En este momento en Pasto. https://t.co/BIq3uorXXv</t>
  </si>
  <si>
    <t>RT @petrogustavo: Transmisión en vivo de la reunión política del Pacto Histórico en la plaza de Nariño de Pasto https://t.co/wOkHL6DuZ2</t>
  </si>
  <si>
    <t>RT @petrogustavo: En este momento en Pasto. https://t.co/BIq3uorXXv</t>
  </si>
  <si>
    <t>Pasto. El pueblo rebelde. https://t.co/s30RuYrle2</t>
  </si>
  <si>
    <t>RT @HernnAguirre6: Les presento a @petrogustavo, en Pasto. Sí, es el que divide, el extremista, el que polariza. Será nuestro Presidente, e…</t>
  </si>
  <si>
    <t>El estallido social solo se reponde con un estallido de la producción y el trabajo. Pasto, Nariño https://t.co/1k9KfEls3O</t>
  </si>
  <si>
    <t>En octubre llega a todas las librerías del país: #UnaVidaMuchasVidas. ¡Espéralo! @PlanetaLibrosCo https://t.co/Os6dG7oKBA</t>
  </si>
  <si>
    <t>RT @petrogustavo: El estallido social solo se reponde con un estallido de la producción y el trabajo. Pasto, Nariño https://t.co/1k9KfEls…</t>
  </si>
  <si>
    <t>Quiere saber de mi vida y de mis ideas. Las expongo sin censura en un libro. https://t.co/FRAJr7akpC</t>
  </si>
  <si>
    <t>La historia del audiovisual "Matarife" y de su creador en "El País" de España. https://t.co/DRM5G0ueCf</t>
  </si>
  <si>
    <t>Ya no solo el progresismo gobierna en los cinco países nórdicos a los que ha conducido a los mayores niveles de bie… https://t.co/g7KOGrQfMV</t>
  </si>
  <si>
    <t>RT @AABenedetti: ¿No debería revisarse el proyecto de sitios rurales por 2.1 billones de pesos de @MinTIC_responde? Un asesor del despacho…</t>
  </si>
  <si>
    <t>RT @charry_manager: Se cumplen ya dos años desde que la contraloria nos imputó cargos por responsabilidad fiscal a mi persona y la alcaldía…</t>
  </si>
  <si>
    <t>¡Bienvenido Humberto! https://t.co/I5zcN66K0c</t>
  </si>
  <si>
    <t>RT @QuinteroCalle: Echan el agua sucia para todos lados cuando la casa se les está inundando. Gracias a Dios ni por las curvas conozco al "…</t>
  </si>
  <si>
    <t>Hay que reconocer que tienen una inteligencia pérfida. Se roban la plata los amigos aliados de Char y Duque, ponen… https://t.co/4ykBGuxZNT</t>
  </si>
  <si>
    <t>En octubre llega #UnaVidaMuchasVidas a todas las librerías del país. Este es un libro para que conozcan de mi vida… https://t.co/CgU0xJ6i42</t>
  </si>
  <si>
    <t>Felicitaciones César, el senador campesino. Has logrado una victoria de la vida. https://t.co/Xff6dWMwnf</t>
  </si>
  <si>
    <t>RT @elbanguera: Amigues, ustedes criticando la foto-sancocho de Gaviria cuando tienen esta perlita. Otra foto que resume el lugar que han…</t>
  </si>
  <si>
    <t>RT @petrogustavo: Hay que reconocer que tienen una inteligencia pérfida. Se roban la plata los amigos aliados de Char y Duque, ponen a una…</t>
  </si>
  <si>
    <t>Bienvenido José Alberto Tejada al Pacto Histórico. Un periodista de verdad que decide dar el paso del liderazgo po… https://t.co/IEP8UgwMko</t>
  </si>
  <si>
    <t>RT @petrogustavo: Bienvenido José Alberto Tejada al Pacto Histórico. Un periodista de verdad que decide dar el paso del liderazgo político…</t>
  </si>
  <si>
    <t>Colombia no puede quedarse esperando como el Coronel una pensión que nunca llega, el cambio también está en la imag… https://t.co/ARl5XUvQ9Y</t>
  </si>
  <si>
    <t>Invitados todos a escuchar la entrevista que me hizo @MJDuzan en #afondo por Spotify a las 5:00 p.m. https://t.co/l3G2JZCDeW</t>
  </si>
  <si>
    <t>RT @SARGENTOCHALA: A los Militares y Policías activos y en retiro les digo que llegó la hora de dar ese paso al frente, dejar a un lado los…</t>
  </si>
  <si>
    <t>Otra vez usan armas prohibidas contra manifestantes en Bogotá. https://t.co/gUCFT3TJdm</t>
  </si>
  <si>
    <t>A las 6:30 a.m. estaré en la @WRadioColombia hablando de mi nuevo libro #UnaVidaMuchasVidas el cuál pueden adquirir… https://t.co/kU5NXF3aZ1</t>
  </si>
  <si>
    <t>RT @piedadcordoba: ¿Quieren saber por qué vuelvo a la Política? Porque cuando vi las grandes marchas de abril entendí que este es un país…</t>
  </si>
  <si>
    <t>RT @RoyBarreras: Les comparto una pequeña parte de mi historia vía @ELTIEMPO https://t.co/kjwoHE3Wns</t>
  </si>
  <si>
    <t>RT @MJDuzan: "Si queremos hacer una reforma agraria, si yo gobierno ¿Qué hacemos con los uribistas? Fueron 10 millones en 2018 ¿los aislamo…</t>
  </si>
  <si>
    <t>RT @_klimra_: El ESMAD capturó a una niña que pateó un gas. Por suerte el equipo de DD.HH logro que no se la llevaran. https://t.co/K92nGgg…</t>
  </si>
  <si>
    <t>RT @AlirioUribeMuoz: 359 Colombianos aspiran ser senadores República en la lista del Pacto Histórico https://t.co/bSOTrJWg93</t>
  </si>
  <si>
    <t>RT @AndresCamiloHR: "Yo quiero un pueblo libre, no quiero un rebaño que venda el voto... Nosotros queremos democracia real, libertad real"…</t>
  </si>
  <si>
    <t>RT @wicarni: "No es un presidente el que cambiara la historia. Es un pueblo el que cambiara la historia":Gustavo Petro. https://t.co/omsIzo…</t>
  </si>
  <si>
    <t>Invito a toda la juventud colombiana a reunirse en las plazas públicas de Colombia este 2 de octubre con un propósi… https://t.co/OQIMP36KZc</t>
  </si>
  <si>
    <t>Estaré personalmente acompañando la reunión multitudinaria de la juventud en el parque de Lourdes en Chapinero en B… https://t.co/Yjz3OJFHrk</t>
  </si>
  <si>
    <t>Toda movilización juvenil del Pacto Histórico debe ver alegre, multicolor, pacífica, cultural. Millones de flores d… https://t.co/IJTMFuEtnd</t>
  </si>
  <si>
    <t>RT @petrogustavo: Invito a toda la juventud colombiana a reunirse en las plazas públicas de Colombia este 2 de octubre con un propósito: co…</t>
  </si>
  <si>
    <t>Mañana en todas las librerías del país estará disponible mi nuevo libro #UnaVidaMuchasVidas. También lo pueden adq… https://t.co/4ELMWHOM7f</t>
  </si>
  <si>
    <t>RT @petrogustavo: Toda movilización juvenil del Pacto Histórico debe ver alegre, multicolor, pacífica, cultural. Millones de flores de todo…</t>
  </si>
  <si>
    <t>RT @petrogustavo: Estaré personalmente acompañando la reunión multitudinaria de la juventud en el parque de Lourdes en Chapinero en Bogotá…</t>
  </si>
  <si>
    <t>RT @ColombiaHumana_: CH: ¡Jóvenes! Unámonos alrededor de esta gran fiesta para hacer historia, vamos a tuitear desde las 5:00 p.m. con el…</t>
  </si>
  <si>
    <t>En la Fiesta del Libro de Medellín, en el stand de Planeta, en pleno jardín botánico ya está mi nuevo libro:… https://t.co/lCNsSmwKmF</t>
  </si>
  <si>
    <t>Este ensayo hace una crítica a la ambiguedad democrática en los progresismos americanos y la necesidad de profundiz… https://t.co/PLN117LyU7</t>
  </si>
  <si>
    <t>En realidad en la labor de buscar puntos equidistantes entre derechas e izquierdas del siglo XX, dado.que.las derec… https://t.co/La6NPch6ei</t>
  </si>
  <si>
    <t>RT @rudolf_hommes: Es sorprendente que los candidatos con excepción de Petro no tengan una plataforma con ideas programáticas y algunos de…</t>
  </si>
  <si>
    <t>Que en todas las plazas públicas del país se convoque para organizarse la fuerza del cambio juvenil. La gran fuerza… https://t.co/XyslXmXJKL</t>
  </si>
  <si>
    <t>RT @Margaritarosadf: Me llegó esta autobiografía de uno de los líderes políticos más importantes de la historia reciente. @petrogustavo no…</t>
  </si>
  <si>
    <t>RT @petrogustavo: Que en todas las plazas públicas del país se convoque para organizarse la fuerza del cambio juvenil. La gran fuerza que c…</t>
  </si>
  <si>
    <t>Antioquia puede superar la política de la seguridad basada en la muerte. La industrialización de Medellín, el orden… https://t.co/qe7g5G2rMo</t>
  </si>
  <si>
    <t>RT @BecerraGabo: A Jaime, el compañero humilde, rebelde y popular, comprometido con la @UP_Colombia y el #PactoHistorico lo asesinaron ano…</t>
  </si>
  <si>
    <t>¿Y que tal que el litoral pacífico aprovechara las caídas de alta pendiente de los rios de la cordillera occidental… https://t.co/BH0vXfUo7M</t>
  </si>
  <si>
    <t>Convocada la reunión de las juventudes para el cambio de Colombia el 2 de octubre. Le llegó la hora a la juventud… https://t.co/tJPAlEhs1X</t>
  </si>
  <si>
    <t>RT @ColombiaHumana_: #JóvenesHagamosHistoria Octubre 2. Plaza de Lourdes. Bogotá. #PactoHistórico https://t.co/YZ54gUpi0n</t>
  </si>
  <si>
    <t>#LiberalesAlPacto excelente campaña. https://t.co/5TaMBJprri</t>
  </si>
  <si>
    <t>Nos vemos en el parque de Lourdes. Chapinero, Bogotá. Jóvenes hagamos historia en toda Colombia. https://t.co/0YAAFDHU2v</t>
  </si>
  <si>
    <t>RT @WenRamos09: #HagamosHistoria 🔥💜💛💙💚❤️🔥Las juventudes diversas estamos al frente del cambio, seguiremos construyendo esa Colombia alterna…</t>
  </si>
  <si>
    <t>RT @piedadcordoba: . Economistas: ¡Ecuación! 📐📈 Colombia: - Importa 12 millones de ton. de alimentos - 2,6 millones de familias solo come…</t>
  </si>
  <si>
    <t>RT @petrogustavo: Nos vemos en el parque de Lourdes. Chapinero, Bogotá. Jóvenes hagamos historia en toda Colombia. https://t.co/0YAAFDHU2v</t>
  </si>
  <si>
    <t>RT @anateresabernal: “No es un superhéroe, pero sí una persona que tiene pensado un país para vivir”: @Margaritarosadf sobre @petrogustavo…</t>
  </si>
  <si>
    <t>RT @ColombiaHumana_: Jóvenes: ¿nos vemos hoy en la Plaza de Lourdes en Bogotá? #HagamosHistoria desde las 2:00 p.m. https://t.co/oKNE6Pio…</t>
  </si>
  <si>
    <t>Ni paz grande ni paz chiquita, solo masacres, asesinatos de centenares de lideres sociales y excombatientes; solo e… https://t.co/hdHEC4B9SA</t>
  </si>
  <si>
    <t>¿Saben porque estos seudoeconomistas de cabecera de los medios de comunicación les parece comunista la fraternidad?… https://t.co/YaB1JNcezU</t>
  </si>
  <si>
    <t>Señores @FiscaliaCol les solicito investigar la persona real detras de la cuenta @Jose_henao1 por amenazas de muert… https://t.co/zGTRZ2zGQu</t>
  </si>
  <si>
    <t>RT @petrogustavo: Ni paz grande ni paz chiquita, solo masacres, asesinatos de centenares de lideres sociales y excombatientes; solo el trat…</t>
  </si>
  <si>
    <t>Lourdes, Chapinero, Bogotá. https://t.co/s5PMIfKCAB</t>
  </si>
  <si>
    <t>Este es Lourdes, Chapinero, Bogotá. He terminado mi intervención. Le entregamos a la juventud la Colombia Humana y… https://t.co/p5I4UlxVOu</t>
  </si>
  <si>
    <t>https://t.co/zGDWdP34nH</t>
  </si>
  <si>
    <t>RT @susanamuhamad: "Que esa tarima se convierta en la tarima de ustedes" @petrogustavo #JovenesHagamosHistoria es el momento de transforma…</t>
  </si>
  <si>
    <t>https://t.co/c9PpyF9E56</t>
  </si>
  <si>
    <t>Tres monopolios le quitan las oportunidades a la gente: el de la tierra, el del crédito y el del saber. Tres democ… https://t.co/tTaq81KVC4</t>
  </si>
  <si>
    <t>Oiga señor Presidente de la República, la juventud solo.quiere vivir con dignidad. https://t.co/HCDSvziFq9</t>
  </si>
  <si>
    <t>RT @armestonelson: Un momento histórico en Bogotá - Los jóvenes se sobraron y Petro les respondió https://t.co/bGPi8OpqaN</t>
  </si>
  <si>
    <t>“Un día después del sábado” así se llama un relato de García Márquez. Los domingos de lectura son un recuerdo de la… https://t.co/7oxkZjtQUS</t>
  </si>
  <si>
    <t>RT @diariocriterio: #ENTREVISTA || Gustavo Petro @petrogustavo lanzó su libro ‘Una vida, muchas vidas‘ y en entrevista con Diario Criterio…</t>
  </si>
  <si>
    <t>Mi entrevista con el diario Criterio sobre la publicación de mi último libro. https://t.co/akir8oigHF</t>
  </si>
  <si>
    <t>La juventud que cambiará la historia de Colombia. Si fallamos nos hacen a un lado, tomen el timón, sigan adelante. https://t.co/29tMvjuLmB</t>
  </si>
  <si>
    <t>588 colombianos, de los más ricos del país tienen cuentas en paraísos fiscales, es decir,no pagan impuestos a Colom… https://t.co/SdFrYzDHUY</t>
  </si>
  <si>
    <t>RT @delmarpizarro: Siento que a mi generación le han querido frustrar todas las esperanzas, somos la generación más preparada de la histori…</t>
  </si>
  <si>
    <t>RT @petrogustavo: La juventud que cambiará la historia de Colombia. Si fallamos nos hacen a un lado, tomen el timón, sigan adelante. https…</t>
  </si>
  <si>
    <t>Ls negocios de la Vicepresidente de la República en paraísos fiscales. Estas son las diferencias de tener un empres… https://t.co/jDVfQw5A2J</t>
  </si>
  <si>
    <t>RT @petrogustavo: 588 colombianos, de los más ricos del país tienen cuentas en paraísos fiscales, es decir,no pagan impuestos a Colombia.…</t>
  </si>
  <si>
    <t>Carlos Alberto Sandoval, y Alexandra Rojas, socios de Peñalosa en paraísos fiscales, funcionarios del Disttito y de… https://t.co/jYDsef2Slg</t>
  </si>
  <si>
    <t>¿Cómo es posible que la FDN, del gobierno nacional haya estructurado el metro elevado y enterrado los estudios del… https://t.co/xfmuZoNAFA</t>
  </si>
  <si>
    <t>Este es el articulo de Alvaro Pardo, integrante de nuestro equipo programático, sobre el repunte del carbón como pr… https://t.co/g3oKz5dk6l</t>
  </si>
  <si>
    <t>RT @petrogustavo: Carlos Alberto Sandoval, y Alexandra Rojas, socios de Peñalosa en paraísos fiscales, funcionarios del Disttito y de la FD…</t>
  </si>
  <si>
    <t>Decía la poeta Emily Dickinson: “Pero un libro es solo el retrato del corazón, cada página es un pulso” Aquí está m… https://t.co/WEpHgaoqZg</t>
  </si>
  <si>
    <t>RT @petrogustavo: ¿Cómo es posible que la FDN, del gobierno nacional haya estructurado el metro elevado y enterrado los estudios del subter…</t>
  </si>
  <si>
    <t>RT @marioenelblog: ¿Se imaginan que pasaría si el nombre de Gustavo Petro figurase en los papeles divulgados por "El Espectador"?</t>
  </si>
  <si>
    <t>RT @wilberpreciado: Hoy hace 6 años @petrogustavo entregaba 90 ambulancias al sistema de salud de Bogotá. https://t.co/8lGTYYAOHb</t>
  </si>
  <si>
    <t>Nuestra propuesta de hacer una reforma tributaria donde solo se aumenten impuestos a os patrimonios improductivos d… https://t.co/2fkuzgf6xu</t>
  </si>
  <si>
    <t>Felicitaciones Carlos El arte no es lo que un medio de comunicación de un potentado quiere que digas, así eso te h… https://t.co/a14uGarQ6F</t>
  </si>
  <si>
    <t>RT @andrescamilo_rc: ¡Estamos haciendo história! Hemos logrado recrear las experiencias e historias de las luchas sociales en Colombia. Est…</t>
  </si>
  <si>
    <t>RT @Mayo_Hemelson: La artista urbano, Kevin Lee, pintó esta obra que tituló “ La invisibilidad de la pobreza” Parece ser que nuestro congr…</t>
  </si>
  <si>
    <t>El agua para la gente, el agua para producir alimentos, el agua libre para la naturaleza. Este es, al lado de la e… https://t.co/bvo9plBb4x</t>
  </si>
  <si>
    <t>RT @DavidRacero: Implicados en Pandora Papers del círculo de @IvanDuque Los mismos de siempre buscando cómo seguir estafando al Estado. ht…</t>
  </si>
  <si>
    <t>RT @petrogustavo: Nuestra propuesta de hacer una reforma tributaria donde solo se aumenten impuestos a os patrimonios improductivos de los…</t>
  </si>
  <si>
    <t>Acabaste con el metro. No existe experto internacional de valía que se le ocurra sacrificar ciudades densas con met… https://t.co/n8d0G5PQdg</t>
  </si>
  <si>
    <t>Entregue las troncales de la 26, la 10, la sexta, y los estudios de la Boyacá cuatro troncales de tranvía, el metro… https://t.co/L5sLGFik5i</t>
  </si>
  <si>
    <t>RT @petrogustavo: El agua para la gente, el agua para producir alimentos, el agua libre para la naturaleza. Este es, al lado de la educaci…</t>
  </si>
  <si>
    <t>Si hubieras continuado la licitación del metro subterráneo que te dejé y no hubieras suspendido las troncales de tr… https://t.co/AFWOhNkwco</t>
  </si>
  <si>
    <t>Pero debo reconocer que mantuviste la construcción de los colegios que dejamos contratados o en estudios, yo logre… https://t.co/sYltveYCBX</t>
  </si>
  <si>
    <t>He propuesto ligar el crecimiento de los salarios reales al incremento de la productividad y un Estado que busque a… https://t.co/GlZsywPSih</t>
  </si>
  <si>
    <t>RT @petrogustavo: Acabaste con el metro. No existe experto internacional de valía que se le ocurra sacrificar ciudades densas con metros el…</t>
  </si>
  <si>
    <t>RT @petrogustavo: He propuesto ligar el crecimiento de los salarios reales al incremento de la productividad y un Estado que busque aumenta…</t>
  </si>
  <si>
    <t>Impunidad y "pandora papers". intervención en el senado parte I https://t.co/rA6KZgQRev</t>
  </si>
  <si>
    <t>Impunidad y "pandora papers". intervención en el senado parte II https://t.co/OyyUJ9405H</t>
  </si>
  <si>
    <t>RT @petrogustavo: Impunidad y "pandora papers". intervención en el senado parte I https://t.co/rA6KZgQRev</t>
  </si>
  <si>
    <t>Se agotó la primera edición de mi libro. la otra semana sale la segunda edición. ya esta pirateado, les pido el favor de comprarlo legal.</t>
  </si>
  <si>
    <t>RT @FelicianoValen: La consolidación de la Región Metropolitana dejará sin agua y comida a los bogotanos. Sin consultar a la población camp…</t>
  </si>
  <si>
    <t>RT @BogotaLogica: Tremendo embeleco que salió Juanita. No se puede poner la Región Metropolitana como salvadora del volteo de tierras, cu…</t>
  </si>
  <si>
    <t>RT @NarcoOrtografia: @Tolaymaruja @eltajalapiz https://t.co/IS6xkrlCUc</t>
  </si>
  <si>
    <t>El Congreso esta a punto de aprobar un monstruo antidemocrático: la ley de región metropolitana con una alianza ent… https://t.co/QApUkxrhmx</t>
  </si>
  <si>
    <t>Es un poder constituido: el Congreso, quitando derechos fundamentales al constituyente: la ciudadanía</t>
  </si>
  <si>
    <t>La región metropolitana será dirigida por un consejo regional integrado por los alcaldes cuyos concejos decidan aso… https://t.co/M9WW9G7GkJ</t>
  </si>
  <si>
    <t>El consejo regional elige un director propuesto por el alcalde de Bogota y el gobernador, los demás alcaldes no pue… https://t.co/KGBjJ13fcg</t>
  </si>
  <si>
    <t>El consejo, aprueba un plan director, que es de ordenamiento territorial, los demás planes de ordenamiento territor… https://t.co/mXco2WpGqI</t>
  </si>
  <si>
    <t>El consejo de la región integrado por los alcaldes asociados, el alcalde de Bogotá y el gobernador, pueden crear in… https://t.co/2mkSXAEoub</t>
  </si>
  <si>
    <t>Se crea la agencia de movilidad regional, que es la autoridad de transporte de toda la región, esta será transmilin… https://t.co/LgPFjkRM0m</t>
  </si>
  <si>
    <t>Se crea un plan de seguridad hídrica para garantizar agua potable en toda la región, en mi opinión, se trata de lle… https://t.co/is2KMF87fM</t>
  </si>
  <si>
    <t>El proyecto genera una institucionalidad antidemocrática , es decir sin poder de decisión de la ciudadanía, para ga… https://t.co/Dwns9dZplz</t>
  </si>
  <si>
    <t>Adiós a la sabana de Bogotá y a la autonomía municipal que fue el gran logro de la Constitución del 91. Adiós a la… https://t.co/5pA2VO6ymR</t>
  </si>
  <si>
    <t>RT @petrogustavo: El Congreso esta a punto de aprobar un monstruo antidemocrático: la ley de región metropolitana con una alianza entre el…</t>
  </si>
  <si>
    <t>El monstruo antidemocrático que Claudia y Duque desencadenan sobre la Sabana de Bogotá: la región metropolitana par… https://t.co/j9xXUYqoDS</t>
  </si>
  <si>
    <t>El monstruo antidemocrático que Claudia y Duque desencadenan sobre la Sabana de Bogotá: la región metropolitana par… https://t.co/s7Yns1oO9m</t>
  </si>
  <si>
    <t>El monstruo antidemocrático que Claudia y Duque desencadenan sobre la Sabana de Bogotá: la región metropolitana par… https://t.co/wnDZO8L2CV</t>
  </si>
  <si>
    <t>Si el director de la UNP dice que los amenazados deben financiar el servicio de escoltas. Apague y vámonos. el esta… https://t.co/6vNATWkC5i</t>
  </si>
  <si>
    <t>RT @petrogustavo: El monstruo antidemocrático que Claudia y Duque desencadenan sobre la Sabana de Bogotá: la región metropolitana para tran…</t>
  </si>
  <si>
    <t>Ayer viví uno de los peores días del Congreso. Congresistas con vínculos familiares con la alcaldesa de Bogotá que… https://t.co/RMhGa5Ljff</t>
  </si>
  <si>
    <t>Nos vemos este viernes 8 de octubre a las 2:00 p.m. En el Parque Olaya Herrera en la ciudad de Pereira.… https://t.co/VbFDN0J1kN</t>
  </si>
  <si>
    <t>RT @petrogustavo: Ayer viví uno de los peores días del Congreso. Congresistas con vínculos familiares con la alcaldesa de Bogotá que le dan…</t>
  </si>
  <si>
    <t>Han dicho que es mentira que exista el poder de veto de la alcaldía de Bogotá sobre las demás alcaldías que integre… https://t.co/JqOjxHyDzM</t>
  </si>
  <si>
    <t>RT @LupeMohawk: Gente de los municipios de la Sábana de Bogotá, Mesas Ambientales, colectivos barriales, pónganse las pilas que están pedal…</t>
  </si>
  <si>
    <t>La.persona que habla debería estar presa . Es una persona en toda la extensión de la palabra: paramilitar. https://t.co/9vecvvXXZ5</t>
  </si>
  <si>
    <t>La estructuración de la licitación del metro subterraneo, fue abierta con.el gobierno de Santos. El ministro Carden… https://t.co/uffeS4EP85</t>
  </si>
  <si>
    <t>De paso le avalaron el.otro.proyecto en la FDN agencia que el gobierno nacional designó para estructurar su otro pr… https://t.co/XJuH5Jwgts</t>
  </si>
  <si>
    <t>RT @petrogustavo: Han dicho que es mentira que exista el poder de veto de la alcaldía de Bogotá sobre las demás alcaldías que integren la R…</t>
  </si>
  <si>
    <t>Hoy estaré en la librería Lerner de la AV Jiménez #4-35 en Bogotá, en la firma de libros de #UnaVidaMuchasVidas. N… https://t.co/bZ5r9S0n6x</t>
  </si>
  <si>
    <t>RT @CarlosCarrilloA: La región metropolitana es un acuerdo político entre @ClaudiaLopez y @German_Vargas. Lo que @JuanitaGoe llama “deponer…</t>
  </si>
  <si>
    <t>Al no haber rechazo de los asistentes a la reunión de la s. Cabal, ni de ella misma, a la presencia de este sujeto,… https://t.co/FcpZeNoxuO</t>
  </si>
  <si>
    <t>Dijeron que es mentiras que el monstruo antidemocratico llamado Región Metropolitana de Bogotá, irrespeta los.plane… https://t.co/exOiCbI6On</t>
  </si>
  <si>
    <t>Al sacar a la ciudadanía del ordenamiento del territorio de la Sabana de Bogotá, llegan otros grupos de poder econó… https://t.co/IhAUdvz8io</t>
  </si>
  <si>
    <t>RT @petrogustavo: Hoy estaré en la librería Lerner de la AV Jiménez #4-35 en Bogotá, en la firma de libros de #UnaVidaMuchasVidas. Nos vem…</t>
  </si>
  <si>
    <t>Dicen que las decisiones en la región metropolitana de Bogotá se tomaran por consenso de los alcaldes de los munici… https://t.co/vVn1IQu6Ly</t>
  </si>
  <si>
    <t>Dicen que es mentira que se intenta con la región metropolitana de Bogotá urbanizar la sabana y para ello extender… https://t.co/8gB6EA25FK</t>
  </si>
  <si>
    <t>Mañana estaré en el Olaya Herrera de Pereira. Los espero. https://t.co/pAtfptKhHk</t>
  </si>
  <si>
    <t>Así fue la firma de mi libro en la libreria Lerner en el centro de Bogotá. https://t.co/UrNMYajX1a</t>
  </si>
  <si>
    <t>RT @petrogustavo: Mañana estaré en el Olaya Herrera de Pereira. Los espero.</t>
  </si>
  <si>
    <t>Hoy estaré en el Olaya Herrera de Pereira. Los y las espero.</t>
  </si>
  <si>
    <t>"La Europa" es un predio rural de Ovejas, Sucre, ícono de la reforma Agraria. En este gobierno la piensan expropiar… https://t.co/oyTmh596gp</t>
  </si>
  <si>
    <t>RT @petrogustavo: Hoy estaré en el Olaya Herrera de Pereira. Los y las espero.</t>
  </si>
  <si>
    <t>En Pereira. https://t.co/gHfeLE5FoN</t>
  </si>
  <si>
    <t>En reunión con empresarios de Pereira.¿Cómo reconstruir el cafetal? ¿Cómo desatar la industrialización de Pereira?… https://t.co/6MB09cq9d0</t>
  </si>
  <si>
    <t>Jamás los niños son un blanco legitimo. Estamos bajo la reedición de Heródes. https://t.co/1oMMXjnp9w</t>
  </si>
  <si>
    <t>Pereira a esta hora. https://t.co/JqxG1hQvk9</t>
  </si>
  <si>
    <t>https://t.co/9KBBM4dUww</t>
  </si>
  <si>
    <t>RT @urianaguariyu: Hoy en Pereira le propusimos a la hermana de Lucas Villa que haga parte de nuestra lista al Congreso por el #PactoHistór…</t>
  </si>
  <si>
    <t>La Bogotá inhumana. https://t.co/q3cB4Ye0tz</t>
  </si>
  <si>
    <t>RT @AlejoBetancurt7: "Cuando la juventud quiere irse de su país es el fracaso de la nación completa" Gustavo Petro, ahora en Pereira. #Pe…</t>
  </si>
  <si>
    <t>RT @EsDavidGomez: #PereiraConPetro https://t.co/x7tPnYOONL</t>
  </si>
  <si>
    <t>RT @Lucho4758: #PereiraConPetro #BienvenidosAPetroPresidente2022 con @petrogustavo esta el PUEBLO no los logos de los partidos políticos. h…</t>
  </si>
  <si>
    <t>RT @edilesakennedy: Pasaba por acá, por el parque Olaya Herrera de Pereira y me encuentro con tremendo furor de esperanza. Les confieso qu…</t>
  </si>
  <si>
    <t>RT @dinativa86: Habla la hermana de #lucasvilla en #PereiraConPetro https://t.co/xR1wR20cwC</t>
  </si>
  <si>
    <t>RT @Yohana_Nerta: #PereiraConPetro No sé quién es pero me lleno de ternura https://t.co/d1VCTuKrmD</t>
  </si>
  <si>
    <t>RT @MissPoirot07: Acá andamos #PereiraConPetro ✊🏻 https://t.co/Lb7RbonYLN</t>
  </si>
  <si>
    <t>https://t.co/V8F0BEVg8K</t>
  </si>
  <si>
    <t>https://t.co/GQoYh0TACx</t>
  </si>
  <si>
    <t>RT @AidaAvellaE: Somos apropiadores de trabajo, tierra y derechos. #PactoHistórico @petrogustavo Presidente!! https://t.co/f1y3FvOMSr</t>
  </si>
  <si>
    <t>RT @ColResistiendo: De una manera inesperada ¡así el pueblo de Pereira recibió al senador Gustavo Petro! Al lado del pueblo, en las calles,…</t>
  </si>
  <si>
    <t>RT @ColombiaHumana_: Así recibió Pereira a @petrogustavo. El #PactoHistórico empieza a florecer en el eje cafetero. El objetivo es devolver…</t>
  </si>
  <si>
    <t>Industrializar a Pereira desde el barrio popular, desde la mujer del barrio, desde el joven, ese es el compromiso d… https://t.co/rdNpi3pgyR</t>
  </si>
  <si>
    <t>La Bogotá Inhumana. https://t.co/TdEQrWi3yB</t>
  </si>
  <si>
    <t>RT @petrogustavo: Industrializar a Pereira desde el barrio popular, desde la mujer del barrio, desde el joven, ese es el compromiso del Pac…</t>
  </si>
  <si>
    <t>Se llama aporofobia, se llama xenofobia, se llama brutalidad estatal Detrás de estos actos de violencia del Estado… https://t.co/sJ0ECwHpQh</t>
  </si>
  <si>
    <t>A Colombia la gobierna Herodes y Nerón.</t>
  </si>
  <si>
    <t>RT @GustavoBolivar: Viernes de conspiretas. @Margaritarosadf @betocoralg @VillanueAle @LUIGGYQ @claudiazea28 @ISAZULETA Tema central: El Pa…</t>
  </si>
  <si>
    <t>RT @petrogustavo: A Colombia la gobierna Herodes y Nerón.</t>
  </si>
  <si>
    <t>En #UnaVidaMuchasVidas establezco un diálogo con otros libros. El Quijote, la obra de Gramsci, o poetas como Carlos… https://t.co/3cy5cxbPxI</t>
  </si>
  <si>
    <t>Bienvenida a la libertad. https://t.co/Us0XUUGnx8</t>
  </si>
  <si>
    <t>El movimiento ciudadano "Medellín Imparable" se vincula al Pacto Histórico. https://t.co/8aDITtt7uo</t>
  </si>
  <si>
    <t>Un viejo trino sobre una casa que no es mia. Así era la campaña del uribismo, así llevaban a votar por Duque. Ahora… https://t.co/hJXktiKbWg</t>
  </si>
  <si>
    <t>@winston02587 Fallaste. No tengo carro propio, ni finca. Ni compro a 25.000 pesos el metro cuadrado. Ni tengo cuent… https://t.co/S506iJHs2G</t>
  </si>
  <si>
    <t>La policia de Tibú debe dar una explicación de este asesinato de niños. El fiscal general no puede dejar en la impu… https://t.co/PlhHkj9C3h</t>
  </si>
  <si>
    <t>Así fue el genocidio que el estado cometió contra el pueblo del Caribe, para que un puñado de narcoterratenientes s… https://t.co/NTmkXh81Nb</t>
  </si>
  <si>
    <t>Ayer me rodeé de otra multitud. La multitud vital de la naturaleza. Desde las piedras sagradas Panches, las de la v… https://t.co/eTloVyEx5p</t>
  </si>
  <si>
    <t>Paramilitarismo puro y simple dominando Tibú. Les parece más valiosa la mercancía que la vida, les parece que la ju… https://t.co/mzG2b71HB1</t>
  </si>
  <si>
    <t>RT @petrogustavo: La policia de Tibú debe dar una explicación de este asesinato de niños. El fiscal general no puede dejar en la impunidad…</t>
  </si>
  <si>
    <t>Para la seudoperiodista, en realidad es una propagandista, los simbolos del capitalismo son los amenazados de muert… https://t.co/fvUvEUI5Ry</t>
  </si>
  <si>
    <t>RT @riptiger9914: https://t.co/ypkkaXmF9S</t>
  </si>
  <si>
    <t>RT @petrogustavo: Ayer me rodeé de otra multitud. La multitud vital de la naturaleza. Desde las piedras sagradas Panches, las de la vida y…</t>
  </si>
  <si>
    <t>RT @CMonteroOficial: #Colombia 2021 https://t.co/hS5jVNtqQg</t>
  </si>
  <si>
    <t>RT @NanyPardo: Me habían advertido tanto sobre la posible hostilidad de Pereira con el #PactoHistórico, que iba súper prevenida. La ciudad…</t>
  </si>
  <si>
    <t>RT @ivan31E: @GustavoBolivar A este tipo se los entregaron los del almacén, debe existir justicia, deben encontrar a este criminal y judici…</t>
  </si>
  <si>
    <t>Jóvenes organizando la Antioquia progresista. https://t.co/hAZYWrzQb0</t>
  </si>
  <si>
    <t>Has untado de sangre Bogotá y no calumnio. Tu, sí. https://t.co/kov2YftvLc</t>
  </si>
  <si>
    <t>Aquí funcionó la sede de la alcaldía distrital de la Bogotá Humana. Fue en Ciudad Bolívar. Aquí despache como el al… https://t.co/2CMTmlkSCu</t>
  </si>
  <si>
    <t>Y amas; y vinculas el corazón a la política y lo saludo y respeto, también lo hago, solo que tu amor va en un camin… https://t.co/ueCV82UVF1</t>
  </si>
  <si>
    <t>RT @AProgresista_: ˝Si el Polo no rompe de inmediato con la Alcaldía de Claudia López se hace cómplice de esta pirómana˝: exministro @bula_…</t>
  </si>
  <si>
    <t>RT @petrogustavo: Has untado de sangre Bogotá y no calumnio. Tu, sí.</t>
  </si>
  <si>
    <t>¿Que diría hoy del barrio Bolívar 83 de Zipaquirá que fundé siendo un joven de 22 años? Que hay que garantizar la e… https://t.co/vjm4IGIZr4</t>
  </si>
  <si>
    <t>Alejandro, coincidiste conmigo en Pereira, creo que olvidas algo en el video: el desempleo alarmante de Pereira se… https://t.co/IXqg6Q77EK</t>
  </si>
  <si>
    <t>RT @ALFREDOSAADEV: Te aseguro hijo que tu clamor llegó al cielo. Ve en paz. Dios perdónanos porque hemos pecado contra ti no hemos protegid…</t>
  </si>
  <si>
    <t>La.policia del Norte de Santander me llevó a la emboscada donde me iban a asesinar en la campaña presidencial del 2… https://t.co/DUO6uYSoOE</t>
  </si>
  <si>
    <t>Fiscal General, le exijo la captura inmediata de los asesinos de estos niños, como de los asesinos de los jóvenes q… https://t.co/SiPxZyJX0O</t>
  </si>
  <si>
    <t>Levántate, no mas Herodes y Nerón. ¿Cristianos los que apoyan el asesinato de los niños? ¿O simples filisteos con… https://t.co/xKvAge1Flc</t>
  </si>
  <si>
    <t>RT @petrogustavo: ¿Que diría hoy del barrio Bolívar 83 de Zipaquirá que fundé siendo un joven de 22 años? Que hay que garantizar la educaci…</t>
  </si>
  <si>
    <t>1. La principal fuente de trabajo para la población del Caquetá, el Amazonas, Putumayo, el Guaviare, el Vaupés y el… https://t.co/1rIAZYUhTM</t>
  </si>
  <si>
    <t>En Tibú hubo un genocidio y la frontera quedó en mano de las.mafias. https://t.co/wsjk86wbDt</t>
  </si>
  <si>
    <t>En contra de la sentencia de la Corte constitucional que ordena proteger la población recicladora, y por cuyo cumpl… https://t.co/eNn86vOxif</t>
  </si>
  <si>
    <t>Asi va la vacunación contra el covid en América Latina. La población colombiana aun está expuesta a una nueva ola… https://t.co/njZgfKiLXI</t>
  </si>
  <si>
    <t>RT @altereddie: ... https://t.co/V5VBei3vbF</t>
  </si>
  <si>
    <t>RT @HernandoFranc0: Lo único que demuestra la encuesta del @PartidoVerdeCoL es que @petrogustavo debe liderar la #CoalicionDeLaEsperanza ht…</t>
  </si>
  <si>
    <t>RT @YesidLancheros: En una encuesta interna entre simpatizantes de la Alianza Verde, sobre intención de voto para el 2022, ganó Gustavo Pet…</t>
  </si>
  <si>
    <t>RT @AProgresista_: #ÚltimaHora El 67% de los simpatizantes del @PartidoVerdeCoL 🌻 quieren que el Pacto Histórico y la Coalición de Espera…</t>
  </si>
  <si>
    <t>No importan las encuestas, la decisión de un grupo del verde es impedir a toda costa la unidad democrática. Cualqui… https://t.co/G6nPB3nId3</t>
  </si>
  <si>
    <t>RT @RevistaDinero: ¡No son una, son dos encuestas! Petro barre en las mediciones internas de la Alianza Verde https://t.co/3pkT0iBBkO</t>
  </si>
  <si>
    <t>RT @felipedcon: Los Peligros que nos trae la Región Metropolitana https://t.co/5XyxrsGY6g</t>
  </si>
  <si>
    <t>RT @ElPregonar: #POLÍTICA. Petro gana hasta en las encuestas que realiza el Partido Verde. https://t.co/wqEgXw6nMy</t>
  </si>
  <si>
    <t>Casi un 70% del electorado verde de Colombia quiere la unidad democrática. La he propuesto desde el 2018. Me compl… https://t.co/H9kCBR8e1p</t>
  </si>
  <si>
    <t>Una derrota de las fuerzas progresistas en el 2022, como sucedió en 1946, solo traerá el fascismo con consecuencias desastrosas.</t>
  </si>
  <si>
    <t>En 1946 la mayoría del pueblo era liberal y quería la "revolución en marcha" pero se dividieron sus líderes más pro… https://t.co/hOyA0NjQYw</t>
  </si>
  <si>
    <t>Francia se reindustrializa mientras yo propongo industrializar a Colombia, haya aplauden, aquí dicen: ¡populismo!… https://t.co/GpNV9rgvnH</t>
  </si>
  <si>
    <t>Industrializar a Colombia implica: 3. Democratización del crédito, la tierra, la conectividad y los conocimientos… https://t.co/8lNwRKMbip</t>
  </si>
  <si>
    <t>Industrializar a Colombia implica: 6. Desarrollar la integración latinoamericana comenzando por revitalizar el Pac… https://t.co/bqReQWGXAp</t>
  </si>
  <si>
    <t>Francia se reindustrializa mientras yo propongo industrializar a Colombia, allá aplauden, aquí dicen: ¡populismo!… https://t.co/nsHjKrxpOB</t>
  </si>
  <si>
    <t>Industrializar a Colombia implica: 3. Democratización del crédito, la tierra, la conectividad y los conocimientos… https://t.co/qFOlsqOXHS</t>
  </si>
  <si>
    <t>Industrializar a Colombia implica: 6. Desarrollar la integración latinoamericana comenzando por revitalizar el Pac… https://t.co/5k11qfUzBB</t>
  </si>
  <si>
    <t>RT @intiasprilla: Quiero decirle públicamente a la senadora @AngelicaLozanoC que uno no puede decir que representa la esperanza, y al mismo…</t>
  </si>
  <si>
    <t>Aunque.esto.lo diga el embajador de Colombia ante la OEA: un fascista. Me toca afirmar ante el mundo que el 12 de… https://t.co/VDRCiEzzlP</t>
  </si>
  <si>
    <t>RT @petrogustavo: Casi un 70% del electorado verde de Colombia quiere la unidad democrática. La he propuesto desde el 2018. Me complace qu…</t>
  </si>
  <si>
    <t>RT @petrogustavo: Francia se reindustrializa mientras yo propongo industrializar a Colombia, allá aplauden, aquí dicen: ¡populismo! La ind…</t>
  </si>
  <si>
    <t>Mujeres que luchan. https://t.co/wcRrduiElE</t>
  </si>
  <si>
    <t>Mariana Mazzucato la principal economista hoy en el mundo, propone un nuevo pacto social entre el sector público y… https://t.co/icArvbBGmU</t>
  </si>
  <si>
    <t>Estas son las proyecciones del FMI que produjo alegria en la prensa. Crecería la economía este año, se estanca el.… https://t.co/3bNad7hdYA</t>
  </si>
  <si>
    <t>Es por esto que es profundamente pertinente la propuesta de cambio de modelo hacia una economía productiva que le p… https://t.co/GzGR98jjP4</t>
  </si>
  <si>
    <t>No es más que el canto de cisne de la economía fósil que entra en su fase final. Crecemos porque crecen las utilida… https://t.co/Ab28BNnD7i</t>
  </si>
  <si>
    <t>RT @_carlosduque: “No es Petro el peligro porque no es mucho lo qué hay por dañar; más es el peligro de que por tratar de detenerlo nos com…</t>
  </si>
  <si>
    <t>La mineria canadiense en Colombia amerita esta protesta colombiana en Canadá. La minería de metales se puede hacer… https://t.co/w4PvH6JfSG</t>
  </si>
  <si>
    <t>El menor de edad asesinado en Tibú era indígena y Wayúu. Todas las discriminaciones en un asesinato abominable</t>
  </si>
  <si>
    <t>RT @petrogustavo: Estas son las proyecciones del FMI que produjo alegria en la prensa. Crecería la economía este año, se estanca el.año en…</t>
  </si>
  <si>
    <t>No se quien asesinó al "Pulpo Invisible" Luis Horacio Escobar Saldarriaga. Las informaciones que teníamos decían qu… https://t.co/3YORc1GU5Y</t>
  </si>
  <si>
    <t>Si conconcreto entra en reestructuración por su responsabilidad en el desastre de ingenieria y financiero de Hidroi… https://t.co/0FuuF0rUQt</t>
  </si>
  <si>
    <t>¿ Por qué el distrito capital vinculó a sus principales obras públicas: metro y troncales de transmilenios, las em… https://t.co/zi8a90CJPU</t>
  </si>
  <si>
    <t>RT @PlataformaALTO: Murió 'Panqueque', el gatico sobreviviente al desalojo en Puente Aranda por parte del ESMAD y la Alcaldía de Bogotá. Tr…</t>
  </si>
  <si>
    <t>Dijeron que privatizar el servicio de aseo era mejor, prácticamente duplicaron las tarifas, ahora le queman las cas… https://t.co/7xYQ997UC7</t>
  </si>
  <si>
    <t>Efectivamente para cambiar esto, debemos unirnos. Unidad y cambio real es la verdadera estrategia. https://t.co/1AbsfyT2dG</t>
  </si>
  <si>
    <t>RT @JuanFraile: Así están varios barrios de Bogotá en las localidades de Bosa, Fontibón y Kennedy. El operador lleva 20 días sin recoger la…</t>
  </si>
  <si>
    <t>RT @macdonal5: @merv59 https://t.co/4sv0ARIT5s</t>
  </si>
  <si>
    <t>RT @PinedaRuizBog: Así amanecen algunos barrios de Bogotá en las localidades de Bosa, Fontibón y Kennedy. El operador lleva 20 días sin rec…</t>
  </si>
  <si>
    <t>RT @petrogustavo: Si conconcreto entra en reestructuración por su responsabilidad en el desastre de ingenieria y financiero de Hidroituango…</t>
  </si>
  <si>
    <t>Gustavo Bolívar es un empresario, es decir, un capitalista. El comunismo según la definición de Marx, es una socied… https://t.co/1MabNNJ4Y7</t>
  </si>
  <si>
    <t>El pacto histórico es una confluencia diversa política y social que no se propone construir el comunismo sino desar… https://t.co/qZADGXIjYu</t>
  </si>
  <si>
    <t>La necesidad hoy de Colombia es abandonar las relaciones de producción premodernas, las formas de indignidad labora… https://t.co/Icp1Urg3Sj</t>
  </si>
  <si>
    <t>Buscamos empoderar la economía popular, es decir la iniciativa privada, buscamos democratizar el crédito, el saber,… https://t.co/e8avEW0jMk</t>
  </si>
  <si>
    <t>RT @Alexrolapiz1: El obrero de derecha #Caricatura #Politica #MantenidoVagoYBobo #FelizJueves https://t.co/UT1e2EikuS</t>
  </si>
  <si>
    <t>La corte constiticional permitió que la consulta popular que era obligatoria para asociar municipios ya no exista e… https://t.co/TccU8rs3yR</t>
  </si>
  <si>
    <t>Al contrario, con la decisión de la Corte Constitucional sobre región metropolitana, lo que ha vencido son los inte… https://t.co/GgHvMFf3eP</t>
  </si>
  <si>
    <t>No les.pareció inconstitucional que se lavara dólares y se despojara a millones de campesinos con la tierra en Colo… https://t.co/aZPmB4CHOe</t>
  </si>
  <si>
    <t>RT @EdisonBedoya21: Critican a @petrogustavo porque habla de comprar tierras, para darlas al campesino, y que las ponga a producir... Pero…</t>
  </si>
  <si>
    <t>RT @LeonFredyM: - @petrogustavo es un figura muy importante para este país, casi todos los del @PartidoVerdeCoL hemos votado por Él. Hay un…</t>
  </si>
  <si>
    <t>La política: que es la manera de entender el mundo y a los y las otras, incide en el arte y la estética, en lo que… https://t.co/q6b8jfTE5V</t>
  </si>
  <si>
    <t>Horroroso, de acuerdo a la senadora Cabal y sus aplaudidores, es Picasso, Neruda, García Márquez, Víctor Hugo, Cass… https://t.co/gb3Gt2Sx23</t>
  </si>
  <si>
    <t>Este es el bloque progresista que le propongo a Colombia. En Alemania es posible y es mayoría, ¿por qué no en Colom… https://t.co/gyONw0jVog</t>
  </si>
  <si>
    <t>RT @ColombiaHumana_: Con la Resolución 7417 del 2021 del Consejo Nacional Electoral, Colombia Humana ahora cuenta con Personeria Jurídica.</t>
  </si>
  <si>
    <t>El San Jorge nos espera. Un pacto por los y las campesinas de Córdoba y Sucre https://t.co/aOMT2Q1Hso</t>
  </si>
  <si>
    <t>El abogado uribista Ariel Ortega es condenado a más de seis años de prisión por amenzar por redes a matador y otro… https://t.co/QhxJRo0QRZ</t>
  </si>
  <si>
    <t>Tiene la razón Uribe, mataron miles de campesinos, despojaron la tierra a millones y no producen en esa tierra roba… https://t.co/eopWW5W5yE</t>
  </si>
  <si>
    <t>Esta ley la impulsó Alvaro Uribe. Me parece la base de un pacto. Es el pilar legal para democratizar la tierra fért… https://t.co/yHeJqGzhKr</t>
  </si>
  <si>
    <t>Le propongo a Alvaro Uribe que revivamos esta ley. https://t.co/FeTlFSJcVe</t>
  </si>
  <si>
    <t>Hablo de 22 millones de hectáreas de tierra fértil de las que solo se usan 6 millones para producción. Si las 16 mi… https://t.co/zp8YbWJ5ED</t>
  </si>
  <si>
    <t>Jajajaja, la seudoperiodista ya confundio venta con expropiar. Maria andrea cuando compro una cerveza en una tienda… https://t.co/YFwAAYOUna</t>
  </si>
  <si>
    <t>RT @AlexKleinO: Atacan a @petrogustavo por querer comprar tierras improductivas, pero se les olvida que la propia constitución lo permite.…</t>
  </si>
  <si>
    <t>Cuando hago la propuesta de un impuesto a la tierra fertil improductiva para grandes haciendas combinado con la pos… https://t.co/GtyXGP9uNQ</t>
  </si>
  <si>
    <t>¿Por qué causa tanto revuelo mi propuesta en la capa dirigente del pais? Porque dejaron convertir la tierra en el l… https://t.co/ZKS0qeotou</t>
  </si>
  <si>
    <t>Tener tierra fértil improductiva no es capitalista, es feudal, premoderno. Esa premodernidad explica la enorme desi… https://t.co/kqy8mZ0QkW</t>
  </si>
  <si>
    <t>Si la tierra fértil se convierte en un instrumento de producción democratizado, se enriquece el campesinado, aument… https://t.co/9qRSVdFjwi</t>
  </si>
  <si>
    <t>La reforma agraria además, permite quitar presión económica y mercantil sobre la frontera agraria que no se debe ex… https://t.co/9ty7B2KPab</t>
  </si>
  <si>
    <t>Es por todas estas razones que desde 1936 existe en la constitución el concepto que la propiedad privada tiene una… https://t.co/CanVioUH8o</t>
  </si>
  <si>
    <t>El pensamiento extremista de derecha portavoz de los intereses de los lavadores de dólares de la cocaína que se han… https://t.co/bDIAdvhN7A</t>
  </si>
  <si>
    <t>No llegaremos a ser un país moderno, industrializado y pacífico si no hacemos una reforma agraria, que haga de la t… https://t.co/uofP32mnsP</t>
  </si>
  <si>
    <t>¡Ay Carolina! Un poco más de estudio. La tierra en Colombia tiene baja productividad no por el campesinado, sino po… https://t.co/kqcB42HiOD</t>
  </si>
  <si>
    <t>Te recomiendo leerte la ley 200 de tierras de 1936 de Lopez Pumarejo en la Revolución en marcha y la violencia que… https://t.co/NHPX3JTWtS</t>
  </si>
  <si>
    <t>RT @petrogustavo: Cuando hago la propuesta de un impuesto a la tierra fertil improductiva para grandes haciendas combinado con la posibilid…</t>
  </si>
  <si>
    <t>Maria, haces parte del partido de los expropiadores, nosotros somos el partido de los apropiadores. Uds expropiaro… https://t.co/vJaU2oQPS7</t>
  </si>
  <si>
    <t>Salimos del consenso de Washington en materia económica que disparó la desigualdad social en el mundo a traves de u… https://t.co/gSBkt5SMel</t>
  </si>
  <si>
    <t>Llegó el momento de los cambios en materia económica en el mundo y es el Pacto Histórico en Colombia el que puede l… https://t.co/QxuMvexhWz</t>
  </si>
  <si>
    <t>Según la encuesta del centro nacional de consultoría estamos llegando a un 40% de intención del voto de la població… https://t.co/XskoUx23Yi</t>
  </si>
  <si>
    <t>Avanzamos y puede ser la primera victoria popular de la historia de Colombia https://t.co/zC44IojROD</t>
  </si>
  <si>
    <t>RT @petrogustavo: Avanzamos y puede ser la primera victoria popular de la historia de Colombia https://t.co/zC44IojROD</t>
  </si>
  <si>
    <t>Lamentablemente no se consiguieron las vacunas suficientes, el gobierno no peleó por levantar las patentes y llegar… https://t.co/vEBaYOUS3u</t>
  </si>
  <si>
    <t>Si un latifundista improductivo no quiere vender su tierra tendrá dos alternativas: 1. Volver productiva su tierra… https://t.co/jn90Nd4DNu</t>
  </si>
  <si>
    <t>Un pacto a todas y todos los líderes religiosos de Colombia, sin importar el culto, que ayuden a construir la paz y… https://t.co/N5X3UZOUhE</t>
  </si>
  <si>
    <t>Colombia se inclinan a votar por el Pacto Histórico más que por cualquier otra consulta, según esta encuesta. Hay… https://t.co/ExqWiOWmOZ</t>
  </si>
  <si>
    <t>El cambio del modelo extractivista de Colombia es fundamental para lograr que la temperatura promedio del planeta n… https://t.co/jeJ0O8ygfC</t>
  </si>
  <si>
    <t>Hasta ahora se ha creído que nuestro papel es marginal respecto a la crisis climática del mundo. Pero de los mayore… https://t.co/63eJmimXg4</t>
  </si>
  <si>
    <t>América del Sur debería iniciar ya las presiones en la ONU para que se pueda compensar con fondos internacionales l… https://t.co/XjBhRfsFqv</t>
  </si>
  <si>
    <t>Me temo que esta es la sede más bonita. Queda en Medellín. https://t.co/t6QSzkxoI2</t>
  </si>
  <si>
    <t>Del 16% de la base de liquidación mensual del aporte, solo el 11,5% de la base va a la cuenta individual del cotiz… https://t.co/4F7LOlIFy1</t>
  </si>
  <si>
    <t>La mayor parte del aporte que no se destina a ahorro pensional del cotizante, es ganancia de la administradora del… https://t.co/l7Hqc56cPo</t>
  </si>
  <si>
    <t>Mi propuesta garantiza pensiones a los cotizantes de pensión y una renta por encima de la línea de pobreza a 3,5 mi… https://t.co/kGYkmKZDUX</t>
  </si>
  <si>
    <t>Mi propuesta pensional es similar a la fedesarrollo. Propone un sistema de pilares articulados. El primer pilar es… https://t.co/seHfVyvKR8</t>
  </si>
  <si>
    <t>El 2° pilar es de ahorro individual capitalizado que se cotiza a partir de una base de cotización superior a 4 sala… https://t.co/KXxMWKmReC</t>
  </si>
  <si>
    <t>La diferencia con la propuesta de fedesarrollo es que ellos proponen para el primer pilar solo hasta un salario mín… https://t.co/XhH0urNBWy</t>
  </si>
  <si>
    <t>¿Cual es la razón para que sean 4 salarios mínimos mensuales la base de liquidación para poder pasar al segundo pil… https://t.co/FNZGPhAxeW</t>
  </si>
  <si>
    <t>¿Que se gana con la reforma que propongo? Que la mayoría de los cotizantes tendrán una pensión, al menos de un sal… https://t.co/XMvExzaOE4</t>
  </si>
  <si>
    <t>Que el Estado dejará de girar 14 billones de pesos anuales a Colpensiones porque esta se financiará para pagar actu… https://t.co/Xf3HI6Qx0E</t>
  </si>
  <si>
    <t>Con 7 billones del presupuesto público que se libera de las transferencias a Colpensiones se podrá pagar un bono po… https://t.co/Cpl8XaKV9V</t>
  </si>
  <si>
    <t>¿Por que esto no es un robo a los cotizantes de las AFPs? porque la norma regirá desde que se expida la ley. Las cu… https://t.co/4c3z7Y5rq4</t>
  </si>
  <si>
    <t>Le expropiaron a seis millones de campesinos sus tierras, a dos millones de personas su salud y a 6.402 jóvenes su… https://t.co/174hsCeLY3</t>
  </si>
  <si>
    <t>RT @ColombiaHumana_: "Les expropiaron a seis millones de campesinos sus tierras, a dos millones de personas su salud y a 6.402 jóvenes sus…</t>
  </si>
  <si>
    <t>Oigan lo que decía Luis Carlos Galán sobre el problema de la alta concentración de la tenencia de la tierra fértil.… https://t.co/KF3kBqPcBs</t>
  </si>
  <si>
    <t>RT @NanyPardo: ¿Y si hacemos la lista de todo lo que nos ha expropiado Uribe? Empiezo yo: A mí #UribeMeExpropió el derecho a sacar pecho…</t>
  </si>
  <si>
    <t>RT @petrogustavo: Le expropiaron a seis millones de campesinos sus tierras, a dos millones de personas su salud y a 6.402 jóvenes sus vida…</t>
  </si>
  <si>
    <t>RT @petrogustavo: Mi propuesta garantiza pensiones a los cotizantes de pensión y una renta por encima de la línea de pobreza a 3,5 millones…</t>
  </si>
  <si>
    <t>Las Administradoras de fondos pensionales, ya confesaron que no entregan rentas vitalicias de vejez, es decir no en… https://t.co/gMwBGOiJOi</t>
  </si>
  <si>
    <t>Cuando lo solicitan los cotizantes la administradora de fondo pensional le entrega una mensualidad que será lo que… https://t.co/OjTMtItO5x</t>
  </si>
  <si>
    <t>En realidad ya no hay derecho a la pensión ni pensiones en los fondos privados de pensión, estos administran los ah… https://t.co/WFCqwCsjTL</t>
  </si>
  <si>
    <t>He propuesto cambiar el sistema por uno de pilares donde todo el universo de cotizantes, cotice hasta por la base d… https://t.co/jAxv1BONW7</t>
  </si>
  <si>
    <t>Las personas que puedan ganar más de cuatro salarios mínimos mensuales, después de aportar por está base a Colpensi… https://t.co/2KHRulTlWW</t>
  </si>
  <si>
    <t>Así garantizará el estado que al menos, si se cumplen los requisitos: 25 años se trabajo y una edad de 62 años para… https://t.co/DVyzCITL5I</t>
  </si>
  <si>
    <t>El economista Iglesias, se equivoca cuando dice que expropiaremos las cuentas hasta ahora conformadas por los cotiz… https://t.co/HS5MPRDCLz</t>
  </si>
  <si>
    <t>Con esta propuesta se liberan $14 billones anuales del presupuesto que nos permitirá financiar un bono pensional de… https://t.co/n5VOrAhgBz</t>
  </si>
  <si>
    <t>RT @petrogustavo: Las Administradoras de fondos pensionales, ya confesaron que no entregan rentas vitalicias de vejez, es decir no entregan…</t>
  </si>
  <si>
    <t>Ya está disponible en todas las librerías del país, la segunda edición de mi libro #UnaVidaMuchasVidas.… https://t.co/bvyPF8JIBo</t>
  </si>
  <si>
    <t>Y no se cansan de intentarlo una y otra vez. Quienes esperan que aparezcan financiaciones de gobiernos extranjero… https://t.co/6T46frsZEs</t>
  </si>
  <si>
    <t>Estoy alistando una intervención jurídica para confrontar al general y presunto narcotraficante Hugo Carvajal, sea en España, sea en EEUU.</t>
  </si>
  <si>
    <t>Lo que acaba de aprobar el Congreso es que las elecciones del año entrante no tendrán garantías. Buscan el fraude… https://t.co/57ijBkOBcl</t>
  </si>
  <si>
    <t>Lo que sienten estas personas, se llama terror. el estado no esta para causar terror a menos que sea tiránico. https://t.co/pkKYZi9du9</t>
  </si>
  <si>
    <t>RT @DavidRacero: Representantes a la Cámara que votaron para eliminar la ley de garantías. Legalizan la compra de votos en las elecciones d…</t>
  </si>
  <si>
    <t>Solo porque estaban cantando en el parque los mataron. Solo porque eran jóvenes. Solo porque sus asesinos pensaron… https://t.co/N6GBHj0quE</t>
  </si>
  <si>
    <t>Ojalá ustedes leyeran este artículo Es la historia que nos ocultan, pero es el antecedente de un fascismo que gobe… https://t.co/7YVX8seWMm</t>
  </si>
  <si>
    <t>Con este Duque estaba de acuerdo. https://t.co/FGAdwVHR7q</t>
  </si>
  <si>
    <t>RT @petrogustavo: Ojalá ustedes leyeran este artículo Es la historia que nos ocultan, pero es el antecedente de un fascismo que gobernó a…</t>
  </si>
  <si>
    <t>Cualquier aplicación del levantamiento de la ley de garantías sería ilegal. Al ser una norma estatutaria debe ir a… https://t.co/p92jhOnyHm</t>
  </si>
  <si>
    <t>El presidente del Congreso debe de inmediato enviar los artículos que son normas estatutarias, aprobadas en la ley… https://t.co/cR1p80xg1d</t>
  </si>
  <si>
    <t>RT @petrogustavo: Solo porque estaban cantando en el parque los mataron. Solo porque eran jóvenes. Solo porque sus asesinos pensaron que s…</t>
  </si>
  <si>
    <t>Con la suspensión de las garantías electorales se lanzarán en masa a robar el erario y comprar votos. Los que hicie… https://t.co/BnL9JR5Dg4</t>
  </si>
  <si>
    <t>He solicitado a la Corte Suprema de Justicia que me investigue alrededor de las declaraciones dadas por el general… https://t.co/oD1cbHmd7T</t>
  </si>
  <si>
    <t>Le recuerdo a la prensa que durante el gobierno de Maduro yo solo he hecho una sola campaña electoral: la de la pre… https://t.co/Vdexj8guVa</t>
  </si>
  <si>
    <t>A esta realidad de depredación ambiental llego. Mi reunión con las comunidades de la Boquilla en Cartagena explo… https://t.co/vHeKC70TZl</t>
  </si>
  <si>
    <t>Reunión con empresarios del sector minero de metales y de piedras en Cartagena. Expongo mi propuesta de salida de… https://t.co/YbWRDBOGib</t>
  </si>
  <si>
    <t>En este momento en la Boquilla en Cartagena. Pacto Histórico. https://t.co/xJU5ka6S5p</t>
  </si>
  <si>
    <t>A pesar de la lluvia cada vez más gente en la Boquilla en Cartagena. https://t.co/xso92YFKY2</t>
  </si>
  <si>
    <t>Corregimiento de la Boquilla en Cartagena https://t.co/efAvz8UDn2</t>
  </si>
  <si>
    <t>Los pescadores se integran a la movilizacion del pueblo negro de la Boquilla para formar en el mar la P del Pacto,… https://t.co/a8cE5nuBie</t>
  </si>
  <si>
    <t>Inmensa la manifestación del.poder negro. En la playa en este lugar solo estuvo Luis Carlos Galán como candidato pr… https://t.co/TTmql5v6A9</t>
  </si>
  <si>
    <t>La hermosa foto de la P del pacto hecha por los pescaderes de la Boquilla en Cartagena. https://t.co/L4rzk2BW49</t>
  </si>
  <si>
    <t>Hoy los espero en Ibagué, en el Parque Murillo Toro, el gran encuentro popular entre el liberalismo y el progresis… https://t.co/GqXGupMHvs</t>
  </si>
  <si>
    <t>No es expropiar la hotelería amigo Araujo, sino que ustedes dejen de expropiar los territorios de las negritudes y… https://t.co/0Gkd8WZimv</t>
  </si>
  <si>
    <t>RT @petrogustavo: Hoy los espero en Ibagué, en el Parque Murillo Toro, el gran encuentro popular entre el liberalismo y el progresismo de…</t>
  </si>
  <si>
    <t>Un análisis de mi discurso en Cartagena https://t.co/kF3TGdeYjn</t>
  </si>
  <si>
    <t>Reunido en la Casa Liberal con los liberales del Tolima. https://t.co/z6DxHx25XI</t>
  </si>
  <si>
    <t>RT @susanamuhamad: La campaña presidencial de @petrogustavo y el pacto histórico sigue sumando apoyos para un gobierno que transfome a Colo…</t>
  </si>
  <si>
    <t>Recuperar la fuerza popular del liberalismo y juntarla con el progresidmo para transformar a Colombia. Ibagué. https://t.co/5cGyO8KK78</t>
  </si>
  <si>
    <t>Ibagué, pueblo liberal y pueblo prohgresista unidos. https://t.co/Pv5LgwFRTN</t>
  </si>
  <si>
    <t>RT @NicolasLopezLT: Hoy se reunieron dos liberales a quienes respeto, admiro y sigo con fervor; uno con carnet y el otro no. Ambos buscan…</t>
  </si>
  <si>
    <t>RT @ColombiaHumana_: Pactando con liberales en la Asamblea Departamental del Tolima. #LiberalesConPetro #PactoHistóricoTolima https://t.c…</t>
  </si>
  <si>
    <t>RT @ColombiaHumana_: Muchos temen que la marea roja se junte con nosotros, pues saben bien que si esto pasa el triunfo estará más cerca y l…</t>
  </si>
  <si>
    <t>RT @ammejiaaguado: Así fue la apoteósica multitud que recibió @velascoluisf y @petrogustavo en #Ibagué en La Plaza Murillo Toro https://t…</t>
  </si>
  <si>
    <t>Al pueblo liberal en toda Colombia le decimos que saquen sus banderas, sin temor, en todas las manifestaciones que… https://t.co/4lc5LAGRlt</t>
  </si>
  <si>
    <t>De la captura o negociación con alias "Otoniel" que lo saca de operaciones delincuenciales, y por ello hay que feli… https://t.co/e3gGAA4iiw</t>
  </si>
  <si>
    <t>1. Si el clan del golfo había solicitado a los últimos gobiernos una negociación jurídica para desmantelar toda la… https://t.co/M6W5u7XwtQ</t>
  </si>
  <si>
    <t>2. Sabemos que durante décadas han caído centenares de jefes del narcotráfico sin que este termine, al contrario, é… https://t.co/gXEOAxeR63</t>
  </si>
  <si>
    <t>3. El Estado ha evitado seguir un camino más eficaz de debilitamiento del narcotráfico al interior de su propia soc… https://t.co/Fr4CwqGvxH</t>
  </si>
  <si>
    <t>Esta alianza es con el campesinado cultivador de hoja de coca que pacífica y voluntariamente, si hay estado, puede… https://t.co/XIJ4eJ4ZhW</t>
  </si>
  <si>
    <t>Finalmente le pido a la contraloría el más estricto seguimiento de los pagos de recompensa. Hay indicios del uso c… https://t.co/5OtBMSEZP3</t>
  </si>
  <si>
    <t>Esta es una calumnia de la Blu, con la intención de hacer propaganda. Nosotros no amenzamos con expropiación. Nue… https://t.co/RNPUhoNK5V</t>
  </si>
  <si>
    <t>Nosotros hablamos de impuestos al latifundio improductivo y de compras estatales de tierra para el desarrollo de un… https://t.co/FpLLcH0EAd</t>
  </si>
  <si>
    <t>Juan Diego, que sepa, todos los días, a todas las horas, muchos periodistas me atacan; yo de vez en vez, respondo. https://t.co/1NDYIitYpu</t>
  </si>
  <si>
    <t>Estaré este jueves 28 de octubre en Cali con mi nuevo libro #UnaVidaMuchasVidas. Firma de libros: 2 a 4 p.m. En el… https://t.co/7sKeIOxe5N</t>
  </si>
  <si>
    <t>El Pacto Historico es una confluencia de fuerzas diferentes que logran construir objetivos comunes hacia una trans… https://t.co/u8k5ndfrWM</t>
  </si>
  <si>
    <t>El Consejo Electoral está integrado por representantes de los partidos políticos que su inmensa mayoría compiten co… https://t.co/06k9cHznrJ</t>
  </si>
  <si>
    <t>Una vez la Corte Constitucional en sentencia restableció el derecho a la personería jurídica de Colombia Humana que… https://t.co/xPcKdcNT3f</t>
  </si>
  <si>
    <t>Bajo el criterio que en la presidencial sacamos el 42% de los votos totales, dice este sector del Consejo Electoral… https://t.co/8VSEsPHmLN</t>
  </si>
  <si>
    <t>Las coaliciones son para partidos que sumados no alcancen el 15% en las elecciones de la circunscripción Como Colo… https://t.co/5q6LjavCNi</t>
  </si>
  <si>
    <t>Un sector del Consejo Electoral pretende trasladar entonces el resultado de las elecciones presidenciales a las par… https://t.co/gcDx5NbtPF</t>
  </si>
  <si>
    <t>Para nosotros de tomarse esa decisión significa, que tendríamos que sacar listas propias de Colombia Humana para sa… https://t.co/6huohvO3qK</t>
  </si>
  <si>
    <t>A todos y todas las militantes de Colombia Humana les propongo de tomarse la decisión atrabiliaria por el Consejo E… https://t.co/7HGAePmvDf</t>
  </si>
  <si>
    <t>La desigualdad es el principal problema de Colombia. Solución: distribuir extensamente los activos productivos que… https://t.co/y69jSJyIQt</t>
  </si>
  <si>
    <t>Avanzamos con tranquilidad. El camino del cambio de Colombia se abre paso. https://t.co/NTuGaGcAKx</t>
  </si>
  <si>
    <t>En reunión con empresarios de Cali. https://t.co/XBc0dlOQLV</t>
  </si>
  <si>
    <t>RT @petrogustavo: La desigualdad es el principal problema de Colombia. Solución: distribuir extensamente los activos productivos que gener…</t>
  </si>
  <si>
    <t>RT @ColombiaHumana_: ¡Petro, te amamos! Esto le grita la gente a @petrogustavo a esta hora en la @CaliFeriaLibro. ❤️🧡💛💚💙💜 https://t.co/Lk…</t>
  </si>
  <si>
    <t>RT @ColombiaHumana_: Que los empresarios le tienen miedo a @petrogustavo es lo que algunos quieren hacerle creer al país para sembrar pánic…</t>
  </si>
  <si>
    <t>A esta hora presento mi libro #UnaVidaMuchasVidas en la Feria del libro en Cali, al lado del escritor Julio César L… https://t.co/SBU5PBvn5g</t>
  </si>
  <si>
    <t>RT @BLUPacifico: 1/2 Así respondió @petrogustavo a quienes criticaron su encuentro en un restaurante de Cali con el alcalde @JorgeIvanOspin…</t>
  </si>
  <si>
    <t>RT @Tercer_Canal: La respuesta de @petrogustavo sobre la polémica alrededor de una foto durante un almuerzo hoy en Cali con @HOLLMANMORRIS…</t>
  </si>
  <si>
    <t>RT @anatolykarpovv: Que locura Cali, filas interminables para la firma de @petrogustavo</t>
  </si>
  <si>
    <t>El Domingo estaré en el rio San Jorge, Sucre. Un pacto con el campesinado. https://t.co/H3K5WpUFpV</t>
  </si>
  <si>
    <t>RT @velascoluisf: Dirigentes políticos que señalan al @PactoHistorico de “extrema izquierda” y “comunismo”, evidencian desconocimiento tota…</t>
  </si>
  <si>
    <t>RT @petrogustavo: El Domingo estaré en el rio San Jorge, Sucre. Un pacto con el campesinado. https://t.co/H3K5WpUFpV</t>
  </si>
  <si>
    <t>RT @BedoyaWeb: Así terminó la visita de @petrogustavo @ColombiaHumana_ a la Feria Internacional del Libro en el boulevard del río, centro d…</t>
  </si>
  <si>
    <t>Cuando hay democracia, el estado es transparente. Cuando hay dictaduras Goebbels gobierna. https://t.co/r8c5Nwgbaq</t>
  </si>
  <si>
    <t>Las extremas derechas usan el miedo y producen el miedo para ganar votos e influencia social. La FLIP ha descubiert… https://t.co/S6mgaNU9N6</t>
  </si>
  <si>
    <t>A mi me pareció que la actitud de las fuerzas militares durante la movilización social fue en general correcta y pr… https://t.co/YisZIm6Mlz</t>
  </si>
  <si>
    <t>El único delito en esta foto es del que tomó la foto sin nuestro consentimiento. Comer arepas de huevo, o comida va… https://t.co/lADCTv7ODM</t>
  </si>
  <si>
    <t>Las campañas electorales que he vivido me han dejado momentos excepcionalmente hermosos en medio del cansancio que… https://t.co/KVTNdWbbi2</t>
  </si>
  <si>
    <t>En ese mundo laboral lleno de incertidumbres por la quiebra, aparecieron voces feministas, culturales, poetas, sueñ… https://t.co/rKHFOs8iVy</t>
  </si>
  <si>
    <t>La diferencia social de ingresos entre el pequeño empresario y sus trabajadoras era pequeño, casi todos vivían en l… https://t.co/QQ4ps1I6Jg</t>
  </si>
  <si>
    <t>Esta iglesia patrimonio nacional, es la basílica menor del señor de los milagros de San Benito Abad en Sucre Es ce… https://t.co/8GcVkAy9u5</t>
  </si>
  <si>
    <t>Ese mundo campesino ha.sido masacrado por los expropiadores de tierras de los humildes que ha sangre y fuego llenar… https://t.co/vONbiqDPYe</t>
  </si>
  <si>
    <t>Este Cristo, el milagroso, cuenta Orlando Fals Borda, lo trajeron los españoles en una región indígena y campesina… https://t.co/iWYxOYwbSH</t>
  </si>
  <si>
    <t>Una manifestacion anfibia. San Benito Abad,Sucre. El pueblo campesino con el pacto https://t.co/Rl5opc5s8r</t>
  </si>
  <si>
    <t>Por las aguas de las ciénagas, por los ríos, por las aguas subterráneas fue creciendo la resistencia campesina para… https://t.co/TYlWsq5ZgZ</t>
  </si>
  <si>
    <t>https://t.co/29biqIscl5</t>
  </si>
  <si>
    <t>RT @CesarPachonAgro: @petrogustavo en San Benito Abad departamento de Sucre en diálogo con el campesinado. @Catalinaperezp_ Somos #PactoHi…</t>
  </si>
  <si>
    <t>El hombre caimán nos acompaña. La cultura anfibia de la Mojana, Sucre. https://t.co/4wkGK0Qr8m</t>
  </si>
  <si>
    <t>La COP26 refleja el esfuerzo del mundo por ponerle fin a la era del petroleo y el carbon y detener el calentamiento… https://t.co/0LwNCvCFjp</t>
  </si>
  <si>
    <t>En el programa de María Jimena dije que Néstor Humberto Martínez no podía ser llamado delincuente, por una razón:… https://t.co/TWC7W7XObG</t>
  </si>
  <si>
    <t>RT @petrogustavo: La COP26 refleja el esfuerzo del mundo por ponerle fin a la era del petroleo y el carbon y detener el calentamiento globa…</t>
  </si>
  <si>
    <t>Miren la hermosura de esta manifestación popular, de esta lucha campesina. En la lucha política la belleza es funda… https://t.co/PNDjFGGyro</t>
  </si>
  <si>
    <t>RT @petrogustavo: Miren la hermosura de esta manifestación popular, de esta lucha campesina. En la lucha política la belleza es fundamental…</t>
  </si>
  <si>
    <t>Me reuno con las trabajadoras y propietarios de una industria mediana de la confección en Bogotá. Subiremos los im… https://t.co/LzeRyKN518</t>
  </si>
  <si>
    <t>Con Alfredo Saade. En nombre del movimiento evangélico progresista decide su inscripción como precandidato presiden… https://t.co/KVsvnBzIuU</t>
  </si>
  <si>
    <t>¿Y por qué hay que usar el partido liberal para derrotar mi candidatura, si levanta lo más progresista que el parti… https://t.co/UR6rSZWIXh</t>
  </si>
  <si>
    <t>RT @petrogustavo: Me reuno con las trabajadoras y propietarios de una industria mediana de la confección en Bogotá. Subiremos los impuesto…</t>
  </si>
  <si>
    <t>Las preocupaciones de la mujer trabajadora: ¿cómo sus hijos pueden estudiar en una universidad? ¿cómo la primera in… https://t.co/QztVaEUGi9</t>
  </si>
  <si>
    <t>Estas preocupaciones deben ser parte del programa de las mujeres defendido por el.Pacto Histórico</t>
  </si>
  <si>
    <t>Lo único que vamos a expropiar es la ignorancia inducida, la injusticia social, la violencia perpetua. Sin miedo a… https://t.co/UyV4DNIPT6</t>
  </si>
  <si>
    <t>Lecciones de economía. De la emisión en tiempos de crisis de la demanda y capacidad de producción instalada ociosa. https://t.co/FrTlFeZuax</t>
  </si>
  <si>
    <t>RT @petrogustavo: Lo único que vamos a expropiar es la ignorancia inducida, la injusticia social, la violencia perpetua. Sin miedo al camb…</t>
  </si>
  <si>
    <t>Ortega transformó la revolución sandinista en una dictadura bananera. Nicaragua nos muestra como los viejos progres… https://t.co/Ry0g2l3PE3</t>
  </si>
  <si>
    <t>Los nuevos progresismos deben construir sociedades del conocimiento en América Latina. Impulsar el desarrollo produ… https://t.co/jw3oFR7mqe</t>
  </si>
  <si>
    <t>Dos maneras de calumniar, ni lo uno ni lo otro, mi querido Andres. Me gustaría mucho escuchar tus críticas pero haz… https://t.co/U53suKkkkU</t>
  </si>
  <si>
    <t>RT @petrogustavo: Ortega transformó la revolución sandinista en una dictadura bananera. Nicaragua nos muestra como los viejos progresismos…</t>
  </si>
  <si>
    <t>RT @petrogustavo: Las preocupaciones de la mujer trabajadora: ¿cómo sus hijos pueden estudiar en una universidad? ¿cómo la primera infancia…</t>
  </si>
  <si>
    <t>La encuesta por regiones de Datexco es contundente. En varias regiones del país ya nos acercamos a ganar en primera… https://t.co/efQ90z6TSt</t>
  </si>
  <si>
    <t>Gracias @ingrodolfohdez . Siempre serás bienvenido en los equipos del gobierno que cambiará a Colombia. https://t.co/UrRAyZhXoY</t>
  </si>
  <si>
    <t>Un pueblo imparable. Momentos hermosos de la gesta que cambiará la historia de Colombia. https://t.co/A1T2EM5utI</t>
  </si>
  <si>
    <t>RT @petrogustavo: Gracias @ingrodolfohdez . Siempre serás bienvenido en los equipos del gobierno que cambiará a Colombia.</t>
  </si>
  <si>
    <t>RT @wilberpreciado: La lengua es el azote del C$&amp;@ https://t.co/rJeTHXbgg8</t>
  </si>
  <si>
    <t>La confección tiene casi un millón y medio de puestos de trabajo, miles de estas empresas han quebrado porque Duque… https://t.co/aV7z0y0kgr</t>
  </si>
  <si>
    <t>Turquía, Bangladesh, Vietnam, y China hoy potencias de las confecciones y los textiles, tienen un 50% más de arance… https://t.co/RyJFAsX9Zq</t>
  </si>
  <si>
    <t>Producir desde el algodón, potenciar hilanderias y textileras, lograr planes de estudio para especialización en el.… https://t.co/LMtFURFxGo</t>
  </si>
  <si>
    <t>Son cuaro.grandes áreas a proteger de importaciones en Colombia para desatarbel crecimiento sustancial del empleo:… https://t.co/8Q5ZXchmMB</t>
  </si>
  <si>
    <t>RT @petrogustavo: La confección tiene casi un millón y medio de puestos de trabajo, miles de estas empresas han quebrado porque Duque no fu…</t>
  </si>
  <si>
    <t>Las mayores emisiones de gas metano provienen de la ganadería bovina y de los rellenos sanitarios Reducir emisione… https://t.co/IHDzg8Hr2f</t>
  </si>
  <si>
    <t>RT @alexbernalradio: Ese man nunca habló de expropiación. Pero hablemos de pedofilia y castración, querido farinelli</t>
  </si>
  <si>
    <t>¿Por qué los deportistas deben padecer el abandono cuando viejos? Su propia experiencia deportiva debe permitirles… https://t.co/GhehK8od0Q</t>
  </si>
  <si>
    <t>poner el peso a las escuelas de deportes en los colegios para detectar los talentos para el deporte olímpico y comp… https://t.co/DeB7HMEjyE</t>
  </si>
  <si>
    <t>La articulación del deporte y la educación no solo nos permitirá que todo deportista pueda desarrollarse después co… https://t.co/qCfTGlgBWq</t>
  </si>
  <si>
    <t>Mi querido amigo, @Carlospaz99M la reducción del peso del arriendo en el salario no implica disminución del ingres… https://t.co/8RtPIbzKWB</t>
  </si>
  <si>
    <t>RT @petrogustavo: ¿Por qué los deportistas deben padecer el abandono cuando viejos? Su propia experiencia deportiva debe permitirles volver…</t>
  </si>
  <si>
    <t>Encuesta con muestra aleatoria de 1533 personas efectuada para el departamento de Bolívar. Contundente. https://t.co/YnQbMogrZf</t>
  </si>
  <si>
    <t>RT @mariolopez1959: Qué dicen los puristas: Si llegan al PH conservadores, liberales y del Centro Democrático, como en este caso, qué hacem…</t>
  </si>
  <si>
    <t>Nos vemos hoy a las 7:30 p.m. por Instagram live de Forbes y en el mío https://t.co/5PsDdzLUZo https://t.co/LhAfgfY932</t>
  </si>
  <si>
    <t>De Glasgow a Emiratos Arabes Unidos. Pasar del cielo al infierno. Del lugar donde se trata de impedir el calentamie… https://t.co/hDayCC3mki</t>
  </si>
  <si>
    <t>RT @petrogustavo: Nos vemos hoy a las 7:30 p.m. por Instagram live de Forbes y en el mío https://t.co/5PsDdzLUZo</t>
  </si>
  <si>
    <t>Los invito a todos a suscribirse a mi canal de Youtube. #PetroEnYoutube https://t.co/LqUJ7rxaUt</t>
  </si>
  <si>
    <t>A las 7:30 p.m. nos vemos en el Instagram Live de @forbescolombia para hablar de mis ideas económicas. Los espero… https://t.co/fAAUQLc7N6</t>
  </si>
  <si>
    <t>RT @manuelzamudioa: Al rededor de 20 paises en la COP26, decidieron suspender financiación pública a proyectos de energias fosiles. Aqui sa…</t>
  </si>
  <si>
    <t>Suspender la exploración de carbón y petróleo es lo más serio que se puede hacer si se quiere ser responsable con l… https://t.co/INkLthDxrv</t>
  </si>
  <si>
    <t>RT @Mayo_Hemelson: Inspiración, voluntad y capacidad, en una sola foto intergeneracional @petrogustavo https://t.co/wgivFGoHIB</t>
  </si>
  <si>
    <t>RT @petrogustavo: Suspender la exploración de carbón y petróleo es lo más serio que se puede hacer si se quiere ser responsable con la vida…</t>
  </si>
  <si>
    <t>Estoy en vivo en Instagram Live en entrevista con Forbes hablando de mis ideas económicas, los invito a conectarse. https://t.co/VOFXJ3lgW0</t>
  </si>
  <si>
    <t>RT @petrogustavo: Estoy en vivo en Instagram Live en entrevista con Forbes hablando de mis ideas económicas, los invito a conectarse. http…</t>
  </si>
  <si>
    <t>RT @Bio_Saurus: Mientras todos los candidatos a la presidencia atacan a Petro. Él se dedica a plantear posibles soluciones para la crítica…</t>
  </si>
  <si>
    <t>RT @piedadcordoba: Abramos el corazón y soñemos con un nuevo país. Los microempresarios y madres de cabeza de hogar están con @PetroGusta…</t>
  </si>
  <si>
    <t>Con el magisterio de Antioquia en Medellín. https://t.co/NFOYTxQvhV</t>
  </si>
  <si>
    <t>Todo el magisterio de Antioquia de frente por la educación de su pueblo, de frente con.el Pacto Histórico.… https://t.co/2LkSwxTRfI</t>
  </si>
  <si>
    <t>La sede más bonita de Colombia y las candidata(o)s por Antioquia al Pacto Histórico, https://t.co/RegsL0TeAd</t>
  </si>
  <si>
    <t>RT @ColombiaHumana_: Y para quienes no tienen #TikTok, les dejamos aquí el video de @petrogustavo bailando la música de su tierra. 🥳🥳🥳 http…</t>
  </si>
  <si>
    <t>La transformación de Colombia es y debe ser, una fiesta https://t.co/bW5Q9JfKNa</t>
  </si>
  <si>
    <t>Me metí en "el hueco" de Medellín, un espacio de la economia popular de textiles, unos de confección antioqueña, ot… https://t.co/fTWhbLNTnu</t>
  </si>
  <si>
    <t>No señores no digan mentiras. Siempre estoy escoltado y no abadoné la zona, de hecho aún a esta hora estoy allí. He… https://t.co/xTW7qGzOWj</t>
  </si>
  <si>
    <t>RT @NoMasUribismo: @VickyDavilaH Hoy en el centro de Medellín, con Petro, gritamos la consigna que cada vez crece más en nuestro departamen…</t>
  </si>
  <si>
    <t>RT @Marianiniecheve: !Miles de personas abuchearon a @petrogustavo en Medellín! Claro que el video muestra otra cosa. Mejor ni lo vean 😂…</t>
  </si>
  <si>
    <t>RT @Marianiniecheve: Un tipo con una bandeja abucheó a @petrogustavo y esa es la gran noticia de los uribistas. Pero miles gritaron “Anti…</t>
  </si>
  <si>
    <t>RT @ISAZULETA: "Este debe ser un espacio de los sueños, de la fantasía liberadora, sólo las almas libres generan revoluciones" @petrogustav…</t>
  </si>
  <si>
    <t>RT @anatolykarpovv: Supe que @petrogustavo se iba a meter al hueco, me asusté, la boca del lobo, sector es la mata del narcouribismo, mucho…</t>
  </si>
  <si>
    <t>RT @matutobe: Ese @petrogustavo es un berraco, se les metió al hueco en Medellín, a los Fachos uribistas, que ya son muy pocos, pero son lo…</t>
  </si>
  <si>
    <t>RT @olmedolopezm: Soy paisa y #EstoyConPetro esta tierra maravillosa avanza, el cambio será multicolor, lleno de la juventud que despertó y…</t>
  </si>
  <si>
    <t>RT @suarezvacca: @DonIzquierdo_ @FelipeIdarraga4 Los únicos que abuchearon a @petrogustavo https://t.co/OLmkamoMvn</t>
  </si>
  <si>
    <t>RT @AndresCamiloHR: Este video me deja mucho, la intolerancia de muchos hacen que personas deban usar escoltas y chalecos como hoy Petro en…</t>
  </si>
  <si>
    <t>RT @FelicianoValen: Les produce miedo @petrogustavo, pero no un régimen que lleva 20 años atornillado al poder, que empobreció la mitad del…</t>
  </si>
  <si>
    <t>José Miguel dice ser estudiante de derecho de derechas. Aquí muestra la comisión de varios delitos. Nadie puede ser… https://t.co/LzGbced6Ey</t>
  </si>
  <si>
    <t>Lo que pasa en esta mentalidad uribista es que creen que quienes no piensen como ellos, no tienen derecho a existir… https://t.co/ChZceCLZfg</t>
  </si>
  <si>
    <t>la juventud de Medellín esta mayoritariamente con el progresismo, sus padres no. El cambio de Colombia dependerá de… https://t.co/TPhlM6kHvI</t>
  </si>
  <si>
    <t>Un análisis profundo sobre "El hueco" y los retos de una Medellín progresista, de una Medellín Humana. https://t.co/pb30uyJJql</t>
  </si>
  <si>
    <t>La gente paisa, Margarita, no es Popeye. Estas equivocada. https://t.co/AyfGRzBs0V</t>
  </si>
  <si>
    <t>RT @JulianJaraUribe: Me mamé de esperar a un dizque centro sin capacidad de liderazgo, que a estas alturas no haya decantado sus candidatos…</t>
  </si>
  <si>
    <t>RT @fundeparamos: @HELIODOPTERO @Registraduria Todos deberíamos revisar la cédula de nuestros muertos para saber quiénes aún están aptos pa…</t>
  </si>
  <si>
    <t>RT @MedImparable: El Cambio se construye desde la colectividad, en Medellín nos sentimos orgullosos de poder decir #EstoyConPetro y a su la…</t>
  </si>
  <si>
    <t>RT @herderbarcelona: En este libro Luciana Cadahia y Paula Biglieri analizan el populismo como una forma de pensamiento que se inserta en l…</t>
  </si>
  <si>
    <t>RT @ismene2: Ve, como dice el poeta: #TodosConQuintero . https://t.co/ZxjUoTKM3u</t>
  </si>
  <si>
    <t>RT @petrogustavo: Un análisis profundo sobre "El hueco" y los retos de una Medellín progresista, de una Medellín Humana. https://t.co/pb30u…</t>
  </si>
  <si>
    <t>2. Proponemos que la universidad pública sea gratuita y se extienda por la comunas populares de Medellín y toda la… https://t.co/6AxClWRgyZ</t>
  </si>
  <si>
    <t>3. Proponemos comprar concesiones mineras de Buriticá y Jericó, para que se desarrolle la pequeña y mediana minerí… https://t.co/v5jNeGGzEp</t>
  </si>
  <si>
    <t>4. Proponemos la industrialización de Medellín con energías limpias. El programa de techos de paneles solares en ba… https://t.co/R5RHBpCYdE</t>
  </si>
  <si>
    <t>Proponemos la democratización del crédito en Antioquia con el fortalecimiento del Banco Agrario e Industrial, las c… https://t.co/kvFu2vYcLk</t>
  </si>
  <si>
    <t>Proponemos la reactivación del ferrocarril de Antioquia, Uribe y Duque entregaron las dobles cazadas de carreteras… https://t.co/kHxwW36SOX</t>
  </si>
  <si>
    <t>Proponemos una seguridad basada en el cuidado de la vida donde disminuir el hambre y fortalecer la producción agrar… https://t.co/A13p3bKNJO</t>
  </si>
  <si>
    <t>Proponemos que el empresariado del oriente antioqueño que hoy esta por fuera del país sea la base para las exportac… https://t.co/iOrvGfKBY1</t>
  </si>
  <si>
    <t>Proponemos un nuevo pacto cafetero para que una mayor parte del valor del café que paga el consumidor extranjero ll… https://t.co/8R273sBrYL</t>
  </si>
  <si>
    <t>Proponemos una alianza entre Ecopetrol, EPM y EEB para desarrollar generación de energia solar y eólica e iniciar l… https://t.co/XUUKyj9l3u</t>
  </si>
  <si>
    <t>Proponemos una Antioquia libre, diversa y democrática. Duque y Uribe dejaron que Antioquia quedara esclava de la ex… https://t.co/wiF3InvfAI</t>
  </si>
  <si>
    <t>Escocia sale a la calle en defensa de la humanidad. La movilización se produce cuando los países mas poderosos de l… https://t.co/Fmjd6YT96J</t>
  </si>
  <si>
    <t>Esto que hicieron aqui contra la fuerza ciudadana es un delito como lo demuestra el video. Le solicito a la… https://t.co/pozXmCyBOi</t>
  </si>
  <si>
    <t>RT @ammejiaaguado: Son centenares de miles los que dicen #EstoyConPetro https://t.co/83RYM5BzyV</t>
  </si>
  <si>
    <t>Que fácil es Peñalosa inventarse la supuesta propuesta que hago para atacarla. Lo invito a que lea mi propuesta y a… https://t.co/23Ej2km5Hw</t>
  </si>
  <si>
    <t>jaime, tu que estás apoyando una dictadura, dile al Sheik de mi parte, que no, que no insista, que no habrá explota… https://t.co/wWBOTIcuI3</t>
  </si>
  <si>
    <t>Y como Bolívar, y como Santander, y como Washington. https://t.co/MenBjBviSU</t>
  </si>
  <si>
    <t>El es vendedor ambulante, ha sido agredido por los últimos gobiernos, ha luchado y ha sobrevivido. Apoya a los go… https://t.co/boXOAwFfP7</t>
  </si>
  <si>
    <t>Jamás debemos ni saber ni quien es ni perseguirlo, sería igualarnos al uribismo. Si ganamos la presidencia, que ser… https://t.co/3CMLlA6Z0j</t>
  </si>
  <si>
    <t>Claro que sí, te firmo mi libro y firmo por tu lista. Compañera. https://t.co/mAZ8USfyKv</t>
  </si>
  <si>
    <t>RT @petrogustavo: El es vendedor ambulante, ha sido agredido por los últimos gobiernos, ha luchado y ha sobrevivido. Apoya a los gobierno…</t>
  </si>
  <si>
    <t>Ese hombre que en solitario se enfrenta a las ideas tontas y violentas; que levanta su pancarta y sus ideas con dig… https://t.co/lPbv8umtjw</t>
  </si>
  <si>
    <t>RT @KikePrivatiza: @EnriquePenalosa @petrogustavo Ni en entrevista a @forbescolombia ni en otras partes Petro ha dicho q sea a la fuerza.…</t>
  </si>
  <si>
    <t>RT @MoisesAlvaro_: #EstoyConPetro porque representa la posibilidad de unir al pueblo liberal y al pueblo progresista para proyectar un hori…</t>
  </si>
  <si>
    <t>RT @CanalCapital: El magistrado Urán salió vivo del palacio, custodiado por el Ejército, luego fue llevado a una guarnición militar donde f…</t>
  </si>
  <si>
    <t>https://t.co/8mTmWlDwCd</t>
  </si>
  <si>
    <t>RT @AProgresista_: Así va la consulta presidencial del #PactoHistórico a noviembre de 2021. Las prioridades de la convergencia son la gen…</t>
  </si>
  <si>
    <t>RT @willj84753699: ¡ATENCIÓN COLOMBIA! Amigos que este mensaje le llegue a todos los soldados y policías del país. Pueden hacer carrera, y…</t>
  </si>
  <si>
    <t>RT @YoAlejoV: “La gente paisa no es Popeye”: tremenda parada de Petro a congresista uribista Margarita Restrepo https://t.co/PGTIvjPuxm</t>
  </si>
  <si>
    <t>RT @AProgresista_: La exalcaldesa de Bogotá y excandidata presidencial @ClaraLopezObre, quien fue la fórmula de @DeLaCalleHum en 2018, apoy…</t>
  </si>
  <si>
    <t>¿Por qué sería excelente elevar la pobreza multidimensional del 4,7%, año 2015, al 7,5% año 2019 en Bogotá; y ¿por… https://t.co/Bl1Sdy8jby</t>
  </si>
  <si>
    <t>RT @petrogustavo: https://t.co/8mTmWlDwCd</t>
  </si>
  <si>
    <t>RT @JaimeDelTodoES1: Hicieron un « debate » 5 candidatos y 1 presentadora / todos contra un Petro al que no invitaron / el triunfo de Petro…</t>
  </si>
  <si>
    <t>RT @BluRadioCo: #AlAire Hoy se llevará a cabo el primer Congreso Nacional de liberales al Pacto Histórico. A esta hora se conecta el sena…</t>
  </si>
  <si>
    <t>Ni siquiera la columna que trata de desmentir el "fake news" uribista logra decir la verdad. La misma juez que me… https://t.co/noBmElKT1o</t>
  </si>
  <si>
    <t>La denuncia en este video sería un verdadero desastre para Bogotá. Hoy hay que llevarle a toda la población la ban… https://t.co/zcvyEz0d3P</t>
  </si>
  <si>
    <t>En el acto "Liberales con el Pacto Histórico" delegaciones de todo https://t.co/KMKyr6eGCXís en el centro de Bogotá. https://t.co/NEMvVKe3vj</t>
  </si>
  <si>
    <t>Ministro @Diego_Molano, ¡puede Colombia considerar enemigo un país con el que mantiene relaciones diplomáticas? ¡P… https://t.co/tbErYMTzje</t>
  </si>
  <si>
    <t>RT @lucianacadahia: Muy grande @FranciaMarquezM en mostrar la manipulación de los medios para hacernos creer, falsamente, que el patriarcad…</t>
  </si>
  <si>
    <t>RT @AquinoTicias1: Somos la nueva generación, la generación de #HágaloReal @petrogustavo, el hombre que ha puesto a temblar al uribismo y…</t>
  </si>
  <si>
    <t>Bueno si recibir las torturas en el cantón norte y ser trasladado de cárcel en cárcel desde octubre de 1985 hasta f… https://t.co/oMvhY3PfvX</t>
  </si>
  <si>
    <t>RT @wilberpreciado: El reelecto presidente de Nicaragua tiene bajo su dominio: 1. Fiscalía 2. Contraloría 3. Personería 4. Procuraduría…</t>
  </si>
  <si>
    <t>Este era el liberalismo https://t.co/winq0znB1V</t>
  </si>
  <si>
    <t>He invitado al liberalismo a construir la agenda que mitigue y adaote a Colombia al cambio climático. Una economía… https://t.co/wgOuCEZded</t>
  </si>
  <si>
    <t>RT @PactoHMed: Ya lleva más de 120 mil reacciones solo en facebook, un hit la foto de @AquinoTicias1 con @petrogustavo que compartió el Inf…</t>
  </si>
  <si>
    <t>RT @susanamuhamad: #MeterLaPataEs lo que pretende hacer Pot de @ClaudiaLopez al urbanizar valle aluvial del Tunjuelo. En 70s ciudad debió r…</t>
  </si>
  <si>
    <t>RT @datoatipico: Vengo a generar odio contándoles q la bancada del concejo de Medellín puesta por @sergio_fajardo, acaba de negociar en un…</t>
  </si>
  <si>
    <t>En cumplimiento de la Ley 2013 del 30 de diciembre de 2019, me permito hacer pública mi declaración de renta del añ… https://t.co/CjQg2pCwgq</t>
  </si>
  <si>
    <t>Artistas, gentes del arte, en el Pacto por la Cultura y el Arte, en el Centro Gabriel García Marquez en el centro d… https://t.co/S3aPNafNIc</t>
  </si>
  <si>
    <t>RT @cancinodiegoa: He trabajado para construir el @PartidoVerdeCoL desde hace una década, hoy me siento decepcionado: nuestra Bancada Verde…</t>
  </si>
  <si>
    <t>Le pido a @FiscaliaCol tomar acciones inmediatas contra este dirigente uribista de Medellin. Ha realizado una amen… https://t.co/cXua6NiUoO</t>
  </si>
  <si>
    <t>RT @LuchoJacobsen: Así o más amenazante??? Qué dice la @DIJINPolicia</t>
  </si>
  <si>
    <t>RT @QuinteroCalle: Concejales uribistas y fajardistas celebran acuerdo oscuro para avanzar en revocatoria, ser coalición en el concejo y co…</t>
  </si>
  <si>
    <t>RT @HRI_ONG: Le solicitaremos a @CIDH @FiscaliaCol @moecolombia @DIJINPolicia se tomen las acciones correspondientes frente a la seguridad…</t>
  </si>
  <si>
    <t>RT @GloriaFlorezSI: "La politica cultural del gobierno es un fracaso, género más insensibilidad a la pobreza y a la realidad nacional. Nues…</t>
  </si>
  <si>
    <t>RT @ColombiaHumana_: “La cultura es quizás lo específicamente humano, no podemos encontrar cultura en otra parte. Es lo que nos define.” #…</t>
  </si>
  <si>
    <t>Les dejo esta perla. El gobierno de Duque acumuló y retrasó los pagos de la deuda de corto plazo al periodo 2022/20… https://t.co/DjhDdmLw77</t>
  </si>
  <si>
    <t>RT @ActualidadRT: Según denuncia de una ONG colombiana, el gobierno de Iván Duque fingió un supuesto ciberataque contra sí mismo para así j…</t>
  </si>
  <si>
    <t>RT @EpicuroDeSamos_: #SOSPorPetro este uribista amenaza a Petro. Tranquilos que tenemos un fiscal que hará justicia muy ágilmente. Cómo no.…</t>
  </si>
  <si>
    <t>La junta directiva del Banco de la República, hoy completamente en manos de Uribe y Duque, debe comprender que la p… https://t.co/SbOr6GZNzo</t>
  </si>
  <si>
    <t>Aumentar la tasa de interés, cerrar la liquidez del mercado, van en contra de aumentar el empleo cuando la capacida… https://t.co/rSczx9z3QH</t>
  </si>
  <si>
    <t>Cuando se proponen 18 troncales de buses de transmilenio se está matando el SITP, por una parte, y por la otra, se… https://t.co/FK5ysat2RW</t>
  </si>
  <si>
    <t>RT @GustavoBolivar: ATENCIÓN Claudia López pretende entregar ETB a empresa de papel creada hace 10 meses con un capital de $1 millón. Reco…</t>
  </si>
  <si>
    <t>RT @petrogustavo: Les dejo esta perla. El gobierno de Duque acumuló y retrasó los pagos de la deuda de corto plazo al periodo 2022/2026. El…</t>
  </si>
  <si>
    <t>RT @IvanCepedaCast: Como lo hemos solicitado, en forma reiterada, el @PoloDemocratico debe revisar su participación en la administración de…</t>
  </si>
  <si>
    <t>Le pido a toda la ciudadanía que tome nota de todos los que se retiraron de este debate y lleven a cada región y lo… https://t.co/QHT5XdBTsg</t>
  </si>
  <si>
    <t>El presidente del Congreso pudo haber cometido un delito de prevaricato al enviar un os artículos que reformaban un… https://t.co/IIBvFU23Cc</t>
  </si>
  <si>
    <t>RT @petrogustavo: Le pido a toda la ciudadanía que tome nota de todos los que se retiraron de este debate y lleven a cada región y los mues…</t>
  </si>
  <si>
    <t>Que triste ver al fajardismo aliado con la extrema derecha en el concejo de Medellín. Hasta concejales del centro.d… https://t.co/55LJkuc1UW</t>
  </si>
  <si>
    <t>RT @PactoCol: #YoMeSumoAlPactoCultural “Yo creo que nuestro trabajo en Bogotá hizo más sensible a la sociedad. Lo logramos porque juntamos…</t>
  </si>
  <si>
    <t>Fenalco pide bajar los aranceles a cero. Esto acabaría lo que queda de agricultura e industria en Colombia. Millo… https://t.co/YW8kPf9aI3</t>
  </si>
  <si>
    <t>RT @petrogustavo: Que triste ver al fajardismo aliado con la extrema derecha en el concejo de Medellín. Hasta concejales del centro.democrá…</t>
  </si>
  <si>
    <t>RT @petrogustavo: Fenalco pide bajar los aranceles a cero. Esto acabaría lo que queda de agricultura e industria en Colombia. Millones de…</t>
  </si>
  <si>
    <t>La agenda de trabajo que le proponemos a toda Colombia. https://t.co/a07qj98NVn</t>
  </si>
  <si>
    <t>RT @petrogustavo: La agenda de trabajo que le proponemos a toda Colombia. https://t.co/a07qj98NVn</t>
  </si>
  <si>
    <t>Los mismos habitantes de Ciudad Jardín deben impedir que estos grupos extremistas sigan usando sus barrio para acto… https://t.co/0iRaYDgaij</t>
  </si>
  <si>
    <t>Varios senadores Uribistas dijeron anoche que reconocer en la constitución al campesinado como sujetos de derechos… https://t.co/nowavLXTPv</t>
  </si>
  <si>
    <t>Le pedí a la ciudadanía recoger los nombres de los senadores que impidieron que la Constitución reconozca los derec… https://t.co/AWzntZOId4</t>
  </si>
  <si>
    <t>El campesinado no se comunica por redes, se robaron los.dineros para ello, el contacto debe ser personal en los día… https://t.co/Iy6YyMZXoK</t>
  </si>
  <si>
    <t>RT @diamaov: No había querido opinar públicamente sobre Hidroituango, pero esto es la tapa. Ahora son los grupos empresariales los que deli…</t>
  </si>
  <si>
    <t>¿Que es el arte en un mundo de lo instantáneo, del consumo veloz y olvidado? El arte es quizás, en resistencia, lo… https://t.co/md5KrTYemk</t>
  </si>
  <si>
    <t>La economía naranja impulsa la creacion instantánea vuelta mercancía y los derechos de autor vueltos títulos valore… https://t.co/Hviz4RDatT</t>
  </si>
  <si>
    <t>Al lado del mercado de la creación hay que construir la libertad que es la base de toda creación, y tratar de impul… https://t.co/tFw1XVBZiT</t>
  </si>
  <si>
    <t>Una sociedad sensible es resistente a la violencia y a la tiranía. La base real de la convivencia y la paz es una… https://t.co/0SRQvjhBrb</t>
  </si>
  <si>
    <t>RT @petrogustavo: Varios senadores Uribistas dijeron anoche que reconocer en la constitución al campesinado como sujetos de derechos era ca…</t>
  </si>
  <si>
    <t>En reunión con empresarios y empresarias de Cúcuta, Norte de Santander. https://t.co/FFrscrx6E1</t>
  </si>
  <si>
    <t>Recibo el apoyo del liberalismo en el Norte de Santander. https://t.co/Q0MN37Glhq</t>
  </si>
  <si>
    <t>Así me recibieron en Cúcuta https://t.co/XKLaAUJKlQ</t>
  </si>
  <si>
    <t>Empresariado cucuteño escuchando al Pacto Histórico. Duque transformó a Cúcuta en una ciudad del hambre. En el 2018… https://t.co/s5yL6xrMRm</t>
  </si>
  <si>
    <t>1. Restablecer las relaciones diplomáticas, cualquiera que sea el gobierno en Venezuela. 2. Crear el Banco de la f… https://t.co/O8oiI8Wo89</t>
  </si>
  <si>
    <t>4. Ampliar el área metropolitana de Cúcuta a las poblaciones venezolanas de San Antonio y Ureña para el desarrollo… https://t.co/MLOVWDQ9Zl</t>
  </si>
  <si>
    <t>6. Liberar de cotizaciones parafiscales el salario mínimo y subsidiarlas con aportes estatales que disminuirán grad… https://t.co/I4gAsodhiC</t>
  </si>
  <si>
    <t>8. Extender la conectividad a todos los hogares de la frontera. Extender la energia solar a la ciudad de Cúcuta y… https://t.co/NeYFwW7E9r</t>
  </si>
  <si>
    <t>En Cúcuta. https://t.co/lXo1G9jX1s</t>
  </si>
  <si>
    <t>Cúcuta. Solo el Pacto Histórico hoy puede garantizar que Norte de Santander progrese. https://t.co/F7U0MAtpax</t>
  </si>
  <si>
    <t>¡Se voltio la arepa! Cucuta votó por Duque y Duque la quebró y la empobrecio. Nosotros haremos de Cúcuta una de las… https://t.co/G8QNuoKVyV</t>
  </si>
  <si>
    <t>A pesar de la represión, el amor; la fuerza de todo lo posible y lo imposible https://t.co/QL9PhljpMv</t>
  </si>
  <si>
    <t>RT @petrogustavo: ¡Se voltio la arepa! Cucuta votó por Duque y Duque la quebró y la empobrecio. Nosotros haremos de Cúcuta una de las ciuda…</t>
  </si>
  <si>
    <t>RT @CesarPachonAgro: Petro en Cúcuta. Debemos cambiar el modelo de dependencia del petróleo. El modelo que nos llevó a ser una de las Nacio…</t>
  </si>
  <si>
    <t>RT @ColombiaHumana_: “Cúcuta se hizo como un cruce de caminos, la realidad de este territorio no debe ser otra que la de dos naciones unida…</t>
  </si>
  <si>
    <t>RT @petrogustavo: Empresariado cucuteño escuchando al Pacto Histórico. Duque transformó a Cúcuta en una ciudad del hambre. En el 2018 había…</t>
  </si>
  <si>
    <t>RT @PactoHMed: A esta hora @petrogustavo en Cúcuta vuelve a llenar de futuro y Esperanza los territorios . #JusticiaEs la propuesta social…</t>
  </si>
  <si>
    <t>Esta es una radiografia visual de la economía Colombiana. Este barco llegó con los containers cargados a Buenavent… https://t.co/r4IczzXkOV</t>
  </si>
  <si>
    <t>Reunido con empresarios de Buenaventura, Valle del Cauca https://t.co/qsLLDLf44l</t>
  </si>
  <si>
    <t>RT @petrogustavo: Esta es una radiografia visual de la economía Colombiana. Este barco llegó con los containers cargados a Buenaventura. A…</t>
  </si>
  <si>
    <t>¿Por qué van a la cárcel los jóvenes.que protestan y.quienes les disparan de civil van es a reuniones políticas? ¿… https://t.co/EfP3tQ9PHN</t>
  </si>
  <si>
    <t>Buenaventura a esta hora. https://t.co/jIElcQYsXV</t>
  </si>
  <si>
    <t>RT @CamiloRomero: El @PartidoVerdeCoL ha dado libertad en materia presidencial. Esta precandidatura continuará con los #VerdesPorElCambio…</t>
  </si>
  <si>
    <t>El partido verde ha decidido la libertad de voto presidencial. En los departamentos donde el Verde decida un apoyo… https://t.co/gBgEB8XxGE</t>
  </si>
  <si>
    <t>No solo el alcalde del Polo y Colombia Humana de Villavicencio es el mejor alcalde del país, sino que el alcalde de… https://t.co/tzRb9RXEUJ</t>
  </si>
  <si>
    <t>El presidente de lanrepublica ha decidido desacatar el fallo de un juez La intención es modificar la voluntad elec… https://t.co/fduRwXS2BR</t>
  </si>
  <si>
    <t>El régimen de Duque. Una dictadura. Hundió el país en hsmbre, quebró a 600.000 empresas, desencadenó la violencia,… https://t.co/KB3UlWEzw7</t>
  </si>
  <si>
    <t>Nosotros respetaremos a la justicia.</t>
  </si>
  <si>
    <t>Otra encuesta. La distancia entre el primer y el segundo lugar es cada vez mayor. Podemos ganar en primera vuelta.… https://t.co/Nh7Wx2CbRx</t>
  </si>
  <si>
    <t>¿Que tal? Esta sede es en Bogotá https://t.co/UWl7MFmBfy</t>
  </si>
  <si>
    <t>RT @petrogustavo: Otra encuesta. La distancia entre el primer y el segundo lugar es cada vez mayor. Podemos ganar en primera vuelta. Que…</t>
  </si>
  <si>
    <t>Debates https://t.co/cPyJBY0cBA</t>
  </si>
  <si>
    <t>Endeudó a Bogotá para pagar gastos corrientes de los operadores privados de transmilenio y ahora vende la posobilid… https://t.co/PH3bjTRCMV</t>
  </si>
  <si>
    <t>RT @agmethescaf: Como lo he contado en muchas oportunidades, soy el hijo extramatrimonial de un señor que jamás tuvo nada que ver conmigo.…</t>
  </si>
  <si>
    <t>RT @VillegasPoljak: Así inicia la “Marcha Eslava” de #Tchaikovsky, con la cual #Venezuela rompe el récord mundial con la #OrquestaMasGrande…</t>
  </si>
  <si>
    <t>A punto de fracasar la cumbre de Glasgow por el lobby de Arabia Saudita y Rusia, los mayores paises petroleros. Tr… https://t.co/QQKqidLhCW</t>
  </si>
  <si>
    <t>Preservar la vida humana en el planeta le implica a Colombia dejar el 80% de su carbón en el subsuelo y dejar de de… https://t.co/Hf3Crhotsv</t>
  </si>
  <si>
    <t>La adaptación y mitigación al cambio climático que nos lleva a usar la tierra fértil para producir alimentos y el c… https://t.co/vrFLr9CP7f</t>
  </si>
  <si>
    <t>Todo nuestro programa presidencial es coherente con ayudar a la humanidad a detener el calentamiento global y la crisis del clima</t>
  </si>
  <si>
    <t>La juventud simplemente le esta pidiendo a sus padres que no insistan en un fracaso para el país, que les ayuden a… https://t.co/cPk0FusTtZ</t>
  </si>
  <si>
    <t>En Honduras ya no creen en quienes gritan " castrochavistas" e infunden miedos. Honduras se aproxima a un gran cam… https://t.co/DbmF9wnbda</t>
  </si>
  <si>
    <t>Este afiche destrozado en Buenos Aires me hace reflexionar sobre nuestra propia realidad colombiana. El rostro de… https://t.co/jNDPETdkzT</t>
  </si>
  <si>
    <t>En Pereira casi la mitad de las familias tienen un mujer sola al frente. En Bogotá llegamos a contar más de medio m… https://t.co/SqmXuQJonp</t>
  </si>
  <si>
    <t>Aunque hay normas sobre asistencia alimentaria, lo cierto es que el hombre necesita una reeducación. Nadie puede ob… https://t.co/D74Ozx4NPa</t>
  </si>
  <si>
    <t>Muchas de las normas que hay en Colombia no se aplican porque no hay un sistema público para aplicarlas, su descono… https://t.co/z5jlwc9kxz</t>
  </si>
  <si>
    <t>Cualquier joven hombre de cualquier condición social sabrá que lo que deje de hacer por sostener sus hijos se le co… https://t.co/jD9llYcZYm</t>
  </si>
  <si>
    <t>¡Quien dijo miedo! Medellín #EntreMontañas https://t.co/pt8GNYMDGm</t>
  </si>
  <si>
    <t>RT @petrogustavo: Este afiche destrozado en Buenos Aires me hace reflexionar sobre nuestra propia realidad colombiana. El rostro de la muj…</t>
  </si>
  <si>
    <t>Invito a la sensibilidad liberal de Colombia a transformar el país. pueden sacar sus banderas rojas de nuevo. La Ju… https://t.co/Wosb1WmPvm</t>
  </si>
  <si>
    <t>RT @Margaritarosadf: Porque es mejor apostarle a un cambio posible, urgente y necesario, que seguir con miedo. #EntreMontañas . Aquí atenta…</t>
  </si>
  <si>
    <t>Reunidos con dirigentes de San Jose del Guaviare analizando cómo con un pacto social con la población de la amazoní… https://t.co/Hk2rcvWsHt</t>
  </si>
  <si>
    <t>La estrategia tiene dos fundamentos: 1. Elevar la rentabilidad de la altillanura con inversiones en la rectificaci… https://t.co/hxxnO40EYu</t>
  </si>
  <si>
    <t>El intercambio de tierra por fertilización de suelos, permitirá entregar, con titularización a las mujeres, tierras… https://t.co/m3clB2MOB4</t>
  </si>
  <si>
    <t>2. Permitir que la población amazónica aproveche la selva, sin destruirla, extrayendo maderas y productos basados e… https://t.co/Tae1OimAXu</t>
  </si>
  <si>
    <t>El aprovechamiento debe tener un ritmo que garantice la sostenibilidad de la selva; se usaran 20 millones de hectár… https://t.co/RN95MMPHBW</t>
  </si>
  <si>
    <t>Proponemos recuperar la selva amazónica con la población misma del territorio. El pacto de recuperación de la selv… https://t.co/JTKZW3DuJg</t>
  </si>
  <si>
    <t>Contrario al discurso oficial, la destrucción de la selva amazónica no esta motivada solamente por los cultivos de… https://t.co/g1dQt7y2wg</t>
  </si>
  <si>
    <t>La mayor parte de las centenares de miles de hectáreas de selva amazónica destruida desde que Duque gobierna, se de… https://t.co/Eg5LsUJBH7</t>
  </si>
  <si>
    <t>El aprovechamiento de la selva por las comunidades amazónicas implica el desarrollo de una universidad de la amazon… https://t.co/go91ut1frj</t>
  </si>
  <si>
    <t>Recuperar la selva amazónica es un asunto vital para la humanidad si se quiere mitigar el cambio climático. La pob… https://t.co/Fv1pbU9pes</t>
  </si>
  <si>
    <t>Las concesiones heredables para comunidades que puedan aprovechar la selva en foresteria comunitaria, concesiones n… https://t.co/zIx0hdbu6K</t>
  </si>
  <si>
    <t>La policía no debe sacarse fotos con personas subjudice a menos que.sus mandos quieran pasar a la condición de sedi… https://t.co/WE4kGwiEmg</t>
  </si>
  <si>
    <t>RT @petrogustavo: Reunidos con dirigentes de San Jose del Guaviare analizando cómo con un pacto social con la población de la amazonía: 300…</t>
  </si>
  <si>
    <t>Estoy en vivo en entrevista con Radio Nacional de Colombia (@radnalcol) https://t.co/CGWcUhOIjX</t>
  </si>
  <si>
    <t>Se lanza la campaña del gran voluntariado que acompañará y luchará puerta por puerta en la campaña hacia la victoria https://t.co/FvXig3K6xR</t>
  </si>
  <si>
    <t>En segundos estaré en vivo con @SaninPazC en su programa #DominioPúblico https://t.co/sz753VybQm</t>
  </si>
  <si>
    <t>Un uribista+otro uribista+otro uribista+ otro uribista. ¿Que nos da?: Duque II https://t.co/rlJx1YbQ0F</t>
  </si>
  <si>
    <t>Aqui está la entrevista completa que dí con @SaninPazC https://t.co/pUHqTc3enB</t>
  </si>
  <si>
    <t>RT @phdporfi2020: Que hacemos @VickyDavilaH para que alguien nos de mala referencia de @petrogustavo como hacemos (....) Para curar está ob…</t>
  </si>
  <si>
    <t>Estos padres de familia se creyeron el discurso uribista del odio. No se dan cuenta que al experimentar odio por la… https://t.co/Ggux51n399</t>
  </si>
  <si>
    <t>Libertad económica, Duque, no es dejar que el hambre llegue a la mitad de la población mientras usted le giraba los… https://t.co/ukiDKyQKTI</t>
  </si>
  <si>
    <t>RT @Colcheck: Desde mediados de octubre circula una imagen en la que aparece una foto del senador junto con la frase: “Hay que expropiar al…</t>
  </si>
  <si>
    <t>En esto Robledo tiene razón: el gran resultado del peñalosismo caribeño en Barranquilla, Char solo imitó el modelo… https://t.co/JQ40ic965E</t>
  </si>
  <si>
    <t>RT @petrogustavo: Estos padres de familia se creyeron el discurso uribista del odio. No se dan cuenta que al experimentar odio por la juven…</t>
  </si>
  <si>
    <t>Oigan amigos de Caracol Radio, lo que sucedió en EEUU es lo contrario de lo que ustedes titulan, la congresista que… https://t.co/eTUoS8TBrO</t>
  </si>
  <si>
    <t>RT @agmethescaf: Barranquilla está preciosa, lindísima. El cambio de la ciudad a nivel de obras civiles en la última década es notorio. Per…</t>
  </si>
  <si>
    <t>RT @petrogustavo: Oigan amigos de Caracol Radio, lo que sucedió en EEUU es lo contrario de lo que ustedes titulan, la congresista que ayudó…</t>
  </si>
  <si>
    <t>RT @Las2Orillas: En su libro reconoce que la transformación sustantiva del orden autoritario y excluyente en Colombia, no fue posible por l…</t>
  </si>
  <si>
    <t>Invitamos a los Verdes que creen en el cambio que le proponemos a Colombia y a su precandidato @CamiloRomero a suma… https://t.co/pwD1BXyGji</t>
  </si>
  <si>
    <t>Uribe intervino ilegalmente en EEUU para elegir esta congresista y ahora ella interviene en la decisión libre de la… https://t.co/tdUzf9KPoi</t>
  </si>
  <si>
    <t>RT @petrogustavo: Se lanza la campaña del gran voluntariado que acompañará y luchará puerta por puerta en la campaña hacia la victoria http…</t>
  </si>
  <si>
    <t>RT @Tercer_Canal: La Congresista “Uribista” María Elvira Salazar que arremetió contra @petrogustavo recibió el apoyo de su aliada amiga Eli…</t>
  </si>
  <si>
    <t>A ver si entiendes: tanto Petro como el presidente son colombianos, Petro puede ser denunciado por calumnia y venci… https://t.co/thxsixfUim</t>
  </si>
  <si>
    <t>Si tu me demuestras en juicio que el gobierno de Duque no asesinó a jóvenes en las manifestaciones yo he cometido u… https://t.co/xIqDOrLhwQ</t>
  </si>
  <si>
    <t>Amigo Lafaurie, ya que usted reafirma la tesis de la parlamentaria extranjera, le solicito retractarse o presentar… https://t.co/mB2SXR7GoJ</t>
  </si>
  <si>
    <t>RT @CamiloRomero: Gracias Gustavo por la invitación. Esta precandidatura presidencial es de la gente y es con la ciudadanía expresada en #…</t>
  </si>
  <si>
    <t>RT @AlexLopezMaya: Rechazo categóricamente las calumnias, falacias e improperios que la Rte Republicana María Salazar realizó en contra d…</t>
  </si>
  <si>
    <t>En la reunion de anoche, Verdes por el Cambio decidió por unanimidad entrar al Pacto Histórico. Bienvenido… https://t.co/YtYq4LVGr3</t>
  </si>
  <si>
    <t>En Pitalito, Huila, hablaremos de agricultura, agroindustria y café. https://t.co/09XRG0GKWs</t>
  </si>
  <si>
    <t>Con empresarios y empresarias de Neiva. Vamos a hablar de Economía https://t.co/3JdVLHcOnl</t>
  </si>
  <si>
    <t>Ahora en Neiva, Huila https://t.co/vHAp1awrRK</t>
  </si>
  <si>
    <t>RT @UnidadsinVetos: El @PartidoVerdeCoL entra al #PactoHistorico de la mano de @CamiloRomero Nos vemos mañana en Medellin a las 11.30Am p…</t>
  </si>
  <si>
    <t>Nos vemos viernes 3 pm en Carabobo norte. Entre Montañas en Medellin https://t.co/M8t22NWYs6</t>
  </si>
  <si>
    <t>RT @ColombiaHumana_: ¡Así recibió Pitalito a @petrogustavo! Mañana soleada y llena de entusiasmo. A esta hora les habla de café y de una nu…</t>
  </si>
  <si>
    <t>RT @ColombiaHumana_: “No hay nación que se pueda construir sin el campesinado. El Ejército Libertador fue un ejército de campesinos y campe…</t>
  </si>
  <si>
    <t>RT @ColombiaHumana_: Aquí la propuesta de @petrogustavo resumida. Favor ayudar a difundir. 👇👇👇 https://t.co/SL3cUiKOwF</t>
  </si>
  <si>
    <t>RT @ColombiaHumana_: Sigue @petrogustavo moviendo corazones, llenando parques y plazas, llevando esperanza a un pueblo que ya se cansó, que…</t>
  </si>
  <si>
    <t>RT @petrogustavo: Nos vemos viernes 3 pm en Carabobo norte. Entre Montañas en Medellin https://t.co/M8t22NWYs6</t>
  </si>
  <si>
    <t>Esta es la manifestación en Medellín https://t.co/BpFbVsqgWX</t>
  </si>
  <si>
    <t>la manifestación de "Entre Montañas", en Carabobo Norte, en Medellín. https://t.co/axCPuGgCPj</t>
  </si>
  <si>
    <t>RT @andersoncasta16: Ayer tomé es foto cuando Petro daba su discurso en Medellín, unos ojos llenos de esperanza, como la mayoría del pueblo…</t>
  </si>
  <si>
    <t>RT @redfishstream: Today is the 111th anniversary of the Mexican Revolution, a land workers-led struggle that ended the 35-year dictatorshi…</t>
  </si>
  <si>
    <t>RT @CMILANOTICIA: Contundente respuesta de Petro a congresista de EEUU que lo llamó “terrorista” https://t.co/OpVDIGAeF9</t>
  </si>
  <si>
    <t>RT @LupeMohawk: @davilsic Parce a ese man lo conocen hasta el ultimo rincón del país. Cuando era presentador de eventos de la alcaldía se n…</t>
  </si>
  <si>
    <t>Guadalupe es latinoamérica, está en el Caribe y su pueblo se ha insurreccionado por la dejación de Francia ante el… https://t.co/Rd5RbHVkQN</t>
  </si>
  <si>
    <t>El fascismo ha quedado sobreviviente en la mentalidad colombiana porque nunca se hizo una catarsis de lo que signif… https://t.co/P03mx07ynu</t>
  </si>
  <si>
    <t>Ese fascismo que se gestó usando al partido Conservador, desencadenó en el país un genocidio, para detener la "Revo… https://t.co/hbQmAAhWLP</t>
  </si>
  <si>
    <t>Las formaciones de extrema derecha como la que esta hoy en el gobierno lo aplauden una y otra vez. Nosotros, para… https://t.co/yoqSqUdWaE</t>
  </si>
  <si>
    <t>Imagenes de la manifestación, "entre montañas" en Medellín https://t.co/vlwNHT8o8u</t>
  </si>
  <si>
    <t>RT @esmeherz: “Si Camilo me gana, pues yo le cargo la maleta”: Petro ¡Vamos a ganar y a cambiar a Colombia con @CamiloRomero y con @petrog…</t>
  </si>
  <si>
    <t>RT @CamiloRomero: ¡Tenemos que ser capaces de construir en medio de la diferencia! Somos proyectos distintos que se juntan para competir,…</t>
  </si>
  <si>
    <t>Bienvenido Camilo Romero como precandidato presidencial verde a la consulta del Pacto Histórico. Carabobo norte, M… https://t.co/GBwvwI4aN2</t>
  </si>
  <si>
    <t>RT @ColombiaHumana_: Con los verdes en el #PactoHistórico, la coalición no solo es más colorida y diversa, sino también más rica e incluyen…</t>
  </si>
  <si>
    <t>Con los arroceros de Purificación, Tolima https://t.co/RPZR6UZ0iV</t>
  </si>
  <si>
    <t>Un momento de descanso desde mi hamaca campesina. El río grande la.Patria desde Purificación, Tolima. https://t.co/XfSIxYHBhz</t>
  </si>
  <si>
    <t>En Purificacion, Tolima. https://t.co/nZbLEyLLkw</t>
  </si>
  <si>
    <t>RT @GustavoBolivar: @petrogustavo Hasta el más incansable guerrero necesita una pausa. #MeLlamoGustavoPetro https://t.co/ojH1uqXlt1</t>
  </si>
  <si>
    <t>Necesitamos medio millón de voluntarios y voluntarias y entre ellos 120.000 jurados de votación. Así triunfaremos… https://t.co/DkNT5Kc1HE</t>
  </si>
  <si>
    <t>https://t.co/moAZSsXBU3</t>
  </si>
  <si>
    <t>RT @CamiloRomero: Si siguen con el cuento de construir un centro en lugar de construir un cambio, les va a pasar esto: El candidato de alg…</t>
  </si>
  <si>
    <t>El gran aporte negativo de Colombia a la crisis climática no está en sus emisiones internas, excepto por destruir l… https://t.co/Wd5FDvRz6u</t>
  </si>
  <si>
    <t>Y he dicho que la manera de reemplazar esas divisas, las del 2019, que no las del 2013 que no las volveremos a ver,… https://t.co/b81XGG9Yb7</t>
  </si>
  <si>
    <t>La condición para un salto en el turismo en Colombia es la Paz.</t>
  </si>
  <si>
    <t>Desplome del precio mundial del petroleo a la vista. En Colombia piensa el uribato, que incluye al presidente del g… https://t.co/dzxjjYlfGi</t>
  </si>
  <si>
    <t>La misma revista que hoy titula que afectaría a los pobres por cambiar la energía proveniente del gas con el fin de… https://t.co/WbbaHeUB8w</t>
  </si>
  <si>
    <t>Miente el presidente del gremio petrolero en varios aspectos: 2 1. El mayor causante del cambio climático es el co… https://t.co/MRPJzEfnyB</t>
  </si>
  <si>
    <t>2. No perdemos la suficiencia energética cesando la exploración de petroleo, porque en la medida que se agotan las… https://t.co/6VW4idMuWO</t>
  </si>
  <si>
    <t>3. No pierden los pobres, al contrario, hoy la energía solar es más barata que la del gas y el petróleo, los costos… https://t.co/OrZKkZdMCl</t>
  </si>
  <si>
    <t>El cambio a energías limpias y la dejación del petroleo y el carbón beneficia al país y a los pobres Se trata de b… https://t.co/xtzlDBTbnG</t>
  </si>
  <si>
    <t>Si el costo operacional del transporte público y de carga es eléctrico los costos operacionales bajan y las tarifas… https://t.co/DnYW8v00JM</t>
  </si>
  <si>
    <t>Es decir, los familias podrán cocinar y bañarse con agua caliente, y movilizarse de manera más barata con energía solar que con el gas.</t>
  </si>
  <si>
    <t>RT @petrogustavo: La misma revista que hoy titula que afectaría a los pobres por cambiar la energía proveniente del gas con el fin de la ex…</t>
  </si>
  <si>
    <t>Lo que ha hecho la fiscalía es capturar militantes juveniles de la Colombia Humana después de su reunión en Rivera;… https://t.co/FEvW4I0fpm</t>
  </si>
  <si>
    <t>Uribe actúa inteligente y astutamente para intentar volver a ganar y poner un Duque II. Juega con el Centro Democrá… https://t.co/gwtI33iRkL</t>
  </si>
  <si>
    <t>La estrategia implica un Cesar Gaviria, que al apoyar a Char, lleva al liberalismo a apoyar el uribismo; y finalmen… https://t.co/WyRsWW1kr4</t>
  </si>
  <si>
    <t>La estrategia depende, al final, de una cosa: que los sectores populares del país prefieran el dinero del erario qu… https://t.co/13teRn3OGH</t>
  </si>
  <si>
    <t>RT @QuinteroCalle: Colombia debe dejar de depender del petróleo y empezar a depender de sus millones de cerebros.</t>
  </si>
  <si>
    <t>RT @petrogustavo: Uribe actúa inteligente y astutamente para intentar volver a ganar y poner un Duque II. Juega con el Centro Democrático y…</t>
  </si>
  <si>
    <t>RT @ColombiaHumana_: En video respuesta de @petrogustavo a la pregunta de la primera ronda. Muy importante lo que dijo en la réplica: la Po…</t>
  </si>
  <si>
    <t>El partido Liberal de Chile sí fue capaz de apoyar el candidato de la centro/izquierda. Se configura un verdadero… https://t.co/jpVO3NatMc</t>
  </si>
  <si>
    <t>RT @sofia_petro: Cero emisiones netas de carbono al 2050 es una cifra que suena bonita para esas generaciones que ya no estarán aqui para e…</t>
  </si>
  <si>
    <t>RT @AABenedetti: .@petrogustavo dando en el clavo: la derecha habla mucho del "honor militar" pero olvida por completo las condiciones mise…</t>
  </si>
  <si>
    <t>RT @AndresCamiloHR: Entrevista a Gustavo Petro (@petrogustavo) para El Tiempo @ELTIEMPO por @armandoneira https://t.co/hSIeqd0B6p</t>
  </si>
  <si>
    <t>RT @armandoneira: Petro: ‘Yo les inspiro miedo a quienes han ganado manteniendo al pueblo colombiano en el hambre y en la injusticia social…</t>
  </si>
  <si>
    <t>Esta es mi entrevista en El Tiempo que tanto debate empieza a generar, bienvenido el debate: https://t.co/5S7SAwniyQ</t>
  </si>
  <si>
    <t>RT @petrogustavo: Esta es mi entrevista en El Tiempo que tanto debate empieza a generar, bienvenido el debate: https://t.co/5S7SAwniyQ</t>
  </si>
  <si>
    <t>En minutos estaré en entrevista con Néstor Morales en Blu Radio. https://t.co/dnjK7dnwsC</t>
  </si>
  <si>
    <t>RT @andrescamachom_: El paskin de la derecha generando miedo con la propuesta de Transición Energética. Petróleo y gas se están agotando po…</t>
  </si>
  <si>
    <t>RT @AABenedetti: Petro no va a detener abruptamente la explotación de petróleo, lo que ha dicho es que tenemos que avanzar hacia una econom…</t>
  </si>
  <si>
    <t>RT @Luisa_Platt_: - "¿Quejeso?🤷🏻‍♀️🤔" - "Paloma, vote no😈" https://t.co/kZ8ItWkqWn</t>
  </si>
  <si>
    <t>En segundos estaré en entrevista con María Alejandra Villamizar en conversaciones de país junto con Roy Barreras, p… https://t.co/qEFFEwzh1g</t>
  </si>
  <si>
    <t>RT @JaimeDelTodoES1: Petro dice “cesa la contratación de exploración” y los idiotas entienden —más o menos— que Petro va a cerrar ecopetrol…</t>
  </si>
  <si>
    <t>RT @Gonzalojhs: Siendo las 815 terminó la entrevista a Gustavo Petro en Blu, lo que dijo Petro de manera clara detallada de como vamos a pa…</t>
  </si>
  <si>
    <t>RT @humana_juventud: We denounce arrests against members of @Juventud_Humana in Boyacá. This is a persecution process driven by @FiscaliaC…</t>
  </si>
  <si>
    <t>RT @ValeCifuentesM: El cambio climático crearía nuevos pobres en unos años.¿Sabían que en Colombia aún no se incluye el riesgo climático en…</t>
  </si>
  <si>
    <t>Está es mi entrevista con Néstor Morales de Blu Radio https://t.co/ABzXLDaKDA</t>
  </si>
  <si>
    <t>RT @PactoHMed: Simplemente Gustavo Petro 💛💙❤️💚💜 https://t.co/TEAVbmcTwb</t>
  </si>
  <si>
    <t>Ella se llama Dora María Téllez, combatiente icónica del Frente Sandinista de lIberación Nacional, que derrocó a So… https://t.co/lS0i5BUQhZ</t>
  </si>
  <si>
    <t>RT @JHBoyaca: Fraterno apoyo a la familia, amigos, vecinos y conocidos del compita Julián Barón ✊❤️🥺 https://t.co/3wmcer222Z</t>
  </si>
  <si>
    <t>RT @JavierAdaime: En el discurso que está dando @petrogustavo , básicamente le está ofreciendo a los colombianos dar un paso hacia el desar…</t>
  </si>
  <si>
    <t>Desplome del precio mundial del petróleo a la vista: Primera consecuencia, el mismo mercado detendrá la exploració… https://t.co/jdml8rqX51</t>
  </si>
  <si>
    <t>Este tipo de afirmaciones son profundamente incorrectas. De un día para otro no cesa la exportación de petróleo sin… https://t.co/TtJhd68PFg</t>
  </si>
  <si>
    <t>Mi querido amigo, son matemáticas simples. El cese de exploración mantiene una producción que esta determinada por… https://t.co/6jT8l5VCNI</t>
  </si>
  <si>
    <t>RT @luchoecheverri: En TV, Radio y Prensa se ríen de @petrogustavo por su propuesta de transición hacía una economía productiva, no extract…</t>
  </si>
  <si>
    <t>RT @SusanaBoreal: “Me llamo Gustavo Petro y quiero ser su PRESIDENTE”. @petrogustavo en #EntreMontañas, Medellín. ♥️ https://t.co/9DzoURFX…</t>
  </si>
  <si>
    <t>La democracia de Odebrecht https://t.co/zXIhKukRCJ</t>
  </si>
  <si>
    <t>En Colombia aun quienes dirigen el poder creen que esto es mentira. Quieren dejar al.pais en la vieja tecnología, e… https://t.co/UXjqDJ4sj2</t>
  </si>
  <si>
    <t>RT @juanduquega: El pronunciamiento de @petrogustavo sobre el cese de la contratación en exploración petrolera logró algo muy valioso: quit…</t>
  </si>
  <si>
    <t>RT @DanielRMed: No lo dice SEMANA pero al reducir costos de generación, transmisión, distribución y comercialización, la propuesta de Petro…</t>
  </si>
  <si>
    <t>RT @BluRadioCo: ¡Propuestas sobre economía digital en las contiendas electorales presidenciales! Esta noche en #BLU4P0 estará Gustavo Petr…</t>
  </si>
  <si>
    <t>RT @NanyPardo: Ambientalistas de medio pelo que solo posan de defensores del medio ambiente por réditos electorales, pero que a la hora del…</t>
  </si>
  <si>
    <t>RT @Colcheck: #FALSO Los supuestos titulares alusivos a imponer IVA al arrendamiento, unificar de edad de pensión, eliminar los crucifijos…</t>
  </si>
  <si>
    <t>RT @MoisesAlvaro_: En Colombia los politiqueros le tiran a Petro por comprometerse a hacer la transición energética. Eso si, muy sonrient…</t>
  </si>
  <si>
    <t>En realidad este señor sabio dice mucha verdad desde su visión teórica profunda. Muchos de nuestros dirigentes, deb… https://t.co/PGBsqfrJUb</t>
  </si>
  <si>
    <t>RT @petrogustavo: En Colombia aun quienes dirigen el poder creen que esto es mentira. Quieren dejar al.pais en la vieja tecnología, en una…</t>
  </si>
  <si>
    <t>RT @juamon: 🎬 Hoy conversaremos en BLU 4.0 desde las 8:15 p.m. con el senador y precandidato presidencial @petrogustavo @ColombiaHumana_ so…</t>
  </si>
  <si>
    <t>A partir de las 8:00 p.m. estaré en #BLU4P0 hablando de economía digital. https://t.co/qRHNTotIrX</t>
  </si>
  <si>
    <t>RT @mrafael70: Salir del petróleo y del carbón, antes que un tema político, es un tema científico. De seguir con este consumo desaforado de…</t>
  </si>
  <si>
    <t>RT @ColombiaHumana_: ¿Qué es el #PactoHistórico, cuál es el miedo alrededor de su propuesta? Eso le preguntó María Alejandra Villamizar hoy…</t>
  </si>
  <si>
    <t>RT @lucianacadahia: Es de público conocimiento mi apoyo a la candidatura presidencial de @petrogustavo. Su liderazgo encarna un renacer del…</t>
  </si>
  <si>
    <t>Estoy en vivo en Blu 4.0 https://t.co/lKTQGMSO8m</t>
  </si>
  <si>
    <t>La profunda incoherencia mental de quien dirige el mindefensa lo ha llevado a atacar a Iran para atraerse la amista… https://t.co/CkBipmwcSn</t>
  </si>
  <si>
    <t>RT @PieroCantautor: Petro venía con la mañana a cuestas, pensando en Veronica para la siesta… tenia en las manos trigo de lunes y un amor p…</t>
  </si>
  <si>
    <t>RT @SergioChaparro8: En Colombia quienes repiten lo que se solía pensar en los países más ricos hace ya varios años siguen siendo considera…</t>
  </si>
  <si>
    <t>Solo el sectarismo político no permite que la sociedad se pueda beneficiar de una inmunidad completa. El bajo porc… https://t.co/oOA7kWlCB9</t>
  </si>
  <si>
    <t>Siempre he pensado, a veces lo digo, que la paz es al final, que los hijos de los que hoy se consideran enemigos, j… https://t.co/DeLXlMmWD0</t>
  </si>
  <si>
    <t>RT @NanyPardo: A cinco años de la firma del Acuerdo de Paz, urge entender que ningún Acuerdo valdrá si nosotros no nos perdonamos, si somos…</t>
  </si>
  <si>
    <t>En Alemania se configuró un bloque progresista. La socialdemocracia logró articular a los verdes y los liberales y… https://t.co/Yqff4hAn6U</t>
  </si>
  <si>
    <t>RT @MariaFdaCabal: TODO debe hacerse público, por respeto a los electores: 1)La muestra 2)Los datos recaudados, incluidas las 3000 encuest…</t>
  </si>
  <si>
    <t>RT @petrogustavo: Siempre he pensado, a veces lo digo, que la paz es al final, que los hijos de los que hoy se consideran enemigos, jueguen…</t>
  </si>
  <si>
    <t>RT @velascoluisf: Y porque no intentar lo que hicieron en Alemania, unirse los verdes, progresistas y liberales para formar una coalición d…</t>
  </si>
  <si>
    <t>RT @petrogustavo: En Alemania se configuró un bloque progresista. La socialdemocracia logró articular a los verdes y los liberales y ahora…</t>
  </si>
  <si>
    <t>RT @Jokeraton: ¡Pero esto no se puede decir!...👇 https://t.co/HzuOuGmMbf</t>
  </si>
  <si>
    <t>Nos diferencia del progresismo latinoamericano de las últimas décadas, el que proponemos el desarrollo de América L… https://t.co/HKYqLw6qP5</t>
  </si>
  <si>
    <t>En las pasadas dos décadas el progresismo latinoamericano basó su propuesta de desarrollo en el alto precio de las… https://t.co/DzKmj0GT1x</t>
  </si>
  <si>
    <t>Ojalá las nuevas generaciones y los movimientos sociales puedan variar la agenda del desarrollo latinoamericano. E… https://t.co/8mWzyVqoMx</t>
  </si>
  <si>
    <t>Los tiempos de la crisis climática hace que las grandes ciudades cambien la matriz de movilidad hacia el transporte… https://t.co/Ay9b9Z23iG</t>
  </si>
  <si>
    <t>Atemorizada por el contralor Granados la administración Peñalosa acabó el subsidio al transporte masivo y elevó tar… https://t.co/vfwalzz210</t>
  </si>
  <si>
    <t>El covid hizo perder aun más, centenares de miles de viajes diarios al bus. El sistema de transporte masivo de Bogo… https://t.co/yFEDBb9Zb0</t>
  </si>
  <si>
    <t>La administración actual decidió financiar el déficit actual con endeudamiento. Una grave decisión. No veo otra al… https://t.co/8VwZvyOH7M</t>
  </si>
  <si>
    <t>Los jóvenes no son delincuentes. Ud, @Diego_Molano no solo dejó uniformar a sus hombres de Nazis, sino que usted m… https://t.co/HPM6TBIt93</t>
  </si>
  <si>
    <t>Esto fue lo que le repliqué a @OIZuluaga hoy en el #18CongresoInfra sobre el tema emisión monetaria del Banco de la… https://t.co/N3oitdkYQj</t>
  </si>
  <si>
    <t>Mi debate con Alejandro Gaviria y con Oscar Ivan Zuluaga. En este tipo de debates con competidores y públicos hosti… https://t.co/lmaulj7gAJ</t>
  </si>
  <si>
    <t>Luis Perez, exgobernador liberal de Antioquia y exalcalde de Medellín ha pedido que el partido Liberal entre a la c… https://t.co/M0K92lX7wX</t>
  </si>
  <si>
    <t>RT @petrogustavo: Mi debate con Alejandro Gaviria y con Oscar Ivan Zuluaga. En este tipo de debates con competidores y públicos hostiles a…</t>
  </si>
  <si>
    <t>En el Huila, la región cafetera de Colombia, la federación de cafeteros indujo a las cooperativas cafeteras a reali… https://t.co/BR1l42keyQ</t>
  </si>
  <si>
    <t>Es necesario que Duque haga una negociación con la bolsa de Nueva York, como Guatemala, para ampliar los plazos de… https://t.co/32sF9iXVIC</t>
  </si>
  <si>
    <t>Debates sobre seguridad. Hacia una seria reforma a la Policía. https://t.co/ZK0pQdrvsy</t>
  </si>
  <si>
    <t>Esto dice el expresidente de la corte constituciomal y exmagistrado de la CIDH. El ministro de defensa es portador… https://t.co/Ko6QCYV1wX</t>
  </si>
  <si>
    <t>Acaba la contraloría distrital de Andres Castro, de sacar en segunda instancia decisión sobre mi conducta alrededor… https://t.co/GIiLlM5ekF</t>
  </si>
  <si>
    <t>La decisión de Castro es fundamental para salvar los.sistemas de transporte masivo, los alcalde en vez de dirigir r… https://t.co/aoiMtN4XLf</t>
  </si>
  <si>
    <t>En Bogotá está decisión debe ayudar, si la alcaldesa quiere, a llevar los recursos públicos a una reducción tarifar… https://t.co/yCDlj63zEz</t>
  </si>
  <si>
    <t>RT @petrogustavo: Acaba la contraloría distrital de Andres Castro, de sacar en segunda instancia decisión sobre mi conducta alrededor de la…</t>
  </si>
  <si>
    <t>Para mis queridos economistas neoliberales aquí les dejo este análisis de la BBC que no hace sino repetir lo que di… https://t.co/HkGiExq9VK</t>
  </si>
  <si>
    <t>Y por si todavía tenemos fundamentalistas que quieran negar las nuevas realidades económicas, aquí va este artículo… https://t.co/vAmQkdEn4r</t>
  </si>
  <si>
    <t>RT @petrogustavo: Debates sobre seguridad. Hacia una seria reforma a la Policía. https://t.co/ZK0pQdrvsy</t>
  </si>
  <si>
    <t>¡Ay Dios mio! Y ¿que será el neocomunismo?, ¿Será que así definen aquello de quitarle el Estado a la mafia? ¿Ser… https://t.co/V96TwpDRn3</t>
  </si>
  <si>
    <t>O los contratistas de Hidroituango pagan los 4,3 billones de pérdida patrimonial o lo paga la sociedad colombiana… https://t.co/PtnjLkpd1E</t>
  </si>
  <si>
    <t>RT @Per_Energia: Alemania ya tiene diseñado su avión eléctrico: lleva 10 motores y capacidad para 100 viajeros https://t.co/3vx92tdSCS http…</t>
  </si>
  <si>
    <t>RT @QuinteroCalle: Nunca debieron cambiar los diseños. Nunca debieron bajar la calidad de los materiales. Nunca debieron tomar decisiones i…</t>
  </si>
  <si>
    <t>Te visitaré allí Juan, espero me invites a un tinto. https://t.co/LgVwoFCF7R</t>
  </si>
  <si>
    <t>Sanará tu corazón cuando entiendas que en la política no se construyen enemigos. Eres, como legislador constructor… https://t.co/jdnjXi4OOU</t>
  </si>
  <si>
    <t>Ayudenos mas bien a impedir la minería en una región agraria y campesina</t>
  </si>
  <si>
    <t>Con empresarios agricultores de Jericó,Antioquia, en defensa del agua y los alimentos. https://t.co/SqZfLM8E6u</t>
  </si>
  <si>
    <t>Máximo Jimenez cantor campesino y revolucionario de mi tierra QEPD https://t.co/Vvh9dEr4Pw</t>
  </si>
  <si>
    <t>La juventud de la provincia de Cartama se reune con el pueblo de Jericó. En breve comenzará nuestro dialogo en la… https://t.co/lc9clRbQhV</t>
  </si>
  <si>
    <t>¿Quien dijo que no podía entrar a Jericó? Esta es a Jericó, Antioquia a esta hora. Si Antioquia cambia, cambia Co… https://t.co/x58jcrSjOZ</t>
  </si>
  <si>
    <t>RT @petrogustavo: ¿Quien dijo que no podía entrar a Jericó? Esta es a Jericó, Antioquia a esta hora. Si Antioquia cambia, cambia Colombia…</t>
  </si>
  <si>
    <t>RT @SusanaBoreal: El Uribismo dijo que @petrogustavo no podía venir a Jericó y hoy desde este hermoso municipio le dice a todas las fuerzas…</t>
  </si>
  <si>
    <t>En la tierra del Sol sonoro, en el territorio que huele a café y nubes, convocamos a Antioquia a cambiar a Colombia… https://t.co/UXxOUfJHUd</t>
  </si>
  <si>
    <t>Esta doctrina neonazi en la que Uribe cree, y sería clave una discusión argumentada con él, ha sido llevada al mand… https://t.co/UyCgTueWPO</t>
  </si>
  <si>
    <t>Le he propuesto a la Nación dejar de pensar la seguridad en términos de seguridad del Estado y pasar a concebirla e… https://t.co/H2JrznxPFJ</t>
  </si>
  <si>
    <t>Si soy presidente las instituciones del Estado dejarán de mirar al colombiano como si fuera el enemigo interno de Colombia.</t>
  </si>
  <si>
    <t>RT @IvanCepedaCast: Mientras en el debate político, @petrogustavo presenta tesis sustentadas en forma lógica con argumentos y abundante bas…</t>
  </si>
  <si>
    <t>RT @ParraLuisE: #AntioquiaNoEsUribe. Fue el estruendoso grito con el cual #JericoConPetro recibió al próximo presidente de Colombia. Y es…</t>
  </si>
  <si>
    <t>Honduras vota hoy y vota por el cambio. La candidatura progresista es mayoritaria de lejos en todas las encuestas.… https://t.co/vSgyYiV2pn</t>
  </si>
  <si>
    <t>Doña Otilia me enseñó muchas cosas. Jericó, Antioquia. https://t.co/s39NKWr6E7</t>
  </si>
  <si>
    <t>El artículo de Juanita León sobre mi propuesta ante la crisis climática es serio pero creo que se equivoca en 2 asp… https://t.co/BjmTg91HiY</t>
  </si>
  <si>
    <t>2. Dejar de depender del petróleo trae más beneficios para Colombia que costos. La simple protección a la actividad… https://t.co/VOdynb7ErE</t>
  </si>
  <si>
    <t>Como bien dice juanita el petroleo representa 92.000 puestos de trabajo, pero las confecciones de textiles por ejem… https://t.co/qLKNSDGUn4</t>
  </si>
  <si>
    <t>Si la economía no se.mide en dólares sino en puestos de trabajo, el periodo petrolero en Colombia hizo perder millo… https://t.co/Oz9rpvX0J8</t>
  </si>
  <si>
    <t>Al revertir el efecto petrolero la consecuencia es el crecimiento de puestos de trabajo en los sectores productivos… https://t.co/nwmfs9UFub</t>
  </si>
  <si>
    <t>RT @willj84753699: ¡ATENCIÓN! #FueraMineríaDeJericó El PH y @petrogustavo se le meten al rancho a Uribe; territorio donde por décadas el U…</t>
  </si>
  <si>
    <t>RT @AdrianaRudling: Esta mesa suma como 268 años en distintos gobiernos. Si lo que quiere la Coalición de la Esperanza es "construir un paí…</t>
  </si>
  <si>
    <t>RT @AugustoCubides: “Petro le enseñó a Chávez”: Anónimo. https://t.co/hnzAdwHXr1</t>
  </si>
  <si>
    <t>A veces en medio de una batalla dura, hay algo que hace que te fortalezcas, una ilusión, un golpe suave en el coraz… https://t.co/LEKkyTkfAe</t>
  </si>
  <si>
    <t>Ha ganado el progresismo en Honduras. Xiomara Castro es la presidente acabando una narcodictadura. Hay un triunfo… https://t.co/7TdG2uwQE0</t>
  </si>
  <si>
    <t>Ojalá se pudiera decir esto mismo, no solo en la Honduras victoriosa, sino en una Colombia de plazas llenas que vot… https://t.co/R3C0NNSaGH</t>
  </si>
  <si>
    <t>RT @XiomaraCastroZ: ¡Gracias pueblo! Revertimos 12 años de lágrimas y de dolor en alegría. El sacrificio de nuestros mártires no fue en van…</t>
  </si>
  <si>
    <t>El estudio de la Universidad de Cambridge vuelve a vincular el covid con el cambio climático que habría cambiado ru… https://t.co/C4C1rmiIjb</t>
  </si>
  <si>
    <t>Entre el centro esperanza y el centro democrático hay un bebé indígena muerto solo por no dialogar y construir solu… https://t.co/rcO5fH8pgh</t>
  </si>
  <si>
    <t>RT @Catalinaperezp_: Despedimos hoy a Máximo Jiménez. Cantautor de la música protesta en defensa de la lucha campesina por la tierra. Conve…</t>
  </si>
  <si>
    <t>RT @JavierAdaime: El susto que tienen con la transición energetica que propone @petrogustavo es que la coca se produce con gasolina. Nad…</t>
  </si>
  <si>
    <t>Despues del triunfo progresista en Honduras, se aproxima un triunfo progresista en Chile. El pueblo chileno está a… https://t.co/bawvWKr2XZ</t>
  </si>
  <si>
    <t>Ella es Karmen Ramirez, candidata wayúu por la Colombia Humana a la circunscripción de ciudadanos y ciudadanas en e… https://t.co/l8vrqdLY4m</t>
  </si>
  <si>
    <t>Nos vemos el viernes por la mañana en San Gil, Santander, por la tarde, en Bucaramanga. https://t.co/m5zIRYSV1U</t>
  </si>
  <si>
    <t>Al final él se reunió con las comunidades de hidroituango y tu no. https://t.co/ey0E2c47z0</t>
  </si>
  <si>
    <t>RT @petrogustavo: Nos vemos el viernes por la mañana en San Gil, Santander, por la tarde, en Bucaramanga. https://t.co/m5zIRYSV1U</t>
  </si>
  <si>
    <t>RT @ISAZULETA: Represento la oposición al desastre de #Hidroituango, las comunidades que sobrevivimos a sus ataques, persecución, desalojos…</t>
  </si>
  <si>
    <t>RT @LupeMohawk: Porque este país cambie y nos pongamos de acuerdo en lo fundamental y transversal a todos. #PetroEsEsperanza https://t.co/F…</t>
  </si>
  <si>
    <t>El pacto histórico es entre diferentes, si no, no es Pacto. No estamos construyendo un partido, sino una forma de… https://t.co/Nige0chPbh</t>
  </si>
  <si>
    <t>Si el pueblo vota por mi mayoritariamente en el 2022, estará dando un mensaje y un mandato: no solo el inicio de un… https://t.co/RLbc3tKfbi</t>
  </si>
  <si>
    <t>Vimos a un Navarro pactar con un Alvaro Gómez el camino de la nueva Constitución. Vimos a un Santos, el exministro… https://t.co/KNq6H1DE7m</t>
  </si>
  <si>
    <t>He propuesto una gran convergencia del liberalismo con el progresismo bajo la tesis de continuar, en las condicion… https://t.co/o6UrZVrEdN</t>
  </si>
  <si>
    <t>RT @petrogustavo: El pacto histórico es entre diferentes, si no, no es Pacto. No estamos construyendo un partido, sino una forma de gober…</t>
  </si>
  <si>
    <t>RT @ErikaOSanoja: URGENTE | La #MarchaPorLaPatria que se ha hecho en #Bolivia durante 7 días, ha llegado a La Paz recorriendo 188 kms desde…</t>
  </si>
  <si>
    <t>Bienvenida al Pacto Histórico. @MafeCarrascal https://t.co/0fauk6DHVJ</t>
  </si>
  <si>
    <t>En este momento “en vivo” debatiendo sobre el panorama económico nacional de los próximos años en este conversatori… https://t.co/cBABDo4j5C</t>
  </si>
  <si>
    <t>Bienvenida al Pacto Histórico. @MafeCarrascal https://t.co/d07wrsPITi</t>
  </si>
  <si>
    <t>RT @petrogustavo: En este momento “en vivo” debatiendo sobre el panorama económico nacional de los próximos años en este conversatorio orga…</t>
  </si>
  <si>
    <t>Bienvenida al Pacto Histórico @MafeCarrascal https://t.co/d07wrsPITi</t>
  </si>
  <si>
    <t>Adriana Villegas, fue militante de Colombia Humana, de Buenaventura, tuvo que exiliarse en Ecuador, donde pasó much… https://t.co/eSlTPcTwZK</t>
  </si>
  <si>
    <t>RT @ColombiaHumana_: ¿Queremos paz o queremos venganza? Un gobierno del #PactoHistórico será uno de conciliación, de perdón. Por eso @petro…</t>
  </si>
  <si>
    <t>RT @wilsonariasc: ¿Nadie va a hablar de que ayer en la reunión de la Coalición Esperanza estaba como compromisario @alejoeder, heredero del…</t>
  </si>
  <si>
    <t>RT @borjahcarlos: Acá está @petrogustavo aclarando el tema sentando las bases de un acuerdo con los liberales y los compromisos fundamental…</t>
  </si>
  <si>
    <t>Decir que al Pacto Histórico no entran quienes hayan sido uribistas es excluir la mayoría de la población. Los cam… https://t.co/IGgfG6BALb</t>
  </si>
  <si>
    <t>En el caso de Luis Perez jamás, encontré su nombre en mi investigación sobre el paramilitarismo en Antioquia. No es… https://t.co/bhAQ0NJKMQ</t>
  </si>
  <si>
    <t>Tengo distancia con el planteamiento de seguridad de Luis Perez, espero que pueda ser debatida mi posición y la de… https://t.co/7EDlzmjlla</t>
  </si>
  <si>
    <t>Ratifico mi disposición plena a una convergencia entre el liberalismo y el progresismo que se pueda sustentar en la… https://t.co/gOeqt5Gz4x</t>
  </si>
  <si>
    <t>Respuesta respetuosa a Ingrid. https://t.co/cLjpIrUdPm</t>
  </si>
  <si>
    <t>RT @tikopineda: #CuenTico en #100Palabras Buenos días @MayorDavid_EJC @he60437807 @saludhernandezm @dianamotavo @petrogustavo @LetrasBreves…</t>
  </si>
  <si>
    <t>Uribe se inventó la palabra neocomunismo, yo ya había escuchado algunas que, al menos, tienen una realidad: neolibe… https://t.co/TCWM2TPFQw</t>
  </si>
  <si>
    <t>La que más me gusta de las palabras neos, es el neocampesinado: el retorno a la tierra desde lo urbano, me la apren… https://t.co/2OUHYm145k</t>
  </si>
  <si>
    <t>RT @jorgerojas2022: Vienen más al Pacto Histórico. 👉🏾Exmilitares cansados de la guerra y de Uribe 👉🏾Liberales hastiados de Gaviria 👉🏾Em…</t>
  </si>
  <si>
    <t>RT @anacrisrestrepo: Lupe les permite a "analistas" de Bogotá descubrir el agua tibia de lo que pasa en Medellín. Ay el centralismo 🤣 htt…</t>
  </si>
  <si>
    <t>Creo que deberíamos examinar a fondo lo que significa la operación Orión, como concepción de seguridad, hice ese de… https://t.co/Z6yLuVh5IQ</t>
  </si>
  <si>
    <t>La operación Orión fue planificada directamente por el gobierno nacional con tres responsables de primer orden: Uri… https://t.co/gNjU8e3oAD</t>
  </si>
  <si>
    <t>Lo que hay dentro de la política de seguridad de Uribe, con Orión y otras operaciones, como la implementada en Bogo… https://t.co/lziX0KmQuS</t>
  </si>
  <si>
    <t>Hice el debate sobre la ooeración Orión en el Congreso y creo que si vale la pena compararlo, como concepción de se… https://t.co/kCQdkM1NO2</t>
  </si>
  <si>
    <t>Con su cadena de muertos y desaparecidos la operación Orión y el 9 y 10 de septiembre en Bogotá tienen una segurida… https://t.co/uAgrLuNWzr</t>
  </si>
  <si>
    <t>La construcción del enemigo interno tiene un alto potencial de violación de derechos humanos, porque es un sector d… https://t.co/YcVB6n3Yqv</t>
  </si>
  <si>
    <t>En la operación Orión se hicieron responsables directamente Uribe y Martha Lucía Ramírez, no ocultaron su responsab… https://t.co/cJN7toxK14</t>
  </si>
  <si>
    <t>Lo que le propongo al país es cambiar esa concepción de seguridad La seguridad pensada como seguridad para el Esta… https://t.co/Cd7EWUoDa0</t>
  </si>
  <si>
    <t>¿Julian, te refieres al acuerdo de "Compromiso Ciudadano" de la coalición de la Esperanza con el uribismo, responsa… https://t.co/cndjk1evYc</t>
  </si>
  <si>
    <t>RT @petrogustavo: Hice el debate sobre la ooeración Orión en el Congreso y creo que si vale la pena compararlo, como concepción de segurida…</t>
  </si>
  <si>
    <t>Lamentablemente Daniel, tu acuerdo con el uribismo en el concejo de Medellín, es con el partido que directamente es… https://t.co/KOrC0vzxGg</t>
  </si>
  <si>
    <t>Estas ideas en Colombia son vistas de manera satánica. Creen que son locuras. La élite económica, política y mediát… https://t.co/nV3hEZSuXq</t>
  </si>
  <si>
    <t>Claro que Colombia puede llegar a 15 millones de turistas si hace la paz y claro que podemos exportar energía limpi… https://t.co/RhSO44GUrB</t>
  </si>
  <si>
    <t>RT @ElNuevoSiglo: #Política l ¿Qué proponen los precandidatos sobre desempleo y deuda fiscal? Acá le contamos 👉https://t.co/1phpG6MLpW http…</t>
  </si>
  <si>
    <t>La suma de saberes e ideas de cambio nos llevarán a la victoria. Únete al voluntariado programático inscribiéndote… https://t.co/vVcNVn35HC</t>
  </si>
  <si>
    <t>RT @PactoCol: ¿Qué es el Pacto? ¿Por qué es necesario pactar en Colombia? Todas las respuestas conducen a la misma necesidad: el Pacto es u…</t>
  </si>
  <si>
    <t>Un abrazo ancestral, querida @FranciaMarquezM. ¡Feliz cumpleaños! https://t.co/juN2qoCi5r</t>
  </si>
  <si>
    <t>Con el empresariado turístico y agrario de San Gil, Santander. https://t.co/rV7E6MC87j</t>
  </si>
  <si>
    <t>San Gil en este momento. SANTANDER https://t.co/RG5tXVb2Ec</t>
  </si>
  <si>
    <t>Con empresarios de Santander https://t.co/wsx0RYpDs0</t>
  </si>
  <si>
    <t>Bucaramanga en este momento. https://t.co/Btmp2KwaDw</t>
  </si>
  <si>
    <t>RT @charry_manager: Gustavo, me gustaría estar recorriendo el pais contigo como otrora lo hicimos llevando ese mensaje del #PactoHistorico.…</t>
  </si>
  <si>
    <t>RT @Barreja: Los Comuneros nos dijeron que era posible !!! https://t.co/a7vXT91jQT</t>
  </si>
  <si>
    <t>RT @manuelzamudioa: "Lo prioritario de una economia es producir eso que podemos hacer en Colombia, eso implica puestos de trabajo, el creci…</t>
  </si>
  <si>
    <t>RT @petrogustavo: Bucaramanga en este momento. https://t.co/Btmp2KwaDw</t>
  </si>
  <si>
    <t>RT @AndresCamiloHR: https://t.co/HhFQYQzNmT</t>
  </si>
  <si>
    <t>RT @Barreja: El himno de mi generación esperando a @petrogustavo en el Parque Santander en BucaraMINGA !!! https://t.co/iXrZ0rXSyN</t>
  </si>
  <si>
    <t>RT @ShukkaariJG: Síguenos ⁦@ShukkaariJG⁩ activa 🔔 BORIC DE IZQUIERDAS ENCABEZA ENCUESTA y KAST abajo con 5 puntos ¿Corre peligro la con…</t>
  </si>
  <si>
    <t>RT @Elfride34574721: @GustavoBolivar Gustavo Bolívar que energía, sostuvo la cámara todo el tiempo durante el discurso de Petro. https://t.…</t>
  </si>
  <si>
    <t>RT @ColombiaHumana_: “No quiero venganzas, quiero unir a la nación. No quiero repetir la historia del uribismo: proscribir al que piensa di…</t>
  </si>
  <si>
    <t>Mañana a las 11:00 a.m. estaré en Ciudad Bolívar en el Instituto Cerros del Sur “ICES” en Potosí, hablaremos de mi… https://t.co/AmBtrA71HJ</t>
  </si>
  <si>
    <t>Me llamo Gustavo Petro y quiero que todos los corruptos vayan a la cárcel https://t.co/hbxyuI3wcq</t>
  </si>
  <si>
    <t>RT @ChalecosAmarill: 🎥🛑🎥🛑¡ADIÓS DICTADURA! ¡ADIÓS GENERAL! ¡ #CHILEDESPERTÓ! 🇨🇱🇨🇱 Una nueva constitución. Y ahora toca expulsar al FASCISMO…</t>
  </si>
  <si>
    <t>RT @petrogustavo: Me llamo Gustavo Petro y quiero que todos los corruptos vayan a la cárcel https://t.co/hbxyuI3wcq</t>
  </si>
  <si>
    <t>Nos vemos a las 11:00 a.m. En el Instituto Cerros del Sur “ICES” Proyecto Escuela-Comunidad en Potosí - Ciudad Bolí… https://t.co/a8e5NO2y6u</t>
  </si>
  <si>
    <t>RT @Lauraggils: No todos los opositores venezolanos están de acuerdo con meterse en Colombia a hacer anti petrismo. De @barraplural/ La int…</t>
  </si>
  <si>
    <t>En Potosí, Ciudad Bolívar. Bogotá https://t.co/dmWptVCzsw</t>
  </si>
  <si>
    <t>Comparto un rato de lectura con los habitantes de Potosí en Ciudad Bolívar hablando de mi nuevo libro… https://t.co/k7vMpMiW5G</t>
  </si>
  <si>
    <t>RT @adelina_covo: “Tenemos 9 días para entender que lo que está en juego no es un cupo en una lista al Congreso, sino la posibilidad de cam…</t>
  </si>
  <si>
    <t>Con todo el respeto que me merece Caracol, no invité a Rodolfo Hernández al Pacto Histórico. Lo invité a hacer pro… https://t.co/iiaaKhq4Y6</t>
  </si>
  <si>
    <t>A tres años de comenzar su gobierno progresista, Lopez Obrador tiene el apoyo más alto de la población mexicana. https://t.co/H8kKUnizXm</t>
  </si>
  <si>
    <t>RT @MateoDDHH: Les cuento que hace algunos meses comenzamos a forjar alianzas con diferentes sectores para participar de los Consejos de Ju…</t>
  </si>
  <si>
    <t>RT @Avilamedios: Los invitamos a Votar por la lista de la @ColombiaHumana_ @UP_Colombia a #ConsejosDeJuventud de la Localidad de Los Mártir…</t>
  </si>
  <si>
    <t>RT @BecerraGabo: #Tunjuelito Nicolás Martínez y Mauricio Ramos https://t.co/3cLHNWaws8</t>
  </si>
  <si>
    <t>RT @carlos_horoxko: Acabo de presentar mi renuncia como Presidente del Partido Alianza Verde en Risaralda. Esta dando un giro hacia a la d…</t>
  </si>
  <si>
    <t>RT @petrogustavo: Con todo el respeto que me merece Caracol, no invité a Rodolfo Hernández al Pacto Histórico. Lo invité a hacer propuesta…</t>
  </si>
  <si>
    <t>RT @PascaGuerrero: Mientras la mayoría de San Gil aplaudía al próximo presidente de Colombia, Gustavo Petro, un pequeño grupo de #UribeCoba…</t>
  </si>
  <si>
    <t>RT @AABenedetti: El petrismo retirando pacíficamente a uribistas que quieren agredir. Este gobierno será un gobierno de paz y de diálogo. N…</t>
  </si>
  <si>
    <t>Mi entrevista en "El Colombiano" https://t.co/R19tjx5wD3</t>
  </si>
  <si>
    <t>Andrés Arellano Báez nos trae un importante artículo sobre por qué es indispensable superar la economía petrolera y… https://t.co/puLaMYgxCj</t>
  </si>
  <si>
    <t>RT @DiegoFeBarreiro: #JovenEligeJoven soy Diego Barreiro candidato a los #CMJ por Neiva. Este 5 de diciembre vota por la lista Juventud Hu…</t>
  </si>
  <si>
    <t>RT @CesarOviedoG: Soy Cesar Oviedo un joven que todos los días se levanta convencido que aún podemos cambiar la historia de nuestro país y…</t>
  </si>
  <si>
    <t>RT @EverthLeonG: Este 5 d diciembre jóvenes desde los 14 hasta los 28 años, tenemos una cita con la democracia, ya q se estaran escogiendo…</t>
  </si>
  <si>
    <t>RT @humana_valle: Apoya nuestra lista en #YUMBOVALLE marcando con una X el logo de la #COLOMBIAHUMANAUP @ColombiaHumana_ @Juventud_Humana h…</t>
  </si>
  <si>
    <t>RT @Juventud_Humana: Recordemos votar hoy en los puestos de votación de todo el país por las listas de la #JuventudHumana y el Pacto Histór…</t>
  </si>
  <si>
    <t>RT @petrogustavo: Mi entrevista en "El Colombiano" https://t.co/R19tjx5wD3</t>
  </si>
  <si>
    <t>RT @AProgresista_: Las mujeres de Colombia, en toda nuestra diversidad, estamos representadas en el #PactoHistórico 🇨🇴 Unidas por un nuev…</t>
  </si>
  <si>
    <t>Avanza la posibilidad del triunfo progresista en Chile. Sería el cierre simbólico de la fase neoliberal que llevó… https://t.co/AFAZ0RPDF4</t>
  </si>
  <si>
    <t>Este valle del río Neusa, era el sitio de nuestros paseos de mi colegio público. Aquí las juventudes zipaquireñas a… https://t.co/Ei84b1HLRd</t>
  </si>
  <si>
    <t>RT @LaGenteDePetro: #PetroPorColombia es la tendencia. RT si estas por el cambio! @petrogustavo https://t.co/k94Dzm7W4f</t>
  </si>
  <si>
    <t>RT @Margaritarosadf: ¿Pero quién está contra los ricos? Lo que estamos pidiendo es que las leyes no solo los beneficien a ellos, no es más.…</t>
  </si>
  <si>
    <t>RT @Juventud_Humana: En este momento nuestro candidato de @JHBoyaca en Paipa, Julián David Barón, es electo consejero de juventud. Julián…</t>
  </si>
  <si>
    <t>RT @AABenedetti: .@petrogustavo se acerca al 50.01% para ganar en primera vuelta, según la última encuesta INVAMER de @NoticiasCaracol. Los…</t>
  </si>
  <si>
    <t>RT @ColombiaHumana_: Sea como sea la baraja de candidatos, el análisis que se puede hacer con estos resultados de esta encuesta de Invamer,…</t>
  </si>
  <si>
    <t>RT @MedImparable: Así quedarían las elecciones si ganaran las consultas @petrogustavo @sergio_fajardo y @FicoGutierrez . gustavo Petro se…</t>
  </si>
  <si>
    <t>RT @ManosLimpiasCo: En todos los escenarios gana @petrogustavo Petro podría ganar en 1a vuelta. https://t.co/kSbCWOaQfB</t>
  </si>
  <si>
    <t>RT @PactoCol: Se viene un CAMBIO histórico para Colombia. Vamos a unir al país para superar el odio, la corrupción, el atraso y la pobrez…</t>
  </si>
  <si>
    <t>RT @ColombiaHumana_: Hablemos de los escenarios de segunda vuelta. Según reza un mito que quieren imponer los de las otras dos coaliciones,…</t>
  </si>
  <si>
    <t>De acuerdo a la encuesta Invamer, esta sería la segunda vuelta, si pasa Fajardo. https://t.co/kwW1ydXelc</t>
  </si>
  <si>
    <t>Esta sería la segunda vuelta si pasa Oscar Iván Zuluaga https://t.co/F8JSOWMuBN</t>
  </si>
  <si>
    <t>Esta sería la segunda vuelta si pasa Federico Gutierrez https://t.co/dHNeDGKKdd</t>
  </si>
  <si>
    <t>Esta sería la segunda vuelta si pasa Rodolfo Hernández. https://t.co/WDDA5jvi0N</t>
  </si>
  <si>
    <t>Esta sería la segunda vuelta si pasa Juan Manuel Galán https://t.co/cqxypaWa6Z</t>
  </si>
  <si>
    <t>Esta sería la segunda vuelta si pasa Char. https://t.co/wsFP2Pcdp1</t>
  </si>
  <si>
    <t>Estamos entre el 43 y el 47% de intención de voto para primera vuelta, y entre el 57 y el 68% para la segunda vuelt… https://t.co/VahX05lX8o</t>
  </si>
  <si>
    <t>RT @petrogustavo: De acuerdo a la encuesta Invamer, esta sería la segunda vuelta, si pasa Fajardo. https://t.co/kwW1ydXelc</t>
  </si>
  <si>
    <t>Me reuno con personas en condición de discapacidad para construir una política pública nacional que reconozca remun… https://t.co/F1egLGU8B4</t>
  </si>
  <si>
    <t>"Ensayos de Persuasión", aquí se recopilarán los artículos de debate programático de mi campaña presidencial. https://t.co/cpslIDVYKP</t>
  </si>
  <si>
    <t>Una encuesta de las elecciones para Congreso en Atlántico. Senado y Cámara. https://t.co/MenvOthhnF</t>
  </si>
  <si>
    <t>RT @RevistaDinero: ATENCIÓN: Gustavo Petro y Luis Pérez debaten en SEMANA de cara al 2022 https://t.co/dwdEQvi2eR</t>
  </si>
  <si>
    <t>RT @petrogustavo: "Ensayos de Persuasión", aquí se recopilarán los artículos de debate programático de mi campaña presidencial.</t>
  </si>
  <si>
    <t>Es momento de superar lo que nos divide y construir ese futuro que nos merecemos. #ElPactoEsContigo. https://t.co/0dglUc4MgQ</t>
  </si>
  <si>
    <t>El objetivo es ganar en primera vuelta https://t.co/hfDq8lSoVS</t>
  </si>
  <si>
    <t>RT @elpaiscali: Roy Barreras entregó a la Registraduría un millón de firmas para avalar su candidatura https://t.co/jHvxS61lEH</t>
  </si>
  <si>
    <t>RT @petrogustavo: Me reuno con personas en condición de discapacidad para construir una política pública nacional que reconozca remuneradam…</t>
  </si>
  <si>
    <t>Han sido ciudadanos con técnicas forenses los que han avanzado en la investigación del asesinato de Lucas Villa en… https://t.co/2Ed11sVsJl</t>
  </si>
  <si>
    <t>RT @elespectador: “Hay que hacer un pacto interétnico en Colombia”: Gustavo Petro https://t.co/32Supioprr https://t.co/CBNPACY4mN</t>
  </si>
  <si>
    <t>Los contratos de Hidroituango y el narcotraficante Francisco Angulo Osorio, responsable de la masacre del Aro en It… https://t.co/U8m89PwWkb</t>
  </si>
  <si>
    <t>RT @lbertoortiz: Le voy a dejar este video a la gente del Centro Democrático y sus militantes, que piensa que para ser de izquierda hay que…</t>
  </si>
  <si>
    <t>Allí donde se pudieron presentar listas de Colombia Humana en las elecciones juveniles, Colombia Humana ganó. Aquí… https://t.co/sf3yC3QODg</t>
  </si>
  <si>
    <t>RT @petrogustavo: Han sido ciudadanos con técnicas forenses los que han avanzado en la investigación del asesinato de Lucas Villa en Pereir…</t>
  </si>
  <si>
    <t>https://t.co/qfjnzaRWHL</t>
  </si>
  <si>
    <t>Velitas. https://t.co/JTcUkRDLFq</t>
  </si>
  <si>
    <t>RT @nicolaspetroB: La P de Paz. La P de Pueblo. La P de Progreso. La P de Pacto. Que pasen una feliz noche de velitas! #UnaVelitaPorElCam…</t>
  </si>
  <si>
    <t>Cuando hablamos de generar energia solar y eólica para la electricidad, incluso desde el hogar mismo, cuando hablam… https://t.co/Yvl5PUqyRb</t>
  </si>
  <si>
    <t>Los insumos agropecuarios deben tener un precio regulado por el Estado. Hay que recuperar monómeros y lograr prod… https://t.co/t833lDGdMv</t>
  </si>
  <si>
    <t>Así recibieron a Leopoldo López en Chile por hacer política en un país que no es el de él, ni vive allí. https://t.co/UMuci4mPjV</t>
  </si>
  <si>
    <t>Así se habla. https://t.co/t4B3O4sXLe</t>
  </si>
  <si>
    <t>RT @FranciaMarquezM: A Íngrid Betancourt la invito al #PactoHistórico. Aquí hay vivencias, hay historias, que enriquecen la perspectiva de…</t>
  </si>
  <si>
    <t>Un crimen más. La intolerancia del "plomo es lo que hay". https://t.co/xmF0U2WF1k</t>
  </si>
  <si>
    <t>Mi intervención en el foro presidencial sobre negritudes hecho por la Universidad de los Andes en Bogotá. Autonomí… https://t.co/HB98ZncRsm</t>
  </si>
  <si>
    <t>RT @elespectador: El precandidato presidencial por el Pacto Histórico habló con El Espectador sobre sus principales propuestas. https://t.…</t>
  </si>
  <si>
    <t>Hoy estaré junto con @CamiloRomero @FranciaMarquezM @RoyBarreras y @urianaguariyu en el debate presidencial organiz… https://t.co/L7QpepHhaG</t>
  </si>
  <si>
    <t>RT @petrogustavo: Mi intervención en el foro presidencial sobre negritudes hecho por la Universidad de los Andes en Bogotá. Autonomía y po…</t>
  </si>
  <si>
    <t>Ya estoy en el debate de precandidatos del Pacto Histórico, organizado por @NoticiasCaracol y @lasillavacia, En m… https://t.co/MOqqu0mxpE</t>
  </si>
  <si>
    <t>#EnVivo Debate de precandidatos del Pacto Histórico organizado por Noticias Caracol y La Silla Vacía. Siga la tran… https://t.co/d9vgbTLzPC</t>
  </si>
  <si>
    <t>En vivo debate precandidatos del Pacto Histórico en Noticias Caracol. Comparte con tus amigas y amigos. https://t.co/hh4DbkBviG</t>
  </si>
  <si>
    <t>RT @petrogustavo: En vivo debate precandidatos del Pacto Histórico en Noticias Caracol. Comparte con tus amigas y amigos. https://t.co/hh…</t>
  </si>
  <si>
    <t>RT @AndresCamiloHR: “En una democracia todas las instituciones son propiedad de la ciudadanía, eso ordena la Constitución” señala @petrogus…</t>
  </si>
  <si>
    <t>RT @AndresCamiloHR: “Nos une la democracia, la Constitución del 91 y la Justicia Social” señala @petrogustavo en debate de precandidatos de…</t>
  </si>
  <si>
    <t>RT @ColombiaHumana_: "El #PactoHistórico no es un partido, es una forma de gobernar. Queremos un gobierno entre diferentes para hacer la pa…</t>
  </si>
  <si>
    <t>RT @manuelzamudioa: "Queremos decirles que Colombia tal como esta no puede seguir, miedo hay que tenerle a continuar como estamos". @petrog…</t>
  </si>
  <si>
    <t>RT @lasillavacia: #ColombiaDecide Aquí los mejores momentos del debate entre precandidatos del @PactoCol. Intentaron enviar un mensaje de…</t>
  </si>
  <si>
    <t>RT @jorgerojas2022: El camino de la reconciliación y la paz, los derechos, la productividad, el trabajo y la justicia social y climática pa…</t>
  </si>
  <si>
    <t>Hoy a las 6:00 p.m. estaré en #CandidatosEnLaRedaccion de @NoticiasRCN, en todas las redes sociales habrá transmisi… https://t.co/j1PbwNADvy</t>
  </si>
  <si>
    <t>RT @NoticiasRCN: 🔴#EnVivo | @NoticiasRCN conversa en #CandidatosEnLaRedacción con @petrogustavo, aspirante a la Presidencia de Colombia, qu…</t>
  </si>
  <si>
    <t>Esto se llama dictadura. https://t.co/RdVtnz6sYt</t>
  </si>
  <si>
    <t>RT @manuelzamudioa: "Esta es una apuesta por parar la guerra, por dignificar la vida, por cuidar el territorio como espacio de vida". @Fran…</t>
  </si>
  <si>
    <t>RT @elespectador: “Unión entre pueblos indígenas y negros”: Francia Márquez será candidata de AICO https://t.co/HFN2o16R6G https://t.co/Vpj…</t>
  </si>
  <si>
    <t>El asesinato de la diferencia tiene que ver con una ideología que, lamentablemente, se propaga desde el gobierno.… https://t.co/fUjBqJC0aD</t>
  </si>
  <si>
    <t>La extradición del peridista Assange hacia EEUU, equivale a la ley mordaza a la prensa colombiana, solo que a escala mundial.</t>
  </si>
  <si>
    <t>En Chile el candidato progresista, que lidera encuestas, ha propuesto la reforma pensional para garantizar pensión.… https://t.co/erYrrmZc7s</t>
  </si>
  <si>
    <t>La reforma consiste en fortalecer el sistema de reparto simple que consiste en que el dinero de la cotización que e… https://t.co/rgj2Z3mWu3</t>
  </si>
  <si>
    <t>Si logramos aprobar esa reforma en el Congreso, y para eso necesitamos cambiar el Congreso, el Estado podría pagar… https://t.co/TIVi64RM2G</t>
  </si>
  <si>
    <t>William Calderon es magíster en periodismo de la universidad de la sabana. Ha publicado esta foto de un joven lisi… https://t.co/c5me7V4tdL</t>
  </si>
  <si>
    <t>Está es mi entrevista en Noticias RCN en la sección #CandidatosEnLaRedacción ¡Comparte con tus amigos y amigas! https://t.co/VB6mpUIx0u</t>
  </si>
  <si>
    <t>RT @DavidRacero: Gran reunión de voluntariado del Pacto Histórico mañana sábado a las 2 PM. Les esperamos !! https://t.co/sSP8edDalu</t>
  </si>
  <si>
    <t>David Vélez es un verdadero innovador, a partir del saber pudo desarrollar un banco con servicios más baratos, que… https://t.co/3BpXni2Nmx</t>
  </si>
  <si>
    <t>Necesitamos medio millón de voluntarios y voluntarias en toda Colombia. Se trata de configurar la más grande fuerz… https://t.co/3nmdZwAigw</t>
  </si>
  <si>
    <t>RT @petrogustavo: David Vélez es un verdadero innovador, a partir del saber pudo desarrollar un banco con servicios más baratos, que extra…</t>
  </si>
  <si>
    <t>Felicitaciones. Se recupera 4,3 billones del patrimonio público gracias al proceso fiscal de Hidroituango. Este e… https://t.co/KkgReFzMV1</t>
  </si>
  <si>
    <t>Este es el hombre más rico de Colombia. Su banco hoy vale USD $ 50.000 millones, es virtual, y entrega créditos a s… https://t.co/3IAYuMwqXP</t>
  </si>
  <si>
    <t>RT @petrogustavo: Este es el hombre más rico de Colombia. Su banco hoy vale USD $ 50.000 millones, es virtual, y entrega créditos a sus cli…</t>
  </si>
  <si>
    <t>Bienvenido el movimiento "Autoridades Indígenas de Colombia", AICO, al Pacto Histórico. https://t.co/tuwqbbS28U</t>
  </si>
  <si>
    <t>RT @OArquidiocesis: Con la compañía de @arzobispodecali la #Minga llega a #Cali en un clamor ciudadano para que #ParenLasMasacres. #Vencerá…</t>
  </si>
  <si>
    <t>RT @laspersuasiones: ¿Qué tan justa es una reforma pensional? – Ensayos de Persuasión ⁦@KevinHartmannC⁩ #persuasiones https://t.co/geSO0xp…</t>
  </si>
  <si>
    <t>RT @petrogustavo: Bienvenido el movimiento "Autoridades Indígenas de Colombia", AICO, al Pacto Histórico. https://t.co/tuwqbbS28U</t>
  </si>
  <si>
    <t>Un pacto histórico para que Colombia se adapte y mitigue el cambio climático. @CamiloRomero https://t.co/Ndp2KOthGu</t>
  </si>
  <si>
    <t>RT @GustavoBolivar: ÚLTIMA HORA La Corte Suprema se inhibe de abrir investigación a @petrogustavo @IvanCepedaCast y Gustavo Bolívar por “i…</t>
  </si>
  <si>
    <t>RT @piedrahitangela: Voto por ellos.</t>
  </si>
  <si>
    <t>RT @petrogustavo: Un pacto histórico para que Colombia se adapte y mitigue el cambio climático. @CamiloRomero https://t.co/Ndp2KOthGu</t>
  </si>
  <si>
    <t>Puntos programáticos: Una nueva política de vivienda en el barrio popular. ¿Cómo reducir el costo de la vivienda e… https://t.co/BXJG9vCm6E</t>
  </si>
  <si>
    <t>RT @petrogustavo: Necesitamos medio millón de voluntarios y voluntarias en toda Colombia. Se trata de configurar la más grande fuerza del…</t>
  </si>
  <si>
    <t>Nueva encuesta de CNC vuelve a mostrar que seguimos subiendo, que vamos de primeras, que ganamos en todos los escen… https://t.co/TVdujtI6fe</t>
  </si>
  <si>
    <t>La fecha solo indica que el intento de allanar a Noticias Uno es para ver si pueden reabrir investigaciones penales… https://t.co/omfSFShkxU</t>
  </si>
  <si>
    <t>Como pueden ver en la encuesta CNC, mi candidatura es la que más puntos ha sumado y crecido entre septiembre y la f… https://t.co/bvQi6PVcNv</t>
  </si>
  <si>
    <t>En segunda vuelta, le ganamos a todos los contendores. https://t.co/u35Qz1sLZy</t>
  </si>
  <si>
    <t>Y la diferencia con Fajardo aumenta a nuestro favor. https://t.co/6TLfT4xwzi</t>
  </si>
  <si>
    <t>RT @NanyPardo: Hablar de proteger nuestros productos agrícolas aquí es sacrilegio. Hablar de transición energética aquí es sacrilegio. Habl…</t>
  </si>
  <si>
    <t>RT @AngelicaLozanoC: Mi renuncia al @PartidoVerdeCoL 🌻 https://t.co/HlOsRRp2XW</t>
  </si>
  <si>
    <t>RT @petrogustavo: Como pueden ver en la encuesta CNC, mi candidatura es la que más puntos ha sumado y crecido entre septiembre y la fecha.…</t>
  </si>
  <si>
    <t>Otra vez en mi tierra. Hoy festejo el cumpleaños de mi padre. Ciénaga de Oro, Córdoba. https://t.co/CCTinCpY1i</t>
  </si>
  <si>
    <t>Los invito a suscribirse en mi página oficial de Facebook, allí pondrán estar más conectados y actualizados. Link:… https://t.co/RCtDMkE2X7</t>
  </si>
  <si>
    <t>RT @AngeeVeronica: Mi nombre es Verónica Castellanos, soy consejera de juventudes por el Partido Liberal en Líbano Tolima y mi primera acci…</t>
  </si>
  <si>
    <t>Son 87 años de mi padre. Me enseñó la lectura de los libros. De muy joven leí el Quijote y Rousseau de su bibliotec… https://t.co/aIs42Fw14Z</t>
  </si>
  <si>
    <t>RT @jorgerojas2022: Homenaje del senador @GustavoBolivar a los jóvenes que tumbaron la reforma tributaria y al ministro de Hacienda. Ocu…</t>
  </si>
  <si>
    <t>RT @CarolinaMadridT: Para quiénes están desconcertados con lo que pasa en el Pacto Histórico, explicaré brevemente el tema del Colegio elec…</t>
  </si>
  <si>
    <t>Es increible como para tratar de llamarnos instigadores de la violencia en la pasada movilización popular tuvieron… https://t.co/igXOZkg6ku</t>
  </si>
  <si>
    <t>RT @YoAlejoV: Petro dio sopa y seco a periodistas de RCN por preguntas sobre dictadura de Maduro en Venezuela https://t.co/mD7UhfUoSP</t>
  </si>
  <si>
    <t>RT @susanamuhamad: Vamos a construir el #PactoHistórico y la candidatura de @petrogustavo, caminando los territorios, casa a casa, hablando…</t>
  </si>
  <si>
    <t>Nuevo urbanismo. https://t.co/lM1YeIOavU</t>
  </si>
  <si>
    <t>Felices 87 años. Se ha reunido toda la familia Petro, ubicada en su mayoría entre San Pelayo, Cereté y Ciénaga Oro.… https://t.co/0weboFhZQI</t>
  </si>
  <si>
    <t>Ella es Inge Rodriguez Pestana, dirigente indígena Zenú de Sucre, va a la cámara de representantes por el Pacto en… https://t.co/xVaCiJFkFk</t>
  </si>
  <si>
    <t>RT @JmsSteffens: #LaPolíticaDeLaVida #PresidentePrimeraVuelta https://t.co/n30gRyTunP</t>
  </si>
  <si>
    <t>RT @petrogustavo: Ella es Inge Rodriguez Pestana, dirigente indígena Zenú de Sucre, va a la cámara de representantes por el Pacto en ese de…</t>
  </si>
  <si>
    <t>Tanto daño en el cerebro ha hecho la mentalidad premoderna y anacrónica que se esconde en el uribismo. https://t.co/1BxqBtyubA</t>
  </si>
  <si>
    <t>Abrir las listas del pacto es condenar a que la mayoría de las curules elegidas sean de hombres. He luchado por la… https://t.co/NV15SZcUKc</t>
  </si>
  <si>
    <t>Ninguna de las personas que mencionas, Angela, pertenece a Colombia Humana. No entiendo, entonces, tu crítica Colo… https://t.co/Ajb9yV7anl</t>
  </si>
  <si>
    <t>Se llama premodernidad y anacronismo. Es la mentalidad feudal que mantiene en el atraso al país. ¿En qué consist… https://t.co/GSioow3kDX</t>
  </si>
  <si>
    <t>Me pregunto si al comprar la boleta de entrada a Panaca le preguntan a la gente si va a votar por mi y al decir que… https://t.co/TkglyAIv6R</t>
  </si>
  <si>
    <t>RT @ammejiaaguado: .⁦@petrogustavo⁩ el progresista y humanista que próximamente va ser el presidente de Colombia. #petropresidente2022 htt…</t>
  </si>
  <si>
    <t>RT @agmethescaf: Amigos y amigas atlanticences: ¡los invito a PACTAR! Únanse a un pacto por la vida, a un pacto por los derechos humanos,…</t>
  </si>
  <si>
    <t>RT @petrogustavo: Me pregunto si al comprar la boleta de entrada a Panaca le preguntan a la gente si va a votar por mi y al decir que sí, l…</t>
  </si>
  <si>
    <t>RT @anateresabernal: @angelamrobledo @SaraTufanoZ @Juanaafanador1 @Imeldadaza @petrogustavo @ColombiaHumana_ Su reclamo no tiene nada que v…</t>
  </si>
  <si>
    <t>RT @nicolaspetroB: Ciénaga de oro tiene su #CasaPetro https://t.co/S89uO5fpy6</t>
  </si>
  <si>
    <t>RT @wilsonariasc: Finalmente el @PoloDemocratico ha aprobado dar aval a @FranciaMarquezM . Pudo ser antes pero aún estamos a tiempo. Felici…</t>
  </si>
  <si>
    <t>RT @Wilson_Suaza_: Catedra de economía de @petrogustavo en RCN. "sabes que es lo ilimitado en economía? El cerebro" https://t.co/nW693n27qX</t>
  </si>
  <si>
    <t>La masacre de Bogotá que por la actividad de manto encubridor de un Congreso de la República arrodillado, se convir… https://t.co/aezVyxnkFD</t>
  </si>
  <si>
    <t>RT @elcolombiano: Algunos movimientos y partidos políticos cumplen en Antioquia las cuotas establecidas por ley para las listas al Congreso…</t>
  </si>
  <si>
    <t>RT @HoyPalestina: Miss Universo Palestina ahora https://t.co/bTNmLZbP6y</t>
  </si>
  <si>
    <t>RT @ChalecosAmarill: 🛑"Si la guerra se inicia con una mentira, la paz puede ser iniciada con la verdad." ✍🏿 Julian Assange #FreeAssangeNOW…</t>
  </si>
  <si>
    <t>RT @RodrigoUprimny: Mi columna hoy: diferencia entre superricos gringos, como Buffet o Gates, que piden que les cobren mayores impuestos pa…</t>
  </si>
  <si>
    <t>Cecilia Lopez Montaño explica con claridad que lo que nos permite acercarnos a ganar la presidencia no es más sino… https://t.co/X7JQceeRx5</t>
  </si>
  <si>
    <t>Estoy de acuerdo con el general, solo que el pacto por la seguridad debe llevar imiplícito cambios en la concepción… https://t.co/YlQOjcSS8W</t>
  </si>
  <si>
    <t>RT @reexistiendo: Vamos a cambiar el país y creemos que lo primero será hacer un cambio cultural. Hoy @SusanaBoreal nos hace un llamado a…</t>
  </si>
  <si>
    <t>RT @ContraGodarria: JAAAA JAAAA JAAAA JAAAA JAAAA JAAAA JAAAA JAAAA JAAAA JAAAA Tiene gambeta y buen remate de zurda 😂 https://t.co/wT6NYS…</t>
  </si>
  <si>
    <t>RT @elsemblante: Quién te conoce, Messi 😂 https://t.co/VUsarLNoSR</t>
  </si>
  <si>
    <t>Si el 10.8 % de incremento de salario mínimo es el techo entonces la propuesta de Duque fue demagogia. Mientras la… https://t.co/6DSYpvrktX</t>
  </si>
  <si>
    <t>Mientras la productividad de los trabajadores de Colombia creció entre el 2019 y el 2019 25% real, sus salario míni… https://t.co/uZzXLrusE5</t>
  </si>
  <si>
    <t>Hay que establecer un pacto entre trabajadores y empresarios donde el salario real crezca igual que la productivida… https://t.co/RSMoNvC5Xm</t>
  </si>
  <si>
    <t>Le solicito a Duque para corregir la distancia entre salario mínimo real y productividad desde el.año 2009 hasta la… https://t.co/oIfuq51GGn</t>
  </si>
  <si>
    <t>¡deberíamos preguntarle al profesor de economía de la Javeriana porque es populista que el salario real crezca de m… https://t.co/pngHx9S10t</t>
  </si>
  <si>
    <t>RT @petrogustavo: Si el 10.8 % de incremento de salario mínimo es el techo entonces la propuesta de Duque fue demagogia. Mientras la produ…</t>
  </si>
  <si>
    <t>RT @joaltejada: Oficialmente soy candidato a la cámara de representantes del Valle del Cauca por el @PactoCol. Vamos a darle voz y rostro a…</t>
  </si>
  <si>
    <t>RT @UP_Colombia: Un #PactoHistorico para cambiar Colombia!! https://t.co/gzoMuBtBFl</t>
  </si>
  <si>
    <t>La.mitad de las curules serán de mujeres. Si cinco millones de colombianos y colombianas votan por el Pacto, cambia… https://t.co/n1xDqBVFzq</t>
  </si>
  <si>
    <t>RT @GustavoBolivar: Resaltado en rojo vemos las muestras recogidas en Central Oriente, es decir Boyacá y Santanderes donde justamente, Rodo…</t>
  </si>
  <si>
    <t>RT @GustavoBolivar: Ahora veamos la muestra por edades: Petro es más fuerte en él segmento jóvenes y más débil en el segmento adultos mayor…</t>
  </si>
  <si>
    <t>RT @GustavoBolivar: #Hilo sobre encuesta Yanhaas FOTO 1: Petro primero con 25% Rodolfo Hernández segundo con 13% Están construyendo el re…</t>
  </si>
  <si>
    <t>Candidatas verdes al senado y la Cámara por Bogotá en las listas del Pacto Histórico. La mitad de las curules ele… https://t.co/xkLE9P4uiq</t>
  </si>
  <si>
    <t>RT @ISAZULETA: Oficialmente inscrita como candidata del #PactoHistorico al @SenadoGovCo, nos correspondió el #10 de la lista cerrada, esta…</t>
  </si>
  <si>
    <t>RT @petrogustavo: La.mitad de las curules serán de mujeres. Si cinco millones de colombianos y colombianas votan por el Pacto, cambiaremos…</t>
  </si>
  <si>
    <t>Este estudio científico muestra cómo se debilita la capacidad de absorción de CO2 del océano, éste lograba susbsumi… https://t.co/2HL99vvahy</t>
  </si>
  <si>
    <t>La masacre de Bogotá. Y el gobierno sostiene a la misma cúpula policial que la produjo. No tomará medidas drástic… https://t.co/0mQeSJRMLb</t>
  </si>
  <si>
    <t>RT @MafeCarrascal: Hoy asumo con orgullo la candidatura del @PactoCol a la Cámara de Representantes por Bogotá. Con @esmeherz al Senado,…</t>
  </si>
  <si>
    <t>RT @petrogustavo: La masacre de Bogotá. Y el gobierno sostiene a la misma cúpula policial que la produjo. No tomará medidas drásticas por…</t>
  </si>
  <si>
    <t>Mujeres de abril. Llego el momento en que las mujeres hagan la ley. Pacto Histórico. https://t.co/WuPS1PEfDr</t>
  </si>
  <si>
    <t>"En esta década nos jugamos todo" nos dice la Ciencia. ¿Por qué hay que actuar ya ante la crisis climática? https://t.co/ufa5j5Bmie</t>
  </si>
  <si>
    <t>¿Cómo se llama poner bombas en un aeropuerto?: terrorismo. Cúcuta ha quedado en manos de agrupaciones mafiosas que… https://t.co/Zh5BDvJV7c</t>
  </si>
  <si>
    <t>Creo que Claudia aquí es sincera. La masacre de Bogotá no puede quedar en la impunidad. Le corresponde al próximo… https://t.co/SYbr4jNGmO</t>
  </si>
  <si>
    <t>Es por esto, como lo ha descubierto Francia con los medicamentos y EEUU con los contenedores, que hay que producir… https://t.co/hLnArYYA0I</t>
  </si>
  <si>
    <t>RT @FranciaMarquezM: Seguimos sembrando esperanzas y estamos convencid@s que junt@s construiremos una nueva Nación. Mis abuel@s me enseñar…</t>
  </si>
  <si>
    <t>No le importa que su gobierno sea responsable directo de una masacre en la capital del país, solo le importa que la… https://t.co/nlP9VcGFlm</t>
  </si>
  <si>
    <t>RT @pierrealee: Un análisis sobre la candidatura presidencial de @petrogustavo y el programa que representa, más allá de los zapatos que us…</t>
  </si>
  <si>
    <t>RT @AP_Noticias: Expresidenta Michelle Bachelet llama a votar por el izquierdista Boric en Chile https://t.co/JLbphgynlJ</t>
  </si>
  <si>
    <t>RT @LawyerHOC: A esta hora nos encontramos inaugurando la primera "Casa Petro", en el Barrio el Por Fin de la ciudad de Barranquilla, porqu…</t>
  </si>
  <si>
    <t>Mañana estaré en entrevista en la @WRadioColombia a las 7:00 a.m. con Julio Sánchez Cristo (@jsanchezcristo) desde… https://t.co/AC9BlVkIlf</t>
  </si>
  <si>
    <t>Con la policía nacional no se debe matar jóvenes pobres, señor Duque; y no se debe dejar matar a los policías por m… https://t.co/vhpjf0hoPn</t>
  </si>
  <si>
    <t>RT @GloriaFlorezSI: Asumo el liderazgo de la @ColombiaHumana_ en la lista al Senado por el @PactoCol; siempre firme con los territorios y l…</t>
  </si>
  <si>
    <t>RT @ColResistiendo: #LaGenteDePalma así marcará el tarjeton "Invito a todas y todos los trabajadores de Colombia, incluso a los a los millo…</t>
  </si>
  <si>
    <t>Me gustaria que @sergio_fajardo nos explicara porque considera populismo que suba el salario mínimo real con el asc… https://t.co/m9TV1Nf5zS</t>
  </si>
  <si>
    <t>RT @marthaperaltae: Soy mujer indígena wayúu, abogada del Externado, esp. en derecho ambiental, magister en gobierno y políticas públicas.…</t>
  </si>
  <si>
    <t>RT @petrogustavo: Me gustaria que @sergio_fajardo nos explicara porque considera populismo que suba el salario mínimo real con el ascenso d…</t>
  </si>
  <si>
    <t>Esta masacre hecha desde el gobierno es solo comparable a las más grandes masacres cometidas por el paramilitarismo… https://t.co/MqAiE3uYFx</t>
  </si>
  <si>
    <t>Nos vemos en minutos (7:00 a.m.) en vivo desde Hacienda Santa Bárbara en entrevista con la @WRadioColombia y… https://t.co/3xv8EyEyxi</t>
  </si>
  <si>
    <t>En minutos al aire desde Hacienda Santa Bárbara en entrevista con Julio Sánchez en la @WRadioColombia… https://t.co/lUbAIRwY9v</t>
  </si>
  <si>
    <t>Sarta de mentiras. https://t.co/YMyTpVtvXT</t>
  </si>
  <si>
    <t>¡Ay Duque! Terrorismo es hacer de la población civil un objetivo militar. Y en eso su gobierno y el de sus jefe son… https://t.co/SjegTi7Cft</t>
  </si>
  <si>
    <t>Nos vemos hoy en el debate de precandidatos del Pacto Histórico en @RevistaSemana con @VickyDavilaH a las 7:30 p.m.… https://t.co/XoORrD0bs2</t>
  </si>
  <si>
    <t>Ya estoy en el debate de precandidatos del Pacto Histórico en @RevistaSemana https://t.co/mLdAnFZ6hJ</t>
  </si>
  <si>
    <t>En vivo debate de precandidatos del Pacto Histórico en Semana. https://t.co/DXDEdP3zYh</t>
  </si>
  <si>
    <t>RT @mintavillalba: "Para gobernar bien a 🇨🇴, se necesita cambiar leyes y sobre todo las leyes que tienen que ver con los derechos fundament…</t>
  </si>
  <si>
    <t>RT @AlCarajoOrg: #ÚltimaHora | "3.000 personas son dueñas del 80% de tierras improductivas en #Colombia, nadie los va a expropiar, pero deb…</t>
  </si>
  <si>
    <t>RT @AndresCamiloHR: @petrogustavo sobre las pensiones. https://t.co/OiX4KgoN9y</t>
  </si>
  <si>
    <t>RT @GustavoBolivar: Estas 7 mujeres serán senadoras. Con lista abierta no sería posible. Pueden decir lo que quieran pero la lista cremal…</t>
  </si>
  <si>
    <t>RT @GustavoBolivar: Este es el trino de @darcyquinnr q Abelardo, sin ningún rigor investigativo, usó para pedir mi muerte política. El Cons…</t>
  </si>
  <si>
    <t>RT @cristyamortegui: “Hay más mujeres condenadas por abortar que hombres condenados por violar” @petrogustavo</t>
  </si>
  <si>
    <t>RT @VotoXPetro: "Un gobierno del Pacto debe ayudar a que la primera infancia crezca en medio del afecto, del amor, de la educación y del ju…</t>
  </si>
  <si>
    <t>RT @RevistaSemana: “Un mal procedimiento, los culpables somos nosotros”: Petro a las madres de Soacha, por quedar excluidas de listas al Co…</t>
  </si>
  <si>
    <t>RT @RevistaSemana: ¿Cuál es el ministro de Hacienda que, según Gustavo Petro, quebró al Estado colombiano? | #ElDebate | #MiCandidatoEs htt…</t>
  </si>
  <si>
    <t>RT @Margaritarosadf: Si oyen cuidadosamente a @petrogustavo en esta entrevista de la @WRadioColombia se puede entender con claridad lo que…</t>
  </si>
  <si>
    <t>RT @PactoHMed: Ella es @SusanaBoreal y será Congresista por el Pacto Histórico, porque el arte y la cultura necesitan mil voces que las rep…</t>
  </si>
  <si>
    <t>RT @RevistaDinero: Gustavo Petro y Claudia López: ¿reconciliación a la vista? https://t.co/TB9qNLCkwU</t>
  </si>
  <si>
    <t>RT @RevistaSemana: Este es #ElDebate del Pacto Histórico a la Presidencia de Colombia del 2022. Escuche las propuestas de @petrogustavo, @F…</t>
  </si>
  <si>
    <t>RT @wilberpreciado: Aquí está, esta fue la frase del día de @petrogustavo anoche en Semana: “Hay más mujeres condenadas por abortar que ho…</t>
  </si>
  <si>
    <t>RT @AndresCamiloHR: “La mayor parte de los colombianos no gana salario o gana menos que el salario mínimo” señala @petrogustavo en el debat…</t>
  </si>
  <si>
    <t>RT @AndresCamiloHR: “Hay que lograr que toda la juventud colombiana tenga acceso a la educación superior gratuita y de calidad” señala @pet…</t>
  </si>
  <si>
    <t>RT @AndresCamiloHR: “Nosotros hicimos la Constitución del 91, fuimos la fuerza mayoritaria por voto popular… ¿por qué vamos a desbaratar lo…</t>
  </si>
  <si>
    <t>RT @AndresCamiloHR: “La Constitución del 91 es la prueba clara de que podemos hacer un pacto” señala @petrogustavo en debate de @RevistaSem…</t>
  </si>
  <si>
    <t>RT @AndresCamiloHR: “Buscar una sociedad aborto cero no es criminalizar a la mujer” señala @petrogustavo en @RevistaSemana https://t.co/d8U…</t>
  </si>
  <si>
    <t>RT @AndresCamiloHR: “Me gusta la música que me rompa el corazón” señala @petrogustavo https://t.co/2K0OT6g8Fc</t>
  </si>
  <si>
    <t>RT @AndresCamiloHR: “Ni el peor paramilitar logró asesinar 6402 jóvenes como lo logró un gobierno en Colombia” señala @petrogustavo https:/…</t>
  </si>
  <si>
    <t>RT @GustavoBolivar: En la lista al Senado del Pacto Histórico tenemos lideresas campesinas, valientes como @Catalinaperezp_ con 40 años de…</t>
  </si>
  <si>
    <t>Esta es la reforma tributaria que propuse. A quién ponerle impuestos, a quien no. https://t.co/NLQGq7uqiO</t>
  </si>
  <si>
    <t>¿Por qué bajarle impuestos a los alimentos en Colombia? Porque Colombia tiene hambre. https://t.co/e2stPQRNyG</t>
  </si>
  <si>
    <t>Estar al lado de @Irenevallejo, con un gran libro sobre la historia de la lectura y el libro, del hijo de Gabo; de… https://t.co/uEqmwjCVfX</t>
  </si>
  <si>
    <t>Estar al lado de @irenevalmore, con un gran libro sobre la historia de la lectura y el libro, del hijo de Gabo; de… https://t.co/j3XI1Xqauw</t>
  </si>
  <si>
    <t>RT @petrogustavo: ¿Por qué bajarle impuestos a los alimentos en Colombia? Porque Colombia tiene hambre. https://t.co/e2stPQRNyG</t>
  </si>
  <si>
    <t>Hasta mañana vence el plazo para que la militancia de Colombia Humana postule candidatos o candidatas al cargo de s… https://t.co/NWxDUrRlcX</t>
  </si>
  <si>
    <t>RT @RevistaDinero: ¿En cuánto subiría el salario mínimo si Petro es presidente en 2022? Esto dijo. https://t.co/HtpJphEvn0</t>
  </si>
  <si>
    <t>RT @petrogustavo: Esta es la reforma tributaria que propuse. A quién ponerle impuestos, a quien no. https://t.co/NLQGq7uqiO</t>
  </si>
  <si>
    <t>¡Qué barbaridad!, precisamente ante la creación de la sectretaria de la mujer en Bogotá Humana, propuse la transver… https://t.co/cNXToNknW1</t>
  </si>
  <si>
    <t>¿Qué impuestos nuevos hay que crear en Colombia?: los que nos hagan transitar de una economía basada en lo fósil ha… https://t.co/XJ1hhRzeFl</t>
  </si>
  <si>
    <t>Un compañero en toda la línea, del Polo, del Congreso, del Pacto, de mi campaña presidencial. German Reyes un luch… https://t.co/flx434Rczg</t>
  </si>
  <si>
    <t>RT @petrogustavo: ¿Qué impuestos nuevos hay que crear en Colombia?: los que nos hagan transitar de una economía basada en lo fósil hacia un…</t>
  </si>
  <si>
    <t>La decisión del Banco de la República de subir la tasa de interés no permitirá hacer subir el empleo en Colombia. https://t.co/xtzQ7H1W2r</t>
  </si>
  <si>
    <t>Que tiene que ver lo uno con lo otro. Sandra Villadiego y sus familia son de Ciénaga de Oro, Córdoba, varios de su… https://t.co/BDXVsROHxM</t>
  </si>
  <si>
    <t>RT @petrogustavo: La decisión del Banco de la República de subir la tasa de interés no permitirá hacer subir el empleo en Colombia.</t>
  </si>
  <si>
    <t>RT @ChalecosAmarill: 🎥🛑En #Chile IMPRESIONANTE ‼️ 🔻Imagen de dron del cierre de campaña #BoricPresidentedeChile https://t.co/UukthxwnXM</t>
  </si>
  <si>
    <t>RT @ChalecosAmarill: 🛑"El mundo no será destruido por quienes hacen el mal, sino por quienes los observan sin hacer nada." ✍🏿 Albert Einst…</t>
  </si>
  <si>
    <t>RT @ChalecosAmarill: 🎥🛑En #Chile se votará ¡¡NO AL FASCISMO!! 🔻Todas y todos a votar este 19 Diciembre #BoricPresidentedeChile https://t.…</t>
  </si>
  <si>
    <t>En este momento se realiza la Asamblea Nacional de Colombia Humana por método virtual. Quienes se inscribieron fav… https://t.co/g1u5Bz6Pyz</t>
  </si>
  <si>
    <t>RT @petrogustavo: En este momento se realiza la Asamblea Nacional de Colombia Humana por método virtual. Quienes se inscribieron favor ing…</t>
  </si>
  <si>
    <t>Sigues fallando Coronell. La reunión en donde me expresaron.el deseo de su vinculación a Colombia Humana, no termin… https://t.co/vXWbUf8v78</t>
  </si>
  <si>
    <t>Si ante sí se tiene un genocidio de todo un pueblo y la destrucción de la democracia, no hay más, si se es sensible… https://t.co/gfBln1oT3M</t>
  </si>
  <si>
    <t>Ha sido elegida por la Asamblea Nacional de Colombia Humana @_GillianMg como coordinadora de los nodos internaciona… https://t.co/6xwA34cq9v</t>
  </si>
  <si>
    <t>Como vicepresidenta del movimiento ha sido elegida por la Asamblea Nacional de Colombia Humana, la concejal de Bogo… https://t.co/bHUnz1ZOJv</t>
  </si>
  <si>
    <t>Emilda Valderrama Mosquera, de Istmina, Chocó, ha sido elegida por la Asamblea Nacional de Colombia Humana como coo… https://t.co/6EcSHQKtMC</t>
  </si>
  <si>
    <t>No estamos hablando de populismos, Fajardo, estamos hablando es de masacres. No es lo mismo un movimieneto desencad… https://t.co/gl62A1DYuB</t>
  </si>
  <si>
    <t>Moises Ninco Daza @MoisesAlvaro_ ha sido elegido por la Asamblea Nacional de Colombia Humana como Enlace de gestió… https://t.co/7AmAbQU0vr</t>
  </si>
  <si>
    <t>Alejandra Moreno Astwood, de Barranquilla, ha sido elegida por la Asamblea Nacional de Colombia Humana cono enlace… https://t.co/F3IJjXxjcF</t>
  </si>
  <si>
    <t>RT @RoyBarreras: Decidimos cientos de avales en las regiones que se suman al @PactoCol en un Colegio Electoral democrático de 5 partidos de…</t>
  </si>
  <si>
    <t>Tania Helena Gómez Alarcón, ha sido elegida por la Asamblea Nacional de Colombia Humana como enlace programático en… https://t.co/VbZIwcSIvo</t>
  </si>
  <si>
    <t>Sobre el impuesto a los latifundios con tierras fértiles pero sin producción. https://t.co/A5hvmk8DL6</t>
  </si>
  <si>
    <t>Chile. https://t.co/cu6xoe1rNn</t>
  </si>
  <si>
    <t>Ha sido elegido por la Asamblea Nacional de Colombia Humana Dagoberto Quiroga, como secretario general del movimien… https://t.co/dUJJ8DCSYC</t>
  </si>
  <si>
    <t>RT @ColombiaHumana_: En nuestra I Asamblea Nacional, pactamos la organización que necesitamos para llevar a @petrogustavo a la Presidencia…</t>
  </si>
  <si>
    <t>RT @petrogustavo: Sobre el impuesto a los latifundios con tierras fértiles pero sin producción. https://t.co/A5hvmk8DL6</t>
  </si>
  <si>
    <t>RT @GatoCapitalist: Petro es un Maestro. Sopa y seco sin misericordia. #PetroPresidente2022 https://t.co/dMqjWCplBG</t>
  </si>
  <si>
    <t>Feliz cumpleaños Córdoba. La tierra de mis ancestros, de mis raíces. Donde comenzó el existir https://t.co/jaZ23RYecl</t>
  </si>
  <si>
    <t>RT @ChalecosAmarill: ❌Peña Nieto ❌Macri ❌Añez ❌Trump 🤯Lasso ❌Fujimori ❌JOH #Elecciones2021 ..siguiente ❌Kast #Elecciones2022 Duque -P…</t>
  </si>
  <si>
    <t>RT @felipetascon57: Los latifundios no pagan impuestos y esto es un robo sistemático que le hacen los grandes propietarios a todo el resto…</t>
  </si>
  <si>
    <t>La actriz Carolina Ramírez y el profedor Dario Fajardo nos explican muy claramente el problema del campesinado en C… https://t.co/aEGliVSguv</t>
  </si>
  <si>
    <t>Aun nos quedas debiendo la respuesta de por qué consideras que es un populismo que el salario real crezca tanto com… https://t.co/ygtXMD0Fiq</t>
  </si>
  <si>
    <t>¿Entonces ejercen violencia contra alguien que les dice que están maltratando animales? ¿Con que cara van a mirar… https://t.co/DkkGKeHWs1</t>
  </si>
  <si>
    <t>La diferencia entre crecimiento de la productividad y el crecimiento del salario mínimo desde el 2010 es de 14 punt… https://t.co/znVp0mLbHD</t>
  </si>
  <si>
    <t>Buscaré que el ministerio del trabajo sea antes que nada, el ministerio de los derechos laborales de la mujer. No… https://t.co/9O3rQrmWj0</t>
  </si>
  <si>
    <t>RT @arayamas: Es extraño, han querido instalar que "Chile vota entre dos extremos". No es así. Proponer equidad, justicia social, salud y e…</t>
  </si>
  <si>
    <t>Los puestos de votación en el exterior los controla el gobierno en sus consulados. Invito a toda la ciudadanía co… https://t.co/p5qMJk8ApJ</t>
  </si>
  <si>
    <t>En Chile se dispusta el poder el hijo de un Nazi que defiende sus tesis y un socialdemócrata, pero dicen que es una… https://t.co/Se2K8gHAjA</t>
  </si>
  <si>
    <t>RT @petrogustavo: Buscaré que el ministerio del trabajo sea antes que nada, el ministerio de los derechos laborales de la mujer. No más co…</t>
  </si>
  <si>
    <t>¿Por qué la fuerza recibe cada vez menos por más tiempo de trabajo?: La productividad, que es un producto del con… https://t.co/bKslgONvAK</t>
  </si>
  <si>
    <t>¿Quiero reelegirme si soy elegido en mayo del año entrante? https://t.co/NbEBFuKBDE</t>
  </si>
  <si>
    <t>"Nunca jamás elegir un presidente que le declare la guerra a su propio pueblo", dice Boric. La inmensa movilización… https://t.co/ShZG3KqEto</t>
  </si>
  <si>
    <t>El triunfo del progresismo chileno marca el fin de la era Pinochet, y para América Latina el fin de un sistema de i… https://t.co/g7ZzcvicKq</t>
  </si>
  <si>
    <t>Los hijos ideológicos de Pinochet: los Piñeras, los Katz, los Fujimori, los Bolsonaros, los Uribe, han sido derrota… https://t.co/WbuYF0ywJH</t>
  </si>
  <si>
    <t>RT @gabrielboric: La esperanza le ganó al miedo. Gracias! https://t.co/avAvx8CG9C</t>
  </si>
  <si>
    <t>RT @piedadcordoba: Así comenzó todo en aquel agosto de 2019. #Chile🇨🇱 Quien iba pensar que con estas jóvenes protestando por el alza de pa…</t>
  </si>
  <si>
    <t>RT @GustavoBolivar: Los chilenos no comieron cuento del Castrochavismo. América Latina sigue virando hacia el Progresismo. Faltan Colombia…</t>
  </si>
  <si>
    <t>RT @BluRadioCo: "Esperamos que le vaya muy bien a Petro": diputado afín al presidente electo de Chile, Gabriel Boric #MañanasBLU https://t.…</t>
  </si>
  <si>
    <t>RT @ChalecosAmarill: Ya me prestaron un 🧨 https://t.co/QvFE1038kF</t>
  </si>
  <si>
    <t>¿De dónde sale Gabriel Boric?: del movimiento estudiantil chileno y la movilización social. De los mismos a los que… https://t.co/YmjtMw1xKS</t>
  </si>
  <si>
    <t>Muy bien Sergio, te invito a dialogar. Hagamos una reunión de precandidatos de la coalición de la esperanza y del… https://t.co/95zgc0yzX9</t>
  </si>
  <si>
    <t>Confieso que anoche lloré. Que Víctor Jara y Allende volvieron a mi memoria, que recordé los tiempos cuando el golp… https://t.co/0SsCFO5fAS</t>
  </si>
  <si>
    <t>Solicité como punto del acuerdo Pacto Histórico que existiese un renglón étnico para que la diversidad colombiana e… https://t.co/ktXDnKngea</t>
  </si>
  <si>
    <t>Le solicito a los partidos firmantes del Pacto histórico recuperar el renglón 11 para afrodescendientes y correr lo… https://t.co/7levN43bxi</t>
  </si>
  <si>
    <t>RT @petrogustavo: Confieso que anoche lloré. Que Víctor Jara y Allende volvieron a mi memoria, que recordé los tiempos cuando el golpe en C…</t>
  </si>
  <si>
    <t>Este es el presidente de Chile. Aquí dirían extremista, castrochavista, vándalo, terrorista. Solo era un joven que… https://t.co/xyzng2N786</t>
  </si>
  <si>
    <t>RT @gabrielboric: Disponibles para colaborar desde Chile compañero @petrogustavo. Un abrazo latinoamericano!</t>
  </si>
  <si>
    <t>RT @WRadioColombia: Primicia en #SigueLaW | La Contraloría de Bogotá falló sin responsabilidad fiscal a favor del exalcalde @petrogustavo,…</t>
  </si>
  <si>
    <t>El Pacto Histórico es con todos y con todas. https://t.co/7LGv1bcYjw</t>
  </si>
  <si>
    <t>Dicen que soy mal gerente. Y llegaron a decir que corrupto. En esta operación de recompra de TGI por EEB, duplicamo… https://t.co/zoVXWWgP2n</t>
  </si>
  <si>
    <t>Hasta Duque tuvo que utilizar a Skynet de ETB para salvar el internet rural saqueado por la corrupción. La capacid… https://t.co/gKcl8sXrbZ</t>
  </si>
  <si>
    <t>Lo que mostramos en mi alcaldía fue una gerencia de excelencia que valorizó las empresas públicas de Bogotá, la EEB… https://t.co/GOG5ZYedXK</t>
  </si>
  <si>
    <t>Bienvenido "Independientes" de Medellín al Pacto Histórico. https://t.co/6YkfVf6imm</t>
  </si>
  <si>
    <t>Si gano la presidencia de Colombia buscaría revivir y potenciar el Pacto Andino. El Pacto Andino puede ser la plat… https://t.co/waWcpr4gV9</t>
  </si>
  <si>
    <t>RT @petrogustavo: Si gano la presidencia de Colombia buscaría revivir y potenciar el Pacto Andino. El Pacto Andino puede ser la plataforma…</t>
  </si>
  <si>
    <t>Sobre la protección de la primera infancia, el aborto, el hombre irresponsable con sus hijos. https://t.co/M7HXjp70Yp</t>
  </si>
  <si>
    <t>César Ferrari, profesor de economía, nos muestra aquí la realidad de la llamada reactivación económica. Aumenta el… https://t.co/QZhAxxwWAw</t>
  </si>
  <si>
    <t>RT @gabrielboric: Un orgullo ser parte de la izquierda joven y latinoamericana que crece en nuestro continente. Un abrazo firme a la distan…</t>
  </si>
  <si>
    <t>RT @JGalloComunes: 2022 de la calle a las urnas ✊🏻 https://t.co/a2r3A4R5Ea</t>
  </si>
  <si>
    <t>Bienvenida Luz Marina, madre, a las listas del Pacto Histórico. Serás senadora con la ayuda del.pueblo de Colombia.… https://t.co/CMKu3jCQzj</t>
  </si>
  <si>
    <t>Robert Daza es dirigente campesino, que junto con Catalina Pérez y César Pachón, todos dirigentes del campesinado c… https://t.co/CMhN4dCI1T</t>
  </si>
  <si>
    <t>RT @gusgomez1701: "En este gobierno quebraron el Estado colombiano", dijo @petrogustavo en 6AM de @CaracolRadio Aquí, algunos de los colomb…</t>
  </si>
  <si>
    <t>RT @Nelsoncastill01: Enemigos de @petrogustavo y del #PactoHistorico, confesos y soterrados, están en el balcón de la infamia frotándose la…</t>
  </si>
  <si>
    <t>No es una pregunta de Navidad, pero me atrevo a a hacerlo, discúlpenme; ¿qué pasa si titularizamos las reservas de… https://t.co/XRgwLXAtkR</t>
  </si>
  <si>
    <t>Disminuimos el déficit fiscal de manera sustancial. No necesitamos aumentar el cobro de impuestos Seria una secuel… https://t.co/ytZukmRqzc</t>
  </si>
  <si>
    <t>RT @GustavoBolivar: En los primeros 30 renglones del Pacto Histórico hay: 9 Congresistas actuales 3 afros 3 indígenas 3 líderes campesinos…</t>
  </si>
  <si>
    <t>Hablan mucho de los héroes de la patria, pero nosotros vamos a hacer a uno de ellos, senador de la República. El s… https://t.co/iyvGdlSaD8</t>
  </si>
  <si>
    <t>Sobre las listas al senado, las madres de los niños asesinados por el gobierno de Uribe, la música, Claudia López,… https://t.co/YoDw75y1xw</t>
  </si>
  <si>
    <t>RT @JackDeLaConcha: Tu presidente // Mi presidente https://t.co/hExX6qV1A0</t>
  </si>
  <si>
    <t>RT @LuzMBernalParra: Muchas gracias, que el amor por el país así lo demuestre en las urnas, yo creo y sueño con ese 55/86 como sueño con el…</t>
  </si>
  <si>
    <t>RT @petrogustavo: Sobre la protección de la primera infancia, el aborto, el hombre irresponsable con sus hijos. https://t.co/M7HXjp70Yp</t>
  </si>
  <si>
    <t>RT @petrogustavo: Sobre las listas al senado, las madres de los niños asesinados por el gobierno de Uribe, la música, Claudia López, y otro…</t>
  </si>
  <si>
    <t>Decide retirarse de la lista al senado del Partido Liberal el nariñense García Realpe, senador de la República. Al… https://t.co/4oNs4B1K4e</t>
  </si>
  <si>
    <t>En los 30 primeros lugares de la lista al senado del Pacto Histórico hay 15 mujeres, 3 indígenas, 3 afros, 3 campes… https://t.co/y5FocAEFSc</t>
  </si>
  <si>
    <t>Mientras nuestra coalición incluye tres afrodescendientes en los puestos elegibles del senado, usted en su gobierno… https://t.co/7fEtesVlmR</t>
  </si>
  <si>
    <t>RT @Tolaymaruja: Dejen de mandar bobadas, porfis... Papá Noel sí existe y va a ser presidente... https://t.co/mlPCQVWye2</t>
  </si>
  <si>
    <t>RT @petrogustavo: Mientras nuestra coalición incluye tres afrodescendientes en los puestos elegibles del senado, usted en su gobierno, seño…</t>
  </si>
  <si>
    <t>Apoyo en Santander la lista a la Cámara de la Alianza Verde, porque representa la diversidad de las nuevas ciudadan… https://t.co/uMmqChnceM</t>
  </si>
  <si>
    <t>Si tienes un amigo o amiga uribista regálale en Navidad un libro. Sugiero este. Ya salió la tercera edición. https://t.co/XH7ju8LqHa</t>
  </si>
  <si>
    <t>Iba a terminar mi última intervención en el senado de la república y fui censurado por su presidente uribista. Si… https://t.co/jcnap5DvTI</t>
  </si>
  <si>
    <t>RT @lucianacadahia: Qué cosa más asquerosa @lasillavacia. Les aterra la idea de que el pueblo gobierne. Ayudaron a boicotear las elecciones…</t>
  </si>
  <si>
    <t>RT @FelizolaLiceth: Dentro del @PactoHistorico existen unos personajes que no quieren q Petro sea Presidente.</t>
  </si>
  <si>
    <t>RT @AUGUSTOOCAMPO: Contraloría dió razón a Petro De nuevo instancia judicial prueba que contrario a lo que mentirosamente han dicho @petro…</t>
  </si>
  <si>
    <t>RT @petrogustavo: Iba a terminar mi última intervención en el senado de la república y fui censurado por su presidente uribista. Sintomát…</t>
  </si>
  <si>
    <t>RT @lucianacadahia: La lógica de twitter es tan retorcida que las hordas chapinerunas actúan como si @ISAZULETA fuera la representación d…</t>
  </si>
  <si>
    <t>En vez de un régimen de corrupción, uno de justicia social. https://t.co/dVJZZK4k1r</t>
  </si>
  <si>
    <t>Se refregaban las manos pensando en que el Pacto Histórico se dividiría, que grupusculos suicidas lo llevarían a ev… https://t.co/SYGtUWwiFe</t>
  </si>
  <si>
    <t>RT @petrogustavo: Se refregaban las manos pensando en que el Pacto Histórico se dividiría, que grupusculos suicidas lo llevarían a evaporar…</t>
  </si>
  <si>
    <t>RT @HRI_ONG: De acuerdo con la revisión jurídica hecha a la #LeyDeSeguridadCiudadana, va en contra vía con la #Constitución y pone en riesg…</t>
  </si>
  <si>
    <t>RT @ChalecosAmarill: 🎥🛑Hace 48 años, en #Chile Allende pronunció estas palabras: 🔻"Superarán otros hombres este momento gris.. Sigan usted…</t>
  </si>
  <si>
    <t>¿Saben que demuestra el proyecto de seguridad del gobierno? Que siempre han creído en el paramilitarismo.</t>
  </si>
  <si>
    <t>RT @ColombiaHumana_: Invitadxs a seguir el Canal de Telegram de #PetroPresidente https://t.co/5GKc4mYMlK</t>
  </si>
  <si>
    <t>RT @FranciaMarquezM: de nuestra candidatura a la presidencia. Hoy gritamos con fuerza y dignidad #SoyPorqueSomos #SoyPorqueSomosPacifico…</t>
  </si>
  <si>
    <t>General si Otoniel se entregó, hay algún problema en saber ¿qué pasó con las recompensas pagadas por su captura? https://t.co/y7p7Fkiq18</t>
  </si>
  <si>
    <t>RT @SARGENTOCHALA: Mil y Mil gracias a cada uno de ustedes por darnos ese voto de confianza y creer en este grupo de Militares y Policías e…</t>
  </si>
  <si>
    <t>RT @petrogustavo: General si Otoniel se entregó, hay algún problema en saber ¿qué pasó con las recompensas pagadas por su captura?</t>
  </si>
  <si>
    <t>RT @petrogustavo: ¿Saben que demuestra el proyecto de seguridad del gobierno? Que siempre han creído en el paramilitarismo.</t>
  </si>
  <si>
    <t>RT @petrogustavo: Si tienes un amigo o amiga uribista regálale en Navidad un libro. Sugiero este. Ya salió la tercera edición. https://t.c…</t>
  </si>
  <si>
    <t>Pues fíjate, Sergio que hablas mucho de diálogo pero no lo practicas; lo que necesita la sociedad colombiana es dia… https://t.co/y1NqAkUms7</t>
  </si>
  <si>
    <t>¿Por qué consideras que tu tienes equipo y nosostros no? Son invisibles para ti gente como el pastor Saade, el libe… https://t.co/2BeMHlKpC5</t>
  </si>
  <si>
    <t>No será que tienes un concepto de verdad que nos excluye, que hoy por hoy, es excluir a las mayorías de Colombia</t>
  </si>
  <si>
    <t>Si la versión de alias Otoniel es cierta, están refundidos 3.000 millones de pesos en recompensas. https://t.co/UdT3NQBXXj</t>
  </si>
  <si>
    <t>RT @SARGENTOCHALA: Los únicos miembros de la fuerza pública que me puede ver como una amenaza son los corruptos y los hampones, vamos a rei…</t>
  </si>
  <si>
    <t>RT @reexistiendo: Estos son los primeros 20 puestos de la lista al Senado del #PactoHistórico. #5MillonesDeVotos pueden cambiar el congres…</t>
  </si>
  <si>
    <t>RT @AlexFlorezH: El Pacto Histórico necesita ciudadanos como tú con ganas de transformar al mundo. Empecemos por Colombia. 💪🏼 @PactoCol @pe…</t>
  </si>
  <si>
    <t>Por tus nietecitos y nietecitas y los de los demás colombianos y colombianas, te propongo, Uribe, dejar de meter hi… https://t.co/RD5mM0jrR3</t>
  </si>
  <si>
    <t>Te propongo Char que los hinchas del fútbol tengan un porcentaje de la propiedad de los equipos profesionales del f… https://t.co/kInq1WGiHC</t>
  </si>
  <si>
    <t>La familia se puede fortalecer con.las nuevas tecnologías que propone el Pacto Un hogar generador de energia eléct… https://t.co/tYRymivTJa</t>
  </si>
  <si>
    <t>El hogar con techos y muros de paneles solares en su casa y alta conectividad para producir en la residencia misma,… https://t.co/JA6uXtfACw</t>
  </si>
  <si>
    <t>La familia, contrario a lo que pensaban algunos sectores de la izquierda radical, tiene hoy un papel vital que cump… https://t.co/dsiJ2onVjT</t>
  </si>
  <si>
    <t>El Pacto en el gobierno fortalece el hogar y la familia. Feliz Navidad y un año nuevo sin corrupción.</t>
  </si>
  <si>
    <t>Gaviria ha aceptado mi propuesta de entregarle a dos millones de adultos mayores un bono pensional mensual por enci… https://t.co/nr3pzpbrlh</t>
  </si>
  <si>
    <t>La reforma pensional consiste en que el dinero de la cotización financie directamente a los actuales pensionados y… https://t.co/eq2sID0B7u</t>
  </si>
  <si>
    <t>La Colombia Humana se pronuncia con orgullo en los labios y palabras de parlamentarios progresistas de todo el mund… https://t.co/tdbVjKBayM</t>
  </si>
  <si>
    <t>RT @petrogustavo: Gaviria ha aceptado mi propuesta de entregarle a dos millones de adultos mayores un bono pensional mensual por encima de…</t>
  </si>
  <si>
    <t>RT @petrogustavo: La familia se puede fortalecer con.las nuevas tecnologías que propone el Pacto Un hogar generador de energia eléctrica l…</t>
  </si>
  <si>
    <t>RT @petrogustavo: Te propongo Char que los hinchas del fútbol tengan un porcentaje de la propiedad de los equipos profesionales del fútbol…</t>
  </si>
  <si>
    <t>En este lugar tenían a los soldados durmiendo a la intemperie con frio intenso de día y de noche. Nunca pensaron e… https://t.co/2exvqLrY1T</t>
  </si>
  <si>
    <t>RT @petrogustavo: El Pacto en el gobierno fortalece el hogar y la familia. Feliz Navidad y un año nuevo sin corrupción.</t>
  </si>
  <si>
    <t>RT @canachury: #SiTocanAUnaNosMovemosTodas @FranciaMarquezM @SOMOSmujeres_CH @ColombiaHumana_ @PactoCol @petrogustavo @urianaguariyu @velas…</t>
  </si>
  <si>
    <t>Todo lo contrario Duque. Alias Otoniel debe entrar a la JEP sobre todo para contarnos que politicos lo contactaban,… https://t.co/5Ym0gsldil</t>
  </si>
  <si>
    <t>Duque tiene miedo de lo que confiese alias" Otoniel" https://t.co/X2HiITJNV2</t>
  </si>
  <si>
    <t>RT @petrogustavo: Todo lo contrario Duque. Alias Otoniel debe entrar a la JEP sobre todo para contarnos que politicos lo contactaban, por e…</t>
  </si>
  <si>
    <t>RT @petrogustavo: Duque tiene miedo de lo que confiese alias" Otoniel"</t>
  </si>
  <si>
    <t>Francia Márquez tiene toda la razón a su reclamo. El colegio electoral del Pacto se voló el renglón étnico. Lo hi… https://t.co/izj366lbpz</t>
  </si>
  <si>
    <t>Isabel tiene la razón, tiene raíces negras, como muchos de nosotros, y es una gran líder femenina protectora de la… https://t.co/PQCk26Piqm</t>
  </si>
  <si>
    <t>Exijo respeto a estas enormes mujeres y lideresas sociales. Dejen algunos de ustedes, de caer en las trampas que la… https://t.co/ESewKPz7at</t>
  </si>
  <si>
    <t>Para quien desde una supuesta posición progresista, ha dicho que una persona con raíces en varias etnias no puede e… https://t.co/E0HA82WDSY</t>
  </si>
  <si>
    <t>Rodolfo, fui a ver Bucaramanga y la encontré llena de pobreza, lamentable que sus administradores hayan dejado perd… https://t.co/e9fK1YZKjI</t>
  </si>
  <si>
    <t>RT @petrogustavo: Francia Márquez tiene toda la razón a su reclamo. El colegio electoral del Pacto se voló el renglón étnico. Lo hizo por…</t>
  </si>
  <si>
    <t>El ahorro pensional, Alejandro, es para el usufructo de los intereses del propietario del fondo privado de pensione… https://t.co/9dz0L6eSDv</t>
  </si>
  <si>
    <t>2. Pueden retirar el ahorro más los intereses, previo descuento del pago por ahorrar, único en el mundo, pero no de… https://t.co/M6x4kxH7rT</t>
  </si>
  <si>
    <t>RT @CarolinaMadridT: Atentos al hilo🧶: Les voy a contar que pasa con los ataques a @FranciaMarquezM Resulta que desde el 2018 se creo un…</t>
  </si>
  <si>
    <t>Alejandro, lo que han expropiado es el derecho a la pensión de todas y todos los trabajadores. ¿Cuéntanos, por qué… https://t.co/yVA6mOMcxM</t>
  </si>
  <si>
    <t>¿Te molesta acaso que el dinero ahorrado por el trabajador en forma de ahorro forzoso sin que este pueda pensionars… https://t.co/lMWy5j0cPx</t>
  </si>
  <si>
    <t>Haces cálculos del cambio en la piramide de edades para el 2.050 que efectivamente hará disminuir el número de trab… https://t.co/NXrTkI0FkC</t>
  </si>
  <si>
    <t>Claro me dirás que la productividad debe ir toda como ganancia de grandes empresarios y banqueros, pero te diré que… https://t.co/uBnvV8uHMb</t>
  </si>
  <si>
    <t>RT @petrogustavo: Alejandro, lo que han expropiado es el derecho a la pensión de todas y todos los trabajadores. ¿Cuéntanos, por qué es ex…</t>
  </si>
  <si>
    <t>RT @petrogustavo: En este lugar tenían a los soldados durmiendo a la intemperie con frio intenso de día y de noche. Nunca pensaron en ello…</t>
  </si>
  <si>
    <t>Una feliz navidad a todas y todos los colombianos y un feliz año nuevo sin corrupción. Que en familia disfrutemos… https://t.co/MWJ0ceRRME</t>
  </si>
  <si>
    <t>Una feliz navidad para todas y todos los colombianos; que tengamos un año nuevo sin corrupción en nuestra tierra co… https://t.co/qZ27eIEqrr</t>
  </si>
  <si>
    <t>RT @FranciaMarquezM: Esta semana estuvimos en Buenaventura, con lideresas y líderes de comunidades afro del Pacífico. En juntanza nos recon…</t>
  </si>
  <si>
    <t>Un saludo en las cárceles a todos y todas las presas; los más excluídos de los excluídos En Colombia Humana la cá… https://t.co/K9dXLuqmvU</t>
  </si>
  <si>
    <t>RT @ColombiaHumana_: #PetroEsColombia, es una propuesta de Pacto con la sociedad colombiana para cambiar el rumbo del país y asegurar un fu…</t>
  </si>
  <si>
    <t>RT @AliceWonder969: Nuuu que estafada tan hp. 😂😂😂 https://t.co/KrCoMcO8Y4</t>
  </si>
  <si>
    <t>Fotos para el recuerdo. Aquí gaseado por el Esmad. ¿Razón?: Oponerme al TLC que ese día se firmaba. Hoy podemos de… https://t.co/Th61ptnjbu</t>
  </si>
  <si>
    <t>En blanco o en navidad. https://t.co/yEJHB4LTud</t>
  </si>
  <si>
    <t>Familia reunida y potente es el deseo del Pacto para el 2022 https://t.co/h1bs3WRE9m</t>
  </si>
  <si>
    <t>RT @petrogustavo: Familia reunida y potente es el deseo del Pacto para el 2022 https://t.co/h1bs3WRE9m</t>
  </si>
  <si>
    <t>Con mi hijo Nicolás Arbelaez. Desde muy pequeño lo acogí y crié hasta que se ha vuelto todo un doctor. En manos d… https://t.co/f8yWvXsmSw</t>
  </si>
  <si>
    <t>Mi hija Sofia me hizo este regalo de Navidad. Me lo leeré con gusto. https://t.co/Wk44iyJ8An</t>
  </si>
  <si>
    <t>RT @ColombiaHumana_: NO SE DEJEN ENGAÑAR, hay perfiles en redes sociales haciéndose pasar como afines al #PactoHistórico y a @petrogustavo,…</t>
  </si>
  <si>
    <t>En un debate en el Congreso demostré que han muerto más hombres de las Fuerzas Armadas por suicidio que en combate… https://t.co/ghEQWtIeLq</t>
  </si>
  <si>
    <t>Este el el tipo de odio inducido que ciega el pensamiento. ¿Será que reducir la pobreza a la tercera parte es un… https://t.co/ZJgtpbDbuk</t>
  </si>
  <si>
    <t>Efectivamente estuve en una primera línea en mayo del 2004 con varios congresistas en Cartagena, fuí atacado, gasea… https://t.co/JhUJCGYfwX</t>
  </si>
  <si>
    <t>Este trino llegó a dos millones de personas. Algunos de sus comentaristas han dicho que lo que propongo es una expr… https://t.co/3Ov6YUVbV8</t>
  </si>
  <si>
    <t>Expropiación es quitar la propiedad a alguien, una democratización es lograr que la propiedad sea de muchos. Se dem… https://t.co/Dzln9dHjed</t>
  </si>
  <si>
    <t>Esta idea que se practica en España, Argentina, Alemania y en muchísimos países permite que los hinchas de clubes p… https://t.co/gTahYVq4zu</t>
  </si>
  <si>
    <t>https://t.co/mh917piXQ6</t>
  </si>
  <si>
    <t>Desmond Tutu era un cristiano a carta cabal. Supo que en el apartheid había que estar al lado del débil, del negro… https://t.co/Y1G46FnPTF</t>
  </si>
  <si>
    <t>RT @Pontifex_es: Jesús nace cerca de los olvidados de las periferias. Viene a ennoblecer a los excluidos y se revela sobre todo a ellos; no…</t>
  </si>
  <si>
    <t>En España el empresariado y la fuerza del trabajo, llegaron a un acuerdo que permite limitar el uso del contrato a… https://t.co/ZXIf6069tG</t>
  </si>
  <si>
    <t>Nosotros queremos que el sargento Chalá del Ejército Nacional se vuelva Senador para implementar el plan de dignifi… https://t.co/BBhb5gwJ0O</t>
  </si>
  <si>
    <t>RT @joaltejada: Nos mueven las ganas de transformar nuestro país, en las calles seguiremos. El #PactoHistórico en la #FeriaDeCali2021 en su…</t>
  </si>
  <si>
    <t>RT @PactoCol: #ElPactoEsContigo y con toda la juventud que crea riqueza a partir del saber. https://t.co/rm9R3fSTCK</t>
  </si>
  <si>
    <t>RT @ColResistiendo: #PetroEsColombia y es la única esperanza de CAMBIO real, el @PactoCol es contigo. #5MillonesDeVotos y acabamos la corru…</t>
  </si>
  <si>
    <t>Hace una buena pregunta doña Pily: ¿Cúal será el interés que tengo en que alias "Otoniel" confiese su verdad ante l… https://t.co/4mgFp29EuR</t>
  </si>
  <si>
    <t>RT @SARGENTOCHALA: Gracias senador @petrogustavo por darnos la oportunidad de alzar las banderas en representación de la Fuerza Pública, ca…</t>
  </si>
  <si>
    <t>RT @petrogustavo: Hace una buena pregunta doña Pily: ¿Cúal será el interés que tengo en que alias "Otoniel" confiese su verdad ante la Juti…</t>
  </si>
  <si>
    <t>RT @sofia_petro: @JERobledo Si no es porque son negros, ¿Por qué la esperanza de vida de los afrocolombianos o la taza de alfabetización…</t>
  </si>
  <si>
    <t>Los corruptos quieren revocar el alcalde de Medellín. Le propongo a la ciudadanía de Medellín no apoyar a los corru… https://t.co/wgeiI0cdSx</t>
  </si>
  <si>
    <t>RT @ColResistiendo: #ElUribismoSeVa porque #5MillonesDeVotos del #PactoHistórico los van a derrotar! https://t.co/VBpGHPRFqg</t>
  </si>
  <si>
    <t>RT @petrogustavo: Los corruptos quieren revocar el alcalde de Medellín. Le propongo a la ciudadanía de Medellín no apoyar a los corruptos.…</t>
  </si>
  <si>
    <t>RT @joaltejada: #FelizLunes iniciamos la última semana del año 2021, un año que ha marcado en la historia de Colombia, seguiremos soñando u…</t>
  </si>
  <si>
    <t>RT @DonIzquierdo_: En 2018 se burlaron de Petro por decir que ‘el aguacate es más importante que el petróleo’ y hoy Colombia es el principa…</t>
  </si>
  <si>
    <t>El.simple hecho de recobrar EPM para la.ciudadanía de Medellín es uno de los hechos más grandes de gobierno en todo… https://t.co/UrNtnjt7LR</t>
  </si>
  <si>
    <t>RT @ColResistiendo: La representación del Partido del Trabajo de Colombia en el #PactoHistórico al Senado. https://t.co/5cJBpd2a6B</t>
  </si>
  <si>
    <t>RT @ColResistiendo: #ElUribismoSeVa porque #5MillonesDeVotos del #PactoHistórico los van a derrotar! https://t.co/hU6FQREk1Q</t>
  </si>
  <si>
    <t>RT @ColResistiendo: #ElUribismoSeVa porque #5MillonesDeVotos del #PactoHistórico los van a derrotar! https://t.co/bZNFQdC2hE</t>
  </si>
  <si>
    <t>RT @ColResistiendo: #ElUribismoSeVa porque #5MillonesDeVotos del #PactoHistórico los van a derrotar! https://t.co/BxrkhMJxU6</t>
  </si>
  <si>
    <t>No dije que las actuales cotizaciones que se destinan a fondos privados de pensiones vayan a financiar gasto corrie… https://t.co/Tx8LMaK5sc</t>
  </si>
  <si>
    <t>Lo que acabo de decir no es una expropiación de las cotizaciones. De hecho el gobierno central ha reducido el porce… https://t.co/eQALRMA75u</t>
  </si>
  <si>
    <t>Es decir el traslado de cotizantes de fondos privados hacia colpensiones va en crecimiento porque se han dado cuent… https://t.co/xeCFKLuL2x</t>
  </si>
  <si>
    <t>Ahora bien, para entregarle a 3 millones de adultos mayores que no son pensionados un bono pensional de 400.000 pes… https://t.co/iUwKZSfT9F</t>
  </si>
  <si>
    <t>Si la cotización de toda la masa.laboral formal hasta un ingreso base de 4 salarios mínimos mensuales va hacia Colp… https://t.co/TdSNLgzpB1</t>
  </si>
  <si>
    <t>Se garantiza así no solo pensión a todos los cotizantes que cumplan los actuales requisitos legales, sino además, s… https://t.co/CNi0DqdIu0</t>
  </si>
  <si>
    <t>RT @petrogustavo: No dije que las actuales cotizaciones que se destinan a fondos privados de pensiones vayan a financiar gasto corriente, v…</t>
  </si>
  <si>
    <t>Mientras algunos medios decían que proponía expropiar hoteles, he aquí un excelente artículo en "El Universal" de C… https://t.co/3JNls8zMkJ</t>
  </si>
  <si>
    <t>Esto es una verdadera falsedad de la Procuradora. La sentencia lo que obliga es que la procuraduría deje de quitar… https://t.co/SpkcKcHFk3</t>
  </si>
  <si>
    <t>De paso para poder pasar en el Congreso, el proyecto de ley que burlaba la sentencia de la CIDH, la procuradora inh… https://t.co/IPASmFHgY6</t>
  </si>
  <si>
    <t>El gasto en la universidad pública y gratuita para toda la juventud no es una ilusión de caja, Alejandro, sino que… https://t.co/WYeDPNSaTU</t>
  </si>
  <si>
    <t>Algunos medios y muchos corruptos apuestan con todo a dividir el Pacto Histórico. El Pacto no se divide, se alista… https://t.co/si2cLAGSJa</t>
  </si>
  <si>
    <t>RT @fesalazarg: No es lo mismo "liberar" recursos para paliar pobreza de alta proproción de poblacion envejecida y para educación que pued…</t>
  </si>
  <si>
    <t>RT @RodrigoUprimny: Es todo lo contrario. El aumento de cargos es para incumplir esa sentencia. En esta columna muestro como la Procuradora…</t>
  </si>
  <si>
    <t>Javier Castillo, artista, ha sido asesinado. https://t.co/7T49fYQndy</t>
  </si>
  <si>
    <t>RT @petrogustavo: El gasto en la universidad pública y gratuita para toda la juventud no es una ilusión de caja, Alejandro, sino que es la…</t>
  </si>
  <si>
    <t>Si vota por el Pacto Histórico al Senado y Cámara, usted garantiza que la mitad de las curules elegidas corresponda… https://t.co/3epakpZPsy</t>
  </si>
  <si>
    <t>Una de las ciudades más libertarias del mundo, vanguardia artística, urbanística y, en mis recuerdos de lectura, la… https://t.co/y0K44gDOiI</t>
  </si>
  <si>
    <t>Sra, le disculpo, por ahora, que usted como periodista no le diga a sus lectores que yo denuncie a su padre como mi… https://t.co/z44U3SzS3v</t>
  </si>
  <si>
    <t>Esos millones votan y tienen derechos políticos que son fundamentales, según nuestra Constitución. Me permito reuni… https://t.co/Wa1iiqlsG4</t>
  </si>
  <si>
    <t>¿Qué tal si aquella que habla de incoherencias, que desconoce los derechos fundamentales de los colombianos en el e… https://t.co/955iAPIfvJ</t>
  </si>
  <si>
    <t>¿Qué tal si al menos como periodista, le dice a sus lectores que tiene un conflicto de interés conmigo, simplemente… https://t.co/v2rKCFjR37</t>
  </si>
  <si>
    <t>RT @petrogustavo: Una de las ciudades más libertarias del mundo, vanguardia artística, urbanística y, en mis recuerdos de lectura, la sede…</t>
  </si>
  <si>
    <t>El 25 de Noviembre la CIDH se expresó sobre el seguimiento de la sentencia que profirió en mi favor y dictaminó que… https://t.co/NmDRT5iIfO</t>
  </si>
  <si>
    <t>En mi opinió la mayoría del Congreso y la Procuradora cometieron un desacato judicial, dado que la sentencia de la… https://t.co/wohuBMjl03</t>
  </si>
  <si>
    <t>RT @petrogustavo: El 25 de Noviembre la CIDH se expresó sobre el seguimiento de la sentencia que profirió en mi favor y dictaminó que la le…</t>
  </si>
  <si>
    <t>Suplantar firmas para buscar la revocatoria de un alcalde es un delito contra el sufragio popular. Se trata de un f… https://t.co/Ep90uHTzyz</t>
  </si>
  <si>
    <t>Para detener a los corruptos, primero el Presidente debe haber demostrado que no se roba un peso, y yo lo demuestro… https://t.co/5wyhlGBt5b</t>
  </si>
  <si>
    <t>El asesinato de Esnaider Castillo y la voz rebelde de su pueblo no quedarán en la impunidad en el 2022. Llegó la h… https://t.co/Ud8yfroYQ8</t>
  </si>
  <si>
    <t>Les deseo, al lado de mi familia, el mejor de los años. Un 2022 que valga la pena vivir. Será el año en que le gan… https://t.co/ssJHFuzj6A</t>
  </si>
  <si>
    <t>RT @petrogustavo: Para detener a los corruptos, primero el Presidente debe haber demostrado que no se roba un peso, y yo lo demuestro. Que…</t>
  </si>
  <si>
    <t>RT @petrogustavo: Les deseo, al lado de mi familia, el mejor de los años. Un 2022 que valga la pena vivir. Será el año en que le ganemos j…</t>
  </si>
  <si>
    <t>RT @ColResistiendo: Se viene un año histórico, @petrogustavo será Presidente, lograremos mayorías en el Congreso y la mayor unidad posible…</t>
  </si>
  <si>
    <t>RT @ColResistiendo: G R A C I A S 2021 porque logramos construir el #PactoHistórico, la más grande expresión de UNIDAD de la historia en Co…</t>
  </si>
  <si>
    <t>Un 31 de diciembre del 2015, último día de Bogotá Humana. 2022 primer año de la Colombia Humana. https://t.co/gcWin6SiCS</t>
  </si>
  <si>
    <t>#2022AñoDelCambio https://t.co/1pzMck8YYt</t>
  </si>
  <si>
    <t>RT @petrogustavo: Un 31 de diciembre del 2015, último día de Bogotá Humana. 2022 primer año de la Colombia Humana. https://t.co/gcWin6SiCS</t>
  </si>
  <si>
    <t>Feliz 2022, #2022AñoDelCambio https://t.co/vAswf5o1tZ</t>
  </si>
  <si>
    <t>RT @petrogustavo: Feliz 2022, #2022AñoDelCambio https://t.co/vAswf5o1tZ</t>
  </si>
  <si>
    <t>De manera muy subvalorada, se esta confundiendo el covid con gripa, es indudable que arrancamos la nueva ola de la… https://t.co/FaJqC7I8CS</t>
  </si>
  <si>
    <t>RT @ChalecosAmarill: 🎥🛑En #Chile ADIÓS 2021 🔻Se fue La Vieja, se va a ir la constitución de Pinochet, se va la derecha del poder que tanto…</t>
  </si>
  <si>
    <t>El TLC que apoyaste José Felix, y que impuso tu patrón: Uribe, arruina a los lecheros Proponemos elevar aranceles… https://t.co/L8GXm63NM8</t>
  </si>
  <si>
    <t>RT @NanyPardo: Arranco 2022 retomando mis hilos. El primero del año será sobre la película “Don’t look up”, de Netflix. Spoiler: hablaré e…</t>
  </si>
  <si>
    <t>https://t.co/bJGdejRFV6</t>
  </si>
  <si>
    <t>Señores @TwitterLatAm la profesora y socióloga Martha Elena Rangel, candidata al senado de la República por la list… https://t.co/F1uEr5ShG1</t>
  </si>
  <si>
    <t>Invito a toda la comunidad colombiana en el exterior a inscribir sus cédulas por Internet y alistarse a votar. Eso… https://t.co/QAesOXJDiU</t>
  </si>
  <si>
    <t>RT @petrogustavo: https://t.co/bJGdejRFV6</t>
  </si>
  <si>
    <t>RT @petrogustavo: Invito a toda la comunidad colombiana en el exterior a inscribir sus cédulas por Internet y alistarse a votar. Esos avan…</t>
  </si>
  <si>
    <t>RT @LaGenteDePetro: Hagamos lista twitter de todos candidatos a Senado y Cámara Btá @GustavoBolivar @PizarroMariaJo @ammejiaaguado @GloriaF…</t>
  </si>
  <si>
    <t>Los abonos de buena parte de la agricultura colombiana dependían de Monomeros colombo/venezolanos, la empresa se la… https://t.co/w4ZdM6TRPU</t>
  </si>
  <si>
    <t>RT @_GillianMg: ¿Ya inscribiste tu cédula? Hay plazo hasta el 13 de enero y puedes hacerlo en el consulado más cercano o en el siguiente li…</t>
  </si>
  <si>
    <t>Invito a toda la ciudadanía residente en el exterior a ayudarnos a cambiar la historia de Colombia. Inscriba su céd… https://t.co/gW4tOg4MBC</t>
  </si>
  <si>
    <t>Pongamos a Colombia en la vanguardia mundial en la lucha contra el calentamiento global. Demos prioridad en la dip… https://t.co/aRnoDGLEn6</t>
  </si>
  <si>
    <t>Garanticemos el trabajo digno dentro del Estado y el sistema de educación superior de Colombia de todas las persona… https://t.co/Ick5T08huu</t>
  </si>
  <si>
    <t>Pongamos el servicio diplomático al servicio de la comunidad colombiana en el exterior.</t>
  </si>
  <si>
    <t>Hay por lo menos 25 muertos y 50 desaparecidos en Arauca. La guerra entre mafias muestra su peor cara. Se trata de… https://t.co/mgeoQhYDir</t>
  </si>
  <si>
    <t>RT @pierrealee: Por @NetflixLAT: #NoMiresArriba, todos a verla. @petrogustavo https://t.co/8hzTWu1qVW #PactoHistorico</t>
  </si>
  <si>
    <t>Duque tiene temor de lo que diga Otoniel ante la JEP; si no es así, ¿por qué no lo extradita después de su confesió… https://t.co/pIy7ZBx2Jx</t>
  </si>
  <si>
    <t>Análisis del "El País" de España sobre las elecciones en Colombia. https://t.co/qVhUuWikGO</t>
  </si>
  <si>
    <t>RT @petrogustavo: Duque tiene temor de lo que diga Otoniel ante la JEP; si no es así, ¿por qué no lo extradita después de su confesión?</t>
  </si>
  <si>
    <t>El verdadero meteorito que llega a la tierra es el calentamiento gobal y estamos haciendo exactamente lo que cuenta… https://t.co/5AeUzV7gP9</t>
  </si>
  <si>
    <t>Desde el 2019 hemos crecido en economía solo el 2,3%, buena parte en servicios financieros, lo cual significa que e… https://t.co/P84WgO7a7O</t>
  </si>
  <si>
    <t>Los organismos especializados muestran una desaceleración económica para el año entrante respecto al actual. La e… https://t.co/JSr1YACnGp</t>
  </si>
  <si>
    <t>Por eso es tan conveniente para toda la sociedad colombiana transitar a una economía basada en la producción, el tr… https://t.co/cFAt0SXZ2u</t>
  </si>
  <si>
    <t>Los invito a suscribirse a mi canal de Telegram Link ⬇️ https://t.co/4EZCM5LC5l</t>
  </si>
  <si>
    <t>RT @petrogustavo: Desde el 2019 hemos crecido en economía solo el 2,3%, buena parte en servicios financieros, lo cual significa que el nive…</t>
  </si>
  <si>
    <t>La carta del presidente del senado y de la cámara de representantes a la Corte Interamericana es una confesión. No… https://t.co/4vPjoYimE7</t>
  </si>
  <si>
    <t>Lo que hizo la procuradora y el Congreso fue otorgar facultades judiciales a un órgano administrativo. Eso es propi… https://t.co/EMj4XEOFSu</t>
  </si>
  <si>
    <t>Los Congresistas que votaron la ley de la procuradora y la procuradora desacataron la justicia y desobedecieron la… https://t.co/PU2QZXI9rq</t>
  </si>
  <si>
    <t>Fui claro en la comisión primera y en la plenario del senado, como víctima de Ordoñez y como sujeto de la sentencia… https://t.co/Bzxu7r7cpY</t>
  </si>
  <si>
    <t>No fui tenido en cuenta, y más bien existió una burla de las mayorías del Congreso, no solo a mí sino a la Corte In… https://t.co/MFOSgNVROn</t>
  </si>
  <si>
    <t>RT @petrogustavo: La carta del presidente del senado y de la cámara de representantes a la Corte Interamericana es una confesión. No se tr…</t>
  </si>
  <si>
    <t>Si la plataforma de inscripción de cédulas no funciona se estan coartando los derechos políticos de la ciudadania,… https://t.co/LW3ndHkfIn</t>
  </si>
  <si>
    <t>No puede ser que tras el inicio de la campaña masiva de inscripción de cédulas de colombianos en el exterior promov… https://t.co/ZgcIRscLyQ</t>
  </si>
  <si>
    <t>RT @petrogustavo: El verdadero meteorito que llega a la tierra es el calentamiento gobal y estamos haciendo exactamente lo que cuenta la pe…</t>
  </si>
  <si>
    <t>Los espero este 7 de enero en Barcelona, Cataluña. A inscribir la cédula y ayudar a cambiar a Colombia desde el paí… https://t.co/su2AF2SXAq</t>
  </si>
  <si>
    <t>Por bajar las tarifas de transmilenio para hacer mas sostenible la ciudad, aumentando la demanda por el transporte… https://t.co/aMuPbMOPhf</t>
  </si>
  <si>
    <t>Este es el indicador de desigualdad en lo que va de este siglo en el país Como pueden ver los picos más altos está… https://t.co/IX7O0kk6Qn</t>
  </si>
  <si>
    <t>Una sociedad con los niveles de desigualdad que tiene el país no puede ser ni pacífica, ni sostenible. Lo hecho po… https://t.co/rlVsdqw6yD</t>
  </si>
  <si>
    <t>Disminuir la desigualdad social en ingresos se convierte en la tarea más importante de la Paz y de la Nación Para… https://t.co/PNjx2o65SN</t>
  </si>
  <si>
    <t>RT @petrogustavo: Este es el indicador de desigualdad en lo que va de este siglo en el país Como pueden ver los picos más altos están el g…</t>
  </si>
  <si>
    <t>Mi querido senador Juan Diego, desacataste la justicia, al burlarte de la sentencia de la Corte Interamericana de D… https://t.co/fcbjUVKLEV</t>
  </si>
  <si>
    <t>RT @petrogustavo: Mi querido senador Juan Diego, desacataste la justicia, al burlarte de la sentencia de la Corte Interamericana de Derecho…</t>
  </si>
  <si>
    <t>La responsabilidad en el crecimiento de la inflación esta en el alza en 17% anual del precio de los alimentos, lo c… https://t.co/qSbM3jWuej</t>
  </si>
  <si>
    <t>El precio de la carne subió básicamente por la exportación masiva de ganado en pie que restringió la oferta en Colo… https://t.co/UOBg9MQAmB</t>
  </si>
  <si>
    <t>Nos pasa factura, y los pobres son los más sacrificados, la alta importación de alimentos y el uso especulativo de… https://t.co/ZMhhbSOVK3</t>
  </si>
  <si>
    <t>Sinvergüenza. https://t.co/RdSzeznEoX</t>
  </si>
  <si>
    <t>RT @Yezid_Ar_D: Bienvenido Petro, bienvenido el Pacto Histórico. Barcelona y la colombianidad los reciben con el corazón abierto.⁦@petrogus…</t>
  </si>
  <si>
    <t>RT @MonederoJC: Hoy vamos a compartir en Barcelona con el compañero @petrogustavo, futuro Presidente de Colombia y el que va a lograr que l…</t>
  </si>
  <si>
    <t>Hoy estaré en Barcelona, con la colombianidad en el extranjero. Que cada colombiano(a) en el exterior que nos acom… https://t.co/HZUgMZ76Nn</t>
  </si>
  <si>
    <t>El pueblo de Colombia desde sus caceríos, ciudades, campos, desde su dolor y miedo y desde su esperanza, le pide a… https://t.co/JJKETcZJ6g</t>
  </si>
  <si>
    <t>Esta es la transmisión en directo del evento de Barcelona y los colombianos en el exterior. A inscribir las cédula… https://t.co/bu2XK7jERi</t>
  </si>
  <si>
    <t>Acto masivo en Barcelona, Catalunya, Europa. https://t.co/6IXySbG3zT</t>
  </si>
  <si>
    <t>Adelante colombianos y colombianas en el exterior,a ayudar a cambiar la historia de nuestro país. A inscribir las… https://t.co/LzKdcBxrjs</t>
  </si>
  <si>
    <t>RT @ChalecosAmarill: 🎥🛑En #Catalunya Barcelona esto es lo que pasa cuando viene @petrogustavo 🔻Todos venimos sin recibir un tamal, lo hace…</t>
  </si>
  <si>
    <t>RT @IvanCepedaCast: En extraordinaria intervención en Barcelona, @petrogustavo dice que en el gobierno del Pacto Histórico el servicio dipl…</t>
  </si>
  <si>
    <t>RT @DanielRMed: Primer acto de campaña electoral del 2022 con las y los colombianos que han sido expulsados del país, a quienes han invisib…</t>
  </si>
  <si>
    <t>RT @ColombiaHumana_: "Nuestro sistema económico está produciendo la muerte de la humanidad": @petrogustavo desde Barcelona #EnElExteriorVo…</t>
  </si>
  <si>
    <t>RT @ColombiaHumana_: "La crisis climática está trayendo la enfermedad y la posibilidad de la extinción de la especie humana, eso implica qu…</t>
  </si>
  <si>
    <t>RT @ColombiaHumana_: "Colombia es la 2da potencia de biodiversidad del mundo, lo cual significa que somos una Potencia de la vida no de la…</t>
  </si>
  <si>
    <t>RT @ColombiaHumana_: "El servicio diplomático que Colombia va a tener con el #PactoHistórico, no es, el de los embajadores que tienen labor…</t>
  </si>
  <si>
    <t>RT @ColombiaHumana_: América Latina es convocada a dar el salto hacia el progreso, liderar la lucha contra el cambio climático y proteger l…</t>
  </si>
  <si>
    <t>RT @ColombiaHumana_: "Si consumimos todo el carbón que hay debajo de tierra en Colombia, o todo el Petróleo que hay debajo de la tierra en…</t>
  </si>
  <si>
    <t>RT @ColombiaHumana_: "Si ganamos las elecciones, y tengo el pálpito que ganamos en mayo, Colombia va a liderar la lucha mundial contra el c…</t>
  </si>
  <si>
    <t>RT @ChalecosAmarill: 🛑 #Colombia @petrogustavo 🔻"Terrorista es el que deja a la niñez campesina sin internet, sin posibilidad de estudio,…</t>
  </si>
  <si>
    <t>RT @ChalecosAmarill: 🎥🛑En #Catalunya Barcelona así le habla al mundo @petrogustavo 🔻"No aceptamos el papel de narcotraficantes, de parias…</t>
  </si>
  <si>
    <t>RT @ColResistiendo: #EnElExteriorVotamosPacto @petrogustavo https://t.co/mnsWcaN8at</t>
  </si>
  <si>
    <t>El arte en Colombia está de luto. Expreso mis sentidas condolencias a nuestro amigo @JulianRoman y familia por el f… https://t.co/MonxW7rg69</t>
  </si>
  <si>
    <t>RT @gener_usuga: #EnElExteriorVotamosPacto En el exterior este pacto es histórico, somos diversos con el mismo objetivo, lograr el cambio d…</t>
  </si>
  <si>
    <t>Con Ada Colau, alcaldesa de Barcelona, compartimos el gran reto de humanizar las ciudades y adaptarlas a la crisis… https://t.co/wxre5p4vPB</t>
  </si>
  <si>
    <t>RT @ColombiaHumana_: #EnElExteriorVotamosPacto En medio de la gira europea de @petrogustavo, hoy se reunió con @AdaColau alcaldesa de Barc…</t>
  </si>
  <si>
    <t>RT @gaitan_presente: El discurso de hoy de @MonederoJC en Barcelona en apoyo a @petrogustavo y el Pacto Histórico. ¡Por la memoria de los…</t>
  </si>
  <si>
    <t>RT @ColombiaHumana_: #PetroEsNoticia: El precandidato presidencial aseguró que tiene "el pálpito de que vamos a ganar". #EnElExteriorVotam…</t>
  </si>
  <si>
    <t>RT @XUnPaisEnPaz_Of: #PactoHistoricoInternacional “Se acabaron las #Embajadas chiringuito, para pagar favores a corruptos” @nataliamunevar_…</t>
  </si>
  <si>
    <t>RT @JaimeDelTodoES1: “Convertir a Colombia en una potencia de la vida” Petro desde Barcelona</t>
  </si>
  <si>
    <t>RT @jcuestanovoa: Arranca hoy en Barcelona la campaña presidencial de Gustavo Petro. Es un hecho que posee un significado concreto: una par…</t>
  </si>
  <si>
    <t>RT @Wayunkerra: El compromiso es uno: #PactoHistoricoInternacional @gener_usuga @nataliamunevar_ https://t.co/YdHAUGjuZR</t>
  </si>
  <si>
    <t>Queremos que Colombia sea una potencia de la vida. Discurso completo en Barcelona, Catalunya https://t.co/2GYOCAxoIw</t>
  </si>
  <si>
    <t>Duque propuso una guerra en los barrios y ni la ciudadanía ni su juventud, ni la policía deben caer en esa trampa.… https://t.co/5Ejndd4a25</t>
  </si>
  <si>
    <t>La venta de pruebas de antígenos en droguerías si el gobierno subsidia la importación de decenas de millones, puede… https://t.co/5IzxlmLYb9</t>
  </si>
  <si>
    <t>Si el gobierno no compra decenas de millones de pruebas de antígenos o no subsidia su compra, no habrá información… https://t.co/0vfchO2ZPN</t>
  </si>
  <si>
    <t>El paciente que resulte positivo por la prueba en casa debe avisar a su EPS y esta expedir de inmediato las licenci… https://t.co/pHC5W0jczn</t>
  </si>
  <si>
    <t>RT @petrogustavo: Queremos que Colombia sea una potencia de la vida. Discurso completo en Barcelona, Catalunya https://t.co/2GYOCAxoIw</t>
  </si>
  <si>
    <t>El ELN quiere aprovechar el sentimiento de rechazo de la juventud hacia el gobierno por la masacre que desató A la… https://t.co/O9NIjss9Ds</t>
  </si>
  <si>
    <t>RT @GustavoBolivar: Encontré este video que grabé durante una plenaria. Es la respuesta de Petro a los senadores Uribe y a Mejía. El primer…</t>
  </si>
  <si>
    <t>RT @petrogustavo: El ELN quiere aprovechar el sentimiento de rechazo de la juventud hacia el gobierno por la masacre que desató A la juven…</t>
  </si>
  <si>
    <t>RT @ColombiaHumana_: ¿Saben cómo le ganamos al fraude, a la compra de votos, a que voten los muertos, al chantaje a los contratistas del Es…</t>
  </si>
  <si>
    <t>En Ciénaga de Oro murió ayer una persona, corneada por un toro en las corralejas. Me pregunto: ¿Los dueños del gan… https://t.co/t8jTUyENMJ</t>
  </si>
  <si>
    <t>La extrema derecha del pais se lanza con dos acusaciones falsas: decir que la juventud popular y sus demandas tiene… https://t.co/AnP4oJXdqQ</t>
  </si>
  <si>
    <t>Yo diría en cambio que la violencia del ELN y de toda forma organizada de violencia en Colombia tienen que ver es c… https://t.co/UKZVddUbe7</t>
  </si>
  <si>
    <t>No queremos ningún joven muerto, ni unformado ni de civil, ni porque protesta contra el Estado ni porque defiende e… https://t.co/L9Ql7HdwJT</t>
  </si>
  <si>
    <t>RT @andersoncasta16: Petro bailando cumbia en Barcelona ❤️ Mero lindo 😍😍❤️❤️ @petrogustavo @ColombiaHumana_ https://t.co/sWesXfM5SX</t>
  </si>
  <si>
    <t>RT @petrogustavo: La extrema derecha del pais se lanza con dos acusaciones falsas: decir que la juventud popular y sus demandas tienen que…</t>
  </si>
  <si>
    <t>Millones de personas en Colombia enfermaran con el omicron. Las EPS deben expedir los certificados para licencias l… https://t.co/eYZuI9W8uG</t>
  </si>
  <si>
    <t>Si el paciente esta grave y la EPS no responde vaya a urgencias. El gobierno esta colapsando con la nueva situació… https://t.co/dvcm6NryzJ</t>
  </si>
  <si>
    <t>Petro encadenado. De cómo Uribe tramaba procesos contra mí https://t.co/94D7fzRY5B</t>
  </si>
  <si>
    <t>Espero a la colombianidad en el exterior conectarse mundialmente en nuestro acto en Madrid. Una Colombia que la ha… https://t.co/IjhxIezZFO</t>
  </si>
  <si>
    <t>RT @ChalecosAmarill: ¿Que os parece esta versión del Bella Ciao? https://t.co/ogxrAECCpI</t>
  </si>
  <si>
    <t>Respeto tu decisión de votar por un proyecto político como el uribisno que considero anacrónico, antindustrial y an… https://t.co/hImveFkgJR</t>
  </si>
  <si>
    <t>RT @MoisesAlvaro_: Impresionante claridad de Gustavo Petro sobre el rol de Colombia en el mundo. Definitivamente está más que capacitado pa…</t>
  </si>
  <si>
    <t>Así se garantiza la presencialidad en la educación ante la nueva realidad del Omicrón que contagia millones de pers… https://t.co/bEhUWnMDga</t>
  </si>
  <si>
    <t>El sistema de control de las EPS ya no sirve para un virus como el omicrón que puede contagiar al día en Colombia m… https://t.co/HAYs5gEMFn</t>
  </si>
  <si>
    <t>El gobierno debe permitir su importación masiva o fabricarlas en el paíd y debe ordenar a las EPS que expidan las i… https://t.co/2mYh1XRxbe</t>
  </si>
  <si>
    <t>RT @ColResistiendo: https://t.co/5l9UaeMdFj</t>
  </si>
  <si>
    <t>RT @petrogustavo: Así se garantiza la presencialidad en la educación ante la nueva realidad del Omicrón que contagia millones de personas a…</t>
  </si>
  <si>
    <t>RT @petrogustavo: Espero a la colombianidad en el exterior conectarse mundialmente en nuestro acto en Madrid. Una Colombia que la hable al…</t>
  </si>
  <si>
    <t>RT @Ricardomestizo1: Conocí oradores de talla como : Jose Jaramillo,Manuel Bayona Carrascal, Nacho Vives, Roberto Gerlein,Santofimio, Galá…</t>
  </si>
  <si>
    <t>RT @petrogustavo: No queremos ningún joven muerto, ni unformado ni de civil, ni porque protesta contra el Estado ni porque defiende el Esta…</t>
  </si>
  <si>
    <t>El fiscal general debe iniciar investigación por el fraude en las firmas para la revocatoria del alcalde de Medellí… https://t.co/BBaUKnoz3Z</t>
  </si>
  <si>
    <t>RT @susanamuhamad: El 2022 es el año del cambio. #BogotáEsPacto nos vemos acá en la calle 80 - Villas de Granada. Vamos a renovar el con…</t>
  </si>
  <si>
    <t>RT @CarolinaMadridT: Hoy en portal 80 con el #1 para Cámara Bogotá @DavidRacero en el plan retorno por el cambio #CambiaColombia https://t…</t>
  </si>
  <si>
    <t>RT @ColResistiendo: Si usted apoya, promueve y va a votar por el @PactoCol, y por @petrogustavo a la presidencia de #Colombia 🇨🇴, sigamonos…</t>
  </si>
  <si>
    <t>RT @PalmaEdwin: ¡Que viva el #PactoHistorico! @PactoCol @petrogustavo #Barrancabermeja https://t.co/wAuGDvDrkT</t>
  </si>
  <si>
    <t>RT @susanamuhamad: Hoy empezamos a recorrer el camino que nos debe llevar a transformar a Colombia en este 2022. Con el @PactoCol y @petrog…</t>
  </si>
  <si>
    <t>Así con alegría , con cultura, a cambiar la historia de Colombia, a conquistar la paz y la justicia, a conquistar e… https://t.co/Jbgrno3EN1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</si>
</sst>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4">
    <font>
      <sz val="11"/>
      <color theme="1"/>
      <name val="Calibri"/>
      <family val="2"/>
      <scheme val="minor"/>
    </font>
    <font>
      <sz val="8"/>
      <color rgb="FFFFFFFF"/>
      <name val="Droid Sans"/>
    </font>
    <font>
      <sz val="8"/>
      <name val="Droid Sans"/>
    </font>
    <font>
      <u/>
      <sz val="8"/>
      <color rgb="FF0000FF"/>
      <name val="Droid Sans"/>
    </font>
  </fonts>
  <fills count="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t.co/NqUcHsqCW4" TargetMode="External"/><Relationship Id="rId18" Type="http://schemas.openxmlformats.org/officeDocument/2006/relationships/hyperlink" Target="https://t.co/djRn9EULU8" TargetMode="External"/><Relationship Id="rId26" Type="http://schemas.openxmlformats.org/officeDocument/2006/relationships/hyperlink" Target="https://t.co/V8F0BEVg8K" TargetMode="External"/><Relationship Id="rId3" Type="http://schemas.openxmlformats.org/officeDocument/2006/relationships/hyperlink" Target="https://t.co/vScI59Of1l" TargetMode="External"/><Relationship Id="rId21" Type="http://schemas.openxmlformats.org/officeDocument/2006/relationships/hyperlink" Target="https://t.co/aoHVArtnXs" TargetMode="External"/><Relationship Id="rId7" Type="http://schemas.openxmlformats.org/officeDocument/2006/relationships/hyperlink" Target="https://t.co/JC2SOIHrfj" TargetMode="External"/><Relationship Id="rId12" Type="http://schemas.openxmlformats.org/officeDocument/2006/relationships/hyperlink" Target="https://t.co/f5kSisEiUn" TargetMode="External"/><Relationship Id="rId17" Type="http://schemas.openxmlformats.org/officeDocument/2006/relationships/hyperlink" Target="https://t.co/i1d2v2yoAS" TargetMode="External"/><Relationship Id="rId25" Type="http://schemas.openxmlformats.org/officeDocument/2006/relationships/hyperlink" Target="https://t.co/9KBBM4dUww" TargetMode="External"/><Relationship Id="rId33" Type="http://schemas.openxmlformats.org/officeDocument/2006/relationships/hyperlink" Target="https://t.co/bJGdejRFV6" TargetMode="External"/><Relationship Id="rId2" Type="http://schemas.openxmlformats.org/officeDocument/2006/relationships/hyperlink" Target="https://t.co/69dkuax9Hq" TargetMode="External"/><Relationship Id="rId16" Type="http://schemas.openxmlformats.org/officeDocument/2006/relationships/hyperlink" Target="https://t.co/8ZuBJx0UTv" TargetMode="External"/><Relationship Id="rId20" Type="http://schemas.openxmlformats.org/officeDocument/2006/relationships/hyperlink" Target="https://t.co/g7kPHoMtB3" TargetMode="External"/><Relationship Id="rId29" Type="http://schemas.openxmlformats.org/officeDocument/2006/relationships/hyperlink" Target="https://t.co/8mTmWlDwCd" TargetMode="External"/><Relationship Id="rId1" Type="http://schemas.openxmlformats.org/officeDocument/2006/relationships/hyperlink" Target="https://t.co/2nG1qNidzt" TargetMode="External"/><Relationship Id="rId6" Type="http://schemas.openxmlformats.org/officeDocument/2006/relationships/hyperlink" Target="https://t.co/P5PNX8V9TI" TargetMode="External"/><Relationship Id="rId11" Type="http://schemas.openxmlformats.org/officeDocument/2006/relationships/hyperlink" Target="https://t.co/RWMRVVMTqj" TargetMode="External"/><Relationship Id="rId24" Type="http://schemas.openxmlformats.org/officeDocument/2006/relationships/hyperlink" Target="https://t.co/c9PpyF9E56" TargetMode="External"/><Relationship Id="rId32" Type="http://schemas.openxmlformats.org/officeDocument/2006/relationships/hyperlink" Target="https://t.co/mh917piXQ6" TargetMode="External"/><Relationship Id="rId5" Type="http://schemas.openxmlformats.org/officeDocument/2006/relationships/hyperlink" Target="https://t.co/OlLENlT6SW" TargetMode="External"/><Relationship Id="rId15" Type="http://schemas.openxmlformats.org/officeDocument/2006/relationships/hyperlink" Target="https://t.co/xUwQ0p3AfZ" TargetMode="External"/><Relationship Id="rId23" Type="http://schemas.openxmlformats.org/officeDocument/2006/relationships/hyperlink" Target="https://t.co/zGDWdP34nH" TargetMode="External"/><Relationship Id="rId28" Type="http://schemas.openxmlformats.org/officeDocument/2006/relationships/hyperlink" Target="https://t.co/29biqIscl5" TargetMode="External"/><Relationship Id="rId10" Type="http://schemas.openxmlformats.org/officeDocument/2006/relationships/hyperlink" Target="https://t.co/e6FfinKdyD" TargetMode="External"/><Relationship Id="rId19" Type="http://schemas.openxmlformats.org/officeDocument/2006/relationships/hyperlink" Target="https://t.co/HpCVhkdNxf" TargetMode="External"/><Relationship Id="rId31" Type="http://schemas.openxmlformats.org/officeDocument/2006/relationships/hyperlink" Target="https://t.co/qfjnzaRWHL" TargetMode="External"/><Relationship Id="rId4" Type="http://schemas.openxmlformats.org/officeDocument/2006/relationships/hyperlink" Target="https://t.co/bZjJivGyAK" TargetMode="External"/><Relationship Id="rId9" Type="http://schemas.openxmlformats.org/officeDocument/2006/relationships/hyperlink" Target="https://t.co/GeHqv9O235" TargetMode="External"/><Relationship Id="rId14" Type="http://schemas.openxmlformats.org/officeDocument/2006/relationships/hyperlink" Target="https://t.co/DSLswpYb4S" TargetMode="External"/><Relationship Id="rId22" Type="http://schemas.openxmlformats.org/officeDocument/2006/relationships/hyperlink" Target="https://t.co/RgaWCFl8y0" TargetMode="External"/><Relationship Id="rId27" Type="http://schemas.openxmlformats.org/officeDocument/2006/relationships/hyperlink" Target="https://t.co/GQoYh0TACx" TargetMode="External"/><Relationship Id="rId30" Type="http://schemas.openxmlformats.org/officeDocument/2006/relationships/hyperlink" Target="https://t.co/moAZSsXBU3" TargetMode="External"/><Relationship Id="rId8" Type="http://schemas.openxmlformats.org/officeDocument/2006/relationships/hyperlink" Target="https://t.co/DP0Hac8fj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9D94-D964-4E1A-BA26-99D29878746C}">
  <dimension ref="A1:P17855"/>
  <sheetViews>
    <sheetView tabSelected="1" topLeftCell="A17836" workbookViewId="0">
      <selection activeCell="A2" sqref="A2:A17855"/>
    </sheetView>
  </sheetViews>
  <sheetFormatPr defaultRowHeight="14.5"/>
  <cols>
    <col min="1" max="1" width="14.1796875" bestFit="1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3">
        <v>43800.316678240742</v>
      </c>
      <c r="B2" s="4" t="str">
        <f>HYPERLINK("https://twitter.com/petrogustavo","@petrogustavo")</f>
        <v>@petrogustavo</v>
      </c>
      <c r="C2" s="5" t="s">
        <v>16</v>
      </c>
      <c r="D2" s="5" t="s">
        <v>34</v>
      </c>
      <c r="E2" s="6" t="str">
        <f>HYPERLINK("https://twitter.com/petrogustavo/status/1200959202778320896","1200959202778320896")</f>
        <v>1200959202778320896</v>
      </c>
      <c r="F2" s="7" t="s">
        <v>17</v>
      </c>
      <c r="G2" s="7">
        <v>3567097</v>
      </c>
      <c r="H2" s="7">
        <v>2330</v>
      </c>
      <c r="I2" s="7">
        <v>250</v>
      </c>
      <c r="J2" s="7">
        <v>0</v>
      </c>
      <c r="K2" s="7" t="s">
        <v>18</v>
      </c>
      <c r="L2" s="8">
        <v>39987.315405092595</v>
      </c>
      <c r="M2" s="9" t="s">
        <v>19</v>
      </c>
      <c r="N2" s="9" t="s">
        <v>20</v>
      </c>
      <c r="O2" s="6" t="str">
        <f>HYPERLINK("https://pbs.twimg.com/profile_images/962471262747529216/Uo8lOkRJ_normal.jpg","View")</f>
        <v>View</v>
      </c>
      <c r="P2" s="7"/>
    </row>
    <row r="3" spans="1:16">
      <c r="A3" s="3">
        <v>43800.317094907412</v>
      </c>
      <c r="B3" s="4" t="str">
        <f>HYPERLINK("https://twitter.com/petrogustavo","@petrogustavo")</f>
        <v>@petrogustavo</v>
      </c>
      <c r="C3" s="5" t="s">
        <v>16</v>
      </c>
      <c r="D3" s="5" t="s">
        <v>35</v>
      </c>
      <c r="E3" s="6" t="str">
        <f>HYPERLINK("https://twitter.com/petrogustavo/status/1200959355320967168","1200959355320967168")</f>
        <v>1200959355320967168</v>
      </c>
      <c r="F3" s="7" t="s">
        <v>17</v>
      </c>
      <c r="G3" s="7">
        <v>3567097</v>
      </c>
      <c r="H3" s="7">
        <v>2330</v>
      </c>
      <c r="I3" s="7">
        <v>89</v>
      </c>
      <c r="J3" s="7">
        <v>0</v>
      </c>
      <c r="K3" s="7" t="s">
        <v>18</v>
      </c>
      <c r="L3" s="8">
        <v>39987.315405092595</v>
      </c>
      <c r="M3" s="9" t="s">
        <v>19</v>
      </c>
      <c r="N3" s="9" t="s">
        <v>20</v>
      </c>
      <c r="O3" s="6" t="str">
        <f>HYPERLINK("https://pbs.twimg.com/profile_images/962471262747529216/Uo8lOkRJ_normal.jpg","View")</f>
        <v>View</v>
      </c>
      <c r="P3" s="7"/>
    </row>
    <row r="4" spans="1:16">
      <c r="A4" s="3">
        <v>43800.320358796293</v>
      </c>
      <c r="B4" s="4" t="str">
        <f>HYPERLINK("https://twitter.com/petrogustavo","@petrogustavo")</f>
        <v>@petrogustavo</v>
      </c>
      <c r="C4" s="5" t="s">
        <v>16</v>
      </c>
      <c r="D4" s="5" t="s">
        <v>36</v>
      </c>
      <c r="E4" s="6" t="str">
        <f>HYPERLINK("https://twitter.com/petrogustavo/status/1200960536831283200","1200960536831283200")</f>
        <v>1200960536831283200</v>
      </c>
      <c r="F4" s="7" t="s">
        <v>17</v>
      </c>
      <c r="G4" s="7">
        <v>3567097</v>
      </c>
      <c r="H4" s="7">
        <v>2330</v>
      </c>
      <c r="I4" s="7">
        <v>42</v>
      </c>
      <c r="J4" s="7">
        <v>0</v>
      </c>
      <c r="K4" s="7" t="s">
        <v>18</v>
      </c>
      <c r="L4" s="8">
        <v>39987.315405092595</v>
      </c>
      <c r="M4" s="9" t="s">
        <v>19</v>
      </c>
      <c r="N4" s="9" t="s">
        <v>20</v>
      </c>
      <c r="O4" s="6" t="str">
        <f>HYPERLINK("https://pbs.twimg.com/profile_images/962471262747529216/Uo8lOkRJ_normal.jpg","View")</f>
        <v>View</v>
      </c>
      <c r="P4" s="7"/>
    </row>
    <row r="5" spans="1:16">
      <c r="A5" s="3">
        <v>43800.320439814815</v>
      </c>
      <c r="B5" s="4" t="str">
        <f>HYPERLINK("https://twitter.com/petrogustavo","@petrogustavo")</f>
        <v>@petrogustavo</v>
      </c>
      <c r="C5" s="5" t="s">
        <v>16</v>
      </c>
      <c r="D5" s="5" t="s">
        <v>37</v>
      </c>
      <c r="E5" s="6" t="str">
        <f>HYPERLINK("https://twitter.com/petrogustavo/status/1200960568200507395","1200960568200507395")</f>
        <v>1200960568200507395</v>
      </c>
      <c r="F5" s="7" t="s">
        <v>17</v>
      </c>
      <c r="G5" s="7">
        <v>3567097</v>
      </c>
      <c r="H5" s="7">
        <v>2330</v>
      </c>
      <c r="I5" s="7">
        <v>21</v>
      </c>
      <c r="J5" s="7">
        <v>0</v>
      </c>
      <c r="K5" s="7" t="s">
        <v>18</v>
      </c>
      <c r="L5" s="8">
        <v>39987.315405092595</v>
      </c>
      <c r="M5" s="9" t="s">
        <v>19</v>
      </c>
      <c r="N5" s="9" t="s">
        <v>20</v>
      </c>
      <c r="O5" s="6" t="str">
        <f>HYPERLINK("https://pbs.twimg.com/profile_images/962471262747529216/Uo8lOkRJ_normal.jpg","View")</f>
        <v>View</v>
      </c>
      <c r="P5" s="7"/>
    </row>
    <row r="6" spans="1:16">
      <c r="A6" s="3">
        <v>43800.326261574075</v>
      </c>
      <c r="B6" s="4" t="str">
        <f>HYPERLINK("https://twitter.com/petrogustavo","@petrogustavo")</f>
        <v>@petrogustavo</v>
      </c>
      <c r="C6" s="5" t="s">
        <v>16</v>
      </c>
      <c r="D6" s="5" t="s">
        <v>38</v>
      </c>
      <c r="E6" s="6" t="str">
        <f>HYPERLINK("https://twitter.com/petrogustavo/status/1200962676861652992","1200962676861652992")</f>
        <v>1200962676861652992</v>
      </c>
      <c r="F6" s="7" t="s">
        <v>17</v>
      </c>
      <c r="G6" s="7">
        <v>3567126</v>
      </c>
      <c r="H6" s="7">
        <v>2330</v>
      </c>
      <c r="I6" s="7">
        <v>151</v>
      </c>
      <c r="J6" s="7">
        <v>0</v>
      </c>
      <c r="K6" s="7" t="s">
        <v>18</v>
      </c>
      <c r="L6" s="8">
        <v>39987.315405092595</v>
      </c>
      <c r="M6" s="9" t="s">
        <v>19</v>
      </c>
      <c r="N6" s="9" t="s">
        <v>20</v>
      </c>
      <c r="O6" s="6" t="str">
        <f>HYPERLINK("https://pbs.twimg.com/profile_images/962471262747529216/Uo8lOkRJ_normal.jpg","View")</f>
        <v>View</v>
      </c>
      <c r="P6" s="7"/>
    </row>
    <row r="7" spans="1:16">
      <c r="A7" s="3">
        <v>43800.334050925929</v>
      </c>
      <c r="B7" s="4" t="str">
        <f>HYPERLINK("https://twitter.com/petrogustavo","@petrogustavo")</f>
        <v>@petrogustavo</v>
      </c>
      <c r="C7" s="5" t="s">
        <v>16</v>
      </c>
      <c r="D7" s="5" t="s">
        <v>39</v>
      </c>
      <c r="E7" s="6" t="str">
        <f>HYPERLINK("https://twitter.com/petrogustavo/status/1200965499707961345","1200965499707961345")</f>
        <v>1200965499707961345</v>
      </c>
      <c r="F7" s="7" t="s">
        <v>17</v>
      </c>
      <c r="G7" s="7">
        <v>3567126</v>
      </c>
      <c r="H7" s="7">
        <v>2330</v>
      </c>
      <c r="I7" s="7">
        <v>75</v>
      </c>
      <c r="J7" s="7">
        <v>0</v>
      </c>
      <c r="K7" s="7" t="s">
        <v>18</v>
      </c>
      <c r="L7" s="8">
        <v>39987.315405092595</v>
      </c>
      <c r="M7" s="9" t="s">
        <v>19</v>
      </c>
      <c r="N7" s="9" t="s">
        <v>20</v>
      </c>
      <c r="O7" s="6" t="str">
        <f>HYPERLINK("https://pbs.twimg.com/profile_images/962471262747529216/Uo8lOkRJ_normal.jpg","View")</f>
        <v>View</v>
      </c>
      <c r="P7" s="7"/>
    </row>
    <row r="8" spans="1:16">
      <c r="A8" s="3">
        <v>43800.40289351852</v>
      </c>
      <c r="B8" s="4" t="str">
        <f>HYPERLINK("https://twitter.com/petrogustavo","@petrogustavo")</f>
        <v>@petrogustavo</v>
      </c>
      <c r="C8" s="5" t="s">
        <v>16</v>
      </c>
      <c r="D8" s="5" t="s">
        <v>40</v>
      </c>
      <c r="E8" s="6" t="str">
        <f>HYPERLINK("https://twitter.com/petrogustavo/status/1200990445645574144","1200990445645574144")</f>
        <v>1200990445645574144</v>
      </c>
      <c r="F8" s="7" t="s">
        <v>17</v>
      </c>
      <c r="G8" s="7">
        <v>3567222</v>
      </c>
      <c r="H8" s="7">
        <v>2330</v>
      </c>
      <c r="I8" s="7">
        <v>110</v>
      </c>
      <c r="J8" s="7">
        <v>0</v>
      </c>
      <c r="K8" s="7" t="s">
        <v>18</v>
      </c>
      <c r="L8" s="8">
        <v>39987.315405092595</v>
      </c>
      <c r="M8" s="9" t="s">
        <v>19</v>
      </c>
      <c r="N8" s="9" t="s">
        <v>20</v>
      </c>
      <c r="O8" s="6" t="str">
        <f>HYPERLINK("https://pbs.twimg.com/profile_images/962471262747529216/Uo8lOkRJ_normal.jpg","View")</f>
        <v>View</v>
      </c>
      <c r="P8" s="7"/>
    </row>
    <row r="9" spans="1:16">
      <c r="A9" s="3">
        <v>43800.404108796298</v>
      </c>
      <c r="B9" s="4" t="str">
        <f>HYPERLINK("https://twitter.com/petrogustavo","@petrogustavo")</f>
        <v>@petrogustavo</v>
      </c>
      <c r="C9" s="5" t="s">
        <v>16</v>
      </c>
      <c r="D9" s="5" t="s">
        <v>41</v>
      </c>
      <c r="E9" s="6" t="str">
        <f>HYPERLINK("https://twitter.com/petrogustavo/status/1200990888517947392","1200990888517947392")</f>
        <v>1200990888517947392</v>
      </c>
      <c r="F9" s="7" t="s">
        <v>17</v>
      </c>
      <c r="G9" s="7">
        <v>3567222</v>
      </c>
      <c r="H9" s="7">
        <v>2330</v>
      </c>
      <c r="I9" s="7">
        <v>110</v>
      </c>
      <c r="J9" s="7">
        <v>0</v>
      </c>
      <c r="K9" s="7" t="s">
        <v>18</v>
      </c>
      <c r="L9" s="8">
        <v>39987.315405092595</v>
      </c>
      <c r="M9" s="9" t="s">
        <v>19</v>
      </c>
      <c r="N9" s="9" t="s">
        <v>20</v>
      </c>
      <c r="O9" s="6" t="str">
        <f>HYPERLINK("https://pbs.twimg.com/profile_images/962471262747529216/Uo8lOkRJ_normal.jpg","View")</f>
        <v>View</v>
      </c>
      <c r="P9" s="7"/>
    </row>
    <row r="10" spans="1:16">
      <c r="A10" s="3">
        <v>43800.431331018517</v>
      </c>
      <c r="B10" s="4" t="str">
        <f>HYPERLINK("https://twitter.com/petrogustavo","@petrogustavo")</f>
        <v>@petrogustavo</v>
      </c>
      <c r="C10" s="5" t="s">
        <v>16</v>
      </c>
      <c r="D10" s="5" t="s">
        <v>42</v>
      </c>
      <c r="E10" s="6" t="str">
        <f>HYPERLINK("https://twitter.com/petrogustavo/status/1201000752333905920","1201000752333905920")</f>
        <v>1201000752333905920</v>
      </c>
      <c r="F10" s="7" t="s">
        <v>17</v>
      </c>
      <c r="G10" s="7">
        <v>3567261</v>
      </c>
      <c r="H10" s="7">
        <v>2330</v>
      </c>
      <c r="I10" s="7">
        <v>268</v>
      </c>
      <c r="J10" s="7">
        <v>0</v>
      </c>
      <c r="K10" s="7" t="s">
        <v>18</v>
      </c>
      <c r="L10" s="8">
        <v>39987.315405092595</v>
      </c>
      <c r="M10" s="9" t="s">
        <v>19</v>
      </c>
      <c r="N10" s="9" t="s">
        <v>20</v>
      </c>
      <c r="O10" s="6" t="str">
        <f>HYPERLINK("https://pbs.twimg.com/profile_images/962471262747529216/Uo8lOkRJ_normal.jpg","View")</f>
        <v>View</v>
      </c>
      <c r="P10" s="7"/>
    </row>
    <row r="11" spans="1:16">
      <c r="A11" s="3">
        <v>43800.43350694445</v>
      </c>
      <c r="B11" s="4" t="str">
        <f>HYPERLINK("https://twitter.com/petrogustavo","@petrogustavo")</f>
        <v>@petrogustavo</v>
      </c>
      <c r="C11" s="5" t="s">
        <v>16</v>
      </c>
      <c r="D11" s="5" t="s">
        <v>43</v>
      </c>
      <c r="E11" s="6" t="str">
        <f>HYPERLINK("https://twitter.com/petrogustavo/status/1201001542373007360","1201001542373007360")</f>
        <v>1201001542373007360</v>
      </c>
      <c r="F11" s="7" t="s">
        <v>17</v>
      </c>
      <c r="G11" s="7">
        <v>3567261</v>
      </c>
      <c r="H11" s="7">
        <v>2330</v>
      </c>
      <c r="I11" s="7">
        <v>62</v>
      </c>
      <c r="J11" s="7">
        <v>0</v>
      </c>
      <c r="K11" s="7" t="s">
        <v>18</v>
      </c>
      <c r="L11" s="8">
        <v>39987.315405092595</v>
      </c>
      <c r="M11" s="9" t="s">
        <v>19</v>
      </c>
      <c r="N11" s="9" t="s">
        <v>20</v>
      </c>
      <c r="O11" s="6" t="str">
        <f>HYPERLINK("https://pbs.twimg.com/profile_images/962471262747529216/Uo8lOkRJ_normal.jpg","View")</f>
        <v>View</v>
      </c>
      <c r="P11" s="7"/>
    </row>
    <row r="12" spans="1:16">
      <c r="A12" s="3">
        <v>43800.758043981477</v>
      </c>
      <c r="B12" s="4" t="str">
        <f>HYPERLINK("https://twitter.com/petrogustavo","@petrogustavo")</f>
        <v>@petrogustavo</v>
      </c>
      <c r="C12" s="5" t="s">
        <v>16</v>
      </c>
      <c r="D12" s="5" t="s">
        <v>44</v>
      </c>
      <c r="E12" s="6" t="str">
        <f>HYPERLINK("https://twitter.com/petrogustavo/status/1201119148031586304","1201119148031586304")</f>
        <v>1201119148031586304</v>
      </c>
      <c r="F12" s="7" t="s">
        <v>17</v>
      </c>
      <c r="G12" s="7">
        <v>3567363</v>
      </c>
      <c r="H12" s="7">
        <v>2330</v>
      </c>
      <c r="I12" s="7">
        <v>4424</v>
      </c>
      <c r="J12" s="7">
        <v>0</v>
      </c>
      <c r="K12" s="7" t="s">
        <v>18</v>
      </c>
      <c r="L12" s="8">
        <v>39987.315405092595</v>
      </c>
      <c r="M12" s="9" t="s">
        <v>19</v>
      </c>
      <c r="N12" s="9" t="s">
        <v>20</v>
      </c>
      <c r="O12" s="6" t="str">
        <f>HYPERLINK("https://pbs.twimg.com/profile_images/962471262747529216/Uo8lOkRJ_normal.jpg","View")</f>
        <v>View</v>
      </c>
      <c r="P12" s="7"/>
    </row>
    <row r="13" spans="1:16">
      <c r="A13" s="3">
        <v>43800.758518518516</v>
      </c>
      <c r="B13" s="4" t="str">
        <f>HYPERLINK("https://twitter.com/petrogustavo","@petrogustavo")</f>
        <v>@petrogustavo</v>
      </c>
      <c r="C13" s="5" t="s">
        <v>16</v>
      </c>
      <c r="D13" s="5" t="s">
        <v>45</v>
      </c>
      <c r="E13" s="6" t="str">
        <f>HYPERLINK("https://twitter.com/petrogustavo/status/1201119321482813441","1201119321482813441")</f>
        <v>1201119321482813441</v>
      </c>
      <c r="F13" s="7" t="s">
        <v>17</v>
      </c>
      <c r="G13" s="7">
        <v>3567363</v>
      </c>
      <c r="H13" s="7">
        <v>2330</v>
      </c>
      <c r="I13" s="7">
        <v>576</v>
      </c>
      <c r="J13" s="7">
        <v>0</v>
      </c>
      <c r="K13" s="7" t="s">
        <v>18</v>
      </c>
      <c r="L13" s="8">
        <v>39987.315405092595</v>
      </c>
      <c r="M13" s="9" t="s">
        <v>19</v>
      </c>
      <c r="N13" s="9" t="s">
        <v>20</v>
      </c>
      <c r="O13" s="6" t="str">
        <f>HYPERLINK("https://pbs.twimg.com/profile_images/962471262747529216/Uo8lOkRJ_normal.jpg","View")</f>
        <v>View</v>
      </c>
      <c r="P13" s="7"/>
    </row>
    <row r="14" spans="1:16">
      <c r="A14" s="3">
        <v>43800.758680555555</v>
      </c>
      <c r="B14" s="4" t="str">
        <f>HYPERLINK("https://twitter.com/petrogustavo","@petrogustavo")</f>
        <v>@petrogustavo</v>
      </c>
      <c r="C14" s="5" t="s">
        <v>16</v>
      </c>
      <c r="D14" s="5" t="s">
        <v>46</v>
      </c>
      <c r="E14" s="6" t="str">
        <f>HYPERLINK("https://twitter.com/petrogustavo/status/1201119377803874304","1201119377803874304")</f>
        <v>1201119377803874304</v>
      </c>
      <c r="F14" s="7" t="s">
        <v>17</v>
      </c>
      <c r="G14" s="7">
        <v>3567363</v>
      </c>
      <c r="H14" s="7">
        <v>2330</v>
      </c>
      <c r="I14" s="7">
        <v>22</v>
      </c>
      <c r="J14" s="7">
        <v>0</v>
      </c>
      <c r="K14" s="7" t="s">
        <v>18</v>
      </c>
      <c r="L14" s="8">
        <v>39987.315405092595</v>
      </c>
      <c r="M14" s="9" t="s">
        <v>19</v>
      </c>
      <c r="N14" s="9" t="s">
        <v>20</v>
      </c>
      <c r="O14" s="6" t="str">
        <f>HYPERLINK("https://pbs.twimg.com/profile_images/962471262747529216/Uo8lOkRJ_normal.jpg","View")</f>
        <v>View</v>
      </c>
      <c r="P14" s="7"/>
    </row>
    <row r="15" spans="1:16">
      <c r="A15" s="3">
        <v>43800.75881944444</v>
      </c>
      <c r="B15" s="4" t="str">
        <f>HYPERLINK("https://twitter.com/petrogustavo","@petrogustavo")</f>
        <v>@petrogustavo</v>
      </c>
      <c r="C15" s="5" t="s">
        <v>16</v>
      </c>
      <c r="D15" s="5" t="s">
        <v>47</v>
      </c>
      <c r="E15" s="6" t="str">
        <f>HYPERLINK("https://twitter.com/petrogustavo/status/1201119428752084993","1201119428752084993")</f>
        <v>1201119428752084993</v>
      </c>
      <c r="F15" s="7" t="s">
        <v>17</v>
      </c>
      <c r="G15" s="7">
        <v>3567363</v>
      </c>
      <c r="H15" s="7">
        <v>2330</v>
      </c>
      <c r="I15" s="7">
        <v>3606</v>
      </c>
      <c r="J15" s="7">
        <v>0</v>
      </c>
      <c r="K15" s="7" t="s">
        <v>18</v>
      </c>
      <c r="L15" s="8">
        <v>39987.315405092595</v>
      </c>
      <c r="M15" s="9" t="s">
        <v>19</v>
      </c>
      <c r="N15" s="9" t="s">
        <v>20</v>
      </c>
      <c r="O15" s="6" t="str">
        <f>HYPERLINK("https://pbs.twimg.com/profile_images/962471262747529216/Uo8lOkRJ_normal.jpg","View")</f>
        <v>View</v>
      </c>
      <c r="P15" s="7"/>
    </row>
    <row r="16" spans="1:16">
      <c r="A16" s="3">
        <v>43800.759247685186</v>
      </c>
      <c r="B16" s="4" t="str">
        <f>HYPERLINK("https://twitter.com/petrogustavo","@petrogustavo")</f>
        <v>@petrogustavo</v>
      </c>
      <c r="C16" s="5" t="s">
        <v>16</v>
      </c>
      <c r="D16" s="5" t="s">
        <v>48</v>
      </c>
      <c r="E16" s="6" t="str">
        <f>HYPERLINK("https://twitter.com/petrogustavo/status/1201119585283510272","1201119585283510272")</f>
        <v>1201119585283510272</v>
      </c>
      <c r="F16" s="7" t="s">
        <v>17</v>
      </c>
      <c r="G16" s="7">
        <v>3567363</v>
      </c>
      <c r="H16" s="7">
        <v>2330</v>
      </c>
      <c r="I16" s="7">
        <v>27</v>
      </c>
      <c r="J16" s="7">
        <v>0</v>
      </c>
      <c r="K16" s="7" t="s">
        <v>18</v>
      </c>
      <c r="L16" s="8">
        <v>39987.315405092595</v>
      </c>
      <c r="M16" s="9" t="s">
        <v>19</v>
      </c>
      <c r="N16" s="9" t="s">
        <v>20</v>
      </c>
      <c r="O16" s="6" t="str">
        <f>HYPERLINK("https://pbs.twimg.com/profile_images/962471262747529216/Uo8lOkRJ_normal.jpg","View")</f>
        <v>View</v>
      </c>
      <c r="P16" s="7"/>
    </row>
    <row r="17" spans="1:16">
      <c r="A17" s="3">
        <v>43800.76163194445</v>
      </c>
      <c r="B17" s="4" t="str">
        <f>HYPERLINK("https://twitter.com/petrogustavo","@petrogustavo")</f>
        <v>@petrogustavo</v>
      </c>
      <c r="C17" s="5" t="s">
        <v>16</v>
      </c>
      <c r="D17" s="5" t="s">
        <v>49</v>
      </c>
      <c r="E17" s="6" t="str">
        <f>HYPERLINK("https://twitter.com/petrogustavo/status/1201120450027442176","1201120450027442176")</f>
        <v>1201120450027442176</v>
      </c>
      <c r="F17" s="7" t="s">
        <v>17</v>
      </c>
      <c r="G17" s="7">
        <v>3567363</v>
      </c>
      <c r="H17" s="7">
        <v>2330</v>
      </c>
      <c r="I17" s="7">
        <v>2</v>
      </c>
      <c r="J17" s="7">
        <v>4</v>
      </c>
      <c r="K17" s="7" t="s">
        <v>18</v>
      </c>
      <c r="L17" s="8">
        <v>39987.315405092595</v>
      </c>
      <c r="M17" s="9" t="s">
        <v>19</v>
      </c>
      <c r="N17" s="9" t="s">
        <v>20</v>
      </c>
      <c r="O17" s="6" t="str">
        <f>HYPERLINK("https://pbs.twimg.com/profile_images/962471262747529216/Uo8lOkRJ_normal.jpg","View")</f>
        <v>View</v>
      </c>
      <c r="P17" s="7"/>
    </row>
    <row r="18" spans="1:16">
      <c r="A18" s="3">
        <v>43800.765127314815</v>
      </c>
      <c r="B18" s="4" t="str">
        <f>HYPERLINK("https://twitter.com/petrogustavo","@petrogustavo")</f>
        <v>@petrogustavo</v>
      </c>
      <c r="C18" s="5" t="s">
        <v>16</v>
      </c>
      <c r="D18" s="5" t="s">
        <v>50</v>
      </c>
      <c r="E18" s="6" t="str">
        <f>HYPERLINK("https://twitter.com/petrogustavo/status/1201121714408738816","1201121714408738816")</f>
        <v>1201121714408738816</v>
      </c>
      <c r="F18" s="7" t="s">
        <v>17</v>
      </c>
      <c r="G18" s="7">
        <v>3567393</v>
      </c>
      <c r="H18" s="7">
        <v>2330</v>
      </c>
      <c r="I18" s="7">
        <v>120</v>
      </c>
      <c r="J18" s="7">
        <v>325</v>
      </c>
      <c r="K18" s="7" t="s">
        <v>18</v>
      </c>
      <c r="L18" s="8">
        <v>39987.315405092595</v>
      </c>
      <c r="M18" s="9" t="s">
        <v>19</v>
      </c>
      <c r="N18" s="9" t="s">
        <v>20</v>
      </c>
      <c r="O18" s="6" t="str">
        <f>HYPERLINK("https://pbs.twimg.com/profile_images/962471262747529216/Uo8lOkRJ_normal.jpg","View")</f>
        <v>View</v>
      </c>
      <c r="P18" s="7"/>
    </row>
    <row r="19" spans="1:16">
      <c r="A19" s="3">
        <v>43800.771030092597</v>
      </c>
      <c r="B19" s="4" t="str">
        <f>HYPERLINK("https://twitter.com/petrogustavo","@petrogustavo")</f>
        <v>@petrogustavo</v>
      </c>
      <c r="C19" s="5" t="s">
        <v>16</v>
      </c>
      <c r="D19" s="5" t="s">
        <v>51</v>
      </c>
      <c r="E19" s="6" t="str">
        <f>HYPERLINK("https://twitter.com/petrogustavo/status/1201123856456527873","1201123856456527873")</f>
        <v>1201123856456527873</v>
      </c>
      <c r="F19" s="7" t="s">
        <v>17</v>
      </c>
      <c r="G19" s="7">
        <v>3567393</v>
      </c>
      <c r="H19" s="7">
        <v>2330</v>
      </c>
      <c r="I19" s="7">
        <v>49</v>
      </c>
      <c r="J19" s="7">
        <v>115</v>
      </c>
      <c r="K19" s="7" t="s">
        <v>18</v>
      </c>
      <c r="L19" s="8">
        <v>39987.315405092595</v>
      </c>
      <c r="M19" s="9" t="s">
        <v>19</v>
      </c>
      <c r="N19" s="9" t="s">
        <v>20</v>
      </c>
      <c r="O19" s="6" t="str">
        <f>HYPERLINK("https://pbs.twimg.com/profile_images/962471262747529216/Uo8lOkRJ_normal.jpg","View")</f>
        <v>View</v>
      </c>
      <c r="P19" s="7"/>
    </row>
    <row r="20" spans="1:16">
      <c r="A20" s="3">
        <v>43800.7734375</v>
      </c>
      <c r="B20" s="4" t="str">
        <f>HYPERLINK("https://twitter.com/petrogustavo","@petrogustavo")</f>
        <v>@petrogustavo</v>
      </c>
      <c r="C20" s="5" t="s">
        <v>16</v>
      </c>
      <c r="D20" s="5" t="s">
        <v>52</v>
      </c>
      <c r="E20" s="6" t="str">
        <f>HYPERLINK("https://twitter.com/petrogustavo/status/1201124727571566593","1201124727571566593")</f>
        <v>1201124727571566593</v>
      </c>
      <c r="F20" s="7" t="s">
        <v>17</v>
      </c>
      <c r="G20" s="7">
        <v>3567393</v>
      </c>
      <c r="H20" s="7">
        <v>2330</v>
      </c>
      <c r="I20" s="7">
        <v>35</v>
      </c>
      <c r="J20" s="7">
        <v>82</v>
      </c>
      <c r="K20" s="7" t="s">
        <v>18</v>
      </c>
      <c r="L20" s="8">
        <v>39987.315405092595</v>
      </c>
      <c r="M20" s="9" t="s">
        <v>19</v>
      </c>
      <c r="N20" s="9" t="s">
        <v>20</v>
      </c>
      <c r="O20" s="6" t="str">
        <f>HYPERLINK("https://pbs.twimg.com/profile_images/962471262747529216/Uo8lOkRJ_normal.jpg","View")</f>
        <v>View</v>
      </c>
      <c r="P20" s="7"/>
    </row>
    <row r="21" spans="1:16">
      <c r="A21" s="3">
        <v>43800.77516203704</v>
      </c>
      <c r="B21" s="4" t="str">
        <f>HYPERLINK("https://twitter.com/petrogustavo","@petrogustavo")</f>
        <v>@petrogustavo</v>
      </c>
      <c r="C21" s="5" t="s">
        <v>16</v>
      </c>
      <c r="D21" s="5" t="s">
        <v>53</v>
      </c>
      <c r="E21" s="6" t="str">
        <f>HYPERLINK("https://twitter.com/petrogustavo/status/1201125353630117888","1201125353630117888")</f>
        <v>1201125353630117888</v>
      </c>
      <c r="F21" s="7" t="s">
        <v>17</v>
      </c>
      <c r="G21" s="7">
        <v>3567393</v>
      </c>
      <c r="H21" s="7">
        <v>2330</v>
      </c>
      <c r="I21" s="7">
        <v>52</v>
      </c>
      <c r="J21" s="7">
        <v>0</v>
      </c>
      <c r="K21" s="7" t="s">
        <v>18</v>
      </c>
      <c r="L21" s="8">
        <v>39987.315405092595</v>
      </c>
      <c r="M21" s="9" t="s">
        <v>19</v>
      </c>
      <c r="N21" s="9" t="s">
        <v>20</v>
      </c>
      <c r="O21" s="6" t="str">
        <f>HYPERLINK("https://pbs.twimg.com/profile_images/962471262747529216/Uo8lOkRJ_normal.jpg","View")</f>
        <v>View</v>
      </c>
      <c r="P21" s="7"/>
    </row>
    <row r="22" spans="1:16">
      <c r="A22" s="3">
        <v>43800.776331018518</v>
      </c>
      <c r="B22" s="4" t="str">
        <f>HYPERLINK("https://twitter.com/petrogustavo","@petrogustavo")</f>
        <v>@petrogustavo</v>
      </c>
      <c r="C22" s="5" t="s">
        <v>16</v>
      </c>
      <c r="D22" s="5" t="s">
        <v>54</v>
      </c>
      <c r="E22" s="6" t="str">
        <f>HYPERLINK("https://twitter.com/petrogustavo/status/1201125776604708866","1201125776604708866")</f>
        <v>1201125776604708866</v>
      </c>
      <c r="F22" s="7" t="s">
        <v>17</v>
      </c>
      <c r="G22" s="7">
        <v>3567393</v>
      </c>
      <c r="H22" s="7">
        <v>2330</v>
      </c>
      <c r="I22" s="7">
        <v>149</v>
      </c>
      <c r="J22" s="7">
        <v>0</v>
      </c>
      <c r="K22" s="7" t="s">
        <v>18</v>
      </c>
      <c r="L22" s="8">
        <v>39987.315405092595</v>
      </c>
      <c r="M22" s="9" t="s">
        <v>19</v>
      </c>
      <c r="N22" s="9" t="s">
        <v>20</v>
      </c>
      <c r="O22" s="6" t="str">
        <f>HYPERLINK("https://pbs.twimg.com/profile_images/962471262747529216/Uo8lOkRJ_normal.jpg","View")</f>
        <v>View</v>
      </c>
      <c r="P22" s="7"/>
    </row>
    <row r="23" spans="1:16">
      <c r="A23" s="3">
        <v>43800.779282407406</v>
      </c>
      <c r="B23" s="4" t="str">
        <f>HYPERLINK("https://twitter.com/petrogustavo","@petrogustavo")</f>
        <v>@petrogustavo</v>
      </c>
      <c r="C23" s="5" t="s">
        <v>16</v>
      </c>
      <c r="D23" s="5" t="s">
        <v>55</v>
      </c>
      <c r="E23" s="6" t="str">
        <f>HYPERLINK("https://twitter.com/petrogustavo/status/1201126847544778752","1201126847544778752")</f>
        <v>1201126847544778752</v>
      </c>
      <c r="F23" s="7" t="s">
        <v>17</v>
      </c>
      <c r="G23" s="7">
        <v>3567393</v>
      </c>
      <c r="H23" s="7">
        <v>2330</v>
      </c>
      <c r="I23" s="7">
        <v>116</v>
      </c>
      <c r="J23" s="7">
        <v>0</v>
      </c>
      <c r="K23" s="7" t="s">
        <v>18</v>
      </c>
      <c r="L23" s="8">
        <v>39987.315405092595</v>
      </c>
      <c r="M23" s="9" t="s">
        <v>19</v>
      </c>
      <c r="N23" s="9" t="s">
        <v>20</v>
      </c>
      <c r="O23" s="6" t="str">
        <f>HYPERLINK("https://pbs.twimg.com/profile_images/962471262747529216/Uo8lOkRJ_normal.jpg","View")</f>
        <v>View</v>
      </c>
      <c r="P23" s="7"/>
    </row>
    <row r="24" spans="1:16">
      <c r="A24" s="3">
        <v>43800.780636574069</v>
      </c>
      <c r="B24" s="4" t="str">
        <f>HYPERLINK("https://twitter.com/petrogustavo","@petrogustavo")</f>
        <v>@petrogustavo</v>
      </c>
      <c r="C24" s="5" t="s">
        <v>16</v>
      </c>
      <c r="D24" s="5" t="s">
        <v>56</v>
      </c>
      <c r="E24" s="6" t="str">
        <f>HYPERLINK("https://twitter.com/petrogustavo/status/1201127335568822272","1201127335568822272")</f>
        <v>1201127335568822272</v>
      </c>
      <c r="F24" s="7" t="s">
        <v>17</v>
      </c>
      <c r="G24" s="7">
        <v>3567393</v>
      </c>
      <c r="H24" s="7">
        <v>2330</v>
      </c>
      <c r="I24" s="7">
        <v>716</v>
      </c>
      <c r="J24" s="7">
        <v>0</v>
      </c>
      <c r="K24" s="7" t="s">
        <v>18</v>
      </c>
      <c r="L24" s="8">
        <v>39987.315405092595</v>
      </c>
      <c r="M24" s="9" t="s">
        <v>19</v>
      </c>
      <c r="N24" s="9" t="s">
        <v>20</v>
      </c>
      <c r="O24" s="6" t="str">
        <f>HYPERLINK("https://pbs.twimg.com/profile_images/962471262747529216/Uo8lOkRJ_normal.jpg","View")</f>
        <v>View</v>
      </c>
      <c r="P24" s="7"/>
    </row>
    <row r="25" spans="1:16">
      <c r="A25" s="3">
        <v>43800.79751157407</v>
      </c>
      <c r="B25" s="4" t="str">
        <f>HYPERLINK("https://twitter.com/petrogustavo","@petrogustavo")</f>
        <v>@petrogustavo</v>
      </c>
      <c r="C25" s="5" t="s">
        <v>16</v>
      </c>
      <c r="D25" s="5" t="s">
        <v>57</v>
      </c>
      <c r="E25" s="6" t="str">
        <f>HYPERLINK("https://twitter.com/petrogustavo/status/1201133453141594113","1201133453141594113")</f>
        <v>1201133453141594113</v>
      </c>
      <c r="F25" s="7" t="s">
        <v>17</v>
      </c>
      <c r="G25" s="7">
        <v>3567420</v>
      </c>
      <c r="H25" s="7">
        <v>2330</v>
      </c>
      <c r="I25" s="7">
        <v>42</v>
      </c>
      <c r="J25" s="7">
        <v>87</v>
      </c>
      <c r="K25" s="7" t="s">
        <v>18</v>
      </c>
      <c r="L25" s="8">
        <v>39987.315405092595</v>
      </c>
      <c r="M25" s="9" t="s">
        <v>19</v>
      </c>
      <c r="N25" s="9" t="s">
        <v>20</v>
      </c>
      <c r="O25" s="6" t="str">
        <f>HYPERLINK("https://pbs.twimg.com/profile_images/962471262747529216/Uo8lOkRJ_normal.jpg","View")</f>
        <v>View</v>
      </c>
      <c r="P25" s="7"/>
    </row>
    <row r="26" spans="1:16">
      <c r="A26" s="3">
        <v>43800.797523148147</v>
      </c>
      <c r="B26" s="4" t="str">
        <f>HYPERLINK("https://twitter.com/petrogustavo","@petrogustavo")</f>
        <v>@petrogustavo</v>
      </c>
      <c r="C26" s="5" t="s">
        <v>16</v>
      </c>
      <c r="D26" s="5" t="s">
        <v>58</v>
      </c>
      <c r="E26" s="6" t="str">
        <f>HYPERLINK("https://twitter.com/petrogustavo/status/1201133454815121408","1201133454815121408")</f>
        <v>1201133454815121408</v>
      </c>
      <c r="F26" s="7" t="s">
        <v>17</v>
      </c>
      <c r="G26" s="7">
        <v>3567420</v>
      </c>
      <c r="H26" s="7">
        <v>2330</v>
      </c>
      <c r="I26" s="7">
        <v>3</v>
      </c>
      <c r="J26" s="7">
        <v>5</v>
      </c>
      <c r="K26" s="7" t="s">
        <v>18</v>
      </c>
      <c r="L26" s="8">
        <v>39987.315405092595</v>
      </c>
      <c r="M26" s="9" t="s">
        <v>19</v>
      </c>
      <c r="N26" s="9" t="s">
        <v>20</v>
      </c>
      <c r="O26" s="6" t="str">
        <f>HYPERLINK("https://pbs.twimg.com/profile_images/962471262747529216/Uo8lOkRJ_normal.jpg","View")</f>
        <v>View</v>
      </c>
      <c r="P26" s="7"/>
    </row>
    <row r="27" spans="1:16">
      <c r="A27" s="3">
        <v>43800.797523148147</v>
      </c>
      <c r="B27" s="4" t="str">
        <f>HYPERLINK("https://twitter.com/petrogustavo","@petrogustavo")</f>
        <v>@petrogustavo</v>
      </c>
      <c r="C27" s="5" t="s">
        <v>16</v>
      </c>
      <c r="D27" s="5" t="s">
        <v>59</v>
      </c>
      <c r="E27" s="6" t="str">
        <f>HYPERLINK("https://twitter.com/petrogustavo/status/1201133456752812032","1201133456752812032")</f>
        <v>1201133456752812032</v>
      </c>
      <c r="F27" s="7" t="s">
        <v>17</v>
      </c>
      <c r="G27" s="7">
        <v>3567420</v>
      </c>
      <c r="H27" s="7">
        <v>2330</v>
      </c>
      <c r="I27" s="7">
        <v>3</v>
      </c>
      <c r="J27" s="7">
        <v>10</v>
      </c>
      <c r="K27" s="7" t="s">
        <v>18</v>
      </c>
      <c r="L27" s="8">
        <v>39987.315405092595</v>
      </c>
      <c r="M27" s="9" t="s">
        <v>19</v>
      </c>
      <c r="N27" s="9" t="s">
        <v>20</v>
      </c>
      <c r="O27" s="6" t="str">
        <f>HYPERLINK("https://pbs.twimg.com/profile_images/962471262747529216/Uo8lOkRJ_normal.jpg","View")</f>
        <v>View</v>
      </c>
      <c r="P27" s="7"/>
    </row>
    <row r="28" spans="1:16">
      <c r="A28" s="3">
        <v>43800.797534722224</v>
      </c>
      <c r="B28" s="4" t="str">
        <f>HYPERLINK("https://twitter.com/petrogustavo","@petrogustavo")</f>
        <v>@petrogustavo</v>
      </c>
      <c r="C28" s="5" t="s">
        <v>16</v>
      </c>
      <c r="D28" s="5" t="s">
        <v>60</v>
      </c>
      <c r="E28" s="6" t="str">
        <f>HYPERLINK("https://twitter.com/petrogustavo/status/1201133458107572225","1201133458107572225")</f>
        <v>1201133458107572225</v>
      </c>
      <c r="F28" s="7" t="s">
        <v>17</v>
      </c>
      <c r="G28" s="7">
        <v>3567420</v>
      </c>
      <c r="H28" s="7">
        <v>2330</v>
      </c>
      <c r="I28" s="7">
        <v>4</v>
      </c>
      <c r="J28" s="7">
        <v>7</v>
      </c>
      <c r="K28" s="7" t="s">
        <v>18</v>
      </c>
      <c r="L28" s="8">
        <v>39987.315405092595</v>
      </c>
      <c r="M28" s="9" t="s">
        <v>19</v>
      </c>
      <c r="N28" s="9" t="s">
        <v>20</v>
      </c>
      <c r="O28" s="6" t="str">
        <f>HYPERLINK("https://pbs.twimg.com/profile_images/962471262747529216/Uo8lOkRJ_normal.jpg","View")</f>
        <v>View</v>
      </c>
      <c r="P28" s="7"/>
    </row>
    <row r="29" spans="1:16">
      <c r="A29" s="3">
        <v>43800.797534722224</v>
      </c>
      <c r="B29" s="4" t="str">
        <f>HYPERLINK("https://twitter.com/petrogustavo","@petrogustavo")</f>
        <v>@petrogustavo</v>
      </c>
      <c r="C29" s="5" t="s">
        <v>16</v>
      </c>
      <c r="D29" s="5" t="s">
        <v>61</v>
      </c>
      <c r="E29" s="6" t="str">
        <f>HYPERLINK("https://twitter.com/petrogustavo/status/1201133459491688448","1201133459491688448")</f>
        <v>1201133459491688448</v>
      </c>
      <c r="F29" s="7" t="s">
        <v>17</v>
      </c>
      <c r="G29" s="7">
        <v>3567420</v>
      </c>
      <c r="H29" s="7">
        <v>2330</v>
      </c>
      <c r="I29" s="7">
        <v>12</v>
      </c>
      <c r="J29" s="7">
        <v>33</v>
      </c>
      <c r="K29" s="7" t="s">
        <v>18</v>
      </c>
      <c r="L29" s="8">
        <v>39987.315405092595</v>
      </c>
      <c r="M29" s="9" t="s">
        <v>19</v>
      </c>
      <c r="N29" s="9" t="s">
        <v>20</v>
      </c>
      <c r="O29" s="6" t="str">
        <f>HYPERLINK("https://pbs.twimg.com/profile_images/962471262747529216/Uo8lOkRJ_normal.jpg","View")</f>
        <v>View</v>
      </c>
      <c r="P29" s="7"/>
    </row>
    <row r="30" spans="1:16">
      <c r="A30" s="3">
        <v>43800.797534722224</v>
      </c>
      <c r="B30" s="4" t="str">
        <f>HYPERLINK("https://twitter.com/petrogustavo","@petrogustavo")</f>
        <v>@petrogustavo</v>
      </c>
      <c r="C30" s="5" t="s">
        <v>16</v>
      </c>
      <c r="D30" s="5" t="s">
        <v>62</v>
      </c>
      <c r="E30" s="6" t="str">
        <f>HYPERLINK("https://twitter.com/petrogustavo/status/1201133461114904577","1201133461114904577")</f>
        <v>1201133461114904577</v>
      </c>
      <c r="F30" s="7" t="s">
        <v>17</v>
      </c>
      <c r="G30" s="7">
        <v>3567420</v>
      </c>
      <c r="H30" s="7">
        <v>2330</v>
      </c>
      <c r="I30" s="7">
        <v>15</v>
      </c>
      <c r="J30" s="7">
        <v>32</v>
      </c>
      <c r="K30" s="7" t="s">
        <v>18</v>
      </c>
      <c r="L30" s="8">
        <v>39987.315405092595</v>
      </c>
      <c r="M30" s="9" t="s">
        <v>19</v>
      </c>
      <c r="N30" s="9" t="s">
        <v>20</v>
      </c>
      <c r="O30" s="6" t="str">
        <f>HYPERLINK("https://pbs.twimg.com/profile_images/962471262747529216/Uo8lOkRJ_normal.jpg","View")</f>
        <v>View</v>
      </c>
      <c r="P30" s="7"/>
    </row>
    <row r="31" spans="1:16">
      <c r="A31" s="3">
        <v>43800.802384259259</v>
      </c>
      <c r="B31" s="4" t="str">
        <f>HYPERLINK("https://twitter.com/petrogustavo","@petrogustavo")</f>
        <v>@petrogustavo</v>
      </c>
      <c r="C31" s="5" t="s">
        <v>16</v>
      </c>
      <c r="D31" s="5" t="s">
        <v>63</v>
      </c>
      <c r="E31" s="6" t="str">
        <f>HYPERLINK("https://twitter.com/petrogustavo/status/1201135215508365315","1201135215508365315")</f>
        <v>1201135215508365315</v>
      </c>
      <c r="F31" s="7" t="s">
        <v>17</v>
      </c>
      <c r="G31" s="7">
        <v>3567420</v>
      </c>
      <c r="H31" s="7">
        <v>2330</v>
      </c>
      <c r="I31" s="7">
        <v>42</v>
      </c>
      <c r="J31" s="7">
        <v>182</v>
      </c>
      <c r="K31" s="7" t="s">
        <v>18</v>
      </c>
      <c r="L31" s="8">
        <v>39987.315405092595</v>
      </c>
      <c r="M31" s="9" t="s">
        <v>19</v>
      </c>
      <c r="N31" s="9" t="s">
        <v>20</v>
      </c>
      <c r="O31" s="6" t="str">
        <f>HYPERLINK("https://pbs.twimg.com/profile_images/962471262747529216/Uo8lOkRJ_normal.jpg","View")</f>
        <v>View</v>
      </c>
      <c r="P31" s="7"/>
    </row>
    <row r="32" spans="1:16">
      <c r="A32" s="3">
        <v>43800.802928240737</v>
      </c>
      <c r="B32" s="4" t="str">
        <f>HYPERLINK("https://twitter.com/petrogustavo","@petrogustavo")</f>
        <v>@petrogustavo</v>
      </c>
      <c r="C32" s="5" t="s">
        <v>16</v>
      </c>
      <c r="D32" s="5" t="s">
        <v>64</v>
      </c>
      <c r="E32" s="6" t="str">
        <f>HYPERLINK("https://twitter.com/petrogustavo/status/1201135414448402432","1201135414448402432")</f>
        <v>1201135414448402432</v>
      </c>
      <c r="F32" s="7" t="s">
        <v>17</v>
      </c>
      <c r="G32" s="7">
        <v>3567420</v>
      </c>
      <c r="H32" s="7">
        <v>2330</v>
      </c>
      <c r="I32" s="7">
        <v>115</v>
      </c>
      <c r="J32" s="7">
        <v>0</v>
      </c>
      <c r="K32" s="7" t="s">
        <v>18</v>
      </c>
      <c r="L32" s="8">
        <v>39987.315405092595</v>
      </c>
      <c r="M32" s="9" t="s">
        <v>19</v>
      </c>
      <c r="N32" s="9" t="s">
        <v>20</v>
      </c>
      <c r="O32" s="6" t="str">
        <f>HYPERLINK("https://pbs.twimg.com/profile_images/962471262747529216/Uo8lOkRJ_normal.jpg","View")</f>
        <v>View</v>
      </c>
      <c r="P32" s="7"/>
    </row>
    <row r="33" spans="1:16">
      <c r="A33" s="3">
        <v>43800.803194444445</v>
      </c>
      <c r="B33" s="4" t="str">
        <f>HYPERLINK("https://twitter.com/petrogustavo","@petrogustavo")</f>
        <v>@petrogustavo</v>
      </c>
      <c r="C33" s="5" t="s">
        <v>16</v>
      </c>
      <c r="D33" s="5" t="s">
        <v>65</v>
      </c>
      <c r="E33" s="6" t="str">
        <f>HYPERLINK("https://twitter.com/petrogustavo/status/1201135512796438528","1201135512796438528")</f>
        <v>1201135512796438528</v>
      </c>
      <c r="F33" s="7" t="s">
        <v>17</v>
      </c>
      <c r="G33" s="7">
        <v>3567420</v>
      </c>
      <c r="H33" s="7">
        <v>2330</v>
      </c>
      <c r="I33" s="7">
        <v>367</v>
      </c>
      <c r="J33" s="7">
        <v>0</v>
      </c>
      <c r="K33" s="7" t="s">
        <v>18</v>
      </c>
      <c r="L33" s="8">
        <v>39987.315405092595</v>
      </c>
      <c r="M33" s="9" t="s">
        <v>19</v>
      </c>
      <c r="N33" s="9" t="s">
        <v>20</v>
      </c>
      <c r="O33" s="6" t="str">
        <f>HYPERLINK("https://pbs.twimg.com/profile_images/962471262747529216/Uo8lOkRJ_normal.jpg","View")</f>
        <v>View</v>
      </c>
      <c r="P33" s="7"/>
    </row>
    <row r="34" spans="1:16">
      <c r="A34" s="3">
        <v>43800.807534722218</v>
      </c>
      <c r="B34" s="4" t="str">
        <f>HYPERLINK("https://twitter.com/petrogustavo","@petrogustavo")</f>
        <v>@petrogustavo</v>
      </c>
      <c r="C34" s="5" t="s">
        <v>16</v>
      </c>
      <c r="D34" s="5" t="s">
        <v>66</v>
      </c>
      <c r="E34" s="6" t="str">
        <f>HYPERLINK("https://twitter.com/petrogustavo/status/1201137081805869057","1201137081805869057")</f>
        <v>1201137081805869057</v>
      </c>
      <c r="F34" s="7" t="s">
        <v>17</v>
      </c>
      <c r="G34" s="7">
        <v>3567445</v>
      </c>
      <c r="H34" s="7">
        <v>2330</v>
      </c>
      <c r="I34" s="7">
        <v>160</v>
      </c>
      <c r="J34" s="7">
        <v>420</v>
      </c>
      <c r="K34" s="7" t="s">
        <v>18</v>
      </c>
      <c r="L34" s="8">
        <v>39987.315405092595</v>
      </c>
      <c r="M34" s="9" t="s">
        <v>19</v>
      </c>
      <c r="N34" s="9" t="s">
        <v>20</v>
      </c>
      <c r="O34" s="6" t="str">
        <f>HYPERLINK("https://pbs.twimg.com/profile_images/962471262747529216/Uo8lOkRJ_normal.jpg","View")</f>
        <v>View</v>
      </c>
      <c r="P34" s="7"/>
    </row>
    <row r="35" spans="1:16">
      <c r="A35" s="3">
        <v>43800.814618055556</v>
      </c>
      <c r="B35" s="4" t="str">
        <f>HYPERLINK("https://twitter.com/petrogustavo","@petrogustavo")</f>
        <v>@petrogustavo</v>
      </c>
      <c r="C35" s="5" t="s">
        <v>16</v>
      </c>
      <c r="D35" s="5" t="s">
        <v>67</v>
      </c>
      <c r="E35" s="6" t="str">
        <f>HYPERLINK("https://twitter.com/petrogustavo/status/1201139650708066305","1201139650708066305")</f>
        <v>1201139650708066305</v>
      </c>
      <c r="F35" s="7" t="s">
        <v>17</v>
      </c>
      <c r="G35" s="7">
        <v>3567445</v>
      </c>
      <c r="H35" s="7">
        <v>2330</v>
      </c>
      <c r="I35" s="7">
        <v>50</v>
      </c>
      <c r="J35" s="7">
        <v>0</v>
      </c>
      <c r="K35" s="7" t="s">
        <v>18</v>
      </c>
      <c r="L35" s="8">
        <v>39987.315405092595</v>
      </c>
      <c r="M35" s="9" t="s">
        <v>19</v>
      </c>
      <c r="N35" s="9" t="s">
        <v>20</v>
      </c>
      <c r="O35" s="6" t="str">
        <f>HYPERLINK("https://pbs.twimg.com/profile_images/962471262747529216/Uo8lOkRJ_normal.jpg","View")</f>
        <v>View</v>
      </c>
      <c r="P35" s="7"/>
    </row>
    <row r="36" spans="1:16">
      <c r="A36" s="3">
        <v>43800.818113425921</v>
      </c>
      <c r="B36" s="4" t="str">
        <f>HYPERLINK("https://twitter.com/petrogustavo","@petrogustavo")</f>
        <v>@petrogustavo</v>
      </c>
      <c r="C36" s="5" t="s">
        <v>16</v>
      </c>
      <c r="D36" s="5" t="s">
        <v>68</v>
      </c>
      <c r="E36" s="6" t="str">
        <f>HYPERLINK("https://twitter.com/petrogustavo/status/1201140916028936192","1201140916028936192")</f>
        <v>1201140916028936192</v>
      </c>
      <c r="F36" s="7" t="s">
        <v>17</v>
      </c>
      <c r="G36" s="7">
        <v>3567445</v>
      </c>
      <c r="H36" s="7">
        <v>2330</v>
      </c>
      <c r="I36" s="7">
        <v>142</v>
      </c>
      <c r="J36" s="7">
        <v>0</v>
      </c>
      <c r="K36" s="7" t="s">
        <v>18</v>
      </c>
      <c r="L36" s="8">
        <v>39987.315405092595</v>
      </c>
      <c r="M36" s="9" t="s">
        <v>19</v>
      </c>
      <c r="N36" s="9" t="s">
        <v>20</v>
      </c>
      <c r="O36" s="6" t="str">
        <f>HYPERLINK("https://pbs.twimg.com/profile_images/962471262747529216/Uo8lOkRJ_normal.jpg","View")</f>
        <v>View</v>
      </c>
      <c r="P36" s="7"/>
    </row>
    <row r="37" spans="1:16">
      <c r="A37" s="3">
        <v>43800.82167824074</v>
      </c>
      <c r="B37" s="4" t="str">
        <f>HYPERLINK("https://twitter.com/petrogustavo","@petrogustavo")</f>
        <v>@petrogustavo</v>
      </c>
      <c r="C37" s="5" t="s">
        <v>16</v>
      </c>
      <c r="D37" s="5" t="s">
        <v>69</v>
      </c>
      <c r="E37" s="6" t="str">
        <f>HYPERLINK("https://twitter.com/petrogustavo/status/1201142210416263173","1201142210416263173")</f>
        <v>1201142210416263173</v>
      </c>
      <c r="F37" s="7" t="s">
        <v>17</v>
      </c>
      <c r="G37" s="7">
        <v>3567445</v>
      </c>
      <c r="H37" s="7">
        <v>2330</v>
      </c>
      <c r="I37" s="7">
        <v>211</v>
      </c>
      <c r="J37" s="7">
        <v>0</v>
      </c>
      <c r="K37" s="7" t="s">
        <v>18</v>
      </c>
      <c r="L37" s="8">
        <v>39987.315405092595</v>
      </c>
      <c r="M37" s="9" t="s">
        <v>19</v>
      </c>
      <c r="N37" s="9" t="s">
        <v>20</v>
      </c>
      <c r="O37" s="6" t="str">
        <f>HYPERLINK("https://pbs.twimg.com/profile_images/962471262747529216/Uo8lOkRJ_normal.jpg","View")</f>
        <v>View</v>
      </c>
      <c r="P37" s="7"/>
    </row>
    <row r="38" spans="1:16">
      <c r="A38" s="3">
        <v>43800.822129629625</v>
      </c>
      <c r="B38" s="4" t="str">
        <f>HYPERLINK("https://twitter.com/petrogustavo","@petrogustavo")</f>
        <v>@petrogustavo</v>
      </c>
      <c r="C38" s="5" t="s">
        <v>16</v>
      </c>
      <c r="D38" s="5" t="s">
        <v>70</v>
      </c>
      <c r="E38" s="6" t="str">
        <f>HYPERLINK("https://twitter.com/petrogustavo/status/1201142373767688193","1201142373767688193")</f>
        <v>1201142373767688193</v>
      </c>
      <c r="F38" s="7" t="s">
        <v>17</v>
      </c>
      <c r="G38" s="7">
        <v>3567445</v>
      </c>
      <c r="H38" s="7">
        <v>2330</v>
      </c>
      <c r="I38" s="7">
        <v>32</v>
      </c>
      <c r="J38" s="7">
        <v>0</v>
      </c>
      <c r="K38" s="7" t="s">
        <v>18</v>
      </c>
      <c r="L38" s="8">
        <v>39987.315405092595</v>
      </c>
      <c r="M38" s="9" t="s">
        <v>19</v>
      </c>
      <c r="N38" s="9" t="s">
        <v>20</v>
      </c>
      <c r="O38" s="6" t="str">
        <f>HYPERLINK("https://pbs.twimg.com/profile_images/962471262747529216/Uo8lOkRJ_normal.jpg","View")</f>
        <v>View</v>
      </c>
      <c r="P38" s="7"/>
    </row>
    <row r="39" spans="1:16">
      <c r="A39" s="3">
        <v>43800.82413194445</v>
      </c>
      <c r="B39" s="4" t="str">
        <f>HYPERLINK("https://twitter.com/petrogustavo","@petrogustavo")</f>
        <v>@petrogustavo</v>
      </c>
      <c r="C39" s="5" t="s">
        <v>16</v>
      </c>
      <c r="D39" s="5" t="s">
        <v>71</v>
      </c>
      <c r="E39" s="6" t="str">
        <f>HYPERLINK("https://twitter.com/petrogustavo/status/1201143099067641856","1201143099067641856")</f>
        <v>1201143099067641856</v>
      </c>
      <c r="F39" s="7" t="s">
        <v>17</v>
      </c>
      <c r="G39" s="7">
        <v>3567445</v>
      </c>
      <c r="H39" s="7">
        <v>2330</v>
      </c>
      <c r="I39" s="7">
        <v>365</v>
      </c>
      <c r="J39" s="7">
        <v>0</v>
      </c>
      <c r="K39" s="7" t="s">
        <v>18</v>
      </c>
      <c r="L39" s="8">
        <v>39987.315405092595</v>
      </c>
      <c r="M39" s="9" t="s">
        <v>19</v>
      </c>
      <c r="N39" s="9" t="s">
        <v>20</v>
      </c>
      <c r="O39" s="6" t="str">
        <f>HYPERLINK("https://pbs.twimg.com/profile_images/962471262747529216/Uo8lOkRJ_normal.jpg","View")</f>
        <v>View</v>
      </c>
      <c r="P39" s="7"/>
    </row>
    <row r="40" spans="1:16">
      <c r="A40" s="3">
        <v>43800.82613425926</v>
      </c>
      <c r="B40" s="4" t="str">
        <f>HYPERLINK("https://twitter.com/petrogustavo","@petrogustavo")</f>
        <v>@petrogustavo</v>
      </c>
      <c r="C40" s="5" t="s">
        <v>16</v>
      </c>
      <c r="D40" s="5" t="s">
        <v>72</v>
      </c>
      <c r="E40" s="6" t="str">
        <f>HYPERLINK("https://twitter.com/petrogustavo/status/1201143825697267712","1201143825697267712")</f>
        <v>1201143825697267712</v>
      </c>
      <c r="F40" s="7" t="s">
        <v>17</v>
      </c>
      <c r="G40" s="7">
        <v>3567458</v>
      </c>
      <c r="H40" s="7">
        <v>2330</v>
      </c>
      <c r="I40" s="7">
        <v>111</v>
      </c>
      <c r="J40" s="7">
        <v>313</v>
      </c>
      <c r="K40" s="7" t="s">
        <v>18</v>
      </c>
      <c r="L40" s="8">
        <v>39987.315405092595</v>
      </c>
      <c r="M40" s="9" t="s">
        <v>19</v>
      </c>
      <c r="N40" s="9" t="s">
        <v>20</v>
      </c>
      <c r="O40" s="6" t="str">
        <f>HYPERLINK("https://pbs.twimg.com/profile_images/962471262747529216/Uo8lOkRJ_normal.jpg","View")</f>
        <v>View</v>
      </c>
      <c r="P40" s="7"/>
    </row>
    <row r="41" spans="1:16">
      <c r="A41" s="3">
        <v>43800.82949074074</v>
      </c>
      <c r="B41" s="4" t="str">
        <f>HYPERLINK("https://twitter.com/petrogustavo","@petrogustavo")</f>
        <v>@petrogustavo</v>
      </c>
      <c r="C41" s="5" t="s">
        <v>16</v>
      </c>
      <c r="D41" s="5" t="s">
        <v>73</v>
      </c>
      <c r="E41" s="6" t="str">
        <f>HYPERLINK("https://twitter.com/petrogustavo/status/1201145042309652480","1201145042309652480")</f>
        <v>1201145042309652480</v>
      </c>
      <c r="F41" s="7" t="s">
        <v>17</v>
      </c>
      <c r="G41" s="7">
        <v>3567458</v>
      </c>
      <c r="H41" s="7">
        <v>2330</v>
      </c>
      <c r="I41" s="7">
        <v>53</v>
      </c>
      <c r="J41" s="7">
        <v>0</v>
      </c>
      <c r="K41" s="7" t="s">
        <v>18</v>
      </c>
      <c r="L41" s="8">
        <v>39987.315405092595</v>
      </c>
      <c r="M41" s="9" t="s">
        <v>19</v>
      </c>
      <c r="N41" s="9" t="s">
        <v>20</v>
      </c>
      <c r="O41" s="6" t="str">
        <f>HYPERLINK("https://pbs.twimg.com/profile_images/962471262747529216/Uo8lOkRJ_normal.jpg","View")</f>
        <v>View</v>
      </c>
      <c r="P41" s="7"/>
    </row>
    <row r="42" spans="1:16">
      <c r="A42" s="3">
        <v>43800.829583333332</v>
      </c>
      <c r="B42" s="4" t="str">
        <f>HYPERLINK("https://twitter.com/petrogustavo","@petrogustavo")</f>
        <v>@petrogustavo</v>
      </c>
      <c r="C42" s="5" t="s">
        <v>16</v>
      </c>
      <c r="D42" s="5" t="s">
        <v>74</v>
      </c>
      <c r="E42" s="6" t="str">
        <f>HYPERLINK("https://twitter.com/petrogustavo/status/1201145075172032512","1201145075172032512")</f>
        <v>1201145075172032512</v>
      </c>
      <c r="F42" s="7" t="s">
        <v>17</v>
      </c>
      <c r="G42" s="7">
        <v>3567458</v>
      </c>
      <c r="H42" s="7">
        <v>2330</v>
      </c>
      <c r="I42" s="7">
        <v>1494</v>
      </c>
      <c r="J42" s="7">
        <v>0</v>
      </c>
      <c r="K42" s="7" t="s">
        <v>18</v>
      </c>
      <c r="L42" s="8">
        <v>39987.315405092595</v>
      </c>
      <c r="M42" s="9" t="s">
        <v>19</v>
      </c>
      <c r="N42" s="9" t="s">
        <v>20</v>
      </c>
      <c r="O42" s="6" t="str">
        <f>HYPERLINK("https://pbs.twimg.com/profile_images/962471262747529216/Uo8lOkRJ_normal.jpg","View")</f>
        <v>View</v>
      </c>
      <c r="P42" s="7"/>
    </row>
    <row r="43" spans="1:16">
      <c r="A43" s="3">
        <v>43800.834398148145</v>
      </c>
      <c r="B43" s="4" t="str">
        <f>HYPERLINK("https://twitter.com/petrogustavo","@petrogustavo")</f>
        <v>@petrogustavo</v>
      </c>
      <c r="C43" s="5" t="s">
        <v>16</v>
      </c>
      <c r="D43" s="5" t="s">
        <v>75</v>
      </c>
      <c r="E43" s="6" t="str">
        <f>HYPERLINK("https://twitter.com/petrogustavo/status/1201146819528577024","1201146819528577024")</f>
        <v>1201146819528577024</v>
      </c>
      <c r="F43" s="7" t="s">
        <v>17</v>
      </c>
      <c r="G43" s="7">
        <v>3567458</v>
      </c>
      <c r="H43" s="7">
        <v>2330</v>
      </c>
      <c r="I43" s="7">
        <v>143</v>
      </c>
      <c r="J43" s="7">
        <v>0</v>
      </c>
      <c r="K43" s="7" t="s">
        <v>18</v>
      </c>
      <c r="L43" s="8">
        <v>39987.315405092595</v>
      </c>
      <c r="M43" s="9" t="s">
        <v>19</v>
      </c>
      <c r="N43" s="9" t="s">
        <v>20</v>
      </c>
      <c r="O43" s="6" t="str">
        <f>HYPERLINK("https://pbs.twimg.com/profile_images/962471262747529216/Uo8lOkRJ_normal.jpg","View")</f>
        <v>View</v>
      </c>
      <c r="P43" s="7"/>
    </row>
    <row r="44" spans="1:16">
      <c r="A44" s="3">
        <v>43800.853645833333</v>
      </c>
      <c r="B44" s="4" t="str">
        <f>HYPERLINK("https://twitter.com/petrogustavo","@petrogustavo")</f>
        <v>@petrogustavo</v>
      </c>
      <c r="C44" s="5" t="s">
        <v>16</v>
      </c>
      <c r="D44" s="5" t="s">
        <v>76</v>
      </c>
      <c r="E44" s="6" t="str">
        <f>HYPERLINK("https://twitter.com/petrogustavo/status/1201153794022739968","1201153794022739968")</f>
        <v>1201153794022739968</v>
      </c>
      <c r="F44" s="7" t="s">
        <v>17</v>
      </c>
      <c r="G44" s="7">
        <v>3567480</v>
      </c>
      <c r="H44" s="7">
        <v>2330</v>
      </c>
      <c r="I44" s="7">
        <v>932</v>
      </c>
      <c r="J44" s="7">
        <v>0</v>
      </c>
      <c r="K44" s="7" t="s">
        <v>18</v>
      </c>
      <c r="L44" s="8">
        <v>39987.315405092595</v>
      </c>
      <c r="M44" s="9" t="s">
        <v>19</v>
      </c>
      <c r="N44" s="9" t="s">
        <v>20</v>
      </c>
      <c r="O44" s="6" t="str">
        <f>HYPERLINK("https://pbs.twimg.com/profile_images/962471262747529216/Uo8lOkRJ_normal.jpg","View")</f>
        <v>View</v>
      </c>
      <c r="P44" s="7"/>
    </row>
    <row r="45" spans="1:16">
      <c r="A45" s="3">
        <v>43800.856122685189</v>
      </c>
      <c r="B45" s="4" t="str">
        <f>HYPERLINK("https://twitter.com/petrogustavo","@petrogustavo")</f>
        <v>@petrogustavo</v>
      </c>
      <c r="C45" s="5" t="s">
        <v>16</v>
      </c>
      <c r="D45" s="5" t="s">
        <v>77</v>
      </c>
      <c r="E45" s="6" t="str">
        <f>HYPERLINK("https://twitter.com/petrogustavo/status/1201154690328793090","1201154690328793090")</f>
        <v>1201154690328793090</v>
      </c>
      <c r="F45" s="7" t="s">
        <v>17</v>
      </c>
      <c r="G45" s="7">
        <v>3567480</v>
      </c>
      <c r="H45" s="7">
        <v>2330</v>
      </c>
      <c r="I45" s="7">
        <v>195</v>
      </c>
      <c r="J45" s="7">
        <v>273</v>
      </c>
      <c r="K45" s="7" t="s">
        <v>18</v>
      </c>
      <c r="L45" s="8">
        <v>39987.315405092595</v>
      </c>
      <c r="M45" s="9" t="s">
        <v>19</v>
      </c>
      <c r="N45" s="9" t="s">
        <v>20</v>
      </c>
      <c r="O45" s="6" t="str">
        <f>HYPERLINK("https://pbs.twimg.com/profile_images/962471262747529216/Uo8lOkRJ_normal.jpg","View")</f>
        <v>View</v>
      </c>
      <c r="P45" s="7"/>
    </row>
    <row r="46" spans="1:16">
      <c r="A46" s="3">
        <v>43800.856412037036</v>
      </c>
      <c r="B46" s="4" t="str">
        <f>HYPERLINK("https://twitter.com/petrogustavo","@petrogustavo")</f>
        <v>@petrogustavo</v>
      </c>
      <c r="C46" s="5" t="s">
        <v>16</v>
      </c>
      <c r="D46" s="5" t="s">
        <v>78</v>
      </c>
      <c r="E46" s="6" t="str">
        <f>HYPERLINK("https://twitter.com/petrogustavo/status/1201154795333201923","1201154795333201923")</f>
        <v>1201154795333201923</v>
      </c>
      <c r="F46" s="7" t="s">
        <v>17</v>
      </c>
      <c r="G46" s="7">
        <v>3567480</v>
      </c>
      <c r="H46" s="7">
        <v>2330</v>
      </c>
      <c r="I46" s="7">
        <v>147</v>
      </c>
      <c r="J46" s="7">
        <v>0</v>
      </c>
      <c r="K46" s="7" t="s">
        <v>18</v>
      </c>
      <c r="L46" s="8">
        <v>39987.315405092595</v>
      </c>
      <c r="M46" s="9" t="s">
        <v>19</v>
      </c>
      <c r="N46" s="9" t="s">
        <v>20</v>
      </c>
      <c r="O46" s="6" t="str">
        <f>HYPERLINK("https://pbs.twimg.com/profile_images/962471262747529216/Uo8lOkRJ_normal.jpg","View")</f>
        <v>View</v>
      </c>
      <c r="P46" s="7"/>
    </row>
    <row r="47" spans="1:16">
      <c r="A47" s="3">
        <v>43800.860092592593</v>
      </c>
      <c r="B47" s="4" t="str">
        <f>HYPERLINK("https://twitter.com/petrogustavo","@petrogustavo")</f>
        <v>@petrogustavo</v>
      </c>
      <c r="C47" s="5" t="s">
        <v>16</v>
      </c>
      <c r="D47" s="5" t="s">
        <v>79</v>
      </c>
      <c r="E47" s="6" t="str">
        <f>HYPERLINK("https://twitter.com/petrogustavo/status/1201156129180602368","1201156129180602368")</f>
        <v>1201156129180602368</v>
      </c>
      <c r="F47" s="7" t="s">
        <v>17</v>
      </c>
      <c r="G47" s="7">
        <v>3567480</v>
      </c>
      <c r="H47" s="7">
        <v>2330</v>
      </c>
      <c r="I47" s="7">
        <v>20</v>
      </c>
      <c r="J47" s="7">
        <v>0</v>
      </c>
      <c r="K47" s="7" t="s">
        <v>18</v>
      </c>
      <c r="L47" s="8">
        <v>39987.315405092595</v>
      </c>
      <c r="M47" s="9" t="s">
        <v>19</v>
      </c>
      <c r="N47" s="9" t="s">
        <v>20</v>
      </c>
      <c r="O47" s="6" t="str">
        <f>HYPERLINK("https://pbs.twimg.com/profile_images/962471262747529216/Uo8lOkRJ_normal.jpg","View")</f>
        <v>View</v>
      </c>
      <c r="P47" s="7"/>
    </row>
    <row r="48" spans="1:16">
      <c r="A48" s="3">
        <v>43800.860185185185</v>
      </c>
      <c r="B48" s="4" t="str">
        <f>HYPERLINK("https://twitter.com/petrogustavo","@petrogustavo")</f>
        <v>@petrogustavo</v>
      </c>
      <c r="C48" s="5" t="s">
        <v>16</v>
      </c>
      <c r="D48" s="5" t="s">
        <v>80</v>
      </c>
      <c r="E48" s="6" t="str">
        <f>HYPERLINK("https://twitter.com/petrogustavo/status/1201156165784231937","1201156165784231937")</f>
        <v>1201156165784231937</v>
      </c>
      <c r="F48" s="7" t="s">
        <v>17</v>
      </c>
      <c r="G48" s="7">
        <v>3567480</v>
      </c>
      <c r="H48" s="7">
        <v>2330</v>
      </c>
      <c r="I48" s="7">
        <v>22</v>
      </c>
      <c r="J48" s="7">
        <v>0</v>
      </c>
      <c r="K48" s="7" t="s">
        <v>18</v>
      </c>
      <c r="L48" s="8">
        <v>39987.315405092595</v>
      </c>
      <c r="M48" s="9" t="s">
        <v>19</v>
      </c>
      <c r="N48" s="9" t="s">
        <v>20</v>
      </c>
      <c r="O48" s="6" t="str">
        <f>HYPERLINK("https://pbs.twimg.com/profile_images/962471262747529216/Uo8lOkRJ_normal.jpg","View")</f>
        <v>View</v>
      </c>
      <c r="P48" s="7"/>
    </row>
    <row r="49" spans="1:16">
      <c r="A49" s="3">
        <v>43800.86142361111</v>
      </c>
      <c r="B49" s="4" t="str">
        <f>HYPERLINK("https://twitter.com/petrogustavo","@petrogustavo")</f>
        <v>@petrogustavo</v>
      </c>
      <c r="C49" s="5" t="s">
        <v>16</v>
      </c>
      <c r="D49" s="5" t="s">
        <v>81</v>
      </c>
      <c r="E49" s="6" t="str">
        <f>HYPERLINK("https://twitter.com/petrogustavo/status/1201156613882687493","1201156613882687493")</f>
        <v>1201156613882687493</v>
      </c>
      <c r="F49" s="7" t="s">
        <v>17</v>
      </c>
      <c r="G49" s="7">
        <v>3567480</v>
      </c>
      <c r="H49" s="7">
        <v>2330</v>
      </c>
      <c r="I49" s="7">
        <v>92</v>
      </c>
      <c r="J49" s="7">
        <v>282</v>
      </c>
      <c r="K49" s="7" t="s">
        <v>18</v>
      </c>
      <c r="L49" s="8">
        <v>39987.315405092595</v>
      </c>
      <c r="M49" s="9" t="s">
        <v>19</v>
      </c>
      <c r="N49" s="9" t="s">
        <v>20</v>
      </c>
      <c r="O49" s="6" t="str">
        <f>HYPERLINK("https://pbs.twimg.com/profile_images/962471262747529216/Uo8lOkRJ_normal.jpg","View")</f>
        <v>View</v>
      </c>
      <c r="P49" s="7"/>
    </row>
    <row r="50" spans="1:16">
      <c r="A50" s="3">
        <v>43800.864398148144</v>
      </c>
      <c r="B50" s="4" t="str">
        <f>HYPERLINK("https://twitter.com/petrogustavo","@petrogustavo")</f>
        <v>@petrogustavo</v>
      </c>
      <c r="C50" s="5" t="s">
        <v>16</v>
      </c>
      <c r="D50" s="5" t="s">
        <v>82</v>
      </c>
      <c r="E50" s="6" t="str">
        <f>HYPERLINK("https://twitter.com/petrogustavo/status/1201157688488529926","1201157688488529926")</f>
        <v>1201157688488529926</v>
      </c>
      <c r="F50" s="7" t="s">
        <v>17</v>
      </c>
      <c r="G50" s="7">
        <v>3567480</v>
      </c>
      <c r="H50" s="7">
        <v>2330</v>
      </c>
      <c r="I50" s="7">
        <v>11</v>
      </c>
      <c r="J50" s="7">
        <v>43</v>
      </c>
      <c r="K50" s="7" t="s">
        <v>18</v>
      </c>
      <c r="L50" s="8">
        <v>39987.315405092595</v>
      </c>
      <c r="M50" s="9" t="s">
        <v>19</v>
      </c>
      <c r="N50" s="9" t="s">
        <v>20</v>
      </c>
      <c r="O50" s="6" t="str">
        <f>HYPERLINK("https://pbs.twimg.com/profile_images/962471262747529216/Uo8lOkRJ_normal.jpg","View")</f>
        <v>View</v>
      </c>
      <c r="P50" s="7"/>
    </row>
    <row r="51" spans="1:16">
      <c r="A51" s="3">
        <v>43800.864444444444</v>
      </c>
      <c r="B51" s="4" t="str">
        <f>HYPERLINK("https://twitter.com/petrogustavo","@petrogustavo")</f>
        <v>@petrogustavo</v>
      </c>
      <c r="C51" s="5" t="s">
        <v>16</v>
      </c>
      <c r="D51" s="5" t="s">
        <v>83</v>
      </c>
      <c r="E51" s="6" t="str">
        <f>HYPERLINK("https://twitter.com/petrogustavo/status/1201157709028110336","1201157709028110336")</f>
        <v>1201157709028110336</v>
      </c>
      <c r="F51" s="7" t="s">
        <v>17</v>
      </c>
      <c r="G51" s="7">
        <v>3567480</v>
      </c>
      <c r="H51" s="7">
        <v>2330</v>
      </c>
      <c r="I51" s="7">
        <v>195</v>
      </c>
      <c r="J51" s="7">
        <v>0</v>
      </c>
      <c r="K51" s="7" t="s">
        <v>18</v>
      </c>
      <c r="L51" s="8">
        <v>39987.315405092595</v>
      </c>
      <c r="M51" s="9" t="s">
        <v>19</v>
      </c>
      <c r="N51" s="9" t="s">
        <v>20</v>
      </c>
      <c r="O51" s="6" t="str">
        <f>HYPERLINK("https://pbs.twimg.com/profile_images/962471262747529216/Uo8lOkRJ_normal.jpg","View")</f>
        <v>View</v>
      </c>
      <c r="P51" s="7"/>
    </row>
    <row r="52" spans="1:16">
      <c r="A52" s="3">
        <v>43800.866516203707</v>
      </c>
      <c r="B52" s="4" t="str">
        <f>HYPERLINK("https://twitter.com/petrogustavo","@petrogustavo")</f>
        <v>@petrogustavo</v>
      </c>
      <c r="C52" s="5" t="s">
        <v>16</v>
      </c>
      <c r="D52" s="5" t="s">
        <v>84</v>
      </c>
      <c r="E52" s="6" t="str">
        <f>HYPERLINK("https://twitter.com/petrogustavo/status/1201158458407620608","1201158458407620608")</f>
        <v>1201158458407620608</v>
      </c>
      <c r="F52" s="7" t="s">
        <v>17</v>
      </c>
      <c r="G52" s="7">
        <v>3567509</v>
      </c>
      <c r="H52" s="7">
        <v>2330</v>
      </c>
      <c r="I52" s="7">
        <v>170</v>
      </c>
      <c r="J52" s="7">
        <v>603</v>
      </c>
      <c r="K52" s="7" t="s">
        <v>18</v>
      </c>
      <c r="L52" s="8">
        <v>39987.315405092595</v>
      </c>
      <c r="M52" s="9" t="s">
        <v>19</v>
      </c>
      <c r="N52" s="9" t="s">
        <v>20</v>
      </c>
      <c r="O52" s="6" t="str">
        <f>HYPERLINK("https://pbs.twimg.com/profile_images/962471262747529216/Uo8lOkRJ_normal.jpg","View")</f>
        <v>View</v>
      </c>
      <c r="P52" s="7"/>
    </row>
    <row r="53" spans="1:16">
      <c r="A53" s="3">
        <v>43800.867476851854</v>
      </c>
      <c r="B53" s="4" t="str">
        <f>HYPERLINK("https://twitter.com/petrogustavo","@petrogustavo")</f>
        <v>@petrogustavo</v>
      </c>
      <c r="C53" s="5" t="s">
        <v>16</v>
      </c>
      <c r="D53" s="5" t="s">
        <v>85</v>
      </c>
      <c r="E53" s="6" t="str">
        <f>HYPERLINK("https://twitter.com/petrogustavo/status/1201158804282466305","1201158804282466305")</f>
        <v>1201158804282466305</v>
      </c>
      <c r="F53" s="7" t="s">
        <v>17</v>
      </c>
      <c r="G53" s="7">
        <v>3567509</v>
      </c>
      <c r="H53" s="7">
        <v>2330</v>
      </c>
      <c r="I53" s="7">
        <v>148</v>
      </c>
      <c r="J53" s="7">
        <v>417</v>
      </c>
      <c r="K53" s="7" t="s">
        <v>18</v>
      </c>
      <c r="L53" s="8">
        <v>39987.315405092595</v>
      </c>
      <c r="M53" s="9" t="s">
        <v>19</v>
      </c>
      <c r="N53" s="9" t="s">
        <v>20</v>
      </c>
      <c r="O53" s="6" t="str">
        <f>HYPERLINK("https://pbs.twimg.com/profile_images/962471262747529216/Uo8lOkRJ_normal.jpg","View")</f>
        <v>View</v>
      </c>
      <c r="P53" s="7"/>
    </row>
    <row r="54" spans="1:16">
      <c r="A54" s="3">
        <v>43800.871493055558</v>
      </c>
      <c r="B54" s="4" t="str">
        <f>HYPERLINK("https://twitter.com/petrogustavo","@petrogustavo")</f>
        <v>@petrogustavo</v>
      </c>
      <c r="C54" s="5" t="s">
        <v>16</v>
      </c>
      <c r="D54" s="5" t="s">
        <v>86</v>
      </c>
      <c r="E54" s="6" t="str">
        <f>HYPERLINK("https://twitter.com/petrogustavo/status/1201160262558142464","1201160262558142464")</f>
        <v>1201160262558142464</v>
      </c>
      <c r="F54" s="7" t="s">
        <v>17</v>
      </c>
      <c r="G54" s="7">
        <v>3567509</v>
      </c>
      <c r="H54" s="7">
        <v>2330</v>
      </c>
      <c r="I54" s="7">
        <v>197</v>
      </c>
      <c r="J54" s="7">
        <v>0</v>
      </c>
      <c r="K54" s="7" t="s">
        <v>18</v>
      </c>
      <c r="L54" s="8">
        <v>39987.315405092595</v>
      </c>
      <c r="M54" s="9" t="s">
        <v>19</v>
      </c>
      <c r="N54" s="9" t="s">
        <v>20</v>
      </c>
      <c r="O54" s="6" t="str">
        <f>HYPERLINK("https://pbs.twimg.com/profile_images/962471262747529216/Uo8lOkRJ_normal.jpg","View")</f>
        <v>View</v>
      </c>
      <c r="P54" s="7"/>
    </row>
    <row r="55" spans="1:16">
      <c r="A55" s="3">
        <v>43800.872337962966</v>
      </c>
      <c r="B55" s="4" t="str">
        <f>HYPERLINK("https://twitter.com/petrogustavo","@petrogustavo")</f>
        <v>@petrogustavo</v>
      </c>
      <c r="C55" s="5" t="s">
        <v>16</v>
      </c>
      <c r="D55" s="5" t="s">
        <v>87</v>
      </c>
      <c r="E55" s="6" t="str">
        <f>HYPERLINK("https://twitter.com/petrogustavo/status/1201160565726613505","1201160565726613505")</f>
        <v>1201160565726613505</v>
      </c>
      <c r="F55" s="7" t="s">
        <v>17</v>
      </c>
      <c r="G55" s="7">
        <v>3567509</v>
      </c>
      <c r="H55" s="7">
        <v>2330</v>
      </c>
      <c r="I55" s="7">
        <v>290</v>
      </c>
      <c r="J55" s="7">
        <v>0</v>
      </c>
      <c r="K55" s="7" t="s">
        <v>18</v>
      </c>
      <c r="L55" s="8">
        <v>39987.315405092595</v>
      </c>
      <c r="M55" s="9" t="s">
        <v>19</v>
      </c>
      <c r="N55" s="9" t="s">
        <v>20</v>
      </c>
      <c r="O55" s="6" t="str">
        <f>HYPERLINK("https://pbs.twimg.com/profile_images/962471262747529216/Uo8lOkRJ_normal.jpg","View")</f>
        <v>View</v>
      </c>
      <c r="P55" s="7"/>
    </row>
    <row r="56" spans="1:16">
      <c r="A56" s="3">
        <v>43800.892534722225</v>
      </c>
      <c r="B56" s="4" t="str">
        <f>HYPERLINK("https://twitter.com/petrogustavo","@petrogustavo")</f>
        <v>@petrogustavo</v>
      </c>
      <c r="C56" s="5" t="s">
        <v>16</v>
      </c>
      <c r="D56" s="5" t="s">
        <v>88</v>
      </c>
      <c r="E56" s="6" t="str">
        <f>HYPERLINK("https://twitter.com/petrogustavo/status/1201167885776904193","1201167885776904193")</f>
        <v>1201167885776904193</v>
      </c>
      <c r="F56" s="7" t="s">
        <v>17</v>
      </c>
      <c r="G56" s="7">
        <v>3567534</v>
      </c>
      <c r="H56" s="7">
        <v>2330</v>
      </c>
      <c r="I56" s="7">
        <v>118</v>
      </c>
      <c r="J56" s="7">
        <v>332</v>
      </c>
      <c r="K56" s="7" t="s">
        <v>18</v>
      </c>
      <c r="L56" s="8">
        <v>39987.315405092595</v>
      </c>
      <c r="M56" s="9" t="s">
        <v>19</v>
      </c>
      <c r="N56" s="9" t="s">
        <v>20</v>
      </c>
      <c r="O56" s="6" t="str">
        <f>HYPERLINK("https://pbs.twimg.com/profile_images/962471262747529216/Uo8lOkRJ_normal.jpg","View")</f>
        <v>View</v>
      </c>
      <c r="P56" s="7"/>
    </row>
    <row r="57" spans="1:16">
      <c r="A57" s="3">
        <v>43800.895879629628</v>
      </c>
      <c r="B57" s="4" t="str">
        <f>HYPERLINK("https://twitter.com/petrogustavo","@petrogustavo")</f>
        <v>@petrogustavo</v>
      </c>
      <c r="C57" s="5" t="s">
        <v>16</v>
      </c>
      <c r="D57" s="5" t="s">
        <v>89</v>
      </c>
      <c r="E57" s="6" t="str">
        <f>HYPERLINK("https://twitter.com/petrogustavo/status/1201169100581588993","1201169100581588993")</f>
        <v>1201169100581588993</v>
      </c>
      <c r="F57" s="7" t="s">
        <v>17</v>
      </c>
      <c r="G57" s="7">
        <v>3567534</v>
      </c>
      <c r="H57" s="7">
        <v>2330</v>
      </c>
      <c r="I57" s="7">
        <v>28</v>
      </c>
      <c r="J57" s="7">
        <v>97</v>
      </c>
      <c r="K57" s="7" t="s">
        <v>18</v>
      </c>
      <c r="L57" s="8">
        <v>39987.315405092595</v>
      </c>
      <c r="M57" s="9" t="s">
        <v>19</v>
      </c>
      <c r="N57" s="9" t="s">
        <v>20</v>
      </c>
      <c r="O57" s="6" t="str">
        <f>HYPERLINK("https://pbs.twimg.com/profile_images/962471262747529216/Uo8lOkRJ_normal.jpg","View")</f>
        <v>View</v>
      </c>
      <c r="P57" s="7"/>
    </row>
    <row r="58" spans="1:16">
      <c r="A58" s="3">
        <v>43800.897233796291</v>
      </c>
      <c r="B58" s="4" t="str">
        <f>HYPERLINK("https://twitter.com/petrogustavo","@petrogustavo")</f>
        <v>@petrogustavo</v>
      </c>
      <c r="C58" s="5" t="s">
        <v>16</v>
      </c>
      <c r="D58" s="5" t="s">
        <v>90</v>
      </c>
      <c r="E58" s="6" t="str">
        <f>HYPERLINK("https://twitter.com/petrogustavo/status/1201169588479832064","1201169588479832064")</f>
        <v>1201169588479832064</v>
      </c>
      <c r="F58" s="7" t="s">
        <v>17</v>
      </c>
      <c r="G58" s="7">
        <v>3567534</v>
      </c>
      <c r="H58" s="7">
        <v>2330</v>
      </c>
      <c r="I58" s="7">
        <v>20</v>
      </c>
      <c r="J58" s="7">
        <v>72</v>
      </c>
      <c r="K58" s="7" t="s">
        <v>18</v>
      </c>
      <c r="L58" s="8">
        <v>39987.315405092595</v>
      </c>
      <c r="M58" s="9" t="s">
        <v>19</v>
      </c>
      <c r="N58" s="9" t="s">
        <v>20</v>
      </c>
      <c r="O58" s="6" t="str">
        <f>HYPERLINK("https://pbs.twimg.com/profile_images/962471262747529216/Uo8lOkRJ_normal.jpg","View")</f>
        <v>View</v>
      </c>
      <c r="P58" s="7"/>
    </row>
    <row r="59" spans="1:16">
      <c r="A59" s="3">
        <v>43800.96912037037</v>
      </c>
      <c r="B59" s="4" t="str">
        <f>HYPERLINK("https://twitter.com/petrogustavo","@petrogustavo")</f>
        <v>@petrogustavo</v>
      </c>
      <c r="C59" s="5" t="s">
        <v>16</v>
      </c>
      <c r="D59" s="5" t="s">
        <v>91</v>
      </c>
      <c r="E59" s="6" t="str">
        <f>HYPERLINK("https://twitter.com/petrogustavo/status/1201195640522526726","1201195640522526726")</f>
        <v>1201195640522526726</v>
      </c>
      <c r="F59" s="7" t="s">
        <v>17</v>
      </c>
      <c r="G59" s="7">
        <v>3567608</v>
      </c>
      <c r="H59" s="7">
        <v>2330</v>
      </c>
      <c r="I59" s="7">
        <v>295</v>
      </c>
      <c r="J59" s="7">
        <v>0</v>
      </c>
      <c r="K59" s="7" t="s">
        <v>18</v>
      </c>
      <c r="L59" s="8">
        <v>39987.315405092595</v>
      </c>
      <c r="M59" s="9" t="s">
        <v>19</v>
      </c>
      <c r="N59" s="9" t="s">
        <v>20</v>
      </c>
      <c r="O59" s="6" t="str">
        <f>HYPERLINK("https://pbs.twimg.com/profile_images/962471262747529216/Uo8lOkRJ_normal.jpg","View")</f>
        <v>View</v>
      </c>
      <c r="P59" s="7"/>
    </row>
    <row r="60" spans="1:16">
      <c r="A60" s="3">
        <v>43800.969293981485</v>
      </c>
      <c r="B60" s="4" t="str">
        <f>HYPERLINK("https://twitter.com/petrogustavo","@petrogustavo")</f>
        <v>@petrogustavo</v>
      </c>
      <c r="C60" s="5" t="s">
        <v>16</v>
      </c>
      <c r="D60" s="5" t="s">
        <v>92</v>
      </c>
      <c r="E60" s="6" t="str">
        <f>HYPERLINK("https://twitter.com/petrogustavo/status/1201195704842149895","1201195704842149895")</f>
        <v>1201195704842149895</v>
      </c>
      <c r="F60" s="7" t="s">
        <v>17</v>
      </c>
      <c r="G60" s="7">
        <v>3567608</v>
      </c>
      <c r="H60" s="7">
        <v>2330</v>
      </c>
      <c r="I60" s="7">
        <v>7</v>
      </c>
      <c r="J60" s="7">
        <v>0</v>
      </c>
      <c r="K60" s="7" t="s">
        <v>18</v>
      </c>
      <c r="L60" s="8">
        <v>39987.315405092595</v>
      </c>
      <c r="M60" s="9" t="s">
        <v>19</v>
      </c>
      <c r="N60" s="9" t="s">
        <v>20</v>
      </c>
      <c r="O60" s="6" t="str">
        <f>HYPERLINK("https://pbs.twimg.com/profile_images/962471262747529216/Uo8lOkRJ_normal.jpg","View")</f>
        <v>View</v>
      </c>
      <c r="P60" s="7"/>
    </row>
    <row r="61" spans="1:16">
      <c r="A61" s="3">
        <v>43800.969837962963</v>
      </c>
      <c r="B61" s="4" t="str">
        <f>HYPERLINK("https://twitter.com/petrogustavo","@petrogustavo")</f>
        <v>@petrogustavo</v>
      </c>
      <c r="C61" s="5" t="s">
        <v>16</v>
      </c>
      <c r="D61" s="5" t="s">
        <v>93</v>
      </c>
      <c r="E61" s="6" t="str">
        <f>HYPERLINK("https://twitter.com/petrogustavo/status/1201195900049219584","1201195900049219584")</f>
        <v>1201195900049219584</v>
      </c>
      <c r="F61" s="7" t="s">
        <v>17</v>
      </c>
      <c r="G61" s="7">
        <v>3567608</v>
      </c>
      <c r="H61" s="7">
        <v>2330</v>
      </c>
      <c r="I61" s="7">
        <v>31</v>
      </c>
      <c r="J61" s="7">
        <v>0</v>
      </c>
      <c r="K61" s="7" t="s">
        <v>18</v>
      </c>
      <c r="L61" s="8">
        <v>39987.315405092595</v>
      </c>
      <c r="M61" s="9" t="s">
        <v>19</v>
      </c>
      <c r="N61" s="9" t="s">
        <v>20</v>
      </c>
      <c r="O61" s="6" t="str">
        <f>HYPERLINK("https://pbs.twimg.com/profile_images/962471262747529216/Uo8lOkRJ_normal.jpg","View")</f>
        <v>View</v>
      </c>
      <c r="P61" s="7"/>
    </row>
    <row r="62" spans="1:16">
      <c r="A62" s="3">
        <v>43800.974444444444</v>
      </c>
      <c r="B62" s="4" t="str">
        <f>HYPERLINK("https://twitter.com/petrogustavo","@petrogustavo")</f>
        <v>@petrogustavo</v>
      </c>
      <c r="C62" s="5" t="s">
        <v>16</v>
      </c>
      <c r="D62" s="5" t="s">
        <v>87</v>
      </c>
      <c r="E62" s="6" t="str">
        <f>HYPERLINK("https://twitter.com/petrogustavo/status/1201197568228757506","1201197568228757506")</f>
        <v>1201197568228757506</v>
      </c>
      <c r="F62" s="7" t="s">
        <v>17</v>
      </c>
      <c r="G62" s="7">
        <v>3567646</v>
      </c>
      <c r="H62" s="7">
        <v>2330</v>
      </c>
      <c r="I62" s="7">
        <v>797</v>
      </c>
      <c r="J62" s="7">
        <v>0</v>
      </c>
      <c r="K62" s="7" t="s">
        <v>18</v>
      </c>
      <c r="L62" s="8">
        <v>39987.315405092595</v>
      </c>
      <c r="M62" s="9" t="s">
        <v>19</v>
      </c>
      <c r="N62" s="9" t="s">
        <v>20</v>
      </c>
      <c r="O62" s="6" t="str">
        <f>HYPERLINK("https://pbs.twimg.com/profile_images/962471262747529216/Uo8lOkRJ_normal.jpg","View")</f>
        <v>View</v>
      </c>
      <c r="P62" s="7"/>
    </row>
    <row r="63" spans="1:16">
      <c r="A63" s="3">
        <v>43800.974872685183</v>
      </c>
      <c r="B63" s="4" t="str">
        <f>HYPERLINK("https://twitter.com/petrogustavo","@petrogustavo")</f>
        <v>@petrogustavo</v>
      </c>
      <c r="C63" s="5" t="s">
        <v>16</v>
      </c>
      <c r="D63" s="5" t="s">
        <v>75</v>
      </c>
      <c r="E63" s="6" t="str">
        <f>HYPERLINK("https://twitter.com/petrogustavo/status/1201197724063977472","1201197724063977472")</f>
        <v>1201197724063977472</v>
      </c>
      <c r="F63" s="7" t="s">
        <v>17</v>
      </c>
      <c r="G63" s="7">
        <v>3567646</v>
      </c>
      <c r="H63" s="7">
        <v>2330</v>
      </c>
      <c r="I63" s="7">
        <v>320</v>
      </c>
      <c r="J63" s="7">
        <v>0</v>
      </c>
      <c r="K63" s="7" t="s">
        <v>18</v>
      </c>
      <c r="L63" s="8">
        <v>39987.315405092595</v>
      </c>
      <c r="M63" s="9" t="s">
        <v>19</v>
      </c>
      <c r="N63" s="9" t="s">
        <v>20</v>
      </c>
      <c r="O63" s="6" t="str">
        <f>HYPERLINK("https://pbs.twimg.com/profile_images/962471262747529216/Uo8lOkRJ_normal.jpg","View")</f>
        <v>View</v>
      </c>
      <c r="P63" s="7"/>
    </row>
    <row r="64" spans="1:16">
      <c r="A64" s="3">
        <v>43801.016527777778</v>
      </c>
      <c r="B64" s="4" t="str">
        <f>HYPERLINK("https://twitter.com/petrogustavo","@petrogustavo")</f>
        <v>@petrogustavo</v>
      </c>
      <c r="C64" s="5" t="s">
        <v>16</v>
      </c>
      <c r="D64" s="5" t="s">
        <v>94</v>
      </c>
      <c r="E64" s="6" t="str">
        <f>HYPERLINK("https://twitter.com/petrogustavo/status/1201212819506642944","1201212819506642944")</f>
        <v>1201212819506642944</v>
      </c>
      <c r="F64" s="7" t="s">
        <v>17</v>
      </c>
      <c r="G64" s="7">
        <v>3567730</v>
      </c>
      <c r="H64" s="7">
        <v>2330</v>
      </c>
      <c r="I64" s="7">
        <v>134</v>
      </c>
      <c r="J64" s="7">
        <v>325</v>
      </c>
      <c r="K64" s="7" t="s">
        <v>18</v>
      </c>
      <c r="L64" s="8">
        <v>39987.315405092595</v>
      </c>
      <c r="M64" s="9" t="s">
        <v>19</v>
      </c>
      <c r="N64" s="9" t="s">
        <v>20</v>
      </c>
      <c r="O64" s="6" t="str">
        <f>HYPERLINK("https://pbs.twimg.com/profile_images/962471262747529216/Uo8lOkRJ_normal.jpg","View")</f>
        <v>View</v>
      </c>
      <c r="P64" s="7"/>
    </row>
    <row r="65" spans="1:16">
      <c r="A65" s="3">
        <v>43801.040277777778</v>
      </c>
      <c r="B65" s="4" t="str">
        <f>HYPERLINK("https://twitter.com/petrogustavo","@petrogustavo")</f>
        <v>@petrogustavo</v>
      </c>
      <c r="C65" s="5" t="s">
        <v>16</v>
      </c>
      <c r="D65" s="5" t="s">
        <v>95</v>
      </c>
      <c r="E65" s="6" t="str">
        <f>HYPERLINK("https://twitter.com/petrogustavo/status/1201221427992633345","1201221427992633345")</f>
        <v>1201221427992633345</v>
      </c>
      <c r="F65" s="7" t="s">
        <v>17</v>
      </c>
      <c r="G65" s="7">
        <v>3567763</v>
      </c>
      <c r="H65" s="7">
        <v>2330</v>
      </c>
      <c r="I65" s="7">
        <v>77</v>
      </c>
      <c r="J65" s="7">
        <v>282</v>
      </c>
      <c r="K65" s="7" t="s">
        <v>18</v>
      </c>
      <c r="L65" s="8">
        <v>39987.315405092595</v>
      </c>
      <c r="M65" s="9" t="s">
        <v>19</v>
      </c>
      <c r="N65" s="9" t="s">
        <v>20</v>
      </c>
      <c r="O65" s="6" t="str">
        <f>HYPERLINK("https://pbs.twimg.com/profile_images/962471262747529216/Uo8lOkRJ_normal.jpg","View")</f>
        <v>View</v>
      </c>
      <c r="P65" s="7"/>
    </row>
    <row r="66" spans="1:16">
      <c r="A66" s="3">
        <v>43801.04184027778</v>
      </c>
      <c r="B66" s="4" t="str">
        <f>HYPERLINK("https://twitter.com/petrogustavo","@petrogustavo")</f>
        <v>@petrogustavo</v>
      </c>
      <c r="C66" s="5" t="s">
        <v>16</v>
      </c>
      <c r="D66" s="5" t="s">
        <v>96</v>
      </c>
      <c r="E66" s="6" t="str">
        <f>HYPERLINK("https://twitter.com/petrogustavo/status/1201221991635836928","1201221991635836928")</f>
        <v>1201221991635836928</v>
      </c>
      <c r="F66" s="7" t="s">
        <v>17</v>
      </c>
      <c r="G66" s="7">
        <v>3567763</v>
      </c>
      <c r="H66" s="7">
        <v>2330</v>
      </c>
      <c r="I66" s="7">
        <v>381</v>
      </c>
      <c r="J66" s="7">
        <v>0</v>
      </c>
      <c r="K66" s="7" t="s">
        <v>18</v>
      </c>
      <c r="L66" s="8">
        <v>39987.315405092595</v>
      </c>
      <c r="M66" s="9" t="s">
        <v>19</v>
      </c>
      <c r="N66" s="9" t="s">
        <v>20</v>
      </c>
      <c r="O66" s="6" t="str">
        <f>HYPERLINK("https://pbs.twimg.com/profile_images/962471262747529216/Uo8lOkRJ_normal.jpg","View")</f>
        <v>View</v>
      </c>
      <c r="P66" s="7"/>
    </row>
    <row r="67" spans="1:16">
      <c r="A67" s="3">
        <v>43801.041944444441</v>
      </c>
      <c r="B67" s="4" t="str">
        <f>HYPERLINK("https://twitter.com/petrogustavo","@petrogustavo")</f>
        <v>@petrogustavo</v>
      </c>
      <c r="C67" s="5" t="s">
        <v>16</v>
      </c>
      <c r="D67" s="5" t="s">
        <v>97</v>
      </c>
      <c r="E67" s="6" t="str">
        <f>HYPERLINK("https://twitter.com/petrogustavo/status/1201222030328246276","1201222030328246276")</f>
        <v>1201222030328246276</v>
      </c>
      <c r="F67" s="7" t="s">
        <v>17</v>
      </c>
      <c r="G67" s="7">
        <v>3567763</v>
      </c>
      <c r="H67" s="7">
        <v>2330</v>
      </c>
      <c r="I67" s="7">
        <v>61</v>
      </c>
      <c r="J67" s="7">
        <v>0</v>
      </c>
      <c r="K67" s="7" t="s">
        <v>18</v>
      </c>
      <c r="L67" s="8">
        <v>39987.315405092595</v>
      </c>
      <c r="M67" s="9" t="s">
        <v>19</v>
      </c>
      <c r="N67" s="9" t="s">
        <v>20</v>
      </c>
      <c r="O67" s="6" t="str">
        <f>HYPERLINK("https://pbs.twimg.com/profile_images/962471262747529216/Uo8lOkRJ_normal.jpg","View")</f>
        <v>View</v>
      </c>
      <c r="P67" s="7"/>
    </row>
    <row r="68" spans="1:16">
      <c r="A68" s="3">
        <v>43801.043587962966</v>
      </c>
      <c r="B68" s="4" t="str">
        <f>HYPERLINK("https://twitter.com/petrogustavo","@petrogustavo")</f>
        <v>@petrogustavo</v>
      </c>
      <c r="C68" s="5" t="s">
        <v>16</v>
      </c>
      <c r="D68" s="5" t="s">
        <v>98</v>
      </c>
      <c r="E68" s="6" t="str">
        <f>HYPERLINK("https://twitter.com/petrogustavo/status/1201222626552758276","1201222626552758276")</f>
        <v>1201222626552758276</v>
      </c>
      <c r="F68" s="7" t="s">
        <v>17</v>
      </c>
      <c r="G68" s="7">
        <v>3567763</v>
      </c>
      <c r="H68" s="7">
        <v>2330</v>
      </c>
      <c r="I68" s="7">
        <v>100</v>
      </c>
      <c r="J68" s="7">
        <v>104</v>
      </c>
      <c r="K68" s="7" t="s">
        <v>18</v>
      </c>
      <c r="L68" s="8">
        <v>39987.315405092595</v>
      </c>
      <c r="M68" s="9" t="s">
        <v>19</v>
      </c>
      <c r="N68" s="9" t="s">
        <v>20</v>
      </c>
      <c r="O68" s="6" t="str">
        <f>HYPERLINK("https://pbs.twimg.com/profile_images/962471262747529216/Uo8lOkRJ_normal.jpg","View")</f>
        <v>View</v>
      </c>
      <c r="P68" s="7"/>
    </row>
    <row r="69" spans="1:16">
      <c r="A69" s="3">
        <v>43801.076828703706</v>
      </c>
      <c r="B69" s="4" t="str">
        <f>HYPERLINK("https://twitter.com/petrogustavo","@petrogustavo")</f>
        <v>@petrogustavo</v>
      </c>
      <c r="C69" s="5" t="s">
        <v>16</v>
      </c>
      <c r="D69" s="5" t="s">
        <v>99</v>
      </c>
      <c r="E69" s="6" t="str">
        <f>HYPERLINK("https://twitter.com/petrogustavo/status/1201234670911922177","1201234670911922177")</f>
        <v>1201234670911922177</v>
      </c>
      <c r="F69" s="7" t="s">
        <v>17</v>
      </c>
      <c r="G69" s="7">
        <v>3567811</v>
      </c>
      <c r="H69" s="7">
        <v>2330</v>
      </c>
      <c r="I69" s="7">
        <v>38</v>
      </c>
      <c r="J69" s="7">
        <v>0</v>
      </c>
      <c r="K69" s="7" t="s">
        <v>18</v>
      </c>
      <c r="L69" s="8">
        <v>39987.315405092595</v>
      </c>
      <c r="M69" s="9" t="s">
        <v>19</v>
      </c>
      <c r="N69" s="9" t="s">
        <v>20</v>
      </c>
      <c r="O69" s="6" t="str">
        <f>HYPERLINK("https://pbs.twimg.com/profile_images/962471262747529216/Uo8lOkRJ_normal.jpg","View")</f>
        <v>View</v>
      </c>
      <c r="P69" s="7"/>
    </row>
    <row r="70" spans="1:16">
      <c r="A70" s="3">
        <v>43801.077743055561</v>
      </c>
      <c r="B70" s="4" t="str">
        <f>HYPERLINK("https://twitter.com/petrogustavo","@petrogustavo")</f>
        <v>@petrogustavo</v>
      </c>
      <c r="C70" s="5" t="s">
        <v>16</v>
      </c>
      <c r="D70" s="5" t="s">
        <v>100</v>
      </c>
      <c r="E70" s="6" t="str">
        <f>HYPERLINK("https://twitter.com/petrogustavo/status/1201235004803682306","1201235004803682306")</f>
        <v>1201235004803682306</v>
      </c>
      <c r="F70" s="7" t="s">
        <v>17</v>
      </c>
      <c r="G70" s="7">
        <v>3567811</v>
      </c>
      <c r="H70" s="7">
        <v>2330</v>
      </c>
      <c r="I70" s="7">
        <v>129</v>
      </c>
      <c r="J70" s="7">
        <v>0</v>
      </c>
      <c r="K70" s="7" t="s">
        <v>18</v>
      </c>
      <c r="L70" s="8">
        <v>39987.315405092595</v>
      </c>
      <c r="M70" s="9" t="s">
        <v>19</v>
      </c>
      <c r="N70" s="9" t="s">
        <v>20</v>
      </c>
      <c r="O70" s="6" t="str">
        <f>HYPERLINK("https://pbs.twimg.com/profile_images/962471262747529216/Uo8lOkRJ_normal.jpg","View")</f>
        <v>View</v>
      </c>
      <c r="P70" s="7"/>
    </row>
    <row r="71" spans="1:16">
      <c r="A71" s="3">
        <v>43801.079050925924</v>
      </c>
      <c r="B71" s="4" t="str">
        <f>HYPERLINK("https://twitter.com/petrogustavo","@petrogustavo")</f>
        <v>@petrogustavo</v>
      </c>
      <c r="C71" s="5" t="s">
        <v>16</v>
      </c>
      <c r="D71" s="5" t="s">
        <v>101</v>
      </c>
      <c r="E71" s="6" t="str">
        <f>HYPERLINK("https://twitter.com/petrogustavo/status/1201235479208824832","1201235479208824832")</f>
        <v>1201235479208824832</v>
      </c>
      <c r="F71" s="7" t="s">
        <v>17</v>
      </c>
      <c r="G71" s="7">
        <v>3567811</v>
      </c>
      <c r="H71" s="7">
        <v>2330</v>
      </c>
      <c r="I71" s="7">
        <v>287</v>
      </c>
      <c r="J71" s="7">
        <v>0</v>
      </c>
      <c r="K71" s="7" t="s">
        <v>18</v>
      </c>
      <c r="L71" s="8">
        <v>39987.315405092595</v>
      </c>
      <c r="M71" s="9" t="s">
        <v>19</v>
      </c>
      <c r="N71" s="9" t="s">
        <v>20</v>
      </c>
      <c r="O71" s="6" t="str">
        <f>HYPERLINK("https://pbs.twimg.com/profile_images/962471262747529216/Uo8lOkRJ_normal.jpg","View")</f>
        <v>View</v>
      </c>
      <c r="P71" s="7"/>
    </row>
    <row r="72" spans="1:16">
      <c r="A72" s="3">
        <v>43801.079201388886</v>
      </c>
      <c r="B72" s="4" t="str">
        <f>HYPERLINK("https://twitter.com/petrogustavo","@petrogustavo")</f>
        <v>@petrogustavo</v>
      </c>
      <c r="C72" s="5" t="s">
        <v>16</v>
      </c>
      <c r="D72" s="5" t="s">
        <v>102</v>
      </c>
      <c r="E72" s="6" t="str">
        <f>HYPERLINK("https://twitter.com/petrogustavo/status/1201235532736540678","1201235532736540678")</f>
        <v>1201235532736540678</v>
      </c>
      <c r="F72" s="7" t="s">
        <v>17</v>
      </c>
      <c r="G72" s="7">
        <v>3567811</v>
      </c>
      <c r="H72" s="7">
        <v>2330</v>
      </c>
      <c r="I72" s="7">
        <v>92</v>
      </c>
      <c r="J72" s="7">
        <v>0</v>
      </c>
      <c r="K72" s="7" t="s">
        <v>18</v>
      </c>
      <c r="L72" s="8">
        <v>39987.315405092595</v>
      </c>
      <c r="M72" s="9" t="s">
        <v>19</v>
      </c>
      <c r="N72" s="9" t="s">
        <v>20</v>
      </c>
      <c r="O72" s="6" t="str">
        <f>HYPERLINK("https://pbs.twimg.com/profile_images/962471262747529216/Uo8lOkRJ_normal.jpg","View")</f>
        <v>View</v>
      </c>
      <c r="P72" s="7"/>
    </row>
    <row r="73" spans="1:16">
      <c r="A73" s="3">
        <v>43801.080787037034</v>
      </c>
      <c r="B73" s="4" t="str">
        <f>HYPERLINK("https://twitter.com/petrogustavo","@petrogustavo")</f>
        <v>@petrogustavo</v>
      </c>
      <c r="C73" s="5" t="s">
        <v>16</v>
      </c>
      <c r="D73" s="5" t="s">
        <v>103</v>
      </c>
      <c r="E73" s="6" t="str">
        <f>HYPERLINK("https://twitter.com/petrogustavo/status/1201236107469430784","1201236107469430784")</f>
        <v>1201236107469430784</v>
      </c>
      <c r="F73" s="7" t="s">
        <v>17</v>
      </c>
      <c r="G73" s="7">
        <v>3567811</v>
      </c>
      <c r="H73" s="7">
        <v>2330</v>
      </c>
      <c r="I73" s="7">
        <v>276</v>
      </c>
      <c r="J73" s="7">
        <v>0</v>
      </c>
      <c r="K73" s="7" t="s">
        <v>18</v>
      </c>
      <c r="L73" s="8">
        <v>39987.315405092595</v>
      </c>
      <c r="M73" s="9" t="s">
        <v>19</v>
      </c>
      <c r="N73" s="9" t="s">
        <v>20</v>
      </c>
      <c r="O73" s="6" t="str">
        <f>HYPERLINK("https://pbs.twimg.com/profile_images/962471262747529216/Uo8lOkRJ_normal.jpg","View")</f>
        <v>View</v>
      </c>
      <c r="P73" s="7"/>
    </row>
    <row r="74" spans="1:16">
      <c r="A74" s="3">
        <v>43801.087395833332</v>
      </c>
      <c r="B74" s="4" t="str">
        <f>HYPERLINK("https://twitter.com/petrogustavo","@petrogustavo")</f>
        <v>@petrogustavo</v>
      </c>
      <c r="C74" s="5" t="s">
        <v>16</v>
      </c>
      <c r="D74" s="5" t="s">
        <v>104</v>
      </c>
      <c r="E74" s="6" t="str">
        <f>HYPERLINK("https://twitter.com/petrogustavo/status/1201238500403810306","1201238500403810306")</f>
        <v>1201238500403810306</v>
      </c>
      <c r="F74" s="7" t="s">
        <v>17</v>
      </c>
      <c r="G74" s="7">
        <v>3567811</v>
      </c>
      <c r="H74" s="7">
        <v>2330</v>
      </c>
      <c r="I74" s="7">
        <v>54</v>
      </c>
      <c r="J74" s="7">
        <v>186</v>
      </c>
      <c r="K74" s="7" t="s">
        <v>18</v>
      </c>
      <c r="L74" s="8">
        <v>39987.315405092595</v>
      </c>
      <c r="M74" s="9" t="s">
        <v>19</v>
      </c>
      <c r="N74" s="9" t="s">
        <v>20</v>
      </c>
      <c r="O74" s="6" t="str">
        <f>HYPERLINK("https://pbs.twimg.com/profile_images/962471262747529216/Uo8lOkRJ_normal.jpg","View")</f>
        <v>View</v>
      </c>
      <c r="P74" s="7"/>
    </row>
    <row r="75" spans="1:16">
      <c r="A75" s="3">
        <v>43801.089479166665</v>
      </c>
      <c r="B75" s="4" t="str">
        <f>HYPERLINK("https://twitter.com/petrogustavo","@petrogustavo")</f>
        <v>@petrogustavo</v>
      </c>
      <c r="C75" s="5" t="s">
        <v>16</v>
      </c>
      <c r="D75" s="5" t="s">
        <v>105</v>
      </c>
      <c r="E75" s="6" t="str">
        <f>HYPERLINK("https://twitter.com/petrogustavo/status/1201239255655354369","1201239255655354369")</f>
        <v>1201239255655354369</v>
      </c>
      <c r="F75" s="7" t="s">
        <v>17</v>
      </c>
      <c r="G75" s="7">
        <v>3567811</v>
      </c>
      <c r="H75" s="7">
        <v>2330</v>
      </c>
      <c r="I75" s="7">
        <v>57</v>
      </c>
      <c r="J75" s="7">
        <v>115</v>
      </c>
      <c r="K75" s="7" t="s">
        <v>18</v>
      </c>
      <c r="L75" s="8">
        <v>39987.315405092595</v>
      </c>
      <c r="M75" s="9" t="s">
        <v>19</v>
      </c>
      <c r="N75" s="9" t="s">
        <v>20</v>
      </c>
      <c r="O75" s="6" t="str">
        <f>HYPERLINK("https://pbs.twimg.com/profile_images/962471262747529216/Uo8lOkRJ_normal.jpg","View")</f>
        <v>View</v>
      </c>
      <c r="P75" s="7"/>
    </row>
    <row r="76" spans="1:16">
      <c r="A76" s="3">
        <v>43801.09002314815</v>
      </c>
      <c r="B76" s="4" t="str">
        <f>HYPERLINK("https://twitter.com/petrogustavo","@petrogustavo")</f>
        <v>@petrogustavo</v>
      </c>
      <c r="C76" s="5" t="s">
        <v>16</v>
      </c>
      <c r="D76" s="5" t="s">
        <v>106</v>
      </c>
      <c r="E76" s="6" t="str">
        <f>HYPERLINK("https://twitter.com/petrogustavo/status/1201239452208836608","1201239452208836608")</f>
        <v>1201239452208836608</v>
      </c>
      <c r="F76" s="7" t="s">
        <v>17</v>
      </c>
      <c r="G76" s="7">
        <v>3567811</v>
      </c>
      <c r="H76" s="7">
        <v>2330</v>
      </c>
      <c r="I76" s="7">
        <v>33</v>
      </c>
      <c r="J76" s="7">
        <v>0</v>
      </c>
      <c r="K76" s="7" t="s">
        <v>18</v>
      </c>
      <c r="L76" s="8">
        <v>39987.315405092595</v>
      </c>
      <c r="M76" s="9" t="s">
        <v>19</v>
      </c>
      <c r="N76" s="9" t="s">
        <v>20</v>
      </c>
      <c r="O76" s="6" t="str">
        <f>HYPERLINK("https://pbs.twimg.com/profile_images/962471262747529216/Uo8lOkRJ_normal.jpg","View")</f>
        <v>View</v>
      </c>
      <c r="P76" s="7"/>
    </row>
    <row r="77" spans="1:16">
      <c r="A77" s="3">
        <v>43801.090590277774</v>
      </c>
      <c r="B77" s="4" t="str">
        <f>HYPERLINK("https://twitter.com/petrogustavo","@petrogustavo")</f>
        <v>@petrogustavo</v>
      </c>
      <c r="C77" s="5" t="s">
        <v>16</v>
      </c>
      <c r="D77" s="5" t="s">
        <v>107</v>
      </c>
      <c r="E77" s="6" t="str">
        <f>HYPERLINK("https://twitter.com/petrogustavo/status/1201239660036534272","1201239660036534272")</f>
        <v>1201239660036534272</v>
      </c>
      <c r="F77" s="7" t="s">
        <v>17</v>
      </c>
      <c r="G77" s="7">
        <v>3567811</v>
      </c>
      <c r="H77" s="7">
        <v>2330</v>
      </c>
      <c r="I77" s="7">
        <v>2085</v>
      </c>
      <c r="J77" s="7">
        <v>0</v>
      </c>
      <c r="K77" s="7" t="s">
        <v>18</v>
      </c>
      <c r="L77" s="8">
        <v>39987.315405092595</v>
      </c>
      <c r="M77" s="9" t="s">
        <v>19</v>
      </c>
      <c r="N77" s="9" t="s">
        <v>20</v>
      </c>
      <c r="O77" s="6" t="str">
        <f>HYPERLINK("https://pbs.twimg.com/profile_images/962471262747529216/Uo8lOkRJ_normal.jpg","View")</f>
        <v>View</v>
      </c>
      <c r="P77" s="7"/>
    </row>
    <row r="78" spans="1:16">
      <c r="A78" s="3">
        <v>43801.090844907405</v>
      </c>
      <c r="B78" s="4" t="str">
        <f>HYPERLINK("https://twitter.com/petrogustavo","@petrogustavo")</f>
        <v>@petrogustavo</v>
      </c>
      <c r="C78" s="5" t="s">
        <v>16</v>
      </c>
      <c r="D78" s="5" t="s">
        <v>108</v>
      </c>
      <c r="E78" s="6" t="str">
        <f>HYPERLINK("https://twitter.com/petrogustavo/status/1201239753208795136","1201239753208795136")</f>
        <v>1201239753208795136</v>
      </c>
      <c r="F78" s="7" t="s">
        <v>17</v>
      </c>
      <c r="G78" s="7">
        <v>3567811</v>
      </c>
      <c r="H78" s="7">
        <v>2330</v>
      </c>
      <c r="I78" s="7">
        <v>145</v>
      </c>
      <c r="J78" s="7">
        <v>0</v>
      </c>
      <c r="K78" s="7" t="s">
        <v>18</v>
      </c>
      <c r="L78" s="8">
        <v>39987.315405092595</v>
      </c>
      <c r="M78" s="9" t="s">
        <v>19</v>
      </c>
      <c r="N78" s="9" t="s">
        <v>20</v>
      </c>
      <c r="O78" s="6" t="str">
        <f>HYPERLINK("https://pbs.twimg.com/profile_images/962471262747529216/Uo8lOkRJ_normal.jpg","View")</f>
        <v>View</v>
      </c>
      <c r="P78" s="7"/>
    </row>
    <row r="79" spans="1:16">
      <c r="A79" s="3">
        <v>43801.092986111107</v>
      </c>
      <c r="B79" s="4" t="str">
        <f>HYPERLINK("https://twitter.com/petrogustavo","@petrogustavo")</f>
        <v>@petrogustavo</v>
      </c>
      <c r="C79" s="5" t="s">
        <v>16</v>
      </c>
      <c r="D79" s="5" t="s">
        <v>109</v>
      </c>
      <c r="E79" s="6" t="str">
        <f>HYPERLINK("https://twitter.com/petrogustavo/status/1201240527330516993","1201240527330516993")</f>
        <v>1201240527330516993</v>
      </c>
      <c r="F79" s="7" t="s">
        <v>17</v>
      </c>
      <c r="G79" s="7">
        <v>3567811</v>
      </c>
      <c r="H79" s="7">
        <v>2330</v>
      </c>
      <c r="I79" s="7">
        <v>30</v>
      </c>
      <c r="J79" s="7">
        <v>136</v>
      </c>
      <c r="K79" s="7" t="s">
        <v>18</v>
      </c>
      <c r="L79" s="8">
        <v>39987.315405092595</v>
      </c>
      <c r="M79" s="9" t="s">
        <v>19</v>
      </c>
      <c r="N79" s="9" t="s">
        <v>20</v>
      </c>
      <c r="O79" s="6" t="str">
        <f>HYPERLINK("https://pbs.twimg.com/profile_images/962471262747529216/Uo8lOkRJ_normal.jpg","View")</f>
        <v>View</v>
      </c>
      <c r="P79" s="7"/>
    </row>
    <row r="80" spans="1:16">
      <c r="A80" s="3">
        <v>43801.099131944444</v>
      </c>
      <c r="B80" s="4" t="str">
        <f>HYPERLINK("https://twitter.com/petrogustavo","@petrogustavo")</f>
        <v>@petrogustavo</v>
      </c>
      <c r="C80" s="5" t="s">
        <v>16</v>
      </c>
      <c r="D80" s="5" t="s">
        <v>110</v>
      </c>
      <c r="E80" s="6" t="str">
        <f>HYPERLINK("https://twitter.com/petrogustavo/status/1201242755672002561","1201242755672002561")</f>
        <v>1201242755672002561</v>
      </c>
      <c r="F80" s="7" t="s">
        <v>17</v>
      </c>
      <c r="G80" s="7">
        <v>3567846</v>
      </c>
      <c r="H80" s="7">
        <v>2330</v>
      </c>
      <c r="I80" s="7">
        <v>73</v>
      </c>
      <c r="J80" s="7">
        <v>0</v>
      </c>
      <c r="K80" s="7" t="s">
        <v>18</v>
      </c>
      <c r="L80" s="8">
        <v>39987.315405092595</v>
      </c>
      <c r="M80" s="9" t="s">
        <v>19</v>
      </c>
      <c r="N80" s="9" t="s">
        <v>20</v>
      </c>
      <c r="O80" s="6" t="str">
        <f>HYPERLINK("https://pbs.twimg.com/profile_images/962471262747529216/Uo8lOkRJ_normal.jpg","View")</f>
        <v>View</v>
      </c>
      <c r="P80" s="7"/>
    </row>
    <row r="81" spans="1:16">
      <c r="A81" s="3">
        <v>43801.104444444441</v>
      </c>
      <c r="B81" s="4" t="str">
        <f>HYPERLINK("https://twitter.com/petrogustavo","@petrogustavo")</f>
        <v>@petrogustavo</v>
      </c>
      <c r="C81" s="5" t="s">
        <v>16</v>
      </c>
      <c r="D81" s="5" t="s">
        <v>111</v>
      </c>
      <c r="E81" s="6" t="str">
        <f>HYPERLINK("https://twitter.com/petrogustavo/status/1201244679536332802","1201244679536332802")</f>
        <v>1201244679536332802</v>
      </c>
      <c r="F81" s="7" t="s">
        <v>17</v>
      </c>
      <c r="G81" s="7">
        <v>3567846</v>
      </c>
      <c r="H81" s="7">
        <v>2330</v>
      </c>
      <c r="I81" s="7">
        <v>28</v>
      </c>
      <c r="J81" s="7">
        <v>105</v>
      </c>
      <c r="K81" s="7" t="s">
        <v>18</v>
      </c>
      <c r="L81" s="8">
        <v>39987.315405092595</v>
      </c>
      <c r="M81" s="9" t="s">
        <v>19</v>
      </c>
      <c r="N81" s="9" t="s">
        <v>20</v>
      </c>
      <c r="O81" s="6" t="str">
        <f>HYPERLINK("https://pbs.twimg.com/profile_images/962471262747529216/Uo8lOkRJ_normal.jpg","View")</f>
        <v>View</v>
      </c>
      <c r="P81" s="7"/>
    </row>
    <row r="82" spans="1:16">
      <c r="A82" s="3">
        <v>43801.111076388886</v>
      </c>
      <c r="B82" s="4" t="str">
        <f>HYPERLINK("https://twitter.com/petrogustavo","@petrogustavo")</f>
        <v>@petrogustavo</v>
      </c>
      <c r="C82" s="5" t="s">
        <v>16</v>
      </c>
      <c r="D82" s="5" t="s">
        <v>112</v>
      </c>
      <c r="E82" s="6" t="str">
        <f>HYPERLINK("https://twitter.com/petrogustavo/status/1201247084537696256","1201247084537696256")</f>
        <v>1201247084537696256</v>
      </c>
      <c r="F82" s="7" t="s">
        <v>17</v>
      </c>
      <c r="G82" s="7">
        <v>3567846</v>
      </c>
      <c r="H82" s="7">
        <v>2330</v>
      </c>
      <c r="I82" s="7">
        <v>48</v>
      </c>
      <c r="J82" s="7">
        <v>199</v>
      </c>
      <c r="K82" s="7" t="s">
        <v>18</v>
      </c>
      <c r="L82" s="8">
        <v>39987.315405092595</v>
      </c>
      <c r="M82" s="9" t="s">
        <v>19</v>
      </c>
      <c r="N82" s="9" t="s">
        <v>20</v>
      </c>
      <c r="O82" s="6" t="str">
        <f>HYPERLINK("https://pbs.twimg.com/profile_images/962471262747529216/Uo8lOkRJ_normal.jpg","View")</f>
        <v>View</v>
      </c>
      <c r="P82" s="7"/>
    </row>
    <row r="83" spans="1:16">
      <c r="A83" s="3">
        <v>43801.802534722221</v>
      </c>
      <c r="B83" s="4" t="str">
        <f>HYPERLINK("https://twitter.com/petrogustavo","@petrogustavo")</f>
        <v>@petrogustavo</v>
      </c>
      <c r="C83" s="5" t="s">
        <v>16</v>
      </c>
      <c r="D83" s="5" t="s">
        <v>113</v>
      </c>
      <c r="E83" s="6" t="str">
        <f>HYPERLINK("https://twitter.com/petrogustavo/status/1201497660689145857","1201497660689145857")</f>
        <v>1201497660689145857</v>
      </c>
      <c r="F83" s="7" t="s">
        <v>17</v>
      </c>
      <c r="G83" s="7">
        <v>3568594</v>
      </c>
      <c r="H83" s="7">
        <v>2330</v>
      </c>
      <c r="I83" s="7">
        <v>347</v>
      </c>
      <c r="J83" s="7">
        <v>0</v>
      </c>
      <c r="K83" s="7" t="s">
        <v>18</v>
      </c>
      <c r="L83" s="8">
        <v>39987.315405092595</v>
      </c>
      <c r="M83" s="9" t="s">
        <v>19</v>
      </c>
      <c r="N83" s="9" t="s">
        <v>20</v>
      </c>
      <c r="O83" s="6" t="str">
        <f>HYPERLINK("https://pbs.twimg.com/profile_images/962471262747529216/Uo8lOkRJ_normal.jpg","View")</f>
        <v>View</v>
      </c>
      <c r="P83" s="7"/>
    </row>
    <row r="84" spans="1:16">
      <c r="A84" s="3">
        <v>43801.80269675926</v>
      </c>
      <c r="B84" s="4" t="str">
        <f>HYPERLINK("https://twitter.com/petrogustavo","@petrogustavo")</f>
        <v>@petrogustavo</v>
      </c>
      <c r="C84" s="5" t="s">
        <v>16</v>
      </c>
      <c r="D84" s="5" t="s">
        <v>114</v>
      </c>
      <c r="E84" s="6" t="str">
        <f>HYPERLINK("https://twitter.com/petrogustavo/status/1201497718381785088","1201497718381785088")</f>
        <v>1201497718381785088</v>
      </c>
      <c r="F84" s="7" t="s">
        <v>17</v>
      </c>
      <c r="G84" s="7">
        <v>3568594</v>
      </c>
      <c r="H84" s="7">
        <v>2330</v>
      </c>
      <c r="I84" s="7">
        <v>1542</v>
      </c>
      <c r="J84" s="7">
        <v>0</v>
      </c>
      <c r="K84" s="7" t="s">
        <v>18</v>
      </c>
      <c r="L84" s="8">
        <v>39987.315405092595</v>
      </c>
      <c r="M84" s="9" t="s">
        <v>19</v>
      </c>
      <c r="N84" s="9" t="s">
        <v>20</v>
      </c>
      <c r="O84" s="6" t="str">
        <f>HYPERLINK("https://pbs.twimg.com/profile_images/962471262747529216/Uo8lOkRJ_normal.jpg","View")</f>
        <v>View</v>
      </c>
      <c r="P84" s="7"/>
    </row>
    <row r="85" spans="1:16">
      <c r="A85" s="3">
        <v>43801.804363425923</v>
      </c>
      <c r="B85" s="4" t="str">
        <f>HYPERLINK("https://twitter.com/petrogustavo","@petrogustavo")</f>
        <v>@petrogustavo</v>
      </c>
      <c r="C85" s="5" t="s">
        <v>16</v>
      </c>
      <c r="D85" s="5" t="s">
        <v>115</v>
      </c>
      <c r="E85" s="6" t="str">
        <f>HYPERLINK("https://twitter.com/petrogustavo/status/1201498324580388864","1201498324580388864")</f>
        <v>1201498324580388864</v>
      </c>
      <c r="F85" s="7" t="s">
        <v>17</v>
      </c>
      <c r="G85" s="7">
        <v>3568628</v>
      </c>
      <c r="H85" s="7">
        <v>2330</v>
      </c>
      <c r="I85" s="7">
        <v>169</v>
      </c>
      <c r="J85" s="7">
        <v>334</v>
      </c>
      <c r="K85" s="7" t="s">
        <v>18</v>
      </c>
      <c r="L85" s="8">
        <v>39987.315405092595</v>
      </c>
      <c r="M85" s="9" t="s">
        <v>19</v>
      </c>
      <c r="N85" s="9" t="s">
        <v>20</v>
      </c>
      <c r="O85" s="6" t="str">
        <f>HYPERLINK("https://pbs.twimg.com/profile_images/962471262747529216/Uo8lOkRJ_normal.jpg","View")</f>
        <v>View</v>
      </c>
      <c r="P85" s="7"/>
    </row>
    <row r="86" spans="1:16">
      <c r="A86" s="3">
        <v>43801.804641203707</v>
      </c>
      <c r="B86" s="4" t="str">
        <f>HYPERLINK("https://twitter.com/petrogustavo","@petrogustavo")</f>
        <v>@petrogustavo</v>
      </c>
      <c r="C86" s="5" t="s">
        <v>16</v>
      </c>
      <c r="D86" s="5" t="s">
        <v>116</v>
      </c>
      <c r="E86" s="6" t="str">
        <f>HYPERLINK("https://twitter.com/petrogustavo/status/1201498424400646146","1201498424400646146")</f>
        <v>1201498424400646146</v>
      </c>
      <c r="F86" s="7" t="s">
        <v>17</v>
      </c>
      <c r="G86" s="7">
        <v>3568628</v>
      </c>
      <c r="H86" s="7">
        <v>2330</v>
      </c>
      <c r="I86" s="7">
        <v>317</v>
      </c>
      <c r="J86" s="7">
        <v>0</v>
      </c>
      <c r="K86" s="7" t="s">
        <v>18</v>
      </c>
      <c r="L86" s="8">
        <v>39987.315405092595</v>
      </c>
      <c r="M86" s="9" t="s">
        <v>19</v>
      </c>
      <c r="N86" s="9" t="s">
        <v>20</v>
      </c>
      <c r="O86" s="6" t="str">
        <f>HYPERLINK("https://pbs.twimg.com/profile_images/962471262747529216/Uo8lOkRJ_normal.jpg","View")</f>
        <v>View</v>
      </c>
      <c r="P86" s="7"/>
    </row>
    <row r="87" spans="1:16">
      <c r="A87" s="3">
        <v>43801.804965277777</v>
      </c>
      <c r="B87" s="4" t="str">
        <f>HYPERLINK("https://twitter.com/petrogustavo","@petrogustavo")</f>
        <v>@petrogustavo</v>
      </c>
      <c r="C87" s="5" t="s">
        <v>16</v>
      </c>
      <c r="D87" s="5" t="s">
        <v>117</v>
      </c>
      <c r="E87" s="6" t="str">
        <f>HYPERLINK("https://twitter.com/petrogustavo/status/1201498542612926469","1201498542612926469")</f>
        <v>1201498542612926469</v>
      </c>
      <c r="F87" s="7" t="s">
        <v>17</v>
      </c>
      <c r="G87" s="7">
        <v>3568628</v>
      </c>
      <c r="H87" s="7">
        <v>2330</v>
      </c>
      <c r="I87" s="7">
        <v>22</v>
      </c>
      <c r="J87" s="7">
        <v>0</v>
      </c>
      <c r="K87" s="7" t="s">
        <v>18</v>
      </c>
      <c r="L87" s="8">
        <v>39987.315405092595</v>
      </c>
      <c r="M87" s="9" t="s">
        <v>19</v>
      </c>
      <c r="N87" s="9" t="s">
        <v>20</v>
      </c>
      <c r="O87" s="6" t="str">
        <f>HYPERLINK("https://pbs.twimg.com/profile_images/962471262747529216/Uo8lOkRJ_normal.jpg","View")</f>
        <v>View</v>
      </c>
      <c r="P87" s="7"/>
    </row>
    <row r="88" spans="1:16">
      <c r="A88" s="3">
        <v>43801.806967592594</v>
      </c>
      <c r="B88" s="4" t="str">
        <f>HYPERLINK("https://twitter.com/petrogustavo","@petrogustavo")</f>
        <v>@petrogustavo</v>
      </c>
      <c r="C88" s="5" t="s">
        <v>16</v>
      </c>
      <c r="D88" s="5" t="s">
        <v>118</v>
      </c>
      <c r="E88" s="6" t="str">
        <f>HYPERLINK("https://twitter.com/petrogustavo/status/1201499266642001921","1201499266642001921")</f>
        <v>1201499266642001921</v>
      </c>
      <c r="F88" s="7" t="s">
        <v>17</v>
      </c>
      <c r="G88" s="7">
        <v>3568628</v>
      </c>
      <c r="H88" s="7">
        <v>2330</v>
      </c>
      <c r="I88" s="7">
        <v>64</v>
      </c>
      <c r="J88" s="7">
        <v>81</v>
      </c>
      <c r="K88" s="7" t="s">
        <v>18</v>
      </c>
      <c r="L88" s="8">
        <v>39987.315405092595</v>
      </c>
      <c r="M88" s="9" t="s">
        <v>19</v>
      </c>
      <c r="N88" s="9" t="s">
        <v>20</v>
      </c>
      <c r="O88" s="6" t="str">
        <f>HYPERLINK("https://pbs.twimg.com/profile_images/962471262747529216/Uo8lOkRJ_normal.jpg","View")</f>
        <v>View</v>
      </c>
      <c r="P88" s="7"/>
    </row>
    <row r="89" spans="1:16">
      <c r="A89" s="3">
        <v>43801.807199074072</v>
      </c>
      <c r="B89" s="4" t="str">
        <f>HYPERLINK("https://twitter.com/petrogustavo","@petrogustavo")</f>
        <v>@petrogustavo</v>
      </c>
      <c r="C89" s="5" t="s">
        <v>16</v>
      </c>
      <c r="D89" s="5" t="s">
        <v>119</v>
      </c>
      <c r="E89" s="6" t="str">
        <f>HYPERLINK("https://twitter.com/petrogustavo/status/1201499352033845249","1201499352033845249")</f>
        <v>1201499352033845249</v>
      </c>
      <c r="F89" s="7" t="s">
        <v>17</v>
      </c>
      <c r="G89" s="7">
        <v>3568628</v>
      </c>
      <c r="H89" s="7">
        <v>2330</v>
      </c>
      <c r="I89" s="7">
        <v>425</v>
      </c>
      <c r="J89" s="7">
        <v>0</v>
      </c>
      <c r="K89" s="7" t="s">
        <v>18</v>
      </c>
      <c r="L89" s="8">
        <v>39987.315405092595</v>
      </c>
      <c r="M89" s="9" t="s">
        <v>19</v>
      </c>
      <c r="N89" s="9" t="s">
        <v>20</v>
      </c>
      <c r="O89" s="6" t="str">
        <f>HYPERLINK("https://pbs.twimg.com/profile_images/962471262747529216/Uo8lOkRJ_normal.jpg","View")</f>
        <v>View</v>
      </c>
      <c r="P89" s="7"/>
    </row>
    <row r="90" spans="1:16">
      <c r="A90" s="3">
        <v>43801.808032407411</v>
      </c>
      <c r="B90" s="4" t="str">
        <f>HYPERLINK("https://twitter.com/petrogustavo","@petrogustavo")</f>
        <v>@petrogustavo</v>
      </c>
      <c r="C90" s="5" t="s">
        <v>16</v>
      </c>
      <c r="D90" s="5" t="s">
        <v>120</v>
      </c>
      <c r="E90" s="6" t="str">
        <f>HYPERLINK("https://twitter.com/petrogustavo/status/1201499651972751360","1201499651972751360")</f>
        <v>1201499651972751360</v>
      </c>
      <c r="F90" s="7" t="s">
        <v>17</v>
      </c>
      <c r="G90" s="7">
        <v>3568628</v>
      </c>
      <c r="H90" s="7">
        <v>2330</v>
      </c>
      <c r="I90" s="7">
        <v>42</v>
      </c>
      <c r="J90" s="7">
        <v>0</v>
      </c>
      <c r="K90" s="7" t="s">
        <v>18</v>
      </c>
      <c r="L90" s="8">
        <v>39987.315405092595</v>
      </c>
      <c r="M90" s="9" t="s">
        <v>19</v>
      </c>
      <c r="N90" s="9" t="s">
        <v>20</v>
      </c>
      <c r="O90" s="6" t="str">
        <f>HYPERLINK("https://pbs.twimg.com/profile_images/962471262747529216/Uo8lOkRJ_normal.jpg","View")</f>
        <v>View</v>
      </c>
      <c r="P90" s="7"/>
    </row>
    <row r="91" spans="1:16">
      <c r="A91" s="3">
        <v>43801.808194444442</v>
      </c>
      <c r="B91" s="4" t="str">
        <f>HYPERLINK("https://twitter.com/petrogustavo","@petrogustavo")</f>
        <v>@petrogustavo</v>
      </c>
      <c r="C91" s="5" t="s">
        <v>16</v>
      </c>
      <c r="D91" s="5" t="s">
        <v>121</v>
      </c>
      <c r="E91" s="6" t="str">
        <f>HYPERLINK("https://twitter.com/petrogustavo/status/1201499711976460289","1201499711976460289")</f>
        <v>1201499711976460289</v>
      </c>
      <c r="F91" s="7" t="s">
        <v>17</v>
      </c>
      <c r="G91" s="7">
        <v>3568628</v>
      </c>
      <c r="H91" s="7">
        <v>2330</v>
      </c>
      <c r="I91" s="7">
        <v>85</v>
      </c>
      <c r="J91" s="7">
        <v>0</v>
      </c>
      <c r="K91" s="7" t="s">
        <v>18</v>
      </c>
      <c r="L91" s="8">
        <v>39987.315405092595</v>
      </c>
      <c r="M91" s="9" t="s">
        <v>19</v>
      </c>
      <c r="N91" s="9" t="s">
        <v>20</v>
      </c>
      <c r="O91" s="6" t="str">
        <f>HYPERLINK("https://pbs.twimg.com/profile_images/962471262747529216/Uo8lOkRJ_normal.jpg","View")</f>
        <v>View</v>
      </c>
      <c r="P91" s="7"/>
    </row>
    <row r="92" spans="1:16">
      <c r="A92" s="3">
        <v>43801.809629629628</v>
      </c>
      <c r="B92" s="4" t="str">
        <f>HYPERLINK("https://twitter.com/petrogustavo","@petrogustavo")</f>
        <v>@petrogustavo</v>
      </c>
      <c r="C92" s="5" t="s">
        <v>16</v>
      </c>
      <c r="D92" s="5" t="s">
        <v>122</v>
      </c>
      <c r="E92" s="6" t="str">
        <f>HYPERLINK("https://twitter.com/petrogustavo/status/1201500232388894720","1201500232388894720")</f>
        <v>1201500232388894720</v>
      </c>
      <c r="F92" s="7" t="s">
        <v>17</v>
      </c>
      <c r="G92" s="7">
        <v>3568628</v>
      </c>
      <c r="H92" s="7">
        <v>2330</v>
      </c>
      <c r="I92" s="7">
        <v>82</v>
      </c>
      <c r="J92" s="7">
        <v>148</v>
      </c>
      <c r="K92" s="7" t="s">
        <v>18</v>
      </c>
      <c r="L92" s="8">
        <v>39987.315405092595</v>
      </c>
      <c r="M92" s="9" t="s">
        <v>19</v>
      </c>
      <c r="N92" s="9" t="s">
        <v>20</v>
      </c>
      <c r="O92" s="6" t="str">
        <f>HYPERLINK("https://pbs.twimg.com/profile_images/962471262747529216/Uo8lOkRJ_normal.jpg","View")</f>
        <v>View</v>
      </c>
      <c r="P92" s="7"/>
    </row>
    <row r="93" spans="1:16">
      <c r="A93" s="3">
        <v>43801.810578703706</v>
      </c>
      <c r="B93" s="4" t="str">
        <f>HYPERLINK("https://twitter.com/petrogustavo","@petrogustavo")</f>
        <v>@petrogustavo</v>
      </c>
      <c r="C93" s="5" t="s">
        <v>16</v>
      </c>
      <c r="D93" s="5" t="s">
        <v>123</v>
      </c>
      <c r="E93" s="6" t="str">
        <f>HYPERLINK("https://twitter.com/petrogustavo/status/1201500575059316737","1201500575059316737")</f>
        <v>1201500575059316737</v>
      </c>
      <c r="F93" s="7" t="s">
        <v>17</v>
      </c>
      <c r="G93" s="7">
        <v>3568628</v>
      </c>
      <c r="H93" s="7">
        <v>2330</v>
      </c>
      <c r="I93" s="7">
        <v>626</v>
      </c>
      <c r="J93" s="7">
        <v>0</v>
      </c>
      <c r="K93" s="7" t="s">
        <v>18</v>
      </c>
      <c r="L93" s="8">
        <v>39987.315405092595</v>
      </c>
      <c r="M93" s="9" t="s">
        <v>19</v>
      </c>
      <c r="N93" s="9" t="s">
        <v>20</v>
      </c>
      <c r="O93" s="6" t="str">
        <f>HYPERLINK("https://pbs.twimg.com/profile_images/962471262747529216/Uo8lOkRJ_normal.jpg","View")</f>
        <v>View</v>
      </c>
      <c r="P93" s="7"/>
    </row>
    <row r="94" spans="1:16">
      <c r="A94" s="3">
        <v>43801.8127662037</v>
      </c>
      <c r="B94" s="4" t="str">
        <f>HYPERLINK("https://twitter.com/petrogustavo","@petrogustavo")</f>
        <v>@petrogustavo</v>
      </c>
      <c r="C94" s="5" t="s">
        <v>16</v>
      </c>
      <c r="D94" s="5" t="s">
        <v>124</v>
      </c>
      <c r="E94" s="6" t="str">
        <f>HYPERLINK("https://twitter.com/petrogustavo/status/1201501366298001408","1201501366298001408")</f>
        <v>1201501366298001408</v>
      </c>
      <c r="F94" s="7" t="s">
        <v>17</v>
      </c>
      <c r="G94" s="7">
        <v>3568628</v>
      </c>
      <c r="H94" s="7">
        <v>2330</v>
      </c>
      <c r="I94" s="7">
        <v>48</v>
      </c>
      <c r="J94" s="7">
        <v>112</v>
      </c>
      <c r="K94" s="7" t="s">
        <v>18</v>
      </c>
      <c r="L94" s="8">
        <v>39987.315405092595</v>
      </c>
      <c r="M94" s="9" t="s">
        <v>19</v>
      </c>
      <c r="N94" s="9" t="s">
        <v>20</v>
      </c>
      <c r="O94" s="6" t="str">
        <f>HYPERLINK("https://pbs.twimg.com/profile_images/962471262747529216/Uo8lOkRJ_normal.jpg","View")</f>
        <v>View</v>
      </c>
      <c r="P94" s="7"/>
    </row>
    <row r="95" spans="1:16">
      <c r="A95" s="3">
        <v>43801.820011574076</v>
      </c>
      <c r="B95" s="4" t="str">
        <f>HYPERLINK("https://twitter.com/petrogustavo","@petrogustavo")</f>
        <v>@petrogustavo</v>
      </c>
      <c r="C95" s="5" t="s">
        <v>16</v>
      </c>
      <c r="D95" s="5" t="s">
        <v>125</v>
      </c>
      <c r="E95" s="6" t="str">
        <f>HYPERLINK("https://twitter.com/petrogustavo/status/1201503993043804162","1201503993043804162")</f>
        <v>1201503993043804162</v>
      </c>
      <c r="F95" s="7" t="s">
        <v>17</v>
      </c>
      <c r="G95" s="7">
        <v>3568628</v>
      </c>
      <c r="H95" s="7">
        <v>2330</v>
      </c>
      <c r="I95" s="7">
        <v>30</v>
      </c>
      <c r="J95" s="7">
        <v>78</v>
      </c>
      <c r="K95" s="7" t="s">
        <v>18</v>
      </c>
      <c r="L95" s="8">
        <v>39987.315405092595</v>
      </c>
      <c r="M95" s="9" t="s">
        <v>19</v>
      </c>
      <c r="N95" s="9" t="s">
        <v>20</v>
      </c>
      <c r="O95" s="6" t="str">
        <f>HYPERLINK("https://pbs.twimg.com/profile_images/962471262747529216/Uo8lOkRJ_normal.jpg","View")</f>
        <v>View</v>
      </c>
      <c r="P95" s="7"/>
    </row>
    <row r="96" spans="1:16">
      <c r="A96" s="3">
        <v>43801.821226851855</v>
      </c>
      <c r="B96" s="4" t="str">
        <f>HYPERLINK("https://twitter.com/petrogustavo","@petrogustavo")</f>
        <v>@petrogustavo</v>
      </c>
      <c r="C96" s="5" t="s">
        <v>16</v>
      </c>
      <c r="D96" s="5" t="s">
        <v>126</v>
      </c>
      <c r="E96" s="6" t="str">
        <f>HYPERLINK("https://twitter.com/petrogustavo/status/1201504434909515777","1201504434909515777")</f>
        <v>1201504434909515777</v>
      </c>
      <c r="F96" s="7" t="s">
        <v>17</v>
      </c>
      <c r="G96" s="7">
        <v>3568628</v>
      </c>
      <c r="H96" s="7">
        <v>2330</v>
      </c>
      <c r="I96" s="7">
        <v>21</v>
      </c>
      <c r="J96" s="7">
        <v>0</v>
      </c>
      <c r="K96" s="7" t="s">
        <v>18</v>
      </c>
      <c r="L96" s="8">
        <v>39987.315405092595</v>
      </c>
      <c r="M96" s="9" t="s">
        <v>19</v>
      </c>
      <c r="N96" s="9" t="s">
        <v>20</v>
      </c>
      <c r="O96" s="6" t="str">
        <f>HYPERLINK("https://pbs.twimg.com/profile_images/962471262747529216/Uo8lOkRJ_normal.jpg","View")</f>
        <v>View</v>
      </c>
      <c r="P96" s="7"/>
    </row>
    <row r="97" spans="1:16">
      <c r="A97" s="3">
        <v>43801.825694444444</v>
      </c>
      <c r="B97" s="4" t="str">
        <f>HYPERLINK("https://twitter.com/petrogustavo","@petrogustavo")</f>
        <v>@petrogustavo</v>
      </c>
      <c r="C97" s="5" t="s">
        <v>16</v>
      </c>
      <c r="D97" s="5" t="s">
        <v>127</v>
      </c>
      <c r="E97" s="6" t="str">
        <f>HYPERLINK("https://twitter.com/petrogustavo/status/1201506054061903872","1201506054061903872")</f>
        <v>1201506054061903872</v>
      </c>
      <c r="F97" s="7" t="s">
        <v>17</v>
      </c>
      <c r="G97" s="7">
        <v>3568660</v>
      </c>
      <c r="H97" s="7">
        <v>2330</v>
      </c>
      <c r="I97" s="7">
        <v>27</v>
      </c>
      <c r="J97" s="7">
        <v>0</v>
      </c>
      <c r="K97" s="7" t="s">
        <v>18</v>
      </c>
      <c r="L97" s="8">
        <v>39987.315405092595</v>
      </c>
      <c r="M97" s="9" t="s">
        <v>19</v>
      </c>
      <c r="N97" s="9" t="s">
        <v>20</v>
      </c>
      <c r="O97" s="6" t="str">
        <f>HYPERLINK("https://pbs.twimg.com/profile_images/962471262747529216/Uo8lOkRJ_normal.jpg","View")</f>
        <v>View</v>
      </c>
      <c r="P97" s="7"/>
    </row>
    <row r="98" spans="1:16">
      <c r="A98" s="3">
        <v>43801.825902777782</v>
      </c>
      <c r="B98" s="4" t="str">
        <f>HYPERLINK("https://twitter.com/petrogustavo","@petrogustavo")</f>
        <v>@petrogustavo</v>
      </c>
      <c r="C98" s="5" t="s">
        <v>16</v>
      </c>
      <c r="D98" s="5" t="s">
        <v>128</v>
      </c>
      <c r="E98" s="6" t="str">
        <f>HYPERLINK("https://twitter.com/petrogustavo/status/1201506126451412992","1201506126451412992")</f>
        <v>1201506126451412992</v>
      </c>
      <c r="F98" s="7" t="s">
        <v>17</v>
      </c>
      <c r="G98" s="7">
        <v>3568660</v>
      </c>
      <c r="H98" s="7">
        <v>2330</v>
      </c>
      <c r="I98" s="7">
        <v>81</v>
      </c>
      <c r="J98" s="7">
        <v>0</v>
      </c>
      <c r="K98" s="7" t="s">
        <v>18</v>
      </c>
      <c r="L98" s="8">
        <v>39987.315405092595</v>
      </c>
      <c r="M98" s="9" t="s">
        <v>19</v>
      </c>
      <c r="N98" s="9" t="s">
        <v>20</v>
      </c>
      <c r="O98" s="6" t="str">
        <f>HYPERLINK("https://pbs.twimg.com/profile_images/962471262747529216/Uo8lOkRJ_normal.jpg","View")</f>
        <v>View</v>
      </c>
      <c r="P98" s="7"/>
    </row>
    <row r="99" spans="1:16">
      <c r="A99" s="3">
        <v>43801.828240740739</v>
      </c>
      <c r="B99" s="4" t="str">
        <f>HYPERLINK("https://twitter.com/petrogustavo","@petrogustavo")</f>
        <v>@petrogustavo</v>
      </c>
      <c r="C99" s="5" t="s">
        <v>16</v>
      </c>
      <c r="D99" s="5" t="s">
        <v>129</v>
      </c>
      <c r="E99" s="6" t="str">
        <f>HYPERLINK("https://twitter.com/petrogustavo/status/1201506975483387910","1201506975483387910")</f>
        <v>1201506975483387910</v>
      </c>
      <c r="F99" s="7" t="s">
        <v>17</v>
      </c>
      <c r="G99" s="7">
        <v>3568660</v>
      </c>
      <c r="H99" s="7">
        <v>2330</v>
      </c>
      <c r="I99" s="7">
        <v>148</v>
      </c>
      <c r="J99" s="7">
        <v>281</v>
      </c>
      <c r="K99" s="7" t="s">
        <v>18</v>
      </c>
      <c r="L99" s="8">
        <v>39987.315405092595</v>
      </c>
      <c r="M99" s="9" t="s">
        <v>19</v>
      </c>
      <c r="N99" s="9" t="s">
        <v>20</v>
      </c>
      <c r="O99" s="6" t="str">
        <f>HYPERLINK("https://pbs.twimg.com/profile_images/962471262747529216/Uo8lOkRJ_normal.jpg","View")</f>
        <v>View</v>
      </c>
      <c r="P99" s="7"/>
    </row>
    <row r="100" spans="1:16">
      <c r="A100" s="3">
        <v>43801.904016203705</v>
      </c>
      <c r="B100" s="4" t="str">
        <f>HYPERLINK("https://twitter.com/petrogustavo","@petrogustavo")</f>
        <v>@petrogustavo</v>
      </c>
      <c r="C100" s="5" t="s">
        <v>16</v>
      </c>
      <c r="D100" s="5" t="s">
        <v>130</v>
      </c>
      <c r="E100" s="6" t="str">
        <f>HYPERLINK("https://twitter.com/petrogustavo/status/1201534437403566080","1201534437403566080")</f>
        <v>1201534437403566080</v>
      </c>
      <c r="F100" s="7" t="s">
        <v>32</v>
      </c>
      <c r="G100" s="7">
        <v>3568722</v>
      </c>
      <c r="H100" s="7">
        <v>2330</v>
      </c>
      <c r="I100" s="7">
        <v>102</v>
      </c>
      <c r="J100" s="7">
        <v>354</v>
      </c>
      <c r="K100" s="7" t="s">
        <v>18</v>
      </c>
      <c r="L100" s="8">
        <v>39987.315405092595</v>
      </c>
      <c r="M100" s="9" t="s">
        <v>19</v>
      </c>
      <c r="N100" s="9" t="s">
        <v>20</v>
      </c>
      <c r="O100" s="6" t="str">
        <f>HYPERLINK("https://pbs.twimg.com/profile_images/962471262747529216/Uo8lOkRJ_normal.jpg","View")</f>
        <v>View</v>
      </c>
      <c r="P100" s="7"/>
    </row>
    <row r="101" spans="1:16">
      <c r="A101" s="3">
        <v>43801.954930555556</v>
      </c>
      <c r="B101" s="4" t="str">
        <f>HYPERLINK("https://twitter.com/petrogustavo","@petrogustavo")</f>
        <v>@petrogustavo</v>
      </c>
      <c r="C101" s="5" t="s">
        <v>16</v>
      </c>
      <c r="D101" s="5" t="s">
        <v>131</v>
      </c>
      <c r="E101" s="6" t="str">
        <f>HYPERLINK("https://twitter.com/petrogustavo/status/1201552884875354119","1201552884875354119")</f>
        <v>1201552884875354119</v>
      </c>
      <c r="F101" s="7" t="s">
        <v>17</v>
      </c>
      <c r="G101" s="7">
        <v>3568782</v>
      </c>
      <c r="H101" s="7">
        <v>2330</v>
      </c>
      <c r="I101" s="7">
        <v>46</v>
      </c>
      <c r="J101" s="7">
        <v>206</v>
      </c>
      <c r="K101" s="7" t="s">
        <v>18</v>
      </c>
      <c r="L101" s="8">
        <v>39987.315405092595</v>
      </c>
      <c r="M101" s="9" t="s">
        <v>19</v>
      </c>
      <c r="N101" s="9" t="s">
        <v>20</v>
      </c>
      <c r="O101" s="6" t="str">
        <f>HYPERLINK("https://pbs.twimg.com/profile_images/962471262747529216/Uo8lOkRJ_normal.jpg","View")</f>
        <v>View</v>
      </c>
      <c r="P101" s="7"/>
    </row>
    <row r="102" spans="1:16">
      <c r="A102" s="3">
        <v>43802.100023148145</v>
      </c>
      <c r="B102" s="4" t="str">
        <f>HYPERLINK("https://twitter.com/petrogustavo","@petrogustavo")</f>
        <v>@petrogustavo</v>
      </c>
      <c r="C102" s="5" t="s">
        <v>16</v>
      </c>
      <c r="D102" s="5" t="s">
        <v>132</v>
      </c>
      <c r="E102" s="6" t="str">
        <f>HYPERLINK("https://twitter.com/petrogustavo/status/1201605464414445569","1201605464414445569")</f>
        <v>1201605464414445569</v>
      </c>
      <c r="F102" s="7" t="s">
        <v>32</v>
      </c>
      <c r="G102" s="7">
        <v>3568981</v>
      </c>
      <c r="H102" s="7">
        <v>2333</v>
      </c>
      <c r="I102" s="7">
        <v>113</v>
      </c>
      <c r="J102" s="7">
        <v>0</v>
      </c>
      <c r="K102" s="7" t="s">
        <v>18</v>
      </c>
      <c r="L102" s="8">
        <v>39987.315405092595</v>
      </c>
      <c r="M102" s="9" t="s">
        <v>19</v>
      </c>
      <c r="N102" s="9" t="s">
        <v>20</v>
      </c>
      <c r="O102" s="6" t="str">
        <f>HYPERLINK("https://pbs.twimg.com/profile_images/962471262747529216/Uo8lOkRJ_normal.jpg","View")</f>
        <v>View</v>
      </c>
      <c r="P102" s="7"/>
    </row>
    <row r="103" spans="1:16">
      <c r="A103" s="3">
        <v>43802.105636574073</v>
      </c>
      <c r="B103" s="4" t="str">
        <f>HYPERLINK("https://twitter.com/petrogustavo","@petrogustavo")</f>
        <v>@petrogustavo</v>
      </c>
      <c r="C103" s="5" t="s">
        <v>16</v>
      </c>
      <c r="D103" s="5" t="s">
        <v>133</v>
      </c>
      <c r="E103" s="6" t="str">
        <f>HYPERLINK("https://twitter.com/petrogustavo/status/1201607502237974528","1201607502237974528")</f>
        <v>1201607502237974528</v>
      </c>
      <c r="F103" s="7" t="s">
        <v>32</v>
      </c>
      <c r="G103" s="7">
        <v>3568981</v>
      </c>
      <c r="H103" s="7">
        <v>2333</v>
      </c>
      <c r="I103" s="7">
        <v>374</v>
      </c>
      <c r="J103" s="7">
        <v>0</v>
      </c>
      <c r="K103" s="7" t="s">
        <v>18</v>
      </c>
      <c r="L103" s="8">
        <v>39987.315405092595</v>
      </c>
      <c r="M103" s="9" t="s">
        <v>19</v>
      </c>
      <c r="N103" s="9" t="s">
        <v>20</v>
      </c>
      <c r="O103" s="6" t="str">
        <f>HYPERLINK("https://pbs.twimg.com/profile_images/962471262747529216/Uo8lOkRJ_normal.jpg","View")</f>
        <v>View</v>
      </c>
      <c r="P103" s="7"/>
    </row>
    <row r="104" spans="1:16">
      <c r="A104" s="3">
        <v>43802.105937500004</v>
      </c>
      <c r="B104" s="4" t="str">
        <f>HYPERLINK("https://twitter.com/petrogustavo","@petrogustavo")</f>
        <v>@petrogustavo</v>
      </c>
      <c r="C104" s="5" t="s">
        <v>16</v>
      </c>
      <c r="D104" s="5" t="s">
        <v>134</v>
      </c>
      <c r="E104" s="6" t="str">
        <f>HYPERLINK("https://twitter.com/petrogustavo/status/1201607608370630656","1201607608370630656")</f>
        <v>1201607608370630656</v>
      </c>
      <c r="F104" s="7" t="s">
        <v>32</v>
      </c>
      <c r="G104" s="7">
        <v>3568981</v>
      </c>
      <c r="H104" s="7">
        <v>2333</v>
      </c>
      <c r="I104" s="7">
        <v>78</v>
      </c>
      <c r="J104" s="7">
        <v>0</v>
      </c>
      <c r="K104" s="7" t="s">
        <v>18</v>
      </c>
      <c r="L104" s="8">
        <v>39987.315405092595</v>
      </c>
      <c r="M104" s="9" t="s">
        <v>19</v>
      </c>
      <c r="N104" s="9" t="s">
        <v>20</v>
      </c>
      <c r="O104" s="6" t="str">
        <f>HYPERLINK("https://pbs.twimg.com/profile_images/962471262747529216/Uo8lOkRJ_normal.jpg","View")</f>
        <v>View</v>
      </c>
      <c r="P104" s="7"/>
    </row>
    <row r="105" spans="1:16">
      <c r="A105" s="3">
        <v>43802.12872685185</v>
      </c>
      <c r="B105" s="4" t="str">
        <f>HYPERLINK("https://twitter.com/petrogustavo","@petrogustavo")</f>
        <v>@petrogustavo</v>
      </c>
      <c r="C105" s="5" t="s">
        <v>16</v>
      </c>
      <c r="D105" s="5" t="s">
        <v>135</v>
      </c>
      <c r="E105" s="6" t="str">
        <f>HYPERLINK("https://twitter.com/petrogustavo/status/1201615867546603521","1201615867546603521")</f>
        <v>1201615867546603521</v>
      </c>
      <c r="F105" s="7" t="s">
        <v>32</v>
      </c>
      <c r="G105" s="7">
        <v>3569007</v>
      </c>
      <c r="H105" s="7">
        <v>2333</v>
      </c>
      <c r="I105" s="7">
        <v>989</v>
      </c>
      <c r="J105" s="7">
        <v>0</v>
      </c>
      <c r="K105" s="7" t="s">
        <v>18</v>
      </c>
      <c r="L105" s="8">
        <v>39987.315405092595</v>
      </c>
      <c r="M105" s="9" t="s">
        <v>19</v>
      </c>
      <c r="N105" s="9" t="s">
        <v>20</v>
      </c>
      <c r="O105" s="6" t="str">
        <f>HYPERLINK("https://pbs.twimg.com/profile_images/962471262747529216/Uo8lOkRJ_normal.jpg","View")</f>
        <v>View</v>
      </c>
      <c r="P105" s="7"/>
    </row>
    <row r="106" spans="1:16">
      <c r="A106" s="3">
        <v>43802.131516203706</v>
      </c>
      <c r="B106" s="4" t="str">
        <f>HYPERLINK("https://twitter.com/petrogustavo","@petrogustavo")</f>
        <v>@petrogustavo</v>
      </c>
      <c r="C106" s="5" t="s">
        <v>16</v>
      </c>
      <c r="D106" s="5" t="s">
        <v>136</v>
      </c>
      <c r="E106" s="6" t="str">
        <f>HYPERLINK("https://twitter.com/petrogustavo/status/1201616878151581696","1201616878151581696")</f>
        <v>1201616878151581696</v>
      </c>
      <c r="F106" s="7" t="s">
        <v>32</v>
      </c>
      <c r="G106" s="7">
        <v>3569007</v>
      </c>
      <c r="H106" s="7">
        <v>2333</v>
      </c>
      <c r="I106" s="7">
        <v>150</v>
      </c>
      <c r="J106" s="7">
        <v>243</v>
      </c>
      <c r="K106" s="7" t="s">
        <v>18</v>
      </c>
      <c r="L106" s="8">
        <v>39987.315405092595</v>
      </c>
      <c r="M106" s="9" t="s">
        <v>19</v>
      </c>
      <c r="N106" s="9" t="s">
        <v>20</v>
      </c>
      <c r="O106" s="6" t="str">
        <f>HYPERLINK("https://pbs.twimg.com/profile_images/962471262747529216/Uo8lOkRJ_normal.jpg","View")</f>
        <v>View</v>
      </c>
      <c r="P106" s="7"/>
    </row>
    <row r="107" spans="1:16">
      <c r="A107" s="3">
        <v>43802.133067129631</v>
      </c>
      <c r="B107" s="4" t="str">
        <f>HYPERLINK("https://twitter.com/petrogustavo","@petrogustavo")</f>
        <v>@petrogustavo</v>
      </c>
      <c r="C107" s="5" t="s">
        <v>16</v>
      </c>
      <c r="D107" s="5" t="s">
        <v>137</v>
      </c>
      <c r="E107" s="6" t="str">
        <f>HYPERLINK("https://twitter.com/petrogustavo/status/1201617438955253770","1201617438955253770")</f>
        <v>1201617438955253770</v>
      </c>
      <c r="F107" s="7" t="s">
        <v>32</v>
      </c>
      <c r="G107" s="7">
        <v>3569007</v>
      </c>
      <c r="H107" s="7">
        <v>2333</v>
      </c>
      <c r="I107" s="7">
        <v>52</v>
      </c>
      <c r="J107" s="7">
        <v>143</v>
      </c>
      <c r="K107" s="7" t="s">
        <v>18</v>
      </c>
      <c r="L107" s="8">
        <v>39987.315405092595</v>
      </c>
      <c r="M107" s="9" t="s">
        <v>19</v>
      </c>
      <c r="N107" s="9" t="s">
        <v>20</v>
      </c>
      <c r="O107" s="6" t="str">
        <f>HYPERLINK("https://pbs.twimg.com/profile_images/962471262747529216/Uo8lOkRJ_normal.jpg","View")</f>
        <v>View</v>
      </c>
      <c r="P107" s="7"/>
    </row>
    <row r="108" spans="1:16">
      <c r="A108" s="3">
        <v>43802.134780092594</v>
      </c>
      <c r="B108" s="4" t="str">
        <f>HYPERLINK("https://twitter.com/petrogustavo","@petrogustavo")</f>
        <v>@petrogustavo</v>
      </c>
      <c r="C108" s="5" t="s">
        <v>16</v>
      </c>
      <c r="D108" s="5" t="s">
        <v>138</v>
      </c>
      <c r="E108" s="6" t="str">
        <f>HYPERLINK("https://twitter.com/petrogustavo/status/1201618060920135682","1201618060920135682")</f>
        <v>1201618060920135682</v>
      </c>
      <c r="F108" s="7" t="s">
        <v>32</v>
      </c>
      <c r="G108" s="7">
        <v>3569007</v>
      </c>
      <c r="H108" s="7">
        <v>2333</v>
      </c>
      <c r="I108" s="7">
        <v>8</v>
      </c>
      <c r="J108" s="7">
        <v>0</v>
      </c>
      <c r="K108" s="7" t="s">
        <v>18</v>
      </c>
      <c r="L108" s="8">
        <v>39987.315405092595</v>
      </c>
      <c r="M108" s="9" t="s">
        <v>19</v>
      </c>
      <c r="N108" s="9" t="s">
        <v>20</v>
      </c>
      <c r="O108" s="6" t="str">
        <f>HYPERLINK("https://pbs.twimg.com/profile_images/962471262747529216/Uo8lOkRJ_normal.jpg","View")</f>
        <v>View</v>
      </c>
      <c r="P108" s="7"/>
    </row>
    <row r="109" spans="1:16">
      <c r="A109" s="3">
        <v>43802.135127314818</v>
      </c>
      <c r="B109" s="4" t="str">
        <f>HYPERLINK("https://twitter.com/petrogustavo","@petrogustavo")</f>
        <v>@petrogustavo</v>
      </c>
      <c r="C109" s="5" t="s">
        <v>16</v>
      </c>
      <c r="D109" s="5" t="s">
        <v>139</v>
      </c>
      <c r="E109" s="6" t="str">
        <f>HYPERLINK("https://twitter.com/petrogustavo/status/1201618185738436609","1201618185738436609")</f>
        <v>1201618185738436609</v>
      </c>
      <c r="F109" s="7" t="s">
        <v>32</v>
      </c>
      <c r="G109" s="7">
        <v>3569007</v>
      </c>
      <c r="H109" s="7">
        <v>2333</v>
      </c>
      <c r="I109" s="7">
        <v>165</v>
      </c>
      <c r="J109" s="7">
        <v>0</v>
      </c>
      <c r="K109" s="7" t="s">
        <v>18</v>
      </c>
      <c r="L109" s="8">
        <v>39987.315405092595</v>
      </c>
      <c r="M109" s="9" t="s">
        <v>19</v>
      </c>
      <c r="N109" s="9" t="s">
        <v>20</v>
      </c>
      <c r="O109" s="6" t="str">
        <f>HYPERLINK("https://pbs.twimg.com/profile_images/962471262747529216/Uo8lOkRJ_normal.jpg","View")</f>
        <v>View</v>
      </c>
      <c r="P109" s="7"/>
    </row>
    <row r="110" spans="1:16">
      <c r="A110" s="3">
        <v>43802.148506944446</v>
      </c>
      <c r="B110" s="4" t="str">
        <f>HYPERLINK("https://twitter.com/petrogustavo","@petrogustavo")</f>
        <v>@petrogustavo</v>
      </c>
      <c r="C110" s="5" t="s">
        <v>16</v>
      </c>
      <c r="D110" s="5" t="s">
        <v>140</v>
      </c>
      <c r="E110" s="6" t="str">
        <f>HYPERLINK("https://twitter.com/petrogustavo/status/1201623037982003208","1201623037982003208")</f>
        <v>1201623037982003208</v>
      </c>
      <c r="F110" s="7" t="s">
        <v>32</v>
      </c>
      <c r="G110" s="7">
        <v>3569025</v>
      </c>
      <c r="H110" s="7">
        <v>2333</v>
      </c>
      <c r="I110" s="7">
        <v>34</v>
      </c>
      <c r="J110" s="7">
        <v>0</v>
      </c>
      <c r="K110" s="7" t="s">
        <v>18</v>
      </c>
      <c r="L110" s="8">
        <v>39987.315405092595</v>
      </c>
      <c r="M110" s="9" t="s">
        <v>19</v>
      </c>
      <c r="N110" s="9" t="s">
        <v>20</v>
      </c>
      <c r="O110" s="6" t="str">
        <f>HYPERLINK("https://pbs.twimg.com/profile_images/962471262747529216/Uo8lOkRJ_normal.jpg","View")</f>
        <v>View</v>
      </c>
      <c r="P110" s="7"/>
    </row>
    <row r="111" spans="1:16">
      <c r="A111" s="3">
        <v>43802.148680555554</v>
      </c>
      <c r="B111" s="4" t="str">
        <f>HYPERLINK("https://twitter.com/petrogustavo","@petrogustavo")</f>
        <v>@petrogustavo</v>
      </c>
      <c r="C111" s="5" t="s">
        <v>16</v>
      </c>
      <c r="D111" s="5" t="s">
        <v>141</v>
      </c>
      <c r="E111" s="6" t="str">
        <f>HYPERLINK("https://twitter.com/petrogustavo/status/1201623099562774528","1201623099562774528")</f>
        <v>1201623099562774528</v>
      </c>
      <c r="F111" s="7" t="s">
        <v>32</v>
      </c>
      <c r="G111" s="7">
        <v>3569025</v>
      </c>
      <c r="H111" s="7">
        <v>2333</v>
      </c>
      <c r="I111" s="7">
        <v>13</v>
      </c>
      <c r="J111" s="7">
        <v>0</v>
      </c>
      <c r="K111" s="7" t="s">
        <v>18</v>
      </c>
      <c r="L111" s="8">
        <v>39987.315405092595</v>
      </c>
      <c r="M111" s="9" t="s">
        <v>19</v>
      </c>
      <c r="N111" s="9" t="s">
        <v>20</v>
      </c>
      <c r="O111" s="6" t="str">
        <f>HYPERLINK("https://pbs.twimg.com/profile_images/962471262747529216/Uo8lOkRJ_normal.jpg","View")</f>
        <v>View</v>
      </c>
      <c r="P111" s="7"/>
    </row>
    <row r="112" spans="1:16">
      <c r="A112" s="3">
        <v>43802.149780092594</v>
      </c>
      <c r="B112" s="4" t="str">
        <f>HYPERLINK("https://twitter.com/petrogustavo","@petrogustavo")</f>
        <v>@petrogustavo</v>
      </c>
      <c r="C112" s="5" t="s">
        <v>16</v>
      </c>
      <c r="D112" s="5" t="s">
        <v>142</v>
      </c>
      <c r="E112" s="6" t="str">
        <f>HYPERLINK("https://twitter.com/petrogustavo/status/1201623497899941891","1201623497899941891")</f>
        <v>1201623497899941891</v>
      </c>
      <c r="F112" s="7" t="s">
        <v>32</v>
      </c>
      <c r="G112" s="7">
        <v>3569025</v>
      </c>
      <c r="H112" s="7">
        <v>2333</v>
      </c>
      <c r="I112" s="7">
        <v>190</v>
      </c>
      <c r="J112" s="7">
        <v>0</v>
      </c>
      <c r="K112" s="7" t="s">
        <v>18</v>
      </c>
      <c r="L112" s="8">
        <v>39987.315405092595</v>
      </c>
      <c r="M112" s="9" t="s">
        <v>19</v>
      </c>
      <c r="N112" s="9" t="s">
        <v>20</v>
      </c>
      <c r="O112" s="6" t="str">
        <f>HYPERLINK("https://pbs.twimg.com/profile_images/962471262747529216/Uo8lOkRJ_normal.jpg","View")</f>
        <v>View</v>
      </c>
      <c r="P112" s="7"/>
    </row>
    <row r="113" spans="1:16">
      <c r="A113" s="3">
        <v>43802.249745370369</v>
      </c>
      <c r="B113" s="4" t="str">
        <f>HYPERLINK("https://twitter.com/petrogustavo","@petrogustavo")</f>
        <v>@petrogustavo</v>
      </c>
      <c r="C113" s="5" t="s">
        <v>16</v>
      </c>
      <c r="D113" s="5" t="s">
        <v>143</v>
      </c>
      <c r="E113" s="6" t="str">
        <f>HYPERLINK("https://twitter.com/petrogustavo/status/1201659721981333504","1201659721981333504")</f>
        <v>1201659721981333504</v>
      </c>
      <c r="F113" s="7" t="s">
        <v>17</v>
      </c>
      <c r="G113" s="7">
        <v>3569144</v>
      </c>
      <c r="H113" s="7">
        <v>2333</v>
      </c>
      <c r="I113" s="7">
        <v>244</v>
      </c>
      <c r="J113" s="7">
        <v>0</v>
      </c>
      <c r="K113" s="7" t="s">
        <v>18</v>
      </c>
      <c r="L113" s="8">
        <v>39987.315405092595</v>
      </c>
      <c r="M113" s="9" t="s">
        <v>19</v>
      </c>
      <c r="N113" s="9" t="s">
        <v>20</v>
      </c>
      <c r="O113" s="6" t="str">
        <f>HYPERLINK("https://pbs.twimg.com/profile_images/962471262747529216/Uo8lOkRJ_normal.jpg","View")</f>
        <v>View</v>
      </c>
      <c r="P113" s="7"/>
    </row>
    <row r="114" spans="1:16">
      <c r="A114" s="3">
        <v>43802.251585648148</v>
      </c>
      <c r="B114" s="4" t="str">
        <f>HYPERLINK("https://twitter.com/petrogustavo","@petrogustavo")</f>
        <v>@petrogustavo</v>
      </c>
      <c r="C114" s="5" t="s">
        <v>16</v>
      </c>
      <c r="D114" s="5" t="s">
        <v>144</v>
      </c>
      <c r="E114" s="6" t="str">
        <f>HYPERLINK("https://twitter.com/petrogustavo/status/1201660390482096128","1201660390482096128")</f>
        <v>1201660390482096128</v>
      </c>
      <c r="F114" s="7" t="s">
        <v>17</v>
      </c>
      <c r="G114" s="7">
        <v>3569144</v>
      </c>
      <c r="H114" s="7">
        <v>2333</v>
      </c>
      <c r="I114" s="7">
        <v>104</v>
      </c>
      <c r="J114" s="7">
        <v>191</v>
      </c>
      <c r="K114" s="7" t="s">
        <v>18</v>
      </c>
      <c r="L114" s="8">
        <v>39987.315405092595</v>
      </c>
      <c r="M114" s="9" t="s">
        <v>19</v>
      </c>
      <c r="N114" s="9" t="s">
        <v>20</v>
      </c>
      <c r="O114" s="6" t="str">
        <f>HYPERLINK("https://pbs.twimg.com/profile_images/962471262747529216/Uo8lOkRJ_normal.jpg","View")</f>
        <v>View</v>
      </c>
      <c r="P114" s="7"/>
    </row>
    <row r="115" spans="1:16">
      <c r="A115" s="3">
        <v>43802.265243055561</v>
      </c>
      <c r="B115" s="4" t="str">
        <f>HYPERLINK("https://twitter.com/petrogustavo","@petrogustavo")</f>
        <v>@petrogustavo</v>
      </c>
      <c r="C115" s="5" t="s">
        <v>16</v>
      </c>
      <c r="D115" s="5" t="s">
        <v>145</v>
      </c>
      <c r="E115" s="6" t="str">
        <f>HYPERLINK("https://twitter.com/petrogustavo/status/1201665341237219328","1201665341237219328")</f>
        <v>1201665341237219328</v>
      </c>
      <c r="F115" s="7" t="s">
        <v>17</v>
      </c>
      <c r="G115" s="7">
        <v>3569182</v>
      </c>
      <c r="H115" s="7">
        <v>2333</v>
      </c>
      <c r="I115" s="7">
        <v>363</v>
      </c>
      <c r="J115" s="7">
        <v>0</v>
      </c>
      <c r="K115" s="7" t="s">
        <v>18</v>
      </c>
      <c r="L115" s="8">
        <v>39987.315405092595</v>
      </c>
      <c r="M115" s="9" t="s">
        <v>19</v>
      </c>
      <c r="N115" s="9" t="s">
        <v>20</v>
      </c>
      <c r="O115" s="6" t="str">
        <f>HYPERLINK("https://pbs.twimg.com/profile_images/962471262747529216/Uo8lOkRJ_normal.jpg","View")</f>
        <v>View</v>
      </c>
      <c r="P115" s="7"/>
    </row>
    <row r="116" spans="1:16">
      <c r="A116" s="3">
        <v>43802.265416666662</v>
      </c>
      <c r="B116" s="4" t="str">
        <f>HYPERLINK("https://twitter.com/petrogustavo","@petrogustavo")</f>
        <v>@petrogustavo</v>
      </c>
      <c r="C116" s="5" t="s">
        <v>16</v>
      </c>
      <c r="D116" s="5" t="s">
        <v>146</v>
      </c>
      <c r="E116" s="6" t="str">
        <f>HYPERLINK("https://twitter.com/petrogustavo/status/1201665401698095108","1201665401698095108")</f>
        <v>1201665401698095108</v>
      </c>
      <c r="F116" s="7" t="s">
        <v>17</v>
      </c>
      <c r="G116" s="7">
        <v>3569182</v>
      </c>
      <c r="H116" s="7">
        <v>2333</v>
      </c>
      <c r="I116" s="7">
        <v>340</v>
      </c>
      <c r="J116" s="7">
        <v>0</v>
      </c>
      <c r="K116" s="7" t="s">
        <v>18</v>
      </c>
      <c r="L116" s="8">
        <v>39987.315405092595</v>
      </c>
      <c r="M116" s="9" t="s">
        <v>19</v>
      </c>
      <c r="N116" s="9" t="s">
        <v>20</v>
      </c>
      <c r="O116" s="6" t="str">
        <f>HYPERLINK("https://pbs.twimg.com/profile_images/962471262747529216/Uo8lOkRJ_normal.jpg","View")</f>
        <v>View</v>
      </c>
      <c r="P116" s="7"/>
    </row>
    <row r="117" spans="1:16">
      <c r="A117" s="3">
        <v>43802.268877314811</v>
      </c>
      <c r="B117" s="4" t="str">
        <f>HYPERLINK("https://twitter.com/petrogustavo","@petrogustavo")</f>
        <v>@petrogustavo</v>
      </c>
      <c r="C117" s="5" t="s">
        <v>16</v>
      </c>
      <c r="D117" s="5" t="s">
        <v>147</v>
      </c>
      <c r="E117" s="6" t="str">
        <f>HYPERLINK("https://twitter.com/petrogustavo/status/1201666656344391680","1201666656344391680")</f>
        <v>1201666656344391680</v>
      </c>
      <c r="F117" s="7" t="s">
        <v>17</v>
      </c>
      <c r="G117" s="7">
        <v>3569182</v>
      </c>
      <c r="H117" s="7">
        <v>2333</v>
      </c>
      <c r="I117" s="7">
        <v>641</v>
      </c>
      <c r="J117" s="7">
        <v>1620</v>
      </c>
      <c r="K117" s="7" t="s">
        <v>18</v>
      </c>
      <c r="L117" s="8">
        <v>39987.315405092595</v>
      </c>
      <c r="M117" s="9" t="s">
        <v>19</v>
      </c>
      <c r="N117" s="9" t="s">
        <v>20</v>
      </c>
      <c r="O117" s="6" t="str">
        <f>HYPERLINK("https://pbs.twimg.com/profile_images/962471262747529216/Uo8lOkRJ_normal.jpg","View")</f>
        <v>View</v>
      </c>
      <c r="P117" s="7"/>
    </row>
    <row r="118" spans="1:16">
      <c r="A118" s="3">
        <v>43802.307986111111</v>
      </c>
      <c r="B118" s="4" t="str">
        <f>HYPERLINK("https://twitter.com/petrogustavo","@petrogustavo")</f>
        <v>@petrogustavo</v>
      </c>
      <c r="C118" s="5" t="s">
        <v>16</v>
      </c>
      <c r="D118" s="5" t="s">
        <v>148</v>
      </c>
      <c r="E118" s="6" t="str">
        <f>HYPERLINK("https://twitter.com/petrogustavo/status/1201680828344029191","1201680828344029191")</f>
        <v>1201680828344029191</v>
      </c>
      <c r="F118" s="7" t="s">
        <v>21</v>
      </c>
      <c r="G118" s="7">
        <v>3569244</v>
      </c>
      <c r="H118" s="7">
        <v>2333</v>
      </c>
      <c r="I118" s="7">
        <v>478</v>
      </c>
      <c r="J118" s="7">
        <v>1022</v>
      </c>
      <c r="K118" s="7" t="s">
        <v>18</v>
      </c>
      <c r="L118" s="8">
        <v>39987.315405092595</v>
      </c>
      <c r="M118" s="9" t="s">
        <v>19</v>
      </c>
      <c r="N118" s="9" t="s">
        <v>20</v>
      </c>
      <c r="O118" s="6" t="str">
        <f>HYPERLINK("https://pbs.twimg.com/profile_images/962471262747529216/Uo8lOkRJ_normal.jpg","View")</f>
        <v>View</v>
      </c>
      <c r="P118" s="7"/>
    </row>
    <row r="119" spans="1:16">
      <c r="A119" s="3">
        <v>43802.310393518521</v>
      </c>
      <c r="B119" s="4" t="str">
        <f>HYPERLINK("https://twitter.com/petrogustavo","@petrogustavo")</f>
        <v>@petrogustavo</v>
      </c>
      <c r="C119" s="5" t="s">
        <v>16</v>
      </c>
      <c r="D119" s="5" t="s">
        <v>149</v>
      </c>
      <c r="E119" s="6" t="str">
        <f>HYPERLINK("https://twitter.com/petrogustavo/status/1201681700813725696","1201681700813725696")</f>
        <v>1201681700813725696</v>
      </c>
      <c r="F119" s="7" t="s">
        <v>32</v>
      </c>
      <c r="G119" s="7">
        <v>3569244</v>
      </c>
      <c r="H119" s="7">
        <v>2333</v>
      </c>
      <c r="I119" s="7">
        <v>1838</v>
      </c>
      <c r="J119" s="7">
        <v>0</v>
      </c>
      <c r="K119" s="7" t="s">
        <v>18</v>
      </c>
      <c r="L119" s="8">
        <v>39987.315405092595</v>
      </c>
      <c r="M119" s="9" t="s">
        <v>19</v>
      </c>
      <c r="N119" s="9" t="s">
        <v>20</v>
      </c>
      <c r="O119" s="6" t="str">
        <f>HYPERLINK("https://pbs.twimg.com/profile_images/962471262747529216/Uo8lOkRJ_normal.jpg","View")</f>
        <v>View</v>
      </c>
      <c r="P119" s="7"/>
    </row>
    <row r="120" spans="1:16">
      <c r="A120" s="3">
        <v>43802.325798611113</v>
      </c>
      <c r="B120" s="4" t="str">
        <f>HYPERLINK("https://twitter.com/petrogustavo","@petrogustavo")</f>
        <v>@petrogustavo</v>
      </c>
      <c r="C120" s="5" t="s">
        <v>16</v>
      </c>
      <c r="D120" s="5" t="s">
        <v>150</v>
      </c>
      <c r="E120" s="6" t="str">
        <f>HYPERLINK("https://twitter.com/petrogustavo/status/1201687285596655617","1201687285596655617")</f>
        <v>1201687285596655617</v>
      </c>
      <c r="F120" s="7" t="s">
        <v>17</v>
      </c>
      <c r="G120" s="7">
        <v>3569257</v>
      </c>
      <c r="H120" s="7">
        <v>2333</v>
      </c>
      <c r="I120" s="7">
        <v>289</v>
      </c>
      <c r="J120" s="7">
        <v>653</v>
      </c>
      <c r="K120" s="7" t="s">
        <v>18</v>
      </c>
      <c r="L120" s="8">
        <v>39987.315405092595</v>
      </c>
      <c r="M120" s="9" t="s">
        <v>19</v>
      </c>
      <c r="N120" s="9" t="s">
        <v>20</v>
      </c>
      <c r="O120" s="6" t="str">
        <f>HYPERLINK("https://pbs.twimg.com/profile_images/962471262747529216/Uo8lOkRJ_normal.jpg","View")</f>
        <v>View</v>
      </c>
      <c r="P120" s="7"/>
    </row>
    <row r="121" spans="1:16">
      <c r="A121" s="3">
        <v>43802.791122685187</v>
      </c>
      <c r="B121" s="4" t="str">
        <f>HYPERLINK("https://twitter.com/petrogustavo","@petrogustavo")</f>
        <v>@petrogustavo</v>
      </c>
      <c r="C121" s="5" t="s">
        <v>16</v>
      </c>
      <c r="D121" s="5" t="s">
        <v>151</v>
      </c>
      <c r="E121" s="6" t="str">
        <f>HYPERLINK("https://twitter.com/petrogustavo/status/1201855911268093952","1201855911268093952")</f>
        <v>1201855911268093952</v>
      </c>
      <c r="F121" s="7" t="s">
        <v>17</v>
      </c>
      <c r="G121" s="7">
        <v>3569466</v>
      </c>
      <c r="H121" s="7">
        <v>2333</v>
      </c>
      <c r="I121" s="7">
        <v>1294</v>
      </c>
      <c r="J121" s="7">
        <v>0</v>
      </c>
      <c r="K121" s="7" t="s">
        <v>18</v>
      </c>
      <c r="L121" s="8">
        <v>39987.315405092595</v>
      </c>
      <c r="M121" s="9" t="s">
        <v>19</v>
      </c>
      <c r="N121" s="9" t="s">
        <v>20</v>
      </c>
      <c r="O121" s="6" t="str">
        <f>HYPERLINK("https://pbs.twimg.com/profile_images/962471262747529216/Uo8lOkRJ_normal.jpg","View")</f>
        <v>View</v>
      </c>
      <c r="P121" s="7"/>
    </row>
    <row r="122" spans="1:16">
      <c r="A122" s="3">
        <v>43802.791678240741</v>
      </c>
      <c r="B122" s="4" t="str">
        <f>HYPERLINK("https://twitter.com/petrogustavo","@petrogustavo")</f>
        <v>@petrogustavo</v>
      </c>
      <c r="C122" s="5" t="s">
        <v>16</v>
      </c>
      <c r="D122" s="5" t="s">
        <v>152</v>
      </c>
      <c r="E122" s="6" t="str">
        <f>HYPERLINK("https://twitter.com/petrogustavo/status/1201856112313749505","1201856112313749505")</f>
        <v>1201856112313749505</v>
      </c>
      <c r="F122" s="7" t="s">
        <v>17</v>
      </c>
      <c r="G122" s="7">
        <v>3569466</v>
      </c>
      <c r="H122" s="7">
        <v>2333</v>
      </c>
      <c r="I122" s="7">
        <v>85</v>
      </c>
      <c r="J122" s="7">
        <v>0</v>
      </c>
      <c r="K122" s="7" t="s">
        <v>18</v>
      </c>
      <c r="L122" s="8">
        <v>39987.315405092595</v>
      </c>
      <c r="M122" s="9" t="s">
        <v>19</v>
      </c>
      <c r="N122" s="9" t="s">
        <v>20</v>
      </c>
      <c r="O122" s="6" t="str">
        <f>HYPERLINK("https://pbs.twimg.com/profile_images/962471262747529216/Uo8lOkRJ_normal.jpg","View")</f>
        <v>View</v>
      </c>
      <c r="P122" s="7"/>
    </row>
    <row r="123" spans="1:16">
      <c r="A123" s="3">
        <v>43802.792210648149</v>
      </c>
      <c r="B123" s="4" t="str">
        <f>HYPERLINK("https://twitter.com/petrogustavo","@petrogustavo")</f>
        <v>@petrogustavo</v>
      </c>
      <c r="C123" s="5" t="s">
        <v>16</v>
      </c>
      <c r="D123" s="5" t="s">
        <v>153</v>
      </c>
      <c r="E123" s="6" t="str">
        <f>HYPERLINK("https://twitter.com/petrogustavo/status/1201856308342865921","1201856308342865921")</f>
        <v>1201856308342865921</v>
      </c>
      <c r="F123" s="7" t="s">
        <v>17</v>
      </c>
      <c r="G123" s="7">
        <v>3569466</v>
      </c>
      <c r="H123" s="7">
        <v>2333</v>
      </c>
      <c r="I123" s="7">
        <v>278</v>
      </c>
      <c r="J123" s="7">
        <v>0</v>
      </c>
      <c r="K123" s="7" t="s">
        <v>18</v>
      </c>
      <c r="L123" s="8">
        <v>39987.315405092595</v>
      </c>
      <c r="M123" s="9" t="s">
        <v>19</v>
      </c>
      <c r="N123" s="9" t="s">
        <v>20</v>
      </c>
      <c r="O123" s="6" t="str">
        <f>HYPERLINK("https://pbs.twimg.com/profile_images/962471262747529216/Uo8lOkRJ_normal.jpg","View")</f>
        <v>View</v>
      </c>
      <c r="P123" s="7"/>
    </row>
    <row r="124" spans="1:16">
      <c r="A124" s="3">
        <v>43802.792569444442</v>
      </c>
      <c r="B124" s="4" t="str">
        <f>HYPERLINK("https://twitter.com/petrogustavo","@petrogustavo")</f>
        <v>@petrogustavo</v>
      </c>
      <c r="C124" s="5" t="s">
        <v>16</v>
      </c>
      <c r="D124" s="5" t="s">
        <v>154</v>
      </c>
      <c r="E124" s="6" t="str">
        <f>HYPERLINK("https://twitter.com/petrogustavo/status/1201856435031826434","1201856435031826434")</f>
        <v>1201856435031826434</v>
      </c>
      <c r="F124" s="7" t="s">
        <v>17</v>
      </c>
      <c r="G124" s="7">
        <v>3569466</v>
      </c>
      <c r="H124" s="7">
        <v>2333</v>
      </c>
      <c r="I124" s="7">
        <v>88</v>
      </c>
      <c r="J124" s="7">
        <v>0</v>
      </c>
      <c r="K124" s="7" t="s">
        <v>18</v>
      </c>
      <c r="L124" s="8">
        <v>39987.315405092595</v>
      </c>
      <c r="M124" s="9" t="s">
        <v>19</v>
      </c>
      <c r="N124" s="9" t="s">
        <v>20</v>
      </c>
      <c r="O124" s="6" t="str">
        <f>HYPERLINK("https://pbs.twimg.com/profile_images/962471262747529216/Uo8lOkRJ_normal.jpg","View")</f>
        <v>View</v>
      </c>
      <c r="P124" s="7"/>
    </row>
    <row r="125" spans="1:16">
      <c r="A125" s="3">
        <v>43802.79288194445</v>
      </c>
      <c r="B125" s="4" t="str">
        <f>HYPERLINK("https://twitter.com/petrogustavo","@petrogustavo")</f>
        <v>@petrogustavo</v>
      </c>
      <c r="C125" s="5" t="s">
        <v>16</v>
      </c>
      <c r="D125" s="5" t="s">
        <v>155</v>
      </c>
      <c r="E125" s="6" t="str">
        <f>HYPERLINK("https://twitter.com/petrogustavo/status/1201856549217619972","1201856549217619972")</f>
        <v>1201856549217619972</v>
      </c>
      <c r="F125" s="7" t="s">
        <v>17</v>
      </c>
      <c r="G125" s="7">
        <v>3569466</v>
      </c>
      <c r="H125" s="7">
        <v>2333</v>
      </c>
      <c r="I125" s="7">
        <v>90</v>
      </c>
      <c r="J125" s="7">
        <v>0</v>
      </c>
      <c r="K125" s="7" t="s">
        <v>18</v>
      </c>
      <c r="L125" s="8">
        <v>39987.315405092595</v>
      </c>
      <c r="M125" s="9" t="s">
        <v>19</v>
      </c>
      <c r="N125" s="9" t="s">
        <v>20</v>
      </c>
      <c r="O125" s="6" t="str">
        <f>HYPERLINK("https://pbs.twimg.com/profile_images/962471262747529216/Uo8lOkRJ_normal.jpg","View")</f>
        <v>View</v>
      </c>
      <c r="P125" s="7"/>
    </row>
    <row r="126" spans="1:16">
      <c r="A126" s="3">
        <v>43802.798750000002</v>
      </c>
      <c r="B126" s="4" t="str">
        <f>HYPERLINK("https://twitter.com/petrogustavo","@petrogustavo")</f>
        <v>@petrogustavo</v>
      </c>
      <c r="C126" s="5" t="s">
        <v>16</v>
      </c>
      <c r="D126" s="5" t="s">
        <v>156</v>
      </c>
      <c r="E126" s="6" t="str">
        <f>HYPERLINK("https://twitter.com/petrogustavo/status/1201858675939454976","1201858675939454976")</f>
        <v>1201858675939454976</v>
      </c>
      <c r="F126" s="7" t="s">
        <v>17</v>
      </c>
      <c r="G126" s="7">
        <v>3569466</v>
      </c>
      <c r="H126" s="7">
        <v>2333</v>
      </c>
      <c r="I126" s="7">
        <v>5470</v>
      </c>
      <c r="J126" s="7">
        <v>0</v>
      </c>
      <c r="K126" s="7" t="s">
        <v>18</v>
      </c>
      <c r="L126" s="8">
        <v>39987.315405092595</v>
      </c>
      <c r="M126" s="9" t="s">
        <v>19</v>
      </c>
      <c r="N126" s="9" t="s">
        <v>20</v>
      </c>
      <c r="O126" s="6" t="str">
        <f>HYPERLINK("https://pbs.twimg.com/profile_images/962471262747529216/Uo8lOkRJ_normal.jpg","View")</f>
        <v>View</v>
      </c>
      <c r="P126" s="7"/>
    </row>
    <row r="127" spans="1:16">
      <c r="A127" s="3">
        <v>43802.802245370374</v>
      </c>
      <c r="B127" s="4" t="str">
        <f>HYPERLINK("https://twitter.com/petrogustavo","@petrogustavo")</f>
        <v>@petrogustavo</v>
      </c>
      <c r="C127" s="5" t="s">
        <v>16</v>
      </c>
      <c r="D127" s="5" t="s">
        <v>157</v>
      </c>
      <c r="E127" s="6" t="str">
        <f>HYPERLINK("https://twitter.com/petrogustavo/status/1201859944770887682","1201859944770887682")</f>
        <v>1201859944770887682</v>
      </c>
      <c r="F127" s="7" t="s">
        <v>17</v>
      </c>
      <c r="G127" s="7">
        <v>3569466</v>
      </c>
      <c r="H127" s="7">
        <v>2333</v>
      </c>
      <c r="I127" s="7">
        <v>135</v>
      </c>
      <c r="J127" s="7">
        <v>0</v>
      </c>
      <c r="K127" s="7" t="s">
        <v>18</v>
      </c>
      <c r="L127" s="8">
        <v>39987.315405092595</v>
      </c>
      <c r="M127" s="9" t="s">
        <v>19</v>
      </c>
      <c r="N127" s="9" t="s">
        <v>20</v>
      </c>
      <c r="O127" s="6" t="str">
        <f>HYPERLINK("https://pbs.twimg.com/profile_images/962471262747529216/Uo8lOkRJ_normal.jpg","View")</f>
        <v>View</v>
      </c>
      <c r="P127" s="7"/>
    </row>
    <row r="128" spans="1:16">
      <c r="A128" s="3">
        <v>43802.802777777775</v>
      </c>
      <c r="B128" s="4" t="str">
        <f>HYPERLINK("https://twitter.com/petrogustavo","@petrogustavo")</f>
        <v>@petrogustavo</v>
      </c>
      <c r="C128" s="5" t="s">
        <v>16</v>
      </c>
      <c r="D128" s="5" t="s">
        <v>158</v>
      </c>
      <c r="E128" s="6" t="str">
        <f>HYPERLINK("https://twitter.com/petrogustavo/status/1201860135720833027","1201860135720833027")</f>
        <v>1201860135720833027</v>
      </c>
      <c r="F128" s="7" t="s">
        <v>17</v>
      </c>
      <c r="G128" s="7">
        <v>3569466</v>
      </c>
      <c r="H128" s="7">
        <v>2333</v>
      </c>
      <c r="I128" s="7">
        <v>13</v>
      </c>
      <c r="J128" s="7">
        <v>0</v>
      </c>
      <c r="K128" s="7" t="s">
        <v>18</v>
      </c>
      <c r="L128" s="8">
        <v>39987.315405092595</v>
      </c>
      <c r="M128" s="9" t="s">
        <v>19</v>
      </c>
      <c r="N128" s="9" t="s">
        <v>20</v>
      </c>
      <c r="O128" s="6" t="str">
        <f>HYPERLINK("https://pbs.twimg.com/profile_images/962471262747529216/Uo8lOkRJ_normal.jpg","View")</f>
        <v>View</v>
      </c>
      <c r="P128" s="7"/>
    </row>
    <row r="129" spans="1:16">
      <c r="A129" s="3">
        <v>43802.803032407406</v>
      </c>
      <c r="B129" s="4" t="str">
        <f>HYPERLINK("https://twitter.com/petrogustavo","@petrogustavo")</f>
        <v>@petrogustavo</v>
      </c>
      <c r="C129" s="5" t="s">
        <v>16</v>
      </c>
      <c r="D129" s="5" t="s">
        <v>159</v>
      </c>
      <c r="E129" s="6" t="str">
        <f>HYPERLINK("https://twitter.com/petrogustavo/status/1201860229467648000","1201860229467648000")</f>
        <v>1201860229467648000</v>
      </c>
      <c r="F129" s="7" t="s">
        <v>17</v>
      </c>
      <c r="G129" s="7">
        <v>3569466</v>
      </c>
      <c r="H129" s="7">
        <v>2333</v>
      </c>
      <c r="I129" s="7">
        <v>22</v>
      </c>
      <c r="J129" s="7">
        <v>0</v>
      </c>
      <c r="K129" s="7" t="s">
        <v>18</v>
      </c>
      <c r="L129" s="8">
        <v>39987.315405092595</v>
      </c>
      <c r="M129" s="9" t="s">
        <v>19</v>
      </c>
      <c r="N129" s="9" t="s">
        <v>20</v>
      </c>
      <c r="O129" s="6" t="str">
        <f>HYPERLINK("https://pbs.twimg.com/profile_images/962471262747529216/Uo8lOkRJ_normal.jpg","View")</f>
        <v>View</v>
      </c>
      <c r="P129" s="7"/>
    </row>
    <row r="130" spans="1:16">
      <c r="A130" s="3">
        <v>43802.803159722222</v>
      </c>
      <c r="B130" s="4" t="str">
        <f>HYPERLINK("https://twitter.com/petrogustavo","@petrogustavo")</f>
        <v>@petrogustavo</v>
      </c>
      <c r="C130" s="5" t="s">
        <v>16</v>
      </c>
      <c r="D130" s="5" t="s">
        <v>160</v>
      </c>
      <c r="E130" s="6" t="str">
        <f>HYPERLINK("https://twitter.com/petrogustavo/status/1201860275856707585","1201860275856707585")</f>
        <v>1201860275856707585</v>
      </c>
      <c r="F130" s="7" t="s">
        <v>17</v>
      </c>
      <c r="G130" s="7">
        <v>3569466</v>
      </c>
      <c r="H130" s="7">
        <v>2333</v>
      </c>
      <c r="I130" s="7">
        <v>18</v>
      </c>
      <c r="J130" s="7">
        <v>0</v>
      </c>
      <c r="K130" s="7" t="s">
        <v>18</v>
      </c>
      <c r="L130" s="8">
        <v>39987.315405092595</v>
      </c>
      <c r="M130" s="9" t="s">
        <v>19</v>
      </c>
      <c r="N130" s="9" t="s">
        <v>20</v>
      </c>
      <c r="O130" s="6" t="str">
        <f>HYPERLINK("https://pbs.twimg.com/profile_images/962471262747529216/Uo8lOkRJ_normal.jpg","View")</f>
        <v>View</v>
      </c>
      <c r="P130" s="7"/>
    </row>
    <row r="131" spans="1:16">
      <c r="A131" s="3">
        <v>43802.804444444446</v>
      </c>
      <c r="B131" s="4" t="str">
        <f>HYPERLINK("https://twitter.com/petrogustavo","@petrogustavo")</f>
        <v>@petrogustavo</v>
      </c>
      <c r="C131" s="5" t="s">
        <v>16</v>
      </c>
      <c r="D131" s="5" t="s">
        <v>161</v>
      </c>
      <c r="E131" s="6" t="str">
        <f>HYPERLINK("https://twitter.com/petrogustavo/status/1201860739578974208","1201860739578974208")</f>
        <v>1201860739578974208</v>
      </c>
      <c r="F131" s="7" t="s">
        <v>17</v>
      </c>
      <c r="G131" s="7">
        <v>3569506</v>
      </c>
      <c r="H131" s="7">
        <v>2333</v>
      </c>
      <c r="I131" s="7">
        <v>283</v>
      </c>
      <c r="J131" s="7">
        <v>868</v>
      </c>
      <c r="K131" s="7" t="s">
        <v>18</v>
      </c>
      <c r="L131" s="8">
        <v>39987.315405092595</v>
      </c>
      <c r="M131" s="9" t="s">
        <v>19</v>
      </c>
      <c r="N131" s="9" t="s">
        <v>20</v>
      </c>
      <c r="O131" s="6" t="str">
        <f>HYPERLINK("https://pbs.twimg.com/profile_images/962471262747529216/Uo8lOkRJ_normal.jpg","View")</f>
        <v>View</v>
      </c>
      <c r="P131" s="7"/>
    </row>
    <row r="132" spans="1:16">
      <c r="A132" s="3">
        <v>43802.807615740741</v>
      </c>
      <c r="B132" s="4" t="str">
        <f>HYPERLINK("https://twitter.com/petrogustavo","@petrogustavo")</f>
        <v>@petrogustavo</v>
      </c>
      <c r="C132" s="5" t="s">
        <v>16</v>
      </c>
      <c r="D132" s="5" t="s">
        <v>162</v>
      </c>
      <c r="E132" s="6" t="str">
        <f>HYPERLINK("https://twitter.com/petrogustavo/status/1201861887706746880","1201861887706746880")</f>
        <v>1201861887706746880</v>
      </c>
      <c r="F132" s="7" t="s">
        <v>17</v>
      </c>
      <c r="G132" s="7">
        <v>3569506</v>
      </c>
      <c r="H132" s="7">
        <v>2333</v>
      </c>
      <c r="I132" s="7">
        <v>44</v>
      </c>
      <c r="J132" s="7">
        <v>0</v>
      </c>
      <c r="K132" s="7" t="s">
        <v>18</v>
      </c>
      <c r="L132" s="8">
        <v>39987.315405092595</v>
      </c>
      <c r="M132" s="9" t="s">
        <v>19</v>
      </c>
      <c r="N132" s="9" t="s">
        <v>20</v>
      </c>
      <c r="O132" s="6" t="str">
        <f>HYPERLINK("https://pbs.twimg.com/profile_images/962471262747529216/Uo8lOkRJ_normal.jpg","View")</f>
        <v>View</v>
      </c>
      <c r="P132" s="7"/>
    </row>
    <row r="133" spans="1:16">
      <c r="A133" s="3">
        <v>43802.808391203704</v>
      </c>
      <c r="B133" s="4" t="str">
        <f>HYPERLINK("https://twitter.com/petrogustavo","@petrogustavo")</f>
        <v>@petrogustavo</v>
      </c>
      <c r="C133" s="5" t="s">
        <v>16</v>
      </c>
      <c r="D133" s="5" t="s">
        <v>163</v>
      </c>
      <c r="E133" s="6" t="str">
        <f>HYPERLINK("https://twitter.com/petrogustavo/status/1201862169261989888","1201862169261989888")</f>
        <v>1201862169261989888</v>
      </c>
      <c r="F133" s="7" t="s">
        <v>17</v>
      </c>
      <c r="G133" s="7">
        <v>3569506</v>
      </c>
      <c r="H133" s="7">
        <v>2333</v>
      </c>
      <c r="I133" s="7">
        <v>14</v>
      </c>
      <c r="J133" s="7">
        <v>0</v>
      </c>
      <c r="K133" s="7" t="s">
        <v>18</v>
      </c>
      <c r="L133" s="8">
        <v>39987.315405092595</v>
      </c>
      <c r="M133" s="9" t="s">
        <v>19</v>
      </c>
      <c r="N133" s="9" t="s">
        <v>20</v>
      </c>
      <c r="O133" s="6" t="str">
        <f>HYPERLINK("https://pbs.twimg.com/profile_images/962471262747529216/Uo8lOkRJ_normal.jpg","View")</f>
        <v>View</v>
      </c>
      <c r="P133" s="7"/>
    </row>
    <row r="134" spans="1:16">
      <c r="A134" s="3">
        <v>43802.809537037036</v>
      </c>
      <c r="B134" s="4" t="str">
        <f>HYPERLINK("https://twitter.com/petrogustavo","@petrogustavo")</f>
        <v>@petrogustavo</v>
      </c>
      <c r="C134" s="5" t="s">
        <v>16</v>
      </c>
      <c r="D134" s="5" t="s">
        <v>164</v>
      </c>
      <c r="E134" s="6" t="str">
        <f>HYPERLINK("https://twitter.com/petrogustavo/status/1201862584024096771","1201862584024096771")</f>
        <v>1201862584024096771</v>
      </c>
      <c r="F134" s="7" t="s">
        <v>17</v>
      </c>
      <c r="G134" s="7">
        <v>3569506</v>
      </c>
      <c r="H134" s="7">
        <v>2333</v>
      </c>
      <c r="I134" s="7">
        <v>549</v>
      </c>
      <c r="J134" s="7">
        <v>0</v>
      </c>
      <c r="K134" s="7" t="s">
        <v>18</v>
      </c>
      <c r="L134" s="8">
        <v>39987.315405092595</v>
      </c>
      <c r="M134" s="9" t="s">
        <v>19</v>
      </c>
      <c r="N134" s="9" t="s">
        <v>20</v>
      </c>
      <c r="O134" s="6" t="str">
        <f>HYPERLINK("https://pbs.twimg.com/profile_images/962471262747529216/Uo8lOkRJ_normal.jpg","View")</f>
        <v>View</v>
      </c>
      <c r="P134" s="7"/>
    </row>
    <row r="135" spans="1:16">
      <c r="A135" s="3">
        <v>43802.810879629629</v>
      </c>
      <c r="B135" s="4" t="str">
        <f>HYPERLINK("https://twitter.com/petrogustavo","@petrogustavo")</f>
        <v>@petrogustavo</v>
      </c>
      <c r="C135" s="5" t="s">
        <v>16</v>
      </c>
      <c r="D135" s="5" t="s">
        <v>165</v>
      </c>
      <c r="E135" s="6" t="str">
        <f>HYPERLINK("https://twitter.com/petrogustavo/status/1201863072400457728","1201863072400457728")</f>
        <v>1201863072400457728</v>
      </c>
      <c r="F135" s="7" t="s">
        <v>17</v>
      </c>
      <c r="G135" s="7">
        <v>3569506</v>
      </c>
      <c r="H135" s="7">
        <v>2333</v>
      </c>
      <c r="I135" s="7">
        <v>64</v>
      </c>
      <c r="J135" s="7">
        <v>174</v>
      </c>
      <c r="K135" s="7" t="s">
        <v>18</v>
      </c>
      <c r="L135" s="8">
        <v>39987.315405092595</v>
      </c>
      <c r="M135" s="9" t="s">
        <v>19</v>
      </c>
      <c r="N135" s="9" t="s">
        <v>20</v>
      </c>
      <c r="O135" s="6" t="str">
        <f>HYPERLINK("https://pbs.twimg.com/profile_images/962471262747529216/Uo8lOkRJ_normal.jpg","View")</f>
        <v>View</v>
      </c>
      <c r="P135" s="7"/>
    </row>
    <row r="136" spans="1:16">
      <c r="A136" s="3">
        <v>43802.812118055561</v>
      </c>
      <c r="B136" s="4" t="str">
        <f>HYPERLINK("https://twitter.com/petrogustavo","@petrogustavo")</f>
        <v>@petrogustavo</v>
      </c>
      <c r="C136" s="5" t="s">
        <v>16</v>
      </c>
      <c r="D136" s="5" t="s">
        <v>166</v>
      </c>
      <c r="E136" s="6" t="str">
        <f>HYPERLINK("https://twitter.com/petrogustavo/status/1201863518850560001","1201863518850560001")</f>
        <v>1201863518850560001</v>
      </c>
      <c r="F136" s="7" t="s">
        <v>17</v>
      </c>
      <c r="G136" s="7">
        <v>3569506</v>
      </c>
      <c r="H136" s="7">
        <v>2333</v>
      </c>
      <c r="I136" s="7">
        <v>216</v>
      </c>
      <c r="J136" s="7">
        <v>404</v>
      </c>
      <c r="K136" s="7" t="s">
        <v>18</v>
      </c>
      <c r="L136" s="8">
        <v>39987.315405092595</v>
      </c>
      <c r="M136" s="9" t="s">
        <v>19</v>
      </c>
      <c r="N136" s="9" t="s">
        <v>20</v>
      </c>
      <c r="O136" s="6" t="str">
        <f>HYPERLINK("https://pbs.twimg.com/profile_images/962471262747529216/Uo8lOkRJ_normal.jpg","View")</f>
        <v>View</v>
      </c>
      <c r="P136" s="7"/>
    </row>
    <row r="137" spans="1:16">
      <c r="A137" s="3">
        <v>43802.812361111108</v>
      </c>
      <c r="B137" s="4" t="str">
        <f>HYPERLINK("https://twitter.com/petrogustavo","@petrogustavo")</f>
        <v>@petrogustavo</v>
      </c>
      <c r="C137" s="5" t="s">
        <v>16</v>
      </c>
      <c r="D137" s="5" t="s">
        <v>167</v>
      </c>
      <c r="E137" s="6" t="str">
        <f>HYPERLINK("https://twitter.com/petrogustavo/status/1201863608625500160","1201863608625500160")</f>
        <v>1201863608625500160</v>
      </c>
      <c r="F137" s="7" t="s">
        <v>17</v>
      </c>
      <c r="G137" s="7">
        <v>3569506</v>
      </c>
      <c r="H137" s="7">
        <v>2333</v>
      </c>
      <c r="I137" s="7">
        <v>178</v>
      </c>
      <c r="J137" s="7">
        <v>0</v>
      </c>
      <c r="K137" s="7" t="s">
        <v>18</v>
      </c>
      <c r="L137" s="8">
        <v>39987.315405092595</v>
      </c>
      <c r="M137" s="9" t="s">
        <v>19</v>
      </c>
      <c r="N137" s="9" t="s">
        <v>20</v>
      </c>
      <c r="O137" s="6" t="str">
        <f>HYPERLINK("https://pbs.twimg.com/profile_images/962471262747529216/Uo8lOkRJ_normal.jpg","View")</f>
        <v>View</v>
      </c>
      <c r="P137" s="7"/>
    </row>
    <row r="138" spans="1:16">
      <c r="A138" s="3">
        <v>43802.814340277779</v>
      </c>
      <c r="B138" s="4" t="str">
        <f>HYPERLINK("https://twitter.com/petrogustavo","@petrogustavo")</f>
        <v>@petrogustavo</v>
      </c>
      <c r="C138" s="5" t="s">
        <v>16</v>
      </c>
      <c r="D138" s="5" t="s">
        <v>168</v>
      </c>
      <c r="E138" s="6" t="str">
        <f>HYPERLINK("https://twitter.com/petrogustavo/status/1201864327055233024","1201864327055233024")</f>
        <v>1201864327055233024</v>
      </c>
      <c r="F138" s="7" t="s">
        <v>17</v>
      </c>
      <c r="G138" s="7">
        <v>3569506</v>
      </c>
      <c r="H138" s="7">
        <v>2333</v>
      </c>
      <c r="I138" s="7">
        <v>62</v>
      </c>
      <c r="J138" s="7">
        <v>112</v>
      </c>
      <c r="K138" s="7" t="s">
        <v>18</v>
      </c>
      <c r="L138" s="8">
        <v>39987.315405092595</v>
      </c>
      <c r="M138" s="9" t="s">
        <v>19</v>
      </c>
      <c r="N138" s="9" t="s">
        <v>20</v>
      </c>
      <c r="O138" s="6" t="str">
        <f>HYPERLINK("https://pbs.twimg.com/profile_images/962471262747529216/Uo8lOkRJ_normal.jpg","View")</f>
        <v>View</v>
      </c>
      <c r="P138" s="7"/>
    </row>
    <row r="139" spans="1:16">
      <c r="A139" s="3">
        <v>43802.814606481479</v>
      </c>
      <c r="B139" s="4" t="str">
        <f>HYPERLINK("https://twitter.com/petrogustavo","@petrogustavo")</f>
        <v>@petrogustavo</v>
      </c>
      <c r="C139" s="5" t="s">
        <v>16</v>
      </c>
      <c r="D139" s="5" t="s">
        <v>169</v>
      </c>
      <c r="E139" s="6" t="str">
        <f>HYPERLINK("https://twitter.com/petrogustavo/status/1201864424228831233","1201864424228831233")</f>
        <v>1201864424228831233</v>
      </c>
      <c r="F139" s="7" t="s">
        <v>17</v>
      </c>
      <c r="G139" s="7">
        <v>3569506</v>
      </c>
      <c r="H139" s="7">
        <v>2333</v>
      </c>
      <c r="I139" s="7">
        <v>35</v>
      </c>
      <c r="J139" s="7">
        <v>0</v>
      </c>
      <c r="K139" s="7" t="s">
        <v>18</v>
      </c>
      <c r="L139" s="8">
        <v>39987.315405092595</v>
      </c>
      <c r="M139" s="9" t="s">
        <v>19</v>
      </c>
      <c r="N139" s="9" t="s">
        <v>20</v>
      </c>
      <c r="O139" s="6" t="str">
        <f>HYPERLINK("https://pbs.twimg.com/profile_images/962471262747529216/Uo8lOkRJ_normal.jpg","View")</f>
        <v>View</v>
      </c>
      <c r="P139" s="7"/>
    </row>
    <row r="140" spans="1:16">
      <c r="A140" s="3">
        <v>43802.814826388887</v>
      </c>
      <c r="B140" s="4" t="str">
        <f>HYPERLINK("https://twitter.com/petrogustavo","@petrogustavo")</f>
        <v>@petrogustavo</v>
      </c>
      <c r="C140" s="5" t="s">
        <v>16</v>
      </c>
      <c r="D140" s="5" t="s">
        <v>170</v>
      </c>
      <c r="E140" s="6" t="str">
        <f>HYPERLINK("https://twitter.com/petrogustavo/status/1201864501198499840","1201864501198499840")</f>
        <v>1201864501198499840</v>
      </c>
      <c r="F140" s="7" t="s">
        <v>17</v>
      </c>
      <c r="G140" s="7">
        <v>3569506</v>
      </c>
      <c r="H140" s="7">
        <v>2333</v>
      </c>
      <c r="I140" s="7">
        <v>283</v>
      </c>
      <c r="J140" s="7">
        <v>0</v>
      </c>
      <c r="K140" s="7" t="s">
        <v>18</v>
      </c>
      <c r="L140" s="8">
        <v>39987.315405092595</v>
      </c>
      <c r="M140" s="9" t="s">
        <v>19</v>
      </c>
      <c r="N140" s="9" t="s">
        <v>20</v>
      </c>
      <c r="O140" s="6" t="str">
        <f>HYPERLINK("https://pbs.twimg.com/profile_images/962471262747529216/Uo8lOkRJ_normal.jpg","View")</f>
        <v>View</v>
      </c>
      <c r="P140" s="7"/>
    </row>
    <row r="141" spans="1:16">
      <c r="A141" s="3">
        <v>43802.815046296295</v>
      </c>
      <c r="B141" s="4" t="str">
        <f>HYPERLINK("https://twitter.com/petrogustavo","@petrogustavo")</f>
        <v>@petrogustavo</v>
      </c>
      <c r="C141" s="5" t="s">
        <v>16</v>
      </c>
      <c r="D141" s="5" t="s">
        <v>171</v>
      </c>
      <c r="E141" s="6" t="str">
        <f>HYPERLINK("https://twitter.com/petrogustavo/status/1201864580886077440","1201864580886077440")</f>
        <v>1201864580886077440</v>
      </c>
      <c r="F141" s="7" t="s">
        <v>17</v>
      </c>
      <c r="G141" s="7">
        <v>3569506</v>
      </c>
      <c r="H141" s="7">
        <v>2333</v>
      </c>
      <c r="I141" s="7">
        <v>19</v>
      </c>
      <c r="J141" s="7">
        <v>0</v>
      </c>
      <c r="K141" s="7" t="s">
        <v>18</v>
      </c>
      <c r="L141" s="8">
        <v>39987.315405092595</v>
      </c>
      <c r="M141" s="9" t="s">
        <v>19</v>
      </c>
      <c r="N141" s="9" t="s">
        <v>20</v>
      </c>
      <c r="O141" s="6" t="str">
        <f>HYPERLINK("https://pbs.twimg.com/profile_images/962471262747529216/Uo8lOkRJ_normal.jpg","View")</f>
        <v>View</v>
      </c>
      <c r="P141" s="7"/>
    </row>
    <row r="142" spans="1:16">
      <c r="A142" s="3">
        <v>43802.816238425927</v>
      </c>
      <c r="B142" s="4" t="str">
        <f>HYPERLINK("https://twitter.com/petrogustavo","@petrogustavo")</f>
        <v>@petrogustavo</v>
      </c>
      <c r="C142" s="5" t="s">
        <v>16</v>
      </c>
      <c r="D142" s="5" t="s">
        <v>172</v>
      </c>
      <c r="E142" s="6" t="str">
        <f>HYPERLINK("https://twitter.com/petrogustavo/status/1201865013478252544","1201865013478252544")</f>
        <v>1201865013478252544</v>
      </c>
      <c r="F142" s="7" t="s">
        <v>17</v>
      </c>
      <c r="G142" s="7">
        <v>3569506</v>
      </c>
      <c r="H142" s="7">
        <v>2333</v>
      </c>
      <c r="I142" s="7">
        <v>43</v>
      </c>
      <c r="J142" s="7">
        <v>111</v>
      </c>
      <c r="K142" s="7" t="s">
        <v>18</v>
      </c>
      <c r="L142" s="8">
        <v>39987.315405092595</v>
      </c>
      <c r="M142" s="9" t="s">
        <v>19</v>
      </c>
      <c r="N142" s="9" t="s">
        <v>20</v>
      </c>
      <c r="O142" s="6" t="str">
        <f>HYPERLINK("https://pbs.twimg.com/profile_images/962471262747529216/Uo8lOkRJ_normal.jpg","View")</f>
        <v>View</v>
      </c>
      <c r="P142" s="7"/>
    </row>
    <row r="143" spans="1:16">
      <c r="A143" s="3">
        <v>43802.816620370373</v>
      </c>
      <c r="B143" s="4" t="str">
        <f>HYPERLINK("https://twitter.com/petrogustavo","@petrogustavo")</f>
        <v>@petrogustavo</v>
      </c>
      <c r="C143" s="5" t="s">
        <v>16</v>
      </c>
      <c r="D143" s="5" t="s">
        <v>173</v>
      </c>
      <c r="E143" s="6" t="str">
        <f>HYPERLINK("https://twitter.com/petrogustavo/status/1201865151923867656","1201865151923867656")</f>
        <v>1201865151923867656</v>
      </c>
      <c r="F143" s="7" t="s">
        <v>17</v>
      </c>
      <c r="G143" s="7">
        <v>3569506</v>
      </c>
      <c r="H143" s="7">
        <v>2333</v>
      </c>
      <c r="I143" s="7">
        <v>12</v>
      </c>
      <c r="J143" s="7">
        <v>0</v>
      </c>
      <c r="K143" s="7" t="s">
        <v>18</v>
      </c>
      <c r="L143" s="8">
        <v>39987.315405092595</v>
      </c>
      <c r="M143" s="9" t="s">
        <v>19</v>
      </c>
      <c r="N143" s="9" t="s">
        <v>20</v>
      </c>
      <c r="O143" s="6" t="str">
        <f>HYPERLINK("https://pbs.twimg.com/profile_images/962471262747529216/Uo8lOkRJ_normal.jpg","View")</f>
        <v>View</v>
      </c>
      <c r="P143" s="7"/>
    </row>
    <row r="144" spans="1:16">
      <c r="A144" s="3">
        <v>43802.818020833336</v>
      </c>
      <c r="B144" s="4" t="str">
        <f>HYPERLINK("https://twitter.com/petrogustavo","@petrogustavo")</f>
        <v>@petrogustavo</v>
      </c>
      <c r="C144" s="5" t="s">
        <v>16</v>
      </c>
      <c r="D144" s="5" t="s">
        <v>174</v>
      </c>
      <c r="E144" s="6" t="str">
        <f>HYPERLINK("https://twitter.com/petrogustavo/status/1201865661573677057","1201865661573677057")</f>
        <v>1201865661573677057</v>
      </c>
      <c r="F144" s="7" t="s">
        <v>17</v>
      </c>
      <c r="G144" s="7">
        <v>3569506</v>
      </c>
      <c r="H144" s="7">
        <v>2333</v>
      </c>
      <c r="I144" s="7">
        <v>29</v>
      </c>
      <c r="J144" s="7">
        <v>120</v>
      </c>
      <c r="K144" s="7" t="s">
        <v>18</v>
      </c>
      <c r="L144" s="8">
        <v>39987.315405092595</v>
      </c>
      <c r="M144" s="9" t="s">
        <v>19</v>
      </c>
      <c r="N144" s="9" t="s">
        <v>20</v>
      </c>
      <c r="O144" s="6" t="str">
        <f>HYPERLINK("https://pbs.twimg.com/profile_images/962471262747529216/Uo8lOkRJ_normal.jpg","View")</f>
        <v>View</v>
      </c>
      <c r="P144" s="7"/>
    </row>
    <row r="145" spans="1:16">
      <c r="A145" s="3">
        <v>43802.821643518517</v>
      </c>
      <c r="B145" s="4" t="str">
        <f>HYPERLINK("https://twitter.com/petrogustavo","@petrogustavo")</f>
        <v>@petrogustavo</v>
      </c>
      <c r="C145" s="5" t="s">
        <v>16</v>
      </c>
      <c r="D145" s="5" t="s">
        <v>175</v>
      </c>
      <c r="E145" s="6" t="str">
        <f>HYPERLINK("https://twitter.com/petrogustavo/status/1201866971396165635","1201866971396165635")</f>
        <v>1201866971396165635</v>
      </c>
      <c r="F145" s="7" t="s">
        <v>17</v>
      </c>
      <c r="G145" s="7">
        <v>3569506</v>
      </c>
      <c r="H145" s="7">
        <v>2333</v>
      </c>
      <c r="I145" s="7">
        <v>42</v>
      </c>
      <c r="J145" s="7">
        <v>119</v>
      </c>
      <c r="K145" s="7" t="s">
        <v>18</v>
      </c>
      <c r="L145" s="8">
        <v>39987.315405092595</v>
      </c>
      <c r="M145" s="9" t="s">
        <v>19</v>
      </c>
      <c r="N145" s="9" t="s">
        <v>20</v>
      </c>
      <c r="O145" s="6" t="str">
        <f>HYPERLINK("https://pbs.twimg.com/profile_images/962471262747529216/Uo8lOkRJ_normal.jpg","View")</f>
        <v>View</v>
      </c>
      <c r="P145" s="7"/>
    </row>
    <row r="146" spans="1:16">
      <c r="A146" s="3">
        <v>43802.823738425926</v>
      </c>
      <c r="B146" s="4" t="str">
        <f>HYPERLINK("https://twitter.com/petrogustavo","@petrogustavo")</f>
        <v>@petrogustavo</v>
      </c>
      <c r="C146" s="5" t="s">
        <v>16</v>
      </c>
      <c r="D146" s="5" t="s">
        <v>176</v>
      </c>
      <c r="E146" s="6" t="str">
        <f>HYPERLINK("https://twitter.com/petrogustavo/status/1201867730636464128","1201867730636464128")</f>
        <v>1201867730636464128</v>
      </c>
      <c r="F146" s="7" t="s">
        <v>17</v>
      </c>
      <c r="G146" s="7">
        <v>3569506</v>
      </c>
      <c r="H146" s="7">
        <v>2333</v>
      </c>
      <c r="I146" s="7">
        <v>14</v>
      </c>
      <c r="J146" s="7">
        <v>0</v>
      </c>
      <c r="K146" s="7" t="s">
        <v>18</v>
      </c>
      <c r="L146" s="8">
        <v>39987.315405092595</v>
      </c>
      <c r="M146" s="9" t="s">
        <v>19</v>
      </c>
      <c r="N146" s="9" t="s">
        <v>20</v>
      </c>
      <c r="O146" s="6" t="str">
        <f>HYPERLINK("https://pbs.twimg.com/profile_images/962471262747529216/Uo8lOkRJ_normal.jpg","View")</f>
        <v>View</v>
      </c>
      <c r="P146" s="7"/>
    </row>
    <row r="147" spans="1:16">
      <c r="A147" s="3">
        <v>43802.826192129629</v>
      </c>
      <c r="B147" s="4" t="str">
        <f>HYPERLINK("https://twitter.com/petrogustavo","@petrogustavo")</f>
        <v>@petrogustavo</v>
      </c>
      <c r="C147" s="5" t="s">
        <v>16</v>
      </c>
      <c r="D147" s="5" t="s">
        <v>177</v>
      </c>
      <c r="E147" s="6" t="str">
        <f>HYPERLINK("https://twitter.com/petrogustavo/status/1201868619287875585","1201868619287875585")</f>
        <v>1201868619287875585</v>
      </c>
      <c r="F147" s="7" t="s">
        <v>17</v>
      </c>
      <c r="G147" s="7">
        <v>3569532</v>
      </c>
      <c r="H147" s="7">
        <v>2333</v>
      </c>
      <c r="I147" s="7">
        <v>113</v>
      </c>
      <c r="J147" s="7">
        <v>227</v>
      </c>
      <c r="K147" s="7" t="s">
        <v>18</v>
      </c>
      <c r="L147" s="8">
        <v>39987.315405092595</v>
      </c>
      <c r="M147" s="9" t="s">
        <v>19</v>
      </c>
      <c r="N147" s="9" t="s">
        <v>20</v>
      </c>
      <c r="O147" s="6" t="str">
        <f>HYPERLINK("https://pbs.twimg.com/profile_images/962471262747529216/Uo8lOkRJ_normal.jpg","View")</f>
        <v>View</v>
      </c>
      <c r="P147" s="7"/>
    </row>
    <row r="148" spans="1:16">
      <c r="A148" s="3">
        <v>43802.82739583333</v>
      </c>
      <c r="B148" s="4" t="str">
        <f>HYPERLINK("https://twitter.com/petrogustavo","@petrogustavo")</f>
        <v>@petrogustavo</v>
      </c>
      <c r="C148" s="5" t="s">
        <v>16</v>
      </c>
      <c r="D148" s="5" t="s">
        <v>178</v>
      </c>
      <c r="E148" s="6" t="str">
        <f>HYPERLINK("https://twitter.com/petrogustavo/status/1201869058188165121","1201869058188165121")</f>
        <v>1201869058188165121</v>
      </c>
      <c r="F148" s="7" t="s">
        <v>17</v>
      </c>
      <c r="G148" s="7">
        <v>3569532</v>
      </c>
      <c r="H148" s="7">
        <v>2333</v>
      </c>
      <c r="I148" s="7">
        <v>188</v>
      </c>
      <c r="J148" s="7">
        <v>0</v>
      </c>
      <c r="K148" s="7" t="s">
        <v>18</v>
      </c>
      <c r="L148" s="8">
        <v>39987.315405092595</v>
      </c>
      <c r="M148" s="9" t="s">
        <v>19</v>
      </c>
      <c r="N148" s="9" t="s">
        <v>20</v>
      </c>
      <c r="O148" s="6" t="str">
        <f>HYPERLINK("https://pbs.twimg.com/profile_images/962471262747529216/Uo8lOkRJ_normal.jpg","View")</f>
        <v>View</v>
      </c>
      <c r="P148" s="7"/>
    </row>
    <row r="149" spans="1:16">
      <c r="A149" s="3">
        <v>43802.831921296296</v>
      </c>
      <c r="B149" s="4" t="str">
        <f>HYPERLINK("https://twitter.com/petrogustavo","@petrogustavo")</f>
        <v>@petrogustavo</v>
      </c>
      <c r="C149" s="5" t="s">
        <v>16</v>
      </c>
      <c r="D149" s="5" t="s">
        <v>179</v>
      </c>
      <c r="E149" s="6" t="str">
        <f>HYPERLINK("https://twitter.com/petrogustavo/status/1201870696080695298","1201870696080695298")</f>
        <v>1201870696080695298</v>
      </c>
      <c r="F149" s="7" t="s">
        <v>17</v>
      </c>
      <c r="G149" s="7">
        <v>3569532</v>
      </c>
      <c r="H149" s="7">
        <v>2333</v>
      </c>
      <c r="I149" s="7">
        <v>107</v>
      </c>
      <c r="J149" s="7">
        <v>317</v>
      </c>
      <c r="K149" s="7" t="s">
        <v>18</v>
      </c>
      <c r="L149" s="8">
        <v>39987.315405092595</v>
      </c>
      <c r="M149" s="9" t="s">
        <v>19</v>
      </c>
      <c r="N149" s="9" t="s">
        <v>20</v>
      </c>
      <c r="O149" s="6" t="str">
        <f>HYPERLINK("https://pbs.twimg.com/profile_images/962471262747529216/Uo8lOkRJ_normal.jpg","View")</f>
        <v>View</v>
      </c>
      <c r="P149" s="7"/>
    </row>
    <row r="150" spans="1:16">
      <c r="A150" s="3">
        <v>43802.834467592591</v>
      </c>
      <c r="B150" s="4" t="str">
        <f>HYPERLINK("https://twitter.com/petrogustavo","@petrogustavo")</f>
        <v>@petrogustavo</v>
      </c>
      <c r="C150" s="5" t="s">
        <v>16</v>
      </c>
      <c r="D150" s="5" t="s">
        <v>180</v>
      </c>
      <c r="E150" s="6" t="str">
        <f>HYPERLINK("https://twitter.com/petrogustavo/status/1201871621016997892","1201871621016997892")</f>
        <v>1201871621016997892</v>
      </c>
      <c r="F150" s="7" t="s">
        <v>17</v>
      </c>
      <c r="G150" s="7">
        <v>3569532</v>
      </c>
      <c r="H150" s="7">
        <v>2333</v>
      </c>
      <c r="I150" s="7">
        <v>98</v>
      </c>
      <c r="J150" s="7">
        <v>0</v>
      </c>
      <c r="K150" s="7" t="s">
        <v>18</v>
      </c>
      <c r="L150" s="8">
        <v>39987.315405092595</v>
      </c>
      <c r="M150" s="9" t="s">
        <v>19</v>
      </c>
      <c r="N150" s="9" t="s">
        <v>20</v>
      </c>
      <c r="O150" s="6" t="str">
        <f>HYPERLINK("https://pbs.twimg.com/profile_images/962471262747529216/Uo8lOkRJ_normal.jpg","View")</f>
        <v>View</v>
      </c>
      <c r="P150" s="7"/>
    </row>
    <row r="151" spans="1:16">
      <c r="A151" s="3">
        <v>43802.838113425925</v>
      </c>
      <c r="B151" s="4" t="str">
        <f>HYPERLINK("https://twitter.com/petrogustavo","@petrogustavo")</f>
        <v>@petrogustavo</v>
      </c>
      <c r="C151" s="5" t="s">
        <v>16</v>
      </c>
      <c r="D151" s="5" t="s">
        <v>181</v>
      </c>
      <c r="E151" s="6" t="str">
        <f>HYPERLINK("https://twitter.com/petrogustavo/status/1201872941744566272","1201872941744566272")</f>
        <v>1201872941744566272</v>
      </c>
      <c r="F151" s="7" t="s">
        <v>17</v>
      </c>
      <c r="G151" s="7">
        <v>3569532</v>
      </c>
      <c r="H151" s="7">
        <v>2333</v>
      </c>
      <c r="I151" s="7">
        <v>9</v>
      </c>
      <c r="J151" s="7">
        <v>0</v>
      </c>
      <c r="K151" s="7" t="s">
        <v>18</v>
      </c>
      <c r="L151" s="8">
        <v>39987.315405092595</v>
      </c>
      <c r="M151" s="9" t="s">
        <v>19</v>
      </c>
      <c r="N151" s="9" t="s">
        <v>20</v>
      </c>
      <c r="O151" s="6" t="str">
        <f>HYPERLINK("https://pbs.twimg.com/profile_images/962471262747529216/Uo8lOkRJ_normal.jpg","View")</f>
        <v>View</v>
      </c>
      <c r="P151" s="7"/>
    </row>
    <row r="152" spans="1:16">
      <c r="A152" s="3">
        <v>43802.838437500002</v>
      </c>
      <c r="B152" s="4" t="str">
        <f>HYPERLINK("https://twitter.com/petrogustavo","@petrogustavo")</f>
        <v>@petrogustavo</v>
      </c>
      <c r="C152" s="5" t="s">
        <v>16</v>
      </c>
      <c r="D152" s="5" t="s">
        <v>182</v>
      </c>
      <c r="E152" s="6" t="str">
        <f>HYPERLINK("https://twitter.com/petrogustavo/status/1201873059294126081","1201873059294126081")</f>
        <v>1201873059294126081</v>
      </c>
      <c r="F152" s="7" t="s">
        <v>17</v>
      </c>
      <c r="G152" s="7">
        <v>3569532</v>
      </c>
      <c r="H152" s="7">
        <v>2333</v>
      </c>
      <c r="I152" s="7">
        <v>21</v>
      </c>
      <c r="J152" s="7">
        <v>0</v>
      </c>
      <c r="K152" s="7" t="s">
        <v>18</v>
      </c>
      <c r="L152" s="8">
        <v>39987.315405092595</v>
      </c>
      <c r="M152" s="9" t="s">
        <v>19</v>
      </c>
      <c r="N152" s="9" t="s">
        <v>20</v>
      </c>
      <c r="O152" s="6" t="str">
        <f>HYPERLINK("https://pbs.twimg.com/profile_images/962471262747529216/Uo8lOkRJ_normal.jpg","View")</f>
        <v>View</v>
      </c>
      <c r="P152" s="7"/>
    </row>
    <row r="153" spans="1:16">
      <c r="A153" s="3">
        <v>43802.83993055555</v>
      </c>
      <c r="B153" s="4" t="str">
        <f>HYPERLINK("https://twitter.com/petrogustavo","@petrogustavo")</f>
        <v>@petrogustavo</v>
      </c>
      <c r="C153" s="5" t="s">
        <v>16</v>
      </c>
      <c r="D153" s="5" t="s">
        <v>183</v>
      </c>
      <c r="E153" s="6" t="str">
        <f>HYPERLINK("https://twitter.com/petrogustavo/status/1201873599851831297","1201873599851831297")</f>
        <v>1201873599851831297</v>
      </c>
      <c r="F153" s="7" t="s">
        <v>17</v>
      </c>
      <c r="G153" s="7">
        <v>3569532</v>
      </c>
      <c r="H153" s="7">
        <v>2333</v>
      </c>
      <c r="I153" s="7">
        <v>15</v>
      </c>
      <c r="J153" s="7">
        <v>0</v>
      </c>
      <c r="K153" s="7" t="s">
        <v>18</v>
      </c>
      <c r="L153" s="8">
        <v>39987.315405092595</v>
      </c>
      <c r="M153" s="9" t="s">
        <v>19</v>
      </c>
      <c r="N153" s="9" t="s">
        <v>20</v>
      </c>
      <c r="O153" s="6" t="str">
        <f>HYPERLINK("https://pbs.twimg.com/profile_images/962471262747529216/Uo8lOkRJ_normal.jpg","View")</f>
        <v>View</v>
      </c>
      <c r="P153" s="7"/>
    </row>
    <row r="154" spans="1:16">
      <c r="A154" s="3">
        <v>43802.840613425928</v>
      </c>
      <c r="B154" s="4" t="str">
        <f>HYPERLINK("https://twitter.com/petrogustavo","@petrogustavo")</f>
        <v>@petrogustavo</v>
      </c>
      <c r="C154" s="5" t="s">
        <v>16</v>
      </c>
      <c r="D154" s="5" t="s">
        <v>184</v>
      </c>
      <c r="E154" s="6" t="str">
        <f>HYPERLINK("https://twitter.com/petrogustavo/status/1201873845197688833","1201873845197688833")</f>
        <v>1201873845197688833</v>
      </c>
      <c r="F154" s="7" t="s">
        <v>17</v>
      </c>
      <c r="G154" s="7">
        <v>3569532</v>
      </c>
      <c r="H154" s="7">
        <v>2333</v>
      </c>
      <c r="I154" s="7">
        <v>92</v>
      </c>
      <c r="J154" s="7">
        <v>0</v>
      </c>
      <c r="K154" s="7" t="s">
        <v>18</v>
      </c>
      <c r="L154" s="8">
        <v>39987.315405092595</v>
      </c>
      <c r="M154" s="9" t="s">
        <v>19</v>
      </c>
      <c r="N154" s="9" t="s">
        <v>20</v>
      </c>
      <c r="O154" s="6" t="str">
        <f>HYPERLINK("https://pbs.twimg.com/profile_images/962471262747529216/Uo8lOkRJ_normal.jpg","View")</f>
        <v>View</v>
      </c>
      <c r="P154" s="7"/>
    </row>
    <row r="155" spans="1:16">
      <c r="A155" s="3">
        <v>43802.840856481482</v>
      </c>
      <c r="B155" s="4" t="str">
        <f>HYPERLINK("https://twitter.com/petrogustavo","@petrogustavo")</f>
        <v>@petrogustavo</v>
      </c>
      <c r="C155" s="5" t="s">
        <v>16</v>
      </c>
      <c r="D155" s="5" t="s">
        <v>185</v>
      </c>
      <c r="E155" s="6" t="str">
        <f>HYPERLINK("https://twitter.com/petrogustavo/status/1201873933970092040","1201873933970092040")</f>
        <v>1201873933970092040</v>
      </c>
      <c r="F155" s="7" t="s">
        <v>17</v>
      </c>
      <c r="G155" s="7">
        <v>3569532</v>
      </c>
      <c r="H155" s="7">
        <v>2333</v>
      </c>
      <c r="I155" s="7">
        <v>7</v>
      </c>
      <c r="J155" s="7">
        <v>0</v>
      </c>
      <c r="K155" s="7" t="s">
        <v>18</v>
      </c>
      <c r="L155" s="8">
        <v>39987.315405092595</v>
      </c>
      <c r="M155" s="9" t="s">
        <v>19</v>
      </c>
      <c r="N155" s="9" t="s">
        <v>20</v>
      </c>
      <c r="O155" s="6" t="str">
        <f>HYPERLINK("https://pbs.twimg.com/profile_images/962471262747529216/Uo8lOkRJ_normal.jpg","View")</f>
        <v>View</v>
      </c>
      <c r="P155" s="7"/>
    </row>
    <row r="156" spans="1:16">
      <c r="A156" s="3">
        <v>43802.841423611113</v>
      </c>
      <c r="B156" s="4" t="str">
        <f>HYPERLINK("https://twitter.com/petrogustavo","@petrogustavo")</f>
        <v>@petrogustavo</v>
      </c>
      <c r="C156" s="5" t="s">
        <v>16</v>
      </c>
      <c r="D156" s="5" t="s">
        <v>186</v>
      </c>
      <c r="E156" s="6" t="str">
        <f>HYPERLINK("https://twitter.com/petrogustavo/status/1201874140225056769","1201874140225056769")</f>
        <v>1201874140225056769</v>
      </c>
      <c r="F156" s="7" t="s">
        <v>17</v>
      </c>
      <c r="G156" s="7">
        <v>3569532</v>
      </c>
      <c r="H156" s="7">
        <v>2333</v>
      </c>
      <c r="I156" s="7">
        <v>65</v>
      </c>
      <c r="J156" s="7">
        <v>0</v>
      </c>
      <c r="K156" s="7" t="s">
        <v>18</v>
      </c>
      <c r="L156" s="8">
        <v>39987.315405092595</v>
      </c>
      <c r="M156" s="9" t="s">
        <v>19</v>
      </c>
      <c r="N156" s="9" t="s">
        <v>20</v>
      </c>
      <c r="O156" s="6" t="str">
        <f>HYPERLINK("https://pbs.twimg.com/profile_images/962471262747529216/Uo8lOkRJ_normal.jpg","View")</f>
        <v>View</v>
      </c>
      <c r="P156" s="7"/>
    </row>
    <row r="157" spans="1:16">
      <c r="A157" s="3">
        <v>43802.841469907406</v>
      </c>
      <c r="B157" s="4" t="str">
        <f>HYPERLINK("https://twitter.com/petrogustavo","@petrogustavo")</f>
        <v>@petrogustavo</v>
      </c>
      <c r="C157" s="5" t="s">
        <v>16</v>
      </c>
      <c r="D157" s="5" t="s">
        <v>187</v>
      </c>
      <c r="E157" s="6" t="str">
        <f>HYPERLINK("https://twitter.com/petrogustavo/status/1201874157316825089","1201874157316825089")</f>
        <v>1201874157316825089</v>
      </c>
      <c r="F157" s="7" t="s">
        <v>17</v>
      </c>
      <c r="G157" s="7">
        <v>3569532</v>
      </c>
      <c r="H157" s="7">
        <v>2333</v>
      </c>
      <c r="I157" s="7">
        <v>113</v>
      </c>
      <c r="J157" s="7">
        <v>0</v>
      </c>
      <c r="K157" s="7" t="s">
        <v>18</v>
      </c>
      <c r="L157" s="8">
        <v>39987.315405092595</v>
      </c>
      <c r="M157" s="9" t="s">
        <v>19</v>
      </c>
      <c r="N157" s="9" t="s">
        <v>20</v>
      </c>
      <c r="O157" s="6" t="str">
        <f>HYPERLINK("https://pbs.twimg.com/profile_images/962471262747529216/Uo8lOkRJ_normal.jpg","View")</f>
        <v>View</v>
      </c>
      <c r="P157" s="7"/>
    </row>
    <row r="158" spans="1:16">
      <c r="A158" s="3">
        <v>43802.841597222221</v>
      </c>
      <c r="B158" s="4" t="str">
        <f>HYPERLINK("https://twitter.com/petrogustavo","@petrogustavo")</f>
        <v>@petrogustavo</v>
      </c>
      <c r="C158" s="5" t="s">
        <v>16</v>
      </c>
      <c r="D158" s="5" t="s">
        <v>188</v>
      </c>
      <c r="E158" s="6" t="str">
        <f>HYPERLINK("https://twitter.com/petrogustavo/status/1201874202632044546","1201874202632044546")</f>
        <v>1201874202632044546</v>
      </c>
      <c r="F158" s="7" t="s">
        <v>17</v>
      </c>
      <c r="G158" s="7">
        <v>3569532</v>
      </c>
      <c r="H158" s="7">
        <v>2333</v>
      </c>
      <c r="I158" s="7">
        <v>586</v>
      </c>
      <c r="J158" s="7">
        <v>0</v>
      </c>
      <c r="K158" s="7" t="s">
        <v>18</v>
      </c>
      <c r="L158" s="8">
        <v>39987.315405092595</v>
      </c>
      <c r="M158" s="9" t="s">
        <v>19</v>
      </c>
      <c r="N158" s="9" t="s">
        <v>20</v>
      </c>
      <c r="O158" s="6" t="str">
        <f>HYPERLINK("https://pbs.twimg.com/profile_images/962471262747529216/Uo8lOkRJ_normal.jpg","View")</f>
        <v>View</v>
      </c>
      <c r="P158" s="7"/>
    </row>
    <row r="159" spans="1:16">
      <c r="A159" s="3">
        <v>43802.841817129629</v>
      </c>
      <c r="B159" s="4" t="str">
        <f>HYPERLINK("https://twitter.com/petrogustavo","@petrogustavo")</f>
        <v>@petrogustavo</v>
      </c>
      <c r="C159" s="5" t="s">
        <v>16</v>
      </c>
      <c r="D159" s="5" t="s">
        <v>189</v>
      </c>
      <c r="E159" s="6" t="str">
        <f>HYPERLINK("https://twitter.com/petrogustavo/status/1201874284941074433","1201874284941074433")</f>
        <v>1201874284941074433</v>
      </c>
      <c r="F159" s="7" t="s">
        <v>17</v>
      </c>
      <c r="G159" s="7">
        <v>3569532</v>
      </c>
      <c r="H159" s="7">
        <v>2333</v>
      </c>
      <c r="I159" s="7">
        <v>2200</v>
      </c>
      <c r="J159" s="7">
        <v>0</v>
      </c>
      <c r="K159" s="7" t="s">
        <v>18</v>
      </c>
      <c r="L159" s="8">
        <v>39987.315405092595</v>
      </c>
      <c r="M159" s="9" t="s">
        <v>19</v>
      </c>
      <c r="N159" s="9" t="s">
        <v>20</v>
      </c>
      <c r="O159" s="6" t="str">
        <f>HYPERLINK("https://pbs.twimg.com/profile_images/962471262747529216/Uo8lOkRJ_normal.jpg","View")</f>
        <v>View</v>
      </c>
      <c r="P159" s="7"/>
    </row>
    <row r="160" spans="1:16">
      <c r="A160" s="3">
        <v>43802.842013888891</v>
      </c>
      <c r="B160" s="4" t="str">
        <f>HYPERLINK("https://twitter.com/petrogustavo","@petrogustavo")</f>
        <v>@petrogustavo</v>
      </c>
      <c r="C160" s="5" t="s">
        <v>16</v>
      </c>
      <c r="D160" s="5" t="s">
        <v>190</v>
      </c>
      <c r="E160" s="6" t="str">
        <f>HYPERLINK("https://twitter.com/petrogustavo/status/1201874355229249539","1201874355229249539")</f>
        <v>1201874355229249539</v>
      </c>
      <c r="F160" s="7" t="s">
        <v>17</v>
      </c>
      <c r="G160" s="7">
        <v>3569532</v>
      </c>
      <c r="H160" s="7">
        <v>2333</v>
      </c>
      <c r="I160" s="7">
        <v>9</v>
      </c>
      <c r="J160" s="7">
        <v>0</v>
      </c>
      <c r="K160" s="7" t="s">
        <v>18</v>
      </c>
      <c r="L160" s="8">
        <v>39987.315405092595</v>
      </c>
      <c r="M160" s="9" t="s">
        <v>19</v>
      </c>
      <c r="N160" s="9" t="s">
        <v>20</v>
      </c>
      <c r="O160" s="6" t="str">
        <f>HYPERLINK("https://pbs.twimg.com/profile_images/962471262747529216/Uo8lOkRJ_normal.jpg","View")</f>
        <v>View</v>
      </c>
      <c r="P160" s="7"/>
    </row>
    <row r="161" spans="1:16">
      <c r="A161" s="3">
        <v>43802.842222222222</v>
      </c>
      <c r="B161" s="4" t="str">
        <f>HYPERLINK("https://twitter.com/petrogustavo","@petrogustavo")</f>
        <v>@petrogustavo</v>
      </c>
      <c r="C161" s="5" t="s">
        <v>16</v>
      </c>
      <c r="D161" s="5" t="s">
        <v>191</v>
      </c>
      <c r="E161" s="6" t="str">
        <f>HYPERLINK("https://twitter.com/petrogustavo/status/1201874428428242945","1201874428428242945")</f>
        <v>1201874428428242945</v>
      </c>
      <c r="F161" s="7" t="s">
        <v>17</v>
      </c>
      <c r="G161" s="7">
        <v>3569532</v>
      </c>
      <c r="H161" s="7">
        <v>2333</v>
      </c>
      <c r="I161" s="7">
        <v>5972</v>
      </c>
      <c r="J161" s="7">
        <v>0</v>
      </c>
      <c r="K161" s="7" t="s">
        <v>18</v>
      </c>
      <c r="L161" s="8">
        <v>39987.315405092595</v>
      </c>
      <c r="M161" s="9" t="s">
        <v>19</v>
      </c>
      <c r="N161" s="9" t="s">
        <v>20</v>
      </c>
      <c r="O161" s="6" t="str">
        <f>HYPERLINK("https://pbs.twimg.com/profile_images/962471262747529216/Uo8lOkRJ_normal.jpg","View")</f>
        <v>View</v>
      </c>
      <c r="P161" s="7"/>
    </row>
    <row r="162" spans="1:16">
      <c r="A162" s="3">
        <v>43802.84239583333</v>
      </c>
      <c r="B162" s="4" t="str">
        <f>HYPERLINK("https://twitter.com/petrogustavo","@petrogustavo")</f>
        <v>@petrogustavo</v>
      </c>
      <c r="C162" s="5" t="s">
        <v>16</v>
      </c>
      <c r="D162" s="5" t="s">
        <v>192</v>
      </c>
      <c r="E162" s="6" t="str">
        <f>HYPERLINK("https://twitter.com/petrogustavo/status/1201874492517163012","1201874492517163012")</f>
        <v>1201874492517163012</v>
      </c>
      <c r="F162" s="7" t="s">
        <v>17</v>
      </c>
      <c r="G162" s="7">
        <v>3569532</v>
      </c>
      <c r="H162" s="7">
        <v>2333</v>
      </c>
      <c r="I162" s="7">
        <v>197</v>
      </c>
      <c r="J162" s="7">
        <v>0</v>
      </c>
      <c r="K162" s="7" t="s">
        <v>18</v>
      </c>
      <c r="L162" s="8">
        <v>39987.315405092595</v>
      </c>
      <c r="M162" s="9" t="s">
        <v>19</v>
      </c>
      <c r="N162" s="9" t="s">
        <v>20</v>
      </c>
      <c r="O162" s="6" t="str">
        <f>HYPERLINK("https://pbs.twimg.com/profile_images/962471262747529216/Uo8lOkRJ_normal.jpg","View")</f>
        <v>View</v>
      </c>
      <c r="P162" s="7"/>
    </row>
    <row r="163" spans="1:16">
      <c r="A163" s="3">
        <v>43802.842615740738</v>
      </c>
      <c r="B163" s="4" t="str">
        <f>HYPERLINK("https://twitter.com/petrogustavo","@petrogustavo")</f>
        <v>@petrogustavo</v>
      </c>
      <c r="C163" s="5" t="s">
        <v>16</v>
      </c>
      <c r="D163" s="5" t="s">
        <v>193</v>
      </c>
      <c r="E163" s="6" t="str">
        <f>HYPERLINK("https://twitter.com/petrogustavo/status/1201874572968185857","1201874572968185857")</f>
        <v>1201874572968185857</v>
      </c>
      <c r="F163" s="7" t="s">
        <v>17</v>
      </c>
      <c r="G163" s="7">
        <v>3569532</v>
      </c>
      <c r="H163" s="7">
        <v>2333</v>
      </c>
      <c r="I163" s="7">
        <v>19</v>
      </c>
      <c r="J163" s="7">
        <v>0</v>
      </c>
      <c r="K163" s="7" t="s">
        <v>18</v>
      </c>
      <c r="L163" s="8">
        <v>39987.315405092595</v>
      </c>
      <c r="M163" s="9" t="s">
        <v>19</v>
      </c>
      <c r="N163" s="9" t="s">
        <v>20</v>
      </c>
      <c r="O163" s="6" t="str">
        <f>HYPERLINK("https://pbs.twimg.com/profile_images/962471262747529216/Uo8lOkRJ_normal.jpg","View")</f>
        <v>View</v>
      </c>
      <c r="P163" s="7"/>
    </row>
    <row r="164" spans="1:16">
      <c r="A164" s="3">
        <v>43802.844166666662</v>
      </c>
      <c r="B164" s="4" t="str">
        <f>HYPERLINK("https://twitter.com/petrogustavo","@petrogustavo")</f>
        <v>@petrogustavo</v>
      </c>
      <c r="C164" s="5" t="s">
        <v>16</v>
      </c>
      <c r="D164" s="5" t="s">
        <v>194</v>
      </c>
      <c r="E164" s="6" t="str">
        <f>HYPERLINK("https://twitter.com/petrogustavo/status/1201875132811223040","1201875132811223040")</f>
        <v>1201875132811223040</v>
      </c>
      <c r="F164" s="7" t="s">
        <v>17</v>
      </c>
      <c r="G164" s="7">
        <v>3569532</v>
      </c>
      <c r="H164" s="7">
        <v>2333</v>
      </c>
      <c r="I164" s="7">
        <v>27</v>
      </c>
      <c r="J164" s="7">
        <v>78</v>
      </c>
      <c r="K164" s="7" t="s">
        <v>18</v>
      </c>
      <c r="L164" s="8">
        <v>39987.315405092595</v>
      </c>
      <c r="M164" s="9" t="s">
        <v>19</v>
      </c>
      <c r="N164" s="9" t="s">
        <v>20</v>
      </c>
      <c r="O164" s="6" t="str">
        <f>HYPERLINK("https://pbs.twimg.com/profile_images/962471262747529216/Uo8lOkRJ_normal.jpg","View")</f>
        <v>View</v>
      </c>
      <c r="P164" s="7"/>
    </row>
    <row r="165" spans="1:16">
      <c r="A165" s="3">
        <v>43802.845324074078</v>
      </c>
      <c r="B165" s="4" t="str">
        <f>HYPERLINK("https://twitter.com/petrogustavo","@petrogustavo")</f>
        <v>@petrogustavo</v>
      </c>
      <c r="C165" s="5" t="s">
        <v>16</v>
      </c>
      <c r="D165" s="5" t="s">
        <v>156</v>
      </c>
      <c r="E165" s="6" t="str">
        <f>HYPERLINK("https://twitter.com/petrogustavo/status/1201875552220655619","1201875552220655619")</f>
        <v>1201875552220655619</v>
      </c>
      <c r="F165" s="7" t="s">
        <v>17</v>
      </c>
      <c r="G165" s="7">
        <v>3569532</v>
      </c>
      <c r="H165" s="7">
        <v>2333</v>
      </c>
      <c r="I165" s="7">
        <v>5949</v>
      </c>
      <c r="J165" s="7">
        <v>0</v>
      </c>
      <c r="K165" s="7" t="s">
        <v>18</v>
      </c>
      <c r="L165" s="8">
        <v>39987.315405092595</v>
      </c>
      <c r="M165" s="9" t="s">
        <v>19</v>
      </c>
      <c r="N165" s="9" t="s">
        <v>20</v>
      </c>
      <c r="O165" s="6" t="str">
        <f>HYPERLINK("https://pbs.twimg.com/profile_images/962471262747529216/Uo8lOkRJ_normal.jpg","View")</f>
        <v>View</v>
      </c>
      <c r="P165" s="7"/>
    </row>
    <row r="166" spans="1:16">
      <c r="A166" s="3">
        <v>43802.882337962961</v>
      </c>
      <c r="B166" s="4" t="str">
        <f>HYPERLINK("https://twitter.com/petrogustavo","@petrogustavo")</f>
        <v>@petrogustavo</v>
      </c>
      <c r="C166" s="5" t="s">
        <v>16</v>
      </c>
      <c r="D166" s="5" t="s">
        <v>195</v>
      </c>
      <c r="E166" s="6" t="str">
        <f>HYPERLINK("https://twitter.com/petrogustavo/status/1201888967437824000","1201888967437824000")</f>
        <v>1201888967437824000</v>
      </c>
      <c r="F166" s="7" t="s">
        <v>32</v>
      </c>
      <c r="G166" s="7">
        <v>3569589</v>
      </c>
      <c r="H166" s="7">
        <v>2333</v>
      </c>
      <c r="I166" s="7">
        <v>110</v>
      </c>
      <c r="J166" s="7">
        <v>0</v>
      </c>
      <c r="K166" s="7" t="s">
        <v>18</v>
      </c>
      <c r="L166" s="8">
        <v>39987.315405092595</v>
      </c>
      <c r="M166" s="9" t="s">
        <v>19</v>
      </c>
      <c r="N166" s="9" t="s">
        <v>20</v>
      </c>
      <c r="O166" s="6" t="str">
        <f>HYPERLINK("https://pbs.twimg.com/profile_images/962471262747529216/Uo8lOkRJ_normal.jpg","View")</f>
        <v>View</v>
      </c>
      <c r="P166" s="7"/>
    </row>
    <row r="167" spans="1:16">
      <c r="A167" s="3">
        <v>43803.025601851856</v>
      </c>
      <c r="B167" s="4" t="str">
        <f>HYPERLINK("https://twitter.com/petrogustavo","@petrogustavo")</f>
        <v>@petrogustavo</v>
      </c>
      <c r="C167" s="5" t="s">
        <v>16</v>
      </c>
      <c r="D167" s="5" t="s">
        <v>196</v>
      </c>
      <c r="E167" s="6" t="str">
        <f>HYPERLINK("https://twitter.com/petrogustavo/status/1201940883379281922","1201940883379281922")</f>
        <v>1201940883379281922</v>
      </c>
      <c r="F167" s="7" t="s">
        <v>17</v>
      </c>
      <c r="G167" s="7">
        <v>3569838</v>
      </c>
      <c r="H167" s="7">
        <v>2333</v>
      </c>
      <c r="I167" s="7">
        <v>106</v>
      </c>
      <c r="J167" s="7">
        <v>318</v>
      </c>
      <c r="K167" s="7" t="s">
        <v>18</v>
      </c>
      <c r="L167" s="8">
        <v>39987.315405092595</v>
      </c>
      <c r="M167" s="9" t="s">
        <v>19</v>
      </c>
      <c r="N167" s="9" t="s">
        <v>20</v>
      </c>
      <c r="O167" s="6" t="str">
        <f>HYPERLINK("https://pbs.twimg.com/profile_images/962471262747529216/Uo8lOkRJ_normal.jpg","View")</f>
        <v>View</v>
      </c>
      <c r="P167" s="7"/>
    </row>
    <row r="168" spans="1:16">
      <c r="A168" s="3">
        <v>43803.034363425926</v>
      </c>
      <c r="B168" s="4" t="str">
        <f>HYPERLINK("https://twitter.com/petrogustavo","@petrogustavo")</f>
        <v>@petrogustavo</v>
      </c>
      <c r="C168" s="5" t="s">
        <v>16</v>
      </c>
      <c r="D168" s="5" t="s">
        <v>197</v>
      </c>
      <c r="E168" s="6" t="str">
        <f>HYPERLINK("https://twitter.com/petrogustavo/status/1201944060690358273","1201944060690358273")</f>
        <v>1201944060690358273</v>
      </c>
      <c r="F168" s="7" t="s">
        <v>17</v>
      </c>
      <c r="G168" s="7">
        <v>3569888</v>
      </c>
      <c r="H168" s="7">
        <v>2333</v>
      </c>
      <c r="I168" s="7">
        <v>68</v>
      </c>
      <c r="J168" s="7">
        <v>0</v>
      </c>
      <c r="K168" s="7" t="s">
        <v>18</v>
      </c>
      <c r="L168" s="8">
        <v>39987.315405092595</v>
      </c>
      <c r="M168" s="9" t="s">
        <v>19</v>
      </c>
      <c r="N168" s="9" t="s">
        <v>20</v>
      </c>
      <c r="O168" s="6" t="str">
        <f>HYPERLINK("https://pbs.twimg.com/profile_images/962471262747529216/Uo8lOkRJ_normal.jpg","View")</f>
        <v>View</v>
      </c>
      <c r="P168" s="7"/>
    </row>
    <row r="169" spans="1:16">
      <c r="A169" s="3">
        <v>43803.039375</v>
      </c>
      <c r="B169" s="4" t="str">
        <f>HYPERLINK("https://twitter.com/petrogustavo","@petrogustavo")</f>
        <v>@petrogustavo</v>
      </c>
      <c r="C169" s="5" t="s">
        <v>16</v>
      </c>
      <c r="D169" s="5" t="s">
        <v>198</v>
      </c>
      <c r="E169" s="6" t="str">
        <f>HYPERLINK("https://twitter.com/petrogustavo/status/1201945876345827331","1201945876345827331")</f>
        <v>1201945876345827331</v>
      </c>
      <c r="F169" s="7" t="s">
        <v>17</v>
      </c>
      <c r="G169" s="7">
        <v>3569888</v>
      </c>
      <c r="H169" s="7">
        <v>2333</v>
      </c>
      <c r="I169" s="7">
        <v>270</v>
      </c>
      <c r="J169" s="7">
        <v>0</v>
      </c>
      <c r="K169" s="7" t="s">
        <v>18</v>
      </c>
      <c r="L169" s="8">
        <v>39987.315405092595</v>
      </c>
      <c r="M169" s="9" t="s">
        <v>19</v>
      </c>
      <c r="N169" s="9" t="s">
        <v>20</v>
      </c>
      <c r="O169" s="6" t="str">
        <f>HYPERLINK("https://pbs.twimg.com/profile_images/962471262747529216/Uo8lOkRJ_normal.jpg","View")</f>
        <v>View</v>
      </c>
      <c r="P169" s="7"/>
    </row>
    <row r="170" spans="1:16">
      <c r="A170" s="3">
        <v>43803.130127314813</v>
      </c>
      <c r="B170" s="4" t="str">
        <f>HYPERLINK("https://twitter.com/petrogustavo","@petrogustavo")</f>
        <v>@petrogustavo</v>
      </c>
      <c r="C170" s="5" t="s">
        <v>16</v>
      </c>
      <c r="D170" s="5" t="s">
        <v>199</v>
      </c>
      <c r="E170" s="6" t="str">
        <f>HYPERLINK("https://twitter.com/petrogustavo/status/1201978761471807488","1201978761471807488")</f>
        <v>1201978761471807488</v>
      </c>
      <c r="F170" s="7" t="s">
        <v>32</v>
      </c>
      <c r="G170" s="7">
        <v>3570009</v>
      </c>
      <c r="H170" s="7">
        <v>2333</v>
      </c>
      <c r="I170" s="7">
        <v>588</v>
      </c>
      <c r="J170" s="7">
        <v>0</v>
      </c>
      <c r="K170" s="7" t="s">
        <v>18</v>
      </c>
      <c r="L170" s="8">
        <v>39987.315405092595</v>
      </c>
      <c r="M170" s="9" t="s">
        <v>19</v>
      </c>
      <c r="N170" s="9" t="s">
        <v>20</v>
      </c>
      <c r="O170" s="6" t="str">
        <f>HYPERLINK("https://pbs.twimg.com/profile_images/962471262747529216/Uo8lOkRJ_normal.jpg","View")</f>
        <v>View</v>
      </c>
      <c r="P170" s="7"/>
    </row>
    <row r="171" spans="1:16">
      <c r="A171" s="3">
        <v>43803.130520833336</v>
      </c>
      <c r="B171" s="4" t="str">
        <f>HYPERLINK("https://twitter.com/petrogustavo","@petrogustavo")</f>
        <v>@petrogustavo</v>
      </c>
      <c r="C171" s="5" t="s">
        <v>16</v>
      </c>
      <c r="D171" s="5" t="s">
        <v>200</v>
      </c>
      <c r="E171" s="6" t="str">
        <f>HYPERLINK("https://twitter.com/petrogustavo/status/1201978903956525056","1201978903956525056")</f>
        <v>1201978903956525056</v>
      </c>
      <c r="F171" s="7" t="s">
        <v>32</v>
      </c>
      <c r="G171" s="7">
        <v>3570009</v>
      </c>
      <c r="H171" s="7">
        <v>2333</v>
      </c>
      <c r="I171" s="7">
        <v>64</v>
      </c>
      <c r="J171" s="7">
        <v>0</v>
      </c>
      <c r="K171" s="7" t="s">
        <v>18</v>
      </c>
      <c r="L171" s="8">
        <v>39987.315405092595</v>
      </c>
      <c r="M171" s="9" t="s">
        <v>19</v>
      </c>
      <c r="N171" s="9" t="s">
        <v>20</v>
      </c>
      <c r="O171" s="6" t="str">
        <f>HYPERLINK("https://pbs.twimg.com/profile_images/962471262747529216/Uo8lOkRJ_normal.jpg","View")</f>
        <v>View</v>
      </c>
      <c r="P171" s="7"/>
    </row>
    <row r="172" spans="1:16">
      <c r="A172" s="3">
        <v>43803.13181712963</v>
      </c>
      <c r="B172" s="4" t="str">
        <f>HYPERLINK("https://twitter.com/petrogustavo","@petrogustavo")</f>
        <v>@petrogustavo</v>
      </c>
      <c r="C172" s="5" t="s">
        <v>16</v>
      </c>
      <c r="D172" s="5" t="s">
        <v>201</v>
      </c>
      <c r="E172" s="6" t="str">
        <f>HYPERLINK("https://twitter.com/petrogustavo/status/1201979374771326977","1201979374771326977")</f>
        <v>1201979374771326977</v>
      </c>
      <c r="F172" s="7" t="s">
        <v>32</v>
      </c>
      <c r="G172" s="7">
        <v>3570009</v>
      </c>
      <c r="H172" s="7">
        <v>2333</v>
      </c>
      <c r="I172" s="7">
        <v>107</v>
      </c>
      <c r="J172" s="7">
        <v>304</v>
      </c>
      <c r="K172" s="7" t="s">
        <v>18</v>
      </c>
      <c r="L172" s="8">
        <v>39987.315405092595</v>
      </c>
      <c r="M172" s="9" t="s">
        <v>19</v>
      </c>
      <c r="N172" s="9" t="s">
        <v>20</v>
      </c>
      <c r="O172" s="6" t="str">
        <f>HYPERLINK("https://pbs.twimg.com/profile_images/962471262747529216/Uo8lOkRJ_normal.jpg","View")</f>
        <v>View</v>
      </c>
      <c r="P172" s="7"/>
    </row>
    <row r="173" spans="1:16">
      <c r="A173" s="3">
        <v>43803.142696759256</v>
      </c>
      <c r="B173" s="4" t="str">
        <f>HYPERLINK("https://twitter.com/petrogustavo","@petrogustavo")</f>
        <v>@petrogustavo</v>
      </c>
      <c r="C173" s="5" t="s">
        <v>16</v>
      </c>
      <c r="D173" s="5" t="s">
        <v>202</v>
      </c>
      <c r="E173" s="6" t="str">
        <f>HYPERLINK("https://twitter.com/petrogustavo/status/1201983316280463360","1201983316280463360")</f>
        <v>1201983316280463360</v>
      </c>
      <c r="F173" s="7" t="s">
        <v>17</v>
      </c>
      <c r="G173" s="7">
        <v>3570038</v>
      </c>
      <c r="H173" s="7">
        <v>2332</v>
      </c>
      <c r="I173" s="7">
        <v>82</v>
      </c>
      <c r="J173" s="7">
        <v>114</v>
      </c>
      <c r="K173" s="7" t="s">
        <v>18</v>
      </c>
      <c r="L173" s="8">
        <v>39987.315405092595</v>
      </c>
      <c r="M173" s="9" t="s">
        <v>19</v>
      </c>
      <c r="N173" s="9" t="s">
        <v>20</v>
      </c>
      <c r="O173" s="6" t="str">
        <f>HYPERLINK("https://pbs.twimg.com/profile_images/962471262747529216/Uo8lOkRJ_normal.jpg","View")</f>
        <v>View</v>
      </c>
      <c r="P173" s="7"/>
    </row>
    <row r="174" spans="1:16">
      <c r="A174" s="3">
        <v>43803.143993055557</v>
      </c>
      <c r="B174" s="4" t="str">
        <f>HYPERLINK("https://twitter.com/petrogustavo","@petrogustavo")</f>
        <v>@petrogustavo</v>
      </c>
      <c r="C174" s="5" t="s">
        <v>16</v>
      </c>
      <c r="D174" s="5" t="s">
        <v>203</v>
      </c>
      <c r="E174" s="6" t="str">
        <f>HYPERLINK("https://twitter.com/petrogustavo/status/1201983787439132672","1201983787439132672")</f>
        <v>1201983787439132672</v>
      </c>
      <c r="F174" s="7" t="s">
        <v>17</v>
      </c>
      <c r="G174" s="7">
        <v>3570038</v>
      </c>
      <c r="H174" s="7">
        <v>2332</v>
      </c>
      <c r="I174" s="7">
        <v>182</v>
      </c>
      <c r="J174" s="7">
        <v>357</v>
      </c>
      <c r="K174" s="7" t="s">
        <v>18</v>
      </c>
      <c r="L174" s="8">
        <v>39987.315405092595</v>
      </c>
      <c r="M174" s="9" t="s">
        <v>19</v>
      </c>
      <c r="N174" s="9" t="s">
        <v>20</v>
      </c>
      <c r="O174" s="6" t="str">
        <f>HYPERLINK("https://pbs.twimg.com/profile_images/962471262747529216/Uo8lOkRJ_normal.jpg","View")</f>
        <v>View</v>
      </c>
      <c r="P174" s="7"/>
    </row>
    <row r="175" spans="1:16">
      <c r="A175" s="3">
        <v>43803.150219907402</v>
      </c>
      <c r="B175" s="4" t="str">
        <f>HYPERLINK("https://twitter.com/petrogustavo","@petrogustavo")</f>
        <v>@petrogustavo</v>
      </c>
      <c r="C175" s="5" t="s">
        <v>16</v>
      </c>
      <c r="D175" s="5" t="s">
        <v>204</v>
      </c>
      <c r="E175" s="6" t="str">
        <f>HYPERLINK("https://twitter.com/petrogustavo/status/1201986042989027330","1201986042989027330")</f>
        <v>1201986042989027330</v>
      </c>
      <c r="F175" s="7" t="s">
        <v>17</v>
      </c>
      <c r="G175" s="7">
        <v>3570038</v>
      </c>
      <c r="H175" s="7">
        <v>2332</v>
      </c>
      <c r="I175" s="7">
        <v>375</v>
      </c>
      <c r="J175" s="7">
        <v>1178</v>
      </c>
      <c r="K175" s="7" t="s">
        <v>18</v>
      </c>
      <c r="L175" s="8">
        <v>39987.315405092595</v>
      </c>
      <c r="M175" s="9" t="s">
        <v>19</v>
      </c>
      <c r="N175" s="9" t="s">
        <v>20</v>
      </c>
      <c r="O175" s="6" t="str">
        <f>HYPERLINK("https://pbs.twimg.com/profile_images/962471262747529216/Uo8lOkRJ_normal.jpg","View")</f>
        <v>View</v>
      </c>
      <c r="P175" s="7"/>
    </row>
    <row r="176" spans="1:16">
      <c r="A176" s="3">
        <v>43803.159884259258</v>
      </c>
      <c r="B176" s="4" t="str">
        <f>HYPERLINK("https://twitter.com/petrogustavo","@petrogustavo")</f>
        <v>@petrogustavo</v>
      </c>
      <c r="C176" s="5" t="s">
        <v>16</v>
      </c>
      <c r="D176" s="5" t="s">
        <v>205</v>
      </c>
      <c r="E176" s="6" t="str">
        <f>HYPERLINK("https://twitter.com/petrogustavo/status/1201989547162296320","1201989547162296320")</f>
        <v>1201989547162296320</v>
      </c>
      <c r="F176" s="7" t="s">
        <v>32</v>
      </c>
      <c r="G176" s="7">
        <v>3570078</v>
      </c>
      <c r="H176" s="7">
        <v>2332</v>
      </c>
      <c r="I176" s="7">
        <v>81</v>
      </c>
      <c r="J176" s="7">
        <v>0</v>
      </c>
      <c r="K176" s="7" t="s">
        <v>18</v>
      </c>
      <c r="L176" s="8">
        <v>39987.315405092595</v>
      </c>
      <c r="M176" s="9" t="s">
        <v>19</v>
      </c>
      <c r="N176" s="9" t="s">
        <v>20</v>
      </c>
      <c r="O176" s="6" t="str">
        <f>HYPERLINK("https://pbs.twimg.com/profile_images/962471262747529216/Uo8lOkRJ_normal.jpg","View")</f>
        <v>View</v>
      </c>
      <c r="P176" s="7"/>
    </row>
    <row r="177" spans="1:16">
      <c r="A177" s="3">
        <v>43803.160231481481</v>
      </c>
      <c r="B177" s="4" t="str">
        <f>HYPERLINK("https://twitter.com/petrogustavo","@petrogustavo")</f>
        <v>@petrogustavo</v>
      </c>
      <c r="C177" s="5" t="s">
        <v>16</v>
      </c>
      <c r="D177" s="5" t="s">
        <v>206</v>
      </c>
      <c r="E177" s="6" t="str">
        <f>HYPERLINK("https://twitter.com/petrogustavo/status/1201989670625779712","1201989670625779712")</f>
        <v>1201989670625779712</v>
      </c>
      <c r="F177" s="7" t="s">
        <v>32</v>
      </c>
      <c r="G177" s="7">
        <v>3570078</v>
      </c>
      <c r="H177" s="7">
        <v>2332</v>
      </c>
      <c r="I177" s="7">
        <v>54</v>
      </c>
      <c r="J177" s="7">
        <v>0</v>
      </c>
      <c r="K177" s="7" t="s">
        <v>18</v>
      </c>
      <c r="L177" s="8">
        <v>39987.315405092595</v>
      </c>
      <c r="M177" s="9" t="s">
        <v>19</v>
      </c>
      <c r="N177" s="9" t="s">
        <v>20</v>
      </c>
      <c r="O177" s="6" t="str">
        <f>HYPERLINK("https://pbs.twimg.com/profile_images/962471262747529216/Uo8lOkRJ_normal.jpg","View")</f>
        <v>View</v>
      </c>
      <c r="P177" s="7"/>
    </row>
    <row r="178" spans="1:16">
      <c r="A178" s="3">
        <v>43803.17015046296</v>
      </c>
      <c r="B178" s="4" t="str">
        <f>HYPERLINK("https://twitter.com/petrogustavo","@petrogustavo")</f>
        <v>@petrogustavo</v>
      </c>
      <c r="C178" s="5" t="s">
        <v>16</v>
      </c>
      <c r="D178" s="5" t="s">
        <v>207</v>
      </c>
      <c r="E178" s="6" t="str">
        <f>HYPERLINK("https://twitter.com/petrogustavo/status/1201993266830434312","1201993266830434312")</f>
        <v>1201993266830434312</v>
      </c>
      <c r="F178" s="7" t="s">
        <v>32</v>
      </c>
      <c r="G178" s="7">
        <v>3570078</v>
      </c>
      <c r="H178" s="7">
        <v>2332</v>
      </c>
      <c r="I178" s="7">
        <v>273</v>
      </c>
      <c r="J178" s="7">
        <v>594</v>
      </c>
      <c r="K178" s="7" t="s">
        <v>18</v>
      </c>
      <c r="L178" s="8">
        <v>39987.315405092595</v>
      </c>
      <c r="M178" s="9" t="s">
        <v>19</v>
      </c>
      <c r="N178" s="9" t="s">
        <v>20</v>
      </c>
      <c r="O178" s="6" t="str">
        <f>HYPERLINK("https://pbs.twimg.com/profile_images/962471262747529216/Uo8lOkRJ_normal.jpg","View")</f>
        <v>View</v>
      </c>
      <c r="P178" s="7"/>
    </row>
    <row r="179" spans="1:16">
      <c r="A179" s="3">
        <v>43803.174097222218</v>
      </c>
      <c r="B179" s="4" t="str">
        <f>HYPERLINK("https://twitter.com/petrogustavo","@petrogustavo")</f>
        <v>@petrogustavo</v>
      </c>
      <c r="C179" s="5" t="s">
        <v>16</v>
      </c>
      <c r="D179" s="5" t="s">
        <v>208</v>
      </c>
      <c r="E179" s="6" t="str">
        <f>HYPERLINK("https://twitter.com/petrogustavo/status/1201994697230688258","1201994697230688258")</f>
        <v>1201994697230688258</v>
      </c>
      <c r="F179" s="7" t="s">
        <v>32</v>
      </c>
      <c r="G179" s="7">
        <v>3570078</v>
      </c>
      <c r="H179" s="7">
        <v>2332</v>
      </c>
      <c r="I179" s="7">
        <v>2123</v>
      </c>
      <c r="J179" s="7">
        <v>0</v>
      </c>
      <c r="K179" s="7" t="s">
        <v>18</v>
      </c>
      <c r="L179" s="8">
        <v>39987.315405092595</v>
      </c>
      <c r="M179" s="9" t="s">
        <v>19</v>
      </c>
      <c r="N179" s="9" t="s">
        <v>20</v>
      </c>
      <c r="O179" s="6" t="str">
        <f>HYPERLINK("https://pbs.twimg.com/profile_images/962471262747529216/Uo8lOkRJ_normal.jpg","View")</f>
        <v>View</v>
      </c>
      <c r="P179" s="7"/>
    </row>
    <row r="180" spans="1:16">
      <c r="A180" s="3">
        <v>43803.174791666665</v>
      </c>
      <c r="B180" s="4" t="str">
        <f>HYPERLINK("https://twitter.com/petrogustavo","@petrogustavo")</f>
        <v>@petrogustavo</v>
      </c>
      <c r="C180" s="5" t="s">
        <v>16</v>
      </c>
      <c r="D180" s="5" t="s">
        <v>209</v>
      </c>
      <c r="E180" s="6" t="str">
        <f>HYPERLINK("https://twitter.com/petrogustavo/status/1201994950310674432","1201994950310674432")</f>
        <v>1201994950310674432</v>
      </c>
      <c r="F180" s="7" t="s">
        <v>32</v>
      </c>
      <c r="G180" s="7">
        <v>3570078</v>
      </c>
      <c r="H180" s="7">
        <v>2332</v>
      </c>
      <c r="I180" s="7">
        <v>107</v>
      </c>
      <c r="J180" s="7">
        <v>214</v>
      </c>
      <c r="K180" s="7" t="s">
        <v>18</v>
      </c>
      <c r="L180" s="8">
        <v>39987.315405092595</v>
      </c>
      <c r="M180" s="9" t="s">
        <v>19</v>
      </c>
      <c r="N180" s="9" t="s">
        <v>20</v>
      </c>
      <c r="O180" s="6" t="str">
        <f>HYPERLINK("https://pbs.twimg.com/profile_images/962471262747529216/Uo8lOkRJ_normal.jpg","View")</f>
        <v>View</v>
      </c>
      <c r="P180" s="7"/>
    </row>
    <row r="181" spans="1:16">
      <c r="A181" s="3">
        <v>43803.178553240738</v>
      </c>
      <c r="B181" s="4" t="str">
        <f>HYPERLINK("https://twitter.com/petrogustavo","@petrogustavo")</f>
        <v>@petrogustavo</v>
      </c>
      <c r="C181" s="5" t="s">
        <v>16</v>
      </c>
      <c r="D181" s="5" t="s">
        <v>210</v>
      </c>
      <c r="E181" s="6" t="str">
        <f>HYPERLINK("https://twitter.com/petrogustavo/status/1201996310951452675","1201996310951452675")</f>
        <v>1201996310951452675</v>
      </c>
      <c r="F181" s="7" t="s">
        <v>32</v>
      </c>
      <c r="G181" s="7">
        <v>3570078</v>
      </c>
      <c r="H181" s="7">
        <v>2332</v>
      </c>
      <c r="I181" s="7">
        <v>986</v>
      </c>
      <c r="J181" s="7">
        <v>0</v>
      </c>
      <c r="K181" s="7" t="s">
        <v>18</v>
      </c>
      <c r="L181" s="8">
        <v>39987.315405092595</v>
      </c>
      <c r="M181" s="9" t="s">
        <v>19</v>
      </c>
      <c r="N181" s="9" t="s">
        <v>20</v>
      </c>
      <c r="O181" s="6" t="str">
        <f>HYPERLINK("https://pbs.twimg.com/profile_images/962471262747529216/Uo8lOkRJ_normal.jpg","View")</f>
        <v>View</v>
      </c>
      <c r="P181" s="7"/>
    </row>
    <row r="182" spans="1:16">
      <c r="A182" s="3">
        <v>43803.23741898148</v>
      </c>
      <c r="B182" s="4" t="str">
        <f>HYPERLINK("https://twitter.com/petrogustavo","@petrogustavo")</f>
        <v>@petrogustavo</v>
      </c>
      <c r="C182" s="5" t="s">
        <v>16</v>
      </c>
      <c r="D182" s="5" t="s">
        <v>211</v>
      </c>
      <c r="E182" s="6" t="str">
        <f>HYPERLINK("https://twitter.com/petrogustavo/status/1202017644976717831","1202017644976717831")</f>
        <v>1202017644976717831</v>
      </c>
      <c r="F182" s="7" t="s">
        <v>32</v>
      </c>
      <c r="G182" s="7">
        <v>3570202</v>
      </c>
      <c r="H182" s="7">
        <v>2332</v>
      </c>
      <c r="I182" s="7">
        <v>10</v>
      </c>
      <c r="J182" s="7">
        <v>0</v>
      </c>
      <c r="K182" s="7" t="s">
        <v>18</v>
      </c>
      <c r="L182" s="8">
        <v>39987.315405092595</v>
      </c>
      <c r="M182" s="9" t="s">
        <v>19</v>
      </c>
      <c r="N182" s="9" t="s">
        <v>20</v>
      </c>
      <c r="O182" s="6" t="str">
        <f>HYPERLINK("https://pbs.twimg.com/profile_images/962471262747529216/Uo8lOkRJ_normal.jpg","View")</f>
        <v>View</v>
      </c>
      <c r="P182" s="7"/>
    </row>
    <row r="183" spans="1:16">
      <c r="A183" s="3">
        <v>43803.237812499996</v>
      </c>
      <c r="B183" s="4" t="str">
        <f>HYPERLINK("https://twitter.com/petrogustavo","@petrogustavo")</f>
        <v>@petrogustavo</v>
      </c>
      <c r="C183" s="5" t="s">
        <v>16</v>
      </c>
      <c r="D183" s="5" t="s">
        <v>212</v>
      </c>
      <c r="E183" s="6" t="str">
        <f>HYPERLINK("https://twitter.com/petrogustavo/status/1202017788157661186","1202017788157661186")</f>
        <v>1202017788157661186</v>
      </c>
      <c r="F183" s="7" t="s">
        <v>32</v>
      </c>
      <c r="G183" s="7">
        <v>3570202</v>
      </c>
      <c r="H183" s="7">
        <v>2332</v>
      </c>
      <c r="I183" s="7">
        <v>169</v>
      </c>
      <c r="J183" s="7">
        <v>0</v>
      </c>
      <c r="K183" s="7" t="s">
        <v>18</v>
      </c>
      <c r="L183" s="8">
        <v>39987.315405092595</v>
      </c>
      <c r="M183" s="9" t="s">
        <v>19</v>
      </c>
      <c r="N183" s="9" t="s">
        <v>20</v>
      </c>
      <c r="O183" s="6" t="str">
        <f>HYPERLINK("https://pbs.twimg.com/profile_images/962471262747529216/Uo8lOkRJ_normal.jpg","View")</f>
        <v>View</v>
      </c>
      <c r="P183" s="7"/>
    </row>
    <row r="184" spans="1:16">
      <c r="A184" s="3">
        <v>43803.237893518519</v>
      </c>
      <c r="B184" s="4" t="str">
        <f>HYPERLINK("https://twitter.com/petrogustavo","@petrogustavo")</f>
        <v>@petrogustavo</v>
      </c>
      <c r="C184" s="5" t="s">
        <v>16</v>
      </c>
      <c r="D184" s="5" t="s">
        <v>213</v>
      </c>
      <c r="E184" s="6" t="str">
        <f>HYPERLINK("https://twitter.com/petrogustavo/status/1202017814627987456","1202017814627987456")</f>
        <v>1202017814627987456</v>
      </c>
      <c r="F184" s="7" t="s">
        <v>32</v>
      </c>
      <c r="G184" s="7">
        <v>3570202</v>
      </c>
      <c r="H184" s="7">
        <v>2332</v>
      </c>
      <c r="I184" s="7">
        <v>4</v>
      </c>
      <c r="J184" s="7">
        <v>0</v>
      </c>
      <c r="K184" s="7" t="s">
        <v>18</v>
      </c>
      <c r="L184" s="8">
        <v>39987.315405092595</v>
      </c>
      <c r="M184" s="9" t="s">
        <v>19</v>
      </c>
      <c r="N184" s="9" t="s">
        <v>20</v>
      </c>
      <c r="O184" s="6" t="str">
        <f>HYPERLINK("https://pbs.twimg.com/profile_images/962471262747529216/Uo8lOkRJ_normal.jpg","View")</f>
        <v>View</v>
      </c>
      <c r="P184" s="7"/>
    </row>
    <row r="185" spans="1:16">
      <c r="A185" s="3">
        <v>43803.239606481482</v>
      </c>
      <c r="B185" s="4" t="str">
        <f>HYPERLINK("https://twitter.com/petrogustavo","@petrogustavo")</f>
        <v>@petrogustavo</v>
      </c>
      <c r="C185" s="5" t="s">
        <v>16</v>
      </c>
      <c r="D185" s="5" t="s">
        <v>214</v>
      </c>
      <c r="E185" s="6" t="str">
        <f>HYPERLINK("https://twitter.com/petrogustavo/status/1202018437570211840","1202018437570211840")</f>
        <v>1202018437570211840</v>
      </c>
      <c r="F185" s="7" t="s">
        <v>32</v>
      </c>
      <c r="G185" s="7">
        <v>3570202</v>
      </c>
      <c r="H185" s="7">
        <v>2332</v>
      </c>
      <c r="I185" s="7">
        <v>595</v>
      </c>
      <c r="J185" s="7">
        <v>0</v>
      </c>
      <c r="K185" s="7" t="s">
        <v>18</v>
      </c>
      <c r="L185" s="8">
        <v>39987.315405092595</v>
      </c>
      <c r="M185" s="9" t="s">
        <v>19</v>
      </c>
      <c r="N185" s="9" t="s">
        <v>20</v>
      </c>
      <c r="O185" s="6" t="str">
        <f>HYPERLINK("https://pbs.twimg.com/profile_images/962471262747529216/Uo8lOkRJ_normal.jpg","View")</f>
        <v>View</v>
      </c>
      <c r="P185" s="7"/>
    </row>
    <row r="186" spans="1:16">
      <c r="A186" s="3">
        <v>43803.257638888885</v>
      </c>
      <c r="B186" s="4" t="str">
        <f>HYPERLINK("https://twitter.com/petrogustavo","@petrogustavo")</f>
        <v>@petrogustavo</v>
      </c>
      <c r="C186" s="5" t="s">
        <v>16</v>
      </c>
      <c r="D186" s="5" t="s">
        <v>215</v>
      </c>
      <c r="E186" s="6" t="str">
        <f>HYPERLINK("https://twitter.com/petrogustavo/status/1202024972371271681","1202024972371271681")</f>
        <v>1202024972371271681</v>
      </c>
      <c r="F186" s="7" t="s">
        <v>32</v>
      </c>
      <c r="G186" s="7">
        <v>3570242</v>
      </c>
      <c r="H186" s="7">
        <v>2332</v>
      </c>
      <c r="I186" s="7">
        <v>96</v>
      </c>
      <c r="J186" s="7">
        <v>262</v>
      </c>
      <c r="K186" s="7" t="s">
        <v>18</v>
      </c>
      <c r="L186" s="8">
        <v>39987.315405092595</v>
      </c>
      <c r="M186" s="9" t="s">
        <v>19</v>
      </c>
      <c r="N186" s="9" t="s">
        <v>20</v>
      </c>
      <c r="O186" s="6" t="str">
        <f>HYPERLINK("https://pbs.twimg.com/profile_images/962471262747529216/Uo8lOkRJ_normal.jpg","View")</f>
        <v>View</v>
      </c>
      <c r="P186" s="7"/>
    </row>
    <row r="187" spans="1:16">
      <c r="A187" s="3">
        <v>43803.262106481481</v>
      </c>
      <c r="B187" s="4" t="str">
        <f>HYPERLINK("https://twitter.com/petrogustavo","@petrogustavo")</f>
        <v>@petrogustavo</v>
      </c>
      <c r="C187" s="5" t="s">
        <v>16</v>
      </c>
      <c r="D187" s="5" t="s">
        <v>216</v>
      </c>
      <c r="E187" s="6" t="str">
        <f>HYPERLINK("https://twitter.com/petrogustavo/status/1202026591364276224","1202026591364276224")</f>
        <v>1202026591364276224</v>
      </c>
      <c r="F187" s="7" t="s">
        <v>32</v>
      </c>
      <c r="G187" s="7">
        <v>3570242</v>
      </c>
      <c r="H187" s="7">
        <v>2332</v>
      </c>
      <c r="I187" s="7">
        <v>13</v>
      </c>
      <c r="J187" s="7">
        <v>0</v>
      </c>
      <c r="K187" s="7" t="s">
        <v>18</v>
      </c>
      <c r="L187" s="8">
        <v>39987.315405092595</v>
      </c>
      <c r="M187" s="9" t="s">
        <v>19</v>
      </c>
      <c r="N187" s="9" t="s">
        <v>20</v>
      </c>
      <c r="O187" s="6" t="str">
        <f>HYPERLINK("https://pbs.twimg.com/profile_images/962471262747529216/Uo8lOkRJ_normal.jpg","View")</f>
        <v>View</v>
      </c>
      <c r="P187" s="7"/>
    </row>
    <row r="188" spans="1:16">
      <c r="A188" s="3">
        <v>43803.306261574078</v>
      </c>
      <c r="B188" s="4" t="str">
        <f>HYPERLINK("https://twitter.com/petrogustavo","@petrogustavo")</f>
        <v>@petrogustavo</v>
      </c>
      <c r="C188" s="5" t="s">
        <v>16</v>
      </c>
      <c r="D188" s="5" t="s">
        <v>217</v>
      </c>
      <c r="E188" s="6" t="str">
        <f>HYPERLINK("https://twitter.com/petrogustavo/status/1202042591933599744","1202042591933599744")</f>
        <v>1202042591933599744</v>
      </c>
      <c r="F188" s="7" t="s">
        <v>32</v>
      </c>
      <c r="G188" s="7">
        <v>3570394</v>
      </c>
      <c r="H188" s="7">
        <v>2332</v>
      </c>
      <c r="I188" s="7">
        <v>67</v>
      </c>
      <c r="J188" s="7">
        <v>0</v>
      </c>
      <c r="K188" s="7" t="s">
        <v>18</v>
      </c>
      <c r="L188" s="8">
        <v>39987.315405092595</v>
      </c>
      <c r="M188" s="9" t="s">
        <v>19</v>
      </c>
      <c r="N188" s="9" t="s">
        <v>20</v>
      </c>
      <c r="O188" s="6" t="str">
        <f>HYPERLINK("https://pbs.twimg.com/profile_images/962471262747529216/Uo8lOkRJ_normal.jpg","View")</f>
        <v>View</v>
      </c>
      <c r="P188" s="7"/>
    </row>
    <row r="189" spans="1:16">
      <c r="A189" s="3">
        <v>43803.30982638889</v>
      </c>
      <c r="B189" s="4" t="str">
        <f>HYPERLINK("https://twitter.com/petrogustavo","@petrogustavo")</f>
        <v>@petrogustavo</v>
      </c>
      <c r="C189" s="5" t="s">
        <v>16</v>
      </c>
      <c r="D189" s="5" t="s">
        <v>218</v>
      </c>
      <c r="E189" s="6" t="str">
        <f>HYPERLINK("https://twitter.com/petrogustavo/status/1202043885406629888","1202043885406629888")</f>
        <v>1202043885406629888</v>
      </c>
      <c r="F189" s="7" t="s">
        <v>32</v>
      </c>
      <c r="G189" s="7">
        <v>3570394</v>
      </c>
      <c r="H189" s="7">
        <v>2332</v>
      </c>
      <c r="I189" s="7">
        <v>103</v>
      </c>
      <c r="J189" s="7">
        <v>0</v>
      </c>
      <c r="K189" s="7" t="s">
        <v>18</v>
      </c>
      <c r="L189" s="8">
        <v>39987.315405092595</v>
      </c>
      <c r="M189" s="9" t="s">
        <v>19</v>
      </c>
      <c r="N189" s="9" t="s">
        <v>20</v>
      </c>
      <c r="O189" s="6" t="str">
        <f>HYPERLINK("https://pbs.twimg.com/profile_images/962471262747529216/Uo8lOkRJ_normal.jpg","View")</f>
        <v>View</v>
      </c>
      <c r="P189" s="7"/>
    </row>
    <row r="190" spans="1:16">
      <c r="A190" s="3">
        <v>43803.318414351852</v>
      </c>
      <c r="B190" s="4" t="str">
        <f>HYPERLINK("https://twitter.com/petrogustavo","@petrogustavo")</f>
        <v>@petrogustavo</v>
      </c>
      <c r="C190" s="5" t="s">
        <v>16</v>
      </c>
      <c r="D190" s="5" t="s">
        <v>219</v>
      </c>
      <c r="E190" s="6" t="str">
        <f>HYPERLINK("https://twitter.com/petrogustavo/status/1202046998268010496","1202046998268010496")</f>
        <v>1202046998268010496</v>
      </c>
      <c r="F190" s="7" t="s">
        <v>17</v>
      </c>
      <c r="G190" s="7">
        <v>3570394</v>
      </c>
      <c r="H190" s="7">
        <v>2332</v>
      </c>
      <c r="I190" s="7">
        <v>1499</v>
      </c>
      <c r="J190" s="7">
        <v>0</v>
      </c>
      <c r="K190" s="7" t="s">
        <v>18</v>
      </c>
      <c r="L190" s="8">
        <v>39987.315405092595</v>
      </c>
      <c r="M190" s="9" t="s">
        <v>19</v>
      </c>
      <c r="N190" s="9" t="s">
        <v>20</v>
      </c>
      <c r="O190" s="6" t="str">
        <f>HYPERLINK("https://pbs.twimg.com/profile_images/962471262747529216/Uo8lOkRJ_normal.jpg","View")</f>
        <v>View</v>
      </c>
      <c r="P190" s="7"/>
    </row>
    <row r="191" spans="1:16">
      <c r="A191" s="3">
        <v>43803.758043981477</v>
      </c>
      <c r="B191" s="4" t="str">
        <f>HYPERLINK("https://twitter.com/petrogustavo","@petrogustavo")</f>
        <v>@petrogustavo</v>
      </c>
      <c r="C191" s="5" t="s">
        <v>16</v>
      </c>
      <c r="D191" s="5" t="s">
        <v>220</v>
      </c>
      <c r="E191" s="6" t="str">
        <f>HYPERLINK("https://twitter.com/petrogustavo/status/1202206311183728647","1202206311183728647")</f>
        <v>1202206311183728647</v>
      </c>
      <c r="F191" s="7" t="s">
        <v>17</v>
      </c>
      <c r="G191" s="7">
        <v>3570873</v>
      </c>
      <c r="H191" s="7">
        <v>2333</v>
      </c>
      <c r="I191" s="7">
        <v>715</v>
      </c>
      <c r="J191" s="7">
        <v>0</v>
      </c>
      <c r="K191" s="7" t="s">
        <v>18</v>
      </c>
      <c r="L191" s="8">
        <v>39987.315405092595</v>
      </c>
      <c r="M191" s="9" t="s">
        <v>19</v>
      </c>
      <c r="N191" s="9" t="s">
        <v>20</v>
      </c>
      <c r="O191" s="6" t="str">
        <f>HYPERLINK("https://pbs.twimg.com/profile_images/962471262747529216/Uo8lOkRJ_normal.jpg","View")</f>
        <v>View</v>
      </c>
      <c r="P191" s="7"/>
    </row>
    <row r="192" spans="1:16">
      <c r="A192" s="3">
        <v>43803.758703703701</v>
      </c>
      <c r="B192" s="4" t="str">
        <f>HYPERLINK("https://twitter.com/petrogustavo","@petrogustavo")</f>
        <v>@petrogustavo</v>
      </c>
      <c r="C192" s="5" t="s">
        <v>16</v>
      </c>
      <c r="D192" s="5" t="s">
        <v>221</v>
      </c>
      <c r="E192" s="6" t="str">
        <f>HYPERLINK("https://twitter.com/petrogustavo/status/1202206553169903617","1202206553169903617")</f>
        <v>1202206553169903617</v>
      </c>
      <c r="F192" s="7" t="s">
        <v>17</v>
      </c>
      <c r="G192" s="7">
        <v>3570873</v>
      </c>
      <c r="H192" s="7">
        <v>2333</v>
      </c>
      <c r="I192" s="7">
        <v>3765</v>
      </c>
      <c r="J192" s="7">
        <v>0</v>
      </c>
      <c r="K192" s="7" t="s">
        <v>18</v>
      </c>
      <c r="L192" s="8">
        <v>39987.315405092595</v>
      </c>
      <c r="M192" s="9" t="s">
        <v>19</v>
      </c>
      <c r="N192" s="9" t="s">
        <v>20</v>
      </c>
      <c r="O192" s="6" t="str">
        <f>HYPERLINK("https://pbs.twimg.com/profile_images/962471262747529216/Uo8lOkRJ_normal.jpg","View")</f>
        <v>View</v>
      </c>
      <c r="P192" s="7"/>
    </row>
    <row r="193" spans="1:16">
      <c r="A193" s="3">
        <v>43803.758854166663</v>
      </c>
      <c r="B193" s="4" t="str">
        <f>HYPERLINK("https://twitter.com/petrogustavo","@petrogustavo")</f>
        <v>@petrogustavo</v>
      </c>
      <c r="C193" s="5" t="s">
        <v>16</v>
      </c>
      <c r="D193" s="5" t="s">
        <v>222</v>
      </c>
      <c r="E193" s="6" t="str">
        <f>HYPERLINK("https://twitter.com/petrogustavo/status/1202206608320860166","1202206608320860166")</f>
        <v>1202206608320860166</v>
      </c>
      <c r="F193" s="7" t="s">
        <v>17</v>
      </c>
      <c r="G193" s="7">
        <v>3570873</v>
      </c>
      <c r="H193" s="7">
        <v>2333</v>
      </c>
      <c r="I193" s="7">
        <v>503</v>
      </c>
      <c r="J193" s="7">
        <v>0</v>
      </c>
      <c r="K193" s="7" t="s">
        <v>18</v>
      </c>
      <c r="L193" s="8">
        <v>39987.315405092595</v>
      </c>
      <c r="M193" s="9" t="s">
        <v>19</v>
      </c>
      <c r="N193" s="9" t="s">
        <v>20</v>
      </c>
      <c r="O193" s="6" t="str">
        <f>HYPERLINK("https://pbs.twimg.com/profile_images/962471262747529216/Uo8lOkRJ_normal.jpg","View")</f>
        <v>View</v>
      </c>
      <c r="P193" s="7"/>
    </row>
    <row r="194" spans="1:16">
      <c r="A194" s="3">
        <v>43803.760671296295</v>
      </c>
      <c r="B194" s="4" t="str">
        <f>HYPERLINK("https://twitter.com/petrogustavo","@petrogustavo")</f>
        <v>@petrogustavo</v>
      </c>
      <c r="C194" s="5" t="s">
        <v>16</v>
      </c>
      <c r="D194" s="5" t="s">
        <v>223</v>
      </c>
      <c r="E194" s="6" t="str">
        <f>HYPERLINK("https://twitter.com/petrogustavo/status/1202207263273955329","1202207263273955329")</f>
        <v>1202207263273955329</v>
      </c>
      <c r="F194" s="7" t="s">
        <v>17</v>
      </c>
      <c r="G194" s="7">
        <v>3570873</v>
      </c>
      <c r="H194" s="7">
        <v>2333</v>
      </c>
      <c r="I194" s="7">
        <v>112</v>
      </c>
      <c r="J194" s="7">
        <v>261</v>
      </c>
      <c r="K194" s="7" t="s">
        <v>18</v>
      </c>
      <c r="L194" s="8">
        <v>39987.315405092595</v>
      </c>
      <c r="M194" s="9" t="s">
        <v>19</v>
      </c>
      <c r="N194" s="9" t="s">
        <v>20</v>
      </c>
      <c r="O194" s="6" t="str">
        <f>HYPERLINK("https://pbs.twimg.com/profile_images/962471262747529216/Uo8lOkRJ_normal.jpg","View")</f>
        <v>View</v>
      </c>
      <c r="P194" s="7"/>
    </row>
    <row r="195" spans="1:16">
      <c r="A195" s="3">
        <v>43803.762453703705</v>
      </c>
      <c r="B195" s="4" t="str">
        <f>HYPERLINK("https://twitter.com/petrogustavo","@petrogustavo")</f>
        <v>@petrogustavo</v>
      </c>
      <c r="C195" s="5" t="s">
        <v>16</v>
      </c>
      <c r="D195" s="5" t="s">
        <v>224</v>
      </c>
      <c r="E195" s="6" t="str">
        <f>HYPERLINK("https://twitter.com/petrogustavo/status/1202207910786416641","1202207910786416641")</f>
        <v>1202207910786416641</v>
      </c>
      <c r="F195" s="7" t="s">
        <v>17</v>
      </c>
      <c r="G195" s="7">
        <v>3570873</v>
      </c>
      <c r="H195" s="7">
        <v>2333</v>
      </c>
      <c r="I195" s="7">
        <v>1</v>
      </c>
      <c r="J195" s="7">
        <v>3</v>
      </c>
      <c r="K195" s="7" t="s">
        <v>18</v>
      </c>
      <c r="L195" s="8">
        <v>39987.315405092595</v>
      </c>
      <c r="M195" s="9" t="s">
        <v>19</v>
      </c>
      <c r="N195" s="9" t="s">
        <v>20</v>
      </c>
      <c r="O195" s="6" t="str">
        <f>HYPERLINK("https://pbs.twimg.com/profile_images/962471262747529216/Uo8lOkRJ_normal.jpg","View")</f>
        <v>View</v>
      </c>
      <c r="P195" s="7"/>
    </row>
    <row r="196" spans="1:16">
      <c r="A196" s="3">
        <v>43803.791527777779</v>
      </c>
      <c r="B196" s="4" t="str">
        <f>HYPERLINK("https://twitter.com/petrogustavo","@petrogustavo")</f>
        <v>@petrogustavo</v>
      </c>
      <c r="C196" s="5" t="s">
        <v>16</v>
      </c>
      <c r="D196" s="5" t="s">
        <v>225</v>
      </c>
      <c r="E196" s="6" t="str">
        <f>HYPERLINK("https://twitter.com/petrogustavo/status/1202218447389810689","1202218447389810689")</f>
        <v>1202218447389810689</v>
      </c>
      <c r="F196" s="7" t="s">
        <v>17</v>
      </c>
      <c r="G196" s="7">
        <v>3570979</v>
      </c>
      <c r="H196" s="7">
        <v>2333</v>
      </c>
      <c r="I196" s="7">
        <v>50</v>
      </c>
      <c r="J196" s="7">
        <v>0</v>
      </c>
      <c r="K196" s="7" t="s">
        <v>18</v>
      </c>
      <c r="L196" s="8">
        <v>39987.315405092595</v>
      </c>
      <c r="M196" s="9" t="s">
        <v>19</v>
      </c>
      <c r="N196" s="9" t="s">
        <v>20</v>
      </c>
      <c r="O196" s="6" t="str">
        <f>HYPERLINK("https://pbs.twimg.com/profile_images/962471262747529216/Uo8lOkRJ_normal.jpg","View")</f>
        <v>View</v>
      </c>
      <c r="P196" s="7"/>
    </row>
    <row r="197" spans="1:16">
      <c r="A197" s="3">
        <v>43803.792731481481</v>
      </c>
      <c r="B197" s="4" t="str">
        <f>HYPERLINK("https://twitter.com/petrogustavo","@petrogustavo")</f>
        <v>@petrogustavo</v>
      </c>
      <c r="C197" s="5" t="s">
        <v>16</v>
      </c>
      <c r="D197" s="5" t="s">
        <v>226</v>
      </c>
      <c r="E197" s="6" t="str">
        <f>HYPERLINK("https://twitter.com/petrogustavo/status/1202218881244381187","1202218881244381187")</f>
        <v>1202218881244381187</v>
      </c>
      <c r="F197" s="7" t="s">
        <v>17</v>
      </c>
      <c r="G197" s="7">
        <v>3570979</v>
      </c>
      <c r="H197" s="7">
        <v>2333</v>
      </c>
      <c r="I197" s="7">
        <v>291</v>
      </c>
      <c r="J197" s="7">
        <v>968</v>
      </c>
      <c r="K197" s="7" t="s">
        <v>18</v>
      </c>
      <c r="L197" s="8">
        <v>39987.315405092595</v>
      </c>
      <c r="M197" s="9" t="s">
        <v>19</v>
      </c>
      <c r="N197" s="9" t="s">
        <v>20</v>
      </c>
      <c r="O197" s="6" t="str">
        <f>HYPERLINK("https://pbs.twimg.com/profile_images/962471262747529216/Uo8lOkRJ_normal.jpg","View")</f>
        <v>View</v>
      </c>
      <c r="P197" s="7"/>
    </row>
    <row r="198" spans="1:16">
      <c r="A198" s="3">
        <v>43803.81113425926</v>
      </c>
      <c r="B198" s="4" t="str">
        <f>HYPERLINK("https://twitter.com/petrogustavo","@petrogustavo")</f>
        <v>@petrogustavo</v>
      </c>
      <c r="C198" s="5" t="s">
        <v>16</v>
      </c>
      <c r="D198" s="5" t="s">
        <v>227</v>
      </c>
      <c r="E198" s="6" t="str">
        <f>HYPERLINK("https://twitter.com/petrogustavo/status/1202225551643156480","1202225551643156480")</f>
        <v>1202225551643156480</v>
      </c>
      <c r="F198" s="7" t="s">
        <v>21</v>
      </c>
      <c r="G198" s="7">
        <v>3571031</v>
      </c>
      <c r="H198" s="7">
        <v>2333</v>
      </c>
      <c r="I198" s="7">
        <v>185</v>
      </c>
      <c r="J198" s="7">
        <v>387</v>
      </c>
      <c r="K198" s="7" t="s">
        <v>18</v>
      </c>
      <c r="L198" s="8">
        <v>39987.315405092595</v>
      </c>
      <c r="M198" s="9" t="s">
        <v>19</v>
      </c>
      <c r="N198" s="9" t="s">
        <v>20</v>
      </c>
      <c r="O198" s="6" t="str">
        <f>HYPERLINK("https://pbs.twimg.com/profile_images/962471262747529216/Uo8lOkRJ_normal.jpg","View")</f>
        <v>View</v>
      </c>
      <c r="P198" s="7"/>
    </row>
    <row r="199" spans="1:16">
      <c r="A199" s="3">
        <v>43803.813425925924</v>
      </c>
      <c r="B199" s="4" t="str">
        <f>HYPERLINK("https://twitter.com/petrogustavo","@petrogustavo")</f>
        <v>@petrogustavo</v>
      </c>
      <c r="C199" s="5" t="s">
        <v>16</v>
      </c>
      <c r="D199" s="5" t="s">
        <v>228</v>
      </c>
      <c r="E199" s="6" t="str">
        <f>HYPERLINK("https://twitter.com/petrogustavo/status/1202226382081810433","1202226382081810433")</f>
        <v>1202226382081810433</v>
      </c>
      <c r="F199" s="7" t="s">
        <v>21</v>
      </c>
      <c r="G199" s="7">
        <v>3571031</v>
      </c>
      <c r="H199" s="7">
        <v>2333</v>
      </c>
      <c r="I199" s="7">
        <v>214</v>
      </c>
      <c r="J199" s="7">
        <v>423</v>
      </c>
      <c r="K199" s="7" t="s">
        <v>18</v>
      </c>
      <c r="L199" s="8">
        <v>39987.315405092595</v>
      </c>
      <c r="M199" s="9" t="s">
        <v>19</v>
      </c>
      <c r="N199" s="9" t="s">
        <v>20</v>
      </c>
      <c r="O199" s="6" t="str">
        <f>HYPERLINK("https://pbs.twimg.com/profile_images/962471262747529216/Uo8lOkRJ_normal.jpg","View")</f>
        <v>View</v>
      </c>
      <c r="P199" s="7"/>
    </row>
    <row r="200" spans="1:16">
      <c r="A200" s="3">
        <v>43803.91033564815</v>
      </c>
      <c r="B200" s="4" t="str">
        <f>HYPERLINK("https://twitter.com/petrogustavo","@petrogustavo")</f>
        <v>@petrogustavo</v>
      </c>
      <c r="C200" s="5" t="s">
        <v>16</v>
      </c>
      <c r="D200" s="5" t="s">
        <v>229</v>
      </c>
      <c r="E200" s="6" t="str">
        <f>HYPERLINK("https://twitter.com/petrogustavo/status/1202261501727379457","1202261501727379457")</f>
        <v>1202261501727379457</v>
      </c>
      <c r="F200" s="7" t="s">
        <v>17</v>
      </c>
      <c r="G200" s="7">
        <v>3571288</v>
      </c>
      <c r="H200" s="7">
        <v>2333</v>
      </c>
      <c r="I200" s="7">
        <v>404</v>
      </c>
      <c r="J200" s="7">
        <v>0</v>
      </c>
      <c r="K200" s="7" t="s">
        <v>18</v>
      </c>
      <c r="L200" s="8">
        <v>39987.315405092595</v>
      </c>
      <c r="M200" s="9" t="s">
        <v>19</v>
      </c>
      <c r="N200" s="9" t="s">
        <v>20</v>
      </c>
      <c r="O200" s="6" t="str">
        <f>HYPERLINK("https://pbs.twimg.com/profile_images/962471262747529216/Uo8lOkRJ_normal.jpg","View")</f>
        <v>View</v>
      </c>
      <c r="P200" s="7"/>
    </row>
    <row r="201" spans="1:16">
      <c r="A201" s="3">
        <v>43803.910555555558</v>
      </c>
      <c r="B201" s="4" t="str">
        <f>HYPERLINK("https://twitter.com/petrogustavo","@petrogustavo")</f>
        <v>@petrogustavo</v>
      </c>
      <c r="C201" s="5" t="s">
        <v>16</v>
      </c>
      <c r="D201" s="5" t="s">
        <v>230</v>
      </c>
      <c r="E201" s="6" t="str">
        <f>HYPERLINK("https://twitter.com/petrogustavo/status/1202261581498900482","1202261581498900482")</f>
        <v>1202261581498900482</v>
      </c>
      <c r="F201" s="7" t="s">
        <v>17</v>
      </c>
      <c r="G201" s="7">
        <v>3571288</v>
      </c>
      <c r="H201" s="7">
        <v>2333</v>
      </c>
      <c r="I201" s="7">
        <v>186</v>
      </c>
      <c r="J201" s="7">
        <v>0</v>
      </c>
      <c r="K201" s="7" t="s">
        <v>18</v>
      </c>
      <c r="L201" s="8">
        <v>39987.315405092595</v>
      </c>
      <c r="M201" s="9" t="s">
        <v>19</v>
      </c>
      <c r="N201" s="9" t="s">
        <v>20</v>
      </c>
      <c r="O201" s="6" t="str">
        <f>HYPERLINK("https://pbs.twimg.com/profile_images/962471262747529216/Uo8lOkRJ_normal.jpg","View")</f>
        <v>View</v>
      </c>
      <c r="P201" s="7"/>
    </row>
    <row r="202" spans="1:16">
      <c r="A202" s="3">
        <v>43803.910821759258</v>
      </c>
      <c r="B202" s="4" t="str">
        <f>HYPERLINK("https://twitter.com/petrogustavo","@petrogustavo")</f>
        <v>@petrogustavo</v>
      </c>
      <c r="C202" s="5" t="s">
        <v>16</v>
      </c>
      <c r="D202" s="5" t="s">
        <v>231</v>
      </c>
      <c r="E202" s="6" t="str">
        <f>HYPERLINK("https://twitter.com/petrogustavo/status/1202261678819303425","1202261678819303425")</f>
        <v>1202261678819303425</v>
      </c>
      <c r="F202" s="7" t="s">
        <v>17</v>
      </c>
      <c r="G202" s="7">
        <v>3571288</v>
      </c>
      <c r="H202" s="7">
        <v>2333</v>
      </c>
      <c r="I202" s="7">
        <v>20</v>
      </c>
      <c r="J202" s="7">
        <v>0</v>
      </c>
      <c r="K202" s="7" t="s">
        <v>18</v>
      </c>
      <c r="L202" s="8">
        <v>39987.315405092595</v>
      </c>
      <c r="M202" s="9" t="s">
        <v>19</v>
      </c>
      <c r="N202" s="9" t="s">
        <v>20</v>
      </c>
      <c r="O202" s="6" t="str">
        <f>HYPERLINK("https://pbs.twimg.com/profile_images/962471262747529216/Uo8lOkRJ_normal.jpg","View")</f>
        <v>View</v>
      </c>
      <c r="P202" s="7"/>
    </row>
    <row r="203" spans="1:16">
      <c r="A203" s="3">
        <v>43803.91097222222</v>
      </c>
      <c r="B203" s="4" t="str">
        <f>HYPERLINK("https://twitter.com/petrogustavo","@petrogustavo")</f>
        <v>@petrogustavo</v>
      </c>
      <c r="C203" s="5" t="s">
        <v>16</v>
      </c>
      <c r="D203" s="5" t="s">
        <v>232</v>
      </c>
      <c r="E203" s="6" t="str">
        <f>HYPERLINK("https://twitter.com/petrogustavo/status/1202261731919171584","1202261731919171584")</f>
        <v>1202261731919171584</v>
      </c>
      <c r="F203" s="7" t="s">
        <v>17</v>
      </c>
      <c r="G203" s="7">
        <v>3571288</v>
      </c>
      <c r="H203" s="7">
        <v>2333</v>
      </c>
      <c r="I203" s="7">
        <v>42</v>
      </c>
      <c r="J203" s="7">
        <v>0</v>
      </c>
      <c r="K203" s="7" t="s">
        <v>18</v>
      </c>
      <c r="L203" s="8">
        <v>39987.315405092595</v>
      </c>
      <c r="M203" s="9" t="s">
        <v>19</v>
      </c>
      <c r="N203" s="9" t="s">
        <v>20</v>
      </c>
      <c r="O203" s="6" t="str">
        <f>HYPERLINK("https://pbs.twimg.com/profile_images/962471262747529216/Uo8lOkRJ_normal.jpg","View")</f>
        <v>View</v>
      </c>
      <c r="P203" s="7"/>
    </row>
    <row r="204" spans="1:16">
      <c r="A204" s="3">
        <v>43803.911030092597</v>
      </c>
      <c r="B204" s="4" t="str">
        <f>HYPERLINK("https://twitter.com/petrogustavo","@petrogustavo")</f>
        <v>@petrogustavo</v>
      </c>
      <c r="C204" s="5" t="s">
        <v>16</v>
      </c>
      <c r="D204" s="5" t="s">
        <v>233</v>
      </c>
      <c r="E204" s="6" t="str">
        <f>HYPERLINK("https://twitter.com/petrogustavo/status/1202261751556923394","1202261751556923394")</f>
        <v>1202261751556923394</v>
      </c>
      <c r="F204" s="7" t="s">
        <v>17</v>
      </c>
      <c r="G204" s="7">
        <v>3571288</v>
      </c>
      <c r="H204" s="7">
        <v>2333</v>
      </c>
      <c r="I204" s="7">
        <v>57</v>
      </c>
      <c r="J204" s="7">
        <v>0</v>
      </c>
      <c r="K204" s="7" t="s">
        <v>18</v>
      </c>
      <c r="L204" s="8">
        <v>39987.315405092595</v>
      </c>
      <c r="M204" s="9" t="s">
        <v>19</v>
      </c>
      <c r="N204" s="9" t="s">
        <v>20</v>
      </c>
      <c r="O204" s="6" t="str">
        <f>HYPERLINK("https://pbs.twimg.com/profile_images/962471262747529216/Uo8lOkRJ_normal.jpg","View")</f>
        <v>View</v>
      </c>
      <c r="P204" s="7"/>
    </row>
    <row r="205" spans="1:16">
      <c r="A205" s="3">
        <v>43803.911087962959</v>
      </c>
      <c r="B205" s="4" t="str">
        <f>HYPERLINK("https://twitter.com/petrogustavo","@petrogustavo")</f>
        <v>@petrogustavo</v>
      </c>
      <c r="C205" s="5" t="s">
        <v>16</v>
      </c>
      <c r="D205" s="5" t="s">
        <v>234</v>
      </c>
      <c r="E205" s="6" t="str">
        <f>HYPERLINK("https://twitter.com/petrogustavo/status/1202261775737147392","1202261775737147392")</f>
        <v>1202261775737147392</v>
      </c>
      <c r="F205" s="7" t="s">
        <v>17</v>
      </c>
      <c r="G205" s="7">
        <v>3571288</v>
      </c>
      <c r="H205" s="7">
        <v>2333</v>
      </c>
      <c r="I205" s="7">
        <v>30</v>
      </c>
      <c r="J205" s="7">
        <v>0</v>
      </c>
      <c r="K205" s="7" t="s">
        <v>18</v>
      </c>
      <c r="L205" s="8">
        <v>39987.315405092595</v>
      </c>
      <c r="M205" s="9" t="s">
        <v>19</v>
      </c>
      <c r="N205" s="9" t="s">
        <v>20</v>
      </c>
      <c r="O205" s="6" t="str">
        <f>HYPERLINK("https://pbs.twimg.com/profile_images/962471262747529216/Uo8lOkRJ_normal.jpg","View")</f>
        <v>View</v>
      </c>
      <c r="P205" s="7"/>
    </row>
    <row r="206" spans="1:16">
      <c r="A206" s="3">
        <v>43803.911192129628</v>
      </c>
      <c r="B206" s="4" t="str">
        <f>HYPERLINK("https://twitter.com/petrogustavo","@petrogustavo")</f>
        <v>@petrogustavo</v>
      </c>
      <c r="C206" s="5" t="s">
        <v>16</v>
      </c>
      <c r="D206" s="5" t="s">
        <v>235</v>
      </c>
      <c r="E206" s="6" t="str">
        <f>HYPERLINK("https://twitter.com/petrogustavo/status/1202261813360054275","1202261813360054275")</f>
        <v>1202261813360054275</v>
      </c>
      <c r="F206" s="7" t="s">
        <v>17</v>
      </c>
      <c r="G206" s="7">
        <v>3571288</v>
      </c>
      <c r="H206" s="7">
        <v>2333</v>
      </c>
      <c r="I206" s="7">
        <v>86</v>
      </c>
      <c r="J206" s="7">
        <v>0</v>
      </c>
      <c r="K206" s="7" t="s">
        <v>18</v>
      </c>
      <c r="L206" s="8">
        <v>39987.315405092595</v>
      </c>
      <c r="M206" s="9" t="s">
        <v>19</v>
      </c>
      <c r="N206" s="9" t="s">
        <v>20</v>
      </c>
      <c r="O206" s="6" t="str">
        <f>HYPERLINK("https://pbs.twimg.com/profile_images/962471262747529216/Uo8lOkRJ_normal.jpg","View")</f>
        <v>View</v>
      </c>
      <c r="P206" s="7"/>
    </row>
    <row r="207" spans="1:16">
      <c r="A207" s="3">
        <v>43803.911423611113</v>
      </c>
      <c r="B207" s="4" t="str">
        <f>HYPERLINK("https://twitter.com/petrogustavo","@petrogustavo")</f>
        <v>@petrogustavo</v>
      </c>
      <c r="C207" s="5" t="s">
        <v>16</v>
      </c>
      <c r="D207" s="5" t="s">
        <v>236</v>
      </c>
      <c r="E207" s="6" t="str">
        <f>HYPERLINK("https://twitter.com/petrogustavo/status/1202261896415633408","1202261896415633408")</f>
        <v>1202261896415633408</v>
      </c>
      <c r="F207" s="7" t="s">
        <v>17</v>
      </c>
      <c r="G207" s="7">
        <v>3571288</v>
      </c>
      <c r="H207" s="7">
        <v>2333</v>
      </c>
      <c r="I207" s="7">
        <v>36</v>
      </c>
      <c r="J207" s="7">
        <v>0</v>
      </c>
      <c r="K207" s="7" t="s">
        <v>18</v>
      </c>
      <c r="L207" s="8">
        <v>39987.315405092595</v>
      </c>
      <c r="M207" s="9" t="s">
        <v>19</v>
      </c>
      <c r="N207" s="9" t="s">
        <v>20</v>
      </c>
      <c r="O207" s="6" t="str">
        <f>HYPERLINK("https://pbs.twimg.com/profile_images/962471262747529216/Uo8lOkRJ_normal.jpg","View")</f>
        <v>View</v>
      </c>
      <c r="P207" s="7"/>
    </row>
    <row r="208" spans="1:16">
      <c r="A208" s="3">
        <v>43803.911944444444</v>
      </c>
      <c r="B208" s="4" t="str">
        <f>HYPERLINK("https://twitter.com/petrogustavo","@petrogustavo")</f>
        <v>@petrogustavo</v>
      </c>
      <c r="C208" s="5" t="s">
        <v>16</v>
      </c>
      <c r="D208" s="5" t="s">
        <v>237</v>
      </c>
      <c r="E208" s="6" t="str">
        <f>HYPERLINK("https://twitter.com/petrogustavo/status/1202262084379131904","1202262084379131904")</f>
        <v>1202262084379131904</v>
      </c>
      <c r="F208" s="7" t="s">
        <v>17</v>
      </c>
      <c r="G208" s="7">
        <v>3571288</v>
      </c>
      <c r="H208" s="7">
        <v>2333</v>
      </c>
      <c r="I208" s="7">
        <v>48</v>
      </c>
      <c r="J208" s="7">
        <v>0</v>
      </c>
      <c r="K208" s="7" t="s">
        <v>18</v>
      </c>
      <c r="L208" s="8">
        <v>39987.315405092595</v>
      </c>
      <c r="M208" s="9" t="s">
        <v>19</v>
      </c>
      <c r="N208" s="9" t="s">
        <v>20</v>
      </c>
      <c r="O208" s="6" t="str">
        <f>HYPERLINK("https://pbs.twimg.com/profile_images/962471262747529216/Uo8lOkRJ_normal.jpg","View")</f>
        <v>View</v>
      </c>
      <c r="P208" s="7"/>
    </row>
    <row r="209" spans="1:16">
      <c r="A209" s="3">
        <v>43803.912488425922</v>
      </c>
      <c r="B209" s="4" t="str">
        <f>HYPERLINK("https://twitter.com/petrogustavo","@petrogustavo")</f>
        <v>@petrogustavo</v>
      </c>
      <c r="C209" s="5" t="s">
        <v>16</v>
      </c>
      <c r="D209" s="5" t="s">
        <v>238</v>
      </c>
      <c r="E209" s="6" t="str">
        <f>HYPERLINK("https://twitter.com/petrogustavo/status/1202262281276579841","1202262281276579841")</f>
        <v>1202262281276579841</v>
      </c>
      <c r="F209" s="7" t="s">
        <v>17</v>
      </c>
      <c r="G209" s="7">
        <v>3571288</v>
      </c>
      <c r="H209" s="7">
        <v>2333</v>
      </c>
      <c r="I209" s="7">
        <v>1598</v>
      </c>
      <c r="J209" s="7">
        <v>0</v>
      </c>
      <c r="K209" s="7" t="s">
        <v>18</v>
      </c>
      <c r="L209" s="8">
        <v>39987.315405092595</v>
      </c>
      <c r="M209" s="9" t="s">
        <v>19</v>
      </c>
      <c r="N209" s="9" t="s">
        <v>20</v>
      </c>
      <c r="O209" s="6" t="str">
        <f>HYPERLINK("https://pbs.twimg.com/profile_images/962471262747529216/Uo8lOkRJ_normal.jpg","View")</f>
        <v>View</v>
      </c>
      <c r="P209" s="7"/>
    </row>
    <row r="210" spans="1:16">
      <c r="A210" s="3">
        <v>43803.912766203706</v>
      </c>
      <c r="B210" s="4" t="str">
        <f>HYPERLINK("https://twitter.com/petrogustavo","@petrogustavo")</f>
        <v>@petrogustavo</v>
      </c>
      <c r="C210" s="5" t="s">
        <v>16</v>
      </c>
      <c r="D210" s="5" t="s">
        <v>239</v>
      </c>
      <c r="E210" s="6" t="str">
        <f>HYPERLINK("https://twitter.com/petrogustavo/status/1202262381105156103","1202262381105156103")</f>
        <v>1202262381105156103</v>
      </c>
      <c r="F210" s="7" t="s">
        <v>17</v>
      </c>
      <c r="G210" s="7">
        <v>3571288</v>
      </c>
      <c r="H210" s="7">
        <v>2333</v>
      </c>
      <c r="I210" s="7">
        <v>30</v>
      </c>
      <c r="J210" s="7">
        <v>0</v>
      </c>
      <c r="K210" s="7" t="s">
        <v>18</v>
      </c>
      <c r="L210" s="8">
        <v>39987.315405092595</v>
      </c>
      <c r="M210" s="9" t="s">
        <v>19</v>
      </c>
      <c r="N210" s="9" t="s">
        <v>20</v>
      </c>
      <c r="O210" s="6" t="str">
        <f>HYPERLINK("https://pbs.twimg.com/profile_images/962471262747529216/Uo8lOkRJ_normal.jpg","View")</f>
        <v>View</v>
      </c>
      <c r="P210" s="7"/>
    </row>
    <row r="211" spans="1:16">
      <c r="A211" s="3">
        <v>43803.913090277776</v>
      </c>
      <c r="B211" s="4" t="str">
        <f>HYPERLINK("https://twitter.com/petrogustavo","@petrogustavo")</f>
        <v>@petrogustavo</v>
      </c>
      <c r="C211" s="5" t="s">
        <v>16</v>
      </c>
      <c r="D211" s="5" t="s">
        <v>240</v>
      </c>
      <c r="E211" s="6" t="str">
        <f>HYPERLINK("https://twitter.com/petrogustavo/status/1202262499661418496","1202262499661418496")</f>
        <v>1202262499661418496</v>
      </c>
      <c r="F211" s="7" t="s">
        <v>17</v>
      </c>
      <c r="G211" s="7">
        <v>3571288</v>
      </c>
      <c r="H211" s="7">
        <v>2333</v>
      </c>
      <c r="I211" s="7">
        <v>36</v>
      </c>
      <c r="J211" s="7">
        <v>0</v>
      </c>
      <c r="K211" s="7" t="s">
        <v>18</v>
      </c>
      <c r="L211" s="8">
        <v>39987.315405092595</v>
      </c>
      <c r="M211" s="9" t="s">
        <v>19</v>
      </c>
      <c r="N211" s="9" t="s">
        <v>20</v>
      </c>
      <c r="O211" s="6" t="str">
        <f>HYPERLINK("https://pbs.twimg.com/profile_images/962471262747529216/Uo8lOkRJ_normal.jpg","View")</f>
        <v>View</v>
      </c>
      <c r="P211" s="7"/>
    </row>
    <row r="212" spans="1:16">
      <c r="A212" s="3">
        <v>43803.913460648153</v>
      </c>
      <c r="B212" s="4" t="str">
        <f>HYPERLINK("https://twitter.com/petrogustavo","@petrogustavo")</f>
        <v>@petrogustavo</v>
      </c>
      <c r="C212" s="5" t="s">
        <v>16</v>
      </c>
      <c r="D212" s="5" t="s">
        <v>241</v>
      </c>
      <c r="E212" s="6" t="str">
        <f>HYPERLINK("https://twitter.com/petrogustavo/status/1202262635619729409","1202262635619729409")</f>
        <v>1202262635619729409</v>
      </c>
      <c r="F212" s="7" t="s">
        <v>17</v>
      </c>
      <c r="G212" s="7">
        <v>3571288</v>
      </c>
      <c r="H212" s="7">
        <v>2333</v>
      </c>
      <c r="I212" s="7">
        <v>167</v>
      </c>
      <c r="J212" s="7">
        <v>581</v>
      </c>
      <c r="K212" s="7" t="s">
        <v>18</v>
      </c>
      <c r="L212" s="8">
        <v>39987.315405092595</v>
      </c>
      <c r="M212" s="9" t="s">
        <v>19</v>
      </c>
      <c r="N212" s="9" t="s">
        <v>20</v>
      </c>
      <c r="O212" s="6" t="str">
        <f>HYPERLINK("https://pbs.twimg.com/profile_images/962471262747529216/Uo8lOkRJ_normal.jpg","View")</f>
        <v>View</v>
      </c>
      <c r="P212" s="7"/>
    </row>
    <row r="213" spans="1:16">
      <c r="A213" s="3">
        <v>43803.9137962963</v>
      </c>
      <c r="B213" s="4" t="str">
        <f>HYPERLINK("https://twitter.com/petrogustavo","@petrogustavo")</f>
        <v>@petrogustavo</v>
      </c>
      <c r="C213" s="5" t="s">
        <v>16</v>
      </c>
      <c r="D213" s="5" t="s">
        <v>242</v>
      </c>
      <c r="E213" s="6" t="str">
        <f>HYPERLINK("https://twitter.com/petrogustavo/status/1202262755333554178","1202262755333554178")</f>
        <v>1202262755333554178</v>
      </c>
      <c r="F213" s="7" t="s">
        <v>17</v>
      </c>
      <c r="G213" s="7">
        <v>3571288</v>
      </c>
      <c r="H213" s="7">
        <v>2333</v>
      </c>
      <c r="I213" s="7">
        <v>29</v>
      </c>
      <c r="J213" s="7">
        <v>0</v>
      </c>
      <c r="K213" s="7" t="s">
        <v>18</v>
      </c>
      <c r="L213" s="8">
        <v>39987.315405092595</v>
      </c>
      <c r="M213" s="9" t="s">
        <v>19</v>
      </c>
      <c r="N213" s="9" t="s">
        <v>20</v>
      </c>
      <c r="O213" s="6" t="str">
        <f>HYPERLINK("https://pbs.twimg.com/profile_images/962471262747529216/Uo8lOkRJ_normal.jpg","View")</f>
        <v>View</v>
      </c>
      <c r="P213" s="7"/>
    </row>
    <row r="214" spans="1:16">
      <c r="A214" s="3">
        <v>43803.916574074072</v>
      </c>
      <c r="B214" s="4" t="str">
        <f>HYPERLINK("https://twitter.com/petrogustavo","@petrogustavo")</f>
        <v>@petrogustavo</v>
      </c>
      <c r="C214" s="5" t="s">
        <v>16</v>
      </c>
      <c r="D214" s="5" t="s">
        <v>243</v>
      </c>
      <c r="E214" s="6" t="str">
        <f>HYPERLINK("https://twitter.com/petrogustavo/status/1202263763774320640","1202263763774320640")</f>
        <v>1202263763774320640</v>
      </c>
      <c r="F214" s="7" t="s">
        <v>17</v>
      </c>
      <c r="G214" s="7">
        <v>3571288</v>
      </c>
      <c r="H214" s="7">
        <v>2333</v>
      </c>
      <c r="I214" s="7">
        <v>55</v>
      </c>
      <c r="J214" s="7">
        <v>0</v>
      </c>
      <c r="K214" s="7" t="s">
        <v>18</v>
      </c>
      <c r="L214" s="8">
        <v>39987.315405092595</v>
      </c>
      <c r="M214" s="9" t="s">
        <v>19</v>
      </c>
      <c r="N214" s="9" t="s">
        <v>20</v>
      </c>
      <c r="O214" s="6" t="str">
        <f>HYPERLINK("https://pbs.twimg.com/profile_images/962471262747529216/Uo8lOkRJ_normal.jpg","View")</f>
        <v>View</v>
      </c>
      <c r="P214" s="7"/>
    </row>
    <row r="215" spans="1:16">
      <c r="A215" s="3">
        <v>43803.917303240742</v>
      </c>
      <c r="B215" s="4" t="str">
        <f>HYPERLINK("https://twitter.com/petrogustavo","@petrogustavo")</f>
        <v>@petrogustavo</v>
      </c>
      <c r="C215" s="5" t="s">
        <v>16</v>
      </c>
      <c r="D215" s="5" t="s">
        <v>244</v>
      </c>
      <c r="E215" s="6" t="str">
        <f>HYPERLINK("https://twitter.com/petrogustavo/status/1202264026039894022","1202264026039894022")</f>
        <v>1202264026039894022</v>
      </c>
      <c r="F215" s="7" t="s">
        <v>17</v>
      </c>
      <c r="G215" s="7">
        <v>3571288</v>
      </c>
      <c r="H215" s="7">
        <v>2333</v>
      </c>
      <c r="I215" s="7">
        <v>38</v>
      </c>
      <c r="J215" s="7">
        <v>0</v>
      </c>
      <c r="K215" s="7" t="s">
        <v>18</v>
      </c>
      <c r="L215" s="8">
        <v>39987.315405092595</v>
      </c>
      <c r="M215" s="9" t="s">
        <v>19</v>
      </c>
      <c r="N215" s="9" t="s">
        <v>20</v>
      </c>
      <c r="O215" s="6" t="str">
        <f>HYPERLINK("https://pbs.twimg.com/profile_images/962471262747529216/Uo8lOkRJ_normal.jpg","View")</f>
        <v>View</v>
      </c>
      <c r="P215" s="7"/>
    </row>
    <row r="216" spans="1:16">
      <c r="A216" s="3">
        <v>43803.917638888888</v>
      </c>
      <c r="B216" s="4" t="str">
        <f>HYPERLINK("https://twitter.com/petrogustavo","@petrogustavo")</f>
        <v>@petrogustavo</v>
      </c>
      <c r="C216" s="5" t="s">
        <v>16</v>
      </c>
      <c r="D216" s="5" t="s">
        <v>245</v>
      </c>
      <c r="E216" s="6" t="str">
        <f>HYPERLINK("https://twitter.com/petrogustavo/status/1202264149084033025","1202264149084033025")</f>
        <v>1202264149084033025</v>
      </c>
      <c r="F216" s="7" t="s">
        <v>17</v>
      </c>
      <c r="G216" s="7">
        <v>3571288</v>
      </c>
      <c r="H216" s="7">
        <v>2333</v>
      </c>
      <c r="I216" s="7">
        <v>34</v>
      </c>
      <c r="J216" s="7">
        <v>0</v>
      </c>
      <c r="K216" s="7" t="s">
        <v>18</v>
      </c>
      <c r="L216" s="8">
        <v>39987.315405092595</v>
      </c>
      <c r="M216" s="9" t="s">
        <v>19</v>
      </c>
      <c r="N216" s="9" t="s">
        <v>20</v>
      </c>
      <c r="O216" s="6" t="str">
        <f>HYPERLINK("https://pbs.twimg.com/profile_images/962471262747529216/Uo8lOkRJ_normal.jpg","View")</f>
        <v>View</v>
      </c>
      <c r="P216" s="7"/>
    </row>
    <row r="217" spans="1:16">
      <c r="A217" s="3">
        <v>43803.918113425927</v>
      </c>
      <c r="B217" s="4" t="str">
        <f>HYPERLINK("https://twitter.com/petrogustavo","@petrogustavo")</f>
        <v>@petrogustavo</v>
      </c>
      <c r="C217" s="5" t="s">
        <v>16</v>
      </c>
      <c r="D217" s="5" t="s">
        <v>246</v>
      </c>
      <c r="E217" s="6" t="str">
        <f>HYPERLINK("https://twitter.com/petrogustavo/status/1202264321180471297","1202264321180471297")</f>
        <v>1202264321180471297</v>
      </c>
      <c r="F217" s="7" t="s">
        <v>17</v>
      </c>
      <c r="G217" s="7">
        <v>3571288</v>
      </c>
      <c r="H217" s="7">
        <v>2333</v>
      </c>
      <c r="I217" s="7">
        <v>109</v>
      </c>
      <c r="J217" s="7">
        <v>0</v>
      </c>
      <c r="K217" s="7" t="s">
        <v>18</v>
      </c>
      <c r="L217" s="8">
        <v>39987.315405092595</v>
      </c>
      <c r="M217" s="9" t="s">
        <v>19</v>
      </c>
      <c r="N217" s="9" t="s">
        <v>20</v>
      </c>
      <c r="O217" s="6" t="str">
        <f>HYPERLINK("https://pbs.twimg.com/profile_images/962471262747529216/Uo8lOkRJ_normal.jpg","View")</f>
        <v>View</v>
      </c>
      <c r="P217" s="7"/>
    </row>
    <row r="218" spans="1:16">
      <c r="A218" s="3">
        <v>43803.92123842593</v>
      </c>
      <c r="B218" s="4" t="str">
        <f>HYPERLINK("https://twitter.com/petrogustavo","@petrogustavo")</f>
        <v>@petrogustavo</v>
      </c>
      <c r="C218" s="5" t="s">
        <v>16</v>
      </c>
      <c r="D218" s="5" t="s">
        <v>247</v>
      </c>
      <c r="E218" s="6" t="str">
        <f>HYPERLINK("https://twitter.com/petrogustavo/status/1202265453265113091","1202265453265113091")</f>
        <v>1202265453265113091</v>
      </c>
      <c r="F218" s="7" t="s">
        <v>17</v>
      </c>
      <c r="G218" s="7">
        <v>3571288</v>
      </c>
      <c r="H218" s="7">
        <v>2333</v>
      </c>
      <c r="I218" s="7">
        <v>135</v>
      </c>
      <c r="J218" s="7">
        <v>531</v>
      </c>
      <c r="K218" s="7" t="s">
        <v>18</v>
      </c>
      <c r="L218" s="8">
        <v>39987.315405092595</v>
      </c>
      <c r="M218" s="9" t="s">
        <v>19</v>
      </c>
      <c r="N218" s="9" t="s">
        <v>20</v>
      </c>
      <c r="O218" s="6" t="str">
        <f>HYPERLINK("https://pbs.twimg.com/profile_images/962471262747529216/Uo8lOkRJ_normal.jpg","View")</f>
        <v>View</v>
      </c>
      <c r="P218" s="7"/>
    </row>
    <row r="219" spans="1:16">
      <c r="A219" s="3">
        <v>43803.927152777775</v>
      </c>
      <c r="B219" s="4" t="str">
        <f>HYPERLINK("https://twitter.com/petrogustavo","@petrogustavo")</f>
        <v>@petrogustavo</v>
      </c>
      <c r="C219" s="5" t="s">
        <v>16</v>
      </c>
      <c r="D219" s="5" t="s">
        <v>248</v>
      </c>
      <c r="E219" s="6" t="str">
        <f>HYPERLINK("https://twitter.com/petrogustavo/status/1202267593983381506","1202267593983381506")</f>
        <v>1202267593983381506</v>
      </c>
      <c r="F219" s="7" t="s">
        <v>17</v>
      </c>
      <c r="G219" s="7">
        <v>3571288</v>
      </c>
      <c r="H219" s="7">
        <v>2333</v>
      </c>
      <c r="I219" s="7">
        <v>61</v>
      </c>
      <c r="J219" s="7">
        <v>0</v>
      </c>
      <c r="K219" s="7" t="s">
        <v>18</v>
      </c>
      <c r="L219" s="8">
        <v>39987.315405092595</v>
      </c>
      <c r="M219" s="9" t="s">
        <v>19</v>
      </c>
      <c r="N219" s="9" t="s">
        <v>20</v>
      </c>
      <c r="O219" s="6" t="str">
        <f>HYPERLINK("https://pbs.twimg.com/profile_images/962471262747529216/Uo8lOkRJ_normal.jpg","View")</f>
        <v>View</v>
      </c>
      <c r="P219" s="7"/>
    </row>
    <row r="220" spans="1:16">
      <c r="A220" s="3">
        <v>43803.92763888889</v>
      </c>
      <c r="B220" s="4" t="str">
        <f>HYPERLINK("https://twitter.com/petrogustavo","@petrogustavo")</f>
        <v>@petrogustavo</v>
      </c>
      <c r="C220" s="5" t="s">
        <v>16</v>
      </c>
      <c r="D220" s="5" t="s">
        <v>249</v>
      </c>
      <c r="E220" s="6" t="str">
        <f>HYPERLINK("https://twitter.com/petrogustavo/status/1202267773138812928","1202267773138812928")</f>
        <v>1202267773138812928</v>
      </c>
      <c r="F220" s="7" t="s">
        <v>17</v>
      </c>
      <c r="G220" s="7">
        <v>3571288</v>
      </c>
      <c r="H220" s="7">
        <v>2333</v>
      </c>
      <c r="I220" s="7">
        <v>37</v>
      </c>
      <c r="J220" s="7">
        <v>0</v>
      </c>
      <c r="K220" s="7" t="s">
        <v>18</v>
      </c>
      <c r="L220" s="8">
        <v>39987.315405092595</v>
      </c>
      <c r="M220" s="9" t="s">
        <v>19</v>
      </c>
      <c r="N220" s="9" t="s">
        <v>20</v>
      </c>
      <c r="O220" s="6" t="str">
        <f>HYPERLINK("https://pbs.twimg.com/profile_images/962471262747529216/Uo8lOkRJ_normal.jpg","View")</f>
        <v>View</v>
      </c>
      <c r="P220" s="7"/>
    </row>
    <row r="221" spans="1:16">
      <c r="A221" s="3">
        <v>43803.928900462968</v>
      </c>
      <c r="B221" s="4" t="str">
        <f>HYPERLINK("https://twitter.com/petrogustavo","@petrogustavo")</f>
        <v>@petrogustavo</v>
      </c>
      <c r="C221" s="5" t="s">
        <v>16</v>
      </c>
      <c r="D221" s="5" t="s">
        <v>250</v>
      </c>
      <c r="E221" s="6" t="str">
        <f>HYPERLINK("https://twitter.com/petrogustavo/status/1202268228744957952","1202268228744957952")</f>
        <v>1202268228744957952</v>
      </c>
      <c r="F221" s="7" t="s">
        <v>17</v>
      </c>
      <c r="G221" s="7">
        <v>3571288</v>
      </c>
      <c r="H221" s="7">
        <v>2333</v>
      </c>
      <c r="I221" s="7">
        <v>3</v>
      </c>
      <c r="J221" s="7">
        <v>13</v>
      </c>
      <c r="K221" s="7" t="s">
        <v>18</v>
      </c>
      <c r="L221" s="8">
        <v>39987.315405092595</v>
      </c>
      <c r="M221" s="9" t="s">
        <v>19</v>
      </c>
      <c r="N221" s="9" t="s">
        <v>20</v>
      </c>
      <c r="O221" s="6" t="str">
        <f>HYPERLINK("https://pbs.twimg.com/profile_images/962471262747529216/Uo8lOkRJ_normal.jpg","View")</f>
        <v>View</v>
      </c>
      <c r="P221" s="7"/>
    </row>
    <row r="222" spans="1:16">
      <c r="A222" s="3">
        <v>43803.929363425923</v>
      </c>
      <c r="B222" s="4" t="str">
        <f>HYPERLINK("https://twitter.com/petrogustavo","@petrogustavo")</f>
        <v>@petrogustavo</v>
      </c>
      <c r="C222" s="5" t="s">
        <v>16</v>
      </c>
      <c r="D222" s="5" t="s">
        <v>251</v>
      </c>
      <c r="E222" s="6" t="str">
        <f>HYPERLINK("https://twitter.com/petrogustavo/status/1202268395758129152","1202268395758129152")</f>
        <v>1202268395758129152</v>
      </c>
      <c r="F222" s="7" t="s">
        <v>17</v>
      </c>
      <c r="G222" s="7">
        <v>3571292</v>
      </c>
      <c r="H222" s="7">
        <v>2333</v>
      </c>
      <c r="I222" s="7">
        <v>42</v>
      </c>
      <c r="J222" s="7">
        <v>0</v>
      </c>
      <c r="K222" s="7" t="s">
        <v>18</v>
      </c>
      <c r="L222" s="8">
        <v>39987.315405092595</v>
      </c>
      <c r="M222" s="9" t="s">
        <v>19</v>
      </c>
      <c r="N222" s="9" t="s">
        <v>20</v>
      </c>
      <c r="O222" s="6" t="str">
        <f>HYPERLINK("https://pbs.twimg.com/profile_images/962471262747529216/Uo8lOkRJ_normal.jpg","View")</f>
        <v>View</v>
      </c>
      <c r="P222" s="7"/>
    </row>
    <row r="223" spans="1:16">
      <c r="A223" s="3">
        <v>43803.932106481487</v>
      </c>
      <c r="B223" s="4" t="str">
        <f>HYPERLINK("https://twitter.com/petrogustavo","@petrogustavo")</f>
        <v>@petrogustavo</v>
      </c>
      <c r="C223" s="5" t="s">
        <v>16</v>
      </c>
      <c r="D223" s="5" t="s">
        <v>252</v>
      </c>
      <c r="E223" s="6" t="str">
        <f>HYPERLINK("https://twitter.com/petrogustavo/status/1202269389569048576","1202269389569048576")</f>
        <v>1202269389569048576</v>
      </c>
      <c r="F223" s="7" t="s">
        <v>17</v>
      </c>
      <c r="G223" s="7">
        <v>3571292</v>
      </c>
      <c r="H223" s="7">
        <v>2333</v>
      </c>
      <c r="I223" s="7">
        <v>324</v>
      </c>
      <c r="J223" s="7">
        <v>0</v>
      </c>
      <c r="K223" s="7" t="s">
        <v>18</v>
      </c>
      <c r="L223" s="8">
        <v>39987.315405092595</v>
      </c>
      <c r="M223" s="9" t="s">
        <v>19</v>
      </c>
      <c r="N223" s="9" t="s">
        <v>20</v>
      </c>
      <c r="O223" s="6" t="str">
        <f>HYPERLINK("https://pbs.twimg.com/profile_images/962471262747529216/Uo8lOkRJ_normal.jpg","View")</f>
        <v>View</v>
      </c>
      <c r="P223" s="7"/>
    </row>
    <row r="224" spans="1:16">
      <c r="A224" s="3">
        <v>43803.941354166665</v>
      </c>
      <c r="B224" s="4" t="str">
        <f>HYPERLINK("https://twitter.com/petrogustavo","@petrogustavo")</f>
        <v>@petrogustavo</v>
      </c>
      <c r="C224" s="5" t="s">
        <v>16</v>
      </c>
      <c r="D224" s="5" t="s">
        <v>253</v>
      </c>
      <c r="E224" s="6" t="str">
        <f>HYPERLINK("https://twitter.com/petrogustavo/status/1202272743170945024","1202272743170945024")</f>
        <v>1202272743170945024</v>
      </c>
      <c r="F224" s="7" t="s">
        <v>17</v>
      </c>
      <c r="G224" s="7">
        <v>3571292</v>
      </c>
      <c r="H224" s="7">
        <v>2333</v>
      </c>
      <c r="I224" s="7">
        <v>23</v>
      </c>
      <c r="J224" s="7">
        <v>0</v>
      </c>
      <c r="K224" s="7" t="s">
        <v>18</v>
      </c>
      <c r="L224" s="8">
        <v>39987.315405092595</v>
      </c>
      <c r="M224" s="9" t="s">
        <v>19</v>
      </c>
      <c r="N224" s="9" t="s">
        <v>20</v>
      </c>
      <c r="O224" s="6" t="str">
        <f>HYPERLINK("https://pbs.twimg.com/profile_images/962471262747529216/Uo8lOkRJ_normal.jpg","View")</f>
        <v>View</v>
      </c>
      <c r="P224" s="7"/>
    </row>
    <row r="225" spans="1:16">
      <c r="A225" s="3">
        <v>43803.974351851852</v>
      </c>
      <c r="B225" s="4" t="str">
        <f>HYPERLINK("https://twitter.com/petrogustavo","@petrogustavo")</f>
        <v>@petrogustavo</v>
      </c>
      <c r="C225" s="5" t="s">
        <v>16</v>
      </c>
      <c r="D225" s="5" t="s">
        <v>254</v>
      </c>
      <c r="E225" s="6" t="str">
        <f>HYPERLINK("https://twitter.com/petrogustavo/status/1202284699424641025","1202284699424641025")</f>
        <v>1202284699424641025</v>
      </c>
      <c r="F225" s="7" t="s">
        <v>17</v>
      </c>
      <c r="G225" s="7">
        <v>3571401</v>
      </c>
      <c r="H225" s="7">
        <v>2334</v>
      </c>
      <c r="I225" s="7">
        <v>1102</v>
      </c>
      <c r="J225" s="7">
        <v>0</v>
      </c>
      <c r="K225" s="7" t="s">
        <v>18</v>
      </c>
      <c r="L225" s="8">
        <v>39987.315405092595</v>
      </c>
      <c r="M225" s="9" t="s">
        <v>19</v>
      </c>
      <c r="N225" s="9" t="s">
        <v>20</v>
      </c>
      <c r="O225" s="6" t="str">
        <f>HYPERLINK("https://pbs.twimg.com/profile_images/962471262747529216/Uo8lOkRJ_normal.jpg","View")</f>
        <v>View</v>
      </c>
      <c r="P225" s="7"/>
    </row>
    <row r="226" spans="1:16">
      <c r="A226" s="3">
        <v>43803.974386574075</v>
      </c>
      <c r="B226" s="4" t="str">
        <f>HYPERLINK("https://twitter.com/petrogustavo","@petrogustavo")</f>
        <v>@petrogustavo</v>
      </c>
      <c r="C226" s="5" t="s">
        <v>16</v>
      </c>
      <c r="D226" s="5" t="s">
        <v>255</v>
      </c>
      <c r="E226" s="6" t="str">
        <f>HYPERLINK("https://twitter.com/petrogustavo/status/1202284712653447169","1202284712653447169")</f>
        <v>1202284712653447169</v>
      </c>
      <c r="F226" s="7" t="s">
        <v>17</v>
      </c>
      <c r="G226" s="7">
        <v>3571401</v>
      </c>
      <c r="H226" s="7">
        <v>2334</v>
      </c>
      <c r="I226" s="7">
        <v>1127</v>
      </c>
      <c r="J226" s="7">
        <v>0</v>
      </c>
      <c r="K226" s="7" t="s">
        <v>18</v>
      </c>
      <c r="L226" s="8">
        <v>39987.315405092595</v>
      </c>
      <c r="M226" s="9" t="s">
        <v>19</v>
      </c>
      <c r="N226" s="9" t="s">
        <v>20</v>
      </c>
      <c r="O226" s="6" t="str">
        <f>HYPERLINK("https://pbs.twimg.com/profile_images/962471262747529216/Uo8lOkRJ_normal.jpg","View")</f>
        <v>View</v>
      </c>
      <c r="P226" s="7"/>
    </row>
    <row r="227" spans="1:16">
      <c r="A227" s="3">
        <v>43804.106365740736</v>
      </c>
      <c r="B227" s="4" t="str">
        <f>HYPERLINK("https://twitter.com/petrogustavo","@petrogustavo")</f>
        <v>@petrogustavo</v>
      </c>
      <c r="C227" s="5" t="s">
        <v>16</v>
      </c>
      <c r="D227" s="5" t="s">
        <v>256</v>
      </c>
      <c r="E227" s="6" t="str">
        <f>HYPERLINK("https://twitter.com/petrogustavo/status/1202332542017384448","1202332542017384448")</f>
        <v>1202332542017384448</v>
      </c>
      <c r="F227" s="7" t="s">
        <v>32</v>
      </c>
      <c r="G227" s="7">
        <v>3571653</v>
      </c>
      <c r="H227" s="7">
        <v>2333</v>
      </c>
      <c r="I227" s="7">
        <v>168</v>
      </c>
      <c r="J227" s="7">
        <v>408</v>
      </c>
      <c r="K227" s="7" t="s">
        <v>18</v>
      </c>
      <c r="L227" s="8">
        <v>39987.315405092595</v>
      </c>
      <c r="M227" s="9" t="s">
        <v>19</v>
      </c>
      <c r="N227" s="9" t="s">
        <v>20</v>
      </c>
      <c r="O227" s="6" t="str">
        <f>HYPERLINK("https://pbs.twimg.com/profile_images/962471262747529216/Uo8lOkRJ_normal.jpg","View")</f>
        <v>View</v>
      </c>
      <c r="P227" s="7"/>
    </row>
    <row r="228" spans="1:16">
      <c r="A228" s="3">
        <v>43804.107465277775</v>
      </c>
      <c r="B228" s="4" t="str">
        <f>HYPERLINK("https://twitter.com/petrogustavo","@petrogustavo")</f>
        <v>@petrogustavo</v>
      </c>
      <c r="C228" s="5" t="s">
        <v>16</v>
      </c>
      <c r="D228" s="5" t="s">
        <v>257</v>
      </c>
      <c r="E228" s="6" t="str">
        <f>HYPERLINK("https://twitter.com/petrogustavo/status/1202332937729007619","1202332937729007619")</f>
        <v>1202332937729007619</v>
      </c>
      <c r="F228" s="7" t="s">
        <v>32</v>
      </c>
      <c r="G228" s="7">
        <v>3571653</v>
      </c>
      <c r="H228" s="7">
        <v>2333</v>
      </c>
      <c r="I228" s="7">
        <v>71</v>
      </c>
      <c r="J228" s="7">
        <v>0</v>
      </c>
      <c r="K228" s="7" t="s">
        <v>18</v>
      </c>
      <c r="L228" s="8">
        <v>39987.315405092595</v>
      </c>
      <c r="M228" s="9" t="s">
        <v>19</v>
      </c>
      <c r="N228" s="9" t="s">
        <v>20</v>
      </c>
      <c r="O228" s="6" t="str">
        <f>HYPERLINK("https://pbs.twimg.com/profile_images/962471262747529216/Uo8lOkRJ_normal.jpg","View")</f>
        <v>View</v>
      </c>
      <c r="P228" s="7"/>
    </row>
    <row r="229" spans="1:16">
      <c r="A229" s="3">
        <v>43804.107534722221</v>
      </c>
      <c r="B229" s="4" t="str">
        <f>HYPERLINK("https://twitter.com/petrogustavo","@petrogustavo")</f>
        <v>@petrogustavo</v>
      </c>
      <c r="C229" s="5" t="s">
        <v>16</v>
      </c>
      <c r="D229" s="5" t="s">
        <v>258</v>
      </c>
      <c r="E229" s="6" t="str">
        <f>HYPERLINK("https://twitter.com/petrogustavo/status/1202332963821826048","1202332963821826048")</f>
        <v>1202332963821826048</v>
      </c>
      <c r="F229" s="7" t="s">
        <v>32</v>
      </c>
      <c r="G229" s="7">
        <v>3571653</v>
      </c>
      <c r="H229" s="7">
        <v>2333</v>
      </c>
      <c r="I229" s="7">
        <v>91</v>
      </c>
      <c r="J229" s="7">
        <v>0</v>
      </c>
      <c r="K229" s="7" t="s">
        <v>18</v>
      </c>
      <c r="L229" s="8">
        <v>39987.315405092595</v>
      </c>
      <c r="M229" s="9" t="s">
        <v>19</v>
      </c>
      <c r="N229" s="9" t="s">
        <v>20</v>
      </c>
      <c r="O229" s="6" t="str">
        <f>HYPERLINK("https://pbs.twimg.com/profile_images/962471262747529216/Uo8lOkRJ_normal.jpg","View")</f>
        <v>View</v>
      </c>
      <c r="P229" s="7"/>
    </row>
    <row r="230" spans="1:16">
      <c r="A230" s="3">
        <v>43804.109467592592</v>
      </c>
      <c r="B230" s="4" t="str">
        <f>HYPERLINK("https://twitter.com/petrogustavo","@petrogustavo")</f>
        <v>@petrogustavo</v>
      </c>
      <c r="C230" s="5" t="s">
        <v>16</v>
      </c>
      <c r="D230" s="5" t="s">
        <v>259</v>
      </c>
      <c r="E230" s="6" t="str">
        <f>HYPERLINK("https://twitter.com/petrogustavo/status/1202333664685821952","1202333664685821952")</f>
        <v>1202333664685821952</v>
      </c>
      <c r="F230" s="7" t="s">
        <v>17</v>
      </c>
      <c r="G230" s="7">
        <v>3571653</v>
      </c>
      <c r="H230" s="7">
        <v>2333</v>
      </c>
      <c r="I230" s="7">
        <v>130</v>
      </c>
      <c r="J230" s="7">
        <v>718</v>
      </c>
      <c r="K230" s="7" t="s">
        <v>18</v>
      </c>
      <c r="L230" s="8">
        <v>39987.315405092595</v>
      </c>
      <c r="M230" s="9" t="s">
        <v>19</v>
      </c>
      <c r="N230" s="9" t="s">
        <v>20</v>
      </c>
      <c r="O230" s="6" t="str">
        <f>HYPERLINK("https://pbs.twimg.com/profile_images/962471262747529216/Uo8lOkRJ_normal.jpg","View")</f>
        <v>View</v>
      </c>
      <c r="P230" s="7"/>
    </row>
    <row r="231" spans="1:16">
      <c r="A231" s="3">
        <v>43804.116805555561</v>
      </c>
      <c r="B231" s="4" t="str">
        <f>HYPERLINK("https://twitter.com/petrogustavo","@petrogustavo")</f>
        <v>@petrogustavo</v>
      </c>
      <c r="C231" s="5" t="s">
        <v>16</v>
      </c>
      <c r="D231" s="5" t="s">
        <v>260</v>
      </c>
      <c r="E231" s="6" t="str">
        <f>HYPERLINK("https://twitter.com/petrogustavo/status/1202336322582650880","1202336322582650880")</f>
        <v>1202336322582650880</v>
      </c>
      <c r="F231" s="7" t="s">
        <v>17</v>
      </c>
      <c r="G231" s="7">
        <v>3571692</v>
      </c>
      <c r="H231" s="7">
        <v>2333</v>
      </c>
      <c r="I231" s="7">
        <v>496</v>
      </c>
      <c r="J231" s="7">
        <v>1999</v>
      </c>
      <c r="K231" s="7" t="s">
        <v>18</v>
      </c>
      <c r="L231" s="8">
        <v>39987.315405092595</v>
      </c>
      <c r="M231" s="9" t="s">
        <v>19</v>
      </c>
      <c r="N231" s="9" t="s">
        <v>20</v>
      </c>
      <c r="O231" s="6" t="str">
        <f>HYPERLINK("https://pbs.twimg.com/profile_images/962471262747529216/Uo8lOkRJ_normal.jpg","View")</f>
        <v>View</v>
      </c>
      <c r="P231" s="7"/>
    </row>
    <row r="232" spans="1:16">
      <c r="A232" s="3">
        <v>43804.135648148149</v>
      </c>
      <c r="B232" s="4" t="str">
        <f>HYPERLINK("https://twitter.com/petrogustavo","@petrogustavo")</f>
        <v>@petrogustavo</v>
      </c>
      <c r="C232" s="5" t="s">
        <v>16</v>
      </c>
      <c r="D232" s="5" t="s">
        <v>261</v>
      </c>
      <c r="E232" s="6" t="str">
        <f>HYPERLINK("https://twitter.com/petrogustavo/status/1202343150309793793","1202343150309793793")</f>
        <v>1202343150309793793</v>
      </c>
      <c r="F232" s="7" t="s">
        <v>17</v>
      </c>
      <c r="G232" s="7">
        <v>3571692</v>
      </c>
      <c r="H232" s="7">
        <v>2333</v>
      </c>
      <c r="I232" s="7">
        <v>410</v>
      </c>
      <c r="J232" s="7">
        <v>0</v>
      </c>
      <c r="K232" s="7" t="s">
        <v>18</v>
      </c>
      <c r="L232" s="8">
        <v>39987.315405092595</v>
      </c>
      <c r="M232" s="9" t="s">
        <v>19</v>
      </c>
      <c r="N232" s="9" t="s">
        <v>20</v>
      </c>
      <c r="O232" s="6" t="str">
        <f>HYPERLINK("https://pbs.twimg.com/profile_images/962471262747529216/Uo8lOkRJ_normal.jpg","View")</f>
        <v>View</v>
      </c>
      <c r="P232" s="7"/>
    </row>
    <row r="233" spans="1:16">
      <c r="A233" s="3">
        <v>43804.135659722218</v>
      </c>
      <c r="B233" s="4" t="str">
        <f>HYPERLINK("https://twitter.com/petrogustavo","@petrogustavo")</f>
        <v>@petrogustavo</v>
      </c>
      <c r="C233" s="5" t="s">
        <v>16</v>
      </c>
      <c r="D233" s="5" t="s">
        <v>262</v>
      </c>
      <c r="E233" s="6" t="str">
        <f>HYPERLINK("https://twitter.com/petrogustavo/status/1202343154063749120","1202343154063749120")</f>
        <v>1202343154063749120</v>
      </c>
      <c r="F233" s="7" t="s">
        <v>17</v>
      </c>
      <c r="G233" s="7">
        <v>3571692</v>
      </c>
      <c r="H233" s="7">
        <v>2333</v>
      </c>
      <c r="I233" s="7">
        <v>25</v>
      </c>
      <c r="J233" s="7">
        <v>0</v>
      </c>
      <c r="K233" s="7" t="s">
        <v>18</v>
      </c>
      <c r="L233" s="8">
        <v>39987.315405092595</v>
      </c>
      <c r="M233" s="9" t="s">
        <v>19</v>
      </c>
      <c r="N233" s="9" t="s">
        <v>20</v>
      </c>
      <c r="O233" s="6" t="str">
        <f>HYPERLINK("https://pbs.twimg.com/profile_images/962471262747529216/Uo8lOkRJ_normal.jpg","View")</f>
        <v>View</v>
      </c>
      <c r="P233" s="7"/>
    </row>
    <row r="234" spans="1:16">
      <c r="A234" s="3">
        <v>43804.137928240743</v>
      </c>
      <c r="B234" s="4" t="str">
        <f>HYPERLINK("https://twitter.com/petrogustavo","@petrogustavo")</f>
        <v>@petrogustavo</v>
      </c>
      <c r="C234" s="5" t="s">
        <v>16</v>
      </c>
      <c r="D234" s="5" t="s">
        <v>263</v>
      </c>
      <c r="E234" s="6" t="str">
        <f>HYPERLINK("https://twitter.com/petrogustavo/status/1202343979058126849","1202343979058126849")</f>
        <v>1202343979058126849</v>
      </c>
      <c r="F234" s="7" t="s">
        <v>17</v>
      </c>
      <c r="G234" s="7">
        <v>3571758</v>
      </c>
      <c r="H234" s="7">
        <v>2333</v>
      </c>
      <c r="I234" s="7">
        <v>530</v>
      </c>
      <c r="J234" s="7">
        <v>1706</v>
      </c>
      <c r="K234" s="7" t="s">
        <v>18</v>
      </c>
      <c r="L234" s="8">
        <v>39987.315405092595</v>
      </c>
      <c r="M234" s="9" t="s">
        <v>19</v>
      </c>
      <c r="N234" s="9" t="s">
        <v>20</v>
      </c>
      <c r="O234" s="6" t="str">
        <f>HYPERLINK("https://pbs.twimg.com/profile_images/962471262747529216/Uo8lOkRJ_normal.jpg","View")</f>
        <v>View</v>
      </c>
      <c r="P234" s="7"/>
    </row>
    <row r="235" spans="1:16">
      <c r="A235" s="3">
        <v>43804.139930555553</v>
      </c>
      <c r="B235" s="4" t="str">
        <f>HYPERLINK("https://twitter.com/petrogustavo","@petrogustavo")</f>
        <v>@petrogustavo</v>
      </c>
      <c r="C235" s="5" t="s">
        <v>16</v>
      </c>
      <c r="D235" s="5" t="s">
        <v>264</v>
      </c>
      <c r="E235" s="6" t="str">
        <f>HYPERLINK("https://twitter.com/petrogustavo/status/1202344705436114944","1202344705436114944")</f>
        <v>1202344705436114944</v>
      </c>
      <c r="F235" s="7" t="s">
        <v>17</v>
      </c>
      <c r="G235" s="7">
        <v>3571758</v>
      </c>
      <c r="H235" s="7">
        <v>2333</v>
      </c>
      <c r="I235" s="7">
        <v>281</v>
      </c>
      <c r="J235" s="7">
        <v>0</v>
      </c>
      <c r="K235" s="7" t="s">
        <v>18</v>
      </c>
      <c r="L235" s="8">
        <v>39987.315405092595</v>
      </c>
      <c r="M235" s="9" t="s">
        <v>19</v>
      </c>
      <c r="N235" s="9" t="s">
        <v>20</v>
      </c>
      <c r="O235" s="6" t="str">
        <f>HYPERLINK("https://pbs.twimg.com/profile_images/962471262747529216/Uo8lOkRJ_normal.jpg","View")</f>
        <v>View</v>
      </c>
      <c r="P235" s="7"/>
    </row>
    <row r="236" spans="1:16">
      <c r="A236" s="3">
        <v>43804.140451388885</v>
      </c>
      <c r="B236" s="4" t="str">
        <f>HYPERLINK("https://twitter.com/petrogustavo","@petrogustavo")</f>
        <v>@petrogustavo</v>
      </c>
      <c r="C236" s="5" t="s">
        <v>16</v>
      </c>
      <c r="D236" s="5" t="s">
        <v>265</v>
      </c>
      <c r="E236" s="6" t="str">
        <f>HYPERLINK("https://twitter.com/petrogustavo/status/1202344890488819717","1202344890488819717")</f>
        <v>1202344890488819717</v>
      </c>
      <c r="F236" s="7" t="s">
        <v>17</v>
      </c>
      <c r="G236" s="7">
        <v>3571758</v>
      </c>
      <c r="H236" s="7">
        <v>2333</v>
      </c>
      <c r="I236" s="7">
        <v>73</v>
      </c>
      <c r="J236" s="7">
        <v>0</v>
      </c>
      <c r="K236" s="7" t="s">
        <v>18</v>
      </c>
      <c r="L236" s="8">
        <v>39987.315405092595</v>
      </c>
      <c r="M236" s="9" t="s">
        <v>19</v>
      </c>
      <c r="N236" s="9" t="s">
        <v>20</v>
      </c>
      <c r="O236" s="6" t="str">
        <f>HYPERLINK("https://pbs.twimg.com/profile_images/962471262747529216/Uo8lOkRJ_normal.jpg","View")</f>
        <v>View</v>
      </c>
      <c r="P236" s="7"/>
    </row>
    <row r="237" spans="1:16">
      <c r="A237" s="3">
        <v>43804.141099537039</v>
      </c>
      <c r="B237" s="4" t="str">
        <f>HYPERLINK("https://twitter.com/petrogustavo","@petrogustavo")</f>
        <v>@petrogustavo</v>
      </c>
      <c r="C237" s="5" t="s">
        <v>16</v>
      </c>
      <c r="D237" s="5" t="s">
        <v>266</v>
      </c>
      <c r="E237" s="6" t="str">
        <f>HYPERLINK("https://twitter.com/petrogustavo/status/1202345129333395461","1202345129333395461")</f>
        <v>1202345129333395461</v>
      </c>
      <c r="F237" s="7" t="s">
        <v>17</v>
      </c>
      <c r="G237" s="7">
        <v>3571758</v>
      </c>
      <c r="H237" s="7">
        <v>2333</v>
      </c>
      <c r="I237" s="7">
        <v>262</v>
      </c>
      <c r="J237" s="7">
        <v>0</v>
      </c>
      <c r="K237" s="7" t="s">
        <v>18</v>
      </c>
      <c r="L237" s="8">
        <v>39987.315405092595</v>
      </c>
      <c r="M237" s="9" t="s">
        <v>19</v>
      </c>
      <c r="N237" s="9" t="s">
        <v>20</v>
      </c>
      <c r="O237" s="6" t="str">
        <f>HYPERLINK("https://pbs.twimg.com/profile_images/962471262747529216/Uo8lOkRJ_normal.jpg","View")</f>
        <v>View</v>
      </c>
      <c r="P237" s="7"/>
    </row>
    <row r="238" spans="1:16">
      <c r="A238" s="3">
        <v>43804.141215277778</v>
      </c>
      <c r="B238" s="4" t="str">
        <f>HYPERLINK("https://twitter.com/petrogustavo","@petrogustavo")</f>
        <v>@petrogustavo</v>
      </c>
      <c r="C238" s="5" t="s">
        <v>16</v>
      </c>
      <c r="D238" s="5" t="s">
        <v>267</v>
      </c>
      <c r="E238" s="6" t="str">
        <f>HYPERLINK("https://twitter.com/petrogustavo/status/1202345169003122689","1202345169003122689")</f>
        <v>1202345169003122689</v>
      </c>
      <c r="F238" s="7" t="s">
        <v>17</v>
      </c>
      <c r="G238" s="7">
        <v>3571758</v>
      </c>
      <c r="H238" s="7">
        <v>2333</v>
      </c>
      <c r="I238" s="7">
        <v>35</v>
      </c>
      <c r="J238" s="7">
        <v>0</v>
      </c>
      <c r="K238" s="7" t="s">
        <v>18</v>
      </c>
      <c r="L238" s="8">
        <v>39987.315405092595</v>
      </c>
      <c r="M238" s="9" t="s">
        <v>19</v>
      </c>
      <c r="N238" s="9" t="s">
        <v>20</v>
      </c>
      <c r="O238" s="6" t="str">
        <f>HYPERLINK("https://pbs.twimg.com/profile_images/962471262747529216/Uo8lOkRJ_normal.jpg","View")</f>
        <v>View</v>
      </c>
      <c r="P238" s="7"/>
    </row>
    <row r="239" spans="1:16">
      <c r="A239" s="3">
        <v>43804.143148148149</v>
      </c>
      <c r="B239" s="4" t="str">
        <f>HYPERLINK("https://twitter.com/petrogustavo","@petrogustavo")</f>
        <v>@petrogustavo</v>
      </c>
      <c r="C239" s="5" t="s">
        <v>16</v>
      </c>
      <c r="D239" s="5" t="s">
        <v>268</v>
      </c>
      <c r="E239" s="6" t="str">
        <f>HYPERLINK("https://twitter.com/petrogustavo/status/1202345871687507970","1202345871687507970")</f>
        <v>1202345871687507970</v>
      </c>
      <c r="F239" s="7" t="s">
        <v>17</v>
      </c>
      <c r="G239" s="7">
        <v>3571758</v>
      </c>
      <c r="H239" s="7">
        <v>2333</v>
      </c>
      <c r="I239" s="7">
        <v>164</v>
      </c>
      <c r="J239" s="7">
        <v>0</v>
      </c>
      <c r="K239" s="7" t="s">
        <v>18</v>
      </c>
      <c r="L239" s="8">
        <v>39987.315405092595</v>
      </c>
      <c r="M239" s="9" t="s">
        <v>19</v>
      </c>
      <c r="N239" s="9" t="s">
        <v>20</v>
      </c>
      <c r="O239" s="6" t="str">
        <f>HYPERLINK("https://pbs.twimg.com/profile_images/962471262747529216/Uo8lOkRJ_normal.jpg","View")</f>
        <v>View</v>
      </c>
      <c r="P239" s="7"/>
    </row>
    <row r="240" spans="1:16">
      <c r="A240" s="3">
        <v>43804.14334490741</v>
      </c>
      <c r="B240" s="4" t="str">
        <f>HYPERLINK("https://twitter.com/petrogustavo","@petrogustavo")</f>
        <v>@petrogustavo</v>
      </c>
      <c r="C240" s="5" t="s">
        <v>16</v>
      </c>
      <c r="D240" s="5" t="s">
        <v>269</v>
      </c>
      <c r="E240" s="6" t="str">
        <f>HYPERLINK("https://twitter.com/petrogustavo/status/1202345940159516673","1202345940159516673")</f>
        <v>1202345940159516673</v>
      </c>
      <c r="F240" s="7" t="s">
        <v>17</v>
      </c>
      <c r="G240" s="7">
        <v>3571758</v>
      </c>
      <c r="H240" s="7">
        <v>2333</v>
      </c>
      <c r="I240" s="7">
        <v>42</v>
      </c>
      <c r="J240" s="7">
        <v>0</v>
      </c>
      <c r="K240" s="7" t="s">
        <v>18</v>
      </c>
      <c r="L240" s="8">
        <v>39987.315405092595</v>
      </c>
      <c r="M240" s="9" t="s">
        <v>19</v>
      </c>
      <c r="N240" s="9" t="s">
        <v>20</v>
      </c>
      <c r="O240" s="6" t="str">
        <f>HYPERLINK("https://pbs.twimg.com/profile_images/962471262747529216/Uo8lOkRJ_normal.jpg","View")</f>
        <v>View</v>
      </c>
      <c r="P240" s="7"/>
    </row>
    <row r="241" spans="1:16">
      <c r="A241" s="3">
        <v>43804.144537037035</v>
      </c>
      <c r="B241" s="4" t="str">
        <f>HYPERLINK("https://twitter.com/petrogustavo","@petrogustavo")</f>
        <v>@petrogustavo</v>
      </c>
      <c r="C241" s="5" t="s">
        <v>16</v>
      </c>
      <c r="D241" s="5" t="s">
        <v>270</v>
      </c>
      <c r="E241" s="6" t="str">
        <f>HYPERLINK("https://twitter.com/petrogustavo/status/1202346373829537797","1202346373829537797")</f>
        <v>1202346373829537797</v>
      </c>
      <c r="F241" s="7" t="s">
        <v>17</v>
      </c>
      <c r="G241" s="7">
        <v>3571758</v>
      </c>
      <c r="H241" s="7">
        <v>2333</v>
      </c>
      <c r="I241" s="7">
        <v>48</v>
      </c>
      <c r="J241" s="7">
        <v>0</v>
      </c>
      <c r="K241" s="7" t="s">
        <v>18</v>
      </c>
      <c r="L241" s="8">
        <v>39987.315405092595</v>
      </c>
      <c r="M241" s="9" t="s">
        <v>19</v>
      </c>
      <c r="N241" s="9" t="s">
        <v>20</v>
      </c>
      <c r="O241" s="6" t="str">
        <f>HYPERLINK("https://pbs.twimg.com/profile_images/962471262747529216/Uo8lOkRJ_normal.jpg","View")</f>
        <v>View</v>
      </c>
      <c r="P241" s="7"/>
    </row>
    <row r="242" spans="1:16">
      <c r="A242" s="3">
        <v>43804.144745370373</v>
      </c>
      <c r="B242" s="4" t="str">
        <f>HYPERLINK("https://twitter.com/petrogustavo","@petrogustavo")</f>
        <v>@petrogustavo</v>
      </c>
      <c r="C242" s="5" t="s">
        <v>16</v>
      </c>
      <c r="D242" s="5" t="s">
        <v>271</v>
      </c>
      <c r="E242" s="6" t="str">
        <f>HYPERLINK("https://twitter.com/petrogustavo/status/1202346448156803072","1202346448156803072")</f>
        <v>1202346448156803072</v>
      </c>
      <c r="F242" s="7" t="s">
        <v>17</v>
      </c>
      <c r="G242" s="7">
        <v>3571758</v>
      </c>
      <c r="H242" s="7">
        <v>2333</v>
      </c>
      <c r="I242" s="7">
        <v>3307</v>
      </c>
      <c r="J242" s="7">
        <v>0</v>
      </c>
      <c r="K242" s="7" t="s">
        <v>18</v>
      </c>
      <c r="L242" s="8">
        <v>39987.315405092595</v>
      </c>
      <c r="M242" s="9" t="s">
        <v>19</v>
      </c>
      <c r="N242" s="9" t="s">
        <v>20</v>
      </c>
      <c r="O242" s="6" t="str">
        <f>HYPERLINK("https://pbs.twimg.com/profile_images/962471262747529216/Uo8lOkRJ_normal.jpg","View")</f>
        <v>View</v>
      </c>
      <c r="P242" s="7"/>
    </row>
    <row r="243" spans="1:16">
      <c r="A243" s="3">
        <v>43804.144849537042</v>
      </c>
      <c r="B243" s="4" t="str">
        <f>HYPERLINK("https://twitter.com/petrogustavo","@petrogustavo")</f>
        <v>@petrogustavo</v>
      </c>
      <c r="C243" s="5" t="s">
        <v>16</v>
      </c>
      <c r="D243" s="5" t="s">
        <v>272</v>
      </c>
      <c r="E243" s="6" t="str">
        <f>HYPERLINK("https://twitter.com/petrogustavo/status/1202346484680798208","1202346484680798208")</f>
        <v>1202346484680798208</v>
      </c>
      <c r="F243" s="7" t="s">
        <v>17</v>
      </c>
      <c r="G243" s="7">
        <v>3571758</v>
      </c>
      <c r="H243" s="7">
        <v>2333</v>
      </c>
      <c r="I243" s="7">
        <v>181</v>
      </c>
      <c r="J243" s="7">
        <v>0</v>
      </c>
      <c r="K243" s="7" t="s">
        <v>18</v>
      </c>
      <c r="L243" s="8">
        <v>39987.315405092595</v>
      </c>
      <c r="M243" s="9" t="s">
        <v>19</v>
      </c>
      <c r="N243" s="9" t="s">
        <v>20</v>
      </c>
      <c r="O243" s="6" t="str">
        <f>HYPERLINK("https://pbs.twimg.com/profile_images/962471262747529216/Uo8lOkRJ_normal.jpg","View")</f>
        <v>View</v>
      </c>
      <c r="P243" s="7"/>
    </row>
    <row r="244" spans="1:16">
      <c r="A244" s="3">
        <v>43804.146620370375</v>
      </c>
      <c r="B244" s="4" t="str">
        <f>HYPERLINK("https://twitter.com/petrogustavo","@petrogustavo")</f>
        <v>@petrogustavo</v>
      </c>
      <c r="C244" s="5" t="s">
        <v>16</v>
      </c>
      <c r="D244" s="5" t="s">
        <v>273</v>
      </c>
      <c r="E244" s="6" t="str">
        <f>HYPERLINK("https://twitter.com/petrogustavo/status/1202347127751553024","1202347127751553024")</f>
        <v>1202347127751553024</v>
      </c>
      <c r="F244" s="7" t="s">
        <v>17</v>
      </c>
      <c r="G244" s="7">
        <v>3571758</v>
      </c>
      <c r="H244" s="7">
        <v>2333</v>
      </c>
      <c r="I244" s="7">
        <v>137</v>
      </c>
      <c r="J244" s="7">
        <v>0</v>
      </c>
      <c r="K244" s="7" t="s">
        <v>18</v>
      </c>
      <c r="L244" s="8">
        <v>39987.315405092595</v>
      </c>
      <c r="M244" s="9" t="s">
        <v>19</v>
      </c>
      <c r="N244" s="9" t="s">
        <v>20</v>
      </c>
      <c r="O244" s="6" t="str">
        <f>HYPERLINK("https://pbs.twimg.com/profile_images/962471262747529216/Uo8lOkRJ_normal.jpg","View")</f>
        <v>View</v>
      </c>
      <c r="P244" s="7"/>
    </row>
    <row r="245" spans="1:16">
      <c r="A245" s="3">
        <v>43804.146944444445</v>
      </c>
      <c r="B245" s="4" t="str">
        <f>HYPERLINK("https://twitter.com/petrogustavo","@petrogustavo")</f>
        <v>@petrogustavo</v>
      </c>
      <c r="C245" s="5" t="s">
        <v>16</v>
      </c>
      <c r="D245" s="5" t="s">
        <v>274</v>
      </c>
      <c r="E245" s="6" t="str">
        <f>HYPERLINK("https://twitter.com/petrogustavo/status/1202347244323782656","1202347244323782656")</f>
        <v>1202347244323782656</v>
      </c>
      <c r="F245" s="7" t="s">
        <v>17</v>
      </c>
      <c r="G245" s="7">
        <v>3571758</v>
      </c>
      <c r="H245" s="7">
        <v>2333</v>
      </c>
      <c r="I245" s="7">
        <v>862</v>
      </c>
      <c r="J245" s="7">
        <v>0</v>
      </c>
      <c r="K245" s="7" t="s">
        <v>18</v>
      </c>
      <c r="L245" s="8">
        <v>39987.315405092595</v>
      </c>
      <c r="M245" s="9" t="s">
        <v>19</v>
      </c>
      <c r="N245" s="9" t="s">
        <v>20</v>
      </c>
      <c r="O245" s="6" t="str">
        <f>HYPERLINK("https://pbs.twimg.com/profile_images/962471262747529216/Uo8lOkRJ_normal.jpg","View")</f>
        <v>View</v>
      </c>
      <c r="P245" s="7"/>
    </row>
    <row r="246" spans="1:16">
      <c r="A246" s="3">
        <v>43804.149560185186</v>
      </c>
      <c r="B246" s="4" t="str">
        <f>HYPERLINK("https://twitter.com/petrogustavo","@petrogustavo")</f>
        <v>@petrogustavo</v>
      </c>
      <c r="C246" s="5" t="s">
        <v>16</v>
      </c>
      <c r="D246" s="5" t="s">
        <v>275</v>
      </c>
      <c r="E246" s="6" t="str">
        <f>HYPERLINK("https://twitter.com/petrogustavo/status/1202348194321043456","1202348194321043456")</f>
        <v>1202348194321043456</v>
      </c>
      <c r="F246" s="7" t="s">
        <v>17</v>
      </c>
      <c r="G246" s="7">
        <v>3571758</v>
      </c>
      <c r="H246" s="7">
        <v>2333</v>
      </c>
      <c r="I246" s="7">
        <v>39</v>
      </c>
      <c r="J246" s="7">
        <v>0</v>
      </c>
      <c r="K246" s="7" t="s">
        <v>18</v>
      </c>
      <c r="L246" s="8">
        <v>39987.315405092595</v>
      </c>
      <c r="M246" s="9" t="s">
        <v>19</v>
      </c>
      <c r="N246" s="9" t="s">
        <v>20</v>
      </c>
      <c r="O246" s="6" t="str">
        <f>HYPERLINK("https://pbs.twimg.com/profile_images/962471262747529216/Uo8lOkRJ_normal.jpg","View")</f>
        <v>View</v>
      </c>
      <c r="P246" s="7"/>
    </row>
    <row r="247" spans="1:16">
      <c r="A247" s="3">
        <v>43804.15006944444</v>
      </c>
      <c r="B247" s="4" t="str">
        <f>HYPERLINK("https://twitter.com/petrogustavo","@petrogustavo")</f>
        <v>@petrogustavo</v>
      </c>
      <c r="C247" s="5" t="s">
        <v>16</v>
      </c>
      <c r="D247" s="5" t="s">
        <v>276</v>
      </c>
      <c r="E247" s="6" t="str">
        <f>HYPERLINK("https://twitter.com/petrogustavo/status/1202348377402413064","1202348377402413064")</f>
        <v>1202348377402413064</v>
      </c>
      <c r="F247" s="7" t="s">
        <v>17</v>
      </c>
      <c r="G247" s="7">
        <v>3571758</v>
      </c>
      <c r="H247" s="7">
        <v>2333</v>
      </c>
      <c r="I247" s="7">
        <v>69</v>
      </c>
      <c r="J247" s="7">
        <v>0</v>
      </c>
      <c r="K247" s="7" t="s">
        <v>18</v>
      </c>
      <c r="L247" s="8">
        <v>39987.315405092595</v>
      </c>
      <c r="M247" s="9" t="s">
        <v>19</v>
      </c>
      <c r="N247" s="9" t="s">
        <v>20</v>
      </c>
      <c r="O247" s="6" t="str">
        <f>HYPERLINK("https://pbs.twimg.com/profile_images/962471262747529216/Uo8lOkRJ_normal.jpg","View")</f>
        <v>View</v>
      </c>
      <c r="P247" s="7"/>
    </row>
    <row r="248" spans="1:16">
      <c r="A248" s="3">
        <v>43804.154803240745</v>
      </c>
      <c r="B248" s="4" t="str">
        <f>HYPERLINK("https://twitter.com/petrogustavo","@petrogustavo")</f>
        <v>@petrogustavo</v>
      </c>
      <c r="C248" s="5" t="s">
        <v>16</v>
      </c>
      <c r="D248" s="5" t="s">
        <v>277</v>
      </c>
      <c r="E248" s="6" t="str">
        <f>HYPERLINK("https://twitter.com/petrogustavo/status/1202350093816541185","1202350093816541185")</f>
        <v>1202350093816541185</v>
      </c>
      <c r="F248" s="7" t="s">
        <v>17</v>
      </c>
      <c r="G248" s="7">
        <v>3571758</v>
      </c>
      <c r="H248" s="7">
        <v>2333</v>
      </c>
      <c r="I248" s="7">
        <v>23</v>
      </c>
      <c r="J248" s="7">
        <v>0</v>
      </c>
      <c r="K248" s="7" t="s">
        <v>18</v>
      </c>
      <c r="L248" s="8">
        <v>39987.315405092595</v>
      </c>
      <c r="M248" s="9" t="s">
        <v>19</v>
      </c>
      <c r="N248" s="9" t="s">
        <v>20</v>
      </c>
      <c r="O248" s="6" t="str">
        <f>HYPERLINK("https://pbs.twimg.com/profile_images/962471262747529216/Uo8lOkRJ_normal.jpg","View")</f>
        <v>View</v>
      </c>
      <c r="P248" s="7"/>
    </row>
    <row r="249" spans="1:16">
      <c r="A249" s="3">
        <v>43804.155092592591</v>
      </c>
      <c r="B249" s="4" t="str">
        <f>HYPERLINK("https://twitter.com/petrogustavo","@petrogustavo")</f>
        <v>@petrogustavo</v>
      </c>
      <c r="C249" s="5" t="s">
        <v>16</v>
      </c>
      <c r="D249" s="5" t="s">
        <v>278</v>
      </c>
      <c r="E249" s="6" t="str">
        <f>HYPERLINK("https://twitter.com/petrogustavo/status/1202350196455333888","1202350196455333888")</f>
        <v>1202350196455333888</v>
      </c>
      <c r="F249" s="7" t="s">
        <v>17</v>
      </c>
      <c r="G249" s="7">
        <v>3571758</v>
      </c>
      <c r="H249" s="7">
        <v>2333</v>
      </c>
      <c r="I249" s="7">
        <v>13</v>
      </c>
      <c r="J249" s="7">
        <v>0</v>
      </c>
      <c r="K249" s="7" t="s">
        <v>18</v>
      </c>
      <c r="L249" s="8">
        <v>39987.315405092595</v>
      </c>
      <c r="M249" s="9" t="s">
        <v>19</v>
      </c>
      <c r="N249" s="9" t="s">
        <v>20</v>
      </c>
      <c r="O249" s="6" t="str">
        <f>HYPERLINK("https://pbs.twimg.com/profile_images/962471262747529216/Uo8lOkRJ_normal.jpg","View")</f>
        <v>View</v>
      </c>
      <c r="P249" s="7"/>
    </row>
    <row r="250" spans="1:16">
      <c r="A250" s="3">
        <v>43804.155486111107</v>
      </c>
      <c r="B250" s="4" t="str">
        <f>HYPERLINK("https://twitter.com/petrogustavo","@petrogustavo")</f>
        <v>@petrogustavo</v>
      </c>
      <c r="C250" s="5" t="s">
        <v>16</v>
      </c>
      <c r="D250" s="5" t="s">
        <v>279</v>
      </c>
      <c r="E250" s="6" t="str">
        <f>HYPERLINK("https://twitter.com/petrogustavo/status/1202350341162967043","1202350341162967043")</f>
        <v>1202350341162967043</v>
      </c>
      <c r="F250" s="7" t="s">
        <v>17</v>
      </c>
      <c r="G250" s="7">
        <v>3571758</v>
      </c>
      <c r="H250" s="7">
        <v>2333</v>
      </c>
      <c r="I250" s="7">
        <v>8</v>
      </c>
      <c r="J250" s="7">
        <v>0</v>
      </c>
      <c r="K250" s="7" t="s">
        <v>18</v>
      </c>
      <c r="L250" s="8">
        <v>39987.315405092595</v>
      </c>
      <c r="M250" s="9" t="s">
        <v>19</v>
      </c>
      <c r="N250" s="9" t="s">
        <v>20</v>
      </c>
      <c r="O250" s="6" t="str">
        <f>HYPERLINK("https://pbs.twimg.com/profile_images/962471262747529216/Uo8lOkRJ_normal.jpg","View")</f>
        <v>View</v>
      </c>
      <c r="P250" s="7"/>
    </row>
    <row r="251" spans="1:16">
      <c r="A251" s="3">
        <v>43804.15625</v>
      </c>
      <c r="B251" s="4" t="str">
        <f>HYPERLINK("https://twitter.com/petrogustavo","@petrogustavo")</f>
        <v>@petrogustavo</v>
      </c>
      <c r="C251" s="5" t="s">
        <v>16</v>
      </c>
      <c r="D251" s="5" t="s">
        <v>280</v>
      </c>
      <c r="E251" s="6" t="str">
        <f>HYPERLINK("https://twitter.com/petrogustavo/status/1202350617118879745","1202350617118879745")</f>
        <v>1202350617118879745</v>
      </c>
      <c r="F251" s="7" t="s">
        <v>17</v>
      </c>
      <c r="G251" s="7">
        <v>3571758</v>
      </c>
      <c r="H251" s="7">
        <v>2333</v>
      </c>
      <c r="I251" s="7">
        <v>32</v>
      </c>
      <c r="J251" s="7">
        <v>0</v>
      </c>
      <c r="K251" s="7" t="s">
        <v>18</v>
      </c>
      <c r="L251" s="8">
        <v>39987.315405092595</v>
      </c>
      <c r="M251" s="9" t="s">
        <v>19</v>
      </c>
      <c r="N251" s="9" t="s">
        <v>20</v>
      </c>
      <c r="O251" s="6" t="str">
        <f>HYPERLINK("https://pbs.twimg.com/profile_images/962471262747529216/Uo8lOkRJ_normal.jpg","View")</f>
        <v>View</v>
      </c>
      <c r="P251" s="7"/>
    </row>
    <row r="252" spans="1:16">
      <c r="A252" s="3">
        <v>43804.158206018517</v>
      </c>
      <c r="B252" s="4" t="str">
        <f>HYPERLINK("https://twitter.com/petrogustavo","@petrogustavo")</f>
        <v>@petrogustavo</v>
      </c>
      <c r="C252" s="5" t="s">
        <v>16</v>
      </c>
      <c r="D252" s="5" t="s">
        <v>281</v>
      </c>
      <c r="E252" s="6" t="str">
        <f>HYPERLINK("https://twitter.com/petrogustavo/status/1202351326920925184","1202351326920925184")</f>
        <v>1202351326920925184</v>
      </c>
      <c r="F252" s="7" t="s">
        <v>17</v>
      </c>
      <c r="G252" s="7">
        <v>3571799</v>
      </c>
      <c r="H252" s="7">
        <v>2333</v>
      </c>
      <c r="I252" s="7">
        <v>44</v>
      </c>
      <c r="J252" s="7">
        <v>0</v>
      </c>
      <c r="K252" s="7" t="s">
        <v>18</v>
      </c>
      <c r="L252" s="8">
        <v>39987.315405092595</v>
      </c>
      <c r="M252" s="9" t="s">
        <v>19</v>
      </c>
      <c r="N252" s="9" t="s">
        <v>20</v>
      </c>
      <c r="O252" s="6" t="str">
        <f>HYPERLINK("https://pbs.twimg.com/profile_images/962471262747529216/Uo8lOkRJ_normal.jpg","View")</f>
        <v>View</v>
      </c>
      <c r="P252" s="7"/>
    </row>
    <row r="253" spans="1:16">
      <c r="A253" s="3">
        <v>43804.158333333333</v>
      </c>
      <c r="B253" s="4" t="str">
        <f>HYPERLINK("https://twitter.com/petrogustavo","@petrogustavo")</f>
        <v>@petrogustavo</v>
      </c>
      <c r="C253" s="5" t="s">
        <v>16</v>
      </c>
      <c r="D253" s="5" t="s">
        <v>282</v>
      </c>
      <c r="E253" s="6" t="str">
        <f>HYPERLINK("https://twitter.com/petrogustavo/status/1202351370877177859","1202351370877177859")</f>
        <v>1202351370877177859</v>
      </c>
      <c r="F253" s="7" t="s">
        <v>17</v>
      </c>
      <c r="G253" s="7">
        <v>3571799</v>
      </c>
      <c r="H253" s="7">
        <v>2333</v>
      </c>
      <c r="I253" s="7">
        <v>475</v>
      </c>
      <c r="J253" s="7">
        <v>0</v>
      </c>
      <c r="K253" s="7" t="s">
        <v>18</v>
      </c>
      <c r="L253" s="8">
        <v>39987.315405092595</v>
      </c>
      <c r="M253" s="9" t="s">
        <v>19</v>
      </c>
      <c r="N253" s="9" t="s">
        <v>20</v>
      </c>
      <c r="O253" s="6" t="str">
        <f>HYPERLINK("https://pbs.twimg.com/profile_images/962471262747529216/Uo8lOkRJ_normal.jpg","View")</f>
        <v>View</v>
      </c>
      <c r="P253" s="7"/>
    </row>
    <row r="254" spans="1:16">
      <c r="A254" s="3">
        <v>43804.15902777778</v>
      </c>
      <c r="B254" s="4" t="str">
        <f>HYPERLINK("https://twitter.com/petrogustavo","@petrogustavo")</f>
        <v>@petrogustavo</v>
      </c>
      <c r="C254" s="5" t="s">
        <v>16</v>
      </c>
      <c r="D254" s="5" t="s">
        <v>283</v>
      </c>
      <c r="E254" s="6" t="str">
        <f>HYPERLINK("https://twitter.com/petrogustavo/status/1202351623110119426","1202351623110119426")</f>
        <v>1202351623110119426</v>
      </c>
      <c r="F254" s="7" t="s">
        <v>17</v>
      </c>
      <c r="G254" s="7">
        <v>3571799</v>
      </c>
      <c r="H254" s="7">
        <v>2333</v>
      </c>
      <c r="I254" s="7">
        <v>864</v>
      </c>
      <c r="J254" s="7">
        <v>0</v>
      </c>
      <c r="K254" s="7" t="s">
        <v>18</v>
      </c>
      <c r="L254" s="8">
        <v>39987.315405092595</v>
      </c>
      <c r="M254" s="9" t="s">
        <v>19</v>
      </c>
      <c r="N254" s="9" t="s">
        <v>20</v>
      </c>
      <c r="O254" s="6" t="str">
        <f>HYPERLINK("https://pbs.twimg.com/profile_images/962471262747529216/Uo8lOkRJ_normal.jpg","View")</f>
        <v>View</v>
      </c>
      <c r="P254" s="7"/>
    </row>
    <row r="255" spans="1:16">
      <c r="A255" s="3">
        <v>43804.165289351848</v>
      </c>
      <c r="B255" s="4" t="str">
        <f>HYPERLINK("https://twitter.com/petrogustavo","@petrogustavo")</f>
        <v>@petrogustavo</v>
      </c>
      <c r="C255" s="5" t="s">
        <v>16</v>
      </c>
      <c r="D255" s="5" t="s">
        <v>284</v>
      </c>
      <c r="E255" s="6" t="str">
        <f>HYPERLINK("https://twitter.com/petrogustavo/status/1202353891452608512","1202353891452608512")</f>
        <v>1202353891452608512</v>
      </c>
      <c r="F255" s="7" t="s">
        <v>17</v>
      </c>
      <c r="G255" s="7">
        <v>3571799</v>
      </c>
      <c r="H255" s="7">
        <v>2333</v>
      </c>
      <c r="I255" s="7">
        <v>94</v>
      </c>
      <c r="J255" s="7">
        <v>0</v>
      </c>
      <c r="K255" s="7" t="s">
        <v>18</v>
      </c>
      <c r="L255" s="8">
        <v>39987.315405092595</v>
      </c>
      <c r="M255" s="9" t="s">
        <v>19</v>
      </c>
      <c r="N255" s="9" t="s">
        <v>20</v>
      </c>
      <c r="O255" s="6" t="str">
        <f>HYPERLINK("https://pbs.twimg.com/profile_images/962471262747529216/Uo8lOkRJ_normal.jpg","View")</f>
        <v>View</v>
      </c>
      <c r="P255" s="7"/>
    </row>
    <row r="256" spans="1:16">
      <c r="A256" s="3">
        <v>43804.166354166664</v>
      </c>
      <c r="B256" s="4" t="str">
        <f>HYPERLINK("https://twitter.com/petrogustavo","@petrogustavo")</f>
        <v>@petrogustavo</v>
      </c>
      <c r="C256" s="5" t="s">
        <v>16</v>
      </c>
      <c r="D256" s="5" t="s">
        <v>285</v>
      </c>
      <c r="E256" s="6" t="str">
        <f>HYPERLINK("https://twitter.com/petrogustavo/status/1202354279375392769","1202354279375392769")</f>
        <v>1202354279375392769</v>
      </c>
      <c r="F256" s="7" t="s">
        <v>17</v>
      </c>
      <c r="G256" s="7">
        <v>3571799</v>
      </c>
      <c r="H256" s="7">
        <v>2333</v>
      </c>
      <c r="I256" s="7">
        <v>42</v>
      </c>
      <c r="J256" s="7">
        <v>0</v>
      </c>
      <c r="K256" s="7" t="s">
        <v>18</v>
      </c>
      <c r="L256" s="8">
        <v>39987.315405092595</v>
      </c>
      <c r="M256" s="9" t="s">
        <v>19</v>
      </c>
      <c r="N256" s="9" t="s">
        <v>20</v>
      </c>
      <c r="O256" s="6" t="str">
        <f>HYPERLINK("https://pbs.twimg.com/profile_images/962471262747529216/Uo8lOkRJ_normal.jpg","View")</f>
        <v>View</v>
      </c>
      <c r="P256" s="7"/>
    </row>
    <row r="257" spans="1:16">
      <c r="A257" s="3">
        <v>43804.167951388888</v>
      </c>
      <c r="B257" s="4" t="str">
        <f>HYPERLINK("https://twitter.com/petrogustavo","@petrogustavo")</f>
        <v>@petrogustavo</v>
      </c>
      <c r="C257" s="5" t="s">
        <v>16</v>
      </c>
      <c r="D257" s="5" t="s">
        <v>286</v>
      </c>
      <c r="E257" s="6" t="str">
        <f>HYPERLINK("https://twitter.com/petrogustavo/status/1202354857954414598","1202354857954414598")</f>
        <v>1202354857954414598</v>
      </c>
      <c r="F257" s="7" t="s">
        <v>17</v>
      </c>
      <c r="G257" s="7">
        <v>3571799</v>
      </c>
      <c r="H257" s="7">
        <v>2333</v>
      </c>
      <c r="I257" s="7">
        <v>78</v>
      </c>
      <c r="J257" s="7">
        <v>0</v>
      </c>
      <c r="K257" s="7" t="s">
        <v>18</v>
      </c>
      <c r="L257" s="8">
        <v>39987.315405092595</v>
      </c>
      <c r="M257" s="9" t="s">
        <v>19</v>
      </c>
      <c r="N257" s="9" t="s">
        <v>20</v>
      </c>
      <c r="O257" s="6" t="str">
        <f>HYPERLINK("https://pbs.twimg.com/profile_images/962471262747529216/Uo8lOkRJ_normal.jpg","View")</f>
        <v>View</v>
      </c>
      <c r="P257" s="7"/>
    </row>
    <row r="258" spans="1:16">
      <c r="A258" s="3">
        <v>43804.169270833328</v>
      </c>
      <c r="B258" s="4" t="str">
        <f>HYPERLINK("https://twitter.com/petrogustavo","@petrogustavo")</f>
        <v>@petrogustavo</v>
      </c>
      <c r="C258" s="5" t="s">
        <v>16</v>
      </c>
      <c r="D258" s="5" t="s">
        <v>287</v>
      </c>
      <c r="E258" s="6" t="str">
        <f>HYPERLINK("https://twitter.com/petrogustavo/status/1202355337011048448","1202355337011048448")</f>
        <v>1202355337011048448</v>
      </c>
      <c r="F258" s="7" t="s">
        <v>17</v>
      </c>
      <c r="G258" s="7">
        <v>3571799</v>
      </c>
      <c r="H258" s="7">
        <v>2333</v>
      </c>
      <c r="I258" s="7">
        <v>160</v>
      </c>
      <c r="J258" s="7">
        <v>0</v>
      </c>
      <c r="K258" s="7" t="s">
        <v>18</v>
      </c>
      <c r="L258" s="8">
        <v>39987.315405092595</v>
      </c>
      <c r="M258" s="9" t="s">
        <v>19</v>
      </c>
      <c r="N258" s="9" t="s">
        <v>20</v>
      </c>
      <c r="O258" s="6" t="str">
        <f>HYPERLINK("https://pbs.twimg.com/profile_images/962471262747529216/Uo8lOkRJ_normal.jpg","View")</f>
        <v>View</v>
      </c>
      <c r="P258" s="7"/>
    </row>
    <row r="259" spans="1:16">
      <c r="A259" s="3">
        <v>43804.171319444446</v>
      </c>
      <c r="B259" s="4" t="str">
        <f>HYPERLINK("https://twitter.com/petrogustavo","@petrogustavo")</f>
        <v>@petrogustavo</v>
      </c>
      <c r="C259" s="5" t="s">
        <v>16</v>
      </c>
      <c r="D259" s="5" t="s">
        <v>288</v>
      </c>
      <c r="E259" s="6" t="str">
        <f>HYPERLINK("https://twitter.com/petrogustavo/status/1202356078769590273","1202356078769590273")</f>
        <v>1202356078769590273</v>
      </c>
      <c r="F259" s="7" t="s">
        <v>17</v>
      </c>
      <c r="G259" s="7">
        <v>3571799</v>
      </c>
      <c r="H259" s="7">
        <v>2333</v>
      </c>
      <c r="I259" s="7">
        <v>309</v>
      </c>
      <c r="J259" s="7">
        <v>1108</v>
      </c>
      <c r="K259" s="7" t="s">
        <v>18</v>
      </c>
      <c r="L259" s="8">
        <v>39987.315405092595</v>
      </c>
      <c r="M259" s="9" t="s">
        <v>19</v>
      </c>
      <c r="N259" s="9" t="s">
        <v>20</v>
      </c>
      <c r="O259" s="6" t="str">
        <f>HYPERLINK("https://pbs.twimg.com/profile_images/962471262747529216/Uo8lOkRJ_normal.jpg","View")</f>
        <v>View</v>
      </c>
      <c r="P259" s="7"/>
    </row>
    <row r="260" spans="1:16">
      <c r="A260" s="3">
        <v>43804.172037037039</v>
      </c>
      <c r="B260" s="4" t="str">
        <f>HYPERLINK("https://twitter.com/petrogustavo","@petrogustavo")</f>
        <v>@petrogustavo</v>
      </c>
      <c r="C260" s="5" t="s">
        <v>16</v>
      </c>
      <c r="D260" s="5" t="s">
        <v>289</v>
      </c>
      <c r="E260" s="6" t="str">
        <f>HYPERLINK("https://twitter.com/petrogustavo/status/1202356338036228097","1202356338036228097")</f>
        <v>1202356338036228097</v>
      </c>
      <c r="F260" s="7" t="s">
        <v>17</v>
      </c>
      <c r="G260" s="7">
        <v>3571799</v>
      </c>
      <c r="H260" s="7">
        <v>2333</v>
      </c>
      <c r="I260" s="7">
        <v>868</v>
      </c>
      <c r="J260" s="7">
        <v>0</v>
      </c>
      <c r="K260" s="7" t="s">
        <v>18</v>
      </c>
      <c r="L260" s="8">
        <v>39987.315405092595</v>
      </c>
      <c r="M260" s="9" t="s">
        <v>19</v>
      </c>
      <c r="N260" s="9" t="s">
        <v>20</v>
      </c>
      <c r="O260" s="6" t="str">
        <f>HYPERLINK("https://pbs.twimg.com/profile_images/962471262747529216/Uo8lOkRJ_normal.jpg","View")</f>
        <v>View</v>
      </c>
      <c r="P260" s="7"/>
    </row>
    <row r="261" spans="1:16">
      <c r="A261" s="3">
        <v>43804.172199074077</v>
      </c>
      <c r="B261" s="4" t="str">
        <f>HYPERLINK("https://twitter.com/petrogustavo","@petrogustavo")</f>
        <v>@petrogustavo</v>
      </c>
      <c r="C261" s="5" t="s">
        <v>16</v>
      </c>
      <c r="D261" s="5" t="s">
        <v>290</v>
      </c>
      <c r="E261" s="6" t="str">
        <f>HYPERLINK("https://twitter.com/petrogustavo/status/1202356397784096769","1202356397784096769")</f>
        <v>1202356397784096769</v>
      </c>
      <c r="F261" s="7" t="s">
        <v>17</v>
      </c>
      <c r="G261" s="7">
        <v>3571799</v>
      </c>
      <c r="H261" s="7">
        <v>2333</v>
      </c>
      <c r="I261" s="7">
        <v>309</v>
      </c>
      <c r="J261" s="7">
        <v>0</v>
      </c>
      <c r="K261" s="7" t="s">
        <v>18</v>
      </c>
      <c r="L261" s="8">
        <v>39987.315405092595</v>
      </c>
      <c r="M261" s="9" t="s">
        <v>19</v>
      </c>
      <c r="N261" s="9" t="s">
        <v>20</v>
      </c>
      <c r="O261" s="6" t="str">
        <f>HYPERLINK("https://pbs.twimg.com/profile_images/962471262747529216/Uo8lOkRJ_normal.jpg","View")</f>
        <v>View</v>
      </c>
      <c r="P261" s="7"/>
    </row>
    <row r="262" spans="1:16">
      <c r="A262" s="3">
        <v>43804.172534722224</v>
      </c>
      <c r="B262" s="4" t="str">
        <f>HYPERLINK("https://twitter.com/petrogustavo","@petrogustavo")</f>
        <v>@petrogustavo</v>
      </c>
      <c r="C262" s="5" t="s">
        <v>16</v>
      </c>
      <c r="D262" s="5" t="s">
        <v>274</v>
      </c>
      <c r="E262" s="6" t="str">
        <f>HYPERLINK("https://twitter.com/petrogustavo/status/1202356518546489345","1202356518546489345")</f>
        <v>1202356518546489345</v>
      </c>
      <c r="F262" s="7" t="s">
        <v>17</v>
      </c>
      <c r="G262" s="7">
        <v>3571799</v>
      </c>
      <c r="H262" s="7">
        <v>2333</v>
      </c>
      <c r="I262" s="7">
        <v>1136</v>
      </c>
      <c r="J262" s="7">
        <v>0</v>
      </c>
      <c r="K262" s="7" t="s">
        <v>18</v>
      </c>
      <c r="L262" s="8">
        <v>39987.315405092595</v>
      </c>
      <c r="M262" s="9" t="s">
        <v>19</v>
      </c>
      <c r="N262" s="9" t="s">
        <v>20</v>
      </c>
      <c r="O262" s="6" t="str">
        <f>HYPERLINK("https://pbs.twimg.com/profile_images/962471262747529216/Uo8lOkRJ_normal.jpg","View")</f>
        <v>View</v>
      </c>
      <c r="P262" s="7"/>
    </row>
    <row r="263" spans="1:16">
      <c r="A263" s="3">
        <v>43804.219259259262</v>
      </c>
      <c r="B263" s="4" t="str">
        <f>HYPERLINK("https://twitter.com/petrogustavo","@petrogustavo")</f>
        <v>@petrogustavo</v>
      </c>
      <c r="C263" s="5" t="s">
        <v>16</v>
      </c>
      <c r="D263" s="5" t="s">
        <v>291</v>
      </c>
      <c r="E263" s="6" t="str">
        <f>HYPERLINK("https://twitter.com/petrogustavo/status/1202373450221998081","1202373450221998081")</f>
        <v>1202373450221998081</v>
      </c>
      <c r="F263" s="7" t="s">
        <v>32</v>
      </c>
      <c r="G263" s="7">
        <v>3571914</v>
      </c>
      <c r="H263" s="7">
        <v>2333</v>
      </c>
      <c r="I263" s="7">
        <v>132</v>
      </c>
      <c r="J263" s="7">
        <v>0</v>
      </c>
      <c r="K263" s="7" t="s">
        <v>18</v>
      </c>
      <c r="L263" s="8">
        <v>39987.315405092595</v>
      </c>
      <c r="M263" s="9" t="s">
        <v>19</v>
      </c>
      <c r="N263" s="9" t="s">
        <v>20</v>
      </c>
      <c r="O263" s="6" t="str">
        <f>HYPERLINK("https://pbs.twimg.com/profile_images/962471262747529216/Uo8lOkRJ_normal.jpg","View")</f>
        <v>View</v>
      </c>
      <c r="P263" s="7"/>
    </row>
    <row r="264" spans="1:16">
      <c r="A264" s="3">
        <v>43804.219363425931</v>
      </c>
      <c r="B264" s="4" t="str">
        <f>HYPERLINK("https://twitter.com/petrogustavo","@petrogustavo")</f>
        <v>@petrogustavo</v>
      </c>
      <c r="C264" s="5" t="s">
        <v>16</v>
      </c>
      <c r="D264" s="5" t="s">
        <v>292</v>
      </c>
      <c r="E264" s="6" t="str">
        <f>HYPERLINK("https://twitter.com/petrogustavo/status/1202373490021740546","1202373490021740546")</f>
        <v>1202373490021740546</v>
      </c>
      <c r="F264" s="7" t="s">
        <v>32</v>
      </c>
      <c r="G264" s="7">
        <v>3571914</v>
      </c>
      <c r="H264" s="7">
        <v>2333</v>
      </c>
      <c r="I264" s="7">
        <v>24</v>
      </c>
      <c r="J264" s="7">
        <v>0</v>
      </c>
      <c r="K264" s="7" t="s">
        <v>18</v>
      </c>
      <c r="L264" s="8">
        <v>39987.315405092595</v>
      </c>
      <c r="M264" s="9" t="s">
        <v>19</v>
      </c>
      <c r="N264" s="9" t="s">
        <v>20</v>
      </c>
      <c r="O264" s="6" t="str">
        <f>HYPERLINK("https://pbs.twimg.com/profile_images/962471262747529216/Uo8lOkRJ_normal.jpg","View")</f>
        <v>View</v>
      </c>
      <c r="P264" s="7"/>
    </row>
    <row r="265" spans="1:16">
      <c r="A265" s="3">
        <v>43804.219733796301</v>
      </c>
      <c r="B265" s="4" t="str">
        <f>HYPERLINK("https://twitter.com/petrogustavo","@petrogustavo")</f>
        <v>@petrogustavo</v>
      </c>
      <c r="C265" s="5" t="s">
        <v>16</v>
      </c>
      <c r="D265" s="5" t="s">
        <v>293</v>
      </c>
      <c r="E265" s="6" t="str">
        <f>HYPERLINK("https://twitter.com/petrogustavo/status/1202373622788214784","1202373622788214784")</f>
        <v>1202373622788214784</v>
      </c>
      <c r="F265" s="7" t="s">
        <v>32</v>
      </c>
      <c r="G265" s="7">
        <v>3571914</v>
      </c>
      <c r="H265" s="7">
        <v>2333</v>
      </c>
      <c r="I265" s="7">
        <v>257</v>
      </c>
      <c r="J265" s="7">
        <v>0</v>
      </c>
      <c r="K265" s="7" t="s">
        <v>18</v>
      </c>
      <c r="L265" s="8">
        <v>39987.315405092595</v>
      </c>
      <c r="M265" s="9" t="s">
        <v>19</v>
      </c>
      <c r="N265" s="9" t="s">
        <v>20</v>
      </c>
      <c r="O265" s="6" t="str">
        <f>HYPERLINK("https://pbs.twimg.com/profile_images/962471262747529216/Uo8lOkRJ_normal.jpg","View")</f>
        <v>View</v>
      </c>
      <c r="P265" s="7"/>
    </row>
    <row r="266" spans="1:16">
      <c r="A266" s="3">
        <v>43804.220856481479</v>
      </c>
      <c r="B266" s="4" t="str">
        <f>HYPERLINK("https://twitter.com/petrogustavo","@petrogustavo")</f>
        <v>@petrogustavo</v>
      </c>
      <c r="C266" s="5" t="s">
        <v>16</v>
      </c>
      <c r="D266" s="5" t="s">
        <v>294</v>
      </c>
      <c r="E266" s="6" t="str">
        <f>HYPERLINK("https://twitter.com/petrogustavo/status/1202374028201209857","1202374028201209857")</f>
        <v>1202374028201209857</v>
      </c>
      <c r="F266" s="7" t="s">
        <v>32</v>
      </c>
      <c r="G266" s="7">
        <v>3571980</v>
      </c>
      <c r="H266" s="7">
        <v>2333</v>
      </c>
      <c r="I266" s="7">
        <v>97</v>
      </c>
      <c r="J266" s="7">
        <v>0</v>
      </c>
      <c r="K266" s="7" t="s">
        <v>18</v>
      </c>
      <c r="L266" s="8">
        <v>39987.315405092595</v>
      </c>
      <c r="M266" s="9" t="s">
        <v>19</v>
      </c>
      <c r="N266" s="9" t="s">
        <v>20</v>
      </c>
      <c r="O266" s="6" t="str">
        <f>HYPERLINK("https://pbs.twimg.com/profile_images/962471262747529216/Uo8lOkRJ_normal.jpg","View")</f>
        <v>View</v>
      </c>
      <c r="P266" s="7"/>
    </row>
    <row r="267" spans="1:16">
      <c r="A267" s="3">
        <v>43804.221006944441</v>
      </c>
      <c r="B267" s="4" t="str">
        <f>HYPERLINK("https://twitter.com/petrogustavo","@petrogustavo")</f>
        <v>@petrogustavo</v>
      </c>
      <c r="C267" s="5" t="s">
        <v>16</v>
      </c>
      <c r="D267" s="5" t="s">
        <v>295</v>
      </c>
      <c r="E267" s="6" t="str">
        <f>HYPERLINK("https://twitter.com/petrogustavo/status/1202374084719497221","1202374084719497221")</f>
        <v>1202374084719497221</v>
      </c>
      <c r="F267" s="7" t="s">
        <v>32</v>
      </c>
      <c r="G267" s="7">
        <v>3571980</v>
      </c>
      <c r="H267" s="7">
        <v>2333</v>
      </c>
      <c r="I267" s="7">
        <v>149</v>
      </c>
      <c r="J267" s="7">
        <v>0</v>
      </c>
      <c r="K267" s="7" t="s">
        <v>18</v>
      </c>
      <c r="L267" s="8">
        <v>39987.315405092595</v>
      </c>
      <c r="M267" s="9" t="s">
        <v>19</v>
      </c>
      <c r="N267" s="9" t="s">
        <v>20</v>
      </c>
      <c r="O267" s="6" t="str">
        <f>HYPERLINK("https://pbs.twimg.com/profile_images/962471262747529216/Uo8lOkRJ_normal.jpg","View")</f>
        <v>View</v>
      </c>
      <c r="P267" s="7"/>
    </row>
    <row r="268" spans="1:16">
      <c r="A268" s="3">
        <v>43804.228587962964</v>
      </c>
      <c r="B268" s="4" t="str">
        <f>HYPERLINK("https://twitter.com/petrogustavo","@petrogustavo")</f>
        <v>@petrogustavo</v>
      </c>
      <c r="C268" s="5" t="s">
        <v>16</v>
      </c>
      <c r="D268" s="5" t="s">
        <v>296</v>
      </c>
      <c r="E268" s="6" t="str">
        <f>HYPERLINK("https://twitter.com/petrogustavo/status/1202376833192345601","1202376833192345601")</f>
        <v>1202376833192345601</v>
      </c>
      <c r="F268" s="7" t="s">
        <v>32</v>
      </c>
      <c r="G268" s="7">
        <v>3571980</v>
      </c>
      <c r="H268" s="7">
        <v>2333</v>
      </c>
      <c r="I268" s="7">
        <v>39</v>
      </c>
      <c r="J268" s="7">
        <v>0</v>
      </c>
      <c r="K268" s="7" t="s">
        <v>18</v>
      </c>
      <c r="L268" s="8">
        <v>39987.315405092595</v>
      </c>
      <c r="M268" s="9" t="s">
        <v>19</v>
      </c>
      <c r="N268" s="9" t="s">
        <v>20</v>
      </c>
      <c r="O268" s="6" t="str">
        <f>HYPERLINK("https://pbs.twimg.com/profile_images/962471262747529216/Uo8lOkRJ_normal.jpg","View")</f>
        <v>View</v>
      </c>
      <c r="P268" s="7"/>
    </row>
    <row r="269" spans="1:16">
      <c r="A269" s="3">
        <v>43804.229166666672</v>
      </c>
      <c r="B269" s="4" t="str">
        <f>HYPERLINK("https://twitter.com/petrogustavo","@petrogustavo")</f>
        <v>@petrogustavo</v>
      </c>
      <c r="C269" s="5" t="s">
        <v>16</v>
      </c>
      <c r="D269" s="5" t="s">
        <v>297</v>
      </c>
      <c r="E269" s="6" t="str">
        <f>HYPERLINK("https://twitter.com/petrogustavo/status/1202377039883460608","1202377039883460608")</f>
        <v>1202377039883460608</v>
      </c>
      <c r="F269" s="7" t="s">
        <v>32</v>
      </c>
      <c r="G269" s="7">
        <v>3571980</v>
      </c>
      <c r="H269" s="7">
        <v>2333</v>
      </c>
      <c r="I269" s="7">
        <v>108</v>
      </c>
      <c r="J269" s="7">
        <v>0</v>
      </c>
      <c r="K269" s="7" t="s">
        <v>18</v>
      </c>
      <c r="L269" s="8">
        <v>39987.315405092595</v>
      </c>
      <c r="M269" s="9" t="s">
        <v>19</v>
      </c>
      <c r="N269" s="9" t="s">
        <v>20</v>
      </c>
      <c r="O269" s="6" t="str">
        <f>HYPERLINK("https://pbs.twimg.com/profile_images/962471262747529216/Uo8lOkRJ_normal.jpg","View")</f>
        <v>View</v>
      </c>
      <c r="P269" s="7"/>
    </row>
    <row r="270" spans="1:16">
      <c r="A270" s="3">
        <v>43804.231898148151</v>
      </c>
      <c r="B270" s="4" t="str">
        <f>HYPERLINK("https://twitter.com/petrogustavo","@petrogustavo")</f>
        <v>@petrogustavo</v>
      </c>
      <c r="C270" s="5" t="s">
        <v>16</v>
      </c>
      <c r="D270" s="5" t="s">
        <v>298</v>
      </c>
      <c r="E270" s="6" t="str">
        <f>HYPERLINK("https://twitter.com/petrogustavo/status/1202378030829785088","1202378030829785088")</f>
        <v>1202378030829785088</v>
      </c>
      <c r="F270" s="7" t="s">
        <v>32</v>
      </c>
      <c r="G270" s="7">
        <v>3571980</v>
      </c>
      <c r="H270" s="7">
        <v>2333</v>
      </c>
      <c r="I270" s="7">
        <v>53</v>
      </c>
      <c r="J270" s="7">
        <v>0</v>
      </c>
      <c r="K270" s="7" t="s">
        <v>18</v>
      </c>
      <c r="L270" s="8">
        <v>39987.315405092595</v>
      </c>
      <c r="M270" s="9" t="s">
        <v>19</v>
      </c>
      <c r="N270" s="9" t="s">
        <v>20</v>
      </c>
      <c r="O270" s="6" t="str">
        <f>HYPERLINK("https://pbs.twimg.com/profile_images/962471262747529216/Uo8lOkRJ_normal.jpg","View")</f>
        <v>View</v>
      </c>
      <c r="P270" s="7"/>
    </row>
    <row r="271" spans="1:16">
      <c r="A271" s="3">
        <v>43804.234120370369</v>
      </c>
      <c r="B271" s="4" t="str">
        <f>HYPERLINK("https://twitter.com/petrogustavo","@petrogustavo")</f>
        <v>@petrogustavo</v>
      </c>
      <c r="C271" s="5" t="s">
        <v>16</v>
      </c>
      <c r="D271" s="5" t="s">
        <v>283</v>
      </c>
      <c r="E271" s="6" t="str">
        <f>HYPERLINK("https://twitter.com/petrogustavo/status/1202378837348225024","1202378837348225024")</f>
        <v>1202378837348225024</v>
      </c>
      <c r="F271" s="7" t="s">
        <v>32</v>
      </c>
      <c r="G271" s="7">
        <v>3571980</v>
      </c>
      <c r="H271" s="7">
        <v>2333</v>
      </c>
      <c r="I271" s="7">
        <v>1565</v>
      </c>
      <c r="J271" s="7">
        <v>0</v>
      </c>
      <c r="K271" s="7" t="s">
        <v>18</v>
      </c>
      <c r="L271" s="8">
        <v>39987.315405092595</v>
      </c>
      <c r="M271" s="9" t="s">
        <v>19</v>
      </c>
      <c r="N271" s="9" t="s">
        <v>20</v>
      </c>
      <c r="O271" s="6" t="str">
        <f>HYPERLINK("https://pbs.twimg.com/profile_images/962471262747529216/Uo8lOkRJ_normal.jpg","View")</f>
        <v>View</v>
      </c>
      <c r="P271" s="7"/>
    </row>
    <row r="272" spans="1:16">
      <c r="A272" s="3">
        <v>43804.239201388889</v>
      </c>
      <c r="B272" s="4" t="str">
        <f>HYPERLINK("https://twitter.com/petrogustavo","@petrogustavo")</f>
        <v>@petrogustavo</v>
      </c>
      <c r="C272" s="5" t="s">
        <v>16</v>
      </c>
      <c r="D272" s="5" t="s">
        <v>299</v>
      </c>
      <c r="E272" s="6" t="str">
        <f>HYPERLINK("https://twitter.com/petrogustavo/status/1202380676584091648","1202380676584091648")</f>
        <v>1202380676584091648</v>
      </c>
      <c r="F272" s="7" t="s">
        <v>32</v>
      </c>
      <c r="G272" s="7">
        <v>3571980</v>
      </c>
      <c r="H272" s="7">
        <v>2333</v>
      </c>
      <c r="I272" s="7">
        <v>218</v>
      </c>
      <c r="J272" s="7">
        <v>0</v>
      </c>
      <c r="K272" s="7" t="s">
        <v>18</v>
      </c>
      <c r="L272" s="8">
        <v>39987.315405092595</v>
      </c>
      <c r="M272" s="9" t="s">
        <v>19</v>
      </c>
      <c r="N272" s="9" t="s">
        <v>20</v>
      </c>
      <c r="O272" s="6" t="str">
        <f>HYPERLINK("https://pbs.twimg.com/profile_images/962471262747529216/Uo8lOkRJ_normal.jpg","View")</f>
        <v>View</v>
      </c>
      <c r="P272" s="7"/>
    </row>
    <row r="273" spans="1:16">
      <c r="A273" s="3">
        <v>43804.239502314813</v>
      </c>
      <c r="B273" s="4" t="str">
        <f>HYPERLINK("https://twitter.com/petrogustavo","@petrogustavo")</f>
        <v>@petrogustavo</v>
      </c>
      <c r="C273" s="5" t="s">
        <v>16</v>
      </c>
      <c r="D273" s="5" t="s">
        <v>300</v>
      </c>
      <c r="E273" s="6" t="str">
        <f>HYPERLINK("https://twitter.com/petrogustavo/status/1202380789004017664","1202380789004017664")</f>
        <v>1202380789004017664</v>
      </c>
      <c r="F273" s="7" t="s">
        <v>32</v>
      </c>
      <c r="G273" s="7">
        <v>3571980</v>
      </c>
      <c r="H273" s="7">
        <v>2333</v>
      </c>
      <c r="I273" s="7">
        <v>71</v>
      </c>
      <c r="J273" s="7">
        <v>0</v>
      </c>
      <c r="K273" s="7" t="s">
        <v>18</v>
      </c>
      <c r="L273" s="8">
        <v>39987.315405092595</v>
      </c>
      <c r="M273" s="9" t="s">
        <v>19</v>
      </c>
      <c r="N273" s="9" t="s">
        <v>20</v>
      </c>
      <c r="O273" s="6" t="str">
        <f>HYPERLINK("https://pbs.twimg.com/profile_images/962471262747529216/Uo8lOkRJ_normal.jpg","View")</f>
        <v>View</v>
      </c>
      <c r="P273" s="7"/>
    </row>
    <row r="274" spans="1:16">
      <c r="A274" s="3">
        <v>43804.242754629631</v>
      </c>
      <c r="B274" s="4" t="str">
        <f>HYPERLINK("https://twitter.com/petrogustavo","@petrogustavo")</f>
        <v>@petrogustavo</v>
      </c>
      <c r="C274" s="5" t="s">
        <v>16</v>
      </c>
      <c r="D274" s="5" t="s">
        <v>301</v>
      </c>
      <c r="E274" s="6" t="str">
        <f>HYPERLINK("https://twitter.com/petrogustavo/status/1202381963878903808","1202381963878903808")</f>
        <v>1202381963878903808</v>
      </c>
      <c r="F274" s="7" t="s">
        <v>32</v>
      </c>
      <c r="G274" s="7">
        <v>3572023</v>
      </c>
      <c r="H274" s="7">
        <v>2333</v>
      </c>
      <c r="I274" s="7">
        <v>39</v>
      </c>
      <c r="J274" s="7">
        <v>0</v>
      </c>
      <c r="K274" s="7" t="s">
        <v>18</v>
      </c>
      <c r="L274" s="8">
        <v>39987.315405092595</v>
      </c>
      <c r="M274" s="9" t="s">
        <v>19</v>
      </c>
      <c r="N274" s="9" t="s">
        <v>20</v>
      </c>
      <c r="O274" s="6" t="str">
        <f>HYPERLINK("https://pbs.twimg.com/profile_images/962471262747529216/Uo8lOkRJ_normal.jpg","View")</f>
        <v>View</v>
      </c>
      <c r="P274" s="7"/>
    </row>
    <row r="275" spans="1:16">
      <c r="A275" s="3">
        <v>43804.248715277776</v>
      </c>
      <c r="B275" s="4" t="str">
        <f>HYPERLINK("https://twitter.com/petrogustavo","@petrogustavo")</f>
        <v>@petrogustavo</v>
      </c>
      <c r="C275" s="5" t="s">
        <v>16</v>
      </c>
      <c r="D275" s="5" t="s">
        <v>302</v>
      </c>
      <c r="E275" s="6" t="str">
        <f>HYPERLINK("https://twitter.com/petrogustavo/status/1202384126357233664","1202384126357233664")</f>
        <v>1202384126357233664</v>
      </c>
      <c r="F275" s="7" t="s">
        <v>32</v>
      </c>
      <c r="G275" s="7">
        <v>3572023</v>
      </c>
      <c r="H275" s="7">
        <v>2333</v>
      </c>
      <c r="I275" s="7">
        <v>1816</v>
      </c>
      <c r="J275" s="7">
        <v>0</v>
      </c>
      <c r="K275" s="7" t="s">
        <v>18</v>
      </c>
      <c r="L275" s="8">
        <v>39987.315405092595</v>
      </c>
      <c r="M275" s="9" t="s">
        <v>19</v>
      </c>
      <c r="N275" s="9" t="s">
        <v>20</v>
      </c>
      <c r="O275" s="6" t="str">
        <f>HYPERLINK("https://pbs.twimg.com/profile_images/962471262747529216/Uo8lOkRJ_normal.jpg","View")</f>
        <v>View</v>
      </c>
      <c r="P275" s="7"/>
    </row>
    <row r="276" spans="1:16">
      <c r="A276" s="3">
        <v>43804.250324074077</v>
      </c>
      <c r="B276" s="4" t="str">
        <f>HYPERLINK("https://twitter.com/petrogustavo","@petrogustavo")</f>
        <v>@petrogustavo</v>
      </c>
      <c r="C276" s="5" t="s">
        <v>16</v>
      </c>
      <c r="D276" s="5" t="s">
        <v>303</v>
      </c>
      <c r="E276" s="6" t="str">
        <f>HYPERLINK("https://twitter.com/petrogustavo/status/1202384709185081344","1202384709185081344")</f>
        <v>1202384709185081344</v>
      </c>
      <c r="F276" s="7" t="s">
        <v>32</v>
      </c>
      <c r="G276" s="7">
        <v>3572023</v>
      </c>
      <c r="H276" s="7">
        <v>2333</v>
      </c>
      <c r="I276" s="7">
        <v>63</v>
      </c>
      <c r="J276" s="7">
        <v>0</v>
      </c>
      <c r="K276" s="7" t="s">
        <v>18</v>
      </c>
      <c r="L276" s="8">
        <v>39987.315405092595</v>
      </c>
      <c r="M276" s="9" t="s">
        <v>19</v>
      </c>
      <c r="N276" s="9" t="s">
        <v>20</v>
      </c>
      <c r="O276" s="6" t="str">
        <f>HYPERLINK("https://pbs.twimg.com/profile_images/962471262747529216/Uo8lOkRJ_normal.jpg","View")</f>
        <v>View</v>
      </c>
      <c r="P276" s="7"/>
    </row>
    <row r="277" spans="1:16">
      <c r="A277" s="3">
        <v>43804.259409722217</v>
      </c>
      <c r="B277" s="4" t="str">
        <f>HYPERLINK("https://twitter.com/petrogustavo","@petrogustavo")</f>
        <v>@petrogustavo</v>
      </c>
      <c r="C277" s="5" t="s">
        <v>16</v>
      </c>
      <c r="D277" s="5" t="s">
        <v>304</v>
      </c>
      <c r="E277" s="6" t="str">
        <f>HYPERLINK("https://twitter.com/petrogustavo/status/1202388001806061568","1202388001806061568")</f>
        <v>1202388001806061568</v>
      </c>
      <c r="F277" s="7" t="s">
        <v>32</v>
      </c>
      <c r="G277" s="7">
        <v>3572023</v>
      </c>
      <c r="H277" s="7">
        <v>2333</v>
      </c>
      <c r="I277" s="7">
        <v>26</v>
      </c>
      <c r="J277" s="7">
        <v>0</v>
      </c>
      <c r="K277" s="7" t="s">
        <v>18</v>
      </c>
      <c r="L277" s="8">
        <v>39987.315405092595</v>
      </c>
      <c r="M277" s="9" t="s">
        <v>19</v>
      </c>
      <c r="N277" s="9" t="s">
        <v>20</v>
      </c>
      <c r="O277" s="6" t="str">
        <f>HYPERLINK("https://pbs.twimg.com/profile_images/962471262747529216/Uo8lOkRJ_normal.jpg","View")</f>
        <v>View</v>
      </c>
      <c r="P277" s="7"/>
    </row>
    <row r="278" spans="1:16">
      <c r="A278" s="3">
        <v>43804.263518518521</v>
      </c>
      <c r="B278" s="4" t="str">
        <f>HYPERLINK("https://twitter.com/petrogustavo","@petrogustavo")</f>
        <v>@petrogustavo</v>
      </c>
      <c r="C278" s="5" t="s">
        <v>16</v>
      </c>
      <c r="D278" s="5" t="s">
        <v>305</v>
      </c>
      <c r="E278" s="6" t="str">
        <f>HYPERLINK("https://twitter.com/petrogustavo/status/1202389490653941761","1202389490653941761")</f>
        <v>1202389490653941761</v>
      </c>
      <c r="F278" s="7" t="s">
        <v>32</v>
      </c>
      <c r="G278" s="7">
        <v>3572072</v>
      </c>
      <c r="H278" s="7">
        <v>2333</v>
      </c>
      <c r="I278" s="7">
        <v>132</v>
      </c>
      <c r="J278" s="7">
        <v>0</v>
      </c>
      <c r="K278" s="7" t="s">
        <v>18</v>
      </c>
      <c r="L278" s="8">
        <v>39987.315405092595</v>
      </c>
      <c r="M278" s="9" t="s">
        <v>19</v>
      </c>
      <c r="N278" s="9" t="s">
        <v>20</v>
      </c>
      <c r="O278" s="6" t="str">
        <f>HYPERLINK("https://pbs.twimg.com/profile_images/962471262747529216/Uo8lOkRJ_normal.jpg","View")</f>
        <v>View</v>
      </c>
      <c r="P278" s="7"/>
    </row>
    <row r="279" spans="1:16">
      <c r="A279" s="3">
        <v>43804.263865740737</v>
      </c>
      <c r="B279" s="4" t="str">
        <f>HYPERLINK("https://twitter.com/petrogustavo","@petrogustavo")</f>
        <v>@petrogustavo</v>
      </c>
      <c r="C279" s="5" t="s">
        <v>16</v>
      </c>
      <c r="D279" s="5" t="s">
        <v>306</v>
      </c>
      <c r="E279" s="6" t="str">
        <f>HYPERLINK("https://twitter.com/petrogustavo/status/1202389617955213312","1202389617955213312")</f>
        <v>1202389617955213312</v>
      </c>
      <c r="F279" s="7" t="s">
        <v>32</v>
      </c>
      <c r="G279" s="7">
        <v>3572072</v>
      </c>
      <c r="H279" s="7">
        <v>2333</v>
      </c>
      <c r="I279" s="7">
        <v>151</v>
      </c>
      <c r="J279" s="7">
        <v>0</v>
      </c>
      <c r="K279" s="7" t="s">
        <v>18</v>
      </c>
      <c r="L279" s="8">
        <v>39987.315405092595</v>
      </c>
      <c r="M279" s="9" t="s">
        <v>19</v>
      </c>
      <c r="N279" s="9" t="s">
        <v>20</v>
      </c>
      <c r="O279" s="6" t="str">
        <f>HYPERLINK("https://pbs.twimg.com/profile_images/962471262747529216/Uo8lOkRJ_normal.jpg","View")</f>
        <v>View</v>
      </c>
      <c r="P279" s="7"/>
    </row>
    <row r="280" spans="1:16">
      <c r="A280" s="3">
        <v>43804.264398148152</v>
      </c>
      <c r="B280" s="4" t="str">
        <f>HYPERLINK("https://twitter.com/petrogustavo","@petrogustavo")</f>
        <v>@petrogustavo</v>
      </c>
      <c r="C280" s="5" t="s">
        <v>16</v>
      </c>
      <c r="D280" s="5" t="s">
        <v>307</v>
      </c>
      <c r="E280" s="6" t="str">
        <f>HYPERLINK("https://twitter.com/petrogustavo/status/1202389809794355200","1202389809794355200")</f>
        <v>1202389809794355200</v>
      </c>
      <c r="F280" s="7" t="s">
        <v>32</v>
      </c>
      <c r="G280" s="7">
        <v>3572072</v>
      </c>
      <c r="H280" s="7">
        <v>2333</v>
      </c>
      <c r="I280" s="7">
        <v>472</v>
      </c>
      <c r="J280" s="7">
        <v>0</v>
      </c>
      <c r="K280" s="7" t="s">
        <v>18</v>
      </c>
      <c r="L280" s="8">
        <v>39987.315405092595</v>
      </c>
      <c r="M280" s="9" t="s">
        <v>19</v>
      </c>
      <c r="N280" s="9" t="s">
        <v>20</v>
      </c>
      <c r="O280" s="6" t="str">
        <f>HYPERLINK("https://pbs.twimg.com/profile_images/962471262747529216/Uo8lOkRJ_normal.jpg","View")</f>
        <v>View</v>
      </c>
      <c r="P280" s="7"/>
    </row>
    <row r="281" spans="1:16">
      <c r="A281" s="3">
        <v>43804.268055555556</v>
      </c>
      <c r="B281" s="4" t="str">
        <f>HYPERLINK("https://twitter.com/petrogustavo","@petrogustavo")</f>
        <v>@petrogustavo</v>
      </c>
      <c r="C281" s="5" t="s">
        <v>16</v>
      </c>
      <c r="D281" s="5" t="s">
        <v>308</v>
      </c>
      <c r="E281" s="6" t="str">
        <f>HYPERLINK("https://twitter.com/petrogustavo/status/1202391135035052032","1202391135035052032")</f>
        <v>1202391135035052032</v>
      </c>
      <c r="F281" s="7" t="s">
        <v>32</v>
      </c>
      <c r="G281" s="7">
        <v>3572072</v>
      </c>
      <c r="H281" s="7">
        <v>2333</v>
      </c>
      <c r="I281" s="7">
        <v>447</v>
      </c>
      <c r="J281" s="7">
        <v>0</v>
      </c>
      <c r="K281" s="7" t="s">
        <v>18</v>
      </c>
      <c r="L281" s="8">
        <v>39987.315405092595</v>
      </c>
      <c r="M281" s="9" t="s">
        <v>19</v>
      </c>
      <c r="N281" s="9" t="s">
        <v>20</v>
      </c>
      <c r="O281" s="6" t="str">
        <f>HYPERLINK("https://pbs.twimg.com/profile_images/962471262747529216/Uo8lOkRJ_normal.jpg","View")</f>
        <v>View</v>
      </c>
      <c r="P281" s="7"/>
    </row>
    <row r="282" spans="1:16">
      <c r="A282" s="3">
        <v>43804.269803240742</v>
      </c>
      <c r="B282" s="4" t="str">
        <f>HYPERLINK("https://twitter.com/petrogustavo","@petrogustavo")</f>
        <v>@petrogustavo</v>
      </c>
      <c r="C282" s="5" t="s">
        <v>16</v>
      </c>
      <c r="D282" s="5" t="s">
        <v>309</v>
      </c>
      <c r="E282" s="6" t="str">
        <f>HYPERLINK("https://twitter.com/petrogustavo/status/1202391769222144005","1202391769222144005")</f>
        <v>1202391769222144005</v>
      </c>
      <c r="F282" s="7" t="s">
        <v>32</v>
      </c>
      <c r="G282" s="7">
        <v>3572072</v>
      </c>
      <c r="H282" s="7">
        <v>2333</v>
      </c>
      <c r="I282" s="7">
        <v>838</v>
      </c>
      <c r="J282" s="7">
        <v>0</v>
      </c>
      <c r="K282" s="7" t="s">
        <v>18</v>
      </c>
      <c r="L282" s="8">
        <v>39987.315405092595</v>
      </c>
      <c r="M282" s="9" t="s">
        <v>19</v>
      </c>
      <c r="N282" s="9" t="s">
        <v>20</v>
      </c>
      <c r="O282" s="6" t="str">
        <f>HYPERLINK("https://pbs.twimg.com/profile_images/962471262747529216/Uo8lOkRJ_normal.jpg","View")</f>
        <v>View</v>
      </c>
      <c r="P282" s="7"/>
    </row>
    <row r="283" spans="1:16">
      <c r="A283" s="3">
        <v>43804.272523148145</v>
      </c>
      <c r="B283" s="4" t="str">
        <f>HYPERLINK("https://twitter.com/petrogustavo","@petrogustavo")</f>
        <v>@petrogustavo</v>
      </c>
      <c r="C283" s="5" t="s">
        <v>16</v>
      </c>
      <c r="D283" s="5" t="s">
        <v>310</v>
      </c>
      <c r="E283" s="6" t="str">
        <f>HYPERLINK("https://twitter.com/petrogustavo/status/1202392752224428032","1202392752224428032")</f>
        <v>1202392752224428032</v>
      </c>
      <c r="F283" s="7" t="s">
        <v>32</v>
      </c>
      <c r="G283" s="7">
        <v>3572072</v>
      </c>
      <c r="H283" s="7">
        <v>2333</v>
      </c>
      <c r="I283" s="7">
        <v>135</v>
      </c>
      <c r="J283" s="7">
        <v>0</v>
      </c>
      <c r="K283" s="7" t="s">
        <v>18</v>
      </c>
      <c r="L283" s="8">
        <v>39987.315405092595</v>
      </c>
      <c r="M283" s="9" t="s">
        <v>19</v>
      </c>
      <c r="N283" s="9" t="s">
        <v>20</v>
      </c>
      <c r="O283" s="6" t="str">
        <f>HYPERLINK("https://pbs.twimg.com/profile_images/962471262747529216/Uo8lOkRJ_normal.jpg","View")</f>
        <v>View</v>
      </c>
      <c r="P283" s="7"/>
    </row>
    <row r="284" spans="1:16">
      <c r="A284" s="3">
        <v>43804.276712962965</v>
      </c>
      <c r="B284" s="4" t="str">
        <f>HYPERLINK("https://twitter.com/petrogustavo","@petrogustavo")</f>
        <v>@petrogustavo</v>
      </c>
      <c r="C284" s="5" t="s">
        <v>16</v>
      </c>
      <c r="D284" s="5" t="s">
        <v>273</v>
      </c>
      <c r="E284" s="6" t="str">
        <f>HYPERLINK("https://twitter.com/petrogustavo/status/1202394270243676160","1202394270243676160")</f>
        <v>1202394270243676160</v>
      </c>
      <c r="F284" s="7" t="s">
        <v>32</v>
      </c>
      <c r="G284" s="7">
        <v>3572072</v>
      </c>
      <c r="H284" s="7">
        <v>2333</v>
      </c>
      <c r="I284" s="7">
        <v>475</v>
      </c>
      <c r="J284" s="7">
        <v>0</v>
      </c>
      <c r="K284" s="7" t="s">
        <v>18</v>
      </c>
      <c r="L284" s="8">
        <v>39987.315405092595</v>
      </c>
      <c r="M284" s="9" t="s">
        <v>19</v>
      </c>
      <c r="N284" s="9" t="s">
        <v>20</v>
      </c>
      <c r="O284" s="6" t="str">
        <f>HYPERLINK("https://pbs.twimg.com/profile_images/962471262747529216/Uo8lOkRJ_normal.jpg","View")</f>
        <v>View</v>
      </c>
      <c r="P284" s="7"/>
    </row>
    <row r="285" spans="1:16">
      <c r="A285" s="3">
        <v>43804.283206018517</v>
      </c>
      <c r="B285" s="4" t="str">
        <f>HYPERLINK("https://twitter.com/petrogustavo","@petrogustavo")</f>
        <v>@petrogustavo</v>
      </c>
      <c r="C285" s="5" t="s">
        <v>16</v>
      </c>
      <c r="D285" s="5" t="s">
        <v>311</v>
      </c>
      <c r="E285" s="6" t="str">
        <f>HYPERLINK("https://twitter.com/petrogustavo/status/1202396627023126528","1202396627023126528")</f>
        <v>1202396627023126528</v>
      </c>
      <c r="F285" s="7" t="s">
        <v>32</v>
      </c>
      <c r="G285" s="7">
        <v>3572072</v>
      </c>
      <c r="H285" s="7">
        <v>2333</v>
      </c>
      <c r="I285" s="7">
        <v>158</v>
      </c>
      <c r="J285" s="7">
        <v>0</v>
      </c>
      <c r="K285" s="7" t="s">
        <v>18</v>
      </c>
      <c r="L285" s="8">
        <v>39987.315405092595</v>
      </c>
      <c r="M285" s="9" t="s">
        <v>19</v>
      </c>
      <c r="N285" s="9" t="s">
        <v>20</v>
      </c>
      <c r="O285" s="6" t="str">
        <f>HYPERLINK("https://pbs.twimg.com/profile_images/962471262747529216/Uo8lOkRJ_normal.jpg","View")</f>
        <v>View</v>
      </c>
      <c r="P285" s="7"/>
    </row>
    <row r="286" spans="1:16">
      <c r="A286" s="3">
        <v>43804.283321759256</v>
      </c>
      <c r="B286" s="4" t="str">
        <f>HYPERLINK("https://twitter.com/petrogustavo","@petrogustavo")</f>
        <v>@petrogustavo</v>
      </c>
      <c r="C286" s="5" t="s">
        <v>16</v>
      </c>
      <c r="D286" s="5" t="s">
        <v>312</v>
      </c>
      <c r="E286" s="6" t="str">
        <f>HYPERLINK("https://twitter.com/petrogustavo/status/1202396666839613440","1202396666839613440")</f>
        <v>1202396666839613440</v>
      </c>
      <c r="F286" s="7" t="s">
        <v>32</v>
      </c>
      <c r="G286" s="7">
        <v>3572072</v>
      </c>
      <c r="H286" s="7">
        <v>2333</v>
      </c>
      <c r="I286" s="7">
        <v>164</v>
      </c>
      <c r="J286" s="7">
        <v>0</v>
      </c>
      <c r="K286" s="7" t="s">
        <v>18</v>
      </c>
      <c r="L286" s="8">
        <v>39987.315405092595</v>
      </c>
      <c r="M286" s="9" t="s">
        <v>19</v>
      </c>
      <c r="N286" s="9" t="s">
        <v>20</v>
      </c>
      <c r="O286" s="6" t="str">
        <f>HYPERLINK("https://pbs.twimg.com/profile_images/962471262747529216/Uo8lOkRJ_normal.jpg","View")</f>
        <v>View</v>
      </c>
      <c r="P286" s="7"/>
    </row>
    <row r="287" spans="1:16">
      <c r="A287" s="3">
        <v>43804.289178240739</v>
      </c>
      <c r="B287" s="4" t="str">
        <f>HYPERLINK("https://twitter.com/petrogustavo","@petrogustavo")</f>
        <v>@petrogustavo</v>
      </c>
      <c r="C287" s="5" t="s">
        <v>16</v>
      </c>
      <c r="D287" s="5" t="s">
        <v>313</v>
      </c>
      <c r="E287" s="6" t="str">
        <f>HYPERLINK("https://twitter.com/petrogustavo/status/1202398787811065861","1202398787811065861")</f>
        <v>1202398787811065861</v>
      </c>
      <c r="F287" s="7" t="s">
        <v>32</v>
      </c>
      <c r="G287" s="7">
        <v>3572132</v>
      </c>
      <c r="H287" s="7">
        <v>2333</v>
      </c>
      <c r="I287" s="7">
        <v>98</v>
      </c>
      <c r="J287" s="7">
        <v>0</v>
      </c>
      <c r="K287" s="7" t="s">
        <v>18</v>
      </c>
      <c r="L287" s="8">
        <v>39987.315405092595</v>
      </c>
      <c r="M287" s="9" t="s">
        <v>19</v>
      </c>
      <c r="N287" s="9" t="s">
        <v>20</v>
      </c>
      <c r="O287" s="6" t="str">
        <f>HYPERLINK("https://pbs.twimg.com/profile_images/962471262747529216/Uo8lOkRJ_normal.jpg","View")</f>
        <v>View</v>
      </c>
      <c r="P287" s="7"/>
    </row>
    <row r="288" spans="1:16">
      <c r="A288" s="3">
        <v>43804.289363425924</v>
      </c>
      <c r="B288" s="4" t="str">
        <f>HYPERLINK("https://twitter.com/petrogustavo","@petrogustavo")</f>
        <v>@petrogustavo</v>
      </c>
      <c r="C288" s="5" t="s">
        <v>16</v>
      </c>
      <c r="D288" s="5" t="s">
        <v>314</v>
      </c>
      <c r="E288" s="6" t="str">
        <f>HYPERLINK("https://twitter.com/petrogustavo/status/1202398858183168000","1202398858183168000")</f>
        <v>1202398858183168000</v>
      </c>
      <c r="F288" s="7" t="s">
        <v>32</v>
      </c>
      <c r="G288" s="7">
        <v>3572132</v>
      </c>
      <c r="H288" s="7">
        <v>2333</v>
      </c>
      <c r="I288" s="7">
        <v>457</v>
      </c>
      <c r="J288" s="7">
        <v>0</v>
      </c>
      <c r="K288" s="7" t="s">
        <v>18</v>
      </c>
      <c r="L288" s="8">
        <v>39987.315405092595</v>
      </c>
      <c r="M288" s="9" t="s">
        <v>19</v>
      </c>
      <c r="N288" s="9" t="s">
        <v>20</v>
      </c>
      <c r="O288" s="6" t="str">
        <f>HYPERLINK("https://pbs.twimg.com/profile_images/962471262747529216/Uo8lOkRJ_normal.jpg","View")</f>
        <v>View</v>
      </c>
      <c r="P288" s="7"/>
    </row>
    <row r="289" spans="1:16">
      <c r="A289" s="3">
        <v>43804.289618055554</v>
      </c>
      <c r="B289" s="4" t="str">
        <f>HYPERLINK("https://twitter.com/petrogustavo","@petrogustavo")</f>
        <v>@petrogustavo</v>
      </c>
      <c r="C289" s="5" t="s">
        <v>16</v>
      </c>
      <c r="D289" s="5" t="s">
        <v>315</v>
      </c>
      <c r="E289" s="6" t="str">
        <f>HYPERLINK("https://twitter.com/petrogustavo/status/1202398949396664327","1202398949396664327")</f>
        <v>1202398949396664327</v>
      </c>
      <c r="F289" s="7" t="s">
        <v>32</v>
      </c>
      <c r="G289" s="7">
        <v>3572132</v>
      </c>
      <c r="H289" s="7">
        <v>2333</v>
      </c>
      <c r="I289" s="7">
        <v>381</v>
      </c>
      <c r="J289" s="7">
        <v>0</v>
      </c>
      <c r="K289" s="7" t="s">
        <v>18</v>
      </c>
      <c r="L289" s="8">
        <v>39987.315405092595</v>
      </c>
      <c r="M289" s="9" t="s">
        <v>19</v>
      </c>
      <c r="N289" s="9" t="s">
        <v>20</v>
      </c>
      <c r="O289" s="6" t="str">
        <f>HYPERLINK("https://pbs.twimg.com/profile_images/962471262747529216/Uo8lOkRJ_normal.jpg","View")</f>
        <v>View</v>
      </c>
      <c r="P289" s="7"/>
    </row>
    <row r="290" spans="1:16">
      <c r="A290" s="3">
        <v>43804.28979166667</v>
      </c>
      <c r="B290" s="4" t="str">
        <f>HYPERLINK("https://twitter.com/petrogustavo","@petrogustavo")</f>
        <v>@petrogustavo</v>
      </c>
      <c r="C290" s="5" t="s">
        <v>16</v>
      </c>
      <c r="D290" s="5" t="s">
        <v>316</v>
      </c>
      <c r="E290" s="6" t="str">
        <f>HYPERLINK("https://twitter.com/petrogustavo/status/1202399011883438080","1202399011883438080")</f>
        <v>1202399011883438080</v>
      </c>
      <c r="F290" s="7" t="s">
        <v>32</v>
      </c>
      <c r="G290" s="7">
        <v>3572132</v>
      </c>
      <c r="H290" s="7">
        <v>2333</v>
      </c>
      <c r="I290" s="7">
        <v>301</v>
      </c>
      <c r="J290" s="7">
        <v>0</v>
      </c>
      <c r="K290" s="7" t="s">
        <v>18</v>
      </c>
      <c r="L290" s="8">
        <v>39987.315405092595</v>
      </c>
      <c r="M290" s="9" t="s">
        <v>19</v>
      </c>
      <c r="N290" s="9" t="s">
        <v>20</v>
      </c>
      <c r="O290" s="6" t="str">
        <f>HYPERLINK("https://pbs.twimg.com/profile_images/962471262747529216/Uo8lOkRJ_normal.jpg","View")</f>
        <v>View</v>
      </c>
      <c r="P290" s="7"/>
    </row>
    <row r="291" spans="1:16">
      <c r="A291" s="3">
        <v>43804.29006944444</v>
      </c>
      <c r="B291" s="4" t="str">
        <f>HYPERLINK("https://twitter.com/petrogustavo","@petrogustavo")</f>
        <v>@petrogustavo</v>
      </c>
      <c r="C291" s="5" t="s">
        <v>16</v>
      </c>
      <c r="D291" s="5" t="s">
        <v>317</v>
      </c>
      <c r="E291" s="6" t="str">
        <f>HYPERLINK("https://twitter.com/petrogustavo/status/1202399111200284673","1202399111200284673")</f>
        <v>1202399111200284673</v>
      </c>
      <c r="F291" s="7" t="s">
        <v>32</v>
      </c>
      <c r="G291" s="7">
        <v>3572132</v>
      </c>
      <c r="H291" s="7">
        <v>2333</v>
      </c>
      <c r="I291" s="7">
        <v>81</v>
      </c>
      <c r="J291" s="7">
        <v>0</v>
      </c>
      <c r="K291" s="7" t="s">
        <v>18</v>
      </c>
      <c r="L291" s="8">
        <v>39987.315405092595</v>
      </c>
      <c r="M291" s="9" t="s">
        <v>19</v>
      </c>
      <c r="N291" s="9" t="s">
        <v>20</v>
      </c>
      <c r="O291" s="6" t="str">
        <f>HYPERLINK("https://pbs.twimg.com/profile_images/962471262747529216/Uo8lOkRJ_normal.jpg","View")</f>
        <v>View</v>
      </c>
      <c r="P291" s="7"/>
    </row>
    <row r="292" spans="1:16">
      <c r="A292" s="3">
        <v>43804.73028935185</v>
      </c>
      <c r="B292" s="4" t="str">
        <f>HYPERLINK("https://twitter.com/petrogustavo","@petrogustavo")</f>
        <v>@petrogustavo</v>
      </c>
      <c r="C292" s="5" t="s">
        <v>16</v>
      </c>
      <c r="D292" s="5" t="s">
        <v>318</v>
      </c>
      <c r="E292" s="6" t="str">
        <f>HYPERLINK("https://twitter.com/petrogustavo/status/1202558643792744450","1202558643792744450")</f>
        <v>1202558643792744450</v>
      </c>
      <c r="F292" s="7" t="s">
        <v>17</v>
      </c>
      <c r="G292" s="7">
        <v>3572548</v>
      </c>
      <c r="H292" s="7">
        <v>2333</v>
      </c>
      <c r="I292" s="7">
        <v>351</v>
      </c>
      <c r="J292" s="7">
        <v>0</v>
      </c>
      <c r="K292" s="7" t="s">
        <v>18</v>
      </c>
      <c r="L292" s="8">
        <v>39987.315405092595</v>
      </c>
      <c r="M292" s="9" t="s">
        <v>19</v>
      </c>
      <c r="N292" s="9" t="s">
        <v>20</v>
      </c>
      <c r="O292" s="6" t="str">
        <f>HYPERLINK("https://pbs.twimg.com/profile_images/962471262747529216/Uo8lOkRJ_normal.jpg","View")</f>
        <v>View</v>
      </c>
      <c r="P292" s="7"/>
    </row>
    <row r="293" spans="1:16">
      <c r="A293" s="3">
        <v>43804.732407407406</v>
      </c>
      <c r="B293" s="4" t="str">
        <f>HYPERLINK("https://twitter.com/petrogustavo","@petrogustavo")</f>
        <v>@petrogustavo</v>
      </c>
      <c r="C293" s="5" t="s">
        <v>16</v>
      </c>
      <c r="D293" s="5" t="s">
        <v>319</v>
      </c>
      <c r="E293" s="6" t="str">
        <f>HYPERLINK("https://twitter.com/petrogustavo/status/1202559410796683270","1202559410796683270")</f>
        <v>1202559410796683270</v>
      </c>
      <c r="F293" s="7" t="s">
        <v>17</v>
      </c>
      <c r="G293" s="7">
        <v>3572548</v>
      </c>
      <c r="H293" s="7">
        <v>2333</v>
      </c>
      <c r="I293" s="7">
        <v>280</v>
      </c>
      <c r="J293" s="7">
        <v>0</v>
      </c>
      <c r="K293" s="7" t="s">
        <v>18</v>
      </c>
      <c r="L293" s="8">
        <v>39987.315405092595</v>
      </c>
      <c r="M293" s="9" t="s">
        <v>19</v>
      </c>
      <c r="N293" s="9" t="s">
        <v>20</v>
      </c>
      <c r="O293" s="6" t="str">
        <f>HYPERLINK("https://pbs.twimg.com/profile_images/962471262747529216/Uo8lOkRJ_normal.jpg","View")</f>
        <v>View</v>
      </c>
      <c r="P293" s="7"/>
    </row>
    <row r="294" spans="1:16">
      <c r="A294" s="3">
        <v>43804.732615740737</v>
      </c>
      <c r="B294" s="4" t="str">
        <f>HYPERLINK("https://twitter.com/petrogustavo","@petrogustavo")</f>
        <v>@petrogustavo</v>
      </c>
      <c r="C294" s="5" t="s">
        <v>16</v>
      </c>
      <c r="D294" s="5" t="s">
        <v>320</v>
      </c>
      <c r="E294" s="6" t="str">
        <f>HYPERLINK("https://twitter.com/petrogustavo/status/1202559486331936768","1202559486331936768")</f>
        <v>1202559486331936768</v>
      </c>
      <c r="F294" s="7" t="s">
        <v>17</v>
      </c>
      <c r="G294" s="7">
        <v>3572548</v>
      </c>
      <c r="H294" s="7">
        <v>2333</v>
      </c>
      <c r="I294" s="7">
        <v>7331</v>
      </c>
      <c r="J294" s="7">
        <v>0</v>
      </c>
      <c r="K294" s="7" t="s">
        <v>18</v>
      </c>
      <c r="L294" s="8">
        <v>39987.315405092595</v>
      </c>
      <c r="M294" s="9" t="s">
        <v>19</v>
      </c>
      <c r="N294" s="9" t="s">
        <v>20</v>
      </c>
      <c r="O294" s="6" t="str">
        <f>HYPERLINK("https://pbs.twimg.com/profile_images/962471262747529216/Uo8lOkRJ_normal.jpg","View")</f>
        <v>View</v>
      </c>
      <c r="P294" s="7"/>
    </row>
    <row r="295" spans="1:16">
      <c r="A295" s="3">
        <v>43804.733657407407</v>
      </c>
      <c r="B295" s="4" t="str">
        <f>HYPERLINK("https://twitter.com/petrogustavo","@petrogustavo")</f>
        <v>@petrogustavo</v>
      </c>
      <c r="C295" s="5" t="s">
        <v>16</v>
      </c>
      <c r="D295" s="5" t="s">
        <v>321</v>
      </c>
      <c r="E295" s="6" t="str">
        <f>HYPERLINK("https://twitter.com/petrogustavo/status/1202559863500496901","1202559863500496901")</f>
        <v>1202559863500496901</v>
      </c>
      <c r="F295" s="7" t="s">
        <v>17</v>
      </c>
      <c r="G295" s="7">
        <v>3572548</v>
      </c>
      <c r="H295" s="7">
        <v>2333</v>
      </c>
      <c r="I295" s="7">
        <v>261</v>
      </c>
      <c r="J295" s="7">
        <v>846</v>
      </c>
      <c r="K295" s="7" t="s">
        <v>18</v>
      </c>
      <c r="L295" s="8">
        <v>39987.315405092595</v>
      </c>
      <c r="M295" s="9" t="s">
        <v>19</v>
      </c>
      <c r="N295" s="9" t="s">
        <v>20</v>
      </c>
      <c r="O295" s="6" t="str">
        <f>HYPERLINK("https://pbs.twimg.com/profile_images/962471262747529216/Uo8lOkRJ_normal.jpg","View")</f>
        <v>View</v>
      </c>
      <c r="P295" s="7"/>
    </row>
    <row r="296" spans="1:16">
      <c r="A296" s="3">
        <v>43804.735196759255</v>
      </c>
      <c r="B296" s="4" t="str">
        <f>HYPERLINK("https://twitter.com/petrogustavo","@petrogustavo")</f>
        <v>@petrogustavo</v>
      </c>
      <c r="C296" s="5" t="s">
        <v>16</v>
      </c>
      <c r="D296" s="5" t="s">
        <v>322</v>
      </c>
      <c r="E296" s="6" t="str">
        <f>HYPERLINK("https://twitter.com/petrogustavo/status/1202560422513184769","1202560422513184769")</f>
        <v>1202560422513184769</v>
      </c>
      <c r="F296" s="7" t="s">
        <v>17</v>
      </c>
      <c r="G296" s="7">
        <v>3572548</v>
      </c>
      <c r="H296" s="7">
        <v>2333</v>
      </c>
      <c r="I296" s="7">
        <v>774</v>
      </c>
      <c r="J296" s="7">
        <v>0</v>
      </c>
      <c r="K296" s="7" t="s">
        <v>18</v>
      </c>
      <c r="L296" s="8">
        <v>39987.315405092595</v>
      </c>
      <c r="M296" s="9" t="s">
        <v>19</v>
      </c>
      <c r="N296" s="9" t="s">
        <v>20</v>
      </c>
      <c r="O296" s="6" t="str">
        <f>HYPERLINK("https://pbs.twimg.com/profile_images/962471262747529216/Uo8lOkRJ_normal.jpg","View")</f>
        <v>View</v>
      </c>
      <c r="P296" s="7"/>
    </row>
    <row r="297" spans="1:16">
      <c r="A297" s="3">
        <v>43804.735844907409</v>
      </c>
      <c r="B297" s="4" t="str">
        <f>HYPERLINK("https://twitter.com/petrogustavo","@petrogustavo")</f>
        <v>@petrogustavo</v>
      </c>
      <c r="C297" s="5" t="s">
        <v>16</v>
      </c>
      <c r="D297" s="5" t="s">
        <v>323</v>
      </c>
      <c r="E297" s="6" t="str">
        <f>HYPERLINK("https://twitter.com/petrogustavo/status/1202560654235832320","1202560654235832320")</f>
        <v>1202560654235832320</v>
      </c>
      <c r="F297" s="7" t="s">
        <v>17</v>
      </c>
      <c r="G297" s="7">
        <v>3572548</v>
      </c>
      <c r="H297" s="7">
        <v>2333</v>
      </c>
      <c r="I297" s="7">
        <v>1893</v>
      </c>
      <c r="J297" s="7">
        <v>0</v>
      </c>
      <c r="K297" s="7" t="s">
        <v>18</v>
      </c>
      <c r="L297" s="8">
        <v>39987.315405092595</v>
      </c>
      <c r="M297" s="9" t="s">
        <v>19</v>
      </c>
      <c r="N297" s="9" t="s">
        <v>20</v>
      </c>
      <c r="O297" s="6" t="str">
        <f>HYPERLINK("https://pbs.twimg.com/profile_images/962471262747529216/Uo8lOkRJ_normal.jpg","View")</f>
        <v>View</v>
      </c>
      <c r="P297" s="7"/>
    </row>
    <row r="298" spans="1:16">
      <c r="A298" s="3">
        <v>43804.736701388887</v>
      </c>
      <c r="B298" s="4" t="str">
        <f>HYPERLINK("https://twitter.com/petrogustavo","@petrogustavo")</f>
        <v>@petrogustavo</v>
      </c>
      <c r="C298" s="5" t="s">
        <v>16</v>
      </c>
      <c r="D298" s="5" t="s">
        <v>324</v>
      </c>
      <c r="E298" s="6" t="str">
        <f>HYPERLINK("https://twitter.com/petrogustavo/status/1202560968057901056","1202560968057901056")</f>
        <v>1202560968057901056</v>
      </c>
      <c r="F298" s="7" t="s">
        <v>17</v>
      </c>
      <c r="G298" s="7">
        <v>3572548</v>
      </c>
      <c r="H298" s="7">
        <v>2333</v>
      </c>
      <c r="I298" s="7">
        <v>246</v>
      </c>
      <c r="J298" s="7">
        <v>0</v>
      </c>
      <c r="K298" s="7" t="s">
        <v>18</v>
      </c>
      <c r="L298" s="8">
        <v>39987.315405092595</v>
      </c>
      <c r="M298" s="9" t="s">
        <v>19</v>
      </c>
      <c r="N298" s="9" t="s">
        <v>20</v>
      </c>
      <c r="O298" s="6" t="str">
        <f>HYPERLINK("https://pbs.twimg.com/profile_images/962471262747529216/Uo8lOkRJ_normal.jpg","View")</f>
        <v>View</v>
      </c>
      <c r="P298" s="7"/>
    </row>
    <row r="299" spans="1:16">
      <c r="A299" s="3">
        <v>43804.737476851849</v>
      </c>
      <c r="B299" s="4" t="str">
        <f>HYPERLINK("https://twitter.com/petrogustavo","@petrogustavo")</f>
        <v>@petrogustavo</v>
      </c>
      <c r="C299" s="5" t="s">
        <v>16</v>
      </c>
      <c r="D299" s="5" t="s">
        <v>325</v>
      </c>
      <c r="E299" s="6" t="str">
        <f>HYPERLINK("https://twitter.com/petrogustavo/status/1202561245448151042","1202561245448151042")</f>
        <v>1202561245448151042</v>
      </c>
      <c r="F299" s="7" t="s">
        <v>17</v>
      </c>
      <c r="G299" s="7">
        <v>3572548</v>
      </c>
      <c r="H299" s="7">
        <v>2333</v>
      </c>
      <c r="I299" s="7">
        <v>113</v>
      </c>
      <c r="J299" s="7">
        <v>0</v>
      </c>
      <c r="K299" s="7" t="s">
        <v>18</v>
      </c>
      <c r="L299" s="8">
        <v>39987.315405092595</v>
      </c>
      <c r="M299" s="9" t="s">
        <v>19</v>
      </c>
      <c r="N299" s="9" t="s">
        <v>20</v>
      </c>
      <c r="O299" s="6" t="str">
        <f>HYPERLINK("https://pbs.twimg.com/profile_images/962471262747529216/Uo8lOkRJ_normal.jpg","View")</f>
        <v>View</v>
      </c>
      <c r="P299" s="7"/>
    </row>
    <row r="300" spans="1:16">
      <c r="A300" s="3">
        <v>43804.739571759259</v>
      </c>
      <c r="B300" s="4" t="str">
        <f>HYPERLINK("https://twitter.com/petrogustavo","@petrogustavo")</f>
        <v>@petrogustavo</v>
      </c>
      <c r="C300" s="5" t="s">
        <v>16</v>
      </c>
      <c r="D300" s="5" t="s">
        <v>326</v>
      </c>
      <c r="E300" s="6" t="str">
        <f>HYPERLINK("https://twitter.com/petrogustavo/status/1202562005825134593","1202562005825134593")</f>
        <v>1202562005825134593</v>
      </c>
      <c r="F300" s="7" t="s">
        <v>17</v>
      </c>
      <c r="G300" s="7">
        <v>3572548</v>
      </c>
      <c r="H300" s="7">
        <v>2333</v>
      </c>
      <c r="I300" s="7">
        <v>26</v>
      </c>
      <c r="J300" s="7">
        <v>61</v>
      </c>
      <c r="K300" s="7" t="s">
        <v>18</v>
      </c>
      <c r="L300" s="8">
        <v>39987.315405092595</v>
      </c>
      <c r="M300" s="9" t="s">
        <v>19</v>
      </c>
      <c r="N300" s="9" t="s">
        <v>20</v>
      </c>
      <c r="O300" s="6" t="str">
        <f>HYPERLINK("https://pbs.twimg.com/profile_images/962471262747529216/Uo8lOkRJ_normal.jpg","View")</f>
        <v>View</v>
      </c>
      <c r="P300" s="7"/>
    </row>
    <row r="301" spans="1:16">
      <c r="A301" s="3">
        <v>43804.741122685184</v>
      </c>
      <c r="B301" s="4" t="str">
        <f>HYPERLINK("https://twitter.com/petrogustavo","@petrogustavo")</f>
        <v>@petrogustavo</v>
      </c>
      <c r="C301" s="5" t="s">
        <v>16</v>
      </c>
      <c r="D301" s="5" t="s">
        <v>327</v>
      </c>
      <c r="E301" s="6" t="str">
        <f>HYPERLINK("https://twitter.com/petrogustavo/status/1202562566943199232","1202562566943199232")</f>
        <v>1202562566943199232</v>
      </c>
      <c r="F301" s="7" t="s">
        <v>17</v>
      </c>
      <c r="G301" s="7">
        <v>3572548</v>
      </c>
      <c r="H301" s="7">
        <v>2333</v>
      </c>
      <c r="I301" s="7">
        <v>18</v>
      </c>
      <c r="J301" s="7">
        <v>0</v>
      </c>
      <c r="K301" s="7" t="s">
        <v>18</v>
      </c>
      <c r="L301" s="8">
        <v>39987.315405092595</v>
      </c>
      <c r="M301" s="9" t="s">
        <v>19</v>
      </c>
      <c r="N301" s="9" t="s">
        <v>20</v>
      </c>
      <c r="O301" s="6" t="str">
        <f>HYPERLINK("https://pbs.twimg.com/profile_images/962471262747529216/Uo8lOkRJ_normal.jpg","View")</f>
        <v>View</v>
      </c>
      <c r="P301" s="7"/>
    </row>
    <row r="302" spans="1:16">
      <c r="A302" s="3">
        <v>43804.745659722219</v>
      </c>
      <c r="B302" s="4" t="str">
        <f>HYPERLINK("https://twitter.com/petrogustavo","@petrogustavo")</f>
        <v>@petrogustavo</v>
      </c>
      <c r="C302" s="5" t="s">
        <v>16</v>
      </c>
      <c r="D302" s="5" t="s">
        <v>328</v>
      </c>
      <c r="E302" s="6" t="str">
        <f>HYPERLINK("https://twitter.com/petrogustavo/status/1202564213396385792","1202564213396385792")</f>
        <v>1202564213396385792</v>
      </c>
      <c r="F302" s="7" t="s">
        <v>17</v>
      </c>
      <c r="G302" s="7">
        <v>3572566</v>
      </c>
      <c r="H302" s="7">
        <v>2333</v>
      </c>
      <c r="I302" s="7">
        <v>222</v>
      </c>
      <c r="J302" s="7">
        <v>549</v>
      </c>
      <c r="K302" s="7" t="s">
        <v>18</v>
      </c>
      <c r="L302" s="8">
        <v>39987.315405092595</v>
      </c>
      <c r="M302" s="9" t="s">
        <v>19</v>
      </c>
      <c r="N302" s="9" t="s">
        <v>20</v>
      </c>
      <c r="O302" s="6" t="str">
        <f>HYPERLINK("https://pbs.twimg.com/profile_images/962471262747529216/Uo8lOkRJ_normal.jpg","View")</f>
        <v>View</v>
      </c>
      <c r="P302" s="7"/>
    </row>
    <row r="303" spans="1:16">
      <c r="A303" s="3">
        <v>43804.756041666667</v>
      </c>
      <c r="B303" s="4" t="str">
        <f>HYPERLINK("https://twitter.com/petrogustavo","@petrogustavo")</f>
        <v>@petrogustavo</v>
      </c>
      <c r="C303" s="5" t="s">
        <v>16</v>
      </c>
      <c r="D303" s="5" t="s">
        <v>329</v>
      </c>
      <c r="E303" s="6" t="str">
        <f>HYPERLINK("https://twitter.com/petrogustavo/status/1202567973132754952","1202567973132754952")</f>
        <v>1202567973132754952</v>
      </c>
      <c r="F303" s="7" t="s">
        <v>17</v>
      </c>
      <c r="G303" s="7">
        <v>3572566</v>
      </c>
      <c r="H303" s="7">
        <v>2333</v>
      </c>
      <c r="I303" s="7">
        <v>661</v>
      </c>
      <c r="J303" s="7">
        <v>0</v>
      </c>
      <c r="K303" s="7" t="s">
        <v>18</v>
      </c>
      <c r="L303" s="8">
        <v>39987.315405092595</v>
      </c>
      <c r="M303" s="9" t="s">
        <v>19</v>
      </c>
      <c r="N303" s="9" t="s">
        <v>20</v>
      </c>
      <c r="O303" s="6" t="str">
        <f>HYPERLINK("https://pbs.twimg.com/profile_images/962471262747529216/Uo8lOkRJ_normal.jpg","View")</f>
        <v>View</v>
      </c>
      <c r="P303" s="7"/>
    </row>
    <row r="304" spans="1:16">
      <c r="A304" s="3">
        <v>43804.756701388891</v>
      </c>
      <c r="B304" s="4" t="str">
        <f>HYPERLINK("https://twitter.com/petrogustavo","@petrogustavo")</f>
        <v>@petrogustavo</v>
      </c>
      <c r="C304" s="5" t="s">
        <v>16</v>
      </c>
      <c r="D304" s="5" t="s">
        <v>330</v>
      </c>
      <c r="E304" s="6" t="str">
        <f>HYPERLINK("https://twitter.com/petrogustavo/status/1202568212749176832","1202568212749176832")</f>
        <v>1202568212749176832</v>
      </c>
      <c r="F304" s="7" t="s">
        <v>17</v>
      </c>
      <c r="G304" s="7">
        <v>3572566</v>
      </c>
      <c r="H304" s="7">
        <v>2333</v>
      </c>
      <c r="I304" s="7">
        <v>959</v>
      </c>
      <c r="J304" s="7">
        <v>0</v>
      </c>
      <c r="K304" s="7" t="s">
        <v>18</v>
      </c>
      <c r="L304" s="8">
        <v>39987.315405092595</v>
      </c>
      <c r="M304" s="9" t="s">
        <v>19</v>
      </c>
      <c r="N304" s="9" t="s">
        <v>20</v>
      </c>
      <c r="O304" s="6" t="str">
        <f>HYPERLINK("https://pbs.twimg.com/profile_images/962471262747529216/Uo8lOkRJ_normal.jpg","View")</f>
        <v>View</v>
      </c>
      <c r="P304" s="7"/>
    </row>
    <row r="305" spans="1:16">
      <c r="A305" s="3">
        <v>43804.757743055554</v>
      </c>
      <c r="B305" s="4" t="str">
        <f>HYPERLINK("https://twitter.com/petrogustavo","@petrogustavo")</f>
        <v>@petrogustavo</v>
      </c>
      <c r="C305" s="5" t="s">
        <v>16</v>
      </c>
      <c r="D305" s="5" t="s">
        <v>331</v>
      </c>
      <c r="E305" s="6" t="str">
        <f>HYPERLINK("https://twitter.com/petrogustavo/status/1202568593269051392","1202568593269051392")</f>
        <v>1202568593269051392</v>
      </c>
      <c r="F305" s="7" t="s">
        <v>17</v>
      </c>
      <c r="G305" s="7">
        <v>3572566</v>
      </c>
      <c r="H305" s="7">
        <v>2333</v>
      </c>
      <c r="I305" s="7">
        <v>17</v>
      </c>
      <c r="J305" s="7">
        <v>77</v>
      </c>
      <c r="K305" s="7" t="s">
        <v>18</v>
      </c>
      <c r="L305" s="8">
        <v>39987.315405092595</v>
      </c>
      <c r="M305" s="9" t="s">
        <v>19</v>
      </c>
      <c r="N305" s="9" t="s">
        <v>20</v>
      </c>
      <c r="O305" s="6" t="str">
        <f>HYPERLINK("https://pbs.twimg.com/profile_images/962471262747529216/Uo8lOkRJ_normal.jpg","View")</f>
        <v>View</v>
      </c>
      <c r="P305" s="7"/>
    </row>
    <row r="306" spans="1:16">
      <c r="A306" s="3">
        <v>43804.760601851856</v>
      </c>
      <c r="B306" s="4" t="str">
        <f>HYPERLINK("https://twitter.com/petrogustavo","@petrogustavo")</f>
        <v>@petrogustavo</v>
      </c>
      <c r="C306" s="5" t="s">
        <v>16</v>
      </c>
      <c r="D306" s="5" t="s">
        <v>332</v>
      </c>
      <c r="E306" s="6" t="str">
        <f>HYPERLINK("https://twitter.com/petrogustavo/status/1202569629098545152","1202569629098545152")</f>
        <v>1202569629098545152</v>
      </c>
      <c r="F306" s="7" t="s">
        <v>17</v>
      </c>
      <c r="G306" s="7">
        <v>3572566</v>
      </c>
      <c r="H306" s="7">
        <v>2333</v>
      </c>
      <c r="I306" s="7">
        <v>26</v>
      </c>
      <c r="J306" s="7">
        <v>79</v>
      </c>
      <c r="K306" s="7" t="s">
        <v>18</v>
      </c>
      <c r="L306" s="8">
        <v>39987.315405092595</v>
      </c>
      <c r="M306" s="9" t="s">
        <v>19</v>
      </c>
      <c r="N306" s="9" t="s">
        <v>20</v>
      </c>
      <c r="O306" s="6" t="str">
        <f>HYPERLINK("https://pbs.twimg.com/profile_images/962471262747529216/Uo8lOkRJ_normal.jpg","View")</f>
        <v>View</v>
      </c>
      <c r="P306" s="7"/>
    </row>
    <row r="307" spans="1:16">
      <c r="A307" s="3">
        <v>43804.760798611111</v>
      </c>
      <c r="B307" s="4" t="str">
        <f>HYPERLINK("https://twitter.com/petrogustavo","@petrogustavo")</f>
        <v>@petrogustavo</v>
      </c>
      <c r="C307" s="5" t="s">
        <v>16</v>
      </c>
      <c r="D307" s="5" t="s">
        <v>333</v>
      </c>
      <c r="E307" s="6" t="str">
        <f>HYPERLINK("https://twitter.com/petrogustavo/status/1202569697880870912","1202569697880870912")</f>
        <v>1202569697880870912</v>
      </c>
      <c r="F307" s="7" t="s">
        <v>17</v>
      </c>
      <c r="G307" s="7">
        <v>3572566</v>
      </c>
      <c r="H307" s="7">
        <v>2333</v>
      </c>
      <c r="I307" s="7">
        <v>163</v>
      </c>
      <c r="J307" s="7">
        <v>0</v>
      </c>
      <c r="K307" s="7" t="s">
        <v>18</v>
      </c>
      <c r="L307" s="8">
        <v>39987.315405092595</v>
      </c>
      <c r="M307" s="9" t="s">
        <v>19</v>
      </c>
      <c r="N307" s="9" t="s">
        <v>20</v>
      </c>
      <c r="O307" s="6" t="str">
        <f>HYPERLINK("https://pbs.twimg.com/profile_images/962471262747529216/Uo8lOkRJ_normal.jpg","View")</f>
        <v>View</v>
      </c>
      <c r="P307" s="7"/>
    </row>
    <row r="308" spans="1:16">
      <c r="A308" s="3">
        <v>43804.761817129634</v>
      </c>
      <c r="B308" s="4" t="str">
        <f>HYPERLINK("https://twitter.com/petrogustavo","@petrogustavo")</f>
        <v>@petrogustavo</v>
      </c>
      <c r="C308" s="5" t="s">
        <v>16</v>
      </c>
      <c r="D308" s="5" t="s">
        <v>334</v>
      </c>
      <c r="E308" s="6" t="str">
        <f>HYPERLINK("https://twitter.com/petrogustavo/status/1202570067675889664","1202570067675889664")</f>
        <v>1202570067675889664</v>
      </c>
      <c r="F308" s="7" t="s">
        <v>17</v>
      </c>
      <c r="G308" s="7">
        <v>3572566</v>
      </c>
      <c r="H308" s="7">
        <v>2333</v>
      </c>
      <c r="I308" s="7">
        <v>4</v>
      </c>
      <c r="J308" s="7">
        <v>11</v>
      </c>
      <c r="K308" s="7" t="s">
        <v>18</v>
      </c>
      <c r="L308" s="8">
        <v>39987.315405092595</v>
      </c>
      <c r="M308" s="9" t="s">
        <v>19</v>
      </c>
      <c r="N308" s="9" t="s">
        <v>20</v>
      </c>
      <c r="O308" s="6" t="str">
        <f>HYPERLINK("https://pbs.twimg.com/profile_images/962471262747529216/Uo8lOkRJ_normal.jpg","View")</f>
        <v>View</v>
      </c>
      <c r="P308" s="7"/>
    </row>
    <row r="309" spans="1:16">
      <c r="A309" s="3">
        <v>43804.763912037037</v>
      </c>
      <c r="B309" s="4" t="str">
        <f>HYPERLINK("https://twitter.com/petrogustavo","@petrogustavo")</f>
        <v>@petrogustavo</v>
      </c>
      <c r="C309" s="5" t="s">
        <v>16</v>
      </c>
      <c r="D309" s="5" t="s">
        <v>335</v>
      </c>
      <c r="E309" s="6" t="str">
        <f>HYPERLINK("https://twitter.com/petrogustavo/status/1202570825435664384","1202570825435664384")</f>
        <v>1202570825435664384</v>
      </c>
      <c r="F309" s="7" t="s">
        <v>17</v>
      </c>
      <c r="G309" s="7">
        <v>3572600</v>
      </c>
      <c r="H309" s="7">
        <v>2333</v>
      </c>
      <c r="I309" s="7">
        <v>254</v>
      </c>
      <c r="J309" s="7">
        <v>753</v>
      </c>
      <c r="K309" s="7" t="s">
        <v>18</v>
      </c>
      <c r="L309" s="8">
        <v>39987.315405092595</v>
      </c>
      <c r="M309" s="9" t="s">
        <v>19</v>
      </c>
      <c r="N309" s="9" t="s">
        <v>20</v>
      </c>
      <c r="O309" s="6" t="str">
        <f>HYPERLINK("https://pbs.twimg.com/profile_images/962471262747529216/Uo8lOkRJ_normal.jpg","View")</f>
        <v>View</v>
      </c>
      <c r="P309" s="7"/>
    </row>
    <row r="310" spans="1:16">
      <c r="A310" s="3">
        <v>43804.769108796296</v>
      </c>
      <c r="B310" s="4" t="str">
        <f>HYPERLINK("https://twitter.com/petrogustavo","@petrogustavo")</f>
        <v>@petrogustavo</v>
      </c>
      <c r="C310" s="5" t="s">
        <v>16</v>
      </c>
      <c r="D310" s="5" t="s">
        <v>336</v>
      </c>
      <c r="E310" s="6" t="str">
        <f>HYPERLINK("https://twitter.com/petrogustavo/status/1202572708455813120","1202572708455813120")</f>
        <v>1202572708455813120</v>
      </c>
      <c r="F310" s="7" t="s">
        <v>17</v>
      </c>
      <c r="G310" s="7">
        <v>3572600</v>
      </c>
      <c r="H310" s="7">
        <v>2333</v>
      </c>
      <c r="I310" s="7">
        <v>28</v>
      </c>
      <c r="J310" s="7">
        <v>0</v>
      </c>
      <c r="K310" s="7" t="s">
        <v>18</v>
      </c>
      <c r="L310" s="8">
        <v>39987.315405092595</v>
      </c>
      <c r="M310" s="9" t="s">
        <v>19</v>
      </c>
      <c r="N310" s="9" t="s">
        <v>20</v>
      </c>
      <c r="O310" s="6" t="str">
        <f>HYPERLINK("https://pbs.twimg.com/profile_images/962471262747529216/Uo8lOkRJ_normal.jpg","View")</f>
        <v>View</v>
      </c>
      <c r="P310" s="7"/>
    </row>
    <row r="311" spans="1:16">
      <c r="A311" s="3">
        <v>43804.769212962958</v>
      </c>
      <c r="B311" s="4" t="str">
        <f>HYPERLINK("https://twitter.com/petrogustavo","@petrogustavo")</f>
        <v>@petrogustavo</v>
      </c>
      <c r="C311" s="5" t="s">
        <v>16</v>
      </c>
      <c r="D311" s="5" t="s">
        <v>337</v>
      </c>
      <c r="E311" s="6" t="str">
        <f>HYPERLINK("https://twitter.com/petrogustavo/status/1202572746741469185","1202572746741469185")</f>
        <v>1202572746741469185</v>
      </c>
      <c r="F311" s="7" t="s">
        <v>17</v>
      </c>
      <c r="G311" s="7">
        <v>3572600</v>
      </c>
      <c r="H311" s="7">
        <v>2333</v>
      </c>
      <c r="I311" s="7">
        <v>1417</v>
      </c>
      <c r="J311" s="7">
        <v>0</v>
      </c>
      <c r="K311" s="7" t="s">
        <v>18</v>
      </c>
      <c r="L311" s="8">
        <v>39987.315405092595</v>
      </c>
      <c r="M311" s="9" t="s">
        <v>19</v>
      </c>
      <c r="N311" s="9" t="s">
        <v>20</v>
      </c>
      <c r="O311" s="6" t="str">
        <f>HYPERLINK("https://pbs.twimg.com/profile_images/962471262747529216/Uo8lOkRJ_normal.jpg","View")</f>
        <v>View</v>
      </c>
      <c r="P311" s="7"/>
    </row>
    <row r="312" spans="1:16">
      <c r="A312" s="3">
        <v>43804.76966435185</v>
      </c>
      <c r="B312" s="4" t="str">
        <f>HYPERLINK("https://twitter.com/petrogustavo","@petrogustavo")</f>
        <v>@petrogustavo</v>
      </c>
      <c r="C312" s="5" t="s">
        <v>16</v>
      </c>
      <c r="D312" s="5" t="s">
        <v>338</v>
      </c>
      <c r="E312" s="6" t="str">
        <f>HYPERLINK("https://twitter.com/petrogustavo/status/1202572911082639360","1202572911082639360")</f>
        <v>1202572911082639360</v>
      </c>
      <c r="F312" s="7" t="s">
        <v>17</v>
      </c>
      <c r="G312" s="7">
        <v>3572600</v>
      </c>
      <c r="H312" s="7">
        <v>2333</v>
      </c>
      <c r="I312" s="7">
        <v>362</v>
      </c>
      <c r="J312" s="7">
        <v>0</v>
      </c>
      <c r="K312" s="7" t="s">
        <v>18</v>
      </c>
      <c r="L312" s="8">
        <v>39987.315405092595</v>
      </c>
      <c r="M312" s="9" t="s">
        <v>19</v>
      </c>
      <c r="N312" s="9" t="s">
        <v>20</v>
      </c>
      <c r="O312" s="6" t="str">
        <f>HYPERLINK("https://pbs.twimg.com/profile_images/962471262747529216/Uo8lOkRJ_normal.jpg","View")</f>
        <v>View</v>
      </c>
      <c r="P312" s="7"/>
    </row>
    <row r="313" spans="1:16">
      <c r="A313" s="3">
        <v>43804.770104166666</v>
      </c>
      <c r="B313" s="4" t="str">
        <f>HYPERLINK("https://twitter.com/petrogustavo","@petrogustavo")</f>
        <v>@petrogustavo</v>
      </c>
      <c r="C313" s="5" t="s">
        <v>16</v>
      </c>
      <c r="D313" s="5" t="s">
        <v>339</v>
      </c>
      <c r="E313" s="6" t="str">
        <f>HYPERLINK("https://twitter.com/petrogustavo/status/1202573069509894144","1202573069509894144")</f>
        <v>1202573069509894144</v>
      </c>
      <c r="F313" s="7" t="s">
        <v>17</v>
      </c>
      <c r="G313" s="7">
        <v>3572600</v>
      </c>
      <c r="H313" s="7">
        <v>2333</v>
      </c>
      <c r="I313" s="7">
        <v>96</v>
      </c>
      <c r="J313" s="7">
        <v>0</v>
      </c>
      <c r="K313" s="7" t="s">
        <v>18</v>
      </c>
      <c r="L313" s="8">
        <v>39987.315405092595</v>
      </c>
      <c r="M313" s="9" t="s">
        <v>19</v>
      </c>
      <c r="N313" s="9" t="s">
        <v>20</v>
      </c>
      <c r="O313" s="6" t="str">
        <f>HYPERLINK("https://pbs.twimg.com/profile_images/962471262747529216/Uo8lOkRJ_normal.jpg","View")</f>
        <v>View</v>
      </c>
      <c r="P313" s="7"/>
    </row>
    <row r="314" spans="1:16">
      <c r="A314" s="3">
        <v>43804.770358796297</v>
      </c>
      <c r="B314" s="4" t="str">
        <f>HYPERLINK("https://twitter.com/petrogustavo","@petrogustavo")</f>
        <v>@petrogustavo</v>
      </c>
      <c r="C314" s="5" t="s">
        <v>16</v>
      </c>
      <c r="D314" s="5" t="s">
        <v>340</v>
      </c>
      <c r="E314" s="6" t="str">
        <f>HYPERLINK("https://twitter.com/petrogustavo/status/1202573163349127168","1202573163349127168")</f>
        <v>1202573163349127168</v>
      </c>
      <c r="F314" s="7" t="s">
        <v>17</v>
      </c>
      <c r="G314" s="7">
        <v>3572600</v>
      </c>
      <c r="H314" s="7">
        <v>2333</v>
      </c>
      <c r="I314" s="7">
        <v>77</v>
      </c>
      <c r="J314" s="7">
        <v>0</v>
      </c>
      <c r="K314" s="7" t="s">
        <v>18</v>
      </c>
      <c r="L314" s="8">
        <v>39987.315405092595</v>
      </c>
      <c r="M314" s="9" t="s">
        <v>19</v>
      </c>
      <c r="N314" s="9" t="s">
        <v>20</v>
      </c>
      <c r="O314" s="6" t="str">
        <f>HYPERLINK("https://pbs.twimg.com/profile_images/962471262747529216/Uo8lOkRJ_normal.jpg","View")</f>
        <v>View</v>
      </c>
      <c r="P314" s="7"/>
    </row>
    <row r="315" spans="1:16">
      <c r="A315" s="3">
        <v>43804.77070601852</v>
      </c>
      <c r="B315" s="4" t="str">
        <f>HYPERLINK("https://twitter.com/petrogustavo","@petrogustavo")</f>
        <v>@petrogustavo</v>
      </c>
      <c r="C315" s="5" t="s">
        <v>16</v>
      </c>
      <c r="D315" s="5" t="s">
        <v>341</v>
      </c>
      <c r="E315" s="6" t="str">
        <f>HYPERLINK("https://twitter.com/petrogustavo/status/1202573289060798464","1202573289060798464")</f>
        <v>1202573289060798464</v>
      </c>
      <c r="F315" s="7" t="s">
        <v>17</v>
      </c>
      <c r="G315" s="7">
        <v>3572600</v>
      </c>
      <c r="H315" s="7">
        <v>2333</v>
      </c>
      <c r="I315" s="7">
        <v>372</v>
      </c>
      <c r="J315" s="7">
        <v>0</v>
      </c>
      <c r="K315" s="7" t="s">
        <v>18</v>
      </c>
      <c r="L315" s="8">
        <v>39987.315405092595</v>
      </c>
      <c r="M315" s="9" t="s">
        <v>19</v>
      </c>
      <c r="N315" s="9" t="s">
        <v>20</v>
      </c>
      <c r="O315" s="6" t="str">
        <f>HYPERLINK("https://pbs.twimg.com/profile_images/962471262747529216/Uo8lOkRJ_normal.jpg","View")</f>
        <v>View</v>
      </c>
      <c r="P315" s="7"/>
    </row>
    <row r="316" spans="1:16">
      <c r="A316" s="3">
        <v>43804.771168981482</v>
      </c>
      <c r="B316" s="4" t="str">
        <f>HYPERLINK("https://twitter.com/petrogustavo","@petrogustavo")</f>
        <v>@petrogustavo</v>
      </c>
      <c r="C316" s="5" t="s">
        <v>16</v>
      </c>
      <c r="D316" s="5" t="s">
        <v>342</v>
      </c>
      <c r="E316" s="6" t="str">
        <f>HYPERLINK("https://twitter.com/petrogustavo/status/1202573457432731648","1202573457432731648")</f>
        <v>1202573457432731648</v>
      </c>
      <c r="F316" s="7" t="s">
        <v>17</v>
      </c>
      <c r="G316" s="7">
        <v>3572600</v>
      </c>
      <c r="H316" s="7">
        <v>2333</v>
      </c>
      <c r="I316" s="7">
        <v>3316</v>
      </c>
      <c r="J316" s="7">
        <v>0</v>
      </c>
      <c r="K316" s="7" t="s">
        <v>18</v>
      </c>
      <c r="L316" s="8">
        <v>39987.315405092595</v>
      </c>
      <c r="M316" s="9" t="s">
        <v>19</v>
      </c>
      <c r="N316" s="9" t="s">
        <v>20</v>
      </c>
      <c r="O316" s="6" t="str">
        <f>HYPERLINK("https://pbs.twimg.com/profile_images/962471262747529216/Uo8lOkRJ_normal.jpg","View")</f>
        <v>View</v>
      </c>
      <c r="P316" s="7"/>
    </row>
    <row r="317" spans="1:16">
      <c r="A317" s="3">
        <v>43804.818518518514</v>
      </c>
      <c r="B317" s="4" t="str">
        <f>HYPERLINK("https://twitter.com/petrogustavo","@petrogustavo")</f>
        <v>@petrogustavo</v>
      </c>
      <c r="C317" s="5" t="s">
        <v>16</v>
      </c>
      <c r="D317" s="5" t="s">
        <v>343</v>
      </c>
      <c r="E317" s="6" t="str">
        <f>HYPERLINK("https://twitter.com/petrogustavo/status/1202590616607170561","1202590616607170561")</f>
        <v>1202590616607170561</v>
      </c>
      <c r="F317" s="7" t="s">
        <v>32</v>
      </c>
      <c r="G317" s="7">
        <v>3572654</v>
      </c>
      <c r="H317" s="7">
        <v>2333</v>
      </c>
      <c r="I317" s="7">
        <v>2225</v>
      </c>
      <c r="J317" s="7">
        <v>0</v>
      </c>
      <c r="K317" s="7" t="s">
        <v>18</v>
      </c>
      <c r="L317" s="8">
        <v>39987.315405092595</v>
      </c>
      <c r="M317" s="9" t="s">
        <v>19</v>
      </c>
      <c r="N317" s="9" t="s">
        <v>20</v>
      </c>
      <c r="O317" s="6" t="str">
        <f>HYPERLINK("https://pbs.twimg.com/profile_images/962471262747529216/Uo8lOkRJ_normal.jpg","View")</f>
        <v>View</v>
      </c>
      <c r="P317" s="7"/>
    </row>
    <row r="318" spans="1:16">
      <c r="A318" s="3">
        <v>43804.819097222222</v>
      </c>
      <c r="B318" s="4" t="str">
        <f>HYPERLINK("https://twitter.com/petrogustavo","@petrogustavo")</f>
        <v>@petrogustavo</v>
      </c>
      <c r="C318" s="5" t="s">
        <v>16</v>
      </c>
      <c r="D318" s="5" t="s">
        <v>344</v>
      </c>
      <c r="E318" s="6" t="str">
        <f>HYPERLINK("https://twitter.com/petrogustavo/status/1202590824711827456","1202590824711827456")</f>
        <v>1202590824711827456</v>
      </c>
      <c r="F318" s="7" t="s">
        <v>32</v>
      </c>
      <c r="G318" s="7">
        <v>3572654</v>
      </c>
      <c r="H318" s="7">
        <v>2333</v>
      </c>
      <c r="I318" s="7">
        <v>406</v>
      </c>
      <c r="J318" s="7">
        <v>0</v>
      </c>
      <c r="K318" s="7" t="s">
        <v>18</v>
      </c>
      <c r="L318" s="8">
        <v>39987.315405092595</v>
      </c>
      <c r="M318" s="9" t="s">
        <v>19</v>
      </c>
      <c r="N318" s="9" t="s">
        <v>20</v>
      </c>
      <c r="O318" s="6" t="str">
        <f>HYPERLINK("https://pbs.twimg.com/profile_images/962471262747529216/Uo8lOkRJ_normal.jpg","View")</f>
        <v>View</v>
      </c>
      <c r="P318" s="7"/>
    </row>
    <row r="319" spans="1:16">
      <c r="A319" s="3">
        <v>43804.820590277777</v>
      </c>
      <c r="B319" s="4" t="str">
        <f>HYPERLINK("https://twitter.com/petrogustavo","@petrogustavo")</f>
        <v>@petrogustavo</v>
      </c>
      <c r="C319" s="5" t="s">
        <v>16</v>
      </c>
      <c r="D319" s="5" t="s">
        <v>345</v>
      </c>
      <c r="E319" s="6" t="str">
        <f>HYPERLINK("https://twitter.com/petrogustavo/status/1202591365667917824","1202591365667917824")</f>
        <v>1202591365667917824</v>
      </c>
      <c r="F319" s="7" t="s">
        <v>32</v>
      </c>
      <c r="G319" s="7">
        <v>3572654</v>
      </c>
      <c r="H319" s="7">
        <v>2333</v>
      </c>
      <c r="I319" s="7">
        <v>31</v>
      </c>
      <c r="J319" s="7">
        <v>0</v>
      </c>
      <c r="K319" s="7" t="s">
        <v>18</v>
      </c>
      <c r="L319" s="8">
        <v>39987.315405092595</v>
      </c>
      <c r="M319" s="9" t="s">
        <v>19</v>
      </c>
      <c r="N319" s="9" t="s">
        <v>20</v>
      </c>
      <c r="O319" s="6" t="str">
        <f>HYPERLINK("https://pbs.twimg.com/profile_images/962471262747529216/Uo8lOkRJ_normal.jpg","View")</f>
        <v>View</v>
      </c>
      <c r="P319" s="7"/>
    </row>
    <row r="320" spans="1:16">
      <c r="A320" s="3">
        <v>43804.820821759262</v>
      </c>
      <c r="B320" s="4" t="str">
        <f>HYPERLINK("https://twitter.com/petrogustavo","@petrogustavo")</f>
        <v>@petrogustavo</v>
      </c>
      <c r="C320" s="5" t="s">
        <v>16</v>
      </c>
      <c r="D320" s="5" t="s">
        <v>346</v>
      </c>
      <c r="E320" s="6" t="str">
        <f>HYPERLINK("https://twitter.com/petrogustavo/status/1202591451256893440","1202591451256893440")</f>
        <v>1202591451256893440</v>
      </c>
      <c r="F320" s="7" t="s">
        <v>32</v>
      </c>
      <c r="G320" s="7">
        <v>3572654</v>
      </c>
      <c r="H320" s="7">
        <v>2333</v>
      </c>
      <c r="I320" s="7">
        <v>1586</v>
      </c>
      <c r="J320" s="7">
        <v>0</v>
      </c>
      <c r="K320" s="7" t="s">
        <v>18</v>
      </c>
      <c r="L320" s="8">
        <v>39987.315405092595</v>
      </c>
      <c r="M320" s="9" t="s">
        <v>19</v>
      </c>
      <c r="N320" s="9" t="s">
        <v>20</v>
      </c>
      <c r="O320" s="6" t="str">
        <f>HYPERLINK("https://pbs.twimg.com/profile_images/962471262747529216/Uo8lOkRJ_normal.jpg","View")</f>
        <v>View</v>
      </c>
      <c r="P320" s="7"/>
    </row>
    <row r="321" spans="1:16">
      <c r="A321" s="3">
        <v>43804.829525462963</v>
      </c>
      <c r="B321" s="4" t="str">
        <f>HYPERLINK("https://twitter.com/petrogustavo","@petrogustavo")</f>
        <v>@petrogustavo</v>
      </c>
      <c r="C321" s="5" t="s">
        <v>16</v>
      </c>
      <c r="D321" s="5" t="s">
        <v>347</v>
      </c>
      <c r="E321" s="6" t="str">
        <f>HYPERLINK("https://twitter.com/petrogustavo/status/1202594604643733507","1202594604643733507")</f>
        <v>1202594604643733507</v>
      </c>
      <c r="F321" s="7" t="s">
        <v>32</v>
      </c>
      <c r="G321" s="7">
        <v>3572685</v>
      </c>
      <c r="H321" s="7">
        <v>2333</v>
      </c>
      <c r="I321" s="7">
        <v>26</v>
      </c>
      <c r="J321" s="7">
        <v>0</v>
      </c>
      <c r="K321" s="7" t="s">
        <v>18</v>
      </c>
      <c r="L321" s="8">
        <v>39987.315405092595</v>
      </c>
      <c r="M321" s="9" t="s">
        <v>19</v>
      </c>
      <c r="N321" s="9" t="s">
        <v>20</v>
      </c>
      <c r="O321" s="6" t="str">
        <f>HYPERLINK("https://pbs.twimg.com/profile_images/962471262747529216/Uo8lOkRJ_normal.jpg","View")</f>
        <v>View</v>
      </c>
      <c r="P321" s="7"/>
    </row>
    <row r="322" spans="1:16">
      <c r="A322" s="3">
        <v>43804.829687500001</v>
      </c>
      <c r="B322" s="4" t="str">
        <f>HYPERLINK("https://twitter.com/petrogustavo","@petrogustavo")</f>
        <v>@petrogustavo</v>
      </c>
      <c r="C322" s="5" t="s">
        <v>16</v>
      </c>
      <c r="D322" s="5" t="s">
        <v>348</v>
      </c>
      <c r="E322" s="6" t="str">
        <f>HYPERLINK("https://twitter.com/petrogustavo/status/1202594664798441473","1202594664798441473")</f>
        <v>1202594664798441473</v>
      </c>
      <c r="F322" s="7" t="s">
        <v>32</v>
      </c>
      <c r="G322" s="7">
        <v>3572685</v>
      </c>
      <c r="H322" s="7">
        <v>2333</v>
      </c>
      <c r="I322" s="7">
        <v>35</v>
      </c>
      <c r="J322" s="7">
        <v>0</v>
      </c>
      <c r="K322" s="7" t="s">
        <v>18</v>
      </c>
      <c r="L322" s="8">
        <v>39987.315405092595</v>
      </c>
      <c r="M322" s="9" t="s">
        <v>19</v>
      </c>
      <c r="N322" s="9" t="s">
        <v>20</v>
      </c>
      <c r="O322" s="6" t="str">
        <f>HYPERLINK("https://pbs.twimg.com/profile_images/962471262747529216/Uo8lOkRJ_normal.jpg","View")</f>
        <v>View</v>
      </c>
      <c r="P322" s="7"/>
    </row>
    <row r="323" spans="1:16">
      <c r="A323" s="3">
        <v>43804.829942129625</v>
      </c>
      <c r="B323" s="4" t="str">
        <f>HYPERLINK("https://twitter.com/petrogustavo","@petrogustavo")</f>
        <v>@petrogustavo</v>
      </c>
      <c r="C323" s="5" t="s">
        <v>16</v>
      </c>
      <c r="D323" s="5" t="s">
        <v>349</v>
      </c>
      <c r="E323" s="6" t="str">
        <f>HYPERLINK("https://twitter.com/petrogustavo/status/1202594754099326976","1202594754099326976")</f>
        <v>1202594754099326976</v>
      </c>
      <c r="F323" s="7" t="s">
        <v>32</v>
      </c>
      <c r="G323" s="7">
        <v>3572685</v>
      </c>
      <c r="H323" s="7">
        <v>2333</v>
      </c>
      <c r="I323" s="7">
        <v>246</v>
      </c>
      <c r="J323" s="7">
        <v>0</v>
      </c>
      <c r="K323" s="7" t="s">
        <v>18</v>
      </c>
      <c r="L323" s="8">
        <v>39987.315405092595</v>
      </c>
      <c r="M323" s="9" t="s">
        <v>19</v>
      </c>
      <c r="N323" s="9" t="s">
        <v>20</v>
      </c>
      <c r="O323" s="6" t="str">
        <f>HYPERLINK("https://pbs.twimg.com/profile_images/962471262747529216/Uo8lOkRJ_normal.jpg","View")</f>
        <v>View</v>
      </c>
      <c r="P323" s="7"/>
    </row>
    <row r="324" spans="1:16">
      <c r="A324" s="3">
        <v>43804.83315972222</v>
      </c>
      <c r="B324" s="4" t="str">
        <f>HYPERLINK("https://twitter.com/petrogustavo","@petrogustavo")</f>
        <v>@petrogustavo</v>
      </c>
      <c r="C324" s="5" t="s">
        <v>16</v>
      </c>
      <c r="D324" s="5" t="s">
        <v>350</v>
      </c>
      <c r="E324" s="6" t="str">
        <f>HYPERLINK("https://twitter.com/petrogustavo/status/1202595919969095681","1202595919969095681")</f>
        <v>1202595919969095681</v>
      </c>
      <c r="F324" s="7" t="s">
        <v>32</v>
      </c>
      <c r="G324" s="7">
        <v>3572685</v>
      </c>
      <c r="H324" s="7">
        <v>2333</v>
      </c>
      <c r="I324" s="7">
        <v>295</v>
      </c>
      <c r="J324" s="7">
        <v>1145</v>
      </c>
      <c r="K324" s="7" t="s">
        <v>18</v>
      </c>
      <c r="L324" s="8">
        <v>39987.315405092595</v>
      </c>
      <c r="M324" s="9" t="s">
        <v>19</v>
      </c>
      <c r="N324" s="9" t="s">
        <v>20</v>
      </c>
      <c r="O324" s="6" t="str">
        <f>HYPERLINK("https://pbs.twimg.com/profile_images/962471262747529216/Uo8lOkRJ_normal.jpg","View")</f>
        <v>View</v>
      </c>
      <c r="P324" s="7"/>
    </row>
    <row r="325" spans="1:16">
      <c r="A325" s="3">
        <v>43804.834513888884</v>
      </c>
      <c r="B325" s="4" t="str">
        <f>HYPERLINK("https://twitter.com/petrogustavo","@petrogustavo")</f>
        <v>@petrogustavo</v>
      </c>
      <c r="C325" s="5" t="s">
        <v>16</v>
      </c>
      <c r="D325" s="5" t="s">
        <v>351</v>
      </c>
      <c r="E325" s="6" t="str">
        <f>HYPERLINK("https://twitter.com/petrogustavo/status/1202596412422266881","1202596412422266881")</f>
        <v>1202596412422266881</v>
      </c>
      <c r="F325" s="7" t="s">
        <v>32</v>
      </c>
      <c r="G325" s="7">
        <v>3572685</v>
      </c>
      <c r="H325" s="7">
        <v>2333</v>
      </c>
      <c r="I325" s="7">
        <v>35</v>
      </c>
      <c r="J325" s="7">
        <v>97</v>
      </c>
      <c r="K325" s="7" t="s">
        <v>18</v>
      </c>
      <c r="L325" s="8">
        <v>39987.315405092595</v>
      </c>
      <c r="M325" s="9" t="s">
        <v>19</v>
      </c>
      <c r="N325" s="9" t="s">
        <v>20</v>
      </c>
      <c r="O325" s="6" t="str">
        <f>HYPERLINK("https://pbs.twimg.com/profile_images/962471262747529216/Uo8lOkRJ_normal.jpg","View")</f>
        <v>View</v>
      </c>
      <c r="P325" s="7"/>
    </row>
    <row r="326" spans="1:16">
      <c r="A326" s="3">
        <v>43804.877407407403</v>
      </c>
      <c r="B326" s="4" t="str">
        <f>HYPERLINK("https://twitter.com/petrogustavo","@petrogustavo")</f>
        <v>@petrogustavo</v>
      </c>
      <c r="C326" s="5" t="s">
        <v>16</v>
      </c>
      <c r="D326" s="5" t="s">
        <v>352</v>
      </c>
      <c r="E326" s="6" t="str">
        <f>HYPERLINK("https://twitter.com/petrogustavo/status/1202611957980897280","1202611957980897280")</f>
        <v>1202611957980897280</v>
      </c>
      <c r="F326" s="7" t="s">
        <v>17</v>
      </c>
      <c r="G326" s="7">
        <v>3572765</v>
      </c>
      <c r="H326" s="7">
        <v>2333</v>
      </c>
      <c r="I326" s="7">
        <v>147</v>
      </c>
      <c r="J326" s="7">
        <v>0</v>
      </c>
      <c r="K326" s="7" t="s">
        <v>18</v>
      </c>
      <c r="L326" s="8">
        <v>39987.315405092595</v>
      </c>
      <c r="M326" s="9" t="s">
        <v>19</v>
      </c>
      <c r="N326" s="9" t="s">
        <v>20</v>
      </c>
      <c r="O326" s="6" t="str">
        <f>HYPERLINK("https://pbs.twimg.com/profile_images/962471262747529216/Uo8lOkRJ_normal.jpg","View")</f>
        <v>View</v>
      </c>
      <c r="P326" s="7"/>
    </row>
    <row r="327" spans="1:16">
      <c r="A327" s="3">
        <v>43806.850671296299</v>
      </c>
      <c r="B327" s="4" t="str">
        <f>HYPERLINK("https://twitter.com/petrogustavo","@petrogustavo")</f>
        <v>@petrogustavo</v>
      </c>
      <c r="C327" s="5" t="s">
        <v>16</v>
      </c>
      <c r="D327" s="5" t="s">
        <v>353</v>
      </c>
      <c r="E327" s="6" t="str">
        <f>HYPERLINK("https://twitter.com/petrogustavo/status/1203327043171233793","1203327043171233793")</f>
        <v>1203327043171233793</v>
      </c>
      <c r="F327" s="7" t="s">
        <v>32</v>
      </c>
      <c r="G327" s="7">
        <v>3574623</v>
      </c>
      <c r="H327" s="7">
        <v>2333</v>
      </c>
      <c r="I327" s="7">
        <v>942</v>
      </c>
      <c r="J327" s="7">
        <v>0</v>
      </c>
      <c r="K327" s="7" t="s">
        <v>18</v>
      </c>
      <c r="L327" s="8">
        <v>39987.315405092595</v>
      </c>
      <c r="M327" s="9" t="s">
        <v>19</v>
      </c>
      <c r="N327" s="9" t="s">
        <v>20</v>
      </c>
      <c r="O327" s="6" t="str">
        <f>HYPERLINK("https://pbs.twimg.com/profile_images/962471262747529216/Uo8lOkRJ_normal.jpg","View")</f>
        <v>View</v>
      </c>
      <c r="P327" s="7"/>
    </row>
    <row r="328" spans="1:16">
      <c r="A328" s="3">
        <v>43806.851423611108</v>
      </c>
      <c r="B328" s="4" t="str">
        <f>HYPERLINK("https://twitter.com/petrogustavo","@petrogustavo")</f>
        <v>@petrogustavo</v>
      </c>
      <c r="C328" s="5" t="s">
        <v>16</v>
      </c>
      <c r="D328" s="5" t="s">
        <v>354</v>
      </c>
      <c r="E328" s="6" t="str">
        <f>HYPERLINK("https://twitter.com/petrogustavo/status/1203327313934508032","1203327313934508032")</f>
        <v>1203327313934508032</v>
      </c>
      <c r="F328" s="7" t="s">
        <v>32</v>
      </c>
      <c r="G328" s="7">
        <v>3574623</v>
      </c>
      <c r="H328" s="7">
        <v>2333</v>
      </c>
      <c r="I328" s="7">
        <v>1517</v>
      </c>
      <c r="J328" s="7">
        <v>0</v>
      </c>
      <c r="K328" s="7" t="s">
        <v>18</v>
      </c>
      <c r="L328" s="8">
        <v>39987.315405092595</v>
      </c>
      <c r="M328" s="9" t="s">
        <v>19</v>
      </c>
      <c r="N328" s="9" t="s">
        <v>20</v>
      </c>
      <c r="O328" s="6" t="str">
        <f>HYPERLINK("https://pbs.twimg.com/profile_images/962471262747529216/Uo8lOkRJ_normal.jpg","View")</f>
        <v>View</v>
      </c>
      <c r="P328" s="7"/>
    </row>
    <row r="329" spans="1:16">
      <c r="A329" s="3">
        <v>43806.852025462962</v>
      </c>
      <c r="B329" s="4" t="str">
        <f>HYPERLINK("https://twitter.com/petrogustavo","@petrogustavo")</f>
        <v>@petrogustavo</v>
      </c>
      <c r="C329" s="5" t="s">
        <v>16</v>
      </c>
      <c r="D329" s="5" t="s">
        <v>355</v>
      </c>
      <c r="E329" s="6" t="str">
        <f>HYPERLINK("https://twitter.com/petrogustavo/status/1203327534055743492","1203327534055743492")</f>
        <v>1203327534055743492</v>
      </c>
      <c r="F329" s="7" t="s">
        <v>32</v>
      </c>
      <c r="G329" s="7">
        <v>3574623</v>
      </c>
      <c r="H329" s="7">
        <v>2333</v>
      </c>
      <c r="I329" s="7">
        <v>236</v>
      </c>
      <c r="J329" s="7">
        <v>1215</v>
      </c>
      <c r="K329" s="7" t="s">
        <v>18</v>
      </c>
      <c r="L329" s="8">
        <v>39987.315405092595</v>
      </c>
      <c r="M329" s="9" t="s">
        <v>19</v>
      </c>
      <c r="N329" s="9" t="s">
        <v>20</v>
      </c>
      <c r="O329" s="6" t="str">
        <f>HYPERLINK("https://pbs.twimg.com/profile_images/962471262747529216/Uo8lOkRJ_normal.jpg","View")</f>
        <v>View</v>
      </c>
      <c r="P329" s="7"/>
    </row>
    <row r="330" spans="1:16">
      <c r="A330" s="3">
        <v>43806.852754629625</v>
      </c>
      <c r="B330" s="4" t="str">
        <f>HYPERLINK("https://twitter.com/petrogustavo","@petrogustavo")</f>
        <v>@petrogustavo</v>
      </c>
      <c r="C330" s="5" t="s">
        <v>16</v>
      </c>
      <c r="D330" s="5" t="s">
        <v>356</v>
      </c>
      <c r="E330" s="6" t="str">
        <f>HYPERLINK("https://twitter.com/petrogustavo/status/1203327797692907520","1203327797692907520")</f>
        <v>1203327797692907520</v>
      </c>
      <c r="F330" s="7" t="s">
        <v>32</v>
      </c>
      <c r="G330" s="7">
        <v>3574623</v>
      </c>
      <c r="H330" s="7">
        <v>2333</v>
      </c>
      <c r="I330" s="7">
        <v>75</v>
      </c>
      <c r="J330" s="7">
        <v>0</v>
      </c>
      <c r="K330" s="7" t="s">
        <v>18</v>
      </c>
      <c r="L330" s="8">
        <v>39987.315405092595</v>
      </c>
      <c r="M330" s="9" t="s">
        <v>19</v>
      </c>
      <c r="N330" s="9" t="s">
        <v>20</v>
      </c>
      <c r="O330" s="6" t="str">
        <f>HYPERLINK("https://pbs.twimg.com/profile_images/962471262747529216/Uo8lOkRJ_normal.jpg","View")</f>
        <v>View</v>
      </c>
      <c r="P330" s="7"/>
    </row>
    <row r="331" spans="1:16">
      <c r="A331" s="3">
        <v>43806.853379629625</v>
      </c>
      <c r="B331" s="4" t="str">
        <f>HYPERLINK("https://twitter.com/petrogustavo","@petrogustavo")</f>
        <v>@petrogustavo</v>
      </c>
      <c r="C331" s="5" t="s">
        <v>16</v>
      </c>
      <c r="D331" s="5" t="s">
        <v>357</v>
      </c>
      <c r="E331" s="6" t="str">
        <f>HYPERLINK("https://twitter.com/petrogustavo/status/1203328025296801794","1203328025296801794")</f>
        <v>1203328025296801794</v>
      </c>
      <c r="F331" s="7" t="s">
        <v>32</v>
      </c>
      <c r="G331" s="7">
        <v>3574623</v>
      </c>
      <c r="H331" s="7">
        <v>2333</v>
      </c>
      <c r="I331" s="7">
        <v>566</v>
      </c>
      <c r="J331" s="7">
        <v>0</v>
      </c>
      <c r="K331" s="7" t="s">
        <v>18</v>
      </c>
      <c r="L331" s="8">
        <v>39987.315405092595</v>
      </c>
      <c r="M331" s="9" t="s">
        <v>19</v>
      </c>
      <c r="N331" s="9" t="s">
        <v>20</v>
      </c>
      <c r="O331" s="6" t="str">
        <f>HYPERLINK("https://pbs.twimg.com/profile_images/962471262747529216/Uo8lOkRJ_normal.jpg","View")</f>
        <v>View</v>
      </c>
      <c r="P331" s="7"/>
    </row>
    <row r="332" spans="1:16">
      <c r="A332" s="3">
        <v>43806.854432870372</v>
      </c>
      <c r="B332" s="4" t="str">
        <f>HYPERLINK("https://twitter.com/petrogustavo","@petrogustavo")</f>
        <v>@petrogustavo</v>
      </c>
      <c r="C332" s="5" t="s">
        <v>16</v>
      </c>
      <c r="D332" s="5" t="s">
        <v>358</v>
      </c>
      <c r="E332" s="6" t="str">
        <f>HYPERLINK("https://twitter.com/petrogustavo/status/1203328406970081281","1203328406970081281")</f>
        <v>1203328406970081281</v>
      </c>
      <c r="F332" s="7" t="s">
        <v>32</v>
      </c>
      <c r="G332" s="7">
        <v>3574623</v>
      </c>
      <c r="H332" s="7">
        <v>2333</v>
      </c>
      <c r="I332" s="7">
        <v>236</v>
      </c>
      <c r="J332" s="7">
        <v>0</v>
      </c>
      <c r="K332" s="7" t="s">
        <v>18</v>
      </c>
      <c r="L332" s="8">
        <v>39987.315405092595</v>
      </c>
      <c r="M332" s="9" t="s">
        <v>19</v>
      </c>
      <c r="N332" s="9" t="s">
        <v>20</v>
      </c>
      <c r="O332" s="6" t="str">
        <f>HYPERLINK("https://pbs.twimg.com/profile_images/962471262747529216/Uo8lOkRJ_normal.jpg","View")</f>
        <v>View</v>
      </c>
      <c r="P332" s="7"/>
    </row>
    <row r="333" spans="1:16">
      <c r="A333" s="3">
        <v>43807.155104166668</v>
      </c>
      <c r="B333" s="4" t="str">
        <f>HYPERLINK("https://twitter.com/petrogustavo","@petrogustavo")</f>
        <v>@petrogustavo</v>
      </c>
      <c r="C333" s="5" t="s">
        <v>16</v>
      </c>
      <c r="D333" s="5" t="s">
        <v>359</v>
      </c>
      <c r="E333" s="6" t="str">
        <f>HYPERLINK("https://twitter.com/petrogustavo/status/1203437364800045057","1203437364800045057")</f>
        <v>1203437364800045057</v>
      </c>
      <c r="F333" s="7" t="s">
        <v>17</v>
      </c>
      <c r="G333" s="7">
        <v>3574927</v>
      </c>
      <c r="H333" s="7">
        <v>2334</v>
      </c>
      <c r="I333" s="7">
        <v>37</v>
      </c>
      <c r="J333" s="7">
        <v>101</v>
      </c>
      <c r="K333" s="7" t="s">
        <v>18</v>
      </c>
      <c r="L333" s="8">
        <v>39987.315405092595</v>
      </c>
      <c r="M333" s="9" t="s">
        <v>19</v>
      </c>
      <c r="N333" s="9" t="s">
        <v>20</v>
      </c>
      <c r="O333" s="6" t="str">
        <f>HYPERLINK("https://pbs.twimg.com/profile_images/962471262747529216/Uo8lOkRJ_normal.jpg","View")</f>
        <v>View</v>
      </c>
      <c r="P333" s="7"/>
    </row>
    <row r="334" spans="1:16">
      <c r="A334" s="3">
        <v>43807.157847222217</v>
      </c>
      <c r="B334" s="4" t="str">
        <f>HYPERLINK("https://twitter.com/petrogustavo","@petrogustavo")</f>
        <v>@petrogustavo</v>
      </c>
      <c r="C334" s="5" t="s">
        <v>16</v>
      </c>
      <c r="D334" s="5" t="s">
        <v>360</v>
      </c>
      <c r="E334" s="6" t="str">
        <f>HYPERLINK("https://twitter.com/petrogustavo/status/1203438361387683841","1203438361387683841")</f>
        <v>1203438361387683841</v>
      </c>
      <c r="F334" s="7" t="s">
        <v>17</v>
      </c>
      <c r="G334" s="7">
        <v>3574927</v>
      </c>
      <c r="H334" s="7">
        <v>2334</v>
      </c>
      <c r="I334" s="7">
        <v>1638</v>
      </c>
      <c r="J334" s="7">
        <v>0</v>
      </c>
      <c r="K334" s="7" t="s">
        <v>18</v>
      </c>
      <c r="L334" s="8">
        <v>39987.315405092595</v>
      </c>
      <c r="M334" s="9" t="s">
        <v>19</v>
      </c>
      <c r="N334" s="9" t="s">
        <v>20</v>
      </c>
      <c r="O334" s="6" t="str">
        <f>HYPERLINK("https://pbs.twimg.com/profile_images/962471262747529216/Uo8lOkRJ_normal.jpg","View")</f>
        <v>View</v>
      </c>
      <c r="P334" s="7"/>
    </row>
    <row r="335" spans="1:16">
      <c r="A335" s="3">
        <v>43807.157962962963</v>
      </c>
      <c r="B335" s="4" t="str">
        <f>HYPERLINK("https://twitter.com/petrogustavo","@petrogustavo")</f>
        <v>@petrogustavo</v>
      </c>
      <c r="C335" s="5" t="s">
        <v>16</v>
      </c>
      <c r="D335" s="5" t="s">
        <v>361</v>
      </c>
      <c r="E335" s="6" t="str">
        <f>HYPERLINK("https://twitter.com/petrogustavo/status/1203438400562438144","1203438400562438144")</f>
        <v>1203438400562438144</v>
      </c>
      <c r="F335" s="7" t="s">
        <v>17</v>
      </c>
      <c r="G335" s="7">
        <v>3574927</v>
      </c>
      <c r="H335" s="7">
        <v>2334</v>
      </c>
      <c r="I335" s="7">
        <v>77</v>
      </c>
      <c r="J335" s="7">
        <v>0</v>
      </c>
      <c r="K335" s="7" t="s">
        <v>18</v>
      </c>
      <c r="L335" s="8">
        <v>39987.315405092595</v>
      </c>
      <c r="M335" s="9" t="s">
        <v>19</v>
      </c>
      <c r="N335" s="9" t="s">
        <v>20</v>
      </c>
      <c r="O335" s="6" t="str">
        <f>HYPERLINK("https://pbs.twimg.com/profile_images/962471262747529216/Uo8lOkRJ_normal.jpg","View")</f>
        <v>View</v>
      </c>
      <c r="P335" s="7"/>
    </row>
    <row r="336" spans="1:16">
      <c r="A336" s="3">
        <v>43807.158541666664</v>
      </c>
      <c r="B336" s="4" t="str">
        <f>HYPERLINK("https://twitter.com/petrogustavo","@petrogustavo")</f>
        <v>@petrogustavo</v>
      </c>
      <c r="C336" s="5" t="s">
        <v>16</v>
      </c>
      <c r="D336" s="5" t="s">
        <v>362</v>
      </c>
      <c r="E336" s="6" t="str">
        <f>HYPERLINK("https://twitter.com/petrogustavo/status/1203438611292659712","1203438611292659712")</f>
        <v>1203438611292659712</v>
      </c>
      <c r="F336" s="7" t="s">
        <v>17</v>
      </c>
      <c r="G336" s="7">
        <v>3574949</v>
      </c>
      <c r="H336" s="7">
        <v>2334</v>
      </c>
      <c r="I336" s="7">
        <v>1348</v>
      </c>
      <c r="J336" s="7">
        <v>0</v>
      </c>
      <c r="K336" s="7" t="s">
        <v>18</v>
      </c>
      <c r="L336" s="8">
        <v>39987.315405092595</v>
      </c>
      <c r="M336" s="9" t="s">
        <v>19</v>
      </c>
      <c r="N336" s="9" t="s">
        <v>20</v>
      </c>
      <c r="O336" s="6" t="str">
        <f>HYPERLINK("https://pbs.twimg.com/profile_images/962471262747529216/Uo8lOkRJ_normal.jpg","View")</f>
        <v>View</v>
      </c>
      <c r="P336" s="7"/>
    </row>
    <row r="337" spans="1:16">
      <c r="A337" s="3">
        <v>43807.158877314811</v>
      </c>
      <c r="B337" s="4" t="str">
        <f>HYPERLINK("https://twitter.com/petrogustavo","@petrogustavo")</f>
        <v>@petrogustavo</v>
      </c>
      <c r="C337" s="5" t="s">
        <v>16</v>
      </c>
      <c r="D337" s="5" t="s">
        <v>363</v>
      </c>
      <c r="E337" s="6" t="str">
        <f>HYPERLINK("https://twitter.com/petrogustavo/status/1203438735276347394","1203438735276347394")</f>
        <v>1203438735276347394</v>
      </c>
      <c r="F337" s="7" t="s">
        <v>17</v>
      </c>
      <c r="G337" s="7">
        <v>3574949</v>
      </c>
      <c r="H337" s="7">
        <v>2334</v>
      </c>
      <c r="I337" s="7">
        <v>1458</v>
      </c>
      <c r="J337" s="7">
        <v>0</v>
      </c>
      <c r="K337" s="7" t="s">
        <v>18</v>
      </c>
      <c r="L337" s="8">
        <v>39987.315405092595</v>
      </c>
      <c r="M337" s="9" t="s">
        <v>19</v>
      </c>
      <c r="N337" s="9" t="s">
        <v>20</v>
      </c>
      <c r="O337" s="6" t="str">
        <f>HYPERLINK("https://pbs.twimg.com/profile_images/962471262747529216/Uo8lOkRJ_normal.jpg","View")</f>
        <v>View</v>
      </c>
      <c r="P337" s="7"/>
    </row>
    <row r="338" spans="1:16">
      <c r="A338" s="3">
        <v>43807.161898148144</v>
      </c>
      <c r="B338" s="4" t="str">
        <f>HYPERLINK("https://twitter.com/petrogustavo","@petrogustavo")</f>
        <v>@petrogustavo</v>
      </c>
      <c r="C338" s="5" t="s">
        <v>16</v>
      </c>
      <c r="D338" s="5" t="s">
        <v>364</v>
      </c>
      <c r="E338" s="6" t="str">
        <f>HYPERLINK("https://twitter.com/petrogustavo/status/1203439826852298755","1203439826852298755")</f>
        <v>1203439826852298755</v>
      </c>
      <c r="F338" s="7" t="s">
        <v>17</v>
      </c>
      <c r="G338" s="7">
        <v>3574949</v>
      </c>
      <c r="H338" s="7">
        <v>2334</v>
      </c>
      <c r="I338" s="7">
        <v>382</v>
      </c>
      <c r="J338" s="7">
        <v>1046</v>
      </c>
      <c r="K338" s="7" t="s">
        <v>18</v>
      </c>
      <c r="L338" s="8">
        <v>39987.315405092595</v>
      </c>
      <c r="M338" s="9" t="s">
        <v>19</v>
      </c>
      <c r="N338" s="9" t="s">
        <v>20</v>
      </c>
      <c r="O338" s="6" t="str">
        <f>HYPERLINK("https://pbs.twimg.com/profile_images/962471262747529216/Uo8lOkRJ_normal.jpg","View")</f>
        <v>View</v>
      </c>
      <c r="P338" s="7"/>
    </row>
    <row r="339" spans="1:16">
      <c r="A339" s="3">
        <v>43807.172453703708</v>
      </c>
      <c r="B339" s="4" t="str">
        <f>HYPERLINK("https://twitter.com/petrogustavo","@petrogustavo")</f>
        <v>@petrogustavo</v>
      </c>
      <c r="C339" s="5" t="s">
        <v>16</v>
      </c>
      <c r="D339" s="5" t="s">
        <v>365</v>
      </c>
      <c r="E339" s="6" t="str">
        <f>HYPERLINK("https://twitter.com/petrogustavo/status/1203443652544073728","1203443652544073728")</f>
        <v>1203443652544073728</v>
      </c>
      <c r="F339" s="7" t="s">
        <v>17</v>
      </c>
      <c r="G339" s="7">
        <v>3574949</v>
      </c>
      <c r="H339" s="7">
        <v>2334</v>
      </c>
      <c r="I339" s="7">
        <v>69</v>
      </c>
      <c r="J339" s="7">
        <v>200</v>
      </c>
      <c r="K339" s="7" t="s">
        <v>18</v>
      </c>
      <c r="L339" s="8">
        <v>39987.315405092595</v>
      </c>
      <c r="M339" s="9" t="s">
        <v>19</v>
      </c>
      <c r="N339" s="9" t="s">
        <v>20</v>
      </c>
      <c r="O339" s="6" t="str">
        <f>HYPERLINK("https://pbs.twimg.com/profile_images/962471262747529216/Uo8lOkRJ_normal.jpg","View")</f>
        <v>View</v>
      </c>
      <c r="P339" s="7"/>
    </row>
    <row r="340" spans="1:16">
      <c r="A340" s="3">
        <v>43807.186597222222</v>
      </c>
      <c r="B340" s="4" t="str">
        <f>HYPERLINK("https://twitter.com/petrogustavo","@petrogustavo")</f>
        <v>@petrogustavo</v>
      </c>
      <c r="C340" s="5" t="s">
        <v>16</v>
      </c>
      <c r="D340" s="5" t="s">
        <v>366</v>
      </c>
      <c r="E340" s="6" t="str">
        <f>HYPERLINK("https://twitter.com/petrogustavo/status/1203448777102823426","1203448777102823426")</f>
        <v>1203448777102823426</v>
      </c>
      <c r="F340" s="7" t="s">
        <v>17</v>
      </c>
      <c r="G340" s="7">
        <v>3574967</v>
      </c>
      <c r="H340" s="7">
        <v>2334</v>
      </c>
      <c r="I340" s="7">
        <v>1065</v>
      </c>
      <c r="J340" s="7">
        <v>0</v>
      </c>
      <c r="K340" s="7" t="s">
        <v>18</v>
      </c>
      <c r="L340" s="8">
        <v>39987.315405092595</v>
      </c>
      <c r="M340" s="9" t="s">
        <v>19</v>
      </c>
      <c r="N340" s="9" t="s">
        <v>20</v>
      </c>
      <c r="O340" s="6" t="str">
        <f>HYPERLINK("https://pbs.twimg.com/profile_images/962471262747529216/Uo8lOkRJ_normal.jpg","View")</f>
        <v>View</v>
      </c>
      <c r="P340" s="7"/>
    </row>
    <row r="341" spans="1:16">
      <c r="A341" s="3">
        <v>43807.189317129625</v>
      </c>
      <c r="B341" s="4" t="str">
        <f>HYPERLINK("https://twitter.com/petrogustavo","@petrogustavo")</f>
        <v>@petrogustavo</v>
      </c>
      <c r="C341" s="5" t="s">
        <v>16</v>
      </c>
      <c r="D341" s="5" t="s">
        <v>367</v>
      </c>
      <c r="E341" s="6" t="str">
        <f>HYPERLINK("https://twitter.com/petrogustavo/status/1203449766119649280","1203449766119649280")</f>
        <v>1203449766119649280</v>
      </c>
      <c r="F341" s="7" t="s">
        <v>17</v>
      </c>
      <c r="G341" s="7">
        <v>3574967</v>
      </c>
      <c r="H341" s="7">
        <v>2334</v>
      </c>
      <c r="I341" s="7">
        <v>46</v>
      </c>
      <c r="J341" s="7">
        <v>109</v>
      </c>
      <c r="K341" s="7" t="s">
        <v>18</v>
      </c>
      <c r="L341" s="8">
        <v>39987.315405092595</v>
      </c>
      <c r="M341" s="9" t="s">
        <v>19</v>
      </c>
      <c r="N341" s="9" t="s">
        <v>20</v>
      </c>
      <c r="O341" s="6" t="str">
        <f>HYPERLINK("https://pbs.twimg.com/profile_images/962471262747529216/Uo8lOkRJ_normal.jpg","View")</f>
        <v>View</v>
      </c>
      <c r="P341" s="7"/>
    </row>
    <row r="342" spans="1:16">
      <c r="A342" s="3">
        <v>43807.189571759256</v>
      </c>
      <c r="B342" s="4" t="str">
        <f>HYPERLINK("https://twitter.com/petrogustavo","@petrogustavo")</f>
        <v>@petrogustavo</v>
      </c>
      <c r="C342" s="5" t="s">
        <v>16</v>
      </c>
      <c r="D342" s="5" t="s">
        <v>368</v>
      </c>
      <c r="E342" s="6" t="str">
        <f>HYPERLINK("https://twitter.com/petrogustavo/status/1203449857819762689","1203449857819762689")</f>
        <v>1203449857819762689</v>
      </c>
      <c r="F342" s="7" t="s">
        <v>17</v>
      </c>
      <c r="G342" s="7">
        <v>3574967</v>
      </c>
      <c r="H342" s="7">
        <v>2334</v>
      </c>
      <c r="I342" s="7">
        <v>135</v>
      </c>
      <c r="J342" s="7">
        <v>0</v>
      </c>
      <c r="K342" s="7" t="s">
        <v>18</v>
      </c>
      <c r="L342" s="8">
        <v>39987.315405092595</v>
      </c>
      <c r="M342" s="9" t="s">
        <v>19</v>
      </c>
      <c r="N342" s="9" t="s">
        <v>20</v>
      </c>
      <c r="O342" s="6" t="str">
        <f>HYPERLINK("https://pbs.twimg.com/profile_images/962471262747529216/Uo8lOkRJ_normal.jpg","View")</f>
        <v>View</v>
      </c>
      <c r="P342" s="7"/>
    </row>
    <row r="343" spans="1:16">
      <c r="A343" s="3">
        <v>43807.235601851848</v>
      </c>
      <c r="B343" s="4" t="str">
        <f>HYPERLINK("https://twitter.com/petrogustavo","@petrogustavo")</f>
        <v>@petrogustavo</v>
      </c>
      <c r="C343" s="5" t="s">
        <v>16</v>
      </c>
      <c r="D343" s="5" t="s">
        <v>369</v>
      </c>
      <c r="E343" s="6" t="str">
        <f>HYPERLINK("https://twitter.com/petrogustavo/status/1203466537195036672","1203466537195036672")</f>
        <v>1203466537195036672</v>
      </c>
      <c r="F343" s="7" t="s">
        <v>17</v>
      </c>
      <c r="G343" s="7">
        <v>3575016</v>
      </c>
      <c r="H343" s="7">
        <v>2333</v>
      </c>
      <c r="I343" s="7">
        <v>1476</v>
      </c>
      <c r="J343" s="7">
        <v>0</v>
      </c>
      <c r="K343" s="7" t="s">
        <v>18</v>
      </c>
      <c r="L343" s="8">
        <v>39987.315405092595</v>
      </c>
      <c r="M343" s="9" t="s">
        <v>19</v>
      </c>
      <c r="N343" s="9" t="s">
        <v>20</v>
      </c>
      <c r="O343" s="6" t="str">
        <f>HYPERLINK("https://pbs.twimg.com/profile_images/962471262747529216/Uo8lOkRJ_normal.jpg","View")</f>
        <v>View</v>
      </c>
      <c r="P343" s="7"/>
    </row>
    <row r="344" spans="1:16">
      <c r="A344" s="3">
        <v>43807.235844907409</v>
      </c>
      <c r="B344" s="4" t="str">
        <f>HYPERLINK("https://twitter.com/petrogustavo","@petrogustavo")</f>
        <v>@petrogustavo</v>
      </c>
      <c r="C344" s="5" t="s">
        <v>16</v>
      </c>
      <c r="D344" s="5" t="s">
        <v>370</v>
      </c>
      <c r="E344" s="6" t="str">
        <f>HYPERLINK("https://twitter.com/petrogustavo/status/1203466625149743105","1203466625149743105")</f>
        <v>1203466625149743105</v>
      </c>
      <c r="F344" s="7" t="s">
        <v>17</v>
      </c>
      <c r="G344" s="7">
        <v>3575016</v>
      </c>
      <c r="H344" s="7">
        <v>2333</v>
      </c>
      <c r="I344" s="7">
        <v>18</v>
      </c>
      <c r="J344" s="7">
        <v>0</v>
      </c>
      <c r="K344" s="7" t="s">
        <v>18</v>
      </c>
      <c r="L344" s="8">
        <v>39987.315405092595</v>
      </c>
      <c r="M344" s="9" t="s">
        <v>19</v>
      </c>
      <c r="N344" s="9" t="s">
        <v>20</v>
      </c>
      <c r="O344" s="6" t="str">
        <f>HYPERLINK("https://pbs.twimg.com/profile_images/962471262747529216/Uo8lOkRJ_normal.jpg","View")</f>
        <v>View</v>
      </c>
      <c r="P344" s="7"/>
    </row>
    <row r="345" spans="1:16">
      <c r="A345" s="3">
        <v>43807.236400462964</v>
      </c>
      <c r="B345" s="4" t="str">
        <f>HYPERLINK("https://twitter.com/petrogustavo","@petrogustavo")</f>
        <v>@petrogustavo</v>
      </c>
      <c r="C345" s="5" t="s">
        <v>16</v>
      </c>
      <c r="D345" s="5" t="s">
        <v>371</v>
      </c>
      <c r="E345" s="6" t="str">
        <f>HYPERLINK("https://twitter.com/petrogustavo/status/1203466825406828545","1203466825406828545")</f>
        <v>1203466825406828545</v>
      </c>
      <c r="F345" s="7" t="s">
        <v>17</v>
      </c>
      <c r="G345" s="7">
        <v>3575016</v>
      </c>
      <c r="H345" s="7">
        <v>2333</v>
      </c>
      <c r="I345" s="7">
        <v>89</v>
      </c>
      <c r="J345" s="7">
        <v>0</v>
      </c>
      <c r="K345" s="7" t="s">
        <v>18</v>
      </c>
      <c r="L345" s="8">
        <v>39987.315405092595</v>
      </c>
      <c r="M345" s="9" t="s">
        <v>19</v>
      </c>
      <c r="N345" s="9" t="s">
        <v>20</v>
      </c>
      <c r="O345" s="6" t="str">
        <f>HYPERLINK("https://pbs.twimg.com/profile_images/962471262747529216/Uo8lOkRJ_normal.jpg","View")</f>
        <v>View</v>
      </c>
      <c r="P345" s="7"/>
    </row>
    <row r="346" spans="1:16">
      <c r="A346" s="3">
        <v>43807.238969907412</v>
      </c>
      <c r="B346" s="4" t="str">
        <f>HYPERLINK("https://twitter.com/petrogustavo","@petrogustavo")</f>
        <v>@petrogustavo</v>
      </c>
      <c r="C346" s="5" t="s">
        <v>16</v>
      </c>
      <c r="D346" s="5" t="s">
        <v>372</v>
      </c>
      <c r="E346" s="6" t="str">
        <f>HYPERLINK("https://twitter.com/petrogustavo/status/1203467759180558336","1203467759180558336")</f>
        <v>1203467759180558336</v>
      </c>
      <c r="F346" s="7" t="s">
        <v>17</v>
      </c>
      <c r="G346" s="7">
        <v>3575016</v>
      </c>
      <c r="H346" s="7">
        <v>2333</v>
      </c>
      <c r="I346" s="7">
        <v>77</v>
      </c>
      <c r="J346" s="7">
        <v>80</v>
      </c>
      <c r="K346" s="7" t="s">
        <v>18</v>
      </c>
      <c r="L346" s="8">
        <v>39987.315405092595</v>
      </c>
      <c r="M346" s="9" t="s">
        <v>19</v>
      </c>
      <c r="N346" s="9" t="s">
        <v>20</v>
      </c>
      <c r="O346" s="6" t="str">
        <f>HYPERLINK("https://pbs.twimg.com/profile_images/962471262747529216/Uo8lOkRJ_normal.jpg","View")</f>
        <v>View</v>
      </c>
      <c r="P346" s="7"/>
    </row>
    <row r="347" spans="1:16">
      <c r="A347" s="3">
        <v>43807.240949074076</v>
      </c>
      <c r="B347" s="4" t="str">
        <f>HYPERLINK("https://twitter.com/petrogustavo","@petrogustavo")</f>
        <v>@petrogustavo</v>
      </c>
      <c r="C347" s="5" t="s">
        <v>16</v>
      </c>
      <c r="D347" s="5" t="s">
        <v>373</v>
      </c>
      <c r="E347" s="6" t="str">
        <f>HYPERLINK("https://twitter.com/petrogustavo/status/1203468475160768514","1203468475160768514")</f>
        <v>1203468475160768514</v>
      </c>
      <c r="F347" s="7" t="s">
        <v>17</v>
      </c>
      <c r="G347" s="7">
        <v>3575016</v>
      </c>
      <c r="H347" s="7">
        <v>2333</v>
      </c>
      <c r="I347" s="7">
        <v>11</v>
      </c>
      <c r="J347" s="7">
        <v>43</v>
      </c>
      <c r="K347" s="7" t="s">
        <v>18</v>
      </c>
      <c r="L347" s="8">
        <v>39987.315405092595</v>
      </c>
      <c r="M347" s="9" t="s">
        <v>19</v>
      </c>
      <c r="N347" s="9" t="s">
        <v>20</v>
      </c>
      <c r="O347" s="6" t="str">
        <f>HYPERLINK("https://pbs.twimg.com/profile_images/962471262747529216/Uo8lOkRJ_normal.jpg","View")</f>
        <v>View</v>
      </c>
      <c r="P347" s="7"/>
    </row>
    <row r="348" spans="1:16">
      <c r="A348" s="3">
        <v>43807.305254629631</v>
      </c>
      <c r="B348" s="4" t="str">
        <f>HYPERLINK("https://twitter.com/petrogustavo","@petrogustavo")</f>
        <v>@petrogustavo</v>
      </c>
      <c r="C348" s="5" t="s">
        <v>16</v>
      </c>
      <c r="D348" s="5" t="s">
        <v>374</v>
      </c>
      <c r="E348" s="6" t="str">
        <f>HYPERLINK("https://twitter.com/petrogustavo/status/1203491778051137536","1203491778051137536")</f>
        <v>1203491778051137536</v>
      </c>
      <c r="F348" s="7" t="s">
        <v>17</v>
      </c>
      <c r="G348" s="7">
        <v>3575073</v>
      </c>
      <c r="H348" s="7">
        <v>2333</v>
      </c>
      <c r="I348" s="7">
        <v>180</v>
      </c>
      <c r="J348" s="7">
        <v>0</v>
      </c>
      <c r="K348" s="7" t="s">
        <v>18</v>
      </c>
      <c r="L348" s="8">
        <v>39987.315405092595</v>
      </c>
      <c r="M348" s="9" t="s">
        <v>19</v>
      </c>
      <c r="N348" s="9" t="s">
        <v>20</v>
      </c>
      <c r="O348" s="6" t="str">
        <f>HYPERLINK("https://pbs.twimg.com/profile_images/962471262747529216/Uo8lOkRJ_normal.jpg","View")</f>
        <v>View</v>
      </c>
      <c r="P348" s="7"/>
    </row>
    <row r="349" spans="1:16">
      <c r="A349" s="3">
        <v>43807.305451388893</v>
      </c>
      <c r="B349" s="4" t="str">
        <f>HYPERLINK("https://twitter.com/petrogustavo","@petrogustavo")</f>
        <v>@petrogustavo</v>
      </c>
      <c r="C349" s="5" t="s">
        <v>16</v>
      </c>
      <c r="D349" s="5" t="s">
        <v>375</v>
      </c>
      <c r="E349" s="6" t="str">
        <f>HYPERLINK("https://twitter.com/petrogustavo/status/1203491849190739968","1203491849190739968")</f>
        <v>1203491849190739968</v>
      </c>
      <c r="F349" s="7" t="s">
        <v>17</v>
      </c>
      <c r="G349" s="7">
        <v>3575073</v>
      </c>
      <c r="H349" s="7">
        <v>2333</v>
      </c>
      <c r="I349" s="7">
        <v>180</v>
      </c>
      <c r="J349" s="7">
        <v>0</v>
      </c>
      <c r="K349" s="7" t="s">
        <v>18</v>
      </c>
      <c r="L349" s="8">
        <v>39987.315405092595</v>
      </c>
      <c r="M349" s="9" t="s">
        <v>19</v>
      </c>
      <c r="N349" s="9" t="s">
        <v>20</v>
      </c>
      <c r="O349" s="6" t="str">
        <f>HYPERLINK("https://pbs.twimg.com/profile_images/962471262747529216/Uo8lOkRJ_normal.jpg","View")</f>
        <v>View</v>
      </c>
      <c r="P349" s="7"/>
    </row>
    <row r="350" spans="1:16">
      <c r="A350" s="3">
        <v>43807.307997685188</v>
      </c>
      <c r="B350" s="4" t="str">
        <f>HYPERLINK("https://twitter.com/petrogustavo","@petrogustavo")</f>
        <v>@petrogustavo</v>
      </c>
      <c r="C350" s="5" t="s">
        <v>16</v>
      </c>
      <c r="D350" s="5" t="s">
        <v>376</v>
      </c>
      <c r="E350" s="6" t="str">
        <f>HYPERLINK("https://twitter.com/petrogustavo/status/1203492773179142144","1203492773179142144")</f>
        <v>1203492773179142144</v>
      </c>
      <c r="F350" s="7" t="s">
        <v>17</v>
      </c>
      <c r="G350" s="7">
        <v>3575073</v>
      </c>
      <c r="H350" s="7">
        <v>2333</v>
      </c>
      <c r="I350" s="7">
        <v>65</v>
      </c>
      <c r="J350" s="7">
        <v>194</v>
      </c>
      <c r="K350" s="7" t="s">
        <v>18</v>
      </c>
      <c r="L350" s="8">
        <v>39987.315405092595</v>
      </c>
      <c r="M350" s="9" t="s">
        <v>19</v>
      </c>
      <c r="N350" s="9" t="s">
        <v>20</v>
      </c>
      <c r="O350" s="6" t="str">
        <f>HYPERLINK("https://pbs.twimg.com/profile_images/962471262747529216/Uo8lOkRJ_normal.jpg","View")</f>
        <v>View</v>
      </c>
      <c r="P350" s="7"/>
    </row>
    <row r="351" spans="1:16">
      <c r="A351" s="3">
        <v>43807.309386574074</v>
      </c>
      <c r="B351" s="4" t="str">
        <f>HYPERLINK("https://twitter.com/petrogustavo","@petrogustavo")</f>
        <v>@petrogustavo</v>
      </c>
      <c r="C351" s="5" t="s">
        <v>16</v>
      </c>
      <c r="D351" s="5" t="s">
        <v>377</v>
      </c>
      <c r="E351" s="6" t="str">
        <f>HYPERLINK("https://twitter.com/petrogustavo/status/1203493278005497858","1203493278005497858")</f>
        <v>1203493278005497858</v>
      </c>
      <c r="F351" s="7" t="s">
        <v>17</v>
      </c>
      <c r="G351" s="7">
        <v>3575073</v>
      </c>
      <c r="H351" s="7">
        <v>2333</v>
      </c>
      <c r="I351" s="7">
        <v>1090</v>
      </c>
      <c r="J351" s="7">
        <v>0</v>
      </c>
      <c r="K351" s="7" t="s">
        <v>18</v>
      </c>
      <c r="L351" s="8">
        <v>39987.315405092595</v>
      </c>
      <c r="M351" s="9" t="s">
        <v>19</v>
      </c>
      <c r="N351" s="9" t="s">
        <v>20</v>
      </c>
      <c r="O351" s="6" t="str">
        <f>HYPERLINK("https://pbs.twimg.com/profile_images/962471262747529216/Uo8lOkRJ_normal.jpg","View")</f>
        <v>View</v>
      </c>
      <c r="P351" s="7"/>
    </row>
    <row r="352" spans="1:16">
      <c r="A352" s="3">
        <v>43807.309849537036</v>
      </c>
      <c r="B352" s="4" t="str">
        <f>HYPERLINK("https://twitter.com/petrogustavo","@petrogustavo")</f>
        <v>@petrogustavo</v>
      </c>
      <c r="C352" s="5" t="s">
        <v>16</v>
      </c>
      <c r="D352" s="5" t="s">
        <v>378</v>
      </c>
      <c r="E352" s="6" t="str">
        <f>HYPERLINK("https://twitter.com/petrogustavo/status/1203493444968206341","1203493444968206341")</f>
        <v>1203493444968206341</v>
      </c>
      <c r="F352" s="7" t="s">
        <v>17</v>
      </c>
      <c r="G352" s="7">
        <v>3575073</v>
      </c>
      <c r="H352" s="7">
        <v>2333</v>
      </c>
      <c r="I352" s="7">
        <v>141</v>
      </c>
      <c r="J352" s="7">
        <v>0</v>
      </c>
      <c r="K352" s="7" t="s">
        <v>18</v>
      </c>
      <c r="L352" s="8">
        <v>39987.315405092595</v>
      </c>
      <c r="M352" s="9" t="s">
        <v>19</v>
      </c>
      <c r="N352" s="9" t="s">
        <v>20</v>
      </c>
      <c r="O352" s="6" t="str">
        <f>HYPERLINK("https://pbs.twimg.com/profile_images/962471262747529216/Uo8lOkRJ_normal.jpg","View")</f>
        <v>View</v>
      </c>
      <c r="P352" s="7"/>
    </row>
    <row r="353" spans="1:16">
      <c r="A353" s="3">
        <v>43807.313125000001</v>
      </c>
      <c r="B353" s="4" t="str">
        <f>HYPERLINK("https://twitter.com/petrogustavo","@petrogustavo")</f>
        <v>@petrogustavo</v>
      </c>
      <c r="C353" s="5" t="s">
        <v>16</v>
      </c>
      <c r="D353" s="5" t="s">
        <v>379</v>
      </c>
      <c r="E353" s="6" t="str">
        <f>HYPERLINK("https://twitter.com/petrogustavo/status/1203494632199458816","1203494632199458816")</f>
        <v>1203494632199458816</v>
      </c>
      <c r="F353" s="7" t="s">
        <v>17</v>
      </c>
      <c r="G353" s="7">
        <v>3575073</v>
      </c>
      <c r="H353" s="7">
        <v>2333</v>
      </c>
      <c r="I353" s="7">
        <v>138</v>
      </c>
      <c r="J353" s="7">
        <v>214</v>
      </c>
      <c r="K353" s="7" t="s">
        <v>18</v>
      </c>
      <c r="L353" s="8">
        <v>39987.315405092595</v>
      </c>
      <c r="M353" s="9" t="s">
        <v>19</v>
      </c>
      <c r="N353" s="9" t="s">
        <v>20</v>
      </c>
      <c r="O353" s="6" t="str">
        <f>HYPERLINK("https://pbs.twimg.com/profile_images/962471262747529216/Uo8lOkRJ_normal.jpg","View")</f>
        <v>View</v>
      </c>
      <c r="P353" s="7"/>
    </row>
    <row r="354" spans="1:16">
      <c r="A354" s="3">
        <v>43807.313287037032</v>
      </c>
      <c r="B354" s="4" t="str">
        <f>HYPERLINK("https://twitter.com/petrogustavo","@petrogustavo")</f>
        <v>@petrogustavo</v>
      </c>
      <c r="C354" s="5" t="s">
        <v>16</v>
      </c>
      <c r="D354" s="5" t="s">
        <v>380</v>
      </c>
      <c r="E354" s="6" t="str">
        <f>HYPERLINK("https://twitter.com/petrogustavo/status/1203494688533204992","1203494688533204992")</f>
        <v>1203494688533204992</v>
      </c>
      <c r="F354" s="7" t="s">
        <v>17</v>
      </c>
      <c r="G354" s="7">
        <v>3575073</v>
      </c>
      <c r="H354" s="7">
        <v>2333</v>
      </c>
      <c r="I354" s="7">
        <v>35</v>
      </c>
      <c r="J354" s="7">
        <v>0</v>
      </c>
      <c r="K354" s="7" t="s">
        <v>18</v>
      </c>
      <c r="L354" s="8">
        <v>39987.315405092595</v>
      </c>
      <c r="M354" s="9" t="s">
        <v>19</v>
      </c>
      <c r="N354" s="9" t="s">
        <v>20</v>
      </c>
      <c r="O354" s="6" t="str">
        <f>HYPERLINK("https://pbs.twimg.com/profile_images/962471262747529216/Uo8lOkRJ_normal.jpg","View")</f>
        <v>View</v>
      </c>
      <c r="P354" s="7"/>
    </row>
    <row r="355" spans="1:16">
      <c r="A355" s="3">
        <v>43807.31459490741</v>
      </c>
      <c r="B355" s="4" t="str">
        <f>HYPERLINK("https://twitter.com/petrogustavo","@petrogustavo")</f>
        <v>@petrogustavo</v>
      </c>
      <c r="C355" s="5" t="s">
        <v>16</v>
      </c>
      <c r="D355" s="5" t="s">
        <v>381</v>
      </c>
      <c r="E355" s="6" t="str">
        <f>HYPERLINK("https://twitter.com/petrogustavo/status/1203495164431482881","1203495164431482881")</f>
        <v>1203495164431482881</v>
      </c>
      <c r="F355" s="7" t="s">
        <v>17</v>
      </c>
      <c r="G355" s="7">
        <v>3575073</v>
      </c>
      <c r="H355" s="7">
        <v>2333</v>
      </c>
      <c r="I355" s="7">
        <v>106</v>
      </c>
      <c r="J355" s="7">
        <v>192</v>
      </c>
      <c r="K355" s="7" t="s">
        <v>18</v>
      </c>
      <c r="L355" s="8">
        <v>39987.315405092595</v>
      </c>
      <c r="M355" s="9" t="s">
        <v>19</v>
      </c>
      <c r="N355" s="9" t="s">
        <v>20</v>
      </c>
      <c r="O355" s="6" t="str">
        <f>HYPERLINK("https://pbs.twimg.com/profile_images/962471262747529216/Uo8lOkRJ_normal.jpg","View")</f>
        <v>View</v>
      </c>
      <c r="P355" s="7"/>
    </row>
    <row r="356" spans="1:16">
      <c r="A356" s="3">
        <v>43807.344421296293</v>
      </c>
      <c r="B356" s="4" t="str">
        <f>HYPERLINK("https://twitter.com/petrogustavo","@petrogustavo")</f>
        <v>@petrogustavo</v>
      </c>
      <c r="C356" s="5" t="s">
        <v>16</v>
      </c>
      <c r="D356" s="5" t="s">
        <v>382</v>
      </c>
      <c r="E356" s="6" t="str">
        <f>HYPERLINK("https://twitter.com/petrogustavo/status/1203505973429784578","1203505973429784578")</f>
        <v>1203505973429784578</v>
      </c>
      <c r="F356" s="7" t="s">
        <v>17</v>
      </c>
      <c r="G356" s="7">
        <v>3575085</v>
      </c>
      <c r="H356" s="7">
        <v>2333</v>
      </c>
      <c r="I356" s="7">
        <v>868</v>
      </c>
      <c r="J356" s="7">
        <v>0</v>
      </c>
      <c r="K356" s="7" t="s">
        <v>18</v>
      </c>
      <c r="L356" s="8">
        <v>39987.315405092595</v>
      </c>
      <c r="M356" s="9" t="s">
        <v>19</v>
      </c>
      <c r="N356" s="9" t="s">
        <v>20</v>
      </c>
      <c r="O356" s="6" t="str">
        <f>HYPERLINK("https://pbs.twimg.com/profile_images/962471262747529216/Uo8lOkRJ_normal.jpg","View")</f>
        <v>View</v>
      </c>
      <c r="P356" s="7"/>
    </row>
    <row r="357" spans="1:16">
      <c r="A357" s="3">
        <v>43807.344837962963</v>
      </c>
      <c r="B357" s="4" t="str">
        <f>HYPERLINK("https://twitter.com/petrogustavo","@petrogustavo")</f>
        <v>@petrogustavo</v>
      </c>
      <c r="C357" s="5" t="s">
        <v>16</v>
      </c>
      <c r="D357" s="5" t="s">
        <v>383</v>
      </c>
      <c r="E357" s="6" t="str">
        <f>HYPERLINK("https://twitter.com/petrogustavo/status/1203506123317362688","1203506123317362688")</f>
        <v>1203506123317362688</v>
      </c>
      <c r="F357" s="7" t="s">
        <v>17</v>
      </c>
      <c r="G357" s="7">
        <v>3575085</v>
      </c>
      <c r="H357" s="7">
        <v>2333</v>
      </c>
      <c r="I357" s="7">
        <v>57</v>
      </c>
      <c r="J357" s="7">
        <v>0</v>
      </c>
      <c r="K357" s="7" t="s">
        <v>18</v>
      </c>
      <c r="L357" s="8">
        <v>39987.315405092595</v>
      </c>
      <c r="M357" s="9" t="s">
        <v>19</v>
      </c>
      <c r="N357" s="9" t="s">
        <v>20</v>
      </c>
      <c r="O357" s="6" t="str">
        <f>HYPERLINK("https://pbs.twimg.com/profile_images/962471262747529216/Uo8lOkRJ_normal.jpg","View")</f>
        <v>View</v>
      </c>
      <c r="P357" s="7"/>
    </row>
    <row r="358" spans="1:16">
      <c r="A358" s="3">
        <v>43807.350983796292</v>
      </c>
      <c r="B358" s="4" t="str">
        <f>HYPERLINK("https://twitter.com/petrogustavo","@petrogustavo")</f>
        <v>@petrogustavo</v>
      </c>
      <c r="C358" s="5" t="s">
        <v>16</v>
      </c>
      <c r="D358" s="5" t="s">
        <v>384</v>
      </c>
      <c r="E358" s="6" t="str">
        <f>HYPERLINK("https://twitter.com/petrogustavo/status/1203508348672450560","1203508348672450560")</f>
        <v>1203508348672450560</v>
      </c>
      <c r="F358" s="7" t="s">
        <v>17</v>
      </c>
      <c r="G358" s="7">
        <v>3575098</v>
      </c>
      <c r="H358" s="7">
        <v>2333</v>
      </c>
      <c r="I358" s="7">
        <v>6073</v>
      </c>
      <c r="J358" s="7">
        <v>0</v>
      </c>
      <c r="K358" s="7" t="s">
        <v>18</v>
      </c>
      <c r="L358" s="8">
        <v>39987.315405092595</v>
      </c>
      <c r="M358" s="9" t="s">
        <v>19</v>
      </c>
      <c r="N358" s="9" t="s">
        <v>20</v>
      </c>
      <c r="O358" s="6" t="str">
        <f>HYPERLINK("https://pbs.twimg.com/profile_images/962471262747529216/Uo8lOkRJ_normal.jpg","View")</f>
        <v>View</v>
      </c>
      <c r="P358" s="7"/>
    </row>
    <row r="359" spans="1:16">
      <c r="A359" s="3">
        <v>43807.391192129631</v>
      </c>
      <c r="B359" s="4" t="str">
        <f>HYPERLINK("https://twitter.com/petrogustavo","@petrogustavo")</f>
        <v>@petrogustavo</v>
      </c>
      <c r="C359" s="5" t="s">
        <v>16</v>
      </c>
      <c r="D359" s="5" t="s">
        <v>385</v>
      </c>
      <c r="E359" s="6" t="str">
        <f>HYPERLINK("https://twitter.com/petrogustavo/status/1203522923413327872","1203522923413327872")</f>
        <v>1203522923413327872</v>
      </c>
      <c r="F359" s="7" t="s">
        <v>17</v>
      </c>
      <c r="G359" s="7">
        <v>3575103</v>
      </c>
      <c r="H359" s="7">
        <v>2333</v>
      </c>
      <c r="I359" s="7">
        <v>41</v>
      </c>
      <c r="J359" s="7">
        <v>0</v>
      </c>
      <c r="K359" s="7" t="s">
        <v>18</v>
      </c>
      <c r="L359" s="8">
        <v>39987.315405092595</v>
      </c>
      <c r="M359" s="9" t="s">
        <v>19</v>
      </c>
      <c r="N359" s="9" t="s">
        <v>20</v>
      </c>
      <c r="O359" s="6" t="str">
        <f>HYPERLINK("https://pbs.twimg.com/profile_images/962471262747529216/Uo8lOkRJ_normal.jpg","View")</f>
        <v>View</v>
      </c>
      <c r="P359" s="7"/>
    </row>
    <row r="360" spans="1:16">
      <c r="A360" s="3">
        <v>43807.392222222217</v>
      </c>
      <c r="B360" s="4" t="str">
        <f>HYPERLINK("https://twitter.com/petrogustavo","@petrogustavo")</f>
        <v>@petrogustavo</v>
      </c>
      <c r="C360" s="5" t="s">
        <v>16</v>
      </c>
      <c r="D360" s="5" t="s">
        <v>386</v>
      </c>
      <c r="E360" s="6" t="str">
        <f>HYPERLINK("https://twitter.com/petrogustavo/status/1203523294806319104","1203523294806319104")</f>
        <v>1203523294806319104</v>
      </c>
      <c r="F360" s="7" t="s">
        <v>17</v>
      </c>
      <c r="G360" s="7">
        <v>3575103</v>
      </c>
      <c r="H360" s="7">
        <v>2333</v>
      </c>
      <c r="I360" s="7">
        <v>370</v>
      </c>
      <c r="J360" s="7">
        <v>0</v>
      </c>
      <c r="K360" s="7" t="s">
        <v>18</v>
      </c>
      <c r="L360" s="8">
        <v>39987.315405092595</v>
      </c>
      <c r="M360" s="9" t="s">
        <v>19</v>
      </c>
      <c r="N360" s="9" t="s">
        <v>20</v>
      </c>
      <c r="O360" s="6" t="str">
        <f>HYPERLINK("https://pbs.twimg.com/profile_images/962471262747529216/Uo8lOkRJ_normal.jpg","View")</f>
        <v>View</v>
      </c>
      <c r="P360" s="7"/>
    </row>
    <row r="361" spans="1:16">
      <c r="A361" s="3">
        <v>43807.392685185187</v>
      </c>
      <c r="B361" s="4" t="str">
        <f>HYPERLINK("https://twitter.com/petrogustavo","@petrogustavo")</f>
        <v>@petrogustavo</v>
      </c>
      <c r="C361" s="5" t="s">
        <v>16</v>
      </c>
      <c r="D361" s="5" t="s">
        <v>387</v>
      </c>
      <c r="E361" s="6" t="str">
        <f>HYPERLINK("https://twitter.com/petrogustavo/status/1203523461311848448","1203523461311848448")</f>
        <v>1203523461311848448</v>
      </c>
      <c r="F361" s="7" t="s">
        <v>17</v>
      </c>
      <c r="G361" s="7">
        <v>3575103</v>
      </c>
      <c r="H361" s="7">
        <v>2333</v>
      </c>
      <c r="I361" s="7">
        <v>375</v>
      </c>
      <c r="J361" s="7">
        <v>0</v>
      </c>
      <c r="K361" s="7" t="s">
        <v>18</v>
      </c>
      <c r="L361" s="8">
        <v>39987.315405092595</v>
      </c>
      <c r="M361" s="9" t="s">
        <v>19</v>
      </c>
      <c r="N361" s="9" t="s">
        <v>20</v>
      </c>
      <c r="O361" s="6" t="str">
        <f>HYPERLINK("https://pbs.twimg.com/profile_images/962471262747529216/Uo8lOkRJ_normal.jpg","View")</f>
        <v>View</v>
      </c>
      <c r="P361" s="7"/>
    </row>
    <row r="362" spans="1:16">
      <c r="A362" s="3">
        <v>43807.842858796299</v>
      </c>
      <c r="B362" s="4" t="str">
        <f>HYPERLINK("https://twitter.com/petrogustavo","@petrogustavo")</f>
        <v>@petrogustavo</v>
      </c>
      <c r="C362" s="5" t="s">
        <v>16</v>
      </c>
      <c r="D362" s="5" t="s">
        <v>388</v>
      </c>
      <c r="E362" s="6" t="str">
        <f>HYPERLINK("https://twitter.com/petrogustavo/status/1203686599294410754","1203686599294410754")</f>
        <v>1203686599294410754</v>
      </c>
      <c r="F362" s="7" t="s">
        <v>17</v>
      </c>
      <c r="G362" s="7">
        <v>3575273</v>
      </c>
      <c r="H362" s="7">
        <v>2333</v>
      </c>
      <c r="I362" s="7">
        <v>43</v>
      </c>
      <c r="J362" s="7">
        <v>0</v>
      </c>
      <c r="K362" s="7" t="s">
        <v>18</v>
      </c>
      <c r="L362" s="8">
        <v>39987.315405092595</v>
      </c>
      <c r="M362" s="9" t="s">
        <v>19</v>
      </c>
      <c r="N362" s="9" t="s">
        <v>20</v>
      </c>
      <c r="O362" s="6" t="str">
        <f>HYPERLINK("https://pbs.twimg.com/profile_images/962471262747529216/Uo8lOkRJ_normal.jpg","View")</f>
        <v>View</v>
      </c>
      <c r="P362" s="7"/>
    </row>
    <row r="363" spans="1:16">
      <c r="A363" s="3">
        <v>43807.845578703702</v>
      </c>
      <c r="B363" s="4" t="str">
        <f>HYPERLINK("https://twitter.com/petrogustavo","@petrogustavo")</f>
        <v>@petrogustavo</v>
      </c>
      <c r="C363" s="5" t="s">
        <v>16</v>
      </c>
      <c r="D363" s="5" t="s">
        <v>389</v>
      </c>
      <c r="E363" s="6" t="str">
        <f>HYPERLINK("https://twitter.com/petrogustavo/status/1203687583563292673","1203687583563292673")</f>
        <v>1203687583563292673</v>
      </c>
      <c r="F363" s="7" t="s">
        <v>17</v>
      </c>
      <c r="G363" s="7">
        <v>3575273</v>
      </c>
      <c r="H363" s="7">
        <v>2333</v>
      </c>
      <c r="I363" s="7">
        <v>866</v>
      </c>
      <c r="J363" s="7">
        <v>0</v>
      </c>
      <c r="K363" s="7" t="s">
        <v>18</v>
      </c>
      <c r="L363" s="8">
        <v>39987.315405092595</v>
      </c>
      <c r="M363" s="9" t="s">
        <v>19</v>
      </c>
      <c r="N363" s="9" t="s">
        <v>20</v>
      </c>
      <c r="O363" s="6" t="str">
        <f>HYPERLINK("https://pbs.twimg.com/profile_images/962471262747529216/Uo8lOkRJ_normal.jpg","View")</f>
        <v>View</v>
      </c>
      <c r="P363" s="7"/>
    </row>
    <row r="364" spans="1:16">
      <c r="A364" s="3">
        <v>43807.845856481479</v>
      </c>
      <c r="B364" s="4" t="str">
        <f>HYPERLINK("https://twitter.com/petrogustavo","@petrogustavo")</f>
        <v>@petrogustavo</v>
      </c>
      <c r="C364" s="5" t="s">
        <v>16</v>
      </c>
      <c r="D364" s="5" t="s">
        <v>390</v>
      </c>
      <c r="E364" s="6" t="str">
        <f>HYPERLINK("https://twitter.com/petrogustavo/status/1203687685916954625","1203687685916954625")</f>
        <v>1203687685916954625</v>
      </c>
      <c r="F364" s="7" t="s">
        <v>17</v>
      </c>
      <c r="G364" s="7">
        <v>3575293</v>
      </c>
      <c r="H364" s="7">
        <v>2333</v>
      </c>
      <c r="I364" s="7">
        <v>600</v>
      </c>
      <c r="J364" s="7">
        <v>0</v>
      </c>
      <c r="K364" s="7" t="s">
        <v>18</v>
      </c>
      <c r="L364" s="8">
        <v>39987.315405092595</v>
      </c>
      <c r="M364" s="9" t="s">
        <v>19</v>
      </c>
      <c r="N364" s="9" t="s">
        <v>20</v>
      </c>
      <c r="O364" s="6" t="str">
        <f>HYPERLINK("https://pbs.twimg.com/profile_images/962471262747529216/Uo8lOkRJ_normal.jpg","View")</f>
        <v>View</v>
      </c>
      <c r="P364" s="7"/>
    </row>
    <row r="365" spans="1:16">
      <c r="A365" s="3">
        <v>43807.846006944441</v>
      </c>
      <c r="B365" s="4" t="str">
        <f>HYPERLINK("https://twitter.com/petrogustavo","@petrogustavo")</f>
        <v>@petrogustavo</v>
      </c>
      <c r="C365" s="5" t="s">
        <v>16</v>
      </c>
      <c r="D365" s="5" t="s">
        <v>391</v>
      </c>
      <c r="E365" s="6" t="str">
        <f>HYPERLINK("https://twitter.com/petrogustavo/status/1203687740002521090","1203687740002521090")</f>
        <v>1203687740002521090</v>
      </c>
      <c r="F365" s="7" t="s">
        <v>17</v>
      </c>
      <c r="G365" s="7">
        <v>3575293</v>
      </c>
      <c r="H365" s="7">
        <v>2333</v>
      </c>
      <c r="I365" s="7">
        <v>101</v>
      </c>
      <c r="J365" s="7">
        <v>0</v>
      </c>
      <c r="K365" s="7" t="s">
        <v>18</v>
      </c>
      <c r="L365" s="8">
        <v>39987.315405092595</v>
      </c>
      <c r="M365" s="9" t="s">
        <v>19</v>
      </c>
      <c r="N365" s="9" t="s">
        <v>20</v>
      </c>
      <c r="O365" s="6" t="str">
        <f>HYPERLINK("https://pbs.twimg.com/profile_images/962471262747529216/Uo8lOkRJ_normal.jpg","View")</f>
        <v>View</v>
      </c>
      <c r="P365" s="7"/>
    </row>
    <row r="366" spans="1:16">
      <c r="A366" s="3">
        <v>43807.847951388889</v>
      </c>
      <c r="B366" s="4" t="str">
        <f>HYPERLINK("https://twitter.com/petrogustavo","@petrogustavo")</f>
        <v>@petrogustavo</v>
      </c>
      <c r="C366" s="5" t="s">
        <v>16</v>
      </c>
      <c r="D366" s="5" t="s">
        <v>392</v>
      </c>
      <c r="E366" s="6" t="str">
        <f>HYPERLINK("https://twitter.com/petrogustavo/status/1203688447417950208","1203688447417950208")</f>
        <v>1203688447417950208</v>
      </c>
      <c r="F366" s="7" t="s">
        <v>17</v>
      </c>
      <c r="G366" s="7">
        <v>3575293</v>
      </c>
      <c r="H366" s="7">
        <v>2333</v>
      </c>
      <c r="I366" s="7">
        <v>148</v>
      </c>
      <c r="J366" s="7">
        <v>302</v>
      </c>
      <c r="K366" s="7" t="s">
        <v>18</v>
      </c>
      <c r="L366" s="8">
        <v>39987.315405092595</v>
      </c>
      <c r="M366" s="9" t="s">
        <v>19</v>
      </c>
      <c r="N366" s="9" t="s">
        <v>20</v>
      </c>
      <c r="O366" s="6" t="str">
        <f>HYPERLINK("https://pbs.twimg.com/profile_images/962471262747529216/Uo8lOkRJ_normal.jpg","View")</f>
        <v>View</v>
      </c>
      <c r="P366" s="7"/>
    </row>
    <row r="367" spans="1:16">
      <c r="A367" s="3">
        <v>43807.853634259256</v>
      </c>
      <c r="B367" s="4" t="str">
        <f>HYPERLINK("https://twitter.com/petrogustavo","@petrogustavo")</f>
        <v>@petrogustavo</v>
      </c>
      <c r="C367" s="5" t="s">
        <v>16</v>
      </c>
      <c r="D367" s="5" t="s">
        <v>393</v>
      </c>
      <c r="E367" s="6" t="str">
        <f>HYPERLINK("https://twitter.com/petrogustavo/status/1203690504757612545","1203690504757612545")</f>
        <v>1203690504757612545</v>
      </c>
      <c r="F367" s="7" t="s">
        <v>17</v>
      </c>
      <c r="G367" s="7">
        <v>3575293</v>
      </c>
      <c r="H367" s="7">
        <v>2333</v>
      </c>
      <c r="I367" s="7">
        <v>497</v>
      </c>
      <c r="J367" s="7">
        <v>0</v>
      </c>
      <c r="K367" s="7" t="s">
        <v>18</v>
      </c>
      <c r="L367" s="8">
        <v>39987.315405092595</v>
      </c>
      <c r="M367" s="9" t="s">
        <v>19</v>
      </c>
      <c r="N367" s="9" t="s">
        <v>20</v>
      </c>
      <c r="O367" s="6" t="str">
        <f>HYPERLINK("https://pbs.twimg.com/profile_images/962471262747529216/Uo8lOkRJ_normal.jpg","View")</f>
        <v>View</v>
      </c>
      <c r="P367" s="7"/>
    </row>
    <row r="368" spans="1:16">
      <c r="A368" s="3">
        <v>43807.858472222222</v>
      </c>
      <c r="B368" s="4" t="str">
        <f>HYPERLINK("https://twitter.com/petrogustavo","@petrogustavo")</f>
        <v>@petrogustavo</v>
      </c>
      <c r="C368" s="5" t="s">
        <v>16</v>
      </c>
      <c r="D368" s="5" t="s">
        <v>394</v>
      </c>
      <c r="E368" s="6" t="str">
        <f>HYPERLINK("https://twitter.com/petrogustavo/status/1203692257641152513","1203692257641152513")</f>
        <v>1203692257641152513</v>
      </c>
      <c r="F368" s="7" t="s">
        <v>17</v>
      </c>
      <c r="G368" s="7">
        <v>3575293</v>
      </c>
      <c r="H368" s="7">
        <v>2333</v>
      </c>
      <c r="I368" s="7">
        <v>68</v>
      </c>
      <c r="J368" s="7">
        <v>0</v>
      </c>
      <c r="K368" s="7" t="s">
        <v>18</v>
      </c>
      <c r="L368" s="8">
        <v>39987.315405092595</v>
      </c>
      <c r="M368" s="9" t="s">
        <v>19</v>
      </c>
      <c r="N368" s="9" t="s">
        <v>20</v>
      </c>
      <c r="O368" s="6" t="str">
        <f>HYPERLINK("https://pbs.twimg.com/profile_images/962471262747529216/Uo8lOkRJ_normal.jpg","View")</f>
        <v>View</v>
      </c>
      <c r="P368" s="7"/>
    </row>
    <row r="369" spans="1:16">
      <c r="A369" s="3">
        <v>43807.85873842593</v>
      </c>
      <c r="B369" s="4" t="str">
        <f>HYPERLINK("https://twitter.com/petrogustavo","@petrogustavo")</f>
        <v>@petrogustavo</v>
      </c>
      <c r="C369" s="5" t="s">
        <v>16</v>
      </c>
      <c r="D369" s="5" t="s">
        <v>395</v>
      </c>
      <c r="E369" s="6" t="str">
        <f>HYPERLINK("https://twitter.com/petrogustavo/status/1203692353514594305","1203692353514594305")</f>
        <v>1203692353514594305</v>
      </c>
      <c r="F369" s="7" t="s">
        <v>17</v>
      </c>
      <c r="G369" s="7">
        <v>3575293</v>
      </c>
      <c r="H369" s="7">
        <v>2333</v>
      </c>
      <c r="I369" s="7">
        <v>316</v>
      </c>
      <c r="J369" s="7">
        <v>0</v>
      </c>
      <c r="K369" s="7" t="s">
        <v>18</v>
      </c>
      <c r="L369" s="8">
        <v>39987.315405092595</v>
      </c>
      <c r="M369" s="9" t="s">
        <v>19</v>
      </c>
      <c r="N369" s="9" t="s">
        <v>20</v>
      </c>
      <c r="O369" s="6" t="str">
        <f>HYPERLINK("https://pbs.twimg.com/profile_images/962471262747529216/Uo8lOkRJ_normal.jpg","View")</f>
        <v>View</v>
      </c>
      <c r="P369" s="7"/>
    </row>
    <row r="370" spans="1:16">
      <c r="A370" s="3">
        <v>43807.859699074077</v>
      </c>
      <c r="B370" s="4" t="str">
        <f>HYPERLINK("https://twitter.com/petrogustavo","@petrogustavo")</f>
        <v>@petrogustavo</v>
      </c>
      <c r="C370" s="5" t="s">
        <v>16</v>
      </c>
      <c r="D370" s="5" t="s">
        <v>396</v>
      </c>
      <c r="E370" s="6" t="str">
        <f>HYPERLINK("https://twitter.com/petrogustavo/status/1203692701444722695","1203692701444722695")</f>
        <v>1203692701444722695</v>
      </c>
      <c r="F370" s="7" t="s">
        <v>17</v>
      </c>
      <c r="G370" s="7">
        <v>3575293</v>
      </c>
      <c r="H370" s="7">
        <v>2333</v>
      </c>
      <c r="I370" s="7">
        <v>560</v>
      </c>
      <c r="J370" s="7">
        <v>0</v>
      </c>
      <c r="K370" s="7" t="s">
        <v>18</v>
      </c>
      <c r="L370" s="8">
        <v>39987.315405092595</v>
      </c>
      <c r="M370" s="9" t="s">
        <v>19</v>
      </c>
      <c r="N370" s="9" t="s">
        <v>20</v>
      </c>
      <c r="O370" s="6" t="str">
        <f>HYPERLINK("https://pbs.twimg.com/profile_images/962471262747529216/Uo8lOkRJ_normal.jpg","View")</f>
        <v>View</v>
      </c>
      <c r="P370" s="7"/>
    </row>
    <row r="371" spans="1:16">
      <c r="A371" s="3">
        <v>43807.863807870366</v>
      </c>
      <c r="B371" s="4" t="str">
        <f>HYPERLINK("https://twitter.com/petrogustavo","@petrogustavo")</f>
        <v>@petrogustavo</v>
      </c>
      <c r="C371" s="5" t="s">
        <v>16</v>
      </c>
      <c r="D371" s="5" t="s">
        <v>397</v>
      </c>
      <c r="E371" s="6" t="str">
        <f>HYPERLINK("https://twitter.com/petrogustavo/status/1203694190049341441","1203694190049341441")</f>
        <v>1203694190049341441</v>
      </c>
      <c r="F371" s="7" t="s">
        <v>17</v>
      </c>
      <c r="G371" s="7">
        <v>3575293</v>
      </c>
      <c r="H371" s="7">
        <v>2333</v>
      </c>
      <c r="I371" s="7">
        <v>21</v>
      </c>
      <c r="J371" s="7">
        <v>62</v>
      </c>
      <c r="K371" s="7" t="s">
        <v>18</v>
      </c>
      <c r="L371" s="8">
        <v>39987.315405092595</v>
      </c>
      <c r="M371" s="9" t="s">
        <v>19</v>
      </c>
      <c r="N371" s="9" t="s">
        <v>20</v>
      </c>
      <c r="O371" s="6" t="str">
        <f>HYPERLINK("https://pbs.twimg.com/profile_images/962471262747529216/Uo8lOkRJ_normal.jpg","View")</f>
        <v>View</v>
      </c>
      <c r="P371" s="7"/>
    </row>
    <row r="372" spans="1:16">
      <c r="A372" s="3">
        <v>43807.866678240738</v>
      </c>
      <c r="B372" s="4" t="str">
        <f>HYPERLINK("https://twitter.com/petrogustavo","@petrogustavo")</f>
        <v>@petrogustavo</v>
      </c>
      <c r="C372" s="5" t="s">
        <v>16</v>
      </c>
      <c r="D372" s="5" t="s">
        <v>398</v>
      </c>
      <c r="E372" s="6" t="str">
        <f>HYPERLINK("https://twitter.com/petrogustavo/status/1203695232916832258","1203695232916832258")</f>
        <v>1203695232916832258</v>
      </c>
      <c r="F372" s="7" t="s">
        <v>17</v>
      </c>
      <c r="G372" s="7">
        <v>3575328</v>
      </c>
      <c r="H372" s="7">
        <v>2333</v>
      </c>
      <c r="I372" s="7">
        <v>219</v>
      </c>
      <c r="J372" s="7">
        <v>0</v>
      </c>
      <c r="K372" s="7" t="s">
        <v>18</v>
      </c>
      <c r="L372" s="8">
        <v>39987.315405092595</v>
      </c>
      <c r="M372" s="9" t="s">
        <v>19</v>
      </c>
      <c r="N372" s="9" t="s">
        <v>20</v>
      </c>
      <c r="O372" s="6" t="str">
        <f>HYPERLINK("https://pbs.twimg.com/profile_images/962471262747529216/Uo8lOkRJ_normal.jpg","View")</f>
        <v>View</v>
      </c>
      <c r="P372" s="7"/>
    </row>
    <row r="373" spans="1:16">
      <c r="A373" s="3">
        <v>43807.867581018523</v>
      </c>
      <c r="B373" s="4" t="str">
        <f>HYPERLINK("https://twitter.com/petrogustavo","@petrogustavo")</f>
        <v>@petrogustavo</v>
      </c>
      <c r="C373" s="5" t="s">
        <v>16</v>
      </c>
      <c r="D373" s="5" t="s">
        <v>399</v>
      </c>
      <c r="E373" s="6" t="str">
        <f>HYPERLINK("https://twitter.com/petrogustavo/status/1203695559611232256","1203695559611232256")</f>
        <v>1203695559611232256</v>
      </c>
      <c r="F373" s="7" t="s">
        <v>17</v>
      </c>
      <c r="G373" s="7">
        <v>3575328</v>
      </c>
      <c r="H373" s="7">
        <v>2333</v>
      </c>
      <c r="I373" s="7">
        <v>46</v>
      </c>
      <c r="J373" s="7">
        <v>0</v>
      </c>
      <c r="K373" s="7" t="s">
        <v>18</v>
      </c>
      <c r="L373" s="8">
        <v>39987.315405092595</v>
      </c>
      <c r="M373" s="9" t="s">
        <v>19</v>
      </c>
      <c r="N373" s="9" t="s">
        <v>20</v>
      </c>
      <c r="O373" s="6" t="str">
        <f>HYPERLINK("https://pbs.twimg.com/profile_images/962471262747529216/Uo8lOkRJ_normal.jpg","View")</f>
        <v>View</v>
      </c>
      <c r="P373" s="7"/>
    </row>
    <row r="374" spans="1:16">
      <c r="A374" s="3">
        <v>43807.869166666671</v>
      </c>
      <c r="B374" s="4" t="str">
        <f>HYPERLINK("https://twitter.com/petrogustavo","@petrogustavo")</f>
        <v>@petrogustavo</v>
      </c>
      <c r="C374" s="5" t="s">
        <v>16</v>
      </c>
      <c r="D374" s="5" t="s">
        <v>400</v>
      </c>
      <c r="E374" s="6" t="str">
        <f>HYPERLINK("https://twitter.com/petrogustavo/status/1203696133287108608","1203696133287108608")</f>
        <v>1203696133287108608</v>
      </c>
      <c r="F374" s="7" t="s">
        <v>17</v>
      </c>
      <c r="G374" s="7">
        <v>3575328</v>
      </c>
      <c r="H374" s="7">
        <v>2333</v>
      </c>
      <c r="I374" s="7">
        <v>123</v>
      </c>
      <c r="J374" s="7">
        <v>331</v>
      </c>
      <c r="K374" s="7" t="s">
        <v>18</v>
      </c>
      <c r="L374" s="8">
        <v>39987.315405092595</v>
      </c>
      <c r="M374" s="9" t="s">
        <v>19</v>
      </c>
      <c r="N374" s="9" t="s">
        <v>20</v>
      </c>
      <c r="O374" s="6" t="str">
        <f>HYPERLINK("https://pbs.twimg.com/profile_images/962471262747529216/Uo8lOkRJ_normal.jpg","View")</f>
        <v>View</v>
      </c>
      <c r="P374" s="7"/>
    </row>
    <row r="375" spans="1:16">
      <c r="A375" s="3">
        <v>43807.871620370366</v>
      </c>
      <c r="B375" s="4" t="str">
        <f>HYPERLINK("https://twitter.com/petrogustavo","@petrogustavo")</f>
        <v>@petrogustavo</v>
      </c>
      <c r="C375" s="5" t="s">
        <v>16</v>
      </c>
      <c r="D375" s="5" t="s">
        <v>401</v>
      </c>
      <c r="E375" s="6" t="str">
        <f>HYPERLINK("https://twitter.com/petrogustavo/status/1203697021573574656","1203697021573574656")</f>
        <v>1203697021573574656</v>
      </c>
      <c r="F375" s="7" t="s">
        <v>17</v>
      </c>
      <c r="G375" s="7">
        <v>3575328</v>
      </c>
      <c r="H375" s="7">
        <v>2333</v>
      </c>
      <c r="I375" s="7">
        <v>107</v>
      </c>
      <c r="J375" s="7">
        <v>0</v>
      </c>
      <c r="K375" s="7" t="s">
        <v>18</v>
      </c>
      <c r="L375" s="8">
        <v>39987.315405092595</v>
      </c>
      <c r="M375" s="9" t="s">
        <v>19</v>
      </c>
      <c r="N375" s="9" t="s">
        <v>20</v>
      </c>
      <c r="O375" s="6" t="str">
        <f>HYPERLINK("https://pbs.twimg.com/profile_images/962471262747529216/Uo8lOkRJ_normal.jpg","View")</f>
        <v>View</v>
      </c>
      <c r="P375" s="7"/>
    </row>
    <row r="376" spans="1:16">
      <c r="A376" s="3">
        <v>43807.872939814813</v>
      </c>
      <c r="B376" s="4" t="str">
        <f>HYPERLINK("https://twitter.com/petrogustavo","@petrogustavo")</f>
        <v>@petrogustavo</v>
      </c>
      <c r="C376" s="5" t="s">
        <v>16</v>
      </c>
      <c r="D376" s="5" t="s">
        <v>402</v>
      </c>
      <c r="E376" s="6" t="str">
        <f>HYPERLINK("https://twitter.com/petrogustavo/status/1203697499267108864","1203697499267108864")</f>
        <v>1203697499267108864</v>
      </c>
      <c r="F376" s="7" t="s">
        <v>17</v>
      </c>
      <c r="G376" s="7">
        <v>3575328</v>
      </c>
      <c r="H376" s="7">
        <v>2333</v>
      </c>
      <c r="I376" s="7">
        <v>123</v>
      </c>
      <c r="J376" s="7">
        <v>0</v>
      </c>
      <c r="K376" s="7" t="s">
        <v>18</v>
      </c>
      <c r="L376" s="8">
        <v>39987.315405092595</v>
      </c>
      <c r="M376" s="9" t="s">
        <v>19</v>
      </c>
      <c r="N376" s="9" t="s">
        <v>20</v>
      </c>
      <c r="O376" s="6" t="str">
        <f>HYPERLINK("https://pbs.twimg.com/profile_images/962471262747529216/Uo8lOkRJ_normal.jpg","View")</f>
        <v>View</v>
      </c>
      <c r="P376" s="7"/>
    </row>
    <row r="377" spans="1:16">
      <c r="A377" s="3">
        <v>43807.874212962968</v>
      </c>
      <c r="B377" s="4" t="str">
        <f>HYPERLINK("https://twitter.com/petrogustavo","@petrogustavo")</f>
        <v>@petrogustavo</v>
      </c>
      <c r="C377" s="5" t="s">
        <v>16</v>
      </c>
      <c r="D377" s="5" t="s">
        <v>403</v>
      </c>
      <c r="E377" s="6" t="str">
        <f>HYPERLINK("https://twitter.com/petrogustavo/status/1203697963387834368","1203697963387834368")</f>
        <v>1203697963387834368</v>
      </c>
      <c r="F377" s="7" t="s">
        <v>17</v>
      </c>
      <c r="G377" s="7">
        <v>3575328</v>
      </c>
      <c r="H377" s="7">
        <v>2333</v>
      </c>
      <c r="I377" s="7">
        <v>1082</v>
      </c>
      <c r="J377" s="7">
        <v>0</v>
      </c>
      <c r="K377" s="7" t="s">
        <v>18</v>
      </c>
      <c r="L377" s="8">
        <v>39987.315405092595</v>
      </c>
      <c r="M377" s="9" t="s">
        <v>19</v>
      </c>
      <c r="N377" s="9" t="s">
        <v>20</v>
      </c>
      <c r="O377" s="6" t="str">
        <f>HYPERLINK("https://pbs.twimg.com/profile_images/962471262747529216/Uo8lOkRJ_normal.jpg","View")</f>
        <v>View</v>
      </c>
      <c r="P377" s="7"/>
    </row>
    <row r="378" spans="1:16">
      <c r="A378" s="3">
        <v>43807.911111111112</v>
      </c>
      <c r="B378" s="4" t="str">
        <f>HYPERLINK("https://twitter.com/petrogustavo","@petrogustavo")</f>
        <v>@petrogustavo</v>
      </c>
      <c r="C378" s="5" t="s">
        <v>16</v>
      </c>
      <c r="D378" s="5" t="s">
        <v>404</v>
      </c>
      <c r="E378" s="6" t="str">
        <f>HYPERLINK("https://twitter.com/petrogustavo/status/1203711334841536514","1203711334841536514")</f>
        <v>1203711334841536514</v>
      </c>
      <c r="F378" s="7" t="s">
        <v>17</v>
      </c>
      <c r="G378" s="7">
        <v>3575354</v>
      </c>
      <c r="H378" s="7">
        <v>2333</v>
      </c>
      <c r="I378" s="7">
        <v>295</v>
      </c>
      <c r="J378" s="7">
        <v>0</v>
      </c>
      <c r="K378" s="7" t="s">
        <v>18</v>
      </c>
      <c r="L378" s="8">
        <v>39987.315405092595</v>
      </c>
      <c r="M378" s="9" t="s">
        <v>19</v>
      </c>
      <c r="N378" s="9" t="s">
        <v>20</v>
      </c>
      <c r="O378" s="6" t="str">
        <f>HYPERLINK("https://pbs.twimg.com/profile_images/962471262747529216/Uo8lOkRJ_normal.jpg","View")</f>
        <v>View</v>
      </c>
      <c r="P378" s="7"/>
    </row>
    <row r="379" spans="1:16">
      <c r="A379" s="3">
        <v>43807.911655092597</v>
      </c>
      <c r="B379" s="4" t="str">
        <f>HYPERLINK("https://twitter.com/petrogustavo","@petrogustavo")</f>
        <v>@petrogustavo</v>
      </c>
      <c r="C379" s="5" t="s">
        <v>16</v>
      </c>
      <c r="D379" s="5" t="s">
        <v>405</v>
      </c>
      <c r="E379" s="6" t="str">
        <f>HYPERLINK("https://twitter.com/petrogustavo/status/1203711528886767617","1203711528886767617")</f>
        <v>1203711528886767617</v>
      </c>
      <c r="F379" s="7" t="s">
        <v>17</v>
      </c>
      <c r="G379" s="7">
        <v>3575354</v>
      </c>
      <c r="H379" s="7">
        <v>2333</v>
      </c>
      <c r="I379" s="7">
        <v>44</v>
      </c>
      <c r="J379" s="7">
        <v>0</v>
      </c>
      <c r="K379" s="7" t="s">
        <v>18</v>
      </c>
      <c r="L379" s="8">
        <v>39987.315405092595</v>
      </c>
      <c r="M379" s="9" t="s">
        <v>19</v>
      </c>
      <c r="N379" s="9" t="s">
        <v>20</v>
      </c>
      <c r="O379" s="6" t="str">
        <f>HYPERLINK("https://pbs.twimg.com/profile_images/962471262747529216/Uo8lOkRJ_normal.jpg","View")</f>
        <v>View</v>
      </c>
      <c r="P379" s="7"/>
    </row>
    <row r="380" spans="1:16">
      <c r="A380" s="3">
        <v>43807.911921296298</v>
      </c>
      <c r="B380" s="4" t="str">
        <f>HYPERLINK("https://twitter.com/petrogustavo","@petrogustavo")</f>
        <v>@petrogustavo</v>
      </c>
      <c r="C380" s="5" t="s">
        <v>16</v>
      </c>
      <c r="D380" s="5" t="s">
        <v>406</v>
      </c>
      <c r="E380" s="6" t="str">
        <f>HYPERLINK("https://twitter.com/petrogustavo/status/1203711628602216448","1203711628602216448")</f>
        <v>1203711628602216448</v>
      </c>
      <c r="F380" s="7" t="s">
        <v>17</v>
      </c>
      <c r="G380" s="7">
        <v>3575354</v>
      </c>
      <c r="H380" s="7">
        <v>2333</v>
      </c>
      <c r="I380" s="7">
        <v>50</v>
      </c>
      <c r="J380" s="7">
        <v>0</v>
      </c>
      <c r="K380" s="7" t="s">
        <v>18</v>
      </c>
      <c r="L380" s="8">
        <v>39987.315405092595</v>
      </c>
      <c r="M380" s="9" t="s">
        <v>19</v>
      </c>
      <c r="N380" s="9" t="s">
        <v>20</v>
      </c>
      <c r="O380" s="6" t="str">
        <f>HYPERLINK("https://pbs.twimg.com/profile_images/962471262747529216/Uo8lOkRJ_normal.jpg","View")</f>
        <v>View</v>
      </c>
      <c r="P380" s="7"/>
    </row>
    <row r="381" spans="1:16">
      <c r="A381" s="3">
        <v>43807.91306712963</v>
      </c>
      <c r="B381" s="4" t="str">
        <f>HYPERLINK("https://twitter.com/petrogustavo","@petrogustavo")</f>
        <v>@petrogustavo</v>
      </c>
      <c r="C381" s="5" t="s">
        <v>16</v>
      </c>
      <c r="D381" s="5" t="s">
        <v>407</v>
      </c>
      <c r="E381" s="6" t="str">
        <f>HYPERLINK("https://twitter.com/petrogustavo/status/1203712042697416704","1203712042697416704")</f>
        <v>1203712042697416704</v>
      </c>
      <c r="F381" s="7" t="s">
        <v>17</v>
      </c>
      <c r="G381" s="7">
        <v>3575354</v>
      </c>
      <c r="H381" s="7">
        <v>2333</v>
      </c>
      <c r="I381" s="7">
        <v>76</v>
      </c>
      <c r="J381" s="7">
        <v>0</v>
      </c>
      <c r="K381" s="7" t="s">
        <v>18</v>
      </c>
      <c r="L381" s="8">
        <v>39987.315405092595</v>
      </c>
      <c r="M381" s="9" t="s">
        <v>19</v>
      </c>
      <c r="N381" s="9" t="s">
        <v>20</v>
      </c>
      <c r="O381" s="6" t="str">
        <f>HYPERLINK("https://pbs.twimg.com/profile_images/962471262747529216/Uo8lOkRJ_normal.jpg","View")</f>
        <v>View</v>
      </c>
      <c r="P381" s="7"/>
    </row>
    <row r="382" spans="1:16">
      <c r="A382" s="3">
        <v>43807.913402777776</v>
      </c>
      <c r="B382" s="4" t="str">
        <f>HYPERLINK("https://twitter.com/petrogustavo","@petrogustavo")</f>
        <v>@petrogustavo</v>
      </c>
      <c r="C382" s="5" t="s">
        <v>16</v>
      </c>
      <c r="D382" s="5" t="s">
        <v>408</v>
      </c>
      <c r="E382" s="6" t="str">
        <f>HYPERLINK("https://twitter.com/petrogustavo/status/1203712162520326146","1203712162520326146")</f>
        <v>1203712162520326146</v>
      </c>
      <c r="F382" s="7" t="s">
        <v>17</v>
      </c>
      <c r="G382" s="7">
        <v>3575354</v>
      </c>
      <c r="H382" s="7">
        <v>2333</v>
      </c>
      <c r="I382" s="7">
        <v>156</v>
      </c>
      <c r="J382" s="7">
        <v>0</v>
      </c>
      <c r="K382" s="7" t="s">
        <v>18</v>
      </c>
      <c r="L382" s="8">
        <v>39987.315405092595</v>
      </c>
      <c r="M382" s="9" t="s">
        <v>19</v>
      </c>
      <c r="N382" s="9" t="s">
        <v>20</v>
      </c>
      <c r="O382" s="6" t="str">
        <f>HYPERLINK("https://pbs.twimg.com/profile_images/962471262747529216/Uo8lOkRJ_normal.jpg","View")</f>
        <v>View</v>
      </c>
      <c r="P382" s="7"/>
    </row>
    <row r="383" spans="1:16">
      <c r="A383" s="3">
        <v>43807.916631944448</v>
      </c>
      <c r="B383" s="4" t="str">
        <f>HYPERLINK("https://twitter.com/petrogustavo","@petrogustavo")</f>
        <v>@petrogustavo</v>
      </c>
      <c r="C383" s="5" t="s">
        <v>16</v>
      </c>
      <c r="D383" s="5" t="s">
        <v>409</v>
      </c>
      <c r="E383" s="6" t="str">
        <f>HYPERLINK("https://twitter.com/petrogustavo/status/1203713336296312832","1203713336296312832")</f>
        <v>1203713336296312832</v>
      </c>
      <c r="F383" s="7" t="s">
        <v>17</v>
      </c>
      <c r="G383" s="7">
        <v>3575354</v>
      </c>
      <c r="H383" s="7">
        <v>2333</v>
      </c>
      <c r="I383" s="7">
        <v>217</v>
      </c>
      <c r="J383" s="7">
        <v>372</v>
      </c>
      <c r="K383" s="7" t="s">
        <v>18</v>
      </c>
      <c r="L383" s="8">
        <v>39987.315405092595</v>
      </c>
      <c r="M383" s="9" t="s">
        <v>19</v>
      </c>
      <c r="N383" s="9" t="s">
        <v>20</v>
      </c>
      <c r="O383" s="6" t="str">
        <f>HYPERLINK("https://pbs.twimg.com/profile_images/962471262747529216/Uo8lOkRJ_normal.jpg","View")</f>
        <v>View</v>
      </c>
      <c r="P383" s="7"/>
    </row>
    <row r="384" spans="1:16">
      <c r="A384" s="3">
        <v>43807.917025462964</v>
      </c>
      <c r="B384" s="4" t="str">
        <f>HYPERLINK("https://twitter.com/petrogustavo","@petrogustavo")</f>
        <v>@petrogustavo</v>
      </c>
      <c r="C384" s="5" t="s">
        <v>16</v>
      </c>
      <c r="D384" s="5" t="s">
        <v>410</v>
      </c>
      <c r="E384" s="6" t="str">
        <f>HYPERLINK("https://twitter.com/petrogustavo/status/1203713476344107009","1203713476344107009")</f>
        <v>1203713476344107009</v>
      </c>
      <c r="F384" s="7" t="s">
        <v>17</v>
      </c>
      <c r="G384" s="7">
        <v>3575354</v>
      </c>
      <c r="H384" s="7">
        <v>2333</v>
      </c>
      <c r="I384" s="7">
        <v>50</v>
      </c>
      <c r="J384" s="7">
        <v>0</v>
      </c>
      <c r="K384" s="7" t="s">
        <v>18</v>
      </c>
      <c r="L384" s="8">
        <v>39987.315405092595</v>
      </c>
      <c r="M384" s="9" t="s">
        <v>19</v>
      </c>
      <c r="N384" s="9" t="s">
        <v>20</v>
      </c>
      <c r="O384" s="6" t="str">
        <f>HYPERLINK("https://pbs.twimg.com/profile_images/962471262747529216/Uo8lOkRJ_normal.jpg","View")</f>
        <v>View</v>
      </c>
      <c r="P384" s="7"/>
    </row>
    <row r="385" spans="1:16">
      <c r="A385" s="3">
        <v>43807.917210648149</v>
      </c>
      <c r="B385" s="4" t="str">
        <f>HYPERLINK("https://twitter.com/petrogustavo","@petrogustavo")</f>
        <v>@petrogustavo</v>
      </c>
      <c r="C385" s="5" t="s">
        <v>16</v>
      </c>
      <c r="D385" s="5" t="s">
        <v>411</v>
      </c>
      <c r="E385" s="6" t="str">
        <f>HYPERLINK("https://twitter.com/petrogustavo/status/1203713544002457600","1203713544002457600")</f>
        <v>1203713544002457600</v>
      </c>
      <c r="F385" s="7" t="s">
        <v>17</v>
      </c>
      <c r="G385" s="7">
        <v>3575354</v>
      </c>
      <c r="H385" s="7">
        <v>2333</v>
      </c>
      <c r="I385" s="7">
        <v>664</v>
      </c>
      <c r="J385" s="7">
        <v>0</v>
      </c>
      <c r="K385" s="7" t="s">
        <v>18</v>
      </c>
      <c r="L385" s="8">
        <v>39987.315405092595</v>
      </c>
      <c r="M385" s="9" t="s">
        <v>19</v>
      </c>
      <c r="N385" s="9" t="s">
        <v>20</v>
      </c>
      <c r="O385" s="6" t="str">
        <f>HYPERLINK("https://pbs.twimg.com/profile_images/962471262747529216/Uo8lOkRJ_normal.jpg","View")</f>
        <v>View</v>
      </c>
      <c r="P385" s="7"/>
    </row>
    <row r="386" spans="1:16">
      <c r="A386" s="3">
        <v>43807.918368055558</v>
      </c>
      <c r="B386" s="4" t="str">
        <f>HYPERLINK("https://twitter.com/petrogustavo","@petrogustavo")</f>
        <v>@petrogustavo</v>
      </c>
      <c r="C386" s="5" t="s">
        <v>16</v>
      </c>
      <c r="D386" s="5" t="s">
        <v>412</v>
      </c>
      <c r="E386" s="6" t="str">
        <f>HYPERLINK("https://twitter.com/petrogustavo/status/1203713961755058178","1203713961755058178")</f>
        <v>1203713961755058178</v>
      </c>
      <c r="F386" s="7" t="s">
        <v>17</v>
      </c>
      <c r="G386" s="7">
        <v>3575354</v>
      </c>
      <c r="H386" s="7">
        <v>2333</v>
      </c>
      <c r="I386" s="7">
        <v>667</v>
      </c>
      <c r="J386" s="7">
        <v>0</v>
      </c>
      <c r="K386" s="7" t="s">
        <v>18</v>
      </c>
      <c r="L386" s="8">
        <v>39987.315405092595</v>
      </c>
      <c r="M386" s="9" t="s">
        <v>19</v>
      </c>
      <c r="N386" s="9" t="s">
        <v>20</v>
      </c>
      <c r="O386" s="6" t="str">
        <f>HYPERLINK("https://pbs.twimg.com/profile_images/962471262747529216/Uo8lOkRJ_normal.jpg","View")</f>
        <v>View</v>
      </c>
      <c r="P386" s="7"/>
    </row>
    <row r="387" spans="1:16">
      <c r="A387" s="3">
        <v>43807.920601851853</v>
      </c>
      <c r="B387" s="4" t="str">
        <f>HYPERLINK("https://twitter.com/petrogustavo","@petrogustavo")</f>
        <v>@petrogustavo</v>
      </c>
      <c r="C387" s="5" t="s">
        <v>16</v>
      </c>
      <c r="D387" s="5" t="s">
        <v>413</v>
      </c>
      <c r="E387" s="6" t="str">
        <f>HYPERLINK("https://twitter.com/petrogustavo/status/1203714771637456899","1203714771637456899")</f>
        <v>1203714771637456899</v>
      </c>
      <c r="F387" s="7" t="s">
        <v>17</v>
      </c>
      <c r="G387" s="7">
        <v>3575354</v>
      </c>
      <c r="H387" s="7">
        <v>2333</v>
      </c>
      <c r="I387" s="7">
        <v>57</v>
      </c>
      <c r="J387" s="7">
        <v>0</v>
      </c>
      <c r="K387" s="7" t="s">
        <v>18</v>
      </c>
      <c r="L387" s="8">
        <v>39987.315405092595</v>
      </c>
      <c r="M387" s="9" t="s">
        <v>19</v>
      </c>
      <c r="N387" s="9" t="s">
        <v>20</v>
      </c>
      <c r="O387" s="6" t="str">
        <f>HYPERLINK("https://pbs.twimg.com/profile_images/962471262747529216/Uo8lOkRJ_normal.jpg","View")</f>
        <v>View</v>
      </c>
      <c r="P387" s="7"/>
    </row>
    <row r="388" spans="1:16">
      <c r="A388" s="3">
        <v>43807.921030092592</v>
      </c>
      <c r="B388" s="4" t="str">
        <f>HYPERLINK("https://twitter.com/petrogustavo","@petrogustavo")</f>
        <v>@petrogustavo</v>
      </c>
      <c r="C388" s="5" t="s">
        <v>16</v>
      </c>
      <c r="D388" s="5" t="s">
        <v>414</v>
      </c>
      <c r="E388" s="6" t="str">
        <f>HYPERLINK("https://twitter.com/petrogustavo/status/1203714926323412992","1203714926323412992")</f>
        <v>1203714926323412992</v>
      </c>
      <c r="F388" s="7" t="s">
        <v>17</v>
      </c>
      <c r="G388" s="7">
        <v>3575354</v>
      </c>
      <c r="H388" s="7">
        <v>2333</v>
      </c>
      <c r="I388" s="7">
        <v>32</v>
      </c>
      <c r="J388" s="7">
        <v>0</v>
      </c>
      <c r="K388" s="7" t="s">
        <v>18</v>
      </c>
      <c r="L388" s="8">
        <v>39987.315405092595</v>
      </c>
      <c r="M388" s="9" t="s">
        <v>19</v>
      </c>
      <c r="N388" s="9" t="s">
        <v>20</v>
      </c>
      <c r="O388" s="6" t="str">
        <f>HYPERLINK("https://pbs.twimg.com/profile_images/962471262747529216/Uo8lOkRJ_normal.jpg","View")</f>
        <v>View</v>
      </c>
      <c r="P388" s="7"/>
    </row>
    <row r="389" spans="1:16">
      <c r="A389" s="3">
        <v>43807.922002314815</v>
      </c>
      <c r="B389" s="4" t="str">
        <f>HYPERLINK("https://twitter.com/petrogustavo","@petrogustavo")</f>
        <v>@petrogustavo</v>
      </c>
      <c r="C389" s="5" t="s">
        <v>16</v>
      </c>
      <c r="D389" s="5" t="s">
        <v>415</v>
      </c>
      <c r="E389" s="6" t="str">
        <f>HYPERLINK("https://twitter.com/petrogustavo/status/1203715278879821831","1203715278879821831")</f>
        <v>1203715278879821831</v>
      </c>
      <c r="F389" s="7" t="s">
        <v>17</v>
      </c>
      <c r="G389" s="7">
        <v>3575354</v>
      </c>
      <c r="H389" s="7">
        <v>2333</v>
      </c>
      <c r="I389" s="7">
        <v>68</v>
      </c>
      <c r="J389" s="7">
        <v>0</v>
      </c>
      <c r="K389" s="7" t="s">
        <v>18</v>
      </c>
      <c r="L389" s="8">
        <v>39987.315405092595</v>
      </c>
      <c r="M389" s="9" t="s">
        <v>19</v>
      </c>
      <c r="N389" s="9" t="s">
        <v>20</v>
      </c>
      <c r="O389" s="6" t="str">
        <f>HYPERLINK("https://pbs.twimg.com/profile_images/962471262747529216/Uo8lOkRJ_normal.jpg","View")</f>
        <v>View</v>
      </c>
      <c r="P389" s="7"/>
    </row>
    <row r="390" spans="1:16">
      <c r="A390" s="3">
        <v>43807.923564814817</v>
      </c>
      <c r="B390" s="4" t="str">
        <f>HYPERLINK("https://twitter.com/petrogustavo","@petrogustavo")</f>
        <v>@petrogustavo</v>
      </c>
      <c r="C390" s="5" t="s">
        <v>16</v>
      </c>
      <c r="D390" s="5" t="s">
        <v>416</v>
      </c>
      <c r="E390" s="6" t="str">
        <f>HYPERLINK("https://twitter.com/petrogustavo/status/1203715847707082752","1203715847707082752")</f>
        <v>1203715847707082752</v>
      </c>
      <c r="F390" s="7" t="s">
        <v>17</v>
      </c>
      <c r="G390" s="7">
        <v>3575354</v>
      </c>
      <c r="H390" s="7">
        <v>2333</v>
      </c>
      <c r="I390" s="7">
        <v>76</v>
      </c>
      <c r="J390" s="7">
        <v>221</v>
      </c>
      <c r="K390" s="7" t="s">
        <v>18</v>
      </c>
      <c r="L390" s="8">
        <v>39987.315405092595</v>
      </c>
      <c r="M390" s="9" t="s">
        <v>19</v>
      </c>
      <c r="N390" s="9" t="s">
        <v>20</v>
      </c>
      <c r="O390" s="6" t="str">
        <f>HYPERLINK("https://pbs.twimg.com/profile_images/962471262747529216/Uo8lOkRJ_normal.jpg","View")</f>
        <v>View</v>
      </c>
      <c r="P390" s="7"/>
    </row>
    <row r="391" spans="1:16">
      <c r="A391" s="3">
        <v>43807.927453703705</v>
      </c>
      <c r="B391" s="4" t="str">
        <f>HYPERLINK("https://twitter.com/petrogustavo","@petrogustavo")</f>
        <v>@petrogustavo</v>
      </c>
      <c r="C391" s="5" t="s">
        <v>16</v>
      </c>
      <c r="D391" s="5" t="s">
        <v>417</v>
      </c>
      <c r="E391" s="6" t="str">
        <f>HYPERLINK("https://twitter.com/petrogustavo/status/1203717255328083969","1203717255328083969")</f>
        <v>1203717255328083969</v>
      </c>
      <c r="F391" s="7" t="s">
        <v>17</v>
      </c>
      <c r="G391" s="7">
        <v>3575354</v>
      </c>
      <c r="H391" s="7">
        <v>2333</v>
      </c>
      <c r="I391" s="7">
        <v>1031</v>
      </c>
      <c r="J391" s="7">
        <v>0</v>
      </c>
      <c r="K391" s="7" t="s">
        <v>18</v>
      </c>
      <c r="L391" s="8">
        <v>39987.315405092595</v>
      </c>
      <c r="M391" s="9" t="s">
        <v>19</v>
      </c>
      <c r="N391" s="9" t="s">
        <v>20</v>
      </c>
      <c r="O391" s="6" t="str">
        <f>HYPERLINK("https://pbs.twimg.com/profile_images/962471262747529216/Uo8lOkRJ_normal.jpg","View")</f>
        <v>View</v>
      </c>
      <c r="P391" s="7"/>
    </row>
    <row r="392" spans="1:16">
      <c r="A392" s="3">
        <v>43807.927604166667</v>
      </c>
      <c r="B392" s="4" t="str">
        <f>HYPERLINK("https://twitter.com/petrogustavo","@petrogustavo")</f>
        <v>@petrogustavo</v>
      </c>
      <c r="C392" s="5" t="s">
        <v>16</v>
      </c>
      <c r="D392" s="5" t="s">
        <v>418</v>
      </c>
      <c r="E392" s="6" t="str">
        <f>HYPERLINK("https://twitter.com/petrogustavo/status/1203717311804452864","1203717311804452864")</f>
        <v>1203717311804452864</v>
      </c>
      <c r="F392" s="7" t="s">
        <v>17</v>
      </c>
      <c r="G392" s="7">
        <v>3575354</v>
      </c>
      <c r="H392" s="7">
        <v>2333</v>
      </c>
      <c r="I392" s="7">
        <v>217</v>
      </c>
      <c r="J392" s="7">
        <v>0</v>
      </c>
      <c r="K392" s="7" t="s">
        <v>18</v>
      </c>
      <c r="L392" s="8">
        <v>39987.315405092595</v>
      </c>
      <c r="M392" s="9" t="s">
        <v>19</v>
      </c>
      <c r="N392" s="9" t="s">
        <v>20</v>
      </c>
      <c r="O392" s="6" t="str">
        <f>HYPERLINK("https://pbs.twimg.com/profile_images/962471262747529216/Uo8lOkRJ_normal.jpg","View")</f>
        <v>View</v>
      </c>
      <c r="P392" s="7"/>
    </row>
    <row r="393" spans="1:16">
      <c r="A393" s="3">
        <v>43807.93068287037</v>
      </c>
      <c r="B393" s="4" t="str">
        <f>HYPERLINK("https://twitter.com/petrogustavo","@petrogustavo")</f>
        <v>@petrogustavo</v>
      </c>
      <c r="C393" s="5" t="s">
        <v>16</v>
      </c>
      <c r="D393" s="5" t="s">
        <v>419</v>
      </c>
      <c r="E393" s="6" t="str">
        <f>HYPERLINK("https://twitter.com/petrogustavo/status/1203718425102749696","1203718425102749696")</f>
        <v>1203718425102749696</v>
      </c>
      <c r="F393" s="7" t="s">
        <v>17</v>
      </c>
      <c r="G393" s="7">
        <v>3575383</v>
      </c>
      <c r="H393" s="7">
        <v>2333</v>
      </c>
      <c r="I393" s="7">
        <v>204</v>
      </c>
      <c r="J393" s="7">
        <v>0</v>
      </c>
      <c r="K393" s="7" t="s">
        <v>18</v>
      </c>
      <c r="L393" s="8">
        <v>39987.315405092595</v>
      </c>
      <c r="M393" s="9" t="s">
        <v>19</v>
      </c>
      <c r="N393" s="9" t="s">
        <v>20</v>
      </c>
      <c r="O393" s="6" t="str">
        <f>HYPERLINK("https://pbs.twimg.com/profile_images/962471262747529216/Uo8lOkRJ_normal.jpg","View")</f>
        <v>View</v>
      </c>
      <c r="P393" s="7"/>
    </row>
    <row r="394" spans="1:16">
      <c r="A394" s="3">
        <v>43807.93168981481</v>
      </c>
      <c r="B394" s="4" t="str">
        <f>HYPERLINK("https://twitter.com/petrogustavo","@petrogustavo")</f>
        <v>@petrogustavo</v>
      </c>
      <c r="C394" s="5" t="s">
        <v>16</v>
      </c>
      <c r="D394" s="5" t="s">
        <v>420</v>
      </c>
      <c r="E394" s="6" t="str">
        <f>HYPERLINK("https://twitter.com/petrogustavo/status/1203718789407428613","1203718789407428613")</f>
        <v>1203718789407428613</v>
      </c>
      <c r="F394" s="7" t="s">
        <v>17</v>
      </c>
      <c r="G394" s="7">
        <v>3575383</v>
      </c>
      <c r="H394" s="7">
        <v>2333</v>
      </c>
      <c r="I394" s="7">
        <v>176</v>
      </c>
      <c r="J394" s="7">
        <v>0</v>
      </c>
      <c r="K394" s="7" t="s">
        <v>18</v>
      </c>
      <c r="L394" s="8">
        <v>39987.315405092595</v>
      </c>
      <c r="M394" s="9" t="s">
        <v>19</v>
      </c>
      <c r="N394" s="9" t="s">
        <v>20</v>
      </c>
      <c r="O394" s="6" t="str">
        <f>HYPERLINK("https://pbs.twimg.com/profile_images/962471262747529216/Uo8lOkRJ_normal.jpg","View")</f>
        <v>View</v>
      </c>
      <c r="P394" s="7"/>
    </row>
    <row r="395" spans="1:16">
      <c r="A395" s="3">
        <v>43807.932986111111</v>
      </c>
      <c r="B395" s="4" t="str">
        <f>HYPERLINK("https://twitter.com/petrogustavo","@petrogustavo")</f>
        <v>@petrogustavo</v>
      </c>
      <c r="C395" s="5" t="s">
        <v>16</v>
      </c>
      <c r="D395" s="5" t="s">
        <v>421</v>
      </c>
      <c r="E395" s="6" t="str">
        <f>HYPERLINK("https://twitter.com/petrogustavo/status/1203719262361272321","1203719262361272321")</f>
        <v>1203719262361272321</v>
      </c>
      <c r="F395" s="7" t="s">
        <v>17</v>
      </c>
      <c r="G395" s="7">
        <v>3575383</v>
      </c>
      <c r="H395" s="7">
        <v>2333</v>
      </c>
      <c r="I395" s="7">
        <v>57</v>
      </c>
      <c r="J395" s="7">
        <v>0</v>
      </c>
      <c r="K395" s="7" t="s">
        <v>18</v>
      </c>
      <c r="L395" s="8">
        <v>39987.315405092595</v>
      </c>
      <c r="M395" s="9" t="s">
        <v>19</v>
      </c>
      <c r="N395" s="9" t="s">
        <v>20</v>
      </c>
      <c r="O395" s="6" t="str">
        <f>HYPERLINK("https://pbs.twimg.com/profile_images/962471262747529216/Uo8lOkRJ_normal.jpg","View")</f>
        <v>View</v>
      </c>
      <c r="P395" s="7"/>
    </row>
    <row r="396" spans="1:16">
      <c r="A396" s="3">
        <v>43807.934178240743</v>
      </c>
      <c r="B396" s="4" t="str">
        <f>HYPERLINK("https://twitter.com/petrogustavo","@petrogustavo")</f>
        <v>@petrogustavo</v>
      </c>
      <c r="C396" s="5" t="s">
        <v>16</v>
      </c>
      <c r="D396" s="5" t="s">
        <v>422</v>
      </c>
      <c r="E396" s="6" t="str">
        <f>HYPERLINK("https://twitter.com/petrogustavo/status/1203719693435060224","1203719693435060224")</f>
        <v>1203719693435060224</v>
      </c>
      <c r="F396" s="7" t="s">
        <v>17</v>
      </c>
      <c r="G396" s="7">
        <v>3575383</v>
      </c>
      <c r="H396" s="7">
        <v>2333</v>
      </c>
      <c r="I396" s="7">
        <v>113</v>
      </c>
      <c r="J396" s="7">
        <v>0</v>
      </c>
      <c r="K396" s="7" t="s">
        <v>18</v>
      </c>
      <c r="L396" s="8">
        <v>39987.315405092595</v>
      </c>
      <c r="M396" s="9" t="s">
        <v>19</v>
      </c>
      <c r="N396" s="9" t="s">
        <v>20</v>
      </c>
      <c r="O396" s="6" t="str">
        <f>HYPERLINK("https://pbs.twimg.com/profile_images/962471262747529216/Uo8lOkRJ_normal.jpg","View")</f>
        <v>View</v>
      </c>
      <c r="P396" s="7"/>
    </row>
    <row r="397" spans="1:16">
      <c r="A397" s="3">
        <v>43808.028749999998</v>
      </c>
      <c r="B397" s="4" t="str">
        <f>HYPERLINK("https://twitter.com/petrogustavo","@petrogustavo")</f>
        <v>@petrogustavo</v>
      </c>
      <c r="C397" s="5" t="s">
        <v>16</v>
      </c>
      <c r="D397" s="5" t="s">
        <v>423</v>
      </c>
      <c r="E397" s="6" t="str">
        <f>HYPERLINK("https://twitter.com/petrogustavo/status/1203753963507597314","1203753963507597314")</f>
        <v>1203753963507597314</v>
      </c>
      <c r="F397" s="7" t="s">
        <v>17</v>
      </c>
      <c r="G397" s="7">
        <v>3575472</v>
      </c>
      <c r="H397" s="7">
        <v>2333</v>
      </c>
      <c r="I397" s="7">
        <v>1172</v>
      </c>
      <c r="J397" s="7">
        <v>0</v>
      </c>
      <c r="K397" s="7" t="s">
        <v>18</v>
      </c>
      <c r="L397" s="8">
        <v>39987.315405092595</v>
      </c>
      <c r="M397" s="9" t="s">
        <v>19</v>
      </c>
      <c r="N397" s="9" t="s">
        <v>20</v>
      </c>
      <c r="O397" s="6" t="str">
        <f>HYPERLINK("https://pbs.twimg.com/profile_images/962471262747529216/Uo8lOkRJ_normal.jpg","View")</f>
        <v>View</v>
      </c>
      <c r="P397" s="7"/>
    </row>
    <row r="398" spans="1:16">
      <c r="A398" s="3">
        <v>43808.029120370367</v>
      </c>
      <c r="B398" s="4" t="str">
        <f>HYPERLINK("https://twitter.com/petrogustavo","@petrogustavo")</f>
        <v>@petrogustavo</v>
      </c>
      <c r="C398" s="5" t="s">
        <v>16</v>
      </c>
      <c r="D398" s="5" t="s">
        <v>424</v>
      </c>
      <c r="E398" s="6" t="str">
        <f>HYPERLINK("https://twitter.com/petrogustavo/status/1203754097968590850","1203754097968590850")</f>
        <v>1203754097968590850</v>
      </c>
      <c r="F398" s="7" t="s">
        <v>17</v>
      </c>
      <c r="G398" s="7">
        <v>3575472</v>
      </c>
      <c r="H398" s="7">
        <v>2333</v>
      </c>
      <c r="I398" s="7">
        <v>100</v>
      </c>
      <c r="J398" s="7">
        <v>0</v>
      </c>
      <c r="K398" s="7" t="s">
        <v>18</v>
      </c>
      <c r="L398" s="8">
        <v>39987.315405092595</v>
      </c>
      <c r="M398" s="9" t="s">
        <v>19</v>
      </c>
      <c r="N398" s="9" t="s">
        <v>20</v>
      </c>
      <c r="O398" s="6" t="str">
        <f>HYPERLINK("https://pbs.twimg.com/profile_images/962471262747529216/Uo8lOkRJ_normal.jpg","View")</f>
        <v>View</v>
      </c>
      <c r="P398" s="7"/>
    </row>
    <row r="399" spans="1:16">
      <c r="A399" s="3">
        <v>43808.034178240741</v>
      </c>
      <c r="B399" s="4" t="str">
        <f>HYPERLINK("https://twitter.com/petrogustavo","@petrogustavo")</f>
        <v>@petrogustavo</v>
      </c>
      <c r="C399" s="5" t="s">
        <v>16</v>
      </c>
      <c r="D399" s="5" t="s">
        <v>425</v>
      </c>
      <c r="E399" s="6" t="str">
        <f>HYPERLINK("https://twitter.com/petrogustavo/status/1203755932011896833","1203755932011896833")</f>
        <v>1203755932011896833</v>
      </c>
      <c r="F399" s="7" t="s">
        <v>17</v>
      </c>
      <c r="G399" s="7">
        <v>3575500</v>
      </c>
      <c r="H399" s="7">
        <v>2333</v>
      </c>
      <c r="I399" s="7">
        <v>69</v>
      </c>
      <c r="J399" s="7">
        <v>0</v>
      </c>
      <c r="K399" s="7" t="s">
        <v>18</v>
      </c>
      <c r="L399" s="8">
        <v>39987.315405092595</v>
      </c>
      <c r="M399" s="9" t="s">
        <v>19</v>
      </c>
      <c r="N399" s="9" t="s">
        <v>20</v>
      </c>
      <c r="O399" s="6" t="str">
        <f>HYPERLINK("https://pbs.twimg.com/profile_images/962471262747529216/Uo8lOkRJ_normal.jpg","View")</f>
        <v>View</v>
      </c>
      <c r="P399" s="7"/>
    </row>
    <row r="400" spans="1:16">
      <c r="A400" s="3">
        <v>43808.034837962958</v>
      </c>
      <c r="B400" s="4" t="str">
        <f>HYPERLINK("https://twitter.com/petrogustavo","@petrogustavo")</f>
        <v>@petrogustavo</v>
      </c>
      <c r="C400" s="5" t="s">
        <v>16</v>
      </c>
      <c r="D400" s="5" t="s">
        <v>426</v>
      </c>
      <c r="E400" s="6" t="str">
        <f>HYPERLINK("https://twitter.com/petrogustavo/status/1203756171368304640","1203756171368304640")</f>
        <v>1203756171368304640</v>
      </c>
      <c r="F400" s="7" t="s">
        <v>17</v>
      </c>
      <c r="G400" s="7">
        <v>3575500</v>
      </c>
      <c r="H400" s="7">
        <v>2333</v>
      </c>
      <c r="I400" s="7">
        <v>119</v>
      </c>
      <c r="J400" s="7">
        <v>0</v>
      </c>
      <c r="K400" s="7" t="s">
        <v>18</v>
      </c>
      <c r="L400" s="8">
        <v>39987.315405092595</v>
      </c>
      <c r="M400" s="9" t="s">
        <v>19</v>
      </c>
      <c r="N400" s="9" t="s">
        <v>20</v>
      </c>
      <c r="O400" s="6" t="str">
        <f>HYPERLINK("https://pbs.twimg.com/profile_images/962471262747529216/Uo8lOkRJ_normal.jpg","View")</f>
        <v>View</v>
      </c>
      <c r="P400" s="7"/>
    </row>
    <row r="401" spans="1:16">
      <c r="A401" s="3">
        <v>43808.03606481482</v>
      </c>
      <c r="B401" s="4" t="str">
        <f>HYPERLINK("https://twitter.com/petrogustavo","@petrogustavo")</f>
        <v>@petrogustavo</v>
      </c>
      <c r="C401" s="5" t="s">
        <v>16</v>
      </c>
      <c r="D401" s="5" t="s">
        <v>427</v>
      </c>
      <c r="E401" s="6" t="str">
        <f>HYPERLINK("https://twitter.com/petrogustavo/status/1203756615406620673","1203756615406620673")</f>
        <v>1203756615406620673</v>
      </c>
      <c r="F401" s="7" t="s">
        <v>17</v>
      </c>
      <c r="G401" s="7">
        <v>3575500</v>
      </c>
      <c r="H401" s="7">
        <v>2333</v>
      </c>
      <c r="I401" s="7">
        <v>92</v>
      </c>
      <c r="J401" s="7">
        <v>0</v>
      </c>
      <c r="K401" s="7" t="s">
        <v>18</v>
      </c>
      <c r="L401" s="8">
        <v>39987.315405092595</v>
      </c>
      <c r="M401" s="9" t="s">
        <v>19</v>
      </c>
      <c r="N401" s="9" t="s">
        <v>20</v>
      </c>
      <c r="O401" s="6" t="str">
        <f>HYPERLINK("https://pbs.twimg.com/profile_images/962471262747529216/Uo8lOkRJ_normal.jpg","View")</f>
        <v>View</v>
      </c>
      <c r="P401" s="7"/>
    </row>
    <row r="402" spans="1:16">
      <c r="A402" s="3">
        <v>43808.036145833335</v>
      </c>
      <c r="B402" s="4" t="str">
        <f>HYPERLINK("https://twitter.com/petrogustavo","@petrogustavo")</f>
        <v>@petrogustavo</v>
      </c>
      <c r="C402" s="5" t="s">
        <v>16</v>
      </c>
      <c r="D402" s="5" t="s">
        <v>428</v>
      </c>
      <c r="E402" s="6" t="str">
        <f>HYPERLINK("https://twitter.com/petrogustavo/status/1203756645853077510","1203756645853077510")</f>
        <v>1203756645853077510</v>
      </c>
      <c r="F402" s="7" t="s">
        <v>17</v>
      </c>
      <c r="G402" s="7">
        <v>3575500</v>
      </c>
      <c r="H402" s="7">
        <v>2333</v>
      </c>
      <c r="I402" s="7">
        <v>114</v>
      </c>
      <c r="J402" s="7">
        <v>0</v>
      </c>
      <c r="K402" s="7" t="s">
        <v>18</v>
      </c>
      <c r="L402" s="8">
        <v>39987.315405092595</v>
      </c>
      <c r="M402" s="9" t="s">
        <v>19</v>
      </c>
      <c r="N402" s="9" t="s">
        <v>20</v>
      </c>
      <c r="O402" s="6" t="str">
        <f>HYPERLINK("https://pbs.twimg.com/profile_images/962471262747529216/Uo8lOkRJ_normal.jpg","View")</f>
        <v>View</v>
      </c>
      <c r="P402" s="7"/>
    </row>
    <row r="403" spans="1:16">
      <c r="A403" s="3">
        <v>43808.036817129629</v>
      </c>
      <c r="B403" s="4" t="str">
        <f>HYPERLINK("https://twitter.com/petrogustavo","@petrogustavo")</f>
        <v>@petrogustavo</v>
      </c>
      <c r="C403" s="5" t="s">
        <v>16</v>
      </c>
      <c r="D403" s="5" t="s">
        <v>429</v>
      </c>
      <c r="E403" s="6" t="str">
        <f>HYPERLINK("https://twitter.com/petrogustavo/status/1203756888661413890","1203756888661413890")</f>
        <v>1203756888661413890</v>
      </c>
      <c r="F403" s="7" t="s">
        <v>17</v>
      </c>
      <c r="G403" s="7">
        <v>3575500</v>
      </c>
      <c r="H403" s="7">
        <v>2333</v>
      </c>
      <c r="I403" s="7">
        <v>1024</v>
      </c>
      <c r="J403" s="7">
        <v>0</v>
      </c>
      <c r="K403" s="7" t="s">
        <v>18</v>
      </c>
      <c r="L403" s="8">
        <v>39987.315405092595</v>
      </c>
      <c r="M403" s="9" t="s">
        <v>19</v>
      </c>
      <c r="N403" s="9" t="s">
        <v>20</v>
      </c>
      <c r="O403" s="6" t="str">
        <f>HYPERLINK("https://pbs.twimg.com/profile_images/962471262747529216/Uo8lOkRJ_normal.jpg","View")</f>
        <v>View</v>
      </c>
      <c r="P403" s="7"/>
    </row>
    <row r="404" spans="1:16">
      <c r="A404" s="3">
        <v>43808.037673611107</v>
      </c>
      <c r="B404" s="4" t="str">
        <f>HYPERLINK("https://twitter.com/petrogustavo","@petrogustavo")</f>
        <v>@petrogustavo</v>
      </c>
      <c r="C404" s="5" t="s">
        <v>16</v>
      </c>
      <c r="D404" s="5" t="s">
        <v>430</v>
      </c>
      <c r="E404" s="6" t="str">
        <f>HYPERLINK("https://twitter.com/petrogustavo/status/1203757199895539712","1203757199895539712")</f>
        <v>1203757199895539712</v>
      </c>
      <c r="F404" s="7" t="s">
        <v>17</v>
      </c>
      <c r="G404" s="7">
        <v>3575500</v>
      </c>
      <c r="H404" s="7">
        <v>2333</v>
      </c>
      <c r="I404" s="7">
        <v>455</v>
      </c>
      <c r="J404" s="7">
        <v>0</v>
      </c>
      <c r="K404" s="7" t="s">
        <v>18</v>
      </c>
      <c r="L404" s="8">
        <v>39987.315405092595</v>
      </c>
      <c r="M404" s="9" t="s">
        <v>19</v>
      </c>
      <c r="N404" s="9" t="s">
        <v>20</v>
      </c>
      <c r="O404" s="6" t="str">
        <f>HYPERLINK("https://pbs.twimg.com/profile_images/962471262747529216/Uo8lOkRJ_normal.jpg","View")</f>
        <v>View</v>
      </c>
      <c r="P404" s="7"/>
    </row>
    <row r="405" spans="1:16">
      <c r="A405" s="3">
        <v>43808.038136574076</v>
      </c>
      <c r="B405" s="4" t="str">
        <f>HYPERLINK("https://twitter.com/petrogustavo","@petrogustavo")</f>
        <v>@petrogustavo</v>
      </c>
      <c r="C405" s="5" t="s">
        <v>16</v>
      </c>
      <c r="D405" s="5" t="s">
        <v>431</v>
      </c>
      <c r="E405" s="6" t="str">
        <f>HYPERLINK("https://twitter.com/petrogustavo/status/1203757367202066434","1203757367202066434")</f>
        <v>1203757367202066434</v>
      </c>
      <c r="F405" s="7" t="s">
        <v>17</v>
      </c>
      <c r="G405" s="7">
        <v>3575500</v>
      </c>
      <c r="H405" s="7">
        <v>2333</v>
      </c>
      <c r="I405" s="7">
        <v>428</v>
      </c>
      <c r="J405" s="7">
        <v>0</v>
      </c>
      <c r="K405" s="7" t="s">
        <v>18</v>
      </c>
      <c r="L405" s="8">
        <v>39987.315405092595</v>
      </c>
      <c r="M405" s="9" t="s">
        <v>19</v>
      </c>
      <c r="N405" s="9" t="s">
        <v>20</v>
      </c>
      <c r="O405" s="6" t="str">
        <f>HYPERLINK("https://pbs.twimg.com/profile_images/962471262747529216/Uo8lOkRJ_normal.jpg","View")</f>
        <v>View</v>
      </c>
      <c r="P405" s="7"/>
    </row>
    <row r="406" spans="1:16">
      <c r="A406" s="3">
        <v>43808.038611111115</v>
      </c>
      <c r="B406" s="4" t="str">
        <f>HYPERLINK("https://twitter.com/petrogustavo","@petrogustavo")</f>
        <v>@petrogustavo</v>
      </c>
      <c r="C406" s="5" t="s">
        <v>16</v>
      </c>
      <c r="D406" s="5" t="s">
        <v>432</v>
      </c>
      <c r="E406" s="6" t="str">
        <f>HYPERLINK("https://twitter.com/petrogustavo/status/1203757538019364870","1203757538019364870")</f>
        <v>1203757538019364870</v>
      </c>
      <c r="F406" s="7" t="s">
        <v>17</v>
      </c>
      <c r="G406" s="7">
        <v>3575500</v>
      </c>
      <c r="H406" s="7">
        <v>2333</v>
      </c>
      <c r="I406" s="7">
        <v>381</v>
      </c>
      <c r="J406" s="7">
        <v>0</v>
      </c>
      <c r="K406" s="7" t="s">
        <v>18</v>
      </c>
      <c r="L406" s="8">
        <v>39987.315405092595</v>
      </c>
      <c r="M406" s="9" t="s">
        <v>19</v>
      </c>
      <c r="N406" s="9" t="s">
        <v>20</v>
      </c>
      <c r="O406" s="6" t="str">
        <f>HYPERLINK("https://pbs.twimg.com/profile_images/962471262747529216/Uo8lOkRJ_normal.jpg","View")</f>
        <v>View</v>
      </c>
      <c r="P406" s="7"/>
    </row>
    <row r="407" spans="1:16">
      <c r="A407" s="3">
        <v>43808.039224537039</v>
      </c>
      <c r="B407" s="4" t="str">
        <f>HYPERLINK("https://twitter.com/petrogustavo","@petrogustavo")</f>
        <v>@petrogustavo</v>
      </c>
      <c r="C407" s="5" t="s">
        <v>16</v>
      </c>
      <c r="D407" s="5" t="s">
        <v>433</v>
      </c>
      <c r="E407" s="6" t="str">
        <f>HYPERLINK("https://twitter.com/petrogustavo/status/1203757761038823425","1203757761038823425")</f>
        <v>1203757761038823425</v>
      </c>
      <c r="F407" s="7" t="s">
        <v>17</v>
      </c>
      <c r="G407" s="7">
        <v>3575500</v>
      </c>
      <c r="H407" s="7">
        <v>2333</v>
      </c>
      <c r="I407" s="7">
        <v>65</v>
      </c>
      <c r="J407" s="7">
        <v>0</v>
      </c>
      <c r="K407" s="7" t="s">
        <v>18</v>
      </c>
      <c r="L407" s="8">
        <v>39987.315405092595</v>
      </c>
      <c r="M407" s="9" t="s">
        <v>19</v>
      </c>
      <c r="N407" s="9" t="s">
        <v>20</v>
      </c>
      <c r="O407" s="6" t="str">
        <f>HYPERLINK("https://pbs.twimg.com/profile_images/962471262747529216/Uo8lOkRJ_normal.jpg","View")</f>
        <v>View</v>
      </c>
      <c r="P407" s="7"/>
    </row>
    <row r="408" spans="1:16">
      <c r="A408" s="3">
        <v>43808.040509259255</v>
      </c>
      <c r="B408" s="4" t="str">
        <f>HYPERLINK("https://twitter.com/petrogustavo","@petrogustavo")</f>
        <v>@petrogustavo</v>
      </c>
      <c r="C408" s="5" t="s">
        <v>16</v>
      </c>
      <c r="D408" s="5" t="s">
        <v>434</v>
      </c>
      <c r="E408" s="6" t="str">
        <f>HYPERLINK("https://twitter.com/petrogustavo/status/1203758224706588672","1203758224706588672")</f>
        <v>1203758224706588672</v>
      </c>
      <c r="F408" s="7" t="s">
        <v>17</v>
      </c>
      <c r="G408" s="7">
        <v>3575500</v>
      </c>
      <c r="H408" s="7">
        <v>2333</v>
      </c>
      <c r="I408" s="7">
        <v>265</v>
      </c>
      <c r="J408" s="7">
        <v>0</v>
      </c>
      <c r="K408" s="7" t="s">
        <v>18</v>
      </c>
      <c r="L408" s="8">
        <v>39987.315405092595</v>
      </c>
      <c r="M408" s="9" t="s">
        <v>19</v>
      </c>
      <c r="N408" s="9" t="s">
        <v>20</v>
      </c>
      <c r="O408" s="6" t="str">
        <f>HYPERLINK("https://pbs.twimg.com/profile_images/962471262747529216/Uo8lOkRJ_normal.jpg","View")</f>
        <v>View</v>
      </c>
      <c r="P408" s="7"/>
    </row>
    <row r="409" spans="1:16">
      <c r="A409" s="3">
        <v>43808.041180555556</v>
      </c>
      <c r="B409" s="4" t="str">
        <f>HYPERLINK("https://twitter.com/petrogustavo","@petrogustavo")</f>
        <v>@petrogustavo</v>
      </c>
      <c r="C409" s="5" t="s">
        <v>16</v>
      </c>
      <c r="D409" s="5" t="s">
        <v>435</v>
      </c>
      <c r="E409" s="6" t="str">
        <f>HYPERLINK("https://twitter.com/petrogustavo/status/1203758469741981698","1203758469741981698")</f>
        <v>1203758469741981698</v>
      </c>
      <c r="F409" s="7" t="s">
        <v>17</v>
      </c>
      <c r="G409" s="7">
        <v>3575500</v>
      </c>
      <c r="H409" s="7">
        <v>2333</v>
      </c>
      <c r="I409" s="7">
        <v>87</v>
      </c>
      <c r="J409" s="7">
        <v>0</v>
      </c>
      <c r="K409" s="7" t="s">
        <v>18</v>
      </c>
      <c r="L409" s="8">
        <v>39987.315405092595</v>
      </c>
      <c r="M409" s="9" t="s">
        <v>19</v>
      </c>
      <c r="N409" s="9" t="s">
        <v>20</v>
      </c>
      <c r="O409" s="6" t="str">
        <f>HYPERLINK("https://pbs.twimg.com/profile_images/962471262747529216/Uo8lOkRJ_normal.jpg","View")</f>
        <v>View</v>
      </c>
      <c r="P409" s="7"/>
    </row>
    <row r="410" spans="1:16">
      <c r="A410" s="3">
        <v>43808.041701388887</v>
      </c>
      <c r="B410" s="4" t="str">
        <f>HYPERLINK("https://twitter.com/petrogustavo","@petrogustavo")</f>
        <v>@petrogustavo</v>
      </c>
      <c r="C410" s="5" t="s">
        <v>16</v>
      </c>
      <c r="D410" s="5" t="s">
        <v>436</v>
      </c>
      <c r="E410" s="6" t="str">
        <f>HYPERLINK("https://twitter.com/petrogustavo/status/1203758658527649795","1203758658527649795")</f>
        <v>1203758658527649795</v>
      </c>
      <c r="F410" s="7" t="s">
        <v>17</v>
      </c>
      <c r="G410" s="7">
        <v>3575500</v>
      </c>
      <c r="H410" s="7">
        <v>2333</v>
      </c>
      <c r="I410" s="7">
        <v>2043</v>
      </c>
      <c r="J410" s="7">
        <v>0</v>
      </c>
      <c r="K410" s="7" t="s">
        <v>18</v>
      </c>
      <c r="L410" s="8">
        <v>39987.315405092595</v>
      </c>
      <c r="M410" s="9" t="s">
        <v>19</v>
      </c>
      <c r="N410" s="9" t="s">
        <v>20</v>
      </c>
      <c r="O410" s="6" t="str">
        <f>HYPERLINK("https://pbs.twimg.com/profile_images/962471262747529216/Uo8lOkRJ_normal.jpg","View")</f>
        <v>View</v>
      </c>
      <c r="P410" s="7"/>
    </row>
    <row r="411" spans="1:16">
      <c r="A411" s="3">
        <v>43808.043645833328</v>
      </c>
      <c r="B411" s="4" t="str">
        <f>HYPERLINK("https://twitter.com/petrogustavo","@petrogustavo")</f>
        <v>@petrogustavo</v>
      </c>
      <c r="C411" s="5" t="s">
        <v>16</v>
      </c>
      <c r="D411" s="5" t="s">
        <v>437</v>
      </c>
      <c r="E411" s="6" t="str">
        <f>HYPERLINK("https://twitter.com/petrogustavo/status/1203759363581763587","1203759363581763587")</f>
        <v>1203759363581763587</v>
      </c>
      <c r="F411" s="7" t="s">
        <v>17</v>
      </c>
      <c r="G411" s="7">
        <v>3575500</v>
      </c>
      <c r="H411" s="7">
        <v>2333</v>
      </c>
      <c r="I411" s="7">
        <v>77</v>
      </c>
      <c r="J411" s="7">
        <v>0</v>
      </c>
      <c r="K411" s="7" t="s">
        <v>18</v>
      </c>
      <c r="L411" s="8">
        <v>39987.315405092595</v>
      </c>
      <c r="M411" s="9" t="s">
        <v>19</v>
      </c>
      <c r="N411" s="9" t="s">
        <v>20</v>
      </c>
      <c r="O411" s="6" t="str">
        <f>HYPERLINK("https://pbs.twimg.com/profile_images/962471262747529216/Uo8lOkRJ_normal.jpg","View")</f>
        <v>View</v>
      </c>
      <c r="P411" s="7"/>
    </row>
    <row r="412" spans="1:16">
      <c r="A412" s="3">
        <v>43808.044340277775</v>
      </c>
      <c r="B412" s="4" t="str">
        <f>HYPERLINK("https://twitter.com/petrogustavo","@petrogustavo")</f>
        <v>@petrogustavo</v>
      </c>
      <c r="C412" s="5" t="s">
        <v>16</v>
      </c>
      <c r="D412" s="5" t="s">
        <v>438</v>
      </c>
      <c r="E412" s="6" t="str">
        <f>HYPERLINK("https://twitter.com/petrogustavo/status/1203759614984110083","1203759614984110083")</f>
        <v>1203759614984110083</v>
      </c>
      <c r="F412" s="7" t="s">
        <v>17</v>
      </c>
      <c r="G412" s="7">
        <v>3575500</v>
      </c>
      <c r="H412" s="7">
        <v>2333</v>
      </c>
      <c r="I412" s="7">
        <v>85</v>
      </c>
      <c r="J412" s="7">
        <v>0</v>
      </c>
      <c r="K412" s="7" t="s">
        <v>18</v>
      </c>
      <c r="L412" s="8">
        <v>39987.315405092595</v>
      </c>
      <c r="M412" s="9" t="s">
        <v>19</v>
      </c>
      <c r="N412" s="9" t="s">
        <v>20</v>
      </c>
      <c r="O412" s="6" t="str">
        <f>HYPERLINK("https://pbs.twimg.com/profile_images/962471262747529216/Uo8lOkRJ_normal.jpg","View")</f>
        <v>View</v>
      </c>
      <c r="P412" s="7"/>
    </row>
    <row r="413" spans="1:16">
      <c r="A413" s="3">
        <v>43808.045277777783</v>
      </c>
      <c r="B413" s="4" t="str">
        <f>HYPERLINK("https://twitter.com/petrogustavo","@petrogustavo")</f>
        <v>@petrogustavo</v>
      </c>
      <c r="C413" s="5" t="s">
        <v>16</v>
      </c>
      <c r="D413" s="5" t="s">
        <v>439</v>
      </c>
      <c r="E413" s="6" t="str">
        <f>HYPERLINK("https://twitter.com/petrogustavo/status/1203759952822751232","1203759952822751232")</f>
        <v>1203759952822751232</v>
      </c>
      <c r="F413" s="7" t="s">
        <v>17</v>
      </c>
      <c r="G413" s="7">
        <v>3575500</v>
      </c>
      <c r="H413" s="7">
        <v>2333</v>
      </c>
      <c r="I413" s="7">
        <v>186</v>
      </c>
      <c r="J413" s="7">
        <v>0</v>
      </c>
      <c r="K413" s="7" t="s">
        <v>18</v>
      </c>
      <c r="L413" s="8">
        <v>39987.315405092595</v>
      </c>
      <c r="M413" s="9" t="s">
        <v>19</v>
      </c>
      <c r="N413" s="9" t="s">
        <v>20</v>
      </c>
      <c r="O413" s="6" t="str">
        <f>HYPERLINK("https://pbs.twimg.com/profile_images/962471262747529216/Uo8lOkRJ_normal.jpg","View")</f>
        <v>View</v>
      </c>
      <c r="P413" s="7"/>
    </row>
    <row r="414" spans="1:16">
      <c r="A414" s="3">
        <v>43808.048645833333</v>
      </c>
      <c r="B414" s="4" t="str">
        <f>HYPERLINK("https://twitter.com/petrogustavo","@petrogustavo")</f>
        <v>@petrogustavo</v>
      </c>
      <c r="C414" s="5" t="s">
        <v>16</v>
      </c>
      <c r="D414" s="5" t="s">
        <v>440</v>
      </c>
      <c r="E414" s="6" t="str">
        <f>HYPERLINK("https://twitter.com/petrogustavo/status/1203761175273627649","1203761175273627649")</f>
        <v>1203761175273627649</v>
      </c>
      <c r="F414" s="7" t="s">
        <v>17</v>
      </c>
      <c r="G414" s="7">
        <v>3575500</v>
      </c>
      <c r="H414" s="7">
        <v>2333</v>
      </c>
      <c r="I414" s="7">
        <v>61</v>
      </c>
      <c r="J414" s="7">
        <v>119</v>
      </c>
      <c r="K414" s="7" t="s">
        <v>18</v>
      </c>
      <c r="L414" s="8">
        <v>39987.315405092595</v>
      </c>
      <c r="M414" s="9" t="s">
        <v>19</v>
      </c>
      <c r="N414" s="9" t="s">
        <v>20</v>
      </c>
      <c r="O414" s="6" t="str">
        <f>HYPERLINK("https://pbs.twimg.com/profile_images/962471262747529216/Uo8lOkRJ_normal.jpg","View")</f>
        <v>View</v>
      </c>
      <c r="P414" s="7"/>
    </row>
    <row r="415" spans="1:16">
      <c r="A415" s="3">
        <v>43808.04965277778</v>
      </c>
      <c r="B415" s="4" t="str">
        <f>HYPERLINK("https://twitter.com/petrogustavo","@petrogustavo")</f>
        <v>@petrogustavo</v>
      </c>
      <c r="C415" s="5" t="s">
        <v>16</v>
      </c>
      <c r="D415" s="5" t="s">
        <v>424</v>
      </c>
      <c r="E415" s="6" t="str">
        <f>HYPERLINK("https://twitter.com/petrogustavo/status/1203761539154685953","1203761539154685953")</f>
        <v>1203761539154685953</v>
      </c>
      <c r="F415" s="7" t="s">
        <v>17</v>
      </c>
      <c r="G415" s="7">
        <v>3575500</v>
      </c>
      <c r="H415" s="7">
        <v>2333</v>
      </c>
      <c r="I415" s="7">
        <v>190</v>
      </c>
      <c r="J415" s="7">
        <v>0</v>
      </c>
      <c r="K415" s="7" t="s">
        <v>18</v>
      </c>
      <c r="L415" s="8">
        <v>39987.315405092595</v>
      </c>
      <c r="M415" s="9" t="s">
        <v>19</v>
      </c>
      <c r="N415" s="9" t="s">
        <v>20</v>
      </c>
      <c r="O415" s="6" t="str">
        <f>HYPERLINK("https://pbs.twimg.com/profile_images/962471262747529216/Uo8lOkRJ_normal.jpg","View")</f>
        <v>View</v>
      </c>
      <c r="P415" s="7"/>
    </row>
    <row r="416" spans="1:16">
      <c r="A416" s="3">
        <v>43808.051817129628</v>
      </c>
      <c r="B416" s="4" t="str">
        <f>HYPERLINK("https://twitter.com/petrogustavo","@petrogustavo")</f>
        <v>@petrogustavo</v>
      </c>
      <c r="C416" s="5" t="s">
        <v>16</v>
      </c>
      <c r="D416" s="5" t="s">
        <v>441</v>
      </c>
      <c r="E416" s="6" t="str">
        <f>HYPERLINK("https://twitter.com/petrogustavo/status/1203762324416454659","1203762324416454659")</f>
        <v>1203762324416454659</v>
      </c>
      <c r="F416" s="7" t="s">
        <v>17</v>
      </c>
      <c r="G416" s="7">
        <v>3575500</v>
      </c>
      <c r="H416" s="7">
        <v>2333</v>
      </c>
      <c r="I416" s="7">
        <v>54</v>
      </c>
      <c r="J416" s="7">
        <v>136</v>
      </c>
      <c r="K416" s="7" t="s">
        <v>18</v>
      </c>
      <c r="L416" s="8">
        <v>39987.315405092595</v>
      </c>
      <c r="M416" s="9" t="s">
        <v>19</v>
      </c>
      <c r="N416" s="9" t="s">
        <v>20</v>
      </c>
      <c r="O416" s="6" t="str">
        <f>HYPERLINK("https://pbs.twimg.com/profile_images/962471262747529216/Uo8lOkRJ_normal.jpg","View")</f>
        <v>View</v>
      </c>
      <c r="P416" s="7"/>
    </row>
    <row r="417" spans="1:16">
      <c r="A417" s="3">
        <v>43808.057743055557</v>
      </c>
      <c r="B417" s="4" t="str">
        <f>HYPERLINK("https://twitter.com/petrogustavo","@petrogustavo")</f>
        <v>@petrogustavo</v>
      </c>
      <c r="C417" s="5" t="s">
        <v>16</v>
      </c>
      <c r="D417" s="5" t="s">
        <v>442</v>
      </c>
      <c r="E417" s="6" t="str">
        <f>HYPERLINK("https://twitter.com/petrogustavo/status/1203764471577096192","1203764471577096192")</f>
        <v>1203764471577096192</v>
      </c>
      <c r="F417" s="7" t="s">
        <v>17</v>
      </c>
      <c r="G417" s="7">
        <v>3575510</v>
      </c>
      <c r="H417" s="7">
        <v>2333</v>
      </c>
      <c r="I417" s="7">
        <v>173</v>
      </c>
      <c r="J417" s="7">
        <v>0</v>
      </c>
      <c r="K417" s="7" t="s">
        <v>18</v>
      </c>
      <c r="L417" s="8">
        <v>39987.315405092595</v>
      </c>
      <c r="M417" s="9" t="s">
        <v>19</v>
      </c>
      <c r="N417" s="9" t="s">
        <v>20</v>
      </c>
      <c r="O417" s="6" t="str">
        <f>HYPERLINK("https://pbs.twimg.com/profile_images/962471262747529216/Uo8lOkRJ_normal.jpg","View")</f>
        <v>View</v>
      </c>
      <c r="P417" s="7"/>
    </row>
    <row r="418" spans="1:16">
      <c r="A418" s="3">
        <v>43808.065358796295</v>
      </c>
      <c r="B418" s="4" t="str">
        <f>HYPERLINK("https://twitter.com/petrogustavo","@petrogustavo")</f>
        <v>@petrogustavo</v>
      </c>
      <c r="C418" s="5" t="s">
        <v>16</v>
      </c>
      <c r="D418" s="5" t="s">
        <v>443</v>
      </c>
      <c r="E418" s="6" t="str">
        <f>HYPERLINK("https://twitter.com/petrogustavo/status/1203767229717856256","1203767229717856256")</f>
        <v>1203767229717856256</v>
      </c>
      <c r="F418" s="7" t="s">
        <v>17</v>
      </c>
      <c r="G418" s="7">
        <v>3575510</v>
      </c>
      <c r="H418" s="7">
        <v>2333</v>
      </c>
      <c r="I418" s="7">
        <v>30</v>
      </c>
      <c r="J418" s="7">
        <v>0</v>
      </c>
      <c r="K418" s="7" t="s">
        <v>18</v>
      </c>
      <c r="L418" s="8">
        <v>39987.315405092595</v>
      </c>
      <c r="M418" s="9" t="s">
        <v>19</v>
      </c>
      <c r="N418" s="9" t="s">
        <v>20</v>
      </c>
      <c r="O418" s="6" t="str">
        <f>HYPERLINK("https://pbs.twimg.com/profile_images/962471262747529216/Uo8lOkRJ_normal.jpg","View")</f>
        <v>View</v>
      </c>
      <c r="P418" s="7"/>
    </row>
    <row r="419" spans="1:16">
      <c r="A419" s="3">
        <v>43808.069930555561</v>
      </c>
      <c r="B419" s="4" t="str">
        <f>HYPERLINK("https://twitter.com/petrogustavo","@petrogustavo")</f>
        <v>@petrogustavo</v>
      </c>
      <c r="C419" s="5" t="s">
        <v>16</v>
      </c>
      <c r="D419" s="5" t="s">
        <v>444</v>
      </c>
      <c r="E419" s="6" t="str">
        <f>HYPERLINK("https://twitter.com/petrogustavo/status/1203768888623861760","1203768888623861760")</f>
        <v>1203768888623861760</v>
      </c>
      <c r="F419" s="7" t="s">
        <v>17</v>
      </c>
      <c r="G419" s="7">
        <v>3575510</v>
      </c>
      <c r="H419" s="7">
        <v>2333</v>
      </c>
      <c r="I419" s="7">
        <v>76</v>
      </c>
      <c r="J419" s="7">
        <v>0</v>
      </c>
      <c r="K419" s="7" t="s">
        <v>18</v>
      </c>
      <c r="L419" s="8">
        <v>39987.315405092595</v>
      </c>
      <c r="M419" s="9" t="s">
        <v>19</v>
      </c>
      <c r="N419" s="9" t="s">
        <v>20</v>
      </c>
      <c r="O419" s="6" t="str">
        <f>HYPERLINK("https://pbs.twimg.com/profile_images/962471262747529216/Uo8lOkRJ_normal.jpg","View")</f>
        <v>View</v>
      </c>
      <c r="P419" s="7"/>
    </row>
    <row r="420" spans="1:16">
      <c r="A420" s="3">
        <v>43808.084178240737</v>
      </c>
      <c r="B420" s="4" t="str">
        <f>HYPERLINK("https://twitter.com/petrogustavo","@petrogustavo")</f>
        <v>@petrogustavo</v>
      </c>
      <c r="C420" s="5" t="s">
        <v>16</v>
      </c>
      <c r="D420" s="5" t="s">
        <v>445</v>
      </c>
      <c r="E420" s="6" t="str">
        <f>HYPERLINK("https://twitter.com/petrogustavo/status/1203774049521942528","1203774049521942528")</f>
        <v>1203774049521942528</v>
      </c>
      <c r="F420" s="7" t="s">
        <v>17</v>
      </c>
      <c r="G420" s="7">
        <v>3575540</v>
      </c>
      <c r="H420" s="7">
        <v>2333</v>
      </c>
      <c r="I420" s="7">
        <v>618</v>
      </c>
      <c r="J420" s="7">
        <v>0</v>
      </c>
      <c r="K420" s="7" t="s">
        <v>18</v>
      </c>
      <c r="L420" s="8">
        <v>39987.315405092595</v>
      </c>
      <c r="M420" s="9" t="s">
        <v>19</v>
      </c>
      <c r="N420" s="9" t="s">
        <v>20</v>
      </c>
      <c r="O420" s="6" t="str">
        <f>HYPERLINK("https://pbs.twimg.com/profile_images/962471262747529216/Uo8lOkRJ_normal.jpg","View")</f>
        <v>View</v>
      </c>
      <c r="P420" s="7"/>
    </row>
    <row r="421" spans="1:16">
      <c r="A421" s="3">
        <v>43808.09684027778</v>
      </c>
      <c r="B421" s="4" t="str">
        <f>HYPERLINK("https://twitter.com/petrogustavo","@petrogustavo")</f>
        <v>@petrogustavo</v>
      </c>
      <c r="C421" s="5" t="s">
        <v>16</v>
      </c>
      <c r="D421" s="5" t="s">
        <v>446</v>
      </c>
      <c r="E421" s="6" t="str">
        <f>HYPERLINK("https://twitter.com/petrogustavo/status/1203778641261400067","1203778641261400067")</f>
        <v>1203778641261400067</v>
      </c>
      <c r="F421" s="7" t="s">
        <v>17</v>
      </c>
      <c r="G421" s="7">
        <v>3575564</v>
      </c>
      <c r="H421" s="7">
        <v>2333</v>
      </c>
      <c r="I421" s="7">
        <v>101</v>
      </c>
      <c r="J421" s="7">
        <v>525</v>
      </c>
      <c r="K421" s="7" t="s">
        <v>18</v>
      </c>
      <c r="L421" s="8">
        <v>39987.315405092595</v>
      </c>
      <c r="M421" s="9" t="s">
        <v>19</v>
      </c>
      <c r="N421" s="9" t="s">
        <v>20</v>
      </c>
      <c r="O421" s="6" t="str">
        <f>HYPERLINK("https://pbs.twimg.com/profile_images/962471262747529216/Uo8lOkRJ_normal.jpg","View")</f>
        <v>View</v>
      </c>
      <c r="P421" s="7"/>
    </row>
    <row r="422" spans="1:16">
      <c r="A422" s="3">
        <v>43808.110092592593</v>
      </c>
      <c r="B422" s="4" t="str">
        <f>HYPERLINK("https://twitter.com/petrogustavo","@petrogustavo")</f>
        <v>@petrogustavo</v>
      </c>
      <c r="C422" s="5" t="s">
        <v>16</v>
      </c>
      <c r="D422" s="5" t="s">
        <v>447</v>
      </c>
      <c r="E422" s="6" t="str">
        <f>HYPERLINK("https://twitter.com/petrogustavo/status/1203783440153415681","1203783440153415681")</f>
        <v>1203783440153415681</v>
      </c>
      <c r="F422" s="7" t="s">
        <v>17</v>
      </c>
      <c r="G422" s="7">
        <v>3575564</v>
      </c>
      <c r="H422" s="7">
        <v>2333</v>
      </c>
      <c r="I422" s="7">
        <v>185</v>
      </c>
      <c r="J422" s="7">
        <v>484</v>
      </c>
      <c r="K422" s="7" t="s">
        <v>18</v>
      </c>
      <c r="L422" s="8">
        <v>39987.315405092595</v>
      </c>
      <c r="M422" s="9" t="s">
        <v>19</v>
      </c>
      <c r="N422" s="9" t="s">
        <v>20</v>
      </c>
      <c r="O422" s="6" t="str">
        <f>HYPERLINK("https://pbs.twimg.com/profile_images/962471262747529216/Uo8lOkRJ_normal.jpg","View")</f>
        <v>View</v>
      </c>
      <c r="P422" s="7"/>
    </row>
    <row r="423" spans="1:16">
      <c r="A423" s="3">
        <v>43808.133206018523</v>
      </c>
      <c r="B423" s="4" t="str">
        <f>HYPERLINK("https://twitter.com/petrogustavo","@petrogustavo")</f>
        <v>@petrogustavo</v>
      </c>
      <c r="C423" s="5" t="s">
        <v>16</v>
      </c>
      <c r="D423" s="5" t="s">
        <v>448</v>
      </c>
      <c r="E423" s="6" t="str">
        <f>HYPERLINK("https://twitter.com/petrogustavo/status/1203791820016230403","1203791820016230403")</f>
        <v>1203791820016230403</v>
      </c>
      <c r="F423" s="7" t="s">
        <v>17</v>
      </c>
      <c r="G423" s="7">
        <v>3575591</v>
      </c>
      <c r="H423" s="7">
        <v>2333</v>
      </c>
      <c r="I423" s="7">
        <v>297</v>
      </c>
      <c r="J423" s="7">
        <v>0</v>
      </c>
      <c r="K423" s="7" t="s">
        <v>18</v>
      </c>
      <c r="L423" s="8">
        <v>39987.315405092595</v>
      </c>
      <c r="M423" s="9" t="s">
        <v>19</v>
      </c>
      <c r="N423" s="9" t="s">
        <v>20</v>
      </c>
      <c r="O423" s="6" t="str">
        <f>HYPERLINK("https://pbs.twimg.com/profile_images/962471262747529216/Uo8lOkRJ_normal.jpg","View")</f>
        <v>View</v>
      </c>
      <c r="P423" s="7"/>
    </row>
    <row r="424" spans="1:16">
      <c r="A424" s="3">
        <v>43808.133854166663</v>
      </c>
      <c r="B424" s="4" t="str">
        <f>HYPERLINK("https://twitter.com/petrogustavo","@petrogustavo")</f>
        <v>@petrogustavo</v>
      </c>
      <c r="C424" s="5" t="s">
        <v>16</v>
      </c>
      <c r="D424" s="5" t="s">
        <v>449</v>
      </c>
      <c r="E424" s="6" t="str">
        <f>HYPERLINK("https://twitter.com/petrogustavo/status/1203792053332856834","1203792053332856834")</f>
        <v>1203792053332856834</v>
      </c>
      <c r="F424" s="7" t="s">
        <v>17</v>
      </c>
      <c r="G424" s="7">
        <v>3575591</v>
      </c>
      <c r="H424" s="7">
        <v>2333</v>
      </c>
      <c r="I424" s="7">
        <v>472</v>
      </c>
      <c r="J424" s="7">
        <v>0</v>
      </c>
      <c r="K424" s="7" t="s">
        <v>18</v>
      </c>
      <c r="L424" s="8">
        <v>39987.315405092595</v>
      </c>
      <c r="M424" s="9" t="s">
        <v>19</v>
      </c>
      <c r="N424" s="9" t="s">
        <v>20</v>
      </c>
      <c r="O424" s="6" t="str">
        <f>HYPERLINK("https://pbs.twimg.com/profile_images/962471262747529216/Uo8lOkRJ_normal.jpg","View")</f>
        <v>View</v>
      </c>
      <c r="P424" s="7"/>
    </row>
    <row r="425" spans="1:16">
      <c r="A425" s="3">
        <v>43808.165439814809</v>
      </c>
      <c r="B425" s="4" t="str">
        <f>HYPERLINK("https://twitter.com/petrogustavo","@petrogustavo")</f>
        <v>@petrogustavo</v>
      </c>
      <c r="C425" s="5" t="s">
        <v>16</v>
      </c>
      <c r="D425" s="5" t="s">
        <v>450</v>
      </c>
      <c r="E425" s="6" t="str">
        <f>HYPERLINK("https://twitter.com/petrogustavo/status/1203803499747782661","1203803499747782661")</f>
        <v>1203803499747782661</v>
      </c>
      <c r="F425" s="7" t="s">
        <v>17</v>
      </c>
      <c r="G425" s="7">
        <v>3575649</v>
      </c>
      <c r="H425" s="7">
        <v>2333</v>
      </c>
      <c r="I425" s="7">
        <v>70</v>
      </c>
      <c r="J425" s="7">
        <v>0</v>
      </c>
      <c r="K425" s="7" t="s">
        <v>18</v>
      </c>
      <c r="L425" s="8">
        <v>39987.315405092595</v>
      </c>
      <c r="M425" s="9" t="s">
        <v>19</v>
      </c>
      <c r="N425" s="9" t="s">
        <v>20</v>
      </c>
      <c r="O425" s="6" t="str">
        <f>HYPERLINK("https://pbs.twimg.com/profile_images/962471262747529216/Uo8lOkRJ_normal.jpg","View")</f>
        <v>View</v>
      </c>
      <c r="P425" s="7"/>
    </row>
    <row r="426" spans="1:16">
      <c r="A426" s="3">
        <v>43808.184432870374</v>
      </c>
      <c r="B426" s="4" t="str">
        <f>HYPERLINK("https://twitter.com/petrogustavo","@petrogustavo")</f>
        <v>@petrogustavo</v>
      </c>
      <c r="C426" s="5" t="s">
        <v>16</v>
      </c>
      <c r="D426" s="5" t="s">
        <v>451</v>
      </c>
      <c r="E426" s="6" t="str">
        <f>HYPERLINK("https://twitter.com/petrogustavo/status/1203810383275995136","1203810383275995136")</f>
        <v>1203810383275995136</v>
      </c>
      <c r="F426" s="7" t="s">
        <v>17</v>
      </c>
      <c r="G426" s="7">
        <v>3575686</v>
      </c>
      <c r="H426" s="7">
        <v>2333</v>
      </c>
      <c r="I426" s="7">
        <v>231</v>
      </c>
      <c r="J426" s="7">
        <v>0</v>
      </c>
      <c r="K426" s="7" t="s">
        <v>18</v>
      </c>
      <c r="L426" s="8">
        <v>39987.315405092595</v>
      </c>
      <c r="M426" s="9" t="s">
        <v>19</v>
      </c>
      <c r="N426" s="9" t="s">
        <v>20</v>
      </c>
      <c r="O426" s="6" t="str">
        <f>HYPERLINK("https://pbs.twimg.com/profile_images/962471262747529216/Uo8lOkRJ_normal.jpg","View")</f>
        <v>View</v>
      </c>
      <c r="P426" s="7"/>
    </row>
    <row r="427" spans="1:16">
      <c r="A427" s="3">
        <v>43808.200729166667</v>
      </c>
      <c r="B427" s="4" t="str">
        <f>HYPERLINK("https://twitter.com/petrogustavo","@petrogustavo")</f>
        <v>@petrogustavo</v>
      </c>
      <c r="C427" s="5" t="s">
        <v>16</v>
      </c>
      <c r="D427" s="5" t="s">
        <v>452</v>
      </c>
      <c r="E427" s="6" t="str">
        <f>HYPERLINK("https://twitter.com/petrogustavo/status/1203816287241195520","1203816287241195520")</f>
        <v>1203816287241195520</v>
      </c>
      <c r="F427" s="7" t="s">
        <v>17</v>
      </c>
      <c r="G427" s="7">
        <v>3575716</v>
      </c>
      <c r="H427" s="7">
        <v>2333</v>
      </c>
      <c r="I427" s="7">
        <v>684</v>
      </c>
      <c r="J427" s="7">
        <v>0</v>
      </c>
      <c r="K427" s="7" t="s">
        <v>18</v>
      </c>
      <c r="L427" s="8">
        <v>39987.315405092595</v>
      </c>
      <c r="M427" s="9" t="s">
        <v>19</v>
      </c>
      <c r="N427" s="9" t="s">
        <v>20</v>
      </c>
      <c r="O427" s="6" t="str">
        <f>HYPERLINK("https://pbs.twimg.com/profile_images/962471262747529216/Uo8lOkRJ_normal.jpg","View")</f>
        <v>View</v>
      </c>
      <c r="P427" s="7"/>
    </row>
    <row r="428" spans="1:16">
      <c r="A428" s="3">
        <v>43808.212083333332</v>
      </c>
      <c r="B428" s="4" t="str">
        <f>HYPERLINK("https://twitter.com/petrogustavo","@petrogustavo")</f>
        <v>@petrogustavo</v>
      </c>
      <c r="C428" s="5" t="s">
        <v>16</v>
      </c>
      <c r="D428" s="5" t="s">
        <v>453</v>
      </c>
      <c r="E428" s="6" t="str">
        <f>HYPERLINK("https://twitter.com/petrogustavo/status/1203820403430510592","1203820403430510592")</f>
        <v>1203820403430510592</v>
      </c>
      <c r="F428" s="7" t="s">
        <v>17</v>
      </c>
      <c r="G428" s="7">
        <v>3575716</v>
      </c>
      <c r="H428" s="7">
        <v>2333</v>
      </c>
      <c r="I428" s="7">
        <v>299</v>
      </c>
      <c r="J428" s="7">
        <v>0</v>
      </c>
      <c r="K428" s="7" t="s">
        <v>18</v>
      </c>
      <c r="L428" s="8">
        <v>39987.315405092595</v>
      </c>
      <c r="M428" s="9" t="s">
        <v>19</v>
      </c>
      <c r="N428" s="9" t="s">
        <v>20</v>
      </c>
      <c r="O428" s="6" t="str">
        <f>HYPERLINK("https://pbs.twimg.com/profile_images/962471262747529216/Uo8lOkRJ_normal.jpg","View")</f>
        <v>View</v>
      </c>
      <c r="P428" s="7"/>
    </row>
    <row r="429" spans="1:16">
      <c r="A429" s="3">
        <v>43808.212326388893</v>
      </c>
      <c r="B429" s="4" t="str">
        <f>HYPERLINK("https://twitter.com/petrogustavo","@petrogustavo")</f>
        <v>@petrogustavo</v>
      </c>
      <c r="C429" s="5" t="s">
        <v>16</v>
      </c>
      <c r="D429" s="5" t="s">
        <v>454</v>
      </c>
      <c r="E429" s="6" t="str">
        <f>HYPERLINK("https://twitter.com/petrogustavo/status/1203820490613231617","1203820490613231617")</f>
        <v>1203820490613231617</v>
      </c>
      <c r="F429" s="7" t="s">
        <v>17</v>
      </c>
      <c r="G429" s="7">
        <v>3575716</v>
      </c>
      <c r="H429" s="7">
        <v>2333</v>
      </c>
      <c r="I429" s="7">
        <v>516</v>
      </c>
      <c r="J429" s="7">
        <v>0</v>
      </c>
      <c r="K429" s="7" t="s">
        <v>18</v>
      </c>
      <c r="L429" s="8">
        <v>39987.315405092595</v>
      </c>
      <c r="M429" s="9" t="s">
        <v>19</v>
      </c>
      <c r="N429" s="9" t="s">
        <v>20</v>
      </c>
      <c r="O429" s="6" t="str">
        <f>HYPERLINK("https://pbs.twimg.com/profile_images/962471262747529216/Uo8lOkRJ_normal.jpg","View")</f>
        <v>View</v>
      </c>
      <c r="P429" s="7"/>
    </row>
    <row r="430" spans="1:16">
      <c r="A430" s="3">
        <v>43808.222453703704</v>
      </c>
      <c r="B430" s="4" t="str">
        <f>HYPERLINK("https://twitter.com/petrogustavo","@petrogustavo")</f>
        <v>@petrogustavo</v>
      </c>
      <c r="C430" s="5" t="s">
        <v>16</v>
      </c>
      <c r="D430" s="5" t="s">
        <v>455</v>
      </c>
      <c r="E430" s="6" t="str">
        <f>HYPERLINK("https://twitter.com/petrogustavo/status/1203824162063765505","1203824162063765505")</f>
        <v>1203824162063765505</v>
      </c>
      <c r="F430" s="7" t="s">
        <v>17</v>
      </c>
      <c r="G430" s="7">
        <v>3575723</v>
      </c>
      <c r="H430" s="7">
        <v>2333</v>
      </c>
      <c r="I430" s="7">
        <v>257</v>
      </c>
      <c r="J430" s="7">
        <v>0</v>
      </c>
      <c r="K430" s="7" t="s">
        <v>18</v>
      </c>
      <c r="L430" s="8">
        <v>39987.315405092595</v>
      </c>
      <c r="M430" s="9" t="s">
        <v>19</v>
      </c>
      <c r="N430" s="9" t="s">
        <v>20</v>
      </c>
      <c r="O430" s="6" t="str">
        <f>HYPERLINK("https://pbs.twimg.com/profile_images/962471262747529216/Uo8lOkRJ_normal.jpg","View")</f>
        <v>View</v>
      </c>
      <c r="P430" s="7"/>
    </row>
    <row r="431" spans="1:16">
      <c r="A431" s="3">
        <v>43808.252696759257</v>
      </c>
      <c r="B431" s="4" t="str">
        <f>HYPERLINK("https://twitter.com/petrogustavo","@petrogustavo")</f>
        <v>@petrogustavo</v>
      </c>
      <c r="C431" s="5" t="s">
        <v>16</v>
      </c>
      <c r="D431" s="5" t="s">
        <v>456</v>
      </c>
      <c r="E431" s="6" t="str">
        <f>HYPERLINK("https://twitter.com/petrogustavo/status/1203835121931038720","1203835121931038720")</f>
        <v>1203835121931038720</v>
      </c>
      <c r="F431" s="7" t="s">
        <v>17</v>
      </c>
      <c r="G431" s="7">
        <v>3575750</v>
      </c>
      <c r="H431" s="7">
        <v>2333</v>
      </c>
      <c r="I431" s="7">
        <v>70</v>
      </c>
      <c r="J431" s="7">
        <v>162</v>
      </c>
      <c r="K431" s="7" t="s">
        <v>18</v>
      </c>
      <c r="L431" s="8">
        <v>39987.315405092595</v>
      </c>
      <c r="M431" s="9" t="s">
        <v>19</v>
      </c>
      <c r="N431" s="9" t="s">
        <v>20</v>
      </c>
      <c r="O431" s="6" t="str">
        <f>HYPERLINK("https://pbs.twimg.com/profile_images/962471262747529216/Uo8lOkRJ_normal.jpg","View")</f>
        <v>View</v>
      </c>
      <c r="P431" s="7"/>
    </row>
    <row r="432" spans="1:16">
      <c r="A432" s="3">
        <v>43808.301493055551</v>
      </c>
      <c r="B432" s="4" t="str">
        <f>HYPERLINK("https://twitter.com/petrogustavo","@petrogustavo")</f>
        <v>@petrogustavo</v>
      </c>
      <c r="C432" s="5" t="s">
        <v>16</v>
      </c>
      <c r="D432" s="5" t="s">
        <v>457</v>
      </c>
      <c r="E432" s="6" t="str">
        <f>HYPERLINK("https://twitter.com/petrogustavo/status/1203852801861967873","1203852801861967873")</f>
        <v>1203852801861967873</v>
      </c>
      <c r="F432" s="7" t="s">
        <v>17</v>
      </c>
      <c r="G432" s="7">
        <v>3575832</v>
      </c>
      <c r="H432" s="7">
        <v>2333</v>
      </c>
      <c r="I432" s="7">
        <v>137</v>
      </c>
      <c r="J432" s="7">
        <v>0</v>
      </c>
      <c r="K432" s="7" t="s">
        <v>18</v>
      </c>
      <c r="L432" s="8">
        <v>39987.315405092595</v>
      </c>
      <c r="M432" s="9" t="s">
        <v>19</v>
      </c>
      <c r="N432" s="9" t="s">
        <v>20</v>
      </c>
      <c r="O432" s="6" t="str">
        <f>HYPERLINK("https://pbs.twimg.com/profile_images/962471262747529216/Uo8lOkRJ_normal.jpg","View")</f>
        <v>View</v>
      </c>
      <c r="P432" s="7"/>
    </row>
    <row r="433" spans="1:16">
      <c r="A433" s="3">
        <v>43808.303460648152</v>
      </c>
      <c r="B433" s="4" t="str">
        <f>HYPERLINK("https://twitter.com/petrogustavo","@petrogustavo")</f>
        <v>@petrogustavo</v>
      </c>
      <c r="C433" s="5" t="s">
        <v>16</v>
      </c>
      <c r="D433" s="5" t="s">
        <v>458</v>
      </c>
      <c r="E433" s="6" t="str">
        <f>HYPERLINK("https://twitter.com/petrogustavo/status/1203853514453192705","1203853514453192705")</f>
        <v>1203853514453192705</v>
      </c>
      <c r="F433" s="7" t="s">
        <v>17</v>
      </c>
      <c r="G433" s="7">
        <v>3575832</v>
      </c>
      <c r="H433" s="7">
        <v>2333</v>
      </c>
      <c r="I433" s="7">
        <v>139</v>
      </c>
      <c r="J433" s="7">
        <v>0</v>
      </c>
      <c r="K433" s="7" t="s">
        <v>18</v>
      </c>
      <c r="L433" s="8">
        <v>39987.315405092595</v>
      </c>
      <c r="M433" s="9" t="s">
        <v>19</v>
      </c>
      <c r="N433" s="9" t="s">
        <v>20</v>
      </c>
      <c r="O433" s="6" t="str">
        <f>HYPERLINK("https://pbs.twimg.com/profile_images/962471262747529216/Uo8lOkRJ_normal.jpg","View")</f>
        <v>View</v>
      </c>
      <c r="P433" s="7"/>
    </row>
    <row r="434" spans="1:16">
      <c r="A434" s="3">
        <v>43808.303738425922</v>
      </c>
      <c r="B434" s="4" t="str">
        <f>HYPERLINK("https://twitter.com/petrogustavo","@petrogustavo")</f>
        <v>@petrogustavo</v>
      </c>
      <c r="C434" s="5" t="s">
        <v>16</v>
      </c>
      <c r="D434" s="5" t="s">
        <v>459</v>
      </c>
      <c r="E434" s="6" t="str">
        <f>HYPERLINK("https://twitter.com/petrogustavo/status/1203853616404160512","1203853616404160512")</f>
        <v>1203853616404160512</v>
      </c>
      <c r="F434" s="7" t="s">
        <v>17</v>
      </c>
      <c r="G434" s="7">
        <v>3575865</v>
      </c>
      <c r="H434" s="7">
        <v>2333</v>
      </c>
      <c r="I434" s="7">
        <v>2234</v>
      </c>
      <c r="J434" s="7">
        <v>0</v>
      </c>
      <c r="K434" s="7" t="s">
        <v>18</v>
      </c>
      <c r="L434" s="8">
        <v>39987.315405092595</v>
      </c>
      <c r="M434" s="9" t="s">
        <v>19</v>
      </c>
      <c r="N434" s="9" t="s">
        <v>20</v>
      </c>
      <c r="O434" s="6" t="str">
        <f>HYPERLINK("https://pbs.twimg.com/profile_images/962471262747529216/Uo8lOkRJ_normal.jpg","View")</f>
        <v>View</v>
      </c>
      <c r="P434" s="7"/>
    </row>
    <row r="435" spans="1:16">
      <c r="A435" s="3">
        <v>43808.308831018519</v>
      </c>
      <c r="B435" s="4" t="str">
        <f>HYPERLINK("https://twitter.com/petrogustavo","@petrogustavo")</f>
        <v>@petrogustavo</v>
      </c>
      <c r="C435" s="5" t="s">
        <v>16</v>
      </c>
      <c r="D435" s="5" t="s">
        <v>460</v>
      </c>
      <c r="E435" s="6" t="str">
        <f>HYPERLINK("https://twitter.com/petrogustavo/status/1203855461457506304","1203855461457506304")</f>
        <v>1203855461457506304</v>
      </c>
      <c r="F435" s="7" t="s">
        <v>17</v>
      </c>
      <c r="G435" s="7">
        <v>3575865</v>
      </c>
      <c r="H435" s="7">
        <v>2333</v>
      </c>
      <c r="I435" s="7">
        <v>150</v>
      </c>
      <c r="J435" s="7">
        <v>710</v>
      </c>
      <c r="K435" s="7" t="s">
        <v>18</v>
      </c>
      <c r="L435" s="8">
        <v>39987.315405092595</v>
      </c>
      <c r="M435" s="9" t="s">
        <v>19</v>
      </c>
      <c r="N435" s="9" t="s">
        <v>20</v>
      </c>
      <c r="O435" s="6" t="str">
        <f>HYPERLINK("https://pbs.twimg.com/profile_images/962471262747529216/Uo8lOkRJ_normal.jpg","View")</f>
        <v>View</v>
      </c>
      <c r="P435" s="7"/>
    </row>
    <row r="436" spans="1:16">
      <c r="A436" s="3">
        <v>43808.311168981483</v>
      </c>
      <c r="B436" s="4" t="str">
        <f>HYPERLINK("https://twitter.com/petrogustavo","@petrogustavo")</f>
        <v>@petrogustavo</v>
      </c>
      <c r="C436" s="5" t="s">
        <v>16</v>
      </c>
      <c r="D436" s="5" t="s">
        <v>461</v>
      </c>
      <c r="E436" s="6" t="str">
        <f>HYPERLINK("https://twitter.com/petrogustavo/status/1203856310414036992","1203856310414036992")</f>
        <v>1203856310414036992</v>
      </c>
      <c r="F436" s="7" t="s">
        <v>17</v>
      </c>
      <c r="G436" s="7">
        <v>3575865</v>
      </c>
      <c r="H436" s="7">
        <v>2333</v>
      </c>
      <c r="I436" s="7">
        <v>205</v>
      </c>
      <c r="J436" s="7">
        <v>875</v>
      </c>
      <c r="K436" s="7" t="s">
        <v>18</v>
      </c>
      <c r="L436" s="8">
        <v>39987.315405092595</v>
      </c>
      <c r="M436" s="9" t="s">
        <v>19</v>
      </c>
      <c r="N436" s="9" t="s">
        <v>20</v>
      </c>
      <c r="O436" s="6" t="str">
        <f>HYPERLINK("https://pbs.twimg.com/profile_images/962471262747529216/Uo8lOkRJ_normal.jpg","View")</f>
        <v>View</v>
      </c>
      <c r="P436" s="7"/>
    </row>
    <row r="437" spans="1:16">
      <c r="A437" s="3">
        <v>43808.794027777782</v>
      </c>
      <c r="B437" s="4" t="str">
        <f>HYPERLINK("https://twitter.com/petrogustavo","@petrogustavo")</f>
        <v>@petrogustavo</v>
      </c>
      <c r="C437" s="5" t="s">
        <v>16</v>
      </c>
      <c r="D437" s="5" t="s">
        <v>462</v>
      </c>
      <c r="E437" s="6" t="str">
        <f>HYPERLINK("https://twitter.com/petrogustavo/status/1204031290003132418","1204031290003132418")</f>
        <v>1204031290003132418</v>
      </c>
      <c r="F437" s="7" t="s">
        <v>17</v>
      </c>
      <c r="G437" s="7">
        <v>3576258</v>
      </c>
      <c r="H437" s="7">
        <v>2332</v>
      </c>
      <c r="I437" s="7">
        <v>146</v>
      </c>
      <c r="J437" s="7">
        <v>695</v>
      </c>
      <c r="K437" s="7" t="s">
        <v>18</v>
      </c>
      <c r="L437" s="8">
        <v>39987.315405092595</v>
      </c>
      <c r="M437" s="9" t="s">
        <v>19</v>
      </c>
      <c r="N437" s="9" t="s">
        <v>20</v>
      </c>
      <c r="O437" s="6" t="str">
        <f>HYPERLINK("https://pbs.twimg.com/profile_images/962471262747529216/Uo8lOkRJ_normal.jpg","View")</f>
        <v>View</v>
      </c>
      <c r="P437" s="7"/>
    </row>
    <row r="438" spans="1:16">
      <c r="A438" s="3">
        <v>43808.799618055556</v>
      </c>
      <c r="B438" s="4" t="str">
        <f>HYPERLINK("https://twitter.com/petrogustavo","@petrogustavo")</f>
        <v>@petrogustavo</v>
      </c>
      <c r="C438" s="5" t="s">
        <v>16</v>
      </c>
      <c r="D438" s="5" t="s">
        <v>463</v>
      </c>
      <c r="E438" s="6" t="str">
        <f>HYPERLINK("https://twitter.com/petrogustavo/status/1204033318985093122","1204033318985093122")</f>
        <v>1204033318985093122</v>
      </c>
      <c r="F438" s="7" t="s">
        <v>17</v>
      </c>
      <c r="G438" s="7">
        <v>3576258</v>
      </c>
      <c r="H438" s="7">
        <v>2332</v>
      </c>
      <c r="I438" s="7">
        <v>58</v>
      </c>
      <c r="J438" s="7">
        <v>0</v>
      </c>
      <c r="K438" s="7" t="s">
        <v>18</v>
      </c>
      <c r="L438" s="8">
        <v>39987.315405092595</v>
      </c>
      <c r="M438" s="9" t="s">
        <v>19</v>
      </c>
      <c r="N438" s="9" t="s">
        <v>20</v>
      </c>
      <c r="O438" s="6" t="str">
        <f>HYPERLINK("https://pbs.twimg.com/profile_images/962471262747529216/Uo8lOkRJ_normal.jpg","View")</f>
        <v>View</v>
      </c>
      <c r="P438" s="7"/>
    </row>
    <row r="439" spans="1:16">
      <c r="A439" s="3">
        <v>43808.803935185184</v>
      </c>
      <c r="B439" s="4" t="str">
        <f>HYPERLINK("https://twitter.com/petrogustavo","@petrogustavo")</f>
        <v>@petrogustavo</v>
      </c>
      <c r="C439" s="5" t="s">
        <v>16</v>
      </c>
      <c r="D439" s="5" t="s">
        <v>464</v>
      </c>
      <c r="E439" s="6" t="str">
        <f>HYPERLINK("https://twitter.com/petrogustavo/status/1204034883779211265","1204034883779211265")</f>
        <v>1204034883779211265</v>
      </c>
      <c r="F439" s="7" t="s">
        <v>17</v>
      </c>
      <c r="G439" s="7">
        <v>3576258</v>
      </c>
      <c r="H439" s="7">
        <v>2332</v>
      </c>
      <c r="I439" s="7">
        <v>0</v>
      </c>
      <c r="J439" s="7">
        <v>6</v>
      </c>
      <c r="K439" s="7" t="s">
        <v>18</v>
      </c>
      <c r="L439" s="8">
        <v>39987.315405092595</v>
      </c>
      <c r="M439" s="9" t="s">
        <v>19</v>
      </c>
      <c r="N439" s="9" t="s">
        <v>20</v>
      </c>
      <c r="O439" s="6" t="str">
        <f>HYPERLINK("https://pbs.twimg.com/profile_images/962471262747529216/Uo8lOkRJ_normal.jpg","View")</f>
        <v>View</v>
      </c>
      <c r="P439" s="7"/>
    </row>
    <row r="440" spans="1:16">
      <c r="A440" s="3">
        <v>43808.812581018516</v>
      </c>
      <c r="B440" s="4" t="str">
        <f>HYPERLINK("https://twitter.com/petrogustavo","@petrogustavo")</f>
        <v>@petrogustavo</v>
      </c>
      <c r="C440" s="5" t="s">
        <v>16</v>
      </c>
      <c r="D440" s="5" t="s">
        <v>465</v>
      </c>
      <c r="E440" s="6" t="str">
        <f>HYPERLINK("https://twitter.com/petrogustavo/status/1204038015523393536","1204038015523393536")</f>
        <v>1204038015523393536</v>
      </c>
      <c r="F440" s="7" t="s">
        <v>17</v>
      </c>
      <c r="G440" s="7">
        <v>3576287</v>
      </c>
      <c r="H440" s="7">
        <v>2332</v>
      </c>
      <c r="I440" s="7">
        <v>92</v>
      </c>
      <c r="J440" s="7">
        <v>275</v>
      </c>
      <c r="K440" s="7" t="s">
        <v>18</v>
      </c>
      <c r="L440" s="8">
        <v>39987.315405092595</v>
      </c>
      <c r="M440" s="9" t="s">
        <v>19</v>
      </c>
      <c r="N440" s="9" t="s">
        <v>20</v>
      </c>
      <c r="O440" s="6" t="str">
        <f>HYPERLINK("https://pbs.twimg.com/profile_images/962471262747529216/Uo8lOkRJ_normal.jpg","View")</f>
        <v>View</v>
      </c>
      <c r="P440" s="7"/>
    </row>
    <row r="441" spans="1:16">
      <c r="A441" s="3">
        <v>43808.820798611108</v>
      </c>
      <c r="B441" s="4" t="str">
        <f>HYPERLINK("https://twitter.com/petrogustavo","@petrogustavo")</f>
        <v>@petrogustavo</v>
      </c>
      <c r="C441" s="5" t="s">
        <v>16</v>
      </c>
      <c r="D441" s="5" t="s">
        <v>466</v>
      </c>
      <c r="E441" s="6" t="str">
        <f>HYPERLINK("https://twitter.com/petrogustavo/status/1204040993651208194","1204040993651208194")</f>
        <v>1204040993651208194</v>
      </c>
      <c r="F441" s="7" t="s">
        <v>17</v>
      </c>
      <c r="G441" s="7">
        <v>3576287</v>
      </c>
      <c r="H441" s="7">
        <v>2332</v>
      </c>
      <c r="I441" s="7">
        <v>4471</v>
      </c>
      <c r="J441" s="7">
        <v>0</v>
      </c>
      <c r="K441" s="7" t="s">
        <v>18</v>
      </c>
      <c r="L441" s="8">
        <v>39987.315405092595</v>
      </c>
      <c r="M441" s="9" t="s">
        <v>19</v>
      </c>
      <c r="N441" s="9" t="s">
        <v>20</v>
      </c>
      <c r="O441" s="6" t="str">
        <f>HYPERLINK("https://pbs.twimg.com/profile_images/962471262747529216/Uo8lOkRJ_normal.jpg","View")</f>
        <v>View</v>
      </c>
      <c r="P441" s="7"/>
    </row>
    <row r="442" spans="1:16">
      <c r="A442" s="3">
        <v>43808.82131944444</v>
      </c>
      <c r="B442" s="4" t="str">
        <f>HYPERLINK("https://twitter.com/petrogustavo","@petrogustavo")</f>
        <v>@petrogustavo</v>
      </c>
      <c r="C442" s="5" t="s">
        <v>16</v>
      </c>
      <c r="D442" s="5" t="s">
        <v>467</v>
      </c>
      <c r="E442" s="6" t="str">
        <f>HYPERLINK("https://twitter.com/petrogustavo/status/1204041183166681091","1204041183166681091")</f>
        <v>1204041183166681091</v>
      </c>
      <c r="F442" s="7" t="s">
        <v>17</v>
      </c>
      <c r="G442" s="7">
        <v>3576287</v>
      </c>
      <c r="H442" s="7">
        <v>2332</v>
      </c>
      <c r="I442" s="7">
        <v>539</v>
      </c>
      <c r="J442" s="7">
        <v>0</v>
      </c>
      <c r="K442" s="7" t="s">
        <v>18</v>
      </c>
      <c r="L442" s="8">
        <v>39987.315405092595</v>
      </c>
      <c r="M442" s="9" t="s">
        <v>19</v>
      </c>
      <c r="N442" s="9" t="s">
        <v>20</v>
      </c>
      <c r="O442" s="6" t="str">
        <f>HYPERLINK("https://pbs.twimg.com/profile_images/962471262747529216/Uo8lOkRJ_normal.jpg","View")</f>
        <v>View</v>
      </c>
      <c r="P442" s="7"/>
    </row>
    <row r="443" spans="1:16">
      <c r="A443" s="3">
        <v>43808.823819444442</v>
      </c>
      <c r="B443" s="4" t="str">
        <f>HYPERLINK("https://twitter.com/petrogustavo","@petrogustavo")</f>
        <v>@petrogustavo</v>
      </c>
      <c r="C443" s="5" t="s">
        <v>16</v>
      </c>
      <c r="D443" s="5" t="s">
        <v>468</v>
      </c>
      <c r="E443" s="6" t="str">
        <f>HYPERLINK("https://twitter.com/petrogustavo/status/1204042088863748096","1204042088863748096")</f>
        <v>1204042088863748096</v>
      </c>
      <c r="F443" s="7" t="s">
        <v>17</v>
      </c>
      <c r="G443" s="7">
        <v>3576287</v>
      </c>
      <c r="H443" s="7">
        <v>2332</v>
      </c>
      <c r="I443" s="7">
        <v>7</v>
      </c>
      <c r="J443" s="7">
        <v>23</v>
      </c>
      <c r="K443" s="7" t="s">
        <v>18</v>
      </c>
      <c r="L443" s="8">
        <v>39987.315405092595</v>
      </c>
      <c r="M443" s="9" t="s">
        <v>19</v>
      </c>
      <c r="N443" s="9" t="s">
        <v>20</v>
      </c>
      <c r="O443" s="6" t="str">
        <f>HYPERLINK("https://pbs.twimg.com/profile_images/962471262747529216/Uo8lOkRJ_normal.jpg","View")</f>
        <v>View</v>
      </c>
      <c r="P443" s="7"/>
    </row>
    <row r="444" spans="1:16">
      <c r="A444" s="3">
        <v>43808.825289351851</v>
      </c>
      <c r="B444" s="4" t="str">
        <f>HYPERLINK("https://twitter.com/petrogustavo","@petrogustavo")</f>
        <v>@petrogustavo</v>
      </c>
      <c r="C444" s="5" t="s">
        <v>16</v>
      </c>
      <c r="D444" s="5" t="s">
        <v>469</v>
      </c>
      <c r="E444" s="6" t="str">
        <f>HYPERLINK("https://twitter.com/petrogustavo/status/1204042619854168071","1204042619854168071")</f>
        <v>1204042619854168071</v>
      </c>
      <c r="F444" s="7" t="s">
        <v>17</v>
      </c>
      <c r="G444" s="7">
        <v>3576330</v>
      </c>
      <c r="H444" s="7">
        <v>2332</v>
      </c>
      <c r="I444" s="7">
        <v>156</v>
      </c>
      <c r="J444" s="7">
        <v>438</v>
      </c>
      <c r="K444" s="7" t="s">
        <v>18</v>
      </c>
      <c r="L444" s="8">
        <v>39987.315405092595</v>
      </c>
      <c r="M444" s="9" t="s">
        <v>19</v>
      </c>
      <c r="N444" s="9" t="s">
        <v>20</v>
      </c>
      <c r="O444" s="6" t="str">
        <f>HYPERLINK("https://pbs.twimg.com/profile_images/962471262747529216/Uo8lOkRJ_normal.jpg","View")</f>
        <v>View</v>
      </c>
      <c r="P444" s="7"/>
    </row>
    <row r="445" spans="1:16">
      <c r="A445" s="3">
        <v>43808.827499999999</v>
      </c>
      <c r="B445" s="4" t="str">
        <f>HYPERLINK("https://twitter.com/petrogustavo","@petrogustavo")</f>
        <v>@petrogustavo</v>
      </c>
      <c r="C445" s="5" t="s">
        <v>16</v>
      </c>
      <c r="D445" s="5" t="s">
        <v>470</v>
      </c>
      <c r="E445" s="6" t="str">
        <f>HYPERLINK("https://twitter.com/petrogustavo/status/1204043422434238464","1204043422434238464")</f>
        <v>1204043422434238464</v>
      </c>
      <c r="F445" s="7" t="s">
        <v>17</v>
      </c>
      <c r="G445" s="7">
        <v>3576330</v>
      </c>
      <c r="H445" s="7">
        <v>2332</v>
      </c>
      <c r="I445" s="7">
        <v>415</v>
      </c>
      <c r="J445" s="7">
        <v>1915</v>
      </c>
      <c r="K445" s="7" t="s">
        <v>18</v>
      </c>
      <c r="L445" s="8">
        <v>39987.315405092595</v>
      </c>
      <c r="M445" s="9" t="s">
        <v>19</v>
      </c>
      <c r="N445" s="9" t="s">
        <v>20</v>
      </c>
      <c r="O445" s="6" t="str">
        <f>HYPERLINK("https://pbs.twimg.com/profile_images/962471262747529216/Uo8lOkRJ_normal.jpg","View")</f>
        <v>View</v>
      </c>
      <c r="P445" s="7"/>
    </row>
    <row r="446" spans="1:16">
      <c r="A446" s="3">
        <v>43808.837800925925</v>
      </c>
      <c r="B446" s="4" t="str">
        <f>HYPERLINK("https://twitter.com/petrogustavo","@petrogustavo")</f>
        <v>@petrogustavo</v>
      </c>
      <c r="C446" s="5" t="s">
        <v>16</v>
      </c>
      <c r="D446" s="5" t="s">
        <v>471</v>
      </c>
      <c r="E446" s="6" t="str">
        <f>HYPERLINK("https://twitter.com/petrogustavo/status/1204047153007607808","1204047153007607808")</f>
        <v>1204047153007607808</v>
      </c>
      <c r="F446" s="7" t="s">
        <v>17</v>
      </c>
      <c r="G446" s="7">
        <v>3576330</v>
      </c>
      <c r="H446" s="7">
        <v>2332</v>
      </c>
      <c r="I446" s="7">
        <v>63</v>
      </c>
      <c r="J446" s="7">
        <v>198</v>
      </c>
      <c r="K446" s="7" t="s">
        <v>18</v>
      </c>
      <c r="L446" s="8">
        <v>39987.315405092595</v>
      </c>
      <c r="M446" s="9" t="s">
        <v>19</v>
      </c>
      <c r="N446" s="9" t="s">
        <v>20</v>
      </c>
      <c r="O446" s="6" t="str">
        <f>HYPERLINK("https://pbs.twimg.com/profile_images/962471262747529216/Uo8lOkRJ_normal.jpg","View")</f>
        <v>View</v>
      </c>
      <c r="P446" s="7"/>
    </row>
    <row r="447" spans="1:16">
      <c r="A447" s="3">
        <v>43808.837800925925</v>
      </c>
      <c r="B447" s="4" t="str">
        <f>HYPERLINK("https://twitter.com/petrogustavo","@petrogustavo")</f>
        <v>@petrogustavo</v>
      </c>
      <c r="C447" s="5" t="s">
        <v>16</v>
      </c>
      <c r="D447" s="5" t="s">
        <v>472</v>
      </c>
      <c r="E447" s="6" t="str">
        <f>HYPERLINK("https://twitter.com/petrogustavo/status/1204047154031071232","1204047154031071232")</f>
        <v>1204047154031071232</v>
      </c>
      <c r="F447" s="7" t="s">
        <v>17</v>
      </c>
      <c r="G447" s="7">
        <v>3576330</v>
      </c>
      <c r="H447" s="7">
        <v>2332</v>
      </c>
      <c r="I447" s="7">
        <v>25</v>
      </c>
      <c r="J447" s="7">
        <v>104</v>
      </c>
      <c r="K447" s="7" t="s">
        <v>18</v>
      </c>
      <c r="L447" s="8">
        <v>39987.315405092595</v>
      </c>
      <c r="M447" s="9" t="s">
        <v>19</v>
      </c>
      <c r="N447" s="9" t="s">
        <v>20</v>
      </c>
      <c r="O447" s="6" t="str">
        <f>HYPERLINK("https://pbs.twimg.com/profile_images/962471262747529216/Uo8lOkRJ_normal.jpg","View")</f>
        <v>View</v>
      </c>
      <c r="P447" s="7"/>
    </row>
    <row r="448" spans="1:16">
      <c r="A448" s="3">
        <v>43808.837800925925</v>
      </c>
      <c r="B448" s="4" t="str">
        <f>HYPERLINK("https://twitter.com/petrogustavo","@petrogustavo")</f>
        <v>@petrogustavo</v>
      </c>
      <c r="C448" s="5" t="s">
        <v>16</v>
      </c>
      <c r="D448" s="5" t="s">
        <v>473</v>
      </c>
      <c r="E448" s="6" t="str">
        <f>HYPERLINK("https://twitter.com/petrogustavo/status/1204047155251552261","1204047155251552261")</f>
        <v>1204047155251552261</v>
      </c>
      <c r="F448" s="7" t="s">
        <v>17</v>
      </c>
      <c r="G448" s="7">
        <v>3576330</v>
      </c>
      <c r="H448" s="7">
        <v>2332</v>
      </c>
      <c r="I448" s="7">
        <v>20</v>
      </c>
      <c r="J448" s="7">
        <v>76</v>
      </c>
      <c r="K448" s="7" t="s">
        <v>18</v>
      </c>
      <c r="L448" s="8">
        <v>39987.315405092595</v>
      </c>
      <c r="M448" s="9" t="s">
        <v>19</v>
      </c>
      <c r="N448" s="9" t="s">
        <v>20</v>
      </c>
      <c r="O448" s="6" t="str">
        <f>HYPERLINK("https://pbs.twimg.com/profile_images/962471262747529216/Uo8lOkRJ_normal.jpg","View")</f>
        <v>View</v>
      </c>
      <c r="P448" s="7"/>
    </row>
    <row r="449" spans="1:16">
      <c r="A449" s="3">
        <v>43808.844907407409</v>
      </c>
      <c r="B449" s="4" t="str">
        <f>HYPERLINK("https://twitter.com/petrogustavo","@petrogustavo")</f>
        <v>@petrogustavo</v>
      </c>
      <c r="C449" s="5" t="s">
        <v>16</v>
      </c>
      <c r="D449" s="5" t="s">
        <v>474</v>
      </c>
      <c r="E449" s="6" t="str">
        <f>HYPERLINK("https://twitter.com/petrogustavo/status/1204049732164898820","1204049732164898820")</f>
        <v>1204049732164898820</v>
      </c>
      <c r="F449" s="7" t="s">
        <v>17</v>
      </c>
      <c r="G449" s="7">
        <v>3576330</v>
      </c>
      <c r="H449" s="7">
        <v>2332</v>
      </c>
      <c r="I449" s="7">
        <v>4</v>
      </c>
      <c r="J449" s="7">
        <v>16</v>
      </c>
      <c r="K449" s="7" t="s">
        <v>18</v>
      </c>
      <c r="L449" s="8">
        <v>39987.315405092595</v>
      </c>
      <c r="M449" s="9" t="s">
        <v>19</v>
      </c>
      <c r="N449" s="9" t="s">
        <v>20</v>
      </c>
      <c r="O449" s="6" t="str">
        <f>HYPERLINK("https://pbs.twimg.com/profile_images/962471262747529216/Uo8lOkRJ_normal.jpg","View")</f>
        <v>View</v>
      </c>
      <c r="P449" s="7"/>
    </row>
    <row r="450" spans="1:16">
      <c r="A450" s="3">
        <v>43808.855057870373</v>
      </c>
      <c r="B450" s="4" t="str">
        <f>HYPERLINK("https://twitter.com/petrogustavo","@petrogustavo")</f>
        <v>@petrogustavo</v>
      </c>
      <c r="C450" s="5" t="s">
        <v>16</v>
      </c>
      <c r="D450" s="5" t="s">
        <v>475</v>
      </c>
      <c r="E450" s="6" t="str">
        <f>HYPERLINK("https://twitter.com/petrogustavo/status/1204053406886838273","1204053406886838273")</f>
        <v>1204053406886838273</v>
      </c>
      <c r="F450" s="7" t="s">
        <v>17</v>
      </c>
      <c r="G450" s="7">
        <v>3576369</v>
      </c>
      <c r="H450" s="7">
        <v>2332</v>
      </c>
      <c r="I450" s="7">
        <v>84</v>
      </c>
      <c r="J450" s="7">
        <v>202</v>
      </c>
      <c r="K450" s="7" t="s">
        <v>18</v>
      </c>
      <c r="L450" s="8">
        <v>39987.315405092595</v>
      </c>
      <c r="M450" s="9" t="s">
        <v>19</v>
      </c>
      <c r="N450" s="9" t="s">
        <v>20</v>
      </c>
      <c r="O450" s="6" t="str">
        <f>HYPERLINK("https://pbs.twimg.com/profile_images/962471262747529216/Uo8lOkRJ_normal.jpg","View")</f>
        <v>View</v>
      </c>
      <c r="P450" s="7"/>
    </row>
    <row r="451" spans="1:16">
      <c r="A451" s="3">
        <v>43808.869618055556</v>
      </c>
      <c r="B451" s="4" t="str">
        <f>HYPERLINK("https://twitter.com/petrogustavo","@petrogustavo")</f>
        <v>@petrogustavo</v>
      </c>
      <c r="C451" s="5" t="s">
        <v>16</v>
      </c>
      <c r="D451" s="5" t="s">
        <v>476</v>
      </c>
      <c r="E451" s="6" t="str">
        <f>HYPERLINK("https://twitter.com/petrogustavo/status/1204058686890676224","1204058686890676224")</f>
        <v>1204058686890676224</v>
      </c>
      <c r="F451" s="7" t="s">
        <v>17</v>
      </c>
      <c r="G451" s="7">
        <v>3576427</v>
      </c>
      <c r="H451" s="7">
        <v>2332</v>
      </c>
      <c r="I451" s="7">
        <v>204</v>
      </c>
      <c r="J451" s="7">
        <v>0</v>
      </c>
      <c r="K451" s="7" t="s">
        <v>18</v>
      </c>
      <c r="L451" s="8">
        <v>39987.315405092595</v>
      </c>
      <c r="M451" s="9" t="s">
        <v>19</v>
      </c>
      <c r="N451" s="9" t="s">
        <v>20</v>
      </c>
      <c r="O451" s="6" t="str">
        <f>HYPERLINK("https://pbs.twimg.com/profile_images/962471262747529216/Uo8lOkRJ_normal.jpg","View")</f>
        <v>View</v>
      </c>
      <c r="P451" s="7"/>
    </row>
    <row r="452" spans="1:16">
      <c r="A452" s="3">
        <v>43808.957986111112</v>
      </c>
      <c r="B452" s="4" t="str">
        <f>HYPERLINK("https://twitter.com/petrogustavo","@petrogustavo")</f>
        <v>@petrogustavo</v>
      </c>
      <c r="C452" s="5" t="s">
        <v>16</v>
      </c>
      <c r="D452" s="5" t="s">
        <v>477</v>
      </c>
      <c r="E452" s="6" t="str">
        <f>HYPERLINK("https://twitter.com/petrogustavo/status/1204090707817967621","1204090707817967621")</f>
        <v>1204090707817967621</v>
      </c>
      <c r="F452" s="7" t="s">
        <v>32</v>
      </c>
      <c r="G452" s="7">
        <v>3576608</v>
      </c>
      <c r="H452" s="7">
        <v>2332</v>
      </c>
      <c r="I452" s="7">
        <v>559</v>
      </c>
      <c r="J452" s="7">
        <v>0</v>
      </c>
      <c r="K452" s="7" t="s">
        <v>18</v>
      </c>
      <c r="L452" s="8">
        <v>39987.315405092595</v>
      </c>
      <c r="M452" s="9" t="s">
        <v>19</v>
      </c>
      <c r="N452" s="9" t="s">
        <v>20</v>
      </c>
      <c r="O452" s="6" t="str">
        <f>HYPERLINK("https://pbs.twimg.com/profile_images/962471262747529216/Uo8lOkRJ_normal.jpg","View")</f>
        <v>View</v>
      </c>
      <c r="P452" s="7"/>
    </row>
    <row r="453" spans="1:16">
      <c r="A453" s="3">
        <v>43809.055543981478</v>
      </c>
      <c r="B453" s="4" t="str">
        <f>HYPERLINK("https://twitter.com/petrogustavo","@petrogustavo")</f>
        <v>@petrogustavo</v>
      </c>
      <c r="C453" s="5" t="s">
        <v>16</v>
      </c>
      <c r="D453" s="5" t="s">
        <v>478</v>
      </c>
      <c r="E453" s="6" t="str">
        <f>HYPERLINK("https://twitter.com/petrogustavo/status/1204126060369108992","1204126060369108992")</f>
        <v>1204126060369108992</v>
      </c>
      <c r="F453" s="7" t="s">
        <v>32</v>
      </c>
      <c r="G453" s="7">
        <v>3576847</v>
      </c>
      <c r="H453" s="7">
        <v>2332</v>
      </c>
      <c r="I453" s="7">
        <v>183</v>
      </c>
      <c r="J453" s="7">
        <v>465</v>
      </c>
      <c r="K453" s="7" t="s">
        <v>18</v>
      </c>
      <c r="L453" s="8">
        <v>39987.315405092595</v>
      </c>
      <c r="M453" s="9" t="s">
        <v>19</v>
      </c>
      <c r="N453" s="9" t="s">
        <v>20</v>
      </c>
      <c r="O453" s="6" t="str">
        <f>HYPERLINK("https://pbs.twimg.com/profile_images/962471262747529216/Uo8lOkRJ_normal.jpg","View")</f>
        <v>View</v>
      </c>
      <c r="P453" s="7"/>
    </row>
    <row r="454" spans="1:16">
      <c r="A454" s="3">
        <v>43809.082858796297</v>
      </c>
      <c r="B454" s="4" t="str">
        <f>HYPERLINK("https://twitter.com/petrogustavo","@petrogustavo")</f>
        <v>@petrogustavo</v>
      </c>
      <c r="C454" s="5" t="s">
        <v>16</v>
      </c>
      <c r="D454" s="5" t="s">
        <v>479</v>
      </c>
      <c r="E454" s="6" t="str">
        <f>HYPERLINK("https://twitter.com/petrogustavo/status/1204135960633630720","1204135960633630720")</f>
        <v>1204135960633630720</v>
      </c>
      <c r="F454" s="7" t="s">
        <v>32</v>
      </c>
      <c r="G454" s="7">
        <v>3576875</v>
      </c>
      <c r="H454" s="7">
        <v>2332</v>
      </c>
      <c r="I454" s="7">
        <v>32</v>
      </c>
      <c r="J454" s="7">
        <v>0</v>
      </c>
      <c r="K454" s="7" t="s">
        <v>18</v>
      </c>
      <c r="L454" s="8">
        <v>39987.315405092595</v>
      </c>
      <c r="M454" s="9" t="s">
        <v>19</v>
      </c>
      <c r="N454" s="9" t="s">
        <v>20</v>
      </c>
      <c r="O454" s="6" t="str">
        <f>HYPERLINK("https://pbs.twimg.com/profile_images/962471262747529216/Uo8lOkRJ_normal.jpg","View")</f>
        <v>View</v>
      </c>
      <c r="P454" s="7"/>
    </row>
    <row r="455" spans="1:16">
      <c r="A455" s="3">
        <v>43809.098113425927</v>
      </c>
      <c r="B455" s="4" t="str">
        <f>HYPERLINK("https://twitter.com/petrogustavo","@petrogustavo")</f>
        <v>@petrogustavo</v>
      </c>
      <c r="C455" s="5" t="s">
        <v>16</v>
      </c>
      <c r="D455" s="5" t="s">
        <v>480</v>
      </c>
      <c r="E455" s="6" t="str">
        <f>HYPERLINK("https://twitter.com/petrogustavo/status/1204141488193581058","1204141488193581058")</f>
        <v>1204141488193581058</v>
      </c>
      <c r="F455" s="7" t="s">
        <v>32</v>
      </c>
      <c r="G455" s="7">
        <v>3576943</v>
      </c>
      <c r="H455" s="7">
        <v>2332</v>
      </c>
      <c r="I455" s="7">
        <v>64</v>
      </c>
      <c r="J455" s="7">
        <v>0</v>
      </c>
      <c r="K455" s="7" t="s">
        <v>18</v>
      </c>
      <c r="L455" s="8">
        <v>39987.315405092595</v>
      </c>
      <c r="M455" s="9" t="s">
        <v>19</v>
      </c>
      <c r="N455" s="9" t="s">
        <v>20</v>
      </c>
      <c r="O455" s="6" t="str">
        <f>HYPERLINK("https://pbs.twimg.com/profile_images/962471262747529216/Uo8lOkRJ_normal.jpg","View")</f>
        <v>View</v>
      </c>
      <c r="P455" s="7"/>
    </row>
    <row r="456" spans="1:16">
      <c r="A456" s="3">
        <v>43809.131435185191</v>
      </c>
      <c r="B456" s="4" t="str">
        <f>HYPERLINK("https://twitter.com/petrogustavo","@petrogustavo")</f>
        <v>@petrogustavo</v>
      </c>
      <c r="C456" s="5" t="s">
        <v>16</v>
      </c>
      <c r="D456" s="5" t="s">
        <v>481</v>
      </c>
      <c r="E456" s="6" t="str">
        <f>HYPERLINK("https://twitter.com/petrogustavo/status/1204153564005838851","1204153564005838851")</f>
        <v>1204153564005838851</v>
      </c>
      <c r="F456" s="7" t="s">
        <v>32</v>
      </c>
      <c r="G456" s="7">
        <v>3576943</v>
      </c>
      <c r="H456" s="7">
        <v>2332</v>
      </c>
      <c r="I456" s="7">
        <v>42</v>
      </c>
      <c r="J456" s="7">
        <v>133</v>
      </c>
      <c r="K456" s="7" t="s">
        <v>18</v>
      </c>
      <c r="L456" s="8">
        <v>39987.315405092595</v>
      </c>
      <c r="M456" s="9" t="s">
        <v>19</v>
      </c>
      <c r="N456" s="9" t="s">
        <v>20</v>
      </c>
      <c r="O456" s="6" t="str">
        <f>HYPERLINK("https://pbs.twimg.com/profile_images/962471262747529216/Uo8lOkRJ_normal.jpg","View")</f>
        <v>View</v>
      </c>
      <c r="P456" s="7"/>
    </row>
    <row r="457" spans="1:16">
      <c r="A457" s="3">
        <v>43809.147777777776</v>
      </c>
      <c r="B457" s="4" t="str">
        <f>HYPERLINK("https://twitter.com/petrogustavo","@petrogustavo")</f>
        <v>@petrogustavo</v>
      </c>
      <c r="C457" s="5" t="s">
        <v>16</v>
      </c>
      <c r="D457" s="5" t="s">
        <v>482</v>
      </c>
      <c r="E457" s="6" t="str">
        <f>HYPERLINK("https://twitter.com/petrogustavo/status/1204159487084564485","1204159487084564485")</f>
        <v>1204159487084564485</v>
      </c>
      <c r="F457" s="7" t="s">
        <v>32</v>
      </c>
      <c r="G457" s="7">
        <v>3576972</v>
      </c>
      <c r="H457" s="7">
        <v>2332</v>
      </c>
      <c r="I457" s="7">
        <v>38</v>
      </c>
      <c r="J457" s="7">
        <v>99</v>
      </c>
      <c r="K457" s="7" t="s">
        <v>18</v>
      </c>
      <c r="L457" s="8">
        <v>39987.315405092595</v>
      </c>
      <c r="M457" s="9" t="s">
        <v>19</v>
      </c>
      <c r="N457" s="9" t="s">
        <v>20</v>
      </c>
      <c r="O457" s="6" t="str">
        <f>HYPERLINK("https://pbs.twimg.com/profile_images/962471262747529216/Uo8lOkRJ_normal.jpg","View")</f>
        <v>View</v>
      </c>
      <c r="P457" s="7"/>
    </row>
    <row r="458" spans="1:16">
      <c r="A458" s="3">
        <v>43809.149270833332</v>
      </c>
      <c r="B458" s="4" t="str">
        <f>HYPERLINK("https://twitter.com/petrogustavo","@petrogustavo")</f>
        <v>@petrogustavo</v>
      </c>
      <c r="C458" s="5" t="s">
        <v>16</v>
      </c>
      <c r="D458" s="5" t="s">
        <v>483</v>
      </c>
      <c r="E458" s="6" t="str">
        <f>HYPERLINK("https://twitter.com/petrogustavo/status/1204160026174271494","1204160026174271494")</f>
        <v>1204160026174271494</v>
      </c>
      <c r="F458" s="7" t="s">
        <v>32</v>
      </c>
      <c r="G458" s="7">
        <v>3576972</v>
      </c>
      <c r="H458" s="7">
        <v>2332</v>
      </c>
      <c r="I458" s="7">
        <v>157</v>
      </c>
      <c r="J458" s="7">
        <v>0</v>
      </c>
      <c r="K458" s="7" t="s">
        <v>18</v>
      </c>
      <c r="L458" s="8">
        <v>39987.315405092595</v>
      </c>
      <c r="M458" s="9" t="s">
        <v>19</v>
      </c>
      <c r="N458" s="9" t="s">
        <v>20</v>
      </c>
      <c r="O458" s="6" t="str">
        <f>HYPERLINK("https://pbs.twimg.com/profile_images/962471262747529216/Uo8lOkRJ_normal.jpg","View")</f>
        <v>View</v>
      </c>
      <c r="P458" s="7"/>
    </row>
    <row r="459" spans="1:16">
      <c r="A459" s="3">
        <v>43809.151689814811</v>
      </c>
      <c r="B459" s="4" t="str">
        <f>HYPERLINK("https://twitter.com/petrogustavo","@petrogustavo")</f>
        <v>@petrogustavo</v>
      </c>
      <c r="C459" s="5" t="s">
        <v>16</v>
      </c>
      <c r="D459" s="5" t="s">
        <v>484</v>
      </c>
      <c r="E459" s="6" t="str">
        <f>HYPERLINK("https://twitter.com/petrogustavo/status/1204160903064801280","1204160903064801280")</f>
        <v>1204160903064801280</v>
      </c>
      <c r="F459" s="7" t="s">
        <v>32</v>
      </c>
      <c r="G459" s="7">
        <v>3576972</v>
      </c>
      <c r="H459" s="7">
        <v>2332</v>
      </c>
      <c r="I459" s="7">
        <v>49</v>
      </c>
      <c r="J459" s="7">
        <v>114</v>
      </c>
      <c r="K459" s="7" t="s">
        <v>18</v>
      </c>
      <c r="L459" s="8">
        <v>39987.315405092595</v>
      </c>
      <c r="M459" s="9" t="s">
        <v>19</v>
      </c>
      <c r="N459" s="9" t="s">
        <v>20</v>
      </c>
      <c r="O459" s="6" t="str">
        <f>HYPERLINK("https://pbs.twimg.com/profile_images/962471262747529216/Uo8lOkRJ_normal.jpg","View")</f>
        <v>View</v>
      </c>
      <c r="P459" s="7"/>
    </row>
    <row r="460" spans="1:16">
      <c r="A460" s="3">
        <v>43809.15388888889</v>
      </c>
      <c r="B460" s="4" t="str">
        <f>HYPERLINK("https://twitter.com/petrogustavo","@petrogustavo")</f>
        <v>@petrogustavo</v>
      </c>
      <c r="C460" s="5" t="s">
        <v>16</v>
      </c>
      <c r="D460" s="5" t="s">
        <v>485</v>
      </c>
      <c r="E460" s="6" t="str">
        <f>HYPERLINK("https://twitter.com/petrogustavo/status/1204161700490022912","1204161700490022912")</f>
        <v>1204161700490022912</v>
      </c>
      <c r="F460" s="7" t="s">
        <v>32</v>
      </c>
      <c r="G460" s="7">
        <v>3576972</v>
      </c>
      <c r="H460" s="7">
        <v>2332</v>
      </c>
      <c r="I460" s="7">
        <v>71</v>
      </c>
      <c r="J460" s="7">
        <v>133</v>
      </c>
      <c r="K460" s="7" t="s">
        <v>18</v>
      </c>
      <c r="L460" s="8">
        <v>39987.315405092595</v>
      </c>
      <c r="M460" s="9" t="s">
        <v>19</v>
      </c>
      <c r="N460" s="9" t="s">
        <v>20</v>
      </c>
      <c r="O460" s="6" t="str">
        <f>HYPERLINK("https://pbs.twimg.com/profile_images/962471262747529216/Uo8lOkRJ_normal.jpg","View")</f>
        <v>View</v>
      </c>
      <c r="P460" s="7"/>
    </row>
    <row r="461" spans="1:16">
      <c r="A461" s="3">
        <v>43809.168391203704</v>
      </c>
      <c r="B461" s="4" t="str">
        <f>HYPERLINK("https://twitter.com/petrogustavo","@petrogustavo")</f>
        <v>@petrogustavo</v>
      </c>
      <c r="C461" s="5" t="s">
        <v>16</v>
      </c>
      <c r="D461" s="5" t="s">
        <v>486</v>
      </c>
      <c r="E461" s="6" t="str">
        <f>HYPERLINK("https://twitter.com/petrogustavo/status/1204166957379006464","1204166957379006464")</f>
        <v>1204166957379006464</v>
      </c>
      <c r="F461" s="7" t="s">
        <v>17</v>
      </c>
      <c r="G461" s="7">
        <v>3576994</v>
      </c>
      <c r="H461" s="7">
        <v>2333</v>
      </c>
      <c r="I461" s="7">
        <v>73</v>
      </c>
      <c r="J461" s="7">
        <v>332</v>
      </c>
      <c r="K461" s="7" t="s">
        <v>18</v>
      </c>
      <c r="L461" s="8">
        <v>39987.315405092595</v>
      </c>
      <c r="M461" s="9" t="s">
        <v>19</v>
      </c>
      <c r="N461" s="9" t="s">
        <v>20</v>
      </c>
      <c r="O461" s="6" t="str">
        <f>HYPERLINK("https://pbs.twimg.com/profile_images/962471262747529216/Uo8lOkRJ_normal.jpg","View")</f>
        <v>View</v>
      </c>
      <c r="P461" s="7"/>
    </row>
    <row r="462" spans="1:16">
      <c r="A462" s="3">
        <v>43809.169652777782</v>
      </c>
      <c r="B462" s="4" t="str">
        <f>HYPERLINK("https://twitter.com/petrogustavo","@petrogustavo")</f>
        <v>@petrogustavo</v>
      </c>
      <c r="C462" s="5" t="s">
        <v>16</v>
      </c>
      <c r="D462" s="5" t="s">
        <v>487</v>
      </c>
      <c r="E462" s="6" t="str">
        <f>HYPERLINK("https://twitter.com/petrogustavo/status/1204167414595964930","1204167414595964930")</f>
        <v>1204167414595964930</v>
      </c>
      <c r="F462" s="7" t="s">
        <v>17</v>
      </c>
      <c r="G462" s="7">
        <v>3576994</v>
      </c>
      <c r="H462" s="7">
        <v>2333</v>
      </c>
      <c r="I462" s="7">
        <v>108</v>
      </c>
      <c r="J462" s="7">
        <v>284</v>
      </c>
      <c r="K462" s="7" t="s">
        <v>18</v>
      </c>
      <c r="L462" s="8">
        <v>39987.315405092595</v>
      </c>
      <c r="M462" s="9" t="s">
        <v>19</v>
      </c>
      <c r="N462" s="9" t="s">
        <v>20</v>
      </c>
      <c r="O462" s="6" t="str">
        <f>HYPERLINK("https://pbs.twimg.com/profile_images/962471262747529216/Uo8lOkRJ_normal.jpg","View")</f>
        <v>View</v>
      </c>
      <c r="P462" s="7"/>
    </row>
    <row r="463" spans="1:16">
      <c r="A463" s="3">
        <v>43809.173796296294</v>
      </c>
      <c r="B463" s="4" t="str">
        <f>HYPERLINK("https://twitter.com/petrogustavo","@petrogustavo")</f>
        <v>@petrogustavo</v>
      </c>
      <c r="C463" s="5" t="s">
        <v>16</v>
      </c>
      <c r="D463" s="5" t="s">
        <v>488</v>
      </c>
      <c r="E463" s="6" t="str">
        <f>HYPERLINK("https://twitter.com/petrogustavo/status/1204168913698906112","1204168913698906112")</f>
        <v>1204168913698906112</v>
      </c>
      <c r="F463" s="7" t="s">
        <v>17</v>
      </c>
      <c r="G463" s="7">
        <v>3576994</v>
      </c>
      <c r="H463" s="7">
        <v>2333</v>
      </c>
      <c r="I463" s="7">
        <v>54</v>
      </c>
      <c r="J463" s="7">
        <v>175</v>
      </c>
      <c r="K463" s="7" t="s">
        <v>18</v>
      </c>
      <c r="L463" s="8">
        <v>39987.315405092595</v>
      </c>
      <c r="M463" s="9" t="s">
        <v>19</v>
      </c>
      <c r="N463" s="9" t="s">
        <v>20</v>
      </c>
      <c r="O463" s="6" t="str">
        <f>HYPERLINK("https://pbs.twimg.com/profile_images/962471262747529216/Uo8lOkRJ_normal.jpg","View")</f>
        <v>View</v>
      </c>
      <c r="P463" s="7"/>
    </row>
    <row r="464" spans="1:16">
      <c r="A464" s="3">
        <v>43809.20385416667</v>
      </c>
      <c r="B464" s="4" t="str">
        <f>HYPERLINK("https://twitter.com/petrogustavo","@petrogustavo")</f>
        <v>@petrogustavo</v>
      </c>
      <c r="C464" s="5" t="s">
        <v>16</v>
      </c>
      <c r="D464" s="5" t="s">
        <v>489</v>
      </c>
      <c r="E464" s="6" t="str">
        <f>HYPERLINK("https://twitter.com/petrogustavo/status/1204179806499282944","1204179806499282944")</f>
        <v>1204179806499282944</v>
      </c>
      <c r="F464" s="7" t="s">
        <v>17</v>
      </c>
      <c r="G464" s="7">
        <v>3577051</v>
      </c>
      <c r="H464" s="7">
        <v>2333</v>
      </c>
      <c r="I464" s="7">
        <v>386</v>
      </c>
      <c r="J464" s="7">
        <v>0</v>
      </c>
      <c r="K464" s="7" t="s">
        <v>18</v>
      </c>
      <c r="L464" s="8">
        <v>39987.315405092595</v>
      </c>
      <c r="M464" s="9" t="s">
        <v>19</v>
      </c>
      <c r="N464" s="9" t="s">
        <v>20</v>
      </c>
      <c r="O464" s="6" t="str">
        <f>HYPERLINK("https://pbs.twimg.com/profile_images/962471262747529216/Uo8lOkRJ_normal.jpg","View")</f>
        <v>View</v>
      </c>
      <c r="P464" s="7"/>
    </row>
    <row r="465" spans="1:16">
      <c r="A465" s="3">
        <v>43809.20417824074</v>
      </c>
      <c r="B465" s="4" t="str">
        <f>HYPERLINK("https://twitter.com/petrogustavo","@petrogustavo")</f>
        <v>@petrogustavo</v>
      </c>
      <c r="C465" s="5" t="s">
        <v>16</v>
      </c>
      <c r="D465" s="5" t="s">
        <v>476</v>
      </c>
      <c r="E465" s="6" t="str">
        <f>HYPERLINK("https://twitter.com/petrogustavo/status/1204179924547969032","1204179924547969032")</f>
        <v>1204179924547969032</v>
      </c>
      <c r="F465" s="7" t="s">
        <v>17</v>
      </c>
      <c r="G465" s="7">
        <v>3577051</v>
      </c>
      <c r="H465" s="7">
        <v>2333</v>
      </c>
      <c r="I465" s="7">
        <v>735</v>
      </c>
      <c r="J465" s="7">
        <v>0</v>
      </c>
      <c r="K465" s="7" t="s">
        <v>18</v>
      </c>
      <c r="L465" s="8">
        <v>39987.315405092595</v>
      </c>
      <c r="M465" s="9" t="s">
        <v>19</v>
      </c>
      <c r="N465" s="9" t="s">
        <v>20</v>
      </c>
      <c r="O465" s="6" t="str">
        <f>HYPERLINK("https://pbs.twimg.com/profile_images/962471262747529216/Uo8lOkRJ_normal.jpg","View")</f>
        <v>View</v>
      </c>
      <c r="P465" s="7"/>
    </row>
    <row r="466" spans="1:16">
      <c r="A466" s="3">
        <v>43809.253634259258</v>
      </c>
      <c r="B466" s="4" t="str">
        <f>HYPERLINK("https://twitter.com/petrogustavo","@petrogustavo")</f>
        <v>@petrogustavo</v>
      </c>
      <c r="C466" s="5" t="s">
        <v>16</v>
      </c>
      <c r="D466" s="5" t="s">
        <v>490</v>
      </c>
      <c r="E466" s="6" t="str">
        <f>HYPERLINK("https://twitter.com/petrogustavo/status/1204197848771973120","1204197848771973120")</f>
        <v>1204197848771973120</v>
      </c>
      <c r="F466" s="7" t="s">
        <v>32</v>
      </c>
      <c r="G466" s="7">
        <v>3577147</v>
      </c>
      <c r="H466" s="7">
        <v>2333</v>
      </c>
      <c r="I466" s="7">
        <v>29</v>
      </c>
      <c r="J466" s="7">
        <v>98</v>
      </c>
      <c r="K466" s="7" t="s">
        <v>18</v>
      </c>
      <c r="L466" s="8">
        <v>39987.315405092595</v>
      </c>
      <c r="M466" s="9" t="s">
        <v>19</v>
      </c>
      <c r="N466" s="9" t="s">
        <v>20</v>
      </c>
      <c r="O466" s="6" t="str">
        <f>HYPERLINK("https://pbs.twimg.com/profile_images/962471262747529216/Uo8lOkRJ_normal.jpg","View")</f>
        <v>View</v>
      </c>
      <c r="P466" s="7"/>
    </row>
    <row r="467" spans="1:16">
      <c r="A467" s="3">
        <v>43809.255682870367</v>
      </c>
      <c r="B467" s="4" t="str">
        <f>HYPERLINK("https://twitter.com/petrogustavo","@petrogustavo")</f>
        <v>@petrogustavo</v>
      </c>
      <c r="C467" s="5" t="s">
        <v>16</v>
      </c>
      <c r="D467" s="5" t="s">
        <v>491</v>
      </c>
      <c r="E467" s="6" t="str">
        <f>HYPERLINK("https://twitter.com/petrogustavo/status/1204198588164771840","1204198588164771840")</f>
        <v>1204198588164771840</v>
      </c>
      <c r="F467" s="7" t="s">
        <v>32</v>
      </c>
      <c r="G467" s="7">
        <v>3577147</v>
      </c>
      <c r="H467" s="7">
        <v>2333</v>
      </c>
      <c r="I467" s="7">
        <v>34</v>
      </c>
      <c r="J467" s="7">
        <v>92</v>
      </c>
      <c r="K467" s="7" t="s">
        <v>18</v>
      </c>
      <c r="L467" s="8">
        <v>39987.315405092595</v>
      </c>
      <c r="M467" s="9" t="s">
        <v>19</v>
      </c>
      <c r="N467" s="9" t="s">
        <v>20</v>
      </c>
      <c r="O467" s="6" t="str">
        <f>HYPERLINK("https://pbs.twimg.com/profile_images/962471262747529216/Uo8lOkRJ_normal.jpg","View")</f>
        <v>View</v>
      </c>
      <c r="P467" s="7"/>
    </row>
    <row r="468" spans="1:16">
      <c r="A468" s="3">
        <v>43809.256284722222</v>
      </c>
      <c r="B468" s="4" t="str">
        <f>HYPERLINK("https://twitter.com/petrogustavo","@petrogustavo")</f>
        <v>@petrogustavo</v>
      </c>
      <c r="C468" s="5" t="s">
        <v>16</v>
      </c>
      <c r="D468" s="5" t="s">
        <v>492</v>
      </c>
      <c r="E468" s="6" t="str">
        <f>HYPERLINK("https://twitter.com/petrogustavo/status/1204198808772644864","1204198808772644864")</f>
        <v>1204198808772644864</v>
      </c>
      <c r="F468" s="7" t="s">
        <v>32</v>
      </c>
      <c r="G468" s="7">
        <v>3577147</v>
      </c>
      <c r="H468" s="7">
        <v>2333</v>
      </c>
      <c r="I468" s="7">
        <v>1951</v>
      </c>
      <c r="J468" s="7">
        <v>0</v>
      </c>
      <c r="K468" s="7" t="s">
        <v>18</v>
      </c>
      <c r="L468" s="8">
        <v>39987.315405092595</v>
      </c>
      <c r="M468" s="9" t="s">
        <v>19</v>
      </c>
      <c r="N468" s="9" t="s">
        <v>20</v>
      </c>
      <c r="O468" s="6" t="str">
        <f>HYPERLINK("https://pbs.twimg.com/profile_images/962471262747529216/Uo8lOkRJ_normal.jpg","View")</f>
        <v>View</v>
      </c>
      <c r="P468" s="7"/>
    </row>
    <row r="469" spans="1:16">
      <c r="A469" s="3">
        <v>43809.290833333333</v>
      </c>
      <c r="B469" s="4" t="str">
        <f>HYPERLINK("https://twitter.com/petrogustavo","@petrogustavo")</f>
        <v>@petrogustavo</v>
      </c>
      <c r="C469" s="5" t="s">
        <v>16</v>
      </c>
      <c r="D469" s="5" t="s">
        <v>493</v>
      </c>
      <c r="E469" s="6" t="str">
        <f>HYPERLINK("https://twitter.com/petrogustavo/status/1204211330305142784","1204211330305142784")</f>
        <v>1204211330305142784</v>
      </c>
      <c r="F469" s="7" t="s">
        <v>17</v>
      </c>
      <c r="G469" s="7">
        <v>3577231</v>
      </c>
      <c r="H469" s="7">
        <v>2333</v>
      </c>
      <c r="I469" s="7">
        <v>223</v>
      </c>
      <c r="J469" s="7">
        <v>0</v>
      </c>
      <c r="K469" s="7" t="s">
        <v>18</v>
      </c>
      <c r="L469" s="8">
        <v>39987.315405092595</v>
      </c>
      <c r="M469" s="9" t="s">
        <v>19</v>
      </c>
      <c r="N469" s="9" t="s">
        <v>20</v>
      </c>
      <c r="O469" s="6" t="str">
        <f>HYPERLINK("https://pbs.twimg.com/profile_images/962471262747529216/Uo8lOkRJ_normal.jpg","View")</f>
        <v>View</v>
      </c>
      <c r="P469" s="7"/>
    </row>
    <row r="470" spans="1:16">
      <c r="A470" s="3">
        <v>43809.292592592596</v>
      </c>
      <c r="B470" s="4" t="str">
        <f>HYPERLINK("https://twitter.com/petrogustavo","@petrogustavo")</f>
        <v>@petrogustavo</v>
      </c>
      <c r="C470" s="5" t="s">
        <v>16</v>
      </c>
      <c r="D470" s="5" t="s">
        <v>494</v>
      </c>
      <c r="E470" s="6" t="str">
        <f>HYPERLINK("https://twitter.com/petrogustavo/status/1204211964903411714","1204211964903411714")</f>
        <v>1204211964903411714</v>
      </c>
      <c r="F470" s="7" t="s">
        <v>17</v>
      </c>
      <c r="G470" s="7">
        <v>3577231</v>
      </c>
      <c r="H470" s="7">
        <v>2333</v>
      </c>
      <c r="I470" s="7">
        <v>62</v>
      </c>
      <c r="J470" s="7">
        <v>176</v>
      </c>
      <c r="K470" s="7" t="s">
        <v>18</v>
      </c>
      <c r="L470" s="8">
        <v>39987.315405092595</v>
      </c>
      <c r="M470" s="9" t="s">
        <v>19</v>
      </c>
      <c r="N470" s="9" t="s">
        <v>20</v>
      </c>
      <c r="O470" s="6" t="str">
        <f>HYPERLINK("https://pbs.twimg.com/profile_images/962471262747529216/Uo8lOkRJ_normal.jpg","View")</f>
        <v>View</v>
      </c>
      <c r="P470" s="7"/>
    </row>
    <row r="471" spans="1:16">
      <c r="A471" s="3">
        <v>43809.29614583333</v>
      </c>
      <c r="B471" s="4" t="str">
        <f>HYPERLINK("https://twitter.com/petrogustavo","@petrogustavo")</f>
        <v>@petrogustavo</v>
      </c>
      <c r="C471" s="5" t="s">
        <v>16</v>
      </c>
      <c r="D471" s="5" t="s">
        <v>495</v>
      </c>
      <c r="E471" s="6" t="str">
        <f>HYPERLINK("https://twitter.com/petrogustavo/status/1204213253653565441","1204213253653565441")</f>
        <v>1204213253653565441</v>
      </c>
      <c r="F471" s="7" t="s">
        <v>17</v>
      </c>
      <c r="G471" s="7">
        <v>3577231</v>
      </c>
      <c r="H471" s="7">
        <v>2333</v>
      </c>
      <c r="I471" s="7">
        <v>90</v>
      </c>
      <c r="J471" s="7">
        <v>176</v>
      </c>
      <c r="K471" s="7" t="s">
        <v>18</v>
      </c>
      <c r="L471" s="8">
        <v>39987.315405092595</v>
      </c>
      <c r="M471" s="9" t="s">
        <v>19</v>
      </c>
      <c r="N471" s="9" t="s">
        <v>20</v>
      </c>
      <c r="O471" s="6" t="str">
        <f>HYPERLINK("https://pbs.twimg.com/profile_images/962471262747529216/Uo8lOkRJ_normal.jpg","View")</f>
        <v>View</v>
      </c>
      <c r="P471" s="7"/>
    </row>
    <row r="472" spans="1:16">
      <c r="A472" s="3">
        <v>43809.306712962964</v>
      </c>
      <c r="B472" s="4" t="str">
        <f>HYPERLINK("https://twitter.com/petrogustavo","@petrogustavo")</f>
        <v>@petrogustavo</v>
      </c>
      <c r="C472" s="5" t="s">
        <v>16</v>
      </c>
      <c r="D472" s="5" t="s">
        <v>496</v>
      </c>
      <c r="E472" s="6" t="str">
        <f>HYPERLINK("https://twitter.com/petrogustavo/status/1204217081551622150","1204217081551622150")</f>
        <v>1204217081551622150</v>
      </c>
      <c r="F472" s="7" t="s">
        <v>17</v>
      </c>
      <c r="G472" s="7">
        <v>3577271</v>
      </c>
      <c r="H472" s="7">
        <v>2333</v>
      </c>
      <c r="I472" s="7">
        <v>32</v>
      </c>
      <c r="J472" s="7">
        <v>119</v>
      </c>
      <c r="K472" s="7" t="s">
        <v>18</v>
      </c>
      <c r="L472" s="8">
        <v>39987.315405092595</v>
      </c>
      <c r="M472" s="9" t="s">
        <v>19</v>
      </c>
      <c r="N472" s="9" t="s">
        <v>20</v>
      </c>
      <c r="O472" s="6" t="str">
        <f>HYPERLINK("https://pbs.twimg.com/profile_images/962471262747529216/Uo8lOkRJ_normal.jpg","View")</f>
        <v>View</v>
      </c>
      <c r="P472" s="7"/>
    </row>
    <row r="473" spans="1:16">
      <c r="A473" s="3">
        <v>43809.322766203702</v>
      </c>
      <c r="B473" s="4" t="str">
        <f>HYPERLINK("https://twitter.com/petrogustavo","@petrogustavo")</f>
        <v>@petrogustavo</v>
      </c>
      <c r="C473" s="5" t="s">
        <v>16</v>
      </c>
      <c r="D473" s="5" t="s">
        <v>497</v>
      </c>
      <c r="E473" s="6" t="str">
        <f>HYPERLINK("https://twitter.com/petrogustavo/status/1204222898573119488","1204222898573119488")</f>
        <v>1204222898573119488</v>
      </c>
      <c r="F473" s="7" t="s">
        <v>17</v>
      </c>
      <c r="G473" s="7">
        <v>3577271</v>
      </c>
      <c r="H473" s="7">
        <v>2333</v>
      </c>
      <c r="I473" s="7">
        <v>22</v>
      </c>
      <c r="J473" s="7">
        <v>44</v>
      </c>
      <c r="K473" s="7" t="s">
        <v>18</v>
      </c>
      <c r="L473" s="8">
        <v>39987.315405092595</v>
      </c>
      <c r="M473" s="9" t="s">
        <v>19</v>
      </c>
      <c r="N473" s="9" t="s">
        <v>20</v>
      </c>
      <c r="O473" s="6" t="str">
        <f>HYPERLINK("https://pbs.twimg.com/profile_images/962471262747529216/Uo8lOkRJ_normal.jpg","View")</f>
        <v>View</v>
      </c>
      <c r="P473" s="7"/>
    </row>
    <row r="474" spans="1:16">
      <c r="A474" s="3">
        <v>43809.351006944446</v>
      </c>
      <c r="B474" s="4" t="str">
        <f>HYPERLINK("https://twitter.com/petrogustavo","@petrogustavo")</f>
        <v>@petrogustavo</v>
      </c>
      <c r="C474" s="5" t="s">
        <v>16</v>
      </c>
      <c r="D474" s="5" t="s">
        <v>498</v>
      </c>
      <c r="E474" s="6" t="str">
        <f>HYPERLINK("https://twitter.com/petrogustavo/status/1204233135329812480","1204233135329812480")</f>
        <v>1204233135329812480</v>
      </c>
      <c r="F474" s="7" t="s">
        <v>17</v>
      </c>
      <c r="G474" s="7">
        <v>3577331</v>
      </c>
      <c r="H474" s="7">
        <v>2334</v>
      </c>
      <c r="I474" s="7">
        <v>108</v>
      </c>
      <c r="J474" s="7">
        <v>229</v>
      </c>
      <c r="K474" s="7" t="s">
        <v>18</v>
      </c>
      <c r="L474" s="8">
        <v>39987.315405092595</v>
      </c>
      <c r="M474" s="9" t="s">
        <v>19</v>
      </c>
      <c r="N474" s="9" t="s">
        <v>20</v>
      </c>
      <c r="O474" s="6" t="str">
        <f>HYPERLINK("https://pbs.twimg.com/profile_images/962471262747529216/Uo8lOkRJ_normal.jpg","View")</f>
        <v>View</v>
      </c>
      <c r="P474" s="7"/>
    </row>
    <row r="475" spans="1:16">
      <c r="A475" s="3">
        <v>43809.351516203707</v>
      </c>
      <c r="B475" s="4" t="str">
        <f>HYPERLINK("https://twitter.com/petrogustavo","@petrogustavo")</f>
        <v>@petrogustavo</v>
      </c>
      <c r="C475" s="5" t="s">
        <v>16</v>
      </c>
      <c r="D475" s="5" t="s">
        <v>499</v>
      </c>
      <c r="E475" s="6" t="str">
        <f>HYPERLINK("https://twitter.com/petrogustavo/status/1204233320915230720","1204233320915230720")</f>
        <v>1204233320915230720</v>
      </c>
      <c r="F475" s="7" t="s">
        <v>17</v>
      </c>
      <c r="G475" s="7">
        <v>3577331</v>
      </c>
      <c r="H475" s="7">
        <v>2334</v>
      </c>
      <c r="I475" s="7">
        <v>550</v>
      </c>
      <c r="J475" s="7">
        <v>0</v>
      </c>
      <c r="K475" s="7" t="s">
        <v>18</v>
      </c>
      <c r="L475" s="8">
        <v>39987.315405092595</v>
      </c>
      <c r="M475" s="9" t="s">
        <v>19</v>
      </c>
      <c r="N475" s="9" t="s">
        <v>20</v>
      </c>
      <c r="O475" s="6" t="str">
        <f>HYPERLINK("https://pbs.twimg.com/profile_images/962471262747529216/Uo8lOkRJ_normal.jpg","View")</f>
        <v>View</v>
      </c>
      <c r="P475" s="7"/>
    </row>
    <row r="476" spans="1:16">
      <c r="A476" s="3">
        <v>43809.353356481486</v>
      </c>
      <c r="B476" s="4" t="str">
        <f>HYPERLINK("https://twitter.com/petrogustavo","@petrogustavo")</f>
        <v>@petrogustavo</v>
      </c>
      <c r="C476" s="5" t="s">
        <v>16</v>
      </c>
      <c r="D476" s="5" t="s">
        <v>500</v>
      </c>
      <c r="E476" s="6" t="str">
        <f>HYPERLINK("https://twitter.com/petrogustavo/status/1204233984084979712","1204233984084979712")</f>
        <v>1204233984084979712</v>
      </c>
      <c r="F476" s="7" t="s">
        <v>17</v>
      </c>
      <c r="G476" s="7">
        <v>3577331</v>
      </c>
      <c r="H476" s="7">
        <v>2334</v>
      </c>
      <c r="I476" s="7">
        <v>210</v>
      </c>
      <c r="J476" s="7">
        <v>873</v>
      </c>
      <c r="K476" s="7" t="s">
        <v>18</v>
      </c>
      <c r="L476" s="8">
        <v>39987.315405092595</v>
      </c>
      <c r="M476" s="9" t="s">
        <v>19</v>
      </c>
      <c r="N476" s="9" t="s">
        <v>20</v>
      </c>
      <c r="O476" s="6" t="str">
        <f>HYPERLINK("https://pbs.twimg.com/profile_images/962471262747529216/Uo8lOkRJ_normal.jpg","View")</f>
        <v>View</v>
      </c>
      <c r="P476" s="7"/>
    </row>
    <row r="477" spans="1:16">
      <c r="A477" s="3">
        <v>43809.368437500001</v>
      </c>
      <c r="B477" s="4" t="str">
        <f>HYPERLINK("https://twitter.com/petrogustavo","@petrogustavo")</f>
        <v>@petrogustavo</v>
      </c>
      <c r="C477" s="5" t="s">
        <v>16</v>
      </c>
      <c r="D477" s="5" t="s">
        <v>501</v>
      </c>
      <c r="E477" s="6" t="str">
        <f>HYPERLINK("https://twitter.com/petrogustavo/status/1204239450152349696","1204239450152349696")</f>
        <v>1204239450152349696</v>
      </c>
      <c r="F477" s="7" t="s">
        <v>17</v>
      </c>
      <c r="G477" s="7">
        <v>3577371</v>
      </c>
      <c r="H477" s="7">
        <v>2334</v>
      </c>
      <c r="I477" s="7">
        <v>78</v>
      </c>
      <c r="J477" s="7">
        <v>236</v>
      </c>
      <c r="K477" s="7" t="s">
        <v>18</v>
      </c>
      <c r="L477" s="8">
        <v>39987.315405092595</v>
      </c>
      <c r="M477" s="9" t="s">
        <v>19</v>
      </c>
      <c r="N477" s="9" t="s">
        <v>20</v>
      </c>
      <c r="O477" s="6" t="str">
        <f>HYPERLINK("https://pbs.twimg.com/profile_images/962471262747529216/Uo8lOkRJ_normal.jpg","View")</f>
        <v>View</v>
      </c>
      <c r="P477" s="7"/>
    </row>
    <row r="478" spans="1:16">
      <c r="A478" s="3">
        <v>43809.369502314818</v>
      </c>
      <c r="B478" s="4" t="str">
        <f>HYPERLINK("https://twitter.com/petrogustavo","@petrogustavo")</f>
        <v>@petrogustavo</v>
      </c>
      <c r="C478" s="5" t="s">
        <v>16</v>
      </c>
      <c r="D478" s="5" t="s">
        <v>502</v>
      </c>
      <c r="E478" s="6" t="str">
        <f>HYPERLINK("https://twitter.com/petrogustavo/status/1204239835038400514","1204239835038400514")</f>
        <v>1204239835038400514</v>
      </c>
      <c r="F478" s="7" t="s">
        <v>17</v>
      </c>
      <c r="G478" s="7">
        <v>3577371</v>
      </c>
      <c r="H478" s="7">
        <v>2334</v>
      </c>
      <c r="I478" s="7">
        <v>476</v>
      </c>
      <c r="J478" s="7">
        <v>0</v>
      </c>
      <c r="K478" s="7" t="s">
        <v>18</v>
      </c>
      <c r="L478" s="8">
        <v>39987.315405092595</v>
      </c>
      <c r="M478" s="9" t="s">
        <v>19</v>
      </c>
      <c r="N478" s="9" t="s">
        <v>20</v>
      </c>
      <c r="O478" s="6" t="str">
        <f>HYPERLINK("https://pbs.twimg.com/profile_images/962471262747529216/Uo8lOkRJ_normal.jpg","View")</f>
        <v>View</v>
      </c>
      <c r="P478" s="7"/>
    </row>
    <row r="479" spans="1:16">
      <c r="A479" s="3">
        <v>43809.374050925922</v>
      </c>
      <c r="B479" s="4" t="str">
        <f>HYPERLINK("https://twitter.com/petrogustavo","@petrogustavo")</f>
        <v>@petrogustavo</v>
      </c>
      <c r="C479" s="5" t="s">
        <v>16</v>
      </c>
      <c r="D479" s="5" t="s">
        <v>503</v>
      </c>
      <c r="E479" s="6" t="str">
        <f>HYPERLINK("https://twitter.com/petrogustavo/status/1204241485668990976","1204241485668990976")</f>
        <v>1204241485668990976</v>
      </c>
      <c r="F479" s="7" t="s">
        <v>17</v>
      </c>
      <c r="G479" s="7">
        <v>3577371</v>
      </c>
      <c r="H479" s="7">
        <v>2334</v>
      </c>
      <c r="I479" s="7">
        <v>62</v>
      </c>
      <c r="J479" s="7">
        <v>255</v>
      </c>
      <c r="K479" s="7" t="s">
        <v>18</v>
      </c>
      <c r="L479" s="8">
        <v>39987.315405092595</v>
      </c>
      <c r="M479" s="9" t="s">
        <v>19</v>
      </c>
      <c r="N479" s="9" t="s">
        <v>20</v>
      </c>
      <c r="O479" s="6" t="str">
        <f>HYPERLINK("https://pbs.twimg.com/profile_images/962471262747529216/Uo8lOkRJ_normal.jpg","View")</f>
        <v>View</v>
      </c>
      <c r="P479" s="7"/>
    </row>
    <row r="480" spans="1:16">
      <c r="A480" s="3">
        <v>43809.374710648146</v>
      </c>
      <c r="B480" s="4" t="str">
        <f>HYPERLINK("https://twitter.com/petrogustavo","@petrogustavo")</f>
        <v>@petrogustavo</v>
      </c>
      <c r="C480" s="5" t="s">
        <v>16</v>
      </c>
      <c r="D480" s="5" t="s">
        <v>476</v>
      </c>
      <c r="E480" s="6" t="str">
        <f>HYPERLINK("https://twitter.com/petrogustavo/status/1204241726484955136","1204241726484955136")</f>
        <v>1204241726484955136</v>
      </c>
      <c r="F480" s="7" t="s">
        <v>17</v>
      </c>
      <c r="G480" s="7">
        <v>3577371</v>
      </c>
      <c r="H480" s="7">
        <v>2334</v>
      </c>
      <c r="I480" s="7">
        <v>912</v>
      </c>
      <c r="J480" s="7">
        <v>0</v>
      </c>
      <c r="K480" s="7" t="s">
        <v>18</v>
      </c>
      <c r="L480" s="8">
        <v>39987.315405092595</v>
      </c>
      <c r="M480" s="9" t="s">
        <v>19</v>
      </c>
      <c r="N480" s="9" t="s">
        <v>20</v>
      </c>
      <c r="O480" s="6" t="str">
        <f>HYPERLINK("https://pbs.twimg.com/profile_images/962471262747529216/Uo8lOkRJ_normal.jpg","View")</f>
        <v>View</v>
      </c>
      <c r="P480" s="7"/>
    </row>
    <row r="481" spans="1:16">
      <c r="A481" s="3">
        <v>43809.384710648148</v>
      </c>
      <c r="B481" s="4" t="str">
        <f>HYPERLINK("https://twitter.com/petrogustavo","@petrogustavo")</f>
        <v>@petrogustavo</v>
      </c>
      <c r="C481" s="5" t="s">
        <v>16</v>
      </c>
      <c r="D481" s="5" t="s">
        <v>504</v>
      </c>
      <c r="E481" s="6" t="str">
        <f>HYPERLINK("https://twitter.com/petrogustavo/status/1204245346811072513","1204245346811072513")</f>
        <v>1204245346811072513</v>
      </c>
      <c r="F481" s="7" t="s">
        <v>17</v>
      </c>
      <c r="G481" s="7">
        <v>3577371</v>
      </c>
      <c r="H481" s="7">
        <v>2334</v>
      </c>
      <c r="I481" s="7">
        <v>29</v>
      </c>
      <c r="J481" s="7">
        <v>88</v>
      </c>
      <c r="K481" s="7" t="s">
        <v>18</v>
      </c>
      <c r="L481" s="8">
        <v>39987.315405092595</v>
      </c>
      <c r="M481" s="9" t="s">
        <v>19</v>
      </c>
      <c r="N481" s="9" t="s">
        <v>20</v>
      </c>
      <c r="O481" s="6" t="str">
        <f>HYPERLINK("https://pbs.twimg.com/profile_images/962471262747529216/Uo8lOkRJ_normal.jpg","View")</f>
        <v>View</v>
      </c>
      <c r="P481" s="7"/>
    </row>
    <row r="482" spans="1:16">
      <c r="A482" s="3">
        <v>43809.388136574074</v>
      </c>
      <c r="B482" s="4" t="str">
        <f>HYPERLINK("https://twitter.com/petrogustavo","@petrogustavo")</f>
        <v>@petrogustavo</v>
      </c>
      <c r="C482" s="5" t="s">
        <v>16</v>
      </c>
      <c r="D482" s="5" t="s">
        <v>505</v>
      </c>
      <c r="E482" s="6" t="str">
        <f>HYPERLINK("https://twitter.com/petrogustavo/status/1204246590095085568","1204246590095085568")</f>
        <v>1204246590095085568</v>
      </c>
      <c r="F482" s="7" t="s">
        <v>17</v>
      </c>
      <c r="G482" s="7">
        <v>3577416</v>
      </c>
      <c r="H482" s="7">
        <v>2334</v>
      </c>
      <c r="I482" s="7">
        <v>134</v>
      </c>
      <c r="J482" s="7">
        <v>0</v>
      </c>
      <c r="K482" s="7" t="s">
        <v>18</v>
      </c>
      <c r="L482" s="8">
        <v>39987.315405092595</v>
      </c>
      <c r="M482" s="9" t="s">
        <v>19</v>
      </c>
      <c r="N482" s="9" t="s">
        <v>20</v>
      </c>
      <c r="O482" s="6" t="str">
        <f>HYPERLINK("https://pbs.twimg.com/profile_images/962471262747529216/Uo8lOkRJ_normal.jpg","View")</f>
        <v>View</v>
      </c>
      <c r="P482" s="7"/>
    </row>
    <row r="483" spans="1:16">
      <c r="A483" s="3">
        <v>43809.396215277782</v>
      </c>
      <c r="B483" s="4" t="str">
        <f>HYPERLINK("https://twitter.com/petrogustavo","@petrogustavo")</f>
        <v>@petrogustavo</v>
      </c>
      <c r="C483" s="5" t="s">
        <v>16</v>
      </c>
      <c r="D483" s="5" t="s">
        <v>506</v>
      </c>
      <c r="E483" s="6" t="str">
        <f>HYPERLINK("https://twitter.com/petrogustavo/status/1204249515651469312","1204249515651469312")</f>
        <v>1204249515651469312</v>
      </c>
      <c r="F483" s="7" t="s">
        <v>17</v>
      </c>
      <c r="G483" s="7">
        <v>3577416</v>
      </c>
      <c r="H483" s="7">
        <v>2334</v>
      </c>
      <c r="I483" s="7">
        <v>138</v>
      </c>
      <c r="J483" s="7">
        <v>0</v>
      </c>
      <c r="K483" s="7" t="s">
        <v>18</v>
      </c>
      <c r="L483" s="8">
        <v>39987.315405092595</v>
      </c>
      <c r="M483" s="9" t="s">
        <v>19</v>
      </c>
      <c r="N483" s="9" t="s">
        <v>20</v>
      </c>
      <c r="O483" s="6" t="str">
        <f>HYPERLINK("https://pbs.twimg.com/profile_images/962471262747529216/Uo8lOkRJ_normal.jpg","View")</f>
        <v>View</v>
      </c>
      <c r="P483" s="7"/>
    </row>
    <row r="484" spans="1:16">
      <c r="A484" s="3">
        <v>43809.396909722222</v>
      </c>
      <c r="B484" s="4" t="str">
        <f>HYPERLINK("https://twitter.com/petrogustavo","@petrogustavo")</f>
        <v>@petrogustavo</v>
      </c>
      <c r="C484" s="5" t="s">
        <v>16</v>
      </c>
      <c r="D484" s="5" t="s">
        <v>476</v>
      </c>
      <c r="E484" s="6" t="str">
        <f>HYPERLINK("https://twitter.com/petrogustavo/status/1204249768425402370","1204249768425402370")</f>
        <v>1204249768425402370</v>
      </c>
      <c r="F484" s="7" t="s">
        <v>17</v>
      </c>
      <c r="G484" s="7">
        <v>3577416</v>
      </c>
      <c r="H484" s="7">
        <v>2334</v>
      </c>
      <c r="I484" s="7">
        <v>932</v>
      </c>
      <c r="J484" s="7">
        <v>0</v>
      </c>
      <c r="K484" s="7" t="s">
        <v>18</v>
      </c>
      <c r="L484" s="8">
        <v>39987.315405092595</v>
      </c>
      <c r="M484" s="9" t="s">
        <v>19</v>
      </c>
      <c r="N484" s="9" t="s">
        <v>20</v>
      </c>
      <c r="O484" s="6" t="str">
        <f>HYPERLINK("https://pbs.twimg.com/profile_images/962471262747529216/Uo8lOkRJ_normal.jpg","View")</f>
        <v>View</v>
      </c>
      <c r="P484" s="7"/>
    </row>
    <row r="485" spans="1:16">
      <c r="A485" s="3">
        <v>43809.779467592598</v>
      </c>
      <c r="B485" s="4" t="str">
        <f>HYPERLINK("https://twitter.com/petrogustavo","@petrogustavo")</f>
        <v>@petrogustavo</v>
      </c>
      <c r="C485" s="5" t="s">
        <v>16</v>
      </c>
      <c r="D485" s="5" t="s">
        <v>507</v>
      </c>
      <c r="E485" s="6" t="str">
        <f>HYPERLINK("https://twitter.com/petrogustavo/status/1204388402541543425","1204388402541543425")</f>
        <v>1204388402541543425</v>
      </c>
      <c r="F485" s="7" t="s">
        <v>17</v>
      </c>
      <c r="G485" s="7">
        <v>3577584</v>
      </c>
      <c r="H485" s="7">
        <v>2334</v>
      </c>
      <c r="I485" s="7">
        <v>438</v>
      </c>
      <c r="J485" s="7">
        <v>0</v>
      </c>
      <c r="K485" s="7" t="s">
        <v>18</v>
      </c>
      <c r="L485" s="8">
        <v>39987.315405092595</v>
      </c>
      <c r="M485" s="9" t="s">
        <v>19</v>
      </c>
      <c r="N485" s="9" t="s">
        <v>20</v>
      </c>
      <c r="O485" s="6" t="str">
        <f>HYPERLINK("https://pbs.twimg.com/profile_images/962471262747529216/Uo8lOkRJ_normal.jpg","View")</f>
        <v>View</v>
      </c>
      <c r="P485" s="7"/>
    </row>
    <row r="486" spans="1:16">
      <c r="A486" s="3">
        <v>43809.781678240739</v>
      </c>
      <c r="B486" s="4" t="str">
        <f>HYPERLINK("https://twitter.com/petrogustavo","@petrogustavo")</f>
        <v>@petrogustavo</v>
      </c>
      <c r="C486" s="5" t="s">
        <v>16</v>
      </c>
      <c r="D486" s="5" t="s">
        <v>508</v>
      </c>
      <c r="E486" s="6" t="str">
        <f>HYPERLINK("https://twitter.com/petrogustavo/status/1204389204500856832","1204389204500856832")</f>
        <v>1204389204500856832</v>
      </c>
      <c r="F486" s="7" t="s">
        <v>17</v>
      </c>
      <c r="G486" s="7">
        <v>3577584</v>
      </c>
      <c r="H486" s="7">
        <v>2334</v>
      </c>
      <c r="I486" s="7">
        <v>22</v>
      </c>
      <c r="J486" s="7">
        <v>52</v>
      </c>
      <c r="K486" s="7" t="s">
        <v>18</v>
      </c>
      <c r="L486" s="8">
        <v>39987.315405092595</v>
      </c>
      <c r="M486" s="9" t="s">
        <v>19</v>
      </c>
      <c r="N486" s="9" t="s">
        <v>20</v>
      </c>
      <c r="O486" s="6" t="str">
        <f>HYPERLINK("https://pbs.twimg.com/profile_images/962471262747529216/Uo8lOkRJ_normal.jpg","View")</f>
        <v>View</v>
      </c>
      <c r="P486" s="7"/>
    </row>
    <row r="487" spans="1:16">
      <c r="A487" s="3">
        <v>43809.78396990741</v>
      </c>
      <c r="B487" s="4" t="str">
        <f>HYPERLINK("https://twitter.com/petrogustavo","@petrogustavo")</f>
        <v>@petrogustavo</v>
      </c>
      <c r="C487" s="5" t="s">
        <v>16</v>
      </c>
      <c r="D487" s="5" t="s">
        <v>509</v>
      </c>
      <c r="E487" s="6" t="str">
        <f>HYPERLINK("https://twitter.com/petrogustavo/status/1204390036055179264","1204390036055179264")</f>
        <v>1204390036055179264</v>
      </c>
      <c r="F487" s="7" t="s">
        <v>17</v>
      </c>
      <c r="G487" s="7">
        <v>3577613</v>
      </c>
      <c r="H487" s="7">
        <v>2334</v>
      </c>
      <c r="I487" s="7">
        <v>97</v>
      </c>
      <c r="J487" s="7">
        <v>328</v>
      </c>
      <c r="K487" s="7" t="s">
        <v>18</v>
      </c>
      <c r="L487" s="8">
        <v>39987.315405092595</v>
      </c>
      <c r="M487" s="9" t="s">
        <v>19</v>
      </c>
      <c r="N487" s="9" t="s">
        <v>20</v>
      </c>
      <c r="O487" s="6" t="str">
        <f>HYPERLINK("https://pbs.twimg.com/profile_images/962471262747529216/Uo8lOkRJ_normal.jpg","View")</f>
        <v>View</v>
      </c>
      <c r="P487" s="7"/>
    </row>
    <row r="488" spans="1:16">
      <c r="A488" s="3">
        <v>43809.786261574074</v>
      </c>
      <c r="B488" s="4" t="str">
        <f>HYPERLINK("https://twitter.com/petrogustavo","@petrogustavo")</f>
        <v>@petrogustavo</v>
      </c>
      <c r="C488" s="5" t="s">
        <v>16</v>
      </c>
      <c r="D488" s="5" t="s">
        <v>510</v>
      </c>
      <c r="E488" s="6" t="str">
        <f>HYPERLINK("https://twitter.com/petrogustavo/status/1204390867479486470","1204390867479486470")</f>
        <v>1204390867479486470</v>
      </c>
      <c r="F488" s="7" t="s">
        <v>17</v>
      </c>
      <c r="G488" s="7">
        <v>3577613</v>
      </c>
      <c r="H488" s="7">
        <v>2334</v>
      </c>
      <c r="I488" s="7">
        <v>226</v>
      </c>
      <c r="J488" s="7">
        <v>473</v>
      </c>
      <c r="K488" s="7" t="s">
        <v>18</v>
      </c>
      <c r="L488" s="8">
        <v>39987.315405092595</v>
      </c>
      <c r="M488" s="9" t="s">
        <v>19</v>
      </c>
      <c r="N488" s="9" t="s">
        <v>20</v>
      </c>
      <c r="O488" s="6" t="str">
        <f>HYPERLINK("https://pbs.twimg.com/profile_images/962471262747529216/Uo8lOkRJ_normal.jpg","View")</f>
        <v>View</v>
      </c>
      <c r="P488" s="7"/>
    </row>
    <row r="489" spans="1:16">
      <c r="A489" s="3">
        <v>43809.786631944444</v>
      </c>
      <c r="B489" s="4" t="str">
        <f>HYPERLINK("https://twitter.com/petrogustavo","@petrogustavo")</f>
        <v>@petrogustavo</v>
      </c>
      <c r="C489" s="5" t="s">
        <v>16</v>
      </c>
      <c r="D489" s="5" t="s">
        <v>511</v>
      </c>
      <c r="E489" s="6" t="str">
        <f>HYPERLINK("https://twitter.com/petrogustavo/status/1204390999222636549","1204390999222636549")</f>
        <v>1204390999222636549</v>
      </c>
      <c r="F489" s="7" t="s">
        <v>17</v>
      </c>
      <c r="G489" s="7">
        <v>3577613</v>
      </c>
      <c r="H489" s="7">
        <v>2334</v>
      </c>
      <c r="I489" s="7">
        <v>217</v>
      </c>
      <c r="J489" s="7">
        <v>0</v>
      </c>
      <c r="K489" s="7" t="s">
        <v>18</v>
      </c>
      <c r="L489" s="8">
        <v>39987.315405092595</v>
      </c>
      <c r="M489" s="9" t="s">
        <v>19</v>
      </c>
      <c r="N489" s="9" t="s">
        <v>20</v>
      </c>
      <c r="O489" s="6" t="str">
        <f>HYPERLINK("https://pbs.twimg.com/profile_images/962471262747529216/Uo8lOkRJ_normal.jpg","View")</f>
        <v>View</v>
      </c>
      <c r="P489" s="7"/>
    </row>
    <row r="490" spans="1:16">
      <c r="A490" s="3">
        <v>43809.787627314814</v>
      </c>
      <c r="B490" s="4" t="str">
        <f>HYPERLINK("https://twitter.com/petrogustavo","@petrogustavo")</f>
        <v>@petrogustavo</v>
      </c>
      <c r="C490" s="5" t="s">
        <v>16</v>
      </c>
      <c r="D490" s="5" t="s">
        <v>512</v>
      </c>
      <c r="E490" s="6" t="str">
        <f>HYPERLINK("https://twitter.com/petrogustavo/status/1204391361652416512","1204391361652416512")</f>
        <v>1204391361652416512</v>
      </c>
      <c r="F490" s="7" t="s">
        <v>17</v>
      </c>
      <c r="G490" s="7">
        <v>3577613</v>
      </c>
      <c r="H490" s="7">
        <v>2334</v>
      </c>
      <c r="I490" s="7">
        <v>21</v>
      </c>
      <c r="J490" s="7">
        <v>0</v>
      </c>
      <c r="K490" s="7" t="s">
        <v>18</v>
      </c>
      <c r="L490" s="8">
        <v>39987.315405092595</v>
      </c>
      <c r="M490" s="9" t="s">
        <v>19</v>
      </c>
      <c r="N490" s="9" t="s">
        <v>20</v>
      </c>
      <c r="O490" s="6" t="str">
        <f>HYPERLINK("https://pbs.twimg.com/profile_images/962471262747529216/Uo8lOkRJ_normal.jpg","View")</f>
        <v>View</v>
      </c>
      <c r="P490" s="7"/>
    </row>
    <row r="491" spans="1:16">
      <c r="A491" s="3">
        <v>43809.790162037039</v>
      </c>
      <c r="B491" s="4" t="str">
        <f>HYPERLINK("https://twitter.com/petrogustavo","@petrogustavo")</f>
        <v>@petrogustavo</v>
      </c>
      <c r="C491" s="5" t="s">
        <v>16</v>
      </c>
      <c r="D491" s="5" t="s">
        <v>513</v>
      </c>
      <c r="E491" s="6" t="str">
        <f>HYPERLINK("https://twitter.com/petrogustavo/status/1204392279101837312","1204392279101837312")</f>
        <v>1204392279101837312</v>
      </c>
      <c r="F491" s="7" t="s">
        <v>17</v>
      </c>
      <c r="G491" s="7">
        <v>3577613</v>
      </c>
      <c r="H491" s="7">
        <v>2334</v>
      </c>
      <c r="I491" s="7">
        <v>164</v>
      </c>
      <c r="J491" s="7">
        <v>489</v>
      </c>
      <c r="K491" s="7" t="s">
        <v>18</v>
      </c>
      <c r="L491" s="8">
        <v>39987.315405092595</v>
      </c>
      <c r="M491" s="9" t="s">
        <v>19</v>
      </c>
      <c r="N491" s="9" t="s">
        <v>20</v>
      </c>
      <c r="O491" s="6" t="str">
        <f>HYPERLINK("https://pbs.twimg.com/profile_images/962471262747529216/Uo8lOkRJ_normal.jpg","View")</f>
        <v>View</v>
      </c>
      <c r="P491" s="7"/>
    </row>
    <row r="492" spans="1:16">
      <c r="A492" s="3">
        <v>43809.792222222226</v>
      </c>
      <c r="B492" s="4" t="str">
        <f>HYPERLINK("https://twitter.com/petrogustavo","@petrogustavo")</f>
        <v>@petrogustavo</v>
      </c>
      <c r="C492" s="5" t="s">
        <v>16</v>
      </c>
      <c r="D492" s="5" t="s">
        <v>514</v>
      </c>
      <c r="E492" s="6" t="str">
        <f>HYPERLINK("https://twitter.com/petrogustavo/status/1204393025507594246","1204393025507594246")</f>
        <v>1204393025507594246</v>
      </c>
      <c r="F492" s="7" t="s">
        <v>17</v>
      </c>
      <c r="G492" s="7">
        <v>3577613</v>
      </c>
      <c r="H492" s="7">
        <v>2334</v>
      </c>
      <c r="I492" s="7">
        <v>35</v>
      </c>
      <c r="J492" s="7">
        <v>97</v>
      </c>
      <c r="K492" s="7" t="s">
        <v>18</v>
      </c>
      <c r="L492" s="8">
        <v>39987.315405092595</v>
      </c>
      <c r="M492" s="9" t="s">
        <v>19</v>
      </c>
      <c r="N492" s="9" t="s">
        <v>20</v>
      </c>
      <c r="O492" s="6" t="str">
        <f>HYPERLINK("https://pbs.twimg.com/profile_images/962471262747529216/Uo8lOkRJ_normal.jpg","View")</f>
        <v>View</v>
      </c>
      <c r="P492" s="7"/>
    </row>
    <row r="493" spans="1:16">
      <c r="A493" s="3">
        <v>43809.796307870369</v>
      </c>
      <c r="B493" s="4" t="str">
        <f>HYPERLINK("https://twitter.com/petrogustavo","@petrogustavo")</f>
        <v>@petrogustavo</v>
      </c>
      <c r="C493" s="5" t="s">
        <v>16</v>
      </c>
      <c r="D493" s="5" t="s">
        <v>515</v>
      </c>
      <c r="E493" s="6" t="str">
        <f>HYPERLINK("https://twitter.com/petrogustavo/status/1204394506482847744","1204394506482847744")</f>
        <v>1204394506482847744</v>
      </c>
      <c r="F493" s="7" t="s">
        <v>17</v>
      </c>
      <c r="G493" s="7">
        <v>3577613</v>
      </c>
      <c r="H493" s="7">
        <v>2334</v>
      </c>
      <c r="I493" s="7">
        <v>78</v>
      </c>
      <c r="J493" s="7">
        <v>0</v>
      </c>
      <c r="K493" s="7" t="s">
        <v>18</v>
      </c>
      <c r="L493" s="8">
        <v>39987.315405092595</v>
      </c>
      <c r="M493" s="9" t="s">
        <v>19</v>
      </c>
      <c r="N493" s="9" t="s">
        <v>20</v>
      </c>
      <c r="O493" s="6" t="str">
        <f>HYPERLINK("https://pbs.twimg.com/profile_images/962471262747529216/Uo8lOkRJ_normal.jpg","View")</f>
        <v>View</v>
      </c>
      <c r="P493" s="7"/>
    </row>
    <row r="494" spans="1:16">
      <c r="A494" s="3">
        <v>43809.798287037032</v>
      </c>
      <c r="B494" s="4" t="str">
        <f>HYPERLINK("https://twitter.com/petrogustavo","@petrogustavo")</f>
        <v>@petrogustavo</v>
      </c>
      <c r="C494" s="5" t="s">
        <v>16</v>
      </c>
      <c r="D494" s="5" t="s">
        <v>516</v>
      </c>
      <c r="E494" s="6" t="str">
        <f>HYPERLINK("https://twitter.com/petrogustavo/status/1204395222102347776","1204395222102347776")</f>
        <v>1204395222102347776</v>
      </c>
      <c r="F494" s="7" t="s">
        <v>17</v>
      </c>
      <c r="G494" s="7">
        <v>3577613</v>
      </c>
      <c r="H494" s="7">
        <v>2334</v>
      </c>
      <c r="I494" s="7">
        <v>53</v>
      </c>
      <c r="J494" s="7">
        <v>117</v>
      </c>
      <c r="K494" s="7" t="s">
        <v>18</v>
      </c>
      <c r="L494" s="8">
        <v>39987.315405092595</v>
      </c>
      <c r="M494" s="9" t="s">
        <v>19</v>
      </c>
      <c r="N494" s="9" t="s">
        <v>20</v>
      </c>
      <c r="O494" s="6" t="str">
        <f>HYPERLINK("https://pbs.twimg.com/profile_images/962471262747529216/Uo8lOkRJ_normal.jpg","View")</f>
        <v>View</v>
      </c>
      <c r="P494" s="7"/>
    </row>
    <row r="495" spans="1:16">
      <c r="A495" s="3">
        <v>43809.802997685183</v>
      </c>
      <c r="B495" s="4" t="str">
        <f>HYPERLINK("https://twitter.com/petrogustavo","@petrogustavo")</f>
        <v>@petrogustavo</v>
      </c>
      <c r="C495" s="5" t="s">
        <v>16</v>
      </c>
      <c r="D495" s="5" t="s">
        <v>517</v>
      </c>
      <c r="E495" s="6" t="str">
        <f>HYPERLINK("https://twitter.com/petrogustavo/status/1204396931784564736","1204396931784564736")</f>
        <v>1204396931784564736</v>
      </c>
      <c r="F495" s="7" t="s">
        <v>17</v>
      </c>
      <c r="G495" s="7">
        <v>3577613</v>
      </c>
      <c r="H495" s="7">
        <v>2334</v>
      </c>
      <c r="I495" s="7">
        <v>22</v>
      </c>
      <c r="J495" s="7">
        <v>39</v>
      </c>
      <c r="K495" s="7" t="s">
        <v>18</v>
      </c>
      <c r="L495" s="8">
        <v>39987.315405092595</v>
      </c>
      <c r="M495" s="9" t="s">
        <v>19</v>
      </c>
      <c r="N495" s="9" t="s">
        <v>20</v>
      </c>
      <c r="O495" s="6" t="str">
        <f>HYPERLINK("https://pbs.twimg.com/profile_images/962471262747529216/Uo8lOkRJ_normal.jpg","View")</f>
        <v>View</v>
      </c>
      <c r="P495" s="7"/>
    </row>
    <row r="496" spans="1:16">
      <c r="A496" s="3">
        <v>43809.804444444446</v>
      </c>
      <c r="B496" s="4" t="str">
        <f>HYPERLINK("https://twitter.com/petrogustavo","@petrogustavo")</f>
        <v>@petrogustavo</v>
      </c>
      <c r="C496" s="5" t="s">
        <v>16</v>
      </c>
      <c r="D496" s="5" t="s">
        <v>518</v>
      </c>
      <c r="E496" s="6" t="str">
        <f>HYPERLINK("https://twitter.com/petrogustavo/status/1204397454852022274","1204397454852022274")</f>
        <v>1204397454852022274</v>
      </c>
      <c r="F496" s="7" t="s">
        <v>17</v>
      </c>
      <c r="G496" s="7">
        <v>3577648</v>
      </c>
      <c r="H496" s="7">
        <v>2334</v>
      </c>
      <c r="I496" s="7">
        <v>324</v>
      </c>
      <c r="J496" s="7">
        <v>0</v>
      </c>
      <c r="K496" s="7" t="s">
        <v>18</v>
      </c>
      <c r="L496" s="8">
        <v>39987.315405092595</v>
      </c>
      <c r="M496" s="9" t="s">
        <v>19</v>
      </c>
      <c r="N496" s="9" t="s">
        <v>20</v>
      </c>
      <c r="O496" s="6" t="str">
        <f>HYPERLINK("https://pbs.twimg.com/profile_images/962471262747529216/Uo8lOkRJ_normal.jpg","View")</f>
        <v>View</v>
      </c>
      <c r="P496" s="7"/>
    </row>
    <row r="497" spans="1:16">
      <c r="A497" s="3">
        <v>43809.807372685187</v>
      </c>
      <c r="B497" s="4" t="str">
        <f>HYPERLINK("https://twitter.com/petrogustavo","@petrogustavo")</f>
        <v>@petrogustavo</v>
      </c>
      <c r="C497" s="5" t="s">
        <v>16</v>
      </c>
      <c r="D497" s="5" t="s">
        <v>519</v>
      </c>
      <c r="E497" s="6" t="str">
        <f>HYPERLINK("https://twitter.com/petrogustavo/status/1204398516140990465","1204398516140990465")</f>
        <v>1204398516140990465</v>
      </c>
      <c r="F497" s="7" t="s">
        <v>17</v>
      </c>
      <c r="G497" s="7">
        <v>3577648</v>
      </c>
      <c r="H497" s="7">
        <v>2334</v>
      </c>
      <c r="I497" s="7">
        <v>143</v>
      </c>
      <c r="J497" s="7">
        <v>266</v>
      </c>
      <c r="K497" s="7" t="s">
        <v>18</v>
      </c>
      <c r="L497" s="8">
        <v>39987.315405092595</v>
      </c>
      <c r="M497" s="9" t="s">
        <v>19</v>
      </c>
      <c r="N497" s="9" t="s">
        <v>20</v>
      </c>
      <c r="O497" s="6" t="str">
        <f>HYPERLINK("https://pbs.twimg.com/profile_images/962471262747529216/Uo8lOkRJ_normal.jpg","View")</f>
        <v>View</v>
      </c>
      <c r="P497" s="7"/>
    </row>
    <row r="498" spans="1:16">
      <c r="A498" s="3">
        <v>43809.834594907406</v>
      </c>
      <c r="B498" s="4" t="str">
        <f>HYPERLINK("https://twitter.com/petrogustavo","@petrogustavo")</f>
        <v>@petrogustavo</v>
      </c>
      <c r="C498" s="5" t="s">
        <v>16</v>
      </c>
      <c r="D498" s="5" t="s">
        <v>520</v>
      </c>
      <c r="E498" s="6" t="str">
        <f>HYPERLINK("https://twitter.com/petrogustavo/status/1204408382636974082","1204408382636974082")</f>
        <v>1204408382636974082</v>
      </c>
      <c r="F498" s="7" t="s">
        <v>17</v>
      </c>
      <c r="G498" s="7">
        <v>3577681</v>
      </c>
      <c r="H498" s="7">
        <v>2334</v>
      </c>
      <c r="I498" s="7">
        <v>122</v>
      </c>
      <c r="J498" s="7">
        <v>297</v>
      </c>
      <c r="K498" s="7" t="s">
        <v>18</v>
      </c>
      <c r="L498" s="8">
        <v>39987.315405092595</v>
      </c>
      <c r="M498" s="9" t="s">
        <v>19</v>
      </c>
      <c r="N498" s="9" t="s">
        <v>20</v>
      </c>
      <c r="O498" s="6" t="str">
        <f>HYPERLINK("https://pbs.twimg.com/profile_images/962471262747529216/Uo8lOkRJ_normal.jpg","View")</f>
        <v>View</v>
      </c>
      <c r="P498" s="7"/>
    </row>
    <row r="499" spans="1:16">
      <c r="A499" s="3">
        <v>43809.837337962963</v>
      </c>
      <c r="B499" s="4" t="str">
        <f>HYPERLINK("https://twitter.com/petrogustavo","@petrogustavo")</f>
        <v>@petrogustavo</v>
      </c>
      <c r="C499" s="5" t="s">
        <v>16</v>
      </c>
      <c r="D499" s="5" t="s">
        <v>521</v>
      </c>
      <c r="E499" s="6" t="str">
        <f>HYPERLINK("https://twitter.com/petrogustavo/status/1204409373277081605","1204409373277081605")</f>
        <v>1204409373277081605</v>
      </c>
      <c r="F499" s="7" t="s">
        <v>17</v>
      </c>
      <c r="G499" s="7">
        <v>3577681</v>
      </c>
      <c r="H499" s="7">
        <v>2334</v>
      </c>
      <c r="I499" s="7">
        <v>20</v>
      </c>
      <c r="J499" s="7">
        <v>141</v>
      </c>
      <c r="K499" s="7" t="s">
        <v>18</v>
      </c>
      <c r="L499" s="8">
        <v>39987.315405092595</v>
      </c>
      <c r="M499" s="9" t="s">
        <v>19</v>
      </c>
      <c r="N499" s="9" t="s">
        <v>20</v>
      </c>
      <c r="O499" s="6" t="str">
        <f>HYPERLINK("https://pbs.twimg.com/profile_images/962471262747529216/Uo8lOkRJ_normal.jpg","View")</f>
        <v>View</v>
      </c>
      <c r="P499" s="7"/>
    </row>
    <row r="500" spans="1:16">
      <c r="A500" s="3">
        <v>43809.838796296295</v>
      </c>
      <c r="B500" s="4" t="str">
        <f>HYPERLINK("https://twitter.com/petrogustavo","@petrogustavo")</f>
        <v>@petrogustavo</v>
      </c>
      <c r="C500" s="5" t="s">
        <v>16</v>
      </c>
      <c r="D500" s="5" t="s">
        <v>522</v>
      </c>
      <c r="E500" s="6" t="str">
        <f>HYPERLINK("https://twitter.com/petrogustavo/status/1204409903630077953","1204409903630077953")</f>
        <v>1204409903630077953</v>
      </c>
      <c r="F500" s="7" t="s">
        <v>17</v>
      </c>
      <c r="G500" s="7">
        <v>3577681</v>
      </c>
      <c r="H500" s="7">
        <v>2334</v>
      </c>
      <c r="I500" s="7">
        <v>31</v>
      </c>
      <c r="J500" s="7">
        <v>160</v>
      </c>
      <c r="K500" s="7" t="s">
        <v>18</v>
      </c>
      <c r="L500" s="8">
        <v>39987.315405092595</v>
      </c>
      <c r="M500" s="9" t="s">
        <v>19</v>
      </c>
      <c r="N500" s="9" t="s">
        <v>20</v>
      </c>
      <c r="O500" s="6" t="str">
        <f>HYPERLINK("https://pbs.twimg.com/profile_images/962471262747529216/Uo8lOkRJ_normal.jpg","View")</f>
        <v>View</v>
      </c>
      <c r="P500" s="7"/>
    </row>
    <row r="501" spans="1:16">
      <c r="A501" s="3">
        <v>43809.840624999997</v>
      </c>
      <c r="B501" s="4" t="str">
        <f>HYPERLINK("https://twitter.com/petrogustavo","@petrogustavo")</f>
        <v>@petrogustavo</v>
      </c>
      <c r="C501" s="5" t="s">
        <v>16</v>
      </c>
      <c r="D501" s="5" t="s">
        <v>523</v>
      </c>
      <c r="E501" s="6" t="str">
        <f>HYPERLINK("https://twitter.com/petrogustavo/status/1204410564471951362","1204410564471951362")</f>
        <v>1204410564471951362</v>
      </c>
      <c r="F501" s="7" t="s">
        <v>17</v>
      </c>
      <c r="G501" s="7">
        <v>3577681</v>
      </c>
      <c r="H501" s="7">
        <v>2334</v>
      </c>
      <c r="I501" s="7">
        <v>122</v>
      </c>
      <c r="J501" s="7">
        <v>0</v>
      </c>
      <c r="K501" s="7" t="s">
        <v>18</v>
      </c>
      <c r="L501" s="8">
        <v>39987.315405092595</v>
      </c>
      <c r="M501" s="9" t="s">
        <v>19</v>
      </c>
      <c r="N501" s="9" t="s">
        <v>20</v>
      </c>
      <c r="O501" s="6" t="str">
        <f>HYPERLINK("https://pbs.twimg.com/profile_images/962471262747529216/Uo8lOkRJ_normal.jpg","View")</f>
        <v>View</v>
      </c>
      <c r="P501" s="7"/>
    </row>
    <row r="502" spans="1:16">
      <c r="A502" s="3">
        <v>43809.848171296297</v>
      </c>
      <c r="B502" s="4" t="str">
        <f>HYPERLINK("https://twitter.com/petrogustavo","@petrogustavo")</f>
        <v>@petrogustavo</v>
      </c>
      <c r="C502" s="5" t="s">
        <v>16</v>
      </c>
      <c r="D502" s="5" t="s">
        <v>524</v>
      </c>
      <c r="E502" s="6" t="str">
        <f>HYPERLINK("https://twitter.com/petrogustavo/status/1204413302933053441","1204413302933053441")</f>
        <v>1204413302933053441</v>
      </c>
      <c r="F502" s="7" t="s">
        <v>17</v>
      </c>
      <c r="G502" s="7">
        <v>3577705</v>
      </c>
      <c r="H502" s="7">
        <v>2334</v>
      </c>
      <c r="I502" s="7">
        <v>65</v>
      </c>
      <c r="J502" s="7">
        <v>317</v>
      </c>
      <c r="K502" s="7" t="s">
        <v>18</v>
      </c>
      <c r="L502" s="8">
        <v>39987.315405092595</v>
      </c>
      <c r="M502" s="9" t="s">
        <v>19</v>
      </c>
      <c r="N502" s="9" t="s">
        <v>20</v>
      </c>
      <c r="O502" s="6" t="str">
        <f>HYPERLINK("https://pbs.twimg.com/profile_images/962471262747529216/Uo8lOkRJ_normal.jpg","View")</f>
        <v>View</v>
      </c>
      <c r="P502" s="7"/>
    </row>
    <row r="503" spans="1:16">
      <c r="A503" s="3">
        <v>43809.848194444443</v>
      </c>
      <c r="B503" s="4" t="str">
        <f>HYPERLINK("https://twitter.com/petrogustavo","@petrogustavo")</f>
        <v>@petrogustavo</v>
      </c>
      <c r="C503" s="5" t="s">
        <v>16</v>
      </c>
      <c r="D503" s="5" t="s">
        <v>525</v>
      </c>
      <c r="E503" s="6" t="str">
        <f>HYPERLINK("https://twitter.com/petrogustavo/status/1204413308217880586","1204413308217880586")</f>
        <v>1204413308217880586</v>
      </c>
      <c r="F503" s="7" t="s">
        <v>17</v>
      </c>
      <c r="G503" s="7">
        <v>3577705</v>
      </c>
      <c r="H503" s="7">
        <v>2334</v>
      </c>
      <c r="I503" s="7">
        <v>20</v>
      </c>
      <c r="J503" s="7">
        <v>105</v>
      </c>
      <c r="K503" s="7" t="s">
        <v>18</v>
      </c>
      <c r="L503" s="8">
        <v>39987.315405092595</v>
      </c>
      <c r="M503" s="9" t="s">
        <v>19</v>
      </c>
      <c r="N503" s="9" t="s">
        <v>20</v>
      </c>
      <c r="O503" s="6" t="str">
        <f>HYPERLINK("https://pbs.twimg.com/profile_images/962471262747529216/Uo8lOkRJ_normal.jpg","View")</f>
        <v>View</v>
      </c>
      <c r="P503" s="7"/>
    </row>
    <row r="504" spans="1:16">
      <c r="A504" s="3">
        <v>43809.848275462966</v>
      </c>
      <c r="B504" s="4" t="str">
        <f>HYPERLINK("https://twitter.com/petrogustavo","@petrogustavo")</f>
        <v>@petrogustavo</v>
      </c>
      <c r="C504" s="5" t="s">
        <v>16</v>
      </c>
      <c r="D504" s="5" t="s">
        <v>526</v>
      </c>
      <c r="E504" s="6" t="str">
        <f>HYPERLINK("https://twitter.com/petrogustavo/status/1204413340476272647","1204413340476272647")</f>
        <v>1204413340476272647</v>
      </c>
      <c r="F504" s="7" t="s">
        <v>17</v>
      </c>
      <c r="G504" s="7">
        <v>3577705</v>
      </c>
      <c r="H504" s="7">
        <v>2334</v>
      </c>
      <c r="I504" s="7">
        <v>41</v>
      </c>
      <c r="J504" s="7">
        <v>189</v>
      </c>
      <c r="K504" s="7" t="s">
        <v>18</v>
      </c>
      <c r="L504" s="8">
        <v>39987.315405092595</v>
      </c>
      <c r="M504" s="9" t="s">
        <v>19</v>
      </c>
      <c r="N504" s="9" t="s">
        <v>20</v>
      </c>
      <c r="O504" s="6" t="str">
        <f>HYPERLINK("https://pbs.twimg.com/profile_images/962471262747529216/Uo8lOkRJ_normal.jpg","View")</f>
        <v>View</v>
      </c>
      <c r="P504" s="7"/>
    </row>
    <row r="505" spans="1:16">
      <c r="A505" s="3">
        <v>43809.848287037035</v>
      </c>
      <c r="B505" s="4" t="str">
        <f>HYPERLINK("https://twitter.com/petrogustavo","@petrogustavo")</f>
        <v>@petrogustavo</v>
      </c>
      <c r="C505" s="5" t="s">
        <v>16</v>
      </c>
      <c r="D505" s="5" t="s">
        <v>527</v>
      </c>
      <c r="E505" s="6" t="str">
        <f>HYPERLINK("https://twitter.com/petrogustavo/status/1204413342464397315","1204413342464397315")</f>
        <v>1204413342464397315</v>
      </c>
      <c r="F505" s="7" t="s">
        <v>17</v>
      </c>
      <c r="G505" s="7">
        <v>3577705</v>
      </c>
      <c r="H505" s="7">
        <v>2334</v>
      </c>
      <c r="I505" s="7">
        <v>34</v>
      </c>
      <c r="J505" s="7">
        <v>192</v>
      </c>
      <c r="K505" s="7" t="s">
        <v>18</v>
      </c>
      <c r="L505" s="8">
        <v>39987.315405092595</v>
      </c>
      <c r="M505" s="9" t="s">
        <v>19</v>
      </c>
      <c r="N505" s="9" t="s">
        <v>20</v>
      </c>
      <c r="O505" s="6" t="str">
        <f>HYPERLINK("https://pbs.twimg.com/profile_images/962471262747529216/Uo8lOkRJ_normal.jpg","View")</f>
        <v>View</v>
      </c>
      <c r="P505" s="7"/>
    </row>
    <row r="506" spans="1:16">
      <c r="A506" s="3">
        <v>43809.851539351846</v>
      </c>
      <c r="B506" s="4" t="str">
        <f>HYPERLINK("https://twitter.com/petrogustavo","@petrogustavo")</f>
        <v>@petrogustavo</v>
      </c>
      <c r="C506" s="5" t="s">
        <v>16</v>
      </c>
      <c r="D506" s="5" t="s">
        <v>528</v>
      </c>
      <c r="E506" s="6" t="str">
        <f>HYPERLINK("https://twitter.com/petrogustavo/status/1204414522871533568","1204414522871533568")</f>
        <v>1204414522871533568</v>
      </c>
      <c r="F506" s="7" t="s">
        <v>17</v>
      </c>
      <c r="G506" s="7">
        <v>3577705</v>
      </c>
      <c r="H506" s="7">
        <v>2334</v>
      </c>
      <c r="I506" s="7">
        <v>50</v>
      </c>
      <c r="J506" s="7">
        <v>0</v>
      </c>
      <c r="K506" s="7" t="s">
        <v>18</v>
      </c>
      <c r="L506" s="8">
        <v>39987.315405092595</v>
      </c>
      <c r="M506" s="9" t="s">
        <v>19</v>
      </c>
      <c r="N506" s="9" t="s">
        <v>20</v>
      </c>
      <c r="O506" s="6" t="str">
        <f>HYPERLINK("https://pbs.twimg.com/profile_images/962471262747529216/Uo8lOkRJ_normal.jpg","View")</f>
        <v>View</v>
      </c>
      <c r="P506" s="7"/>
    </row>
    <row r="507" spans="1:16">
      <c r="A507" s="3">
        <v>43809.867858796293</v>
      </c>
      <c r="B507" s="4" t="str">
        <f>HYPERLINK("https://twitter.com/petrogustavo","@petrogustavo")</f>
        <v>@petrogustavo</v>
      </c>
      <c r="C507" s="5" t="s">
        <v>16</v>
      </c>
      <c r="D507" s="5" t="s">
        <v>529</v>
      </c>
      <c r="E507" s="6" t="str">
        <f>HYPERLINK("https://twitter.com/petrogustavo/status/1204420434214686721","1204420434214686721")</f>
        <v>1204420434214686721</v>
      </c>
      <c r="F507" s="7" t="s">
        <v>17</v>
      </c>
      <c r="G507" s="7">
        <v>3577745</v>
      </c>
      <c r="H507" s="7">
        <v>2334</v>
      </c>
      <c r="I507" s="7">
        <v>146</v>
      </c>
      <c r="J507" s="7">
        <v>379</v>
      </c>
      <c r="K507" s="7" t="s">
        <v>18</v>
      </c>
      <c r="L507" s="8">
        <v>39987.315405092595</v>
      </c>
      <c r="M507" s="9" t="s">
        <v>19</v>
      </c>
      <c r="N507" s="9" t="s">
        <v>20</v>
      </c>
      <c r="O507" s="6" t="str">
        <f>HYPERLINK("https://pbs.twimg.com/profile_images/962471262747529216/Uo8lOkRJ_normal.jpg","View")</f>
        <v>View</v>
      </c>
      <c r="P507" s="7"/>
    </row>
    <row r="508" spans="1:16">
      <c r="A508" s="3">
        <v>43809.867858796293</v>
      </c>
      <c r="B508" s="4" t="str">
        <f>HYPERLINK("https://twitter.com/petrogustavo","@petrogustavo")</f>
        <v>@petrogustavo</v>
      </c>
      <c r="C508" s="5" t="s">
        <v>16</v>
      </c>
      <c r="D508" s="5" t="s">
        <v>530</v>
      </c>
      <c r="E508" s="6" t="str">
        <f>HYPERLINK("https://twitter.com/petrogustavo/status/1204420435686891520","1204420435686891520")</f>
        <v>1204420435686891520</v>
      </c>
      <c r="F508" s="7" t="s">
        <v>17</v>
      </c>
      <c r="G508" s="7">
        <v>3577745</v>
      </c>
      <c r="H508" s="7">
        <v>2334</v>
      </c>
      <c r="I508" s="7">
        <v>51</v>
      </c>
      <c r="J508" s="7">
        <v>137</v>
      </c>
      <c r="K508" s="7" t="s">
        <v>18</v>
      </c>
      <c r="L508" s="8">
        <v>39987.315405092595</v>
      </c>
      <c r="M508" s="9" t="s">
        <v>19</v>
      </c>
      <c r="N508" s="9" t="s">
        <v>20</v>
      </c>
      <c r="O508" s="6" t="str">
        <f>HYPERLINK("https://pbs.twimg.com/profile_images/962471262747529216/Uo8lOkRJ_normal.jpg","View")</f>
        <v>View</v>
      </c>
      <c r="P508" s="7"/>
    </row>
    <row r="509" spans="1:16">
      <c r="A509" s="3">
        <v>43809.86787037037</v>
      </c>
      <c r="B509" s="4" t="str">
        <f>HYPERLINK("https://twitter.com/petrogustavo","@petrogustavo")</f>
        <v>@petrogustavo</v>
      </c>
      <c r="C509" s="5" t="s">
        <v>16</v>
      </c>
      <c r="D509" s="5" t="s">
        <v>531</v>
      </c>
      <c r="E509" s="6" t="str">
        <f>HYPERLINK("https://twitter.com/petrogustavo/status/1204420439218343937","1204420439218343937")</f>
        <v>1204420439218343937</v>
      </c>
      <c r="F509" s="7" t="s">
        <v>17</v>
      </c>
      <c r="G509" s="7">
        <v>3577745</v>
      </c>
      <c r="H509" s="7">
        <v>2334</v>
      </c>
      <c r="I509" s="7">
        <v>36</v>
      </c>
      <c r="J509" s="7">
        <v>103</v>
      </c>
      <c r="K509" s="7" t="s">
        <v>18</v>
      </c>
      <c r="L509" s="8">
        <v>39987.315405092595</v>
      </c>
      <c r="M509" s="9" t="s">
        <v>19</v>
      </c>
      <c r="N509" s="9" t="s">
        <v>20</v>
      </c>
      <c r="O509" s="6" t="str">
        <f>HYPERLINK("https://pbs.twimg.com/profile_images/962471262747529216/Uo8lOkRJ_normal.jpg","View")</f>
        <v>View</v>
      </c>
      <c r="P509" s="7"/>
    </row>
    <row r="510" spans="1:16">
      <c r="A510" s="3">
        <v>43809.867881944447</v>
      </c>
      <c r="B510" s="4" t="str">
        <f>HYPERLINK("https://twitter.com/petrogustavo","@petrogustavo")</f>
        <v>@petrogustavo</v>
      </c>
      <c r="C510" s="5" t="s">
        <v>16</v>
      </c>
      <c r="D510" s="5" t="s">
        <v>532</v>
      </c>
      <c r="E510" s="6" t="str">
        <f>HYPERLINK("https://twitter.com/petrogustavo/status/1204420442259361793","1204420442259361793")</f>
        <v>1204420442259361793</v>
      </c>
      <c r="F510" s="7" t="s">
        <v>17</v>
      </c>
      <c r="G510" s="7">
        <v>3577745</v>
      </c>
      <c r="H510" s="7">
        <v>2334</v>
      </c>
      <c r="I510" s="7">
        <v>36</v>
      </c>
      <c r="J510" s="7">
        <v>95</v>
      </c>
      <c r="K510" s="7" t="s">
        <v>18</v>
      </c>
      <c r="L510" s="8">
        <v>39987.315405092595</v>
      </c>
      <c r="M510" s="9" t="s">
        <v>19</v>
      </c>
      <c r="N510" s="9" t="s">
        <v>20</v>
      </c>
      <c r="O510" s="6" t="str">
        <f>HYPERLINK("https://pbs.twimg.com/profile_images/962471262747529216/Uo8lOkRJ_normal.jpg","View")</f>
        <v>View</v>
      </c>
      <c r="P510" s="7"/>
    </row>
    <row r="511" spans="1:16">
      <c r="A511" s="3">
        <v>43809.867881944447</v>
      </c>
      <c r="B511" s="4" t="str">
        <f>HYPERLINK("https://twitter.com/petrogustavo","@petrogustavo")</f>
        <v>@petrogustavo</v>
      </c>
      <c r="C511" s="5" t="s">
        <v>16</v>
      </c>
      <c r="D511" s="5" t="s">
        <v>533</v>
      </c>
      <c r="E511" s="6" t="str">
        <f>HYPERLINK("https://twitter.com/petrogustavo/status/1204420443890966528","1204420443890966528")</f>
        <v>1204420443890966528</v>
      </c>
      <c r="F511" s="7" t="s">
        <v>17</v>
      </c>
      <c r="G511" s="7">
        <v>3577745</v>
      </c>
      <c r="H511" s="7">
        <v>2334</v>
      </c>
      <c r="I511" s="7">
        <v>37</v>
      </c>
      <c r="J511" s="7">
        <v>100</v>
      </c>
      <c r="K511" s="7" t="s">
        <v>18</v>
      </c>
      <c r="L511" s="8">
        <v>39987.315405092595</v>
      </c>
      <c r="M511" s="9" t="s">
        <v>19</v>
      </c>
      <c r="N511" s="9" t="s">
        <v>20</v>
      </c>
      <c r="O511" s="6" t="str">
        <f>HYPERLINK("https://pbs.twimg.com/profile_images/962471262747529216/Uo8lOkRJ_normal.jpg","View")</f>
        <v>View</v>
      </c>
      <c r="P511" s="7"/>
    </row>
    <row r="512" spans="1:16">
      <c r="A512" s="3">
        <v>43809.867905092593</v>
      </c>
      <c r="B512" s="4" t="str">
        <f>HYPERLINK("https://twitter.com/petrogustavo","@petrogustavo")</f>
        <v>@petrogustavo</v>
      </c>
      <c r="C512" s="5" t="s">
        <v>16</v>
      </c>
      <c r="D512" s="5" t="s">
        <v>534</v>
      </c>
      <c r="E512" s="6" t="str">
        <f>HYPERLINK("https://twitter.com/petrogustavo/status/1204420451415592960","1204420451415592960")</f>
        <v>1204420451415592960</v>
      </c>
      <c r="F512" s="7" t="s">
        <v>17</v>
      </c>
      <c r="G512" s="7">
        <v>3577745</v>
      </c>
      <c r="H512" s="7">
        <v>2334</v>
      </c>
      <c r="I512" s="7">
        <v>30</v>
      </c>
      <c r="J512" s="7">
        <v>98</v>
      </c>
      <c r="K512" s="7" t="s">
        <v>18</v>
      </c>
      <c r="L512" s="8">
        <v>39987.315405092595</v>
      </c>
      <c r="M512" s="9" t="s">
        <v>19</v>
      </c>
      <c r="N512" s="9" t="s">
        <v>20</v>
      </c>
      <c r="O512" s="6" t="str">
        <f>HYPERLINK("https://pbs.twimg.com/profile_images/962471262747529216/Uo8lOkRJ_normal.jpg","View")</f>
        <v>View</v>
      </c>
      <c r="P512" s="7"/>
    </row>
    <row r="513" spans="1:16">
      <c r="A513" s="3">
        <v>43809.867905092593</v>
      </c>
      <c r="B513" s="4" t="str">
        <f>HYPERLINK("https://twitter.com/petrogustavo","@petrogustavo")</f>
        <v>@petrogustavo</v>
      </c>
      <c r="C513" s="5" t="s">
        <v>16</v>
      </c>
      <c r="D513" s="5" t="s">
        <v>535</v>
      </c>
      <c r="E513" s="6" t="str">
        <f>HYPERLINK("https://twitter.com/petrogustavo/status/1204420453214965767","1204420453214965767")</f>
        <v>1204420453214965767</v>
      </c>
      <c r="F513" s="7" t="s">
        <v>17</v>
      </c>
      <c r="G513" s="7">
        <v>3577745</v>
      </c>
      <c r="H513" s="7">
        <v>2334</v>
      </c>
      <c r="I513" s="7">
        <v>35</v>
      </c>
      <c r="J513" s="7">
        <v>98</v>
      </c>
      <c r="K513" s="7" t="s">
        <v>18</v>
      </c>
      <c r="L513" s="8">
        <v>39987.315405092595</v>
      </c>
      <c r="M513" s="9" t="s">
        <v>19</v>
      </c>
      <c r="N513" s="9" t="s">
        <v>20</v>
      </c>
      <c r="O513" s="6" t="str">
        <f>HYPERLINK("https://pbs.twimg.com/profile_images/962471262747529216/Uo8lOkRJ_normal.jpg","View")</f>
        <v>View</v>
      </c>
      <c r="P513" s="7"/>
    </row>
    <row r="514" spans="1:16">
      <c r="A514" s="3">
        <v>43809.86791666667</v>
      </c>
      <c r="B514" s="4" t="str">
        <f>HYPERLINK("https://twitter.com/petrogustavo","@petrogustavo")</f>
        <v>@petrogustavo</v>
      </c>
      <c r="C514" s="5" t="s">
        <v>16</v>
      </c>
      <c r="D514" s="5" t="s">
        <v>536</v>
      </c>
      <c r="E514" s="6" t="str">
        <f>HYPERLINK("https://twitter.com/petrogustavo/status/1204420455634878466","1204420455634878466")</f>
        <v>1204420455634878466</v>
      </c>
      <c r="F514" s="7" t="s">
        <v>17</v>
      </c>
      <c r="G514" s="7">
        <v>3577745</v>
      </c>
      <c r="H514" s="7">
        <v>2334</v>
      </c>
      <c r="I514" s="7">
        <v>27</v>
      </c>
      <c r="J514" s="7">
        <v>99</v>
      </c>
      <c r="K514" s="7" t="s">
        <v>18</v>
      </c>
      <c r="L514" s="8">
        <v>39987.315405092595</v>
      </c>
      <c r="M514" s="9" t="s">
        <v>19</v>
      </c>
      <c r="N514" s="9" t="s">
        <v>20</v>
      </c>
      <c r="O514" s="6" t="str">
        <f>HYPERLINK("https://pbs.twimg.com/profile_images/962471262747529216/Uo8lOkRJ_normal.jpg","View")</f>
        <v>View</v>
      </c>
      <c r="P514" s="7"/>
    </row>
    <row r="515" spans="1:16">
      <c r="A515" s="3">
        <v>43809.867928240739</v>
      </c>
      <c r="B515" s="4" t="str">
        <f>HYPERLINK("https://twitter.com/petrogustavo","@petrogustavo")</f>
        <v>@petrogustavo</v>
      </c>
      <c r="C515" s="5" t="s">
        <v>16</v>
      </c>
      <c r="D515" s="5" t="s">
        <v>537</v>
      </c>
      <c r="E515" s="6" t="str">
        <f>HYPERLINK("https://twitter.com/petrogustavo/status/1204420461851009024","1204420461851009024")</f>
        <v>1204420461851009024</v>
      </c>
      <c r="F515" s="7" t="s">
        <v>17</v>
      </c>
      <c r="G515" s="7">
        <v>3577745</v>
      </c>
      <c r="H515" s="7">
        <v>2334</v>
      </c>
      <c r="I515" s="7">
        <v>66</v>
      </c>
      <c r="J515" s="7">
        <v>188</v>
      </c>
      <c r="K515" s="7" t="s">
        <v>18</v>
      </c>
      <c r="L515" s="8">
        <v>39987.315405092595</v>
      </c>
      <c r="M515" s="9" t="s">
        <v>19</v>
      </c>
      <c r="N515" s="9" t="s">
        <v>20</v>
      </c>
      <c r="O515" s="6" t="str">
        <f>HYPERLINK("https://pbs.twimg.com/profile_images/962471262747529216/Uo8lOkRJ_normal.jpg","View")</f>
        <v>View</v>
      </c>
      <c r="P515" s="7"/>
    </row>
    <row r="516" spans="1:16">
      <c r="A516" s="3">
        <v>43809.939027777778</v>
      </c>
      <c r="B516" s="4" t="str">
        <f>HYPERLINK("https://twitter.com/petrogustavo","@petrogustavo")</f>
        <v>@petrogustavo</v>
      </c>
      <c r="C516" s="5" t="s">
        <v>16</v>
      </c>
      <c r="D516" s="5" t="s">
        <v>538</v>
      </c>
      <c r="E516" s="6" t="str">
        <f>HYPERLINK("https://twitter.com/petrogustavo/status/1204446227728871426","1204446227728871426")</f>
        <v>1204446227728871426</v>
      </c>
      <c r="F516" s="7" t="s">
        <v>17</v>
      </c>
      <c r="G516" s="7">
        <v>3577842</v>
      </c>
      <c r="H516" s="7">
        <v>2334</v>
      </c>
      <c r="I516" s="7">
        <v>117</v>
      </c>
      <c r="J516" s="7">
        <v>0</v>
      </c>
      <c r="K516" s="7" t="s">
        <v>18</v>
      </c>
      <c r="L516" s="8">
        <v>39987.315405092595</v>
      </c>
      <c r="M516" s="9" t="s">
        <v>19</v>
      </c>
      <c r="N516" s="9" t="s">
        <v>20</v>
      </c>
      <c r="O516" s="6" t="str">
        <f>HYPERLINK("https://pbs.twimg.com/profile_images/962471262747529216/Uo8lOkRJ_normal.jpg","View")</f>
        <v>View</v>
      </c>
      <c r="P516" s="7"/>
    </row>
    <row r="517" spans="1:16">
      <c r="A517" s="3">
        <v>43809.93986111111</v>
      </c>
      <c r="B517" s="4" t="str">
        <f>HYPERLINK("https://twitter.com/petrogustavo","@petrogustavo")</f>
        <v>@petrogustavo</v>
      </c>
      <c r="C517" s="5" t="s">
        <v>16</v>
      </c>
      <c r="D517" s="5" t="s">
        <v>539</v>
      </c>
      <c r="E517" s="6" t="str">
        <f>HYPERLINK("https://twitter.com/petrogustavo/status/1204446526178770945","1204446526178770945")</f>
        <v>1204446526178770945</v>
      </c>
      <c r="F517" s="7" t="s">
        <v>17</v>
      </c>
      <c r="G517" s="7">
        <v>3577842</v>
      </c>
      <c r="H517" s="7">
        <v>2334</v>
      </c>
      <c r="I517" s="7">
        <v>37</v>
      </c>
      <c r="J517" s="7">
        <v>0</v>
      </c>
      <c r="K517" s="7" t="s">
        <v>18</v>
      </c>
      <c r="L517" s="8">
        <v>39987.315405092595</v>
      </c>
      <c r="M517" s="9" t="s">
        <v>19</v>
      </c>
      <c r="N517" s="9" t="s">
        <v>20</v>
      </c>
      <c r="O517" s="6" t="str">
        <f>HYPERLINK("https://pbs.twimg.com/profile_images/962471262747529216/Uo8lOkRJ_normal.jpg","View")</f>
        <v>View</v>
      </c>
      <c r="P517" s="7"/>
    </row>
    <row r="518" spans="1:16">
      <c r="A518" s="3">
        <v>43809.94121527778</v>
      </c>
      <c r="B518" s="4" t="str">
        <f>HYPERLINK("https://twitter.com/petrogustavo","@petrogustavo")</f>
        <v>@petrogustavo</v>
      </c>
      <c r="C518" s="5" t="s">
        <v>16</v>
      </c>
      <c r="D518" s="5" t="s">
        <v>540</v>
      </c>
      <c r="E518" s="6" t="str">
        <f>HYPERLINK("https://twitter.com/petrogustavo/status/1204447018132877312","1204447018132877312")</f>
        <v>1204447018132877312</v>
      </c>
      <c r="F518" s="7" t="s">
        <v>17</v>
      </c>
      <c r="G518" s="7">
        <v>3577842</v>
      </c>
      <c r="H518" s="7">
        <v>2334</v>
      </c>
      <c r="I518" s="7">
        <v>30</v>
      </c>
      <c r="J518" s="7">
        <v>124</v>
      </c>
      <c r="K518" s="7" t="s">
        <v>18</v>
      </c>
      <c r="L518" s="8">
        <v>39987.315405092595</v>
      </c>
      <c r="M518" s="9" t="s">
        <v>19</v>
      </c>
      <c r="N518" s="9" t="s">
        <v>20</v>
      </c>
      <c r="O518" s="6" t="str">
        <f>HYPERLINK("https://pbs.twimg.com/profile_images/962471262747529216/Uo8lOkRJ_normal.jpg","View")</f>
        <v>View</v>
      </c>
      <c r="P518" s="7"/>
    </row>
    <row r="519" spans="1:16">
      <c r="A519" s="3">
        <v>43809.966319444444</v>
      </c>
      <c r="B519" s="4" t="str">
        <f>HYPERLINK("https://twitter.com/petrogustavo","@petrogustavo")</f>
        <v>@petrogustavo</v>
      </c>
      <c r="C519" s="5" t="s">
        <v>16</v>
      </c>
      <c r="D519" s="5" t="s">
        <v>541</v>
      </c>
      <c r="E519" s="6" t="str">
        <f>HYPERLINK("https://twitter.com/petrogustavo/status/1204456116970803201","1204456116970803201")</f>
        <v>1204456116970803201</v>
      </c>
      <c r="F519" s="7" t="s">
        <v>17</v>
      </c>
      <c r="G519" s="7">
        <v>3577871</v>
      </c>
      <c r="H519" s="7">
        <v>2334</v>
      </c>
      <c r="I519" s="7">
        <v>24</v>
      </c>
      <c r="J519" s="7">
        <v>95</v>
      </c>
      <c r="K519" s="7" t="s">
        <v>18</v>
      </c>
      <c r="L519" s="8">
        <v>39987.315405092595</v>
      </c>
      <c r="M519" s="9" t="s">
        <v>19</v>
      </c>
      <c r="N519" s="9" t="s">
        <v>20</v>
      </c>
      <c r="O519" s="6" t="str">
        <f>HYPERLINK("https://pbs.twimg.com/profile_images/962471262747529216/Uo8lOkRJ_normal.jpg","View")</f>
        <v>View</v>
      </c>
      <c r="P519" s="7"/>
    </row>
    <row r="520" spans="1:16">
      <c r="A520" s="3">
        <v>43809.96873842593</v>
      </c>
      <c r="B520" s="4" t="str">
        <f>HYPERLINK("https://twitter.com/petrogustavo","@petrogustavo")</f>
        <v>@petrogustavo</v>
      </c>
      <c r="C520" s="5" t="s">
        <v>16</v>
      </c>
      <c r="D520" s="5" t="s">
        <v>542</v>
      </c>
      <c r="E520" s="6" t="str">
        <f>HYPERLINK("https://twitter.com/petrogustavo/status/1204456991915171841","1204456991915171841")</f>
        <v>1204456991915171841</v>
      </c>
      <c r="F520" s="7" t="s">
        <v>17</v>
      </c>
      <c r="G520" s="7">
        <v>3577871</v>
      </c>
      <c r="H520" s="7">
        <v>2334</v>
      </c>
      <c r="I520" s="7">
        <v>8</v>
      </c>
      <c r="J520" s="7">
        <v>17</v>
      </c>
      <c r="K520" s="7" t="s">
        <v>18</v>
      </c>
      <c r="L520" s="8">
        <v>39987.315405092595</v>
      </c>
      <c r="M520" s="9" t="s">
        <v>19</v>
      </c>
      <c r="N520" s="9" t="s">
        <v>20</v>
      </c>
      <c r="O520" s="6" t="str">
        <f>HYPERLINK("https://pbs.twimg.com/profile_images/962471262747529216/Uo8lOkRJ_normal.jpg","View")</f>
        <v>View</v>
      </c>
      <c r="P520" s="7"/>
    </row>
    <row r="521" spans="1:16">
      <c r="A521" s="3">
        <v>43809.982233796298</v>
      </c>
      <c r="B521" s="4" t="str">
        <f>HYPERLINK("https://twitter.com/petrogustavo","@petrogustavo")</f>
        <v>@petrogustavo</v>
      </c>
      <c r="C521" s="5" t="s">
        <v>16</v>
      </c>
      <c r="D521" s="5" t="s">
        <v>543</v>
      </c>
      <c r="E521" s="6" t="str">
        <f>HYPERLINK("https://twitter.com/petrogustavo/status/1204461883220254721","1204461883220254721")</f>
        <v>1204461883220254721</v>
      </c>
      <c r="F521" s="7" t="s">
        <v>17</v>
      </c>
      <c r="G521" s="7">
        <v>3577893</v>
      </c>
      <c r="H521" s="7">
        <v>2333</v>
      </c>
      <c r="I521" s="7">
        <v>571</v>
      </c>
      <c r="J521" s="7">
        <v>0</v>
      </c>
      <c r="K521" s="7" t="s">
        <v>18</v>
      </c>
      <c r="L521" s="8">
        <v>39987.315405092595</v>
      </c>
      <c r="M521" s="9" t="s">
        <v>19</v>
      </c>
      <c r="N521" s="9" t="s">
        <v>20</v>
      </c>
      <c r="O521" s="6" t="str">
        <f>HYPERLINK("https://pbs.twimg.com/profile_images/962471262747529216/Uo8lOkRJ_normal.jpg","View")</f>
        <v>View</v>
      </c>
      <c r="P521" s="7"/>
    </row>
    <row r="522" spans="1:16">
      <c r="A522" s="3">
        <v>43809.982731481483</v>
      </c>
      <c r="B522" s="4" t="str">
        <f>HYPERLINK("https://twitter.com/petrogustavo","@petrogustavo")</f>
        <v>@petrogustavo</v>
      </c>
      <c r="C522" s="5" t="s">
        <v>16</v>
      </c>
      <c r="D522" s="5" t="s">
        <v>544</v>
      </c>
      <c r="E522" s="6" t="str">
        <f>HYPERLINK("https://twitter.com/petrogustavo/status/1204462063411748865","1204462063411748865")</f>
        <v>1204462063411748865</v>
      </c>
      <c r="F522" s="7" t="s">
        <v>17</v>
      </c>
      <c r="G522" s="7">
        <v>3577893</v>
      </c>
      <c r="H522" s="7">
        <v>2333</v>
      </c>
      <c r="I522" s="7">
        <v>685</v>
      </c>
      <c r="J522" s="7">
        <v>0</v>
      </c>
      <c r="K522" s="7" t="s">
        <v>18</v>
      </c>
      <c r="L522" s="8">
        <v>39987.315405092595</v>
      </c>
      <c r="M522" s="9" t="s">
        <v>19</v>
      </c>
      <c r="N522" s="9" t="s">
        <v>20</v>
      </c>
      <c r="O522" s="6" t="str">
        <f>HYPERLINK("https://pbs.twimg.com/profile_images/962471262747529216/Uo8lOkRJ_normal.jpg","View")</f>
        <v>View</v>
      </c>
      <c r="P522" s="7"/>
    </row>
    <row r="523" spans="1:16">
      <c r="A523" s="3">
        <v>43809.985115740739</v>
      </c>
      <c r="B523" s="4" t="str">
        <f>HYPERLINK("https://twitter.com/petrogustavo","@petrogustavo")</f>
        <v>@petrogustavo</v>
      </c>
      <c r="C523" s="5" t="s">
        <v>16</v>
      </c>
      <c r="D523" s="5" t="s">
        <v>545</v>
      </c>
      <c r="E523" s="6" t="str">
        <f>HYPERLINK("https://twitter.com/petrogustavo/status/1204462926691786752","1204462926691786752")</f>
        <v>1204462926691786752</v>
      </c>
      <c r="F523" s="7" t="s">
        <v>17</v>
      </c>
      <c r="G523" s="7">
        <v>3577893</v>
      </c>
      <c r="H523" s="7">
        <v>2333</v>
      </c>
      <c r="I523" s="7">
        <v>130</v>
      </c>
      <c r="J523" s="7">
        <v>455</v>
      </c>
      <c r="K523" s="7" t="s">
        <v>18</v>
      </c>
      <c r="L523" s="8">
        <v>39987.315405092595</v>
      </c>
      <c r="M523" s="9" t="s">
        <v>19</v>
      </c>
      <c r="N523" s="9" t="s">
        <v>20</v>
      </c>
      <c r="O523" s="6" t="str">
        <f>HYPERLINK("https://pbs.twimg.com/profile_images/962471262747529216/Uo8lOkRJ_normal.jpg","View")</f>
        <v>View</v>
      </c>
      <c r="P523" s="7"/>
    </row>
    <row r="524" spans="1:16">
      <c r="A524" s="3">
        <v>43809.994374999995</v>
      </c>
      <c r="B524" s="4" t="str">
        <f>HYPERLINK("https://twitter.com/petrogustavo","@petrogustavo")</f>
        <v>@petrogustavo</v>
      </c>
      <c r="C524" s="5" t="s">
        <v>16</v>
      </c>
      <c r="D524" s="5" t="s">
        <v>546</v>
      </c>
      <c r="E524" s="6" t="str">
        <f>HYPERLINK("https://twitter.com/petrogustavo/status/1204466282403373062","1204466282403373062")</f>
        <v>1204466282403373062</v>
      </c>
      <c r="F524" s="7" t="s">
        <v>17</v>
      </c>
      <c r="G524" s="7">
        <v>3577930</v>
      </c>
      <c r="H524" s="7">
        <v>2333</v>
      </c>
      <c r="I524" s="7">
        <v>76</v>
      </c>
      <c r="J524" s="7">
        <v>0</v>
      </c>
      <c r="K524" s="7" t="s">
        <v>18</v>
      </c>
      <c r="L524" s="8">
        <v>39987.315405092595</v>
      </c>
      <c r="M524" s="9" t="s">
        <v>19</v>
      </c>
      <c r="N524" s="9" t="s">
        <v>20</v>
      </c>
      <c r="O524" s="6" t="str">
        <f>HYPERLINK("https://pbs.twimg.com/profile_images/962471262747529216/Uo8lOkRJ_normal.jpg","View")</f>
        <v>View</v>
      </c>
      <c r="P524" s="7"/>
    </row>
    <row r="525" spans="1:16">
      <c r="A525" s="3">
        <v>43809.999421296292</v>
      </c>
      <c r="B525" s="4" t="str">
        <f>HYPERLINK("https://twitter.com/petrogustavo","@petrogustavo")</f>
        <v>@petrogustavo</v>
      </c>
      <c r="C525" s="5" t="s">
        <v>16</v>
      </c>
      <c r="D525" s="5" t="s">
        <v>547</v>
      </c>
      <c r="E525" s="6" t="str">
        <f>HYPERLINK("https://twitter.com/petrogustavo/status/1204468111031881728","1204468111031881728")</f>
        <v>1204468111031881728</v>
      </c>
      <c r="F525" s="7" t="s">
        <v>17</v>
      </c>
      <c r="G525" s="7">
        <v>3577930</v>
      </c>
      <c r="H525" s="7">
        <v>2333</v>
      </c>
      <c r="I525" s="7">
        <v>70</v>
      </c>
      <c r="J525" s="7">
        <v>244</v>
      </c>
      <c r="K525" s="7" t="s">
        <v>18</v>
      </c>
      <c r="L525" s="8">
        <v>39987.315405092595</v>
      </c>
      <c r="M525" s="9" t="s">
        <v>19</v>
      </c>
      <c r="N525" s="9" t="s">
        <v>20</v>
      </c>
      <c r="O525" s="6" t="str">
        <f>HYPERLINK("https://pbs.twimg.com/profile_images/962471262747529216/Uo8lOkRJ_normal.jpg","View")</f>
        <v>View</v>
      </c>
      <c r="P525" s="7"/>
    </row>
    <row r="526" spans="1:16">
      <c r="A526" s="3">
        <v>43809.999421296292</v>
      </c>
      <c r="B526" s="4" t="str">
        <f>HYPERLINK("https://twitter.com/petrogustavo","@petrogustavo")</f>
        <v>@petrogustavo</v>
      </c>
      <c r="C526" s="5" t="s">
        <v>16</v>
      </c>
      <c r="D526" s="5" t="s">
        <v>548</v>
      </c>
      <c r="E526" s="6" t="str">
        <f>HYPERLINK("https://twitter.com/petrogustavo/status/1204468112546041856","1204468112546041856")</f>
        <v>1204468112546041856</v>
      </c>
      <c r="F526" s="7" t="s">
        <v>17</v>
      </c>
      <c r="G526" s="7">
        <v>3577930</v>
      </c>
      <c r="H526" s="7">
        <v>2333</v>
      </c>
      <c r="I526" s="7">
        <v>67</v>
      </c>
      <c r="J526" s="7">
        <v>282</v>
      </c>
      <c r="K526" s="7" t="s">
        <v>18</v>
      </c>
      <c r="L526" s="8">
        <v>39987.315405092595</v>
      </c>
      <c r="M526" s="9" t="s">
        <v>19</v>
      </c>
      <c r="N526" s="9" t="s">
        <v>20</v>
      </c>
      <c r="O526" s="6" t="str">
        <f>HYPERLINK("https://pbs.twimg.com/profile_images/962471262747529216/Uo8lOkRJ_normal.jpg","View")</f>
        <v>View</v>
      </c>
      <c r="P526" s="7"/>
    </row>
    <row r="527" spans="1:16">
      <c r="A527" s="3">
        <v>43810.000520833331</v>
      </c>
      <c r="B527" s="4" t="str">
        <f>HYPERLINK("https://twitter.com/petrogustavo","@petrogustavo")</f>
        <v>@petrogustavo</v>
      </c>
      <c r="C527" s="5" t="s">
        <v>16</v>
      </c>
      <c r="D527" s="5" t="s">
        <v>549</v>
      </c>
      <c r="E527" s="6" t="str">
        <f>HYPERLINK("https://twitter.com/petrogustavo/status/1204468509562064897","1204468509562064897")</f>
        <v>1204468509562064897</v>
      </c>
      <c r="F527" s="7" t="s">
        <v>17</v>
      </c>
      <c r="G527" s="7">
        <v>3577930</v>
      </c>
      <c r="H527" s="7">
        <v>2333</v>
      </c>
      <c r="I527" s="7">
        <v>345</v>
      </c>
      <c r="J527" s="7">
        <v>0</v>
      </c>
      <c r="K527" s="7" t="s">
        <v>18</v>
      </c>
      <c r="L527" s="8">
        <v>39987.315405092595</v>
      </c>
      <c r="M527" s="9" t="s">
        <v>19</v>
      </c>
      <c r="N527" s="9" t="s">
        <v>20</v>
      </c>
      <c r="O527" s="6" t="str">
        <f>HYPERLINK("https://pbs.twimg.com/profile_images/962471262747529216/Uo8lOkRJ_normal.jpg","View")</f>
        <v>View</v>
      </c>
      <c r="P527" s="7"/>
    </row>
    <row r="528" spans="1:16">
      <c r="A528" s="3">
        <v>43810.006782407407</v>
      </c>
      <c r="B528" s="4" t="str">
        <f>HYPERLINK("https://twitter.com/petrogustavo","@petrogustavo")</f>
        <v>@petrogustavo</v>
      </c>
      <c r="C528" s="5" t="s">
        <v>16</v>
      </c>
      <c r="D528" s="5" t="s">
        <v>550</v>
      </c>
      <c r="E528" s="6" t="str">
        <f>HYPERLINK("https://twitter.com/petrogustavo/status/1204470777606746112","1204470777606746112")</f>
        <v>1204470777606746112</v>
      </c>
      <c r="F528" s="7" t="s">
        <v>17</v>
      </c>
      <c r="G528" s="7">
        <v>3577930</v>
      </c>
      <c r="H528" s="7">
        <v>2333</v>
      </c>
      <c r="I528" s="7">
        <v>64</v>
      </c>
      <c r="J528" s="7">
        <v>178</v>
      </c>
      <c r="K528" s="7" t="s">
        <v>18</v>
      </c>
      <c r="L528" s="8">
        <v>39987.315405092595</v>
      </c>
      <c r="M528" s="9" t="s">
        <v>19</v>
      </c>
      <c r="N528" s="9" t="s">
        <v>20</v>
      </c>
      <c r="O528" s="6" t="str">
        <f>HYPERLINK("https://pbs.twimg.com/profile_images/962471262747529216/Uo8lOkRJ_normal.jpg","View")</f>
        <v>View</v>
      </c>
      <c r="P528" s="7"/>
    </row>
    <row r="529" spans="1:16">
      <c r="A529" s="3">
        <v>43810.009212962963</v>
      </c>
      <c r="B529" s="4" t="str">
        <f>HYPERLINK("https://twitter.com/petrogustavo","@petrogustavo")</f>
        <v>@petrogustavo</v>
      </c>
      <c r="C529" s="5" t="s">
        <v>16</v>
      </c>
      <c r="D529" s="5" t="s">
        <v>551</v>
      </c>
      <c r="E529" s="6" t="str">
        <f>HYPERLINK("https://twitter.com/petrogustavo/status/1204471659480129536","1204471659480129536")</f>
        <v>1204471659480129536</v>
      </c>
      <c r="F529" s="7" t="s">
        <v>17</v>
      </c>
      <c r="G529" s="7">
        <v>3577930</v>
      </c>
      <c r="H529" s="7">
        <v>2333</v>
      </c>
      <c r="I529" s="7">
        <v>22</v>
      </c>
      <c r="J529" s="7">
        <v>97</v>
      </c>
      <c r="K529" s="7" t="s">
        <v>18</v>
      </c>
      <c r="L529" s="8">
        <v>39987.315405092595</v>
      </c>
      <c r="M529" s="9" t="s">
        <v>19</v>
      </c>
      <c r="N529" s="9" t="s">
        <v>20</v>
      </c>
      <c r="O529" s="6" t="str">
        <f>HYPERLINK("https://pbs.twimg.com/profile_images/962471262747529216/Uo8lOkRJ_normal.jpg","View")</f>
        <v>View</v>
      </c>
      <c r="P529" s="7"/>
    </row>
    <row r="530" spans="1:16">
      <c r="A530" s="3">
        <v>43810.009849537033</v>
      </c>
      <c r="B530" s="4" t="str">
        <f>HYPERLINK("https://twitter.com/petrogustavo","@petrogustavo")</f>
        <v>@petrogustavo</v>
      </c>
      <c r="C530" s="5" t="s">
        <v>16</v>
      </c>
      <c r="D530" s="5" t="s">
        <v>552</v>
      </c>
      <c r="E530" s="6" t="str">
        <f>HYPERLINK("https://twitter.com/petrogustavo/status/1204471893006454784","1204471893006454784")</f>
        <v>1204471893006454784</v>
      </c>
      <c r="F530" s="7" t="s">
        <v>17</v>
      </c>
      <c r="G530" s="7">
        <v>3577930</v>
      </c>
      <c r="H530" s="7">
        <v>2333</v>
      </c>
      <c r="I530" s="7">
        <v>292</v>
      </c>
      <c r="J530" s="7">
        <v>0</v>
      </c>
      <c r="K530" s="7" t="s">
        <v>18</v>
      </c>
      <c r="L530" s="8">
        <v>39987.315405092595</v>
      </c>
      <c r="M530" s="9" t="s">
        <v>19</v>
      </c>
      <c r="N530" s="9" t="s">
        <v>20</v>
      </c>
      <c r="O530" s="6" t="str">
        <f>HYPERLINK("https://pbs.twimg.com/profile_images/962471262747529216/Uo8lOkRJ_normal.jpg","View")</f>
        <v>View</v>
      </c>
      <c r="P530" s="7"/>
    </row>
    <row r="531" spans="1:16">
      <c r="A531" s="3">
        <v>43810.032939814817</v>
      </c>
      <c r="B531" s="4" t="str">
        <f>HYPERLINK("https://twitter.com/petrogustavo","@petrogustavo")</f>
        <v>@petrogustavo</v>
      </c>
      <c r="C531" s="5" t="s">
        <v>16</v>
      </c>
      <c r="D531" s="5" t="s">
        <v>553</v>
      </c>
      <c r="E531" s="6" t="str">
        <f>HYPERLINK("https://twitter.com/petrogustavo/status/1204480259808251904","1204480259808251904")</f>
        <v>1204480259808251904</v>
      </c>
      <c r="F531" s="7" t="s">
        <v>17</v>
      </c>
      <c r="G531" s="7">
        <v>3577964</v>
      </c>
      <c r="H531" s="7">
        <v>2334</v>
      </c>
      <c r="I531" s="7">
        <v>25</v>
      </c>
      <c r="J531" s="7">
        <v>0</v>
      </c>
      <c r="K531" s="7" t="s">
        <v>18</v>
      </c>
      <c r="L531" s="8">
        <v>39987.315405092595</v>
      </c>
      <c r="M531" s="9" t="s">
        <v>19</v>
      </c>
      <c r="N531" s="9" t="s">
        <v>20</v>
      </c>
      <c r="O531" s="6" t="str">
        <f>HYPERLINK("https://pbs.twimg.com/profile_images/962471262747529216/Uo8lOkRJ_normal.jpg","View")</f>
        <v>View</v>
      </c>
      <c r="P531" s="7"/>
    </row>
    <row r="532" spans="1:16">
      <c r="A532" s="3">
        <v>43810.035625000004</v>
      </c>
      <c r="B532" s="4" t="str">
        <f>HYPERLINK("https://twitter.com/petrogustavo","@petrogustavo")</f>
        <v>@petrogustavo</v>
      </c>
      <c r="C532" s="5" t="s">
        <v>16</v>
      </c>
      <c r="D532" s="5" t="s">
        <v>554</v>
      </c>
      <c r="E532" s="6" t="str">
        <f>HYPERLINK("https://twitter.com/petrogustavo/status/1204481233750761472","1204481233750761472")</f>
        <v>1204481233750761472</v>
      </c>
      <c r="F532" s="7" t="s">
        <v>17</v>
      </c>
      <c r="G532" s="7">
        <v>3577985</v>
      </c>
      <c r="H532" s="7">
        <v>2334</v>
      </c>
      <c r="I532" s="7">
        <v>114</v>
      </c>
      <c r="J532" s="7">
        <v>315</v>
      </c>
      <c r="K532" s="7" t="s">
        <v>18</v>
      </c>
      <c r="L532" s="8">
        <v>39987.315405092595</v>
      </c>
      <c r="M532" s="9" t="s">
        <v>19</v>
      </c>
      <c r="N532" s="9" t="s">
        <v>20</v>
      </c>
      <c r="O532" s="6" t="str">
        <f>HYPERLINK("https://pbs.twimg.com/profile_images/962471262747529216/Uo8lOkRJ_normal.jpg","View")</f>
        <v>View</v>
      </c>
      <c r="P532" s="7"/>
    </row>
    <row r="533" spans="1:16">
      <c r="A533" s="3">
        <v>43810.035752314812</v>
      </c>
      <c r="B533" s="4" t="str">
        <f>HYPERLINK("https://twitter.com/petrogustavo","@petrogustavo")</f>
        <v>@petrogustavo</v>
      </c>
      <c r="C533" s="5" t="s">
        <v>16</v>
      </c>
      <c r="D533" s="5" t="s">
        <v>555</v>
      </c>
      <c r="E533" s="6" t="str">
        <f>HYPERLINK("https://twitter.com/petrogustavo/status/1204481275945455618","1204481275945455618")</f>
        <v>1204481275945455618</v>
      </c>
      <c r="F533" s="7" t="s">
        <v>17</v>
      </c>
      <c r="G533" s="7">
        <v>3577985</v>
      </c>
      <c r="H533" s="7">
        <v>2334</v>
      </c>
      <c r="I533" s="7">
        <v>19</v>
      </c>
      <c r="J533" s="7">
        <v>0</v>
      </c>
      <c r="K533" s="7" t="s">
        <v>18</v>
      </c>
      <c r="L533" s="8">
        <v>39987.315405092595</v>
      </c>
      <c r="M533" s="9" t="s">
        <v>19</v>
      </c>
      <c r="N533" s="9" t="s">
        <v>20</v>
      </c>
      <c r="O533" s="6" t="str">
        <f>HYPERLINK("https://pbs.twimg.com/profile_images/962471262747529216/Uo8lOkRJ_normal.jpg","View")</f>
        <v>View</v>
      </c>
      <c r="P533" s="7"/>
    </row>
    <row r="534" spans="1:16">
      <c r="A534" s="3">
        <v>43810.036712962959</v>
      </c>
      <c r="B534" s="4" t="str">
        <f>HYPERLINK("https://twitter.com/petrogustavo","@petrogustavo")</f>
        <v>@petrogustavo</v>
      </c>
      <c r="C534" s="5" t="s">
        <v>16</v>
      </c>
      <c r="D534" s="5" t="s">
        <v>556</v>
      </c>
      <c r="E534" s="6" t="str">
        <f>HYPERLINK("https://twitter.com/petrogustavo/status/1204481625934962690","1204481625934962690")</f>
        <v>1204481625934962690</v>
      </c>
      <c r="F534" s="7" t="s">
        <v>17</v>
      </c>
      <c r="G534" s="7">
        <v>3577985</v>
      </c>
      <c r="H534" s="7">
        <v>2334</v>
      </c>
      <c r="I534" s="7">
        <v>26</v>
      </c>
      <c r="J534" s="7">
        <v>0</v>
      </c>
      <c r="K534" s="7" t="s">
        <v>18</v>
      </c>
      <c r="L534" s="8">
        <v>39987.315405092595</v>
      </c>
      <c r="M534" s="9" t="s">
        <v>19</v>
      </c>
      <c r="N534" s="9" t="s">
        <v>20</v>
      </c>
      <c r="O534" s="6" t="str">
        <f>HYPERLINK("https://pbs.twimg.com/profile_images/962471262747529216/Uo8lOkRJ_normal.jpg","View")</f>
        <v>View</v>
      </c>
      <c r="P534" s="7"/>
    </row>
    <row r="535" spans="1:16">
      <c r="A535" s="3">
        <v>43810.037824074076</v>
      </c>
      <c r="B535" s="4" t="str">
        <f>HYPERLINK("https://twitter.com/petrogustavo","@petrogustavo")</f>
        <v>@petrogustavo</v>
      </c>
      <c r="C535" s="5" t="s">
        <v>16</v>
      </c>
      <c r="D535" s="5" t="s">
        <v>557</v>
      </c>
      <c r="E535" s="6" t="str">
        <f>HYPERLINK("https://twitter.com/petrogustavo/status/1204482029225680896","1204482029225680896")</f>
        <v>1204482029225680896</v>
      </c>
      <c r="F535" s="7" t="s">
        <v>17</v>
      </c>
      <c r="G535" s="7">
        <v>3577985</v>
      </c>
      <c r="H535" s="7">
        <v>2334</v>
      </c>
      <c r="I535" s="7">
        <v>39</v>
      </c>
      <c r="J535" s="7">
        <v>72</v>
      </c>
      <c r="K535" s="7" t="s">
        <v>18</v>
      </c>
      <c r="L535" s="8">
        <v>39987.315405092595</v>
      </c>
      <c r="M535" s="9" t="s">
        <v>19</v>
      </c>
      <c r="N535" s="9" t="s">
        <v>20</v>
      </c>
      <c r="O535" s="6" t="str">
        <f>HYPERLINK("https://pbs.twimg.com/profile_images/962471262747529216/Uo8lOkRJ_normal.jpg","View")</f>
        <v>View</v>
      </c>
      <c r="P535" s="7"/>
    </row>
    <row r="536" spans="1:16">
      <c r="A536" s="3">
        <v>43810.03805555556</v>
      </c>
      <c r="B536" s="4" t="str">
        <f>HYPERLINK("https://twitter.com/petrogustavo","@petrogustavo")</f>
        <v>@petrogustavo</v>
      </c>
      <c r="C536" s="5" t="s">
        <v>16</v>
      </c>
      <c r="D536" s="5" t="s">
        <v>558</v>
      </c>
      <c r="E536" s="6" t="str">
        <f>HYPERLINK("https://twitter.com/petrogustavo/status/1204482113258606592","1204482113258606592")</f>
        <v>1204482113258606592</v>
      </c>
      <c r="F536" s="7" t="s">
        <v>17</v>
      </c>
      <c r="G536" s="7">
        <v>3577985</v>
      </c>
      <c r="H536" s="7">
        <v>2334</v>
      </c>
      <c r="I536" s="7">
        <v>181</v>
      </c>
      <c r="J536" s="7">
        <v>0</v>
      </c>
      <c r="K536" s="7" t="s">
        <v>18</v>
      </c>
      <c r="L536" s="8">
        <v>39987.315405092595</v>
      </c>
      <c r="M536" s="9" t="s">
        <v>19</v>
      </c>
      <c r="N536" s="9" t="s">
        <v>20</v>
      </c>
      <c r="O536" s="6" t="str">
        <f>HYPERLINK("https://pbs.twimg.com/profile_images/962471262747529216/Uo8lOkRJ_normal.jpg","View")</f>
        <v>View</v>
      </c>
      <c r="P536" s="7"/>
    </row>
    <row r="537" spans="1:16">
      <c r="A537" s="3">
        <v>43810.03979166667</v>
      </c>
      <c r="B537" s="4" t="str">
        <f>HYPERLINK("https://twitter.com/petrogustavo","@petrogustavo")</f>
        <v>@petrogustavo</v>
      </c>
      <c r="C537" s="5" t="s">
        <v>16</v>
      </c>
      <c r="D537" s="5" t="s">
        <v>559</v>
      </c>
      <c r="E537" s="6" t="str">
        <f>HYPERLINK("https://twitter.com/petrogustavo/status/1204482741103931392","1204482741103931392")</f>
        <v>1204482741103931392</v>
      </c>
      <c r="F537" s="7" t="s">
        <v>17</v>
      </c>
      <c r="G537" s="7">
        <v>3577985</v>
      </c>
      <c r="H537" s="7">
        <v>2334</v>
      </c>
      <c r="I537" s="7">
        <v>74</v>
      </c>
      <c r="J537" s="7">
        <v>188</v>
      </c>
      <c r="K537" s="7" t="s">
        <v>18</v>
      </c>
      <c r="L537" s="8">
        <v>39987.315405092595</v>
      </c>
      <c r="M537" s="9" t="s">
        <v>19</v>
      </c>
      <c r="N537" s="9" t="s">
        <v>20</v>
      </c>
      <c r="O537" s="6" t="str">
        <f>HYPERLINK("https://pbs.twimg.com/profile_images/962471262747529216/Uo8lOkRJ_normal.jpg","View")</f>
        <v>View</v>
      </c>
      <c r="P537" s="7"/>
    </row>
    <row r="538" spans="1:16">
      <c r="A538" s="3">
        <v>43810.110023148147</v>
      </c>
      <c r="B538" s="4" t="str">
        <f>HYPERLINK("https://twitter.com/petrogustavo","@petrogustavo")</f>
        <v>@petrogustavo</v>
      </c>
      <c r="C538" s="5" t="s">
        <v>16</v>
      </c>
      <c r="D538" s="5" t="s">
        <v>560</v>
      </c>
      <c r="E538" s="6" t="str">
        <f>HYPERLINK("https://twitter.com/petrogustavo/status/1204508191549280256","1204508191549280256")</f>
        <v>1204508191549280256</v>
      </c>
      <c r="F538" s="7" t="s">
        <v>32</v>
      </c>
      <c r="G538" s="7">
        <v>3578049</v>
      </c>
      <c r="H538" s="7">
        <v>2334</v>
      </c>
      <c r="I538" s="7">
        <v>120</v>
      </c>
      <c r="J538" s="7">
        <v>210</v>
      </c>
      <c r="K538" s="7" t="s">
        <v>18</v>
      </c>
      <c r="L538" s="8">
        <v>39987.315405092595</v>
      </c>
      <c r="M538" s="9" t="s">
        <v>19</v>
      </c>
      <c r="N538" s="9" t="s">
        <v>20</v>
      </c>
      <c r="O538" s="6" t="str">
        <f>HYPERLINK("https://pbs.twimg.com/profile_images/962471262747529216/Uo8lOkRJ_normal.jpg","View")</f>
        <v>View</v>
      </c>
      <c r="P538" s="7"/>
    </row>
    <row r="539" spans="1:16">
      <c r="A539" s="3">
        <v>43810.11440972222</v>
      </c>
      <c r="B539" s="4" t="str">
        <f>HYPERLINK("https://twitter.com/petrogustavo","@petrogustavo")</f>
        <v>@petrogustavo</v>
      </c>
      <c r="C539" s="5" t="s">
        <v>16</v>
      </c>
      <c r="D539" s="5" t="s">
        <v>561</v>
      </c>
      <c r="E539" s="6" t="str">
        <f>HYPERLINK("https://twitter.com/petrogustavo/status/1204509783673454598","1204509783673454598")</f>
        <v>1204509783673454598</v>
      </c>
      <c r="F539" s="7" t="s">
        <v>32</v>
      </c>
      <c r="G539" s="7">
        <v>3578049</v>
      </c>
      <c r="H539" s="7">
        <v>2334</v>
      </c>
      <c r="I539" s="7">
        <v>36</v>
      </c>
      <c r="J539" s="7">
        <v>72</v>
      </c>
      <c r="K539" s="7" t="s">
        <v>18</v>
      </c>
      <c r="L539" s="8">
        <v>39987.315405092595</v>
      </c>
      <c r="M539" s="9" t="s">
        <v>19</v>
      </c>
      <c r="N539" s="9" t="s">
        <v>20</v>
      </c>
      <c r="O539" s="6" t="str">
        <f>HYPERLINK("https://pbs.twimg.com/profile_images/962471262747529216/Uo8lOkRJ_normal.jpg","View")</f>
        <v>View</v>
      </c>
      <c r="P539" s="7"/>
    </row>
    <row r="540" spans="1:16">
      <c r="A540" s="3">
        <v>43810.119259259256</v>
      </c>
      <c r="B540" s="4" t="str">
        <f>HYPERLINK("https://twitter.com/petrogustavo","@petrogustavo")</f>
        <v>@petrogustavo</v>
      </c>
      <c r="C540" s="5" t="s">
        <v>16</v>
      </c>
      <c r="D540" s="5" t="s">
        <v>562</v>
      </c>
      <c r="E540" s="6" t="str">
        <f>HYPERLINK("https://twitter.com/petrogustavo/status/1204511540910678018","1204511540910678018")</f>
        <v>1204511540910678018</v>
      </c>
      <c r="F540" s="7" t="s">
        <v>32</v>
      </c>
      <c r="G540" s="7">
        <v>3578073</v>
      </c>
      <c r="H540" s="7">
        <v>2334</v>
      </c>
      <c r="I540" s="7">
        <v>62</v>
      </c>
      <c r="J540" s="7">
        <v>117</v>
      </c>
      <c r="K540" s="7" t="s">
        <v>18</v>
      </c>
      <c r="L540" s="8">
        <v>39987.315405092595</v>
      </c>
      <c r="M540" s="9" t="s">
        <v>19</v>
      </c>
      <c r="N540" s="9" t="s">
        <v>20</v>
      </c>
      <c r="O540" s="6" t="str">
        <f>HYPERLINK("https://pbs.twimg.com/profile_images/962471262747529216/Uo8lOkRJ_normal.jpg","View")</f>
        <v>View</v>
      </c>
      <c r="P540" s="7"/>
    </row>
    <row r="541" spans="1:16">
      <c r="A541" s="3">
        <v>43810.121724537035</v>
      </c>
      <c r="B541" s="4" t="str">
        <f>HYPERLINK("https://twitter.com/petrogustavo","@petrogustavo")</f>
        <v>@petrogustavo</v>
      </c>
      <c r="C541" s="5" t="s">
        <v>16</v>
      </c>
      <c r="D541" s="5" t="s">
        <v>563</v>
      </c>
      <c r="E541" s="6" t="str">
        <f>HYPERLINK("https://twitter.com/petrogustavo/status/1204512434104520704","1204512434104520704")</f>
        <v>1204512434104520704</v>
      </c>
      <c r="F541" s="7" t="s">
        <v>32</v>
      </c>
      <c r="G541" s="7">
        <v>3578073</v>
      </c>
      <c r="H541" s="7">
        <v>2334</v>
      </c>
      <c r="I541" s="7">
        <v>26</v>
      </c>
      <c r="J541" s="7">
        <v>92</v>
      </c>
      <c r="K541" s="7" t="s">
        <v>18</v>
      </c>
      <c r="L541" s="8">
        <v>39987.315405092595</v>
      </c>
      <c r="M541" s="9" t="s">
        <v>19</v>
      </c>
      <c r="N541" s="9" t="s">
        <v>20</v>
      </c>
      <c r="O541" s="6" t="str">
        <f>HYPERLINK("https://pbs.twimg.com/profile_images/962471262747529216/Uo8lOkRJ_normal.jpg","View")</f>
        <v>View</v>
      </c>
      <c r="P541" s="7"/>
    </row>
    <row r="542" spans="1:16">
      <c r="A542" s="3">
        <v>43810.123194444444</v>
      </c>
      <c r="B542" s="4" t="str">
        <f>HYPERLINK("https://twitter.com/petrogustavo","@petrogustavo")</f>
        <v>@petrogustavo</v>
      </c>
      <c r="C542" s="5" t="s">
        <v>16</v>
      </c>
      <c r="D542" s="5" t="s">
        <v>564</v>
      </c>
      <c r="E542" s="6" t="str">
        <f>HYPERLINK("https://twitter.com/petrogustavo/status/1204512964109357057","1204512964109357057")</f>
        <v>1204512964109357057</v>
      </c>
      <c r="F542" s="7" t="s">
        <v>32</v>
      </c>
      <c r="G542" s="7">
        <v>3578073</v>
      </c>
      <c r="H542" s="7">
        <v>2334</v>
      </c>
      <c r="I542" s="7">
        <v>55</v>
      </c>
      <c r="J542" s="7">
        <v>0</v>
      </c>
      <c r="K542" s="7" t="s">
        <v>18</v>
      </c>
      <c r="L542" s="8">
        <v>39987.315405092595</v>
      </c>
      <c r="M542" s="9" t="s">
        <v>19</v>
      </c>
      <c r="N542" s="9" t="s">
        <v>20</v>
      </c>
      <c r="O542" s="6" t="str">
        <f>HYPERLINK("https://pbs.twimg.com/profile_images/962471262747529216/Uo8lOkRJ_normal.jpg","View")</f>
        <v>View</v>
      </c>
      <c r="P542" s="7"/>
    </row>
    <row r="543" spans="1:16">
      <c r="A543" s="3">
        <v>43810.125752314816</v>
      </c>
      <c r="B543" s="4" t="str">
        <f>HYPERLINK("https://twitter.com/petrogustavo","@petrogustavo")</f>
        <v>@petrogustavo</v>
      </c>
      <c r="C543" s="5" t="s">
        <v>16</v>
      </c>
      <c r="D543" s="5" t="s">
        <v>565</v>
      </c>
      <c r="E543" s="6" t="str">
        <f>HYPERLINK("https://twitter.com/petrogustavo/status/1204513891881013250","1204513891881013250")</f>
        <v>1204513891881013250</v>
      </c>
      <c r="F543" s="7" t="s">
        <v>32</v>
      </c>
      <c r="G543" s="7">
        <v>3578073</v>
      </c>
      <c r="H543" s="7">
        <v>2334</v>
      </c>
      <c r="I543" s="7">
        <v>100</v>
      </c>
      <c r="J543" s="7">
        <v>195</v>
      </c>
      <c r="K543" s="7" t="s">
        <v>18</v>
      </c>
      <c r="L543" s="8">
        <v>39987.315405092595</v>
      </c>
      <c r="M543" s="9" t="s">
        <v>19</v>
      </c>
      <c r="N543" s="9" t="s">
        <v>20</v>
      </c>
      <c r="O543" s="6" t="str">
        <f>HYPERLINK("https://pbs.twimg.com/profile_images/962471262747529216/Uo8lOkRJ_normal.jpg","View")</f>
        <v>View</v>
      </c>
      <c r="P543" s="7"/>
    </row>
    <row r="544" spans="1:16">
      <c r="A544" s="3">
        <v>43810.126979166671</v>
      </c>
      <c r="B544" s="4" t="str">
        <f>HYPERLINK("https://twitter.com/petrogustavo","@petrogustavo")</f>
        <v>@petrogustavo</v>
      </c>
      <c r="C544" s="5" t="s">
        <v>16</v>
      </c>
      <c r="D544" s="5" t="s">
        <v>566</v>
      </c>
      <c r="E544" s="6" t="str">
        <f>HYPERLINK("https://twitter.com/petrogustavo/status/1204514337810997254","1204514337810997254")</f>
        <v>1204514337810997254</v>
      </c>
      <c r="F544" s="7" t="s">
        <v>32</v>
      </c>
      <c r="G544" s="7">
        <v>3578073</v>
      </c>
      <c r="H544" s="7">
        <v>2334</v>
      </c>
      <c r="I544" s="7">
        <v>38</v>
      </c>
      <c r="J544" s="7">
        <v>0</v>
      </c>
      <c r="K544" s="7" t="s">
        <v>18</v>
      </c>
      <c r="L544" s="8">
        <v>39987.315405092595</v>
      </c>
      <c r="M544" s="9" t="s">
        <v>19</v>
      </c>
      <c r="N544" s="9" t="s">
        <v>20</v>
      </c>
      <c r="O544" s="6" t="str">
        <f>HYPERLINK("https://pbs.twimg.com/profile_images/962471262747529216/Uo8lOkRJ_normal.jpg","View")</f>
        <v>View</v>
      </c>
      <c r="P544" s="7"/>
    </row>
    <row r="545" spans="1:16">
      <c r="A545" s="3">
        <v>43810.130219907413</v>
      </c>
      <c r="B545" s="4" t="str">
        <f>HYPERLINK("https://twitter.com/petrogustavo","@petrogustavo")</f>
        <v>@petrogustavo</v>
      </c>
      <c r="C545" s="5" t="s">
        <v>16</v>
      </c>
      <c r="D545" s="5" t="s">
        <v>567</v>
      </c>
      <c r="E545" s="6" t="str">
        <f>HYPERLINK("https://twitter.com/petrogustavo/status/1204515511868035073","1204515511868035073")</f>
        <v>1204515511868035073</v>
      </c>
      <c r="F545" s="7" t="s">
        <v>32</v>
      </c>
      <c r="G545" s="7">
        <v>3578073</v>
      </c>
      <c r="H545" s="7">
        <v>2334</v>
      </c>
      <c r="I545" s="7">
        <v>193</v>
      </c>
      <c r="J545" s="7">
        <v>0</v>
      </c>
      <c r="K545" s="7" t="s">
        <v>18</v>
      </c>
      <c r="L545" s="8">
        <v>39987.315405092595</v>
      </c>
      <c r="M545" s="9" t="s">
        <v>19</v>
      </c>
      <c r="N545" s="9" t="s">
        <v>20</v>
      </c>
      <c r="O545" s="6" t="str">
        <f>HYPERLINK("https://pbs.twimg.com/profile_images/962471262747529216/Uo8lOkRJ_normal.jpg","View")</f>
        <v>View</v>
      </c>
      <c r="P545" s="7"/>
    </row>
    <row r="546" spans="1:16">
      <c r="A546" s="3">
        <v>43810.156041666662</v>
      </c>
      <c r="B546" s="4" t="str">
        <f>HYPERLINK("https://twitter.com/petrogustavo","@petrogustavo")</f>
        <v>@petrogustavo</v>
      </c>
      <c r="C546" s="5" t="s">
        <v>16</v>
      </c>
      <c r="D546" s="5" t="s">
        <v>568</v>
      </c>
      <c r="E546" s="6" t="str">
        <f>HYPERLINK("https://twitter.com/petrogustavo/status/1204524867292422147","1204524867292422147")</f>
        <v>1204524867292422147</v>
      </c>
      <c r="F546" s="7" t="s">
        <v>21</v>
      </c>
      <c r="G546" s="7">
        <v>3578005</v>
      </c>
      <c r="H546" s="7">
        <v>2334</v>
      </c>
      <c r="I546" s="7">
        <v>24</v>
      </c>
      <c r="J546" s="7">
        <v>75</v>
      </c>
      <c r="K546" s="7" t="s">
        <v>18</v>
      </c>
      <c r="L546" s="8">
        <v>39987.315405092595</v>
      </c>
      <c r="M546" s="9" t="s">
        <v>19</v>
      </c>
      <c r="N546" s="9" t="s">
        <v>20</v>
      </c>
      <c r="O546" s="6" t="str">
        <f>HYPERLINK("https://pbs.twimg.com/profile_images/962471262747529216/Uo8lOkRJ_normal.jpg","View")</f>
        <v>View</v>
      </c>
      <c r="P546" s="7"/>
    </row>
    <row r="547" spans="1:16">
      <c r="A547" s="3">
        <v>43810.162534722222</v>
      </c>
      <c r="B547" s="4" t="str">
        <f>HYPERLINK("https://twitter.com/petrogustavo","@petrogustavo")</f>
        <v>@petrogustavo</v>
      </c>
      <c r="C547" s="5" t="s">
        <v>16</v>
      </c>
      <c r="D547" s="5" t="s">
        <v>569</v>
      </c>
      <c r="E547" s="6" t="str">
        <f>HYPERLINK("https://twitter.com/petrogustavo/status/1204527223421775874","1204527223421775874")</f>
        <v>1204527223421775874</v>
      </c>
      <c r="F547" s="7" t="s">
        <v>32</v>
      </c>
      <c r="G547" s="7">
        <v>3578038</v>
      </c>
      <c r="H547" s="7">
        <v>2334</v>
      </c>
      <c r="I547" s="7">
        <v>492</v>
      </c>
      <c r="J547" s="7">
        <v>922</v>
      </c>
      <c r="K547" s="7" t="s">
        <v>18</v>
      </c>
      <c r="L547" s="8">
        <v>39987.315405092595</v>
      </c>
      <c r="M547" s="9" t="s">
        <v>19</v>
      </c>
      <c r="N547" s="9" t="s">
        <v>20</v>
      </c>
      <c r="O547" s="6" t="str">
        <f>HYPERLINK("https://pbs.twimg.com/profile_images/962471262747529216/Uo8lOkRJ_normal.jpg","View")</f>
        <v>View</v>
      </c>
      <c r="P547" s="7"/>
    </row>
    <row r="548" spans="1:16">
      <c r="A548" s="3">
        <v>43810.163043981476</v>
      </c>
      <c r="B548" s="4" t="str">
        <f>HYPERLINK("https://twitter.com/petrogustavo","@petrogustavo")</f>
        <v>@petrogustavo</v>
      </c>
      <c r="C548" s="5" t="s">
        <v>16</v>
      </c>
      <c r="D548" s="5" t="s">
        <v>570</v>
      </c>
      <c r="E548" s="6" t="str">
        <f>HYPERLINK("https://twitter.com/petrogustavo/status/1204527405022564354","1204527405022564354")</f>
        <v>1204527405022564354</v>
      </c>
      <c r="F548" s="7" t="s">
        <v>32</v>
      </c>
      <c r="G548" s="7">
        <v>3578038</v>
      </c>
      <c r="H548" s="7">
        <v>2334</v>
      </c>
      <c r="I548" s="7">
        <v>143</v>
      </c>
      <c r="J548" s="7">
        <v>0</v>
      </c>
      <c r="K548" s="7" t="s">
        <v>18</v>
      </c>
      <c r="L548" s="8">
        <v>39987.315405092595</v>
      </c>
      <c r="M548" s="9" t="s">
        <v>19</v>
      </c>
      <c r="N548" s="9" t="s">
        <v>20</v>
      </c>
      <c r="O548" s="6" t="str">
        <f>HYPERLINK("https://pbs.twimg.com/profile_images/962471262747529216/Uo8lOkRJ_normal.jpg","View")</f>
        <v>View</v>
      </c>
      <c r="P548" s="7"/>
    </row>
    <row r="549" spans="1:16">
      <c r="A549" s="3">
        <v>43810.172083333338</v>
      </c>
      <c r="B549" s="4" t="str">
        <f>HYPERLINK("https://twitter.com/petrogustavo","@petrogustavo")</f>
        <v>@petrogustavo</v>
      </c>
      <c r="C549" s="5" t="s">
        <v>16</v>
      </c>
      <c r="D549" s="5" t="s">
        <v>571</v>
      </c>
      <c r="E549" s="6" t="str">
        <f>HYPERLINK("https://twitter.com/petrogustavo/status/1204530680920780800","1204530680920780800")</f>
        <v>1204530680920780800</v>
      </c>
      <c r="F549" s="7" t="s">
        <v>32</v>
      </c>
      <c r="G549" s="7">
        <v>3578038</v>
      </c>
      <c r="H549" s="7">
        <v>2334</v>
      </c>
      <c r="I549" s="7">
        <v>40</v>
      </c>
      <c r="J549" s="7">
        <v>117</v>
      </c>
      <c r="K549" s="7" t="s">
        <v>18</v>
      </c>
      <c r="L549" s="8">
        <v>39987.315405092595</v>
      </c>
      <c r="M549" s="9" t="s">
        <v>19</v>
      </c>
      <c r="N549" s="9" t="s">
        <v>20</v>
      </c>
      <c r="O549" s="6" t="str">
        <f>HYPERLINK("https://pbs.twimg.com/profile_images/962471262747529216/Uo8lOkRJ_normal.jpg","View")</f>
        <v>View</v>
      </c>
      <c r="P549" s="7"/>
    </row>
    <row r="550" spans="1:16">
      <c r="A550" s="3">
        <v>43810.176712962959</v>
      </c>
      <c r="B550" s="4" t="str">
        <f>HYPERLINK("https://twitter.com/petrogustavo","@petrogustavo")</f>
        <v>@petrogustavo</v>
      </c>
      <c r="C550" s="5" t="s">
        <v>16</v>
      </c>
      <c r="D550" s="5" t="s">
        <v>572</v>
      </c>
      <c r="E550" s="6" t="str">
        <f>HYPERLINK("https://twitter.com/petrogustavo/status/1204532361234436098","1204532361234436098")</f>
        <v>1204532361234436098</v>
      </c>
      <c r="F550" s="7" t="s">
        <v>32</v>
      </c>
      <c r="G550" s="7">
        <v>3578038</v>
      </c>
      <c r="H550" s="7">
        <v>2334</v>
      </c>
      <c r="I550" s="7">
        <v>14</v>
      </c>
      <c r="J550" s="7">
        <v>46</v>
      </c>
      <c r="K550" s="7" t="s">
        <v>18</v>
      </c>
      <c r="L550" s="8">
        <v>39987.315405092595</v>
      </c>
      <c r="M550" s="9" t="s">
        <v>19</v>
      </c>
      <c r="N550" s="9" t="s">
        <v>20</v>
      </c>
      <c r="O550" s="6" t="str">
        <f>HYPERLINK("https://pbs.twimg.com/profile_images/962471262747529216/Uo8lOkRJ_normal.jpg","View")</f>
        <v>View</v>
      </c>
      <c r="P550" s="7"/>
    </row>
    <row r="551" spans="1:16">
      <c r="A551" s="3">
        <v>43810.1793287037</v>
      </c>
      <c r="B551" s="4" t="str">
        <f>HYPERLINK("https://twitter.com/petrogustavo","@petrogustavo")</f>
        <v>@petrogustavo</v>
      </c>
      <c r="C551" s="5" t="s">
        <v>16</v>
      </c>
      <c r="D551" s="5" t="s">
        <v>573</v>
      </c>
      <c r="E551" s="6" t="str">
        <f>HYPERLINK("https://twitter.com/petrogustavo/status/1204533309717569538","1204533309717569538")</f>
        <v>1204533309717569538</v>
      </c>
      <c r="F551" s="7" t="s">
        <v>32</v>
      </c>
      <c r="G551" s="7">
        <v>3578070</v>
      </c>
      <c r="H551" s="7">
        <v>2334</v>
      </c>
      <c r="I551" s="7">
        <v>32</v>
      </c>
      <c r="J551" s="7">
        <v>109</v>
      </c>
      <c r="K551" s="7" t="s">
        <v>18</v>
      </c>
      <c r="L551" s="8">
        <v>39987.315405092595</v>
      </c>
      <c r="M551" s="9" t="s">
        <v>19</v>
      </c>
      <c r="N551" s="9" t="s">
        <v>20</v>
      </c>
      <c r="O551" s="6" t="str">
        <f>HYPERLINK("https://pbs.twimg.com/profile_images/962471262747529216/Uo8lOkRJ_normal.jpg","View")</f>
        <v>View</v>
      </c>
      <c r="P551" s="7"/>
    </row>
    <row r="552" spans="1:16">
      <c r="A552" s="3">
        <v>43810.183321759258</v>
      </c>
      <c r="B552" s="4" t="str">
        <f>HYPERLINK("https://twitter.com/petrogustavo","@petrogustavo")</f>
        <v>@petrogustavo</v>
      </c>
      <c r="C552" s="5" t="s">
        <v>16</v>
      </c>
      <c r="D552" s="5" t="s">
        <v>574</v>
      </c>
      <c r="E552" s="6" t="str">
        <f>HYPERLINK("https://twitter.com/petrogustavo/status/1204534754634285056","1204534754634285056")</f>
        <v>1204534754634285056</v>
      </c>
      <c r="F552" s="7" t="s">
        <v>32</v>
      </c>
      <c r="G552" s="7">
        <v>3578070</v>
      </c>
      <c r="H552" s="7">
        <v>2334</v>
      </c>
      <c r="I552" s="7">
        <v>85</v>
      </c>
      <c r="J552" s="7">
        <v>197</v>
      </c>
      <c r="K552" s="7" t="s">
        <v>18</v>
      </c>
      <c r="L552" s="8">
        <v>39987.315405092595</v>
      </c>
      <c r="M552" s="9" t="s">
        <v>19</v>
      </c>
      <c r="N552" s="9" t="s">
        <v>20</v>
      </c>
      <c r="O552" s="6" t="str">
        <f>HYPERLINK("https://pbs.twimg.com/profile_images/962471262747529216/Uo8lOkRJ_normal.jpg","View")</f>
        <v>View</v>
      </c>
      <c r="P552" s="7"/>
    </row>
    <row r="553" spans="1:16">
      <c r="A553" s="3">
        <v>43810.186400462961</v>
      </c>
      <c r="B553" s="4" t="str">
        <f>HYPERLINK("https://twitter.com/petrogustavo","@petrogustavo")</f>
        <v>@petrogustavo</v>
      </c>
      <c r="C553" s="5" t="s">
        <v>16</v>
      </c>
      <c r="D553" s="5" t="s">
        <v>575</v>
      </c>
      <c r="E553" s="6" t="str">
        <f>HYPERLINK("https://twitter.com/petrogustavo/status/1204535871321595910","1204535871321595910")</f>
        <v>1204535871321595910</v>
      </c>
      <c r="F553" s="7" t="s">
        <v>17</v>
      </c>
      <c r="G553" s="7">
        <v>3578070</v>
      </c>
      <c r="H553" s="7">
        <v>2334</v>
      </c>
      <c r="I553" s="7">
        <v>90</v>
      </c>
      <c r="J553" s="7">
        <v>191</v>
      </c>
      <c r="K553" s="7" t="s">
        <v>18</v>
      </c>
      <c r="L553" s="8">
        <v>39987.315405092595</v>
      </c>
      <c r="M553" s="9" t="s">
        <v>19</v>
      </c>
      <c r="N553" s="9" t="s">
        <v>20</v>
      </c>
      <c r="O553" s="6" t="str">
        <f>HYPERLINK("https://pbs.twimg.com/profile_images/962471262747529216/Uo8lOkRJ_normal.jpg","View")</f>
        <v>View</v>
      </c>
      <c r="P553" s="7"/>
    </row>
    <row r="554" spans="1:16">
      <c r="A554" s="3">
        <v>43810.193101851852</v>
      </c>
      <c r="B554" s="4" t="str">
        <f>HYPERLINK("https://twitter.com/petrogustavo","@petrogustavo")</f>
        <v>@petrogustavo</v>
      </c>
      <c r="C554" s="5" t="s">
        <v>16</v>
      </c>
      <c r="D554" s="5" t="s">
        <v>576</v>
      </c>
      <c r="E554" s="6" t="str">
        <f>HYPERLINK("https://twitter.com/petrogustavo/status/1204538301190938625","1204538301190938625")</f>
        <v>1204538301190938625</v>
      </c>
      <c r="F554" s="7" t="s">
        <v>17</v>
      </c>
      <c r="G554" s="7">
        <v>3578070</v>
      </c>
      <c r="H554" s="7">
        <v>2334</v>
      </c>
      <c r="I554" s="7">
        <v>167</v>
      </c>
      <c r="J554" s="7">
        <v>366</v>
      </c>
      <c r="K554" s="7" t="s">
        <v>18</v>
      </c>
      <c r="L554" s="8">
        <v>39987.315405092595</v>
      </c>
      <c r="M554" s="9" t="s">
        <v>19</v>
      </c>
      <c r="N554" s="9" t="s">
        <v>20</v>
      </c>
      <c r="O554" s="6" t="str">
        <f>HYPERLINK("https://pbs.twimg.com/profile_images/962471262747529216/Uo8lOkRJ_normal.jpg","View")</f>
        <v>View</v>
      </c>
      <c r="P554" s="7"/>
    </row>
    <row r="555" spans="1:16">
      <c r="A555" s="3">
        <v>43810.193414351852</v>
      </c>
      <c r="B555" s="4" t="str">
        <f>HYPERLINK("https://twitter.com/petrogustavo","@petrogustavo")</f>
        <v>@petrogustavo</v>
      </c>
      <c r="C555" s="5" t="s">
        <v>16</v>
      </c>
      <c r="D555" s="5" t="s">
        <v>577</v>
      </c>
      <c r="E555" s="6" t="str">
        <f>HYPERLINK("https://twitter.com/petrogustavo/status/1204538412696526848","1204538412696526848")</f>
        <v>1204538412696526848</v>
      </c>
      <c r="F555" s="7" t="s">
        <v>17</v>
      </c>
      <c r="G555" s="7">
        <v>3578070</v>
      </c>
      <c r="H555" s="7">
        <v>2334</v>
      </c>
      <c r="I555" s="7">
        <v>119</v>
      </c>
      <c r="J555" s="7">
        <v>0</v>
      </c>
      <c r="K555" s="7" t="s">
        <v>18</v>
      </c>
      <c r="L555" s="8">
        <v>39987.315405092595</v>
      </c>
      <c r="M555" s="9" t="s">
        <v>19</v>
      </c>
      <c r="N555" s="9" t="s">
        <v>20</v>
      </c>
      <c r="O555" s="6" t="str">
        <f>HYPERLINK("https://pbs.twimg.com/profile_images/962471262747529216/Uo8lOkRJ_normal.jpg","View")</f>
        <v>View</v>
      </c>
      <c r="P555" s="7"/>
    </row>
    <row r="556" spans="1:16">
      <c r="A556" s="3">
        <v>43810.193506944444</v>
      </c>
      <c r="B556" s="4" t="str">
        <f>HYPERLINK("https://twitter.com/petrogustavo","@petrogustavo")</f>
        <v>@petrogustavo</v>
      </c>
      <c r="C556" s="5" t="s">
        <v>16</v>
      </c>
      <c r="D556" s="5" t="s">
        <v>578</v>
      </c>
      <c r="E556" s="6" t="str">
        <f>HYPERLINK("https://twitter.com/petrogustavo/status/1204538445517017088","1204538445517017088")</f>
        <v>1204538445517017088</v>
      </c>
      <c r="F556" s="7" t="s">
        <v>17</v>
      </c>
      <c r="G556" s="7">
        <v>3578070</v>
      </c>
      <c r="H556" s="7">
        <v>2334</v>
      </c>
      <c r="I556" s="7">
        <v>642</v>
      </c>
      <c r="J556" s="7">
        <v>0</v>
      </c>
      <c r="K556" s="7" t="s">
        <v>18</v>
      </c>
      <c r="L556" s="8">
        <v>39987.315405092595</v>
      </c>
      <c r="M556" s="9" t="s">
        <v>19</v>
      </c>
      <c r="N556" s="9" t="s">
        <v>20</v>
      </c>
      <c r="O556" s="6" t="str">
        <f>HYPERLINK("https://pbs.twimg.com/profile_images/962471262747529216/Uo8lOkRJ_normal.jpg","View")</f>
        <v>View</v>
      </c>
      <c r="P556" s="7"/>
    </row>
    <row r="557" spans="1:16">
      <c r="A557" s="3">
        <v>43810.193877314814</v>
      </c>
      <c r="B557" s="4" t="str">
        <f>HYPERLINK("https://twitter.com/petrogustavo","@petrogustavo")</f>
        <v>@petrogustavo</v>
      </c>
      <c r="C557" s="5" t="s">
        <v>16</v>
      </c>
      <c r="D557" s="5" t="s">
        <v>579</v>
      </c>
      <c r="E557" s="6" t="str">
        <f>HYPERLINK("https://twitter.com/petrogustavo/status/1204538580225462273","1204538580225462273")</f>
        <v>1204538580225462273</v>
      </c>
      <c r="F557" s="7" t="s">
        <v>17</v>
      </c>
      <c r="G557" s="7">
        <v>3578070</v>
      </c>
      <c r="H557" s="7">
        <v>2334</v>
      </c>
      <c r="I557" s="7">
        <v>315</v>
      </c>
      <c r="J557" s="7">
        <v>0</v>
      </c>
      <c r="K557" s="7" t="s">
        <v>18</v>
      </c>
      <c r="L557" s="8">
        <v>39987.315405092595</v>
      </c>
      <c r="M557" s="9" t="s">
        <v>19</v>
      </c>
      <c r="N557" s="9" t="s">
        <v>20</v>
      </c>
      <c r="O557" s="6" t="str">
        <f>HYPERLINK("https://pbs.twimg.com/profile_images/962471262747529216/Uo8lOkRJ_normal.jpg","View")</f>
        <v>View</v>
      </c>
      <c r="P557" s="7"/>
    </row>
    <row r="558" spans="1:16">
      <c r="A558" s="3">
        <v>43810.196921296301</v>
      </c>
      <c r="B558" s="4" t="str">
        <f>HYPERLINK("https://twitter.com/petrogustavo","@petrogustavo")</f>
        <v>@petrogustavo</v>
      </c>
      <c r="C558" s="5" t="s">
        <v>16</v>
      </c>
      <c r="D558" s="5" t="s">
        <v>580</v>
      </c>
      <c r="E558" s="6" t="str">
        <f>HYPERLINK("https://twitter.com/petrogustavo/status/1204539682027114501","1204539682027114501")</f>
        <v>1204539682027114501</v>
      </c>
      <c r="F558" s="7" t="s">
        <v>17</v>
      </c>
      <c r="G558" s="7">
        <v>3578070</v>
      </c>
      <c r="H558" s="7">
        <v>2334</v>
      </c>
      <c r="I558" s="7">
        <v>60</v>
      </c>
      <c r="J558" s="7">
        <v>231</v>
      </c>
      <c r="K558" s="7" t="s">
        <v>18</v>
      </c>
      <c r="L558" s="8">
        <v>39987.315405092595</v>
      </c>
      <c r="M558" s="9" t="s">
        <v>19</v>
      </c>
      <c r="N558" s="9" t="s">
        <v>20</v>
      </c>
      <c r="O558" s="6" t="str">
        <f>HYPERLINK("https://pbs.twimg.com/profile_images/962471262747529216/Uo8lOkRJ_normal.jpg","View")</f>
        <v>View</v>
      </c>
      <c r="P558" s="7"/>
    </row>
    <row r="559" spans="1:16">
      <c r="A559" s="3">
        <v>43810.198020833333</v>
      </c>
      <c r="B559" s="4" t="str">
        <f>HYPERLINK("https://twitter.com/petrogustavo","@petrogustavo")</f>
        <v>@petrogustavo</v>
      </c>
      <c r="C559" s="5" t="s">
        <v>16</v>
      </c>
      <c r="D559" s="5" t="s">
        <v>581</v>
      </c>
      <c r="E559" s="6" t="str">
        <f>HYPERLINK("https://twitter.com/petrogustavo/status/1204540080381157377","1204540080381157377")</f>
        <v>1204540080381157377</v>
      </c>
      <c r="F559" s="7" t="s">
        <v>17</v>
      </c>
      <c r="G559" s="7">
        <v>3578070</v>
      </c>
      <c r="H559" s="7">
        <v>2334</v>
      </c>
      <c r="I559" s="7">
        <v>26</v>
      </c>
      <c r="J559" s="7">
        <v>0</v>
      </c>
      <c r="K559" s="7" t="s">
        <v>18</v>
      </c>
      <c r="L559" s="8">
        <v>39987.315405092595</v>
      </c>
      <c r="M559" s="9" t="s">
        <v>19</v>
      </c>
      <c r="N559" s="9" t="s">
        <v>20</v>
      </c>
      <c r="O559" s="6" t="str">
        <f>HYPERLINK("https://pbs.twimg.com/profile_images/962471262747529216/Uo8lOkRJ_normal.jpg","View")</f>
        <v>View</v>
      </c>
      <c r="P559" s="7"/>
    </row>
    <row r="560" spans="1:16">
      <c r="A560" s="3">
        <v>43810.199444444443</v>
      </c>
      <c r="B560" s="4" t="str">
        <f>HYPERLINK("https://twitter.com/petrogustavo","@petrogustavo")</f>
        <v>@petrogustavo</v>
      </c>
      <c r="C560" s="5" t="s">
        <v>16</v>
      </c>
      <c r="D560" s="5" t="s">
        <v>582</v>
      </c>
      <c r="E560" s="6" t="str">
        <f>HYPERLINK("https://twitter.com/petrogustavo/status/1204540599447281667","1204540599447281667")</f>
        <v>1204540599447281667</v>
      </c>
      <c r="F560" s="7" t="s">
        <v>17</v>
      </c>
      <c r="G560" s="7">
        <v>3578070</v>
      </c>
      <c r="H560" s="7">
        <v>2334</v>
      </c>
      <c r="I560" s="7">
        <v>4</v>
      </c>
      <c r="J560" s="7">
        <v>23</v>
      </c>
      <c r="K560" s="7" t="s">
        <v>18</v>
      </c>
      <c r="L560" s="8">
        <v>39987.315405092595</v>
      </c>
      <c r="M560" s="9" t="s">
        <v>19</v>
      </c>
      <c r="N560" s="9" t="s">
        <v>20</v>
      </c>
      <c r="O560" s="6" t="str">
        <f>HYPERLINK("https://pbs.twimg.com/profile_images/962471262747529216/Uo8lOkRJ_normal.jpg","View")</f>
        <v>View</v>
      </c>
      <c r="P560" s="7"/>
    </row>
    <row r="561" spans="1:16">
      <c r="A561" s="3">
        <v>43810.201168981483</v>
      </c>
      <c r="B561" s="4" t="str">
        <f>HYPERLINK("https://twitter.com/petrogustavo","@petrogustavo")</f>
        <v>@petrogustavo</v>
      </c>
      <c r="C561" s="5" t="s">
        <v>16</v>
      </c>
      <c r="D561" s="5" t="s">
        <v>583</v>
      </c>
      <c r="E561" s="6" t="str">
        <f>HYPERLINK("https://twitter.com/petrogustavo/status/1204541224595664903","1204541224595664903")</f>
        <v>1204541224595664903</v>
      </c>
      <c r="F561" s="7" t="s">
        <v>17</v>
      </c>
      <c r="G561" s="7">
        <v>3578102</v>
      </c>
      <c r="H561" s="7">
        <v>2334</v>
      </c>
      <c r="I561" s="7">
        <v>251</v>
      </c>
      <c r="J561" s="7">
        <v>447</v>
      </c>
      <c r="K561" s="7" t="s">
        <v>18</v>
      </c>
      <c r="L561" s="8">
        <v>39987.315405092595</v>
      </c>
      <c r="M561" s="9" t="s">
        <v>19</v>
      </c>
      <c r="N561" s="9" t="s">
        <v>20</v>
      </c>
      <c r="O561" s="6" t="str">
        <f>HYPERLINK("https://pbs.twimg.com/profile_images/962471262747529216/Uo8lOkRJ_normal.jpg","View")</f>
        <v>View</v>
      </c>
      <c r="P561" s="7"/>
    </row>
    <row r="562" spans="1:16">
      <c r="A562" s="3">
        <v>43810.205069444448</v>
      </c>
      <c r="B562" s="4" t="str">
        <f>HYPERLINK("https://twitter.com/petrogustavo","@petrogustavo")</f>
        <v>@petrogustavo</v>
      </c>
      <c r="C562" s="5" t="s">
        <v>16</v>
      </c>
      <c r="D562" s="5" t="s">
        <v>584</v>
      </c>
      <c r="E562" s="6" t="str">
        <f>HYPERLINK("https://twitter.com/petrogustavo/status/1204542637878992896","1204542637878992896")</f>
        <v>1204542637878992896</v>
      </c>
      <c r="F562" s="7" t="s">
        <v>17</v>
      </c>
      <c r="G562" s="7">
        <v>3578102</v>
      </c>
      <c r="H562" s="7">
        <v>2334</v>
      </c>
      <c r="I562" s="7">
        <v>89</v>
      </c>
      <c r="J562" s="7">
        <v>338</v>
      </c>
      <c r="K562" s="7" t="s">
        <v>18</v>
      </c>
      <c r="L562" s="8">
        <v>39987.315405092595</v>
      </c>
      <c r="M562" s="9" t="s">
        <v>19</v>
      </c>
      <c r="N562" s="9" t="s">
        <v>20</v>
      </c>
      <c r="O562" s="6" t="str">
        <f>HYPERLINK("https://pbs.twimg.com/profile_images/962471262747529216/Uo8lOkRJ_normal.jpg","View")</f>
        <v>View</v>
      </c>
      <c r="P562" s="7"/>
    </row>
    <row r="563" spans="1:16">
      <c r="A563" s="3">
        <v>43810.211747685185</v>
      </c>
      <c r="B563" s="4" t="str">
        <f>HYPERLINK("https://twitter.com/petrogustavo","@petrogustavo")</f>
        <v>@petrogustavo</v>
      </c>
      <c r="C563" s="5" t="s">
        <v>16</v>
      </c>
      <c r="D563" s="5" t="s">
        <v>585</v>
      </c>
      <c r="E563" s="6" t="str">
        <f>HYPERLINK("https://twitter.com/petrogustavo/status/1204545055945572352","1204545055945572352")</f>
        <v>1204545055945572352</v>
      </c>
      <c r="F563" s="7" t="s">
        <v>17</v>
      </c>
      <c r="G563" s="7">
        <v>3578102</v>
      </c>
      <c r="H563" s="7">
        <v>2334</v>
      </c>
      <c r="I563" s="7">
        <v>23</v>
      </c>
      <c r="J563" s="7">
        <v>0</v>
      </c>
      <c r="K563" s="7" t="s">
        <v>18</v>
      </c>
      <c r="L563" s="8">
        <v>39987.315405092595</v>
      </c>
      <c r="M563" s="9" t="s">
        <v>19</v>
      </c>
      <c r="N563" s="9" t="s">
        <v>20</v>
      </c>
      <c r="O563" s="6" t="str">
        <f>HYPERLINK("https://pbs.twimg.com/profile_images/962471262747529216/Uo8lOkRJ_normal.jpg","View")</f>
        <v>View</v>
      </c>
      <c r="P563" s="7"/>
    </row>
    <row r="564" spans="1:16">
      <c r="A564" s="3">
        <v>43810.213680555556</v>
      </c>
      <c r="B564" s="4" t="str">
        <f>HYPERLINK("https://twitter.com/petrogustavo","@petrogustavo")</f>
        <v>@petrogustavo</v>
      </c>
      <c r="C564" s="5" t="s">
        <v>16</v>
      </c>
      <c r="D564" s="5" t="s">
        <v>586</v>
      </c>
      <c r="E564" s="6" t="str">
        <f>HYPERLINK("https://twitter.com/petrogustavo/status/1204545758420180992","1204545758420180992")</f>
        <v>1204545758420180992</v>
      </c>
      <c r="F564" s="7" t="s">
        <v>17</v>
      </c>
      <c r="G564" s="7">
        <v>3578102</v>
      </c>
      <c r="H564" s="7">
        <v>2334</v>
      </c>
      <c r="I564" s="7">
        <v>92</v>
      </c>
      <c r="J564" s="7">
        <v>310</v>
      </c>
      <c r="K564" s="7" t="s">
        <v>18</v>
      </c>
      <c r="L564" s="8">
        <v>39987.315405092595</v>
      </c>
      <c r="M564" s="9" t="s">
        <v>19</v>
      </c>
      <c r="N564" s="9" t="s">
        <v>20</v>
      </c>
      <c r="O564" s="6" t="str">
        <f>HYPERLINK("https://pbs.twimg.com/profile_images/962471262747529216/Uo8lOkRJ_normal.jpg","View")</f>
        <v>View</v>
      </c>
      <c r="P564" s="7"/>
    </row>
    <row r="565" spans="1:16">
      <c r="A565" s="3">
        <v>43810.214456018519</v>
      </c>
      <c r="B565" s="4" t="str">
        <f>HYPERLINK("https://twitter.com/petrogustavo","@petrogustavo")</f>
        <v>@petrogustavo</v>
      </c>
      <c r="C565" s="5" t="s">
        <v>16</v>
      </c>
      <c r="D565" s="5" t="s">
        <v>587</v>
      </c>
      <c r="E565" s="6" t="str">
        <f>HYPERLINK("https://twitter.com/petrogustavo/status/1204546036599066624","1204546036599066624")</f>
        <v>1204546036599066624</v>
      </c>
      <c r="F565" s="7" t="s">
        <v>17</v>
      </c>
      <c r="G565" s="7">
        <v>3578102</v>
      </c>
      <c r="H565" s="7">
        <v>2334</v>
      </c>
      <c r="I565" s="7">
        <v>89</v>
      </c>
      <c r="J565" s="7">
        <v>0</v>
      </c>
      <c r="K565" s="7" t="s">
        <v>18</v>
      </c>
      <c r="L565" s="8">
        <v>39987.315405092595</v>
      </c>
      <c r="M565" s="9" t="s">
        <v>19</v>
      </c>
      <c r="N565" s="9" t="s">
        <v>20</v>
      </c>
      <c r="O565" s="6" t="str">
        <f>HYPERLINK("https://pbs.twimg.com/profile_images/962471262747529216/Uo8lOkRJ_normal.jpg","View")</f>
        <v>View</v>
      </c>
      <c r="P565" s="7"/>
    </row>
    <row r="566" spans="1:16">
      <c r="A566" s="3">
        <v>43810.216354166667</v>
      </c>
      <c r="B566" s="4" t="str">
        <f>HYPERLINK("https://twitter.com/petrogustavo","@petrogustavo")</f>
        <v>@petrogustavo</v>
      </c>
      <c r="C566" s="5" t="s">
        <v>16</v>
      </c>
      <c r="D566" s="5" t="s">
        <v>588</v>
      </c>
      <c r="E566" s="6" t="str">
        <f>HYPERLINK("https://twitter.com/petrogustavo/status/1204546727929356288","1204546727929356288")</f>
        <v>1204546727929356288</v>
      </c>
      <c r="F566" s="7" t="s">
        <v>17</v>
      </c>
      <c r="G566" s="7">
        <v>3578102</v>
      </c>
      <c r="H566" s="7">
        <v>2334</v>
      </c>
      <c r="I566" s="7">
        <v>68</v>
      </c>
      <c r="J566" s="7">
        <v>0</v>
      </c>
      <c r="K566" s="7" t="s">
        <v>18</v>
      </c>
      <c r="L566" s="8">
        <v>39987.315405092595</v>
      </c>
      <c r="M566" s="9" t="s">
        <v>19</v>
      </c>
      <c r="N566" s="9" t="s">
        <v>20</v>
      </c>
      <c r="O566" s="6" t="str">
        <f>HYPERLINK("https://pbs.twimg.com/profile_images/962471262747529216/Uo8lOkRJ_normal.jpg","View")</f>
        <v>View</v>
      </c>
      <c r="P566" s="7"/>
    </row>
    <row r="567" spans="1:16">
      <c r="A567" s="3">
        <v>43810.224340277782</v>
      </c>
      <c r="B567" s="4" t="str">
        <f>HYPERLINK("https://twitter.com/petrogustavo","@petrogustavo")</f>
        <v>@petrogustavo</v>
      </c>
      <c r="C567" s="5" t="s">
        <v>16</v>
      </c>
      <c r="D567" s="5" t="s">
        <v>589</v>
      </c>
      <c r="E567" s="6" t="str">
        <f>HYPERLINK("https://twitter.com/petrogustavo/status/1204549619285446659","1204549619285446659")</f>
        <v>1204549619285446659</v>
      </c>
      <c r="F567" s="7" t="s">
        <v>17</v>
      </c>
      <c r="G567" s="7">
        <v>3578159</v>
      </c>
      <c r="H567" s="7">
        <v>2334</v>
      </c>
      <c r="I567" s="7">
        <v>421</v>
      </c>
      <c r="J567" s="7">
        <v>0</v>
      </c>
      <c r="K567" s="7" t="s">
        <v>18</v>
      </c>
      <c r="L567" s="8">
        <v>39987.315405092595</v>
      </c>
      <c r="M567" s="9" t="s">
        <v>19</v>
      </c>
      <c r="N567" s="9" t="s">
        <v>20</v>
      </c>
      <c r="O567" s="6" t="str">
        <f>HYPERLINK("https://pbs.twimg.com/profile_images/962471262747529216/Uo8lOkRJ_normal.jpg","View")</f>
        <v>View</v>
      </c>
      <c r="P567" s="7"/>
    </row>
    <row r="568" spans="1:16">
      <c r="A568" s="3">
        <v>43810.224421296298</v>
      </c>
      <c r="B568" s="4" t="str">
        <f>HYPERLINK("https://twitter.com/petrogustavo","@petrogustavo")</f>
        <v>@petrogustavo</v>
      </c>
      <c r="C568" s="5" t="s">
        <v>16</v>
      </c>
      <c r="D568" s="5" t="s">
        <v>590</v>
      </c>
      <c r="E568" s="6" t="str">
        <f>HYPERLINK("https://twitter.com/petrogustavo/status/1204549647878017025","1204549647878017025")</f>
        <v>1204549647878017025</v>
      </c>
      <c r="F568" s="7" t="s">
        <v>17</v>
      </c>
      <c r="G568" s="7">
        <v>3578159</v>
      </c>
      <c r="H568" s="7">
        <v>2334</v>
      </c>
      <c r="I568" s="7">
        <v>282</v>
      </c>
      <c r="J568" s="7">
        <v>0</v>
      </c>
      <c r="K568" s="7" t="s">
        <v>18</v>
      </c>
      <c r="L568" s="8">
        <v>39987.315405092595</v>
      </c>
      <c r="M568" s="9" t="s">
        <v>19</v>
      </c>
      <c r="N568" s="9" t="s">
        <v>20</v>
      </c>
      <c r="O568" s="6" t="str">
        <f>HYPERLINK("https://pbs.twimg.com/profile_images/962471262747529216/Uo8lOkRJ_normal.jpg","View")</f>
        <v>View</v>
      </c>
      <c r="P568" s="7"/>
    </row>
    <row r="569" spans="1:16">
      <c r="A569" s="3">
        <v>43810.224687499998</v>
      </c>
      <c r="B569" s="4" t="str">
        <f>HYPERLINK("https://twitter.com/petrogustavo","@petrogustavo")</f>
        <v>@petrogustavo</v>
      </c>
      <c r="C569" s="5" t="s">
        <v>16</v>
      </c>
      <c r="D569" s="5" t="s">
        <v>591</v>
      </c>
      <c r="E569" s="6" t="str">
        <f>HYPERLINK("https://twitter.com/petrogustavo/status/1204549744103763970","1204549744103763970")</f>
        <v>1204549744103763970</v>
      </c>
      <c r="F569" s="7" t="s">
        <v>17</v>
      </c>
      <c r="G569" s="7">
        <v>3578159</v>
      </c>
      <c r="H569" s="7">
        <v>2334</v>
      </c>
      <c r="I569" s="7">
        <v>156</v>
      </c>
      <c r="J569" s="7">
        <v>0</v>
      </c>
      <c r="K569" s="7" t="s">
        <v>18</v>
      </c>
      <c r="L569" s="8">
        <v>39987.315405092595</v>
      </c>
      <c r="M569" s="9" t="s">
        <v>19</v>
      </c>
      <c r="N569" s="9" t="s">
        <v>20</v>
      </c>
      <c r="O569" s="6" t="str">
        <f>HYPERLINK("https://pbs.twimg.com/profile_images/962471262747529216/Uo8lOkRJ_normal.jpg","View")</f>
        <v>View</v>
      </c>
      <c r="P569" s="7"/>
    </row>
    <row r="570" spans="1:16">
      <c r="A570" s="3">
        <v>43810.225034722222</v>
      </c>
      <c r="B570" s="4" t="str">
        <f>HYPERLINK("https://twitter.com/petrogustavo","@petrogustavo")</f>
        <v>@petrogustavo</v>
      </c>
      <c r="C570" s="5" t="s">
        <v>16</v>
      </c>
      <c r="D570" s="5" t="s">
        <v>570</v>
      </c>
      <c r="E570" s="6" t="str">
        <f>HYPERLINK("https://twitter.com/petrogustavo/status/1204549871363072002","1204549871363072002")</f>
        <v>1204549871363072002</v>
      </c>
      <c r="F570" s="7" t="s">
        <v>17</v>
      </c>
      <c r="G570" s="7">
        <v>3578159</v>
      </c>
      <c r="H570" s="7">
        <v>2334</v>
      </c>
      <c r="I570" s="7">
        <v>256</v>
      </c>
      <c r="J570" s="7">
        <v>0</v>
      </c>
      <c r="K570" s="7" t="s">
        <v>18</v>
      </c>
      <c r="L570" s="8">
        <v>39987.315405092595</v>
      </c>
      <c r="M570" s="9" t="s">
        <v>19</v>
      </c>
      <c r="N570" s="9" t="s">
        <v>20</v>
      </c>
      <c r="O570" s="6" t="str">
        <f>HYPERLINK("https://pbs.twimg.com/profile_images/962471262747529216/Uo8lOkRJ_normal.jpg","View")</f>
        <v>View</v>
      </c>
      <c r="P570" s="7"/>
    </row>
    <row r="571" spans="1:16">
      <c r="A571" s="3">
        <v>43810.2262962963</v>
      </c>
      <c r="B571" s="4" t="str">
        <f>HYPERLINK("https://twitter.com/petrogustavo","@petrogustavo")</f>
        <v>@petrogustavo</v>
      </c>
      <c r="C571" s="5" t="s">
        <v>16</v>
      </c>
      <c r="D571" s="5" t="s">
        <v>543</v>
      </c>
      <c r="E571" s="6" t="str">
        <f>HYPERLINK("https://twitter.com/petrogustavo/status/1204550330161217538","1204550330161217538")</f>
        <v>1204550330161217538</v>
      </c>
      <c r="F571" s="7" t="s">
        <v>17</v>
      </c>
      <c r="G571" s="7">
        <v>3578159</v>
      </c>
      <c r="H571" s="7">
        <v>2334</v>
      </c>
      <c r="I571" s="7">
        <v>925</v>
      </c>
      <c r="J571" s="7">
        <v>0</v>
      </c>
      <c r="K571" s="7" t="s">
        <v>18</v>
      </c>
      <c r="L571" s="8">
        <v>39987.315405092595</v>
      </c>
      <c r="M571" s="9" t="s">
        <v>19</v>
      </c>
      <c r="N571" s="9" t="s">
        <v>20</v>
      </c>
      <c r="O571" s="6" t="str">
        <f>HYPERLINK("https://pbs.twimg.com/profile_images/962471262747529216/Uo8lOkRJ_normal.jpg","View")</f>
        <v>View</v>
      </c>
      <c r="P571" s="7"/>
    </row>
    <row r="572" spans="1:16">
      <c r="A572" s="3">
        <v>43810.23600694444</v>
      </c>
      <c r="B572" s="4" t="str">
        <f>HYPERLINK("https://twitter.com/petrogustavo","@petrogustavo")</f>
        <v>@petrogustavo</v>
      </c>
      <c r="C572" s="5" t="s">
        <v>16</v>
      </c>
      <c r="D572" s="5" t="s">
        <v>592</v>
      </c>
      <c r="E572" s="6" t="str">
        <f>HYPERLINK("https://twitter.com/petrogustavo/status/1204553846619623429","1204553846619623429")</f>
        <v>1204553846619623429</v>
      </c>
      <c r="F572" s="7" t="s">
        <v>17</v>
      </c>
      <c r="G572" s="7">
        <v>3578159</v>
      </c>
      <c r="H572" s="7">
        <v>2334</v>
      </c>
      <c r="I572" s="7">
        <v>867</v>
      </c>
      <c r="J572" s="7">
        <v>0</v>
      </c>
      <c r="K572" s="7" t="s">
        <v>18</v>
      </c>
      <c r="L572" s="8">
        <v>39987.315405092595</v>
      </c>
      <c r="M572" s="9" t="s">
        <v>19</v>
      </c>
      <c r="N572" s="9" t="s">
        <v>20</v>
      </c>
      <c r="O572" s="6" t="str">
        <f>HYPERLINK("https://pbs.twimg.com/profile_images/962471262747529216/Uo8lOkRJ_normal.jpg","View")</f>
        <v>View</v>
      </c>
      <c r="P572" s="7"/>
    </row>
    <row r="573" spans="1:16">
      <c r="A573" s="3">
        <v>43810.237129629633</v>
      </c>
      <c r="B573" s="4" t="str">
        <f>HYPERLINK("https://twitter.com/petrogustavo","@petrogustavo")</f>
        <v>@petrogustavo</v>
      </c>
      <c r="C573" s="5" t="s">
        <v>16</v>
      </c>
      <c r="D573" s="5" t="s">
        <v>593</v>
      </c>
      <c r="E573" s="6" t="str">
        <f>HYPERLINK("https://twitter.com/petrogustavo/status/1204554254897307649","1204554254897307649")</f>
        <v>1204554254897307649</v>
      </c>
      <c r="F573" s="7" t="s">
        <v>17</v>
      </c>
      <c r="G573" s="7">
        <v>3578159</v>
      </c>
      <c r="H573" s="7">
        <v>2334</v>
      </c>
      <c r="I573" s="7">
        <v>144</v>
      </c>
      <c r="J573" s="7">
        <v>212</v>
      </c>
      <c r="K573" s="7" t="s">
        <v>18</v>
      </c>
      <c r="L573" s="8">
        <v>39987.315405092595</v>
      </c>
      <c r="M573" s="9" t="s">
        <v>19</v>
      </c>
      <c r="N573" s="9" t="s">
        <v>20</v>
      </c>
      <c r="O573" s="6" t="str">
        <f>HYPERLINK("https://pbs.twimg.com/profile_images/962471262747529216/Uo8lOkRJ_normal.jpg","View")</f>
        <v>View</v>
      </c>
      <c r="P573" s="7"/>
    </row>
    <row r="574" spans="1:16">
      <c r="A574" s="3">
        <v>43810.237662037034</v>
      </c>
      <c r="B574" s="4" t="str">
        <f>HYPERLINK("https://twitter.com/petrogustavo","@petrogustavo")</f>
        <v>@petrogustavo</v>
      </c>
      <c r="C574" s="5" t="s">
        <v>16</v>
      </c>
      <c r="D574" s="5" t="s">
        <v>594</v>
      </c>
      <c r="E574" s="6" t="str">
        <f>HYPERLINK("https://twitter.com/petrogustavo/status/1204554445629075456","1204554445629075456")</f>
        <v>1204554445629075456</v>
      </c>
      <c r="F574" s="7" t="s">
        <v>17</v>
      </c>
      <c r="G574" s="7">
        <v>3578159</v>
      </c>
      <c r="H574" s="7">
        <v>2334</v>
      </c>
      <c r="I574" s="7">
        <v>8</v>
      </c>
      <c r="J574" s="7">
        <v>0</v>
      </c>
      <c r="K574" s="7" t="s">
        <v>18</v>
      </c>
      <c r="L574" s="8">
        <v>39987.315405092595</v>
      </c>
      <c r="M574" s="9" t="s">
        <v>19</v>
      </c>
      <c r="N574" s="9" t="s">
        <v>20</v>
      </c>
      <c r="O574" s="6" t="str">
        <f>HYPERLINK("https://pbs.twimg.com/profile_images/962471262747529216/Uo8lOkRJ_normal.jpg","View")</f>
        <v>View</v>
      </c>
      <c r="P574" s="7"/>
    </row>
    <row r="575" spans="1:16">
      <c r="A575" s="3">
        <v>43810.238518518519</v>
      </c>
      <c r="B575" s="4" t="str">
        <f>HYPERLINK("https://twitter.com/petrogustavo","@petrogustavo")</f>
        <v>@petrogustavo</v>
      </c>
      <c r="C575" s="5" t="s">
        <v>16</v>
      </c>
      <c r="D575" s="5" t="s">
        <v>595</v>
      </c>
      <c r="E575" s="6" t="str">
        <f>HYPERLINK("https://twitter.com/petrogustavo/status/1204554759119790081","1204554759119790081")</f>
        <v>1204554759119790081</v>
      </c>
      <c r="F575" s="7" t="s">
        <v>17</v>
      </c>
      <c r="G575" s="7">
        <v>3578159</v>
      </c>
      <c r="H575" s="7">
        <v>2334</v>
      </c>
      <c r="I575" s="7">
        <v>12</v>
      </c>
      <c r="J575" s="7">
        <v>0</v>
      </c>
      <c r="K575" s="7" t="s">
        <v>18</v>
      </c>
      <c r="L575" s="8">
        <v>39987.315405092595</v>
      </c>
      <c r="M575" s="9" t="s">
        <v>19</v>
      </c>
      <c r="N575" s="9" t="s">
        <v>20</v>
      </c>
      <c r="O575" s="6" t="str">
        <f>HYPERLINK("https://pbs.twimg.com/profile_images/962471262747529216/Uo8lOkRJ_normal.jpg","View")</f>
        <v>View</v>
      </c>
      <c r="P575" s="7"/>
    </row>
    <row r="576" spans="1:16">
      <c r="A576" s="3">
        <v>43810.266388888893</v>
      </c>
      <c r="B576" s="4" t="str">
        <f>HYPERLINK("https://twitter.com/petrogustavo","@petrogustavo")</f>
        <v>@petrogustavo</v>
      </c>
      <c r="C576" s="5" t="s">
        <v>16</v>
      </c>
      <c r="D576" s="5" t="s">
        <v>596</v>
      </c>
      <c r="E576" s="6" t="str">
        <f>HYPERLINK("https://twitter.com/petrogustavo/status/1204564859813351424","1204564859813351424")</f>
        <v>1204564859813351424</v>
      </c>
      <c r="F576" s="7" t="s">
        <v>17</v>
      </c>
      <c r="G576" s="7">
        <v>3578246</v>
      </c>
      <c r="H576" s="7">
        <v>2334</v>
      </c>
      <c r="I576" s="7">
        <v>180</v>
      </c>
      <c r="J576" s="7">
        <v>425</v>
      </c>
      <c r="K576" s="7" t="s">
        <v>18</v>
      </c>
      <c r="L576" s="8">
        <v>39987.315405092595</v>
      </c>
      <c r="M576" s="9" t="s">
        <v>19</v>
      </c>
      <c r="N576" s="9" t="s">
        <v>20</v>
      </c>
      <c r="O576" s="6" t="str">
        <f>HYPERLINK("https://pbs.twimg.com/profile_images/962471262747529216/Uo8lOkRJ_normal.jpg","View")</f>
        <v>View</v>
      </c>
      <c r="P576" s="7"/>
    </row>
    <row r="577" spans="1:16">
      <c r="A577" s="3">
        <v>43810.271365740744</v>
      </c>
      <c r="B577" s="4" t="str">
        <f>HYPERLINK("https://twitter.com/petrogustavo","@petrogustavo")</f>
        <v>@petrogustavo</v>
      </c>
      <c r="C577" s="5" t="s">
        <v>16</v>
      </c>
      <c r="D577" s="5" t="s">
        <v>597</v>
      </c>
      <c r="E577" s="6" t="str">
        <f>HYPERLINK("https://twitter.com/petrogustavo/status/1204566663150084098","1204566663150084098")</f>
        <v>1204566663150084098</v>
      </c>
      <c r="F577" s="7" t="s">
        <v>17</v>
      </c>
      <c r="G577" s="7">
        <v>3578246</v>
      </c>
      <c r="H577" s="7">
        <v>2334</v>
      </c>
      <c r="I577" s="7">
        <v>254</v>
      </c>
      <c r="J577" s="7">
        <v>0</v>
      </c>
      <c r="K577" s="7" t="s">
        <v>18</v>
      </c>
      <c r="L577" s="8">
        <v>39987.315405092595</v>
      </c>
      <c r="M577" s="9" t="s">
        <v>19</v>
      </c>
      <c r="N577" s="9" t="s">
        <v>20</v>
      </c>
      <c r="O577" s="6" t="str">
        <f>HYPERLINK("https://pbs.twimg.com/profile_images/962471262747529216/Uo8lOkRJ_normal.jpg","View")</f>
        <v>View</v>
      </c>
      <c r="P577" s="7"/>
    </row>
    <row r="578" spans="1:16">
      <c r="A578" s="3">
        <v>43810.277337962965</v>
      </c>
      <c r="B578" s="4" t="str">
        <f>HYPERLINK("https://twitter.com/petrogustavo","@petrogustavo")</f>
        <v>@petrogustavo</v>
      </c>
      <c r="C578" s="5" t="s">
        <v>16</v>
      </c>
      <c r="D578" s="5" t="s">
        <v>598</v>
      </c>
      <c r="E578" s="6" t="str">
        <f>HYPERLINK("https://twitter.com/petrogustavo/status/1204568825007661057","1204568825007661057")</f>
        <v>1204568825007661057</v>
      </c>
      <c r="F578" s="7" t="s">
        <v>17</v>
      </c>
      <c r="G578" s="7">
        <v>3578246</v>
      </c>
      <c r="H578" s="7">
        <v>2334</v>
      </c>
      <c r="I578" s="7">
        <v>581</v>
      </c>
      <c r="J578" s="7">
        <v>0</v>
      </c>
      <c r="K578" s="7" t="s">
        <v>18</v>
      </c>
      <c r="L578" s="8">
        <v>39987.315405092595</v>
      </c>
      <c r="M578" s="9" t="s">
        <v>19</v>
      </c>
      <c r="N578" s="9" t="s">
        <v>20</v>
      </c>
      <c r="O578" s="6" t="str">
        <f>HYPERLINK("https://pbs.twimg.com/profile_images/962471262747529216/Uo8lOkRJ_normal.jpg","View")</f>
        <v>View</v>
      </c>
      <c r="P578" s="7"/>
    </row>
    <row r="579" spans="1:16">
      <c r="A579" s="3">
        <v>43810.301516203705</v>
      </c>
      <c r="B579" s="4" t="str">
        <f>HYPERLINK("https://twitter.com/petrogustavo","@petrogustavo")</f>
        <v>@petrogustavo</v>
      </c>
      <c r="C579" s="5" t="s">
        <v>16</v>
      </c>
      <c r="D579" s="5" t="s">
        <v>599</v>
      </c>
      <c r="E579" s="6" t="str">
        <f>HYPERLINK("https://twitter.com/petrogustavo/status/1204577588343164928","1204577588343164928")</f>
        <v>1204577588343164928</v>
      </c>
      <c r="F579" s="7" t="s">
        <v>17</v>
      </c>
      <c r="G579" s="7">
        <v>3578295</v>
      </c>
      <c r="H579" s="7">
        <v>2334</v>
      </c>
      <c r="I579" s="7">
        <v>39</v>
      </c>
      <c r="J579" s="7">
        <v>122</v>
      </c>
      <c r="K579" s="7" t="s">
        <v>18</v>
      </c>
      <c r="L579" s="8">
        <v>39987.315405092595</v>
      </c>
      <c r="M579" s="9" t="s">
        <v>19</v>
      </c>
      <c r="N579" s="9" t="s">
        <v>20</v>
      </c>
      <c r="O579" s="6" t="str">
        <f>HYPERLINK("https://pbs.twimg.com/profile_images/962471262747529216/Uo8lOkRJ_normal.jpg","View")</f>
        <v>View</v>
      </c>
      <c r="P579" s="7"/>
    </row>
    <row r="580" spans="1:16">
      <c r="A580" s="3">
        <v>43810.301828703705</v>
      </c>
      <c r="B580" s="4" t="str">
        <f>HYPERLINK("https://twitter.com/petrogustavo","@petrogustavo")</f>
        <v>@petrogustavo</v>
      </c>
      <c r="C580" s="5" t="s">
        <v>16</v>
      </c>
      <c r="D580" s="5" t="s">
        <v>600</v>
      </c>
      <c r="E580" s="6" t="str">
        <f>HYPERLINK("https://twitter.com/petrogustavo/status/1204577701362913286","1204577701362913286")</f>
        <v>1204577701362913286</v>
      </c>
      <c r="F580" s="7" t="s">
        <v>17</v>
      </c>
      <c r="G580" s="7">
        <v>3578295</v>
      </c>
      <c r="H580" s="7">
        <v>2334</v>
      </c>
      <c r="I580" s="7">
        <v>232</v>
      </c>
      <c r="J580" s="7">
        <v>0</v>
      </c>
      <c r="K580" s="7" t="s">
        <v>18</v>
      </c>
      <c r="L580" s="8">
        <v>39987.315405092595</v>
      </c>
      <c r="M580" s="9" t="s">
        <v>19</v>
      </c>
      <c r="N580" s="9" t="s">
        <v>20</v>
      </c>
      <c r="O580" s="6" t="str">
        <f>HYPERLINK("https://pbs.twimg.com/profile_images/962471262747529216/Uo8lOkRJ_normal.jpg","View")</f>
        <v>View</v>
      </c>
      <c r="P580" s="7"/>
    </row>
    <row r="581" spans="1:16">
      <c r="A581" s="3">
        <v>43810.32304398148</v>
      </c>
      <c r="B581" s="4" t="str">
        <f>HYPERLINK("https://twitter.com/petrogustavo","@petrogustavo")</f>
        <v>@petrogustavo</v>
      </c>
      <c r="C581" s="5" t="s">
        <v>16</v>
      </c>
      <c r="D581" s="5" t="s">
        <v>601</v>
      </c>
      <c r="E581" s="6" t="str">
        <f>HYPERLINK("https://twitter.com/petrogustavo/status/1204585389912215552","1204585389912215552")</f>
        <v>1204585389912215552</v>
      </c>
      <c r="F581" s="7" t="s">
        <v>17</v>
      </c>
      <c r="G581" s="7">
        <v>3578319</v>
      </c>
      <c r="H581" s="7">
        <v>2334</v>
      </c>
      <c r="I581" s="7">
        <v>342</v>
      </c>
      <c r="J581" s="7">
        <v>0</v>
      </c>
      <c r="K581" s="7" t="s">
        <v>18</v>
      </c>
      <c r="L581" s="8">
        <v>39987.315405092595</v>
      </c>
      <c r="M581" s="9" t="s">
        <v>19</v>
      </c>
      <c r="N581" s="9" t="s">
        <v>20</v>
      </c>
      <c r="O581" s="6" t="str">
        <f>HYPERLINK("https://pbs.twimg.com/profile_images/962471262747529216/Uo8lOkRJ_normal.jpg","View")</f>
        <v>View</v>
      </c>
      <c r="P581" s="7"/>
    </row>
    <row r="582" spans="1:16">
      <c r="A582" s="3">
        <v>43810.324074074073</v>
      </c>
      <c r="B582" s="4" t="str">
        <f>HYPERLINK("https://twitter.com/petrogustavo","@petrogustavo")</f>
        <v>@petrogustavo</v>
      </c>
      <c r="C582" s="5" t="s">
        <v>16</v>
      </c>
      <c r="D582" s="5" t="s">
        <v>543</v>
      </c>
      <c r="E582" s="6" t="str">
        <f>HYPERLINK("https://twitter.com/petrogustavo/status/1204585760877400065","1204585760877400065")</f>
        <v>1204585760877400065</v>
      </c>
      <c r="F582" s="7" t="s">
        <v>17</v>
      </c>
      <c r="G582" s="7">
        <v>3578319</v>
      </c>
      <c r="H582" s="7">
        <v>2334</v>
      </c>
      <c r="I582" s="7">
        <v>1004</v>
      </c>
      <c r="J582" s="7">
        <v>0</v>
      </c>
      <c r="K582" s="7" t="s">
        <v>18</v>
      </c>
      <c r="L582" s="8">
        <v>39987.315405092595</v>
      </c>
      <c r="M582" s="9" t="s">
        <v>19</v>
      </c>
      <c r="N582" s="9" t="s">
        <v>20</v>
      </c>
      <c r="O582" s="6" t="str">
        <f>HYPERLINK("https://pbs.twimg.com/profile_images/962471262747529216/Uo8lOkRJ_normal.jpg","View")</f>
        <v>View</v>
      </c>
      <c r="P582" s="7"/>
    </row>
    <row r="583" spans="1:16">
      <c r="A583" s="3">
        <v>43810.342430555553</v>
      </c>
      <c r="B583" s="4" t="str">
        <f>HYPERLINK("https://twitter.com/petrogustavo","@petrogustavo")</f>
        <v>@petrogustavo</v>
      </c>
      <c r="C583" s="5" t="s">
        <v>16</v>
      </c>
      <c r="D583" s="5" t="s">
        <v>602</v>
      </c>
      <c r="E583" s="6" t="str">
        <f>HYPERLINK("https://twitter.com/petrogustavo/status/1204592415820128256","1204592415820128256")</f>
        <v>1204592415820128256</v>
      </c>
      <c r="F583" s="7" t="s">
        <v>17</v>
      </c>
      <c r="G583" s="7">
        <v>3578354</v>
      </c>
      <c r="H583" s="7">
        <v>2334</v>
      </c>
      <c r="I583" s="7">
        <v>421</v>
      </c>
      <c r="J583" s="7">
        <v>0</v>
      </c>
      <c r="K583" s="7" t="s">
        <v>18</v>
      </c>
      <c r="L583" s="8">
        <v>39987.315405092595</v>
      </c>
      <c r="M583" s="9" t="s">
        <v>19</v>
      </c>
      <c r="N583" s="9" t="s">
        <v>20</v>
      </c>
      <c r="O583" s="6" t="str">
        <f>HYPERLINK("https://pbs.twimg.com/profile_images/962471262747529216/Uo8lOkRJ_normal.jpg","View")</f>
        <v>View</v>
      </c>
      <c r="P583" s="7"/>
    </row>
    <row r="584" spans="1:16">
      <c r="A584" s="3">
        <v>43810.370995370366</v>
      </c>
      <c r="B584" s="4" t="str">
        <f>HYPERLINK("https://twitter.com/petrogustavo","@petrogustavo")</f>
        <v>@petrogustavo</v>
      </c>
      <c r="C584" s="5" t="s">
        <v>16</v>
      </c>
      <c r="D584" s="5" t="s">
        <v>603</v>
      </c>
      <c r="E584" s="6" t="str">
        <f>HYPERLINK("https://twitter.com/petrogustavo/status/1204602765345009664","1204602765345009664")</f>
        <v>1204602765345009664</v>
      </c>
      <c r="F584" s="7" t="s">
        <v>17</v>
      </c>
      <c r="G584" s="7">
        <v>3578430</v>
      </c>
      <c r="H584" s="7">
        <v>2334</v>
      </c>
      <c r="I584" s="7">
        <v>43</v>
      </c>
      <c r="J584" s="7">
        <v>0</v>
      </c>
      <c r="K584" s="7" t="s">
        <v>18</v>
      </c>
      <c r="L584" s="8">
        <v>39987.315405092595</v>
      </c>
      <c r="M584" s="9" t="s">
        <v>19</v>
      </c>
      <c r="N584" s="9" t="s">
        <v>20</v>
      </c>
      <c r="O584" s="6" t="str">
        <f>HYPERLINK("https://pbs.twimg.com/profile_images/962471262747529216/Uo8lOkRJ_normal.jpg","View")</f>
        <v>View</v>
      </c>
      <c r="P584" s="7"/>
    </row>
    <row r="585" spans="1:16">
      <c r="A585" s="3">
        <v>43810.372106481482</v>
      </c>
      <c r="B585" s="4" t="str">
        <f>HYPERLINK("https://twitter.com/petrogustavo","@petrogustavo")</f>
        <v>@petrogustavo</v>
      </c>
      <c r="C585" s="5" t="s">
        <v>16</v>
      </c>
      <c r="D585" s="5" t="s">
        <v>604</v>
      </c>
      <c r="E585" s="6" t="str">
        <f>HYPERLINK("https://twitter.com/petrogustavo/status/1204603167134097408","1204603167134097408")</f>
        <v>1204603167134097408</v>
      </c>
      <c r="F585" s="7" t="s">
        <v>17</v>
      </c>
      <c r="G585" s="7">
        <v>3578430</v>
      </c>
      <c r="H585" s="7">
        <v>2334</v>
      </c>
      <c r="I585" s="7">
        <v>233</v>
      </c>
      <c r="J585" s="7">
        <v>0</v>
      </c>
      <c r="K585" s="7" t="s">
        <v>18</v>
      </c>
      <c r="L585" s="8">
        <v>39987.315405092595</v>
      </c>
      <c r="M585" s="9" t="s">
        <v>19</v>
      </c>
      <c r="N585" s="9" t="s">
        <v>20</v>
      </c>
      <c r="O585" s="6" t="str">
        <f>HYPERLINK("https://pbs.twimg.com/profile_images/962471262747529216/Uo8lOkRJ_normal.jpg","View")</f>
        <v>View</v>
      </c>
      <c r="P585" s="7"/>
    </row>
    <row r="586" spans="1:16">
      <c r="A586" s="3">
        <v>43810.373437499999</v>
      </c>
      <c r="B586" s="4" t="str">
        <f>HYPERLINK("https://twitter.com/petrogustavo","@petrogustavo")</f>
        <v>@petrogustavo</v>
      </c>
      <c r="C586" s="5" t="s">
        <v>16</v>
      </c>
      <c r="D586" s="5" t="s">
        <v>605</v>
      </c>
      <c r="E586" s="6" t="str">
        <f>HYPERLINK("https://twitter.com/petrogustavo/status/1204603652306063362","1204603652306063362")</f>
        <v>1204603652306063362</v>
      </c>
      <c r="F586" s="7" t="s">
        <v>17</v>
      </c>
      <c r="G586" s="7">
        <v>3578430</v>
      </c>
      <c r="H586" s="7">
        <v>2334</v>
      </c>
      <c r="I586" s="7">
        <v>87</v>
      </c>
      <c r="J586" s="7">
        <v>0</v>
      </c>
      <c r="K586" s="7" t="s">
        <v>18</v>
      </c>
      <c r="L586" s="8">
        <v>39987.315405092595</v>
      </c>
      <c r="M586" s="9" t="s">
        <v>19</v>
      </c>
      <c r="N586" s="9" t="s">
        <v>20</v>
      </c>
      <c r="O586" s="6" t="str">
        <f>HYPERLINK("https://pbs.twimg.com/profile_images/962471262747529216/Uo8lOkRJ_normal.jpg","View")</f>
        <v>View</v>
      </c>
      <c r="P586" s="7"/>
    </row>
    <row r="587" spans="1:16">
      <c r="A587" s="3">
        <v>43810.394502314812</v>
      </c>
      <c r="B587" s="4" t="str">
        <f>HYPERLINK("https://twitter.com/petrogustavo","@petrogustavo")</f>
        <v>@petrogustavo</v>
      </c>
      <c r="C587" s="5" t="s">
        <v>16</v>
      </c>
      <c r="D587" s="5" t="s">
        <v>606</v>
      </c>
      <c r="E587" s="6" t="str">
        <f>HYPERLINK("https://twitter.com/petrogustavo/status/1204611285234704384","1204611285234704384")</f>
        <v>1204611285234704384</v>
      </c>
      <c r="F587" s="7" t="s">
        <v>17</v>
      </c>
      <c r="G587" s="7">
        <v>3578461</v>
      </c>
      <c r="H587" s="7">
        <v>2335</v>
      </c>
      <c r="I587" s="7">
        <v>45</v>
      </c>
      <c r="J587" s="7">
        <v>0</v>
      </c>
      <c r="K587" s="7" t="s">
        <v>18</v>
      </c>
      <c r="L587" s="8">
        <v>39987.315405092595</v>
      </c>
      <c r="M587" s="9" t="s">
        <v>19</v>
      </c>
      <c r="N587" s="9" t="s">
        <v>20</v>
      </c>
      <c r="O587" s="6" t="str">
        <f>HYPERLINK("https://pbs.twimg.com/profile_images/962471262747529216/Uo8lOkRJ_normal.jpg","View")</f>
        <v>View</v>
      </c>
      <c r="P587" s="7"/>
    </row>
    <row r="588" spans="1:16">
      <c r="A588" s="3">
        <v>43810.394537037035</v>
      </c>
      <c r="B588" s="4" t="str">
        <f>HYPERLINK("https://twitter.com/petrogustavo","@petrogustavo")</f>
        <v>@petrogustavo</v>
      </c>
      <c r="C588" s="5" t="s">
        <v>16</v>
      </c>
      <c r="D588" s="5" t="s">
        <v>607</v>
      </c>
      <c r="E588" s="6" t="str">
        <f>HYPERLINK("https://twitter.com/petrogustavo/status/1204611295787540480","1204611295787540480")</f>
        <v>1204611295787540480</v>
      </c>
      <c r="F588" s="7" t="s">
        <v>17</v>
      </c>
      <c r="G588" s="7">
        <v>3578461</v>
      </c>
      <c r="H588" s="7">
        <v>2335</v>
      </c>
      <c r="I588" s="7">
        <v>75</v>
      </c>
      <c r="J588" s="7">
        <v>0</v>
      </c>
      <c r="K588" s="7" t="s">
        <v>18</v>
      </c>
      <c r="L588" s="8">
        <v>39987.315405092595</v>
      </c>
      <c r="M588" s="9" t="s">
        <v>19</v>
      </c>
      <c r="N588" s="9" t="s">
        <v>20</v>
      </c>
      <c r="O588" s="6" t="str">
        <f>HYPERLINK("https://pbs.twimg.com/profile_images/962471262747529216/Uo8lOkRJ_normal.jpg","View")</f>
        <v>View</v>
      </c>
      <c r="P588" s="7"/>
    </row>
    <row r="589" spans="1:16">
      <c r="A589" s="3">
        <v>43810.397199074076</v>
      </c>
      <c r="B589" s="4" t="str">
        <f>HYPERLINK("https://twitter.com/petrogustavo","@petrogustavo")</f>
        <v>@petrogustavo</v>
      </c>
      <c r="C589" s="5" t="s">
        <v>16</v>
      </c>
      <c r="D589" s="5" t="s">
        <v>608</v>
      </c>
      <c r="E589" s="6" t="str">
        <f>HYPERLINK("https://twitter.com/petrogustavo/status/1204612262658490373","1204612262658490373")</f>
        <v>1204612262658490373</v>
      </c>
      <c r="F589" s="7" t="s">
        <v>17</v>
      </c>
      <c r="G589" s="7">
        <v>3578461</v>
      </c>
      <c r="H589" s="7">
        <v>2335</v>
      </c>
      <c r="I589" s="7">
        <v>65</v>
      </c>
      <c r="J589" s="7">
        <v>230</v>
      </c>
      <c r="K589" s="7" t="s">
        <v>18</v>
      </c>
      <c r="L589" s="8">
        <v>39987.315405092595</v>
      </c>
      <c r="M589" s="9" t="s">
        <v>19</v>
      </c>
      <c r="N589" s="9" t="s">
        <v>20</v>
      </c>
      <c r="O589" s="6" t="str">
        <f>HYPERLINK("https://pbs.twimg.com/profile_images/962471262747529216/Uo8lOkRJ_normal.jpg","View")</f>
        <v>View</v>
      </c>
      <c r="P589" s="7"/>
    </row>
    <row r="590" spans="1:16">
      <c r="A590" s="3">
        <v>43810.406805555554</v>
      </c>
      <c r="B590" s="4" t="str">
        <f>HYPERLINK("https://twitter.com/petrogustavo","@petrogustavo")</f>
        <v>@petrogustavo</v>
      </c>
      <c r="C590" s="5" t="s">
        <v>16</v>
      </c>
      <c r="D590" s="5" t="s">
        <v>609</v>
      </c>
      <c r="E590" s="6" t="str">
        <f>HYPERLINK("https://twitter.com/petrogustavo/status/1204615744807489541","1204615744807489541")</f>
        <v>1204615744807489541</v>
      </c>
      <c r="F590" s="7" t="s">
        <v>17</v>
      </c>
      <c r="G590" s="7">
        <v>3578461</v>
      </c>
      <c r="H590" s="7">
        <v>2335</v>
      </c>
      <c r="I590" s="7">
        <v>430</v>
      </c>
      <c r="J590" s="7">
        <v>0</v>
      </c>
      <c r="K590" s="7" t="s">
        <v>18</v>
      </c>
      <c r="L590" s="8">
        <v>39987.315405092595</v>
      </c>
      <c r="M590" s="9" t="s">
        <v>19</v>
      </c>
      <c r="N590" s="9" t="s">
        <v>20</v>
      </c>
      <c r="O590" s="6" t="str">
        <f>HYPERLINK("https://pbs.twimg.com/profile_images/962471262747529216/Uo8lOkRJ_normal.jpg","View")</f>
        <v>View</v>
      </c>
      <c r="P590" s="7"/>
    </row>
    <row r="591" spans="1:16">
      <c r="A591" s="3">
        <v>43810.406909722224</v>
      </c>
      <c r="B591" s="4" t="str">
        <f>HYPERLINK("https://twitter.com/petrogustavo","@petrogustavo")</f>
        <v>@petrogustavo</v>
      </c>
      <c r="C591" s="5" t="s">
        <v>16</v>
      </c>
      <c r="D591" s="5" t="s">
        <v>610</v>
      </c>
      <c r="E591" s="6" t="str">
        <f>HYPERLINK("https://twitter.com/petrogustavo/status/1204615782463942656","1204615782463942656")</f>
        <v>1204615782463942656</v>
      </c>
      <c r="F591" s="7" t="s">
        <v>17</v>
      </c>
      <c r="G591" s="7">
        <v>3578461</v>
      </c>
      <c r="H591" s="7">
        <v>2335</v>
      </c>
      <c r="I591" s="7">
        <v>37</v>
      </c>
      <c r="J591" s="7">
        <v>0</v>
      </c>
      <c r="K591" s="7" t="s">
        <v>18</v>
      </c>
      <c r="L591" s="8">
        <v>39987.315405092595</v>
      </c>
      <c r="M591" s="9" t="s">
        <v>19</v>
      </c>
      <c r="N591" s="9" t="s">
        <v>20</v>
      </c>
      <c r="O591" s="6" t="str">
        <f>HYPERLINK("https://pbs.twimg.com/profile_images/962471262747529216/Uo8lOkRJ_normal.jpg","View")</f>
        <v>View</v>
      </c>
      <c r="P591" s="7"/>
    </row>
    <row r="592" spans="1:16">
      <c r="A592" s="3">
        <v>43810.407824074078</v>
      </c>
      <c r="B592" s="4" t="str">
        <f>HYPERLINK("https://twitter.com/petrogustavo","@petrogustavo")</f>
        <v>@petrogustavo</v>
      </c>
      <c r="C592" s="5" t="s">
        <v>16</v>
      </c>
      <c r="D592" s="5" t="s">
        <v>611</v>
      </c>
      <c r="E592" s="6" t="str">
        <f>HYPERLINK("https://twitter.com/petrogustavo/status/1204616113763561472","1204616113763561472")</f>
        <v>1204616113763561472</v>
      </c>
      <c r="F592" s="7" t="s">
        <v>17</v>
      </c>
      <c r="G592" s="7">
        <v>3578506</v>
      </c>
      <c r="H592" s="7">
        <v>2335</v>
      </c>
      <c r="I592" s="7">
        <v>27</v>
      </c>
      <c r="J592" s="7">
        <v>0</v>
      </c>
      <c r="K592" s="7" t="s">
        <v>18</v>
      </c>
      <c r="L592" s="8">
        <v>39987.315405092595</v>
      </c>
      <c r="M592" s="9" t="s">
        <v>19</v>
      </c>
      <c r="N592" s="9" t="s">
        <v>20</v>
      </c>
      <c r="O592" s="6" t="str">
        <f>HYPERLINK("https://pbs.twimg.com/profile_images/962471262747529216/Uo8lOkRJ_normal.jpg","View")</f>
        <v>View</v>
      </c>
      <c r="P592" s="7"/>
    </row>
    <row r="593" spans="1:16">
      <c r="A593" s="3">
        <v>43810.409571759257</v>
      </c>
      <c r="B593" s="4" t="str">
        <f>HYPERLINK("https://twitter.com/petrogustavo","@petrogustavo")</f>
        <v>@petrogustavo</v>
      </c>
      <c r="C593" s="5" t="s">
        <v>16</v>
      </c>
      <c r="D593" s="5" t="s">
        <v>612</v>
      </c>
      <c r="E593" s="6" t="str">
        <f>HYPERLINK("https://twitter.com/petrogustavo/status/1204616746734424064","1204616746734424064")</f>
        <v>1204616746734424064</v>
      </c>
      <c r="F593" s="7" t="s">
        <v>17</v>
      </c>
      <c r="G593" s="7">
        <v>3578506</v>
      </c>
      <c r="H593" s="7">
        <v>2335</v>
      </c>
      <c r="I593" s="7">
        <v>80</v>
      </c>
      <c r="J593" s="7">
        <v>0</v>
      </c>
      <c r="K593" s="7" t="s">
        <v>18</v>
      </c>
      <c r="L593" s="8">
        <v>39987.315405092595</v>
      </c>
      <c r="M593" s="9" t="s">
        <v>19</v>
      </c>
      <c r="N593" s="9" t="s">
        <v>20</v>
      </c>
      <c r="O593" s="6" t="str">
        <f>HYPERLINK("https://pbs.twimg.com/profile_images/962471262747529216/Uo8lOkRJ_normal.jpg","View")</f>
        <v>View</v>
      </c>
      <c r="P593" s="7"/>
    </row>
    <row r="594" spans="1:16">
      <c r="A594" s="3">
        <v>43810.410150462965</v>
      </c>
      <c r="B594" s="4" t="str">
        <f>HYPERLINK("https://twitter.com/petrogustavo","@petrogustavo")</f>
        <v>@petrogustavo</v>
      </c>
      <c r="C594" s="5" t="s">
        <v>16</v>
      </c>
      <c r="D594" s="5" t="s">
        <v>613</v>
      </c>
      <c r="E594" s="6" t="str">
        <f>HYPERLINK("https://twitter.com/petrogustavo/status/1204616956034330624","1204616956034330624")</f>
        <v>1204616956034330624</v>
      </c>
      <c r="F594" s="7" t="s">
        <v>17</v>
      </c>
      <c r="G594" s="7">
        <v>3578506</v>
      </c>
      <c r="H594" s="7">
        <v>2335</v>
      </c>
      <c r="I594" s="7">
        <v>30</v>
      </c>
      <c r="J594" s="7">
        <v>0</v>
      </c>
      <c r="K594" s="7" t="s">
        <v>18</v>
      </c>
      <c r="L594" s="8">
        <v>39987.315405092595</v>
      </c>
      <c r="M594" s="9" t="s">
        <v>19</v>
      </c>
      <c r="N594" s="9" t="s">
        <v>20</v>
      </c>
      <c r="O594" s="6" t="str">
        <f>HYPERLINK("https://pbs.twimg.com/profile_images/962471262747529216/Uo8lOkRJ_normal.jpg","View")</f>
        <v>View</v>
      </c>
      <c r="P594" s="7"/>
    </row>
    <row r="595" spans="1:16">
      <c r="A595" s="3">
        <v>43810.41233796296</v>
      </c>
      <c r="B595" s="4" t="str">
        <f>HYPERLINK("https://twitter.com/petrogustavo","@petrogustavo")</f>
        <v>@petrogustavo</v>
      </c>
      <c r="C595" s="5" t="s">
        <v>16</v>
      </c>
      <c r="D595" s="5" t="s">
        <v>614</v>
      </c>
      <c r="E595" s="6" t="str">
        <f>HYPERLINK("https://twitter.com/petrogustavo/status/1204617746258022401","1204617746258022401")</f>
        <v>1204617746258022401</v>
      </c>
      <c r="F595" s="7" t="s">
        <v>17</v>
      </c>
      <c r="G595" s="7">
        <v>3578506</v>
      </c>
      <c r="H595" s="7">
        <v>2335</v>
      </c>
      <c r="I595" s="7">
        <v>306</v>
      </c>
      <c r="J595" s="7">
        <v>0</v>
      </c>
      <c r="K595" s="7" t="s">
        <v>18</v>
      </c>
      <c r="L595" s="8">
        <v>39987.315405092595</v>
      </c>
      <c r="M595" s="9" t="s">
        <v>19</v>
      </c>
      <c r="N595" s="9" t="s">
        <v>20</v>
      </c>
      <c r="O595" s="6" t="str">
        <f>HYPERLINK("https://pbs.twimg.com/profile_images/962471262747529216/Uo8lOkRJ_normal.jpg","View")</f>
        <v>View</v>
      </c>
      <c r="P595" s="7"/>
    </row>
    <row r="596" spans="1:16">
      <c r="A596" s="3">
        <v>43810.41405092593</v>
      </c>
      <c r="B596" s="4" t="str">
        <f>HYPERLINK("https://twitter.com/petrogustavo","@petrogustavo")</f>
        <v>@petrogustavo</v>
      </c>
      <c r="C596" s="5" t="s">
        <v>16</v>
      </c>
      <c r="D596" s="5" t="s">
        <v>615</v>
      </c>
      <c r="E596" s="6" t="str">
        <f>HYPERLINK("https://twitter.com/petrogustavo/status/1204618367518289922","1204618367518289922")</f>
        <v>1204618367518289922</v>
      </c>
      <c r="F596" s="7" t="s">
        <v>17</v>
      </c>
      <c r="G596" s="7">
        <v>3578506</v>
      </c>
      <c r="H596" s="7">
        <v>2335</v>
      </c>
      <c r="I596" s="7">
        <v>459</v>
      </c>
      <c r="J596" s="7">
        <v>744</v>
      </c>
      <c r="K596" s="7" t="s">
        <v>18</v>
      </c>
      <c r="L596" s="8">
        <v>39987.315405092595</v>
      </c>
      <c r="M596" s="9" t="s">
        <v>19</v>
      </c>
      <c r="N596" s="9" t="s">
        <v>20</v>
      </c>
      <c r="O596" s="6" t="str">
        <f>HYPERLINK("https://pbs.twimg.com/profile_images/962471262747529216/Uo8lOkRJ_normal.jpg","View")</f>
        <v>View</v>
      </c>
      <c r="P596" s="7"/>
    </row>
    <row r="597" spans="1:16">
      <c r="A597" s="3">
        <v>43810.414953703701</v>
      </c>
      <c r="B597" s="4" t="str">
        <f>HYPERLINK("https://twitter.com/petrogustavo","@petrogustavo")</f>
        <v>@petrogustavo</v>
      </c>
      <c r="C597" s="5" t="s">
        <v>16</v>
      </c>
      <c r="D597" s="5" t="s">
        <v>616</v>
      </c>
      <c r="E597" s="6" t="str">
        <f>HYPERLINK("https://twitter.com/petrogustavo/status/1204618695458410496","1204618695458410496")</f>
        <v>1204618695458410496</v>
      </c>
      <c r="F597" s="7" t="s">
        <v>17</v>
      </c>
      <c r="G597" s="7">
        <v>3578506</v>
      </c>
      <c r="H597" s="7">
        <v>2335</v>
      </c>
      <c r="I597" s="7">
        <v>76</v>
      </c>
      <c r="J597" s="7">
        <v>0</v>
      </c>
      <c r="K597" s="7" t="s">
        <v>18</v>
      </c>
      <c r="L597" s="8">
        <v>39987.315405092595</v>
      </c>
      <c r="M597" s="9" t="s">
        <v>19</v>
      </c>
      <c r="N597" s="9" t="s">
        <v>20</v>
      </c>
      <c r="O597" s="6" t="str">
        <f>HYPERLINK("https://pbs.twimg.com/profile_images/962471262747529216/Uo8lOkRJ_normal.jpg","View")</f>
        <v>View</v>
      </c>
      <c r="P597" s="7"/>
    </row>
    <row r="598" spans="1:16">
      <c r="A598" s="3">
        <v>43810.415856481486</v>
      </c>
      <c r="B598" s="4" t="str">
        <f>HYPERLINK("https://twitter.com/petrogustavo","@petrogustavo")</f>
        <v>@petrogustavo</v>
      </c>
      <c r="C598" s="5" t="s">
        <v>16</v>
      </c>
      <c r="D598" s="5" t="s">
        <v>617</v>
      </c>
      <c r="E598" s="6" t="str">
        <f>HYPERLINK("https://twitter.com/petrogustavo/status/1204619021192171521","1204619021192171521")</f>
        <v>1204619021192171521</v>
      </c>
      <c r="F598" s="7" t="s">
        <v>17</v>
      </c>
      <c r="G598" s="7">
        <v>3578506</v>
      </c>
      <c r="H598" s="7">
        <v>2335</v>
      </c>
      <c r="I598" s="7">
        <v>358</v>
      </c>
      <c r="J598" s="7">
        <v>0</v>
      </c>
      <c r="K598" s="7" t="s">
        <v>18</v>
      </c>
      <c r="L598" s="8">
        <v>39987.315405092595</v>
      </c>
      <c r="M598" s="9" t="s">
        <v>19</v>
      </c>
      <c r="N598" s="9" t="s">
        <v>20</v>
      </c>
      <c r="O598" s="6" t="str">
        <f>HYPERLINK("https://pbs.twimg.com/profile_images/962471262747529216/Uo8lOkRJ_normal.jpg","View")</f>
        <v>View</v>
      </c>
      <c r="P598" s="7"/>
    </row>
    <row r="599" spans="1:16">
      <c r="A599" s="3">
        <v>43810.424803240741</v>
      </c>
      <c r="B599" s="4" t="str">
        <f>HYPERLINK("https://twitter.com/petrogustavo","@petrogustavo")</f>
        <v>@petrogustavo</v>
      </c>
      <c r="C599" s="5" t="s">
        <v>16</v>
      </c>
      <c r="D599" s="5" t="s">
        <v>618</v>
      </c>
      <c r="E599" s="6" t="str">
        <f>HYPERLINK("https://twitter.com/petrogustavo/status/1204622263393406982","1204622263393406982")</f>
        <v>1204622263393406982</v>
      </c>
      <c r="F599" s="7" t="s">
        <v>17</v>
      </c>
      <c r="G599" s="7">
        <v>3578506</v>
      </c>
      <c r="H599" s="7">
        <v>2335</v>
      </c>
      <c r="I599" s="7">
        <v>94</v>
      </c>
      <c r="J599" s="7">
        <v>0</v>
      </c>
      <c r="K599" s="7" t="s">
        <v>18</v>
      </c>
      <c r="L599" s="8">
        <v>39987.315405092595</v>
      </c>
      <c r="M599" s="9" t="s">
        <v>19</v>
      </c>
      <c r="N599" s="9" t="s">
        <v>20</v>
      </c>
      <c r="O599" s="6" t="str">
        <f>HYPERLINK("https://pbs.twimg.com/profile_images/962471262747529216/Uo8lOkRJ_normal.jpg","View")</f>
        <v>View</v>
      </c>
      <c r="P599" s="7"/>
    </row>
    <row r="600" spans="1:16">
      <c r="A600" s="3">
        <v>43810.427141203705</v>
      </c>
      <c r="B600" s="4" t="str">
        <f>HYPERLINK("https://twitter.com/petrogustavo","@petrogustavo")</f>
        <v>@petrogustavo</v>
      </c>
      <c r="C600" s="5" t="s">
        <v>16</v>
      </c>
      <c r="D600" s="5" t="s">
        <v>619</v>
      </c>
      <c r="E600" s="6" t="str">
        <f>HYPERLINK("https://twitter.com/petrogustavo/status/1204623110693179393","1204623110693179393")</f>
        <v>1204623110693179393</v>
      </c>
      <c r="F600" s="7" t="s">
        <v>17</v>
      </c>
      <c r="G600" s="7">
        <v>3578506</v>
      </c>
      <c r="H600" s="7">
        <v>2335</v>
      </c>
      <c r="I600" s="7">
        <v>366</v>
      </c>
      <c r="J600" s="7">
        <v>0</v>
      </c>
      <c r="K600" s="7" t="s">
        <v>18</v>
      </c>
      <c r="L600" s="8">
        <v>39987.315405092595</v>
      </c>
      <c r="M600" s="9" t="s">
        <v>19</v>
      </c>
      <c r="N600" s="9" t="s">
        <v>20</v>
      </c>
      <c r="O600" s="6" t="str">
        <f>HYPERLINK("https://pbs.twimg.com/profile_images/962471262747529216/Uo8lOkRJ_normal.jpg","View")</f>
        <v>View</v>
      </c>
      <c r="P600" s="7"/>
    </row>
    <row r="601" spans="1:16">
      <c r="A601" s="3">
        <v>43810.429930555554</v>
      </c>
      <c r="B601" s="4" t="str">
        <f>HYPERLINK("https://twitter.com/petrogustavo","@petrogustavo")</f>
        <v>@petrogustavo</v>
      </c>
      <c r="C601" s="5" t="s">
        <v>16</v>
      </c>
      <c r="D601" s="5" t="s">
        <v>620</v>
      </c>
      <c r="E601" s="6" t="str">
        <f>HYPERLINK("https://twitter.com/petrogustavo/status/1204624123865042944","1204624123865042944")</f>
        <v>1204624123865042944</v>
      </c>
      <c r="F601" s="7" t="s">
        <v>17</v>
      </c>
      <c r="G601" s="7">
        <v>3578528</v>
      </c>
      <c r="H601" s="7">
        <v>2335</v>
      </c>
      <c r="I601" s="7">
        <v>1115</v>
      </c>
      <c r="J601" s="7">
        <v>0</v>
      </c>
      <c r="K601" s="7" t="s">
        <v>18</v>
      </c>
      <c r="L601" s="8">
        <v>39987.315405092595</v>
      </c>
      <c r="M601" s="9" t="s">
        <v>19</v>
      </c>
      <c r="N601" s="9" t="s">
        <v>20</v>
      </c>
      <c r="O601" s="6" t="str">
        <f>HYPERLINK("https://pbs.twimg.com/profile_images/962471262747529216/Uo8lOkRJ_normal.jpg","View")</f>
        <v>View</v>
      </c>
      <c r="P601" s="7"/>
    </row>
    <row r="602" spans="1:16">
      <c r="A602" s="3">
        <v>43810.430578703701</v>
      </c>
      <c r="B602" s="4" t="str">
        <f>HYPERLINK("https://twitter.com/petrogustavo","@petrogustavo")</f>
        <v>@petrogustavo</v>
      </c>
      <c r="C602" s="5" t="s">
        <v>16</v>
      </c>
      <c r="D602" s="5" t="s">
        <v>621</v>
      </c>
      <c r="E602" s="6" t="str">
        <f>HYPERLINK("https://twitter.com/petrogustavo/status/1204624356229472256","1204624356229472256")</f>
        <v>1204624356229472256</v>
      </c>
      <c r="F602" s="7" t="s">
        <v>17</v>
      </c>
      <c r="G602" s="7">
        <v>3578528</v>
      </c>
      <c r="H602" s="7">
        <v>2335</v>
      </c>
      <c r="I602" s="7">
        <v>136</v>
      </c>
      <c r="J602" s="7">
        <v>0</v>
      </c>
      <c r="K602" s="7" t="s">
        <v>18</v>
      </c>
      <c r="L602" s="8">
        <v>39987.315405092595</v>
      </c>
      <c r="M602" s="9" t="s">
        <v>19</v>
      </c>
      <c r="N602" s="9" t="s">
        <v>20</v>
      </c>
      <c r="O602" s="6" t="str">
        <f>HYPERLINK("https://pbs.twimg.com/profile_images/962471262747529216/Uo8lOkRJ_normal.jpg","View")</f>
        <v>View</v>
      </c>
      <c r="P602" s="7"/>
    </row>
    <row r="603" spans="1:16">
      <c r="A603" s="3">
        <v>43810.433715277773</v>
      </c>
      <c r="B603" s="4" t="str">
        <f>HYPERLINK("https://twitter.com/petrogustavo","@petrogustavo")</f>
        <v>@petrogustavo</v>
      </c>
      <c r="C603" s="5" t="s">
        <v>16</v>
      </c>
      <c r="D603" s="5" t="s">
        <v>622</v>
      </c>
      <c r="E603" s="6" t="str">
        <f>HYPERLINK("https://twitter.com/petrogustavo/status/1204625496421683200","1204625496421683200")</f>
        <v>1204625496421683200</v>
      </c>
      <c r="F603" s="7" t="s">
        <v>17</v>
      </c>
      <c r="G603" s="7">
        <v>3578528</v>
      </c>
      <c r="H603" s="7">
        <v>2335</v>
      </c>
      <c r="I603" s="7">
        <v>138</v>
      </c>
      <c r="J603" s="7">
        <v>0</v>
      </c>
      <c r="K603" s="7" t="s">
        <v>18</v>
      </c>
      <c r="L603" s="8">
        <v>39987.315405092595</v>
      </c>
      <c r="M603" s="9" t="s">
        <v>19</v>
      </c>
      <c r="N603" s="9" t="s">
        <v>20</v>
      </c>
      <c r="O603" s="6" t="str">
        <f>HYPERLINK("https://pbs.twimg.com/profile_images/962471262747529216/Uo8lOkRJ_normal.jpg","View")</f>
        <v>View</v>
      </c>
      <c r="P603" s="7"/>
    </row>
    <row r="604" spans="1:16">
      <c r="A604" s="3">
        <v>43810.457187499997</v>
      </c>
      <c r="B604" s="4" t="str">
        <f>HYPERLINK("https://twitter.com/petrogustavo","@petrogustavo")</f>
        <v>@petrogustavo</v>
      </c>
      <c r="C604" s="5" t="s">
        <v>16</v>
      </c>
      <c r="D604" s="5" t="s">
        <v>623</v>
      </c>
      <c r="E604" s="6" t="str">
        <f>HYPERLINK("https://twitter.com/petrogustavo/status/1204634001958416384","1204634001958416384")</f>
        <v>1204634001958416384</v>
      </c>
      <c r="F604" s="7" t="s">
        <v>32</v>
      </c>
      <c r="G604" s="7">
        <v>3578526</v>
      </c>
      <c r="H604" s="7">
        <v>2335</v>
      </c>
      <c r="I604" s="7">
        <v>283</v>
      </c>
      <c r="J604" s="7">
        <v>0</v>
      </c>
      <c r="K604" s="7" t="s">
        <v>18</v>
      </c>
      <c r="L604" s="8">
        <v>39987.315405092595</v>
      </c>
      <c r="M604" s="9" t="s">
        <v>19</v>
      </c>
      <c r="N604" s="9" t="s">
        <v>20</v>
      </c>
      <c r="O604" s="6" t="str">
        <f>HYPERLINK("https://pbs.twimg.com/profile_images/962471262747529216/Uo8lOkRJ_normal.jpg","View")</f>
        <v>View</v>
      </c>
      <c r="P604" s="7"/>
    </row>
    <row r="605" spans="1:16">
      <c r="A605" s="3">
        <v>43810.457476851851</v>
      </c>
      <c r="B605" s="4" t="str">
        <f>HYPERLINK("https://twitter.com/petrogustavo","@petrogustavo")</f>
        <v>@petrogustavo</v>
      </c>
      <c r="C605" s="5" t="s">
        <v>16</v>
      </c>
      <c r="D605" s="5" t="s">
        <v>624</v>
      </c>
      <c r="E605" s="6" t="str">
        <f>HYPERLINK("https://twitter.com/petrogustavo/status/1204634106463694848","1204634106463694848")</f>
        <v>1204634106463694848</v>
      </c>
      <c r="F605" s="7" t="s">
        <v>32</v>
      </c>
      <c r="G605" s="7">
        <v>3578526</v>
      </c>
      <c r="H605" s="7">
        <v>2335</v>
      </c>
      <c r="I605" s="7">
        <v>84</v>
      </c>
      <c r="J605" s="7">
        <v>0</v>
      </c>
      <c r="K605" s="7" t="s">
        <v>18</v>
      </c>
      <c r="L605" s="8">
        <v>39987.315405092595</v>
      </c>
      <c r="M605" s="9" t="s">
        <v>19</v>
      </c>
      <c r="N605" s="9" t="s">
        <v>20</v>
      </c>
      <c r="O605" s="6" t="str">
        <f>HYPERLINK("https://pbs.twimg.com/profile_images/962471262747529216/Uo8lOkRJ_normal.jpg","View")</f>
        <v>View</v>
      </c>
      <c r="P605" s="7"/>
    </row>
    <row r="606" spans="1:16">
      <c r="A606" s="3">
        <v>43810.458148148144</v>
      </c>
      <c r="B606" s="4" t="str">
        <f>HYPERLINK("https://twitter.com/petrogustavo","@petrogustavo")</f>
        <v>@petrogustavo</v>
      </c>
      <c r="C606" s="5" t="s">
        <v>16</v>
      </c>
      <c r="D606" s="5" t="s">
        <v>625</v>
      </c>
      <c r="E606" s="6" t="str">
        <f>HYPERLINK("https://twitter.com/petrogustavo/status/1204634349364232192","1204634349364232192")</f>
        <v>1204634349364232192</v>
      </c>
      <c r="F606" s="7" t="s">
        <v>32</v>
      </c>
      <c r="G606" s="7">
        <v>3578526</v>
      </c>
      <c r="H606" s="7">
        <v>2335</v>
      </c>
      <c r="I606" s="7">
        <v>109</v>
      </c>
      <c r="J606" s="7">
        <v>0</v>
      </c>
      <c r="K606" s="7" t="s">
        <v>18</v>
      </c>
      <c r="L606" s="8">
        <v>39987.315405092595</v>
      </c>
      <c r="M606" s="9" t="s">
        <v>19</v>
      </c>
      <c r="N606" s="9" t="s">
        <v>20</v>
      </c>
      <c r="O606" s="6" t="str">
        <f>HYPERLINK("https://pbs.twimg.com/profile_images/962471262747529216/Uo8lOkRJ_normal.jpg","View")</f>
        <v>View</v>
      </c>
      <c r="P606" s="7"/>
    </row>
    <row r="607" spans="1:16">
      <c r="A607" s="3">
        <v>43810.458298611113</v>
      </c>
      <c r="B607" s="4" t="str">
        <f>HYPERLINK("https://twitter.com/petrogustavo","@petrogustavo")</f>
        <v>@petrogustavo</v>
      </c>
      <c r="C607" s="5" t="s">
        <v>16</v>
      </c>
      <c r="D607" s="5" t="s">
        <v>626</v>
      </c>
      <c r="E607" s="6" t="str">
        <f>HYPERLINK("https://twitter.com/petrogustavo/status/1204634405538598913","1204634405538598913")</f>
        <v>1204634405538598913</v>
      </c>
      <c r="F607" s="7" t="s">
        <v>32</v>
      </c>
      <c r="G607" s="7">
        <v>3578526</v>
      </c>
      <c r="H607" s="7">
        <v>2335</v>
      </c>
      <c r="I607" s="7">
        <v>390</v>
      </c>
      <c r="J607" s="7">
        <v>0</v>
      </c>
      <c r="K607" s="7" t="s">
        <v>18</v>
      </c>
      <c r="L607" s="8">
        <v>39987.315405092595</v>
      </c>
      <c r="M607" s="9" t="s">
        <v>19</v>
      </c>
      <c r="N607" s="9" t="s">
        <v>20</v>
      </c>
      <c r="O607" s="6" t="str">
        <f>HYPERLINK("https://pbs.twimg.com/profile_images/962471262747529216/Uo8lOkRJ_normal.jpg","View")</f>
        <v>View</v>
      </c>
      <c r="P607" s="7"/>
    </row>
    <row r="608" spans="1:16">
      <c r="A608" s="3">
        <v>43810.468263888892</v>
      </c>
      <c r="B608" s="4" t="str">
        <f>HYPERLINK("https://twitter.com/petrogustavo","@petrogustavo")</f>
        <v>@petrogustavo</v>
      </c>
      <c r="C608" s="5" t="s">
        <v>16</v>
      </c>
      <c r="D608" s="5" t="s">
        <v>627</v>
      </c>
      <c r="E608" s="6" t="str">
        <f>HYPERLINK("https://twitter.com/petrogustavo/status/1204638013864775680","1204638013864775680")</f>
        <v>1204638013864775680</v>
      </c>
      <c r="F608" s="7" t="s">
        <v>32</v>
      </c>
      <c r="G608" s="7">
        <v>3578526</v>
      </c>
      <c r="H608" s="7">
        <v>2335</v>
      </c>
      <c r="I608" s="7">
        <v>88</v>
      </c>
      <c r="J608" s="7">
        <v>0</v>
      </c>
      <c r="K608" s="7" t="s">
        <v>18</v>
      </c>
      <c r="L608" s="8">
        <v>39987.315405092595</v>
      </c>
      <c r="M608" s="9" t="s">
        <v>19</v>
      </c>
      <c r="N608" s="9" t="s">
        <v>20</v>
      </c>
      <c r="O608" s="6" t="str">
        <f>HYPERLINK("https://pbs.twimg.com/profile_images/962471262747529216/Uo8lOkRJ_normal.jpg","View")</f>
        <v>View</v>
      </c>
      <c r="P608" s="7"/>
    </row>
    <row r="609" spans="1:16">
      <c r="A609" s="3">
        <v>43810.788287037038</v>
      </c>
      <c r="B609" s="4" t="str">
        <f>HYPERLINK("https://twitter.com/petrogustavo","@petrogustavo")</f>
        <v>@petrogustavo</v>
      </c>
      <c r="C609" s="5" t="s">
        <v>16</v>
      </c>
      <c r="D609" s="5" t="s">
        <v>628</v>
      </c>
      <c r="E609" s="6" t="str">
        <f>HYPERLINK("https://twitter.com/petrogustavo/status/1204753989360848896","1204753989360848896")</f>
        <v>1204753989360848896</v>
      </c>
      <c r="F609" s="7" t="s">
        <v>17</v>
      </c>
      <c r="G609" s="7">
        <v>3578765</v>
      </c>
      <c r="H609" s="7">
        <v>2335</v>
      </c>
      <c r="I609" s="7">
        <v>132</v>
      </c>
      <c r="J609" s="7">
        <v>376</v>
      </c>
      <c r="K609" s="7" t="s">
        <v>18</v>
      </c>
      <c r="L609" s="8">
        <v>39987.315405092595</v>
      </c>
      <c r="M609" s="9" t="s">
        <v>19</v>
      </c>
      <c r="N609" s="9" t="s">
        <v>20</v>
      </c>
      <c r="O609" s="6" t="str">
        <f>HYPERLINK("https://pbs.twimg.com/profile_images/962471262747529216/Uo8lOkRJ_normal.jpg","View")</f>
        <v>View</v>
      </c>
      <c r="P609" s="7"/>
    </row>
    <row r="610" spans="1:16">
      <c r="A610" s="3">
        <v>43810.792210648149</v>
      </c>
      <c r="B610" s="4" t="str">
        <f>HYPERLINK("https://twitter.com/petrogustavo","@petrogustavo")</f>
        <v>@petrogustavo</v>
      </c>
      <c r="C610" s="5" t="s">
        <v>16</v>
      </c>
      <c r="D610" s="5" t="s">
        <v>629</v>
      </c>
      <c r="E610" s="6" t="str">
        <f>HYPERLINK("https://twitter.com/petrogustavo/status/1204755409447325696","1204755409447325696")</f>
        <v>1204755409447325696</v>
      </c>
      <c r="F610" s="7" t="s">
        <v>17</v>
      </c>
      <c r="G610" s="7">
        <v>3578765</v>
      </c>
      <c r="H610" s="7">
        <v>2335</v>
      </c>
      <c r="I610" s="7">
        <v>831</v>
      </c>
      <c r="J610" s="7">
        <v>0</v>
      </c>
      <c r="K610" s="7" t="s">
        <v>18</v>
      </c>
      <c r="L610" s="8">
        <v>39987.315405092595</v>
      </c>
      <c r="M610" s="9" t="s">
        <v>19</v>
      </c>
      <c r="N610" s="9" t="s">
        <v>20</v>
      </c>
      <c r="O610" s="6" t="str">
        <f>HYPERLINK("https://pbs.twimg.com/profile_images/962471262747529216/Uo8lOkRJ_normal.jpg","View")</f>
        <v>View</v>
      </c>
      <c r="P610" s="7"/>
    </row>
    <row r="611" spans="1:16">
      <c r="A611" s="3">
        <v>43810.793692129635</v>
      </c>
      <c r="B611" s="4" t="str">
        <f>HYPERLINK("https://twitter.com/petrogustavo","@petrogustavo")</f>
        <v>@petrogustavo</v>
      </c>
      <c r="C611" s="5" t="s">
        <v>16</v>
      </c>
      <c r="D611" s="5" t="s">
        <v>630</v>
      </c>
      <c r="E611" s="6" t="str">
        <f>HYPERLINK("https://twitter.com/petrogustavo/status/1204755946108526592","1204755946108526592")</f>
        <v>1204755946108526592</v>
      </c>
      <c r="F611" s="7" t="s">
        <v>17</v>
      </c>
      <c r="G611" s="7">
        <v>3578765</v>
      </c>
      <c r="H611" s="7">
        <v>2335</v>
      </c>
      <c r="I611" s="7">
        <v>42</v>
      </c>
      <c r="J611" s="7">
        <v>127</v>
      </c>
      <c r="K611" s="7" t="s">
        <v>18</v>
      </c>
      <c r="L611" s="8">
        <v>39987.315405092595</v>
      </c>
      <c r="M611" s="9" t="s">
        <v>19</v>
      </c>
      <c r="N611" s="9" t="s">
        <v>20</v>
      </c>
      <c r="O611" s="6" t="str">
        <f>HYPERLINK("https://pbs.twimg.com/profile_images/962471262747529216/Uo8lOkRJ_normal.jpg","View")</f>
        <v>View</v>
      </c>
      <c r="P611" s="7"/>
    </row>
    <row r="612" spans="1:16">
      <c r="A612" s="3">
        <v>43810.794016203705</v>
      </c>
      <c r="B612" s="4" t="str">
        <f>HYPERLINK("https://twitter.com/petrogustavo","@petrogustavo")</f>
        <v>@petrogustavo</v>
      </c>
      <c r="C612" s="5" t="s">
        <v>16</v>
      </c>
      <c r="D612" s="5" t="s">
        <v>631</v>
      </c>
      <c r="E612" s="6" t="str">
        <f>HYPERLINK("https://twitter.com/petrogustavo/status/1204756064408866817","1204756064408866817")</f>
        <v>1204756064408866817</v>
      </c>
      <c r="F612" s="7" t="s">
        <v>17</v>
      </c>
      <c r="G612" s="7">
        <v>3578765</v>
      </c>
      <c r="H612" s="7">
        <v>2335</v>
      </c>
      <c r="I612" s="7">
        <v>1854</v>
      </c>
      <c r="J612" s="7">
        <v>0</v>
      </c>
      <c r="K612" s="7" t="s">
        <v>18</v>
      </c>
      <c r="L612" s="8">
        <v>39987.315405092595</v>
      </c>
      <c r="M612" s="9" t="s">
        <v>19</v>
      </c>
      <c r="N612" s="9" t="s">
        <v>20</v>
      </c>
      <c r="O612" s="6" t="str">
        <f>HYPERLINK("https://pbs.twimg.com/profile_images/962471262747529216/Uo8lOkRJ_normal.jpg","View")</f>
        <v>View</v>
      </c>
      <c r="P612" s="7"/>
    </row>
    <row r="613" spans="1:16">
      <c r="A613" s="3">
        <v>43810.796898148154</v>
      </c>
      <c r="B613" s="4" t="str">
        <f>HYPERLINK("https://twitter.com/petrogustavo","@petrogustavo")</f>
        <v>@petrogustavo</v>
      </c>
      <c r="C613" s="5" t="s">
        <v>16</v>
      </c>
      <c r="D613" s="5" t="s">
        <v>632</v>
      </c>
      <c r="E613" s="6" t="str">
        <f>HYPERLINK("https://twitter.com/petrogustavo/status/1204757108933177345","1204757108933177345")</f>
        <v>1204757108933177345</v>
      </c>
      <c r="F613" s="7" t="s">
        <v>17</v>
      </c>
      <c r="G613" s="7">
        <v>3578765</v>
      </c>
      <c r="H613" s="7">
        <v>2335</v>
      </c>
      <c r="I613" s="7">
        <v>49</v>
      </c>
      <c r="J613" s="7">
        <v>0</v>
      </c>
      <c r="K613" s="7" t="s">
        <v>18</v>
      </c>
      <c r="L613" s="8">
        <v>39987.315405092595</v>
      </c>
      <c r="M613" s="9" t="s">
        <v>19</v>
      </c>
      <c r="N613" s="9" t="s">
        <v>20</v>
      </c>
      <c r="O613" s="6" t="str">
        <f>HYPERLINK("https://pbs.twimg.com/profile_images/962471262747529216/Uo8lOkRJ_normal.jpg","View")</f>
        <v>View</v>
      </c>
      <c r="P613" s="7"/>
    </row>
    <row r="614" spans="1:16">
      <c r="A614" s="3">
        <v>43810.805752314816</v>
      </c>
      <c r="B614" s="4" t="str">
        <f>HYPERLINK("https://twitter.com/petrogustavo","@petrogustavo")</f>
        <v>@petrogustavo</v>
      </c>
      <c r="C614" s="5" t="s">
        <v>16</v>
      </c>
      <c r="D614" s="5" t="s">
        <v>633</v>
      </c>
      <c r="E614" s="6" t="str">
        <f>HYPERLINK("https://twitter.com/petrogustavo/status/1204760318230040577","1204760318230040577")</f>
        <v>1204760318230040577</v>
      </c>
      <c r="F614" s="7" t="s">
        <v>17</v>
      </c>
      <c r="G614" s="7">
        <v>3578795</v>
      </c>
      <c r="H614" s="7">
        <v>2335</v>
      </c>
      <c r="I614" s="7">
        <v>327</v>
      </c>
      <c r="J614" s="7">
        <v>0</v>
      </c>
      <c r="K614" s="7" t="s">
        <v>18</v>
      </c>
      <c r="L614" s="8">
        <v>39987.315405092595</v>
      </c>
      <c r="M614" s="9" t="s">
        <v>19</v>
      </c>
      <c r="N614" s="9" t="s">
        <v>20</v>
      </c>
      <c r="O614" s="6" t="str">
        <f>HYPERLINK("https://pbs.twimg.com/profile_images/962471262747529216/Uo8lOkRJ_normal.jpg","View")</f>
        <v>View</v>
      </c>
      <c r="P614" s="7"/>
    </row>
    <row r="615" spans="1:16">
      <c r="A615" s="3">
        <v>43810.812974537039</v>
      </c>
      <c r="B615" s="4" t="str">
        <f>HYPERLINK("https://twitter.com/petrogustavo","@petrogustavo")</f>
        <v>@petrogustavo</v>
      </c>
      <c r="C615" s="5" t="s">
        <v>16</v>
      </c>
      <c r="D615" s="5" t="s">
        <v>634</v>
      </c>
      <c r="E615" s="6" t="str">
        <f>HYPERLINK("https://twitter.com/petrogustavo/status/1204762934053871617","1204762934053871617")</f>
        <v>1204762934053871617</v>
      </c>
      <c r="F615" s="7" t="s">
        <v>17</v>
      </c>
      <c r="G615" s="7">
        <v>3578795</v>
      </c>
      <c r="H615" s="7">
        <v>2335</v>
      </c>
      <c r="I615" s="7">
        <v>435</v>
      </c>
      <c r="J615" s="7">
        <v>1028</v>
      </c>
      <c r="K615" s="7" t="s">
        <v>18</v>
      </c>
      <c r="L615" s="8">
        <v>39987.315405092595</v>
      </c>
      <c r="M615" s="9" t="s">
        <v>19</v>
      </c>
      <c r="N615" s="9" t="s">
        <v>20</v>
      </c>
      <c r="O615" s="6" t="str">
        <f>HYPERLINK("https://pbs.twimg.com/profile_images/962471262747529216/Uo8lOkRJ_normal.jpg","View")</f>
        <v>View</v>
      </c>
      <c r="P615" s="7"/>
    </row>
    <row r="616" spans="1:16">
      <c r="A616" s="3">
        <v>43810.819560185184</v>
      </c>
      <c r="B616" s="4" t="str">
        <f>HYPERLINK("https://twitter.com/petrogustavo","@petrogustavo")</f>
        <v>@petrogustavo</v>
      </c>
      <c r="C616" s="5" t="s">
        <v>16</v>
      </c>
      <c r="D616" s="5" t="s">
        <v>635</v>
      </c>
      <c r="E616" s="6" t="str">
        <f>HYPERLINK("https://twitter.com/petrogustavo/status/1204765320445136897","1204765320445136897")</f>
        <v>1204765320445136897</v>
      </c>
      <c r="F616" s="7" t="s">
        <v>17</v>
      </c>
      <c r="G616" s="7">
        <v>3578795</v>
      </c>
      <c r="H616" s="7">
        <v>2335</v>
      </c>
      <c r="I616" s="7">
        <v>132</v>
      </c>
      <c r="J616" s="7">
        <v>302</v>
      </c>
      <c r="K616" s="7" t="s">
        <v>18</v>
      </c>
      <c r="L616" s="8">
        <v>39987.315405092595</v>
      </c>
      <c r="M616" s="9" t="s">
        <v>19</v>
      </c>
      <c r="N616" s="9" t="s">
        <v>20</v>
      </c>
      <c r="O616" s="6" t="str">
        <f>HYPERLINK("https://pbs.twimg.com/profile_images/962471262747529216/Uo8lOkRJ_normal.jpg","View")</f>
        <v>View</v>
      </c>
      <c r="P616" s="7"/>
    </row>
    <row r="617" spans="1:16">
      <c r="A617" s="3">
        <v>43810.825046296297</v>
      </c>
      <c r="B617" s="4" t="str">
        <f>HYPERLINK("https://twitter.com/petrogustavo","@petrogustavo")</f>
        <v>@petrogustavo</v>
      </c>
      <c r="C617" s="5" t="s">
        <v>16</v>
      </c>
      <c r="D617" s="5" t="s">
        <v>636</v>
      </c>
      <c r="E617" s="6" t="str">
        <f>HYPERLINK("https://twitter.com/petrogustavo/status/1204767307769294849","1204767307769294849")</f>
        <v>1204767307769294849</v>
      </c>
      <c r="F617" s="7" t="s">
        <v>17</v>
      </c>
      <c r="G617" s="7">
        <v>3578834</v>
      </c>
      <c r="H617" s="7">
        <v>2335</v>
      </c>
      <c r="I617" s="7">
        <v>837</v>
      </c>
      <c r="J617" s="7">
        <v>0</v>
      </c>
      <c r="K617" s="7" t="s">
        <v>18</v>
      </c>
      <c r="L617" s="8">
        <v>39987.315405092595</v>
      </c>
      <c r="M617" s="9" t="s">
        <v>19</v>
      </c>
      <c r="N617" s="9" t="s">
        <v>20</v>
      </c>
      <c r="O617" s="6" t="str">
        <f>HYPERLINK("https://pbs.twimg.com/profile_images/962471262747529216/Uo8lOkRJ_normal.jpg","View")</f>
        <v>View</v>
      </c>
      <c r="P617" s="7"/>
    </row>
    <row r="618" spans="1:16">
      <c r="A618" s="3">
        <v>43810.832129629634</v>
      </c>
      <c r="B618" s="4" t="str">
        <f>HYPERLINK("https://twitter.com/petrogustavo","@petrogustavo")</f>
        <v>@petrogustavo</v>
      </c>
      <c r="C618" s="5" t="s">
        <v>16</v>
      </c>
      <c r="D618" s="5" t="s">
        <v>637</v>
      </c>
      <c r="E618" s="6" t="str">
        <f>HYPERLINK("https://twitter.com/petrogustavo/status/1204769873760526338","1204769873760526338")</f>
        <v>1204769873760526338</v>
      </c>
      <c r="F618" s="7" t="s">
        <v>17</v>
      </c>
      <c r="G618" s="7">
        <v>3578834</v>
      </c>
      <c r="H618" s="7">
        <v>2335</v>
      </c>
      <c r="I618" s="7">
        <v>505</v>
      </c>
      <c r="J618" s="7">
        <v>0</v>
      </c>
      <c r="K618" s="7" t="s">
        <v>18</v>
      </c>
      <c r="L618" s="8">
        <v>39987.315405092595</v>
      </c>
      <c r="M618" s="9" t="s">
        <v>19</v>
      </c>
      <c r="N618" s="9" t="s">
        <v>20</v>
      </c>
      <c r="O618" s="6" t="str">
        <f>HYPERLINK("https://pbs.twimg.com/profile_images/962471262747529216/Uo8lOkRJ_normal.jpg","View")</f>
        <v>View</v>
      </c>
      <c r="P618" s="7"/>
    </row>
    <row r="619" spans="1:16">
      <c r="A619" s="3">
        <v>43810.83393518519</v>
      </c>
      <c r="B619" s="4" t="str">
        <f>HYPERLINK("https://twitter.com/petrogustavo","@petrogustavo")</f>
        <v>@petrogustavo</v>
      </c>
      <c r="C619" s="5" t="s">
        <v>16</v>
      </c>
      <c r="D619" s="5" t="s">
        <v>638</v>
      </c>
      <c r="E619" s="6" t="str">
        <f>HYPERLINK("https://twitter.com/petrogustavo/status/1204770529066045440","1204770529066045440")</f>
        <v>1204770529066045440</v>
      </c>
      <c r="F619" s="7" t="s">
        <v>17</v>
      </c>
      <c r="G619" s="7">
        <v>3578834</v>
      </c>
      <c r="H619" s="7">
        <v>2335</v>
      </c>
      <c r="I619" s="7">
        <v>137</v>
      </c>
      <c r="J619" s="7">
        <v>332</v>
      </c>
      <c r="K619" s="7" t="s">
        <v>18</v>
      </c>
      <c r="L619" s="8">
        <v>39987.315405092595</v>
      </c>
      <c r="M619" s="9" t="s">
        <v>19</v>
      </c>
      <c r="N619" s="9" t="s">
        <v>20</v>
      </c>
      <c r="O619" s="6" t="str">
        <f>HYPERLINK("https://pbs.twimg.com/profile_images/962471262747529216/Uo8lOkRJ_normal.jpg","View")</f>
        <v>View</v>
      </c>
      <c r="P619" s="7"/>
    </row>
    <row r="620" spans="1:16">
      <c r="A620" s="3">
        <v>43810.840636574074</v>
      </c>
      <c r="B620" s="4" t="str">
        <f>HYPERLINK("https://twitter.com/petrogustavo","@petrogustavo")</f>
        <v>@petrogustavo</v>
      </c>
      <c r="C620" s="5" t="s">
        <v>16</v>
      </c>
      <c r="D620" s="5" t="s">
        <v>639</v>
      </c>
      <c r="E620" s="6" t="str">
        <f>HYPERLINK("https://twitter.com/petrogustavo/status/1204772959849717766","1204772959849717766")</f>
        <v>1204772959849717766</v>
      </c>
      <c r="F620" s="7" t="s">
        <v>17</v>
      </c>
      <c r="G620" s="7">
        <v>3578834</v>
      </c>
      <c r="H620" s="7">
        <v>2335</v>
      </c>
      <c r="I620" s="7">
        <v>30</v>
      </c>
      <c r="J620" s="7">
        <v>101</v>
      </c>
      <c r="K620" s="7" t="s">
        <v>18</v>
      </c>
      <c r="L620" s="8">
        <v>39987.315405092595</v>
      </c>
      <c r="M620" s="9" t="s">
        <v>19</v>
      </c>
      <c r="N620" s="9" t="s">
        <v>20</v>
      </c>
      <c r="O620" s="6" t="str">
        <f>HYPERLINK("https://pbs.twimg.com/profile_images/962471262747529216/Uo8lOkRJ_normal.jpg","View")</f>
        <v>View</v>
      </c>
      <c r="P620" s="7"/>
    </row>
    <row r="621" spans="1:16">
      <c r="A621" s="3">
        <v>43810.846319444448</v>
      </c>
      <c r="B621" s="4" t="str">
        <f>HYPERLINK("https://twitter.com/petrogustavo","@petrogustavo")</f>
        <v>@petrogustavo</v>
      </c>
      <c r="C621" s="5" t="s">
        <v>16</v>
      </c>
      <c r="D621" s="5" t="s">
        <v>640</v>
      </c>
      <c r="E621" s="6" t="str">
        <f>HYPERLINK("https://twitter.com/petrogustavo/status/1204775017432670208","1204775017432670208")</f>
        <v>1204775017432670208</v>
      </c>
      <c r="F621" s="7" t="s">
        <v>17</v>
      </c>
      <c r="G621" s="7">
        <v>3578846</v>
      </c>
      <c r="H621" s="7">
        <v>2335</v>
      </c>
      <c r="I621" s="7">
        <v>395</v>
      </c>
      <c r="J621" s="7">
        <v>1159</v>
      </c>
      <c r="K621" s="7" t="s">
        <v>18</v>
      </c>
      <c r="L621" s="8">
        <v>39987.315405092595</v>
      </c>
      <c r="M621" s="9" t="s">
        <v>19</v>
      </c>
      <c r="N621" s="9" t="s">
        <v>20</v>
      </c>
      <c r="O621" s="6" t="str">
        <f>HYPERLINK("https://pbs.twimg.com/profile_images/962471262747529216/Uo8lOkRJ_normal.jpg","View")</f>
        <v>View</v>
      </c>
      <c r="P621" s="7"/>
    </row>
    <row r="622" spans="1:16">
      <c r="A622" s="3">
        <v>43810.850312499999</v>
      </c>
      <c r="B622" s="4" t="str">
        <f>HYPERLINK("https://twitter.com/petrogustavo","@petrogustavo")</f>
        <v>@petrogustavo</v>
      </c>
      <c r="C622" s="5" t="s">
        <v>16</v>
      </c>
      <c r="D622" s="5" t="s">
        <v>641</v>
      </c>
      <c r="E622" s="6" t="str">
        <f>HYPERLINK("https://twitter.com/petrogustavo/status/1204776465776164864","1204776465776164864")</f>
        <v>1204776465776164864</v>
      </c>
      <c r="F622" s="7" t="s">
        <v>17</v>
      </c>
      <c r="G622" s="7">
        <v>3578846</v>
      </c>
      <c r="H622" s="7">
        <v>2335</v>
      </c>
      <c r="I622" s="7">
        <v>318</v>
      </c>
      <c r="J622" s="7">
        <v>0</v>
      </c>
      <c r="K622" s="7" t="s">
        <v>18</v>
      </c>
      <c r="L622" s="8">
        <v>39987.315405092595</v>
      </c>
      <c r="M622" s="9" t="s">
        <v>19</v>
      </c>
      <c r="N622" s="9" t="s">
        <v>20</v>
      </c>
      <c r="O622" s="6" t="str">
        <f>HYPERLINK("https://pbs.twimg.com/profile_images/962471262747529216/Uo8lOkRJ_normal.jpg","View")</f>
        <v>View</v>
      </c>
      <c r="P622" s="7"/>
    </row>
    <row r="623" spans="1:16">
      <c r="A623" s="3">
        <v>43810.852071759262</v>
      </c>
      <c r="B623" s="4" t="str">
        <f>HYPERLINK("https://twitter.com/petrogustavo","@petrogustavo")</f>
        <v>@petrogustavo</v>
      </c>
      <c r="C623" s="5" t="s">
        <v>16</v>
      </c>
      <c r="D623" s="5" t="s">
        <v>642</v>
      </c>
      <c r="E623" s="6" t="str">
        <f>HYPERLINK("https://twitter.com/petrogustavo/status/1204777102823903232","1204777102823903232")</f>
        <v>1204777102823903232</v>
      </c>
      <c r="F623" s="7" t="s">
        <v>17</v>
      </c>
      <c r="G623" s="7">
        <v>3578846</v>
      </c>
      <c r="H623" s="7">
        <v>2335</v>
      </c>
      <c r="I623" s="7">
        <v>53</v>
      </c>
      <c r="J623" s="7">
        <v>130</v>
      </c>
      <c r="K623" s="7" t="s">
        <v>18</v>
      </c>
      <c r="L623" s="8">
        <v>39987.315405092595</v>
      </c>
      <c r="M623" s="9" t="s">
        <v>19</v>
      </c>
      <c r="N623" s="9" t="s">
        <v>20</v>
      </c>
      <c r="O623" s="6" t="str">
        <f>HYPERLINK("https://pbs.twimg.com/profile_images/962471262747529216/Uo8lOkRJ_normal.jpg","View")</f>
        <v>View</v>
      </c>
      <c r="P623" s="7"/>
    </row>
    <row r="624" spans="1:16">
      <c r="A624" s="3">
        <v>43810.852627314816</v>
      </c>
      <c r="B624" s="4" t="str">
        <f>HYPERLINK("https://twitter.com/petrogustavo","@petrogustavo")</f>
        <v>@petrogustavo</v>
      </c>
      <c r="C624" s="5" t="s">
        <v>16</v>
      </c>
      <c r="D624" s="5" t="s">
        <v>643</v>
      </c>
      <c r="E624" s="6" t="str">
        <f>HYPERLINK("https://twitter.com/petrogustavo/status/1204777302976081926","1204777302976081926")</f>
        <v>1204777302976081926</v>
      </c>
      <c r="F624" s="7" t="s">
        <v>17</v>
      </c>
      <c r="G624" s="7">
        <v>3578846</v>
      </c>
      <c r="H624" s="7">
        <v>2335</v>
      </c>
      <c r="I624" s="7">
        <v>185</v>
      </c>
      <c r="J624" s="7">
        <v>0</v>
      </c>
      <c r="K624" s="7" t="s">
        <v>18</v>
      </c>
      <c r="L624" s="8">
        <v>39987.315405092595</v>
      </c>
      <c r="M624" s="9" t="s">
        <v>19</v>
      </c>
      <c r="N624" s="9" t="s">
        <v>20</v>
      </c>
      <c r="O624" s="6" t="str">
        <f>HYPERLINK("https://pbs.twimg.com/profile_images/962471262747529216/Uo8lOkRJ_normal.jpg","View")</f>
        <v>View</v>
      </c>
      <c r="P624" s="7"/>
    </row>
    <row r="625" spans="1:16">
      <c r="A625" s="3">
        <v>43810.855937500004</v>
      </c>
      <c r="B625" s="4" t="str">
        <f>HYPERLINK("https://twitter.com/petrogustavo","@petrogustavo")</f>
        <v>@petrogustavo</v>
      </c>
      <c r="C625" s="5" t="s">
        <v>16</v>
      </c>
      <c r="D625" s="5" t="s">
        <v>644</v>
      </c>
      <c r="E625" s="6" t="str">
        <f>HYPERLINK("https://twitter.com/petrogustavo/status/1204778503314522112","1204778503314522112")</f>
        <v>1204778503314522112</v>
      </c>
      <c r="F625" s="7" t="s">
        <v>17</v>
      </c>
      <c r="G625" s="7">
        <v>3578846</v>
      </c>
      <c r="H625" s="7">
        <v>2335</v>
      </c>
      <c r="I625" s="7">
        <v>104</v>
      </c>
      <c r="J625" s="7">
        <v>0</v>
      </c>
      <c r="K625" s="7" t="s">
        <v>18</v>
      </c>
      <c r="L625" s="8">
        <v>39987.315405092595</v>
      </c>
      <c r="M625" s="9" t="s">
        <v>19</v>
      </c>
      <c r="N625" s="9" t="s">
        <v>20</v>
      </c>
      <c r="O625" s="6" t="str">
        <f>HYPERLINK("https://pbs.twimg.com/profile_images/962471262747529216/Uo8lOkRJ_normal.jpg","View")</f>
        <v>View</v>
      </c>
      <c r="P625" s="7"/>
    </row>
    <row r="626" spans="1:16">
      <c r="A626" s="3">
        <v>43810.902858796297</v>
      </c>
      <c r="B626" s="4" t="str">
        <f>HYPERLINK("https://twitter.com/petrogustavo","@petrogustavo")</f>
        <v>@petrogustavo</v>
      </c>
      <c r="C626" s="5" t="s">
        <v>16</v>
      </c>
      <c r="D626" s="5" t="s">
        <v>645</v>
      </c>
      <c r="E626" s="6" t="str">
        <f>HYPERLINK("https://twitter.com/petrogustavo/status/1204795508709085184","1204795508709085184")</f>
        <v>1204795508709085184</v>
      </c>
      <c r="F626" s="7" t="s">
        <v>32</v>
      </c>
      <c r="G626" s="7">
        <v>3578907</v>
      </c>
      <c r="H626" s="7">
        <v>2335</v>
      </c>
      <c r="I626" s="7">
        <v>2481</v>
      </c>
      <c r="J626" s="7">
        <v>0</v>
      </c>
      <c r="K626" s="7" t="s">
        <v>18</v>
      </c>
      <c r="L626" s="8">
        <v>39987.315405092595</v>
      </c>
      <c r="M626" s="9" t="s">
        <v>19</v>
      </c>
      <c r="N626" s="9" t="s">
        <v>20</v>
      </c>
      <c r="O626" s="6" t="str">
        <f>HYPERLINK("https://pbs.twimg.com/profile_images/962471262747529216/Uo8lOkRJ_normal.jpg","View")</f>
        <v>View</v>
      </c>
      <c r="P626" s="7"/>
    </row>
    <row r="627" spans="1:16">
      <c r="A627" s="3">
        <v>43810.923402777778</v>
      </c>
      <c r="B627" s="4" t="str">
        <f>HYPERLINK("https://twitter.com/petrogustavo","@petrogustavo")</f>
        <v>@petrogustavo</v>
      </c>
      <c r="C627" s="5" t="s">
        <v>16</v>
      </c>
      <c r="D627" s="5" t="s">
        <v>646</v>
      </c>
      <c r="E627" s="6" t="str">
        <f>HYPERLINK("https://twitter.com/petrogustavo/status/1204802952369758208","1204802952369758208")</f>
        <v>1204802952369758208</v>
      </c>
      <c r="F627" s="7" t="s">
        <v>21</v>
      </c>
      <c r="G627" s="7">
        <v>3578902</v>
      </c>
      <c r="H627" s="7">
        <v>2334</v>
      </c>
      <c r="I627" s="7">
        <v>65</v>
      </c>
      <c r="J627" s="7">
        <v>150</v>
      </c>
      <c r="K627" s="7" t="s">
        <v>18</v>
      </c>
      <c r="L627" s="8">
        <v>39987.315405092595</v>
      </c>
      <c r="M627" s="9" t="s">
        <v>19</v>
      </c>
      <c r="N627" s="9" t="s">
        <v>20</v>
      </c>
      <c r="O627" s="6" t="str">
        <f>HYPERLINK("https://pbs.twimg.com/profile_images/962471262747529216/Uo8lOkRJ_normal.jpg","View")</f>
        <v>View</v>
      </c>
      <c r="P627" s="7"/>
    </row>
    <row r="628" spans="1:16">
      <c r="A628" s="3">
        <v>43810.924490740741</v>
      </c>
      <c r="B628" s="4" t="str">
        <f>HYPERLINK("https://twitter.com/petrogustavo","@petrogustavo")</f>
        <v>@petrogustavo</v>
      </c>
      <c r="C628" s="5" t="s">
        <v>16</v>
      </c>
      <c r="D628" s="5" t="s">
        <v>647</v>
      </c>
      <c r="E628" s="6" t="str">
        <f>HYPERLINK("https://twitter.com/petrogustavo/status/1204803346760110080","1204803346760110080")</f>
        <v>1204803346760110080</v>
      </c>
      <c r="F628" s="7" t="s">
        <v>21</v>
      </c>
      <c r="G628" s="7">
        <v>3578902</v>
      </c>
      <c r="H628" s="7">
        <v>2334</v>
      </c>
      <c r="I628" s="7">
        <v>67</v>
      </c>
      <c r="J628" s="7">
        <v>156</v>
      </c>
      <c r="K628" s="7" t="s">
        <v>18</v>
      </c>
      <c r="L628" s="8">
        <v>39987.315405092595</v>
      </c>
      <c r="M628" s="9" t="s">
        <v>19</v>
      </c>
      <c r="N628" s="9" t="s">
        <v>20</v>
      </c>
      <c r="O628" s="6" t="str">
        <f>HYPERLINK("https://pbs.twimg.com/profile_images/962471262747529216/Uo8lOkRJ_normal.jpg","View")</f>
        <v>View</v>
      </c>
      <c r="P628" s="7"/>
    </row>
    <row r="629" spans="1:16">
      <c r="A629" s="3">
        <v>43810.924756944441</v>
      </c>
      <c r="B629" s="4" t="str">
        <f>HYPERLINK("https://twitter.com/petrogustavo","@petrogustavo")</f>
        <v>@petrogustavo</v>
      </c>
      <c r="C629" s="5" t="s">
        <v>16</v>
      </c>
      <c r="D629" s="5" t="s">
        <v>648</v>
      </c>
      <c r="E629" s="6" t="str">
        <f>HYPERLINK("https://twitter.com/petrogustavo/status/1204803441144586241","1204803441144586241")</f>
        <v>1204803441144586241</v>
      </c>
      <c r="F629" s="7" t="s">
        <v>32</v>
      </c>
      <c r="G629" s="7">
        <v>3578902</v>
      </c>
      <c r="H629" s="7">
        <v>2334</v>
      </c>
      <c r="I629" s="7">
        <v>65</v>
      </c>
      <c r="J629" s="7">
        <v>0</v>
      </c>
      <c r="K629" s="7" t="s">
        <v>18</v>
      </c>
      <c r="L629" s="8">
        <v>39987.315405092595</v>
      </c>
      <c r="M629" s="9" t="s">
        <v>19</v>
      </c>
      <c r="N629" s="9" t="s">
        <v>20</v>
      </c>
      <c r="O629" s="6" t="str">
        <f>HYPERLINK("https://pbs.twimg.com/profile_images/962471262747529216/Uo8lOkRJ_normal.jpg","View")</f>
        <v>View</v>
      </c>
      <c r="P629" s="7"/>
    </row>
    <row r="630" spans="1:16">
      <c r="A630" s="3">
        <v>43810.986597222218</v>
      </c>
      <c r="B630" s="4" t="str">
        <f>HYPERLINK("https://twitter.com/petrogustavo","@petrogustavo")</f>
        <v>@petrogustavo</v>
      </c>
      <c r="C630" s="5" t="s">
        <v>16</v>
      </c>
      <c r="D630" s="5" t="s">
        <v>649</v>
      </c>
      <c r="E630" s="6" t="str">
        <f>HYPERLINK("https://twitter.com/petrogustavo/status/1204825852028030978","1204825852028030978")</f>
        <v>1204825852028030978</v>
      </c>
      <c r="F630" s="7" t="s">
        <v>17</v>
      </c>
      <c r="G630" s="7">
        <v>3579008</v>
      </c>
      <c r="H630" s="7">
        <v>2334</v>
      </c>
      <c r="I630" s="7">
        <v>121</v>
      </c>
      <c r="J630" s="7">
        <v>190</v>
      </c>
      <c r="K630" s="7" t="s">
        <v>18</v>
      </c>
      <c r="L630" s="8">
        <v>39987.315405092595</v>
      </c>
      <c r="M630" s="9" t="s">
        <v>19</v>
      </c>
      <c r="N630" s="9" t="s">
        <v>20</v>
      </c>
      <c r="O630" s="6" t="str">
        <f>HYPERLINK("https://pbs.twimg.com/profile_images/962471262747529216/Uo8lOkRJ_normal.jpg","View")</f>
        <v>View</v>
      </c>
      <c r="P630" s="7"/>
    </row>
    <row r="631" spans="1:16">
      <c r="A631" s="3">
        <v>43810.987800925926</v>
      </c>
      <c r="B631" s="4" t="str">
        <f>HYPERLINK("https://twitter.com/petrogustavo","@petrogustavo")</f>
        <v>@petrogustavo</v>
      </c>
      <c r="C631" s="5" t="s">
        <v>16</v>
      </c>
      <c r="D631" s="5" t="s">
        <v>650</v>
      </c>
      <c r="E631" s="6" t="str">
        <f>HYPERLINK("https://twitter.com/petrogustavo/status/1204826290370568194","1204826290370568194")</f>
        <v>1204826290370568194</v>
      </c>
      <c r="F631" s="7" t="s">
        <v>17</v>
      </c>
      <c r="G631" s="7">
        <v>3579008</v>
      </c>
      <c r="H631" s="7">
        <v>2334</v>
      </c>
      <c r="I631" s="7">
        <v>63</v>
      </c>
      <c r="J631" s="7">
        <v>177</v>
      </c>
      <c r="K631" s="7" t="s">
        <v>18</v>
      </c>
      <c r="L631" s="8">
        <v>39987.315405092595</v>
      </c>
      <c r="M631" s="9" t="s">
        <v>19</v>
      </c>
      <c r="N631" s="9" t="s">
        <v>20</v>
      </c>
      <c r="O631" s="6" t="str">
        <f>HYPERLINK("https://pbs.twimg.com/profile_images/962471262747529216/Uo8lOkRJ_normal.jpg","View")</f>
        <v>View</v>
      </c>
      <c r="P631" s="7"/>
    </row>
    <row r="632" spans="1:16">
      <c r="A632" s="3">
        <v>43810.990497685183</v>
      </c>
      <c r="B632" s="4" t="str">
        <f>HYPERLINK("https://twitter.com/petrogustavo","@petrogustavo")</f>
        <v>@petrogustavo</v>
      </c>
      <c r="C632" s="5" t="s">
        <v>16</v>
      </c>
      <c r="D632" s="5" t="s">
        <v>651</v>
      </c>
      <c r="E632" s="6" t="str">
        <f>HYPERLINK("https://twitter.com/petrogustavo/status/1204827266720706560","1204827266720706560")</f>
        <v>1204827266720706560</v>
      </c>
      <c r="F632" s="7" t="s">
        <v>17</v>
      </c>
      <c r="G632" s="7">
        <v>3579008</v>
      </c>
      <c r="H632" s="7">
        <v>2334</v>
      </c>
      <c r="I632" s="7">
        <v>8</v>
      </c>
      <c r="J632" s="7">
        <v>34</v>
      </c>
      <c r="K632" s="7" t="s">
        <v>18</v>
      </c>
      <c r="L632" s="8">
        <v>39987.315405092595</v>
      </c>
      <c r="M632" s="9" t="s">
        <v>19</v>
      </c>
      <c r="N632" s="9" t="s">
        <v>20</v>
      </c>
      <c r="O632" s="6" t="str">
        <f>HYPERLINK("https://pbs.twimg.com/profile_images/962471262747529216/Uo8lOkRJ_normal.jpg","View")</f>
        <v>View</v>
      </c>
      <c r="P632" s="7"/>
    </row>
    <row r="633" spans="1:16">
      <c r="A633" s="3">
        <v>43811.105694444443</v>
      </c>
      <c r="B633" s="4" t="str">
        <f>HYPERLINK("https://twitter.com/petrogustavo","@petrogustavo")</f>
        <v>@petrogustavo</v>
      </c>
      <c r="C633" s="5" t="s">
        <v>16</v>
      </c>
      <c r="D633" s="5" t="s">
        <v>652</v>
      </c>
      <c r="E633" s="6" t="str">
        <f>HYPERLINK("https://twitter.com/petrogustavo/status/1204869011957309442","1204869011957309442")</f>
        <v>1204869011957309442</v>
      </c>
      <c r="F633" s="7" t="s">
        <v>17</v>
      </c>
      <c r="G633" s="7">
        <v>3579206</v>
      </c>
      <c r="H633" s="7">
        <v>2334</v>
      </c>
      <c r="I633" s="7">
        <v>525</v>
      </c>
      <c r="J633" s="7">
        <v>0</v>
      </c>
      <c r="K633" s="7" t="s">
        <v>18</v>
      </c>
      <c r="L633" s="8">
        <v>39987.315405092595</v>
      </c>
      <c r="M633" s="9" t="s">
        <v>19</v>
      </c>
      <c r="N633" s="9" t="s">
        <v>20</v>
      </c>
      <c r="O633" s="6" t="str">
        <f>HYPERLINK("https://pbs.twimg.com/profile_images/962471262747529216/Uo8lOkRJ_normal.jpg","View")</f>
        <v>View</v>
      </c>
      <c r="P633" s="7"/>
    </row>
    <row r="634" spans="1:16">
      <c r="A634" s="3">
        <v>43811.105775462958</v>
      </c>
      <c r="B634" s="4" t="str">
        <f>HYPERLINK("https://twitter.com/petrogustavo","@petrogustavo")</f>
        <v>@petrogustavo</v>
      </c>
      <c r="C634" s="5" t="s">
        <v>16</v>
      </c>
      <c r="D634" s="5" t="s">
        <v>648</v>
      </c>
      <c r="E634" s="6" t="str">
        <f>HYPERLINK("https://twitter.com/petrogustavo/status/1204869042470883328","1204869042470883328")</f>
        <v>1204869042470883328</v>
      </c>
      <c r="F634" s="7" t="s">
        <v>17</v>
      </c>
      <c r="G634" s="7">
        <v>3579206</v>
      </c>
      <c r="H634" s="7">
        <v>2334</v>
      </c>
      <c r="I634" s="7">
        <v>506</v>
      </c>
      <c r="J634" s="7">
        <v>0</v>
      </c>
      <c r="K634" s="7" t="s">
        <v>18</v>
      </c>
      <c r="L634" s="8">
        <v>39987.315405092595</v>
      </c>
      <c r="M634" s="9" t="s">
        <v>19</v>
      </c>
      <c r="N634" s="9" t="s">
        <v>20</v>
      </c>
      <c r="O634" s="6" t="str">
        <f>HYPERLINK("https://pbs.twimg.com/profile_images/962471262747529216/Uo8lOkRJ_normal.jpg","View")</f>
        <v>View</v>
      </c>
      <c r="P634" s="7"/>
    </row>
    <row r="635" spans="1:16">
      <c r="A635" s="3">
        <v>43811.162604166668</v>
      </c>
      <c r="B635" s="4" t="str">
        <f>HYPERLINK("https://twitter.com/petrogustavo","@petrogustavo")</f>
        <v>@petrogustavo</v>
      </c>
      <c r="C635" s="5" t="s">
        <v>16</v>
      </c>
      <c r="D635" s="5" t="s">
        <v>653</v>
      </c>
      <c r="E635" s="6" t="str">
        <f>HYPERLINK("https://twitter.com/petrogustavo/status/1204889635668799488","1204889635668799488")</f>
        <v>1204889635668799488</v>
      </c>
      <c r="F635" s="7" t="s">
        <v>17</v>
      </c>
      <c r="G635" s="7">
        <v>3579286</v>
      </c>
      <c r="H635" s="7">
        <v>2334</v>
      </c>
      <c r="I635" s="7">
        <v>190</v>
      </c>
      <c r="J635" s="7">
        <v>574</v>
      </c>
      <c r="K635" s="7" t="s">
        <v>18</v>
      </c>
      <c r="L635" s="8">
        <v>39987.315405092595</v>
      </c>
      <c r="M635" s="9" t="s">
        <v>19</v>
      </c>
      <c r="N635" s="9" t="s">
        <v>20</v>
      </c>
      <c r="O635" s="6" t="str">
        <f>HYPERLINK("https://pbs.twimg.com/profile_images/962471262747529216/Uo8lOkRJ_normal.jpg","View")</f>
        <v>View</v>
      </c>
      <c r="P635" s="7"/>
    </row>
    <row r="636" spans="1:16">
      <c r="A636" s="3">
        <v>43811.16783564815</v>
      </c>
      <c r="B636" s="4" t="str">
        <f>HYPERLINK("https://twitter.com/petrogustavo","@petrogustavo")</f>
        <v>@petrogustavo</v>
      </c>
      <c r="C636" s="5" t="s">
        <v>16</v>
      </c>
      <c r="D636" s="5" t="s">
        <v>570</v>
      </c>
      <c r="E636" s="6" t="str">
        <f>HYPERLINK("https://twitter.com/petrogustavo/status/1204891532085649409","1204891532085649409")</f>
        <v>1204891532085649409</v>
      </c>
      <c r="F636" s="7" t="s">
        <v>17</v>
      </c>
      <c r="G636" s="7">
        <v>3579286</v>
      </c>
      <c r="H636" s="7">
        <v>2334</v>
      </c>
      <c r="I636" s="7">
        <v>522</v>
      </c>
      <c r="J636" s="7">
        <v>0</v>
      </c>
      <c r="K636" s="7" t="s">
        <v>18</v>
      </c>
      <c r="L636" s="8">
        <v>39987.315405092595</v>
      </c>
      <c r="M636" s="9" t="s">
        <v>19</v>
      </c>
      <c r="N636" s="9" t="s">
        <v>20</v>
      </c>
      <c r="O636" s="6" t="str">
        <f>HYPERLINK("https://pbs.twimg.com/profile_images/962471262747529216/Uo8lOkRJ_normal.jpg","View")</f>
        <v>View</v>
      </c>
      <c r="P636" s="7"/>
    </row>
    <row r="637" spans="1:16">
      <c r="A637" s="3">
        <v>43811.167916666665</v>
      </c>
      <c r="B637" s="4" t="str">
        <f>HYPERLINK("https://twitter.com/petrogustavo","@petrogustavo")</f>
        <v>@petrogustavo</v>
      </c>
      <c r="C637" s="5" t="s">
        <v>16</v>
      </c>
      <c r="D637" s="5" t="s">
        <v>652</v>
      </c>
      <c r="E637" s="6" t="str">
        <f>HYPERLINK("https://twitter.com/petrogustavo/status/1204891561911365633","1204891561911365633")</f>
        <v>1204891561911365633</v>
      </c>
      <c r="F637" s="7" t="s">
        <v>17</v>
      </c>
      <c r="G637" s="7">
        <v>3579286</v>
      </c>
      <c r="H637" s="7">
        <v>2334</v>
      </c>
      <c r="I637" s="7">
        <v>623</v>
      </c>
      <c r="J637" s="7">
        <v>0</v>
      </c>
      <c r="K637" s="7" t="s">
        <v>18</v>
      </c>
      <c r="L637" s="8">
        <v>39987.315405092595</v>
      </c>
      <c r="M637" s="9" t="s">
        <v>19</v>
      </c>
      <c r="N637" s="9" t="s">
        <v>20</v>
      </c>
      <c r="O637" s="6" t="str">
        <f>HYPERLINK("https://pbs.twimg.com/profile_images/962471262747529216/Uo8lOkRJ_normal.jpg","View")</f>
        <v>View</v>
      </c>
      <c r="P637" s="7"/>
    </row>
    <row r="638" spans="1:16">
      <c r="A638" s="3">
        <v>43811.168113425927</v>
      </c>
      <c r="B638" s="4" t="str">
        <f>HYPERLINK("https://twitter.com/petrogustavo","@petrogustavo")</f>
        <v>@petrogustavo</v>
      </c>
      <c r="C638" s="5" t="s">
        <v>16</v>
      </c>
      <c r="D638" s="5" t="s">
        <v>648</v>
      </c>
      <c r="E638" s="6" t="str">
        <f>HYPERLINK("https://twitter.com/petrogustavo/status/1204891631796867072","1204891631796867072")</f>
        <v>1204891631796867072</v>
      </c>
      <c r="F638" s="7" t="s">
        <v>17</v>
      </c>
      <c r="G638" s="7">
        <v>3579286</v>
      </c>
      <c r="H638" s="7">
        <v>2334</v>
      </c>
      <c r="I638" s="7">
        <v>598</v>
      </c>
      <c r="J638" s="7">
        <v>0</v>
      </c>
      <c r="K638" s="7" t="s">
        <v>18</v>
      </c>
      <c r="L638" s="8">
        <v>39987.315405092595</v>
      </c>
      <c r="M638" s="9" t="s">
        <v>19</v>
      </c>
      <c r="N638" s="9" t="s">
        <v>20</v>
      </c>
      <c r="O638" s="6" t="str">
        <f>HYPERLINK("https://pbs.twimg.com/profile_images/962471262747529216/Uo8lOkRJ_normal.jpg","View")</f>
        <v>View</v>
      </c>
      <c r="P638" s="7"/>
    </row>
    <row r="639" spans="1:16">
      <c r="A639" s="3">
        <v>43811.176423611112</v>
      </c>
      <c r="B639" s="4" t="str">
        <f>HYPERLINK("https://twitter.com/petrogustavo","@petrogustavo")</f>
        <v>@petrogustavo</v>
      </c>
      <c r="C639" s="5" t="s">
        <v>16</v>
      </c>
      <c r="D639" s="5" t="s">
        <v>654</v>
      </c>
      <c r="E639" s="6" t="str">
        <f>HYPERLINK("https://twitter.com/petrogustavo/status/1204894645337182208","1204894645337182208")</f>
        <v>1204894645337182208</v>
      </c>
      <c r="F639" s="7" t="s">
        <v>17</v>
      </c>
      <c r="G639" s="7">
        <v>3579286</v>
      </c>
      <c r="H639" s="7">
        <v>2334</v>
      </c>
      <c r="I639" s="7">
        <v>896</v>
      </c>
      <c r="J639" s="7">
        <v>0</v>
      </c>
      <c r="K639" s="7" t="s">
        <v>18</v>
      </c>
      <c r="L639" s="8">
        <v>39987.315405092595</v>
      </c>
      <c r="M639" s="9" t="s">
        <v>19</v>
      </c>
      <c r="N639" s="9" t="s">
        <v>20</v>
      </c>
      <c r="O639" s="6" t="str">
        <f>HYPERLINK("https://pbs.twimg.com/profile_images/962471262747529216/Uo8lOkRJ_normal.jpg","View")</f>
        <v>View</v>
      </c>
      <c r="P639" s="7"/>
    </row>
    <row r="640" spans="1:16">
      <c r="A640" s="3">
        <v>43811.245810185181</v>
      </c>
      <c r="B640" s="4" t="str">
        <f>HYPERLINK("https://twitter.com/petrogustavo","@petrogustavo")</f>
        <v>@petrogustavo</v>
      </c>
      <c r="C640" s="5" t="s">
        <v>16</v>
      </c>
      <c r="D640" s="5" t="s">
        <v>652</v>
      </c>
      <c r="E640" s="6" t="str">
        <f>HYPERLINK("https://twitter.com/petrogustavo/status/1204919788465721345","1204919788465721345")</f>
        <v>1204919788465721345</v>
      </c>
      <c r="F640" s="7" t="s">
        <v>32</v>
      </c>
      <c r="G640" s="7">
        <v>3579367</v>
      </c>
      <c r="H640" s="7">
        <v>2335</v>
      </c>
      <c r="I640" s="7">
        <v>741</v>
      </c>
      <c r="J640" s="7">
        <v>0</v>
      </c>
      <c r="K640" s="7" t="s">
        <v>18</v>
      </c>
      <c r="L640" s="8">
        <v>39987.315405092595</v>
      </c>
      <c r="M640" s="9" t="s">
        <v>19</v>
      </c>
      <c r="N640" s="9" t="s">
        <v>20</v>
      </c>
      <c r="O640" s="6" t="str">
        <f>HYPERLINK("https://pbs.twimg.com/profile_images/962471262747529216/Uo8lOkRJ_normal.jpg","View")</f>
        <v>View</v>
      </c>
      <c r="P640" s="7"/>
    </row>
    <row r="641" spans="1:16">
      <c r="A641" s="3">
        <v>43811.24600694445</v>
      </c>
      <c r="B641" s="4" t="str">
        <f>HYPERLINK("https://twitter.com/petrogustavo","@petrogustavo")</f>
        <v>@petrogustavo</v>
      </c>
      <c r="C641" s="5" t="s">
        <v>16</v>
      </c>
      <c r="D641" s="5" t="s">
        <v>648</v>
      </c>
      <c r="E641" s="6" t="str">
        <f>HYPERLINK("https://twitter.com/petrogustavo/status/1204919858032467968","1204919858032467968")</f>
        <v>1204919858032467968</v>
      </c>
      <c r="F641" s="7" t="s">
        <v>32</v>
      </c>
      <c r="G641" s="7">
        <v>3579367</v>
      </c>
      <c r="H641" s="7">
        <v>2335</v>
      </c>
      <c r="I641" s="7">
        <v>745</v>
      </c>
      <c r="J641" s="7">
        <v>0</v>
      </c>
      <c r="K641" s="7" t="s">
        <v>18</v>
      </c>
      <c r="L641" s="8">
        <v>39987.315405092595</v>
      </c>
      <c r="M641" s="9" t="s">
        <v>19</v>
      </c>
      <c r="N641" s="9" t="s">
        <v>20</v>
      </c>
      <c r="O641" s="6" t="str">
        <f>HYPERLINK("https://pbs.twimg.com/profile_images/962471262747529216/Uo8lOkRJ_normal.jpg","View")</f>
        <v>View</v>
      </c>
      <c r="P641" s="7"/>
    </row>
    <row r="642" spans="1:16">
      <c r="A642" s="3">
        <v>43811.277418981481</v>
      </c>
      <c r="B642" s="4" t="str">
        <f>HYPERLINK("https://twitter.com/petrogustavo","@petrogustavo")</f>
        <v>@petrogustavo</v>
      </c>
      <c r="C642" s="5" t="s">
        <v>16</v>
      </c>
      <c r="D642" s="5" t="s">
        <v>655</v>
      </c>
      <c r="E642" s="6" t="str">
        <f>HYPERLINK("https://twitter.com/petrogustavo/status/1204931242753429504","1204931242753429504")</f>
        <v>1204931242753429504</v>
      </c>
      <c r="F642" s="7" t="s">
        <v>32</v>
      </c>
      <c r="G642" s="7">
        <v>3579397</v>
      </c>
      <c r="H642" s="7">
        <v>2335</v>
      </c>
      <c r="I642" s="7">
        <v>60</v>
      </c>
      <c r="J642" s="7">
        <v>0</v>
      </c>
      <c r="K642" s="7" t="s">
        <v>18</v>
      </c>
      <c r="L642" s="8">
        <v>39987.315405092595</v>
      </c>
      <c r="M642" s="9" t="s">
        <v>19</v>
      </c>
      <c r="N642" s="9" t="s">
        <v>20</v>
      </c>
      <c r="O642" s="6" t="str">
        <f>HYPERLINK("https://pbs.twimg.com/profile_images/962471262747529216/Uo8lOkRJ_normal.jpg","View")</f>
        <v>View</v>
      </c>
      <c r="P642" s="7"/>
    </row>
    <row r="643" spans="1:16">
      <c r="A643" s="3">
        <v>43811.279467592598</v>
      </c>
      <c r="B643" s="4" t="str">
        <f>HYPERLINK("https://twitter.com/petrogustavo","@petrogustavo")</f>
        <v>@petrogustavo</v>
      </c>
      <c r="C643" s="5" t="s">
        <v>16</v>
      </c>
      <c r="D643" s="5" t="s">
        <v>652</v>
      </c>
      <c r="E643" s="6" t="str">
        <f>HYPERLINK("https://twitter.com/petrogustavo/status/1204931986177101825","1204931986177101825")</f>
        <v>1204931986177101825</v>
      </c>
      <c r="F643" s="7" t="s">
        <v>32</v>
      </c>
      <c r="G643" s="7">
        <v>3579397</v>
      </c>
      <c r="H643" s="7">
        <v>2335</v>
      </c>
      <c r="I643" s="7">
        <v>776</v>
      </c>
      <c r="J643" s="7">
        <v>0</v>
      </c>
      <c r="K643" s="7" t="s">
        <v>18</v>
      </c>
      <c r="L643" s="8">
        <v>39987.315405092595</v>
      </c>
      <c r="M643" s="9" t="s">
        <v>19</v>
      </c>
      <c r="N643" s="9" t="s">
        <v>20</v>
      </c>
      <c r="O643" s="6" t="str">
        <f>HYPERLINK("https://pbs.twimg.com/profile_images/962471262747529216/Uo8lOkRJ_normal.jpg","View")</f>
        <v>View</v>
      </c>
      <c r="P643" s="7"/>
    </row>
    <row r="644" spans="1:16">
      <c r="A644" s="3">
        <v>43811.279745370368</v>
      </c>
      <c r="B644" s="4" t="str">
        <f>HYPERLINK("https://twitter.com/petrogustavo","@petrogustavo")</f>
        <v>@petrogustavo</v>
      </c>
      <c r="C644" s="5" t="s">
        <v>16</v>
      </c>
      <c r="D644" s="5" t="s">
        <v>648</v>
      </c>
      <c r="E644" s="6" t="str">
        <f>HYPERLINK("https://twitter.com/petrogustavo/status/1204932084101505030","1204932084101505030")</f>
        <v>1204932084101505030</v>
      </c>
      <c r="F644" s="7" t="s">
        <v>32</v>
      </c>
      <c r="G644" s="7">
        <v>3579397</v>
      </c>
      <c r="H644" s="7">
        <v>2335</v>
      </c>
      <c r="I644" s="7">
        <v>784</v>
      </c>
      <c r="J644" s="7">
        <v>0</v>
      </c>
      <c r="K644" s="7" t="s">
        <v>18</v>
      </c>
      <c r="L644" s="8">
        <v>39987.315405092595</v>
      </c>
      <c r="M644" s="9" t="s">
        <v>19</v>
      </c>
      <c r="N644" s="9" t="s">
        <v>20</v>
      </c>
      <c r="O644" s="6" t="str">
        <f>HYPERLINK("https://pbs.twimg.com/profile_images/962471262747529216/Uo8lOkRJ_normal.jpg","View")</f>
        <v>View</v>
      </c>
      <c r="P644" s="7"/>
    </row>
    <row r="645" spans="1:16">
      <c r="A645" s="3">
        <v>43811.365613425922</v>
      </c>
      <c r="B645" s="4" t="str">
        <f>HYPERLINK("https://twitter.com/petrogustavo","@petrogustavo")</f>
        <v>@petrogustavo</v>
      </c>
      <c r="C645" s="5" t="s">
        <v>16</v>
      </c>
      <c r="D645" s="5" t="s">
        <v>656</v>
      </c>
      <c r="E645" s="6" t="str">
        <f>HYPERLINK("https://twitter.com/petrogustavo/status/1204963202523639809","1204963202523639809")</f>
        <v>1204963202523639809</v>
      </c>
      <c r="F645" s="7" t="s">
        <v>17</v>
      </c>
      <c r="G645" s="7">
        <v>3579535</v>
      </c>
      <c r="H645" s="7">
        <v>2335</v>
      </c>
      <c r="I645" s="7">
        <v>263</v>
      </c>
      <c r="J645" s="7">
        <v>0</v>
      </c>
      <c r="K645" s="7" t="s">
        <v>18</v>
      </c>
      <c r="L645" s="8">
        <v>39987.315405092595</v>
      </c>
      <c r="M645" s="9" t="s">
        <v>19</v>
      </c>
      <c r="N645" s="9" t="s">
        <v>20</v>
      </c>
      <c r="O645" s="6" t="str">
        <f>HYPERLINK("https://pbs.twimg.com/profile_images/962471262747529216/Uo8lOkRJ_normal.jpg","View")</f>
        <v>View</v>
      </c>
      <c r="P645" s="7"/>
    </row>
    <row r="646" spans="1:16">
      <c r="A646" s="3">
        <v>43811.36918981481</v>
      </c>
      <c r="B646" s="4" t="str">
        <f>HYPERLINK("https://twitter.com/petrogustavo","@petrogustavo")</f>
        <v>@petrogustavo</v>
      </c>
      <c r="C646" s="5" t="s">
        <v>16</v>
      </c>
      <c r="D646" s="5" t="s">
        <v>652</v>
      </c>
      <c r="E646" s="6" t="str">
        <f>HYPERLINK("https://twitter.com/petrogustavo/status/1204964497502461952","1204964497502461952")</f>
        <v>1204964497502461952</v>
      </c>
      <c r="F646" s="7" t="s">
        <v>17</v>
      </c>
      <c r="G646" s="7">
        <v>3579544</v>
      </c>
      <c r="H646" s="7">
        <v>2335</v>
      </c>
      <c r="I646" s="7">
        <v>1003</v>
      </c>
      <c r="J646" s="7">
        <v>0</v>
      </c>
      <c r="K646" s="7" t="s">
        <v>18</v>
      </c>
      <c r="L646" s="8">
        <v>39987.315405092595</v>
      </c>
      <c r="M646" s="9" t="s">
        <v>19</v>
      </c>
      <c r="N646" s="9" t="s">
        <v>20</v>
      </c>
      <c r="O646" s="6" t="str">
        <f>HYPERLINK("https://pbs.twimg.com/profile_images/962471262747529216/Uo8lOkRJ_normal.jpg","View")</f>
        <v>View</v>
      </c>
      <c r="P646" s="7"/>
    </row>
    <row r="647" spans="1:16">
      <c r="A647" s="3">
        <v>43811.369317129633</v>
      </c>
      <c r="B647" s="4" t="str">
        <f>HYPERLINK("https://twitter.com/petrogustavo","@petrogustavo")</f>
        <v>@petrogustavo</v>
      </c>
      <c r="C647" s="5" t="s">
        <v>16</v>
      </c>
      <c r="D647" s="5" t="s">
        <v>648</v>
      </c>
      <c r="E647" s="6" t="str">
        <f>HYPERLINK("https://twitter.com/petrogustavo/status/1204964545749553153","1204964545749553153")</f>
        <v>1204964545749553153</v>
      </c>
      <c r="F647" s="7" t="s">
        <v>17</v>
      </c>
      <c r="G647" s="7">
        <v>3579544</v>
      </c>
      <c r="H647" s="7">
        <v>2335</v>
      </c>
      <c r="I647" s="7">
        <v>983</v>
      </c>
      <c r="J647" s="7">
        <v>0</v>
      </c>
      <c r="K647" s="7" t="s">
        <v>18</v>
      </c>
      <c r="L647" s="8">
        <v>39987.315405092595</v>
      </c>
      <c r="M647" s="9" t="s">
        <v>19</v>
      </c>
      <c r="N647" s="9" t="s">
        <v>20</v>
      </c>
      <c r="O647" s="6" t="str">
        <f>HYPERLINK("https://pbs.twimg.com/profile_images/962471262747529216/Uo8lOkRJ_normal.jpg","View")</f>
        <v>View</v>
      </c>
      <c r="P647" s="7"/>
    </row>
    <row r="648" spans="1:16">
      <c r="A648" s="3">
        <v>43811.81144675926</v>
      </c>
      <c r="B648" s="4" t="str">
        <f>HYPERLINK("https://twitter.com/petrogustavo","@petrogustavo")</f>
        <v>@petrogustavo</v>
      </c>
      <c r="C648" s="5" t="s">
        <v>16</v>
      </c>
      <c r="D648" s="5" t="s">
        <v>657</v>
      </c>
      <c r="E648" s="6" t="str">
        <f>HYPERLINK("https://twitter.com/petrogustavo/status/1205124767210262528","1205124767210262528")</f>
        <v>1205124767210262528</v>
      </c>
      <c r="F648" s="7" t="s">
        <v>17</v>
      </c>
      <c r="G648" s="7">
        <v>3579756</v>
      </c>
      <c r="H648" s="7">
        <v>2337</v>
      </c>
      <c r="I648" s="7">
        <v>1906</v>
      </c>
      <c r="J648" s="7">
        <v>0</v>
      </c>
      <c r="K648" s="7" t="s">
        <v>18</v>
      </c>
      <c r="L648" s="8">
        <v>39987.315405092595</v>
      </c>
      <c r="M648" s="9" t="s">
        <v>19</v>
      </c>
      <c r="N648" s="9" t="s">
        <v>20</v>
      </c>
      <c r="O648" s="6" t="str">
        <f>HYPERLINK("https://pbs.twimg.com/profile_images/962471262747529216/Uo8lOkRJ_normal.jpg","View")</f>
        <v>View</v>
      </c>
      <c r="P648" s="7"/>
    </row>
    <row r="649" spans="1:16">
      <c r="A649" s="3">
        <v>43811.811724537038</v>
      </c>
      <c r="B649" s="4" t="str">
        <f>HYPERLINK("https://twitter.com/petrogustavo","@petrogustavo")</f>
        <v>@petrogustavo</v>
      </c>
      <c r="C649" s="5" t="s">
        <v>16</v>
      </c>
      <c r="D649" s="5" t="s">
        <v>658</v>
      </c>
      <c r="E649" s="6" t="str">
        <f>HYPERLINK("https://twitter.com/petrogustavo/status/1205124868779454464","1205124868779454464")</f>
        <v>1205124868779454464</v>
      </c>
      <c r="F649" s="7" t="s">
        <v>17</v>
      </c>
      <c r="G649" s="7">
        <v>3579756</v>
      </c>
      <c r="H649" s="7">
        <v>2337</v>
      </c>
      <c r="I649" s="7">
        <v>353</v>
      </c>
      <c r="J649" s="7">
        <v>0</v>
      </c>
      <c r="K649" s="7" t="s">
        <v>18</v>
      </c>
      <c r="L649" s="8">
        <v>39987.315405092595</v>
      </c>
      <c r="M649" s="9" t="s">
        <v>19</v>
      </c>
      <c r="N649" s="9" t="s">
        <v>20</v>
      </c>
      <c r="O649" s="6" t="str">
        <f>HYPERLINK("https://pbs.twimg.com/profile_images/962471262747529216/Uo8lOkRJ_normal.jpg","View")</f>
        <v>View</v>
      </c>
      <c r="P649" s="7"/>
    </row>
    <row r="650" spans="1:16">
      <c r="A650" s="3">
        <v>43811.812326388885</v>
      </c>
      <c r="B650" s="4" t="str">
        <f>HYPERLINK("https://twitter.com/petrogustavo","@petrogustavo")</f>
        <v>@petrogustavo</v>
      </c>
      <c r="C650" s="5" t="s">
        <v>16</v>
      </c>
      <c r="D650" s="5" t="s">
        <v>659</v>
      </c>
      <c r="E650" s="6" t="str">
        <f>HYPERLINK("https://twitter.com/petrogustavo/status/1205125085755039744","1205125085755039744")</f>
        <v>1205125085755039744</v>
      </c>
      <c r="F650" s="7" t="s">
        <v>17</v>
      </c>
      <c r="G650" s="7">
        <v>3579756</v>
      </c>
      <c r="H650" s="7">
        <v>2337</v>
      </c>
      <c r="I650" s="7">
        <v>328</v>
      </c>
      <c r="J650" s="7">
        <v>0</v>
      </c>
      <c r="K650" s="7" t="s">
        <v>18</v>
      </c>
      <c r="L650" s="8">
        <v>39987.315405092595</v>
      </c>
      <c r="M650" s="9" t="s">
        <v>19</v>
      </c>
      <c r="N650" s="9" t="s">
        <v>20</v>
      </c>
      <c r="O650" s="6" t="str">
        <f>HYPERLINK("https://pbs.twimg.com/profile_images/962471262747529216/Uo8lOkRJ_normal.jpg","View")</f>
        <v>View</v>
      </c>
      <c r="P650" s="7"/>
    </row>
    <row r="651" spans="1:16">
      <c r="A651" s="3">
        <v>43811.812638888892</v>
      </c>
      <c r="B651" s="4" t="str">
        <f>HYPERLINK("https://twitter.com/petrogustavo","@petrogustavo")</f>
        <v>@petrogustavo</v>
      </c>
      <c r="C651" s="5" t="s">
        <v>16</v>
      </c>
      <c r="D651" s="5" t="s">
        <v>660</v>
      </c>
      <c r="E651" s="6" t="str">
        <f>HYPERLINK("https://twitter.com/petrogustavo/status/1205125199227760642","1205125199227760642")</f>
        <v>1205125199227760642</v>
      </c>
      <c r="F651" s="7" t="s">
        <v>17</v>
      </c>
      <c r="G651" s="7">
        <v>3579756</v>
      </c>
      <c r="H651" s="7">
        <v>2337</v>
      </c>
      <c r="I651" s="7">
        <v>939</v>
      </c>
      <c r="J651" s="7">
        <v>0</v>
      </c>
      <c r="K651" s="7" t="s">
        <v>18</v>
      </c>
      <c r="L651" s="8">
        <v>39987.315405092595</v>
      </c>
      <c r="M651" s="9" t="s">
        <v>19</v>
      </c>
      <c r="N651" s="9" t="s">
        <v>20</v>
      </c>
      <c r="O651" s="6" t="str">
        <f>HYPERLINK("https://pbs.twimg.com/profile_images/962471262747529216/Uo8lOkRJ_normal.jpg","View")</f>
        <v>View</v>
      </c>
      <c r="P651" s="7"/>
    </row>
    <row r="652" spans="1:16">
      <c r="A652" s="3">
        <v>43811.816122685181</v>
      </c>
      <c r="B652" s="4" t="str">
        <f>HYPERLINK("https://twitter.com/petrogustavo","@petrogustavo")</f>
        <v>@petrogustavo</v>
      </c>
      <c r="C652" s="5" t="s">
        <v>16</v>
      </c>
      <c r="D652" s="5" t="s">
        <v>661</v>
      </c>
      <c r="E652" s="6" t="str">
        <f>HYPERLINK("https://twitter.com/petrogustavo/status/1205126462916964352","1205126462916964352")</f>
        <v>1205126462916964352</v>
      </c>
      <c r="F652" s="7" t="s">
        <v>17</v>
      </c>
      <c r="G652" s="7">
        <v>3579756</v>
      </c>
      <c r="H652" s="7">
        <v>2337</v>
      </c>
      <c r="I652" s="7">
        <v>59</v>
      </c>
      <c r="J652" s="7">
        <v>157</v>
      </c>
      <c r="K652" s="7" t="s">
        <v>18</v>
      </c>
      <c r="L652" s="8">
        <v>39987.315405092595</v>
      </c>
      <c r="M652" s="9" t="s">
        <v>19</v>
      </c>
      <c r="N652" s="9" t="s">
        <v>20</v>
      </c>
      <c r="O652" s="6" t="str">
        <f>HYPERLINK("https://pbs.twimg.com/profile_images/962471262747529216/Uo8lOkRJ_normal.jpg","View")</f>
        <v>View</v>
      </c>
      <c r="P652" s="7"/>
    </row>
    <row r="653" spans="1:16">
      <c r="A653" s="3">
        <v>43811.81832175926</v>
      </c>
      <c r="B653" s="4" t="str">
        <f>HYPERLINK("https://twitter.com/petrogustavo","@petrogustavo")</f>
        <v>@petrogustavo</v>
      </c>
      <c r="C653" s="5" t="s">
        <v>16</v>
      </c>
      <c r="D653" s="5" t="s">
        <v>662</v>
      </c>
      <c r="E653" s="6" t="str">
        <f>HYPERLINK("https://twitter.com/petrogustavo/status/1205127261533458433","1205127261533458433")</f>
        <v>1205127261533458433</v>
      </c>
      <c r="F653" s="7" t="s">
        <v>17</v>
      </c>
      <c r="G653" s="7">
        <v>3579756</v>
      </c>
      <c r="H653" s="7">
        <v>2337</v>
      </c>
      <c r="I653" s="7">
        <v>74</v>
      </c>
      <c r="J653" s="7">
        <v>196</v>
      </c>
      <c r="K653" s="7" t="s">
        <v>18</v>
      </c>
      <c r="L653" s="8">
        <v>39987.315405092595</v>
      </c>
      <c r="M653" s="9" t="s">
        <v>19</v>
      </c>
      <c r="N653" s="9" t="s">
        <v>20</v>
      </c>
      <c r="O653" s="6" t="str">
        <f>HYPERLINK("https://pbs.twimg.com/profile_images/962471262747529216/Uo8lOkRJ_normal.jpg","View")</f>
        <v>View</v>
      </c>
      <c r="P653" s="7"/>
    </row>
    <row r="654" spans="1:16">
      <c r="A654" s="3">
        <v>43811.819895833338</v>
      </c>
      <c r="B654" s="4" t="str">
        <f>HYPERLINK("https://twitter.com/petrogustavo","@petrogustavo")</f>
        <v>@petrogustavo</v>
      </c>
      <c r="C654" s="5" t="s">
        <v>16</v>
      </c>
      <c r="D654" s="5" t="s">
        <v>663</v>
      </c>
      <c r="E654" s="6" t="str">
        <f>HYPERLINK("https://twitter.com/petrogustavo/status/1205127828334878720","1205127828334878720")</f>
        <v>1205127828334878720</v>
      </c>
      <c r="F654" s="7" t="s">
        <v>17</v>
      </c>
      <c r="G654" s="7">
        <v>3579756</v>
      </c>
      <c r="H654" s="7">
        <v>2337</v>
      </c>
      <c r="I654" s="7">
        <v>1436</v>
      </c>
      <c r="J654" s="7">
        <v>0</v>
      </c>
      <c r="K654" s="7" t="s">
        <v>18</v>
      </c>
      <c r="L654" s="8">
        <v>39987.315405092595</v>
      </c>
      <c r="M654" s="9" t="s">
        <v>19</v>
      </c>
      <c r="N654" s="9" t="s">
        <v>20</v>
      </c>
      <c r="O654" s="6" t="str">
        <f>HYPERLINK("https://pbs.twimg.com/profile_images/962471262747529216/Uo8lOkRJ_normal.jpg","View")</f>
        <v>View</v>
      </c>
      <c r="P654" s="7"/>
    </row>
    <row r="655" spans="1:16">
      <c r="A655" s="3">
        <v>43811.824236111112</v>
      </c>
      <c r="B655" s="4" t="str">
        <f>HYPERLINK("https://twitter.com/petrogustavo","@petrogustavo")</f>
        <v>@petrogustavo</v>
      </c>
      <c r="C655" s="5" t="s">
        <v>16</v>
      </c>
      <c r="D655" s="5" t="s">
        <v>664</v>
      </c>
      <c r="E655" s="6" t="str">
        <f>HYPERLINK("https://twitter.com/petrogustavo/status/1205129402721488896","1205129402721488896")</f>
        <v>1205129402721488896</v>
      </c>
      <c r="F655" s="7" t="s">
        <v>17</v>
      </c>
      <c r="G655" s="7">
        <v>3579756</v>
      </c>
      <c r="H655" s="7">
        <v>2337</v>
      </c>
      <c r="I655" s="7">
        <v>11</v>
      </c>
      <c r="J655" s="7">
        <v>27</v>
      </c>
      <c r="K655" s="7" t="s">
        <v>18</v>
      </c>
      <c r="L655" s="8">
        <v>39987.315405092595</v>
      </c>
      <c r="M655" s="9" t="s">
        <v>19</v>
      </c>
      <c r="N655" s="9" t="s">
        <v>20</v>
      </c>
      <c r="O655" s="6" t="str">
        <f>HYPERLINK("https://pbs.twimg.com/profile_images/962471262747529216/Uo8lOkRJ_normal.jpg","View")</f>
        <v>View</v>
      </c>
      <c r="P655" s="7"/>
    </row>
    <row r="656" spans="1:16">
      <c r="A656" s="3">
        <v>43811.828287037039</v>
      </c>
      <c r="B656" s="4" t="str">
        <f>HYPERLINK("https://twitter.com/petrogustavo","@petrogustavo")</f>
        <v>@petrogustavo</v>
      </c>
      <c r="C656" s="5" t="s">
        <v>16</v>
      </c>
      <c r="D656" s="5" t="s">
        <v>665</v>
      </c>
      <c r="E656" s="6" t="str">
        <f>HYPERLINK("https://twitter.com/petrogustavo/status/1205130870962741248","1205130870962741248")</f>
        <v>1205130870962741248</v>
      </c>
      <c r="F656" s="7" t="s">
        <v>17</v>
      </c>
      <c r="G656" s="7">
        <v>3579784</v>
      </c>
      <c r="H656" s="7">
        <v>2337</v>
      </c>
      <c r="I656" s="7">
        <v>91</v>
      </c>
      <c r="J656" s="7">
        <v>327</v>
      </c>
      <c r="K656" s="7" t="s">
        <v>18</v>
      </c>
      <c r="L656" s="8">
        <v>39987.315405092595</v>
      </c>
      <c r="M656" s="9" t="s">
        <v>19</v>
      </c>
      <c r="N656" s="9" t="s">
        <v>20</v>
      </c>
      <c r="O656" s="6" t="str">
        <f>HYPERLINK("https://pbs.twimg.com/profile_images/962471262747529216/Uo8lOkRJ_normal.jpg","View")</f>
        <v>View</v>
      </c>
      <c r="P656" s="7"/>
    </row>
    <row r="657" spans="1:16">
      <c r="A657" s="3">
        <v>43811.829340277778</v>
      </c>
      <c r="B657" s="4" t="str">
        <f>HYPERLINK("https://twitter.com/petrogustavo","@petrogustavo")</f>
        <v>@petrogustavo</v>
      </c>
      <c r="C657" s="5" t="s">
        <v>16</v>
      </c>
      <c r="D657" s="5" t="s">
        <v>666</v>
      </c>
      <c r="E657" s="6" t="str">
        <f>HYPERLINK("https://twitter.com/petrogustavo/status/1205131252250091527","1205131252250091527")</f>
        <v>1205131252250091527</v>
      </c>
      <c r="F657" s="7" t="s">
        <v>17</v>
      </c>
      <c r="G657" s="7">
        <v>3579784</v>
      </c>
      <c r="H657" s="7">
        <v>2337</v>
      </c>
      <c r="I657" s="7">
        <v>113</v>
      </c>
      <c r="J657" s="7">
        <v>0</v>
      </c>
      <c r="K657" s="7" t="s">
        <v>18</v>
      </c>
      <c r="L657" s="8">
        <v>39987.315405092595</v>
      </c>
      <c r="M657" s="9" t="s">
        <v>19</v>
      </c>
      <c r="N657" s="9" t="s">
        <v>20</v>
      </c>
      <c r="O657" s="6" t="str">
        <f>HYPERLINK("https://pbs.twimg.com/profile_images/962471262747529216/Uo8lOkRJ_normal.jpg","View")</f>
        <v>View</v>
      </c>
      <c r="P657" s="7"/>
    </row>
    <row r="658" spans="1:16">
      <c r="A658" s="3">
        <v>43811.836018518516</v>
      </c>
      <c r="B658" s="4" t="str">
        <f>HYPERLINK("https://twitter.com/petrogustavo","@petrogustavo")</f>
        <v>@petrogustavo</v>
      </c>
      <c r="C658" s="5" t="s">
        <v>16</v>
      </c>
      <c r="D658" s="5" t="s">
        <v>667</v>
      </c>
      <c r="E658" s="6" t="str">
        <f>HYPERLINK("https://twitter.com/petrogustavo/status/1205133674108334081","1205133674108334081")</f>
        <v>1205133674108334081</v>
      </c>
      <c r="F658" s="7" t="s">
        <v>17</v>
      </c>
      <c r="G658" s="7">
        <v>3579784</v>
      </c>
      <c r="H658" s="7">
        <v>2337</v>
      </c>
      <c r="I658" s="7">
        <v>77</v>
      </c>
      <c r="J658" s="7">
        <v>190</v>
      </c>
      <c r="K658" s="7" t="s">
        <v>18</v>
      </c>
      <c r="L658" s="8">
        <v>39987.315405092595</v>
      </c>
      <c r="M658" s="9" t="s">
        <v>19</v>
      </c>
      <c r="N658" s="9" t="s">
        <v>20</v>
      </c>
      <c r="O658" s="6" t="str">
        <f>HYPERLINK("https://pbs.twimg.com/profile_images/962471262747529216/Uo8lOkRJ_normal.jpg","View")</f>
        <v>View</v>
      </c>
      <c r="P658" s="7"/>
    </row>
    <row r="659" spans="1:16">
      <c r="A659" s="3">
        <v>43811.836192129631</v>
      </c>
      <c r="B659" s="4" t="str">
        <f>HYPERLINK("https://twitter.com/petrogustavo","@petrogustavo")</f>
        <v>@petrogustavo</v>
      </c>
      <c r="C659" s="5" t="s">
        <v>16</v>
      </c>
      <c r="D659" s="5" t="s">
        <v>668</v>
      </c>
      <c r="E659" s="6" t="str">
        <f>HYPERLINK("https://twitter.com/petrogustavo/status/1205133734476943360","1205133734476943360")</f>
        <v>1205133734476943360</v>
      </c>
      <c r="F659" s="7" t="s">
        <v>17</v>
      </c>
      <c r="G659" s="7">
        <v>3579784</v>
      </c>
      <c r="H659" s="7">
        <v>2337</v>
      </c>
      <c r="I659" s="7">
        <v>100</v>
      </c>
      <c r="J659" s="7">
        <v>0</v>
      </c>
      <c r="K659" s="7" t="s">
        <v>18</v>
      </c>
      <c r="L659" s="8">
        <v>39987.315405092595</v>
      </c>
      <c r="M659" s="9" t="s">
        <v>19</v>
      </c>
      <c r="N659" s="9" t="s">
        <v>20</v>
      </c>
      <c r="O659" s="6" t="str">
        <f>HYPERLINK("https://pbs.twimg.com/profile_images/962471262747529216/Uo8lOkRJ_normal.jpg","View")</f>
        <v>View</v>
      </c>
      <c r="P659" s="7"/>
    </row>
    <row r="660" spans="1:16">
      <c r="A660" s="3">
        <v>43811.836909722224</v>
      </c>
      <c r="B660" s="4" t="str">
        <f>HYPERLINK("https://twitter.com/petrogustavo","@petrogustavo")</f>
        <v>@petrogustavo</v>
      </c>
      <c r="C660" s="5" t="s">
        <v>16</v>
      </c>
      <c r="D660" s="5" t="s">
        <v>669</v>
      </c>
      <c r="E660" s="6" t="str">
        <f>HYPERLINK("https://twitter.com/petrogustavo/status/1205133997451419649","1205133997451419649")</f>
        <v>1205133997451419649</v>
      </c>
      <c r="F660" s="7" t="s">
        <v>17</v>
      </c>
      <c r="G660" s="7">
        <v>3579784</v>
      </c>
      <c r="H660" s="7">
        <v>2337</v>
      </c>
      <c r="I660" s="7">
        <v>308</v>
      </c>
      <c r="J660" s="7">
        <v>0</v>
      </c>
      <c r="K660" s="7" t="s">
        <v>18</v>
      </c>
      <c r="L660" s="8">
        <v>39987.315405092595</v>
      </c>
      <c r="M660" s="9" t="s">
        <v>19</v>
      </c>
      <c r="N660" s="9" t="s">
        <v>20</v>
      </c>
      <c r="O660" s="6" t="str">
        <f>HYPERLINK("https://pbs.twimg.com/profile_images/962471262747529216/Uo8lOkRJ_normal.jpg","View")</f>
        <v>View</v>
      </c>
      <c r="P660" s="7"/>
    </row>
    <row r="661" spans="1:16">
      <c r="A661" s="3">
        <v>43811.840254629627</v>
      </c>
      <c r="B661" s="4" t="str">
        <f>HYPERLINK("https://twitter.com/petrogustavo","@petrogustavo")</f>
        <v>@petrogustavo</v>
      </c>
      <c r="C661" s="5" t="s">
        <v>16</v>
      </c>
      <c r="D661" s="5" t="s">
        <v>670</v>
      </c>
      <c r="E661" s="6" t="str">
        <f>HYPERLINK("https://twitter.com/petrogustavo/status/1205135207860441089","1205135207860441089")</f>
        <v>1205135207860441089</v>
      </c>
      <c r="F661" s="7" t="s">
        <v>17</v>
      </c>
      <c r="G661" s="7">
        <v>3579784</v>
      </c>
      <c r="H661" s="7">
        <v>2337</v>
      </c>
      <c r="I661" s="7">
        <v>57</v>
      </c>
      <c r="J661" s="7">
        <v>153</v>
      </c>
      <c r="K661" s="7" t="s">
        <v>18</v>
      </c>
      <c r="L661" s="8">
        <v>39987.315405092595</v>
      </c>
      <c r="M661" s="9" t="s">
        <v>19</v>
      </c>
      <c r="N661" s="9" t="s">
        <v>20</v>
      </c>
      <c r="O661" s="6" t="str">
        <f>HYPERLINK("https://pbs.twimg.com/profile_images/962471262747529216/Uo8lOkRJ_normal.jpg","View")</f>
        <v>View</v>
      </c>
      <c r="P661" s="7"/>
    </row>
    <row r="662" spans="1:16">
      <c r="A662" s="3">
        <v>43811.849594907406</v>
      </c>
      <c r="B662" s="4" t="str">
        <f>HYPERLINK("https://twitter.com/petrogustavo","@petrogustavo")</f>
        <v>@petrogustavo</v>
      </c>
      <c r="C662" s="5" t="s">
        <v>16</v>
      </c>
      <c r="D662" s="5" t="s">
        <v>671</v>
      </c>
      <c r="E662" s="6" t="str">
        <f>HYPERLINK("https://twitter.com/petrogustavo/status/1205138593943035904","1205138593943035904")</f>
        <v>1205138593943035904</v>
      </c>
      <c r="F662" s="7" t="s">
        <v>17</v>
      </c>
      <c r="G662" s="7">
        <v>3579806</v>
      </c>
      <c r="H662" s="7">
        <v>2337</v>
      </c>
      <c r="I662" s="7">
        <v>82</v>
      </c>
      <c r="J662" s="7">
        <v>204</v>
      </c>
      <c r="K662" s="7" t="s">
        <v>18</v>
      </c>
      <c r="L662" s="8">
        <v>39987.315405092595</v>
      </c>
      <c r="M662" s="9" t="s">
        <v>19</v>
      </c>
      <c r="N662" s="9" t="s">
        <v>20</v>
      </c>
      <c r="O662" s="6" t="str">
        <f>HYPERLINK("https://pbs.twimg.com/profile_images/962471262747529216/Uo8lOkRJ_normal.jpg","View")</f>
        <v>View</v>
      </c>
      <c r="P662" s="7"/>
    </row>
    <row r="663" spans="1:16">
      <c r="A663" s="3">
        <v>43811.87599537037</v>
      </c>
      <c r="B663" s="4" t="str">
        <f>HYPERLINK("https://twitter.com/petrogustavo","@petrogustavo")</f>
        <v>@petrogustavo</v>
      </c>
      <c r="C663" s="5" t="s">
        <v>16</v>
      </c>
      <c r="D663" s="5" t="s">
        <v>672</v>
      </c>
      <c r="E663" s="6" t="str">
        <f>HYPERLINK("https://twitter.com/petrogustavo/status/1205148158604595201","1205148158604595201")</f>
        <v>1205148158604595201</v>
      </c>
      <c r="F663" s="7" t="s">
        <v>32</v>
      </c>
      <c r="G663" s="7">
        <v>3579842</v>
      </c>
      <c r="H663" s="7">
        <v>2337</v>
      </c>
      <c r="I663" s="7">
        <v>131</v>
      </c>
      <c r="J663" s="7">
        <v>0</v>
      </c>
      <c r="K663" s="7" t="s">
        <v>18</v>
      </c>
      <c r="L663" s="8">
        <v>39987.315405092595</v>
      </c>
      <c r="M663" s="9" t="s">
        <v>19</v>
      </c>
      <c r="N663" s="9" t="s">
        <v>20</v>
      </c>
      <c r="O663" s="6" t="str">
        <f>HYPERLINK("https://pbs.twimg.com/profile_images/962471262747529216/Uo8lOkRJ_normal.jpg","View")</f>
        <v>View</v>
      </c>
      <c r="P663" s="7"/>
    </row>
    <row r="664" spans="1:16">
      <c r="A664" s="3">
        <v>43811.876412037032</v>
      </c>
      <c r="B664" s="4" t="str">
        <f>HYPERLINK("https://twitter.com/petrogustavo","@petrogustavo")</f>
        <v>@petrogustavo</v>
      </c>
      <c r="C664" s="5" t="s">
        <v>16</v>
      </c>
      <c r="D664" s="5" t="s">
        <v>673</v>
      </c>
      <c r="E664" s="6" t="str">
        <f>HYPERLINK("https://twitter.com/petrogustavo/status/1205148311705051136","1205148311705051136")</f>
        <v>1205148311705051136</v>
      </c>
      <c r="F664" s="7" t="s">
        <v>32</v>
      </c>
      <c r="G664" s="7">
        <v>3579842</v>
      </c>
      <c r="H664" s="7">
        <v>2337</v>
      </c>
      <c r="I664" s="7">
        <v>129</v>
      </c>
      <c r="J664" s="7">
        <v>0</v>
      </c>
      <c r="K664" s="7" t="s">
        <v>18</v>
      </c>
      <c r="L664" s="8">
        <v>39987.315405092595</v>
      </c>
      <c r="M664" s="9" t="s">
        <v>19</v>
      </c>
      <c r="N664" s="9" t="s">
        <v>20</v>
      </c>
      <c r="O664" s="6" t="str">
        <f>HYPERLINK("https://pbs.twimg.com/profile_images/962471262747529216/Uo8lOkRJ_normal.jpg","View")</f>
        <v>View</v>
      </c>
      <c r="P664" s="7"/>
    </row>
    <row r="665" spans="1:16">
      <c r="A665" s="3">
        <v>43811.902280092589</v>
      </c>
      <c r="B665" s="4" t="str">
        <f>HYPERLINK("https://twitter.com/petrogustavo","@petrogustavo")</f>
        <v>@petrogustavo</v>
      </c>
      <c r="C665" s="5" t="s">
        <v>16</v>
      </c>
      <c r="D665" s="5" t="s">
        <v>674</v>
      </c>
      <c r="E665" s="6" t="str">
        <f>HYPERLINK("https://twitter.com/petrogustavo/status/1205157683432742912","1205157683432742912")</f>
        <v>1205157683432742912</v>
      </c>
      <c r="F665" s="7" t="s">
        <v>17</v>
      </c>
      <c r="G665" s="7">
        <v>3579865</v>
      </c>
      <c r="H665" s="7">
        <v>2337</v>
      </c>
      <c r="I665" s="7">
        <v>108</v>
      </c>
      <c r="J665" s="7">
        <v>246</v>
      </c>
      <c r="K665" s="7" t="s">
        <v>18</v>
      </c>
      <c r="L665" s="8">
        <v>39987.315405092595</v>
      </c>
      <c r="M665" s="9" t="s">
        <v>19</v>
      </c>
      <c r="N665" s="9" t="s">
        <v>20</v>
      </c>
      <c r="O665" s="6" t="str">
        <f>HYPERLINK("https://pbs.twimg.com/profile_images/962471262747529216/Uo8lOkRJ_normal.jpg","View")</f>
        <v>View</v>
      </c>
      <c r="P665" s="7"/>
    </row>
    <row r="666" spans="1:16">
      <c r="A666" s="3">
        <v>43811.903749999998</v>
      </c>
      <c r="B666" s="4" t="str">
        <f>HYPERLINK("https://twitter.com/petrogustavo","@petrogustavo")</f>
        <v>@petrogustavo</v>
      </c>
      <c r="C666" s="5" t="s">
        <v>16</v>
      </c>
      <c r="D666" s="5" t="s">
        <v>675</v>
      </c>
      <c r="E666" s="6" t="str">
        <f>HYPERLINK("https://twitter.com/petrogustavo/status/1205158218399408130","1205158218399408130")</f>
        <v>1205158218399408130</v>
      </c>
      <c r="F666" s="7" t="s">
        <v>17</v>
      </c>
      <c r="G666" s="7">
        <v>3579865</v>
      </c>
      <c r="H666" s="7">
        <v>2337</v>
      </c>
      <c r="I666" s="7">
        <v>35</v>
      </c>
      <c r="J666" s="7">
        <v>133</v>
      </c>
      <c r="K666" s="7" t="s">
        <v>18</v>
      </c>
      <c r="L666" s="8">
        <v>39987.315405092595</v>
      </c>
      <c r="M666" s="9" t="s">
        <v>19</v>
      </c>
      <c r="N666" s="9" t="s">
        <v>20</v>
      </c>
      <c r="O666" s="6" t="str">
        <f>HYPERLINK("https://pbs.twimg.com/profile_images/962471262747529216/Uo8lOkRJ_normal.jpg","View")</f>
        <v>View</v>
      </c>
      <c r="P666" s="7"/>
    </row>
    <row r="667" spans="1:16">
      <c r="A667" s="3">
        <v>43811.911793981482</v>
      </c>
      <c r="B667" s="4" t="str">
        <f>HYPERLINK("https://twitter.com/petrogustavo","@petrogustavo")</f>
        <v>@petrogustavo</v>
      </c>
      <c r="C667" s="5" t="s">
        <v>16</v>
      </c>
      <c r="D667" s="5" t="s">
        <v>676</v>
      </c>
      <c r="E667" s="6" t="str">
        <f>HYPERLINK("https://twitter.com/petrogustavo/status/1205161134560555009","1205161134560555009")</f>
        <v>1205161134560555009</v>
      </c>
      <c r="F667" s="7" t="s">
        <v>17</v>
      </c>
      <c r="G667" s="7">
        <v>3579885</v>
      </c>
      <c r="H667" s="7">
        <v>2337</v>
      </c>
      <c r="I667" s="7">
        <v>290</v>
      </c>
      <c r="J667" s="7">
        <v>0</v>
      </c>
      <c r="K667" s="7" t="s">
        <v>18</v>
      </c>
      <c r="L667" s="8">
        <v>39987.315405092595</v>
      </c>
      <c r="M667" s="9" t="s">
        <v>19</v>
      </c>
      <c r="N667" s="9" t="s">
        <v>20</v>
      </c>
      <c r="O667" s="6" t="str">
        <f>HYPERLINK("https://pbs.twimg.com/profile_images/962471262747529216/Uo8lOkRJ_normal.jpg","View")</f>
        <v>View</v>
      </c>
      <c r="P667" s="7"/>
    </row>
    <row r="668" spans="1:16">
      <c r="A668" s="3">
        <v>43811.911909722221</v>
      </c>
      <c r="B668" s="4" t="str">
        <f>HYPERLINK("https://twitter.com/petrogustavo","@petrogustavo")</f>
        <v>@petrogustavo</v>
      </c>
      <c r="C668" s="5" t="s">
        <v>16</v>
      </c>
      <c r="D668" s="5" t="s">
        <v>673</v>
      </c>
      <c r="E668" s="6" t="str">
        <f>HYPERLINK("https://twitter.com/petrogustavo/status/1205161176390414336","1205161176390414336")</f>
        <v>1205161176390414336</v>
      </c>
      <c r="F668" s="7" t="s">
        <v>17</v>
      </c>
      <c r="G668" s="7">
        <v>3579885</v>
      </c>
      <c r="H668" s="7">
        <v>2337</v>
      </c>
      <c r="I668" s="7">
        <v>182</v>
      </c>
      <c r="J668" s="7">
        <v>0</v>
      </c>
      <c r="K668" s="7" t="s">
        <v>18</v>
      </c>
      <c r="L668" s="8">
        <v>39987.315405092595</v>
      </c>
      <c r="M668" s="9" t="s">
        <v>19</v>
      </c>
      <c r="N668" s="9" t="s">
        <v>20</v>
      </c>
      <c r="O668" s="6" t="str">
        <f>HYPERLINK("https://pbs.twimg.com/profile_images/962471262747529216/Uo8lOkRJ_normal.jpg","View")</f>
        <v>View</v>
      </c>
      <c r="P668" s="7"/>
    </row>
    <row r="669" spans="1:16">
      <c r="A669" s="3">
        <v>43811.91887731482</v>
      </c>
      <c r="B669" s="4" t="str">
        <f>HYPERLINK("https://twitter.com/petrogustavo","@petrogustavo")</f>
        <v>@petrogustavo</v>
      </c>
      <c r="C669" s="5" t="s">
        <v>16</v>
      </c>
      <c r="D669" s="5" t="s">
        <v>677</v>
      </c>
      <c r="E669" s="6" t="str">
        <f>HYPERLINK("https://twitter.com/petrogustavo/status/1205163700107325442","1205163700107325442")</f>
        <v>1205163700107325442</v>
      </c>
      <c r="F669" s="7" t="s">
        <v>17</v>
      </c>
      <c r="G669" s="7">
        <v>3579885</v>
      </c>
      <c r="H669" s="7">
        <v>2337</v>
      </c>
      <c r="I669" s="7">
        <v>147</v>
      </c>
      <c r="J669" s="7">
        <v>416</v>
      </c>
      <c r="K669" s="7" t="s">
        <v>18</v>
      </c>
      <c r="L669" s="8">
        <v>39987.315405092595</v>
      </c>
      <c r="M669" s="9" t="s">
        <v>19</v>
      </c>
      <c r="N669" s="9" t="s">
        <v>20</v>
      </c>
      <c r="O669" s="6" t="str">
        <f>HYPERLINK("https://pbs.twimg.com/profile_images/962471262747529216/Uo8lOkRJ_normal.jpg","View")</f>
        <v>View</v>
      </c>
      <c r="P669" s="7"/>
    </row>
    <row r="670" spans="1:16">
      <c r="A670" s="3">
        <v>43813.860706018517</v>
      </c>
      <c r="B670" s="4" t="str">
        <f>HYPERLINK("https://twitter.com/petrogustavo","@petrogustavo")</f>
        <v>@petrogustavo</v>
      </c>
      <c r="C670" s="5" t="s">
        <v>16</v>
      </c>
      <c r="D670" s="5" t="s">
        <v>678</v>
      </c>
      <c r="E670" s="6" t="str">
        <f>HYPERLINK("https://twitter.com/petrogustavo/status/1205867393995747328","1205867393995747328")</f>
        <v>1205867393995747328</v>
      </c>
      <c r="F670" s="7" t="s">
        <v>32</v>
      </c>
      <c r="G670" s="7">
        <v>3581314</v>
      </c>
      <c r="H670" s="7">
        <v>2337</v>
      </c>
      <c r="I670" s="7">
        <v>205</v>
      </c>
      <c r="J670" s="7">
        <v>409</v>
      </c>
      <c r="K670" s="7" t="s">
        <v>18</v>
      </c>
      <c r="L670" s="8">
        <v>39987.315405092595</v>
      </c>
      <c r="M670" s="9" t="s">
        <v>19</v>
      </c>
      <c r="N670" s="9" t="s">
        <v>20</v>
      </c>
      <c r="O670" s="6" t="str">
        <f>HYPERLINK("https://pbs.twimg.com/profile_images/962471262747529216/Uo8lOkRJ_normal.jpg","View")</f>
        <v>View</v>
      </c>
      <c r="P670" s="7"/>
    </row>
    <row r="671" spans="1:16">
      <c r="A671" s="3">
        <v>43813.867511574077</v>
      </c>
      <c r="B671" s="4" t="str">
        <f>HYPERLINK("https://twitter.com/petrogustavo","@petrogustavo")</f>
        <v>@petrogustavo</v>
      </c>
      <c r="C671" s="5" t="s">
        <v>16</v>
      </c>
      <c r="D671" s="5" t="s">
        <v>679</v>
      </c>
      <c r="E671" s="6" t="str">
        <f>HYPERLINK("https://twitter.com/petrogustavo/status/1205869860137422849","1205869860137422849")</f>
        <v>1205869860137422849</v>
      </c>
      <c r="F671" s="7" t="s">
        <v>32</v>
      </c>
      <c r="G671" s="7">
        <v>3581334</v>
      </c>
      <c r="H671" s="7">
        <v>2337</v>
      </c>
      <c r="I671" s="7">
        <v>115</v>
      </c>
      <c r="J671" s="7">
        <v>289</v>
      </c>
      <c r="K671" s="7" t="s">
        <v>18</v>
      </c>
      <c r="L671" s="8">
        <v>39987.315405092595</v>
      </c>
      <c r="M671" s="9" t="s">
        <v>19</v>
      </c>
      <c r="N671" s="9" t="s">
        <v>20</v>
      </c>
      <c r="O671" s="6" t="str">
        <f>HYPERLINK("https://pbs.twimg.com/profile_images/962471262747529216/Uo8lOkRJ_normal.jpg","View")</f>
        <v>View</v>
      </c>
      <c r="P671" s="7"/>
    </row>
    <row r="672" spans="1:16">
      <c r="A672" s="3">
        <v>43813.872037037036</v>
      </c>
      <c r="B672" s="4" t="str">
        <f>HYPERLINK("https://twitter.com/petrogustavo","@petrogustavo")</f>
        <v>@petrogustavo</v>
      </c>
      <c r="C672" s="5" t="s">
        <v>16</v>
      </c>
      <c r="D672" s="5" t="s">
        <v>680</v>
      </c>
      <c r="E672" s="6" t="str">
        <f>HYPERLINK("https://twitter.com/petrogustavo/status/1205871499871174658","1205871499871174658")</f>
        <v>1205871499871174658</v>
      </c>
      <c r="F672" s="7" t="s">
        <v>32</v>
      </c>
      <c r="G672" s="7">
        <v>3581334</v>
      </c>
      <c r="H672" s="7">
        <v>2337</v>
      </c>
      <c r="I672" s="7">
        <v>93</v>
      </c>
      <c r="J672" s="7">
        <v>226</v>
      </c>
      <c r="K672" s="7" t="s">
        <v>18</v>
      </c>
      <c r="L672" s="8">
        <v>39987.315405092595</v>
      </c>
      <c r="M672" s="9" t="s">
        <v>19</v>
      </c>
      <c r="N672" s="9" t="s">
        <v>20</v>
      </c>
      <c r="O672" s="6" t="str">
        <f>HYPERLINK("https://pbs.twimg.com/profile_images/962471262747529216/Uo8lOkRJ_normal.jpg","View")</f>
        <v>View</v>
      </c>
      <c r="P672" s="7"/>
    </row>
    <row r="673" spans="1:16">
      <c r="A673" s="3">
        <v>43813.872037037036</v>
      </c>
      <c r="B673" s="4" t="str">
        <f>HYPERLINK("https://twitter.com/petrogustavo","@petrogustavo")</f>
        <v>@petrogustavo</v>
      </c>
      <c r="C673" s="5" t="s">
        <v>16</v>
      </c>
      <c r="D673" s="5" t="s">
        <v>681</v>
      </c>
      <c r="E673" s="6" t="str">
        <f>HYPERLINK("https://twitter.com/petrogustavo/status/1205871501716660226","1205871501716660226")</f>
        <v>1205871501716660226</v>
      </c>
      <c r="F673" s="7" t="s">
        <v>32</v>
      </c>
      <c r="G673" s="7">
        <v>3581334</v>
      </c>
      <c r="H673" s="7">
        <v>2337</v>
      </c>
      <c r="I673" s="7">
        <v>78</v>
      </c>
      <c r="J673" s="7">
        <v>273</v>
      </c>
      <c r="K673" s="7" t="s">
        <v>18</v>
      </c>
      <c r="L673" s="8">
        <v>39987.315405092595</v>
      </c>
      <c r="M673" s="9" t="s">
        <v>19</v>
      </c>
      <c r="N673" s="9" t="s">
        <v>20</v>
      </c>
      <c r="O673" s="6" t="str">
        <f>HYPERLINK("https://pbs.twimg.com/profile_images/962471262747529216/Uo8lOkRJ_normal.jpg","View")</f>
        <v>View</v>
      </c>
      <c r="P673" s="7"/>
    </row>
    <row r="674" spans="1:16">
      <c r="A674" s="3">
        <v>43813.872349537036</v>
      </c>
      <c r="B674" s="4" t="str">
        <f>HYPERLINK("https://twitter.com/petrogustavo","@petrogustavo")</f>
        <v>@petrogustavo</v>
      </c>
      <c r="C674" s="5" t="s">
        <v>16</v>
      </c>
      <c r="D674" s="5" t="s">
        <v>682</v>
      </c>
      <c r="E674" s="6" t="str">
        <f>HYPERLINK("https://twitter.com/petrogustavo/status/1205871612408606721","1205871612408606721")</f>
        <v>1205871612408606721</v>
      </c>
      <c r="F674" s="7" t="s">
        <v>32</v>
      </c>
      <c r="G674" s="7">
        <v>3581334</v>
      </c>
      <c r="H674" s="7">
        <v>2337</v>
      </c>
      <c r="I674" s="7">
        <v>731</v>
      </c>
      <c r="J674" s="7">
        <v>0</v>
      </c>
      <c r="K674" s="7" t="s">
        <v>18</v>
      </c>
      <c r="L674" s="8">
        <v>39987.315405092595</v>
      </c>
      <c r="M674" s="9" t="s">
        <v>19</v>
      </c>
      <c r="N674" s="9" t="s">
        <v>20</v>
      </c>
      <c r="O674" s="6" t="str">
        <f>HYPERLINK("https://pbs.twimg.com/profile_images/962471262747529216/Uo8lOkRJ_normal.jpg","View")</f>
        <v>View</v>
      </c>
      <c r="P674" s="7"/>
    </row>
    <row r="675" spans="1:16">
      <c r="A675" s="3">
        <v>43813.915578703702</v>
      </c>
      <c r="B675" s="4" t="str">
        <f>HYPERLINK("https://twitter.com/petrogustavo","@petrogustavo")</f>
        <v>@petrogustavo</v>
      </c>
      <c r="C675" s="5" t="s">
        <v>16</v>
      </c>
      <c r="D675" s="5" t="s">
        <v>682</v>
      </c>
      <c r="E675" s="6" t="str">
        <f>HYPERLINK("https://twitter.com/petrogustavo/status/1205887280315031552","1205887280315031552")</f>
        <v>1205887280315031552</v>
      </c>
      <c r="F675" s="7" t="s">
        <v>17</v>
      </c>
      <c r="G675" s="7">
        <v>3581374</v>
      </c>
      <c r="H675" s="7">
        <v>2337</v>
      </c>
      <c r="I675" s="7">
        <v>1613</v>
      </c>
      <c r="J675" s="7">
        <v>0</v>
      </c>
      <c r="K675" s="7" t="s">
        <v>18</v>
      </c>
      <c r="L675" s="8">
        <v>39987.315405092595</v>
      </c>
      <c r="M675" s="9" t="s">
        <v>19</v>
      </c>
      <c r="N675" s="9" t="s">
        <v>20</v>
      </c>
      <c r="O675" s="6" t="str">
        <f>HYPERLINK("https://pbs.twimg.com/profile_images/962471262747529216/Uo8lOkRJ_normal.jpg","View")</f>
        <v>View</v>
      </c>
      <c r="P675" s="7"/>
    </row>
    <row r="676" spans="1:16">
      <c r="A676" s="3">
        <v>43814.777013888888</v>
      </c>
      <c r="B676" s="4" t="str">
        <f>HYPERLINK("https://twitter.com/petrogustavo","@petrogustavo")</f>
        <v>@petrogustavo</v>
      </c>
      <c r="C676" s="5" t="s">
        <v>16</v>
      </c>
      <c r="D676" s="5" t="s">
        <v>683</v>
      </c>
      <c r="E676" s="6" t="str">
        <f>HYPERLINK("https://twitter.com/petrogustavo/status/1206199455361445890","1206199455361445890")</f>
        <v>1206199455361445890</v>
      </c>
      <c r="F676" s="7" t="s">
        <v>17</v>
      </c>
      <c r="G676" s="7">
        <v>3581783</v>
      </c>
      <c r="H676" s="7">
        <v>2336</v>
      </c>
      <c r="I676" s="7">
        <v>450</v>
      </c>
      <c r="J676" s="7">
        <v>0</v>
      </c>
      <c r="K676" s="7" t="s">
        <v>18</v>
      </c>
      <c r="L676" s="8">
        <v>39987.315405092595</v>
      </c>
      <c r="M676" s="9" t="s">
        <v>19</v>
      </c>
      <c r="N676" s="9" t="s">
        <v>20</v>
      </c>
      <c r="O676" s="6" t="str">
        <f>HYPERLINK("https://pbs.twimg.com/profile_images/962471262747529216/Uo8lOkRJ_normal.jpg","View")</f>
        <v>View</v>
      </c>
      <c r="P676" s="7"/>
    </row>
    <row r="677" spans="1:16">
      <c r="A677" s="3">
        <v>43814.778796296298</v>
      </c>
      <c r="B677" s="4" t="str">
        <f>HYPERLINK("https://twitter.com/petrogustavo","@petrogustavo")</f>
        <v>@petrogustavo</v>
      </c>
      <c r="C677" s="5" t="s">
        <v>16</v>
      </c>
      <c r="D677" s="5" t="s">
        <v>684</v>
      </c>
      <c r="E677" s="6" t="str">
        <f>HYPERLINK("https://twitter.com/petrogustavo/status/1206200099610779648","1206200099610779648")</f>
        <v>1206200099610779648</v>
      </c>
      <c r="F677" s="7" t="s">
        <v>17</v>
      </c>
      <c r="G677" s="7">
        <v>3581783</v>
      </c>
      <c r="H677" s="7">
        <v>2336</v>
      </c>
      <c r="I677" s="7">
        <v>55</v>
      </c>
      <c r="J677" s="7">
        <v>0</v>
      </c>
      <c r="K677" s="7" t="s">
        <v>18</v>
      </c>
      <c r="L677" s="8">
        <v>39987.315405092595</v>
      </c>
      <c r="M677" s="9" t="s">
        <v>19</v>
      </c>
      <c r="N677" s="9" t="s">
        <v>20</v>
      </c>
      <c r="O677" s="6" t="str">
        <f>HYPERLINK("https://pbs.twimg.com/profile_images/962471262747529216/Uo8lOkRJ_normal.jpg","View")</f>
        <v>View</v>
      </c>
      <c r="P677" s="7"/>
    </row>
    <row r="678" spans="1:16">
      <c r="A678" s="3">
        <v>43814.806886574079</v>
      </c>
      <c r="B678" s="4" t="str">
        <f>HYPERLINK("https://twitter.com/petrogustavo","@petrogustavo")</f>
        <v>@petrogustavo</v>
      </c>
      <c r="C678" s="5" t="s">
        <v>16</v>
      </c>
      <c r="D678" s="5" t="s">
        <v>685</v>
      </c>
      <c r="E678" s="6" t="str">
        <f>HYPERLINK("https://twitter.com/petrogustavo/status/1206210280566542336","1206210280566542336")</f>
        <v>1206210280566542336</v>
      </c>
      <c r="F678" s="7" t="s">
        <v>17</v>
      </c>
      <c r="G678" s="7">
        <v>3581765</v>
      </c>
      <c r="H678" s="7">
        <v>2336</v>
      </c>
      <c r="I678" s="7">
        <v>110</v>
      </c>
      <c r="J678" s="7">
        <v>300</v>
      </c>
      <c r="K678" s="7" t="s">
        <v>18</v>
      </c>
      <c r="L678" s="8">
        <v>39987.315405092595</v>
      </c>
      <c r="M678" s="9" t="s">
        <v>19</v>
      </c>
      <c r="N678" s="9" t="s">
        <v>20</v>
      </c>
      <c r="O678" s="6" t="str">
        <f>HYPERLINK("https://pbs.twimg.com/profile_images/962471262747529216/Uo8lOkRJ_normal.jpg","View")</f>
        <v>View</v>
      </c>
      <c r="P678" s="7"/>
    </row>
    <row r="679" spans="1:16">
      <c r="A679" s="3">
        <v>43814.806898148148</v>
      </c>
      <c r="B679" s="4" t="str">
        <f>HYPERLINK("https://twitter.com/petrogustavo","@petrogustavo")</f>
        <v>@petrogustavo</v>
      </c>
      <c r="C679" s="5" t="s">
        <v>16</v>
      </c>
      <c r="D679" s="5" t="s">
        <v>686</v>
      </c>
      <c r="E679" s="6" t="str">
        <f>HYPERLINK("https://twitter.com/petrogustavo/status/1206210283078868999","1206210283078868999")</f>
        <v>1206210283078868999</v>
      </c>
      <c r="F679" s="7" t="s">
        <v>17</v>
      </c>
      <c r="G679" s="7">
        <v>3581765</v>
      </c>
      <c r="H679" s="7">
        <v>2336</v>
      </c>
      <c r="I679" s="7">
        <v>16</v>
      </c>
      <c r="J679" s="7">
        <v>50</v>
      </c>
      <c r="K679" s="7" t="s">
        <v>18</v>
      </c>
      <c r="L679" s="8">
        <v>39987.315405092595</v>
      </c>
      <c r="M679" s="9" t="s">
        <v>19</v>
      </c>
      <c r="N679" s="9" t="s">
        <v>20</v>
      </c>
      <c r="O679" s="6" t="str">
        <f>HYPERLINK("https://pbs.twimg.com/profile_images/962471262747529216/Uo8lOkRJ_normal.jpg","View")</f>
        <v>View</v>
      </c>
      <c r="P679" s="7"/>
    </row>
    <row r="680" spans="1:16">
      <c r="A680" s="3">
        <v>43814.806898148148</v>
      </c>
      <c r="B680" s="4" t="str">
        <f>HYPERLINK("https://twitter.com/petrogustavo","@petrogustavo")</f>
        <v>@petrogustavo</v>
      </c>
      <c r="C680" s="5" t="s">
        <v>16</v>
      </c>
      <c r="D680" s="5" t="s">
        <v>687</v>
      </c>
      <c r="E680" s="6" t="str">
        <f>HYPERLINK("https://twitter.com/petrogustavo/status/1206210284345532416","1206210284345532416")</f>
        <v>1206210284345532416</v>
      </c>
      <c r="F680" s="7" t="s">
        <v>17</v>
      </c>
      <c r="G680" s="7">
        <v>3581765</v>
      </c>
      <c r="H680" s="7">
        <v>2336</v>
      </c>
      <c r="I680" s="7">
        <v>12</v>
      </c>
      <c r="J680" s="7">
        <v>37</v>
      </c>
      <c r="K680" s="7" t="s">
        <v>18</v>
      </c>
      <c r="L680" s="8">
        <v>39987.315405092595</v>
      </c>
      <c r="M680" s="9" t="s">
        <v>19</v>
      </c>
      <c r="N680" s="9" t="s">
        <v>20</v>
      </c>
      <c r="O680" s="6" t="str">
        <f>HYPERLINK("https://pbs.twimg.com/profile_images/962471262747529216/Uo8lOkRJ_normal.jpg","View")</f>
        <v>View</v>
      </c>
      <c r="P680" s="7"/>
    </row>
    <row r="681" spans="1:16">
      <c r="A681" s="3">
        <v>43814.806909722218</v>
      </c>
      <c r="B681" s="4" t="str">
        <f>HYPERLINK("https://twitter.com/petrogustavo","@petrogustavo")</f>
        <v>@petrogustavo</v>
      </c>
      <c r="C681" s="5" t="s">
        <v>16</v>
      </c>
      <c r="D681" s="5" t="s">
        <v>688</v>
      </c>
      <c r="E681" s="6" t="str">
        <f>HYPERLINK("https://twitter.com/petrogustavo/status/1206210285629067264","1206210285629067264")</f>
        <v>1206210285629067264</v>
      </c>
      <c r="F681" s="7" t="s">
        <v>17</v>
      </c>
      <c r="G681" s="7">
        <v>3581765</v>
      </c>
      <c r="H681" s="7">
        <v>2336</v>
      </c>
      <c r="I681" s="7">
        <v>7</v>
      </c>
      <c r="J681" s="7">
        <v>35</v>
      </c>
      <c r="K681" s="7" t="s">
        <v>18</v>
      </c>
      <c r="L681" s="8">
        <v>39987.315405092595</v>
      </c>
      <c r="M681" s="9" t="s">
        <v>19</v>
      </c>
      <c r="N681" s="9" t="s">
        <v>20</v>
      </c>
      <c r="O681" s="6" t="str">
        <f>HYPERLINK("https://pbs.twimg.com/profile_images/962471262747529216/Uo8lOkRJ_normal.jpg","View")</f>
        <v>View</v>
      </c>
      <c r="P681" s="7"/>
    </row>
    <row r="682" spans="1:16">
      <c r="A682" s="3">
        <v>43814.806909722218</v>
      </c>
      <c r="B682" s="4" t="str">
        <f>HYPERLINK("https://twitter.com/petrogustavo","@petrogustavo")</f>
        <v>@petrogustavo</v>
      </c>
      <c r="C682" s="5" t="s">
        <v>16</v>
      </c>
      <c r="D682" s="5" t="s">
        <v>689</v>
      </c>
      <c r="E682" s="6" t="str">
        <f>HYPERLINK("https://twitter.com/petrogustavo/status/1206210286832762880","1206210286832762880")</f>
        <v>1206210286832762880</v>
      </c>
      <c r="F682" s="7" t="s">
        <v>17</v>
      </c>
      <c r="G682" s="7">
        <v>3581765</v>
      </c>
      <c r="H682" s="7">
        <v>2336</v>
      </c>
      <c r="I682" s="7">
        <v>7</v>
      </c>
      <c r="J682" s="7">
        <v>31</v>
      </c>
      <c r="K682" s="7" t="s">
        <v>18</v>
      </c>
      <c r="L682" s="8">
        <v>39987.315405092595</v>
      </c>
      <c r="M682" s="9" t="s">
        <v>19</v>
      </c>
      <c r="N682" s="9" t="s">
        <v>20</v>
      </c>
      <c r="O682" s="6" t="str">
        <f>HYPERLINK("https://pbs.twimg.com/profile_images/962471262747529216/Uo8lOkRJ_normal.jpg","View")</f>
        <v>View</v>
      </c>
      <c r="P682" s="7"/>
    </row>
    <row r="683" spans="1:16">
      <c r="A683" s="3">
        <v>43814.806909722218</v>
      </c>
      <c r="B683" s="4" t="str">
        <f>HYPERLINK("https://twitter.com/petrogustavo","@petrogustavo")</f>
        <v>@petrogustavo</v>
      </c>
      <c r="C683" s="5" t="s">
        <v>16</v>
      </c>
      <c r="D683" s="5" t="s">
        <v>690</v>
      </c>
      <c r="E683" s="6" t="str">
        <f>HYPERLINK("https://twitter.com/petrogustavo/status/1206210288070144000","1206210288070144000")</f>
        <v>1206210288070144000</v>
      </c>
      <c r="F683" s="7" t="s">
        <v>17</v>
      </c>
      <c r="G683" s="7">
        <v>3581765</v>
      </c>
      <c r="H683" s="7">
        <v>2336</v>
      </c>
      <c r="I683" s="7">
        <v>44</v>
      </c>
      <c r="J683" s="7">
        <v>169</v>
      </c>
      <c r="K683" s="7" t="s">
        <v>18</v>
      </c>
      <c r="L683" s="8">
        <v>39987.315405092595</v>
      </c>
      <c r="M683" s="9" t="s">
        <v>19</v>
      </c>
      <c r="N683" s="9" t="s">
        <v>20</v>
      </c>
      <c r="O683" s="6" t="str">
        <f>HYPERLINK("https://pbs.twimg.com/profile_images/962471262747529216/Uo8lOkRJ_normal.jpg","View")</f>
        <v>View</v>
      </c>
      <c r="P683" s="7"/>
    </row>
    <row r="684" spans="1:16">
      <c r="A684" s="3">
        <v>43814.806921296295</v>
      </c>
      <c r="B684" s="4" t="str">
        <f>HYPERLINK("https://twitter.com/petrogustavo","@petrogustavo")</f>
        <v>@petrogustavo</v>
      </c>
      <c r="C684" s="5" t="s">
        <v>16</v>
      </c>
      <c r="D684" s="5" t="s">
        <v>691</v>
      </c>
      <c r="E684" s="6" t="str">
        <f>HYPERLINK("https://twitter.com/petrogustavo/status/1206210290829934592","1206210290829934592")</f>
        <v>1206210290829934592</v>
      </c>
      <c r="F684" s="7" t="s">
        <v>17</v>
      </c>
      <c r="G684" s="7">
        <v>3581765</v>
      </c>
      <c r="H684" s="7">
        <v>2336</v>
      </c>
      <c r="I684" s="7">
        <v>56</v>
      </c>
      <c r="J684" s="7">
        <v>238</v>
      </c>
      <c r="K684" s="7" t="s">
        <v>18</v>
      </c>
      <c r="L684" s="8">
        <v>39987.315405092595</v>
      </c>
      <c r="M684" s="9" t="s">
        <v>19</v>
      </c>
      <c r="N684" s="9" t="s">
        <v>20</v>
      </c>
      <c r="O684" s="6" t="str">
        <f>HYPERLINK("https://pbs.twimg.com/profile_images/962471262747529216/Uo8lOkRJ_normal.jpg","View")</f>
        <v>View</v>
      </c>
      <c r="P684" s="7"/>
    </row>
    <row r="685" spans="1:16">
      <c r="A685" s="3">
        <v>43814.811597222222</v>
      </c>
      <c r="B685" s="4" t="str">
        <f>HYPERLINK("https://twitter.com/petrogustavo","@petrogustavo")</f>
        <v>@petrogustavo</v>
      </c>
      <c r="C685" s="5" t="s">
        <v>16</v>
      </c>
      <c r="D685" s="5" t="s">
        <v>692</v>
      </c>
      <c r="E685" s="6" t="str">
        <f>HYPERLINK("https://twitter.com/petrogustavo/status/1206211985496530945","1206211985496530945")</f>
        <v>1206211985496530945</v>
      </c>
      <c r="F685" s="7" t="s">
        <v>17</v>
      </c>
      <c r="G685" s="7">
        <v>3581765</v>
      </c>
      <c r="H685" s="7">
        <v>2336</v>
      </c>
      <c r="I685" s="7">
        <v>112</v>
      </c>
      <c r="J685" s="7">
        <v>294</v>
      </c>
      <c r="K685" s="7" t="s">
        <v>18</v>
      </c>
      <c r="L685" s="8">
        <v>39987.315405092595</v>
      </c>
      <c r="M685" s="9" t="s">
        <v>19</v>
      </c>
      <c r="N685" s="9" t="s">
        <v>20</v>
      </c>
      <c r="O685" s="6" t="str">
        <f>HYPERLINK("https://pbs.twimg.com/profile_images/962471262747529216/Uo8lOkRJ_normal.jpg","View")</f>
        <v>View</v>
      </c>
      <c r="P685" s="7"/>
    </row>
    <row r="686" spans="1:16">
      <c r="A686" s="3">
        <v>43814.816863425927</v>
      </c>
      <c r="B686" s="4" t="str">
        <f>HYPERLINK("https://twitter.com/petrogustavo","@petrogustavo")</f>
        <v>@petrogustavo</v>
      </c>
      <c r="C686" s="5" t="s">
        <v>16</v>
      </c>
      <c r="D686" s="5" t="s">
        <v>693</v>
      </c>
      <c r="E686" s="6" t="str">
        <f>HYPERLINK("https://twitter.com/petrogustavo/status/1206213895091871745","1206213895091871745")</f>
        <v>1206213895091871745</v>
      </c>
      <c r="F686" s="7" t="s">
        <v>17</v>
      </c>
      <c r="G686" s="7">
        <v>3581765</v>
      </c>
      <c r="H686" s="7">
        <v>2336</v>
      </c>
      <c r="I686" s="7">
        <v>24</v>
      </c>
      <c r="J686" s="7">
        <v>67</v>
      </c>
      <c r="K686" s="7" t="s">
        <v>18</v>
      </c>
      <c r="L686" s="8">
        <v>39987.315405092595</v>
      </c>
      <c r="M686" s="9" t="s">
        <v>19</v>
      </c>
      <c r="N686" s="9" t="s">
        <v>20</v>
      </c>
      <c r="O686" s="6" t="str">
        <f>HYPERLINK("https://pbs.twimg.com/profile_images/962471262747529216/Uo8lOkRJ_normal.jpg","View")</f>
        <v>View</v>
      </c>
      <c r="P686" s="7"/>
    </row>
    <row r="687" spans="1:16">
      <c r="A687" s="3">
        <v>43814.834999999999</v>
      </c>
      <c r="B687" s="4" t="str">
        <f>HYPERLINK("https://twitter.com/petrogustavo","@petrogustavo")</f>
        <v>@petrogustavo</v>
      </c>
      <c r="C687" s="5" t="s">
        <v>16</v>
      </c>
      <c r="D687" s="5" t="s">
        <v>694</v>
      </c>
      <c r="E687" s="6" t="str">
        <f>HYPERLINK("https://twitter.com/petrogustavo/status/1206220465531949056","1206220465531949056")</f>
        <v>1206220465531949056</v>
      </c>
      <c r="F687" s="7" t="s">
        <v>17</v>
      </c>
      <c r="G687" s="7">
        <v>3581780</v>
      </c>
      <c r="H687" s="7">
        <v>2336</v>
      </c>
      <c r="I687" s="7">
        <v>64</v>
      </c>
      <c r="J687" s="7">
        <v>0</v>
      </c>
      <c r="K687" s="7" t="s">
        <v>18</v>
      </c>
      <c r="L687" s="8">
        <v>39987.315405092595</v>
      </c>
      <c r="M687" s="9" t="s">
        <v>19</v>
      </c>
      <c r="N687" s="9" t="s">
        <v>20</v>
      </c>
      <c r="O687" s="6" t="str">
        <f>HYPERLINK("https://pbs.twimg.com/profile_images/962471262747529216/Uo8lOkRJ_normal.jpg","View")</f>
        <v>View</v>
      </c>
      <c r="P687" s="7"/>
    </row>
    <row r="688" spans="1:16">
      <c r="A688" s="3">
        <v>43814.835034722222</v>
      </c>
      <c r="B688" s="4" t="str">
        <f>HYPERLINK("https://twitter.com/petrogustavo","@petrogustavo")</f>
        <v>@petrogustavo</v>
      </c>
      <c r="C688" s="5" t="s">
        <v>16</v>
      </c>
      <c r="D688" s="5" t="s">
        <v>695</v>
      </c>
      <c r="E688" s="6" t="str">
        <f>HYPERLINK("https://twitter.com/petrogustavo/status/1206220480107175936","1206220480107175936")</f>
        <v>1206220480107175936</v>
      </c>
      <c r="F688" s="7" t="s">
        <v>17</v>
      </c>
      <c r="G688" s="7">
        <v>3581780</v>
      </c>
      <c r="H688" s="7">
        <v>2336</v>
      </c>
      <c r="I688" s="7">
        <v>72</v>
      </c>
      <c r="J688" s="7">
        <v>0</v>
      </c>
      <c r="K688" s="7" t="s">
        <v>18</v>
      </c>
      <c r="L688" s="8">
        <v>39987.315405092595</v>
      </c>
      <c r="M688" s="9" t="s">
        <v>19</v>
      </c>
      <c r="N688" s="9" t="s">
        <v>20</v>
      </c>
      <c r="O688" s="6" t="str">
        <f>HYPERLINK("https://pbs.twimg.com/profile_images/962471262747529216/Uo8lOkRJ_normal.jpg","View")</f>
        <v>View</v>
      </c>
      <c r="P688" s="7"/>
    </row>
    <row r="689" spans="1:16">
      <c r="A689" s="3">
        <v>43814.849780092598</v>
      </c>
      <c r="B689" s="4" t="str">
        <f>HYPERLINK("https://twitter.com/petrogustavo","@petrogustavo")</f>
        <v>@petrogustavo</v>
      </c>
      <c r="C689" s="5" t="s">
        <v>16</v>
      </c>
      <c r="D689" s="5" t="s">
        <v>696</v>
      </c>
      <c r="E689" s="6" t="str">
        <f>HYPERLINK("https://twitter.com/petrogustavo/status/1206225823575019520","1206225823575019520")</f>
        <v>1206225823575019520</v>
      </c>
      <c r="F689" s="7" t="s">
        <v>17</v>
      </c>
      <c r="G689" s="7">
        <v>3581802</v>
      </c>
      <c r="H689" s="7">
        <v>2337</v>
      </c>
      <c r="I689" s="7">
        <v>367</v>
      </c>
      <c r="J689" s="7">
        <v>0</v>
      </c>
      <c r="K689" s="7" t="s">
        <v>18</v>
      </c>
      <c r="L689" s="8">
        <v>39987.315405092595</v>
      </c>
      <c r="M689" s="9" t="s">
        <v>19</v>
      </c>
      <c r="N689" s="9" t="s">
        <v>20</v>
      </c>
      <c r="O689" s="6" t="str">
        <f>HYPERLINK("https://pbs.twimg.com/profile_images/962471262747529216/Uo8lOkRJ_normal.jpg","View")</f>
        <v>View</v>
      </c>
      <c r="P689" s="7"/>
    </row>
    <row r="690" spans="1:16">
      <c r="A690" s="3">
        <v>43814.849849537037</v>
      </c>
      <c r="B690" s="4" t="str">
        <f>HYPERLINK("https://twitter.com/petrogustavo","@petrogustavo")</f>
        <v>@petrogustavo</v>
      </c>
      <c r="C690" s="5" t="s">
        <v>16</v>
      </c>
      <c r="D690" s="5" t="s">
        <v>697</v>
      </c>
      <c r="E690" s="6" t="str">
        <f>HYPERLINK("https://twitter.com/petrogustavo/status/1206225847503478784","1206225847503478784")</f>
        <v>1206225847503478784</v>
      </c>
      <c r="F690" s="7" t="s">
        <v>17</v>
      </c>
      <c r="G690" s="7">
        <v>3581802</v>
      </c>
      <c r="H690" s="7">
        <v>2337</v>
      </c>
      <c r="I690" s="7">
        <v>291</v>
      </c>
      <c r="J690" s="7">
        <v>0</v>
      </c>
      <c r="K690" s="7" t="s">
        <v>18</v>
      </c>
      <c r="L690" s="8">
        <v>39987.315405092595</v>
      </c>
      <c r="M690" s="9" t="s">
        <v>19</v>
      </c>
      <c r="N690" s="9" t="s">
        <v>20</v>
      </c>
      <c r="O690" s="6" t="str">
        <f>HYPERLINK("https://pbs.twimg.com/profile_images/962471262747529216/Uo8lOkRJ_normal.jpg","View")</f>
        <v>View</v>
      </c>
      <c r="P690" s="7"/>
    </row>
    <row r="691" spans="1:16">
      <c r="A691" s="3">
        <v>43814.874560185184</v>
      </c>
      <c r="B691" s="4" t="str">
        <f>HYPERLINK("https://twitter.com/petrogustavo","@petrogustavo")</f>
        <v>@petrogustavo</v>
      </c>
      <c r="C691" s="5" t="s">
        <v>16</v>
      </c>
      <c r="D691" s="5" t="s">
        <v>697</v>
      </c>
      <c r="E691" s="6" t="str">
        <f>HYPERLINK("https://twitter.com/petrogustavo/status/1206234802912931840","1206234802912931840")</f>
        <v>1206234802912931840</v>
      </c>
      <c r="F691" s="7" t="s">
        <v>17</v>
      </c>
      <c r="G691" s="7">
        <v>3581820</v>
      </c>
      <c r="H691" s="7">
        <v>2337</v>
      </c>
      <c r="I691" s="7">
        <v>362</v>
      </c>
      <c r="J691" s="7">
        <v>0</v>
      </c>
      <c r="K691" s="7" t="s">
        <v>18</v>
      </c>
      <c r="L691" s="8">
        <v>39987.315405092595</v>
      </c>
      <c r="M691" s="9" t="s">
        <v>19</v>
      </c>
      <c r="N691" s="9" t="s">
        <v>20</v>
      </c>
      <c r="O691" s="6" t="str">
        <f>HYPERLINK("https://pbs.twimg.com/profile_images/962471262747529216/Uo8lOkRJ_normal.jpg","View")</f>
        <v>View</v>
      </c>
      <c r="P691" s="7"/>
    </row>
    <row r="692" spans="1:16">
      <c r="A692" s="3">
        <v>43815.050891203704</v>
      </c>
      <c r="B692" s="4" t="str">
        <f>HYPERLINK("https://twitter.com/petrogustavo","@petrogustavo")</f>
        <v>@petrogustavo</v>
      </c>
      <c r="C692" s="5" t="s">
        <v>16</v>
      </c>
      <c r="D692" s="5" t="s">
        <v>698</v>
      </c>
      <c r="E692" s="6" t="str">
        <f>HYPERLINK("https://twitter.com/petrogustavo/status/1206298701834194945","1206298701834194945")</f>
        <v>1206298701834194945</v>
      </c>
      <c r="F692" s="7" t="s">
        <v>17</v>
      </c>
      <c r="G692" s="7">
        <v>3581931</v>
      </c>
      <c r="H692" s="7">
        <v>2337</v>
      </c>
      <c r="I692" s="7">
        <v>126</v>
      </c>
      <c r="J692" s="7">
        <v>0</v>
      </c>
      <c r="K692" s="7" t="s">
        <v>18</v>
      </c>
      <c r="L692" s="8">
        <v>39987.315405092595</v>
      </c>
      <c r="M692" s="9" t="s">
        <v>19</v>
      </c>
      <c r="N692" s="9" t="s">
        <v>20</v>
      </c>
      <c r="O692" s="6" t="str">
        <f>HYPERLINK("https://pbs.twimg.com/profile_images/962471262747529216/Uo8lOkRJ_normal.jpg","View")</f>
        <v>View</v>
      </c>
      <c r="P692" s="7"/>
    </row>
    <row r="693" spans="1:16">
      <c r="A693" s="3">
        <v>43815.063402777778</v>
      </c>
      <c r="B693" s="4" t="str">
        <f>HYPERLINK("https://twitter.com/petrogustavo","@petrogustavo")</f>
        <v>@petrogustavo</v>
      </c>
      <c r="C693" s="5" t="s">
        <v>16</v>
      </c>
      <c r="D693" s="5" t="s">
        <v>697</v>
      </c>
      <c r="E693" s="6" t="str">
        <f>HYPERLINK("https://twitter.com/petrogustavo/status/1206303236501594112","1206303236501594112")</f>
        <v>1206303236501594112</v>
      </c>
      <c r="F693" s="7" t="s">
        <v>17</v>
      </c>
      <c r="G693" s="7">
        <v>3581938</v>
      </c>
      <c r="H693" s="7">
        <v>2337</v>
      </c>
      <c r="I693" s="7">
        <v>809</v>
      </c>
      <c r="J693" s="7">
        <v>0</v>
      </c>
      <c r="K693" s="7" t="s">
        <v>18</v>
      </c>
      <c r="L693" s="8">
        <v>39987.315405092595</v>
      </c>
      <c r="M693" s="9" t="s">
        <v>19</v>
      </c>
      <c r="N693" s="9" t="s">
        <v>20</v>
      </c>
      <c r="O693" s="6" t="str">
        <f>HYPERLINK("https://pbs.twimg.com/profile_images/962471262747529216/Uo8lOkRJ_normal.jpg","View")</f>
        <v>View</v>
      </c>
      <c r="P693" s="7"/>
    </row>
    <row r="694" spans="1:16">
      <c r="A694" s="3">
        <v>43815.074699074074</v>
      </c>
      <c r="B694" s="4" t="str">
        <f>HYPERLINK("https://twitter.com/petrogustavo","@petrogustavo")</f>
        <v>@petrogustavo</v>
      </c>
      <c r="C694" s="5" t="s">
        <v>16</v>
      </c>
      <c r="D694" s="5" t="s">
        <v>699</v>
      </c>
      <c r="E694" s="6" t="str">
        <f>HYPERLINK("https://twitter.com/petrogustavo/status/1206307332126363649","1206307332126363649")</f>
        <v>1206307332126363649</v>
      </c>
      <c r="F694" s="7" t="s">
        <v>17</v>
      </c>
      <c r="G694" s="7">
        <v>3581938</v>
      </c>
      <c r="H694" s="7">
        <v>2337</v>
      </c>
      <c r="I694" s="7">
        <v>0</v>
      </c>
      <c r="J694" s="7">
        <v>0</v>
      </c>
      <c r="K694" s="7" t="s">
        <v>18</v>
      </c>
      <c r="L694" s="8">
        <v>39987.315405092595</v>
      </c>
      <c r="M694" s="9" t="s">
        <v>19</v>
      </c>
      <c r="N694" s="9" t="s">
        <v>20</v>
      </c>
      <c r="O694" s="6" t="str">
        <f>HYPERLINK("https://pbs.twimg.com/profile_images/962471262747529216/Uo8lOkRJ_normal.jpg","View")</f>
        <v>View</v>
      </c>
      <c r="P694" s="7"/>
    </row>
    <row r="695" spans="1:16">
      <c r="A695" s="3">
        <v>43815.252430555556</v>
      </c>
      <c r="B695" s="4" t="str">
        <f>HYPERLINK("https://twitter.com/petrogustavo","@petrogustavo")</f>
        <v>@petrogustavo</v>
      </c>
      <c r="C695" s="5" t="s">
        <v>16</v>
      </c>
      <c r="D695" s="5" t="s">
        <v>700</v>
      </c>
      <c r="E695" s="6" t="str">
        <f>HYPERLINK("https://twitter.com/petrogustavo/status/1206371738659016706","1206371738659016706")</f>
        <v>1206371738659016706</v>
      </c>
      <c r="F695" s="7" t="s">
        <v>17</v>
      </c>
      <c r="G695" s="7">
        <v>3582091</v>
      </c>
      <c r="H695" s="7">
        <v>2337</v>
      </c>
      <c r="I695" s="7">
        <v>325</v>
      </c>
      <c r="J695" s="7">
        <v>0</v>
      </c>
      <c r="K695" s="7" t="s">
        <v>18</v>
      </c>
      <c r="L695" s="8">
        <v>39987.315405092595</v>
      </c>
      <c r="M695" s="9" t="s">
        <v>19</v>
      </c>
      <c r="N695" s="9" t="s">
        <v>20</v>
      </c>
      <c r="O695" s="6" t="str">
        <f>HYPERLINK("https://pbs.twimg.com/profile_images/962471262747529216/Uo8lOkRJ_normal.jpg","View")</f>
        <v>View</v>
      </c>
      <c r="P695" s="7"/>
    </row>
    <row r="696" spans="1:16">
      <c r="A696" s="3">
        <v>43815.252743055556</v>
      </c>
      <c r="B696" s="4" t="str">
        <f>HYPERLINK("https://twitter.com/petrogustavo","@petrogustavo")</f>
        <v>@petrogustavo</v>
      </c>
      <c r="C696" s="5" t="s">
        <v>16</v>
      </c>
      <c r="D696" s="5" t="s">
        <v>701</v>
      </c>
      <c r="E696" s="6" t="str">
        <f>HYPERLINK("https://twitter.com/petrogustavo/status/1206371850252673024","1206371850252673024")</f>
        <v>1206371850252673024</v>
      </c>
      <c r="F696" s="7" t="s">
        <v>17</v>
      </c>
      <c r="G696" s="7">
        <v>3582091</v>
      </c>
      <c r="H696" s="7">
        <v>2337</v>
      </c>
      <c r="I696" s="7">
        <v>169</v>
      </c>
      <c r="J696" s="7">
        <v>0</v>
      </c>
      <c r="K696" s="7" t="s">
        <v>18</v>
      </c>
      <c r="L696" s="8">
        <v>39987.315405092595</v>
      </c>
      <c r="M696" s="9" t="s">
        <v>19</v>
      </c>
      <c r="N696" s="9" t="s">
        <v>20</v>
      </c>
      <c r="O696" s="6" t="str">
        <f>HYPERLINK("https://pbs.twimg.com/profile_images/962471262747529216/Uo8lOkRJ_normal.jpg","View")</f>
        <v>View</v>
      </c>
      <c r="P696" s="7"/>
    </row>
    <row r="697" spans="1:16">
      <c r="A697" s="3">
        <v>43815.256655092591</v>
      </c>
      <c r="B697" s="4" t="str">
        <f>HYPERLINK("https://twitter.com/petrogustavo","@petrogustavo")</f>
        <v>@petrogustavo</v>
      </c>
      <c r="C697" s="5" t="s">
        <v>16</v>
      </c>
      <c r="D697" s="5" t="s">
        <v>702</v>
      </c>
      <c r="E697" s="6" t="str">
        <f>HYPERLINK("https://twitter.com/petrogustavo/status/1206373270565588994","1206373270565588994")</f>
        <v>1206373270565588994</v>
      </c>
      <c r="F697" s="7" t="s">
        <v>17</v>
      </c>
      <c r="G697" s="7">
        <v>3582091</v>
      </c>
      <c r="H697" s="7">
        <v>2337</v>
      </c>
      <c r="I697" s="7">
        <v>73</v>
      </c>
      <c r="J697" s="7">
        <v>255</v>
      </c>
      <c r="K697" s="7" t="s">
        <v>18</v>
      </c>
      <c r="L697" s="8">
        <v>39987.315405092595</v>
      </c>
      <c r="M697" s="9" t="s">
        <v>19</v>
      </c>
      <c r="N697" s="9" t="s">
        <v>20</v>
      </c>
      <c r="O697" s="6" t="str">
        <f>HYPERLINK("https://pbs.twimg.com/profile_images/962471262747529216/Uo8lOkRJ_normal.jpg","View")</f>
        <v>View</v>
      </c>
      <c r="P697" s="7"/>
    </row>
    <row r="698" spans="1:16">
      <c r="A698" s="3">
        <v>43815.267118055555</v>
      </c>
      <c r="B698" s="4" t="str">
        <f>HYPERLINK("https://twitter.com/petrogustavo","@petrogustavo")</f>
        <v>@petrogustavo</v>
      </c>
      <c r="C698" s="5" t="s">
        <v>16</v>
      </c>
      <c r="D698" s="5" t="s">
        <v>703</v>
      </c>
      <c r="E698" s="6" t="str">
        <f>HYPERLINK("https://twitter.com/petrogustavo/status/1206377060526149632","1206377060526149632")</f>
        <v>1206377060526149632</v>
      </c>
      <c r="F698" s="7" t="s">
        <v>17</v>
      </c>
      <c r="G698" s="7">
        <v>3582123</v>
      </c>
      <c r="H698" s="7">
        <v>2337</v>
      </c>
      <c r="I698" s="7">
        <v>62</v>
      </c>
      <c r="J698" s="7">
        <v>0</v>
      </c>
      <c r="K698" s="7" t="s">
        <v>18</v>
      </c>
      <c r="L698" s="8">
        <v>39987.315405092595</v>
      </c>
      <c r="M698" s="9" t="s">
        <v>19</v>
      </c>
      <c r="N698" s="9" t="s">
        <v>20</v>
      </c>
      <c r="O698" s="6" t="str">
        <f>HYPERLINK("https://pbs.twimg.com/profile_images/962471262747529216/Uo8lOkRJ_normal.jpg","View")</f>
        <v>View</v>
      </c>
      <c r="P698" s="7"/>
    </row>
    <row r="699" spans="1:16">
      <c r="A699" s="3">
        <v>43815.271296296298</v>
      </c>
      <c r="B699" s="4" t="str">
        <f>HYPERLINK("https://twitter.com/petrogustavo","@petrogustavo")</f>
        <v>@petrogustavo</v>
      </c>
      <c r="C699" s="5" t="s">
        <v>16</v>
      </c>
      <c r="D699" s="5" t="s">
        <v>704</v>
      </c>
      <c r="E699" s="6" t="str">
        <f>HYPERLINK("https://twitter.com/petrogustavo/status/1206378574925709312","1206378574925709312")</f>
        <v>1206378574925709312</v>
      </c>
      <c r="F699" s="7" t="s">
        <v>17</v>
      </c>
      <c r="G699" s="7">
        <v>3582123</v>
      </c>
      <c r="H699" s="7">
        <v>2337</v>
      </c>
      <c r="I699" s="7">
        <v>255</v>
      </c>
      <c r="J699" s="7">
        <v>760</v>
      </c>
      <c r="K699" s="7" t="s">
        <v>18</v>
      </c>
      <c r="L699" s="8">
        <v>39987.315405092595</v>
      </c>
      <c r="M699" s="9" t="s">
        <v>19</v>
      </c>
      <c r="N699" s="9" t="s">
        <v>20</v>
      </c>
      <c r="O699" s="6" t="str">
        <f>HYPERLINK("https://pbs.twimg.com/profile_images/962471262747529216/Uo8lOkRJ_normal.jpg","View")</f>
        <v>View</v>
      </c>
      <c r="P699" s="7"/>
    </row>
    <row r="700" spans="1:16">
      <c r="A700" s="3">
        <v>43815.309710648144</v>
      </c>
      <c r="B700" s="4" t="str">
        <f>HYPERLINK("https://twitter.com/petrogustavo","@petrogustavo")</f>
        <v>@petrogustavo</v>
      </c>
      <c r="C700" s="5" t="s">
        <v>16</v>
      </c>
      <c r="D700" s="5" t="s">
        <v>696</v>
      </c>
      <c r="E700" s="6" t="str">
        <f>HYPERLINK("https://twitter.com/petrogustavo/status/1206392497661972480","1206392497661972480")</f>
        <v>1206392497661972480</v>
      </c>
      <c r="F700" s="7" t="s">
        <v>17</v>
      </c>
      <c r="G700" s="7">
        <v>3582162</v>
      </c>
      <c r="H700" s="7">
        <v>2337</v>
      </c>
      <c r="I700" s="7">
        <v>1777</v>
      </c>
      <c r="J700" s="7">
        <v>0</v>
      </c>
      <c r="K700" s="7" t="s">
        <v>18</v>
      </c>
      <c r="L700" s="8">
        <v>39987.315405092595</v>
      </c>
      <c r="M700" s="9" t="s">
        <v>19</v>
      </c>
      <c r="N700" s="9" t="s">
        <v>20</v>
      </c>
      <c r="O700" s="6" t="str">
        <f>HYPERLINK("https://pbs.twimg.com/profile_images/962471262747529216/Uo8lOkRJ_normal.jpg","View")</f>
        <v>View</v>
      </c>
      <c r="P700" s="7"/>
    </row>
    <row r="701" spans="1:16">
      <c r="A701" s="3">
        <v>43815.310486111106</v>
      </c>
      <c r="B701" s="4" t="str">
        <f>HYPERLINK("https://twitter.com/petrogustavo","@petrogustavo")</f>
        <v>@petrogustavo</v>
      </c>
      <c r="C701" s="5" t="s">
        <v>16</v>
      </c>
      <c r="D701" s="5" t="s">
        <v>697</v>
      </c>
      <c r="E701" s="6" t="str">
        <f>HYPERLINK("https://twitter.com/petrogustavo/status/1206392775689867265","1206392775689867265")</f>
        <v>1206392775689867265</v>
      </c>
      <c r="F701" s="7" t="s">
        <v>17</v>
      </c>
      <c r="G701" s="7">
        <v>3582162</v>
      </c>
      <c r="H701" s="7">
        <v>2337</v>
      </c>
      <c r="I701" s="7">
        <v>1190</v>
      </c>
      <c r="J701" s="7">
        <v>0</v>
      </c>
      <c r="K701" s="7" t="s">
        <v>18</v>
      </c>
      <c r="L701" s="8">
        <v>39987.315405092595</v>
      </c>
      <c r="M701" s="9" t="s">
        <v>19</v>
      </c>
      <c r="N701" s="9" t="s">
        <v>20</v>
      </c>
      <c r="O701" s="6" t="str">
        <f>HYPERLINK("https://pbs.twimg.com/profile_images/962471262747529216/Uo8lOkRJ_normal.jpg","View")</f>
        <v>View</v>
      </c>
      <c r="P701" s="7"/>
    </row>
    <row r="702" spans="1:16">
      <c r="A702" s="3">
        <v>43815.310636574075</v>
      </c>
      <c r="B702" s="4" t="str">
        <f>HYPERLINK("https://twitter.com/petrogustavo","@petrogustavo")</f>
        <v>@petrogustavo</v>
      </c>
      <c r="C702" s="5" t="s">
        <v>16</v>
      </c>
      <c r="D702" s="5" t="s">
        <v>705</v>
      </c>
      <c r="E702" s="6" t="str">
        <f>HYPERLINK("https://twitter.com/petrogustavo/status/1206392830429667331","1206392830429667331")</f>
        <v>1206392830429667331</v>
      </c>
      <c r="F702" s="7" t="s">
        <v>17</v>
      </c>
      <c r="G702" s="7">
        <v>3582162</v>
      </c>
      <c r="H702" s="7">
        <v>2337</v>
      </c>
      <c r="I702" s="7">
        <v>973</v>
      </c>
      <c r="J702" s="7">
        <v>0</v>
      </c>
      <c r="K702" s="7" t="s">
        <v>18</v>
      </c>
      <c r="L702" s="8">
        <v>39987.315405092595</v>
      </c>
      <c r="M702" s="9" t="s">
        <v>19</v>
      </c>
      <c r="N702" s="9" t="s">
        <v>20</v>
      </c>
      <c r="O702" s="6" t="str">
        <f>HYPERLINK("https://pbs.twimg.com/profile_images/962471262747529216/Uo8lOkRJ_normal.jpg","View")</f>
        <v>View</v>
      </c>
      <c r="P702" s="7"/>
    </row>
    <row r="703" spans="1:16">
      <c r="A703" s="3">
        <v>43815.334351851852</v>
      </c>
      <c r="B703" s="4" t="str">
        <f>HYPERLINK("https://twitter.com/petrogustavo","@petrogustavo")</f>
        <v>@petrogustavo</v>
      </c>
      <c r="C703" s="5" t="s">
        <v>16</v>
      </c>
      <c r="D703" s="5" t="s">
        <v>706</v>
      </c>
      <c r="E703" s="6" t="str">
        <f>HYPERLINK("https://twitter.com/petrogustavo/status/1206401427360436224","1206401427360436224")</f>
        <v>1206401427360436224</v>
      </c>
      <c r="F703" s="7" t="s">
        <v>17</v>
      </c>
      <c r="G703" s="7">
        <v>3582182</v>
      </c>
      <c r="H703" s="7">
        <v>2337</v>
      </c>
      <c r="I703" s="7">
        <v>97</v>
      </c>
      <c r="J703" s="7">
        <v>259</v>
      </c>
      <c r="K703" s="7" t="s">
        <v>18</v>
      </c>
      <c r="L703" s="8">
        <v>39987.315405092595</v>
      </c>
      <c r="M703" s="9" t="s">
        <v>19</v>
      </c>
      <c r="N703" s="9" t="s">
        <v>20</v>
      </c>
      <c r="O703" s="6" t="str">
        <f>HYPERLINK("https://pbs.twimg.com/profile_images/962471262747529216/Uo8lOkRJ_normal.jpg","View")</f>
        <v>View</v>
      </c>
      <c r="P703" s="7"/>
    </row>
    <row r="704" spans="1:16">
      <c r="A704" s="3">
        <v>43815.350081018521</v>
      </c>
      <c r="B704" s="4" t="str">
        <f>HYPERLINK("https://twitter.com/petrogustavo","@petrogustavo")</f>
        <v>@petrogustavo</v>
      </c>
      <c r="C704" s="5" t="s">
        <v>16</v>
      </c>
      <c r="D704" s="5" t="s">
        <v>707</v>
      </c>
      <c r="E704" s="6" t="str">
        <f>HYPERLINK("https://twitter.com/petrogustavo/status/1206407125678907392","1206407125678907392")</f>
        <v>1206407125678907392</v>
      </c>
      <c r="F704" s="7" t="s">
        <v>17</v>
      </c>
      <c r="G704" s="7">
        <v>3582202</v>
      </c>
      <c r="H704" s="7">
        <v>2337</v>
      </c>
      <c r="I704" s="7">
        <v>107</v>
      </c>
      <c r="J704" s="7">
        <v>0</v>
      </c>
      <c r="K704" s="7" t="s">
        <v>18</v>
      </c>
      <c r="L704" s="8">
        <v>39987.315405092595</v>
      </c>
      <c r="M704" s="9" t="s">
        <v>19</v>
      </c>
      <c r="N704" s="9" t="s">
        <v>20</v>
      </c>
      <c r="O704" s="6" t="str">
        <f>HYPERLINK("https://pbs.twimg.com/profile_images/962471262747529216/Uo8lOkRJ_normal.jpg","View")</f>
        <v>View</v>
      </c>
      <c r="P704" s="7"/>
    </row>
    <row r="705" spans="1:16">
      <c r="A705" s="3">
        <v>43815.353865740741</v>
      </c>
      <c r="B705" s="4" t="str">
        <f>HYPERLINK("https://twitter.com/petrogustavo","@petrogustavo")</f>
        <v>@petrogustavo</v>
      </c>
      <c r="C705" s="5" t="s">
        <v>16</v>
      </c>
      <c r="D705" s="5" t="s">
        <v>705</v>
      </c>
      <c r="E705" s="6" t="str">
        <f>HYPERLINK("https://twitter.com/petrogustavo/status/1206408498684334080","1206408498684334080")</f>
        <v>1206408498684334080</v>
      </c>
      <c r="F705" s="7" t="s">
        <v>17</v>
      </c>
      <c r="G705" s="7">
        <v>3582202</v>
      </c>
      <c r="H705" s="7">
        <v>2337</v>
      </c>
      <c r="I705" s="7">
        <v>1465</v>
      </c>
      <c r="J705" s="7">
        <v>0</v>
      </c>
      <c r="K705" s="7" t="s">
        <v>18</v>
      </c>
      <c r="L705" s="8">
        <v>39987.315405092595</v>
      </c>
      <c r="M705" s="9" t="s">
        <v>19</v>
      </c>
      <c r="N705" s="9" t="s">
        <v>20</v>
      </c>
      <c r="O705" s="6" t="str">
        <f>HYPERLINK("https://pbs.twimg.com/profile_images/962471262747529216/Uo8lOkRJ_normal.jpg","View")</f>
        <v>View</v>
      </c>
      <c r="P705" s="7"/>
    </row>
    <row r="706" spans="1:16">
      <c r="A706" s="3">
        <v>43815.786111111112</v>
      </c>
      <c r="B706" s="4" t="str">
        <f>HYPERLINK("https://twitter.com/petrogustavo","@petrogustavo")</f>
        <v>@petrogustavo</v>
      </c>
      <c r="C706" s="5" t="s">
        <v>16</v>
      </c>
      <c r="D706" s="5" t="s">
        <v>708</v>
      </c>
      <c r="E706" s="6" t="str">
        <f>HYPERLINK("https://twitter.com/petrogustavo/status/1206565136355475457","1206565136355475457")</f>
        <v>1206565136355475457</v>
      </c>
      <c r="F706" s="7" t="s">
        <v>17</v>
      </c>
      <c r="G706" s="7">
        <v>3582378</v>
      </c>
      <c r="H706" s="7">
        <v>2337</v>
      </c>
      <c r="I706" s="7">
        <v>38</v>
      </c>
      <c r="J706" s="7">
        <v>0</v>
      </c>
      <c r="K706" s="7" t="s">
        <v>18</v>
      </c>
      <c r="L706" s="8">
        <v>39987.315405092595</v>
      </c>
      <c r="M706" s="9" t="s">
        <v>19</v>
      </c>
      <c r="N706" s="9" t="s">
        <v>20</v>
      </c>
      <c r="O706" s="6" t="str">
        <f>HYPERLINK("https://pbs.twimg.com/profile_images/962471262747529216/Uo8lOkRJ_normal.jpg","View")</f>
        <v>View</v>
      </c>
      <c r="P706" s="7"/>
    </row>
    <row r="707" spans="1:16">
      <c r="A707" s="3">
        <v>43815.790879629625</v>
      </c>
      <c r="B707" s="4" t="str">
        <f>HYPERLINK("https://twitter.com/petrogustavo","@petrogustavo")</f>
        <v>@petrogustavo</v>
      </c>
      <c r="C707" s="5" t="s">
        <v>16</v>
      </c>
      <c r="D707" s="5" t="s">
        <v>709</v>
      </c>
      <c r="E707" s="6" t="str">
        <f>HYPERLINK("https://twitter.com/petrogustavo/status/1206566865130196993","1206566865130196993")</f>
        <v>1206566865130196993</v>
      </c>
      <c r="F707" s="7" t="s">
        <v>17</v>
      </c>
      <c r="G707" s="7">
        <v>3582378</v>
      </c>
      <c r="H707" s="7">
        <v>2337</v>
      </c>
      <c r="I707" s="7">
        <v>112</v>
      </c>
      <c r="J707" s="7">
        <v>227</v>
      </c>
      <c r="K707" s="7" t="s">
        <v>18</v>
      </c>
      <c r="L707" s="8">
        <v>39987.315405092595</v>
      </c>
      <c r="M707" s="9" t="s">
        <v>19</v>
      </c>
      <c r="N707" s="9" t="s">
        <v>20</v>
      </c>
      <c r="O707" s="6" t="str">
        <f>HYPERLINK("https://pbs.twimg.com/profile_images/962471262747529216/Uo8lOkRJ_normal.jpg","View")</f>
        <v>View</v>
      </c>
      <c r="P707" s="7"/>
    </row>
    <row r="708" spans="1:16">
      <c r="A708" s="3">
        <v>43815.793865740736</v>
      </c>
      <c r="B708" s="4" t="str">
        <f>HYPERLINK("https://twitter.com/petrogustavo","@petrogustavo")</f>
        <v>@petrogustavo</v>
      </c>
      <c r="C708" s="5" t="s">
        <v>16</v>
      </c>
      <c r="D708" s="5" t="s">
        <v>710</v>
      </c>
      <c r="E708" s="6" t="str">
        <f>HYPERLINK("https://twitter.com/petrogustavo/status/1206567948015620096","1206567948015620096")</f>
        <v>1206567948015620096</v>
      </c>
      <c r="F708" s="7" t="s">
        <v>17</v>
      </c>
      <c r="G708" s="7">
        <v>3582378</v>
      </c>
      <c r="H708" s="7">
        <v>2337</v>
      </c>
      <c r="I708" s="7">
        <v>56</v>
      </c>
      <c r="J708" s="7">
        <v>0</v>
      </c>
      <c r="K708" s="7" t="s">
        <v>18</v>
      </c>
      <c r="L708" s="8">
        <v>39987.315405092595</v>
      </c>
      <c r="M708" s="9" t="s">
        <v>19</v>
      </c>
      <c r="N708" s="9" t="s">
        <v>20</v>
      </c>
      <c r="O708" s="6" t="str">
        <f>HYPERLINK("https://pbs.twimg.com/profile_images/962471262747529216/Uo8lOkRJ_normal.jpg","View")</f>
        <v>View</v>
      </c>
      <c r="P708" s="7"/>
    </row>
    <row r="709" spans="1:16">
      <c r="A709" s="3">
        <v>43815.813576388886</v>
      </c>
      <c r="B709" s="4" t="str">
        <f>HYPERLINK("https://twitter.com/petrogustavo","@petrogustavo")</f>
        <v>@petrogustavo</v>
      </c>
      <c r="C709" s="5" t="s">
        <v>16</v>
      </c>
      <c r="D709" s="5" t="s">
        <v>711</v>
      </c>
      <c r="E709" s="6" t="str">
        <f>HYPERLINK("https://twitter.com/petrogustavo/status/1206575092597174274","1206575092597174274")</f>
        <v>1206575092597174274</v>
      </c>
      <c r="F709" s="7" t="s">
        <v>17</v>
      </c>
      <c r="G709" s="7">
        <v>3582394</v>
      </c>
      <c r="H709" s="7">
        <v>2337</v>
      </c>
      <c r="I709" s="7">
        <v>92</v>
      </c>
      <c r="J709" s="7">
        <v>162</v>
      </c>
      <c r="K709" s="7" t="s">
        <v>18</v>
      </c>
      <c r="L709" s="8">
        <v>39987.315405092595</v>
      </c>
      <c r="M709" s="9" t="s">
        <v>19</v>
      </c>
      <c r="N709" s="9" t="s">
        <v>20</v>
      </c>
      <c r="O709" s="6" t="str">
        <f>HYPERLINK("https://pbs.twimg.com/profile_images/962471262747529216/Uo8lOkRJ_normal.jpg","View")</f>
        <v>View</v>
      </c>
      <c r="P709" s="7"/>
    </row>
    <row r="710" spans="1:16">
      <c r="A710" s="3">
        <v>43815.885428240741</v>
      </c>
      <c r="B710" s="4" t="str">
        <f>HYPERLINK("https://twitter.com/petrogustavo","@petrogustavo")</f>
        <v>@petrogustavo</v>
      </c>
      <c r="C710" s="5" t="s">
        <v>16</v>
      </c>
      <c r="D710" s="5" t="s">
        <v>712</v>
      </c>
      <c r="E710" s="6" t="str">
        <f>HYPERLINK("https://twitter.com/petrogustavo/status/1206601127887884288","1206601127887884288")</f>
        <v>1206601127887884288</v>
      </c>
      <c r="F710" s="7" t="s">
        <v>17</v>
      </c>
      <c r="G710" s="7">
        <v>3582455</v>
      </c>
      <c r="H710" s="7">
        <v>2337</v>
      </c>
      <c r="I710" s="7">
        <v>65</v>
      </c>
      <c r="J710" s="7">
        <v>108</v>
      </c>
      <c r="K710" s="7" t="s">
        <v>18</v>
      </c>
      <c r="L710" s="8">
        <v>39987.315405092595</v>
      </c>
      <c r="M710" s="9" t="s">
        <v>19</v>
      </c>
      <c r="N710" s="9" t="s">
        <v>20</v>
      </c>
      <c r="O710" s="6" t="str">
        <f>HYPERLINK("https://pbs.twimg.com/profile_images/962471262747529216/Uo8lOkRJ_normal.jpg","View")</f>
        <v>View</v>
      </c>
      <c r="P710" s="7"/>
    </row>
    <row r="711" spans="1:16">
      <c r="A711" s="3">
        <v>43815.92759259259</v>
      </c>
      <c r="B711" s="4" t="str">
        <f>HYPERLINK("https://twitter.com/petrogustavo","@petrogustavo")</f>
        <v>@petrogustavo</v>
      </c>
      <c r="C711" s="5" t="s">
        <v>16</v>
      </c>
      <c r="D711" s="5" t="s">
        <v>713</v>
      </c>
      <c r="E711" s="6" t="str">
        <f>HYPERLINK("https://twitter.com/petrogustavo/status/1206616410291625991","1206616410291625991")</f>
        <v>1206616410291625991</v>
      </c>
      <c r="F711" s="7" t="s">
        <v>32</v>
      </c>
      <c r="G711" s="7">
        <v>3582460</v>
      </c>
      <c r="H711" s="7">
        <v>2337</v>
      </c>
      <c r="I711" s="7">
        <v>987</v>
      </c>
      <c r="J711" s="7">
        <v>0</v>
      </c>
      <c r="K711" s="7" t="s">
        <v>18</v>
      </c>
      <c r="L711" s="8">
        <v>39987.315405092595</v>
      </c>
      <c r="M711" s="9" t="s">
        <v>19</v>
      </c>
      <c r="N711" s="9" t="s">
        <v>20</v>
      </c>
      <c r="O711" s="6" t="str">
        <f>HYPERLINK("https://pbs.twimg.com/profile_images/962471262747529216/Uo8lOkRJ_normal.jpg","View")</f>
        <v>View</v>
      </c>
      <c r="P711" s="7"/>
    </row>
    <row r="712" spans="1:16">
      <c r="A712" s="3">
        <v>43815.950150462959</v>
      </c>
      <c r="B712" s="4" t="str">
        <f>HYPERLINK("https://twitter.com/petrogustavo","@petrogustavo")</f>
        <v>@petrogustavo</v>
      </c>
      <c r="C712" s="5" t="s">
        <v>16</v>
      </c>
      <c r="D712" s="5" t="s">
        <v>714</v>
      </c>
      <c r="E712" s="6" t="str">
        <f>HYPERLINK("https://twitter.com/petrogustavo/status/1206624582133784576","1206624582133784576")</f>
        <v>1206624582133784576</v>
      </c>
      <c r="F712" s="7" t="s">
        <v>17</v>
      </c>
      <c r="G712" s="7">
        <v>3582512</v>
      </c>
      <c r="H712" s="7">
        <v>2337</v>
      </c>
      <c r="I712" s="7">
        <v>286</v>
      </c>
      <c r="J712" s="7">
        <v>0</v>
      </c>
      <c r="K712" s="7" t="s">
        <v>18</v>
      </c>
      <c r="L712" s="8">
        <v>39987.315405092595</v>
      </c>
      <c r="M712" s="9" t="s">
        <v>19</v>
      </c>
      <c r="N712" s="9" t="s">
        <v>20</v>
      </c>
      <c r="O712" s="6" t="str">
        <f>HYPERLINK("https://pbs.twimg.com/profile_images/962471262747529216/Uo8lOkRJ_normal.jpg","View")</f>
        <v>View</v>
      </c>
      <c r="P712" s="7"/>
    </row>
    <row r="713" spans="1:16">
      <c r="A713" s="3">
        <v>43815.969178240739</v>
      </c>
      <c r="B713" s="4" t="str">
        <f>HYPERLINK("https://twitter.com/petrogustavo","@petrogustavo")</f>
        <v>@petrogustavo</v>
      </c>
      <c r="C713" s="5" t="s">
        <v>16</v>
      </c>
      <c r="D713" s="5" t="s">
        <v>715</v>
      </c>
      <c r="E713" s="6" t="str">
        <f>HYPERLINK("https://twitter.com/petrogustavo/status/1206631479306047488","1206631479306047488")</f>
        <v>1206631479306047488</v>
      </c>
      <c r="F713" s="7" t="s">
        <v>17</v>
      </c>
      <c r="G713" s="7">
        <v>3582512</v>
      </c>
      <c r="H713" s="7">
        <v>2337</v>
      </c>
      <c r="I713" s="7">
        <v>29</v>
      </c>
      <c r="J713" s="7">
        <v>64</v>
      </c>
      <c r="K713" s="7" t="s">
        <v>18</v>
      </c>
      <c r="L713" s="8">
        <v>39987.315405092595</v>
      </c>
      <c r="M713" s="9" t="s">
        <v>19</v>
      </c>
      <c r="N713" s="9" t="s">
        <v>20</v>
      </c>
      <c r="O713" s="6" t="str">
        <f>HYPERLINK("https://pbs.twimg.com/profile_images/962471262747529216/Uo8lOkRJ_normal.jpg","View")</f>
        <v>View</v>
      </c>
      <c r="P713" s="7"/>
    </row>
    <row r="714" spans="1:16">
      <c r="A714" s="3">
        <v>43815.970543981486</v>
      </c>
      <c r="B714" s="4" t="str">
        <f>HYPERLINK("https://twitter.com/petrogustavo","@petrogustavo")</f>
        <v>@petrogustavo</v>
      </c>
      <c r="C714" s="5" t="s">
        <v>16</v>
      </c>
      <c r="D714" s="5" t="s">
        <v>716</v>
      </c>
      <c r="E714" s="6" t="str">
        <f>HYPERLINK("https://twitter.com/petrogustavo/status/1206631975387357185","1206631975387357185")</f>
        <v>1206631975387357185</v>
      </c>
      <c r="F714" s="7" t="s">
        <v>17</v>
      </c>
      <c r="G714" s="7">
        <v>3582520</v>
      </c>
      <c r="H714" s="7">
        <v>2337</v>
      </c>
      <c r="I714" s="7">
        <v>486</v>
      </c>
      <c r="J714" s="7">
        <v>1428</v>
      </c>
      <c r="K714" s="7" t="s">
        <v>18</v>
      </c>
      <c r="L714" s="8">
        <v>39987.315405092595</v>
      </c>
      <c r="M714" s="9" t="s">
        <v>19</v>
      </c>
      <c r="N714" s="9" t="s">
        <v>20</v>
      </c>
      <c r="O714" s="6" t="str">
        <f>HYPERLINK("https://pbs.twimg.com/profile_images/962471262747529216/Uo8lOkRJ_normal.jpg","View")</f>
        <v>View</v>
      </c>
      <c r="P714" s="7"/>
    </row>
    <row r="715" spans="1:16">
      <c r="A715" s="3">
        <v>43815.974456018521</v>
      </c>
      <c r="B715" s="4" t="str">
        <f>HYPERLINK("https://twitter.com/petrogustavo","@petrogustavo")</f>
        <v>@petrogustavo</v>
      </c>
      <c r="C715" s="5" t="s">
        <v>16</v>
      </c>
      <c r="D715" s="5" t="s">
        <v>713</v>
      </c>
      <c r="E715" s="6" t="str">
        <f>HYPERLINK("https://twitter.com/petrogustavo/status/1206633394102255618","1206633394102255618")</f>
        <v>1206633394102255618</v>
      </c>
      <c r="F715" s="7" t="s">
        <v>17</v>
      </c>
      <c r="G715" s="7">
        <v>3582520</v>
      </c>
      <c r="H715" s="7">
        <v>2337</v>
      </c>
      <c r="I715" s="7">
        <v>1795</v>
      </c>
      <c r="J715" s="7">
        <v>0</v>
      </c>
      <c r="K715" s="7" t="s">
        <v>18</v>
      </c>
      <c r="L715" s="8">
        <v>39987.315405092595</v>
      </c>
      <c r="M715" s="9" t="s">
        <v>19</v>
      </c>
      <c r="N715" s="9" t="s">
        <v>20</v>
      </c>
      <c r="O715" s="6" t="str">
        <f>HYPERLINK("https://pbs.twimg.com/profile_images/962471262747529216/Uo8lOkRJ_normal.jpg","View")</f>
        <v>View</v>
      </c>
      <c r="P715" s="7"/>
    </row>
    <row r="716" spans="1:16">
      <c r="A716" s="3">
        <v>43816.09306712963</v>
      </c>
      <c r="B716" s="4" t="str">
        <f>HYPERLINK("https://twitter.com/petrogustavo","@petrogustavo")</f>
        <v>@petrogustavo</v>
      </c>
      <c r="C716" s="5" t="s">
        <v>16</v>
      </c>
      <c r="D716" s="5" t="s">
        <v>717</v>
      </c>
      <c r="E716" s="6" t="str">
        <f>HYPERLINK("https://twitter.com/petrogustavo/status/1206676375219982343","1206676375219982343")</f>
        <v>1206676375219982343</v>
      </c>
      <c r="F716" s="7" t="s">
        <v>17</v>
      </c>
      <c r="G716" s="7">
        <v>3582609</v>
      </c>
      <c r="H716" s="7">
        <v>2337</v>
      </c>
      <c r="I716" s="7">
        <v>49</v>
      </c>
      <c r="J716" s="7">
        <v>0</v>
      </c>
      <c r="K716" s="7" t="s">
        <v>18</v>
      </c>
      <c r="L716" s="8">
        <v>39987.315405092595</v>
      </c>
      <c r="M716" s="9" t="s">
        <v>19</v>
      </c>
      <c r="N716" s="9" t="s">
        <v>20</v>
      </c>
      <c r="O716" s="6" t="str">
        <f>HYPERLINK("https://pbs.twimg.com/profile_images/962471262747529216/Uo8lOkRJ_normal.jpg","View")</f>
        <v>View</v>
      </c>
      <c r="P716" s="7"/>
    </row>
    <row r="717" spans="1:16">
      <c r="A717" s="3">
        <v>43816.093136574069</v>
      </c>
      <c r="B717" s="4" t="str">
        <f>HYPERLINK("https://twitter.com/petrogustavo","@petrogustavo")</f>
        <v>@petrogustavo</v>
      </c>
      <c r="C717" s="5" t="s">
        <v>16</v>
      </c>
      <c r="D717" s="5" t="s">
        <v>718</v>
      </c>
      <c r="E717" s="6" t="str">
        <f>HYPERLINK("https://twitter.com/petrogustavo/status/1206676402046722054","1206676402046722054")</f>
        <v>1206676402046722054</v>
      </c>
      <c r="F717" s="7" t="s">
        <v>17</v>
      </c>
      <c r="G717" s="7">
        <v>3582609</v>
      </c>
      <c r="H717" s="7">
        <v>2337</v>
      </c>
      <c r="I717" s="7">
        <v>59</v>
      </c>
      <c r="J717" s="7">
        <v>0</v>
      </c>
      <c r="K717" s="7" t="s">
        <v>18</v>
      </c>
      <c r="L717" s="8">
        <v>39987.315405092595</v>
      </c>
      <c r="M717" s="9" t="s">
        <v>19</v>
      </c>
      <c r="N717" s="9" t="s">
        <v>20</v>
      </c>
      <c r="O717" s="6" t="str">
        <f>HYPERLINK("https://pbs.twimg.com/profile_images/962471262747529216/Uo8lOkRJ_normal.jpg","View")</f>
        <v>View</v>
      </c>
      <c r="P717" s="7"/>
    </row>
    <row r="718" spans="1:16">
      <c r="A718" s="3">
        <v>43816.093425925923</v>
      </c>
      <c r="B718" s="4" t="str">
        <f>HYPERLINK("https://twitter.com/petrogustavo","@petrogustavo")</f>
        <v>@petrogustavo</v>
      </c>
      <c r="C718" s="5" t="s">
        <v>16</v>
      </c>
      <c r="D718" s="5" t="s">
        <v>719</v>
      </c>
      <c r="E718" s="6" t="str">
        <f>HYPERLINK("https://twitter.com/petrogustavo/status/1206676505415299072","1206676505415299072")</f>
        <v>1206676505415299072</v>
      </c>
      <c r="F718" s="7" t="s">
        <v>17</v>
      </c>
      <c r="G718" s="7">
        <v>3582609</v>
      </c>
      <c r="H718" s="7">
        <v>2337</v>
      </c>
      <c r="I718" s="7">
        <v>2541</v>
      </c>
      <c r="J718" s="7">
        <v>0</v>
      </c>
      <c r="K718" s="7" t="s">
        <v>18</v>
      </c>
      <c r="L718" s="8">
        <v>39987.315405092595</v>
      </c>
      <c r="M718" s="9" t="s">
        <v>19</v>
      </c>
      <c r="N718" s="9" t="s">
        <v>20</v>
      </c>
      <c r="O718" s="6" t="str">
        <f>HYPERLINK("https://pbs.twimg.com/profile_images/962471262747529216/Uo8lOkRJ_normal.jpg","View")</f>
        <v>View</v>
      </c>
      <c r="P718" s="7"/>
    </row>
    <row r="719" spans="1:16">
      <c r="A719" s="3">
        <v>43816.093553240746</v>
      </c>
      <c r="B719" s="4" t="str">
        <f>HYPERLINK("https://twitter.com/petrogustavo","@petrogustavo")</f>
        <v>@petrogustavo</v>
      </c>
      <c r="C719" s="5" t="s">
        <v>16</v>
      </c>
      <c r="D719" s="5" t="s">
        <v>720</v>
      </c>
      <c r="E719" s="6" t="str">
        <f>HYPERLINK("https://twitter.com/petrogustavo/status/1206676552928448514","1206676552928448514")</f>
        <v>1206676552928448514</v>
      </c>
      <c r="F719" s="7" t="s">
        <v>17</v>
      </c>
      <c r="G719" s="7">
        <v>3582609</v>
      </c>
      <c r="H719" s="7">
        <v>2337</v>
      </c>
      <c r="I719" s="7">
        <v>30</v>
      </c>
      <c r="J719" s="7">
        <v>0</v>
      </c>
      <c r="K719" s="7" t="s">
        <v>18</v>
      </c>
      <c r="L719" s="8">
        <v>39987.315405092595</v>
      </c>
      <c r="M719" s="9" t="s">
        <v>19</v>
      </c>
      <c r="N719" s="9" t="s">
        <v>20</v>
      </c>
      <c r="O719" s="6" t="str">
        <f>HYPERLINK("https://pbs.twimg.com/profile_images/962471262747529216/Uo8lOkRJ_normal.jpg","View")</f>
        <v>View</v>
      </c>
      <c r="P719" s="7"/>
    </row>
    <row r="720" spans="1:16">
      <c r="A720" s="3">
        <v>43816.095162037032</v>
      </c>
      <c r="B720" s="4" t="str">
        <f>HYPERLINK("https://twitter.com/petrogustavo","@petrogustavo")</f>
        <v>@petrogustavo</v>
      </c>
      <c r="C720" s="5" t="s">
        <v>16</v>
      </c>
      <c r="D720" s="5" t="s">
        <v>721</v>
      </c>
      <c r="E720" s="6" t="str">
        <f>HYPERLINK("https://twitter.com/petrogustavo/status/1206677133323620352","1206677133323620352")</f>
        <v>1206677133323620352</v>
      </c>
      <c r="F720" s="7" t="s">
        <v>17</v>
      </c>
      <c r="G720" s="7">
        <v>3582609</v>
      </c>
      <c r="H720" s="7">
        <v>2337</v>
      </c>
      <c r="I720" s="7">
        <v>104</v>
      </c>
      <c r="J720" s="7">
        <v>0</v>
      </c>
      <c r="K720" s="7" t="s">
        <v>18</v>
      </c>
      <c r="L720" s="8">
        <v>39987.315405092595</v>
      </c>
      <c r="M720" s="9" t="s">
        <v>19</v>
      </c>
      <c r="N720" s="9" t="s">
        <v>20</v>
      </c>
      <c r="O720" s="6" t="str">
        <f>HYPERLINK("https://pbs.twimg.com/profile_images/962471262747529216/Uo8lOkRJ_normal.jpg","View")</f>
        <v>View</v>
      </c>
      <c r="P720" s="7"/>
    </row>
    <row r="721" spans="1:16">
      <c r="A721" s="3">
        <v>43816.095335648148</v>
      </c>
      <c r="B721" s="4" t="str">
        <f>HYPERLINK("https://twitter.com/petrogustavo","@petrogustavo")</f>
        <v>@petrogustavo</v>
      </c>
      <c r="C721" s="5" t="s">
        <v>16</v>
      </c>
      <c r="D721" s="5" t="s">
        <v>722</v>
      </c>
      <c r="E721" s="6" t="str">
        <f>HYPERLINK("https://twitter.com/petrogustavo/status/1206677195906834432","1206677195906834432")</f>
        <v>1206677195906834432</v>
      </c>
      <c r="F721" s="7" t="s">
        <v>17</v>
      </c>
      <c r="G721" s="7">
        <v>3582609</v>
      </c>
      <c r="H721" s="7">
        <v>2337</v>
      </c>
      <c r="I721" s="7">
        <v>3</v>
      </c>
      <c r="J721" s="7">
        <v>0</v>
      </c>
      <c r="K721" s="7" t="s">
        <v>18</v>
      </c>
      <c r="L721" s="8">
        <v>39987.315405092595</v>
      </c>
      <c r="M721" s="9" t="s">
        <v>19</v>
      </c>
      <c r="N721" s="9" t="s">
        <v>20</v>
      </c>
      <c r="O721" s="6" t="str">
        <f>HYPERLINK("https://pbs.twimg.com/profile_images/962471262747529216/Uo8lOkRJ_normal.jpg","View")</f>
        <v>View</v>
      </c>
      <c r="P721" s="7"/>
    </row>
    <row r="722" spans="1:16">
      <c r="A722" s="3">
        <v>43816.097592592589</v>
      </c>
      <c r="B722" s="4" t="str">
        <f>HYPERLINK("https://twitter.com/petrogustavo","@petrogustavo")</f>
        <v>@petrogustavo</v>
      </c>
      <c r="C722" s="5" t="s">
        <v>16</v>
      </c>
      <c r="D722" s="5" t="s">
        <v>723</v>
      </c>
      <c r="E722" s="6" t="str">
        <f>HYPERLINK("https://twitter.com/petrogustavo/status/1206678016509775875","1206678016509775875")</f>
        <v>1206678016509775875</v>
      </c>
      <c r="F722" s="7" t="s">
        <v>17</v>
      </c>
      <c r="G722" s="7">
        <v>3582619</v>
      </c>
      <c r="H722" s="7">
        <v>2337</v>
      </c>
      <c r="I722" s="7">
        <v>265</v>
      </c>
      <c r="J722" s="7">
        <v>667</v>
      </c>
      <c r="K722" s="7" t="s">
        <v>18</v>
      </c>
      <c r="L722" s="8">
        <v>39987.315405092595</v>
      </c>
      <c r="M722" s="9" t="s">
        <v>19</v>
      </c>
      <c r="N722" s="9" t="s">
        <v>20</v>
      </c>
      <c r="O722" s="6" t="str">
        <f>HYPERLINK("https://pbs.twimg.com/profile_images/962471262747529216/Uo8lOkRJ_normal.jpg","View")</f>
        <v>View</v>
      </c>
      <c r="P722" s="7"/>
    </row>
    <row r="723" spans="1:16">
      <c r="A723" s="3">
        <v>43816.184756944444</v>
      </c>
      <c r="B723" s="4" t="str">
        <f>HYPERLINK("https://twitter.com/petrogustavo","@petrogustavo")</f>
        <v>@petrogustavo</v>
      </c>
      <c r="C723" s="5" t="s">
        <v>16</v>
      </c>
      <c r="D723" s="5" t="s">
        <v>724</v>
      </c>
      <c r="E723" s="6" t="str">
        <f>HYPERLINK("https://twitter.com/petrogustavo/status/1206709601737093120","1206709601737093120")</f>
        <v>1206709601737093120</v>
      </c>
      <c r="F723" s="7" t="s">
        <v>17</v>
      </c>
      <c r="G723" s="7">
        <v>3582659</v>
      </c>
      <c r="H723" s="7">
        <v>2337</v>
      </c>
      <c r="I723" s="7">
        <v>353</v>
      </c>
      <c r="J723" s="7">
        <v>922</v>
      </c>
      <c r="K723" s="7" t="s">
        <v>18</v>
      </c>
      <c r="L723" s="8">
        <v>39987.315405092595</v>
      </c>
      <c r="M723" s="9" t="s">
        <v>19</v>
      </c>
      <c r="N723" s="9" t="s">
        <v>20</v>
      </c>
      <c r="O723" s="6" t="str">
        <f>HYPERLINK("https://pbs.twimg.com/profile_images/962471262747529216/Uo8lOkRJ_normal.jpg","View")</f>
        <v>View</v>
      </c>
      <c r="P723" s="7"/>
    </row>
    <row r="724" spans="1:16">
      <c r="A724" s="3">
        <v>43816.238657407404</v>
      </c>
      <c r="B724" s="4" t="str">
        <f>HYPERLINK("https://twitter.com/petrogustavo","@petrogustavo")</f>
        <v>@petrogustavo</v>
      </c>
      <c r="C724" s="5" t="s">
        <v>16</v>
      </c>
      <c r="D724" s="5" t="s">
        <v>725</v>
      </c>
      <c r="E724" s="6" t="str">
        <f>HYPERLINK("https://twitter.com/petrogustavo/status/1206729136695320577","1206729136695320577")</f>
        <v>1206729136695320577</v>
      </c>
      <c r="F724" s="7" t="s">
        <v>32</v>
      </c>
      <c r="G724" s="7">
        <v>3582702</v>
      </c>
      <c r="H724" s="7">
        <v>2337</v>
      </c>
      <c r="I724" s="7">
        <v>887</v>
      </c>
      <c r="J724" s="7">
        <v>0</v>
      </c>
      <c r="K724" s="7" t="s">
        <v>18</v>
      </c>
      <c r="L724" s="8">
        <v>39987.315405092595</v>
      </c>
      <c r="M724" s="9" t="s">
        <v>19</v>
      </c>
      <c r="N724" s="9" t="s">
        <v>20</v>
      </c>
      <c r="O724" s="6" t="str">
        <f>HYPERLINK("https://pbs.twimg.com/profile_images/962471262747529216/Uo8lOkRJ_normal.jpg","View")</f>
        <v>View</v>
      </c>
      <c r="P724" s="7"/>
    </row>
    <row r="725" spans="1:16">
      <c r="A725" s="3">
        <v>43816.264999999999</v>
      </c>
      <c r="B725" s="4" t="str">
        <f>HYPERLINK("https://twitter.com/petrogustavo","@petrogustavo")</f>
        <v>@petrogustavo</v>
      </c>
      <c r="C725" s="5" t="s">
        <v>16</v>
      </c>
      <c r="D725" s="5" t="s">
        <v>726</v>
      </c>
      <c r="E725" s="6" t="str">
        <f>HYPERLINK("https://twitter.com/petrogustavo/status/1206738680456585221","1206738680456585221")</f>
        <v>1206738680456585221</v>
      </c>
      <c r="F725" s="7" t="s">
        <v>17</v>
      </c>
      <c r="G725" s="7">
        <v>3582743</v>
      </c>
      <c r="H725" s="7">
        <v>2337</v>
      </c>
      <c r="I725" s="7">
        <v>449</v>
      </c>
      <c r="J725" s="7">
        <v>1115</v>
      </c>
      <c r="K725" s="7" t="s">
        <v>18</v>
      </c>
      <c r="L725" s="8">
        <v>39987.315405092595</v>
      </c>
      <c r="M725" s="9" t="s">
        <v>19</v>
      </c>
      <c r="N725" s="9" t="s">
        <v>20</v>
      </c>
      <c r="O725" s="6" t="str">
        <f>HYPERLINK("https://pbs.twimg.com/profile_images/962471262747529216/Uo8lOkRJ_normal.jpg","View")</f>
        <v>View</v>
      </c>
      <c r="P725" s="7"/>
    </row>
    <row r="726" spans="1:16">
      <c r="A726" s="3">
        <v>43816.270787037036</v>
      </c>
      <c r="B726" s="4" t="str">
        <f>HYPERLINK("https://twitter.com/petrogustavo","@petrogustavo")</f>
        <v>@petrogustavo</v>
      </c>
      <c r="C726" s="5" t="s">
        <v>16</v>
      </c>
      <c r="D726" s="5" t="s">
        <v>727</v>
      </c>
      <c r="E726" s="6" t="str">
        <f>HYPERLINK("https://twitter.com/petrogustavo/status/1206740779202416641","1206740779202416641")</f>
        <v>1206740779202416641</v>
      </c>
      <c r="F726" s="7" t="s">
        <v>17</v>
      </c>
      <c r="G726" s="7">
        <v>3582743</v>
      </c>
      <c r="H726" s="7">
        <v>2337</v>
      </c>
      <c r="I726" s="7">
        <v>167</v>
      </c>
      <c r="J726" s="7">
        <v>377</v>
      </c>
      <c r="K726" s="7" t="s">
        <v>18</v>
      </c>
      <c r="L726" s="8">
        <v>39987.315405092595</v>
      </c>
      <c r="M726" s="9" t="s">
        <v>19</v>
      </c>
      <c r="N726" s="9" t="s">
        <v>20</v>
      </c>
      <c r="O726" s="6" t="str">
        <f>HYPERLINK("https://pbs.twimg.com/profile_images/962471262747529216/Uo8lOkRJ_normal.jpg","View")</f>
        <v>View</v>
      </c>
      <c r="P726" s="7"/>
    </row>
    <row r="727" spans="1:16">
      <c r="A727" s="3">
        <v>43816.274363425924</v>
      </c>
      <c r="B727" s="4" t="str">
        <f>HYPERLINK("https://twitter.com/petrogustavo","@petrogustavo")</f>
        <v>@petrogustavo</v>
      </c>
      <c r="C727" s="5" t="s">
        <v>16</v>
      </c>
      <c r="D727" s="5" t="s">
        <v>728</v>
      </c>
      <c r="E727" s="6" t="str">
        <f>HYPERLINK("https://twitter.com/petrogustavo/status/1206742076773347328","1206742076773347328")</f>
        <v>1206742076773347328</v>
      </c>
      <c r="F727" s="7" t="s">
        <v>17</v>
      </c>
      <c r="G727" s="7">
        <v>3582743</v>
      </c>
      <c r="H727" s="7">
        <v>2337</v>
      </c>
      <c r="I727" s="7">
        <v>194</v>
      </c>
      <c r="J727" s="7">
        <v>0</v>
      </c>
      <c r="K727" s="7" t="s">
        <v>18</v>
      </c>
      <c r="L727" s="8">
        <v>39987.315405092595</v>
      </c>
      <c r="M727" s="9" t="s">
        <v>19</v>
      </c>
      <c r="N727" s="9" t="s">
        <v>20</v>
      </c>
      <c r="O727" s="6" t="str">
        <f>HYPERLINK("https://pbs.twimg.com/profile_images/962471262747529216/Uo8lOkRJ_normal.jpg","View")</f>
        <v>View</v>
      </c>
      <c r="P727" s="7"/>
    </row>
    <row r="728" spans="1:16">
      <c r="A728" s="3">
        <v>43816.277881944443</v>
      </c>
      <c r="B728" s="4" t="str">
        <f>HYPERLINK("https://twitter.com/petrogustavo","@petrogustavo")</f>
        <v>@petrogustavo</v>
      </c>
      <c r="C728" s="5" t="s">
        <v>16</v>
      </c>
      <c r="D728" s="5" t="s">
        <v>725</v>
      </c>
      <c r="E728" s="6" t="str">
        <f>HYPERLINK("https://twitter.com/petrogustavo/status/1206743349698400256","1206743349698400256")</f>
        <v>1206743349698400256</v>
      </c>
      <c r="F728" s="7" t="s">
        <v>17</v>
      </c>
      <c r="G728" s="7">
        <v>3582743</v>
      </c>
      <c r="H728" s="7">
        <v>2337</v>
      </c>
      <c r="I728" s="7">
        <v>1247</v>
      </c>
      <c r="J728" s="7">
        <v>0</v>
      </c>
      <c r="K728" s="7" t="s">
        <v>18</v>
      </c>
      <c r="L728" s="8">
        <v>39987.315405092595</v>
      </c>
      <c r="M728" s="9" t="s">
        <v>19</v>
      </c>
      <c r="N728" s="9" t="s">
        <v>20</v>
      </c>
      <c r="O728" s="6" t="str">
        <f>HYPERLINK("https://pbs.twimg.com/profile_images/962471262747529216/Uo8lOkRJ_normal.jpg","View")</f>
        <v>View</v>
      </c>
      <c r="P728" s="7"/>
    </row>
    <row r="729" spans="1:16">
      <c r="A729" s="3">
        <v>43816.282870370371</v>
      </c>
      <c r="B729" s="4" t="str">
        <f>HYPERLINK("https://twitter.com/petrogustavo","@petrogustavo")</f>
        <v>@petrogustavo</v>
      </c>
      <c r="C729" s="5" t="s">
        <v>16</v>
      </c>
      <c r="D729" s="5" t="s">
        <v>729</v>
      </c>
      <c r="E729" s="6" t="str">
        <f>HYPERLINK("https://twitter.com/petrogustavo/status/1206745159632863232","1206745159632863232")</f>
        <v>1206745159632863232</v>
      </c>
      <c r="F729" s="7" t="s">
        <v>17</v>
      </c>
      <c r="G729" s="7">
        <v>3582775</v>
      </c>
      <c r="H729" s="7">
        <v>2337</v>
      </c>
      <c r="I729" s="7">
        <v>619</v>
      </c>
      <c r="J729" s="7">
        <v>0</v>
      </c>
      <c r="K729" s="7" t="s">
        <v>18</v>
      </c>
      <c r="L729" s="8">
        <v>39987.315405092595</v>
      </c>
      <c r="M729" s="9" t="s">
        <v>19</v>
      </c>
      <c r="N729" s="9" t="s">
        <v>20</v>
      </c>
      <c r="O729" s="6" t="str">
        <f>HYPERLINK("https://pbs.twimg.com/profile_images/962471262747529216/Uo8lOkRJ_normal.jpg","View")</f>
        <v>View</v>
      </c>
      <c r="P729" s="7"/>
    </row>
    <row r="730" spans="1:16">
      <c r="A730" s="3">
        <v>43816.283564814818</v>
      </c>
      <c r="B730" s="4" t="str">
        <f>HYPERLINK("https://twitter.com/petrogustavo","@petrogustavo")</f>
        <v>@petrogustavo</v>
      </c>
      <c r="C730" s="5" t="s">
        <v>16</v>
      </c>
      <c r="D730" s="5" t="s">
        <v>730</v>
      </c>
      <c r="E730" s="6" t="str">
        <f>HYPERLINK("https://twitter.com/petrogustavo/status/1206745408921374720","1206745408921374720")</f>
        <v>1206745408921374720</v>
      </c>
      <c r="F730" s="7" t="s">
        <v>17</v>
      </c>
      <c r="G730" s="7">
        <v>3582775</v>
      </c>
      <c r="H730" s="7">
        <v>2337</v>
      </c>
      <c r="I730" s="7">
        <v>155</v>
      </c>
      <c r="J730" s="7">
        <v>0</v>
      </c>
      <c r="K730" s="7" t="s">
        <v>18</v>
      </c>
      <c r="L730" s="8">
        <v>39987.315405092595</v>
      </c>
      <c r="M730" s="9" t="s">
        <v>19</v>
      </c>
      <c r="N730" s="9" t="s">
        <v>20</v>
      </c>
      <c r="O730" s="6" t="str">
        <f>HYPERLINK("https://pbs.twimg.com/profile_images/962471262747529216/Uo8lOkRJ_normal.jpg","View")</f>
        <v>View</v>
      </c>
      <c r="P730" s="7"/>
    </row>
    <row r="731" spans="1:16">
      <c r="A731" s="3">
        <v>43816.292766203704</v>
      </c>
      <c r="B731" s="4" t="str">
        <f>HYPERLINK("https://twitter.com/petrogustavo","@petrogustavo")</f>
        <v>@petrogustavo</v>
      </c>
      <c r="C731" s="5" t="s">
        <v>16</v>
      </c>
      <c r="D731" s="5" t="s">
        <v>725</v>
      </c>
      <c r="E731" s="6" t="str">
        <f>HYPERLINK("https://twitter.com/petrogustavo/status/1206748743896305670","1206748743896305670")</f>
        <v>1206748743896305670</v>
      </c>
      <c r="F731" s="7" t="s">
        <v>17</v>
      </c>
      <c r="G731" s="7">
        <v>3582775</v>
      </c>
      <c r="H731" s="7">
        <v>2337</v>
      </c>
      <c r="I731" s="7">
        <v>1374</v>
      </c>
      <c r="J731" s="7">
        <v>0</v>
      </c>
      <c r="K731" s="7" t="s">
        <v>18</v>
      </c>
      <c r="L731" s="8">
        <v>39987.315405092595</v>
      </c>
      <c r="M731" s="9" t="s">
        <v>19</v>
      </c>
      <c r="N731" s="9" t="s">
        <v>20</v>
      </c>
      <c r="O731" s="6" t="str">
        <f>HYPERLINK("https://pbs.twimg.com/profile_images/962471262747529216/Uo8lOkRJ_normal.jpg","View")</f>
        <v>View</v>
      </c>
      <c r="P731" s="7"/>
    </row>
    <row r="732" spans="1:16">
      <c r="A732" s="3">
        <v>43816.345370370371</v>
      </c>
      <c r="B732" s="4" t="str">
        <f>HYPERLINK("https://twitter.com/petrogustavo","@petrogustavo")</f>
        <v>@petrogustavo</v>
      </c>
      <c r="C732" s="5" t="s">
        <v>16</v>
      </c>
      <c r="D732" s="5" t="s">
        <v>731</v>
      </c>
      <c r="E732" s="6" t="str">
        <f>HYPERLINK("https://twitter.com/petrogustavo/status/1206767807662350337","1206767807662350337")</f>
        <v>1206767807662350337</v>
      </c>
      <c r="F732" s="7" t="s">
        <v>17</v>
      </c>
      <c r="G732" s="7">
        <v>3582818</v>
      </c>
      <c r="H732" s="7">
        <v>2337</v>
      </c>
      <c r="I732" s="7">
        <v>9</v>
      </c>
      <c r="J732" s="7">
        <v>0</v>
      </c>
      <c r="K732" s="7" t="s">
        <v>18</v>
      </c>
      <c r="L732" s="8">
        <v>39987.315405092595</v>
      </c>
      <c r="M732" s="9" t="s">
        <v>19</v>
      </c>
      <c r="N732" s="9" t="s">
        <v>20</v>
      </c>
      <c r="O732" s="6" t="str">
        <f>HYPERLINK("https://pbs.twimg.com/profile_images/962471262747529216/Uo8lOkRJ_normal.jpg","View")</f>
        <v>View</v>
      </c>
      <c r="P732" s="7"/>
    </row>
    <row r="733" spans="1:16">
      <c r="A733" s="3">
        <v>43816.345405092594</v>
      </c>
      <c r="B733" s="4" t="str">
        <f>HYPERLINK("https://twitter.com/petrogustavo","@petrogustavo")</f>
        <v>@petrogustavo</v>
      </c>
      <c r="C733" s="5" t="s">
        <v>16</v>
      </c>
      <c r="D733" s="5" t="s">
        <v>732</v>
      </c>
      <c r="E733" s="6" t="str">
        <f>HYPERLINK("https://twitter.com/petrogustavo/status/1206767819716734978","1206767819716734978")</f>
        <v>1206767819716734978</v>
      </c>
      <c r="F733" s="7" t="s">
        <v>17</v>
      </c>
      <c r="G733" s="7">
        <v>3582818</v>
      </c>
      <c r="H733" s="7">
        <v>2337</v>
      </c>
      <c r="I733" s="7">
        <v>67</v>
      </c>
      <c r="J733" s="7">
        <v>0</v>
      </c>
      <c r="K733" s="7" t="s">
        <v>18</v>
      </c>
      <c r="L733" s="8">
        <v>39987.315405092595</v>
      </c>
      <c r="M733" s="9" t="s">
        <v>19</v>
      </c>
      <c r="N733" s="9" t="s">
        <v>20</v>
      </c>
      <c r="O733" s="6" t="str">
        <f>HYPERLINK("https://pbs.twimg.com/profile_images/962471262747529216/Uo8lOkRJ_normal.jpg","View")</f>
        <v>View</v>
      </c>
      <c r="P733" s="7"/>
    </row>
    <row r="734" spans="1:16">
      <c r="A734" s="3">
        <v>43816.347534722227</v>
      </c>
      <c r="B734" s="4" t="str">
        <f>HYPERLINK("https://twitter.com/petrogustavo","@petrogustavo")</f>
        <v>@petrogustavo</v>
      </c>
      <c r="C734" s="5" t="s">
        <v>16</v>
      </c>
      <c r="D734" s="5" t="s">
        <v>733</v>
      </c>
      <c r="E734" s="6" t="str">
        <f>HYPERLINK("https://twitter.com/petrogustavo/status/1206768592726953984","1206768592726953984")</f>
        <v>1206768592726953984</v>
      </c>
      <c r="F734" s="7" t="s">
        <v>17</v>
      </c>
      <c r="G734" s="7">
        <v>3582845</v>
      </c>
      <c r="H734" s="7">
        <v>2337</v>
      </c>
      <c r="I734" s="7">
        <v>902</v>
      </c>
      <c r="J734" s="7">
        <v>0</v>
      </c>
      <c r="K734" s="7" t="s">
        <v>18</v>
      </c>
      <c r="L734" s="8">
        <v>39987.315405092595</v>
      </c>
      <c r="M734" s="9" t="s">
        <v>19</v>
      </c>
      <c r="N734" s="9" t="s">
        <v>20</v>
      </c>
      <c r="O734" s="6" t="str">
        <f>HYPERLINK("https://pbs.twimg.com/profile_images/962471262747529216/Uo8lOkRJ_normal.jpg","View")</f>
        <v>View</v>
      </c>
      <c r="P734" s="7"/>
    </row>
    <row r="735" spans="1:16">
      <c r="A735" s="3">
        <v>43816.349305555559</v>
      </c>
      <c r="B735" s="4" t="str">
        <f>HYPERLINK("https://twitter.com/petrogustavo","@petrogustavo")</f>
        <v>@petrogustavo</v>
      </c>
      <c r="C735" s="5" t="s">
        <v>16</v>
      </c>
      <c r="D735" s="5" t="s">
        <v>734</v>
      </c>
      <c r="E735" s="6" t="str">
        <f>HYPERLINK("https://twitter.com/petrogustavo/status/1206769231838224384","1206769231838224384")</f>
        <v>1206769231838224384</v>
      </c>
      <c r="F735" s="7" t="s">
        <v>17</v>
      </c>
      <c r="G735" s="7">
        <v>3582845</v>
      </c>
      <c r="H735" s="7">
        <v>2337</v>
      </c>
      <c r="I735" s="7">
        <v>98</v>
      </c>
      <c r="J735" s="7">
        <v>0</v>
      </c>
      <c r="K735" s="7" t="s">
        <v>18</v>
      </c>
      <c r="L735" s="8">
        <v>39987.315405092595</v>
      </c>
      <c r="M735" s="9" t="s">
        <v>19</v>
      </c>
      <c r="N735" s="9" t="s">
        <v>20</v>
      </c>
      <c r="O735" s="6" t="str">
        <f>HYPERLINK("https://pbs.twimg.com/profile_images/962471262747529216/Uo8lOkRJ_normal.jpg","View")</f>
        <v>View</v>
      </c>
      <c r="P735" s="7"/>
    </row>
    <row r="736" spans="1:16">
      <c r="A736" s="3">
        <v>43816.352905092594</v>
      </c>
      <c r="B736" s="4" t="str">
        <f>HYPERLINK("https://twitter.com/petrogustavo","@petrogustavo")</f>
        <v>@petrogustavo</v>
      </c>
      <c r="C736" s="5" t="s">
        <v>16</v>
      </c>
      <c r="D736" s="5" t="s">
        <v>735</v>
      </c>
      <c r="E736" s="6" t="str">
        <f>HYPERLINK("https://twitter.com/petrogustavo/status/1206770537541885952","1206770537541885952")</f>
        <v>1206770537541885952</v>
      </c>
      <c r="F736" s="7" t="s">
        <v>17</v>
      </c>
      <c r="G736" s="7">
        <v>3582845</v>
      </c>
      <c r="H736" s="7">
        <v>2337</v>
      </c>
      <c r="I736" s="7">
        <v>280</v>
      </c>
      <c r="J736" s="7">
        <v>0</v>
      </c>
      <c r="K736" s="7" t="s">
        <v>18</v>
      </c>
      <c r="L736" s="8">
        <v>39987.315405092595</v>
      </c>
      <c r="M736" s="9" t="s">
        <v>19</v>
      </c>
      <c r="N736" s="9" t="s">
        <v>20</v>
      </c>
      <c r="O736" s="6" t="str">
        <f>HYPERLINK("https://pbs.twimg.com/profile_images/962471262747529216/Uo8lOkRJ_normal.jpg","View")</f>
        <v>View</v>
      </c>
      <c r="P736" s="7"/>
    </row>
    <row r="737" spans="1:16">
      <c r="A737" s="3">
        <v>43816.363344907411</v>
      </c>
      <c r="B737" s="4" t="str">
        <f>HYPERLINK("https://twitter.com/petrogustavo","@petrogustavo")</f>
        <v>@petrogustavo</v>
      </c>
      <c r="C737" s="5" t="s">
        <v>16</v>
      </c>
      <c r="D737" s="5" t="s">
        <v>725</v>
      </c>
      <c r="E737" s="6" t="str">
        <f>HYPERLINK("https://twitter.com/petrogustavo/status/1206774319042445313","1206774319042445313")</f>
        <v>1206774319042445313</v>
      </c>
      <c r="F737" s="7" t="s">
        <v>17</v>
      </c>
      <c r="G737" s="7">
        <v>3582845</v>
      </c>
      <c r="H737" s="7">
        <v>2337</v>
      </c>
      <c r="I737" s="7">
        <v>1651</v>
      </c>
      <c r="J737" s="7">
        <v>0</v>
      </c>
      <c r="K737" s="7" t="s">
        <v>18</v>
      </c>
      <c r="L737" s="8">
        <v>39987.315405092595</v>
      </c>
      <c r="M737" s="9" t="s">
        <v>19</v>
      </c>
      <c r="N737" s="9" t="s">
        <v>20</v>
      </c>
      <c r="O737" s="6" t="str">
        <f>HYPERLINK("https://pbs.twimg.com/profile_images/962471262747529216/Uo8lOkRJ_normal.jpg","View")</f>
        <v>View</v>
      </c>
      <c r="P737" s="7"/>
    </row>
    <row r="738" spans="1:16">
      <c r="A738" s="3">
        <v>43816.75545138889</v>
      </c>
      <c r="B738" s="4" t="str">
        <f>HYPERLINK("https://twitter.com/petrogustavo","@petrogustavo")</f>
        <v>@petrogustavo</v>
      </c>
      <c r="C738" s="5" t="s">
        <v>16</v>
      </c>
      <c r="D738" s="5" t="s">
        <v>736</v>
      </c>
      <c r="E738" s="6" t="str">
        <f>HYPERLINK("https://twitter.com/petrogustavo/status/1206916414474469380","1206916414474469380")</f>
        <v>1206916414474469380</v>
      </c>
      <c r="F738" s="7" t="s">
        <v>32</v>
      </c>
      <c r="G738" s="7">
        <v>3583007</v>
      </c>
      <c r="H738" s="7">
        <v>2337</v>
      </c>
      <c r="I738" s="7">
        <v>6685</v>
      </c>
      <c r="J738" s="7">
        <v>0</v>
      </c>
      <c r="K738" s="7" t="s">
        <v>18</v>
      </c>
      <c r="L738" s="8">
        <v>39987.315405092595</v>
      </c>
      <c r="M738" s="9" t="s">
        <v>19</v>
      </c>
      <c r="N738" s="9" t="s">
        <v>20</v>
      </c>
      <c r="O738" s="6" t="str">
        <f>HYPERLINK("https://pbs.twimg.com/profile_images/962471262747529216/Uo8lOkRJ_normal.jpg","View")</f>
        <v>View</v>
      </c>
      <c r="P738" s="7"/>
    </row>
    <row r="739" spans="1:16">
      <c r="A739" s="3">
        <v>43816.755902777775</v>
      </c>
      <c r="B739" s="4" t="str">
        <f>HYPERLINK("https://twitter.com/petrogustavo","@petrogustavo")</f>
        <v>@petrogustavo</v>
      </c>
      <c r="C739" s="5" t="s">
        <v>16</v>
      </c>
      <c r="D739" s="5" t="s">
        <v>737</v>
      </c>
      <c r="E739" s="6" t="str">
        <f>HYPERLINK("https://twitter.com/petrogustavo/status/1206916577037295616","1206916577037295616")</f>
        <v>1206916577037295616</v>
      </c>
      <c r="F739" s="7" t="s">
        <v>32</v>
      </c>
      <c r="G739" s="7">
        <v>3583007</v>
      </c>
      <c r="H739" s="7">
        <v>2337</v>
      </c>
      <c r="I739" s="7">
        <v>143</v>
      </c>
      <c r="J739" s="7">
        <v>0</v>
      </c>
      <c r="K739" s="7" t="s">
        <v>18</v>
      </c>
      <c r="L739" s="8">
        <v>39987.315405092595</v>
      </c>
      <c r="M739" s="9" t="s">
        <v>19</v>
      </c>
      <c r="N739" s="9" t="s">
        <v>20</v>
      </c>
      <c r="O739" s="6" t="str">
        <f>HYPERLINK("https://pbs.twimg.com/profile_images/962471262747529216/Uo8lOkRJ_normal.jpg","View")</f>
        <v>View</v>
      </c>
      <c r="P739" s="7"/>
    </row>
    <row r="740" spans="1:16">
      <c r="A740" s="3">
        <v>43816.758043981477</v>
      </c>
      <c r="B740" s="4" t="str">
        <f>HYPERLINK("https://twitter.com/petrogustavo","@petrogustavo")</f>
        <v>@petrogustavo</v>
      </c>
      <c r="C740" s="5" t="s">
        <v>16</v>
      </c>
      <c r="D740" s="5" t="s">
        <v>738</v>
      </c>
      <c r="E740" s="6" t="str">
        <f>HYPERLINK("https://twitter.com/petrogustavo/status/1206917355898593280","1206917355898593280")</f>
        <v>1206917355898593280</v>
      </c>
      <c r="F740" s="7" t="s">
        <v>32</v>
      </c>
      <c r="G740" s="7">
        <v>3583007</v>
      </c>
      <c r="H740" s="7">
        <v>2337</v>
      </c>
      <c r="I740" s="7">
        <v>113</v>
      </c>
      <c r="J740" s="7">
        <v>203</v>
      </c>
      <c r="K740" s="7" t="s">
        <v>18</v>
      </c>
      <c r="L740" s="8">
        <v>39987.315405092595</v>
      </c>
      <c r="M740" s="9" t="s">
        <v>19</v>
      </c>
      <c r="N740" s="9" t="s">
        <v>20</v>
      </c>
      <c r="O740" s="6" t="str">
        <f>HYPERLINK("https://pbs.twimg.com/profile_images/962471262747529216/Uo8lOkRJ_normal.jpg","View")</f>
        <v>View</v>
      </c>
      <c r="P740" s="7"/>
    </row>
    <row r="741" spans="1:16">
      <c r="A741" s="3">
        <v>43816.764768518522</v>
      </c>
      <c r="B741" s="4" t="str">
        <f>HYPERLINK("https://twitter.com/petrogustavo","@petrogustavo")</f>
        <v>@petrogustavo</v>
      </c>
      <c r="C741" s="5" t="s">
        <v>16</v>
      </c>
      <c r="D741" s="5" t="s">
        <v>739</v>
      </c>
      <c r="E741" s="6" t="str">
        <f>HYPERLINK("https://twitter.com/petrogustavo/status/1206919790075490304","1206919790075490304")</f>
        <v>1206919790075490304</v>
      </c>
      <c r="F741" s="7" t="s">
        <v>32</v>
      </c>
      <c r="G741" s="7">
        <v>3583028</v>
      </c>
      <c r="H741" s="7">
        <v>2337</v>
      </c>
      <c r="I741" s="7">
        <v>112</v>
      </c>
      <c r="J741" s="7">
        <v>255</v>
      </c>
      <c r="K741" s="7" t="s">
        <v>18</v>
      </c>
      <c r="L741" s="8">
        <v>39987.315405092595</v>
      </c>
      <c r="M741" s="9" t="s">
        <v>19</v>
      </c>
      <c r="N741" s="9" t="s">
        <v>20</v>
      </c>
      <c r="O741" s="6" t="str">
        <f>HYPERLINK("https://pbs.twimg.com/profile_images/962471262747529216/Uo8lOkRJ_normal.jpg","View")</f>
        <v>View</v>
      </c>
      <c r="P741" s="7"/>
    </row>
    <row r="742" spans="1:16">
      <c r="A742" s="3">
        <v>43816.768101851849</v>
      </c>
      <c r="B742" s="4" t="str">
        <f>HYPERLINK("https://twitter.com/petrogustavo","@petrogustavo")</f>
        <v>@petrogustavo</v>
      </c>
      <c r="C742" s="5" t="s">
        <v>16</v>
      </c>
      <c r="D742" s="5" t="s">
        <v>740</v>
      </c>
      <c r="E742" s="6" t="str">
        <f>HYPERLINK("https://twitter.com/petrogustavo/status/1206921000719437824","1206921000719437824")</f>
        <v>1206921000719437824</v>
      </c>
      <c r="F742" s="7" t="s">
        <v>32</v>
      </c>
      <c r="G742" s="7">
        <v>3583028</v>
      </c>
      <c r="H742" s="7">
        <v>2337</v>
      </c>
      <c r="I742" s="7">
        <v>133</v>
      </c>
      <c r="J742" s="7">
        <v>241</v>
      </c>
      <c r="K742" s="7" t="s">
        <v>18</v>
      </c>
      <c r="L742" s="8">
        <v>39987.315405092595</v>
      </c>
      <c r="M742" s="9" t="s">
        <v>19</v>
      </c>
      <c r="N742" s="9" t="s">
        <v>20</v>
      </c>
      <c r="O742" s="6" t="str">
        <f>HYPERLINK("https://pbs.twimg.com/profile_images/962471262747529216/Uo8lOkRJ_normal.jpg","View")</f>
        <v>View</v>
      </c>
      <c r="P742" s="7"/>
    </row>
    <row r="743" spans="1:16">
      <c r="A743" s="3">
        <v>43816.773032407407</v>
      </c>
      <c r="B743" s="4" t="str">
        <f>HYPERLINK("https://twitter.com/petrogustavo","@petrogustavo")</f>
        <v>@petrogustavo</v>
      </c>
      <c r="C743" s="5" t="s">
        <v>16</v>
      </c>
      <c r="D743" s="5" t="s">
        <v>741</v>
      </c>
      <c r="E743" s="6" t="str">
        <f>HYPERLINK("https://twitter.com/petrogustavo/status/1206922786477879297","1206922786477879297")</f>
        <v>1206922786477879297</v>
      </c>
      <c r="F743" s="7" t="s">
        <v>32</v>
      </c>
      <c r="G743" s="7">
        <v>3583028</v>
      </c>
      <c r="H743" s="7">
        <v>2337</v>
      </c>
      <c r="I743" s="7">
        <v>3252</v>
      </c>
      <c r="J743" s="7">
        <v>0</v>
      </c>
      <c r="K743" s="7" t="s">
        <v>18</v>
      </c>
      <c r="L743" s="8">
        <v>39987.315405092595</v>
      </c>
      <c r="M743" s="9" t="s">
        <v>19</v>
      </c>
      <c r="N743" s="9" t="s">
        <v>20</v>
      </c>
      <c r="O743" s="6" t="str">
        <f>HYPERLINK("https://pbs.twimg.com/profile_images/962471262747529216/Uo8lOkRJ_normal.jpg","View")</f>
        <v>View</v>
      </c>
      <c r="P743" s="7"/>
    </row>
    <row r="744" spans="1:16">
      <c r="A744" s="3">
        <v>43816.774756944447</v>
      </c>
      <c r="B744" s="4" t="str">
        <f>HYPERLINK("https://twitter.com/petrogustavo","@petrogustavo")</f>
        <v>@petrogustavo</v>
      </c>
      <c r="C744" s="5" t="s">
        <v>16</v>
      </c>
      <c r="D744" s="5" t="s">
        <v>742</v>
      </c>
      <c r="E744" s="6" t="str">
        <f>HYPERLINK("https://twitter.com/petrogustavo/status/1206923410246426624","1206923410246426624")</f>
        <v>1206923410246426624</v>
      </c>
      <c r="F744" s="7" t="s">
        <v>32</v>
      </c>
      <c r="G744" s="7">
        <v>3583028</v>
      </c>
      <c r="H744" s="7">
        <v>2337</v>
      </c>
      <c r="I744" s="7">
        <v>316</v>
      </c>
      <c r="J744" s="7">
        <v>779</v>
      </c>
      <c r="K744" s="7" t="s">
        <v>18</v>
      </c>
      <c r="L744" s="8">
        <v>39987.315405092595</v>
      </c>
      <c r="M744" s="9" t="s">
        <v>19</v>
      </c>
      <c r="N744" s="9" t="s">
        <v>20</v>
      </c>
      <c r="O744" s="6" t="str">
        <f>HYPERLINK("https://pbs.twimg.com/profile_images/962471262747529216/Uo8lOkRJ_normal.jpg","View")</f>
        <v>View</v>
      </c>
      <c r="P744" s="7"/>
    </row>
    <row r="745" spans="1:16">
      <c r="A745" s="3">
        <v>43816.791712962964</v>
      </c>
      <c r="B745" s="4" t="str">
        <f>HYPERLINK("https://twitter.com/petrogustavo","@petrogustavo")</f>
        <v>@petrogustavo</v>
      </c>
      <c r="C745" s="5" t="s">
        <v>16</v>
      </c>
      <c r="D745" s="5" t="s">
        <v>743</v>
      </c>
      <c r="E745" s="6" t="str">
        <f>HYPERLINK("https://twitter.com/petrogustavo/status/1206929557644816384","1206929557644816384")</f>
        <v>1206929557644816384</v>
      </c>
      <c r="F745" s="7" t="s">
        <v>32</v>
      </c>
      <c r="G745" s="7">
        <v>3583055</v>
      </c>
      <c r="H745" s="7">
        <v>2337</v>
      </c>
      <c r="I745" s="7">
        <v>46</v>
      </c>
      <c r="J745" s="7">
        <v>0</v>
      </c>
      <c r="K745" s="7" t="s">
        <v>18</v>
      </c>
      <c r="L745" s="8">
        <v>39987.315405092595</v>
      </c>
      <c r="M745" s="9" t="s">
        <v>19</v>
      </c>
      <c r="N745" s="9" t="s">
        <v>20</v>
      </c>
      <c r="O745" s="6" t="str">
        <f>HYPERLINK("https://pbs.twimg.com/profile_images/962471262747529216/Uo8lOkRJ_normal.jpg","View")</f>
        <v>View</v>
      </c>
      <c r="P745" s="7"/>
    </row>
    <row r="746" spans="1:16">
      <c r="A746" s="3">
        <v>43816.794189814813</v>
      </c>
      <c r="B746" s="4" t="str">
        <f>HYPERLINK("https://twitter.com/petrogustavo","@petrogustavo")</f>
        <v>@petrogustavo</v>
      </c>
      <c r="C746" s="5" t="s">
        <v>16</v>
      </c>
      <c r="D746" s="5" t="s">
        <v>744</v>
      </c>
      <c r="E746" s="6" t="str">
        <f>HYPERLINK("https://twitter.com/petrogustavo/status/1206930454068285440","1206930454068285440")</f>
        <v>1206930454068285440</v>
      </c>
      <c r="F746" s="7" t="s">
        <v>32</v>
      </c>
      <c r="G746" s="7">
        <v>3583055</v>
      </c>
      <c r="H746" s="7">
        <v>2337</v>
      </c>
      <c r="I746" s="7">
        <v>66</v>
      </c>
      <c r="J746" s="7">
        <v>145</v>
      </c>
      <c r="K746" s="7" t="s">
        <v>18</v>
      </c>
      <c r="L746" s="8">
        <v>39987.315405092595</v>
      </c>
      <c r="M746" s="9" t="s">
        <v>19</v>
      </c>
      <c r="N746" s="9" t="s">
        <v>20</v>
      </c>
      <c r="O746" s="6" t="str">
        <f>HYPERLINK("https://pbs.twimg.com/profile_images/962471262747529216/Uo8lOkRJ_normal.jpg","View")</f>
        <v>View</v>
      </c>
      <c r="P746" s="7"/>
    </row>
    <row r="747" spans="1:16">
      <c r="A747" s="3">
        <v>43816.797152777777</v>
      </c>
      <c r="B747" s="4" t="str">
        <f>HYPERLINK("https://twitter.com/petrogustavo","@petrogustavo")</f>
        <v>@petrogustavo</v>
      </c>
      <c r="C747" s="5" t="s">
        <v>16</v>
      </c>
      <c r="D747" s="5" t="s">
        <v>745</v>
      </c>
      <c r="E747" s="6" t="str">
        <f>HYPERLINK("https://twitter.com/petrogustavo/status/1206931527487172608","1206931527487172608")</f>
        <v>1206931527487172608</v>
      </c>
      <c r="F747" s="7" t="s">
        <v>32</v>
      </c>
      <c r="G747" s="7">
        <v>3583055</v>
      </c>
      <c r="H747" s="7">
        <v>2337</v>
      </c>
      <c r="I747" s="7">
        <v>64</v>
      </c>
      <c r="J747" s="7">
        <v>162</v>
      </c>
      <c r="K747" s="7" t="s">
        <v>18</v>
      </c>
      <c r="L747" s="8">
        <v>39987.315405092595</v>
      </c>
      <c r="M747" s="9" t="s">
        <v>19</v>
      </c>
      <c r="N747" s="9" t="s">
        <v>20</v>
      </c>
      <c r="O747" s="6" t="str">
        <f>HYPERLINK("https://pbs.twimg.com/profile_images/962471262747529216/Uo8lOkRJ_normal.jpg","View")</f>
        <v>View</v>
      </c>
      <c r="P747" s="7"/>
    </row>
    <row r="748" spans="1:16">
      <c r="A748" s="3">
        <v>43816.844189814816</v>
      </c>
      <c r="B748" s="4" t="str">
        <f>HYPERLINK("https://twitter.com/petrogustavo","@petrogustavo")</f>
        <v>@petrogustavo</v>
      </c>
      <c r="C748" s="5" t="s">
        <v>16</v>
      </c>
      <c r="D748" s="5" t="s">
        <v>746</v>
      </c>
      <c r="E748" s="6" t="str">
        <f>HYPERLINK("https://twitter.com/petrogustavo/status/1206948572320677889","1206948572320677889")</f>
        <v>1206948572320677889</v>
      </c>
      <c r="F748" s="7" t="s">
        <v>32</v>
      </c>
      <c r="G748" s="7">
        <v>3583086</v>
      </c>
      <c r="H748" s="7">
        <v>2337</v>
      </c>
      <c r="I748" s="7">
        <v>19</v>
      </c>
      <c r="J748" s="7">
        <v>0</v>
      </c>
      <c r="K748" s="7" t="s">
        <v>18</v>
      </c>
      <c r="L748" s="8">
        <v>39987.315405092595</v>
      </c>
      <c r="M748" s="9" t="s">
        <v>19</v>
      </c>
      <c r="N748" s="9" t="s">
        <v>20</v>
      </c>
      <c r="O748" s="6" t="str">
        <f>HYPERLINK("https://pbs.twimg.com/profile_images/962471262747529216/Uo8lOkRJ_normal.jpg","View")</f>
        <v>View</v>
      </c>
      <c r="P748" s="7"/>
    </row>
    <row r="749" spans="1:16">
      <c r="A749" s="3">
        <v>43817.049953703703</v>
      </c>
      <c r="B749" s="4" t="str">
        <f>HYPERLINK("https://twitter.com/petrogustavo","@petrogustavo")</f>
        <v>@petrogustavo</v>
      </c>
      <c r="C749" s="5" t="s">
        <v>16</v>
      </c>
      <c r="D749" s="5" t="s">
        <v>747</v>
      </c>
      <c r="E749" s="6" t="str">
        <f>HYPERLINK("https://twitter.com/petrogustavo/status/1207023140213329922","1207023140213329922")</f>
        <v>1207023140213329922</v>
      </c>
      <c r="F749" s="7" t="s">
        <v>17</v>
      </c>
      <c r="G749" s="7">
        <v>3583264</v>
      </c>
      <c r="H749" s="7">
        <v>2337</v>
      </c>
      <c r="I749" s="7">
        <v>22</v>
      </c>
      <c r="J749" s="7">
        <v>0</v>
      </c>
      <c r="K749" s="7" t="s">
        <v>18</v>
      </c>
      <c r="L749" s="8">
        <v>39987.315405092595</v>
      </c>
      <c r="M749" s="9" t="s">
        <v>19</v>
      </c>
      <c r="N749" s="9" t="s">
        <v>20</v>
      </c>
      <c r="O749" s="6" t="str">
        <f>HYPERLINK("https://pbs.twimg.com/profile_images/962471262747529216/Uo8lOkRJ_normal.jpg","View")</f>
        <v>View</v>
      </c>
      <c r="P749" s="7"/>
    </row>
    <row r="750" spans="1:16">
      <c r="A750" s="3">
        <v>43817.050474537042</v>
      </c>
      <c r="B750" s="4" t="str">
        <f>HYPERLINK("https://twitter.com/petrogustavo","@petrogustavo")</f>
        <v>@petrogustavo</v>
      </c>
      <c r="C750" s="5" t="s">
        <v>16</v>
      </c>
      <c r="D750" s="5" t="s">
        <v>748</v>
      </c>
      <c r="E750" s="6" t="str">
        <f>HYPERLINK("https://twitter.com/petrogustavo/status/1207023327820361732","1207023327820361732")</f>
        <v>1207023327820361732</v>
      </c>
      <c r="F750" s="7" t="s">
        <v>17</v>
      </c>
      <c r="G750" s="7">
        <v>3583264</v>
      </c>
      <c r="H750" s="7">
        <v>2337</v>
      </c>
      <c r="I750" s="7">
        <v>10</v>
      </c>
      <c r="J750" s="7">
        <v>0</v>
      </c>
      <c r="K750" s="7" t="s">
        <v>18</v>
      </c>
      <c r="L750" s="8">
        <v>39987.315405092595</v>
      </c>
      <c r="M750" s="9" t="s">
        <v>19</v>
      </c>
      <c r="N750" s="9" t="s">
        <v>20</v>
      </c>
      <c r="O750" s="6" t="str">
        <f>HYPERLINK("https://pbs.twimg.com/profile_images/962471262747529216/Uo8lOkRJ_normal.jpg","View")</f>
        <v>View</v>
      </c>
      <c r="P750" s="7"/>
    </row>
    <row r="751" spans="1:16">
      <c r="A751" s="3">
        <v>43817.051712962959</v>
      </c>
      <c r="B751" s="4" t="str">
        <f>HYPERLINK("https://twitter.com/petrogustavo","@petrogustavo")</f>
        <v>@petrogustavo</v>
      </c>
      <c r="C751" s="5" t="s">
        <v>16</v>
      </c>
      <c r="D751" s="5" t="s">
        <v>749</v>
      </c>
      <c r="E751" s="6" t="str">
        <f>HYPERLINK("https://twitter.com/petrogustavo/status/1207023776157913089","1207023776157913089")</f>
        <v>1207023776157913089</v>
      </c>
      <c r="F751" s="7" t="s">
        <v>17</v>
      </c>
      <c r="G751" s="7">
        <v>3583264</v>
      </c>
      <c r="H751" s="7">
        <v>2337</v>
      </c>
      <c r="I751" s="7">
        <v>28</v>
      </c>
      <c r="J751" s="7">
        <v>71</v>
      </c>
      <c r="K751" s="7" t="s">
        <v>18</v>
      </c>
      <c r="L751" s="8">
        <v>39987.315405092595</v>
      </c>
      <c r="M751" s="9" t="s">
        <v>19</v>
      </c>
      <c r="N751" s="9" t="s">
        <v>20</v>
      </c>
      <c r="O751" s="6" t="str">
        <f>HYPERLINK("https://pbs.twimg.com/profile_images/962471262747529216/Uo8lOkRJ_normal.jpg","View")</f>
        <v>View</v>
      </c>
      <c r="P751" s="7"/>
    </row>
    <row r="752" spans="1:16">
      <c r="A752" s="3">
        <v>43817.052812499998</v>
      </c>
      <c r="B752" s="4" t="str">
        <f>HYPERLINK("https://twitter.com/petrogustavo","@petrogustavo")</f>
        <v>@petrogustavo</v>
      </c>
      <c r="C752" s="5" t="s">
        <v>16</v>
      </c>
      <c r="D752" s="5" t="s">
        <v>750</v>
      </c>
      <c r="E752" s="6" t="str">
        <f>HYPERLINK("https://twitter.com/petrogustavo/status/1207024175229083648","1207024175229083648")</f>
        <v>1207024175229083648</v>
      </c>
      <c r="F752" s="7" t="s">
        <v>17</v>
      </c>
      <c r="G752" s="7">
        <v>3583264</v>
      </c>
      <c r="H752" s="7">
        <v>2337</v>
      </c>
      <c r="I752" s="7">
        <v>38</v>
      </c>
      <c r="J752" s="7">
        <v>0</v>
      </c>
      <c r="K752" s="7" t="s">
        <v>18</v>
      </c>
      <c r="L752" s="8">
        <v>39987.315405092595</v>
      </c>
      <c r="M752" s="9" t="s">
        <v>19</v>
      </c>
      <c r="N752" s="9" t="s">
        <v>20</v>
      </c>
      <c r="O752" s="6" t="str">
        <f>HYPERLINK("https://pbs.twimg.com/profile_images/962471262747529216/Uo8lOkRJ_normal.jpg","View")</f>
        <v>View</v>
      </c>
      <c r="P752" s="7"/>
    </row>
    <row r="753" spans="1:16">
      <c r="A753" s="3">
        <v>43817.053136574075</v>
      </c>
      <c r="B753" s="4" t="str">
        <f>HYPERLINK("https://twitter.com/petrogustavo","@petrogustavo")</f>
        <v>@petrogustavo</v>
      </c>
      <c r="C753" s="5" t="s">
        <v>16</v>
      </c>
      <c r="D753" s="5" t="s">
        <v>751</v>
      </c>
      <c r="E753" s="6" t="str">
        <f>HYPERLINK("https://twitter.com/petrogustavo/status/1207024292904546305","1207024292904546305")</f>
        <v>1207024292904546305</v>
      </c>
      <c r="F753" s="7" t="s">
        <v>17</v>
      </c>
      <c r="G753" s="7">
        <v>3583264</v>
      </c>
      <c r="H753" s="7">
        <v>2337</v>
      </c>
      <c r="I753" s="7">
        <v>49</v>
      </c>
      <c r="J753" s="7">
        <v>0</v>
      </c>
      <c r="K753" s="7" t="s">
        <v>18</v>
      </c>
      <c r="L753" s="8">
        <v>39987.315405092595</v>
      </c>
      <c r="M753" s="9" t="s">
        <v>19</v>
      </c>
      <c r="N753" s="9" t="s">
        <v>20</v>
      </c>
      <c r="O753" s="6" t="str">
        <f>HYPERLINK("https://pbs.twimg.com/profile_images/962471262747529216/Uo8lOkRJ_normal.jpg","View")</f>
        <v>View</v>
      </c>
      <c r="P753" s="7"/>
    </row>
    <row r="754" spans="1:16">
      <c r="A754" s="3">
        <v>43817.058622685188</v>
      </c>
      <c r="B754" s="4" t="str">
        <f>HYPERLINK("https://twitter.com/petrogustavo","@petrogustavo")</f>
        <v>@petrogustavo</v>
      </c>
      <c r="C754" s="5" t="s">
        <v>16</v>
      </c>
      <c r="D754" s="5" t="s">
        <v>752</v>
      </c>
      <c r="E754" s="6" t="str">
        <f>HYPERLINK("https://twitter.com/petrogustavo/status/1207026281902149632","1207026281902149632")</f>
        <v>1207026281902149632</v>
      </c>
      <c r="F754" s="7" t="s">
        <v>17</v>
      </c>
      <c r="G754" s="7">
        <v>3583272</v>
      </c>
      <c r="H754" s="7">
        <v>2337</v>
      </c>
      <c r="I754" s="7">
        <v>240</v>
      </c>
      <c r="J754" s="7">
        <v>733</v>
      </c>
      <c r="K754" s="7" t="s">
        <v>18</v>
      </c>
      <c r="L754" s="8">
        <v>39987.315405092595</v>
      </c>
      <c r="M754" s="9" t="s">
        <v>19</v>
      </c>
      <c r="N754" s="9" t="s">
        <v>20</v>
      </c>
      <c r="O754" s="6" t="str">
        <f>HYPERLINK("https://pbs.twimg.com/profile_images/962471262747529216/Uo8lOkRJ_normal.jpg","View")</f>
        <v>View</v>
      </c>
      <c r="P754" s="7"/>
    </row>
    <row r="755" spans="1:16">
      <c r="A755" s="3">
        <v>43817.075057870374</v>
      </c>
      <c r="B755" s="4" t="str">
        <f>HYPERLINK("https://twitter.com/petrogustavo","@petrogustavo")</f>
        <v>@petrogustavo</v>
      </c>
      <c r="C755" s="5" t="s">
        <v>16</v>
      </c>
      <c r="D755" s="5" t="s">
        <v>753</v>
      </c>
      <c r="E755" s="6" t="str">
        <f>HYPERLINK("https://twitter.com/petrogustavo/status/1207032236681367552","1207032236681367552")</f>
        <v>1207032236681367552</v>
      </c>
      <c r="F755" s="7" t="s">
        <v>17</v>
      </c>
      <c r="G755" s="7">
        <v>3583288</v>
      </c>
      <c r="H755" s="7">
        <v>2337</v>
      </c>
      <c r="I755" s="7">
        <v>242</v>
      </c>
      <c r="J755" s="7">
        <v>468</v>
      </c>
      <c r="K755" s="7" t="s">
        <v>18</v>
      </c>
      <c r="L755" s="8">
        <v>39987.315405092595</v>
      </c>
      <c r="M755" s="9" t="s">
        <v>19</v>
      </c>
      <c r="N755" s="9" t="s">
        <v>20</v>
      </c>
      <c r="O755" s="6" t="str">
        <f>HYPERLINK("https://pbs.twimg.com/profile_images/962471262747529216/Uo8lOkRJ_normal.jpg","View")</f>
        <v>View</v>
      </c>
      <c r="P755" s="7"/>
    </row>
    <row r="756" spans="1:16">
      <c r="A756" s="3">
        <v>43817.082708333328</v>
      </c>
      <c r="B756" s="4" t="str">
        <f>HYPERLINK("https://twitter.com/petrogustavo","@petrogustavo")</f>
        <v>@petrogustavo</v>
      </c>
      <c r="C756" s="5" t="s">
        <v>16</v>
      </c>
      <c r="D756" s="5" t="s">
        <v>754</v>
      </c>
      <c r="E756" s="6" t="str">
        <f>HYPERLINK("https://twitter.com/petrogustavo/status/1207035008856330240","1207035008856330240")</f>
        <v>1207035008856330240</v>
      </c>
      <c r="F756" s="7" t="s">
        <v>17</v>
      </c>
      <c r="G756" s="7">
        <v>3583288</v>
      </c>
      <c r="H756" s="7">
        <v>2337</v>
      </c>
      <c r="I756" s="7">
        <v>78</v>
      </c>
      <c r="J756" s="7">
        <v>190</v>
      </c>
      <c r="K756" s="7" t="s">
        <v>18</v>
      </c>
      <c r="L756" s="8">
        <v>39987.315405092595</v>
      </c>
      <c r="M756" s="9" t="s">
        <v>19</v>
      </c>
      <c r="N756" s="9" t="s">
        <v>20</v>
      </c>
      <c r="O756" s="6" t="str">
        <f>HYPERLINK("https://pbs.twimg.com/profile_images/962471262747529216/Uo8lOkRJ_normal.jpg","View")</f>
        <v>View</v>
      </c>
      <c r="P756" s="7"/>
    </row>
    <row r="757" spans="1:16">
      <c r="A757" s="3">
        <v>43817.363750000004</v>
      </c>
      <c r="B757" s="4" t="str">
        <f>HYPERLINK("https://twitter.com/petrogustavo","@petrogustavo")</f>
        <v>@petrogustavo</v>
      </c>
      <c r="C757" s="5" t="s">
        <v>16</v>
      </c>
      <c r="D757" s="5" t="s">
        <v>755</v>
      </c>
      <c r="E757" s="6" t="str">
        <f>HYPERLINK("https://twitter.com/petrogustavo/status/1207136857189945344","1207136857189945344")</f>
        <v>1207136857189945344</v>
      </c>
      <c r="F757" s="7" t="s">
        <v>17</v>
      </c>
      <c r="G757" s="7">
        <v>3583564</v>
      </c>
      <c r="H757" s="7">
        <v>2337</v>
      </c>
      <c r="I757" s="7">
        <v>137</v>
      </c>
      <c r="J757" s="7">
        <v>0</v>
      </c>
      <c r="K757" s="7" t="s">
        <v>18</v>
      </c>
      <c r="L757" s="8">
        <v>39987.315405092595</v>
      </c>
      <c r="M757" s="9" t="s">
        <v>19</v>
      </c>
      <c r="N757" s="9" t="s">
        <v>20</v>
      </c>
      <c r="O757" s="6" t="str">
        <f>HYPERLINK("https://pbs.twimg.com/profile_images/962471262747529216/Uo8lOkRJ_normal.jpg","View")</f>
        <v>View</v>
      </c>
      <c r="P757" s="7"/>
    </row>
    <row r="758" spans="1:16">
      <c r="A758" s="3">
        <v>43817.364120370374</v>
      </c>
      <c r="B758" s="4" t="str">
        <f>HYPERLINK("https://twitter.com/petrogustavo","@petrogustavo")</f>
        <v>@petrogustavo</v>
      </c>
      <c r="C758" s="5" t="s">
        <v>16</v>
      </c>
      <c r="D758" s="5" t="s">
        <v>756</v>
      </c>
      <c r="E758" s="6" t="str">
        <f>HYPERLINK("https://twitter.com/petrogustavo/status/1207136987788009472","1207136987788009472")</f>
        <v>1207136987788009472</v>
      </c>
      <c r="F758" s="7" t="s">
        <v>17</v>
      </c>
      <c r="G758" s="7">
        <v>3583564</v>
      </c>
      <c r="H758" s="7">
        <v>2337</v>
      </c>
      <c r="I758" s="7">
        <v>73</v>
      </c>
      <c r="J758" s="7">
        <v>0</v>
      </c>
      <c r="K758" s="7" t="s">
        <v>18</v>
      </c>
      <c r="L758" s="8">
        <v>39987.315405092595</v>
      </c>
      <c r="M758" s="9" t="s">
        <v>19</v>
      </c>
      <c r="N758" s="9" t="s">
        <v>20</v>
      </c>
      <c r="O758" s="6" t="str">
        <f>HYPERLINK("https://pbs.twimg.com/profile_images/962471262747529216/Uo8lOkRJ_normal.jpg","View")</f>
        <v>View</v>
      </c>
      <c r="P758" s="7"/>
    </row>
    <row r="759" spans="1:16">
      <c r="A759" s="3">
        <v>43817.364930555559</v>
      </c>
      <c r="B759" s="4" t="str">
        <f>HYPERLINK("https://twitter.com/petrogustavo","@petrogustavo")</f>
        <v>@petrogustavo</v>
      </c>
      <c r="C759" s="5" t="s">
        <v>16</v>
      </c>
      <c r="D759" s="5" t="s">
        <v>757</v>
      </c>
      <c r="E759" s="6" t="str">
        <f>HYPERLINK("https://twitter.com/petrogustavo/status/1207137283230617601","1207137283230617601")</f>
        <v>1207137283230617601</v>
      </c>
      <c r="F759" s="7" t="s">
        <v>17</v>
      </c>
      <c r="G759" s="7">
        <v>3583564</v>
      </c>
      <c r="H759" s="7">
        <v>2337</v>
      </c>
      <c r="I759" s="7">
        <v>58</v>
      </c>
      <c r="J759" s="7">
        <v>0</v>
      </c>
      <c r="K759" s="7" t="s">
        <v>18</v>
      </c>
      <c r="L759" s="8">
        <v>39987.315405092595</v>
      </c>
      <c r="M759" s="9" t="s">
        <v>19</v>
      </c>
      <c r="N759" s="9" t="s">
        <v>20</v>
      </c>
      <c r="O759" s="6" t="str">
        <f>HYPERLINK("https://pbs.twimg.com/profile_images/962471262747529216/Uo8lOkRJ_normal.jpg","View")</f>
        <v>View</v>
      </c>
      <c r="P759" s="7"/>
    </row>
    <row r="760" spans="1:16">
      <c r="A760" s="3">
        <v>43817.365347222221</v>
      </c>
      <c r="B760" s="4" t="str">
        <f>HYPERLINK("https://twitter.com/petrogustavo","@petrogustavo")</f>
        <v>@petrogustavo</v>
      </c>
      <c r="C760" s="5" t="s">
        <v>16</v>
      </c>
      <c r="D760" s="5" t="s">
        <v>758</v>
      </c>
      <c r="E760" s="6" t="str">
        <f>HYPERLINK("https://twitter.com/petrogustavo/status/1207137434594619392","1207137434594619392")</f>
        <v>1207137434594619392</v>
      </c>
      <c r="F760" s="7" t="s">
        <v>17</v>
      </c>
      <c r="G760" s="7">
        <v>3583564</v>
      </c>
      <c r="H760" s="7">
        <v>2337</v>
      </c>
      <c r="I760" s="7">
        <v>251</v>
      </c>
      <c r="J760" s="7">
        <v>0</v>
      </c>
      <c r="K760" s="7" t="s">
        <v>18</v>
      </c>
      <c r="L760" s="8">
        <v>39987.315405092595</v>
      </c>
      <c r="M760" s="9" t="s">
        <v>19</v>
      </c>
      <c r="N760" s="9" t="s">
        <v>20</v>
      </c>
      <c r="O760" s="6" t="str">
        <f>HYPERLINK("https://pbs.twimg.com/profile_images/962471262747529216/Uo8lOkRJ_normal.jpg","View")</f>
        <v>View</v>
      </c>
      <c r="P760" s="7"/>
    </row>
    <row r="761" spans="1:16">
      <c r="A761" s="3">
        <v>43817.370578703703</v>
      </c>
      <c r="B761" s="4" t="str">
        <f>HYPERLINK("https://twitter.com/petrogustavo","@petrogustavo")</f>
        <v>@petrogustavo</v>
      </c>
      <c r="C761" s="5" t="s">
        <v>16</v>
      </c>
      <c r="D761" s="5" t="s">
        <v>759</v>
      </c>
      <c r="E761" s="6" t="str">
        <f>HYPERLINK("https://twitter.com/petrogustavo/status/1207139332055801856","1207139332055801856")</f>
        <v>1207139332055801856</v>
      </c>
      <c r="F761" s="7" t="s">
        <v>17</v>
      </c>
      <c r="G761" s="7">
        <v>3583588</v>
      </c>
      <c r="H761" s="7">
        <v>2337</v>
      </c>
      <c r="I761" s="7">
        <v>187</v>
      </c>
      <c r="J761" s="7">
        <v>0</v>
      </c>
      <c r="K761" s="7" t="s">
        <v>18</v>
      </c>
      <c r="L761" s="8">
        <v>39987.315405092595</v>
      </c>
      <c r="M761" s="9" t="s">
        <v>19</v>
      </c>
      <c r="N761" s="9" t="s">
        <v>20</v>
      </c>
      <c r="O761" s="6" t="str">
        <f>HYPERLINK("https://pbs.twimg.com/profile_images/962471262747529216/Uo8lOkRJ_normal.jpg","View")</f>
        <v>View</v>
      </c>
      <c r="P761" s="7"/>
    </row>
    <row r="762" spans="1:16">
      <c r="A762" s="3">
        <v>43817.762164351851</v>
      </c>
      <c r="B762" s="4" t="str">
        <f>HYPERLINK("https://twitter.com/petrogustavo","@petrogustavo")</f>
        <v>@petrogustavo</v>
      </c>
      <c r="C762" s="5" t="s">
        <v>16</v>
      </c>
      <c r="D762" s="5" t="s">
        <v>760</v>
      </c>
      <c r="E762" s="6" t="str">
        <f>HYPERLINK("https://twitter.com/petrogustavo/status/1207281234134675456","1207281234134675456")</f>
        <v>1207281234134675456</v>
      </c>
      <c r="F762" s="7" t="s">
        <v>17</v>
      </c>
      <c r="G762" s="7">
        <v>3583697</v>
      </c>
      <c r="H762" s="7">
        <v>2336</v>
      </c>
      <c r="I762" s="7">
        <v>1</v>
      </c>
      <c r="J762" s="7">
        <v>1</v>
      </c>
      <c r="K762" s="7" t="s">
        <v>18</v>
      </c>
      <c r="L762" s="8">
        <v>39987.315405092595</v>
      </c>
      <c r="M762" s="9" t="s">
        <v>19</v>
      </c>
      <c r="N762" s="9" t="s">
        <v>20</v>
      </c>
      <c r="O762" s="6" t="str">
        <f>HYPERLINK("https://pbs.twimg.com/profile_images/962471262747529216/Uo8lOkRJ_normal.jpg","View")</f>
        <v>View</v>
      </c>
      <c r="P762" s="7"/>
    </row>
    <row r="763" spans="1:16">
      <c r="A763" s="3">
        <v>43817.762164351851</v>
      </c>
      <c r="B763" s="4" t="str">
        <f>HYPERLINK("https://twitter.com/petrogustavo","@petrogustavo")</f>
        <v>@petrogustavo</v>
      </c>
      <c r="C763" s="5" t="s">
        <v>16</v>
      </c>
      <c r="D763" s="5" t="s">
        <v>761</v>
      </c>
      <c r="E763" s="6" t="str">
        <f>HYPERLINK("https://twitter.com/petrogustavo/status/1207281235938152449","1207281235938152449")</f>
        <v>1207281235938152449</v>
      </c>
      <c r="F763" s="7" t="s">
        <v>17</v>
      </c>
      <c r="G763" s="7">
        <v>3583697</v>
      </c>
      <c r="H763" s="7">
        <v>2336</v>
      </c>
      <c r="I763" s="7">
        <v>1</v>
      </c>
      <c r="J763" s="7">
        <v>2</v>
      </c>
      <c r="K763" s="7" t="s">
        <v>18</v>
      </c>
      <c r="L763" s="8">
        <v>39987.315405092595</v>
      </c>
      <c r="M763" s="9" t="s">
        <v>19</v>
      </c>
      <c r="N763" s="9" t="s">
        <v>20</v>
      </c>
      <c r="O763" s="6" t="str">
        <f>HYPERLINK("https://pbs.twimg.com/profile_images/962471262747529216/Uo8lOkRJ_normal.jpg","View")</f>
        <v>View</v>
      </c>
      <c r="P763" s="7"/>
    </row>
    <row r="764" spans="1:16">
      <c r="A764" s="3">
        <v>43817.809120370366</v>
      </c>
      <c r="B764" s="4" t="str">
        <f>HYPERLINK("https://twitter.com/petrogustavo","@petrogustavo")</f>
        <v>@petrogustavo</v>
      </c>
      <c r="C764" s="5" t="s">
        <v>16</v>
      </c>
      <c r="D764" s="5" t="s">
        <v>762</v>
      </c>
      <c r="E764" s="6" t="str">
        <f>HYPERLINK("https://twitter.com/petrogustavo/status/1207298251675852801","1207298251675852801")</f>
        <v>1207298251675852801</v>
      </c>
      <c r="F764" s="7" t="s">
        <v>32</v>
      </c>
      <c r="G764" s="7">
        <v>3583753</v>
      </c>
      <c r="H764" s="7">
        <v>2336</v>
      </c>
      <c r="I764" s="7">
        <v>82</v>
      </c>
      <c r="J764" s="7">
        <v>304</v>
      </c>
      <c r="K764" s="7" t="s">
        <v>18</v>
      </c>
      <c r="L764" s="8">
        <v>39987.315405092595</v>
      </c>
      <c r="M764" s="9" t="s">
        <v>19</v>
      </c>
      <c r="N764" s="9" t="s">
        <v>20</v>
      </c>
      <c r="O764" s="6" t="str">
        <f>HYPERLINK("https://pbs.twimg.com/profile_images/962471262747529216/Uo8lOkRJ_normal.jpg","View")</f>
        <v>View</v>
      </c>
      <c r="P764" s="7"/>
    </row>
    <row r="765" spans="1:16">
      <c r="A765" s="3">
        <v>43817.811527777776</v>
      </c>
      <c r="B765" s="4" t="str">
        <f>HYPERLINK("https://twitter.com/petrogustavo","@petrogustavo")</f>
        <v>@petrogustavo</v>
      </c>
      <c r="C765" s="5" t="s">
        <v>16</v>
      </c>
      <c r="D765" s="5" t="s">
        <v>763</v>
      </c>
      <c r="E765" s="6" t="str">
        <f>HYPERLINK("https://twitter.com/petrogustavo/status/1207299126045622272","1207299126045622272")</f>
        <v>1207299126045622272</v>
      </c>
      <c r="F765" s="7" t="s">
        <v>32</v>
      </c>
      <c r="G765" s="7">
        <v>3583753</v>
      </c>
      <c r="H765" s="7">
        <v>2336</v>
      </c>
      <c r="I765" s="7">
        <v>58</v>
      </c>
      <c r="J765" s="7">
        <v>132</v>
      </c>
      <c r="K765" s="7" t="s">
        <v>18</v>
      </c>
      <c r="L765" s="8">
        <v>39987.315405092595</v>
      </c>
      <c r="M765" s="9" t="s">
        <v>19</v>
      </c>
      <c r="N765" s="9" t="s">
        <v>20</v>
      </c>
      <c r="O765" s="6" t="str">
        <f>HYPERLINK("https://pbs.twimg.com/profile_images/962471262747529216/Uo8lOkRJ_normal.jpg","View")</f>
        <v>View</v>
      </c>
      <c r="P765" s="7"/>
    </row>
    <row r="766" spans="1:16">
      <c r="A766" s="3">
        <v>43817.815671296295</v>
      </c>
      <c r="B766" s="4" t="str">
        <f>HYPERLINK("https://twitter.com/petrogustavo","@petrogustavo")</f>
        <v>@petrogustavo</v>
      </c>
      <c r="C766" s="5" t="s">
        <v>16</v>
      </c>
      <c r="D766" s="5" t="s">
        <v>764</v>
      </c>
      <c r="E766" s="6" t="str">
        <f>HYPERLINK("https://twitter.com/petrogustavo/status/1207300626163654657","1207300626163654657")</f>
        <v>1207300626163654657</v>
      </c>
      <c r="F766" s="7" t="s">
        <v>32</v>
      </c>
      <c r="G766" s="7">
        <v>3583753</v>
      </c>
      <c r="H766" s="7">
        <v>2336</v>
      </c>
      <c r="I766" s="7">
        <v>875</v>
      </c>
      <c r="J766" s="7">
        <v>0</v>
      </c>
      <c r="K766" s="7" t="s">
        <v>18</v>
      </c>
      <c r="L766" s="8">
        <v>39987.315405092595</v>
      </c>
      <c r="M766" s="9" t="s">
        <v>19</v>
      </c>
      <c r="N766" s="9" t="s">
        <v>20</v>
      </c>
      <c r="O766" s="6" t="str">
        <f>HYPERLINK("https://pbs.twimg.com/profile_images/962471262747529216/Uo8lOkRJ_normal.jpg","View")</f>
        <v>View</v>
      </c>
      <c r="P766" s="7"/>
    </row>
    <row r="767" spans="1:16">
      <c r="A767" s="3">
        <v>43817.816863425927</v>
      </c>
      <c r="B767" s="4" t="str">
        <f>HYPERLINK("https://twitter.com/petrogustavo","@petrogustavo")</f>
        <v>@petrogustavo</v>
      </c>
      <c r="C767" s="5" t="s">
        <v>16</v>
      </c>
      <c r="D767" s="5" t="s">
        <v>765</v>
      </c>
      <c r="E767" s="6" t="str">
        <f>HYPERLINK("https://twitter.com/petrogustavo/status/1207301060236382208","1207301060236382208")</f>
        <v>1207301060236382208</v>
      </c>
      <c r="F767" s="7" t="s">
        <v>32</v>
      </c>
      <c r="G767" s="7">
        <v>3583753</v>
      </c>
      <c r="H767" s="7">
        <v>2336</v>
      </c>
      <c r="I767" s="7">
        <v>84</v>
      </c>
      <c r="J767" s="7">
        <v>154</v>
      </c>
      <c r="K767" s="7" t="s">
        <v>18</v>
      </c>
      <c r="L767" s="8">
        <v>39987.315405092595</v>
      </c>
      <c r="M767" s="9" t="s">
        <v>19</v>
      </c>
      <c r="N767" s="9" t="s">
        <v>20</v>
      </c>
      <c r="O767" s="6" t="str">
        <f>HYPERLINK("https://pbs.twimg.com/profile_images/962471262747529216/Uo8lOkRJ_normal.jpg","View")</f>
        <v>View</v>
      </c>
      <c r="P767" s="7"/>
    </row>
    <row r="768" spans="1:16">
      <c r="A768" s="3">
        <v>43817.822048611109</v>
      </c>
      <c r="B768" s="4" t="str">
        <f>HYPERLINK("https://twitter.com/petrogustavo","@petrogustavo")</f>
        <v>@petrogustavo</v>
      </c>
      <c r="C768" s="5" t="s">
        <v>16</v>
      </c>
      <c r="D768" s="5" t="s">
        <v>766</v>
      </c>
      <c r="E768" s="6" t="str">
        <f>HYPERLINK("https://twitter.com/petrogustavo/status/1207302937124524032","1207302937124524032")</f>
        <v>1207302937124524032</v>
      </c>
      <c r="F768" s="7" t="s">
        <v>32</v>
      </c>
      <c r="G768" s="7">
        <v>3583753</v>
      </c>
      <c r="H768" s="7">
        <v>2336</v>
      </c>
      <c r="I768" s="7">
        <v>30</v>
      </c>
      <c r="J768" s="7">
        <v>68</v>
      </c>
      <c r="K768" s="7" t="s">
        <v>18</v>
      </c>
      <c r="L768" s="8">
        <v>39987.315405092595</v>
      </c>
      <c r="M768" s="9" t="s">
        <v>19</v>
      </c>
      <c r="N768" s="9" t="s">
        <v>20</v>
      </c>
      <c r="O768" s="6" t="str">
        <f>HYPERLINK("https://pbs.twimg.com/profile_images/962471262747529216/Uo8lOkRJ_normal.jpg","View")</f>
        <v>View</v>
      </c>
      <c r="P768" s="7"/>
    </row>
    <row r="769" spans="1:16">
      <c r="A769" s="3">
        <v>43817.822048611109</v>
      </c>
      <c r="B769" s="4" t="str">
        <f>HYPERLINK("https://twitter.com/petrogustavo","@petrogustavo")</f>
        <v>@petrogustavo</v>
      </c>
      <c r="C769" s="5" t="s">
        <v>16</v>
      </c>
      <c r="D769" s="5" t="s">
        <v>767</v>
      </c>
      <c r="E769" s="6" t="str">
        <f>HYPERLINK("https://twitter.com/petrogustavo/status/1207302938294673408","1207302938294673408")</f>
        <v>1207302938294673408</v>
      </c>
      <c r="F769" s="7" t="s">
        <v>32</v>
      </c>
      <c r="G769" s="7">
        <v>3583753</v>
      </c>
      <c r="H769" s="7">
        <v>2336</v>
      </c>
      <c r="I769" s="7">
        <v>20</v>
      </c>
      <c r="J769" s="7">
        <v>41</v>
      </c>
      <c r="K769" s="7" t="s">
        <v>18</v>
      </c>
      <c r="L769" s="8">
        <v>39987.315405092595</v>
      </c>
      <c r="M769" s="9" t="s">
        <v>19</v>
      </c>
      <c r="N769" s="9" t="s">
        <v>20</v>
      </c>
      <c r="O769" s="6" t="str">
        <f>HYPERLINK("https://pbs.twimg.com/profile_images/962471262747529216/Uo8lOkRJ_normal.jpg","View")</f>
        <v>View</v>
      </c>
      <c r="P769" s="7"/>
    </row>
    <row r="770" spans="1:16">
      <c r="A770" s="3">
        <v>43817.910509259258</v>
      </c>
      <c r="B770" s="4" t="str">
        <f>HYPERLINK("https://twitter.com/petrogustavo","@petrogustavo")</f>
        <v>@petrogustavo</v>
      </c>
      <c r="C770" s="5" t="s">
        <v>16</v>
      </c>
      <c r="D770" s="5" t="s">
        <v>768</v>
      </c>
      <c r="E770" s="6" t="str">
        <f>HYPERLINK("https://twitter.com/petrogustavo/status/1207334995792138240","1207334995792138240")</f>
        <v>1207334995792138240</v>
      </c>
      <c r="F770" s="7" t="s">
        <v>17</v>
      </c>
      <c r="G770" s="7">
        <v>3583876</v>
      </c>
      <c r="H770" s="7">
        <v>2336</v>
      </c>
      <c r="I770" s="7">
        <v>129</v>
      </c>
      <c r="J770" s="7">
        <v>287</v>
      </c>
      <c r="K770" s="7" t="s">
        <v>18</v>
      </c>
      <c r="L770" s="8">
        <v>39987.315405092595</v>
      </c>
      <c r="M770" s="9" t="s">
        <v>19</v>
      </c>
      <c r="N770" s="9" t="s">
        <v>20</v>
      </c>
      <c r="O770" s="6" t="str">
        <f>HYPERLINK("https://pbs.twimg.com/profile_images/962471262747529216/Uo8lOkRJ_normal.jpg","View")</f>
        <v>View</v>
      </c>
      <c r="P770" s="7"/>
    </row>
    <row r="771" spans="1:16">
      <c r="A771" s="3">
        <v>43817.931203703702</v>
      </c>
      <c r="B771" s="4" t="str">
        <f>HYPERLINK("https://twitter.com/petrogustavo","@petrogustavo")</f>
        <v>@petrogustavo</v>
      </c>
      <c r="C771" s="5" t="s">
        <v>16</v>
      </c>
      <c r="D771" s="5" t="s">
        <v>769</v>
      </c>
      <c r="E771" s="6" t="str">
        <f>HYPERLINK("https://twitter.com/petrogustavo/status/1207342491994853378","1207342491994853378")</f>
        <v>1207342491994853378</v>
      </c>
      <c r="F771" s="7" t="s">
        <v>17</v>
      </c>
      <c r="G771" s="7">
        <v>3583900</v>
      </c>
      <c r="H771" s="7">
        <v>2336</v>
      </c>
      <c r="I771" s="7">
        <v>457</v>
      </c>
      <c r="J771" s="7">
        <v>0</v>
      </c>
      <c r="K771" s="7" t="s">
        <v>18</v>
      </c>
      <c r="L771" s="8">
        <v>39987.315405092595</v>
      </c>
      <c r="M771" s="9" t="s">
        <v>19</v>
      </c>
      <c r="N771" s="9" t="s">
        <v>20</v>
      </c>
      <c r="O771" s="6" t="str">
        <f>HYPERLINK("https://pbs.twimg.com/profile_images/962471262747529216/Uo8lOkRJ_normal.jpg","View")</f>
        <v>View</v>
      </c>
      <c r="P771" s="7"/>
    </row>
    <row r="772" spans="1:16">
      <c r="A772" s="3">
        <v>43817.934942129628</v>
      </c>
      <c r="B772" s="4" t="str">
        <f>HYPERLINK("https://twitter.com/petrogustavo","@petrogustavo")</f>
        <v>@petrogustavo</v>
      </c>
      <c r="C772" s="5" t="s">
        <v>16</v>
      </c>
      <c r="D772" s="5" t="s">
        <v>770</v>
      </c>
      <c r="E772" s="6" t="str">
        <f>HYPERLINK("https://twitter.com/petrogustavo/status/1207343846700568578","1207343846700568578")</f>
        <v>1207343846700568578</v>
      </c>
      <c r="F772" s="7" t="s">
        <v>17</v>
      </c>
      <c r="G772" s="7">
        <v>3583900</v>
      </c>
      <c r="H772" s="7">
        <v>2336</v>
      </c>
      <c r="I772" s="7">
        <v>179</v>
      </c>
      <c r="J772" s="7">
        <v>390</v>
      </c>
      <c r="K772" s="7" t="s">
        <v>18</v>
      </c>
      <c r="L772" s="8">
        <v>39987.315405092595</v>
      </c>
      <c r="M772" s="9" t="s">
        <v>19</v>
      </c>
      <c r="N772" s="9" t="s">
        <v>20</v>
      </c>
      <c r="O772" s="6" t="str">
        <f>HYPERLINK("https://pbs.twimg.com/profile_images/962471262747529216/Uo8lOkRJ_normal.jpg","View")</f>
        <v>View</v>
      </c>
      <c r="P772" s="7"/>
    </row>
    <row r="773" spans="1:16">
      <c r="A773" s="3">
        <v>43817.972268518519</v>
      </c>
      <c r="B773" s="4" t="str">
        <f>HYPERLINK("https://twitter.com/petrogustavo","@petrogustavo")</f>
        <v>@petrogustavo</v>
      </c>
      <c r="C773" s="5" t="s">
        <v>16</v>
      </c>
      <c r="D773" s="5" t="s">
        <v>771</v>
      </c>
      <c r="E773" s="6" t="str">
        <f>HYPERLINK("https://twitter.com/petrogustavo/status/1207357375700754433","1207357375700754433")</f>
        <v>1207357375700754433</v>
      </c>
      <c r="F773" s="7" t="s">
        <v>17</v>
      </c>
      <c r="G773" s="7">
        <v>3583947</v>
      </c>
      <c r="H773" s="7">
        <v>2336</v>
      </c>
      <c r="I773" s="7">
        <v>37</v>
      </c>
      <c r="J773" s="7">
        <v>0</v>
      </c>
      <c r="K773" s="7" t="s">
        <v>18</v>
      </c>
      <c r="L773" s="8">
        <v>39987.315405092595</v>
      </c>
      <c r="M773" s="9" t="s">
        <v>19</v>
      </c>
      <c r="N773" s="9" t="s">
        <v>20</v>
      </c>
      <c r="O773" s="6" t="str">
        <f>HYPERLINK("https://pbs.twimg.com/profile_images/962471262747529216/Uo8lOkRJ_normal.jpg","View")</f>
        <v>View</v>
      </c>
      <c r="P773" s="7"/>
    </row>
    <row r="774" spans="1:16">
      <c r="A774" s="3">
        <v>43817.972314814819</v>
      </c>
      <c r="B774" s="4" t="str">
        <f>HYPERLINK("https://twitter.com/petrogustavo","@petrogustavo")</f>
        <v>@petrogustavo</v>
      </c>
      <c r="C774" s="5" t="s">
        <v>16</v>
      </c>
      <c r="D774" s="5" t="s">
        <v>772</v>
      </c>
      <c r="E774" s="6" t="str">
        <f>HYPERLINK("https://twitter.com/petrogustavo/status/1207357392847069184","1207357392847069184")</f>
        <v>1207357392847069184</v>
      </c>
      <c r="F774" s="7" t="s">
        <v>17</v>
      </c>
      <c r="G774" s="7">
        <v>3583947</v>
      </c>
      <c r="H774" s="7">
        <v>2336</v>
      </c>
      <c r="I774" s="7">
        <v>53</v>
      </c>
      <c r="J774" s="7">
        <v>0</v>
      </c>
      <c r="K774" s="7" t="s">
        <v>18</v>
      </c>
      <c r="L774" s="8">
        <v>39987.315405092595</v>
      </c>
      <c r="M774" s="9" t="s">
        <v>19</v>
      </c>
      <c r="N774" s="9" t="s">
        <v>20</v>
      </c>
      <c r="O774" s="6" t="str">
        <f>HYPERLINK("https://pbs.twimg.com/profile_images/962471262747529216/Uo8lOkRJ_normal.jpg","View")</f>
        <v>View</v>
      </c>
      <c r="P774" s="7"/>
    </row>
    <row r="775" spans="1:16">
      <c r="A775" s="3">
        <v>43817.974699074075</v>
      </c>
      <c r="B775" s="4" t="str">
        <f>HYPERLINK("https://twitter.com/petrogustavo","@petrogustavo")</f>
        <v>@petrogustavo</v>
      </c>
      <c r="C775" s="5" t="s">
        <v>16</v>
      </c>
      <c r="D775" s="5" t="s">
        <v>773</v>
      </c>
      <c r="E775" s="6" t="str">
        <f>HYPERLINK("https://twitter.com/petrogustavo/status/1207358255078477824","1207358255078477824")</f>
        <v>1207358255078477824</v>
      </c>
      <c r="F775" s="7" t="s">
        <v>17</v>
      </c>
      <c r="G775" s="7">
        <v>3583947</v>
      </c>
      <c r="H775" s="7">
        <v>2336</v>
      </c>
      <c r="I775" s="7">
        <v>60</v>
      </c>
      <c r="J775" s="7">
        <v>160</v>
      </c>
      <c r="K775" s="7" t="s">
        <v>18</v>
      </c>
      <c r="L775" s="8">
        <v>39987.315405092595</v>
      </c>
      <c r="M775" s="9" t="s">
        <v>19</v>
      </c>
      <c r="N775" s="9" t="s">
        <v>20</v>
      </c>
      <c r="O775" s="6" t="str">
        <f>HYPERLINK("https://pbs.twimg.com/profile_images/962471262747529216/Uo8lOkRJ_normal.jpg","View")</f>
        <v>View</v>
      </c>
      <c r="P775" s="7"/>
    </row>
    <row r="776" spans="1:16">
      <c r="A776" s="3">
        <v>43817.974918981483</v>
      </c>
      <c r="B776" s="4" t="str">
        <f>HYPERLINK("https://twitter.com/petrogustavo","@petrogustavo")</f>
        <v>@petrogustavo</v>
      </c>
      <c r="C776" s="5" t="s">
        <v>16</v>
      </c>
      <c r="D776" s="5" t="s">
        <v>774</v>
      </c>
      <c r="E776" s="6" t="str">
        <f>HYPERLINK("https://twitter.com/petrogustavo/status/1207358335256801286","1207358335256801286")</f>
        <v>1207358335256801286</v>
      </c>
      <c r="F776" s="7" t="s">
        <v>17</v>
      </c>
      <c r="G776" s="7">
        <v>3583947</v>
      </c>
      <c r="H776" s="7">
        <v>2336</v>
      </c>
      <c r="I776" s="7">
        <v>25</v>
      </c>
      <c r="J776" s="7">
        <v>0</v>
      </c>
      <c r="K776" s="7" t="s">
        <v>18</v>
      </c>
      <c r="L776" s="8">
        <v>39987.315405092595</v>
      </c>
      <c r="M776" s="9" t="s">
        <v>19</v>
      </c>
      <c r="N776" s="9" t="s">
        <v>20</v>
      </c>
      <c r="O776" s="6" t="str">
        <f>HYPERLINK("https://pbs.twimg.com/profile_images/962471262747529216/Uo8lOkRJ_normal.jpg","View")</f>
        <v>View</v>
      </c>
      <c r="P776" s="7"/>
    </row>
    <row r="777" spans="1:16">
      <c r="A777" s="3">
        <v>43817.97693287037</v>
      </c>
      <c r="B777" s="4" t="str">
        <f>HYPERLINK("https://twitter.com/petrogustavo","@petrogustavo")</f>
        <v>@petrogustavo</v>
      </c>
      <c r="C777" s="5" t="s">
        <v>16</v>
      </c>
      <c r="D777" s="5" t="s">
        <v>775</v>
      </c>
      <c r="E777" s="6" t="str">
        <f>HYPERLINK("https://twitter.com/petrogustavo/status/1207359067330686976","1207359067330686976")</f>
        <v>1207359067330686976</v>
      </c>
      <c r="F777" s="7" t="s">
        <v>17</v>
      </c>
      <c r="G777" s="7">
        <v>3583947</v>
      </c>
      <c r="H777" s="7">
        <v>2336</v>
      </c>
      <c r="I777" s="7">
        <v>164</v>
      </c>
      <c r="J777" s="7">
        <v>1445</v>
      </c>
      <c r="K777" s="7" t="s">
        <v>18</v>
      </c>
      <c r="L777" s="8">
        <v>39987.315405092595</v>
      </c>
      <c r="M777" s="9" t="s">
        <v>19</v>
      </c>
      <c r="N777" s="9" t="s">
        <v>20</v>
      </c>
      <c r="O777" s="6" t="str">
        <f>HYPERLINK("https://pbs.twimg.com/profile_images/962471262747529216/Uo8lOkRJ_normal.jpg","View")</f>
        <v>View</v>
      </c>
      <c r="P777" s="7"/>
    </row>
    <row r="778" spans="1:16">
      <c r="A778" s="3">
        <v>43817.979745370365</v>
      </c>
      <c r="B778" s="4" t="str">
        <f>HYPERLINK("https://twitter.com/petrogustavo","@petrogustavo")</f>
        <v>@petrogustavo</v>
      </c>
      <c r="C778" s="5" t="s">
        <v>16</v>
      </c>
      <c r="D778" s="5" t="s">
        <v>776</v>
      </c>
      <c r="E778" s="6" t="str">
        <f>HYPERLINK("https://twitter.com/petrogustavo/status/1207360084831080450","1207360084831080450")</f>
        <v>1207360084831080450</v>
      </c>
      <c r="F778" s="7" t="s">
        <v>17</v>
      </c>
      <c r="G778" s="7">
        <v>3583947</v>
      </c>
      <c r="H778" s="7">
        <v>2336</v>
      </c>
      <c r="I778" s="7">
        <v>73</v>
      </c>
      <c r="J778" s="7">
        <v>190</v>
      </c>
      <c r="K778" s="7" t="s">
        <v>18</v>
      </c>
      <c r="L778" s="8">
        <v>39987.315405092595</v>
      </c>
      <c r="M778" s="9" t="s">
        <v>19</v>
      </c>
      <c r="N778" s="9" t="s">
        <v>20</v>
      </c>
      <c r="O778" s="6" t="str">
        <f>HYPERLINK("https://pbs.twimg.com/profile_images/962471262747529216/Uo8lOkRJ_normal.jpg","View")</f>
        <v>View</v>
      </c>
      <c r="P778" s="7"/>
    </row>
    <row r="779" spans="1:16">
      <c r="A779" s="3">
        <v>43818.008553240739</v>
      </c>
      <c r="B779" s="4" t="str">
        <f>HYPERLINK("https://twitter.com/petrogustavo","@petrogustavo")</f>
        <v>@petrogustavo</v>
      </c>
      <c r="C779" s="5" t="s">
        <v>16</v>
      </c>
      <c r="D779" s="5" t="s">
        <v>777</v>
      </c>
      <c r="E779" s="6" t="str">
        <f>HYPERLINK("https://twitter.com/petrogustavo/status/1207370525716168706","1207370525716168706")</f>
        <v>1207370525716168706</v>
      </c>
      <c r="F779" s="7" t="s">
        <v>17</v>
      </c>
      <c r="G779" s="7">
        <v>3583970</v>
      </c>
      <c r="H779" s="7">
        <v>2336</v>
      </c>
      <c r="I779" s="7">
        <v>8</v>
      </c>
      <c r="J779" s="7">
        <v>0</v>
      </c>
      <c r="K779" s="7" t="s">
        <v>18</v>
      </c>
      <c r="L779" s="8">
        <v>39987.315405092595</v>
      </c>
      <c r="M779" s="9" t="s">
        <v>19</v>
      </c>
      <c r="N779" s="9" t="s">
        <v>20</v>
      </c>
      <c r="O779" s="6" t="str">
        <f>HYPERLINK("https://pbs.twimg.com/profile_images/962471262747529216/Uo8lOkRJ_normal.jpg","View")</f>
        <v>View</v>
      </c>
      <c r="P779" s="7"/>
    </row>
    <row r="780" spans="1:16">
      <c r="A780" s="3">
        <v>43818.011747685188</v>
      </c>
      <c r="B780" s="4" t="str">
        <f>HYPERLINK("https://twitter.com/petrogustavo","@petrogustavo")</f>
        <v>@petrogustavo</v>
      </c>
      <c r="C780" s="5" t="s">
        <v>16</v>
      </c>
      <c r="D780" s="5" t="s">
        <v>778</v>
      </c>
      <c r="E780" s="6" t="str">
        <f>HYPERLINK("https://twitter.com/petrogustavo/status/1207371681335054343","1207371681335054343")</f>
        <v>1207371681335054343</v>
      </c>
      <c r="F780" s="7" t="s">
        <v>17</v>
      </c>
      <c r="G780" s="7">
        <v>3583970</v>
      </c>
      <c r="H780" s="7">
        <v>2336</v>
      </c>
      <c r="I780" s="7">
        <v>0</v>
      </c>
      <c r="J780" s="7">
        <v>7</v>
      </c>
      <c r="K780" s="7" t="s">
        <v>18</v>
      </c>
      <c r="L780" s="8">
        <v>39987.315405092595</v>
      </c>
      <c r="M780" s="9" t="s">
        <v>19</v>
      </c>
      <c r="N780" s="9" t="s">
        <v>20</v>
      </c>
      <c r="O780" s="6" t="str">
        <f>HYPERLINK("https://pbs.twimg.com/profile_images/962471262747529216/Uo8lOkRJ_normal.jpg","View")</f>
        <v>View</v>
      </c>
      <c r="P780" s="7"/>
    </row>
    <row r="781" spans="1:16">
      <c r="A781" s="3">
        <v>43818.013067129628</v>
      </c>
      <c r="B781" s="4" t="str">
        <f>HYPERLINK("https://twitter.com/petrogustavo","@petrogustavo")</f>
        <v>@petrogustavo</v>
      </c>
      <c r="C781" s="5" t="s">
        <v>16</v>
      </c>
      <c r="D781" s="5" t="s">
        <v>779</v>
      </c>
      <c r="E781" s="6" t="str">
        <f>HYPERLINK("https://twitter.com/petrogustavo/status/1207372162115555328","1207372162115555328")</f>
        <v>1207372162115555328</v>
      </c>
      <c r="F781" s="7" t="s">
        <v>17</v>
      </c>
      <c r="G781" s="7">
        <v>3583996</v>
      </c>
      <c r="H781" s="7">
        <v>2336</v>
      </c>
      <c r="I781" s="7">
        <v>843</v>
      </c>
      <c r="J781" s="7">
        <v>0</v>
      </c>
      <c r="K781" s="7" t="s">
        <v>18</v>
      </c>
      <c r="L781" s="8">
        <v>39987.315405092595</v>
      </c>
      <c r="M781" s="9" t="s">
        <v>19</v>
      </c>
      <c r="N781" s="9" t="s">
        <v>20</v>
      </c>
      <c r="O781" s="6" t="str">
        <f>HYPERLINK("https://pbs.twimg.com/profile_images/962471262747529216/Uo8lOkRJ_normal.jpg","View")</f>
        <v>View</v>
      </c>
      <c r="P781" s="7"/>
    </row>
    <row r="782" spans="1:16">
      <c r="A782" s="3">
        <v>43818.029826388884</v>
      </c>
      <c r="B782" s="4" t="str">
        <f>HYPERLINK("https://twitter.com/petrogustavo","@petrogustavo")</f>
        <v>@petrogustavo</v>
      </c>
      <c r="C782" s="5" t="s">
        <v>16</v>
      </c>
      <c r="D782" s="5" t="s">
        <v>780</v>
      </c>
      <c r="E782" s="6" t="str">
        <f>HYPERLINK("https://twitter.com/petrogustavo/status/1207378232296771587","1207378232296771587")</f>
        <v>1207378232296771587</v>
      </c>
      <c r="F782" s="7" t="s">
        <v>17</v>
      </c>
      <c r="G782" s="7">
        <v>3583996</v>
      </c>
      <c r="H782" s="7">
        <v>2336</v>
      </c>
      <c r="I782" s="7">
        <v>31</v>
      </c>
      <c r="J782" s="7">
        <v>62</v>
      </c>
      <c r="K782" s="7" t="s">
        <v>18</v>
      </c>
      <c r="L782" s="8">
        <v>39987.315405092595</v>
      </c>
      <c r="M782" s="9" t="s">
        <v>19</v>
      </c>
      <c r="N782" s="9" t="s">
        <v>20</v>
      </c>
      <c r="O782" s="6" t="str">
        <f>HYPERLINK("https://pbs.twimg.com/profile_images/962471262747529216/Uo8lOkRJ_normal.jpg","View")</f>
        <v>View</v>
      </c>
      <c r="P782" s="7"/>
    </row>
    <row r="783" spans="1:16">
      <c r="A783" s="3">
        <v>43820.430254629631</v>
      </c>
      <c r="B783" s="4" t="str">
        <f>HYPERLINK("https://twitter.com/petrogustavo","@petrogustavo")</f>
        <v>@petrogustavo</v>
      </c>
      <c r="C783" s="5" t="s">
        <v>16</v>
      </c>
      <c r="D783" s="5" t="s">
        <v>781</v>
      </c>
      <c r="E783" s="6" t="str">
        <f>HYPERLINK("https://twitter.com/petrogustavo/status/1208248120301240320","1208248120301240320")</f>
        <v>1208248120301240320</v>
      </c>
      <c r="F783" s="7" t="s">
        <v>17</v>
      </c>
      <c r="G783" s="7">
        <v>3585792</v>
      </c>
      <c r="H783" s="7">
        <v>2338</v>
      </c>
      <c r="I783" s="7">
        <v>1998</v>
      </c>
      <c r="J783" s="7">
        <v>0</v>
      </c>
      <c r="K783" s="7" t="s">
        <v>18</v>
      </c>
      <c r="L783" s="8">
        <v>39987.315405092595</v>
      </c>
      <c r="M783" s="9" t="s">
        <v>19</v>
      </c>
      <c r="N783" s="9" t="s">
        <v>20</v>
      </c>
      <c r="O783" s="6" t="str">
        <f>HYPERLINK("https://pbs.twimg.com/profile_images/962471262747529216/Uo8lOkRJ_normal.jpg","View")</f>
        <v>View</v>
      </c>
      <c r="P783" s="7"/>
    </row>
    <row r="784" spans="1:16">
      <c r="A784" s="3">
        <v>43820.432870370365</v>
      </c>
      <c r="B784" s="4" t="str">
        <f>HYPERLINK("https://twitter.com/petrogustavo","@petrogustavo")</f>
        <v>@petrogustavo</v>
      </c>
      <c r="C784" s="5" t="s">
        <v>16</v>
      </c>
      <c r="D784" s="5" t="s">
        <v>782</v>
      </c>
      <c r="E784" s="6" t="str">
        <f>HYPERLINK("https://twitter.com/petrogustavo/status/1208249066502664193","1208249066502664193")</f>
        <v>1208249066502664193</v>
      </c>
      <c r="F784" s="7" t="s">
        <v>17</v>
      </c>
      <c r="G784" s="7">
        <v>3585792</v>
      </c>
      <c r="H784" s="7">
        <v>2338</v>
      </c>
      <c r="I784" s="7">
        <v>61</v>
      </c>
      <c r="J784" s="7">
        <v>230</v>
      </c>
      <c r="K784" s="7" t="s">
        <v>18</v>
      </c>
      <c r="L784" s="8">
        <v>39987.315405092595</v>
      </c>
      <c r="M784" s="9" t="s">
        <v>19</v>
      </c>
      <c r="N784" s="9" t="s">
        <v>20</v>
      </c>
      <c r="O784" s="6" t="str">
        <f>HYPERLINK("https://pbs.twimg.com/profile_images/962471262747529216/Uo8lOkRJ_normal.jpg","View")</f>
        <v>View</v>
      </c>
      <c r="P784" s="7"/>
    </row>
    <row r="785" spans="1:16">
      <c r="A785" s="3">
        <v>43820.436203703706</v>
      </c>
      <c r="B785" s="4" t="str">
        <f>HYPERLINK("https://twitter.com/petrogustavo","@petrogustavo")</f>
        <v>@petrogustavo</v>
      </c>
      <c r="C785" s="5" t="s">
        <v>16</v>
      </c>
      <c r="D785" s="5" t="s">
        <v>783</v>
      </c>
      <c r="E785" s="6" t="str">
        <f>HYPERLINK("https://twitter.com/petrogustavo/status/1208250274000838657","1208250274000838657")</f>
        <v>1208250274000838657</v>
      </c>
      <c r="F785" s="7" t="s">
        <v>17</v>
      </c>
      <c r="G785" s="7">
        <v>3585792</v>
      </c>
      <c r="H785" s="7">
        <v>2338</v>
      </c>
      <c r="I785" s="7">
        <v>65</v>
      </c>
      <c r="J785" s="7">
        <v>181</v>
      </c>
      <c r="K785" s="7" t="s">
        <v>18</v>
      </c>
      <c r="L785" s="8">
        <v>39987.315405092595</v>
      </c>
      <c r="M785" s="9" t="s">
        <v>19</v>
      </c>
      <c r="N785" s="9" t="s">
        <v>20</v>
      </c>
      <c r="O785" s="6" t="str">
        <f>HYPERLINK("https://pbs.twimg.com/profile_images/962471262747529216/Uo8lOkRJ_normal.jpg","View")</f>
        <v>View</v>
      </c>
      <c r="P785" s="7"/>
    </row>
    <row r="786" spans="1:16">
      <c r="A786" s="3">
        <v>43821.703993055555</v>
      </c>
      <c r="B786" s="4" t="str">
        <f>HYPERLINK("https://twitter.com/petrogustavo","@petrogustavo")</f>
        <v>@petrogustavo</v>
      </c>
      <c r="C786" s="5" t="s">
        <v>16</v>
      </c>
      <c r="D786" s="5" t="s">
        <v>784</v>
      </c>
      <c r="E786" s="6" t="str">
        <f>HYPERLINK("https://twitter.com/petrogustavo/status/1208709706480603142","1208709706480603142")</f>
        <v>1208709706480603142</v>
      </c>
      <c r="F786" s="7" t="s">
        <v>21</v>
      </c>
      <c r="G786" s="7">
        <v>3586552</v>
      </c>
      <c r="H786" s="7">
        <v>2338</v>
      </c>
      <c r="I786" s="7">
        <v>77</v>
      </c>
      <c r="J786" s="7">
        <v>178</v>
      </c>
      <c r="K786" s="7" t="s">
        <v>18</v>
      </c>
      <c r="L786" s="8">
        <v>39987.315405092595</v>
      </c>
      <c r="M786" s="9" t="s">
        <v>19</v>
      </c>
      <c r="N786" s="9" t="s">
        <v>20</v>
      </c>
      <c r="O786" s="6" t="str">
        <f>HYPERLINK("https://pbs.twimg.com/profile_images/962471262747529216/Uo8lOkRJ_normal.jpg","View")</f>
        <v>View</v>
      </c>
      <c r="P786" s="7"/>
    </row>
    <row r="787" spans="1:16">
      <c r="A787" s="3">
        <v>43821.704571759255</v>
      </c>
      <c r="B787" s="4" t="str">
        <f>HYPERLINK("https://twitter.com/petrogustavo","@petrogustavo")</f>
        <v>@petrogustavo</v>
      </c>
      <c r="C787" s="5" t="s">
        <v>16</v>
      </c>
      <c r="D787" s="5" t="s">
        <v>785</v>
      </c>
      <c r="E787" s="6" t="str">
        <f>HYPERLINK("https://twitter.com/petrogustavo/status/1208709915864375296","1208709915864375296")</f>
        <v>1208709915864375296</v>
      </c>
      <c r="F787" s="7" t="s">
        <v>21</v>
      </c>
      <c r="G787" s="7">
        <v>3586552</v>
      </c>
      <c r="H787" s="7">
        <v>2338</v>
      </c>
      <c r="I787" s="7">
        <v>43</v>
      </c>
      <c r="J787" s="7">
        <v>113</v>
      </c>
      <c r="K787" s="7" t="s">
        <v>18</v>
      </c>
      <c r="L787" s="8">
        <v>39987.315405092595</v>
      </c>
      <c r="M787" s="9" t="s">
        <v>19</v>
      </c>
      <c r="N787" s="9" t="s">
        <v>20</v>
      </c>
      <c r="O787" s="6" t="str">
        <f>HYPERLINK("https://pbs.twimg.com/profile_images/962471262747529216/Uo8lOkRJ_normal.jpg","View")</f>
        <v>View</v>
      </c>
      <c r="P787" s="7"/>
    </row>
    <row r="788" spans="1:16">
      <c r="A788" s="3">
        <v>43822.104699074072</v>
      </c>
      <c r="B788" s="4" t="str">
        <f>HYPERLINK("https://twitter.com/petrogustavo","@petrogustavo")</f>
        <v>@petrogustavo</v>
      </c>
      <c r="C788" s="5" t="s">
        <v>16</v>
      </c>
      <c r="D788" s="5" t="s">
        <v>786</v>
      </c>
      <c r="E788" s="6" t="str">
        <f>HYPERLINK("https://twitter.com/petrogustavo/status/1208854919874256896","1208854919874256896")</f>
        <v>1208854919874256896</v>
      </c>
      <c r="F788" s="7" t="s">
        <v>17</v>
      </c>
      <c r="G788" s="7">
        <v>3586882</v>
      </c>
      <c r="H788" s="7">
        <v>2338</v>
      </c>
      <c r="I788" s="7">
        <v>95</v>
      </c>
      <c r="J788" s="7">
        <v>0</v>
      </c>
      <c r="K788" s="7" t="s">
        <v>18</v>
      </c>
      <c r="L788" s="8">
        <v>39987.315405092595</v>
      </c>
      <c r="M788" s="9" t="s">
        <v>19</v>
      </c>
      <c r="N788" s="9" t="s">
        <v>20</v>
      </c>
      <c r="O788" s="6" t="str">
        <f>HYPERLINK("https://pbs.twimg.com/profile_images/962471262747529216/Uo8lOkRJ_normal.jpg","View")</f>
        <v>View</v>
      </c>
      <c r="P788" s="7"/>
    </row>
    <row r="789" spans="1:16">
      <c r="A789" s="3">
        <v>43822.104895833334</v>
      </c>
      <c r="B789" s="4" t="str">
        <f>HYPERLINK("https://twitter.com/petrogustavo","@petrogustavo")</f>
        <v>@petrogustavo</v>
      </c>
      <c r="C789" s="5" t="s">
        <v>16</v>
      </c>
      <c r="D789" s="5" t="s">
        <v>787</v>
      </c>
      <c r="E789" s="6" t="str">
        <f>HYPERLINK("https://twitter.com/petrogustavo/status/1208854989965275136","1208854989965275136")</f>
        <v>1208854989965275136</v>
      </c>
      <c r="F789" s="7" t="s">
        <v>17</v>
      </c>
      <c r="G789" s="7">
        <v>3586882</v>
      </c>
      <c r="H789" s="7">
        <v>2338</v>
      </c>
      <c r="I789" s="7">
        <v>72</v>
      </c>
      <c r="J789" s="7">
        <v>0</v>
      </c>
      <c r="K789" s="7" t="s">
        <v>18</v>
      </c>
      <c r="L789" s="8">
        <v>39987.315405092595</v>
      </c>
      <c r="M789" s="9" t="s">
        <v>19</v>
      </c>
      <c r="N789" s="9" t="s">
        <v>20</v>
      </c>
      <c r="O789" s="6" t="str">
        <f>HYPERLINK("https://pbs.twimg.com/profile_images/962471262747529216/Uo8lOkRJ_normal.jpg","View")</f>
        <v>View</v>
      </c>
      <c r="P789" s="7"/>
    </row>
    <row r="790" spans="1:16">
      <c r="A790" s="3">
        <v>43822.106319444443</v>
      </c>
      <c r="B790" s="4" t="str">
        <f>HYPERLINK("https://twitter.com/petrogustavo","@petrogustavo")</f>
        <v>@petrogustavo</v>
      </c>
      <c r="C790" s="5" t="s">
        <v>16</v>
      </c>
      <c r="D790" s="5" t="s">
        <v>788</v>
      </c>
      <c r="E790" s="6" t="str">
        <f>HYPERLINK("https://twitter.com/petrogustavo/status/1208855505533313024","1208855505533313024")</f>
        <v>1208855505533313024</v>
      </c>
      <c r="F790" s="7" t="s">
        <v>17</v>
      </c>
      <c r="G790" s="7">
        <v>3586882</v>
      </c>
      <c r="H790" s="7">
        <v>2338</v>
      </c>
      <c r="I790" s="7">
        <v>105</v>
      </c>
      <c r="J790" s="7">
        <v>253</v>
      </c>
      <c r="K790" s="7" t="s">
        <v>18</v>
      </c>
      <c r="L790" s="8">
        <v>39987.315405092595</v>
      </c>
      <c r="M790" s="9" t="s">
        <v>19</v>
      </c>
      <c r="N790" s="9" t="s">
        <v>20</v>
      </c>
      <c r="O790" s="6" t="str">
        <f>HYPERLINK("https://pbs.twimg.com/profile_images/962471262747529216/Uo8lOkRJ_normal.jpg","View")</f>
        <v>View</v>
      </c>
      <c r="P790" s="7"/>
    </row>
    <row r="791" spans="1:16">
      <c r="A791" s="3">
        <v>43822.11650462963</v>
      </c>
      <c r="B791" s="4" t="str">
        <f>HYPERLINK("https://twitter.com/petrogustavo","@petrogustavo")</f>
        <v>@petrogustavo</v>
      </c>
      <c r="C791" s="5" t="s">
        <v>16</v>
      </c>
      <c r="D791" s="5" t="s">
        <v>789</v>
      </c>
      <c r="E791" s="6" t="str">
        <f>HYPERLINK("https://twitter.com/petrogustavo/status/1208859195459674113","1208859195459674113")</f>
        <v>1208859195459674113</v>
      </c>
      <c r="F791" s="7" t="s">
        <v>17</v>
      </c>
      <c r="G791" s="7">
        <v>3586906</v>
      </c>
      <c r="H791" s="7">
        <v>2338</v>
      </c>
      <c r="I791" s="7">
        <v>63</v>
      </c>
      <c r="J791" s="7">
        <v>143</v>
      </c>
      <c r="K791" s="7" t="s">
        <v>18</v>
      </c>
      <c r="L791" s="8">
        <v>39987.315405092595</v>
      </c>
      <c r="M791" s="9" t="s">
        <v>19</v>
      </c>
      <c r="N791" s="9" t="s">
        <v>20</v>
      </c>
      <c r="O791" s="6" t="str">
        <f>HYPERLINK("https://pbs.twimg.com/profile_images/962471262747529216/Uo8lOkRJ_normal.jpg","View")</f>
        <v>View</v>
      </c>
      <c r="P791" s="7"/>
    </row>
    <row r="792" spans="1:16">
      <c r="A792" s="3">
        <v>43822.11891203704</v>
      </c>
      <c r="B792" s="4" t="str">
        <f>HYPERLINK("https://twitter.com/petrogustavo","@petrogustavo")</f>
        <v>@petrogustavo</v>
      </c>
      <c r="C792" s="5" t="s">
        <v>16</v>
      </c>
      <c r="D792" s="5" t="s">
        <v>790</v>
      </c>
      <c r="E792" s="6" t="str">
        <f>HYPERLINK("https://twitter.com/petrogustavo/status/1208860066419478528","1208860066419478528")</f>
        <v>1208860066419478528</v>
      </c>
      <c r="F792" s="7" t="s">
        <v>17</v>
      </c>
      <c r="G792" s="7">
        <v>3586906</v>
      </c>
      <c r="H792" s="7">
        <v>2338</v>
      </c>
      <c r="I792" s="7">
        <v>98</v>
      </c>
      <c r="J792" s="7">
        <v>282</v>
      </c>
      <c r="K792" s="7" t="s">
        <v>18</v>
      </c>
      <c r="L792" s="8">
        <v>39987.315405092595</v>
      </c>
      <c r="M792" s="9" t="s">
        <v>19</v>
      </c>
      <c r="N792" s="9" t="s">
        <v>20</v>
      </c>
      <c r="O792" s="6" t="str">
        <f>HYPERLINK("https://pbs.twimg.com/profile_images/962471262747529216/Uo8lOkRJ_normal.jpg","View")</f>
        <v>View</v>
      </c>
      <c r="P792" s="7"/>
    </row>
    <row r="793" spans="1:16">
      <c r="A793" s="3">
        <v>43822.125439814816</v>
      </c>
      <c r="B793" s="4" t="str">
        <f>HYPERLINK("https://twitter.com/petrogustavo","@petrogustavo")</f>
        <v>@petrogustavo</v>
      </c>
      <c r="C793" s="5" t="s">
        <v>16</v>
      </c>
      <c r="D793" s="5" t="s">
        <v>791</v>
      </c>
      <c r="E793" s="6" t="str">
        <f>HYPERLINK("https://twitter.com/petrogustavo/status/1208862434934607873","1208862434934607873")</f>
        <v>1208862434934607873</v>
      </c>
      <c r="F793" s="7" t="s">
        <v>17</v>
      </c>
      <c r="G793" s="7">
        <v>3586906</v>
      </c>
      <c r="H793" s="7">
        <v>2338</v>
      </c>
      <c r="I793" s="7">
        <v>687</v>
      </c>
      <c r="J793" s="7">
        <v>0</v>
      </c>
      <c r="K793" s="7" t="s">
        <v>18</v>
      </c>
      <c r="L793" s="8">
        <v>39987.315405092595</v>
      </c>
      <c r="M793" s="9" t="s">
        <v>19</v>
      </c>
      <c r="N793" s="9" t="s">
        <v>20</v>
      </c>
      <c r="O793" s="6" t="str">
        <f>HYPERLINK("https://pbs.twimg.com/profile_images/962471262747529216/Uo8lOkRJ_normal.jpg","View")</f>
        <v>View</v>
      </c>
      <c r="P793" s="7"/>
    </row>
    <row r="794" spans="1:16">
      <c r="A794" s="3">
        <v>43822.125486111108</v>
      </c>
      <c r="B794" s="4" t="str">
        <f>HYPERLINK("https://twitter.com/petrogustavo","@petrogustavo")</f>
        <v>@petrogustavo</v>
      </c>
      <c r="C794" s="5" t="s">
        <v>16</v>
      </c>
      <c r="D794" s="5" t="s">
        <v>792</v>
      </c>
      <c r="E794" s="6" t="str">
        <f>HYPERLINK("https://twitter.com/petrogustavo/status/1208862448935157761","1208862448935157761")</f>
        <v>1208862448935157761</v>
      </c>
      <c r="F794" s="7" t="s">
        <v>17</v>
      </c>
      <c r="G794" s="7">
        <v>3586906</v>
      </c>
      <c r="H794" s="7">
        <v>2338</v>
      </c>
      <c r="I794" s="7">
        <v>1253</v>
      </c>
      <c r="J794" s="7">
        <v>0</v>
      </c>
      <c r="K794" s="7" t="s">
        <v>18</v>
      </c>
      <c r="L794" s="8">
        <v>39987.315405092595</v>
      </c>
      <c r="M794" s="9" t="s">
        <v>19</v>
      </c>
      <c r="N794" s="9" t="s">
        <v>20</v>
      </c>
      <c r="O794" s="6" t="str">
        <f>HYPERLINK("https://pbs.twimg.com/profile_images/962471262747529216/Uo8lOkRJ_normal.jpg","View")</f>
        <v>View</v>
      </c>
      <c r="P794" s="7"/>
    </row>
    <row r="795" spans="1:16">
      <c r="A795" s="3">
        <v>43822.139930555553</v>
      </c>
      <c r="B795" s="4" t="str">
        <f>HYPERLINK("https://twitter.com/petrogustavo","@petrogustavo")</f>
        <v>@petrogustavo</v>
      </c>
      <c r="C795" s="5" t="s">
        <v>16</v>
      </c>
      <c r="D795" s="5" t="s">
        <v>793</v>
      </c>
      <c r="E795" s="6" t="str">
        <f>HYPERLINK("https://twitter.com/petrogustavo/status/1208867683401379840","1208867683401379840")</f>
        <v>1208867683401379840</v>
      </c>
      <c r="F795" s="7" t="s">
        <v>17</v>
      </c>
      <c r="G795" s="7">
        <v>3586925</v>
      </c>
      <c r="H795" s="7">
        <v>2338</v>
      </c>
      <c r="I795" s="7">
        <v>37</v>
      </c>
      <c r="J795" s="7">
        <v>0</v>
      </c>
      <c r="K795" s="7" t="s">
        <v>18</v>
      </c>
      <c r="L795" s="8">
        <v>39987.315405092595</v>
      </c>
      <c r="M795" s="9" t="s">
        <v>19</v>
      </c>
      <c r="N795" s="9" t="s">
        <v>20</v>
      </c>
      <c r="O795" s="6" t="str">
        <f>HYPERLINK("https://pbs.twimg.com/profile_images/962471262747529216/Uo8lOkRJ_normal.jpg","View")</f>
        <v>View</v>
      </c>
      <c r="P795" s="7"/>
    </row>
    <row r="796" spans="1:16">
      <c r="A796" s="3">
        <v>43822.140115740738</v>
      </c>
      <c r="B796" s="4" t="str">
        <f>HYPERLINK("https://twitter.com/petrogustavo","@petrogustavo")</f>
        <v>@petrogustavo</v>
      </c>
      <c r="C796" s="5" t="s">
        <v>16</v>
      </c>
      <c r="D796" s="5" t="s">
        <v>794</v>
      </c>
      <c r="E796" s="6" t="str">
        <f>HYPERLINK("https://twitter.com/petrogustavo/status/1208867753173671936","1208867753173671936")</f>
        <v>1208867753173671936</v>
      </c>
      <c r="F796" s="7" t="s">
        <v>17</v>
      </c>
      <c r="G796" s="7">
        <v>3586925</v>
      </c>
      <c r="H796" s="7">
        <v>2338</v>
      </c>
      <c r="I796" s="7">
        <v>209</v>
      </c>
      <c r="J796" s="7">
        <v>0</v>
      </c>
      <c r="K796" s="7" t="s">
        <v>18</v>
      </c>
      <c r="L796" s="8">
        <v>39987.315405092595</v>
      </c>
      <c r="M796" s="9" t="s">
        <v>19</v>
      </c>
      <c r="N796" s="9" t="s">
        <v>20</v>
      </c>
      <c r="O796" s="6" t="str">
        <f>HYPERLINK("https://pbs.twimg.com/profile_images/962471262747529216/Uo8lOkRJ_normal.jpg","View")</f>
        <v>View</v>
      </c>
      <c r="P796" s="7"/>
    </row>
    <row r="797" spans="1:16">
      <c r="A797" s="3">
        <v>43822.146180555559</v>
      </c>
      <c r="B797" s="4" t="str">
        <f>HYPERLINK("https://twitter.com/petrogustavo","@petrogustavo")</f>
        <v>@petrogustavo</v>
      </c>
      <c r="C797" s="5" t="s">
        <v>16</v>
      </c>
      <c r="D797" s="5" t="s">
        <v>795</v>
      </c>
      <c r="E797" s="6" t="str">
        <f>HYPERLINK("https://twitter.com/petrogustavo/status/1208869948858220544","1208869948858220544")</f>
        <v>1208869948858220544</v>
      </c>
      <c r="F797" s="7" t="s">
        <v>17</v>
      </c>
      <c r="G797" s="7">
        <v>3586925</v>
      </c>
      <c r="H797" s="7">
        <v>2338</v>
      </c>
      <c r="I797" s="7">
        <v>282</v>
      </c>
      <c r="J797" s="7">
        <v>0</v>
      </c>
      <c r="K797" s="7" t="s">
        <v>18</v>
      </c>
      <c r="L797" s="8">
        <v>39987.315405092595</v>
      </c>
      <c r="M797" s="9" t="s">
        <v>19</v>
      </c>
      <c r="N797" s="9" t="s">
        <v>20</v>
      </c>
      <c r="O797" s="6" t="str">
        <f>HYPERLINK("https://pbs.twimg.com/profile_images/962471262747529216/Uo8lOkRJ_normal.jpg","View")</f>
        <v>View</v>
      </c>
      <c r="P797" s="7"/>
    </row>
    <row r="798" spans="1:16">
      <c r="A798" s="3">
        <v>43822.148113425923</v>
      </c>
      <c r="B798" s="4" t="str">
        <f>HYPERLINK("https://twitter.com/petrogustavo","@petrogustavo")</f>
        <v>@petrogustavo</v>
      </c>
      <c r="C798" s="5" t="s">
        <v>16</v>
      </c>
      <c r="D798" s="5" t="s">
        <v>796</v>
      </c>
      <c r="E798" s="6" t="str">
        <f>HYPERLINK("https://twitter.com/petrogustavo/status/1208870650078793728","1208870650078793728")</f>
        <v>1208870650078793728</v>
      </c>
      <c r="F798" s="7" t="s">
        <v>17</v>
      </c>
      <c r="G798" s="7">
        <v>3586925</v>
      </c>
      <c r="H798" s="7">
        <v>2338</v>
      </c>
      <c r="I798" s="7">
        <v>42</v>
      </c>
      <c r="J798" s="7">
        <v>97</v>
      </c>
      <c r="K798" s="7" t="s">
        <v>18</v>
      </c>
      <c r="L798" s="8">
        <v>39987.315405092595</v>
      </c>
      <c r="M798" s="9" t="s">
        <v>19</v>
      </c>
      <c r="N798" s="9" t="s">
        <v>20</v>
      </c>
      <c r="O798" s="6" t="str">
        <f>HYPERLINK("https://pbs.twimg.com/profile_images/962471262747529216/Uo8lOkRJ_normal.jpg","View")</f>
        <v>View</v>
      </c>
      <c r="P798" s="7"/>
    </row>
    <row r="799" spans="1:16">
      <c r="A799" s="3">
        <v>43822.149814814809</v>
      </c>
      <c r="B799" s="4" t="str">
        <f>HYPERLINK("https://twitter.com/petrogustavo","@petrogustavo")</f>
        <v>@petrogustavo</v>
      </c>
      <c r="C799" s="5" t="s">
        <v>16</v>
      </c>
      <c r="D799" s="5" t="s">
        <v>797</v>
      </c>
      <c r="E799" s="6" t="str">
        <f>HYPERLINK("https://twitter.com/petrogustavo/status/1208871265714495488","1208871265714495488")</f>
        <v>1208871265714495488</v>
      </c>
      <c r="F799" s="7" t="s">
        <v>17</v>
      </c>
      <c r="G799" s="7">
        <v>3586925</v>
      </c>
      <c r="H799" s="7">
        <v>2338</v>
      </c>
      <c r="I799" s="7">
        <v>29</v>
      </c>
      <c r="J799" s="7">
        <v>0</v>
      </c>
      <c r="K799" s="7" t="s">
        <v>18</v>
      </c>
      <c r="L799" s="8">
        <v>39987.315405092595</v>
      </c>
      <c r="M799" s="9" t="s">
        <v>19</v>
      </c>
      <c r="N799" s="9" t="s">
        <v>20</v>
      </c>
      <c r="O799" s="6" t="str">
        <f>HYPERLINK("https://pbs.twimg.com/profile_images/962471262747529216/Uo8lOkRJ_normal.jpg","View")</f>
        <v>View</v>
      </c>
      <c r="P799" s="7"/>
    </row>
    <row r="800" spans="1:16">
      <c r="A800" s="3">
        <v>43822.151469907403</v>
      </c>
      <c r="B800" s="4" t="str">
        <f>HYPERLINK("https://twitter.com/petrogustavo","@petrogustavo")</f>
        <v>@petrogustavo</v>
      </c>
      <c r="C800" s="5" t="s">
        <v>16</v>
      </c>
      <c r="D800" s="5" t="s">
        <v>798</v>
      </c>
      <c r="E800" s="6" t="str">
        <f>HYPERLINK("https://twitter.com/petrogustavo/status/1208871867970412544","1208871867970412544")</f>
        <v>1208871867970412544</v>
      </c>
      <c r="F800" s="7" t="s">
        <v>17</v>
      </c>
      <c r="G800" s="7">
        <v>3586925</v>
      </c>
      <c r="H800" s="7">
        <v>2338</v>
      </c>
      <c r="I800" s="7">
        <v>45</v>
      </c>
      <c r="J800" s="7">
        <v>102</v>
      </c>
      <c r="K800" s="7" t="s">
        <v>18</v>
      </c>
      <c r="L800" s="8">
        <v>39987.315405092595</v>
      </c>
      <c r="M800" s="9" t="s">
        <v>19</v>
      </c>
      <c r="N800" s="9" t="s">
        <v>20</v>
      </c>
      <c r="O800" s="6" t="str">
        <f>HYPERLINK("https://pbs.twimg.com/profile_images/962471262747529216/Uo8lOkRJ_normal.jpg","View")</f>
        <v>View</v>
      </c>
      <c r="P800" s="7"/>
    </row>
    <row r="801" spans="1:16">
      <c r="A801" s="3">
        <v>43822.15626157407</v>
      </c>
      <c r="B801" s="4" t="str">
        <f>HYPERLINK("https://twitter.com/petrogustavo","@petrogustavo")</f>
        <v>@petrogustavo</v>
      </c>
      <c r="C801" s="5" t="s">
        <v>16</v>
      </c>
      <c r="D801" s="5" t="s">
        <v>799</v>
      </c>
      <c r="E801" s="6" t="str">
        <f>HYPERLINK("https://twitter.com/petrogustavo/status/1208873601803390981","1208873601803390981")</f>
        <v>1208873601803390981</v>
      </c>
      <c r="F801" s="7" t="s">
        <v>17</v>
      </c>
      <c r="G801" s="7">
        <v>3586925</v>
      </c>
      <c r="H801" s="7">
        <v>2338</v>
      </c>
      <c r="I801" s="7">
        <v>22</v>
      </c>
      <c r="J801" s="7">
        <v>102</v>
      </c>
      <c r="K801" s="7" t="s">
        <v>18</v>
      </c>
      <c r="L801" s="8">
        <v>39987.315405092595</v>
      </c>
      <c r="M801" s="9" t="s">
        <v>19</v>
      </c>
      <c r="N801" s="9" t="s">
        <v>20</v>
      </c>
      <c r="O801" s="6" t="str">
        <f>HYPERLINK("https://pbs.twimg.com/profile_images/962471262747529216/Uo8lOkRJ_normal.jpg","View")</f>
        <v>View</v>
      </c>
      <c r="P801" s="7"/>
    </row>
    <row r="802" spans="1:16">
      <c r="A802" s="3">
        <v>43822.157743055555</v>
      </c>
      <c r="B802" s="4" t="str">
        <f>HYPERLINK("https://twitter.com/petrogustavo","@petrogustavo")</f>
        <v>@petrogustavo</v>
      </c>
      <c r="C802" s="5" t="s">
        <v>16</v>
      </c>
      <c r="D802" s="5" t="s">
        <v>800</v>
      </c>
      <c r="E802" s="6" t="str">
        <f>HYPERLINK("https://twitter.com/petrogustavo/status/1208874141409042433","1208874141409042433")</f>
        <v>1208874141409042433</v>
      </c>
      <c r="F802" s="7" t="s">
        <v>17</v>
      </c>
      <c r="G802" s="7">
        <v>3586925</v>
      </c>
      <c r="H802" s="7">
        <v>2338</v>
      </c>
      <c r="I802" s="7">
        <v>184</v>
      </c>
      <c r="J802" s="7">
        <v>0</v>
      </c>
      <c r="K802" s="7" t="s">
        <v>18</v>
      </c>
      <c r="L802" s="8">
        <v>39987.315405092595</v>
      </c>
      <c r="M802" s="9" t="s">
        <v>19</v>
      </c>
      <c r="N802" s="9" t="s">
        <v>20</v>
      </c>
      <c r="O802" s="6" t="str">
        <f>HYPERLINK("https://pbs.twimg.com/profile_images/962471262747529216/Uo8lOkRJ_normal.jpg","View")</f>
        <v>View</v>
      </c>
      <c r="P802" s="7"/>
    </row>
    <row r="803" spans="1:16">
      <c r="A803" s="3">
        <v>43822.170081018514</v>
      </c>
      <c r="B803" s="4" t="str">
        <f>HYPERLINK("https://twitter.com/petrogustavo","@petrogustavo")</f>
        <v>@petrogustavo</v>
      </c>
      <c r="C803" s="5" t="s">
        <v>16</v>
      </c>
      <c r="D803" s="5" t="s">
        <v>801</v>
      </c>
      <c r="E803" s="6" t="str">
        <f>HYPERLINK("https://twitter.com/petrogustavo/status/1208878611924684810","1208878611924684810")</f>
        <v>1208878611924684810</v>
      </c>
      <c r="F803" s="7" t="s">
        <v>17</v>
      </c>
      <c r="G803" s="7">
        <v>3586937</v>
      </c>
      <c r="H803" s="7">
        <v>2338</v>
      </c>
      <c r="I803" s="7">
        <v>130</v>
      </c>
      <c r="J803" s="7">
        <v>0</v>
      </c>
      <c r="K803" s="7" t="s">
        <v>18</v>
      </c>
      <c r="L803" s="8">
        <v>39987.315405092595</v>
      </c>
      <c r="M803" s="9" t="s">
        <v>19</v>
      </c>
      <c r="N803" s="9" t="s">
        <v>20</v>
      </c>
      <c r="O803" s="6" t="str">
        <f>HYPERLINK("https://pbs.twimg.com/profile_images/962471262747529216/Uo8lOkRJ_normal.jpg","View")</f>
        <v>View</v>
      </c>
      <c r="P803" s="7"/>
    </row>
    <row r="804" spans="1:16">
      <c r="A804" s="3">
        <v>43822.805127314816</v>
      </c>
      <c r="B804" s="4" t="str">
        <f>HYPERLINK("https://twitter.com/petrogustavo","@petrogustavo")</f>
        <v>@petrogustavo</v>
      </c>
      <c r="C804" s="5" t="s">
        <v>16</v>
      </c>
      <c r="D804" s="5" t="s">
        <v>802</v>
      </c>
      <c r="E804" s="6" t="str">
        <f>HYPERLINK("https://twitter.com/petrogustavo/status/1209108745634144258","1209108745634144258")</f>
        <v>1209108745634144258</v>
      </c>
      <c r="F804" s="7" t="s">
        <v>17</v>
      </c>
      <c r="G804" s="7">
        <v>3587313</v>
      </c>
      <c r="H804" s="7">
        <v>2338</v>
      </c>
      <c r="I804" s="7">
        <v>133</v>
      </c>
      <c r="J804" s="7">
        <v>305</v>
      </c>
      <c r="K804" s="7" t="s">
        <v>18</v>
      </c>
      <c r="L804" s="8">
        <v>39987.315405092595</v>
      </c>
      <c r="M804" s="9" t="s">
        <v>19</v>
      </c>
      <c r="N804" s="9" t="s">
        <v>20</v>
      </c>
      <c r="O804" s="6" t="str">
        <f>HYPERLINK("https://pbs.twimg.com/profile_images/962471262747529216/Uo8lOkRJ_normal.jpg","View")</f>
        <v>View</v>
      </c>
      <c r="P804" s="7"/>
    </row>
    <row r="805" spans="1:16">
      <c r="A805" s="3">
        <v>43822.819803240738</v>
      </c>
      <c r="B805" s="4" t="str">
        <f>HYPERLINK("https://twitter.com/petrogustavo","@petrogustavo")</f>
        <v>@petrogustavo</v>
      </c>
      <c r="C805" s="5" t="s">
        <v>16</v>
      </c>
      <c r="D805" s="5" t="s">
        <v>803</v>
      </c>
      <c r="E805" s="6" t="str">
        <f>HYPERLINK("https://twitter.com/petrogustavo/status/1209114064544292864","1209114064544292864")</f>
        <v>1209114064544292864</v>
      </c>
      <c r="F805" s="7" t="s">
        <v>17</v>
      </c>
      <c r="G805" s="7">
        <v>3587313</v>
      </c>
      <c r="H805" s="7">
        <v>2338</v>
      </c>
      <c r="I805" s="7">
        <v>72</v>
      </c>
      <c r="J805" s="7">
        <v>180</v>
      </c>
      <c r="K805" s="7" t="s">
        <v>18</v>
      </c>
      <c r="L805" s="8">
        <v>39987.315405092595</v>
      </c>
      <c r="M805" s="9" t="s">
        <v>19</v>
      </c>
      <c r="N805" s="9" t="s">
        <v>20</v>
      </c>
      <c r="O805" s="6" t="str">
        <f>HYPERLINK("https://pbs.twimg.com/profile_images/962471262747529216/Uo8lOkRJ_normal.jpg","View")</f>
        <v>View</v>
      </c>
      <c r="P805" s="7"/>
    </row>
    <row r="806" spans="1:16">
      <c r="A806" s="3">
        <v>43822.943333333329</v>
      </c>
      <c r="B806" s="4" t="str">
        <f>HYPERLINK("https://twitter.com/petrogustavo","@petrogustavo")</f>
        <v>@petrogustavo</v>
      </c>
      <c r="C806" s="5" t="s">
        <v>16</v>
      </c>
      <c r="D806" s="5" t="s">
        <v>804</v>
      </c>
      <c r="E806" s="6" t="str">
        <f>HYPERLINK("https://twitter.com/petrogustavo/status/1209158829042257921","1209158829042257921")</f>
        <v>1209158829042257921</v>
      </c>
      <c r="F806" s="7" t="s">
        <v>17</v>
      </c>
      <c r="G806" s="7">
        <v>3587414</v>
      </c>
      <c r="H806" s="7">
        <v>2338</v>
      </c>
      <c r="I806" s="7">
        <v>59</v>
      </c>
      <c r="J806" s="7">
        <v>128</v>
      </c>
      <c r="K806" s="7" t="s">
        <v>18</v>
      </c>
      <c r="L806" s="8">
        <v>39987.315405092595</v>
      </c>
      <c r="M806" s="9" t="s">
        <v>19</v>
      </c>
      <c r="N806" s="9" t="s">
        <v>20</v>
      </c>
      <c r="O806" s="6" t="str">
        <f>HYPERLINK("https://pbs.twimg.com/profile_images/962471262747529216/Uo8lOkRJ_normal.jpg","View")</f>
        <v>View</v>
      </c>
      <c r="P806" s="7"/>
    </row>
    <row r="807" spans="1:16">
      <c r="A807" s="3">
        <v>43822.945891203708</v>
      </c>
      <c r="B807" s="4" t="str">
        <f>HYPERLINK("https://twitter.com/petrogustavo","@petrogustavo")</f>
        <v>@petrogustavo</v>
      </c>
      <c r="C807" s="5" t="s">
        <v>16</v>
      </c>
      <c r="D807" s="5" t="s">
        <v>805</v>
      </c>
      <c r="E807" s="6" t="str">
        <f>HYPERLINK("https://twitter.com/petrogustavo/status/1209159755756953600","1209159755756953600")</f>
        <v>1209159755756953600</v>
      </c>
      <c r="F807" s="7" t="s">
        <v>17</v>
      </c>
      <c r="G807" s="7">
        <v>3587414</v>
      </c>
      <c r="H807" s="7">
        <v>2338</v>
      </c>
      <c r="I807" s="7">
        <v>104</v>
      </c>
      <c r="J807" s="7">
        <v>245</v>
      </c>
      <c r="K807" s="7" t="s">
        <v>18</v>
      </c>
      <c r="L807" s="8">
        <v>39987.315405092595</v>
      </c>
      <c r="M807" s="9" t="s">
        <v>19</v>
      </c>
      <c r="N807" s="9" t="s">
        <v>20</v>
      </c>
      <c r="O807" s="6" t="str">
        <f>HYPERLINK("https://pbs.twimg.com/profile_images/962471262747529216/Uo8lOkRJ_normal.jpg","View")</f>
        <v>View</v>
      </c>
      <c r="P807" s="7"/>
    </row>
    <row r="808" spans="1:16">
      <c r="A808" s="3">
        <v>43822.973692129628</v>
      </c>
      <c r="B808" s="4" t="str">
        <f>HYPERLINK("https://twitter.com/petrogustavo","@petrogustavo")</f>
        <v>@petrogustavo</v>
      </c>
      <c r="C808" s="5" t="s">
        <v>16</v>
      </c>
      <c r="D808" s="5" t="s">
        <v>806</v>
      </c>
      <c r="E808" s="6" t="str">
        <f>HYPERLINK("https://twitter.com/petrogustavo/status/1209169829191704576","1209169829191704576")</f>
        <v>1209169829191704576</v>
      </c>
      <c r="F808" s="7" t="s">
        <v>17</v>
      </c>
      <c r="G808" s="7">
        <v>3587448</v>
      </c>
      <c r="H808" s="7">
        <v>2338</v>
      </c>
      <c r="I808" s="7">
        <v>88</v>
      </c>
      <c r="J808" s="7">
        <v>187</v>
      </c>
      <c r="K808" s="7" t="s">
        <v>18</v>
      </c>
      <c r="L808" s="8">
        <v>39987.315405092595</v>
      </c>
      <c r="M808" s="9" t="s">
        <v>19</v>
      </c>
      <c r="N808" s="9" t="s">
        <v>20</v>
      </c>
      <c r="O808" s="6" t="str">
        <f>HYPERLINK("https://pbs.twimg.com/profile_images/962471262747529216/Uo8lOkRJ_normal.jpg","View")</f>
        <v>View</v>
      </c>
      <c r="P808" s="7"/>
    </row>
    <row r="809" spans="1:16">
      <c r="A809" s="3">
        <v>43822.987569444449</v>
      </c>
      <c r="B809" s="4" t="str">
        <f>HYPERLINK("https://twitter.com/petrogustavo","@petrogustavo")</f>
        <v>@petrogustavo</v>
      </c>
      <c r="C809" s="5" t="s">
        <v>16</v>
      </c>
      <c r="D809" s="5" t="s">
        <v>807</v>
      </c>
      <c r="E809" s="6" t="str">
        <f>HYPERLINK("https://twitter.com/petrogustavo/status/1209174860540321792","1209174860540321792")</f>
        <v>1209174860540321792</v>
      </c>
      <c r="F809" s="7" t="s">
        <v>17</v>
      </c>
      <c r="G809" s="7">
        <v>3587448</v>
      </c>
      <c r="H809" s="7">
        <v>2338</v>
      </c>
      <c r="I809" s="7">
        <v>759</v>
      </c>
      <c r="J809" s="7">
        <v>0</v>
      </c>
      <c r="K809" s="7" t="s">
        <v>18</v>
      </c>
      <c r="L809" s="8">
        <v>39987.315405092595</v>
      </c>
      <c r="M809" s="9" t="s">
        <v>19</v>
      </c>
      <c r="N809" s="9" t="s">
        <v>20</v>
      </c>
      <c r="O809" s="6" t="str">
        <f>HYPERLINK("https://pbs.twimg.com/profile_images/962471262747529216/Uo8lOkRJ_normal.jpg","View")</f>
        <v>View</v>
      </c>
      <c r="P809" s="7"/>
    </row>
    <row r="810" spans="1:16">
      <c r="A810" s="3">
        <v>43822.989212962959</v>
      </c>
      <c r="B810" s="4" t="str">
        <f>HYPERLINK("https://twitter.com/petrogustavo","@petrogustavo")</f>
        <v>@petrogustavo</v>
      </c>
      <c r="C810" s="5" t="s">
        <v>16</v>
      </c>
      <c r="D810" s="5" t="s">
        <v>808</v>
      </c>
      <c r="E810" s="6" t="str">
        <f>HYPERLINK("https://twitter.com/petrogustavo/status/1209175453149343745","1209175453149343745")</f>
        <v>1209175453149343745</v>
      </c>
      <c r="F810" s="7" t="s">
        <v>17</v>
      </c>
      <c r="G810" s="7">
        <v>3587448</v>
      </c>
      <c r="H810" s="7">
        <v>2338</v>
      </c>
      <c r="I810" s="7">
        <v>20</v>
      </c>
      <c r="J810" s="7">
        <v>76</v>
      </c>
      <c r="K810" s="7" t="s">
        <v>18</v>
      </c>
      <c r="L810" s="8">
        <v>39987.315405092595</v>
      </c>
      <c r="M810" s="9" t="s">
        <v>19</v>
      </c>
      <c r="N810" s="9" t="s">
        <v>20</v>
      </c>
      <c r="O810" s="6" t="str">
        <f>HYPERLINK("https://pbs.twimg.com/profile_images/962471262747529216/Uo8lOkRJ_normal.jpg","View")</f>
        <v>View</v>
      </c>
      <c r="P810" s="7"/>
    </row>
    <row r="811" spans="1:16">
      <c r="A811" s="3">
        <v>43823.164548611108</v>
      </c>
      <c r="B811" s="4" t="str">
        <f>HYPERLINK("https://twitter.com/petrogustavo","@petrogustavo")</f>
        <v>@petrogustavo</v>
      </c>
      <c r="C811" s="5" t="s">
        <v>16</v>
      </c>
      <c r="D811" s="5" t="s">
        <v>809</v>
      </c>
      <c r="E811" s="6" t="str">
        <f>HYPERLINK("https://twitter.com/petrogustavo/status/1209238992866156544","1209238992866156544")</f>
        <v>1209238992866156544</v>
      </c>
      <c r="F811" s="7" t="s">
        <v>17</v>
      </c>
      <c r="G811" s="7">
        <v>3587616</v>
      </c>
      <c r="H811" s="7">
        <v>2338</v>
      </c>
      <c r="I811" s="7">
        <v>410</v>
      </c>
      <c r="J811" s="7">
        <v>0</v>
      </c>
      <c r="K811" s="7" t="s">
        <v>18</v>
      </c>
      <c r="L811" s="8">
        <v>39987.315405092595</v>
      </c>
      <c r="M811" s="9" t="s">
        <v>19</v>
      </c>
      <c r="N811" s="9" t="s">
        <v>20</v>
      </c>
      <c r="O811" s="6" t="str">
        <f>HYPERLINK("https://pbs.twimg.com/profile_images/962471262747529216/Uo8lOkRJ_normal.jpg","View")</f>
        <v>View</v>
      </c>
      <c r="P811" s="7"/>
    </row>
    <row r="812" spans="1:16">
      <c r="A812" s="3">
        <v>43823.682129629626</v>
      </c>
      <c r="B812" s="4" t="str">
        <f>HYPERLINK("https://twitter.com/petrogustavo","@petrogustavo")</f>
        <v>@petrogustavo</v>
      </c>
      <c r="C812" s="5" t="s">
        <v>16</v>
      </c>
      <c r="D812" s="5" t="s">
        <v>810</v>
      </c>
      <c r="E812" s="6" t="str">
        <f>HYPERLINK("https://twitter.com/petrogustavo/status/1209426560723439616","1209426560723439616")</f>
        <v>1209426560723439616</v>
      </c>
      <c r="F812" s="7" t="s">
        <v>17</v>
      </c>
      <c r="G812" s="7">
        <v>3587906</v>
      </c>
      <c r="H812" s="7">
        <v>2338</v>
      </c>
      <c r="I812" s="7">
        <v>162</v>
      </c>
      <c r="J812" s="7">
        <v>407</v>
      </c>
      <c r="K812" s="7" t="s">
        <v>18</v>
      </c>
      <c r="L812" s="8">
        <v>39987.315405092595</v>
      </c>
      <c r="M812" s="9" t="s">
        <v>19</v>
      </c>
      <c r="N812" s="9" t="s">
        <v>20</v>
      </c>
      <c r="O812" s="6" t="str">
        <f>HYPERLINK("https://pbs.twimg.com/profile_images/962471262747529216/Uo8lOkRJ_normal.jpg","View")</f>
        <v>View</v>
      </c>
      <c r="P812" s="7"/>
    </row>
    <row r="813" spans="1:16">
      <c r="A813" s="3">
        <v>43823.827349537038</v>
      </c>
      <c r="B813" s="4" t="str">
        <f>HYPERLINK("https://twitter.com/petrogustavo","@petrogustavo")</f>
        <v>@petrogustavo</v>
      </c>
      <c r="C813" s="5" t="s">
        <v>16</v>
      </c>
      <c r="D813" s="5" t="s">
        <v>811</v>
      </c>
      <c r="E813" s="6" t="str">
        <f>HYPERLINK("https://twitter.com/petrogustavo/status/1209479187012227073","1209479187012227073")</f>
        <v>1209479187012227073</v>
      </c>
      <c r="F813" s="7" t="s">
        <v>17</v>
      </c>
      <c r="G813" s="7">
        <v>3588027</v>
      </c>
      <c r="H813" s="7">
        <v>2338</v>
      </c>
      <c r="I813" s="7">
        <v>191</v>
      </c>
      <c r="J813" s="7">
        <v>1051</v>
      </c>
      <c r="K813" s="7" t="s">
        <v>18</v>
      </c>
      <c r="L813" s="8">
        <v>39987.315405092595</v>
      </c>
      <c r="M813" s="9" t="s">
        <v>19</v>
      </c>
      <c r="N813" s="9" t="s">
        <v>20</v>
      </c>
      <c r="O813" s="6" t="str">
        <f>HYPERLINK("https://pbs.twimg.com/profile_images/962471262747529216/Uo8lOkRJ_normal.jpg","View")</f>
        <v>View</v>
      </c>
      <c r="P813" s="7"/>
    </row>
    <row r="814" spans="1:16">
      <c r="A814" s="3">
        <v>43823.97274305555</v>
      </c>
      <c r="B814" s="4" t="str">
        <f>HYPERLINK("https://twitter.com/petrogustavo","@petrogustavo")</f>
        <v>@petrogustavo</v>
      </c>
      <c r="C814" s="5" t="s">
        <v>16</v>
      </c>
      <c r="D814" s="5" t="s">
        <v>809</v>
      </c>
      <c r="E814" s="6" t="str">
        <f>HYPERLINK("https://twitter.com/petrogustavo/status/1209531872474279941","1209531872474279941")</f>
        <v>1209531872474279941</v>
      </c>
      <c r="F814" s="7" t="s">
        <v>17</v>
      </c>
      <c r="G814" s="7">
        <v>3588180</v>
      </c>
      <c r="H814" s="7">
        <v>2338</v>
      </c>
      <c r="I814" s="7">
        <v>869</v>
      </c>
      <c r="J814" s="7">
        <v>0</v>
      </c>
      <c r="K814" s="7" t="s">
        <v>18</v>
      </c>
      <c r="L814" s="8">
        <v>39987.315405092595</v>
      </c>
      <c r="M814" s="9" t="s">
        <v>19</v>
      </c>
      <c r="N814" s="9" t="s">
        <v>20</v>
      </c>
      <c r="O814" s="6" t="str">
        <f>HYPERLINK("https://pbs.twimg.com/profile_images/962471262747529216/Uo8lOkRJ_normal.jpg","View")</f>
        <v>View</v>
      </c>
      <c r="P814" s="7"/>
    </row>
    <row r="815" spans="1:16">
      <c r="A815" s="3">
        <v>43823.973530092597</v>
      </c>
      <c r="B815" s="4" t="str">
        <f>HYPERLINK("https://twitter.com/petrogustavo","@petrogustavo")</f>
        <v>@petrogustavo</v>
      </c>
      <c r="C815" s="5" t="s">
        <v>16</v>
      </c>
      <c r="D815" s="5" t="s">
        <v>812</v>
      </c>
      <c r="E815" s="6" t="str">
        <f>HYPERLINK("https://twitter.com/petrogustavo/status/1209532157464584192","1209532157464584192")</f>
        <v>1209532157464584192</v>
      </c>
      <c r="F815" s="7" t="s">
        <v>17</v>
      </c>
      <c r="G815" s="7">
        <v>3588180</v>
      </c>
      <c r="H815" s="7">
        <v>2338</v>
      </c>
      <c r="I815" s="7">
        <v>690</v>
      </c>
      <c r="J815" s="7">
        <v>0</v>
      </c>
      <c r="K815" s="7" t="s">
        <v>18</v>
      </c>
      <c r="L815" s="8">
        <v>39987.315405092595</v>
      </c>
      <c r="M815" s="9" t="s">
        <v>19</v>
      </c>
      <c r="N815" s="9" t="s">
        <v>20</v>
      </c>
      <c r="O815" s="6" t="str">
        <f>HYPERLINK("https://pbs.twimg.com/profile_images/962471262747529216/Uo8lOkRJ_normal.jpg","View")</f>
        <v>View</v>
      </c>
      <c r="P815" s="7"/>
    </row>
    <row r="816" spans="1:16">
      <c r="A816" s="3">
        <v>43824.874699074076</v>
      </c>
      <c r="B816" s="4" t="str">
        <f>HYPERLINK("https://twitter.com/petrogustavo","@petrogustavo")</f>
        <v>@petrogustavo</v>
      </c>
      <c r="C816" s="5" t="s">
        <v>16</v>
      </c>
      <c r="D816" s="5" t="s">
        <v>813</v>
      </c>
      <c r="E816" s="6" t="str">
        <f>HYPERLINK("https://twitter.com/petrogustavo/status/1209858731443400709","1209858731443400709")</f>
        <v>1209858731443400709</v>
      </c>
      <c r="F816" s="7" t="s">
        <v>17</v>
      </c>
      <c r="G816" s="7">
        <v>3588755</v>
      </c>
      <c r="H816" s="7">
        <v>2337</v>
      </c>
      <c r="I816" s="7">
        <v>530</v>
      </c>
      <c r="J816" s="7">
        <v>0</v>
      </c>
      <c r="K816" s="7" t="s">
        <v>18</v>
      </c>
      <c r="L816" s="8">
        <v>39987.315405092595</v>
      </c>
      <c r="M816" s="9" t="s">
        <v>19</v>
      </c>
      <c r="N816" s="9" t="s">
        <v>20</v>
      </c>
      <c r="O816" s="6" t="str">
        <f>HYPERLINK("https://pbs.twimg.com/profile_images/962471262747529216/Uo8lOkRJ_normal.jpg","View")</f>
        <v>View</v>
      </c>
      <c r="P816" s="7"/>
    </row>
    <row r="817" spans="1:16">
      <c r="A817" s="3">
        <v>43824.892800925925</v>
      </c>
      <c r="B817" s="4" t="str">
        <f>HYPERLINK("https://twitter.com/petrogustavo","@petrogustavo")</f>
        <v>@petrogustavo</v>
      </c>
      <c r="C817" s="5" t="s">
        <v>16</v>
      </c>
      <c r="D817" s="5" t="s">
        <v>814</v>
      </c>
      <c r="E817" s="6" t="str">
        <f>HYPERLINK("https://twitter.com/petrogustavo/status/1209865291930505217","1209865291930505217")</f>
        <v>1209865291930505217</v>
      </c>
      <c r="F817" s="7" t="s">
        <v>17</v>
      </c>
      <c r="G817" s="7">
        <v>3588779</v>
      </c>
      <c r="H817" s="7">
        <v>2337</v>
      </c>
      <c r="I817" s="7">
        <v>113</v>
      </c>
      <c r="J817" s="7">
        <v>0</v>
      </c>
      <c r="K817" s="7" t="s">
        <v>18</v>
      </c>
      <c r="L817" s="8">
        <v>39987.315405092595</v>
      </c>
      <c r="M817" s="9" t="s">
        <v>19</v>
      </c>
      <c r="N817" s="9" t="s">
        <v>20</v>
      </c>
      <c r="O817" s="6" t="str">
        <f>HYPERLINK("https://pbs.twimg.com/profile_images/962471262747529216/Uo8lOkRJ_normal.jpg","View")</f>
        <v>View</v>
      </c>
      <c r="P817" s="7"/>
    </row>
    <row r="818" spans="1:16">
      <c r="A818" s="3">
        <v>43824.894305555557</v>
      </c>
      <c r="B818" s="4" t="str">
        <f>HYPERLINK("https://twitter.com/petrogustavo","@petrogustavo")</f>
        <v>@petrogustavo</v>
      </c>
      <c r="C818" s="5" t="s">
        <v>16</v>
      </c>
      <c r="D818" s="5" t="s">
        <v>815</v>
      </c>
      <c r="E818" s="6" t="str">
        <f>HYPERLINK("https://twitter.com/petrogustavo/status/1209865837244506113","1209865837244506113")</f>
        <v>1209865837244506113</v>
      </c>
      <c r="F818" s="7" t="s">
        <v>17</v>
      </c>
      <c r="G818" s="7">
        <v>3588779</v>
      </c>
      <c r="H818" s="7">
        <v>2337</v>
      </c>
      <c r="I818" s="7">
        <v>80</v>
      </c>
      <c r="J818" s="7">
        <v>0</v>
      </c>
      <c r="K818" s="7" t="s">
        <v>18</v>
      </c>
      <c r="L818" s="8">
        <v>39987.315405092595</v>
      </c>
      <c r="M818" s="9" t="s">
        <v>19</v>
      </c>
      <c r="N818" s="9" t="s">
        <v>20</v>
      </c>
      <c r="O818" s="6" t="str">
        <f>HYPERLINK("https://pbs.twimg.com/profile_images/962471262747529216/Uo8lOkRJ_normal.jpg","View")</f>
        <v>View</v>
      </c>
      <c r="P818" s="7"/>
    </row>
    <row r="819" spans="1:16">
      <c r="A819" s="3">
        <v>43824.897303240738</v>
      </c>
      <c r="B819" s="4" t="str">
        <f>HYPERLINK("https://twitter.com/petrogustavo","@petrogustavo")</f>
        <v>@petrogustavo</v>
      </c>
      <c r="C819" s="5" t="s">
        <v>16</v>
      </c>
      <c r="D819" s="5" t="s">
        <v>816</v>
      </c>
      <c r="E819" s="6" t="str">
        <f>HYPERLINK("https://twitter.com/petrogustavo/status/1209866924198440966","1209866924198440966")</f>
        <v>1209866924198440966</v>
      </c>
      <c r="F819" s="7" t="s">
        <v>17</v>
      </c>
      <c r="G819" s="7">
        <v>3588779</v>
      </c>
      <c r="H819" s="7">
        <v>2337</v>
      </c>
      <c r="I819" s="7">
        <v>190</v>
      </c>
      <c r="J819" s="7">
        <v>417</v>
      </c>
      <c r="K819" s="7" t="s">
        <v>18</v>
      </c>
      <c r="L819" s="8">
        <v>39987.315405092595</v>
      </c>
      <c r="M819" s="9" t="s">
        <v>19</v>
      </c>
      <c r="N819" s="9" t="s">
        <v>20</v>
      </c>
      <c r="O819" s="6" t="str">
        <f>HYPERLINK("https://pbs.twimg.com/profile_images/962471262747529216/Uo8lOkRJ_normal.jpg","View")</f>
        <v>View</v>
      </c>
      <c r="P819" s="7"/>
    </row>
    <row r="820" spans="1:16">
      <c r="A820" s="3">
        <v>43825.580057870371</v>
      </c>
      <c r="B820" s="4" t="str">
        <f>HYPERLINK("https://twitter.com/petrogustavo","@petrogustavo")</f>
        <v>@petrogustavo</v>
      </c>
      <c r="C820" s="5" t="s">
        <v>16</v>
      </c>
      <c r="D820" s="5" t="s">
        <v>817</v>
      </c>
      <c r="E820" s="6" t="str">
        <f>HYPERLINK("https://twitter.com/petrogustavo/status/1210114344438157313","1210114344438157313")</f>
        <v>1210114344438157313</v>
      </c>
      <c r="F820" s="7" t="s">
        <v>17</v>
      </c>
      <c r="G820" s="7">
        <v>3589345</v>
      </c>
      <c r="H820" s="7">
        <v>2337</v>
      </c>
      <c r="I820" s="7">
        <v>38</v>
      </c>
      <c r="J820" s="7">
        <v>88</v>
      </c>
      <c r="K820" s="7" t="s">
        <v>18</v>
      </c>
      <c r="L820" s="8">
        <v>39987.315405092595</v>
      </c>
      <c r="M820" s="9" t="s">
        <v>19</v>
      </c>
      <c r="N820" s="9" t="s">
        <v>20</v>
      </c>
      <c r="O820" s="6" t="str">
        <f>HYPERLINK("https://pbs.twimg.com/profile_images/962471262747529216/Uo8lOkRJ_normal.jpg","View")</f>
        <v>View</v>
      </c>
      <c r="P820" s="7"/>
    </row>
    <row r="821" spans="1:16">
      <c r="A821" s="3">
        <v>43825.583182870367</v>
      </c>
      <c r="B821" s="4" t="str">
        <f>HYPERLINK("https://twitter.com/petrogustavo","@petrogustavo")</f>
        <v>@petrogustavo</v>
      </c>
      <c r="C821" s="5" t="s">
        <v>16</v>
      </c>
      <c r="D821" s="5" t="s">
        <v>818</v>
      </c>
      <c r="E821" s="6" t="str">
        <f>HYPERLINK("https://twitter.com/petrogustavo/status/1210115477860757504","1210115477860757504")</f>
        <v>1210115477860757504</v>
      </c>
      <c r="F821" s="7" t="s">
        <v>17</v>
      </c>
      <c r="G821" s="7">
        <v>3589345</v>
      </c>
      <c r="H821" s="7">
        <v>2337</v>
      </c>
      <c r="I821" s="7">
        <v>1046</v>
      </c>
      <c r="J821" s="7">
        <v>0</v>
      </c>
      <c r="K821" s="7" t="s">
        <v>18</v>
      </c>
      <c r="L821" s="8">
        <v>39987.315405092595</v>
      </c>
      <c r="M821" s="9" t="s">
        <v>19</v>
      </c>
      <c r="N821" s="9" t="s">
        <v>20</v>
      </c>
      <c r="O821" s="6" t="str">
        <f>HYPERLINK("https://pbs.twimg.com/profile_images/962471262747529216/Uo8lOkRJ_normal.jpg","View")</f>
        <v>View</v>
      </c>
      <c r="P821" s="7"/>
    </row>
    <row r="822" spans="1:16">
      <c r="A822" s="3">
        <v>43825.586655092593</v>
      </c>
      <c r="B822" s="4" t="str">
        <f>HYPERLINK("https://twitter.com/petrogustavo","@petrogustavo")</f>
        <v>@petrogustavo</v>
      </c>
      <c r="C822" s="5" t="s">
        <v>16</v>
      </c>
      <c r="D822" s="5" t="s">
        <v>819</v>
      </c>
      <c r="E822" s="6" t="str">
        <f>HYPERLINK("https://twitter.com/petrogustavo/status/1210116736164474880","1210116736164474880")</f>
        <v>1210116736164474880</v>
      </c>
      <c r="F822" s="7" t="s">
        <v>17</v>
      </c>
      <c r="G822" s="7">
        <v>3589345</v>
      </c>
      <c r="H822" s="7">
        <v>2337</v>
      </c>
      <c r="I822" s="7">
        <v>176</v>
      </c>
      <c r="J822" s="7">
        <v>0</v>
      </c>
      <c r="K822" s="7" t="s">
        <v>18</v>
      </c>
      <c r="L822" s="8">
        <v>39987.315405092595</v>
      </c>
      <c r="M822" s="9" t="s">
        <v>19</v>
      </c>
      <c r="N822" s="9" t="s">
        <v>20</v>
      </c>
      <c r="O822" s="6" t="str">
        <f>HYPERLINK("https://pbs.twimg.com/profile_images/962471262747529216/Uo8lOkRJ_normal.jpg","View")</f>
        <v>View</v>
      </c>
      <c r="P822" s="7"/>
    </row>
    <row r="823" spans="1:16">
      <c r="A823" s="3">
        <v>43825.590381944443</v>
      </c>
      <c r="B823" s="4" t="str">
        <f>HYPERLINK("https://twitter.com/petrogustavo","@petrogustavo")</f>
        <v>@petrogustavo</v>
      </c>
      <c r="C823" s="5" t="s">
        <v>16</v>
      </c>
      <c r="D823" s="5" t="s">
        <v>820</v>
      </c>
      <c r="E823" s="6" t="str">
        <f>HYPERLINK("https://twitter.com/petrogustavo/status/1210118086923296768","1210118086923296768")</f>
        <v>1210118086923296768</v>
      </c>
      <c r="F823" s="7" t="s">
        <v>17</v>
      </c>
      <c r="G823" s="7">
        <v>3589345</v>
      </c>
      <c r="H823" s="7">
        <v>2337</v>
      </c>
      <c r="I823" s="7">
        <v>11</v>
      </c>
      <c r="J823" s="7">
        <v>43</v>
      </c>
      <c r="K823" s="7" t="s">
        <v>18</v>
      </c>
      <c r="L823" s="8">
        <v>39987.315405092595</v>
      </c>
      <c r="M823" s="9" t="s">
        <v>19</v>
      </c>
      <c r="N823" s="9" t="s">
        <v>20</v>
      </c>
      <c r="O823" s="6" t="str">
        <f>HYPERLINK("https://pbs.twimg.com/profile_images/962471262747529216/Uo8lOkRJ_normal.jpg","View")</f>
        <v>View</v>
      </c>
      <c r="P823" s="7"/>
    </row>
    <row r="824" spans="1:16">
      <c r="A824" s="3">
        <v>43825.590543981481</v>
      </c>
      <c r="B824" s="4" t="str">
        <f>HYPERLINK("https://twitter.com/petrogustavo","@petrogustavo")</f>
        <v>@petrogustavo</v>
      </c>
      <c r="C824" s="5" t="s">
        <v>16</v>
      </c>
      <c r="D824" s="5" t="s">
        <v>821</v>
      </c>
      <c r="E824" s="6" t="str">
        <f>HYPERLINK("https://twitter.com/petrogustavo/status/1210118143806451713","1210118143806451713")</f>
        <v>1210118143806451713</v>
      </c>
      <c r="F824" s="7" t="s">
        <v>17</v>
      </c>
      <c r="G824" s="7">
        <v>3589345</v>
      </c>
      <c r="H824" s="7">
        <v>2337</v>
      </c>
      <c r="I824" s="7">
        <v>38</v>
      </c>
      <c r="J824" s="7">
        <v>0</v>
      </c>
      <c r="K824" s="7" t="s">
        <v>18</v>
      </c>
      <c r="L824" s="8">
        <v>39987.315405092595</v>
      </c>
      <c r="M824" s="9" t="s">
        <v>19</v>
      </c>
      <c r="N824" s="9" t="s">
        <v>20</v>
      </c>
      <c r="O824" s="6" t="str">
        <f>HYPERLINK("https://pbs.twimg.com/profile_images/962471262747529216/Uo8lOkRJ_normal.jpg","View")</f>
        <v>View</v>
      </c>
      <c r="P824" s="7"/>
    </row>
    <row r="825" spans="1:16">
      <c r="A825" s="3">
        <v>43826.099780092598</v>
      </c>
      <c r="B825" s="4" t="str">
        <f>HYPERLINK("https://twitter.com/petrogustavo","@petrogustavo")</f>
        <v>@petrogustavo</v>
      </c>
      <c r="C825" s="5" t="s">
        <v>16</v>
      </c>
      <c r="D825" s="5" t="s">
        <v>822</v>
      </c>
      <c r="E825" s="6" t="str">
        <f>HYPERLINK("https://twitter.com/petrogustavo/status/1210302686932979712","1210302686932979712")</f>
        <v>1210302686932979712</v>
      </c>
      <c r="F825" s="7" t="s">
        <v>17</v>
      </c>
      <c r="G825" s="7">
        <v>3589814</v>
      </c>
      <c r="H825" s="7">
        <v>2337</v>
      </c>
      <c r="I825" s="7">
        <v>921</v>
      </c>
      <c r="J825" s="7">
        <v>0</v>
      </c>
      <c r="K825" s="7" t="s">
        <v>18</v>
      </c>
      <c r="L825" s="8">
        <v>39987.315405092595</v>
      </c>
      <c r="M825" s="9" t="s">
        <v>19</v>
      </c>
      <c r="N825" s="9" t="s">
        <v>20</v>
      </c>
      <c r="O825" s="6" t="str">
        <f>HYPERLINK("https://pbs.twimg.com/profile_images/962471262747529216/Uo8lOkRJ_normal.jpg","View")</f>
        <v>View</v>
      </c>
      <c r="P825" s="7"/>
    </row>
    <row r="826" spans="1:16">
      <c r="A826" s="3">
        <v>43826.111388888894</v>
      </c>
      <c r="B826" s="4" t="str">
        <f>HYPERLINK("https://twitter.com/petrogustavo","@petrogustavo")</f>
        <v>@petrogustavo</v>
      </c>
      <c r="C826" s="5" t="s">
        <v>16</v>
      </c>
      <c r="D826" s="5" t="s">
        <v>823</v>
      </c>
      <c r="E826" s="6" t="str">
        <f>HYPERLINK("https://twitter.com/petrogustavo/status/1210306895258562560","1210306895258562560")</f>
        <v>1210306895258562560</v>
      </c>
      <c r="F826" s="7" t="s">
        <v>17</v>
      </c>
      <c r="G826" s="7">
        <v>3589814</v>
      </c>
      <c r="H826" s="7">
        <v>2337</v>
      </c>
      <c r="I826" s="7">
        <v>229</v>
      </c>
      <c r="J826" s="7">
        <v>618</v>
      </c>
      <c r="K826" s="7" t="s">
        <v>18</v>
      </c>
      <c r="L826" s="8">
        <v>39987.315405092595</v>
      </c>
      <c r="M826" s="9" t="s">
        <v>19</v>
      </c>
      <c r="N826" s="9" t="s">
        <v>20</v>
      </c>
      <c r="O826" s="6" t="str">
        <f>HYPERLINK("https://pbs.twimg.com/profile_images/962471262747529216/Uo8lOkRJ_normal.jpg","View")</f>
        <v>View</v>
      </c>
      <c r="P826" s="7"/>
    </row>
    <row r="827" spans="1:16">
      <c r="A827" s="3">
        <v>43826.115127314813</v>
      </c>
      <c r="B827" s="4" t="str">
        <f>HYPERLINK("https://twitter.com/petrogustavo","@petrogustavo")</f>
        <v>@petrogustavo</v>
      </c>
      <c r="C827" s="5" t="s">
        <v>16</v>
      </c>
      <c r="D827" s="5" t="s">
        <v>824</v>
      </c>
      <c r="E827" s="6" t="str">
        <f>HYPERLINK("https://twitter.com/petrogustavo/status/1210308247271464963","1210308247271464963")</f>
        <v>1210308247271464963</v>
      </c>
      <c r="F827" s="7" t="s">
        <v>17</v>
      </c>
      <c r="G827" s="7">
        <v>3589814</v>
      </c>
      <c r="H827" s="7">
        <v>2337</v>
      </c>
      <c r="I827" s="7">
        <v>12</v>
      </c>
      <c r="J827" s="7">
        <v>23</v>
      </c>
      <c r="K827" s="7" t="s">
        <v>18</v>
      </c>
      <c r="L827" s="8">
        <v>39987.315405092595</v>
      </c>
      <c r="M827" s="9" t="s">
        <v>19</v>
      </c>
      <c r="N827" s="9" t="s">
        <v>20</v>
      </c>
      <c r="O827" s="6" t="str">
        <f>HYPERLINK("https://pbs.twimg.com/profile_images/962471262747529216/Uo8lOkRJ_normal.jpg","View")</f>
        <v>View</v>
      </c>
      <c r="P827" s="7"/>
    </row>
    <row r="828" spans="1:16">
      <c r="A828" s="3">
        <v>43826.131238425922</v>
      </c>
      <c r="B828" s="4" t="str">
        <f>HYPERLINK("https://twitter.com/petrogustavo","@petrogustavo")</f>
        <v>@petrogustavo</v>
      </c>
      <c r="C828" s="5" t="s">
        <v>16</v>
      </c>
      <c r="D828" s="5" t="s">
        <v>825</v>
      </c>
      <c r="E828" s="6" t="str">
        <f>HYPERLINK("https://twitter.com/petrogustavo/status/1210314087713914880","1210314087713914880")</f>
        <v>1210314087713914880</v>
      </c>
      <c r="F828" s="7" t="s">
        <v>17</v>
      </c>
      <c r="G828" s="7">
        <v>3589837</v>
      </c>
      <c r="H828" s="7">
        <v>2337</v>
      </c>
      <c r="I828" s="7">
        <v>748</v>
      </c>
      <c r="J828" s="7">
        <v>0</v>
      </c>
      <c r="K828" s="7" t="s">
        <v>18</v>
      </c>
      <c r="L828" s="8">
        <v>39987.315405092595</v>
      </c>
      <c r="M828" s="9" t="s">
        <v>19</v>
      </c>
      <c r="N828" s="9" t="s">
        <v>20</v>
      </c>
      <c r="O828" s="6" t="str">
        <f>HYPERLINK("https://pbs.twimg.com/profile_images/962471262747529216/Uo8lOkRJ_normal.jpg","View")</f>
        <v>View</v>
      </c>
      <c r="P828" s="7"/>
    </row>
    <row r="829" spans="1:16">
      <c r="A829" s="3">
        <v>43826.141111111108</v>
      </c>
      <c r="B829" s="4" t="str">
        <f>HYPERLINK("https://twitter.com/petrogustavo","@petrogustavo")</f>
        <v>@petrogustavo</v>
      </c>
      <c r="C829" s="5" t="s">
        <v>16</v>
      </c>
      <c r="D829" s="5" t="s">
        <v>826</v>
      </c>
      <c r="E829" s="6" t="str">
        <f>HYPERLINK("https://twitter.com/petrogustavo/status/1210317664998047744","1210317664998047744")</f>
        <v>1210317664998047744</v>
      </c>
      <c r="F829" s="7" t="s">
        <v>17</v>
      </c>
      <c r="G829" s="7">
        <v>3589870</v>
      </c>
      <c r="H829" s="7">
        <v>2337</v>
      </c>
      <c r="I829" s="7">
        <v>410</v>
      </c>
      <c r="J829" s="7">
        <v>976</v>
      </c>
      <c r="K829" s="7" t="s">
        <v>18</v>
      </c>
      <c r="L829" s="8">
        <v>39987.315405092595</v>
      </c>
      <c r="M829" s="9" t="s">
        <v>19</v>
      </c>
      <c r="N829" s="9" t="s">
        <v>20</v>
      </c>
      <c r="O829" s="6" t="str">
        <f>HYPERLINK("https://pbs.twimg.com/profile_images/962471262747529216/Uo8lOkRJ_normal.jpg","View")</f>
        <v>View</v>
      </c>
      <c r="P829" s="7"/>
    </row>
    <row r="830" spans="1:16">
      <c r="A830" s="3">
        <v>43826.15425925926</v>
      </c>
      <c r="B830" s="4" t="str">
        <f>HYPERLINK("https://twitter.com/petrogustavo","@petrogustavo")</f>
        <v>@petrogustavo</v>
      </c>
      <c r="C830" s="5" t="s">
        <v>16</v>
      </c>
      <c r="D830" s="5" t="s">
        <v>827</v>
      </c>
      <c r="E830" s="6" t="str">
        <f>HYPERLINK("https://twitter.com/petrogustavo/status/1210322430377549824","1210322430377549824")</f>
        <v>1210322430377549824</v>
      </c>
      <c r="F830" s="7" t="s">
        <v>17</v>
      </c>
      <c r="G830" s="7">
        <v>3589870</v>
      </c>
      <c r="H830" s="7">
        <v>2337</v>
      </c>
      <c r="I830" s="7">
        <v>355</v>
      </c>
      <c r="J830" s="7">
        <v>0</v>
      </c>
      <c r="K830" s="7" t="s">
        <v>18</v>
      </c>
      <c r="L830" s="8">
        <v>39987.315405092595</v>
      </c>
      <c r="M830" s="9" t="s">
        <v>19</v>
      </c>
      <c r="N830" s="9" t="s">
        <v>20</v>
      </c>
      <c r="O830" s="6" t="str">
        <f>HYPERLINK("https://pbs.twimg.com/profile_images/962471262747529216/Uo8lOkRJ_normal.jpg","View")</f>
        <v>View</v>
      </c>
      <c r="P830" s="7"/>
    </row>
    <row r="831" spans="1:16">
      <c r="A831" s="3">
        <v>43826.162499999999</v>
      </c>
      <c r="B831" s="4" t="str">
        <f>HYPERLINK("https://twitter.com/petrogustavo","@petrogustavo")</f>
        <v>@petrogustavo</v>
      </c>
      <c r="C831" s="5" t="s">
        <v>16</v>
      </c>
      <c r="D831" s="5" t="s">
        <v>828</v>
      </c>
      <c r="E831" s="6" t="str">
        <f>HYPERLINK("https://twitter.com/petrogustavo/status/1210325417225269248","1210325417225269248")</f>
        <v>1210325417225269248</v>
      </c>
      <c r="F831" s="7" t="s">
        <v>17</v>
      </c>
      <c r="G831" s="7">
        <v>3589895</v>
      </c>
      <c r="H831" s="7">
        <v>2338</v>
      </c>
      <c r="I831" s="7">
        <v>324</v>
      </c>
      <c r="J831" s="7">
        <v>1172</v>
      </c>
      <c r="K831" s="7" t="s">
        <v>18</v>
      </c>
      <c r="L831" s="8">
        <v>39987.315405092595</v>
      </c>
      <c r="M831" s="9" t="s">
        <v>19</v>
      </c>
      <c r="N831" s="9" t="s">
        <v>20</v>
      </c>
      <c r="O831" s="6" t="str">
        <f>HYPERLINK("https://pbs.twimg.com/profile_images/962471262747529216/Uo8lOkRJ_normal.jpg","View")</f>
        <v>View</v>
      </c>
      <c r="P831" s="7"/>
    </row>
    <row r="832" spans="1:16">
      <c r="A832" s="3">
        <v>43826.167581018519</v>
      </c>
      <c r="B832" s="4" t="str">
        <f>HYPERLINK("https://twitter.com/petrogustavo","@petrogustavo")</f>
        <v>@petrogustavo</v>
      </c>
      <c r="C832" s="5" t="s">
        <v>16</v>
      </c>
      <c r="D832" s="5" t="s">
        <v>829</v>
      </c>
      <c r="E832" s="6" t="str">
        <f>HYPERLINK("https://twitter.com/petrogustavo/status/1210327255664250881","1210327255664250881")</f>
        <v>1210327255664250881</v>
      </c>
      <c r="F832" s="7" t="s">
        <v>17</v>
      </c>
      <c r="G832" s="7">
        <v>3589895</v>
      </c>
      <c r="H832" s="7">
        <v>2338</v>
      </c>
      <c r="I832" s="7">
        <v>478</v>
      </c>
      <c r="J832" s="7">
        <v>2054</v>
      </c>
      <c r="K832" s="7" t="s">
        <v>18</v>
      </c>
      <c r="L832" s="8">
        <v>39987.315405092595</v>
      </c>
      <c r="M832" s="9" t="s">
        <v>19</v>
      </c>
      <c r="N832" s="9" t="s">
        <v>20</v>
      </c>
      <c r="O832" s="6" t="str">
        <f>HYPERLINK("https://pbs.twimg.com/profile_images/962471262747529216/Uo8lOkRJ_normal.jpg","View")</f>
        <v>View</v>
      </c>
      <c r="P832" s="7"/>
    </row>
    <row r="833" spans="1:16">
      <c r="A833" s="3">
        <v>43826.181655092594</v>
      </c>
      <c r="B833" s="4" t="str">
        <f>HYPERLINK("https://twitter.com/petrogustavo","@petrogustavo")</f>
        <v>@petrogustavo</v>
      </c>
      <c r="C833" s="5" t="s">
        <v>16</v>
      </c>
      <c r="D833" s="5" t="s">
        <v>830</v>
      </c>
      <c r="E833" s="6" t="str">
        <f>HYPERLINK("https://twitter.com/petrogustavo/status/1210332356667678728","1210332356667678728")</f>
        <v>1210332356667678728</v>
      </c>
      <c r="F833" s="7" t="s">
        <v>17</v>
      </c>
      <c r="G833" s="7">
        <v>3589895</v>
      </c>
      <c r="H833" s="7">
        <v>2338</v>
      </c>
      <c r="I833" s="7">
        <v>130</v>
      </c>
      <c r="J833" s="7">
        <v>208</v>
      </c>
      <c r="K833" s="7" t="s">
        <v>18</v>
      </c>
      <c r="L833" s="8">
        <v>39987.315405092595</v>
      </c>
      <c r="M833" s="9" t="s">
        <v>19</v>
      </c>
      <c r="N833" s="9" t="s">
        <v>20</v>
      </c>
      <c r="O833" s="6" t="str">
        <f>HYPERLINK("https://pbs.twimg.com/profile_images/962471262747529216/Uo8lOkRJ_normal.jpg","View")</f>
        <v>View</v>
      </c>
      <c r="P833" s="7"/>
    </row>
    <row r="834" spans="1:16">
      <c r="A834" s="3">
        <v>43826.187037037038</v>
      </c>
      <c r="B834" s="4" t="str">
        <f>HYPERLINK("https://twitter.com/petrogustavo","@petrogustavo")</f>
        <v>@petrogustavo</v>
      </c>
      <c r="C834" s="5" t="s">
        <v>16</v>
      </c>
      <c r="D834" s="5" t="s">
        <v>831</v>
      </c>
      <c r="E834" s="6" t="str">
        <f>HYPERLINK("https://twitter.com/petrogustavo/status/1210334308986212357","1210334308986212357")</f>
        <v>1210334308986212357</v>
      </c>
      <c r="F834" s="7" t="s">
        <v>17</v>
      </c>
      <c r="G834" s="7">
        <v>3589895</v>
      </c>
      <c r="H834" s="7">
        <v>2338</v>
      </c>
      <c r="I834" s="7">
        <v>103</v>
      </c>
      <c r="J834" s="7">
        <v>0</v>
      </c>
      <c r="K834" s="7" t="s">
        <v>18</v>
      </c>
      <c r="L834" s="8">
        <v>39987.315405092595</v>
      </c>
      <c r="M834" s="9" t="s">
        <v>19</v>
      </c>
      <c r="N834" s="9" t="s">
        <v>20</v>
      </c>
      <c r="O834" s="6" t="str">
        <f>HYPERLINK("https://pbs.twimg.com/profile_images/962471262747529216/Uo8lOkRJ_normal.jpg","View")</f>
        <v>View</v>
      </c>
      <c r="P834" s="7"/>
    </row>
    <row r="835" spans="1:16">
      <c r="A835" s="3">
        <v>43826.201296296298</v>
      </c>
      <c r="B835" s="4" t="str">
        <f>HYPERLINK("https://twitter.com/petrogustavo","@petrogustavo")</f>
        <v>@petrogustavo</v>
      </c>
      <c r="C835" s="5" t="s">
        <v>16</v>
      </c>
      <c r="D835" s="5" t="s">
        <v>832</v>
      </c>
      <c r="E835" s="6" t="str">
        <f>HYPERLINK("https://twitter.com/petrogustavo/status/1210339474649075712","1210339474649075712")</f>
        <v>1210339474649075712</v>
      </c>
      <c r="F835" s="7" t="s">
        <v>17</v>
      </c>
      <c r="G835" s="7">
        <v>3589921</v>
      </c>
      <c r="H835" s="7">
        <v>2338</v>
      </c>
      <c r="I835" s="7">
        <v>178</v>
      </c>
      <c r="J835" s="7">
        <v>269</v>
      </c>
      <c r="K835" s="7" t="s">
        <v>18</v>
      </c>
      <c r="L835" s="8">
        <v>39987.315405092595</v>
      </c>
      <c r="M835" s="9" t="s">
        <v>19</v>
      </c>
      <c r="N835" s="9" t="s">
        <v>20</v>
      </c>
      <c r="O835" s="6" t="str">
        <f>HYPERLINK("https://pbs.twimg.com/profile_images/962471262747529216/Uo8lOkRJ_normal.jpg","View")</f>
        <v>View</v>
      </c>
      <c r="P835" s="7"/>
    </row>
    <row r="836" spans="1:16">
      <c r="A836" s="3">
        <v>43826.202384259261</v>
      </c>
      <c r="B836" s="4" t="str">
        <f>HYPERLINK("https://twitter.com/petrogustavo","@petrogustavo")</f>
        <v>@petrogustavo</v>
      </c>
      <c r="C836" s="5" t="s">
        <v>16</v>
      </c>
      <c r="D836" s="5" t="s">
        <v>833</v>
      </c>
      <c r="E836" s="6" t="str">
        <f>HYPERLINK("https://twitter.com/petrogustavo/status/1210339869219790848","1210339869219790848")</f>
        <v>1210339869219790848</v>
      </c>
      <c r="F836" s="7" t="s">
        <v>17</v>
      </c>
      <c r="G836" s="7">
        <v>3589921</v>
      </c>
      <c r="H836" s="7">
        <v>2338</v>
      </c>
      <c r="I836" s="7">
        <v>33</v>
      </c>
      <c r="J836" s="7">
        <v>0</v>
      </c>
      <c r="K836" s="7" t="s">
        <v>18</v>
      </c>
      <c r="L836" s="8">
        <v>39987.315405092595</v>
      </c>
      <c r="M836" s="9" t="s">
        <v>19</v>
      </c>
      <c r="N836" s="9" t="s">
        <v>20</v>
      </c>
      <c r="O836" s="6" t="str">
        <f>HYPERLINK("https://pbs.twimg.com/profile_images/962471262747529216/Uo8lOkRJ_normal.jpg","View")</f>
        <v>View</v>
      </c>
      <c r="P836" s="7"/>
    </row>
    <row r="837" spans="1:16">
      <c r="A837" s="3">
        <v>43826.212037037039</v>
      </c>
      <c r="B837" s="4" t="str">
        <f>HYPERLINK("https://twitter.com/petrogustavo","@petrogustavo")</f>
        <v>@petrogustavo</v>
      </c>
      <c r="C837" s="5" t="s">
        <v>16</v>
      </c>
      <c r="D837" s="5" t="s">
        <v>834</v>
      </c>
      <c r="E837" s="6" t="str">
        <f>HYPERLINK("https://twitter.com/petrogustavo/status/1210343368292814848","1210343368292814848")</f>
        <v>1210343368292814848</v>
      </c>
      <c r="F837" s="7" t="s">
        <v>17</v>
      </c>
      <c r="G837" s="7">
        <v>3589921</v>
      </c>
      <c r="H837" s="7">
        <v>2338</v>
      </c>
      <c r="I837" s="7">
        <v>1056</v>
      </c>
      <c r="J837" s="7">
        <v>0</v>
      </c>
      <c r="K837" s="7" t="s">
        <v>18</v>
      </c>
      <c r="L837" s="8">
        <v>39987.315405092595</v>
      </c>
      <c r="M837" s="9" t="s">
        <v>19</v>
      </c>
      <c r="N837" s="9" t="s">
        <v>20</v>
      </c>
      <c r="O837" s="6" t="str">
        <f>HYPERLINK("https://pbs.twimg.com/profile_images/962471262747529216/Uo8lOkRJ_normal.jpg","View")</f>
        <v>View</v>
      </c>
      <c r="P837" s="7"/>
    </row>
    <row r="838" spans="1:16">
      <c r="A838" s="3">
        <v>43826.212152777778</v>
      </c>
      <c r="B838" s="4" t="str">
        <f>HYPERLINK("https://twitter.com/petrogustavo","@petrogustavo")</f>
        <v>@petrogustavo</v>
      </c>
      <c r="C838" s="5" t="s">
        <v>16</v>
      </c>
      <c r="D838" s="5" t="s">
        <v>825</v>
      </c>
      <c r="E838" s="6" t="str">
        <f>HYPERLINK("https://twitter.com/petrogustavo/status/1210343407304007682","1210343407304007682")</f>
        <v>1210343407304007682</v>
      </c>
      <c r="F838" s="7" t="s">
        <v>17</v>
      </c>
      <c r="G838" s="7">
        <v>3589921</v>
      </c>
      <c r="H838" s="7">
        <v>2338</v>
      </c>
      <c r="I838" s="7">
        <v>1796</v>
      </c>
      <c r="J838" s="7">
        <v>0</v>
      </c>
      <c r="K838" s="7" t="s">
        <v>18</v>
      </c>
      <c r="L838" s="8">
        <v>39987.315405092595</v>
      </c>
      <c r="M838" s="9" t="s">
        <v>19</v>
      </c>
      <c r="N838" s="9" t="s">
        <v>20</v>
      </c>
      <c r="O838" s="6" t="str">
        <f>HYPERLINK("https://pbs.twimg.com/profile_images/962471262747529216/Uo8lOkRJ_normal.jpg","View")</f>
        <v>View</v>
      </c>
      <c r="P838" s="7"/>
    </row>
    <row r="839" spans="1:16">
      <c r="A839" s="3">
        <v>43826.770335648151</v>
      </c>
      <c r="B839" s="4" t="str">
        <f>HYPERLINK("https://twitter.com/petrogustavo","@petrogustavo")</f>
        <v>@petrogustavo</v>
      </c>
      <c r="C839" s="5" t="s">
        <v>16</v>
      </c>
      <c r="D839" s="5" t="s">
        <v>835</v>
      </c>
      <c r="E839" s="6" t="str">
        <f>HYPERLINK("https://twitter.com/petrogustavo/status/1210545686091042816","1210545686091042816")</f>
        <v>1210545686091042816</v>
      </c>
      <c r="F839" s="7" t="s">
        <v>17</v>
      </c>
      <c r="G839" s="7">
        <v>3590513</v>
      </c>
      <c r="H839" s="7">
        <v>2337</v>
      </c>
      <c r="I839" s="7">
        <v>633</v>
      </c>
      <c r="J839" s="7">
        <v>0</v>
      </c>
      <c r="K839" s="7" t="s">
        <v>18</v>
      </c>
      <c r="L839" s="8">
        <v>39987.315405092595</v>
      </c>
      <c r="M839" s="9" t="s">
        <v>19</v>
      </c>
      <c r="N839" s="9" t="s">
        <v>20</v>
      </c>
      <c r="O839" s="6" t="str">
        <f>HYPERLINK("https://pbs.twimg.com/profile_images/962471262747529216/Uo8lOkRJ_normal.jpg","View")</f>
        <v>View</v>
      </c>
      <c r="P839" s="7"/>
    </row>
    <row r="840" spans="1:16">
      <c r="A840" s="3">
        <v>43826.861909722225</v>
      </c>
      <c r="B840" s="4" t="str">
        <f>HYPERLINK("https://twitter.com/petrogustavo","@petrogustavo")</f>
        <v>@petrogustavo</v>
      </c>
      <c r="C840" s="5" t="s">
        <v>16</v>
      </c>
      <c r="D840" s="5" t="s">
        <v>836</v>
      </c>
      <c r="E840" s="6" t="str">
        <f>HYPERLINK("https://twitter.com/petrogustavo/status/1210578873102012416","1210578873102012416")</f>
        <v>1210578873102012416</v>
      </c>
      <c r="F840" s="7" t="s">
        <v>17</v>
      </c>
      <c r="G840" s="7">
        <v>3590650</v>
      </c>
      <c r="H840" s="7">
        <v>2337</v>
      </c>
      <c r="I840" s="7">
        <v>503</v>
      </c>
      <c r="J840" s="7">
        <v>0</v>
      </c>
      <c r="K840" s="7" t="s">
        <v>18</v>
      </c>
      <c r="L840" s="8">
        <v>39987.315405092595</v>
      </c>
      <c r="M840" s="9" t="s">
        <v>19</v>
      </c>
      <c r="N840" s="9" t="s">
        <v>20</v>
      </c>
      <c r="O840" s="6" t="str">
        <f>HYPERLINK("https://pbs.twimg.com/profile_images/962471262747529216/Uo8lOkRJ_normal.jpg","View")</f>
        <v>View</v>
      </c>
      <c r="P840" s="7"/>
    </row>
    <row r="841" spans="1:16">
      <c r="A841" s="3">
        <v>43826.865243055552</v>
      </c>
      <c r="B841" s="4" t="str">
        <f>HYPERLINK("https://twitter.com/petrogustavo","@petrogustavo")</f>
        <v>@petrogustavo</v>
      </c>
      <c r="C841" s="5" t="s">
        <v>16</v>
      </c>
      <c r="D841" s="5" t="s">
        <v>837</v>
      </c>
      <c r="E841" s="6" t="str">
        <f>HYPERLINK("https://twitter.com/petrogustavo/status/1210580081749434368","1210580081749434368")</f>
        <v>1210580081749434368</v>
      </c>
      <c r="F841" s="7" t="s">
        <v>17</v>
      </c>
      <c r="G841" s="7">
        <v>3590650</v>
      </c>
      <c r="H841" s="7">
        <v>2337</v>
      </c>
      <c r="I841" s="7">
        <v>7</v>
      </c>
      <c r="J841" s="7">
        <v>19</v>
      </c>
      <c r="K841" s="7" t="s">
        <v>18</v>
      </c>
      <c r="L841" s="8">
        <v>39987.315405092595</v>
      </c>
      <c r="M841" s="9" t="s">
        <v>19</v>
      </c>
      <c r="N841" s="9" t="s">
        <v>20</v>
      </c>
      <c r="O841" s="6" t="str">
        <f>HYPERLINK("https://pbs.twimg.com/profile_images/962471262747529216/Uo8lOkRJ_normal.jpg","View")</f>
        <v>View</v>
      </c>
      <c r="P841" s="7"/>
    </row>
    <row r="842" spans="1:16">
      <c r="A842" s="3">
        <v>43826.867523148147</v>
      </c>
      <c r="B842" s="4" t="str">
        <f>HYPERLINK("https://twitter.com/petrogustavo","@petrogustavo")</f>
        <v>@petrogustavo</v>
      </c>
      <c r="C842" s="5" t="s">
        <v>16</v>
      </c>
      <c r="D842" s="5" t="s">
        <v>838</v>
      </c>
      <c r="E842" s="6" t="str">
        <f>HYPERLINK("https://twitter.com/petrogustavo/status/1210580906915893250","1210580906915893250")</f>
        <v>1210580906915893250</v>
      </c>
      <c r="F842" s="7" t="s">
        <v>17</v>
      </c>
      <c r="G842" s="7">
        <v>3590671</v>
      </c>
      <c r="H842" s="7">
        <v>2337</v>
      </c>
      <c r="I842" s="7">
        <v>17</v>
      </c>
      <c r="J842" s="7">
        <v>0</v>
      </c>
      <c r="K842" s="7" t="s">
        <v>18</v>
      </c>
      <c r="L842" s="8">
        <v>39987.315405092595</v>
      </c>
      <c r="M842" s="9" t="s">
        <v>19</v>
      </c>
      <c r="N842" s="9" t="s">
        <v>20</v>
      </c>
      <c r="O842" s="6" t="str">
        <f>HYPERLINK("https://pbs.twimg.com/profile_images/962471262747529216/Uo8lOkRJ_normal.jpg","View")</f>
        <v>View</v>
      </c>
      <c r="P842" s="7"/>
    </row>
    <row r="843" spans="1:16">
      <c r="A843" s="3">
        <v>43826.87100694445</v>
      </c>
      <c r="B843" s="4" t="str">
        <f>HYPERLINK("https://twitter.com/petrogustavo","@petrogustavo")</f>
        <v>@petrogustavo</v>
      </c>
      <c r="C843" s="5" t="s">
        <v>16</v>
      </c>
      <c r="D843" s="5" t="s">
        <v>839</v>
      </c>
      <c r="E843" s="6" t="str">
        <f>HYPERLINK("https://twitter.com/petrogustavo/status/1210582169002885120","1210582169002885120")</f>
        <v>1210582169002885120</v>
      </c>
      <c r="F843" s="7" t="s">
        <v>17</v>
      </c>
      <c r="G843" s="7">
        <v>3590671</v>
      </c>
      <c r="H843" s="7">
        <v>2337</v>
      </c>
      <c r="I843" s="7">
        <v>28</v>
      </c>
      <c r="J843" s="7">
        <v>0</v>
      </c>
      <c r="K843" s="7" t="s">
        <v>18</v>
      </c>
      <c r="L843" s="8">
        <v>39987.315405092595</v>
      </c>
      <c r="M843" s="9" t="s">
        <v>19</v>
      </c>
      <c r="N843" s="9" t="s">
        <v>20</v>
      </c>
      <c r="O843" s="6" t="str">
        <f>HYPERLINK("https://pbs.twimg.com/profile_images/962471262747529216/Uo8lOkRJ_normal.jpg","View")</f>
        <v>View</v>
      </c>
      <c r="P843" s="7"/>
    </row>
    <row r="844" spans="1:16">
      <c r="A844" s="3">
        <v>43826.874606481477</v>
      </c>
      <c r="B844" s="4" t="str">
        <f>HYPERLINK("https://twitter.com/petrogustavo","@petrogustavo")</f>
        <v>@petrogustavo</v>
      </c>
      <c r="C844" s="5" t="s">
        <v>16</v>
      </c>
      <c r="D844" s="5" t="s">
        <v>840</v>
      </c>
      <c r="E844" s="6" t="str">
        <f>HYPERLINK("https://twitter.com/petrogustavo/status/1210583475838947330","1210583475838947330")</f>
        <v>1210583475838947330</v>
      </c>
      <c r="F844" s="7" t="s">
        <v>17</v>
      </c>
      <c r="G844" s="7">
        <v>3590671</v>
      </c>
      <c r="H844" s="7">
        <v>2337</v>
      </c>
      <c r="I844" s="7">
        <v>132</v>
      </c>
      <c r="J844" s="7">
        <v>221</v>
      </c>
      <c r="K844" s="7" t="s">
        <v>18</v>
      </c>
      <c r="L844" s="8">
        <v>39987.315405092595</v>
      </c>
      <c r="M844" s="9" t="s">
        <v>19</v>
      </c>
      <c r="N844" s="9" t="s">
        <v>20</v>
      </c>
      <c r="O844" s="6" t="str">
        <f>HYPERLINK("https://pbs.twimg.com/profile_images/962471262747529216/Uo8lOkRJ_normal.jpg","View")</f>
        <v>View</v>
      </c>
      <c r="P844" s="7"/>
    </row>
    <row r="845" spans="1:16">
      <c r="A845" s="3">
        <v>43826.94085648148</v>
      </c>
      <c r="B845" s="4" t="str">
        <f>HYPERLINK("https://twitter.com/petrogustavo","@petrogustavo")</f>
        <v>@petrogustavo</v>
      </c>
      <c r="C845" s="5" t="s">
        <v>16</v>
      </c>
      <c r="D845" s="5" t="s">
        <v>841</v>
      </c>
      <c r="E845" s="6" t="str">
        <f>HYPERLINK("https://twitter.com/petrogustavo/status/1210607484320309250","1210607484320309250")</f>
        <v>1210607484320309250</v>
      </c>
      <c r="F845" s="7" t="s">
        <v>17</v>
      </c>
      <c r="G845" s="7">
        <v>3590774</v>
      </c>
      <c r="H845" s="7">
        <v>2337</v>
      </c>
      <c r="I845" s="7">
        <v>72</v>
      </c>
      <c r="J845" s="7">
        <v>214</v>
      </c>
      <c r="K845" s="7" t="s">
        <v>18</v>
      </c>
      <c r="L845" s="8">
        <v>39987.315405092595</v>
      </c>
      <c r="M845" s="9" t="s">
        <v>19</v>
      </c>
      <c r="N845" s="9" t="s">
        <v>20</v>
      </c>
      <c r="O845" s="6" t="str">
        <f>HYPERLINK("https://pbs.twimg.com/profile_images/962471262747529216/Uo8lOkRJ_normal.jpg","View")</f>
        <v>View</v>
      </c>
      <c r="P845" s="7"/>
    </row>
    <row r="846" spans="1:16">
      <c r="A846" s="3">
        <v>43826.940868055557</v>
      </c>
      <c r="B846" s="4" t="str">
        <f>HYPERLINK("https://twitter.com/petrogustavo","@petrogustavo")</f>
        <v>@petrogustavo</v>
      </c>
      <c r="C846" s="5" t="s">
        <v>16</v>
      </c>
      <c r="D846" s="5" t="s">
        <v>842</v>
      </c>
      <c r="E846" s="6" t="str">
        <f>HYPERLINK("https://twitter.com/petrogustavo/status/1210607485687619584","1210607485687619584")</f>
        <v>1210607485687619584</v>
      </c>
      <c r="F846" s="7" t="s">
        <v>17</v>
      </c>
      <c r="G846" s="7">
        <v>3590774</v>
      </c>
      <c r="H846" s="7">
        <v>2337</v>
      </c>
      <c r="I846" s="7">
        <v>41</v>
      </c>
      <c r="J846" s="7">
        <v>167</v>
      </c>
      <c r="K846" s="7" t="s">
        <v>18</v>
      </c>
      <c r="L846" s="8">
        <v>39987.315405092595</v>
      </c>
      <c r="M846" s="9" t="s">
        <v>19</v>
      </c>
      <c r="N846" s="9" t="s">
        <v>20</v>
      </c>
      <c r="O846" s="6" t="str">
        <f>HYPERLINK("https://pbs.twimg.com/profile_images/962471262747529216/Uo8lOkRJ_normal.jpg","View")</f>
        <v>View</v>
      </c>
      <c r="P846" s="7"/>
    </row>
    <row r="847" spans="1:16">
      <c r="A847" s="3">
        <v>43826.942349537036</v>
      </c>
      <c r="B847" s="4" t="str">
        <f>HYPERLINK("https://twitter.com/petrogustavo","@petrogustavo")</f>
        <v>@petrogustavo</v>
      </c>
      <c r="C847" s="5" t="s">
        <v>16</v>
      </c>
      <c r="D847" s="5" t="s">
        <v>843</v>
      </c>
      <c r="E847" s="6" t="str">
        <f>HYPERLINK("https://twitter.com/petrogustavo/status/1210608024202743808","1210608024202743808")</f>
        <v>1210608024202743808</v>
      </c>
      <c r="F847" s="7" t="s">
        <v>17</v>
      </c>
      <c r="G847" s="7">
        <v>3590774</v>
      </c>
      <c r="H847" s="7">
        <v>2337</v>
      </c>
      <c r="I847" s="7">
        <v>3820</v>
      </c>
      <c r="J847" s="7">
        <v>0</v>
      </c>
      <c r="K847" s="7" t="s">
        <v>18</v>
      </c>
      <c r="L847" s="8">
        <v>39987.315405092595</v>
      </c>
      <c r="M847" s="9" t="s">
        <v>19</v>
      </c>
      <c r="N847" s="9" t="s">
        <v>20</v>
      </c>
      <c r="O847" s="6" t="str">
        <f>HYPERLINK("https://pbs.twimg.com/profile_images/962471262747529216/Uo8lOkRJ_normal.jpg","View")</f>
        <v>View</v>
      </c>
      <c r="P847" s="7"/>
    </row>
    <row r="848" spans="1:16">
      <c r="A848" s="3">
        <v>43827.148182870369</v>
      </c>
      <c r="B848" s="4" t="str">
        <f>HYPERLINK("https://twitter.com/petrogustavo","@petrogustavo")</f>
        <v>@petrogustavo</v>
      </c>
      <c r="C848" s="5" t="s">
        <v>16</v>
      </c>
      <c r="D848" s="5" t="s">
        <v>844</v>
      </c>
      <c r="E848" s="6" t="str">
        <f>HYPERLINK("https://twitter.com/petrogustavo/status/1210682613708525568","1210682613708525568")</f>
        <v>1210682613708525568</v>
      </c>
      <c r="F848" s="7" t="s">
        <v>17</v>
      </c>
      <c r="G848" s="7">
        <v>3591022</v>
      </c>
      <c r="H848" s="7">
        <v>2337</v>
      </c>
      <c r="I848" s="7">
        <v>69</v>
      </c>
      <c r="J848" s="7">
        <v>0</v>
      </c>
      <c r="K848" s="7" t="s">
        <v>18</v>
      </c>
      <c r="L848" s="8">
        <v>39987.315405092595</v>
      </c>
      <c r="M848" s="9" t="s">
        <v>19</v>
      </c>
      <c r="N848" s="9" t="s">
        <v>20</v>
      </c>
      <c r="O848" s="6" t="str">
        <f>HYPERLINK("https://pbs.twimg.com/profile_images/962471262747529216/Uo8lOkRJ_normal.jpg","View")</f>
        <v>View</v>
      </c>
      <c r="P848" s="7"/>
    </row>
    <row r="849" spans="1:16">
      <c r="A849" s="3">
        <v>43827.891435185185</v>
      </c>
      <c r="B849" s="4" t="str">
        <f>HYPERLINK("https://twitter.com/petrogustavo","@petrogustavo")</f>
        <v>@petrogustavo</v>
      </c>
      <c r="C849" s="5" t="s">
        <v>16</v>
      </c>
      <c r="D849" s="5" t="s">
        <v>845</v>
      </c>
      <c r="E849" s="6" t="str">
        <f>HYPERLINK("https://twitter.com/petrogustavo/status/1210951960691724291","1210951960691724291")</f>
        <v>1210951960691724291</v>
      </c>
      <c r="F849" s="7" t="s">
        <v>32</v>
      </c>
      <c r="G849" s="7">
        <v>3591569</v>
      </c>
      <c r="H849" s="7">
        <v>2338</v>
      </c>
      <c r="I849" s="7">
        <v>81</v>
      </c>
      <c r="J849" s="7">
        <v>256</v>
      </c>
      <c r="K849" s="7" t="s">
        <v>18</v>
      </c>
      <c r="L849" s="8">
        <v>39987.315405092595</v>
      </c>
      <c r="M849" s="9" t="s">
        <v>19</v>
      </c>
      <c r="N849" s="9" t="s">
        <v>20</v>
      </c>
      <c r="O849" s="6" t="str">
        <f>HYPERLINK("https://pbs.twimg.com/profile_images/962471262747529216/Uo8lOkRJ_normal.jpg","View")</f>
        <v>View</v>
      </c>
      <c r="P849" s="7"/>
    </row>
    <row r="850" spans="1:16">
      <c r="A850" s="3">
        <v>43827.902812500004</v>
      </c>
      <c r="B850" s="4" t="str">
        <f>HYPERLINK("https://twitter.com/petrogustavo","@petrogustavo")</f>
        <v>@petrogustavo</v>
      </c>
      <c r="C850" s="5" t="s">
        <v>16</v>
      </c>
      <c r="D850" s="5" t="s">
        <v>846</v>
      </c>
      <c r="E850" s="6" t="str">
        <f>HYPERLINK("https://twitter.com/petrogustavo/status/1210956083705077760","1210956083705077760")</f>
        <v>1210956083705077760</v>
      </c>
      <c r="F850" s="7" t="s">
        <v>32</v>
      </c>
      <c r="G850" s="7">
        <v>3591569</v>
      </c>
      <c r="H850" s="7">
        <v>2338</v>
      </c>
      <c r="I850" s="7">
        <v>11322</v>
      </c>
      <c r="J850" s="7">
        <v>0</v>
      </c>
      <c r="K850" s="7" t="s">
        <v>18</v>
      </c>
      <c r="L850" s="8">
        <v>39987.315405092595</v>
      </c>
      <c r="M850" s="9" t="s">
        <v>19</v>
      </c>
      <c r="N850" s="9" t="s">
        <v>20</v>
      </c>
      <c r="O850" s="6" t="str">
        <f>HYPERLINK("https://pbs.twimg.com/profile_images/962471262747529216/Uo8lOkRJ_normal.jpg","View")</f>
        <v>View</v>
      </c>
      <c r="P850" s="7"/>
    </row>
    <row r="851" spans="1:16">
      <c r="A851" s="3">
        <v>43827.906956018516</v>
      </c>
      <c r="B851" s="4" t="str">
        <f>HYPERLINK("https://twitter.com/petrogustavo","@petrogustavo")</f>
        <v>@petrogustavo</v>
      </c>
      <c r="C851" s="5" t="s">
        <v>16</v>
      </c>
      <c r="D851" s="5" t="s">
        <v>847</v>
      </c>
      <c r="E851" s="6" t="str">
        <f>HYPERLINK("https://twitter.com/petrogustavo/status/1210957584326430720","1210957584326430720")</f>
        <v>1210957584326430720</v>
      </c>
      <c r="F851" s="7" t="s">
        <v>32</v>
      </c>
      <c r="G851" s="7">
        <v>3591569</v>
      </c>
      <c r="H851" s="7">
        <v>2338</v>
      </c>
      <c r="I851" s="7">
        <v>411</v>
      </c>
      <c r="J851" s="7">
        <v>0</v>
      </c>
      <c r="K851" s="7" t="s">
        <v>18</v>
      </c>
      <c r="L851" s="8">
        <v>39987.315405092595</v>
      </c>
      <c r="M851" s="9" t="s">
        <v>19</v>
      </c>
      <c r="N851" s="9" t="s">
        <v>20</v>
      </c>
      <c r="O851" s="6" t="str">
        <f>HYPERLINK("https://pbs.twimg.com/profile_images/962471262747529216/Uo8lOkRJ_normal.jpg","View")</f>
        <v>View</v>
      </c>
      <c r="P851" s="7"/>
    </row>
    <row r="852" spans="1:16">
      <c r="A852" s="3">
        <v>43827.919756944444</v>
      </c>
      <c r="B852" s="4" t="str">
        <f>HYPERLINK("https://twitter.com/petrogustavo","@petrogustavo")</f>
        <v>@petrogustavo</v>
      </c>
      <c r="C852" s="5" t="s">
        <v>16</v>
      </c>
      <c r="D852" s="5" t="s">
        <v>848</v>
      </c>
      <c r="E852" s="6" t="str">
        <f>HYPERLINK("https://twitter.com/petrogustavo/status/1210962225961357314","1210962225961357314")</f>
        <v>1210962225961357314</v>
      </c>
      <c r="F852" s="7" t="s">
        <v>17</v>
      </c>
      <c r="G852" s="7">
        <v>3591592</v>
      </c>
      <c r="H852" s="7">
        <v>2338</v>
      </c>
      <c r="I852" s="7">
        <v>114</v>
      </c>
      <c r="J852" s="7">
        <v>439</v>
      </c>
      <c r="K852" s="7" t="s">
        <v>18</v>
      </c>
      <c r="L852" s="8">
        <v>39987.315405092595</v>
      </c>
      <c r="M852" s="9" t="s">
        <v>19</v>
      </c>
      <c r="N852" s="9" t="s">
        <v>20</v>
      </c>
      <c r="O852" s="6" t="str">
        <f>HYPERLINK("https://pbs.twimg.com/profile_images/962471262747529216/Uo8lOkRJ_normal.jpg","View")</f>
        <v>View</v>
      </c>
      <c r="P852" s="7"/>
    </row>
    <row r="853" spans="1:16">
      <c r="A853" s="3">
        <v>43827.933611111112</v>
      </c>
      <c r="B853" s="4" t="str">
        <f>HYPERLINK("https://twitter.com/petrogustavo","@petrogustavo")</f>
        <v>@petrogustavo</v>
      </c>
      <c r="C853" s="5" t="s">
        <v>16</v>
      </c>
      <c r="D853" s="5" t="s">
        <v>849</v>
      </c>
      <c r="E853" s="6" t="str">
        <f>HYPERLINK("https://twitter.com/petrogustavo/status/1210967245905682433","1210967245905682433")</f>
        <v>1210967245905682433</v>
      </c>
      <c r="F853" s="7" t="s">
        <v>17</v>
      </c>
      <c r="G853" s="7">
        <v>3591607</v>
      </c>
      <c r="H853" s="7">
        <v>2338</v>
      </c>
      <c r="I853" s="7">
        <v>63</v>
      </c>
      <c r="J853" s="7">
        <v>166</v>
      </c>
      <c r="K853" s="7" t="s">
        <v>18</v>
      </c>
      <c r="L853" s="8">
        <v>39987.315405092595</v>
      </c>
      <c r="M853" s="9" t="s">
        <v>19</v>
      </c>
      <c r="N853" s="9" t="s">
        <v>20</v>
      </c>
      <c r="O853" s="6" t="str">
        <f>HYPERLINK("https://pbs.twimg.com/profile_images/962471262747529216/Uo8lOkRJ_normal.jpg","View")</f>
        <v>View</v>
      </c>
      <c r="P853" s="7"/>
    </row>
    <row r="854" spans="1:16">
      <c r="A854" s="3">
        <v>43827.940740740742</v>
      </c>
      <c r="B854" s="4" t="str">
        <f>HYPERLINK("https://twitter.com/petrogustavo","@petrogustavo")</f>
        <v>@petrogustavo</v>
      </c>
      <c r="C854" s="5" t="s">
        <v>16</v>
      </c>
      <c r="D854" s="5" t="s">
        <v>850</v>
      </c>
      <c r="E854" s="6" t="str">
        <f>HYPERLINK("https://twitter.com/petrogustavo/status/1210969828573503489","1210969828573503489")</f>
        <v>1210969828573503489</v>
      </c>
      <c r="F854" s="7" t="s">
        <v>17</v>
      </c>
      <c r="G854" s="7">
        <v>3591607</v>
      </c>
      <c r="H854" s="7">
        <v>2338</v>
      </c>
      <c r="I854" s="7">
        <v>40</v>
      </c>
      <c r="J854" s="7">
        <v>119</v>
      </c>
      <c r="K854" s="7" t="s">
        <v>18</v>
      </c>
      <c r="L854" s="8">
        <v>39987.315405092595</v>
      </c>
      <c r="M854" s="9" t="s">
        <v>19</v>
      </c>
      <c r="N854" s="9" t="s">
        <v>20</v>
      </c>
      <c r="O854" s="6" t="str">
        <f>HYPERLINK("https://pbs.twimg.com/profile_images/962471262747529216/Uo8lOkRJ_normal.jpg","View")</f>
        <v>View</v>
      </c>
      <c r="P854" s="7"/>
    </row>
    <row r="855" spans="1:16">
      <c r="A855" s="3">
        <v>43827.974340277782</v>
      </c>
      <c r="B855" s="4" t="str">
        <f>HYPERLINK("https://twitter.com/petrogustavo","@petrogustavo")</f>
        <v>@petrogustavo</v>
      </c>
      <c r="C855" s="5" t="s">
        <v>16</v>
      </c>
      <c r="D855" s="5" t="s">
        <v>851</v>
      </c>
      <c r="E855" s="6" t="str">
        <f>HYPERLINK("https://twitter.com/petrogustavo/status/1210982002800963584","1210982002800963584")</f>
        <v>1210982002800963584</v>
      </c>
      <c r="F855" s="7" t="s">
        <v>32</v>
      </c>
      <c r="G855" s="7">
        <v>3591628</v>
      </c>
      <c r="H855" s="7">
        <v>2338</v>
      </c>
      <c r="I855" s="7">
        <v>192</v>
      </c>
      <c r="J855" s="7">
        <v>366</v>
      </c>
      <c r="K855" s="7" t="s">
        <v>18</v>
      </c>
      <c r="L855" s="8">
        <v>39987.315405092595</v>
      </c>
      <c r="M855" s="9" t="s">
        <v>19</v>
      </c>
      <c r="N855" s="9" t="s">
        <v>20</v>
      </c>
      <c r="O855" s="6" t="str">
        <f>HYPERLINK("https://pbs.twimg.com/profile_images/962471262747529216/Uo8lOkRJ_normal.jpg","View")</f>
        <v>View</v>
      </c>
      <c r="P855" s="7"/>
    </row>
    <row r="856" spans="1:16">
      <c r="A856" s="3">
        <v>43828.022037037037</v>
      </c>
      <c r="B856" s="4" t="str">
        <f>HYPERLINK("https://twitter.com/petrogustavo","@petrogustavo")</f>
        <v>@petrogustavo</v>
      </c>
      <c r="C856" s="5" t="s">
        <v>16</v>
      </c>
      <c r="D856" s="5" t="s">
        <v>852</v>
      </c>
      <c r="E856" s="6" t="str">
        <f>HYPERLINK("https://twitter.com/petrogustavo/status/1210999287326347264","1210999287326347264")</f>
        <v>1210999287326347264</v>
      </c>
      <c r="F856" s="7" t="s">
        <v>17</v>
      </c>
      <c r="G856" s="7">
        <v>3591699</v>
      </c>
      <c r="H856" s="7">
        <v>2338</v>
      </c>
      <c r="I856" s="7">
        <v>92</v>
      </c>
      <c r="J856" s="7">
        <v>0</v>
      </c>
      <c r="K856" s="7" t="s">
        <v>18</v>
      </c>
      <c r="L856" s="8">
        <v>39987.315405092595</v>
      </c>
      <c r="M856" s="9" t="s">
        <v>19</v>
      </c>
      <c r="N856" s="9" t="s">
        <v>20</v>
      </c>
      <c r="O856" s="6" t="str">
        <f>HYPERLINK("https://pbs.twimg.com/profile_images/962471262747529216/Uo8lOkRJ_normal.jpg","View")</f>
        <v>View</v>
      </c>
      <c r="P856" s="7"/>
    </row>
    <row r="857" spans="1:16">
      <c r="A857" s="3">
        <v>43828.026365740741</v>
      </c>
      <c r="B857" s="4" t="str">
        <f>HYPERLINK("https://twitter.com/petrogustavo","@petrogustavo")</f>
        <v>@petrogustavo</v>
      </c>
      <c r="C857" s="5" t="s">
        <v>16</v>
      </c>
      <c r="D857" s="5" t="s">
        <v>853</v>
      </c>
      <c r="E857" s="6" t="str">
        <f>HYPERLINK("https://twitter.com/petrogustavo/status/1211000857900306433","1211000857900306433")</f>
        <v>1211000857900306433</v>
      </c>
      <c r="F857" s="7" t="s">
        <v>17</v>
      </c>
      <c r="G857" s="7">
        <v>3591699</v>
      </c>
      <c r="H857" s="7">
        <v>2338</v>
      </c>
      <c r="I857" s="7">
        <v>76</v>
      </c>
      <c r="J857" s="7">
        <v>192</v>
      </c>
      <c r="K857" s="7" t="s">
        <v>18</v>
      </c>
      <c r="L857" s="8">
        <v>39987.315405092595</v>
      </c>
      <c r="M857" s="9" t="s">
        <v>19</v>
      </c>
      <c r="N857" s="9" t="s">
        <v>20</v>
      </c>
      <c r="O857" s="6" t="str">
        <f>HYPERLINK("https://pbs.twimg.com/profile_images/962471262747529216/Uo8lOkRJ_normal.jpg","View")</f>
        <v>View</v>
      </c>
      <c r="P857" s="7"/>
    </row>
    <row r="858" spans="1:16">
      <c r="A858" s="3">
        <v>43828.031793981485</v>
      </c>
      <c r="B858" s="4" t="str">
        <f>HYPERLINK("https://twitter.com/petrogustavo","@petrogustavo")</f>
        <v>@petrogustavo</v>
      </c>
      <c r="C858" s="5" t="s">
        <v>16</v>
      </c>
      <c r="D858" s="5" t="s">
        <v>854</v>
      </c>
      <c r="E858" s="6" t="str">
        <f>HYPERLINK("https://twitter.com/petrogustavo/status/1211002826580733953","1211002826580733953")</f>
        <v>1211002826580733953</v>
      </c>
      <c r="F858" s="7" t="s">
        <v>17</v>
      </c>
      <c r="G858" s="7">
        <v>3591699</v>
      </c>
      <c r="H858" s="7">
        <v>2338</v>
      </c>
      <c r="I858" s="7">
        <v>15</v>
      </c>
      <c r="J858" s="7">
        <v>0</v>
      </c>
      <c r="K858" s="7" t="s">
        <v>18</v>
      </c>
      <c r="L858" s="8">
        <v>39987.315405092595</v>
      </c>
      <c r="M858" s="9" t="s">
        <v>19</v>
      </c>
      <c r="N858" s="9" t="s">
        <v>20</v>
      </c>
      <c r="O858" s="6" t="str">
        <f>HYPERLINK("https://pbs.twimg.com/profile_images/962471262747529216/Uo8lOkRJ_normal.jpg","View")</f>
        <v>View</v>
      </c>
      <c r="P858" s="7"/>
    </row>
    <row r="859" spans="1:16">
      <c r="A859" s="3">
        <v>43828.042858796296</v>
      </c>
      <c r="B859" s="4" t="str">
        <f>HYPERLINK("https://twitter.com/petrogustavo","@petrogustavo")</f>
        <v>@petrogustavo</v>
      </c>
      <c r="C859" s="5" t="s">
        <v>16</v>
      </c>
      <c r="D859" s="5" t="s">
        <v>855</v>
      </c>
      <c r="E859" s="6" t="str">
        <f>HYPERLINK("https://twitter.com/petrogustavo/status/1211006836314382336","1211006836314382336")</f>
        <v>1211006836314382336</v>
      </c>
      <c r="F859" s="7" t="s">
        <v>17</v>
      </c>
      <c r="G859" s="7">
        <v>3591706</v>
      </c>
      <c r="H859" s="7">
        <v>2339</v>
      </c>
      <c r="I859" s="7">
        <v>109</v>
      </c>
      <c r="J859" s="7">
        <v>0</v>
      </c>
      <c r="K859" s="7" t="s">
        <v>18</v>
      </c>
      <c r="L859" s="8">
        <v>39987.315405092595</v>
      </c>
      <c r="M859" s="9" t="s">
        <v>19</v>
      </c>
      <c r="N859" s="9" t="s">
        <v>20</v>
      </c>
      <c r="O859" s="6" t="str">
        <f>HYPERLINK("https://pbs.twimg.com/profile_images/962471262747529216/Uo8lOkRJ_normal.jpg","View")</f>
        <v>View</v>
      </c>
      <c r="P859" s="7"/>
    </row>
    <row r="860" spans="1:16">
      <c r="A860" s="3">
        <v>43828.046053240745</v>
      </c>
      <c r="B860" s="4" t="str">
        <f>HYPERLINK("https://twitter.com/petrogustavo","@petrogustavo")</f>
        <v>@petrogustavo</v>
      </c>
      <c r="C860" s="5" t="s">
        <v>16</v>
      </c>
      <c r="D860" s="5" t="s">
        <v>856</v>
      </c>
      <c r="E860" s="6" t="str">
        <f>HYPERLINK("https://twitter.com/petrogustavo/status/1211007994412118017","1211007994412118017")</f>
        <v>1211007994412118017</v>
      </c>
      <c r="F860" s="7" t="s">
        <v>17</v>
      </c>
      <c r="G860" s="7">
        <v>3591706</v>
      </c>
      <c r="H860" s="7">
        <v>2339</v>
      </c>
      <c r="I860" s="7">
        <v>310</v>
      </c>
      <c r="J860" s="7">
        <v>0</v>
      </c>
      <c r="K860" s="7" t="s">
        <v>18</v>
      </c>
      <c r="L860" s="8">
        <v>39987.315405092595</v>
      </c>
      <c r="M860" s="9" t="s">
        <v>19</v>
      </c>
      <c r="N860" s="9" t="s">
        <v>20</v>
      </c>
      <c r="O860" s="6" t="str">
        <f>HYPERLINK("https://pbs.twimg.com/profile_images/962471262747529216/Uo8lOkRJ_normal.jpg","View")</f>
        <v>View</v>
      </c>
      <c r="P860" s="7"/>
    </row>
    <row r="861" spans="1:16">
      <c r="A861" s="3">
        <v>43828.056435185186</v>
      </c>
      <c r="B861" s="4" t="str">
        <f>HYPERLINK("https://twitter.com/petrogustavo","@petrogustavo")</f>
        <v>@petrogustavo</v>
      </c>
      <c r="C861" s="5" t="s">
        <v>16</v>
      </c>
      <c r="D861" s="5" t="s">
        <v>857</v>
      </c>
      <c r="E861" s="6" t="str">
        <f>HYPERLINK("https://twitter.com/petrogustavo/status/1211011755394183169","1211011755394183169")</f>
        <v>1211011755394183169</v>
      </c>
      <c r="F861" s="7" t="s">
        <v>17</v>
      </c>
      <c r="G861" s="7">
        <v>3591739</v>
      </c>
      <c r="H861" s="7">
        <v>2338</v>
      </c>
      <c r="I861" s="7">
        <v>1040</v>
      </c>
      <c r="J861" s="7">
        <v>0</v>
      </c>
      <c r="K861" s="7" t="s">
        <v>18</v>
      </c>
      <c r="L861" s="8">
        <v>39987.315405092595</v>
      </c>
      <c r="M861" s="9" t="s">
        <v>19</v>
      </c>
      <c r="N861" s="9" t="s">
        <v>20</v>
      </c>
      <c r="O861" s="6" t="str">
        <f>HYPERLINK("https://pbs.twimg.com/profile_images/962471262747529216/Uo8lOkRJ_normal.jpg","View")</f>
        <v>View</v>
      </c>
      <c r="P861" s="7"/>
    </row>
    <row r="862" spans="1:16">
      <c r="A862" s="3">
        <v>43828.056585648148</v>
      </c>
      <c r="B862" s="4" t="str">
        <f>HYPERLINK("https://twitter.com/petrogustavo","@petrogustavo")</f>
        <v>@petrogustavo</v>
      </c>
      <c r="C862" s="5" t="s">
        <v>16</v>
      </c>
      <c r="D862" s="5" t="s">
        <v>858</v>
      </c>
      <c r="E862" s="6" t="str">
        <f>HYPERLINK("https://twitter.com/petrogustavo/status/1211011809370681345","1211011809370681345")</f>
        <v>1211011809370681345</v>
      </c>
      <c r="F862" s="7" t="s">
        <v>17</v>
      </c>
      <c r="G862" s="7">
        <v>3591739</v>
      </c>
      <c r="H862" s="7">
        <v>2338</v>
      </c>
      <c r="I862" s="7">
        <v>476</v>
      </c>
      <c r="J862" s="7">
        <v>0</v>
      </c>
      <c r="K862" s="7" t="s">
        <v>18</v>
      </c>
      <c r="L862" s="8">
        <v>39987.315405092595</v>
      </c>
      <c r="M862" s="9" t="s">
        <v>19</v>
      </c>
      <c r="N862" s="9" t="s">
        <v>20</v>
      </c>
      <c r="O862" s="6" t="str">
        <f>HYPERLINK("https://pbs.twimg.com/profile_images/962471262747529216/Uo8lOkRJ_normal.jpg","View")</f>
        <v>View</v>
      </c>
      <c r="P862" s="7"/>
    </row>
    <row r="863" spans="1:16">
      <c r="A863" s="3">
        <v>43828.098275462966</v>
      </c>
      <c r="B863" s="4" t="str">
        <f>HYPERLINK("https://twitter.com/petrogustavo","@petrogustavo")</f>
        <v>@petrogustavo</v>
      </c>
      <c r="C863" s="5" t="s">
        <v>16</v>
      </c>
      <c r="D863" s="5" t="s">
        <v>859</v>
      </c>
      <c r="E863" s="6" t="str">
        <f>HYPERLINK("https://twitter.com/petrogustavo/status/1211026916108619776","1211026916108619776")</f>
        <v>1211026916108619776</v>
      </c>
      <c r="F863" s="7" t="s">
        <v>21</v>
      </c>
      <c r="G863" s="7">
        <v>3591789</v>
      </c>
      <c r="H863" s="7">
        <v>2338</v>
      </c>
      <c r="I863" s="7">
        <v>75</v>
      </c>
      <c r="J863" s="7">
        <v>198</v>
      </c>
      <c r="K863" s="7" t="s">
        <v>18</v>
      </c>
      <c r="L863" s="8">
        <v>39987.315405092595</v>
      </c>
      <c r="M863" s="9" t="s">
        <v>19</v>
      </c>
      <c r="N863" s="9" t="s">
        <v>20</v>
      </c>
      <c r="O863" s="6" t="str">
        <f>HYPERLINK("https://pbs.twimg.com/profile_images/962471262747529216/Uo8lOkRJ_normal.jpg","View")</f>
        <v>View</v>
      </c>
      <c r="P863" s="7"/>
    </row>
    <row r="864" spans="1:16">
      <c r="A864" s="3">
        <v>43828.689513888894</v>
      </c>
      <c r="B864" s="4" t="str">
        <f>HYPERLINK("https://twitter.com/petrogustavo","@petrogustavo")</f>
        <v>@petrogustavo</v>
      </c>
      <c r="C864" s="5" t="s">
        <v>16</v>
      </c>
      <c r="D864" s="5" t="s">
        <v>860</v>
      </c>
      <c r="E864" s="6" t="str">
        <f>HYPERLINK("https://twitter.com/petrogustavo/status/1211241175748886529","1211241175748886529")</f>
        <v>1211241175748886529</v>
      </c>
      <c r="F864" s="7" t="s">
        <v>17</v>
      </c>
      <c r="G864" s="7">
        <v>3592113</v>
      </c>
      <c r="H864" s="7">
        <v>2338</v>
      </c>
      <c r="I864" s="7">
        <v>48</v>
      </c>
      <c r="J864" s="7">
        <v>71</v>
      </c>
      <c r="K864" s="7" t="s">
        <v>18</v>
      </c>
      <c r="L864" s="8">
        <v>39987.315405092595</v>
      </c>
      <c r="M864" s="9" t="s">
        <v>19</v>
      </c>
      <c r="N864" s="9" t="s">
        <v>20</v>
      </c>
      <c r="O864" s="6" t="str">
        <f>HYPERLINK("https://pbs.twimg.com/profile_images/962471262747529216/Uo8lOkRJ_normal.jpg","View")</f>
        <v>View</v>
      </c>
      <c r="P864" s="7"/>
    </row>
    <row r="865" spans="1:16">
      <c r="A865" s="3">
        <v>43828.690312499995</v>
      </c>
      <c r="B865" s="4" t="str">
        <f>HYPERLINK("https://twitter.com/petrogustavo","@petrogustavo")</f>
        <v>@petrogustavo</v>
      </c>
      <c r="C865" s="5" t="s">
        <v>16</v>
      </c>
      <c r="D865" s="5" t="s">
        <v>861</v>
      </c>
      <c r="E865" s="6" t="str">
        <f>HYPERLINK("https://twitter.com/petrogustavo/status/1211241465197867013","1211241465197867013")</f>
        <v>1211241465197867013</v>
      </c>
      <c r="F865" s="7" t="s">
        <v>17</v>
      </c>
      <c r="G865" s="7">
        <v>3592113</v>
      </c>
      <c r="H865" s="7">
        <v>2338</v>
      </c>
      <c r="I865" s="7">
        <v>586</v>
      </c>
      <c r="J865" s="7">
        <v>0</v>
      </c>
      <c r="K865" s="7" t="s">
        <v>18</v>
      </c>
      <c r="L865" s="8">
        <v>39987.315405092595</v>
      </c>
      <c r="M865" s="9" t="s">
        <v>19</v>
      </c>
      <c r="N865" s="9" t="s">
        <v>20</v>
      </c>
      <c r="O865" s="6" t="str">
        <f>HYPERLINK("https://pbs.twimg.com/profile_images/962471262747529216/Uo8lOkRJ_normal.jpg","View")</f>
        <v>View</v>
      </c>
      <c r="P865" s="7"/>
    </row>
    <row r="866" spans="1:16">
      <c r="A866" s="3">
        <v>43828.700046296297</v>
      </c>
      <c r="B866" s="4" t="str">
        <f>HYPERLINK("https://twitter.com/petrogustavo","@petrogustavo")</f>
        <v>@petrogustavo</v>
      </c>
      <c r="C866" s="5" t="s">
        <v>16</v>
      </c>
      <c r="D866" s="5" t="s">
        <v>862</v>
      </c>
      <c r="E866" s="6" t="str">
        <f>HYPERLINK("https://twitter.com/petrogustavo/status/1211244990631944192","1211244990631944192")</f>
        <v>1211244990631944192</v>
      </c>
      <c r="F866" s="7" t="s">
        <v>17</v>
      </c>
      <c r="G866" s="7">
        <v>3592118</v>
      </c>
      <c r="H866" s="7">
        <v>2338</v>
      </c>
      <c r="I866" s="7">
        <v>26</v>
      </c>
      <c r="J866" s="7">
        <v>69</v>
      </c>
      <c r="K866" s="7" t="s">
        <v>18</v>
      </c>
      <c r="L866" s="8">
        <v>39987.315405092595</v>
      </c>
      <c r="M866" s="9" t="s">
        <v>19</v>
      </c>
      <c r="N866" s="9" t="s">
        <v>20</v>
      </c>
      <c r="O866" s="6" t="str">
        <f>HYPERLINK("https://pbs.twimg.com/profile_images/962471262747529216/Uo8lOkRJ_normal.jpg","View")</f>
        <v>View</v>
      </c>
      <c r="P866" s="7"/>
    </row>
    <row r="867" spans="1:16">
      <c r="A867" s="3">
        <v>43828.703657407408</v>
      </c>
      <c r="B867" s="4" t="str">
        <f>HYPERLINK("https://twitter.com/petrogustavo","@petrogustavo")</f>
        <v>@petrogustavo</v>
      </c>
      <c r="C867" s="5" t="s">
        <v>16</v>
      </c>
      <c r="D867" s="5" t="s">
        <v>863</v>
      </c>
      <c r="E867" s="6" t="str">
        <f>HYPERLINK("https://twitter.com/petrogustavo/status/1211246298776657921","1211246298776657921")</f>
        <v>1211246298776657921</v>
      </c>
      <c r="F867" s="7" t="s">
        <v>17</v>
      </c>
      <c r="G867" s="7">
        <v>3592118</v>
      </c>
      <c r="H867" s="7">
        <v>2338</v>
      </c>
      <c r="I867" s="7">
        <v>40</v>
      </c>
      <c r="J867" s="7">
        <v>108</v>
      </c>
      <c r="K867" s="7" t="s">
        <v>18</v>
      </c>
      <c r="L867" s="8">
        <v>39987.315405092595</v>
      </c>
      <c r="M867" s="9" t="s">
        <v>19</v>
      </c>
      <c r="N867" s="9" t="s">
        <v>20</v>
      </c>
      <c r="O867" s="6" t="str">
        <f>HYPERLINK("https://pbs.twimg.com/profile_images/962471262747529216/Uo8lOkRJ_normal.jpg","View")</f>
        <v>View</v>
      </c>
      <c r="P867" s="7"/>
    </row>
    <row r="868" spans="1:16">
      <c r="A868" s="3">
        <v>43828.705937499995</v>
      </c>
      <c r="B868" s="4" t="str">
        <f>HYPERLINK("https://twitter.com/petrogustavo","@petrogustavo")</f>
        <v>@petrogustavo</v>
      </c>
      <c r="C868" s="5" t="s">
        <v>16</v>
      </c>
      <c r="D868" s="5" t="s">
        <v>864</v>
      </c>
      <c r="E868" s="6" t="str">
        <f>HYPERLINK("https://twitter.com/petrogustavo/status/1211247127722123264","1211247127722123264")</f>
        <v>1211247127722123264</v>
      </c>
      <c r="F868" s="7" t="s">
        <v>17</v>
      </c>
      <c r="G868" s="7">
        <v>3592118</v>
      </c>
      <c r="H868" s="7">
        <v>2338</v>
      </c>
      <c r="I868" s="7">
        <v>91</v>
      </c>
      <c r="J868" s="7">
        <v>128</v>
      </c>
      <c r="K868" s="7" t="s">
        <v>18</v>
      </c>
      <c r="L868" s="8">
        <v>39987.315405092595</v>
      </c>
      <c r="M868" s="9" t="s">
        <v>19</v>
      </c>
      <c r="N868" s="9" t="s">
        <v>20</v>
      </c>
      <c r="O868" s="6" t="str">
        <f>HYPERLINK("https://pbs.twimg.com/profile_images/962471262747529216/Uo8lOkRJ_normal.jpg","View")</f>
        <v>View</v>
      </c>
      <c r="P868" s="7"/>
    </row>
    <row r="869" spans="1:16">
      <c r="A869" s="3">
        <v>43828.709675925929</v>
      </c>
      <c r="B869" s="4" t="str">
        <f>HYPERLINK("https://twitter.com/petrogustavo","@petrogustavo")</f>
        <v>@petrogustavo</v>
      </c>
      <c r="C869" s="5" t="s">
        <v>16</v>
      </c>
      <c r="D869" s="5" t="s">
        <v>865</v>
      </c>
      <c r="E869" s="6" t="str">
        <f>HYPERLINK("https://twitter.com/petrogustavo/status/1211248479709868032","1211248479709868032")</f>
        <v>1211248479709868032</v>
      </c>
      <c r="F869" s="7" t="s">
        <v>17</v>
      </c>
      <c r="G869" s="7">
        <v>3592118</v>
      </c>
      <c r="H869" s="7">
        <v>2338</v>
      </c>
      <c r="I869" s="7">
        <v>910</v>
      </c>
      <c r="J869" s="7">
        <v>0</v>
      </c>
      <c r="K869" s="7" t="s">
        <v>18</v>
      </c>
      <c r="L869" s="8">
        <v>39987.315405092595</v>
      </c>
      <c r="M869" s="9" t="s">
        <v>19</v>
      </c>
      <c r="N869" s="9" t="s">
        <v>20</v>
      </c>
      <c r="O869" s="6" t="str">
        <f>HYPERLINK("https://pbs.twimg.com/profile_images/962471262747529216/Uo8lOkRJ_normal.jpg","View")</f>
        <v>View</v>
      </c>
      <c r="P869" s="7"/>
    </row>
    <row r="870" spans="1:16">
      <c r="A870" s="3">
        <v>43828.715254629627</v>
      </c>
      <c r="B870" s="4" t="str">
        <f>HYPERLINK("https://twitter.com/petrogustavo","@petrogustavo")</f>
        <v>@petrogustavo</v>
      </c>
      <c r="C870" s="5" t="s">
        <v>16</v>
      </c>
      <c r="D870" s="5" t="s">
        <v>866</v>
      </c>
      <c r="E870" s="6" t="str">
        <f>HYPERLINK("https://twitter.com/petrogustavo/status/1211250501590945793","1211250501590945793")</f>
        <v>1211250501590945793</v>
      </c>
      <c r="F870" s="7" t="s">
        <v>17</v>
      </c>
      <c r="G870" s="7">
        <v>3592118</v>
      </c>
      <c r="H870" s="7">
        <v>2338</v>
      </c>
      <c r="I870" s="7">
        <v>11</v>
      </c>
      <c r="J870" s="7">
        <v>0</v>
      </c>
      <c r="K870" s="7" t="s">
        <v>18</v>
      </c>
      <c r="L870" s="8">
        <v>39987.315405092595</v>
      </c>
      <c r="M870" s="9" t="s">
        <v>19</v>
      </c>
      <c r="N870" s="9" t="s">
        <v>20</v>
      </c>
      <c r="O870" s="6" t="str">
        <f>HYPERLINK("https://pbs.twimg.com/profile_images/962471262747529216/Uo8lOkRJ_normal.jpg","View")</f>
        <v>View</v>
      </c>
      <c r="P870" s="7"/>
    </row>
    <row r="871" spans="1:16">
      <c r="A871" s="3">
        <v>43828.718356481477</v>
      </c>
      <c r="B871" s="4" t="str">
        <f>HYPERLINK("https://twitter.com/petrogustavo","@petrogustavo")</f>
        <v>@petrogustavo</v>
      </c>
      <c r="C871" s="5" t="s">
        <v>16</v>
      </c>
      <c r="D871" s="5" t="s">
        <v>867</v>
      </c>
      <c r="E871" s="6" t="str">
        <f>HYPERLINK("https://twitter.com/petrogustavo/status/1211251625442103296","1211251625442103296")</f>
        <v>1211251625442103296</v>
      </c>
      <c r="F871" s="7" t="s">
        <v>17</v>
      </c>
      <c r="G871" s="7">
        <v>3592118</v>
      </c>
      <c r="H871" s="7">
        <v>2338</v>
      </c>
      <c r="I871" s="7">
        <v>17</v>
      </c>
      <c r="J871" s="7">
        <v>50</v>
      </c>
      <c r="K871" s="7" t="s">
        <v>18</v>
      </c>
      <c r="L871" s="8">
        <v>39987.315405092595</v>
      </c>
      <c r="M871" s="9" t="s">
        <v>19</v>
      </c>
      <c r="N871" s="9" t="s">
        <v>20</v>
      </c>
      <c r="O871" s="6" t="str">
        <f>HYPERLINK("https://pbs.twimg.com/profile_images/962471262747529216/Uo8lOkRJ_normal.jpg","View")</f>
        <v>View</v>
      </c>
      <c r="P871" s="7"/>
    </row>
    <row r="872" spans="1:16">
      <c r="A872" s="3">
        <v>43828.855509259258</v>
      </c>
      <c r="B872" s="4" t="str">
        <f>HYPERLINK("https://twitter.com/petrogustavo","@petrogustavo")</f>
        <v>@petrogustavo</v>
      </c>
      <c r="C872" s="5" t="s">
        <v>16</v>
      </c>
      <c r="D872" s="5" t="s">
        <v>868</v>
      </c>
      <c r="E872" s="6" t="str">
        <f>HYPERLINK("https://twitter.com/petrogustavo/status/1211301330251395072","1211301330251395072")</f>
        <v>1211301330251395072</v>
      </c>
      <c r="F872" s="7" t="s">
        <v>17</v>
      </c>
      <c r="G872" s="7">
        <v>3592216</v>
      </c>
      <c r="H872" s="7">
        <v>2338</v>
      </c>
      <c r="I872" s="7">
        <v>76</v>
      </c>
      <c r="J872" s="7">
        <v>223</v>
      </c>
      <c r="K872" s="7" t="s">
        <v>18</v>
      </c>
      <c r="L872" s="8">
        <v>39987.315405092595</v>
      </c>
      <c r="M872" s="9" t="s">
        <v>19</v>
      </c>
      <c r="N872" s="9" t="s">
        <v>20</v>
      </c>
      <c r="O872" s="6" t="str">
        <f>HYPERLINK("https://pbs.twimg.com/profile_images/962471262747529216/Uo8lOkRJ_normal.jpg","View")</f>
        <v>View</v>
      </c>
      <c r="P872" s="7"/>
    </row>
    <row r="873" spans="1:16">
      <c r="A873" s="3">
        <v>43828.855520833335</v>
      </c>
      <c r="B873" s="4" t="str">
        <f>HYPERLINK("https://twitter.com/petrogustavo","@petrogustavo")</f>
        <v>@petrogustavo</v>
      </c>
      <c r="C873" s="5" t="s">
        <v>16</v>
      </c>
      <c r="D873" s="5" t="s">
        <v>869</v>
      </c>
      <c r="E873" s="6" t="str">
        <f>HYPERLINK("https://twitter.com/petrogustavo/status/1211301332180709376","1211301332180709376")</f>
        <v>1211301332180709376</v>
      </c>
      <c r="F873" s="7" t="s">
        <v>17</v>
      </c>
      <c r="G873" s="7">
        <v>3592216</v>
      </c>
      <c r="H873" s="7">
        <v>2338</v>
      </c>
      <c r="I873" s="7">
        <v>25</v>
      </c>
      <c r="J873" s="7">
        <v>83</v>
      </c>
      <c r="K873" s="7" t="s">
        <v>18</v>
      </c>
      <c r="L873" s="8">
        <v>39987.315405092595</v>
      </c>
      <c r="M873" s="9" t="s">
        <v>19</v>
      </c>
      <c r="N873" s="9" t="s">
        <v>20</v>
      </c>
      <c r="O873" s="6" t="str">
        <f>HYPERLINK("https://pbs.twimg.com/profile_images/962471262747529216/Uo8lOkRJ_normal.jpg","View")</f>
        <v>View</v>
      </c>
      <c r="P873" s="7"/>
    </row>
    <row r="874" spans="1:16">
      <c r="A874" s="3">
        <v>43828.855520833335</v>
      </c>
      <c r="B874" s="4" t="str">
        <f>HYPERLINK("https://twitter.com/petrogustavo","@petrogustavo")</f>
        <v>@petrogustavo</v>
      </c>
      <c r="C874" s="5" t="s">
        <v>16</v>
      </c>
      <c r="D874" s="5" t="s">
        <v>870</v>
      </c>
      <c r="E874" s="6" t="str">
        <f>HYPERLINK("https://twitter.com/petrogustavo/status/1211301335049687040","1211301335049687040")</f>
        <v>1211301335049687040</v>
      </c>
      <c r="F874" s="7" t="s">
        <v>17</v>
      </c>
      <c r="G874" s="7">
        <v>3592216</v>
      </c>
      <c r="H874" s="7">
        <v>2338</v>
      </c>
      <c r="I874" s="7">
        <v>19</v>
      </c>
      <c r="J874" s="7">
        <v>59</v>
      </c>
      <c r="K874" s="7" t="s">
        <v>18</v>
      </c>
      <c r="L874" s="8">
        <v>39987.315405092595</v>
      </c>
      <c r="M874" s="9" t="s">
        <v>19</v>
      </c>
      <c r="N874" s="9" t="s">
        <v>20</v>
      </c>
      <c r="O874" s="6" t="str">
        <f>HYPERLINK("https://pbs.twimg.com/profile_images/962471262747529216/Uo8lOkRJ_normal.jpg","View")</f>
        <v>View</v>
      </c>
      <c r="P874" s="7"/>
    </row>
    <row r="875" spans="1:16">
      <c r="A875" s="3">
        <v>43828.856851851851</v>
      </c>
      <c r="B875" s="4" t="str">
        <f>HYPERLINK("https://twitter.com/petrogustavo","@petrogustavo")</f>
        <v>@petrogustavo</v>
      </c>
      <c r="C875" s="5" t="s">
        <v>16</v>
      </c>
      <c r="D875" s="5" t="s">
        <v>871</v>
      </c>
      <c r="E875" s="6" t="str">
        <f>HYPERLINK("https://twitter.com/petrogustavo/status/1211301815666532353","1211301815666532353")</f>
        <v>1211301815666532353</v>
      </c>
      <c r="F875" s="7" t="s">
        <v>17</v>
      </c>
      <c r="G875" s="7">
        <v>3592216</v>
      </c>
      <c r="H875" s="7">
        <v>2338</v>
      </c>
      <c r="I875" s="7">
        <v>60</v>
      </c>
      <c r="J875" s="7">
        <v>0</v>
      </c>
      <c r="K875" s="7" t="s">
        <v>18</v>
      </c>
      <c r="L875" s="8">
        <v>39987.315405092595</v>
      </c>
      <c r="M875" s="9" t="s">
        <v>19</v>
      </c>
      <c r="N875" s="9" t="s">
        <v>20</v>
      </c>
      <c r="O875" s="6" t="str">
        <f>HYPERLINK("https://pbs.twimg.com/profile_images/962471262747529216/Uo8lOkRJ_normal.jpg","View")</f>
        <v>View</v>
      </c>
      <c r="P875" s="7"/>
    </row>
    <row r="876" spans="1:16">
      <c r="A876" s="3">
        <v>43828.863923611112</v>
      </c>
      <c r="B876" s="4" t="str">
        <f>HYPERLINK("https://twitter.com/petrogustavo","@petrogustavo")</f>
        <v>@petrogustavo</v>
      </c>
      <c r="C876" s="5" t="s">
        <v>16</v>
      </c>
      <c r="D876" s="5" t="s">
        <v>872</v>
      </c>
      <c r="E876" s="6" t="str">
        <f>HYPERLINK("https://twitter.com/petrogustavo/status/1211304377438408704","1211304377438408704")</f>
        <v>1211304377438408704</v>
      </c>
      <c r="F876" s="7" t="s">
        <v>17</v>
      </c>
      <c r="G876" s="7">
        <v>3592216</v>
      </c>
      <c r="H876" s="7">
        <v>2338</v>
      </c>
      <c r="I876" s="7">
        <v>905</v>
      </c>
      <c r="J876" s="7">
        <v>0</v>
      </c>
      <c r="K876" s="7" t="s">
        <v>18</v>
      </c>
      <c r="L876" s="8">
        <v>39987.315405092595</v>
      </c>
      <c r="M876" s="9" t="s">
        <v>19</v>
      </c>
      <c r="N876" s="9" t="s">
        <v>20</v>
      </c>
      <c r="O876" s="6" t="str">
        <f>HYPERLINK("https://pbs.twimg.com/profile_images/962471262747529216/Uo8lOkRJ_normal.jpg","View")</f>
        <v>View</v>
      </c>
      <c r="P876" s="7"/>
    </row>
    <row r="877" spans="1:16">
      <c r="A877" s="3">
        <v>43828.872372685189</v>
      </c>
      <c r="B877" s="4" t="str">
        <f>HYPERLINK("https://twitter.com/petrogustavo","@petrogustavo")</f>
        <v>@petrogustavo</v>
      </c>
      <c r="C877" s="5" t="s">
        <v>16</v>
      </c>
      <c r="D877" s="5" t="s">
        <v>873</v>
      </c>
      <c r="E877" s="6" t="str">
        <f>HYPERLINK("https://twitter.com/petrogustavo/status/1211307439754293250","1211307439754293250")</f>
        <v>1211307439754293250</v>
      </c>
      <c r="F877" s="7" t="s">
        <v>17</v>
      </c>
      <c r="G877" s="7">
        <v>3592239</v>
      </c>
      <c r="H877" s="7">
        <v>2338</v>
      </c>
      <c r="I877" s="7">
        <v>50</v>
      </c>
      <c r="J877" s="7">
        <v>166</v>
      </c>
      <c r="K877" s="7" t="s">
        <v>18</v>
      </c>
      <c r="L877" s="8">
        <v>39987.315405092595</v>
      </c>
      <c r="M877" s="9" t="s">
        <v>19</v>
      </c>
      <c r="N877" s="9" t="s">
        <v>20</v>
      </c>
      <c r="O877" s="6" t="str">
        <f>HYPERLINK("https://pbs.twimg.com/profile_images/962471262747529216/Uo8lOkRJ_normal.jpg","View")</f>
        <v>View</v>
      </c>
      <c r="P877" s="7"/>
    </row>
    <row r="878" spans="1:16">
      <c r="A878" s="3">
        <v>43828.876030092593</v>
      </c>
      <c r="B878" s="4" t="str">
        <f>HYPERLINK("https://twitter.com/petrogustavo","@petrogustavo")</f>
        <v>@petrogustavo</v>
      </c>
      <c r="C878" s="5" t="s">
        <v>16</v>
      </c>
      <c r="D878" s="5" t="s">
        <v>874</v>
      </c>
      <c r="E878" s="6" t="str">
        <f>HYPERLINK("https://twitter.com/petrogustavo/status/1211308764437078016","1211308764437078016")</f>
        <v>1211308764437078016</v>
      </c>
      <c r="F878" s="7" t="s">
        <v>17</v>
      </c>
      <c r="G878" s="7">
        <v>3592239</v>
      </c>
      <c r="H878" s="7">
        <v>2338</v>
      </c>
      <c r="I878" s="7">
        <v>49</v>
      </c>
      <c r="J878" s="7">
        <v>88</v>
      </c>
      <c r="K878" s="7" t="s">
        <v>18</v>
      </c>
      <c r="L878" s="8">
        <v>39987.315405092595</v>
      </c>
      <c r="M878" s="9" t="s">
        <v>19</v>
      </c>
      <c r="N878" s="9" t="s">
        <v>20</v>
      </c>
      <c r="O878" s="6" t="str">
        <f>HYPERLINK("https://pbs.twimg.com/profile_images/962471262747529216/Uo8lOkRJ_normal.jpg","View")</f>
        <v>View</v>
      </c>
      <c r="P878" s="7"/>
    </row>
    <row r="879" spans="1:16">
      <c r="A879" s="3">
        <v>43828.882152777776</v>
      </c>
      <c r="B879" s="4" t="str">
        <f>HYPERLINK("https://twitter.com/petrogustavo","@petrogustavo")</f>
        <v>@petrogustavo</v>
      </c>
      <c r="C879" s="5" t="s">
        <v>16</v>
      </c>
      <c r="D879" s="5" t="s">
        <v>875</v>
      </c>
      <c r="E879" s="6" t="str">
        <f>HYPERLINK("https://twitter.com/petrogustavo/status/1211310982779297793","1211310982779297793")</f>
        <v>1211310982779297793</v>
      </c>
      <c r="F879" s="7" t="s">
        <v>17</v>
      </c>
      <c r="G879" s="7">
        <v>3592239</v>
      </c>
      <c r="H879" s="7">
        <v>2338</v>
      </c>
      <c r="I879" s="7">
        <v>27</v>
      </c>
      <c r="J879" s="7">
        <v>95</v>
      </c>
      <c r="K879" s="7" t="s">
        <v>18</v>
      </c>
      <c r="L879" s="8">
        <v>39987.315405092595</v>
      </c>
      <c r="M879" s="9" t="s">
        <v>19</v>
      </c>
      <c r="N879" s="9" t="s">
        <v>20</v>
      </c>
      <c r="O879" s="6" t="str">
        <f>HYPERLINK("https://pbs.twimg.com/profile_images/962471262747529216/Uo8lOkRJ_normal.jpg","View")</f>
        <v>View</v>
      </c>
      <c r="P879" s="7"/>
    </row>
    <row r="880" spans="1:16">
      <c r="A880" s="3">
        <v>43828.894525462965</v>
      </c>
      <c r="B880" s="4" t="str">
        <f>HYPERLINK("https://twitter.com/petrogustavo","@petrogustavo")</f>
        <v>@petrogustavo</v>
      </c>
      <c r="C880" s="5" t="s">
        <v>16</v>
      </c>
      <c r="D880" s="5" t="s">
        <v>876</v>
      </c>
      <c r="E880" s="6" t="str">
        <f>HYPERLINK("https://twitter.com/petrogustavo/status/1211315469900296192","1211315469900296192")</f>
        <v>1211315469900296192</v>
      </c>
      <c r="F880" s="7" t="s">
        <v>17</v>
      </c>
      <c r="G880" s="7">
        <v>3592264</v>
      </c>
      <c r="H880" s="7">
        <v>2338</v>
      </c>
      <c r="I880" s="7">
        <v>182</v>
      </c>
      <c r="J880" s="7">
        <v>343</v>
      </c>
      <c r="K880" s="7" t="s">
        <v>18</v>
      </c>
      <c r="L880" s="8">
        <v>39987.315405092595</v>
      </c>
      <c r="M880" s="9" t="s">
        <v>19</v>
      </c>
      <c r="N880" s="9" t="s">
        <v>20</v>
      </c>
      <c r="O880" s="6" t="str">
        <f>HYPERLINK("https://pbs.twimg.com/profile_images/962471262747529216/Uo8lOkRJ_normal.jpg","View")</f>
        <v>View</v>
      </c>
      <c r="P880" s="7"/>
    </row>
    <row r="881" spans="1:16">
      <c r="A881" s="3">
        <v>43828.895625000005</v>
      </c>
      <c r="B881" s="4" t="str">
        <f>HYPERLINK("https://twitter.com/petrogustavo","@petrogustavo")</f>
        <v>@petrogustavo</v>
      </c>
      <c r="C881" s="5" t="s">
        <v>16</v>
      </c>
      <c r="D881" s="5" t="s">
        <v>872</v>
      </c>
      <c r="E881" s="6" t="str">
        <f>HYPERLINK("https://twitter.com/petrogustavo/status/1211315867071471616","1211315867071471616")</f>
        <v>1211315867071471616</v>
      </c>
      <c r="F881" s="7" t="s">
        <v>17</v>
      </c>
      <c r="G881" s="7">
        <v>3592264</v>
      </c>
      <c r="H881" s="7">
        <v>2338</v>
      </c>
      <c r="I881" s="7">
        <v>1081</v>
      </c>
      <c r="J881" s="7">
        <v>0</v>
      </c>
      <c r="K881" s="7" t="s">
        <v>18</v>
      </c>
      <c r="L881" s="8">
        <v>39987.315405092595</v>
      </c>
      <c r="M881" s="9" t="s">
        <v>19</v>
      </c>
      <c r="N881" s="9" t="s">
        <v>20</v>
      </c>
      <c r="O881" s="6" t="str">
        <f>HYPERLINK("https://pbs.twimg.com/profile_images/962471262747529216/Uo8lOkRJ_normal.jpg","View")</f>
        <v>View</v>
      </c>
      <c r="P881" s="7"/>
    </row>
    <row r="882" spans="1:16">
      <c r="A882" s="3">
        <v>43828.931932870371</v>
      </c>
      <c r="B882" s="4" t="str">
        <f>HYPERLINK("https://twitter.com/petrogustavo","@petrogustavo")</f>
        <v>@petrogustavo</v>
      </c>
      <c r="C882" s="5" t="s">
        <v>16</v>
      </c>
      <c r="D882" s="5" t="s">
        <v>877</v>
      </c>
      <c r="E882" s="6" t="str">
        <f>HYPERLINK("https://twitter.com/petrogustavo/status/1211329023428706305","1211329023428706305")</f>
        <v>1211329023428706305</v>
      </c>
      <c r="F882" s="7" t="s">
        <v>32</v>
      </c>
      <c r="G882" s="7">
        <v>3592309</v>
      </c>
      <c r="H882" s="7">
        <v>2338</v>
      </c>
      <c r="I882" s="7">
        <v>51</v>
      </c>
      <c r="J882" s="7">
        <v>139</v>
      </c>
      <c r="K882" s="7" t="s">
        <v>18</v>
      </c>
      <c r="L882" s="8">
        <v>39987.315405092595</v>
      </c>
      <c r="M882" s="9" t="s">
        <v>19</v>
      </c>
      <c r="N882" s="9" t="s">
        <v>20</v>
      </c>
      <c r="O882" s="6" t="str">
        <f>HYPERLINK("https://pbs.twimg.com/profile_images/962471262747529216/Uo8lOkRJ_normal.jpg","View")</f>
        <v>View</v>
      </c>
      <c r="P882" s="7"/>
    </row>
    <row r="883" spans="1:16">
      <c r="A883" s="3">
        <v>43828.931944444441</v>
      </c>
      <c r="B883" s="4" t="str">
        <f>HYPERLINK("https://twitter.com/petrogustavo","@petrogustavo")</f>
        <v>@petrogustavo</v>
      </c>
      <c r="C883" s="5" t="s">
        <v>16</v>
      </c>
      <c r="D883" s="5" t="s">
        <v>878</v>
      </c>
      <c r="E883" s="6" t="str">
        <f>HYPERLINK("https://twitter.com/petrogustavo/status/1211329030433230849","1211329030433230849")</f>
        <v>1211329030433230849</v>
      </c>
      <c r="F883" s="7" t="s">
        <v>32</v>
      </c>
      <c r="G883" s="7">
        <v>3592309</v>
      </c>
      <c r="H883" s="7">
        <v>2338</v>
      </c>
      <c r="I883" s="7">
        <v>16</v>
      </c>
      <c r="J883" s="7">
        <v>43</v>
      </c>
      <c r="K883" s="7" t="s">
        <v>18</v>
      </c>
      <c r="L883" s="8">
        <v>39987.315405092595</v>
      </c>
      <c r="M883" s="9" t="s">
        <v>19</v>
      </c>
      <c r="N883" s="9" t="s">
        <v>20</v>
      </c>
      <c r="O883" s="6" t="str">
        <f>HYPERLINK("https://pbs.twimg.com/profile_images/962471262747529216/Uo8lOkRJ_normal.jpg","View")</f>
        <v>View</v>
      </c>
      <c r="P883" s="7"/>
    </row>
    <row r="884" spans="1:16">
      <c r="A884" s="3">
        <v>43828.931967592594</v>
      </c>
      <c r="B884" s="4" t="str">
        <f>HYPERLINK("https://twitter.com/petrogustavo","@petrogustavo")</f>
        <v>@petrogustavo</v>
      </c>
      <c r="C884" s="5" t="s">
        <v>16</v>
      </c>
      <c r="D884" s="5" t="s">
        <v>879</v>
      </c>
      <c r="E884" s="6" t="str">
        <f>HYPERLINK("https://twitter.com/petrogustavo/status/1211329037471277056","1211329037471277056")</f>
        <v>1211329037471277056</v>
      </c>
      <c r="F884" s="7" t="s">
        <v>32</v>
      </c>
      <c r="G884" s="7">
        <v>3592309</v>
      </c>
      <c r="H884" s="7">
        <v>2338</v>
      </c>
      <c r="I884" s="7">
        <v>20</v>
      </c>
      <c r="J884" s="7">
        <v>54</v>
      </c>
      <c r="K884" s="7" t="s">
        <v>18</v>
      </c>
      <c r="L884" s="8">
        <v>39987.315405092595</v>
      </c>
      <c r="M884" s="9" t="s">
        <v>19</v>
      </c>
      <c r="N884" s="9" t="s">
        <v>20</v>
      </c>
      <c r="O884" s="6" t="str">
        <f>HYPERLINK("https://pbs.twimg.com/profile_images/962471262747529216/Uo8lOkRJ_normal.jpg","View")</f>
        <v>View</v>
      </c>
      <c r="P884" s="7"/>
    </row>
    <row r="885" spans="1:16">
      <c r="A885" s="3">
        <v>43828.932175925926</v>
      </c>
      <c r="B885" s="4" t="str">
        <f>HYPERLINK("https://twitter.com/petrogustavo","@petrogustavo")</f>
        <v>@petrogustavo</v>
      </c>
      <c r="C885" s="5" t="s">
        <v>16</v>
      </c>
      <c r="D885" s="5" t="s">
        <v>880</v>
      </c>
      <c r="E885" s="6" t="str">
        <f>HYPERLINK("https://twitter.com/petrogustavo/status/1211329111244849152","1211329111244849152")</f>
        <v>1211329111244849152</v>
      </c>
      <c r="F885" s="7" t="s">
        <v>32</v>
      </c>
      <c r="G885" s="7">
        <v>3592309</v>
      </c>
      <c r="H885" s="7">
        <v>2338</v>
      </c>
      <c r="I885" s="7">
        <v>18</v>
      </c>
      <c r="J885" s="7">
        <v>45</v>
      </c>
      <c r="K885" s="7" t="s">
        <v>18</v>
      </c>
      <c r="L885" s="8">
        <v>39987.315405092595</v>
      </c>
      <c r="M885" s="9" t="s">
        <v>19</v>
      </c>
      <c r="N885" s="9" t="s">
        <v>20</v>
      </c>
      <c r="O885" s="6" t="str">
        <f>HYPERLINK("https://pbs.twimg.com/profile_images/962471262747529216/Uo8lOkRJ_normal.jpg","View")</f>
        <v>View</v>
      </c>
      <c r="P885" s="7"/>
    </row>
    <row r="886" spans="1:16">
      <c r="A886" s="3">
        <v>43828.949502314819</v>
      </c>
      <c r="B886" s="4" t="str">
        <f>HYPERLINK("https://twitter.com/petrogustavo","@petrogustavo")</f>
        <v>@petrogustavo</v>
      </c>
      <c r="C886" s="5" t="s">
        <v>16</v>
      </c>
      <c r="D886" s="5" t="s">
        <v>881</v>
      </c>
      <c r="E886" s="6" t="str">
        <f>HYPERLINK("https://twitter.com/petrogustavo/status/1211335390629679104","1211335390629679104")</f>
        <v>1211335390629679104</v>
      </c>
      <c r="F886" s="7" t="s">
        <v>32</v>
      </c>
      <c r="G886" s="7">
        <v>3592309</v>
      </c>
      <c r="H886" s="7">
        <v>2338</v>
      </c>
      <c r="I886" s="7">
        <v>2</v>
      </c>
      <c r="J886" s="7">
        <v>5</v>
      </c>
      <c r="K886" s="7" t="s">
        <v>18</v>
      </c>
      <c r="L886" s="8">
        <v>39987.315405092595</v>
      </c>
      <c r="M886" s="9" t="s">
        <v>19</v>
      </c>
      <c r="N886" s="9" t="s">
        <v>20</v>
      </c>
      <c r="O886" s="6" t="str">
        <f>HYPERLINK("https://pbs.twimg.com/profile_images/962471262747529216/Uo8lOkRJ_normal.jpg","View")</f>
        <v>View</v>
      </c>
      <c r="P886" s="7"/>
    </row>
    <row r="887" spans="1:16">
      <c r="A887" s="3">
        <v>43828.951886574076</v>
      </c>
      <c r="B887" s="4" t="str">
        <f>HYPERLINK("https://twitter.com/petrogustavo","@petrogustavo")</f>
        <v>@petrogustavo</v>
      </c>
      <c r="C887" s="5" t="s">
        <v>16</v>
      </c>
      <c r="D887" s="5" t="s">
        <v>882</v>
      </c>
      <c r="E887" s="6" t="str">
        <f>HYPERLINK("https://twitter.com/petrogustavo/status/1211336256325595136","1211336256325595136")</f>
        <v>1211336256325595136</v>
      </c>
      <c r="F887" s="7" t="s">
        <v>32</v>
      </c>
      <c r="G887" s="7">
        <v>3592331</v>
      </c>
      <c r="H887" s="7">
        <v>2338</v>
      </c>
      <c r="I887" s="7">
        <v>23</v>
      </c>
      <c r="J887" s="7">
        <v>67</v>
      </c>
      <c r="K887" s="7" t="s">
        <v>18</v>
      </c>
      <c r="L887" s="8">
        <v>39987.315405092595</v>
      </c>
      <c r="M887" s="9" t="s">
        <v>19</v>
      </c>
      <c r="N887" s="9" t="s">
        <v>20</v>
      </c>
      <c r="O887" s="6" t="str">
        <f>HYPERLINK("https://pbs.twimg.com/profile_images/962471262747529216/Uo8lOkRJ_normal.jpg","View")</f>
        <v>View</v>
      </c>
      <c r="P887" s="7"/>
    </row>
    <row r="888" spans="1:16">
      <c r="A888" s="3">
        <v>43828.954467592594</v>
      </c>
      <c r="B888" s="4" t="str">
        <f>HYPERLINK("https://twitter.com/petrogustavo","@petrogustavo")</f>
        <v>@petrogustavo</v>
      </c>
      <c r="C888" s="5" t="s">
        <v>16</v>
      </c>
      <c r="D888" s="5" t="s">
        <v>883</v>
      </c>
      <c r="E888" s="6" t="str">
        <f>HYPERLINK("https://twitter.com/petrogustavo/status/1211337190313250816","1211337190313250816")</f>
        <v>1211337190313250816</v>
      </c>
      <c r="F888" s="7" t="s">
        <v>32</v>
      </c>
      <c r="G888" s="7">
        <v>3592331</v>
      </c>
      <c r="H888" s="7">
        <v>2338</v>
      </c>
      <c r="I888" s="7">
        <v>15</v>
      </c>
      <c r="J888" s="7">
        <v>124</v>
      </c>
      <c r="K888" s="7" t="s">
        <v>18</v>
      </c>
      <c r="L888" s="8">
        <v>39987.315405092595</v>
      </c>
      <c r="M888" s="9" t="s">
        <v>19</v>
      </c>
      <c r="N888" s="9" t="s">
        <v>20</v>
      </c>
      <c r="O888" s="6" t="str">
        <f>HYPERLINK("https://pbs.twimg.com/profile_images/962471262747529216/Uo8lOkRJ_normal.jpg","View")</f>
        <v>View</v>
      </c>
      <c r="P888" s="7"/>
    </row>
    <row r="889" spans="1:16">
      <c r="A889" s="3">
        <v>43828.95711805555</v>
      </c>
      <c r="B889" s="4" t="str">
        <f>HYPERLINK("https://twitter.com/petrogustavo","@petrogustavo")</f>
        <v>@petrogustavo</v>
      </c>
      <c r="C889" s="5" t="s">
        <v>16</v>
      </c>
      <c r="D889" s="5" t="s">
        <v>884</v>
      </c>
      <c r="E889" s="6" t="str">
        <f>HYPERLINK("https://twitter.com/petrogustavo/status/1211338153317023746","1211338153317023746")</f>
        <v>1211338153317023746</v>
      </c>
      <c r="F889" s="7" t="s">
        <v>32</v>
      </c>
      <c r="G889" s="7">
        <v>3592331</v>
      </c>
      <c r="H889" s="7">
        <v>2338</v>
      </c>
      <c r="I889" s="7">
        <v>10</v>
      </c>
      <c r="J889" s="7">
        <v>57</v>
      </c>
      <c r="K889" s="7" t="s">
        <v>18</v>
      </c>
      <c r="L889" s="8">
        <v>39987.315405092595</v>
      </c>
      <c r="M889" s="9" t="s">
        <v>19</v>
      </c>
      <c r="N889" s="9" t="s">
        <v>20</v>
      </c>
      <c r="O889" s="6" t="str">
        <f>HYPERLINK("https://pbs.twimg.com/profile_images/962471262747529216/Uo8lOkRJ_normal.jpg","View")</f>
        <v>View</v>
      </c>
      <c r="P889" s="7"/>
    </row>
    <row r="890" spans="1:16">
      <c r="A890" s="3">
        <v>43828.958518518513</v>
      </c>
      <c r="B890" s="4" t="str">
        <f>HYPERLINK("https://twitter.com/petrogustavo","@petrogustavo")</f>
        <v>@petrogustavo</v>
      </c>
      <c r="C890" s="5" t="s">
        <v>16</v>
      </c>
      <c r="D890" s="5" t="s">
        <v>885</v>
      </c>
      <c r="E890" s="6" t="str">
        <f>HYPERLINK("https://twitter.com/petrogustavo/status/1211338657891782657","1211338657891782657")</f>
        <v>1211338657891782657</v>
      </c>
      <c r="F890" s="7" t="s">
        <v>32</v>
      </c>
      <c r="G890" s="7">
        <v>3592331</v>
      </c>
      <c r="H890" s="7">
        <v>2338</v>
      </c>
      <c r="I890" s="7">
        <v>16</v>
      </c>
      <c r="J890" s="7">
        <v>77</v>
      </c>
      <c r="K890" s="7" t="s">
        <v>18</v>
      </c>
      <c r="L890" s="8">
        <v>39987.315405092595</v>
      </c>
      <c r="M890" s="9" t="s">
        <v>19</v>
      </c>
      <c r="N890" s="9" t="s">
        <v>20</v>
      </c>
      <c r="O890" s="6" t="str">
        <f>HYPERLINK("https://pbs.twimg.com/profile_images/962471262747529216/Uo8lOkRJ_normal.jpg","View")</f>
        <v>View</v>
      </c>
      <c r="P890" s="7"/>
    </row>
    <row r="891" spans="1:16">
      <c r="A891" s="3">
        <v>43828.958819444444</v>
      </c>
      <c r="B891" s="4" t="str">
        <f>HYPERLINK("https://twitter.com/petrogustavo","@petrogustavo")</f>
        <v>@petrogustavo</v>
      </c>
      <c r="C891" s="5" t="s">
        <v>16</v>
      </c>
      <c r="D891" s="5" t="s">
        <v>886</v>
      </c>
      <c r="E891" s="6" t="str">
        <f>HYPERLINK("https://twitter.com/petrogustavo/status/1211338769401548800","1211338769401548800")</f>
        <v>1211338769401548800</v>
      </c>
      <c r="F891" s="7" t="s">
        <v>32</v>
      </c>
      <c r="G891" s="7">
        <v>3592331</v>
      </c>
      <c r="H891" s="7">
        <v>2338</v>
      </c>
      <c r="I891" s="7">
        <v>92</v>
      </c>
      <c r="J891" s="7">
        <v>0</v>
      </c>
      <c r="K891" s="7" t="s">
        <v>18</v>
      </c>
      <c r="L891" s="8">
        <v>39987.315405092595</v>
      </c>
      <c r="M891" s="9" t="s">
        <v>19</v>
      </c>
      <c r="N891" s="9" t="s">
        <v>20</v>
      </c>
      <c r="O891" s="6" t="str">
        <f>HYPERLINK("https://pbs.twimg.com/profile_images/962471262747529216/Uo8lOkRJ_normal.jpg","View")</f>
        <v>View</v>
      </c>
      <c r="P891" s="7"/>
    </row>
    <row r="892" spans="1:16">
      <c r="A892" s="3">
        <v>43828.969317129631</v>
      </c>
      <c r="B892" s="4" t="str">
        <f>HYPERLINK("https://twitter.com/petrogustavo","@petrogustavo")</f>
        <v>@petrogustavo</v>
      </c>
      <c r="C892" s="5" t="s">
        <v>16</v>
      </c>
      <c r="D892" s="5" t="s">
        <v>887</v>
      </c>
      <c r="E892" s="6" t="str">
        <f>HYPERLINK("https://twitter.com/petrogustavo/status/1211342571483672576","1211342571483672576")</f>
        <v>1211342571483672576</v>
      </c>
      <c r="F892" s="7" t="s">
        <v>32</v>
      </c>
      <c r="G892" s="7">
        <v>3592331</v>
      </c>
      <c r="H892" s="7">
        <v>2338</v>
      </c>
      <c r="I892" s="7">
        <v>7</v>
      </c>
      <c r="J892" s="7">
        <v>23</v>
      </c>
      <c r="K892" s="7" t="s">
        <v>18</v>
      </c>
      <c r="L892" s="8">
        <v>39987.315405092595</v>
      </c>
      <c r="M892" s="9" t="s">
        <v>19</v>
      </c>
      <c r="N892" s="9" t="s">
        <v>20</v>
      </c>
      <c r="O892" s="6" t="str">
        <f>HYPERLINK("https://pbs.twimg.com/profile_images/962471262747529216/Uo8lOkRJ_normal.jpg","View")</f>
        <v>View</v>
      </c>
      <c r="P892" s="7"/>
    </row>
    <row r="893" spans="1:16">
      <c r="A893" s="3">
        <v>43828.983425925922</v>
      </c>
      <c r="B893" s="4" t="str">
        <f>HYPERLINK("https://twitter.com/petrogustavo","@petrogustavo")</f>
        <v>@petrogustavo</v>
      </c>
      <c r="C893" s="5" t="s">
        <v>16</v>
      </c>
      <c r="D893" s="5" t="s">
        <v>888</v>
      </c>
      <c r="E893" s="6" t="str">
        <f>HYPERLINK("https://twitter.com/petrogustavo/status/1211347682867982337","1211347682867982337")</f>
        <v>1211347682867982337</v>
      </c>
      <c r="F893" s="7" t="s">
        <v>32</v>
      </c>
      <c r="G893" s="7">
        <v>3592351</v>
      </c>
      <c r="H893" s="7">
        <v>2338</v>
      </c>
      <c r="I893" s="7">
        <v>49</v>
      </c>
      <c r="J893" s="7">
        <v>176</v>
      </c>
      <c r="K893" s="7" t="s">
        <v>18</v>
      </c>
      <c r="L893" s="8">
        <v>39987.315405092595</v>
      </c>
      <c r="M893" s="9" t="s">
        <v>19</v>
      </c>
      <c r="N893" s="9" t="s">
        <v>20</v>
      </c>
      <c r="O893" s="6" t="str">
        <f>HYPERLINK("https://pbs.twimg.com/profile_images/962471262747529216/Uo8lOkRJ_normal.jpg","View")</f>
        <v>View</v>
      </c>
      <c r="P893" s="7"/>
    </row>
    <row r="894" spans="1:16">
      <c r="A894" s="3">
        <v>43828.985266203701</v>
      </c>
      <c r="B894" s="4" t="str">
        <f>HYPERLINK("https://twitter.com/petrogustavo","@petrogustavo")</f>
        <v>@petrogustavo</v>
      </c>
      <c r="C894" s="5" t="s">
        <v>16</v>
      </c>
      <c r="D894" s="5" t="s">
        <v>889</v>
      </c>
      <c r="E894" s="6" t="str">
        <f>HYPERLINK("https://twitter.com/petrogustavo/status/1211348353428205571","1211348353428205571")</f>
        <v>1211348353428205571</v>
      </c>
      <c r="F894" s="7" t="s">
        <v>32</v>
      </c>
      <c r="G894" s="7">
        <v>3592351</v>
      </c>
      <c r="H894" s="7">
        <v>2338</v>
      </c>
      <c r="I894" s="7">
        <v>16</v>
      </c>
      <c r="J894" s="7">
        <v>87</v>
      </c>
      <c r="K894" s="7" t="s">
        <v>18</v>
      </c>
      <c r="L894" s="8">
        <v>39987.315405092595</v>
      </c>
      <c r="M894" s="9" t="s">
        <v>19</v>
      </c>
      <c r="N894" s="9" t="s">
        <v>20</v>
      </c>
      <c r="O894" s="6" t="str">
        <f>HYPERLINK("https://pbs.twimg.com/profile_images/962471262747529216/Uo8lOkRJ_normal.jpg","View")</f>
        <v>View</v>
      </c>
      <c r="P894" s="7"/>
    </row>
    <row r="895" spans="1:16">
      <c r="A895" s="3">
        <v>43828.986388888894</v>
      </c>
      <c r="B895" s="4" t="str">
        <f>HYPERLINK("https://twitter.com/petrogustavo","@petrogustavo")</f>
        <v>@petrogustavo</v>
      </c>
      <c r="C895" s="5" t="s">
        <v>16</v>
      </c>
      <c r="D895" s="5" t="s">
        <v>890</v>
      </c>
      <c r="E895" s="6" t="str">
        <f>HYPERLINK("https://twitter.com/petrogustavo/status/1211348760263057408","1211348760263057408")</f>
        <v>1211348760263057408</v>
      </c>
      <c r="F895" s="7" t="s">
        <v>32</v>
      </c>
      <c r="G895" s="7">
        <v>3592351</v>
      </c>
      <c r="H895" s="7">
        <v>2338</v>
      </c>
      <c r="I895" s="7">
        <v>22</v>
      </c>
      <c r="J895" s="7">
        <v>59</v>
      </c>
      <c r="K895" s="7" t="s">
        <v>18</v>
      </c>
      <c r="L895" s="8">
        <v>39987.315405092595</v>
      </c>
      <c r="M895" s="9" t="s">
        <v>19</v>
      </c>
      <c r="N895" s="9" t="s">
        <v>20</v>
      </c>
      <c r="O895" s="6" t="str">
        <f>HYPERLINK("https://pbs.twimg.com/profile_images/962471262747529216/Uo8lOkRJ_normal.jpg","View")</f>
        <v>View</v>
      </c>
      <c r="P895" s="7"/>
    </row>
    <row r="896" spans="1:16">
      <c r="A896" s="3">
        <v>43829.007187499999</v>
      </c>
      <c r="B896" s="4" t="str">
        <f>HYPERLINK("https://twitter.com/petrogustavo","@petrogustavo")</f>
        <v>@petrogustavo</v>
      </c>
      <c r="C896" s="5" t="s">
        <v>16</v>
      </c>
      <c r="D896" s="5" t="s">
        <v>891</v>
      </c>
      <c r="E896" s="6" t="str">
        <f>HYPERLINK("https://twitter.com/petrogustavo/status/1211356295741267968","1211356295741267968")</f>
        <v>1211356295741267968</v>
      </c>
      <c r="F896" s="7" t="s">
        <v>32</v>
      </c>
      <c r="G896" s="7">
        <v>3592372</v>
      </c>
      <c r="H896" s="7">
        <v>2338</v>
      </c>
      <c r="I896" s="7">
        <v>13</v>
      </c>
      <c r="J896" s="7">
        <v>34</v>
      </c>
      <c r="K896" s="7" t="s">
        <v>18</v>
      </c>
      <c r="L896" s="8">
        <v>39987.315405092595</v>
      </c>
      <c r="M896" s="9" t="s">
        <v>19</v>
      </c>
      <c r="N896" s="9" t="s">
        <v>20</v>
      </c>
      <c r="O896" s="6" t="str">
        <f>HYPERLINK("https://pbs.twimg.com/profile_images/962471262747529216/Uo8lOkRJ_normal.jpg","View")</f>
        <v>View</v>
      </c>
      <c r="P896" s="7"/>
    </row>
    <row r="897" spans="1:16">
      <c r="A897" s="3">
        <v>43829.084664351853</v>
      </c>
      <c r="B897" s="4" t="str">
        <f>HYPERLINK("https://twitter.com/petrogustavo","@petrogustavo")</f>
        <v>@petrogustavo</v>
      </c>
      <c r="C897" s="5" t="s">
        <v>16</v>
      </c>
      <c r="D897" s="5" t="s">
        <v>886</v>
      </c>
      <c r="E897" s="6" t="str">
        <f>HYPERLINK("https://twitter.com/petrogustavo/status/1211384372525441026","1211384372525441026")</f>
        <v>1211384372525441026</v>
      </c>
      <c r="F897" s="7" t="s">
        <v>17</v>
      </c>
      <c r="G897" s="7">
        <v>3592491</v>
      </c>
      <c r="H897" s="7">
        <v>2338</v>
      </c>
      <c r="I897" s="7">
        <v>195</v>
      </c>
      <c r="J897" s="7">
        <v>0</v>
      </c>
      <c r="K897" s="7" t="s">
        <v>18</v>
      </c>
      <c r="L897" s="8">
        <v>39987.315405092595</v>
      </c>
      <c r="M897" s="9" t="s">
        <v>19</v>
      </c>
      <c r="N897" s="9" t="s">
        <v>20</v>
      </c>
      <c r="O897" s="6" t="str">
        <f>HYPERLINK("https://pbs.twimg.com/profile_images/962471262747529216/Uo8lOkRJ_normal.jpg","View")</f>
        <v>View</v>
      </c>
      <c r="P897" s="7"/>
    </row>
    <row r="898" spans="1:16">
      <c r="A898" s="3">
        <v>43829.12568287037</v>
      </c>
      <c r="B898" s="4" t="str">
        <f>HYPERLINK("https://twitter.com/petrogustavo","@petrogustavo")</f>
        <v>@petrogustavo</v>
      </c>
      <c r="C898" s="5" t="s">
        <v>16</v>
      </c>
      <c r="D898" s="5" t="s">
        <v>892</v>
      </c>
      <c r="E898" s="6" t="str">
        <f>HYPERLINK("https://twitter.com/petrogustavo/status/1211399238590091264","1211399238590091264")</f>
        <v>1211399238590091264</v>
      </c>
      <c r="F898" s="7" t="s">
        <v>17</v>
      </c>
      <c r="G898" s="7">
        <v>3592529</v>
      </c>
      <c r="H898" s="7">
        <v>2338</v>
      </c>
      <c r="I898" s="7">
        <v>57</v>
      </c>
      <c r="J898" s="7">
        <v>119</v>
      </c>
      <c r="K898" s="7" t="s">
        <v>18</v>
      </c>
      <c r="L898" s="8">
        <v>39987.315405092595</v>
      </c>
      <c r="M898" s="9" t="s">
        <v>19</v>
      </c>
      <c r="N898" s="9" t="s">
        <v>20</v>
      </c>
      <c r="O898" s="6" t="str">
        <f>HYPERLINK("https://pbs.twimg.com/profile_images/962471262747529216/Uo8lOkRJ_normal.jpg","View")</f>
        <v>View</v>
      </c>
      <c r="P898" s="7"/>
    </row>
    <row r="899" spans="1:16">
      <c r="A899" s="3">
        <v>43829.127337962964</v>
      </c>
      <c r="B899" s="4" t="str">
        <f>HYPERLINK("https://twitter.com/petrogustavo","@petrogustavo")</f>
        <v>@petrogustavo</v>
      </c>
      <c r="C899" s="5" t="s">
        <v>16</v>
      </c>
      <c r="D899" s="5" t="s">
        <v>893</v>
      </c>
      <c r="E899" s="6" t="str">
        <f>HYPERLINK("https://twitter.com/petrogustavo/status/1211399835410149382","1211399835410149382")</f>
        <v>1211399835410149382</v>
      </c>
      <c r="F899" s="7" t="s">
        <v>17</v>
      </c>
      <c r="G899" s="7">
        <v>3592529</v>
      </c>
      <c r="H899" s="7">
        <v>2338</v>
      </c>
      <c r="I899" s="7">
        <v>68</v>
      </c>
      <c r="J899" s="7">
        <v>155</v>
      </c>
      <c r="K899" s="7" t="s">
        <v>18</v>
      </c>
      <c r="L899" s="8">
        <v>39987.315405092595</v>
      </c>
      <c r="M899" s="9" t="s">
        <v>19</v>
      </c>
      <c r="N899" s="9" t="s">
        <v>20</v>
      </c>
      <c r="O899" s="6" t="str">
        <f>HYPERLINK("https://pbs.twimg.com/profile_images/962471262747529216/Uo8lOkRJ_normal.jpg","View")</f>
        <v>View</v>
      </c>
      <c r="P899" s="7"/>
    </row>
    <row r="900" spans="1:16">
      <c r="A900" s="3">
        <v>43829.130636574075</v>
      </c>
      <c r="B900" s="4" t="str">
        <f>HYPERLINK("https://twitter.com/petrogustavo","@petrogustavo")</f>
        <v>@petrogustavo</v>
      </c>
      <c r="C900" s="5" t="s">
        <v>16</v>
      </c>
      <c r="D900" s="5" t="s">
        <v>894</v>
      </c>
      <c r="E900" s="6" t="str">
        <f>HYPERLINK("https://twitter.com/petrogustavo/status/1211401033492156416","1211401033492156416")</f>
        <v>1211401033492156416</v>
      </c>
      <c r="F900" s="7" t="s">
        <v>17</v>
      </c>
      <c r="G900" s="7">
        <v>3592529</v>
      </c>
      <c r="H900" s="7">
        <v>2338</v>
      </c>
      <c r="I900" s="7">
        <v>35</v>
      </c>
      <c r="J900" s="7">
        <v>99</v>
      </c>
      <c r="K900" s="7" t="s">
        <v>18</v>
      </c>
      <c r="L900" s="8">
        <v>39987.315405092595</v>
      </c>
      <c r="M900" s="9" t="s">
        <v>19</v>
      </c>
      <c r="N900" s="9" t="s">
        <v>20</v>
      </c>
      <c r="O900" s="6" t="str">
        <f>HYPERLINK("https://pbs.twimg.com/profile_images/962471262747529216/Uo8lOkRJ_normal.jpg","View")</f>
        <v>View</v>
      </c>
      <c r="P900" s="7"/>
    </row>
    <row r="901" spans="1:16">
      <c r="A901" s="3">
        <v>43829.138668981483</v>
      </c>
      <c r="B901" s="4" t="str">
        <f>HYPERLINK("https://twitter.com/petrogustavo","@petrogustavo")</f>
        <v>@petrogustavo</v>
      </c>
      <c r="C901" s="5" t="s">
        <v>16</v>
      </c>
      <c r="D901" s="5" t="s">
        <v>895</v>
      </c>
      <c r="E901" s="6" t="str">
        <f>HYPERLINK("https://twitter.com/petrogustavo/status/1211403941692477442","1211403941692477442")</f>
        <v>1211403941692477442</v>
      </c>
      <c r="F901" s="7" t="s">
        <v>17</v>
      </c>
      <c r="G901" s="7">
        <v>3592550</v>
      </c>
      <c r="H901" s="7">
        <v>2338</v>
      </c>
      <c r="I901" s="7">
        <v>74</v>
      </c>
      <c r="J901" s="7">
        <v>221</v>
      </c>
      <c r="K901" s="7" t="s">
        <v>18</v>
      </c>
      <c r="L901" s="8">
        <v>39987.315405092595</v>
      </c>
      <c r="M901" s="9" t="s">
        <v>19</v>
      </c>
      <c r="N901" s="9" t="s">
        <v>20</v>
      </c>
      <c r="O901" s="6" t="str">
        <f>HYPERLINK("https://pbs.twimg.com/profile_images/962471262747529216/Uo8lOkRJ_normal.jpg","View")</f>
        <v>View</v>
      </c>
      <c r="P901" s="7"/>
    </row>
    <row r="902" spans="1:16">
      <c r="A902" s="3">
        <v>43829.138668981483</v>
      </c>
      <c r="B902" s="4" t="str">
        <f>HYPERLINK("https://twitter.com/petrogustavo","@petrogustavo")</f>
        <v>@petrogustavo</v>
      </c>
      <c r="C902" s="5" t="s">
        <v>16</v>
      </c>
      <c r="D902" s="5" t="s">
        <v>896</v>
      </c>
      <c r="E902" s="6" t="str">
        <f>HYPERLINK("https://twitter.com/petrogustavo/status/1211403945186381835","1211403945186381835")</f>
        <v>1211403945186381835</v>
      </c>
      <c r="F902" s="7" t="s">
        <v>17</v>
      </c>
      <c r="G902" s="7">
        <v>3592550</v>
      </c>
      <c r="H902" s="7">
        <v>2338</v>
      </c>
      <c r="I902" s="7">
        <v>93</v>
      </c>
      <c r="J902" s="7">
        <v>262</v>
      </c>
      <c r="K902" s="7" t="s">
        <v>18</v>
      </c>
      <c r="L902" s="8">
        <v>39987.315405092595</v>
      </c>
      <c r="M902" s="9" t="s">
        <v>19</v>
      </c>
      <c r="N902" s="9" t="s">
        <v>20</v>
      </c>
      <c r="O902" s="6" t="str">
        <f>HYPERLINK("https://pbs.twimg.com/profile_images/962471262747529216/Uo8lOkRJ_normal.jpg","View")</f>
        <v>View</v>
      </c>
      <c r="P902" s="7"/>
    </row>
    <row r="903" spans="1:16">
      <c r="A903" s="3">
        <v>43829.166134259256</v>
      </c>
      <c r="B903" s="4" t="str">
        <f>HYPERLINK("https://twitter.com/petrogustavo","@petrogustavo")</f>
        <v>@petrogustavo</v>
      </c>
      <c r="C903" s="5" t="s">
        <v>16</v>
      </c>
      <c r="D903" s="5" t="s">
        <v>897</v>
      </c>
      <c r="E903" s="6" t="str">
        <f>HYPERLINK("https://twitter.com/petrogustavo/status/1211413897871278082","1211413897871278082")</f>
        <v>1211413897871278082</v>
      </c>
      <c r="F903" s="7" t="s">
        <v>32</v>
      </c>
      <c r="G903" s="7">
        <v>3592559</v>
      </c>
      <c r="H903" s="7">
        <v>2338</v>
      </c>
      <c r="I903" s="7">
        <v>53</v>
      </c>
      <c r="J903" s="7">
        <v>134</v>
      </c>
      <c r="K903" s="7" t="s">
        <v>18</v>
      </c>
      <c r="L903" s="8">
        <v>39987.315405092595</v>
      </c>
      <c r="M903" s="9" t="s">
        <v>19</v>
      </c>
      <c r="N903" s="9" t="s">
        <v>20</v>
      </c>
      <c r="O903" s="6" t="str">
        <f>HYPERLINK("https://pbs.twimg.com/profile_images/962471262747529216/Uo8lOkRJ_normal.jpg","View")</f>
        <v>View</v>
      </c>
      <c r="P903" s="7"/>
    </row>
    <row r="904" spans="1:16">
      <c r="A904" s="3">
        <v>43829.169629629629</v>
      </c>
      <c r="B904" s="4" t="str">
        <f>HYPERLINK("https://twitter.com/petrogustavo","@petrogustavo")</f>
        <v>@petrogustavo</v>
      </c>
      <c r="C904" s="5" t="s">
        <v>16</v>
      </c>
      <c r="D904" s="5" t="s">
        <v>898</v>
      </c>
      <c r="E904" s="6" t="str">
        <f>HYPERLINK("https://twitter.com/petrogustavo/status/1211415162562994179","1211415162562994179")</f>
        <v>1211415162562994179</v>
      </c>
      <c r="F904" s="7" t="s">
        <v>32</v>
      </c>
      <c r="G904" s="7">
        <v>3592559</v>
      </c>
      <c r="H904" s="7">
        <v>2338</v>
      </c>
      <c r="I904" s="7">
        <v>122</v>
      </c>
      <c r="J904" s="7">
        <v>0</v>
      </c>
      <c r="K904" s="7" t="s">
        <v>18</v>
      </c>
      <c r="L904" s="8">
        <v>39987.315405092595</v>
      </c>
      <c r="M904" s="9" t="s">
        <v>19</v>
      </c>
      <c r="N904" s="9" t="s">
        <v>20</v>
      </c>
      <c r="O904" s="6" t="str">
        <f>HYPERLINK("https://pbs.twimg.com/profile_images/962471262747529216/Uo8lOkRJ_normal.jpg","View")</f>
        <v>View</v>
      </c>
      <c r="P904" s="7"/>
    </row>
    <row r="905" spans="1:16">
      <c r="A905" s="3">
        <v>43829.19195601852</v>
      </c>
      <c r="B905" s="4" t="str">
        <f>HYPERLINK("https://twitter.com/petrogustavo","@petrogustavo")</f>
        <v>@petrogustavo</v>
      </c>
      <c r="C905" s="5" t="s">
        <v>16</v>
      </c>
      <c r="D905" s="5" t="s">
        <v>899</v>
      </c>
      <c r="E905" s="6" t="str">
        <f>HYPERLINK("https://twitter.com/petrogustavo/status/1211423251882283008","1211423251882283008")</f>
        <v>1211423251882283008</v>
      </c>
      <c r="F905" s="7" t="s">
        <v>32</v>
      </c>
      <c r="G905" s="7">
        <v>3592584</v>
      </c>
      <c r="H905" s="7">
        <v>2338</v>
      </c>
      <c r="I905" s="7">
        <v>58</v>
      </c>
      <c r="J905" s="7">
        <v>233</v>
      </c>
      <c r="K905" s="7" t="s">
        <v>18</v>
      </c>
      <c r="L905" s="8">
        <v>39987.315405092595</v>
      </c>
      <c r="M905" s="9" t="s">
        <v>19</v>
      </c>
      <c r="N905" s="9" t="s">
        <v>20</v>
      </c>
      <c r="O905" s="6" t="str">
        <f>HYPERLINK("https://pbs.twimg.com/profile_images/962471262747529216/Uo8lOkRJ_normal.jpg","View")</f>
        <v>View</v>
      </c>
      <c r="P905" s="7"/>
    </row>
    <row r="906" spans="1:16">
      <c r="A906" s="3">
        <v>43829.20721064815</v>
      </c>
      <c r="B906" s="4" t="str">
        <f>HYPERLINK("https://twitter.com/petrogustavo","@petrogustavo")</f>
        <v>@petrogustavo</v>
      </c>
      <c r="C906" s="5" t="s">
        <v>16</v>
      </c>
      <c r="D906" s="5" t="s">
        <v>900</v>
      </c>
      <c r="E906" s="6" t="str">
        <f>HYPERLINK("https://twitter.com/petrogustavo/status/1211428783196135425","1211428783196135425")</f>
        <v>1211428783196135425</v>
      </c>
      <c r="F906" s="7" t="s">
        <v>32</v>
      </c>
      <c r="G906" s="7">
        <v>3592583</v>
      </c>
      <c r="H906" s="7">
        <v>2337</v>
      </c>
      <c r="I906" s="7">
        <v>83</v>
      </c>
      <c r="J906" s="7">
        <v>282</v>
      </c>
      <c r="K906" s="7" t="s">
        <v>18</v>
      </c>
      <c r="L906" s="8">
        <v>39987.315405092595</v>
      </c>
      <c r="M906" s="9" t="s">
        <v>19</v>
      </c>
      <c r="N906" s="9" t="s">
        <v>20</v>
      </c>
      <c r="O906" s="6" t="str">
        <f>HYPERLINK("https://pbs.twimg.com/profile_images/962471262747529216/Uo8lOkRJ_normal.jpg","View")</f>
        <v>View</v>
      </c>
      <c r="P906" s="7"/>
    </row>
    <row r="907" spans="1:16">
      <c r="A907" s="3">
        <v>43829.207233796296</v>
      </c>
      <c r="B907" s="4" t="str">
        <f>HYPERLINK("https://twitter.com/petrogustavo","@petrogustavo")</f>
        <v>@petrogustavo</v>
      </c>
      <c r="C907" s="5" t="s">
        <v>16</v>
      </c>
      <c r="D907" s="5" t="s">
        <v>901</v>
      </c>
      <c r="E907" s="6" t="str">
        <f>HYPERLINK("https://twitter.com/petrogustavo/status/1211428788137086977","1211428788137086977")</f>
        <v>1211428788137086977</v>
      </c>
      <c r="F907" s="7" t="s">
        <v>32</v>
      </c>
      <c r="G907" s="7">
        <v>3592583</v>
      </c>
      <c r="H907" s="7">
        <v>2337</v>
      </c>
      <c r="I907" s="7">
        <v>56</v>
      </c>
      <c r="J907" s="7">
        <v>213</v>
      </c>
      <c r="K907" s="7" t="s">
        <v>18</v>
      </c>
      <c r="L907" s="8">
        <v>39987.315405092595</v>
      </c>
      <c r="M907" s="9" t="s">
        <v>19</v>
      </c>
      <c r="N907" s="9" t="s">
        <v>20</v>
      </c>
      <c r="O907" s="6" t="str">
        <f>HYPERLINK("https://pbs.twimg.com/profile_images/962471262747529216/Uo8lOkRJ_normal.jpg","View")</f>
        <v>View</v>
      </c>
      <c r="P907" s="7"/>
    </row>
    <row r="908" spans="1:16">
      <c r="A908" s="3">
        <v>43829.690196759257</v>
      </c>
      <c r="B908" s="4" t="str">
        <f>HYPERLINK("https://twitter.com/petrogustavo","@petrogustavo")</f>
        <v>@petrogustavo</v>
      </c>
      <c r="C908" s="5" t="s">
        <v>16</v>
      </c>
      <c r="D908" s="5" t="s">
        <v>902</v>
      </c>
      <c r="E908" s="6" t="str">
        <f>HYPERLINK("https://twitter.com/petrogustavo/status/1211603809425920000","1211603809425920000")</f>
        <v>1211603809425920000</v>
      </c>
      <c r="F908" s="7" t="s">
        <v>17</v>
      </c>
      <c r="G908" s="7">
        <v>3592835</v>
      </c>
      <c r="H908" s="7">
        <v>2337</v>
      </c>
      <c r="I908" s="7">
        <v>11</v>
      </c>
      <c r="J908" s="7">
        <v>39</v>
      </c>
      <c r="K908" s="7" t="s">
        <v>18</v>
      </c>
      <c r="L908" s="8">
        <v>39987.315405092595</v>
      </c>
      <c r="M908" s="9" t="s">
        <v>19</v>
      </c>
      <c r="N908" s="9" t="s">
        <v>20</v>
      </c>
      <c r="O908" s="6" t="str">
        <f>HYPERLINK("https://pbs.twimg.com/profile_images/962471262747529216/Uo8lOkRJ_normal.jpg","View")</f>
        <v>View</v>
      </c>
      <c r="P908" s="7"/>
    </row>
    <row r="909" spans="1:16">
      <c r="A909" s="3">
        <v>43829.693449074075</v>
      </c>
      <c r="B909" s="4" t="str">
        <f>HYPERLINK("https://twitter.com/petrogustavo","@petrogustavo")</f>
        <v>@petrogustavo</v>
      </c>
      <c r="C909" s="5" t="s">
        <v>16</v>
      </c>
      <c r="D909" s="5" t="s">
        <v>903</v>
      </c>
      <c r="E909" s="6" t="str">
        <f>HYPERLINK("https://twitter.com/petrogustavo/status/1211604988734181378","1211604988734181378")</f>
        <v>1211604988734181378</v>
      </c>
      <c r="F909" s="7" t="s">
        <v>17</v>
      </c>
      <c r="G909" s="7">
        <v>3592835</v>
      </c>
      <c r="H909" s="7">
        <v>2337</v>
      </c>
      <c r="I909" s="7">
        <v>14</v>
      </c>
      <c r="J909" s="7">
        <v>36</v>
      </c>
      <c r="K909" s="7" t="s">
        <v>18</v>
      </c>
      <c r="L909" s="8">
        <v>39987.315405092595</v>
      </c>
      <c r="M909" s="9" t="s">
        <v>19</v>
      </c>
      <c r="N909" s="9" t="s">
        <v>20</v>
      </c>
      <c r="O909" s="6" t="str">
        <f>HYPERLINK("https://pbs.twimg.com/profile_images/962471262747529216/Uo8lOkRJ_normal.jpg","View")</f>
        <v>View</v>
      </c>
      <c r="P909" s="7"/>
    </row>
    <row r="910" spans="1:16">
      <c r="A910" s="3">
        <v>43829.696921296301</v>
      </c>
      <c r="B910" s="4" t="str">
        <f>HYPERLINK("https://twitter.com/petrogustavo","@petrogustavo")</f>
        <v>@petrogustavo</v>
      </c>
      <c r="C910" s="5" t="s">
        <v>16</v>
      </c>
      <c r="D910" s="5" t="s">
        <v>872</v>
      </c>
      <c r="E910" s="6" t="str">
        <f>HYPERLINK("https://twitter.com/petrogustavo/status/1211606246664617985","1211606246664617985")</f>
        <v>1211606246664617985</v>
      </c>
      <c r="F910" s="7" t="s">
        <v>17</v>
      </c>
      <c r="G910" s="7">
        <v>3592835</v>
      </c>
      <c r="H910" s="7">
        <v>2337</v>
      </c>
      <c r="I910" s="7">
        <v>1991</v>
      </c>
      <c r="J910" s="7">
        <v>0</v>
      </c>
      <c r="K910" s="7" t="s">
        <v>18</v>
      </c>
      <c r="L910" s="8">
        <v>39987.315405092595</v>
      </c>
      <c r="M910" s="9" t="s">
        <v>19</v>
      </c>
      <c r="N910" s="9" t="s">
        <v>20</v>
      </c>
      <c r="O910" s="6" t="str">
        <f>HYPERLINK("https://pbs.twimg.com/profile_images/962471262747529216/Uo8lOkRJ_normal.jpg","View")</f>
        <v>View</v>
      </c>
      <c r="P910" s="7"/>
    </row>
    <row r="911" spans="1:16">
      <c r="A911" s="3">
        <v>43829.966215277775</v>
      </c>
      <c r="B911" s="4" t="str">
        <f>HYPERLINK("https://twitter.com/petrogustavo","@petrogustavo")</f>
        <v>@petrogustavo</v>
      </c>
      <c r="C911" s="5" t="s">
        <v>16</v>
      </c>
      <c r="D911" s="5" t="s">
        <v>872</v>
      </c>
      <c r="E911" s="6" t="str">
        <f>HYPERLINK("https://twitter.com/petrogustavo/status/1211703837557448704","1211703837557448704")</f>
        <v>1211703837557448704</v>
      </c>
      <c r="F911" s="7" t="s">
        <v>17</v>
      </c>
      <c r="G911" s="7">
        <v>3593083</v>
      </c>
      <c r="H911" s="7">
        <v>2337</v>
      </c>
      <c r="I911" s="7">
        <v>2156</v>
      </c>
      <c r="J911" s="7">
        <v>0</v>
      </c>
      <c r="K911" s="7" t="s">
        <v>18</v>
      </c>
      <c r="L911" s="8">
        <v>39987.315405092595</v>
      </c>
      <c r="M911" s="9" t="s">
        <v>19</v>
      </c>
      <c r="N911" s="9" t="s">
        <v>20</v>
      </c>
      <c r="O911" s="6" t="str">
        <f>HYPERLINK("https://pbs.twimg.com/profile_images/962471262747529216/Uo8lOkRJ_normal.jpg","View")</f>
        <v>View</v>
      </c>
      <c r="P911" s="7"/>
    </row>
    <row r="912" spans="1:16">
      <c r="A912" s="3">
        <v>43829.969664351855</v>
      </c>
      <c r="B912" s="4" t="str">
        <f>HYPERLINK("https://twitter.com/petrogustavo","@petrogustavo")</f>
        <v>@petrogustavo</v>
      </c>
      <c r="C912" s="5" t="s">
        <v>16</v>
      </c>
      <c r="D912" s="5" t="s">
        <v>904</v>
      </c>
      <c r="E912" s="6" t="str">
        <f>HYPERLINK("https://twitter.com/petrogustavo/status/1211705086386360321","1211705086386360321")</f>
        <v>1211705086386360321</v>
      </c>
      <c r="F912" s="7" t="s">
        <v>17</v>
      </c>
      <c r="G912" s="7">
        <v>3593083</v>
      </c>
      <c r="H912" s="7">
        <v>2337</v>
      </c>
      <c r="I912" s="7">
        <v>1</v>
      </c>
      <c r="J912" s="7">
        <v>19</v>
      </c>
      <c r="K912" s="7" t="s">
        <v>18</v>
      </c>
      <c r="L912" s="8">
        <v>39987.315405092595</v>
      </c>
      <c r="M912" s="9" t="s">
        <v>19</v>
      </c>
      <c r="N912" s="9" t="s">
        <v>20</v>
      </c>
      <c r="O912" s="6" t="str">
        <f>HYPERLINK("https://pbs.twimg.com/profile_images/962471262747529216/Uo8lOkRJ_normal.jpg","View")</f>
        <v>View</v>
      </c>
      <c r="P912" s="7"/>
    </row>
    <row r="913" spans="1:16">
      <c r="A913" s="3">
        <v>43829.97152777778</v>
      </c>
      <c r="B913" s="4" t="str">
        <f>HYPERLINK("https://twitter.com/petrogustavo","@petrogustavo")</f>
        <v>@petrogustavo</v>
      </c>
      <c r="C913" s="5" t="s">
        <v>16</v>
      </c>
      <c r="D913" s="5" t="s">
        <v>905</v>
      </c>
      <c r="E913" s="6" t="str">
        <f>HYPERLINK("https://twitter.com/petrogustavo/status/1211705759198842886","1211705759198842886")</f>
        <v>1211705759198842886</v>
      </c>
      <c r="F913" s="7" t="s">
        <v>17</v>
      </c>
      <c r="G913" s="7">
        <v>3593114</v>
      </c>
      <c r="H913" s="7">
        <v>2337</v>
      </c>
      <c r="I913" s="7">
        <v>116</v>
      </c>
      <c r="J913" s="7">
        <v>360</v>
      </c>
      <c r="K913" s="7" t="s">
        <v>18</v>
      </c>
      <c r="L913" s="8">
        <v>39987.315405092595</v>
      </c>
      <c r="M913" s="9" t="s">
        <v>19</v>
      </c>
      <c r="N913" s="9" t="s">
        <v>20</v>
      </c>
      <c r="O913" s="6" t="str">
        <f>HYPERLINK("https://pbs.twimg.com/profile_images/962471262747529216/Uo8lOkRJ_normal.jpg","View")</f>
        <v>View</v>
      </c>
      <c r="P913" s="7"/>
    </row>
    <row r="914" spans="1:16">
      <c r="A914" s="3">
        <v>43829.981874999998</v>
      </c>
      <c r="B914" s="4" t="str">
        <f>HYPERLINK("https://twitter.com/petrogustavo","@petrogustavo")</f>
        <v>@petrogustavo</v>
      </c>
      <c r="C914" s="5" t="s">
        <v>16</v>
      </c>
      <c r="D914" s="5" t="s">
        <v>906</v>
      </c>
      <c r="E914" s="6" t="str">
        <f>HYPERLINK("https://twitter.com/petrogustavo/status/1211709512010342401","1211709512010342401")</f>
        <v>1211709512010342401</v>
      </c>
      <c r="F914" s="7" t="s">
        <v>17</v>
      </c>
      <c r="G914" s="7">
        <v>3593114</v>
      </c>
      <c r="H914" s="7">
        <v>2337</v>
      </c>
      <c r="I914" s="7">
        <v>51</v>
      </c>
      <c r="J914" s="7">
        <v>140</v>
      </c>
      <c r="K914" s="7" t="s">
        <v>18</v>
      </c>
      <c r="L914" s="8">
        <v>39987.315405092595</v>
      </c>
      <c r="M914" s="9" t="s">
        <v>19</v>
      </c>
      <c r="N914" s="9" t="s">
        <v>20</v>
      </c>
      <c r="O914" s="6" t="str">
        <f>HYPERLINK("https://pbs.twimg.com/profile_images/962471262747529216/Uo8lOkRJ_normal.jpg","View")</f>
        <v>View</v>
      </c>
      <c r="P914" s="7"/>
    </row>
    <row r="915" spans="1:16">
      <c r="A915" s="3">
        <v>43829.987175925926</v>
      </c>
      <c r="B915" s="4" t="str">
        <f>HYPERLINK("https://twitter.com/petrogustavo","@petrogustavo")</f>
        <v>@petrogustavo</v>
      </c>
      <c r="C915" s="5" t="s">
        <v>16</v>
      </c>
      <c r="D915" s="5" t="s">
        <v>907</v>
      </c>
      <c r="E915" s="6" t="str">
        <f>HYPERLINK("https://twitter.com/petrogustavo/status/1211711429952385025","1211711429952385025")</f>
        <v>1211711429952385025</v>
      </c>
      <c r="F915" s="7" t="s">
        <v>17</v>
      </c>
      <c r="G915" s="7">
        <v>3593114</v>
      </c>
      <c r="H915" s="7">
        <v>2337</v>
      </c>
      <c r="I915" s="7">
        <v>15</v>
      </c>
      <c r="J915" s="7">
        <v>58</v>
      </c>
      <c r="K915" s="7" t="s">
        <v>18</v>
      </c>
      <c r="L915" s="8">
        <v>39987.315405092595</v>
      </c>
      <c r="M915" s="9" t="s">
        <v>19</v>
      </c>
      <c r="N915" s="9" t="s">
        <v>20</v>
      </c>
      <c r="O915" s="6" t="str">
        <f>HYPERLINK("https://pbs.twimg.com/profile_images/962471262747529216/Uo8lOkRJ_normal.jpg","View")</f>
        <v>View</v>
      </c>
      <c r="P915" s="7"/>
    </row>
    <row r="916" spans="1:16">
      <c r="A916" s="3">
        <v>43829.990972222222</v>
      </c>
      <c r="B916" s="4" t="str">
        <f>HYPERLINK("https://twitter.com/petrogustavo","@petrogustavo")</f>
        <v>@petrogustavo</v>
      </c>
      <c r="C916" s="5" t="s">
        <v>16</v>
      </c>
      <c r="D916" s="5" t="s">
        <v>908</v>
      </c>
      <c r="E916" s="6" t="str">
        <f>HYPERLINK("https://twitter.com/petrogustavo/status/1211712807860916227","1211712807860916227")</f>
        <v>1211712807860916227</v>
      </c>
      <c r="F916" s="7" t="s">
        <v>17</v>
      </c>
      <c r="G916" s="7">
        <v>3593114</v>
      </c>
      <c r="H916" s="7">
        <v>2337</v>
      </c>
      <c r="I916" s="7">
        <v>4</v>
      </c>
      <c r="J916" s="7">
        <v>19</v>
      </c>
      <c r="K916" s="7" t="s">
        <v>18</v>
      </c>
      <c r="L916" s="8">
        <v>39987.315405092595</v>
      </c>
      <c r="M916" s="9" t="s">
        <v>19</v>
      </c>
      <c r="N916" s="9" t="s">
        <v>20</v>
      </c>
      <c r="O916" s="6" t="str">
        <f>HYPERLINK("https://pbs.twimg.com/profile_images/962471262747529216/Uo8lOkRJ_normal.jpg","View")</f>
        <v>View</v>
      </c>
      <c r="P916" s="7"/>
    </row>
    <row r="917" spans="1:16">
      <c r="A917" s="3">
        <v>43829.992731481485</v>
      </c>
      <c r="B917" s="4" t="str">
        <f>HYPERLINK("https://twitter.com/petrogustavo","@petrogustavo")</f>
        <v>@petrogustavo</v>
      </c>
      <c r="C917" s="5" t="s">
        <v>16</v>
      </c>
      <c r="D917" s="5" t="s">
        <v>909</v>
      </c>
      <c r="E917" s="6" t="str">
        <f>HYPERLINK("https://twitter.com/petrogustavo/status/1211713443058855938","1211713443058855938")</f>
        <v>1211713443058855938</v>
      </c>
      <c r="F917" s="7" t="s">
        <v>17</v>
      </c>
      <c r="G917" s="7">
        <v>3593137</v>
      </c>
      <c r="H917" s="7">
        <v>2337</v>
      </c>
      <c r="I917" s="7">
        <v>27</v>
      </c>
      <c r="J917" s="7">
        <v>97</v>
      </c>
      <c r="K917" s="7" t="s">
        <v>18</v>
      </c>
      <c r="L917" s="8">
        <v>39987.315405092595</v>
      </c>
      <c r="M917" s="9" t="s">
        <v>19</v>
      </c>
      <c r="N917" s="9" t="s">
        <v>20</v>
      </c>
      <c r="O917" s="6" t="str">
        <f>HYPERLINK("https://pbs.twimg.com/profile_images/962471262747529216/Uo8lOkRJ_normal.jpg","View")</f>
        <v>View</v>
      </c>
      <c r="P917" s="7"/>
    </row>
    <row r="918" spans="1:16">
      <c r="A918" s="3">
        <v>43829.994155092594</v>
      </c>
      <c r="B918" s="4" t="str">
        <f>HYPERLINK("https://twitter.com/petrogustavo","@petrogustavo")</f>
        <v>@petrogustavo</v>
      </c>
      <c r="C918" s="5" t="s">
        <v>16</v>
      </c>
      <c r="D918" s="5" t="s">
        <v>910</v>
      </c>
      <c r="E918" s="6" t="str">
        <f>HYPERLINK("https://twitter.com/petrogustavo/status/1211713960443088902","1211713960443088902")</f>
        <v>1211713960443088902</v>
      </c>
      <c r="F918" s="7" t="s">
        <v>17</v>
      </c>
      <c r="G918" s="7">
        <v>3593137</v>
      </c>
      <c r="H918" s="7">
        <v>2337</v>
      </c>
      <c r="I918" s="7">
        <v>27</v>
      </c>
      <c r="J918" s="7">
        <v>84</v>
      </c>
      <c r="K918" s="7" t="s">
        <v>18</v>
      </c>
      <c r="L918" s="8">
        <v>39987.315405092595</v>
      </c>
      <c r="M918" s="9" t="s">
        <v>19</v>
      </c>
      <c r="N918" s="9" t="s">
        <v>20</v>
      </c>
      <c r="O918" s="6" t="str">
        <f>HYPERLINK("https://pbs.twimg.com/profile_images/962471262747529216/Uo8lOkRJ_normal.jpg","View")</f>
        <v>View</v>
      </c>
      <c r="P918" s="7"/>
    </row>
    <row r="919" spans="1:16">
      <c r="A919" s="3">
        <v>43829.995972222227</v>
      </c>
      <c r="B919" s="4" t="str">
        <f>HYPERLINK("https://twitter.com/petrogustavo","@petrogustavo")</f>
        <v>@petrogustavo</v>
      </c>
      <c r="C919" s="5" t="s">
        <v>16</v>
      </c>
      <c r="D919" s="5" t="s">
        <v>911</v>
      </c>
      <c r="E919" s="6" t="str">
        <f>HYPERLINK("https://twitter.com/petrogustavo/status/1211714619280183297","1211714619280183297")</f>
        <v>1211714619280183297</v>
      </c>
      <c r="F919" s="7" t="s">
        <v>17</v>
      </c>
      <c r="G919" s="7">
        <v>3593137</v>
      </c>
      <c r="H919" s="7">
        <v>2337</v>
      </c>
      <c r="I919" s="7">
        <v>26</v>
      </c>
      <c r="J919" s="7">
        <v>90</v>
      </c>
      <c r="K919" s="7" t="s">
        <v>18</v>
      </c>
      <c r="L919" s="8">
        <v>39987.315405092595</v>
      </c>
      <c r="M919" s="9" t="s">
        <v>19</v>
      </c>
      <c r="N919" s="9" t="s">
        <v>20</v>
      </c>
      <c r="O919" s="6" t="str">
        <f>HYPERLINK("https://pbs.twimg.com/profile_images/962471262747529216/Uo8lOkRJ_normal.jpg","View")</f>
        <v>View</v>
      </c>
      <c r="P919" s="7"/>
    </row>
    <row r="920" spans="1:16">
      <c r="A920" s="3">
        <v>43829.998333333337</v>
      </c>
      <c r="B920" s="4" t="str">
        <f>HYPERLINK("https://twitter.com/petrogustavo","@petrogustavo")</f>
        <v>@petrogustavo</v>
      </c>
      <c r="C920" s="5" t="s">
        <v>16</v>
      </c>
      <c r="D920" s="5" t="s">
        <v>912</v>
      </c>
      <c r="E920" s="6" t="str">
        <f>HYPERLINK("https://twitter.com/petrogustavo/status/1211715474154762240","1211715474154762240")</f>
        <v>1211715474154762240</v>
      </c>
      <c r="F920" s="7" t="s">
        <v>17</v>
      </c>
      <c r="G920" s="7">
        <v>3593137</v>
      </c>
      <c r="H920" s="7">
        <v>2337</v>
      </c>
      <c r="I920" s="7">
        <v>71</v>
      </c>
      <c r="J920" s="7">
        <v>143</v>
      </c>
      <c r="K920" s="7" t="s">
        <v>18</v>
      </c>
      <c r="L920" s="8">
        <v>39987.315405092595</v>
      </c>
      <c r="M920" s="9" t="s">
        <v>19</v>
      </c>
      <c r="N920" s="9" t="s">
        <v>20</v>
      </c>
      <c r="O920" s="6" t="str">
        <f>HYPERLINK("https://pbs.twimg.com/profile_images/962471262747529216/Uo8lOkRJ_normal.jpg","View")</f>
        <v>View</v>
      </c>
      <c r="P920" s="7"/>
    </row>
    <row r="921" spans="1:16">
      <c r="A921" s="3">
        <v>43830.127881944441</v>
      </c>
      <c r="B921" s="4" t="str">
        <f>HYPERLINK("https://twitter.com/petrogustavo","@petrogustavo")</f>
        <v>@petrogustavo</v>
      </c>
      <c r="C921" s="5" t="s">
        <v>16</v>
      </c>
      <c r="D921" s="5" t="s">
        <v>913</v>
      </c>
      <c r="E921" s="6" t="str">
        <f>HYPERLINK("https://twitter.com/petrogustavo/status/1211762421607620610","1211762421607620610")</f>
        <v>1211762421607620610</v>
      </c>
      <c r="F921" s="7" t="s">
        <v>17</v>
      </c>
      <c r="G921" s="7">
        <v>3593270</v>
      </c>
      <c r="H921" s="7">
        <v>2337</v>
      </c>
      <c r="I921" s="7">
        <v>100</v>
      </c>
      <c r="J921" s="7">
        <v>186</v>
      </c>
      <c r="K921" s="7" t="s">
        <v>18</v>
      </c>
      <c r="L921" s="8">
        <v>39987.315405092595</v>
      </c>
      <c r="M921" s="9" t="s">
        <v>19</v>
      </c>
      <c r="N921" s="9" t="s">
        <v>20</v>
      </c>
      <c r="O921" s="6" t="str">
        <f>HYPERLINK("https://pbs.twimg.com/profile_images/962471262747529216/Uo8lOkRJ_normal.jpg","View")</f>
        <v>View</v>
      </c>
      <c r="P921" s="7"/>
    </row>
    <row r="922" spans="1:16">
      <c r="A922" s="3">
        <v>43830.128784722227</v>
      </c>
      <c r="B922" s="4" t="str">
        <f>HYPERLINK("https://twitter.com/petrogustavo","@petrogustavo")</f>
        <v>@petrogustavo</v>
      </c>
      <c r="C922" s="5" t="s">
        <v>16</v>
      </c>
      <c r="D922" s="5" t="s">
        <v>914</v>
      </c>
      <c r="E922" s="6" t="str">
        <f>HYPERLINK("https://twitter.com/petrogustavo/status/1211762747031113730","1211762747031113730")</f>
        <v>1211762747031113730</v>
      </c>
      <c r="F922" s="7" t="s">
        <v>17</v>
      </c>
      <c r="G922" s="7">
        <v>3593270</v>
      </c>
      <c r="H922" s="7">
        <v>2337</v>
      </c>
      <c r="I922" s="7">
        <v>53</v>
      </c>
      <c r="J922" s="7">
        <v>0</v>
      </c>
      <c r="K922" s="7" t="s">
        <v>18</v>
      </c>
      <c r="L922" s="8">
        <v>39987.315405092595</v>
      </c>
      <c r="M922" s="9" t="s">
        <v>19</v>
      </c>
      <c r="N922" s="9" t="s">
        <v>20</v>
      </c>
      <c r="O922" s="6" t="str">
        <f>HYPERLINK("https://pbs.twimg.com/profile_images/962471262747529216/Uo8lOkRJ_normal.jpg","View")</f>
        <v>View</v>
      </c>
      <c r="P922" s="7"/>
    </row>
    <row r="923" spans="1:16">
      <c r="A923" s="3">
        <v>43830.132847222223</v>
      </c>
      <c r="B923" s="4" t="str">
        <f>HYPERLINK("https://twitter.com/petrogustavo","@petrogustavo")</f>
        <v>@petrogustavo</v>
      </c>
      <c r="C923" s="5" t="s">
        <v>16</v>
      </c>
      <c r="D923" s="5" t="s">
        <v>915</v>
      </c>
      <c r="E923" s="6" t="str">
        <f>HYPERLINK("https://twitter.com/petrogustavo/status/1211764222327164928","1211764222327164928")</f>
        <v>1211764222327164928</v>
      </c>
      <c r="F923" s="7" t="s">
        <v>17</v>
      </c>
      <c r="G923" s="7">
        <v>3593270</v>
      </c>
      <c r="H923" s="7">
        <v>2337</v>
      </c>
      <c r="I923" s="7">
        <v>47</v>
      </c>
      <c r="J923" s="7">
        <v>92</v>
      </c>
      <c r="K923" s="7" t="s">
        <v>18</v>
      </c>
      <c r="L923" s="8">
        <v>39987.315405092595</v>
      </c>
      <c r="M923" s="9" t="s">
        <v>19</v>
      </c>
      <c r="N923" s="9" t="s">
        <v>20</v>
      </c>
      <c r="O923" s="6" t="str">
        <f>HYPERLINK("https://pbs.twimg.com/profile_images/962471262747529216/Uo8lOkRJ_normal.jpg","View")</f>
        <v>View</v>
      </c>
      <c r="P923" s="7"/>
    </row>
    <row r="924" spans="1:16">
      <c r="A924" s="3">
        <v>43830.141793981486</v>
      </c>
      <c r="B924" s="4" t="str">
        <f>HYPERLINK("https://twitter.com/petrogustavo","@petrogustavo")</f>
        <v>@petrogustavo</v>
      </c>
      <c r="C924" s="5" t="s">
        <v>16</v>
      </c>
      <c r="D924" s="5" t="s">
        <v>916</v>
      </c>
      <c r="E924" s="6" t="str">
        <f>HYPERLINK("https://twitter.com/petrogustavo/status/1211767462108237829","1211767462108237829")</f>
        <v>1211767462108237829</v>
      </c>
      <c r="F924" s="7" t="s">
        <v>17</v>
      </c>
      <c r="G924" s="7">
        <v>3593293</v>
      </c>
      <c r="H924" s="7">
        <v>2337</v>
      </c>
      <c r="I924" s="7">
        <v>104</v>
      </c>
      <c r="J924" s="7">
        <v>252</v>
      </c>
      <c r="K924" s="7" t="s">
        <v>18</v>
      </c>
      <c r="L924" s="8">
        <v>39987.315405092595</v>
      </c>
      <c r="M924" s="9" t="s">
        <v>19</v>
      </c>
      <c r="N924" s="9" t="s">
        <v>20</v>
      </c>
      <c r="O924" s="6" t="str">
        <f>HYPERLINK("https://pbs.twimg.com/profile_images/962471262747529216/Uo8lOkRJ_normal.jpg","View")</f>
        <v>View</v>
      </c>
      <c r="P924" s="7"/>
    </row>
    <row r="925" spans="1:16">
      <c r="A925" s="3">
        <v>43830.17087962963</v>
      </c>
      <c r="B925" s="4" t="str">
        <f>HYPERLINK("https://twitter.com/petrogustavo","@petrogustavo")</f>
        <v>@petrogustavo</v>
      </c>
      <c r="C925" s="5" t="s">
        <v>16</v>
      </c>
      <c r="D925" s="5" t="s">
        <v>872</v>
      </c>
      <c r="E925" s="6" t="str">
        <f>HYPERLINK("https://twitter.com/petrogustavo/status/1211778003526701056","1211778003526701056")</f>
        <v>1211778003526701056</v>
      </c>
      <c r="F925" s="7" t="s">
        <v>17</v>
      </c>
      <c r="G925" s="7">
        <v>3593301</v>
      </c>
      <c r="H925" s="7">
        <v>2337</v>
      </c>
      <c r="I925" s="7">
        <v>2233</v>
      </c>
      <c r="J925" s="7">
        <v>0</v>
      </c>
      <c r="K925" s="7" t="s">
        <v>18</v>
      </c>
      <c r="L925" s="8">
        <v>39987.315405092595</v>
      </c>
      <c r="M925" s="9" t="s">
        <v>19</v>
      </c>
      <c r="N925" s="9" t="s">
        <v>20</v>
      </c>
      <c r="O925" s="6" t="str">
        <f>HYPERLINK("https://pbs.twimg.com/profile_images/962471262747529216/Uo8lOkRJ_normal.jpg","View")</f>
        <v>View</v>
      </c>
      <c r="P925" s="7"/>
    </row>
    <row r="926" spans="1:16">
      <c r="A926" s="3">
        <v>43830.912002314813</v>
      </c>
      <c r="B926" s="4" t="str">
        <f>HYPERLINK("https://twitter.com/petrogustavo","@petrogustavo")</f>
        <v>@petrogustavo</v>
      </c>
      <c r="C926" s="5" t="s">
        <v>16</v>
      </c>
      <c r="D926" s="5" t="s">
        <v>917</v>
      </c>
      <c r="E926" s="6" t="str">
        <f>HYPERLINK("https://twitter.com/petrogustavo/status/1212046579395416064","1212046579395416064")</f>
        <v>1212046579395416064</v>
      </c>
      <c r="F926" s="7" t="s">
        <v>17</v>
      </c>
      <c r="G926" s="7">
        <v>3593825</v>
      </c>
      <c r="H926" s="7">
        <v>2338</v>
      </c>
      <c r="I926" s="7">
        <v>31</v>
      </c>
      <c r="J926" s="7">
        <v>0</v>
      </c>
      <c r="K926" s="7" t="s">
        <v>18</v>
      </c>
      <c r="L926" s="8">
        <v>39987.315405092595</v>
      </c>
      <c r="M926" s="9" t="s">
        <v>19</v>
      </c>
      <c r="N926" s="9" t="s">
        <v>20</v>
      </c>
      <c r="O926" s="6" t="str">
        <f>HYPERLINK("https://pbs.twimg.com/profile_images/962471262747529216/Uo8lOkRJ_normal.jpg","View")</f>
        <v>View</v>
      </c>
      <c r="P926" s="7"/>
    </row>
    <row r="927" spans="1:16">
      <c r="A927" s="3">
        <v>43831.947349537033</v>
      </c>
      <c r="B927" s="4" t="str">
        <f>HYPERLINK("https://twitter.com/petrogustavo","@petrogustavo")</f>
        <v>@petrogustavo</v>
      </c>
      <c r="C927" s="5" t="s">
        <v>16</v>
      </c>
      <c r="D927" s="5" t="s">
        <v>918</v>
      </c>
      <c r="E927" s="6" t="str">
        <f>HYPERLINK("https://twitter.com/petrogustavo/status/1212421774845063170","1212421774845063170")</f>
        <v>1212421774845063170</v>
      </c>
      <c r="F927" s="7" t="s">
        <v>32</v>
      </c>
      <c r="G927" s="7">
        <v>3594325</v>
      </c>
      <c r="H927" s="7">
        <v>2339</v>
      </c>
      <c r="I927" s="7">
        <v>32</v>
      </c>
      <c r="J927" s="7">
        <v>0</v>
      </c>
      <c r="K927" s="7" t="s">
        <v>18</v>
      </c>
      <c r="L927" s="8">
        <v>39987.315405092595</v>
      </c>
      <c r="M927" s="9" t="s">
        <v>19</v>
      </c>
      <c r="N927" s="9" t="s">
        <v>20</v>
      </c>
      <c r="O927" s="6" t="str">
        <f>HYPERLINK("https://pbs.twimg.com/profile_images/962471262747529216/Uo8lOkRJ_normal.jpg","View")</f>
        <v>View</v>
      </c>
      <c r="P927" s="7"/>
    </row>
    <row r="928" spans="1:16">
      <c r="A928" s="3">
        <v>43831.955208333333</v>
      </c>
      <c r="B928" s="4" t="str">
        <f>HYPERLINK("https://twitter.com/petrogustavo","@petrogustavo")</f>
        <v>@petrogustavo</v>
      </c>
      <c r="C928" s="5" t="s">
        <v>16</v>
      </c>
      <c r="D928" s="5" t="s">
        <v>919</v>
      </c>
      <c r="E928" s="6" t="str">
        <f>HYPERLINK("https://twitter.com/petrogustavo/status/1212424623423406080","1212424623423406080")</f>
        <v>1212424623423406080</v>
      </c>
      <c r="F928" s="7" t="s">
        <v>32</v>
      </c>
      <c r="G928" s="7">
        <v>3594324</v>
      </c>
      <c r="H928" s="7">
        <v>2339</v>
      </c>
      <c r="I928" s="7">
        <v>91</v>
      </c>
      <c r="J928" s="7">
        <v>308</v>
      </c>
      <c r="K928" s="7" t="s">
        <v>18</v>
      </c>
      <c r="L928" s="8">
        <v>39987.315405092595</v>
      </c>
      <c r="M928" s="9" t="s">
        <v>19</v>
      </c>
      <c r="N928" s="9" t="s">
        <v>20</v>
      </c>
      <c r="O928" s="6" t="str">
        <f>HYPERLINK("https://pbs.twimg.com/profile_images/962471262747529216/Uo8lOkRJ_normal.jpg","View")</f>
        <v>View</v>
      </c>
      <c r="P928" s="7"/>
    </row>
    <row r="929" spans="1:16">
      <c r="A929" s="3">
        <v>43832.008946759262</v>
      </c>
      <c r="B929" s="4" t="str">
        <f>HYPERLINK("https://twitter.com/petrogustavo","@petrogustavo")</f>
        <v>@petrogustavo</v>
      </c>
      <c r="C929" s="5" t="s">
        <v>16</v>
      </c>
      <c r="D929" s="5" t="s">
        <v>920</v>
      </c>
      <c r="E929" s="6" t="str">
        <f>HYPERLINK("https://twitter.com/petrogustavo/status/1212444095001567238","1212444095001567238")</f>
        <v>1212444095001567238</v>
      </c>
      <c r="F929" s="7" t="s">
        <v>17</v>
      </c>
      <c r="G929" s="7">
        <v>3594379</v>
      </c>
      <c r="H929" s="7">
        <v>2339</v>
      </c>
      <c r="I929" s="7">
        <v>38</v>
      </c>
      <c r="J929" s="7">
        <v>175</v>
      </c>
      <c r="K929" s="7" t="s">
        <v>18</v>
      </c>
      <c r="L929" s="8">
        <v>39987.315405092595</v>
      </c>
      <c r="M929" s="9" t="s">
        <v>19</v>
      </c>
      <c r="N929" s="9" t="s">
        <v>20</v>
      </c>
      <c r="O929" s="6" t="str">
        <f>HYPERLINK("https://pbs.twimg.com/profile_images/962471262747529216/Uo8lOkRJ_normal.jpg","View")</f>
        <v>View</v>
      </c>
      <c r="P929" s="7"/>
    </row>
    <row r="930" spans="1:16">
      <c r="A930" s="3">
        <v>43832.050844907411</v>
      </c>
      <c r="B930" s="4" t="str">
        <f>HYPERLINK("https://twitter.com/petrogustavo","@petrogustavo")</f>
        <v>@petrogustavo</v>
      </c>
      <c r="C930" s="5" t="s">
        <v>16</v>
      </c>
      <c r="D930" s="5" t="s">
        <v>921</v>
      </c>
      <c r="E930" s="6" t="str">
        <f>HYPERLINK("https://twitter.com/petrogustavo/status/1212459281074868224","1212459281074868224")</f>
        <v>1212459281074868224</v>
      </c>
      <c r="F930" s="7" t="s">
        <v>17</v>
      </c>
      <c r="G930" s="7">
        <v>3594410</v>
      </c>
      <c r="H930" s="7">
        <v>2339</v>
      </c>
      <c r="I930" s="7">
        <v>21</v>
      </c>
      <c r="J930" s="7">
        <v>67</v>
      </c>
      <c r="K930" s="7" t="s">
        <v>18</v>
      </c>
      <c r="L930" s="8">
        <v>39987.315405092595</v>
      </c>
      <c r="M930" s="9" t="s">
        <v>19</v>
      </c>
      <c r="N930" s="9" t="s">
        <v>20</v>
      </c>
      <c r="O930" s="6" t="str">
        <f>HYPERLINK("https://pbs.twimg.com/profile_images/962471262747529216/Uo8lOkRJ_normal.jpg","View")</f>
        <v>View</v>
      </c>
      <c r="P930" s="7"/>
    </row>
    <row r="931" spans="1:16">
      <c r="A931" s="3">
        <v>43832.059166666666</v>
      </c>
      <c r="B931" s="4" t="str">
        <f>HYPERLINK("https://twitter.com/petrogustavo","@petrogustavo")</f>
        <v>@petrogustavo</v>
      </c>
      <c r="C931" s="5" t="s">
        <v>16</v>
      </c>
      <c r="D931" s="5" t="s">
        <v>922</v>
      </c>
      <c r="E931" s="6" t="str">
        <f>HYPERLINK("https://twitter.com/petrogustavo/status/1212462296733237248","1212462296733237248")</f>
        <v>1212462296733237248</v>
      </c>
      <c r="F931" s="7" t="s">
        <v>17</v>
      </c>
      <c r="G931" s="7">
        <v>3594430</v>
      </c>
      <c r="H931" s="7">
        <v>2339</v>
      </c>
      <c r="I931" s="7">
        <v>96</v>
      </c>
      <c r="J931" s="7">
        <v>414</v>
      </c>
      <c r="K931" s="7" t="s">
        <v>18</v>
      </c>
      <c r="L931" s="8">
        <v>39987.315405092595</v>
      </c>
      <c r="M931" s="9" t="s">
        <v>19</v>
      </c>
      <c r="N931" s="9" t="s">
        <v>20</v>
      </c>
      <c r="O931" s="6" t="str">
        <f>HYPERLINK("https://pbs.twimg.com/profile_images/962471262747529216/Uo8lOkRJ_normal.jpg","View")</f>
        <v>View</v>
      </c>
      <c r="P931" s="7"/>
    </row>
    <row r="932" spans="1:16">
      <c r="A932" s="3">
        <v>43832.061805555553</v>
      </c>
      <c r="B932" s="4" t="str">
        <f>HYPERLINK("https://twitter.com/petrogustavo","@petrogustavo")</f>
        <v>@petrogustavo</v>
      </c>
      <c r="C932" s="5" t="s">
        <v>16</v>
      </c>
      <c r="D932" s="5" t="s">
        <v>923</v>
      </c>
      <c r="E932" s="6" t="str">
        <f>HYPERLINK("https://twitter.com/petrogustavo/status/1212463250824142851","1212463250824142851")</f>
        <v>1212463250824142851</v>
      </c>
      <c r="F932" s="7" t="s">
        <v>17</v>
      </c>
      <c r="G932" s="7">
        <v>3594430</v>
      </c>
      <c r="H932" s="7">
        <v>2339</v>
      </c>
      <c r="I932" s="7">
        <v>149</v>
      </c>
      <c r="J932" s="7">
        <v>0</v>
      </c>
      <c r="K932" s="7" t="s">
        <v>18</v>
      </c>
      <c r="L932" s="8">
        <v>39987.315405092595</v>
      </c>
      <c r="M932" s="9" t="s">
        <v>19</v>
      </c>
      <c r="N932" s="9" t="s">
        <v>20</v>
      </c>
      <c r="O932" s="6" t="str">
        <f>HYPERLINK("https://pbs.twimg.com/profile_images/962471262747529216/Uo8lOkRJ_normal.jpg","View")</f>
        <v>View</v>
      </c>
      <c r="P932" s="7"/>
    </row>
    <row r="933" spans="1:16">
      <c r="A933" s="3">
        <v>43832.062037037038</v>
      </c>
      <c r="B933" s="4" t="str">
        <f>HYPERLINK("https://twitter.com/petrogustavo","@petrogustavo")</f>
        <v>@petrogustavo</v>
      </c>
      <c r="C933" s="5" t="s">
        <v>16</v>
      </c>
      <c r="D933" s="5" t="s">
        <v>924</v>
      </c>
      <c r="E933" s="6" t="str">
        <f>HYPERLINK("https://twitter.com/petrogustavo/status/1212463336824152068","1212463336824152068")</f>
        <v>1212463336824152068</v>
      </c>
      <c r="F933" s="7" t="s">
        <v>17</v>
      </c>
      <c r="G933" s="7">
        <v>3594430</v>
      </c>
      <c r="H933" s="7">
        <v>2339</v>
      </c>
      <c r="I933" s="7">
        <v>1370</v>
      </c>
      <c r="J933" s="7">
        <v>0</v>
      </c>
      <c r="K933" s="7" t="s">
        <v>18</v>
      </c>
      <c r="L933" s="8">
        <v>39987.315405092595</v>
      </c>
      <c r="M933" s="9" t="s">
        <v>19</v>
      </c>
      <c r="N933" s="9" t="s">
        <v>20</v>
      </c>
      <c r="O933" s="6" t="str">
        <f>HYPERLINK("https://pbs.twimg.com/profile_images/962471262747529216/Uo8lOkRJ_normal.jpg","View")</f>
        <v>View</v>
      </c>
      <c r="P933" s="7"/>
    </row>
    <row r="934" spans="1:16">
      <c r="A934" s="3">
        <v>43832.082175925927</v>
      </c>
      <c r="B934" s="4" t="str">
        <f>HYPERLINK("https://twitter.com/petrogustavo","@petrogustavo")</f>
        <v>@petrogustavo</v>
      </c>
      <c r="C934" s="5" t="s">
        <v>16</v>
      </c>
      <c r="D934" s="5" t="s">
        <v>925</v>
      </c>
      <c r="E934" s="6" t="str">
        <f>HYPERLINK("https://twitter.com/petrogustavo/status/1212470632719495171","1212470632719495171")</f>
        <v>1212470632719495171</v>
      </c>
      <c r="F934" s="7" t="s">
        <v>17</v>
      </c>
      <c r="G934" s="7">
        <v>3594448</v>
      </c>
      <c r="H934" s="7">
        <v>2339</v>
      </c>
      <c r="I934" s="7">
        <v>54</v>
      </c>
      <c r="J934" s="7">
        <v>0</v>
      </c>
      <c r="K934" s="7" t="s">
        <v>18</v>
      </c>
      <c r="L934" s="8">
        <v>39987.315405092595</v>
      </c>
      <c r="M934" s="9" t="s">
        <v>19</v>
      </c>
      <c r="N934" s="9" t="s">
        <v>20</v>
      </c>
      <c r="O934" s="6" t="str">
        <f>HYPERLINK("https://pbs.twimg.com/profile_images/962471262747529216/Uo8lOkRJ_normal.jpg","View")</f>
        <v>View</v>
      </c>
      <c r="P934" s="7"/>
    </row>
    <row r="935" spans="1:16">
      <c r="A935" s="3">
        <v>43832.084872685184</v>
      </c>
      <c r="B935" s="4" t="str">
        <f>HYPERLINK("https://twitter.com/petrogustavo","@petrogustavo")</f>
        <v>@petrogustavo</v>
      </c>
      <c r="C935" s="5" t="s">
        <v>16</v>
      </c>
      <c r="D935" s="5" t="s">
        <v>926</v>
      </c>
      <c r="E935" s="6" t="str">
        <f>HYPERLINK("https://twitter.com/petrogustavo/status/1212471610948624387","1212471610948624387")</f>
        <v>1212471610948624387</v>
      </c>
      <c r="F935" s="7" t="s">
        <v>17</v>
      </c>
      <c r="G935" s="7">
        <v>3594448</v>
      </c>
      <c r="H935" s="7">
        <v>2339</v>
      </c>
      <c r="I935" s="7">
        <v>1404</v>
      </c>
      <c r="J935" s="7">
        <v>0</v>
      </c>
      <c r="K935" s="7" t="s">
        <v>18</v>
      </c>
      <c r="L935" s="8">
        <v>39987.315405092595</v>
      </c>
      <c r="M935" s="9" t="s">
        <v>19</v>
      </c>
      <c r="N935" s="9" t="s">
        <v>20</v>
      </c>
      <c r="O935" s="6" t="str">
        <f>HYPERLINK("https://pbs.twimg.com/profile_images/962471262747529216/Uo8lOkRJ_normal.jpg","View")</f>
        <v>View</v>
      </c>
      <c r="P935" s="7"/>
    </row>
    <row r="936" spans="1:16">
      <c r="A936" s="3">
        <v>43832.088437500002</v>
      </c>
      <c r="B936" s="4" t="str">
        <f>HYPERLINK("https://twitter.com/petrogustavo","@petrogustavo")</f>
        <v>@petrogustavo</v>
      </c>
      <c r="C936" s="5" t="s">
        <v>16</v>
      </c>
      <c r="D936" s="5" t="s">
        <v>927</v>
      </c>
      <c r="E936" s="6" t="str">
        <f>HYPERLINK("https://twitter.com/petrogustavo/status/1212472904497221633","1212472904497221633")</f>
        <v>1212472904497221633</v>
      </c>
      <c r="F936" s="7" t="s">
        <v>17</v>
      </c>
      <c r="G936" s="7">
        <v>3594448</v>
      </c>
      <c r="H936" s="7">
        <v>2339</v>
      </c>
      <c r="I936" s="7">
        <v>47</v>
      </c>
      <c r="J936" s="7">
        <v>110</v>
      </c>
      <c r="K936" s="7" t="s">
        <v>18</v>
      </c>
      <c r="L936" s="8">
        <v>39987.315405092595</v>
      </c>
      <c r="M936" s="9" t="s">
        <v>19</v>
      </c>
      <c r="N936" s="9" t="s">
        <v>20</v>
      </c>
      <c r="O936" s="6" t="str">
        <f>HYPERLINK("https://pbs.twimg.com/profile_images/962471262747529216/Uo8lOkRJ_normal.jpg","View")</f>
        <v>View</v>
      </c>
      <c r="P936" s="7"/>
    </row>
    <row r="937" spans="1:16">
      <c r="A937" s="3">
        <v>43832.091631944444</v>
      </c>
      <c r="B937" s="4" t="str">
        <f>HYPERLINK("https://twitter.com/petrogustavo","@petrogustavo")</f>
        <v>@petrogustavo</v>
      </c>
      <c r="C937" s="5" t="s">
        <v>16</v>
      </c>
      <c r="D937" s="5" t="s">
        <v>928</v>
      </c>
      <c r="E937" s="6" t="str">
        <f>HYPERLINK("https://twitter.com/petrogustavo/status/1212474061172957186","1212474061172957186")</f>
        <v>1212474061172957186</v>
      </c>
      <c r="F937" s="7" t="s">
        <v>17</v>
      </c>
      <c r="G937" s="7">
        <v>3594448</v>
      </c>
      <c r="H937" s="7">
        <v>2339</v>
      </c>
      <c r="I937" s="7">
        <v>39</v>
      </c>
      <c r="J937" s="7">
        <v>68</v>
      </c>
      <c r="K937" s="7" t="s">
        <v>18</v>
      </c>
      <c r="L937" s="8">
        <v>39987.315405092595</v>
      </c>
      <c r="M937" s="9" t="s">
        <v>19</v>
      </c>
      <c r="N937" s="9" t="s">
        <v>20</v>
      </c>
      <c r="O937" s="6" t="str">
        <f>HYPERLINK("https://pbs.twimg.com/profile_images/962471262747529216/Uo8lOkRJ_normal.jpg","View")</f>
        <v>View</v>
      </c>
      <c r="P937" s="7"/>
    </row>
    <row r="938" spans="1:16">
      <c r="A938" s="3">
        <v>43832.176134259258</v>
      </c>
      <c r="B938" s="4" t="str">
        <f>HYPERLINK("https://twitter.com/petrogustavo","@petrogustavo")</f>
        <v>@petrogustavo</v>
      </c>
      <c r="C938" s="5" t="s">
        <v>16</v>
      </c>
      <c r="D938" s="5" t="s">
        <v>929</v>
      </c>
      <c r="E938" s="6" t="str">
        <f>HYPERLINK("https://twitter.com/petrogustavo/status/1212504685292261378","1212504685292261378")</f>
        <v>1212504685292261378</v>
      </c>
      <c r="F938" s="7" t="s">
        <v>17</v>
      </c>
      <c r="G938" s="7">
        <v>3594496</v>
      </c>
      <c r="H938" s="7">
        <v>2338</v>
      </c>
      <c r="I938" s="7">
        <v>117</v>
      </c>
      <c r="J938" s="7">
        <v>0</v>
      </c>
      <c r="K938" s="7" t="s">
        <v>18</v>
      </c>
      <c r="L938" s="8">
        <v>39987.315405092595</v>
      </c>
      <c r="M938" s="9" t="s">
        <v>19</v>
      </c>
      <c r="N938" s="9" t="s">
        <v>20</v>
      </c>
      <c r="O938" s="6" t="str">
        <f>HYPERLINK("https://pbs.twimg.com/profile_images/962471262747529216/Uo8lOkRJ_normal.jpg","View")</f>
        <v>View</v>
      </c>
      <c r="P938" s="7"/>
    </row>
    <row r="939" spans="1:16">
      <c r="A939" s="3">
        <v>43832.182557870372</v>
      </c>
      <c r="B939" s="4" t="str">
        <f>HYPERLINK("https://twitter.com/petrogustavo","@petrogustavo")</f>
        <v>@petrogustavo</v>
      </c>
      <c r="C939" s="5" t="s">
        <v>16</v>
      </c>
      <c r="D939" s="5" t="s">
        <v>930</v>
      </c>
      <c r="E939" s="6" t="str">
        <f>HYPERLINK("https://twitter.com/petrogustavo/status/1212507010232672261","1212507010232672261")</f>
        <v>1212507010232672261</v>
      </c>
      <c r="F939" s="7" t="s">
        <v>17</v>
      </c>
      <c r="G939" s="7">
        <v>3594514</v>
      </c>
      <c r="H939" s="7">
        <v>2338</v>
      </c>
      <c r="I939" s="7">
        <v>487</v>
      </c>
      <c r="J939" s="7">
        <v>0</v>
      </c>
      <c r="K939" s="7" t="s">
        <v>18</v>
      </c>
      <c r="L939" s="8">
        <v>39987.315405092595</v>
      </c>
      <c r="M939" s="9" t="s">
        <v>19</v>
      </c>
      <c r="N939" s="9" t="s">
        <v>20</v>
      </c>
      <c r="O939" s="6" t="str">
        <f>HYPERLINK("https://pbs.twimg.com/profile_images/962471262747529216/Uo8lOkRJ_normal.jpg","View")</f>
        <v>View</v>
      </c>
      <c r="P939" s="7"/>
    </row>
    <row r="940" spans="1:16">
      <c r="A940" s="3">
        <v>43832.182824074072</v>
      </c>
      <c r="B940" s="4" t="str">
        <f>HYPERLINK("https://twitter.com/petrogustavo","@petrogustavo")</f>
        <v>@petrogustavo</v>
      </c>
      <c r="C940" s="5" t="s">
        <v>16</v>
      </c>
      <c r="D940" s="5" t="s">
        <v>931</v>
      </c>
      <c r="E940" s="6" t="str">
        <f>HYPERLINK("https://twitter.com/petrogustavo/status/1212507107377008641","1212507107377008641")</f>
        <v>1212507107377008641</v>
      </c>
      <c r="F940" s="7" t="s">
        <v>17</v>
      </c>
      <c r="G940" s="7">
        <v>3594514</v>
      </c>
      <c r="H940" s="7">
        <v>2338</v>
      </c>
      <c r="I940" s="7">
        <v>195</v>
      </c>
      <c r="J940" s="7">
        <v>0</v>
      </c>
      <c r="K940" s="7" t="s">
        <v>18</v>
      </c>
      <c r="L940" s="8">
        <v>39987.315405092595</v>
      </c>
      <c r="M940" s="9" t="s">
        <v>19</v>
      </c>
      <c r="N940" s="9" t="s">
        <v>20</v>
      </c>
      <c r="O940" s="6" t="str">
        <f>HYPERLINK("https://pbs.twimg.com/profile_images/962471262747529216/Uo8lOkRJ_normal.jpg","View")</f>
        <v>View</v>
      </c>
      <c r="P940" s="7"/>
    </row>
    <row r="941" spans="1:16">
      <c r="A941" s="3">
        <v>43832.197430555556</v>
      </c>
      <c r="B941" s="4" t="str">
        <f>HYPERLINK("https://twitter.com/petrogustavo","@petrogustavo")</f>
        <v>@petrogustavo</v>
      </c>
      <c r="C941" s="5" t="s">
        <v>16</v>
      </c>
      <c r="D941" s="5" t="s">
        <v>932</v>
      </c>
      <c r="E941" s="6" t="str">
        <f>HYPERLINK("https://twitter.com/petrogustavo/status/1212512401880428544","1212512401880428544")</f>
        <v>1212512401880428544</v>
      </c>
      <c r="F941" s="7" t="s">
        <v>17</v>
      </c>
      <c r="G941" s="7">
        <v>3594514</v>
      </c>
      <c r="H941" s="7">
        <v>2338</v>
      </c>
      <c r="I941" s="7">
        <v>27</v>
      </c>
      <c r="J941" s="7">
        <v>81</v>
      </c>
      <c r="K941" s="7" t="s">
        <v>18</v>
      </c>
      <c r="L941" s="8">
        <v>39987.315405092595</v>
      </c>
      <c r="M941" s="9" t="s">
        <v>19</v>
      </c>
      <c r="N941" s="9" t="s">
        <v>20</v>
      </c>
      <c r="O941" s="6" t="str">
        <f>HYPERLINK("https://pbs.twimg.com/profile_images/962471262747529216/Uo8lOkRJ_normal.jpg","View")</f>
        <v>View</v>
      </c>
      <c r="P941" s="7"/>
    </row>
    <row r="942" spans="1:16">
      <c r="A942" s="3">
        <v>43832.652303240742</v>
      </c>
      <c r="B942" s="4" t="str">
        <f>HYPERLINK("https://twitter.com/petrogustavo","@petrogustavo")</f>
        <v>@petrogustavo</v>
      </c>
      <c r="C942" s="5" t="s">
        <v>16</v>
      </c>
      <c r="D942" s="5" t="s">
        <v>933</v>
      </c>
      <c r="E942" s="6" t="str">
        <f>HYPERLINK("https://twitter.com/petrogustavo/status/1212677243069247488","1212677243069247488")</f>
        <v>1212677243069247488</v>
      </c>
      <c r="F942" s="7" t="s">
        <v>17</v>
      </c>
      <c r="G942" s="7">
        <v>3594759</v>
      </c>
      <c r="H942" s="7">
        <v>2338</v>
      </c>
      <c r="I942" s="7">
        <v>124</v>
      </c>
      <c r="J942" s="7">
        <v>0</v>
      </c>
      <c r="K942" s="7" t="s">
        <v>18</v>
      </c>
      <c r="L942" s="8">
        <v>39987.315405092595</v>
      </c>
      <c r="M942" s="9" t="s">
        <v>19</v>
      </c>
      <c r="N942" s="9" t="s">
        <v>20</v>
      </c>
      <c r="O942" s="6" t="str">
        <f>HYPERLINK("https://pbs.twimg.com/profile_images/962471262747529216/Uo8lOkRJ_normal.jpg","View")</f>
        <v>View</v>
      </c>
      <c r="P942" s="7"/>
    </row>
    <row r="943" spans="1:16">
      <c r="A943" s="3">
        <v>43832.66407407407</v>
      </c>
      <c r="B943" s="4" t="str">
        <f>HYPERLINK("https://twitter.com/petrogustavo","@petrogustavo")</f>
        <v>@petrogustavo</v>
      </c>
      <c r="C943" s="5" t="s">
        <v>16</v>
      </c>
      <c r="D943" s="5" t="s">
        <v>934</v>
      </c>
      <c r="E943" s="6" t="str">
        <f>HYPERLINK("https://twitter.com/petrogustavo/status/1212681508080771072","1212681508080771072")</f>
        <v>1212681508080771072</v>
      </c>
      <c r="F943" s="7" t="s">
        <v>17</v>
      </c>
      <c r="G943" s="7">
        <v>3594760</v>
      </c>
      <c r="H943" s="7">
        <v>2338</v>
      </c>
      <c r="I943" s="7">
        <v>34</v>
      </c>
      <c r="J943" s="7">
        <v>66</v>
      </c>
      <c r="K943" s="7" t="s">
        <v>18</v>
      </c>
      <c r="L943" s="8">
        <v>39987.315405092595</v>
      </c>
      <c r="M943" s="9" t="s">
        <v>19</v>
      </c>
      <c r="N943" s="9" t="s">
        <v>20</v>
      </c>
      <c r="O943" s="6" t="str">
        <f>HYPERLINK("https://pbs.twimg.com/profile_images/962471262747529216/Uo8lOkRJ_normal.jpg","View")</f>
        <v>View</v>
      </c>
      <c r="P943" s="7"/>
    </row>
    <row r="944" spans="1:16">
      <c r="A944" s="3">
        <v>43832.862337962964</v>
      </c>
      <c r="B944" s="4" t="str">
        <f>HYPERLINK("https://twitter.com/petrogustavo","@petrogustavo")</f>
        <v>@petrogustavo</v>
      </c>
      <c r="C944" s="5" t="s">
        <v>16</v>
      </c>
      <c r="D944" s="5" t="s">
        <v>935</v>
      </c>
      <c r="E944" s="6" t="str">
        <f>HYPERLINK("https://twitter.com/petrogustavo/status/1212753356176969735","1212753356176969735")</f>
        <v>1212753356176969735</v>
      </c>
      <c r="F944" s="7" t="s">
        <v>17</v>
      </c>
      <c r="G944" s="7">
        <v>3594909</v>
      </c>
      <c r="H944" s="7">
        <v>2338</v>
      </c>
      <c r="I944" s="7">
        <v>85</v>
      </c>
      <c r="J944" s="7">
        <v>195</v>
      </c>
      <c r="K944" s="7" t="s">
        <v>18</v>
      </c>
      <c r="L944" s="8">
        <v>39987.315405092595</v>
      </c>
      <c r="M944" s="9" t="s">
        <v>19</v>
      </c>
      <c r="N944" s="9" t="s">
        <v>20</v>
      </c>
      <c r="O944" s="6" t="str">
        <f>HYPERLINK("https://pbs.twimg.com/profile_images/962471262747529216/Uo8lOkRJ_normal.jpg","View")</f>
        <v>View</v>
      </c>
      <c r="P944" s="7"/>
    </row>
    <row r="945" spans="1:16">
      <c r="A945" s="3">
        <v>43832.867615740739</v>
      </c>
      <c r="B945" s="4" t="str">
        <f>HYPERLINK("https://twitter.com/petrogustavo","@petrogustavo")</f>
        <v>@petrogustavo</v>
      </c>
      <c r="C945" s="5" t="s">
        <v>16</v>
      </c>
      <c r="D945" s="5" t="s">
        <v>936</v>
      </c>
      <c r="E945" s="6" t="str">
        <f>HYPERLINK("https://twitter.com/petrogustavo/status/1212755268020449281","1212755268020449281")</f>
        <v>1212755268020449281</v>
      </c>
      <c r="F945" s="7" t="s">
        <v>17</v>
      </c>
      <c r="G945" s="7">
        <v>3594918</v>
      </c>
      <c r="H945" s="7">
        <v>2338</v>
      </c>
      <c r="I945" s="7">
        <v>208</v>
      </c>
      <c r="J945" s="7">
        <v>491</v>
      </c>
      <c r="K945" s="7" t="s">
        <v>18</v>
      </c>
      <c r="L945" s="8">
        <v>39987.315405092595</v>
      </c>
      <c r="M945" s="9" t="s">
        <v>19</v>
      </c>
      <c r="N945" s="9" t="s">
        <v>20</v>
      </c>
      <c r="O945" s="6" t="str">
        <f>HYPERLINK("https://pbs.twimg.com/profile_images/962471262747529216/Uo8lOkRJ_normal.jpg","View")</f>
        <v>View</v>
      </c>
      <c r="P945" s="7"/>
    </row>
    <row r="946" spans="1:16">
      <c r="A946" s="3">
        <v>43832.930856481486</v>
      </c>
      <c r="B946" s="4" t="str">
        <f>HYPERLINK("https://twitter.com/petrogustavo","@petrogustavo")</f>
        <v>@petrogustavo</v>
      </c>
      <c r="C946" s="5" t="s">
        <v>16</v>
      </c>
      <c r="D946" s="5" t="s">
        <v>937</v>
      </c>
      <c r="E946" s="6" t="str">
        <f>HYPERLINK("https://twitter.com/petrogustavo/status/1212778186305687552","1212778186305687552")</f>
        <v>1212778186305687552</v>
      </c>
      <c r="F946" s="7" t="s">
        <v>17</v>
      </c>
      <c r="G946" s="7">
        <v>3595021</v>
      </c>
      <c r="H946" s="7">
        <v>2338</v>
      </c>
      <c r="I946" s="7">
        <v>80</v>
      </c>
      <c r="J946" s="7">
        <v>358</v>
      </c>
      <c r="K946" s="7" t="s">
        <v>18</v>
      </c>
      <c r="L946" s="8">
        <v>39987.315405092595</v>
      </c>
      <c r="M946" s="9" t="s">
        <v>19</v>
      </c>
      <c r="N946" s="9" t="s">
        <v>20</v>
      </c>
      <c r="O946" s="6" t="str">
        <f>HYPERLINK("https://pbs.twimg.com/profile_images/962471262747529216/Uo8lOkRJ_normal.jpg","View")</f>
        <v>View</v>
      </c>
      <c r="P946" s="7"/>
    </row>
    <row r="947" spans="1:16">
      <c r="A947" s="3">
        <v>43832.935347222221</v>
      </c>
      <c r="B947" s="4" t="str">
        <f>HYPERLINK("https://twitter.com/petrogustavo","@petrogustavo")</f>
        <v>@petrogustavo</v>
      </c>
      <c r="C947" s="5" t="s">
        <v>16</v>
      </c>
      <c r="D947" s="5" t="s">
        <v>938</v>
      </c>
      <c r="E947" s="6" t="str">
        <f>HYPERLINK("https://twitter.com/petrogustavo/status/1212779813120991233","1212779813120991233")</f>
        <v>1212779813120991233</v>
      </c>
      <c r="F947" s="7" t="s">
        <v>17</v>
      </c>
      <c r="G947" s="7">
        <v>3595021</v>
      </c>
      <c r="H947" s="7">
        <v>2338</v>
      </c>
      <c r="I947" s="7">
        <v>148</v>
      </c>
      <c r="J947" s="7">
        <v>361</v>
      </c>
      <c r="K947" s="7" t="s">
        <v>18</v>
      </c>
      <c r="L947" s="8">
        <v>39987.315405092595</v>
      </c>
      <c r="M947" s="9" t="s">
        <v>19</v>
      </c>
      <c r="N947" s="9" t="s">
        <v>20</v>
      </c>
      <c r="O947" s="6" t="str">
        <f>HYPERLINK("https://pbs.twimg.com/profile_images/962471262747529216/Uo8lOkRJ_normal.jpg","View")</f>
        <v>View</v>
      </c>
      <c r="P947" s="7"/>
    </row>
    <row r="948" spans="1:16">
      <c r="A948" s="3">
        <v>43832.938101851847</v>
      </c>
      <c r="B948" s="4" t="str">
        <f>HYPERLINK("https://twitter.com/petrogustavo","@petrogustavo")</f>
        <v>@petrogustavo</v>
      </c>
      <c r="C948" s="5" t="s">
        <v>16</v>
      </c>
      <c r="D948" s="5" t="s">
        <v>939</v>
      </c>
      <c r="E948" s="6" t="str">
        <f>HYPERLINK("https://twitter.com/petrogustavo/status/1212780813051408384","1212780813051408384")</f>
        <v>1212780813051408384</v>
      </c>
      <c r="F948" s="7" t="s">
        <v>17</v>
      </c>
      <c r="G948" s="7">
        <v>3595021</v>
      </c>
      <c r="H948" s="7">
        <v>2338</v>
      </c>
      <c r="I948" s="7">
        <v>110</v>
      </c>
      <c r="J948" s="7">
        <v>0</v>
      </c>
      <c r="K948" s="7" t="s">
        <v>18</v>
      </c>
      <c r="L948" s="8">
        <v>39987.315405092595</v>
      </c>
      <c r="M948" s="9" t="s">
        <v>19</v>
      </c>
      <c r="N948" s="9" t="s">
        <v>20</v>
      </c>
      <c r="O948" s="6" t="str">
        <f>HYPERLINK("https://pbs.twimg.com/profile_images/962471262747529216/Uo8lOkRJ_normal.jpg","View")</f>
        <v>View</v>
      </c>
      <c r="P948" s="7"/>
    </row>
    <row r="949" spans="1:16">
      <c r="A949" s="3">
        <v>43832.975358796291</v>
      </c>
      <c r="B949" s="4" t="str">
        <f>HYPERLINK("https://twitter.com/petrogustavo","@petrogustavo")</f>
        <v>@petrogustavo</v>
      </c>
      <c r="C949" s="5" t="s">
        <v>16</v>
      </c>
      <c r="D949" s="5" t="s">
        <v>940</v>
      </c>
      <c r="E949" s="6" t="str">
        <f>HYPERLINK("https://twitter.com/petrogustavo/status/1212794314725740546","1212794314725740546")</f>
        <v>1212794314725740546</v>
      </c>
      <c r="F949" s="7" t="s">
        <v>17</v>
      </c>
      <c r="G949" s="7">
        <v>3595052</v>
      </c>
      <c r="H949" s="7">
        <v>2338</v>
      </c>
      <c r="I949" s="7">
        <v>169</v>
      </c>
      <c r="J949" s="7">
        <v>0</v>
      </c>
      <c r="K949" s="7" t="s">
        <v>18</v>
      </c>
      <c r="L949" s="8">
        <v>39987.315405092595</v>
      </c>
      <c r="M949" s="9" t="s">
        <v>19</v>
      </c>
      <c r="N949" s="9" t="s">
        <v>20</v>
      </c>
      <c r="O949" s="6" t="str">
        <f>HYPERLINK("https://pbs.twimg.com/profile_images/962471262747529216/Uo8lOkRJ_normal.jpg","View")</f>
        <v>View</v>
      </c>
      <c r="P949" s="7"/>
    </row>
    <row r="950" spans="1:16">
      <c r="A950" s="3">
        <v>43832.977488425924</v>
      </c>
      <c r="B950" s="4" t="str">
        <f>HYPERLINK("https://twitter.com/petrogustavo","@petrogustavo")</f>
        <v>@petrogustavo</v>
      </c>
      <c r="C950" s="5" t="s">
        <v>16</v>
      </c>
      <c r="D950" s="5" t="s">
        <v>941</v>
      </c>
      <c r="E950" s="6" t="str">
        <f>HYPERLINK("https://twitter.com/petrogustavo/status/1212795084997103624","1212795084997103624")</f>
        <v>1212795084997103624</v>
      </c>
      <c r="F950" s="7" t="s">
        <v>17</v>
      </c>
      <c r="G950" s="7">
        <v>3595052</v>
      </c>
      <c r="H950" s="7">
        <v>2338</v>
      </c>
      <c r="I950" s="7">
        <v>112</v>
      </c>
      <c r="J950" s="7">
        <v>0</v>
      </c>
      <c r="K950" s="7" t="s">
        <v>18</v>
      </c>
      <c r="L950" s="8">
        <v>39987.315405092595</v>
      </c>
      <c r="M950" s="9" t="s">
        <v>19</v>
      </c>
      <c r="N950" s="9" t="s">
        <v>20</v>
      </c>
      <c r="O950" s="6" t="str">
        <f>HYPERLINK("https://pbs.twimg.com/profile_images/962471262747529216/Uo8lOkRJ_normal.jpg","View")</f>
        <v>View</v>
      </c>
      <c r="P950" s="7"/>
    </row>
    <row r="951" spans="1:16">
      <c r="A951" s="3">
        <v>43832.980347222227</v>
      </c>
      <c r="B951" s="4" t="str">
        <f>HYPERLINK("https://twitter.com/petrogustavo","@petrogustavo")</f>
        <v>@petrogustavo</v>
      </c>
      <c r="C951" s="5" t="s">
        <v>16</v>
      </c>
      <c r="D951" s="5" t="s">
        <v>942</v>
      </c>
      <c r="E951" s="6" t="str">
        <f>HYPERLINK("https://twitter.com/petrogustavo/status/1212796118708473857","1212796118708473857")</f>
        <v>1212796118708473857</v>
      </c>
      <c r="F951" s="7" t="s">
        <v>17</v>
      </c>
      <c r="G951" s="7">
        <v>3595052</v>
      </c>
      <c r="H951" s="7">
        <v>2338</v>
      </c>
      <c r="I951" s="7">
        <v>34</v>
      </c>
      <c r="J951" s="7">
        <v>99</v>
      </c>
      <c r="K951" s="7" t="s">
        <v>18</v>
      </c>
      <c r="L951" s="8">
        <v>39987.315405092595</v>
      </c>
      <c r="M951" s="9" t="s">
        <v>19</v>
      </c>
      <c r="N951" s="9" t="s">
        <v>20</v>
      </c>
      <c r="O951" s="6" t="str">
        <f>HYPERLINK("https://pbs.twimg.com/profile_images/962471262747529216/Uo8lOkRJ_normal.jpg","View")</f>
        <v>View</v>
      </c>
      <c r="P951" s="7"/>
    </row>
    <row r="952" spans="1:16">
      <c r="A952" s="3">
        <v>43832.982905092591</v>
      </c>
      <c r="B952" s="4" t="str">
        <f>HYPERLINK("https://twitter.com/petrogustavo","@petrogustavo")</f>
        <v>@petrogustavo</v>
      </c>
      <c r="C952" s="5" t="s">
        <v>16</v>
      </c>
      <c r="D952" s="5" t="s">
        <v>943</v>
      </c>
      <c r="E952" s="6" t="str">
        <f>HYPERLINK("https://twitter.com/petrogustavo/status/1212797046870204416","1212797046870204416")</f>
        <v>1212797046870204416</v>
      </c>
      <c r="F952" s="7" t="s">
        <v>17</v>
      </c>
      <c r="G952" s="7">
        <v>3595052</v>
      </c>
      <c r="H952" s="7">
        <v>2338</v>
      </c>
      <c r="I952" s="7">
        <v>138</v>
      </c>
      <c r="J952" s="7">
        <v>0</v>
      </c>
      <c r="K952" s="7" t="s">
        <v>18</v>
      </c>
      <c r="L952" s="8">
        <v>39987.315405092595</v>
      </c>
      <c r="M952" s="9" t="s">
        <v>19</v>
      </c>
      <c r="N952" s="9" t="s">
        <v>20</v>
      </c>
      <c r="O952" s="6" t="str">
        <f>HYPERLINK("https://pbs.twimg.com/profile_images/962471262747529216/Uo8lOkRJ_normal.jpg","View")</f>
        <v>View</v>
      </c>
      <c r="P952" s="7"/>
    </row>
    <row r="953" spans="1:16">
      <c r="A953" s="3">
        <v>43833.040879629625</v>
      </c>
      <c r="B953" s="4" t="str">
        <f>HYPERLINK("https://twitter.com/petrogustavo","@petrogustavo")</f>
        <v>@petrogustavo</v>
      </c>
      <c r="C953" s="5" t="s">
        <v>16</v>
      </c>
      <c r="D953" s="5" t="s">
        <v>944</v>
      </c>
      <c r="E953" s="6" t="str">
        <f>HYPERLINK("https://twitter.com/petrogustavo/status/1212818057053265920","1212818057053265920")</f>
        <v>1212818057053265920</v>
      </c>
      <c r="F953" s="7" t="s">
        <v>32</v>
      </c>
      <c r="G953" s="7">
        <v>3595132</v>
      </c>
      <c r="H953" s="7">
        <v>2338</v>
      </c>
      <c r="I953" s="7">
        <v>88</v>
      </c>
      <c r="J953" s="7">
        <v>150</v>
      </c>
      <c r="K953" s="7" t="s">
        <v>18</v>
      </c>
      <c r="L953" s="8">
        <v>39987.315405092595</v>
      </c>
      <c r="M953" s="9" t="s">
        <v>19</v>
      </c>
      <c r="N953" s="9" t="s">
        <v>20</v>
      </c>
      <c r="O953" s="6" t="str">
        <f>HYPERLINK("https://pbs.twimg.com/profile_images/962471262747529216/Uo8lOkRJ_normal.jpg","View")</f>
        <v>View</v>
      </c>
      <c r="P953" s="7"/>
    </row>
    <row r="954" spans="1:16">
      <c r="A954" s="3">
        <v>43833.044953703706</v>
      </c>
      <c r="B954" s="4" t="str">
        <f>HYPERLINK("https://twitter.com/petrogustavo","@petrogustavo")</f>
        <v>@petrogustavo</v>
      </c>
      <c r="C954" s="5" t="s">
        <v>16</v>
      </c>
      <c r="D954" s="5" t="s">
        <v>945</v>
      </c>
      <c r="E954" s="6" t="str">
        <f>HYPERLINK("https://twitter.com/petrogustavo/status/1212819535356665858","1212819535356665858")</f>
        <v>1212819535356665858</v>
      </c>
      <c r="F954" s="7" t="s">
        <v>32</v>
      </c>
      <c r="G954" s="7">
        <v>3595132</v>
      </c>
      <c r="H954" s="7">
        <v>2338</v>
      </c>
      <c r="I954" s="7">
        <v>1059</v>
      </c>
      <c r="J954" s="7">
        <v>0</v>
      </c>
      <c r="K954" s="7" t="s">
        <v>18</v>
      </c>
      <c r="L954" s="8">
        <v>39987.315405092595</v>
      </c>
      <c r="M954" s="9" t="s">
        <v>19</v>
      </c>
      <c r="N954" s="9" t="s">
        <v>20</v>
      </c>
      <c r="O954" s="6" t="str">
        <f>HYPERLINK("https://pbs.twimg.com/profile_images/962471262747529216/Uo8lOkRJ_normal.jpg","View")</f>
        <v>View</v>
      </c>
      <c r="P954" s="7"/>
    </row>
    <row r="955" spans="1:16">
      <c r="A955" s="3">
        <v>43833.199444444443</v>
      </c>
      <c r="B955" s="4" t="str">
        <f>HYPERLINK("https://twitter.com/petrogustavo","@petrogustavo")</f>
        <v>@petrogustavo</v>
      </c>
      <c r="C955" s="5" t="s">
        <v>16</v>
      </c>
      <c r="D955" s="5" t="s">
        <v>946</v>
      </c>
      <c r="E955" s="6" t="str">
        <f>HYPERLINK("https://twitter.com/petrogustavo/status/1212875519559163904","1212875519559163904")</f>
        <v>1212875519559163904</v>
      </c>
      <c r="F955" s="7" t="s">
        <v>17</v>
      </c>
      <c r="G955" s="7">
        <v>3595348</v>
      </c>
      <c r="H955" s="7">
        <v>2338</v>
      </c>
      <c r="I955" s="7">
        <v>873</v>
      </c>
      <c r="J955" s="7">
        <v>0</v>
      </c>
      <c r="K955" s="7" t="s">
        <v>18</v>
      </c>
      <c r="L955" s="8">
        <v>39987.315405092595</v>
      </c>
      <c r="M955" s="9" t="s">
        <v>19</v>
      </c>
      <c r="N955" s="9" t="s">
        <v>20</v>
      </c>
      <c r="O955" s="6" t="str">
        <f>HYPERLINK("https://pbs.twimg.com/profile_images/962471262747529216/Uo8lOkRJ_normal.jpg","View")</f>
        <v>View</v>
      </c>
      <c r="P955" s="7"/>
    </row>
    <row r="956" spans="1:16">
      <c r="A956" s="3">
        <v>43833.601724537039</v>
      </c>
      <c r="B956" s="4" t="str">
        <f>HYPERLINK("https://twitter.com/petrogustavo","@petrogustavo")</f>
        <v>@petrogustavo</v>
      </c>
      <c r="C956" s="5" t="s">
        <v>16</v>
      </c>
      <c r="D956" s="5" t="s">
        <v>947</v>
      </c>
      <c r="E956" s="6" t="str">
        <f>HYPERLINK("https://twitter.com/petrogustavo/status/1213021298764455936","1213021298764455936")</f>
        <v>1213021298764455936</v>
      </c>
      <c r="F956" s="7" t="s">
        <v>17</v>
      </c>
      <c r="G956" s="7">
        <v>3595739</v>
      </c>
      <c r="H956" s="7">
        <v>2338</v>
      </c>
      <c r="I956" s="7">
        <v>50</v>
      </c>
      <c r="J956" s="7">
        <v>93</v>
      </c>
      <c r="K956" s="7" t="s">
        <v>18</v>
      </c>
      <c r="L956" s="8">
        <v>39987.315405092595</v>
      </c>
      <c r="M956" s="9" t="s">
        <v>19</v>
      </c>
      <c r="N956" s="9" t="s">
        <v>20</v>
      </c>
      <c r="O956" s="6" t="str">
        <f>HYPERLINK("https://pbs.twimg.com/profile_images/962471262747529216/Uo8lOkRJ_normal.jpg","View")</f>
        <v>View</v>
      </c>
      <c r="P956" s="7"/>
    </row>
    <row r="957" spans="1:16">
      <c r="A957" s="3">
        <v>43833.601724537039</v>
      </c>
      <c r="B957" s="4" t="str">
        <f>HYPERLINK("https://twitter.com/petrogustavo","@petrogustavo")</f>
        <v>@petrogustavo</v>
      </c>
      <c r="C957" s="5" t="s">
        <v>16</v>
      </c>
      <c r="D957" s="5" t="s">
        <v>948</v>
      </c>
      <c r="E957" s="6" t="str">
        <f>HYPERLINK("https://twitter.com/petrogustavo/status/1213021300861685760","1213021300861685760")</f>
        <v>1213021300861685760</v>
      </c>
      <c r="F957" s="7" t="s">
        <v>17</v>
      </c>
      <c r="G957" s="7">
        <v>3595739</v>
      </c>
      <c r="H957" s="7">
        <v>2338</v>
      </c>
      <c r="I957" s="7">
        <v>14</v>
      </c>
      <c r="J957" s="7">
        <v>36</v>
      </c>
      <c r="K957" s="7" t="s">
        <v>18</v>
      </c>
      <c r="L957" s="8">
        <v>39987.315405092595</v>
      </c>
      <c r="M957" s="9" t="s">
        <v>19</v>
      </c>
      <c r="N957" s="9" t="s">
        <v>20</v>
      </c>
      <c r="O957" s="6" t="str">
        <f>HYPERLINK("https://pbs.twimg.com/profile_images/962471262747529216/Uo8lOkRJ_normal.jpg","View")</f>
        <v>View</v>
      </c>
      <c r="P957" s="7"/>
    </row>
    <row r="958" spans="1:16">
      <c r="A958" s="3">
        <v>43833.601736111115</v>
      </c>
      <c r="B958" s="4" t="str">
        <f>HYPERLINK("https://twitter.com/petrogustavo","@petrogustavo")</f>
        <v>@petrogustavo</v>
      </c>
      <c r="C958" s="5" t="s">
        <v>16</v>
      </c>
      <c r="D958" s="5" t="s">
        <v>949</v>
      </c>
      <c r="E958" s="6" t="str">
        <f>HYPERLINK("https://twitter.com/petrogustavo/status/1213021302786854912","1213021302786854912")</f>
        <v>1213021302786854912</v>
      </c>
      <c r="F958" s="7" t="s">
        <v>17</v>
      </c>
      <c r="G958" s="7">
        <v>3595739</v>
      </c>
      <c r="H958" s="7">
        <v>2338</v>
      </c>
      <c r="I958" s="7">
        <v>18</v>
      </c>
      <c r="J958" s="7">
        <v>37</v>
      </c>
      <c r="K958" s="7" t="s">
        <v>18</v>
      </c>
      <c r="L958" s="8">
        <v>39987.315405092595</v>
      </c>
      <c r="M958" s="9" t="s">
        <v>19</v>
      </c>
      <c r="N958" s="9" t="s">
        <v>20</v>
      </c>
      <c r="O958" s="6" t="str">
        <f>HYPERLINK("https://pbs.twimg.com/profile_images/962471262747529216/Uo8lOkRJ_normal.jpg","View")</f>
        <v>View</v>
      </c>
      <c r="P958" s="7"/>
    </row>
    <row r="959" spans="1:16">
      <c r="A959" s="3">
        <v>43833.607523148152</v>
      </c>
      <c r="B959" s="4" t="str">
        <f>HYPERLINK("https://twitter.com/petrogustavo","@petrogustavo")</f>
        <v>@petrogustavo</v>
      </c>
      <c r="C959" s="5" t="s">
        <v>16</v>
      </c>
      <c r="D959" s="5" t="s">
        <v>950</v>
      </c>
      <c r="E959" s="6" t="str">
        <f>HYPERLINK("https://twitter.com/petrogustavo/status/1213023400760881159","1213023400760881159")</f>
        <v>1213023400760881159</v>
      </c>
      <c r="F959" s="7" t="s">
        <v>17</v>
      </c>
      <c r="G959" s="7">
        <v>3595739</v>
      </c>
      <c r="H959" s="7">
        <v>2338</v>
      </c>
      <c r="I959" s="7">
        <v>23</v>
      </c>
      <c r="J959" s="7">
        <v>34</v>
      </c>
      <c r="K959" s="7" t="s">
        <v>18</v>
      </c>
      <c r="L959" s="8">
        <v>39987.315405092595</v>
      </c>
      <c r="M959" s="9" t="s">
        <v>19</v>
      </c>
      <c r="N959" s="9" t="s">
        <v>20</v>
      </c>
      <c r="O959" s="6" t="str">
        <f>HYPERLINK("https://pbs.twimg.com/profile_images/962471262747529216/Uo8lOkRJ_normal.jpg","View")</f>
        <v>View</v>
      </c>
      <c r="P959" s="7"/>
    </row>
    <row r="960" spans="1:16">
      <c r="A960" s="3">
        <v>43833.615266203706</v>
      </c>
      <c r="B960" s="4" t="str">
        <f>HYPERLINK("https://twitter.com/petrogustavo","@petrogustavo")</f>
        <v>@petrogustavo</v>
      </c>
      <c r="C960" s="5" t="s">
        <v>16</v>
      </c>
      <c r="D960" s="5" t="s">
        <v>951</v>
      </c>
      <c r="E960" s="6" t="str">
        <f>HYPERLINK("https://twitter.com/petrogustavo/status/1213026206829944832","1213026206829944832")</f>
        <v>1213026206829944832</v>
      </c>
      <c r="F960" s="7" t="s">
        <v>17</v>
      </c>
      <c r="G960" s="7">
        <v>3595739</v>
      </c>
      <c r="H960" s="7">
        <v>2338</v>
      </c>
      <c r="I960" s="7">
        <v>2</v>
      </c>
      <c r="J960" s="7">
        <v>6</v>
      </c>
      <c r="K960" s="7" t="s">
        <v>18</v>
      </c>
      <c r="L960" s="8">
        <v>39987.315405092595</v>
      </c>
      <c r="M960" s="9" t="s">
        <v>19</v>
      </c>
      <c r="N960" s="9" t="s">
        <v>20</v>
      </c>
      <c r="O960" s="6" t="str">
        <f>HYPERLINK("https://pbs.twimg.com/profile_images/962471262747529216/Uo8lOkRJ_normal.jpg","View")</f>
        <v>View</v>
      </c>
      <c r="P960" s="7"/>
    </row>
    <row r="961" spans="1:16">
      <c r="A961" s="3">
        <v>43833.618900462963</v>
      </c>
      <c r="B961" s="4" t="str">
        <f>HYPERLINK("https://twitter.com/petrogustavo","@petrogustavo")</f>
        <v>@petrogustavo</v>
      </c>
      <c r="C961" s="5" t="s">
        <v>16</v>
      </c>
      <c r="D961" s="5" t="s">
        <v>952</v>
      </c>
      <c r="E961" s="6" t="str">
        <f>HYPERLINK("https://twitter.com/petrogustavo/status/1213027523409457152","1213027523409457152")</f>
        <v>1213027523409457152</v>
      </c>
      <c r="F961" s="7" t="s">
        <v>17</v>
      </c>
      <c r="G961" s="7">
        <v>3595736</v>
      </c>
      <c r="H961" s="7">
        <v>2338</v>
      </c>
      <c r="I961" s="7">
        <v>54</v>
      </c>
      <c r="J961" s="7">
        <v>154</v>
      </c>
      <c r="K961" s="7" t="s">
        <v>18</v>
      </c>
      <c r="L961" s="8">
        <v>39987.315405092595</v>
      </c>
      <c r="M961" s="9" t="s">
        <v>19</v>
      </c>
      <c r="N961" s="9" t="s">
        <v>20</v>
      </c>
      <c r="O961" s="6" t="str">
        <f>HYPERLINK("https://pbs.twimg.com/profile_images/962471262747529216/Uo8lOkRJ_normal.jpg","View")</f>
        <v>View</v>
      </c>
      <c r="P961" s="7"/>
    </row>
    <row r="962" spans="1:16">
      <c r="A962" s="3">
        <v>43833.621493055558</v>
      </c>
      <c r="B962" s="4" t="str">
        <f>HYPERLINK("https://twitter.com/petrogustavo","@petrogustavo")</f>
        <v>@petrogustavo</v>
      </c>
      <c r="C962" s="5" t="s">
        <v>16</v>
      </c>
      <c r="D962" s="5" t="s">
        <v>953</v>
      </c>
      <c r="E962" s="6" t="str">
        <f>HYPERLINK("https://twitter.com/petrogustavo/status/1213028462891610113","1213028462891610113")</f>
        <v>1213028462891610113</v>
      </c>
      <c r="F962" s="7" t="s">
        <v>17</v>
      </c>
      <c r="G962" s="7">
        <v>3595736</v>
      </c>
      <c r="H962" s="7">
        <v>2338</v>
      </c>
      <c r="I962" s="7">
        <v>46</v>
      </c>
      <c r="J962" s="7">
        <v>0</v>
      </c>
      <c r="K962" s="7" t="s">
        <v>18</v>
      </c>
      <c r="L962" s="8">
        <v>39987.315405092595</v>
      </c>
      <c r="M962" s="9" t="s">
        <v>19</v>
      </c>
      <c r="N962" s="9" t="s">
        <v>20</v>
      </c>
      <c r="O962" s="6" t="str">
        <f>HYPERLINK("https://pbs.twimg.com/profile_images/962471262747529216/Uo8lOkRJ_normal.jpg","View")</f>
        <v>View</v>
      </c>
      <c r="P962" s="7"/>
    </row>
    <row r="963" spans="1:16">
      <c r="A963" s="3">
        <v>43833.627858796295</v>
      </c>
      <c r="B963" s="4" t="str">
        <f>HYPERLINK("https://twitter.com/petrogustavo","@petrogustavo")</f>
        <v>@petrogustavo</v>
      </c>
      <c r="C963" s="5" t="s">
        <v>16</v>
      </c>
      <c r="D963" s="5" t="s">
        <v>954</v>
      </c>
      <c r="E963" s="6" t="str">
        <f>HYPERLINK("https://twitter.com/petrogustavo/status/1213030771914620928","1213030771914620928")</f>
        <v>1213030771914620928</v>
      </c>
      <c r="F963" s="7" t="s">
        <v>17</v>
      </c>
      <c r="G963" s="7">
        <v>3595736</v>
      </c>
      <c r="H963" s="7">
        <v>2338</v>
      </c>
      <c r="I963" s="7">
        <v>84</v>
      </c>
      <c r="J963" s="7">
        <v>0</v>
      </c>
      <c r="K963" s="7" t="s">
        <v>18</v>
      </c>
      <c r="L963" s="8">
        <v>39987.315405092595</v>
      </c>
      <c r="M963" s="9" t="s">
        <v>19</v>
      </c>
      <c r="N963" s="9" t="s">
        <v>20</v>
      </c>
      <c r="O963" s="6" t="str">
        <f>HYPERLINK("https://pbs.twimg.com/profile_images/962471262747529216/Uo8lOkRJ_normal.jpg","View")</f>
        <v>View</v>
      </c>
      <c r="P963" s="7"/>
    </row>
    <row r="964" spans="1:16">
      <c r="A964" s="3">
        <v>43833.750520833331</v>
      </c>
      <c r="B964" s="4" t="str">
        <f>HYPERLINK("https://twitter.com/petrogustavo","@petrogustavo")</f>
        <v>@petrogustavo</v>
      </c>
      <c r="C964" s="5" t="s">
        <v>16</v>
      </c>
      <c r="D964" s="5" t="s">
        <v>955</v>
      </c>
      <c r="E964" s="6" t="str">
        <f>HYPERLINK("https://twitter.com/petrogustavo/status/1213075220648599553","1213075220648599553")</f>
        <v>1213075220648599553</v>
      </c>
      <c r="F964" s="7" t="s">
        <v>17</v>
      </c>
      <c r="G964" s="7">
        <v>3595805</v>
      </c>
      <c r="H964" s="7">
        <v>2338</v>
      </c>
      <c r="I964" s="7">
        <v>155</v>
      </c>
      <c r="J964" s="7">
        <v>661</v>
      </c>
      <c r="K964" s="7" t="s">
        <v>18</v>
      </c>
      <c r="L964" s="8">
        <v>39987.315405092595</v>
      </c>
      <c r="M964" s="9" t="s">
        <v>19</v>
      </c>
      <c r="N964" s="9" t="s">
        <v>20</v>
      </c>
      <c r="O964" s="6" t="str">
        <f>HYPERLINK("https://pbs.twimg.com/profile_images/962471262747529216/Uo8lOkRJ_normal.jpg","View")</f>
        <v>View</v>
      </c>
      <c r="P964" s="7"/>
    </row>
    <row r="965" spans="1:16">
      <c r="A965" s="3">
        <v>43833.77924768519</v>
      </c>
      <c r="B965" s="4" t="str">
        <f>HYPERLINK("https://twitter.com/petrogustavo","@petrogustavo")</f>
        <v>@petrogustavo</v>
      </c>
      <c r="C965" s="5" t="s">
        <v>16</v>
      </c>
      <c r="D965" s="5" t="s">
        <v>956</v>
      </c>
      <c r="E965" s="6" t="str">
        <f>HYPERLINK("https://twitter.com/petrogustavo/status/1213085631741648898","1213085631741648898")</f>
        <v>1213085631741648898</v>
      </c>
      <c r="F965" s="7" t="s">
        <v>17</v>
      </c>
      <c r="G965" s="7">
        <v>3595836</v>
      </c>
      <c r="H965" s="7">
        <v>2338</v>
      </c>
      <c r="I965" s="7">
        <v>53</v>
      </c>
      <c r="J965" s="7">
        <v>142</v>
      </c>
      <c r="K965" s="7" t="s">
        <v>18</v>
      </c>
      <c r="L965" s="8">
        <v>39987.315405092595</v>
      </c>
      <c r="M965" s="9" t="s">
        <v>19</v>
      </c>
      <c r="N965" s="9" t="s">
        <v>20</v>
      </c>
      <c r="O965" s="6" t="str">
        <f>HYPERLINK("https://pbs.twimg.com/profile_images/962471262747529216/Uo8lOkRJ_normal.jpg","View")</f>
        <v>View</v>
      </c>
      <c r="P965" s="7"/>
    </row>
    <row r="966" spans="1:16">
      <c r="A966" s="3">
        <v>43833.78733796296</v>
      </c>
      <c r="B966" s="4" t="str">
        <f>HYPERLINK("https://twitter.com/petrogustavo","@petrogustavo")</f>
        <v>@petrogustavo</v>
      </c>
      <c r="C966" s="5" t="s">
        <v>16</v>
      </c>
      <c r="D966" s="5" t="s">
        <v>957</v>
      </c>
      <c r="E966" s="6" t="str">
        <f>HYPERLINK("https://twitter.com/petrogustavo/status/1213088565313376256","1213088565313376256")</f>
        <v>1213088565313376256</v>
      </c>
      <c r="F966" s="7" t="s">
        <v>17</v>
      </c>
      <c r="G966" s="7">
        <v>3595874</v>
      </c>
      <c r="H966" s="7">
        <v>2338</v>
      </c>
      <c r="I966" s="7">
        <v>635</v>
      </c>
      <c r="J966" s="7">
        <v>0</v>
      </c>
      <c r="K966" s="7" t="s">
        <v>18</v>
      </c>
      <c r="L966" s="8">
        <v>39987.315405092595</v>
      </c>
      <c r="M966" s="9" t="s">
        <v>19</v>
      </c>
      <c r="N966" s="9" t="s">
        <v>20</v>
      </c>
      <c r="O966" s="6" t="str">
        <f>HYPERLINK("https://pbs.twimg.com/profile_images/962471262747529216/Uo8lOkRJ_normal.jpg","View")</f>
        <v>View</v>
      </c>
      <c r="P966" s="7"/>
    </row>
    <row r="967" spans="1:16">
      <c r="A967" s="3">
        <v>43833.789976851855</v>
      </c>
      <c r="B967" s="4" t="str">
        <f>HYPERLINK("https://twitter.com/petrogustavo","@petrogustavo")</f>
        <v>@petrogustavo</v>
      </c>
      <c r="C967" s="5" t="s">
        <v>16</v>
      </c>
      <c r="D967" s="5" t="s">
        <v>958</v>
      </c>
      <c r="E967" s="6" t="str">
        <f>HYPERLINK("https://twitter.com/petrogustavo/status/1213089520910032896","1213089520910032896")</f>
        <v>1213089520910032896</v>
      </c>
      <c r="F967" s="7" t="s">
        <v>17</v>
      </c>
      <c r="G967" s="7">
        <v>3595874</v>
      </c>
      <c r="H967" s="7">
        <v>2338</v>
      </c>
      <c r="I967" s="7">
        <v>65</v>
      </c>
      <c r="J967" s="7">
        <v>0</v>
      </c>
      <c r="K967" s="7" t="s">
        <v>18</v>
      </c>
      <c r="L967" s="8">
        <v>39987.315405092595</v>
      </c>
      <c r="M967" s="9" t="s">
        <v>19</v>
      </c>
      <c r="N967" s="9" t="s">
        <v>20</v>
      </c>
      <c r="O967" s="6" t="str">
        <f>HYPERLINK("https://pbs.twimg.com/profile_images/962471262747529216/Uo8lOkRJ_normal.jpg","View")</f>
        <v>View</v>
      </c>
      <c r="P967" s="7"/>
    </row>
    <row r="968" spans="1:16">
      <c r="A968" s="3">
        <v>43833.797916666663</v>
      </c>
      <c r="B968" s="4" t="str">
        <f>HYPERLINK("https://twitter.com/petrogustavo","@petrogustavo")</f>
        <v>@petrogustavo</v>
      </c>
      <c r="C968" s="5" t="s">
        <v>16</v>
      </c>
      <c r="D968" s="5" t="s">
        <v>959</v>
      </c>
      <c r="E968" s="6" t="str">
        <f>HYPERLINK("https://twitter.com/petrogustavo/status/1213092399901229056","1213092399901229056")</f>
        <v>1213092399901229056</v>
      </c>
      <c r="F968" s="7" t="s">
        <v>17</v>
      </c>
      <c r="G968" s="7">
        <v>3595874</v>
      </c>
      <c r="H968" s="7">
        <v>2338</v>
      </c>
      <c r="I968" s="7">
        <v>53</v>
      </c>
      <c r="J968" s="7">
        <v>177</v>
      </c>
      <c r="K968" s="7" t="s">
        <v>18</v>
      </c>
      <c r="L968" s="8">
        <v>39987.315405092595</v>
      </c>
      <c r="M968" s="9" t="s">
        <v>19</v>
      </c>
      <c r="N968" s="9" t="s">
        <v>20</v>
      </c>
      <c r="O968" s="6" t="str">
        <f>HYPERLINK("https://pbs.twimg.com/profile_images/962471262747529216/Uo8lOkRJ_normal.jpg","View")</f>
        <v>View</v>
      </c>
      <c r="P968" s="7"/>
    </row>
    <row r="969" spans="1:16">
      <c r="A969" s="3">
        <v>43833.806921296295</v>
      </c>
      <c r="B969" s="4" t="str">
        <f>HYPERLINK("https://twitter.com/petrogustavo","@petrogustavo")</f>
        <v>@petrogustavo</v>
      </c>
      <c r="C969" s="5" t="s">
        <v>16</v>
      </c>
      <c r="D969" s="5" t="s">
        <v>954</v>
      </c>
      <c r="E969" s="6" t="str">
        <f>HYPERLINK("https://twitter.com/petrogustavo/status/1213095661253660673","1213095661253660673")</f>
        <v>1213095661253660673</v>
      </c>
      <c r="F969" s="7" t="s">
        <v>17</v>
      </c>
      <c r="G969" s="7">
        <v>3595890</v>
      </c>
      <c r="H969" s="7">
        <v>2338</v>
      </c>
      <c r="I969" s="7">
        <v>704</v>
      </c>
      <c r="J969" s="7">
        <v>0</v>
      </c>
      <c r="K969" s="7" t="s">
        <v>18</v>
      </c>
      <c r="L969" s="8">
        <v>39987.315405092595</v>
      </c>
      <c r="M969" s="9" t="s">
        <v>19</v>
      </c>
      <c r="N969" s="9" t="s">
        <v>20</v>
      </c>
      <c r="O969" s="6" t="str">
        <f>HYPERLINK("https://pbs.twimg.com/profile_images/962471262747529216/Uo8lOkRJ_normal.jpg","View")</f>
        <v>View</v>
      </c>
      <c r="P969" s="7"/>
    </row>
    <row r="970" spans="1:16">
      <c r="A970" s="3">
        <v>43833.80704861111</v>
      </c>
      <c r="B970" s="4" t="str">
        <f>HYPERLINK("https://twitter.com/petrogustavo","@petrogustavo")</f>
        <v>@petrogustavo</v>
      </c>
      <c r="C970" s="5" t="s">
        <v>16</v>
      </c>
      <c r="D970" s="5" t="s">
        <v>953</v>
      </c>
      <c r="E970" s="6" t="str">
        <f>HYPERLINK("https://twitter.com/petrogustavo/status/1213095705583198209","1213095705583198209")</f>
        <v>1213095705583198209</v>
      </c>
      <c r="F970" s="7" t="s">
        <v>17</v>
      </c>
      <c r="G970" s="7">
        <v>3595890</v>
      </c>
      <c r="H970" s="7">
        <v>2338</v>
      </c>
      <c r="I970" s="7">
        <v>520</v>
      </c>
      <c r="J970" s="7">
        <v>0</v>
      </c>
      <c r="K970" s="7" t="s">
        <v>18</v>
      </c>
      <c r="L970" s="8">
        <v>39987.315405092595</v>
      </c>
      <c r="M970" s="9" t="s">
        <v>19</v>
      </c>
      <c r="N970" s="9" t="s">
        <v>20</v>
      </c>
      <c r="O970" s="6" t="str">
        <f>HYPERLINK("https://pbs.twimg.com/profile_images/962471262747529216/Uo8lOkRJ_normal.jpg","View")</f>
        <v>View</v>
      </c>
      <c r="P970" s="7"/>
    </row>
    <row r="971" spans="1:16">
      <c r="A971" s="3">
        <v>43833.989629629628</v>
      </c>
      <c r="B971" s="4" t="str">
        <f>HYPERLINK("https://twitter.com/petrogustavo","@petrogustavo")</f>
        <v>@petrogustavo</v>
      </c>
      <c r="C971" s="5" t="s">
        <v>16</v>
      </c>
      <c r="D971" s="5" t="s">
        <v>960</v>
      </c>
      <c r="E971" s="6" t="str">
        <f>HYPERLINK("https://twitter.com/petrogustavo/status/1213161870892425222","1213161870892425222")</f>
        <v>1213161870892425222</v>
      </c>
      <c r="F971" s="7" t="s">
        <v>17</v>
      </c>
      <c r="G971" s="7">
        <v>3596352</v>
      </c>
      <c r="H971" s="7">
        <v>2338</v>
      </c>
      <c r="I971" s="7">
        <v>41</v>
      </c>
      <c r="J971" s="7">
        <v>0</v>
      </c>
      <c r="K971" s="7" t="s">
        <v>18</v>
      </c>
      <c r="L971" s="8">
        <v>39987.315405092595</v>
      </c>
      <c r="M971" s="9" t="s">
        <v>19</v>
      </c>
      <c r="N971" s="9" t="s">
        <v>20</v>
      </c>
      <c r="O971" s="6" t="str">
        <f>HYPERLINK("https://pbs.twimg.com/profile_images/962471262747529216/Uo8lOkRJ_normal.jpg","View")</f>
        <v>View</v>
      </c>
      <c r="P971" s="7"/>
    </row>
    <row r="972" spans="1:16">
      <c r="A972" s="3">
        <v>43833.995405092588</v>
      </c>
      <c r="B972" s="4" t="str">
        <f>HYPERLINK("https://twitter.com/petrogustavo","@petrogustavo")</f>
        <v>@petrogustavo</v>
      </c>
      <c r="C972" s="5" t="s">
        <v>16</v>
      </c>
      <c r="D972" s="5" t="s">
        <v>961</v>
      </c>
      <c r="E972" s="6" t="str">
        <f>HYPERLINK("https://twitter.com/petrogustavo/status/1213163965850804225","1213163965850804225")</f>
        <v>1213163965850804225</v>
      </c>
      <c r="F972" s="7" t="s">
        <v>17</v>
      </c>
      <c r="G972" s="7">
        <v>3596416</v>
      </c>
      <c r="H972" s="7">
        <v>2339</v>
      </c>
      <c r="I972" s="7">
        <v>377</v>
      </c>
      <c r="J972" s="7">
        <v>2426</v>
      </c>
      <c r="K972" s="7" t="s">
        <v>18</v>
      </c>
      <c r="L972" s="8">
        <v>39987.315405092595</v>
      </c>
      <c r="M972" s="9" t="s">
        <v>19</v>
      </c>
      <c r="N972" s="9" t="s">
        <v>20</v>
      </c>
      <c r="O972" s="6" t="str">
        <f>HYPERLINK("https://pbs.twimg.com/profile_images/962471262747529216/Uo8lOkRJ_normal.jpg","View")</f>
        <v>View</v>
      </c>
      <c r="P972" s="7"/>
    </row>
    <row r="973" spans="1:16">
      <c r="A973" s="3">
        <v>43833.997592592597</v>
      </c>
      <c r="B973" s="4" t="str">
        <f>HYPERLINK("https://twitter.com/petrogustavo","@petrogustavo")</f>
        <v>@petrogustavo</v>
      </c>
      <c r="C973" s="5" t="s">
        <v>16</v>
      </c>
      <c r="D973" s="5" t="s">
        <v>962</v>
      </c>
      <c r="E973" s="6" t="str">
        <f>HYPERLINK("https://twitter.com/petrogustavo/status/1213164756644892673","1213164756644892673")</f>
        <v>1213164756644892673</v>
      </c>
      <c r="F973" s="7" t="s">
        <v>17</v>
      </c>
      <c r="G973" s="7">
        <v>3596416</v>
      </c>
      <c r="H973" s="7">
        <v>2339</v>
      </c>
      <c r="I973" s="7">
        <v>18</v>
      </c>
      <c r="J973" s="7">
        <v>0</v>
      </c>
      <c r="K973" s="7" t="s">
        <v>18</v>
      </c>
      <c r="L973" s="8">
        <v>39987.315405092595</v>
      </c>
      <c r="M973" s="9" t="s">
        <v>19</v>
      </c>
      <c r="N973" s="9" t="s">
        <v>20</v>
      </c>
      <c r="O973" s="6" t="str">
        <f>HYPERLINK("https://pbs.twimg.com/profile_images/962471262747529216/Uo8lOkRJ_normal.jpg","View")</f>
        <v>View</v>
      </c>
      <c r="P973" s="7"/>
    </row>
    <row r="974" spans="1:16">
      <c r="A974" s="3">
        <v>43834.005752314813</v>
      </c>
      <c r="B974" s="4" t="str">
        <f>HYPERLINK("https://twitter.com/petrogustavo","@petrogustavo")</f>
        <v>@petrogustavo</v>
      </c>
      <c r="C974" s="5" t="s">
        <v>16</v>
      </c>
      <c r="D974" s="5" t="s">
        <v>963</v>
      </c>
      <c r="E974" s="6" t="str">
        <f>HYPERLINK("https://twitter.com/petrogustavo/status/1213167713771806723","1213167713771806723")</f>
        <v>1213167713771806723</v>
      </c>
      <c r="F974" s="7" t="s">
        <v>17</v>
      </c>
      <c r="G974" s="7">
        <v>3596416</v>
      </c>
      <c r="H974" s="7">
        <v>2339</v>
      </c>
      <c r="I974" s="7">
        <v>139</v>
      </c>
      <c r="J974" s="7">
        <v>334</v>
      </c>
      <c r="K974" s="7" t="s">
        <v>18</v>
      </c>
      <c r="L974" s="8">
        <v>39987.315405092595</v>
      </c>
      <c r="M974" s="9" t="s">
        <v>19</v>
      </c>
      <c r="N974" s="9" t="s">
        <v>20</v>
      </c>
      <c r="O974" s="6" t="str">
        <f>HYPERLINK("https://pbs.twimg.com/profile_images/962471262747529216/Uo8lOkRJ_normal.jpg","View")</f>
        <v>View</v>
      </c>
      <c r="P974" s="7"/>
    </row>
    <row r="975" spans="1:16">
      <c r="A975" s="3">
        <v>43834.013912037037</v>
      </c>
      <c r="B975" s="4" t="str">
        <f>HYPERLINK("https://twitter.com/petrogustavo","@petrogustavo")</f>
        <v>@petrogustavo</v>
      </c>
      <c r="C975" s="5" t="s">
        <v>16</v>
      </c>
      <c r="D975" s="5" t="s">
        <v>964</v>
      </c>
      <c r="E975" s="6" t="str">
        <f>HYPERLINK("https://twitter.com/petrogustavo/status/1213170673209741314","1213170673209741314")</f>
        <v>1213170673209741314</v>
      </c>
      <c r="F975" s="7" t="s">
        <v>17</v>
      </c>
      <c r="G975" s="7">
        <v>3596483</v>
      </c>
      <c r="H975" s="7">
        <v>2339</v>
      </c>
      <c r="I975" s="7">
        <v>101</v>
      </c>
      <c r="J975" s="7">
        <v>343</v>
      </c>
      <c r="K975" s="7" t="s">
        <v>18</v>
      </c>
      <c r="L975" s="8">
        <v>39987.315405092595</v>
      </c>
      <c r="M975" s="9" t="s">
        <v>19</v>
      </c>
      <c r="N975" s="9" t="s">
        <v>20</v>
      </c>
      <c r="O975" s="6" t="str">
        <f>HYPERLINK("https://pbs.twimg.com/profile_images/962471262747529216/Uo8lOkRJ_normal.jpg","View")</f>
        <v>View</v>
      </c>
      <c r="P975" s="7"/>
    </row>
    <row r="976" spans="1:16">
      <c r="A976" s="3">
        <v>43834.015173611115</v>
      </c>
      <c r="B976" s="4" t="str">
        <f>HYPERLINK("https://twitter.com/petrogustavo","@petrogustavo")</f>
        <v>@petrogustavo</v>
      </c>
      <c r="C976" s="5" t="s">
        <v>16</v>
      </c>
      <c r="D976" s="5" t="s">
        <v>965</v>
      </c>
      <c r="E976" s="6" t="str">
        <f>HYPERLINK("https://twitter.com/petrogustavo/status/1213171128308502533","1213171128308502533")</f>
        <v>1213171128308502533</v>
      </c>
      <c r="F976" s="7" t="s">
        <v>17</v>
      </c>
      <c r="G976" s="7">
        <v>3596483</v>
      </c>
      <c r="H976" s="7">
        <v>2339</v>
      </c>
      <c r="I976" s="7">
        <v>144</v>
      </c>
      <c r="J976" s="7">
        <v>0</v>
      </c>
      <c r="K976" s="7" t="s">
        <v>18</v>
      </c>
      <c r="L976" s="8">
        <v>39987.315405092595</v>
      </c>
      <c r="M976" s="9" t="s">
        <v>19</v>
      </c>
      <c r="N976" s="9" t="s">
        <v>20</v>
      </c>
      <c r="O976" s="6" t="str">
        <f>HYPERLINK("https://pbs.twimg.com/profile_images/962471262747529216/Uo8lOkRJ_normal.jpg","View")</f>
        <v>View</v>
      </c>
      <c r="P976" s="7"/>
    </row>
    <row r="977" spans="1:16">
      <c r="A977" s="3">
        <v>43834.016782407409</v>
      </c>
      <c r="B977" s="4" t="str">
        <f>HYPERLINK("https://twitter.com/petrogustavo","@petrogustavo")</f>
        <v>@petrogustavo</v>
      </c>
      <c r="C977" s="5" t="s">
        <v>16</v>
      </c>
      <c r="D977" s="5" t="s">
        <v>966</v>
      </c>
      <c r="E977" s="6" t="str">
        <f>HYPERLINK("https://twitter.com/petrogustavo/status/1213171713766244353","1213171713766244353")</f>
        <v>1213171713766244353</v>
      </c>
      <c r="F977" s="7" t="s">
        <v>17</v>
      </c>
      <c r="G977" s="7">
        <v>3596483</v>
      </c>
      <c r="H977" s="7">
        <v>2339</v>
      </c>
      <c r="I977" s="7">
        <v>3382</v>
      </c>
      <c r="J977" s="7">
        <v>0</v>
      </c>
      <c r="K977" s="7" t="s">
        <v>18</v>
      </c>
      <c r="L977" s="8">
        <v>39987.315405092595</v>
      </c>
      <c r="M977" s="9" t="s">
        <v>19</v>
      </c>
      <c r="N977" s="9" t="s">
        <v>20</v>
      </c>
      <c r="O977" s="6" t="str">
        <f>HYPERLINK("https://pbs.twimg.com/profile_images/962471262747529216/Uo8lOkRJ_normal.jpg","View")</f>
        <v>View</v>
      </c>
      <c r="P977" s="7"/>
    </row>
    <row r="978" spans="1:16">
      <c r="A978" s="3">
        <v>43834.019675925927</v>
      </c>
      <c r="B978" s="4" t="str">
        <f>HYPERLINK("https://twitter.com/petrogustavo","@petrogustavo")</f>
        <v>@petrogustavo</v>
      </c>
      <c r="C978" s="5" t="s">
        <v>16</v>
      </c>
      <c r="D978" s="5" t="s">
        <v>967</v>
      </c>
      <c r="E978" s="6" t="str">
        <f>HYPERLINK("https://twitter.com/petrogustavo/status/1213172761209843715","1213172761209843715")</f>
        <v>1213172761209843715</v>
      </c>
      <c r="F978" s="7" t="s">
        <v>17</v>
      </c>
      <c r="G978" s="7">
        <v>3596483</v>
      </c>
      <c r="H978" s="7">
        <v>2339</v>
      </c>
      <c r="I978" s="7">
        <v>59</v>
      </c>
      <c r="J978" s="7">
        <v>0</v>
      </c>
      <c r="K978" s="7" t="s">
        <v>18</v>
      </c>
      <c r="L978" s="8">
        <v>39987.315405092595</v>
      </c>
      <c r="M978" s="9" t="s">
        <v>19</v>
      </c>
      <c r="N978" s="9" t="s">
        <v>20</v>
      </c>
      <c r="O978" s="6" t="str">
        <f>HYPERLINK("https://pbs.twimg.com/profile_images/962471262747529216/Uo8lOkRJ_normal.jpg","View")</f>
        <v>View</v>
      </c>
      <c r="P978" s="7"/>
    </row>
    <row r="979" spans="1:16">
      <c r="A979" s="3">
        <v>43834.023668981477</v>
      </c>
      <c r="B979" s="4" t="str">
        <f>HYPERLINK("https://twitter.com/petrogustavo","@petrogustavo")</f>
        <v>@petrogustavo</v>
      </c>
      <c r="C979" s="5" t="s">
        <v>16</v>
      </c>
      <c r="D979" s="5" t="s">
        <v>968</v>
      </c>
      <c r="E979" s="6" t="str">
        <f>HYPERLINK("https://twitter.com/petrogustavo/status/1213174209620393986","1213174209620393986")</f>
        <v>1213174209620393986</v>
      </c>
      <c r="F979" s="7" t="s">
        <v>17</v>
      </c>
      <c r="G979" s="7">
        <v>3596483</v>
      </c>
      <c r="H979" s="7">
        <v>2339</v>
      </c>
      <c r="I979" s="7">
        <v>62</v>
      </c>
      <c r="J979" s="7">
        <v>164</v>
      </c>
      <c r="K979" s="7" t="s">
        <v>18</v>
      </c>
      <c r="L979" s="8">
        <v>39987.315405092595</v>
      </c>
      <c r="M979" s="9" t="s">
        <v>19</v>
      </c>
      <c r="N979" s="9" t="s">
        <v>20</v>
      </c>
      <c r="O979" s="6" t="str">
        <f>HYPERLINK("https://pbs.twimg.com/profile_images/962471262747529216/Uo8lOkRJ_normal.jpg","View")</f>
        <v>View</v>
      </c>
      <c r="P979" s="7"/>
    </row>
    <row r="980" spans="1:16">
      <c r="A980" s="3">
        <v>43834.069293981476</v>
      </c>
      <c r="B980" s="4" t="str">
        <f>HYPERLINK("https://twitter.com/petrogustavo","@petrogustavo")</f>
        <v>@petrogustavo</v>
      </c>
      <c r="C980" s="5" t="s">
        <v>16</v>
      </c>
      <c r="D980" s="5" t="s">
        <v>969</v>
      </c>
      <c r="E980" s="6" t="str">
        <f>HYPERLINK("https://twitter.com/petrogustavo/status/1213190740223889411","1213190740223889411")</f>
        <v>1213190740223889411</v>
      </c>
      <c r="F980" s="7" t="s">
        <v>17</v>
      </c>
      <c r="G980" s="7">
        <v>3596574</v>
      </c>
      <c r="H980" s="7">
        <v>2339</v>
      </c>
      <c r="I980" s="7">
        <v>689</v>
      </c>
      <c r="J980" s="7">
        <v>0</v>
      </c>
      <c r="K980" s="7" t="s">
        <v>18</v>
      </c>
      <c r="L980" s="8">
        <v>39987.315405092595</v>
      </c>
      <c r="M980" s="9" t="s">
        <v>19</v>
      </c>
      <c r="N980" s="9" t="s">
        <v>20</v>
      </c>
      <c r="O980" s="6" t="str">
        <f>HYPERLINK("https://pbs.twimg.com/profile_images/962471262747529216/Uo8lOkRJ_normal.jpg","View")</f>
        <v>View</v>
      </c>
      <c r="P980" s="7"/>
    </row>
    <row r="981" spans="1:16">
      <c r="A981" s="3">
        <v>43834.069930555561</v>
      </c>
      <c r="B981" s="4" t="str">
        <f>HYPERLINK("https://twitter.com/petrogustavo","@petrogustavo")</f>
        <v>@petrogustavo</v>
      </c>
      <c r="C981" s="5" t="s">
        <v>16</v>
      </c>
      <c r="D981" s="5" t="s">
        <v>970</v>
      </c>
      <c r="E981" s="6" t="str">
        <f>HYPERLINK("https://twitter.com/petrogustavo/status/1213190971963383809","1213190971963383809")</f>
        <v>1213190971963383809</v>
      </c>
      <c r="F981" s="7" t="s">
        <v>17</v>
      </c>
      <c r="G981" s="7">
        <v>3596574</v>
      </c>
      <c r="H981" s="7">
        <v>2339</v>
      </c>
      <c r="I981" s="7">
        <v>43</v>
      </c>
      <c r="J981" s="7">
        <v>213</v>
      </c>
      <c r="K981" s="7" t="s">
        <v>18</v>
      </c>
      <c r="L981" s="8">
        <v>39987.315405092595</v>
      </c>
      <c r="M981" s="9" t="s">
        <v>19</v>
      </c>
      <c r="N981" s="9" t="s">
        <v>20</v>
      </c>
      <c r="O981" s="6" t="str">
        <f>HYPERLINK("https://pbs.twimg.com/profile_images/962471262747529216/Uo8lOkRJ_normal.jpg","View")</f>
        <v>View</v>
      </c>
      <c r="P981" s="7"/>
    </row>
    <row r="982" spans="1:16">
      <c r="A982" s="3">
        <v>43834.072650462964</v>
      </c>
      <c r="B982" s="4" t="str">
        <f>HYPERLINK("https://twitter.com/petrogustavo","@petrogustavo")</f>
        <v>@petrogustavo</v>
      </c>
      <c r="C982" s="5" t="s">
        <v>16</v>
      </c>
      <c r="D982" s="5" t="s">
        <v>971</v>
      </c>
      <c r="E982" s="6" t="str">
        <f>HYPERLINK("https://twitter.com/petrogustavo/status/1213191956437839880","1213191956437839880")</f>
        <v>1213191956437839880</v>
      </c>
      <c r="F982" s="7" t="s">
        <v>17</v>
      </c>
      <c r="G982" s="7">
        <v>3596574</v>
      </c>
      <c r="H982" s="7">
        <v>2339</v>
      </c>
      <c r="I982" s="7">
        <v>30</v>
      </c>
      <c r="J982" s="7">
        <v>92</v>
      </c>
      <c r="K982" s="7" t="s">
        <v>18</v>
      </c>
      <c r="L982" s="8">
        <v>39987.315405092595</v>
      </c>
      <c r="M982" s="9" t="s">
        <v>19</v>
      </c>
      <c r="N982" s="9" t="s">
        <v>20</v>
      </c>
      <c r="O982" s="6" t="str">
        <f>HYPERLINK("https://pbs.twimg.com/profile_images/962471262747529216/Uo8lOkRJ_normal.jpg","View")</f>
        <v>View</v>
      </c>
      <c r="P982" s="7"/>
    </row>
    <row r="983" spans="1:16">
      <c r="A983" s="3">
        <v>43834.079571759255</v>
      </c>
      <c r="B983" s="4" t="str">
        <f>HYPERLINK("https://twitter.com/petrogustavo","@petrogustavo")</f>
        <v>@petrogustavo</v>
      </c>
      <c r="C983" s="5" t="s">
        <v>16</v>
      </c>
      <c r="D983" s="5" t="s">
        <v>972</v>
      </c>
      <c r="E983" s="6" t="str">
        <f>HYPERLINK("https://twitter.com/petrogustavo/status/1213194464740741120","1213194464740741120")</f>
        <v>1213194464740741120</v>
      </c>
      <c r="F983" s="7" t="s">
        <v>17</v>
      </c>
      <c r="G983" s="7">
        <v>3596628</v>
      </c>
      <c r="H983" s="7">
        <v>2339</v>
      </c>
      <c r="I983" s="7">
        <v>336</v>
      </c>
      <c r="J983" s="7">
        <v>989</v>
      </c>
      <c r="K983" s="7" t="s">
        <v>18</v>
      </c>
      <c r="L983" s="8">
        <v>39987.315405092595</v>
      </c>
      <c r="M983" s="9" t="s">
        <v>19</v>
      </c>
      <c r="N983" s="9" t="s">
        <v>20</v>
      </c>
      <c r="O983" s="6" t="str">
        <f>HYPERLINK("https://pbs.twimg.com/profile_images/962471262747529216/Uo8lOkRJ_normal.jpg","View")</f>
        <v>View</v>
      </c>
      <c r="P983" s="7"/>
    </row>
    <row r="984" spans="1:16">
      <c r="A984" s="3">
        <v>43834.080011574071</v>
      </c>
      <c r="B984" s="4" t="str">
        <f>HYPERLINK("https://twitter.com/petrogustavo","@petrogustavo")</f>
        <v>@petrogustavo</v>
      </c>
      <c r="C984" s="5" t="s">
        <v>16</v>
      </c>
      <c r="D984" s="5" t="s">
        <v>973</v>
      </c>
      <c r="E984" s="6" t="str">
        <f>HYPERLINK("https://twitter.com/petrogustavo/status/1213194627781681152","1213194627781681152")</f>
        <v>1213194627781681152</v>
      </c>
      <c r="F984" s="7" t="s">
        <v>17</v>
      </c>
      <c r="G984" s="7">
        <v>3596628</v>
      </c>
      <c r="H984" s="7">
        <v>2339</v>
      </c>
      <c r="I984" s="7">
        <v>1095</v>
      </c>
      <c r="J984" s="7">
        <v>0</v>
      </c>
      <c r="K984" s="7" t="s">
        <v>18</v>
      </c>
      <c r="L984" s="8">
        <v>39987.315405092595</v>
      </c>
      <c r="M984" s="9" t="s">
        <v>19</v>
      </c>
      <c r="N984" s="9" t="s">
        <v>20</v>
      </c>
      <c r="O984" s="6" t="str">
        <f>HYPERLINK("https://pbs.twimg.com/profile_images/962471262747529216/Uo8lOkRJ_normal.jpg","View")</f>
        <v>View</v>
      </c>
      <c r="P984" s="7"/>
    </row>
    <row r="985" spans="1:16">
      <c r="A985" s="3">
        <v>43834.145312499997</v>
      </c>
      <c r="B985" s="4" t="str">
        <f>HYPERLINK("https://twitter.com/petrogustavo","@petrogustavo")</f>
        <v>@petrogustavo</v>
      </c>
      <c r="C985" s="5" t="s">
        <v>16</v>
      </c>
      <c r="D985" s="5" t="s">
        <v>974</v>
      </c>
      <c r="E985" s="6" t="str">
        <f>HYPERLINK("https://twitter.com/petrogustavo/status/1213218290463596547","1213218290463596547")</f>
        <v>1213218290463596547</v>
      </c>
      <c r="F985" s="7" t="s">
        <v>17</v>
      </c>
      <c r="G985" s="7">
        <v>3596721</v>
      </c>
      <c r="H985" s="7">
        <v>2339</v>
      </c>
      <c r="I985" s="7">
        <v>185</v>
      </c>
      <c r="J985" s="7">
        <v>731</v>
      </c>
      <c r="K985" s="7" t="s">
        <v>18</v>
      </c>
      <c r="L985" s="8">
        <v>39987.315405092595</v>
      </c>
      <c r="M985" s="9" t="s">
        <v>19</v>
      </c>
      <c r="N985" s="9" t="s">
        <v>20</v>
      </c>
      <c r="O985" s="6" t="str">
        <f>HYPERLINK("https://pbs.twimg.com/profile_images/962471262747529216/Uo8lOkRJ_normal.jpg","View")</f>
        <v>View</v>
      </c>
      <c r="P985" s="7"/>
    </row>
    <row r="986" spans="1:16">
      <c r="A986" s="3">
        <v>43834.890347222223</v>
      </c>
      <c r="B986" s="4" t="str">
        <f>HYPERLINK("https://twitter.com/petrogustavo","@petrogustavo")</f>
        <v>@petrogustavo</v>
      </c>
      <c r="C986" s="5" t="s">
        <v>16</v>
      </c>
      <c r="D986" s="5" t="s">
        <v>975</v>
      </c>
      <c r="E986" s="6" t="str">
        <f>HYPERLINK("https://twitter.com/petrogustavo/status/1213488283038171136","1213488283038171136")</f>
        <v>1213488283038171136</v>
      </c>
      <c r="F986" s="7" t="s">
        <v>17</v>
      </c>
      <c r="G986" s="7">
        <v>3597587</v>
      </c>
      <c r="H986" s="7">
        <v>2339</v>
      </c>
      <c r="I986" s="7">
        <v>183</v>
      </c>
      <c r="J986" s="7">
        <v>515</v>
      </c>
      <c r="K986" s="7" t="s">
        <v>18</v>
      </c>
      <c r="L986" s="8">
        <v>39987.315405092595</v>
      </c>
      <c r="M986" s="9" t="s">
        <v>19</v>
      </c>
      <c r="N986" s="9" t="s">
        <v>20</v>
      </c>
      <c r="O986" s="6" t="str">
        <f>HYPERLINK("https://pbs.twimg.com/profile_images/962471262747529216/Uo8lOkRJ_normal.jpg","View")</f>
        <v>View</v>
      </c>
      <c r="P986" s="7"/>
    </row>
    <row r="987" spans="1:16">
      <c r="A987" s="3">
        <v>43834.890347222223</v>
      </c>
      <c r="B987" s="4" t="str">
        <f>HYPERLINK("https://twitter.com/petrogustavo","@petrogustavo")</f>
        <v>@petrogustavo</v>
      </c>
      <c r="C987" s="5" t="s">
        <v>16</v>
      </c>
      <c r="D987" s="5" t="s">
        <v>976</v>
      </c>
      <c r="E987" s="6" t="str">
        <f>HYPERLINK("https://twitter.com/petrogustavo/status/1213488283323392001","1213488283323392001")</f>
        <v>1213488283323392001</v>
      </c>
      <c r="F987" s="7" t="s">
        <v>17</v>
      </c>
      <c r="G987" s="7">
        <v>3597587</v>
      </c>
      <c r="H987" s="7">
        <v>2339</v>
      </c>
      <c r="I987" s="7">
        <v>57</v>
      </c>
      <c r="J987" s="7">
        <v>119</v>
      </c>
      <c r="K987" s="7" t="s">
        <v>18</v>
      </c>
      <c r="L987" s="8">
        <v>39987.315405092595</v>
      </c>
      <c r="M987" s="9" t="s">
        <v>19</v>
      </c>
      <c r="N987" s="9" t="s">
        <v>20</v>
      </c>
      <c r="O987" s="6" t="str">
        <f>HYPERLINK("https://pbs.twimg.com/profile_images/962471262747529216/Uo8lOkRJ_normal.jpg","View")</f>
        <v>View</v>
      </c>
      <c r="P987" s="7"/>
    </row>
    <row r="988" spans="1:16">
      <c r="A988" s="3">
        <v>43834.891585648147</v>
      </c>
      <c r="B988" s="4" t="str">
        <f>HYPERLINK("https://twitter.com/petrogustavo","@petrogustavo")</f>
        <v>@petrogustavo</v>
      </c>
      <c r="C988" s="5" t="s">
        <v>16</v>
      </c>
      <c r="D988" s="5" t="s">
        <v>977</v>
      </c>
      <c r="E988" s="6" t="str">
        <f>HYPERLINK("https://twitter.com/petrogustavo/status/1213488731505790976","1213488731505790976")</f>
        <v>1213488731505790976</v>
      </c>
      <c r="F988" s="7" t="s">
        <v>17</v>
      </c>
      <c r="G988" s="7">
        <v>3597587</v>
      </c>
      <c r="H988" s="7">
        <v>2339</v>
      </c>
      <c r="I988" s="7">
        <v>347</v>
      </c>
      <c r="J988" s="7">
        <v>0</v>
      </c>
      <c r="K988" s="7" t="s">
        <v>18</v>
      </c>
      <c r="L988" s="8">
        <v>39987.315405092595</v>
      </c>
      <c r="M988" s="9" t="s">
        <v>19</v>
      </c>
      <c r="N988" s="9" t="s">
        <v>20</v>
      </c>
      <c r="O988" s="6" t="str">
        <f>HYPERLINK("https://pbs.twimg.com/profile_images/962471262747529216/Uo8lOkRJ_normal.jpg","View")</f>
        <v>View</v>
      </c>
      <c r="P988" s="7"/>
    </row>
    <row r="989" spans="1:16">
      <c r="A989" s="3">
        <v>43834.893009259264</v>
      </c>
      <c r="B989" s="4" t="str">
        <f>HYPERLINK("https://twitter.com/petrogustavo","@petrogustavo")</f>
        <v>@petrogustavo</v>
      </c>
      <c r="C989" s="5" t="s">
        <v>16</v>
      </c>
      <c r="D989" s="5" t="s">
        <v>978</v>
      </c>
      <c r="E989" s="6" t="str">
        <f>HYPERLINK("https://twitter.com/petrogustavo/status/1213489244884344832","1213489244884344832")</f>
        <v>1213489244884344832</v>
      </c>
      <c r="F989" s="7" t="s">
        <v>17</v>
      </c>
      <c r="G989" s="7">
        <v>3597587</v>
      </c>
      <c r="H989" s="7">
        <v>2339</v>
      </c>
      <c r="I989" s="7">
        <v>183</v>
      </c>
      <c r="J989" s="7">
        <v>0</v>
      </c>
      <c r="K989" s="7" t="s">
        <v>18</v>
      </c>
      <c r="L989" s="8">
        <v>39987.315405092595</v>
      </c>
      <c r="M989" s="9" t="s">
        <v>19</v>
      </c>
      <c r="N989" s="9" t="s">
        <v>20</v>
      </c>
      <c r="O989" s="6" t="str">
        <f>HYPERLINK("https://pbs.twimg.com/profile_images/962471262747529216/Uo8lOkRJ_normal.jpg","View")</f>
        <v>View</v>
      </c>
      <c r="P989" s="7"/>
    </row>
    <row r="990" spans="1:16">
      <c r="A990" s="3">
        <v>43834.895486111112</v>
      </c>
      <c r="B990" s="4" t="str">
        <f>HYPERLINK("https://twitter.com/petrogustavo","@petrogustavo")</f>
        <v>@petrogustavo</v>
      </c>
      <c r="C990" s="5" t="s">
        <v>16</v>
      </c>
      <c r="D990" s="5" t="s">
        <v>979</v>
      </c>
      <c r="E990" s="6" t="str">
        <f>HYPERLINK("https://twitter.com/petrogustavo/status/1213490143279104000","1213490143279104000")</f>
        <v>1213490143279104000</v>
      </c>
      <c r="F990" s="7" t="s">
        <v>17</v>
      </c>
      <c r="G990" s="7">
        <v>3597587</v>
      </c>
      <c r="H990" s="7">
        <v>2339</v>
      </c>
      <c r="I990" s="7">
        <v>192</v>
      </c>
      <c r="J990" s="7">
        <v>0</v>
      </c>
      <c r="K990" s="7" t="s">
        <v>18</v>
      </c>
      <c r="L990" s="8">
        <v>39987.315405092595</v>
      </c>
      <c r="M990" s="9" t="s">
        <v>19</v>
      </c>
      <c r="N990" s="9" t="s">
        <v>20</v>
      </c>
      <c r="O990" s="6" t="str">
        <f>HYPERLINK("https://pbs.twimg.com/profile_images/962471262747529216/Uo8lOkRJ_normal.jpg","View")</f>
        <v>View</v>
      </c>
      <c r="P990" s="7"/>
    </row>
    <row r="991" spans="1:16">
      <c r="A991" s="3">
        <v>43834.895798611113</v>
      </c>
      <c r="B991" s="4" t="str">
        <f>HYPERLINK("https://twitter.com/petrogustavo","@petrogustavo")</f>
        <v>@petrogustavo</v>
      </c>
      <c r="C991" s="5" t="s">
        <v>16</v>
      </c>
      <c r="D991" s="5" t="s">
        <v>980</v>
      </c>
      <c r="E991" s="6" t="str">
        <f>HYPERLINK("https://twitter.com/petrogustavo/status/1213490256219136000","1213490256219136000")</f>
        <v>1213490256219136000</v>
      </c>
      <c r="F991" s="7" t="s">
        <v>17</v>
      </c>
      <c r="G991" s="7">
        <v>3597587</v>
      </c>
      <c r="H991" s="7">
        <v>2339</v>
      </c>
      <c r="I991" s="7">
        <v>76</v>
      </c>
      <c r="J991" s="7">
        <v>0</v>
      </c>
      <c r="K991" s="7" t="s">
        <v>18</v>
      </c>
      <c r="L991" s="8">
        <v>39987.315405092595</v>
      </c>
      <c r="M991" s="9" t="s">
        <v>19</v>
      </c>
      <c r="N991" s="9" t="s">
        <v>20</v>
      </c>
      <c r="O991" s="6" t="str">
        <f>HYPERLINK("https://pbs.twimg.com/profile_images/962471262747529216/Uo8lOkRJ_normal.jpg","View")</f>
        <v>View</v>
      </c>
      <c r="P991" s="7"/>
    </row>
    <row r="992" spans="1:16">
      <c r="A992" s="3">
        <v>43834.901504629626</v>
      </c>
      <c r="B992" s="4" t="str">
        <f>HYPERLINK("https://twitter.com/petrogustavo","@petrogustavo")</f>
        <v>@petrogustavo</v>
      </c>
      <c r="C992" s="5" t="s">
        <v>16</v>
      </c>
      <c r="D992" s="5" t="s">
        <v>981</v>
      </c>
      <c r="E992" s="6" t="str">
        <f>HYPERLINK("https://twitter.com/petrogustavo/status/1213492324463972358","1213492324463972358")</f>
        <v>1213492324463972358</v>
      </c>
      <c r="F992" s="7" t="s">
        <v>17</v>
      </c>
      <c r="G992" s="7">
        <v>3597587</v>
      </c>
      <c r="H992" s="7">
        <v>2339</v>
      </c>
      <c r="I992" s="7">
        <v>36</v>
      </c>
      <c r="J992" s="7">
        <v>156</v>
      </c>
      <c r="K992" s="7" t="s">
        <v>18</v>
      </c>
      <c r="L992" s="8">
        <v>39987.315405092595</v>
      </c>
      <c r="M992" s="9" t="s">
        <v>19</v>
      </c>
      <c r="N992" s="9" t="s">
        <v>20</v>
      </c>
      <c r="O992" s="6" t="str">
        <f>HYPERLINK("https://pbs.twimg.com/profile_images/962471262747529216/Uo8lOkRJ_normal.jpg","View")</f>
        <v>View</v>
      </c>
      <c r="P992" s="7"/>
    </row>
    <row r="993" spans="1:16">
      <c r="A993" s="3">
        <v>43834.904143518521</v>
      </c>
      <c r="B993" s="4" t="str">
        <f>HYPERLINK("https://twitter.com/petrogustavo","@petrogustavo")</f>
        <v>@petrogustavo</v>
      </c>
      <c r="C993" s="5" t="s">
        <v>16</v>
      </c>
      <c r="D993" s="5" t="s">
        <v>982</v>
      </c>
      <c r="E993" s="6" t="str">
        <f>HYPERLINK("https://twitter.com/petrogustavo/status/1213493280119373825","1213493280119373825")</f>
        <v>1213493280119373825</v>
      </c>
      <c r="F993" s="7" t="s">
        <v>17</v>
      </c>
      <c r="G993" s="7">
        <v>3597587</v>
      </c>
      <c r="H993" s="7">
        <v>2339</v>
      </c>
      <c r="I993" s="7">
        <v>36</v>
      </c>
      <c r="J993" s="7">
        <v>71</v>
      </c>
      <c r="K993" s="7" t="s">
        <v>18</v>
      </c>
      <c r="L993" s="8">
        <v>39987.315405092595</v>
      </c>
      <c r="M993" s="9" t="s">
        <v>19</v>
      </c>
      <c r="N993" s="9" t="s">
        <v>20</v>
      </c>
      <c r="O993" s="6" t="str">
        <f>HYPERLINK("https://pbs.twimg.com/profile_images/962471262747529216/Uo8lOkRJ_normal.jpg","View")</f>
        <v>View</v>
      </c>
      <c r="P993" s="7"/>
    </row>
    <row r="994" spans="1:16">
      <c r="A994" s="3">
        <v>43834.904467592598</v>
      </c>
      <c r="B994" s="4" t="str">
        <f>HYPERLINK("https://twitter.com/petrogustavo","@petrogustavo")</f>
        <v>@petrogustavo</v>
      </c>
      <c r="C994" s="5" t="s">
        <v>16</v>
      </c>
      <c r="D994" s="5" t="s">
        <v>983</v>
      </c>
      <c r="E994" s="6" t="str">
        <f>HYPERLINK("https://twitter.com/petrogustavo/status/1213493399245987840","1213493399245987840")</f>
        <v>1213493399245987840</v>
      </c>
      <c r="F994" s="7" t="s">
        <v>17</v>
      </c>
      <c r="G994" s="7">
        <v>3597587</v>
      </c>
      <c r="H994" s="7">
        <v>2339</v>
      </c>
      <c r="I994" s="7">
        <v>107</v>
      </c>
      <c r="J994" s="7">
        <v>0</v>
      </c>
      <c r="K994" s="7" t="s">
        <v>18</v>
      </c>
      <c r="L994" s="8">
        <v>39987.315405092595</v>
      </c>
      <c r="M994" s="9" t="s">
        <v>19</v>
      </c>
      <c r="N994" s="9" t="s">
        <v>20</v>
      </c>
      <c r="O994" s="6" t="str">
        <f>HYPERLINK("https://pbs.twimg.com/profile_images/962471262747529216/Uo8lOkRJ_normal.jpg","View")</f>
        <v>View</v>
      </c>
      <c r="P994" s="7"/>
    </row>
    <row r="995" spans="1:16">
      <c r="A995" s="3">
        <v>43834.911238425921</v>
      </c>
      <c r="B995" s="4" t="str">
        <f>HYPERLINK("https://twitter.com/petrogustavo","@petrogustavo")</f>
        <v>@petrogustavo</v>
      </c>
      <c r="C995" s="5" t="s">
        <v>16</v>
      </c>
      <c r="D995" s="5" t="s">
        <v>984</v>
      </c>
      <c r="E995" s="6" t="str">
        <f>HYPERLINK("https://twitter.com/petrogustavo/status/1213495853647826945","1213495853647826945")</f>
        <v>1213495853647826945</v>
      </c>
      <c r="F995" s="7" t="s">
        <v>17</v>
      </c>
      <c r="G995" s="7">
        <v>3597622</v>
      </c>
      <c r="H995" s="7">
        <v>2339</v>
      </c>
      <c r="I995" s="7">
        <v>100</v>
      </c>
      <c r="J995" s="7">
        <v>0</v>
      </c>
      <c r="K995" s="7" t="s">
        <v>18</v>
      </c>
      <c r="L995" s="8">
        <v>39987.315405092595</v>
      </c>
      <c r="M995" s="9" t="s">
        <v>19</v>
      </c>
      <c r="N995" s="9" t="s">
        <v>20</v>
      </c>
      <c r="O995" s="6" t="str">
        <f>HYPERLINK("https://pbs.twimg.com/profile_images/962471262747529216/Uo8lOkRJ_normal.jpg","View")</f>
        <v>View</v>
      </c>
      <c r="P995" s="7"/>
    </row>
    <row r="996" spans="1:16">
      <c r="A996" s="3">
        <v>43834.912557870368</v>
      </c>
      <c r="B996" s="4" t="str">
        <f>HYPERLINK("https://twitter.com/petrogustavo","@petrogustavo")</f>
        <v>@petrogustavo</v>
      </c>
      <c r="C996" s="5" t="s">
        <v>16</v>
      </c>
      <c r="D996" s="5" t="s">
        <v>985</v>
      </c>
      <c r="E996" s="6" t="str">
        <f>HYPERLINK("https://twitter.com/petrogustavo/status/1213496329462308867","1213496329462308867")</f>
        <v>1213496329462308867</v>
      </c>
      <c r="F996" s="7" t="s">
        <v>17</v>
      </c>
      <c r="G996" s="7">
        <v>3597622</v>
      </c>
      <c r="H996" s="7">
        <v>2339</v>
      </c>
      <c r="I996" s="7">
        <v>293</v>
      </c>
      <c r="J996" s="7">
        <v>0</v>
      </c>
      <c r="K996" s="7" t="s">
        <v>18</v>
      </c>
      <c r="L996" s="8">
        <v>39987.315405092595</v>
      </c>
      <c r="M996" s="9" t="s">
        <v>19</v>
      </c>
      <c r="N996" s="9" t="s">
        <v>20</v>
      </c>
      <c r="O996" s="6" t="str">
        <f>HYPERLINK("https://pbs.twimg.com/profile_images/962471262747529216/Uo8lOkRJ_normal.jpg","View")</f>
        <v>View</v>
      </c>
      <c r="P996" s="7"/>
    </row>
    <row r="997" spans="1:16">
      <c r="A997" s="3">
        <v>43834.939803240741</v>
      </c>
      <c r="B997" s="4" t="str">
        <f>HYPERLINK("https://twitter.com/petrogustavo","@petrogustavo")</f>
        <v>@petrogustavo</v>
      </c>
      <c r="C997" s="5" t="s">
        <v>16</v>
      </c>
      <c r="D997" s="5" t="s">
        <v>986</v>
      </c>
      <c r="E997" s="6" t="str">
        <f>HYPERLINK("https://twitter.com/petrogustavo/status/1213506204925870080","1213506204925870080")</f>
        <v>1213506204925870080</v>
      </c>
      <c r="F997" s="7" t="s">
        <v>17</v>
      </c>
      <c r="G997" s="7">
        <v>3597658</v>
      </c>
      <c r="H997" s="7">
        <v>2339</v>
      </c>
      <c r="I997" s="7">
        <v>79</v>
      </c>
      <c r="J997" s="7">
        <v>183</v>
      </c>
      <c r="K997" s="7" t="s">
        <v>18</v>
      </c>
      <c r="L997" s="8">
        <v>39987.315405092595</v>
      </c>
      <c r="M997" s="9" t="s">
        <v>19</v>
      </c>
      <c r="N997" s="9" t="s">
        <v>20</v>
      </c>
      <c r="O997" s="6" t="str">
        <f>HYPERLINK("https://pbs.twimg.com/profile_images/962471262747529216/Uo8lOkRJ_normal.jpg","View")</f>
        <v>View</v>
      </c>
      <c r="P997" s="7"/>
    </row>
    <row r="998" spans="1:16">
      <c r="A998" s="3">
        <v>43834.957962962959</v>
      </c>
      <c r="B998" s="4" t="str">
        <f>HYPERLINK("https://twitter.com/petrogustavo","@petrogustavo")</f>
        <v>@petrogustavo</v>
      </c>
      <c r="C998" s="5" t="s">
        <v>16</v>
      </c>
      <c r="D998" s="5" t="s">
        <v>987</v>
      </c>
      <c r="E998" s="6" t="str">
        <f>HYPERLINK("https://twitter.com/petrogustavo/status/1213512786745184257","1213512786745184257")</f>
        <v>1213512786745184257</v>
      </c>
      <c r="F998" s="7" t="s">
        <v>17</v>
      </c>
      <c r="G998" s="7">
        <v>3597709</v>
      </c>
      <c r="H998" s="7">
        <v>2339</v>
      </c>
      <c r="I998" s="7">
        <v>90</v>
      </c>
      <c r="J998" s="7">
        <v>159</v>
      </c>
      <c r="K998" s="7" t="s">
        <v>18</v>
      </c>
      <c r="L998" s="8">
        <v>39987.315405092595</v>
      </c>
      <c r="M998" s="9" t="s">
        <v>19</v>
      </c>
      <c r="N998" s="9" t="s">
        <v>20</v>
      </c>
      <c r="O998" s="6" t="str">
        <f>HYPERLINK("https://pbs.twimg.com/profile_images/962471262747529216/Uo8lOkRJ_normal.jpg","View")</f>
        <v>View</v>
      </c>
      <c r="P998" s="7"/>
    </row>
    <row r="999" spans="1:16">
      <c r="A999" s="3">
        <v>43834.96194444444</v>
      </c>
      <c r="B999" s="4" t="str">
        <f>HYPERLINK("https://twitter.com/petrogustavo","@petrogustavo")</f>
        <v>@petrogustavo</v>
      </c>
      <c r="C999" s="5" t="s">
        <v>16</v>
      </c>
      <c r="D999" s="5" t="s">
        <v>988</v>
      </c>
      <c r="E999" s="6" t="str">
        <f>HYPERLINK("https://twitter.com/petrogustavo/status/1213514226918182914","1213514226918182914")</f>
        <v>1213514226918182914</v>
      </c>
      <c r="F999" s="7" t="s">
        <v>17</v>
      </c>
      <c r="G999" s="7">
        <v>3597709</v>
      </c>
      <c r="H999" s="7">
        <v>2339</v>
      </c>
      <c r="I999" s="7">
        <v>175</v>
      </c>
      <c r="J999" s="7">
        <v>0</v>
      </c>
      <c r="K999" s="7" t="s">
        <v>18</v>
      </c>
      <c r="L999" s="8">
        <v>39987.315405092595</v>
      </c>
      <c r="M999" s="9" t="s">
        <v>19</v>
      </c>
      <c r="N999" s="9" t="s">
        <v>20</v>
      </c>
      <c r="O999" s="6" t="str">
        <f>HYPERLINK("https://pbs.twimg.com/profile_images/962471262747529216/Uo8lOkRJ_normal.jpg","View")</f>
        <v>View</v>
      </c>
      <c r="P999" s="7"/>
    </row>
    <row r="1000" spans="1:16">
      <c r="A1000" s="3">
        <v>43834.964780092589</v>
      </c>
      <c r="B1000" s="4" t="str">
        <f>HYPERLINK("https://twitter.com/petrogustavo","@petrogustavo")</f>
        <v>@petrogustavo</v>
      </c>
      <c r="C1000" s="5" t="s">
        <v>16</v>
      </c>
      <c r="D1000" s="5" t="s">
        <v>989</v>
      </c>
      <c r="E1000" s="6" t="str">
        <f>HYPERLINK("https://twitter.com/petrogustavo/status/1213515254283538435","1213515254283538435")</f>
        <v>1213515254283538435</v>
      </c>
      <c r="F1000" s="7" t="s">
        <v>17</v>
      </c>
      <c r="G1000" s="7">
        <v>3597709</v>
      </c>
      <c r="H1000" s="7">
        <v>2339</v>
      </c>
      <c r="I1000" s="7">
        <v>78</v>
      </c>
      <c r="J1000" s="7">
        <v>0</v>
      </c>
      <c r="K1000" s="7" t="s">
        <v>18</v>
      </c>
      <c r="L1000" s="8">
        <v>39987.315405092595</v>
      </c>
      <c r="M1000" s="9" t="s">
        <v>19</v>
      </c>
      <c r="N1000" s="9" t="s">
        <v>20</v>
      </c>
      <c r="O1000" s="6" t="str">
        <f>HYPERLINK("https://pbs.twimg.com/profile_images/962471262747529216/Uo8lOkRJ_normal.jpg","View")</f>
        <v>View</v>
      </c>
      <c r="P1000" s="7"/>
    </row>
    <row r="1001" spans="1:16">
      <c r="A1001" s="3">
        <v>43834.966770833329</v>
      </c>
      <c r="B1001" s="4" t="str">
        <f>HYPERLINK("https://twitter.com/petrogustavo","@petrogustavo")</f>
        <v>@petrogustavo</v>
      </c>
      <c r="C1001" s="5" t="s">
        <v>16</v>
      </c>
      <c r="D1001" s="5" t="s">
        <v>990</v>
      </c>
      <c r="E1001" s="6" t="str">
        <f>HYPERLINK("https://twitter.com/petrogustavo/status/1213515976198774784","1213515976198774784")</f>
        <v>1213515976198774784</v>
      </c>
      <c r="F1001" s="7" t="s">
        <v>17</v>
      </c>
      <c r="G1001" s="7">
        <v>3597709</v>
      </c>
      <c r="H1001" s="7">
        <v>2339</v>
      </c>
      <c r="I1001" s="7">
        <v>313</v>
      </c>
      <c r="J1001" s="7">
        <v>0</v>
      </c>
      <c r="K1001" s="7" t="s">
        <v>18</v>
      </c>
      <c r="L1001" s="8">
        <v>39987.315405092595</v>
      </c>
      <c r="M1001" s="9" t="s">
        <v>19</v>
      </c>
      <c r="N1001" s="9" t="s">
        <v>20</v>
      </c>
      <c r="O1001" s="6" t="str">
        <f>HYPERLINK("https://pbs.twimg.com/profile_images/962471262747529216/Uo8lOkRJ_normal.jpg","View")</f>
        <v>View</v>
      </c>
      <c r="P1001" s="7"/>
    </row>
    <row r="1002" spans="1:16">
      <c r="A1002" s="3">
        <v>43834.969189814816</v>
      </c>
      <c r="B1002" s="4" t="str">
        <f>HYPERLINK("https://twitter.com/petrogustavo","@petrogustavo")</f>
        <v>@petrogustavo</v>
      </c>
      <c r="C1002" s="5" t="s">
        <v>16</v>
      </c>
      <c r="D1002" s="5" t="s">
        <v>991</v>
      </c>
      <c r="E1002" s="6" t="str">
        <f>HYPERLINK("https://twitter.com/petrogustavo/status/1213516851419975686","1213516851419975686")</f>
        <v>1213516851419975686</v>
      </c>
      <c r="F1002" s="7" t="s">
        <v>17</v>
      </c>
      <c r="G1002" s="7">
        <v>3597709</v>
      </c>
      <c r="H1002" s="7">
        <v>2339</v>
      </c>
      <c r="I1002" s="7">
        <v>11</v>
      </c>
      <c r="J1002" s="7">
        <v>0</v>
      </c>
      <c r="K1002" s="7" t="s">
        <v>18</v>
      </c>
      <c r="L1002" s="8">
        <v>39987.315405092595</v>
      </c>
      <c r="M1002" s="9" t="s">
        <v>19</v>
      </c>
      <c r="N1002" s="9" t="s">
        <v>20</v>
      </c>
      <c r="O1002" s="6" t="str">
        <f>HYPERLINK("https://pbs.twimg.com/profile_images/962471262747529216/Uo8lOkRJ_normal.jpg","View")</f>
        <v>View</v>
      </c>
      <c r="P1002" s="7"/>
    </row>
    <row r="1003" spans="1:16">
      <c r="A1003" s="3">
        <v>43834.973958333328</v>
      </c>
      <c r="B1003" s="4" t="str">
        <f>HYPERLINK("https://twitter.com/petrogustavo","@petrogustavo")</f>
        <v>@petrogustavo</v>
      </c>
      <c r="C1003" s="5" t="s">
        <v>16</v>
      </c>
      <c r="D1003" s="5" t="s">
        <v>992</v>
      </c>
      <c r="E1003" s="6" t="str">
        <f>HYPERLINK("https://twitter.com/petrogustavo/status/1213518579913646080","1213518579913646080")</f>
        <v>1213518579913646080</v>
      </c>
      <c r="F1003" s="7" t="s">
        <v>17</v>
      </c>
      <c r="G1003" s="7">
        <v>3597745</v>
      </c>
      <c r="H1003" s="7">
        <v>2339</v>
      </c>
      <c r="I1003" s="7">
        <v>61</v>
      </c>
      <c r="J1003" s="7">
        <v>208</v>
      </c>
      <c r="K1003" s="7" t="s">
        <v>18</v>
      </c>
      <c r="L1003" s="8">
        <v>39987.315405092595</v>
      </c>
      <c r="M1003" s="9" t="s">
        <v>19</v>
      </c>
      <c r="N1003" s="9" t="s">
        <v>20</v>
      </c>
      <c r="O1003" s="6" t="str">
        <f>HYPERLINK("https://pbs.twimg.com/profile_images/962471262747529216/Uo8lOkRJ_normal.jpg","View")</f>
        <v>View</v>
      </c>
      <c r="P1003" s="7"/>
    </row>
    <row r="1004" spans="1:16">
      <c r="A1004" s="3">
        <v>43834.974143518513</v>
      </c>
      <c r="B1004" s="4" t="str">
        <f>HYPERLINK("https://twitter.com/petrogustavo","@petrogustavo")</f>
        <v>@petrogustavo</v>
      </c>
      <c r="C1004" s="5" t="s">
        <v>16</v>
      </c>
      <c r="D1004" s="5" t="s">
        <v>993</v>
      </c>
      <c r="E1004" s="6" t="str">
        <f>HYPERLINK("https://twitter.com/petrogustavo/status/1213518649534951424","1213518649534951424")</f>
        <v>1213518649534951424</v>
      </c>
      <c r="F1004" s="7" t="s">
        <v>17</v>
      </c>
      <c r="G1004" s="7">
        <v>3597745</v>
      </c>
      <c r="H1004" s="7">
        <v>2339</v>
      </c>
      <c r="I1004" s="7">
        <v>230</v>
      </c>
      <c r="J1004" s="7">
        <v>0</v>
      </c>
      <c r="K1004" s="7" t="s">
        <v>18</v>
      </c>
      <c r="L1004" s="8">
        <v>39987.315405092595</v>
      </c>
      <c r="M1004" s="9" t="s">
        <v>19</v>
      </c>
      <c r="N1004" s="9" t="s">
        <v>20</v>
      </c>
      <c r="O1004" s="6" t="str">
        <f>HYPERLINK("https://pbs.twimg.com/profile_images/962471262747529216/Uo8lOkRJ_normal.jpg","View")</f>
        <v>View</v>
      </c>
      <c r="P1004" s="7"/>
    </row>
    <row r="1005" spans="1:16">
      <c r="A1005" s="3">
        <v>43834.976018518515</v>
      </c>
      <c r="B1005" s="4" t="str">
        <f>HYPERLINK("https://twitter.com/petrogustavo","@petrogustavo")</f>
        <v>@petrogustavo</v>
      </c>
      <c r="C1005" s="5" t="s">
        <v>16</v>
      </c>
      <c r="D1005" s="5" t="s">
        <v>994</v>
      </c>
      <c r="E1005" s="6" t="str">
        <f>HYPERLINK("https://twitter.com/petrogustavo/status/1213519328403951616","1213519328403951616")</f>
        <v>1213519328403951616</v>
      </c>
      <c r="F1005" s="7" t="s">
        <v>17</v>
      </c>
      <c r="G1005" s="7">
        <v>3597745</v>
      </c>
      <c r="H1005" s="7">
        <v>2339</v>
      </c>
      <c r="I1005" s="7">
        <v>4389</v>
      </c>
      <c r="J1005" s="7">
        <v>0</v>
      </c>
      <c r="K1005" s="7" t="s">
        <v>18</v>
      </c>
      <c r="L1005" s="8">
        <v>39987.315405092595</v>
      </c>
      <c r="M1005" s="9" t="s">
        <v>19</v>
      </c>
      <c r="N1005" s="9" t="s">
        <v>20</v>
      </c>
      <c r="O1005" s="6" t="str">
        <f>HYPERLINK("https://pbs.twimg.com/profile_images/962471262747529216/Uo8lOkRJ_normal.jpg","View")</f>
        <v>View</v>
      </c>
      <c r="P1005" s="7"/>
    </row>
    <row r="1006" spans="1:16">
      <c r="A1006" s="3">
        <v>43834.979027777779</v>
      </c>
      <c r="B1006" s="4" t="str">
        <f>HYPERLINK("https://twitter.com/petrogustavo","@petrogustavo")</f>
        <v>@petrogustavo</v>
      </c>
      <c r="C1006" s="5" t="s">
        <v>16</v>
      </c>
      <c r="D1006" s="5" t="s">
        <v>995</v>
      </c>
      <c r="E1006" s="6" t="str">
        <f>HYPERLINK("https://twitter.com/petrogustavo/status/1213520418373611521","1213520418373611521")</f>
        <v>1213520418373611521</v>
      </c>
      <c r="F1006" s="7" t="s">
        <v>17</v>
      </c>
      <c r="G1006" s="7">
        <v>3597745</v>
      </c>
      <c r="H1006" s="7">
        <v>2339</v>
      </c>
      <c r="I1006" s="7">
        <v>79</v>
      </c>
      <c r="J1006" s="7">
        <v>0</v>
      </c>
      <c r="K1006" s="7" t="s">
        <v>18</v>
      </c>
      <c r="L1006" s="8">
        <v>39987.315405092595</v>
      </c>
      <c r="M1006" s="9" t="s">
        <v>19</v>
      </c>
      <c r="N1006" s="9" t="s">
        <v>20</v>
      </c>
      <c r="O1006" s="6" t="str">
        <f>HYPERLINK("https://pbs.twimg.com/profile_images/962471262747529216/Uo8lOkRJ_normal.jpg","View")</f>
        <v>View</v>
      </c>
      <c r="P1006" s="7"/>
    </row>
    <row r="1007" spans="1:16">
      <c r="A1007" s="3">
        <v>43834.98164351852</v>
      </c>
      <c r="B1007" s="4" t="str">
        <f>HYPERLINK("https://twitter.com/petrogustavo","@petrogustavo")</f>
        <v>@petrogustavo</v>
      </c>
      <c r="C1007" s="5" t="s">
        <v>16</v>
      </c>
      <c r="D1007" s="5" t="s">
        <v>996</v>
      </c>
      <c r="E1007" s="6" t="str">
        <f>HYPERLINK("https://twitter.com/petrogustavo/status/1213521366667935750","1213521366667935750")</f>
        <v>1213521366667935750</v>
      </c>
      <c r="F1007" s="7" t="s">
        <v>17</v>
      </c>
      <c r="G1007" s="7">
        <v>3597745</v>
      </c>
      <c r="H1007" s="7">
        <v>2339</v>
      </c>
      <c r="I1007" s="7">
        <v>53</v>
      </c>
      <c r="J1007" s="7">
        <v>166</v>
      </c>
      <c r="K1007" s="7" t="s">
        <v>18</v>
      </c>
      <c r="L1007" s="8">
        <v>39987.315405092595</v>
      </c>
      <c r="M1007" s="9" t="s">
        <v>19</v>
      </c>
      <c r="N1007" s="9" t="s">
        <v>20</v>
      </c>
      <c r="O1007" s="6" t="str">
        <f>HYPERLINK("https://pbs.twimg.com/profile_images/962471262747529216/Uo8lOkRJ_normal.jpg","View")</f>
        <v>View</v>
      </c>
      <c r="P1007" s="7"/>
    </row>
    <row r="1008" spans="1:16">
      <c r="A1008" s="3">
        <v>43834.984537037039</v>
      </c>
      <c r="B1008" s="4" t="str">
        <f>HYPERLINK("https://twitter.com/petrogustavo","@petrogustavo")</f>
        <v>@petrogustavo</v>
      </c>
      <c r="C1008" s="5" t="s">
        <v>16</v>
      </c>
      <c r="D1008" s="5" t="s">
        <v>997</v>
      </c>
      <c r="E1008" s="6" t="str">
        <f>HYPERLINK("https://twitter.com/petrogustavo/status/1213522414514180096","1213522414514180096")</f>
        <v>1213522414514180096</v>
      </c>
      <c r="F1008" s="7" t="s">
        <v>17</v>
      </c>
      <c r="G1008" s="7">
        <v>3597745</v>
      </c>
      <c r="H1008" s="7">
        <v>2339</v>
      </c>
      <c r="I1008" s="7">
        <v>62</v>
      </c>
      <c r="J1008" s="7">
        <v>179</v>
      </c>
      <c r="K1008" s="7" t="s">
        <v>18</v>
      </c>
      <c r="L1008" s="8">
        <v>39987.315405092595</v>
      </c>
      <c r="M1008" s="9" t="s">
        <v>19</v>
      </c>
      <c r="N1008" s="9" t="s">
        <v>20</v>
      </c>
      <c r="O1008" s="6" t="str">
        <f>HYPERLINK("https://pbs.twimg.com/profile_images/962471262747529216/Uo8lOkRJ_normal.jpg","View")</f>
        <v>View</v>
      </c>
      <c r="P1008" s="7"/>
    </row>
    <row r="1009" spans="1:16">
      <c r="A1009" s="3">
        <v>43834.985636574071</v>
      </c>
      <c r="B1009" s="4" t="str">
        <f>HYPERLINK("https://twitter.com/petrogustavo","@petrogustavo")</f>
        <v>@petrogustavo</v>
      </c>
      <c r="C1009" s="5" t="s">
        <v>16</v>
      </c>
      <c r="D1009" s="5" t="s">
        <v>998</v>
      </c>
      <c r="E1009" s="6" t="str">
        <f>HYPERLINK("https://twitter.com/petrogustavo/status/1213522811626627074","1213522811626627074")</f>
        <v>1213522811626627074</v>
      </c>
      <c r="F1009" s="7" t="s">
        <v>17</v>
      </c>
      <c r="G1009" s="7">
        <v>3597745</v>
      </c>
      <c r="H1009" s="7">
        <v>2339</v>
      </c>
      <c r="I1009" s="7">
        <v>31</v>
      </c>
      <c r="J1009" s="7">
        <v>88</v>
      </c>
      <c r="K1009" s="7" t="s">
        <v>18</v>
      </c>
      <c r="L1009" s="8">
        <v>39987.315405092595</v>
      </c>
      <c r="M1009" s="9" t="s">
        <v>19</v>
      </c>
      <c r="N1009" s="9" t="s">
        <v>20</v>
      </c>
      <c r="O1009" s="6" t="str">
        <f>HYPERLINK("https://pbs.twimg.com/profile_images/962471262747529216/Uo8lOkRJ_normal.jpg","View")</f>
        <v>View</v>
      </c>
      <c r="P1009" s="7"/>
    </row>
    <row r="1010" spans="1:16">
      <c r="A1010" s="3">
        <v>43834.985868055555</v>
      </c>
      <c r="B1010" s="4" t="str">
        <f>HYPERLINK("https://twitter.com/petrogustavo","@petrogustavo")</f>
        <v>@petrogustavo</v>
      </c>
      <c r="C1010" s="5" t="s">
        <v>16</v>
      </c>
      <c r="D1010" s="5" t="s">
        <v>999</v>
      </c>
      <c r="E1010" s="6" t="str">
        <f>HYPERLINK("https://twitter.com/petrogustavo/status/1213522896045428738","1213522896045428738")</f>
        <v>1213522896045428738</v>
      </c>
      <c r="F1010" s="7" t="s">
        <v>17</v>
      </c>
      <c r="G1010" s="7">
        <v>3597745</v>
      </c>
      <c r="H1010" s="7">
        <v>2339</v>
      </c>
      <c r="I1010" s="7">
        <v>23</v>
      </c>
      <c r="J1010" s="7">
        <v>0</v>
      </c>
      <c r="K1010" s="7" t="s">
        <v>18</v>
      </c>
      <c r="L1010" s="8">
        <v>39987.315405092595</v>
      </c>
      <c r="M1010" s="9" t="s">
        <v>19</v>
      </c>
      <c r="N1010" s="9" t="s">
        <v>20</v>
      </c>
      <c r="O1010" s="6" t="str">
        <f>HYPERLINK("https://pbs.twimg.com/profile_images/962471262747529216/Uo8lOkRJ_normal.jpg","View")</f>
        <v>View</v>
      </c>
      <c r="P1010" s="7"/>
    </row>
    <row r="1011" spans="1:16">
      <c r="A1011" s="3">
        <v>43835.104722222226</v>
      </c>
      <c r="B1011" s="4" t="str">
        <f>HYPERLINK("https://twitter.com/petrogustavo","@petrogustavo")</f>
        <v>@petrogustavo</v>
      </c>
      <c r="C1011" s="5" t="s">
        <v>16</v>
      </c>
      <c r="D1011" s="5" t="s">
        <v>1000</v>
      </c>
      <c r="E1011" s="6" t="str">
        <f>HYPERLINK("https://twitter.com/petrogustavo/status/1213565969395863558","1213565969395863558")</f>
        <v>1213565969395863558</v>
      </c>
      <c r="F1011" s="7" t="s">
        <v>17</v>
      </c>
      <c r="G1011" s="7">
        <v>3597923</v>
      </c>
      <c r="H1011" s="7">
        <v>2339</v>
      </c>
      <c r="I1011" s="7">
        <v>142</v>
      </c>
      <c r="J1011" s="7">
        <v>418</v>
      </c>
      <c r="K1011" s="7" t="s">
        <v>18</v>
      </c>
      <c r="L1011" s="8">
        <v>39987.315405092595</v>
      </c>
      <c r="M1011" s="9" t="s">
        <v>19</v>
      </c>
      <c r="N1011" s="9" t="s">
        <v>20</v>
      </c>
      <c r="O1011" s="6" t="str">
        <f>HYPERLINK("https://pbs.twimg.com/profile_images/962471262747529216/Uo8lOkRJ_normal.jpg","View")</f>
        <v>View</v>
      </c>
      <c r="P1011" s="7"/>
    </row>
    <row r="1012" spans="1:16">
      <c r="A1012" s="3">
        <v>43835.108055555553</v>
      </c>
      <c r="B1012" s="4" t="str">
        <f>HYPERLINK("https://twitter.com/petrogustavo","@petrogustavo")</f>
        <v>@petrogustavo</v>
      </c>
      <c r="C1012" s="5" t="s">
        <v>16</v>
      </c>
      <c r="D1012" s="5" t="s">
        <v>1001</v>
      </c>
      <c r="E1012" s="6" t="str">
        <f>HYPERLINK("https://twitter.com/petrogustavo/status/1213567177841926145","1213567177841926145")</f>
        <v>1213567177841926145</v>
      </c>
      <c r="F1012" s="7" t="s">
        <v>17</v>
      </c>
      <c r="G1012" s="7">
        <v>3597923</v>
      </c>
      <c r="H1012" s="7">
        <v>2339</v>
      </c>
      <c r="I1012" s="7">
        <v>161</v>
      </c>
      <c r="J1012" s="7">
        <v>438</v>
      </c>
      <c r="K1012" s="7" t="s">
        <v>18</v>
      </c>
      <c r="L1012" s="8">
        <v>39987.315405092595</v>
      </c>
      <c r="M1012" s="9" t="s">
        <v>19</v>
      </c>
      <c r="N1012" s="9" t="s">
        <v>20</v>
      </c>
      <c r="O1012" s="6" t="str">
        <f>HYPERLINK("https://pbs.twimg.com/profile_images/962471262747529216/Uo8lOkRJ_normal.jpg","View")</f>
        <v>View</v>
      </c>
      <c r="P1012" s="7"/>
    </row>
    <row r="1013" spans="1:16">
      <c r="A1013" s="3">
        <v>43835.114525462966</v>
      </c>
      <c r="B1013" s="4" t="str">
        <f>HYPERLINK("https://twitter.com/petrogustavo","@petrogustavo")</f>
        <v>@petrogustavo</v>
      </c>
      <c r="C1013" s="5" t="s">
        <v>16</v>
      </c>
      <c r="D1013" s="5" t="s">
        <v>1002</v>
      </c>
      <c r="E1013" s="6" t="str">
        <f>HYPERLINK("https://twitter.com/petrogustavo/status/1213569521858072576","1213569521858072576")</f>
        <v>1213569521858072576</v>
      </c>
      <c r="F1013" s="7" t="s">
        <v>17</v>
      </c>
      <c r="G1013" s="7">
        <v>3597923</v>
      </c>
      <c r="H1013" s="7">
        <v>2339</v>
      </c>
      <c r="I1013" s="7">
        <v>19</v>
      </c>
      <c r="J1013" s="7">
        <v>49</v>
      </c>
      <c r="K1013" s="7" t="s">
        <v>18</v>
      </c>
      <c r="L1013" s="8">
        <v>39987.315405092595</v>
      </c>
      <c r="M1013" s="9" t="s">
        <v>19</v>
      </c>
      <c r="N1013" s="9" t="s">
        <v>20</v>
      </c>
      <c r="O1013" s="6" t="str">
        <f>HYPERLINK("https://pbs.twimg.com/profile_images/962471262747529216/Uo8lOkRJ_normal.jpg","View")</f>
        <v>View</v>
      </c>
      <c r="P1013" s="7"/>
    </row>
    <row r="1014" spans="1:16">
      <c r="A1014" s="3">
        <v>43835.174849537041</v>
      </c>
      <c r="B1014" s="4" t="str">
        <f>HYPERLINK("https://twitter.com/petrogustavo","@petrogustavo")</f>
        <v>@petrogustavo</v>
      </c>
      <c r="C1014" s="5" t="s">
        <v>16</v>
      </c>
      <c r="D1014" s="5" t="s">
        <v>1003</v>
      </c>
      <c r="E1014" s="6" t="str">
        <f>HYPERLINK("https://twitter.com/petrogustavo/status/1213591380116811776","1213591380116811776")</f>
        <v>1213591380116811776</v>
      </c>
      <c r="F1014" s="7" t="s">
        <v>17</v>
      </c>
      <c r="G1014" s="7">
        <v>3597997</v>
      </c>
      <c r="H1014" s="7">
        <v>2339</v>
      </c>
      <c r="I1014" s="7">
        <v>53</v>
      </c>
      <c r="J1014" s="7">
        <v>255</v>
      </c>
      <c r="K1014" s="7" t="s">
        <v>18</v>
      </c>
      <c r="L1014" s="8">
        <v>39987.315405092595</v>
      </c>
      <c r="M1014" s="9" t="s">
        <v>19</v>
      </c>
      <c r="N1014" s="9" t="s">
        <v>20</v>
      </c>
      <c r="O1014" s="6" t="str">
        <f>HYPERLINK("https://pbs.twimg.com/profile_images/962471262747529216/Uo8lOkRJ_normal.jpg","View")</f>
        <v>View</v>
      </c>
      <c r="P1014" s="7"/>
    </row>
    <row r="1015" spans="1:16">
      <c r="A1015" s="3">
        <v>43835.177430555559</v>
      </c>
      <c r="B1015" s="4" t="str">
        <f>HYPERLINK("https://twitter.com/petrogustavo","@petrogustavo")</f>
        <v>@petrogustavo</v>
      </c>
      <c r="C1015" s="5" t="s">
        <v>16</v>
      </c>
      <c r="D1015" s="5" t="s">
        <v>1004</v>
      </c>
      <c r="E1015" s="6" t="str">
        <f>HYPERLINK("https://twitter.com/petrogustavo/status/1213592316734320640","1213592316734320640")</f>
        <v>1213592316734320640</v>
      </c>
      <c r="F1015" s="7" t="s">
        <v>17</v>
      </c>
      <c r="G1015" s="7">
        <v>3597997</v>
      </c>
      <c r="H1015" s="7">
        <v>2339</v>
      </c>
      <c r="I1015" s="7">
        <v>15</v>
      </c>
      <c r="J1015" s="7">
        <v>49</v>
      </c>
      <c r="K1015" s="7" t="s">
        <v>18</v>
      </c>
      <c r="L1015" s="8">
        <v>39987.315405092595</v>
      </c>
      <c r="M1015" s="9" t="s">
        <v>19</v>
      </c>
      <c r="N1015" s="9" t="s">
        <v>20</v>
      </c>
      <c r="O1015" s="6" t="str">
        <f>HYPERLINK("https://pbs.twimg.com/profile_images/962471262747529216/Uo8lOkRJ_normal.jpg","View")</f>
        <v>View</v>
      </c>
      <c r="P1015" s="7"/>
    </row>
    <row r="1016" spans="1:16">
      <c r="A1016" s="3">
        <v>43835.181874999995</v>
      </c>
      <c r="B1016" s="4" t="str">
        <f>HYPERLINK("https://twitter.com/petrogustavo","@petrogustavo")</f>
        <v>@petrogustavo</v>
      </c>
      <c r="C1016" s="5" t="s">
        <v>16</v>
      </c>
      <c r="D1016" s="5" t="s">
        <v>1005</v>
      </c>
      <c r="E1016" s="6" t="str">
        <f>HYPERLINK("https://twitter.com/petrogustavo/status/1213593927393128448","1213593927393128448")</f>
        <v>1213593927393128448</v>
      </c>
      <c r="F1016" s="7" t="s">
        <v>17</v>
      </c>
      <c r="G1016" s="7">
        <v>3598021</v>
      </c>
      <c r="H1016" s="7">
        <v>2339</v>
      </c>
      <c r="I1016" s="7">
        <v>76</v>
      </c>
      <c r="J1016" s="7">
        <v>0</v>
      </c>
      <c r="K1016" s="7" t="s">
        <v>18</v>
      </c>
      <c r="L1016" s="8">
        <v>39987.315405092595</v>
      </c>
      <c r="M1016" s="9" t="s">
        <v>19</v>
      </c>
      <c r="N1016" s="9" t="s">
        <v>20</v>
      </c>
      <c r="O1016" s="6" t="str">
        <f>HYPERLINK("https://pbs.twimg.com/profile_images/962471262747529216/Uo8lOkRJ_normal.jpg","View")</f>
        <v>View</v>
      </c>
      <c r="P1016" s="7"/>
    </row>
    <row r="1017" spans="1:16">
      <c r="A1017" s="3">
        <v>43835.188877314809</v>
      </c>
      <c r="B1017" s="4" t="str">
        <f>HYPERLINK("https://twitter.com/petrogustavo","@petrogustavo")</f>
        <v>@petrogustavo</v>
      </c>
      <c r="C1017" s="5" t="s">
        <v>16</v>
      </c>
      <c r="D1017" s="5" t="s">
        <v>1006</v>
      </c>
      <c r="E1017" s="6" t="str">
        <f>HYPERLINK("https://twitter.com/petrogustavo/status/1213596463395221506","1213596463395221506")</f>
        <v>1213596463395221506</v>
      </c>
      <c r="F1017" s="7" t="s">
        <v>17</v>
      </c>
      <c r="G1017" s="7">
        <v>3598021</v>
      </c>
      <c r="H1017" s="7">
        <v>2339</v>
      </c>
      <c r="I1017" s="7">
        <v>407</v>
      </c>
      <c r="J1017" s="7">
        <v>0</v>
      </c>
      <c r="K1017" s="7" t="s">
        <v>18</v>
      </c>
      <c r="L1017" s="8">
        <v>39987.315405092595</v>
      </c>
      <c r="M1017" s="9" t="s">
        <v>19</v>
      </c>
      <c r="N1017" s="9" t="s">
        <v>20</v>
      </c>
      <c r="O1017" s="6" t="str">
        <f>HYPERLINK("https://pbs.twimg.com/profile_images/962471262747529216/Uo8lOkRJ_normal.jpg","View")</f>
        <v>View</v>
      </c>
      <c r="P1017" s="7"/>
    </row>
    <row r="1018" spans="1:16">
      <c r="A1018" s="3">
        <v>43835.658796296295</v>
      </c>
      <c r="B1018" s="4" t="str">
        <f>HYPERLINK("https://twitter.com/petrogustavo","@petrogustavo")</f>
        <v>@petrogustavo</v>
      </c>
      <c r="C1018" s="5" t="s">
        <v>16</v>
      </c>
      <c r="D1018" s="5" t="s">
        <v>1007</v>
      </c>
      <c r="E1018" s="6" t="str">
        <f>HYPERLINK("https://twitter.com/petrogustavo/status/1213766757749538816","1213766757749538816")</f>
        <v>1213766757749538816</v>
      </c>
      <c r="F1018" s="7" t="s">
        <v>17</v>
      </c>
      <c r="G1018" s="7">
        <v>3598293</v>
      </c>
      <c r="H1018" s="7">
        <v>2339</v>
      </c>
      <c r="I1018" s="7">
        <v>13</v>
      </c>
      <c r="J1018" s="7">
        <v>42</v>
      </c>
      <c r="K1018" s="7" t="s">
        <v>18</v>
      </c>
      <c r="L1018" s="8">
        <v>39987.315405092595</v>
      </c>
      <c r="M1018" s="9" t="s">
        <v>19</v>
      </c>
      <c r="N1018" s="9" t="s">
        <v>20</v>
      </c>
      <c r="O1018" s="6" t="str">
        <f>HYPERLINK("https://pbs.twimg.com/profile_images/962471262747529216/Uo8lOkRJ_normal.jpg","View")</f>
        <v>View</v>
      </c>
      <c r="P1018" s="7"/>
    </row>
    <row r="1019" spans="1:16">
      <c r="A1019" s="3">
        <v>43835.661747685182</v>
      </c>
      <c r="B1019" s="4" t="str">
        <f>HYPERLINK("https://twitter.com/petrogustavo","@petrogustavo")</f>
        <v>@petrogustavo</v>
      </c>
      <c r="C1019" s="5" t="s">
        <v>16</v>
      </c>
      <c r="D1019" s="5" t="s">
        <v>1008</v>
      </c>
      <c r="E1019" s="6" t="str">
        <f>HYPERLINK("https://twitter.com/petrogustavo/status/1213767827062239232","1213767827062239232")</f>
        <v>1213767827062239232</v>
      </c>
      <c r="F1019" s="7" t="s">
        <v>17</v>
      </c>
      <c r="G1019" s="7">
        <v>3598293</v>
      </c>
      <c r="H1019" s="7">
        <v>2339</v>
      </c>
      <c r="I1019" s="7">
        <v>65</v>
      </c>
      <c r="J1019" s="7">
        <v>0</v>
      </c>
      <c r="K1019" s="7" t="s">
        <v>18</v>
      </c>
      <c r="L1019" s="8">
        <v>39987.315405092595</v>
      </c>
      <c r="M1019" s="9" t="s">
        <v>19</v>
      </c>
      <c r="N1019" s="9" t="s">
        <v>20</v>
      </c>
      <c r="O1019" s="6" t="str">
        <f>HYPERLINK("https://pbs.twimg.com/profile_images/962471262747529216/Uo8lOkRJ_normal.jpg","View")</f>
        <v>View</v>
      </c>
      <c r="P1019" s="7"/>
    </row>
    <row r="1020" spans="1:16">
      <c r="A1020" s="3">
        <v>43835.670729166668</v>
      </c>
      <c r="B1020" s="4" t="str">
        <f>HYPERLINK("https://twitter.com/petrogustavo","@petrogustavo")</f>
        <v>@petrogustavo</v>
      </c>
      <c r="C1020" s="5" t="s">
        <v>16</v>
      </c>
      <c r="D1020" s="5" t="s">
        <v>1009</v>
      </c>
      <c r="E1020" s="6" t="str">
        <f>HYPERLINK("https://twitter.com/petrogustavo/status/1213771082655830017","1213771082655830017")</f>
        <v>1213771082655830017</v>
      </c>
      <c r="F1020" s="7" t="s">
        <v>17</v>
      </c>
      <c r="G1020" s="7">
        <v>3598293</v>
      </c>
      <c r="H1020" s="7">
        <v>2339</v>
      </c>
      <c r="I1020" s="7">
        <v>36</v>
      </c>
      <c r="J1020" s="7">
        <v>54</v>
      </c>
      <c r="K1020" s="7" t="s">
        <v>18</v>
      </c>
      <c r="L1020" s="8">
        <v>39987.315405092595</v>
      </c>
      <c r="M1020" s="9" t="s">
        <v>19</v>
      </c>
      <c r="N1020" s="9" t="s">
        <v>20</v>
      </c>
      <c r="O1020" s="6" t="str">
        <f>HYPERLINK("https://pbs.twimg.com/profile_images/962471262747529216/Uo8lOkRJ_normal.jpg","View")</f>
        <v>View</v>
      </c>
      <c r="P1020" s="7"/>
    </row>
    <row r="1021" spans="1:16">
      <c r="A1021" s="3">
        <v>43835.6799537037</v>
      </c>
      <c r="B1021" s="4" t="str">
        <f>HYPERLINK("https://twitter.com/petrogustavo","@petrogustavo")</f>
        <v>@petrogustavo</v>
      </c>
      <c r="C1021" s="5" t="s">
        <v>16</v>
      </c>
      <c r="D1021" s="5" t="s">
        <v>1010</v>
      </c>
      <c r="E1021" s="6" t="str">
        <f>HYPERLINK("https://twitter.com/petrogustavo/status/1213774424467488768","1213774424467488768")</f>
        <v>1213774424467488768</v>
      </c>
      <c r="F1021" s="7" t="s">
        <v>17</v>
      </c>
      <c r="G1021" s="7">
        <v>3598295</v>
      </c>
      <c r="H1021" s="7">
        <v>2339</v>
      </c>
      <c r="I1021" s="7">
        <v>61</v>
      </c>
      <c r="J1021" s="7">
        <v>158</v>
      </c>
      <c r="K1021" s="7" t="s">
        <v>18</v>
      </c>
      <c r="L1021" s="8">
        <v>39987.315405092595</v>
      </c>
      <c r="M1021" s="9" t="s">
        <v>19</v>
      </c>
      <c r="N1021" s="9" t="s">
        <v>20</v>
      </c>
      <c r="O1021" s="6" t="str">
        <f>HYPERLINK("https://pbs.twimg.com/profile_images/962471262747529216/Uo8lOkRJ_normal.jpg","View")</f>
        <v>View</v>
      </c>
      <c r="P1021" s="7"/>
    </row>
    <row r="1022" spans="1:16">
      <c r="A1022" s="3">
        <v>43835.68440972222</v>
      </c>
      <c r="B1022" s="4" t="str">
        <f>HYPERLINK("https://twitter.com/petrogustavo","@petrogustavo")</f>
        <v>@petrogustavo</v>
      </c>
      <c r="C1022" s="5" t="s">
        <v>16</v>
      </c>
      <c r="D1022" s="5" t="s">
        <v>1011</v>
      </c>
      <c r="E1022" s="6" t="str">
        <f>HYPERLINK("https://twitter.com/petrogustavo/status/1213776042189561857","1213776042189561857")</f>
        <v>1213776042189561857</v>
      </c>
      <c r="F1022" s="7" t="s">
        <v>17</v>
      </c>
      <c r="G1022" s="7">
        <v>3598295</v>
      </c>
      <c r="H1022" s="7">
        <v>2339</v>
      </c>
      <c r="I1022" s="7">
        <v>18</v>
      </c>
      <c r="J1022" s="7">
        <v>42</v>
      </c>
      <c r="K1022" s="7" t="s">
        <v>18</v>
      </c>
      <c r="L1022" s="8">
        <v>39987.315405092595</v>
      </c>
      <c r="M1022" s="9" t="s">
        <v>19</v>
      </c>
      <c r="N1022" s="9" t="s">
        <v>20</v>
      </c>
      <c r="O1022" s="6" t="str">
        <f>HYPERLINK("https://pbs.twimg.com/profile_images/962471262747529216/Uo8lOkRJ_normal.jpg","View")</f>
        <v>View</v>
      </c>
      <c r="P1022" s="7"/>
    </row>
    <row r="1023" spans="1:16">
      <c r="A1023" s="3">
        <v>43835.684421296297</v>
      </c>
      <c r="B1023" s="4" t="str">
        <f>HYPERLINK("https://twitter.com/petrogustavo","@petrogustavo")</f>
        <v>@petrogustavo</v>
      </c>
      <c r="C1023" s="5" t="s">
        <v>16</v>
      </c>
      <c r="D1023" s="5" t="s">
        <v>1012</v>
      </c>
      <c r="E1023" s="6" t="str">
        <f>HYPERLINK("https://twitter.com/petrogustavo/status/1213776044005703680","1213776044005703680")</f>
        <v>1213776044005703680</v>
      </c>
      <c r="F1023" s="7" t="s">
        <v>17</v>
      </c>
      <c r="G1023" s="7">
        <v>3598295</v>
      </c>
      <c r="H1023" s="7">
        <v>2339</v>
      </c>
      <c r="I1023" s="7">
        <v>11</v>
      </c>
      <c r="J1023" s="7">
        <v>31</v>
      </c>
      <c r="K1023" s="7" t="s">
        <v>18</v>
      </c>
      <c r="L1023" s="8">
        <v>39987.315405092595</v>
      </c>
      <c r="M1023" s="9" t="s">
        <v>19</v>
      </c>
      <c r="N1023" s="9" t="s">
        <v>20</v>
      </c>
      <c r="O1023" s="6" t="str">
        <f>HYPERLINK("https://pbs.twimg.com/profile_images/962471262747529216/Uo8lOkRJ_normal.jpg","View")</f>
        <v>View</v>
      </c>
      <c r="P1023" s="7"/>
    </row>
    <row r="1024" spans="1:16">
      <c r="A1024" s="3">
        <v>43835.707500000004</v>
      </c>
      <c r="B1024" s="4" t="str">
        <f>HYPERLINK("https://twitter.com/petrogustavo","@petrogustavo")</f>
        <v>@petrogustavo</v>
      </c>
      <c r="C1024" s="5" t="s">
        <v>16</v>
      </c>
      <c r="D1024" s="5" t="s">
        <v>1013</v>
      </c>
      <c r="E1024" s="6" t="str">
        <f>HYPERLINK("https://twitter.com/petrogustavo/status/1213784407259172864","1213784407259172864")</f>
        <v>1213784407259172864</v>
      </c>
      <c r="F1024" s="7" t="s">
        <v>17</v>
      </c>
      <c r="G1024" s="7">
        <v>3598301</v>
      </c>
      <c r="H1024" s="7">
        <v>2339</v>
      </c>
      <c r="I1024" s="7">
        <v>62</v>
      </c>
      <c r="J1024" s="7">
        <v>198</v>
      </c>
      <c r="K1024" s="7" t="s">
        <v>18</v>
      </c>
      <c r="L1024" s="8">
        <v>39987.315405092595</v>
      </c>
      <c r="M1024" s="9" t="s">
        <v>19</v>
      </c>
      <c r="N1024" s="9" t="s">
        <v>20</v>
      </c>
      <c r="O1024" s="6" t="str">
        <f>HYPERLINK("https://pbs.twimg.com/profile_images/962471262747529216/Uo8lOkRJ_normal.jpg","View")</f>
        <v>View</v>
      </c>
      <c r="P1024" s="7"/>
    </row>
    <row r="1025" spans="1:16">
      <c r="A1025" s="3">
        <v>43835.725393518514</v>
      </c>
      <c r="B1025" s="4" t="str">
        <f>HYPERLINK("https://twitter.com/petrogustavo","@petrogustavo")</f>
        <v>@petrogustavo</v>
      </c>
      <c r="C1025" s="5" t="s">
        <v>16</v>
      </c>
      <c r="D1025" s="5" t="s">
        <v>1014</v>
      </c>
      <c r="E1025" s="6" t="str">
        <f>HYPERLINK("https://twitter.com/petrogustavo/status/1213790892554936322","1213790892554936322")</f>
        <v>1213790892554936322</v>
      </c>
      <c r="F1025" s="7" t="s">
        <v>17</v>
      </c>
      <c r="G1025" s="7">
        <v>3598310</v>
      </c>
      <c r="H1025" s="7">
        <v>2339</v>
      </c>
      <c r="I1025" s="7">
        <v>92</v>
      </c>
      <c r="J1025" s="7">
        <v>244</v>
      </c>
      <c r="K1025" s="7" t="s">
        <v>18</v>
      </c>
      <c r="L1025" s="8">
        <v>39987.315405092595</v>
      </c>
      <c r="M1025" s="9" t="s">
        <v>19</v>
      </c>
      <c r="N1025" s="9" t="s">
        <v>20</v>
      </c>
      <c r="O1025" s="6" t="str">
        <f>HYPERLINK("https://pbs.twimg.com/profile_images/962471262747529216/Uo8lOkRJ_normal.jpg","View")</f>
        <v>View</v>
      </c>
      <c r="P1025" s="7"/>
    </row>
    <row r="1026" spans="1:16">
      <c r="A1026" s="3">
        <v>43835.72824074074</v>
      </c>
      <c r="B1026" s="4" t="str">
        <f>HYPERLINK("https://twitter.com/petrogustavo","@petrogustavo")</f>
        <v>@petrogustavo</v>
      </c>
      <c r="C1026" s="5" t="s">
        <v>16</v>
      </c>
      <c r="D1026" s="5" t="s">
        <v>1015</v>
      </c>
      <c r="E1026" s="6" t="str">
        <f>HYPERLINK("https://twitter.com/petrogustavo/status/1213791925897179136","1213791925897179136")</f>
        <v>1213791925897179136</v>
      </c>
      <c r="F1026" s="7" t="s">
        <v>17</v>
      </c>
      <c r="G1026" s="7">
        <v>3598310</v>
      </c>
      <c r="H1026" s="7">
        <v>2339</v>
      </c>
      <c r="I1026" s="7">
        <v>36</v>
      </c>
      <c r="J1026" s="7">
        <v>0</v>
      </c>
      <c r="K1026" s="7" t="s">
        <v>18</v>
      </c>
      <c r="L1026" s="8">
        <v>39987.315405092595</v>
      </c>
      <c r="M1026" s="9" t="s">
        <v>19</v>
      </c>
      <c r="N1026" s="9" t="s">
        <v>20</v>
      </c>
      <c r="O1026" s="6" t="str">
        <f>HYPERLINK("https://pbs.twimg.com/profile_images/962471262747529216/Uo8lOkRJ_normal.jpg","View")</f>
        <v>View</v>
      </c>
      <c r="P1026" s="7"/>
    </row>
    <row r="1027" spans="1:16">
      <c r="A1027" s="3">
        <v>43835.732071759259</v>
      </c>
      <c r="B1027" s="4" t="str">
        <f>HYPERLINK("https://twitter.com/petrogustavo","@petrogustavo")</f>
        <v>@petrogustavo</v>
      </c>
      <c r="C1027" s="5" t="s">
        <v>16</v>
      </c>
      <c r="D1027" s="5" t="s">
        <v>1016</v>
      </c>
      <c r="E1027" s="6" t="str">
        <f>HYPERLINK("https://twitter.com/petrogustavo/status/1213793313490382848","1213793313490382848")</f>
        <v>1213793313490382848</v>
      </c>
      <c r="F1027" s="7" t="s">
        <v>17</v>
      </c>
      <c r="G1027" s="7">
        <v>3598310</v>
      </c>
      <c r="H1027" s="7">
        <v>2339</v>
      </c>
      <c r="I1027" s="7">
        <v>250</v>
      </c>
      <c r="J1027" s="7">
        <v>0</v>
      </c>
      <c r="K1027" s="7" t="s">
        <v>18</v>
      </c>
      <c r="L1027" s="8">
        <v>39987.315405092595</v>
      </c>
      <c r="M1027" s="9" t="s">
        <v>19</v>
      </c>
      <c r="N1027" s="9" t="s">
        <v>20</v>
      </c>
      <c r="O1027" s="6" t="str">
        <f>HYPERLINK("https://pbs.twimg.com/profile_images/962471262747529216/Uo8lOkRJ_normal.jpg","View")</f>
        <v>View</v>
      </c>
      <c r="P1027" s="7"/>
    </row>
    <row r="1028" spans="1:16">
      <c r="A1028" s="3">
        <v>43835.735706018517</v>
      </c>
      <c r="B1028" s="4" t="str">
        <f>HYPERLINK("https://twitter.com/petrogustavo","@petrogustavo")</f>
        <v>@petrogustavo</v>
      </c>
      <c r="C1028" s="5" t="s">
        <v>16</v>
      </c>
      <c r="D1028" s="5" t="s">
        <v>1017</v>
      </c>
      <c r="E1028" s="6" t="str">
        <f>HYPERLINK("https://twitter.com/petrogustavo/status/1213794630355038208","1213794630355038208")</f>
        <v>1213794630355038208</v>
      </c>
      <c r="F1028" s="7" t="s">
        <v>17</v>
      </c>
      <c r="G1028" s="7">
        <v>3598310</v>
      </c>
      <c r="H1028" s="7">
        <v>2339</v>
      </c>
      <c r="I1028" s="7">
        <v>28</v>
      </c>
      <c r="J1028" s="7">
        <v>78</v>
      </c>
      <c r="K1028" s="7" t="s">
        <v>18</v>
      </c>
      <c r="L1028" s="8">
        <v>39987.315405092595</v>
      </c>
      <c r="M1028" s="9" t="s">
        <v>19</v>
      </c>
      <c r="N1028" s="9" t="s">
        <v>20</v>
      </c>
      <c r="O1028" s="6" t="str">
        <f>HYPERLINK("https://pbs.twimg.com/profile_images/962471262747529216/Uo8lOkRJ_normal.jpg","View")</f>
        <v>View</v>
      </c>
      <c r="P1028" s="7"/>
    </row>
    <row r="1029" spans="1:16">
      <c r="A1029" s="3">
        <v>43835.742118055554</v>
      </c>
      <c r="B1029" s="4" t="str">
        <f>HYPERLINK("https://twitter.com/petrogustavo","@petrogustavo")</f>
        <v>@petrogustavo</v>
      </c>
      <c r="C1029" s="5" t="s">
        <v>16</v>
      </c>
      <c r="D1029" s="5" t="s">
        <v>1018</v>
      </c>
      <c r="E1029" s="6" t="str">
        <f>HYPERLINK("https://twitter.com/petrogustavo/status/1213796953957576706","1213796953957576706")</f>
        <v>1213796953957576706</v>
      </c>
      <c r="F1029" s="7" t="s">
        <v>17</v>
      </c>
      <c r="G1029" s="7">
        <v>3598356</v>
      </c>
      <c r="H1029" s="7">
        <v>2339</v>
      </c>
      <c r="I1029" s="7">
        <v>192</v>
      </c>
      <c r="J1029" s="7">
        <v>0</v>
      </c>
      <c r="K1029" s="7" t="s">
        <v>18</v>
      </c>
      <c r="L1029" s="8">
        <v>39987.315405092595</v>
      </c>
      <c r="M1029" s="9" t="s">
        <v>19</v>
      </c>
      <c r="N1029" s="9" t="s">
        <v>20</v>
      </c>
      <c r="O1029" s="6" t="str">
        <f>HYPERLINK("https://pbs.twimg.com/profile_images/962471262747529216/Uo8lOkRJ_normal.jpg","View")</f>
        <v>View</v>
      </c>
      <c r="P1029" s="7"/>
    </row>
    <row r="1030" spans="1:16">
      <c r="A1030" s="3">
        <v>43835.742280092592</v>
      </c>
      <c r="B1030" s="4" t="str">
        <f>HYPERLINK("https://twitter.com/petrogustavo","@petrogustavo")</f>
        <v>@petrogustavo</v>
      </c>
      <c r="C1030" s="5" t="s">
        <v>16</v>
      </c>
      <c r="D1030" s="5" t="s">
        <v>1019</v>
      </c>
      <c r="E1030" s="6" t="str">
        <f>HYPERLINK("https://twitter.com/petrogustavo/status/1213797009959858176","1213797009959858176")</f>
        <v>1213797009959858176</v>
      </c>
      <c r="F1030" s="7" t="s">
        <v>17</v>
      </c>
      <c r="G1030" s="7">
        <v>3598356</v>
      </c>
      <c r="H1030" s="7">
        <v>2339</v>
      </c>
      <c r="I1030" s="7">
        <v>72</v>
      </c>
      <c r="J1030" s="7">
        <v>0</v>
      </c>
      <c r="K1030" s="7" t="s">
        <v>18</v>
      </c>
      <c r="L1030" s="8">
        <v>39987.315405092595</v>
      </c>
      <c r="M1030" s="9" t="s">
        <v>19</v>
      </c>
      <c r="N1030" s="9" t="s">
        <v>20</v>
      </c>
      <c r="O1030" s="6" t="str">
        <f>HYPERLINK("https://pbs.twimg.com/profile_images/962471262747529216/Uo8lOkRJ_normal.jpg","View")</f>
        <v>View</v>
      </c>
      <c r="P1030" s="7"/>
    </row>
    <row r="1031" spans="1:16">
      <c r="A1031" s="3">
        <v>43835.864768518513</v>
      </c>
      <c r="B1031" s="4" t="str">
        <f>HYPERLINK("https://twitter.com/petrogustavo","@petrogustavo")</f>
        <v>@petrogustavo</v>
      </c>
      <c r="C1031" s="5" t="s">
        <v>16</v>
      </c>
      <c r="D1031" s="5" t="s">
        <v>1020</v>
      </c>
      <c r="E1031" s="6" t="str">
        <f>HYPERLINK("https://twitter.com/petrogustavo/status/1213841401013841921","1213841401013841921")</f>
        <v>1213841401013841921</v>
      </c>
      <c r="F1031" s="7" t="s">
        <v>17</v>
      </c>
      <c r="G1031" s="7">
        <v>3598510</v>
      </c>
      <c r="H1031" s="7">
        <v>2339</v>
      </c>
      <c r="I1031" s="7">
        <v>8</v>
      </c>
      <c r="J1031" s="7">
        <v>0</v>
      </c>
      <c r="K1031" s="7" t="s">
        <v>18</v>
      </c>
      <c r="L1031" s="8">
        <v>39987.315405092595</v>
      </c>
      <c r="M1031" s="9" t="s">
        <v>19</v>
      </c>
      <c r="N1031" s="9" t="s">
        <v>20</v>
      </c>
      <c r="O1031" s="6" t="str">
        <f>HYPERLINK("https://pbs.twimg.com/profile_images/962471262747529216/Uo8lOkRJ_normal.jpg","View")</f>
        <v>View</v>
      </c>
      <c r="P1031" s="7"/>
    </row>
    <row r="1032" spans="1:16">
      <c r="A1032" s="3">
        <v>43835.867476851854</v>
      </c>
      <c r="B1032" s="4" t="str">
        <f>HYPERLINK("https://twitter.com/petrogustavo","@petrogustavo")</f>
        <v>@petrogustavo</v>
      </c>
      <c r="C1032" s="5" t="s">
        <v>16</v>
      </c>
      <c r="D1032" s="5" t="s">
        <v>1021</v>
      </c>
      <c r="E1032" s="6" t="str">
        <f>HYPERLINK("https://twitter.com/petrogustavo/status/1213842382392832000","1213842382392832000")</f>
        <v>1213842382392832000</v>
      </c>
      <c r="F1032" s="7" t="s">
        <v>17</v>
      </c>
      <c r="G1032" s="7">
        <v>3598530</v>
      </c>
      <c r="H1032" s="7">
        <v>2339</v>
      </c>
      <c r="I1032" s="7">
        <v>189</v>
      </c>
      <c r="J1032" s="7">
        <v>0</v>
      </c>
      <c r="K1032" s="7" t="s">
        <v>18</v>
      </c>
      <c r="L1032" s="8">
        <v>39987.315405092595</v>
      </c>
      <c r="M1032" s="9" t="s">
        <v>19</v>
      </c>
      <c r="N1032" s="9" t="s">
        <v>20</v>
      </c>
      <c r="O1032" s="6" t="str">
        <f>HYPERLINK("https://pbs.twimg.com/profile_images/962471262747529216/Uo8lOkRJ_normal.jpg","View")</f>
        <v>View</v>
      </c>
      <c r="P1032" s="7"/>
    </row>
    <row r="1033" spans="1:16">
      <c r="A1033" s="3">
        <v>43835.86787037037</v>
      </c>
      <c r="B1033" s="4" t="str">
        <f>HYPERLINK("https://twitter.com/petrogustavo","@petrogustavo")</f>
        <v>@petrogustavo</v>
      </c>
      <c r="C1033" s="5" t="s">
        <v>16</v>
      </c>
      <c r="D1033" s="5" t="s">
        <v>1022</v>
      </c>
      <c r="E1033" s="6" t="str">
        <f>HYPERLINK("https://twitter.com/petrogustavo/status/1213842525192110082","1213842525192110082")</f>
        <v>1213842525192110082</v>
      </c>
      <c r="F1033" s="7" t="s">
        <v>17</v>
      </c>
      <c r="G1033" s="7">
        <v>3598530</v>
      </c>
      <c r="H1033" s="7">
        <v>2339</v>
      </c>
      <c r="I1033" s="7">
        <v>285</v>
      </c>
      <c r="J1033" s="7">
        <v>0</v>
      </c>
      <c r="K1033" s="7" t="s">
        <v>18</v>
      </c>
      <c r="L1033" s="8">
        <v>39987.315405092595</v>
      </c>
      <c r="M1033" s="9" t="s">
        <v>19</v>
      </c>
      <c r="N1033" s="9" t="s">
        <v>20</v>
      </c>
      <c r="O1033" s="6" t="str">
        <f>HYPERLINK("https://pbs.twimg.com/profile_images/962471262747529216/Uo8lOkRJ_normal.jpg","View")</f>
        <v>View</v>
      </c>
      <c r="P1033" s="7"/>
    </row>
    <row r="1034" spans="1:16">
      <c r="A1034" s="3">
        <v>43835.869050925925</v>
      </c>
      <c r="B1034" s="4" t="str">
        <f>HYPERLINK("https://twitter.com/petrogustavo","@petrogustavo")</f>
        <v>@petrogustavo</v>
      </c>
      <c r="C1034" s="5" t="s">
        <v>16</v>
      </c>
      <c r="D1034" s="5" t="s">
        <v>1023</v>
      </c>
      <c r="E1034" s="6" t="str">
        <f>HYPERLINK("https://twitter.com/petrogustavo/status/1213842953409572865","1213842953409572865")</f>
        <v>1213842953409572865</v>
      </c>
      <c r="F1034" s="7" t="s">
        <v>17</v>
      </c>
      <c r="G1034" s="7">
        <v>3598530</v>
      </c>
      <c r="H1034" s="7">
        <v>2339</v>
      </c>
      <c r="I1034" s="7">
        <v>245</v>
      </c>
      <c r="J1034" s="7">
        <v>0</v>
      </c>
      <c r="K1034" s="7" t="s">
        <v>18</v>
      </c>
      <c r="L1034" s="8">
        <v>39987.315405092595</v>
      </c>
      <c r="M1034" s="9" t="s">
        <v>19</v>
      </c>
      <c r="N1034" s="9" t="s">
        <v>20</v>
      </c>
      <c r="O1034" s="6" t="str">
        <f>HYPERLINK("https://pbs.twimg.com/profile_images/962471262747529216/Uo8lOkRJ_normal.jpg","View")</f>
        <v>View</v>
      </c>
      <c r="P1034" s="7"/>
    </row>
    <row r="1035" spans="1:16">
      <c r="A1035" s="3">
        <v>43835.86991898148</v>
      </c>
      <c r="B1035" s="4" t="str">
        <f>HYPERLINK("https://twitter.com/petrogustavo","@petrogustavo")</f>
        <v>@petrogustavo</v>
      </c>
      <c r="C1035" s="5" t="s">
        <v>16</v>
      </c>
      <c r="D1035" s="5" t="s">
        <v>1024</v>
      </c>
      <c r="E1035" s="6" t="str">
        <f>HYPERLINK("https://twitter.com/petrogustavo/status/1213843265163845632","1213843265163845632")</f>
        <v>1213843265163845632</v>
      </c>
      <c r="F1035" s="7" t="s">
        <v>17</v>
      </c>
      <c r="G1035" s="7">
        <v>3598530</v>
      </c>
      <c r="H1035" s="7">
        <v>2339</v>
      </c>
      <c r="I1035" s="7">
        <v>293</v>
      </c>
      <c r="J1035" s="7">
        <v>0</v>
      </c>
      <c r="K1035" s="7" t="s">
        <v>18</v>
      </c>
      <c r="L1035" s="8">
        <v>39987.315405092595</v>
      </c>
      <c r="M1035" s="9" t="s">
        <v>19</v>
      </c>
      <c r="N1035" s="9" t="s">
        <v>20</v>
      </c>
      <c r="O1035" s="6" t="str">
        <f>HYPERLINK("https://pbs.twimg.com/profile_images/962471262747529216/Uo8lOkRJ_normal.jpg","View")</f>
        <v>View</v>
      </c>
      <c r="P1035" s="7"/>
    </row>
    <row r="1036" spans="1:16">
      <c r="A1036" s="3">
        <v>43835.872581018513</v>
      </c>
      <c r="B1036" s="4" t="str">
        <f>HYPERLINK("https://twitter.com/petrogustavo","@petrogustavo")</f>
        <v>@petrogustavo</v>
      </c>
      <c r="C1036" s="5" t="s">
        <v>16</v>
      </c>
      <c r="D1036" s="5" t="s">
        <v>1025</v>
      </c>
      <c r="E1036" s="6" t="str">
        <f>HYPERLINK("https://twitter.com/petrogustavo/status/1213844229736353793","1213844229736353793")</f>
        <v>1213844229736353793</v>
      </c>
      <c r="F1036" s="7" t="s">
        <v>17</v>
      </c>
      <c r="G1036" s="7">
        <v>3598530</v>
      </c>
      <c r="H1036" s="7">
        <v>2339</v>
      </c>
      <c r="I1036" s="7">
        <v>1242</v>
      </c>
      <c r="J1036" s="7">
        <v>0</v>
      </c>
      <c r="K1036" s="7" t="s">
        <v>18</v>
      </c>
      <c r="L1036" s="8">
        <v>39987.315405092595</v>
      </c>
      <c r="M1036" s="9" t="s">
        <v>19</v>
      </c>
      <c r="N1036" s="9" t="s">
        <v>20</v>
      </c>
      <c r="O1036" s="6" t="str">
        <f>HYPERLINK("https://pbs.twimg.com/profile_images/962471262747529216/Uo8lOkRJ_normal.jpg","View")</f>
        <v>View</v>
      </c>
      <c r="P1036" s="7"/>
    </row>
    <row r="1037" spans="1:16">
      <c r="A1037" s="3">
        <v>43835.977037037039</v>
      </c>
      <c r="B1037" s="4" t="str">
        <f>HYPERLINK("https://twitter.com/petrogustavo","@petrogustavo")</f>
        <v>@petrogustavo</v>
      </c>
      <c r="C1037" s="5" t="s">
        <v>16</v>
      </c>
      <c r="D1037" s="5" t="s">
        <v>1026</v>
      </c>
      <c r="E1037" s="6" t="str">
        <f>HYPERLINK("https://twitter.com/petrogustavo/status/1213882084412067852","1213882084412067852")</f>
        <v>1213882084412067852</v>
      </c>
      <c r="F1037" s="7" t="s">
        <v>17</v>
      </c>
      <c r="G1037" s="7">
        <v>3598693</v>
      </c>
      <c r="H1037" s="7">
        <v>2339</v>
      </c>
      <c r="I1037" s="7">
        <v>160</v>
      </c>
      <c r="J1037" s="7">
        <v>373</v>
      </c>
      <c r="K1037" s="7" t="s">
        <v>18</v>
      </c>
      <c r="L1037" s="8">
        <v>39987.315405092595</v>
      </c>
      <c r="M1037" s="9" t="s">
        <v>19</v>
      </c>
      <c r="N1037" s="9" t="s">
        <v>20</v>
      </c>
      <c r="O1037" s="6" t="str">
        <f>HYPERLINK("https://pbs.twimg.com/profile_images/962471262747529216/Uo8lOkRJ_normal.jpg","View")</f>
        <v>View</v>
      </c>
      <c r="P1037" s="7"/>
    </row>
    <row r="1038" spans="1:16">
      <c r="A1038" s="3">
        <v>43835.981180555551</v>
      </c>
      <c r="B1038" s="4" t="str">
        <f>HYPERLINK("https://twitter.com/petrogustavo","@petrogustavo")</f>
        <v>@petrogustavo</v>
      </c>
      <c r="C1038" s="5" t="s">
        <v>16</v>
      </c>
      <c r="D1038" s="5" t="s">
        <v>1027</v>
      </c>
      <c r="E1038" s="6" t="str">
        <f>HYPERLINK("https://twitter.com/petrogustavo/status/1213883587738640384","1213883587738640384")</f>
        <v>1213883587738640384</v>
      </c>
      <c r="F1038" s="7" t="s">
        <v>17</v>
      </c>
      <c r="G1038" s="7">
        <v>3598693</v>
      </c>
      <c r="H1038" s="7">
        <v>2339</v>
      </c>
      <c r="I1038" s="7">
        <v>5</v>
      </c>
      <c r="J1038" s="7">
        <v>0</v>
      </c>
      <c r="K1038" s="7" t="s">
        <v>18</v>
      </c>
      <c r="L1038" s="8">
        <v>39987.315405092595</v>
      </c>
      <c r="M1038" s="9" t="s">
        <v>19</v>
      </c>
      <c r="N1038" s="9" t="s">
        <v>20</v>
      </c>
      <c r="O1038" s="6" t="str">
        <f>HYPERLINK("https://pbs.twimg.com/profile_images/962471262747529216/Uo8lOkRJ_normal.jpg","View")</f>
        <v>View</v>
      </c>
      <c r="P1038" s="7"/>
    </row>
    <row r="1039" spans="1:16">
      <c r="A1039" s="3">
        <v>43836.073379629626</v>
      </c>
      <c r="B1039" s="4" t="str">
        <f>HYPERLINK("https://twitter.com/petrogustavo","@petrogustavo")</f>
        <v>@petrogustavo</v>
      </c>
      <c r="C1039" s="5" t="s">
        <v>16</v>
      </c>
      <c r="D1039" s="5" t="s">
        <v>1028</v>
      </c>
      <c r="E1039" s="6" t="str">
        <f>HYPERLINK("https://twitter.com/petrogustavo/status/1213916998771625984","1213916998771625984")</f>
        <v>1213916998771625984</v>
      </c>
      <c r="F1039" s="7" t="s">
        <v>17</v>
      </c>
      <c r="G1039" s="7">
        <v>3598791</v>
      </c>
      <c r="H1039" s="7">
        <v>2339</v>
      </c>
      <c r="I1039" s="7">
        <v>15</v>
      </c>
      <c r="J1039" s="7">
        <v>48</v>
      </c>
      <c r="K1039" s="7" t="s">
        <v>18</v>
      </c>
      <c r="L1039" s="8">
        <v>39987.315405092595</v>
      </c>
      <c r="M1039" s="9" t="s">
        <v>19</v>
      </c>
      <c r="N1039" s="9" t="s">
        <v>20</v>
      </c>
      <c r="O1039" s="6" t="str">
        <f>HYPERLINK("https://pbs.twimg.com/profile_images/962471262747529216/Uo8lOkRJ_normal.jpg","View")</f>
        <v>View</v>
      </c>
      <c r="P1039" s="7"/>
    </row>
    <row r="1040" spans="1:16">
      <c r="A1040" s="3">
        <v>43836.076574074075</v>
      </c>
      <c r="B1040" s="4" t="str">
        <f>HYPERLINK("https://twitter.com/petrogustavo","@petrogustavo")</f>
        <v>@petrogustavo</v>
      </c>
      <c r="C1040" s="5" t="s">
        <v>16</v>
      </c>
      <c r="D1040" s="5" t="s">
        <v>1029</v>
      </c>
      <c r="E1040" s="6" t="str">
        <f>HYPERLINK("https://twitter.com/petrogustavo/status/1213918153685848065","1213918153685848065")</f>
        <v>1213918153685848065</v>
      </c>
      <c r="F1040" s="7" t="s">
        <v>17</v>
      </c>
      <c r="G1040" s="7">
        <v>3598825</v>
      </c>
      <c r="H1040" s="7">
        <v>2339</v>
      </c>
      <c r="I1040" s="7">
        <v>142</v>
      </c>
      <c r="J1040" s="7">
        <v>0</v>
      </c>
      <c r="K1040" s="7" t="s">
        <v>18</v>
      </c>
      <c r="L1040" s="8">
        <v>39987.315405092595</v>
      </c>
      <c r="M1040" s="9" t="s">
        <v>19</v>
      </c>
      <c r="N1040" s="9" t="s">
        <v>20</v>
      </c>
      <c r="O1040" s="6" t="str">
        <f>HYPERLINK("https://pbs.twimg.com/profile_images/962471262747529216/Uo8lOkRJ_normal.jpg","View")</f>
        <v>View</v>
      </c>
      <c r="P1040" s="7"/>
    </row>
    <row r="1041" spans="1:16">
      <c r="A1041" s="3">
        <v>43836.076736111107</v>
      </c>
      <c r="B1041" s="4" t="str">
        <f>HYPERLINK("https://twitter.com/petrogustavo","@petrogustavo")</f>
        <v>@petrogustavo</v>
      </c>
      <c r="C1041" s="5" t="s">
        <v>16</v>
      </c>
      <c r="D1041" s="5" t="s">
        <v>1030</v>
      </c>
      <c r="E1041" s="6" t="str">
        <f>HYPERLINK("https://twitter.com/petrogustavo/status/1213918215962845184","1213918215962845184")</f>
        <v>1213918215962845184</v>
      </c>
      <c r="F1041" s="7" t="s">
        <v>17</v>
      </c>
      <c r="G1041" s="7">
        <v>3598825</v>
      </c>
      <c r="H1041" s="7">
        <v>2339</v>
      </c>
      <c r="I1041" s="7">
        <v>275</v>
      </c>
      <c r="J1041" s="7">
        <v>0</v>
      </c>
      <c r="K1041" s="7" t="s">
        <v>18</v>
      </c>
      <c r="L1041" s="8">
        <v>39987.315405092595</v>
      </c>
      <c r="M1041" s="9" t="s">
        <v>19</v>
      </c>
      <c r="N1041" s="9" t="s">
        <v>20</v>
      </c>
      <c r="O1041" s="6" t="str">
        <f>HYPERLINK("https://pbs.twimg.com/profile_images/962471262747529216/Uo8lOkRJ_normal.jpg","View")</f>
        <v>View</v>
      </c>
      <c r="P1041" s="7"/>
    </row>
    <row r="1042" spans="1:16">
      <c r="A1042" s="3">
        <v>43836.07975694444</v>
      </c>
      <c r="B1042" s="4" t="str">
        <f>HYPERLINK("https://twitter.com/petrogustavo","@petrogustavo")</f>
        <v>@petrogustavo</v>
      </c>
      <c r="C1042" s="5" t="s">
        <v>16</v>
      </c>
      <c r="D1042" s="5" t="s">
        <v>1031</v>
      </c>
      <c r="E1042" s="6" t="str">
        <f>HYPERLINK("https://twitter.com/petrogustavo/status/1213919308423868419","1213919308423868419")</f>
        <v>1213919308423868419</v>
      </c>
      <c r="F1042" s="7" t="s">
        <v>17</v>
      </c>
      <c r="G1042" s="7">
        <v>3598825</v>
      </c>
      <c r="H1042" s="7">
        <v>2339</v>
      </c>
      <c r="I1042" s="7">
        <v>317</v>
      </c>
      <c r="J1042" s="7">
        <v>686</v>
      </c>
      <c r="K1042" s="7" t="s">
        <v>18</v>
      </c>
      <c r="L1042" s="8">
        <v>39987.315405092595</v>
      </c>
      <c r="M1042" s="9" t="s">
        <v>19</v>
      </c>
      <c r="N1042" s="9" t="s">
        <v>20</v>
      </c>
      <c r="O1042" s="6" t="str">
        <f>HYPERLINK("https://pbs.twimg.com/profile_images/962471262747529216/Uo8lOkRJ_normal.jpg","View")</f>
        <v>View</v>
      </c>
      <c r="P1042" s="7"/>
    </row>
    <row r="1043" spans="1:16">
      <c r="A1043" s="3">
        <v>43836.13444444444</v>
      </c>
      <c r="B1043" s="4" t="str">
        <f>HYPERLINK("https://twitter.com/petrogustavo","@petrogustavo")</f>
        <v>@petrogustavo</v>
      </c>
      <c r="C1043" s="5" t="s">
        <v>16</v>
      </c>
      <c r="D1043" s="5" t="s">
        <v>1032</v>
      </c>
      <c r="E1043" s="6" t="str">
        <f>HYPERLINK("https://twitter.com/petrogustavo/status/1213939126204063745","1213939126204063745")</f>
        <v>1213939126204063745</v>
      </c>
      <c r="F1043" s="7" t="s">
        <v>17</v>
      </c>
      <c r="G1043" s="7">
        <v>3598901</v>
      </c>
      <c r="H1043" s="7">
        <v>2339</v>
      </c>
      <c r="I1043" s="7">
        <v>180</v>
      </c>
      <c r="J1043" s="7">
        <v>0</v>
      </c>
      <c r="K1043" s="7" t="s">
        <v>18</v>
      </c>
      <c r="L1043" s="8">
        <v>39987.315405092595</v>
      </c>
      <c r="M1043" s="9" t="s">
        <v>19</v>
      </c>
      <c r="N1043" s="9" t="s">
        <v>20</v>
      </c>
      <c r="O1043" s="6" t="str">
        <f>HYPERLINK("https://pbs.twimg.com/profile_images/962471262747529216/Uo8lOkRJ_normal.jpg","View")</f>
        <v>View</v>
      </c>
      <c r="P1043" s="7"/>
    </row>
    <row r="1044" spans="1:16">
      <c r="A1044" s="3">
        <v>43836.137650462959</v>
      </c>
      <c r="B1044" s="4" t="str">
        <f>HYPERLINK("https://twitter.com/petrogustavo","@petrogustavo")</f>
        <v>@petrogustavo</v>
      </c>
      <c r="C1044" s="5" t="s">
        <v>16</v>
      </c>
      <c r="D1044" s="5" t="s">
        <v>1033</v>
      </c>
      <c r="E1044" s="6" t="str">
        <f>HYPERLINK("https://twitter.com/petrogustavo/status/1213940288168833024","1213940288168833024")</f>
        <v>1213940288168833024</v>
      </c>
      <c r="F1044" s="7" t="s">
        <v>17</v>
      </c>
      <c r="G1044" s="7">
        <v>3598906</v>
      </c>
      <c r="H1044" s="7">
        <v>2339</v>
      </c>
      <c r="I1044" s="7">
        <v>182</v>
      </c>
      <c r="J1044" s="7">
        <v>421</v>
      </c>
      <c r="K1044" s="7" t="s">
        <v>18</v>
      </c>
      <c r="L1044" s="8">
        <v>39987.315405092595</v>
      </c>
      <c r="M1044" s="9" t="s">
        <v>19</v>
      </c>
      <c r="N1044" s="9" t="s">
        <v>20</v>
      </c>
      <c r="O1044" s="6" t="str">
        <f>HYPERLINK("https://pbs.twimg.com/profile_images/962471262747529216/Uo8lOkRJ_normal.jpg","View")</f>
        <v>View</v>
      </c>
      <c r="P1044" s="7"/>
    </row>
    <row r="1045" spans="1:16">
      <c r="A1045" s="3">
        <v>43836.139525462961</v>
      </c>
      <c r="B1045" s="4" t="str">
        <f>HYPERLINK("https://twitter.com/petrogustavo","@petrogustavo")</f>
        <v>@petrogustavo</v>
      </c>
      <c r="C1045" s="5" t="s">
        <v>16</v>
      </c>
      <c r="D1045" s="5" t="s">
        <v>1034</v>
      </c>
      <c r="E1045" s="6" t="str">
        <f>HYPERLINK("https://twitter.com/petrogustavo/status/1213940970628296712","1213940970628296712")</f>
        <v>1213940970628296712</v>
      </c>
      <c r="F1045" s="7" t="s">
        <v>17</v>
      </c>
      <c r="G1045" s="7">
        <v>3598906</v>
      </c>
      <c r="H1045" s="7">
        <v>2339</v>
      </c>
      <c r="I1045" s="7">
        <v>273</v>
      </c>
      <c r="J1045" s="7">
        <v>0</v>
      </c>
      <c r="K1045" s="7" t="s">
        <v>18</v>
      </c>
      <c r="L1045" s="8">
        <v>39987.315405092595</v>
      </c>
      <c r="M1045" s="9" t="s">
        <v>19</v>
      </c>
      <c r="N1045" s="9" t="s">
        <v>20</v>
      </c>
      <c r="O1045" s="6" t="str">
        <f>HYPERLINK("https://pbs.twimg.com/profile_images/962471262747529216/Uo8lOkRJ_normal.jpg","View")</f>
        <v>View</v>
      </c>
      <c r="P1045" s="7"/>
    </row>
    <row r="1046" spans="1:16">
      <c r="A1046" s="3">
        <v>43836.145231481481</v>
      </c>
      <c r="B1046" s="4" t="str">
        <f>HYPERLINK("https://twitter.com/petrogustavo","@petrogustavo")</f>
        <v>@petrogustavo</v>
      </c>
      <c r="C1046" s="5" t="s">
        <v>16</v>
      </c>
      <c r="D1046" s="5" t="s">
        <v>1035</v>
      </c>
      <c r="E1046" s="6" t="str">
        <f>HYPERLINK("https://twitter.com/petrogustavo/status/1213943037702873090","1213943037702873090")</f>
        <v>1213943037702873090</v>
      </c>
      <c r="F1046" s="7" t="s">
        <v>17</v>
      </c>
      <c r="G1046" s="7">
        <v>3598906</v>
      </c>
      <c r="H1046" s="7">
        <v>2339</v>
      </c>
      <c r="I1046" s="7">
        <v>157</v>
      </c>
      <c r="J1046" s="7">
        <v>368</v>
      </c>
      <c r="K1046" s="7" t="s">
        <v>18</v>
      </c>
      <c r="L1046" s="8">
        <v>39987.315405092595</v>
      </c>
      <c r="M1046" s="9" t="s">
        <v>19</v>
      </c>
      <c r="N1046" s="9" t="s">
        <v>20</v>
      </c>
      <c r="O1046" s="6" t="str">
        <f>HYPERLINK("https://pbs.twimg.com/profile_images/962471262747529216/Uo8lOkRJ_normal.jpg","View")</f>
        <v>View</v>
      </c>
      <c r="P1046" s="7"/>
    </row>
    <row r="1047" spans="1:16">
      <c r="A1047" s="3">
        <v>43836.177094907413</v>
      </c>
      <c r="B1047" s="4" t="str">
        <f>HYPERLINK("https://twitter.com/petrogustavo","@petrogustavo")</f>
        <v>@petrogustavo</v>
      </c>
      <c r="C1047" s="5" t="s">
        <v>16</v>
      </c>
      <c r="D1047" s="5" t="s">
        <v>1036</v>
      </c>
      <c r="E1047" s="6" t="str">
        <f>HYPERLINK("https://twitter.com/petrogustavo/status/1213954584474984449","1213954584474984449")</f>
        <v>1213954584474984449</v>
      </c>
      <c r="F1047" s="7" t="s">
        <v>17</v>
      </c>
      <c r="G1047" s="7">
        <v>3598932</v>
      </c>
      <c r="H1047" s="7">
        <v>2339</v>
      </c>
      <c r="I1047" s="7">
        <v>91</v>
      </c>
      <c r="J1047" s="7">
        <v>0</v>
      </c>
      <c r="K1047" s="7" t="s">
        <v>18</v>
      </c>
      <c r="L1047" s="8">
        <v>39987.315405092595</v>
      </c>
      <c r="M1047" s="9" t="s">
        <v>19</v>
      </c>
      <c r="N1047" s="9" t="s">
        <v>20</v>
      </c>
      <c r="O1047" s="6" t="str">
        <f>HYPERLINK("https://pbs.twimg.com/profile_images/962471262747529216/Uo8lOkRJ_normal.jpg","View")</f>
        <v>View</v>
      </c>
      <c r="P1047" s="7"/>
    </row>
    <row r="1048" spans="1:16">
      <c r="A1048" s="3">
        <v>43836.198159722218</v>
      </c>
      <c r="B1048" s="4" t="str">
        <f>HYPERLINK("https://twitter.com/petrogustavo","@petrogustavo")</f>
        <v>@petrogustavo</v>
      </c>
      <c r="C1048" s="5" t="s">
        <v>16</v>
      </c>
      <c r="D1048" s="5" t="s">
        <v>1037</v>
      </c>
      <c r="E1048" s="6" t="str">
        <f>HYPERLINK("https://twitter.com/petrogustavo/status/1213962215457480705","1213962215457480705")</f>
        <v>1213962215457480705</v>
      </c>
      <c r="F1048" s="7" t="s">
        <v>17</v>
      </c>
      <c r="G1048" s="7">
        <v>3598974</v>
      </c>
      <c r="H1048" s="7">
        <v>2339</v>
      </c>
      <c r="I1048" s="7">
        <v>295</v>
      </c>
      <c r="J1048" s="7">
        <v>0</v>
      </c>
      <c r="K1048" s="7" t="s">
        <v>18</v>
      </c>
      <c r="L1048" s="8">
        <v>39987.315405092595</v>
      </c>
      <c r="M1048" s="9" t="s">
        <v>19</v>
      </c>
      <c r="N1048" s="9" t="s">
        <v>20</v>
      </c>
      <c r="O1048" s="6" t="str">
        <f>HYPERLINK("https://pbs.twimg.com/profile_images/962471262747529216/Uo8lOkRJ_normal.jpg","View")</f>
        <v>View</v>
      </c>
      <c r="P1048" s="7"/>
    </row>
    <row r="1049" spans="1:16">
      <c r="A1049" s="3">
        <v>43836.201053240744</v>
      </c>
      <c r="B1049" s="4" t="str">
        <f>HYPERLINK("https://twitter.com/petrogustavo","@petrogustavo")</f>
        <v>@petrogustavo</v>
      </c>
      <c r="C1049" s="5" t="s">
        <v>16</v>
      </c>
      <c r="D1049" s="5" t="s">
        <v>1038</v>
      </c>
      <c r="E1049" s="6" t="str">
        <f>HYPERLINK("https://twitter.com/petrogustavo/status/1213963266541674496","1213963266541674496")</f>
        <v>1213963266541674496</v>
      </c>
      <c r="F1049" s="7" t="s">
        <v>17</v>
      </c>
      <c r="G1049" s="7">
        <v>3598999</v>
      </c>
      <c r="H1049" s="7">
        <v>2339</v>
      </c>
      <c r="I1049" s="7">
        <v>1004</v>
      </c>
      <c r="J1049" s="7">
        <v>0</v>
      </c>
      <c r="K1049" s="7" t="s">
        <v>18</v>
      </c>
      <c r="L1049" s="8">
        <v>39987.315405092595</v>
      </c>
      <c r="M1049" s="9" t="s">
        <v>19</v>
      </c>
      <c r="N1049" s="9" t="s">
        <v>20</v>
      </c>
      <c r="O1049" s="6" t="str">
        <f>HYPERLINK("https://pbs.twimg.com/profile_images/962471262747529216/Uo8lOkRJ_normal.jpg","View")</f>
        <v>View</v>
      </c>
      <c r="P1049" s="7"/>
    </row>
    <row r="1050" spans="1:16">
      <c r="A1050" s="3">
        <v>43836.201412037037</v>
      </c>
      <c r="B1050" s="4" t="str">
        <f>HYPERLINK("https://twitter.com/petrogustavo","@petrogustavo")</f>
        <v>@petrogustavo</v>
      </c>
      <c r="C1050" s="5" t="s">
        <v>16</v>
      </c>
      <c r="D1050" s="5" t="s">
        <v>1039</v>
      </c>
      <c r="E1050" s="6" t="str">
        <f>HYPERLINK("https://twitter.com/petrogustavo/status/1213963394295959553","1213963394295959553")</f>
        <v>1213963394295959553</v>
      </c>
      <c r="F1050" s="7" t="s">
        <v>17</v>
      </c>
      <c r="G1050" s="7">
        <v>3598999</v>
      </c>
      <c r="H1050" s="7">
        <v>2339</v>
      </c>
      <c r="I1050" s="7">
        <v>33</v>
      </c>
      <c r="J1050" s="7">
        <v>0</v>
      </c>
      <c r="K1050" s="7" t="s">
        <v>18</v>
      </c>
      <c r="L1050" s="8">
        <v>39987.315405092595</v>
      </c>
      <c r="M1050" s="9" t="s">
        <v>19</v>
      </c>
      <c r="N1050" s="9" t="s">
        <v>20</v>
      </c>
      <c r="O1050" s="6" t="str">
        <f>HYPERLINK("https://pbs.twimg.com/profile_images/962471262747529216/Uo8lOkRJ_normal.jpg","View")</f>
        <v>View</v>
      </c>
      <c r="P1050" s="7"/>
    </row>
    <row r="1051" spans="1:16">
      <c r="A1051" s="3">
        <v>43836.205879629633</v>
      </c>
      <c r="B1051" s="4" t="str">
        <f>HYPERLINK("https://twitter.com/petrogustavo","@petrogustavo")</f>
        <v>@petrogustavo</v>
      </c>
      <c r="C1051" s="5" t="s">
        <v>16</v>
      </c>
      <c r="D1051" s="5" t="s">
        <v>1040</v>
      </c>
      <c r="E1051" s="6" t="str">
        <f>HYPERLINK("https://twitter.com/petrogustavo/status/1213965012718510086","1213965012718510086")</f>
        <v>1213965012718510086</v>
      </c>
      <c r="F1051" s="7" t="s">
        <v>17</v>
      </c>
      <c r="G1051" s="7">
        <v>3598999</v>
      </c>
      <c r="H1051" s="7">
        <v>2339</v>
      </c>
      <c r="I1051" s="7">
        <v>201</v>
      </c>
      <c r="J1051" s="7">
        <v>403</v>
      </c>
      <c r="K1051" s="7" t="s">
        <v>18</v>
      </c>
      <c r="L1051" s="8">
        <v>39987.315405092595</v>
      </c>
      <c r="M1051" s="9" t="s">
        <v>19</v>
      </c>
      <c r="N1051" s="9" t="s">
        <v>20</v>
      </c>
      <c r="O1051" s="6" t="str">
        <f>HYPERLINK("https://pbs.twimg.com/profile_images/962471262747529216/Uo8lOkRJ_normal.jpg","View")</f>
        <v>View</v>
      </c>
      <c r="P1051" s="7"/>
    </row>
    <row r="1052" spans="1:16">
      <c r="A1052" s="3">
        <v>43836.676770833335</v>
      </c>
      <c r="B1052" s="4" t="str">
        <f>HYPERLINK("https://twitter.com/petrogustavo","@petrogustavo")</f>
        <v>@petrogustavo</v>
      </c>
      <c r="C1052" s="5" t="s">
        <v>16</v>
      </c>
      <c r="D1052" s="5" t="s">
        <v>1041</v>
      </c>
      <c r="E1052" s="6" t="str">
        <f>HYPERLINK("https://twitter.com/petrogustavo/status/1214135661114077184","1214135661114077184")</f>
        <v>1214135661114077184</v>
      </c>
      <c r="F1052" s="7" t="s">
        <v>17</v>
      </c>
      <c r="G1052" s="7">
        <v>3599311</v>
      </c>
      <c r="H1052" s="7">
        <v>2339</v>
      </c>
      <c r="I1052" s="7">
        <v>10</v>
      </c>
      <c r="J1052" s="7">
        <v>28</v>
      </c>
      <c r="K1052" s="7" t="s">
        <v>18</v>
      </c>
      <c r="L1052" s="8">
        <v>39987.315405092595</v>
      </c>
      <c r="M1052" s="9" t="s">
        <v>19</v>
      </c>
      <c r="N1052" s="9" t="s">
        <v>20</v>
      </c>
      <c r="O1052" s="6" t="str">
        <f>HYPERLINK("https://pbs.twimg.com/profile_images/962471262747529216/Uo8lOkRJ_normal.jpg","View")</f>
        <v>View</v>
      </c>
      <c r="P1052" s="7"/>
    </row>
    <row r="1053" spans="1:16">
      <c r="A1053" s="3">
        <v>43836.731956018513</v>
      </c>
      <c r="B1053" s="4" t="str">
        <f>HYPERLINK("https://twitter.com/petrogustavo","@petrogustavo")</f>
        <v>@petrogustavo</v>
      </c>
      <c r="C1053" s="5" t="s">
        <v>16</v>
      </c>
      <c r="D1053" s="5" t="s">
        <v>1042</v>
      </c>
      <c r="E1053" s="6" t="str">
        <f>HYPERLINK("https://twitter.com/petrogustavo/status/1214155657852719104","1214155657852719104")</f>
        <v>1214155657852719104</v>
      </c>
      <c r="F1053" s="7" t="s">
        <v>17</v>
      </c>
      <c r="G1053" s="7">
        <v>3599349</v>
      </c>
      <c r="H1053" s="7">
        <v>2339</v>
      </c>
      <c r="I1053" s="7">
        <v>48</v>
      </c>
      <c r="J1053" s="7">
        <v>133</v>
      </c>
      <c r="K1053" s="7" t="s">
        <v>18</v>
      </c>
      <c r="L1053" s="8">
        <v>39987.315405092595</v>
      </c>
      <c r="M1053" s="9" t="s">
        <v>19</v>
      </c>
      <c r="N1053" s="9" t="s">
        <v>20</v>
      </c>
      <c r="O1053" s="6" t="str">
        <f>HYPERLINK("https://pbs.twimg.com/profile_images/962471262747529216/Uo8lOkRJ_normal.jpg","View")</f>
        <v>View</v>
      </c>
      <c r="P1053" s="7"/>
    </row>
    <row r="1054" spans="1:16">
      <c r="A1054" s="3">
        <v>43836.735659722224</v>
      </c>
      <c r="B1054" s="4" t="str">
        <f>HYPERLINK("https://twitter.com/petrogustavo","@petrogustavo")</f>
        <v>@petrogustavo</v>
      </c>
      <c r="C1054" s="5" t="s">
        <v>16</v>
      </c>
      <c r="D1054" s="5" t="s">
        <v>1043</v>
      </c>
      <c r="E1054" s="6" t="str">
        <f>HYPERLINK("https://twitter.com/petrogustavo/status/1214156998444498945","1214156998444498945")</f>
        <v>1214156998444498945</v>
      </c>
      <c r="F1054" s="7" t="s">
        <v>17</v>
      </c>
      <c r="G1054" s="7">
        <v>3599349</v>
      </c>
      <c r="H1054" s="7">
        <v>2339</v>
      </c>
      <c r="I1054" s="7">
        <v>40</v>
      </c>
      <c r="J1054" s="7">
        <v>62</v>
      </c>
      <c r="K1054" s="7" t="s">
        <v>18</v>
      </c>
      <c r="L1054" s="8">
        <v>39987.315405092595</v>
      </c>
      <c r="M1054" s="9" t="s">
        <v>19</v>
      </c>
      <c r="N1054" s="9" t="s">
        <v>20</v>
      </c>
      <c r="O1054" s="6" t="str">
        <f>HYPERLINK("https://pbs.twimg.com/profile_images/962471262747529216/Uo8lOkRJ_normal.jpg","View")</f>
        <v>View</v>
      </c>
      <c r="P1054" s="7"/>
    </row>
    <row r="1055" spans="1:16">
      <c r="A1055" s="3">
        <v>43836.738900462966</v>
      </c>
      <c r="B1055" s="4" t="str">
        <f>HYPERLINK("https://twitter.com/petrogustavo","@petrogustavo")</f>
        <v>@petrogustavo</v>
      </c>
      <c r="C1055" s="5" t="s">
        <v>16</v>
      </c>
      <c r="D1055" s="5" t="s">
        <v>1044</v>
      </c>
      <c r="E1055" s="6" t="str">
        <f>HYPERLINK("https://twitter.com/petrogustavo/status/1214158173596241921","1214158173596241921")</f>
        <v>1214158173596241921</v>
      </c>
      <c r="F1055" s="7" t="s">
        <v>17</v>
      </c>
      <c r="G1055" s="7">
        <v>3599349</v>
      </c>
      <c r="H1055" s="7">
        <v>2339</v>
      </c>
      <c r="I1055" s="7">
        <v>9</v>
      </c>
      <c r="J1055" s="7">
        <v>30</v>
      </c>
      <c r="K1055" s="7" t="s">
        <v>18</v>
      </c>
      <c r="L1055" s="8">
        <v>39987.315405092595</v>
      </c>
      <c r="M1055" s="9" t="s">
        <v>19</v>
      </c>
      <c r="N1055" s="9" t="s">
        <v>20</v>
      </c>
      <c r="O1055" s="6" t="str">
        <f>HYPERLINK("https://pbs.twimg.com/profile_images/962471262747529216/Uo8lOkRJ_normal.jpg","View")</f>
        <v>View</v>
      </c>
      <c r="P1055" s="7"/>
    </row>
    <row r="1056" spans="1:16">
      <c r="A1056" s="3">
        <v>43836.744166666671</v>
      </c>
      <c r="B1056" s="4" t="str">
        <f>HYPERLINK("https://twitter.com/petrogustavo","@petrogustavo")</f>
        <v>@petrogustavo</v>
      </c>
      <c r="C1056" s="5" t="s">
        <v>16</v>
      </c>
      <c r="D1056" s="5" t="s">
        <v>1045</v>
      </c>
      <c r="E1056" s="6" t="str">
        <f>HYPERLINK("https://twitter.com/petrogustavo/status/1214160085167017985","1214160085167017985")</f>
        <v>1214160085167017985</v>
      </c>
      <c r="F1056" s="7" t="s">
        <v>17</v>
      </c>
      <c r="G1056" s="7">
        <v>3599349</v>
      </c>
      <c r="H1056" s="7">
        <v>2339</v>
      </c>
      <c r="I1056" s="7">
        <v>7651</v>
      </c>
      <c r="J1056" s="7">
        <v>0</v>
      </c>
      <c r="K1056" s="7" t="s">
        <v>18</v>
      </c>
      <c r="L1056" s="8">
        <v>39987.315405092595</v>
      </c>
      <c r="M1056" s="9" t="s">
        <v>19</v>
      </c>
      <c r="N1056" s="9" t="s">
        <v>20</v>
      </c>
      <c r="O1056" s="6" t="str">
        <f>HYPERLINK("https://pbs.twimg.com/profile_images/962471262747529216/Uo8lOkRJ_normal.jpg","View")</f>
        <v>View</v>
      </c>
      <c r="P1056" s="7"/>
    </row>
    <row r="1057" spans="1:16">
      <c r="A1057" s="3">
        <v>43836.746111111112</v>
      </c>
      <c r="B1057" s="4" t="str">
        <f>HYPERLINK("https://twitter.com/petrogustavo","@petrogustavo")</f>
        <v>@petrogustavo</v>
      </c>
      <c r="C1057" s="5" t="s">
        <v>16</v>
      </c>
      <c r="D1057" s="5" t="s">
        <v>1046</v>
      </c>
      <c r="E1057" s="6" t="str">
        <f>HYPERLINK("https://twitter.com/petrogustavo/status/1214160788270780416","1214160788270780416")</f>
        <v>1214160788270780416</v>
      </c>
      <c r="F1057" s="7" t="s">
        <v>17</v>
      </c>
      <c r="G1057" s="7">
        <v>3599349</v>
      </c>
      <c r="H1057" s="7">
        <v>2339</v>
      </c>
      <c r="I1057" s="7">
        <v>68</v>
      </c>
      <c r="J1057" s="7">
        <v>145</v>
      </c>
      <c r="K1057" s="7" t="s">
        <v>18</v>
      </c>
      <c r="L1057" s="8">
        <v>39987.315405092595</v>
      </c>
      <c r="M1057" s="9" t="s">
        <v>19</v>
      </c>
      <c r="N1057" s="9" t="s">
        <v>20</v>
      </c>
      <c r="O1057" s="6" t="str">
        <f>HYPERLINK("https://pbs.twimg.com/profile_images/962471262747529216/Uo8lOkRJ_normal.jpg","View")</f>
        <v>View</v>
      </c>
      <c r="P1057" s="7"/>
    </row>
    <row r="1058" spans="1:16">
      <c r="A1058" s="3">
        <v>43836.748622685191</v>
      </c>
      <c r="B1058" s="4" t="str">
        <f>HYPERLINK("https://twitter.com/petrogustavo","@petrogustavo")</f>
        <v>@petrogustavo</v>
      </c>
      <c r="C1058" s="5" t="s">
        <v>16</v>
      </c>
      <c r="D1058" s="5" t="s">
        <v>1047</v>
      </c>
      <c r="E1058" s="6" t="str">
        <f>HYPERLINK("https://twitter.com/petrogustavo/status/1214161696874520576","1214161696874520576")</f>
        <v>1214161696874520576</v>
      </c>
      <c r="F1058" s="7" t="s">
        <v>17</v>
      </c>
      <c r="G1058" s="7">
        <v>3599349</v>
      </c>
      <c r="H1058" s="7">
        <v>2339</v>
      </c>
      <c r="I1058" s="7">
        <v>1459</v>
      </c>
      <c r="J1058" s="7">
        <v>0</v>
      </c>
      <c r="K1058" s="7" t="s">
        <v>18</v>
      </c>
      <c r="L1058" s="8">
        <v>39987.315405092595</v>
      </c>
      <c r="M1058" s="9" t="s">
        <v>19</v>
      </c>
      <c r="N1058" s="9" t="s">
        <v>20</v>
      </c>
      <c r="O1058" s="6" t="str">
        <f>HYPERLINK("https://pbs.twimg.com/profile_images/962471262747529216/Uo8lOkRJ_normal.jpg","View")</f>
        <v>View</v>
      </c>
      <c r="P1058" s="7"/>
    </row>
    <row r="1059" spans="1:16">
      <c r="A1059" s="3">
        <v>43836.751620370371</v>
      </c>
      <c r="B1059" s="4" t="str">
        <f>HYPERLINK("https://twitter.com/petrogustavo","@petrogustavo")</f>
        <v>@petrogustavo</v>
      </c>
      <c r="C1059" s="5" t="s">
        <v>16</v>
      </c>
      <c r="D1059" s="5" t="s">
        <v>1048</v>
      </c>
      <c r="E1059" s="6" t="str">
        <f>HYPERLINK("https://twitter.com/petrogustavo/status/1214162782620401670","1214162782620401670")</f>
        <v>1214162782620401670</v>
      </c>
      <c r="F1059" s="7" t="s">
        <v>17</v>
      </c>
      <c r="G1059" s="7">
        <v>3599349</v>
      </c>
      <c r="H1059" s="7">
        <v>2339</v>
      </c>
      <c r="I1059" s="7">
        <v>758</v>
      </c>
      <c r="J1059" s="7">
        <v>0</v>
      </c>
      <c r="K1059" s="7" t="s">
        <v>18</v>
      </c>
      <c r="L1059" s="8">
        <v>39987.315405092595</v>
      </c>
      <c r="M1059" s="9" t="s">
        <v>19</v>
      </c>
      <c r="N1059" s="9" t="s">
        <v>20</v>
      </c>
      <c r="O1059" s="6" t="str">
        <f>HYPERLINK("https://pbs.twimg.com/profile_images/962471262747529216/Uo8lOkRJ_normal.jpg","View")</f>
        <v>View</v>
      </c>
      <c r="P1059" s="7"/>
    </row>
    <row r="1060" spans="1:16">
      <c r="A1060" s="3">
        <v>43836.754733796297</v>
      </c>
      <c r="B1060" s="4" t="str">
        <f>HYPERLINK("https://twitter.com/petrogustavo","@petrogustavo")</f>
        <v>@petrogustavo</v>
      </c>
      <c r="C1060" s="5" t="s">
        <v>16</v>
      </c>
      <c r="D1060" s="5" t="s">
        <v>1049</v>
      </c>
      <c r="E1060" s="6" t="str">
        <f>HYPERLINK("https://twitter.com/petrogustavo/status/1214163910951088128","1214163910951088128")</f>
        <v>1214163910951088128</v>
      </c>
      <c r="F1060" s="7" t="s">
        <v>17</v>
      </c>
      <c r="G1060" s="7">
        <v>3599349</v>
      </c>
      <c r="H1060" s="7">
        <v>2339</v>
      </c>
      <c r="I1060" s="7">
        <v>422</v>
      </c>
      <c r="J1060" s="7">
        <v>0</v>
      </c>
      <c r="K1060" s="7" t="s">
        <v>18</v>
      </c>
      <c r="L1060" s="8">
        <v>39987.315405092595</v>
      </c>
      <c r="M1060" s="9" t="s">
        <v>19</v>
      </c>
      <c r="N1060" s="9" t="s">
        <v>20</v>
      </c>
      <c r="O1060" s="6" t="str">
        <f>HYPERLINK("https://pbs.twimg.com/profile_images/962471262747529216/Uo8lOkRJ_normal.jpg","View")</f>
        <v>View</v>
      </c>
      <c r="P1060" s="7"/>
    </row>
    <row r="1061" spans="1:16">
      <c r="A1061" s="3">
        <v>43836.902418981481</v>
      </c>
      <c r="B1061" s="4" t="str">
        <f>HYPERLINK("https://twitter.com/petrogustavo","@petrogustavo")</f>
        <v>@petrogustavo</v>
      </c>
      <c r="C1061" s="5" t="s">
        <v>16</v>
      </c>
      <c r="D1061" s="5" t="s">
        <v>1050</v>
      </c>
      <c r="E1061" s="6" t="str">
        <f>HYPERLINK("https://twitter.com/petrogustavo/status/1214217433336164353","1214217433336164353")</f>
        <v>1214217433336164353</v>
      </c>
      <c r="F1061" s="7" t="s">
        <v>17</v>
      </c>
      <c r="G1061" s="7">
        <v>3599616</v>
      </c>
      <c r="H1061" s="7">
        <v>2339</v>
      </c>
      <c r="I1061" s="7">
        <v>227</v>
      </c>
      <c r="J1061" s="7">
        <v>0</v>
      </c>
      <c r="K1061" s="7" t="s">
        <v>18</v>
      </c>
      <c r="L1061" s="8">
        <v>39987.315405092595</v>
      </c>
      <c r="M1061" s="9" t="s">
        <v>19</v>
      </c>
      <c r="N1061" s="9" t="s">
        <v>20</v>
      </c>
      <c r="O1061" s="6" t="str">
        <f>HYPERLINK("https://pbs.twimg.com/profile_images/962471262747529216/Uo8lOkRJ_normal.jpg","View")</f>
        <v>View</v>
      </c>
      <c r="P1061" s="7"/>
    </row>
    <row r="1062" spans="1:16">
      <c r="A1062" s="3">
        <v>43836.904629629629</v>
      </c>
      <c r="B1062" s="4" t="str">
        <f>HYPERLINK("https://twitter.com/petrogustavo","@petrogustavo")</f>
        <v>@petrogustavo</v>
      </c>
      <c r="C1062" s="5" t="s">
        <v>16</v>
      </c>
      <c r="D1062" s="5" t="s">
        <v>1051</v>
      </c>
      <c r="E1062" s="6" t="str">
        <f>HYPERLINK("https://twitter.com/petrogustavo/status/1214218231512272896","1214218231512272896")</f>
        <v>1214218231512272896</v>
      </c>
      <c r="F1062" s="7" t="s">
        <v>17</v>
      </c>
      <c r="G1062" s="7">
        <v>3599616</v>
      </c>
      <c r="H1062" s="7">
        <v>2339</v>
      </c>
      <c r="I1062" s="7">
        <v>52</v>
      </c>
      <c r="J1062" s="7">
        <v>102</v>
      </c>
      <c r="K1062" s="7" t="s">
        <v>18</v>
      </c>
      <c r="L1062" s="8">
        <v>39987.315405092595</v>
      </c>
      <c r="M1062" s="9" t="s">
        <v>19</v>
      </c>
      <c r="N1062" s="9" t="s">
        <v>20</v>
      </c>
      <c r="O1062" s="6" t="str">
        <f>HYPERLINK("https://pbs.twimg.com/profile_images/962471262747529216/Uo8lOkRJ_normal.jpg","View")</f>
        <v>View</v>
      </c>
      <c r="P1062" s="7"/>
    </row>
    <row r="1063" spans="1:16">
      <c r="A1063" s="3">
        <v>43836.913831018523</v>
      </c>
      <c r="B1063" s="4" t="str">
        <f>HYPERLINK("https://twitter.com/petrogustavo","@petrogustavo")</f>
        <v>@petrogustavo</v>
      </c>
      <c r="C1063" s="5" t="s">
        <v>16</v>
      </c>
      <c r="D1063" s="5" t="s">
        <v>1052</v>
      </c>
      <c r="E1063" s="6" t="str">
        <f>HYPERLINK("https://twitter.com/petrogustavo/status/1214221568815091712","1214221568815091712")</f>
        <v>1214221568815091712</v>
      </c>
      <c r="F1063" s="7" t="s">
        <v>17</v>
      </c>
      <c r="G1063" s="7">
        <v>3599647</v>
      </c>
      <c r="H1063" s="7">
        <v>2340</v>
      </c>
      <c r="I1063" s="7">
        <v>65</v>
      </c>
      <c r="J1063" s="7">
        <v>216</v>
      </c>
      <c r="K1063" s="7" t="s">
        <v>18</v>
      </c>
      <c r="L1063" s="8">
        <v>39987.315405092595</v>
      </c>
      <c r="M1063" s="9" t="s">
        <v>19</v>
      </c>
      <c r="N1063" s="9" t="s">
        <v>20</v>
      </c>
      <c r="O1063" s="6" t="str">
        <f>HYPERLINK("https://pbs.twimg.com/profile_images/962471262747529216/Uo8lOkRJ_normal.jpg","View")</f>
        <v>View</v>
      </c>
      <c r="P1063" s="7"/>
    </row>
    <row r="1064" spans="1:16">
      <c r="A1064" s="3">
        <v>43836.91474537037</v>
      </c>
      <c r="B1064" s="4" t="str">
        <f>HYPERLINK("https://twitter.com/petrogustavo","@petrogustavo")</f>
        <v>@petrogustavo</v>
      </c>
      <c r="C1064" s="5" t="s">
        <v>16</v>
      </c>
      <c r="D1064" s="5" t="s">
        <v>1053</v>
      </c>
      <c r="E1064" s="6" t="str">
        <f>HYPERLINK("https://twitter.com/petrogustavo/status/1214221899523330048","1214221899523330048")</f>
        <v>1214221899523330048</v>
      </c>
      <c r="F1064" s="7" t="s">
        <v>17</v>
      </c>
      <c r="G1064" s="7">
        <v>3599647</v>
      </c>
      <c r="H1064" s="7">
        <v>2340</v>
      </c>
      <c r="I1064" s="7">
        <v>185</v>
      </c>
      <c r="J1064" s="7">
        <v>539</v>
      </c>
      <c r="K1064" s="7" t="s">
        <v>18</v>
      </c>
      <c r="L1064" s="8">
        <v>39987.315405092595</v>
      </c>
      <c r="M1064" s="9" t="s">
        <v>19</v>
      </c>
      <c r="N1064" s="9" t="s">
        <v>20</v>
      </c>
      <c r="O1064" s="6" t="str">
        <f>HYPERLINK("https://pbs.twimg.com/profile_images/962471262747529216/Uo8lOkRJ_normal.jpg","View")</f>
        <v>View</v>
      </c>
      <c r="P1064" s="7"/>
    </row>
    <row r="1065" spans="1:16">
      <c r="A1065" s="3">
        <v>43836.919733796298</v>
      </c>
      <c r="B1065" s="4" t="str">
        <f>HYPERLINK("https://twitter.com/petrogustavo","@petrogustavo")</f>
        <v>@petrogustavo</v>
      </c>
      <c r="C1065" s="5" t="s">
        <v>16</v>
      </c>
      <c r="D1065" s="5" t="s">
        <v>1054</v>
      </c>
      <c r="E1065" s="6" t="str">
        <f>HYPERLINK("https://twitter.com/petrogustavo/status/1214223707352289280","1214223707352289280")</f>
        <v>1214223707352289280</v>
      </c>
      <c r="F1065" s="7" t="s">
        <v>17</v>
      </c>
      <c r="G1065" s="7">
        <v>3599647</v>
      </c>
      <c r="H1065" s="7">
        <v>2340</v>
      </c>
      <c r="I1065" s="7">
        <v>21</v>
      </c>
      <c r="J1065" s="7">
        <v>69</v>
      </c>
      <c r="K1065" s="7" t="s">
        <v>18</v>
      </c>
      <c r="L1065" s="8">
        <v>39987.315405092595</v>
      </c>
      <c r="M1065" s="9" t="s">
        <v>19</v>
      </c>
      <c r="N1065" s="9" t="s">
        <v>20</v>
      </c>
      <c r="O1065" s="6" t="str">
        <f>HYPERLINK("https://pbs.twimg.com/profile_images/962471262747529216/Uo8lOkRJ_normal.jpg","View")</f>
        <v>View</v>
      </c>
      <c r="P1065" s="7"/>
    </row>
    <row r="1066" spans="1:16">
      <c r="A1066" s="3">
        <v>43836.9221875</v>
      </c>
      <c r="B1066" s="4" t="str">
        <f>HYPERLINK("https://twitter.com/petrogustavo","@petrogustavo")</f>
        <v>@petrogustavo</v>
      </c>
      <c r="C1066" s="5" t="s">
        <v>16</v>
      </c>
      <c r="D1066" s="5" t="s">
        <v>1055</v>
      </c>
      <c r="E1066" s="6" t="str">
        <f>HYPERLINK("https://twitter.com/petrogustavo/status/1214224594585997312","1214224594585997312")</f>
        <v>1214224594585997312</v>
      </c>
      <c r="F1066" s="7" t="s">
        <v>17</v>
      </c>
      <c r="G1066" s="7">
        <v>3599647</v>
      </c>
      <c r="H1066" s="7">
        <v>2340</v>
      </c>
      <c r="I1066" s="7">
        <v>46</v>
      </c>
      <c r="J1066" s="7">
        <v>130</v>
      </c>
      <c r="K1066" s="7" t="s">
        <v>18</v>
      </c>
      <c r="L1066" s="8">
        <v>39987.315405092595</v>
      </c>
      <c r="M1066" s="9" t="s">
        <v>19</v>
      </c>
      <c r="N1066" s="9" t="s">
        <v>20</v>
      </c>
      <c r="O1066" s="6" t="str">
        <f>HYPERLINK("https://pbs.twimg.com/profile_images/962471262747529216/Uo8lOkRJ_normal.jpg","View")</f>
        <v>View</v>
      </c>
      <c r="P1066" s="7"/>
    </row>
    <row r="1067" spans="1:16">
      <c r="A1067" s="3">
        <v>43836.940115740741</v>
      </c>
      <c r="B1067" s="4" t="str">
        <f>HYPERLINK("https://twitter.com/petrogustavo","@petrogustavo")</f>
        <v>@petrogustavo</v>
      </c>
      <c r="C1067" s="5" t="s">
        <v>16</v>
      </c>
      <c r="D1067" s="5" t="s">
        <v>1056</v>
      </c>
      <c r="E1067" s="6" t="str">
        <f>HYPERLINK("https://twitter.com/petrogustavo/status/1214231093546799104","1214231093546799104")</f>
        <v>1214231093546799104</v>
      </c>
      <c r="F1067" s="7" t="s">
        <v>17</v>
      </c>
      <c r="G1067" s="7">
        <v>3599656</v>
      </c>
      <c r="H1067" s="7">
        <v>2340</v>
      </c>
      <c r="I1067" s="7">
        <v>75</v>
      </c>
      <c r="J1067" s="7">
        <v>173</v>
      </c>
      <c r="K1067" s="7" t="s">
        <v>18</v>
      </c>
      <c r="L1067" s="8">
        <v>39987.315405092595</v>
      </c>
      <c r="M1067" s="9" t="s">
        <v>19</v>
      </c>
      <c r="N1067" s="9" t="s">
        <v>20</v>
      </c>
      <c r="O1067" s="6" t="str">
        <f>HYPERLINK("https://pbs.twimg.com/profile_images/962471262747529216/Uo8lOkRJ_normal.jpg","View")</f>
        <v>View</v>
      </c>
      <c r="P1067" s="7"/>
    </row>
    <row r="1068" spans="1:16">
      <c r="A1068" s="3">
        <v>43836.954236111109</v>
      </c>
      <c r="B1068" s="4" t="str">
        <f>HYPERLINK("https://twitter.com/petrogustavo","@petrogustavo")</f>
        <v>@petrogustavo</v>
      </c>
      <c r="C1068" s="5" t="s">
        <v>16</v>
      </c>
      <c r="D1068" s="5" t="s">
        <v>1057</v>
      </c>
      <c r="E1068" s="6" t="str">
        <f>HYPERLINK("https://twitter.com/petrogustavo/status/1214236207825276930","1214236207825276930")</f>
        <v>1214236207825276930</v>
      </c>
      <c r="F1068" s="7" t="s">
        <v>17</v>
      </c>
      <c r="G1068" s="7">
        <v>3599688</v>
      </c>
      <c r="H1068" s="7">
        <v>2340</v>
      </c>
      <c r="I1068" s="7">
        <v>246</v>
      </c>
      <c r="J1068" s="7">
        <v>555</v>
      </c>
      <c r="K1068" s="7" t="s">
        <v>18</v>
      </c>
      <c r="L1068" s="8">
        <v>39987.315405092595</v>
      </c>
      <c r="M1068" s="9" t="s">
        <v>19</v>
      </c>
      <c r="N1068" s="9" t="s">
        <v>20</v>
      </c>
      <c r="O1068" s="6" t="str">
        <f>HYPERLINK("https://pbs.twimg.com/profile_images/962471262747529216/Uo8lOkRJ_normal.jpg","View")</f>
        <v>View</v>
      </c>
      <c r="P1068" s="7"/>
    </row>
    <row r="1069" spans="1:16">
      <c r="A1069" s="3">
        <v>43836.966238425928</v>
      </c>
      <c r="B1069" s="4" t="str">
        <f>HYPERLINK("https://twitter.com/petrogustavo","@petrogustavo")</f>
        <v>@petrogustavo</v>
      </c>
      <c r="C1069" s="5" t="s">
        <v>16</v>
      </c>
      <c r="D1069" s="5" t="s">
        <v>1058</v>
      </c>
      <c r="E1069" s="6" t="str">
        <f>HYPERLINK("https://twitter.com/petrogustavo/status/1214240558174154752","1214240558174154752")</f>
        <v>1214240558174154752</v>
      </c>
      <c r="F1069" s="7" t="s">
        <v>17</v>
      </c>
      <c r="G1069" s="7">
        <v>3599688</v>
      </c>
      <c r="H1069" s="7">
        <v>2340</v>
      </c>
      <c r="I1069" s="7">
        <v>653</v>
      </c>
      <c r="J1069" s="7">
        <v>0</v>
      </c>
      <c r="K1069" s="7" t="s">
        <v>18</v>
      </c>
      <c r="L1069" s="8">
        <v>39987.315405092595</v>
      </c>
      <c r="M1069" s="9" t="s">
        <v>19</v>
      </c>
      <c r="N1069" s="9" t="s">
        <v>20</v>
      </c>
      <c r="O1069" s="6" t="str">
        <f>HYPERLINK("https://pbs.twimg.com/profile_images/962471262747529216/Uo8lOkRJ_normal.jpg","View")</f>
        <v>View</v>
      </c>
      <c r="P1069" s="7"/>
    </row>
    <row r="1070" spans="1:16">
      <c r="A1070" s="3">
        <v>43836.970358796301</v>
      </c>
      <c r="B1070" s="4" t="str">
        <f>HYPERLINK("https://twitter.com/petrogustavo","@petrogustavo")</f>
        <v>@petrogustavo</v>
      </c>
      <c r="C1070" s="5" t="s">
        <v>16</v>
      </c>
      <c r="D1070" s="5" t="s">
        <v>1059</v>
      </c>
      <c r="E1070" s="6" t="str">
        <f>HYPERLINK("https://twitter.com/petrogustavo/status/1214242050893340672","1214242050893340672")</f>
        <v>1214242050893340672</v>
      </c>
      <c r="F1070" s="7" t="s">
        <v>17</v>
      </c>
      <c r="G1070" s="7">
        <v>3599688</v>
      </c>
      <c r="H1070" s="7">
        <v>2340</v>
      </c>
      <c r="I1070" s="7">
        <v>246</v>
      </c>
      <c r="J1070" s="7">
        <v>0</v>
      </c>
      <c r="K1070" s="7" t="s">
        <v>18</v>
      </c>
      <c r="L1070" s="8">
        <v>39987.315405092595</v>
      </c>
      <c r="M1070" s="9" t="s">
        <v>19</v>
      </c>
      <c r="N1070" s="9" t="s">
        <v>20</v>
      </c>
      <c r="O1070" s="6" t="str">
        <f>HYPERLINK("https://pbs.twimg.com/profile_images/962471262747529216/Uo8lOkRJ_normal.jpg","View")</f>
        <v>View</v>
      </c>
      <c r="P1070" s="7"/>
    </row>
    <row r="1071" spans="1:16">
      <c r="A1071" s="3">
        <v>43837.002453703702</v>
      </c>
      <c r="B1071" s="4" t="str">
        <f>HYPERLINK("https://twitter.com/petrogustavo","@petrogustavo")</f>
        <v>@petrogustavo</v>
      </c>
      <c r="C1071" s="5" t="s">
        <v>16</v>
      </c>
      <c r="D1071" s="5" t="s">
        <v>1060</v>
      </c>
      <c r="E1071" s="6" t="str">
        <f>HYPERLINK("https://twitter.com/petrogustavo/status/1214253685339017217","1214253685339017217")</f>
        <v>1214253685339017217</v>
      </c>
      <c r="F1071" s="7" t="s">
        <v>17</v>
      </c>
      <c r="G1071" s="7">
        <v>3599777</v>
      </c>
      <c r="H1071" s="7">
        <v>2340</v>
      </c>
      <c r="I1071" s="7">
        <v>120</v>
      </c>
      <c r="J1071" s="7">
        <v>313</v>
      </c>
      <c r="K1071" s="7" t="s">
        <v>18</v>
      </c>
      <c r="L1071" s="8">
        <v>39987.315405092595</v>
      </c>
      <c r="M1071" s="9" t="s">
        <v>19</v>
      </c>
      <c r="N1071" s="9" t="s">
        <v>20</v>
      </c>
      <c r="O1071" s="6" t="str">
        <f>HYPERLINK("https://pbs.twimg.com/profile_images/962471262747529216/Uo8lOkRJ_normal.jpg","View")</f>
        <v>View</v>
      </c>
      <c r="P1071" s="7"/>
    </row>
    <row r="1072" spans="1:16">
      <c r="A1072" s="3">
        <v>43837.002523148149</v>
      </c>
      <c r="B1072" s="4" t="str">
        <f>HYPERLINK("https://twitter.com/petrogustavo","@petrogustavo")</f>
        <v>@petrogustavo</v>
      </c>
      <c r="C1072" s="5" t="s">
        <v>16</v>
      </c>
      <c r="D1072" s="5" t="s">
        <v>1061</v>
      </c>
      <c r="E1072" s="6" t="str">
        <f>HYPERLINK("https://twitter.com/petrogustavo/status/1214253706713141248","1214253706713141248")</f>
        <v>1214253706713141248</v>
      </c>
      <c r="F1072" s="7" t="s">
        <v>17</v>
      </c>
      <c r="G1072" s="7">
        <v>3599777</v>
      </c>
      <c r="H1072" s="7">
        <v>2340</v>
      </c>
      <c r="I1072" s="7">
        <v>56</v>
      </c>
      <c r="J1072" s="7">
        <v>194</v>
      </c>
      <c r="K1072" s="7" t="s">
        <v>18</v>
      </c>
      <c r="L1072" s="8">
        <v>39987.315405092595</v>
      </c>
      <c r="M1072" s="9" t="s">
        <v>19</v>
      </c>
      <c r="N1072" s="9" t="s">
        <v>20</v>
      </c>
      <c r="O1072" s="6" t="str">
        <f>HYPERLINK("https://pbs.twimg.com/profile_images/962471262747529216/Uo8lOkRJ_normal.jpg","View")</f>
        <v>View</v>
      </c>
      <c r="P1072" s="7"/>
    </row>
    <row r="1073" spans="1:16">
      <c r="A1073" s="3">
        <v>43837.00372685185</v>
      </c>
      <c r="B1073" s="4" t="str">
        <f>HYPERLINK("https://twitter.com/petrogustavo","@petrogustavo")</f>
        <v>@petrogustavo</v>
      </c>
      <c r="C1073" s="5" t="s">
        <v>16</v>
      </c>
      <c r="D1073" s="5" t="s">
        <v>1062</v>
      </c>
      <c r="E1073" s="6" t="str">
        <f>HYPERLINK("https://twitter.com/petrogustavo/status/1214254146200600577","1214254146200600577")</f>
        <v>1214254146200600577</v>
      </c>
      <c r="F1073" s="7" t="s">
        <v>17</v>
      </c>
      <c r="G1073" s="7">
        <v>3599777</v>
      </c>
      <c r="H1073" s="7">
        <v>2340</v>
      </c>
      <c r="I1073" s="7">
        <v>73</v>
      </c>
      <c r="J1073" s="7">
        <v>0</v>
      </c>
      <c r="K1073" s="7" t="s">
        <v>18</v>
      </c>
      <c r="L1073" s="8">
        <v>39987.315405092595</v>
      </c>
      <c r="M1073" s="9" t="s">
        <v>19</v>
      </c>
      <c r="N1073" s="9" t="s">
        <v>20</v>
      </c>
      <c r="O1073" s="6" t="str">
        <f>HYPERLINK("https://pbs.twimg.com/profile_images/962471262747529216/Uo8lOkRJ_normal.jpg","View")</f>
        <v>View</v>
      </c>
      <c r="P1073" s="7"/>
    </row>
    <row r="1074" spans="1:16">
      <c r="A1074" s="3">
        <v>43837.067060185189</v>
      </c>
      <c r="B1074" s="4" t="str">
        <f>HYPERLINK("https://twitter.com/petrogustavo","@petrogustavo")</f>
        <v>@petrogustavo</v>
      </c>
      <c r="C1074" s="5" t="s">
        <v>16</v>
      </c>
      <c r="D1074" s="5" t="s">
        <v>1063</v>
      </c>
      <c r="E1074" s="6" t="str">
        <f>HYPERLINK("https://twitter.com/petrogustavo/status/1214277095356030976","1214277095356030976")</f>
        <v>1214277095356030976</v>
      </c>
      <c r="F1074" s="7" t="s">
        <v>17</v>
      </c>
      <c r="G1074" s="7">
        <v>3599841</v>
      </c>
      <c r="H1074" s="7">
        <v>2340</v>
      </c>
      <c r="I1074" s="7">
        <v>293</v>
      </c>
      <c r="J1074" s="7">
        <v>0</v>
      </c>
      <c r="K1074" s="7" t="s">
        <v>18</v>
      </c>
      <c r="L1074" s="8">
        <v>39987.315405092595</v>
      </c>
      <c r="M1074" s="9" t="s">
        <v>19</v>
      </c>
      <c r="N1074" s="9" t="s">
        <v>20</v>
      </c>
      <c r="O1074" s="6" t="str">
        <f>HYPERLINK("https://pbs.twimg.com/profile_images/962471262747529216/Uo8lOkRJ_normal.jpg","View")</f>
        <v>View</v>
      </c>
      <c r="P1074" s="7"/>
    </row>
    <row r="1075" spans="1:16">
      <c r="A1075" s="3">
        <v>43837.069293981476</v>
      </c>
      <c r="B1075" s="4" t="str">
        <f>HYPERLINK("https://twitter.com/petrogustavo","@petrogustavo")</f>
        <v>@petrogustavo</v>
      </c>
      <c r="C1075" s="5" t="s">
        <v>16</v>
      </c>
      <c r="D1075" s="5" t="s">
        <v>1064</v>
      </c>
      <c r="E1075" s="6" t="str">
        <f>HYPERLINK("https://twitter.com/petrogustavo/status/1214277905515237377","1214277905515237377")</f>
        <v>1214277905515237377</v>
      </c>
      <c r="F1075" s="7" t="s">
        <v>17</v>
      </c>
      <c r="G1075" s="7">
        <v>3599841</v>
      </c>
      <c r="H1075" s="7">
        <v>2340</v>
      </c>
      <c r="I1075" s="7">
        <v>21</v>
      </c>
      <c r="J1075" s="7">
        <v>0</v>
      </c>
      <c r="K1075" s="7" t="s">
        <v>18</v>
      </c>
      <c r="L1075" s="8">
        <v>39987.315405092595</v>
      </c>
      <c r="M1075" s="9" t="s">
        <v>19</v>
      </c>
      <c r="N1075" s="9" t="s">
        <v>20</v>
      </c>
      <c r="O1075" s="6" t="str">
        <f>HYPERLINK("https://pbs.twimg.com/profile_images/962471262747529216/Uo8lOkRJ_normal.jpg","View")</f>
        <v>View</v>
      </c>
      <c r="P1075" s="7"/>
    </row>
    <row r="1076" spans="1:16">
      <c r="A1076" s="3">
        <v>43837.071620370371</v>
      </c>
      <c r="B1076" s="4" t="str">
        <f>HYPERLINK("https://twitter.com/petrogustavo","@petrogustavo")</f>
        <v>@petrogustavo</v>
      </c>
      <c r="C1076" s="5" t="s">
        <v>16</v>
      </c>
      <c r="D1076" s="5" t="s">
        <v>1065</v>
      </c>
      <c r="E1076" s="6" t="str">
        <f>HYPERLINK("https://twitter.com/petrogustavo/status/1214278749174276096","1214278749174276096")</f>
        <v>1214278749174276096</v>
      </c>
      <c r="F1076" s="7" t="s">
        <v>17</v>
      </c>
      <c r="G1076" s="7">
        <v>3599841</v>
      </c>
      <c r="H1076" s="7">
        <v>2340</v>
      </c>
      <c r="I1076" s="7">
        <v>34</v>
      </c>
      <c r="J1076" s="7">
        <v>0</v>
      </c>
      <c r="K1076" s="7" t="s">
        <v>18</v>
      </c>
      <c r="L1076" s="8">
        <v>39987.315405092595</v>
      </c>
      <c r="M1076" s="9" t="s">
        <v>19</v>
      </c>
      <c r="N1076" s="9" t="s">
        <v>20</v>
      </c>
      <c r="O1076" s="6" t="str">
        <f>HYPERLINK("https://pbs.twimg.com/profile_images/962471262747529216/Uo8lOkRJ_normal.jpg","View")</f>
        <v>View</v>
      </c>
      <c r="P1076" s="7"/>
    </row>
    <row r="1077" spans="1:16">
      <c r="A1077" s="3">
        <v>43837.072245370371</v>
      </c>
      <c r="B1077" s="4" t="str">
        <f>HYPERLINK("https://twitter.com/petrogustavo","@petrogustavo")</f>
        <v>@petrogustavo</v>
      </c>
      <c r="C1077" s="5" t="s">
        <v>16</v>
      </c>
      <c r="D1077" s="5" t="s">
        <v>1066</v>
      </c>
      <c r="E1077" s="6" t="str">
        <f>HYPERLINK("https://twitter.com/petrogustavo/status/1214278974437806080","1214278974437806080")</f>
        <v>1214278974437806080</v>
      </c>
      <c r="F1077" s="7" t="s">
        <v>17</v>
      </c>
      <c r="G1077" s="7">
        <v>3599841</v>
      </c>
      <c r="H1077" s="7">
        <v>2340</v>
      </c>
      <c r="I1077" s="7">
        <v>51</v>
      </c>
      <c r="J1077" s="7">
        <v>0</v>
      </c>
      <c r="K1077" s="7" t="s">
        <v>18</v>
      </c>
      <c r="L1077" s="8">
        <v>39987.315405092595</v>
      </c>
      <c r="M1077" s="9" t="s">
        <v>19</v>
      </c>
      <c r="N1077" s="9" t="s">
        <v>20</v>
      </c>
      <c r="O1077" s="6" t="str">
        <f>HYPERLINK("https://pbs.twimg.com/profile_images/962471262747529216/Uo8lOkRJ_normal.jpg","View")</f>
        <v>View</v>
      </c>
      <c r="P1077" s="7"/>
    </row>
    <row r="1078" spans="1:16">
      <c r="A1078" s="3">
        <v>43837.076597222222</v>
      </c>
      <c r="B1078" s="4" t="str">
        <f>HYPERLINK("https://twitter.com/petrogustavo","@petrogustavo")</f>
        <v>@petrogustavo</v>
      </c>
      <c r="C1078" s="5" t="s">
        <v>16</v>
      </c>
      <c r="D1078" s="5" t="s">
        <v>1067</v>
      </c>
      <c r="E1078" s="6" t="str">
        <f>HYPERLINK("https://twitter.com/petrogustavo/status/1214280550892130309","1214280550892130309")</f>
        <v>1214280550892130309</v>
      </c>
      <c r="F1078" s="7" t="s">
        <v>17</v>
      </c>
      <c r="G1078" s="7">
        <v>3599873</v>
      </c>
      <c r="H1078" s="7">
        <v>2340</v>
      </c>
      <c r="I1078" s="7">
        <v>277</v>
      </c>
      <c r="J1078" s="7">
        <v>647</v>
      </c>
      <c r="K1078" s="7" t="s">
        <v>18</v>
      </c>
      <c r="L1078" s="8">
        <v>39987.315405092595</v>
      </c>
      <c r="M1078" s="9" t="s">
        <v>19</v>
      </c>
      <c r="N1078" s="9" t="s">
        <v>20</v>
      </c>
      <c r="O1078" s="6" t="str">
        <f>HYPERLINK("https://pbs.twimg.com/profile_images/962471262747529216/Uo8lOkRJ_normal.jpg","View")</f>
        <v>View</v>
      </c>
      <c r="P1078" s="7"/>
    </row>
    <row r="1079" spans="1:16">
      <c r="A1079" s="3">
        <v>43837.120740740742</v>
      </c>
      <c r="B1079" s="4" t="str">
        <f>HYPERLINK("https://twitter.com/petrogustavo","@petrogustavo")</f>
        <v>@petrogustavo</v>
      </c>
      <c r="C1079" s="5" t="s">
        <v>16</v>
      </c>
      <c r="D1079" s="5" t="s">
        <v>1068</v>
      </c>
      <c r="E1079" s="6" t="str">
        <f>HYPERLINK("https://twitter.com/petrogustavo/status/1214296548106002432","1214296548106002432")</f>
        <v>1214296548106002432</v>
      </c>
      <c r="F1079" s="7" t="s">
        <v>17</v>
      </c>
      <c r="G1079" s="7">
        <v>3599912</v>
      </c>
      <c r="H1079" s="7">
        <v>2340</v>
      </c>
      <c r="I1079" s="7">
        <v>78</v>
      </c>
      <c r="J1079" s="7">
        <v>190</v>
      </c>
      <c r="K1079" s="7" t="s">
        <v>18</v>
      </c>
      <c r="L1079" s="8">
        <v>39987.315405092595</v>
      </c>
      <c r="M1079" s="9" t="s">
        <v>19</v>
      </c>
      <c r="N1079" s="9" t="s">
        <v>20</v>
      </c>
      <c r="O1079" s="6" t="str">
        <f>HYPERLINK("https://pbs.twimg.com/profile_images/962471262747529216/Uo8lOkRJ_normal.jpg","View")</f>
        <v>View</v>
      </c>
      <c r="P1079" s="7"/>
    </row>
    <row r="1080" spans="1:16">
      <c r="A1080" s="3">
        <v>43837.123287037037</v>
      </c>
      <c r="B1080" s="4" t="str">
        <f>HYPERLINK("https://twitter.com/petrogustavo","@petrogustavo")</f>
        <v>@petrogustavo</v>
      </c>
      <c r="C1080" s="5" t="s">
        <v>16</v>
      </c>
      <c r="D1080" s="5" t="s">
        <v>1069</v>
      </c>
      <c r="E1080" s="6" t="str">
        <f>HYPERLINK("https://twitter.com/petrogustavo/status/1214297470915817473","1214297470915817473")</f>
        <v>1214297470915817473</v>
      </c>
      <c r="F1080" s="7" t="s">
        <v>17</v>
      </c>
      <c r="G1080" s="7">
        <v>3599912</v>
      </c>
      <c r="H1080" s="7">
        <v>2340</v>
      </c>
      <c r="I1080" s="7">
        <v>27</v>
      </c>
      <c r="J1080" s="7">
        <v>0</v>
      </c>
      <c r="K1080" s="7" t="s">
        <v>18</v>
      </c>
      <c r="L1080" s="8">
        <v>39987.315405092595</v>
      </c>
      <c r="M1080" s="9" t="s">
        <v>19</v>
      </c>
      <c r="N1080" s="9" t="s">
        <v>20</v>
      </c>
      <c r="O1080" s="6" t="str">
        <f>HYPERLINK("https://pbs.twimg.com/profile_images/962471262747529216/Uo8lOkRJ_normal.jpg","View")</f>
        <v>View</v>
      </c>
      <c r="P1080" s="7"/>
    </row>
    <row r="1081" spans="1:16">
      <c r="A1081" s="3">
        <v>43837.12537037037</v>
      </c>
      <c r="B1081" s="4" t="str">
        <f>HYPERLINK("https://twitter.com/petrogustavo","@petrogustavo")</f>
        <v>@petrogustavo</v>
      </c>
      <c r="C1081" s="5" t="s">
        <v>16</v>
      </c>
      <c r="D1081" s="5" t="s">
        <v>1070</v>
      </c>
      <c r="E1081" s="6" t="str">
        <f>HYPERLINK("https://twitter.com/petrogustavo/status/1214298225609527296","1214298225609527296")</f>
        <v>1214298225609527296</v>
      </c>
      <c r="F1081" s="7" t="s">
        <v>17</v>
      </c>
      <c r="G1081" s="7">
        <v>3599912</v>
      </c>
      <c r="H1081" s="7">
        <v>2340</v>
      </c>
      <c r="I1081" s="7">
        <v>1136</v>
      </c>
      <c r="J1081" s="7">
        <v>0</v>
      </c>
      <c r="K1081" s="7" t="s">
        <v>18</v>
      </c>
      <c r="L1081" s="8">
        <v>39987.315405092595</v>
      </c>
      <c r="M1081" s="9" t="s">
        <v>19</v>
      </c>
      <c r="N1081" s="9" t="s">
        <v>20</v>
      </c>
      <c r="O1081" s="6" t="str">
        <f>HYPERLINK("https://pbs.twimg.com/profile_images/962471262747529216/Uo8lOkRJ_normal.jpg","View")</f>
        <v>View</v>
      </c>
      <c r="P1081" s="7"/>
    </row>
    <row r="1082" spans="1:16">
      <c r="A1082" s="3">
        <v>43837.125416666662</v>
      </c>
      <c r="B1082" s="4" t="str">
        <f>HYPERLINK("https://twitter.com/petrogustavo","@petrogustavo")</f>
        <v>@petrogustavo</v>
      </c>
      <c r="C1082" s="5" t="s">
        <v>16</v>
      </c>
      <c r="D1082" s="5" t="s">
        <v>1071</v>
      </c>
      <c r="E1082" s="6" t="str">
        <f>HYPERLINK("https://twitter.com/petrogustavo/status/1214298245305896960","1214298245305896960")</f>
        <v>1214298245305896960</v>
      </c>
      <c r="F1082" s="7" t="s">
        <v>17</v>
      </c>
      <c r="G1082" s="7">
        <v>3599912</v>
      </c>
      <c r="H1082" s="7">
        <v>2340</v>
      </c>
      <c r="I1082" s="7">
        <v>8</v>
      </c>
      <c r="J1082" s="7">
        <v>0</v>
      </c>
      <c r="K1082" s="7" t="s">
        <v>18</v>
      </c>
      <c r="L1082" s="8">
        <v>39987.315405092595</v>
      </c>
      <c r="M1082" s="9" t="s">
        <v>19</v>
      </c>
      <c r="N1082" s="9" t="s">
        <v>20</v>
      </c>
      <c r="O1082" s="6" t="str">
        <f>HYPERLINK("https://pbs.twimg.com/profile_images/962471262747529216/Uo8lOkRJ_normal.jpg","View")</f>
        <v>View</v>
      </c>
      <c r="P1082" s="7"/>
    </row>
    <row r="1083" spans="1:16">
      <c r="A1083" s="3">
        <v>43837.129907407405</v>
      </c>
      <c r="B1083" s="4" t="str">
        <f>HYPERLINK("https://twitter.com/petrogustavo","@petrogustavo")</f>
        <v>@petrogustavo</v>
      </c>
      <c r="C1083" s="5" t="s">
        <v>16</v>
      </c>
      <c r="D1083" s="5" t="s">
        <v>1072</v>
      </c>
      <c r="E1083" s="6" t="str">
        <f>HYPERLINK("https://twitter.com/petrogustavo/status/1214299869223014402","1214299869223014402")</f>
        <v>1214299869223014402</v>
      </c>
      <c r="F1083" s="7" t="s">
        <v>17</v>
      </c>
      <c r="G1083" s="7">
        <v>3599912</v>
      </c>
      <c r="H1083" s="7">
        <v>2340</v>
      </c>
      <c r="I1083" s="7">
        <v>27</v>
      </c>
      <c r="J1083" s="7">
        <v>66</v>
      </c>
      <c r="K1083" s="7" t="s">
        <v>18</v>
      </c>
      <c r="L1083" s="8">
        <v>39987.315405092595</v>
      </c>
      <c r="M1083" s="9" t="s">
        <v>19</v>
      </c>
      <c r="N1083" s="9" t="s">
        <v>20</v>
      </c>
      <c r="O1083" s="6" t="str">
        <f>HYPERLINK("https://pbs.twimg.com/profile_images/962471262747529216/Uo8lOkRJ_normal.jpg","View")</f>
        <v>View</v>
      </c>
      <c r="P1083" s="7"/>
    </row>
    <row r="1084" spans="1:16">
      <c r="A1084" s="3">
        <v>43837.130173611113</v>
      </c>
      <c r="B1084" s="4" t="str">
        <f>HYPERLINK("https://twitter.com/petrogustavo","@petrogustavo")</f>
        <v>@petrogustavo</v>
      </c>
      <c r="C1084" s="5" t="s">
        <v>16</v>
      </c>
      <c r="D1084" s="5" t="s">
        <v>1073</v>
      </c>
      <c r="E1084" s="6" t="str">
        <f>HYPERLINK("https://twitter.com/petrogustavo/status/1214299968967720960","1214299968967720960")</f>
        <v>1214299968967720960</v>
      </c>
      <c r="F1084" s="7" t="s">
        <v>17</v>
      </c>
      <c r="G1084" s="7">
        <v>3599912</v>
      </c>
      <c r="H1084" s="7">
        <v>2340</v>
      </c>
      <c r="I1084" s="7">
        <v>365</v>
      </c>
      <c r="J1084" s="7">
        <v>0</v>
      </c>
      <c r="K1084" s="7" t="s">
        <v>18</v>
      </c>
      <c r="L1084" s="8">
        <v>39987.315405092595</v>
      </c>
      <c r="M1084" s="9" t="s">
        <v>19</v>
      </c>
      <c r="N1084" s="9" t="s">
        <v>20</v>
      </c>
      <c r="O1084" s="6" t="str">
        <f>HYPERLINK("https://pbs.twimg.com/profile_images/962471262747529216/Uo8lOkRJ_normal.jpg","View")</f>
        <v>View</v>
      </c>
      <c r="P1084" s="7"/>
    </row>
    <row r="1085" spans="1:16">
      <c r="A1085" s="3">
        <v>43837.13386574074</v>
      </c>
      <c r="B1085" s="4" t="str">
        <f>HYPERLINK("https://twitter.com/petrogustavo","@petrogustavo")</f>
        <v>@petrogustavo</v>
      </c>
      <c r="C1085" s="5" t="s">
        <v>16</v>
      </c>
      <c r="D1085" s="5" t="s">
        <v>1074</v>
      </c>
      <c r="E1085" s="6" t="str">
        <f>HYPERLINK("https://twitter.com/petrogustavo/status/1214301304258015234","1214301304258015234")</f>
        <v>1214301304258015234</v>
      </c>
      <c r="F1085" s="7" t="s">
        <v>17</v>
      </c>
      <c r="G1085" s="7">
        <v>3599912</v>
      </c>
      <c r="H1085" s="7">
        <v>2340</v>
      </c>
      <c r="I1085" s="7">
        <v>356</v>
      </c>
      <c r="J1085" s="7">
        <v>0</v>
      </c>
      <c r="K1085" s="7" t="s">
        <v>18</v>
      </c>
      <c r="L1085" s="8">
        <v>39987.315405092595</v>
      </c>
      <c r="M1085" s="9" t="s">
        <v>19</v>
      </c>
      <c r="N1085" s="9" t="s">
        <v>20</v>
      </c>
      <c r="O1085" s="6" t="str">
        <f>HYPERLINK("https://pbs.twimg.com/profile_images/962471262747529216/Uo8lOkRJ_normal.jpg","View")</f>
        <v>View</v>
      </c>
      <c r="P1085" s="7"/>
    </row>
    <row r="1086" spans="1:16">
      <c r="A1086" s="3">
        <v>43837.136608796296</v>
      </c>
      <c r="B1086" s="4" t="str">
        <f>HYPERLINK("https://twitter.com/petrogustavo","@petrogustavo")</f>
        <v>@petrogustavo</v>
      </c>
      <c r="C1086" s="5" t="s">
        <v>16</v>
      </c>
      <c r="D1086" s="5" t="s">
        <v>1059</v>
      </c>
      <c r="E1086" s="6" t="str">
        <f>HYPERLINK("https://twitter.com/petrogustavo/status/1214302298417049600","1214302298417049600")</f>
        <v>1214302298417049600</v>
      </c>
      <c r="F1086" s="7" t="s">
        <v>17</v>
      </c>
      <c r="G1086" s="7">
        <v>3599912</v>
      </c>
      <c r="H1086" s="7">
        <v>2340</v>
      </c>
      <c r="I1086" s="7">
        <v>1162</v>
      </c>
      <c r="J1086" s="7">
        <v>0</v>
      </c>
      <c r="K1086" s="7" t="s">
        <v>18</v>
      </c>
      <c r="L1086" s="8">
        <v>39987.315405092595</v>
      </c>
      <c r="M1086" s="9" t="s">
        <v>19</v>
      </c>
      <c r="N1086" s="9" t="s">
        <v>20</v>
      </c>
      <c r="O1086" s="6" t="str">
        <f>HYPERLINK("https://pbs.twimg.com/profile_images/962471262747529216/Uo8lOkRJ_normal.jpg","View")</f>
        <v>View</v>
      </c>
      <c r="P1086" s="7"/>
    </row>
    <row r="1087" spans="1:16">
      <c r="A1087" s="3">
        <v>43837.136689814812</v>
      </c>
      <c r="B1087" s="4" t="str">
        <f>HYPERLINK("https://twitter.com/petrogustavo","@petrogustavo")</f>
        <v>@petrogustavo</v>
      </c>
      <c r="C1087" s="5" t="s">
        <v>16</v>
      </c>
      <c r="D1087" s="5" t="s">
        <v>1075</v>
      </c>
      <c r="E1087" s="6" t="str">
        <f>HYPERLINK("https://twitter.com/petrogustavo/status/1214302330839064577","1214302330839064577")</f>
        <v>1214302330839064577</v>
      </c>
      <c r="F1087" s="7" t="s">
        <v>17</v>
      </c>
      <c r="G1087" s="7">
        <v>3599912</v>
      </c>
      <c r="H1087" s="7">
        <v>2340</v>
      </c>
      <c r="I1087" s="7">
        <v>795</v>
      </c>
      <c r="J1087" s="7">
        <v>0</v>
      </c>
      <c r="K1087" s="7" t="s">
        <v>18</v>
      </c>
      <c r="L1087" s="8">
        <v>39987.315405092595</v>
      </c>
      <c r="M1087" s="9" t="s">
        <v>19</v>
      </c>
      <c r="N1087" s="9" t="s">
        <v>20</v>
      </c>
      <c r="O1087" s="6" t="str">
        <f>HYPERLINK("https://pbs.twimg.com/profile_images/962471262747529216/Uo8lOkRJ_normal.jpg","View")</f>
        <v>View</v>
      </c>
      <c r="P1087" s="7"/>
    </row>
    <row r="1088" spans="1:16">
      <c r="A1088" s="3">
        <v>43837.136782407411</v>
      </c>
      <c r="B1088" s="4" t="str">
        <f>HYPERLINK("https://twitter.com/petrogustavo","@petrogustavo")</f>
        <v>@petrogustavo</v>
      </c>
      <c r="C1088" s="5" t="s">
        <v>16</v>
      </c>
      <c r="D1088" s="5" t="s">
        <v>1076</v>
      </c>
      <c r="E1088" s="6" t="str">
        <f>HYPERLINK("https://twitter.com/petrogustavo/status/1214302362476654599","1214302362476654599")</f>
        <v>1214302362476654599</v>
      </c>
      <c r="F1088" s="7" t="s">
        <v>17</v>
      </c>
      <c r="G1088" s="7">
        <v>3599912</v>
      </c>
      <c r="H1088" s="7">
        <v>2340</v>
      </c>
      <c r="I1088" s="7">
        <v>679</v>
      </c>
      <c r="J1088" s="7">
        <v>0</v>
      </c>
      <c r="K1088" s="7" t="s">
        <v>18</v>
      </c>
      <c r="L1088" s="8">
        <v>39987.315405092595</v>
      </c>
      <c r="M1088" s="9" t="s">
        <v>19</v>
      </c>
      <c r="N1088" s="9" t="s">
        <v>20</v>
      </c>
      <c r="O1088" s="6" t="str">
        <f>HYPERLINK("https://pbs.twimg.com/profile_images/962471262747529216/Uo8lOkRJ_normal.jpg","View")</f>
        <v>View</v>
      </c>
      <c r="P1088" s="7"/>
    </row>
    <row r="1089" spans="1:16">
      <c r="A1089" s="3">
        <v>43837.160763888889</v>
      </c>
      <c r="B1089" s="4" t="str">
        <f>HYPERLINK("https://twitter.com/petrogustavo","@petrogustavo")</f>
        <v>@petrogustavo</v>
      </c>
      <c r="C1089" s="5" t="s">
        <v>16</v>
      </c>
      <c r="D1089" s="5" t="s">
        <v>1077</v>
      </c>
      <c r="E1089" s="6" t="str">
        <f>HYPERLINK("https://twitter.com/petrogustavo/status/1214311051937951744","1214311051937951744")</f>
        <v>1214311051937951744</v>
      </c>
      <c r="F1089" s="7" t="s">
        <v>17</v>
      </c>
      <c r="G1089" s="7">
        <v>3599970</v>
      </c>
      <c r="H1089" s="7">
        <v>2340</v>
      </c>
      <c r="I1089" s="7">
        <v>172</v>
      </c>
      <c r="J1089" s="7">
        <v>317</v>
      </c>
      <c r="K1089" s="7" t="s">
        <v>18</v>
      </c>
      <c r="L1089" s="8">
        <v>39987.315405092595</v>
      </c>
      <c r="M1089" s="9" t="s">
        <v>19</v>
      </c>
      <c r="N1089" s="9" t="s">
        <v>20</v>
      </c>
      <c r="O1089" s="6" t="str">
        <f>HYPERLINK("https://pbs.twimg.com/profile_images/962471262747529216/Uo8lOkRJ_normal.jpg","View")</f>
        <v>View</v>
      </c>
      <c r="P1089" s="7"/>
    </row>
    <row r="1090" spans="1:16">
      <c r="A1090" s="3">
        <v>43837.170081018514</v>
      </c>
      <c r="B1090" s="4" t="str">
        <f>HYPERLINK("https://twitter.com/petrogustavo","@petrogustavo")</f>
        <v>@petrogustavo</v>
      </c>
      <c r="C1090" s="5" t="s">
        <v>16</v>
      </c>
      <c r="D1090" s="5" t="s">
        <v>1078</v>
      </c>
      <c r="E1090" s="6" t="str">
        <f>HYPERLINK("https://twitter.com/petrogustavo/status/1214314429401255938","1214314429401255938")</f>
        <v>1214314429401255938</v>
      </c>
      <c r="F1090" s="7" t="s">
        <v>17</v>
      </c>
      <c r="G1090" s="7">
        <v>3599970</v>
      </c>
      <c r="H1090" s="7">
        <v>2340</v>
      </c>
      <c r="I1090" s="7">
        <v>90</v>
      </c>
      <c r="J1090" s="7">
        <v>186</v>
      </c>
      <c r="K1090" s="7" t="s">
        <v>18</v>
      </c>
      <c r="L1090" s="8">
        <v>39987.315405092595</v>
      </c>
      <c r="M1090" s="9" t="s">
        <v>19</v>
      </c>
      <c r="N1090" s="9" t="s">
        <v>20</v>
      </c>
      <c r="O1090" s="6" t="str">
        <f>HYPERLINK("https://pbs.twimg.com/profile_images/962471262747529216/Uo8lOkRJ_normal.jpg","View")</f>
        <v>View</v>
      </c>
      <c r="P1090" s="7"/>
    </row>
    <row r="1091" spans="1:16">
      <c r="A1091" s="3">
        <v>43837.171469907407</v>
      </c>
      <c r="B1091" s="4" t="str">
        <f>HYPERLINK("https://twitter.com/petrogustavo","@petrogustavo")</f>
        <v>@petrogustavo</v>
      </c>
      <c r="C1091" s="5" t="s">
        <v>16</v>
      </c>
      <c r="D1091" s="5" t="s">
        <v>1079</v>
      </c>
      <c r="E1091" s="6" t="str">
        <f>HYPERLINK("https://twitter.com/petrogustavo/status/1214314930985488384","1214314930985488384")</f>
        <v>1214314930985488384</v>
      </c>
      <c r="F1091" s="7" t="s">
        <v>17</v>
      </c>
      <c r="G1091" s="7">
        <v>3599970</v>
      </c>
      <c r="H1091" s="7">
        <v>2340</v>
      </c>
      <c r="I1091" s="7">
        <v>305</v>
      </c>
      <c r="J1091" s="7">
        <v>0</v>
      </c>
      <c r="K1091" s="7" t="s">
        <v>18</v>
      </c>
      <c r="L1091" s="8">
        <v>39987.315405092595</v>
      </c>
      <c r="M1091" s="9" t="s">
        <v>19</v>
      </c>
      <c r="N1091" s="9" t="s">
        <v>20</v>
      </c>
      <c r="O1091" s="6" t="str">
        <f>HYPERLINK("https://pbs.twimg.com/profile_images/962471262747529216/Uo8lOkRJ_normal.jpg","View")</f>
        <v>View</v>
      </c>
      <c r="P1091" s="7"/>
    </row>
    <row r="1092" spans="1:16">
      <c r="A1092" s="3">
        <v>43837.173391203702</v>
      </c>
      <c r="B1092" s="4" t="str">
        <f>HYPERLINK("https://twitter.com/petrogustavo","@petrogustavo")</f>
        <v>@petrogustavo</v>
      </c>
      <c r="C1092" s="5" t="s">
        <v>16</v>
      </c>
      <c r="D1092" s="5" t="s">
        <v>1080</v>
      </c>
      <c r="E1092" s="6" t="str">
        <f>HYPERLINK("https://twitter.com/petrogustavo/status/1214315628447834113","1214315628447834113")</f>
        <v>1214315628447834113</v>
      </c>
      <c r="F1092" s="7" t="s">
        <v>17</v>
      </c>
      <c r="G1092" s="7">
        <v>3599970</v>
      </c>
      <c r="H1092" s="7">
        <v>2340</v>
      </c>
      <c r="I1092" s="7">
        <v>98</v>
      </c>
      <c r="J1092" s="7">
        <v>219</v>
      </c>
      <c r="K1092" s="7" t="s">
        <v>18</v>
      </c>
      <c r="L1092" s="8">
        <v>39987.315405092595</v>
      </c>
      <c r="M1092" s="9" t="s">
        <v>19</v>
      </c>
      <c r="N1092" s="9" t="s">
        <v>20</v>
      </c>
      <c r="O1092" s="6" t="str">
        <f>HYPERLINK("https://pbs.twimg.com/profile_images/962471262747529216/Uo8lOkRJ_normal.jpg","View")</f>
        <v>View</v>
      </c>
      <c r="P1092" s="7"/>
    </row>
    <row r="1093" spans="1:16">
      <c r="A1093" s="3">
        <v>43837.178530092591</v>
      </c>
      <c r="B1093" s="4" t="str">
        <f>HYPERLINK("https://twitter.com/petrogustavo","@petrogustavo")</f>
        <v>@petrogustavo</v>
      </c>
      <c r="C1093" s="5" t="s">
        <v>16</v>
      </c>
      <c r="D1093" s="5" t="s">
        <v>1081</v>
      </c>
      <c r="E1093" s="6" t="str">
        <f>HYPERLINK("https://twitter.com/petrogustavo/status/1214317490324615169","1214317490324615169")</f>
        <v>1214317490324615169</v>
      </c>
      <c r="F1093" s="7" t="s">
        <v>17</v>
      </c>
      <c r="G1093" s="7">
        <v>3599970</v>
      </c>
      <c r="H1093" s="7">
        <v>2340</v>
      </c>
      <c r="I1093" s="7">
        <v>0</v>
      </c>
      <c r="J1093" s="7">
        <v>0</v>
      </c>
      <c r="K1093" s="7" t="s">
        <v>18</v>
      </c>
      <c r="L1093" s="8">
        <v>39987.315405092595</v>
      </c>
      <c r="M1093" s="9" t="s">
        <v>19</v>
      </c>
      <c r="N1093" s="9" t="s">
        <v>20</v>
      </c>
      <c r="O1093" s="6" t="str">
        <f>HYPERLINK("https://pbs.twimg.com/profile_images/962471262747529216/Uo8lOkRJ_normal.jpg","View")</f>
        <v>View</v>
      </c>
      <c r="P1093" s="7"/>
    </row>
    <row r="1094" spans="1:16">
      <c r="A1094" s="3">
        <v>43837.185960648145</v>
      </c>
      <c r="B1094" s="4" t="str">
        <f>HYPERLINK("https://twitter.com/petrogustavo","@petrogustavo")</f>
        <v>@petrogustavo</v>
      </c>
      <c r="C1094" s="5" t="s">
        <v>16</v>
      </c>
      <c r="D1094" s="5" t="s">
        <v>1082</v>
      </c>
      <c r="E1094" s="6" t="str">
        <f>HYPERLINK("https://twitter.com/petrogustavo/status/1214320184074350593","1214320184074350593")</f>
        <v>1214320184074350593</v>
      </c>
      <c r="F1094" s="7" t="s">
        <v>17</v>
      </c>
      <c r="G1094" s="7">
        <v>3599995</v>
      </c>
      <c r="H1094" s="7">
        <v>2340</v>
      </c>
      <c r="I1094" s="7">
        <v>28</v>
      </c>
      <c r="J1094" s="7">
        <v>62</v>
      </c>
      <c r="K1094" s="7" t="s">
        <v>18</v>
      </c>
      <c r="L1094" s="8">
        <v>39987.315405092595</v>
      </c>
      <c r="M1094" s="9" t="s">
        <v>19</v>
      </c>
      <c r="N1094" s="9" t="s">
        <v>20</v>
      </c>
      <c r="O1094" s="6" t="str">
        <f>HYPERLINK("https://pbs.twimg.com/profile_images/962471262747529216/Uo8lOkRJ_normal.jpg","View")</f>
        <v>View</v>
      </c>
      <c r="P1094" s="7"/>
    </row>
    <row r="1095" spans="1:16">
      <c r="A1095" s="3">
        <v>43837.18787037037</v>
      </c>
      <c r="B1095" s="4" t="str">
        <f>HYPERLINK("https://twitter.com/petrogustavo","@petrogustavo")</f>
        <v>@petrogustavo</v>
      </c>
      <c r="C1095" s="5" t="s">
        <v>16</v>
      </c>
      <c r="D1095" s="5" t="s">
        <v>1083</v>
      </c>
      <c r="E1095" s="6" t="str">
        <f>HYPERLINK("https://twitter.com/petrogustavo/status/1214320874297417728","1214320874297417728")</f>
        <v>1214320874297417728</v>
      </c>
      <c r="F1095" s="7" t="s">
        <v>17</v>
      </c>
      <c r="G1095" s="7">
        <v>3599995</v>
      </c>
      <c r="H1095" s="7">
        <v>2340</v>
      </c>
      <c r="I1095" s="7">
        <v>30</v>
      </c>
      <c r="J1095" s="7">
        <v>103</v>
      </c>
      <c r="K1095" s="7" t="s">
        <v>18</v>
      </c>
      <c r="L1095" s="8">
        <v>39987.315405092595</v>
      </c>
      <c r="M1095" s="9" t="s">
        <v>19</v>
      </c>
      <c r="N1095" s="9" t="s">
        <v>20</v>
      </c>
      <c r="O1095" s="6" t="str">
        <f>HYPERLINK("https://pbs.twimg.com/profile_images/962471262747529216/Uo8lOkRJ_normal.jpg","View")</f>
        <v>View</v>
      </c>
      <c r="P1095" s="7"/>
    </row>
    <row r="1096" spans="1:16">
      <c r="A1096" s="3">
        <v>43837.188194444447</v>
      </c>
      <c r="B1096" s="4" t="str">
        <f>HYPERLINK("https://twitter.com/petrogustavo","@petrogustavo")</f>
        <v>@petrogustavo</v>
      </c>
      <c r="C1096" s="5" t="s">
        <v>16</v>
      </c>
      <c r="D1096" s="5" t="s">
        <v>1075</v>
      </c>
      <c r="E1096" s="6" t="str">
        <f>HYPERLINK("https://twitter.com/petrogustavo/status/1214320991956033542","1214320991956033542")</f>
        <v>1214320991956033542</v>
      </c>
      <c r="F1096" s="7" t="s">
        <v>17</v>
      </c>
      <c r="G1096" s="7">
        <v>3599995</v>
      </c>
      <c r="H1096" s="7">
        <v>2340</v>
      </c>
      <c r="I1096" s="7">
        <v>999</v>
      </c>
      <c r="J1096" s="7">
        <v>0</v>
      </c>
      <c r="K1096" s="7" t="s">
        <v>18</v>
      </c>
      <c r="L1096" s="8">
        <v>39987.315405092595</v>
      </c>
      <c r="M1096" s="9" t="s">
        <v>19</v>
      </c>
      <c r="N1096" s="9" t="s">
        <v>20</v>
      </c>
      <c r="O1096" s="6" t="str">
        <f>HYPERLINK("https://pbs.twimg.com/profile_images/962471262747529216/Uo8lOkRJ_normal.jpg","View")</f>
        <v>View</v>
      </c>
      <c r="P1096" s="7"/>
    </row>
    <row r="1097" spans="1:16">
      <c r="A1097" s="3">
        <v>43837.188321759255</v>
      </c>
      <c r="B1097" s="4" t="str">
        <f>HYPERLINK("https://twitter.com/petrogustavo","@petrogustavo")</f>
        <v>@petrogustavo</v>
      </c>
      <c r="C1097" s="5" t="s">
        <v>16</v>
      </c>
      <c r="D1097" s="5" t="s">
        <v>1059</v>
      </c>
      <c r="E1097" s="6" t="str">
        <f>HYPERLINK("https://twitter.com/petrogustavo/status/1214321038353403905","1214321038353403905")</f>
        <v>1214321038353403905</v>
      </c>
      <c r="F1097" s="7" t="s">
        <v>17</v>
      </c>
      <c r="G1097" s="7">
        <v>3599995</v>
      </c>
      <c r="H1097" s="7">
        <v>2340</v>
      </c>
      <c r="I1097" s="7">
        <v>1327</v>
      </c>
      <c r="J1097" s="7">
        <v>0</v>
      </c>
      <c r="K1097" s="7" t="s">
        <v>18</v>
      </c>
      <c r="L1097" s="8">
        <v>39987.315405092595</v>
      </c>
      <c r="M1097" s="9" t="s">
        <v>19</v>
      </c>
      <c r="N1097" s="9" t="s">
        <v>20</v>
      </c>
      <c r="O1097" s="6" t="str">
        <f>HYPERLINK("https://pbs.twimg.com/profile_images/962471262747529216/Uo8lOkRJ_normal.jpg","View")</f>
        <v>View</v>
      </c>
      <c r="P1097" s="7"/>
    </row>
    <row r="1098" spans="1:16">
      <c r="A1098" s="3">
        <v>43837.188460648147</v>
      </c>
      <c r="B1098" s="4" t="str">
        <f>HYPERLINK("https://twitter.com/petrogustavo","@petrogustavo")</f>
        <v>@petrogustavo</v>
      </c>
      <c r="C1098" s="5" t="s">
        <v>16</v>
      </c>
      <c r="D1098" s="5" t="s">
        <v>1084</v>
      </c>
      <c r="E1098" s="6" t="str">
        <f>HYPERLINK("https://twitter.com/petrogustavo/status/1214321091331678208","1214321091331678208")</f>
        <v>1214321091331678208</v>
      </c>
      <c r="F1098" s="7" t="s">
        <v>17</v>
      </c>
      <c r="G1098" s="7">
        <v>3599995</v>
      </c>
      <c r="H1098" s="7">
        <v>2340</v>
      </c>
      <c r="I1098" s="7">
        <v>328</v>
      </c>
      <c r="J1098" s="7">
        <v>0</v>
      </c>
      <c r="K1098" s="7" t="s">
        <v>18</v>
      </c>
      <c r="L1098" s="8">
        <v>39987.315405092595</v>
      </c>
      <c r="M1098" s="9" t="s">
        <v>19</v>
      </c>
      <c r="N1098" s="9" t="s">
        <v>20</v>
      </c>
      <c r="O1098" s="6" t="str">
        <f>HYPERLINK("https://pbs.twimg.com/profile_images/962471262747529216/Uo8lOkRJ_normal.jpg","View")</f>
        <v>View</v>
      </c>
      <c r="P1098" s="7"/>
    </row>
    <row r="1099" spans="1:16">
      <c r="A1099" s="3">
        <v>43837.188738425924</v>
      </c>
      <c r="B1099" s="4" t="str">
        <f>HYPERLINK("https://twitter.com/petrogustavo","@petrogustavo")</f>
        <v>@petrogustavo</v>
      </c>
      <c r="C1099" s="5" t="s">
        <v>16</v>
      </c>
      <c r="D1099" s="5" t="s">
        <v>1076</v>
      </c>
      <c r="E1099" s="6" t="str">
        <f>HYPERLINK("https://twitter.com/petrogustavo/status/1214321188949962752","1214321188949962752")</f>
        <v>1214321188949962752</v>
      </c>
      <c r="F1099" s="7" t="s">
        <v>17</v>
      </c>
      <c r="G1099" s="7">
        <v>3599995</v>
      </c>
      <c r="H1099" s="7">
        <v>2340</v>
      </c>
      <c r="I1099" s="7">
        <v>1070</v>
      </c>
      <c r="J1099" s="7">
        <v>0</v>
      </c>
      <c r="K1099" s="7" t="s">
        <v>18</v>
      </c>
      <c r="L1099" s="8">
        <v>39987.315405092595</v>
      </c>
      <c r="M1099" s="9" t="s">
        <v>19</v>
      </c>
      <c r="N1099" s="9" t="s">
        <v>20</v>
      </c>
      <c r="O1099" s="6" t="str">
        <f>HYPERLINK("https://pbs.twimg.com/profile_images/962471262747529216/Uo8lOkRJ_normal.jpg","View")</f>
        <v>View</v>
      </c>
      <c r="P1099" s="7"/>
    </row>
    <row r="1100" spans="1:16">
      <c r="A1100" s="3">
        <v>43837.647650462968</v>
      </c>
      <c r="B1100" s="4" t="str">
        <f>HYPERLINK("https://twitter.com/petrogustavo","@petrogustavo")</f>
        <v>@petrogustavo</v>
      </c>
      <c r="C1100" s="5" t="s">
        <v>16</v>
      </c>
      <c r="D1100" s="5" t="s">
        <v>1085</v>
      </c>
      <c r="E1100" s="6" t="str">
        <f>HYPERLINK("https://twitter.com/petrogustavo/status/1214487494819041281","1214487494819041281")</f>
        <v>1214487494819041281</v>
      </c>
      <c r="F1100" s="7" t="s">
        <v>17</v>
      </c>
      <c r="G1100" s="7">
        <v>3600243</v>
      </c>
      <c r="H1100" s="7">
        <v>2339</v>
      </c>
      <c r="I1100" s="7">
        <v>19</v>
      </c>
      <c r="J1100" s="7">
        <v>52</v>
      </c>
      <c r="K1100" s="7" t="s">
        <v>18</v>
      </c>
      <c r="L1100" s="8">
        <v>39987.315405092595</v>
      </c>
      <c r="M1100" s="9" t="s">
        <v>19</v>
      </c>
      <c r="N1100" s="9" t="s">
        <v>20</v>
      </c>
      <c r="O1100" s="6" t="str">
        <f>HYPERLINK("https://pbs.twimg.com/profile_images/962471262747529216/Uo8lOkRJ_normal.jpg","View")</f>
        <v>View</v>
      </c>
      <c r="P1100" s="7"/>
    </row>
    <row r="1101" spans="1:16">
      <c r="A1101" s="3">
        <v>43837.696168981478</v>
      </c>
      <c r="B1101" s="4" t="str">
        <f>HYPERLINK("https://twitter.com/petrogustavo","@petrogustavo")</f>
        <v>@petrogustavo</v>
      </c>
      <c r="C1101" s="5" t="s">
        <v>16</v>
      </c>
      <c r="D1101" s="5" t="s">
        <v>1086</v>
      </c>
      <c r="E1101" s="6" t="str">
        <f>HYPERLINK("https://twitter.com/petrogustavo/status/1214505076942876673","1214505076942876673")</f>
        <v>1214505076942876673</v>
      </c>
      <c r="F1101" s="7" t="s">
        <v>17</v>
      </c>
      <c r="G1101" s="7">
        <v>3600253</v>
      </c>
      <c r="H1101" s="7">
        <v>2339</v>
      </c>
      <c r="I1101" s="7">
        <v>12</v>
      </c>
      <c r="J1101" s="7">
        <v>36</v>
      </c>
      <c r="K1101" s="7" t="s">
        <v>18</v>
      </c>
      <c r="L1101" s="8">
        <v>39987.315405092595</v>
      </c>
      <c r="M1101" s="9" t="s">
        <v>19</v>
      </c>
      <c r="N1101" s="9" t="s">
        <v>20</v>
      </c>
      <c r="O1101" s="6" t="str">
        <f>HYPERLINK("https://pbs.twimg.com/profile_images/962471262747529216/Uo8lOkRJ_normal.jpg","View")</f>
        <v>View</v>
      </c>
      <c r="P1101" s="7"/>
    </row>
    <row r="1102" spans="1:16">
      <c r="A1102" s="3">
        <v>43837.974872685183</v>
      </c>
      <c r="B1102" s="4" t="str">
        <f>HYPERLINK("https://twitter.com/petrogustavo","@petrogustavo")</f>
        <v>@petrogustavo</v>
      </c>
      <c r="C1102" s="5" t="s">
        <v>16</v>
      </c>
      <c r="D1102" s="5" t="s">
        <v>1087</v>
      </c>
      <c r="E1102" s="6" t="str">
        <f>HYPERLINK("https://twitter.com/petrogustavo/status/1214606074835341313","1214606074835341313")</f>
        <v>1214606074835341313</v>
      </c>
      <c r="F1102" s="7" t="s">
        <v>17</v>
      </c>
      <c r="G1102" s="7">
        <v>3600727</v>
      </c>
      <c r="H1102" s="7">
        <v>2339</v>
      </c>
      <c r="I1102" s="7">
        <v>328</v>
      </c>
      <c r="J1102" s="7">
        <v>691</v>
      </c>
      <c r="K1102" s="7" t="s">
        <v>18</v>
      </c>
      <c r="L1102" s="8">
        <v>39987.315405092595</v>
      </c>
      <c r="M1102" s="9" t="s">
        <v>19</v>
      </c>
      <c r="N1102" s="9" t="s">
        <v>20</v>
      </c>
      <c r="O1102" s="6" t="str">
        <f>HYPERLINK("https://pbs.twimg.com/profile_images/962471262747529216/Uo8lOkRJ_normal.jpg","View")</f>
        <v>View</v>
      </c>
      <c r="P1102" s="7"/>
    </row>
    <row r="1103" spans="1:16">
      <c r="A1103" s="3">
        <v>43837.997546296298</v>
      </c>
      <c r="B1103" s="4" t="str">
        <f>HYPERLINK("https://twitter.com/petrogustavo","@petrogustavo")</f>
        <v>@petrogustavo</v>
      </c>
      <c r="C1103" s="5" t="s">
        <v>16</v>
      </c>
      <c r="D1103" s="5" t="s">
        <v>1088</v>
      </c>
      <c r="E1103" s="6" t="str">
        <f>HYPERLINK("https://twitter.com/petrogustavo/status/1214614293414662144","1214614293414662144")</f>
        <v>1214614293414662144</v>
      </c>
      <c r="F1103" s="7" t="s">
        <v>17</v>
      </c>
      <c r="G1103" s="7">
        <v>3600753</v>
      </c>
      <c r="H1103" s="7">
        <v>2339</v>
      </c>
      <c r="I1103" s="7">
        <v>206</v>
      </c>
      <c r="J1103" s="7">
        <v>461</v>
      </c>
      <c r="K1103" s="7" t="s">
        <v>18</v>
      </c>
      <c r="L1103" s="8">
        <v>39987.315405092595</v>
      </c>
      <c r="M1103" s="9" t="s">
        <v>19</v>
      </c>
      <c r="N1103" s="9" t="s">
        <v>20</v>
      </c>
      <c r="O1103" s="6" t="str">
        <f>HYPERLINK("https://pbs.twimg.com/profile_images/962471262747529216/Uo8lOkRJ_normal.jpg","View")</f>
        <v>View</v>
      </c>
      <c r="P1103" s="7"/>
    </row>
    <row r="1104" spans="1:16">
      <c r="A1104" s="3">
        <v>43838.00199074074</v>
      </c>
      <c r="B1104" s="4" t="str">
        <f>HYPERLINK("https://twitter.com/petrogustavo","@petrogustavo")</f>
        <v>@petrogustavo</v>
      </c>
      <c r="C1104" s="5" t="s">
        <v>16</v>
      </c>
      <c r="D1104" s="5" t="s">
        <v>1089</v>
      </c>
      <c r="E1104" s="6" t="str">
        <f>HYPERLINK("https://twitter.com/petrogustavo/status/1214615904610373632","1214615904610373632")</f>
        <v>1214615904610373632</v>
      </c>
      <c r="F1104" s="7" t="s">
        <v>17</v>
      </c>
      <c r="G1104" s="7">
        <v>3600753</v>
      </c>
      <c r="H1104" s="7">
        <v>2339</v>
      </c>
      <c r="I1104" s="7">
        <v>67</v>
      </c>
      <c r="J1104" s="7">
        <v>131</v>
      </c>
      <c r="K1104" s="7" t="s">
        <v>18</v>
      </c>
      <c r="L1104" s="8">
        <v>39987.315405092595</v>
      </c>
      <c r="M1104" s="9" t="s">
        <v>19</v>
      </c>
      <c r="N1104" s="9" t="s">
        <v>20</v>
      </c>
      <c r="O1104" s="6" t="str">
        <f>HYPERLINK("https://pbs.twimg.com/profile_images/962471262747529216/Uo8lOkRJ_normal.jpg","View")</f>
        <v>View</v>
      </c>
      <c r="P1104" s="7"/>
    </row>
    <row r="1105" spans="1:16">
      <c r="A1105" s="3">
        <v>43838.015474537038</v>
      </c>
      <c r="B1105" s="4" t="str">
        <f>HYPERLINK("https://twitter.com/petrogustavo","@petrogustavo")</f>
        <v>@petrogustavo</v>
      </c>
      <c r="C1105" s="5" t="s">
        <v>16</v>
      </c>
      <c r="D1105" s="5" t="s">
        <v>1090</v>
      </c>
      <c r="E1105" s="6" t="str">
        <f>HYPERLINK("https://twitter.com/petrogustavo/status/1214620790886457345","1214620790886457345")</f>
        <v>1214620790886457345</v>
      </c>
      <c r="F1105" s="7" t="s">
        <v>17</v>
      </c>
      <c r="G1105" s="7">
        <v>3600799</v>
      </c>
      <c r="H1105" s="7">
        <v>2339</v>
      </c>
      <c r="I1105" s="7">
        <v>231</v>
      </c>
      <c r="J1105" s="7">
        <v>536</v>
      </c>
      <c r="K1105" s="7" t="s">
        <v>18</v>
      </c>
      <c r="L1105" s="8">
        <v>39987.315405092595</v>
      </c>
      <c r="M1105" s="9" t="s">
        <v>19</v>
      </c>
      <c r="N1105" s="9" t="s">
        <v>20</v>
      </c>
      <c r="O1105" s="6" t="str">
        <f>HYPERLINK("https://pbs.twimg.com/profile_images/962471262747529216/Uo8lOkRJ_normal.jpg","View")</f>
        <v>View</v>
      </c>
      <c r="P1105" s="7"/>
    </row>
    <row r="1106" spans="1:16">
      <c r="A1106" s="3">
        <v>43838.087824074071</v>
      </c>
      <c r="B1106" s="4" t="str">
        <f>HYPERLINK("https://twitter.com/petrogustavo","@petrogustavo")</f>
        <v>@petrogustavo</v>
      </c>
      <c r="C1106" s="5" t="s">
        <v>16</v>
      </c>
      <c r="D1106" s="5" t="s">
        <v>1091</v>
      </c>
      <c r="E1106" s="6" t="str">
        <f>HYPERLINK("https://twitter.com/petrogustavo/status/1214647008859959297","1214647008859959297")</f>
        <v>1214647008859959297</v>
      </c>
      <c r="F1106" s="7" t="s">
        <v>17</v>
      </c>
      <c r="G1106" s="7">
        <v>3600908</v>
      </c>
      <c r="H1106" s="7">
        <v>2339</v>
      </c>
      <c r="I1106" s="7">
        <v>833</v>
      </c>
      <c r="J1106" s="7">
        <v>0</v>
      </c>
      <c r="K1106" s="7" t="s">
        <v>18</v>
      </c>
      <c r="L1106" s="8">
        <v>39987.315405092595</v>
      </c>
      <c r="M1106" s="9" t="s">
        <v>19</v>
      </c>
      <c r="N1106" s="9" t="s">
        <v>20</v>
      </c>
      <c r="O1106" s="6" t="str">
        <f>HYPERLINK("https://pbs.twimg.com/profile_images/962471262747529216/Uo8lOkRJ_normal.jpg","View")</f>
        <v>View</v>
      </c>
      <c r="P1106" s="7"/>
    </row>
    <row r="1107" spans="1:16">
      <c r="A1107" s="3">
        <v>43838.101631944446</v>
      </c>
      <c r="B1107" s="4" t="str">
        <f>HYPERLINK("https://twitter.com/petrogustavo","@petrogustavo")</f>
        <v>@petrogustavo</v>
      </c>
      <c r="C1107" s="5" t="s">
        <v>16</v>
      </c>
      <c r="D1107" s="5" t="s">
        <v>1092</v>
      </c>
      <c r="E1107" s="6" t="str">
        <f>HYPERLINK("https://twitter.com/petrogustavo/status/1214652010886320129","1214652010886320129")</f>
        <v>1214652010886320129</v>
      </c>
      <c r="F1107" s="7" t="s">
        <v>17</v>
      </c>
      <c r="G1107" s="7">
        <v>3600830</v>
      </c>
      <c r="H1107" s="7">
        <v>2339</v>
      </c>
      <c r="I1107" s="7">
        <v>47</v>
      </c>
      <c r="J1107" s="7">
        <v>79</v>
      </c>
      <c r="K1107" s="7" t="s">
        <v>18</v>
      </c>
      <c r="L1107" s="8">
        <v>39987.315405092595</v>
      </c>
      <c r="M1107" s="9" t="s">
        <v>19</v>
      </c>
      <c r="N1107" s="9" t="s">
        <v>20</v>
      </c>
      <c r="O1107" s="6" t="str">
        <f>HYPERLINK("https://pbs.twimg.com/profile_images/962471262747529216/Uo8lOkRJ_normal.jpg","View")</f>
        <v>View</v>
      </c>
      <c r="P1107" s="7"/>
    </row>
    <row r="1108" spans="1:16">
      <c r="A1108" s="3">
        <v>43838.103368055556</v>
      </c>
      <c r="B1108" s="4" t="str">
        <f>HYPERLINK("https://twitter.com/petrogustavo","@petrogustavo")</f>
        <v>@petrogustavo</v>
      </c>
      <c r="C1108" s="5" t="s">
        <v>16</v>
      </c>
      <c r="D1108" s="5" t="s">
        <v>1093</v>
      </c>
      <c r="E1108" s="6" t="str">
        <f>HYPERLINK("https://twitter.com/petrogustavo/status/1214652639801155588","1214652639801155588")</f>
        <v>1214652639801155588</v>
      </c>
      <c r="F1108" s="7" t="s">
        <v>17</v>
      </c>
      <c r="G1108" s="7">
        <v>3600830</v>
      </c>
      <c r="H1108" s="7">
        <v>2339</v>
      </c>
      <c r="I1108" s="7">
        <v>168</v>
      </c>
      <c r="J1108" s="7">
        <v>388</v>
      </c>
      <c r="K1108" s="7" t="s">
        <v>18</v>
      </c>
      <c r="L1108" s="8">
        <v>39987.315405092595</v>
      </c>
      <c r="M1108" s="9" t="s">
        <v>19</v>
      </c>
      <c r="N1108" s="9" t="s">
        <v>20</v>
      </c>
      <c r="O1108" s="6" t="str">
        <f>HYPERLINK("https://pbs.twimg.com/profile_images/962471262747529216/Uo8lOkRJ_normal.jpg","View")</f>
        <v>View</v>
      </c>
      <c r="P1108" s="7"/>
    </row>
    <row r="1109" spans="1:16">
      <c r="A1109" s="3">
        <v>43838.103726851856</v>
      </c>
      <c r="B1109" s="4" t="str">
        <f>HYPERLINK("https://twitter.com/petrogustavo","@petrogustavo")</f>
        <v>@petrogustavo</v>
      </c>
      <c r="C1109" s="5" t="s">
        <v>16</v>
      </c>
      <c r="D1109" s="5" t="s">
        <v>1094</v>
      </c>
      <c r="E1109" s="6" t="str">
        <f>HYPERLINK("https://twitter.com/petrogustavo/status/1214652770659295235","1214652770659295235")</f>
        <v>1214652770659295235</v>
      </c>
      <c r="F1109" s="7" t="s">
        <v>17</v>
      </c>
      <c r="G1109" s="7">
        <v>3600830</v>
      </c>
      <c r="H1109" s="7">
        <v>2339</v>
      </c>
      <c r="I1109" s="7">
        <v>1116</v>
      </c>
      <c r="J1109" s="7">
        <v>0</v>
      </c>
      <c r="K1109" s="7" t="s">
        <v>18</v>
      </c>
      <c r="L1109" s="8">
        <v>39987.315405092595</v>
      </c>
      <c r="M1109" s="9" t="s">
        <v>19</v>
      </c>
      <c r="N1109" s="9" t="s">
        <v>20</v>
      </c>
      <c r="O1109" s="6" t="str">
        <f>HYPERLINK("https://pbs.twimg.com/profile_images/962471262747529216/Uo8lOkRJ_normal.jpg","View")</f>
        <v>View</v>
      </c>
      <c r="P1109" s="7"/>
    </row>
    <row r="1110" spans="1:16">
      <c r="A1110" s="3">
        <v>43838.114722222221</v>
      </c>
      <c r="B1110" s="4" t="str">
        <f>HYPERLINK("https://twitter.com/petrogustavo","@petrogustavo")</f>
        <v>@petrogustavo</v>
      </c>
      <c r="C1110" s="5" t="s">
        <v>16</v>
      </c>
      <c r="D1110" s="5" t="s">
        <v>1095</v>
      </c>
      <c r="E1110" s="6" t="str">
        <f>HYPERLINK("https://twitter.com/petrogustavo/status/1214656754283372544","1214656754283372544")</f>
        <v>1214656754283372544</v>
      </c>
      <c r="F1110" s="7" t="s">
        <v>17</v>
      </c>
      <c r="G1110" s="7">
        <v>3600830</v>
      </c>
      <c r="H1110" s="7">
        <v>2339</v>
      </c>
      <c r="I1110" s="7">
        <v>44</v>
      </c>
      <c r="J1110" s="7">
        <v>136</v>
      </c>
      <c r="K1110" s="7" t="s">
        <v>18</v>
      </c>
      <c r="L1110" s="8">
        <v>39987.315405092595</v>
      </c>
      <c r="M1110" s="9" t="s">
        <v>19</v>
      </c>
      <c r="N1110" s="9" t="s">
        <v>20</v>
      </c>
      <c r="O1110" s="6" t="str">
        <f>HYPERLINK("https://pbs.twimg.com/profile_images/962471262747529216/Uo8lOkRJ_normal.jpg","View")</f>
        <v>View</v>
      </c>
      <c r="P1110" s="7"/>
    </row>
    <row r="1111" spans="1:16">
      <c r="A1111" s="3">
        <v>43838.123530092591</v>
      </c>
      <c r="B1111" s="4" t="str">
        <f>HYPERLINK("https://twitter.com/petrogustavo","@petrogustavo")</f>
        <v>@petrogustavo</v>
      </c>
      <c r="C1111" s="5" t="s">
        <v>16</v>
      </c>
      <c r="D1111" s="5" t="s">
        <v>1096</v>
      </c>
      <c r="E1111" s="6" t="str">
        <f>HYPERLINK("https://twitter.com/petrogustavo/status/1214659946652078080","1214659946652078080")</f>
        <v>1214659946652078080</v>
      </c>
      <c r="F1111" s="7" t="s">
        <v>17</v>
      </c>
      <c r="G1111" s="7">
        <v>3600858</v>
      </c>
      <c r="H1111" s="7">
        <v>2339</v>
      </c>
      <c r="I1111" s="7">
        <v>868</v>
      </c>
      <c r="J1111" s="7">
        <v>0</v>
      </c>
      <c r="K1111" s="7" t="s">
        <v>18</v>
      </c>
      <c r="L1111" s="8">
        <v>39987.315405092595</v>
      </c>
      <c r="M1111" s="9" t="s">
        <v>19</v>
      </c>
      <c r="N1111" s="9" t="s">
        <v>20</v>
      </c>
      <c r="O1111" s="6" t="str">
        <f>HYPERLINK("https://pbs.twimg.com/profile_images/962471262747529216/Uo8lOkRJ_normal.jpg","View")</f>
        <v>View</v>
      </c>
      <c r="P1111" s="7"/>
    </row>
    <row r="1112" spans="1:16">
      <c r="A1112" s="3">
        <v>43838.123622685191</v>
      </c>
      <c r="B1112" s="4" t="str">
        <f>HYPERLINK("https://twitter.com/petrogustavo","@petrogustavo")</f>
        <v>@petrogustavo</v>
      </c>
      <c r="C1112" s="5" t="s">
        <v>16</v>
      </c>
      <c r="D1112" s="5" t="s">
        <v>1097</v>
      </c>
      <c r="E1112" s="6" t="str">
        <f>HYPERLINK("https://twitter.com/petrogustavo/status/1214659981724794881","1214659981724794881")</f>
        <v>1214659981724794881</v>
      </c>
      <c r="F1112" s="7" t="s">
        <v>17</v>
      </c>
      <c r="G1112" s="7">
        <v>3600858</v>
      </c>
      <c r="H1112" s="7">
        <v>2339</v>
      </c>
      <c r="I1112" s="7">
        <v>531</v>
      </c>
      <c r="J1112" s="7">
        <v>0</v>
      </c>
      <c r="K1112" s="7" t="s">
        <v>18</v>
      </c>
      <c r="L1112" s="8">
        <v>39987.315405092595</v>
      </c>
      <c r="M1112" s="9" t="s">
        <v>19</v>
      </c>
      <c r="N1112" s="9" t="s">
        <v>20</v>
      </c>
      <c r="O1112" s="6" t="str">
        <f>HYPERLINK("https://pbs.twimg.com/profile_images/962471262747529216/Uo8lOkRJ_normal.jpg","View")</f>
        <v>View</v>
      </c>
      <c r="P1112" s="7"/>
    </row>
    <row r="1113" spans="1:16">
      <c r="A1113" s="3">
        <v>43838.672002314815</v>
      </c>
      <c r="B1113" s="4" t="str">
        <f>HYPERLINK("https://twitter.com/petrogustavo","@petrogustavo")</f>
        <v>@petrogustavo</v>
      </c>
      <c r="C1113" s="5" t="s">
        <v>16</v>
      </c>
      <c r="D1113" s="5" t="s">
        <v>1098</v>
      </c>
      <c r="E1113" s="6" t="str">
        <f>HYPERLINK("https://twitter.com/petrogustavo/status/1214858706313199616","1214858706313199616")</f>
        <v>1214858706313199616</v>
      </c>
      <c r="F1113" s="7" t="s">
        <v>17</v>
      </c>
      <c r="G1113" s="7">
        <v>3601468</v>
      </c>
      <c r="H1113" s="7">
        <v>2339</v>
      </c>
      <c r="I1113" s="7">
        <v>43</v>
      </c>
      <c r="J1113" s="7">
        <v>75</v>
      </c>
      <c r="K1113" s="7" t="s">
        <v>18</v>
      </c>
      <c r="L1113" s="8">
        <v>39987.315405092595</v>
      </c>
      <c r="M1113" s="9" t="s">
        <v>19</v>
      </c>
      <c r="N1113" s="9" t="s">
        <v>20</v>
      </c>
      <c r="O1113" s="6" t="str">
        <f>HYPERLINK("https://pbs.twimg.com/profile_images/962471262747529216/Uo8lOkRJ_normal.jpg","View")</f>
        <v>View</v>
      </c>
      <c r="P1113" s="7"/>
    </row>
    <row r="1114" spans="1:16">
      <c r="A1114" s="3">
        <v>43838.679351851853</v>
      </c>
      <c r="B1114" s="4" t="str">
        <f>HYPERLINK("https://twitter.com/petrogustavo","@petrogustavo")</f>
        <v>@petrogustavo</v>
      </c>
      <c r="C1114" s="5" t="s">
        <v>16</v>
      </c>
      <c r="D1114" s="5" t="s">
        <v>1099</v>
      </c>
      <c r="E1114" s="6" t="str">
        <f>HYPERLINK("https://twitter.com/petrogustavo/status/1214861371105579008","1214861371105579008")</f>
        <v>1214861371105579008</v>
      </c>
      <c r="F1114" s="7" t="s">
        <v>17</v>
      </c>
      <c r="G1114" s="7">
        <v>3601478</v>
      </c>
      <c r="H1114" s="7">
        <v>2339</v>
      </c>
      <c r="I1114" s="7">
        <v>52</v>
      </c>
      <c r="J1114" s="7">
        <v>108</v>
      </c>
      <c r="K1114" s="7" t="s">
        <v>18</v>
      </c>
      <c r="L1114" s="8">
        <v>39987.315405092595</v>
      </c>
      <c r="M1114" s="9" t="s">
        <v>19</v>
      </c>
      <c r="N1114" s="9" t="s">
        <v>20</v>
      </c>
      <c r="O1114" s="6" t="str">
        <f>HYPERLINK("https://pbs.twimg.com/profile_images/962471262747529216/Uo8lOkRJ_normal.jpg","View")</f>
        <v>View</v>
      </c>
      <c r="P1114" s="7"/>
    </row>
    <row r="1115" spans="1:16">
      <c r="A1115" s="3">
        <v>43838.741678240738</v>
      </c>
      <c r="B1115" s="4" t="str">
        <f>HYPERLINK("https://twitter.com/petrogustavo","@petrogustavo")</f>
        <v>@petrogustavo</v>
      </c>
      <c r="C1115" s="5" t="s">
        <v>16</v>
      </c>
      <c r="D1115" s="5" t="s">
        <v>1100</v>
      </c>
      <c r="E1115" s="6" t="str">
        <f>HYPERLINK("https://twitter.com/petrogustavo/status/1214883957260599297","1214883957260599297")</f>
        <v>1214883957260599297</v>
      </c>
      <c r="F1115" s="7" t="s">
        <v>17</v>
      </c>
      <c r="G1115" s="7">
        <v>3601570</v>
      </c>
      <c r="H1115" s="7">
        <v>2340</v>
      </c>
      <c r="I1115" s="7">
        <v>268</v>
      </c>
      <c r="J1115" s="7">
        <v>705</v>
      </c>
      <c r="K1115" s="7" t="s">
        <v>18</v>
      </c>
      <c r="L1115" s="8">
        <v>39987.315405092595</v>
      </c>
      <c r="M1115" s="9" t="s">
        <v>19</v>
      </c>
      <c r="N1115" s="9" t="s">
        <v>20</v>
      </c>
      <c r="O1115" s="6" t="str">
        <f>HYPERLINK("https://pbs.twimg.com/profile_images/962471262747529216/Uo8lOkRJ_normal.jpg","View")</f>
        <v>View</v>
      </c>
      <c r="P1115" s="7"/>
    </row>
    <row r="1116" spans="1:16">
      <c r="A1116" s="3">
        <v>43838.745937500003</v>
      </c>
      <c r="B1116" s="4" t="str">
        <f>HYPERLINK("https://twitter.com/petrogustavo","@petrogustavo")</f>
        <v>@petrogustavo</v>
      </c>
      <c r="C1116" s="5" t="s">
        <v>16</v>
      </c>
      <c r="D1116" s="5" t="s">
        <v>1101</v>
      </c>
      <c r="E1116" s="6" t="str">
        <f>HYPERLINK("https://twitter.com/petrogustavo/status/1214885500181516288","1214885500181516288")</f>
        <v>1214885500181516288</v>
      </c>
      <c r="F1116" s="7" t="s">
        <v>17</v>
      </c>
      <c r="G1116" s="7">
        <v>3601570</v>
      </c>
      <c r="H1116" s="7">
        <v>2340</v>
      </c>
      <c r="I1116" s="7">
        <v>180</v>
      </c>
      <c r="J1116" s="7">
        <v>426</v>
      </c>
      <c r="K1116" s="7" t="s">
        <v>18</v>
      </c>
      <c r="L1116" s="8">
        <v>39987.315405092595</v>
      </c>
      <c r="M1116" s="9" t="s">
        <v>19</v>
      </c>
      <c r="N1116" s="9" t="s">
        <v>20</v>
      </c>
      <c r="O1116" s="6" t="str">
        <f>HYPERLINK("https://pbs.twimg.com/profile_images/962471262747529216/Uo8lOkRJ_normal.jpg","View")</f>
        <v>View</v>
      </c>
      <c r="P1116" s="7"/>
    </row>
    <row r="1117" spans="1:16">
      <c r="A1117" s="3">
        <v>43838.745937500003</v>
      </c>
      <c r="B1117" s="4" t="str">
        <f>HYPERLINK("https://twitter.com/petrogustavo","@petrogustavo")</f>
        <v>@petrogustavo</v>
      </c>
      <c r="C1117" s="5" t="s">
        <v>16</v>
      </c>
      <c r="D1117" s="5" t="s">
        <v>1102</v>
      </c>
      <c r="E1117" s="6" t="str">
        <f>HYPERLINK("https://twitter.com/petrogustavo/status/1214885501653671937","1214885501653671937")</f>
        <v>1214885501653671937</v>
      </c>
      <c r="F1117" s="7" t="s">
        <v>17</v>
      </c>
      <c r="G1117" s="7">
        <v>3601570</v>
      </c>
      <c r="H1117" s="7">
        <v>2340</v>
      </c>
      <c r="I1117" s="7">
        <v>71</v>
      </c>
      <c r="J1117" s="7">
        <v>187</v>
      </c>
      <c r="K1117" s="7" t="s">
        <v>18</v>
      </c>
      <c r="L1117" s="8">
        <v>39987.315405092595</v>
      </c>
      <c r="M1117" s="9" t="s">
        <v>19</v>
      </c>
      <c r="N1117" s="9" t="s">
        <v>20</v>
      </c>
      <c r="O1117" s="6" t="str">
        <f>HYPERLINK("https://pbs.twimg.com/profile_images/962471262747529216/Uo8lOkRJ_normal.jpg","View")</f>
        <v>View</v>
      </c>
      <c r="P1117" s="7"/>
    </row>
    <row r="1118" spans="1:16">
      <c r="A1118" s="3">
        <v>43838.746562500004</v>
      </c>
      <c r="B1118" s="4" t="str">
        <f>HYPERLINK("https://twitter.com/petrogustavo","@petrogustavo")</f>
        <v>@petrogustavo</v>
      </c>
      <c r="C1118" s="5" t="s">
        <v>16</v>
      </c>
      <c r="D1118" s="5" t="s">
        <v>1103</v>
      </c>
      <c r="E1118" s="6" t="str">
        <f>HYPERLINK("https://twitter.com/petrogustavo/status/1214885725629497344","1214885725629497344")</f>
        <v>1214885725629497344</v>
      </c>
      <c r="F1118" s="7" t="s">
        <v>17</v>
      </c>
      <c r="G1118" s="7">
        <v>3601570</v>
      </c>
      <c r="H1118" s="7">
        <v>2340</v>
      </c>
      <c r="I1118" s="7">
        <v>268</v>
      </c>
      <c r="J1118" s="7">
        <v>0</v>
      </c>
      <c r="K1118" s="7" t="s">
        <v>18</v>
      </c>
      <c r="L1118" s="8">
        <v>39987.315405092595</v>
      </c>
      <c r="M1118" s="9" t="s">
        <v>19</v>
      </c>
      <c r="N1118" s="9" t="s">
        <v>20</v>
      </c>
      <c r="O1118" s="6" t="str">
        <f>HYPERLINK("https://pbs.twimg.com/profile_images/962471262747529216/Uo8lOkRJ_normal.jpg","View")</f>
        <v>View</v>
      </c>
      <c r="P1118" s="7"/>
    </row>
    <row r="1119" spans="1:16">
      <c r="A1119" s="3">
        <v>43838.791655092587</v>
      </c>
      <c r="B1119" s="4" t="str">
        <f>HYPERLINK("https://twitter.com/petrogustavo","@petrogustavo")</f>
        <v>@petrogustavo</v>
      </c>
      <c r="C1119" s="5" t="s">
        <v>16</v>
      </c>
      <c r="D1119" s="5" t="s">
        <v>1104</v>
      </c>
      <c r="E1119" s="6" t="str">
        <f>HYPERLINK("https://twitter.com/petrogustavo/status/1214902068747677702","1214902068747677702")</f>
        <v>1214902068747677702</v>
      </c>
      <c r="F1119" s="7" t="s">
        <v>17</v>
      </c>
      <c r="G1119" s="7">
        <v>3601641</v>
      </c>
      <c r="H1119" s="7">
        <v>2340</v>
      </c>
      <c r="I1119" s="7">
        <v>51</v>
      </c>
      <c r="J1119" s="7">
        <v>174</v>
      </c>
      <c r="K1119" s="7" t="s">
        <v>18</v>
      </c>
      <c r="L1119" s="8">
        <v>39987.315405092595</v>
      </c>
      <c r="M1119" s="9" t="s">
        <v>19</v>
      </c>
      <c r="N1119" s="9" t="s">
        <v>20</v>
      </c>
      <c r="O1119" s="6" t="str">
        <f>HYPERLINK("https://pbs.twimg.com/profile_images/962471262747529216/Uo8lOkRJ_normal.jpg","View")</f>
        <v>View</v>
      </c>
      <c r="P1119" s="7"/>
    </row>
    <row r="1120" spans="1:16">
      <c r="A1120" s="3">
        <v>43839.013298611113</v>
      </c>
      <c r="B1120" s="4" t="str">
        <f>HYPERLINK("https://twitter.com/petrogustavo","@petrogustavo")</f>
        <v>@petrogustavo</v>
      </c>
      <c r="C1120" s="5" t="s">
        <v>16</v>
      </c>
      <c r="D1120" s="5" t="s">
        <v>1105</v>
      </c>
      <c r="E1120" s="6" t="str">
        <f>HYPERLINK("https://twitter.com/petrogustavo/status/1214982387622383617","1214982387622383617")</f>
        <v>1214982387622383617</v>
      </c>
      <c r="F1120" s="7" t="s">
        <v>17</v>
      </c>
      <c r="G1120" s="7">
        <v>3602107</v>
      </c>
      <c r="H1120" s="7">
        <v>2339</v>
      </c>
      <c r="I1120" s="7">
        <v>56</v>
      </c>
      <c r="J1120" s="7">
        <v>0</v>
      </c>
      <c r="K1120" s="7" t="s">
        <v>18</v>
      </c>
      <c r="L1120" s="8">
        <v>39987.315405092595</v>
      </c>
      <c r="M1120" s="9" t="s">
        <v>19</v>
      </c>
      <c r="N1120" s="9" t="s">
        <v>20</v>
      </c>
      <c r="O1120" s="6" t="str">
        <f>HYPERLINK("https://pbs.twimg.com/profile_images/962471262747529216/Uo8lOkRJ_normal.jpg","View")</f>
        <v>View</v>
      </c>
      <c r="P1120" s="7"/>
    </row>
    <row r="1121" spans="1:16">
      <c r="A1121" s="3">
        <v>43839.016747685186</v>
      </c>
      <c r="B1121" s="4" t="str">
        <f>HYPERLINK("https://twitter.com/petrogustavo","@petrogustavo")</f>
        <v>@petrogustavo</v>
      </c>
      <c r="C1121" s="5" t="s">
        <v>16</v>
      </c>
      <c r="D1121" s="5" t="s">
        <v>1106</v>
      </c>
      <c r="E1121" s="6" t="str">
        <f>HYPERLINK("https://twitter.com/petrogustavo/status/1214983640364593153","1214983640364593153")</f>
        <v>1214983640364593153</v>
      </c>
      <c r="F1121" s="7" t="s">
        <v>17</v>
      </c>
      <c r="G1121" s="7">
        <v>3602107</v>
      </c>
      <c r="H1121" s="7">
        <v>2339</v>
      </c>
      <c r="I1121" s="7">
        <v>60</v>
      </c>
      <c r="J1121" s="7">
        <v>181</v>
      </c>
      <c r="K1121" s="7" t="s">
        <v>18</v>
      </c>
      <c r="L1121" s="8">
        <v>39987.315405092595</v>
      </c>
      <c r="M1121" s="9" t="s">
        <v>19</v>
      </c>
      <c r="N1121" s="9" t="s">
        <v>20</v>
      </c>
      <c r="O1121" s="6" t="str">
        <f>HYPERLINK("https://pbs.twimg.com/profile_images/962471262747529216/Uo8lOkRJ_normal.jpg","View")</f>
        <v>View</v>
      </c>
      <c r="P1121" s="7"/>
    </row>
    <row r="1122" spans="1:16">
      <c r="A1122" s="3">
        <v>43839.021643518514</v>
      </c>
      <c r="B1122" s="4" t="str">
        <f>HYPERLINK("https://twitter.com/petrogustavo","@petrogustavo")</f>
        <v>@petrogustavo</v>
      </c>
      <c r="C1122" s="5" t="s">
        <v>16</v>
      </c>
      <c r="D1122" s="5" t="s">
        <v>1107</v>
      </c>
      <c r="E1122" s="6" t="str">
        <f>HYPERLINK("https://twitter.com/petrogustavo/status/1214985414030835714","1214985414030835714")</f>
        <v>1214985414030835714</v>
      </c>
      <c r="F1122" s="7" t="s">
        <v>17</v>
      </c>
      <c r="G1122" s="7">
        <v>3602107</v>
      </c>
      <c r="H1122" s="7">
        <v>2339</v>
      </c>
      <c r="I1122" s="7">
        <v>269</v>
      </c>
      <c r="J1122" s="7">
        <v>0</v>
      </c>
      <c r="K1122" s="7" t="s">
        <v>18</v>
      </c>
      <c r="L1122" s="8">
        <v>39987.315405092595</v>
      </c>
      <c r="M1122" s="9" t="s">
        <v>19</v>
      </c>
      <c r="N1122" s="9" t="s">
        <v>20</v>
      </c>
      <c r="O1122" s="6" t="str">
        <f>HYPERLINK("https://pbs.twimg.com/profile_images/962471262747529216/Uo8lOkRJ_normal.jpg","View")</f>
        <v>View</v>
      </c>
      <c r="P1122" s="7"/>
    </row>
    <row r="1123" spans="1:16">
      <c r="A1123" s="3">
        <v>43839.024178240739</v>
      </c>
      <c r="B1123" s="4" t="str">
        <f>HYPERLINK("https://twitter.com/petrogustavo","@petrogustavo")</f>
        <v>@petrogustavo</v>
      </c>
      <c r="C1123" s="5" t="s">
        <v>16</v>
      </c>
      <c r="D1123" s="5" t="s">
        <v>1108</v>
      </c>
      <c r="E1123" s="6" t="str">
        <f>HYPERLINK("https://twitter.com/petrogustavo/status/1214986332793167872","1214986332793167872")</f>
        <v>1214986332793167872</v>
      </c>
      <c r="F1123" s="7" t="s">
        <v>17</v>
      </c>
      <c r="G1123" s="7">
        <v>3602107</v>
      </c>
      <c r="H1123" s="7">
        <v>2339</v>
      </c>
      <c r="I1123" s="7">
        <v>71</v>
      </c>
      <c r="J1123" s="7">
        <v>222</v>
      </c>
      <c r="K1123" s="7" t="s">
        <v>18</v>
      </c>
      <c r="L1123" s="8">
        <v>39987.315405092595</v>
      </c>
      <c r="M1123" s="9" t="s">
        <v>19</v>
      </c>
      <c r="N1123" s="9" t="s">
        <v>20</v>
      </c>
      <c r="O1123" s="6" t="str">
        <f>HYPERLINK("https://pbs.twimg.com/profile_images/962471262747529216/Uo8lOkRJ_normal.jpg","View")</f>
        <v>View</v>
      </c>
      <c r="P1123" s="7"/>
    </row>
    <row r="1124" spans="1:16">
      <c r="A1124" s="3">
        <v>43839.03019675926</v>
      </c>
      <c r="B1124" s="4" t="str">
        <f>HYPERLINK("https://twitter.com/petrogustavo","@petrogustavo")</f>
        <v>@petrogustavo</v>
      </c>
      <c r="C1124" s="5" t="s">
        <v>16</v>
      </c>
      <c r="D1124" s="5" t="s">
        <v>1109</v>
      </c>
      <c r="E1124" s="6" t="str">
        <f>HYPERLINK("https://twitter.com/petrogustavo/status/1214988514611343362","1214988514611343362")</f>
        <v>1214988514611343362</v>
      </c>
      <c r="F1124" s="7" t="s">
        <v>17</v>
      </c>
      <c r="G1124" s="7">
        <v>3602107</v>
      </c>
      <c r="H1124" s="7">
        <v>2339</v>
      </c>
      <c r="I1124" s="7">
        <v>51</v>
      </c>
      <c r="J1124" s="7">
        <v>153</v>
      </c>
      <c r="K1124" s="7" t="s">
        <v>18</v>
      </c>
      <c r="L1124" s="8">
        <v>39987.315405092595</v>
      </c>
      <c r="M1124" s="9" t="s">
        <v>19</v>
      </c>
      <c r="N1124" s="9" t="s">
        <v>20</v>
      </c>
      <c r="O1124" s="6" t="str">
        <f>HYPERLINK("https://pbs.twimg.com/profile_images/962471262747529216/Uo8lOkRJ_normal.jpg","View")</f>
        <v>View</v>
      </c>
      <c r="P1124" s="7"/>
    </row>
    <row r="1125" spans="1:16">
      <c r="A1125" s="3">
        <v>43839.441180555557</v>
      </c>
      <c r="B1125" s="4" t="str">
        <f>HYPERLINK("https://twitter.com/petrogustavo","@petrogustavo")</f>
        <v>@petrogustavo</v>
      </c>
      <c r="C1125" s="5" t="s">
        <v>16</v>
      </c>
      <c r="D1125" s="5" t="s">
        <v>1110</v>
      </c>
      <c r="E1125" s="6" t="str">
        <f>HYPERLINK("https://twitter.com/petrogustavo/status/1215137448503717889","1215137448503717889")</f>
        <v>1215137448503717889</v>
      </c>
      <c r="F1125" s="7" t="s">
        <v>17</v>
      </c>
      <c r="G1125" s="7">
        <v>3602671</v>
      </c>
      <c r="H1125" s="7">
        <v>2339</v>
      </c>
      <c r="I1125" s="7">
        <v>53</v>
      </c>
      <c r="J1125" s="7">
        <v>115</v>
      </c>
      <c r="K1125" s="7" t="s">
        <v>18</v>
      </c>
      <c r="L1125" s="8">
        <v>39987.315405092595</v>
      </c>
      <c r="M1125" s="9" t="s">
        <v>19</v>
      </c>
      <c r="N1125" s="9" t="s">
        <v>20</v>
      </c>
      <c r="O1125" s="6" t="str">
        <f>HYPERLINK("https://pbs.twimg.com/profile_images/962471262747529216/Uo8lOkRJ_normal.jpg","View")</f>
        <v>View</v>
      </c>
      <c r="P1125" s="7"/>
    </row>
    <row r="1126" spans="1:16">
      <c r="A1126" s="3">
        <v>43839.44127314815</v>
      </c>
      <c r="B1126" s="4" t="str">
        <f>HYPERLINK("https://twitter.com/petrogustavo","@petrogustavo")</f>
        <v>@petrogustavo</v>
      </c>
      <c r="C1126" s="5" t="s">
        <v>16</v>
      </c>
      <c r="D1126" s="5" t="s">
        <v>1111</v>
      </c>
      <c r="E1126" s="6" t="str">
        <f>HYPERLINK("https://twitter.com/petrogustavo/status/1215137482356023296","1215137482356023296")</f>
        <v>1215137482356023296</v>
      </c>
      <c r="F1126" s="7" t="s">
        <v>17</v>
      </c>
      <c r="G1126" s="7">
        <v>3602671</v>
      </c>
      <c r="H1126" s="7">
        <v>2339</v>
      </c>
      <c r="I1126" s="7">
        <v>53</v>
      </c>
      <c r="J1126" s="7">
        <v>181</v>
      </c>
      <c r="K1126" s="7" t="s">
        <v>18</v>
      </c>
      <c r="L1126" s="8">
        <v>39987.315405092595</v>
      </c>
      <c r="M1126" s="9" t="s">
        <v>19</v>
      </c>
      <c r="N1126" s="9" t="s">
        <v>20</v>
      </c>
      <c r="O1126" s="6" t="str">
        <f>HYPERLINK("https://pbs.twimg.com/profile_images/962471262747529216/Uo8lOkRJ_normal.jpg","View")</f>
        <v>View</v>
      </c>
      <c r="P1126" s="7"/>
    </row>
    <row r="1127" spans="1:16">
      <c r="A1127" s="3">
        <v>43839.44127314815</v>
      </c>
      <c r="B1127" s="4" t="str">
        <f>HYPERLINK("https://twitter.com/petrogustavo","@petrogustavo")</f>
        <v>@petrogustavo</v>
      </c>
      <c r="C1127" s="5" t="s">
        <v>16</v>
      </c>
      <c r="D1127" s="5" t="s">
        <v>1112</v>
      </c>
      <c r="E1127" s="6" t="str">
        <f>HYPERLINK("https://twitter.com/petrogustavo/status/1215137483735937025","1215137483735937025")</f>
        <v>1215137483735937025</v>
      </c>
      <c r="F1127" s="7" t="s">
        <v>17</v>
      </c>
      <c r="G1127" s="7">
        <v>3602671</v>
      </c>
      <c r="H1127" s="7">
        <v>2339</v>
      </c>
      <c r="I1127" s="7">
        <v>49</v>
      </c>
      <c r="J1127" s="7">
        <v>165</v>
      </c>
      <c r="K1127" s="7" t="s">
        <v>18</v>
      </c>
      <c r="L1127" s="8">
        <v>39987.315405092595</v>
      </c>
      <c r="M1127" s="9" t="s">
        <v>19</v>
      </c>
      <c r="N1127" s="9" t="s">
        <v>20</v>
      </c>
      <c r="O1127" s="6" t="str">
        <f>HYPERLINK("https://pbs.twimg.com/profile_images/962471262747529216/Uo8lOkRJ_normal.jpg","View")</f>
        <v>View</v>
      </c>
      <c r="P1127" s="7"/>
    </row>
    <row r="1128" spans="1:16">
      <c r="A1128" s="3">
        <v>43839.511655092589</v>
      </c>
      <c r="B1128" s="4" t="str">
        <f>HYPERLINK("https://twitter.com/petrogustavo","@petrogustavo")</f>
        <v>@petrogustavo</v>
      </c>
      <c r="C1128" s="5" t="s">
        <v>16</v>
      </c>
      <c r="D1128" s="5" t="s">
        <v>1113</v>
      </c>
      <c r="E1128" s="6" t="str">
        <f>HYPERLINK("https://twitter.com/petrogustavo/status/1215162986802925574","1215162986802925574")</f>
        <v>1215162986802925574</v>
      </c>
      <c r="F1128" s="7" t="s">
        <v>17</v>
      </c>
      <c r="G1128" s="7">
        <v>3602693</v>
      </c>
      <c r="H1128" s="7">
        <v>2339</v>
      </c>
      <c r="I1128" s="7">
        <v>40</v>
      </c>
      <c r="J1128" s="7">
        <v>0</v>
      </c>
      <c r="K1128" s="7" t="s">
        <v>18</v>
      </c>
      <c r="L1128" s="8">
        <v>39987.315405092595</v>
      </c>
      <c r="M1128" s="9" t="s">
        <v>19</v>
      </c>
      <c r="N1128" s="9" t="s">
        <v>20</v>
      </c>
      <c r="O1128" s="6" t="str">
        <f>HYPERLINK("https://pbs.twimg.com/profile_images/962471262747529216/Uo8lOkRJ_normal.jpg","View")</f>
        <v>View</v>
      </c>
      <c r="P1128" s="7"/>
    </row>
    <row r="1129" spans="1:16">
      <c r="A1129" s="3">
        <v>43839.557210648149</v>
      </c>
      <c r="B1129" s="4" t="str">
        <f>HYPERLINK("https://twitter.com/petrogustavo","@petrogustavo")</f>
        <v>@petrogustavo</v>
      </c>
      <c r="C1129" s="5" t="s">
        <v>16</v>
      </c>
      <c r="D1129" s="5" t="s">
        <v>1114</v>
      </c>
      <c r="E1129" s="6" t="str">
        <f>HYPERLINK("https://twitter.com/petrogustavo/status/1215179497147977733","1215179497147977733")</f>
        <v>1215179497147977733</v>
      </c>
      <c r="F1129" s="7" t="s">
        <v>17</v>
      </c>
      <c r="G1129" s="7">
        <v>3602654</v>
      </c>
      <c r="H1129" s="7">
        <v>2338</v>
      </c>
      <c r="I1129" s="7">
        <v>44</v>
      </c>
      <c r="J1129" s="7">
        <v>128</v>
      </c>
      <c r="K1129" s="7" t="s">
        <v>18</v>
      </c>
      <c r="L1129" s="8">
        <v>39987.315405092595</v>
      </c>
      <c r="M1129" s="9" t="s">
        <v>19</v>
      </c>
      <c r="N1129" s="9" t="s">
        <v>20</v>
      </c>
      <c r="O1129" s="6" t="str">
        <f>HYPERLINK("https://pbs.twimg.com/profile_images/962471262747529216/Uo8lOkRJ_normal.jpg","View")</f>
        <v>View</v>
      </c>
      <c r="P1129" s="7"/>
    </row>
    <row r="1130" spans="1:16">
      <c r="A1130" s="3">
        <v>43839.836446759262</v>
      </c>
      <c r="B1130" s="4" t="str">
        <f>HYPERLINK("https://twitter.com/petrogustavo","@petrogustavo")</f>
        <v>@petrogustavo</v>
      </c>
      <c r="C1130" s="5" t="s">
        <v>16</v>
      </c>
      <c r="D1130" s="5" t="s">
        <v>1115</v>
      </c>
      <c r="E1130" s="6" t="str">
        <f>HYPERLINK("https://twitter.com/petrogustavo/status/1215280687504338944","1215280687504338944")</f>
        <v>1215280687504338944</v>
      </c>
      <c r="F1130" s="7" t="s">
        <v>17</v>
      </c>
      <c r="G1130" s="7">
        <v>3602909</v>
      </c>
      <c r="H1130" s="7">
        <v>2338</v>
      </c>
      <c r="I1130" s="7">
        <v>60</v>
      </c>
      <c r="J1130" s="7">
        <v>150</v>
      </c>
      <c r="K1130" s="7" t="s">
        <v>18</v>
      </c>
      <c r="L1130" s="8">
        <v>39987.315405092595</v>
      </c>
      <c r="M1130" s="9" t="s">
        <v>19</v>
      </c>
      <c r="N1130" s="9" t="s">
        <v>20</v>
      </c>
      <c r="O1130" s="6" t="str">
        <f>HYPERLINK("https://pbs.twimg.com/profile_images/962471262747529216/Uo8lOkRJ_normal.jpg","View")</f>
        <v>View</v>
      </c>
      <c r="P1130" s="7"/>
    </row>
    <row r="1131" spans="1:16">
      <c r="A1131" s="3">
        <v>43839.83666666667</v>
      </c>
      <c r="B1131" s="4" t="str">
        <f>HYPERLINK("https://twitter.com/petrogustavo","@petrogustavo")</f>
        <v>@petrogustavo</v>
      </c>
      <c r="C1131" s="5" t="s">
        <v>16</v>
      </c>
      <c r="D1131" s="5" t="s">
        <v>1116</v>
      </c>
      <c r="E1131" s="6" t="str">
        <f>HYPERLINK("https://twitter.com/petrogustavo/status/1215280769071046656","1215280769071046656")</f>
        <v>1215280769071046656</v>
      </c>
      <c r="F1131" s="7" t="s">
        <v>17</v>
      </c>
      <c r="G1131" s="7">
        <v>3602909</v>
      </c>
      <c r="H1131" s="7">
        <v>2338</v>
      </c>
      <c r="I1131" s="7">
        <v>790</v>
      </c>
      <c r="J1131" s="7">
        <v>0</v>
      </c>
      <c r="K1131" s="7" t="s">
        <v>18</v>
      </c>
      <c r="L1131" s="8">
        <v>39987.315405092595</v>
      </c>
      <c r="M1131" s="9" t="s">
        <v>19</v>
      </c>
      <c r="N1131" s="9" t="s">
        <v>20</v>
      </c>
      <c r="O1131" s="6" t="str">
        <f>HYPERLINK("https://pbs.twimg.com/profile_images/962471262747529216/Uo8lOkRJ_normal.jpg","View")</f>
        <v>View</v>
      </c>
      <c r="P1131" s="7"/>
    </row>
    <row r="1132" spans="1:16">
      <c r="A1132" s="3">
        <v>43839.84956018519</v>
      </c>
      <c r="B1132" s="4" t="str">
        <f>HYPERLINK("https://twitter.com/petrogustavo","@petrogustavo")</f>
        <v>@petrogustavo</v>
      </c>
      <c r="C1132" s="5" t="s">
        <v>16</v>
      </c>
      <c r="D1132" s="5" t="s">
        <v>1117</v>
      </c>
      <c r="E1132" s="6" t="str">
        <f>HYPERLINK("https://twitter.com/petrogustavo/status/1215285438732275712","1215285438732275712")</f>
        <v>1215285438732275712</v>
      </c>
      <c r="F1132" s="7" t="s">
        <v>17</v>
      </c>
      <c r="G1132" s="7">
        <v>3602932</v>
      </c>
      <c r="H1132" s="7">
        <v>2338</v>
      </c>
      <c r="I1132" s="7">
        <v>2417</v>
      </c>
      <c r="J1132" s="7">
        <v>0</v>
      </c>
      <c r="K1132" s="7" t="s">
        <v>18</v>
      </c>
      <c r="L1132" s="8">
        <v>39987.315405092595</v>
      </c>
      <c r="M1132" s="9" t="s">
        <v>19</v>
      </c>
      <c r="N1132" s="9" t="s">
        <v>20</v>
      </c>
      <c r="O1132" s="6" t="str">
        <f>HYPERLINK("https://pbs.twimg.com/profile_images/962471262747529216/Uo8lOkRJ_normal.jpg","View")</f>
        <v>View</v>
      </c>
      <c r="P1132" s="7"/>
    </row>
    <row r="1133" spans="1:16">
      <c r="A1133" s="3">
        <v>43840.014907407407</v>
      </c>
      <c r="B1133" s="4" t="str">
        <f>HYPERLINK("https://twitter.com/petrogustavo","@petrogustavo")</f>
        <v>@petrogustavo</v>
      </c>
      <c r="C1133" s="5" t="s">
        <v>16</v>
      </c>
      <c r="D1133" s="5" t="s">
        <v>1118</v>
      </c>
      <c r="E1133" s="6" t="str">
        <f>HYPERLINK("https://twitter.com/petrogustavo/status/1215345360165658631","1215345360165658631")</f>
        <v>1215345360165658631</v>
      </c>
      <c r="F1133" s="7" t="s">
        <v>17</v>
      </c>
      <c r="G1133" s="7">
        <v>3603183</v>
      </c>
      <c r="H1133" s="7">
        <v>2338</v>
      </c>
      <c r="I1133" s="7">
        <v>131</v>
      </c>
      <c r="J1133" s="7">
        <v>353</v>
      </c>
      <c r="K1133" s="7" t="s">
        <v>18</v>
      </c>
      <c r="L1133" s="8">
        <v>39987.315405092595</v>
      </c>
      <c r="M1133" s="9" t="s">
        <v>19</v>
      </c>
      <c r="N1133" s="9" t="s">
        <v>20</v>
      </c>
      <c r="O1133" s="6" t="str">
        <f>HYPERLINK("https://pbs.twimg.com/profile_images/962471262747529216/Uo8lOkRJ_normal.jpg","View")</f>
        <v>View</v>
      </c>
      <c r="P1133" s="7"/>
    </row>
    <row r="1134" spans="1:16">
      <c r="A1134" s="3">
        <v>43840.017245370371</v>
      </c>
      <c r="B1134" s="4" t="str">
        <f>HYPERLINK("https://twitter.com/petrogustavo","@petrogustavo")</f>
        <v>@petrogustavo</v>
      </c>
      <c r="C1134" s="5" t="s">
        <v>16</v>
      </c>
      <c r="D1134" s="5" t="s">
        <v>1119</v>
      </c>
      <c r="E1134" s="6" t="str">
        <f>HYPERLINK("https://twitter.com/petrogustavo/status/1215346207398252544","1215346207398252544")</f>
        <v>1215346207398252544</v>
      </c>
      <c r="F1134" s="7" t="s">
        <v>17</v>
      </c>
      <c r="G1134" s="7">
        <v>3603183</v>
      </c>
      <c r="H1134" s="7">
        <v>2338</v>
      </c>
      <c r="I1134" s="7">
        <v>104</v>
      </c>
      <c r="J1134" s="7">
        <v>175</v>
      </c>
      <c r="K1134" s="7" t="s">
        <v>18</v>
      </c>
      <c r="L1134" s="8">
        <v>39987.315405092595</v>
      </c>
      <c r="M1134" s="9" t="s">
        <v>19</v>
      </c>
      <c r="N1134" s="9" t="s">
        <v>20</v>
      </c>
      <c r="O1134" s="6" t="str">
        <f>HYPERLINK("https://pbs.twimg.com/profile_images/962471262747529216/Uo8lOkRJ_normal.jpg","View")</f>
        <v>View</v>
      </c>
      <c r="P1134" s="7"/>
    </row>
    <row r="1135" spans="1:16">
      <c r="A1135" s="3">
        <v>43840.025150462963</v>
      </c>
      <c r="B1135" s="4" t="str">
        <f>HYPERLINK("https://twitter.com/petrogustavo","@petrogustavo")</f>
        <v>@petrogustavo</v>
      </c>
      <c r="C1135" s="5" t="s">
        <v>16</v>
      </c>
      <c r="D1135" s="5" t="s">
        <v>1120</v>
      </c>
      <c r="E1135" s="6" t="str">
        <f>HYPERLINK("https://twitter.com/petrogustavo/status/1215349071289950208","1215349071289950208")</f>
        <v>1215349071289950208</v>
      </c>
      <c r="F1135" s="7" t="s">
        <v>17</v>
      </c>
      <c r="G1135" s="7">
        <v>3603183</v>
      </c>
      <c r="H1135" s="7">
        <v>2338</v>
      </c>
      <c r="I1135" s="7">
        <v>194</v>
      </c>
      <c r="J1135" s="7">
        <v>1124</v>
      </c>
      <c r="K1135" s="7" t="s">
        <v>18</v>
      </c>
      <c r="L1135" s="8">
        <v>39987.315405092595</v>
      </c>
      <c r="M1135" s="9" t="s">
        <v>19</v>
      </c>
      <c r="N1135" s="9" t="s">
        <v>20</v>
      </c>
      <c r="O1135" s="6" t="str">
        <f>HYPERLINK("https://pbs.twimg.com/profile_images/962471262747529216/Uo8lOkRJ_normal.jpg","View")</f>
        <v>View</v>
      </c>
      <c r="P1135" s="7"/>
    </row>
    <row r="1136" spans="1:16">
      <c r="A1136" s="3">
        <v>43840.530601851853</v>
      </c>
      <c r="B1136" s="4" t="str">
        <f>HYPERLINK("https://twitter.com/petrogustavo","@petrogustavo")</f>
        <v>@petrogustavo</v>
      </c>
      <c r="C1136" s="5" t="s">
        <v>16</v>
      </c>
      <c r="D1136" s="5" t="s">
        <v>1121</v>
      </c>
      <c r="E1136" s="6" t="str">
        <f>HYPERLINK("https://twitter.com/petrogustavo/status/1215532241285193729","1215532241285193729")</f>
        <v>1215532241285193729</v>
      </c>
      <c r="F1136" s="7" t="s">
        <v>17</v>
      </c>
      <c r="G1136" s="7">
        <v>3603814</v>
      </c>
      <c r="H1136" s="7">
        <v>2339</v>
      </c>
      <c r="I1136" s="7">
        <v>419</v>
      </c>
      <c r="J1136" s="7">
        <v>0</v>
      </c>
      <c r="K1136" s="7" t="s">
        <v>18</v>
      </c>
      <c r="L1136" s="8">
        <v>39987.315405092595</v>
      </c>
      <c r="M1136" s="9" t="s">
        <v>19</v>
      </c>
      <c r="N1136" s="9" t="s">
        <v>20</v>
      </c>
      <c r="O1136" s="6" t="str">
        <f>HYPERLINK("https://pbs.twimg.com/profile_images/962471262747529216/Uo8lOkRJ_normal.jpg","View")</f>
        <v>View</v>
      </c>
      <c r="P1136" s="7"/>
    </row>
    <row r="1137" spans="1:16">
      <c r="A1137" s="3">
        <v>43840.53628472222</v>
      </c>
      <c r="B1137" s="4" t="str">
        <f>HYPERLINK("https://twitter.com/petrogustavo","@petrogustavo")</f>
        <v>@petrogustavo</v>
      </c>
      <c r="C1137" s="5" t="s">
        <v>16</v>
      </c>
      <c r="D1137" s="5" t="s">
        <v>1122</v>
      </c>
      <c r="E1137" s="6" t="str">
        <f>HYPERLINK("https://twitter.com/petrogustavo/status/1215534300210266112","1215534300210266112")</f>
        <v>1215534300210266112</v>
      </c>
      <c r="F1137" s="7" t="s">
        <v>17</v>
      </c>
      <c r="G1137" s="7">
        <v>3603819</v>
      </c>
      <c r="H1137" s="7">
        <v>2339</v>
      </c>
      <c r="I1137" s="7">
        <v>249</v>
      </c>
      <c r="J1137" s="7">
        <v>0</v>
      </c>
      <c r="K1137" s="7" t="s">
        <v>18</v>
      </c>
      <c r="L1137" s="8">
        <v>39987.315405092595</v>
      </c>
      <c r="M1137" s="9" t="s">
        <v>19</v>
      </c>
      <c r="N1137" s="9" t="s">
        <v>20</v>
      </c>
      <c r="O1137" s="6" t="str">
        <f>HYPERLINK("https://pbs.twimg.com/profile_images/962471262747529216/Uo8lOkRJ_normal.jpg","View")</f>
        <v>View</v>
      </c>
      <c r="P1137" s="7"/>
    </row>
    <row r="1138" spans="1:16">
      <c r="A1138" s="3">
        <v>43840.540613425925</v>
      </c>
      <c r="B1138" s="4" t="str">
        <f>HYPERLINK("https://twitter.com/petrogustavo","@petrogustavo")</f>
        <v>@petrogustavo</v>
      </c>
      <c r="C1138" s="5" t="s">
        <v>16</v>
      </c>
      <c r="D1138" s="5" t="s">
        <v>1123</v>
      </c>
      <c r="E1138" s="6" t="str">
        <f>HYPERLINK("https://twitter.com/petrogustavo/status/1215535869769240576","1215535869769240576")</f>
        <v>1215535869769240576</v>
      </c>
      <c r="F1138" s="7" t="s">
        <v>17</v>
      </c>
      <c r="G1138" s="7">
        <v>3603819</v>
      </c>
      <c r="H1138" s="7">
        <v>2339</v>
      </c>
      <c r="I1138" s="7">
        <v>15</v>
      </c>
      <c r="J1138" s="7">
        <v>82</v>
      </c>
      <c r="K1138" s="7" t="s">
        <v>18</v>
      </c>
      <c r="L1138" s="8">
        <v>39987.315405092595</v>
      </c>
      <c r="M1138" s="9" t="s">
        <v>19</v>
      </c>
      <c r="N1138" s="9" t="s">
        <v>20</v>
      </c>
      <c r="O1138" s="6" t="str">
        <f>HYPERLINK("https://pbs.twimg.com/profile_images/962471262747529216/Uo8lOkRJ_normal.jpg","View")</f>
        <v>View</v>
      </c>
      <c r="P1138" s="7"/>
    </row>
    <row r="1139" spans="1:16">
      <c r="A1139" s="3">
        <v>43840.541331018518</v>
      </c>
      <c r="B1139" s="4" t="str">
        <f>HYPERLINK("https://twitter.com/petrogustavo","@petrogustavo")</f>
        <v>@petrogustavo</v>
      </c>
      <c r="C1139" s="5" t="s">
        <v>16</v>
      </c>
      <c r="D1139" s="5" t="s">
        <v>1124</v>
      </c>
      <c r="E1139" s="6" t="str">
        <f>HYPERLINK("https://twitter.com/petrogustavo/status/1215536128113156096","1215536128113156096")</f>
        <v>1215536128113156096</v>
      </c>
      <c r="F1139" s="7" t="s">
        <v>17</v>
      </c>
      <c r="G1139" s="7">
        <v>3603819</v>
      </c>
      <c r="H1139" s="7">
        <v>2339</v>
      </c>
      <c r="I1139" s="7">
        <v>3115</v>
      </c>
      <c r="J1139" s="7">
        <v>0</v>
      </c>
      <c r="K1139" s="7" t="s">
        <v>18</v>
      </c>
      <c r="L1139" s="8">
        <v>39987.315405092595</v>
      </c>
      <c r="M1139" s="9" t="s">
        <v>19</v>
      </c>
      <c r="N1139" s="9" t="s">
        <v>20</v>
      </c>
      <c r="O1139" s="6" t="str">
        <f>HYPERLINK("https://pbs.twimg.com/profile_images/962471262747529216/Uo8lOkRJ_normal.jpg","View")</f>
        <v>View</v>
      </c>
      <c r="P1139" s="7"/>
    </row>
    <row r="1140" spans="1:16">
      <c r="A1140" s="3">
        <v>43840.545914351853</v>
      </c>
      <c r="B1140" s="4" t="str">
        <f>HYPERLINK("https://twitter.com/petrogustavo","@petrogustavo")</f>
        <v>@petrogustavo</v>
      </c>
      <c r="C1140" s="5" t="s">
        <v>16</v>
      </c>
      <c r="D1140" s="5" t="s">
        <v>1125</v>
      </c>
      <c r="E1140" s="6" t="str">
        <f>HYPERLINK("https://twitter.com/petrogustavo/status/1215537789267333120","1215537789267333120")</f>
        <v>1215537789267333120</v>
      </c>
      <c r="F1140" s="7" t="s">
        <v>17</v>
      </c>
      <c r="G1140" s="7">
        <v>3603819</v>
      </c>
      <c r="H1140" s="7">
        <v>2339</v>
      </c>
      <c r="I1140" s="7">
        <v>7</v>
      </c>
      <c r="J1140" s="7">
        <v>26</v>
      </c>
      <c r="K1140" s="7" t="s">
        <v>18</v>
      </c>
      <c r="L1140" s="8">
        <v>39987.315405092595</v>
      </c>
      <c r="M1140" s="9" t="s">
        <v>19</v>
      </c>
      <c r="N1140" s="9" t="s">
        <v>20</v>
      </c>
      <c r="O1140" s="6" t="str">
        <f>HYPERLINK("https://pbs.twimg.com/profile_images/962471262747529216/Uo8lOkRJ_normal.jpg","View")</f>
        <v>View</v>
      </c>
      <c r="P1140" s="7"/>
    </row>
    <row r="1141" spans="1:16">
      <c r="A1141" s="3">
        <v>43840.548356481479</v>
      </c>
      <c r="B1141" s="4" t="str">
        <f>HYPERLINK("https://twitter.com/petrogustavo","@petrogustavo")</f>
        <v>@petrogustavo</v>
      </c>
      <c r="C1141" s="5" t="s">
        <v>16</v>
      </c>
      <c r="D1141" s="5" t="s">
        <v>1126</v>
      </c>
      <c r="E1141" s="6" t="str">
        <f>HYPERLINK("https://twitter.com/petrogustavo/status/1215538676589105152","1215538676589105152")</f>
        <v>1215538676589105152</v>
      </c>
      <c r="F1141" s="7" t="s">
        <v>17</v>
      </c>
      <c r="G1141" s="7">
        <v>3603819</v>
      </c>
      <c r="H1141" s="7">
        <v>2339</v>
      </c>
      <c r="I1141" s="7">
        <v>12</v>
      </c>
      <c r="J1141" s="7">
        <v>30</v>
      </c>
      <c r="K1141" s="7" t="s">
        <v>18</v>
      </c>
      <c r="L1141" s="8">
        <v>39987.315405092595</v>
      </c>
      <c r="M1141" s="9" t="s">
        <v>19</v>
      </c>
      <c r="N1141" s="9" t="s">
        <v>20</v>
      </c>
      <c r="O1141" s="6" t="str">
        <f>HYPERLINK("https://pbs.twimg.com/profile_images/962471262747529216/Uo8lOkRJ_normal.jpg","View")</f>
        <v>View</v>
      </c>
      <c r="P1141" s="7"/>
    </row>
    <row r="1142" spans="1:16">
      <c r="A1142" s="3">
        <v>43840.758368055554</v>
      </c>
      <c r="B1142" s="4" t="str">
        <f>HYPERLINK("https://twitter.com/petrogustavo","@petrogustavo")</f>
        <v>@petrogustavo</v>
      </c>
      <c r="C1142" s="5" t="s">
        <v>16</v>
      </c>
      <c r="D1142" s="5" t="s">
        <v>1127</v>
      </c>
      <c r="E1142" s="6" t="str">
        <f>HYPERLINK("https://twitter.com/petrogustavo/status/1215614782516101120","1215614782516101120")</f>
        <v>1215614782516101120</v>
      </c>
      <c r="F1142" s="7" t="s">
        <v>17</v>
      </c>
      <c r="G1142" s="7">
        <v>3603862</v>
      </c>
      <c r="H1142" s="7">
        <v>2339</v>
      </c>
      <c r="I1142" s="7">
        <v>37</v>
      </c>
      <c r="J1142" s="7">
        <v>0</v>
      </c>
      <c r="K1142" s="7" t="s">
        <v>18</v>
      </c>
      <c r="L1142" s="8">
        <v>39987.315405092595</v>
      </c>
      <c r="M1142" s="9" t="s">
        <v>19</v>
      </c>
      <c r="N1142" s="9" t="s">
        <v>20</v>
      </c>
      <c r="O1142" s="6" t="str">
        <f>HYPERLINK("https://pbs.twimg.com/profile_images/962471262747529216/Uo8lOkRJ_normal.jpg","View")</f>
        <v>View</v>
      </c>
      <c r="P1142" s="7"/>
    </row>
    <row r="1143" spans="1:16">
      <c r="A1143" s="3">
        <v>43840.760358796295</v>
      </c>
      <c r="B1143" s="4" t="str">
        <f>HYPERLINK("https://twitter.com/petrogustavo","@petrogustavo")</f>
        <v>@petrogustavo</v>
      </c>
      <c r="C1143" s="5" t="s">
        <v>16</v>
      </c>
      <c r="D1143" s="5" t="s">
        <v>1128</v>
      </c>
      <c r="E1143" s="6" t="str">
        <f>HYPERLINK("https://twitter.com/petrogustavo/status/1215615502678200321","1215615502678200321")</f>
        <v>1215615502678200321</v>
      </c>
      <c r="F1143" s="7" t="s">
        <v>17</v>
      </c>
      <c r="G1143" s="7">
        <v>3603862</v>
      </c>
      <c r="H1143" s="7">
        <v>2339</v>
      </c>
      <c r="I1143" s="7">
        <v>8</v>
      </c>
      <c r="J1143" s="7">
        <v>0</v>
      </c>
      <c r="K1143" s="7" t="s">
        <v>18</v>
      </c>
      <c r="L1143" s="8">
        <v>39987.315405092595</v>
      </c>
      <c r="M1143" s="9" t="s">
        <v>19</v>
      </c>
      <c r="N1143" s="9" t="s">
        <v>20</v>
      </c>
      <c r="O1143" s="6" t="str">
        <f>HYPERLINK("https://pbs.twimg.com/profile_images/962471262747529216/Uo8lOkRJ_normal.jpg","View")</f>
        <v>View</v>
      </c>
      <c r="P1143" s="7"/>
    </row>
    <row r="1144" spans="1:16">
      <c r="A1144" s="3">
        <v>43840.766921296294</v>
      </c>
      <c r="B1144" s="4" t="str">
        <f>HYPERLINK("https://twitter.com/petrogustavo","@petrogustavo")</f>
        <v>@petrogustavo</v>
      </c>
      <c r="C1144" s="5" t="s">
        <v>16</v>
      </c>
      <c r="D1144" s="5" t="s">
        <v>1129</v>
      </c>
      <c r="E1144" s="6" t="str">
        <f>HYPERLINK("https://twitter.com/petrogustavo/status/1215617879749644288","1215617879749644288")</f>
        <v>1215617879749644288</v>
      </c>
      <c r="F1144" s="7" t="s">
        <v>17</v>
      </c>
      <c r="G1144" s="7">
        <v>3603892</v>
      </c>
      <c r="H1144" s="7">
        <v>2339</v>
      </c>
      <c r="I1144" s="7">
        <v>159</v>
      </c>
      <c r="J1144" s="7">
        <v>497</v>
      </c>
      <c r="K1144" s="7" t="s">
        <v>18</v>
      </c>
      <c r="L1144" s="8">
        <v>39987.315405092595</v>
      </c>
      <c r="M1144" s="9" t="s">
        <v>19</v>
      </c>
      <c r="N1144" s="9" t="s">
        <v>20</v>
      </c>
      <c r="O1144" s="6" t="str">
        <f>HYPERLINK("https://pbs.twimg.com/profile_images/962471262747529216/Uo8lOkRJ_normal.jpg","View")</f>
        <v>View</v>
      </c>
      <c r="P1144" s="7"/>
    </row>
    <row r="1145" spans="1:16">
      <c r="A1145" s="3">
        <v>43840.766921296294</v>
      </c>
      <c r="B1145" s="4" t="str">
        <f>HYPERLINK("https://twitter.com/petrogustavo","@petrogustavo")</f>
        <v>@petrogustavo</v>
      </c>
      <c r="C1145" s="5" t="s">
        <v>16</v>
      </c>
      <c r="D1145" s="5" t="s">
        <v>1130</v>
      </c>
      <c r="E1145" s="6" t="str">
        <f>HYPERLINK("https://twitter.com/petrogustavo/status/1215617881049903104","1215617881049903104")</f>
        <v>1215617881049903104</v>
      </c>
      <c r="F1145" s="7" t="s">
        <v>17</v>
      </c>
      <c r="G1145" s="7">
        <v>3603892</v>
      </c>
      <c r="H1145" s="7">
        <v>2339</v>
      </c>
      <c r="I1145" s="7">
        <v>94</v>
      </c>
      <c r="J1145" s="7">
        <v>292</v>
      </c>
      <c r="K1145" s="7" t="s">
        <v>18</v>
      </c>
      <c r="L1145" s="8">
        <v>39987.315405092595</v>
      </c>
      <c r="M1145" s="9" t="s">
        <v>19</v>
      </c>
      <c r="N1145" s="9" t="s">
        <v>20</v>
      </c>
      <c r="O1145" s="6" t="str">
        <f>HYPERLINK("https://pbs.twimg.com/profile_images/962471262747529216/Uo8lOkRJ_normal.jpg","View")</f>
        <v>View</v>
      </c>
      <c r="P1145" s="7"/>
    </row>
    <row r="1146" spans="1:16">
      <c r="A1146" s="3">
        <v>43840.789479166662</v>
      </c>
      <c r="B1146" s="4" t="str">
        <f>HYPERLINK("https://twitter.com/petrogustavo","@petrogustavo")</f>
        <v>@petrogustavo</v>
      </c>
      <c r="C1146" s="5" t="s">
        <v>16</v>
      </c>
      <c r="D1146" s="5" t="s">
        <v>1131</v>
      </c>
      <c r="E1146" s="6" t="str">
        <f>HYPERLINK("https://twitter.com/petrogustavo/status/1215626054645309440","1215626054645309440")</f>
        <v>1215626054645309440</v>
      </c>
      <c r="F1146" s="7" t="s">
        <v>17</v>
      </c>
      <c r="G1146" s="7">
        <v>3603918</v>
      </c>
      <c r="H1146" s="7">
        <v>2339</v>
      </c>
      <c r="I1146" s="7">
        <v>80</v>
      </c>
      <c r="J1146" s="7">
        <v>411</v>
      </c>
      <c r="K1146" s="7" t="s">
        <v>18</v>
      </c>
      <c r="L1146" s="8">
        <v>39987.315405092595</v>
      </c>
      <c r="M1146" s="9" t="s">
        <v>19</v>
      </c>
      <c r="N1146" s="9" t="s">
        <v>20</v>
      </c>
      <c r="O1146" s="6" t="str">
        <f>HYPERLINK("https://pbs.twimg.com/profile_images/962471262747529216/Uo8lOkRJ_normal.jpg","View")</f>
        <v>View</v>
      </c>
      <c r="P1146" s="7"/>
    </row>
    <row r="1147" spans="1:16">
      <c r="A1147" s="3">
        <v>43840.791666666672</v>
      </c>
      <c r="B1147" s="4" t="str">
        <f>HYPERLINK("https://twitter.com/petrogustavo","@petrogustavo")</f>
        <v>@petrogustavo</v>
      </c>
      <c r="C1147" s="5" t="s">
        <v>16</v>
      </c>
      <c r="D1147" s="5" t="s">
        <v>1132</v>
      </c>
      <c r="E1147" s="6" t="str">
        <f>HYPERLINK("https://twitter.com/petrogustavo/status/1215626849088364544","1215626849088364544")</f>
        <v>1215626849088364544</v>
      </c>
      <c r="F1147" s="7" t="s">
        <v>17</v>
      </c>
      <c r="G1147" s="7">
        <v>3603918</v>
      </c>
      <c r="H1147" s="7">
        <v>2339</v>
      </c>
      <c r="I1147" s="7">
        <v>101</v>
      </c>
      <c r="J1147" s="7">
        <v>197</v>
      </c>
      <c r="K1147" s="7" t="s">
        <v>18</v>
      </c>
      <c r="L1147" s="8">
        <v>39987.315405092595</v>
      </c>
      <c r="M1147" s="9" t="s">
        <v>19</v>
      </c>
      <c r="N1147" s="9" t="s">
        <v>20</v>
      </c>
      <c r="O1147" s="6" t="str">
        <f>HYPERLINK("https://pbs.twimg.com/profile_images/962471262747529216/Uo8lOkRJ_normal.jpg","View")</f>
        <v>View</v>
      </c>
      <c r="P1147" s="7"/>
    </row>
    <row r="1148" spans="1:16">
      <c r="A1148" s="3">
        <v>43840.795810185184</v>
      </c>
      <c r="B1148" s="4" t="str">
        <f>HYPERLINK("https://twitter.com/petrogustavo","@petrogustavo")</f>
        <v>@petrogustavo</v>
      </c>
      <c r="C1148" s="5" t="s">
        <v>16</v>
      </c>
      <c r="D1148" s="5" t="s">
        <v>1133</v>
      </c>
      <c r="E1148" s="6" t="str">
        <f>HYPERLINK("https://twitter.com/petrogustavo/status/1215628351177678849","1215628351177678849")</f>
        <v>1215628351177678849</v>
      </c>
      <c r="F1148" s="7" t="s">
        <v>17</v>
      </c>
      <c r="G1148" s="7">
        <v>3603918</v>
      </c>
      <c r="H1148" s="7">
        <v>2339</v>
      </c>
      <c r="I1148" s="7">
        <v>26</v>
      </c>
      <c r="J1148" s="7">
        <v>0</v>
      </c>
      <c r="K1148" s="7" t="s">
        <v>18</v>
      </c>
      <c r="L1148" s="8">
        <v>39987.315405092595</v>
      </c>
      <c r="M1148" s="9" t="s">
        <v>19</v>
      </c>
      <c r="N1148" s="9" t="s">
        <v>20</v>
      </c>
      <c r="O1148" s="6" t="str">
        <f>HYPERLINK("https://pbs.twimg.com/profile_images/962471262747529216/Uo8lOkRJ_normal.jpg","View")</f>
        <v>View</v>
      </c>
      <c r="P1148" s="7"/>
    </row>
    <row r="1149" spans="1:16">
      <c r="A1149" s="3">
        <v>43840.805891203709</v>
      </c>
      <c r="B1149" s="4" t="str">
        <f>HYPERLINK("https://twitter.com/petrogustavo","@petrogustavo")</f>
        <v>@petrogustavo</v>
      </c>
      <c r="C1149" s="5" t="s">
        <v>16</v>
      </c>
      <c r="D1149" s="5" t="s">
        <v>1134</v>
      </c>
      <c r="E1149" s="6" t="str">
        <f>HYPERLINK("https://twitter.com/petrogustavo/status/1215632001031725056","1215632001031725056")</f>
        <v>1215632001031725056</v>
      </c>
      <c r="F1149" s="7" t="s">
        <v>17</v>
      </c>
      <c r="G1149" s="7">
        <v>3603938</v>
      </c>
      <c r="H1149" s="7">
        <v>2339</v>
      </c>
      <c r="I1149" s="7">
        <v>94</v>
      </c>
      <c r="J1149" s="7">
        <v>286</v>
      </c>
      <c r="K1149" s="7" t="s">
        <v>18</v>
      </c>
      <c r="L1149" s="8">
        <v>39987.315405092595</v>
      </c>
      <c r="M1149" s="9" t="s">
        <v>19</v>
      </c>
      <c r="N1149" s="9" t="s">
        <v>20</v>
      </c>
      <c r="O1149" s="6" t="str">
        <f>HYPERLINK("https://pbs.twimg.com/profile_images/962471262747529216/Uo8lOkRJ_normal.jpg","View")</f>
        <v>View</v>
      </c>
      <c r="P1149" s="7"/>
    </row>
    <row r="1150" spans="1:16">
      <c r="A1150" s="3">
        <v>43840.805891203709</v>
      </c>
      <c r="B1150" s="4" t="str">
        <f>HYPERLINK("https://twitter.com/petrogustavo","@petrogustavo")</f>
        <v>@petrogustavo</v>
      </c>
      <c r="C1150" s="5" t="s">
        <v>16</v>
      </c>
      <c r="D1150" s="5" t="s">
        <v>1135</v>
      </c>
      <c r="E1150" s="6" t="str">
        <f>HYPERLINK("https://twitter.com/petrogustavo/status/1215632002503843841","1215632002503843841")</f>
        <v>1215632002503843841</v>
      </c>
      <c r="F1150" s="7" t="s">
        <v>17</v>
      </c>
      <c r="G1150" s="7">
        <v>3603938</v>
      </c>
      <c r="H1150" s="7">
        <v>2339</v>
      </c>
      <c r="I1150" s="7">
        <v>64</v>
      </c>
      <c r="J1150" s="7">
        <v>195</v>
      </c>
      <c r="K1150" s="7" t="s">
        <v>18</v>
      </c>
      <c r="L1150" s="8">
        <v>39987.315405092595</v>
      </c>
      <c r="M1150" s="9" t="s">
        <v>19</v>
      </c>
      <c r="N1150" s="9" t="s">
        <v>20</v>
      </c>
      <c r="O1150" s="6" t="str">
        <f>HYPERLINK("https://pbs.twimg.com/profile_images/962471262747529216/Uo8lOkRJ_normal.jpg","View")</f>
        <v>View</v>
      </c>
      <c r="P1150" s="7"/>
    </row>
    <row r="1151" spans="1:16">
      <c r="A1151" s="3">
        <v>43840.817939814813</v>
      </c>
      <c r="B1151" s="4" t="str">
        <f>HYPERLINK("https://twitter.com/petrogustavo","@petrogustavo")</f>
        <v>@petrogustavo</v>
      </c>
      <c r="C1151" s="5" t="s">
        <v>16</v>
      </c>
      <c r="D1151" s="5" t="s">
        <v>1136</v>
      </c>
      <c r="E1151" s="6" t="str">
        <f>HYPERLINK("https://twitter.com/petrogustavo/status/1215636369588002816","1215636369588002816")</f>
        <v>1215636369588002816</v>
      </c>
      <c r="F1151" s="7" t="s">
        <v>17</v>
      </c>
      <c r="G1151" s="7">
        <v>3603938</v>
      </c>
      <c r="H1151" s="7">
        <v>2339</v>
      </c>
      <c r="I1151" s="7">
        <v>15</v>
      </c>
      <c r="J1151" s="7">
        <v>0</v>
      </c>
      <c r="K1151" s="7" t="s">
        <v>18</v>
      </c>
      <c r="L1151" s="8">
        <v>39987.315405092595</v>
      </c>
      <c r="M1151" s="9" t="s">
        <v>19</v>
      </c>
      <c r="N1151" s="9" t="s">
        <v>20</v>
      </c>
      <c r="O1151" s="6" t="str">
        <f>HYPERLINK("https://pbs.twimg.com/profile_images/962471262747529216/Uo8lOkRJ_normal.jpg","View")</f>
        <v>View</v>
      </c>
      <c r="P1151" s="7"/>
    </row>
    <row r="1152" spans="1:16">
      <c r="A1152" s="3">
        <v>43840.818518518514</v>
      </c>
      <c r="B1152" s="4" t="str">
        <f>HYPERLINK("https://twitter.com/petrogustavo","@petrogustavo")</f>
        <v>@petrogustavo</v>
      </c>
      <c r="C1152" s="5" t="s">
        <v>16</v>
      </c>
      <c r="D1152" s="5" t="s">
        <v>1137</v>
      </c>
      <c r="E1152" s="6" t="str">
        <f>HYPERLINK("https://twitter.com/petrogustavo/status/1215636576891547649","1215636576891547649")</f>
        <v>1215636576891547649</v>
      </c>
      <c r="F1152" s="7" t="s">
        <v>17</v>
      </c>
      <c r="G1152" s="7">
        <v>3603938</v>
      </c>
      <c r="H1152" s="7">
        <v>2339</v>
      </c>
      <c r="I1152" s="7">
        <v>205</v>
      </c>
      <c r="J1152" s="7">
        <v>0</v>
      </c>
      <c r="K1152" s="7" t="s">
        <v>18</v>
      </c>
      <c r="L1152" s="8">
        <v>39987.315405092595</v>
      </c>
      <c r="M1152" s="9" t="s">
        <v>19</v>
      </c>
      <c r="N1152" s="9" t="s">
        <v>20</v>
      </c>
      <c r="O1152" s="6" t="str">
        <f>HYPERLINK("https://pbs.twimg.com/profile_images/962471262747529216/Uo8lOkRJ_normal.jpg","View")</f>
        <v>View</v>
      </c>
      <c r="P1152" s="7"/>
    </row>
    <row r="1153" spans="1:16">
      <c r="A1153" s="3">
        <v>43841.123101851852</v>
      </c>
      <c r="B1153" s="4" t="str">
        <f>HYPERLINK("https://twitter.com/petrogustavo","@petrogustavo")</f>
        <v>@petrogustavo</v>
      </c>
      <c r="C1153" s="5" t="s">
        <v>16</v>
      </c>
      <c r="D1153" s="5" t="s">
        <v>1138</v>
      </c>
      <c r="E1153" s="6" t="str">
        <f>HYPERLINK("https://twitter.com/petrogustavo/status/1215746955189673986","1215746955189673986")</f>
        <v>1215746955189673986</v>
      </c>
      <c r="F1153" s="7" t="s">
        <v>17</v>
      </c>
      <c r="G1153" s="7">
        <v>3604496</v>
      </c>
      <c r="H1153" s="7">
        <v>2339</v>
      </c>
      <c r="I1153" s="7">
        <v>1352</v>
      </c>
      <c r="J1153" s="7">
        <v>0</v>
      </c>
      <c r="K1153" s="7" t="s">
        <v>18</v>
      </c>
      <c r="L1153" s="8">
        <v>39987.315405092595</v>
      </c>
      <c r="M1153" s="9" t="s">
        <v>19</v>
      </c>
      <c r="N1153" s="9" t="s">
        <v>20</v>
      </c>
      <c r="O1153" s="6" t="str">
        <f>HYPERLINK("https://pbs.twimg.com/profile_images/962471262747529216/Uo8lOkRJ_normal.jpg","View")</f>
        <v>View</v>
      </c>
      <c r="P1153" s="7"/>
    </row>
    <row r="1154" spans="1:16">
      <c r="A1154" s="3">
        <v>43841.575752314813</v>
      </c>
      <c r="B1154" s="4" t="str">
        <f>HYPERLINK("https://twitter.com/petrogustavo","@petrogustavo")</f>
        <v>@petrogustavo</v>
      </c>
      <c r="C1154" s="5" t="s">
        <v>16</v>
      </c>
      <c r="D1154" s="5" t="s">
        <v>1139</v>
      </c>
      <c r="E1154" s="6" t="str">
        <f>HYPERLINK("https://twitter.com/petrogustavo/status/1215910992791703552","1215910992791703552")</f>
        <v>1215910992791703552</v>
      </c>
      <c r="F1154" s="7" t="s">
        <v>17</v>
      </c>
      <c r="G1154" s="7">
        <v>3604971</v>
      </c>
      <c r="H1154" s="7">
        <v>2339</v>
      </c>
      <c r="I1154" s="7">
        <v>25</v>
      </c>
      <c r="J1154" s="7">
        <v>107</v>
      </c>
      <c r="K1154" s="7" t="s">
        <v>18</v>
      </c>
      <c r="L1154" s="8">
        <v>39987.315405092595</v>
      </c>
      <c r="M1154" s="9" t="s">
        <v>19</v>
      </c>
      <c r="N1154" s="9" t="s">
        <v>20</v>
      </c>
      <c r="O1154" s="6" t="str">
        <f>HYPERLINK("https://pbs.twimg.com/profile_images/962471262747529216/Uo8lOkRJ_normal.jpg","View")</f>
        <v>View</v>
      </c>
      <c r="P1154" s="7"/>
    </row>
    <row r="1155" spans="1:16">
      <c r="A1155" s="3">
        <v>43841.57576388889</v>
      </c>
      <c r="B1155" s="4" t="str">
        <f>HYPERLINK("https://twitter.com/petrogustavo","@petrogustavo")</f>
        <v>@petrogustavo</v>
      </c>
      <c r="C1155" s="5" t="s">
        <v>16</v>
      </c>
      <c r="D1155" s="5" t="s">
        <v>1140</v>
      </c>
      <c r="E1155" s="6" t="str">
        <f>HYPERLINK("https://twitter.com/petrogustavo/status/1215910994356133888","1215910994356133888")</f>
        <v>1215910994356133888</v>
      </c>
      <c r="F1155" s="7" t="s">
        <v>17</v>
      </c>
      <c r="G1155" s="7">
        <v>3604971</v>
      </c>
      <c r="H1155" s="7">
        <v>2339</v>
      </c>
      <c r="I1155" s="7">
        <v>13</v>
      </c>
      <c r="J1155" s="7">
        <v>76</v>
      </c>
      <c r="K1155" s="7" t="s">
        <v>18</v>
      </c>
      <c r="L1155" s="8">
        <v>39987.315405092595</v>
      </c>
      <c r="M1155" s="9" t="s">
        <v>19</v>
      </c>
      <c r="N1155" s="9" t="s">
        <v>20</v>
      </c>
      <c r="O1155" s="6" t="str">
        <f>HYPERLINK("https://pbs.twimg.com/profile_images/962471262747529216/Uo8lOkRJ_normal.jpg","View")</f>
        <v>View</v>
      </c>
      <c r="P1155" s="7"/>
    </row>
    <row r="1156" spans="1:16">
      <c r="A1156" s="3">
        <v>43841.586018518516</v>
      </c>
      <c r="B1156" s="4" t="str">
        <f>HYPERLINK("https://twitter.com/petrogustavo","@petrogustavo")</f>
        <v>@petrogustavo</v>
      </c>
      <c r="C1156" s="5" t="s">
        <v>16</v>
      </c>
      <c r="D1156" s="5" t="s">
        <v>1141</v>
      </c>
      <c r="E1156" s="6" t="str">
        <f>HYPERLINK("https://twitter.com/petrogustavo/status/1215914710698205185","1215914710698205185")</f>
        <v>1215914710698205185</v>
      </c>
      <c r="F1156" s="7" t="s">
        <v>17</v>
      </c>
      <c r="G1156" s="7">
        <v>3604971</v>
      </c>
      <c r="H1156" s="7">
        <v>2339</v>
      </c>
      <c r="I1156" s="7">
        <v>33</v>
      </c>
      <c r="J1156" s="7">
        <v>157</v>
      </c>
      <c r="K1156" s="7" t="s">
        <v>18</v>
      </c>
      <c r="L1156" s="8">
        <v>39987.315405092595</v>
      </c>
      <c r="M1156" s="9" t="s">
        <v>19</v>
      </c>
      <c r="N1156" s="9" t="s">
        <v>20</v>
      </c>
      <c r="O1156" s="6" t="str">
        <f>HYPERLINK("https://pbs.twimg.com/profile_images/962471262747529216/Uo8lOkRJ_normal.jpg","View")</f>
        <v>View</v>
      </c>
      <c r="P1156" s="7"/>
    </row>
    <row r="1157" spans="1:16">
      <c r="A1157" s="3">
        <v>43841.657187500001</v>
      </c>
      <c r="B1157" s="4" t="str">
        <f>HYPERLINK("https://twitter.com/petrogustavo","@petrogustavo")</f>
        <v>@petrogustavo</v>
      </c>
      <c r="C1157" s="5" t="s">
        <v>16</v>
      </c>
      <c r="D1157" s="5" t="s">
        <v>1142</v>
      </c>
      <c r="E1157" s="6" t="str">
        <f>HYPERLINK("https://twitter.com/petrogustavo/status/1215940503381954561","1215940503381954561")</f>
        <v>1215940503381954561</v>
      </c>
      <c r="F1157" s="7" t="s">
        <v>17</v>
      </c>
      <c r="G1157" s="7">
        <v>3604951</v>
      </c>
      <c r="H1157" s="7">
        <v>2339</v>
      </c>
      <c r="I1157" s="7">
        <v>60</v>
      </c>
      <c r="J1157" s="7">
        <v>0</v>
      </c>
      <c r="K1157" s="7" t="s">
        <v>18</v>
      </c>
      <c r="L1157" s="8">
        <v>39987.315405092595</v>
      </c>
      <c r="M1157" s="9" t="s">
        <v>19</v>
      </c>
      <c r="N1157" s="9" t="s">
        <v>20</v>
      </c>
      <c r="O1157" s="6" t="str">
        <f>HYPERLINK("https://pbs.twimg.com/profile_images/962471262747529216/Uo8lOkRJ_normal.jpg","View")</f>
        <v>View</v>
      </c>
      <c r="P1157" s="7"/>
    </row>
    <row r="1158" spans="1:16">
      <c r="A1158" s="3">
        <v>43841.667870370366</v>
      </c>
      <c r="B1158" s="4" t="str">
        <f>HYPERLINK("https://twitter.com/petrogustavo","@petrogustavo")</f>
        <v>@petrogustavo</v>
      </c>
      <c r="C1158" s="5" t="s">
        <v>16</v>
      </c>
      <c r="D1158" s="5" t="s">
        <v>1143</v>
      </c>
      <c r="E1158" s="6" t="str">
        <f>HYPERLINK("https://twitter.com/petrogustavo/status/1215944372442882050","1215944372442882050")</f>
        <v>1215944372442882050</v>
      </c>
      <c r="F1158" s="7" t="s">
        <v>17</v>
      </c>
      <c r="G1158" s="7">
        <v>3604955</v>
      </c>
      <c r="H1158" s="7">
        <v>2339</v>
      </c>
      <c r="I1158" s="7">
        <v>15</v>
      </c>
      <c r="J1158" s="7">
        <v>34</v>
      </c>
      <c r="K1158" s="7" t="s">
        <v>18</v>
      </c>
      <c r="L1158" s="8">
        <v>39987.315405092595</v>
      </c>
      <c r="M1158" s="9" t="s">
        <v>19</v>
      </c>
      <c r="N1158" s="9" t="s">
        <v>20</v>
      </c>
      <c r="O1158" s="6" t="str">
        <f>HYPERLINK("https://pbs.twimg.com/profile_images/962471262747529216/Uo8lOkRJ_normal.jpg","View")</f>
        <v>View</v>
      </c>
      <c r="P1158" s="7"/>
    </row>
    <row r="1159" spans="1:16">
      <c r="A1159" s="3">
        <v>43841.667870370366</v>
      </c>
      <c r="B1159" s="4" t="str">
        <f>HYPERLINK("https://twitter.com/petrogustavo","@petrogustavo")</f>
        <v>@petrogustavo</v>
      </c>
      <c r="C1159" s="5" t="s">
        <v>16</v>
      </c>
      <c r="D1159" s="5" t="s">
        <v>1144</v>
      </c>
      <c r="E1159" s="6" t="str">
        <f>HYPERLINK("https://twitter.com/petrogustavo/status/1215944374195978241","1215944374195978241")</f>
        <v>1215944374195978241</v>
      </c>
      <c r="F1159" s="7" t="s">
        <v>17</v>
      </c>
      <c r="G1159" s="7">
        <v>3604955</v>
      </c>
      <c r="H1159" s="7">
        <v>2339</v>
      </c>
      <c r="I1159" s="7">
        <v>12</v>
      </c>
      <c r="J1159" s="7">
        <v>38</v>
      </c>
      <c r="K1159" s="7" t="s">
        <v>18</v>
      </c>
      <c r="L1159" s="8">
        <v>39987.315405092595</v>
      </c>
      <c r="M1159" s="9" t="s">
        <v>19</v>
      </c>
      <c r="N1159" s="9" t="s">
        <v>20</v>
      </c>
      <c r="O1159" s="6" t="str">
        <f>HYPERLINK("https://pbs.twimg.com/profile_images/962471262747529216/Uo8lOkRJ_normal.jpg","View")</f>
        <v>View</v>
      </c>
      <c r="P1159" s="7"/>
    </row>
    <row r="1160" spans="1:16">
      <c r="A1160" s="3">
        <v>43841.670046296298</v>
      </c>
      <c r="B1160" s="4" t="str">
        <f>HYPERLINK("https://twitter.com/petrogustavo","@petrogustavo")</f>
        <v>@petrogustavo</v>
      </c>
      <c r="C1160" s="5" t="s">
        <v>16</v>
      </c>
      <c r="D1160" s="5" t="s">
        <v>1145</v>
      </c>
      <c r="E1160" s="6" t="str">
        <f>HYPERLINK("https://twitter.com/petrogustavo/status/1215945163987734528","1215945163987734528")</f>
        <v>1215945163987734528</v>
      </c>
      <c r="F1160" s="7" t="s">
        <v>17</v>
      </c>
      <c r="G1160" s="7">
        <v>3604955</v>
      </c>
      <c r="H1160" s="7">
        <v>2339</v>
      </c>
      <c r="I1160" s="7">
        <v>20</v>
      </c>
      <c r="J1160" s="7">
        <v>59</v>
      </c>
      <c r="K1160" s="7" t="s">
        <v>18</v>
      </c>
      <c r="L1160" s="8">
        <v>39987.315405092595</v>
      </c>
      <c r="M1160" s="9" t="s">
        <v>19</v>
      </c>
      <c r="N1160" s="9" t="s">
        <v>20</v>
      </c>
      <c r="O1160" s="6" t="str">
        <f>HYPERLINK("https://pbs.twimg.com/profile_images/962471262747529216/Uo8lOkRJ_normal.jpg","View")</f>
        <v>View</v>
      </c>
      <c r="P1160" s="7"/>
    </row>
    <row r="1161" spans="1:16">
      <c r="A1161" s="3">
        <v>43841.695034722223</v>
      </c>
      <c r="B1161" s="4" t="str">
        <f>HYPERLINK("https://twitter.com/petrogustavo","@petrogustavo")</f>
        <v>@petrogustavo</v>
      </c>
      <c r="C1161" s="5" t="s">
        <v>16</v>
      </c>
      <c r="D1161" s="5" t="s">
        <v>1146</v>
      </c>
      <c r="E1161" s="6" t="str">
        <f>HYPERLINK("https://twitter.com/petrogustavo/status/1215954218089099265","1215954218089099265")</f>
        <v>1215954218089099265</v>
      </c>
      <c r="F1161" s="7" t="s">
        <v>17</v>
      </c>
      <c r="G1161" s="7">
        <v>3604968</v>
      </c>
      <c r="H1161" s="7">
        <v>2339</v>
      </c>
      <c r="I1161" s="7">
        <v>10</v>
      </c>
      <c r="J1161" s="7">
        <v>61</v>
      </c>
      <c r="K1161" s="7" t="s">
        <v>18</v>
      </c>
      <c r="L1161" s="8">
        <v>39987.315405092595</v>
      </c>
      <c r="M1161" s="9" t="s">
        <v>19</v>
      </c>
      <c r="N1161" s="9" t="s">
        <v>20</v>
      </c>
      <c r="O1161" s="6" t="str">
        <f>HYPERLINK("https://pbs.twimg.com/profile_images/962471262747529216/Uo8lOkRJ_normal.jpg","View")</f>
        <v>View</v>
      </c>
      <c r="P1161" s="7"/>
    </row>
    <row r="1162" spans="1:16">
      <c r="A1162" s="3">
        <v>43841.69530092593</v>
      </c>
      <c r="B1162" s="4" t="str">
        <f>HYPERLINK("https://twitter.com/petrogustavo","@petrogustavo")</f>
        <v>@petrogustavo</v>
      </c>
      <c r="C1162" s="5" t="s">
        <v>16</v>
      </c>
      <c r="D1162" s="5" t="s">
        <v>1147</v>
      </c>
      <c r="E1162" s="6" t="str">
        <f>HYPERLINK("https://twitter.com/petrogustavo/status/1215954315157934080","1215954315157934080")</f>
        <v>1215954315157934080</v>
      </c>
      <c r="F1162" s="7" t="s">
        <v>17</v>
      </c>
      <c r="G1162" s="7">
        <v>3604968</v>
      </c>
      <c r="H1162" s="7">
        <v>2339</v>
      </c>
      <c r="I1162" s="7">
        <v>12</v>
      </c>
      <c r="J1162" s="7">
        <v>0</v>
      </c>
      <c r="K1162" s="7" t="s">
        <v>18</v>
      </c>
      <c r="L1162" s="8">
        <v>39987.315405092595</v>
      </c>
      <c r="M1162" s="9" t="s">
        <v>19</v>
      </c>
      <c r="N1162" s="9" t="s">
        <v>20</v>
      </c>
      <c r="O1162" s="6" t="str">
        <f>HYPERLINK("https://pbs.twimg.com/profile_images/962471262747529216/Uo8lOkRJ_normal.jpg","View")</f>
        <v>View</v>
      </c>
      <c r="P1162" s="7"/>
    </row>
    <row r="1163" spans="1:16">
      <c r="A1163" s="3">
        <v>43841.697627314818</v>
      </c>
      <c r="B1163" s="4" t="str">
        <f>HYPERLINK("https://twitter.com/petrogustavo","@petrogustavo")</f>
        <v>@petrogustavo</v>
      </c>
      <c r="C1163" s="5" t="s">
        <v>16</v>
      </c>
      <c r="D1163" s="5" t="s">
        <v>1148</v>
      </c>
      <c r="E1163" s="6" t="str">
        <f>HYPERLINK("https://twitter.com/petrogustavo/status/1215955157307023360","1215955157307023360")</f>
        <v>1215955157307023360</v>
      </c>
      <c r="F1163" s="7" t="s">
        <v>17</v>
      </c>
      <c r="G1163" s="7">
        <v>3604968</v>
      </c>
      <c r="H1163" s="7">
        <v>2339</v>
      </c>
      <c r="I1163" s="7">
        <v>129</v>
      </c>
      <c r="J1163" s="7">
        <v>0</v>
      </c>
      <c r="K1163" s="7" t="s">
        <v>18</v>
      </c>
      <c r="L1163" s="8">
        <v>39987.315405092595</v>
      </c>
      <c r="M1163" s="9" t="s">
        <v>19</v>
      </c>
      <c r="N1163" s="9" t="s">
        <v>20</v>
      </c>
      <c r="O1163" s="6" t="str">
        <f>HYPERLINK("https://pbs.twimg.com/profile_images/962471262747529216/Uo8lOkRJ_normal.jpg","View")</f>
        <v>View</v>
      </c>
      <c r="P1163" s="7"/>
    </row>
    <row r="1164" spans="1:16">
      <c r="A1164" s="3">
        <v>43841.698078703703</v>
      </c>
      <c r="B1164" s="4" t="str">
        <f>HYPERLINK("https://twitter.com/petrogustavo","@petrogustavo")</f>
        <v>@petrogustavo</v>
      </c>
      <c r="C1164" s="5" t="s">
        <v>16</v>
      </c>
      <c r="D1164" s="5" t="s">
        <v>1149</v>
      </c>
      <c r="E1164" s="6" t="str">
        <f>HYPERLINK("https://twitter.com/petrogustavo/status/1215955322394890240","1215955322394890240")</f>
        <v>1215955322394890240</v>
      </c>
      <c r="F1164" s="7" t="s">
        <v>17</v>
      </c>
      <c r="G1164" s="7">
        <v>3604968</v>
      </c>
      <c r="H1164" s="7">
        <v>2339</v>
      </c>
      <c r="I1164" s="7">
        <v>292</v>
      </c>
      <c r="J1164" s="7">
        <v>0</v>
      </c>
      <c r="K1164" s="7" t="s">
        <v>18</v>
      </c>
      <c r="L1164" s="8">
        <v>39987.315405092595</v>
      </c>
      <c r="M1164" s="9" t="s">
        <v>19</v>
      </c>
      <c r="N1164" s="9" t="s">
        <v>20</v>
      </c>
      <c r="O1164" s="6" t="str">
        <f>HYPERLINK("https://pbs.twimg.com/profile_images/962471262747529216/Uo8lOkRJ_normal.jpg","View")</f>
        <v>View</v>
      </c>
      <c r="P1164" s="7"/>
    </row>
    <row r="1165" spans="1:16">
      <c r="A1165" s="3">
        <v>43841.719305555554</v>
      </c>
      <c r="B1165" s="4" t="str">
        <f>HYPERLINK("https://twitter.com/petrogustavo","@petrogustavo")</f>
        <v>@petrogustavo</v>
      </c>
      <c r="C1165" s="5" t="s">
        <v>16</v>
      </c>
      <c r="D1165" s="5" t="s">
        <v>1150</v>
      </c>
      <c r="E1165" s="6" t="str">
        <f>HYPERLINK("https://twitter.com/petrogustavo/status/1215963011212632064","1215963011212632064")</f>
        <v>1215963011212632064</v>
      </c>
      <c r="F1165" s="7" t="s">
        <v>17</v>
      </c>
      <c r="G1165" s="7">
        <v>3604980</v>
      </c>
      <c r="H1165" s="7">
        <v>2340</v>
      </c>
      <c r="I1165" s="7">
        <v>6</v>
      </c>
      <c r="J1165" s="7">
        <v>12</v>
      </c>
      <c r="K1165" s="7" t="s">
        <v>18</v>
      </c>
      <c r="L1165" s="8">
        <v>39987.315405092595</v>
      </c>
      <c r="M1165" s="9" t="s">
        <v>19</v>
      </c>
      <c r="N1165" s="9" t="s">
        <v>20</v>
      </c>
      <c r="O1165" s="6" t="str">
        <f>HYPERLINK("https://pbs.twimg.com/profile_images/962471262747529216/Uo8lOkRJ_normal.jpg","View")</f>
        <v>View</v>
      </c>
      <c r="P1165" s="7"/>
    </row>
    <row r="1166" spans="1:16">
      <c r="A1166" s="3">
        <v>43841.721655092595</v>
      </c>
      <c r="B1166" s="4" t="str">
        <f>HYPERLINK("https://twitter.com/petrogustavo","@petrogustavo")</f>
        <v>@petrogustavo</v>
      </c>
      <c r="C1166" s="5" t="s">
        <v>16</v>
      </c>
      <c r="D1166" s="5" t="s">
        <v>1151</v>
      </c>
      <c r="E1166" s="6" t="str">
        <f>HYPERLINK("https://twitter.com/petrogustavo/status/1215963865797791746","1215963865797791746")</f>
        <v>1215963865797791746</v>
      </c>
      <c r="F1166" s="7" t="s">
        <v>17</v>
      </c>
      <c r="G1166" s="7">
        <v>3604997</v>
      </c>
      <c r="H1166" s="7">
        <v>2340</v>
      </c>
      <c r="I1166" s="7">
        <v>113</v>
      </c>
      <c r="J1166" s="7">
        <v>278</v>
      </c>
      <c r="K1166" s="7" t="s">
        <v>18</v>
      </c>
      <c r="L1166" s="8">
        <v>39987.315405092595</v>
      </c>
      <c r="M1166" s="9" t="s">
        <v>19</v>
      </c>
      <c r="N1166" s="9" t="s">
        <v>20</v>
      </c>
      <c r="O1166" s="6" t="str">
        <f>HYPERLINK("https://pbs.twimg.com/profile_images/962471262747529216/Uo8lOkRJ_normal.jpg","View")</f>
        <v>View</v>
      </c>
      <c r="P1166" s="7"/>
    </row>
    <row r="1167" spans="1:16">
      <c r="A1167" s="3">
        <v>43841.721967592588</v>
      </c>
      <c r="B1167" s="4" t="str">
        <f>HYPERLINK("https://twitter.com/petrogustavo","@petrogustavo")</f>
        <v>@petrogustavo</v>
      </c>
      <c r="C1167" s="5" t="s">
        <v>16</v>
      </c>
      <c r="D1167" s="5" t="s">
        <v>1152</v>
      </c>
      <c r="E1167" s="6" t="str">
        <f>HYPERLINK("https://twitter.com/petrogustavo/status/1215963976519028740","1215963976519028740")</f>
        <v>1215963976519028740</v>
      </c>
      <c r="F1167" s="7" t="s">
        <v>17</v>
      </c>
      <c r="G1167" s="7">
        <v>3604997</v>
      </c>
      <c r="H1167" s="7">
        <v>2340</v>
      </c>
      <c r="I1167" s="7">
        <v>43</v>
      </c>
      <c r="J1167" s="7">
        <v>0</v>
      </c>
      <c r="K1167" s="7" t="s">
        <v>18</v>
      </c>
      <c r="L1167" s="8">
        <v>39987.315405092595</v>
      </c>
      <c r="M1167" s="9" t="s">
        <v>19</v>
      </c>
      <c r="N1167" s="9" t="s">
        <v>20</v>
      </c>
      <c r="O1167" s="6" t="str">
        <f>HYPERLINK("https://pbs.twimg.com/profile_images/962471262747529216/Uo8lOkRJ_normal.jpg","View")</f>
        <v>View</v>
      </c>
      <c r="P1167" s="7"/>
    </row>
    <row r="1168" spans="1:16">
      <c r="A1168" s="3">
        <v>43841.722812499997</v>
      </c>
      <c r="B1168" s="4" t="str">
        <f>HYPERLINK("https://twitter.com/petrogustavo","@petrogustavo")</f>
        <v>@petrogustavo</v>
      </c>
      <c r="C1168" s="5" t="s">
        <v>16</v>
      </c>
      <c r="D1168" s="5" t="s">
        <v>1153</v>
      </c>
      <c r="E1168" s="6" t="str">
        <f>HYPERLINK("https://twitter.com/petrogustavo/status/1215964283487621120","1215964283487621120")</f>
        <v>1215964283487621120</v>
      </c>
      <c r="F1168" s="7" t="s">
        <v>17</v>
      </c>
      <c r="G1168" s="7">
        <v>3604997</v>
      </c>
      <c r="H1168" s="7">
        <v>2340</v>
      </c>
      <c r="I1168" s="7">
        <v>46</v>
      </c>
      <c r="J1168" s="7">
        <v>629</v>
      </c>
      <c r="K1168" s="7" t="s">
        <v>18</v>
      </c>
      <c r="L1168" s="8">
        <v>39987.315405092595</v>
      </c>
      <c r="M1168" s="9" t="s">
        <v>19</v>
      </c>
      <c r="N1168" s="9" t="s">
        <v>20</v>
      </c>
      <c r="O1168" s="6" t="str">
        <f>HYPERLINK("https://pbs.twimg.com/profile_images/962471262747529216/Uo8lOkRJ_normal.jpg","View")</f>
        <v>View</v>
      </c>
      <c r="P1168" s="7"/>
    </row>
    <row r="1169" spans="1:16">
      <c r="A1169" s="3">
        <v>43841.849942129629</v>
      </c>
      <c r="B1169" s="4" t="str">
        <f>HYPERLINK("https://twitter.com/petrogustavo","@petrogustavo")</f>
        <v>@petrogustavo</v>
      </c>
      <c r="C1169" s="5" t="s">
        <v>16</v>
      </c>
      <c r="D1169" s="5" t="s">
        <v>1154</v>
      </c>
      <c r="E1169" s="6" t="str">
        <f>HYPERLINK("https://twitter.com/petrogustavo/status/1216010353399730176","1216010353399730176")</f>
        <v>1216010353399730176</v>
      </c>
      <c r="F1169" s="7" t="s">
        <v>17</v>
      </c>
      <c r="G1169" s="7">
        <v>3605150</v>
      </c>
      <c r="H1169" s="7">
        <v>2339</v>
      </c>
      <c r="I1169" s="7">
        <v>91</v>
      </c>
      <c r="J1169" s="7">
        <v>275</v>
      </c>
      <c r="K1169" s="7" t="s">
        <v>18</v>
      </c>
      <c r="L1169" s="8">
        <v>39987.315405092595</v>
      </c>
      <c r="M1169" s="9" t="s">
        <v>19</v>
      </c>
      <c r="N1169" s="9" t="s">
        <v>20</v>
      </c>
      <c r="O1169" s="6" t="str">
        <f>HYPERLINK("https://pbs.twimg.com/profile_images/962471262747529216/Uo8lOkRJ_normal.jpg","View")</f>
        <v>View</v>
      </c>
      <c r="P1169" s="7"/>
    </row>
    <row r="1170" spans="1:16">
      <c r="A1170" s="3">
        <v>43841.883599537032</v>
      </c>
      <c r="B1170" s="4" t="str">
        <f>HYPERLINK("https://twitter.com/petrogustavo","@petrogustavo")</f>
        <v>@petrogustavo</v>
      </c>
      <c r="C1170" s="5" t="s">
        <v>16</v>
      </c>
      <c r="D1170" s="5" t="s">
        <v>1155</v>
      </c>
      <c r="E1170" s="6" t="str">
        <f>HYPERLINK("https://twitter.com/petrogustavo/status/1216022553057210368","1216022553057210368")</f>
        <v>1216022553057210368</v>
      </c>
      <c r="F1170" s="7" t="s">
        <v>17</v>
      </c>
      <c r="G1170" s="7">
        <v>3605178</v>
      </c>
      <c r="H1170" s="7">
        <v>2340</v>
      </c>
      <c r="I1170" s="7">
        <v>133</v>
      </c>
      <c r="J1170" s="7">
        <v>202</v>
      </c>
      <c r="K1170" s="7" t="s">
        <v>18</v>
      </c>
      <c r="L1170" s="8">
        <v>39987.315405092595</v>
      </c>
      <c r="M1170" s="9" t="s">
        <v>19</v>
      </c>
      <c r="N1170" s="9" t="s">
        <v>20</v>
      </c>
      <c r="O1170" s="6" t="str">
        <f>HYPERLINK("https://pbs.twimg.com/profile_images/962471262747529216/Uo8lOkRJ_normal.jpg","View")</f>
        <v>View</v>
      </c>
      <c r="P1170" s="7"/>
    </row>
    <row r="1171" spans="1:16">
      <c r="A1171" s="3">
        <v>43841.92123842593</v>
      </c>
      <c r="B1171" s="4" t="str">
        <f>HYPERLINK("https://twitter.com/petrogustavo","@petrogustavo")</f>
        <v>@petrogustavo</v>
      </c>
      <c r="C1171" s="5" t="s">
        <v>16</v>
      </c>
      <c r="D1171" s="5" t="s">
        <v>1156</v>
      </c>
      <c r="E1171" s="6" t="str">
        <f>HYPERLINK("https://twitter.com/petrogustavo/status/1216036191272828928","1216036191272828928")</f>
        <v>1216036191272828928</v>
      </c>
      <c r="F1171" s="7" t="s">
        <v>17</v>
      </c>
      <c r="G1171" s="7">
        <v>3605237</v>
      </c>
      <c r="H1171" s="7">
        <v>2340</v>
      </c>
      <c r="I1171" s="7">
        <v>46</v>
      </c>
      <c r="J1171" s="7">
        <v>0</v>
      </c>
      <c r="K1171" s="7" t="s">
        <v>18</v>
      </c>
      <c r="L1171" s="8">
        <v>39987.315405092595</v>
      </c>
      <c r="M1171" s="9" t="s">
        <v>19</v>
      </c>
      <c r="N1171" s="9" t="s">
        <v>20</v>
      </c>
      <c r="O1171" s="6" t="str">
        <f>HYPERLINK("https://pbs.twimg.com/profile_images/962471262747529216/Uo8lOkRJ_normal.jpg","View")</f>
        <v>View</v>
      </c>
      <c r="P1171" s="7"/>
    </row>
    <row r="1172" spans="1:16">
      <c r="A1172" s="3">
        <v>43841.925497685181</v>
      </c>
      <c r="B1172" s="4" t="str">
        <f>HYPERLINK("https://twitter.com/petrogustavo","@petrogustavo")</f>
        <v>@petrogustavo</v>
      </c>
      <c r="C1172" s="5" t="s">
        <v>16</v>
      </c>
      <c r="D1172" s="5" t="s">
        <v>1157</v>
      </c>
      <c r="E1172" s="6" t="str">
        <f>HYPERLINK("https://twitter.com/petrogustavo/status/1216037735145840640","1216037735145840640")</f>
        <v>1216037735145840640</v>
      </c>
      <c r="F1172" s="7" t="s">
        <v>17</v>
      </c>
      <c r="G1172" s="7">
        <v>3605237</v>
      </c>
      <c r="H1172" s="7">
        <v>2340</v>
      </c>
      <c r="I1172" s="7">
        <v>67</v>
      </c>
      <c r="J1172" s="7">
        <v>254</v>
      </c>
      <c r="K1172" s="7" t="s">
        <v>18</v>
      </c>
      <c r="L1172" s="8">
        <v>39987.315405092595</v>
      </c>
      <c r="M1172" s="9" t="s">
        <v>19</v>
      </c>
      <c r="N1172" s="9" t="s">
        <v>20</v>
      </c>
      <c r="O1172" s="6" t="str">
        <f>HYPERLINK("https://pbs.twimg.com/profile_images/962471262747529216/Uo8lOkRJ_normal.jpg","View")</f>
        <v>View</v>
      </c>
      <c r="P1172" s="7"/>
    </row>
    <row r="1173" spans="1:16">
      <c r="A1173" s="3">
        <v>43841.947847222225</v>
      </c>
      <c r="B1173" s="4" t="str">
        <f>HYPERLINK("https://twitter.com/petrogustavo","@petrogustavo")</f>
        <v>@petrogustavo</v>
      </c>
      <c r="C1173" s="5" t="s">
        <v>16</v>
      </c>
      <c r="D1173" s="5" t="s">
        <v>1158</v>
      </c>
      <c r="E1173" s="6" t="str">
        <f>HYPERLINK("https://twitter.com/petrogustavo/status/1216045832706936832","1216045832706936832")</f>
        <v>1216045832706936832</v>
      </c>
      <c r="F1173" s="7" t="s">
        <v>17</v>
      </c>
      <c r="G1173" s="7">
        <v>3605254</v>
      </c>
      <c r="H1173" s="7">
        <v>2340</v>
      </c>
      <c r="I1173" s="7">
        <v>72</v>
      </c>
      <c r="J1173" s="7">
        <v>134</v>
      </c>
      <c r="K1173" s="7" t="s">
        <v>18</v>
      </c>
      <c r="L1173" s="8">
        <v>39987.315405092595</v>
      </c>
      <c r="M1173" s="9" t="s">
        <v>19</v>
      </c>
      <c r="N1173" s="9" t="s">
        <v>20</v>
      </c>
      <c r="O1173" s="6" t="str">
        <f>HYPERLINK("https://pbs.twimg.com/profile_images/962471262747529216/Uo8lOkRJ_normal.jpg","View")</f>
        <v>View</v>
      </c>
      <c r="P1173" s="7"/>
    </row>
    <row r="1174" spans="1:16">
      <c r="A1174" s="3">
        <v>43841.962268518517</v>
      </c>
      <c r="B1174" s="4" t="str">
        <f>HYPERLINK("https://twitter.com/petrogustavo","@petrogustavo")</f>
        <v>@petrogustavo</v>
      </c>
      <c r="C1174" s="5" t="s">
        <v>16</v>
      </c>
      <c r="D1174" s="5" t="s">
        <v>1159</v>
      </c>
      <c r="E1174" s="6" t="str">
        <f>HYPERLINK("https://twitter.com/petrogustavo/status/1216051060458115072","1216051060458115072")</f>
        <v>1216051060458115072</v>
      </c>
      <c r="F1174" s="7" t="s">
        <v>17</v>
      </c>
      <c r="G1174" s="7">
        <v>3605272</v>
      </c>
      <c r="H1174" s="7">
        <v>2340</v>
      </c>
      <c r="I1174" s="7">
        <v>91</v>
      </c>
      <c r="J1174" s="7">
        <v>0</v>
      </c>
      <c r="K1174" s="7" t="s">
        <v>18</v>
      </c>
      <c r="L1174" s="8">
        <v>39987.315405092595</v>
      </c>
      <c r="M1174" s="9" t="s">
        <v>19</v>
      </c>
      <c r="N1174" s="9" t="s">
        <v>20</v>
      </c>
      <c r="O1174" s="6" t="str">
        <f>HYPERLINK("https://pbs.twimg.com/profile_images/962471262747529216/Uo8lOkRJ_normal.jpg","View")</f>
        <v>View</v>
      </c>
      <c r="P1174" s="7"/>
    </row>
    <row r="1175" spans="1:16">
      <c r="A1175" s="3">
        <v>43841.969490740739</v>
      </c>
      <c r="B1175" s="4" t="str">
        <f>HYPERLINK("https://twitter.com/petrogustavo","@petrogustavo")</f>
        <v>@petrogustavo</v>
      </c>
      <c r="C1175" s="5" t="s">
        <v>16</v>
      </c>
      <c r="D1175" s="5" t="s">
        <v>1160</v>
      </c>
      <c r="E1175" s="6" t="str">
        <f>HYPERLINK("https://twitter.com/petrogustavo/status/1216053677087252481","1216053677087252481")</f>
        <v>1216053677087252481</v>
      </c>
      <c r="F1175" s="7" t="s">
        <v>17</v>
      </c>
      <c r="G1175" s="7">
        <v>3605272</v>
      </c>
      <c r="H1175" s="7">
        <v>2340</v>
      </c>
      <c r="I1175" s="7">
        <v>36</v>
      </c>
      <c r="J1175" s="7">
        <v>75</v>
      </c>
      <c r="K1175" s="7" t="s">
        <v>18</v>
      </c>
      <c r="L1175" s="8">
        <v>39987.315405092595</v>
      </c>
      <c r="M1175" s="9" t="s">
        <v>19</v>
      </c>
      <c r="N1175" s="9" t="s">
        <v>20</v>
      </c>
      <c r="O1175" s="6" t="str">
        <f>HYPERLINK("https://pbs.twimg.com/profile_images/962471262747529216/Uo8lOkRJ_normal.jpg","View")</f>
        <v>View</v>
      </c>
      <c r="P1175" s="7"/>
    </row>
    <row r="1176" spans="1:16">
      <c r="A1176" s="3">
        <v>43842.054375</v>
      </c>
      <c r="B1176" s="4" t="str">
        <f>HYPERLINK("https://twitter.com/petrogustavo","@petrogustavo")</f>
        <v>@petrogustavo</v>
      </c>
      <c r="C1176" s="5" t="s">
        <v>16</v>
      </c>
      <c r="D1176" s="5" t="s">
        <v>1161</v>
      </c>
      <c r="E1176" s="6" t="str">
        <f>HYPERLINK("https://twitter.com/petrogustavo/status/1216084438871920640","1216084438871920640")</f>
        <v>1216084438871920640</v>
      </c>
      <c r="F1176" s="7" t="s">
        <v>17</v>
      </c>
      <c r="G1176" s="7">
        <v>3605391</v>
      </c>
      <c r="H1176" s="7">
        <v>2340</v>
      </c>
      <c r="I1176" s="7">
        <v>338</v>
      </c>
      <c r="J1176" s="7">
        <v>710</v>
      </c>
      <c r="K1176" s="7" t="s">
        <v>18</v>
      </c>
      <c r="L1176" s="8">
        <v>39987.315405092595</v>
      </c>
      <c r="M1176" s="9" t="s">
        <v>19</v>
      </c>
      <c r="N1176" s="9" t="s">
        <v>20</v>
      </c>
      <c r="O1176" s="6" t="str">
        <f>HYPERLINK("https://pbs.twimg.com/profile_images/962471262747529216/Uo8lOkRJ_normal.jpg","View")</f>
        <v>View</v>
      </c>
      <c r="P1176" s="7"/>
    </row>
    <row r="1177" spans="1:16">
      <c r="A1177" s="3">
        <v>43842.109259259261</v>
      </c>
      <c r="B1177" s="4" t="str">
        <f>HYPERLINK("https://twitter.com/petrogustavo","@petrogustavo")</f>
        <v>@petrogustavo</v>
      </c>
      <c r="C1177" s="5" t="s">
        <v>16</v>
      </c>
      <c r="D1177" s="5" t="s">
        <v>1162</v>
      </c>
      <c r="E1177" s="6" t="str">
        <f>HYPERLINK("https://twitter.com/petrogustavo/status/1216104328240533511","1216104328240533511")</f>
        <v>1216104328240533511</v>
      </c>
      <c r="F1177" s="7" t="s">
        <v>17</v>
      </c>
      <c r="G1177" s="7">
        <v>3605446</v>
      </c>
      <c r="H1177" s="7">
        <v>2340</v>
      </c>
      <c r="I1177" s="7">
        <v>113</v>
      </c>
      <c r="J1177" s="7">
        <v>170</v>
      </c>
      <c r="K1177" s="7" t="s">
        <v>18</v>
      </c>
      <c r="L1177" s="8">
        <v>39987.315405092595</v>
      </c>
      <c r="M1177" s="9" t="s">
        <v>19</v>
      </c>
      <c r="N1177" s="9" t="s">
        <v>20</v>
      </c>
      <c r="O1177" s="6" t="str">
        <f>HYPERLINK("https://pbs.twimg.com/profile_images/962471262747529216/Uo8lOkRJ_normal.jpg","View")</f>
        <v>View</v>
      </c>
      <c r="P1177" s="7"/>
    </row>
    <row r="1178" spans="1:16">
      <c r="A1178" s="3">
        <v>43842.111631944441</v>
      </c>
      <c r="B1178" s="4" t="str">
        <f>HYPERLINK("https://twitter.com/petrogustavo","@petrogustavo")</f>
        <v>@petrogustavo</v>
      </c>
      <c r="C1178" s="5" t="s">
        <v>16</v>
      </c>
      <c r="D1178" s="5" t="s">
        <v>1163</v>
      </c>
      <c r="E1178" s="6" t="str">
        <f>HYPERLINK("https://twitter.com/petrogustavo/status/1216105188563570690","1216105188563570690")</f>
        <v>1216105188563570690</v>
      </c>
      <c r="F1178" s="7" t="s">
        <v>17</v>
      </c>
      <c r="G1178" s="7">
        <v>3605446</v>
      </c>
      <c r="H1178" s="7">
        <v>2340</v>
      </c>
      <c r="I1178" s="7">
        <v>111</v>
      </c>
      <c r="J1178" s="7">
        <v>250</v>
      </c>
      <c r="K1178" s="7" t="s">
        <v>18</v>
      </c>
      <c r="L1178" s="8">
        <v>39987.315405092595</v>
      </c>
      <c r="M1178" s="9" t="s">
        <v>19</v>
      </c>
      <c r="N1178" s="9" t="s">
        <v>20</v>
      </c>
      <c r="O1178" s="6" t="str">
        <f>HYPERLINK("https://pbs.twimg.com/profile_images/962471262747529216/Uo8lOkRJ_normal.jpg","View")</f>
        <v>View</v>
      </c>
      <c r="P1178" s="7"/>
    </row>
    <row r="1179" spans="1:16">
      <c r="A1179" s="3">
        <v>43842.11546296296</v>
      </c>
      <c r="B1179" s="4" t="str">
        <f>HYPERLINK("https://twitter.com/petrogustavo","@petrogustavo")</f>
        <v>@petrogustavo</v>
      </c>
      <c r="C1179" s="5" t="s">
        <v>16</v>
      </c>
      <c r="D1179" s="5" t="s">
        <v>1164</v>
      </c>
      <c r="E1179" s="6" t="str">
        <f>HYPERLINK("https://twitter.com/petrogustavo/status/1216106574969700352","1216106574969700352")</f>
        <v>1216106574969700352</v>
      </c>
      <c r="F1179" s="7" t="s">
        <v>17</v>
      </c>
      <c r="G1179" s="7">
        <v>3605446</v>
      </c>
      <c r="H1179" s="7">
        <v>2340</v>
      </c>
      <c r="I1179" s="7">
        <v>45</v>
      </c>
      <c r="J1179" s="7">
        <v>99</v>
      </c>
      <c r="K1179" s="7" t="s">
        <v>18</v>
      </c>
      <c r="L1179" s="8">
        <v>39987.315405092595</v>
      </c>
      <c r="M1179" s="9" t="s">
        <v>19</v>
      </c>
      <c r="N1179" s="9" t="s">
        <v>20</v>
      </c>
      <c r="O1179" s="6" t="str">
        <f>HYPERLINK("https://pbs.twimg.com/profile_images/962471262747529216/Uo8lOkRJ_normal.jpg","View")</f>
        <v>View</v>
      </c>
      <c r="P1179" s="7"/>
    </row>
    <row r="1180" spans="1:16">
      <c r="A1180" s="3">
        <v>43842.203796296293</v>
      </c>
      <c r="B1180" s="4" t="str">
        <f>HYPERLINK("https://twitter.com/petrogustavo","@petrogustavo")</f>
        <v>@petrogustavo</v>
      </c>
      <c r="C1180" s="5" t="s">
        <v>16</v>
      </c>
      <c r="D1180" s="5" t="s">
        <v>1165</v>
      </c>
      <c r="E1180" s="6" t="str">
        <f>HYPERLINK("https://twitter.com/petrogustavo/status/1216138586606710787","1216138586606710787")</f>
        <v>1216138586606710787</v>
      </c>
      <c r="F1180" s="7" t="s">
        <v>17</v>
      </c>
      <c r="G1180" s="7">
        <v>3605551</v>
      </c>
      <c r="H1180" s="7">
        <v>2340</v>
      </c>
      <c r="I1180" s="7">
        <v>356</v>
      </c>
      <c r="J1180" s="7">
        <v>0</v>
      </c>
      <c r="K1180" s="7" t="s">
        <v>18</v>
      </c>
      <c r="L1180" s="8">
        <v>39987.315405092595</v>
      </c>
      <c r="M1180" s="9" t="s">
        <v>19</v>
      </c>
      <c r="N1180" s="9" t="s">
        <v>20</v>
      </c>
      <c r="O1180" s="6" t="str">
        <f>HYPERLINK("https://pbs.twimg.com/profile_images/962471262747529216/Uo8lOkRJ_normal.jpg","View")</f>
        <v>View</v>
      </c>
      <c r="P1180" s="7"/>
    </row>
    <row r="1181" spans="1:16">
      <c r="A1181" s="3">
        <v>43842.440925925926</v>
      </c>
      <c r="B1181" s="4" t="str">
        <f>HYPERLINK("https://twitter.com/petrogustavo","@petrogustavo")</f>
        <v>@petrogustavo</v>
      </c>
      <c r="C1181" s="5" t="s">
        <v>16</v>
      </c>
      <c r="D1181" s="5" t="s">
        <v>1166</v>
      </c>
      <c r="E1181" s="6" t="str">
        <f>HYPERLINK("https://twitter.com/petrogustavo/status/1216224517636481024","1216224517636481024")</f>
        <v>1216224517636481024</v>
      </c>
      <c r="F1181" s="7" t="s">
        <v>17</v>
      </c>
      <c r="G1181" s="7">
        <v>3605814</v>
      </c>
      <c r="H1181" s="7">
        <v>2340</v>
      </c>
      <c r="I1181" s="7">
        <v>2070</v>
      </c>
      <c r="J1181" s="7">
        <v>0</v>
      </c>
      <c r="K1181" s="7" t="s">
        <v>18</v>
      </c>
      <c r="L1181" s="8">
        <v>39987.315405092595</v>
      </c>
      <c r="M1181" s="9" t="s">
        <v>19</v>
      </c>
      <c r="N1181" s="9" t="s">
        <v>20</v>
      </c>
      <c r="O1181" s="6" t="str">
        <f>HYPERLINK("https://pbs.twimg.com/profile_images/962471262747529216/Uo8lOkRJ_normal.jpg","View")</f>
        <v>View</v>
      </c>
      <c r="P1181" s="7"/>
    </row>
    <row r="1182" spans="1:16">
      <c r="A1182" s="3">
        <v>43843.087858796294</v>
      </c>
      <c r="B1182" s="4" t="str">
        <f>HYPERLINK("https://twitter.com/petrogustavo","@petrogustavo")</f>
        <v>@petrogustavo</v>
      </c>
      <c r="C1182" s="5" t="s">
        <v>16</v>
      </c>
      <c r="D1182" s="5" t="s">
        <v>1167</v>
      </c>
      <c r="E1182" s="6" t="str">
        <f>HYPERLINK("https://twitter.com/petrogustavo/status/1216458959336374277","1216458959336374277")</f>
        <v>1216458959336374277</v>
      </c>
      <c r="F1182" s="7" t="s">
        <v>17</v>
      </c>
      <c r="G1182" s="7">
        <v>3606351</v>
      </c>
      <c r="H1182" s="7">
        <v>2340</v>
      </c>
      <c r="I1182" s="7">
        <v>155</v>
      </c>
      <c r="J1182" s="7">
        <v>336</v>
      </c>
      <c r="K1182" s="7" t="s">
        <v>18</v>
      </c>
      <c r="L1182" s="8">
        <v>39987.315405092595</v>
      </c>
      <c r="M1182" s="9" t="s">
        <v>19</v>
      </c>
      <c r="N1182" s="9" t="s">
        <v>20</v>
      </c>
      <c r="O1182" s="6" t="str">
        <f>HYPERLINK("https://pbs.twimg.com/profile_images/962471262747529216/Uo8lOkRJ_normal.jpg","View")</f>
        <v>View</v>
      </c>
      <c r="P1182" s="7"/>
    </row>
    <row r="1183" spans="1:16">
      <c r="A1183" s="3">
        <v>43843.088148148148</v>
      </c>
      <c r="B1183" s="4" t="str">
        <f>HYPERLINK("https://twitter.com/petrogustavo","@petrogustavo")</f>
        <v>@petrogustavo</v>
      </c>
      <c r="C1183" s="5" t="s">
        <v>16</v>
      </c>
      <c r="D1183" s="5" t="s">
        <v>1168</v>
      </c>
      <c r="E1183" s="6" t="str">
        <f>HYPERLINK("https://twitter.com/petrogustavo/status/1216459064261206023","1216459064261206023")</f>
        <v>1216459064261206023</v>
      </c>
      <c r="F1183" s="7" t="s">
        <v>17</v>
      </c>
      <c r="G1183" s="7">
        <v>3606351</v>
      </c>
      <c r="H1183" s="7">
        <v>2340</v>
      </c>
      <c r="I1183" s="7">
        <v>41</v>
      </c>
      <c r="J1183" s="7">
        <v>0</v>
      </c>
      <c r="K1183" s="7" t="s">
        <v>18</v>
      </c>
      <c r="L1183" s="8">
        <v>39987.315405092595</v>
      </c>
      <c r="M1183" s="9" t="s">
        <v>19</v>
      </c>
      <c r="N1183" s="9" t="s">
        <v>20</v>
      </c>
      <c r="O1183" s="6" t="str">
        <f>HYPERLINK("https://pbs.twimg.com/profile_images/962471262747529216/Uo8lOkRJ_normal.jpg","View")</f>
        <v>View</v>
      </c>
      <c r="P1183" s="7"/>
    </row>
    <row r="1184" spans="1:16">
      <c r="A1184" s="3">
        <v>43843.116689814815</v>
      </c>
      <c r="B1184" s="4" t="str">
        <f>HYPERLINK("https://twitter.com/petrogustavo","@petrogustavo")</f>
        <v>@petrogustavo</v>
      </c>
      <c r="C1184" s="5" t="s">
        <v>16</v>
      </c>
      <c r="D1184" s="5" t="s">
        <v>1169</v>
      </c>
      <c r="E1184" s="6" t="str">
        <f>HYPERLINK("https://twitter.com/petrogustavo/status/1216469406806614017","1216469406806614017")</f>
        <v>1216469406806614017</v>
      </c>
      <c r="F1184" s="7" t="s">
        <v>17</v>
      </c>
      <c r="G1184" s="7">
        <v>3606381</v>
      </c>
      <c r="H1184" s="7">
        <v>2339</v>
      </c>
      <c r="I1184" s="7">
        <v>251</v>
      </c>
      <c r="J1184" s="7">
        <v>726</v>
      </c>
      <c r="K1184" s="7" t="s">
        <v>18</v>
      </c>
      <c r="L1184" s="8">
        <v>39987.315405092595</v>
      </c>
      <c r="M1184" s="9" t="s">
        <v>19</v>
      </c>
      <c r="N1184" s="9" t="s">
        <v>20</v>
      </c>
      <c r="O1184" s="6" t="str">
        <f>HYPERLINK("https://pbs.twimg.com/profile_images/962471262747529216/Uo8lOkRJ_normal.jpg","View")</f>
        <v>View</v>
      </c>
      <c r="P1184" s="7"/>
    </row>
    <row r="1185" spans="1:16">
      <c r="A1185" s="3">
        <v>43843.116689814815</v>
      </c>
      <c r="B1185" s="4" t="str">
        <f>HYPERLINK("https://twitter.com/petrogustavo","@petrogustavo")</f>
        <v>@petrogustavo</v>
      </c>
      <c r="C1185" s="5" t="s">
        <v>16</v>
      </c>
      <c r="D1185" s="5" t="s">
        <v>1170</v>
      </c>
      <c r="E1185" s="6" t="str">
        <f>HYPERLINK("https://twitter.com/petrogustavo/status/1216469408723369987","1216469408723369987")</f>
        <v>1216469408723369987</v>
      </c>
      <c r="F1185" s="7" t="s">
        <v>17</v>
      </c>
      <c r="G1185" s="7">
        <v>3606381</v>
      </c>
      <c r="H1185" s="7">
        <v>2339</v>
      </c>
      <c r="I1185" s="7">
        <v>53</v>
      </c>
      <c r="J1185" s="7">
        <v>158</v>
      </c>
      <c r="K1185" s="7" t="s">
        <v>18</v>
      </c>
      <c r="L1185" s="8">
        <v>39987.315405092595</v>
      </c>
      <c r="M1185" s="9" t="s">
        <v>19</v>
      </c>
      <c r="N1185" s="9" t="s">
        <v>20</v>
      </c>
      <c r="O1185" s="6" t="str">
        <f>HYPERLINK("https://pbs.twimg.com/profile_images/962471262747529216/Uo8lOkRJ_normal.jpg","View")</f>
        <v>View</v>
      </c>
      <c r="P1185" s="7"/>
    </row>
    <row r="1186" spans="1:16">
      <c r="A1186" s="3">
        <v>43843.116701388892</v>
      </c>
      <c r="B1186" s="4" t="str">
        <f>HYPERLINK("https://twitter.com/petrogustavo","@petrogustavo")</f>
        <v>@petrogustavo</v>
      </c>
      <c r="C1186" s="5" t="s">
        <v>16</v>
      </c>
      <c r="D1186" s="5" t="s">
        <v>1171</v>
      </c>
      <c r="E1186" s="6" t="str">
        <f>HYPERLINK("https://twitter.com/petrogustavo/status/1216469410925424640","1216469410925424640")</f>
        <v>1216469410925424640</v>
      </c>
      <c r="F1186" s="7" t="s">
        <v>17</v>
      </c>
      <c r="G1186" s="7">
        <v>3606381</v>
      </c>
      <c r="H1186" s="7">
        <v>2339</v>
      </c>
      <c r="I1186" s="7">
        <v>89</v>
      </c>
      <c r="J1186" s="7">
        <v>305</v>
      </c>
      <c r="K1186" s="7" t="s">
        <v>18</v>
      </c>
      <c r="L1186" s="8">
        <v>39987.315405092595</v>
      </c>
      <c r="M1186" s="9" t="s">
        <v>19</v>
      </c>
      <c r="N1186" s="9" t="s">
        <v>20</v>
      </c>
      <c r="O1186" s="6" t="str">
        <f>HYPERLINK("https://pbs.twimg.com/profile_images/962471262747529216/Uo8lOkRJ_normal.jpg","View")</f>
        <v>View</v>
      </c>
      <c r="P1186" s="7"/>
    </row>
    <row r="1187" spans="1:16">
      <c r="A1187" s="3">
        <v>43843.116701388892</v>
      </c>
      <c r="B1187" s="4" t="str">
        <f>HYPERLINK("https://twitter.com/petrogustavo","@petrogustavo")</f>
        <v>@petrogustavo</v>
      </c>
      <c r="C1187" s="5" t="s">
        <v>16</v>
      </c>
      <c r="D1187" s="5" t="s">
        <v>1172</v>
      </c>
      <c r="E1187" s="6" t="str">
        <f>HYPERLINK("https://twitter.com/petrogustavo/status/1216469412875841537","1216469412875841537")</f>
        <v>1216469412875841537</v>
      </c>
      <c r="F1187" s="7" t="s">
        <v>17</v>
      </c>
      <c r="G1187" s="7">
        <v>3606381</v>
      </c>
      <c r="H1187" s="7">
        <v>2339</v>
      </c>
      <c r="I1187" s="7">
        <v>129</v>
      </c>
      <c r="J1187" s="7">
        <v>408</v>
      </c>
      <c r="K1187" s="7" t="s">
        <v>18</v>
      </c>
      <c r="L1187" s="8">
        <v>39987.315405092595</v>
      </c>
      <c r="M1187" s="9" t="s">
        <v>19</v>
      </c>
      <c r="N1187" s="9" t="s">
        <v>20</v>
      </c>
      <c r="O1187" s="6" t="str">
        <f>HYPERLINK("https://pbs.twimg.com/profile_images/962471262747529216/Uo8lOkRJ_normal.jpg","View")</f>
        <v>View</v>
      </c>
      <c r="P1187" s="7"/>
    </row>
    <row r="1188" spans="1:16">
      <c r="A1188" s="3">
        <v>43843.779328703706</v>
      </c>
      <c r="B1188" s="4" t="str">
        <f>HYPERLINK("https://twitter.com/petrogustavo","@petrogustavo")</f>
        <v>@petrogustavo</v>
      </c>
      <c r="C1188" s="5" t="s">
        <v>16</v>
      </c>
      <c r="D1188" s="5" t="s">
        <v>1173</v>
      </c>
      <c r="E1188" s="6" t="str">
        <f>HYPERLINK("https://twitter.com/petrogustavo/status/1216709541016088576","1216709541016088576")</f>
        <v>1216709541016088576</v>
      </c>
      <c r="F1188" s="7" t="s">
        <v>17</v>
      </c>
      <c r="G1188" s="7">
        <v>3606948</v>
      </c>
      <c r="H1188" s="7">
        <v>2341</v>
      </c>
      <c r="I1188" s="7">
        <v>74</v>
      </c>
      <c r="J1188" s="7">
        <v>172</v>
      </c>
      <c r="K1188" s="7" t="s">
        <v>18</v>
      </c>
      <c r="L1188" s="8">
        <v>39987.315405092595</v>
      </c>
      <c r="M1188" s="9" t="s">
        <v>19</v>
      </c>
      <c r="N1188" s="9" t="s">
        <v>20</v>
      </c>
      <c r="O1188" s="6" t="str">
        <f>HYPERLINK("https://pbs.twimg.com/profile_images/962471262747529216/Uo8lOkRJ_normal.jpg","View")</f>
        <v>View</v>
      </c>
      <c r="P1188" s="7"/>
    </row>
    <row r="1189" spans="1:16">
      <c r="A1189" s="3">
        <v>43843.791817129633</v>
      </c>
      <c r="B1189" s="4" t="str">
        <f>HYPERLINK("https://twitter.com/petrogustavo","@petrogustavo")</f>
        <v>@petrogustavo</v>
      </c>
      <c r="C1189" s="5" t="s">
        <v>16</v>
      </c>
      <c r="D1189" s="5" t="s">
        <v>1174</v>
      </c>
      <c r="E1189" s="6" t="str">
        <f>HYPERLINK("https://twitter.com/petrogustavo/status/1216714066301018112","1216714066301018112")</f>
        <v>1216714066301018112</v>
      </c>
      <c r="F1189" s="7" t="s">
        <v>17</v>
      </c>
      <c r="G1189" s="7">
        <v>3606973</v>
      </c>
      <c r="H1189" s="7">
        <v>2341</v>
      </c>
      <c r="I1189" s="7">
        <v>146</v>
      </c>
      <c r="J1189" s="7">
        <v>258</v>
      </c>
      <c r="K1189" s="7" t="s">
        <v>18</v>
      </c>
      <c r="L1189" s="8">
        <v>39987.315405092595</v>
      </c>
      <c r="M1189" s="9" t="s">
        <v>19</v>
      </c>
      <c r="N1189" s="9" t="s">
        <v>20</v>
      </c>
      <c r="O1189" s="6" t="str">
        <f>HYPERLINK("https://pbs.twimg.com/profile_images/962471262747529216/Uo8lOkRJ_normal.jpg","View")</f>
        <v>View</v>
      </c>
      <c r="P1189" s="7"/>
    </row>
    <row r="1190" spans="1:16">
      <c r="A1190" s="3">
        <v>43843.8362037037</v>
      </c>
      <c r="B1190" s="4" t="str">
        <f>HYPERLINK("https://twitter.com/petrogustavo","@petrogustavo")</f>
        <v>@petrogustavo</v>
      </c>
      <c r="C1190" s="5" t="s">
        <v>16</v>
      </c>
      <c r="D1190" s="5" t="s">
        <v>1175</v>
      </c>
      <c r="E1190" s="6" t="str">
        <f>HYPERLINK("https://twitter.com/petrogustavo/status/1216730152039800832","1216730152039800832")</f>
        <v>1216730152039800832</v>
      </c>
      <c r="F1190" s="7" t="s">
        <v>17</v>
      </c>
      <c r="G1190" s="7">
        <v>3607029</v>
      </c>
      <c r="H1190" s="7">
        <v>2341</v>
      </c>
      <c r="I1190" s="7">
        <v>36</v>
      </c>
      <c r="J1190" s="7">
        <v>141</v>
      </c>
      <c r="K1190" s="7" t="s">
        <v>18</v>
      </c>
      <c r="L1190" s="8">
        <v>39987.315405092595</v>
      </c>
      <c r="M1190" s="9" t="s">
        <v>19</v>
      </c>
      <c r="N1190" s="9" t="s">
        <v>20</v>
      </c>
      <c r="O1190" s="6" t="str">
        <f>HYPERLINK("https://pbs.twimg.com/profile_images/962471262747529216/Uo8lOkRJ_normal.jpg","View")</f>
        <v>View</v>
      </c>
      <c r="P1190" s="7"/>
    </row>
    <row r="1191" spans="1:16">
      <c r="A1191" s="3">
        <v>43843.8362037037</v>
      </c>
      <c r="B1191" s="4" t="str">
        <f>HYPERLINK("https://twitter.com/petrogustavo","@petrogustavo")</f>
        <v>@petrogustavo</v>
      </c>
      <c r="C1191" s="5" t="s">
        <v>16</v>
      </c>
      <c r="D1191" s="5" t="s">
        <v>1176</v>
      </c>
      <c r="E1191" s="6" t="str">
        <f>HYPERLINK("https://twitter.com/petrogustavo/status/1216730153398820865","1216730153398820865")</f>
        <v>1216730153398820865</v>
      </c>
      <c r="F1191" s="7" t="s">
        <v>17</v>
      </c>
      <c r="G1191" s="7">
        <v>3607029</v>
      </c>
      <c r="H1191" s="7">
        <v>2341</v>
      </c>
      <c r="I1191" s="7">
        <v>13</v>
      </c>
      <c r="J1191" s="7">
        <v>52</v>
      </c>
      <c r="K1191" s="7" t="s">
        <v>18</v>
      </c>
      <c r="L1191" s="8">
        <v>39987.315405092595</v>
      </c>
      <c r="M1191" s="9" t="s">
        <v>19</v>
      </c>
      <c r="N1191" s="9" t="s">
        <v>20</v>
      </c>
      <c r="O1191" s="6" t="str">
        <f>HYPERLINK("https://pbs.twimg.com/profile_images/962471262747529216/Uo8lOkRJ_normal.jpg","View")</f>
        <v>View</v>
      </c>
      <c r="P1191" s="7"/>
    </row>
    <row r="1192" spans="1:16">
      <c r="A1192" s="3">
        <v>43843.836215277777</v>
      </c>
      <c r="B1192" s="4" t="str">
        <f>HYPERLINK("https://twitter.com/petrogustavo","@petrogustavo")</f>
        <v>@petrogustavo</v>
      </c>
      <c r="C1192" s="5" t="s">
        <v>16</v>
      </c>
      <c r="D1192" s="5" t="s">
        <v>1177</v>
      </c>
      <c r="E1192" s="6" t="str">
        <f>HYPERLINK("https://twitter.com/petrogustavo/status/1216730154787115010","1216730154787115010")</f>
        <v>1216730154787115010</v>
      </c>
      <c r="F1192" s="7" t="s">
        <v>17</v>
      </c>
      <c r="G1192" s="7">
        <v>3607029</v>
      </c>
      <c r="H1192" s="7">
        <v>2341</v>
      </c>
      <c r="I1192" s="7">
        <v>8</v>
      </c>
      <c r="J1192" s="7">
        <v>40</v>
      </c>
      <c r="K1192" s="7" t="s">
        <v>18</v>
      </c>
      <c r="L1192" s="8">
        <v>39987.315405092595</v>
      </c>
      <c r="M1192" s="9" t="s">
        <v>19</v>
      </c>
      <c r="N1192" s="9" t="s">
        <v>20</v>
      </c>
      <c r="O1192" s="6" t="str">
        <f>HYPERLINK("https://pbs.twimg.com/profile_images/962471262747529216/Uo8lOkRJ_normal.jpg","View")</f>
        <v>View</v>
      </c>
      <c r="P1192" s="7"/>
    </row>
    <row r="1193" spans="1:16">
      <c r="A1193" s="3">
        <v>43843.836215277777</v>
      </c>
      <c r="B1193" s="4" t="str">
        <f>HYPERLINK("https://twitter.com/petrogustavo","@petrogustavo")</f>
        <v>@petrogustavo</v>
      </c>
      <c r="C1193" s="5" t="s">
        <v>16</v>
      </c>
      <c r="D1193" s="5" t="s">
        <v>1178</v>
      </c>
      <c r="E1193" s="6" t="str">
        <f>HYPERLINK("https://twitter.com/petrogustavo/status/1216730156045389824","1216730156045389824")</f>
        <v>1216730156045389824</v>
      </c>
      <c r="F1193" s="7" t="s">
        <v>17</v>
      </c>
      <c r="G1193" s="7">
        <v>3607029</v>
      </c>
      <c r="H1193" s="7">
        <v>2341</v>
      </c>
      <c r="I1193" s="7">
        <v>4</v>
      </c>
      <c r="J1193" s="7">
        <v>23</v>
      </c>
      <c r="K1193" s="7" t="s">
        <v>18</v>
      </c>
      <c r="L1193" s="8">
        <v>39987.315405092595</v>
      </c>
      <c r="M1193" s="9" t="s">
        <v>19</v>
      </c>
      <c r="N1193" s="9" t="s">
        <v>20</v>
      </c>
      <c r="O1193" s="6" t="str">
        <f>HYPERLINK("https://pbs.twimg.com/profile_images/962471262747529216/Uo8lOkRJ_normal.jpg","View")</f>
        <v>View</v>
      </c>
      <c r="P1193" s="7"/>
    </row>
    <row r="1194" spans="1:16">
      <c r="A1194" s="3">
        <v>43843.836215277777</v>
      </c>
      <c r="B1194" s="4" t="str">
        <f>HYPERLINK("https://twitter.com/petrogustavo","@petrogustavo")</f>
        <v>@petrogustavo</v>
      </c>
      <c r="C1194" s="5" t="s">
        <v>16</v>
      </c>
      <c r="D1194" s="5" t="s">
        <v>1179</v>
      </c>
      <c r="E1194" s="6" t="str">
        <f>HYPERLINK("https://twitter.com/petrogustavo/status/1216730157228142592","1216730157228142592")</f>
        <v>1216730157228142592</v>
      </c>
      <c r="F1194" s="7" t="s">
        <v>17</v>
      </c>
      <c r="G1194" s="7">
        <v>3607029</v>
      </c>
      <c r="H1194" s="7">
        <v>2341</v>
      </c>
      <c r="I1194" s="7">
        <v>6</v>
      </c>
      <c r="J1194" s="7">
        <v>24</v>
      </c>
      <c r="K1194" s="7" t="s">
        <v>18</v>
      </c>
      <c r="L1194" s="8">
        <v>39987.315405092595</v>
      </c>
      <c r="M1194" s="9" t="s">
        <v>19</v>
      </c>
      <c r="N1194" s="9" t="s">
        <v>20</v>
      </c>
      <c r="O1194" s="6" t="str">
        <f>HYPERLINK("https://pbs.twimg.com/profile_images/962471262747529216/Uo8lOkRJ_normal.jpg","View")</f>
        <v>View</v>
      </c>
      <c r="P1194" s="7"/>
    </row>
    <row r="1195" spans="1:16">
      <c r="A1195" s="3">
        <v>43843.836226851854</v>
      </c>
      <c r="B1195" s="4" t="str">
        <f>HYPERLINK("https://twitter.com/petrogustavo","@petrogustavo")</f>
        <v>@petrogustavo</v>
      </c>
      <c r="C1195" s="5" t="s">
        <v>16</v>
      </c>
      <c r="D1195" s="5" t="s">
        <v>1180</v>
      </c>
      <c r="E1195" s="6" t="str">
        <f>HYPERLINK("https://twitter.com/petrogustavo/status/1216730158499008513","1216730158499008513")</f>
        <v>1216730158499008513</v>
      </c>
      <c r="F1195" s="7" t="s">
        <v>17</v>
      </c>
      <c r="G1195" s="7">
        <v>3607029</v>
      </c>
      <c r="H1195" s="7">
        <v>2341</v>
      </c>
      <c r="I1195" s="7">
        <v>6</v>
      </c>
      <c r="J1195" s="7">
        <v>25</v>
      </c>
      <c r="K1195" s="7" t="s">
        <v>18</v>
      </c>
      <c r="L1195" s="8">
        <v>39987.315405092595</v>
      </c>
      <c r="M1195" s="9" t="s">
        <v>19</v>
      </c>
      <c r="N1195" s="9" t="s">
        <v>20</v>
      </c>
      <c r="O1195" s="6" t="str">
        <f>HYPERLINK("https://pbs.twimg.com/profile_images/962471262747529216/Uo8lOkRJ_normal.jpg","View")</f>
        <v>View</v>
      </c>
      <c r="P1195" s="7"/>
    </row>
    <row r="1196" spans="1:16">
      <c r="A1196" s="3">
        <v>43843.836226851854</v>
      </c>
      <c r="B1196" s="4" t="str">
        <f>HYPERLINK("https://twitter.com/petrogustavo","@petrogustavo")</f>
        <v>@petrogustavo</v>
      </c>
      <c r="C1196" s="5" t="s">
        <v>16</v>
      </c>
      <c r="D1196" s="5" t="s">
        <v>1181</v>
      </c>
      <c r="E1196" s="6" t="str">
        <f>HYPERLINK("https://twitter.com/petrogustavo/status/1216730161128902656","1216730161128902656")</f>
        <v>1216730161128902656</v>
      </c>
      <c r="F1196" s="7" t="s">
        <v>17</v>
      </c>
      <c r="G1196" s="7">
        <v>3607029</v>
      </c>
      <c r="H1196" s="7">
        <v>2341</v>
      </c>
      <c r="I1196" s="7">
        <v>9</v>
      </c>
      <c r="J1196" s="7">
        <v>38</v>
      </c>
      <c r="K1196" s="7" t="s">
        <v>18</v>
      </c>
      <c r="L1196" s="8">
        <v>39987.315405092595</v>
      </c>
      <c r="M1196" s="9" t="s">
        <v>19</v>
      </c>
      <c r="N1196" s="9" t="s">
        <v>20</v>
      </c>
      <c r="O1196" s="6" t="str">
        <f>HYPERLINK("https://pbs.twimg.com/profile_images/962471262747529216/Uo8lOkRJ_normal.jpg","View")</f>
        <v>View</v>
      </c>
      <c r="P1196" s="7"/>
    </row>
    <row r="1197" spans="1:16">
      <c r="A1197" s="3">
        <v>43843.836238425924</v>
      </c>
      <c r="B1197" s="4" t="str">
        <f>HYPERLINK("https://twitter.com/petrogustavo","@petrogustavo")</f>
        <v>@petrogustavo</v>
      </c>
      <c r="C1197" s="5" t="s">
        <v>16</v>
      </c>
      <c r="D1197" s="5" t="s">
        <v>1182</v>
      </c>
      <c r="E1197" s="6" t="str">
        <f>HYPERLINK("https://twitter.com/petrogustavo/status/1216730162454200323","1216730162454200323")</f>
        <v>1216730162454200323</v>
      </c>
      <c r="F1197" s="7" t="s">
        <v>17</v>
      </c>
      <c r="G1197" s="7">
        <v>3607029</v>
      </c>
      <c r="H1197" s="7">
        <v>2341</v>
      </c>
      <c r="I1197" s="7">
        <v>11</v>
      </c>
      <c r="J1197" s="7">
        <v>43</v>
      </c>
      <c r="K1197" s="7" t="s">
        <v>18</v>
      </c>
      <c r="L1197" s="8">
        <v>39987.315405092595</v>
      </c>
      <c r="M1197" s="9" t="s">
        <v>19</v>
      </c>
      <c r="N1197" s="9" t="s">
        <v>20</v>
      </c>
      <c r="O1197" s="6" t="str">
        <f>HYPERLINK("https://pbs.twimg.com/profile_images/962471262747529216/Uo8lOkRJ_normal.jpg","View")</f>
        <v>View</v>
      </c>
      <c r="P1197" s="7"/>
    </row>
    <row r="1198" spans="1:16">
      <c r="A1198" s="3">
        <v>43843.844178240739</v>
      </c>
      <c r="B1198" s="4" t="str">
        <f>HYPERLINK("https://twitter.com/petrogustavo","@petrogustavo")</f>
        <v>@petrogustavo</v>
      </c>
      <c r="C1198" s="5" t="s">
        <v>16</v>
      </c>
      <c r="D1198" s="5" t="s">
        <v>1183</v>
      </c>
      <c r="E1198" s="6" t="str">
        <f>HYPERLINK("https://twitter.com/petrogustavo/status/1216733041973956614","1216733041973956614")</f>
        <v>1216733041973956614</v>
      </c>
      <c r="F1198" s="7" t="s">
        <v>17</v>
      </c>
      <c r="G1198" s="7">
        <v>3607029</v>
      </c>
      <c r="H1198" s="7">
        <v>2341</v>
      </c>
      <c r="I1198" s="7">
        <v>25</v>
      </c>
      <c r="J1198" s="7">
        <v>61</v>
      </c>
      <c r="K1198" s="7" t="s">
        <v>18</v>
      </c>
      <c r="L1198" s="8">
        <v>39987.315405092595</v>
      </c>
      <c r="M1198" s="9" t="s">
        <v>19</v>
      </c>
      <c r="N1198" s="9" t="s">
        <v>20</v>
      </c>
      <c r="O1198" s="6" t="str">
        <f>HYPERLINK("https://pbs.twimg.com/profile_images/962471262747529216/Uo8lOkRJ_normal.jpg","View")</f>
        <v>View</v>
      </c>
      <c r="P1198" s="7"/>
    </row>
    <row r="1199" spans="1:16">
      <c r="A1199" s="3">
        <v>43843.852581018524</v>
      </c>
      <c r="B1199" s="4" t="str">
        <f>HYPERLINK("https://twitter.com/petrogustavo","@petrogustavo")</f>
        <v>@petrogustavo</v>
      </c>
      <c r="C1199" s="5" t="s">
        <v>16</v>
      </c>
      <c r="D1199" s="5" t="s">
        <v>1184</v>
      </c>
      <c r="E1199" s="6" t="str">
        <f>HYPERLINK("https://twitter.com/petrogustavo/status/1216736085369335808","1216736085369335808")</f>
        <v>1216736085369335808</v>
      </c>
      <c r="F1199" s="7" t="s">
        <v>17</v>
      </c>
      <c r="G1199" s="7">
        <v>3607058</v>
      </c>
      <c r="H1199" s="7">
        <v>2341</v>
      </c>
      <c r="I1199" s="7">
        <v>133</v>
      </c>
      <c r="J1199" s="7">
        <v>373</v>
      </c>
      <c r="K1199" s="7" t="s">
        <v>18</v>
      </c>
      <c r="L1199" s="8">
        <v>39987.315405092595</v>
      </c>
      <c r="M1199" s="9" t="s">
        <v>19</v>
      </c>
      <c r="N1199" s="9" t="s">
        <v>20</v>
      </c>
      <c r="O1199" s="6" t="str">
        <f>HYPERLINK("https://pbs.twimg.com/profile_images/962471262747529216/Uo8lOkRJ_normal.jpg","View")</f>
        <v>View</v>
      </c>
      <c r="P1199" s="7"/>
    </row>
    <row r="1200" spans="1:16">
      <c r="A1200" s="3">
        <v>43843.861064814817</v>
      </c>
      <c r="B1200" s="4" t="str">
        <f>HYPERLINK("https://twitter.com/petrogustavo","@petrogustavo")</f>
        <v>@petrogustavo</v>
      </c>
      <c r="C1200" s="5" t="s">
        <v>16</v>
      </c>
      <c r="D1200" s="5" t="s">
        <v>1185</v>
      </c>
      <c r="E1200" s="6" t="str">
        <f>HYPERLINK("https://twitter.com/petrogustavo/status/1216739162428203008","1216739162428203008")</f>
        <v>1216739162428203008</v>
      </c>
      <c r="F1200" s="7" t="s">
        <v>17</v>
      </c>
      <c r="G1200" s="7">
        <v>3607058</v>
      </c>
      <c r="H1200" s="7">
        <v>2341</v>
      </c>
      <c r="I1200" s="7">
        <v>68</v>
      </c>
      <c r="J1200" s="7">
        <v>144</v>
      </c>
      <c r="K1200" s="7" t="s">
        <v>18</v>
      </c>
      <c r="L1200" s="8">
        <v>39987.315405092595</v>
      </c>
      <c r="M1200" s="9" t="s">
        <v>19</v>
      </c>
      <c r="N1200" s="9" t="s">
        <v>20</v>
      </c>
      <c r="O1200" s="6" t="str">
        <f>HYPERLINK("https://pbs.twimg.com/profile_images/962471262747529216/Uo8lOkRJ_normal.jpg","View")</f>
        <v>View</v>
      </c>
      <c r="P1200" s="7"/>
    </row>
    <row r="1201" spans="1:16">
      <c r="A1201" s="3">
        <v>43843.863993055551</v>
      </c>
      <c r="B1201" s="4" t="str">
        <f>HYPERLINK("https://twitter.com/petrogustavo","@petrogustavo")</f>
        <v>@petrogustavo</v>
      </c>
      <c r="C1201" s="5" t="s">
        <v>16</v>
      </c>
      <c r="D1201" s="5" t="s">
        <v>1186</v>
      </c>
      <c r="E1201" s="6" t="str">
        <f>HYPERLINK("https://twitter.com/petrogustavo/status/1216740223964585985","1216740223964585985")</f>
        <v>1216740223964585985</v>
      </c>
      <c r="F1201" s="7" t="s">
        <v>17</v>
      </c>
      <c r="G1201" s="7">
        <v>3607058</v>
      </c>
      <c r="H1201" s="7">
        <v>2341</v>
      </c>
      <c r="I1201" s="7">
        <v>18</v>
      </c>
      <c r="J1201" s="7">
        <v>0</v>
      </c>
      <c r="K1201" s="7" t="s">
        <v>18</v>
      </c>
      <c r="L1201" s="8">
        <v>39987.315405092595</v>
      </c>
      <c r="M1201" s="9" t="s">
        <v>19</v>
      </c>
      <c r="N1201" s="9" t="s">
        <v>20</v>
      </c>
      <c r="O1201" s="6" t="str">
        <f>HYPERLINK("https://pbs.twimg.com/profile_images/962471262747529216/Uo8lOkRJ_normal.jpg","View")</f>
        <v>View</v>
      </c>
      <c r="P1201" s="7"/>
    </row>
    <row r="1202" spans="1:16">
      <c r="A1202" s="3">
        <v>43843.869490740741</v>
      </c>
      <c r="B1202" s="4" t="str">
        <f>HYPERLINK("https://twitter.com/petrogustavo","@petrogustavo")</f>
        <v>@petrogustavo</v>
      </c>
      <c r="C1202" s="5" t="s">
        <v>16</v>
      </c>
      <c r="D1202" s="5" t="s">
        <v>1187</v>
      </c>
      <c r="E1202" s="6" t="str">
        <f>HYPERLINK("https://twitter.com/petrogustavo/status/1216742215478923264","1216742215478923264")</f>
        <v>1216742215478923264</v>
      </c>
      <c r="F1202" s="7" t="s">
        <v>17</v>
      </c>
      <c r="G1202" s="7">
        <v>3607078</v>
      </c>
      <c r="H1202" s="7">
        <v>2342</v>
      </c>
      <c r="I1202" s="7">
        <v>2801</v>
      </c>
      <c r="J1202" s="7">
        <v>0</v>
      </c>
      <c r="K1202" s="7" t="s">
        <v>18</v>
      </c>
      <c r="L1202" s="8">
        <v>39987.315405092595</v>
      </c>
      <c r="M1202" s="9" t="s">
        <v>19</v>
      </c>
      <c r="N1202" s="9" t="s">
        <v>20</v>
      </c>
      <c r="O1202" s="6" t="str">
        <f>HYPERLINK("https://pbs.twimg.com/profile_images/962471262747529216/Uo8lOkRJ_normal.jpg","View")</f>
        <v>View</v>
      </c>
      <c r="P1202" s="7"/>
    </row>
    <row r="1203" spans="1:16">
      <c r="A1203" s="3">
        <v>43843.876134259262</v>
      </c>
      <c r="B1203" s="4" t="str">
        <f>HYPERLINK("https://twitter.com/petrogustavo","@petrogustavo")</f>
        <v>@petrogustavo</v>
      </c>
      <c r="C1203" s="5" t="s">
        <v>16</v>
      </c>
      <c r="D1203" s="5" t="s">
        <v>1188</v>
      </c>
      <c r="E1203" s="6" t="str">
        <f>HYPERLINK("https://twitter.com/petrogustavo/status/1216744622078205954","1216744622078205954")</f>
        <v>1216744622078205954</v>
      </c>
      <c r="F1203" s="7" t="s">
        <v>17</v>
      </c>
      <c r="G1203" s="7">
        <v>3607078</v>
      </c>
      <c r="H1203" s="7">
        <v>2342</v>
      </c>
      <c r="I1203" s="7">
        <v>7</v>
      </c>
      <c r="J1203" s="7">
        <v>34</v>
      </c>
      <c r="K1203" s="7" t="s">
        <v>18</v>
      </c>
      <c r="L1203" s="8">
        <v>39987.315405092595</v>
      </c>
      <c r="M1203" s="9" t="s">
        <v>19</v>
      </c>
      <c r="N1203" s="9" t="s">
        <v>20</v>
      </c>
      <c r="O1203" s="6" t="str">
        <f>HYPERLINK("https://pbs.twimg.com/profile_images/962471262747529216/Uo8lOkRJ_normal.jpg","View")</f>
        <v>View</v>
      </c>
      <c r="P1203" s="7"/>
    </row>
    <row r="1204" spans="1:16">
      <c r="A1204" s="3">
        <v>43843.885462962964</v>
      </c>
      <c r="B1204" s="4" t="str">
        <f>HYPERLINK("https://twitter.com/petrogustavo","@petrogustavo")</f>
        <v>@petrogustavo</v>
      </c>
      <c r="C1204" s="5" t="s">
        <v>16</v>
      </c>
      <c r="D1204" s="5" t="s">
        <v>1189</v>
      </c>
      <c r="E1204" s="6" t="str">
        <f>HYPERLINK("https://twitter.com/petrogustavo/status/1216748002431381504","1216748002431381504")</f>
        <v>1216748002431381504</v>
      </c>
      <c r="F1204" s="7" t="s">
        <v>17</v>
      </c>
      <c r="G1204" s="7">
        <v>3607078</v>
      </c>
      <c r="H1204" s="7">
        <v>2342</v>
      </c>
      <c r="I1204" s="7">
        <v>45</v>
      </c>
      <c r="J1204" s="7">
        <v>131</v>
      </c>
      <c r="K1204" s="7" t="s">
        <v>18</v>
      </c>
      <c r="L1204" s="8">
        <v>39987.315405092595</v>
      </c>
      <c r="M1204" s="9" t="s">
        <v>19</v>
      </c>
      <c r="N1204" s="9" t="s">
        <v>20</v>
      </c>
      <c r="O1204" s="6" t="str">
        <f>HYPERLINK("https://pbs.twimg.com/profile_images/962471262747529216/Uo8lOkRJ_normal.jpg","View")</f>
        <v>View</v>
      </c>
      <c r="P1204" s="7"/>
    </row>
    <row r="1205" spans="1:16">
      <c r="A1205" s="3">
        <v>43843.887812500005</v>
      </c>
      <c r="B1205" s="4" t="str">
        <f>HYPERLINK("https://twitter.com/petrogustavo","@petrogustavo")</f>
        <v>@petrogustavo</v>
      </c>
      <c r="C1205" s="5" t="s">
        <v>16</v>
      </c>
      <c r="D1205" s="5" t="s">
        <v>1190</v>
      </c>
      <c r="E1205" s="6" t="str">
        <f>HYPERLINK("https://twitter.com/petrogustavo/status/1216748852839165958","1216748852839165958")</f>
        <v>1216748852839165958</v>
      </c>
      <c r="F1205" s="7" t="s">
        <v>17</v>
      </c>
      <c r="G1205" s="7">
        <v>3607105</v>
      </c>
      <c r="H1205" s="7">
        <v>2342</v>
      </c>
      <c r="I1205" s="7">
        <v>0</v>
      </c>
      <c r="J1205" s="7">
        <v>0</v>
      </c>
      <c r="K1205" s="7" t="s">
        <v>18</v>
      </c>
      <c r="L1205" s="8">
        <v>39987.315405092595</v>
      </c>
      <c r="M1205" s="9" t="s">
        <v>19</v>
      </c>
      <c r="N1205" s="9" t="s">
        <v>20</v>
      </c>
      <c r="O1205" s="6" t="str">
        <f>HYPERLINK("https://pbs.twimg.com/profile_images/962471262747529216/Uo8lOkRJ_normal.jpg","View")</f>
        <v>View</v>
      </c>
      <c r="P1205" s="7"/>
    </row>
    <row r="1206" spans="1:16">
      <c r="A1206" s="3">
        <v>43843.888402777782</v>
      </c>
      <c r="B1206" s="4" t="str">
        <f>HYPERLINK("https://twitter.com/petrogustavo","@petrogustavo")</f>
        <v>@petrogustavo</v>
      </c>
      <c r="C1206" s="5" t="s">
        <v>16</v>
      </c>
      <c r="D1206" s="5" t="s">
        <v>1191</v>
      </c>
      <c r="E1206" s="6" t="str">
        <f>HYPERLINK("https://twitter.com/petrogustavo/status/1216749069521113090","1216749069521113090")</f>
        <v>1216749069521113090</v>
      </c>
      <c r="F1206" s="7" t="s">
        <v>17</v>
      </c>
      <c r="G1206" s="7">
        <v>3607105</v>
      </c>
      <c r="H1206" s="7">
        <v>2342</v>
      </c>
      <c r="I1206" s="7">
        <v>2425</v>
      </c>
      <c r="J1206" s="7">
        <v>0</v>
      </c>
      <c r="K1206" s="7" t="s">
        <v>18</v>
      </c>
      <c r="L1206" s="8">
        <v>39987.315405092595</v>
      </c>
      <c r="M1206" s="9" t="s">
        <v>19</v>
      </c>
      <c r="N1206" s="9" t="s">
        <v>20</v>
      </c>
      <c r="O1206" s="6" t="str">
        <f>HYPERLINK("https://pbs.twimg.com/profile_images/962471262747529216/Uo8lOkRJ_normal.jpg","View")</f>
        <v>View</v>
      </c>
      <c r="P1206" s="7"/>
    </row>
    <row r="1207" spans="1:16">
      <c r="A1207" s="3">
        <v>43843.944143518514</v>
      </c>
      <c r="B1207" s="4" t="str">
        <f>HYPERLINK("https://twitter.com/petrogustavo","@petrogustavo")</f>
        <v>@petrogustavo</v>
      </c>
      <c r="C1207" s="5" t="s">
        <v>16</v>
      </c>
      <c r="D1207" s="5" t="s">
        <v>1192</v>
      </c>
      <c r="E1207" s="6" t="str">
        <f>HYPERLINK("https://twitter.com/petrogustavo/status/1216769269125521408","1216769269125521408")</f>
        <v>1216769269125521408</v>
      </c>
      <c r="F1207" s="7" t="s">
        <v>32</v>
      </c>
      <c r="G1207" s="7">
        <v>3607175</v>
      </c>
      <c r="H1207" s="7">
        <v>2342</v>
      </c>
      <c r="I1207" s="7">
        <v>45</v>
      </c>
      <c r="J1207" s="7">
        <v>95</v>
      </c>
      <c r="K1207" s="7" t="s">
        <v>18</v>
      </c>
      <c r="L1207" s="8">
        <v>39987.315405092595</v>
      </c>
      <c r="M1207" s="9" t="s">
        <v>19</v>
      </c>
      <c r="N1207" s="9" t="s">
        <v>20</v>
      </c>
      <c r="O1207" s="6" t="str">
        <f>HYPERLINK("https://pbs.twimg.com/profile_images/962471262747529216/Uo8lOkRJ_normal.jpg","View")</f>
        <v>View</v>
      </c>
      <c r="P1207" s="7"/>
    </row>
    <row r="1208" spans="1:16">
      <c r="A1208" s="3">
        <v>43843.988240740742</v>
      </c>
      <c r="B1208" s="4" t="str">
        <f>HYPERLINK("https://twitter.com/petrogustavo","@petrogustavo")</f>
        <v>@petrogustavo</v>
      </c>
      <c r="C1208" s="5" t="s">
        <v>16</v>
      </c>
      <c r="D1208" s="5" t="s">
        <v>1193</v>
      </c>
      <c r="E1208" s="6" t="str">
        <f>HYPERLINK("https://twitter.com/petrogustavo/status/1216785247309836289","1216785247309836289")</f>
        <v>1216785247309836289</v>
      </c>
      <c r="F1208" s="7" t="s">
        <v>32</v>
      </c>
      <c r="G1208" s="7">
        <v>3607238</v>
      </c>
      <c r="H1208" s="7">
        <v>2342</v>
      </c>
      <c r="I1208" s="7">
        <v>37</v>
      </c>
      <c r="J1208" s="7">
        <v>0</v>
      </c>
      <c r="K1208" s="7" t="s">
        <v>18</v>
      </c>
      <c r="L1208" s="8">
        <v>39987.315405092595</v>
      </c>
      <c r="M1208" s="9" t="s">
        <v>19</v>
      </c>
      <c r="N1208" s="9" t="s">
        <v>20</v>
      </c>
      <c r="O1208" s="6" t="str">
        <f>HYPERLINK("https://pbs.twimg.com/profile_images/962471262747529216/Uo8lOkRJ_normal.jpg","View")</f>
        <v>View</v>
      </c>
      <c r="P1208" s="7"/>
    </row>
    <row r="1209" spans="1:16">
      <c r="A1209" s="3">
        <v>43844.004409722227</v>
      </c>
      <c r="B1209" s="4" t="str">
        <f>HYPERLINK("https://twitter.com/petrogustavo","@petrogustavo")</f>
        <v>@petrogustavo</v>
      </c>
      <c r="C1209" s="5" t="s">
        <v>16</v>
      </c>
      <c r="D1209" s="5" t="s">
        <v>1191</v>
      </c>
      <c r="E1209" s="6" t="str">
        <f>HYPERLINK("https://twitter.com/petrogustavo/status/1216791107666882562","1216791107666882562")</f>
        <v>1216791107666882562</v>
      </c>
      <c r="F1209" s="7" t="s">
        <v>32</v>
      </c>
      <c r="G1209" s="7">
        <v>3607268</v>
      </c>
      <c r="H1209" s="7">
        <v>2342</v>
      </c>
      <c r="I1209" s="7">
        <v>2566</v>
      </c>
      <c r="J1209" s="7">
        <v>0</v>
      </c>
      <c r="K1209" s="7" t="s">
        <v>18</v>
      </c>
      <c r="L1209" s="8">
        <v>39987.315405092595</v>
      </c>
      <c r="M1209" s="9" t="s">
        <v>19</v>
      </c>
      <c r="N1209" s="9" t="s">
        <v>20</v>
      </c>
      <c r="O1209" s="6" t="str">
        <f>HYPERLINK("https://pbs.twimg.com/profile_images/962471262747529216/Uo8lOkRJ_normal.jpg","View")</f>
        <v>View</v>
      </c>
      <c r="P1209" s="7"/>
    </row>
    <row r="1210" spans="1:16">
      <c r="A1210" s="3">
        <v>43844.007685185185</v>
      </c>
      <c r="B1210" s="4" t="str">
        <f>HYPERLINK("https://twitter.com/petrogustavo","@petrogustavo")</f>
        <v>@petrogustavo</v>
      </c>
      <c r="C1210" s="5" t="s">
        <v>16</v>
      </c>
      <c r="D1210" s="5" t="s">
        <v>1194</v>
      </c>
      <c r="E1210" s="6" t="str">
        <f>HYPERLINK("https://twitter.com/petrogustavo/status/1216792294743035908","1216792294743035908")</f>
        <v>1216792294743035908</v>
      </c>
      <c r="F1210" s="7" t="s">
        <v>32</v>
      </c>
      <c r="G1210" s="7">
        <v>3607268</v>
      </c>
      <c r="H1210" s="7">
        <v>2342</v>
      </c>
      <c r="I1210" s="7">
        <v>880</v>
      </c>
      <c r="J1210" s="7">
        <v>0</v>
      </c>
      <c r="K1210" s="7" t="s">
        <v>18</v>
      </c>
      <c r="L1210" s="8">
        <v>39987.315405092595</v>
      </c>
      <c r="M1210" s="9" t="s">
        <v>19</v>
      </c>
      <c r="N1210" s="9" t="s">
        <v>20</v>
      </c>
      <c r="O1210" s="6" t="str">
        <f>HYPERLINK("https://pbs.twimg.com/profile_images/962471262747529216/Uo8lOkRJ_normal.jpg","View")</f>
        <v>View</v>
      </c>
      <c r="P1210" s="7"/>
    </row>
    <row r="1211" spans="1:16">
      <c r="A1211" s="3">
        <v>43844.054444444446</v>
      </c>
      <c r="B1211" s="4" t="str">
        <f>HYPERLINK("https://twitter.com/petrogustavo","@petrogustavo")</f>
        <v>@petrogustavo</v>
      </c>
      <c r="C1211" s="5" t="s">
        <v>16</v>
      </c>
      <c r="D1211" s="5" t="s">
        <v>1195</v>
      </c>
      <c r="E1211" s="6" t="str">
        <f>HYPERLINK("https://twitter.com/petrogustavo/status/1216809239127252994","1216809239127252994")</f>
        <v>1216809239127252994</v>
      </c>
      <c r="F1211" s="7" t="s">
        <v>32</v>
      </c>
      <c r="G1211" s="7">
        <v>3607338</v>
      </c>
      <c r="H1211" s="7">
        <v>2343</v>
      </c>
      <c r="I1211" s="7">
        <v>104</v>
      </c>
      <c r="J1211" s="7">
        <v>196</v>
      </c>
      <c r="K1211" s="7" t="s">
        <v>18</v>
      </c>
      <c r="L1211" s="8">
        <v>39987.315405092595</v>
      </c>
      <c r="M1211" s="9" t="s">
        <v>19</v>
      </c>
      <c r="N1211" s="9" t="s">
        <v>20</v>
      </c>
      <c r="O1211" s="6" t="str">
        <f>HYPERLINK("https://pbs.twimg.com/profile_images/962471262747529216/Uo8lOkRJ_normal.jpg","View")</f>
        <v>View</v>
      </c>
      <c r="P1211" s="7"/>
    </row>
    <row r="1212" spans="1:16">
      <c r="A1212" s="3">
        <v>43844.054872685185</v>
      </c>
      <c r="B1212" s="4" t="str">
        <f>HYPERLINK("https://twitter.com/petrogustavo","@petrogustavo")</f>
        <v>@petrogustavo</v>
      </c>
      <c r="C1212" s="5" t="s">
        <v>16</v>
      </c>
      <c r="D1212" s="5" t="s">
        <v>1196</v>
      </c>
      <c r="E1212" s="6" t="str">
        <f>HYPERLINK("https://twitter.com/petrogustavo/status/1216809392504561664","1216809392504561664")</f>
        <v>1216809392504561664</v>
      </c>
      <c r="F1212" s="7" t="s">
        <v>32</v>
      </c>
      <c r="G1212" s="7">
        <v>3607338</v>
      </c>
      <c r="H1212" s="7">
        <v>2343</v>
      </c>
      <c r="I1212" s="7">
        <v>667</v>
      </c>
      <c r="J1212" s="7">
        <v>0</v>
      </c>
      <c r="K1212" s="7" t="s">
        <v>18</v>
      </c>
      <c r="L1212" s="8">
        <v>39987.315405092595</v>
      </c>
      <c r="M1212" s="9" t="s">
        <v>19</v>
      </c>
      <c r="N1212" s="9" t="s">
        <v>20</v>
      </c>
      <c r="O1212" s="6" t="str">
        <f>HYPERLINK("https://pbs.twimg.com/profile_images/962471262747529216/Uo8lOkRJ_normal.jpg","View")</f>
        <v>View</v>
      </c>
      <c r="P1212" s="7"/>
    </row>
    <row r="1213" spans="1:16">
      <c r="A1213" s="3">
        <v>43844.057812500003</v>
      </c>
      <c r="B1213" s="4" t="str">
        <f>HYPERLINK("https://twitter.com/petrogustavo","@petrogustavo")</f>
        <v>@petrogustavo</v>
      </c>
      <c r="C1213" s="5" t="s">
        <v>16</v>
      </c>
      <c r="D1213" s="5" t="s">
        <v>1197</v>
      </c>
      <c r="E1213" s="6" t="str">
        <f>HYPERLINK("https://twitter.com/petrogustavo/status/1216810459866767367","1216810459866767367")</f>
        <v>1216810459866767367</v>
      </c>
      <c r="F1213" s="7" t="s">
        <v>17</v>
      </c>
      <c r="G1213" s="7">
        <v>3607338</v>
      </c>
      <c r="H1213" s="7">
        <v>2343</v>
      </c>
      <c r="I1213" s="7">
        <v>127</v>
      </c>
      <c r="J1213" s="7">
        <v>391</v>
      </c>
      <c r="K1213" s="7" t="s">
        <v>18</v>
      </c>
      <c r="L1213" s="8">
        <v>39987.315405092595</v>
      </c>
      <c r="M1213" s="9" t="s">
        <v>19</v>
      </c>
      <c r="N1213" s="9" t="s">
        <v>20</v>
      </c>
      <c r="O1213" s="6" t="str">
        <f>HYPERLINK("https://pbs.twimg.com/profile_images/962471262747529216/Uo8lOkRJ_normal.jpg","View")</f>
        <v>View</v>
      </c>
      <c r="P1213" s="7"/>
    </row>
    <row r="1214" spans="1:16">
      <c r="A1214" s="3">
        <v>43844.085162037038</v>
      </c>
      <c r="B1214" s="4" t="str">
        <f>HYPERLINK("https://twitter.com/petrogustavo","@petrogustavo")</f>
        <v>@petrogustavo</v>
      </c>
      <c r="C1214" s="5" t="s">
        <v>16</v>
      </c>
      <c r="D1214" s="5" t="s">
        <v>1198</v>
      </c>
      <c r="E1214" s="6" t="str">
        <f>HYPERLINK("https://twitter.com/petrogustavo/status/1216820368842858496","1216820368842858496")</f>
        <v>1216820368842858496</v>
      </c>
      <c r="F1214" s="7" t="s">
        <v>17</v>
      </c>
      <c r="G1214" s="7">
        <v>3607374</v>
      </c>
      <c r="H1214" s="7">
        <v>2343</v>
      </c>
      <c r="I1214" s="7">
        <v>58</v>
      </c>
      <c r="J1214" s="7">
        <v>98</v>
      </c>
      <c r="K1214" s="7" t="s">
        <v>18</v>
      </c>
      <c r="L1214" s="8">
        <v>39987.315405092595</v>
      </c>
      <c r="M1214" s="9" t="s">
        <v>19</v>
      </c>
      <c r="N1214" s="9" t="s">
        <v>20</v>
      </c>
      <c r="O1214" s="6" t="str">
        <f>HYPERLINK("https://pbs.twimg.com/profile_images/962471262747529216/Uo8lOkRJ_normal.jpg","View")</f>
        <v>View</v>
      </c>
      <c r="P1214" s="7"/>
    </row>
    <row r="1215" spans="1:16">
      <c r="A1215" s="3">
        <v>43844.106493055559</v>
      </c>
      <c r="B1215" s="4" t="str">
        <f>HYPERLINK("https://twitter.com/petrogustavo","@petrogustavo")</f>
        <v>@petrogustavo</v>
      </c>
      <c r="C1215" s="5" t="s">
        <v>16</v>
      </c>
      <c r="D1215" s="5" t="s">
        <v>1199</v>
      </c>
      <c r="E1215" s="6" t="str">
        <f>HYPERLINK("https://twitter.com/petrogustavo/status/1216828100635516928","1216828100635516928")</f>
        <v>1216828100635516928</v>
      </c>
      <c r="F1215" s="7" t="s">
        <v>17</v>
      </c>
      <c r="G1215" s="7">
        <v>3607406</v>
      </c>
      <c r="H1215" s="7">
        <v>2343</v>
      </c>
      <c r="I1215" s="7">
        <v>159</v>
      </c>
      <c r="J1215" s="7">
        <v>549</v>
      </c>
      <c r="K1215" s="7" t="s">
        <v>18</v>
      </c>
      <c r="L1215" s="8">
        <v>39987.315405092595</v>
      </c>
      <c r="M1215" s="9" t="s">
        <v>19</v>
      </c>
      <c r="N1215" s="9" t="s">
        <v>20</v>
      </c>
      <c r="O1215" s="6" t="str">
        <f>HYPERLINK("https://pbs.twimg.com/profile_images/962471262747529216/Uo8lOkRJ_normal.jpg","View")</f>
        <v>View</v>
      </c>
      <c r="P1215" s="7"/>
    </row>
    <row r="1216" spans="1:16">
      <c r="A1216" s="3">
        <v>43844.114062499997</v>
      </c>
      <c r="B1216" s="4" t="str">
        <f>HYPERLINK("https://twitter.com/petrogustavo","@petrogustavo")</f>
        <v>@petrogustavo</v>
      </c>
      <c r="C1216" s="5" t="s">
        <v>16</v>
      </c>
      <c r="D1216" s="5" t="s">
        <v>1200</v>
      </c>
      <c r="E1216" s="6" t="str">
        <f>HYPERLINK("https://twitter.com/petrogustavo/status/1216830843123093505","1216830843123093505")</f>
        <v>1216830843123093505</v>
      </c>
      <c r="F1216" s="7" t="s">
        <v>17</v>
      </c>
      <c r="G1216" s="7">
        <v>3607406</v>
      </c>
      <c r="H1216" s="7">
        <v>2343</v>
      </c>
      <c r="I1216" s="7">
        <v>12</v>
      </c>
      <c r="J1216" s="7">
        <v>57</v>
      </c>
      <c r="K1216" s="7" t="s">
        <v>18</v>
      </c>
      <c r="L1216" s="8">
        <v>39987.315405092595</v>
      </c>
      <c r="M1216" s="9" t="s">
        <v>19</v>
      </c>
      <c r="N1216" s="9" t="s">
        <v>20</v>
      </c>
      <c r="O1216" s="6" t="str">
        <f>HYPERLINK("https://pbs.twimg.com/profile_images/962471262747529216/Uo8lOkRJ_normal.jpg","View")</f>
        <v>View</v>
      </c>
      <c r="P1216" s="7"/>
    </row>
    <row r="1217" spans="1:16">
      <c r="A1217" s="3">
        <v>43844.116585648153</v>
      </c>
      <c r="B1217" s="4" t="str">
        <f>HYPERLINK("https://twitter.com/petrogustavo","@petrogustavo")</f>
        <v>@petrogustavo</v>
      </c>
      <c r="C1217" s="5" t="s">
        <v>16</v>
      </c>
      <c r="D1217" s="5" t="s">
        <v>1201</v>
      </c>
      <c r="E1217" s="6" t="str">
        <f>HYPERLINK("https://twitter.com/petrogustavo/status/1216831757590372353","1216831757590372353")</f>
        <v>1216831757590372353</v>
      </c>
      <c r="F1217" s="7" t="s">
        <v>17</v>
      </c>
      <c r="G1217" s="7">
        <v>3607440</v>
      </c>
      <c r="H1217" s="7">
        <v>2343</v>
      </c>
      <c r="I1217" s="7">
        <v>226</v>
      </c>
      <c r="J1217" s="7">
        <v>548</v>
      </c>
      <c r="K1217" s="7" t="s">
        <v>18</v>
      </c>
      <c r="L1217" s="8">
        <v>39987.315405092595</v>
      </c>
      <c r="M1217" s="9" t="s">
        <v>19</v>
      </c>
      <c r="N1217" s="9" t="s">
        <v>20</v>
      </c>
      <c r="O1217" s="6" t="str">
        <f>HYPERLINK("https://pbs.twimg.com/profile_images/962471262747529216/Uo8lOkRJ_normal.jpg","View")</f>
        <v>View</v>
      </c>
      <c r="P1217" s="7"/>
    </row>
    <row r="1218" spans="1:16">
      <c r="A1218" s="3">
        <v>43844.143090277779</v>
      </c>
      <c r="B1218" s="4" t="str">
        <f>HYPERLINK("https://twitter.com/petrogustavo","@petrogustavo")</f>
        <v>@petrogustavo</v>
      </c>
      <c r="C1218" s="5" t="s">
        <v>16</v>
      </c>
      <c r="D1218" s="5" t="s">
        <v>1202</v>
      </c>
      <c r="E1218" s="6" t="str">
        <f>HYPERLINK("https://twitter.com/petrogustavo/status/1216841364840894464","1216841364840894464")</f>
        <v>1216841364840894464</v>
      </c>
      <c r="F1218" s="7" t="s">
        <v>17</v>
      </c>
      <c r="G1218" s="7">
        <v>3607460</v>
      </c>
      <c r="H1218" s="7">
        <v>2343</v>
      </c>
      <c r="I1218" s="7">
        <v>157</v>
      </c>
      <c r="J1218" s="7">
        <v>252</v>
      </c>
      <c r="K1218" s="7" t="s">
        <v>18</v>
      </c>
      <c r="L1218" s="8">
        <v>39987.315405092595</v>
      </c>
      <c r="M1218" s="9" t="s">
        <v>19</v>
      </c>
      <c r="N1218" s="9" t="s">
        <v>20</v>
      </c>
      <c r="O1218" s="6" t="str">
        <f>HYPERLINK("https://pbs.twimg.com/profile_images/962471262747529216/Uo8lOkRJ_normal.jpg","View")</f>
        <v>View</v>
      </c>
      <c r="P1218" s="7"/>
    </row>
    <row r="1219" spans="1:16">
      <c r="A1219" s="3">
        <v>43844.14671296296</v>
      </c>
      <c r="B1219" s="4" t="str">
        <f>HYPERLINK("https://twitter.com/petrogustavo","@petrogustavo")</f>
        <v>@petrogustavo</v>
      </c>
      <c r="C1219" s="5" t="s">
        <v>16</v>
      </c>
      <c r="D1219" s="5" t="s">
        <v>1203</v>
      </c>
      <c r="E1219" s="6" t="str">
        <f>HYPERLINK("https://twitter.com/petrogustavo/status/1216842677599207424","1216842677599207424")</f>
        <v>1216842677599207424</v>
      </c>
      <c r="F1219" s="7" t="s">
        <v>17</v>
      </c>
      <c r="G1219" s="7">
        <v>3607460</v>
      </c>
      <c r="H1219" s="7">
        <v>2343</v>
      </c>
      <c r="I1219" s="7">
        <v>83</v>
      </c>
      <c r="J1219" s="7">
        <v>209</v>
      </c>
      <c r="K1219" s="7" t="s">
        <v>18</v>
      </c>
      <c r="L1219" s="8">
        <v>39987.315405092595</v>
      </c>
      <c r="M1219" s="9" t="s">
        <v>19</v>
      </c>
      <c r="N1219" s="9" t="s">
        <v>20</v>
      </c>
      <c r="O1219" s="6" t="str">
        <f>HYPERLINK("https://pbs.twimg.com/profile_images/962471262747529216/Uo8lOkRJ_normal.jpg","View")</f>
        <v>View</v>
      </c>
      <c r="P1219" s="7"/>
    </row>
    <row r="1220" spans="1:16">
      <c r="A1220" s="3">
        <v>43844.146724537037</v>
      </c>
      <c r="B1220" s="4" t="str">
        <f>HYPERLINK("https://twitter.com/petrogustavo","@petrogustavo")</f>
        <v>@petrogustavo</v>
      </c>
      <c r="C1220" s="5" t="s">
        <v>16</v>
      </c>
      <c r="D1220" s="5" t="s">
        <v>1204</v>
      </c>
      <c r="E1220" s="6" t="str">
        <f>HYPERLINK("https://twitter.com/petrogustavo/status/1216842679222460431","1216842679222460431")</f>
        <v>1216842679222460431</v>
      </c>
      <c r="F1220" s="7" t="s">
        <v>17</v>
      </c>
      <c r="G1220" s="7">
        <v>3607460</v>
      </c>
      <c r="H1220" s="7">
        <v>2343</v>
      </c>
      <c r="I1220" s="7">
        <v>38</v>
      </c>
      <c r="J1220" s="7">
        <v>139</v>
      </c>
      <c r="K1220" s="7" t="s">
        <v>18</v>
      </c>
      <c r="L1220" s="8">
        <v>39987.315405092595</v>
      </c>
      <c r="M1220" s="9" t="s">
        <v>19</v>
      </c>
      <c r="N1220" s="9" t="s">
        <v>20</v>
      </c>
      <c r="O1220" s="6" t="str">
        <f>HYPERLINK("https://pbs.twimg.com/profile_images/962471262747529216/Uo8lOkRJ_normal.jpg","View")</f>
        <v>View</v>
      </c>
      <c r="P1220" s="7"/>
    </row>
    <row r="1221" spans="1:16">
      <c r="A1221" s="3">
        <v>43844.153113425928</v>
      </c>
      <c r="B1221" s="4" t="str">
        <f>HYPERLINK("https://twitter.com/petrogustavo","@petrogustavo")</f>
        <v>@petrogustavo</v>
      </c>
      <c r="C1221" s="5" t="s">
        <v>16</v>
      </c>
      <c r="D1221" s="5" t="s">
        <v>1205</v>
      </c>
      <c r="E1221" s="6" t="str">
        <f>HYPERLINK("https://twitter.com/petrogustavo/status/1216844993777762306","1216844993777762306")</f>
        <v>1216844993777762306</v>
      </c>
      <c r="F1221" s="7" t="s">
        <v>17</v>
      </c>
      <c r="G1221" s="7">
        <v>3607460</v>
      </c>
      <c r="H1221" s="7">
        <v>2343</v>
      </c>
      <c r="I1221" s="7">
        <v>372</v>
      </c>
      <c r="J1221" s="7">
        <v>0</v>
      </c>
      <c r="K1221" s="7" t="s">
        <v>18</v>
      </c>
      <c r="L1221" s="8">
        <v>39987.315405092595</v>
      </c>
      <c r="M1221" s="9" t="s">
        <v>19</v>
      </c>
      <c r="N1221" s="9" t="s">
        <v>20</v>
      </c>
      <c r="O1221" s="6" t="str">
        <f>HYPERLINK("https://pbs.twimg.com/profile_images/962471262747529216/Uo8lOkRJ_normal.jpg","View")</f>
        <v>View</v>
      </c>
      <c r="P1221" s="7"/>
    </row>
    <row r="1222" spans="1:16">
      <c r="A1222" s="3">
        <v>43844.153287037036</v>
      </c>
      <c r="B1222" s="4" t="str">
        <f>HYPERLINK("https://twitter.com/petrogustavo","@petrogustavo")</f>
        <v>@petrogustavo</v>
      </c>
      <c r="C1222" s="5" t="s">
        <v>16</v>
      </c>
      <c r="D1222" s="5" t="s">
        <v>1206</v>
      </c>
      <c r="E1222" s="6" t="str">
        <f>HYPERLINK("https://twitter.com/petrogustavo/status/1216845056625254400","1216845056625254400")</f>
        <v>1216845056625254400</v>
      </c>
      <c r="F1222" s="7" t="s">
        <v>17</v>
      </c>
      <c r="G1222" s="7">
        <v>3607460</v>
      </c>
      <c r="H1222" s="7">
        <v>2343</v>
      </c>
      <c r="I1222" s="7">
        <v>3505</v>
      </c>
      <c r="J1222" s="7">
        <v>0</v>
      </c>
      <c r="K1222" s="7" t="s">
        <v>18</v>
      </c>
      <c r="L1222" s="8">
        <v>39987.315405092595</v>
      </c>
      <c r="M1222" s="9" t="s">
        <v>19</v>
      </c>
      <c r="N1222" s="9" t="s">
        <v>20</v>
      </c>
      <c r="O1222" s="6" t="str">
        <f>HYPERLINK("https://pbs.twimg.com/profile_images/962471262747529216/Uo8lOkRJ_normal.jpg","View")</f>
        <v>View</v>
      </c>
      <c r="P1222" s="7"/>
    </row>
    <row r="1223" spans="1:16">
      <c r="A1223" s="3">
        <v>43844.16407407407</v>
      </c>
      <c r="B1223" s="4" t="str">
        <f>HYPERLINK("https://twitter.com/petrogustavo","@petrogustavo")</f>
        <v>@petrogustavo</v>
      </c>
      <c r="C1223" s="5" t="s">
        <v>16</v>
      </c>
      <c r="D1223" s="5" t="s">
        <v>1207</v>
      </c>
      <c r="E1223" s="6" t="str">
        <f>HYPERLINK("https://twitter.com/petrogustavo/status/1216848967243309056","1216848967243309056")</f>
        <v>1216848967243309056</v>
      </c>
      <c r="F1223" s="7" t="s">
        <v>17</v>
      </c>
      <c r="G1223" s="7">
        <v>3607493</v>
      </c>
      <c r="H1223" s="7">
        <v>2343</v>
      </c>
      <c r="I1223" s="7">
        <v>47</v>
      </c>
      <c r="J1223" s="7">
        <v>146</v>
      </c>
      <c r="K1223" s="7" t="s">
        <v>18</v>
      </c>
      <c r="L1223" s="8">
        <v>39987.315405092595</v>
      </c>
      <c r="M1223" s="9" t="s">
        <v>19</v>
      </c>
      <c r="N1223" s="9" t="s">
        <v>20</v>
      </c>
      <c r="O1223" s="6" t="str">
        <f>HYPERLINK("https://pbs.twimg.com/profile_images/962471262747529216/Uo8lOkRJ_normal.jpg","View")</f>
        <v>View</v>
      </c>
      <c r="P1223" s="7"/>
    </row>
    <row r="1224" spans="1:16">
      <c r="A1224" s="3">
        <v>43844.16407407407</v>
      </c>
      <c r="B1224" s="4" t="str">
        <f>HYPERLINK("https://twitter.com/petrogustavo","@petrogustavo")</f>
        <v>@petrogustavo</v>
      </c>
      <c r="C1224" s="5" t="s">
        <v>16</v>
      </c>
      <c r="D1224" s="5" t="s">
        <v>1208</v>
      </c>
      <c r="E1224" s="6" t="str">
        <f>HYPERLINK("https://twitter.com/petrogustavo/status/1216848968744865793","1216848968744865793")</f>
        <v>1216848968744865793</v>
      </c>
      <c r="F1224" s="7" t="s">
        <v>17</v>
      </c>
      <c r="G1224" s="7">
        <v>3607493</v>
      </c>
      <c r="H1224" s="7">
        <v>2343</v>
      </c>
      <c r="I1224" s="7">
        <v>9</v>
      </c>
      <c r="J1224" s="7">
        <v>47</v>
      </c>
      <c r="K1224" s="7" t="s">
        <v>18</v>
      </c>
      <c r="L1224" s="8">
        <v>39987.315405092595</v>
      </c>
      <c r="M1224" s="9" t="s">
        <v>19</v>
      </c>
      <c r="N1224" s="9" t="s">
        <v>20</v>
      </c>
      <c r="O1224" s="6" t="str">
        <f>HYPERLINK("https://pbs.twimg.com/profile_images/962471262747529216/Uo8lOkRJ_normal.jpg","View")</f>
        <v>View</v>
      </c>
      <c r="P1224" s="7"/>
    </row>
    <row r="1225" spans="1:16">
      <c r="A1225" s="3">
        <v>43844.164085648154</v>
      </c>
      <c r="B1225" s="4" t="str">
        <f>HYPERLINK("https://twitter.com/petrogustavo","@petrogustavo")</f>
        <v>@petrogustavo</v>
      </c>
      <c r="C1225" s="5" t="s">
        <v>16</v>
      </c>
      <c r="D1225" s="5" t="s">
        <v>1209</v>
      </c>
      <c r="E1225" s="6" t="str">
        <f>HYPERLINK("https://twitter.com/petrogustavo/status/1216848970070269953","1216848970070269953")</f>
        <v>1216848970070269953</v>
      </c>
      <c r="F1225" s="7" t="s">
        <v>17</v>
      </c>
      <c r="G1225" s="7">
        <v>3607493</v>
      </c>
      <c r="H1225" s="7">
        <v>2343</v>
      </c>
      <c r="I1225" s="7">
        <v>8</v>
      </c>
      <c r="J1225" s="7">
        <v>34</v>
      </c>
      <c r="K1225" s="7" t="s">
        <v>18</v>
      </c>
      <c r="L1225" s="8">
        <v>39987.315405092595</v>
      </c>
      <c r="M1225" s="9" t="s">
        <v>19</v>
      </c>
      <c r="N1225" s="9" t="s">
        <v>20</v>
      </c>
      <c r="O1225" s="6" t="str">
        <f>HYPERLINK("https://pbs.twimg.com/profile_images/962471262747529216/Uo8lOkRJ_normal.jpg","View")</f>
        <v>View</v>
      </c>
      <c r="P1225" s="7"/>
    </row>
    <row r="1226" spans="1:16">
      <c r="A1226" s="3">
        <v>43844.164085648154</v>
      </c>
      <c r="B1226" s="4" t="str">
        <f>HYPERLINK("https://twitter.com/petrogustavo","@petrogustavo")</f>
        <v>@petrogustavo</v>
      </c>
      <c r="C1226" s="5" t="s">
        <v>16</v>
      </c>
      <c r="D1226" s="5" t="s">
        <v>1210</v>
      </c>
      <c r="E1226" s="6" t="str">
        <f>HYPERLINK("https://twitter.com/petrogustavo/status/1216848971227893761","1216848971227893761")</f>
        <v>1216848971227893761</v>
      </c>
      <c r="F1226" s="7" t="s">
        <v>17</v>
      </c>
      <c r="G1226" s="7">
        <v>3607493</v>
      </c>
      <c r="H1226" s="7">
        <v>2343</v>
      </c>
      <c r="I1226" s="7">
        <v>28</v>
      </c>
      <c r="J1226" s="7">
        <v>94</v>
      </c>
      <c r="K1226" s="7" t="s">
        <v>18</v>
      </c>
      <c r="L1226" s="8">
        <v>39987.315405092595</v>
      </c>
      <c r="M1226" s="9" t="s">
        <v>19</v>
      </c>
      <c r="N1226" s="9" t="s">
        <v>20</v>
      </c>
      <c r="O1226" s="6" t="str">
        <f>HYPERLINK("https://pbs.twimg.com/profile_images/962471262747529216/Uo8lOkRJ_normal.jpg","View")</f>
        <v>View</v>
      </c>
      <c r="P1226" s="7"/>
    </row>
    <row r="1227" spans="1:16">
      <c r="A1227" s="3">
        <v>43844.164085648154</v>
      </c>
      <c r="B1227" s="4" t="str">
        <f>HYPERLINK("https://twitter.com/petrogustavo","@petrogustavo")</f>
        <v>@petrogustavo</v>
      </c>
      <c r="C1227" s="5" t="s">
        <v>16</v>
      </c>
      <c r="D1227" s="5" t="s">
        <v>1211</v>
      </c>
      <c r="E1227" s="6" t="str">
        <f>HYPERLINK("https://twitter.com/petrogustavo/status/1216848972503011328","1216848972503011328")</f>
        <v>1216848972503011328</v>
      </c>
      <c r="F1227" s="7" t="s">
        <v>17</v>
      </c>
      <c r="G1227" s="7">
        <v>3607493</v>
      </c>
      <c r="H1227" s="7">
        <v>2343</v>
      </c>
      <c r="I1227" s="7">
        <v>30</v>
      </c>
      <c r="J1227" s="7">
        <v>109</v>
      </c>
      <c r="K1227" s="7" t="s">
        <v>18</v>
      </c>
      <c r="L1227" s="8">
        <v>39987.315405092595</v>
      </c>
      <c r="M1227" s="9" t="s">
        <v>19</v>
      </c>
      <c r="N1227" s="9" t="s">
        <v>20</v>
      </c>
      <c r="O1227" s="6" t="str">
        <f>HYPERLINK("https://pbs.twimg.com/profile_images/962471262747529216/Uo8lOkRJ_normal.jpg","View")</f>
        <v>View</v>
      </c>
      <c r="P1227" s="7"/>
    </row>
    <row r="1228" spans="1:16">
      <c r="A1228" s="3">
        <v>43844.164837962962</v>
      </c>
      <c r="B1228" s="4" t="str">
        <f>HYPERLINK("https://twitter.com/petrogustavo","@petrogustavo")</f>
        <v>@petrogustavo</v>
      </c>
      <c r="C1228" s="5" t="s">
        <v>16</v>
      </c>
      <c r="D1228" s="5" t="s">
        <v>1212</v>
      </c>
      <c r="E1228" s="6" t="str">
        <f>HYPERLINK("https://twitter.com/petrogustavo/status/1216849245355069445","1216849245355069445")</f>
        <v>1216849245355069445</v>
      </c>
      <c r="F1228" s="7" t="s">
        <v>17</v>
      </c>
      <c r="G1228" s="7">
        <v>3607493</v>
      </c>
      <c r="H1228" s="7">
        <v>2343</v>
      </c>
      <c r="I1228" s="7">
        <v>255</v>
      </c>
      <c r="J1228" s="7">
        <v>0</v>
      </c>
      <c r="K1228" s="7" t="s">
        <v>18</v>
      </c>
      <c r="L1228" s="8">
        <v>39987.315405092595</v>
      </c>
      <c r="M1228" s="9" t="s">
        <v>19</v>
      </c>
      <c r="N1228" s="9" t="s">
        <v>20</v>
      </c>
      <c r="O1228" s="6" t="str">
        <f>HYPERLINK("https://pbs.twimg.com/profile_images/962471262747529216/Uo8lOkRJ_normal.jpg","View")</f>
        <v>View</v>
      </c>
      <c r="P1228" s="7"/>
    </row>
    <row r="1229" spans="1:16">
      <c r="A1229" s="3">
        <v>43844.370590277773</v>
      </c>
      <c r="B1229" s="4" t="str">
        <f>HYPERLINK("https://twitter.com/petrogustavo","@petrogustavo")</f>
        <v>@petrogustavo</v>
      </c>
      <c r="C1229" s="5" t="s">
        <v>16</v>
      </c>
      <c r="D1229" s="5" t="s">
        <v>1213</v>
      </c>
      <c r="E1229" s="6" t="str">
        <f>HYPERLINK("https://twitter.com/petrogustavo/status/1216923806356340737","1216923806356340737")</f>
        <v>1216923806356340737</v>
      </c>
      <c r="F1229" s="7" t="s">
        <v>32</v>
      </c>
      <c r="G1229" s="7">
        <v>3607795</v>
      </c>
      <c r="H1229" s="7">
        <v>2343</v>
      </c>
      <c r="I1229" s="7">
        <v>129</v>
      </c>
      <c r="J1229" s="7">
        <v>0</v>
      </c>
      <c r="K1229" s="7" t="s">
        <v>18</v>
      </c>
      <c r="L1229" s="8">
        <v>39987.315405092595</v>
      </c>
      <c r="M1229" s="9" t="s">
        <v>19</v>
      </c>
      <c r="N1229" s="9" t="s">
        <v>20</v>
      </c>
      <c r="O1229" s="6" t="str">
        <f>HYPERLINK("https://pbs.twimg.com/profile_images/962471262747529216/Uo8lOkRJ_normal.jpg","View")</f>
        <v>View</v>
      </c>
      <c r="P1229" s="7"/>
    </row>
    <row r="1230" spans="1:16">
      <c r="A1230" s="3">
        <v>43844.374120370368</v>
      </c>
      <c r="B1230" s="4" t="str">
        <f>HYPERLINK("https://twitter.com/petrogustavo","@petrogustavo")</f>
        <v>@petrogustavo</v>
      </c>
      <c r="C1230" s="5" t="s">
        <v>16</v>
      </c>
      <c r="D1230" s="5" t="s">
        <v>1214</v>
      </c>
      <c r="E1230" s="6" t="str">
        <f>HYPERLINK("https://twitter.com/petrogustavo/status/1216925085526822912","1216925085526822912")</f>
        <v>1216925085526822912</v>
      </c>
      <c r="F1230" s="7" t="s">
        <v>32</v>
      </c>
      <c r="G1230" s="7">
        <v>3607795</v>
      </c>
      <c r="H1230" s="7">
        <v>2343</v>
      </c>
      <c r="I1230" s="7">
        <v>71</v>
      </c>
      <c r="J1230" s="7">
        <v>0</v>
      </c>
      <c r="K1230" s="7" t="s">
        <v>18</v>
      </c>
      <c r="L1230" s="8">
        <v>39987.315405092595</v>
      </c>
      <c r="M1230" s="9" t="s">
        <v>19</v>
      </c>
      <c r="N1230" s="9" t="s">
        <v>20</v>
      </c>
      <c r="O1230" s="6" t="str">
        <f>HYPERLINK("https://pbs.twimg.com/profile_images/962471262747529216/Uo8lOkRJ_normal.jpg","View")</f>
        <v>View</v>
      </c>
      <c r="P1230" s="7"/>
    </row>
    <row r="1231" spans="1:16">
      <c r="A1231" s="3">
        <v>43844.386469907404</v>
      </c>
      <c r="B1231" s="4" t="str">
        <f>HYPERLINK("https://twitter.com/petrogustavo","@petrogustavo")</f>
        <v>@petrogustavo</v>
      </c>
      <c r="C1231" s="5" t="s">
        <v>16</v>
      </c>
      <c r="D1231" s="5" t="s">
        <v>1215</v>
      </c>
      <c r="E1231" s="6" t="str">
        <f>HYPERLINK("https://twitter.com/petrogustavo/status/1216929562392547329","1216929562392547329")</f>
        <v>1216929562392547329</v>
      </c>
      <c r="F1231" s="7" t="s">
        <v>17</v>
      </c>
      <c r="G1231" s="7">
        <v>3607795</v>
      </c>
      <c r="H1231" s="7">
        <v>2343</v>
      </c>
      <c r="I1231" s="7">
        <v>2</v>
      </c>
      <c r="J1231" s="7">
        <v>19</v>
      </c>
      <c r="K1231" s="7" t="s">
        <v>18</v>
      </c>
      <c r="L1231" s="8">
        <v>39987.315405092595</v>
      </c>
      <c r="M1231" s="9" t="s">
        <v>19</v>
      </c>
      <c r="N1231" s="9" t="s">
        <v>20</v>
      </c>
      <c r="O1231" s="6" t="str">
        <f>HYPERLINK("https://pbs.twimg.com/profile_images/962471262747529216/Uo8lOkRJ_normal.jpg","View")</f>
        <v>View</v>
      </c>
      <c r="P1231" s="7"/>
    </row>
    <row r="1232" spans="1:16">
      <c r="A1232" s="3">
        <v>43844.392337962963</v>
      </c>
      <c r="B1232" s="4" t="str">
        <f>HYPERLINK("https://twitter.com/petrogustavo","@petrogustavo")</f>
        <v>@petrogustavo</v>
      </c>
      <c r="C1232" s="5" t="s">
        <v>16</v>
      </c>
      <c r="D1232" s="5" t="s">
        <v>1216</v>
      </c>
      <c r="E1232" s="6" t="str">
        <f>HYPERLINK("https://twitter.com/petrogustavo/status/1216931686413455361","1216931686413455361")</f>
        <v>1216931686413455361</v>
      </c>
      <c r="F1232" s="7" t="s">
        <v>17</v>
      </c>
      <c r="G1232" s="7">
        <v>3607827</v>
      </c>
      <c r="H1232" s="7">
        <v>2343</v>
      </c>
      <c r="I1232" s="7">
        <v>50</v>
      </c>
      <c r="J1232" s="7">
        <v>0</v>
      </c>
      <c r="K1232" s="7" t="s">
        <v>18</v>
      </c>
      <c r="L1232" s="8">
        <v>39987.315405092595</v>
      </c>
      <c r="M1232" s="9" t="s">
        <v>19</v>
      </c>
      <c r="N1232" s="9" t="s">
        <v>20</v>
      </c>
      <c r="O1232" s="6" t="str">
        <f>HYPERLINK("https://pbs.twimg.com/profile_images/962471262747529216/Uo8lOkRJ_normal.jpg","View")</f>
        <v>View</v>
      </c>
      <c r="P1232" s="7"/>
    </row>
    <row r="1233" spans="1:16">
      <c r="A1233" s="3">
        <v>43844.393726851849</v>
      </c>
      <c r="B1233" s="4" t="str">
        <f>HYPERLINK("https://twitter.com/petrogustavo","@petrogustavo")</f>
        <v>@petrogustavo</v>
      </c>
      <c r="C1233" s="5" t="s">
        <v>16</v>
      </c>
      <c r="D1233" s="5" t="s">
        <v>1217</v>
      </c>
      <c r="E1233" s="6" t="str">
        <f>HYPERLINK("https://twitter.com/petrogustavo/status/1216932192309387264","1216932192309387264")</f>
        <v>1216932192309387264</v>
      </c>
      <c r="F1233" s="7" t="s">
        <v>17</v>
      </c>
      <c r="G1233" s="7">
        <v>3607827</v>
      </c>
      <c r="H1233" s="7">
        <v>2343</v>
      </c>
      <c r="I1233" s="7">
        <v>233</v>
      </c>
      <c r="J1233" s="7">
        <v>348</v>
      </c>
      <c r="K1233" s="7" t="s">
        <v>18</v>
      </c>
      <c r="L1233" s="8">
        <v>39987.315405092595</v>
      </c>
      <c r="M1233" s="9" t="s">
        <v>19</v>
      </c>
      <c r="N1233" s="9" t="s">
        <v>20</v>
      </c>
      <c r="O1233" s="6" t="str">
        <f>HYPERLINK("https://pbs.twimg.com/profile_images/962471262747529216/Uo8lOkRJ_normal.jpg","View")</f>
        <v>View</v>
      </c>
      <c r="P1233" s="7"/>
    </row>
    <row r="1234" spans="1:16">
      <c r="A1234" s="3">
        <v>43844.744525462964</v>
      </c>
      <c r="B1234" s="4" t="str">
        <f>HYPERLINK("https://twitter.com/petrogustavo","@petrogustavo")</f>
        <v>@petrogustavo</v>
      </c>
      <c r="C1234" s="5" t="s">
        <v>16</v>
      </c>
      <c r="D1234" s="5" t="s">
        <v>1218</v>
      </c>
      <c r="E1234" s="6" t="str">
        <f>HYPERLINK("https://twitter.com/petrogustavo/status/1217059315573559302","1217059315573559302")</f>
        <v>1217059315573559302</v>
      </c>
      <c r="F1234" s="7" t="s">
        <v>17</v>
      </c>
      <c r="G1234" s="7">
        <v>3607977</v>
      </c>
      <c r="H1234" s="7">
        <v>2344</v>
      </c>
      <c r="I1234" s="7">
        <v>2357</v>
      </c>
      <c r="J1234" s="7">
        <v>0</v>
      </c>
      <c r="K1234" s="7" t="s">
        <v>18</v>
      </c>
      <c r="L1234" s="8">
        <v>39987.315405092595</v>
      </c>
      <c r="M1234" s="9" t="s">
        <v>19</v>
      </c>
      <c r="N1234" s="9" t="s">
        <v>20</v>
      </c>
      <c r="O1234" s="6" t="str">
        <f>HYPERLINK("https://pbs.twimg.com/profile_images/962471262747529216/Uo8lOkRJ_normal.jpg","View")</f>
        <v>View</v>
      </c>
      <c r="P1234" s="7"/>
    </row>
    <row r="1235" spans="1:16">
      <c r="A1235" s="3">
        <v>43844.74490740741</v>
      </c>
      <c r="B1235" s="4" t="str">
        <f>HYPERLINK("https://twitter.com/petrogustavo","@petrogustavo")</f>
        <v>@petrogustavo</v>
      </c>
      <c r="C1235" s="5" t="s">
        <v>16</v>
      </c>
      <c r="D1235" s="5" t="s">
        <v>1219</v>
      </c>
      <c r="E1235" s="6" t="str">
        <f>HYPERLINK("https://twitter.com/petrogustavo/status/1217059453511569409","1217059453511569409")</f>
        <v>1217059453511569409</v>
      </c>
      <c r="F1235" s="7" t="s">
        <v>17</v>
      </c>
      <c r="G1235" s="7">
        <v>3607977</v>
      </c>
      <c r="H1235" s="7">
        <v>2344</v>
      </c>
      <c r="I1235" s="7">
        <v>2956</v>
      </c>
      <c r="J1235" s="7">
        <v>0</v>
      </c>
      <c r="K1235" s="7" t="s">
        <v>18</v>
      </c>
      <c r="L1235" s="8">
        <v>39987.315405092595</v>
      </c>
      <c r="M1235" s="9" t="s">
        <v>19</v>
      </c>
      <c r="N1235" s="9" t="s">
        <v>20</v>
      </c>
      <c r="O1235" s="6" t="str">
        <f>HYPERLINK("https://pbs.twimg.com/profile_images/962471262747529216/Uo8lOkRJ_normal.jpg","View")</f>
        <v>View</v>
      </c>
      <c r="P1235" s="7"/>
    </row>
    <row r="1236" spans="1:16">
      <c r="A1236" s="3">
        <v>43844.745636574073</v>
      </c>
      <c r="B1236" s="4" t="str">
        <f>HYPERLINK("https://twitter.com/petrogustavo","@petrogustavo")</f>
        <v>@petrogustavo</v>
      </c>
      <c r="C1236" s="5" t="s">
        <v>16</v>
      </c>
      <c r="D1236" s="5" t="s">
        <v>1220</v>
      </c>
      <c r="E1236" s="6" t="str">
        <f>HYPERLINK("https://twitter.com/petrogustavo/status/1217059720495800322","1217059720495800322")</f>
        <v>1217059720495800322</v>
      </c>
      <c r="F1236" s="7" t="s">
        <v>17</v>
      </c>
      <c r="G1236" s="7">
        <v>3607977</v>
      </c>
      <c r="H1236" s="7">
        <v>2344</v>
      </c>
      <c r="I1236" s="7">
        <v>995</v>
      </c>
      <c r="J1236" s="7">
        <v>0</v>
      </c>
      <c r="K1236" s="7" t="s">
        <v>18</v>
      </c>
      <c r="L1236" s="8">
        <v>39987.315405092595</v>
      </c>
      <c r="M1236" s="9" t="s">
        <v>19</v>
      </c>
      <c r="N1236" s="9" t="s">
        <v>20</v>
      </c>
      <c r="O1236" s="6" t="str">
        <f>HYPERLINK("https://pbs.twimg.com/profile_images/962471262747529216/Uo8lOkRJ_normal.jpg","View")</f>
        <v>View</v>
      </c>
      <c r="P1236" s="7"/>
    </row>
    <row r="1237" spans="1:16">
      <c r="A1237" s="3">
        <v>43844.74894675926</v>
      </c>
      <c r="B1237" s="4" t="str">
        <f>HYPERLINK("https://twitter.com/petrogustavo","@petrogustavo")</f>
        <v>@petrogustavo</v>
      </c>
      <c r="C1237" s="5" t="s">
        <v>16</v>
      </c>
      <c r="D1237" s="5" t="s">
        <v>1221</v>
      </c>
      <c r="E1237" s="6" t="str">
        <f>HYPERLINK("https://twitter.com/petrogustavo/status/1217060920209412097","1217060920209412097")</f>
        <v>1217060920209412097</v>
      </c>
      <c r="F1237" s="7" t="s">
        <v>17</v>
      </c>
      <c r="G1237" s="7">
        <v>3607977</v>
      </c>
      <c r="H1237" s="7">
        <v>2344</v>
      </c>
      <c r="I1237" s="7">
        <v>81</v>
      </c>
      <c r="J1237" s="7">
        <v>0</v>
      </c>
      <c r="K1237" s="7" t="s">
        <v>18</v>
      </c>
      <c r="L1237" s="8">
        <v>39987.315405092595</v>
      </c>
      <c r="M1237" s="9" t="s">
        <v>19</v>
      </c>
      <c r="N1237" s="9" t="s">
        <v>20</v>
      </c>
      <c r="O1237" s="6" t="str">
        <f>HYPERLINK("https://pbs.twimg.com/profile_images/962471262747529216/Uo8lOkRJ_normal.jpg","View")</f>
        <v>View</v>
      </c>
      <c r="P1237" s="7"/>
    </row>
    <row r="1238" spans="1:16">
      <c r="A1238" s="3">
        <v>43844.755682870367</v>
      </c>
      <c r="B1238" s="4" t="str">
        <f>HYPERLINK("https://twitter.com/petrogustavo","@petrogustavo")</f>
        <v>@petrogustavo</v>
      </c>
      <c r="C1238" s="5" t="s">
        <v>16</v>
      </c>
      <c r="D1238" s="5" t="s">
        <v>1222</v>
      </c>
      <c r="E1238" s="6" t="str">
        <f>HYPERLINK("https://twitter.com/petrogustavo/status/1217063359574618113","1217063359574618113")</f>
        <v>1217063359574618113</v>
      </c>
      <c r="F1238" s="7" t="s">
        <v>17</v>
      </c>
      <c r="G1238" s="7">
        <v>3607977</v>
      </c>
      <c r="H1238" s="7">
        <v>2344</v>
      </c>
      <c r="I1238" s="7">
        <v>84</v>
      </c>
      <c r="J1238" s="7">
        <v>212</v>
      </c>
      <c r="K1238" s="7" t="s">
        <v>18</v>
      </c>
      <c r="L1238" s="8">
        <v>39987.315405092595</v>
      </c>
      <c r="M1238" s="9" t="s">
        <v>19</v>
      </c>
      <c r="N1238" s="9" t="s">
        <v>20</v>
      </c>
      <c r="O1238" s="6" t="str">
        <f>HYPERLINK("https://pbs.twimg.com/profile_images/962471262747529216/Uo8lOkRJ_normal.jpg","View")</f>
        <v>View</v>
      </c>
      <c r="P1238" s="7"/>
    </row>
    <row r="1239" spans="1:16">
      <c r="A1239" s="3">
        <v>43844.759837962964</v>
      </c>
      <c r="B1239" s="4" t="str">
        <f>HYPERLINK("https://twitter.com/petrogustavo","@petrogustavo")</f>
        <v>@petrogustavo</v>
      </c>
      <c r="C1239" s="5" t="s">
        <v>16</v>
      </c>
      <c r="D1239" s="5" t="s">
        <v>1223</v>
      </c>
      <c r="E1239" s="6" t="str">
        <f>HYPERLINK("https://twitter.com/petrogustavo/status/1217064867103940609","1217064867103940609")</f>
        <v>1217064867103940609</v>
      </c>
      <c r="F1239" s="7" t="s">
        <v>17</v>
      </c>
      <c r="G1239" s="7">
        <v>3607977</v>
      </c>
      <c r="H1239" s="7">
        <v>2344</v>
      </c>
      <c r="I1239" s="7">
        <v>2579</v>
      </c>
      <c r="J1239" s="7">
        <v>0</v>
      </c>
      <c r="K1239" s="7" t="s">
        <v>18</v>
      </c>
      <c r="L1239" s="8">
        <v>39987.315405092595</v>
      </c>
      <c r="M1239" s="9" t="s">
        <v>19</v>
      </c>
      <c r="N1239" s="9" t="s">
        <v>20</v>
      </c>
      <c r="O1239" s="6" t="str">
        <f>HYPERLINK("https://pbs.twimg.com/profile_images/962471262747529216/Uo8lOkRJ_normal.jpg","View")</f>
        <v>View</v>
      </c>
      <c r="P1239" s="7"/>
    </row>
    <row r="1240" spans="1:16">
      <c r="A1240" s="3">
        <v>43844.762546296297</v>
      </c>
      <c r="B1240" s="4" t="str">
        <f>HYPERLINK("https://twitter.com/petrogustavo","@petrogustavo")</f>
        <v>@petrogustavo</v>
      </c>
      <c r="C1240" s="5" t="s">
        <v>16</v>
      </c>
      <c r="D1240" s="5" t="s">
        <v>1224</v>
      </c>
      <c r="E1240" s="6" t="str">
        <f>HYPERLINK("https://twitter.com/petrogustavo/status/1217065846343917568","1217065846343917568")</f>
        <v>1217065846343917568</v>
      </c>
      <c r="F1240" s="7" t="s">
        <v>17</v>
      </c>
      <c r="G1240" s="7">
        <v>3608002</v>
      </c>
      <c r="H1240" s="7">
        <v>2344</v>
      </c>
      <c r="I1240" s="7">
        <v>202</v>
      </c>
      <c r="J1240" s="7">
        <v>799</v>
      </c>
      <c r="K1240" s="7" t="s">
        <v>18</v>
      </c>
      <c r="L1240" s="8">
        <v>39987.315405092595</v>
      </c>
      <c r="M1240" s="9" t="s">
        <v>19</v>
      </c>
      <c r="N1240" s="9" t="s">
        <v>20</v>
      </c>
      <c r="O1240" s="6" t="str">
        <f>HYPERLINK("https://pbs.twimg.com/profile_images/962471262747529216/Uo8lOkRJ_normal.jpg","View")</f>
        <v>View</v>
      </c>
      <c r="P1240" s="7"/>
    </row>
    <row r="1241" spans="1:16">
      <c r="A1241" s="3">
        <v>43844.770243055551</v>
      </c>
      <c r="B1241" s="4" t="str">
        <f>HYPERLINK("https://twitter.com/petrogustavo","@petrogustavo")</f>
        <v>@petrogustavo</v>
      </c>
      <c r="C1241" s="5" t="s">
        <v>16</v>
      </c>
      <c r="D1241" s="5" t="s">
        <v>1225</v>
      </c>
      <c r="E1241" s="6" t="str">
        <f>HYPERLINK("https://twitter.com/petrogustavo/status/1217068634893365254","1217068634893365254")</f>
        <v>1217068634893365254</v>
      </c>
      <c r="F1241" s="7" t="s">
        <v>17</v>
      </c>
      <c r="G1241" s="7">
        <v>3608002</v>
      </c>
      <c r="H1241" s="7">
        <v>2344</v>
      </c>
      <c r="I1241" s="7">
        <v>118</v>
      </c>
      <c r="J1241" s="7">
        <v>287</v>
      </c>
      <c r="K1241" s="7" t="s">
        <v>18</v>
      </c>
      <c r="L1241" s="8">
        <v>39987.315405092595</v>
      </c>
      <c r="M1241" s="9" t="s">
        <v>19</v>
      </c>
      <c r="N1241" s="9" t="s">
        <v>20</v>
      </c>
      <c r="O1241" s="6" t="str">
        <f>HYPERLINK("https://pbs.twimg.com/profile_images/962471262747529216/Uo8lOkRJ_normal.jpg","View")</f>
        <v>View</v>
      </c>
      <c r="P1241" s="7"/>
    </row>
    <row r="1242" spans="1:16">
      <c r="A1242" s="3">
        <v>43844.773495370369</v>
      </c>
      <c r="B1242" s="4" t="str">
        <f>HYPERLINK("https://twitter.com/petrogustavo","@petrogustavo")</f>
        <v>@petrogustavo</v>
      </c>
      <c r="C1242" s="5" t="s">
        <v>16</v>
      </c>
      <c r="D1242" s="5" t="s">
        <v>1226</v>
      </c>
      <c r="E1242" s="6" t="str">
        <f>HYPERLINK("https://twitter.com/petrogustavo/status/1217069814168027136","1217069814168027136")</f>
        <v>1217069814168027136</v>
      </c>
      <c r="F1242" s="7" t="s">
        <v>17</v>
      </c>
      <c r="G1242" s="7">
        <v>3608002</v>
      </c>
      <c r="H1242" s="7">
        <v>2344</v>
      </c>
      <c r="I1242" s="7">
        <v>85</v>
      </c>
      <c r="J1242" s="7">
        <v>177</v>
      </c>
      <c r="K1242" s="7" t="s">
        <v>18</v>
      </c>
      <c r="L1242" s="8">
        <v>39987.315405092595</v>
      </c>
      <c r="M1242" s="9" t="s">
        <v>19</v>
      </c>
      <c r="N1242" s="9" t="s">
        <v>20</v>
      </c>
      <c r="O1242" s="6" t="str">
        <f>HYPERLINK("https://pbs.twimg.com/profile_images/962471262747529216/Uo8lOkRJ_normal.jpg","View")</f>
        <v>View</v>
      </c>
      <c r="P1242" s="7"/>
    </row>
    <row r="1243" spans="1:16">
      <c r="A1243" s="3">
        <v>43844.773900462962</v>
      </c>
      <c r="B1243" s="4" t="str">
        <f>HYPERLINK("https://twitter.com/petrogustavo","@petrogustavo")</f>
        <v>@petrogustavo</v>
      </c>
      <c r="C1243" s="5" t="s">
        <v>16</v>
      </c>
      <c r="D1243" s="5" t="s">
        <v>1227</v>
      </c>
      <c r="E1243" s="6" t="str">
        <f>HYPERLINK("https://twitter.com/petrogustavo/status/1217069959282614273","1217069959282614273")</f>
        <v>1217069959282614273</v>
      </c>
      <c r="F1243" s="7" t="s">
        <v>17</v>
      </c>
      <c r="G1243" s="7">
        <v>3608002</v>
      </c>
      <c r="H1243" s="7">
        <v>2344</v>
      </c>
      <c r="I1243" s="7">
        <v>81</v>
      </c>
      <c r="J1243" s="7">
        <v>0</v>
      </c>
      <c r="K1243" s="7" t="s">
        <v>18</v>
      </c>
      <c r="L1243" s="8">
        <v>39987.315405092595</v>
      </c>
      <c r="M1243" s="9" t="s">
        <v>19</v>
      </c>
      <c r="N1243" s="9" t="s">
        <v>20</v>
      </c>
      <c r="O1243" s="6" t="str">
        <f>HYPERLINK("https://pbs.twimg.com/profile_images/962471262747529216/Uo8lOkRJ_normal.jpg","View")</f>
        <v>View</v>
      </c>
      <c r="P1243" s="7"/>
    </row>
    <row r="1244" spans="1:16">
      <c r="A1244" s="3">
        <v>43844.784224537041</v>
      </c>
      <c r="B1244" s="4" t="str">
        <f>HYPERLINK("https://twitter.com/petrogustavo","@petrogustavo")</f>
        <v>@petrogustavo</v>
      </c>
      <c r="C1244" s="5" t="s">
        <v>16</v>
      </c>
      <c r="D1244" s="5" t="s">
        <v>1228</v>
      </c>
      <c r="E1244" s="6" t="str">
        <f>HYPERLINK("https://twitter.com/petrogustavo/status/1217073702342406144","1217073702342406144")</f>
        <v>1217073702342406144</v>
      </c>
      <c r="F1244" s="7" t="s">
        <v>17</v>
      </c>
      <c r="G1244" s="7">
        <v>3608021</v>
      </c>
      <c r="H1244" s="7">
        <v>2344</v>
      </c>
      <c r="I1244" s="7">
        <v>70</v>
      </c>
      <c r="J1244" s="7">
        <v>193</v>
      </c>
      <c r="K1244" s="7" t="s">
        <v>18</v>
      </c>
      <c r="L1244" s="8">
        <v>39987.315405092595</v>
      </c>
      <c r="M1244" s="9" t="s">
        <v>19</v>
      </c>
      <c r="N1244" s="9" t="s">
        <v>20</v>
      </c>
      <c r="O1244" s="6" t="str">
        <f>HYPERLINK("https://pbs.twimg.com/profile_images/962471262747529216/Uo8lOkRJ_normal.jpg","View")</f>
        <v>View</v>
      </c>
      <c r="P1244" s="7"/>
    </row>
    <row r="1245" spans="1:16">
      <c r="A1245" s="3">
        <v>43844.790497685186</v>
      </c>
      <c r="B1245" s="4" t="str">
        <f>HYPERLINK("https://twitter.com/petrogustavo","@petrogustavo")</f>
        <v>@petrogustavo</v>
      </c>
      <c r="C1245" s="5" t="s">
        <v>16</v>
      </c>
      <c r="D1245" s="5" t="s">
        <v>1229</v>
      </c>
      <c r="E1245" s="6" t="str">
        <f>HYPERLINK("https://twitter.com/petrogustavo/status/1217075977081311233","1217075977081311233")</f>
        <v>1217075977081311233</v>
      </c>
      <c r="F1245" s="7" t="s">
        <v>17</v>
      </c>
      <c r="G1245" s="7">
        <v>3608021</v>
      </c>
      <c r="H1245" s="7">
        <v>2344</v>
      </c>
      <c r="I1245" s="7">
        <v>4796</v>
      </c>
      <c r="J1245" s="7">
        <v>0</v>
      </c>
      <c r="K1245" s="7" t="s">
        <v>18</v>
      </c>
      <c r="L1245" s="8">
        <v>39987.315405092595</v>
      </c>
      <c r="M1245" s="9" t="s">
        <v>19</v>
      </c>
      <c r="N1245" s="9" t="s">
        <v>20</v>
      </c>
      <c r="O1245" s="6" t="str">
        <f>HYPERLINK("https://pbs.twimg.com/profile_images/962471262747529216/Uo8lOkRJ_normal.jpg","View")</f>
        <v>View</v>
      </c>
      <c r="P1245" s="7"/>
    </row>
    <row r="1246" spans="1:16">
      <c r="A1246" s="3">
        <v>43844.80060185185</v>
      </c>
      <c r="B1246" s="4" t="str">
        <f>HYPERLINK("https://twitter.com/petrogustavo","@petrogustavo")</f>
        <v>@petrogustavo</v>
      </c>
      <c r="C1246" s="5" t="s">
        <v>16</v>
      </c>
      <c r="D1246" s="5" t="s">
        <v>1230</v>
      </c>
      <c r="E1246" s="6" t="str">
        <f>HYPERLINK("https://twitter.com/petrogustavo/status/1217079637253197824","1217079637253197824")</f>
        <v>1217079637253197824</v>
      </c>
      <c r="F1246" s="7" t="s">
        <v>17</v>
      </c>
      <c r="G1246" s="7">
        <v>3608021</v>
      </c>
      <c r="H1246" s="7">
        <v>2344</v>
      </c>
      <c r="I1246" s="7">
        <v>25</v>
      </c>
      <c r="J1246" s="7">
        <v>0</v>
      </c>
      <c r="K1246" s="7" t="s">
        <v>18</v>
      </c>
      <c r="L1246" s="8">
        <v>39987.315405092595</v>
      </c>
      <c r="M1246" s="9" t="s">
        <v>19</v>
      </c>
      <c r="N1246" s="9" t="s">
        <v>20</v>
      </c>
      <c r="O1246" s="6" t="str">
        <f>HYPERLINK("https://pbs.twimg.com/profile_images/962471262747529216/Uo8lOkRJ_normal.jpg","View")</f>
        <v>View</v>
      </c>
      <c r="P1246" s="7"/>
    </row>
    <row r="1247" spans="1:16">
      <c r="A1247" s="3">
        <v>43844.801516203705</v>
      </c>
      <c r="B1247" s="4" t="str">
        <f>HYPERLINK("https://twitter.com/petrogustavo","@petrogustavo")</f>
        <v>@petrogustavo</v>
      </c>
      <c r="C1247" s="5" t="s">
        <v>16</v>
      </c>
      <c r="D1247" s="5" t="s">
        <v>1231</v>
      </c>
      <c r="E1247" s="6" t="str">
        <f>HYPERLINK("https://twitter.com/petrogustavo/status/1217079968443895808","1217079968443895808")</f>
        <v>1217079968443895808</v>
      </c>
      <c r="F1247" s="7" t="s">
        <v>17</v>
      </c>
      <c r="G1247" s="7">
        <v>3608021</v>
      </c>
      <c r="H1247" s="7">
        <v>2344</v>
      </c>
      <c r="I1247" s="7">
        <v>21</v>
      </c>
      <c r="J1247" s="7">
        <v>0</v>
      </c>
      <c r="K1247" s="7" t="s">
        <v>18</v>
      </c>
      <c r="L1247" s="8">
        <v>39987.315405092595</v>
      </c>
      <c r="M1247" s="9" t="s">
        <v>19</v>
      </c>
      <c r="N1247" s="9" t="s">
        <v>20</v>
      </c>
      <c r="O1247" s="6" t="str">
        <f>HYPERLINK("https://pbs.twimg.com/profile_images/962471262747529216/Uo8lOkRJ_normal.jpg","View")</f>
        <v>View</v>
      </c>
      <c r="P1247" s="7"/>
    </row>
    <row r="1248" spans="1:16">
      <c r="A1248" s="3">
        <v>43844.803784722222</v>
      </c>
      <c r="B1248" s="4" t="str">
        <f>HYPERLINK("https://twitter.com/petrogustavo","@petrogustavo")</f>
        <v>@petrogustavo</v>
      </c>
      <c r="C1248" s="5" t="s">
        <v>16</v>
      </c>
      <c r="D1248" s="5" t="s">
        <v>1232</v>
      </c>
      <c r="E1248" s="6" t="str">
        <f>HYPERLINK("https://twitter.com/petrogustavo/status/1217080790305120256","1217080790305120256")</f>
        <v>1217080790305120256</v>
      </c>
      <c r="F1248" s="7" t="s">
        <v>17</v>
      </c>
      <c r="G1248" s="7">
        <v>3608021</v>
      </c>
      <c r="H1248" s="7">
        <v>2344</v>
      </c>
      <c r="I1248" s="7">
        <v>2</v>
      </c>
      <c r="J1248" s="7">
        <v>3</v>
      </c>
      <c r="K1248" s="7" t="s">
        <v>18</v>
      </c>
      <c r="L1248" s="8">
        <v>39987.315405092595</v>
      </c>
      <c r="M1248" s="9" t="s">
        <v>19</v>
      </c>
      <c r="N1248" s="9" t="s">
        <v>20</v>
      </c>
      <c r="O1248" s="6" t="str">
        <f>HYPERLINK("https://pbs.twimg.com/profile_images/962471262747529216/Uo8lOkRJ_normal.jpg","View")</f>
        <v>View</v>
      </c>
      <c r="P1248" s="7"/>
    </row>
    <row r="1249" spans="1:16">
      <c r="A1249" s="3">
        <v>43844.804293981477</v>
      </c>
      <c r="B1249" s="4" t="str">
        <f>HYPERLINK("https://twitter.com/petrogustavo","@petrogustavo")</f>
        <v>@petrogustavo</v>
      </c>
      <c r="C1249" s="5" t="s">
        <v>16</v>
      </c>
      <c r="D1249" s="5" t="s">
        <v>1233</v>
      </c>
      <c r="E1249" s="6" t="str">
        <f>HYPERLINK("https://twitter.com/petrogustavo/status/1217080973650792448","1217080973650792448")</f>
        <v>1217080973650792448</v>
      </c>
      <c r="F1249" s="7" t="s">
        <v>17</v>
      </c>
      <c r="G1249" s="7">
        <v>3608053</v>
      </c>
      <c r="H1249" s="7">
        <v>2345</v>
      </c>
      <c r="I1249" s="7">
        <v>65</v>
      </c>
      <c r="J1249" s="7">
        <v>0</v>
      </c>
      <c r="K1249" s="7" t="s">
        <v>18</v>
      </c>
      <c r="L1249" s="8">
        <v>39987.315405092595</v>
      </c>
      <c r="M1249" s="9" t="s">
        <v>19</v>
      </c>
      <c r="N1249" s="9" t="s">
        <v>20</v>
      </c>
      <c r="O1249" s="6" t="str">
        <f>HYPERLINK("https://pbs.twimg.com/profile_images/962471262747529216/Uo8lOkRJ_normal.jpg","View")</f>
        <v>View</v>
      </c>
      <c r="P1249" s="7"/>
    </row>
    <row r="1250" spans="1:16">
      <c r="A1250" s="3">
        <v>43844.807615740741</v>
      </c>
      <c r="B1250" s="4" t="str">
        <f>HYPERLINK("https://twitter.com/petrogustavo","@petrogustavo")</f>
        <v>@petrogustavo</v>
      </c>
      <c r="C1250" s="5" t="s">
        <v>16</v>
      </c>
      <c r="D1250" s="5" t="s">
        <v>1234</v>
      </c>
      <c r="E1250" s="6" t="str">
        <f>HYPERLINK("https://twitter.com/petrogustavo/status/1217082178489610242","1217082178489610242")</f>
        <v>1217082178489610242</v>
      </c>
      <c r="F1250" s="7" t="s">
        <v>17</v>
      </c>
      <c r="G1250" s="7">
        <v>3608053</v>
      </c>
      <c r="H1250" s="7">
        <v>2345</v>
      </c>
      <c r="I1250" s="7">
        <v>31</v>
      </c>
      <c r="J1250" s="7">
        <v>101</v>
      </c>
      <c r="K1250" s="7" t="s">
        <v>18</v>
      </c>
      <c r="L1250" s="8">
        <v>39987.315405092595</v>
      </c>
      <c r="M1250" s="9" t="s">
        <v>19</v>
      </c>
      <c r="N1250" s="9" t="s">
        <v>20</v>
      </c>
      <c r="O1250" s="6" t="str">
        <f>HYPERLINK("https://pbs.twimg.com/profile_images/962471262747529216/Uo8lOkRJ_normal.jpg","View")</f>
        <v>View</v>
      </c>
      <c r="P1250" s="7"/>
    </row>
    <row r="1251" spans="1:16">
      <c r="A1251" s="3">
        <v>43844.814236111109</v>
      </c>
      <c r="B1251" s="4" t="str">
        <f>HYPERLINK("https://twitter.com/petrogustavo","@petrogustavo")</f>
        <v>@petrogustavo</v>
      </c>
      <c r="C1251" s="5" t="s">
        <v>16</v>
      </c>
      <c r="D1251" s="5" t="s">
        <v>1235</v>
      </c>
      <c r="E1251" s="6" t="str">
        <f>HYPERLINK("https://twitter.com/petrogustavo/status/1217084577820368896","1217084577820368896")</f>
        <v>1217084577820368896</v>
      </c>
      <c r="F1251" s="7" t="s">
        <v>17</v>
      </c>
      <c r="G1251" s="7">
        <v>3608053</v>
      </c>
      <c r="H1251" s="7">
        <v>2345</v>
      </c>
      <c r="I1251" s="7">
        <v>468</v>
      </c>
      <c r="J1251" s="7">
        <v>0</v>
      </c>
      <c r="K1251" s="7" t="s">
        <v>18</v>
      </c>
      <c r="L1251" s="8">
        <v>39987.315405092595</v>
      </c>
      <c r="M1251" s="9" t="s">
        <v>19</v>
      </c>
      <c r="N1251" s="9" t="s">
        <v>20</v>
      </c>
      <c r="O1251" s="6" t="str">
        <f>HYPERLINK("https://pbs.twimg.com/profile_images/962471262747529216/Uo8lOkRJ_normal.jpg","View")</f>
        <v>View</v>
      </c>
      <c r="P1251" s="7"/>
    </row>
    <row r="1252" spans="1:16">
      <c r="A1252" s="3">
        <v>43844.839236111111</v>
      </c>
      <c r="B1252" s="4" t="str">
        <f>HYPERLINK("https://twitter.com/petrogustavo","@petrogustavo")</f>
        <v>@petrogustavo</v>
      </c>
      <c r="C1252" s="5" t="s">
        <v>16</v>
      </c>
      <c r="D1252" s="5" t="s">
        <v>1236</v>
      </c>
      <c r="E1252" s="6" t="str">
        <f>HYPERLINK("https://twitter.com/petrogustavo/status/1217093637605068800","1217093637605068800")</f>
        <v>1217093637605068800</v>
      </c>
      <c r="F1252" s="7" t="s">
        <v>32</v>
      </c>
      <c r="G1252" s="7">
        <v>3608068</v>
      </c>
      <c r="H1252" s="7">
        <v>2345</v>
      </c>
      <c r="I1252" s="7">
        <v>18</v>
      </c>
      <c r="J1252" s="7">
        <v>0</v>
      </c>
      <c r="K1252" s="7" t="s">
        <v>18</v>
      </c>
      <c r="L1252" s="8">
        <v>39987.315405092595</v>
      </c>
      <c r="M1252" s="9" t="s">
        <v>19</v>
      </c>
      <c r="N1252" s="9" t="s">
        <v>20</v>
      </c>
      <c r="O1252" s="6" t="str">
        <f>HYPERLINK("https://pbs.twimg.com/profile_images/962471262747529216/Uo8lOkRJ_normal.jpg","View")</f>
        <v>View</v>
      </c>
      <c r="P1252" s="7"/>
    </row>
    <row r="1253" spans="1:16">
      <c r="A1253" s="3">
        <v>43844.846782407403</v>
      </c>
      <c r="B1253" s="4" t="str">
        <f>HYPERLINK("https://twitter.com/petrogustavo","@petrogustavo")</f>
        <v>@petrogustavo</v>
      </c>
      <c r="C1253" s="5" t="s">
        <v>16</v>
      </c>
      <c r="D1253" s="5" t="s">
        <v>1237</v>
      </c>
      <c r="E1253" s="6" t="str">
        <f>HYPERLINK("https://twitter.com/petrogustavo/status/1217096372828155904","1217096372828155904")</f>
        <v>1217096372828155904</v>
      </c>
      <c r="F1253" s="7" t="s">
        <v>32</v>
      </c>
      <c r="G1253" s="7">
        <v>3608092</v>
      </c>
      <c r="H1253" s="7">
        <v>2345</v>
      </c>
      <c r="I1253" s="7">
        <v>127</v>
      </c>
      <c r="J1253" s="7">
        <v>281</v>
      </c>
      <c r="K1253" s="7" t="s">
        <v>18</v>
      </c>
      <c r="L1253" s="8">
        <v>39987.315405092595</v>
      </c>
      <c r="M1253" s="9" t="s">
        <v>19</v>
      </c>
      <c r="N1253" s="9" t="s">
        <v>20</v>
      </c>
      <c r="O1253" s="6" t="str">
        <f>HYPERLINK("https://pbs.twimg.com/profile_images/962471262747529216/Uo8lOkRJ_normal.jpg","View")</f>
        <v>View</v>
      </c>
      <c r="P1253" s="7"/>
    </row>
    <row r="1254" spans="1:16">
      <c r="A1254" s="3">
        <v>43844.983715277776</v>
      </c>
      <c r="B1254" s="4" t="str">
        <f>HYPERLINK("https://twitter.com/petrogustavo","@petrogustavo")</f>
        <v>@petrogustavo</v>
      </c>
      <c r="C1254" s="5" t="s">
        <v>16</v>
      </c>
      <c r="D1254" s="5" t="s">
        <v>1238</v>
      </c>
      <c r="E1254" s="6" t="str">
        <f>HYPERLINK("https://twitter.com/petrogustavo/status/1217145995773075456","1217145995773075456")</f>
        <v>1217145995773075456</v>
      </c>
      <c r="F1254" s="7" t="s">
        <v>32</v>
      </c>
      <c r="G1254" s="7">
        <v>3608291</v>
      </c>
      <c r="H1254" s="7">
        <v>2345</v>
      </c>
      <c r="I1254" s="7">
        <v>1239</v>
      </c>
      <c r="J1254" s="7">
        <v>0</v>
      </c>
      <c r="K1254" s="7" t="s">
        <v>18</v>
      </c>
      <c r="L1254" s="8">
        <v>39987.315405092595</v>
      </c>
      <c r="M1254" s="9" t="s">
        <v>19</v>
      </c>
      <c r="N1254" s="9" t="s">
        <v>20</v>
      </c>
      <c r="O1254" s="6" t="str">
        <f>HYPERLINK("https://pbs.twimg.com/profile_images/962471262747529216/Uo8lOkRJ_normal.jpg","View")</f>
        <v>View</v>
      </c>
      <c r="P1254" s="7"/>
    </row>
    <row r="1255" spans="1:16">
      <c r="A1255" s="3">
        <v>43845.15420138889</v>
      </c>
      <c r="B1255" s="4" t="str">
        <f>HYPERLINK("https://twitter.com/petrogustavo","@petrogustavo")</f>
        <v>@petrogustavo</v>
      </c>
      <c r="C1255" s="5" t="s">
        <v>16</v>
      </c>
      <c r="D1255" s="5" t="s">
        <v>1239</v>
      </c>
      <c r="E1255" s="6" t="str">
        <f>HYPERLINK("https://twitter.com/petrogustavo/status/1217207777229254656","1217207777229254656")</f>
        <v>1217207777229254656</v>
      </c>
      <c r="F1255" s="7" t="s">
        <v>17</v>
      </c>
      <c r="G1255" s="7">
        <v>3608519</v>
      </c>
      <c r="H1255" s="7">
        <v>2344</v>
      </c>
      <c r="I1255" s="7">
        <v>729</v>
      </c>
      <c r="J1255" s="7">
        <v>0</v>
      </c>
      <c r="K1255" s="7" t="s">
        <v>18</v>
      </c>
      <c r="L1255" s="8">
        <v>39987.315405092595</v>
      </c>
      <c r="M1255" s="9" t="s">
        <v>19</v>
      </c>
      <c r="N1255" s="9" t="s">
        <v>20</v>
      </c>
      <c r="O1255" s="6" t="str">
        <f>HYPERLINK("https://pbs.twimg.com/profile_images/962471262747529216/Uo8lOkRJ_normal.jpg","View")</f>
        <v>View</v>
      </c>
      <c r="P1255" s="7"/>
    </row>
    <row r="1256" spans="1:16">
      <c r="A1256" s="3">
        <v>43845.27815972222</v>
      </c>
      <c r="B1256" s="4" t="str">
        <f>HYPERLINK("https://twitter.com/petrogustavo","@petrogustavo")</f>
        <v>@petrogustavo</v>
      </c>
      <c r="C1256" s="5" t="s">
        <v>16</v>
      </c>
      <c r="D1256" s="5" t="s">
        <v>1240</v>
      </c>
      <c r="E1256" s="6" t="str">
        <f>HYPERLINK("https://twitter.com/petrogustavo/status/1217252696920641536","1217252696920641536")</f>
        <v>1217252696920641536</v>
      </c>
      <c r="F1256" s="7" t="s">
        <v>17</v>
      </c>
      <c r="G1256" s="7">
        <v>3608677</v>
      </c>
      <c r="H1256" s="7">
        <v>2344</v>
      </c>
      <c r="I1256" s="7">
        <v>79</v>
      </c>
      <c r="J1256" s="7">
        <v>196</v>
      </c>
      <c r="K1256" s="7" t="s">
        <v>18</v>
      </c>
      <c r="L1256" s="8">
        <v>39987.315405092595</v>
      </c>
      <c r="M1256" s="9" t="s">
        <v>19</v>
      </c>
      <c r="N1256" s="9" t="s">
        <v>20</v>
      </c>
      <c r="O1256" s="6" t="str">
        <f>HYPERLINK("https://pbs.twimg.com/profile_images/962471262747529216/Uo8lOkRJ_normal.jpg","View")</f>
        <v>View</v>
      </c>
      <c r="P1256" s="7"/>
    </row>
    <row r="1257" spans="1:16">
      <c r="A1257" s="3">
        <v>43845.282569444447</v>
      </c>
      <c r="B1257" s="4" t="str">
        <f>HYPERLINK("https://twitter.com/petrogustavo","@petrogustavo")</f>
        <v>@petrogustavo</v>
      </c>
      <c r="C1257" s="5" t="s">
        <v>16</v>
      </c>
      <c r="D1257" s="5" t="s">
        <v>1241</v>
      </c>
      <c r="E1257" s="6" t="str">
        <f>HYPERLINK("https://twitter.com/petrogustavo/status/1217254298008072192","1217254298008072192")</f>
        <v>1217254298008072192</v>
      </c>
      <c r="F1257" s="7" t="s">
        <v>17</v>
      </c>
      <c r="G1257" s="7">
        <v>3608677</v>
      </c>
      <c r="H1257" s="7">
        <v>2344</v>
      </c>
      <c r="I1257" s="7">
        <v>0</v>
      </c>
      <c r="J1257" s="7">
        <v>2</v>
      </c>
      <c r="K1257" s="7" t="s">
        <v>18</v>
      </c>
      <c r="L1257" s="8">
        <v>39987.315405092595</v>
      </c>
      <c r="M1257" s="9" t="s">
        <v>19</v>
      </c>
      <c r="N1257" s="9" t="s">
        <v>20</v>
      </c>
      <c r="O1257" s="6" t="str">
        <f>HYPERLINK("https://pbs.twimg.com/profile_images/962471262747529216/Uo8lOkRJ_normal.jpg","View")</f>
        <v>View</v>
      </c>
      <c r="P1257" s="7"/>
    </row>
    <row r="1258" spans="1:16">
      <c r="A1258" s="3">
        <v>43845.720069444447</v>
      </c>
      <c r="B1258" s="4" t="str">
        <f>HYPERLINK("https://twitter.com/petrogustavo","@petrogustavo")</f>
        <v>@petrogustavo</v>
      </c>
      <c r="C1258" s="5" t="s">
        <v>16</v>
      </c>
      <c r="D1258" s="5" t="s">
        <v>1242</v>
      </c>
      <c r="E1258" s="6" t="str">
        <f>HYPERLINK("https://twitter.com/petrogustavo/status/1217412841810157568","1217412841810157568")</f>
        <v>1217412841810157568</v>
      </c>
      <c r="F1258" s="7" t="s">
        <v>17</v>
      </c>
      <c r="G1258" s="7">
        <v>3608975</v>
      </c>
      <c r="H1258" s="7">
        <v>2345</v>
      </c>
      <c r="I1258" s="7">
        <v>1</v>
      </c>
      <c r="J1258" s="7">
        <v>5</v>
      </c>
      <c r="K1258" s="7" t="s">
        <v>18</v>
      </c>
      <c r="L1258" s="8">
        <v>39987.315405092595</v>
      </c>
      <c r="M1258" s="9" t="s">
        <v>19</v>
      </c>
      <c r="N1258" s="9" t="s">
        <v>20</v>
      </c>
      <c r="O1258" s="6" t="str">
        <f>HYPERLINK("https://pbs.twimg.com/profile_images/962471262747529216/Uo8lOkRJ_normal.jpg","View")</f>
        <v>View</v>
      </c>
      <c r="P1258" s="7"/>
    </row>
    <row r="1259" spans="1:16">
      <c r="A1259" s="3">
        <v>43845.725648148145</v>
      </c>
      <c r="B1259" s="4" t="str">
        <f>HYPERLINK("https://twitter.com/petrogustavo","@petrogustavo")</f>
        <v>@petrogustavo</v>
      </c>
      <c r="C1259" s="5" t="s">
        <v>16</v>
      </c>
      <c r="D1259" s="5" t="s">
        <v>1243</v>
      </c>
      <c r="E1259" s="6" t="str">
        <f>HYPERLINK("https://twitter.com/petrogustavo/status/1217414864634818561","1217414864634818561")</f>
        <v>1217414864634818561</v>
      </c>
      <c r="F1259" s="7" t="s">
        <v>17</v>
      </c>
      <c r="G1259" s="7">
        <v>3608985</v>
      </c>
      <c r="H1259" s="7">
        <v>2345</v>
      </c>
      <c r="I1259" s="7">
        <v>5</v>
      </c>
      <c r="J1259" s="7">
        <v>0</v>
      </c>
      <c r="K1259" s="7" t="s">
        <v>18</v>
      </c>
      <c r="L1259" s="8">
        <v>39987.315405092595</v>
      </c>
      <c r="M1259" s="9" t="s">
        <v>19</v>
      </c>
      <c r="N1259" s="9" t="s">
        <v>20</v>
      </c>
      <c r="O1259" s="6" t="str">
        <f>HYPERLINK("https://pbs.twimg.com/profile_images/962471262747529216/Uo8lOkRJ_normal.jpg","View")</f>
        <v>View</v>
      </c>
      <c r="P1259" s="7"/>
    </row>
    <row r="1260" spans="1:16">
      <c r="A1260" s="3">
        <v>43845.725960648153</v>
      </c>
      <c r="B1260" s="4" t="str">
        <f>HYPERLINK("https://twitter.com/petrogustavo","@petrogustavo")</f>
        <v>@petrogustavo</v>
      </c>
      <c r="C1260" s="5" t="s">
        <v>16</v>
      </c>
      <c r="D1260" s="5" t="s">
        <v>1244</v>
      </c>
      <c r="E1260" s="6" t="str">
        <f>HYPERLINK("https://twitter.com/petrogustavo/status/1217414975419035649","1217414975419035649")</f>
        <v>1217414975419035649</v>
      </c>
      <c r="F1260" s="7" t="s">
        <v>17</v>
      </c>
      <c r="G1260" s="7">
        <v>3608985</v>
      </c>
      <c r="H1260" s="7">
        <v>2345</v>
      </c>
      <c r="I1260" s="7">
        <v>35</v>
      </c>
      <c r="J1260" s="7">
        <v>0</v>
      </c>
      <c r="K1260" s="7" t="s">
        <v>18</v>
      </c>
      <c r="L1260" s="8">
        <v>39987.315405092595</v>
      </c>
      <c r="M1260" s="9" t="s">
        <v>19</v>
      </c>
      <c r="N1260" s="9" t="s">
        <v>20</v>
      </c>
      <c r="O1260" s="6" t="str">
        <f>HYPERLINK("https://pbs.twimg.com/profile_images/962471262747529216/Uo8lOkRJ_normal.jpg","View")</f>
        <v>View</v>
      </c>
      <c r="P1260" s="7"/>
    </row>
    <row r="1261" spans="1:16">
      <c r="A1261" s="3">
        <v>43845.72819444444</v>
      </c>
      <c r="B1261" s="4" t="str">
        <f>HYPERLINK("https://twitter.com/petrogustavo","@petrogustavo")</f>
        <v>@petrogustavo</v>
      </c>
      <c r="C1261" s="5" t="s">
        <v>16</v>
      </c>
      <c r="D1261" s="5" t="s">
        <v>1245</v>
      </c>
      <c r="E1261" s="6" t="str">
        <f>HYPERLINK("https://twitter.com/petrogustavo/status/1217415787616620544","1217415787616620544")</f>
        <v>1217415787616620544</v>
      </c>
      <c r="F1261" s="7" t="s">
        <v>17</v>
      </c>
      <c r="G1261" s="7">
        <v>3608985</v>
      </c>
      <c r="H1261" s="7">
        <v>2345</v>
      </c>
      <c r="I1261" s="7">
        <v>163</v>
      </c>
      <c r="J1261" s="7">
        <v>510</v>
      </c>
      <c r="K1261" s="7" t="s">
        <v>18</v>
      </c>
      <c r="L1261" s="8">
        <v>39987.315405092595</v>
      </c>
      <c r="M1261" s="9" t="s">
        <v>19</v>
      </c>
      <c r="N1261" s="9" t="s">
        <v>20</v>
      </c>
      <c r="O1261" s="6" t="str">
        <f>HYPERLINK("https://pbs.twimg.com/profile_images/962471262747529216/Uo8lOkRJ_normal.jpg","View")</f>
        <v>View</v>
      </c>
      <c r="P1261" s="7"/>
    </row>
    <row r="1262" spans="1:16">
      <c r="A1262" s="3">
        <v>43845.735347222224</v>
      </c>
      <c r="B1262" s="4" t="str">
        <f>HYPERLINK("https://twitter.com/petrogustavo","@petrogustavo")</f>
        <v>@petrogustavo</v>
      </c>
      <c r="C1262" s="5" t="s">
        <v>16</v>
      </c>
      <c r="D1262" s="5" t="s">
        <v>1246</v>
      </c>
      <c r="E1262" s="6" t="str">
        <f>HYPERLINK("https://twitter.com/petrogustavo/status/1217418377205026824","1217418377205026824")</f>
        <v>1217418377205026824</v>
      </c>
      <c r="F1262" s="7" t="s">
        <v>17</v>
      </c>
      <c r="G1262" s="7">
        <v>3608985</v>
      </c>
      <c r="H1262" s="7">
        <v>2345</v>
      </c>
      <c r="I1262" s="7">
        <v>67</v>
      </c>
      <c r="J1262" s="7">
        <v>123</v>
      </c>
      <c r="K1262" s="7" t="s">
        <v>18</v>
      </c>
      <c r="L1262" s="8">
        <v>39987.315405092595</v>
      </c>
      <c r="M1262" s="9" t="s">
        <v>19</v>
      </c>
      <c r="N1262" s="9" t="s">
        <v>20</v>
      </c>
      <c r="O1262" s="6" t="str">
        <f>HYPERLINK("https://pbs.twimg.com/profile_images/962471262747529216/Uo8lOkRJ_normal.jpg","View")</f>
        <v>View</v>
      </c>
      <c r="P1262" s="7"/>
    </row>
    <row r="1263" spans="1:16">
      <c r="A1263" s="3">
        <v>43845.738993055551</v>
      </c>
      <c r="B1263" s="4" t="str">
        <f>HYPERLINK("https://twitter.com/petrogustavo","@petrogustavo")</f>
        <v>@petrogustavo</v>
      </c>
      <c r="C1263" s="5" t="s">
        <v>16</v>
      </c>
      <c r="D1263" s="5" t="s">
        <v>1247</v>
      </c>
      <c r="E1263" s="6" t="str">
        <f>HYPERLINK("https://twitter.com/petrogustavo/status/1217419700814196736","1217419700814196736")</f>
        <v>1217419700814196736</v>
      </c>
      <c r="F1263" s="7" t="s">
        <v>17</v>
      </c>
      <c r="G1263" s="7">
        <v>3608985</v>
      </c>
      <c r="H1263" s="7">
        <v>2345</v>
      </c>
      <c r="I1263" s="7">
        <v>2644</v>
      </c>
      <c r="J1263" s="7">
        <v>0</v>
      </c>
      <c r="K1263" s="7" t="s">
        <v>18</v>
      </c>
      <c r="L1263" s="8">
        <v>39987.315405092595</v>
      </c>
      <c r="M1263" s="9" t="s">
        <v>19</v>
      </c>
      <c r="N1263" s="9" t="s">
        <v>20</v>
      </c>
      <c r="O1263" s="6" t="str">
        <f>HYPERLINK("https://pbs.twimg.com/profile_images/962471262747529216/Uo8lOkRJ_normal.jpg","View")</f>
        <v>View</v>
      </c>
      <c r="P1263" s="7"/>
    </row>
    <row r="1264" spans="1:16">
      <c r="A1264" s="3">
        <v>43845.739861111113</v>
      </c>
      <c r="B1264" s="4" t="str">
        <f>HYPERLINK("https://twitter.com/petrogustavo","@petrogustavo")</f>
        <v>@petrogustavo</v>
      </c>
      <c r="C1264" s="5" t="s">
        <v>16</v>
      </c>
      <c r="D1264" s="5" t="s">
        <v>1248</v>
      </c>
      <c r="E1264" s="6" t="str">
        <f>HYPERLINK("https://twitter.com/petrogustavo/status/1217420014791352322","1217420014791352322")</f>
        <v>1217420014791352322</v>
      </c>
      <c r="F1264" s="7" t="s">
        <v>17</v>
      </c>
      <c r="G1264" s="7">
        <v>3608985</v>
      </c>
      <c r="H1264" s="7">
        <v>2345</v>
      </c>
      <c r="I1264" s="7">
        <v>8</v>
      </c>
      <c r="J1264" s="7">
        <v>0</v>
      </c>
      <c r="K1264" s="7" t="s">
        <v>18</v>
      </c>
      <c r="L1264" s="8">
        <v>39987.315405092595</v>
      </c>
      <c r="M1264" s="9" t="s">
        <v>19</v>
      </c>
      <c r="N1264" s="9" t="s">
        <v>20</v>
      </c>
      <c r="O1264" s="6" t="str">
        <f>HYPERLINK("https://pbs.twimg.com/profile_images/962471262747529216/Uo8lOkRJ_normal.jpg","View")</f>
        <v>View</v>
      </c>
      <c r="P1264" s="7"/>
    </row>
    <row r="1265" spans="1:16">
      <c r="A1265" s="3">
        <v>43845.74486111111</v>
      </c>
      <c r="B1265" s="4" t="str">
        <f>HYPERLINK("https://twitter.com/petrogustavo","@petrogustavo")</f>
        <v>@petrogustavo</v>
      </c>
      <c r="C1265" s="5" t="s">
        <v>16</v>
      </c>
      <c r="D1265" s="5" t="s">
        <v>1249</v>
      </c>
      <c r="E1265" s="6" t="str">
        <f>HYPERLINK("https://twitter.com/petrogustavo/status/1217421824453156865","1217421824453156865")</f>
        <v>1217421824453156865</v>
      </c>
      <c r="F1265" s="7" t="s">
        <v>17</v>
      </c>
      <c r="G1265" s="7">
        <v>3609003</v>
      </c>
      <c r="H1265" s="7">
        <v>2345</v>
      </c>
      <c r="I1265" s="7">
        <v>194</v>
      </c>
      <c r="J1265" s="7">
        <v>460</v>
      </c>
      <c r="K1265" s="7" t="s">
        <v>18</v>
      </c>
      <c r="L1265" s="8">
        <v>39987.315405092595</v>
      </c>
      <c r="M1265" s="9" t="s">
        <v>19</v>
      </c>
      <c r="N1265" s="9" t="s">
        <v>20</v>
      </c>
      <c r="O1265" s="6" t="str">
        <f>HYPERLINK("https://pbs.twimg.com/profile_images/962471262747529216/Uo8lOkRJ_normal.jpg","View")</f>
        <v>View</v>
      </c>
      <c r="P1265" s="7"/>
    </row>
    <row r="1266" spans="1:16">
      <c r="A1266" s="3">
        <v>43845.763437500005</v>
      </c>
      <c r="B1266" s="4" t="str">
        <f>HYPERLINK("https://twitter.com/petrogustavo","@petrogustavo")</f>
        <v>@petrogustavo</v>
      </c>
      <c r="C1266" s="5" t="s">
        <v>16</v>
      </c>
      <c r="D1266" s="5" t="s">
        <v>1250</v>
      </c>
      <c r="E1266" s="6" t="str">
        <f>HYPERLINK("https://twitter.com/petrogustavo/status/1217428556655054848","1217428556655054848")</f>
        <v>1217428556655054848</v>
      </c>
      <c r="F1266" s="7" t="s">
        <v>17</v>
      </c>
      <c r="G1266" s="7">
        <v>3609022</v>
      </c>
      <c r="H1266" s="7">
        <v>2346</v>
      </c>
      <c r="I1266" s="7">
        <v>93</v>
      </c>
      <c r="J1266" s="7">
        <v>285</v>
      </c>
      <c r="K1266" s="7" t="s">
        <v>18</v>
      </c>
      <c r="L1266" s="8">
        <v>39987.315405092595</v>
      </c>
      <c r="M1266" s="9" t="s">
        <v>19</v>
      </c>
      <c r="N1266" s="9" t="s">
        <v>20</v>
      </c>
      <c r="O1266" s="6" t="str">
        <f>HYPERLINK("https://pbs.twimg.com/profile_images/962471262747529216/Uo8lOkRJ_normal.jpg","View")</f>
        <v>View</v>
      </c>
      <c r="P1266" s="7"/>
    </row>
    <row r="1267" spans="1:16">
      <c r="A1267" s="3">
        <v>43845.769178240742</v>
      </c>
      <c r="B1267" s="4" t="str">
        <f>HYPERLINK("https://twitter.com/petrogustavo","@petrogustavo")</f>
        <v>@petrogustavo</v>
      </c>
      <c r="C1267" s="5" t="s">
        <v>16</v>
      </c>
      <c r="D1267" s="5" t="s">
        <v>1251</v>
      </c>
      <c r="E1267" s="6" t="str">
        <f>HYPERLINK("https://twitter.com/petrogustavo/status/1217430637558161408","1217430637558161408")</f>
        <v>1217430637558161408</v>
      </c>
      <c r="F1267" s="7" t="s">
        <v>17</v>
      </c>
      <c r="G1267" s="7">
        <v>3609022</v>
      </c>
      <c r="H1267" s="7">
        <v>2346</v>
      </c>
      <c r="I1267" s="7">
        <v>328</v>
      </c>
      <c r="J1267" s="7">
        <v>0</v>
      </c>
      <c r="K1267" s="7" t="s">
        <v>18</v>
      </c>
      <c r="L1267" s="8">
        <v>39987.315405092595</v>
      </c>
      <c r="M1267" s="9" t="s">
        <v>19</v>
      </c>
      <c r="N1267" s="9" t="s">
        <v>20</v>
      </c>
      <c r="O1267" s="6" t="str">
        <f>HYPERLINK("https://pbs.twimg.com/profile_images/962471262747529216/Uo8lOkRJ_normal.jpg","View")</f>
        <v>View</v>
      </c>
      <c r="P1267" s="7"/>
    </row>
    <row r="1268" spans="1:16">
      <c r="A1268" s="3">
        <v>43845.771643518514</v>
      </c>
      <c r="B1268" s="4" t="str">
        <f>HYPERLINK("https://twitter.com/petrogustavo","@petrogustavo")</f>
        <v>@petrogustavo</v>
      </c>
      <c r="C1268" s="5" t="s">
        <v>16</v>
      </c>
      <c r="D1268" s="5" t="s">
        <v>1252</v>
      </c>
      <c r="E1268" s="6" t="str">
        <f>HYPERLINK("https://twitter.com/petrogustavo/status/1217431529821032449","1217431529821032449")</f>
        <v>1217431529821032449</v>
      </c>
      <c r="F1268" s="7" t="s">
        <v>17</v>
      </c>
      <c r="G1268" s="7">
        <v>3609022</v>
      </c>
      <c r="H1268" s="7">
        <v>2346</v>
      </c>
      <c r="I1268" s="7">
        <v>525</v>
      </c>
      <c r="J1268" s="7">
        <v>0</v>
      </c>
      <c r="K1268" s="7" t="s">
        <v>18</v>
      </c>
      <c r="L1268" s="8">
        <v>39987.315405092595</v>
      </c>
      <c r="M1268" s="9" t="s">
        <v>19</v>
      </c>
      <c r="N1268" s="9" t="s">
        <v>20</v>
      </c>
      <c r="O1268" s="6" t="str">
        <f>HYPERLINK("https://pbs.twimg.com/profile_images/962471262747529216/Uo8lOkRJ_normal.jpg","View")</f>
        <v>View</v>
      </c>
      <c r="P1268" s="7"/>
    </row>
    <row r="1269" spans="1:16">
      <c r="A1269" s="3">
        <v>43845.771851851852</v>
      </c>
      <c r="B1269" s="4" t="str">
        <f>HYPERLINK("https://twitter.com/petrogustavo","@petrogustavo")</f>
        <v>@petrogustavo</v>
      </c>
      <c r="C1269" s="5" t="s">
        <v>16</v>
      </c>
      <c r="D1269" s="5" t="s">
        <v>1244</v>
      </c>
      <c r="E1269" s="6" t="str">
        <f>HYPERLINK("https://twitter.com/petrogustavo/status/1217431608564817921","1217431608564817921")</f>
        <v>1217431608564817921</v>
      </c>
      <c r="F1269" s="7" t="s">
        <v>17</v>
      </c>
      <c r="G1269" s="7">
        <v>3609022</v>
      </c>
      <c r="H1269" s="7">
        <v>2346</v>
      </c>
      <c r="I1269" s="7">
        <v>53</v>
      </c>
      <c r="J1269" s="7">
        <v>0</v>
      </c>
      <c r="K1269" s="7" t="s">
        <v>18</v>
      </c>
      <c r="L1269" s="8">
        <v>39987.315405092595</v>
      </c>
      <c r="M1269" s="9" t="s">
        <v>19</v>
      </c>
      <c r="N1269" s="9" t="s">
        <v>20</v>
      </c>
      <c r="O1269" s="6" t="str">
        <f>HYPERLINK("https://pbs.twimg.com/profile_images/962471262747529216/Uo8lOkRJ_normal.jpg","View")</f>
        <v>View</v>
      </c>
      <c r="P1269" s="7"/>
    </row>
    <row r="1270" spans="1:16">
      <c r="A1270" s="3">
        <v>43845.793842592597</v>
      </c>
      <c r="B1270" s="4" t="str">
        <f>HYPERLINK("https://twitter.com/petrogustavo","@petrogustavo")</f>
        <v>@petrogustavo</v>
      </c>
      <c r="C1270" s="5" t="s">
        <v>16</v>
      </c>
      <c r="D1270" s="5" t="s">
        <v>1253</v>
      </c>
      <c r="E1270" s="6" t="str">
        <f>HYPERLINK("https://twitter.com/petrogustavo/status/1217439575989276674","1217439575989276674")</f>
        <v>1217439575989276674</v>
      </c>
      <c r="F1270" s="7" t="s">
        <v>17</v>
      </c>
      <c r="G1270" s="7">
        <v>3609037</v>
      </c>
      <c r="H1270" s="7">
        <v>2346</v>
      </c>
      <c r="I1270" s="7">
        <v>39</v>
      </c>
      <c r="J1270" s="7">
        <v>109</v>
      </c>
      <c r="K1270" s="7" t="s">
        <v>18</v>
      </c>
      <c r="L1270" s="8">
        <v>39987.315405092595</v>
      </c>
      <c r="M1270" s="9" t="s">
        <v>19</v>
      </c>
      <c r="N1270" s="9" t="s">
        <v>20</v>
      </c>
      <c r="O1270" s="6" t="str">
        <f>HYPERLINK("https://pbs.twimg.com/profile_images/962471262747529216/Uo8lOkRJ_normal.jpg","View")</f>
        <v>View</v>
      </c>
      <c r="P1270" s="7"/>
    </row>
    <row r="1271" spans="1:16">
      <c r="A1271" s="3">
        <v>43845.793842592597</v>
      </c>
      <c r="B1271" s="4" t="str">
        <f>HYPERLINK("https://twitter.com/petrogustavo","@petrogustavo")</f>
        <v>@petrogustavo</v>
      </c>
      <c r="C1271" s="5" t="s">
        <v>16</v>
      </c>
      <c r="D1271" s="5" t="s">
        <v>1254</v>
      </c>
      <c r="E1271" s="6" t="str">
        <f>HYPERLINK("https://twitter.com/petrogustavo/status/1217439577385971712","1217439577385971712")</f>
        <v>1217439577385971712</v>
      </c>
      <c r="F1271" s="7" t="s">
        <v>17</v>
      </c>
      <c r="G1271" s="7">
        <v>3609037</v>
      </c>
      <c r="H1271" s="7">
        <v>2346</v>
      </c>
      <c r="I1271" s="7">
        <v>10</v>
      </c>
      <c r="J1271" s="7">
        <v>25</v>
      </c>
      <c r="K1271" s="7" t="s">
        <v>18</v>
      </c>
      <c r="L1271" s="8">
        <v>39987.315405092595</v>
      </c>
      <c r="M1271" s="9" t="s">
        <v>19</v>
      </c>
      <c r="N1271" s="9" t="s">
        <v>20</v>
      </c>
      <c r="O1271" s="6" t="str">
        <f>HYPERLINK("https://pbs.twimg.com/profile_images/962471262747529216/Uo8lOkRJ_normal.jpg","View")</f>
        <v>View</v>
      </c>
      <c r="P1271" s="7"/>
    </row>
    <row r="1272" spans="1:16">
      <c r="A1272" s="3">
        <v>43845.793854166666</v>
      </c>
      <c r="B1272" s="4" t="str">
        <f>HYPERLINK("https://twitter.com/petrogustavo","@petrogustavo")</f>
        <v>@petrogustavo</v>
      </c>
      <c r="C1272" s="5" t="s">
        <v>16</v>
      </c>
      <c r="D1272" s="5" t="s">
        <v>1255</v>
      </c>
      <c r="E1272" s="6" t="str">
        <f>HYPERLINK("https://twitter.com/petrogustavo/status/1217439579680190465","1217439579680190465")</f>
        <v>1217439579680190465</v>
      </c>
      <c r="F1272" s="7" t="s">
        <v>17</v>
      </c>
      <c r="G1272" s="7">
        <v>3609037</v>
      </c>
      <c r="H1272" s="7">
        <v>2346</v>
      </c>
      <c r="I1272" s="7">
        <v>21</v>
      </c>
      <c r="J1272" s="7">
        <v>48</v>
      </c>
      <c r="K1272" s="7" t="s">
        <v>18</v>
      </c>
      <c r="L1272" s="8">
        <v>39987.315405092595</v>
      </c>
      <c r="M1272" s="9" t="s">
        <v>19</v>
      </c>
      <c r="N1272" s="9" t="s">
        <v>20</v>
      </c>
      <c r="O1272" s="6" t="str">
        <f>HYPERLINK("https://pbs.twimg.com/profile_images/962471262747529216/Uo8lOkRJ_normal.jpg","View")</f>
        <v>View</v>
      </c>
      <c r="P1272" s="7"/>
    </row>
    <row r="1273" spans="1:16">
      <c r="A1273" s="3">
        <v>43845.793854166666</v>
      </c>
      <c r="B1273" s="4" t="str">
        <f>HYPERLINK("https://twitter.com/petrogustavo","@petrogustavo")</f>
        <v>@petrogustavo</v>
      </c>
      <c r="C1273" s="5" t="s">
        <v>16</v>
      </c>
      <c r="D1273" s="5" t="s">
        <v>1256</v>
      </c>
      <c r="E1273" s="6" t="str">
        <f>HYPERLINK("https://twitter.com/petrogustavo/status/1217439580741361664","1217439580741361664")</f>
        <v>1217439580741361664</v>
      </c>
      <c r="F1273" s="7" t="s">
        <v>17</v>
      </c>
      <c r="G1273" s="7">
        <v>3609037</v>
      </c>
      <c r="H1273" s="7">
        <v>2346</v>
      </c>
      <c r="I1273" s="7">
        <v>21</v>
      </c>
      <c r="J1273" s="7">
        <v>55</v>
      </c>
      <c r="K1273" s="7" t="s">
        <v>18</v>
      </c>
      <c r="L1273" s="8">
        <v>39987.315405092595</v>
      </c>
      <c r="M1273" s="9" t="s">
        <v>19</v>
      </c>
      <c r="N1273" s="9" t="s">
        <v>20</v>
      </c>
      <c r="O1273" s="6" t="str">
        <f>HYPERLINK("https://pbs.twimg.com/profile_images/962471262747529216/Uo8lOkRJ_normal.jpg","View")</f>
        <v>View</v>
      </c>
      <c r="P1273" s="7"/>
    </row>
    <row r="1274" spans="1:16">
      <c r="A1274" s="3">
        <v>43845.796898148154</v>
      </c>
      <c r="B1274" s="4" t="str">
        <f>HYPERLINK("https://twitter.com/petrogustavo","@petrogustavo")</f>
        <v>@petrogustavo</v>
      </c>
      <c r="C1274" s="5" t="s">
        <v>16</v>
      </c>
      <c r="D1274" s="5" t="s">
        <v>1257</v>
      </c>
      <c r="E1274" s="6" t="str">
        <f>HYPERLINK("https://twitter.com/petrogustavo/status/1217440684736700416","1217440684736700416")</f>
        <v>1217440684736700416</v>
      </c>
      <c r="F1274" s="7" t="s">
        <v>17</v>
      </c>
      <c r="G1274" s="7">
        <v>3609037</v>
      </c>
      <c r="H1274" s="7">
        <v>2346</v>
      </c>
      <c r="I1274" s="7">
        <v>65</v>
      </c>
      <c r="J1274" s="7">
        <v>214</v>
      </c>
      <c r="K1274" s="7" t="s">
        <v>18</v>
      </c>
      <c r="L1274" s="8">
        <v>39987.315405092595</v>
      </c>
      <c r="M1274" s="9" t="s">
        <v>19</v>
      </c>
      <c r="N1274" s="9" t="s">
        <v>20</v>
      </c>
      <c r="O1274" s="6" t="str">
        <f>HYPERLINK("https://pbs.twimg.com/profile_images/962471262747529216/Uo8lOkRJ_normal.jpg","View")</f>
        <v>View</v>
      </c>
      <c r="P1274" s="7"/>
    </row>
    <row r="1275" spans="1:16">
      <c r="A1275" s="3">
        <v>43845.799479166672</v>
      </c>
      <c r="B1275" s="4" t="str">
        <f>HYPERLINK("https://twitter.com/petrogustavo","@petrogustavo")</f>
        <v>@petrogustavo</v>
      </c>
      <c r="C1275" s="5" t="s">
        <v>16</v>
      </c>
      <c r="D1275" s="5" t="s">
        <v>1258</v>
      </c>
      <c r="E1275" s="6" t="str">
        <f>HYPERLINK("https://twitter.com/petrogustavo/status/1217441620154617856","1217441620154617856")</f>
        <v>1217441620154617856</v>
      </c>
      <c r="F1275" s="7" t="s">
        <v>17</v>
      </c>
      <c r="G1275" s="7">
        <v>3609037</v>
      </c>
      <c r="H1275" s="7">
        <v>2346</v>
      </c>
      <c r="I1275" s="7">
        <v>16</v>
      </c>
      <c r="J1275" s="7">
        <v>42</v>
      </c>
      <c r="K1275" s="7" t="s">
        <v>18</v>
      </c>
      <c r="L1275" s="8">
        <v>39987.315405092595</v>
      </c>
      <c r="M1275" s="9" t="s">
        <v>19</v>
      </c>
      <c r="N1275" s="9" t="s">
        <v>20</v>
      </c>
      <c r="O1275" s="6" t="str">
        <f>HYPERLINK("https://pbs.twimg.com/profile_images/962471262747529216/Uo8lOkRJ_normal.jpg","View")</f>
        <v>View</v>
      </c>
      <c r="P1275" s="7"/>
    </row>
    <row r="1276" spans="1:16">
      <c r="A1276" s="3">
        <v>43845.804143518515</v>
      </c>
      <c r="B1276" s="4" t="str">
        <f>HYPERLINK("https://twitter.com/petrogustavo","@petrogustavo")</f>
        <v>@petrogustavo</v>
      </c>
      <c r="C1276" s="5" t="s">
        <v>16</v>
      </c>
      <c r="D1276" s="5" t="s">
        <v>1259</v>
      </c>
      <c r="E1276" s="6" t="str">
        <f>HYPERLINK("https://twitter.com/petrogustavo/status/1217443310228426752","1217443310228426752")</f>
        <v>1217443310228426752</v>
      </c>
      <c r="F1276" s="7" t="s">
        <v>17</v>
      </c>
      <c r="G1276" s="7">
        <v>3609037</v>
      </c>
      <c r="H1276" s="7">
        <v>2346</v>
      </c>
      <c r="I1276" s="7">
        <v>0</v>
      </c>
      <c r="J1276" s="7">
        <v>0</v>
      </c>
      <c r="K1276" s="7" t="s">
        <v>18</v>
      </c>
      <c r="L1276" s="8">
        <v>39987.315405092595</v>
      </c>
      <c r="M1276" s="9" t="s">
        <v>19</v>
      </c>
      <c r="N1276" s="9" t="s">
        <v>20</v>
      </c>
      <c r="O1276" s="6" t="str">
        <f>HYPERLINK("https://pbs.twimg.com/profile_images/962471262747529216/Uo8lOkRJ_normal.jpg","View")</f>
        <v>View</v>
      </c>
      <c r="P1276" s="7"/>
    </row>
    <row r="1277" spans="1:16">
      <c r="A1277" s="3">
        <v>43845.805625000001</v>
      </c>
      <c r="B1277" s="4" t="str">
        <f>HYPERLINK("https://twitter.com/petrogustavo","@petrogustavo")</f>
        <v>@petrogustavo</v>
      </c>
      <c r="C1277" s="5" t="s">
        <v>16</v>
      </c>
      <c r="D1277" s="5" t="s">
        <v>1260</v>
      </c>
      <c r="E1277" s="6" t="str">
        <f>HYPERLINK("https://twitter.com/petrogustavo/status/1217443845497114624","1217443845497114624")</f>
        <v>1217443845497114624</v>
      </c>
      <c r="F1277" s="7" t="s">
        <v>17</v>
      </c>
      <c r="G1277" s="7">
        <v>3609054</v>
      </c>
      <c r="H1277" s="7">
        <v>2346</v>
      </c>
      <c r="I1277" s="7">
        <v>99</v>
      </c>
      <c r="J1277" s="7">
        <v>220</v>
      </c>
      <c r="K1277" s="7" t="s">
        <v>18</v>
      </c>
      <c r="L1277" s="8">
        <v>39987.315405092595</v>
      </c>
      <c r="M1277" s="9" t="s">
        <v>19</v>
      </c>
      <c r="N1277" s="9" t="s">
        <v>20</v>
      </c>
      <c r="O1277" s="6" t="str">
        <f>HYPERLINK("https://pbs.twimg.com/profile_images/962471262747529216/Uo8lOkRJ_normal.jpg","View")</f>
        <v>View</v>
      </c>
      <c r="P1277" s="7"/>
    </row>
    <row r="1278" spans="1:16">
      <c r="A1278" s="3">
        <v>43845.810810185183</v>
      </c>
      <c r="B1278" s="4" t="str">
        <f>HYPERLINK("https://twitter.com/petrogustavo","@petrogustavo")</f>
        <v>@petrogustavo</v>
      </c>
      <c r="C1278" s="5" t="s">
        <v>16</v>
      </c>
      <c r="D1278" s="5" t="s">
        <v>1261</v>
      </c>
      <c r="E1278" s="6" t="str">
        <f>HYPERLINK("https://twitter.com/petrogustavo/status/1217445723404472320","1217445723404472320")</f>
        <v>1217445723404472320</v>
      </c>
      <c r="F1278" s="7" t="s">
        <v>17</v>
      </c>
      <c r="G1278" s="7">
        <v>3609054</v>
      </c>
      <c r="H1278" s="7">
        <v>2346</v>
      </c>
      <c r="I1278" s="7">
        <v>42</v>
      </c>
      <c r="J1278" s="7">
        <v>171</v>
      </c>
      <c r="K1278" s="7" t="s">
        <v>18</v>
      </c>
      <c r="L1278" s="8">
        <v>39987.315405092595</v>
      </c>
      <c r="M1278" s="9" t="s">
        <v>19</v>
      </c>
      <c r="N1278" s="9" t="s">
        <v>20</v>
      </c>
      <c r="O1278" s="6" t="str">
        <f>HYPERLINK("https://pbs.twimg.com/profile_images/962471262747529216/Uo8lOkRJ_normal.jpg","View")</f>
        <v>View</v>
      </c>
      <c r="P1278" s="7"/>
    </row>
    <row r="1279" spans="1:16">
      <c r="A1279" s="3">
        <v>43845.822199074071</v>
      </c>
      <c r="B1279" s="4" t="str">
        <f>HYPERLINK("https://twitter.com/petrogustavo","@petrogustavo")</f>
        <v>@petrogustavo</v>
      </c>
      <c r="C1279" s="5" t="s">
        <v>16</v>
      </c>
      <c r="D1279" s="5" t="s">
        <v>1262</v>
      </c>
      <c r="E1279" s="6" t="str">
        <f>HYPERLINK("https://twitter.com/petrogustavo/status/1217449850247270400","1217449850247270400")</f>
        <v>1217449850247270400</v>
      </c>
      <c r="F1279" s="7" t="s">
        <v>17</v>
      </c>
      <c r="G1279" s="7">
        <v>3609054</v>
      </c>
      <c r="H1279" s="7">
        <v>2346</v>
      </c>
      <c r="I1279" s="7">
        <v>56</v>
      </c>
      <c r="J1279" s="7">
        <v>0</v>
      </c>
      <c r="K1279" s="7" t="s">
        <v>18</v>
      </c>
      <c r="L1279" s="8">
        <v>39987.315405092595</v>
      </c>
      <c r="M1279" s="9" t="s">
        <v>19</v>
      </c>
      <c r="N1279" s="9" t="s">
        <v>20</v>
      </c>
      <c r="O1279" s="6" t="str">
        <f>HYPERLINK("https://pbs.twimg.com/profile_images/962471262747529216/Uo8lOkRJ_normal.jpg","View")</f>
        <v>View</v>
      </c>
      <c r="P1279" s="7"/>
    </row>
    <row r="1280" spans="1:16">
      <c r="A1280" s="3">
        <v>43845.828425925924</v>
      </c>
      <c r="B1280" s="4" t="str">
        <f>HYPERLINK("https://twitter.com/petrogustavo","@petrogustavo")</f>
        <v>@petrogustavo</v>
      </c>
      <c r="C1280" s="5" t="s">
        <v>16</v>
      </c>
      <c r="D1280" s="5" t="s">
        <v>1263</v>
      </c>
      <c r="E1280" s="6" t="str">
        <f>HYPERLINK("https://twitter.com/petrogustavo/status/1217452110046023687","1217452110046023687")</f>
        <v>1217452110046023687</v>
      </c>
      <c r="F1280" s="7" t="s">
        <v>17</v>
      </c>
      <c r="G1280" s="7">
        <v>3609078</v>
      </c>
      <c r="H1280" s="7">
        <v>2346</v>
      </c>
      <c r="I1280" s="7">
        <v>74</v>
      </c>
      <c r="J1280" s="7">
        <v>204</v>
      </c>
      <c r="K1280" s="7" t="s">
        <v>18</v>
      </c>
      <c r="L1280" s="8">
        <v>39987.315405092595</v>
      </c>
      <c r="M1280" s="9" t="s">
        <v>19</v>
      </c>
      <c r="N1280" s="9" t="s">
        <v>20</v>
      </c>
      <c r="O1280" s="6" t="str">
        <f>HYPERLINK("https://pbs.twimg.com/profile_images/962471262747529216/Uo8lOkRJ_normal.jpg","View")</f>
        <v>View</v>
      </c>
      <c r="P1280" s="7"/>
    </row>
    <row r="1281" spans="1:16">
      <c r="A1281" s="3">
        <v>43845.850983796292</v>
      </c>
      <c r="B1281" s="4" t="str">
        <f>HYPERLINK("https://twitter.com/petrogustavo","@petrogustavo")</f>
        <v>@petrogustavo</v>
      </c>
      <c r="C1281" s="5" t="s">
        <v>16</v>
      </c>
      <c r="D1281" s="5" t="s">
        <v>1264</v>
      </c>
      <c r="E1281" s="6" t="str">
        <f>HYPERLINK("https://twitter.com/petrogustavo/status/1217460281535799296","1217460281535799296")</f>
        <v>1217460281535799296</v>
      </c>
      <c r="F1281" s="7" t="s">
        <v>32</v>
      </c>
      <c r="G1281" s="7">
        <v>3609104</v>
      </c>
      <c r="H1281" s="7">
        <v>2346</v>
      </c>
      <c r="I1281" s="7">
        <v>608</v>
      </c>
      <c r="J1281" s="7">
        <v>0</v>
      </c>
      <c r="K1281" s="7" t="s">
        <v>18</v>
      </c>
      <c r="L1281" s="8">
        <v>39987.315405092595</v>
      </c>
      <c r="M1281" s="9" t="s">
        <v>19</v>
      </c>
      <c r="N1281" s="9" t="s">
        <v>20</v>
      </c>
      <c r="O1281" s="6" t="str">
        <f>HYPERLINK("https://pbs.twimg.com/profile_images/962471262747529216/Uo8lOkRJ_normal.jpg","View")</f>
        <v>View</v>
      </c>
      <c r="P1281" s="7"/>
    </row>
    <row r="1282" spans="1:16">
      <c r="A1282" s="3">
        <v>43845.87232638889</v>
      </c>
      <c r="B1282" s="4" t="str">
        <f>HYPERLINK("https://twitter.com/petrogustavo","@petrogustavo")</f>
        <v>@petrogustavo</v>
      </c>
      <c r="C1282" s="5" t="s">
        <v>16</v>
      </c>
      <c r="D1282" s="5" t="s">
        <v>1265</v>
      </c>
      <c r="E1282" s="6" t="str">
        <f>HYPERLINK("https://twitter.com/petrogustavo/status/1217468017350729728","1217468017350729728")</f>
        <v>1217468017350729728</v>
      </c>
      <c r="F1282" s="7" t="s">
        <v>32</v>
      </c>
      <c r="G1282" s="7">
        <v>3609135</v>
      </c>
      <c r="H1282" s="7">
        <v>2346</v>
      </c>
      <c r="I1282" s="7">
        <v>17</v>
      </c>
      <c r="J1282" s="7">
        <v>0</v>
      </c>
      <c r="K1282" s="7" t="s">
        <v>18</v>
      </c>
      <c r="L1282" s="8">
        <v>39987.315405092595</v>
      </c>
      <c r="M1282" s="9" t="s">
        <v>19</v>
      </c>
      <c r="N1282" s="9" t="s">
        <v>20</v>
      </c>
      <c r="O1282" s="6" t="str">
        <f>HYPERLINK("https://pbs.twimg.com/profile_images/962471262747529216/Uo8lOkRJ_normal.jpg","View")</f>
        <v>View</v>
      </c>
      <c r="P1282" s="7"/>
    </row>
    <row r="1283" spans="1:16">
      <c r="A1283" s="3">
        <v>43846.009027777778</v>
      </c>
      <c r="B1283" s="4" t="str">
        <f>HYPERLINK("https://twitter.com/petrogustavo","@petrogustavo")</f>
        <v>@petrogustavo</v>
      </c>
      <c r="C1283" s="5" t="s">
        <v>16</v>
      </c>
      <c r="D1283" s="5" t="s">
        <v>1266</v>
      </c>
      <c r="E1283" s="6" t="str">
        <f>HYPERLINK("https://twitter.com/petrogustavo/status/1217517557395218433","1217517557395218433")</f>
        <v>1217517557395218433</v>
      </c>
      <c r="F1283" s="7" t="s">
        <v>32</v>
      </c>
      <c r="G1283" s="7">
        <v>3609288</v>
      </c>
      <c r="H1283" s="7">
        <v>2346</v>
      </c>
      <c r="I1283" s="7">
        <v>49</v>
      </c>
      <c r="J1283" s="7">
        <v>0</v>
      </c>
      <c r="K1283" s="7" t="s">
        <v>18</v>
      </c>
      <c r="L1283" s="8">
        <v>39987.315405092595</v>
      </c>
      <c r="M1283" s="9" t="s">
        <v>19</v>
      </c>
      <c r="N1283" s="9" t="s">
        <v>20</v>
      </c>
      <c r="O1283" s="6" t="str">
        <f>HYPERLINK("https://pbs.twimg.com/profile_images/962471262747529216/Uo8lOkRJ_normal.jpg","View")</f>
        <v>View</v>
      </c>
      <c r="P1283" s="7"/>
    </row>
    <row r="1284" spans="1:16">
      <c r="A1284" s="3">
        <v>43846.012175925927</v>
      </c>
      <c r="B1284" s="4" t="str">
        <f>HYPERLINK("https://twitter.com/petrogustavo","@petrogustavo")</f>
        <v>@petrogustavo</v>
      </c>
      <c r="C1284" s="5" t="s">
        <v>16</v>
      </c>
      <c r="D1284" s="5" t="s">
        <v>1267</v>
      </c>
      <c r="E1284" s="6" t="str">
        <f>HYPERLINK("https://twitter.com/petrogustavo/status/1217518697063112706","1217518697063112706")</f>
        <v>1217518697063112706</v>
      </c>
      <c r="F1284" s="7" t="s">
        <v>32</v>
      </c>
      <c r="G1284" s="7">
        <v>3609288</v>
      </c>
      <c r="H1284" s="7">
        <v>2346</v>
      </c>
      <c r="I1284" s="7">
        <v>4</v>
      </c>
      <c r="J1284" s="7">
        <v>9</v>
      </c>
      <c r="K1284" s="7" t="s">
        <v>18</v>
      </c>
      <c r="L1284" s="8">
        <v>39987.315405092595</v>
      </c>
      <c r="M1284" s="9" t="s">
        <v>19</v>
      </c>
      <c r="N1284" s="9" t="s">
        <v>20</v>
      </c>
      <c r="O1284" s="6" t="str">
        <f>HYPERLINK("https://pbs.twimg.com/profile_images/962471262747529216/Uo8lOkRJ_normal.jpg","View")</f>
        <v>View</v>
      </c>
      <c r="P1284" s="7"/>
    </row>
    <row r="1285" spans="1:16">
      <c r="A1285" s="3">
        <v>43846.111238425925</v>
      </c>
      <c r="B1285" s="4" t="str">
        <f>HYPERLINK("https://twitter.com/petrogustavo","@petrogustavo")</f>
        <v>@petrogustavo</v>
      </c>
      <c r="C1285" s="5" t="s">
        <v>16</v>
      </c>
      <c r="D1285" s="5" t="s">
        <v>1268</v>
      </c>
      <c r="E1285" s="6" t="str">
        <f>HYPERLINK("https://twitter.com/petrogustavo/status/1217554594907283456","1217554594907283456")</f>
        <v>1217554594907283456</v>
      </c>
      <c r="F1285" s="7" t="s">
        <v>17</v>
      </c>
      <c r="G1285" s="7">
        <v>3609400</v>
      </c>
      <c r="H1285" s="7">
        <v>2346</v>
      </c>
      <c r="I1285" s="7">
        <v>138</v>
      </c>
      <c r="J1285" s="7">
        <v>516</v>
      </c>
      <c r="K1285" s="7" t="s">
        <v>18</v>
      </c>
      <c r="L1285" s="8">
        <v>39987.315405092595</v>
      </c>
      <c r="M1285" s="9" t="s">
        <v>19</v>
      </c>
      <c r="N1285" s="9" t="s">
        <v>20</v>
      </c>
      <c r="O1285" s="6" t="str">
        <f>HYPERLINK("https://pbs.twimg.com/profile_images/962471262747529216/Uo8lOkRJ_normal.jpg","View")</f>
        <v>View</v>
      </c>
      <c r="P1285" s="7"/>
    </row>
    <row r="1286" spans="1:16">
      <c r="A1286" s="3">
        <v>43846.220370370371</v>
      </c>
      <c r="B1286" s="4" t="str">
        <f>HYPERLINK("https://twitter.com/petrogustavo","@petrogustavo")</f>
        <v>@petrogustavo</v>
      </c>
      <c r="C1286" s="5" t="s">
        <v>16</v>
      </c>
      <c r="D1286" s="5" t="s">
        <v>1269</v>
      </c>
      <c r="E1286" s="6" t="str">
        <f>HYPERLINK("https://twitter.com/petrogustavo/status/1217594142584426497","1217594142584426497")</f>
        <v>1217594142584426497</v>
      </c>
      <c r="F1286" s="7" t="s">
        <v>32</v>
      </c>
      <c r="G1286" s="7">
        <v>3609500</v>
      </c>
      <c r="H1286" s="7">
        <v>2347</v>
      </c>
      <c r="I1286" s="7">
        <v>10</v>
      </c>
      <c r="J1286" s="7">
        <v>0</v>
      </c>
      <c r="K1286" s="7" t="s">
        <v>18</v>
      </c>
      <c r="L1286" s="8">
        <v>39987.315405092595</v>
      </c>
      <c r="M1286" s="9" t="s">
        <v>19</v>
      </c>
      <c r="N1286" s="9" t="s">
        <v>20</v>
      </c>
      <c r="O1286" s="6" t="str">
        <f>HYPERLINK("https://pbs.twimg.com/profile_images/962471262747529216/Uo8lOkRJ_normal.jpg","View")</f>
        <v>View</v>
      </c>
      <c r="P1286" s="7"/>
    </row>
    <row r="1287" spans="1:16">
      <c r="A1287" s="3">
        <v>43846.289340277777</v>
      </c>
      <c r="B1287" s="4" t="str">
        <f>HYPERLINK("https://twitter.com/petrogustavo","@petrogustavo")</f>
        <v>@petrogustavo</v>
      </c>
      <c r="C1287" s="5" t="s">
        <v>16</v>
      </c>
      <c r="D1287" s="5" t="s">
        <v>1270</v>
      </c>
      <c r="E1287" s="6" t="str">
        <f>HYPERLINK("https://twitter.com/petrogustavo/status/1217619136462884864","1217619136462884864")</f>
        <v>1217619136462884864</v>
      </c>
      <c r="F1287" s="7" t="s">
        <v>17</v>
      </c>
      <c r="G1287" s="7">
        <v>3609615</v>
      </c>
      <c r="H1287" s="7">
        <v>2347</v>
      </c>
      <c r="I1287" s="7">
        <v>72</v>
      </c>
      <c r="J1287" s="7">
        <v>201</v>
      </c>
      <c r="K1287" s="7" t="s">
        <v>18</v>
      </c>
      <c r="L1287" s="8">
        <v>39987.315405092595</v>
      </c>
      <c r="M1287" s="9" t="s">
        <v>19</v>
      </c>
      <c r="N1287" s="9" t="s">
        <v>20</v>
      </c>
      <c r="O1287" s="6" t="str">
        <f>HYPERLINK("https://pbs.twimg.com/profile_images/962471262747529216/Uo8lOkRJ_normal.jpg","View")</f>
        <v>View</v>
      </c>
      <c r="P1287" s="7"/>
    </row>
    <row r="1288" spans="1:16">
      <c r="A1288" s="3">
        <v>43846.300069444449</v>
      </c>
      <c r="B1288" s="4" t="str">
        <f>HYPERLINK("https://twitter.com/petrogustavo","@petrogustavo")</f>
        <v>@petrogustavo</v>
      </c>
      <c r="C1288" s="5" t="s">
        <v>16</v>
      </c>
      <c r="D1288" s="5" t="s">
        <v>1271</v>
      </c>
      <c r="E1288" s="6" t="str">
        <f>HYPERLINK("https://twitter.com/petrogustavo/status/1217623027430711297","1217623027430711297")</f>
        <v>1217623027430711297</v>
      </c>
      <c r="F1288" s="7" t="s">
        <v>17</v>
      </c>
      <c r="G1288" s="7">
        <v>3609615</v>
      </c>
      <c r="H1288" s="7">
        <v>2347</v>
      </c>
      <c r="I1288" s="7">
        <v>48</v>
      </c>
      <c r="J1288" s="7">
        <v>151</v>
      </c>
      <c r="K1288" s="7" t="s">
        <v>18</v>
      </c>
      <c r="L1288" s="8">
        <v>39987.315405092595</v>
      </c>
      <c r="M1288" s="9" t="s">
        <v>19</v>
      </c>
      <c r="N1288" s="9" t="s">
        <v>20</v>
      </c>
      <c r="O1288" s="6" t="str">
        <f>HYPERLINK("https://pbs.twimg.com/profile_images/962471262747529216/Uo8lOkRJ_normal.jpg","View")</f>
        <v>View</v>
      </c>
      <c r="P1288" s="7"/>
    </row>
    <row r="1289" spans="1:16">
      <c r="A1289" s="3">
        <v>43846.302893518514</v>
      </c>
      <c r="B1289" s="4" t="str">
        <f>HYPERLINK("https://twitter.com/petrogustavo","@petrogustavo")</f>
        <v>@petrogustavo</v>
      </c>
      <c r="C1289" s="5" t="s">
        <v>16</v>
      </c>
      <c r="D1289" s="5" t="s">
        <v>1272</v>
      </c>
      <c r="E1289" s="6" t="str">
        <f>HYPERLINK("https://twitter.com/petrogustavo/status/1217624050761191426","1217624050761191426")</f>
        <v>1217624050761191426</v>
      </c>
      <c r="F1289" s="7" t="s">
        <v>17</v>
      </c>
      <c r="G1289" s="7">
        <v>3609615</v>
      </c>
      <c r="H1289" s="7">
        <v>2347</v>
      </c>
      <c r="I1289" s="7">
        <v>4</v>
      </c>
      <c r="J1289" s="7">
        <v>9</v>
      </c>
      <c r="K1289" s="7" t="s">
        <v>18</v>
      </c>
      <c r="L1289" s="8">
        <v>39987.315405092595</v>
      </c>
      <c r="M1289" s="9" t="s">
        <v>19</v>
      </c>
      <c r="N1289" s="9" t="s">
        <v>20</v>
      </c>
      <c r="O1289" s="6" t="str">
        <f>HYPERLINK("https://pbs.twimg.com/profile_images/962471262747529216/Uo8lOkRJ_normal.jpg","View")</f>
        <v>View</v>
      </c>
      <c r="P1289" s="7"/>
    </row>
    <row r="1290" spans="1:16">
      <c r="A1290" s="3">
        <v>43846.304375</v>
      </c>
      <c r="B1290" s="4" t="str">
        <f>HYPERLINK("https://twitter.com/petrogustavo","@petrogustavo")</f>
        <v>@petrogustavo</v>
      </c>
      <c r="C1290" s="5" t="s">
        <v>16</v>
      </c>
      <c r="D1290" s="5" t="s">
        <v>1273</v>
      </c>
      <c r="E1290" s="6" t="str">
        <f>HYPERLINK("https://twitter.com/petrogustavo/status/1217624586482790400","1217624586482790400")</f>
        <v>1217624586482790400</v>
      </c>
      <c r="F1290" s="7" t="s">
        <v>17</v>
      </c>
      <c r="G1290" s="7">
        <v>3609648</v>
      </c>
      <c r="H1290" s="7">
        <v>2347</v>
      </c>
      <c r="I1290" s="7">
        <v>105</v>
      </c>
      <c r="J1290" s="7">
        <v>0</v>
      </c>
      <c r="K1290" s="7" t="s">
        <v>18</v>
      </c>
      <c r="L1290" s="8">
        <v>39987.315405092595</v>
      </c>
      <c r="M1290" s="9" t="s">
        <v>19</v>
      </c>
      <c r="N1290" s="9" t="s">
        <v>20</v>
      </c>
      <c r="O1290" s="6" t="str">
        <f>HYPERLINK("https://pbs.twimg.com/profile_images/962471262747529216/Uo8lOkRJ_normal.jpg","View")</f>
        <v>View</v>
      </c>
      <c r="P1290" s="7"/>
    </row>
    <row r="1291" spans="1:16">
      <c r="A1291" s="3">
        <v>43846.307291666672</v>
      </c>
      <c r="B1291" s="4" t="str">
        <f>HYPERLINK("https://twitter.com/petrogustavo","@petrogustavo")</f>
        <v>@petrogustavo</v>
      </c>
      <c r="C1291" s="5" t="s">
        <v>16</v>
      </c>
      <c r="D1291" s="5" t="s">
        <v>1274</v>
      </c>
      <c r="E1291" s="6" t="str">
        <f>HYPERLINK("https://twitter.com/petrogustavo/status/1217625645066391552","1217625645066391552")</f>
        <v>1217625645066391552</v>
      </c>
      <c r="F1291" s="7" t="s">
        <v>17</v>
      </c>
      <c r="G1291" s="7">
        <v>3609648</v>
      </c>
      <c r="H1291" s="7">
        <v>2347</v>
      </c>
      <c r="I1291" s="7">
        <v>113</v>
      </c>
      <c r="J1291" s="7">
        <v>335</v>
      </c>
      <c r="K1291" s="7" t="s">
        <v>18</v>
      </c>
      <c r="L1291" s="8">
        <v>39987.315405092595</v>
      </c>
      <c r="M1291" s="9" t="s">
        <v>19</v>
      </c>
      <c r="N1291" s="9" t="s">
        <v>20</v>
      </c>
      <c r="O1291" s="6" t="str">
        <f>HYPERLINK("https://pbs.twimg.com/profile_images/962471262747529216/Uo8lOkRJ_normal.jpg","View")</f>
        <v>View</v>
      </c>
      <c r="P1291" s="7"/>
    </row>
    <row r="1292" spans="1:16">
      <c r="A1292" s="3">
        <v>43846.762395833328</v>
      </c>
      <c r="B1292" s="4" t="str">
        <f>HYPERLINK("https://twitter.com/petrogustavo","@petrogustavo")</f>
        <v>@petrogustavo</v>
      </c>
      <c r="C1292" s="5" t="s">
        <v>16</v>
      </c>
      <c r="D1292" s="5" t="s">
        <v>1275</v>
      </c>
      <c r="E1292" s="6" t="str">
        <f>HYPERLINK("https://twitter.com/petrogustavo/status/1217790566999740417","1217790566999740417")</f>
        <v>1217790566999740417</v>
      </c>
      <c r="F1292" s="7" t="s">
        <v>17</v>
      </c>
      <c r="G1292" s="7">
        <v>3609865</v>
      </c>
      <c r="H1292" s="7">
        <v>2347</v>
      </c>
      <c r="I1292" s="7">
        <v>198</v>
      </c>
      <c r="J1292" s="7">
        <v>459</v>
      </c>
      <c r="K1292" s="7" t="s">
        <v>18</v>
      </c>
      <c r="L1292" s="8">
        <v>39987.315405092595</v>
      </c>
      <c r="M1292" s="9" t="s">
        <v>19</v>
      </c>
      <c r="N1292" s="9" t="s">
        <v>20</v>
      </c>
      <c r="O1292" s="6" t="str">
        <f>HYPERLINK("https://pbs.twimg.com/profile_images/962471262747529216/Uo8lOkRJ_normal.jpg","View")</f>
        <v>View</v>
      </c>
      <c r="P1292" s="7"/>
    </row>
    <row r="1293" spans="1:16">
      <c r="A1293" s="3">
        <v>43846.772199074076</v>
      </c>
      <c r="B1293" s="4" t="str">
        <f>HYPERLINK("https://twitter.com/petrogustavo","@petrogustavo")</f>
        <v>@petrogustavo</v>
      </c>
      <c r="C1293" s="5" t="s">
        <v>16</v>
      </c>
      <c r="D1293" s="5" t="s">
        <v>1276</v>
      </c>
      <c r="E1293" s="6" t="str">
        <f>HYPERLINK("https://twitter.com/petrogustavo/status/1217794122473525248","1217794122473525248")</f>
        <v>1217794122473525248</v>
      </c>
      <c r="F1293" s="7" t="s">
        <v>17</v>
      </c>
      <c r="G1293" s="7">
        <v>3609865</v>
      </c>
      <c r="H1293" s="7">
        <v>2347</v>
      </c>
      <c r="I1293" s="7">
        <v>158</v>
      </c>
      <c r="J1293" s="7">
        <v>318</v>
      </c>
      <c r="K1293" s="7" t="s">
        <v>18</v>
      </c>
      <c r="L1293" s="8">
        <v>39987.315405092595</v>
      </c>
      <c r="M1293" s="9" t="s">
        <v>19</v>
      </c>
      <c r="N1293" s="9" t="s">
        <v>20</v>
      </c>
      <c r="O1293" s="6" t="str">
        <f>HYPERLINK("https://pbs.twimg.com/profile_images/962471262747529216/Uo8lOkRJ_normal.jpg","View")</f>
        <v>View</v>
      </c>
      <c r="P1293" s="7"/>
    </row>
    <row r="1294" spans="1:16">
      <c r="A1294" s="3">
        <v>43846.80840277778</v>
      </c>
      <c r="B1294" s="4" t="str">
        <f>HYPERLINK("https://twitter.com/petrogustavo","@petrogustavo")</f>
        <v>@petrogustavo</v>
      </c>
      <c r="C1294" s="5" t="s">
        <v>16</v>
      </c>
      <c r="D1294" s="5" t="s">
        <v>1277</v>
      </c>
      <c r="E1294" s="6" t="str">
        <f>HYPERLINK("https://twitter.com/petrogustavo/status/1217807238204657664","1217807238204657664")</f>
        <v>1217807238204657664</v>
      </c>
      <c r="F1294" s="7" t="s">
        <v>17</v>
      </c>
      <c r="G1294" s="7">
        <v>3609926</v>
      </c>
      <c r="H1294" s="7">
        <v>2347</v>
      </c>
      <c r="I1294" s="7">
        <v>53</v>
      </c>
      <c r="J1294" s="7">
        <v>156</v>
      </c>
      <c r="K1294" s="7" t="s">
        <v>18</v>
      </c>
      <c r="L1294" s="8">
        <v>39987.315405092595</v>
      </c>
      <c r="M1294" s="9" t="s">
        <v>19</v>
      </c>
      <c r="N1294" s="9" t="s">
        <v>20</v>
      </c>
      <c r="O1294" s="6" t="str">
        <f>HYPERLINK("https://pbs.twimg.com/profile_images/962471262747529216/Uo8lOkRJ_normal.jpg","View")</f>
        <v>View</v>
      </c>
      <c r="P1294" s="7"/>
    </row>
    <row r="1295" spans="1:16">
      <c r="A1295" s="3">
        <v>43846.80840277778</v>
      </c>
      <c r="B1295" s="4" t="str">
        <f>HYPERLINK("https://twitter.com/petrogustavo","@petrogustavo")</f>
        <v>@petrogustavo</v>
      </c>
      <c r="C1295" s="5" t="s">
        <v>16</v>
      </c>
      <c r="D1295" s="5" t="s">
        <v>1278</v>
      </c>
      <c r="E1295" s="6" t="str">
        <f>HYPERLINK("https://twitter.com/petrogustavo/status/1217807239400099842","1217807239400099842")</f>
        <v>1217807239400099842</v>
      </c>
      <c r="F1295" s="7" t="s">
        <v>17</v>
      </c>
      <c r="G1295" s="7">
        <v>3609926</v>
      </c>
      <c r="H1295" s="7">
        <v>2347</v>
      </c>
      <c r="I1295" s="7">
        <v>36</v>
      </c>
      <c r="J1295" s="7">
        <v>109</v>
      </c>
      <c r="K1295" s="7" t="s">
        <v>18</v>
      </c>
      <c r="L1295" s="8">
        <v>39987.315405092595</v>
      </c>
      <c r="M1295" s="9" t="s">
        <v>19</v>
      </c>
      <c r="N1295" s="9" t="s">
        <v>20</v>
      </c>
      <c r="O1295" s="6" t="str">
        <f>HYPERLINK("https://pbs.twimg.com/profile_images/962471262747529216/Uo8lOkRJ_normal.jpg","View")</f>
        <v>View</v>
      </c>
      <c r="P1295" s="7"/>
    </row>
    <row r="1296" spans="1:16">
      <c r="A1296" s="3">
        <v>43846.82980324074</v>
      </c>
      <c r="B1296" s="4" t="str">
        <f>HYPERLINK("https://twitter.com/petrogustavo","@petrogustavo")</f>
        <v>@petrogustavo</v>
      </c>
      <c r="C1296" s="5" t="s">
        <v>16</v>
      </c>
      <c r="D1296" s="5" t="s">
        <v>1279</v>
      </c>
      <c r="E1296" s="6" t="str">
        <f>HYPERLINK("https://twitter.com/petrogustavo/status/1217814995754520576","1217814995754520576")</f>
        <v>1217814995754520576</v>
      </c>
      <c r="F1296" s="7" t="s">
        <v>17</v>
      </c>
      <c r="G1296" s="7">
        <v>3609940</v>
      </c>
      <c r="H1296" s="7">
        <v>2349</v>
      </c>
      <c r="I1296" s="7">
        <v>728</v>
      </c>
      <c r="J1296" s="7">
        <v>0</v>
      </c>
      <c r="K1296" s="7" t="s">
        <v>18</v>
      </c>
      <c r="L1296" s="8">
        <v>39987.315405092595</v>
      </c>
      <c r="M1296" s="9" t="s">
        <v>19</v>
      </c>
      <c r="N1296" s="9" t="s">
        <v>20</v>
      </c>
      <c r="O1296" s="6" t="str">
        <f>HYPERLINK("https://pbs.twimg.com/profile_images/962471262747529216/Uo8lOkRJ_normal.jpg","View")</f>
        <v>View</v>
      </c>
      <c r="P1296" s="7"/>
    </row>
    <row r="1297" spans="1:16">
      <c r="A1297" s="3">
        <v>43846.830509259264</v>
      </c>
      <c r="B1297" s="4" t="str">
        <f>HYPERLINK("https://twitter.com/petrogustavo","@petrogustavo")</f>
        <v>@petrogustavo</v>
      </c>
      <c r="C1297" s="5" t="s">
        <v>16</v>
      </c>
      <c r="D1297" s="5" t="s">
        <v>1280</v>
      </c>
      <c r="E1297" s="6" t="str">
        <f>HYPERLINK("https://twitter.com/petrogustavo/status/1217815251690885120","1217815251690885120")</f>
        <v>1217815251690885120</v>
      </c>
      <c r="F1297" s="7" t="s">
        <v>17</v>
      </c>
      <c r="G1297" s="7">
        <v>3609940</v>
      </c>
      <c r="H1297" s="7">
        <v>2349</v>
      </c>
      <c r="I1297" s="7">
        <v>392</v>
      </c>
      <c r="J1297" s="7">
        <v>0</v>
      </c>
      <c r="K1297" s="7" t="s">
        <v>18</v>
      </c>
      <c r="L1297" s="8">
        <v>39987.315405092595</v>
      </c>
      <c r="M1297" s="9" t="s">
        <v>19</v>
      </c>
      <c r="N1297" s="9" t="s">
        <v>20</v>
      </c>
      <c r="O1297" s="6" t="str">
        <f>HYPERLINK("https://pbs.twimg.com/profile_images/962471262747529216/Uo8lOkRJ_normal.jpg","View")</f>
        <v>View</v>
      </c>
      <c r="P1297" s="7"/>
    </row>
    <row r="1298" spans="1:16">
      <c r="A1298" s="3">
        <v>43846.832013888888</v>
      </c>
      <c r="B1298" s="4" t="str">
        <f>HYPERLINK("https://twitter.com/petrogustavo","@petrogustavo")</f>
        <v>@petrogustavo</v>
      </c>
      <c r="C1298" s="5" t="s">
        <v>16</v>
      </c>
      <c r="D1298" s="5" t="s">
        <v>1281</v>
      </c>
      <c r="E1298" s="6" t="str">
        <f>HYPERLINK("https://twitter.com/petrogustavo/status/1217815796459671557","1217815796459671557")</f>
        <v>1217815796459671557</v>
      </c>
      <c r="F1298" s="7" t="s">
        <v>17</v>
      </c>
      <c r="G1298" s="7">
        <v>3609940</v>
      </c>
      <c r="H1298" s="7">
        <v>2349</v>
      </c>
      <c r="I1298" s="7">
        <v>198</v>
      </c>
      <c r="J1298" s="7">
        <v>327</v>
      </c>
      <c r="K1298" s="7" t="s">
        <v>18</v>
      </c>
      <c r="L1298" s="8">
        <v>39987.315405092595</v>
      </c>
      <c r="M1298" s="9" t="s">
        <v>19</v>
      </c>
      <c r="N1298" s="9" t="s">
        <v>20</v>
      </c>
      <c r="O1298" s="6" t="str">
        <f>HYPERLINK("https://pbs.twimg.com/profile_images/962471262747529216/Uo8lOkRJ_normal.jpg","View")</f>
        <v>View</v>
      </c>
      <c r="P1298" s="7"/>
    </row>
    <row r="1299" spans="1:16">
      <c r="A1299" s="3">
        <v>43846.836192129631</v>
      </c>
      <c r="B1299" s="4" t="str">
        <f>HYPERLINK("https://twitter.com/petrogustavo","@petrogustavo")</f>
        <v>@petrogustavo</v>
      </c>
      <c r="C1299" s="5" t="s">
        <v>16</v>
      </c>
      <c r="D1299" s="5" t="s">
        <v>1282</v>
      </c>
      <c r="E1299" s="6" t="str">
        <f>HYPERLINK("https://twitter.com/petrogustavo/status/1217817312113446912","1217817312113446912")</f>
        <v>1217817312113446912</v>
      </c>
      <c r="F1299" s="7" t="s">
        <v>17</v>
      </c>
      <c r="G1299" s="7">
        <v>3609940</v>
      </c>
      <c r="H1299" s="7">
        <v>2349</v>
      </c>
      <c r="I1299" s="7">
        <v>34</v>
      </c>
      <c r="J1299" s="7">
        <v>105</v>
      </c>
      <c r="K1299" s="7" t="s">
        <v>18</v>
      </c>
      <c r="L1299" s="8">
        <v>39987.315405092595</v>
      </c>
      <c r="M1299" s="9" t="s">
        <v>19</v>
      </c>
      <c r="N1299" s="9" t="s">
        <v>20</v>
      </c>
      <c r="O1299" s="6" t="str">
        <f>HYPERLINK("https://pbs.twimg.com/profile_images/962471262747529216/Uo8lOkRJ_normal.jpg","View")</f>
        <v>View</v>
      </c>
      <c r="P1299" s="7"/>
    </row>
    <row r="1300" spans="1:16">
      <c r="A1300" s="3">
        <v>43846.839895833335</v>
      </c>
      <c r="B1300" s="4" t="str">
        <f>HYPERLINK("https://twitter.com/petrogustavo","@petrogustavo")</f>
        <v>@petrogustavo</v>
      </c>
      <c r="C1300" s="5" t="s">
        <v>16</v>
      </c>
      <c r="D1300" s="5" t="s">
        <v>1283</v>
      </c>
      <c r="E1300" s="6" t="str">
        <f>HYPERLINK("https://twitter.com/petrogustavo/status/1217818652076101634","1217818652076101634")</f>
        <v>1217818652076101634</v>
      </c>
      <c r="F1300" s="7" t="s">
        <v>17</v>
      </c>
      <c r="G1300" s="7">
        <v>3609940</v>
      </c>
      <c r="H1300" s="7">
        <v>2349</v>
      </c>
      <c r="I1300" s="7">
        <v>57</v>
      </c>
      <c r="J1300" s="7">
        <v>100</v>
      </c>
      <c r="K1300" s="7" t="s">
        <v>18</v>
      </c>
      <c r="L1300" s="8">
        <v>39987.315405092595</v>
      </c>
      <c r="M1300" s="9" t="s">
        <v>19</v>
      </c>
      <c r="N1300" s="9" t="s">
        <v>20</v>
      </c>
      <c r="O1300" s="6" t="str">
        <f>HYPERLINK("https://pbs.twimg.com/profile_images/962471262747529216/Uo8lOkRJ_normal.jpg","View")</f>
        <v>View</v>
      </c>
      <c r="P1300" s="7"/>
    </row>
    <row r="1301" spans="1:16">
      <c r="A1301" s="3">
        <v>43846.842800925922</v>
      </c>
      <c r="B1301" s="4" t="str">
        <f>HYPERLINK("https://twitter.com/petrogustavo","@petrogustavo")</f>
        <v>@petrogustavo</v>
      </c>
      <c r="C1301" s="5" t="s">
        <v>16</v>
      </c>
      <c r="D1301" s="5" t="s">
        <v>1284</v>
      </c>
      <c r="E1301" s="6" t="str">
        <f>HYPERLINK("https://twitter.com/petrogustavo/status/1217819707685904384","1217819707685904384")</f>
        <v>1217819707685904384</v>
      </c>
      <c r="F1301" s="7" t="s">
        <v>17</v>
      </c>
      <c r="G1301" s="7">
        <v>3609940</v>
      </c>
      <c r="H1301" s="7">
        <v>2349</v>
      </c>
      <c r="I1301" s="7">
        <v>28</v>
      </c>
      <c r="J1301" s="7">
        <v>82</v>
      </c>
      <c r="K1301" s="7" t="s">
        <v>18</v>
      </c>
      <c r="L1301" s="8">
        <v>39987.315405092595</v>
      </c>
      <c r="M1301" s="9" t="s">
        <v>19</v>
      </c>
      <c r="N1301" s="9" t="s">
        <v>20</v>
      </c>
      <c r="O1301" s="6" t="str">
        <f>HYPERLINK("https://pbs.twimg.com/profile_images/962471262747529216/Uo8lOkRJ_normal.jpg","View")</f>
        <v>View</v>
      </c>
      <c r="P1301" s="7"/>
    </row>
    <row r="1302" spans="1:16">
      <c r="A1302" s="3">
        <v>43846.850162037037</v>
      </c>
      <c r="B1302" s="4" t="str">
        <f>HYPERLINK("https://twitter.com/petrogustavo","@petrogustavo")</f>
        <v>@petrogustavo</v>
      </c>
      <c r="C1302" s="5" t="s">
        <v>16</v>
      </c>
      <c r="D1302" s="5" t="s">
        <v>1285</v>
      </c>
      <c r="E1302" s="6" t="str">
        <f>HYPERLINK("https://twitter.com/petrogustavo/status/1217822374436974594","1217822374436974594")</f>
        <v>1217822374436974594</v>
      </c>
      <c r="F1302" s="7" t="s">
        <v>17</v>
      </c>
      <c r="G1302" s="7">
        <v>3609973</v>
      </c>
      <c r="H1302" s="7">
        <v>2349</v>
      </c>
      <c r="I1302" s="7">
        <v>961</v>
      </c>
      <c r="J1302" s="7">
        <v>0</v>
      </c>
      <c r="K1302" s="7" t="s">
        <v>18</v>
      </c>
      <c r="L1302" s="8">
        <v>39987.315405092595</v>
      </c>
      <c r="M1302" s="9" t="s">
        <v>19</v>
      </c>
      <c r="N1302" s="9" t="s">
        <v>20</v>
      </c>
      <c r="O1302" s="6" t="str">
        <f>HYPERLINK("https://pbs.twimg.com/profile_images/962471262747529216/Uo8lOkRJ_normal.jpg","View")</f>
        <v>View</v>
      </c>
      <c r="P1302" s="7"/>
    </row>
    <row r="1303" spans="1:16">
      <c r="A1303" s="3">
        <v>43846.882870370369</v>
      </c>
      <c r="B1303" s="4" t="str">
        <f>HYPERLINK("https://twitter.com/petrogustavo","@petrogustavo")</f>
        <v>@petrogustavo</v>
      </c>
      <c r="C1303" s="5" t="s">
        <v>16</v>
      </c>
      <c r="D1303" s="5" t="s">
        <v>1286</v>
      </c>
      <c r="E1303" s="6" t="str">
        <f>HYPERLINK("https://twitter.com/petrogustavo/status/1217834225593999367","1217834225593999367")</f>
        <v>1217834225593999367</v>
      </c>
      <c r="F1303" s="7" t="s">
        <v>32</v>
      </c>
      <c r="G1303" s="7">
        <v>3609997</v>
      </c>
      <c r="H1303" s="7">
        <v>2349</v>
      </c>
      <c r="I1303" s="7">
        <v>56</v>
      </c>
      <c r="J1303" s="7">
        <v>155</v>
      </c>
      <c r="K1303" s="7" t="s">
        <v>18</v>
      </c>
      <c r="L1303" s="8">
        <v>39987.315405092595</v>
      </c>
      <c r="M1303" s="9" t="s">
        <v>19</v>
      </c>
      <c r="N1303" s="9" t="s">
        <v>20</v>
      </c>
      <c r="O1303" s="6" t="str">
        <f>HYPERLINK("https://pbs.twimg.com/profile_images/962471262747529216/Uo8lOkRJ_normal.jpg","View")</f>
        <v>View</v>
      </c>
      <c r="P1303" s="7"/>
    </row>
    <row r="1304" spans="1:16">
      <c r="A1304" s="3">
        <v>43846.88486111111</v>
      </c>
      <c r="B1304" s="4" t="str">
        <f>HYPERLINK("https://twitter.com/petrogustavo","@petrogustavo")</f>
        <v>@petrogustavo</v>
      </c>
      <c r="C1304" s="5" t="s">
        <v>16</v>
      </c>
      <c r="D1304" s="5" t="s">
        <v>1287</v>
      </c>
      <c r="E1304" s="6" t="str">
        <f>HYPERLINK("https://twitter.com/petrogustavo/status/1217834947110735872","1217834947110735872")</f>
        <v>1217834947110735872</v>
      </c>
      <c r="F1304" s="7" t="s">
        <v>32</v>
      </c>
      <c r="G1304" s="7">
        <v>3609997</v>
      </c>
      <c r="H1304" s="7">
        <v>2349</v>
      </c>
      <c r="I1304" s="7">
        <v>7</v>
      </c>
      <c r="J1304" s="7">
        <v>0</v>
      </c>
      <c r="K1304" s="7" t="s">
        <v>18</v>
      </c>
      <c r="L1304" s="8">
        <v>39987.315405092595</v>
      </c>
      <c r="M1304" s="9" t="s">
        <v>19</v>
      </c>
      <c r="N1304" s="9" t="s">
        <v>20</v>
      </c>
      <c r="O1304" s="6" t="str">
        <f>HYPERLINK("https://pbs.twimg.com/profile_images/962471262747529216/Uo8lOkRJ_normal.jpg","View")</f>
        <v>View</v>
      </c>
      <c r="P1304" s="7"/>
    </row>
    <row r="1305" spans="1:16">
      <c r="A1305" s="3">
        <v>43846.885150462964</v>
      </c>
      <c r="B1305" s="4" t="str">
        <f>HYPERLINK("https://twitter.com/petrogustavo","@petrogustavo")</f>
        <v>@petrogustavo</v>
      </c>
      <c r="C1305" s="5" t="s">
        <v>16</v>
      </c>
      <c r="D1305" s="5" t="s">
        <v>1288</v>
      </c>
      <c r="E1305" s="6" t="str">
        <f>HYPERLINK("https://twitter.com/petrogustavo/status/1217835051137802240","1217835051137802240")</f>
        <v>1217835051137802240</v>
      </c>
      <c r="F1305" s="7" t="s">
        <v>32</v>
      </c>
      <c r="G1305" s="7">
        <v>3609997</v>
      </c>
      <c r="H1305" s="7">
        <v>2349</v>
      </c>
      <c r="I1305" s="7">
        <v>32</v>
      </c>
      <c r="J1305" s="7">
        <v>0</v>
      </c>
      <c r="K1305" s="7" t="s">
        <v>18</v>
      </c>
      <c r="L1305" s="8">
        <v>39987.315405092595</v>
      </c>
      <c r="M1305" s="9" t="s">
        <v>19</v>
      </c>
      <c r="N1305" s="9" t="s">
        <v>20</v>
      </c>
      <c r="O1305" s="6" t="str">
        <f>HYPERLINK("https://pbs.twimg.com/profile_images/962471262747529216/Uo8lOkRJ_normal.jpg","View")</f>
        <v>View</v>
      </c>
      <c r="P1305" s="7"/>
    </row>
    <row r="1306" spans="1:16">
      <c r="A1306" s="3">
        <v>43846.887175925927</v>
      </c>
      <c r="B1306" s="4" t="str">
        <f>HYPERLINK("https://twitter.com/petrogustavo","@petrogustavo")</f>
        <v>@petrogustavo</v>
      </c>
      <c r="C1306" s="5" t="s">
        <v>16</v>
      </c>
      <c r="D1306" s="5" t="s">
        <v>1289</v>
      </c>
      <c r="E1306" s="6" t="str">
        <f>HYPERLINK("https://twitter.com/petrogustavo/status/1217835788647436289","1217835788647436289")</f>
        <v>1217835788647436289</v>
      </c>
      <c r="F1306" s="7" t="s">
        <v>32</v>
      </c>
      <c r="G1306" s="7">
        <v>3610034</v>
      </c>
      <c r="H1306" s="7">
        <v>2349</v>
      </c>
      <c r="I1306" s="7">
        <v>70</v>
      </c>
      <c r="J1306" s="7">
        <v>181</v>
      </c>
      <c r="K1306" s="7" t="s">
        <v>18</v>
      </c>
      <c r="L1306" s="8">
        <v>39987.315405092595</v>
      </c>
      <c r="M1306" s="9" t="s">
        <v>19</v>
      </c>
      <c r="N1306" s="9" t="s">
        <v>20</v>
      </c>
      <c r="O1306" s="6" t="str">
        <f>HYPERLINK("https://pbs.twimg.com/profile_images/962471262747529216/Uo8lOkRJ_normal.jpg","View")</f>
        <v>View</v>
      </c>
      <c r="P1306" s="7"/>
    </row>
    <row r="1307" spans="1:16">
      <c r="A1307" s="3">
        <v>43846.902418981481</v>
      </c>
      <c r="B1307" s="4" t="str">
        <f>HYPERLINK("https://twitter.com/petrogustavo","@petrogustavo")</f>
        <v>@petrogustavo</v>
      </c>
      <c r="C1307" s="5" t="s">
        <v>16</v>
      </c>
      <c r="D1307" s="5" t="s">
        <v>1290</v>
      </c>
      <c r="E1307" s="6" t="str">
        <f>HYPERLINK("https://twitter.com/petrogustavo/status/1217841311673462789","1217841311673462789")</f>
        <v>1217841311673462789</v>
      </c>
      <c r="F1307" s="7" t="s">
        <v>32</v>
      </c>
      <c r="G1307" s="7">
        <v>3610034</v>
      </c>
      <c r="H1307" s="7">
        <v>2349</v>
      </c>
      <c r="I1307" s="7">
        <v>28</v>
      </c>
      <c r="J1307" s="7">
        <v>0</v>
      </c>
      <c r="K1307" s="7" t="s">
        <v>18</v>
      </c>
      <c r="L1307" s="8">
        <v>39987.315405092595</v>
      </c>
      <c r="M1307" s="9" t="s">
        <v>19</v>
      </c>
      <c r="N1307" s="9" t="s">
        <v>20</v>
      </c>
      <c r="O1307" s="6" t="str">
        <f>HYPERLINK("https://pbs.twimg.com/profile_images/962471262747529216/Uo8lOkRJ_normal.jpg","View")</f>
        <v>View</v>
      </c>
      <c r="P1307" s="7"/>
    </row>
    <row r="1308" spans="1:16">
      <c r="A1308" s="3">
        <v>43846.904826388884</v>
      </c>
      <c r="B1308" s="4" t="str">
        <f>HYPERLINK("https://twitter.com/petrogustavo","@petrogustavo")</f>
        <v>@petrogustavo</v>
      </c>
      <c r="C1308" s="5" t="s">
        <v>16</v>
      </c>
      <c r="D1308" s="5" t="s">
        <v>1291</v>
      </c>
      <c r="E1308" s="6" t="str">
        <f>HYPERLINK("https://twitter.com/petrogustavo/status/1217842183472144384","1217842183472144384")</f>
        <v>1217842183472144384</v>
      </c>
      <c r="F1308" s="7" t="s">
        <v>32</v>
      </c>
      <c r="G1308" s="7">
        <v>3610034</v>
      </c>
      <c r="H1308" s="7">
        <v>2349</v>
      </c>
      <c r="I1308" s="7">
        <v>70</v>
      </c>
      <c r="J1308" s="7">
        <v>0</v>
      </c>
      <c r="K1308" s="7" t="s">
        <v>18</v>
      </c>
      <c r="L1308" s="8">
        <v>39987.315405092595</v>
      </c>
      <c r="M1308" s="9" t="s">
        <v>19</v>
      </c>
      <c r="N1308" s="9" t="s">
        <v>20</v>
      </c>
      <c r="O1308" s="6" t="str">
        <f>HYPERLINK("https://pbs.twimg.com/profile_images/962471262747529216/Uo8lOkRJ_normal.jpg","View")</f>
        <v>View</v>
      </c>
      <c r="P1308" s="7"/>
    </row>
    <row r="1309" spans="1:16">
      <c r="A1309" s="3">
        <v>43846.905034722222</v>
      </c>
      <c r="B1309" s="4" t="str">
        <f>HYPERLINK("https://twitter.com/petrogustavo","@petrogustavo")</f>
        <v>@petrogustavo</v>
      </c>
      <c r="C1309" s="5" t="s">
        <v>16</v>
      </c>
      <c r="D1309" s="5" t="s">
        <v>1292</v>
      </c>
      <c r="E1309" s="6" t="str">
        <f>HYPERLINK("https://twitter.com/petrogustavo/status/1217842259934183429","1217842259934183429")</f>
        <v>1217842259934183429</v>
      </c>
      <c r="F1309" s="7" t="s">
        <v>32</v>
      </c>
      <c r="G1309" s="7">
        <v>3610034</v>
      </c>
      <c r="H1309" s="7">
        <v>2349</v>
      </c>
      <c r="I1309" s="7">
        <v>295</v>
      </c>
      <c r="J1309" s="7">
        <v>0</v>
      </c>
      <c r="K1309" s="7" t="s">
        <v>18</v>
      </c>
      <c r="L1309" s="8">
        <v>39987.315405092595</v>
      </c>
      <c r="M1309" s="9" t="s">
        <v>19</v>
      </c>
      <c r="N1309" s="9" t="s">
        <v>20</v>
      </c>
      <c r="O1309" s="6" t="str">
        <f>HYPERLINK("https://pbs.twimg.com/profile_images/962471262747529216/Uo8lOkRJ_normal.jpg","View")</f>
        <v>View</v>
      </c>
      <c r="P1309" s="7"/>
    </row>
    <row r="1310" spans="1:16">
      <c r="A1310" s="3">
        <v>43846.909375000003</v>
      </c>
      <c r="B1310" s="4" t="str">
        <f>HYPERLINK("https://twitter.com/petrogustavo","@petrogustavo")</f>
        <v>@petrogustavo</v>
      </c>
      <c r="C1310" s="5" t="s">
        <v>16</v>
      </c>
      <c r="D1310" s="5" t="s">
        <v>1293</v>
      </c>
      <c r="E1310" s="6" t="str">
        <f>HYPERLINK("https://twitter.com/petrogustavo/status/1217843832362098688","1217843832362098688")</f>
        <v>1217843832362098688</v>
      </c>
      <c r="F1310" s="7" t="s">
        <v>17</v>
      </c>
      <c r="G1310" s="7">
        <v>3610055</v>
      </c>
      <c r="H1310" s="7">
        <v>2349</v>
      </c>
      <c r="I1310" s="7">
        <v>150</v>
      </c>
      <c r="J1310" s="7">
        <v>272</v>
      </c>
      <c r="K1310" s="7" t="s">
        <v>18</v>
      </c>
      <c r="L1310" s="8">
        <v>39987.315405092595</v>
      </c>
      <c r="M1310" s="9" t="s">
        <v>19</v>
      </c>
      <c r="N1310" s="9" t="s">
        <v>20</v>
      </c>
      <c r="O1310" s="6" t="str">
        <f>HYPERLINK("https://pbs.twimg.com/profile_images/962471262747529216/Uo8lOkRJ_normal.jpg","View")</f>
        <v>View</v>
      </c>
      <c r="P1310" s="7"/>
    </row>
    <row r="1311" spans="1:16">
      <c r="A1311" s="3">
        <v>43846.945972222224</v>
      </c>
      <c r="B1311" s="4" t="str">
        <f>HYPERLINK("https://twitter.com/petrogustavo","@petrogustavo")</f>
        <v>@petrogustavo</v>
      </c>
      <c r="C1311" s="5" t="s">
        <v>16</v>
      </c>
      <c r="D1311" s="5" t="s">
        <v>1294</v>
      </c>
      <c r="E1311" s="6" t="str">
        <f>HYPERLINK("https://twitter.com/petrogustavo/status/1217857094231232512","1217857094231232512")</f>
        <v>1217857094231232512</v>
      </c>
      <c r="F1311" s="7" t="s">
        <v>17</v>
      </c>
      <c r="G1311" s="7">
        <v>3610092</v>
      </c>
      <c r="H1311" s="7">
        <v>2349</v>
      </c>
      <c r="I1311" s="7">
        <v>605</v>
      </c>
      <c r="J1311" s="7">
        <v>0</v>
      </c>
      <c r="K1311" s="7" t="s">
        <v>18</v>
      </c>
      <c r="L1311" s="8">
        <v>39987.315405092595</v>
      </c>
      <c r="M1311" s="9" t="s">
        <v>19</v>
      </c>
      <c r="N1311" s="9" t="s">
        <v>20</v>
      </c>
      <c r="O1311" s="6" t="str">
        <f>HYPERLINK("https://pbs.twimg.com/profile_images/962471262747529216/Uo8lOkRJ_normal.jpg","View")</f>
        <v>View</v>
      </c>
      <c r="P1311" s="7"/>
    </row>
    <row r="1312" spans="1:16">
      <c r="A1312" s="3">
        <v>43846.949178240742</v>
      </c>
      <c r="B1312" s="4" t="str">
        <f>HYPERLINK("https://twitter.com/petrogustavo","@petrogustavo")</f>
        <v>@petrogustavo</v>
      </c>
      <c r="C1312" s="5" t="s">
        <v>16</v>
      </c>
      <c r="D1312" s="5" t="s">
        <v>1295</v>
      </c>
      <c r="E1312" s="6" t="str">
        <f>HYPERLINK("https://twitter.com/petrogustavo/status/1217858253591384065","1217858253591384065")</f>
        <v>1217858253591384065</v>
      </c>
      <c r="F1312" s="7" t="s">
        <v>17</v>
      </c>
      <c r="G1312" s="7">
        <v>3610092</v>
      </c>
      <c r="H1312" s="7">
        <v>2349</v>
      </c>
      <c r="I1312" s="7">
        <v>8</v>
      </c>
      <c r="J1312" s="7">
        <v>12</v>
      </c>
      <c r="K1312" s="7" t="s">
        <v>18</v>
      </c>
      <c r="L1312" s="8">
        <v>39987.315405092595</v>
      </c>
      <c r="M1312" s="9" t="s">
        <v>19</v>
      </c>
      <c r="N1312" s="9" t="s">
        <v>20</v>
      </c>
      <c r="O1312" s="6" t="str">
        <f>HYPERLINK("https://pbs.twimg.com/profile_images/962471262747529216/Uo8lOkRJ_normal.jpg","View")</f>
        <v>View</v>
      </c>
      <c r="P1312" s="7"/>
    </row>
    <row r="1313" spans="1:16">
      <c r="A1313" s="3">
        <v>43846.949745370366</v>
      </c>
      <c r="B1313" s="4" t="str">
        <f>HYPERLINK("https://twitter.com/petrogustavo","@petrogustavo")</f>
        <v>@petrogustavo</v>
      </c>
      <c r="C1313" s="5" t="s">
        <v>16</v>
      </c>
      <c r="D1313" s="5" t="s">
        <v>1296</v>
      </c>
      <c r="E1313" s="6" t="str">
        <f>HYPERLINK("https://twitter.com/petrogustavo/status/1217858462694158337","1217858462694158337")</f>
        <v>1217858462694158337</v>
      </c>
      <c r="F1313" s="7" t="s">
        <v>17</v>
      </c>
      <c r="G1313" s="7">
        <v>3610092</v>
      </c>
      <c r="H1313" s="7">
        <v>2349</v>
      </c>
      <c r="I1313" s="7">
        <v>1</v>
      </c>
      <c r="J1313" s="7">
        <v>3</v>
      </c>
      <c r="K1313" s="7" t="s">
        <v>18</v>
      </c>
      <c r="L1313" s="8">
        <v>39987.315405092595</v>
      </c>
      <c r="M1313" s="9" t="s">
        <v>19</v>
      </c>
      <c r="N1313" s="9" t="s">
        <v>20</v>
      </c>
      <c r="O1313" s="6" t="str">
        <f>HYPERLINK("https://pbs.twimg.com/profile_images/962471262747529216/Uo8lOkRJ_normal.jpg","View")</f>
        <v>View</v>
      </c>
      <c r="P1313" s="7"/>
    </row>
    <row r="1314" spans="1:16">
      <c r="A1314" s="3">
        <v>43846.990000000005</v>
      </c>
      <c r="B1314" s="4" t="str">
        <f>HYPERLINK("https://twitter.com/petrogustavo","@petrogustavo")</f>
        <v>@petrogustavo</v>
      </c>
      <c r="C1314" s="5" t="s">
        <v>16</v>
      </c>
      <c r="D1314" s="5" t="s">
        <v>1297</v>
      </c>
      <c r="E1314" s="6" t="str">
        <f>HYPERLINK("https://twitter.com/petrogustavo/status/1217873050147921920","1217873050147921920")</f>
        <v>1217873050147921920</v>
      </c>
      <c r="F1314" s="7" t="s">
        <v>32</v>
      </c>
      <c r="G1314" s="7">
        <v>3610147</v>
      </c>
      <c r="H1314" s="7">
        <v>2349</v>
      </c>
      <c r="I1314" s="7">
        <v>13</v>
      </c>
      <c r="J1314" s="7">
        <v>0</v>
      </c>
      <c r="K1314" s="7" t="s">
        <v>18</v>
      </c>
      <c r="L1314" s="8">
        <v>39987.315405092595</v>
      </c>
      <c r="M1314" s="9" t="s">
        <v>19</v>
      </c>
      <c r="N1314" s="9" t="s">
        <v>20</v>
      </c>
      <c r="O1314" s="6" t="str">
        <f>HYPERLINK("https://pbs.twimg.com/profile_images/962471262747529216/Uo8lOkRJ_normal.jpg","View")</f>
        <v>View</v>
      </c>
      <c r="P1314" s="7"/>
    </row>
    <row r="1315" spans="1:16">
      <c r="A1315" s="3">
        <v>43847.139756944445</v>
      </c>
      <c r="B1315" s="4" t="str">
        <f>HYPERLINK("https://twitter.com/petrogustavo","@petrogustavo")</f>
        <v>@petrogustavo</v>
      </c>
      <c r="C1315" s="5" t="s">
        <v>16</v>
      </c>
      <c r="D1315" s="5" t="s">
        <v>1298</v>
      </c>
      <c r="E1315" s="6" t="str">
        <f>HYPERLINK("https://twitter.com/petrogustavo/status/1217927318859145218","1217927318859145218")</f>
        <v>1217927318859145218</v>
      </c>
      <c r="F1315" s="7" t="s">
        <v>32</v>
      </c>
      <c r="G1315" s="7">
        <v>3610322</v>
      </c>
      <c r="H1315" s="7">
        <v>2349</v>
      </c>
      <c r="I1315" s="7">
        <v>1004</v>
      </c>
      <c r="J1315" s="7">
        <v>0</v>
      </c>
      <c r="K1315" s="7" t="s">
        <v>18</v>
      </c>
      <c r="L1315" s="8">
        <v>39987.315405092595</v>
      </c>
      <c r="M1315" s="9" t="s">
        <v>19</v>
      </c>
      <c r="N1315" s="9" t="s">
        <v>20</v>
      </c>
      <c r="O1315" s="6" t="str">
        <f>HYPERLINK("https://pbs.twimg.com/profile_images/962471262747529216/Uo8lOkRJ_normal.jpg","View")</f>
        <v>View</v>
      </c>
      <c r="P1315" s="7"/>
    </row>
    <row r="1316" spans="1:16">
      <c r="A1316" s="3">
        <v>43847.140798611115</v>
      </c>
      <c r="B1316" s="4" t="str">
        <f>HYPERLINK("https://twitter.com/petrogustavo","@petrogustavo")</f>
        <v>@petrogustavo</v>
      </c>
      <c r="C1316" s="5" t="s">
        <v>16</v>
      </c>
      <c r="D1316" s="5" t="s">
        <v>1299</v>
      </c>
      <c r="E1316" s="6" t="str">
        <f>HYPERLINK("https://twitter.com/petrogustavo/status/1217927698011521026","1217927698011521026")</f>
        <v>1217927698011521026</v>
      </c>
      <c r="F1316" s="7" t="s">
        <v>32</v>
      </c>
      <c r="G1316" s="7">
        <v>3610322</v>
      </c>
      <c r="H1316" s="7">
        <v>2349</v>
      </c>
      <c r="I1316" s="7">
        <v>324</v>
      </c>
      <c r="J1316" s="7">
        <v>857</v>
      </c>
      <c r="K1316" s="7" t="s">
        <v>18</v>
      </c>
      <c r="L1316" s="8">
        <v>39987.315405092595</v>
      </c>
      <c r="M1316" s="9" t="s">
        <v>19</v>
      </c>
      <c r="N1316" s="9" t="s">
        <v>20</v>
      </c>
      <c r="O1316" s="6" t="str">
        <f>HYPERLINK("https://pbs.twimg.com/profile_images/962471262747529216/Uo8lOkRJ_normal.jpg","View")</f>
        <v>View</v>
      </c>
      <c r="P1316" s="7"/>
    </row>
    <row r="1317" spans="1:16">
      <c r="A1317" s="3">
        <v>43847.181284722217</v>
      </c>
      <c r="B1317" s="4" t="str">
        <f>HYPERLINK("https://twitter.com/petrogustavo","@petrogustavo")</f>
        <v>@petrogustavo</v>
      </c>
      <c r="C1317" s="5" t="s">
        <v>16</v>
      </c>
      <c r="D1317" s="5" t="s">
        <v>1300</v>
      </c>
      <c r="E1317" s="6" t="str">
        <f>HYPERLINK("https://twitter.com/petrogustavo/status/1217942368558702593","1217942368558702593")</f>
        <v>1217942368558702593</v>
      </c>
      <c r="F1317" s="7" t="s">
        <v>21</v>
      </c>
      <c r="G1317" s="7">
        <v>3610380</v>
      </c>
      <c r="H1317" s="7">
        <v>2349</v>
      </c>
      <c r="I1317" s="7">
        <v>599</v>
      </c>
      <c r="J1317" s="7">
        <v>856</v>
      </c>
      <c r="K1317" s="7" t="s">
        <v>18</v>
      </c>
      <c r="L1317" s="8">
        <v>39987.315405092595</v>
      </c>
      <c r="M1317" s="9" t="s">
        <v>19</v>
      </c>
      <c r="N1317" s="9" t="s">
        <v>20</v>
      </c>
      <c r="O1317" s="6" t="str">
        <f>HYPERLINK("https://pbs.twimg.com/profile_images/962471262747529216/Uo8lOkRJ_normal.jpg","View")</f>
        <v>View</v>
      </c>
      <c r="P1317" s="7"/>
    </row>
    <row r="1318" spans="1:16">
      <c r="A1318" s="3">
        <v>43847.229178240741</v>
      </c>
      <c r="B1318" s="4" t="str">
        <f>HYPERLINK("https://twitter.com/petrogustavo","@petrogustavo")</f>
        <v>@petrogustavo</v>
      </c>
      <c r="C1318" s="5" t="s">
        <v>16</v>
      </c>
      <c r="D1318" s="5" t="s">
        <v>1301</v>
      </c>
      <c r="E1318" s="6" t="str">
        <f>HYPERLINK("https://twitter.com/petrogustavo/status/1217959725729484800","1217959725729484800")</f>
        <v>1217959725729484800</v>
      </c>
      <c r="F1318" s="7" t="s">
        <v>17</v>
      </c>
      <c r="G1318" s="7">
        <v>3610422</v>
      </c>
      <c r="H1318" s="7">
        <v>2350</v>
      </c>
      <c r="I1318" s="7">
        <v>102</v>
      </c>
      <c r="J1318" s="7">
        <v>0</v>
      </c>
      <c r="K1318" s="7" t="s">
        <v>18</v>
      </c>
      <c r="L1318" s="8">
        <v>39987.315405092595</v>
      </c>
      <c r="M1318" s="9" t="s">
        <v>19</v>
      </c>
      <c r="N1318" s="9" t="s">
        <v>20</v>
      </c>
      <c r="O1318" s="6" t="str">
        <f>HYPERLINK("https://pbs.twimg.com/profile_images/962471262747529216/Uo8lOkRJ_normal.jpg","View")</f>
        <v>View</v>
      </c>
      <c r="P1318" s="7"/>
    </row>
    <row r="1319" spans="1:16">
      <c r="A1319" s="3">
        <v>43847.236481481479</v>
      </c>
      <c r="B1319" s="4" t="str">
        <f>HYPERLINK("https://twitter.com/petrogustavo","@petrogustavo")</f>
        <v>@petrogustavo</v>
      </c>
      <c r="C1319" s="5" t="s">
        <v>16</v>
      </c>
      <c r="D1319" s="5" t="s">
        <v>1302</v>
      </c>
      <c r="E1319" s="6" t="str">
        <f>HYPERLINK("https://twitter.com/petrogustavo/status/1217962370095550464","1217962370095550464")</f>
        <v>1217962370095550464</v>
      </c>
      <c r="F1319" s="7" t="s">
        <v>17</v>
      </c>
      <c r="G1319" s="7">
        <v>3610422</v>
      </c>
      <c r="H1319" s="7">
        <v>2350</v>
      </c>
      <c r="I1319" s="7">
        <v>1471</v>
      </c>
      <c r="J1319" s="7">
        <v>0</v>
      </c>
      <c r="K1319" s="7" t="s">
        <v>18</v>
      </c>
      <c r="L1319" s="8">
        <v>39987.315405092595</v>
      </c>
      <c r="M1319" s="9" t="s">
        <v>19</v>
      </c>
      <c r="N1319" s="9" t="s">
        <v>20</v>
      </c>
      <c r="O1319" s="6" t="str">
        <f>HYPERLINK("https://pbs.twimg.com/profile_images/962471262747529216/Uo8lOkRJ_normal.jpg","View")</f>
        <v>View</v>
      </c>
      <c r="P1319" s="7"/>
    </row>
    <row r="1320" spans="1:16">
      <c r="A1320" s="3">
        <v>43847.30982638889</v>
      </c>
      <c r="B1320" s="4" t="str">
        <f>HYPERLINK("https://twitter.com/petrogustavo","@petrogustavo")</f>
        <v>@petrogustavo</v>
      </c>
      <c r="C1320" s="5" t="s">
        <v>16</v>
      </c>
      <c r="D1320" s="5" t="s">
        <v>1303</v>
      </c>
      <c r="E1320" s="6" t="str">
        <f>HYPERLINK("https://twitter.com/petrogustavo/status/1217988951644037121","1217988951644037121")</f>
        <v>1217988951644037121</v>
      </c>
      <c r="F1320" s="7" t="s">
        <v>17</v>
      </c>
      <c r="G1320" s="7">
        <v>3610528</v>
      </c>
      <c r="H1320" s="7">
        <v>2350</v>
      </c>
      <c r="I1320" s="7">
        <v>142</v>
      </c>
      <c r="J1320" s="7">
        <v>0</v>
      </c>
      <c r="K1320" s="7" t="s">
        <v>18</v>
      </c>
      <c r="L1320" s="8">
        <v>39987.315405092595</v>
      </c>
      <c r="M1320" s="9" t="s">
        <v>19</v>
      </c>
      <c r="N1320" s="9" t="s">
        <v>20</v>
      </c>
      <c r="O1320" s="6" t="str">
        <f>HYPERLINK("https://pbs.twimg.com/profile_images/962471262747529216/Uo8lOkRJ_normal.jpg","View")</f>
        <v>View</v>
      </c>
      <c r="P1320" s="7"/>
    </row>
    <row r="1321" spans="1:16">
      <c r="A1321" s="3">
        <v>43847.312106481477</v>
      </c>
      <c r="B1321" s="4" t="str">
        <f>HYPERLINK("https://twitter.com/petrogustavo","@petrogustavo")</f>
        <v>@petrogustavo</v>
      </c>
      <c r="C1321" s="5" t="s">
        <v>16</v>
      </c>
      <c r="D1321" s="5" t="s">
        <v>1304</v>
      </c>
      <c r="E1321" s="6" t="str">
        <f>HYPERLINK("https://twitter.com/petrogustavo/status/1217989776374161413","1217989776374161413")</f>
        <v>1217989776374161413</v>
      </c>
      <c r="F1321" s="7" t="s">
        <v>17</v>
      </c>
      <c r="G1321" s="7">
        <v>3610528</v>
      </c>
      <c r="H1321" s="7">
        <v>2350</v>
      </c>
      <c r="I1321" s="7">
        <v>48</v>
      </c>
      <c r="J1321" s="7">
        <v>0</v>
      </c>
      <c r="K1321" s="7" t="s">
        <v>18</v>
      </c>
      <c r="L1321" s="8">
        <v>39987.315405092595</v>
      </c>
      <c r="M1321" s="9" t="s">
        <v>19</v>
      </c>
      <c r="N1321" s="9" t="s">
        <v>20</v>
      </c>
      <c r="O1321" s="6" t="str">
        <f>HYPERLINK("https://pbs.twimg.com/profile_images/962471262747529216/Uo8lOkRJ_normal.jpg","View")</f>
        <v>View</v>
      </c>
      <c r="P1321" s="7"/>
    </row>
    <row r="1322" spans="1:16">
      <c r="A1322" s="3">
        <v>43847.313356481478</v>
      </c>
      <c r="B1322" s="4" t="str">
        <f>HYPERLINK("https://twitter.com/petrogustavo","@petrogustavo")</f>
        <v>@petrogustavo</v>
      </c>
      <c r="C1322" s="5" t="s">
        <v>16</v>
      </c>
      <c r="D1322" s="5" t="s">
        <v>1305</v>
      </c>
      <c r="E1322" s="6" t="str">
        <f>HYPERLINK("https://twitter.com/petrogustavo/status/1217990227588980736","1217990227588980736")</f>
        <v>1217990227588980736</v>
      </c>
      <c r="F1322" s="7" t="s">
        <v>17</v>
      </c>
      <c r="G1322" s="7">
        <v>3610528</v>
      </c>
      <c r="H1322" s="7">
        <v>2350</v>
      </c>
      <c r="I1322" s="7">
        <v>101</v>
      </c>
      <c r="J1322" s="7">
        <v>0</v>
      </c>
      <c r="K1322" s="7" t="s">
        <v>18</v>
      </c>
      <c r="L1322" s="8">
        <v>39987.315405092595</v>
      </c>
      <c r="M1322" s="9" t="s">
        <v>19</v>
      </c>
      <c r="N1322" s="9" t="s">
        <v>20</v>
      </c>
      <c r="O1322" s="6" t="str">
        <f>HYPERLINK("https://pbs.twimg.com/profile_images/962471262747529216/Uo8lOkRJ_normal.jpg","View")</f>
        <v>View</v>
      </c>
      <c r="P1322" s="7"/>
    </row>
    <row r="1323" spans="1:16">
      <c r="A1323" s="3">
        <v>43847.320659722223</v>
      </c>
      <c r="B1323" s="4" t="str">
        <f>HYPERLINK("https://twitter.com/petrogustavo","@petrogustavo")</f>
        <v>@petrogustavo</v>
      </c>
      <c r="C1323" s="5" t="s">
        <v>16</v>
      </c>
      <c r="D1323" s="5" t="s">
        <v>1306</v>
      </c>
      <c r="E1323" s="6" t="str">
        <f>HYPERLINK("https://twitter.com/petrogustavo/status/1217992874102546432","1217992874102546432")</f>
        <v>1217992874102546432</v>
      </c>
      <c r="F1323" s="7" t="s">
        <v>17</v>
      </c>
      <c r="G1323" s="7">
        <v>3610528</v>
      </c>
      <c r="H1323" s="7">
        <v>2350</v>
      </c>
      <c r="I1323" s="7">
        <v>67</v>
      </c>
      <c r="J1323" s="7">
        <v>114</v>
      </c>
      <c r="K1323" s="7" t="s">
        <v>18</v>
      </c>
      <c r="L1323" s="8">
        <v>39987.315405092595</v>
      </c>
      <c r="M1323" s="9" t="s">
        <v>19</v>
      </c>
      <c r="N1323" s="9" t="s">
        <v>20</v>
      </c>
      <c r="O1323" s="6" t="str">
        <f>HYPERLINK("https://pbs.twimg.com/profile_images/962471262747529216/Uo8lOkRJ_normal.jpg","View")</f>
        <v>View</v>
      </c>
      <c r="P1323" s="7"/>
    </row>
    <row r="1324" spans="1:16">
      <c r="A1324" s="3">
        <v>43847.347013888888</v>
      </c>
      <c r="B1324" s="4" t="str">
        <f>HYPERLINK("https://twitter.com/petrogustavo","@petrogustavo")</f>
        <v>@petrogustavo</v>
      </c>
      <c r="C1324" s="5" t="s">
        <v>16</v>
      </c>
      <c r="D1324" s="5" t="s">
        <v>1302</v>
      </c>
      <c r="E1324" s="6" t="str">
        <f>HYPERLINK("https://twitter.com/petrogustavo/status/1218002428169261058","1218002428169261058")</f>
        <v>1218002428169261058</v>
      </c>
      <c r="F1324" s="7" t="s">
        <v>17</v>
      </c>
      <c r="G1324" s="7">
        <v>3610584</v>
      </c>
      <c r="H1324" s="7">
        <v>2350</v>
      </c>
      <c r="I1324" s="7">
        <v>2952</v>
      </c>
      <c r="J1324" s="7">
        <v>0</v>
      </c>
      <c r="K1324" s="7" t="s">
        <v>18</v>
      </c>
      <c r="L1324" s="8">
        <v>39987.315405092595</v>
      </c>
      <c r="M1324" s="9" t="s">
        <v>19</v>
      </c>
      <c r="N1324" s="9" t="s">
        <v>20</v>
      </c>
      <c r="O1324" s="6" t="str">
        <f>HYPERLINK("https://pbs.twimg.com/profile_images/962471262747529216/Uo8lOkRJ_normal.jpg","View")</f>
        <v>View</v>
      </c>
      <c r="P1324" s="7"/>
    </row>
    <row r="1325" spans="1:16">
      <c r="A1325" s="3">
        <v>43847.730717592596</v>
      </c>
      <c r="B1325" s="4" t="str">
        <f>HYPERLINK("https://twitter.com/petrogustavo","@petrogustavo")</f>
        <v>@petrogustavo</v>
      </c>
      <c r="C1325" s="5" t="s">
        <v>16</v>
      </c>
      <c r="D1325" s="5" t="s">
        <v>1307</v>
      </c>
      <c r="E1325" s="6" t="str">
        <f>HYPERLINK("https://twitter.com/petrogustavo/status/1218141476565213184","1218141476565213184")</f>
        <v>1218141476565213184</v>
      </c>
      <c r="F1325" s="7" t="s">
        <v>17</v>
      </c>
      <c r="G1325" s="7">
        <v>3610804</v>
      </c>
      <c r="H1325" s="7">
        <v>2350</v>
      </c>
      <c r="I1325" s="7">
        <v>2725</v>
      </c>
      <c r="J1325" s="7">
        <v>0</v>
      </c>
      <c r="K1325" s="7" t="s">
        <v>18</v>
      </c>
      <c r="L1325" s="8">
        <v>39987.315405092595</v>
      </c>
      <c r="M1325" s="9" t="s">
        <v>19</v>
      </c>
      <c r="N1325" s="9" t="s">
        <v>20</v>
      </c>
      <c r="O1325" s="6" t="str">
        <f>HYPERLINK("https://pbs.twimg.com/profile_images/962471262747529216/Uo8lOkRJ_normal.jpg","View")</f>
        <v>View</v>
      </c>
      <c r="P1325" s="7"/>
    </row>
    <row r="1326" spans="1:16">
      <c r="A1326" s="3">
        <v>43847.73300925926</v>
      </c>
      <c r="B1326" s="4" t="str">
        <f>HYPERLINK("https://twitter.com/petrogustavo","@petrogustavo")</f>
        <v>@petrogustavo</v>
      </c>
      <c r="C1326" s="5" t="s">
        <v>16</v>
      </c>
      <c r="D1326" s="5" t="s">
        <v>1308</v>
      </c>
      <c r="E1326" s="6" t="str">
        <f>HYPERLINK("https://twitter.com/petrogustavo/status/1218142305162551296","1218142305162551296")</f>
        <v>1218142305162551296</v>
      </c>
      <c r="F1326" s="7" t="s">
        <v>17</v>
      </c>
      <c r="G1326" s="7">
        <v>3610804</v>
      </c>
      <c r="H1326" s="7">
        <v>2350</v>
      </c>
      <c r="I1326" s="7">
        <v>56</v>
      </c>
      <c r="J1326" s="7">
        <v>0</v>
      </c>
      <c r="K1326" s="7" t="s">
        <v>18</v>
      </c>
      <c r="L1326" s="8">
        <v>39987.315405092595</v>
      </c>
      <c r="M1326" s="9" t="s">
        <v>19</v>
      </c>
      <c r="N1326" s="9" t="s">
        <v>20</v>
      </c>
      <c r="O1326" s="6" t="str">
        <f>HYPERLINK("https://pbs.twimg.com/profile_images/962471262747529216/Uo8lOkRJ_normal.jpg","View")</f>
        <v>View</v>
      </c>
      <c r="P1326" s="7"/>
    </row>
    <row r="1327" spans="1:16">
      <c r="A1327" s="3">
        <v>43847.734236111108</v>
      </c>
      <c r="B1327" s="4" t="str">
        <f>HYPERLINK("https://twitter.com/petrogustavo","@petrogustavo")</f>
        <v>@petrogustavo</v>
      </c>
      <c r="C1327" s="5" t="s">
        <v>16</v>
      </c>
      <c r="D1327" s="5" t="s">
        <v>1309</v>
      </c>
      <c r="E1327" s="6" t="str">
        <f>HYPERLINK("https://twitter.com/petrogustavo/status/1218142749498716161","1218142749498716161")</f>
        <v>1218142749498716161</v>
      </c>
      <c r="F1327" s="7" t="s">
        <v>17</v>
      </c>
      <c r="G1327" s="7">
        <v>3610804</v>
      </c>
      <c r="H1327" s="7">
        <v>2350</v>
      </c>
      <c r="I1327" s="7">
        <v>38</v>
      </c>
      <c r="J1327" s="7">
        <v>129</v>
      </c>
      <c r="K1327" s="7" t="s">
        <v>18</v>
      </c>
      <c r="L1327" s="8">
        <v>39987.315405092595</v>
      </c>
      <c r="M1327" s="9" t="s">
        <v>19</v>
      </c>
      <c r="N1327" s="9" t="s">
        <v>20</v>
      </c>
      <c r="O1327" s="6" t="str">
        <f>HYPERLINK("https://pbs.twimg.com/profile_images/962471262747529216/Uo8lOkRJ_normal.jpg","View")</f>
        <v>View</v>
      </c>
      <c r="P1327" s="7"/>
    </row>
    <row r="1328" spans="1:16">
      <c r="A1328" s="3">
        <v>43847.74181712963</v>
      </c>
      <c r="B1328" s="4" t="str">
        <f>HYPERLINK("https://twitter.com/petrogustavo","@petrogustavo")</f>
        <v>@petrogustavo</v>
      </c>
      <c r="C1328" s="5" t="s">
        <v>16</v>
      </c>
      <c r="D1328" s="5" t="s">
        <v>1310</v>
      </c>
      <c r="E1328" s="6" t="str">
        <f>HYPERLINK("https://twitter.com/petrogustavo/status/1218145498261065729","1218145498261065729")</f>
        <v>1218145498261065729</v>
      </c>
      <c r="F1328" s="7" t="s">
        <v>17</v>
      </c>
      <c r="G1328" s="7">
        <v>3610819</v>
      </c>
      <c r="H1328" s="7">
        <v>2350</v>
      </c>
      <c r="I1328" s="7">
        <v>76</v>
      </c>
      <c r="J1328" s="7">
        <v>164</v>
      </c>
      <c r="K1328" s="7" t="s">
        <v>18</v>
      </c>
      <c r="L1328" s="8">
        <v>39987.315405092595</v>
      </c>
      <c r="M1328" s="9" t="s">
        <v>19</v>
      </c>
      <c r="N1328" s="9" t="s">
        <v>20</v>
      </c>
      <c r="O1328" s="6" t="str">
        <f>HYPERLINK("https://pbs.twimg.com/profile_images/962471262747529216/Uo8lOkRJ_normal.jpg","View")</f>
        <v>View</v>
      </c>
      <c r="P1328" s="7"/>
    </row>
    <row r="1329" spans="1:16">
      <c r="A1329" s="3">
        <v>43847.746192129634</v>
      </c>
      <c r="B1329" s="4" t="str">
        <f>HYPERLINK("https://twitter.com/petrogustavo","@petrogustavo")</f>
        <v>@petrogustavo</v>
      </c>
      <c r="C1329" s="5" t="s">
        <v>16</v>
      </c>
      <c r="D1329" s="5" t="s">
        <v>1311</v>
      </c>
      <c r="E1329" s="6" t="str">
        <f>HYPERLINK("https://twitter.com/petrogustavo/status/1218147085398302720","1218147085398302720")</f>
        <v>1218147085398302720</v>
      </c>
      <c r="F1329" s="7" t="s">
        <v>17</v>
      </c>
      <c r="G1329" s="7">
        <v>3610819</v>
      </c>
      <c r="H1329" s="7">
        <v>2350</v>
      </c>
      <c r="I1329" s="7">
        <v>382</v>
      </c>
      <c r="J1329" s="7">
        <v>0</v>
      </c>
      <c r="K1329" s="7" t="s">
        <v>18</v>
      </c>
      <c r="L1329" s="8">
        <v>39987.315405092595</v>
      </c>
      <c r="M1329" s="9" t="s">
        <v>19</v>
      </c>
      <c r="N1329" s="9" t="s">
        <v>20</v>
      </c>
      <c r="O1329" s="6" t="str">
        <f>HYPERLINK("https://pbs.twimg.com/profile_images/962471262747529216/Uo8lOkRJ_normal.jpg","View")</f>
        <v>View</v>
      </c>
      <c r="P1329" s="7"/>
    </row>
    <row r="1330" spans="1:16">
      <c r="A1330" s="3">
        <v>43847.751446759255</v>
      </c>
      <c r="B1330" s="4" t="str">
        <f>HYPERLINK("https://twitter.com/petrogustavo","@petrogustavo")</f>
        <v>@petrogustavo</v>
      </c>
      <c r="C1330" s="5" t="s">
        <v>16</v>
      </c>
      <c r="D1330" s="5" t="s">
        <v>1312</v>
      </c>
      <c r="E1330" s="6" t="str">
        <f>HYPERLINK("https://twitter.com/petrogustavo/status/1218148986978213888","1218148986978213888")</f>
        <v>1218148986978213888</v>
      </c>
      <c r="F1330" s="7" t="s">
        <v>17</v>
      </c>
      <c r="G1330" s="7">
        <v>3610819</v>
      </c>
      <c r="H1330" s="7">
        <v>2350</v>
      </c>
      <c r="I1330" s="7">
        <v>884</v>
      </c>
      <c r="J1330" s="7">
        <v>0</v>
      </c>
      <c r="K1330" s="7" t="s">
        <v>18</v>
      </c>
      <c r="L1330" s="8">
        <v>39987.315405092595</v>
      </c>
      <c r="M1330" s="9" t="s">
        <v>19</v>
      </c>
      <c r="N1330" s="9" t="s">
        <v>20</v>
      </c>
      <c r="O1330" s="6" t="str">
        <f>HYPERLINK("https://pbs.twimg.com/profile_images/962471262747529216/Uo8lOkRJ_normal.jpg","View")</f>
        <v>View</v>
      </c>
      <c r="P1330" s="7"/>
    </row>
    <row r="1331" spans="1:16">
      <c r="A1331" s="3">
        <v>43847.757164351853</v>
      </c>
      <c r="B1331" s="4" t="str">
        <f>HYPERLINK("https://twitter.com/petrogustavo","@petrogustavo")</f>
        <v>@petrogustavo</v>
      </c>
      <c r="C1331" s="5" t="s">
        <v>16</v>
      </c>
      <c r="D1331" s="5" t="s">
        <v>1313</v>
      </c>
      <c r="E1331" s="6" t="str">
        <f>HYPERLINK("https://twitter.com/petrogustavo/status/1218151060843483136","1218151060843483136")</f>
        <v>1218151060843483136</v>
      </c>
      <c r="F1331" s="7" t="s">
        <v>17</v>
      </c>
      <c r="G1331" s="7">
        <v>3610819</v>
      </c>
      <c r="H1331" s="7">
        <v>2350</v>
      </c>
      <c r="I1331" s="7">
        <v>16</v>
      </c>
      <c r="J1331" s="7">
        <v>0</v>
      </c>
      <c r="K1331" s="7" t="s">
        <v>18</v>
      </c>
      <c r="L1331" s="8">
        <v>39987.315405092595</v>
      </c>
      <c r="M1331" s="9" t="s">
        <v>19</v>
      </c>
      <c r="N1331" s="9" t="s">
        <v>20</v>
      </c>
      <c r="O1331" s="6" t="str">
        <f>HYPERLINK("https://pbs.twimg.com/profile_images/962471262747529216/Uo8lOkRJ_normal.jpg","View")</f>
        <v>View</v>
      </c>
      <c r="P1331" s="7"/>
    </row>
    <row r="1332" spans="1:16">
      <c r="A1332" s="3">
        <v>43847.758587962962</v>
      </c>
      <c r="B1332" s="4" t="str">
        <f>HYPERLINK("https://twitter.com/petrogustavo","@petrogustavo")</f>
        <v>@petrogustavo</v>
      </c>
      <c r="C1332" s="5" t="s">
        <v>16</v>
      </c>
      <c r="D1332" s="5" t="s">
        <v>1314</v>
      </c>
      <c r="E1332" s="6" t="str">
        <f>HYPERLINK("https://twitter.com/petrogustavo/status/1218151575140667392","1218151575140667392")</f>
        <v>1218151575140667392</v>
      </c>
      <c r="F1332" s="7" t="s">
        <v>17</v>
      </c>
      <c r="G1332" s="7">
        <v>3610819</v>
      </c>
      <c r="H1332" s="7">
        <v>2350</v>
      </c>
      <c r="I1332" s="7">
        <v>684</v>
      </c>
      <c r="J1332" s="7">
        <v>0</v>
      </c>
      <c r="K1332" s="7" t="s">
        <v>18</v>
      </c>
      <c r="L1332" s="8">
        <v>39987.315405092595</v>
      </c>
      <c r="M1332" s="9" t="s">
        <v>19</v>
      </c>
      <c r="N1332" s="9" t="s">
        <v>20</v>
      </c>
      <c r="O1332" s="6" t="str">
        <f>HYPERLINK("https://pbs.twimg.com/profile_images/962471262747529216/Uo8lOkRJ_normal.jpg","View")</f>
        <v>View</v>
      </c>
      <c r="P1332" s="7"/>
    </row>
    <row r="1333" spans="1:16">
      <c r="A1333" s="3">
        <v>43847.763055555552</v>
      </c>
      <c r="B1333" s="4" t="str">
        <f>HYPERLINK("https://twitter.com/petrogustavo","@petrogustavo")</f>
        <v>@petrogustavo</v>
      </c>
      <c r="C1333" s="5" t="s">
        <v>16</v>
      </c>
      <c r="D1333" s="5" t="s">
        <v>1315</v>
      </c>
      <c r="E1333" s="6" t="str">
        <f>HYPERLINK("https://twitter.com/petrogustavo/status/1218153193575735296","1218153193575735296")</f>
        <v>1218153193575735296</v>
      </c>
      <c r="F1333" s="7" t="s">
        <v>17</v>
      </c>
      <c r="G1333" s="7">
        <v>3610827</v>
      </c>
      <c r="H1333" s="7">
        <v>2351</v>
      </c>
      <c r="I1333" s="7">
        <v>10</v>
      </c>
      <c r="J1333" s="7">
        <v>0</v>
      </c>
      <c r="K1333" s="7" t="s">
        <v>18</v>
      </c>
      <c r="L1333" s="8">
        <v>39987.315405092595</v>
      </c>
      <c r="M1333" s="9" t="s">
        <v>19</v>
      </c>
      <c r="N1333" s="9" t="s">
        <v>20</v>
      </c>
      <c r="O1333" s="6" t="str">
        <f>HYPERLINK("https://pbs.twimg.com/profile_images/962471262747529216/Uo8lOkRJ_normal.jpg","View")</f>
        <v>View</v>
      </c>
      <c r="P1333" s="7"/>
    </row>
    <row r="1334" spans="1:16">
      <c r="A1334" s="3">
        <v>43847.773298611108</v>
      </c>
      <c r="B1334" s="4" t="str">
        <f>HYPERLINK("https://twitter.com/petrogustavo","@petrogustavo")</f>
        <v>@petrogustavo</v>
      </c>
      <c r="C1334" s="5" t="s">
        <v>16</v>
      </c>
      <c r="D1334" s="5" t="s">
        <v>1316</v>
      </c>
      <c r="E1334" s="6" t="str">
        <f>HYPERLINK("https://twitter.com/petrogustavo/status/1218156908672167937","1218156908672167937")</f>
        <v>1218156908672167937</v>
      </c>
      <c r="F1334" s="7" t="s">
        <v>17</v>
      </c>
      <c r="G1334" s="7">
        <v>3610827</v>
      </c>
      <c r="H1334" s="7">
        <v>2351</v>
      </c>
      <c r="I1334" s="7">
        <v>89</v>
      </c>
      <c r="J1334" s="7">
        <v>234</v>
      </c>
      <c r="K1334" s="7" t="s">
        <v>18</v>
      </c>
      <c r="L1334" s="8">
        <v>39987.315405092595</v>
      </c>
      <c r="M1334" s="9" t="s">
        <v>19</v>
      </c>
      <c r="N1334" s="9" t="s">
        <v>20</v>
      </c>
      <c r="O1334" s="6" t="str">
        <f>HYPERLINK("https://pbs.twimg.com/profile_images/962471262747529216/Uo8lOkRJ_normal.jpg","View")</f>
        <v>View</v>
      </c>
      <c r="P1334" s="7"/>
    </row>
    <row r="1335" spans="1:16">
      <c r="A1335" s="3">
        <v>43847.778090277774</v>
      </c>
      <c r="B1335" s="4" t="str">
        <f>HYPERLINK("https://twitter.com/petrogustavo","@petrogustavo")</f>
        <v>@petrogustavo</v>
      </c>
      <c r="C1335" s="5" t="s">
        <v>16</v>
      </c>
      <c r="D1335" s="5" t="s">
        <v>1317</v>
      </c>
      <c r="E1335" s="6" t="str">
        <f>HYPERLINK("https://twitter.com/petrogustavo/status/1218158643318792192","1218158643318792192")</f>
        <v>1218158643318792192</v>
      </c>
      <c r="F1335" s="7" t="s">
        <v>17</v>
      </c>
      <c r="G1335" s="7">
        <v>3610827</v>
      </c>
      <c r="H1335" s="7">
        <v>2351</v>
      </c>
      <c r="I1335" s="7">
        <v>115</v>
      </c>
      <c r="J1335" s="7">
        <v>0</v>
      </c>
      <c r="K1335" s="7" t="s">
        <v>18</v>
      </c>
      <c r="L1335" s="8">
        <v>39987.315405092595</v>
      </c>
      <c r="M1335" s="9" t="s">
        <v>19</v>
      </c>
      <c r="N1335" s="9" t="s">
        <v>20</v>
      </c>
      <c r="O1335" s="6" t="str">
        <f>HYPERLINK("https://pbs.twimg.com/profile_images/962471262747529216/Uo8lOkRJ_normal.jpg","View")</f>
        <v>View</v>
      </c>
      <c r="P1335" s="7"/>
    </row>
    <row r="1336" spans="1:16">
      <c r="A1336" s="3">
        <v>43847.782037037032</v>
      </c>
      <c r="B1336" s="4" t="str">
        <f>HYPERLINK("https://twitter.com/petrogustavo","@petrogustavo")</f>
        <v>@petrogustavo</v>
      </c>
      <c r="C1336" s="5" t="s">
        <v>16</v>
      </c>
      <c r="D1336" s="5" t="s">
        <v>1318</v>
      </c>
      <c r="E1336" s="6" t="str">
        <f>HYPERLINK("https://twitter.com/petrogustavo/status/1218160075333931008","1218160075333931008")</f>
        <v>1218160075333931008</v>
      </c>
      <c r="F1336" s="7" t="s">
        <v>17</v>
      </c>
      <c r="G1336" s="7">
        <v>3610827</v>
      </c>
      <c r="H1336" s="7">
        <v>2351</v>
      </c>
      <c r="I1336" s="7">
        <v>21</v>
      </c>
      <c r="J1336" s="7">
        <v>44</v>
      </c>
      <c r="K1336" s="7" t="s">
        <v>18</v>
      </c>
      <c r="L1336" s="8">
        <v>39987.315405092595</v>
      </c>
      <c r="M1336" s="9" t="s">
        <v>19</v>
      </c>
      <c r="N1336" s="9" t="s">
        <v>20</v>
      </c>
      <c r="O1336" s="6" t="str">
        <f>HYPERLINK("https://pbs.twimg.com/profile_images/962471262747529216/Uo8lOkRJ_normal.jpg","View")</f>
        <v>View</v>
      </c>
      <c r="P1336" s="7"/>
    </row>
    <row r="1337" spans="1:16">
      <c r="A1337" s="3">
        <v>43847.786747685182</v>
      </c>
      <c r="B1337" s="4" t="str">
        <f>HYPERLINK("https://twitter.com/petrogustavo","@petrogustavo")</f>
        <v>@petrogustavo</v>
      </c>
      <c r="C1337" s="5" t="s">
        <v>16</v>
      </c>
      <c r="D1337" s="5" t="s">
        <v>1319</v>
      </c>
      <c r="E1337" s="6" t="str">
        <f>HYPERLINK("https://twitter.com/petrogustavo/status/1218161780930859014","1218161780930859014")</f>
        <v>1218161780930859014</v>
      </c>
      <c r="F1337" s="7" t="s">
        <v>17</v>
      </c>
      <c r="G1337" s="7">
        <v>3610835</v>
      </c>
      <c r="H1337" s="7">
        <v>2351</v>
      </c>
      <c r="I1337" s="7">
        <v>163</v>
      </c>
      <c r="J1337" s="7">
        <v>501</v>
      </c>
      <c r="K1337" s="7" t="s">
        <v>18</v>
      </c>
      <c r="L1337" s="8">
        <v>39987.315405092595</v>
      </c>
      <c r="M1337" s="9" t="s">
        <v>19</v>
      </c>
      <c r="N1337" s="9" t="s">
        <v>20</v>
      </c>
      <c r="O1337" s="6" t="str">
        <f>HYPERLINK("https://pbs.twimg.com/profile_images/962471262747529216/Uo8lOkRJ_normal.jpg","View")</f>
        <v>View</v>
      </c>
      <c r="P1337" s="7"/>
    </row>
    <row r="1338" spans="1:16">
      <c r="A1338" s="3">
        <v>43847.788842592592</v>
      </c>
      <c r="B1338" s="4" t="str">
        <f>HYPERLINK("https://twitter.com/petrogustavo","@petrogustavo")</f>
        <v>@petrogustavo</v>
      </c>
      <c r="C1338" s="5" t="s">
        <v>16</v>
      </c>
      <c r="D1338" s="5" t="s">
        <v>1320</v>
      </c>
      <c r="E1338" s="6" t="str">
        <f>HYPERLINK("https://twitter.com/petrogustavo/status/1218162540791898112","1218162540791898112")</f>
        <v>1218162540791898112</v>
      </c>
      <c r="F1338" s="7" t="s">
        <v>17</v>
      </c>
      <c r="G1338" s="7">
        <v>3610835</v>
      </c>
      <c r="H1338" s="7">
        <v>2351</v>
      </c>
      <c r="I1338" s="7">
        <v>366</v>
      </c>
      <c r="J1338" s="7">
        <v>0</v>
      </c>
      <c r="K1338" s="7" t="s">
        <v>18</v>
      </c>
      <c r="L1338" s="8">
        <v>39987.315405092595</v>
      </c>
      <c r="M1338" s="9" t="s">
        <v>19</v>
      </c>
      <c r="N1338" s="9" t="s">
        <v>20</v>
      </c>
      <c r="O1338" s="6" t="str">
        <f>HYPERLINK("https://pbs.twimg.com/profile_images/962471262747529216/Uo8lOkRJ_normal.jpg","View")</f>
        <v>View</v>
      </c>
      <c r="P1338" s="7"/>
    </row>
    <row r="1339" spans="1:16">
      <c r="A1339" s="3">
        <v>43847.789398148147</v>
      </c>
      <c r="B1339" s="4" t="str">
        <f>HYPERLINK("https://twitter.com/petrogustavo","@petrogustavo")</f>
        <v>@petrogustavo</v>
      </c>
      <c r="C1339" s="5" t="s">
        <v>16</v>
      </c>
      <c r="D1339" s="5" t="s">
        <v>1321</v>
      </c>
      <c r="E1339" s="6" t="str">
        <f>HYPERLINK("https://twitter.com/petrogustavo/status/1218162741212520450","1218162741212520450")</f>
        <v>1218162741212520450</v>
      </c>
      <c r="F1339" s="7" t="s">
        <v>17</v>
      </c>
      <c r="G1339" s="7">
        <v>3610835</v>
      </c>
      <c r="H1339" s="7">
        <v>2351</v>
      </c>
      <c r="I1339" s="7">
        <v>289</v>
      </c>
      <c r="J1339" s="7">
        <v>1078</v>
      </c>
      <c r="K1339" s="7" t="s">
        <v>18</v>
      </c>
      <c r="L1339" s="8">
        <v>39987.315405092595</v>
      </c>
      <c r="M1339" s="9" t="s">
        <v>19</v>
      </c>
      <c r="N1339" s="9" t="s">
        <v>20</v>
      </c>
      <c r="O1339" s="6" t="str">
        <f>HYPERLINK("https://pbs.twimg.com/profile_images/962471262747529216/Uo8lOkRJ_normal.jpg","View")</f>
        <v>View</v>
      </c>
      <c r="P1339" s="7"/>
    </row>
    <row r="1340" spans="1:16">
      <c r="A1340" s="3">
        <v>43847.792002314818</v>
      </c>
      <c r="B1340" s="4" t="str">
        <f>HYPERLINK("https://twitter.com/petrogustavo","@petrogustavo")</f>
        <v>@petrogustavo</v>
      </c>
      <c r="C1340" s="5" t="s">
        <v>16</v>
      </c>
      <c r="D1340" s="5" t="s">
        <v>1322</v>
      </c>
      <c r="E1340" s="6" t="str">
        <f>HYPERLINK("https://twitter.com/petrogustavo/status/1218163685971152897","1218163685971152897")</f>
        <v>1218163685971152897</v>
      </c>
      <c r="F1340" s="7" t="s">
        <v>17</v>
      </c>
      <c r="G1340" s="7">
        <v>3610835</v>
      </c>
      <c r="H1340" s="7">
        <v>2351</v>
      </c>
      <c r="I1340" s="7">
        <v>163</v>
      </c>
      <c r="J1340" s="7">
        <v>0</v>
      </c>
      <c r="K1340" s="7" t="s">
        <v>18</v>
      </c>
      <c r="L1340" s="8">
        <v>39987.315405092595</v>
      </c>
      <c r="M1340" s="9" t="s">
        <v>19</v>
      </c>
      <c r="N1340" s="9" t="s">
        <v>20</v>
      </c>
      <c r="O1340" s="6" t="str">
        <f>HYPERLINK("https://pbs.twimg.com/profile_images/962471262747529216/Uo8lOkRJ_normal.jpg","View")</f>
        <v>View</v>
      </c>
      <c r="P1340" s="7"/>
    </row>
    <row r="1341" spans="1:16">
      <c r="A1341" s="3">
        <v>43847.794444444444</v>
      </c>
      <c r="B1341" s="4" t="str">
        <f>HYPERLINK("https://twitter.com/petrogustavo","@petrogustavo")</f>
        <v>@petrogustavo</v>
      </c>
      <c r="C1341" s="5" t="s">
        <v>16</v>
      </c>
      <c r="D1341" s="5" t="s">
        <v>1302</v>
      </c>
      <c r="E1341" s="6" t="str">
        <f>HYPERLINK("https://twitter.com/petrogustavo/status/1218164569501261826","1218164569501261826")</f>
        <v>1218164569501261826</v>
      </c>
      <c r="F1341" s="7" t="s">
        <v>17</v>
      </c>
      <c r="G1341" s="7">
        <v>3610835</v>
      </c>
      <c r="H1341" s="7">
        <v>2351</v>
      </c>
      <c r="I1341" s="7">
        <v>4222</v>
      </c>
      <c r="J1341" s="7">
        <v>0</v>
      </c>
      <c r="K1341" s="7" t="s">
        <v>18</v>
      </c>
      <c r="L1341" s="8">
        <v>39987.315405092595</v>
      </c>
      <c r="M1341" s="9" t="s">
        <v>19</v>
      </c>
      <c r="N1341" s="9" t="s">
        <v>20</v>
      </c>
      <c r="O1341" s="6" t="str">
        <f>HYPERLINK("https://pbs.twimg.com/profile_images/962471262747529216/Uo8lOkRJ_normal.jpg","View")</f>
        <v>View</v>
      </c>
      <c r="P1341" s="7"/>
    </row>
    <row r="1342" spans="1:16">
      <c r="A1342" s="3">
        <v>43847.817199074074</v>
      </c>
      <c r="B1342" s="4" t="str">
        <f>HYPERLINK("https://twitter.com/petrogustavo","@petrogustavo")</f>
        <v>@petrogustavo</v>
      </c>
      <c r="C1342" s="5" t="s">
        <v>16</v>
      </c>
      <c r="D1342" s="5" t="s">
        <v>1323</v>
      </c>
      <c r="E1342" s="6" t="str">
        <f>HYPERLINK("https://twitter.com/petrogustavo/status/1218172816501198849","1218172816501198849")</f>
        <v>1218172816501198849</v>
      </c>
      <c r="F1342" s="7" t="s">
        <v>17</v>
      </c>
      <c r="G1342" s="7">
        <v>3610855</v>
      </c>
      <c r="H1342" s="7">
        <v>2351</v>
      </c>
      <c r="I1342" s="7">
        <v>40</v>
      </c>
      <c r="J1342" s="7">
        <v>74</v>
      </c>
      <c r="K1342" s="7" t="s">
        <v>18</v>
      </c>
      <c r="L1342" s="8">
        <v>39987.315405092595</v>
      </c>
      <c r="M1342" s="9" t="s">
        <v>19</v>
      </c>
      <c r="N1342" s="9" t="s">
        <v>20</v>
      </c>
      <c r="O1342" s="6" t="str">
        <f>HYPERLINK("https://pbs.twimg.com/profile_images/962471262747529216/Uo8lOkRJ_normal.jpg","View")</f>
        <v>View</v>
      </c>
      <c r="P1342" s="7"/>
    </row>
    <row r="1343" spans="1:16">
      <c r="A1343" s="3">
        <v>43847.818888888884</v>
      </c>
      <c r="B1343" s="4" t="str">
        <f>HYPERLINK("https://twitter.com/petrogustavo","@petrogustavo")</f>
        <v>@petrogustavo</v>
      </c>
      <c r="C1343" s="5" t="s">
        <v>16</v>
      </c>
      <c r="D1343" s="5" t="s">
        <v>1324</v>
      </c>
      <c r="E1343" s="6" t="str">
        <f>HYPERLINK("https://twitter.com/petrogustavo/status/1218173429901398016","1218173429901398016")</f>
        <v>1218173429901398016</v>
      </c>
      <c r="F1343" s="7" t="s">
        <v>17</v>
      </c>
      <c r="G1343" s="7">
        <v>3610855</v>
      </c>
      <c r="H1343" s="7">
        <v>2351</v>
      </c>
      <c r="I1343" s="7">
        <v>71</v>
      </c>
      <c r="J1343" s="7">
        <v>177</v>
      </c>
      <c r="K1343" s="7" t="s">
        <v>18</v>
      </c>
      <c r="L1343" s="8">
        <v>39987.315405092595</v>
      </c>
      <c r="M1343" s="9" t="s">
        <v>19</v>
      </c>
      <c r="N1343" s="9" t="s">
        <v>20</v>
      </c>
      <c r="O1343" s="6" t="str">
        <f>HYPERLINK("https://pbs.twimg.com/profile_images/962471262747529216/Uo8lOkRJ_normal.jpg","View")</f>
        <v>View</v>
      </c>
      <c r="P1343" s="7"/>
    </row>
    <row r="1344" spans="1:16">
      <c r="A1344" s="3">
        <v>43847.823564814811</v>
      </c>
      <c r="B1344" s="4" t="str">
        <f>HYPERLINK("https://twitter.com/petrogustavo","@petrogustavo")</f>
        <v>@petrogustavo</v>
      </c>
      <c r="C1344" s="5" t="s">
        <v>16</v>
      </c>
      <c r="D1344" s="5" t="s">
        <v>1325</v>
      </c>
      <c r="E1344" s="6" t="str">
        <f>HYPERLINK("https://twitter.com/petrogustavo/status/1218175124245024768","1218175124245024768")</f>
        <v>1218175124245024768</v>
      </c>
      <c r="F1344" s="7" t="s">
        <v>17</v>
      </c>
      <c r="G1344" s="7">
        <v>3610855</v>
      </c>
      <c r="H1344" s="7">
        <v>2351</v>
      </c>
      <c r="I1344" s="7">
        <v>7</v>
      </c>
      <c r="J1344" s="7">
        <v>17</v>
      </c>
      <c r="K1344" s="7" t="s">
        <v>18</v>
      </c>
      <c r="L1344" s="8">
        <v>39987.315405092595</v>
      </c>
      <c r="M1344" s="9" t="s">
        <v>19</v>
      </c>
      <c r="N1344" s="9" t="s">
        <v>20</v>
      </c>
      <c r="O1344" s="6" t="str">
        <f>HYPERLINK("https://pbs.twimg.com/profile_images/962471262747529216/Uo8lOkRJ_normal.jpg","View")</f>
        <v>View</v>
      </c>
      <c r="P1344" s="7"/>
    </row>
    <row r="1345" spans="1:16">
      <c r="A1345" s="3">
        <v>43847.825960648144</v>
      </c>
      <c r="B1345" s="4" t="str">
        <f>HYPERLINK("https://twitter.com/petrogustavo","@petrogustavo")</f>
        <v>@petrogustavo</v>
      </c>
      <c r="C1345" s="5" t="s">
        <v>16</v>
      </c>
      <c r="D1345" s="5" t="s">
        <v>1326</v>
      </c>
      <c r="E1345" s="6" t="str">
        <f>HYPERLINK("https://twitter.com/petrogustavo/status/1218175989374758912","1218175989374758912")</f>
        <v>1218175989374758912</v>
      </c>
      <c r="F1345" s="7" t="s">
        <v>17</v>
      </c>
      <c r="G1345" s="7">
        <v>3610903</v>
      </c>
      <c r="H1345" s="7">
        <v>2351</v>
      </c>
      <c r="I1345" s="7">
        <v>59</v>
      </c>
      <c r="J1345" s="7">
        <v>112</v>
      </c>
      <c r="K1345" s="7" t="s">
        <v>18</v>
      </c>
      <c r="L1345" s="8">
        <v>39987.315405092595</v>
      </c>
      <c r="M1345" s="9" t="s">
        <v>19</v>
      </c>
      <c r="N1345" s="9" t="s">
        <v>20</v>
      </c>
      <c r="O1345" s="6" t="str">
        <f>HYPERLINK("https://pbs.twimg.com/profile_images/962471262747529216/Uo8lOkRJ_normal.jpg","View")</f>
        <v>View</v>
      </c>
      <c r="P1345" s="7"/>
    </row>
    <row r="1346" spans="1:16">
      <c r="A1346" s="3">
        <v>43847.847337962958</v>
      </c>
      <c r="B1346" s="4" t="str">
        <f>HYPERLINK("https://twitter.com/petrogustavo","@petrogustavo")</f>
        <v>@petrogustavo</v>
      </c>
      <c r="C1346" s="5" t="s">
        <v>16</v>
      </c>
      <c r="D1346" s="5" t="s">
        <v>1327</v>
      </c>
      <c r="E1346" s="6" t="str">
        <f>HYPERLINK("https://twitter.com/petrogustavo/status/1218183736170336260","1218183736170336260")</f>
        <v>1218183736170336260</v>
      </c>
      <c r="F1346" s="7" t="s">
        <v>17</v>
      </c>
      <c r="G1346" s="7">
        <v>3610903</v>
      </c>
      <c r="H1346" s="7">
        <v>2351</v>
      </c>
      <c r="I1346" s="7">
        <v>79</v>
      </c>
      <c r="J1346" s="7">
        <v>210</v>
      </c>
      <c r="K1346" s="7" t="s">
        <v>18</v>
      </c>
      <c r="L1346" s="8">
        <v>39987.315405092595</v>
      </c>
      <c r="M1346" s="9" t="s">
        <v>19</v>
      </c>
      <c r="N1346" s="9" t="s">
        <v>20</v>
      </c>
      <c r="O1346" s="6" t="str">
        <f>HYPERLINK("https://pbs.twimg.com/profile_images/962471262747529216/Uo8lOkRJ_normal.jpg","View")</f>
        <v>View</v>
      </c>
      <c r="P1346" s="7"/>
    </row>
    <row r="1347" spans="1:16">
      <c r="A1347" s="3">
        <v>43847.867013888885</v>
      </c>
      <c r="B1347" s="4" t="str">
        <f>HYPERLINK("https://twitter.com/petrogustavo","@petrogustavo")</f>
        <v>@petrogustavo</v>
      </c>
      <c r="C1347" s="5" t="s">
        <v>16</v>
      </c>
      <c r="D1347" s="5" t="s">
        <v>1328</v>
      </c>
      <c r="E1347" s="6" t="str">
        <f>HYPERLINK("https://twitter.com/petrogustavo/status/1218190869045575687","1218190869045575687")</f>
        <v>1218190869045575687</v>
      </c>
      <c r="F1347" s="7" t="s">
        <v>17</v>
      </c>
      <c r="G1347" s="7">
        <v>3610919</v>
      </c>
      <c r="H1347" s="7">
        <v>2351</v>
      </c>
      <c r="I1347" s="7">
        <v>83</v>
      </c>
      <c r="J1347" s="7">
        <v>192</v>
      </c>
      <c r="K1347" s="7" t="s">
        <v>18</v>
      </c>
      <c r="L1347" s="8">
        <v>39987.315405092595</v>
      </c>
      <c r="M1347" s="9" t="s">
        <v>19</v>
      </c>
      <c r="N1347" s="9" t="s">
        <v>20</v>
      </c>
      <c r="O1347" s="6" t="str">
        <f>HYPERLINK("https://pbs.twimg.com/profile_images/962471262747529216/Uo8lOkRJ_normal.jpg","View")</f>
        <v>View</v>
      </c>
      <c r="P1347" s="7"/>
    </row>
    <row r="1348" spans="1:16">
      <c r="A1348" s="3">
        <v>43847.86719907407</v>
      </c>
      <c r="B1348" s="4" t="str">
        <f>HYPERLINK("https://twitter.com/petrogustavo","@petrogustavo")</f>
        <v>@petrogustavo</v>
      </c>
      <c r="C1348" s="5" t="s">
        <v>16</v>
      </c>
      <c r="D1348" s="5" t="s">
        <v>1329</v>
      </c>
      <c r="E1348" s="6" t="str">
        <f>HYPERLINK("https://twitter.com/petrogustavo/status/1218190934887870468","1218190934887870468")</f>
        <v>1218190934887870468</v>
      </c>
      <c r="F1348" s="7" t="s">
        <v>17</v>
      </c>
      <c r="G1348" s="7">
        <v>3610919</v>
      </c>
      <c r="H1348" s="7">
        <v>2351</v>
      </c>
      <c r="I1348" s="7">
        <v>114</v>
      </c>
      <c r="J1348" s="7">
        <v>0</v>
      </c>
      <c r="K1348" s="7" t="s">
        <v>18</v>
      </c>
      <c r="L1348" s="8">
        <v>39987.315405092595</v>
      </c>
      <c r="M1348" s="9" t="s">
        <v>19</v>
      </c>
      <c r="N1348" s="9" t="s">
        <v>20</v>
      </c>
      <c r="O1348" s="6" t="str">
        <f>HYPERLINK("https://pbs.twimg.com/profile_images/962471262747529216/Uo8lOkRJ_normal.jpg","View")</f>
        <v>View</v>
      </c>
      <c r="P1348" s="7"/>
    </row>
    <row r="1349" spans="1:16">
      <c r="A1349" s="3">
        <v>43848.292372685188</v>
      </c>
      <c r="B1349" s="4" t="str">
        <f>HYPERLINK("https://twitter.com/petrogustavo","@petrogustavo")</f>
        <v>@petrogustavo</v>
      </c>
      <c r="C1349" s="5" t="s">
        <v>16</v>
      </c>
      <c r="D1349" s="5" t="s">
        <v>1302</v>
      </c>
      <c r="E1349" s="6" t="str">
        <f>HYPERLINK("https://twitter.com/petrogustavo/status/1218345013718999041","1218345013718999041")</f>
        <v>1218345013718999041</v>
      </c>
      <c r="F1349" s="7" t="s">
        <v>17</v>
      </c>
      <c r="G1349" s="7">
        <v>3611383</v>
      </c>
      <c r="H1349" s="7">
        <v>2351</v>
      </c>
      <c r="I1349" s="7">
        <v>4917</v>
      </c>
      <c r="J1349" s="7">
        <v>0</v>
      </c>
      <c r="K1349" s="7" t="s">
        <v>18</v>
      </c>
      <c r="L1349" s="8">
        <v>39987.315405092595</v>
      </c>
      <c r="M1349" s="9" t="s">
        <v>19</v>
      </c>
      <c r="N1349" s="9" t="s">
        <v>20</v>
      </c>
      <c r="O1349" s="6" t="str">
        <f>HYPERLINK("https://pbs.twimg.com/profile_images/962471262747529216/Uo8lOkRJ_normal.jpg","View")</f>
        <v>View</v>
      </c>
      <c r="P1349" s="7"/>
    </row>
    <row r="1350" spans="1:16">
      <c r="A1350" s="3">
        <v>43848.777337962965</v>
      </c>
      <c r="B1350" s="4" t="str">
        <f>HYPERLINK("https://twitter.com/petrogustavo","@petrogustavo")</f>
        <v>@petrogustavo</v>
      </c>
      <c r="C1350" s="5" t="s">
        <v>16</v>
      </c>
      <c r="D1350" s="5" t="s">
        <v>1330</v>
      </c>
      <c r="E1350" s="6" t="str">
        <f>HYPERLINK("https://twitter.com/petrogustavo/status/1218520757761904641","1218520757761904641")</f>
        <v>1218520757761904641</v>
      </c>
      <c r="F1350" s="7" t="s">
        <v>17</v>
      </c>
      <c r="G1350" s="7">
        <v>3611636</v>
      </c>
      <c r="H1350" s="7">
        <v>2350</v>
      </c>
      <c r="I1350" s="7">
        <v>60</v>
      </c>
      <c r="J1350" s="7">
        <v>137</v>
      </c>
      <c r="K1350" s="7" t="s">
        <v>18</v>
      </c>
      <c r="L1350" s="8">
        <v>39987.315405092595</v>
      </c>
      <c r="M1350" s="9" t="s">
        <v>19</v>
      </c>
      <c r="N1350" s="9" t="s">
        <v>20</v>
      </c>
      <c r="O1350" s="6" t="str">
        <f>HYPERLINK("https://pbs.twimg.com/profile_images/962471262747529216/Uo8lOkRJ_normal.jpg","View")</f>
        <v>View</v>
      </c>
      <c r="P1350" s="7"/>
    </row>
    <row r="1351" spans="1:16">
      <c r="A1351" s="3">
        <v>43848.782372685186</v>
      </c>
      <c r="B1351" s="4" t="str">
        <f>HYPERLINK("https://twitter.com/petrogustavo","@petrogustavo")</f>
        <v>@petrogustavo</v>
      </c>
      <c r="C1351" s="5" t="s">
        <v>16</v>
      </c>
      <c r="D1351" s="5" t="s">
        <v>1331</v>
      </c>
      <c r="E1351" s="6" t="str">
        <f>HYPERLINK("https://twitter.com/petrogustavo/status/1218522584171655168","1218522584171655168")</f>
        <v>1218522584171655168</v>
      </c>
      <c r="F1351" s="7" t="s">
        <v>17</v>
      </c>
      <c r="G1351" s="7">
        <v>3611636</v>
      </c>
      <c r="H1351" s="7">
        <v>2350</v>
      </c>
      <c r="I1351" s="7">
        <v>7</v>
      </c>
      <c r="J1351" s="7">
        <v>15</v>
      </c>
      <c r="K1351" s="7" t="s">
        <v>18</v>
      </c>
      <c r="L1351" s="8">
        <v>39987.315405092595</v>
      </c>
      <c r="M1351" s="9" t="s">
        <v>19</v>
      </c>
      <c r="N1351" s="9" t="s">
        <v>20</v>
      </c>
      <c r="O1351" s="6" t="str">
        <f>HYPERLINK("https://pbs.twimg.com/profile_images/962471262747529216/Uo8lOkRJ_normal.jpg","View")</f>
        <v>View</v>
      </c>
      <c r="P1351" s="7"/>
    </row>
    <row r="1352" spans="1:16">
      <c r="A1352" s="3">
        <v>43848.785752314812</v>
      </c>
      <c r="B1352" s="4" t="str">
        <f>HYPERLINK("https://twitter.com/petrogustavo","@petrogustavo")</f>
        <v>@petrogustavo</v>
      </c>
      <c r="C1352" s="5" t="s">
        <v>16</v>
      </c>
      <c r="D1352" s="5" t="s">
        <v>1332</v>
      </c>
      <c r="E1352" s="6" t="str">
        <f>HYPERLINK("https://twitter.com/petrogustavo/status/1218523807092264962","1218523807092264962")</f>
        <v>1218523807092264962</v>
      </c>
      <c r="F1352" s="7" t="s">
        <v>17</v>
      </c>
      <c r="G1352" s="7">
        <v>3611642</v>
      </c>
      <c r="H1352" s="7">
        <v>2350</v>
      </c>
      <c r="I1352" s="7">
        <v>85</v>
      </c>
      <c r="J1352" s="7">
        <v>148</v>
      </c>
      <c r="K1352" s="7" t="s">
        <v>18</v>
      </c>
      <c r="L1352" s="8">
        <v>39987.315405092595</v>
      </c>
      <c r="M1352" s="9" t="s">
        <v>19</v>
      </c>
      <c r="N1352" s="9" t="s">
        <v>20</v>
      </c>
      <c r="O1352" s="6" t="str">
        <f>HYPERLINK("https://pbs.twimg.com/profile_images/962471262747529216/Uo8lOkRJ_normal.jpg","View")</f>
        <v>View</v>
      </c>
      <c r="P1352" s="7"/>
    </row>
    <row r="1353" spans="1:16">
      <c r="A1353" s="3">
        <v>43848.788553240738</v>
      </c>
      <c r="B1353" s="4" t="str">
        <f>HYPERLINK("https://twitter.com/petrogustavo","@petrogustavo")</f>
        <v>@petrogustavo</v>
      </c>
      <c r="C1353" s="5" t="s">
        <v>16</v>
      </c>
      <c r="D1353" s="5" t="s">
        <v>1333</v>
      </c>
      <c r="E1353" s="6" t="str">
        <f>HYPERLINK("https://twitter.com/petrogustavo/status/1218524821560209408","1218524821560209408")</f>
        <v>1218524821560209408</v>
      </c>
      <c r="F1353" s="7" t="s">
        <v>17</v>
      </c>
      <c r="G1353" s="7">
        <v>3611642</v>
      </c>
      <c r="H1353" s="7">
        <v>2350</v>
      </c>
      <c r="I1353" s="7">
        <v>38</v>
      </c>
      <c r="J1353" s="7">
        <v>111</v>
      </c>
      <c r="K1353" s="7" t="s">
        <v>18</v>
      </c>
      <c r="L1353" s="8">
        <v>39987.315405092595</v>
      </c>
      <c r="M1353" s="9" t="s">
        <v>19</v>
      </c>
      <c r="N1353" s="9" t="s">
        <v>20</v>
      </c>
      <c r="O1353" s="6" t="str">
        <f>HYPERLINK("https://pbs.twimg.com/profile_images/962471262747529216/Uo8lOkRJ_normal.jpg","View")</f>
        <v>View</v>
      </c>
      <c r="P1353" s="7"/>
    </row>
    <row r="1354" spans="1:16">
      <c r="A1354" s="3">
        <v>43848.789942129632</v>
      </c>
      <c r="B1354" s="4" t="str">
        <f>HYPERLINK("https://twitter.com/petrogustavo","@petrogustavo")</f>
        <v>@petrogustavo</v>
      </c>
      <c r="C1354" s="5" t="s">
        <v>16</v>
      </c>
      <c r="D1354" s="5" t="s">
        <v>1334</v>
      </c>
      <c r="E1354" s="6" t="str">
        <f>HYPERLINK("https://twitter.com/petrogustavo/status/1218525326055280641","1218525326055280641")</f>
        <v>1218525326055280641</v>
      </c>
      <c r="F1354" s="7" t="s">
        <v>17</v>
      </c>
      <c r="G1354" s="7">
        <v>3611642</v>
      </c>
      <c r="H1354" s="7">
        <v>2350</v>
      </c>
      <c r="I1354" s="7">
        <v>87</v>
      </c>
      <c r="J1354" s="7">
        <v>198</v>
      </c>
      <c r="K1354" s="7" t="s">
        <v>18</v>
      </c>
      <c r="L1354" s="8">
        <v>39987.315405092595</v>
      </c>
      <c r="M1354" s="9" t="s">
        <v>19</v>
      </c>
      <c r="N1354" s="9" t="s">
        <v>20</v>
      </c>
      <c r="O1354" s="6" t="str">
        <f>HYPERLINK("https://pbs.twimg.com/profile_images/962471262747529216/Uo8lOkRJ_normal.jpg","View")</f>
        <v>View</v>
      </c>
      <c r="P1354" s="7"/>
    </row>
    <row r="1355" spans="1:16">
      <c r="A1355" s="3">
        <v>43848.792349537034</v>
      </c>
      <c r="B1355" s="4" t="str">
        <f>HYPERLINK("https://twitter.com/petrogustavo","@petrogustavo")</f>
        <v>@petrogustavo</v>
      </c>
      <c r="C1355" s="5" t="s">
        <v>16</v>
      </c>
      <c r="D1355" s="5" t="s">
        <v>1335</v>
      </c>
      <c r="E1355" s="6" t="str">
        <f>HYPERLINK("https://twitter.com/petrogustavo/status/1218526197078011904","1218526197078011904")</f>
        <v>1218526197078011904</v>
      </c>
      <c r="F1355" s="7" t="s">
        <v>17</v>
      </c>
      <c r="G1355" s="7">
        <v>3611642</v>
      </c>
      <c r="H1355" s="7">
        <v>2350</v>
      </c>
      <c r="I1355" s="7">
        <v>46</v>
      </c>
      <c r="J1355" s="7">
        <v>95</v>
      </c>
      <c r="K1355" s="7" t="s">
        <v>18</v>
      </c>
      <c r="L1355" s="8">
        <v>39987.315405092595</v>
      </c>
      <c r="M1355" s="9" t="s">
        <v>19</v>
      </c>
      <c r="N1355" s="9" t="s">
        <v>20</v>
      </c>
      <c r="O1355" s="6" t="str">
        <f>HYPERLINK("https://pbs.twimg.com/profile_images/962471262747529216/Uo8lOkRJ_normal.jpg","View")</f>
        <v>View</v>
      </c>
      <c r="P1355" s="7"/>
    </row>
    <row r="1356" spans="1:16">
      <c r="A1356" s="3">
        <v>43848.794583333336</v>
      </c>
      <c r="B1356" s="4" t="str">
        <f>HYPERLINK("https://twitter.com/petrogustavo","@petrogustavo")</f>
        <v>@petrogustavo</v>
      </c>
      <c r="C1356" s="5" t="s">
        <v>16</v>
      </c>
      <c r="D1356" s="5" t="s">
        <v>1336</v>
      </c>
      <c r="E1356" s="6" t="str">
        <f>HYPERLINK("https://twitter.com/petrogustavo/status/1218527006163382272","1218527006163382272")</f>
        <v>1218527006163382272</v>
      </c>
      <c r="F1356" s="7" t="s">
        <v>17</v>
      </c>
      <c r="G1356" s="7">
        <v>3611642</v>
      </c>
      <c r="H1356" s="7">
        <v>2350</v>
      </c>
      <c r="I1356" s="7">
        <v>78</v>
      </c>
      <c r="J1356" s="7">
        <v>308</v>
      </c>
      <c r="K1356" s="7" t="s">
        <v>18</v>
      </c>
      <c r="L1356" s="8">
        <v>39987.315405092595</v>
      </c>
      <c r="M1356" s="9" t="s">
        <v>19</v>
      </c>
      <c r="N1356" s="9" t="s">
        <v>20</v>
      </c>
      <c r="O1356" s="6" t="str">
        <f>HYPERLINK("https://pbs.twimg.com/profile_images/962471262747529216/Uo8lOkRJ_normal.jpg","View")</f>
        <v>View</v>
      </c>
      <c r="P1356" s="7"/>
    </row>
    <row r="1357" spans="1:16">
      <c r="A1357" s="3">
        <v>43848.799826388888</v>
      </c>
      <c r="B1357" s="4" t="str">
        <f>HYPERLINK("https://twitter.com/petrogustavo","@petrogustavo")</f>
        <v>@petrogustavo</v>
      </c>
      <c r="C1357" s="5" t="s">
        <v>16</v>
      </c>
      <c r="D1357" s="5" t="s">
        <v>1337</v>
      </c>
      <c r="E1357" s="6" t="str">
        <f>HYPERLINK("https://twitter.com/petrogustavo/status/1218528909488263171","1218528909488263171")</f>
        <v>1218528909488263171</v>
      </c>
      <c r="F1357" s="7" t="s">
        <v>17</v>
      </c>
      <c r="G1357" s="7">
        <v>3611642</v>
      </c>
      <c r="H1357" s="7">
        <v>2350</v>
      </c>
      <c r="I1357" s="7">
        <v>23</v>
      </c>
      <c r="J1357" s="7">
        <v>72</v>
      </c>
      <c r="K1357" s="7" t="s">
        <v>18</v>
      </c>
      <c r="L1357" s="8">
        <v>39987.315405092595</v>
      </c>
      <c r="M1357" s="9" t="s">
        <v>19</v>
      </c>
      <c r="N1357" s="9" t="s">
        <v>20</v>
      </c>
      <c r="O1357" s="6" t="str">
        <f>HYPERLINK("https://pbs.twimg.com/profile_images/962471262747529216/Uo8lOkRJ_normal.jpg","View")</f>
        <v>View</v>
      </c>
      <c r="P1357" s="7"/>
    </row>
    <row r="1358" spans="1:16">
      <c r="A1358" s="3">
        <v>43848.807499999995</v>
      </c>
      <c r="B1358" s="4" t="str">
        <f>HYPERLINK("https://twitter.com/petrogustavo","@petrogustavo")</f>
        <v>@petrogustavo</v>
      </c>
      <c r="C1358" s="5" t="s">
        <v>16</v>
      </c>
      <c r="D1358" s="5" t="s">
        <v>1338</v>
      </c>
      <c r="E1358" s="6" t="str">
        <f>HYPERLINK("https://twitter.com/petrogustavo/status/1218531688847986688","1218531688847986688")</f>
        <v>1218531688847986688</v>
      </c>
      <c r="F1358" s="7" t="s">
        <v>17</v>
      </c>
      <c r="G1358" s="7">
        <v>3611663</v>
      </c>
      <c r="H1358" s="7">
        <v>2350</v>
      </c>
      <c r="I1358" s="7">
        <v>50</v>
      </c>
      <c r="J1358" s="7">
        <v>117</v>
      </c>
      <c r="K1358" s="7" t="s">
        <v>18</v>
      </c>
      <c r="L1358" s="8">
        <v>39987.315405092595</v>
      </c>
      <c r="M1358" s="9" t="s">
        <v>19</v>
      </c>
      <c r="N1358" s="9" t="s">
        <v>20</v>
      </c>
      <c r="O1358" s="6" t="str">
        <f>HYPERLINK("https://pbs.twimg.com/profile_images/962471262747529216/Uo8lOkRJ_normal.jpg","View")</f>
        <v>View</v>
      </c>
      <c r="P1358" s="7"/>
    </row>
    <row r="1359" spans="1:16">
      <c r="A1359" s="3">
        <v>43848.833437499998</v>
      </c>
      <c r="B1359" s="4" t="str">
        <f>HYPERLINK("https://twitter.com/petrogustavo","@petrogustavo")</f>
        <v>@petrogustavo</v>
      </c>
      <c r="C1359" s="5" t="s">
        <v>16</v>
      </c>
      <c r="D1359" s="5" t="s">
        <v>1339</v>
      </c>
      <c r="E1359" s="6" t="str">
        <f>HYPERLINK("https://twitter.com/petrogustavo/status/1218541089185026049","1218541089185026049")</f>
        <v>1218541089185026049</v>
      </c>
      <c r="F1359" s="7" t="s">
        <v>17</v>
      </c>
      <c r="G1359" s="7">
        <v>3611678</v>
      </c>
      <c r="H1359" s="7">
        <v>2350</v>
      </c>
      <c r="I1359" s="7">
        <v>436</v>
      </c>
      <c r="J1359" s="7">
        <v>0</v>
      </c>
      <c r="K1359" s="7" t="s">
        <v>18</v>
      </c>
      <c r="L1359" s="8">
        <v>39987.315405092595</v>
      </c>
      <c r="M1359" s="9" t="s">
        <v>19</v>
      </c>
      <c r="N1359" s="9" t="s">
        <v>20</v>
      </c>
      <c r="O1359" s="6" t="str">
        <f>HYPERLINK("https://pbs.twimg.com/profile_images/962471262747529216/Uo8lOkRJ_normal.jpg","View")</f>
        <v>View</v>
      </c>
      <c r="P1359" s="7"/>
    </row>
    <row r="1360" spans="1:16">
      <c r="A1360" s="3">
        <v>43848.84097222222</v>
      </c>
      <c r="B1360" s="4" t="str">
        <f>HYPERLINK("https://twitter.com/petrogustavo","@petrogustavo")</f>
        <v>@petrogustavo</v>
      </c>
      <c r="C1360" s="5" t="s">
        <v>16</v>
      </c>
      <c r="D1360" s="5" t="s">
        <v>1340</v>
      </c>
      <c r="E1360" s="6" t="str">
        <f>HYPERLINK("https://twitter.com/petrogustavo/status/1218543819119042560","1218543819119042560")</f>
        <v>1218543819119042560</v>
      </c>
      <c r="F1360" s="7" t="s">
        <v>17</v>
      </c>
      <c r="G1360" s="7">
        <v>3611678</v>
      </c>
      <c r="H1360" s="7">
        <v>2350</v>
      </c>
      <c r="I1360" s="7">
        <v>59</v>
      </c>
      <c r="J1360" s="7">
        <v>112</v>
      </c>
      <c r="K1360" s="7" t="s">
        <v>18</v>
      </c>
      <c r="L1360" s="8">
        <v>39987.315405092595</v>
      </c>
      <c r="M1360" s="9" t="s">
        <v>19</v>
      </c>
      <c r="N1360" s="9" t="s">
        <v>20</v>
      </c>
      <c r="O1360" s="6" t="str">
        <f>HYPERLINK("https://pbs.twimg.com/profile_images/962471262747529216/Uo8lOkRJ_normal.jpg","View")</f>
        <v>View</v>
      </c>
      <c r="P1360" s="7"/>
    </row>
    <row r="1361" spans="1:16">
      <c r="A1361" s="3">
        <v>43848.84097222222</v>
      </c>
      <c r="B1361" s="4" t="str">
        <f>HYPERLINK("https://twitter.com/petrogustavo","@petrogustavo")</f>
        <v>@petrogustavo</v>
      </c>
      <c r="C1361" s="5" t="s">
        <v>16</v>
      </c>
      <c r="D1361" s="5" t="s">
        <v>1341</v>
      </c>
      <c r="E1361" s="6" t="str">
        <f>HYPERLINK("https://twitter.com/petrogustavo/status/1218543820553564160","1218543820553564160")</f>
        <v>1218543820553564160</v>
      </c>
      <c r="F1361" s="7" t="s">
        <v>17</v>
      </c>
      <c r="G1361" s="7">
        <v>3611678</v>
      </c>
      <c r="H1361" s="7">
        <v>2350</v>
      </c>
      <c r="I1361" s="7">
        <v>29</v>
      </c>
      <c r="J1361" s="7">
        <v>78</v>
      </c>
      <c r="K1361" s="7" t="s">
        <v>18</v>
      </c>
      <c r="L1361" s="8">
        <v>39987.315405092595</v>
      </c>
      <c r="M1361" s="9" t="s">
        <v>19</v>
      </c>
      <c r="N1361" s="9" t="s">
        <v>20</v>
      </c>
      <c r="O1361" s="6" t="str">
        <f>HYPERLINK("https://pbs.twimg.com/profile_images/962471262747529216/Uo8lOkRJ_normal.jpg","View")</f>
        <v>View</v>
      </c>
      <c r="P1361" s="7"/>
    </row>
    <row r="1362" spans="1:16">
      <c r="A1362" s="3">
        <v>43848.849270833336</v>
      </c>
      <c r="B1362" s="4" t="str">
        <f>HYPERLINK("https://twitter.com/petrogustavo","@petrogustavo")</f>
        <v>@petrogustavo</v>
      </c>
      <c r="C1362" s="5" t="s">
        <v>16</v>
      </c>
      <c r="D1362" s="5" t="s">
        <v>1342</v>
      </c>
      <c r="E1362" s="6" t="str">
        <f>HYPERLINK("https://twitter.com/petrogustavo/status/1218546825831030785","1218546825831030785")</f>
        <v>1218546825831030785</v>
      </c>
      <c r="F1362" s="7" t="s">
        <v>17</v>
      </c>
      <c r="G1362" s="7">
        <v>3611683</v>
      </c>
      <c r="H1362" s="7">
        <v>2350</v>
      </c>
      <c r="I1362" s="7">
        <v>23</v>
      </c>
      <c r="J1362" s="7">
        <v>0</v>
      </c>
      <c r="K1362" s="7" t="s">
        <v>18</v>
      </c>
      <c r="L1362" s="8">
        <v>39987.315405092595</v>
      </c>
      <c r="M1362" s="9" t="s">
        <v>19</v>
      </c>
      <c r="N1362" s="9" t="s">
        <v>20</v>
      </c>
      <c r="O1362" s="6" t="str">
        <f>HYPERLINK("https://pbs.twimg.com/profile_images/962471262747529216/Uo8lOkRJ_normal.jpg","View")</f>
        <v>View</v>
      </c>
      <c r="P1362" s="7"/>
    </row>
    <row r="1363" spans="1:16">
      <c r="A1363" s="3">
        <v>43848.854548611111</v>
      </c>
      <c r="B1363" s="4" t="str">
        <f>HYPERLINK("https://twitter.com/petrogustavo","@petrogustavo")</f>
        <v>@petrogustavo</v>
      </c>
      <c r="C1363" s="5" t="s">
        <v>16</v>
      </c>
      <c r="D1363" s="5" t="s">
        <v>1343</v>
      </c>
      <c r="E1363" s="6" t="str">
        <f>HYPERLINK("https://twitter.com/petrogustavo/status/1218548740644052996","1218548740644052996")</f>
        <v>1218548740644052996</v>
      </c>
      <c r="F1363" s="7" t="s">
        <v>17</v>
      </c>
      <c r="G1363" s="7">
        <v>3611683</v>
      </c>
      <c r="H1363" s="7">
        <v>2350</v>
      </c>
      <c r="I1363" s="7">
        <v>115</v>
      </c>
      <c r="J1363" s="7">
        <v>235</v>
      </c>
      <c r="K1363" s="7" t="s">
        <v>18</v>
      </c>
      <c r="L1363" s="8">
        <v>39987.315405092595</v>
      </c>
      <c r="M1363" s="9" t="s">
        <v>19</v>
      </c>
      <c r="N1363" s="9" t="s">
        <v>20</v>
      </c>
      <c r="O1363" s="6" t="str">
        <f>HYPERLINK("https://pbs.twimg.com/profile_images/962471262747529216/Uo8lOkRJ_normal.jpg","View")</f>
        <v>View</v>
      </c>
      <c r="P1363" s="7"/>
    </row>
    <row r="1364" spans="1:16">
      <c r="A1364" s="3">
        <v>43848.873159722221</v>
      </c>
      <c r="B1364" s="4" t="str">
        <f>HYPERLINK("https://twitter.com/petrogustavo","@petrogustavo")</f>
        <v>@petrogustavo</v>
      </c>
      <c r="C1364" s="5" t="s">
        <v>16</v>
      </c>
      <c r="D1364" s="5" t="s">
        <v>1344</v>
      </c>
      <c r="E1364" s="6" t="str">
        <f>HYPERLINK("https://twitter.com/petrogustavo/status/1218555481234518016","1218555481234518016")</f>
        <v>1218555481234518016</v>
      </c>
      <c r="F1364" s="7" t="s">
        <v>17</v>
      </c>
      <c r="G1364" s="7">
        <v>3611706</v>
      </c>
      <c r="H1364" s="7">
        <v>2350</v>
      </c>
      <c r="I1364" s="7">
        <v>7</v>
      </c>
      <c r="J1364" s="7">
        <v>0</v>
      </c>
      <c r="K1364" s="7" t="s">
        <v>18</v>
      </c>
      <c r="L1364" s="8">
        <v>39987.315405092595</v>
      </c>
      <c r="M1364" s="9" t="s">
        <v>19</v>
      </c>
      <c r="N1364" s="9" t="s">
        <v>20</v>
      </c>
      <c r="O1364" s="6" t="str">
        <f>HYPERLINK("https://pbs.twimg.com/profile_images/962471262747529216/Uo8lOkRJ_normal.jpg","View")</f>
        <v>View</v>
      </c>
      <c r="P1364" s="7"/>
    </row>
    <row r="1365" spans="1:16">
      <c r="A1365" s="3">
        <v>43848.876180555555</v>
      </c>
      <c r="B1365" s="4" t="str">
        <f>HYPERLINK("https://twitter.com/petrogustavo","@petrogustavo")</f>
        <v>@petrogustavo</v>
      </c>
      <c r="C1365" s="5" t="s">
        <v>16</v>
      </c>
      <c r="D1365" s="5" t="s">
        <v>1345</v>
      </c>
      <c r="E1365" s="6" t="str">
        <f>HYPERLINK("https://twitter.com/petrogustavo/status/1218556577638178819","1218556577638178819")</f>
        <v>1218556577638178819</v>
      </c>
      <c r="F1365" s="7" t="s">
        <v>17</v>
      </c>
      <c r="G1365" s="7">
        <v>3611706</v>
      </c>
      <c r="H1365" s="7">
        <v>2350</v>
      </c>
      <c r="I1365" s="7">
        <v>61</v>
      </c>
      <c r="J1365" s="7">
        <v>203</v>
      </c>
      <c r="K1365" s="7" t="s">
        <v>18</v>
      </c>
      <c r="L1365" s="8">
        <v>39987.315405092595</v>
      </c>
      <c r="M1365" s="9" t="s">
        <v>19</v>
      </c>
      <c r="N1365" s="9" t="s">
        <v>20</v>
      </c>
      <c r="O1365" s="6" t="str">
        <f>HYPERLINK("https://pbs.twimg.com/profile_images/962471262747529216/Uo8lOkRJ_normal.jpg","View")</f>
        <v>View</v>
      </c>
      <c r="P1365" s="7"/>
    </row>
    <row r="1366" spans="1:16">
      <c r="A1366" s="3">
        <v>43848.885405092587</v>
      </c>
      <c r="B1366" s="4" t="str">
        <f>HYPERLINK("https://twitter.com/petrogustavo","@petrogustavo")</f>
        <v>@petrogustavo</v>
      </c>
      <c r="C1366" s="5" t="s">
        <v>16</v>
      </c>
      <c r="D1366" s="5" t="s">
        <v>1346</v>
      </c>
      <c r="E1366" s="6" t="str">
        <f>HYPERLINK("https://twitter.com/petrogustavo/status/1218559920288813056","1218559920288813056")</f>
        <v>1218559920288813056</v>
      </c>
      <c r="F1366" s="7" t="s">
        <v>17</v>
      </c>
      <c r="G1366" s="7">
        <v>3611706</v>
      </c>
      <c r="H1366" s="7">
        <v>2350</v>
      </c>
      <c r="I1366" s="7">
        <v>256</v>
      </c>
      <c r="J1366" s="7">
        <v>0</v>
      </c>
      <c r="K1366" s="7" t="s">
        <v>18</v>
      </c>
      <c r="L1366" s="8">
        <v>39987.315405092595</v>
      </c>
      <c r="M1366" s="9" t="s">
        <v>19</v>
      </c>
      <c r="N1366" s="9" t="s">
        <v>20</v>
      </c>
      <c r="O1366" s="6" t="str">
        <f>HYPERLINK("https://pbs.twimg.com/profile_images/962471262747529216/Uo8lOkRJ_normal.jpg","View")</f>
        <v>View</v>
      </c>
      <c r="P1366" s="7"/>
    </row>
    <row r="1367" spans="1:16">
      <c r="A1367" s="3">
        <v>43848.895000000004</v>
      </c>
      <c r="B1367" s="4" t="str">
        <f>HYPERLINK("https://twitter.com/petrogustavo","@petrogustavo")</f>
        <v>@petrogustavo</v>
      </c>
      <c r="C1367" s="5" t="s">
        <v>16</v>
      </c>
      <c r="D1367" s="5" t="s">
        <v>1347</v>
      </c>
      <c r="E1367" s="6" t="str">
        <f>HYPERLINK("https://twitter.com/petrogustavo/status/1218563397362626562","1218563397362626562")</f>
        <v>1218563397362626562</v>
      </c>
      <c r="F1367" s="7" t="s">
        <v>17</v>
      </c>
      <c r="G1367" s="7">
        <v>3611726</v>
      </c>
      <c r="H1367" s="7">
        <v>2350</v>
      </c>
      <c r="I1367" s="7">
        <v>82</v>
      </c>
      <c r="J1367" s="7">
        <v>192</v>
      </c>
      <c r="K1367" s="7" t="s">
        <v>18</v>
      </c>
      <c r="L1367" s="8">
        <v>39987.315405092595</v>
      </c>
      <c r="M1367" s="9" t="s">
        <v>19</v>
      </c>
      <c r="N1367" s="9" t="s">
        <v>20</v>
      </c>
      <c r="O1367" s="6" t="str">
        <f>HYPERLINK("https://pbs.twimg.com/profile_images/962471262747529216/Uo8lOkRJ_normal.jpg","View")</f>
        <v>View</v>
      </c>
      <c r="P1367" s="7"/>
    </row>
    <row r="1368" spans="1:16">
      <c r="A1368" s="3">
        <v>43848.90253472222</v>
      </c>
      <c r="B1368" s="4" t="str">
        <f>HYPERLINK("https://twitter.com/petrogustavo","@petrogustavo")</f>
        <v>@petrogustavo</v>
      </c>
      <c r="C1368" s="5" t="s">
        <v>16</v>
      </c>
      <c r="D1368" s="5" t="s">
        <v>1348</v>
      </c>
      <c r="E1368" s="6" t="str">
        <f>HYPERLINK("https://twitter.com/petrogustavo/status/1218566128257130496","1218566128257130496")</f>
        <v>1218566128257130496</v>
      </c>
      <c r="F1368" s="7" t="s">
        <v>17</v>
      </c>
      <c r="G1368" s="7">
        <v>3611726</v>
      </c>
      <c r="H1368" s="7">
        <v>2350</v>
      </c>
      <c r="I1368" s="7">
        <v>45</v>
      </c>
      <c r="J1368" s="7">
        <v>86</v>
      </c>
      <c r="K1368" s="7" t="s">
        <v>18</v>
      </c>
      <c r="L1368" s="8">
        <v>39987.315405092595</v>
      </c>
      <c r="M1368" s="9" t="s">
        <v>19</v>
      </c>
      <c r="N1368" s="9" t="s">
        <v>20</v>
      </c>
      <c r="O1368" s="6" t="str">
        <f>HYPERLINK("https://pbs.twimg.com/profile_images/962471262747529216/Uo8lOkRJ_normal.jpg","View")</f>
        <v>View</v>
      </c>
      <c r="P1368" s="7"/>
    </row>
    <row r="1369" spans="1:16">
      <c r="A1369" s="3">
        <v>43848.905381944445</v>
      </c>
      <c r="B1369" s="4" t="str">
        <f>HYPERLINK("https://twitter.com/petrogustavo","@petrogustavo")</f>
        <v>@petrogustavo</v>
      </c>
      <c r="C1369" s="5" t="s">
        <v>16</v>
      </c>
      <c r="D1369" s="5" t="s">
        <v>1349</v>
      </c>
      <c r="E1369" s="6" t="str">
        <f>HYPERLINK("https://twitter.com/petrogustavo/status/1218567158264889344","1218567158264889344")</f>
        <v>1218567158264889344</v>
      </c>
      <c r="F1369" s="7" t="s">
        <v>17</v>
      </c>
      <c r="G1369" s="7">
        <v>3611726</v>
      </c>
      <c r="H1369" s="7">
        <v>2350</v>
      </c>
      <c r="I1369" s="7">
        <v>1515</v>
      </c>
      <c r="J1369" s="7">
        <v>0</v>
      </c>
      <c r="K1369" s="7" t="s">
        <v>18</v>
      </c>
      <c r="L1369" s="8">
        <v>39987.315405092595</v>
      </c>
      <c r="M1369" s="9" t="s">
        <v>19</v>
      </c>
      <c r="N1369" s="9" t="s">
        <v>20</v>
      </c>
      <c r="O1369" s="6" t="str">
        <f>HYPERLINK("https://pbs.twimg.com/profile_images/962471262747529216/Uo8lOkRJ_normal.jpg","View")</f>
        <v>View</v>
      </c>
      <c r="P1369" s="7"/>
    </row>
    <row r="1370" spans="1:16">
      <c r="A1370" s="3">
        <v>43848.909282407403</v>
      </c>
      <c r="B1370" s="4" t="str">
        <f>HYPERLINK("https://twitter.com/petrogustavo","@petrogustavo")</f>
        <v>@petrogustavo</v>
      </c>
      <c r="C1370" s="5" t="s">
        <v>16</v>
      </c>
      <c r="D1370" s="5" t="s">
        <v>1350</v>
      </c>
      <c r="E1370" s="6" t="str">
        <f>HYPERLINK("https://twitter.com/petrogustavo/status/1218568572110364672","1218568572110364672")</f>
        <v>1218568572110364672</v>
      </c>
      <c r="F1370" s="7" t="s">
        <v>17</v>
      </c>
      <c r="G1370" s="7">
        <v>3611739</v>
      </c>
      <c r="H1370" s="7">
        <v>2350</v>
      </c>
      <c r="I1370" s="7">
        <v>35</v>
      </c>
      <c r="J1370" s="7">
        <v>88</v>
      </c>
      <c r="K1370" s="7" t="s">
        <v>18</v>
      </c>
      <c r="L1370" s="8">
        <v>39987.315405092595</v>
      </c>
      <c r="M1370" s="9" t="s">
        <v>19</v>
      </c>
      <c r="N1370" s="9" t="s">
        <v>20</v>
      </c>
      <c r="O1370" s="6" t="str">
        <f>HYPERLINK("https://pbs.twimg.com/profile_images/962471262747529216/Uo8lOkRJ_normal.jpg","View")</f>
        <v>View</v>
      </c>
      <c r="P1370" s="7"/>
    </row>
    <row r="1371" spans="1:16">
      <c r="A1371" s="3">
        <v>43848.917002314818</v>
      </c>
      <c r="B1371" s="4" t="str">
        <f>HYPERLINK("https://twitter.com/petrogustavo","@petrogustavo")</f>
        <v>@petrogustavo</v>
      </c>
      <c r="C1371" s="5" t="s">
        <v>16</v>
      </c>
      <c r="D1371" s="5" t="s">
        <v>1351</v>
      </c>
      <c r="E1371" s="6" t="str">
        <f>HYPERLINK("https://twitter.com/petrogustavo/status/1218571372710060033","1218571372710060033")</f>
        <v>1218571372710060033</v>
      </c>
      <c r="F1371" s="7" t="s">
        <v>17</v>
      </c>
      <c r="G1371" s="7">
        <v>3611739</v>
      </c>
      <c r="H1371" s="7">
        <v>2350</v>
      </c>
      <c r="I1371" s="7">
        <v>130</v>
      </c>
      <c r="J1371" s="7">
        <v>367</v>
      </c>
      <c r="K1371" s="7" t="s">
        <v>18</v>
      </c>
      <c r="L1371" s="8">
        <v>39987.315405092595</v>
      </c>
      <c r="M1371" s="9" t="s">
        <v>19</v>
      </c>
      <c r="N1371" s="9" t="s">
        <v>20</v>
      </c>
      <c r="O1371" s="6" t="str">
        <f>HYPERLINK("https://pbs.twimg.com/profile_images/962471262747529216/Uo8lOkRJ_normal.jpg","View")</f>
        <v>View</v>
      </c>
      <c r="P1371" s="7"/>
    </row>
    <row r="1372" spans="1:16">
      <c r="A1372" s="3">
        <v>43848.919374999998</v>
      </c>
      <c r="B1372" s="4" t="str">
        <f>HYPERLINK("https://twitter.com/petrogustavo","@petrogustavo")</f>
        <v>@petrogustavo</v>
      </c>
      <c r="C1372" s="5" t="s">
        <v>16</v>
      </c>
      <c r="D1372" s="5" t="s">
        <v>1352</v>
      </c>
      <c r="E1372" s="6" t="str">
        <f>HYPERLINK("https://twitter.com/petrogustavo/status/1218572231971942400","1218572231971942400")</f>
        <v>1218572231971942400</v>
      </c>
      <c r="F1372" s="7" t="s">
        <v>17</v>
      </c>
      <c r="G1372" s="7">
        <v>3611739</v>
      </c>
      <c r="H1372" s="7">
        <v>2350</v>
      </c>
      <c r="I1372" s="7">
        <v>32</v>
      </c>
      <c r="J1372" s="7">
        <v>85</v>
      </c>
      <c r="K1372" s="7" t="s">
        <v>18</v>
      </c>
      <c r="L1372" s="8">
        <v>39987.315405092595</v>
      </c>
      <c r="M1372" s="9" t="s">
        <v>19</v>
      </c>
      <c r="N1372" s="9" t="s">
        <v>20</v>
      </c>
      <c r="O1372" s="6" t="str">
        <f>HYPERLINK("https://pbs.twimg.com/profile_images/962471262747529216/Uo8lOkRJ_normal.jpg","View")</f>
        <v>View</v>
      </c>
      <c r="P1372" s="7"/>
    </row>
    <row r="1373" spans="1:16">
      <c r="A1373" s="3">
        <v>43848.921134259261</v>
      </c>
      <c r="B1373" s="4" t="str">
        <f>HYPERLINK("https://twitter.com/petrogustavo","@petrogustavo")</f>
        <v>@petrogustavo</v>
      </c>
      <c r="C1373" s="5" t="s">
        <v>16</v>
      </c>
      <c r="D1373" s="5" t="s">
        <v>1353</v>
      </c>
      <c r="E1373" s="6" t="str">
        <f>HYPERLINK("https://twitter.com/petrogustavo/status/1218572870017867778","1218572870017867778")</f>
        <v>1218572870017867778</v>
      </c>
      <c r="F1373" s="7" t="s">
        <v>17</v>
      </c>
      <c r="G1373" s="7">
        <v>3611739</v>
      </c>
      <c r="H1373" s="7">
        <v>2350</v>
      </c>
      <c r="I1373" s="7">
        <v>130</v>
      </c>
      <c r="J1373" s="7">
        <v>0</v>
      </c>
      <c r="K1373" s="7" t="s">
        <v>18</v>
      </c>
      <c r="L1373" s="8">
        <v>39987.315405092595</v>
      </c>
      <c r="M1373" s="9" t="s">
        <v>19</v>
      </c>
      <c r="N1373" s="9" t="s">
        <v>20</v>
      </c>
      <c r="O1373" s="6" t="str">
        <f>HYPERLINK("https://pbs.twimg.com/profile_images/962471262747529216/Uo8lOkRJ_normal.jpg","View")</f>
        <v>View</v>
      </c>
      <c r="P1373" s="7"/>
    </row>
    <row r="1374" spans="1:16">
      <c r="A1374" s="3">
        <v>43848.926296296297</v>
      </c>
      <c r="B1374" s="4" t="str">
        <f>HYPERLINK("https://twitter.com/petrogustavo","@petrogustavo")</f>
        <v>@petrogustavo</v>
      </c>
      <c r="C1374" s="5" t="s">
        <v>16</v>
      </c>
      <c r="D1374" s="5" t="s">
        <v>1354</v>
      </c>
      <c r="E1374" s="6" t="str">
        <f>HYPERLINK("https://twitter.com/petrogustavo/status/1218574737082920960","1218574737082920960")</f>
        <v>1218574737082920960</v>
      </c>
      <c r="F1374" s="7" t="s">
        <v>17</v>
      </c>
      <c r="G1374" s="7">
        <v>3611739</v>
      </c>
      <c r="H1374" s="7">
        <v>2350</v>
      </c>
      <c r="I1374" s="7">
        <v>11</v>
      </c>
      <c r="J1374" s="7">
        <v>27</v>
      </c>
      <c r="K1374" s="7" t="s">
        <v>18</v>
      </c>
      <c r="L1374" s="8">
        <v>39987.315405092595</v>
      </c>
      <c r="M1374" s="9" t="s">
        <v>19</v>
      </c>
      <c r="N1374" s="9" t="s">
        <v>20</v>
      </c>
      <c r="O1374" s="6" t="str">
        <f>HYPERLINK("https://pbs.twimg.com/profile_images/962471262747529216/Uo8lOkRJ_normal.jpg","View")</f>
        <v>View</v>
      </c>
      <c r="P1374" s="7"/>
    </row>
    <row r="1375" spans="1:16">
      <c r="A1375" s="3">
        <v>43848.938587962963</v>
      </c>
      <c r="B1375" s="4" t="str">
        <f>HYPERLINK("https://twitter.com/petrogustavo","@petrogustavo")</f>
        <v>@petrogustavo</v>
      </c>
      <c r="C1375" s="5" t="s">
        <v>16</v>
      </c>
      <c r="D1375" s="5" t="s">
        <v>1355</v>
      </c>
      <c r="E1375" s="6" t="str">
        <f>HYPERLINK("https://twitter.com/petrogustavo/status/1218579193451159552","1218579193451159552")</f>
        <v>1218579193451159552</v>
      </c>
      <c r="F1375" s="7" t="s">
        <v>17</v>
      </c>
      <c r="G1375" s="7">
        <v>3611727</v>
      </c>
      <c r="H1375" s="7">
        <v>2351</v>
      </c>
      <c r="I1375" s="7">
        <v>25</v>
      </c>
      <c r="J1375" s="7">
        <v>102</v>
      </c>
      <c r="K1375" s="7" t="s">
        <v>18</v>
      </c>
      <c r="L1375" s="8">
        <v>39987.315405092595</v>
      </c>
      <c r="M1375" s="9" t="s">
        <v>19</v>
      </c>
      <c r="N1375" s="9" t="s">
        <v>20</v>
      </c>
      <c r="O1375" s="6" t="str">
        <f>HYPERLINK("https://pbs.twimg.com/profile_images/962471262747529216/Uo8lOkRJ_normal.jpg","View")</f>
        <v>View</v>
      </c>
      <c r="P1375" s="7"/>
    </row>
    <row r="1376" spans="1:16">
      <c r="A1376" s="3">
        <v>43848.938587962963</v>
      </c>
      <c r="B1376" s="4" t="str">
        <f>HYPERLINK("https://twitter.com/petrogustavo","@petrogustavo")</f>
        <v>@petrogustavo</v>
      </c>
      <c r="C1376" s="5" t="s">
        <v>16</v>
      </c>
      <c r="D1376" s="5" t="s">
        <v>1356</v>
      </c>
      <c r="E1376" s="6" t="str">
        <f>HYPERLINK("https://twitter.com/petrogustavo/status/1218579195267362816","1218579195267362816")</f>
        <v>1218579195267362816</v>
      </c>
      <c r="F1376" s="7" t="s">
        <v>17</v>
      </c>
      <c r="G1376" s="7">
        <v>3611727</v>
      </c>
      <c r="H1376" s="7">
        <v>2351</v>
      </c>
      <c r="I1376" s="7">
        <v>22</v>
      </c>
      <c r="J1376" s="7">
        <v>75</v>
      </c>
      <c r="K1376" s="7" t="s">
        <v>18</v>
      </c>
      <c r="L1376" s="8">
        <v>39987.315405092595</v>
      </c>
      <c r="M1376" s="9" t="s">
        <v>19</v>
      </c>
      <c r="N1376" s="9" t="s">
        <v>20</v>
      </c>
      <c r="O1376" s="6" t="str">
        <f>HYPERLINK("https://pbs.twimg.com/profile_images/962471262747529216/Uo8lOkRJ_normal.jpg","View")</f>
        <v>View</v>
      </c>
      <c r="P1376" s="7"/>
    </row>
    <row r="1377" spans="1:16">
      <c r="A1377" s="3">
        <v>43848.940625000003</v>
      </c>
      <c r="B1377" s="4" t="str">
        <f>HYPERLINK("https://twitter.com/petrogustavo","@petrogustavo")</f>
        <v>@petrogustavo</v>
      </c>
      <c r="C1377" s="5" t="s">
        <v>16</v>
      </c>
      <c r="D1377" s="5" t="s">
        <v>1357</v>
      </c>
      <c r="E1377" s="6" t="str">
        <f>HYPERLINK("https://twitter.com/petrogustavo/status/1218579931082391552","1218579931082391552")</f>
        <v>1218579931082391552</v>
      </c>
      <c r="F1377" s="7" t="s">
        <v>17</v>
      </c>
      <c r="G1377" s="7">
        <v>3611727</v>
      </c>
      <c r="H1377" s="7">
        <v>2351</v>
      </c>
      <c r="I1377" s="7">
        <v>49</v>
      </c>
      <c r="J1377" s="7">
        <v>172</v>
      </c>
      <c r="K1377" s="7" t="s">
        <v>18</v>
      </c>
      <c r="L1377" s="8">
        <v>39987.315405092595</v>
      </c>
      <c r="M1377" s="9" t="s">
        <v>19</v>
      </c>
      <c r="N1377" s="9" t="s">
        <v>20</v>
      </c>
      <c r="O1377" s="6" t="str">
        <f>HYPERLINK("https://pbs.twimg.com/profile_images/962471262747529216/Uo8lOkRJ_normal.jpg","View")</f>
        <v>View</v>
      </c>
      <c r="P1377" s="7"/>
    </row>
    <row r="1378" spans="1:16">
      <c r="A1378" s="3">
        <v>43848.945370370369</v>
      </c>
      <c r="B1378" s="4" t="str">
        <f>HYPERLINK("https://twitter.com/petrogustavo","@petrogustavo")</f>
        <v>@petrogustavo</v>
      </c>
      <c r="C1378" s="5" t="s">
        <v>16</v>
      </c>
      <c r="D1378" s="5" t="s">
        <v>1358</v>
      </c>
      <c r="E1378" s="6" t="str">
        <f>HYPERLINK("https://twitter.com/petrogustavo/status/1218581650097000451","1218581650097000451")</f>
        <v>1218581650097000451</v>
      </c>
      <c r="F1378" s="7" t="s">
        <v>17</v>
      </c>
      <c r="G1378" s="7">
        <v>3611727</v>
      </c>
      <c r="H1378" s="7">
        <v>2351</v>
      </c>
      <c r="I1378" s="7">
        <v>16</v>
      </c>
      <c r="J1378" s="7">
        <v>59</v>
      </c>
      <c r="K1378" s="7" t="s">
        <v>18</v>
      </c>
      <c r="L1378" s="8">
        <v>39987.315405092595</v>
      </c>
      <c r="M1378" s="9" t="s">
        <v>19</v>
      </c>
      <c r="N1378" s="9" t="s">
        <v>20</v>
      </c>
      <c r="O1378" s="6" t="str">
        <f>HYPERLINK("https://pbs.twimg.com/profile_images/962471262747529216/Uo8lOkRJ_normal.jpg","View")</f>
        <v>View</v>
      </c>
      <c r="P1378" s="7"/>
    </row>
    <row r="1379" spans="1:16">
      <c r="A1379" s="3">
        <v>43848.967731481476</v>
      </c>
      <c r="B1379" s="4" t="str">
        <f>HYPERLINK("https://twitter.com/petrogustavo","@petrogustavo")</f>
        <v>@petrogustavo</v>
      </c>
      <c r="C1379" s="5" t="s">
        <v>16</v>
      </c>
      <c r="D1379" s="5" t="s">
        <v>1359</v>
      </c>
      <c r="E1379" s="6" t="str">
        <f>HYPERLINK("https://twitter.com/petrogustavo/status/1218589756180877312","1218589756180877312")</f>
        <v>1218589756180877312</v>
      </c>
      <c r="F1379" s="7" t="s">
        <v>17</v>
      </c>
      <c r="G1379" s="7">
        <v>3611747</v>
      </c>
      <c r="H1379" s="7">
        <v>2351</v>
      </c>
      <c r="I1379" s="7">
        <v>27</v>
      </c>
      <c r="J1379" s="7">
        <v>72</v>
      </c>
      <c r="K1379" s="7" t="s">
        <v>18</v>
      </c>
      <c r="L1379" s="8">
        <v>39987.315405092595</v>
      </c>
      <c r="M1379" s="9" t="s">
        <v>19</v>
      </c>
      <c r="N1379" s="9" t="s">
        <v>20</v>
      </c>
      <c r="O1379" s="6" t="str">
        <f>HYPERLINK("https://pbs.twimg.com/profile_images/962471262747529216/Uo8lOkRJ_normal.jpg","View")</f>
        <v>View</v>
      </c>
      <c r="P1379" s="7"/>
    </row>
    <row r="1380" spans="1:16">
      <c r="A1380" s="3">
        <v>43848.97174768518</v>
      </c>
      <c r="B1380" s="4" t="str">
        <f>HYPERLINK("https://twitter.com/petrogustavo","@petrogustavo")</f>
        <v>@petrogustavo</v>
      </c>
      <c r="C1380" s="5" t="s">
        <v>16</v>
      </c>
      <c r="D1380" s="5" t="s">
        <v>1360</v>
      </c>
      <c r="E1380" s="6" t="str">
        <f>HYPERLINK("https://twitter.com/petrogustavo/status/1218591211205865472","1218591211205865472")</f>
        <v>1218591211205865472</v>
      </c>
      <c r="F1380" s="7" t="s">
        <v>17</v>
      </c>
      <c r="G1380" s="7">
        <v>3611779</v>
      </c>
      <c r="H1380" s="7">
        <v>2351</v>
      </c>
      <c r="I1380" s="7">
        <v>75</v>
      </c>
      <c r="J1380" s="7">
        <v>246</v>
      </c>
      <c r="K1380" s="7" t="s">
        <v>18</v>
      </c>
      <c r="L1380" s="8">
        <v>39987.315405092595</v>
      </c>
      <c r="M1380" s="9" t="s">
        <v>19</v>
      </c>
      <c r="N1380" s="9" t="s">
        <v>20</v>
      </c>
      <c r="O1380" s="6" t="str">
        <f>HYPERLINK("https://pbs.twimg.com/profile_images/962471262747529216/Uo8lOkRJ_normal.jpg","View")</f>
        <v>View</v>
      </c>
      <c r="P1380" s="7"/>
    </row>
    <row r="1381" spans="1:16">
      <c r="A1381" s="3">
        <v>43848.971759259264</v>
      </c>
      <c r="B1381" s="4" t="str">
        <f>HYPERLINK("https://twitter.com/petrogustavo","@petrogustavo")</f>
        <v>@petrogustavo</v>
      </c>
      <c r="C1381" s="5" t="s">
        <v>16</v>
      </c>
      <c r="D1381" s="5" t="s">
        <v>1361</v>
      </c>
      <c r="E1381" s="6" t="str">
        <f>HYPERLINK("https://twitter.com/petrogustavo/status/1218591212501970947","1218591212501970947")</f>
        <v>1218591212501970947</v>
      </c>
      <c r="F1381" s="7" t="s">
        <v>17</v>
      </c>
      <c r="G1381" s="7">
        <v>3611779</v>
      </c>
      <c r="H1381" s="7">
        <v>2351</v>
      </c>
      <c r="I1381" s="7">
        <v>29</v>
      </c>
      <c r="J1381" s="7">
        <v>112</v>
      </c>
      <c r="K1381" s="7" t="s">
        <v>18</v>
      </c>
      <c r="L1381" s="8">
        <v>39987.315405092595</v>
      </c>
      <c r="M1381" s="9" t="s">
        <v>19</v>
      </c>
      <c r="N1381" s="9" t="s">
        <v>20</v>
      </c>
      <c r="O1381" s="6" t="str">
        <f>HYPERLINK("https://pbs.twimg.com/profile_images/962471262747529216/Uo8lOkRJ_normal.jpg","View")</f>
        <v>View</v>
      </c>
      <c r="P1381" s="7"/>
    </row>
    <row r="1382" spans="1:16">
      <c r="A1382" s="3">
        <v>43848.971759259264</v>
      </c>
      <c r="B1382" s="4" t="str">
        <f>HYPERLINK("https://twitter.com/petrogustavo","@petrogustavo")</f>
        <v>@petrogustavo</v>
      </c>
      <c r="C1382" s="5" t="s">
        <v>16</v>
      </c>
      <c r="D1382" s="5" t="s">
        <v>1362</v>
      </c>
      <c r="E1382" s="6" t="str">
        <f>HYPERLINK("https://twitter.com/petrogustavo/status/1218591214531940352","1218591214531940352")</f>
        <v>1218591214531940352</v>
      </c>
      <c r="F1382" s="7" t="s">
        <v>17</v>
      </c>
      <c r="G1382" s="7">
        <v>3611779</v>
      </c>
      <c r="H1382" s="7">
        <v>2351</v>
      </c>
      <c r="I1382" s="7">
        <v>31</v>
      </c>
      <c r="J1382" s="7">
        <v>126</v>
      </c>
      <c r="K1382" s="7" t="s">
        <v>18</v>
      </c>
      <c r="L1382" s="8">
        <v>39987.315405092595</v>
      </c>
      <c r="M1382" s="9" t="s">
        <v>19</v>
      </c>
      <c r="N1382" s="9" t="s">
        <v>20</v>
      </c>
      <c r="O1382" s="6" t="str">
        <f>HYPERLINK("https://pbs.twimg.com/profile_images/962471262747529216/Uo8lOkRJ_normal.jpg","View")</f>
        <v>View</v>
      </c>
      <c r="P1382" s="7"/>
    </row>
    <row r="1383" spans="1:16">
      <c r="A1383" s="3">
        <v>43849.00513888889</v>
      </c>
      <c r="B1383" s="4" t="str">
        <f>HYPERLINK("https://twitter.com/petrogustavo","@petrogustavo")</f>
        <v>@petrogustavo</v>
      </c>
      <c r="C1383" s="5" t="s">
        <v>16</v>
      </c>
      <c r="D1383" s="5" t="s">
        <v>1363</v>
      </c>
      <c r="E1383" s="6" t="str">
        <f>HYPERLINK("https://twitter.com/petrogustavo/status/1218603310070091782","1218603310070091782")</f>
        <v>1218603310070091782</v>
      </c>
      <c r="F1383" s="7" t="s">
        <v>17</v>
      </c>
      <c r="G1383" s="7">
        <v>3611796</v>
      </c>
      <c r="H1383" s="7">
        <v>2351</v>
      </c>
      <c r="I1383" s="7">
        <v>51</v>
      </c>
      <c r="J1383" s="7">
        <v>161</v>
      </c>
      <c r="K1383" s="7" t="s">
        <v>18</v>
      </c>
      <c r="L1383" s="8">
        <v>39987.315405092595</v>
      </c>
      <c r="M1383" s="9" t="s">
        <v>19</v>
      </c>
      <c r="N1383" s="9" t="s">
        <v>20</v>
      </c>
      <c r="O1383" s="6" t="str">
        <f>HYPERLINK("https://pbs.twimg.com/profile_images/962471262747529216/Uo8lOkRJ_normal.jpg","View")</f>
        <v>View</v>
      </c>
      <c r="P1383" s="7"/>
    </row>
    <row r="1384" spans="1:16">
      <c r="A1384" s="3">
        <v>43849.011030092588</v>
      </c>
      <c r="B1384" s="4" t="str">
        <f>HYPERLINK("https://twitter.com/petrogustavo","@petrogustavo")</f>
        <v>@petrogustavo</v>
      </c>
      <c r="C1384" s="5" t="s">
        <v>16</v>
      </c>
      <c r="D1384" s="5" t="s">
        <v>1364</v>
      </c>
      <c r="E1384" s="6" t="str">
        <f>HYPERLINK("https://twitter.com/petrogustavo/status/1218605444983394304","1218605444983394304")</f>
        <v>1218605444983394304</v>
      </c>
      <c r="F1384" s="7" t="s">
        <v>17</v>
      </c>
      <c r="G1384" s="7">
        <v>3611796</v>
      </c>
      <c r="H1384" s="7">
        <v>2351</v>
      </c>
      <c r="I1384" s="7">
        <v>4</v>
      </c>
      <c r="J1384" s="7">
        <v>14</v>
      </c>
      <c r="K1384" s="7" t="s">
        <v>18</v>
      </c>
      <c r="L1384" s="8">
        <v>39987.315405092595</v>
      </c>
      <c r="M1384" s="9" t="s">
        <v>19</v>
      </c>
      <c r="N1384" s="9" t="s">
        <v>20</v>
      </c>
      <c r="O1384" s="6" t="str">
        <f>HYPERLINK("https://pbs.twimg.com/profile_images/962471262747529216/Uo8lOkRJ_normal.jpg","View")</f>
        <v>View</v>
      </c>
      <c r="P1384" s="7"/>
    </row>
    <row r="1385" spans="1:16">
      <c r="A1385" s="3">
        <v>43849.019236111111</v>
      </c>
      <c r="B1385" s="4" t="str">
        <f>HYPERLINK("https://twitter.com/petrogustavo","@petrogustavo")</f>
        <v>@petrogustavo</v>
      </c>
      <c r="C1385" s="5" t="s">
        <v>16</v>
      </c>
      <c r="D1385" s="5" t="s">
        <v>1365</v>
      </c>
      <c r="E1385" s="6" t="str">
        <f>HYPERLINK("https://twitter.com/petrogustavo/status/1218608420200374276","1218608420200374276")</f>
        <v>1218608420200374276</v>
      </c>
      <c r="F1385" s="7" t="s">
        <v>17</v>
      </c>
      <c r="G1385" s="7">
        <v>3611783</v>
      </c>
      <c r="H1385" s="7">
        <v>2351</v>
      </c>
      <c r="I1385" s="7">
        <v>20</v>
      </c>
      <c r="J1385" s="7">
        <v>63</v>
      </c>
      <c r="K1385" s="7" t="s">
        <v>18</v>
      </c>
      <c r="L1385" s="8">
        <v>39987.315405092595</v>
      </c>
      <c r="M1385" s="9" t="s">
        <v>19</v>
      </c>
      <c r="N1385" s="9" t="s">
        <v>20</v>
      </c>
      <c r="O1385" s="6" t="str">
        <f>HYPERLINK("https://pbs.twimg.com/profile_images/962471262747529216/Uo8lOkRJ_normal.jpg","View")</f>
        <v>View</v>
      </c>
      <c r="P1385" s="7"/>
    </row>
    <row r="1386" spans="1:16">
      <c r="A1386" s="3">
        <v>43849.019236111111</v>
      </c>
      <c r="B1386" s="4" t="str">
        <f>HYPERLINK("https://twitter.com/petrogustavo","@petrogustavo")</f>
        <v>@petrogustavo</v>
      </c>
      <c r="C1386" s="5" t="s">
        <v>16</v>
      </c>
      <c r="D1386" s="5" t="s">
        <v>1366</v>
      </c>
      <c r="E1386" s="6" t="str">
        <f>HYPERLINK("https://twitter.com/petrogustavo/status/1218608421492097024","1218608421492097024")</f>
        <v>1218608421492097024</v>
      </c>
      <c r="F1386" s="7" t="s">
        <v>17</v>
      </c>
      <c r="G1386" s="7">
        <v>3611783</v>
      </c>
      <c r="H1386" s="7">
        <v>2351</v>
      </c>
      <c r="I1386" s="7">
        <v>16</v>
      </c>
      <c r="J1386" s="7">
        <v>56</v>
      </c>
      <c r="K1386" s="7" t="s">
        <v>18</v>
      </c>
      <c r="L1386" s="8">
        <v>39987.315405092595</v>
      </c>
      <c r="M1386" s="9" t="s">
        <v>19</v>
      </c>
      <c r="N1386" s="9" t="s">
        <v>20</v>
      </c>
      <c r="O1386" s="6" t="str">
        <f>HYPERLINK("https://pbs.twimg.com/profile_images/962471262747529216/Uo8lOkRJ_normal.jpg","View")</f>
        <v>View</v>
      </c>
      <c r="P1386" s="7"/>
    </row>
    <row r="1387" spans="1:16">
      <c r="A1387" s="3">
        <v>43849.01939814815</v>
      </c>
      <c r="B1387" s="4" t="str">
        <f>HYPERLINK("https://twitter.com/petrogustavo","@petrogustavo")</f>
        <v>@petrogustavo</v>
      </c>
      <c r="C1387" s="5" t="s">
        <v>16</v>
      </c>
      <c r="D1387" s="5" t="s">
        <v>1367</v>
      </c>
      <c r="E1387" s="6" t="str">
        <f>HYPERLINK("https://twitter.com/petrogustavo/status/1218608479855939584","1218608479855939584")</f>
        <v>1218608479855939584</v>
      </c>
      <c r="F1387" s="7" t="s">
        <v>17</v>
      </c>
      <c r="G1387" s="7">
        <v>3611783</v>
      </c>
      <c r="H1387" s="7">
        <v>2351</v>
      </c>
      <c r="I1387" s="7">
        <v>65</v>
      </c>
      <c r="J1387" s="7">
        <v>0</v>
      </c>
      <c r="K1387" s="7" t="s">
        <v>18</v>
      </c>
      <c r="L1387" s="8">
        <v>39987.315405092595</v>
      </c>
      <c r="M1387" s="9" t="s">
        <v>19</v>
      </c>
      <c r="N1387" s="9" t="s">
        <v>20</v>
      </c>
      <c r="O1387" s="6" t="str">
        <f>HYPERLINK("https://pbs.twimg.com/profile_images/962471262747529216/Uo8lOkRJ_normal.jpg","View")</f>
        <v>View</v>
      </c>
      <c r="P1387" s="7"/>
    </row>
    <row r="1388" spans="1:16">
      <c r="A1388" s="3">
        <v>43849.035057870366</v>
      </c>
      <c r="B1388" s="4" t="str">
        <f>HYPERLINK("https://twitter.com/petrogustavo","@petrogustavo")</f>
        <v>@petrogustavo</v>
      </c>
      <c r="C1388" s="5" t="s">
        <v>16</v>
      </c>
      <c r="D1388" s="5" t="s">
        <v>1368</v>
      </c>
      <c r="E1388" s="6" t="str">
        <f>HYPERLINK("https://twitter.com/petrogustavo/status/1218614154287886336","1218614154287886336")</f>
        <v>1218614154287886336</v>
      </c>
      <c r="F1388" s="7" t="s">
        <v>17</v>
      </c>
      <c r="G1388" s="7">
        <v>3611782</v>
      </c>
      <c r="H1388" s="7">
        <v>2351</v>
      </c>
      <c r="I1388" s="7">
        <v>103</v>
      </c>
      <c r="J1388" s="7">
        <v>220</v>
      </c>
      <c r="K1388" s="7" t="s">
        <v>18</v>
      </c>
      <c r="L1388" s="8">
        <v>39987.315405092595</v>
      </c>
      <c r="M1388" s="9" t="s">
        <v>19</v>
      </c>
      <c r="N1388" s="9" t="s">
        <v>20</v>
      </c>
      <c r="O1388" s="6" t="str">
        <f>HYPERLINK("https://pbs.twimg.com/profile_images/962471262747529216/Uo8lOkRJ_normal.jpg","View")</f>
        <v>View</v>
      </c>
      <c r="P1388" s="7"/>
    </row>
    <row r="1389" spans="1:16">
      <c r="A1389" s="3">
        <v>43849.046157407407</v>
      </c>
      <c r="B1389" s="4" t="str">
        <f>HYPERLINK("https://twitter.com/petrogustavo","@petrogustavo")</f>
        <v>@petrogustavo</v>
      </c>
      <c r="C1389" s="5" t="s">
        <v>16</v>
      </c>
      <c r="D1389" s="5" t="s">
        <v>1369</v>
      </c>
      <c r="E1389" s="6" t="str">
        <f>HYPERLINK("https://twitter.com/petrogustavo/status/1218618173626384384","1218618173626384384")</f>
        <v>1218618173626384384</v>
      </c>
      <c r="F1389" s="7" t="s">
        <v>17</v>
      </c>
      <c r="G1389" s="7">
        <v>3611782</v>
      </c>
      <c r="H1389" s="7">
        <v>2351</v>
      </c>
      <c r="I1389" s="7">
        <v>124</v>
      </c>
      <c r="J1389" s="7">
        <v>336</v>
      </c>
      <c r="K1389" s="7" t="s">
        <v>18</v>
      </c>
      <c r="L1389" s="8">
        <v>39987.315405092595</v>
      </c>
      <c r="M1389" s="9" t="s">
        <v>19</v>
      </c>
      <c r="N1389" s="9" t="s">
        <v>20</v>
      </c>
      <c r="O1389" s="6" t="str">
        <f>HYPERLINK("https://pbs.twimg.com/profile_images/962471262747529216/Uo8lOkRJ_normal.jpg","View")</f>
        <v>View</v>
      </c>
      <c r="P1389" s="7"/>
    </row>
    <row r="1390" spans="1:16">
      <c r="A1390" s="3">
        <v>43849.049004629633</v>
      </c>
      <c r="B1390" s="4" t="str">
        <f>HYPERLINK("https://twitter.com/petrogustavo","@petrogustavo")</f>
        <v>@petrogustavo</v>
      </c>
      <c r="C1390" s="5" t="s">
        <v>16</v>
      </c>
      <c r="D1390" s="5" t="s">
        <v>1370</v>
      </c>
      <c r="E1390" s="6" t="str">
        <f>HYPERLINK("https://twitter.com/petrogustavo/status/1218619205274292224","1218619205274292224")</f>
        <v>1218619205274292224</v>
      </c>
      <c r="F1390" s="7" t="s">
        <v>17</v>
      </c>
      <c r="G1390" s="7">
        <v>3611782</v>
      </c>
      <c r="H1390" s="7">
        <v>2351</v>
      </c>
      <c r="I1390" s="7">
        <v>30</v>
      </c>
      <c r="J1390" s="7">
        <v>57</v>
      </c>
      <c r="K1390" s="7" t="s">
        <v>18</v>
      </c>
      <c r="L1390" s="8">
        <v>39987.315405092595</v>
      </c>
      <c r="M1390" s="9" t="s">
        <v>19</v>
      </c>
      <c r="N1390" s="9" t="s">
        <v>20</v>
      </c>
      <c r="O1390" s="6" t="str">
        <f>HYPERLINK("https://pbs.twimg.com/profile_images/962471262747529216/Uo8lOkRJ_normal.jpg","View")</f>
        <v>View</v>
      </c>
      <c r="P1390" s="7"/>
    </row>
    <row r="1391" spans="1:16">
      <c r="A1391" s="3">
        <v>43849.052268518513</v>
      </c>
      <c r="B1391" s="4" t="str">
        <f>HYPERLINK("https://twitter.com/petrogustavo","@petrogustavo")</f>
        <v>@petrogustavo</v>
      </c>
      <c r="C1391" s="5" t="s">
        <v>16</v>
      </c>
      <c r="D1391" s="5" t="s">
        <v>1353</v>
      </c>
      <c r="E1391" s="6" t="str">
        <f>HYPERLINK("https://twitter.com/petrogustavo/status/1218620391188508673","1218620391188508673")</f>
        <v>1218620391188508673</v>
      </c>
      <c r="F1391" s="7" t="s">
        <v>17</v>
      </c>
      <c r="G1391" s="7">
        <v>3611782</v>
      </c>
      <c r="H1391" s="7">
        <v>2351</v>
      </c>
      <c r="I1391" s="7">
        <v>617</v>
      </c>
      <c r="J1391" s="7">
        <v>0</v>
      </c>
      <c r="K1391" s="7" t="s">
        <v>18</v>
      </c>
      <c r="L1391" s="8">
        <v>39987.315405092595</v>
      </c>
      <c r="M1391" s="9" t="s">
        <v>19</v>
      </c>
      <c r="N1391" s="9" t="s">
        <v>20</v>
      </c>
      <c r="O1391" s="6" t="str">
        <f>HYPERLINK("https://pbs.twimg.com/profile_images/962471262747529216/Uo8lOkRJ_normal.jpg","View")</f>
        <v>View</v>
      </c>
      <c r="P1391" s="7"/>
    </row>
    <row r="1392" spans="1:16">
      <c r="A1392" s="3">
        <v>43849.102465277778</v>
      </c>
      <c r="B1392" s="4" t="str">
        <f>HYPERLINK("https://twitter.com/petrogustavo","@petrogustavo")</f>
        <v>@petrogustavo</v>
      </c>
      <c r="C1392" s="5" t="s">
        <v>16</v>
      </c>
      <c r="D1392" s="5" t="s">
        <v>1371</v>
      </c>
      <c r="E1392" s="6" t="str">
        <f>HYPERLINK("https://twitter.com/petrogustavo/status/1218638581872439296","1218638581872439296")</f>
        <v>1218638581872439296</v>
      </c>
      <c r="F1392" s="7" t="s">
        <v>17</v>
      </c>
      <c r="G1392" s="7">
        <v>3611818</v>
      </c>
      <c r="H1392" s="7">
        <v>2351</v>
      </c>
      <c r="I1392" s="7">
        <v>324</v>
      </c>
      <c r="J1392" s="7">
        <v>1294</v>
      </c>
      <c r="K1392" s="7" t="s">
        <v>18</v>
      </c>
      <c r="L1392" s="8">
        <v>39987.315405092595</v>
      </c>
      <c r="M1392" s="9" t="s">
        <v>19</v>
      </c>
      <c r="N1392" s="9" t="s">
        <v>20</v>
      </c>
      <c r="O1392" s="6" t="str">
        <f>HYPERLINK("https://pbs.twimg.com/profile_images/962471262747529216/Uo8lOkRJ_normal.jpg","View")</f>
        <v>View</v>
      </c>
      <c r="P1392" s="7"/>
    </row>
    <row r="1393" spans="1:16">
      <c r="A1393" s="3">
        <v>43849.106249999997</v>
      </c>
      <c r="B1393" s="4" t="str">
        <f>HYPERLINK("https://twitter.com/petrogustavo","@petrogustavo")</f>
        <v>@petrogustavo</v>
      </c>
      <c r="C1393" s="5" t="s">
        <v>16</v>
      </c>
      <c r="D1393" s="5" t="s">
        <v>1372</v>
      </c>
      <c r="E1393" s="6" t="str">
        <f>HYPERLINK("https://twitter.com/petrogustavo/status/1218639951027412993","1218639951027412993")</f>
        <v>1218639951027412993</v>
      </c>
      <c r="F1393" s="7" t="s">
        <v>17</v>
      </c>
      <c r="G1393" s="7">
        <v>3611818</v>
      </c>
      <c r="H1393" s="7">
        <v>2351</v>
      </c>
      <c r="I1393" s="7">
        <v>60</v>
      </c>
      <c r="J1393" s="7">
        <v>170</v>
      </c>
      <c r="K1393" s="7" t="s">
        <v>18</v>
      </c>
      <c r="L1393" s="8">
        <v>39987.315405092595</v>
      </c>
      <c r="M1393" s="9" t="s">
        <v>19</v>
      </c>
      <c r="N1393" s="9" t="s">
        <v>20</v>
      </c>
      <c r="O1393" s="6" t="str">
        <f>HYPERLINK("https://pbs.twimg.com/profile_images/962471262747529216/Uo8lOkRJ_normal.jpg","View")</f>
        <v>View</v>
      </c>
      <c r="P1393" s="7"/>
    </row>
    <row r="1394" spans="1:16">
      <c r="A1394" s="3">
        <v>43849.154606481483</v>
      </c>
      <c r="B1394" s="4" t="str">
        <f>HYPERLINK("https://twitter.com/petrogustavo","@petrogustavo")</f>
        <v>@petrogustavo</v>
      </c>
      <c r="C1394" s="5" t="s">
        <v>16</v>
      </c>
      <c r="D1394" s="5" t="s">
        <v>1373</v>
      </c>
      <c r="E1394" s="6" t="str">
        <f>HYPERLINK("https://twitter.com/petrogustavo/status/1218657476888924162","1218657476888924162")</f>
        <v>1218657476888924162</v>
      </c>
      <c r="F1394" s="7" t="s">
        <v>17</v>
      </c>
      <c r="G1394" s="7">
        <v>3611871</v>
      </c>
      <c r="H1394" s="7">
        <v>2351</v>
      </c>
      <c r="I1394" s="7">
        <v>51</v>
      </c>
      <c r="J1394" s="7">
        <v>0</v>
      </c>
      <c r="K1394" s="7" t="s">
        <v>18</v>
      </c>
      <c r="L1394" s="8">
        <v>39987.315405092595</v>
      </c>
      <c r="M1394" s="9" t="s">
        <v>19</v>
      </c>
      <c r="N1394" s="9" t="s">
        <v>20</v>
      </c>
      <c r="O1394" s="6" t="str">
        <f>HYPERLINK("https://pbs.twimg.com/profile_images/962471262747529216/Uo8lOkRJ_normal.jpg","View")</f>
        <v>View</v>
      </c>
      <c r="P1394" s="7"/>
    </row>
    <row r="1395" spans="1:16">
      <c r="A1395" s="3">
        <v>43849.154999999999</v>
      </c>
      <c r="B1395" s="4" t="str">
        <f>HYPERLINK("https://twitter.com/petrogustavo","@petrogustavo")</f>
        <v>@petrogustavo</v>
      </c>
      <c r="C1395" s="5" t="s">
        <v>16</v>
      </c>
      <c r="D1395" s="5" t="s">
        <v>1302</v>
      </c>
      <c r="E1395" s="6" t="str">
        <f>HYPERLINK("https://twitter.com/petrogustavo/status/1218657620581588992","1218657620581588992")</f>
        <v>1218657620581588992</v>
      </c>
      <c r="F1395" s="7" t="s">
        <v>17</v>
      </c>
      <c r="G1395" s="7">
        <v>3611871</v>
      </c>
      <c r="H1395" s="7">
        <v>2351</v>
      </c>
      <c r="I1395" s="7">
        <v>5187</v>
      </c>
      <c r="J1395" s="7">
        <v>0</v>
      </c>
      <c r="K1395" s="7" t="s">
        <v>18</v>
      </c>
      <c r="L1395" s="8">
        <v>39987.315405092595</v>
      </c>
      <c r="M1395" s="9" t="s">
        <v>19</v>
      </c>
      <c r="N1395" s="9" t="s">
        <v>20</v>
      </c>
      <c r="O1395" s="6" t="str">
        <f>HYPERLINK("https://pbs.twimg.com/profile_images/962471262747529216/Uo8lOkRJ_normal.jpg","View")</f>
        <v>View</v>
      </c>
      <c r="P1395" s="7"/>
    </row>
    <row r="1396" spans="1:16">
      <c r="A1396" s="3">
        <v>43849.91878472222</v>
      </c>
      <c r="B1396" s="4" t="str">
        <f>HYPERLINK("https://twitter.com/petrogustavo","@petrogustavo")</f>
        <v>@petrogustavo</v>
      </c>
      <c r="C1396" s="5" t="s">
        <v>16</v>
      </c>
      <c r="D1396" s="5" t="s">
        <v>1374</v>
      </c>
      <c r="E1396" s="6" t="str">
        <f>HYPERLINK("https://twitter.com/petrogustavo/status/1218934404787118087","1218934404787118087")</f>
        <v>1218934404787118087</v>
      </c>
      <c r="F1396" s="7" t="s">
        <v>17</v>
      </c>
      <c r="G1396" s="7">
        <v>3612158</v>
      </c>
      <c r="H1396" s="7">
        <v>2351</v>
      </c>
      <c r="I1396" s="7">
        <v>8</v>
      </c>
      <c r="J1396" s="7">
        <v>0</v>
      </c>
      <c r="K1396" s="7" t="s">
        <v>18</v>
      </c>
      <c r="L1396" s="8">
        <v>39987.315405092595</v>
      </c>
      <c r="M1396" s="9" t="s">
        <v>19</v>
      </c>
      <c r="N1396" s="9" t="s">
        <v>20</v>
      </c>
      <c r="O1396" s="6" t="str">
        <f>HYPERLINK("https://pbs.twimg.com/profile_images/962471262747529216/Uo8lOkRJ_normal.jpg","View")</f>
        <v>View</v>
      </c>
      <c r="P1396" s="7"/>
    </row>
    <row r="1397" spans="1:16">
      <c r="A1397" s="3">
        <v>43849.918912037036</v>
      </c>
      <c r="B1397" s="4" t="str">
        <f>HYPERLINK("https://twitter.com/petrogustavo","@petrogustavo")</f>
        <v>@petrogustavo</v>
      </c>
      <c r="C1397" s="5" t="s">
        <v>16</v>
      </c>
      <c r="D1397" s="5" t="s">
        <v>1375</v>
      </c>
      <c r="E1397" s="6" t="str">
        <f>HYPERLINK("https://twitter.com/petrogustavo/status/1218934451012558851","1218934451012558851")</f>
        <v>1218934451012558851</v>
      </c>
      <c r="F1397" s="7" t="s">
        <v>17</v>
      </c>
      <c r="G1397" s="7">
        <v>3612158</v>
      </c>
      <c r="H1397" s="7">
        <v>2351</v>
      </c>
      <c r="I1397" s="7">
        <v>159</v>
      </c>
      <c r="J1397" s="7">
        <v>0</v>
      </c>
      <c r="K1397" s="7" t="s">
        <v>18</v>
      </c>
      <c r="L1397" s="8">
        <v>39987.315405092595</v>
      </c>
      <c r="M1397" s="9" t="s">
        <v>19</v>
      </c>
      <c r="N1397" s="9" t="s">
        <v>20</v>
      </c>
      <c r="O1397" s="6" t="str">
        <f>HYPERLINK("https://pbs.twimg.com/profile_images/962471262747529216/Uo8lOkRJ_normal.jpg","View")</f>
        <v>View</v>
      </c>
      <c r="P1397" s="7"/>
    </row>
    <row r="1398" spans="1:16">
      <c r="A1398" s="3">
        <v>43849.92150462963</v>
      </c>
      <c r="B1398" s="4" t="str">
        <f>HYPERLINK("https://twitter.com/petrogustavo","@petrogustavo")</f>
        <v>@petrogustavo</v>
      </c>
      <c r="C1398" s="5" t="s">
        <v>16</v>
      </c>
      <c r="D1398" s="5" t="s">
        <v>1376</v>
      </c>
      <c r="E1398" s="6" t="str">
        <f>HYPERLINK("https://twitter.com/petrogustavo/status/1218935389567754241","1218935389567754241")</f>
        <v>1218935389567754241</v>
      </c>
      <c r="F1398" s="7" t="s">
        <v>17</v>
      </c>
      <c r="G1398" s="7">
        <v>3612158</v>
      </c>
      <c r="H1398" s="7">
        <v>2351</v>
      </c>
      <c r="I1398" s="7">
        <v>16</v>
      </c>
      <c r="J1398" s="7">
        <v>0</v>
      </c>
      <c r="K1398" s="7" t="s">
        <v>18</v>
      </c>
      <c r="L1398" s="8">
        <v>39987.315405092595</v>
      </c>
      <c r="M1398" s="9" t="s">
        <v>19</v>
      </c>
      <c r="N1398" s="9" t="s">
        <v>20</v>
      </c>
      <c r="O1398" s="6" t="str">
        <f>HYPERLINK("https://pbs.twimg.com/profile_images/962471262747529216/Uo8lOkRJ_normal.jpg","View")</f>
        <v>View</v>
      </c>
      <c r="P1398" s="7"/>
    </row>
    <row r="1399" spans="1:16">
      <c r="A1399" s="3">
        <v>43849.923159722224</v>
      </c>
      <c r="B1399" s="4" t="str">
        <f>HYPERLINK("https://twitter.com/petrogustavo","@petrogustavo")</f>
        <v>@petrogustavo</v>
      </c>
      <c r="C1399" s="5" t="s">
        <v>16</v>
      </c>
      <c r="D1399" s="5" t="s">
        <v>1377</v>
      </c>
      <c r="E1399" s="6" t="str">
        <f>HYPERLINK("https://twitter.com/petrogustavo/status/1218935991018364930","1218935991018364930")</f>
        <v>1218935991018364930</v>
      </c>
      <c r="F1399" s="7" t="s">
        <v>17</v>
      </c>
      <c r="G1399" s="7">
        <v>3612158</v>
      </c>
      <c r="H1399" s="7">
        <v>2351</v>
      </c>
      <c r="I1399" s="7">
        <v>123</v>
      </c>
      <c r="J1399" s="7">
        <v>0</v>
      </c>
      <c r="K1399" s="7" t="s">
        <v>18</v>
      </c>
      <c r="L1399" s="8">
        <v>39987.315405092595</v>
      </c>
      <c r="M1399" s="9" t="s">
        <v>19</v>
      </c>
      <c r="N1399" s="9" t="s">
        <v>20</v>
      </c>
      <c r="O1399" s="6" t="str">
        <f>HYPERLINK("https://pbs.twimg.com/profile_images/962471262747529216/Uo8lOkRJ_normal.jpg","View")</f>
        <v>View</v>
      </c>
      <c r="P1399" s="7"/>
    </row>
    <row r="1400" spans="1:16">
      <c r="A1400" s="3">
        <v>43849.923587962963</v>
      </c>
      <c r="B1400" s="4" t="str">
        <f>HYPERLINK("https://twitter.com/petrogustavo","@petrogustavo")</f>
        <v>@petrogustavo</v>
      </c>
      <c r="C1400" s="5" t="s">
        <v>16</v>
      </c>
      <c r="D1400" s="5" t="s">
        <v>1378</v>
      </c>
      <c r="E1400" s="6" t="str">
        <f>HYPERLINK("https://twitter.com/petrogustavo/status/1218936144735490053","1218936144735490053")</f>
        <v>1218936144735490053</v>
      </c>
      <c r="F1400" s="7" t="s">
        <v>17</v>
      </c>
      <c r="G1400" s="7">
        <v>3612158</v>
      </c>
      <c r="H1400" s="7">
        <v>2351</v>
      </c>
      <c r="I1400" s="7">
        <v>330</v>
      </c>
      <c r="J1400" s="7">
        <v>0</v>
      </c>
      <c r="K1400" s="7" t="s">
        <v>18</v>
      </c>
      <c r="L1400" s="8">
        <v>39987.315405092595</v>
      </c>
      <c r="M1400" s="9" t="s">
        <v>19</v>
      </c>
      <c r="N1400" s="9" t="s">
        <v>20</v>
      </c>
      <c r="O1400" s="6" t="str">
        <f>HYPERLINK("https://pbs.twimg.com/profile_images/962471262747529216/Uo8lOkRJ_normal.jpg","View")</f>
        <v>View</v>
      </c>
      <c r="P1400" s="7"/>
    </row>
    <row r="1401" spans="1:16">
      <c r="A1401" s="3">
        <v>43849.935011574074</v>
      </c>
      <c r="B1401" s="4" t="str">
        <f>HYPERLINK("https://twitter.com/petrogustavo","@petrogustavo")</f>
        <v>@petrogustavo</v>
      </c>
      <c r="C1401" s="5" t="s">
        <v>16</v>
      </c>
      <c r="D1401" s="5" t="s">
        <v>1379</v>
      </c>
      <c r="E1401" s="6" t="str">
        <f>HYPERLINK("https://twitter.com/petrogustavo/status/1218940285494931456","1218940285494931456")</f>
        <v>1218940285494931456</v>
      </c>
      <c r="F1401" s="7" t="s">
        <v>17</v>
      </c>
      <c r="G1401" s="7">
        <v>3612176</v>
      </c>
      <c r="H1401" s="7">
        <v>2353</v>
      </c>
      <c r="I1401" s="7">
        <v>898</v>
      </c>
      <c r="J1401" s="7">
        <v>0</v>
      </c>
      <c r="K1401" s="7" t="s">
        <v>18</v>
      </c>
      <c r="L1401" s="8">
        <v>39987.315405092595</v>
      </c>
      <c r="M1401" s="9" t="s">
        <v>19</v>
      </c>
      <c r="N1401" s="9" t="s">
        <v>20</v>
      </c>
      <c r="O1401" s="6" t="str">
        <f>HYPERLINK("https://pbs.twimg.com/profile_images/962471262747529216/Uo8lOkRJ_normal.jpg","View")</f>
        <v>View</v>
      </c>
      <c r="P1401" s="7"/>
    </row>
    <row r="1402" spans="1:16">
      <c r="A1402" s="3">
        <v>43849.936909722222</v>
      </c>
      <c r="B1402" s="4" t="str">
        <f>HYPERLINK("https://twitter.com/petrogustavo","@petrogustavo")</f>
        <v>@petrogustavo</v>
      </c>
      <c r="C1402" s="5" t="s">
        <v>16</v>
      </c>
      <c r="D1402" s="5" t="s">
        <v>1380</v>
      </c>
      <c r="E1402" s="6" t="str">
        <f>HYPERLINK("https://twitter.com/petrogustavo/status/1218940974409363456","1218940974409363456")</f>
        <v>1218940974409363456</v>
      </c>
      <c r="F1402" s="7" t="s">
        <v>17</v>
      </c>
      <c r="G1402" s="7">
        <v>3612176</v>
      </c>
      <c r="H1402" s="7">
        <v>2353</v>
      </c>
      <c r="I1402" s="7">
        <v>12</v>
      </c>
      <c r="J1402" s="7">
        <v>0</v>
      </c>
      <c r="K1402" s="7" t="s">
        <v>18</v>
      </c>
      <c r="L1402" s="8">
        <v>39987.315405092595</v>
      </c>
      <c r="M1402" s="9" t="s">
        <v>19</v>
      </c>
      <c r="N1402" s="9" t="s">
        <v>20</v>
      </c>
      <c r="O1402" s="6" t="str">
        <f>HYPERLINK("https://pbs.twimg.com/profile_images/962471262747529216/Uo8lOkRJ_normal.jpg","View")</f>
        <v>View</v>
      </c>
      <c r="P1402" s="7"/>
    </row>
    <row r="1403" spans="1:16">
      <c r="A1403" s="3">
        <v>43849.939560185187</v>
      </c>
      <c r="B1403" s="4" t="str">
        <f>HYPERLINK("https://twitter.com/petrogustavo","@petrogustavo")</f>
        <v>@petrogustavo</v>
      </c>
      <c r="C1403" s="5" t="s">
        <v>16</v>
      </c>
      <c r="D1403" s="5" t="s">
        <v>1381</v>
      </c>
      <c r="E1403" s="6" t="str">
        <f>HYPERLINK("https://twitter.com/petrogustavo/status/1218941932828798987","1218941932828798987")</f>
        <v>1218941932828798987</v>
      </c>
      <c r="F1403" s="7" t="s">
        <v>17</v>
      </c>
      <c r="G1403" s="7">
        <v>3612176</v>
      </c>
      <c r="H1403" s="7">
        <v>2353</v>
      </c>
      <c r="I1403" s="7">
        <v>256</v>
      </c>
      <c r="J1403" s="7">
        <v>781</v>
      </c>
      <c r="K1403" s="7" t="s">
        <v>18</v>
      </c>
      <c r="L1403" s="8">
        <v>39987.315405092595</v>
      </c>
      <c r="M1403" s="9" t="s">
        <v>19</v>
      </c>
      <c r="N1403" s="9" t="s">
        <v>20</v>
      </c>
      <c r="O1403" s="6" t="str">
        <f>HYPERLINK("https://pbs.twimg.com/profile_images/962471262747529216/Uo8lOkRJ_normal.jpg","View")</f>
        <v>View</v>
      </c>
      <c r="P1403" s="7"/>
    </row>
    <row r="1404" spans="1:16">
      <c r="A1404" s="3">
        <v>43849.94131944445</v>
      </c>
      <c r="B1404" s="4" t="str">
        <f>HYPERLINK("https://twitter.com/petrogustavo","@petrogustavo")</f>
        <v>@petrogustavo</v>
      </c>
      <c r="C1404" s="5" t="s">
        <v>16</v>
      </c>
      <c r="D1404" s="5" t="s">
        <v>1382</v>
      </c>
      <c r="E1404" s="6" t="str">
        <f>HYPERLINK("https://twitter.com/petrogustavo/status/1218942571935928321","1218942571935928321")</f>
        <v>1218942571935928321</v>
      </c>
      <c r="F1404" s="7" t="s">
        <v>17</v>
      </c>
      <c r="G1404" s="7">
        <v>3612176</v>
      </c>
      <c r="H1404" s="7">
        <v>2353</v>
      </c>
      <c r="I1404" s="7">
        <v>101</v>
      </c>
      <c r="J1404" s="7">
        <v>249</v>
      </c>
      <c r="K1404" s="7" t="s">
        <v>18</v>
      </c>
      <c r="L1404" s="8">
        <v>39987.315405092595</v>
      </c>
      <c r="M1404" s="9" t="s">
        <v>19</v>
      </c>
      <c r="N1404" s="9" t="s">
        <v>20</v>
      </c>
      <c r="O1404" s="6" t="str">
        <f>HYPERLINK("https://pbs.twimg.com/profile_images/962471262747529216/Uo8lOkRJ_normal.jpg","View")</f>
        <v>View</v>
      </c>
      <c r="P1404" s="7"/>
    </row>
    <row r="1405" spans="1:16">
      <c r="A1405" s="3">
        <v>43849.94195601852</v>
      </c>
      <c r="B1405" s="4" t="str">
        <f>HYPERLINK("https://twitter.com/petrogustavo","@petrogustavo")</f>
        <v>@petrogustavo</v>
      </c>
      <c r="C1405" s="5" t="s">
        <v>16</v>
      </c>
      <c r="D1405" s="5" t="s">
        <v>1383</v>
      </c>
      <c r="E1405" s="6" t="str">
        <f>HYPERLINK("https://twitter.com/petrogustavo/status/1218942801162928128","1218942801162928128")</f>
        <v>1218942801162928128</v>
      </c>
      <c r="F1405" s="7" t="s">
        <v>17</v>
      </c>
      <c r="G1405" s="7">
        <v>3612176</v>
      </c>
      <c r="H1405" s="7">
        <v>2353</v>
      </c>
      <c r="I1405" s="7">
        <v>14</v>
      </c>
      <c r="J1405" s="7">
        <v>0</v>
      </c>
      <c r="K1405" s="7" t="s">
        <v>18</v>
      </c>
      <c r="L1405" s="8">
        <v>39987.315405092595</v>
      </c>
      <c r="M1405" s="9" t="s">
        <v>19</v>
      </c>
      <c r="N1405" s="9" t="s">
        <v>20</v>
      </c>
      <c r="O1405" s="6" t="str">
        <f>HYPERLINK("https://pbs.twimg.com/profile_images/962471262747529216/Uo8lOkRJ_normal.jpg","View")</f>
        <v>View</v>
      </c>
      <c r="P1405" s="7"/>
    </row>
    <row r="1406" spans="1:16">
      <c r="A1406" s="3">
        <v>43849.943414351852</v>
      </c>
      <c r="B1406" s="4" t="str">
        <f>HYPERLINK("https://twitter.com/petrogustavo","@petrogustavo")</f>
        <v>@petrogustavo</v>
      </c>
      <c r="C1406" s="5" t="s">
        <v>16</v>
      </c>
      <c r="D1406" s="5" t="s">
        <v>1384</v>
      </c>
      <c r="E1406" s="6" t="str">
        <f>HYPERLINK("https://twitter.com/petrogustavo/status/1218943330538676228","1218943330538676228")</f>
        <v>1218943330538676228</v>
      </c>
      <c r="F1406" s="7" t="s">
        <v>17</v>
      </c>
      <c r="G1406" s="7">
        <v>3612176</v>
      </c>
      <c r="H1406" s="7">
        <v>2353</v>
      </c>
      <c r="I1406" s="7">
        <v>238</v>
      </c>
      <c r="J1406" s="7">
        <v>0</v>
      </c>
      <c r="K1406" s="7" t="s">
        <v>18</v>
      </c>
      <c r="L1406" s="8">
        <v>39987.315405092595</v>
      </c>
      <c r="M1406" s="9" t="s">
        <v>19</v>
      </c>
      <c r="N1406" s="9" t="s">
        <v>20</v>
      </c>
      <c r="O1406" s="6" t="str">
        <f>HYPERLINK("https://pbs.twimg.com/profile_images/962471262747529216/Uo8lOkRJ_normal.jpg","View")</f>
        <v>View</v>
      </c>
      <c r="P1406" s="7"/>
    </row>
    <row r="1407" spans="1:16">
      <c r="A1407" s="3">
        <v>43849.943819444445</v>
      </c>
      <c r="B1407" s="4" t="str">
        <f>HYPERLINK("https://twitter.com/petrogustavo","@petrogustavo")</f>
        <v>@petrogustavo</v>
      </c>
      <c r="C1407" s="5" t="s">
        <v>16</v>
      </c>
      <c r="D1407" s="5" t="s">
        <v>1385</v>
      </c>
      <c r="E1407" s="6" t="str">
        <f>HYPERLINK("https://twitter.com/petrogustavo/status/1218943478081736706","1218943478081736706")</f>
        <v>1218943478081736706</v>
      </c>
      <c r="F1407" s="7" t="s">
        <v>17</v>
      </c>
      <c r="G1407" s="7">
        <v>3612176</v>
      </c>
      <c r="H1407" s="7">
        <v>2353</v>
      </c>
      <c r="I1407" s="7">
        <v>101</v>
      </c>
      <c r="J1407" s="7">
        <v>0</v>
      </c>
      <c r="K1407" s="7" t="s">
        <v>18</v>
      </c>
      <c r="L1407" s="8">
        <v>39987.315405092595</v>
      </c>
      <c r="M1407" s="9" t="s">
        <v>19</v>
      </c>
      <c r="N1407" s="9" t="s">
        <v>20</v>
      </c>
      <c r="O1407" s="6" t="str">
        <f>HYPERLINK("https://pbs.twimg.com/profile_images/962471262747529216/Uo8lOkRJ_normal.jpg","View")</f>
        <v>View</v>
      </c>
      <c r="P1407" s="7"/>
    </row>
    <row r="1408" spans="1:16">
      <c r="A1408" s="3">
        <v>43849.954548611116</v>
      </c>
      <c r="B1408" s="4" t="str">
        <f>HYPERLINK("https://twitter.com/petrogustavo","@petrogustavo")</f>
        <v>@petrogustavo</v>
      </c>
      <c r="C1408" s="5" t="s">
        <v>16</v>
      </c>
      <c r="D1408" s="5" t="s">
        <v>1386</v>
      </c>
      <c r="E1408" s="6" t="str">
        <f>HYPERLINK("https://twitter.com/petrogustavo/status/1218947364687360000","1218947364687360000")</f>
        <v>1218947364687360000</v>
      </c>
      <c r="F1408" s="7" t="s">
        <v>17</v>
      </c>
      <c r="G1408" s="7">
        <v>3612192</v>
      </c>
      <c r="H1408" s="7">
        <v>2353</v>
      </c>
      <c r="I1408" s="7">
        <v>891</v>
      </c>
      <c r="J1408" s="7">
        <v>0</v>
      </c>
      <c r="K1408" s="7" t="s">
        <v>18</v>
      </c>
      <c r="L1408" s="8">
        <v>39987.315405092595</v>
      </c>
      <c r="M1408" s="9" t="s">
        <v>19</v>
      </c>
      <c r="N1408" s="9" t="s">
        <v>20</v>
      </c>
      <c r="O1408" s="6" t="str">
        <f>HYPERLINK("https://pbs.twimg.com/profile_images/962471262747529216/Uo8lOkRJ_normal.jpg","View")</f>
        <v>View</v>
      </c>
      <c r="P1408" s="7"/>
    </row>
    <row r="1409" spans="1:16">
      <c r="A1409" s="3">
        <v>43849.954699074078</v>
      </c>
      <c r="B1409" s="4" t="str">
        <f>HYPERLINK("https://twitter.com/petrogustavo","@petrogustavo")</f>
        <v>@petrogustavo</v>
      </c>
      <c r="C1409" s="5" t="s">
        <v>16</v>
      </c>
      <c r="D1409" s="5" t="s">
        <v>1387</v>
      </c>
      <c r="E1409" s="6" t="str">
        <f>HYPERLINK("https://twitter.com/petrogustavo/status/1218947418395463680","1218947418395463680")</f>
        <v>1218947418395463680</v>
      </c>
      <c r="F1409" s="7" t="s">
        <v>17</v>
      </c>
      <c r="G1409" s="7">
        <v>3612192</v>
      </c>
      <c r="H1409" s="7">
        <v>2353</v>
      </c>
      <c r="I1409" s="7">
        <v>67</v>
      </c>
      <c r="J1409" s="7">
        <v>0</v>
      </c>
      <c r="K1409" s="7" t="s">
        <v>18</v>
      </c>
      <c r="L1409" s="8">
        <v>39987.315405092595</v>
      </c>
      <c r="M1409" s="9" t="s">
        <v>19</v>
      </c>
      <c r="N1409" s="9" t="s">
        <v>20</v>
      </c>
      <c r="O1409" s="6" t="str">
        <f>HYPERLINK("https://pbs.twimg.com/profile_images/962471262747529216/Uo8lOkRJ_normal.jpg","View")</f>
        <v>View</v>
      </c>
      <c r="P1409" s="7"/>
    </row>
    <row r="1410" spans="1:16">
      <c r="A1410" s="3">
        <v>43849.959641203706</v>
      </c>
      <c r="B1410" s="4" t="str">
        <f>HYPERLINK("https://twitter.com/petrogustavo","@petrogustavo")</f>
        <v>@petrogustavo</v>
      </c>
      <c r="C1410" s="5" t="s">
        <v>16</v>
      </c>
      <c r="D1410" s="5" t="s">
        <v>1388</v>
      </c>
      <c r="E1410" s="6" t="str">
        <f>HYPERLINK("https://twitter.com/petrogustavo/status/1218949210776752129","1218949210776752129")</f>
        <v>1218949210776752129</v>
      </c>
      <c r="F1410" s="7" t="s">
        <v>17</v>
      </c>
      <c r="G1410" s="7">
        <v>3612192</v>
      </c>
      <c r="H1410" s="7">
        <v>2353</v>
      </c>
      <c r="I1410" s="7">
        <v>212</v>
      </c>
      <c r="J1410" s="7">
        <v>0</v>
      </c>
      <c r="K1410" s="7" t="s">
        <v>18</v>
      </c>
      <c r="L1410" s="8">
        <v>39987.315405092595</v>
      </c>
      <c r="M1410" s="9" t="s">
        <v>19</v>
      </c>
      <c r="N1410" s="9" t="s">
        <v>20</v>
      </c>
      <c r="O1410" s="6" t="str">
        <f>HYPERLINK("https://pbs.twimg.com/profile_images/962471262747529216/Uo8lOkRJ_normal.jpg","View")</f>
        <v>View</v>
      </c>
      <c r="P1410" s="7"/>
    </row>
    <row r="1411" spans="1:16">
      <c r="A1411" s="3">
        <v>43849.965254629627</v>
      </c>
      <c r="B1411" s="4" t="str">
        <f>HYPERLINK("https://twitter.com/petrogustavo","@petrogustavo")</f>
        <v>@petrogustavo</v>
      </c>
      <c r="C1411" s="5" t="s">
        <v>16</v>
      </c>
      <c r="D1411" s="5" t="s">
        <v>1389</v>
      </c>
      <c r="E1411" s="6" t="str">
        <f>HYPERLINK("https://twitter.com/petrogustavo/status/1218951243487465472","1218951243487465472")</f>
        <v>1218951243487465472</v>
      </c>
      <c r="F1411" s="7" t="s">
        <v>17</v>
      </c>
      <c r="G1411" s="7">
        <v>3612192</v>
      </c>
      <c r="H1411" s="7">
        <v>2353</v>
      </c>
      <c r="I1411" s="7">
        <v>45</v>
      </c>
      <c r="J1411" s="7">
        <v>106</v>
      </c>
      <c r="K1411" s="7" t="s">
        <v>18</v>
      </c>
      <c r="L1411" s="8">
        <v>39987.315405092595</v>
      </c>
      <c r="M1411" s="9" t="s">
        <v>19</v>
      </c>
      <c r="N1411" s="9" t="s">
        <v>20</v>
      </c>
      <c r="O1411" s="6" t="str">
        <f>HYPERLINK("https://pbs.twimg.com/profile_images/962471262747529216/Uo8lOkRJ_normal.jpg","View")</f>
        <v>View</v>
      </c>
      <c r="P1411" s="7"/>
    </row>
    <row r="1412" spans="1:16">
      <c r="A1412" s="3">
        <v>43849.970127314809</v>
      </c>
      <c r="B1412" s="4" t="str">
        <f>HYPERLINK("https://twitter.com/petrogustavo","@petrogustavo")</f>
        <v>@petrogustavo</v>
      </c>
      <c r="C1412" s="5" t="s">
        <v>16</v>
      </c>
      <c r="D1412" s="5" t="s">
        <v>1390</v>
      </c>
      <c r="E1412" s="6" t="str">
        <f>HYPERLINK("https://twitter.com/petrogustavo/status/1218953010543583232","1218953010543583232")</f>
        <v>1218953010543583232</v>
      </c>
      <c r="F1412" s="7" t="s">
        <v>17</v>
      </c>
      <c r="G1412" s="7">
        <v>3612192</v>
      </c>
      <c r="H1412" s="7">
        <v>2353</v>
      </c>
      <c r="I1412" s="7">
        <v>0</v>
      </c>
      <c r="J1412" s="7">
        <v>0</v>
      </c>
      <c r="K1412" s="7" t="s">
        <v>18</v>
      </c>
      <c r="L1412" s="8">
        <v>39987.315405092595</v>
      </c>
      <c r="M1412" s="9" t="s">
        <v>19</v>
      </c>
      <c r="N1412" s="9" t="s">
        <v>20</v>
      </c>
      <c r="O1412" s="6" t="str">
        <f>HYPERLINK("https://pbs.twimg.com/profile_images/962471262747529216/Uo8lOkRJ_normal.jpg","View")</f>
        <v>View</v>
      </c>
      <c r="P1412" s="7"/>
    </row>
    <row r="1413" spans="1:16">
      <c r="A1413" s="3">
        <v>43850.0309837963</v>
      </c>
      <c r="B1413" s="4" t="str">
        <f>HYPERLINK("https://twitter.com/petrogustavo","@petrogustavo")</f>
        <v>@petrogustavo</v>
      </c>
      <c r="C1413" s="5" t="s">
        <v>16</v>
      </c>
      <c r="D1413" s="5" t="s">
        <v>1391</v>
      </c>
      <c r="E1413" s="6" t="str">
        <f>HYPERLINK("https://twitter.com/petrogustavo/status/1218975063636172800","1218975063636172800")</f>
        <v>1218975063636172800</v>
      </c>
      <c r="F1413" s="7" t="s">
        <v>17</v>
      </c>
      <c r="G1413" s="7">
        <v>3612250</v>
      </c>
      <c r="H1413" s="7">
        <v>2353</v>
      </c>
      <c r="I1413" s="7">
        <v>19</v>
      </c>
      <c r="J1413" s="7">
        <v>0</v>
      </c>
      <c r="K1413" s="7" t="s">
        <v>18</v>
      </c>
      <c r="L1413" s="8">
        <v>39987.315405092595</v>
      </c>
      <c r="M1413" s="9" t="s">
        <v>19</v>
      </c>
      <c r="N1413" s="9" t="s">
        <v>20</v>
      </c>
      <c r="O1413" s="6" t="str">
        <f>HYPERLINK("https://pbs.twimg.com/profile_images/962471262747529216/Uo8lOkRJ_normal.jpg","View")</f>
        <v>View</v>
      </c>
      <c r="P1413" s="7"/>
    </row>
    <row r="1414" spans="1:16">
      <c r="A1414" s="3">
        <v>43850.031284722223</v>
      </c>
      <c r="B1414" s="4" t="str">
        <f>HYPERLINK("https://twitter.com/petrogustavo","@petrogustavo")</f>
        <v>@petrogustavo</v>
      </c>
      <c r="C1414" s="5" t="s">
        <v>16</v>
      </c>
      <c r="D1414" s="5" t="s">
        <v>1392</v>
      </c>
      <c r="E1414" s="6" t="str">
        <f>HYPERLINK("https://twitter.com/petrogustavo/status/1218975172134350848","1218975172134350848")</f>
        <v>1218975172134350848</v>
      </c>
      <c r="F1414" s="7" t="s">
        <v>17</v>
      </c>
      <c r="G1414" s="7">
        <v>3612250</v>
      </c>
      <c r="H1414" s="7">
        <v>2353</v>
      </c>
      <c r="I1414" s="7">
        <v>38</v>
      </c>
      <c r="J1414" s="7">
        <v>0</v>
      </c>
      <c r="K1414" s="7" t="s">
        <v>18</v>
      </c>
      <c r="L1414" s="8">
        <v>39987.315405092595</v>
      </c>
      <c r="M1414" s="9" t="s">
        <v>19</v>
      </c>
      <c r="N1414" s="9" t="s">
        <v>20</v>
      </c>
      <c r="O1414" s="6" t="str">
        <f>HYPERLINK("https://pbs.twimg.com/profile_images/962471262747529216/Uo8lOkRJ_normal.jpg","View")</f>
        <v>View</v>
      </c>
      <c r="P1414" s="7"/>
    </row>
    <row r="1415" spans="1:16">
      <c r="A1415" s="3">
        <v>43850.032835648148</v>
      </c>
      <c r="B1415" s="4" t="str">
        <f>HYPERLINK("https://twitter.com/petrogustavo","@petrogustavo")</f>
        <v>@petrogustavo</v>
      </c>
      <c r="C1415" s="5" t="s">
        <v>16</v>
      </c>
      <c r="D1415" s="5" t="s">
        <v>1393</v>
      </c>
      <c r="E1415" s="6" t="str">
        <f>HYPERLINK("https://twitter.com/petrogustavo/status/1218975735404208131","1218975735404208131")</f>
        <v>1218975735404208131</v>
      </c>
      <c r="F1415" s="7" t="s">
        <v>17</v>
      </c>
      <c r="G1415" s="7">
        <v>3612250</v>
      </c>
      <c r="H1415" s="7">
        <v>2353</v>
      </c>
      <c r="I1415" s="7">
        <v>325</v>
      </c>
      <c r="J1415" s="7">
        <v>0</v>
      </c>
      <c r="K1415" s="7" t="s">
        <v>18</v>
      </c>
      <c r="L1415" s="8">
        <v>39987.315405092595</v>
      </c>
      <c r="M1415" s="9" t="s">
        <v>19</v>
      </c>
      <c r="N1415" s="9" t="s">
        <v>20</v>
      </c>
      <c r="O1415" s="6" t="str">
        <f>HYPERLINK("https://pbs.twimg.com/profile_images/962471262747529216/Uo8lOkRJ_normal.jpg","View")</f>
        <v>View</v>
      </c>
      <c r="P1415" s="7"/>
    </row>
    <row r="1416" spans="1:16">
      <c r="A1416" s="3">
        <v>43850.033518518518</v>
      </c>
      <c r="B1416" s="4" t="str">
        <f>HYPERLINK("https://twitter.com/petrogustavo","@petrogustavo")</f>
        <v>@petrogustavo</v>
      </c>
      <c r="C1416" s="5" t="s">
        <v>16</v>
      </c>
      <c r="D1416" s="5" t="s">
        <v>1394</v>
      </c>
      <c r="E1416" s="6" t="str">
        <f>HYPERLINK("https://twitter.com/petrogustavo/status/1218975985149927425","1218975985149927425")</f>
        <v>1218975985149927425</v>
      </c>
      <c r="F1416" s="7" t="s">
        <v>17</v>
      </c>
      <c r="G1416" s="7">
        <v>3612262</v>
      </c>
      <c r="H1416" s="7">
        <v>2353</v>
      </c>
      <c r="I1416" s="7">
        <v>113</v>
      </c>
      <c r="J1416" s="7">
        <v>0</v>
      </c>
      <c r="K1416" s="7" t="s">
        <v>18</v>
      </c>
      <c r="L1416" s="8">
        <v>39987.315405092595</v>
      </c>
      <c r="M1416" s="9" t="s">
        <v>19</v>
      </c>
      <c r="N1416" s="9" t="s">
        <v>20</v>
      </c>
      <c r="O1416" s="6" t="str">
        <f>HYPERLINK("https://pbs.twimg.com/profile_images/962471262747529216/Uo8lOkRJ_normal.jpg","View")</f>
        <v>View</v>
      </c>
      <c r="P1416" s="7"/>
    </row>
    <row r="1417" spans="1:16">
      <c r="A1417" s="3">
        <v>43850.035428240742</v>
      </c>
      <c r="B1417" s="4" t="str">
        <f>HYPERLINK("https://twitter.com/petrogustavo","@petrogustavo")</f>
        <v>@petrogustavo</v>
      </c>
      <c r="C1417" s="5" t="s">
        <v>16</v>
      </c>
      <c r="D1417" s="5" t="s">
        <v>1395</v>
      </c>
      <c r="E1417" s="6" t="str">
        <f>HYPERLINK("https://twitter.com/petrogustavo/status/1218976674362150913","1218976674362150913")</f>
        <v>1218976674362150913</v>
      </c>
      <c r="F1417" s="7" t="s">
        <v>17</v>
      </c>
      <c r="G1417" s="7">
        <v>3612262</v>
      </c>
      <c r="H1417" s="7">
        <v>2353</v>
      </c>
      <c r="I1417" s="7">
        <v>30</v>
      </c>
      <c r="J1417" s="7">
        <v>0</v>
      </c>
      <c r="K1417" s="7" t="s">
        <v>18</v>
      </c>
      <c r="L1417" s="8">
        <v>39987.315405092595</v>
      </c>
      <c r="M1417" s="9" t="s">
        <v>19</v>
      </c>
      <c r="N1417" s="9" t="s">
        <v>20</v>
      </c>
      <c r="O1417" s="6" t="str">
        <f>HYPERLINK("https://pbs.twimg.com/profile_images/962471262747529216/Uo8lOkRJ_normal.jpg","View")</f>
        <v>View</v>
      </c>
      <c r="P1417" s="7"/>
    </row>
    <row r="1418" spans="1:16">
      <c r="A1418" s="3">
        <v>43850.039143518516</v>
      </c>
      <c r="B1418" s="4" t="str">
        <f>HYPERLINK("https://twitter.com/petrogustavo","@petrogustavo")</f>
        <v>@petrogustavo</v>
      </c>
      <c r="C1418" s="5" t="s">
        <v>16</v>
      </c>
      <c r="D1418" s="5" t="s">
        <v>1396</v>
      </c>
      <c r="E1418" s="6" t="str">
        <f>HYPERLINK("https://twitter.com/petrogustavo/status/1218978021668982784","1218978021668982784")</f>
        <v>1218978021668982784</v>
      </c>
      <c r="F1418" s="7" t="s">
        <v>17</v>
      </c>
      <c r="G1418" s="7">
        <v>3612262</v>
      </c>
      <c r="H1418" s="7">
        <v>2353</v>
      </c>
      <c r="I1418" s="7">
        <v>22</v>
      </c>
      <c r="J1418" s="7">
        <v>0</v>
      </c>
      <c r="K1418" s="7" t="s">
        <v>18</v>
      </c>
      <c r="L1418" s="8">
        <v>39987.315405092595</v>
      </c>
      <c r="M1418" s="9" t="s">
        <v>19</v>
      </c>
      <c r="N1418" s="9" t="s">
        <v>20</v>
      </c>
      <c r="O1418" s="6" t="str">
        <f>HYPERLINK("https://pbs.twimg.com/profile_images/962471262747529216/Uo8lOkRJ_normal.jpg","View")</f>
        <v>View</v>
      </c>
      <c r="P1418" s="7"/>
    </row>
    <row r="1419" spans="1:16">
      <c r="A1419" s="3">
        <v>43850.04041666667</v>
      </c>
      <c r="B1419" s="4" t="str">
        <f>HYPERLINK("https://twitter.com/petrogustavo","@petrogustavo")</f>
        <v>@petrogustavo</v>
      </c>
      <c r="C1419" s="5" t="s">
        <v>16</v>
      </c>
      <c r="D1419" s="5" t="s">
        <v>1397</v>
      </c>
      <c r="E1419" s="6" t="str">
        <f>HYPERLINK("https://twitter.com/petrogustavo/status/1218978482841178113","1218978482841178113")</f>
        <v>1218978482841178113</v>
      </c>
      <c r="F1419" s="7" t="s">
        <v>17</v>
      </c>
      <c r="G1419" s="7">
        <v>3612262</v>
      </c>
      <c r="H1419" s="7">
        <v>2353</v>
      </c>
      <c r="I1419" s="7">
        <v>178</v>
      </c>
      <c r="J1419" s="7">
        <v>0</v>
      </c>
      <c r="K1419" s="7" t="s">
        <v>18</v>
      </c>
      <c r="L1419" s="8">
        <v>39987.315405092595</v>
      </c>
      <c r="M1419" s="9" t="s">
        <v>19</v>
      </c>
      <c r="N1419" s="9" t="s">
        <v>20</v>
      </c>
      <c r="O1419" s="6" t="str">
        <f>HYPERLINK("https://pbs.twimg.com/profile_images/962471262747529216/Uo8lOkRJ_normal.jpg","View")</f>
        <v>View</v>
      </c>
      <c r="P1419" s="7"/>
    </row>
    <row r="1420" spans="1:16">
      <c r="A1420" s="3">
        <v>43850.051446759258</v>
      </c>
      <c r="B1420" s="4" t="str">
        <f>HYPERLINK("https://twitter.com/petrogustavo","@petrogustavo")</f>
        <v>@petrogustavo</v>
      </c>
      <c r="C1420" s="5" t="s">
        <v>16</v>
      </c>
      <c r="D1420" s="5" t="s">
        <v>1398</v>
      </c>
      <c r="E1420" s="6" t="str">
        <f>HYPERLINK("https://twitter.com/petrogustavo/status/1218982479593443328","1218982479593443328")</f>
        <v>1218982479593443328</v>
      </c>
      <c r="F1420" s="7" t="s">
        <v>17</v>
      </c>
      <c r="G1420" s="7">
        <v>3612262</v>
      </c>
      <c r="H1420" s="7">
        <v>2353</v>
      </c>
      <c r="I1420" s="7">
        <v>19</v>
      </c>
      <c r="J1420" s="7">
        <v>33</v>
      </c>
      <c r="K1420" s="7" t="s">
        <v>18</v>
      </c>
      <c r="L1420" s="8">
        <v>39987.315405092595</v>
      </c>
      <c r="M1420" s="9" t="s">
        <v>19</v>
      </c>
      <c r="N1420" s="9" t="s">
        <v>20</v>
      </c>
      <c r="O1420" s="6" t="str">
        <f>HYPERLINK("https://pbs.twimg.com/profile_images/962471262747529216/Uo8lOkRJ_normal.jpg","View")</f>
        <v>View</v>
      </c>
      <c r="P1420" s="7"/>
    </row>
    <row r="1421" spans="1:16">
      <c r="A1421" s="3">
        <v>43850.11546296296</v>
      </c>
      <c r="B1421" s="4" t="str">
        <f>HYPERLINK("https://twitter.com/petrogustavo","@petrogustavo")</f>
        <v>@petrogustavo</v>
      </c>
      <c r="C1421" s="5" t="s">
        <v>16</v>
      </c>
      <c r="D1421" s="5" t="s">
        <v>1399</v>
      </c>
      <c r="E1421" s="6" t="str">
        <f>HYPERLINK("https://twitter.com/petrogustavo/status/1219005677961728003","1219005677961728003")</f>
        <v>1219005677961728003</v>
      </c>
      <c r="F1421" s="7" t="s">
        <v>17</v>
      </c>
      <c r="G1421" s="7">
        <v>3612357</v>
      </c>
      <c r="H1421" s="7">
        <v>2353</v>
      </c>
      <c r="I1421" s="7">
        <v>329</v>
      </c>
      <c r="J1421" s="7">
        <v>0</v>
      </c>
      <c r="K1421" s="7" t="s">
        <v>18</v>
      </c>
      <c r="L1421" s="8">
        <v>39987.315405092595</v>
      </c>
      <c r="M1421" s="9" t="s">
        <v>19</v>
      </c>
      <c r="N1421" s="9" t="s">
        <v>20</v>
      </c>
      <c r="O1421" s="6" t="str">
        <f>HYPERLINK("https://pbs.twimg.com/profile_images/962471262747529216/Uo8lOkRJ_normal.jpg","View")</f>
        <v>View</v>
      </c>
      <c r="P1421" s="7"/>
    </row>
    <row r="1422" spans="1:16">
      <c r="A1422" s="3">
        <v>43850.257743055554</v>
      </c>
      <c r="B1422" s="4" t="str">
        <f>HYPERLINK("https://twitter.com/petrogustavo","@petrogustavo")</f>
        <v>@petrogustavo</v>
      </c>
      <c r="C1422" s="5" t="s">
        <v>16</v>
      </c>
      <c r="D1422" s="5" t="s">
        <v>1302</v>
      </c>
      <c r="E1422" s="6" t="str">
        <f>HYPERLINK("https://twitter.com/petrogustavo/status/1219057238440136706","1219057238440136706")</f>
        <v>1219057238440136706</v>
      </c>
      <c r="F1422" s="7" t="s">
        <v>17</v>
      </c>
      <c r="G1422" s="7">
        <v>3612546</v>
      </c>
      <c r="H1422" s="7">
        <v>2353</v>
      </c>
      <c r="I1422" s="7">
        <v>5362</v>
      </c>
      <c r="J1422" s="7">
        <v>0</v>
      </c>
      <c r="K1422" s="7" t="s">
        <v>18</v>
      </c>
      <c r="L1422" s="8">
        <v>39987.315405092595</v>
      </c>
      <c r="M1422" s="9" t="s">
        <v>19</v>
      </c>
      <c r="N1422" s="9" t="s">
        <v>20</v>
      </c>
      <c r="O1422" s="6" t="str">
        <f>HYPERLINK("https://pbs.twimg.com/profile_images/962471262747529216/Uo8lOkRJ_normal.jpg","View")</f>
        <v>View</v>
      </c>
      <c r="P1422" s="7"/>
    </row>
    <row r="1423" spans="1:16">
      <c r="A1423" s="3">
        <v>43850.758576388893</v>
      </c>
      <c r="B1423" s="4" t="str">
        <f>HYPERLINK("https://twitter.com/petrogustavo","@petrogustavo")</f>
        <v>@petrogustavo</v>
      </c>
      <c r="C1423" s="5" t="s">
        <v>16</v>
      </c>
      <c r="D1423" s="5" t="s">
        <v>1400</v>
      </c>
      <c r="E1423" s="6" t="str">
        <f>HYPERLINK("https://twitter.com/petrogustavo/status/1219238734991937536","1219238734991937536")</f>
        <v>1219238734991937536</v>
      </c>
      <c r="F1423" s="7" t="s">
        <v>17</v>
      </c>
      <c r="G1423" s="7">
        <v>3612916</v>
      </c>
      <c r="H1423" s="7">
        <v>2353</v>
      </c>
      <c r="I1423" s="7">
        <v>41</v>
      </c>
      <c r="J1423" s="7">
        <v>95</v>
      </c>
      <c r="K1423" s="7" t="s">
        <v>18</v>
      </c>
      <c r="L1423" s="8">
        <v>39987.315405092595</v>
      </c>
      <c r="M1423" s="9" t="s">
        <v>19</v>
      </c>
      <c r="N1423" s="9" t="s">
        <v>20</v>
      </c>
      <c r="O1423" s="6" t="str">
        <f>HYPERLINK("https://pbs.twimg.com/profile_images/962471262747529216/Uo8lOkRJ_normal.jpg","View")</f>
        <v>View</v>
      </c>
      <c r="P1423" s="7"/>
    </row>
    <row r="1424" spans="1:16">
      <c r="A1424" s="3">
        <v>43850.762939814813</v>
      </c>
      <c r="B1424" s="4" t="str">
        <f>HYPERLINK("https://twitter.com/petrogustavo","@petrogustavo")</f>
        <v>@petrogustavo</v>
      </c>
      <c r="C1424" s="5" t="s">
        <v>16</v>
      </c>
      <c r="D1424" s="5" t="s">
        <v>1401</v>
      </c>
      <c r="E1424" s="6" t="str">
        <f>HYPERLINK("https://twitter.com/petrogustavo/status/1219240317347680257","1219240317347680257")</f>
        <v>1219240317347680257</v>
      </c>
      <c r="F1424" s="7" t="s">
        <v>17</v>
      </c>
      <c r="G1424" s="7">
        <v>3612944</v>
      </c>
      <c r="H1424" s="7">
        <v>2353</v>
      </c>
      <c r="I1424" s="7">
        <v>329</v>
      </c>
      <c r="J1424" s="7">
        <v>632</v>
      </c>
      <c r="K1424" s="7" t="s">
        <v>18</v>
      </c>
      <c r="L1424" s="8">
        <v>39987.315405092595</v>
      </c>
      <c r="M1424" s="9" t="s">
        <v>19</v>
      </c>
      <c r="N1424" s="9" t="s">
        <v>20</v>
      </c>
      <c r="O1424" s="6" t="str">
        <f>HYPERLINK("https://pbs.twimg.com/profile_images/962471262747529216/Uo8lOkRJ_normal.jpg","View")</f>
        <v>View</v>
      </c>
      <c r="P1424" s="7"/>
    </row>
    <row r="1425" spans="1:16">
      <c r="A1425" s="3">
        <v>43850.772974537038</v>
      </c>
      <c r="B1425" s="4" t="str">
        <f>HYPERLINK("https://twitter.com/petrogustavo","@petrogustavo")</f>
        <v>@petrogustavo</v>
      </c>
      <c r="C1425" s="5" t="s">
        <v>16</v>
      </c>
      <c r="D1425" s="5" t="s">
        <v>1402</v>
      </c>
      <c r="E1425" s="6" t="str">
        <f>HYPERLINK("https://twitter.com/petrogustavo/status/1219243954228617216","1219243954228617216")</f>
        <v>1219243954228617216</v>
      </c>
      <c r="F1425" s="7" t="s">
        <v>17</v>
      </c>
      <c r="G1425" s="7">
        <v>3612944</v>
      </c>
      <c r="H1425" s="7">
        <v>2353</v>
      </c>
      <c r="I1425" s="7">
        <v>75</v>
      </c>
      <c r="J1425" s="7">
        <v>199</v>
      </c>
      <c r="K1425" s="7" t="s">
        <v>18</v>
      </c>
      <c r="L1425" s="8">
        <v>39987.315405092595</v>
      </c>
      <c r="M1425" s="9" t="s">
        <v>19</v>
      </c>
      <c r="N1425" s="9" t="s">
        <v>20</v>
      </c>
      <c r="O1425" s="6" t="str">
        <f>HYPERLINK("https://pbs.twimg.com/profile_images/962471262747529216/Uo8lOkRJ_normal.jpg","View")</f>
        <v>View</v>
      </c>
      <c r="P1425" s="7"/>
    </row>
    <row r="1426" spans="1:16">
      <c r="A1426" s="3">
        <v>43850.777800925927</v>
      </c>
      <c r="B1426" s="4" t="str">
        <f>HYPERLINK("https://twitter.com/petrogustavo","@petrogustavo")</f>
        <v>@petrogustavo</v>
      </c>
      <c r="C1426" s="5" t="s">
        <v>16</v>
      </c>
      <c r="D1426" s="5" t="s">
        <v>1403</v>
      </c>
      <c r="E1426" s="6" t="str">
        <f>HYPERLINK("https://twitter.com/petrogustavo/status/1219245703228198912","1219245703228198912")</f>
        <v>1219245703228198912</v>
      </c>
      <c r="F1426" s="7" t="s">
        <v>17</v>
      </c>
      <c r="G1426" s="7">
        <v>3612944</v>
      </c>
      <c r="H1426" s="7">
        <v>2353</v>
      </c>
      <c r="I1426" s="7">
        <v>29</v>
      </c>
      <c r="J1426" s="7">
        <v>32</v>
      </c>
      <c r="K1426" s="7" t="s">
        <v>18</v>
      </c>
      <c r="L1426" s="8">
        <v>39987.315405092595</v>
      </c>
      <c r="M1426" s="9" t="s">
        <v>19</v>
      </c>
      <c r="N1426" s="9" t="s">
        <v>20</v>
      </c>
      <c r="O1426" s="6" t="str">
        <f>HYPERLINK("https://pbs.twimg.com/profile_images/962471262747529216/Uo8lOkRJ_normal.jpg","View")</f>
        <v>View</v>
      </c>
      <c r="P1426" s="7"/>
    </row>
    <row r="1427" spans="1:16">
      <c r="A1427" s="3">
        <v>43850.781504629631</v>
      </c>
      <c r="B1427" s="4" t="str">
        <f>HYPERLINK("https://twitter.com/petrogustavo","@petrogustavo")</f>
        <v>@petrogustavo</v>
      </c>
      <c r="C1427" s="5" t="s">
        <v>16</v>
      </c>
      <c r="D1427" s="5" t="s">
        <v>1404</v>
      </c>
      <c r="E1427" s="6" t="str">
        <f>HYPERLINK("https://twitter.com/petrogustavo/status/1219247044281405440","1219247044281405440")</f>
        <v>1219247044281405440</v>
      </c>
      <c r="F1427" s="7" t="s">
        <v>17</v>
      </c>
      <c r="G1427" s="7">
        <v>3612944</v>
      </c>
      <c r="H1427" s="7">
        <v>2353</v>
      </c>
      <c r="I1427" s="7">
        <v>10</v>
      </c>
      <c r="J1427" s="7">
        <v>39</v>
      </c>
      <c r="K1427" s="7" t="s">
        <v>18</v>
      </c>
      <c r="L1427" s="8">
        <v>39987.315405092595</v>
      </c>
      <c r="M1427" s="9" t="s">
        <v>19</v>
      </c>
      <c r="N1427" s="9" t="s">
        <v>20</v>
      </c>
      <c r="O1427" s="6" t="str">
        <f>HYPERLINK("https://pbs.twimg.com/profile_images/962471262747529216/Uo8lOkRJ_normal.jpg","View")</f>
        <v>View</v>
      </c>
      <c r="P1427" s="7"/>
    </row>
    <row r="1428" spans="1:16">
      <c r="A1428" s="3">
        <v>43850.782986111109</v>
      </c>
      <c r="B1428" s="4" t="str">
        <f>HYPERLINK("https://twitter.com/petrogustavo","@petrogustavo")</f>
        <v>@petrogustavo</v>
      </c>
      <c r="C1428" s="5" t="s">
        <v>16</v>
      </c>
      <c r="D1428" s="5" t="s">
        <v>1405</v>
      </c>
      <c r="E1428" s="6" t="str">
        <f>HYPERLINK("https://twitter.com/petrogustavo/status/1219247582888763392","1219247582888763392")</f>
        <v>1219247582888763392</v>
      </c>
      <c r="F1428" s="7" t="s">
        <v>17</v>
      </c>
      <c r="G1428" s="7">
        <v>3612957</v>
      </c>
      <c r="H1428" s="7">
        <v>2353</v>
      </c>
      <c r="I1428" s="7">
        <v>112</v>
      </c>
      <c r="J1428" s="7">
        <v>0</v>
      </c>
      <c r="K1428" s="7" t="s">
        <v>18</v>
      </c>
      <c r="L1428" s="8">
        <v>39987.315405092595</v>
      </c>
      <c r="M1428" s="9" t="s">
        <v>19</v>
      </c>
      <c r="N1428" s="9" t="s">
        <v>20</v>
      </c>
      <c r="O1428" s="6" t="str">
        <f>HYPERLINK("https://pbs.twimg.com/profile_images/962471262747529216/Uo8lOkRJ_normal.jpg","View")</f>
        <v>View</v>
      </c>
      <c r="P1428" s="7"/>
    </row>
    <row r="1429" spans="1:16">
      <c r="A1429" s="3">
        <v>43850.785810185189</v>
      </c>
      <c r="B1429" s="4" t="str">
        <f>HYPERLINK("https://twitter.com/petrogustavo","@petrogustavo")</f>
        <v>@petrogustavo</v>
      </c>
      <c r="C1429" s="5" t="s">
        <v>16</v>
      </c>
      <c r="D1429" s="5" t="s">
        <v>1406</v>
      </c>
      <c r="E1429" s="6" t="str">
        <f>HYPERLINK("https://twitter.com/petrogustavo/status/1219248605707624454","1219248605707624454")</f>
        <v>1219248605707624454</v>
      </c>
      <c r="F1429" s="7" t="s">
        <v>17</v>
      </c>
      <c r="G1429" s="7">
        <v>3612957</v>
      </c>
      <c r="H1429" s="7">
        <v>2353</v>
      </c>
      <c r="I1429" s="7">
        <v>91</v>
      </c>
      <c r="J1429" s="7">
        <v>0</v>
      </c>
      <c r="K1429" s="7" t="s">
        <v>18</v>
      </c>
      <c r="L1429" s="8">
        <v>39987.315405092595</v>
      </c>
      <c r="M1429" s="9" t="s">
        <v>19</v>
      </c>
      <c r="N1429" s="9" t="s">
        <v>20</v>
      </c>
      <c r="O1429" s="6" t="str">
        <f>HYPERLINK("https://pbs.twimg.com/profile_images/962471262747529216/Uo8lOkRJ_normal.jpg","View")</f>
        <v>View</v>
      </c>
      <c r="P1429" s="7"/>
    </row>
    <row r="1430" spans="1:16">
      <c r="A1430" s="3">
        <v>43850.803622685184</v>
      </c>
      <c r="B1430" s="4" t="str">
        <f>HYPERLINK("https://twitter.com/petrogustavo","@petrogustavo")</f>
        <v>@petrogustavo</v>
      </c>
      <c r="C1430" s="5" t="s">
        <v>16</v>
      </c>
      <c r="D1430" s="5" t="s">
        <v>1407</v>
      </c>
      <c r="E1430" s="6" t="str">
        <f>HYPERLINK("https://twitter.com/petrogustavo/status/1219255059336310784","1219255059336310784")</f>
        <v>1219255059336310784</v>
      </c>
      <c r="F1430" s="7" t="s">
        <v>17</v>
      </c>
      <c r="G1430" s="7">
        <v>3612957</v>
      </c>
      <c r="H1430" s="7">
        <v>2353</v>
      </c>
      <c r="I1430" s="7">
        <v>4</v>
      </c>
      <c r="J1430" s="7">
        <v>11</v>
      </c>
      <c r="K1430" s="7" t="s">
        <v>18</v>
      </c>
      <c r="L1430" s="8">
        <v>39987.315405092595</v>
      </c>
      <c r="M1430" s="9" t="s">
        <v>19</v>
      </c>
      <c r="N1430" s="9" t="s">
        <v>20</v>
      </c>
      <c r="O1430" s="6" t="str">
        <f>HYPERLINK("https://pbs.twimg.com/profile_images/962471262747529216/Uo8lOkRJ_normal.jpg","View")</f>
        <v>View</v>
      </c>
      <c r="P1430" s="7"/>
    </row>
    <row r="1431" spans="1:16">
      <c r="A1431" s="3">
        <v>43850.805995370371</v>
      </c>
      <c r="B1431" s="4" t="str">
        <f>HYPERLINK("https://twitter.com/petrogustavo","@petrogustavo")</f>
        <v>@petrogustavo</v>
      </c>
      <c r="C1431" s="5" t="s">
        <v>16</v>
      </c>
      <c r="D1431" s="5" t="s">
        <v>1408</v>
      </c>
      <c r="E1431" s="6" t="str">
        <f>HYPERLINK("https://twitter.com/petrogustavo/status/1219255917218234368","1219255917218234368")</f>
        <v>1219255917218234368</v>
      </c>
      <c r="F1431" s="7" t="s">
        <v>17</v>
      </c>
      <c r="G1431" s="7">
        <v>3612987</v>
      </c>
      <c r="H1431" s="7">
        <v>2353</v>
      </c>
      <c r="I1431" s="7">
        <v>56</v>
      </c>
      <c r="J1431" s="7">
        <v>0</v>
      </c>
      <c r="K1431" s="7" t="s">
        <v>18</v>
      </c>
      <c r="L1431" s="8">
        <v>39987.315405092595</v>
      </c>
      <c r="M1431" s="9" t="s">
        <v>19</v>
      </c>
      <c r="N1431" s="9" t="s">
        <v>20</v>
      </c>
      <c r="O1431" s="6" t="str">
        <f>HYPERLINK("https://pbs.twimg.com/profile_images/962471262747529216/Uo8lOkRJ_normal.jpg","View")</f>
        <v>View</v>
      </c>
      <c r="P1431" s="7"/>
    </row>
    <row r="1432" spans="1:16">
      <c r="A1432" s="3">
        <v>43850.808344907404</v>
      </c>
      <c r="B1432" s="4" t="str">
        <f>HYPERLINK("https://twitter.com/petrogustavo","@petrogustavo")</f>
        <v>@petrogustavo</v>
      </c>
      <c r="C1432" s="5" t="s">
        <v>16</v>
      </c>
      <c r="D1432" s="5" t="s">
        <v>1409</v>
      </c>
      <c r="E1432" s="6" t="str">
        <f>HYPERLINK("https://twitter.com/petrogustavo/status/1219256769253343232","1219256769253343232")</f>
        <v>1219256769253343232</v>
      </c>
      <c r="F1432" s="7" t="s">
        <v>17</v>
      </c>
      <c r="G1432" s="7">
        <v>3612987</v>
      </c>
      <c r="H1432" s="7">
        <v>2353</v>
      </c>
      <c r="I1432" s="7">
        <v>26</v>
      </c>
      <c r="J1432" s="7">
        <v>77</v>
      </c>
      <c r="K1432" s="7" t="s">
        <v>18</v>
      </c>
      <c r="L1432" s="8">
        <v>39987.315405092595</v>
      </c>
      <c r="M1432" s="9" t="s">
        <v>19</v>
      </c>
      <c r="N1432" s="9" t="s">
        <v>20</v>
      </c>
      <c r="O1432" s="6" t="str">
        <f>HYPERLINK("https://pbs.twimg.com/profile_images/962471262747529216/Uo8lOkRJ_normal.jpg","View")</f>
        <v>View</v>
      </c>
      <c r="P1432" s="7"/>
    </row>
    <row r="1433" spans="1:16">
      <c r="A1433" s="3">
        <v>43850.809537037036</v>
      </c>
      <c r="B1433" s="4" t="str">
        <f>HYPERLINK("https://twitter.com/petrogustavo","@petrogustavo")</f>
        <v>@petrogustavo</v>
      </c>
      <c r="C1433" s="5" t="s">
        <v>16</v>
      </c>
      <c r="D1433" s="5" t="s">
        <v>1410</v>
      </c>
      <c r="E1433" s="6" t="str">
        <f>HYPERLINK("https://twitter.com/petrogustavo/status/1219257202973859844","1219257202973859844")</f>
        <v>1219257202973859844</v>
      </c>
      <c r="F1433" s="7" t="s">
        <v>17</v>
      </c>
      <c r="G1433" s="7">
        <v>3612987</v>
      </c>
      <c r="H1433" s="7">
        <v>2353</v>
      </c>
      <c r="I1433" s="7">
        <v>524</v>
      </c>
      <c r="J1433" s="7">
        <v>2231</v>
      </c>
      <c r="K1433" s="7" t="s">
        <v>18</v>
      </c>
      <c r="L1433" s="8">
        <v>39987.315405092595</v>
      </c>
      <c r="M1433" s="9" t="s">
        <v>19</v>
      </c>
      <c r="N1433" s="9" t="s">
        <v>20</v>
      </c>
      <c r="O1433" s="6" t="str">
        <f>HYPERLINK("https://pbs.twimg.com/profile_images/962471262747529216/Uo8lOkRJ_normal.jpg","View")</f>
        <v>View</v>
      </c>
      <c r="P1433" s="7"/>
    </row>
    <row r="1434" spans="1:16">
      <c r="A1434" s="3">
        <v>43850.810567129629</v>
      </c>
      <c r="B1434" s="4" t="str">
        <f>HYPERLINK("https://twitter.com/petrogustavo","@petrogustavo")</f>
        <v>@petrogustavo</v>
      </c>
      <c r="C1434" s="5" t="s">
        <v>16</v>
      </c>
      <c r="D1434" s="5" t="s">
        <v>1411</v>
      </c>
      <c r="E1434" s="6" t="str">
        <f>HYPERLINK("https://twitter.com/petrogustavo/status/1219257575063138310","1219257575063138310")</f>
        <v>1219257575063138310</v>
      </c>
      <c r="F1434" s="7" t="s">
        <v>17</v>
      </c>
      <c r="G1434" s="7">
        <v>3612987</v>
      </c>
      <c r="H1434" s="7">
        <v>2353</v>
      </c>
      <c r="I1434" s="7">
        <v>142</v>
      </c>
      <c r="J1434" s="7">
        <v>387</v>
      </c>
      <c r="K1434" s="7" t="s">
        <v>18</v>
      </c>
      <c r="L1434" s="8">
        <v>39987.315405092595</v>
      </c>
      <c r="M1434" s="9" t="s">
        <v>19</v>
      </c>
      <c r="N1434" s="9" t="s">
        <v>20</v>
      </c>
      <c r="O1434" s="6" t="str">
        <f>HYPERLINK("https://pbs.twimg.com/profile_images/962471262747529216/Uo8lOkRJ_normal.jpg","View")</f>
        <v>View</v>
      </c>
      <c r="P1434" s="7"/>
    </row>
    <row r="1435" spans="1:16">
      <c r="A1435" s="3">
        <v>43850.816979166666</v>
      </c>
      <c r="B1435" s="4" t="str">
        <f>HYPERLINK("https://twitter.com/petrogustavo","@petrogustavo")</f>
        <v>@petrogustavo</v>
      </c>
      <c r="C1435" s="5" t="s">
        <v>16</v>
      </c>
      <c r="D1435" s="5" t="s">
        <v>1412</v>
      </c>
      <c r="E1435" s="6" t="str">
        <f>HYPERLINK("https://twitter.com/petrogustavo/status/1219259899940610049","1219259899940610049")</f>
        <v>1219259899940610049</v>
      </c>
      <c r="F1435" s="7" t="s">
        <v>17</v>
      </c>
      <c r="G1435" s="7">
        <v>3612987</v>
      </c>
      <c r="H1435" s="7">
        <v>2353</v>
      </c>
      <c r="I1435" s="7">
        <v>33</v>
      </c>
      <c r="J1435" s="7">
        <v>93</v>
      </c>
      <c r="K1435" s="7" t="s">
        <v>18</v>
      </c>
      <c r="L1435" s="8">
        <v>39987.315405092595</v>
      </c>
      <c r="M1435" s="9" t="s">
        <v>19</v>
      </c>
      <c r="N1435" s="9" t="s">
        <v>20</v>
      </c>
      <c r="O1435" s="6" t="str">
        <f>HYPERLINK("https://pbs.twimg.com/profile_images/962471262747529216/Uo8lOkRJ_normal.jpg","View")</f>
        <v>View</v>
      </c>
      <c r="P1435" s="7"/>
    </row>
    <row r="1436" spans="1:16">
      <c r="A1436" s="3">
        <v>43851.046527777777</v>
      </c>
      <c r="B1436" s="4" t="str">
        <f>HYPERLINK("https://twitter.com/petrogustavo","@petrogustavo")</f>
        <v>@petrogustavo</v>
      </c>
      <c r="C1436" s="5" t="s">
        <v>16</v>
      </c>
      <c r="D1436" s="5" t="s">
        <v>1413</v>
      </c>
      <c r="E1436" s="6" t="str">
        <f>HYPERLINK("https://twitter.com/petrogustavo/status/1219343083659235328","1219343083659235328")</f>
        <v>1219343083659235328</v>
      </c>
      <c r="F1436" s="7" t="s">
        <v>17</v>
      </c>
      <c r="G1436" s="7">
        <v>3613376</v>
      </c>
      <c r="H1436" s="7">
        <v>2353</v>
      </c>
      <c r="I1436" s="7">
        <v>4227</v>
      </c>
      <c r="J1436" s="7">
        <v>0</v>
      </c>
      <c r="K1436" s="7" t="s">
        <v>18</v>
      </c>
      <c r="L1436" s="8">
        <v>39987.315405092595</v>
      </c>
      <c r="M1436" s="9" t="s">
        <v>19</v>
      </c>
      <c r="N1436" s="9" t="s">
        <v>20</v>
      </c>
      <c r="O1436" s="6" t="str">
        <f>HYPERLINK("https://pbs.twimg.com/profile_images/962471262747529216/Uo8lOkRJ_normal.jpg","View")</f>
        <v>View</v>
      </c>
      <c r="P1436" s="7"/>
    </row>
    <row r="1437" spans="1:16">
      <c r="A1437" s="3">
        <v>43851.30133101852</v>
      </c>
      <c r="B1437" s="4" t="str">
        <f>HYPERLINK("https://twitter.com/petrogustavo","@petrogustavo")</f>
        <v>@petrogustavo</v>
      </c>
      <c r="C1437" s="5" t="s">
        <v>16</v>
      </c>
      <c r="D1437" s="5" t="s">
        <v>1414</v>
      </c>
      <c r="E1437" s="6" t="str">
        <f>HYPERLINK("https://twitter.com/petrogustavo/status/1219435423577124864","1219435423577124864")</f>
        <v>1219435423577124864</v>
      </c>
      <c r="F1437" s="7" t="s">
        <v>17</v>
      </c>
      <c r="G1437" s="7">
        <v>3613796</v>
      </c>
      <c r="H1437" s="7">
        <v>2353</v>
      </c>
      <c r="I1437" s="7">
        <v>2644</v>
      </c>
      <c r="J1437" s="7">
        <v>0</v>
      </c>
      <c r="K1437" s="7" t="s">
        <v>18</v>
      </c>
      <c r="L1437" s="8">
        <v>39987.315405092595</v>
      </c>
      <c r="M1437" s="9" t="s">
        <v>19</v>
      </c>
      <c r="N1437" s="9" t="s">
        <v>20</v>
      </c>
      <c r="O1437" s="6" t="str">
        <f>HYPERLINK("https://pbs.twimg.com/profile_images/962471262747529216/Uo8lOkRJ_normal.jpg","View")</f>
        <v>View</v>
      </c>
      <c r="P1437" s="7"/>
    </row>
    <row r="1438" spans="1:16">
      <c r="A1438" s="3">
        <v>43851.302025462966</v>
      </c>
      <c r="B1438" s="4" t="str">
        <f>HYPERLINK("https://twitter.com/petrogustavo","@petrogustavo")</f>
        <v>@petrogustavo</v>
      </c>
      <c r="C1438" s="5" t="s">
        <v>16</v>
      </c>
      <c r="D1438" s="5" t="s">
        <v>1415</v>
      </c>
      <c r="E1438" s="6" t="str">
        <f>HYPERLINK("https://twitter.com/petrogustavo/status/1219435673385668609","1219435673385668609")</f>
        <v>1219435673385668609</v>
      </c>
      <c r="F1438" s="7" t="s">
        <v>17</v>
      </c>
      <c r="G1438" s="7">
        <v>3613796</v>
      </c>
      <c r="H1438" s="7">
        <v>2353</v>
      </c>
      <c r="I1438" s="7">
        <v>109</v>
      </c>
      <c r="J1438" s="7">
        <v>343</v>
      </c>
      <c r="K1438" s="7" t="s">
        <v>18</v>
      </c>
      <c r="L1438" s="8">
        <v>39987.315405092595</v>
      </c>
      <c r="M1438" s="9" t="s">
        <v>19</v>
      </c>
      <c r="N1438" s="9" t="s">
        <v>20</v>
      </c>
      <c r="O1438" s="6" t="str">
        <f>HYPERLINK("https://pbs.twimg.com/profile_images/962471262747529216/Uo8lOkRJ_normal.jpg","View")</f>
        <v>View</v>
      </c>
      <c r="P1438" s="7"/>
    </row>
    <row r="1439" spans="1:16">
      <c r="A1439" s="3">
        <v>43851.358946759261</v>
      </c>
      <c r="B1439" s="4" t="str">
        <f>HYPERLINK("https://twitter.com/petrogustavo","@petrogustavo")</f>
        <v>@petrogustavo</v>
      </c>
      <c r="C1439" s="5" t="s">
        <v>16</v>
      </c>
      <c r="D1439" s="5" t="s">
        <v>1416</v>
      </c>
      <c r="E1439" s="6" t="str">
        <f>HYPERLINK("https://twitter.com/petrogustavo/status/1219456301706752000","1219456301706752000")</f>
        <v>1219456301706752000</v>
      </c>
      <c r="F1439" s="7" t="s">
        <v>17</v>
      </c>
      <c r="G1439" s="7">
        <v>3613884</v>
      </c>
      <c r="H1439" s="7">
        <v>2353</v>
      </c>
      <c r="I1439" s="7">
        <v>423</v>
      </c>
      <c r="J1439" s="7">
        <v>0</v>
      </c>
      <c r="K1439" s="7" t="s">
        <v>18</v>
      </c>
      <c r="L1439" s="8">
        <v>39987.315405092595</v>
      </c>
      <c r="M1439" s="9" t="s">
        <v>19</v>
      </c>
      <c r="N1439" s="9" t="s">
        <v>20</v>
      </c>
      <c r="O1439" s="6" t="str">
        <f>HYPERLINK("https://pbs.twimg.com/profile_images/962471262747529216/Uo8lOkRJ_normal.jpg","View")</f>
        <v>View</v>
      </c>
      <c r="P1439" s="7"/>
    </row>
    <row r="1440" spans="1:16">
      <c r="A1440" s="3">
        <v>43851.42024305556</v>
      </c>
      <c r="B1440" s="4" t="str">
        <f>HYPERLINK("https://twitter.com/petrogustavo","@petrogustavo")</f>
        <v>@petrogustavo</v>
      </c>
      <c r="C1440" s="5" t="s">
        <v>16</v>
      </c>
      <c r="D1440" s="5" t="s">
        <v>1417</v>
      </c>
      <c r="E1440" s="6" t="str">
        <f>HYPERLINK("https://twitter.com/petrogustavo/status/1219478514786803713","1219478514786803713")</f>
        <v>1219478514786803713</v>
      </c>
      <c r="F1440" s="7" t="s">
        <v>17</v>
      </c>
      <c r="G1440" s="7">
        <v>3613944</v>
      </c>
      <c r="H1440" s="7">
        <v>2353</v>
      </c>
      <c r="I1440" s="7">
        <v>2502</v>
      </c>
      <c r="J1440" s="7">
        <v>0</v>
      </c>
      <c r="K1440" s="7" t="s">
        <v>18</v>
      </c>
      <c r="L1440" s="8">
        <v>39987.315405092595</v>
      </c>
      <c r="M1440" s="9" t="s">
        <v>19</v>
      </c>
      <c r="N1440" s="9" t="s">
        <v>20</v>
      </c>
      <c r="O1440" s="6" t="str">
        <f>HYPERLINK("https://pbs.twimg.com/profile_images/962471262747529216/Uo8lOkRJ_normal.jpg","View")</f>
        <v>View</v>
      </c>
      <c r="P1440" s="7"/>
    </row>
    <row r="1441" spans="1:16">
      <c r="A1441" s="3">
        <v>43851.422731481478</v>
      </c>
      <c r="B1441" s="4" t="str">
        <f>HYPERLINK("https://twitter.com/petrogustavo","@petrogustavo")</f>
        <v>@petrogustavo</v>
      </c>
      <c r="C1441" s="5" t="s">
        <v>16</v>
      </c>
      <c r="D1441" s="5" t="s">
        <v>1418</v>
      </c>
      <c r="E1441" s="6" t="str">
        <f>HYPERLINK("https://twitter.com/petrogustavo/status/1219479419041001472","1219479419041001472")</f>
        <v>1219479419041001472</v>
      </c>
      <c r="F1441" s="7" t="s">
        <v>17</v>
      </c>
      <c r="G1441" s="7">
        <v>3613944</v>
      </c>
      <c r="H1441" s="7">
        <v>2353</v>
      </c>
      <c r="I1441" s="7">
        <v>2405</v>
      </c>
      <c r="J1441" s="7">
        <v>0</v>
      </c>
      <c r="K1441" s="7" t="s">
        <v>18</v>
      </c>
      <c r="L1441" s="8">
        <v>39987.315405092595</v>
      </c>
      <c r="M1441" s="9" t="s">
        <v>19</v>
      </c>
      <c r="N1441" s="9" t="s">
        <v>20</v>
      </c>
      <c r="O1441" s="6" t="str">
        <f>HYPERLINK("https://pbs.twimg.com/profile_images/962471262747529216/Uo8lOkRJ_normal.jpg","View")</f>
        <v>View</v>
      </c>
      <c r="P1441" s="7"/>
    </row>
    <row r="1442" spans="1:16">
      <c r="A1442" s="3">
        <v>43851.735636574071</v>
      </c>
      <c r="B1442" s="4" t="str">
        <f>HYPERLINK("https://twitter.com/petrogustavo","@petrogustavo")</f>
        <v>@petrogustavo</v>
      </c>
      <c r="C1442" s="5" t="s">
        <v>16</v>
      </c>
      <c r="D1442" s="5" t="s">
        <v>1419</v>
      </c>
      <c r="E1442" s="6" t="str">
        <f>HYPERLINK("https://twitter.com/petrogustavo/status/1219592809231147009","1219592809231147009")</f>
        <v>1219592809231147009</v>
      </c>
      <c r="F1442" s="7" t="s">
        <v>17</v>
      </c>
      <c r="G1442" s="7">
        <v>3614109</v>
      </c>
      <c r="H1442" s="7">
        <v>2353</v>
      </c>
      <c r="I1442" s="7">
        <v>457</v>
      </c>
      <c r="J1442" s="7">
        <v>0</v>
      </c>
      <c r="K1442" s="7" t="s">
        <v>18</v>
      </c>
      <c r="L1442" s="8">
        <v>39987.315405092595</v>
      </c>
      <c r="M1442" s="9" t="s">
        <v>19</v>
      </c>
      <c r="N1442" s="9" t="s">
        <v>20</v>
      </c>
      <c r="O1442" s="6" t="str">
        <f>HYPERLINK("https://pbs.twimg.com/profile_images/962471262747529216/Uo8lOkRJ_normal.jpg","View")</f>
        <v>View</v>
      </c>
      <c r="P1442" s="7"/>
    </row>
    <row r="1443" spans="1:16">
      <c r="A1443" s="3">
        <v>43851.736041666663</v>
      </c>
      <c r="B1443" s="4" t="str">
        <f>HYPERLINK("https://twitter.com/petrogustavo","@petrogustavo")</f>
        <v>@petrogustavo</v>
      </c>
      <c r="C1443" s="5" t="s">
        <v>16</v>
      </c>
      <c r="D1443" s="5" t="s">
        <v>1420</v>
      </c>
      <c r="E1443" s="6" t="str">
        <f>HYPERLINK("https://twitter.com/petrogustavo/status/1219592957088628737","1219592957088628737")</f>
        <v>1219592957088628737</v>
      </c>
      <c r="F1443" s="7" t="s">
        <v>17</v>
      </c>
      <c r="G1443" s="7">
        <v>3614109</v>
      </c>
      <c r="H1443" s="7">
        <v>2353</v>
      </c>
      <c r="I1443" s="7">
        <v>16</v>
      </c>
      <c r="J1443" s="7">
        <v>0</v>
      </c>
      <c r="K1443" s="7" t="s">
        <v>18</v>
      </c>
      <c r="L1443" s="8">
        <v>39987.315405092595</v>
      </c>
      <c r="M1443" s="9" t="s">
        <v>19</v>
      </c>
      <c r="N1443" s="9" t="s">
        <v>20</v>
      </c>
      <c r="O1443" s="6" t="str">
        <f>HYPERLINK("https://pbs.twimg.com/profile_images/962471262747529216/Uo8lOkRJ_normal.jpg","View")</f>
        <v>View</v>
      </c>
      <c r="P1443" s="7"/>
    </row>
    <row r="1444" spans="1:16">
      <c r="A1444" s="3">
        <v>43851.736493055556</v>
      </c>
      <c r="B1444" s="4" t="str">
        <f>HYPERLINK("https://twitter.com/petrogustavo","@petrogustavo")</f>
        <v>@petrogustavo</v>
      </c>
      <c r="C1444" s="5" t="s">
        <v>16</v>
      </c>
      <c r="D1444" s="5" t="s">
        <v>1421</v>
      </c>
      <c r="E1444" s="6" t="str">
        <f>HYPERLINK("https://twitter.com/petrogustavo/status/1219593121782255623","1219593121782255623")</f>
        <v>1219593121782255623</v>
      </c>
      <c r="F1444" s="7" t="s">
        <v>17</v>
      </c>
      <c r="G1444" s="7">
        <v>3614109</v>
      </c>
      <c r="H1444" s="7">
        <v>2353</v>
      </c>
      <c r="I1444" s="7">
        <v>510</v>
      </c>
      <c r="J1444" s="7">
        <v>0</v>
      </c>
      <c r="K1444" s="7" t="s">
        <v>18</v>
      </c>
      <c r="L1444" s="8">
        <v>39987.315405092595</v>
      </c>
      <c r="M1444" s="9" t="s">
        <v>19</v>
      </c>
      <c r="N1444" s="9" t="s">
        <v>20</v>
      </c>
      <c r="O1444" s="6" t="str">
        <f>HYPERLINK("https://pbs.twimg.com/profile_images/962471262747529216/Uo8lOkRJ_normal.jpg","View")</f>
        <v>View</v>
      </c>
      <c r="P1444" s="7"/>
    </row>
    <row r="1445" spans="1:16">
      <c r="A1445" s="3">
        <v>43851.737916666665</v>
      </c>
      <c r="B1445" s="4" t="str">
        <f>HYPERLINK("https://twitter.com/petrogustavo","@petrogustavo")</f>
        <v>@petrogustavo</v>
      </c>
      <c r="C1445" s="5" t="s">
        <v>16</v>
      </c>
      <c r="D1445" s="5" t="s">
        <v>1422</v>
      </c>
      <c r="E1445" s="6" t="str">
        <f>HYPERLINK("https://twitter.com/petrogustavo/status/1219593635500580865","1219593635500580865")</f>
        <v>1219593635500580865</v>
      </c>
      <c r="F1445" s="7" t="s">
        <v>17</v>
      </c>
      <c r="G1445" s="7">
        <v>3614109</v>
      </c>
      <c r="H1445" s="7">
        <v>2353</v>
      </c>
      <c r="I1445" s="7">
        <v>30</v>
      </c>
      <c r="J1445" s="7">
        <v>0</v>
      </c>
      <c r="K1445" s="7" t="s">
        <v>18</v>
      </c>
      <c r="L1445" s="8">
        <v>39987.315405092595</v>
      </c>
      <c r="M1445" s="9" t="s">
        <v>19</v>
      </c>
      <c r="N1445" s="9" t="s">
        <v>20</v>
      </c>
      <c r="O1445" s="6" t="str">
        <f>HYPERLINK("https://pbs.twimg.com/profile_images/962471262747529216/Uo8lOkRJ_normal.jpg","View")</f>
        <v>View</v>
      </c>
      <c r="P1445" s="7"/>
    </row>
    <row r="1446" spans="1:16">
      <c r="A1446" s="3">
        <v>43851.739432870367</v>
      </c>
      <c r="B1446" s="4" t="str">
        <f>HYPERLINK("https://twitter.com/petrogustavo","@petrogustavo")</f>
        <v>@petrogustavo</v>
      </c>
      <c r="C1446" s="5" t="s">
        <v>16</v>
      </c>
      <c r="D1446" s="5" t="s">
        <v>1423</v>
      </c>
      <c r="E1446" s="6" t="str">
        <f>HYPERLINK("https://twitter.com/petrogustavo/status/1219594185629753344","1219594185629753344")</f>
        <v>1219594185629753344</v>
      </c>
      <c r="F1446" s="7" t="s">
        <v>17</v>
      </c>
      <c r="G1446" s="7">
        <v>3614109</v>
      </c>
      <c r="H1446" s="7">
        <v>2353</v>
      </c>
      <c r="I1446" s="7">
        <v>8</v>
      </c>
      <c r="J1446" s="7">
        <v>0</v>
      </c>
      <c r="K1446" s="7" t="s">
        <v>18</v>
      </c>
      <c r="L1446" s="8">
        <v>39987.315405092595</v>
      </c>
      <c r="M1446" s="9" t="s">
        <v>19</v>
      </c>
      <c r="N1446" s="9" t="s">
        <v>20</v>
      </c>
      <c r="O1446" s="6" t="str">
        <f>HYPERLINK("https://pbs.twimg.com/profile_images/962471262747529216/Uo8lOkRJ_normal.jpg","View")</f>
        <v>View</v>
      </c>
      <c r="P1446" s="7"/>
    </row>
    <row r="1447" spans="1:16">
      <c r="A1447" s="3">
        <v>43851.742858796293</v>
      </c>
      <c r="B1447" s="4" t="str">
        <f>HYPERLINK("https://twitter.com/petrogustavo","@petrogustavo")</f>
        <v>@petrogustavo</v>
      </c>
      <c r="C1447" s="5" t="s">
        <v>16</v>
      </c>
      <c r="D1447" s="5" t="s">
        <v>1424</v>
      </c>
      <c r="E1447" s="6" t="str">
        <f>HYPERLINK("https://twitter.com/petrogustavo/status/1219595425335910400","1219595425335910400")</f>
        <v>1219595425335910400</v>
      </c>
      <c r="F1447" s="7" t="s">
        <v>17</v>
      </c>
      <c r="G1447" s="7">
        <v>3614149</v>
      </c>
      <c r="H1447" s="7">
        <v>2353</v>
      </c>
      <c r="I1447" s="7">
        <v>428</v>
      </c>
      <c r="J1447" s="7">
        <v>1038</v>
      </c>
      <c r="K1447" s="7" t="s">
        <v>18</v>
      </c>
      <c r="L1447" s="8">
        <v>39987.315405092595</v>
      </c>
      <c r="M1447" s="9" t="s">
        <v>19</v>
      </c>
      <c r="N1447" s="9" t="s">
        <v>20</v>
      </c>
      <c r="O1447" s="6" t="str">
        <f>HYPERLINK("https://pbs.twimg.com/profile_images/962471262747529216/Uo8lOkRJ_normal.jpg","View")</f>
        <v>View</v>
      </c>
      <c r="P1447" s="7"/>
    </row>
    <row r="1448" spans="1:16">
      <c r="A1448" s="3">
        <v>43851.743946759263</v>
      </c>
      <c r="B1448" s="4" t="str">
        <f>HYPERLINK("https://twitter.com/petrogustavo","@petrogustavo")</f>
        <v>@petrogustavo</v>
      </c>
      <c r="C1448" s="5" t="s">
        <v>16</v>
      </c>
      <c r="D1448" s="5" t="s">
        <v>1425</v>
      </c>
      <c r="E1448" s="6" t="str">
        <f>HYPERLINK("https://twitter.com/petrogustavo/status/1219595819432730630","1219595819432730630")</f>
        <v>1219595819432730630</v>
      </c>
      <c r="F1448" s="7" t="s">
        <v>17</v>
      </c>
      <c r="G1448" s="7">
        <v>3614149</v>
      </c>
      <c r="H1448" s="7">
        <v>2353</v>
      </c>
      <c r="I1448" s="7">
        <v>168</v>
      </c>
      <c r="J1448" s="7">
        <v>0</v>
      </c>
      <c r="K1448" s="7" t="s">
        <v>18</v>
      </c>
      <c r="L1448" s="8">
        <v>39987.315405092595</v>
      </c>
      <c r="M1448" s="9" t="s">
        <v>19</v>
      </c>
      <c r="N1448" s="9" t="s">
        <v>20</v>
      </c>
      <c r="O1448" s="6" t="str">
        <f>HYPERLINK("https://pbs.twimg.com/profile_images/962471262747529216/Uo8lOkRJ_normal.jpg","View")</f>
        <v>View</v>
      </c>
      <c r="P1448" s="7"/>
    </row>
    <row r="1449" spans="1:16">
      <c r="A1449" s="3">
        <v>43851.74700231482</v>
      </c>
      <c r="B1449" s="4" t="str">
        <f>HYPERLINK("https://twitter.com/petrogustavo","@petrogustavo")</f>
        <v>@petrogustavo</v>
      </c>
      <c r="C1449" s="5" t="s">
        <v>16</v>
      </c>
      <c r="D1449" s="5" t="s">
        <v>1426</v>
      </c>
      <c r="E1449" s="6" t="str">
        <f>HYPERLINK("https://twitter.com/petrogustavo/status/1219596930151600131","1219596930151600131")</f>
        <v>1219596930151600131</v>
      </c>
      <c r="F1449" s="7" t="s">
        <v>17</v>
      </c>
      <c r="G1449" s="7">
        <v>3614149</v>
      </c>
      <c r="H1449" s="7">
        <v>2353</v>
      </c>
      <c r="I1449" s="7">
        <v>81</v>
      </c>
      <c r="J1449" s="7">
        <v>310</v>
      </c>
      <c r="K1449" s="7" t="s">
        <v>18</v>
      </c>
      <c r="L1449" s="8">
        <v>39987.315405092595</v>
      </c>
      <c r="M1449" s="9" t="s">
        <v>19</v>
      </c>
      <c r="N1449" s="9" t="s">
        <v>20</v>
      </c>
      <c r="O1449" s="6" t="str">
        <f>HYPERLINK("https://pbs.twimg.com/profile_images/962471262747529216/Uo8lOkRJ_normal.jpg","View")</f>
        <v>View</v>
      </c>
      <c r="P1449" s="7"/>
    </row>
    <row r="1450" spans="1:16">
      <c r="A1450" s="3">
        <v>43851.749675925923</v>
      </c>
      <c r="B1450" s="4" t="str">
        <f>HYPERLINK("https://twitter.com/petrogustavo","@petrogustavo")</f>
        <v>@petrogustavo</v>
      </c>
      <c r="C1450" s="5" t="s">
        <v>16</v>
      </c>
      <c r="D1450" s="5" t="s">
        <v>1427</v>
      </c>
      <c r="E1450" s="6" t="str">
        <f>HYPERLINK("https://twitter.com/petrogustavo/status/1219597899648176128","1219597899648176128")</f>
        <v>1219597899648176128</v>
      </c>
      <c r="F1450" s="7" t="s">
        <v>17</v>
      </c>
      <c r="G1450" s="7">
        <v>3614149</v>
      </c>
      <c r="H1450" s="7">
        <v>2353</v>
      </c>
      <c r="I1450" s="7">
        <v>2371</v>
      </c>
      <c r="J1450" s="7">
        <v>0</v>
      </c>
      <c r="K1450" s="7" t="s">
        <v>18</v>
      </c>
      <c r="L1450" s="8">
        <v>39987.315405092595</v>
      </c>
      <c r="M1450" s="9" t="s">
        <v>19</v>
      </c>
      <c r="N1450" s="9" t="s">
        <v>20</v>
      </c>
      <c r="O1450" s="6" t="str">
        <f>HYPERLINK("https://pbs.twimg.com/profile_images/962471262747529216/Uo8lOkRJ_normal.jpg","View")</f>
        <v>View</v>
      </c>
      <c r="P1450" s="7"/>
    </row>
    <row r="1451" spans="1:16">
      <c r="A1451" s="3">
        <v>43851.752256944441</v>
      </c>
      <c r="B1451" s="4" t="str">
        <f>HYPERLINK("https://twitter.com/petrogustavo","@petrogustavo")</f>
        <v>@petrogustavo</v>
      </c>
      <c r="C1451" s="5" t="s">
        <v>16</v>
      </c>
      <c r="D1451" s="5" t="s">
        <v>1428</v>
      </c>
      <c r="E1451" s="6" t="str">
        <f>HYPERLINK("https://twitter.com/petrogustavo/status/1219598833665105920","1219598833665105920")</f>
        <v>1219598833665105920</v>
      </c>
      <c r="F1451" s="7" t="s">
        <v>17</v>
      </c>
      <c r="G1451" s="7">
        <v>3614149</v>
      </c>
      <c r="H1451" s="7">
        <v>2353</v>
      </c>
      <c r="I1451" s="7">
        <v>224</v>
      </c>
      <c r="J1451" s="7">
        <v>633</v>
      </c>
      <c r="K1451" s="7" t="s">
        <v>18</v>
      </c>
      <c r="L1451" s="8">
        <v>39987.315405092595</v>
      </c>
      <c r="M1451" s="9" t="s">
        <v>19</v>
      </c>
      <c r="N1451" s="9" t="s">
        <v>20</v>
      </c>
      <c r="O1451" s="6" t="str">
        <f>HYPERLINK("https://pbs.twimg.com/profile_images/962471262747529216/Uo8lOkRJ_normal.jpg","View")</f>
        <v>View</v>
      </c>
      <c r="P1451" s="7"/>
    </row>
    <row r="1452" spans="1:16">
      <c r="A1452" s="3">
        <v>43851.754479166666</v>
      </c>
      <c r="B1452" s="4" t="str">
        <f>HYPERLINK("https://twitter.com/petrogustavo","@petrogustavo")</f>
        <v>@petrogustavo</v>
      </c>
      <c r="C1452" s="5" t="s">
        <v>16</v>
      </c>
      <c r="D1452" s="5" t="s">
        <v>1429</v>
      </c>
      <c r="E1452" s="6" t="str">
        <f>HYPERLINK("https://twitter.com/petrogustavo/status/1219599638266830848","1219599638266830848")</f>
        <v>1219599638266830848</v>
      </c>
      <c r="F1452" s="7" t="s">
        <v>17</v>
      </c>
      <c r="G1452" s="7">
        <v>3614149</v>
      </c>
      <c r="H1452" s="7">
        <v>2353</v>
      </c>
      <c r="I1452" s="7">
        <v>136</v>
      </c>
      <c r="J1452" s="7">
        <v>0</v>
      </c>
      <c r="K1452" s="7" t="s">
        <v>18</v>
      </c>
      <c r="L1452" s="8">
        <v>39987.315405092595</v>
      </c>
      <c r="M1452" s="9" t="s">
        <v>19</v>
      </c>
      <c r="N1452" s="9" t="s">
        <v>20</v>
      </c>
      <c r="O1452" s="6" t="str">
        <f>HYPERLINK("https://pbs.twimg.com/profile_images/962471262747529216/Uo8lOkRJ_normal.jpg","View")</f>
        <v>View</v>
      </c>
      <c r="P1452" s="7"/>
    </row>
    <row r="1453" spans="1:16">
      <c r="A1453" s="3">
        <v>43851.754953703705</v>
      </c>
      <c r="B1453" s="4" t="str">
        <f>HYPERLINK("https://twitter.com/petrogustavo","@petrogustavo")</f>
        <v>@petrogustavo</v>
      </c>
      <c r="C1453" s="5" t="s">
        <v>16</v>
      </c>
      <c r="D1453" s="5" t="s">
        <v>1430</v>
      </c>
      <c r="E1453" s="6" t="str">
        <f>HYPERLINK("https://twitter.com/petrogustavo/status/1219599811441315841","1219599811441315841")</f>
        <v>1219599811441315841</v>
      </c>
      <c r="F1453" s="7" t="s">
        <v>17</v>
      </c>
      <c r="G1453" s="7">
        <v>3614149</v>
      </c>
      <c r="H1453" s="7">
        <v>2353</v>
      </c>
      <c r="I1453" s="7">
        <v>474</v>
      </c>
      <c r="J1453" s="7">
        <v>0</v>
      </c>
      <c r="K1453" s="7" t="s">
        <v>18</v>
      </c>
      <c r="L1453" s="8">
        <v>39987.315405092595</v>
      </c>
      <c r="M1453" s="9" t="s">
        <v>19</v>
      </c>
      <c r="N1453" s="9" t="s">
        <v>20</v>
      </c>
      <c r="O1453" s="6" t="str">
        <f>HYPERLINK("https://pbs.twimg.com/profile_images/962471262747529216/Uo8lOkRJ_normal.jpg","View")</f>
        <v>View</v>
      </c>
      <c r="P1453" s="7"/>
    </row>
    <row r="1454" spans="1:16">
      <c r="A1454" s="3">
        <v>43851.758553240739</v>
      </c>
      <c r="B1454" s="4" t="str">
        <f>HYPERLINK("https://twitter.com/petrogustavo","@petrogustavo")</f>
        <v>@petrogustavo</v>
      </c>
      <c r="C1454" s="5" t="s">
        <v>16</v>
      </c>
      <c r="D1454" s="5" t="s">
        <v>1431</v>
      </c>
      <c r="E1454" s="6" t="str">
        <f>HYPERLINK("https://twitter.com/petrogustavo/status/1219601115106500609","1219601115106500609")</f>
        <v>1219601115106500609</v>
      </c>
      <c r="F1454" s="7" t="s">
        <v>17</v>
      </c>
      <c r="G1454" s="7">
        <v>3614149</v>
      </c>
      <c r="H1454" s="7">
        <v>2353</v>
      </c>
      <c r="I1454" s="7">
        <v>285</v>
      </c>
      <c r="J1454" s="7">
        <v>0</v>
      </c>
      <c r="K1454" s="7" t="s">
        <v>18</v>
      </c>
      <c r="L1454" s="8">
        <v>39987.315405092595</v>
      </c>
      <c r="M1454" s="9" t="s">
        <v>19</v>
      </c>
      <c r="N1454" s="9" t="s">
        <v>20</v>
      </c>
      <c r="O1454" s="6" t="str">
        <f>HYPERLINK("https://pbs.twimg.com/profile_images/962471262747529216/Uo8lOkRJ_normal.jpg","View")</f>
        <v>View</v>
      </c>
      <c r="P1454" s="7"/>
    </row>
    <row r="1455" spans="1:16">
      <c r="A1455" s="3">
        <v>43851.76048611111</v>
      </c>
      <c r="B1455" s="4" t="str">
        <f>HYPERLINK("https://twitter.com/petrogustavo","@petrogustavo")</f>
        <v>@petrogustavo</v>
      </c>
      <c r="C1455" s="5" t="s">
        <v>16</v>
      </c>
      <c r="D1455" s="5" t="s">
        <v>1432</v>
      </c>
      <c r="E1455" s="6" t="str">
        <f>HYPERLINK("https://twitter.com/petrogustavo/status/1219601814062096384","1219601814062096384")</f>
        <v>1219601814062096384</v>
      </c>
      <c r="F1455" s="7" t="s">
        <v>17</v>
      </c>
      <c r="G1455" s="7">
        <v>3614149</v>
      </c>
      <c r="H1455" s="7">
        <v>2353</v>
      </c>
      <c r="I1455" s="7">
        <v>81</v>
      </c>
      <c r="J1455" s="7">
        <v>0</v>
      </c>
      <c r="K1455" s="7" t="s">
        <v>18</v>
      </c>
      <c r="L1455" s="8">
        <v>39987.315405092595</v>
      </c>
      <c r="M1455" s="9" t="s">
        <v>19</v>
      </c>
      <c r="N1455" s="9" t="s">
        <v>20</v>
      </c>
      <c r="O1455" s="6" t="str">
        <f>HYPERLINK("https://pbs.twimg.com/profile_images/962471262747529216/Uo8lOkRJ_normal.jpg","View")</f>
        <v>View</v>
      </c>
      <c r="P1455" s="7"/>
    </row>
    <row r="1456" spans="1:16">
      <c r="A1456" s="3">
        <v>43851.76295138889</v>
      </c>
      <c r="B1456" s="4" t="str">
        <f>HYPERLINK("https://twitter.com/petrogustavo","@petrogustavo")</f>
        <v>@petrogustavo</v>
      </c>
      <c r="C1456" s="5" t="s">
        <v>16</v>
      </c>
      <c r="D1456" s="5" t="s">
        <v>1433</v>
      </c>
      <c r="E1456" s="6" t="str">
        <f>HYPERLINK("https://twitter.com/petrogustavo/status/1219602706949722113","1219602706949722113")</f>
        <v>1219602706949722113</v>
      </c>
      <c r="F1456" s="7" t="s">
        <v>17</v>
      </c>
      <c r="G1456" s="7">
        <v>3614182</v>
      </c>
      <c r="H1456" s="7">
        <v>2353</v>
      </c>
      <c r="I1456" s="7">
        <v>764</v>
      </c>
      <c r="J1456" s="7">
        <v>0</v>
      </c>
      <c r="K1456" s="7" t="s">
        <v>18</v>
      </c>
      <c r="L1456" s="8">
        <v>39987.315405092595</v>
      </c>
      <c r="M1456" s="9" t="s">
        <v>19</v>
      </c>
      <c r="N1456" s="9" t="s">
        <v>20</v>
      </c>
      <c r="O1456" s="6" t="str">
        <f>HYPERLINK("https://pbs.twimg.com/profile_images/962471262747529216/Uo8lOkRJ_normal.jpg","View")</f>
        <v>View</v>
      </c>
      <c r="P1456" s="7"/>
    </row>
    <row r="1457" spans="1:16">
      <c r="A1457" s="3">
        <v>43851.764872685184</v>
      </c>
      <c r="B1457" s="4" t="str">
        <f>HYPERLINK("https://twitter.com/petrogustavo","@petrogustavo")</f>
        <v>@petrogustavo</v>
      </c>
      <c r="C1457" s="5" t="s">
        <v>16</v>
      </c>
      <c r="D1457" s="5" t="s">
        <v>1434</v>
      </c>
      <c r="E1457" s="6" t="str">
        <f>HYPERLINK("https://twitter.com/petrogustavo/status/1219603403501903873","1219603403501903873")</f>
        <v>1219603403501903873</v>
      </c>
      <c r="F1457" s="7" t="s">
        <v>17</v>
      </c>
      <c r="G1457" s="7">
        <v>3614182</v>
      </c>
      <c r="H1457" s="7">
        <v>2353</v>
      </c>
      <c r="I1457" s="7">
        <v>14</v>
      </c>
      <c r="J1457" s="7">
        <v>0</v>
      </c>
      <c r="K1457" s="7" t="s">
        <v>18</v>
      </c>
      <c r="L1457" s="8">
        <v>39987.315405092595</v>
      </c>
      <c r="M1457" s="9" t="s">
        <v>19</v>
      </c>
      <c r="N1457" s="9" t="s">
        <v>20</v>
      </c>
      <c r="O1457" s="6" t="str">
        <f>HYPERLINK("https://pbs.twimg.com/profile_images/962471262747529216/Uo8lOkRJ_normal.jpg","View")</f>
        <v>View</v>
      </c>
      <c r="P1457" s="7"/>
    </row>
    <row r="1458" spans="1:16">
      <c r="A1458" s="3">
        <v>43851.764907407407</v>
      </c>
      <c r="B1458" s="4" t="str">
        <f>HYPERLINK("https://twitter.com/petrogustavo","@petrogustavo")</f>
        <v>@petrogustavo</v>
      </c>
      <c r="C1458" s="5" t="s">
        <v>16</v>
      </c>
      <c r="D1458" s="5" t="s">
        <v>1435</v>
      </c>
      <c r="E1458" s="6" t="str">
        <f>HYPERLINK("https://twitter.com/petrogustavo/status/1219603415778590720","1219603415778590720")</f>
        <v>1219603415778590720</v>
      </c>
      <c r="F1458" s="7" t="s">
        <v>17</v>
      </c>
      <c r="G1458" s="7">
        <v>3614182</v>
      </c>
      <c r="H1458" s="7">
        <v>2353</v>
      </c>
      <c r="I1458" s="7">
        <v>183</v>
      </c>
      <c r="J1458" s="7">
        <v>0</v>
      </c>
      <c r="K1458" s="7" t="s">
        <v>18</v>
      </c>
      <c r="L1458" s="8">
        <v>39987.315405092595</v>
      </c>
      <c r="M1458" s="9" t="s">
        <v>19</v>
      </c>
      <c r="N1458" s="9" t="s">
        <v>20</v>
      </c>
      <c r="O1458" s="6" t="str">
        <f>HYPERLINK("https://pbs.twimg.com/profile_images/962471262747529216/Uo8lOkRJ_normal.jpg","View")</f>
        <v>View</v>
      </c>
      <c r="P1458" s="7"/>
    </row>
    <row r="1459" spans="1:16">
      <c r="A1459" s="3">
        <v>43851.766041666662</v>
      </c>
      <c r="B1459" s="4" t="str">
        <f>HYPERLINK("https://twitter.com/petrogustavo","@petrogustavo")</f>
        <v>@petrogustavo</v>
      </c>
      <c r="C1459" s="5" t="s">
        <v>16</v>
      </c>
      <c r="D1459" s="5" t="s">
        <v>1436</v>
      </c>
      <c r="E1459" s="6" t="str">
        <f>HYPERLINK("https://twitter.com/petrogustavo/status/1219603829513228288","1219603829513228288")</f>
        <v>1219603829513228288</v>
      </c>
      <c r="F1459" s="7" t="s">
        <v>17</v>
      </c>
      <c r="G1459" s="7">
        <v>3614182</v>
      </c>
      <c r="H1459" s="7">
        <v>2353</v>
      </c>
      <c r="I1459" s="7">
        <v>48</v>
      </c>
      <c r="J1459" s="7">
        <v>0</v>
      </c>
      <c r="K1459" s="7" t="s">
        <v>18</v>
      </c>
      <c r="L1459" s="8">
        <v>39987.315405092595</v>
      </c>
      <c r="M1459" s="9" t="s">
        <v>19</v>
      </c>
      <c r="N1459" s="9" t="s">
        <v>20</v>
      </c>
      <c r="O1459" s="6" t="str">
        <f>HYPERLINK("https://pbs.twimg.com/profile_images/962471262747529216/Uo8lOkRJ_normal.jpg","View")</f>
        <v>View</v>
      </c>
      <c r="P1459" s="7"/>
    </row>
    <row r="1460" spans="1:16">
      <c r="A1460" s="3">
        <v>43851.766203703708</v>
      </c>
      <c r="B1460" s="4" t="str">
        <f>HYPERLINK("https://twitter.com/petrogustavo","@petrogustavo")</f>
        <v>@petrogustavo</v>
      </c>
      <c r="C1460" s="5" t="s">
        <v>16</v>
      </c>
      <c r="D1460" s="5" t="s">
        <v>1437</v>
      </c>
      <c r="E1460" s="6" t="str">
        <f>HYPERLINK("https://twitter.com/petrogustavo/status/1219603886044078080","1219603886044078080")</f>
        <v>1219603886044078080</v>
      </c>
      <c r="F1460" s="7" t="s">
        <v>17</v>
      </c>
      <c r="G1460" s="7">
        <v>3614182</v>
      </c>
      <c r="H1460" s="7">
        <v>2353</v>
      </c>
      <c r="I1460" s="7">
        <v>643</v>
      </c>
      <c r="J1460" s="7">
        <v>0</v>
      </c>
      <c r="K1460" s="7" t="s">
        <v>18</v>
      </c>
      <c r="L1460" s="8">
        <v>39987.315405092595</v>
      </c>
      <c r="M1460" s="9" t="s">
        <v>19</v>
      </c>
      <c r="N1460" s="9" t="s">
        <v>20</v>
      </c>
      <c r="O1460" s="6" t="str">
        <f>HYPERLINK("https://pbs.twimg.com/profile_images/962471262747529216/Uo8lOkRJ_normal.jpg","View")</f>
        <v>View</v>
      </c>
      <c r="P1460" s="7"/>
    </row>
    <row r="1461" spans="1:16">
      <c r="A1461" s="3">
        <v>43851.770578703705</v>
      </c>
      <c r="B1461" s="4" t="str">
        <f>HYPERLINK("https://twitter.com/petrogustavo","@petrogustavo")</f>
        <v>@petrogustavo</v>
      </c>
      <c r="C1461" s="5" t="s">
        <v>16</v>
      </c>
      <c r="D1461" s="5" t="s">
        <v>1438</v>
      </c>
      <c r="E1461" s="6" t="str">
        <f>HYPERLINK("https://twitter.com/petrogustavo/status/1219605471797092352","1219605471797092352")</f>
        <v>1219605471797092352</v>
      </c>
      <c r="F1461" s="7" t="s">
        <v>17</v>
      </c>
      <c r="G1461" s="7">
        <v>3614182</v>
      </c>
      <c r="H1461" s="7">
        <v>2353</v>
      </c>
      <c r="I1461" s="7">
        <v>158</v>
      </c>
      <c r="J1461" s="7">
        <v>340</v>
      </c>
      <c r="K1461" s="7" t="s">
        <v>18</v>
      </c>
      <c r="L1461" s="8">
        <v>39987.315405092595</v>
      </c>
      <c r="M1461" s="9" t="s">
        <v>19</v>
      </c>
      <c r="N1461" s="9" t="s">
        <v>20</v>
      </c>
      <c r="O1461" s="6" t="str">
        <f>HYPERLINK("https://pbs.twimg.com/profile_images/962471262747529216/Uo8lOkRJ_normal.jpg","View")</f>
        <v>View</v>
      </c>
      <c r="P1461" s="7"/>
    </row>
    <row r="1462" spans="1:16">
      <c r="A1462" s="3">
        <v>43851.772395833337</v>
      </c>
      <c r="B1462" s="4" t="str">
        <f>HYPERLINK("https://twitter.com/petrogustavo","@petrogustavo")</f>
        <v>@petrogustavo</v>
      </c>
      <c r="C1462" s="5" t="s">
        <v>16</v>
      </c>
      <c r="D1462" s="5" t="s">
        <v>1439</v>
      </c>
      <c r="E1462" s="6" t="str">
        <f>HYPERLINK("https://twitter.com/petrogustavo/status/1219606130722209794","1219606130722209794")</f>
        <v>1219606130722209794</v>
      </c>
      <c r="F1462" s="7" t="s">
        <v>17</v>
      </c>
      <c r="G1462" s="7">
        <v>3614182</v>
      </c>
      <c r="H1462" s="7">
        <v>2353</v>
      </c>
      <c r="I1462" s="7">
        <v>28</v>
      </c>
      <c r="J1462" s="7">
        <v>0</v>
      </c>
      <c r="K1462" s="7" t="s">
        <v>18</v>
      </c>
      <c r="L1462" s="8">
        <v>39987.315405092595</v>
      </c>
      <c r="M1462" s="9" t="s">
        <v>19</v>
      </c>
      <c r="N1462" s="9" t="s">
        <v>20</v>
      </c>
      <c r="O1462" s="6" t="str">
        <f>HYPERLINK("https://pbs.twimg.com/profile_images/962471262747529216/Uo8lOkRJ_normal.jpg","View")</f>
        <v>View</v>
      </c>
      <c r="P1462" s="7"/>
    </row>
    <row r="1463" spans="1:16">
      <c r="A1463" s="3">
        <v>43851.774016203708</v>
      </c>
      <c r="B1463" s="4" t="str">
        <f>HYPERLINK("https://twitter.com/petrogustavo","@petrogustavo")</f>
        <v>@petrogustavo</v>
      </c>
      <c r="C1463" s="5" t="s">
        <v>16</v>
      </c>
      <c r="D1463" s="5" t="s">
        <v>1440</v>
      </c>
      <c r="E1463" s="6" t="str">
        <f>HYPERLINK("https://twitter.com/petrogustavo/status/1219606719589994498","1219606719589994498")</f>
        <v>1219606719589994498</v>
      </c>
      <c r="F1463" s="7" t="s">
        <v>17</v>
      </c>
      <c r="G1463" s="7">
        <v>3614182</v>
      </c>
      <c r="H1463" s="7">
        <v>2353</v>
      </c>
      <c r="I1463" s="7">
        <v>373</v>
      </c>
      <c r="J1463" s="7">
        <v>0</v>
      </c>
      <c r="K1463" s="7" t="s">
        <v>18</v>
      </c>
      <c r="L1463" s="8">
        <v>39987.315405092595</v>
      </c>
      <c r="M1463" s="9" t="s">
        <v>19</v>
      </c>
      <c r="N1463" s="9" t="s">
        <v>20</v>
      </c>
      <c r="O1463" s="6" t="str">
        <f>HYPERLINK("https://pbs.twimg.com/profile_images/962471262747529216/Uo8lOkRJ_normal.jpg","View")</f>
        <v>View</v>
      </c>
      <c r="P1463" s="7"/>
    </row>
    <row r="1464" spans="1:16">
      <c r="A1464" s="3">
        <v>43851.775613425925</v>
      </c>
      <c r="B1464" s="4" t="str">
        <f>HYPERLINK("https://twitter.com/petrogustavo","@petrogustavo")</f>
        <v>@petrogustavo</v>
      </c>
      <c r="C1464" s="5" t="s">
        <v>16</v>
      </c>
      <c r="D1464" s="5" t="s">
        <v>1441</v>
      </c>
      <c r="E1464" s="6" t="str">
        <f>HYPERLINK("https://twitter.com/petrogustavo/status/1219607299104395268","1219607299104395268")</f>
        <v>1219607299104395268</v>
      </c>
      <c r="F1464" s="7" t="s">
        <v>17</v>
      </c>
      <c r="G1464" s="7">
        <v>3614182</v>
      </c>
      <c r="H1464" s="7">
        <v>2353</v>
      </c>
      <c r="I1464" s="7">
        <v>22</v>
      </c>
      <c r="J1464" s="7">
        <v>0</v>
      </c>
      <c r="K1464" s="7" t="s">
        <v>18</v>
      </c>
      <c r="L1464" s="8">
        <v>39987.315405092595</v>
      </c>
      <c r="M1464" s="9" t="s">
        <v>19</v>
      </c>
      <c r="N1464" s="9" t="s">
        <v>20</v>
      </c>
      <c r="O1464" s="6" t="str">
        <f>HYPERLINK("https://pbs.twimg.com/profile_images/962471262747529216/Uo8lOkRJ_normal.jpg","View")</f>
        <v>View</v>
      </c>
      <c r="P1464" s="7"/>
    </row>
    <row r="1465" spans="1:16">
      <c r="A1465" s="3">
        <v>43851.776377314818</v>
      </c>
      <c r="B1465" s="4" t="str">
        <f>HYPERLINK("https://twitter.com/petrogustavo","@petrogustavo")</f>
        <v>@petrogustavo</v>
      </c>
      <c r="C1465" s="5" t="s">
        <v>16</v>
      </c>
      <c r="D1465" s="5" t="s">
        <v>1442</v>
      </c>
      <c r="E1465" s="6" t="str">
        <f>HYPERLINK("https://twitter.com/petrogustavo/status/1219607572040339457","1219607572040339457")</f>
        <v>1219607572040339457</v>
      </c>
      <c r="F1465" s="7" t="s">
        <v>17</v>
      </c>
      <c r="G1465" s="7">
        <v>3614182</v>
      </c>
      <c r="H1465" s="7">
        <v>2353</v>
      </c>
      <c r="I1465" s="7">
        <v>97</v>
      </c>
      <c r="J1465" s="7">
        <v>0</v>
      </c>
      <c r="K1465" s="7" t="s">
        <v>18</v>
      </c>
      <c r="L1465" s="8">
        <v>39987.315405092595</v>
      </c>
      <c r="M1465" s="9" t="s">
        <v>19</v>
      </c>
      <c r="N1465" s="9" t="s">
        <v>20</v>
      </c>
      <c r="O1465" s="6" t="str">
        <f>HYPERLINK("https://pbs.twimg.com/profile_images/962471262747529216/Uo8lOkRJ_normal.jpg","View")</f>
        <v>View</v>
      </c>
      <c r="P1465" s="7"/>
    </row>
    <row r="1466" spans="1:16">
      <c r="A1466" s="3">
        <v>43851.777743055558</v>
      </c>
      <c r="B1466" s="4" t="str">
        <f>HYPERLINK("https://twitter.com/petrogustavo","@petrogustavo")</f>
        <v>@petrogustavo</v>
      </c>
      <c r="C1466" s="5" t="s">
        <v>16</v>
      </c>
      <c r="D1466" s="5" t="s">
        <v>1443</v>
      </c>
      <c r="E1466" s="6" t="str">
        <f>HYPERLINK("https://twitter.com/petrogustavo/status/1219608068046180352","1219608068046180352")</f>
        <v>1219608068046180352</v>
      </c>
      <c r="F1466" s="7" t="s">
        <v>17</v>
      </c>
      <c r="G1466" s="7">
        <v>3614182</v>
      </c>
      <c r="H1466" s="7">
        <v>2353</v>
      </c>
      <c r="I1466" s="7">
        <v>19</v>
      </c>
      <c r="J1466" s="7">
        <v>0</v>
      </c>
      <c r="K1466" s="7" t="s">
        <v>18</v>
      </c>
      <c r="L1466" s="8">
        <v>39987.315405092595</v>
      </c>
      <c r="M1466" s="9" t="s">
        <v>19</v>
      </c>
      <c r="N1466" s="9" t="s">
        <v>20</v>
      </c>
      <c r="O1466" s="6" t="str">
        <f>HYPERLINK("https://pbs.twimg.com/profile_images/962471262747529216/Uo8lOkRJ_normal.jpg","View")</f>
        <v>View</v>
      </c>
      <c r="P1466" s="7"/>
    </row>
    <row r="1467" spans="1:16">
      <c r="A1467" s="3">
        <v>43851.778715277775</v>
      </c>
      <c r="B1467" s="4" t="str">
        <f>HYPERLINK("https://twitter.com/petrogustavo","@petrogustavo")</f>
        <v>@petrogustavo</v>
      </c>
      <c r="C1467" s="5" t="s">
        <v>16</v>
      </c>
      <c r="D1467" s="5" t="s">
        <v>1444</v>
      </c>
      <c r="E1467" s="6" t="str">
        <f>HYPERLINK("https://twitter.com/petrogustavo/status/1219608422691287041","1219608422691287041")</f>
        <v>1219608422691287041</v>
      </c>
      <c r="F1467" s="7" t="s">
        <v>17</v>
      </c>
      <c r="G1467" s="7">
        <v>3614182</v>
      </c>
      <c r="H1467" s="7">
        <v>2353</v>
      </c>
      <c r="I1467" s="7">
        <v>53</v>
      </c>
      <c r="J1467" s="7">
        <v>0</v>
      </c>
      <c r="K1467" s="7" t="s">
        <v>18</v>
      </c>
      <c r="L1467" s="8">
        <v>39987.315405092595</v>
      </c>
      <c r="M1467" s="9" t="s">
        <v>19</v>
      </c>
      <c r="N1467" s="9" t="s">
        <v>20</v>
      </c>
      <c r="O1467" s="6" t="str">
        <f>HYPERLINK("https://pbs.twimg.com/profile_images/962471262747529216/Uo8lOkRJ_normal.jpg","View")</f>
        <v>View</v>
      </c>
      <c r="P1467" s="7"/>
    </row>
    <row r="1468" spans="1:16">
      <c r="A1468" s="3">
        <v>43851.780011574076</v>
      </c>
      <c r="B1468" s="4" t="str">
        <f>HYPERLINK("https://twitter.com/petrogustavo","@petrogustavo")</f>
        <v>@petrogustavo</v>
      </c>
      <c r="C1468" s="5" t="s">
        <v>16</v>
      </c>
      <c r="D1468" s="5" t="s">
        <v>1445</v>
      </c>
      <c r="E1468" s="6" t="str">
        <f>HYPERLINK("https://twitter.com/petrogustavo/status/1219608888913342465","1219608888913342465")</f>
        <v>1219608888913342465</v>
      </c>
      <c r="F1468" s="7" t="s">
        <v>17</v>
      </c>
      <c r="G1468" s="7">
        <v>3614182</v>
      </c>
      <c r="H1468" s="7">
        <v>2353</v>
      </c>
      <c r="I1468" s="7">
        <v>976</v>
      </c>
      <c r="J1468" s="7">
        <v>0</v>
      </c>
      <c r="K1468" s="7" t="s">
        <v>18</v>
      </c>
      <c r="L1468" s="8">
        <v>39987.315405092595</v>
      </c>
      <c r="M1468" s="9" t="s">
        <v>19</v>
      </c>
      <c r="N1468" s="9" t="s">
        <v>20</v>
      </c>
      <c r="O1468" s="6" t="str">
        <f>HYPERLINK("https://pbs.twimg.com/profile_images/962471262747529216/Uo8lOkRJ_normal.jpg","View")</f>
        <v>View</v>
      </c>
      <c r="P1468" s="7"/>
    </row>
    <row r="1469" spans="1:16">
      <c r="A1469" s="3">
        <v>43851.780868055561</v>
      </c>
      <c r="B1469" s="4" t="str">
        <f>HYPERLINK("https://twitter.com/petrogustavo","@petrogustavo")</f>
        <v>@petrogustavo</v>
      </c>
      <c r="C1469" s="5" t="s">
        <v>16</v>
      </c>
      <c r="D1469" s="5" t="s">
        <v>1446</v>
      </c>
      <c r="E1469" s="6" t="str">
        <f>HYPERLINK("https://twitter.com/petrogustavo/status/1219609202668244994","1219609202668244994")</f>
        <v>1219609202668244994</v>
      </c>
      <c r="F1469" s="7" t="s">
        <v>17</v>
      </c>
      <c r="G1469" s="7">
        <v>3614182</v>
      </c>
      <c r="H1469" s="7">
        <v>2353</v>
      </c>
      <c r="I1469" s="7">
        <v>29</v>
      </c>
      <c r="J1469" s="7">
        <v>0</v>
      </c>
      <c r="K1469" s="7" t="s">
        <v>18</v>
      </c>
      <c r="L1469" s="8">
        <v>39987.315405092595</v>
      </c>
      <c r="M1469" s="9" t="s">
        <v>19</v>
      </c>
      <c r="N1469" s="9" t="s">
        <v>20</v>
      </c>
      <c r="O1469" s="6" t="str">
        <f>HYPERLINK("https://pbs.twimg.com/profile_images/962471262747529216/Uo8lOkRJ_normal.jpg","View")</f>
        <v>View</v>
      </c>
      <c r="P1469" s="7"/>
    </row>
    <row r="1470" spans="1:16">
      <c r="A1470" s="3">
        <v>43851.781134259261</v>
      </c>
      <c r="B1470" s="4" t="str">
        <f>HYPERLINK("https://twitter.com/petrogustavo","@petrogustavo")</f>
        <v>@petrogustavo</v>
      </c>
      <c r="C1470" s="5" t="s">
        <v>16</v>
      </c>
      <c r="D1470" s="5" t="s">
        <v>1447</v>
      </c>
      <c r="E1470" s="6" t="str">
        <f>HYPERLINK("https://twitter.com/petrogustavo/status/1219609299057618944","1219609299057618944")</f>
        <v>1219609299057618944</v>
      </c>
      <c r="F1470" s="7" t="s">
        <v>17</v>
      </c>
      <c r="G1470" s="7">
        <v>3614182</v>
      </c>
      <c r="H1470" s="7">
        <v>2353</v>
      </c>
      <c r="I1470" s="7">
        <v>2624</v>
      </c>
      <c r="J1470" s="7">
        <v>0</v>
      </c>
      <c r="K1470" s="7" t="s">
        <v>18</v>
      </c>
      <c r="L1470" s="8">
        <v>39987.315405092595</v>
      </c>
      <c r="M1470" s="9" t="s">
        <v>19</v>
      </c>
      <c r="N1470" s="9" t="s">
        <v>20</v>
      </c>
      <c r="O1470" s="6" t="str">
        <f>HYPERLINK("https://pbs.twimg.com/profile_images/962471262747529216/Uo8lOkRJ_normal.jpg","View")</f>
        <v>View</v>
      </c>
      <c r="P1470" s="7"/>
    </row>
    <row r="1471" spans="1:16">
      <c r="A1471" s="3">
        <v>43851.78424768518</v>
      </c>
      <c r="B1471" s="4" t="str">
        <f>HYPERLINK("https://twitter.com/petrogustavo","@petrogustavo")</f>
        <v>@petrogustavo</v>
      </c>
      <c r="C1471" s="5" t="s">
        <v>16</v>
      </c>
      <c r="D1471" s="5" t="s">
        <v>1448</v>
      </c>
      <c r="E1471" s="6" t="str">
        <f>HYPERLINK("https://twitter.com/petrogustavo/status/1219610426725535745","1219610426725535745")</f>
        <v>1219610426725535745</v>
      </c>
      <c r="F1471" s="7" t="s">
        <v>17</v>
      </c>
      <c r="G1471" s="7">
        <v>3614225</v>
      </c>
      <c r="H1471" s="7">
        <v>2353</v>
      </c>
      <c r="I1471" s="7">
        <v>323</v>
      </c>
      <c r="J1471" s="7">
        <v>658</v>
      </c>
      <c r="K1471" s="7" t="s">
        <v>18</v>
      </c>
      <c r="L1471" s="8">
        <v>39987.315405092595</v>
      </c>
      <c r="M1471" s="9" t="s">
        <v>19</v>
      </c>
      <c r="N1471" s="9" t="s">
        <v>20</v>
      </c>
      <c r="O1471" s="6" t="str">
        <f>HYPERLINK("https://pbs.twimg.com/profile_images/962471262747529216/Uo8lOkRJ_normal.jpg","View")</f>
        <v>View</v>
      </c>
      <c r="P1471" s="7"/>
    </row>
    <row r="1472" spans="1:16">
      <c r="A1472" s="3">
        <v>43851.78907407407</v>
      </c>
      <c r="B1472" s="4" t="str">
        <f>HYPERLINK("https://twitter.com/petrogustavo","@petrogustavo")</f>
        <v>@petrogustavo</v>
      </c>
      <c r="C1472" s="5" t="s">
        <v>16</v>
      </c>
      <c r="D1472" s="5" t="s">
        <v>1449</v>
      </c>
      <c r="E1472" s="6" t="str">
        <f>HYPERLINK("https://twitter.com/petrogustavo/status/1219612174714359810","1219612174714359810")</f>
        <v>1219612174714359810</v>
      </c>
      <c r="F1472" s="7" t="s">
        <v>17</v>
      </c>
      <c r="G1472" s="7">
        <v>3614225</v>
      </c>
      <c r="H1472" s="7">
        <v>2353</v>
      </c>
      <c r="I1472" s="7">
        <v>122</v>
      </c>
      <c r="J1472" s="7">
        <v>416</v>
      </c>
      <c r="K1472" s="7" t="s">
        <v>18</v>
      </c>
      <c r="L1472" s="8">
        <v>39987.315405092595</v>
      </c>
      <c r="M1472" s="9" t="s">
        <v>19</v>
      </c>
      <c r="N1472" s="9" t="s">
        <v>20</v>
      </c>
      <c r="O1472" s="6" t="str">
        <f>HYPERLINK("https://pbs.twimg.com/profile_images/962471262747529216/Uo8lOkRJ_normal.jpg","View")</f>
        <v>View</v>
      </c>
      <c r="P1472" s="7"/>
    </row>
    <row r="1473" spans="1:16">
      <c r="A1473" s="3">
        <v>43851.792245370365</v>
      </c>
      <c r="B1473" s="4" t="str">
        <f>HYPERLINK("https://twitter.com/petrogustavo","@petrogustavo")</f>
        <v>@petrogustavo</v>
      </c>
      <c r="C1473" s="5" t="s">
        <v>16</v>
      </c>
      <c r="D1473" s="5" t="s">
        <v>1450</v>
      </c>
      <c r="E1473" s="6" t="str">
        <f>HYPERLINK("https://twitter.com/petrogustavo/status/1219613323324534784","1219613323324534784")</f>
        <v>1219613323324534784</v>
      </c>
      <c r="F1473" s="7" t="s">
        <v>17</v>
      </c>
      <c r="G1473" s="7">
        <v>3614225</v>
      </c>
      <c r="H1473" s="7">
        <v>2353</v>
      </c>
      <c r="I1473" s="7">
        <v>103</v>
      </c>
      <c r="J1473" s="7">
        <v>0</v>
      </c>
      <c r="K1473" s="7" t="s">
        <v>18</v>
      </c>
      <c r="L1473" s="8">
        <v>39987.315405092595</v>
      </c>
      <c r="M1473" s="9" t="s">
        <v>19</v>
      </c>
      <c r="N1473" s="9" t="s">
        <v>20</v>
      </c>
      <c r="O1473" s="6" t="str">
        <f>HYPERLINK("https://pbs.twimg.com/profile_images/962471262747529216/Uo8lOkRJ_normal.jpg","View")</f>
        <v>View</v>
      </c>
      <c r="P1473" s="7"/>
    </row>
    <row r="1474" spans="1:16">
      <c r="A1474" s="3">
        <v>43851.803483796291</v>
      </c>
      <c r="B1474" s="4" t="str">
        <f>HYPERLINK("https://twitter.com/petrogustavo","@petrogustavo")</f>
        <v>@petrogustavo</v>
      </c>
      <c r="C1474" s="5" t="s">
        <v>16</v>
      </c>
      <c r="D1474" s="5" t="s">
        <v>1451</v>
      </c>
      <c r="E1474" s="6" t="str">
        <f>HYPERLINK("https://twitter.com/petrogustavo/status/1219617396341776384","1219617396341776384")</f>
        <v>1219617396341776384</v>
      </c>
      <c r="F1474" s="7" t="s">
        <v>17</v>
      </c>
      <c r="G1474" s="7">
        <v>3614225</v>
      </c>
      <c r="H1474" s="7">
        <v>2353</v>
      </c>
      <c r="I1474" s="7">
        <v>189</v>
      </c>
      <c r="J1474" s="7">
        <v>0</v>
      </c>
      <c r="K1474" s="7" t="s">
        <v>18</v>
      </c>
      <c r="L1474" s="8">
        <v>39987.315405092595</v>
      </c>
      <c r="M1474" s="9" t="s">
        <v>19</v>
      </c>
      <c r="N1474" s="9" t="s">
        <v>20</v>
      </c>
      <c r="O1474" s="6" t="str">
        <f>HYPERLINK("https://pbs.twimg.com/profile_images/962471262747529216/Uo8lOkRJ_normal.jpg","View")</f>
        <v>View</v>
      </c>
      <c r="P1474" s="7"/>
    </row>
    <row r="1475" spans="1:16">
      <c r="A1475" s="3">
        <v>43851.803564814814</v>
      </c>
      <c r="B1475" s="4" t="str">
        <f>HYPERLINK("https://twitter.com/petrogustavo","@petrogustavo")</f>
        <v>@petrogustavo</v>
      </c>
      <c r="C1475" s="5" t="s">
        <v>16</v>
      </c>
      <c r="D1475" s="5" t="s">
        <v>1452</v>
      </c>
      <c r="E1475" s="6" t="str">
        <f>HYPERLINK("https://twitter.com/petrogustavo/status/1219617427094417409","1219617427094417409")</f>
        <v>1219617427094417409</v>
      </c>
      <c r="F1475" s="7" t="s">
        <v>17</v>
      </c>
      <c r="G1475" s="7">
        <v>3614225</v>
      </c>
      <c r="H1475" s="7">
        <v>2353</v>
      </c>
      <c r="I1475" s="7">
        <v>11</v>
      </c>
      <c r="J1475" s="7">
        <v>0</v>
      </c>
      <c r="K1475" s="7" t="s">
        <v>18</v>
      </c>
      <c r="L1475" s="8">
        <v>39987.315405092595</v>
      </c>
      <c r="M1475" s="9" t="s">
        <v>19</v>
      </c>
      <c r="N1475" s="9" t="s">
        <v>20</v>
      </c>
      <c r="O1475" s="6" t="str">
        <f>HYPERLINK("https://pbs.twimg.com/profile_images/962471262747529216/Uo8lOkRJ_normal.jpg","View")</f>
        <v>View</v>
      </c>
      <c r="P1475" s="7"/>
    </row>
    <row r="1476" spans="1:16">
      <c r="A1476" s="3">
        <v>43851.803923611107</v>
      </c>
      <c r="B1476" s="4" t="str">
        <f>HYPERLINK("https://twitter.com/petrogustavo","@petrogustavo")</f>
        <v>@petrogustavo</v>
      </c>
      <c r="C1476" s="5" t="s">
        <v>16</v>
      </c>
      <c r="D1476" s="5" t="s">
        <v>1453</v>
      </c>
      <c r="E1476" s="6" t="str">
        <f>HYPERLINK("https://twitter.com/petrogustavo/status/1219617557038215170","1219617557038215170")</f>
        <v>1219617557038215170</v>
      </c>
      <c r="F1476" s="7" t="s">
        <v>17</v>
      </c>
      <c r="G1476" s="7">
        <v>3614273</v>
      </c>
      <c r="H1476" s="7">
        <v>2353</v>
      </c>
      <c r="I1476" s="7">
        <v>1978</v>
      </c>
      <c r="J1476" s="7">
        <v>0</v>
      </c>
      <c r="K1476" s="7" t="s">
        <v>18</v>
      </c>
      <c r="L1476" s="8">
        <v>39987.315405092595</v>
      </c>
      <c r="M1476" s="9" t="s">
        <v>19</v>
      </c>
      <c r="N1476" s="9" t="s">
        <v>20</v>
      </c>
      <c r="O1476" s="6" t="str">
        <f>HYPERLINK("https://pbs.twimg.com/profile_images/962471262747529216/Uo8lOkRJ_normal.jpg","View")</f>
        <v>View</v>
      </c>
      <c r="P1476" s="7"/>
    </row>
    <row r="1477" spans="1:16">
      <c r="A1477" s="3">
        <v>43851.806759259256</v>
      </c>
      <c r="B1477" s="4" t="str">
        <f>HYPERLINK("https://twitter.com/petrogustavo","@petrogustavo")</f>
        <v>@petrogustavo</v>
      </c>
      <c r="C1477" s="5" t="s">
        <v>16</v>
      </c>
      <c r="D1477" s="5" t="s">
        <v>1414</v>
      </c>
      <c r="E1477" s="6" t="str">
        <f>HYPERLINK("https://twitter.com/petrogustavo/status/1219618583640203267","1219618583640203267")</f>
        <v>1219618583640203267</v>
      </c>
      <c r="F1477" s="7" t="s">
        <v>17</v>
      </c>
      <c r="G1477" s="7">
        <v>3614273</v>
      </c>
      <c r="H1477" s="7">
        <v>2353</v>
      </c>
      <c r="I1477" s="7">
        <v>4222</v>
      </c>
      <c r="J1477" s="7">
        <v>0</v>
      </c>
      <c r="K1477" s="7" t="s">
        <v>18</v>
      </c>
      <c r="L1477" s="8">
        <v>39987.315405092595</v>
      </c>
      <c r="M1477" s="9" t="s">
        <v>19</v>
      </c>
      <c r="N1477" s="9" t="s">
        <v>20</v>
      </c>
      <c r="O1477" s="6" t="str">
        <f>HYPERLINK("https://pbs.twimg.com/profile_images/962471262747529216/Uo8lOkRJ_normal.jpg","View")</f>
        <v>View</v>
      </c>
      <c r="P1477" s="7"/>
    </row>
    <row r="1478" spans="1:16">
      <c r="A1478" s="3">
        <v>43851.807210648149</v>
      </c>
      <c r="B1478" s="4" t="str">
        <f>HYPERLINK("https://twitter.com/petrogustavo","@petrogustavo")</f>
        <v>@petrogustavo</v>
      </c>
      <c r="C1478" s="5" t="s">
        <v>16</v>
      </c>
      <c r="D1478" s="5" t="s">
        <v>1454</v>
      </c>
      <c r="E1478" s="6" t="str">
        <f>HYPERLINK("https://twitter.com/petrogustavo/status/1219618748337917953","1219618748337917953")</f>
        <v>1219618748337917953</v>
      </c>
      <c r="F1478" s="7" t="s">
        <v>17</v>
      </c>
      <c r="G1478" s="7">
        <v>3614273</v>
      </c>
      <c r="H1478" s="7">
        <v>2353</v>
      </c>
      <c r="I1478" s="7">
        <v>39</v>
      </c>
      <c r="J1478" s="7">
        <v>0</v>
      </c>
      <c r="K1478" s="7" t="s">
        <v>18</v>
      </c>
      <c r="L1478" s="8">
        <v>39987.315405092595</v>
      </c>
      <c r="M1478" s="9" t="s">
        <v>19</v>
      </c>
      <c r="N1478" s="9" t="s">
        <v>20</v>
      </c>
      <c r="O1478" s="6" t="str">
        <f>HYPERLINK("https://pbs.twimg.com/profile_images/962471262747529216/Uo8lOkRJ_normal.jpg","View")</f>
        <v>View</v>
      </c>
      <c r="P1478" s="7"/>
    </row>
    <row r="1479" spans="1:16">
      <c r="A1479" s="3">
        <v>43851.81077546296</v>
      </c>
      <c r="B1479" s="4" t="str">
        <f>HYPERLINK("https://twitter.com/petrogustavo","@petrogustavo")</f>
        <v>@petrogustavo</v>
      </c>
      <c r="C1479" s="5" t="s">
        <v>16</v>
      </c>
      <c r="D1479" s="5" t="s">
        <v>1455</v>
      </c>
      <c r="E1479" s="6" t="str">
        <f>HYPERLINK("https://twitter.com/petrogustavo/status/1219620040372342784","1219620040372342784")</f>
        <v>1219620040372342784</v>
      </c>
      <c r="F1479" s="7" t="s">
        <v>17</v>
      </c>
      <c r="G1479" s="7">
        <v>3614273</v>
      </c>
      <c r="H1479" s="7">
        <v>2353</v>
      </c>
      <c r="I1479" s="7">
        <v>14</v>
      </c>
      <c r="J1479" s="7">
        <v>0</v>
      </c>
      <c r="K1479" s="7" t="s">
        <v>18</v>
      </c>
      <c r="L1479" s="8">
        <v>39987.315405092595</v>
      </c>
      <c r="M1479" s="9" t="s">
        <v>19</v>
      </c>
      <c r="N1479" s="9" t="s">
        <v>20</v>
      </c>
      <c r="O1479" s="6" t="str">
        <f>HYPERLINK("https://pbs.twimg.com/profile_images/962471262747529216/Uo8lOkRJ_normal.jpg","View")</f>
        <v>View</v>
      </c>
      <c r="P1479" s="7"/>
    </row>
    <row r="1480" spans="1:16">
      <c r="A1480" s="3">
        <v>43851.810891203699</v>
      </c>
      <c r="B1480" s="4" t="str">
        <f>HYPERLINK("https://twitter.com/petrogustavo","@petrogustavo")</f>
        <v>@petrogustavo</v>
      </c>
      <c r="C1480" s="5" t="s">
        <v>16</v>
      </c>
      <c r="D1480" s="5" t="s">
        <v>1456</v>
      </c>
      <c r="E1480" s="6" t="str">
        <f>HYPERLINK("https://twitter.com/petrogustavo/status/1219620082420273152","1219620082420273152")</f>
        <v>1219620082420273152</v>
      </c>
      <c r="F1480" s="7" t="s">
        <v>17</v>
      </c>
      <c r="G1480" s="7">
        <v>3614273</v>
      </c>
      <c r="H1480" s="7">
        <v>2353</v>
      </c>
      <c r="I1480" s="7">
        <v>27</v>
      </c>
      <c r="J1480" s="7">
        <v>0</v>
      </c>
      <c r="K1480" s="7" t="s">
        <v>18</v>
      </c>
      <c r="L1480" s="8">
        <v>39987.315405092595</v>
      </c>
      <c r="M1480" s="9" t="s">
        <v>19</v>
      </c>
      <c r="N1480" s="9" t="s">
        <v>20</v>
      </c>
      <c r="O1480" s="6" t="str">
        <f>HYPERLINK("https://pbs.twimg.com/profile_images/962471262747529216/Uo8lOkRJ_normal.jpg","View")</f>
        <v>View</v>
      </c>
      <c r="P1480" s="7"/>
    </row>
    <row r="1481" spans="1:16">
      <c r="A1481" s="3">
        <v>43851.814618055556</v>
      </c>
      <c r="B1481" s="4" t="str">
        <f>HYPERLINK("https://twitter.com/petrogustavo","@petrogustavo")</f>
        <v>@petrogustavo</v>
      </c>
      <c r="C1481" s="5" t="s">
        <v>16</v>
      </c>
      <c r="D1481" s="5" t="s">
        <v>1457</v>
      </c>
      <c r="E1481" s="6" t="str">
        <f>HYPERLINK("https://twitter.com/petrogustavo/status/1219621430683492354","1219621430683492354")</f>
        <v>1219621430683492354</v>
      </c>
      <c r="F1481" s="7" t="s">
        <v>17</v>
      </c>
      <c r="G1481" s="7">
        <v>3614273</v>
      </c>
      <c r="H1481" s="7">
        <v>2353</v>
      </c>
      <c r="I1481" s="7">
        <v>339</v>
      </c>
      <c r="J1481" s="7">
        <v>999</v>
      </c>
      <c r="K1481" s="7" t="s">
        <v>18</v>
      </c>
      <c r="L1481" s="8">
        <v>39987.315405092595</v>
      </c>
      <c r="M1481" s="9" t="s">
        <v>19</v>
      </c>
      <c r="N1481" s="9" t="s">
        <v>20</v>
      </c>
      <c r="O1481" s="6" t="str">
        <f>HYPERLINK("https://pbs.twimg.com/profile_images/962471262747529216/Uo8lOkRJ_normal.jpg","View")</f>
        <v>View</v>
      </c>
      <c r="P1481" s="7"/>
    </row>
    <row r="1482" spans="1:16">
      <c r="A1482" s="3">
        <v>43851.819490740745</v>
      </c>
      <c r="B1482" s="4" t="str">
        <f>HYPERLINK("https://twitter.com/petrogustavo","@petrogustavo")</f>
        <v>@petrogustavo</v>
      </c>
      <c r="C1482" s="5" t="s">
        <v>16</v>
      </c>
      <c r="D1482" s="5" t="s">
        <v>1458</v>
      </c>
      <c r="E1482" s="6" t="str">
        <f>HYPERLINK("https://twitter.com/petrogustavo/status/1219623196044992514","1219623196044992514")</f>
        <v>1219623196044992514</v>
      </c>
      <c r="F1482" s="7" t="s">
        <v>17</v>
      </c>
      <c r="G1482" s="7">
        <v>3614273</v>
      </c>
      <c r="H1482" s="7">
        <v>2353</v>
      </c>
      <c r="I1482" s="7">
        <v>88</v>
      </c>
      <c r="J1482" s="7">
        <v>306</v>
      </c>
      <c r="K1482" s="7" t="s">
        <v>18</v>
      </c>
      <c r="L1482" s="8">
        <v>39987.315405092595</v>
      </c>
      <c r="M1482" s="9" t="s">
        <v>19</v>
      </c>
      <c r="N1482" s="9" t="s">
        <v>20</v>
      </c>
      <c r="O1482" s="6" t="str">
        <f>HYPERLINK("https://pbs.twimg.com/profile_images/962471262747529216/Uo8lOkRJ_normal.jpg","View")</f>
        <v>View</v>
      </c>
      <c r="P1482" s="7"/>
    </row>
    <row r="1483" spans="1:16">
      <c r="A1483" s="3">
        <v>43851.822812500002</v>
      </c>
      <c r="B1483" s="4" t="str">
        <f>HYPERLINK("https://twitter.com/petrogustavo","@petrogustavo")</f>
        <v>@petrogustavo</v>
      </c>
      <c r="C1483" s="5" t="s">
        <v>16</v>
      </c>
      <c r="D1483" s="5" t="s">
        <v>1459</v>
      </c>
      <c r="E1483" s="6" t="str">
        <f>HYPERLINK("https://twitter.com/petrogustavo/status/1219624399898320896","1219624399898320896")</f>
        <v>1219624399898320896</v>
      </c>
      <c r="F1483" s="7" t="s">
        <v>17</v>
      </c>
      <c r="G1483" s="7">
        <v>3614273</v>
      </c>
      <c r="H1483" s="7">
        <v>2353</v>
      </c>
      <c r="I1483" s="7">
        <v>36</v>
      </c>
      <c r="J1483" s="7">
        <v>0</v>
      </c>
      <c r="K1483" s="7" t="s">
        <v>18</v>
      </c>
      <c r="L1483" s="8">
        <v>39987.315405092595</v>
      </c>
      <c r="M1483" s="9" t="s">
        <v>19</v>
      </c>
      <c r="N1483" s="9" t="s">
        <v>20</v>
      </c>
      <c r="O1483" s="6" t="str">
        <f>HYPERLINK("https://pbs.twimg.com/profile_images/962471262747529216/Uo8lOkRJ_normal.jpg","View")</f>
        <v>View</v>
      </c>
      <c r="P1483" s="7"/>
    </row>
    <row r="1484" spans="1:16">
      <c r="A1484" s="3">
        <v>43851.823298611111</v>
      </c>
      <c r="B1484" s="4" t="str">
        <f>HYPERLINK("https://twitter.com/petrogustavo","@petrogustavo")</f>
        <v>@petrogustavo</v>
      </c>
      <c r="C1484" s="5" t="s">
        <v>16</v>
      </c>
      <c r="D1484" s="5" t="s">
        <v>1460</v>
      </c>
      <c r="E1484" s="6" t="str">
        <f>HYPERLINK("https://twitter.com/petrogustavo/status/1219624575677476865","1219624575677476865")</f>
        <v>1219624575677476865</v>
      </c>
      <c r="F1484" s="7" t="s">
        <v>17</v>
      </c>
      <c r="G1484" s="7">
        <v>3614273</v>
      </c>
      <c r="H1484" s="7">
        <v>2353</v>
      </c>
      <c r="I1484" s="7">
        <v>5</v>
      </c>
      <c r="J1484" s="7">
        <v>0</v>
      </c>
      <c r="K1484" s="7" t="s">
        <v>18</v>
      </c>
      <c r="L1484" s="8">
        <v>39987.315405092595</v>
      </c>
      <c r="M1484" s="9" t="s">
        <v>19</v>
      </c>
      <c r="N1484" s="9" t="s">
        <v>20</v>
      </c>
      <c r="O1484" s="6" t="str">
        <f>HYPERLINK("https://pbs.twimg.com/profile_images/962471262747529216/Uo8lOkRJ_normal.jpg","View")</f>
        <v>View</v>
      </c>
      <c r="P1484" s="7"/>
    </row>
    <row r="1485" spans="1:16">
      <c r="A1485" s="3">
        <v>43851.823553240742</v>
      </c>
      <c r="B1485" s="4" t="str">
        <f>HYPERLINK("https://twitter.com/petrogustavo","@petrogustavo")</f>
        <v>@petrogustavo</v>
      </c>
      <c r="C1485" s="5" t="s">
        <v>16</v>
      </c>
      <c r="D1485" s="5" t="s">
        <v>1461</v>
      </c>
      <c r="E1485" s="6" t="str">
        <f>HYPERLINK("https://twitter.com/petrogustavo/status/1219624670732935169","1219624670732935169")</f>
        <v>1219624670732935169</v>
      </c>
      <c r="F1485" s="7" t="s">
        <v>17</v>
      </c>
      <c r="G1485" s="7">
        <v>3614273</v>
      </c>
      <c r="H1485" s="7">
        <v>2353</v>
      </c>
      <c r="I1485" s="7">
        <v>339</v>
      </c>
      <c r="J1485" s="7">
        <v>0</v>
      </c>
      <c r="K1485" s="7" t="s">
        <v>18</v>
      </c>
      <c r="L1485" s="8">
        <v>39987.315405092595</v>
      </c>
      <c r="M1485" s="9" t="s">
        <v>19</v>
      </c>
      <c r="N1485" s="9" t="s">
        <v>20</v>
      </c>
      <c r="O1485" s="6" t="str">
        <f>HYPERLINK("https://pbs.twimg.com/profile_images/962471262747529216/Uo8lOkRJ_normal.jpg","View")</f>
        <v>View</v>
      </c>
      <c r="P1485" s="7"/>
    </row>
    <row r="1486" spans="1:16">
      <c r="A1486" s="3">
        <v>43851.826828703706</v>
      </c>
      <c r="B1486" s="4" t="str">
        <f>HYPERLINK("https://twitter.com/petrogustavo","@petrogustavo")</f>
        <v>@petrogustavo</v>
      </c>
      <c r="C1486" s="5" t="s">
        <v>16</v>
      </c>
      <c r="D1486" s="5" t="s">
        <v>1462</v>
      </c>
      <c r="E1486" s="6" t="str">
        <f>HYPERLINK("https://twitter.com/petrogustavo/status/1219625856454270980","1219625856454270980")</f>
        <v>1219625856454270980</v>
      </c>
      <c r="F1486" s="7" t="s">
        <v>17</v>
      </c>
      <c r="G1486" s="7">
        <v>3614295</v>
      </c>
      <c r="H1486" s="7">
        <v>2353</v>
      </c>
      <c r="I1486" s="7">
        <v>116</v>
      </c>
      <c r="J1486" s="7">
        <v>365</v>
      </c>
      <c r="K1486" s="7" t="s">
        <v>18</v>
      </c>
      <c r="L1486" s="8">
        <v>39987.315405092595</v>
      </c>
      <c r="M1486" s="9" t="s">
        <v>19</v>
      </c>
      <c r="N1486" s="9" t="s">
        <v>20</v>
      </c>
      <c r="O1486" s="6" t="str">
        <f>HYPERLINK("https://pbs.twimg.com/profile_images/962471262747529216/Uo8lOkRJ_normal.jpg","View")</f>
        <v>View</v>
      </c>
      <c r="P1486" s="7"/>
    </row>
    <row r="1487" spans="1:16">
      <c r="A1487" s="3">
        <v>43851.832060185188</v>
      </c>
      <c r="B1487" s="4" t="str">
        <f>HYPERLINK("https://twitter.com/petrogustavo","@petrogustavo")</f>
        <v>@petrogustavo</v>
      </c>
      <c r="C1487" s="5" t="s">
        <v>16</v>
      </c>
      <c r="D1487" s="5" t="s">
        <v>1463</v>
      </c>
      <c r="E1487" s="6" t="str">
        <f>HYPERLINK("https://twitter.com/petrogustavo/status/1219627753433116673","1219627753433116673")</f>
        <v>1219627753433116673</v>
      </c>
      <c r="F1487" s="7" t="s">
        <v>17</v>
      </c>
      <c r="G1487" s="7">
        <v>3614295</v>
      </c>
      <c r="H1487" s="7">
        <v>2353</v>
      </c>
      <c r="I1487" s="7">
        <v>138</v>
      </c>
      <c r="J1487" s="7">
        <v>0</v>
      </c>
      <c r="K1487" s="7" t="s">
        <v>18</v>
      </c>
      <c r="L1487" s="8">
        <v>39987.315405092595</v>
      </c>
      <c r="M1487" s="9" t="s">
        <v>19</v>
      </c>
      <c r="N1487" s="9" t="s">
        <v>20</v>
      </c>
      <c r="O1487" s="6" t="str">
        <f>HYPERLINK("https://pbs.twimg.com/profile_images/962471262747529216/Uo8lOkRJ_normal.jpg","View")</f>
        <v>View</v>
      </c>
      <c r="P1487" s="7"/>
    </row>
    <row r="1488" spans="1:16">
      <c r="A1488" s="3">
        <v>43851.832488425927</v>
      </c>
      <c r="B1488" s="4" t="str">
        <f>HYPERLINK("https://twitter.com/petrogustavo","@petrogustavo")</f>
        <v>@petrogustavo</v>
      </c>
      <c r="C1488" s="5" t="s">
        <v>16</v>
      </c>
      <c r="D1488" s="5" t="s">
        <v>1464</v>
      </c>
      <c r="E1488" s="6" t="str">
        <f>HYPERLINK("https://twitter.com/petrogustavo/status/1219627908614017027","1219627908614017027")</f>
        <v>1219627908614017027</v>
      </c>
      <c r="F1488" s="7" t="s">
        <v>17</v>
      </c>
      <c r="G1488" s="7">
        <v>3614295</v>
      </c>
      <c r="H1488" s="7">
        <v>2353</v>
      </c>
      <c r="I1488" s="7">
        <v>237</v>
      </c>
      <c r="J1488" s="7">
        <v>0</v>
      </c>
      <c r="K1488" s="7" t="s">
        <v>18</v>
      </c>
      <c r="L1488" s="8">
        <v>39987.315405092595</v>
      </c>
      <c r="M1488" s="9" t="s">
        <v>19</v>
      </c>
      <c r="N1488" s="9" t="s">
        <v>20</v>
      </c>
      <c r="O1488" s="6" t="str">
        <f>HYPERLINK("https://pbs.twimg.com/profile_images/962471262747529216/Uo8lOkRJ_normal.jpg","View")</f>
        <v>View</v>
      </c>
      <c r="P1488" s="7"/>
    </row>
    <row r="1489" spans="1:16">
      <c r="A1489" s="3">
        <v>43851.83394675926</v>
      </c>
      <c r="B1489" s="4" t="str">
        <f>HYPERLINK("https://twitter.com/petrogustavo","@petrogustavo")</f>
        <v>@petrogustavo</v>
      </c>
      <c r="C1489" s="5" t="s">
        <v>16</v>
      </c>
      <c r="D1489" s="5" t="s">
        <v>1465</v>
      </c>
      <c r="E1489" s="6" t="str">
        <f>HYPERLINK("https://twitter.com/petrogustavo/status/1219628435187937282","1219628435187937282")</f>
        <v>1219628435187937282</v>
      </c>
      <c r="F1489" s="7" t="s">
        <v>17</v>
      </c>
      <c r="G1489" s="7">
        <v>3614295</v>
      </c>
      <c r="H1489" s="7">
        <v>2353</v>
      </c>
      <c r="I1489" s="7">
        <v>201</v>
      </c>
      <c r="J1489" s="7">
        <v>487</v>
      </c>
      <c r="K1489" s="7" t="s">
        <v>18</v>
      </c>
      <c r="L1489" s="8">
        <v>39987.315405092595</v>
      </c>
      <c r="M1489" s="9" t="s">
        <v>19</v>
      </c>
      <c r="N1489" s="9" t="s">
        <v>20</v>
      </c>
      <c r="O1489" s="6" t="str">
        <f>HYPERLINK("https://pbs.twimg.com/profile_images/962471262747529216/Uo8lOkRJ_normal.jpg","View")</f>
        <v>View</v>
      </c>
      <c r="P1489" s="7"/>
    </row>
    <row r="1490" spans="1:16">
      <c r="A1490" s="3">
        <v>43851.848287037035</v>
      </c>
      <c r="B1490" s="4" t="str">
        <f>HYPERLINK("https://twitter.com/petrogustavo","@petrogustavo")</f>
        <v>@petrogustavo</v>
      </c>
      <c r="C1490" s="5" t="s">
        <v>16</v>
      </c>
      <c r="D1490" s="5" t="s">
        <v>1466</v>
      </c>
      <c r="E1490" s="6" t="str">
        <f>HYPERLINK("https://twitter.com/petrogustavo/status/1219633631771217922","1219633631771217922")</f>
        <v>1219633631771217922</v>
      </c>
      <c r="F1490" s="7" t="s">
        <v>17</v>
      </c>
      <c r="G1490" s="7">
        <v>3614329</v>
      </c>
      <c r="H1490" s="7">
        <v>2352</v>
      </c>
      <c r="I1490" s="7">
        <v>909</v>
      </c>
      <c r="J1490" s="7">
        <v>0</v>
      </c>
      <c r="K1490" s="7" t="s">
        <v>18</v>
      </c>
      <c r="L1490" s="8">
        <v>39987.315405092595</v>
      </c>
      <c r="M1490" s="9" t="s">
        <v>19</v>
      </c>
      <c r="N1490" s="9" t="s">
        <v>20</v>
      </c>
      <c r="O1490" s="6" t="str">
        <f>HYPERLINK("https://pbs.twimg.com/profile_images/962471262747529216/Uo8lOkRJ_normal.jpg","View")</f>
        <v>View</v>
      </c>
      <c r="P1490" s="7"/>
    </row>
    <row r="1491" spans="1:16">
      <c r="A1491" s="3">
        <v>43851.848587962959</v>
      </c>
      <c r="B1491" s="4" t="str">
        <f>HYPERLINK("https://twitter.com/petrogustavo","@petrogustavo")</f>
        <v>@petrogustavo</v>
      </c>
      <c r="C1491" s="5" t="s">
        <v>16</v>
      </c>
      <c r="D1491" s="5" t="s">
        <v>1461</v>
      </c>
      <c r="E1491" s="6" t="str">
        <f>HYPERLINK("https://twitter.com/petrogustavo/status/1219633742140133378","1219633742140133378")</f>
        <v>1219633742140133378</v>
      </c>
      <c r="F1491" s="7" t="s">
        <v>17</v>
      </c>
      <c r="G1491" s="7">
        <v>3614329</v>
      </c>
      <c r="H1491" s="7">
        <v>2352</v>
      </c>
      <c r="I1491" s="7">
        <v>1076</v>
      </c>
      <c r="J1491" s="7">
        <v>0</v>
      </c>
      <c r="K1491" s="7" t="s">
        <v>18</v>
      </c>
      <c r="L1491" s="8">
        <v>39987.315405092595</v>
      </c>
      <c r="M1491" s="9" t="s">
        <v>19</v>
      </c>
      <c r="N1491" s="9" t="s">
        <v>20</v>
      </c>
      <c r="O1491" s="6" t="str">
        <f>HYPERLINK("https://pbs.twimg.com/profile_images/962471262747529216/Uo8lOkRJ_normal.jpg","View")</f>
        <v>View</v>
      </c>
      <c r="P1491" s="7"/>
    </row>
    <row r="1492" spans="1:16">
      <c r="A1492" s="3">
        <v>43851.850428240738</v>
      </c>
      <c r="B1492" s="4" t="str">
        <f>HYPERLINK("https://twitter.com/petrogustavo","@petrogustavo")</f>
        <v>@petrogustavo</v>
      </c>
      <c r="C1492" s="5" t="s">
        <v>16</v>
      </c>
      <c r="D1492" s="5" t="s">
        <v>1467</v>
      </c>
      <c r="E1492" s="6" t="str">
        <f>HYPERLINK("https://twitter.com/petrogustavo/status/1219634407306297351","1219634407306297351")</f>
        <v>1219634407306297351</v>
      </c>
      <c r="F1492" s="7" t="s">
        <v>17</v>
      </c>
      <c r="G1492" s="7">
        <v>3614329</v>
      </c>
      <c r="H1492" s="7">
        <v>2352</v>
      </c>
      <c r="I1492" s="7">
        <v>121</v>
      </c>
      <c r="J1492" s="7">
        <v>0</v>
      </c>
      <c r="K1492" s="7" t="s">
        <v>18</v>
      </c>
      <c r="L1492" s="8">
        <v>39987.315405092595</v>
      </c>
      <c r="M1492" s="9" t="s">
        <v>19</v>
      </c>
      <c r="N1492" s="9" t="s">
        <v>20</v>
      </c>
      <c r="O1492" s="6" t="str">
        <f>HYPERLINK("https://pbs.twimg.com/profile_images/962471262747529216/Uo8lOkRJ_normal.jpg","View")</f>
        <v>View</v>
      </c>
      <c r="P1492" s="7"/>
    </row>
    <row r="1493" spans="1:16">
      <c r="A1493" s="3">
        <v>43851.850659722222</v>
      </c>
      <c r="B1493" s="4" t="str">
        <f>HYPERLINK("https://twitter.com/petrogustavo","@petrogustavo")</f>
        <v>@petrogustavo</v>
      </c>
      <c r="C1493" s="5" t="s">
        <v>16</v>
      </c>
      <c r="D1493" s="5" t="s">
        <v>1468</v>
      </c>
      <c r="E1493" s="6" t="str">
        <f>HYPERLINK("https://twitter.com/petrogustavo/status/1219634492996030465","1219634492996030465")</f>
        <v>1219634492996030465</v>
      </c>
      <c r="F1493" s="7" t="s">
        <v>17</v>
      </c>
      <c r="G1493" s="7">
        <v>3614329</v>
      </c>
      <c r="H1493" s="7">
        <v>2352</v>
      </c>
      <c r="I1493" s="7">
        <v>47</v>
      </c>
      <c r="J1493" s="7">
        <v>0</v>
      </c>
      <c r="K1493" s="7" t="s">
        <v>18</v>
      </c>
      <c r="L1493" s="8">
        <v>39987.315405092595</v>
      </c>
      <c r="M1493" s="9" t="s">
        <v>19</v>
      </c>
      <c r="N1493" s="9" t="s">
        <v>20</v>
      </c>
      <c r="O1493" s="6" t="str">
        <f>HYPERLINK("https://pbs.twimg.com/profile_images/962471262747529216/Uo8lOkRJ_normal.jpg","View")</f>
        <v>View</v>
      </c>
      <c r="P1493" s="7"/>
    </row>
    <row r="1494" spans="1:16">
      <c r="A1494" s="3">
        <v>43851.851006944446</v>
      </c>
      <c r="B1494" s="4" t="str">
        <f>HYPERLINK("https://twitter.com/petrogustavo","@petrogustavo")</f>
        <v>@petrogustavo</v>
      </c>
      <c r="C1494" s="5" t="s">
        <v>16</v>
      </c>
      <c r="D1494" s="5" t="s">
        <v>1469</v>
      </c>
      <c r="E1494" s="6" t="str">
        <f>HYPERLINK("https://twitter.com/petrogustavo/status/1219634617910734851","1219634617910734851")</f>
        <v>1219634617910734851</v>
      </c>
      <c r="F1494" s="7" t="s">
        <v>17</v>
      </c>
      <c r="G1494" s="7">
        <v>3614329</v>
      </c>
      <c r="H1494" s="7">
        <v>2352</v>
      </c>
      <c r="I1494" s="7">
        <v>35</v>
      </c>
      <c r="J1494" s="7">
        <v>0</v>
      </c>
      <c r="K1494" s="7" t="s">
        <v>18</v>
      </c>
      <c r="L1494" s="8">
        <v>39987.315405092595</v>
      </c>
      <c r="M1494" s="9" t="s">
        <v>19</v>
      </c>
      <c r="N1494" s="9" t="s">
        <v>20</v>
      </c>
      <c r="O1494" s="6" t="str">
        <f>HYPERLINK("https://pbs.twimg.com/profile_images/962471262747529216/Uo8lOkRJ_normal.jpg","View")</f>
        <v>View</v>
      </c>
      <c r="P1494" s="7"/>
    </row>
    <row r="1495" spans="1:16">
      <c r="A1495" s="3">
        <v>43851.851446759261</v>
      </c>
      <c r="B1495" s="4" t="str">
        <f>HYPERLINK("https://twitter.com/petrogustavo","@petrogustavo")</f>
        <v>@petrogustavo</v>
      </c>
      <c r="C1495" s="5" t="s">
        <v>16</v>
      </c>
      <c r="D1495" s="5" t="s">
        <v>1470</v>
      </c>
      <c r="E1495" s="6" t="str">
        <f>HYPERLINK("https://twitter.com/petrogustavo/status/1219634777185292290","1219634777185292290")</f>
        <v>1219634777185292290</v>
      </c>
      <c r="F1495" s="7" t="s">
        <v>17</v>
      </c>
      <c r="G1495" s="7">
        <v>3614329</v>
      </c>
      <c r="H1495" s="7">
        <v>2352</v>
      </c>
      <c r="I1495" s="7">
        <v>89</v>
      </c>
      <c r="J1495" s="7">
        <v>0</v>
      </c>
      <c r="K1495" s="7" t="s">
        <v>18</v>
      </c>
      <c r="L1495" s="8">
        <v>39987.315405092595</v>
      </c>
      <c r="M1495" s="9" t="s">
        <v>19</v>
      </c>
      <c r="N1495" s="9" t="s">
        <v>20</v>
      </c>
      <c r="O1495" s="6" t="str">
        <f>HYPERLINK("https://pbs.twimg.com/profile_images/962471262747529216/Uo8lOkRJ_normal.jpg","View")</f>
        <v>View</v>
      </c>
      <c r="P1495" s="7"/>
    </row>
    <row r="1496" spans="1:16">
      <c r="A1496" s="3">
        <v>43851.854872685188</v>
      </c>
      <c r="B1496" s="4" t="str">
        <f>HYPERLINK("https://twitter.com/petrogustavo","@petrogustavo")</f>
        <v>@petrogustavo</v>
      </c>
      <c r="C1496" s="5" t="s">
        <v>16</v>
      </c>
      <c r="D1496" s="5" t="s">
        <v>1406</v>
      </c>
      <c r="E1496" s="6" t="str">
        <f>HYPERLINK("https://twitter.com/petrogustavo/status/1219636017650700291","1219636017650700291")</f>
        <v>1219636017650700291</v>
      </c>
      <c r="F1496" s="7" t="s">
        <v>17</v>
      </c>
      <c r="G1496" s="7">
        <v>3614329</v>
      </c>
      <c r="H1496" s="7">
        <v>2352</v>
      </c>
      <c r="I1496" s="7">
        <v>501</v>
      </c>
      <c r="J1496" s="7">
        <v>0</v>
      </c>
      <c r="K1496" s="7" t="s">
        <v>18</v>
      </c>
      <c r="L1496" s="8">
        <v>39987.315405092595</v>
      </c>
      <c r="M1496" s="9" t="s">
        <v>19</v>
      </c>
      <c r="N1496" s="9" t="s">
        <v>20</v>
      </c>
      <c r="O1496" s="6" t="str">
        <f>HYPERLINK("https://pbs.twimg.com/profile_images/962471262747529216/Uo8lOkRJ_normal.jpg","View")</f>
        <v>View</v>
      </c>
      <c r="P1496" s="7"/>
    </row>
    <row r="1497" spans="1:16">
      <c r="A1497" s="3">
        <v>43851.871261574073</v>
      </c>
      <c r="B1497" s="4" t="str">
        <f>HYPERLINK("https://twitter.com/petrogustavo","@petrogustavo")</f>
        <v>@petrogustavo</v>
      </c>
      <c r="C1497" s="5" t="s">
        <v>16</v>
      </c>
      <c r="D1497" s="5" t="s">
        <v>1471</v>
      </c>
      <c r="E1497" s="6" t="str">
        <f>HYPERLINK("https://twitter.com/petrogustavo/status/1219641957644894208","1219641957644894208")</f>
        <v>1219641957644894208</v>
      </c>
      <c r="F1497" s="7" t="s">
        <v>17</v>
      </c>
      <c r="G1497" s="7">
        <v>3614378</v>
      </c>
      <c r="H1497" s="7">
        <v>2352</v>
      </c>
      <c r="I1497" s="7">
        <v>160</v>
      </c>
      <c r="J1497" s="7">
        <v>0</v>
      </c>
      <c r="K1497" s="7" t="s">
        <v>18</v>
      </c>
      <c r="L1497" s="8">
        <v>39987.315405092595</v>
      </c>
      <c r="M1497" s="9" t="s">
        <v>19</v>
      </c>
      <c r="N1497" s="9" t="s">
        <v>20</v>
      </c>
      <c r="O1497" s="6" t="str">
        <f>HYPERLINK("https://pbs.twimg.com/profile_images/962471262747529216/Uo8lOkRJ_normal.jpg","View")</f>
        <v>View</v>
      </c>
      <c r="P1497" s="7"/>
    </row>
    <row r="1498" spans="1:16">
      <c r="A1498" s="3">
        <v>43851.878136574072</v>
      </c>
      <c r="B1498" s="4" t="str">
        <f>HYPERLINK("https://twitter.com/petrogustavo","@petrogustavo")</f>
        <v>@petrogustavo</v>
      </c>
      <c r="C1498" s="5" t="s">
        <v>16</v>
      </c>
      <c r="D1498" s="5" t="s">
        <v>1472</v>
      </c>
      <c r="E1498" s="6" t="str">
        <f>HYPERLINK("https://twitter.com/petrogustavo/status/1219644451083182085","1219644451083182085")</f>
        <v>1219644451083182085</v>
      </c>
      <c r="F1498" s="7" t="s">
        <v>17</v>
      </c>
      <c r="G1498" s="7">
        <v>3614378</v>
      </c>
      <c r="H1498" s="7">
        <v>2352</v>
      </c>
      <c r="I1498" s="7">
        <v>28</v>
      </c>
      <c r="J1498" s="7">
        <v>0</v>
      </c>
      <c r="K1498" s="7" t="s">
        <v>18</v>
      </c>
      <c r="L1498" s="8">
        <v>39987.315405092595</v>
      </c>
      <c r="M1498" s="9" t="s">
        <v>19</v>
      </c>
      <c r="N1498" s="9" t="s">
        <v>20</v>
      </c>
      <c r="O1498" s="6" t="str">
        <f>HYPERLINK("https://pbs.twimg.com/profile_images/962471262747529216/Uo8lOkRJ_normal.jpg","View")</f>
        <v>View</v>
      </c>
      <c r="P1498" s="7"/>
    </row>
    <row r="1499" spans="1:16">
      <c r="A1499" s="3">
        <v>43851.878541666665</v>
      </c>
      <c r="B1499" s="4" t="str">
        <f>HYPERLINK("https://twitter.com/petrogustavo","@petrogustavo")</f>
        <v>@petrogustavo</v>
      </c>
      <c r="C1499" s="5" t="s">
        <v>16</v>
      </c>
      <c r="D1499" s="5" t="s">
        <v>1406</v>
      </c>
      <c r="E1499" s="6" t="str">
        <f>HYPERLINK("https://twitter.com/petrogustavo/status/1219644595090415616","1219644595090415616")</f>
        <v>1219644595090415616</v>
      </c>
      <c r="F1499" s="7" t="s">
        <v>17</v>
      </c>
      <c r="G1499" s="7">
        <v>3614378</v>
      </c>
      <c r="H1499" s="7">
        <v>2352</v>
      </c>
      <c r="I1499" s="7">
        <v>519</v>
      </c>
      <c r="J1499" s="7">
        <v>0</v>
      </c>
      <c r="K1499" s="7" t="s">
        <v>18</v>
      </c>
      <c r="L1499" s="8">
        <v>39987.315405092595</v>
      </c>
      <c r="M1499" s="9" t="s">
        <v>19</v>
      </c>
      <c r="N1499" s="9" t="s">
        <v>20</v>
      </c>
      <c r="O1499" s="6" t="str">
        <f>HYPERLINK("https://pbs.twimg.com/profile_images/962471262747529216/Uo8lOkRJ_normal.jpg","View")</f>
        <v>View</v>
      </c>
      <c r="P1499" s="7"/>
    </row>
    <row r="1500" spans="1:16">
      <c r="A1500" s="3">
        <v>43851.927604166667</v>
      </c>
      <c r="B1500" s="4" t="str">
        <f>HYPERLINK("https://twitter.com/petrogustavo","@petrogustavo")</f>
        <v>@petrogustavo</v>
      </c>
      <c r="C1500" s="5" t="s">
        <v>16</v>
      </c>
      <c r="D1500" s="5" t="s">
        <v>1473</v>
      </c>
      <c r="E1500" s="6" t="str">
        <f>HYPERLINK("https://twitter.com/petrogustavo/status/1219662375781117952","1219662375781117952")</f>
        <v>1219662375781117952</v>
      </c>
      <c r="F1500" s="7" t="s">
        <v>17</v>
      </c>
      <c r="G1500" s="7">
        <v>3614429</v>
      </c>
      <c r="H1500" s="7">
        <v>2352</v>
      </c>
      <c r="I1500" s="7">
        <v>41</v>
      </c>
      <c r="J1500" s="7">
        <v>0</v>
      </c>
      <c r="K1500" s="7" t="s">
        <v>18</v>
      </c>
      <c r="L1500" s="8">
        <v>39987.315405092595</v>
      </c>
      <c r="M1500" s="9" t="s">
        <v>19</v>
      </c>
      <c r="N1500" s="9" t="s">
        <v>20</v>
      </c>
      <c r="O1500" s="6" t="str">
        <f>HYPERLINK("https://pbs.twimg.com/profile_images/962471262747529216/Uo8lOkRJ_normal.jpg","View")</f>
        <v>View</v>
      </c>
      <c r="P1500" s="7"/>
    </row>
    <row r="1501" spans="1:16">
      <c r="A1501" s="3">
        <v>43851.927731481483</v>
      </c>
      <c r="B1501" s="4" t="str">
        <f>HYPERLINK("https://twitter.com/petrogustavo","@petrogustavo")</f>
        <v>@petrogustavo</v>
      </c>
      <c r="C1501" s="5" t="s">
        <v>16</v>
      </c>
      <c r="D1501" s="5" t="s">
        <v>1474</v>
      </c>
      <c r="E1501" s="6" t="str">
        <f>HYPERLINK("https://twitter.com/petrogustavo/status/1219662423747178499","1219662423747178499")</f>
        <v>1219662423747178499</v>
      </c>
      <c r="F1501" s="7" t="s">
        <v>17</v>
      </c>
      <c r="G1501" s="7">
        <v>3614429</v>
      </c>
      <c r="H1501" s="7">
        <v>2352</v>
      </c>
      <c r="I1501" s="7">
        <v>6</v>
      </c>
      <c r="J1501" s="7">
        <v>0</v>
      </c>
      <c r="K1501" s="7" t="s">
        <v>18</v>
      </c>
      <c r="L1501" s="8">
        <v>39987.315405092595</v>
      </c>
      <c r="M1501" s="9" t="s">
        <v>19</v>
      </c>
      <c r="N1501" s="9" t="s">
        <v>20</v>
      </c>
      <c r="O1501" s="6" t="str">
        <f>HYPERLINK("https://pbs.twimg.com/profile_images/962471262747529216/Uo8lOkRJ_normal.jpg","View")</f>
        <v>View</v>
      </c>
      <c r="P1501" s="7"/>
    </row>
    <row r="1502" spans="1:16">
      <c r="A1502" s="3">
        <v>43851.93986111111</v>
      </c>
      <c r="B1502" s="4" t="str">
        <f>HYPERLINK("https://twitter.com/petrogustavo","@petrogustavo")</f>
        <v>@petrogustavo</v>
      </c>
      <c r="C1502" s="5" t="s">
        <v>16</v>
      </c>
      <c r="D1502" s="5" t="s">
        <v>1475</v>
      </c>
      <c r="E1502" s="6" t="str">
        <f>HYPERLINK("https://twitter.com/petrogustavo/status/1219666818463387648","1219666818463387648")</f>
        <v>1219666818463387648</v>
      </c>
      <c r="F1502" s="7" t="s">
        <v>17</v>
      </c>
      <c r="G1502" s="7">
        <v>3614458</v>
      </c>
      <c r="H1502" s="7">
        <v>2352</v>
      </c>
      <c r="I1502" s="7">
        <v>55</v>
      </c>
      <c r="J1502" s="7">
        <v>0</v>
      </c>
      <c r="K1502" s="7" t="s">
        <v>18</v>
      </c>
      <c r="L1502" s="8">
        <v>39987.315405092595</v>
      </c>
      <c r="M1502" s="9" t="s">
        <v>19</v>
      </c>
      <c r="N1502" s="9" t="s">
        <v>20</v>
      </c>
      <c r="O1502" s="6" t="str">
        <f>HYPERLINK("https://pbs.twimg.com/profile_images/962471262747529216/Uo8lOkRJ_normal.jpg","View")</f>
        <v>View</v>
      </c>
      <c r="P1502" s="7"/>
    </row>
    <row r="1503" spans="1:16">
      <c r="A1503" s="3">
        <v>43851.940196759257</v>
      </c>
      <c r="B1503" s="4" t="str">
        <f>HYPERLINK("https://twitter.com/petrogustavo","@petrogustavo")</f>
        <v>@petrogustavo</v>
      </c>
      <c r="C1503" s="5" t="s">
        <v>16</v>
      </c>
      <c r="D1503" s="5" t="s">
        <v>1476</v>
      </c>
      <c r="E1503" s="6" t="str">
        <f>HYPERLINK("https://twitter.com/petrogustavo/status/1219666939116707840","1219666939116707840")</f>
        <v>1219666939116707840</v>
      </c>
      <c r="F1503" s="7" t="s">
        <v>17</v>
      </c>
      <c r="G1503" s="7">
        <v>3614458</v>
      </c>
      <c r="H1503" s="7">
        <v>2352</v>
      </c>
      <c r="I1503" s="7">
        <v>40</v>
      </c>
      <c r="J1503" s="7">
        <v>0</v>
      </c>
      <c r="K1503" s="7" t="s">
        <v>18</v>
      </c>
      <c r="L1503" s="8">
        <v>39987.315405092595</v>
      </c>
      <c r="M1503" s="9" t="s">
        <v>19</v>
      </c>
      <c r="N1503" s="9" t="s">
        <v>20</v>
      </c>
      <c r="O1503" s="6" t="str">
        <f>HYPERLINK("https://pbs.twimg.com/profile_images/962471262747529216/Uo8lOkRJ_normal.jpg","View")</f>
        <v>View</v>
      </c>
      <c r="P1503" s="7"/>
    </row>
    <row r="1504" spans="1:16">
      <c r="A1504" s="3">
        <v>43851.940254629633</v>
      </c>
      <c r="B1504" s="4" t="str">
        <f>HYPERLINK("https://twitter.com/petrogustavo","@petrogustavo")</f>
        <v>@petrogustavo</v>
      </c>
      <c r="C1504" s="5" t="s">
        <v>16</v>
      </c>
      <c r="D1504" s="5" t="s">
        <v>1477</v>
      </c>
      <c r="E1504" s="6" t="str">
        <f>HYPERLINK("https://twitter.com/petrogustavo/status/1219666959236849664","1219666959236849664")</f>
        <v>1219666959236849664</v>
      </c>
      <c r="F1504" s="7" t="s">
        <v>17</v>
      </c>
      <c r="G1504" s="7">
        <v>3614458</v>
      </c>
      <c r="H1504" s="7">
        <v>2352</v>
      </c>
      <c r="I1504" s="7">
        <v>30</v>
      </c>
      <c r="J1504" s="7">
        <v>0</v>
      </c>
      <c r="K1504" s="7" t="s">
        <v>18</v>
      </c>
      <c r="L1504" s="8">
        <v>39987.315405092595</v>
      </c>
      <c r="M1504" s="9" t="s">
        <v>19</v>
      </c>
      <c r="N1504" s="9" t="s">
        <v>20</v>
      </c>
      <c r="O1504" s="6" t="str">
        <f>HYPERLINK("https://pbs.twimg.com/profile_images/962471262747529216/Uo8lOkRJ_normal.jpg","View")</f>
        <v>View</v>
      </c>
      <c r="P1504" s="7"/>
    </row>
    <row r="1505" spans="1:16">
      <c r="A1505" s="3">
        <v>43851.94127314815</v>
      </c>
      <c r="B1505" s="4" t="str">
        <f>HYPERLINK("https://twitter.com/petrogustavo","@petrogustavo")</f>
        <v>@petrogustavo</v>
      </c>
      <c r="C1505" s="5" t="s">
        <v>16</v>
      </c>
      <c r="D1505" s="5" t="s">
        <v>1478</v>
      </c>
      <c r="E1505" s="6" t="str">
        <f>HYPERLINK("https://twitter.com/petrogustavo/status/1219667331191885833","1219667331191885833")</f>
        <v>1219667331191885833</v>
      </c>
      <c r="F1505" s="7" t="s">
        <v>17</v>
      </c>
      <c r="G1505" s="7">
        <v>3614458</v>
      </c>
      <c r="H1505" s="7">
        <v>2352</v>
      </c>
      <c r="I1505" s="7">
        <v>33</v>
      </c>
      <c r="J1505" s="7">
        <v>0</v>
      </c>
      <c r="K1505" s="7" t="s">
        <v>18</v>
      </c>
      <c r="L1505" s="8">
        <v>39987.315405092595</v>
      </c>
      <c r="M1505" s="9" t="s">
        <v>19</v>
      </c>
      <c r="N1505" s="9" t="s">
        <v>20</v>
      </c>
      <c r="O1505" s="6" t="str">
        <f>HYPERLINK("https://pbs.twimg.com/profile_images/962471262747529216/Uo8lOkRJ_normal.jpg","View")</f>
        <v>View</v>
      </c>
      <c r="P1505" s="7"/>
    </row>
    <row r="1506" spans="1:16">
      <c r="A1506" s="3">
        <v>43851.941527777773</v>
      </c>
      <c r="B1506" s="4" t="str">
        <f>HYPERLINK("https://twitter.com/petrogustavo","@petrogustavo")</f>
        <v>@petrogustavo</v>
      </c>
      <c r="C1506" s="5" t="s">
        <v>16</v>
      </c>
      <c r="D1506" s="5" t="s">
        <v>1479</v>
      </c>
      <c r="E1506" s="6" t="str">
        <f>HYPERLINK("https://twitter.com/petrogustavo/status/1219667421524635649","1219667421524635649")</f>
        <v>1219667421524635649</v>
      </c>
      <c r="F1506" s="7" t="s">
        <v>17</v>
      </c>
      <c r="G1506" s="7">
        <v>3614458</v>
      </c>
      <c r="H1506" s="7">
        <v>2352</v>
      </c>
      <c r="I1506" s="7">
        <v>45</v>
      </c>
      <c r="J1506" s="7">
        <v>0</v>
      </c>
      <c r="K1506" s="7" t="s">
        <v>18</v>
      </c>
      <c r="L1506" s="8">
        <v>39987.315405092595</v>
      </c>
      <c r="M1506" s="9" t="s">
        <v>19</v>
      </c>
      <c r="N1506" s="9" t="s">
        <v>20</v>
      </c>
      <c r="O1506" s="6" t="str">
        <f>HYPERLINK("https://pbs.twimg.com/profile_images/962471262747529216/Uo8lOkRJ_normal.jpg","View")</f>
        <v>View</v>
      </c>
      <c r="P1506" s="7"/>
    </row>
    <row r="1507" spans="1:16">
      <c r="A1507" s="3">
        <v>43851.942164351851</v>
      </c>
      <c r="B1507" s="4" t="str">
        <f>HYPERLINK("https://twitter.com/petrogustavo","@petrogustavo")</f>
        <v>@petrogustavo</v>
      </c>
      <c r="C1507" s="5" t="s">
        <v>16</v>
      </c>
      <c r="D1507" s="5" t="s">
        <v>1480</v>
      </c>
      <c r="E1507" s="6" t="str">
        <f>HYPERLINK("https://twitter.com/petrogustavo/status/1219667653616336897","1219667653616336897")</f>
        <v>1219667653616336897</v>
      </c>
      <c r="F1507" s="7" t="s">
        <v>17</v>
      </c>
      <c r="G1507" s="7">
        <v>3614458</v>
      </c>
      <c r="H1507" s="7">
        <v>2352</v>
      </c>
      <c r="I1507" s="7">
        <v>18</v>
      </c>
      <c r="J1507" s="7">
        <v>0</v>
      </c>
      <c r="K1507" s="7" t="s">
        <v>18</v>
      </c>
      <c r="L1507" s="8">
        <v>39987.315405092595</v>
      </c>
      <c r="M1507" s="9" t="s">
        <v>19</v>
      </c>
      <c r="N1507" s="9" t="s">
        <v>20</v>
      </c>
      <c r="O1507" s="6" t="str">
        <f>HYPERLINK("https://pbs.twimg.com/profile_images/962471262747529216/Uo8lOkRJ_normal.jpg","View")</f>
        <v>View</v>
      </c>
      <c r="P1507" s="7"/>
    </row>
    <row r="1508" spans="1:16">
      <c r="A1508" s="3">
        <v>43851.942430555559</v>
      </c>
      <c r="B1508" s="4" t="str">
        <f>HYPERLINK("https://twitter.com/petrogustavo","@petrogustavo")</f>
        <v>@petrogustavo</v>
      </c>
      <c r="C1508" s="5" t="s">
        <v>16</v>
      </c>
      <c r="D1508" s="5" t="s">
        <v>1481</v>
      </c>
      <c r="E1508" s="6" t="str">
        <f>HYPERLINK("https://twitter.com/petrogustavo/status/1219667749359759361","1219667749359759361")</f>
        <v>1219667749359759361</v>
      </c>
      <c r="F1508" s="7" t="s">
        <v>17</v>
      </c>
      <c r="G1508" s="7">
        <v>3614458</v>
      </c>
      <c r="H1508" s="7">
        <v>2352</v>
      </c>
      <c r="I1508" s="7">
        <v>32</v>
      </c>
      <c r="J1508" s="7">
        <v>0</v>
      </c>
      <c r="K1508" s="7" t="s">
        <v>18</v>
      </c>
      <c r="L1508" s="8">
        <v>39987.315405092595</v>
      </c>
      <c r="M1508" s="9" t="s">
        <v>19</v>
      </c>
      <c r="N1508" s="9" t="s">
        <v>20</v>
      </c>
      <c r="O1508" s="6" t="str">
        <f>HYPERLINK("https://pbs.twimg.com/profile_images/962471262747529216/Uo8lOkRJ_normal.jpg","View")</f>
        <v>View</v>
      </c>
      <c r="P1508" s="7"/>
    </row>
    <row r="1509" spans="1:16">
      <c r="A1509" s="3">
        <v>43851.945370370369</v>
      </c>
      <c r="B1509" s="4" t="str">
        <f>HYPERLINK("https://twitter.com/petrogustavo","@petrogustavo")</f>
        <v>@petrogustavo</v>
      </c>
      <c r="C1509" s="5" t="s">
        <v>16</v>
      </c>
      <c r="D1509" s="5" t="s">
        <v>1482</v>
      </c>
      <c r="E1509" s="6" t="str">
        <f>HYPERLINK("https://twitter.com/petrogustavo/status/1219668814025121793","1219668814025121793")</f>
        <v>1219668814025121793</v>
      </c>
      <c r="F1509" s="7" t="s">
        <v>17</v>
      </c>
      <c r="G1509" s="7">
        <v>3614458</v>
      </c>
      <c r="H1509" s="7">
        <v>2352</v>
      </c>
      <c r="I1509" s="7">
        <v>61</v>
      </c>
      <c r="J1509" s="7">
        <v>0</v>
      </c>
      <c r="K1509" s="7" t="s">
        <v>18</v>
      </c>
      <c r="L1509" s="8">
        <v>39987.315405092595</v>
      </c>
      <c r="M1509" s="9" t="s">
        <v>19</v>
      </c>
      <c r="N1509" s="9" t="s">
        <v>20</v>
      </c>
      <c r="O1509" s="6" t="str">
        <f>HYPERLINK("https://pbs.twimg.com/profile_images/962471262747529216/Uo8lOkRJ_normal.jpg","View")</f>
        <v>View</v>
      </c>
      <c r="P1509" s="7"/>
    </row>
    <row r="1510" spans="1:16">
      <c r="A1510" s="3">
        <v>43851.945694444439</v>
      </c>
      <c r="B1510" s="4" t="str">
        <f>HYPERLINK("https://twitter.com/petrogustavo","@petrogustavo")</f>
        <v>@petrogustavo</v>
      </c>
      <c r="C1510" s="5" t="s">
        <v>16</v>
      </c>
      <c r="D1510" s="5" t="s">
        <v>1483</v>
      </c>
      <c r="E1510" s="6" t="str">
        <f>HYPERLINK("https://twitter.com/petrogustavo/status/1219668933114056708","1219668933114056708")</f>
        <v>1219668933114056708</v>
      </c>
      <c r="F1510" s="7" t="s">
        <v>17</v>
      </c>
      <c r="G1510" s="7">
        <v>3614458</v>
      </c>
      <c r="H1510" s="7">
        <v>2352</v>
      </c>
      <c r="I1510" s="7">
        <v>26</v>
      </c>
      <c r="J1510" s="7">
        <v>0</v>
      </c>
      <c r="K1510" s="7" t="s">
        <v>18</v>
      </c>
      <c r="L1510" s="8">
        <v>39987.315405092595</v>
      </c>
      <c r="M1510" s="9" t="s">
        <v>19</v>
      </c>
      <c r="N1510" s="9" t="s">
        <v>20</v>
      </c>
      <c r="O1510" s="6" t="str">
        <f>HYPERLINK("https://pbs.twimg.com/profile_images/962471262747529216/Uo8lOkRJ_normal.jpg","View")</f>
        <v>View</v>
      </c>
      <c r="P1510" s="7"/>
    </row>
    <row r="1511" spans="1:16">
      <c r="A1511" s="3">
        <v>43851.947291666671</v>
      </c>
      <c r="B1511" s="4" t="str">
        <f>HYPERLINK("https://twitter.com/petrogustavo","@petrogustavo")</f>
        <v>@petrogustavo</v>
      </c>
      <c r="C1511" s="5" t="s">
        <v>16</v>
      </c>
      <c r="D1511" s="5" t="s">
        <v>1484</v>
      </c>
      <c r="E1511" s="6" t="str">
        <f>HYPERLINK("https://twitter.com/petrogustavo/status/1219669511265292288","1219669511265292288")</f>
        <v>1219669511265292288</v>
      </c>
      <c r="F1511" s="7" t="s">
        <v>17</v>
      </c>
      <c r="G1511" s="7">
        <v>3614458</v>
      </c>
      <c r="H1511" s="7">
        <v>2352</v>
      </c>
      <c r="I1511" s="7">
        <v>39</v>
      </c>
      <c r="J1511" s="7">
        <v>123</v>
      </c>
      <c r="K1511" s="7" t="s">
        <v>18</v>
      </c>
      <c r="L1511" s="8">
        <v>39987.315405092595</v>
      </c>
      <c r="M1511" s="9" t="s">
        <v>19</v>
      </c>
      <c r="N1511" s="9" t="s">
        <v>20</v>
      </c>
      <c r="O1511" s="6" t="str">
        <f>HYPERLINK("https://pbs.twimg.com/profile_images/962471262747529216/Uo8lOkRJ_normal.jpg","View")</f>
        <v>View</v>
      </c>
      <c r="P1511" s="7"/>
    </row>
    <row r="1512" spans="1:16">
      <c r="A1512" s="3">
        <v>43851.947465277779</v>
      </c>
      <c r="B1512" s="4" t="str">
        <f>HYPERLINK("https://twitter.com/petrogustavo","@petrogustavo")</f>
        <v>@petrogustavo</v>
      </c>
      <c r="C1512" s="5" t="s">
        <v>16</v>
      </c>
      <c r="D1512" s="5" t="s">
        <v>1485</v>
      </c>
      <c r="E1512" s="6" t="str">
        <f>HYPERLINK("https://twitter.com/petrogustavo/status/1219669575157125121","1219669575157125121")</f>
        <v>1219669575157125121</v>
      </c>
      <c r="F1512" s="7" t="s">
        <v>17</v>
      </c>
      <c r="G1512" s="7">
        <v>3614458</v>
      </c>
      <c r="H1512" s="7">
        <v>2352</v>
      </c>
      <c r="I1512" s="7">
        <v>2</v>
      </c>
      <c r="J1512" s="7">
        <v>0</v>
      </c>
      <c r="K1512" s="7" t="s">
        <v>18</v>
      </c>
      <c r="L1512" s="8">
        <v>39987.315405092595</v>
      </c>
      <c r="M1512" s="9" t="s">
        <v>19</v>
      </c>
      <c r="N1512" s="9" t="s">
        <v>20</v>
      </c>
      <c r="O1512" s="6" t="str">
        <f>HYPERLINK("https://pbs.twimg.com/profile_images/962471262747529216/Uo8lOkRJ_normal.jpg","View")</f>
        <v>View</v>
      </c>
      <c r="P1512" s="7"/>
    </row>
    <row r="1513" spans="1:16">
      <c r="A1513" s="3">
        <v>43851.947499999995</v>
      </c>
      <c r="B1513" s="4" t="str">
        <f>HYPERLINK("https://twitter.com/petrogustavo","@petrogustavo")</f>
        <v>@petrogustavo</v>
      </c>
      <c r="C1513" s="5" t="s">
        <v>16</v>
      </c>
      <c r="D1513" s="5" t="s">
        <v>1486</v>
      </c>
      <c r="E1513" s="6" t="str">
        <f>HYPERLINK("https://twitter.com/petrogustavo/status/1219669586305601537","1219669586305601537")</f>
        <v>1219669586305601537</v>
      </c>
      <c r="F1513" s="7" t="s">
        <v>17</v>
      </c>
      <c r="G1513" s="7">
        <v>3614458</v>
      </c>
      <c r="H1513" s="7">
        <v>2352</v>
      </c>
      <c r="I1513" s="7">
        <v>3</v>
      </c>
      <c r="J1513" s="7">
        <v>0</v>
      </c>
      <c r="K1513" s="7" t="s">
        <v>18</v>
      </c>
      <c r="L1513" s="8">
        <v>39987.315405092595</v>
      </c>
      <c r="M1513" s="9" t="s">
        <v>19</v>
      </c>
      <c r="N1513" s="9" t="s">
        <v>20</v>
      </c>
      <c r="O1513" s="6" t="str">
        <f>HYPERLINK("https://pbs.twimg.com/profile_images/962471262747529216/Uo8lOkRJ_normal.jpg","View")</f>
        <v>View</v>
      </c>
      <c r="P1513" s="7"/>
    </row>
    <row r="1514" spans="1:16">
      <c r="A1514" s="3">
        <v>43851.947650462964</v>
      </c>
      <c r="B1514" s="4" t="str">
        <f>HYPERLINK("https://twitter.com/petrogustavo","@petrogustavo")</f>
        <v>@petrogustavo</v>
      </c>
      <c r="C1514" s="5" t="s">
        <v>16</v>
      </c>
      <c r="D1514" s="5" t="s">
        <v>1487</v>
      </c>
      <c r="E1514" s="6" t="str">
        <f>HYPERLINK("https://twitter.com/petrogustavo/status/1219669639858401289","1219669639858401289")</f>
        <v>1219669639858401289</v>
      </c>
      <c r="F1514" s="7" t="s">
        <v>17</v>
      </c>
      <c r="G1514" s="7">
        <v>3614458</v>
      </c>
      <c r="H1514" s="7">
        <v>2352</v>
      </c>
      <c r="I1514" s="7">
        <v>3</v>
      </c>
      <c r="J1514" s="7">
        <v>0</v>
      </c>
      <c r="K1514" s="7" t="s">
        <v>18</v>
      </c>
      <c r="L1514" s="8">
        <v>39987.315405092595</v>
      </c>
      <c r="M1514" s="9" t="s">
        <v>19</v>
      </c>
      <c r="N1514" s="9" t="s">
        <v>20</v>
      </c>
      <c r="O1514" s="6" t="str">
        <f>HYPERLINK("https://pbs.twimg.com/profile_images/962471262747529216/Uo8lOkRJ_normal.jpg","View")</f>
        <v>View</v>
      </c>
      <c r="P1514" s="7"/>
    </row>
    <row r="1515" spans="1:16">
      <c r="A1515" s="3">
        <v>43851.947766203702</v>
      </c>
      <c r="B1515" s="4" t="str">
        <f>HYPERLINK("https://twitter.com/petrogustavo","@petrogustavo")</f>
        <v>@petrogustavo</v>
      </c>
      <c r="C1515" s="5" t="s">
        <v>16</v>
      </c>
      <c r="D1515" s="5" t="s">
        <v>1488</v>
      </c>
      <c r="E1515" s="6" t="str">
        <f>HYPERLINK("https://twitter.com/petrogustavo/status/1219669682640257029","1219669682640257029")</f>
        <v>1219669682640257029</v>
      </c>
      <c r="F1515" s="7" t="s">
        <v>17</v>
      </c>
      <c r="G1515" s="7">
        <v>3614458</v>
      </c>
      <c r="H1515" s="7">
        <v>2352</v>
      </c>
      <c r="I1515" s="7">
        <v>110</v>
      </c>
      <c r="J1515" s="7">
        <v>0</v>
      </c>
      <c r="K1515" s="7" t="s">
        <v>18</v>
      </c>
      <c r="L1515" s="8">
        <v>39987.315405092595</v>
      </c>
      <c r="M1515" s="9" t="s">
        <v>19</v>
      </c>
      <c r="N1515" s="9" t="s">
        <v>20</v>
      </c>
      <c r="O1515" s="6" t="str">
        <f>HYPERLINK("https://pbs.twimg.com/profile_images/962471262747529216/Uo8lOkRJ_normal.jpg","View")</f>
        <v>View</v>
      </c>
      <c r="P1515" s="7"/>
    </row>
    <row r="1516" spans="1:16">
      <c r="A1516" s="3">
        <v>43851.951018518521</v>
      </c>
      <c r="B1516" s="4" t="str">
        <f>HYPERLINK("https://twitter.com/petrogustavo","@petrogustavo")</f>
        <v>@petrogustavo</v>
      </c>
      <c r="C1516" s="5" t="s">
        <v>16</v>
      </c>
      <c r="D1516" s="5" t="s">
        <v>1489</v>
      </c>
      <c r="E1516" s="6" t="str">
        <f>HYPERLINK("https://twitter.com/petrogustavo/status/1219670861525004290","1219670861525004290")</f>
        <v>1219670861525004290</v>
      </c>
      <c r="F1516" s="7" t="s">
        <v>17</v>
      </c>
      <c r="G1516" s="7">
        <v>3614510</v>
      </c>
      <c r="H1516" s="7">
        <v>2352</v>
      </c>
      <c r="I1516" s="7">
        <v>231</v>
      </c>
      <c r="J1516" s="7">
        <v>600</v>
      </c>
      <c r="K1516" s="7" t="s">
        <v>18</v>
      </c>
      <c r="L1516" s="8">
        <v>39987.315405092595</v>
      </c>
      <c r="M1516" s="9" t="s">
        <v>19</v>
      </c>
      <c r="N1516" s="9" t="s">
        <v>20</v>
      </c>
      <c r="O1516" s="6" t="str">
        <f>HYPERLINK("https://pbs.twimg.com/profile_images/962471262747529216/Uo8lOkRJ_normal.jpg","View")</f>
        <v>View</v>
      </c>
      <c r="P1516" s="7"/>
    </row>
    <row r="1517" spans="1:16">
      <c r="A1517" s="3">
        <v>43851.955474537041</v>
      </c>
      <c r="B1517" s="4" t="str">
        <f>HYPERLINK("https://twitter.com/petrogustavo","@petrogustavo")</f>
        <v>@petrogustavo</v>
      </c>
      <c r="C1517" s="5" t="s">
        <v>16</v>
      </c>
      <c r="D1517" s="5" t="s">
        <v>1490</v>
      </c>
      <c r="E1517" s="6" t="str">
        <f>HYPERLINK("https://twitter.com/petrogustavo/status/1219672475103125504","1219672475103125504")</f>
        <v>1219672475103125504</v>
      </c>
      <c r="F1517" s="7" t="s">
        <v>17</v>
      </c>
      <c r="G1517" s="7">
        <v>3614510</v>
      </c>
      <c r="H1517" s="7">
        <v>2352</v>
      </c>
      <c r="I1517" s="7">
        <v>247</v>
      </c>
      <c r="J1517" s="7">
        <v>0</v>
      </c>
      <c r="K1517" s="7" t="s">
        <v>18</v>
      </c>
      <c r="L1517" s="8">
        <v>39987.315405092595</v>
      </c>
      <c r="M1517" s="9" t="s">
        <v>19</v>
      </c>
      <c r="N1517" s="9" t="s">
        <v>20</v>
      </c>
      <c r="O1517" s="6" t="str">
        <f>HYPERLINK("https://pbs.twimg.com/profile_images/962471262747529216/Uo8lOkRJ_normal.jpg","View")</f>
        <v>View</v>
      </c>
      <c r="P1517" s="7"/>
    </row>
    <row r="1518" spans="1:16">
      <c r="A1518" s="3">
        <v>43851.956145833334</v>
      </c>
      <c r="B1518" s="4" t="str">
        <f>HYPERLINK("https://twitter.com/petrogustavo","@petrogustavo")</f>
        <v>@petrogustavo</v>
      </c>
      <c r="C1518" s="5" t="s">
        <v>16</v>
      </c>
      <c r="D1518" s="5" t="s">
        <v>1491</v>
      </c>
      <c r="E1518" s="6" t="str">
        <f>HYPERLINK("https://twitter.com/petrogustavo/status/1219672720184684545","1219672720184684545")</f>
        <v>1219672720184684545</v>
      </c>
      <c r="F1518" s="7" t="s">
        <v>17</v>
      </c>
      <c r="G1518" s="7">
        <v>3614510</v>
      </c>
      <c r="H1518" s="7">
        <v>2352</v>
      </c>
      <c r="I1518" s="7">
        <v>999</v>
      </c>
      <c r="J1518" s="7">
        <v>0</v>
      </c>
      <c r="K1518" s="7" t="s">
        <v>18</v>
      </c>
      <c r="L1518" s="8">
        <v>39987.315405092595</v>
      </c>
      <c r="M1518" s="9" t="s">
        <v>19</v>
      </c>
      <c r="N1518" s="9" t="s">
        <v>20</v>
      </c>
      <c r="O1518" s="6" t="str">
        <f>HYPERLINK("https://pbs.twimg.com/profile_images/962471262747529216/Uo8lOkRJ_normal.jpg","View")</f>
        <v>View</v>
      </c>
      <c r="P1518" s="7"/>
    </row>
    <row r="1519" spans="1:16">
      <c r="A1519" s="3">
        <v>43851.957314814819</v>
      </c>
      <c r="B1519" s="4" t="str">
        <f>HYPERLINK("https://twitter.com/petrogustavo","@petrogustavo")</f>
        <v>@petrogustavo</v>
      </c>
      <c r="C1519" s="5" t="s">
        <v>16</v>
      </c>
      <c r="D1519" s="5" t="s">
        <v>1492</v>
      </c>
      <c r="E1519" s="6" t="str">
        <f>HYPERLINK("https://twitter.com/petrogustavo/status/1219673142702100480","1219673142702100480")</f>
        <v>1219673142702100480</v>
      </c>
      <c r="F1519" s="7" t="s">
        <v>17</v>
      </c>
      <c r="G1519" s="7">
        <v>3614510</v>
      </c>
      <c r="H1519" s="7">
        <v>2352</v>
      </c>
      <c r="I1519" s="7">
        <v>91</v>
      </c>
      <c r="J1519" s="7">
        <v>280</v>
      </c>
      <c r="K1519" s="7" t="s">
        <v>18</v>
      </c>
      <c r="L1519" s="8">
        <v>39987.315405092595</v>
      </c>
      <c r="M1519" s="9" t="s">
        <v>19</v>
      </c>
      <c r="N1519" s="9" t="s">
        <v>20</v>
      </c>
      <c r="O1519" s="6" t="str">
        <f>HYPERLINK("https://pbs.twimg.com/profile_images/962471262747529216/Uo8lOkRJ_normal.jpg","View")</f>
        <v>View</v>
      </c>
      <c r="P1519" s="7"/>
    </row>
    <row r="1520" spans="1:16">
      <c r="A1520" s="3">
        <v>43851.957662037035</v>
      </c>
      <c r="B1520" s="4" t="str">
        <f>HYPERLINK("https://twitter.com/petrogustavo","@petrogustavo")</f>
        <v>@petrogustavo</v>
      </c>
      <c r="C1520" s="5" t="s">
        <v>16</v>
      </c>
      <c r="D1520" s="5" t="s">
        <v>1493</v>
      </c>
      <c r="E1520" s="6" t="str">
        <f>HYPERLINK("https://twitter.com/petrogustavo/status/1219673270414385152","1219673270414385152")</f>
        <v>1219673270414385152</v>
      </c>
      <c r="F1520" s="7" t="s">
        <v>17</v>
      </c>
      <c r="G1520" s="7">
        <v>3614510</v>
      </c>
      <c r="H1520" s="7">
        <v>2352</v>
      </c>
      <c r="I1520" s="7">
        <v>263</v>
      </c>
      <c r="J1520" s="7">
        <v>0</v>
      </c>
      <c r="K1520" s="7" t="s">
        <v>18</v>
      </c>
      <c r="L1520" s="8">
        <v>39987.315405092595</v>
      </c>
      <c r="M1520" s="9" t="s">
        <v>19</v>
      </c>
      <c r="N1520" s="9" t="s">
        <v>20</v>
      </c>
      <c r="O1520" s="6" t="str">
        <f>HYPERLINK("https://pbs.twimg.com/profile_images/962471262747529216/Uo8lOkRJ_normal.jpg","View")</f>
        <v>View</v>
      </c>
      <c r="P1520" s="7"/>
    </row>
    <row r="1521" spans="1:16">
      <c r="A1521" s="3">
        <v>43851.958865740744</v>
      </c>
      <c r="B1521" s="4" t="str">
        <f>HYPERLINK("https://twitter.com/petrogustavo","@petrogustavo")</f>
        <v>@petrogustavo</v>
      </c>
      <c r="C1521" s="5" t="s">
        <v>16</v>
      </c>
      <c r="D1521" s="5" t="s">
        <v>1494</v>
      </c>
      <c r="E1521" s="6" t="str">
        <f>HYPERLINK("https://twitter.com/petrogustavo/status/1219673706768883714","1219673706768883714")</f>
        <v>1219673706768883714</v>
      </c>
      <c r="F1521" s="7" t="s">
        <v>17</v>
      </c>
      <c r="G1521" s="7">
        <v>3614510</v>
      </c>
      <c r="H1521" s="7">
        <v>2352</v>
      </c>
      <c r="I1521" s="7">
        <v>183</v>
      </c>
      <c r="J1521" s="7">
        <v>314</v>
      </c>
      <c r="K1521" s="7" t="s">
        <v>18</v>
      </c>
      <c r="L1521" s="8">
        <v>39987.315405092595</v>
      </c>
      <c r="M1521" s="9" t="s">
        <v>19</v>
      </c>
      <c r="N1521" s="9" t="s">
        <v>20</v>
      </c>
      <c r="O1521" s="6" t="str">
        <f>HYPERLINK("https://pbs.twimg.com/profile_images/962471262747529216/Uo8lOkRJ_normal.jpg","View")</f>
        <v>View</v>
      </c>
      <c r="P1521" s="7"/>
    </row>
    <row r="1522" spans="1:16">
      <c r="A1522" s="3">
        <v>43851.960069444445</v>
      </c>
      <c r="B1522" s="4" t="str">
        <f>HYPERLINK("https://twitter.com/petrogustavo","@petrogustavo")</f>
        <v>@petrogustavo</v>
      </c>
      <c r="C1522" s="5" t="s">
        <v>16</v>
      </c>
      <c r="D1522" s="5" t="s">
        <v>1495</v>
      </c>
      <c r="E1522" s="6" t="str">
        <f>HYPERLINK("https://twitter.com/petrogustavo/status/1219674140698910720","1219674140698910720")</f>
        <v>1219674140698910720</v>
      </c>
      <c r="F1522" s="7" t="s">
        <v>17</v>
      </c>
      <c r="G1522" s="7">
        <v>3614510</v>
      </c>
      <c r="H1522" s="7">
        <v>2352</v>
      </c>
      <c r="I1522" s="7">
        <v>89</v>
      </c>
      <c r="J1522" s="7">
        <v>0</v>
      </c>
      <c r="K1522" s="7" t="s">
        <v>18</v>
      </c>
      <c r="L1522" s="8">
        <v>39987.315405092595</v>
      </c>
      <c r="M1522" s="9" t="s">
        <v>19</v>
      </c>
      <c r="N1522" s="9" t="s">
        <v>20</v>
      </c>
      <c r="O1522" s="6" t="str">
        <f>HYPERLINK("https://pbs.twimg.com/profile_images/962471262747529216/Uo8lOkRJ_normal.jpg","View")</f>
        <v>View</v>
      </c>
      <c r="P1522" s="7"/>
    </row>
    <row r="1523" spans="1:16">
      <c r="A1523" s="3">
        <v>43851.963101851856</v>
      </c>
      <c r="B1523" s="4" t="str">
        <f>HYPERLINK("https://twitter.com/petrogustavo","@petrogustavo")</f>
        <v>@petrogustavo</v>
      </c>
      <c r="C1523" s="5" t="s">
        <v>16</v>
      </c>
      <c r="D1523" s="5" t="s">
        <v>1496</v>
      </c>
      <c r="E1523" s="6" t="str">
        <f>HYPERLINK("https://twitter.com/petrogustavo/status/1219675241280167937","1219675241280167937")</f>
        <v>1219675241280167937</v>
      </c>
      <c r="F1523" s="7" t="s">
        <v>17</v>
      </c>
      <c r="G1523" s="7">
        <v>3614510</v>
      </c>
      <c r="H1523" s="7">
        <v>2352</v>
      </c>
      <c r="I1523" s="7">
        <v>19</v>
      </c>
      <c r="J1523" s="7">
        <v>0</v>
      </c>
      <c r="K1523" s="7" t="s">
        <v>18</v>
      </c>
      <c r="L1523" s="8">
        <v>39987.315405092595</v>
      </c>
      <c r="M1523" s="9" t="s">
        <v>19</v>
      </c>
      <c r="N1523" s="9" t="s">
        <v>20</v>
      </c>
      <c r="O1523" s="6" t="str">
        <f>HYPERLINK("https://pbs.twimg.com/profile_images/962471262747529216/Uo8lOkRJ_normal.jpg","View")</f>
        <v>View</v>
      </c>
      <c r="P1523" s="7"/>
    </row>
    <row r="1524" spans="1:16">
      <c r="A1524" s="3">
        <v>43851.965011574073</v>
      </c>
      <c r="B1524" s="4" t="str">
        <f>HYPERLINK("https://twitter.com/petrogustavo","@petrogustavo")</f>
        <v>@petrogustavo</v>
      </c>
      <c r="C1524" s="5" t="s">
        <v>16</v>
      </c>
      <c r="D1524" s="5" t="s">
        <v>1497</v>
      </c>
      <c r="E1524" s="6" t="str">
        <f>HYPERLINK("https://twitter.com/petrogustavo/status/1219675931553517574","1219675931553517574")</f>
        <v>1219675931553517574</v>
      </c>
      <c r="F1524" s="7" t="s">
        <v>17</v>
      </c>
      <c r="G1524" s="7">
        <v>3614510</v>
      </c>
      <c r="H1524" s="7">
        <v>2352</v>
      </c>
      <c r="I1524" s="7">
        <v>3110</v>
      </c>
      <c r="J1524" s="7">
        <v>0</v>
      </c>
      <c r="K1524" s="7" t="s">
        <v>18</v>
      </c>
      <c r="L1524" s="8">
        <v>39987.315405092595</v>
      </c>
      <c r="M1524" s="9" t="s">
        <v>19</v>
      </c>
      <c r="N1524" s="9" t="s">
        <v>20</v>
      </c>
      <c r="O1524" s="6" t="str">
        <f>HYPERLINK("https://pbs.twimg.com/profile_images/962471262747529216/Uo8lOkRJ_normal.jpg","View")</f>
        <v>View</v>
      </c>
      <c r="P1524" s="7"/>
    </row>
    <row r="1525" spans="1:16">
      <c r="A1525" s="3">
        <v>43851.968252314815</v>
      </c>
      <c r="B1525" s="4" t="str">
        <f>HYPERLINK("https://twitter.com/petrogustavo","@petrogustavo")</f>
        <v>@petrogustavo</v>
      </c>
      <c r="C1525" s="5" t="s">
        <v>16</v>
      </c>
      <c r="D1525" s="5" t="s">
        <v>1498</v>
      </c>
      <c r="E1525" s="6" t="str">
        <f>HYPERLINK("https://twitter.com/petrogustavo/status/1219677108303208453","1219677108303208453")</f>
        <v>1219677108303208453</v>
      </c>
      <c r="F1525" s="7" t="s">
        <v>17</v>
      </c>
      <c r="G1525" s="7">
        <v>3614510</v>
      </c>
      <c r="H1525" s="7">
        <v>2352</v>
      </c>
      <c r="I1525" s="7">
        <v>43</v>
      </c>
      <c r="J1525" s="7">
        <v>94</v>
      </c>
      <c r="K1525" s="7" t="s">
        <v>18</v>
      </c>
      <c r="L1525" s="8">
        <v>39987.315405092595</v>
      </c>
      <c r="M1525" s="9" t="s">
        <v>19</v>
      </c>
      <c r="N1525" s="9" t="s">
        <v>20</v>
      </c>
      <c r="O1525" s="6" t="str">
        <f>HYPERLINK("https://pbs.twimg.com/profile_images/962471262747529216/Uo8lOkRJ_normal.jpg","View")</f>
        <v>View</v>
      </c>
      <c r="P1525" s="7"/>
    </row>
    <row r="1526" spans="1:16">
      <c r="A1526" s="3">
        <v>43851.973819444444</v>
      </c>
      <c r="B1526" s="4" t="str">
        <f>HYPERLINK("https://twitter.com/petrogustavo","@petrogustavo")</f>
        <v>@petrogustavo</v>
      </c>
      <c r="C1526" s="5" t="s">
        <v>16</v>
      </c>
      <c r="D1526" s="5" t="s">
        <v>1499</v>
      </c>
      <c r="E1526" s="6" t="str">
        <f>HYPERLINK("https://twitter.com/petrogustavo/status/1219679125209800710","1219679125209800710")</f>
        <v>1219679125209800710</v>
      </c>
      <c r="F1526" s="7" t="s">
        <v>17</v>
      </c>
      <c r="G1526" s="7">
        <v>3614567</v>
      </c>
      <c r="H1526" s="7">
        <v>2352</v>
      </c>
      <c r="I1526" s="7">
        <v>352</v>
      </c>
      <c r="J1526" s="7">
        <v>0</v>
      </c>
      <c r="K1526" s="7" t="s">
        <v>18</v>
      </c>
      <c r="L1526" s="8">
        <v>39987.315405092595</v>
      </c>
      <c r="M1526" s="9" t="s">
        <v>19</v>
      </c>
      <c r="N1526" s="9" t="s">
        <v>20</v>
      </c>
      <c r="O1526" s="6" t="str">
        <f>HYPERLINK("https://pbs.twimg.com/profile_images/962471262747529216/Uo8lOkRJ_normal.jpg","View")</f>
        <v>View</v>
      </c>
      <c r="P1526" s="7"/>
    </row>
    <row r="1527" spans="1:16">
      <c r="A1527" s="3">
        <v>43851.974166666667</v>
      </c>
      <c r="B1527" s="4" t="str">
        <f>HYPERLINK("https://twitter.com/petrogustavo","@petrogustavo")</f>
        <v>@petrogustavo</v>
      </c>
      <c r="C1527" s="5" t="s">
        <v>16</v>
      </c>
      <c r="D1527" s="5" t="s">
        <v>1406</v>
      </c>
      <c r="E1527" s="6" t="str">
        <f>HYPERLINK("https://twitter.com/petrogustavo/status/1219679250187530241","1219679250187530241")</f>
        <v>1219679250187530241</v>
      </c>
      <c r="F1527" s="7" t="s">
        <v>17</v>
      </c>
      <c r="G1527" s="7">
        <v>3614567</v>
      </c>
      <c r="H1527" s="7">
        <v>2352</v>
      </c>
      <c r="I1527" s="7">
        <v>545</v>
      </c>
      <c r="J1527" s="7">
        <v>0</v>
      </c>
      <c r="K1527" s="7" t="s">
        <v>18</v>
      </c>
      <c r="L1527" s="8">
        <v>39987.315405092595</v>
      </c>
      <c r="M1527" s="9" t="s">
        <v>19</v>
      </c>
      <c r="N1527" s="9" t="s">
        <v>20</v>
      </c>
      <c r="O1527" s="6" t="str">
        <f>HYPERLINK("https://pbs.twimg.com/profile_images/962471262747529216/Uo8lOkRJ_normal.jpg","View")</f>
        <v>View</v>
      </c>
      <c r="P1527" s="7"/>
    </row>
    <row r="1528" spans="1:16">
      <c r="A1528" s="3">
        <v>43851.995787037042</v>
      </c>
      <c r="B1528" s="4" t="str">
        <f>HYPERLINK("https://twitter.com/petrogustavo","@petrogustavo")</f>
        <v>@petrogustavo</v>
      </c>
      <c r="C1528" s="5" t="s">
        <v>16</v>
      </c>
      <c r="D1528" s="5" t="s">
        <v>1500</v>
      </c>
      <c r="E1528" s="6" t="str">
        <f>HYPERLINK("https://twitter.com/petrogustavo/status/1219687086778912769","1219687086778912769")</f>
        <v>1219687086778912769</v>
      </c>
      <c r="F1528" s="7" t="s">
        <v>17</v>
      </c>
      <c r="G1528" s="7">
        <v>3614636</v>
      </c>
      <c r="H1528" s="7">
        <v>2352</v>
      </c>
      <c r="I1528" s="7">
        <v>62</v>
      </c>
      <c r="J1528" s="7">
        <v>0</v>
      </c>
      <c r="K1528" s="7" t="s">
        <v>18</v>
      </c>
      <c r="L1528" s="8">
        <v>39987.315405092595</v>
      </c>
      <c r="M1528" s="9" t="s">
        <v>19</v>
      </c>
      <c r="N1528" s="9" t="s">
        <v>20</v>
      </c>
      <c r="O1528" s="6" t="str">
        <f>HYPERLINK("https://pbs.twimg.com/profile_images/962471262747529216/Uo8lOkRJ_normal.jpg","View")</f>
        <v>View</v>
      </c>
      <c r="P1528" s="7"/>
    </row>
    <row r="1529" spans="1:16">
      <c r="A1529" s="3">
        <v>43851.997233796297</v>
      </c>
      <c r="B1529" s="4" t="str">
        <f>HYPERLINK("https://twitter.com/petrogustavo","@petrogustavo")</f>
        <v>@petrogustavo</v>
      </c>
      <c r="C1529" s="5" t="s">
        <v>16</v>
      </c>
      <c r="D1529" s="5" t="s">
        <v>1501</v>
      </c>
      <c r="E1529" s="6" t="str">
        <f>HYPERLINK("https://twitter.com/petrogustavo/status/1219687609913544704","1219687609913544704")</f>
        <v>1219687609913544704</v>
      </c>
      <c r="F1529" s="7" t="s">
        <v>17</v>
      </c>
      <c r="G1529" s="7">
        <v>3614636</v>
      </c>
      <c r="H1529" s="7">
        <v>2352</v>
      </c>
      <c r="I1529" s="7">
        <v>63</v>
      </c>
      <c r="J1529" s="7">
        <v>0</v>
      </c>
      <c r="K1529" s="7" t="s">
        <v>18</v>
      </c>
      <c r="L1529" s="8">
        <v>39987.315405092595</v>
      </c>
      <c r="M1529" s="9" t="s">
        <v>19</v>
      </c>
      <c r="N1529" s="9" t="s">
        <v>20</v>
      </c>
      <c r="O1529" s="6" t="str">
        <f>HYPERLINK("https://pbs.twimg.com/profile_images/962471262747529216/Uo8lOkRJ_normal.jpg","View")</f>
        <v>View</v>
      </c>
      <c r="P1529" s="7"/>
    </row>
    <row r="1530" spans="1:16">
      <c r="A1530" s="3">
        <v>43851.998865740738</v>
      </c>
      <c r="B1530" s="4" t="str">
        <f>HYPERLINK("https://twitter.com/petrogustavo","@petrogustavo")</f>
        <v>@petrogustavo</v>
      </c>
      <c r="C1530" s="5" t="s">
        <v>16</v>
      </c>
      <c r="D1530" s="5" t="s">
        <v>1502</v>
      </c>
      <c r="E1530" s="6" t="str">
        <f>HYPERLINK("https://twitter.com/petrogustavo/status/1219688198999244800","1219688198999244800")</f>
        <v>1219688198999244800</v>
      </c>
      <c r="F1530" s="7" t="s">
        <v>17</v>
      </c>
      <c r="G1530" s="7">
        <v>3614636</v>
      </c>
      <c r="H1530" s="7">
        <v>2352</v>
      </c>
      <c r="I1530" s="7">
        <v>768</v>
      </c>
      <c r="J1530" s="7">
        <v>0</v>
      </c>
      <c r="K1530" s="7" t="s">
        <v>18</v>
      </c>
      <c r="L1530" s="8">
        <v>39987.315405092595</v>
      </c>
      <c r="M1530" s="9" t="s">
        <v>19</v>
      </c>
      <c r="N1530" s="9" t="s">
        <v>20</v>
      </c>
      <c r="O1530" s="6" t="str">
        <f>HYPERLINK("https://pbs.twimg.com/profile_images/962471262747529216/Uo8lOkRJ_normal.jpg","View")</f>
        <v>View</v>
      </c>
      <c r="P1530" s="7"/>
    </row>
    <row r="1531" spans="1:16">
      <c r="A1531" s="3">
        <v>43851.999201388884</v>
      </c>
      <c r="B1531" s="4" t="str">
        <f>HYPERLINK("https://twitter.com/petrogustavo","@petrogustavo")</f>
        <v>@petrogustavo</v>
      </c>
      <c r="C1531" s="5" t="s">
        <v>16</v>
      </c>
      <c r="D1531" s="5" t="s">
        <v>1503</v>
      </c>
      <c r="E1531" s="6" t="str">
        <f>HYPERLINK("https://twitter.com/petrogustavo/status/1219688324446720002","1219688324446720002")</f>
        <v>1219688324446720002</v>
      </c>
      <c r="F1531" s="7" t="s">
        <v>17</v>
      </c>
      <c r="G1531" s="7">
        <v>3614636</v>
      </c>
      <c r="H1531" s="7">
        <v>2352</v>
      </c>
      <c r="I1531" s="7">
        <v>13</v>
      </c>
      <c r="J1531" s="7">
        <v>0</v>
      </c>
      <c r="K1531" s="7" t="s">
        <v>18</v>
      </c>
      <c r="L1531" s="8">
        <v>39987.315405092595</v>
      </c>
      <c r="M1531" s="9" t="s">
        <v>19</v>
      </c>
      <c r="N1531" s="9" t="s">
        <v>20</v>
      </c>
      <c r="O1531" s="6" t="str">
        <f>HYPERLINK("https://pbs.twimg.com/profile_images/962471262747529216/Uo8lOkRJ_normal.jpg","View")</f>
        <v>View</v>
      </c>
      <c r="P1531" s="7"/>
    </row>
    <row r="1532" spans="1:16">
      <c r="A1532" s="3">
        <v>43852.054386574076</v>
      </c>
      <c r="B1532" s="4" t="str">
        <f>HYPERLINK("https://twitter.com/petrogustavo","@petrogustavo")</f>
        <v>@petrogustavo</v>
      </c>
      <c r="C1532" s="5" t="s">
        <v>16</v>
      </c>
      <c r="D1532" s="5" t="s">
        <v>1504</v>
      </c>
      <c r="E1532" s="6" t="str">
        <f>HYPERLINK("https://twitter.com/petrogustavo/status/1219708320669470720","1219708320669470720")</f>
        <v>1219708320669470720</v>
      </c>
      <c r="F1532" s="7" t="s">
        <v>17</v>
      </c>
      <c r="G1532" s="7">
        <v>3614781</v>
      </c>
      <c r="H1532" s="7">
        <v>2352</v>
      </c>
      <c r="I1532" s="7">
        <v>25</v>
      </c>
      <c r="J1532" s="7">
        <v>0</v>
      </c>
      <c r="K1532" s="7" t="s">
        <v>18</v>
      </c>
      <c r="L1532" s="8">
        <v>39987.315405092595</v>
      </c>
      <c r="M1532" s="9" t="s">
        <v>19</v>
      </c>
      <c r="N1532" s="9" t="s">
        <v>20</v>
      </c>
      <c r="O1532" s="6" t="str">
        <f>HYPERLINK("https://pbs.twimg.com/profile_images/962471262747529216/Uo8lOkRJ_normal.jpg","View")</f>
        <v>View</v>
      </c>
      <c r="P1532" s="7"/>
    </row>
    <row r="1533" spans="1:16">
      <c r="A1533" s="3">
        <v>43852.055196759262</v>
      </c>
      <c r="B1533" s="4" t="str">
        <f>HYPERLINK("https://twitter.com/petrogustavo","@petrogustavo")</f>
        <v>@petrogustavo</v>
      </c>
      <c r="C1533" s="5" t="s">
        <v>16</v>
      </c>
      <c r="D1533" s="5" t="s">
        <v>1505</v>
      </c>
      <c r="E1533" s="6" t="str">
        <f>HYPERLINK("https://twitter.com/petrogustavo/status/1219708614631469059","1219708614631469059")</f>
        <v>1219708614631469059</v>
      </c>
      <c r="F1533" s="7" t="s">
        <v>17</v>
      </c>
      <c r="G1533" s="7">
        <v>3614781</v>
      </c>
      <c r="H1533" s="7">
        <v>2352</v>
      </c>
      <c r="I1533" s="7">
        <v>8</v>
      </c>
      <c r="J1533" s="7">
        <v>0</v>
      </c>
      <c r="K1533" s="7" t="s">
        <v>18</v>
      </c>
      <c r="L1533" s="8">
        <v>39987.315405092595</v>
      </c>
      <c r="M1533" s="9" t="s">
        <v>19</v>
      </c>
      <c r="N1533" s="9" t="s">
        <v>20</v>
      </c>
      <c r="O1533" s="6" t="str">
        <f>HYPERLINK("https://pbs.twimg.com/profile_images/962471262747529216/Uo8lOkRJ_normal.jpg","View")</f>
        <v>View</v>
      </c>
      <c r="P1533" s="7"/>
    </row>
    <row r="1534" spans="1:16">
      <c r="A1534" s="3">
        <v>43852.055451388893</v>
      </c>
      <c r="B1534" s="4" t="str">
        <f>HYPERLINK("https://twitter.com/petrogustavo","@petrogustavo")</f>
        <v>@petrogustavo</v>
      </c>
      <c r="C1534" s="5" t="s">
        <v>16</v>
      </c>
      <c r="D1534" s="5" t="s">
        <v>1506</v>
      </c>
      <c r="E1534" s="6" t="str">
        <f>HYPERLINK("https://twitter.com/petrogustavo/status/1219708705354272773","1219708705354272773")</f>
        <v>1219708705354272773</v>
      </c>
      <c r="F1534" s="7" t="s">
        <v>17</v>
      </c>
      <c r="G1534" s="7">
        <v>3614781</v>
      </c>
      <c r="H1534" s="7">
        <v>2352</v>
      </c>
      <c r="I1534" s="7">
        <v>58</v>
      </c>
      <c r="J1534" s="7">
        <v>0</v>
      </c>
      <c r="K1534" s="7" t="s">
        <v>18</v>
      </c>
      <c r="L1534" s="8">
        <v>39987.315405092595</v>
      </c>
      <c r="M1534" s="9" t="s">
        <v>19</v>
      </c>
      <c r="N1534" s="9" t="s">
        <v>20</v>
      </c>
      <c r="O1534" s="6" t="str">
        <f>HYPERLINK("https://pbs.twimg.com/profile_images/962471262747529216/Uo8lOkRJ_normal.jpg","View")</f>
        <v>View</v>
      </c>
      <c r="P1534" s="7"/>
    </row>
    <row r="1535" spans="1:16">
      <c r="A1535" s="3">
        <v>43852.056562500002</v>
      </c>
      <c r="B1535" s="4" t="str">
        <f>HYPERLINK("https://twitter.com/petrogustavo","@petrogustavo")</f>
        <v>@petrogustavo</v>
      </c>
      <c r="C1535" s="5" t="s">
        <v>16</v>
      </c>
      <c r="D1535" s="5" t="s">
        <v>1507</v>
      </c>
      <c r="E1535" s="6" t="str">
        <f>HYPERLINK("https://twitter.com/petrogustavo/status/1219709107810324482","1219709107810324482")</f>
        <v>1219709107810324482</v>
      </c>
      <c r="F1535" s="7" t="s">
        <v>17</v>
      </c>
      <c r="G1535" s="7">
        <v>3614781</v>
      </c>
      <c r="H1535" s="7">
        <v>2352</v>
      </c>
      <c r="I1535" s="7">
        <v>188</v>
      </c>
      <c r="J1535" s="7">
        <v>468</v>
      </c>
      <c r="K1535" s="7" t="s">
        <v>18</v>
      </c>
      <c r="L1535" s="8">
        <v>39987.315405092595</v>
      </c>
      <c r="M1535" s="9" t="s">
        <v>19</v>
      </c>
      <c r="N1535" s="9" t="s">
        <v>20</v>
      </c>
      <c r="O1535" s="6" t="str">
        <f>HYPERLINK("https://pbs.twimg.com/profile_images/962471262747529216/Uo8lOkRJ_normal.jpg","View")</f>
        <v>View</v>
      </c>
      <c r="P1535" s="7"/>
    </row>
    <row r="1536" spans="1:16">
      <c r="A1536" s="3">
        <v>43852.061944444446</v>
      </c>
      <c r="B1536" s="4" t="str">
        <f>HYPERLINK("https://twitter.com/petrogustavo","@petrogustavo")</f>
        <v>@petrogustavo</v>
      </c>
      <c r="C1536" s="5" t="s">
        <v>16</v>
      </c>
      <c r="D1536" s="5" t="s">
        <v>1508</v>
      </c>
      <c r="E1536" s="6" t="str">
        <f>HYPERLINK("https://twitter.com/petrogustavo/status/1219711058199351301","1219711058199351301")</f>
        <v>1219711058199351301</v>
      </c>
      <c r="F1536" s="7" t="s">
        <v>17</v>
      </c>
      <c r="G1536" s="7">
        <v>3614781</v>
      </c>
      <c r="H1536" s="7">
        <v>2352</v>
      </c>
      <c r="I1536" s="7">
        <v>43</v>
      </c>
      <c r="J1536" s="7">
        <v>0</v>
      </c>
      <c r="K1536" s="7" t="s">
        <v>18</v>
      </c>
      <c r="L1536" s="8">
        <v>39987.315405092595</v>
      </c>
      <c r="M1536" s="9" t="s">
        <v>19</v>
      </c>
      <c r="N1536" s="9" t="s">
        <v>20</v>
      </c>
      <c r="O1536" s="6" t="str">
        <f>HYPERLINK("https://pbs.twimg.com/profile_images/962471262747529216/Uo8lOkRJ_normal.jpg","View")</f>
        <v>View</v>
      </c>
      <c r="P1536" s="7"/>
    </row>
    <row r="1537" spans="1:16">
      <c r="A1537" s="3">
        <v>43852.063657407409</v>
      </c>
      <c r="B1537" s="4" t="str">
        <f>HYPERLINK("https://twitter.com/petrogustavo","@petrogustavo")</f>
        <v>@petrogustavo</v>
      </c>
      <c r="C1537" s="5" t="s">
        <v>16</v>
      </c>
      <c r="D1537" s="5" t="s">
        <v>1509</v>
      </c>
      <c r="E1537" s="6" t="str">
        <f>HYPERLINK("https://twitter.com/petrogustavo/status/1219711680546033665","1219711680546033665")</f>
        <v>1219711680546033665</v>
      </c>
      <c r="F1537" s="7" t="s">
        <v>17</v>
      </c>
      <c r="G1537" s="7">
        <v>3614781</v>
      </c>
      <c r="H1537" s="7">
        <v>2352</v>
      </c>
      <c r="I1537" s="7">
        <v>62</v>
      </c>
      <c r="J1537" s="7">
        <v>162</v>
      </c>
      <c r="K1537" s="7" t="s">
        <v>18</v>
      </c>
      <c r="L1537" s="8">
        <v>39987.315405092595</v>
      </c>
      <c r="M1537" s="9" t="s">
        <v>19</v>
      </c>
      <c r="N1537" s="9" t="s">
        <v>20</v>
      </c>
      <c r="O1537" s="6" t="str">
        <f>HYPERLINK("https://pbs.twimg.com/profile_images/962471262747529216/Uo8lOkRJ_normal.jpg","View")</f>
        <v>View</v>
      </c>
      <c r="P1537" s="7"/>
    </row>
    <row r="1538" spans="1:16">
      <c r="A1538" s="3">
        <v>43852.069166666668</v>
      </c>
      <c r="B1538" s="4" t="str">
        <f>HYPERLINK("https://twitter.com/petrogustavo","@petrogustavo")</f>
        <v>@petrogustavo</v>
      </c>
      <c r="C1538" s="5" t="s">
        <v>16</v>
      </c>
      <c r="D1538" s="5" t="s">
        <v>1406</v>
      </c>
      <c r="E1538" s="6" t="str">
        <f>HYPERLINK("https://twitter.com/petrogustavo/status/1219713676527226885","1219713676527226885")</f>
        <v>1219713676527226885</v>
      </c>
      <c r="F1538" s="7" t="s">
        <v>17</v>
      </c>
      <c r="G1538" s="7">
        <v>3614781</v>
      </c>
      <c r="H1538" s="7">
        <v>2352</v>
      </c>
      <c r="I1538" s="7">
        <v>563</v>
      </c>
      <c r="J1538" s="7">
        <v>0</v>
      </c>
      <c r="K1538" s="7" t="s">
        <v>18</v>
      </c>
      <c r="L1538" s="8">
        <v>39987.315405092595</v>
      </c>
      <c r="M1538" s="9" t="s">
        <v>19</v>
      </c>
      <c r="N1538" s="9" t="s">
        <v>20</v>
      </c>
      <c r="O1538" s="6" t="str">
        <f>HYPERLINK("https://pbs.twimg.com/profile_images/962471262747529216/Uo8lOkRJ_normal.jpg","View")</f>
        <v>View</v>
      </c>
      <c r="P1538" s="7"/>
    </row>
    <row r="1539" spans="1:16">
      <c r="A1539" s="3">
        <v>43852.071747685186</v>
      </c>
      <c r="B1539" s="4" t="str">
        <f>HYPERLINK("https://twitter.com/petrogustavo","@petrogustavo")</f>
        <v>@petrogustavo</v>
      </c>
      <c r="C1539" s="5" t="s">
        <v>16</v>
      </c>
      <c r="D1539" s="5" t="s">
        <v>1510</v>
      </c>
      <c r="E1539" s="6" t="str">
        <f>HYPERLINK("https://twitter.com/petrogustavo/status/1219714610875568130","1219714610875568130")</f>
        <v>1219714610875568130</v>
      </c>
      <c r="F1539" s="7" t="s">
        <v>17</v>
      </c>
      <c r="G1539" s="7">
        <v>3614781</v>
      </c>
      <c r="H1539" s="7">
        <v>2352</v>
      </c>
      <c r="I1539" s="7">
        <v>26</v>
      </c>
      <c r="J1539" s="7">
        <v>0</v>
      </c>
      <c r="K1539" s="7" t="s">
        <v>18</v>
      </c>
      <c r="L1539" s="8">
        <v>39987.315405092595</v>
      </c>
      <c r="M1539" s="9" t="s">
        <v>19</v>
      </c>
      <c r="N1539" s="9" t="s">
        <v>20</v>
      </c>
      <c r="O1539" s="6" t="str">
        <f>HYPERLINK("https://pbs.twimg.com/profile_images/962471262747529216/Uo8lOkRJ_normal.jpg","View")</f>
        <v>View</v>
      </c>
      <c r="P1539" s="7"/>
    </row>
    <row r="1540" spans="1:16">
      <c r="A1540" s="3">
        <v>43852.072719907403</v>
      </c>
      <c r="B1540" s="4" t="str">
        <f>HYPERLINK("https://twitter.com/petrogustavo","@petrogustavo")</f>
        <v>@petrogustavo</v>
      </c>
      <c r="C1540" s="5" t="s">
        <v>16</v>
      </c>
      <c r="D1540" s="5" t="s">
        <v>1511</v>
      </c>
      <c r="E1540" s="6" t="str">
        <f>HYPERLINK("https://twitter.com/petrogustavo/status/1219714963385831424","1219714963385831424")</f>
        <v>1219714963385831424</v>
      </c>
      <c r="F1540" s="7" t="s">
        <v>17</v>
      </c>
      <c r="G1540" s="7">
        <v>3614781</v>
      </c>
      <c r="H1540" s="7">
        <v>2352</v>
      </c>
      <c r="I1540" s="7">
        <v>16</v>
      </c>
      <c r="J1540" s="7">
        <v>0</v>
      </c>
      <c r="K1540" s="7" t="s">
        <v>18</v>
      </c>
      <c r="L1540" s="8">
        <v>39987.315405092595</v>
      </c>
      <c r="M1540" s="9" t="s">
        <v>19</v>
      </c>
      <c r="N1540" s="9" t="s">
        <v>20</v>
      </c>
      <c r="O1540" s="6" t="str">
        <f>HYPERLINK("https://pbs.twimg.com/profile_images/962471262747529216/Uo8lOkRJ_normal.jpg","View")</f>
        <v>View</v>
      </c>
      <c r="P1540" s="7"/>
    </row>
    <row r="1541" spans="1:16">
      <c r="A1541" s="3">
        <v>43852.073182870372</v>
      </c>
      <c r="B1541" s="4" t="str">
        <f>HYPERLINK("https://twitter.com/petrogustavo","@petrogustavo")</f>
        <v>@petrogustavo</v>
      </c>
      <c r="C1541" s="5" t="s">
        <v>16</v>
      </c>
      <c r="D1541" s="5" t="s">
        <v>1512</v>
      </c>
      <c r="E1541" s="6" t="str">
        <f>HYPERLINK("https://twitter.com/petrogustavo/status/1219715133141921793","1219715133141921793")</f>
        <v>1219715133141921793</v>
      </c>
      <c r="F1541" s="7" t="s">
        <v>17</v>
      </c>
      <c r="G1541" s="7">
        <v>3614781</v>
      </c>
      <c r="H1541" s="7">
        <v>2352</v>
      </c>
      <c r="I1541" s="7">
        <v>170</v>
      </c>
      <c r="J1541" s="7">
        <v>0</v>
      </c>
      <c r="K1541" s="7" t="s">
        <v>18</v>
      </c>
      <c r="L1541" s="8">
        <v>39987.315405092595</v>
      </c>
      <c r="M1541" s="9" t="s">
        <v>19</v>
      </c>
      <c r="N1541" s="9" t="s">
        <v>20</v>
      </c>
      <c r="O1541" s="6" t="str">
        <f>HYPERLINK("https://pbs.twimg.com/profile_images/962471262747529216/Uo8lOkRJ_normal.jpg","View")</f>
        <v>View</v>
      </c>
      <c r="P1541" s="7"/>
    </row>
    <row r="1542" spans="1:16">
      <c r="A1542" s="3">
        <v>43852.077002314814</v>
      </c>
      <c r="B1542" s="4" t="str">
        <f>HYPERLINK("https://twitter.com/petrogustavo","@petrogustavo")</f>
        <v>@petrogustavo</v>
      </c>
      <c r="C1542" s="5" t="s">
        <v>16</v>
      </c>
      <c r="D1542" s="5" t="s">
        <v>1513</v>
      </c>
      <c r="E1542" s="6" t="str">
        <f>HYPERLINK("https://twitter.com/petrogustavo/status/1219716515341258752","1219716515341258752")</f>
        <v>1219716515341258752</v>
      </c>
      <c r="F1542" s="7" t="s">
        <v>17</v>
      </c>
      <c r="G1542" s="7">
        <v>3614802</v>
      </c>
      <c r="H1542" s="7">
        <v>2352</v>
      </c>
      <c r="I1542" s="7">
        <v>49</v>
      </c>
      <c r="J1542" s="7">
        <v>139</v>
      </c>
      <c r="K1542" s="7" t="s">
        <v>18</v>
      </c>
      <c r="L1542" s="8">
        <v>39987.315405092595</v>
      </c>
      <c r="M1542" s="9" t="s">
        <v>19</v>
      </c>
      <c r="N1542" s="9" t="s">
        <v>20</v>
      </c>
      <c r="O1542" s="6" t="str">
        <f>HYPERLINK("https://pbs.twimg.com/profile_images/962471262747529216/Uo8lOkRJ_normal.jpg","View")</f>
        <v>View</v>
      </c>
      <c r="P1542" s="7"/>
    </row>
    <row r="1543" spans="1:16">
      <c r="A1543" s="3">
        <v>43852.08048611111</v>
      </c>
      <c r="B1543" s="4" t="str">
        <f>HYPERLINK("https://twitter.com/petrogustavo","@petrogustavo")</f>
        <v>@petrogustavo</v>
      </c>
      <c r="C1543" s="5" t="s">
        <v>16</v>
      </c>
      <c r="D1543" s="5" t="s">
        <v>1514</v>
      </c>
      <c r="E1543" s="6" t="str">
        <f>HYPERLINK("https://twitter.com/petrogustavo/status/1219717779831562240","1219717779831562240")</f>
        <v>1219717779831562240</v>
      </c>
      <c r="F1543" s="7" t="s">
        <v>17</v>
      </c>
      <c r="G1543" s="7">
        <v>3614802</v>
      </c>
      <c r="H1543" s="7">
        <v>2352</v>
      </c>
      <c r="I1543" s="7">
        <v>105</v>
      </c>
      <c r="J1543" s="7">
        <v>0</v>
      </c>
      <c r="K1543" s="7" t="s">
        <v>18</v>
      </c>
      <c r="L1543" s="8">
        <v>39987.315405092595</v>
      </c>
      <c r="M1543" s="9" t="s">
        <v>19</v>
      </c>
      <c r="N1543" s="9" t="s">
        <v>20</v>
      </c>
      <c r="O1543" s="6" t="str">
        <f>HYPERLINK("https://pbs.twimg.com/profile_images/962471262747529216/Uo8lOkRJ_normal.jpg","View")</f>
        <v>View</v>
      </c>
      <c r="P1543" s="7"/>
    </row>
    <row r="1544" spans="1:16">
      <c r="A1544" s="3">
        <v>43852.083495370374</v>
      </c>
      <c r="B1544" s="4" t="str">
        <f>HYPERLINK("https://twitter.com/petrogustavo","@petrogustavo")</f>
        <v>@petrogustavo</v>
      </c>
      <c r="C1544" s="5" t="s">
        <v>16</v>
      </c>
      <c r="D1544" s="5" t="s">
        <v>1515</v>
      </c>
      <c r="E1544" s="6" t="str">
        <f>HYPERLINK("https://twitter.com/petrogustavo/status/1219718871160098818","1219718871160098818")</f>
        <v>1219718871160098818</v>
      </c>
      <c r="F1544" s="7" t="s">
        <v>17</v>
      </c>
      <c r="G1544" s="7">
        <v>3614802</v>
      </c>
      <c r="H1544" s="7">
        <v>2352</v>
      </c>
      <c r="I1544" s="7">
        <v>57</v>
      </c>
      <c r="J1544" s="7">
        <v>0</v>
      </c>
      <c r="K1544" s="7" t="s">
        <v>18</v>
      </c>
      <c r="L1544" s="8">
        <v>39987.315405092595</v>
      </c>
      <c r="M1544" s="9" t="s">
        <v>19</v>
      </c>
      <c r="N1544" s="9" t="s">
        <v>20</v>
      </c>
      <c r="O1544" s="6" t="str">
        <f>HYPERLINK("https://pbs.twimg.com/profile_images/962471262747529216/Uo8lOkRJ_normal.jpg","View")</f>
        <v>View</v>
      </c>
      <c r="P1544" s="7"/>
    </row>
    <row r="1545" spans="1:16">
      <c r="A1545" s="3">
        <v>43852.086388888885</v>
      </c>
      <c r="B1545" s="4" t="str">
        <f>HYPERLINK("https://twitter.com/petrogustavo","@petrogustavo")</f>
        <v>@petrogustavo</v>
      </c>
      <c r="C1545" s="5" t="s">
        <v>16</v>
      </c>
      <c r="D1545" s="5" t="s">
        <v>1516</v>
      </c>
      <c r="E1545" s="6" t="str">
        <f>HYPERLINK("https://twitter.com/petrogustavo/status/1219719919681654784","1219719919681654784")</f>
        <v>1219719919681654784</v>
      </c>
      <c r="F1545" s="7" t="s">
        <v>17</v>
      </c>
      <c r="G1545" s="7">
        <v>3614802</v>
      </c>
      <c r="H1545" s="7">
        <v>2352</v>
      </c>
      <c r="I1545" s="7">
        <v>42</v>
      </c>
      <c r="J1545" s="7">
        <v>0</v>
      </c>
      <c r="K1545" s="7" t="s">
        <v>18</v>
      </c>
      <c r="L1545" s="8">
        <v>39987.315405092595</v>
      </c>
      <c r="M1545" s="9" t="s">
        <v>19</v>
      </c>
      <c r="N1545" s="9" t="s">
        <v>20</v>
      </c>
      <c r="O1545" s="6" t="str">
        <f>HYPERLINK("https://pbs.twimg.com/profile_images/962471262747529216/Uo8lOkRJ_normal.jpg","View")</f>
        <v>View</v>
      </c>
      <c r="P1545" s="7"/>
    </row>
    <row r="1546" spans="1:16">
      <c r="A1546" s="3">
        <v>43852.088518518518</v>
      </c>
      <c r="B1546" s="4" t="str">
        <f>HYPERLINK("https://twitter.com/petrogustavo","@petrogustavo")</f>
        <v>@petrogustavo</v>
      </c>
      <c r="C1546" s="5" t="s">
        <v>16</v>
      </c>
      <c r="D1546" s="5" t="s">
        <v>1517</v>
      </c>
      <c r="E1546" s="6" t="str">
        <f>HYPERLINK("https://twitter.com/petrogustavo/status/1219720690015920133","1219720690015920133")</f>
        <v>1219720690015920133</v>
      </c>
      <c r="F1546" s="7" t="s">
        <v>17</v>
      </c>
      <c r="G1546" s="7">
        <v>3614802</v>
      </c>
      <c r="H1546" s="7">
        <v>2352</v>
      </c>
      <c r="I1546" s="7">
        <v>45</v>
      </c>
      <c r="J1546" s="7">
        <v>180</v>
      </c>
      <c r="K1546" s="7" t="s">
        <v>18</v>
      </c>
      <c r="L1546" s="8">
        <v>39987.315405092595</v>
      </c>
      <c r="M1546" s="9" t="s">
        <v>19</v>
      </c>
      <c r="N1546" s="9" t="s">
        <v>20</v>
      </c>
      <c r="O1546" s="6" t="str">
        <f>HYPERLINK("https://pbs.twimg.com/profile_images/962471262747529216/Uo8lOkRJ_normal.jpg","View")</f>
        <v>View</v>
      </c>
      <c r="P1546" s="7"/>
    </row>
    <row r="1547" spans="1:16">
      <c r="A1547" s="3">
        <v>43852.092199074075</v>
      </c>
      <c r="B1547" s="4" t="str">
        <f>HYPERLINK("https://twitter.com/petrogustavo","@petrogustavo")</f>
        <v>@petrogustavo</v>
      </c>
      <c r="C1547" s="5" t="s">
        <v>16</v>
      </c>
      <c r="D1547" s="5" t="s">
        <v>1518</v>
      </c>
      <c r="E1547" s="6" t="str">
        <f>HYPERLINK("https://twitter.com/petrogustavo/status/1219722022030278663","1219722022030278663")</f>
        <v>1219722022030278663</v>
      </c>
      <c r="F1547" s="7" t="s">
        <v>17</v>
      </c>
      <c r="G1547" s="7">
        <v>3614802</v>
      </c>
      <c r="H1547" s="7">
        <v>2352</v>
      </c>
      <c r="I1547" s="7">
        <v>17</v>
      </c>
      <c r="J1547" s="7">
        <v>0</v>
      </c>
      <c r="K1547" s="7" t="s">
        <v>18</v>
      </c>
      <c r="L1547" s="8">
        <v>39987.315405092595</v>
      </c>
      <c r="M1547" s="9" t="s">
        <v>19</v>
      </c>
      <c r="N1547" s="9" t="s">
        <v>20</v>
      </c>
      <c r="O1547" s="6" t="str">
        <f>HYPERLINK("https://pbs.twimg.com/profile_images/962471262747529216/Uo8lOkRJ_normal.jpg","View")</f>
        <v>View</v>
      </c>
      <c r="P1547" s="7"/>
    </row>
    <row r="1548" spans="1:16">
      <c r="A1548" s="3">
        <v>43852.092870370368</v>
      </c>
      <c r="B1548" s="4" t="str">
        <f>HYPERLINK("https://twitter.com/petrogustavo","@petrogustavo")</f>
        <v>@petrogustavo</v>
      </c>
      <c r="C1548" s="5" t="s">
        <v>16</v>
      </c>
      <c r="D1548" s="5" t="s">
        <v>1519</v>
      </c>
      <c r="E1548" s="6" t="str">
        <f>HYPERLINK("https://twitter.com/petrogustavo/status/1219722266780540939","1219722266780540939")</f>
        <v>1219722266780540939</v>
      </c>
      <c r="F1548" s="7" t="s">
        <v>17</v>
      </c>
      <c r="G1548" s="7">
        <v>3614802</v>
      </c>
      <c r="H1548" s="7">
        <v>2352</v>
      </c>
      <c r="I1548" s="7">
        <v>208</v>
      </c>
      <c r="J1548" s="7">
        <v>0</v>
      </c>
      <c r="K1548" s="7" t="s">
        <v>18</v>
      </c>
      <c r="L1548" s="8">
        <v>39987.315405092595</v>
      </c>
      <c r="M1548" s="9" t="s">
        <v>19</v>
      </c>
      <c r="N1548" s="9" t="s">
        <v>20</v>
      </c>
      <c r="O1548" s="6" t="str">
        <f>HYPERLINK("https://pbs.twimg.com/profile_images/962471262747529216/Uo8lOkRJ_normal.jpg","View")</f>
        <v>View</v>
      </c>
      <c r="P1548" s="7"/>
    </row>
    <row r="1549" spans="1:16">
      <c r="A1549" s="3">
        <v>43852.114988425921</v>
      </c>
      <c r="B1549" s="4" t="str">
        <f>HYPERLINK("https://twitter.com/petrogustavo","@petrogustavo")</f>
        <v>@petrogustavo</v>
      </c>
      <c r="C1549" s="5" t="s">
        <v>16</v>
      </c>
      <c r="D1549" s="5" t="s">
        <v>1520</v>
      </c>
      <c r="E1549" s="6" t="str">
        <f>HYPERLINK("https://twitter.com/petrogustavo/status/1219730283441852416","1219730283441852416")</f>
        <v>1219730283441852416</v>
      </c>
      <c r="F1549" s="7" t="s">
        <v>17</v>
      </c>
      <c r="G1549" s="7">
        <v>3614837</v>
      </c>
      <c r="H1549" s="7">
        <v>2352</v>
      </c>
      <c r="I1549" s="7">
        <v>31</v>
      </c>
      <c r="J1549" s="7">
        <v>129</v>
      </c>
      <c r="K1549" s="7" t="s">
        <v>18</v>
      </c>
      <c r="L1549" s="8">
        <v>39987.315405092595</v>
      </c>
      <c r="M1549" s="9" t="s">
        <v>19</v>
      </c>
      <c r="N1549" s="9" t="s">
        <v>20</v>
      </c>
      <c r="O1549" s="6" t="str">
        <f>HYPERLINK("https://pbs.twimg.com/profile_images/962471262747529216/Uo8lOkRJ_normal.jpg","View")</f>
        <v>View</v>
      </c>
      <c r="P1549" s="7"/>
    </row>
    <row r="1550" spans="1:16">
      <c r="A1550" s="3">
        <v>43852.152094907404</v>
      </c>
      <c r="B1550" s="4" t="str">
        <f>HYPERLINK("https://twitter.com/petrogustavo","@petrogustavo")</f>
        <v>@petrogustavo</v>
      </c>
      <c r="C1550" s="5" t="s">
        <v>16</v>
      </c>
      <c r="D1550" s="5" t="s">
        <v>1521</v>
      </c>
      <c r="E1550" s="6" t="str">
        <f>HYPERLINK("https://twitter.com/petrogustavo/status/1219743731374608400","1219743731374608400")</f>
        <v>1219743731374608400</v>
      </c>
      <c r="F1550" s="7" t="s">
        <v>17</v>
      </c>
      <c r="G1550" s="7">
        <v>3614937</v>
      </c>
      <c r="H1550" s="7">
        <v>2352</v>
      </c>
      <c r="I1550" s="7">
        <v>62</v>
      </c>
      <c r="J1550" s="7">
        <v>0</v>
      </c>
      <c r="K1550" s="7" t="s">
        <v>18</v>
      </c>
      <c r="L1550" s="8">
        <v>39987.315405092595</v>
      </c>
      <c r="M1550" s="9" t="s">
        <v>19</v>
      </c>
      <c r="N1550" s="9" t="s">
        <v>20</v>
      </c>
      <c r="O1550" s="6" t="str">
        <f>HYPERLINK("https://pbs.twimg.com/profile_images/962471262747529216/Uo8lOkRJ_normal.jpg","View")</f>
        <v>View</v>
      </c>
      <c r="P1550" s="7"/>
    </row>
    <row r="1551" spans="1:16">
      <c r="A1551" s="3">
        <v>43852.153067129635</v>
      </c>
      <c r="B1551" s="4" t="str">
        <f>HYPERLINK("https://twitter.com/petrogustavo","@petrogustavo")</f>
        <v>@petrogustavo</v>
      </c>
      <c r="C1551" s="5" t="s">
        <v>16</v>
      </c>
      <c r="D1551" s="5" t="s">
        <v>1522</v>
      </c>
      <c r="E1551" s="6" t="str">
        <f>HYPERLINK("https://twitter.com/petrogustavo/status/1219744081678606343","1219744081678606343")</f>
        <v>1219744081678606343</v>
      </c>
      <c r="F1551" s="7" t="s">
        <v>17</v>
      </c>
      <c r="G1551" s="7">
        <v>3614937</v>
      </c>
      <c r="H1551" s="7">
        <v>2352</v>
      </c>
      <c r="I1551" s="7">
        <v>15</v>
      </c>
      <c r="J1551" s="7">
        <v>0</v>
      </c>
      <c r="K1551" s="7" t="s">
        <v>18</v>
      </c>
      <c r="L1551" s="8">
        <v>39987.315405092595</v>
      </c>
      <c r="M1551" s="9" t="s">
        <v>19</v>
      </c>
      <c r="N1551" s="9" t="s">
        <v>20</v>
      </c>
      <c r="O1551" s="6" t="str">
        <f>HYPERLINK("https://pbs.twimg.com/profile_images/962471262747529216/Uo8lOkRJ_normal.jpg","View")</f>
        <v>View</v>
      </c>
      <c r="P1551" s="7"/>
    </row>
    <row r="1552" spans="1:16">
      <c r="A1552" s="3">
        <v>43852.153449074074</v>
      </c>
      <c r="B1552" s="4" t="str">
        <f>HYPERLINK("https://twitter.com/petrogustavo","@petrogustavo")</f>
        <v>@petrogustavo</v>
      </c>
      <c r="C1552" s="5" t="s">
        <v>16</v>
      </c>
      <c r="D1552" s="5" t="s">
        <v>1523</v>
      </c>
      <c r="E1552" s="6" t="str">
        <f>HYPERLINK("https://twitter.com/petrogustavo/status/1219744218903711744","1219744218903711744")</f>
        <v>1219744218903711744</v>
      </c>
      <c r="F1552" s="7" t="s">
        <v>17</v>
      </c>
      <c r="G1552" s="7">
        <v>3614937</v>
      </c>
      <c r="H1552" s="7">
        <v>2352</v>
      </c>
      <c r="I1552" s="7">
        <v>36</v>
      </c>
      <c r="J1552" s="7">
        <v>0</v>
      </c>
      <c r="K1552" s="7" t="s">
        <v>18</v>
      </c>
      <c r="L1552" s="8">
        <v>39987.315405092595</v>
      </c>
      <c r="M1552" s="9" t="s">
        <v>19</v>
      </c>
      <c r="N1552" s="9" t="s">
        <v>20</v>
      </c>
      <c r="O1552" s="6" t="str">
        <f>HYPERLINK("https://pbs.twimg.com/profile_images/962471262747529216/Uo8lOkRJ_normal.jpg","View")</f>
        <v>View</v>
      </c>
      <c r="P1552" s="7"/>
    </row>
    <row r="1553" spans="1:16">
      <c r="A1553" s="3">
        <v>43852.155057870375</v>
      </c>
      <c r="B1553" s="4" t="str">
        <f>HYPERLINK("https://twitter.com/petrogustavo","@petrogustavo")</f>
        <v>@petrogustavo</v>
      </c>
      <c r="C1553" s="5" t="s">
        <v>16</v>
      </c>
      <c r="D1553" s="5" t="s">
        <v>1524</v>
      </c>
      <c r="E1553" s="6" t="str">
        <f>HYPERLINK("https://twitter.com/petrogustavo/status/1219744801299542021","1219744801299542021")</f>
        <v>1219744801299542021</v>
      </c>
      <c r="F1553" s="7" t="s">
        <v>17</v>
      </c>
      <c r="G1553" s="7">
        <v>3614937</v>
      </c>
      <c r="H1553" s="7">
        <v>2352</v>
      </c>
      <c r="I1553" s="7">
        <v>2</v>
      </c>
      <c r="J1553" s="7">
        <v>0</v>
      </c>
      <c r="K1553" s="7" t="s">
        <v>18</v>
      </c>
      <c r="L1553" s="8">
        <v>39987.315405092595</v>
      </c>
      <c r="M1553" s="9" t="s">
        <v>19</v>
      </c>
      <c r="N1553" s="9" t="s">
        <v>20</v>
      </c>
      <c r="O1553" s="6" t="str">
        <f>HYPERLINK("https://pbs.twimg.com/profile_images/962471262747529216/Uo8lOkRJ_normal.jpg","View")</f>
        <v>View</v>
      </c>
      <c r="P1553" s="7"/>
    </row>
    <row r="1554" spans="1:16">
      <c r="A1554" s="3">
        <v>43852.155706018515</v>
      </c>
      <c r="B1554" s="4" t="str">
        <f>HYPERLINK("https://twitter.com/petrogustavo","@petrogustavo")</f>
        <v>@petrogustavo</v>
      </c>
      <c r="C1554" s="5" t="s">
        <v>16</v>
      </c>
      <c r="D1554" s="5" t="s">
        <v>1525</v>
      </c>
      <c r="E1554" s="6" t="str">
        <f>HYPERLINK("https://twitter.com/petrogustavo/status/1219745039695384582","1219745039695384582")</f>
        <v>1219745039695384582</v>
      </c>
      <c r="F1554" s="7" t="s">
        <v>17</v>
      </c>
      <c r="G1554" s="7">
        <v>3614937</v>
      </c>
      <c r="H1554" s="7">
        <v>2352</v>
      </c>
      <c r="I1554" s="7">
        <v>38</v>
      </c>
      <c r="J1554" s="7">
        <v>0</v>
      </c>
      <c r="K1554" s="7" t="s">
        <v>18</v>
      </c>
      <c r="L1554" s="8">
        <v>39987.315405092595</v>
      </c>
      <c r="M1554" s="9" t="s">
        <v>19</v>
      </c>
      <c r="N1554" s="9" t="s">
        <v>20</v>
      </c>
      <c r="O1554" s="6" t="str">
        <f>HYPERLINK("https://pbs.twimg.com/profile_images/962471262747529216/Uo8lOkRJ_normal.jpg","View")</f>
        <v>View</v>
      </c>
      <c r="P1554" s="7"/>
    </row>
    <row r="1555" spans="1:16">
      <c r="A1555" s="3">
        <v>43852.156006944446</v>
      </c>
      <c r="B1555" s="4" t="str">
        <f>HYPERLINK("https://twitter.com/petrogustavo","@petrogustavo")</f>
        <v>@petrogustavo</v>
      </c>
      <c r="C1555" s="5" t="s">
        <v>16</v>
      </c>
      <c r="D1555" s="5" t="s">
        <v>1526</v>
      </c>
      <c r="E1555" s="6" t="str">
        <f>HYPERLINK("https://twitter.com/petrogustavo/status/1219745148675993603","1219745148675993603")</f>
        <v>1219745148675993603</v>
      </c>
      <c r="F1555" s="7" t="s">
        <v>17</v>
      </c>
      <c r="G1555" s="7">
        <v>3614937</v>
      </c>
      <c r="H1555" s="7">
        <v>2352</v>
      </c>
      <c r="I1555" s="7">
        <v>1469</v>
      </c>
      <c r="J1555" s="7">
        <v>0</v>
      </c>
      <c r="K1555" s="7" t="s">
        <v>18</v>
      </c>
      <c r="L1555" s="8">
        <v>39987.315405092595</v>
      </c>
      <c r="M1555" s="9" t="s">
        <v>19</v>
      </c>
      <c r="N1555" s="9" t="s">
        <v>20</v>
      </c>
      <c r="O1555" s="6" t="str">
        <f>HYPERLINK("https://pbs.twimg.com/profile_images/962471262747529216/Uo8lOkRJ_normal.jpg","View")</f>
        <v>View</v>
      </c>
      <c r="P1555" s="7"/>
    </row>
    <row r="1556" spans="1:16">
      <c r="A1556" s="3">
        <v>43852.157199074078</v>
      </c>
      <c r="B1556" s="4" t="str">
        <f>HYPERLINK("https://twitter.com/petrogustavo","@petrogustavo")</f>
        <v>@petrogustavo</v>
      </c>
      <c r="C1556" s="5" t="s">
        <v>16</v>
      </c>
      <c r="D1556" s="5" t="s">
        <v>1527</v>
      </c>
      <c r="E1556" s="6" t="str">
        <f>HYPERLINK("https://twitter.com/petrogustavo/status/1219745579426885632","1219745579426885632")</f>
        <v>1219745579426885632</v>
      </c>
      <c r="F1556" s="7" t="s">
        <v>17</v>
      </c>
      <c r="G1556" s="7">
        <v>3614937</v>
      </c>
      <c r="H1556" s="7">
        <v>2352</v>
      </c>
      <c r="I1556" s="7">
        <v>22</v>
      </c>
      <c r="J1556" s="7">
        <v>0</v>
      </c>
      <c r="K1556" s="7" t="s">
        <v>18</v>
      </c>
      <c r="L1556" s="8">
        <v>39987.315405092595</v>
      </c>
      <c r="M1556" s="9" t="s">
        <v>19</v>
      </c>
      <c r="N1556" s="9" t="s">
        <v>20</v>
      </c>
      <c r="O1556" s="6" t="str">
        <f>HYPERLINK("https://pbs.twimg.com/profile_images/962471262747529216/Uo8lOkRJ_normal.jpg","View")</f>
        <v>View</v>
      </c>
      <c r="P1556" s="7"/>
    </row>
    <row r="1557" spans="1:16">
      <c r="A1557" s="3">
        <v>43852.158020833333</v>
      </c>
      <c r="B1557" s="4" t="str">
        <f>HYPERLINK("https://twitter.com/petrogustavo","@petrogustavo")</f>
        <v>@petrogustavo</v>
      </c>
      <c r="C1557" s="5" t="s">
        <v>16</v>
      </c>
      <c r="D1557" s="5" t="s">
        <v>1528</v>
      </c>
      <c r="E1557" s="6" t="str">
        <f>HYPERLINK("https://twitter.com/petrogustavo/status/1219745875934818305","1219745875934818305")</f>
        <v>1219745875934818305</v>
      </c>
      <c r="F1557" s="7" t="s">
        <v>17</v>
      </c>
      <c r="G1557" s="7">
        <v>3614937</v>
      </c>
      <c r="H1557" s="7">
        <v>2352</v>
      </c>
      <c r="I1557" s="7">
        <v>87</v>
      </c>
      <c r="J1557" s="7">
        <v>0</v>
      </c>
      <c r="K1557" s="7" t="s">
        <v>18</v>
      </c>
      <c r="L1557" s="8">
        <v>39987.315405092595</v>
      </c>
      <c r="M1557" s="9" t="s">
        <v>19</v>
      </c>
      <c r="N1557" s="9" t="s">
        <v>20</v>
      </c>
      <c r="O1557" s="6" t="str">
        <f>HYPERLINK("https://pbs.twimg.com/profile_images/962471262747529216/Uo8lOkRJ_normal.jpg","View")</f>
        <v>View</v>
      </c>
      <c r="P1557" s="7"/>
    </row>
    <row r="1558" spans="1:16">
      <c r="A1558" s="3">
        <v>43852.15824074074</v>
      </c>
      <c r="B1558" s="4" t="str">
        <f>HYPERLINK("https://twitter.com/petrogustavo","@petrogustavo")</f>
        <v>@petrogustavo</v>
      </c>
      <c r="C1558" s="5" t="s">
        <v>16</v>
      </c>
      <c r="D1558" s="5" t="s">
        <v>1529</v>
      </c>
      <c r="E1558" s="6" t="str">
        <f>HYPERLINK("https://twitter.com/petrogustavo/status/1219745955949547522","1219745955949547522")</f>
        <v>1219745955949547522</v>
      </c>
      <c r="F1558" s="7" t="s">
        <v>17</v>
      </c>
      <c r="G1558" s="7">
        <v>3614937</v>
      </c>
      <c r="H1558" s="7">
        <v>2352</v>
      </c>
      <c r="I1558" s="7">
        <v>236</v>
      </c>
      <c r="J1558" s="7">
        <v>0</v>
      </c>
      <c r="K1558" s="7" t="s">
        <v>18</v>
      </c>
      <c r="L1558" s="8">
        <v>39987.315405092595</v>
      </c>
      <c r="M1558" s="9" t="s">
        <v>19</v>
      </c>
      <c r="N1558" s="9" t="s">
        <v>20</v>
      </c>
      <c r="O1558" s="6" t="str">
        <f>HYPERLINK("https://pbs.twimg.com/profile_images/962471262747529216/Uo8lOkRJ_normal.jpg","View")</f>
        <v>View</v>
      </c>
      <c r="P1558" s="7"/>
    </row>
    <row r="1559" spans="1:16">
      <c r="A1559" s="3">
        <v>43852.160555555558</v>
      </c>
      <c r="B1559" s="4" t="str">
        <f>HYPERLINK("https://twitter.com/petrogustavo","@petrogustavo")</f>
        <v>@petrogustavo</v>
      </c>
      <c r="C1559" s="5" t="s">
        <v>16</v>
      </c>
      <c r="D1559" s="5" t="s">
        <v>1530</v>
      </c>
      <c r="E1559" s="6" t="str">
        <f>HYPERLINK("https://twitter.com/petrogustavo/status/1219746796580360194","1219746796580360194")</f>
        <v>1219746796580360194</v>
      </c>
      <c r="F1559" s="7" t="s">
        <v>17</v>
      </c>
      <c r="G1559" s="7">
        <v>3614964</v>
      </c>
      <c r="H1559" s="7">
        <v>2352</v>
      </c>
      <c r="I1559" s="7">
        <v>1629</v>
      </c>
      <c r="J1559" s="7">
        <v>0</v>
      </c>
      <c r="K1559" s="7" t="s">
        <v>18</v>
      </c>
      <c r="L1559" s="8">
        <v>39987.315405092595</v>
      </c>
      <c r="M1559" s="9" t="s">
        <v>19</v>
      </c>
      <c r="N1559" s="9" t="s">
        <v>20</v>
      </c>
      <c r="O1559" s="6" t="str">
        <f>HYPERLINK("https://pbs.twimg.com/profile_images/962471262747529216/Uo8lOkRJ_normal.jpg","View")</f>
        <v>View</v>
      </c>
      <c r="P1559" s="7"/>
    </row>
    <row r="1560" spans="1:16">
      <c r="A1560" s="3">
        <v>43852.164363425924</v>
      </c>
      <c r="B1560" s="4" t="str">
        <f>HYPERLINK("https://twitter.com/petrogustavo","@petrogustavo")</f>
        <v>@petrogustavo</v>
      </c>
      <c r="C1560" s="5" t="s">
        <v>16</v>
      </c>
      <c r="D1560" s="5" t="s">
        <v>1531</v>
      </c>
      <c r="E1560" s="6" t="str">
        <f>HYPERLINK("https://twitter.com/petrogustavo/status/1219748174795026432","1219748174795026432")</f>
        <v>1219748174795026432</v>
      </c>
      <c r="F1560" s="7" t="s">
        <v>17</v>
      </c>
      <c r="G1560" s="7">
        <v>3614964</v>
      </c>
      <c r="H1560" s="7">
        <v>2352</v>
      </c>
      <c r="I1560" s="7">
        <v>132</v>
      </c>
      <c r="J1560" s="7">
        <v>0</v>
      </c>
      <c r="K1560" s="7" t="s">
        <v>18</v>
      </c>
      <c r="L1560" s="8">
        <v>39987.315405092595</v>
      </c>
      <c r="M1560" s="9" t="s">
        <v>19</v>
      </c>
      <c r="N1560" s="9" t="s">
        <v>20</v>
      </c>
      <c r="O1560" s="6" t="str">
        <f>HYPERLINK("https://pbs.twimg.com/profile_images/962471262747529216/Uo8lOkRJ_normal.jpg","View")</f>
        <v>View</v>
      </c>
      <c r="P1560" s="7"/>
    </row>
    <row r="1561" spans="1:16">
      <c r="A1561" s="3">
        <v>43852.165937500002</v>
      </c>
      <c r="B1561" s="4" t="str">
        <f>HYPERLINK("https://twitter.com/petrogustavo","@petrogustavo")</f>
        <v>@petrogustavo</v>
      </c>
      <c r="C1561" s="5" t="s">
        <v>16</v>
      </c>
      <c r="D1561" s="5" t="s">
        <v>1532</v>
      </c>
      <c r="E1561" s="6" t="str">
        <f>HYPERLINK("https://twitter.com/petrogustavo/status/1219748747179065344","1219748747179065344")</f>
        <v>1219748747179065344</v>
      </c>
      <c r="F1561" s="7" t="s">
        <v>17</v>
      </c>
      <c r="G1561" s="7">
        <v>3614964</v>
      </c>
      <c r="H1561" s="7">
        <v>2352</v>
      </c>
      <c r="I1561" s="7">
        <v>63</v>
      </c>
      <c r="J1561" s="7">
        <v>0</v>
      </c>
      <c r="K1561" s="7" t="s">
        <v>18</v>
      </c>
      <c r="L1561" s="8">
        <v>39987.315405092595</v>
      </c>
      <c r="M1561" s="9" t="s">
        <v>19</v>
      </c>
      <c r="N1561" s="9" t="s">
        <v>20</v>
      </c>
      <c r="O1561" s="6" t="str">
        <f>HYPERLINK("https://pbs.twimg.com/profile_images/962471262747529216/Uo8lOkRJ_normal.jpg","View")</f>
        <v>View</v>
      </c>
      <c r="P1561" s="7"/>
    </row>
    <row r="1562" spans="1:16">
      <c r="A1562" s="3">
        <v>43852.166817129633</v>
      </c>
      <c r="B1562" s="4" t="str">
        <f>HYPERLINK("https://twitter.com/petrogustavo","@petrogustavo")</f>
        <v>@petrogustavo</v>
      </c>
      <c r="C1562" s="5" t="s">
        <v>16</v>
      </c>
      <c r="D1562" s="5" t="s">
        <v>1533</v>
      </c>
      <c r="E1562" s="6" t="str">
        <f>HYPERLINK("https://twitter.com/petrogustavo/status/1219749063773577217","1219749063773577217")</f>
        <v>1219749063773577217</v>
      </c>
      <c r="F1562" s="7" t="s">
        <v>17</v>
      </c>
      <c r="G1562" s="7">
        <v>3614964</v>
      </c>
      <c r="H1562" s="7">
        <v>2352</v>
      </c>
      <c r="I1562" s="7">
        <v>106</v>
      </c>
      <c r="J1562" s="7">
        <v>0</v>
      </c>
      <c r="K1562" s="7" t="s">
        <v>18</v>
      </c>
      <c r="L1562" s="8">
        <v>39987.315405092595</v>
      </c>
      <c r="M1562" s="9" t="s">
        <v>19</v>
      </c>
      <c r="N1562" s="9" t="s">
        <v>20</v>
      </c>
      <c r="O1562" s="6" t="str">
        <f>HYPERLINK("https://pbs.twimg.com/profile_images/962471262747529216/Uo8lOkRJ_normal.jpg","View")</f>
        <v>View</v>
      </c>
      <c r="P1562" s="7"/>
    </row>
    <row r="1563" spans="1:16">
      <c r="A1563" s="3">
        <v>43852.166956018518</v>
      </c>
      <c r="B1563" s="4" t="str">
        <f>HYPERLINK("https://twitter.com/petrogustavo","@petrogustavo")</f>
        <v>@petrogustavo</v>
      </c>
      <c r="C1563" s="5" t="s">
        <v>16</v>
      </c>
      <c r="D1563" s="5" t="s">
        <v>1534</v>
      </c>
      <c r="E1563" s="6" t="str">
        <f>HYPERLINK("https://twitter.com/petrogustavo/status/1219749114688299008","1219749114688299008")</f>
        <v>1219749114688299008</v>
      </c>
      <c r="F1563" s="7" t="s">
        <v>17</v>
      </c>
      <c r="G1563" s="7">
        <v>3614964</v>
      </c>
      <c r="H1563" s="7">
        <v>2352</v>
      </c>
      <c r="I1563" s="7">
        <v>31</v>
      </c>
      <c r="J1563" s="7">
        <v>0</v>
      </c>
      <c r="K1563" s="7" t="s">
        <v>18</v>
      </c>
      <c r="L1563" s="8">
        <v>39987.315405092595</v>
      </c>
      <c r="M1563" s="9" t="s">
        <v>19</v>
      </c>
      <c r="N1563" s="9" t="s">
        <v>20</v>
      </c>
      <c r="O1563" s="6" t="str">
        <f>HYPERLINK("https://pbs.twimg.com/profile_images/962471262747529216/Uo8lOkRJ_normal.jpg","View")</f>
        <v>View</v>
      </c>
      <c r="P1563" s="7"/>
    </row>
    <row r="1564" spans="1:16">
      <c r="A1564" s="3">
        <v>43852.167627314819</v>
      </c>
      <c r="B1564" s="4" t="str">
        <f>HYPERLINK("https://twitter.com/petrogustavo","@petrogustavo")</f>
        <v>@petrogustavo</v>
      </c>
      <c r="C1564" s="5" t="s">
        <v>16</v>
      </c>
      <c r="D1564" s="5" t="s">
        <v>1535</v>
      </c>
      <c r="E1564" s="6" t="str">
        <f>HYPERLINK("https://twitter.com/petrogustavo/status/1219749359249694722","1219749359249694722")</f>
        <v>1219749359249694722</v>
      </c>
      <c r="F1564" s="7" t="s">
        <v>17</v>
      </c>
      <c r="G1564" s="7">
        <v>3614964</v>
      </c>
      <c r="H1564" s="7">
        <v>2352</v>
      </c>
      <c r="I1564" s="7">
        <v>197</v>
      </c>
      <c r="J1564" s="7">
        <v>0</v>
      </c>
      <c r="K1564" s="7" t="s">
        <v>18</v>
      </c>
      <c r="L1564" s="8">
        <v>39987.315405092595</v>
      </c>
      <c r="M1564" s="9" t="s">
        <v>19</v>
      </c>
      <c r="N1564" s="9" t="s">
        <v>20</v>
      </c>
      <c r="O1564" s="6" t="str">
        <f>HYPERLINK("https://pbs.twimg.com/profile_images/962471262747529216/Uo8lOkRJ_normal.jpg","View")</f>
        <v>View</v>
      </c>
      <c r="P1564" s="7"/>
    </row>
    <row r="1565" spans="1:16">
      <c r="A1565" s="3">
        <v>43852.171643518523</v>
      </c>
      <c r="B1565" s="4" t="str">
        <f>HYPERLINK("https://twitter.com/petrogustavo","@petrogustavo")</f>
        <v>@petrogustavo</v>
      </c>
      <c r="C1565" s="5" t="s">
        <v>16</v>
      </c>
      <c r="D1565" s="5" t="s">
        <v>1536</v>
      </c>
      <c r="E1565" s="6" t="str">
        <f>HYPERLINK("https://twitter.com/petrogustavo/status/1219750814505406466","1219750814505406466")</f>
        <v>1219750814505406466</v>
      </c>
      <c r="F1565" s="7" t="s">
        <v>17</v>
      </c>
      <c r="G1565" s="7">
        <v>3614964</v>
      </c>
      <c r="H1565" s="7">
        <v>2352</v>
      </c>
      <c r="I1565" s="7">
        <v>15</v>
      </c>
      <c r="J1565" s="7">
        <v>0</v>
      </c>
      <c r="K1565" s="7" t="s">
        <v>18</v>
      </c>
      <c r="L1565" s="8">
        <v>39987.315405092595</v>
      </c>
      <c r="M1565" s="9" t="s">
        <v>19</v>
      </c>
      <c r="N1565" s="9" t="s">
        <v>20</v>
      </c>
      <c r="O1565" s="6" t="str">
        <f>HYPERLINK("https://pbs.twimg.com/profile_images/962471262747529216/Uo8lOkRJ_normal.jpg","View")</f>
        <v>View</v>
      </c>
      <c r="P1565" s="7"/>
    </row>
    <row r="1566" spans="1:16">
      <c r="A1566" s="3">
        <v>43852.173020833332</v>
      </c>
      <c r="B1566" s="4" t="str">
        <f>HYPERLINK("https://twitter.com/petrogustavo","@petrogustavo")</f>
        <v>@petrogustavo</v>
      </c>
      <c r="C1566" s="5" t="s">
        <v>16</v>
      </c>
      <c r="D1566" s="5" t="s">
        <v>1537</v>
      </c>
      <c r="E1566" s="6" t="str">
        <f>HYPERLINK("https://twitter.com/petrogustavo/status/1219751312998400001","1219751312998400001")</f>
        <v>1219751312998400001</v>
      </c>
      <c r="F1566" s="7" t="s">
        <v>17</v>
      </c>
      <c r="G1566" s="7">
        <v>3614964</v>
      </c>
      <c r="H1566" s="7">
        <v>2352</v>
      </c>
      <c r="I1566" s="7">
        <v>32</v>
      </c>
      <c r="J1566" s="7">
        <v>0</v>
      </c>
      <c r="K1566" s="7" t="s">
        <v>18</v>
      </c>
      <c r="L1566" s="8">
        <v>39987.315405092595</v>
      </c>
      <c r="M1566" s="9" t="s">
        <v>19</v>
      </c>
      <c r="N1566" s="9" t="s">
        <v>20</v>
      </c>
      <c r="O1566" s="6" t="str">
        <f>HYPERLINK("https://pbs.twimg.com/profile_images/962471262747529216/Uo8lOkRJ_normal.jpg","View")</f>
        <v>View</v>
      </c>
      <c r="P1566" s="7"/>
    </row>
    <row r="1567" spans="1:16">
      <c r="A1567" s="3">
        <v>43852.230671296296</v>
      </c>
      <c r="B1567" s="4" t="str">
        <f>HYPERLINK("https://twitter.com/petrogustavo","@petrogustavo")</f>
        <v>@petrogustavo</v>
      </c>
      <c r="C1567" s="5" t="s">
        <v>16</v>
      </c>
      <c r="D1567" s="5" t="s">
        <v>1538</v>
      </c>
      <c r="E1567" s="6" t="str">
        <f>HYPERLINK("https://twitter.com/petrogustavo/status/1219772206307336193","1219772206307336193")</f>
        <v>1219772206307336193</v>
      </c>
      <c r="F1567" s="7" t="s">
        <v>17</v>
      </c>
      <c r="G1567" s="7">
        <v>3615121</v>
      </c>
      <c r="H1567" s="7">
        <v>2352</v>
      </c>
      <c r="I1567" s="7">
        <v>16</v>
      </c>
      <c r="J1567" s="7">
        <v>0</v>
      </c>
      <c r="K1567" s="7" t="s">
        <v>18</v>
      </c>
      <c r="L1567" s="8">
        <v>39987.315405092595</v>
      </c>
      <c r="M1567" s="9" t="s">
        <v>19</v>
      </c>
      <c r="N1567" s="9" t="s">
        <v>20</v>
      </c>
      <c r="O1567" s="6" t="str">
        <f>HYPERLINK("https://pbs.twimg.com/profile_images/962471262747529216/Uo8lOkRJ_normal.jpg","View")</f>
        <v>View</v>
      </c>
      <c r="P1567" s="7"/>
    </row>
    <row r="1568" spans="1:16">
      <c r="A1568" s="3">
        <v>43852.231608796297</v>
      </c>
      <c r="B1568" s="4" t="str">
        <f>HYPERLINK("https://twitter.com/petrogustavo","@petrogustavo")</f>
        <v>@petrogustavo</v>
      </c>
      <c r="C1568" s="5" t="s">
        <v>16</v>
      </c>
      <c r="D1568" s="5" t="s">
        <v>1539</v>
      </c>
      <c r="E1568" s="6" t="str">
        <f>HYPERLINK("https://twitter.com/petrogustavo/status/1219772543848058882","1219772543848058882")</f>
        <v>1219772543848058882</v>
      </c>
      <c r="F1568" s="7" t="s">
        <v>17</v>
      </c>
      <c r="G1568" s="7">
        <v>3615121</v>
      </c>
      <c r="H1568" s="7">
        <v>2352</v>
      </c>
      <c r="I1568" s="7">
        <v>171</v>
      </c>
      <c r="J1568" s="7">
        <v>496</v>
      </c>
      <c r="K1568" s="7" t="s">
        <v>18</v>
      </c>
      <c r="L1568" s="8">
        <v>39987.315405092595</v>
      </c>
      <c r="M1568" s="9" t="s">
        <v>19</v>
      </c>
      <c r="N1568" s="9" t="s">
        <v>20</v>
      </c>
      <c r="O1568" s="6" t="str">
        <f>HYPERLINK("https://pbs.twimg.com/profile_images/962471262747529216/Uo8lOkRJ_normal.jpg","View")</f>
        <v>View</v>
      </c>
      <c r="P1568" s="7"/>
    </row>
    <row r="1569" spans="1:16">
      <c r="A1569" s="3">
        <v>43852.231979166667</v>
      </c>
      <c r="B1569" s="4" t="str">
        <f>HYPERLINK("https://twitter.com/petrogustavo","@petrogustavo")</f>
        <v>@petrogustavo</v>
      </c>
      <c r="C1569" s="5" t="s">
        <v>16</v>
      </c>
      <c r="D1569" s="5" t="s">
        <v>1540</v>
      </c>
      <c r="E1569" s="6" t="str">
        <f>HYPERLINK("https://twitter.com/petrogustavo/status/1219772676945911811","1219772676945911811")</f>
        <v>1219772676945911811</v>
      </c>
      <c r="F1569" s="7" t="s">
        <v>17</v>
      </c>
      <c r="G1569" s="7">
        <v>3615121</v>
      </c>
      <c r="H1569" s="7">
        <v>2352</v>
      </c>
      <c r="I1569" s="7">
        <v>96</v>
      </c>
      <c r="J1569" s="7">
        <v>0</v>
      </c>
      <c r="K1569" s="7" t="s">
        <v>18</v>
      </c>
      <c r="L1569" s="8">
        <v>39987.315405092595</v>
      </c>
      <c r="M1569" s="9" t="s">
        <v>19</v>
      </c>
      <c r="N1569" s="9" t="s">
        <v>20</v>
      </c>
      <c r="O1569" s="6" t="str">
        <f>HYPERLINK("https://pbs.twimg.com/profile_images/962471262747529216/Uo8lOkRJ_normal.jpg","View")</f>
        <v>View</v>
      </c>
      <c r="P1569" s="7"/>
    </row>
    <row r="1570" spans="1:16">
      <c r="A1570" s="3">
        <v>43852.232430555552</v>
      </c>
      <c r="B1570" s="4" t="str">
        <f>HYPERLINK("https://twitter.com/petrogustavo","@petrogustavo")</f>
        <v>@petrogustavo</v>
      </c>
      <c r="C1570" s="5" t="s">
        <v>16</v>
      </c>
      <c r="D1570" s="5" t="s">
        <v>1541</v>
      </c>
      <c r="E1570" s="6" t="str">
        <f>HYPERLINK("https://twitter.com/petrogustavo/status/1219772841698168832","1219772841698168832")</f>
        <v>1219772841698168832</v>
      </c>
      <c r="F1570" s="7" t="s">
        <v>17</v>
      </c>
      <c r="G1570" s="7">
        <v>3615121</v>
      </c>
      <c r="H1570" s="7">
        <v>2352</v>
      </c>
      <c r="I1570" s="7">
        <v>130</v>
      </c>
      <c r="J1570" s="7">
        <v>0</v>
      </c>
      <c r="K1570" s="7" t="s">
        <v>18</v>
      </c>
      <c r="L1570" s="8">
        <v>39987.315405092595</v>
      </c>
      <c r="M1570" s="9" t="s">
        <v>19</v>
      </c>
      <c r="N1570" s="9" t="s">
        <v>20</v>
      </c>
      <c r="O1570" s="6" t="str">
        <f>HYPERLINK("https://pbs.twimg.com/profile_images/962471262747529216/Uo8lOkRJ_normal.jpg","View")</f>
        <v>View</v>
      </c>
      <c r="P1570" s="7"/>
    </row>
    <row r="1571" spans="1:16">
      <c r="A1571" s="3">
        <v>43852.233344907407</v>
      </c>
      <c r="B1571" s="4" t="str">
        <f>HYPERLINK("https://twitter.com/petrogustavo","@petrogustavo")</f>
        <v>@petrogustavo</v>
      </c>
      <c r="C1571" s="5" t="s">
        <v>16</v>
      </c>
      <c r="D1571" s="5" t="s">
        <v>1542</v>
      </c>
      <c r="E1571" s="6" t="str">
        <f>HYPERLINK("https://twitter.com/petrogustavo/status/1219773171697684481","1219773171697684481")</f>
        <v>1219773171697684481</v>
      </c>
      <c r="F1571" s="7" t="s">
        <v>17</v>
      </c>
      <c r="G1571" s="7">
        <v>3615121</v>
      </c>
      <c r="H1571" s="7">
        <v>2352</v>
      </c>
      <c r="I1571" s="7">
        <v>491</v>
      </c>
      <c r="J1571" s="7">
        <v>0</v>
      </c>
      <c r="K1571" s="7" t="s">
        <v>18</v>
      </c>
      <c r="L1571" s="8">
        <v>39987.315405092595</v>
      </c>
      <c r="M1571" s="9" t="s">
        <v>19</v>
      </c>
      <c r="N1571" s="9" t="s">
        <v>20</v>
      </c>
      <c r="O1571" s="6" t="str">
        <f>HYPERLINK("https://pbs.twimg.com/profile_images/962471262747529216/Uo8lOkRJ_normal.jpg","View")</f>
        <v>View</v>
      </c>
      <c r="P1571" s="7"/>
    </row>
    <row r="1572" spans="1:16">
      <c r="A1572" s="3">
        <v>43852.233495370368</v>
      </c>
      <c r="B1572" s="4" t="str">
        <f>HYPERLINK("https://twitter.com/petrogustavo","@petrogustavo")</f>
        <v>@petrogustavo</v>
      </c>
      <c r="C1572" s="5" t="s">
        <v>16</v>
      </c>
      <c r="D1572" s="5" t="s">
        <v>1543</v>
      </c>
      <c r="E1572" s="6" t="str">
        <f>HYPERLINK("https://twitter.com/petrogustavo/status/1219773227267960832","1219773227267960832")</f>
        <v>1219773227267960832</v>
      </c>
      <c r="F1572" s="7" t="s">
        <v>17</v>
      </c>
      <c r="G1572" s="7">
        <v>3615121</v>
      </c>
      <c r="H1572" s="7">
        <v>2352</v>
      </c>
      <c r="I1572" s="7">
        <v>63</v>
      </c>
      <c r="J1572" s="7">
        <v>0</v>
      </c>
      <c r="K1572" s="7" t="s">
        <v>18</v>
      </c>
      <c r="L1572" s="8">
        <v>39987.315405092595</v>
      </c>
      <c r="M1572" s="9" t="s">
        <v>19</v>
      </c>
      <c r="N1572" s="9" t="s">
        <v>20</v>
      </c>
      <c r="O1572" s="6" t="str">
        <f>HYPERLINK("https://pbs.twimg.com/profile_images/962471262747529216/Uo8lOkRJ_normal.jpg","View")</f>
        <v>View</v>
      </c>
      <c r="P1572" s="7"/>
    </row>
    <row r="1573" spans="1:16">
      <c r="A1573" s="3">
        <v>43852.233784722222</v>
      </c>
      <c r="B1573" s="4" t="str">
        <f>HYPERLINK("https://twitter.com/petrogustavo","@petrogustavo")</f>
        <v>@petrogustavo</v>
      </c>
      <c r="C1573" s="5" t="s">
        <v>16</v>
      </c>
      <c r="D1573" s="5" t="s">
        <v>1544</v>
      </c>
      <c r="E1573" s="6" t="str">
        <f>HYPERLINK("https://twitter.com/petrogustavo/status/1219773330791763972","1219773330791763972")</f>
        <v>1219773330791763972</v>
      </c>
      <c r="F1573" s="7" t="s">
        <v>17</v>
      </c>
      <c r="G1573" s="7">
        <v>3615121</v>
      </c>
      <c r="H1573" s="7">
        <v>2352</v>
      </c>
      <c r="I1573" s="7">
        <v>59</v>
      </c>
      <c r="J1573" s="7">
        <v>0</v>
      </c>
      <c r="K1573" s="7" t="s">
        <v>18</v>
      </c>
      <c r="L1573" s="8">
        <v>39987.315405092595</v>
      </c>
      <c r="M1573" s="9" t="s">
        <v>19</v>
      </c>
      <c r="N1573" s="9" t="s">
        <v>20</v>
      </c>
      <c r="O1573" s="6" t="str">
        <f>HYPERLINK("https://pbs.twimg.com/profile_images/962471262747529216/Uo8lOkRJ_normal.jpg","View")</f>
        <v>View</v>
      </c>
      <c r="P1573" s="7"/>
    </row>
    <row r="1574" spans="1:16">
      <c r="A1574" s="3">
        <v>43852.23538194444</v>
      </c>
      <c r="B1574" s="4" t="str">
        <f>HYPERLINK("https://twitter.com/petrogustavo","@petrogustavo")</f>
        <v>@petrogustavo</v>
      </c>
      <c r="C1574" s="5" t="s">
        <v>16</v>
      </c>
      <c r="D1574" s="5" t="s">
        <v>1545</v>
      </c>
      <c r="E1574" s="6" t="str">
        <f>HYPERLINK("https://twitter.com/petrogustavo/status/1219773913045065729","1219773913045065729")</f>
        <v>1219773913045065729</v>
      </c>
      <c r="F1574" s="7" t="s">
        <v>17</v>
      </c>
      <c r="G1574" s="7">
        <v>3615121</v>
      </c>
      <c r="H1574" s="7">
        <v>2352</v>
      </c>
      <c r="I1574" s="7">
        <v>18</v>
      </c>
      <c r="J1574" s="7">
        <v>0</v>
      </c>
      <c r="K1574" s="7" t="s">
        <v>18</v>
      </c>
      <c r="L1574" s="8">
        <v>39987.315405092595</v>
      </c>
      <c r="M1574" s="9" t="s">
        <v>19</v>
      </c>
      <c r="N1574" s="9" t="s">
        <v>20</v>
      </c>
      <c r="O1574" s="6" t="str">
        <f>HYPERLINK("https://pbs.twimg.com/profile_images/962471262747529216/Uo8lOkRJ_normal.jpg","View")</f>
        <v>View</v>
      </c>
      <c r="P1574" s="7"/>
    </row>
    <row r="1575" spans="1:16">
      <c r="A1575" s="3">
        <v>43852.235856481479</v>
      </c>
      <c r="B1575" s="4" t="str">
        <f>HYPERLINK("https://twitter.com/petrogustavo","@petrogustavo")</f>
        <v>@petrogustavo</v>
      </c>
      <c r="C1575" s="5" t="s">
        <v>16</v>
      </c>
      <c r="D1575" s="5" t="s">
        <v>1546</v>
      </c>
      <c r="E1575" s="6" t="str">
        <f>HYPERLINK("https://twitter.com/petrogustavo/status/1219774084696899584","1219774084696899584")</f>
        <v>1219774084696899584</v>
      </c>
      <c r="F1575" s="7" t="s">
        <v>17</v>
      </c>
      <c r="G1575" s="7">
        <v>3615121</v>
      </c>
      <c r="H1575" s="7">
        <v>2352</v>
      </c>
      <c r="I1575" s="7">
        <v>454</v>
      </c>
      <c r="J1575" s="7">
        <v>0</v>
      </c>
      <c r="K1575" s="7" t="s">
        <v>18</v>
      </c>
      <c r="L1575" s="8">
        <v>39987.315405092595</v>
      </c>
      <c r="M1575" s="9" t="s">
        <v>19</v>
      </c>
      <c r="N1575" s="9" t="s">
        <v>20</v>
      </c>
      <c r="O1575" s="6" t="str">
        <f>HYPERLINK("https://pbs.twimg.com/profile_images/962471262747529216/Uo8lOkRJ_normal.jpg","View")</f>
        <v>View</v>
      </c>
      <c r="P1575" s="7"/>
    </row>
    <row r="1576" spans="1:16">
      <c r="A1576" s="3">
        <v>43852.236724537041</v>
      </c>
      <c r="B1576" s="4" t="str">
        <f>HYPERLINK("https://twitter.com/petrogustavo","@petrogustavo")</f>
        <v>@petrogustavo</v>
      </c>
      <c r="C1576" s="5" t="s">
        <v>16</v>
      </c>
      <c r="D1576" s="5" t="s">
        <v>1547</v>
      </c>
      <c r="E1576" s="6" t="str">
        <f>HYPERLINK("https://twitter.com/petrogustavo/status/1219774396157562884","1219774396157562884")</f>
        <v>1219774396157562884</v>
      </c>
      <c r="F1576" s="7" t="s">
        <v>17</v>
      </c>
      <c r="G1576" s="7">
        <v>3615121</v>
      </c>
      <c r="H1576" s="7">
        <v>2352</v>
      </c>
      <c r="I1576" s="7">
        <v>48</v>
      </c>
      <c r="J1576" s="7">
        <v>0</v>
      </c>
      <c r="K1576" s="7" t="s">
        <v>18</v>
      </c>
      <c r="L1576" s="8">
        <v>39987.315405092595</v>
      </c>
      <c r="M1576" s="9" t="s">
        <v>19</v>
      </c>
      <c r="N1576" s="9" t="s">
        <v>20</v>
      </c>
      <c r="O1576" s="6" t="str">
        <f>HYPERLINK("https://pbs.twimg.com/profile_images/962471262747529216/Uo8lOkRJ_normal.jpg","View")</f>
        <v>View</v>
      </c>
      <c r="P1576" s="7"/>
    </row>
    <row r="1577" spans="1:16">
      <c r="A1577" s="3">
        <v>43852.236898148149</v>
      </c>
      <c r="B1577" s="4" t="str">
        <f>HYPERLINK("https://twitter.com/petrogustavo","@petrogustavo")</f>
        <v>@petrogustavo</v>
      </c>
      <c r="C1577" s="5" t="s">
        <v>16</v>
      </c>
      <c r="D1577" s="5" t="s">
        <v>1548</v>
      </c>
      <c r="E1577" s="6" t="str">
        <f>HYPERLINK("https://twitter.com/petrogustavo/status/1219774462163374081","1219774462163374081")</f>
        <v>1219774462163374081</v>
      </c>
      <c r="F1577" s="7" t="s">
        <v>17</v>
      </c>
      <c r="G1577" s="7">
        <v>3615121</v>
      </c>
      <c r="H1577" s="7">
        <v>2352</v>
      </c>
      <c r="I1577" s="7">
        <v>13</v>
      </c>
      <c r="J1577" s="7">
        <v>0</v>
      </c>
      <c r="K1577" s="7" t="s">
        <v>18</v>
      </c>
      <c r="L1577" s="8">
        <v>39987.315405092595</v>
      </c>
      <c r="M1577" s="9" t="s">
        <v>19</v>
      </c>
      <c r="N1577" s="9" t="s">
        <v>20</v>
      </c>
      <c r="O1577" s="6" t="str">
        <f>HYPERLINK("https://pbs.twimg.com/profile_images/962471262747529216/Uo8lOkRJ_normal.jpg","View")</f>
        <v>View</v>
      </c>
      <c r="P1577" s="7"/>
    </row>
    <row r="1578" spans="1:16">
      <c r="A1578" s="3">
        <v>43852.253321759257</v>
      </c>
      <c r="B1578" s="4" t="str">
        <f>HYPERLINK("https://twitter.com/petrogustavo","@petrogustavo")</f>
        <v>@petrogustavo</v>
      </c>
      <c r="C1578" s="5" t="s">
        <v>16</v>
      </c>
      <c r="D1578" s="5" t="s">
        <v>1549</v>
      </c>
      <c r="E1578" s="6" t="str">
        <f>HYPERLINK("https://twitter.com/petrogustavo/status/1219780411842289670","1219780411842289670")</f>
        <v>1219780411842289670</v>
      </c>
      <c r="F1578" s="7" t="s">
        <v>17</v>
      </c>
      <c r="G1578" s="7">
        <v>3615159</v>
      </c>
      <c r="H1578" s="7">
        <v>2352</v>
      </c>
      <c r="I1578" s="7">
        <v>86</v>
      </c>
      <c r="J1578" s="7">
        <v>281</v>
      </c>
      <c r="K1578" s="7" t="s">
        <v>18</v>
      </c>
      <c r="L1578" s="8">
        <v>39987.315405092595</v>
      </c>
      <c r="M1578" s="9" t="s">
        <v>19</v>
      </c>
      <c r="N1578" s="9" t="s">
        <v>20</v>
      </c>
      <c r="O1578" s="6" t="str">
        <f>HYPERLINK("https://pbs.twimg.com/profile_images/962471262747529216/Uo8lOkRJ_normal.jpg","View")</f>
        <v>View</v>
      </c>
      <c r="P1578" s="7"/>
    </row>
    <row r="1579" spans="1:16">
      <c r="A1579" s="3">
        <v>43852.253738425927</v>
      </c>
      <c r="B1579" s="4" t="str">
        <f>HYPERLINK("https://twitter.com/petrogustavo","@petrogustavo")</f>
        <v>@petrogustavo</v>
      </c>
      <c r="C1579" s="5" t="s">
        <v>16</v>
      </c>
      <c r="D1579" s="5" t="s">
        <v>1550</v>
      </c>
      <c r="E1579" s="6" t="str">
        <f>HYPERLINK("https://twitter.com/petrogustavo/status/1219780564540174336","1219780564540174336")</f>
        <v>1219780564540174336</v>
      </c>
      <c r="F1579" s="7" t="s">
        <v>17</v>
      </c>
      <c r="G1579" s="7">
        <v>3615159</v>
      </c>
      <c r="H1579" s="7">
        <v>2352</v>
      </c>
      <c r="I1579" s="7">
        <v>188</v>
      </c>
      <c r="J1579" s="7">
        <v>0</v>
      </c>
      <c r="K1579" s="7" t="s">
        <v>18</v>
      </c>
      <c r="L1579" s="8">
        <v>39987.315405092595</v>
      </c>
      <c r="M1579" s="9" t="s">
        <v>19</v>
      </c>
      <c r="N1579" s="9" t="s">
        <v>20</v>
      </c>
      <c r="O1579" s="6" t="str">
        <f>HYPERLINK("https://pbs.twimg.com/profile_images/962471262747529216/Uo8lOkRJ_normal.jpg","View")</f>
        <v>View</v>
      </c>
      <c r="P1579" s="7"/>
    </row>
    <row r="1580" spans="1:16">
      <c r="A1580" s="3">
        <v>43852.257731481484</v>
      </c>
      <c r="B1580" s="4" t="str">
        <f>HYPERLINK("https://twitter.com/petrogustavo","@petrogustavo")</f>
        <v>@petrogustavo</v>
      </c>
      <c r="C1580" s="5" t="s">
        <v>16</v>
      </c>
      <c r="D1580" s="5" t="s">
        <v>1551</v>
      </c>
      <c r="E1580" s="6" t="str">
        <f>HYPERLINK("https://twitter.com/petrogustavo/status/1219782009859596289","1219782009859596289")</f>
        <v>1219782009859596289</v>
      </c>
      <c r="F1580" s="7" t="s">
        <v>17</v>
      </c>
      <c r="G1580" s="7">
        <v>3615159</v>
      </c>
      <c r="H1580" s="7">
        <v>2352</v>
      </c>
      <c r="I1580" s="7">
        <v>32</v>
      </c>
      <c r="J1580" s="7">
        <v>0</v>
      </c>
      <c r="K1580" s="7" t="s">
        <v>18</v>
      </c>
      <c r="L1580" s="8">
        <v>39987.315405092595</v>
      </c>
      <c r="M1580" s="9" t="s">
        <v>19</v>
      </c>
      <c r="N1580" s="9" t="s">
        <v>20</v>
      </c>
      <c r="O1580" s="6" t="str">
        <f>HYPERLINK("https://pbs.twimg.com/profile_images/962471262747529216/Uo8lOkRJ_normal.jpg","View")</f>
        <v>View</v>
      </c>
      <c r="P1580" s="7"/>
    </row>
    <row r="1581" spans="1:16">
      <c r="A1581" s="3">
        <v>43852.257847222223</v>
      </c>
      <c r="B1581" s="4" t="str">
        <f>HYPERLINK("https://twitter.com/petrogustavo","@petrogustavo")</f>
        <v>@petrogustavo</v>
      </c>
      <c r="C1581" s="5" t="s">
        <v>16</v>
      </c>
      <c r="D1581" s="5" t="s">
        <v>1552</v>
      </c>
      <c r="E1581" s="6" t="str">
        <f>HYPERLINK("https://twitter.com/petrogustavo/status/1219782050712104960","1219782050712104960")</f>
        <v>1219782050712104960</v>
      </c>
      <c r="F1581" s="7" t="s">
        <v>17</v>
      </c>
      <c r="G1581" s="7">
        <v>3615159</v>
      </c>
      <c r="H1581" s="7">
        <v>2352</v>
      </c>
      <c r="I1581" s="7">
        <v>89</v>
      </c>
      <c r="J1581" s="7">
        <v>0</v>
      </c>
      <c r="K1581" s="7" t="s">
        <v>18</v>
      </c>
      <c r="L1581" s="8">
        <v>39987.315405092595</v>
      </c>
      <c r="M1581" s="9" t="s">
        <v>19</v>
      </c>
      <c r="N1581" s="9" t="s">
        <v>20</v>
      </c>
      <c r="O1581" s="6" t="str">
        <f>HYPERLINK("https://pbs.twimg.com/profile_images/962471262747529216/Uo8lOkRJ_normal.jpg","View")</f>
        <v>View</v>
      </c>
      <c r="P1581" s="7"/>
    </row>
    <row r="1582" spans="1:16">
      <c r="A1582" s="3">
        <v>43852.259826388894</v>
      </c>
      <c r="B1582" s="4" t="str">
        <f>HYPERLINK("https://twitter.com/petrogustavo","@petrogustavo")</f>
        <v>@petrogustavo</v>
      </c>
      <c r="C1582" s="5" t="s">
        <v>16</v>
      </c>
      <c r="D1582" s="5" t="s">
        <v>1553</v>
      </c>
      <c r="E1582" s="6" t="str">
        <f>HYPERLINK("https://twitter.com/petrogustavo/status/1219782768344936449","1219782768344936449")</f>
        <v>1219782768344936449</v>
      </c>
      <c r="F1582" s="7" t="s">
        <v>17</v>
      </c>
      <c r="G1582" s="7">
        <v>3615159</v>
      </c>
      <c r="H1582" s="7">
        <v>2352</v>
      </c>
      <c r="I1582" s="7">
        <v>53</v>
      </c>
      <c r="J1582" s="7">
        <v>175</v>
      </c>
      <c r="K1582" s="7" t="s">
        <v>18</v>
      </c>
      <c r="L1582" s="8">
        <v>39987.315405092595</v>
      </c>
      <c r="M1582" s="9" t="s">
        <v>19</v>
      </c>
      <c r="N1582" s="9" t="s">
        <v>20</v>
      </c>
      <c r="O1582" s="6" t="str">
        <f>HYPERLINK("https://pbs.twimg.com/profile_images/962471262747529216/Uo8lOkRJ_normal.jpg","View")</f>
        <v>View</v>
      </c>
      <c r="P1582" s="7"/>
    </row>
    <row r="1583" spans="1:16">
      <c r="A1583" s="3">
        <v>43852.264872685184</v>
      </c>
      <c r="B1583" s="4" t="str">
        <f>HYPERLINK("https://twitter.com/petrogustavo","@petrogustavo")</f>
        <v>@petrogustavo</v>
      </c>
      <c r="C1583" s="5" t="s">
        <v>16</v>
      </c>
      <c r="D1583" s="5" t="s">
        <v>1554</v>
      </c>
      <c r="E1583" s="6" t="str">
        <f>HYPERLINK("https://twitter.com/petrogustavo/status/1219784600085565445","1219784600085565445")</f>
        <v>1219784600085565445</v>
      </c>
      <c r="F1583" s="7" t="s">
        <v>17</v>
      </c>
      <c r="G1583" s="7">
        <v>3615197</v>
      </c>
      <c r="H1583" s="7">
        <v>2352</v>
      </c>
      <c r="I1583" s="7">
        <v>74</v>
      </c>
      <c r="J1583" s="7">
        <v>0</v>
      </c>
      <c r="K1583" s="7" t="s">
        <v>18</v>
      </c>
      <c r="L1583" s="8">
        <v>39987.315405092595</v>
      </c>
      <c r="M1583" s="9" t="s">
        <v>19</v>
      </c>
      <c r="N1583" s="9" t="s">
        <v>20</v>
      </c>
      <c r="O1583" s="6" t="str">
        <f>HYPERLINK("https://pbs.twimg.com/profile_images/962471262747529216/Uo8lOkRJ_normal.jpg","View")</f>
        <v>View</v>
      </c>
      <c r="P1583" s="7"/>
    </row>
    <row r="1584" spans="1:16">
      <c r="A1584" s="3">
        <v>43852.265138888892</v>
      </c>
      <c r="B1584" s="4" t="str">
        <f>HYPERLINK("https://twitter.com/petrogustavo","@petrogustavo")</f>
        <v>@petrogustavo</v>
      </c>
      <c r="C1584" s="5" t="s">
        <v>16</v>
      </c>
      <c r="D1584" s="5" t="s">
        <v>1555</v>
      </c>
      <c r="E1584" s="6" t="str">
        <f>HYPERLINK("https://twitter.com/petrogustavo/status/1219784696495779840","1219784696495779840")</f>
        <v>1219784696495779840</v>
      </c>
      <c r="F1584" s="7" t="s">
        <v>17</v>
      </c>
      <c r="G1584" s="7">
        <v>3615197</v>
      </c>
      <c r="H1584" s="7">
        <v>2352</v>
      </c>
      <c r="I1584" s="7">
        <v>66</v>
      </c>
      <c r="J1584" s="7">
        <v>0</v>
      </c>
      <c r="K1584" s="7" t="s">
        <v>18</v>
      </c>
      <c r="L1584" s="8">
        <v>39987.315405092595</v>
      </c>
      <c r="M1584" s="9" t="s">
        <v>19</v>
      </c>
      <c r="N1584" s="9" t="s">
        <v>20</v>
      </c>
      <c r="O1584" s="6" t="str">
        <f>HYPERLINK("https://pbs.twimg.com/profile_images/962471262747529216/Uo8lOkRJ_normal.jpg","View")</f>
        <v>View</v>
      </c>
      <c r="P1584" s="7"/>
    </row>
    <row r="1585" spans="1:16">
      <c r="A1585" s="3">
        <v>43852.266168981485</v>
      </c>
      <c r="B1585" s="4" t="str">
        <f>HYPERLINK("https://twitter.com/petrogustavo","@petrogustavo")</f>
        <v>@petrogustavo</v>
      </c>
      <c r="C1585" s="5" t="s">
        <v>16</v>
      </c>
      <c r="D1585" s="5" t="s">
        <v>1556</v>
      </c>
      <c r="E1585" s="6" t="str">
        <f>HYPERLINK("https://twitter.com/petrogustavo/status/1219785068140470272","1219785068140470272")</f>
        <v>1219785068140470272</v>
      </c>
      <c r="F1585" s="7" t="s">
        <v>17</v>
      </c>
      <c r="G1585" s="7">
        <v>3615197</v>
      </c>
      <c r="H1585" s="7">
        <v>2352</v>
      </c>
      <c r="I1585" s="7">
        <v>180</v>
      </c>
      <c r="J1585" s="7">
        <v>0</v>
      </c>
      <c r="K1585" s="7" t="s">
        <v>18</v>
      </c>
      <c r="L1585" s="8">
        <v>39987.315405092595</v>
      </c>
      <c r="M1585" s="9" t="s">
        <v>19</v>
      </c>
      <c r="N1585" s="9" t="s">
        <v>20</v>
      </c>
      <c r="O1585" s="6" t="str">
        <f>HYPERLINK("https://pbs.twimg.com/profile_images/962471262747529216/Uo8lOkRJ_normal.jpg","View")</f>
        <v>View</v>
      </c>
      <c r="P1585" s="7"/>
    </row>
    <row r="1586" spans="1:16">
      <c r="A1586" s="3">
        <v>43852.267881944441</v>
      </c>
      <c r="B1586" s="4" t="str">
        <f>HYPERLINK("https://twitter.com/petrogustavo","@petrogustavo")</f>
        <v>@petrogustavo</v>
      </c>
      <c r="C1586" s="5" t="s">
        <v>16</v>
      </c>
      <c r="D1586" s="5" t="s">
        <v>1557</v>
      </c>
      <c r="E1586" s="6" t="str">
        <f>HYPERLINK("https://twitter.com/petrogustavo/status/1219785687458861057","1219785687458861057")</f>
        <v>1219785687458861057</v>
      </c>
      <c r="F1586" s="7" t="s">
        <v>17</v>
      </c>
      <c r="G1586" s="7">
        <v>3615197</v>
      </c>
      <c r="H1586" s="7">
        <v>2352</v>
      </c>
      <c r="I1586" s="7">
        <v>18</v>
      </c>
      <c r="J1586" s="7">
        <v>0</v>
      </c>
      <c r="K1586" s="7" t="s">
        <v>18</v>
      </c>
      <c r="L1586" s="8">
        <v>39987.315405092595</v>
      </c>
      <c r="M1586" s="9" t="s">
        <v>19</v>
      </c>
      <c r="N1586" s="9" t="s">
        <v>20</v>
      </c>
      <c r="O1586" s="6" t="str">
        <f>HYPERLINK("https://pbs.twimg.com/profile_images/962471262747529216/Uo8lOkRJ_normal.jpg","View")</f>
        <v>View</v>
      </c>
      <c r="P1586" s="7"/>
    </row>
    <row r="1587" spans="1:16">
      <c r="A1587" s="3">
        <v>43852.268240740741</v>
      </c>
      <c r="B1587" s="4" t="str">
        <f>HYPERLINK("https://twitter.com/petrogustavo","@petrogustavo")</f>
        <v>@petrogustavo</v>
      </c>
      <c r="C1587" s="5" t="s">
        <v>16</v>
      </c>
      <c r="D1587" s="5" t="s">
        <v>1558</v>
      </c>
      <c r="E1587" s="6" t="str">
        <f>HYPERLINK("https://twitter.com/petrogustavo/status/1219785819403300864","1219785819403300864")</f>
        <v>1219785819403300864</v>
      </c>
      <c r="F1587" s="7" t="s">
        <v>17</v>
      </c>
      <c r="G1587" s="7">
        <v>3615197</v>
      </c>
      <c r="H1587" s="7">
        <v>2352</v>
      </c>
      <c r="I1587" s="7">
        <v>41</v>
      </c>
      <c r="J1587" s="7">
        <v>0</v>
      </c>
      <c r="K1587" s="7" t="s">
        <v>18</v>
      </c>
      <c r="L1587" s="8">
        <v>39987.315405092595</v>
      </c>
      <c r="M1587" s="9" t="s">
        <v>19</v>
      </c>
      <c r="N1587" s="9" t="s">
        <v>20</v>
      </c>
      <c r="O1587" s="6" t="str">
        <f>HYPERLINK("https://pbs.twimg.com/profile_images/962471262747529216/Uo8lOkRJ_normal.jpg","View")</f>
        <v>View</v>
      </c>
      <c r="P1587" s="7"/>
    </row>
    <row r="1588" spans="1:16">
      <c r="A1588" s="3">
        <v>43852.268333333333</v>
      </c>
      <c r="B1588" s="4" t="str">
        <f>HYPERLINK("https://twitter.com/petrogustavo","@petrogustavo")</f>
        <v>@petrogustavo</v>
      </c>
      <c r="C1588" s="5" t="s">
        <v>16</v>
      </c>
      <c r="D1588" s="5" t="s">
        <v>1559</v>
      </c>
      <c r="E1588" s="6" t="str">
        <f>HYPERLINK("https://twitter.com/petrogustavo/status/1219785852227854336","1219785852227854336")</f>
        <v>1219785852227854336</v>
      </c>
      <c r="F1588" s="7" t="s">
        <v>17</v>
      </c>
      <c r="G1588" s="7">
        <v>3615197</v>
      </c>
      <c r="H1588" s="7">
        <v>2352</v>
      </c>
      <c r="I1588" s="7">
        <v>153</v>
      </c>
      <c r="J1588" s="7">
        <v>0</v>
      </c>
      <c r="K1588" s="7" t="s">
        <v>18</v>
      </c>
      <c r="L1588" s="8">
        <v>39987.315405092595</v>
      </c>
      <c r="M1588" s="9" t="s">
        <v>19</v>
      </c>
      <c r="N1588" s="9" t="s">
        <v>20</v>
      </c>
      <c r="O1588" s="6" t="str">
        <f>HYPERLINK("https://pbs.twimg.com/profile_images/962471262747529216/Uo8lOkRJ_normal.jpg","View")</f>
        <v>View</v>
      </c>
      <c r="P1588" s="7"/>
    </row>
    <row r="1589" spans="1:16">
      <c r="A1589" s="3">
        <v>43852.269224537042</v>
      </c>
      <c r="B1589" s="4" t="str">
        <f>HYPERLINK("https://twitter.com/petrogustavo","@petrogustavo")</f>
        <v>@petrogustavo</v>
      </c>
      <c r="C1589" s="5" t="s">
        <v>16</v>
      </c>
      <c r="D1589" s="5" t="s">
        <v>1560</v>
      </c>
      <c r="E1589" s="6" t="str">
        <f>HYPERLINK("https://twitter.com/petrogustavo/status/1219786177848496134","1219786177848496134")</f>
        <v>1219786177848496134</v>
      </c>
      <c r="F1589" s="7" t="s">
        <v>17</v>
      </c>
      <c r="G1589" s="7">
        <v>3615197</v>
      </c>
      <c r="H1589" s="7">
        <v>2352</v>
      </c>
      <c r="I1589" s="7">
        <v>28</v>
      </c>
      <c r="J1589" s="7">
        <v>0</v>
      </c>
      <c r="K1589" s="7" t="s">
        <v>18</v>
      </c>
      <c r="L1589" s="8">
        <v>39987.315405092595</v>
      </c>
      <c r="M1589" s="9" t="s">
        <v>19</v>
      </c>
      <c r="N1589" s="9" t="s">
        <v>20</v>
      </c>
      <c r="O1589" s="6" t="str">
        <f>HYPERLINK("https://pbs.twimg.com/profile_images/962471262747529216/Uo8lOkRJ_normal.jpg","View")</f>
        <v>View</v>
      </c>
      <c r="P1589" s="7"/>
    </row>
    <row r="1590" spans="1:16">
      <c r="A1590" s="3">
        <v>43852.295937499999</v>
      </c>
      <c r="B1590" s="4" t="str">
        <f>HYPERLINK("https://twitter.com/petrogustavo","@petrogustavo")</f>
        <v>@petrogustavo</v>
      </c>
      <c r="C1590" s="5" t="s">
        <v>16</v>
      </c>
      <c r="D1590" s="5" t="s">
        <v>1561</v>
      </c>
      <c r="E1590" s="6" t="str">
        <f>HYPERLINK("https://twitter.com/petrogustavo/status/1219795856582414336","1219795856582414336")</f>
        <v>1219795856582414336</v>
      </c>
      <c r="F1590" s="7" t="s">
        <v>17</v>
      </c>
      <c r="G1590" s="7">
        <v>3615234</v>
      </c>
      <c r="H1590" s="7">
        <v>2352</v>
      </c>
      <c r="I1590" s="7">
        <v>111</v>
      </c>
      <c r="J1590" s="7">
        <v>521</v>
      </c>
      <c r="K1590" s="7" t="s">
        <v>18</v>
      </c>
      <c r="L1590" s="8">
        <v>39987.315405092595</v>
      </c>
      <c r="M1590" s="9" t="s">
        <v>19</v>
      </c>
      <c r="N1590" s="9" t="s">
        <v>20</v>
      </c>
      <c r="O1590" s="6" t="str">
        <f>HYPERLINK("https://pbs.twimg.com/profile_images/962471262747529216/Uo8lOkRJ_normal.jpg","View")</f>
        <v>View</v>
      </c>
      <c r="P1590" s="7"/>
    </row>
    <row r="1591" spans="1:16">
      <c r="A1591" s="3">
        <v>43852.298206018517</v>
      </c>
      <c r="B1591" s="4" t="str">
        <f>HYPERLINK("https://twitter.com/petrogustavo","@petrogustavo")</f>
        <v>@petrogustavo</v>
      </c>
      <c r="C1591" s="5" t="s">
        <v>16</v>
      </c>
      <c r="D1591" s="5" t="s">
        <v>1562</v>
      </c>
      <c r="E1591" s="6" t="str">
        <f>HYPERLINK("https://twitter.com/petrogustavo/status/1219796676636041216","1219796676636041216")</f>
        <v>1219796676636041216</v>
      </c>
      <c r="F1591" s="7" t="s">
        <v>17</v>
      </c>
      <c r="G1591" s="7">
        <v>3615234</v>
      </c>
      <c r="H1591" s="7">
        <v>2352</v>
      </c>
      <c r="I1591" s="7">
        <v>52</v>
      </c>
      <c r="J1591" s="7">
        <v>126</v>
      </c>
      <c r="K1591" s="7" t="s">
        <v>18</v>
      </c>
      <c r="L1591" s="8">
        <v>39987.315405092595</v>
      </c>
      <c r="M1591" s="9" t="s">
        <v>19</v>
      </c>
      <c r="N1591" s="9" t="s">
        <v>20</v>
      </c>
      <c r="O1591" s="6" t="str">
        <f>HYPERLINK("https://pbs.twimg.com/profile_images/962471262747529216/Uo8lOkRJ_normal.jpg","View")</f>
        <v>View</v>
      </c>
      <c r="P1591" s="7"/>
    </row>
    <row r="1592" spans="1:16">
      <c r="A1592" s="3">
        <v>43852.300046296295</v>
      </c>
      <c r="B1592" s="4" t="str">
        <f>HYPERLINK("https://twitter.com/petrogustavo","@petrogustavo")</f>
        <v>@petrogustavo</v>
      </c>
      <c r="C1592" s="5" t="s">
        <v>16</v>
      </c>
      <c r="D1592" s="5" t="s">
        <v>1563</v>
      </c>
      <c r="E1592" s="6" t="str">
        <f>HYPERLINK("https://twitter.com/petrogustavo/status/1219797347259031552","1219797347259031552")</f>
        <v>1219797347259031552</v>
      </c>
      <c r="F1592" s="7" t="s">
        <v>17</v>
      </c>
      <c r="G1592" s="7">
        <v>3615234</v>
      </c>
      <c r="H1592" s="7">
        <v>2352</v>
      </c>
      <c r="I1592" s="7">
        <v>193</v>
      </c>
      <c r="J1592" s="7">
        <v>0</v>
      </c>
      <c r="K1592" s="7" t="s">
        <v>18</v>
      </c>
      <c r="L1592" s="8">
        <v>39987.315405092595</v>
      </c>
      <c r="M1592" s="9" t="s">
        <v>19</v>
      </c>
      <c r="N1592" s="9" t="s">
        <v>20</v>
      </c>
      <c r="O1592" s="6" t="str">
        <f>HYPERLINK("https://pbs.twimg.com/profile_images/962471262747529216/Uo8lOkRJ_normal.jpg","View")</f>
        <v>View</v>
      </c>
      <c r="P1592" s="7"/>
    </row>
    <row r="1593" spans="1:16">
      <c r="A1593" s="3">
        <v>43852.306840277779</v>
      </c>
      <c r="B1593" s="4" t="str">
        <f>HYPERLINK("https://twitter.com/petrogustavo","@petrogustavo")</f>
        <v>@petrogustavo</v>
      </c>
      <c r="C1593" s="5" t="s">
        <v>16</v>
      </c>
      <c r="D1593" s="5" t="s">
        <v>1564</v>
      </c>
      <c r="E1593" s="6" t="str">
        <f>HYPERLINK("https://twitter.com/petrogustavo/status/1219799806987702272","1219799806987702272")</f>
        <v>1219799806987702272</v>
      </c>
      <c r="F1593" s="7" t="s">
        <v>17</v>
      </c>
      <c r="G1593" s="7">
        <v>3615278</v>
      </c>
      <c r="H1593" s="7">
        <v>2352</v>
      </c>
      <c r="I1593" s="7">
        <v>114</v>
      </c>
      <c r="J1593" s="7">
        <v>362</v>
      </c>
      <c r="K1593" s="7" t="s">
        <v>18</v>
      </c>
      <c r="L1593" s="8">
        <v>39987.315405092595</v>
      </c>
      <c r="M1593" s="9" t="s">
        <v>19</v>
      </c>
      <c r="N1593" s="9" t="s">
        <v>20</v>
      </c>
      <c r="O1593" s="6" t="str">
        <f>HYPERLINK("https://pbs.twimg.com/profile_images/962471262747529216/Uo8lOkRJ_normal.jpg","View")</f>
        <v>View</v>
      </c>
      <c r="P1593" s="7"/>
    </row>
    <row r="1594" spans="1:16">
      <c r="A1594" s="3">
        <v>43852.33211805555</v>
      </c>
      <c r="B1594" s="4" t="str">
        <f>HYPERLINK("https://twitter.com/petrogustavo","@petrogustavo")</f>
        <v>@petrogustavo</v>
      </c>
      <c r="C1594" s="5" t="s">
        <v>16</v>
      </c>
      <c r="D1594" s="5" t="s">
        <v>1565</v>
      </c>
      <c r="E1594" s="6" t="str">
        <f>HYPERLINK("https://twitter.com/petrogustavo/status/1219808967691505664","1219808967691505664")</f>
        <v>1219808967691505664</v>
      </c>
      <c r="F1594" s="7" t="s">
        <v>17</v>
      </c>
      <c r="G1594" s="7">
        <v>3615331</v>
      </c>
      <c r="H1594" s="7">
        <v>2352</v>
      </c>
      <c r="I1594" s="7">
        <v>123</v>
      </c>
      <c r="J1594" s="7">
        <v>0</v>
      </c>
      <c r="K1594" s="7" t="s">
        <v>18</v>
      </c>
      <c r="L1594" s="8">
        <v>39987.315405092595</v>
      </c>
      <c r="M1594" s="9" t="s">
        <v>19</v>
      </c>
      <c r="N1594" s="9" t="s">
        <v>20</v>
      </c>
      <c r="O1594" s="6" t="str">
        <f>HYPERLINK("https://pbs.twimg.com/profile_images/962471262747529216/Uo8lOkRJ_normal.jpg","View")</f>
        <v>View</v>
      </c>
      <c r="P1594" s="7"/>
    </row>
    <row r="1595" spans="1:16">
      <c r="A1595" s="3">
        <v>43852.338518518518</v>
      </c>
      <c r="B1595" s="4" t="str">
        <f>HYPERLINK("https://twitter.com/petrogustavo","@petrogustavo")</f>
        <v>@petrogustavo</v>
      </c>
      <c r="C1595" s="5" t="s">
        <v>16</v>
      </c>
      <c r="D1595" s="5" t="s">
        <v>1566</v>
      </c>
      <c r="E1595" s="6" t="str">
        <f>HYPERLINK("https://twitter.com/petrogustavo/status/1219811288509026304","1219811288509026304")</f>
        <v>1219811288509026304</v>
      </c>
      <c r="F1595" s="7" t="s">
        <v>17</v>
      </c>
      <c r="G1595" s="7">
        <v>3615331</v>
      </c>
      <c r="H1595" s="7">
        <v>2352</v>
      </c>
      <c r="I1595" s="7">
        <v>27</v>
      </c>
      <c r="J1595" s="7">
        <v>0</v>
      </c>
      <c r="K1595" s="7" t="s">
        <v>18</v>
      </c>
      <c r="L1595" s="8">
        <v>39987.315405092595</v>
      </c>
      <c r="M1595" s="9" t="s">
        <v>19</v>
      </c>
      <c r="N1595" s="9" t="s">
        <v>20</v>
      </c>
      <c r="O1595" s="6" t="str">
        <f>HYPERLINK("https://pbs.twimg.com/profile_images/962471262747529216/Uo8lOkRJ_normal.jpg","View")</f>
        <v>View</v>
      </c>
      <c r="P1595" s="7"/>
    </row>
    <row r="1596" spans="1:16">
      <c r="A1596" s="3">
        <v>43852.342939814815</v>
      </c>
      <c r="B1596" s="4" t="str">
        <f>HYPERLINK("https://twitter.com/petrogustavo","@petrogustavo")</f>
        <v>@petrogustavo</v>
      </c>
      <c r="C1596" s="5" t="s">
        <v>16</v>
      </c>
      <c r="D1596" s="5" t="s">
        <v>1567</v>
      </c>
      <c r="E1596" s="6" t="str">
        <f>HYPERLINK("https://twitter.com/petrogustavo/status/1219812890238124032","1219812890238124032")</f>
        <v>1219812890238124032</v>
      </c>
      <c r="F1596" s="7" t="s">
        <v>17</v>
      </c>
      <c r="G1596" s="7">
        <v>3615331</v>
      </c>
      <c r="H1596" s="7">
        <v>2352</v>
      </c>
      <c r="I1596" s="7">
        <v>11</v>
      </c>
      <c r="J1596" s="7">
        <v>0</v>
      </c>
      <c r="K1596" s="7" t="s">
        <v>18</v>
      </c>
      <c r="L1596" s="8">
        <v>39987.315405092595</v>
      </c>
      <c r="M1596" s="9" t="s">
        <v>19</v>
      </c>
      <c r="N1596" s="9" t="s">
        <v>20</v>
      </c>
      <c r="O1596" s="6" t="str">
        <f>HYPERLINK("https://pbs.twimg.com/profile_images/962471262747529216/Uo8lOkRJ_normal.jpg","View")</f>
        <v>View</v>
      </c>
      <c r="P1596" s="7"/>
    </row>
    <row r="1597" spans="1:16">
      <c r="A1597" s="3">
        <v>43852.348229166666</v>
      </c>
      <c r="B1597" s="4" t="str">
        <f>HYPERLINK("https://twitter.com/petrogustavo","@petrogustavo")</f>
        <v>@petrogustavo</v>
      </c>
      <c r="C1597" s="5" t="s">
        <v>16</v>
      </c>
      <c r="D1597" s="5" t="s">
        <v>1568</v>
      </c>
      <c r="E1597" s="6" t="str">
        <f>HYPERLINK("https://twitter.com/petrogustavo/status/1219814805311315968","1219814805311315968")</f>
        <v>1219814805311315968</v>
      </c>
      <c r="F1597" s="7" t="s">
        <v>17</v>
      </c>
      <c r="G1597" s="7">
        <v>3615373</v>
      </c>
      <c r="H1597" s="7">
        <v>2352</v>
      </c>
      <c r="I1597" s="7">
        <v>158</v>
      </c>
      <c r="J1597" s="7">
        <v>600</v>
      </c>
      <c r="K1597" s="7" t="s">
        <v>18</v>
      </c>
      <c r="L1597" s="8">
        <v>39987.315405092595</v>
      </c>
      <c r="M1597" s="9" t="s">
        <v>19</v>
      </c>
      <c r="N1597" s="9" t="s">
        <v>20</v>
      </c>
      <c r="O1597" s="6" t="str">
        <f>HYPERLINK("https://pbs.twimg.com/profile_images/962471262747529216/Uo8lOkRJ_normal.jpg","View")</f>
        <v>View</v>
      </c>
      <c r="P1597" s="7"/>
    </row>
    <row r="1598" spans="1:16">
      <c r="A1598" s="3">
        <v>43852.354953703703</v>
      </c>
      <c r="B1598" s="4" t="str">
        <f>HYPERLINK("https://twitter.com/petrogustavo","@petrogustavo")</f>
        <v>@petrogustavo</v>
      </c>
      <c r="C1598" s="5" t="s">
        <v>16</v>
      </c>
      <c r="D1598" s="5" t="s">
        <v>1569</v>
      </c>
      <c r="E1598" s="6" t="str">
        <f>HYPERLINK("https://twitter.com/petrogustavo/status/1219817243795775488","1219817243795775488")</f>
        <v>1219817243795775488</v>
      </c>
      <c r="F1598" s="7" t="s">
        <v>17</v>
      </c>
      <c r="G1598" s="7">
        <v>3615373</v>
      </c>
      <c r="H1598" s="7">
        <v>2352</v>
      </c>
      <c r="I1598" s="7">
        <v>44</v>
      </c>
      <c r="J1598" s="7">
        <v>142</v>
      </c>
      <c r="K1598" s="7" t="s">
        <v>18</v>
      </c>
      <c r="L1598" s="8">
        <v>39987.315405092595</v>
      </c>
      <c r="M1598" s="9" t="s">
        <v>19</v>
      </c>
      <c r="N1598" s="9" t="s">
        <v>20</v>
      </c>
      <c r="O1598" s="6" t="str">
        <f>HYPERLINK("https://pbs.twimg.com/profile_images/962471262747529216/Uo8lOkRJ_normal.jpg","View")</f>
        <v>View</v>
      </c>
      <c r="P1598" s="7"/>
    </row>
    <row r="1599" spans="1:16">
      <c r="A1599" s="3">
        <v>43852.357812499999</v>
      </c>
      <c r="B1599" s="4" t="str">
        <f>HYPERLINK("https://twitter.com/petrogustavo","@petrogustavo")</f>
        <v>@petrogustavo</v>
      </c>
      <c r="C1599" s="5" t="s">
        <v>16</v>
      </c>
      <c r="D1599" s="5" t="s">
        <v>1570</v>
      </c>
      <c r="E1599" s="6" t="str">
        <f>HYPERLINK("https://twitter.com/petrogustavo/status/1219818277779787781","1219818277779787781")</f>
        <v>1219818277779787781</v>
      </c>
      <c r="F1599" s="7" t="s">
        <v>17</v>
      </c>
      <c r="G1599" s="7">
        <v>3615373</v>
      </c>
      <c r="H1599" s="7">
        <v>2352</v>
      </c>
      <c r="I1599" s="7">
        <v>236</v>
      </c>
      <c r="J1599" s="7">
        <v>0</v>
      </c>
      <c r="K1599" s="7" t="s">
        <v>18</v>
      </c>
      <c r="L1599" s="8">
        <v>39987.315405092595</v>
      </c>
      <c r="M1599" s="9" t="s">
        <v>19</v>
      </c>
      <c r="N1599" s="9" t="s">
        <v>20</v>
      </c>
      <c r="O1599" s="6" t="str">
        <f>HYPERLINK("https://pbs.twimg.com/profile_images/962471262747529216/Uo8lOkRJ_normal.jpg","View")</f>
        <v>View</v>
      </c>
      <c r="P1599" s="7"/>
    </row>
    <row r="1600" spans="1:16">
      <c r="A1600" s="3">
        <v>43852.72556712963</v>
      </c>
      <c r="B1600" s="4" t="str">
        <f>HYPERLINK("https://twitter.com/petrogustavo","@petrogustavo")</f>
        <v>@petrogustavo</v>
      </c>
      <c r="C1600" s="5" t="s">
        <v>16</v>
      </c>
      <c r="D1600" s="5" t="s">
        <v>1571</v>
      </c>
      <c r="E1600" s="6" t="str">
        <f>HYPERLINK("https://twitter.com/petrogustavo/status/1219951549432111107","1219951549432111107")</f>
        <v>1219951549432111107</v>
      </c>
      <c r="F1600" s="7" t="s">
        <v>17</v>
      </c>
      <c r="G1600" s="7">
        <v>3615659</v>
      </c>
      <c r="H1600" s="7">
        <v>2351</v>
      </c>
      <c r="I1600" s="7">
        <v>125</v>
      </c>
      <c r="J1600" s="7">
        <v>322</v>
      </c>
      <c r="K1600" s="7" t="s">
        <v>18</v>
      </c>
      <c r="L1600" s="8">
        <v>39987.315405092595</v>
      </c>
      <c r="M1600" s="9" t="s">
        <v>19</v>
      </c>
      <c r="N1600" s="9" t="s">
        <v>20</v>
      </c>
      <c r="O1600" s="6" t="str">
        <f>HYPERLINK("https://pbs.twimg.com/profile_images/962471262747529216/Uo8lOkRJ_normal.jpg","View")</f>
        <v>View</v>
      </c>
      <c r="P1600" s="7"/>
    </row>
    <row r="1601" spans="1:16">
      <c r="A1601" s="3">
        <v>43852.802245370374</v>
      </c>
      <c r="B1601" s="4" t="str">
        <f>HYPERLINK("https://twitter.com/petrogustavo","@petrogustavo")</f>
        <v>@petrogustavo</v>
      </c>
      <c r="C1601" s="5" t="s">
        <v>16</v>
      </c>
      <c r="D1601" s="5" t="s">
        <v>1572</v>
      </c>
      <c r="E1601" s="6" t="str">
        <f>HYPERLINK("https://twitter.com/petrogustavo/status/1219979337975377921","1219979337975377921")</f>
        <v>1219979337975377921</v>
      </c>
      <c r="F1601" s="7" t="s">
        <v>17</v>
      </c>
      <c r="G1601" s="7">
        <v>3615765</v>
      </c>
      <c r="H1601" s="7">
        <v>2351</v>
      </c>
      <c r="I1601" s="7">
        <v>47</v>
      </c>
      <c r="J1601" s="7">
        <v>0</v>
      </c>
      <c r="K1601" s="7" t="s">
        <v>18</v>
      </c>
      <c r="L1601" s="8">
        <v>39987.315405092595</v>
      </c>
      <c r="M1601" s="9" t="s">
        <v>19</v>
      </c>
      <c r="N1601" s="9" t="s">
        <v>20</v>
      </c>
      <c r="O1601" s="6" t="str">
        <f>HYPERLINK("https://pbs.twimg.com/profile_images/962471262747529216/Uo8lOkRJ_normal.jpg","View")</f>
        <v>View</v>
      </c>
      <c r="P1601" s="7"/>
    </row>
    <row r="1602" spans="1:16">
      <c r="A1602" s="3">
        <v>43852.804363425923</v>
      </c>
      <c r="B1602" s="4" t="str">
        <f>HYPERLINK("https://twitter.com/petrogustavo","@petrogustavo")</f>
        <v>@petrogustavo</v>
      </c>
      <c r="C1602" s="5" t="s">
        <v>16</v>
      </c>
      <c r="D1602" s="5" t="s">
        <v>1573</v>
      </c>
      <c r="E1602" s="6" t="str">
        <f>HYPERLINK("https://twitter.com/petrogustavo/status/1219980104392151041","1219980104392151041")</f>
        <v>1219980104392151041</v>
      </c>
      <c r="F1602" s="7" t="s">
        <v>17</v>
      </c>
      <c r="G1602" s="7">
        <v>3615805</v>
      </c>
      <c r="H1602" s="7">
        <v>2351</v>
      </c>
      <c r="I1602" s="7">
        <v>76</v>
      </c>
      <c r="J1602" s="7">
        <v>0</v>
      </c>
      <c r="K1602" s="7" t="s">
        <v>18</v>
      </c>
      <c r="L1602" s="8">
        <v>39987.315405092595</v>
      </c>
      <c r="M1602" s="9" t="s">
        <v>19</v>
      </c>
      <c r="N1602" s="9" t="s">
        <v>20</v>
      </c>
      <c r="O1602" s="6" t="str">
        <f>HYPERLINK("https://pbs.twimg.com/profile_images/962471262747529216/Uo8lOkRJ_normal.jpg","View")</f>
        <v>View</v>
      </c>
      <c r="P1602" s="7"/>
    </row>
    <row r="1603" spans="1:16">
      <c r="A1603" s="3">
        <v>43852.809131944443</v>
      </c>
      <c r="B1603" s="4" t="str">
        <f>HYPERLINK("https://twitter.com/petrogustavo","@petrogustavo")</f>
        <v>@petrogustavo</v>
      </c>
      <c r="C1603" s="5" t="s">
        <v>16</v>
      </c>
      <c r="D1603" s="5" t="s">
        <v>1574</v>
      </c>
      <c r="E1603" s="6" t="str">
        <f>HYPERLINK("https://twitter.com/petrogustavo/status/1219981832025976838","1219981832025976838")</f>
        <v>1219981832025976838</v>
      </c>
      <c r="F1603" s="7" t="s">
        <v>17</v>
      </c>
      <c r="G1603" s="7">
        <v>3615805</v>
      </c>
      <c r="H1603" s="7">
        <v>2351</v>
      </c>
      <c r="I1603" s="7">
        <v>104</v>
      </c>
      <c r="J1603" s="7">
        <v>0</v>
      </c>
      <c r="K1603" s="7" t="s">
        <v>18</v>
      </c>
      <c r="L1603" s="8">
        <v>39987.315405092595</v>
      </c>
      <c r="M1603" s="9" t="s">
        <v>19</v>
      </c>
      <c r="N1603" s="9" t="s">
        <v>20</v>
      </c>
      <c r="O1603" s="6" t="str">
        <f>HYPERLINK("https://pbs.twimg.com/profile_images/962471262747529216/Uo8lOkRJ_normal.jpg","View")</f>
        <v>View</v>
      </c>
      <c r="P1603" s="7"/>
    </row>
    <row r="1604" spans="1:16">
      <c r="A1604" s="3">
        <v>43852.810590277775</v>
      </c>
      <c r="B1604" s="4" t="str">
        <f>HYPERLINK("https://twitter.com/petrogustavo","@petrogustavo")</f>
        <v>@petrogustavo</v>
      </c>
      <c r="C1604" s="5" t="s">
        <v>16</v>
      </c>
      <c r="D1604" s="5" t="s">
        <v>1575</v>
      </c>
      <c r="E1604" s="6" t="str">
        <f>HYPERLINK("https://twitter.com/petrogustavo/status/1219982362060251136","1219982362060251136")</f>
        <v>1219982362060251136</v>
      </c>
      <c r="F1604" s="7" t="s">
        <v>17</v>
      </c>
      <c r="G1604" s="7">
        <v>3615805</v>
      </c>
      <c r="H1604" s="7">
        <v>2351</v>
      </c>
      <c r="I1604" s="7">
        <v>48</v>
      </c>
      <c r="J1604" s="7">
        <v>188</v>
      </c>
      <c r="K1604" s="7" t="s">
        <v>18</v>
      </c>
      <c r="L1604" s="8">
        <v>39987.315405092595</v>
      </c>
      <c r="M1604" s="9" t="s">
        <v>19</v>
      </c>
      <c r="N1604" s="9" t="s">
        <v>20</v>
      </c>
      <c r="O1604" s="6" t="str">
        <f>HYPERLINK("https://pbs.twimg.com/profile_images/962471262747529216/Uo8lOkRJ_normal.jpg","View")</f>
        <v>View</v>
      </c>
      <c r="P1604" s="7"/>
    </row>
    <row r="1605" spans="1:16">
      <c r="A1605" s="3">
        <v>43852.827800925923</v>
      </c>
      <c r="B1605" s="4" t="str">
        <f>HYPERLINK("https://twitter.com/petrogustavo","@petrogustavo")</f>
        <v>@petrogustavo</v>
      </c>
      <c r="C1605" s="5" t="s">
        <v>16</v>
      </c>
      <c r="D1605" s="5" t="s">
        <v>1576</v>
      </c>
      <c r="E1605" s="6" t="str">
        <f>HYPERLINK("https://twitter.com/petrogustavo/status/1219988596444274688","1219988596444274688")</f>
        <v>1219988596444274688</v>
      </c>
      <c r="F1605" s="7" t="s">
        <v>17</v>
      </c>
      <c r="G1605" s="7">
        <v>3615831</v>
      </c>
      <c r="H1605" s="7">
        <v>2351</v>
      </c>
      <c r="I1605" s="7">
        <v>142</v>
      </c>
      <c r="J1605" s="7">
        <v>385</v>
      </c>
      <c r="K1605" s="7" t="s">
        <v>18</v>
      </c>
      <c r="L1605" s="8">
        <v>39987.315405092595</v>
      </c>
      <c r="M1605" s="9" t="s">
        <v>19</v>
      </c>
      <c r="N1605" s="9" t="s">
        <v>20</v>
      </c>
      <c r="O1605" s="6" t="str">
        <f>HYPERLINK("https://pbs.twimg.com/profile_images/962471262747529216/Uo8lOkRJ_normal.jpg","View")</f>
        <v>View</v>
      </c>
      <c r="P1605" s="7"/>
    </row>
    <row r="1606" spans="1:16">
      <c r="A1606" s="3">
        <v>43852.834918981476</v>
      </c>
      <c r="B1606" s="4" t="str">
        <f>HYPERLINK("https://twitter.com/petrogustavo","@petrogustavo")</f>
        <v>@petrogustavo</v>
      </c>
      <c r="C1606" s="5" t="s">
        <v>16</v>
      </c>
      <c r="D1606" s="5" t="s">
        <v>1577</v>
      </c>
      <c r="E1606" s="6" t="str">
        <f>HYPERLINK("https://twitter.com/petrogustavo/status/1219991175744106496","1219991175744106496")</f>
        <v>1219991175744106496</v>
      </c>
      <c r="F1606" s="7" t="s">
        <v>17</v>
      </c>
      <c r="G1606" s="7">
        <v>3615831</v>
      </c>
      <c r="H1606" s="7">
        <v>2351</v>
      </c>
      <c r="I1606" s="7">
        <v>116</v>
      </c>
      <c r="J1606" s="7">
        <v>0</v>
      </c>
      <c r="K1606" s="7" t="s">
        <v>18</v>
      </c>
      <c r="L1606" s="8">
        <v>39987.315405092595</v>
      </c>
      <c r="M1606" s="9" t="s">
        <v>19</v>
      </c>
      <c r="N1606" s="9" t="s">
        <v>20</v>
      </c>
      <c r="O1606" s="6" t="str">
        <f>HYPERLINK("https://pbs.twimg.com/profile_images/962471262747529216/Uo8lOkRJ_normal.jpg","View")</f>
        <v>View</v>
      </c>
      <c r="P1606" s="7"/>
    </row>
    <row r="1607" spans="1:16">
      <c r="A1607" s="3">
        <v>43852.993009259255</v>
      </c>
      <c r="B1607" s="4" t="str">
        <f>HYPERLINK("https://twitter.com/petrogustavo","@petrogustavo")</f>
        <v>@petrogustavo</v>
      </c>
      <c r="C1607" s="5" t="s">
        <v>16</v>
      </c>
      <c r="D1607" s="5" t="s">
        <v>1578</v>
      </c>
      <c r="E1607" s="6" t="str">
        <f>HYPERLINK("https://twitter.com/petrogustavo/status/1220048466774253574","1220048466774253574")</f>
        <v>1220048466774253574</v>
      </c>
      <c r="F1607" s="7" t="s">
        <v>17</v>
      </c>
      <c r="G1607" s="7">
        <v>3616130</v>
      </c>
      <c r="H1607" s="7">
        <v>2351</v>
      </c>
      <c r="I1607" s="7">
        <v>281</v>
      </c>
      <c r="J1607" s="7">
        <v>0</v>
      </c>
      <c r="K1607" s="7" t="s">
        <v>18</v>
      </c>
      <c r="L1607" s="8">
        <v>39987.315405092595</v>
      </c>
      <c r="M1607" s="9" t="s">
        <v>19</v>
      </c>
      <c r="N1607" s="9" t="s">
        <v>20</v>
      </c>
      <c r="O1607" s="6" t="str">
        <f>HYPERLINK("https://pbs.twimg.com/profile_images/962471262747529216/Uo8lOkRJ_normal.jpg","View")</f>
        <v>View</v>
      </c>
      <c r="P1607" s="7"/>
    </row>
    <row r="1608" spans="1:16">
      <c r="A1608" s="3">
        <v>43853.112800925926</v>
      </c>
      <c r="B1608" s="4" t="str">
        <f>HYPERLINK("https://twitter.com/petrogustavo","@petrogustavo")</f>
        <v>@petrogustavo</v>
      </c>
      <c r="C1608" s="5" t="s">
        <v>16</v>
      </c>
      <c r="D1608" s="5" t="s">
        <v>1579</v>
      </c>
      <c r="E1608" s="6" t="str">
        <f>HYPERLINK("https://twitter.com/petrogustavo/status/1220091879590629379","1220091879590629379")</f>
        <v>1220091879590629379</v>
      </c>
      <c r="F1608" s="7" t="s">
        <v>17</v>
      </c>
      <c r="G1608" s="7">
        <v>3616319</v>
      </c>
      <c r="H1608" s="7">
        <v>2351</v>
      </c>
      <c r="I1608" s="7">
        <v>40</v>
      </c>
      <c r="J1608" s="7">
        <v>0</v>
      </c>
      <c r="K1608" s="7" t="s">
        <v>18</v>
      </c>
      <c r="L1608" s="8">
        <v>39987.315405092595</v>
      </c>
      <c r="M1608" s="9" t="s">
        <v>19</v>
      </c>
      <c r="N1608" s="9" t="s">
        <v>20</v>
      </c>
      <c r="O1608" s="6" t="str">
        <f>HYPERLINK("https://pbs.twimg.com/profile_images/962471262747529216/Uo8lOkRJ_normal.jpg","View")</f>
        <v>View</v>
      </c>
      <c r="P1608" s="7"/>
    </row>
    <row r="1609" spans="1:16">
      <c r="A1609" s="3">
        <v>43853.113645833335</v>
      </c>
      <c r="B1609" s="4" t="str">
        <f>HYPERLINK("https://twitter.com/petrogustavo","@petrogustavo")</f>
        <v>@petrogustavo</v>
      </c>
      <c r="C1609" s="5" t="s">
        <v>16</v>
      </c>
      <c r="D1609" s="5" t="s">
        <v>1580</v>
      </c>
      <c r="E1609" s="6" t="str">
        <f>HYPERLINK("https://twitter.com/petrogustavo/status/1220092184877289478","1220092184877289478")</f>
        <v>1220092184877289478</v>
      </c>
      <c r="F1609" s="7" t="s">
        <v>17</v>
      </c>
      <c r="G1609" s="7">
        <v>3616319</v>
      </c>
      <c r="H1609" s="7">
        <v>2351</v>
      </c>
      <c r="I1609" s="7">
        <v>223</v>
      </c>
      <c r="J1609" s="7">
        <v>0</v>
      </c>
      <c r="K1609" s="7" t="s">
        <v>18</v>
      </c>
      <c r="L1609" s="8">
        <v>39987.315405092595</v>
      </c>
      <c r="M1609" s="9" t="s">
        <v>19</v>
      </c>
      <c r="N1609" s="9" t="s">
        <v>20</v>
      </c>
      <c r="O1609" s="6" t="str">
        <f>HYPERLINK("https://pbs.twimg.com/profile_images/962471262747529216/Uo8lOkRJ_normal.jpg","View")</f>
        <v>View</v>
      </c>
      <c r="P1609" s="7"/>
    </row>
    <row r="1610" spans="1:16">
      <c r="A1610" s="3">
        <v>43853.114594907413</v>
      </c>
      <c r="B1610" s="4" t="str">
        <f>HYPERLINK("https://twitter.com/petrogustavo","@petrogustavo")</f>
        <v>@petrogustavo</v>
      </c>
      <c r="C1610" s="5" t="s">
        <v>16</v>
      </c>
      <c r="D1610" s="5" t="s">
        <v>1581</v>
      </c>
      <c r="E1610" s="6" t="str">
        <f>HYPERLINK("https://twitter.com/petrogustavo/status/1220092526536921091","1220092526536921091")</f>
        <v>1220092526536921091</v>
      </c>
      <c r="F1610" s="7" t="s">
        <v>17</v>
      </c>
      <c r="G1610" s="7">
        <v>3616319</v>
      </c>
      <c r="H1610" s="7">
        <v>2351</v>
      </c>
      <c r="I1610" s="7">
        <v>21</v>
      </c>
      <c r="J1610" s="7">
        <v>83</v>
      </c>
      <c r="K1610" s="7" t="s">
        <v>18</v>
      </c>
      <c r="L1610" s="8">
        <v>39987.315405092595</v>
      </c>
      <c r="M1610" s="9" t="s">
        <v>19</v>
      </c>
      <c r="N1610" s="9" t="s">
        <v>20</v>
      </c>
      <c r="O1610" s="6" t="str">
        <f>HYPERLINK("https://pbs.twimg.com/profile_images/962471262747529216/Uo8lOkRJ_normal.jpg","View")</f>
        <v>View</v>
      </c>
      <c r="P1610" s="7"/>
    </row>
    <row r="1611" spans="1:16">
      <c r="A1611" s="3">
        <v>43853.118703703702</v>
      </c>
      <c r="B1611" s="4" t="str">
        <f>HYPERLINK("https://twitter.com/petrogustavo","@petrogustavo")</f>
        <v>@petrogustavo</v>
      </c>
      <c r="C1611" s="5" t="s">
        <v>16</v>
      </c>
      <c r="D1611" s="5" t="s">
        <v>1582</v>
      </c>
      <c r="E1611" s="6" t="str">
        <f>HYPERLINK("https://twitter.com/petrogustavo/status/1220094018387959812","1220094018387959812")</f>
        <v>1220094018387959812</v>
      </c>
      <c r="F1611" s="7" t="s">
        <v>17</v>
      </c>
      <c r="G1611" s="7">
        <v>3616318</v>
      </c>
      <c r="H1611" s="7">
        <v>2351</v>
      </c>
      <c r="I1611" s="7">
        <v>192</v>
      </c>
      <c r="J1611" s="7">
        <v>431</v>
      </c>
      <c r="K1611" s="7" t="s">
        <v>18</v>
      </c>
      <c r="L1611" s="8">
        <v>39987.315405092595</v>
      </c>
      <c r="M1611" s="9" t="s">
        <v>19</v>
      </c>
      <c r="N1611" s="9" t="s">
        <v>20</v>
      </c>
      <c r="O1611" s="6" t="str">
        <f>HYPERLINK("https://pbs.twimg.com/profile_images/962471262747529216/Uo8lOkRJ_normal.jpg","View")</f>
        <v>View</v>
      </c>
      <c r="P1611" s="7"/>
    </row>
    <row r="1612" spans="1:16">
      <c r="A1612" s="3">
        <v>43853.121261574073</v>
      </c>
      <c r="B1612" s="4" t="str">
        <f>HYPERLINK("https://twitter.com/petrogustavo","@petrogustavo")</f>
        <v>@petrogustavo</v>
      </c>
      <c r="C1612" s="5" t="s">
        <v>16</v>
      </c>
      <c r="D1612" s="5" t="s">
        <v>1583</v>
      </c>
      <c r="E1612" s="6" t="str">
        <f>HYPERLINK("https://twitter.com/petrogustavo/status/1220094942145646592","1220094942145646592")</f>
        <v>1220094942145646592</v>
      </c>
      <c r="F1612" s="7" t="s">
        <v>17</v>
      </c>
      <c r="G1612" s="7">
        <v>3616318</v>
      </c>
      <c r="H1612" s="7">
        <v>2351</v>
      </c>
      <c r="I1612" s="7">
        <v>40</v>
      </c>
      <c r="J1612" s="7">
        <v>0</v>
      </c>
      <c r="K1612" s="7" t="s">
        <v>18</v>
      </c>
      <c r="L1612" s="8">
        <v>39987.315405092595</v>
      </c>
      <c r="M1612" s="9" t="s">
        <v>19</v>
      </c>
      <c r="N1612" s="9" t="s">
        <v>20</v>
      </c>
      <c r="O1612" s="6" t="str">
        <f>HYPERLINK("https://pbs.twimg.com/profile_images/962471262747529216/Uo8lOkRJ_normal.jpg","View")</f>
        <v>View</v>
      </c>
      <c r="P1612" s="7"/>
    </row>
    <row r="1613" spans="1:16">
      <c r="A1613" s="3">
        <v>43853.127650462964</v>
      </c>
      <c r="B1613" s="4" t="str">
        <f>HYPERLINK("https://twitter.com/petrogustavo","@petrogustavo")</f>
        <v>@petrogustavo</v>
      </c>
      <c r="C1613" s="5" t="s">
        <v>16</v>
      </c>
      <c r="D1613" s="5" t="s">
        <v>1584</v>
      </c>
      <c r="E1613" s="6" t="str">
        <f>HYPERLINK("https://twitter.com/petrogustavo/status/1220097258777083910","1220097258777083910")</f>
        <v>1220097258777083910</v>
      </c>
      <c r="F1613" s="7" t="s">
        <v>17</v>
      </c>
      <c r="G1613" s="7">
        <v>3616318</v>
      </c>
      <c r="H1613" s="7">
        <v>2351</v>
      </c>
      <c r="I1613" s="7">
        <v>42</v>
      </c>
      <c r="J1613" s="7">
        <v>115</v>
      </c>
      <c r="K1613" s="7" t="s">
        <v>18</v>
      </c>
      <c r="L1613" s="8">
        <v>39987.315405092595</v>
      </c>
      <c r="M1613" s="9" t="s">
        <v>19</v>
      </c>
      <c r="N1613" s="9" t="s">
        <v>20</v>
      </c>
      <c r="O1613" s="6" t="str">
        <f>HYPERLINK("https://pbs.twimg.com/profile_images/962471262747529216/Uo8lOkRJ_normal.jpg","View")</f>
        <v>View</v>
      </c>
      <c r="P1613" s="7"/>
    </row>
    <row r="1614" spans="1:16">
      <c r="A1614" s="3">
        <v>43853.129756944443</v>
      </c>
      <c r="B1614" s="4" t="str">
        <f>HYPERLINK("https://twitter.com/petrogustavo","@petrogustavo")</f>
        <v>@petrogustavo</v>
      </c>
      <c r="C1614" s="5" t="s">
        <v>16</v>
      </c>
      <c r="D1614" s="5" t="s">
        <v>1585</v>
      </c>
      <c r="E1614" s="6" t="str">
        <f>HYPERLINK("https://twitter.com/petrogustavo/status/1220098020919955457","1220098020919955457")</f>
        <v>1220098020919955457</v>
      </c>
      <c r="F1614" s="7" t="s">
        <v>17</v>
      </c>
      <c r="G1614" s="7">
        <v>3616318</v>
      </c>
      <c r="H1614" s="7">
        <v>2351</v>
      </c>
      <c r="I1614" s="7">
        <v>17</v>
      </c>
      <c r="J1614" s="7">
        <v>0</v>
      </c>
      <c r="K1614" s="7" t="s">
        <v>18</v>
      </c>
      <c r="L1614" s="8">
        <v>39987.315405092595</v>
      </c>
      <c r="M1614" s="9" t="s">
        <v>19</v>
      </c>
      <c r="N1614" s="9" t="s">
        <v>20</v>
      </c>
      <c r="O1614" s="6" t="str">
        <f>HYPERLINK("https://pbs.twimg.com/profile_images/962471262747529216/Uo8lOkRJ_normal.jpg","View")</f>
        <v>View</v>
      </c>
      <c r="P1614" s="7"/>
    </row>
    <row r="1615" spans="1:16">
      <c r="A1615" s="3">
        <v>43853.133437500001</v>
      </c>
      <c r="B1615" s="4" t="str">
        <f>HYPERLINK("https://twitter.com/petrogustavo","@petrogustavo")</f>
        <v>@petrogustavo</v>
      </c>
      <c r="C1615" s="5" t="s">
        <v>16</v>
      </c>
      <c r="D1615" s="5" t="s">
        <v>1586</v>
      </c>
      <c r="E1615" s="6" t="str">
        <f>HYPERLINK("https://twitter.com/petrogustavo/status/1220099356461817856","1220099356461817856")</f>
        <v>1220099356461817856</v>
      </c>
      <c r="F1615" s="7" t="s">
        <v>17</v>
      </c>
      <c r="G1615" s="7">
        <v>3616318</v>
      </c>
      <c r="H1615" s="7">
        <v>2351</v>
      </c>
      <c r="I1615" s="7">
        <v>33</v>
      </c>
      <c r="J1615" s="7">
        <v>0</v>
      </c>
      <c r="K1615" s="7" t="s">
        <v>18</v>
      </c>
      <c r="L1615" s="8">
        <v>39987.315405092595</v>
      </c>
      <c r="M1615" s="9" t="s">
        <v>19</v>
      </c>
      <c r="N1615" s="9" t="s">
        <v>20</v>
      </c>
      <c r="O1615" s="6" t="str">
        <f>HYPERLINK("https://pbs.twimg.com/profile_images/962471262747529216/Uo8lOkRJ_normal.jpg","View")</f>
        <v>View</v>
      </c>
      <c r="P1615" s="7"/>
    </row>
    <row r="1616" spans="1:16">
      <c r="A1616" s="3">
        <v>43853.139363425929</v>
      </c>
      <c r="B1616" s="4" t="str">
        <f>HYPERLINK("https://twitter.com/petrogustavo","@petrogustavo")</f>
        <v>@petrogustavo</v>
      </c>
      <c r="C1616" s="5" t="s">
        <v>16</v>
      </c>
      <c r="D1616" s="5" t="s">
        <v>1587</v>
      </c>
      <c r="E1616" s="6" t="str">
        <f>HYPERLINK("https://twitter.com/petrogustavo/status/1220101501999353856","1220101501999353856")</f>
        <v>1220101501999353856</v>
      </c>
      <c r="F1616" s="7" t="s">
        <v>17</v>
      </c>
      <c r="G1616" s="7">
        <v>3616355</v>
      </c>
      <c r="H1616" s="7">
        <v>2351</v>
      </c>
      <c r="I1616" s="7">
        <v>90</v>
      </c>
      <c r="J1616" s="7">
        <v>388</v>
      </c>
      <c r="K1616" s="7" t="s">
        <v>18</v>
      </c>
      <c r="L1616" s="8">
        <v>39987.315405092595</v>
      </c>
      <c r="M1616" s="9" t="s">
        <v>19</v>
      </c>
      <c r="N1616" s="9" t="s">
        <v>20</v>
      </c>
      <c r="O1616" s="6" t="str">
        <f>HYPERLINK("https://pbs.twimg.com/profile_images/962471262747529216/Uo8lOkRJ_normal.jpg","View")</f>
        <v>View</v>
      </c>
      <c r="P1616" s="7"/>
    </row>
    <row r="1617" spans="1:16">
      <c r="A1617" s="3">
        <v>43853.143067129626</v>
      </c>
      <c r="B1617" s="4" t="str">
        <f>HYPERLINK("https://twitter.com/petrogustavo","@petrogustavo")</f>
        <v>@petrogustavo</v>
      </c>
      <c r="C1617" s="5" t="s">
        <v>16</v>
      </c>
      <c r="D1617" s="5" t="s">
        <v>1588</v>
      </c>
      <c r="E1617" s="6" t="str">
        <f>HYPERLINK("https://twitter.com/petrogustavo/status/1220102847070642177","1220102847070642177")</f>
        <v>1220102847070642177</v>
      </c>
      <c r="F1617" s="7" t="s">
        <v>17</v>
      </c>
      <c r="G1617" s="7">
        <v>3616355</v>
      </c>
      <c r="H1617" s="7">
        <v>2351</v>
      </c>
      <c r="I1617" s="7">
        <v>46</v>
      </c>
      <c r="J1617" s="7">
        <v>0</v>
      </c>
      <c r="K1617" s="7" t="s">
        <v>18</v>
      </c>
      <c r="L1617" s="8">
        <v>39987.315405092595</v>
      </c>
      <c r="M1617" s="9" t="s">
        <v>19</v>
      </c>
      <c r="N1617" s="9" t="s">
        <v>20</v>
      </c>
      <c r="O1617" s="6" t="str">
        <f>HYPERLINK("https://pbs.twimg.com/profile_images/962471262747529216/Uo8lOkRJ_normal.jpg","View")</f>
        <v>View</v>
      </c>
      <c r="P1617" s="7"/>
    </row>
    <row r="1618" spans="1:16">
      <c r="A1618" s="3">
        <v>43853.145636574074</v>
      </c>
      <c r="B1618" s="4" t="str">
        <f>HYPERLINK("https://twitter.com/petrogustavo","@petrogustavo")</f>
        <v>@petrogustavo</v>
      </c>
      <c r="C1618" s="5" t="s">
        <v>16</v>
      </c>
      <c r="D1618" s="5" t="s">
        <v>1589</v>
      </c>
      <c r="E1618" s="6" t="str">
        <f>HYPERLINK("https://twitter.com/petrogustavo/status/1220103775203004425","1220103775203004425")</f>
        <v>1220103775203004425</v>
      </c>
      <c r="F1618" s="7" t="s">
        <v>17</v>
      </c>
      <c r="G1618" s="7">
        <v>3616355</v>
      </c>
      <c r="H1618" s="7">
        <v>2351</v>
      </c>
      <c r="I1618" s="7">
        <v>59</v>
      </c>
      <c r="J1618" s="7">
        <v>150</v>
      </c>
      <c r="K1618" s="7" t="s">
        <v>18</v>
      </c>
      <c r="L1618" s="8">
        <v>39987.315405092595</v>
      </c>
      <c r="M1618" s="9" t="s">
        <v>19</v>
      </c>
      <c r="N1618" s="9" t="s">
        <v>20</v>
      </c>
      <c r="O1618" s="6" t="str">
        <f>HYPERLINK("https://pbs.twimg.com/profile_images/962471262747529216/Uo8lOkRJ_normal.jpg","View")</f>
        <v>View</v>
      </c>
      <c r="P1618" s="7"/>
    </row>
    <row r="1619" spans="1:16">
      <c r="A1619" s="3">
        <v>43853.148935185185</v>
      </c>
      <c r="B1619" s="4" t="str">
        <f>HYPERLINK("https://twitter.com/petrogustavo","@petrogustavo")</f>
        <v>@petrogustavo</v>
      </c>
      <c r="C1619" s="5" t="s">
        <v>16</v>
      </c>
      <c r="D1619" s="5" t="s">
        <v>1590</v>
      </c>
      <c r="E1619" s="6" t="str">
        <f>HYPERLINK("https://twitter.com/petrogustavo/status/1220104970713870337","1220104970713870337")</f>
        <v>1220104970713870337</v>
      </c>
      <c r="F1619" s="7" t="s">
        <v>17</v>
      </c>
      <c r="G1619" s="7">
        <v>3616355</v>
      </c>
      <c r="H1619" s="7">
        <v>2351</v>
      </c>
      <c r="I1619" s="7">
        <v>234</v>
      </c>
      <c r="J1619" s="7">
        <v>0</v>
      </c>
      <c r="K1619" s="7" t="s">
        <v>18</v>
      </c>
      <c r="L1619" s="8">
        <v>39987.315405092595</v>
      </c>
      <c r="M1619" s="9" t="s">
        <v>19</v>
      </c>
      <c r="N1619" s="9" t="s">
        <v>20</v>
      </c>
      <c r="O1619" s="6" t="str">
        <f>HYPERLINK("https://pbs.twimg.com/profile_images/962471262747529216/Uo8lOkRJ_normal.jpg","View")</f>
        <v>View</v>
      </c>
      <c r="P1619" s="7"/>
    </row>
    <row r="1620" spans="1:16">
      <c r="A1620" s="3">
        <v>43853.149293981478</v>
      </c>
      <c r="B1620" s="4" t="str">
        <f>HYPERLINK("https://twitter.com/petrogustavo","@petrogustavo")</f>
        <v>@petrogustavo</v>
      </c>
      <c r="C1620" s="5" t="s">
        <v>16</v>
      </c>
      <c r="D1620" s="5" t="s">
        <v>1591</v>
      </c>
      <c r="E1620" s="6" t="str">
        <f>HYPERLINK("https://twitter.com/petrogustavo/status/1220105102842892294","1220105102842892294")</f>
        <v>1220105102842892294</v>
      </c>
      <c r="F1620" s="7" t="s">
        <v>17</v>
      </c>
      <c r="G1620" s="7">
        <v>3616355</v>
      </c>
      <c r="H1620" s="7">
        <v>2351</v>
      </c>
      <c r="I1620" s="7">
        <v>39</v>
      </c>
      <c r="J1620" s="7">
        <v>0</v>
      </c>
      <c r="K1620" s="7" t="s">
        <v>18</v>
      </c>
      <c r="L1620" s="8">
        <v>39987.315405092595</v>
      </c>
      <c r="M1620" s="9" t="s">
        <v>19</v>
      </c>
      <c r="N1620" s="9" t="s">
        <v>20</v>
      </c>
      <c r="O1620" s="6" t="str">
        <f>HYPERLINK("https://pbs.twimg.com/profile_images/962471262747529216/Uo8lOkRJ_normal.jpg","View")</f>
        <v>View</v>
      </c>
      <c r="P1620" s="7"/>
    </row>
    <row r="1621" spans="1:16">
      <c r="A1621" s="3">
        <v>43853.149571759262</v>
      </c>
      <c r="B1621" s="4" t="str">
        <f>HYPERLINK("https://twitter.com/petrogustavo","@petrogustavo")</f>
        <v>@petrogustavo</v>
      </c>
      <c r="C1621" s="5" t="s">
        <v>16</v>
      </c>
      <c r="D1621" s="5" t="s">
        <v>1592</v>
      </c>
      <c r="E1621" s="6" t="str">
        <f>HYPERLINK("https://twitter.com/petrogustavo/status/1220105202285584385","1220105202285584385")</f>
        <v>1220105202285584385</v>
      </c>
      <c r="F1621" s="7" t="s">
        <v>17</v>
      </c>
      <c r="G1621" s="7">
        <v>3616355</v>
      </c>
      <c r="H1621" s="7">
        <v>2351</v>
      </c>
      <c r="I1621" s="7">
        <v>200</v>
      </c>
      <c r="J1621" s="7">
        <v>0</v>
      </c>
      <c r="K1621" s="7" t="s">
        <v>18</v>
      </c>
      <c r="L1621" s="8">
        <v>39987.315405092595</v>
      </c>
      <c r="M1621" s="9" t="s">
        <v>19</v>
      </c>
      <c r="N1621" s="9" t="s">
        <v>20</v>
      </c>
      <c r="O1621" s="6" t="str">
        <f>HYPERLINK("https://pbs.twimg.com/profile_images/962471262747529216/Uo8lOkRJ_normal.jpg","View")</f>
        <v>View</v>
      </c>
      <c r="P1621" s="7"/>
    </row>
    <row r="1622" spans="1:16">
      <c r="A1622" s="3">
        <v>43853.153298611112</v>
      </c>
      <c r="B1622" s="4" t="str">
        <f>HYPERLINK("https://twitter.com/petrogustavo","@petrogustavo")</f>
        <v>@petrogustavo</v>
      </c>
      <c r="C1622" s="5" t="s">
        <v>16</v>
      </c>
      <c r="D1622" s="5" t="s">
        <v>1593</v>
      </c>
      <c r="E1622" s="6" t="str">
        <f>HYPERLINK("https://twitter.com/petrogustavo/status/1220106552692047874","1220106552692047874")</f>
        <v>1220106552692047874</v>
      </c>
      <c r="F1622" s="7" t="s">
        <v>17</v>
      </c>
      <c r="G1622" s="7">
        <v>3616355</v>
      </c>
      <c r="H1622" s="7">
        <v>2351</v>
      </c>
      <c r="I1622" s="7">
        <v>29</v>
      </c>
      <c r="J1622" s="7">
        <v>73</v>
      </c>
      <c r="K1622" s="7" t="s">
        <v>18</v>
      </c>
      <c r="L1622" s="8">
        <v>39987.315405092595</v>
      </c>
      <c r="M1622" s="9" t="s">
        <v>19</v>
      </c>
      <c r="N1622" s="9" t="s">
        <v>20</v>
      </c>
      <c r="O1622" s="6" t="str">
        <f>HYPERLINK("https://pbs.twimg.com/profile_images/962471262747529216/Uo8lOkRJ_normal.jpg","View")</f>
        <v>View</v>
      </c>
      <c r="P1622" s="7"/>
    </row>
    <row r="1623" spans="1:16">
      <c r="A1623" s="3">
        <v>43853.165196759262</v>
      </c>
      <c r="B1623" s="4" t="str">
        <f>HYPERLINK("https://twitter.com/petrogustavo","@petrogustavo")</f>
        <v>@petrogustavo</v>
      </c>
      <c r="C1623" s="5" t="s">
        <v>16</v>
      </c>
      <c r="D1623" s="5" t="s">
        <v>1594</v>
      </c>
      <c r="E1623" s="6" t="str">
        <f>HYPERLINK("https://twitter.com/petrogustavo/status/1220110864252121088","1220110864252121088")</f>
        <v>1220110864252121088</v>
      </c>
      <c r="F1623" s="7" t="s">
        <v>17</v>
      </c>
      <c r="G1623" s="7">
        <v>3616394</v>
      </c>
      <c r="H1623" s="7">
        <v>2351</v>
      </c>
      <c r="I1623" s="7">
        <v>113</v>
      </c>
      <c r="J1623" s="7">
        <v>359</v>
      </c>
      <c r="K1623" s="7" t="s">
        <v>18</v>
      </c>
      <c r="L1623" s="8">
        <v>39987.315405092595</v>
      </c>
      <c r="M1623" s="9" t="s">
        <v>19</v>
      </c>
      <c r="N1623" s="9" t="s">
        <v>20</v>
      </c>
      <c r="O1623" s="6" t="str">
        <f>HYPERLINK("https://pbs.twimg.com/profile_images/962471262747529216/Uo8lOkRJ_normal.jpg","View")</f>
        <v>View</v>
      </c>
      <c r="P1623" s="7"/>
    </row>
    <row r="1624" spans="1:16">
      <c r="A1624" s="3">
        <v>43853.173645833333</v>
      </c>
      <c r="B1624" s="4" t="str">
        <f>HYPERLINK("https://twitter.com/petrogustavo","@petrogustavo")</f>
        <v>@petrogustavo</v>
      </c>
      <c r="C1624" s="5" t="s">
        <v>16</v>
      </c>
      <c r="D1624" s="5" t="s">
        <v>1595</v>
      </c>
      <c r="E1624" s="6" t="str">
        <f>HYPERLINK("https://twitter.com/petrogustavo/status/1220113928325386241","1220113928325386241")</f>
        <v>1220113928325386241</v>
      </c>
      <c r="F1624" s="7" t="s">
        <v>17</v>
      </c>
      <c r="G1624" s="7">
        <v>3616394</v>
      </c>
      <c r="H1624" s="7">
        <v>2351</v>
      </c>
      <c r="I1624" s="7">
        <v>48</v>
      </c>
      <c r="J1624" s="7">
        <v>91</v>
      </c>
      <c r="K1624" s="7" t="s">
        <v>18</v>
      </c>
      <c r="L1624" s="8">
        <v>39987.315405092595</v>
      </c>
      <c r="M1624" s="9" t="s">
        <v>19</v>
      </c>
      <c r="N1624" s="9" t="s">
        <v>20</v>
      </c>
      <c r="O1624" s="6" t="str">
        <f>HYPERLINK("https://pbs.twimg.com/profile_images/962471262747529216/Uo8lOkRJ_normal.jpg","View")</f>
        <v>View</v>
      </c>
      <c r="P1624" s="7"/>
    </row>
    <row r="1625" spans="1:16">
      <c r="A1625" s="3">
        <v>43853.177025462966</v>
      </c>
      <c r="B1625" s="4" t="str">
        <f>HYPERLINK("https://twitter.com/petrogustavo","@petrogustavo")</f>
        <v>@petrogustavo</v>
      </c>
      <c r="C1625" s="5" t="s">
        <v>16</v>
      </c>
      <c r="D1625" s="5" t="s">
        <v>1596</v>
      </c>
      <c r="E1625" s="6" t="str">
        <f>HYPERLINK("https://twitter.com/petrogustavo/status/1220115150981734401","1220115150981734401")</f>
        <v>1220115150981734401</v>
      </c>
      <c r="F1625" s="7" t="s">
        <v>17</v>
      </c>
      <c r="G1625" s="7">
        <v>3616394</v>
      </c>
      <c r="H1625" s="7">
        <v>2351</v>
      </c>
      <c r="I1625" s="7">
        <v>15</v>
      </c>
      <c r="J1625" s="7">
        <v>40</v>
      </c>
      <c r="K1625" s="7" t="s">
        <v>18</v>
      </c>
      <c r="L1625" s="8">
        <v>39987.315405092595</v>
      </c>
      <c r="M1625" s="9" t="s">
        <v>19</v>
      </c>
      <c r="N1625" s="9" t="s">
        <v>20</v>
      </c>
      <c r="O1625" s="6" t="str">
        <f>HYPERLINK("https://pbs.twimg.com/profile_images/962471262747529216/Uo8lOkRJ_normal.jpg","View")</f>
        <v>View</v>
      </c>
      <c r="P1625" s="7"/>
    </row>
    <row r="1626" spans="1:16">
      <c r="A1626" s="3">
        <v>43853.190972222219</v>
      </c>
      <c r="B1626" s="4" t="str">
        <f>HYPERLINK("https://twitter.com/petrogustavo","@petrogustavo")</f>
        <v>@petrogustavo</v>
      </c>
      <c r="C1626" s="5" t="s">
        <v>16</v>
      </c>
      <c r="D1626" s="5" t="s">
        <v>1597</v>
      </c>
      <c r="E1626" s="6" t="str">
        <f>HYPERLINK("https://twitter.com/petrogustavo/status/1220120205751394304","1220120205751394304")</f>
        <v>1220120205751394304</v>
      </c>
      <c r="F1626" s="7" t="s">
        <v>17</v>
      </c>
      <c r="G1626" s="7">
        <v>3616434</v>
      </c>
      <c r="H1626" s="7">
        <v>2351</v>
      </c>
      <c r="I1626" s="7">
        <v>1741</v>
      </c>
      <c r="J1626" s="7">
        <v>0</v>
      </c>
      <c r="K1626" s="7" t="s">
        <v>18</v>
      </c>
      <c r="L1626" s="8">
        <v>39987.315405092595</v>
      </c>
      <c r="M1626" s="9" t="s">
        <v>19</v>
      </c>
      <c r="N1626" s="9" t="s">
        <v>20</v>
      </c>
      <c r="O1626" s="6" t="str">
        <f>HYPERLINK("https://pbs.twimg.com/profile_images/962471262747529216/Uo8lOkRJ_normal.jpg","View")</f>
        <v>View</v>
      </c>
      <c r="P1626" s="7"/>
    </row>
    <row r="1627" spans="1:16">
      <c r="A1627" s="3">
        <v>43853.196643518517</v>
      </c>
      <c r="B1627" s="4" t="str">
        <f>HYPERLINK("https://twitter.com/petrogustavo","@petrogustavo")</f>
        <v>@petrogustavo</v>
      </c>
      <c r="C1627" s="5" t="s">
        <v>16</v>
      </c>
      <c r="D1627" s="5" t="s">
        <v>1598</v>
      </c>
      <c r="E1627" s="6" t="str">
        <f>HYPERLINK("https://twitter.com/petrogustavo/status/1220122262797459458","1220122262797459458")</f>
        <v>1220122262797459458</v>
      </c>
      <c r="F1627" s="7" t="s">
        <v>17</v>
      </c>
      <c r="G1627" s="7">
        <v>3616434</v>
      </c>
      <c r="H1627" s="7">
        <v>2351</v>
      </c>
      <c r="I1627" s="7">
        <v>55</v>
      </c>
      <c r="J1627" s="7">
        <v>139</v>
      </c>
      <c r="K1627" s="7" t="s">
        <v>18</v>
      </c>
      <c r="L1627" s="8">
        <v>39987.315405092595</v>
      </c>
      <c r="M1627" s="9" t="s">
        <v>19</v>
      </c>
      <c r="N1627" s="9" t="s">
        <v>20</v>
      </c>
      <c r="O1627" s="6" t="str">
        <f>HYPERLINK("https://pbs.twimg.com/profile_images/962471262747529216/Uo8lOkRJ_normal.jpg","View")</f>
        <v>View</v>
      </c>
      <c r="P1627" s="7"/>
    </row>
    <row r="1628" spans="1:16">
      <c r="A1628" s="3">
        <v>43853.207476851851</v>
      </c>
      <c r="B1628" s="4" t="str">
        <f>HYPERLINK("https://twitter.com/petrogustavo","@petrogustavo")</f>
        <v>@petrogustavo</v>
      </c>
      <c r="C1628" s="5" t="s">
        <v>16</v>
      </c>
      <c r="D1628" s="5" t="s">
        <v>1599</v>
      </c>
      <c r="E1628" s="6" t="str">
        <f>HYPERLINK("https://twitter.com/petrogustavo/status/1220126187692941312","1220126187692941312")</f>
        <v>1220126187692941312</v>
      </c>
      <c r="F1628" s="7" t="s">
        <v>17</v>
      </c>
      <c r="G1628" s="7">
        <v>3616465</v>
      </c>
      <c r="H1628" s="7">
        <v>2351</v>
      </c>
      <c r="I1628" s="7">
        <v>41</v>
      </c>
      <c r="J1628" s="7">
        <v>142</v>
      </c>
      <c r="K1628" s="7" t="s">
        <v>18</v>
      </c>
      <c r="L1628" s="8">
        <v>39987.315405092595</v>
      </c>
      <c r="M1628" s="9" t="s">
        <v>19</v>
      </c>
      <c r="N1628" s="9" t="s">
        <v>20</v>
      </c>
      <c r="O1628" s="6" t="str">
        <f>HYPERLINK("https://pbs.twimg.com/profile_images/962471262747529216/Uo8lOkRJ_normal.jpg","View")</f>
        <v>View</v>
      </c>
      <c r="P1628" s="7"/>
    </row>
    <row r="1629" spans="1:16">
      <c r="A1629" s="3">
        <v>43853.211886574078</v>
      </c>
      <c r="B1629" s="4" t="str">
        <f>HYPERLINK("https://twitter.com/petrogustavo","@petrogustavo")</f>
        <v>@petrogustavo</v>
      </c>
      <c r="C1629" s="5" t="s">
        <v>16</v>
      </c>
      <c r="D1629" s="5" t="s">
        <v>1600</v>
      </c>
      <c r="E1629" s="6" t="str">
        <f>HYPERLINK("https://twitter.com/petrogustavo/status/1220127785928286208","1220127785928286208")</f>
        <v>1220127785928286208</v>
      </c>
      <c r="F1629" s="7" t="s">
        <v>17</v>
      </c>
      <c r="G1629" s="7">
        <v>3616465</v>
      </c>
      <c r="H1629" s="7">
        <v>2351</v>
      </c>
      <c r="I1629" s="7">
        <v>142</v>
      </c>
      <c r="J1629" s="7">
        <v>0</v>
      </c>
      <c r="K1629" s="7" t="s">
        <v>18</v>
      </c>
      <c r="L1629" s="8">
        <v>39987.315405092595</v>
      </c>
      <c r="M1629" s="9" t="s">
        <v>19</v>
      </c>
      <c r="N1629" s="9" t="s">
        <v>20</v>
      </c>
      <c r="O1629" s="6" t="str">
        <f>HYPERLINK("https://pbs.twimg.com/profile_images/962471262747529216/Uo8lOkRJ_normal.jpg","View")</f>
        <v>View</v>
      </c>
      <c r="P1629" s="7"/>
    </row>
    <row r="1630" spans="1:16">
      <c r="A1630" s="3">
        <v>43853.22174768518</v>
      </c>
      <c r="B1630" s="4" t="str">
        <f>HYPERLINK("https://twitter.com/petrogustavo","@petrogustavo")</f>
        <v>@petrogustavo</v>
      </c>
      <c r="C1630" s="5" t="s">
        <v>16</v>
      </c>
      <c r="D1630" s="5" t="s">
        <v>1601</v>
      </c>
      <c r="E1630" s="6" t="str">
        <f>HYPERLINK("https://twitter.com/petrogustavo/status/1220131359336865793","1220131359336865793")</f>
        <v>1220131359336865793</v>
      </c>
      <c r="F1630" s="7" t="s">
        <v>17</v>
      </c>
      <c r="G1630" s="7">
        <v>3616488</v>
      </c>
      <c r="H1630" s="7">
        <v>2351</v>
      </c>
      <c r="I1630" s="7">
        <v>1418</v>
      </c>
      <c r="J1630" s="7">
        <v>0</v>
      </c>
      <c r="K1630" s="7" t="s">
        <v>18</v>
      </c>
      <c r="L1630" s="8">
        <v>39987.315405092595</v>
      </c>
      <c r="M1630" s="9" t="s">
        <v>19</v>
      </c>
      <c r="N1630" s="9" t="s">
        <v>20</v>
      </c>
      <c r="O1630" s="6" t="str">
        <f>HYPERLINK("https://pbs.twimg.com/profile_images/962471262747529216/Uo8lOkRJ_normal.jpg","View")</f>
        <v>View</v>
      </c>
      <c r="P1630" s="7"/>
    </row>
    <row r="1631" spans="1:16">
      <c r="A1631" s="3">
        <v>43853.223530092597</v>
      </c>
      <c r="B1631" s="4" t="str">
        <f>HYPERLINK("https://twitter.com/petrogustavo","@petrogustavo")</f>
        <v>@petrogustavo</v>
      </c>
      <c r="C1631" s="5" t="s">
        <v>16</v>
      </c>
      <c r="D1631" s="5" t="s">
        <v>1602</v>
      </c>
      <c r="E1631" s="6" t="str">
        <f>HYPERLINK("https://twitter.com/petrogustavo/status/1220132006056558593","1220132006056558593")</f>
        <v>1220132006056558593</v>
      </c>
      <c r="F1631" s="7" t="s">
        <v>17</v>
      </c>
      <c r="G1631" s="7">
        <v>3616488</v>
      </c>
      <c r="H1631" s="7">
        <v>2351</v>
      </c>
      <c r="I1631" s="7">
        <v>139</v>
      </c>
      <c r="J1631" s="7">
        <v>357</v>
      </c>
      <c r="K1631" s="7" t="s">
        <v>18</v>
      </c>
      <c r="L1631" s="8">
        <v>39987.315405092595</v>
      </c>
      <c r="M1631" s="9" t="s">
        <v>19</v>
      </c>
      <c r="N1631" s="9" t="s">
        <v>20</v>
      </c>
      <c r="O1631" s="6" t="str">
        <f>HYPERLINK("https://pbs.twimg.com/profile_images/962471262747529216/Uo8lOkRJ_normal.jpg","View")</f>
        <v>View</v>
      </c>
      <c r="P1631" s="7"/>
    </row>
    <row r="1632" spans="1:16">
      <c r="A1632" s="3">
        <v>43853.276226851856</v>
      </c>
      <c r="B1632" s="4" t="str">
        <f>HYPERLINK("https://twitter.com/petrogustavo","@petrogustavo")</f>
        <v>@petrogustavo</v>
      </c>
      <c r="C1632" s="5" t="s">
        <v>16</v>
      </c>
      <c r="D1632" s="5" t="s">
        <v>1603</v>
      </c>
      <c r="E1632" s="6" t="str">
        <f>HYPERLINK("https://twitter.com/petrogustavo/status/1220151103054106629","1220151103054106629")</f>
        <v>1220151103054106629</v>
      </c>
      <c r="F1632" s="7" t="s">
        <v>17</v>
      </c>
      <c r="G1632" s="7">
        <v>3616581</v>
      </c>
      <c r="H1632" s="7">
        <v>2351</v>
      </c>
      <c r="I1632" s="7">
        <v>144</v>
      </c>
      <c r="J1632" s="7">
        <v>0</v>
      </c>
      <c r="K1632" s="7" t="s">
        <v>18</v>
      </c>
      <c r="L1632" s="8">
        <v>39987.315405092595</v>
      </c>
      <c r="M1632" s="9" t="s">
        <v>19</v>
      </c>
      <c r="N1632" s="9" t="s">
        <v>20</v>
      </c>
      <c r="O1632" s="6" t="str">
        <f>HYPERLINK("https://pbs.twimg.com/profile_images/962471262747529216/Uo8lOkRJ_normal.jpg","View")</f>
        <v>View</v>
      </c>
      <c r="P1632" s="7"/>
    </row>
    <row r="1633" spans="1:16">
      <c r="A1633" s="3">
        <v>43853.276874999996</v>
      </c>
      <c r="B1633" s="4" t="str">
        <f>HYPERLINK("https://twitter.com/petrogustavo","@petrogustavo")</f>
        <v>@petrogustavo</v>
      </c>
      <c r="C1633" s="5" t="s">
        <v>16</v>
      </c>
      <c r="D1633" s="5" t="s">
        <v>1604</v>
      </c>
      <c r="E1633" s="6" t="str">
        <f>HYPERLINK("https://twitter.com/petrogustavo/status/1220151337641529344","1220151337641529344")</f>
        <v>1220151337641529344</v>
      </c>
      <c r="F1633" s="7" t="s">
        <v>17</v>
      </c>
      <c r="G1633" s="7">
        <v>3616581</v>
      </c>
      <c r="H1633" s="7">
        <v>2351</v>
      </c>
      <c r="I1633" s="7">
        <v>314</v>
      </c>
      <c r="J1633" s="7">
        <v>0</v>
      </c>
      <c r="K1633" s="7" t="s">
        <v>18</v>
      </c>
      <c r="L1633" s="8">
        <v>39987.315405092595</v>
      </c>
      <c r="M1633" s="9" t="s">
        <v>19</v>
      </c>
      <c r="N1633" s="9" t="s">
        <v>20</v>
      </c>
      <c r="O1633" s="6" t="str">
        <f>HYPERLINK("https://pbs.twimg.com/profile_images/962471262747529216/Uo8lOkRJ_normal.jpg","View")</f>
        <v>View</v>
      </c>
      <c r="P1633" s="7"/>
    </row>
    <row r="1634" spans="1:16">
      <c r="A1634" s="3">
        <v>43853.28743055556</v>
      </c>
      <c r="B1634" s="4" t="str">
        <f>HYPERLINK("https://twitter.com/petrogustavo","@petrogustavo")</f>
        <v>@petrogustavo</v>
      </c>
      <c r="C1634" s="5" t="s">
        <v>16</v>
      </c>
      <c r="D1634" s="5" t="s">
        <v>1605</v>
      </c>
      <c r="E1634" s="6" t="str">
        <f>HYPERLINK("https://twitter.com/petrogustavo/status/1220155161856872448","1220155161856872448")</f>
        <v>1220155161856872448</v>
      </c>
      <c r="F1634" s="7" t="s">
        <v>17</v>
      </c>
      <c r="G1634" s="7">
        <v>3616613</v>
      </c>
      <c r="H1634" s="7">
        <v>2351</v>
      </c>
      <c r="I1634" s="7">
        <v>51</v>
      </c>
      <c r="J1634" s="7">
        <v>0</v>
      </c>
      <c r="K1634" s="7" t="s">
        <v>18</v>
      </c>
      <c r="L1634" s="8">
        <v>39987.315405092595</v>
      </c>
      <c r="M1634" s="9" t="s">
        <v>19</v>
      </c>
      <c r="N1634" s="9" t="s">
        <v>20</v>
      </c>
      <c r="O1634" s="6" t="str">
        <f>HYPERLINK("https://pbs.twimg.com/profile_images/962471262747529216/Uo8lOkRJ_normal.jpg","View")</f>
        <v>View</v>
      </c>
      <c r="P1634" s="7"/>
    </row>
    <row r="1635" spans="1:16">
      <c r="A1635" s="3">
        <v>43853.292337962965</v>
      </c>
      <c r="B1635" s="4" t="str">
        <f>HYPERLINK("https://twitter.com/petrogustavo","@petrogustavo")</f>
        <v>@petrogustavo</v>
      </c>
      <c r="C1635" s="5" t="s">
        <v>16</v>
      </c>
      <c r="D1635" s="5" t="s">
        <v>1606</v>
      </c>
      <c r="E1635" s="6" t="str">
        <f>HYPERLINK("https://twitter.com/petrogustavo/status/1220156939642003456","1220156939642003456")</f>
        <v>1220156939642003456</v>
      </c>
      <c r="F1635" s="7" t="s">
        <v>17</v>
      </c>
      <c r="G1635" s="7">
        <v>3616613</v>
      </c>
      <c r="H1635" s="7">
        <v>2351</v>
      </c>
      <c r="I1635" s="7">
        <v>55</v>
      </c>
      <c r="J1635" s="7">
        <v>179</v>
      </c>
      <c r="K1635" s="7" t="s">
        <v>18</v>
      </c>
      <c r="L1635" s="8">
        <v>39987.315405092595</v>
      </c>
      <c r="M1635" s="9" t="s">
        <v>19</v>
      </c>
      <c r="N1635" s="9" t="s">
        <v>20</v>
      </c>
      <c r="O1635" s="6" t="str">
        <f>HYPERLINK("https://pbs.twimg.com/profile_images/962471262747529216/Uo8lOkRJ_normal.jpg","View")</f>
        <v>View</v>
      </c>
      <c r="P1635" s="7"/>
    </row>
    <row r="1636" spans="1:16">
      <c r="A1636" s="3">
        <v>43853.295219907406</v>
      </c>
      <c r="B1636" s="4" t="str">
        <f>HYPERLINK("https://twitter.com/petrogustavo","@petrogustavo")</f>
        <v>@petrogustavo</v>
      </c>
      <c r="C1636" s="5" t="s">
        <v>16</v>
      </c>
      <c r="D1636" s="5" t="s">
        <v>1607</v>
      </c>
      <c r="E1636" s="6" t="str">
        <f>HYPERLINK("https://twitter.com/petrogustavo/status/1220157984623513601","1220157984623513601")</f>
        <v>1220157984623513601</v>
      </c>
      <c r="F1636" s="7" t="s">
        <v>17</v>
      </c>
      <c r="G1636" s="7">
        <v>3616613</v>
      </c>
      <c r="H1636" s="7">
        <v>2351</v>
      </c>
      <c r="I1636" s="7">
        <v>107</v>
      </c>
      <c r="J1636" s="7">
        <v>0</v>
      </c>
      <c r="K1636" s="7" t="s">
        <v>18</v>
      </c>
      <c r="L1636" s="8">
        <v>39987.315405092595</v>
      </c>
      <c r="M1636" s="9" t="s">
        <v>19</v>
      </c>
      <c r="N1636" s="9" t="s">
        <v>20</v>
      </c>
      <c r="O1636" s="6" t="str">
        <f>HYPERLINK("https://pbs.twimg.com/profile_images/962471262747529216/Uo8lOkRJ_normal.jpg","View")</f>
        <v>View</v>
      </c>
      <c r="P1636" s="7"/>
    </row>
    <row r="1637" spans="1:16">
      <c r="A1637" s="3">
        <v>43853.29552083333</v>
      </c>
      <c r="B1637" s="4" t="str">
        <f>HYPERLINK("https://twitter.com/petrogustavo","@petrogustavo")</f>
        <v>@petrogustavo</v>
      </c>
      <c r="C1637" s="5" t="s">
        <v>16</v>
      </c>
      <c r="D1637" s="5" t="s">
        <v>1608</v>
      </c>
      <c r="E1637" s="6" t="str">
        <f>HYPERLINK("https://twitter.com/petrogustavo/status/1220158092832321537","1220158092832321537")</f>
        <v>1220158092832321537</v>
      </c>
      <c r="F1637" s="7" t="s">
        <v>17</v>
      </c>
      <c r="G1637" s="7">
        <v>3616613</v>
      </c>
      <c r="H1637" s="7">
        <v>2351</v>
      </c>
      <c r="I1637" s="7">
        <v>204</v>
      </c>
      <c r="J1637" s="7">
        <v>0</v>
      </c>
      <c r="K1637" s="7" t="s">
        <v>18</v>
      </c>
      <c r="L1637" s="8">
        <v>39987.315405092595</v>
      </c>
      <c r="M1637" s="9" t="s">
        <v>19</v>
      </c>
      <c r="N1637" s="9" t="s">
        <v>20</v>
      </c>
      <c r="O1637" s="6" t="str">
        <f>HYPERLINK("https://pbs.twimg.com/profile_images/962471262747529216/Uo8lOkRJ_normal.jpg","View")</f>
        <v>View</v>
      </c>
      <c r="P1637" s="7"/>
    </row>
    <row r="1638" spans="1:16">
      <c r="A1638" s="3">
        <v>43853.298993055556</v>
      </c>
      <c r="B1638" s="4" t="str">
        <f>HYPERLINK("https://twitter.com/petrogustavo","@petrogustavo")</f>
        <v>@petrogustavo</v>
      </c>
      <c r="C1638" s="5" t="s">
        <v>16</v>
      </c>
      <c r="D1638" s="5" t="s">
        <v>1609</v>
      </c>
      <c r="E1638" s="6" t="str">
        <f>HYPERLINK("https://twitter.com/petrogustavo/status/1220159351748550668","1220159351748550668")</f>
        <v>1220159351748550668</v>
      </c>
      <c r="F1638" s="7" t="s">
        <v>17</v>
      </c>
      <c r="G1638" s="7">
        <v>3616613</v>
      </c>
      <c r="H1638" s="7">
        <v>2351</v>
      </c>
      <c r="I1638" s="7">
        <v>27</v>
      </c>
      <c r="J1638" s="7">
        <v>49</v>
      </c>
      <c r="K1638" s="7" t="s">
        <v>18</v>
      </c>
      <c r="L1638" s="8">
        <v>39987.315405092595</v>
      </c>
      <c r="M1638" s="9" t="s">
        <v>19</v>
      </c>
      <c r="N1638" s="9" t="s">
        <v>20</v>
      </c>
      <c r="O1638" s="6" t="str">
        <f>HYPERLINK("https://pbs.twimg.com/profile_images/962471262747529216/Uo8lOkRJ_normal.jpg","View")</f>
        <v>View</v>
      </c>
      <c r="P1638" s="7"/>
    </row>
    <row r="1639" spans="1:16">
      <c r="A1639" s="3">
        <v>43853.30196759259</v>
      </c>
      <c r="B1639" s="4" t="str">
        <f>HYPERLINK("https://twitter.com/petrogustavo","@petrogustavo")</f>
        <v>@petrogustavo</v>
      </c>
      <c r="C1639" s="5" t="s">
        <v>16</v>
      </c>
      <c r="D1639" s="5" t="s">
        <v>1610</v>
      </c>
      <c r="E1639" s="6" t="str">
        <f>HYPERLINK("https://twitter.com/petrogustavo/status/1220160428845813760","1220160428845813760")</f>
        <v>1220160428845813760</v>
      </c>
      <c r="F1639" s="7" t="s">
        <v>17</v>
      </c>
      <c r="G1639" s="7">
        <v>3616613</v>
      </c>
      <c r="H1639" s="7">
        <v>2351</v>
      </c>
      <c r="I1639" s="7">
        <v>36</v>
      </c>
      <c r="J1639" s="7">
        <v>0</v>
      </c>
      <c r="K1639" s="7" t="s">
        <v>18</v>
      </c>
      <c r="L1639" s="8">
        <v>39987.315405092595</v>
      </c>
      <c r="M1639" s="9" t="s">
        <v>19</v>
      </c>
      <c r="N1639" s="9" t="s">
        <v>20</v>
      </c>
      <c r="O1639" s="6" t="str">
        <f>HYPERLINK("https://pbs.twimg.com/profile_images/962471262747529216/Uo8lOkRJ_normal.jpg","View")</f>
        <v>View</v>
      </c>
      <c r="P1639" s="7"/>
    </row>
    <row r="1640" spans="1:16">
      <c r="A1640" s="3">
        <v>43853.302997685183</v>
      </c>
      <c r="B1640" s="4" t="str">
        <f>HYPERLINK("https://twitter.com/petrogustavo","@petrogustavo")</f>
        <v>@petrogustavo</v>
      </c>
      <c r="C1640" s="5" t="s">
        <v>16</v>
      </c>
      <c r="D1640" s="5" t="s">
        <v>1611</v>
      </c>
      <c r="E1640" s="6" t="str">
        <f>HYPERLINK("https://twitter.com/petrogustavo/status/1220160801220239360","1220160801220239360")</f>
        <v>1220160801220239360</v>
      </c>
      <c r="F1640" s="7" t="s">
        <v>17</v>
      </c>
      <c r="G1640" s="7">
        <v>3616613</v>
      </c>
      <c r="H1640" s="7">
        <v>2351</v>
      </c>
      <c r="I1640" s="7">
        <v>162</v>
      </c>
      <c r="J1640" s="7">
        <v>0</v>
      </c>
      <c r="K1640" s="7" t="s">
        <v>18</v>
      </c>
      <c r="L1640" s="8">
        <v>39987.315405092595</v>
      </c>
      <c r="M1640" s="9" t="s">
        <v>19</v>
      </c>
      <c r="N1640" s="9" t="s">
        <v>20</v>
      </c>
      <c r="O1640" s="6" t="str">
        <f>HYPERLINK("https://pbs.twimg.com/profile_images/962471262747529216/Uo8lOkRJ_normal.jpg","View")</f>
        <v>View</v>
      </c>
      <c r="P1640" s="7"/>
    </row>
    <row r="1641" spans="1:16">
      <c r="A1641" s="3">
        <v>43853.304722222223</v>
      </c>
      <c r="B1641" s="4" t="str">
        <f>HYPERLINK("https://twitter.com/petrogustavo","@petrogustavo")</f>
        <v>@petrogustavo</v>
      </c>
      <c r="C1641" s="5" t="s">
        <v>16</v>
      </c>
      <c r="D1641" s="5" t="s">
        <v>1612</v>
      </c>
      <c r="E1641" s="6" t="str">
        <f>HYPERLINK("https://twitter.com/petrogustavo/status/1220161429480845312","1220161429480845312")</f>
        <v>1220161429480845312</v>
      </c>
      <c r="F1641" s="7" t="s">
        <v>17</v>
      </c>
      <c r="G1641" s="7">
        <v>3616656</v>
      </c>
      <c r="H1641" s="7">
        <v>2351</v>
      </c>
      <c r="I1641" s="7">
        <v>96</v>
      </c>
      <c r="J1641" s="7">
        <v>282</v>
      </c>
      <c r="K1641" s="7" t="s">
        <v>18</v>
      </c>
      <c r="L1641" s="8">
        <v>39987.315405092595</v>
      </c>
      <c r="M1641" s="9" t="s">
        <v>19</v>
      </c>
      <c r="N1641" s="9" t="s">
        <v>20</v>
      </c>
      <c r="O1641" s="6" t="str">
        <f>HYPERLINK("https://pbs.twimg.com/profile_images/962471262747529216/Uo8lOkRJ_normal.jpg","View")</f>
        <v>View</v>
      </c>
      <c r="P1641" s="7"/>
    </row>
    <row r="1642" spans="1:16">
      <c r="A1642" s="3">
        <v>43853.305578703701</v>
      </c>
      <c r="B1642" s="4" t="str">
        <f>HYPERLINK("https://twitter.com/petrogustavo","@petrogustavo")</f>
        <v>@petrogustavo</v>
      </c>
      <c r="C1642" s="5" t="s">
        <v>16</v>
      </c>
      <c r="D1642" s="5" t="s">
        <v>1613</v>
      </c>
      <c r="E1642" s="6" t="str">
        <f>HYPERLINK("https://twitter.com/petrogustavo/status/1220161739372793857","1220161739372793857")</f>
        <v>1220161739372793857</v>
      </c>
      <c r="F1642" s="7" t="s">
        <v>17</v>
      </c>
      <c r="G1642" s="7">
        <v>3616656</v>
      </c>
      <c r="H1642" s="7">
        <v>2351</v>
      </c>
      <c r="I1642" s="7">
        <v>1527</v>
      </c>
      <c r="J1642" s="7">
        <v>0</v>
      </c>
      <c r="K1642" s="7" t="s">
        <v>18</v>
      </c>
      <c r="L1642" s="8">
        <v>39987.315405092595</v>
      </c>
      <c r="M1642" s="9" t="s">
        <v>19</v>
      </c>
      <c r="N1642" s="9" t="s">
        <v>20</v>
      </c>
      <c r="O1642" s="6" t="str">
        <f>HYPERLINK("https://pbs.twimg.com/profile_images/962471262747529216/Uo8lOkRJ_normal.jpg","View")</f>
        <v>View</v>
      </c>
      <c r="P1642" s="7"/>
    </row>
    <row r="1643" spans="1:16">
      <c r="A1643" s="3">
        <v>43853.314791666664</v>
      </c>
      <c r="B1643" s="4" t="str">
        <f>HYPERLINK("https://twitter.com/petrogustavo","@petrogustavo")</f>
        <v>@petrogustavo</v>
      </c>
      <c r="C1643" s="5" t="s">
        <v>16</v>
      </c>
      <c r="D1643" s="5" t="s">
        <v>1614</v>
      </c>
      <c r="E1643" s="6" t="str">
        <f>HYPERLINK("https://twitter.com/petrogustavo/status/1220165077342597121","1220165077342597121")</f>
        <v>1220165077342597121</v>
      </c>
      <c r="F1643" s="7" t="s">
        <v>17</v>
      </c>
      <c r="G1643" s="7">
        <v>3616656</v>
      </c>
      <c r="H1643" s="7">
        <v>2351</v>
      </c>
      <c r="I1643" s="7">
        <v>16</v>
      </c>
      <c r="J1643" s="7">
        <v>68</v>
      </c>
      <c r="K1643" s="7" t="s">
        <v>18</v>
      </c>
      <c r="L1643" s="8">
        <v>39987.315405092595</v>
      </c>
      <c r="M1643" s="9" t="s">
        <v>19</v>
      </c>
      <c r="N1643" s="9" t="s">
        <v>20</v>
      </c>
      <c r="O1643" s="6" t="str">
        <f>HYPERLINK("https://pbs.twimg.com/profile_images/962471262747529216/Uo8lOkRJ_normal.jpg","View")</f>
        <v>View</v>
      </c>
      <c r="P1643" s="7"/>
    </row>
    <row r="1644" spans="1:16">
      <c r="A1644" s="3">
        <v>43853.319768518515</v>
      </c>
      <c r="B1644" s="4" t="str">
        <f>HYPERLINK("https://twitter.com/petrogustavo","@petrogustavo")</f>
        <v>@petrogustavo</v>
      </c>
      <c r="C1644" s="5" t="s">
        <v>16</v>
      </c>
      <c r="D1644" s="5" t="s">
        <v>1615</v>
      </c>
      <c r="E1644" s="6" t="str">
        <f>HYPERLINK("https://twitter.com/petrogustavo/status/1220166880679419909","1220166880679419909")</f>
        <v>1220166880679419909</v>
      </c>
      <c r="F1644" s="7" t="s">
        <v>17</v>
      </c>
      <c r="G1644" s="7">
        <v>3616656</v>
      </c>
      <c r="H1644" s="7">
        <v>2351</v>
      </c>
      <c r="I1644" s="7">
        <v>1255</v>
      </c>
      <c r="J1644" s="7">
        <v>0</v>
      </c>
      <c r="K1644" s="7" t="s">
        <v>18</v>
      </c>
      <c r="L1644" s="8">
        <v>39987.315405092595</v>
      </c>
      <c r="M1644" s="9" t="s">
        <v>19</v>
      </c>
      <c r="N1644" s="9" t="s">
        <v>20</v>
      </c>
      <c r="O1644" s="6" t="str">
        <f>HYPERLINK("https://pbs.twimg.com/profile_images/962471262747529216/Uo8lOkRJ_normal.jpg","View")</f>
        <v>View</v>
      </c>
      <c r="P1644" s="7"/>
    </row>
    <row r="1645" spans="1:16">
      <c r="A1645" s="3">
        <v>43853.319861111115</v>
      </c>
      <c r="B1645" s="4" t="str">
        <f>HYPERLINK("https://twitter.com/petrogustavo","@petrogustavo")</f>
        <v>@petrogustavo</v>
      </c>
      <c r="C1645" s="5" t="s">
        <v>16</v>
      </c>
      <c r="D1645" s="5" t="s">
        <v>1616</v>
      </c>
      <c r="E1645" s="6" t="str">
        <f>HYPERLINK("https://twitter.com/petrogustavo/status/1220166914154082304","1220166914154082304")</f>
        <v>1220166914154082304</v>
      </c>
      <c r="F1645" s="7" t="s">
        <v>17</v>
      </c>
      <c r="G1645" s="7">
        <v>3616656</v>
      </c>
      <c r="H1645" s="7">
        <v>2351</v>
      </c>
      <c r="I1645" s="7">
        <v>96</v>
      </c>
      <c r="J1645" s="7">
        <v>0</v>
      </c>
      <c r="K1645" s="7" t="s">
        <v>18</v>
      </c>
      <c r="L1645" s="8">
        <v>39987.315405092595</v>
      </c>
      <c r="M1645" s="9" t="s">
        <v>19</v>
      </c>
      <c r="N1645" s="9" t="s">
        <v>20</v>
      </c>
      <c r="O1645" s="6" t="str">
        <f>HYPERLINK("https://pbs.twimg.com/profile_images/962471262747529216/Uo8lOkRJ_normal.jpg","View")</f>
        <v>View</v>
      </c>
      <c r="P1645" s="7"/>
    </row>
    <row r="1646" spans="1:16">
      <c r="A1646" s="3">
        <v>43853.322916666672</v>
      </c>
      <c r="B1646" s="4" t="str">
        <f>HYPERLINK("https://twitter.com/petrogustavo","@petrogustavo")</f>
        <v>@petrogustavo</v>
      </c>
      <c r="C1646" s="5" t="s">
        <v>16</v>
      </c>
      <c r="D1646" s="5" t="s">
        <v>1617</v>
      </c>
      <c r="E1646" s="6" t="str">
        <f>HYPERLINK("https://twitter.com/petrogustavo/status/1220168023035850753","1220168023035850753")</f>
        <v>1220168023035850753</v>
      </c>
      <c r="F1646" s="7" t="s">
        <v>17</v>
      </c>
      <c r="G1646" s="7">
        <v>3616656</v>
      </c>
      <c r="H1646" s="7">
        <v>2351</v>
      </c>
      <c r="I1646" s="7">
        <v>1163</v>
      </c>
      <c r="J1646" s="7">
        <v>0</v>
      </c>
      <c r="K1646" s="7" t="s">
        <v>18</v>
      </c>
      <c r="L1646" s="8">
        <v>39987.315405092595</v>
      </c>
      <c r="M1646" s="9" t="s">
        <v>19</v>
      </c>
      <c r="N1646" s="9" t="s">
        <v>20</v>
      </c>
      <c r="O1646" s="6" t="str">
        <f>HYPERLINK("https://pbs.twimg.com/profile_images/962471262747529216/Uo8lOkRJ_normal.jpg","View")</f>
        <v>View</v>
      </c>
      <c r="P1646" s="7"/>
    </row>
    <row r="1647" spans="1:16">
      <c r="A1647" s="3">
        <v>43853.328275462962</v>
      </c>
      <c r="B1647" s="4" t="str">
        <f>HYPERLINK("https://twitter.com/petrogustavo","@petrogustavo")</f>
        <v>@petrogustavo</v>
      </c>
      <c r="C1647" s="5" t="s">
        <v>16</v>
      </c>
      <c r="D1647" s="5" t="s">
        <v>1618</v>
      </c>
      <c r="E1647" s="6" t="str">
        <f>HYPERLINK("https://twitter.com/petrogustavo/status/1220169961915764738","1220169961915764738")</f>
        <v>1220169961915764738</v>
      </c>
      <c r="F1647" s="7" t="s">
        <v>17</v>
      </c>
      <c r="G1647" s="7">
        <v>3616695</v>
      </c>
      <c r="H1647" s="7">
        <v>2351</v>
      </c>
      <c r="I1647" s="7">
        <v>90</v>
      </c>
      <c r="J1647" s="7">
        <v>298</v>
      </c>
      <c r="K1647" s="7" t="s">
        <v>18</v>
      </c>
      <c r="L1647" s="8">
        <v>39987.315405092595</v>
      </c>
      <c r="M1647" s="9" t="s">
        <v>19</v>
      </c>
      <c r="N1647" s="9" t="s">
        <v>20</v>
      </c>
      <c r="O1647" s="6" t="str">
        <f>HYPERLINK("https://pbs.twimg.com/profile_images/962471262747529216/Uo8lOkRJ_normal.jpg","View")</f>
        <v>View</v>
      </c>
      <c r="P1647" s="7"/>
    </row>
    <row r="1648" spans="1:16">
      <c r="A1648" s="3">
        <v>43853.334074074075</v>
      </c>
      <c r="B1648" s="4" t="str">
        <f>HYPERLINK("https://twitter.com/petrogustavo","@petrogustavo")</f>
        <v>@petrogustavo</v>
      </c>
      <c r="C1648" s="5" t="s">
        <v>16</v>
      </c>
      <c r="D1648" s="5" t="s">
        <v>1619</v>
      </c>
      <c r="E1648" s="6" t="str">
        <f>HYPERLINK("https://twitter.com/petrogustavo/status/1220172064222580738","1220172064222580738")</f>
        <v>1220172064222580738</v>
      </c>
      <c r="F1648" s="7" t="s">
        <v>17</v>
      </c>
      <c r="G1648" s="7">
        <v>3616695</v>
      </c>
      <c r="H1648" s="7">
        <v>2351</v>
      </c>
      <c r="I1648" s="7">
        <v>116</v>
      </c>
      <c r="J1648" s="7">
        <v>0</v>
      </c>
      <c r="K1648" s="7" t="s">
        <v>18</v>
      </c>
      <c r="L1648" s="8">
        <v>39987.315405092595</v>
      </c>
      <c r="M1648" s="9" t="s">
        <v>19</v>
      </c>
      <c r="N1648" s="9" t="s">
        <v>20</v>
      </c>
      <c r="O1648" s="6" t="str">
        <f>HYPERLINK("https://pbs.twimg.com/profile_images/962471262747529216/Uo8lOkRJ_normal.jpg","View")</f>
        <v>View</v>
      </c>
      <c r="P1648" s="7"/>
    </row>
    <row r="1649" spans="1:16">
      <c r="A1649" s="3">
        <v>43853.335613425923</v>
      </c>
      <c r="B1649" s="4" t="str">
        <f>HYPERLINK("https://twitter.com/petrogustavo","@petrogustavo")</f>
        <v>@petrogustavo</v>
      </c>
      <c r="C1649" s="5" t="s">
        <v>16</v>
      </c>
      <c r="D1649" s="5" t="s">
        <v>1620</v>
      </c>
      <c r="E1649" s="6" t="str">
        <f>HYPERLINK("https://twitter.com/petrogustavo/status/1220172623474319363","1220172623474319363")</f>
        <v>1220172623474319363</v>
      </c>
      <c r="F1649" s="7" t="s">
        <v>17</v>
      </c>
      <c r="G1649" s="7">
        <v>3616695</v>
      </c>
      <c r="H1649" s="7">
        <v>2351</v>
      </c>
      <c r="I1649" s="7">
        <v>36</v>
      </c>
      <c r="J1649" s="7">
        <v>128</v>
      </c>
      <c r="K1649" s="7" t="s">
        <v>18</v>
      </c>
      <c r="L1649" s="8">
        <v>39987.315405092595</v>
      </c>
      <c r="M1649" s="9" t="s">
        <v>19</v>
      </c>
      <c r="N1649" s="9" t="s">
        <v>20</v>
      </c>
      <c r="O1649" s="6" t="str">
        <f>HYPERLINK("https://pbs.twimg.com/profile_images/962471262747529216/Uo8lOkRJ_normal.jpg","View")</f>
        <v>View</v>
      </c>
      <c r="P1649" s="7"/>
    </row>
    <row r="1650" spans="1:16">
      <c r="A1650" s="3">
        <v>43853.773333333331</v>
      </c>
      <c r="B1650" s="4" t="str">
        <f>HYPERLINK("https://twitter.com/petrogustavo","@petrogustavo")</f>
        <v>@petrogustavo</v>
      </c>
      <c r="C1650" s="5" t="s">
        <v>16</v>
      </c>
      <c r="D1650" s="5" t="s">
        <v>1621</v>
      </c>
      <c r="E1650" s="6" t="str">
        <f>HYPERLINK("https://twitter.com/petrogustavo/status/1220331247085420544","1220331247085420544")</f>
        <v>1220331247085420544</v>
      </c>
      <c r="F1650" s="7" t="s">
        <v>17</v>
      </c>
      <c r="G1650" s="7">
        <v>3616979</v>
      </c>
      <c r="H1650" s="7">
        <v>2351</v>
      </c>
      <c r="I1650" s="7">
        <v>202</v>
      </c>
      <c r="J1650" s="7">
        <v>445</v>
      </c>
      <c r="K1650" s="7" t="s">
        <v>18</v>
      </c>
      <c r="L1650" s="8">
        <v>39987.315405092595</v>
      </c>
      <c r="M1650" s="9" t="s">
        <v>19</v>
      </c>
      <c r="N1650" s="9" t="s">
        <v>20</v>
      </c>
      <c r="O1650" s="6" t="str">
        <f>HYPERLINK("https://pbs.twimg.com/profile_images/962471262747529216/Uo8lOkRJ_normal.jpg","View")</f>
        <v>View</v>
      </c>
      <c r="P1650" s="7"/>
    </row>
    <row r="1651" spans="1:16">
      <c r="A1651" s="3">
        <v>43853.777581018519</v>
      </c>
      <c r="B1651" s="4" t="str">
        <f>HYPERLINK("https://twitter.com/petrogustavo","@petrogustavo")</f>
        <v>@petrogustavo</v>
      </c>
      <c r="C1651" s="5" t="s">
        <v>16</v>
      </c>
      <c r="D1651" s="5" t="s">
        <v>1622</v>
      </c>
      <c r="E1651" s="6" t="str">
        <f>HYPERLINK("https://twitter.com/petrogustavo/status/1220332784285356032","1220332784285356032")</f>
        <v>1220332784285356032</v>
      </c>
      <c r="F1651" s="7" t="s">
        <v>17</v>
      </c>
      <c r="G1651" s="7">
        <v>3616979</v>
      </c>
      <c r="H1651" s="7">
        <v>2351</v>
      </c>
      <c r="I1651" s="7">
        <v>27</v>
      </c>
      <c r="J1651" s="7">
        <v>50</v>
      </c>
      <c r="K1651" s="7" t="s">
        <v>18</v>
      </c>
      <c r="L1651" s="8">
        <v>39987.315405092595</v>
      </c>
      <c r="M1651" s="9" t="s">
        <v>19</v>
      </c>
      <c r="N1651" s="9" t="s">
        <v>20</v>
      </c>
      <c r="O1651" s="6" t="str">
        <f>HYPERLINK("https://pbs.twimg.com/profile_images/962471262747529216/Uo8lOkRJ_normal.jpg","View")</f>
        <v>View</v>
      </c>
      <c r="P1651" s="7"/>
    </row>
    <row r="1652" spans="1:16">
      <c r="A1652" s="3">
        <v>43853.7808912037</v>
      </c>
      <c r="B1652" s="4" t="str">
        <f>HYPERLINK("https://twitter.com/petrogustavo","@petrogustavo")</f>
        <v>@petrogustavo</v>
      </c>
      <c r="C1652" s="5" t="s">
        <v>16</v>
      </c>
      <c r="D1652" s="5" t="s">
        <v>1623</v>
      </c>
      <c r="E1652" s="6" t="str">
        <f>HYPERLINK("https://twitter.com/petrogustavo/status/1220333987371024384","1220333987371024384")</f>
        <v>1220333987371024384</v>
      </c>
      <c r="F1652" s="7" t="s">
        <v>17</v>
      </c>
      <c r="G1652" s="7">
        <v>3616979</v>
      </c>
      <c r="H1652" s="7">
        <v>2351</v>
      </c>
      <c r="I1652" s="7">
        <v>47</v>
      </c>
      <c r="J1652" s="7">
        <v>103</v>
      </c>
      <c r="K1652" s="7" t="s">
        <v>18</v>
      </c>
      <c r="L1652" s="8">
        <v>39987.315405092595</v>
      </c>
      <c r="M1652" s="9" t="s">
        <v>19</v>
      </c>
      <c r="N1652" s="9" t="s">
        <v>20</v>
      </c>
      <c r="O1652" s="6" t="str">
        <f>HYPERLINK("https://pbs.twimg.com/profile_images/962471262747529216/Uo8lOkRJ_normal.jpg","View")</f>
        <v>View</v>
      </c>
      <c r="P1652" s="7"/>
    </row>
    <row r="1653" spans="1:16">
      <c r="A1653" s="3">
        <v>43853.782766203702</v>
      </c>
      <c r="B1653" s="4" t="str">
        <f>HYPERLINK("https://twitter.com/petrogustavo","@petrogustavo")</f>
        <v>@petrogustavo</v>
      </c>
      <c r="C1653" s="5" t="s">
        <v>16</v>
      </c>
      <c r="D1653" s="5" t="s">
        <v>1624</v>
      </c>
      <c r="E1653" s="6" t="str">
        <f>HYPERLINK("https://twitter.com/petrogustavo/status/1220334664830869505","1220334664830869505")</f>
        <v>1220334664830869505</v>
      </c>
      <c r="F1653" s="7" t="s">
        <v>17</v>
      </c>
      <c r="G1653" s="7">
        <v>3616979</v>
      </c>
      <c r="H1653" s="7">
        <v>2351</v>
      </c>
      <c r="I1653" s="7">
        <v>5439</v>
      </c>
      <c r="J1653" s="7">
        <v>0</v>
      </c>
      <c r="K1653" s="7" t="s">
        <v>18</v>
      </c>
      <c r="L1653" s="8">
        <v>39987.315405092595</v>
      </c>
      <c r="M1653" s="9" t="s">
        <v>19</v>
      </c>
      <c r="N1653" s="9" t="s">
        <v>20</v>
      </c>
      <c r="O1653" s="6" t="str">
        <f>HYPERLINK("https://pbs.twimg.com/profile_images/962471262747529216/Uo8lOkRJ_normal.jpg","View")</f>
        <v>View</v>
      </c>
      <c r="P1653" s="7"/>
    </row>
    <row r="1654" spans="1:16">
      <c r="A1654" s="3">
        <v>43853.786793981482</v>
      </c>
      <c r="B1654" s="4" t="str">
        <f>HYPERLINK("https://twitter.com/petrogustavo","@petrogustavo")</f>
        <v>@petrogustavo</v>
      </c>
      <c r="C1654" s="5" t="s">
        <v>16</v>
      </c>
      <c r="D1654" s="5" t="s">
        <v>1625</v>
      </c>
      <c r="E1654" s="6" t="str">
        <f>HYPERLINK("https://twitter.com/petrogustavo/status/1220336122481516544","1220336122481516544")</f>
        <v>1220336122481516544</v>
      </c>
      <c r="F1654" s="7" t="s">
        <v>17</v>
      </c>
      <c r="G1654" s="7">
        <v>3617001</v>
      </c>
      <c r="H1654" s="7">
        <v>2351</v>
      </c>
      <c r="I1654" s="7">
        <v>65</v>
      </c>
      <c r="J1654" s="7">
        <v>188</v>
      </c>
      <c r="K1654" s="7" t="s">
        <v>18</v>
      </c>
      <c r="L1654" s="8">
        <v>39987.315405092595</v>
      </c>
      <c r="M1654" s="9" t="s">
        <v>19</v>
      </c>
      <c r="N1654" s="9" t="s">
        <v>20</v>
      </c>
      <c r="O1654" s="6" t="str">
        <f>HYPERLINK("https://pbs.twimg.com/profile_images/962471262747529216/Uo8lOkRJ_normal.jpg","View")</f>
        <v>View</v>
      </c>
      <c r="P1654" s="7"/>
    </row>
    <row r="1655" spans="1:16">
      <c r="A1655" s="3">
        <v>43853.786793981482</v>
      </c>
      <c r="B1655" s="4" t="str">
        <f>HYPERLINK("https://twitter.com/petrogustavo","@petrogustavo")</f>
        <v>@petrogustavo</v>
      </c>
      <c r="C1655" s="5" t="s">
        <v>16</v>
      </c>
      <c r="D1655" s="5" t="s">
        <v>1626</v>
      </c>
      <c r="E1655" s="6" t="str">
        <f>HYPERLINK("https://twitter.com/petrogustavo/status/1220336124859686912","1220336124859686912")</f>
        <v>1220336124859686912</v>
      </c>
      <c r="F1655" s="7" t="s">
        <v>17</v>
      </c>
      <c r="G1655" s="7">
        <v>3617001</v>
      </c>
      <c r="H1655" s="7">
        <v>2351</v>
      </c>
      <c r="I1655" s="7">
        <v>39</v>
      </c>
      <c r="J1655" s="7">
        <v>93</v>
      </c>
      <c r="K1655" s="7" t="s">
        <v>18</v>
      </c>
      <c r="L1655" s="8">
        <v>39987.315405092595</v>
      </c>
      <c r="M1655" s="9" t="s">
        <v>19</v>
      </c>
      <c r="N1655" s="9" t="s">
        <v>20</v>
      </c>
      <c r="O1655" s="6" t="str">
        <f>HYPERLINK("https://pbs.twimg.com/profile_images/962471262747529216/Uo8lOkRJ_normal.jpg","View")</f>
        <v>View</v>
      </c>
      <c r="P1655" s="7"/>
    </row>
    <row r="1656" spans="1:16">
      <c r="A1656" s="3">
        <v>43853.788611111115</v>
      </c>
      <c r="B1656" s="4" t="str">
        <f>HYPERLINK("https://twitter.com/petrogustavo","@petrogustavo")</f>
        <v>@petrogustavo</v>
      </c>
      <c r="C1656" s="5" t="s">
        <v>16</v>
      </c>
      <c r="D1656" s="5" t="s">
        <v>1627</v>
      </c>
      <c r="E1656" s="6" t="str">
        <f>HYPERLINK("https://twitter.com/petrogustavo/status/1220336782493044736","1220336782493044736")</f>
        <v>1220336782493044736</v>
      </c>
      <c r="F1656" s="7" t="s">
        <v>17</v>
      </c>
      <c r="G1656" s="7">
        <v>3617001</v>
      </c>
      <c r="H1656" s="7">
        <v>2351</v>
      </c>
      <c r="I1656" s="7">
        <v>23</v>
      </c>
      <c r="J1656" s="7">
        <v>81</v>
      </c>
      <c r="K1656" s="7" t="s">
        <v>18</v>
      </c>
      <c r="L1656" s="8">
        <v>39987.315405092595</v>
      </c>
      <c r="M1656" s="9" t="s">
        <v>19</v>
      </c>
      <c r="N1656" s="9" t="s">
        <v>20</v>
      </c>
      <c r="O1656" s="6" t="str">
        <f>HYPERLINK("https://pbs.twimg.com/profile_images/962471262747529216/Uo8lOkRJ_normal.jpg","View")</f>
        <v>View</v>
      </c>
      <c r="P1656" s="7"/>
    </row>
    <row r="1657" spans="1:16">
      <c r="A1657" s="3">
        <v>43853.792870370366</v>
      </c>
      <c r="B1657" s="4" t="str">
        <f>HYPERLINK("https://twitter.com/petrogustavo","@petrogustavo")</f>
        <v>@petrogustavo</v>
      </c>
      <c r="C1657" s="5" t="s">
        <v>16</v>
      </c>
      <c r="D1657" s="5" t="s">
        <v>1628</v>
      </c>
      <c r="E1657" s="6" t="str">
        <f>HYPERLINK("https://twitter.com/petrogustavo/status/1220338328450617344","1220338328450617344")</f>
        <v>1220338328450617344</v>
      </c>
      <c r="F1657" s="7" t="s">
        <v>17</v>
      </c>
      <c r="G1657" s="7">
        <v>3617001</v>
      </c>
      <c r="H1657" s="7">
        <v>2351</v>
      </c>
      <c r="I1657" s="7">
        <v>42</v>
      </c>
      <c r="J1657" s="7">
        <v>88</v>
      </c>
      <c r="K1657" s="7" t="s">
        <v>18</v>
      </c>
      <c r="L1657" s="8">
        <v>39987.315405092595</v>
      </c>
      <c r="M1657" s="9" t="s">
        <v>19</v>
      </c>
      <c r="N1657" s="9" t="s">
        <v>20</v>
      </c>
      <c r="O1657" s="6" t="str">
        <f>HYPERLINK("https://pbs.twimg.com/profile_images/962471262747529216/Uo8lOkRJ_normal.jpg","View")</f>
        <v>View</v>
      </c>
      <c r="P1657" s="7"/>
    </row>
    <row r="1658" spans="1:16">
      <c r="A1658" s="3">
        <v>43853.793564814812</v>
      </c>
      <c r="B1658" s="4" t="str">
        <f>HYPERLINK("https://twitter.com/petrogustavo","@petrogustavo")</f>
        <v>@petrogustavo</v>
      </c>
      <c r="C1658" s="5" t="s">
        <v>16</v>
      </c>
      <c r="D1658" s="5" t="s">
        <v>1629</v>
      </c>
      <c r="E1658" s="6" t="str">
        <f>HYPERLINK("https://twitter.com/petrogustavo/status/1220338579307728896","1220338579307728896")</f>
        <v>1220338579307728896</v>
      </c>
      <c r="F1658" s="7" t="s">
        <v>17</v>
      </c>
      <c r="G1658" s="7">
        <v>3617001</v>
      </c>
      <c r="H1658" s="7">
        <v>2351</v>
      </c>
      <c r="I1658" s="7">
        <v>23</v>
      </c>
      <c r="J1658" s="7">
        <v>0</v>
      </c>
      <c r="K1658" s="7" t="s">
        <v>18</v>
      </c>
      <c r="L1658" s="8">
        <v>39987.315405092595</v>
      </c>
      <c r="M1658" s="9" t="s">
        <v>19</v>
      </c>
      <c r="N1658" s="9" t="s">
        <v>20</v>
      </c>
      <c r="O1658" s="6" t="str">
        <f>HYPERLINK("https://pbs.twimg.com/profile_images/962471262747529216/Uo8lOkRJ_normal.jpg","View")</f>
        <v>View</v>
      </c>
      <c r="P1658" s="7"/>
    </row>
    <row r="1659" spans="1:16">
      <c r="A1659" s="3">
        <v>43853.801631944443</v>
      </c>
      <c r="B1659" s="4" t="str">
        <f>HYPERLINK("https://twitter.com/petrogustavo","@petrogustavo")</f>
        <v>@petrogustavo</v>
      </c>
      <c r="C1659" s="5" t="s">
        <v>16</v>
      </c>
      <c r="D1659" s="5" t="s">
        <v>1630</v>
      </c>
      <c r="E1659" s="6" t="str">
        <f>HYPERLINK("https://twitter.com/petrogustavo/status/1220341501307297793","1220341501307297793")</f>
        <v>1220341501307297793</v>
      </c>
      <c r="F1659" s="7" t="s">
        <v>17</v>
      </c>
      <c r="G1659" s="7">
        <v>3617001</v>
      </c>
      <c r="H1659" s="7">
        <v>2351</v>
      </c>
      <c r="I1659" s="7">
        <v>64</v>
      </c>
      <c r="J1659" s="7">
        <v>0</v>
      </c>
      <c r="K1659" s="7" t="s">
        <v>18</v>
      </c>
      <c r="L1659" s="8">
        <v>39987.315405092595</v>
      </c>
      <c r="M1659" s="9" t="s">
        <v>19</v>
      </c>
      <c r="N1659" s="9" t="s">
        <v>20</v>
      </c>
      <c r="O1659" s="6" t="str">
        <f>HYPERLINK("https://pbs.twimg.com/profile_images/962471262747529216/Uo8lOkRJ_normal.jpg","View")</f>
        <v>View</v>
      </c>
      <c r="P1659" s="7"/>
    </row>
    <row r="1660" spans="1:16">
      <c r="A1660" s="3">
        <v>43853.803472222222</v>
      </c>
      <c r="B1660" s="4" t="str">
        <f>HYPERLINK("https://twitter.com/petrogustavo","@petrogustavo")</f>
        <v>@petrogustavo</v>
      </c>
      <c r="C1660" s="5" t="s">
        <v>16</v>
      </c>
      <c r="D1660" s="5" t="s">
        <v>1631</v>
      </c>
      <c r="E1660" s="6" t="str">
        <f>HYPERLINK("https://twitter.com/petrogustavo/status/1220342166897201152","1220342166897201152")</f>
        <v>1220342166897201152</v>
      </c>
      <c r="F1660" s="7" t="s">
        <v>17</v>
      </c>
      <c r="G1660" s="7">
        <v>3617001</v>
      </c>
      <c r="H1660" s="7">
        <v>2351</v>
      </c>
      <c r="I1660" s="7">
        <v>4</v>
      </c>
      <c r="J1660" s="7">
        <v>11</v>
      </c>
      <c r="K1660" s="7" t="s">
        <v>18</v>
      </c>
      <c r="L1660" s="8">
        <v>39987.315405092595</v>
      </c>
      <c r="M1660" s="9" t="s">
        <v>19</v>
      </c>
      <c r="N1660" s="9" t="s">
        <v>20</v>
      </c>
      <c r="O1660" s="6" t="str">
        <f>HYPERLINK("https://pbs.twimg.com/profile_images/962471262747529216/Uo8lOkRJ_normal.jpg","View")</f>
        <v>View</v>
      </c>
      <c r="P1660" s="7"/>
    </row>
    <row r="1661" spans="1:16">
      <c r="A1661" s="3">
        <v>43853.812476851846</v>
      </c>
      <c r="B1661" s="4" t="str">
        <f>HYPERLINK("https://twitter.com/petrogustavo","@petrogustavo")</f>
        <v>@petrogustavo</v>
      </c>
      <c r="C1661" s="5" t="s">
        <v>16</v>
      </c>
      <c r="D1661" s="5" t="s">
        <v>1632</v>
      </c>
      <c r="E1661" s="6" t="str">
        <f>HYPERLINK("https://twitter.com/petrogustavo/status/1220345431433076737","1220345431433076737")</f>
        <v>1220345431433076737</v>
      </c>
      <c r="F1661" s="7" t="s">
        <v>17</v>
      </c>
      <c r="G1661" s="7">
        <v>3617025</v>
      </c>
      <c r="H1661" s="7">
        <v>2351</v>
      </c>
      <c r="I1661" s="7">
        <v>205</v>
      </c>
      <c r="J1661" s="7">
        <v>0</v>
      </c>
      <c r="K1661" s="7" t="s">
        <v>18</v>
      </c>
      <c r="L1661" s="8">
        <v>39987.315405092595</v>
      </c>
      <c r="M1661" s="9" t="s">
        <v>19</v>
      </c>
      <c r="N1661" s="9" t="s">
        <v>20</v>
      </c>
      <c r="O1661" s="6" t="str">
        <f>HYPERLINK("https://pbs.twimg.com/profile_images/962471262747529216/Uo8lOkRJ_normal.jpg","View")</f>
        <v>View</v>
      </c>
      <c r="P1661" s="7"/>
    </row>
    <row r="1662" spans="1:16">
      <c r="A1662" s="3">
        <v>43853.812719907408</v>
      </c>
      <c r="B1662" s="4" t="str">
        <f>HYPERLINK("https://twitter.com/petrogustavo","@petrogustavo")</f>
        <v>@petrogustavo</v>
      </c>
      <c r="C1662" s="5" t="s">
        <v>16</v>
      </c>
      <c r="D1662" s="5" t="s">
        <v>1633</v>
      </c>
      <c r="E1662" s="6" t="str">
        <f>HYPERLINK("https://twitter.com/petrogustavo/status/1220345519463174144","1220345519463174144")</f>
        <v>1220345519463174144</v>
      </c>
      <c r="F1662" s="7" t="s">
        <v>17</v>
      </c>
      <c r="G1662" s="7">
        <v>3617025</v>
      </c>
      <c r="H1662" s="7">
        <v>2351</v>
      </c>
      <c r="I1662" s="7">
        <v>23</v>
      </c>
      <c r="J1662" s="7">
        <v>0</v>
      </c>
      <c r="K1662" s="7" t="s">
        <v>18</v>
      </c>
      <c r="L1662" s="8">
        <v>39987.315405092595</v>
      </c>
      <c r="M1662" s="9" t="s">
        <v>19</v>
      </c>
      <c r="N1662" s="9" t="s">
        <v>20</v>
      </c>
      <c r="O1662" s="6" t="str">
        <f>HYPERLINK("https://pbs.twimg.com/profile_images/962471262747529216/Uo8lOkRJ_normal.jpg","View")</f>
        <v>View</v>
      </c>
      <c r="P1662" s="7"/>
    </row>
    <row r="1663" spans="1:16">
      <c r="A1663" s="3">
        <v>43853.814745370371</v>
      </c>
      <c r="B1663" s="4" t="str">
        <f>HYPERLINK("https://twitter.com/petrogustavo","@petrogustavo")</f>
        <v>@petrogustavo</v>
      </c>
      <c r="C1663" s="5" t="s">
        <v>16</v>
      </c>
      <c r="D1663" s="5" t="s">
        <v>1634</v>
      </c>
      <c r="E1663" s="6" t="str">
        <f>HYPERLINK("https://twitter.com/petrogustavo/status/1220346253176905728","1220346253176905728")</f>
        <v>1220346253176905728</v>
      </c>
      <c r="F1663" s="7" t="s">
        <v>17</v>
      </c>
      <c r="G1663" s="7">
        <v>3617025</v>
      </c>
      <c r="H1663" s="7">
        <v>2351</v>
      </c>
      <c r="I1663" s="7">
        <v>57</v>
      </c>
      <c r="J1663" s="7">
        <v>152</v>
      </c>
      <c r="K1663" s="7" t="s">
        <v>18</v>
      </c>
      <c r="L1663" s="8">
        <v>39987.315405092595</v>
      </c>
      <c r="M1663" s="9" t="s">
        <v>19</v>
      </c>
      <c r="N1663" s="9" t="s">
        <v>20</v>
      </c>
      <c r="O1663" s="6" t="str">
        <f>HYPERLINK("https://pbs.twimg.com/profile_images/962471262747529216/Uo8lOkRJ_normal.jpg","View")</f>
        <v>View</v>
      </c>
      <c r="P1663" s="7"/>
    </row>
    <row r="1664" spans="1:16">
      <c r="A1664" s="3">
        <v>43853.816087962958</v>
      </c>
      <c r="B1664" s="4" t="str">
        <f>HYPERLINK("https://twitter.com/petrogustavo","@petrogustavo")</f>
        <v>@petrogustavo</v>
      </c>
      <c r="C1664" s="5" t="s">
        <v>16</v>
      </c>
      <c r="D1664" s="5" t="s">
        <v>1635</v>
      </c>
      <c r="E1664" s="6" t="str">
        <f>HYPERLINK("https://twitter.com/petrogustavo/status/1220346740903235585","1220346740903235585")</f>
        <v>1220346740903235585</v>
      </c>
      <c r="F1664" s="7" t="s">
        <v>17</v>
      </c>
      <c r="G1664" s="7">
        <v>3617025</v>
      </c>
      <c r="H1664" s="7">
        <v>2351</v>
      </c>
      <c r="I1664" s="7">
        <v>30</v>
      </c>
      <c r="J1664" s="7">
        <v>90</v>
      </c>
      <c r="K1664" s="7" t="s">
        <v>18</v>
      </c>
      <c r="L1664" s="8">
        <v>39987.315405092595</v>
      </c>
      <c r="M1664" s="9" t="s">
        <v>19</v>
      </c>
      <c r="N1664" s="9" t="s">
        <v>20</v>
      </c>
      <c r="O1664" s="6" t="str">
        <f>HYPERLINK("https://pbs.twimg.com/profile_images/962471262747529216/Uo8lOkRJ_normal.jpg","View")</f>
        <v>View</v>
      </c>
      <c r="P1664" s="7"/>
    </row>
    <row r="1665" spans="1:16">
      <c r="A1665" s="3">
        <v>43853.818356481483</v>
      </c>
      <c r="B1665" s="4" t="str">
        <f>HYPERLINK("https://twitter.com/petrogustavo","@petrogustavo")</f>
        <v>@petrogustavo</v>
      </c>
      <c r="C1665" s="5" t="s">
        <v>16</v>
      </c>
      <c r="D1665" s="5" t="s">
        <v>1636</v>
      </c>
      <c r="E1665" s="6" t="str">
        <f>HYPERLINK("https://twitter.com/petrogustavo/status/1220347562873499649","1220347562873499649")</f>
        <v>1220347562873499649</v>
      </c>
      <c r="F1665" s="7" t="s">
        <v>17</v>
      </c>
      <c r="G1665" s="7">
        <v>3617025</v>
      </c>
      <c r="H1665" s="7">
        <v>2351</v>
      </c>
      <c r="I1665" s="7">
        <v>48</v>
      </c>
      <c r="J1665" s="7">
        <v>146</v>
      </c>
      <c r="K1665" s="7" t="s">
        <v>18</v>
      </c>
      <c r="L1665" s="8">
        <v>39987.315405092595</v>
      </c>
      <c r="M1665" s="9" t="s">
        <v>19</v>
      </c>
      <c r="N1665" s="9" t="s">
        <v>20</v>
      </c>
      <c r="O1665" s="6" t="str">
        <f>HYPERLINK("https://pbs.twimg.com/profile_images/962471262747529216/Uo8lOkRJ_normal.jpg","View")</f>
        <v>View</v>
      </c>
      <c r="P1665" s="7"/>
    </row>
    <row r="1666" spans="1:16">
      <c r="A1666" s="3">
        <v>43853.850011574075</v>
      </c>
      <c r="B1666" s="4" t="str">
        <f>HYPERLINK("https://twitter.com/petrogustavo","@petrogustavo")</f>
        <v>@petrogustavo</v>
      </c>
      <c r="C1666" s="5" t="s">
        <v>16</v>
      </c>
      <c r="D1666" s="5" t="s">
        <v>1637</v>
      </c>
      <c r="E1666" s="6" t="str">
        <f>HYPERLINK("https://twitter.com/petrogustavo/status/1220359033623916544","1220359033623916544")</f>
        <v>1220359033623916544</v>
      </c>
      <c r="F1666" s="7" t="s">
        <v>32</v>
      </c>
      <c r="G1666" s="7">
        <v>3617084</v>
      </c>
      <c r="H1666" s="7">
        <v>2351</v>
      </c>
      <c r="I1666" s="7">
        <v>140</v>
      </c>
      <c r="J1666" s="7">
        <v>488</v>
      </c>
      <c r="K1666" s="7" t="s">
        <v>18</v>
      </c>
      <c r="L1666" s="8">
        <v>39987.315405092595</v>
      </c>
      <c r="M1666" s="9" t="s">
        <v>19</v>
      </c>
      <c r="N1666" s="9" t="s">
        <v>20</v>
      </c>
      <c r="O1666" s="6" t="str">
        <f>HYPERLINK("https://pbs.twimg.com/profile_images/962471262747529216/Uo8lOkRJ_normal.jpg","View")</f>
        <v>View</v>
      </c>
      <c r="P1666" s="7"/>
    </row>
    <row r="1667" spans="1:16">
      <c r="A1667" s="3">
        <v>43853.865312499998</v>
      </c>
      <c r="B1667" s="4" t="str">
        <f>HYPERLINK("https://twitter.com/petrogustavo","@petrogustavo")</f>
        <v>@petrogustavo</v>
      </c>
      <c r="C1667" s="5" t="s">
        <v>16</v>
      </c>
      <c r="D1667" s="5" t="s">
        <v>1638</v>
      </c>
      <c r="E1667" s="6" t="str">
        <f>HYPERLINK("https://twitter.com/petrogustavo/status/1220364578770628608","1220364578770628608")</f>
        <v>1220364578770628608</v>
      </c>
      <c r="F1667" s="7" t="s">
        <v>17</v>
      </c>
      <c r="G1667" s="7">
        <v>3617084</v>
      </c>
      <c r="H1667" s="7">
        <v>2351</v>
      </c>
      <c r="I1667" s="7">
        <v>5</v>
      </c>
      <c r="J1667" s="7">
        <v>32</v>
      </c>
      <c r="K1667" s="7" t="s">
        <v>18</v>
      </c>
      <c r="L1667" s="8">
        <v>39987.315405092595</v>
      </c>
      <c r="M1667" s="9" t="s">
        <v>19</v>
      </c>
      <c r="N1667" s="9" t="s">
        <v>20</v>
      </c>
      <c r="O1667" s="6" t="str">
        <f>HYPERLINK("https://pbs.twimg.com/profile_images/962471262747529216/Uo8lOkRJ_normal.jpg","View")</f>
        <v>View</v>
      </c>
      <c r="P1667" s="7"/>
    </row>
    <row r="1668" spans="1:16">
      <c r="A1668" s="3">
        <v>43853.881909722222</v>
      </c>
      <c r="B1668" s="4" t="str">
        <f>HYPERLINK("https://twitter.com/petrogustavo","@petrogustavo")</f>
        <v>@petrogustavo</v>
      </c>
      <c r="C1668" s="5" t="s">
        <v>16</v>
      </c>
      <c r="D1668" s="5" t="s">
        <v>1639</v>
      </c>
      <c r="E1668" s="6" t="str">
        <f>HYPERLINK("https://twitter.com/petrogustavo/status/1220370591775182850","1220370591775182850")</f>
        <v>1220370591775182850</v>
      </c>
      <c r="F1668" s="7" t="s">
        <v>17</v>
      </c>
      <c r="G1668" s="7">
        <v>3617112</v>
      </c>
      <c r="H1668" s="7">
        <v>2351</v>
      </c>
      <c r="I1668" s="7">
        <v>26</v>
      </c>
      <c r="J1668" s="7">
        <v>0</v>
      </c>
      <c r="K1668" s="7" t="s">
        <v>18</v>
      </c>
      <c r="L1668" s="8">
        <v>39987.315405092595</v>
      </c>
      <c r="M1668" s="9" t="s">
        <v>19</v>
      </c>
      <c r="N1668" s="9" t="s">
        <v>20</v>
      </c>
      <c r="O1668" s="6" t="str">
        <f>HYPERLINK("https://pbs.twimg.com/profile_images/962471262747529216/Uo8lOkRJ_normal.jpg","View")</f>
        <v>View</v>
      </c>
      <c r="P1668" s="7"/>
    </row>
    <row r="1669" spans="1:16">
      <c r="A1669" s="3">
        <v>43853.89949074074</v>
      </c>
      <c r="B1669" s="4" t="str">
        <f>HYPERLINK("https://twitter.com/petrogustavo","@petrogustavo")</f>
        <v>@petrogustavo</v>
      </c>
      <c r="C1669" s="5" t="s">
        <v>16</v>
      </c>
      <c r="D1669" s="5" t="s">
        <v>1640</v>
      </c>
      <c r="E1669" s="6" t="str">
        <f>HYPERLINK("https://twitter.com/petrogustavo/status/1220376964076331008","1220376964076331008")</f>
        <v>1220376964076331008</v>
      </c>
      <c r="F1669" s="7" t="s">
        <v>17</v>
      </c>
      <c r="G1669" s="7">
        <v>3617138</v>
      </c>
      <c r="H1669" s="7">
        <v>2351</v>
      </c>
      <c r="I1669" s="7">
        <v>15</v>
      </c>
      <c r="J1669" s="7">
        <v>0</v>
      </c>
      <c r="K1669" s="7" t="s">
        <v>18</v>
      </c>
      <c r="L1669" s="8">
        <v>39987.315405092595</v>
      </c>
      <c r="M1669" s="9" t="s">
        <v>19</v>
      </c>
      <c r="N1669" s="9" t="s">
        <v>20</v>
      </c>
      <c r="O1669" s="6" t="str">
        <f>HYPERLINK("https://pbs.twimg.com/profile_images/962471262747529216/Uo8lOkRJ_normal.jpg","View")</f>
        <v>View</v>
      </c>
      <c r="P1669" s="7"/>
    </row>
    <row r="1670" spans="1:16">
      <c r="A1670" s="3">
        <v>43853.924201388887</v>
      </c>
      <c r="B1670" s="4" t="str">
        <f>HYPERLINK("https://twitter.com/petrogustavo","@petrogustavo")</f>
        <v>@petrogustavo</v>
      </c>
      <c r="C1670" s="5" t="s">
        <v>16</v>
      </c>
      <c r="D1670" s="5" t="s">
        <v>1641</v>
      </c>
      <c r="E1670" s="6" t="str">
        <f>HYPERLINK("https://twitter.com/petrogustavo/status/1220385917669707778","1220385917669707778")</f>
        <v>1220385917669707778</v>
      </c>
      <c r="F1670" s="7" t="s">
        <v>17</v>
      </c>
      <c r="G1670" s="7">
        <v>3617175</v>
      </c>
      <c r="H1670" s="7">
        <v>2351</v>
      </c>
      <c r="I1670" s="7">
        <v>21</v>
      </c>
      <c r="J1670" s="7">
        <v>109</v>
      </c>
      <c r="K1670" s="7" t="s">
        <v>18</v>
      </c>
      <c r="L1670" s="8">
        <v>39987.315405092595</v>
      </c>
      <c r="M1670" s="9" t="s">
        <v>19</v>
      </c>
      <c r="N1670" s="9" t="s">
        <v>20</v>
      </c>
      <c r="O1670" s="6" t="str">
        <f>HYPERLINK("https://pbs.twimg.com/profile_images/962471262747529216/Uo8lOkRJ_normal.jpg","View")</f>
        <v>View</v>
      </c>
      <c r="P1670" s="7"/>
    </row>
    <row r="1671" spans="1:16">
      <c r="A1671" s="3">
        <v>43854.088067129633</v>
      </c>
      <c r="B1671" s="4" t="str">
        <f>HYPERLINK("https://twitter.com/petrogustavo","@petrogustavo")</f>
        <v>@petrogustavo</v>
      </c>
      <c r="C1671" s="5" t="s">
        <v>16</v>
      </c>
      <c r="D1671" s="5" t="s">
        <v>1642</v>
      </c>
      <c r="E1671" s="6" t="str">
        <f>HYPERLINK("https://twitter.com/petrogustavo/status/1220445303041642503","1220445303041642503")</f>
        <v>1220445303041642503</v>
      </c>
      <c r="F1671" s="7" t="s">
        <v>17</v>
      </c>
      <c r="G1671" s="7">
        <v>3617416</v>
      </c>
      <c r="H1671" s="7">
        <v>2351</v>
      </c>
      <c r="I1671" s="7">
        <v>9</v>
      </c>
      <c r="J1671" s="7">
        <v>0</v>
      </c>
      <c r="K1671" s="7" t="s">
        <v>18</v>
      </c>
      <c r="L1671" s="8">
        <v>39987.315405092595</v>
      </c>
      <c r="M1671" s="9" t="s">
        <v>19</v>
      </c>
      <c r="N1671" s="9" t="s">
        <v>20</v>
      </c>
      <c r="O1671" s="6" t="str">
        <f>HYPERLINK("https://pbs.twimg.com/profile_images/962471262747529216/Uo8lOkRJ_normal.jpg","View")</f>
        <v>View</v>
      </c>
      <c r="P1671" s="7"/>
    </row>
    <row r="1672" spans="1:16">
      <c r="A1672" s="3">
        <v>43854.090011574073</v>
      </c>
      <c r="B1672" s="4" t="str">
        <f>HYPERLINK("https://twitter.com/petrogustavo","@petrogustavo")</f>
        <v>@petrogustavo</v>
      </c>
      <c r="C1672" s="5" t="s">
        <v>16</v>
      </c>
      <c r="D1672" s="5" t="s">
        <v>1643</v>
      </c>
      <c r="E1672" s="6" t="str">
        <f>HYPERLINK("https://twitter.com/petrogustavo/status/1220446008997548032","1220446008997548032")</f>
        <v>1220446008997548032</v>
      </c>
      <c r="F1672" s="7" t="s">
        <v>17</v>
      </c>
      <c r="G1672" s="7">
        <v>3617416</v>
      </c>
      <c r="H1672" s="7">
        <v>2351</v>
      </c>
      <c r="I1672" s="7">
        <v>56</v>
      </c>
      <c r="J1672" s="7">
        <v>156</v>
      </c>
      <c r="K1672" s="7" t="s">
        <v>18</v>
      </c>
      <c r="L1672" s="8">
        <v>39987.315405092595</v>
      </c>
      <c r="M1672" s="9" t="s">
        <v>19</v>
      </c>
      <c r="N1672" s="9" t="s">
        <v>20</v>
      </c>
      <c r="O1672" s="6" t="str">
        <f>HYPERLINK("https://pbs.twimg.com/profile_images/962471262747529216/Uo8lOkRJ_normal.jpg","View")</f>
        <v>View</v>
      </c>
      <c r="P1672" s="7"/>
    </row>
    <row r="1673" spans="1:16">
      <c r="A1673" s="3">
        <v>43854.091122685189</v>
      </c>
      <c r="B1673" s="4" t="str">
        <f>HYPERLINK("https://twitter.com/petrogustavo","@petrogustavo")</f>
        <v>@petrogustavo</v>
      </c>
      <c r="C1673" s="5" t="s">
        <v>16</v>
      </c>
      <c r="D1673" s="5" t="s">
        <v>1644</v>
      </c>
      <c r="E1673" s="6" t="str">
        <f>HYPERLINK("https://twitter.com/petrogustavo/status/1220446409666768896","1220446409666768896")</f>
        <v>1220446409666768896</v>
      </c>
      <c r="F1673" s="7" t="s">
        <v>17</v>
      </c>
      <c r="G1673" s="7">
        <v>3617416</v>
      </c>
      <c r="H1673" s="7">
        <v>2351</v>
      </c>
      <c r="I1673" s="7">
        <v>340</v>
      </c>
      <c r="J1673" s="7">
        <v>0</v>
      </c>
      <c r="K1673" s="7" t="s">
        <v>18</v>
      </c>
      <c r="L1673" s="8">
        <v>39987.315405092595</v>
      </c>
      <c r="M1673" s="9" t="s">
        <v>19</v>
      </c>
      <c r="N1673" s="9" t="s">
        <v>20</v>
      </c>
      <c r="O1673" s="6" t="str">
        <f>HYPERLINK("https://pbs.twimg.com/profile_images/962471262747529216/Uo8lOkRJ_normal.jpg","View")</f>
        <v>View</v>
      </c>
      <c r="P1673" s="7"/>
    </row>
    <row r="1674" spans="1:16">
      <c r="A1674" s="3">
        <v>43854.093078703707</v>
      </c>
      <c r="B1674" s="4" t="str">
        <f>HYPERLINK("https://twitter.com/petrogustavo","@petrogustavo")</f>
        <v>@petrogustavo</v>
      </c>
      <c r="C1674" s="5" t="s">
        <v>16</v>
      </c>
      <c r="D1674" s="5" t="s">
        <v>1645</v>
      </c>
      <c r="E1674" s="6" t="str">
        <f>HYPERLINK("https://twitter.com/petrogustavo/status/1220447119821213696","1220447119821213696")</f>
        <v>1220447119821213696</v>
      </c>
      <c r="F1674" s="7" t="s">
        <v>17</v>
      </c>
      <c r="G1674" s="7">
        <v>3617416</v>
      </c>
      <c r="H1674" s="7">
        <v>2351</v>
      </c>
      <c r="I1674" s="7">
        <v>56</v>
      </c>
      <c r="J1674" s="7">
        <v>102</v>
      </c>
      <c r="K1674" s="7" t="s">
        <v>18</v>
      </c>
      <c r="L1674" s="8">
        <v>39987.315405092595</v>
      </c>
      <c r="M1674" s="9" t="s">
        <v>19</v>
      </c>
      <c r="N1674" s="9" t="s">
        <v>20</v>
      </c>
      <c r="O1674" s="6" t="str">
        <f>HYPERLINK("https://pbs.twimg.com/profile_images/962471262747529216/Uo8lOkRJ_normal.jpg","View")</f>
        <v>View</v>
      </c>
      <c r="P1674" s="7"/>
    </row>
    <row r="1675" spans="1:16">
      <c r="A1675" s="3">
        <v>43854.099386574075</v>
      </c>
      <c r="B1675" s="4" t="str">
        <f>HYPERLINK("https://twitter.com/petrogustavo","@petrogustavo")</f>
        <v>@petrogustavo</v>
      </c>
      <c r="C1675" s="5" t="s">
        <v>16</v>
      </c>
      <c r="D1675" s="5" t="s">
        <v>1646</v>
      </c>
      <c r="E1675" s="6" t="str">
        <f>HYPERLINK("https://twitter.com/petrogustavo/status/1220449402713772032","1220449402713772032")</f>
        <v>1220449402713772032</v>
      </c>
      <c r="F1675" s="7" t="s">
        <v>17</v>
      </c>
      <c r="G1675" s="7">
        <v>3617439</v>
      </c>
      <c r="H1675" s="7">
        <v>2351</v>
      </c>
      <c r="I1675" s="7">
        <v>66</v>
      </c>
      <c r="J1675" s="7">
        <v>109</v>
      </c>
      <c r="K1675" s="7" t="s">
        <v>18</v>
      </c>
      <c r="L1675" s="8">
        <v>39987.315405092595</v>
      </c>
      <c r="M1675" s="9" t="s">
        <v>19</v>
      </c>
      <c r="N1675" s="9" t="s">
        <v>20</v>
      </c>
      <c r="O1675" s="6" t="str">
        <f>HYPERLINK("https://pbs.twimg.com/profile_images/962471262747529216/Uo8lOkRJ_normal.jpg","View")</f>
        <v>View</v>
      </c>
      <c r="P1675" s="7"/>
    </row>
    <row r="1676" spans="1:16">
      <c r="A1676" s="3">
        <v>43854.106249999997</v>
      </c>
      <c r="B1676" s="4" t="str">
        <f>HYPERLINK("https://twitter.com/petrogustavo","@petrogustavo")</f>
        <v>@petrogustavo</v>
      </c>
      <c r="C1676" s="5" t="s">
        <v>16</v>
      </c>
      <c r="D1676" s="5" t="s">
        <v>1647</v>
      </c>
      <c r="E1676" s="6" t="str">
        <f>HYPERLINK("https://twitter.com/petrogustavo/status/1220451892658167810","1220451892658167810")</f>
        <v>1220451892658167810</v>
      </c>
      <c r="F1676" s="7" t="s">
        <v>17</v>
      </c>
      <c r="G1676" s="7">
        <v>3617439</v>
      </c>
      <c r="H1676" s="7">
        <v>2351</v>
      </c>
      <c r="I1676" s="7">
        <v>28</v>
      </c>
      <c r="J1676" s="7">
        <v>0</v>
      </c>
      <c r="K1676" s="7" t="s">
        <v>18</v>
      </c>
      <c r="L1676" s="8">
        <v>39987.315405092595</v>
      </c>
      <c r="M1676" s="9" t="s">
        <v>19</v>
      </c>
      <c r="N1676" s="9" t="s">
        <v>20</v>
      </c>
      <c r="O1676" s="6" t="str">
        <f>HYPERLINK("https://pbs.twimg.com/profile_images/962471262747529216/Uo8lOkRJ_normal.jpg","View")</f>
        <v>View</v>
      </c>
      <c r="P1676" s="7"/>
    </row>
    <row r="1677" spans="1:16">
      <c r="A1677" s="3">
        <v>43854.12809027778</v>
      </c>
      <c r="B1677" s="4" t="str">
        <f>HYPERLINK("https://twitter.com/petrogustavo","@petrogustavo")</f>
        <v>@petrogustavo</v>
      </c>
      <c r="C1677" s="5" t="s">
        <v>16</v>
      </c>
      <c r="D1677" s="5" t="s">
        <v>1648</v>
      </c>
      <c r="E1677" s="6" t="str">
        <f>HYPERLINK("https://twitter.com/petrogustavo/status/1220459804554035200","1220459804554035200")</f>
        <v>1220459804554035200</v>
      </c>
      <c r="F1677" s="7" t="s">
        <v>32</v>
      </c>
      <c r="G1677" s="7">
        <v>3617451</v>
      </c>
      <c r="H1677" s="7">
        <v>2351</v>
      </c>
      <c r="I1677" s="7">
        <v>37</v>
      </c>
      <c r="J1677" s="7">
        <v>0</v>
      </c>
      <c r="K1677" s="7" t="s">
        <v>18</v>
      </c>
      <c r="L1677" s="8">
        <v>39987.315405092595</v>
      </c>
      <c r="M1677" s="9" t="s">
        <v>19</v>
      </c>
      <c r="N1677" s="9" t="s">
        <v>20</v>
      </c>
      <c r="O1677" s="6" t="str">
        <f>HYPERLINK("https://pbs.twimg.com/profile_images/962471262747529216/Uo8lOkRJ_normal.jpg","View")</f>
        <v>View</v>
      </c>
      <c r="P1677" s="7"/>
    </row>
    <row r="1678" spans="1:16">
      <c r="A1678" s="3">
        <v>43854.129270833335</v>
      </c>
      <c r="B1678" s="4" t="str">
        <f>HYPERLINK("https://twitter.com/petrogustavo","@petrogustavo")</f>
        <v>@petrogustavo</v>
      </c>
      <c r="C1678" s="5" t="s">
        <v>16</v>
      </c>
      <c r="D1678" s="5" t="s">
        <v>1649</v>
      </c>
      <c r="E1678" s="6" t="str">
        <f>HYPERLINK("https://twitter.com/petrogustavo/status/1220460235422425109","1220460235422425109")</f>
        <v>1220460235422425109</v>
      </c>
      <c r="F1678" s="7" t="s">
        <v>32</v>
      </c>
      <c r="G1678" s="7">
        <v>3617451</v>
      </c>
      <c r="H1678" s="7">
        <v>2351</v>
      </c>
      <c r="I1678" s="7">
        <v>42</v>
      </c>
      <c r="J1678" s="7">
        <v>132</v>
      </c>
      <c r="K1678" s="7" t="s">
        <v>18</v>
      </c>
      <c r="L1678" s="8">
        <v>39987.315405092595</v>
      </c>
      <c r="M1678" s="9" t="s">
        <v>19</v>
      </c>
      <c r="N1678" s="9" t="s">
        <v>20</v>
      </c>
      <c r="O1678" s="6" t="str">
        <f>HYPERLINK("https://pbs.twimg.com/profile_images/962471262747529216/Uo8lOkRJ_normal.jpg","View")</f>
        <v>View</v>
      </c>
      <c r="P1678" s="7"/>
    </row>
    <row r="1679" spans="1:16">
      <c r="A1679" s="3">
        <v>43854.131631944445</v>
      </c>
      <c r="B1679" s="4" t="str">
        <f>HYPERLINK("https://twitter.com/petrogustavo","@petrogustavo")</f>
        <v>@petrogustavo</v>
      </c>
      <c r="C1679" s="5" t="s">
        <v>16</v>
      </c>
      <c r="D1679" s="5" t="s">
        <v>1650</v>
      </c>
      <c r="E1679" s="6" t="str">
        <f>HYPERLINK("https://twitter.com/petrogustavo/status/1220461091278544897","1220461091278544897")</f>
        <v>1220461091278544897</v>
      </c>
      <c r="F1679" s="7" t="s">
        <v>32</v>
      </c>
      <c r="G1679" s="7">
        <v>3617451</v>
      </c>
      <c r="H1679" s="7">
        <v>2351</v>
      </c>
      <c r="I1679" s="7">
        <v>19</v>
      </c>
      <c r="J1679" s="7">
        <v>0</v>
      </c>
      <c r="K1679" s="7" t="s">
        <v>18</v>
      </c>
      <c r="L1679" s="8">
        <v>39987.315405092595</v>
      </c>
      <c r="M1679" s="9" t="s">
        <v>19</v>
      </c>
      <c r="N1679" s="9" t="s">
        <v>20</v>
      </c>
      <c r="O1679" s="6" t="str">
        <f>HYPERLINK("https://pbs.twimg.com/profile_images/962471262747529216/Uo8lOkRJ_normal.jpg","View")</f>
        <v>View</v>
      </c>
      <c r="P1679" s="7"/>
    </row>
    <row r="1680" spans="1:16">
      <c r="A1680" s="3">
        <v>43854.13553240741</v>
      </c>
      <c r="B1680" s="4" t="str">
        <f>HYPERLINK("https://twitter.com/petrogustavo","@petrogustavo")</f>
        <v>@petrogustavo</v>
      </c>
      <c r="C1680" s="5" t="s">
        <v>16</v>
      </c>
      <c r="D1680" s="5" t="s">
        <v>1651</v>
      </c>
      <c r="E1680" s="6" t="str">
        <f>HYPERLINK("https://twitter.com/petrogustavo/status/1220462504788287488","1220462504788287488")</f>
        <v>1220462504788287488</v>
      </c>
      <c r="F1680" s="7" t="s">
        <v>32</v>
      </c>
      <c r="G1680" s="7">
        <v>3617451</v>
      </c>
      <c r="H1680" s="7">
        <v>2351</v>
      </c>
      <c r="I1680" s="7">
        <v>6</v>
      </c>
      <c r="J1680" s="7">
        <v>22</v>
      </c>
      <c r="K1680" s="7" t="s">
        <v>18</v>
      </c>
      <c r="L1680" s="8">
        <v>39987.315405092595</v>
      </c>
      <c r="M1680" s="9" t="s">
        <v>19</v>
      </c>
      <c r="N1680" s="9" t="s">
        <v>20</v>
      </c>
      <c r="O1680" s="6" t="str">
        <f>HYPERLINK("https://pbs.twimg.com/profile_images/962471262747529216/Uo8lOkRJ_normal.jpg","View")</f>
        <v>View</v>
      </c>
      <c r="P1680" s="7"/>
    </row>
    <row r="1681" spans="1:16">
      <c r="A1681" s="3">
        <v>43854.136180555557</v>
      </c>
      <c r="B1681" s="4" t="str">
        <f>HYPERLINK("https://twitter.com/petrogustavo","@petrogustavo")</f>
        <v>@petrogustavo</v>
      </c>
      <c r="C1681" s="5" t="s">
        <v>16</v>
      </c>
      <c r="D1681" s="5" t="s">
        <v>1652</v>
      </c>
      <c r="E1681" s="6" t="str">
        <f>HYPERLINK("https://twitter.com/petrogustavo/status/1220462738092253185","1220462738092253185")</f>
        <v>1220462738092253185</v>
      </c>
      <c r="F1681" s="7" t="s">
        <v>32</v>
      </c>
      <c r="G1681" s="7">
        <v>3617451</v>
      </c>
      <c r="H1681" s="7">
        <v>2351</v>
      </c>
      <c r="I1681" s="7">
        <v>542</v>
      </c>
      <c r="J1681" s="7">
        <v>0</v>
      </c>
      <c r="K1681" s="7" t="s">
        <v>18</v>
      </c>
      <c r="L1681" s="8">
        <v>39987.315405092595</v>
      </c>
      <c r="M1681" s="9" t="s">
        <v>19</v>
      </c>
      <c r="N1681" s="9" t="s">
        <v>20</v>
      </c>
      <c r="O1681" s="6" t="str">
        <f>HYPERLINK("https://pbs.twimg.com/profile_images/962471262747529216/Uo8lOkRJ_normal.jpg","View")</f>
        <v>View</v>
      </c>
      <c r="P1681" s="7"/>
    </row>
    <row r="1682" spans="1:16">
      <c r="A1682" s="3">
        <v>43854.147256944445</v>
      </c>
      <c r="B1682" s="4" t="str">
        <f>HYPERLINK("https://twitter.com/petrogustavo","@petrogustavo")</f>
        <v>@petrogustavo</v>
      </c>
      <c r="C1682" s="5" t="s">
        <v>16</v>
      </c>
      <c r="D1682" s="5" t="s">
        <v>1653</v>
      </c>
      <c r="E1682" s="6" t="str">
        <f>HYPERLINK("https://twitter.com/petrogustavo/status/1220466751768604672","1220466751768604672")</f>
        <v>1220466751768604672</v>
      </c>
      <c r="F1682" s="7" t="s">
        <v>32</v>
      </c>
      <c r="G1682" s="7">
        <v>3617447</v>
      </c>
      <c r="H1682" s="7">
        <v>2351</v>
      </c>
      <c r="I1682" s="7">
        <v>48</v>
      </c>
      <c r="J1682" s="7">
        <v>122</v>
      </c>
      <c r="K1682" s="7" t="s">
        <v>18</v>
      </c>
      <c r="L1682" s="8">
        <v>39987.315405092595</v>
      </c>
      <c r="M1682" s="9" t="s">
        <v>19</v>
      </c>
      <c r="N1682" s="9" t="s">
        <v>20</v>
      </c>
      <c r="O1682" s="6" t="str">
        <f>HYPERLINK("https://pbs.twimg.com/profile_images/962471262747529216/Uo8lOkRJ_normal.jpg","View")</f>
        <v>View</v>
      </c>
      <c r="P1682" s="7"/>
    </row>
    <row r="1683" spans="1:16">
      <c r="A1683" s="3">
        <v>43854.171979166669</v>
      </c>
      <c r="B1683" s="4" t="str">
        <f>HYPERLINK("https://twitter.com/petrogustavo","@petrogustavo")</f>
        <v>@petrogustavo</v>
      </c>
      <c r="C1683" s="5" t="s">
        <v>16</v>
      </c>
      <c r="D1683" s="5" t="s">
        <v>1654</v>
      </c>
      <c r="E1683" s="6" t="str">
        <f>HYPERLINK("https://twitter.com/petrogustavo/status/1220475712932589568","1220475712932589568")</f>
        <v>1220475712932589568</v>
      </c>
      <c r="F1683" s="7" t="s">
        <v>32</v>
      </c>
      <c r="G1683" s="7">
        <v>3617465</v>
      </c>
      <c r="H1683" s="7">
        <v>2351</v>
      </c>
      <c r="I1683" s="7">
        <v>70</v>
      </c>
      <c r="J1683" s="7">
        <v>0</v>
      </c>
      <c r="K1683" s="7" t="s">
        <v>18</v>
      </c>
      <c r="L1683" s="8">
        <v>39987.315405092595</v>
      </c>
      <c r="M1683" s="9" t="s">
        <v>19</v>
      </c>
      <c r="N1683" s="9" t="s">
        <v>20</v>
      </c>
      <c r="O1683" s="6" t="str">
        <f>HYPERLINK("https://pbs.twimg.com/profile_images/962471262747529216/Uo8lOkRJ_normal.jpg","View")</f>
        <v>View</v>
      </c>
      <c r="P1683" s="7"/>
    </row>
    <row r="1684" spans="1:16">
      <c r="A1684" s="3">
        <v>43854.172013888892</v>
      </c>
      <c r="B1684" s="4" t="str">
        <f>HYPERLINK("https://twitter.com/petrogustavo","@petrogustavo")</f>
        <v>@petrogustavo</v>
      </c>
      <c r="C1684" s="5" t="s">
        <v>16</v>
      </c>
      <c r="D1684" s="5" t="s">
        <v>1655</v>
      </c>
      <c r="E1684" s="6" t="str">
        <f>HYPERLINK("https://twitter.com/petrogustavo/status/1220475723095343104","1220475723095343104")</f>
        <v>1220475723095343104</v>
      </c>
      <c r="F1684" s="7" t="s">
        <v>32</v>
      </c>
      <c r="G1684" s="7">
        <v>3617465</v>
      </c>
      <c r="H1684" s="7">
        <v>2351</v>
      </c>
      <c r="I1684" s="7">
        <v>15</v>
      </c>
      <c r="J1684" s="7">
        <v>0</v>
      </c>
      <c r="K1684" s="7" t="s">
        <v>18</v>
      </c>
      <c r="L1684" s="8">
        <v>39987.315405092595</v>
      </c>
      <c r="M1684" s="9" t="s">
        <v>19</v>
      </c>
      <c r="N1684" s="9" t="s">
        <v>20</v>
      </c>
      <c r="O1684" s="6" t="str">
        <f>HYPERLINK("https://pbs.twimg.com/profile_images/962471262747529216/Uo8lOkRJ_normal.jpg","View")</f>
        <v>View</v>
      </c>
      <c r="P1684" s="7"/>
    </row>
    <row r="1685" spans="1:16">
      <c r="A1685" s="3">
        <v>43854.195937500001</v>
      </c>
      <c r="B1685" s="4" t="str">
        <f>HYPERLINK("https://twitter.com/petrogustavo","@petrogustavo")</f>
        <v>@petrogustavo</v>
      </c>
      <c r="C1685" s="5" t="s">
        <v>16</v>
      </c>
      <c r="D1685" s="5" t="s">
        <v>1656</v>
      </c>
      <c r="E1685" s="6" t="str">
        <f>HYPERLINK("https://twitter.com/petrogustavo/status/1220484393116033024","1220484393116033024")</f>
        <v>1220484393116033024</v>
      </c>
      <c r="F1685" s="7" t="s">
        <v>32</v>
      </c>
      <c r="G1685" s="7">
        <v>3617479</v>
      </c>
      <c r="H1685" s="7">
        <v>2351</v>
      </c>
      <c r="I1685" s="7">
        <v>25</v>
      </c>
      <c r="J1685" s="7">
        <v>0</v>
      </c>
      <c r="K1685" s="7" t="s">
        <v>18</v>
      </c>
      <c r="L1685" s="8">
        <v>39987.315405092595</v>
      </c>
      <c r="M1685" s="9" t="s">
        <v>19</v>
      </c>
      <c r="N1685" s="9" t="s">
        <v>20</v>
      </c>
      <c r="O1685" s="6" t="str">
        <f>HYPERLINK("https://pbs.twimg.com/profile_images/962471262747529216/Uo8lOkRJ_normal.jpg","View")</f>
        <v>View</v>
      </c>
      <c r="P1685" s="7"/>
    </row>
    <row r="1686" spans="1:16">
      <c r="A1686" s="3">
        <v>43854.197939814811</v>
      </c>
      <c r="B1686" s="4" t="str">
        <f>HYPERLINK("https://twitter.com/petrogustavo","@petrogustavo")</f>
        <v>@petrogustavo</v>
      </c>
      <c r="C1686" s="5" t="s">
        <v>16</v>
      </c>
      <c r="D1686" s="5" t="s">
        <v>1657</v>
      </c>
      <c r="E1686" s="6" t="str">
        <f>HYPERLINK("https://twitter.com/petrogustavo/status/1220485119661748224","1220485119661748224")</f>
        <v>1220485119661748224</v>
      </c>
      <c r="F1686" s="7" t="s">
        <v>32</v>
      </c>
      <c r="G1686" s="7">
        <v>3617479</v>
      </c>
      <c r="H1686" s="7">
        <v>2351</v>
      </c>
      <c r="I1686" s="7">
        <v>396</v>
      </c>
      <c r="J1686" s="7">
        <v>0</v>
      </c>
      <c r="K1686" s="7" t="s">
        <v>18</v>
      </c>
      <c r="L1686" s="8">
        <v>39987.315405092595</v>
      </c>
      <c r="M1686" s="9" t="s">
        <v>19</v>
      </c>
      <c r="N1686" s="9" t="s">
        <v>20</v>
      </c>
      <c r="O1686" s="6" t="str">
        <f>HYPERLINK("https://pbs.twimg.com/profile_images/962471262747529216/Uo8lOkRJ_normal.jpg","View")</f>
        <v>View</v>
      </c>
      <c r="P1686" s="7"/>
    </row>
    <row r="1687" spans="1:16">
      <c r="A1687" s="3">
        <v>43854.199675925927</v>
      </c>
      <c r="B1687" s="4" t="str">
        <f>HYPERLINK("https://twitter.com/petrogustavo","@petrogustavo")</f>
        <v>@petrogustavo</v>
      </c>
      <c r="C1687" s="5" t="s">
        <v>16</v>
      </c>
      <c r="D1687" s="5" t="s">
        <v>1658</v>
      </c>
      <c r="E1687" s="6" t="str">
        <f>HYPERLINK("https://twitter.com/petrogustavo/status/1220485748870328320","1220485748870328320")</f>
        <v>1220485748870328320</v>
      </c>
      <c r="F1687" s="7" t="s">
        <v>32</v>
      </c>
      <c r="G1687" s="7">
        <v>3617484</v>
      </c>
      <c r="H1687" s="7">
        <v>2351</v>
      </c>
      <c r="I1687" s="7">
        <v>140</v>
      </c>
      <c r="J1687" s="7">
        <v>0</v>
      </c>
      <c r="K1687" s="7" t="s">
        <v>18</v>
      </c>
      <c r="L1687" s="8">
        <v>39987.315405092595</v>
      </c>
      <c r="M1687" s="9" t="s">
        <v>19</v>
      </c>
      <c r="N1687" s="9" t="s">
        <v>20</v>
      </c>
      <c r="O1687" s="6" t="str">
        <f>HYPERLINK("https://pbs.twimg.com/profile_images/962471262747529216/Uo8lOkRJ_normal.jpg","View")</f>
        <v>View</v>
      </c>
      <c r="P1687" s="7"/>
    </row>
    <row r="1688" spans="1:16">
      <c r="A1688" s="3">
        <v>43854.200856481482</v>
      </c>
      <c r="B1688" s="4" t="str">
        <f>HYPERLINK("https://twitter.com/petrogustavo","@petrogustavo")</f>
        <v>@petrogustavo</v>
      </c>
      <c r="C1688" s="5" t="s">
        <v>16</v>
      </c>
      <c r="D1688" s="5" t="s">
        <v>1659</v>
      </c>
      <c r="E1688" s="6" t="str">
        <f>HYPERLINK("https://twitter.com/petrogustavo/status/1220486177796608000","1220486177796608000")</f>
        <v>1220486177796608000</v>
      </c>
      <c r="F1688" s="7" t="s">
        <v>32</v>
      </c>
      <c r="G1688" s="7">
        <v>3617484</v>
      </c>
      <c r="H1688" s="7">
        <v>2351</v>
      </c>
      <c r="I1688" s="7">
        <v>181</v>
      </c>
      <c r="J1688" s="7">
        <v>609</v>
      </c>
      <c r="K1688" s="7" t="s">
        <v>18</v>
      </c>
      <c r="L1688" s="8">
        <v>39987.315405092595</v>
      </c>
      <c r="M1688" s="9" t="s">
        <v>19</v>
      </c>
      <c r="N1688" s="9" t="s">
        <v>20</v>
      </c>
      <c r="O1688" s="6" t="str">
        <f>HYPERLINK("https://pbs.twimg.com/profile_images/962471262747529216/Uo8lOkRJ_normal.jpg","View")</f>
        <v>View</v>
      </c>
      <c r="P1688" s="7"/>
    </row>
    <row r="1689" spans="1:16">
      <c r="A1689" s="3">
        <v>43854.201643518521</v>
      </c>
      <c r="B1689" s="4" t="str">
        <f>HYPERLINK("https://twitter.com/petrogustavo","@petrogustavo")</f>
        <v>@petrogustavo</v>
      </c>
      <c r="C1689" s="5" t="s">
        <v>16</v>
      </c>
      <c r="D1689" s="5" t="s">
        <v>1660</v>
      </c>
      <c r="E1689" s="6" t="str">
        <f>HYPERLINK("https://twitter.com/petrogustavo/status/1220486460350050309","1220486460350050309")</f>
        <v>1220486460350050309</v>
      </c>
      <c r="F1689" s="7" t="s">
        <v>32</v>
      </c>
      <c r="G1689" s="7">
        <v>3617484</v>
      </c>
      <c r="H1689" s="7">
        <v>2351</v>
      </c>
      <c r="I1689" s="7">
        <v>162</v>
      </c>
      <c r="J1689" s="7">
        <v>298</v>
      </c>
      <c r="K1689" s="7" t="s">
        <v>18</v>
      </c>
      <c r="L1689" s="8">
        <v>39987.315405092595</v>
      </c>
      <c r="M1689" s="9" t="s">
        <v>19</v>
      </c>
      <c r="N1689" s="9" t="s">
        <v>20</v>
      </c>
      <c r="O1689" s="6" t="str">
        <f>HYPERLINK("https://pbs.twimg.com/profile_images/962471262747529216/Uo8lOkRJ_normal.jpg","View")</f>
        <v>View</v>
      </c>
      <c r="P1689" s="7"/>
    </row>
    <row r="1690" spans="1:16">
      <c r="A1690" s="3">
        <v>43854.213148148148</v>
      </c>
      <c r="B1690" s="4" t="str">
        <f>HYPERLINK("https://twitter.com/petrogustavo","@petrogustavo")</f>
        <v>@petrogustavo</v>
      </c>
      <c r="C1690" s="5" t="s">
        <v>16</v>
      </c>
      <c r="D1690" s="5" t="s">
        <v>1661</v>
      </c>
      <c r="E1690" s="6" t="str">
        <f>HYPERLINK("https://twitter.com/petrogustavo/status/1220490628066349058","1220490628066349058")</f>
        <v>1220490628066349058</v>
      </c>
      <c r="F1690" s="7" t="s">
        <v>32</v>
      </c>
      <c r="G1690" s="7">
        <v>3617484</v>
      </c>
      <c r="H1690" s="7">
        <v>2351</v>
      </c>
      <c r="I1690" s="7">
        <v>94</v>
      </c>
      <c r="J1690" s="7">
        <v>0</v>
      </c>
      <c r="K1690" s="7" t="s">
        <v>18</v>
      </c>
      <c r="L1690" s="8">
        <v>39987.315405092595</v>
      </c>
      <c r="M1690" s="9" t="s">
        <v>19</v>
      </c>
      <c r="N1690" s="9" t="s">
        <v>20</v>
      </c>
      <c r="O1690" s="6" t="str">
        <f>HYPERLINK("https://pbs.twimg.com/profile_images/962471262747529216/Uo8lOkRJ_normal.jpg","View")</f>
        <v>View</v>
      </c>
      <c r="P1690" s="7"/>
    </row>
    <row r="1691" spans="1:16">
      <c r="A1691" s="3">
        <v>43854.214513888888</v>
      </c>
      <c r="B1691" s="4" t="str">
        <f>HYPERLINK("https://twitter.com/petrogustavo","@petrogustavo")</f>
        <v>@petrogustavo</v>
      </c>
      <c r="C1691" s="5" t="s">
        <v>16</v>
      </c>
      <c r="D1691" s="5" t="s">
        <v>1662</v>
      </c>
      <c r="E1691" s="6" t="str">
        <f>HYPERLINK("https://twitter.com/petrogustavo/status/1220491126744010752","1220491126744010752")</f>
        <v>1220491126744010752</v>
      </c>
      <c r="F1691" s="7" t="s">
        <v>32</v>
      </c>
      <c r="G1691" s="7">
        <v>3617484</v>
      </c>
      <c r="H1691" s="7">
        <v>2351</v>
      </c>
      <c r="I1691" s="7">
        <v>50</v>
      </c>
      <c r="J1691" s="7">
        <v>100</v>
      </c>
      <c r="K1691" s="7" t="s">
        <v>18</v>
      </c>
      <c r="L1691" s="8">
        <v>39987.315405092595</v>
      </c>
      <c r="M1691" s="9" t="s">
        <v>19</v>
      </c>
      <c r="N1691" s="9" t="s">
        <v>20</v>
      </c>
      <c r="O1691" s="6" t="str">
        <f>HYPERLINK("https://pbs.twimg.com/profile_images/962471262747529216/Uo8lOkRJ_normal.jpg","View")</f>
        <v>View</v>
      </c>
      <c r="P1691" s="7"/>
    </row>
    <row r="1692" spans="1:16">
      <c r="A1692" s="3">
        <v>43854.214768518519</v>
      </c>
      <c r="B1692" s="4" t="str">
        <f>HYPERLINK("https://twitter.com/petrogustavo","@petrogustavo")</f>
        <v>@petrogustavo</v>
      </c>
      <c r="C1692" s="5" t="s">
        <v>16</v>
      </c>
      <c r="D1692" s="5" t="s">
        <v>1663</v>
      </c>
      <c r="E1692" s="6" t="str">
        <f>HYPERLINK("https://twitter.com/petrogustavo/status/1220491215856111616","1220491215856111616")</f>
        <v>1220491215856111616</v>
      </c>
      <c r="F1692" s="7" t="s">
        <v>32</v>
      </c>
      <c r="G1692" s="7">
        <v>3617484</v>
      </c>
      <c r="H1692" s="7">
        <v>2351</v>
      </c>
      <c r="I1692" s="7">
        <v>81</v>
      </c>
      <c r="J1692" s="7">
        <v>0</v>
      </c>
      <c r="K1692" s="7" t="s">
        <v>18</v>
      </c>
      <c r="L1692" s="8">
        <v>39987.315405092595</v>
      </c>
      <c r="M1692" s="9" t="s">
        <v>19</v>
      </c>
      <c r="N1692" s="9" t="s">
        <v>20</v>
      </c>
      <c r="O1692" s="6" t="str">
        <f>HYPERLINK("https://pbs.twimg.com/profile_images/962471262747529216/Uo8lOkRJ_normal.jpg","View")</f>
        <v>View</v>
      </c>
      <c r="P1692" s="7"/>
    </row>
    <row r="1693" spans="1:16">
      <c r="A1693" s="3">
        <v>43854.216446759259</v>
      </c>
      <c r="B1693" s="4" t="str">
        <f>HYPERLINK("https://twitter.com/petrogustavo","@petrogustavo")</f>
        <v>@petrogustavo</v>
      </c>
      <c r="C1693" s="5" t="s">
        <v>16</v>
      </c>
      <c r="D1693" s="5" t="s">
        <v>1664</v>
      </c>
      <c r="E1693" s="6" t="str">
        <f>HYPERLINK("https://twitter.com/petrogustavo/status/1220491827289247745","1220491827289247745")</f>
        <v>1220491827289247745</v>
      </c>
      <c r="F1693" s="7" t="s">
        <v>32</v>
      </c>
      <c r="G1693" s="7">
        <v>3617484</v>
      </c>
      <c r="H1693" s="7">
        <v>2351</v>
      </c>
      <c r="I1693" s="7">
        <v>53</v>
      </c>
      <c r="J1693" s="7">
        <v>136</v>
      </c>
      <c r="K1693" s="7" t="s">
        <v>18</v>
      </c>
      <c r="L1693" s="8">
        <v>39987.315405092595</v>
      </c>
      <c r="M1693" s="9" t="s">
        <v>19</v>
      </c>
      <c r="N1693" s="9" t="s">
        <v>20</v>
      </c>
      <c r="O1693" s="6" t="str">
        <f>HYPERLINK("https://pbs.twimg.com/profile_images/962471262747529216/Uo8lOkRJ_normal.jpg","View")</f>
        <v>View</v>
      </c>
      <c r="P1693" s="7"/>
    </row>
    <row r="1694" spans="1:16">
      <c r="A1694" s="3">
        <v>43854.230960648143</v>
      </c>
      <c r="B1694" s="4" t="str">
        <f>HYPERLINK("https://twitter.com/petrogustavo","@petrogustavo")</f>
        <v>@petrogustavo</v>
      </c>
      <c r="C1694" s="5" t="s">
        <v>16</v>
      </c>
      <c r="D1694" s="5" t="s">
        <v>1665</v>
      </c>
      <c r="E1694" s="6" t="str">
        <f>HYPERLINK("https://twitter.com/petrogustavo/status/1220497085369344013","1220497085369344013")</f>
        <v>1220497085369344013</v>
      </c>
      <c r="F1694" s="7" t="s">
        <v>17</v>
      </c>
      <c r="G1694" s="7">
        <v>3617501</v>
      </c>
      <c r="H1694" s="7">
        <v>2351</v>
      </c>
      <c r="I1694" s="7">
        <v>280</v>
      </c>
      <c r="J1694" s="7">
        <v>0</v>
      </c>
      <c r="K1694" s="7" t="s">
        <v>18</v>
      </c>
      <c r="L1694" s="8">
        <v>39987.315405092595</v>
      </c>
      <c r="M1694" s="9" t="s">
        <v>19</v>
      </c>
      <c r="N1694" s="9" t="s">
        <v>20</v>
      </c>
      <c r="O1694" s="6" t="str">
        <f>HYPERLINK("https://pbs.twimg.com/profile_images/962471262747529216/Uo8lOkRJ_normal.jpg","View")</f>
        <v>View</v>
      </c>
      <c r="P1694" s="7"/>
    </row>
    <row r="1695" spans="1:16">
      <c r="A1695" s="3">
        <v>43854.233032407406</v>
      </c>
      <c r="B1695" s="4" t="str">
        <f>HYPERLINK("https://twitter.com/petrogustavo","@petrogustavo")</f>
        <v>@petrogustavo</v>
      </c>
      <c r="C1695" s="5" t="s">
        <v>16</v>
      </c>
      <c r="D1695" s="5" t="s">
        <v>1666</v>
      </c>
      <c r="E1695" s="6" t="str">
        <f>HYPERLINK("https://twitter.com/petrogustavo/status/1220497837127020544","1220497837127020544")</f>
        <v>1220497837127020544</v>
      </c>
      <c r="F1695" s="7" t="s">
        <v>17</v>
      </c>
      <c r="G1695" s="7">
        <v>3617501</v>
      </c>
      <c r="H1695" s="7">
        <v>2351</v>
      </c>
      <c r="I1695" s="7">
        <v>38</v>
      </c>
      <c r="J1695" s="7">
        <v>0</v>
      </c>
      <c r="K1695" s="7" t="s">
        <v>18</v>
      </c>
      <c r="L1695" s="8">
        <v>39987.315405092595</v>
      </c>
      <c r="M1695" s="9" t="s">
        <v>19</v>
      </c>
      <c r="N1695" s="9" t="s">
        <v>20</v>
      </c>
      <c r="O1695" s="6" t="str">
        <f>HYPERLINK("https://pbs.twimg.com/profile_images/962471262747529216/Uo8lOkRJ_normal.jpg","View")</f>
        <v>View</v>
      </c>
      <c r="P1695" s="7"/>
    </row>
    <row r="1696" spans="1:16">
      <c r="A1696" s="3">
        <v>43854.233252314814</v>
      </c>
      <c r="B1696" s="4" t="str">
        <f>HYPERLINK("https://twitter.com/petrogustavo","@petrogustavo")</f>
        <v>@petrogustavo</v>
      </c>
      <c r="C1696" s="5" t="s">
        <v>16</v>
      </c>
      <c r="D1696" s="5" t="s">
        <v>1667</v>
      </c>
      <c r="E1696" s="6" t="str">
        <f>HYPERLINK("https://twitter.com/petrogustavo/status/1220497917724823553","1220497917724823553")</f>
        <v>1220497917724823553</v>
      </c>
      <c r="F1696" s="7" t="s">
        <v>17</v>
      </c>
      <c r="G1696" s="7">
        <v>3617501</v>
      </c>
      <c r="H1696" s="7">
        <v>2351</v>
      </c>
      <c r="I1696" s="7">
        <v>35</v>
      </c>
      <c r="J1696" s="7">
        <v>0</v>
      </c>
      <c r="K1696" s="7" t="s">
        <v>18</v>
      </c>
      <c r="L1696" s="8">
        <v>39987.315405092595</v>
      </c>
      <c r="M1696" s="9" t="s">
        <v>19</v>
      </c>
      <c r="N1696" s="9" t="s">
        <v>20</v>
      </c>
      <c r="O1696" s="6" t="str">
        <f>HYPERLINK("https://pbs.twimg.com/profile_images/962471262747529216/Uo8lOkRJ_normal.jpg","View")</f>
        <v>View</v>
      </c>
      <c r="P1696" s="7"/>
    </row>
    <row r="1697" spans="1:16">
      <c r="A1697" s="3">
        <v>43854.233657407407</v>
      </c>
      <c r="B1697" s="4" t="str">
        <f>HYPERLINK("https://twitter.com/petrogustavo","@petrogustavo")</f>
        <v>@petrogustavo</v>
      </c>
      <c r="C1697" s="5" t="s">
        <v>16</v>
      </c>
      <c r="D1697" s="5" t="s">
        <v>1668</v>
      </c>
      <c r="E1697" s="6" t="str">
        <f>HYPERLINK("https://twitter.com/petrogustavo/status/1220498060972826626","1220498060972826626")</f>
        <v>1220498060972826626</v>
      </c>
      <c r="F1697" s="7" t="s">
        <v>17</v>
      </c>
      <c r="G1697" s="7">
        <v>3617501</v>
      </c>
      <c r="H1697" s="7">
        <v>2351</v>
      </c>
      <c r="I1697" s="7">
        <v>26</v>
      </c>
      <c r="J1697" s="7">
        <v>0</v>
      </c>
      <c r="K1697" s="7" t="s">
        <v>18</v>
      </c>
      <c r="L1697" s="8">
        <v>39987.315405092595</v>
      </c>
      <c r="M1697" s="9" t="s">
        <v>19</v>
      </c>
      <c r="N1697" s="9" t="s">
        <v>20</v>
      </c>
      <c r="O1697" s="6" t="str">
        <f>HYPERLINK("https://pbs.twimg.com/profile_images/962471262747529216/Uo8lOkRJ_normal.jpg","View")</f>
        <v>View</v>
      </c>
      <c r="P1697" s="7"/>
    </row>
    <row r="1698" spans="1:16">
      <c r="A1698" s="3">
        <v>43854.234965277778</v>
      </c>
      <c r="B1698" s="4" t="str">
        <f>HYPERLINK("https://twitter.com/petrogustavo","@petrogustavo")</f>
        <v>@petrogustavo</v>
      </c>
      <c r="C1698" s="5" t="s">
        <v>16</v>
      </c>
      <c r="D1698" s="5" t="s">
        <v>1669</v>
      </c>
      <c r="E1698" s="6" t="str">
        <f>HYPERLINK("https://twitter.com/petrogustavo/status/1220498536028164097","1220498536028164097")</f>
        <v>1220498536028164097</v>
      </c>
      <c r="F1698" s="7" t="s">
        <v>17</v>
      </c>
      <c r="G1698" s="7">
        <v>3617501</v>
      </c>
      <c r="H1698" s="7">
        <v>2351</v>
      </c>
      <c r="I1698" s="7">
        <v>175</v>
      </c>
      <c r="J1698" s="7">
        <v>0</v>
      </c>
      <c r="K1698" s="7" t="s">
        <v>18</v>
      </c>
      <c r="L1698" s="8">
        <v>39987.315405092595</v>
      </c>
      <c r="M1698" s="9" t="s">
        <v>19</v>
      </c>
      <c r="N1698" s="9" t="s">
        <v>20</v>
      </c>
      <c r="O1698" s="6" t="str">
        <f>HYPERLINK("https://pbs.twimg.com/profile_images/962471262747529216/Uo8lOkRJ_normal.jpg","View")</f>
        <v>View</v>
      </c>
      <c r="P1698" s="7"/>
    </row>
    <row r="1699" spans="1:16">
      <c r="A1699" s="3">
        <v>43854.238541666666</v>
      </c>
      <c r="B1699" s="4" t="str">
        <f>HYPERLINK("https://twitter.com/petrogustavo","@petrogustavo")</f>
        <v>@petrogustavo</v>
      </c>
      <c r="C1699" s="5" t="s">
        <v>16</v>
      </c>
      <c r="D1699" s="5" t="s">
        <v>1670</v>
      </c>
      <c r="E1699" s="6" t="str">
        <f>HYPERLINK("https://twitter.com/petrogustavo/status/1220499832332324864","1220499832332324864")</f>
        <v>1220499832332324864</v>
      </c>
      <c r="F1699" s="7" t="s">
        <v>17</v>
      </c>
      <c r="G1699" s="7">
        <v>3617501</v>
      </c>
      <c r="H1699" s="7">
        <v>2351</v>
      </c>
      <c r="I1699" s="7">
        <v>9</v>
      </c>
      <c r="J1699" s="7">
        <v>0</v>
      </c>
      <c r="K1699" s="7" t="s">
        <v>18</v>
      </c>
      <c r="L1699" s="8">
        <v>39987.315405092595</v>
      </c>
      <c r="M1699" s="9" t="s">
        <v>19</v>
      </c>
      <c r="N1699" s="9" t="s">
        <v>20</v>
      </c>
      <c r="O1699" s="6" t="str">
        <f>HYPERLINK("https://pbs.twimg.com/profile_images/962471262747529216/Uo8lOkRJ_normal.jpg","View")</f>
        <v>View</v>
      </c>
      <c r="P1699" s="7"/>
    </row>
    <row r="1700" spans="1:16">
      <c r="A1700" s="3">
        <v>43854.239201388889</v>
      </c>
      <c r="B1700" s="4" t="str">
        <f>HYPERLINK("https://twitter.com/petrogustavo","@petrogustavo")</f>
        <v>@petrogustavo</v>
      </c>
      <c r="C1700" s="5" t="s">
        <v>16</v>
      </c>
      <c r="D1700" s="5" t="s">
        <v>1671</v>
      </c>
      <c r="E1700" s="6" t="str">
        <f>HYPERLINK("https://twitter.com/petrogustavo/status/1220500069633445889","1220500069633445889")</f>
        <v>1220500069633445889</v>
      </c>
      <c r="F1700" s="7" t="s">
        <v>17</v>
      </c>
      <c r="G1700" s="7">
        <v>3617501</v>
      </c>
      <c r="H1700" s="7">
        <v>2351</v>
      </c>
      <c r="I1700" s="7">
        <v>5</v>
      </c>
      <c r="J1700" s="7">
        <v>0</v>
      </c>
      <c r="K1700" s="7" t="s">
        <v>18</v>
      </c>
      <c r="L1700" s="8">
        <v>39987.315405092595</v>
      </c>
      <c r="M1700" s="9" t="s">
        <v>19</v>
      </c>
      <c r="N1700" s="9" t="s">
        <v>20</v>
      </c>
      <c r="O1700" s="6" t="str">
        <f>HYPERLINK("https://pbs.twimg.com/profile_images/962471262747529216/Uo8lOkRJ_normal.jpg","View")</f>
        <v>View</v>
      </c>
      <c r="P1700" s="7"/>
    </row>
    <row r="1701" spans="1:16">
      <c r="A1701" s="3">
        <v>43854.24155092593</v>
      </c>
      <c r="B1701" s="4" t="str">
        <f>HYPERLINK("https://twitter.com/petrogustavo","@petrogustavo")</f>
        <v>@petrogustavo</v>
      </c>
      <c r="C1701" s="5" t="s">
        <v>16</v>
      </c>
      <c r="D1701" s="5" t="s">
        <v>1672</v>
      </c>
      <c r="E1701" s="6" t="str">
        <f>HYPERLINK("https://twitter.com/petrogustavo/status/1220500921874034689","1220500921874034689")</f>
        <v>1220500921874034689</v>
      </c>
      <c r="F1701" s="7" t="s">
        <v>17</v>
      </c>
      <c r="G1701" s="7">
        <v>3617501</v>
      </c>
      <c r="H1701" s="7">
        <v>2351</v>
      </c>
      <c r="I1701" s="7">
        <v>22</v>
      </c>
      <c r="J1701" s="7">
        <v>0</v>
      </c>
      <c r="K1701" s="7" t="s">
        <v>18</v>
      </c>
      <c r="L1701" s="8">
        <v>39987.315405092595</v>
      </c>
      <c r="M1701" s="9" t="s">
        <v>19</v>
      </c>
      <c r="N1701" s="9" t="s">
        <v>20</v>
      </c>
      <c r="O1701" s="6" t="str">
        <f>HYPERLINK("https://pbs.twimg.com/profile_images/962471262747529216/Uo8lOkRJ_normal.jpg","View")</f>
        <v>View</v>
      </c>
      <c r="P1701" s="7"/>
    </row>
    <row r="1702" spans="1:16">
      <c r="A1702" s="3">
        <v>43854.277557870373</v>
      </c>
      <c r="B1702" s="4" t="str">
        <f>HYPERLINK("https://twitter.com/petrogustavo","@petrogustavo")</f>
        <v>@petrogustavo</v>
      </c>
      <c r="C1702" s="5" t="s">
        <v>16</v>
      </c>
      <c r="D1702" s="5" t="s">
        <v>1673</v>
      </c>
      <c r="E1702" s="6" t="str">
        <f>HYPERLINK("https://twitter.com/petrogustavo/status/1220513972010606592","1220513972010606592")</f>
        <v>1220513972010606592</v>
      </c>
      <c r="F1702" s="7" t="s">
        <v>32</v>
      </c>
      <c r="G1702" s="7">
        <v>3617565</v>
      </c>
      <c r="H1702" s="7">
        <v>2351</v>
      </c>
      <c r="I1702" s="7">
        <v>168</v>
      </c>
      <c r="J1702" s="7">
        <v>325</v>
      </c>
      <c r="K1702" s="7" t="s">
        <v>18</v>
      </c>
      <c r="L1702" s="8">
        <v>39987.315405092595</v>
      </c>
      <c r="M1702" s="9" t="s">
        <v>19</v>
      </c>
      <c r="N1702" s="9" t="s">
        <v>20</v>
      </c>
      <c r="O1702" s="6" t="str">
        <f>HYPERLINK("https://pbs.twimg.com/profile_images/962471262747529216/Uo8lOkRJ_normal.jpg","View")</f>
        <v>View</v>
      </c>
      <c r="P1702" s="7"/>
    </row>
    <row r="1703" spans="1:16">
      <c r="A1703" s="3">
        <v>43854.282650462963</v>
      </c>
      <c r="B1703" s="4" t="str">
        <f>HYPERLINK("https://twitter.com/petrogustavo","@petrogustavo")</f>
        <v>@petrogustavo</v>
      </c>
      <c r="C1703" s="5" t="s">
        <v>16</v>
      </c>
      <c r="D1703" s="5" t="s">
        <v>1674</v>
      </c>
      <c r="E1703" s="6" t="str">
        <f>HYPERLINK("https://twitter.com/petrogustavo/status/1220515817697304578","1220515817697304578")</f>
        <v>1220515817697304578</v>
      </c>
      <c r="F1703" s="7" t="s">
        <v>32</v>
      </c>
      <c r="G1703" s="7">
        <v>3617565</v>
      </c>
      <c r="H1703" s="7">
        <v>2351</v>
      </c>
      <c r="I1703" s="7">
        <v>9</v>
      </c>
      <c r="J1703" s="7">
        <v>14</v>
      </c>
      <c r="K1703" s="7" t="s">
        <v>18</v>
      </c>
      <c r="L1703" s="8">
        <v>39987.315405092595</v>
      </c>
      <c r="M1703" s="9" t="s">
        <v>19</v>
      </c>
      <c r="N1703" s="9" t="s">
        <v>20</v>
      </c>
      <c r="O1703" s="6" t="str">
        <f>HYPERLINK("https://pbs.twimg.com/profile_images/962471262747529216/Uo8lOkRJ_normal.jpg","View")</f>
        <v>View</v>
      </c>
      <c r="P1703" s="7"/>
    </row>
    <row r="1704" spans="1:16">
      <c r="A1704" s="3">
        <v>43854.304537037038</v>
      </c>
      <c r="B1704" s="4" t="str">
        <f>HYPERLINK("https://twitter.com/petrogustavo","@petrogustavo")</f>
        <v>@petrogustavo</v>
      </c>
      <c r="C1704" s="5" t="s">
        <v>16</v>
      </c>
      <c r="D1704" s="5" t="s">
        <v>1675</v>
      </c>
      <c r="E1704" s="6" t="str">
        <f>HYPERLINK("https://twitter.com/petrogustavo/status/1220523747565883393","1220523747565883393")</f>
        <v>1220523747565883393</v>
      </c>
      <c r="F1704" s="7" t="s">
        <v>17</v>
      </c>
      <c r="G1704" s="7">
        <v>3617603</v>
      </c>
      <c r="H1704" s="7">
        <v>2351</v>
      </c>
      <c r="I1704" s="7">
        <v>113</v>
      </c>
      <c r="J1704" s="7">
        <v>0</v>
      </c>
      <c r="K1704" s="7" t="s">
        <v>18</v>
      </c>
      <c r="L1704" s="8">
        <v>39987.315405092595</v>
      </c>
      <c r="M1704" s="9" t="s">
        <v>19</v>
      </c>
      <c r="N1704" s="9" t="s">
        <v>20</v>
      </c>
      <c r="O1704" s="6" t="str">
        <f>HYPERLINK("https://pbs.twimg.com/profile_images/962471262747529216/Uo8lOkRJ_normal.jpg","View")</f>
        <v>View</v>
      </c>
      <c r="P1704" s="7"/>
    </row>
    <row r="1705" spans="1:16">
      <c r="A1705" s="3">
        <v>43854.304942129631</v>
      </c>
      <c r="B1705" s="4" t="str">
        <f>HYPERLINK("https://twitter.com/petrogustavo","@petrogustavo")</f>
        <v>@petrogustavo</v>
      </c>
      <c r="C1705" s="5" t="s">
        <v>16</v>
      </c>
      <c r="D1705" s="5" t="s">
        <v>1676</v>
      </c>
      <c r="E1705" s="6" t="str">
        <f>HYPERLINK("https://twitter.com/petrogustavo/status/1220523896530788352","1220523896530788352")</f>
        <v>1220523896530788352</v>
      </c>
      <c r="F1705" s="7" t="s">
        <v>17</v>
      </c>
      <c r="G1705" s="7">
        <v>3617603</v>
      </c>
      <c r="H1705" s="7">
        <v>2351</v>
      </c>
      <c r="I1705" s="7">
        <v>66</v>
      </c>
      <c r="J1705" s="7">
        <v>0</v>
      </c>
      <c r="K1705" s="7" t="s">
        <v>18</v>
      </c>
      <c r="L1705" s="8">
        <v>39987.315405092595</v>
      </c>
      <c r="M1705" s="9" t="s">
        <v>19</v>
      </c>
      <c r="N1705" s="9" t="s">
        <v>20</v>
      </c>
      <c r="O1705" s="6" t="str">
        <f>HYPERLINK("https://pbs.twimg.com/profile_images/962471262747529216/Uo8lOkRJ_normal.jpg","View")</f>
        <v>View</v>
      </c>
      <c r="P1705" s="7"/>
    </row>
    <row r="1706" spans="1:16">
      <c r="A1706" s="3">
        <v>43854.305162037039</v>
      </c>
      <c r="B1706" s="4" t="str">
        <f>HYPERLINK("https://twitter.com/petrogustavo","@petrogustavo")</f>
        <v>@petrogustavo</v>
      </c>
      <c r="C1706" s="5" t="s">
        <v>16</v>
      </c>
      <c r="D1706" s="5" t="s">
        <v>1677</v>
      </c>
      <c r="E1706" s="6" t="str">
        <f>HYPERLINK("https://twitter.com/petrogustavo/status/1220523973236215810","1220523973236215810")</f>
        <v>1220523973236215810</v>
      </c>
      <c r="F1706" s="7" t="s">
        <v>17</v>
      </c>
      <c r="G1706" s="7">
        <v>3617603</v>
      </c>
      <c r="H1706" s="7">
        <v>2351</v>
      </c>
      <c r="I1706" s="7">
        <v>68</v>
      </c>
      <c r="J1706" s="7">
        <v>0</v>
      </c>
      <c r="K1706" s="7" t="s">
        <v>18</v>
      </c>
      <c r="L1706" s="8">
        <v>39987.315405092595</v>
      </c>
      <c r="M1706" s="9" t="s">
        <v>19</v>
      </c>
      <c r="N1706" s="9" t="s">
        <v>20</v>
      </c>
      <c r="O1706" s="6" t="str">
        <f>HYPERLINK("https://pbs.twimg.com/profile_images/962471262747529216/Uo8lOkRJ_normal.jpg","View")</f>
        <v>View</v>
      </c>
      <c r="P1706" s="7"/>
    </row>
    <row r="1707" spans="1:16">
      <c r="A1707" s="3">
        <v>43854.308761574073</v>
      </c>
      <c r="B1707" s="4" t="str">
        <f>HYPERLINK("https://twitter.com/petrogustavo","@petrogustavo")</f>
        <v>@petrogustavo</v>
      </c>
      <c r="C1707" s="5" t="s">
        <v>16</v>
      </c>
      <c r="D1707" s="5" t="s">
        <v>1678</v>
      </c>
      <c r="E1707" s="6" t="str">
        <f>HYPERLINK("https://twitter.com/petrogustavo/status/1220525277937389569","1220525277937389569")</f>
        <v>1220525277937389569</v>
      </c>
      <c r="F1707" s="7" t="s">
        <v>17</v>
      </c>
      <c r="G1707" s="7">
        <v>3617603</v>
      </c>
      <c r="H1707" s="7">
        <v>2351</v>
      </c>
      <c r="I1707" s="7">
        <v>85</v>
      </c>
      <c r="J1707" s="7">
        <v>211</v>
      </c>
      <c r="K1707" s="7" t="s">
        <v>18</v>
      </c>
      <c r="L1707" s="8">
        <v>39987.315405092595</v>
      </c>
      <c r="M1707" s="9" t="s">
        <v>19</v>
      </c>
      <c r="N1707" s="9" t="s">
        <v>20</v>
      </c>
      <c r="O1707" s="6" t="str">
        <f>HYPERLINK("https://pbs.twimg.com/profile_images/962471262747529216/Uo8lOkRJ_normal.jpg","View")</f>
        <v>View</v>
      </c>
      <c r="P1707" s="7"/>
    </row>
    <row r="1708" spans="1:16">
      <c r="A1708" s="3">
        <v>43854.309675925921</v>
      </c>
      <c r="B1708" s="4" t="str">
        <f>HYPERLINK("https://twitter.com/petrogustavo","@petrogustavo")</f>
        <v>@petrogustavo</v>
      </c>
      <c r="C1708" s="5" t="s">
        <v>16</v>
      </c>
      <c r="D1708" s="5" t="s">
        <v>1679</v>
      </c>
      <c r="E1708" s="6" t="str">
        <f>HYPERLINK("https://twitter.com/petrogustavo/status/1220525610667253760","1220525610667253760")</f>
        <v>1220525610667253760</v>
      </c>
      <c r="F1708" s="7" t="s">
        <v>17</v>
      </c>
      <c r="G1708" s="7">
        <v>3617603</v>
      </c>
      <c r="H1708" s="7">
        <v>2351</v>
      </c>
      <c r="I1708" s="7">
        <v>166</v>
      </c>
      <c r="J1708" s="7">
        <v>0</v>
      </c>
      <c r="K1708" s="7" t="s">
        <v>18</v>
      </c>
      <c r="L1708" s="8">
        <v>39987.315405092595</v>
      </c>
      <c r="M1708" s="9" t="s">
        <v>19</v>
      </c>
      <c r="N1708" s="9" t="s">
        <v>20</v>
      </c>
      <c r="O1708" s="6" t="str">
        <f>HYPERLINK("https://pbs.twimg.com/profile_images/962471262747529216/Uo8lOkRJ_normal.jpg","View")</f>
        <v>View</v>
      </c>
      <c r="P1708" s="7"/>
    </row>
    <row r="1709" spans="1:16">
      <c r="A1709" s="3">
        <v>43854.315405092595</v>
      </c>
      <c r="B1709" s="4" t="str">
        <f>HYPERLINK("https://twitter.com/petrogustavo","@petrogustavo")</f>
        <v>@petrogustavo</v>
      </c>
      <c r="C1709" s="5" t="s">
        <v>16</v>
      </c>
      <c r="D1709" s="5" t="s">
        <v>1680</v>
      </c>
      <c r="E1709" s="6" t="str">
        <f>HYPERLINK("https://twitter.com/petrogustavo/status/1220527687061704704","1220527687061704704")</f>
        <v>1220527687061704704</v>
      </c>
      <c r="F1709" s="7" t="s">
        <v>17</v>
      </c>
      <c r="G1709" s="7">
        <v>3617603</v>
      </c>
      <c r="H1709" s="7">
        <v>2351</v>
      </c>
      <c r="I1709" s="7">
        <v>13</v>
      </c>
      <c r="J1709" s="7">
        <v>0</v>
      </c>
      <c r="K1709" s="7" t="s">
        <v>18</v>
      </c>
      <c r="L1709" s="8">
        <v>39987.315405092595</v>
      </c>
      <c r="M1709" s="9" t="s">
        <v>19</v>
      </c>
      <c r="N1709" s="9" t="s">
        <v>20</v>
      </c>
      <c r="O1709" s="6" t="str">
        <f>HYPERLINK("https://pbs.twimg.com/profile_images/962471262747529216/Uo8lOkRJ_normal.jpg","View")</f>
        <v>View</v>
      </c>
      <c r="P1709" s="7"/>
    </row>
    <row r="1710" spans="1:16">
      <c r="A1710" s="3">
        <v>43854.316122685181</v>
      </c>
      <c r="B1710" s="4" t="str">
        <f>HYPERLINK("https://twitter.com/petrogustavo","@petrogustavo")</f>
        <v>@petrogustavo</v>
      </c>
      <c r="C1710" s="5" t="s">
        <v>16</v>
      </c>
      <c r="D1710" s="5" t="s">
        <v>1681</v>
      </c>
      <c r="E1710" s="6" t="str">
        <f>HYPERLINK("https://twitter.com/petrogustavo/status/1220527947049730048","1220527947049730048")</f>
        <v>1220527947049730048</v>
      </c>
      <c r="F1710" s="7" t="s">
        <v>17</v>
      </c>
      <c r="G1710" s="7">
        <v>3617603</v>
      </c>
      <c r="H1710" s="7">
        <v>2351</v>
      </c>
      <c r="I1710" s="7">
        <v>178</v>
      </c>
      <c r="J1710" s="7">
        <v>0</v>
      </c>
      <c r="K1710" s="7" t="s">
        <v>18</v>
      </c>
      <c r="L1710" s="8">
        <v>39987.315405092595</v>
      </c>
      <c r="M1710" s="9" t="s">
        <v>19</v>
      </c>
      <c r="N1710" s="9" t="s">
        <v>20</v>
      </c>
      <c r="O1710" s="6" t="str">
        <f>HYPERLINK("https://pbs.twimg.com/profile_images/962471262747529216/Uo8lOkRJ_normal.jpg","View")</f>
        <v>View</v>
      </c>
      <c r="P1710" s="7"/>
    </row>
    <row r="1711" spans="1:16">
      <c r="A1711" s="3">
        <v>43854.317650462966</v>
      </c>
      <c r="B1711" s="4" t="str">
        <f>HYPERLINK("https://twitter.com/petrogustavo","@petrogustavo")</f>
        <v>@petrogustavo</v>
      </c>
      <c r="C1711" s="5" t="s">
        <v>16</v>
      </c>
      <c r="D1711" s="5" t="s">
        <v>1682</v>
      </c>
      <c r="E1711" s="6" t="str">
        <f>HYPERLINK("https://twitter.com/petrogustavo/status/1220528501062799361","1220528501062799361")</f>
        <v>1220528501062799361</v>
      </c>
      <c r="F1711" s="7" t="s">
        <v>17</v>
      </c>
      <c r="G1711" s="7">
        <v>3617603</v>
      </c>
      <c r="H1711" s="7">
        <v>2351</v>
      </c>
      <c r="I1711" s="7">
        <v>97</v>
      </c>
      <c r="J1711" s="7">
        <v>0</v>
      </c>
      <c r="K1711" s="7" t="s">
        <v>18</v>
      </c>
      <c r="L1711" s="8">
        <v>39987.315405092595</v>
      </c>
      <c r="M1711" s="9" t="s">
        <v>19</v>
      </c>
      <c r="N1711" s="9" t="s">
        <v>20</v>
      </c>
      <c r="O1711" s="6" t="str">
        <f>HYPERLINK("https://pbs.twimg.com/profile_images/962471262747529216/Uo8lOkRJ_normal.jpg","View")</f>
        <v>View</v>
      </c>
      <c r="P1711" s="7"/>
    </row>
    <row r="1712" spans="1:16">
      <c r="A1712" s="3">
        <v>43854.320162037038</v>
      </c>
      <c r="B1712" s="4" t="str">
        <f>HYPERLINK("https://twitter.com/petrogustavo","@petrogustavo")</f>
        <v>@petrogustavo</v>
      </c>
      <c r="C1712" s="5" t="s">
        <v>16</v>
      </c>
      <c r="D1712" s="5" t="s">
        <v>1683</v>
      </c>
      <c r="E1712" s="6" t="str">
        <f>HYPERLINK("https://twitter.com/petrogustavo/status/1220529410668929029","1220529410668929029")</f>
        <v>1220529410668929029</v>
      </c>
      <c r="F1712" s="7" t="s">
        <v>17</v>
      </c>
      <c r="G1712" s="7">
        <v>3617603</v>
      </c>
      <c r="H1712" s="7">
        <v>2351</v>
      </c>
      <c r="I1712" s="7">
        <v>21</v>
      </c>
      <c r="J1712" s="7">
        <v>0</v>
      </c>
      <c r="K1712" s="7" t="s">
        <v>18</v>
      </c>
      <c r="L1712" s="8">
        <v>39987.315405092595</v>
      </c>
      <c r="M1712" s="9" t="s">
        <v>19</v>
      </c>
      <c r="N1712" s="9" t="s">
        <v>20</v>
      </c>
      <c r="O1712" s="6" t="str">
        <f>HYPERLINK("https://pbs.twimg.com/profile_images/962471262747529216/Uo8lOkRJ_normal.jpg","View")</f>
        <v>View</v>
      </c>
      <c r="P1712" s="7"/>
    </row>
    <row r="1713" spans="1:16">
      <c r="A1713" s="3">
        <v>43854.863958333328</v>
      </c>
      <c r="B1713" s="4" t="str">
        <f>HYPERLINK("https://twitter.com/petrogustavo","@petrogustavo")</f>
        <v>@petrogustavo</v>
      </c>
      <c r="C1713" s="5" t="s">
        <v>16</v>
      </c>
      <c r="D1713" s="5" t="s">
        <v>1684</v>
      </c>
      <c r="E1713" s="6" t="str">
        <f>HYPERLINK("https://twitter.com/petrogustavo/status/1220726475713847298","1220726475713847298")</f>
        <v>1220726475713847298</v>
      </c>
      <c r="F1713" s="7" t="s">
        <v>17</v>
      </c>
      <c r="G1713" s="7">
        <v>3617908</v>
      </c>
      <c r="H1713" s="7">
        <v>2351</v>
      </c>
      <c r="I1713" s="7">
        <v>12</v>
      </c>
      <c r="J1713" s="7">
        <v>41</v>
      </c>
      <c r="K1713" s="7" t="s">
        <v>18</v>
      </c>
      <c r="L1713" s="8">
        <v>39987.315405092595</v>
      </c>
      <c r="M1713" s="9" t="s">
        <v>19</v>
      </c>
      <c r="N1713" s="9" t="s">
        <v>20</v>
      </c>
      <c r="O1713" s="6" t="str">
        <f>HYPERLINK("https://pbs.twimg.com/profile_images/962471262747529216/Uo8lOkRJ_normal.jpg","View")</f>
        <v>View</v>
      </c>
      <c r="P1713" s="7"/>
    </row>
    <row r="1714" spans="1:16">
      <c r="A1714" s="3">
        <v>43854.917499999996</v>
      </c>
      <c r="B1714" s="4" t="str">
        <f>HYPERLINK("https://twitter.com/petrogustavo","@petrogustavo")</f>
        <v>@petrogustavo</v>
      </c>
      <c r="C1714" s="5" t="s">
        <v>16</v>
      </c>
      <c r="D1714" s="5" t="s">
        <v>1685</v>
      </c>
      <c r="E1714" s="6" t="str">
        <f>HYPERLINK("https://twitter.com/petrogustavo/status/1220745879210070023","1220745879210070023")</f>
        <v>1220745879210070023</v>
      </c>
      <c r="F1714" s="7" t="s">
        <v>32</v>
      </c>
      <c r="G1714" s="7">
        <v>3617969</v>
      </c>
      <c r="H1714" s="7">
        <v>2351</v>
      </c>
      <c r="I1714" s="7">
        <v>84</v>
      </c>
      <c r="J1714" s="7">
        <v>248</v>
      </c>
      <c r="K1714" s="7" t="s">
        <v>18</v>
      </c>
      <c r="L1714" s="8">
        <v>39987.315405092595</v>
      </c>
      <c r="M1714" s="9" t="s">
        <v>19</v>
      </c>
      <c r="N1714" s="9" t="s">
        <v>20</v>
      </c>
      <c r="O1714" s="6" t="str">
        <f>HYPERLINK("https://pbs.twimg.com/profile_images/962471262747529216/Uo8lOkRJ_normal.jpg","View")</f>
        <v>View</v>
      </c>
      <c r="P1714" s="7"/>
    </row>
    <row r="1715" spans="1:16">
      <c r="A1715" s="3">
        <v>43854.927048611113</v>
      </c>
      <c r="B1715" s="4" t="str">
        <f>HYPERLINK("https://twitter.com/petrogustavo","@petrogustavo")</f>
        <v>@petrogustavo</v>
      </c>
      <c r="C1715" s="5" t="s">
        <v>16</v>
      </c>
      <c r="D1715" s="5" t="s">
        <v>1686</v>
      </c>
      <c r="E1715" s="6" t="str">
        <f>HYPERLINK("https://twitter.com/petrogustavo/status/1220749340156813312","1220749340156813312")</f>
        <v>1220749340156813312</v>
      </c>
      <c r="F1715" s="7" t="s">
        <v>32</v>
      </c>
      <c r="G1715" s="7">
        <v>3617969</v>
      </c>
      <c r="H1715" s="7">
        <v>2351</v>
      </c>
      <c r="I1715" s="7">
        <v>319</v>
      </c>
      <c r="J1715" s="7">
        <v>0</v>
      </c>
      <c r="K1715" s="7" t="s">
        <v>18</v>
      </c>
      <c r="L1715" s="8">
        <v>39987.315405092595</v>
      </c>
      <c r="M1715" s="9" t="s">
        <v>19</v>
      </c>
      <c r="N1715" s="9" t="s">
        <v>20</v>
      </c>
      <c r="O1715" s="6" t="str">
        <f>HYPERLINK("https://pbs.twimg.com/profile_images/962471262747529216/Uo8lOkRJ_normal.jpg","View")</f>
        <v>View</v>
      </c>
      <c r="P1715" s="7"/>
    </row>
    <row r="1716" spans="1:16">
      <c r="A1716" s="3">
        <v>43854.92863425926</v>
      </c>
      <c r="B1716" s="4" t="str">
        <f>HYPERLINK("https://twitter.com/petrogustavo","@petrogustavo")</f>
        <v>@petrogustavo</v>
      </c>
      <c r="C1716" s="5" t="s">
        <v>16</v>
      </c>
      <c r="D1716" s="5" t="s">
        <v>1687</v>
      </c>
      <c r="E1716" s="6" t="str">
        <f>HYPERLINK("https://twitter.com/petrogustavo/status/1220749913358852098","1220749913358852098")</f>
        <v>1220749913358852098</v>
      </c>
      <c r="F1716" s="7" t="s">
        <v>32</v>
      </c>
      <c r="G1716" s="7">
        <v>3617969</v>
      </c>
      <c r="H1716" s="7">
        <v>2351</v>
      </c>
      <c r="I1716" s="7">
        <v>2</v>
      </c>
      <c r="J1716" s="7">
        <v>0</v>
      </c>
      <c r="K1716" s="7" t="s">
        <v>18</v>
      </c>
      <c r="L1716" s="8">
        <v>39987.315405092595</v>
      </c>
      <c r="M1716" s="9" t="s">
        <v>19</v>
      </c>
      <c r="N1716" s="9" t="s">
        <v>20</v>
      </c>
      <c r="O1716" s="6" t="str">
        <f>HYPERLINK("https://pbs.twimg.com/profile_images/962471262747529216/Uo8lOkRJ_normal.jpg","View")</f>
        <v>View</v>
      </c>
      <c r="P1716" s="7"/>
    </row>
    <row r="1717" spans="1:16">
      <c r="A1717" s="3">
        <v>43854.931076388893</v>
      </c>
      <c r="B1717" s="4" t="str">
        <f>HYPERLINK("https://twitter.com/petrogustavo","@petrogustavo")</f>
        <v>@petrogustavo</v>
      </c>
      <c r="C1717" s="5" t="s">
        <v>16</v>
      </c>
      <c r="D1717" s="5" t="s">
        <v>1688</v>
      </c>
      <c r="E1717" s="6" t="str">
        <f>HYPERLINK("https://twitter.com/petrogustavo/status/1220750797543288832","1220750797543288832")</f>
        <v>1220750797543288832</v>
      </c>
      <c r="F1717" s="7" t="s">
        <v>32</v>
      </c>
      <c r="G1717" s="7">
        <v>3617998</v>
      </c>
      <c r="H1717" s="7">
        <v>2351</v>
      </c>
      <c r="I1717" s="7">
        <v>55</v>
      </c>
      <c r="J1717" s="7">
        <v>0</v>
      </c>
      <c r="K1717" s="7" t="s">
        <v>18</v>
      </c>
      <c r="L1717" s="8">
        <v>39987.315405092595</v>
      </c>
      <c r="M1717" s="9" t="s">
        <v>19</v>
      </c>
      <c r="N1717" s="9" t="s">
        <v>20</v>
      </c>
      <c r="O1717" s="6" t="str">
        <f>HYPERLINK("https://pbs.twimg.com/profile_images/962471262747529216/Uo8lOkRJ_normal.jpg","View")</f>
        <v>View</v>
      </c>
      <c r="P1717" s="7"/>
    </row>
    <row r="1718" spans="1:16">
      <c r="A1718" s="3">
        <v>43854.949918981481</v>
      </c>
      <c r="B1718" s="4" t="str">
        <f>HYPERLINK("https://twitter.com/petrogustavo","@petrogustavo")</f>
        <v>@petrogustavo</v>
      </c>
      <c r="C1718" s="5" t="s">
        <v>16</v>
      </c>
      <c r="D1718" s="5" t="s">
        <v>1689</v>
      </c>
      <c r="E1718" s="6" t="str">
        <f>HYPERLINK("https://twitter.com/petrogustavo/status/1220757626893602821","1220757626893602821")</f>
        <v>1220757626893602821</v>
      </c>
      <c r="F1718" s="7" t="s">
        <v>32</v>
      </c>
      <c r="G1718" s="7">
        <v>3617998</v>
      </c>
      <c r="H1718" s="7">
        <v>2351</v>
      </c>
      <c r="I1718" s="7">
        <v>0</v>
      </c>
      <c r="J1718" s="7">
        <v>1</v>
      </c>
      <c r="K1718" s="7" t="s">
        <v>18</v>
      </c>
      <c r="L1718" s="8">
        <v>39987.315405092595</v>
      </c>
      <c r="M1718" s="9" t="s">
        <v>19</v>
      </c>
      <c r="N1718" s="9" t="s">
        <v>20</v>
      </c>
      <c r="O1718" s="6" t="str">
        <f>HYPERLINK("https://pbs.twimg.com/profile_images/962471262747529216/Uo8lOkRJ_normal.jpg","View")</f>
        <v>View</v>
      </c>
      <c r="P1718" s="7"/>
    </row>
    <row r="1719" spans="1:16">
      <c r="A1719" s="3">
        <v>43854.956261574072</v>
      </c>
      <c r="B1719" s="4" t="str">
        <f>HYPERLINK("https://twitter.com/petrogustavo","@petrogustavo")</f>
        <v>@petrogustavo</v>
      </c>
      <c r="C1719" s="5" t="s">
        <v>16</v>
      </c>
      <c r="D1719" s="5" t="s">
        <v>1690</v>
      </c>
      <c r="E1719" s="6" t="str">
        <f>HYPERLINK("https://twitter.com/petrogustavo/status/1220759926039031808","1220759926039031808")</f>
        <v>1220759926039031808</v>
      </c>
      <c r="F1719" s="7" t="s">
        <v>17</v>
      </c>
      <c r="G1719" s="7">
        <v>3618007</v>
      </c>
      <c r="H1719" s="7">
        <v>2351</v>
      </c>
      <c r="I1719" s="7">
        <v>92</v>
      </c>
      <c r="J1719" s="7">
        <v>284</v>
      </c>
      <c r="K1719" s="7" t="s">
        <v>18</v>
      </c>
      <c r="L1719" s="8">
        <v>39987.315405092595</v>
      </c>
      <c r="M1719" s="9" t="s">
        <v>19</v>
      </c>
      <c r="N1719" s="9" t="s">
        <v>20</v>
      </c>
      <c r="O1719" s="6" t="str">
        <f>HYPERLINK("https://pbs.twimg.com/profile_images/962471262747529216/Uo8lOkRJ_normal.jpg","View")</f>
        <v>View</v>
      </c>
      <c r="P1719" s="7"/>
    </row>
    <row r="1720" spans="1:16">
      <c r="A1720" s="3">
        <v>43854.96166666667</v>
      </c>
      <c r="B1720" s="4" t="str">
        <f>HYPERLINK("https://twitter.com/petrogustavo","@petrogustavo")</f>
        <v>@petrogustavo</v>
      </c>
      <c r="C1720" s="5" t="s">
        <v>16</v>
      </c>
      <c r="D1720" s="5" t="s">
        <v>1691</v>
      </c>
      <c r="E1720" s="6" t="str">
        <f>HYPERLINK("https://twitter.com/petrogustavo/status/1220761886251241474","1220761886251241474")</f>
        <v>1220761886251241474</v>
      </c>
      <c r="F1720" s="7" t="s">
        <v>17</v>
      </c>
      <c r="G1720" s="7">
        <v>3618007</v>
      </c>
      <c r="H1720" s="7">
        <v>2351</v>
      </c>
      <c r="I1720" s="7">
        <v>46</v>
      </c>
      <c r="J1720" s="7">
        <v>0</v>
      </c>
      <c r="K1720" s="7" t="s">
        <v>18</v>
      </c>
      <c r="L1720" s="8">
        <v>39987.315405092595</v>
      </c>
      <c r="M1720" s="9" t="s">
        <v>19</v>
      </c>
      <c r="N1720" s="9" t="s">
        <v>20</v>
      </c>
      <c r="O1720" s="6" t="str">
        <f>HYPERLINK("https://pbs.twimg.com/profile_images/962471262747529216/Uo8lOkRJ_normal.jpg","View")</f>
        <v>View</v>
      </c>
      <c r="P1720" s="7"/>
    </row>
    <row r="1721" spans="1:16">
      <c r="A1721" s="3">
        <v>43855.009618055556</v>
      </c>
      <c r="B1721" s="4" t="str">
        <f>HYPERLINK("https://twitter.com/petrogustavo","@petrogustavo")</f>
        <v>@petrogustavo</v>
      </c>
      <c r="C1721" s="5" t="s">
        <v>16</v>
      </c>
      <c r="D1721" s="5" t="s">
        <v>1692</v>
      </c>
      <c r="E1721" s="6" t="str">
        <f>HYPERLINK("https://twitter.com/petrogustavo/status/1220779261579157506","1220779261579157506")</f>
        <v>1220779261579157506</v>
      </c>
      <c r="F1721" s="7" t="s">
        <v>32</v>
      </c>
      <c r="G1721" s="7">
        <v>3618047</v>
      </c>
      <c r="H1721" s="7">
        <v>2351</v>
      </c>
      <c r="I1721" s="7">
        <v>18</v>
      </c>
      <c r="J1721" s="7">
        <v>58</v>
      </c>
      <c r="K1721" s="7" t="s">
        <v>18</v>
      </c>
      <c r="L1721" s="8">
        <v>39987.315405092595</v>
      </c>
      <c r="M1721" s="9" t="s">
        <v>19</v>
      </c>
      <c r="N1721" s="9" t="s">
        <v>20</v>
      </c>
      <c r="O1721" s="6" t="str">
        <f>HYPERLINK("https://pbs.twimg.com/profile_images/962471262747529216/Uo8lOkRJ_normal.jpg","View")</f>
        <v>View</v>
      </c>
      <c r="P1721" s="7"/>
    </row>
    <row r="1722" spans="1:16">
      <c r="A1722" s="3">
        <v>43855.01190972222</v>
      </c>
      <c r="B1722" s="4" t="str">
        <f>HYPERLINK("https://twitter.com/petrogustavo","@petrogustavo")</f>
        <v>@petrogustavo</v>
      </c>
      <c r="C1722" s="5" t="s">
        <v>16</v>
      </c>
      <c r="D1722" s="5" t="s">
        <v>1693</v>
      </c>
      <c r="E1722" s="6" t="str">
        <f>HYPERLINK("https://twitter.com/petrogustavo/status/1220780090621145090","1220780090621145090")</f>
        <v>1220780090621145090</v>
      </c>
      <c r="F1722" s="7" t="s">
        <v>32</v>
      </c>
      <c r="G1722" s="7">
        <v>3618047</v>
      </c>
      <c r="H1722" s="7">
        <v>2351</v>
      </c>
      <c r="I1722" s="7">
        <v>1156</v>
      </c>
      <c r="J1722" s="7">
        <v>0</v>
      </c>
      <c r="K1722" s="7" t="s">
        <v>18</v>
      </c>
      <c r="L1722" s="8">
        <v>39987.315405092595</v>
      </c>
      <c r="M1722" s="9" t="s">
        <v>19</v>
      </c>
      <c r="N1722" s="9" t="s">
        <v>20</v>
      </c>
      <c r="O1722" s="6" t="str">
        <f>HYPERLINK("https://pbs.twimg.com/profile_images/962471262747529216/Uo8lOkRJ_normal.jpg","View")</f>
        <v>View</v>
      </c>
      <c r="P1722" s="7"/>
    </row>
    <row r="1723" spans="1:16">
      <c r="A1723" s="3">
        <v>43855.019409722227</v>
      </c>
      <c r="B1723" s="4" t="str">
        <f>HYPERLINK("https://twitter.com/petrogustavo","@petrogustavo")</f>
        <v>@petrogustavo</v>
      </c>
      <c r="C1723" s="5" t="s">
        <v>16</v>
      </c>
      <c r="D1723" s="5" t="s">
        <v>1694</v>
      </c>
      <c r="E1723" s="6" t="str">
        <f>HYPERLINK("https://twitter.com/petrogustavo/status/1220782809540976643","1220782809540976643")</f>
        <v>1220782809540976643</v>
      </c>
      <c r="F1723" s="7" t="s">
        <v>32</v>
      </c>
      <c r="G1723" s="7">
        <v>3618069</v>
      </c>
      <c r="H1723" s="7">
        <v>2351</v>
      </c>
      <c r="I1723" s="7">
        <v>987</v>
      </c>
      <c r="J1723" s="7">
        <v>0</v>
      </c>
      <c r="K1723" s="7" t="s">
        <v>18</v>
      </c>
      <c r="L1723" s="8">
        <v>39987.315405092595</v>
      </c>
      <c r="M1723" s="9" t="s">
        <v>19</v>
      </c>
      <c r="N1723" s="9" t="s">
        <v>20</v>
      </c>
      <c r="O1723" s="6" t="str">
        <f>HYPERLINK("https://pbs.twimg.com/profile_images/962471262747529216/Uo8lOkRJ_normal.jpg","View")</f>
        <v>View</v>
      </c>
      <c r="P1723" s="7"/>
    </row>
    <row r="1724" spans="1:16">
      <c r="A1724" s="3">
        <v>43855.020300925928</v>
      </c>
      <c r="B1724" s="4" t="str">
        <f>HYPERLINK("https://twitter.com/petrogustavo","@petrogustavo")</f>
        <v>@petrogustavo</v>
      </c>
      <c r="C1724" s="5" t="s">
        <v>16</v>
      </c>
      <c r="D1724" s="5" t="s">
        <v>1695</v>
      </c>
      <c r="E1724" s="6" t="str">
        <f>HYPERLINK("https://twitter.com/petrogustavo/status/1220783131915116544","1220783131915116544")</f>
        <v>1220783131915116544</v>
      </c>
      <c r="F1724" s="7" t="s">
        <v>32</v>
      </c>
      <c r="G1724" s="7">
        <v>3618069</v>
      </c>
      <c r="H1724" s="7">
        <v>2351</v>
      </c>
      <c r="I1724" s="7">
        <v>145</v>
      </c>
      <c r="J1724" s="7">
        <v>328</v>
      </c>
      <c r="K1724" s="7" t="s">
        <v>18</v>
      </c>
      <c r="L1724" s="8">
        <v>39987.315405092595</v>
      </c>
      <c r="M1724" s="9" t="s">
        <v>19</v>
      </c>
      <c r="N1724" s="9" t="s">
        <v>20</v>
      </c>
      <c r="O1724" s="6" t="str">
        <f>HYPERLINK("https://pbs.twimg.com/profile_images/962471262747529216/Uo8lOkRJ_normal.jpg","View")</f>
        <v>View</v>
      </c>
      <c r="P1724" s="7"/>
    </row>
    <row r="1725" spans="1:16">
      <c r="A1725" s="3">
        <v>43855.022037037037</v>
      </c>
      <c r="B1725" s="4" t="str">
        <f>HYPERLINK("https://twitter.com/petrogustavo","@petrogustavo")</f>
        <v>@petrogustavo</v>
      </c>
      <c r="C1725" s="5" t="s">
        <v>16</v>
      </c>
      <c r="D1725" s="5" t="s">
        <v>1696</v>
      </c>
      <c r="E1725" s="6" t="str">
        <f>HYPERLINK("https://twitter.com/petrogustavo/status/1220783759974391809","1220783759974391809")</f>
        <v>1220783759974391809</v>
      </c>
      <c r="F1725" s="7" t="s">
        <v>32</v>
      </c>
      <c r="G1725" s="7">
        <v>3618069</v>
      </c>
      <c r="H1725" s="7">
        <v>2351</v>
      </c>
      <c r="I1725" s="7">
        <v>58</v>
      </c>
      <c r="J1725" s="7">
        <v>196</v>
      </c>
      <c r="K1725" s="7" t="s">
        <v>18</v>
      </c>
      <c r="L1725" s="8">
        <v>39987.315405092595</v>
      </c>
      <c r="M1725" s="9" t="s">
        <v>19</v>
      </c>
      <c r="N1725" s="9" t="s">
        <v>20</v>
      </c>
      <c r="O1725" s="6" t="str">
        <f>HYPERLINK("https://pbs.twimg.com/profile_images/962471262747529216/Uo8lOkRJ_normal.jpg","View")</f>
        <v>View</v>
      </c>
      <c r="P1725" s="7"/>
    </row>
    <row r="1726" spans="1:16">
      <c r="A1726" s="3">
        <v>43855.034849537042</v>
      </c>
      <c r="B1726" s="4" t="str">
        <f>HYPERLINK("https://twitter.com/petrogustavo","@petrogustavo")</f>
        <v>@petrogustavo</v>
      </c>
      <c r="C1726" s="5" t="s">
        <v>16</v>
      </c>
      <c r="D1726" s="5" t="s">
        <v>1697</v>
      </c>
      <c r="E1726" s="6" t="str">
        <f>HYPERLINK("https://twitter.com/petrogustavo/status/1220788403953946625","1220788403953946625")</f>
        <v>1220788403953946625</v>
      </c>
      <c r="F1726" s="7" t="s">
        <v>32</v>
      </c>
      <c r="G1726" s="7">
        <v>3618086</v>
      </c>
      <c r="H1726" s="7">
        <v>2351</v>
      </c>
      <c r="I1726" s="7">
        <v>49</v>
      </c>
      <c r="J1726" s="7">
        <v>0</v>
      </c>
      <c r="K1726" s="7" t="s">
        <v>18</v>
      </c>
      <c r="L1726" s="8">
        <v>39987.315405092595</v>
      </c>
      <c r="M1726" s="9" t="s">
        <v>19</v>
      </c>
      <c r="N1726" s="9" t="s">
        <v>20</v>
      </c>
      <c r="O1726" s="6" t="str">
        <f>HYPERLINK("https://pbs.twimg.com/profile_images/962471262747529216/Uo8lOkRJ_normal.jpg","View")</f>
        <v>View</v>
      </c>
      <c r="P1726" s="7"/>
    </row>
    <row r="1727" spans="1:16">
      <c r="A1727" s="3">
        <v>43855.051319444443</v>
      </c>
      <c r="B1727" s="4" t="str">
        <f>HYPERLINK("https://twitter.com/petrogustavo","@petrogustavo")</f>
        <v>@petrogustavo</v>
      </c>
      <c r="C1727" s="5" t="s">
        <v>16</v>
      </c>
      <c r="D1727" s="5" t="s">
        <v>1698</v>
      </c>
      <c r="E1727" s="6" t="str">
        <f>HYPERLINK("https://twitter.com/petrogustavo/status/1220794372096176128","1220794372096176128")</f>
        <v>1220794372096176128</v>
      </c>
      <c r="F1727" s="7" t="s">
        <v>32</v>
      </c>
      <c r="G1727" s="7">
        <v>3618086</v>
      </c>
      <c r="H1727" s="7">
        <v>2351</v>
      </c>
      <c r="I1727" s="7">
        <v>8</v>
      </c>
      <c r="J1727" s="7">
        <v>0</v>
      </c>
      <c r="K1727" s="7" t="s">
        <v>18</v>
      </c>
      <c r="L1727" s="8">
        <v>39987.315405092595</v>
      </c>
      <c r="M1727" s="9" t="s">
        <v>19</v>
      </c>
      <c r="N1727" s="9" t="s">
        <v>20</v>
      </c>
      <c r="O1727" s="6" t="str">
        <f>HYPERLINK("https://pbs.twimg.com/profile_images/962471262747529216/Uo8lOkRJ_normal.jpg","View")</f>
        <v>View</v>
      </c>
      <c r="P1727" s="7"/>
    </row>
    <row r="1728" spans="1:16">
      <c r="A1728" s="3">
        <v>43855.053379629629</v>
      </c>
      <c r="B1728" s="4" t="str">
        <f>HYPERLINK("https://twitter.com/petrogustavo","@petrogustavo")</f>
        <v>@petrogustavo</v>
      </c>
      <c r="C1728" s="5" t="s">
        <v>16</v>
      </c>
      <c r="D1728" s="5" t="s">
        <v>1699</v>
      </c>
      <c r="E1728" s="6" t="str">
        <f>HYPERLINK("https://twitter.com/petrogustavo/status/1220795119068155905","1220795119068155905")</f>
        <v>1220795119068155905</v>
      </c>
      <c r="F1728" s="7" t="s">
        <v>32</v>
      </c>
      <c r="G1728" s="7">
        <v>3618086</v>
      </c>
      <c r="H1728" s="7">
        <v>2351</v>
      </c>
      <c r="I1728" s="7">
        <v>1</v>
      </c>
      <c r="J1728" s="7">
        <v>0</v>
      </c>
      <c r="K1728" s="7" t="s">
        <v>18</v>
      </c>
      <c r="L1728" s="8">
        <v>39987.315405092595</v>
      </c>
      <c r="M1728" s="9" t="s">
        <v>19</v>
      </c>
      <c r="N1728" s="9" t="s">
        <v>20</v>
      </c>
      <c r="O1728" s="6" t="str">
        <f>HYPERLINK("https://pbs.twimg.com/profile_images/962471262747529216/Uo8lOkRJ_normal.jpg","View")</f>
        <v>View</v>
      </c>
      <c r="P1728" s="7"/>
    </row>
    <row r="1729" spans="1:16">
      <c r="A1729" s="3">
        <v>43855.05467592593</v>
      </c>
      <c r="B1729" s="4" t="str">
        <f>HYPERLINK("https://twitter.com/petrogustavo","@petrogustavo")</f>
        <v>@petrogustavo</v>
      </c>
      <c r="C1729" s="5" t="s">
        <v>16</v>
      </c>
      <c r="D1729" s="5" t="s">
        <v>1700</v>
      </c>
      <c r="E1729" s="6" t="str">
        <f>HYPERLINK("https://twitter.com/petrogustavo/status/1220795588716957698","1220795588716957698")</f>
        <v>1220795588716957698</v>
      </c>
      <c r="F1729" s="7" t="s">
        <v>32</v>
      </c>
      <c r="G1729" s="7">
        <v>3618098</v>
      </c>
      <c r="H1729" s="7">
        <v>2351</v>
      </c>
      <c r="I1729" s="7">
        <v>107</v>
      </c>
      <c r="J1729" s="7">
        <v>334</v>
      </c>
      <c r="K1729" s="7" t="s">
        <v>18</v>
      </c>
      <c r="L1729" s="8">
        <v>39987.315405092595</v>
      </c>
      <c r="M1729" s="9" t="s">
        <v>19</v>
      </c>
      <c r="N1729" s="9" t="s">
        <v>20</v>
      </c>
      <c r="O1729" s="6" t="str">
        <f>HYPERLINK("https://pbs.twimg.com/profile_images/962471262747529216/Uo8lOkRJ_normal.jpg","View")</f>
        <v>View</v>
      </c>
      <c r="P1729" s="7"/>
    </row>
    <row r="1730" spans="1:16">
      <c r="A1730" s="3">
        <v>43855.056157407409</v>
      </c>
      <c r="B1730" s="4" t="str">
        <f>HYPERLINK("https://twitter.com/petrogustavo","@petrogustavo")</f>
        <v>@petrogustavo</v>
      </c>
      <c r="C1730" s="5" t="s">
        <v>16</v>
      </c>
      <c r="D1730" s="5" t="s">
        <v>1701</v>
      </c>
      <c r="E1730" s="6" t="str">
        <f>HYPERLINK("https://twitter.com/petrogustavo/status/1220796124753285120","1220796124753285120")</f>
        <v>1220796124753285120</v>
      </c>
      <c r="F1730" s="7" t="s">
        <v>32</v>
      </c>
      <c r="G1730" s="7">
        <v>3618098</v>
      </c>
      <c r="H1730" s="7">
        <v>2351</v>
      </c>
      <c r="I1730" s="7">
        <v>39</v>
      </c>
      <c r="J1730" s="7">
        <v>79</v>
      </c>
      <c r="K1730" s="7" t="s">
        <v>18</v>
      </c>
      <c r="L1730" s="8">
        <v>39987.315405092595</v>
      </c>
      <c r="M1730" s="9" t="s">
        <v>19</v>
      </c>
      <c r="N1730" s="9" t="s">
        <v>20</v>
      </c>
      <c r="O1730" s="6" t="str">
        <f>HYPERLINK("https://pbs.twimg.com/profile_images/962471262747529216/Uo8lOkRJ_normal.jpg","View")</f>
        <v>View</v>
      </c>
      <c r="P1730" s="7"/>
    </row>
    <row r="1731" spans="1:16">
      <c r="A1731" s="3">
        <v>43855.057986111111</v>
      </c>
      <c r="B1731" s="4" t="str">
        <f>HYPERLINK("https://twitter.com/petrogustavo","@petrogustavo")</f>
        <v>@petrogustavo</v>
      </c>
      <c r="C1731" s="5" t="s">
        <v>16</v>
      </c>
      <c r="D1731" s="5" t="s">
        <v>1702</v>
      </c>
      <c r="E1731" s="6" t="str">
        <f>HYPERLINK("https://twitter.com/petrogustavo/status/1220796789437145090","1220796789437145090")</f>
        <v>1220796789437145090</v>
      </c>
      <c r="F1731" s="7" t="s">
        <v>32</v>
      </c>
      <c r="G1731" s="7">
        <v>3618098</v>
      </c>
      <c r="H1731" s="7">
        <v>2351</v>
      </c>
      <c r="I1731" s="7">
        <v>33</v>
      </c>
      <c r="J1731" s="7">
        <v>89</v>
      </c>
      <c r="K1731" s="7" t="s">
        <v>18</v>
      </c>
      <c r="L1731" s="8">
        <v>39987.315405092595</v>
      </c>
      <c r="M1731" s="9" t="s">
        <v>19</v>
      </c>
      <c r="N1731" s="9" t="s">
        <v>20</v>
      </c>
      <c r="O1731" s="6" t="str">
        <f>HYPERLINK("https://pbs.twimg.com/profile_images/962471262747529216/Uo8lOkRJ_normal.jpg","View")</f>
        <v>View</v>
      </c>
      <c r="P1731" s="7"/>
    </row>
    <row r="1732" spans="1:16">
      <c r="A1732" s="3">
        <v>43855.069027777776</v>
      </c>
      <c r="B1732" s="4" t="str">
        <f>HYPERLINK("https://twitter.com/petrogustavo","@petrogustavo")</f>
        <v>@petrogustavo</v>
      </c>
      <c r="C1732" s="5" t="s">
        <v>16</v>
      </c>
      <c r="D1732" s="5" t="s">
        <v>1703</v>
      </c>
      <c r="E1732" s="6" t="str">
        <f>HYPERLINK("https://twitter.com/petrogustavo/status/1220800790287220737","1220800790287220737")</f>
        <v>1220800790287220737</v>
      </c>
      <c r="F1732" s="7" t="s">
        <v>32</v>
      </c>
      <c r="G1732" s="7">
        <v>3618098</v>
      </c>
      <c r="H1732" s="7">
        <v>2351</v>
      </c>
      <c r="I1732" s="7">
        <v>6</v>
      </c>
      <c r="J1732" s="7">
        <v>0</v>
      </c>
      <c r="K1732" s="7" t="s">
        <v>18</v>
      </c>
      <c r="L1732" s="8">
        <v>39987.315405092595</v>
      </c>
      <c r="M1732" s="9" t="s">
        <v>19</v>
      </c>
      <c r="N1732" s="9" t="s">
        <v>20</v>
      </c>
      <c r="O1732" s="6" t="str">
        <f>HYPERLINK("https://pbs.twimg.com/profile_images/962471262747529216/Uo8lOkRJ_normal.jpg","View")</f>
        <v>View</v>
      </c>
      <c r="P1732" s="7"/>
    </row>
    <row r="1733" spans="1:16">
      <c r="A1733" s="3">
        <v>43855.069444444445</v>
      </c>
      <c r="B1733" s="4" t="str">
        <f>HYPERLINK("https://twitter.com/petrogustavo","@petrogustavo")</f>
        <v>@petrogustavo</v>
      </c>
      <c r="C1733" s="5" t="s">
        <v>16</v>
      </c>
      <c r="D1733" s="5" t="s">
        <v>1704</v>
      </c>
      <c r="E1733" s="6" t="str">
        <f>HYPERLINK("https://twitter.com/petrogustavo/status/1220800941919821827","1220800941919821827")</f>
        <v>1220800941919821827</v>
      </c>
      <c r="F1733" s="7" t="s">
        <v>32</v>
      </c>
      <c r="G1733" s="7">
        <v>3618098</v>
      </c>
      <c r="H1733" s="7">
        <v>2351</v>
      </c>
      <c r="I1733" s="7">
        <v>28</v>
      </c>
      <c r="J1733" s="7">
        <v>0</v>
      </c>
      <c r="K1733" s="7" t="s">
        <v>18</v>
      </c>
      <c r="L1733" s="8">
        <v>39987.315405092595</v>
      </c>
      <c r="M1733" s="9" t="s">
        <v>19</v>
      </c>
      <c r="N1733" s="9" t="s">
        <v>20</v>
      </c>
      <c r="O1733" s="6" t="str">
        <f>HYPERLINK("https://pbs.twimg.com/profile_images/962471262747529216/Uo8lOkRJ_normal.jpg","View")</f>
        <v>View</v>
      </c>
      <c r="P1733" s="7"/>
    </row>
    <row r="1734" spans="1:16">
      <c r="A1734" s="3">
        <v>43855.070590277777</v>
      </c>
      <c r="B1734" s="4" t="str">
        <f>HYPERLINK("https://twitter.com/petrogustavo","@petrogustavo")</f>
        <v>@petrogustavo</v>
      </c>
      <c r="C1734" s="5" t="s">
        <v>16</v>
      </c>
      <c r="D1734" s="5" t="s">
        <v>1705</v>
      </c>
      <c r="E1734" s="6" t="str">
        <f>HYPERLINK("https://twitter.com/petrogustavo/status/1220801356870619136","1220801356870619136")</f>
        <v>1220801356870619136</v>
      </c>
      <c r="F1734" s="7" t="s">
        <v>32</v>
      </c>
      <c r="G1734" s="7">
        <v>3618098</v>
      </c>
      <c r="H1734" s="7">
        <v>2351</v>
      </c>
      <c r="I1734" s="7">
        <v>101</v>
      </c>
      <c r="J1734" s="7">
        <v>247</v>
      </c>
      <c r="K1734" s="7" t="s">
        <v>18</v>
      </c>
      <c r="L1734" s="8">
        <v>39987.315405092595</v>
      </c>
      <c r="M1734" s="9" t="s">
        <v>19</v>
      </c>
      <c r="N1734" s="9" t="s">
        <v>20</v>
      </c>
      <c r="O1734" s="6" t="str">
        <f>HYPERLINK("https://pbs.twimg.com/profile_images/962471262747529216/Uo8lOkRJ_normal.jpg","View")</f>
        <v>View</v>
      </c>
      <c r="P1734" s="7"/>
    </row>
    <row r="1735" spans="1:16">
      <c r="A1735" s="3">
        <v>43855.108090277776</v>
      </c>
      <c r="B1735" s="4" t="str">
        <f>HYPERLINK("https://twitter.com/petrogustavo","@petrogustavo")</f>
        <v>@petrogustavo</v>
      </c>
      <c r="C1735" s="5" t="s">
        <v>16</v>
      </c>
      <c r="D1735" s="5" t="s">
        <v>1706</v>
      </c>
      <c r="E1735" s="6" t="str">
        <f>HYPERLINK("https://twitter.com/petrogustavo/status/1220814947099299842","1220814947099299842")</f>
        <v>1220814947099299842</v>
      </c>
      <c r="F1735" s="7" t="s">
        <v>17</v>
      </c>
      <c r="G1735" s="7">
        <v>3618134</v>
      </c>
      <c r="H1735" s="7">
        <v>2351</v>
      </c>
      <c r="I1735" s="7">
        <v>88</v>
      </c>
      <c r="J1735" s="7">
        <v>213</v>
      </c>
      <c r="K1735" s="7" t="s">
        <v>18</v>
      </c>
      <c r="L1735" s="8">
        <v>39987.315405092595</v>
      </c>
      <c r="M1735" s="9" t="s">
        <v>19</v>
      </c>
      <c r="N1735" s="9" t="s">
        <v>20</v>
      </c>
      <c r="O1735" s="6" t="str">
        <f>HYPERLINK("https://pbs.twimg.com/profile_images/962471262747529216/Uo8lOkRJ_normal.jpg","View")</f>
        <v>View</v>
      </c>
      <c r="P1735" s="7"/>
    </row>
    <row r="1736" spans="1:16">
      <c r="A1736" s="3">
        <v>43855.1090162037</v>
      </c>
      <c r="B1736" s="4" t="str">
        <f>HYPERLINK("https://twitter.com/petrogustavo","@petrogustavo")</f>
        <v>@petrogustavo</v>
      </c>
      <c r="C1736" s="5" t="s">
        <v>16</v>
      </c>
      <c r="D1736" s="5" t="s">
        <v>1707</v>
      </c>
      <c r="E1736" s="6" t="str">
        <f>HYPERLINK("https://twitter.com/petrogustavo/status/1220815283818049536","1220815283818049536")</f>
        <v>1220815283818049536</v>
      </c>
      <c r="F1736" s="7" t="s">
        <v>17</v>
      </c>
      <c r="G1736" s="7">
        <v>3618134</v>
      </c>
      <c r="H1736" s="7">
        <v>2351</v>
      </c>
      <c r="I1736" s="7">
        <v>24</v>
      </c>
      <c r="J1736" s="7">
        <v>93</v>
      </c>
      <c r="K1736" s="7" t="s">
        <v>18</v>
      </c>
      <c r="L1736" s="8">
        <v>39987.315405092595</v>
      </c>
      <c r="M1736" s="9" t="s">
        <v>19</v>
      </c>
      <c r="N1736" s="9" t="s">
        <v>20</v>
      </c>
      <c r="O1736" s="6" t="str">
        <f>HYPERLINK("https://pbs.twimg.com/profile_images/962471262747529216/Uo8lOkRJ_normal.jpg","View")</f>
        <v>View</v>
      </c>
      <c r="P1736" s="7"/>
    </row>
    <row r="1737" spans="1:16">
      <c r="A1737" s="3">
        <v>43855.109131944446</v>
      </c>
      <c r="B1737" s="4" t="str">
        <f>HYPERLINK("https://twitter.com/petrogustavo","@petrogustavo")</f>
        <v>@petrogustavo</v>
      </c>
      <c r="C1737" s="5" t="s">
        <v>16</v>
      </c>
      <c r="D1737" s="5" t="s">
        <v>1708</v>
      </c>
      <c r="E1737" s="6" t="str">
        <f>HYPERLINK("https://twitter.com/petrogustavo/status/1220815324242743298","1220815324242743298")</f>
        <v>1220815324242743298</v>
      </c>
      <c r="F1737" s="7" t="s">
        <v>17</v>
      </c>
      <c r="G1737" s="7">
        <v>3618134</v>
      </c>
      <c r="H1737" s="7">
        <v>2351</v>
      </c>
      <c r="I1737" s="7">
        <v>51</v>
      </c>
      <c r="J1737" s="7">
        <v>0</v>
      </c>
      <c r="K1737" s="7" t="s">
        <v>18</v>
      </c>
      <c r="L1737" s="8">
        <v>39987.315405092595</v>
      </c>
      <c r="M1737" s="9" t="s">
        <v>19</v>
      </c>
      <c r="N1737" s="9" t="s">
        <v>20</v>
      </c>
      <c r="O1737" s="6" t="str">
        <f>HYPERLINK("https://pbs.twimg.com/profile_images/962471262747529216/Uo8lOkRJ_normal.jpg","View")</f>
        <v>View</v>
      </c>
      <c r="P1737" s="7"/>
    </row>
    <row r="1738" spans="1:16">
      <c r="A1738" s="3">
        <v>43855.113344907411</v>
      </c>
      <c r="B1738" s="4" t="str">
        <f>HYPERLINK("https://twitter.com/petrogustavo","@petrogustavo")</f>
        <v>@petrogustavo</v>
      </c>
      <c r="C1738" s="5" t="s">
        <v>16</v>
      </c>
      <c r="D1738" s="5" t="s">
        <v>1709</v>
      </c>
      <c r="E1738" s="6" t="str">
        <f>HYPERLINK("https://twitter.com/petrogustavo/status/1220816849492987905","1220816849492987905")</f>
        <v>1220816849492987905</v>
      </c>
      <c r="F1738" s="7" t="s">
        <v>17</v>
      </c>
      <c r="G1738" s="7">
        <v>3618134</v>
      </c>
      <c r="H1738" s="7">
        <v>2351</v>
      </c>
      <c r="I1738" s="7">
        <v>1858</v>
      </c>
      <c r="J1738" s="7">
        <v>0</v>
      </c>
      <c r="K1738" s="7" t="s">
        <v>18</v>
      </c>
      <c r="L1738" s="8">
        <v>39987.315405092595</v>
      </c>
      <c r="M1738" s="9" t="s">
        <v>19</v>
      </c>
      <c r="N1738" s="9" t="s">
        <v>20</v>
      </c>
      <c r="O1738" s="6" t="str">
        <f>HYPERLINK("https://pbs.twimg.com/profile_images/962471262747529216/Uo8lOkRJ_normal.jpg","View")</f>
        <v>View</v>
      </c>
      <c r="P1738" s="7"/>
    </row>
    <row r="1739" spans="1:16">
      <c r="A1739" s="3">
        <v>43855.113645833335</v>
      </c>
      <c r="B1739" s="4" t="str">
        <f>HYPERLINK("https://twitter.com/petrogustavo","@petrogustavo")</f>
        <v>@petrogustavo</v>
      </c>
      <c r="C1739" s="5" t="s">
        <v>16</v>
      </c>
      <c r="D1739" s="5" t="s">
        <v>1710</v>
      </c>
      <c r="E1739" s="6" t="str">
        <f>HYPERLINK("https://twitter.com/petrogustavo/status/1220816960268722177","1220816960268722177")</f>
        <v>1220816960268722177</v>
      </c>
      <c r="F1739" s="7" t="s">
        <v>17</v>
      </c>
      <c r="G1739" s="7">
        <v>3618134</v>
      </c>
      <c r="H1739" s="7">
        <v>2351</v>
      </c>
      <c r="I1739" s="7">
        <v>173</v>
      </c>
      <c r="J1739" s="7">
        <v>0</v>
      </c>
      <c r="K1739" s="7" t="s">
        <v>18</v>
      </c>
      <c r="L1739" s="8">
        <v>39987.315405092595</v>
      </c>
      <c r="M1739" s="9" t="s">
        <v>19</v>
      </c>
      <c r="N1739" s="9" t="s">
        <v>20</v>
      </c>
      <c r="O1739" s="6" t="str">
        <f>HYPERLINK("https://pbs.twimg.com/profile_images/962471262747529216/Uo8lOkRJ_normal.jpg","View")</f>
        <v>View</v>
      </c>
      <c r="P1739" s="7"/>
    </row>
    <row r="1740" spans="1:16">
      <c r="A1740" s="3">
        <v>43855.115300925929</v>
      </c>
      <c r="B1740" s="4" t="str">
        <f>HYPERLINK("https://twitter.com/petrogustavo","@petrogustavo")</f>
        <v>@petrogustavo</v>
      </c>
      <c r="C1740" s="5" t="s">
        <v>16</v>
      </c>
      <c r="D1740" s="5" t="s">
        <v>1711</v>
      </c>
      <c r="E1740" s="6" t="str">
        <f>HYPERLINK("https://twitter.com/petrogustavo/status/1220817560238743554","1220817560238743554")</f>
        <v>1220817560238743554</v>
      </c>
      <c r="F1740" s="7" t="s">
        <v>17</v>
      </c>
      <c r="G1740" s="7">
        <v>3618134</v>
      </c>
      <c r="H1740" s="7">
        <v>2351</v>
      </c>
      <c r="I1740" s="7">
        <v>33</v>
      </c>
      <c r="J1740" s="7">
        <v>75</v>
      </c>
      <c r="K1740" s="7" t="s">
        <v>18</v>
      </c>
      <c r="L1740" s="8">
        <v>39987.315405092595</v>
      </c>
      <c r="M1740" s="9" t="s">
        <v>19</v>
      </c>
      <c r="N1740" s="9" t="s">
        <v>20</v>
      </c>
      <c r="O1740" s="6" t="str">
        <f>HYPERLINK("https://pbs.twimg.com/profile_images/962471262747529216/Uo8lOkRJ_normal.jpg","View")</f>
        <v>View</v>
      </c>
      <c r="P1740" s="7"/>
    </row>
    <row r="1741" spans="1:16">
      <c r="A1741" s="3">
        <v>43855.15353009259</v>
      </c>
      <c r="B1741" s="4" t="str">
        <f>HYPERLINK("https://twitter.com/petrogustavo","@petrogustavo")</f>
        <v>@petrogustavo</v>
      </c>
      <c r="C1741" s="5" t="s">
        <v>16</v>
      </c>
      <c r="D1741" s="5" t="s">
        <v>1712</v>
      </c>
      <c r="E1741" s="6" t="str">
        <f>HYPERLINK("https://twitter.com/petrogustavo/status/1220831413928370176","1220831413928370176")</f>
        <v>1220831413928370176</v>
      </c>
      <c r="F1741" s="7" t="s">
        <v>32</v>
      </c>
      <c r="G1741" s="7">
        <v>3618144</v>
      </c>
      <c r="H1741" s="7">
        <v>2350</v>
      </c>
      <c r="I1741" s="7">
        <v>163</v>
      </c>
      <c r="J1741" s="7">
        <v>0</v>
      </c>
      <c r="K1741" s="7" t="s">
        <v>18</v>
      </c>
      <c r="L1741" s="8">
        <v>39987.315405092595</v>
      </c>
      <c r="M1741" s="9" t="s">
        <v>19</v>
      </c>
      <c r="N1741" s="9" t="s">
        <v>20</v>
      </c>
      <c r="O1741" s="6" t="str">
        <f>HYPERLINK("https://pbs.twimg.com/profile_images/962471262747529216/Uo8lOkRJ_normal.jpg","View")</f>
        <v>View</v>
      </c>
      <c r="P1741" s="7"/>
    </row>
    <row r="1742" spans="1:16">
      <c r="A1742" s="3">
        <v>43855.175983796296</v>
      </c>
      <c r="B1742" s="4" t="str">
        <f>HYPERLINK("https://twitter.com/petrogustavo","@petrogustavo")</f>
        <v>@petrogustavo</v>
      </c>
      <c r="C1742" s="5" t="s">
        <v>16</v>
      </c>
      <c r="D1742" s="5" t="s">
        <v>1713</v>
      </c>
      <c r="E1742" s="6" t="str">
        <f>HYPERLINK("https://twitter.com/petrogustavo/status/1220839550777425920","1220839550777425920")</f>
        <v>1220839550777425920</v>
      </c>
      <c r="F1742" s="7" t="s">
        <v>17</v>
      </c>
      <c r="G1742" s="7">
        <v>3618155</v>
      </c>
      <c r="H1742" s="7">
        <v>2350</v>
      </c>
      <c r="I1742" s="7">
        <v>24</v>
      </c>
      <c r="J1742" s="7">
        <v>38</v>
      </c>
      <c r="K1742" s="7" t="s">
        <v>18</v>
      </c>
      <c r="L1742" s="8">
        <v>39987.315405092595</v>
      </c>
      <c r="M1742" s="9" t="s">
        <v>19</v>
      </c>
      <c r="N1742" s="9" t="s">
        <v>20</v>
      </c>
      <c r="O1742" s="6" t="str">
        <f>HYPERLINK("https://pbs.twimg.com/profile_images/962471262747529216/Uo8lOkRJ_normal.jpg","View")</f>
        <v>View</v>
      </c>
      <c r="P1742" s="7"/>
    </row>
    <row r="1743" spans="1:16">
      <c r="A1743" s="3">
        <v>43855.178379629629</v>
      </c>
      <c r="B1743" s="4" t="str">
        <f>HYPERLINK("https://twitter.com/petrogustavo","@petrogustavo")</f>
        <v>@petrogustavo</v>
      </c>
      <c r="C1743" s="5" t="s">
        <v>16</v>
      </c>
      <c r="D1743" s="5" t="s">
        <v>1714</v>
      </c>
      <c r="E1743" s="6" t="str">
        <f>HYPERLINK("https://twitter.com/petrogustavo/status/1220840418314727424","1220840418314727424")</f>
        <v>1220840418314727424</v>
      </c>
      <c r="F1743" s="7" t="s">
        <v>17</v>
      </c>
      <c r="G1743" s="7">
        <v>3618155</v>
      </c>
      <c r="H1743" s="7">
        <v>2350</v>
      </c>
      <c r="I1743" s="7">
        <v>187</v>
      </c>
      <c r="J1743" s="7">
        <v>0</v>
      </c>
      <c r="K1743" s="7" t="s">
        <v>18</v>
      </c>
      <c r="L1743" s="8">
        <v>39987.315405092595</v>
      </c>
      <c r="M1743" s="9" t="s">
        <v>19</v>
      </c>
      <c r="N1743" s="9" t="s">
        <v>20</v>
      </c>
      <c r="O1743" s="6" t="str">
        <f>HYPERLINK("https://pbs.twimg.com/profile_images/962471262747529216/Uo8lOkRJ_normal.jpg","View")</f>
        <v>View</v>
      </c>
      <c r="P1743" s="7"/>
    </row>
    <row r="1744" spans="1:16">
      <c r="A1744" s="3">
        <v>43855.179074074069</v>
      </c>
      <c r="B1744" s="4" t="str">
        <f>HYPERLINK("https://twitter.com/petrogustavo","@petrogustavo")</f>
        <v>@petrogustavo</v>
      </c>
      <c r="C1744" s="5" t="s">
        <v>16</v>
      </c>
      <c r="D1744" s="5" t="s">
        <v>1715</v>
      </c>
      <c r="E1744" s="6" t="str">
        <f>HYPERLINK("https://twitter.com/petrogustavo/status/1220840669092220929","1220840669092220929")</f>
        <v>1220840669092220929</v>
      </c>
      <c r="F1744" s="7" t="s">
        <v>17</v>
      </c>
      <c r="G1744" s="7">
        <v>3618177</v>
      </c>
      <c r="H1744" s="7">
        <v>2350</v>
      </c>
      <c r="I1744" s="7">
        <v>396</v>
      </c>
      <c r="J1744" s="7">
        <v>0</v>
      </c>
      <c r="K1744" s="7" t="s">
        <v>18</v>
      </c>
      <c r="L1744" s="8">
        <v>39987.315405092595</v>
      </c>
      <c r="M1744" s="9" t="s">
        <v>19</v>
      </c>
      <c r="N1744" s="9" t="s">
        <v>20</v>
      </c>
      <c r="O1744" s="6" t="str">
        <f>HYPERLINK("https://pbs.twimg.com/profile_images/962471262747529216/Uo8lOkRJ_normal.jpg","View")</f>
        <v>View</v>
      </c>
      <c r="P1744" s="7"/>
    </row>
    <row r="1745" spans="1:16">
      <c r="A1745" s="3">
        <v>43855.181562500002</v>
      </c>
      <c r="B1745" s="4" t="str">
        <f>HYPERLINK("https://twitter.com/petrogustavo","@petrogustavo")</f>
        <v>@petrogustavo</v>
      </c>
      <c r="C1745" s="5" t="s">
        <v>16</v>
      </c>
      <c r="D1745" s="5" t="s">
        <v>1716</v>
      </c>
      <c r="E1745" s="6" t="str">
        <f>HYPERLINK("https://twitter.com/petrogustavo/status/1220841573602201600","1220841573602201600")</f>
        <v>1220841573602201600</v>
      </c>
      <c r="F1745" s="7" t="s">
        <v>17</v>
      </c>
      <c r="G1745" s="7">
        <v>3618177</v>
      </c>
      <c r="H1745" s="7">
        <v>2350</v>
      </c>
      <c r="I1745" s="7">
        <v>99</v>
      </c>
      <c r="J1745" s="7">
        <v>0</v>
      </c>
      <c r="K1745" s="7" t="s">
        <v>18</v>
      </c>
      <c r="L1745" s="8">
        <v>39987.315405092595</v>
      </c>
      <c r="M1745" s="9" t="s">
        <v>19</v>
      </c>
      <c r="N1745" s="9" t="s">
        <v>20</v>
      </c>
      <c r="O1745" s="6" t="str">
        <f>HYPERLINK("https://pbs.twimg.com/profile_images/962471262747529216/Uo8lOkRJ_normal.jpg","View")</f>
        <v>View</v>
      </c>
      <c r="P1745" s="7"/>
    </row>
    <row r="1746" spans="1:16">
      <c r="A1746" s="3">
        <v>43855.183969907404</v>
      </c>
      <c r="B1746" s="4" t="str">
        <f>HYPERLINK("https://twitter.com/petrogustavo","@petrogustavo")</f>
        <v>@petrogustavo</v>
      </c>
      <c r="C1746" s="5" t="s">
        <v>16</v>
      </c>
      <c r="D1746" s="5" t="s">
        <v>1717</v>
      </c>
      <c r="E1746" s="6" t="str">
        <f>HYPERLINK("https://twitter.com/petrogustavo/status/1220842445023404032","1220842445023404032")</f>
        <v>1220842445023404032</v>
      </c>
      <c r="F1746" s="7" t="s">
        <v>17</v>
      </c>
      <c r="G1746" s="7">
        <v>3618177</v>
      </c>
      <c r="H1746" s="7">
        <v>2350</v>
      </c>
      <c r="I1746" s="7">
        <v>183</v>
      </c>
      <c r="J1746" s="7">
        <v>0</v>
      </c>
      <c r="K1746" s="7" t="s">
        <v>18</v>
      </c>
      <c r="L1746" s="8">
        <v>39987.315405092595</v>
      </c>
      <c r="M1746" s="9" t="s">
        <v>19</v>
      </c>
      <c r="N1746" s="9" t="s">
        <v>20</v>
      </c>
      <c r="O1746" s="6" t="str">
        <f>HYPERLINK("https://pbs.twimg.com/profile_images/962471262747529216/Uo8lOkRJ_normal.jpg","View")</f>
        <v>View</v>
      </c>
      <c r="P1746" s="7"/>
    </row>
    <row r="1747" spans="1:16">
      <c r="A1747" s="3">
        <v>43855.187094907407</v>
      </c>
      <c r="B1747" s="4" t="str">
        <f>HYPERLINK("https://twitter.com/petrogustavo","@petrogustavo")</f>
        <v>@petrogustavo</v>
      </c>
      <c r="C1747" s="5" t="s">
        <v>16</v>
      </c>
      <c r="D1747" s="5" t="s">
        <v>1718</v>
      </c>
      <c r="E1747" s="6" t="str">
        <f>HYPERLINK("https://twitter.com/petrogustavo/status/1220843575224741890","1220843575224741890")</f>
        <v>1220843575224741890</v>
      </c>
      <c r="F1747" s="7" t="s">
        <v>17</v>
      </c>
      <c r="G1747" s="7">
        <v>3618177</v>
      </c>
      <c r="H1747" s="7">
        <v>2350</v>
      </c>
      <c r="I1747" s="7">
        <v>59</v>
      </c>
      <c r="J1747" s="7">
        <v>0</v>
      </c>
      <c r="K1747" s="7" t="s">
        <v>18</v>
      </c>
      <c r="L1747" s="8">
        <v>39987.315405092595</v>
      </c>
      <c r="M1747" s="9" t="s">
        <v>19</v>
      </c>
      <c r="N1747" s="9" t="s">
        <v>20</v>
      </c>
      <c r="O1747" s="6" t="str">
        <f>HYPERLINK("https://pbs.twimg.com/profile_images/962471262747529216/Uo8lOkRJ_normal.jpg","View")</f>
        <v>View</v>
      </c>
      <c r="P1747" s="7"/>
    </row>
    <row r="1748" spans="1:16">
      <c r="A1748" s="3">
        <v>43855.200208333335</v>
      </c>
      <c r="B1748" s="4" t="str">
        <f>HYPERLINK("https://twitter.com/petrogustavo","@petrogustavo")</f>
        <v>@petrogustavo</v>
      </c>
      <c r="C1748" s="5" t="s">
        <v>16</v>
      </c>
      <c r="D1748" s="5" t="s">
        <v>1719</v>
      </c>
      <c r="E1748" s="6" t="str">
        <f>HYPERLINK("https://twitter.com/petrogustavo/status/1220848327455133702","1220848327455133702")</f>
        <v>1220848327455133702</v>
      </c>
      <c r="F1748" s="7" t="s">
        <v>17</v>
      </c>
      <c r="G1748" s="7">
        <v>3618192</v>
      </c>
      <c r="H1748" s="7">
        <v>2350</v>
      </c>
      <c r="I1748" s="7">
        <v>501</v>
      </c>
      <c r="J1748" s="7">
        <v>0</v>
      </c>
      <c r="K1748" s="7" t="s">
        <v>18</v>
      </c>
      <c r="L1748" s="8">
        <v>39987.315405092595</v>
      </c>
      <c r="M1748" s="9" t="s">
        <v>19</v>
      </c>
      <c r="N1748" s="9" t="s">
        <v>20</v>
      </c>
      <c r="O1748" s="6" t="str">
        <f>HYPERLINK("https://pbs.twimg.com/profile_images/962471262747529216/Uo8lOkRJ_normal.jpg","View")</f>
        <v>View</v>
      </c>
      <c r="P1748" s="7"/>
    </row>
    <row r="1749" spans="1:16">
      <c r="A1749" s="3">
        <v>43855.210543981477</v>
      </c>
      <c r="B1749" s="4" t="str">
        <f>HYPERLINK("https://twitter.com/petrogustavo","@petrogustavo")</f>
        <v>@petrogustavo</v>
      </c>
      <c r="C1749" s="5" t="s">
        <v>16</v>
      </c>
      <c r="D1749" s="5" t="s">
        <v>1720</v>
      </c>
      <c r="E1749" s="6" t="str">
        <f>HYPERLINK("https://twitter.com/petrogustavo/status/1220852074902179841","1220852074902179841")</f>
        <v>1220852074902179841</v>
      </c>
      <c r="F1749" s="7" t="s">
        <v>17</v>
      </c>
      <c r="G1749" s="7">
        <v>3618192</v>
      </c>
      <c r="H1749" s="7">
        <v>2350</v>
      </c>
      <c r="I1749" s="7">
        <v>165</v>
      </c>
      <c r="J1749" s="7">
        <v>0</v>
      </c>
      <c r="K1749" s="7" t="s">
        <v>18</v>
      </c>
      <c r="L1749" s="8">
        <v>39987.315405092595</v>
      </c>
      <c r="M1749" s="9" t="s">
        <v>19</v>
      </c>
      <c r="N1749" s="9" t="s">
        <v>20</v>
      </c>
      <c r="O1749" s="6" t="str">
        <f>HYPERLINK("https://pbs.twimg.com/profile_images/962471262747529216/Uo8lOkRJ_normal.jpg","View")</f>
        <v>View</v>
      </c>
      <c r="P1749" s="7"/>
    </row>
    <row r="1750" spans="1:16">
      <c r="A1750" s="3">
        <v>43855.212199074071</v>
      </c>
      <c r="B1750" s="4" t="str">
        <f>HYPERLINK("https://twitter.com/petrogustavo","@petrogustavo")</f>
        <v>@petrogustavo</v>
      </c>
      <c r="C1750" s="5" t="s">
        <v>16</v>
      </c>
      <c r="D1750" s="5" t="s">
        <v>1721</v>
      </c>
      <c r="E1750" s="6" t="str">
        <f>HYPERLINK("https://twitter.com/petrogustavo/status/1220852675153141761","1220852675153141761")</f>
        <v>1220852675153141761</v>
      </c>
      <c r="F1750" s="7" t="s">
        <v>17</v>
      </c>
      <c r="G1750" s="7">
        <v>3618192</v>
      </c>
      <c r="H1750" s="7">
        <v>2350</v>
      </c>
      <c r="I1750" s="7">
        <v>272</v>
      </c>
      <c r="J1750" s="7">
        <v>0</v>
      </c>
      <c r="K1750" s="7" t="s">
        <v>18</v>
      </c>
      <c r="L1750" s="8">
        <v>39987.315405092595</v>
      </c>
      <c r="M1750" s="9" t="s">
        <v>19</v>
      </c>
      <c r="N1750" s="9" t="s">
        <v>20</v>
      </c>
      <c r="O1750" s="6" t="str">
        <f>HYPERLINK("https://pbs.twimg.com/profile_images/962471262747529216/Uo8lOkRJ_normal.jpg","View")</f>
        <v>View</v>
      </c>
      <c r="P1750" s="7"/>
    </row>
    <row r="1751" spans="1:16">
      <c r="A1751" s="3">
        <v>43855.751979166671</v>
      </c>
      <c r="B1751" s="4" t="str">
        <f>HYPERLINK("https://twitter.com/petrogustavo","@petrogustavo")</f>
        <v>@petrogustavo</v>
      </c>
      <c r="C1751" s="5" t="s">
        <v>16</v>
      </c>
      <c r="D1751" s="5" t="s">
        <v>1722</v>
      </c>
      <c r="E1751" s="6" t="str">
        <f>HYPERLINK("https://twitter.com/petrogustavo/status/1221048283939987458","1221048283939987458")</f>
        <v>1221048283939987458</v>
      </c>
      <c r="F1751" s="7" t="s">
        <v>17</v>
      </c>
      <c r="G1751" s="7">
        <v>3618500</v>
      </c>
      <c r="H1751" s="7">
        <v>2351</v>
      </c>
      <c r="I1751" s="7">
        <v>351</v>
      </c>
      <c r="J1751" s="7">
        <v>545</v>
      </c>
      <c r="K1751" s="7" t="s">
        <v>18</v>
      </c>
      <c r="L1751" s="8">
        <v>39987.315405092595</v>
      </c>
      <c r="M1751" s="9" t="s">
        <v>19</v>
      </c>
      <c r="N1751" s="9" t="s">
        <v>20</v>
      </c>
      <c r="O1751" s="6" t="str">
        <f>HYPERLINK("https://pbs.twimg.com/profile_images/962471262747529216/Uo8lOkRJ_normal.jpg","View")</f>
        <v>View</v>
      </c>
      <c r="P1751" s="7"/>
    </row>
    <row r="1752" spans="1:16">
      <c r="A1752" s="3">
        <v>43855.758935185186</v>
      </c>
      <c r="B1752" s="4" t="str">
        <f>HYPERLINK("https://twitter.com/petrogustavo","@petrogustavo")</f>
        <v>@petrogustavo</v>
      </c>
      <c r="C1752" s="5" t="s">
        <v>16</v>
      </c>
      <c r="D1752" s="5" t="s">
        <v>1723</v>
      </c>
      <c r="E1752" s="6" t="str">
        <f>HYPERLINK("https://twitter.com/petrogustavo/status/1221050805295382530","1221050805295382530")</f>
        <v>1221050805295382530</v>
      </c>
      <c r="F1752" s="7" t="s">
        <v>17</v>
      </c>
      <c r="G1752" s="7">
        <v>3618500</v>
      </c>
      <c r="H1752" s="7">
        <v>2351</v>
      </c>
      <c r="I1752" s="7">
        <v>57</v>
      </c>
      <c r="J1752" s="7">
        <v>0</v>
      </c>
      <c r="K1752" s="7" t="s">
        <v>18</v>
      </c>
      <c r="L1752" s="8">
        <v>39987.315405092595</v>
      </c>
      <c r="M1752" s="9" t="s">
        <v>19</v>
      </c>
      <c r="N1752" s="9" t="s">
        <v>20</v>
      </c>
      <c r="O1752" s="6" t="str">
        <f>HYPERLINK("https://pbs.twimg.com/profile_images/962471262747529216/Uo8lOkRJ_normal.jpg","View")</f>
        <v>View</v>
      </c>
      <c r="P1752" s="7"/>
    </row>
    <row r="1753" spans="1:16">
      <c r="A1753" s="3">
        <v>43855.760925925926</v>
      </c>
      <c r="B1753" s="4" t="str">
        <f>HYPERLINK("https://twitter.com/petrogustavo","@petrogustavo")</f>
        <v>@petrogustavo</v>
      </c>
      <c r="C1753" s="5" t="s">
        <v>16</v>
      </c>
      <c r="D1753" s="5" t="s">
        <v>1724</v>
      </c>
      <c r="E1753" s="6" t="str">
        <f>HYPERLINK("https://twitter.com/petrogustavo/status/1221051527034482688","1221051527034482688")</f>
        <v>1221051527034482688</v>
      </c>
      <c r="F1753" s="7" t="s">
        <v>17</v>
      </c>
      <c r="G1753" s="7">
        <v>3618500</v>
      </c>
      <c r="H1753" s="7">
        <v>2351</v>
      </c>
      <c r="I1753" s="7">
        <v>330</v>
      </c>
      <c r="J1753" s="7">
        <v>0</v>
      </c>
      <c r="K1753" s="7" t="s">
        <v>18</v>
      </c>
      <c r="L1753" s="8">
        <v>39987.315405092595</v>
      </c>
      <c r="M1753" s="9" t="s">
        <v>19</v>
      </c>
      <c r="N1753" s="9" t="s">
        <v>20</v>
      </c>
      <c r="O1753" s="6" t="str">
        <f>HYPERLINK("https://pbs.twimg.com/profile_images/962471262747529216/Uo8lOkRJ_normal.jpg","View")</f>
        <v>View</v>
      </c>
      <c r="P1753" s="7"/>
    </row>
    <row r="1754" spans="1:16">
      <c r="A1754" s="3">
        <v>43855.766539351855</v>
      </c>
      <c r="B1754" s="4" t="str">
        <f>HYPERLINK("https://twitter.com/petrogustavo","@petrogustavo")</f>
        <v>@petrogustavo</v>
      </c>
      <c r="C1754" s="5" t="s">
        <v>16</v>
      </c>
      <c r="D1754" s="5" t="s">
        <v>1725</v>
      </c>
      <c r="E1754" s="6" t="str">
        <f>HYPERLINK("https://twitter.com/petrogustavo/status/1221053561339027456","1221053561339027456")</f>
        <v>1221053561339027456</v>
      </c>
      <c r="F1754" s="7" t="s">
        <v>17</v>
      </c>
      <c r="G1754" s="7">
        <v>3618500</v>
      </c>
      <c r="H1754" s="7">
        <v>2351</v>
      </c>
      <c r="I1754" s="7">
        <v>135</v>
      </c>
      <c r="J1754" s="7">
        <v>212</v>
      </c>
      <c r="K1754" s="7" t="s">
        <v>18</v>
      </c>
      <c r="L1754" s="8">
        <v>39987.315405092595</v>
      </c>
      <c r="M1754" s="9" t="s">
        <v>19</v>
      </c>
      <c r="N1754" s="9" t="s">
        <v>20</v>
      </c>
      <c r="O1754" s="6" t="str">
        <f>HYPERLINK("https://pbs.twimg.com/profile_images/962471262747529216/Uo8lOkRJ_normal.jpg","View")</f>
        <v>View</v>
      </c>
      <c r="P1754" s="7"/>
    </row>
    <row r="1755" spans="1:16">
      <c r="A1755" s="3">
        <v>43855.773460648154</v>
      </c>
      <c r="B1755" s="4" t="str">
        <f>HYPERLINK("https://twitter.com/petrogustavo","@petrogustavo")</f>
        <v>@petrogustavo</v>
      </c>
      <c r="C1755" s="5" t="s">
        <v>16</v>
      </c>
      <c r="D1755" s="5" t="s">
        <v>1726</v>
      </c>
      <c r="E1755" s="6" t="str">
        <f>HYPERLINK("https://twitter.com/petrogustavo/status/1221056067318296577","1221056067318296577")</f>
        <v>1221056067318296577</v>
      </c>
      <c r="F1755" s="7" t="s">
        <v>17</v>
      </c>
      <c r="G1755" s="7">
        <v>3618500</v>
      </c>
      <c r="H1755" s="7">
        <v>2351</v>
      </c>
      <c r="I1755" s="7">
        <v>123</v>
      </c>
      <c r="J1755" s="7">
        <v>181</v>
      </c>
      <c r="K1755" s="7" t="s">
        <v>18</v>
      </c>
      <c r="L1755" s="8">
        <v>39987.315405092595</v>
      </c>
      <c r="M1755" s="9" t="s">
        <v>19</v>
      </c>
      <c r="N1755" s="9" t="s">
        <v>20</v>
      </c>
      <c r="O1755" s="6" t="str">
        <f>HYPERLINK("https://pbs.twimg.com/profile_images/962471262747529216/Uo8lOkRJ_normal.jpg","View")</f>
        <v>View</v>
      </c>
      <c r="P1755" s="7"/>
    </row>
    <row r="1756" spans="1:16">
      <c r="A1756" s="3">
        <v>43855.782187500001</v>
      </c>
      <c r="B1756" s="4" t="str">
        <f>HYPERLINK("https://twitter.com/petrogustavo","@petrogustavo")</f>
        <v>@petrogustavo</v>
      </c>
      <c r="C1756" s="5" t="s">
        <v>16</v>
      </c>
      <c r="D1756" s="5" t="s">
        <v>1727</v>
      </c>
      <c r="E1756" s="6" t="str">
        <f>HYPERLINK("https://twitter.com/petrogustavo/status/1221059229366341632","1221059229366341632")</f>
        <v>1221059229366341632</v>
      </c>
      <c r="F1756" s="7" t="s">
        <v>17</v>
      </c>
      <c r="G1756" s="7">
        <v>3618500</v>
      </c>
      <c r="H1756" s="7">
        <v>2351</v>
      </c>
      <c r="I1756" s="7">
        <v>6</v>
      </c>
      <c r="J1756" s="7">
        <v>12</v>
      </c>
      <c r="K1756" s="7" t="s">
        <v>18</v>
      </c>
      <c r="L1756" s="8">
        <v>39987.315405092595</v>
      </c>
      <c r="M1756" s="9" t="s">
        <v>19</v>
      </c>
      <c r="N1756" s="9" t="s">
        <v>20</v>
      </c>
      <c r="O1756" s="6" t="str">
        <f>HYPERLINK("https://pbs.twimg.com/profile_images/962471262747529216/Uo8lOkRJ_normal.jpg","View")</f>
        <v>View</v>
      </c>
      <c r="P1756" s="7"/>
    </row>
    <row r="1757" spans="1:16">
      <c r="A1757" s="3">
        <v>43855.798344907409</v>
      </c>
      <c r="B1757" s="4" t="str">
        <f>HYPERLINK("https://twitter.com/petrogustavo","@petrogustavo")</f>
        <v>@petrogustavo</v>
      </c>
      <c r="C1757" s="5" t="s">
        <v>16</v>
      </c>
      <c r="D1757" s="5" t="s">
        <v>1728</v>
      </c>
      <c r="E1757" s="6" t="str">
        <f>HYPERLINK("https://twitter.com/petrogustavo/status/1221065085138935808","1221065085138935808")</f>
        <v>1221065085138935808</v>
      </c>
      <c r="F1757" s="7" t="s">
        <v>17</v>
      </c>
      <c r="G1757" s="7">
        <v>3618499</v>
      </c>
      <c r="H1757" s="7">
        <v>2351</v>
      </c>
      <c r="I1757" s="7">
        <v>1101</v>
      </c>
      <c r="J1757" s="7">
        <v>0</v>
      </c>
      <c r="K1757" s="7" t="s">
        <v>18</v>
      </c>
      <c r="L1757" s="8">
        <v>39987.315405092595</v>
      </c>
      <c r="M1757" s="9" t="s">
        <v>19</v>
      </c>
      <c r="N1757" s="9" t="s">
        <v>20</v>
      </c>
      <c r="O1757" s="6" t="str">
        <f>HYPERLINK("https://pbs.twimg.com/profile_images/962471262747529216/Uo8lOkRJ_normal.jpg","View")</f>
        <v>View</v>
      </c>
      <c r="P1757" s="7"/>
    </row>
    <row r="1758" spans="1:16">
      <c r="A1758" s="3">
        <v>43855.80569444444</v>
      </c>
      <c r="B1758" s="4" t="str">
        <f>HYPERLINK("https://twitter.com/petrogustavo","@petrogustavo")</f>
        <v>@petrogustavo</v>
      </c>
      <c r="C1758" s="5" t="s">
        <v>16</v>
      </c>
      <c r="D1758" s="5" t="s">
        <v>1729</v>
      </c>
      <c r="E1758" s="6" t="str">
        <f>HYPERLINK("https://twitter.com/petrogustavo/status/1221067751189553152","1221067751189553152")</f>
        <v>1221067751189553152</v>
      </c>
      <c r="F1758" s="7" t="s">
        <v>17</v>
      </c>
      <c r="G1758" s="7">
        <v>3618511</v>
      </c>
      <c r="H1758" s="7">
        <v>2351</v>
      </c>
      <c r="I1758" s="7">
        <v>123</v>
      </c>
      <c r="J1758" s="7">
        <v>255</v>
      </c>
      <c r="K1758" s="7" t="s">
        <v>18</v>
      </c>
      <c r="L1758" s="8">
        <v>39987.315405092595</v>
      </c>
      <c r="M1758" s="9" t="s">
        <v>19</v>
      </c>
      <c r="N1758" s="9" t="s">
        <v>20</v>
      </c>
      <c r="O1758" s="6" t="str">
        <f>HYPERLINK("https://pbs.twimg.com/profile_images/962471262747529216/Uo8lOkRJ_normal.jpg","View")</f>
        <v>View</v>
      </c>
      <c r="P1758" s="7"/>
    </row>
    <row r="1759" spans="1:16">
      <c r="A1759" s="3">
        <v>43855.807453703703</v>
      </c>
      <c r="B1759" s="4" t="str">
        <f>HYPERLINK("https://twitter.com/petrogustavo","@petrogustavo")</f>
        <v>@petrogustavo</v>
      </c>
      <c r="C1759" s="5" t="s">
        <v>16</v>
      </c>
      <c r="D1759" s="5" t="s">
        <v>1730</v>
      </c>
      <c r="E1759" s="6" t="str">
        <f>HYPERLINK("https://twitter.com/petrogustavo/status/1221068386328772608","1221068386328772608")</f>
        <v>1221068386328772608</v>
      </c>
      <c r="F1759" s="7" t="s">
        <v>17</v>
      </c>
      <c r="G1759" s="7">
        <v>3618511</v>
      </c>
      <c r="H1759" s="7">
        <v>2351</v>
      </c>
      <c r="I1759" s="7">
        <v>115</v>
      </c>
      <c r="J1759" s="7">
        <v>641</v>
      </c>
      <c r="K1759" s="7" t="s">
        <v>18</v>
      </c>
      <c r="L1759" s="8">
        <v>39987.315405092595</v>
      </c>
      <c r="M1759" s="9" t="s">
        <v>19</v>
      </c>
      <c r="N1759" s="9" t="s">
        <v>20</v>
      </c>
      <c r="O1759" s="6" t="str">
        <f>HYPERLINK("https://pbs.twimg.com/profile_images/962471262747529216/Uo8lOkRJ_normal.jpg","View")</f>
        <v>View</v>
      </c>
      <c r="P1759" s="7"/>
    </row>
    <row r="1760" spans="1:16">
      <c r="A1760" s="3">
        <v>43855.808564814812</v>
      </c>
      <c r="B1760" s="4" t="str">
        <f>HYPERLINK("https://twitter.com/petrogustavo","@petrogustavo")</f>
        <v>@petrogustavo</v>
      </c>
      <c r="C1760" s="5" t="s">
        <v>16</v>
      </c>
      <c r="D1760" s="5" t="s">
        <v>1731</v>
      </c>
      <c r="E1760" s="6" t="str">
        <f>HYPERLINK("https://twitter.com/petrogustavo/status/1221068790663991296","1221068790663991296")</f>
        <v>1221068790663991296</v>
      </c>
      <c r="F1760" s="7" t="s">
        <v>17</v>
      </c>
      <c r="G1760" s="7">
        <v>3618511</v>
      </c>
      <c r="H1760" s="7">
        <v>2351</v>
      </c>
      <c r="I1760" s="7">
        <v>118</v>
      </c>
      <c r="J1760" s="7">
        <v>400</v>
      </c>
      <c r="K1760" s="7" t="s">
        <v>18</v>
      </c>
      <c r="L1760" s="8">
        <v>39987.315405092595</v>
      </c>
      <c r="M1760" s="9" t="s">
        <v>19</v>
      </c>
      <c r="N1760" s="9" t="s">
        <v>20</v>
      </c>
      <c r="O1760" s="6" t="str">
        <f>HYPERLINK("https://pbs.twimg.com/profile_images/962471262747529216/Uo8lOkRJ_normal.jpg","View")</f>
        <v>View</v>
      </c>
      <c r="P1760" s="7"/>
    </row>
    <row r="1761" spans="1:16">
      <c r="A1761" s="3">
        <v>43855.813125000001</v>
      </c>
      <c r="B1761" s="4" t="str">
        <f>HYPERLINK("https://twitter.com/petrogustavo","@petrogustavo")</f>
        <v>@petrogustavo</v>
      </c>
      <c r="C1761" s="5" t="s">
        <v>16</v>
      </c>
      <c r="D1761" s="5" t="s">
        <v>1732</v>
      </c>
      <c r="E1761" s="6" t="str">
        <f>HYPERLINK("https://twitter.com/petrogustavo/status/1221070442309525504","1221070442309525504")</f>
        <v>1221070442309525504</v>
      </c>
      <c r="F1761" s="7" t="s">
        <v>17</v>
      </c>
      <c r="G1761" s="7">
        <v>3618511</v>
      </c>
      <c r="H1761" s="7">
        <v>2351</v>
      </c>
      <c r="I1761" s="7">
        <v>42</v>
      </c>
      <c r="J1761" s="7">
        <v>103</v>
      </c>
      <c r="K1761" s="7" t="s">
        <v>18</v>
      </c>
      <c r="L1761" s="8">
        <v>39987.315405092595</v>
      </c>
      <c r="M1761" s="9" t="s">
        <v>19</v>
      </c>
      <c r="N1761" s="9" t="s">
        <v>20</v>
      </c>
      <c r="O1761" s="6" t="str">
        <f>HYPERLINK("https://pbs.twimg.com/profile_images/962471262747529216/Uo8lOkRJ_normal.jpg","View")</f>
        <v>View</v>
      </c>
      <c r="P1761" s="7"/>
    </row>
    <row r="1762" spans="1:16">
      <c r="A1762" s="3">
        <v>43855.822685185187</v>
      </c>
      <c r="B1762" s="4" t="str">
        <f>HYPERLINK("https://twitter.com/petrogustavo","@petrogustavo")</f>
        <v>@petrogustavo</v>
      </c>
      <c r="C1762" s="5" t="s">
        <v>16</v>
      </c>
      <c r="D1762" s="5" t="s">
        <v>1733</v>
      </c>
      <c r="E1762" s="6" t="str">
        <f>HYPERLINK("https://twitter.com/petrogustavo/status/1221073904975917057","1221073904975917057")</f>
        <v>1221073904975917057</v>
      </c>
      <c r="F1762" s="7" t="s">
        <v>17</v>
      </c>
      <c r="G1762" s="7">
        <v>3618511</v>
      </c>
      <c r="H1762" s="7">
        <v>2351</v>
      </c>
      <c r="I1762" s="7">
        <v>489</v>
      </c>
      <c r="J1762" s="7">
        <v>0</v>
      </c>
      <c r="K1762" s="7" t="s">
        <v>18</v>
      </c>
      <c r="L1762" s="8">
        <v>39987.315405092595</v>
      </c>
      <c r="M1762" s="9" t="s">
        <v>19</v>
      </c>
      <c r="N1762" s="9" t="s">
        <v>20</v>
      </c>
      <c r="O1762" s="6" t="str">
        <f>HYPERLINK("https://pbs.twimg.com/profile_images/962471262747529216/Uo8lOkRJ_normal.jpg","View")</f>
        <v>View</v>
      </c>
      <c r="P1762" s="7"/>
    </row>
    <row r="1763" spans="1:16">
      <c r="A1763" s="3">
        <v>43855.834606481483</v>
      </c>
      <c r="B1763" s="4" t="str">
        <f>HYPERLINK("https://twitter.com/petrogustavo","@petrogustavo")</f>
        <v>@petrogustavo</v>
      </c>
      <c r="C1763" s="5" t="s">
        <v>16</v>
      </c>
      <c r="D1763" s="5" t="s">
        <v>1734</v>
      </c>
      <c r="E1763" s="6" t="str">
        <f>HYPERLINK("https://twitter.com/petrogustavo/status/1221078225197195264","1221078225197195264")</f>
        <v>1221078225197195264</v>
      </c>
      <c r="F1763" s="7" t="s">
        <v>17</v>
      </c>
      <c r="G1763" s="7">
        <v>3618536</v>
      </c>
      <c r="H1763" s="7">
        <v>2351</v>
      </c>
      <c r="I1763" s="7">
        <v>1094</v>
      </c>
      <c r="J1763" s="7">
        <v>0</v>
      </c>
      <c r="K1763" s="7" t="s">
        <v>18</v>
      </c>
      <c r="L1763" s="8">
        <v>39987.315405092595</v>
      </c>
      <c r="M1763" s="9" t="s">
        <v>19</v>
      </c>
      <c r="N1763" s="9" t="s">
        <v>20</v>
      </c>
      <c r="O1763" s="6" t="str">
        <f>HYPERLINK("https://pbs.twimg.com/profile_images/962471262747529216/Uo8lOkRJ_normal.jpg","View")</f>
        <v>View</v>
      </c>
      <c r="P1763" s="7"/>
    </row>
    <row r="1764" spans="1:16">
      <c r="A1764" s="3">
        <v>43855.836770833332</v>
      </c>
      <c r="B1764" s="4" t="str">
        <f>HYPERLINK("https://twitter.com/petrogustavo","@petrogustavo")</f>
        <v>@petrogustavo</v>
      </c>
      <c r="C1764" s="5" t="s">
        <v>16</v>
      </c>
      <c r="D1764" s="5" t="s">
        <v>1735</v>
      </c>
      <c r="E1764" s="6" t="str">
        <f>HYPERLINK("https://twitter.com/petrogustavo/status/1221079012929429506","1221079012929429506")</f>
        <v>1221079012929429506</v>
      </c>
      <c r="F1764" s="7" t="s">
        <v>17</v>
      </c>
      <c r="G1764" s="7">
        <v>3618536</v>
      </c>
      <c r="H1764" s="7">
        <v>2351</v>
      </c>
      <c r="I1764" s="7">
        <v>76</v>
      </c>
      <c r="J1764" s="7">
        <v>261</v>
      </c>
      <c r="K1764" s="7" t="s">
        <v>18</v>
      </c>
      <c r="L1764" s="8">
        <v>39987.315405092595</v>
      </c>
      <c r="M1764" s="9" t="s">
        <v>19</v>
      </c>
      <c r="N1764" s="9" t="s">
        <v>20</v>
      </c>
      <c r="O1764" s="6" t="str">
        <f>HYPERLINK("https://pbs.twimg.com/profile_images/962471262747529216/Uo8lOkRJ_normal.jpg","View")</f>
        <v>View</v>
      </c>
      <c r="P1764" s="7"/>
    </row>
    <row r="1765" spans="1:16">
      <c r="A1765" s="3">
        <v>43855.954537037032</v>
      </c>
      <c r="B1765" s="4" t="str">
        <f>HYPERLINK("https://twitter.com/petrogustavo","@petrogustavo")</f>
        <v>@petrogustavo</v>
      </c>
      <c r="C1765" s="5" t="s">
        <v>16</v>
      </c>
      <c r="D1765" s="5" t="s">
        <v>1736</v>
      </c>
      <c r="E1765" s="6" t="str">
        <f>HYPERLINK("https://twitter.com/petrogustavo/status/1221121686868779008","1221121686868779008")</f>
        <v>1221121686868779008</v>
      </c>
      <c r="F1765" s="7" t="s">
        <v>17</v>
      </c>
      <c r="G1765" s="7">
        <v>3618666</v>
      </c>
      <c r="H1765" s="7">
        <v>2351</v>
      </c>
      <c r="I1765" s="7">
        <v>179</v>
      </c>
      <c r="J1765" s="7">
        <v>0</v>
      </c>
      <c r="K1765" s="7" t="s">
        <v>18</v>
      </c>
      <c r="L1765" s="8">
        <v>39987.315405092595</v>
      </c>
      <c r="M1765" s="9" t="s">
        <v>19</v>
      </c>
      <c r="N1765" s="9" t="s">
        <v>20</v>
      </c>
      <c r="O1765" s="6" t="str">
        <f>HYPERLINK("https://pbs.twimg.com/profile_images/962471262747529216/Uo8lOkRJ_normal.jpg","View")</f>
        <v>View</v>
      </c>
      <c r="P1765" s="7"/>
    </row>
    <row r="1766" spans="1:16">
      <c r="A1766" s="3">
        <v>43855.960289351853</v>
      </c>
      <c r="B1766" s="4" t="str">
        <f>HYPERLINK("https://twitter.com/petrogustavo","@petrogustavo")</f>
        <v>@petrogustavo</v>
      </c>
      <c r="C1766" s="5" t="s">
        <v>16</v>
      </c>
      <c r="D1766" s="5" t="s">
        <v>1737</v>
      </c>
      <c r="E1766" s="6" t="str">
        <f>HYPERLINK("https://twitter.com/petrogustavo/status/1221123774902427648","1221123774902427648")</f>
        <v>1221123774902427648</v>
      </c>
      <c r="F1766" s="7" t="s">
        <v>17</v>
      </c>
      <c r="G1766" s="7">
        <v>3618666</v>
      </c>
      <c r="H1766" s="7">
        <v>2351</v>
      </c>
      <c r="I1766" s="7">
        <v>209</v>
      </c>
      <c r="J1766" s="7">
        <v>360</v>
      </c>
      <c r="K1766" s="7" t="s">
        <v>18</v>
      </c>
      <c r="L1766" s="8">
        <v>39987.315405092595</v>
      </c>
      <c r="M1766" s="9" t="s">
        <v>19</v>
      </c>
      <c r="N1766" s="9" t="s">
        <v>20</v>
      </c>
      <c r="O1766" s="6" t="str">
        <f>HYPERLINK("https://pbs.twimg.com/profile_images/962471262747529216/Uo8lOkRJ_normal.jpg","View")</f>
        <v>View</v>
      </c>
      <c r="P1766" s="7"/>
    </row>
    <row r="1767" spans="1:16">
      <c r="A1767" s="3">
        <v>43855.975972222222</v>
      </c>
      <c r="B1767" s="4" t="str">
        <f>HYPERLINK("https://twitter.com/petrogustavo","@petrogustavo")</f>
        <v>@petrogustavo</v>
      </c>
      <c r="C1767" s="5" t="s">
        <v>16</v>
      </c>
      <c r="D1767" s="5" t="s">
        <v>1738</v>
      </c>
      <c r="E1767" s="6" t="str">
        <f>HYPERLINK("https://twitter.com/petrogustavo/status/1221129456368177153","1221129456368177153")</f>
        <v>1221129456368177153</v>
      </c>
      <c r="F1767" s="7" t="s">
        <v>17</v>
      </c>
      <c r="G1767" s="7">
        <v>3618679</v>
      </c>
      <c r="H1767" s="7">
        <v>2351</v>
      </c>
      <c r="I1767" s="7">
        <v>260</v>
      </c>
      <c r="J1767" s="7">
        <v>319</v>
      </c>
      <c r="K1767" s="7" t="s">
        <v>18</v>
      </c>
      <c r="L1767" s="8">
        <v>39987.315405092595</v>
      </c>
      <c r="M1767" s="9" t="s">
        <v>19</v>
      </c>
      <c r="N1767" s="9" t="s">
        <v>20</v>
      </c>
      <c r="O1767" s="6" t="str">
        <f>HYPERLINK("https://pbs.twimg.com/profile_images/962471262747529216/Uo8lOkRJ_normal.jpg","View")</f>
        <v>View</v>
      </c>
      <c r="P1767" s="7"/>
    </row>
    <row r="1768" spans="1:16">
      <c r="A1768" s="3">
        <v>43855.978460648148</v>
      </c>
      <c r="B1768" s="4" t="str">
        <f>HYPERLINK("https://twitter.com/petrogustavo","@petrogustavo")</f>
        <v>@petrogustavo</v>
      </c>
      <c r="C1768" s="5" t="s">
        <v>16</v>
      </c>
      <c r="D1768" s="5" t="s">
        <v>1739</v>
      </c>
      <c r="E1768" s="6" t="str">
        <f>HYPERLINK("https://twitter.com/petrogustavo/status/1221130356092559360","1221130356092559360")</f>
        <v>1221130356092559360</v>
      </c>
      <c r="F1768" s="7" t="s">
        <v>17</v>
      </c>
      <c r="G1768" s="7">
        <v>3618679</v>
      </c>
      <c r="H1768" s="7">
        <v>2351</v>
      </c>
      <c r="I1768" s="7">
        <v>281</v>
      </c>
      <c r="J1768" s="7">
        <v>0</v>
      </c>
      <c r="K1768" s="7" t="s">
        <v>18</v>
      </c>
      <c r="L1768" s="8">
        <v>39987.315405092595</v>
      </c>
      <c r="M1768" s="9" t="s">
        <v>19</v>
      </c>
      <c r="N1768" s="9" t="s">
        <v>20</v>
      </c>
      <c r="O1768" s="6" t="str">
        <f>HYPERLINK("https://pbs.twimg.com/profile_images/962471262747529216/Uo8lOkRJ_normal.jpg","View")</f>
        <v>View</v>
      </c>
      <c r="P1768" s="7"/>
    </row>
    <row r="1769" spans="1:16">
      <c r="A1769" s="3">
        <v>43855.978807870371</v>
      </c>
      <c r="B1769" s="4" t="str">
        <f>HYPERLINK("https://twitter.com/petrogustavo","@petrogustavo")</f>
        <v>@petrogustavo</v>
      </c>
      <c r="C1769" s="5" t="s">
        <v>16</v>
      </c>
      <c r="D1769" s="5" t="s">
        <v>1740</v>
      </c>
      <c r="E1769" s="6" t="str">
        <f>HYPERLINK("https://twitter.com/petrogustavo/status/1221130485327454209","1221130485327454209")</f>
        <v>1221130485327454209</v>
      </c>
      <c r="F1769" s="7" t="s">
        <v>17</v>
      </c>
      <c r="G1769" s="7">
        <v>3618679</v>
      </c>
      <c r="H1769" s="7">
        <v>2351</v>
      </c>
      <c r="I1769" s="7">
        <v>260</v>
      </c>
      <c r="J1769" s="7">
        <v>0</v>
      </c>
      <c r="K1769" s="7" t="s">
        <v>18</v>
      </c>
      <c r="L1769" s="8">
        <v>39987.315405092595</v>
      </c>
      <c r="M1769" s="9" t="s">
        <v>19</v>
      </c>
      <c r="N1769" s="9" t="s">
        <v>20</v>
      </c>
      <c r="O1769" s="6" t="str">
        <f>HYPERLINK("https://pbs.twimg.com/profile_images/962471262747529216/Uo8lOkRJ_normal.jpg","View")</f>
        <v>View</v>
      </c>
      <c r="P1769" s="7"/>
    </row>
    <row r="1770" spans="1:16">
      <c r="A1770" s="3">
        <v>43855.981944444444</v>
      </c>
      <c r="B1770" s="4" t="str">
        <f>HYPERLINK("https://twitter.com/petrogustavo","@petrogustavo")</f>
        <v>@petrogustavo</v>
      </c>
      <c r="C1770" s="5" t="s">
        <v>16</v>
      </c>
      <c r="D1770" s="5" t="s">
        <v>1741</v>
      </c>
      <c r="E1770" s="6" t="str">
        <f>HYPERLINK("https://twitter.com/petrogustavo/status/1221131619576184832","1221131619576184832")</f>
        <v>1221131619576184832</v>
      </c>
      <c r="F1770" s="7" t="s">
        <v>17</v>
      </c>
      <c r="G1770" s="7">
        <v>3618679</v>
      </c>
      <c r="H1770" s="7">
        <v>2351</v>
      </c>
      <c r="I1770" s="7">
        <v>25</v>
      </c>
      <c r="J1770" s="7">
        <v>73</v>
      </c>
      <c r="K1770" s="7" t="s">
        <v>18</v>
      </c>
      <c r="L1770" s="8">
        <v>39987.315405092595</v>
      </c>
      <c r="M1770" s="9" t="s">
        <v>19</v>
      </c>
      <c r="N1770" s="9" t="s">
        <v>20</v>
      </c>
      <c r="O1770" s="6" t="str">
        <f>HYPERLINK("https://pbs.twimg.com/profile_images/962471262747529216/Uo8lOkRJ_normal.jpg","View")</f>
        <v>View</v>
      </c>
      <c r="P1770" s="7"/>
    </row>
    <row r="1771" spans="1:16">
      <c r="A1771" s="3">
        <v>43855.997835648144</v>
      </c>
      <c r="B1771" s="4" t="str">
        <f>HYPERLINK("https://twitter.com/petrogustavo","@petrogustavo")</f>
        <v>@petrogustavo</v>
      </c>
      <c r="C1771" s="5" t="s">
        <v>16</v>
      </c>
      <c r="D1771" s="5" t="s">
        <v>1742</v>
      </c>
      <c r="E1771" s="6" t="str">
        <f>HYPERLINK("https://twitter.com/petrogustavo/status/1221137379945320453","1221137379945320453")</f>
        <v>1221137379945320453</v>
      </c>
      <c r="F1771" s="7" t="s">
        <v>17</v>
      </c>
      <c r="G1771" s="7">
        <v>3618707</v>
      </c>
      <c r="H1771" s="7">
        <v>2351</v>
      </c>
      <c r="I1771" s="7">
        <v>83</v>
      </c>
      <c r="J1771" s="7">
        <v>174</v>
      </c>
      <c r="K1771" s="7" t="s">
        <v>18</v>
      </c>
      <c r="L1771" s="8">
        <v>39987.315405092595</v>
      </c>
      <c r="M1771" s="9" t="s">
        <v>19</v>
      </c>
      <c r="N1771" s="9" t="s">
        <v>20</v>
      </c>
      <c r="O1771" s="6" t="str">
        <f>HYPERLINK("https://pbs.twimg.com/profile_images/962471262747529216/Uo8lOkRJ_normal.jpg","View")</f>
        <v>View</v>
      </c>
      <c r="P1771" s="7"/>
    </row>
    <row r="1772" spans="1:16">
      <c r="A1772" s="3">
        <v>43855.997847222221</v>
      </c>
      <c r="B1772" s="4" t="str">
        <f>HYPERLINK("https://twitter.com/petrogustavo","@petrogustavo")</f>
        <v>@petrogustavo</v>
      </c>
      <c r="C1772" s="5" t="s">
        <v>16</v>
      </c>
      <c r="D1772" s="5" t="s">
        <v>1743</v>
      </c>
      <c r="E1772" s="6" t="str">
        <f>HYPERLINK("https://twitter.com/petrogustavo/status/1221137381790814210","1221137381790814210")</f>
        <v>1221137381790814210</v>
      </c>
      <c r="F1772" s="7" t="s">
        <v>17</v>
      </c>
      <c r="G1772" s="7">
        <v>3618707</v>
      </c>
      <c r="H1772" s="7">
        <v>2351</v>
      </c>
      <c r="I1772" s="7">
        <v>51</v>
      </c>
      <c r="J1772" s="7">
        <v>144</v>
      </c>
      <c r="K1772" s="7" t="s">
        <v>18</v>
      </c>
      <c r="L1772" s="8">
        <v>39987.315405092595</v>
      </c>
      <c r="M1772" s="9" t="s">
        <v>19</v>
      </c>
      <c r="N1772" s="9" t="s">
        <v>20</v>
      </c>
      <c r="O1772" s="6" t="str">
        <f>HYPERLINK("https://pbs.twimg.com/profile_images/962471262747529216/Uo8lOkRJ_normal.jpg","View")</f>
        <v>View</v>
      </c>
      <c r="P1772" s="7"/>
    </row>
    <row r="1773" spans="1:16">
      <c r="A1773" s="3">
        <v>43856.001504629632</v>
      </c>
      <c r="B1773" s="4" t="str">
        <f>HYPERLINK("https://twitter.com/petrogustavo","@petrogustavo")</f>
        <v>@petrogustavo</v>
      </c>
      <c r="C1773" s="5" t="s">
        <v>16</v>
      </c>
      <c r="D1773" s="5" t="s">
        <v>1744</v>
      </c>
      <c r="E1773" s="6" t="str">
        <f>HYPERLINK("https://twitter.com/petrogustavo/status/1221138707778088960","1221138707778088960")</f>
        <v>1221138707778088960</v>
      </c>
      <c r="F1773" s="7" t="s">
        <v>17</v>
      </c>
      <c r="G1773" s="7">
        <v>3618707</v>
      </c>
      <c r="H1773" s="7">
        <v>2351</v>
      </c>
      <c r="I1773" s="7">
        <v>22</v>
      </c>
      <c r="J1773" s="7">
        <v>67</v>
      </c>
      <c r="K1773" s="7" t="s">
        <v>18</v>
      </c>
      <c r="L1773" s="8">
        <v>39987.315405092595</v>
      </c>
      <c r="M1773" s="9" t="s">
        <v>19</v>
      </c>
      <c r="N1773" s="9" t="s">
        <v>20</v>
      </c>
      <c r="O1773" s="6" t="str">
        <f>HYPERLINK("https://pbs.twimg.com/profile_images/962471262747529216/Uo8lOkRJ_normal.jpg","View")</f>
        <v>View</v>
      </c>
      <c r="P1773" s="7"/>
    </row>
    <row r="1774" spans="1:16">
      <c r="A1774" s="3">
        <v>43856.002245370371</v>
      </c>
      <c r="B1774" s="4" t="str">
        <f>HYPERLINK("https://twitter.com/petrogustavo","@petrogustavo")</f>
        <v>@petrogustavo</v>
      </c>
      <c r="C1774" s="5" t="s">
        <v>16</v>
      </c>
      <c r="D1774" s="5" t="s">
        <v>1745</v>
      </c>
      <c r="E1774" s="6" t="str">
        <f>HYPERLINK("https://twitter.com/petrogustavo/status/1221138975865425923","1221138975865425923")</f>
        <v>1221138975865425923</v>
      </c>
      <c r="F1774" s="7" t="s">
        <v>17</v>
      </c>
      <c r="G1774" s="7">
        <v>3618707</v>
      </c>
      <c r="H1774" s="7">
        <v>2351</v>
      </c>
      <c r="I1774" s="7">
        <v>5</v>
      </c>
      <c r="J1774" s="7">
        <v>0</v>
      </c>
      <c r="K1774" s="7" t="s">
        <v>18</v>
      </c>
      <c r="L1774" s="8">
        <v>39987.315405092595</v>
      </c>
      <c r="M1774" s="9" t="s">
        <v>19</v>
      </c>
      <c r="N1774" s="9" t="s">
        <v>20</v>
      </c>
      <c r="O1774" s="6" t="str">
        <f>HYPERLINK("https://pbs.twimg.com/profile_images/962471262747529216/Uo8lOkRJ_normal.jpg","View")</f>
        <v>View</v>
      </c>
      <c r="P1774" s="7"/>
    </row>
    <row r="1775" spans="1:16">
      <c r="A1775" s="3">
        <v>43856.004872685182</v>
      </c>
      <c r="B1775" s="4" t="str">
        <f>HYPERLINK("https://twitter.com/petrogustavo","@petrogustavo")</f>
        <v>@petrogustavo</v>
      </c>
      <c r="C1775" s="5" t="s">
        <v>16</v>
      </c>
      <c r="D1775" s="5" t="s">
        <v>1746</v>
      </c>
      <c r="E1775" s="6" t="str">
        <f>HYPERLINK("https://twitter.com/petrogustavo/status/1221139930723823616","1221139930723823616")</f>
        <v>1221139930723823616</v>
      </c>
      <c r="F1775" s="7" t="s">
        <v>17</v>
      </c>
      <c r="G1775" s="7">
        <v>3618707</v>
      </c>
      <c r="H1775" s="7">
        <v>2351</v>
      </c>
      <c r="I1775" s="7">
        <v>19</v>
      </c>
      <c r="J1775" s="7">
        <v>63</v>
      </c>
      <c r="K1775" s="7" t="s">
        <v>18</v>
      </c>
      <c r="L1775" s="8">
        <v>39987.315405092595</v>
      </c>
      <c r="M1775" s="9" t="s">
        <v>19</v>
      </c>
      <c r="N1775" s="9" t="s">
        <v>20</v>
      </c>
      <c r="O1775" s="6" t="str">
        <f>HYPERLINK("https://pbs.twimg.com/profile_images/962471262747529216/Uo8lOkRJ_normal.jpg","View")</f>
        <v>View</v>
      </c>
      <c r="P1775" s="7"/>
    </row>
    <row r="1776" spans="1:16">
      <c r="A1776" s="3">
        <v>43856.009340277778</v>
      </c>
      <c r="B1776" s="4" t="str">
        <f>HYPERLINK("https://twitter.com/petrogustavo","@petrogustavo")</f>
        <v>@petrogustavo</v>
      </c>
      <c r="C1776" s="5" t="s">
        <v>16</v>
      </c>
      <c r="D1776" s="5" t="s">
        <v>1747</v>
      </c>
      <c r="E1776" s="6" t="str">
        <f>HYPERLINK("https://twitter.com/petrogustavo/status/1221141547665842177","1221141547665842177")</f>
        <v>1221141547665842177</v>
      </c>
      <c r="F1776" s="7" t="s">
        <v>17</v>
      </c>
      <c r="G1776" s="7">
        <v>3618707</v>
      </c>
      <c r="H1776" s="7">
        <v>2351</v>
      </c>
      <c r="I1776" s="7">
        <v>9</v>
      </c>
      <c r="J1776" s="7">
        <v>27</v>
      </c>
      <c r="K1776" s="7" t="s">
        <v>18</v>
      </c>
      <c r="L1776" s="8">
        <v>39987.315405092595</v>
      </c>
      <c r="M1776" s="9" t="s">
        <v>19</v>
      </c>
      <c r="N1776" s="9" t="s">
        <v>20</v>
      </c>
      <c r="O1776" s="6" t="str">
        <f>HYPERLINK("https://pbs.twimg.com/profile_images/962471262747529216/Uo8lOkRJ_normal.jpg","View")</f>
        <v>View</v>
      </c>
      <c r="P1776" s="7"/>
    </row>
    <row r="1777" spans="1:16">
      <c r="A1777" s="3">
        <v>43856.009340277778</v>
      </c>
      <c r="B1777" s="4" t="str">
        <f>HYPERLINK("https://twitter.com/petrogustavo","@petrogustavo")</f>
        <v>@petrogustavo</v>
      </c>
      <c r="C1777" s="5" t="s">
        <v>16</v>
      </c>
      <c r="D1777" s="5" t="s">
        <v>1748</v>
      </c>
      <c r="E1777" s="6" t="str">
        <f>HYPERLINK("https://twitter.com/petrogustavo/status/1221141549091827714","1221141549091827714")</f>
        <v>1221141549091827714</v>
      </c>
      <c r="F1777" s="7" t="s">
        <v>17</v>
      </c>
      <c r="G1777" s="7">
        <v>3618707</v>
      </c>
      <c r="H1777" s="7">
        <v>2351</v>
      </c>
      <c r="I1777" s="7">
        <v>5</v>
      </c>
      <c r="J1777" s="7">
        <v>13</v>
      </c>
      <c r="K1777" s="7" t="s">
        <v>18</v>
      </c>
      <c r="L1777" s="8">
        <v>39987.315405092595</v>
      </c>
      <c r="M1777" s="9" t="s">
        <v>19</v>
      </c>
      <c r="N1777" s="9" t="s">
        <v>20</v>
      </c>
      <c r="O1777" s="6" t="str">
        <f>HYPERLINK("https://pbs.twimg.com/profile_images/962471262747529216/Uo8lOkRJ_normal.jpg","View")</f>
        <v>View</v>
      </c>
      <c r="P1777" s="7"/>
    </row>
    <row r="1778" spans="1:16">
      <c r="A1778" s="3">
        <v>43856.053981481484</v>
      </c>
      <c r="B1778" s="4" t="str">
        <f>HYPERLINK("https://twitter.com/petrogustavo","@petrogustavo")</f>
        <v>@petrogustavo</v>
      </c>
      <c r="C1778" s="5" t="s">
        <v>16</v>
      </c>
      <c r="D1778" s="5" t="s">
        <v>1749</v>
      </c>
      <c r="E1778" s="6" t="str">
        <f>HYPERLINK("https://twitter.com/petrogustavo/status/1221157727252230144","1221157727252230144")</f>
        <v>1221157727252230144</v>
      </c>
      <c r="F1778" s="7" t="s">
        <v>17</v>
      </c>
      <c r="G1778" s="7">
        <v>3618763</v>
      </c>
      <c r="H1778" s="7">
        <v>2351</v>
      </c>
      <c r="I1778" s="7">
        <v>76</v>
      </c>
      <c r="J1778" s="7">
        <v>332</v>
      </c>
      <c r="K1778" s="7" t="s">
        <v>18</v>
      </c>
      <c r="L1778" s="8">
        <v>39987.315405092595</v>
      </c>
      <c r="M1778" s="9" t="s">
        <v>19</v>
      </c>
      <c r="N1778" s="9" t="s">
        <v>20</v>
      </c>
      <c r="O1778" s="6" t="str">
        <f>HYPERLINK("https://pbs.twimg.com/profile_images/962471262747529216/Uo8lOkRJ_normal.jpg","View")</f>
        <v>View</v>
      </c>
      <c r="P1778" s="7"/>
    </row>
    <row r="1779" spans="1:16">
      <c r="A1779" s="3">
        <v>43856.058136574073</v>
      </c>
      <c r="B1779" s="4" t="str">
        <f>HYPERLINK("https://twitter.com/petrogustavo","@petrogustavo")</f>
        <v>@petrogustavo</v>
      </c>
      <c r="C1779" s="5" t="s">
        <v>16</v>
      </c>
      <c r="D1779" s="5" t="s">
        <v>1750</v>
      </c>
      <c r="E1779" s="6" t="str">
        <f>HYPERLINK("https://twitter.com/petrogustavo/status/1221159231732297731","1221159231732297731")</f>
        <v>1221159231732297731</v>
      </c>
      <c r="F1779" s="7" t="s">
        <v>17</v>
      </c>
      <c r="G1779" s="7">
        <v>3618763</v>
      </c>
      <c r="H1779" s="7">
        <v>2351</v>
      </c>
      <c r="I1779" s="7">
        <v>277</v>
      </c>
      <c r="J1779" s="7">
        <v>3615</v>
      </c>
      <c r="K1779" s="7" t="s">
        <v>18</v>
      </c>
      <c r="L1779" s="8">
        <v>39987.315405092595</v>
      </c>
      <c r="M1779" s="9" t="s">
        <v>19</v>
      </c>
      <c r="N1779" s="9" t="s">
        <v>20</v>
      </c>
      <c r="O1779" s="6" t="str">
        <f>HYPERLINK("https://pbs.twimg.com/profile_images/962471262747529216/Uo8lOkRJ_normal.jpg","View")</f>
        <v>View</v>
      </c>
      <c r="P1779" s="7"/>
    </row>
    <row r="1780" spans="1:16">
      <c r="A1780" s="3">
        <v>43856.070104166662</v>
      </c>
      <c r="B1780" s="4" t="str">
        <f>HYPERLINK("https://twitter.com/petrogustavo","@petrogustavo")</f>
        <v>@petrogustavo</v>
      </c>
      <c r="C1780" s="5" t="s">
        <v>16</v>
      </c>
      <c r="D1780" s="5" t="s">
        <v>1751</v>
      </c>
      <c r="E1780" s="6" t="str">
        <f>HYPERLINK("https://twitter.com/petrogustavo/status/1221163566792953856","1221163566792953856")</f>
        <v>1221163566792953856</v>
      </c>
      <c r="F1780" s="7" t="s">
        <v>17</v>
      </c>
      <c r="G1780" s="7">
        <v>3618763</v>
      </c>
      <c r="H1780" s="7">
        <v>2351</v>
      </c>
      <c r="I1780" s="7">
        <v>33</v>
      </c>
      <c r="J1780" s="7">
        <v>0</v>
      </c>
      <c r="K1780" s="7" t="s">
        <v>18</v>
      </c>
      <c r="L1780" s="8">
        <v>39987.315405092595</v>
      </c>
      <c r="M1780" s="9" t="s">
        <v>19</v>
      </c>
      <c r="N1780" s="9" t="s">
        <v>20</v>
      </c>
      <c r="O1780" s="6" t="str">
        <f>HYPERLINK("https://pbs.twimg.com/profile_images/962471262747529216/Uo8lOkRJ_normal.jpg","View")</f>
        <v>View</v>
      </c>
      <c r="P1780" s="7"/>
    </row>
    <row r="1781" spans="1:16">
      <c r="A1781" s="3">
        <v>43856.071840277778</v>
      </c>
      <c r="B1781" s="4" t="str">
        <f>HYPERLINK("https://twitter.com/petrogustavo","@petrogustavo")</f>
        <v>@petrogustavo</v>
      </c>
      <c r="C1781" s="5" t="s">
        <v>16</v>
      </c>
      <c r="D1781" s="5" t="s">
        <v>1752</v>
      </c>
      <c r="E1781" s="6" t="str">
        <f>HYPERLINK("https://twitter.com/petrogustavo/status/1221164196114706432","1221164196114706432")</f>
        <v>1221164196114706432</v>
      </c>
      <c r="F1781" s="7" t="s">
        <v>17</v>
      </c>
      <c r="G1781" s="7">
        <v>3618763</v>
      </c>
      <c r="H1781" s="7">
        <v>2351</v>
      </c>
      <c r="I1781" s="7">
        <v>18</v>
      </c>
      <c r="J1781" s="7">
        <v>142</v>
      </c>
      <c r="K1781" s="7" t="s">
        <v>18</v>
      </c>
      <c r="L1781" s="8">
        <v>39987.315405092595</v>
      </c>
      <c r="M1781" s="9" t="s">
        <v>19</v>
      </c>
      <c r="N1781" s="9" t="s">
        <v>20</v>
      </c>
      <c r="O1781" s="6" t="str">
        <f>HYPERLINK("https://pbs.twimg.com/profile_images/962471262747529216/Uo8lOkRJ_normal.jpg","View")</f>
        <v>View</v>
      </c>
      <c r="P1781" s="7"/>
    </row>
    <row r="1782" spans="1:16">
      <c r="A1782" s="3">
        <v>43856.072465277779</v>
      </c>
      <c r="B1782" s="4" t="str">
        <f>HYPERLINK("https://twitter.com/petrogustavo","@petrogustavo")</f>
        <v>@petrogustavo</v>
      </c>
      <c r="C1782" s="5" t="s">
        <v>16</v>
      </c>
      <c r="D1782" s="5" t="s">
        <v>1753</v>
      </c>
      <c r="E1782" s="6" t="str">
        <f>HYPERLINK("https://twitter.com/petrogustavo/status/1221164425207517184","1221164425207517184")</f>
        <v>1221164425207517184</v>
      </c>
      <c r="F1782" s="7" t="s">
        <v>17</v>
      </c>
      <c r="G1782" s="7">
        <v>3618763</v>
      </c>
      <c r="H1782" s="7">
        <v>2351</v>
      </c>
      <c r="I1782" s="7">
        <v>277</v>
      </c>
      <c r="J1782" s="7">
        <v>0</v>
      </c>
      <c r="K1782" s="7" t="s">
        <v>18</v>
      </c>
      <c r="L1782" s="8">
        <v>39987.315405092595</v>
      </c>
      <c r="M1782" s="9" t="s">
        <v>19</v>
      </c>
      <c r="N1782" s="9" t="s">
        <v>20</v>
      </c>
      <c r="O1782" s="6" t="str">
        <f>HYPERLINK("https://pbs.twimg.com/profile_images/962471262747529216/Uo8lOkRJ_normal.jpg","View")</f>
        <v>View</v>
      </c>
      <c r="P1782" s="7"/>
    </row>
    <row r="1783" spans="1:16">
      <c r="A1783" s="3">
        <v>43856.075740740736</v>
      </c>
      <c r="B1783" s="4" t="str">
        <f>HYPERLINK("https://twitter.com/petrogustavo","@petrogustavo")</f>
        <v>@petrogustavo</v>
      </c>
      <c r="C1783" s="5" t="s">
        <v>16</v>
      </c>
      <c r="D1783" s="5" t="s">
        <v>1754</v>
      </c>
      <c r="E1783" s="6" t="str">
        <f>HYPERLINK("https://twitter.com/petrogustavo/status/1221165609611907073","1221165609611907073")</f>
        <v>1221165609611907073</v>
      </c>
      <c r="F1783" s="7" t="s">
        <v>17</v>
      </c>
      <c r="G1783" s="7">
        <v>3618779</v>
      </c>
      <c r="H1783" s="7">
        <v>2351</v>
      </c>
      <c r="I1783" s="7">
        <v>109</v>
      </c>
      <c r="J1783" s="7">
        <v>321</v>
      </c>
      <c r="K1783" s="7" t="s">
        <v>18</v>
      </c>
      <c r="L1783" s="8">
        <v>39987.315405092595</v>
      </c>
      <c r="M1783" s="9" t="s">
        <v>19</v>
      </c>
      <c r="N1783" s="9" t="s">
        <v>20</v>
      </c>
      <c r="O1783" s="6" t="str">
        <f>HYPERLINK("https://pbs.twimg.com/profile_images/962471262747529216/Uo8lOkRJ_normal.jpg","View")</f>
        <v>View</v>
      </c>
      <c r="P1783" s="7"/>
    </row>
    <row r="1784" spans="1:16">
      <c r="A1784" s="3">
        <v>43856.080983796295</v>
      </c>
      <c r="B1784" s="4" t="str">
        <f>HYPERLINK("https://twitter.com/petrogustavo","@petrogustavo")</f>
        <v>@petrogustavo</v>
      </c>
      <c r="C1784" s="5" t="s">
        <v>16</v>
      </c>
      <c r="D1784" s="5" t="s">
        <v>1755</v>
      </c>
      <c r="E1784" s="6" t="str">
        <f>HYPERLINK("https://twitter.com/petrogustavo/status/1221167509279330306","1221167509279330306")</f>
        <v>1221167509279330306</v>
      </c>
      <c r="F1784" s="7" t="s">
        <v>17</v>
      </c>
      <c r="G1784" s="7">
        <v>3618779</v>
      </c>
      <c r="H1784" s="7">
        <v>2351</v>
      </c>
      <c r="I1784" s="7">
        <v>23</v>
      </c>
      <c r="J1784" s="7">
        <v>86</v>
      </c>
      <c r="K1784" s="7" t="s">
        <v>18</v>
      </c>
      <c r="L1784" s="8">
        <v>39987.315405092595</v>
      </c>
      <c r="M1784" s="9" t="s">
        <v>19</v>
      </c>
      <c r="N1784" s="9" t="s">
        <v>20</v>
      </c>
      <c r="O1784" s="6" t="str">
        <f>HYPERLINK("https://pbs.twimg.com/profile_images/962471262747529216/Uo8lOkRJ_normal.jpg","View")</f>
        <v>View</v>
      </c>
      <c r="P1784" s="7"/>
    </row>
    <row r="1785" spans="1:16">
      <c r="A1785" s="3">
        <v>43856.080995370372</v>
      </c>
      <c r="B1785" s="4" t="str">
        <f>HYPERLINK("https://twitter.com/petrogustavo","@petrogustavo")</f>
        <v>@petrogustavo</v>
      </c>
      <c r="C1785" s="5" t="s">
        <v>16</v>
      </c>
      <c r="D1785" s="5" t="s">
        <v>1756</v>
      </c>
      <c r="E1785" s="6" t="str">
        <f>HYPERLINK("https://twitter.com/petrogustavo/status/1221167513456795649","1221167513456795649")</f>
        <v>1221167513456795649</v>
      </c>
      <c r="F1785" s="7" t="s">
        <v>17</v>
      </c>
      <c r="G1785" s="7">
        <v>3618779</v>
      </c>
      <c r="H1785" s="7">
        <v>2351</v>
      </c>
      <c r="I1785" s="7">
        <v>25</v>
      </c>
      <c r="J1785" s="7">
        <v>91</v>
      </c>
      <c r="K1785" s="7" t="s">
        <v>18</v>
      </c>
      <c r="L1785" s="8">
        <v>39987.315405092595</v>
      </c>
      <c r="M1785" s="9" t="s">
        <v>19</v>
      </c>
      <c r="N1785" s="9" t="s">
        <v>20</v>
      </c>
      <c r="O1785" s="6" t="str">
        <f>HYPERLINK("https://pbs.twimg.com/profile_images/962471262747529216/Uo8lOkRJ_normal.jpg","View")</f>
        <v>View</v>
      </c>
      <c r="P1785" s="7"/>
    </row>
    <row r="1786" spans="1:16">
      <c r="A1786" s="3">
        <v>43856.084432870368</v>
      </c>
      <c r="B1786" s="4" t="str">
        <f>HYPERLINK("https://twitter.com/petrogustavo","@petrogustavo")</f>
        <v>@petrogustavo</v>
      </c>
      <c r="C1786" s="5" t="s">
        <v>16</v>
      </c>
      <c r="D1786" s="5" t="s">
        <v>1757</v>
      </c>
      <c r="E1786" s="6" t="str">
        <f>HYPERLINK("https://twitter.com/petrogustavo/status/1221168762021392385","1221168762021392385")</f>
        <v>1221168762021392385</v>
      </c>
      <c r="F1786" s="7" t="s">
        <v>17</v>
      </c>
      <c r="G1786" s="7">
        <v>3618779</v>
      </c>
      <c r="H1786" s="7">
        <v>2351</v>
      </c>
      <c r="I1786" s="7">
        <v>67</v>
      </c>
      <c r="J1786" s="7">
        <v>138</v>
      </c>
      <c r="K1786" s="7" t="s">
        <v>18</v>
      </c>
      <c r="L1786" s="8">
        <v>39987.315405092595</v>
      </c>
      <c r="M1786" s="9" t="s">
        <v>19</v>
      </c>
      <c r="N1786" s="9" t="s">
        <v>20</v>
      </c>
      <c r="O1786" s="6" t="str">
        <f>HYPERLINK("https://pbs.twimg.com/profile_images/962471262747529216/Uo8lOkRJ_normal.jpg","View")</f>
        <v>View</v>
      </c>
      <c r="P1786" s="7"/>
    </row>
    <row r="1787" spans="1:16">
      <c r="A1787" s="3">
        <v>43856.084965277776</v>
      </c>
      <c r="B1787" s="4" t="str">
        <f>HYPERLINK("https://twitter.com/petrogustavo","@petrogustavo")</f>
        <v>@petrogustavo</v>
      </c>
      <c r="C1787" s="5" t="s">
        <v>16</v>
      </c>
      <c r="D1787" s="5" t="s">
        <v>1753</v>
      </c>
      <c r="E1787" s="6" t="str">
        <f>HYPERLINK("https://twitter.com/petrogustavo/status/1221168955999563778","1221168955999563778")</f>
        <v>1221168955999563778</v>
      </c>
      <c r="F1787" s="7" t="s">
        <v>17</v>
      </c>
      <c r="G1787" s="7">
        <v>3618779</v>
      </c>
      <c r="H1787" s="7">
        <v>2351</v>
      </c>
      <c r="I1787" s="7">
        <v>541</v>
      </c>
      <c r="J1787" s="7">
        <v>0</v>
      </c>
      <c r="K1787" s="7" t="s">
        <v>18</v>
      </c>
      <c r="L1787" s="8">
        <v>39987.315405092595</v>
      </c>
      <c r="M1787" s="9" t="s">
        <v>19</v>
      </c>
      <c r="N1787" s="9" t="s">
        <v>20</v>
      </c>
      <c r="O1787" s="6" t="str">
        <f>HYPERLINK("https://pbs.twimg.com/profile_images/962471262747529216/Uo8lOkRJ_normal.jpg","View")</f>
        <v>View</v>
      </c>
      <c r="P1787" s="7"/>
    </row>
    <row r="1788" spans="1:16">
      <c r="A1788" s="3">
        <v>43856.095069444447</v>
      </c>
      <c r="B1788" s="4" t="str">
        <f>HYPERLINK("https://twitter.com/petrogustavo","@petrogustavo")</f>
        <v>@petrogustavo</v>
      </c>
      <c r="C1788" s="5" t="s">
        <v>16</v>
      </c>
      <c r="D1788" s="5" t="s">
        <v>1758</v>
      </c>
      <c r="E1788" s="6" t="str">
        <f>HYPERLINK("https://twitter.com/petrogustavo/status/1221172613701144577","1221172613701144577")</f>
        <v>1221172613701144577</v>
      </c>
      <c r="F1788" s="7" t="s">
        <v>17</v>
      </c>
      <c r="G1788" s="7">
        <v>3618779</v>
      </c>
      <c r="H1788" s="7">
        <v>2351</v>
      </c>
      <c r="I1788" s="7">
        <v>0</v>
      </c>
      <c r="J1788" s="7">
        <v>0</v>
      </c>
      <c r="K1788" s="7" t="s">
        <v>18</v>
      </c>
      <c r="L1788" s="8">
        <v>39987.315405092595</v>
      </c>
      <c r="M1788" s="9" t="s">
        <v>19</v>
      </c>
      <c r="N1788" s="9" t="s">
        <v>20</v>
      </c>
      <c r="O1788" s="6" t="str">
        <f>HYPERLINK("https://pbs.twimg.com/profile_images/962471262747529216/Uo8lOkRJ_normal.jpg","View")</f>
        <v>View</v>
      </c>
      <c r="P1788" s="7"/>
    </row>
    <row r="1789" spans="1:16">
      <c r="A1789" s="3">
        <v>43856.095219907409</v>
      </c>
      <c r="B1789" s="4" t="str">
        <f>HYPERLINK("https://twitter.com/petrogustavo","@petrogustavo")</f>
        <v>@petrogustavo</v>
      </c>
      <c r="C1789" s="5" t="s">
        <v>16</v>
      </c>
      <c r="D1789" s="5" t="s">
        <v>1721</v>
      </c>
      <c r="E1789" s="6" t="str">
        <f>HYPERLINK("https://twitter.com/petrogustavo/status/1221172669581840384","1221172669581840384")</f>
        <v>1221172669581840384</v>
      </c>
      <c r="F1789" s="7" t="s">
        <v>17</v>
      </c>
      <c r="G1789" s="7">
        <v>3618779</v>
      </c>
      <c r="H1789" s="7">
        <v>2351</v>
      </c>
      <c r="I1789" s="7">
        <v>374</v>
      </c>
      <c r="J1789" s="7">
        <v>0</v>
      </c>
      <c r="K1789" s="7" t="s">
        <v>18</v>
      </c>
      <c r="L1789" s="8">
        <v>39987.315405092595</v>
      </c>
      <c r="M1789" s="9" t="s">
        <v>19</v>
      </c>
      <c r="N1789" s="9" t="s">
        <v>20</v>
      </c>
      <c r="O1789" s="6" t="str">
        <f>HYPERLINK("https://pbs.twimg.com/profile_images/962471262747529216/Uo8lOkRJ_normal.jpg","View")</f>
        <v>View</v>
      </c>
      <c r="P1789" s="7"/>
    </row>
    <row r="1790" spans="1:16">
      <c r="A1790" s="3">
        <v>43856.129131944443</v>
      </c>
      <c r="B1790" s="4" t="str">
        <f>HYPERLINK("https://twitter.com/petrogustavo","@petrogustavo")</f>
        <v>@petrogustavo</v>
      </c>
      <c r="C1790" s="5" t="s">
        <v>16</v>
      </c>
      <c r="D1790" s="5" t="s">
        <v>1759</v>
      </c>
      <c r="E1790" s="6" t="str">
        <f>HYPERLINK("https://twitter.com/petrogustavo/status/1221184960339566594","1221184960339566594")</f>
        <v>1221184960339566594</v>
      </c>
      <c r="F1790" s="7" t="s">
        <v>17</v>
      </c>
      <c r="G1790" s="7">
        <v>3618822</v>
      </c>
      <c r="H1790" s="7">
        <v>2351</v>
      </c>
      <c r="I1790" s="7">
        <v>129</v>
      </c>
      <c r="J1790" s="7">
        <v>624</v>
      </c>
      <c r="K1790" s="7" t="s">
        <v>18</v>
      </c>
      <c r="L1790" s="8">
        <v>39987.315405092595</v>
      </c>
      <c r="M1790" s="9" t="s">
        <v>19</v>
      </c>
      <c r="N1790" s="9" t="s">
        <v>20</v>
      </c>
      <c r="O1790" s="6" t="str">
        <f>HYPERLINK("https://pbs.twimg.com/profile_images/962471262747529216/Uo8lOkRJ_normal.jpg","View")</f>
        <v>View</v>
      </c>
      <c r="P1790" s="7"/>
    </row>
    <row r="1791" spans="1:16">
      <c r="A1791" s="3">
        <v>43857.010057870371</v>
      </c>
      <c r="B1791" s="4" t="str">
        <f>HYPERLINK("https://twitter.com/petrogustavo","@petrogustavo")</f>
        <v>@petrogustavo</v>
      </c>
      <c r="C1791" s="5" t="s">
        <v>16</v>
      </c>
      <c r="D1791" s="5" t="s">
        <v>1760</v>
      </c>
      <c r="E1791" s="6" t="str">
        <f>HYPERLINK("https://twitter.com/petrogustavo/status/1221504195397935104","1221504195397935104")</f>
        <v>1221504195397935104</v>
      </c>
      <c r="F1791" s="7" t="s">
        <v>17</v>
      </c>
      <c r="G1791" s="7">
        <v>3619477</v>
      </c>
      <c r="H1791" s="7">
        <v>2351</v>
      </c>
      <c r="I1791" s="7">
        <v>6</v>
      </c>
      <c r="J1791" s="7">
        <v>0</v>
      </c>
      <c r="K1791" s="7" t="s">
        <v>18</v>
      </c>
      <c r="L1791" s="8">
        <v>39987.315405092595</v>
      </c>
      <c r="M1791" s="9" t="s">
        <v>19</v>
      </c>
      <c r="N1791" s="9" t="s">
        <v>20</v>
      </c>
      <c r="O1791" s="6" t="str">
        <f>HYPERLINK("https://pbs.twimg.com/profile_images/962471262747529216/Uo8lOkRJ_normal.jpg","View")</f>
        <v>View</v>
      </c>
      <c r="P1791" s="7"/>
    </row>
    <row r="1792" spans="1:16">
      <c r="A1792" s="3">
        <v>43857.027754629627</v>
      </c>
      <c r="B1792" s="4" t="str">
        <f>HYPERLINK("https://twitter.com/petrogustavo","@petrogustavo")</f>
        <v>@petrogustavo</v>
      </c>
      <c r="C1792" s="5" t="s">
        <v>16</v>
      </c>
      <c r="D1792" s="5" t="s">
        <v>1721</v>
      </c>
      <c r="E1792" s="6" t="str">
        <f>HYPERLINK("https://twitter.com/petrogustavo/status/1221510610116055040","1221510610116055040")</f>
        <v>1221510610116055040</v>
      </c>
      <c r="F1792" s="7" t="s">
        <v>17</v>
      </c>
      <c r="G1792" s="7">
        <v>3619494</v>
      </c>
      <c r="H1792" s="7">
        <v>2351</v>
      </c>
      <c r="I1792" s="7">
        <v>414</v>
      </c>
      <c r="J1792" s="7">
        <v>0</v>
      </c>
      <c r="K1792" s="7" t="s">
        <v>18</v>
      </c>
      <c r="L1792" s="8">
        <v>39987.315405092595</v>
      </c>
      <c r="M1792" s="9" t="s">
        <v>19</v>
      </c>
      <c r="N1792" s="9" t="s">
        <v>20</v>
      </c>
      <c r="O1792" s="6" t="str">
        <f>HYPERLINK("https://pbs.twimg.com/profile_images/962471262747529216/Uo8lOkRJ_normal.jpg","View")</f>
        <v>View</v>
      </c>
      <c r="P1792" s="7"/>
    </row>
    <row r="1793" spans="1:16">
      <c r="A1793" s="3">
        <v>43857.803101851852</v>
      </c>
      <c r="B1793" s="4" t="str">
        <f>HYPERLINK("https://twitter.com/petrogustavo","@petrogustavo")</f>
        <v>@petrogustavo</v>
      </c>
      <c r="C1793" s="5" t="s">
        <v>16</v>
      </c>
      <c r="D1793" s="5" t="s">
        <v>1761</v>
      </c>
      <c r="E1793" s="6" t="str">
        <f>HYPERLINK("https://twitter.com/petrogustavo/status/1221791584720691201","1221791584720691201")</f>
        <v>1221791584720691201</v>
      </c>
      <c r="F1793" s="7" t="s">
        <v>17</v>
      </c>
      <c r="G1793" s="7">
        <v>3620034</v>
      </c>
      <c r="H1793" s="7">
        <v>2351</v>
      </c>
      <c r="I1793" s="7">
        <v>4</v>
      </c>
      <c r="J1793" s="7">
        <v>18</v>
      </c>
      <c r="K1793" s="7" t="s">
        <v>18</v>
      </c>
      <c r="L1793" s="8">
        <v>39987.315405092595</v>
      </c>
      <c r="M1793" s="9" t="s">
        <v>19</v>
      </c>
      <c r="N1793" s="9" t="s">
        <v>20</v>
      </c>
      <c r="O1793" s="6" t="str">
        <f>HYPERLINK("https://pbs.twimg.com/profile_images/962471262747529216/Uo8lOkRJ_normal.jpg","View")</f>
        <v>View</v>
      </c>
      <c r="P1793" s="7"/>
    </row>
    <row r="1794" spans="1:16">
      <c r="A1794" s="3">
        <v>43857.811099537037</v>
      </c>
      <c r="B1794" s="4" t="str">
        <f>HYPERLINK("https://twitter.com/petrogustavo","@petrogustavo")</f>
        <v>@petrogustavo</v>
      </c>
      <c r="C1794" s="5" t="s">
        <v>16</v>
      </c>
      <c r="D1794" s="5" t="s">
        <v>1762</v>
      </c>
      <c r="E1794" s="6" t="str">
        <f>HYPERLINK("https://twitter.com/petrogustavo/status/1221794483777560576","1221794483777560576")</f>
        <v>1221794483777560576</v>
      </c>
      <c r="F1794" s="7" t="s">
        <v>17</v>
      </c>
      <c r="G1794" s="7">
        <v>3620060</v>
      </c>
      <c r="H1794" s="7">
        <v>2351</v>
      </c>
      <c r="I1794" s="7">
        <v>47</v>
      </c>
      <c r="J1794" s="7">
        <v>167</v>
      </c>
      <c r="K1794" s="7" t="s">
        <v>18</v>
      </c>
      <c r="L1794" s="8">
        <v>39987.315405092595</v>
      </c>
      <c r="M1794" s="9" t="s">
        <v>19</v>
      </c>
      <c r="N1794" s="9" t="s">
        <v>20</v>
      </c>
      <c r="O1794" s="6" t="str">
        <f>HYPERLINK("https://pbs.twimg.com/profile_images/962471262747529216/Uo8lOkRJ_normal.jpg","View")</f>
        <v>View</v>
      </c>
      <c r="P1794" s="7"/>
    </row>
    <row r="1795" spans="1:16">
      <c r="A1795" s="3">
        <v>43857.815428240741</v>
      </c>
      <c r="B1795" s="4" t="str">
        <f>HYPERLINK("https://twitter.com/petrogustavo","@petrogustavo")</f>
        <v>@petrogustavo</v>
      </c>
      <c r="C1795" s="5" t="s">
        <v>16</v>
      </c>
      <c r="D1795" s="5" t="s">
        <v>1763</v>
      </c>
      <c r="E1795" s="6" t="str">
        <f>HYPERLINK("https://twitter.com/petrogustavo/status/1221796054070386689","1221796054070386689")</f>
        <v>1221796054070386689</v>
      </c>
      <c r="F1795" s="7" t="s">
        <v>17</v>
      </c>
      <c r="G1795" s="7">
        <v>3620060</v>
      </c>
      <c r="H1795" s="7">
        <v>2351</v>
      </c>
      <c r="I1795" s="7">
        <v>71</v>
      </c>
      <c r="J1795" s="7">
        <v>190</v>
      </c>
      <c r="K1795" s="7" t="s">
        <v>18</v>
      </c>
      <c r="L1795" s="8">
        <v>39987.315405092595</v>
      </c>
      <c r="M1795" s="9" t="s">
        <v>19</v>
      </c>
      <c r="N1795" s="9" t="s">
        <v>20</v>
      </c>
      <c r="O1795" s="6" t="str">
        <f>HYPERLINK("https://pbs.twimg.com/profile_images/962471262747529216/Uo8lOkRJ_normal.jpg","View")</f>
        <v>View</v>
      </c>
      <c r="P1795" s="7"/>
    </row>
    <row r="1796" spans="1:16">
      <c r="A1796" s="3">
        <v>43857.826620370368</v>
      </c>
      <c r="B1796" s="4" t="str">
        <f>HYPERLINK("https://twitter.com/petrogustavo","@petrogustavo")</f>
        <v>@petrogustavo</v>
      </c>
      <c r="C1796" s="5" t="s">
        <v>16</v>
      </c>
      <c r="D1796" s="5" t="s">
        <v>1764</v>
      </c>
      <c r="E1796" s="6" t="str">
        <f>HYPERLINK("https://twitter.com/petrogustavo/status/1221800110432182274","1221800110432182274")</f>
        <v>1221800110432182274</v>
      </c>
      <c r="F1796" s="7" t="s">
        <v>17</v>
      </c>
      <c r="G1796" s="7">
        <v>3620084</v>
      </c>
      <c r="H1796" s="7">
        <v>2351</v>
      </c>
      <c r="I1796" s="7">
        <v>2764</v>
      </c>
      <c r="J1796" s="7">
        <v>0</v>
      </c>
      <c r="K1796" s="7" t="s">
        <v>18</v>
      </c>
      <c r="L1796" s="8">
        <v>39987.315405092595</v>
      </c>
      <c r="M1796" s="9" t="s">
        <v>19</v>
      </c>
      <c r="N1796" s="9" t="s">
        <v>20</v>
      </c>
      <c r="O1796" s="6" t="str">
        <f>HYPERLINK("https://pbs.twimg.com/profile_images/962471262747529216/Uo8lOkRJ_normal.jpg","View")</f>
        <v>View</v>
      </c>
      <c r="P1796" s="7"/>
    </row>
    <row r="1797" spans="1:16">
      <c r="A1797" s="3">
        <v>43857.829108796301</v>
      </c>
      <c r="B1797" s="4" t="str">
        <f>HYPERLINK("https://twitter.com/petrogustavo","@petrogustavo")</f>
        <v>@petrogustavo</v>
      </c>
      <c r="C1797" s="5" t="s">
        <v>16</v>
      </c>
      <c r="D1797" s="5" t="s">
        <v>1765</v>
      </c>
      <c r="E1797" s="6" t="str">
        <f>HYPERLINK("https://twitter.com/petrogustavo/status/1221801012345876483","1221801012345876483")</f>
        <v>1221801012345876483</v>
      </c>
      <c r="F1797" s="7" t="s">
        <v>17</v>
      </c>
      <c r="G1797" s="7">
        <v>3620084</v>
      </c>
      <c r="H1797" s="7">
        <v>2351</v>
      </c>
      <c r="I1797" s="7">
        <v>143</v>
      </c>
      <c r="J1797" s="7">
        <v>0</v>
      </c>
      <c r="K1797" s="7" t="s">
        <v>18</v>
      </c>
      <c r="L1797" s="8">
        <v>39987.315405092595</v>
      </c>
      <c r="M1797" s="9" t="s">
        <v>19</v>
      </c>
      <c r="N1797" s="9" t="s">
        <v>20</v>
      </c>
      <c r="O1797" s="6" t="str">
        <f>HYPERLINK("https://pbs.twimg.com/profile_images/962471262747529216/Uo8lOkRJ_normal.jpg","View")</f>
        <v>View</v>
      </c>
      <c r="P1797" s="7"/>
    </row>
    <row r="1798" spans="1:16">
      <c r="A1798" s="3">
        <v>43857.831643518519</v>
      </c>
      <c r="B1798" s="4" t="str">
        <f>HYPERLINK("https://twitter.com/petrogustavo","@petrogustavo")</f>
        <v>@petrogustavo</v>
      </c>
      <c r="C1798" s="5" t="s">
        <v>16</v>
      </c>
      <c r="D1798" s="5" t="s">
        <v>1766</v>
      </c>
      <c r="E1798" s="6" t="str">
        <f>HYPERLINK("https://twitter.com/petrogustavo/status/1221801928344186887","1221801928344186887")</f>
        <v>1221801928344186887</v>
      </c>
      <c r="F1798" s="7" t="s">
        <v>17</v>
      </c>
      <c r="G1798" s="7">
        <v>3620084</v>
      </c>
      <c r="H1798" s="7">
        <v>2351</v>
      </c>
      <c r="I1798" s="7">
        <v>65</v>
      </c>
      <c r="J1798" s="7">
        <v>237</v>
      </c>
      <c r="K1798" s="7" t="s">
        <v>18</v>
      </c>
      <c r="L1798" s="8">
        <v>39987.315405092595</v>
      </c>
      <c r="M1798" s="9" t="s">
        <v>19</v>
      </c>
      <c r="N1798" s="9" t="s">
        <v>20</v>
      </c>
      <c r="O1798" s="6" t="str">
        <f>HYPERLINK("https://pbs.twimg.com/profile_images/962471262747529216/Uo8lOkRJ_normal.jpg","View")</f>
        <v>View</v>
      </c>
      <c r="P1798" s="7"/>
    </row>
    <row r="1799" spans="1:16">
      <c r="A1799" s="3">
        <v>43857.833425925928</v>
      </c>
      <c r="B1799" s="4" t="str">
        <f>HYPERLINK("https://twitter.com/petrogustavo","@petrogustavo")</f>
        <v>@petrogustavo</v>
      </c>
      <c r="C1799" s="5" t="s">
        <v>16</v>
      </c>
      <c r="D1799" s="5" t="s">
        <v>1767</v>
      </c>
      <c r="E1799" s="6" t="str">
        <f>HYPERLINK("https://twitter.com/petrogustavo/status/1221802575135154176","1221802575135154176")</f>
        <v>1221802575135154176</v>
      </c>
      <c r="F1799" s="7" t="s">
        <v>17</v>
      </c>
      <c r="G1799" s="7">
        <v>3620084</v>
      </c>
      <c r="H1799" s="7">
        <v>2351</v>
      </c>
      <c r="I1799" s="7">
        <v>144</v>
      </c>
      <c r="J1799" s="7">
        <v>0</v>
      </c>
      <c r="K1799" s="7" t="s">
        <v>18</v>
      </c>
      <c r="L1799" s="8">
        <v>39987.315405092595</v>
      </c>
      <c r="M1799" s="9" t="s">
        <v>19</v>
      </c>
      <c r="N1799" s="9" t="s">
        <v>20</v>
      </c>
      <c r="O1799" s="6" t="str">
        <f>HYPERLINK("https://pbs.twimg.com/profile_images/962471262747529216/Uo8lOkRJ_normal.jpg","View")</f>
        <v>View</v>
      </c>
      <c r="P1799" s="7"/>
    </row>
    <row r="1800" spans="1:16">
      <c r="A1800" s="3">
        <v>43857.834074074075</v>
      </c>
      <c r="B1800" s="4" t="str">
        <f>HYPERLINK("https://twitter.com/petrogustavo","@petrogustavo")</f>
        <v>@petrogustavo</v>
      </c>
      <c r="C1800" s="5" t="s">
        <v>16</v>
      </c>
      <c r="D1800" s="5" t="s">
        <v>1768</v>
      </c>
      <c r="E1800" s="6" t="str">
        <f>HYPERLINK("https://twitter.com/petrogustavo/status/1221802808921378816","1221802808921378816")</f>
        <v>1221802808921378816</v>
      </c>
      <c r="F1800" s="7" t="s">
        <v>17</v>
      </c>
      <c r="G1800" s="7">
        <v>3620084</v>
      </c>
      <c r="H1800" s="7">
        <v>2351</v>
      </c>
      <c r="I1800" s="7">
        <v>104</v>
      </c>
      <c r="J1800" s="7">
        <v>0</v>
      </c>
      <c r="K1800" s="7" t="s">
        <v>18</v>
      </c>
      <c r="L1800" s="8">
        <v>39987.315405092595</v>
      </c>
      <c r="M1800" s="9" t="s">
        <v>19</v>
      </c>
      <c r="N1800" s="9" t="s">
        <v>20</v>
      </c>
      <c r="O1800" s="6" t="str">
        <f>HYPERLINK("https://pbs.twimg.com/profile_images/962471262747529216/Uo8lOkRJ_normal.jpg","View")</f>
        <v>View</v>
      </c>
      <c r="P1800" s="7"/>
    </row>
    <row r="1801" spans="1:16">
      <c r="A1801" s="3">
        <v>43857.83997685185</v>
      </c>
      <c r="B1801" s="4" t="str">
        <f>HYPERLINK("https://twitter.com/petrogustavo","@petrogustavo")</f>
        <v>@petrogustavo</v>
      </c>
      <c r="C1801" s="5" t="s">
        <v>16</v>
      </c>
      <c r="D1801" s="5" t="s">
        <v>1769</v>
      </c>
      <c r="E1801" s="6" t="str">
        <f>HYPERLINK("https://twitter.com/petrogustavo/status/1221804949044105216","1221804949044105216")</f>
        <v>1221804949044105216</v>
      </c>
      <c r="F1801" s="7" t="s">
        <v>17</v>
      </c>
      <c r="G1801" s="7">
        <v>3620084</v>
      </c>
      <c r="H1801" s="7">
        <v>2351</v>
      </c>
      <c r="I1801" s="7">
        <v>485</v>
      </c>
      <c r="J1801" s="7">
        <v>0</v>
      </c>
      <c r="K1801" s="7" t="s">
        <v>18</v>
      </c>
      <c r="L1801" s="8">
        <v>39987.315405092595</v>
      </c>
      <c r="M1801" s="9" t="s">
        <v>19</v>
      </c>
      <c r="N1801" s="9" t="s">
        <v>20</v>
      </c>
      <c r="O1801" s="6" t="str">
        <f>HYPERLINK("https://pbs.twimg.com/profile_images/962471262747529216/Uo8lOkRJ_normal.jpg","View")</f>
        <v>View</v>
      </c>
      <c r="P1801" s="7"/>
    </row>
    <row r="1802" spans="1:16">
      <c r="A1802" s="3">
        <v>43857.844444444447</v>
      </c>
      <c r="B1802" s="4" t="str">
        <f>HYPERLINK("https://twitter.com/petrogustavo","@petrogustavo")</f>
        <v>@petrogustavo</v>
      </c>
      <c r="C1802" s="5" t="s">
        <v>16</v>
      </c>
      <c r="D1802" s="5" t="s">
        <v>1770</v>
      </c>
      <c r="E1802" s="6" t="str">
        <f>HYPERLINK("https://twitter.com/petrogustavo/status/1221806569148633088","1221806569148633088")</f>
        <v>1221806569148633088</v>
      </c>
      <c r="F1802" s="7" t="s">
        <v>17</v>
      </c>
      <c r="G1802" s="7">
        <v>3620084</v>
      </c>
      <c r="H1802" s="7">
        <v>2351</v>
      </c>
      <c r="I1802" s="7">
        <v>17</v>
      </c>
      <c r="J1802" s="7">
        <v>23</v>
      </c>
      <c r="K1802" s="7" t="s">
        <v>18</v>
      </c>
      <c r="L1802" s="8">
        <v>39987.315405092595</v>
      </c>
      <c r="M1802" s="9" t="s">
        <v>19</v>
      </c>
      <c r="N1802" s="9" t="s">
        <v>20</v>
      </c>
      <c r="O1802" s="6" t="str">
        <f>HYPERLINK("https://pbs.twimg.com/profile_images/962471262747529216/Uo8lOkRJ_normal.jpg","View")</f>
        <v>View</v>
      </c>
      <c r="P1802" s="7"/>
    </row>
    <row r="1803" spans="1:16">
      <c r="A1803" s="3">
        <v>43857.847858796296</v>
      </c>
      <c r="B1803" s="4" t="str">
        <f>HYPERLINK("https://twitter.com/petrogustavo","@petrogustavo")</f>
        <v>@petrogustavo</v>
      </c>
      <c r="C1803" s="5" t="s">
        <v>16</v>
      </c>
      <c r="D1803" s="5" t="s">
        <v>1771</v>
      </c>
      <c r="E1803" s="6" t="str">
        <f>HYPERLINK("https://twitter.com/petrogustavo/status/1221807805398691842","1221807805398691842")</f>
        <v>1221807805398691842</v>
      </c>
      <c r="F1803" s="7" t="s">
        <v>17</v>
      </c>
      <c r="G1803" s="7">
        <v>3620073</v>
      </c>
      <c r="H1803" s="7">
        <v>2351</v>
      </c>
      <c r="I1803" s="7">
        <v>178</v>
      </c>
      <c r="J1803" s="7">
        <v>477</v>
      </c>
      <c r="K1803" s="7" t="s">
        <v>18</v>
      </c>
      <c r="L1803" s="8">
        <v>39987.315405092595</v>
      </c>
      <c r="M1803" s="9" t="s">
        <v>19</v>
      </c>
      <c r="N1803" s="9" t="s">
        <v>20</v>
      </c>
      <c r="O1803" s="6" t="str">
        <f>HYPERLINK("https://pbs.twimg.com/profile_images/962471262747529216/Uo8lOkRJ_normal.jpg","View")</f>
        <v>View</v>
      </c>
      <c r="P1803" s="7"/>
    </row>
    <row r="1804" spans="1:16">
      <c r="A1804" s="3">
        <v>43857.852870370371</v>
      </c>
      <c r="B1804" s="4" t="str">
        <f>HYPERLINK("https://twitter.com/petrogustavo","@petrogustavo")</f>
        <v>@petrogustavo</v>
      </c>
      <c r="C1804" s="5" t="s">
        <v>16</v>
      </c>
      <c r="D1804" s="5" t="s">
        <v>1772</v>
      </c>
      <c r="E1804" s="6" t="str">
        <f>HYPERLINK("https://twitter.com/petrogustavo/status/1221809622027206656","1221809622027206656")</f>
        <v>1221809622027206656</v>
      </c>
      <c r="F1804" s="7" t="s">
        <v>17</v>
      </c>
      <c r="G1804" s="7">
        <v>3620073</v>
      </c>
      <c r="H1804" s="7">
        <v>2351</v>
      </c>
      <c r="I1804" s="7">
        <v>77</v>
      </c>
      <c r="J1804" s="7">
        <v>183</v>
      </c>
      <c r="K1804" s="7" t="s">
        <v>18</v>
      </c>
      <c r="L1804" s="8">
        <v>39987.315405092595</v>
      </c>
      <c r="M1804" s="9" t="s">
        <v>19</v>
      </c>
      <c r="N1804" s="9" t="s">
        <v>20</v>
      </c>
      <c r="O1804" s="6" t="str">
        <f>HYPERLINK("https://pbs.twimg.com/profile_images/962471262747529216/Uo8lOkRJ_normal.jpg","View")</f>
        <v>View</v>
      </c>
      <c r="P1804" s="7"/>
    </row>
    <row r="1805" spans="1:16">
      <c r="A1805" s="3">
        <v>43857.855624999997</v>
      </c>
      <c r="B1805" s="4" t="str">
        <f>HYPERLINK("https://twitter.com/petrogustavo","@petrogustavo")</f>
        <v>@petrogustavo</v>
      </c>
      <c r="C1805" s="5" t="s">
        <v>16</v>
      </c>
      <c r="D1805" s="5" t="s">
        <v>1773</v>
      </c>
      <c r="E1805" s="6" t="str">
        <f>HYPERLINK("https://twitter.com/petrogustavo/status/1221810619978043392","1221810619978043392")</f>
        <v>1221810619978043392</v>
      </c>
      <c r="F1805" s="7" t="s">
        <v>17</v>
      </c>
      <c r="G1805" s="7">
        <v>3620073</v>
      </c>
      <c r="H1805" s="7">
        <v>2351</v>
      </c>
      <c r="I1805" s="7">
        <v>32</v>
      </c>
      <c r="J1805" s="7">
        <v>91</v>
      </c>
      <c r="K1805" s="7" t="s">
        <v>18</v>
      </c>
      <c r="L1805" s="8">
        <v>39987.315405092595</v>
      </c>
      <c r="M1805" s="9" t="s">
        <v>19</v>
      </c>
      <c r="N1805" s="9" t="s">
        <v>20</v>
      </c>
      <c r="O1805" s="6" t="str">
        <f>HYPERLINK("https://pbs.twimg.com/profile_images/962471262747529216/Uo8lOkRJ_normal.jpg","View")</f>
        <v>View</v>
      </c>
      <c r="P1805" s="7"/>
    </row>
    <row r="1806" spans="1:16">
      <c r="A1806" s="3">
        <v>43857.855763888889</v>
      </c>
      <c r="B1806" s="4" t="str">
        <f>HYPERLINK("https://twitter.com/petrogustavo","@petrogustavo")</f>
        <v>@petrogustavo</v>
      </c>
      <c r="C1806" s="5" t="s">
        <v>16</v>
      </c>
      <c r="D1806" s="5" t="s">
        <v>1774</v>
      </c>
      <c r="E1806" s="6" t="str">
        <f>HYPERLINK("https://twitter.com/petrogustavo/status/1221810668426362880","1221810668426362880")</f>
        <v>1221810668426362880</v>
      </c>
      <c r="F1806" s="7" t="s">
        <v>17</v>
      </c>
      <c r="G1806" s="7">
        <v>3620073</v>
      </c>
      <c r="H1806" s="7">
        <v>2351</v>
      </c>
      <c r="I1806" s="7">
        <v>178</v>
      </c>
      <c r="J1806" s="7">
        <v>0</v>
      </c>
      <c r="K1806" s="7" t="s">
        <v>18</v>
      </c>
      <c r="L1806" s="8">
        <v>39987.315405092595</v>
      </c>
      <c r="M1806" s="9" t="s">
        <v>19</v>
      </c>
      <c r="N1806" s="9" t="s">
        <v>20</v>
      </c>
      <c r="O1806" s="6" t="str">
        <f>HYPERLINK("https://pbs.twimg.com/profile_images/962471262747529216/Uo8lOkRJ_normal.jpg","View")</f>
        <v>View</v>
      </c>
      <c r="P1806" s="7"/>
    </row>
    <row r="1807" spans="1:16">
      <c r="A1807" s="3">
        <v>43857.898842592593</v>
      </c>
      <c r="B1807" s="4" t="str">
        <f>HYPERLINK("https://twitter.com/petrogustavo","@petrogustavo")</f>
        <v>@petrogustavo</v>
      </c>
      <c r="C1807" s="5" t="s">
        <v>16</v>
      </c>
      <c r="D1807" s="5" t="s">
        <v>1775</v>
      </c>
      <c r="E1807" s="6" t="str">
        <f>HYPERLINK("https://twitter.com/petrogustavo/status/1221826282159321088","1221826282159321088")</f>
        <v>1221826282159321088</v>
      </c>
      <c r="F1807" s="7" t="s">
        <v>17</v>
      </c>
      <c r="G1807" s="7">
        <v>3620110</v>
      </c>
      <c r="H1807" s="7">
        <v>2351</v>
      </c>
      <c r="I1807" s="7">
        <v>10</v>
      </c>
      <c r="J1807" s="7">
        <v>0</v>
      </c>
      <c r="K1807" s="7" t="s">
        <v>18</v>
      </c>
      <c r="L1807" s="8">
        <v>39987.315405092595</v>
      </c>
      <c r="M1807" s="9" t="s">
        <v>19</v>
      </c>
      <c r="N1807" s="9" t="s">
        <v>20</v>
      </c>
      <c r="O1807" s="6" t="str">
        <f>HYPERLINK("https://pbs.twimg.com/profile_images/962471262747529216/Uo8lOkRJ_normal.jpg","View")</f>
        <v>View</v>
      </c>
      <c r="P1807" s="7"/>
    </row>
    <row r="1808" spans="1:16">
      <c r="A1808" s="3">
        <v>43857.901701388888</v>
      </c>
      <c r="B1808" s="4" t="str">
        <f>HYPERLINK("https://twitter.com/petrogustavo","@petrogustavo")</f>
        <v>@petrogustavo</v>
      </c>
      <c r="C1808" s="5" t="s">
        <v>16</v>
      </c>
      <c r="D1808" s="5" t="s">
        <v>1776</v>
      </c>
      <c r="E1808" s="6" t="str">
        <f>HYPERLINK("https://twitter.com/petrogustavo/status/1221827316160106497","1221827316160106497")</f>
        <v>1221827316160106497</v>
      </c>
      <c r="F1808" s="7" t="s">
        <v>17</v>
      </c>
      <c r="G1808" s="7">
        <v>3620110</v>
      </c>
      <c r="H1808" s="7">
        <v>2351</v>
      </c>
      <c r="I1808" s="7">
        <v>54</v>
      </c>
      <c r="J1808" s="7">
        <v>166</v>
      </c>
      <c r="K1808" s="7" t="s">
        <v>18</v>
      </c>
      <c r="L1808" s="8">
        <v>39987.315405092595</v>
      </c>
      <c r="M1808" s="9" t="s">
        <v>19</v>
      </c>
      <c r="N1808" s="9" t="s">
        <v>20</v>
      </c>
      <c r="O1808" s="6" t="str">
        <f>HYPERLINK("https://pbs.twimg.com/profile_images/962471262747529216/Uo8lOkRJ_normal.jpg","View")</f>
        <v>View</v>
      </c>
      <c r="P1808" s="7"/>
    </row>
    <row r="1809" spans="1:16">
      <c r="A1809" s="3">
        <v>43857.90425925926</v>
      </c>
      <c r="B1809" s="4" t="str">
        <f>HYPERLINK("https://twitter.com/petrogustavo","@petrogustavo")</f>
        <v>@petrogustavo</v>
      </c>
      <c r="C1809" s="5" t="s">
        <v>16</v>
      </c>
      <c r="D1809" s="5" t="s">
        <v>1777</v>
      </c>
      <c r="E1809" s="6" t="str">
        <f>HYPERLINK("https://twitter.com/petrogustavo/status/1221828242010779648","1221828242010779648")</f>
        <v>1221828242010779648</v>
      </c>
      <c r="F1809" s="7" t="s">
        <v>17</v>
      </c>
      <c r="G1809" s="7">
        <v>3620110</v>
      </c>
      <c r="H1809" s="7">
        <v>2351</v>
      </c>
      <c r="I1809" s="7">
        <v>44</v>
      </c>
      <c r="J1809" s="7">
        <v>69</v>
      </c>
      <c r="K1809" s="7" t="s">
        <v>18</v>
      </c>
      <c r="L1809" s="8">
        <v>39987.315405092595</v>
      </c>
      <c r="M1809" s="9" t="s">
        <v>19</v>
      </c>
      <c r="N1809" s="9" t="s">
        <v>20</v>
      </c>
      <c r="O1809" s="6" t="str">
        <f>HYPERLINK("https://pbs.twimg.com/profile_images/962471262747529216/Uo8lOkRJ_normal.jpg","View")</f>
        <v>View</v>
      </c>
      <c r="P1809" s="7"/>
    </row>
    <row r="1810" spans="1:16">
      <c r="A1810" s="3">
        <v>43857.905555555553</v>
      </c>
      <c r="B1810" s="4" t="str">
        <f>HYPERLINK("https://twitter.com/petrogustavo","@petrogustavo")</f>
        <v>@petrogustavo</v>
      </c>
      <c r="C1810" s="5" t="s">
        <v>16</v>
      </c>
      <c r="D1810" s="5" t="s">
        <v>1778</v>
      </c>
      <c r="E1810" s="6" t="str">
        <f>HYPERLINK("https://twitter.com/petrogustavo/status/1221828711919636480","1221828711919636480")</f>
        <v>1221828711919636480</v>
      </c>
      <c r="F1810" s="7" t="s">
        <v>17</v>
      </c>
      <c r="G1810" s="7">
        <v>3620110</v>
      </c>
      <c r="H1810" s="7">
        <v>2351</v>
      </c>
      <c r="I1810" s="7">
        <v>39</v>
      </c>
      <c r="J1810" s="7">
        <v>0</v>
      </c>
      <c r="K1810" s="7" t="s">
        <v>18</v>
      </c>
      <c r="L1810" s="8">
        <v>39987.315405092595</v>
      </c>
      <c r="M1810" s="9" t="s">
        <v>19</v>
      </c>
      <c r="N1810" s="9" t="s">
        <v>20</v>
      </c>
      <c r="O1810" s="6" t="str">
        <f>HYPERLINK("https://pbs.twimg.com/profile_images/962471262747529216/Uo8lOkRJ_normal.jpg","View")</f>
        <v>View</v>
      </c>
      <c r="P1810" s="7"/>
    </row>
    <row r="1811" spans="1:16">
      <c r="A1811" s="3">
        <v>43857.908564814818</v>
      </c>
      <c r="B1811" s="4" t="str">
        <f>HYPERLINK("https://twitter.com/petrogustavo","@petrogustavo")</f>
        <v>@petrogustavo</v>
      </c>
      <c r="C1811" s="5" t="s">
        <v>16</v>
      </c>
      <c r="D1811" s="5" t="s">
        <v>1779</v>
      </c>
      <c r="E1811" s="6" t="str">
        <f>HYPERLINK("https://twitter.com/petrogustavo/status/1221829802363146241","1221829802363146241")</f>
        <v>1221829802363146241</v>
      </c>
      <c r="F1811" s="7" t="s">
        <v>17</v>
      </c>
      <c r="G1811" s="7">
        <v>3620126</v>
      </c>
      <c r="H1811" s="7">
        <v>2351</v>
      </c>
      <c r="I1811" s="7">
        <v>63</v>
      </c>
      <c r="J1811" s="7">
        <v>174</v>
      </c>
      <c r="K1811" s="7" t="s">
        <v>18</v>
      </c>
      <c r="L1811" s="8">
        <v>39987.315405092595</v>
      </c>
      <c r="M1811" s="9" t="s">
        <v>19</v>
      </c>
      <c r="N1811" s="9" t="s">
        <v>20</v>
      </c>
      <c r="O1811" s="6" t="str">
        <f>HYPERLINK("https://pbs.twimg.com/profile_images/962471262747529216/Uo8lOkRJ_normal.jpg","View")</f>
        <v>View</v>
      </c>
      <c r="P1811" s="7"/>
    </row>
    <row r="1812" spans="1:16">
      <c r="A1812" s="3">
        <v>43857.919768518521</v>
      </c>
      <c r="B1812" s="4" t="str">
        <f>HYPERLINK("https://twitter.com/petrogustavo","@petrogustavo")</f>
        <v>@petrogustavo</v>
      </c>
      <c r="C1812" s="5" t="s">
        <v>16</v>
      </c>
      <c r="D1812" s="5" t="s">
        <v>1780</v>
      </c>
      <c r="E1812" s="6" t="str">
        <f>HYPERLINK("https://twitter.com/petrogustavo/status/1221833864978534400","1221833864978534400")</f>
        <v>1221833864978534400</v>
      </c>
      <c r="F1812" s="7" t="s">
        <v>17</v>
      </c>
      <c r="G1812" s="7">
        <v>3620126</v>
      </c>
      <c r="H1812" s="7">
        <v>2351</v>
      </c>
      <c r="I1812" s="7">
        <v>55</v>
      </c>
      <c r="J1812" s="7">
        <v>157</v>
      </c>
      <c r="K1812" s="7" t="s">
        <v>18</v>
      </c>
      <c r="L1812" s="8">
        <v>39987.315405092595</v>
      </c>
      <c r="M1812" s="9" t="s">
        <v>19</v>
      </c>
      <c r="N1812" s="9" t="s">
        <v>20</v>
      </c>
      <c r="O1812" s="6" t="str">
        <f>HYPERLINK("https://pbs.twimg.com/profile_images/962471262747529216/Uo8lOkRJ_normal.jpg","View")</f>
        <v>View</v>
      </c>
      <c r="P1812" s="7"/>
    </row>
    <row r="1813" spans="1:16">
      <c r="A1813" s="3">
        <v>43857.935648148152</v>
      </c>
      <c r="B1813" s="4" t="str">
        <f>HYPERLINK("https://twitter.com/petrogustavo","@petrogustavo")</f>
        <v>@petrogustavo</v>
      </c>
      <c r="C1813" s="5" t="s">
        <v>16</v>
      </c>
      <c r="D1813" s="5" t="s">
        <v>1781</v>
      </c>
      <c r="E1813" s="6" t="str">
        <f>HYPERLINK("https://twitter.com/petrogustavo/status/1221839618720567301","1221839618720567301")</f>
        <v>1221839618720567301</v>
      </c>
      <c r="F1813" s="7" t="s">
        <v>17</v>
      </c>
      <c r="G1813" s="7">
        <v>3620126</v>
      </c>
      <c r="H1813" s="7">
        <v>2351</v>
      </c>
      <c r="I1813" s="7">
        <v>53</v>
      </c>
      <c r="J1813" s="7">
        <v>133</v>
      </c>
      <c r="K1813" s="7" t="s">
        <v>18</v>
      </c>
      <c r="L1813" s="8">
        <v>39987.315405092595</v>
      </c>
      <c r="M1813" s="9" t="s">
        <v>19</v>
      </c>
      <c r="N1813" s="9" t="s">
        <v>20</v>
      </c>
      <c r="O1813" s="6" t="str">
        <f>HYPERLINK("https://pbs.twimg.com/profile_images/962471262747529216/Uo8lOkRJ_normal.jpg","View")</f>
        <v>View</v>
      </c>
      <c r="P1813" s="7"/>
    </row>
    <row r="1814" spans="1:16">
      <c r="A1814" s="3">
        <v>43857.940659722226</v>
      </c>
      <c r="B1814" s="4" t="str">
        <f>HYPERLINK("https://twitter.com/petrogustavo","@petrogustavo")</f>
        <v>@petrogustavo</v>
      </c>
      <c r="C1814" s="5" t="s">
        <v>16</v>
      </c>
      <c r="D1814" s="5" t="s">
        <v>1782</v>
      </c>
      <c r="E1814" s="6" t="str">
        <f>HYPERLINK("https://twitter.com/petrogustavo/status/1221841433352704000","1221841433352704000")</f>
        <v>1221841433352704000</v>
      </c>
      <c r="F1814" s="7" t="s">
        <v>17</v>
      </c>
      <c r="G1814" s="7">
        <v>3620126</v>
      </c>
      <c r="H1814" s="7">
        <v>2351</v>
      </c>
      <c r="I1814" s="7">
        <v>28</v>
      </c>
      <c r="J1814" s="7">
        <v>60</v>
      </c>
      <c r="K1814" s="7" t="s">
        <v>18</v>
      </c>
      <c r="L1814" s="8">
        <v>39987.315405092595</v>
      </c>
      <c r="M1814" s="9" t="s">
        <v>19</v>
      </c>
      <c r="N1814" s="9" t="s">
        <v>20</v>
      </c>
      <c r="O1814" s="6" t="str">
        <f>HYPERLINK("https://pbs.twimg.com/profile_images/962471262747529216/Uo8lOkRJ_normal.jpg","View")</f>
        <v>View</v>
      </c>
      <c r="P1814" s="7"/>
    </row>
    <row r="1815" spans="1:16">
      <c r="A1815" s="3">
        <v>43857.944826388892</v>
      </c>
      <c r="B1815" s="4" t="str">
        <f>HYPERLINK("https://twitter.com/petrogustavo","@petrogustavo")</f>
        <v>@petrogustavo</v>
      </c>
      <c r="C1815" s="5" t="s">
        <v>16</v>
      </c>
      <c r="D1815" s="5" t="s">
        <v>1783</v>
      </c>
      <c r="E1815" s="6" t="str">
        <f>HYPERLINK("https://twitter.com/petrogustavo/status/1221842943876661250","1221842943876661250")</f>
        <v>1221842943876661250</v>
      </c>
      <c r="F1815" s="7" t="s">
        <v>17</v>
      </c>
      <c r="G1815" s="7">
        <v>3620126</v>
      </c>
      <c r="H1815" s="7">
        <v>2351</v>
      </c>
      <c r="I1815" s="7">
        <v>41</v>
      </c>
      <c r="J1815" s="7">
        <v>77</v>
      </c>
      <c r="K1815" s="7" t="s">
        <v>18</v>
      </c>
      <c r="L1815" s="8">
        <v>39987.315405092595</v>
      </c>
      <c r="M1815" s="9" t="s">
        <v>19</v>
      </c>
      <c r="N1815" s="9" t="s">
        <v>20</v>
      </c>
      <c r="O1815" s="6" t="str">
        <f>HYPERLINK("https://pbs.twimg.com/profile_images/962471262747529216/Uo8lOkRJ_normal.jpg","View")</f>
        <v>View</v>
      </c>
      <c r="P1815" s="7"/>
    </row>
    <row r="1816" spans="1:16">
      <c r="A1816" s="3">
        <v>43858.031643518523</v>
      </c>
      <c r="B1816" s="4" t="str">
        <f>HYPERLINK("https://twitter.com/petrogustavo","@petrogustavo")</f>
        <v>@petrogustavo</v>
      </c>
      <c r="C1816" s="5" t="s">
        <v>16</v>
      </c>
      <c r="D1816" s="5" t="s">
        <v>1784</v>
      </c>
      <c r="E1816" s="6" t="str">
        <f>HYPERLINK("https://twitter.com/petrogustavo/status/1221874405275512833","1221874405275512833")</f>
        <v>1221874405275512833</v>
      </c>
      <c r="F1816" s="7" t="s">
        <v>32</v>
      </c>
      <c r="G1816" s="7">
        <v>3620205</v>
      </c>
      <c r="H1816" s="7">
        <v>2351</v>
      </c>
      <c r="I1816" s="7">
        <v>70</v>
      </c>
      <c r="J1816" s="7">
        <v>0</v>
      </c>
      <c r="K1816" s="7" t="s">
        <v>18</v>
      </c>
      <c r="L1816" s="8">
        <v>39987.315405092595</v>
      </c>
      <c r="M1816" s="9" t="s">
        <v>19</v>
      </c>
      <c r="N1816" s="9" t="s">
        <v>20</v>
      </c>
      <c r="O1816" s="6" t="str">
        <f>HYPERLINK("https://pbs.twimg.com/profile_images/962471262747529216/Uo8lOkRJ_normal.jpg","View")</f>
        <v>View</v>
      </c>
      <c r="P1816" s="7"/>
    </row>
    <row r="1817" spans="1:16">
      <c r="A1817" s="3">
        <v>43858.769745370373</v>
      </c>
      <c r="B1817" s="4" t="str">
        <f>HYPERLINK("https://twitter.com/petrogustavo","@petrogustavo")</f>
        <v>@petrogustavo</v>
      </c>
      <c r="C1817" s="5" t="s">
        <v>16</v>
      </c>
      <c r="D1817" s="5" t="s">
        <v>1785</v>
      </c>
      <c r="E1817" s="6" t="str">
        <f>HYPERLINK("https://twitter.com/petrogustavo/status/1222141886728753152","1222141886728753152")</f>
        <v>1222141886728753152</v>
      </c>
      <c r="F1817" s="7" t="s">
        <v>17</v>
      </c>
      <c r="G1817" s="7">
        <v>3620580</v>
      </c>
      <c r="H1817" s="7">
        <v>2351</v>
      </c>
      <c r="I1817" s="7">
        <v>95</v>
      </c>
      <c r="J1817" s="7">
        <v>286</v>
      </c>
      <c r="K1817" s="7" t="s">
        <v>18</v>
      </c>
      <c r="L1817" s="8">
        <v>39987.315405092595</v>
      </c>
      <c r="M1817" s="9" t="s">
        <v>19</v>
      </c>
      <c r="N1817" s="9" t="s">
        <v>20</v>
      </c>
      <c r="O1817" s="6" t="str">
        <f>HYPERLINK("https://pbs.twimg.com/profile_images/962471262747529216/Uo8lOkRJ_normal.jpg","View")</f>
        <v>View</v>
      </c>
      <c r="P1817" s="7"/>
    </row>
    <row r="1818" spans="1:16">
      <c r="A1818" s="3">
        <v>43858.771898148145</v>
      </c>
      <c r="B1818" s="4" t="str">
        <f>HYPERLINK("https://twitter.com/petrogustavo","@petrogustavo")</f>
        <v>@petrogustavo</v>
      </c>
      <c r="C1818" s="5" t="s">
        <v>16</v>
      </c>
      <c r="D1818" s="5" t="s">
        <v>1786</v>
      </c>
      <c r="E1818" s="6" t="str">
        <f>HYPERLINK("https://twitter.com/petrogustavo/status/1222142664851836928","1222142664851836928")</f>
        <v>1222142664851836928</v>
      </c>
      <c r="F1818" s="7" t="s">
        <v>17</v>
      </c>
      <c r="G1818" s="7">
        <v>3620580</v>
      </c>
      <c r="H1818" s="7">
        <v>2351</v>
      </c>
      <c r="I1818" s="7">
        <v>0</v>
      </c>
      <c r="J1818" s="7">
        <v>9</v>
      </c>
      <c r="K1818" s="7" t="s">
        <v>18</v>
      </c>
      <c r="L1818" s="8">
        <v>39987.315405092595</v>
      </c>
      <c r="M1818" s="9" t="s">
        <v>19</v>
      </c>
      <c r="N1818" s="9" t="s">
        <v>20</v>
      </c>
      <c r="O1818" s="6" t="str">
        <f>HYPERLINK("https://pbs.twimg.com/profile_images/962471262747529216/Uo8lOkRJ_normal.jpg","View")</f>
        <v>View</v>
      </c>
      <c r="P1818" s="7"/>
    </row>
    <row r="1819" spans="1:16">
      <c r="A1819" s="3">
        <v>43858.774247685185</v>
      </c>
      <c r="B1819" s="4" t="str">
        <f>HYPERLINK("https://twitter.com/petrogustavo","@petrogustavo")</f>
        <v>@petrogustavo</v>
      </c>
      <c r="C1819" s="5" t="s">
        <v>16</v>
      </c>
      <c r="D1819" s="5" t="s">
        <v>1787</v>
      </c>
      <c r="E1819" s="6" t="str">
        <f>HYPERLINK("https://twitter.com/petrogustavo/status/1222143518287843329","1222143518287843329")</f>
        <v>1222143518287843329</v>
      </c>
      <c r="F1819" s="7" t="s">
        <v>17</v>
      </c>
      <c r="G1819" s="7">
        <v>3620581</v>
      </c>
      <c r="H1819" s="7">
        <v>2351</v>
      </c>
      <c r="I1819" s="7">
        <v>90</v>
      </c>
      <c r="J1819" s="7">
        <v>182</v>
      </c>
      <c r="K1819" s="7" t="s">
        <v>18</v>
      </c>
      <c r="L1819" s="8">
        <v>39987.315405092595</v>
      </c>
      <c r="M1819" s="9" t="s">
        <v>19</v>
      </c>
      <c r="N1819" s="9" t="s">
        <v>20</v>
      </c>
      <c r="O1819" s="6" t="str">
        <f>HYPERLINK("https://pbs.twimg.com/profile_images/962471262747529216/Uo8lOkRJ_normal.jpg","View")</f>
        <v>View</v>
      </c>
      <c r="P1819" s="7"/>
    </row>
    <row r="1820" spans="1:16">
      <c r="A1820" s="3">
        <v>43858.775289351848</v>
      </c>
      <c r="B1820" s="4" t="str">
        <f>HYPERLINK("https://twitter.com/petrogustavo","@petrogustavo")</f>
        <v>@petrogustavo</v>
      </c>
      <c r="C1820" s="5" t="s">
        <v>16</v>
      </c>
      <c r="D1820" s="5" t="s">
        <v>1788</v>
      </c>
      <c r="E1820" s="6" t="str">
        <f>HYPERLINK("https://twitter.com/petrogustavo/status/1222143896211394560","1222143896211394560")</f>
        <v>1222143896211394560</v>
      </c>
      <c r="F1820" s="7" t="s">
        <v>17</v>
      </c>
      <c r="G1820" s="7">
        <v>3620581</v>
      </c>
      <c r="H1820" s="7">
        <v>2351</v>
      </c>
      <c r="I1820" s="7">
        <v>350</v>
      </c>
      <c r="J1820" s="7">
        <v>0</v>
      </c>
      <c r="K1820" s="7" t="s">
        <v>18</v>
      </c>
      <c r="L1820" s="8">
        <v>39987.315405092595</v>
      </c>
      <c r="M1820" s="9" t="s">
        <v>19</v>
      </c>
      <c r="N1820" s="9" t="s">
        <v>20</v>
      </c>
      <c r="O1820" s="6" t="str">
        <f>HYPERLINK("https://pbs.twimg.com/profile_images/962471262747529216/Uo8lOkRJ_normal.jpg","View")</f>
        <v>View</v>
      </c>
      <c r="P1820" s="7"/>
    </row>
    <row r="1821" spans="1:16">
      <c r="A1821" s="3">
        <v>43858.780208333337</v>
      </c>
      <c r="B1821" s="4" t="str">
        <f>HYPERLINK("https://twitter.com/petrogustavo","@petrogustavo")</f>
        <v>@petrogustavo</v>
      </c>
      <c r="C1821" s="5" t="s">
        <v>16</v>
      </c>
      <c r="D1821" s="5" t="s">
        <v>1789</v>
      </c>
      <c r="E1821" s="6" t="str">
        <f>HYPERLINK("https://twitter.com/petrogustavo/status/1222145676655591425","1222145676655591425")</f>
        <v>1222145676655591425</v>
      </c>
      <c r="F1821" s="7" t="s">
        <v>17</v>
      </c>
      <c r="G1821" s="7">
        <v>3620581</v>
      </c>
      <c r="H1821" s="7">
        <v>2351</v>
      </c>
      <c r="I1821" s="7">
        <v>1154</v>
      </c>
      <c r="J1821" s="7">
        <v>0</v>
      </c>
      <c r="K1821" s="7" t="s">
        <v>18</v>
      </c>
      <c r="L1821" s="8">
        <v>39987.315405092595</v>
      </c>
      <c r="M1821" s="9" t="s">
        <v>19</v>
      </c>
      <c r="N1821" s="9" t="s">
        <v>20</v>
      </c>
      <c r="O1821" s="6" t="str">
        <f>HYPERLINK("https://pbs.twimg.com/profile_images/962471262747529216/Uo8lOkRJ_normal.jpg","View")</f>
        <v>View</v>
      </c>
      <c r="P1821" s="7"/>
    </row>
    <row r="1822" spans="1:16">
      <c r="A1822" s="3">
        <v>43858.791365740741</v>
      </c>
      <c r="B1822" s="4" t="str">
        <f>HYPERLINK("https://twitter.com/petrogustavo","@petrogustavo")</f>
        <v>@petrogustavo</v>
      </c>
      <c r="C1822" s="5" t="s">
        <v>16</v>
      </c>
      <c r="D1822" s="5" t="s">
        <v>1790</v>
      </c>
      <c r="E1822" s="6" t="str">
        <f>HYPERLINK("https://twitter.com/petrogustavo/status/1222149718953877504","1222149718953877504")</f>
        <v>1222149718953877504</v>
      </c>
      <c r="F1822" s="7" t="s">
        <v>17</v>
      </c>
      <c r="G1822" s="7">
        <v>3620581</v>
      </c>
      <c r="H1822" s="7">
        <v>2351</v>
      </c>
      <c r="I1822" s="7">
        <v>57</v>
      </c>
      <c r="J1822" s="7">
        <v>199</v>
      </c>
      <c r="K1822" s="7" t="s">
        <v>18</v>
      </c>
      <c r="L1822" s="8">
        <v>39987.315405092595</v>
      </c>
      <c r="M1822" s="9" t="s">
        <v>19</v>
      </c>
      <c r="N1822" s="9" t="s">
        <v>20</v>
      </c>
      <c r="O1822" s="6" t="str">
        <f>HYPERLINK("https://pbs.twimg.com/profile_images/962471262747529216/Uo8lOkRJ_normal.jpg","View")</f>
        <v>View</v>
      </c>
      <c r="P1822" s="7"/>
    </row>
    <row r="1823" spans="1:16">
      <c r="A1823" s="3">
        <v>43858.792465277773</v>
      </c>
      <c r="B1823" s="4" t="str">
        <f>HYPERLINK("https://twitter.com/petrogustavo","@petrogustavo")</f>
        <v>@petrogustavo</v>
      </c>
      <c r="C1823" s="5" t="s">
        <v>16</v>
      </c>
      <c r="D1823" s="5" t="s">
        <v>1791</v>
      </c>
      <c r="E1823" s="6" t="str">
        <f>HYPERLINK("https://twitter.com/petrogustavo/status/1222150120571113474","1222150120571113474")</f>
        <v>1222150120571113474</v>
      </c>
      <c r="F1823" s="7" t="s">
        <v>17</v>
      </c>
      <c r="G1823" s="7">
        <v>3620581</v>
      </c>
      <c r="H1823" s="7">
        <v>2351</v>
      </c>
      <c r="I1823" s="7">
        <v>243</v>
      </c>
      <c r="J1823" s="7">
        <v>0</v>
      </c>
      <c r="K1823" s="7" t="s">
        <v>18</v>
      </c>
      <c r="L1823" s="8">
        <v>39987.315405092595</v>
      </c>
      <c r="M1823" s="9" t="s">
        <v>19</v>
      </c>
      <c r="N1823" s="9" t="s">
        <v>20</v>
      </c>
      <c r="O1823" s="6" t="str">
        <f>HYPERLINK("https://pbs.twimg.com/profile_images/962471262747529216/Uo8lOkRJ_normal.jpg","View")</f>
        <v>View</v>
      </c>
      <c r="P1823" s="7"/>
    </row>
    <row r="1824" spans="1:16">
      <c r="A1824" s="3">
        <v>43858.7966087963</v>
      </c>
      <c r="B1824" s="4" t="str">
        <f>HYPERLINK("https://twitter.com/petrogustavo","@petrogustavo")</f>
        <v>@petrogustavo</v>
      </c>
      <c r="C1824" s="5" t="s">
        <v>16</v>
      </c>
      <c r="D1824" s="5" t="s">
        <v>1792</v>
      </c>
      <c r="E1824" s="6" t="str">
        <f>HYPERLINK("https://twitter.com/petrogustavo/status/1222151621469184000","1222151621469184000")</f>
        <v>1222151621469184000</v>
      </c>
      <c r="F1824" s="7" t="s">
        <v>17</v>
      </c>
      <c r="G1824" s="7">
        <v>3620595</v>
      </c>
      <c r="H1824" s="7">
        <v>2351</v>
      </c>
      <c r="I1824" s="7">
        <v>291</v>
      </c>
      <c r="J1824" s="7">
        <v>0</v>
      </c>
      <c r="K1824" s="7" t="s">
        <v>18</v>
      </c>
      <c r="L1824" s="8">
        <v>39987.315405092595</v>
      </c>
      <c r="M1824" s="9" t="s">
        <v>19</v>
      </c>
      <c r="N1824" s="9" t="s">
        <v>20</v>
      </c>
      <c r="O1824" s="6" t="str">
        <f>HYPERLINK("https://pbs.twimg.com/profile_images/962471262747529216/Uo8lOkRJ_normal.jpg","View")</f>
        <v>View</v>
      </c>
      <c r="P1824" s="7"/>
    </row>
    <row r="1825" spans="1:16">
      <c r="A1825" s="3">
        <v>43858.816342592589</v>
      </c>
      <c r="B1825" s="4" t="str">
        <f>HYPERLINK("https://twitter.com/petrogustavo","@petrogustavo")</f>
        <v>@petrogustavo</v>
      </c>
      <c r="C1825" s="5" t="s">
        <v>16</v>
      </c>
      <c r="D1825" s="5" t="s">
        <v>1793</v>
      </c>
      <c r="E1825" s="6" t="str">
        <f>HYPERLINK("https://twitter.com/petrogustavo/status/1222158771205570560","1222158771205570560")</f>
        <v>1222158771205570560</v>
      </c>
      <c r="F1825" s="7" t="s">
        <v>17</v>
      </c>
      <c r="G1825" s="7">
        <v>3620626</v>
      </c>
      <c r="H1825" s="7">
        <v>2351</v>
      </c>
      <c r="I1825" s="7">
        <v>190</v>
      </c>
      <c r="J1825" s="7">
        <v>489</v>
      </c>
      <c r="K1825" s="7" t="s">
        <v>18</v>
      </c>
      <c r="L1825" s="8">
        <v>39987.315405092595</v>
      </c>
      <c r="M1825" s="9" t="s">
        <v>19</v>
      </c>
      <c r="N1825" s="9" t="s">
        <v>20</v>
      </c>
      <c r="O1825" s="6" t="str">
        <f>HYPERLINK("https://pbs.twimg.com/profile_images/962471262747529216/Uo8lOkRJ_normal.jpg","View")</f>
        <v>View</v>
      </c>
      <c r="P1825" s="7"/>
    </row>
    <row r="1826" spans="1:16">
      <c r="A1826" s="3">
        <v>43858.819386574076</v>
      </c>
      <c r="B1826" s="4" t="str">
        <f>HYPERLINK("https://twitter.com/petrogustavo","@petrogustavo")</f>
        <v>@petrogustavo</v>
      </c>
      <c r="C1826" s="5" t="s">
        <v>16</v>
      </c>
      <c r="D1826" s="5" t="s">
        <v>1794</v>
      </c>
      <c r="E1826" s="6" t="str">
        <f>HYPERLINK("https://twitter.com/petrogustavo/status/1222159873720356865","1222159873720356865")</f>
        <v>1222159873720356865</v>
      </c>
      <c r="F1826" s="7" t="s">
        <v>17</v>
      </c>
      <c r="G1826" s="7">
        <v>3620626</v>
      </c>
      <c r="H1826" s="7">
        <v>2351</v>
      </c>
      <c r="I1826" s="7">
        <v>77</v>
      </c>
      <c r="J1826" s="7">
        <v>293</v>
      </c>
      <c r="K1826" s="7" t="s">
        <v>18</v>
      </c>
      <c r="L1826" s="8">
        <v>39987.315405092595</v>
      </c>
      <c r="M1826" s="9" t="s">
        <v>19</v>
      </c>
      <c r="N1826" s="9" t="s">
        <v>20</v>
      </c>
      <c r="O1826" s="6" t="str">
        <f>HYPERLINK("https://pbs.twimg.com/profile_images/962471262747529216/Uo8lOkRJ_normal.jpg","View")</f>
        <v>View</v>
      </c>
      <c r="P1826" s="7"/>
    </row>
    <row r="1827" spans="1:16">
      <c r="A1827" s="3">
        <v>43858.821180555555</v>
      </c>
      <c r="B1827" s="4" t="str">
        <f>HYPERLINK("https://twitter.com/petrogustavo","@petrogustavo")</f>
        <v>@petrogustavo</v>
      </c>
      <c r="C1827" s="5" t="s">
        <v>16</v>
      </c>
      <c r="D1827" s="5" t="s">
        <v>1795</v>
      </c>
      <c r="E1827" s="6" t="str">
        <f>HYPERLINK("https://twitter.com/petrogustavo/status/1222160526412845057","1222160526412845057")</f>
        <v>1222160526412845057</v>
      </c>
      <c r="F1827" s="7" t="s">
        <v>17</v>
      </c>
      <c r="G1827" s="7">
        <v>3620626</v>
      </c>
      <c r="H1827" s="7">
        <v>2351</v>
      </c>
      <c r="I1827" s="7">
        <v>120</v>
      </c>
      <c r="J1827" s="7">
        <v>0</v>
      </c>
      <c r="K1827" s="7" t="s">
        <v>18</v>
      </c>
      <c r="L1827" s="8">
        <v>39987.315405092595</v>
      </c>
      <c r="M1827" s="9" t="s">
        <v>19</v>
      </c>
      <c r="N1827" s="9" t="s">
        <v>20</v>
      </c>
      <c r="O1827" s="6" t="str">
        <f>HYPERLINK("https://pbs.twimg.com/profile_images/962471262747529216/Uo8lOkRJ_normal.jpg","View")</f>
        <v>View</v>
      </c>
      <c r="P1827" s="7"/>
    </row>
    <row r="1828" spans="1:16">
      <c r="A1828" s="3">
        <v>43858.821527777778</v>
      </c>
      <c r="B1828" s="4" t="str">
        <f>HYPERLINK("https://twitter.com/petrogustavo","@petrogustavo")</f>
        <v>@petrogustavo</v>
      </c>
      <c r="C1828" s="5" t="s">
        <v>16</v>
      </c>
      <c r="D1828" s="5" t="s">
        <v>1796</v>
      </c>
      <c r="E1828" s="6" t="str">
        <f>HYPERLINK("https://twitter.com/petrogustavo/status/1222160652392960000","1222160652392960000")</f>
        <v>1222160652392960000</v>
      </c>
      <c r="F1828" s="7" t="s">
        <v>17</v>
      </c>
      <c r="G1828" s="7">
        <v>3620626</v>
      </c>
      <c r="H1828" s="7">
        <v>2351</v>
      </c>
      <c r="I1828" s="7">
        <v>127</v>
      </c>
      <c r="J1828" s="7">
        <v>524</v>
      </c>
      <c r="K1828" s="7" t="s">
        <v>18</v>
      </c>
      <c r="L1828" s="8">
        <v>39987.315405092595</v>
      </c>
      <c r="M1828" s="9" t="s">
        <v>19</v>
      </c>
      <c r="N1828" s="9" t="s">
        <v>20</v>
      </c>
      <c r="O1828" s="6" t="str">
        <f>HYPERLINK("https://pbs.twimg.com/profile_images/962471262747529216/Uo8lOkRJ_normal.jpg","View")</f>
        <v>View</v>
      </c>
      <c r="P1828" s="7"/>
    </row>
    <row r="1829" spans="1:16">
      <c r="A1829" s="3">
        <v>43858.850324074076</v>
      </c>
      <c r="B1829" s="4" t="str">
        <f>HYPERLINK("https://twitter.com/petrogustavo","@petrogustavo")</f>
        <v>@petrogustavo</v>
      </c>
      <c r="C1829" s="5" t="s">
        <v>16</v>
      </c>
      <c r="D1829" s="5" t="s">
        <v>1797</v>
      </c>
      <c r="E1829" s="6" t="str">
        <f>HYPERLINK("https://twitter.com/petrogustavo/status/1222171088328830977","1222171088328830977")</f>
        <v>1222171088328830977</v>
      </c>
      <c r="F1829" s="7" t="s">
        <v>32</v>
      </c>
      <c r="G1829" s="7">
        <v>3620657</v>
      </c>
      <c r="H1829" s="7">
        <v>2351</v>
      </c>
      <c r="I1829" s="7">
        <v>68</v>
      </c>
      <c r="J1829" s="7">
        <v>216</v>
      </c>
      <c r="K1829" s="7" t="s">
        <v>18</v>
      </c>
      <c r="L1829" s="8">
        <v>39987.315405092595</v>
      </c>
      <c r="M1829" s="9" t="s">
        <v>19</v>
      </c>
      <c r="N1829" s="9" t="s">
        <v>20</v>
      </c>
      <c r="O1829" s="6" t="str">
        <f>HYPERLINK("https://pbs.twimg.com/profile_images/962471262747529216/Uo8lOkRJ_normal.jpg","View")</f>
        <v>View</v>
      </c>
      <c r="P1829" s="7"/>
    </row>
    <row r="1830" spans="1:16">
      <c r="A1830" s="3">
        <v>43858.856157407412</v>
      </c>
      <c r="B1830" s="4" t="str">
        <f>HYPERLINK("https://twitter.com/petrogustavo","@petrogustavo")</f>
        <v>@petrogustavo</v>
      </c>
      <c r="C1830" s="5" t="s">
        <v>16</v>
      </c>
      <c r="D1830" s="5" t="s">
        <v>1798</v>
      </c>
      <c r="E1830" s="6" t="str">
        <f>HYPERLINK("https://twitter.com/petrogustavo/status/1222173198520930307","1222173198520930307")</f>
        <v>1222173198520930307</v>
      </c>
      <c r="F1830" s="7" t="s">
        <v>32</v>
      </c>
      <c r="G1830" s="7">
        <v>3620657</v>
      </c>
      <c r="H1830" s="7">
        <v>2351</v>
      </c>
      <c r="I1830" s="7">
        <v>0</v>
      </c>
      <c r="J1830" s="7">
        <v>0</v>
      </c>
      <c r="K1830" s="7" t="s">
        <v>18</v>
      </c>
      <c r="L1830" s="8">
        <v>39987.315405092595</v>
      </c>
      <c r="M1830" s="9" t="s">
        <v>19</v>
      </c>
      <c r="N1830" s="9" t="s">
        <v>20</v>
      </c>
      <c r="O1830" s="6" t="str">
        <f>HYPERLINK("https://pbs.twimg.com/profile_images/962471262747529216/Uo8lOkRJ_normal.jpg","View")</f>
        <v>View</v>
      </c>
      <c r="P1830" s="7"/>
    </row>
    <row r="1831" spans="1:16">
      <c r="A1831" s="3">
        <v>43858.856736111113</v>
      </c>
      <c r="B1831" s="4" t="str">
        <f>HYPERLINK("https://twitter.com/petrogustavo","@petrogustavo")</f>
        <v>@petrogustavo</v>
      </c>
      <c r="C1831" s="5" t="s">
        <v>16</v>
      </c>
      <c r="D1831" s="5" t="s">
        <v>1799</v>
      </c>
      <c r="E1831" s="6" t="str">
        <f>HYPERLINK("https://twitter.com/petrogustavo/status/1222173409196552198","1222173409196552198")</f>
        <v>1222173409196552198</v>
      </c>
      <c r="F1831" s="7" t="s">
        <v>32</v>
      </c>
      <c r="G1831" s="7">
        <v>3620681</v>
      </c>
      <c r="H1831" s="7">
        <v>2351</v>
      </c>
      <c r="I1831" s="7">
        <v>63</v>
      </c>
      <c r="J1831" s="7">
        <v>0</v>
      </c>
      <c r="K1831" s="7" t="s">
        <v>18</v>
      </c>
      <c r="L1831" s="8">
        <v>39987.315405092595</v>
      </c>
      <c r="M1831" s="9" t="s">
        <v>19</v>
      </c>
      <c r="N1831" s="9" t="s">
        <v>20</v>
      </c>
      <c r="O1831" s="6" t="str">
        <f>HYPERLINK("https://pbs.twimg.com/profile_images/962471262747529216/Uo8lOkRJ_normal.jpg","View")</f>
        <v>View</v>
      </c>
      <c r="P1831" s="7"/>
    </row>
    <row r="1832" spans="1:16">
      <c r="A1832" s="3">
        <v>43858.858842592592</v>
      </c>
      <c r="B1832" s="4" t="str">
        <f>HYPERLINK("https://twitter.com/petrogustavo","@petrogustavo")</f>
        <v>@petrogustavo</v>
      </c>
      <c r="C1832" s="5" t="s">
        <v>16</v>
      </c>
      <c r="D1832" s="5" t="s">
        <v>1800</v>
      </c>
      <c r="E1832" s="6" t="str">
        <f>HYPERLINK("https://twitter.com/petrogustavo/status/1222174174883581952","1222174174883581952")</f>
        <v>1222174174883581952</v>
      </c>
      <c r="F1832" s="7" t="s">
        <v>32</v>
      </c>
      <c r="G1832" s="7">
        <v>3620681</v>
      </c>
      <c r="H1832" s="7">
        <v>2351</v>
      </c>
      <c r="I1832" s="7">
        <v>128</v>
      </c>
      <c r="J1832" s="7">
        <v>228</v>
      </c>
      <c r="K1832" s="7" t="s">
        <v>18</v>
      </c>
      <c r="L1832" s="8">
        <v>39987.315405092595</v>
      </c>
      <c r="M1832" s="9" t="s">
        <v>19</v>
      </c>
      <c r="N1832" s="9" t="s">
        <v>20</v>
      </c>
      <c r="O1832" s="6" t="str">
        <f>HYPERLINK("https://pbs.twimg.com/profile_images/962471262747529216/Uo8lOkRJ_normal.jpg","View")</f>
        <v>View</v>
      </c>
      <c r="P1832" s="7"/>
    </row>
    <row r="1833" spans="1:16">
      <c r="A1833" s="3">
        <v>43858.86</v>
      </c>
      <c r="B1833" s="4" t="str">
        <f>HYPERLINK("https://twitter.com/petrogustavo","@petrogustavo")</f>
        <v>@petrogustavo</v>
      </c>
      <c r="C1833" s="5" t="s">
        <v>16</v>
      </c>
      <c r="D1833" s="5" t="s">
        <v>1801</v>
      </c>
      <c r="E1833" s="6" t="str">
        <f>HYPERLINK("https://twitter.com/petrogustavo/status/1222174593890295808","1222174593890295808")</f>
        <v>1222174593890295808</v>
      </c>
      <c r="F1833" s="7" t="s">
        <v>32</v>
      </c>
      <c r="G1833" s="7">
        <v>3620681</v>
      </c>
      <c r="H1833" s="7">
        <v>2351</v>
      </c>
      <c r="I1833" s="7">
        <v>278</v>
      </c>
      <c r="J1833" s="7">
        <v>0</v>
      </c>
      <c r="K1833" s="7" t="s">
        <v>18</v>
      </c>
      <c r="L1833" s="8">
        <v>39987.315405092595</v>
      </c>
      <c r="M1833" s="9" t="s">
        <v>19</v>
      </c>
      <c r="N1833" s="9" t="s">
        <v>20</v>
      </c>
      <c r="O1833" s="6" t="str">
        <f>HYPERLINK("https://pbs.twimg.com/profile_images/962471262747529216/Uo8lOkRJ_normal.jpg","View")</f>
        <v>View</v>
      </c>
      <c r="P1833" s="7"/>
    </row>
    <row r="1834" spans="1:16">
      <c r="A1834" s="3">
        <v>43860.263969907406</v>
      </c>
      <c r="B1834" s="4" t="str">
        <f>HYPERLINK("https://twitter.com/petrogustavo","@petrogustavo")</f>
        <v>@petrogustavo</v>
      </c>
      <c r="C1834" s="5" t="s">
        <v>16</v>
      </c>
      <c r="D1834" s="5" t="s">
        <v>1802</v>
      </c>
      <c r="E1834" s="6" t="str">
        <f>HYPERLINK("https://twitter.com/petrogustavo/status/1222683373467992064","1222683373467992064")</f>
        <v>1222683373467992064</v>
      </c>
      <c r="F1834" s="7" t="s">
        <v>32</v>
      </c>
      <c r="G1834" s="7">
        <v>3621896</v>
      </c>
      <c r="H1834" s="7">
        <v>2351</v>
      </c>
      <c r="I1834" s="7">
        <v>948</v>
      </c>
      <c r="J1834" s="7">
        <v>0</v>
      </c>
      <c r="K1834" s="7" t="s">
        <v>18</v>
      </c>
      <c r="L1834" s="8">
        <v>39987.315405092595</v>
      </c>
      <c r="M1834" s="9" t="s">
        <v>19</v>
      </c>
      <c r="N1834" s="9" t="s">
        <v>20</v>
      </c>
      <c r="O1834" s="6" t="str">
        <f>HYPERLINK("https://pbs.twimg.com/profile_images/962471262747529216/Uo8lOkRJ_normal.jpg","View")</f>
        <v>View</v>
      </c>
      <c r="P1834" s="7"/>
    </row>
    <row r="1835" spans="1:16">
      <c r="A1835" s="3">
        <v>43860.900949074072</v>
      </c>
      <c r="B1835" s="4" t="str">
        <f>HYPERLINK("https://twitter.com/petrogustavo","@petrogustavo")</f>
        <v>@petrogustavo</v>
      </c>
      <c r="C1835" s="5" t="s">
        <v>16</v>
      </c>
      <c r="D1835" s="5" t="s">
        <v>1803</v>
      </c>
      <c r="E1835" s="6" t="str">
        <f>HYPERLINK("https://twitter.com/petrogustavo/status/1222914207974412289","1222914207974412289")</f>
        <v>1222914207974412289</v>
      </c>
      <c r="F1835" s="7" t="s">
        <v>17</v>
      </c>
      <c r="G1835" s="7">
        <v>3622404</v>
      </c>
      <c r="H1835" s="7">
        <v>2351</v>
      </c>
      <c r="I1835" s="7">
        <v>118</v>
      </c>
      <c r="J1835" s="7">
        <v>0</v>
      </c>
      <c r="K1835" s="7" t="s">
        <v>18</v>
      </c>
      <c r="L1835" s="8">
        <v>39987.315405092595</v>
      </c>
      <c r="M1835" s="9" t="s">
        <v>19</v>
      </c>
      <c r="N1835" s="9" t="s">
        <v>20</v>
      </c>
      <c r="O1835" s="6" t="str">
        <f>HYPERLINK("https://pbs.twimg.com/profile_images/962471262747529216/Uo8lOkRJ_normal.jpg","View")</f>
        <v>View</v>
      </c>
      <c r="P1835" s="7"/>
    </row>
    <row r="1836" spans="1:16">
      <c r="A1836" s="3">
        <v>43860.952939814815</v>
      </c>
      <c r="B1836" s="4" t="str">
        <f>HYPERLINK("https://twitter.com/petrogustavo","@petrogustavo")</f>
        <v>@petrogustavo</v>
      </c>
      <c r="C1836" s="5" t="s">
        <v>16</v>
      </c>
      <c r="D1836" s="5" t="s">
        <v>1804</v>
      </c>
      <c r="E1836" s="6" t="str">
        <f>HYPERLINK("https://twitter.com/petrogustavo/status/1222933050645938178","1222933050645938178")</f>
        <v>1222933050645938178</v>
      </c>
      <c r="F1836" s="7" t="s">
        <v>17</v>
      </c>
      <c r="G1836" s="7">
        <v>3622493</v>
      </c>
      <c r="H1836" s="7">
        <v>2352</v>
      </c>
      <c r="I1836" s="7">
        <v>110</v>
      </c>
      <c r="J1836" s="7">
        <v>383</v>
      </c>
      <c r="K1836" s="7" t="s">
        <v>18</v>
      </c>
      <c r="L1836" s="8">
        <v>39987.315405092595</v>
      </c>
      <c r="M1836" s="9" t="s">
        <v>19</v>
      </c>
      <c r="N1836" s="9" t="s">
        <v>20</v>
      </c>
      <c r="O1836" s="6" t="str">
        <f>HYPERLINK("https://pbs.twimg.com/profile_images/962471262747529216/Uo8lOkRJ_normal.jpg","View")</f>
        <v>View</v>
      </c>
      <c r="P1836" s="7"/>
    </row>
    <row r="1837" spans="1:16">
      <c r="A1837" s="3">
        <v>43860.954826388886</v>
      </c>
      <c r="B1837" s="4" t="str">
        <f>HYPERLINK("https://twitter.com/petrogustavo","@petrogustavo")</f>
        <v>@petrogustavo</v>
      </c>
      <c r="C1837" s="5" t="s">
        <v>16</v>
      </c>
      <c r="D1837" s="5" t="s">
        <v>1805</v>
      </c>
      <c r="E1837" s="6" t="str">
        <f>HYPERLINK("https://twitter.com/petrogustavo/status/1222933730504990721","1222933730504990721")</f>
        <v>1222933730504990721</v>
      </c>
      <c r="F1837" s="7" t="s">
        <v>17</v>
      </c>
      <c r="G1837" s="7">
        <v>3622493</v>
      </c>
      <c r="H1837" s="7">
        <v>2352</v>
      </c>
      <c r="I1837" s="7">
        <v>2299</v>
      </c>
      <c r="J1837" s="7">
        <v>0</v>
      </c>
      <c r="K1837" s="7" t="s">
        <v>18</v>
      </c>
      <c r="L1837" s="8">
        <v>39987.315405092595</v>
      </c>
      <c r="M1837" s="9" t="s">
        <v>19</v>
      </c>
      <c r="N1837" s="9" t="s">
        <v>20</v>
      </c>
      <c r="O1837" s="6" t="str">
        <f>HYPERLINK("https://pbs.twimg.com/profile_images/962471262747529216/Uo8lOkRJ_normal.jpg","View")</f>
        <v>View</v>
      </c>
      <c r="P1837" s="7"/>
    </row>
    <row r="1838" spans="1:16">
      <c r="A1838" s="3">
        <v>43860.95512731481</v>
      </c>
      <c r="B1838" s="4" t="str">
        <f>HYPERLINK("https://twitter.com/petrogustavo","@petrogustavo")</f>
        <v>@petrogustavo</v>
      </c>
      <c r="C1838" s="5" t="s">
        <v>16</v>
      </c>
      <c r="D1838" s="5" t="s">
        <v>1806</v>
      </c>
      <c r="E1838" s="6" t="str">
        <f>HYPERLINK("https://twitter.com/petrogustavo/status/1222933843239481345","1222933843239481345")</f>
        <v>1222933843239481345</v>
      </c>
      <c r="F1838" s="7" t="s">
        <v>17</v>
      </c>
      <c r="G1838" s="7">
        <v>3622493</v>
      </c>
      <c r="H1838" s="7">
        <v>2352</v>
      </c>
      <c r="I1838" s="7">
        <v>199</v>
      </c>
      <c r="J1838" s="7">
        <v>0</v>
      </c>
      <c r="K1838" s="7" t="s">
        <v>18</v>
      </c>
      <c r="L1838" s="8">
        <v>39987.315405092595</v>
      </c>
      <c r="M1838" s="9" t="s">
        <v>19</v>
      </c>
      <c r="N1838" s="9" t="s">
        <v>20</v>
      </c>
      <c r="O1838" s="6" t="str">
        <f>HYPERLINK("https://pbs.twimg.com/profile_images/962471262747529216/Uo8lOkRJ_normal.jpg","View")</f>
        <v>View</v>
      </c>
      <c r="P1838" s="7"/>
    </row>
    <row r="1839" spans="1:16">
      <c r="A1839" s="3">
        <v>43860.957430555558</v>
      </c>
      <c r="B1839" s="4" t="str">
        <f>HYPERLINK("https://twitter.com/petrogustavo","@petrogustavo")</f>
        <v>@petrogustavo</v>
      </c>
      <c r="C1839" s="5" t="s">
        <v>16</v>
      </c>
      <c r="D1839" s="5" t="s">
        <v>1807</v>
      </c>
      <c r="E1839" s="6" t="str">
        <f>HYPERLINK("https://twitter.com/petrogustavo/status/1222934674974134273","1222934674974134273")</f>
        <v>1222934674974134273</v>
      </c>
      <c r="F1839" s="7" t="s">
        <v>17</v>
      </c>
      <c r="G1839" s="7">
        <v>3622493</v>
      </c>
      <c r="H1839" s="7">
        <v>2352</v>
      </c>
      <c r="I1839" s="7">
        <v>36</v>
      </c>
      <c r="J1839" s="7">
        <v>138</v>
      </c>
      <c r="K1839" s="7" t="s">
        <v>18</v>
      </c>
      <c r="L1839" s="8">
        <v>39987.315405092595</v>
      </c>
      <c r="M1839" s="9" t="s">
        <v>19</v>
      </c>
      <c r="N1839" s="9" t="s">
        <v>20</v>
      </c>
      <c r="O1839" s="6" t="str">
        <f>HYPERLINK("https://pbs.twimg.com/profile_images/962471262747529216/Uo8lOkRJ_normal.jpg","View")</f>
        <v>View</v>
      </c>
      <c r="P1839" s="7"/>
    </row>
    <row r="1840" spans="1:16">
      <c r="A1840" s="3">
        <v>43860.96193287037</v>
      </c>
      <c r="B1840" s="4" t="str">
        <f>HYPERLINK("https://twitter.com/petrogustavo","@petrogustavo")</f>
        <v>@petrogustavo</v>
      </c>
      <c r="C1840" s="5" t="s">
        <v>16</v>
      </c>
      <c r="D1840" s="5" t="s">
        <v>1808</v>
      </c>
      <c r="E1840" s="6" t="str">
        <f>HYPERLINK("https://twitter.com/petrogustavo/status/1222936305941741569","1222936305941741569")</f>
        <v>1222936305941741569</v>
      </c>
      <c r="F1840" s="7" t="s">
        <v>17</v>
      </c>
      <c r="G1840" s="7">
        <v>3622518</v>
      </c>
      <c r="H1840" s="7">
        <v>2352</v>
      </c>
      <c r="I1840" s="7">
        <v>23</v>
      </c>
      <c r="J1840" s="7">
        <v>0</v>
      </c>
      <c r="K1840" s="7" t="s">
        <v>18</v>
      </c>
      <c r="L1840" s="8">
        <v>39987.315405092595</v>
      </c>
      <c r="M1840" s="9" t="s">
        <v>19</v>
      </c>
      <c r="N1840" s="9" t="s">
        <v>20</v>
      </c>
      <c r="O1840" s="6" t="str">
        <f>HYPERLINK("https://pbs.twimg.com/profile_images/962471262747529216/Uo8lOkRJ_normal.jpg","View")</f>
        <v>View</v>
      </c>
      <c r="P1840" s="7"/>
    </row>
    <row r="1841" spans="1:16">
      <c r="A1841" s="3">
        <v>43860.962557870371</v>
      </c>
      <c r="B1841" s="4" t="str">
        <f>HYPERLINK("https://twitter.com/petrogustavo","@petrogustavo")</f>
        <v>@petrogustavo</v>
      </c>
      <c r="C1841" s="5" t="s">
        <v>16</v>
      </c>
      <c r="D1841" s="5" t="s">
        <v>1809</v>
      </c>
      <c r="E1841" s="6" t="str">
        <f>HYPERLINK("https://twitter.com/petrogustavo/status/1222936532904022016","1222936532904022016")</f>
        <v>1222936532904022016</v>
      </c>
      <c r="F1841" s="7" t="s">
        <v>17</v>
      </c>
      <c r="G1841" s="7">
        <v>3622518</v>
      </c>
      <c r="H1841" s="7">
        <v>2352</v>
      </c>
      <c r="I1841" s="7">
        <v>214</v>
      </c>
      <c r="J1841" s="7">
        <v>0</v>
      </c>
      <c r="K1841" s="7" t="s">
        <v>18</v>
      </c>
      <c r="L1841" s="8">
        <v>39987.315405092595</v>
      </c>
      <c r="M1841" s="9" t="s">
        <v>19</v>
      </c>
      <c r="N1841" s="9" t="s">
        <v>20</v>
      </c>
      <c r="O1841" s="6" t="str">
        <f>HYPERLINK("https://pbs.twimg.com/profile_images/962471262747529216/Uo8lOkRJ_normal.jpg","View")</f>
        <v>View</v>
      </c>
      <c r="P1841" s="7"/>
    </row>
    <row r="1842" spans="1:16">
      <c r="A1842" s="3">
        <v>43860.962754629625</v>
      </c>
      <c r="B1842" s="4" t="str">
        <f>HYPERLINK("https://twitter.com/petrogustavo","@petrogustavo")</f>
        <v>@petrogustavo</v>
      </c>
      <c r="C1842" s="5" t="s">
        <v>16</v>
      </c>
      <c r="D1842" s="5" t="s">
        <v>1810</v>
      </c>
      <c r="E1842" s="6" t="str">
        <f>HYPERLINK("https://twitter.com/petrogustavo/status/1222936606115495937","1222936606115495937")</f>
        <v>1222936606115495937</v>
      </c>
      <c r="F1842" s="7" t="s">
        <v>17</v>
      </c>
      <c r="G1842" s="7">
        <v>3622518</v>
      </c>
      <c r="H1842" s="7">
        <v>2352</v>
      </c>
      <c r="I1842" s="7">
        <v>78</v>
      </c>
      <c r="J1842" s="7">
        <v>0</v>
      </c>
      <c r="K1842" s="7" t="s">
        <v>18</v>
      </c>
      <c r="L1842" s="8">
        <v>39987.315405092595</v>
      </c>
      <c r="M1842" s="9" t="s">
        <v>19</v>
      </c>
      <c r="N1842" s="9" t="s">
        <v>20</v>
      </c>
      <c r="O1842" s="6" t="str">
        <f>HYPERLINK("https://pbs.twimg.com/profile_images/962471262747529216/Uo8lOkRJ_normal.jpg","View")</f>
        <v>View</v>
      </c>
      <c r="P1842" s="7"/>
    </row>
    <row r="1843" spans="1:16">
      <c r="A1843" s="3">
        <v>43860.96292824074</v>
      </c>
      <c r="B1843" s="4" t="str">
        <f>HYPERLINK("https://twitter.com/petrogustavo","@petrogustavo")</f>
        <v>@petrogustavo</v>
      </c>
      <c r="C1843" s="5" t="s">
        <v>16</v>
      </c>
      <c r="D1843" s="5" t="s">
        <v>1811</v>
      </c>
      <c r="E1843" s="6" t="str">
        <f>HYPERLINK("https://twitter.com/petrogustavo/status/1222936670464565248","1222936670464565248")</f>
        <v>1222936670464565248</v>
      </c>
      <c r="F1843" s="7" t="s">
        <v>17</v>
      </c>
      <c r="G1843" s="7">
        <v>3622518</v>
      </c>
      <c r="H1843" s="7">
        <v>2352</v>
      </c>
      <c r="I1843" s="7">
        <v>787</v>
      </c>
      <c r="J1843" s="7">
        <v>0</v>
      </c>
      <c r="K1843" s="7" t="s">
        <v>18</v>
      </c>
      <c r="L1843" s="8">
        <v>39987.315405092595</v>
      </c>
      <c r="M1843" s="9" t="s">
        <v>19</v>
      </c>
      <c r="N1843" s="9" t="s">
        <v>20</v>
      </c>
      <c r="O1843" s="6" t="str">
        <f>HYPERLINK("https://pbs.twimg.com/profile_images/962471262747529216/Uo8lOkRJ_normal.jpg","View")</f>
        <v>View</v>
      </c>
      <c r="P1843" s="7"/>
    </row>
    <row r="1844" spans="1:16">
      <c r="A1844" s="3">
        <v>43860.965439814812</v>
      </c>
      <c r="B1844" s="4" t="str">
        <f>HYPERLINK("https://twitter.com/petrogustavo","@petrogustavo")</f>
        <v>@petrogustavo</v>
      </c>
      <c r="C1844" s="5" t="s">
        <v>16</v>
      </c>
      <c r="D1844" s="5" t="s">
        <v>1812</v>
      </c>
      <c r="E1844" s="6" t="str">
        <f>HYPERLINK("https://twitter.com/petrogustavo/status/1222937577914798080","1222937577914798080")</f>
        <v>1222937577914798080</v>
      </c>
      <c r="F1844" s="7" t="s">
        <v>17</v>
      </c>
      <c r="G1844" s="7">
        <v>3622518</v>
      </c>
      <c r="H1844" s="7">
        <v>2352</v>
      </c>
      <c r="I1844" s="7">
        <v>49</v>
      </c>
      <c r="J1844" s="7">
        <v>153</v>
      </c>
      <c r="K1844" s="7" t="s">
        <v>18</v>
      </c>
      <c r="L1844" s="8">
        <v>39987.315405092595</v>
      </c>
      <c r="M1844" s="9" t="s">
        <v>19</v>
      </c>
      <c r="N1844" s="9" t="s">
        <v>20</v>
      </c>
      <c r="O1844" s="6" t="str">
        <f>HYPERLINK("https://pbs.twimg.com/profile_images/962471262747529216/Uo8lOkRJ_normal.jpg","View")</f>
        <v>View</v>
      </c>
      <c r="P1844" s="7"/>
    </row>
    <row r="1845" spans="1:16">
      <c r="A1845" s="3">
        <v>43860.966180555552</v>
      </c>
      <c r="B1845" s="4" t="str">
        <f>HYPERLINK("https://twitter.com/petrogustavo","@petrogustavo")</f>
        <v>@petrogustavo</v>
      </c>
      <c r="C1845" s="5" t="s">
        <v>16</v>
      </c>
      <c r="D1845" s="5" t="s">
        <v>1813</v>
      </c>
      <c r="E1845" s="6" t="str">
        <f>HYPERLINK("https://twitter.com/petrogustavo/status/1222937848774569985","1222937848774569985")</f>
        <v>1222937848774569985</v>
      </c>
      <c r="F1845" s="7" t="s">
        <v>17</v>
      </c>
      <c r="G1845" s="7">
        <v>3622518</v>
      </c>
      <c r="H1845" s="7">
        <v>2352</v>
      </c>
      <c r="I1845" s="7">
        <v>33</v>
      </c>
      <c r="J1845" s="7">
        <v>0</v>
      </c>
      <c r="K1845" s="7" t="s">
        <v>18</v>
      </c>
      <c r="L1845" s="8">
        <v>39987.315405092595</v>
      </c>
      <c r="M1845" s="9" t="s">
        <v>19</v>
      </c>
      <c r="N1845" s="9" t="s">
        <v>20</v>
      </c>
      <c r="O1845" s="6" t="str">
        <f>HYPERLINK("https://pbs.twimg.com/profile_images/962471262747529216/Uo8lOkRJ_normal.jpg","View")</f>
        <v>View</v>
      </c>
      <c r="P1845" s="7"/>
    </row>
    <row r="1846" spans="1:16">
      <c r="A1846" s="3">
        <v>43860.971608796295</v>
      </c>
      <c r="B1846" s="4" t="str">
        <f>HYPERLINK("https://twitter.com/petrogustavo","@petrogustavo")</f>
        <v>@petrogustavo</v>
      </c>
      <c r="C1846" s="5" t="s">
        <v>16</v>
      </c>
      <c r="D1846" s="5" t="s">
        <v>1814</v>
      </c>
      <c r="E1846" s="6" t="str">
        <f>HYPERLINK("https://twitter.com/petrogustavo/status/1222939813923508224","1222939813923508224")</f>
        <v>1222939813923508224</v>
      </c>
      <c r="F1846" s="7" t="s">
        <v>17</v>
      </c>
      <c r="G1846" s="7">
        <v>3622518</v>
      </c>
      <c r="H1846" s="7">
        <v>2352</v>
      </c>
      <c r="I1846" s="7">
        <v>186</v>
      </c>
      <c r="J1846" s="7">
        <v>0</v>
      </c>
      <c r="K1846" s="7" t="s">
        <v>18</v>
      </c>
      <c r="L1846" s="8">
        <v>39987.315405092595</v>
      </c>
      <c r="M1846" s="9" t="s">
        <v>19</v>
      </c>
      <c r="N1846" s="9" t="s">
        <v>20</v>
      </c>
      <c r="O1846" s="6" t="str">
        <f>HYPERLINK("https://pbs.twimg.com/profile_images/962471262747529216/Uo8lOkRJ_normal.jpg","View")</f>
        <v>View</v>
      </c>
      <c r="P1846" s="7"/>
    </row>
    <row r="1847" spans="1:16">
      <c r="A1847" s="3">
        <v>43860.976770833338</v>
      </c>
      <c r="B1847" s="4" t="str">
        <f>HYPERLINK("https://twitter.com/petrogustavo","@petrogustavo")</f>
        <v>@petrogustavo</v>
      </c>
      <c r="C1847" s="5" t="s">
        <v>16</v>
      </c>
      <c r="D1847" s="5" t="s">
        <v>1815</v>
      </c>
      <c r="E1847" s="6" t="str">
        <f>HYPERLINK("https://twitter.com/petrogustavo/status/1222941685442850818","1222941685442850818")</f>
        <v>1222941685442850818</v>
      </c>
      <c r="F1847" s="7" t="s">
        <v>17</v>
      </c>
      <c r="G1847" s="7">
        <v>3622518</v>
      </c>
      <c r="H1847" s="7">
        <v>2352</v>
      </c>
      <c r="I1847" s="7">
        <v>30</v>
      </c>
      <c r="J1847" s="7">
        <v>116</v>
      </c>
      <c r="K1847" s="7" t="s">
        <v>18</v>
      </c>
      <c r="L1847" s="8">
        <v>39987.315405092595</v>
      </c>
      <c r="M1847" s="9" t="s">
        <v>19</v>
      </c>
      <c r="N1847" s="9" t="s">
        <v>20</v>
      </c>
      <c r="O1847" s="6" t="str">
        <f>HYPERLINK("https://pbs.twimg.com/profile_images/962471262747529216/Uo8lOkRJ_normal.jpg","View")</f>
        <v>View</v>
      </c>
      <c r="P1847" s="7"/>
    </row>
    <row r="1848" spans="1:16">
      <c r="A1848" s="3">
        <v>43860.98773148148</v>
      </c>
      <c r="B1848" s="4" t="str">
        <f>HYPERLINK("https://twitter.com/petrogustavo","@petrogustavo")</f>
        <v>@petrogustavo</v>
      </c>
      <c r="C1848" s="5" t="s">
        <v>16</v>
      </c>
      <c r="D1848" s="5" t="s">
        <v>1816</v>
      </c>
      <c r="E1848" s="6" t="str">
        <f>HYPERLINK("https://twitter.com/petrogustavo/status/1222945655624208384","1222945655624208384")</f>
        <v>1222945655624208384</v>
      </c>
      <c r="F1848" s="7" t="s">
        <v>17</v>
      </c>
      <c r="G1848" s="7">
        <v>3622561</v>
      </c>
      <c r="H1848" s="7">
        <v>2352</v>
      </c>
      <c r="I1848" s="7">
        <v>205</v>
      </c>
      <c r="J1848" s="7">
        <v>0</v>
      </c>
      <c r="K1848" s="7" t="s">
        <v>18</v>
      </c>
      <c r="L1848" s="8">
        <v>39987.315405092595</v>
      </c>
      <c r="M1848" s="9" t="s">
        <v>19</v>
      </c>
      <c r="N1848" s="9" t="s">
        <v>20</v>
      </c>
      <c r="O1848" s="6" t="str">
        <f>HYPERLINK("https://pbs.twimg.com/profile_images/962471262747529216/Uo8lOkRJ_normal.jpg","View")</f>
        <v>View</v>
      </c>
      <c r="P1848" s="7"/>
    </row>
    <row r="1849" spans="1:16">
      <c r="A1849" s="3">
        <v>43860.988136574073</v>
      </c>
      <c r="B1849" s="4" t="str">
        <f>HYPERLINK("https://twitter.com/petrogustavo","@petrogustavo")</f>
        <v>@petrogustavo</v>
      </c>
      <c r="C1849" s="5" t="s">
        <v>16</v>
      </c>
      <c r="D1849" s="5" t="s">
        <v>1814</v>
      </c>
      <c r="E1849" s="6" t="str">
        <f>HYPERLINK("https://twitter.com/petrogustavo/status/1222945803431501826","1222945803431501826")</f>
        <v>1222945803431501826</v>
      </c>
      <c r="F1849" s="7" t="s">
        <v>17</v>
      </c>
      <c r="G1849" s="7">
        <v>3622561</v>
      </c>
      <c r="H1849" s="7">
        <v>2352</v>
      </c>
      <c r="I1849" s="7">
        <v>309</v>
      </c>
      <c r="J1849" s="7">
        <v>0</v>
      </c>
      <c r="K1849" s="7" t="s">
        <v>18</v>
      </c>
      <c r="L1849" s="8">
        <v>39987.315405092595</v>
      </c>
      <c r="M1849" s="9" t="s">
        <v>19</v>
      </c>
      <c r="N1849" s="9" t="s">
        <v>20</v>
      </c>
      <c r="O1849" s="6" t="str">
        <f>HYPERLINK("https://pbs.twimg.com/profile_images/962471262747529216/Uo8lOkRJ_normal.jpg","View")</f>
        <v>View</v>
      </c>
      <c r="P1849" s="7"/>
    </row>
    <row r="1850" spans="1:16">
      <c r="A1850" s="3">
        <v>43861.000439814816</v>
      </c>
      <c r="B1850" s="4" t="str">
        <f>HYPERLINK("https://twitter.com/petrogustavo","@petrogustavo")</f>
        <v>@petrogustavo</v>
      </c>
      <c r="C1850" s="5" t="s">
        <v>16</v>
      </c>
      <c r="D1850" s="5" t="s">
        <v>1817</v>
      </c>
      <c r="E1850" s="6" t="str">
        <f>HYPERLINK("https://twitter.com/petrogustavo/status/1222950263637626880","1222950263637626880")</f>
        <v>1222950263637626880</v>
      </c>
      <c r="F1850" s="7" t="s">
        <v>17</v>
      </c>
      <c r="G1850" s="7">
        <v>3622561</v>
      </c>
      <c r="H1850" s="7">
        <v>2352</v>
      </c>
      <c r="I1850" s="7">
        <v>19</v>
      </c>
      <c r="J1850" s="7">
        <v>86</v>
      </c>
      <c r="K1850" s="7" t="s">
        <v>18</v>
      </c>
      <c r="L1850" s="8">
        <v>39987.315405092595</v>
      </c>
      <c r="M1850" s="9" t="s">
        <v>19</v>
      </c>
      <c r="N1850" s="9" t="s">
        <v>20</v>
      </c>
      <c r="O1850" s="6" t="str">
        <f>HYPERLINK("https://pbs.twimg.com/profile_images/962471262747529216/Uo8lOkRJ_normal.jpg","View")</f>
        <v>View</v>
      </c>
      <c r="P1850" s="7"/>
    </row>
    <row r="1851" spans="1:16">
      <c r="A1851" s="3">
        <v>43861.005196759259</v>
      </c>
      <c r="B1851" s="4" t="str">
        <f>HYPERLINK("https://twitter.com/petrogustavo","@petrogustavo")</f>
        <v>@petrogustavo</v>
      </c>
      <c r="C1851" s="5" t="s">
        <v>16</v>
      </c>
      <c r="D1851" s="5" t="s">
        <v>1818</v>
      </c>
      <c r="E1851" s="6" t="str">
        <f>HYPERLINK("https://twitter.com/petrogustavo/status/1222951987161042944","1222951987161042944")</f>
        <v>1222951987161042944</v>
      </c>
      <c r="F1851" s="7" t="s">
        <v>17</v>
      </c>
      <c r="G1851" s="7">
        <v>3622591</v>
      </c>
      <c r="H1851" s="7">
        <v>2352</v>
      </c>
      <c r="I1851" s="7">
        <v>95</v>
      </c>
      <c r="J1851" s="7">
        <v>260</v>
      </c>
      <c r="K1851" s="7" t="s">
        <v>18</v>
      </c>
      <c r="L1851" s="8">
        <v>39987.315405092595</v>
      </c>
      <c r="M1851" s="9" t="s">
        <v>19</v>
      </c>
      <c r="N1851" s="9" t="s">
        <v>20</v>
      </c>
      <c r="O1851" s="6" t="str">
        <f>HYPERLINK("https://pbs.twimg.com/profile_images/962471262747529216/Uo8lOkRJ_normal.jpg","View")</f>
        <v>View</v>
      </c>
      <c r="P1851" s="7"/>
    </row>
    <row r="1852" spans="1:16">
      <c r="A1852" s="3">
        <v>43861.005208333328</v>
      </c>
      <c r="B1852" s="4" t="str">
        <f>HYPERLINK("https://twitter.com/petrogustavo","@petrogustavo")</f>
        <v>@petrogustavo</v>
      </c>
      <c r="C1852" s="5" t="s">
        <v>16</v>
      </c>
      <c r="D1852" s="5" t="s">
        <v>1819</v>
      </c>
      <c r="E1852" s="6" t="str">
        <f>HYPERLINK("https://twitter.com/petrogustavo/status/1222951988285132800","1222951988285132800")</f>
        <v>1222951988285132800</v>
      </c>
      <c r="F1852" s="7" t="s">
        <v>17</v>
      </c>
      <c r="G1852" s="7">
        <v>3622591</v>
      </c>
      <c r="H1852" s="7">
        <v>2352</v>
      </c>
      <c r="I1852" s="7">
        <v>53</v>
      </c>
      <c r="J1852" s="7">
        <v>164</v>
      </c>
      <c r="K1852" s="7" t="s">
        <v>18</v>
      </c>
      <c r="L1852" s="8">
        <v>39987.315405092595</v>
      </c>
      <c r="M1852" s="9" t="s">
        <v>19</v>
      </c>
      <c r="N1852" s="9" t="s">
        <v>20</v>
      </c>
      <c r="O1852" s="6" t="str">
        <f>HYPERLINK("https://pbs.twimg.com/profile_images/962471262747529216/Uo8lOkRJ_normal.jpg","View")</f>
        <v>View</v>
      </c>
      <c r="P1852" s="7"/>
    </row>
    <row r="1853" spans="1:16">
      <c r="A1853" s="3">
        <v>43861.007187499999</v>
      </c>
      <c r="B1853" s="4" t="str">
        <f>HYPERLINK("https://twitter.com/petrogustavo","@petrogustavo")</f>
        <v>@petrogustavo</v>
      </c>
      <c r="C1853" s="5" t="s">
        <v>16</v>
      </c>
      <c r="D1853" s="5" t="s">
        <v>1820</v>
      </c>
      <c r="E1853" s="6" t="str">
        <f>HYPERLINK("https://twitter.com/petrogustavo/status/1222952708598050816","1222952708598050816")</f>
        <v>1222952708598050816</v>
      </c>
      <c r="F1853" s="7" t="s">
        <v>17</v>
      </c>
      <c r="G1853" s="7">
        <v>3622591</v>
      </c>
      <c r="H1853" s="7">
        <v>2352</v>
      </c>
      <c r="I1853" s="7">
        <v>104</v>
      </c>
      <c r="J1853" s="7">
        <v>287</v>
      </c>
      <c r="K1853" s="7" t="s">
        <v>18</v>
      </c>
      <c r="L1853" s="8">
        <v>39987.315405092595</v>
      </c>
      <c r="M1853" s="9" t="s">
        <v>19</v>
      </c>
      <c r="N1853" s="9" t="s">
        <v>20</v>
      </c>
      <c r="O1853" s="6" t="str">
        <f>HYPERLINK("https://pbs.twimg.com/profile_images/962471262747529216/Uo8lOkRJ_normal.jpg","View")</f>
        <v>View</v>
      </c>
      <c r="P1853" s="7"/>
    </row>
    <row r="1854" spans="1:16">
      <c r="A1854" s="3">
        <v>43861.007407407407</v>
      </c>
      <c r="B1854" s="4" t="str">
        <f>HYPERLINK("https://twitter.com/petrogustavo","@petrogustavo")</f>
        <v>@petrogustavo</v>
      </c>
      <c r="C1854" s="5" t="s">
        <v>16</v>
      </c>
      <c r="D1854" s="5" t="s">
        <v>1821</v>
      </c>
      <c r="E1854" s="6" t="str">
        <f>HYPERLINK("https://twitter.com/petrogustavo/status/1222952788373725186","1222952788373725186")</f>
        <v>1222952788373725186</v>
      </c>
      <c r="F1854" s="7" t="s">
        <v>17</v>
      </c>
      <c r="G1854" s="7">
        <v>3622591</v>
      </c>
      <c r="H1854" s="7">
        <v>2352</v>
      </c>
      <c r="I1854" s="7">
        <v>210</v>
      </c>
      <c r="J1854" s="7">
        <v>0</v>
      </c>
      <c r="K1854" s="7" t="s">
        <v>18</v>
      </c>
      <c r="L1854" s="8">
        <v>39987.315405092595</v>
      </c>
      <c r="M1854" s="9" t="s">
        <v>19</v>
      </c>
      <c r="N1854" s="9" t="s">
        <v>20</v>
      </c>
      <c r="O1854" s="6" t="str">
        <f>HYPERLINK("https://pbs.twimg.com/profile_images/962471262747529216/Uo8lOkRJ_normal.jpg","View")</f>
        <v>View</v>
      </c>
      <c r="P1854" s="7"/>
    </row>
    <row r="1855" spans="1:16">
      <c r="A1855" s="3">
        <v>43861.007511574076</v>
      </c>
      <c r="B1855" s="4" t="str">
        <f>HYPERLINK("https://twitter.com/petrogustavo","@petrogustavo")</f>
        <v>@petrogustavo</v>
      </c>
      <c r="C1855" s="5" t="s">
        <v>16</v>
      </c>
      <c r="D1855" s="5" t="s">
        <v>1814</v>
      </c>
      <c r="E1855" s="6" t="str">
        <f>HYPERLINK("https://twitter.com/petrogustavo/status/1222952827066241027","1222952827066241027")</f>
        <v>1222952827066241027</v>
      </c>
      <c r="F1855" s="7" t="s">
        <v>17</v>
      </c>
      <c r="G1855" s="7">
        <v>3622591</v>
      </c>
      <c r="H1855" s="7">
        <v>2352</v>
      </c>
      <c r="I1855" s="7">
        <v>378</v>
      </c>
      <c r="J1855" s="7">
        <v>0</v>
      </c>
      <c r="K1855" s="7" t="s">
        <v>18</v>
      </c>
      <c r="L1855" s="8">
        <v>39987.315405092595</v>
      </c>
      <c r="M1855" s="9" t="s">
        <v>19</v>
      </c>
      <c r="N1855" s="9" t="s">
        <v>20</v>
      </c>
      <c r="O1855" s="6" t="str">
        <f>HYPERLINK("https://pbs.twimg.com/profile_images/962471262747529216/Uo8lOkRJ_normal.jpg","View")</f>
        <v>View</v>
      </c>
      <c r="P1855" s="7"/>
    </row>
    <row r="1856" spans="1:16">
      <c r="A1856" s="3">
        <v>43861.025844907403</v>
      </c>
      <c r="B1856" s="4" t="str">
        <f>HYPERLINK("https://twitter.com/petrogustavo","@petrogustavo")</f>
        <v>@petrogustavo</v>
      </c>
      <c r="C1856" s="5" t="s">
        <v>16</v>
      </c>
      <c r="D1856" s="5" t="s">
        <v>1822</v>
      </c>
      <c r="E1856" s="6" t="str">
        <f>HYPERLINK("https://twitter.com/petrogustavo/status/1222959468843032577","1222959468843032577")</f>
        <v>1222959468843032577</v>
      </c>
      <c r="F1856" s="7" t="s">
        <v>17</v>
      </c>
      <c r="G1856" s="7">
        <v>3622625</v>
      </c>
      <c r="H1856" s="7">
        <v>2352</v>
      </c>
      <c r="I1856" s="7">
        <v>119</v>
      </c>
      <c r="J1856" s="7">
        <v>370</v>
      </c>
      <c r="K1856" s="7" t="s">
        <v>18</v>
      </c>
      <c r="L1856" s="8">
        <v>39987.315405092595</v>
      </c>
      <c r="M1856" s="9" t="s">
        <v>19</v>
      </c>
      <c r="N1856" s="9" t="s">
        <v>20</v>
      </c>
      <c r="O1856" s="6" t="str">
        <f>HYPERLINK("https://pbs.twimg.com/profile_images/962471262747529216/Uo8lOkRJ_normal.jpg","View")</f>
        <v>View</v>
      </c>
      <c r="P1856" s="7"/>
    </row>
    <row r="1857" spans="1:16">
      <c r="A1857" s="3">
        <v>43861.025856481487</v>
      </c>
      <c r="B1857" s="4" t="str">
        <f>HYPERLINK("https://twitter.com/petrogustavo","@petrogustavo")</f>
        <v>@petrogustavo</v>
      </c>
      <c r="C1857" s="5" t="s">
        <v>16</v>
      </c>
      <c r="D1857" s="5" t="s">
        <v>1823</v>
      </c>
      <c r="E1857" s="6" t="str">
        <f>HYPERLINK("https://twitter.com/petrogustavo/status/1222959470894108677","1222959470894108677")</f>
        <v>1222959470894108677</v>
      </c>
      <c r="F1857" s="7" t="s">
        <v>17</v>
      </c>
      <c r="G1857" s="7">
        <v>3622625</v>
      </c>
      <c r="H1857" s="7">
        <v>2352</v>
      </c>
      <c r="I1857" s="7">
        <v>104</v>
      </c>
      <c r="J1857" s="7">
        <v>356</v>
      </c>
      <c r="K1857" s="7" t="s">
        <v>18</v>
      </c>
      <c r="L1857" s="8">
        <v>39987.315405092595</v>
      </c>
      <c r="M1857" s="9" t="s">
        <v>19</v>
      </c>
      <c r="N1857" s="9" t="s">
        <v>20</v>
      </c>
      <c r="O1857" s="6" t="str">
        <f>HYPERLINK("https://pbs.twimg.com/profile_images/962471262747529216/Uo8lOkRJ_normal.jpg","View")</f>
        <v>View</v>
      </c>
      <c r="P1857" s="7"/>
    </row>
    <row r="1858" spans="1:16">
      <c r="A1858" s="3">
        <v>43861.030069444445</v>
      </c>
      <c r="B1858" s="4" t="str">
        <f>HYPERLINK("https://twitter.com/petrogustavo","@petrogustavo")</f>
        <v>@petrogustavo</v>
      </c>
      <c r="C1858" s="5" t="s">
        <v>16</v>
      </c>
      <c r="D1858" s="5" t="s">
        <v>1824</v>
      </c>
      <c r="E1858" s="6" t="str">
        <f>HYPERLINK("https://twitter.com/petrogustavo/status/1222960997675257857","1222960997675257857")</f>
        <v>1222960997675257857</v>
      </c>
      <c r="F1858" s="7" t="s">
        <v>17</v>
      </c>
      <c r="G1858" s="7">
        <v>3622625</v>
      </c>
      <c r="H1858" s="7">
        <v>2352</v>
      </c>
      <c r="I1858" s="7">
        <v>74</v>
      </c>
      <c r="J1858" s="7">
        <v>173</v>
      </c>
      <c r="K1858" s="7" t="s">
        <v>18</v>
      </c>
      <c r="L1858" s="8">
        <v>39987.315405092595</v>
      </c>
      <c r="M1858" s="9" t="s">
        <v>19</v>
      </c>
      <c r="N1858" s="9" t="s">
        <v>20</v>
      </c>
      <c r="O1858" s="6" t="str">
        <f>HYPERLINK("https://pbs.twimg.com/profile_images/962471262747529216/Uo8lOkRJ_normal.jpg","View")</f>
        <v>View</v>
      </c>
      <c r="P1858" s="7"/>
    </row>
    <row r="1859" spans="1:16">
      <c r="A1859" s="3">
        <v>43861.086331018523</v>
      </c>
      <c r="B1859" s="4" t="str">
        <f>HYPERLINK("https://twitter.com/petrogustavo","@petrogustavo")</f>
        <v>@petrogustavo</v>
      </c>
      <c r="C1859" s="5" t="s">
        <v>16</v>
      </c>
      <c r="D1859" s="5" t="s">
        <v>1825</v>
      </c>
      <c r="E1859" s="6" t="str">
        <f>HYPERLINK("https://twitter.com/petrogustavo/status/1222981386635808769","1222981386635808769")</f>
        <v>1222981386635808769</v>
      </c>
      <c r="F1859" s="7" t="s">
        <v>17</v>
      </c>
      <c r="G1859" s="7">
        <v>3622707</v>
      </c>
      <c r="H1859" s="7">
        <v>2352</v>
      </c>
      <c r="I1859" s="7">
        <v>100</v>
      </c>
      <c r="J1859" s="7">
        <v>233</v>
      </c>
      <c r="K1859" s="7" t="s">
        <v>18</v>
      </c>
      <c r="L1859" s="8">
        <v>39987.315405092595</v>
      </c>
      <c r="M1859" s="9" t="s">
        <v>19</v>
      </c>
      <c r="N1859" s="9" t="s">
        <v>20</v>
      </c>
      <c r="O1859" s="6" t="str">
        <f>HYPERLINK("https://pbs.twimg.com/profile_images/962471262747529216/Uo8lOkRJ_normal.jpg","View")</f>
        <v>View</v>
      </c>
      <c r="P1859" s="7"/>
    </row>
    <row r="1860" spans="1:16">
      <c r="A1860" s="3">
        <v>43861.088958333334</v>
      </c>
      <c r="B1860" s="4" t="str">
        <f>HYPERLINK("https://twitter.com/petrogustavo","@petrogustavo")</f>
        <v>@petrogustavo</v>
      </c>
      <c r="C1860" s="5" t="s">
        <v>16</v>
      </c>
      <c r="D1860" s="5" t="s">
        <v>1826</v>
      </c>
      <c r="E1860" s="6" t="str">
        <f>HYPERLINK("https://twitter.com/petrogustavo/status/1222982342303719427","1222982342303719427")</f>
        <v>1222982342303719427</v>
      </c>
      <c r="F1860" s="7" t="s">
        <v>17</v>
      </c>
      <c r="G1860" s="7">
        <v>3622707</v>
      </c>
      <c r="H1860" s="7">
        <v>2352</v>
      </c>
      <c r="I1860" s="7">
        <v>103</v>
      </c>
      <c r="J1860" s="7">
        <v>373</v>
      </c>
      <c r="K1860" s="7" t="s">
        <v>18</v>
      </c>
      <c r="L1860" s="8">
        <v>39987.315405092595</v>
      </c>
      <c r="M1860" s="9" t="s">
        <v>19</v>
      </c>
      <c r="N1860" s="9" t="s">
        <v>20</v>
      </c>
      <c r="O1860" s="6" t="str">
        <f>HYPERLINK("https://pbs.twimg.com/profile_images/962471262747529216/Uo8lOkRJ_normal.jpg","View")</f>
        <v>View</v>
      </c>
      <c r="P1860" s="7"/>
    </row>
    <row r="1861" spans="1:16">
      <c r="A1861" s="3">
        <v>43861.097210648149</v>
      </c>
      <c r="B1861" s="4" t="str">
        <f>HYPERLINK("https://twitter.com/petrogustavo","@petrogustavo")</f>
        <v>@petrogustavo</v>
      </c>
      <c r="C1861" s="5" t="s">
        <v>16</v>
      </c>
      <c r="D1861" s="5" t="s">
        <v>1827</v>
      </c>
      <c r="E1861" s="6" t="str">
        <f>HYPERLINK("https://twitter.com/petrogustavo/status/1222985329499693057","1222985329499693057")</f>
        <v>1222985329499693057</v>
      </c>
      <c r="F1861" s="7" t="s">
        <v>32</v>
      </c>
      <c r="G1861" s="7">
        <v>3622707</v>
      </c>
      <c r="H1861" s="7">
        <v>2352</v>
      </c>
      <c r="I1861" s="7">
        <v>57</v>
      </c>
      <c r="J1861" s="7">
        <v>0</v>
      </c>
      <c r="K1861" s="7" t="s">
        <v>18</v>
      </c>
      <c r="L1861" s="8">
        <v>39987.315405092595</v>
      </c>
      <c r="M1861" s="9" t="s">
        <v>19</v>
      </c>
      <c r="N1861" s="9" t="s">
        <v>20</v>
      </c>
      <c r="O1861" s="6" t="str">
        <f>HYPERLINK("https://pbs.twimg.com/profile_images/962471262747529216/Uo8lOkRJ_normal.jpg","View")</f>
        <v>View</v>
      </c>
      <c r="P1861" s="7"/>
    </row>
    <row r="1862" spans="1:16">
      <c r="A1862" s="3">
        <v>43861.101030092592</v>
      </c>
      <c r="B1862" s="4" t="str">
        <f>HYPERLINK("https://twitter.com/petrogustavo","@petrogustavo")</f>
        <v>@petrogustavo</v>
      </c>
      <c r="C1862" s="5" t="s">
        <v>16</v>
      </c>
      <c r="D1862" s="5" t="s">
        <v>1828</v>
      </c>
      <c r="E1862" s="6" t="str">
        <f>HYPERLINK("https://twitter.com/petrogustavo/status/1222986713372536844","1222986713372536844")</f>
        <v>1222986713372536844</v>
      </c>
      <c r="F1862" s="7" t="s">
        <v>32</v>
      </c>
      <c r="G1862" s="7">
        <v>3622707</v>
      </c>
      <c r="H1862" s="7">
        <v>2352</v>
      </c>
      <c r="I1862" s="7">
        <v>63</v>
      </c>
      <c r="J1862" s="7">
        <v>0</v>
      </c>
      <c r="K1862" s="7" t="s">
        <v>18</v>
      </c>
      <c r="L1862" s="8">
        <v>39987.315405092595</v>
      </c>
      <c r="M1862" s="9" t="s">
        <v>19</v>
      </c>
      <c r="N1862" s="9" t="s">
        <v>20</v>
      </c>
      <c r="O1862" s="6" t="str">
        <f>HYPERLINK("https://pbs.twimg.com/profile_images/962471262747529216/Uo8lOkRJ_normal.jpg","View")</f>
        <v>View</v>
      </c>
      <c r="P1862" s="7"/>
    </row>
    <row r="1863" spans="1:16">
      <c r="A1863" s="3">
        <v>43861.101307870369</v>
      </c>
      <c r="B1863" s="4" t="str">
        <f>HYPERLINK("https://twitter.com/petrogustavo","@petrogustavo")</f>
        <v>@petrogustavo</v>
      </c>
      <c r="C1863" s="5" t="s">
        <v>16</v>
      </c>
      <c r="D1863" s="5" t="s">
        <v>1829</v>
      </c>
      <c r="E1863" s="6" t="str">
        <f>HYPERLINK("https://twitter.com/petrogustavo/status/1222986814820167681","1222986814820167681")</f>
        <v>1222986814820167681</v>
      </c>
      <c r="F1863" s="7" t="s">
        <v>32</v>
      </c>
      <c r="G1863" s="7">
        <v>3622707</v>
      </c>
      <c r="H1863" s="7">
        <v>2352</v>
      </c>
      <c r="I1863" s="7">
        <v>100</v>
      </c>
      <c r="J1863" s="7">
        <v>0</v>
      </c>
      <c r="K1863" s="7" t="s">
        <v>18</v>
      </c>
      <c r="L1863" s="8">
        <v>39987.315405092595</v>
      </c>
      <c r="M1863" s="9" t="s">
        <v>19</v>
      </c>
      <c r="N1863" s="9" t="s">
        <v>20</v>
      </c>
      <c r="O1863" s="6" t="str">
        <f>HYPERLINK("https://pbs.twimg.com/profile_images/962471262747529216/Uo8lOkRJ_normal.jpg","View")</f>
        <v>View</v>
      </c>
      <c r="P1863" s="7"/>
    </row>
    <row r="1864" spans="1:16">
      <c r="A1864" s="3">
        <v>43861.102696759262</v>
      </c>
      <c r="B1864" s="4" t="str">
        <f>HYPERLINK("https://twitter.com/petrogustavo","@petrogustavo")</f>
        <v>@petrogustavo</v>
      </c>
      <c r="C1864" s="5" t="s">
        <v>16</v>
      </c>
      <c r="D1864" s="5" t="s">
        <v>1830</v>
      </c>
      <c r="E1864" s="6" t="str">
        <f>HYPERLINK("https://twitter.com/petrogustavo/status/1222987318447001601","1222987318447001601")</f>
        <v>1222987318447001601</v>
      </c>
      <c r="F1864" s="7" t="s">
        <v>32</v>
      </c>
      <c r="G1864" s="7">
        <v>3622707</v>
      </c>
      <c r="H1864" s="7">
        <v>2352</v>
      </c>
      <c r="I1864" s="7">
        <v>9702</v>
      </c>
      <c r="J1864" s="7">
        <v>0</v>
      </c>
      <c r="K1864" s="7" t="s">
        <v>18</v>
      </c>
      <c r="L1864" s="8">
        <v>39987.315405092595</v>
      </c>
      <c r="M1864" s="9" t="s">
        <v>19</v>
      </c>
      <c r="N1864" s="9" t="s">
        <v>20</v>
      </c>
      <c r="O1864" s="6" t="str">
        <f>HYPERLINK("https://pbs.twimg.com/profile_images/962471262747529216/Uo8lOkRJ_normal.jpg","View")</f>
        <v>View</v>
      </c>
      <c r="P1864" s="7"/>
    </row>
    <row r="1865" spans="1:16">
      <c r="A1865" s="3">
        <v>43861.10659722222</v>
      </c>
      <c r="B1865" s="4" t="str">
        <f>HYPERLINK("https://twitter.com/petrogustavo","@petrogustavo")</f>
        <v>@petrogustavo</v>
      </c>
      <c r="C1865" s="5" t="s">
        <v>16</v>
      </c>
      <c r="D1865" s="5" t="s">
        <v>1831</v>
      </c>
      <c r="E1865" s="6" t="str">
        <f>HYPERLINK("https://twitter.com/petrogustavo/status/1222988734448226305","1222988734448226305")</f>
        <v>1222988734448226305</v>
      </c>
      <c r="F1865" s="7" t="s">
        <v>32</v>
      </c>
      <c r="G1865" s="7">
        <v>3622725</v>
      </c>
      <c r="H1865" s="7">
        <v>2352</v>
      </c>
      <c r="I1865" s="7">
        <v>2154</v>
      </c>
      <c r="J1865" s="7">
        <v>0</v>
      </c>
      <c r="K1865" s="7" t="s">
        <v>18</v>
      </c>
      <c r="L1865" s="8">
        <v>39987.315405092595</v>
      </c>
      <c r="M1865" s="9" t="s">
        <v>19</v>
      </c>
      <c r="N1865" s="9" t="s">
        <v>20</v>
      </c>
      <c r="O1865" s="6" t="str">
        <f>HYPERLINK("https://pbs.twimg.com/profile_images/962471262747529216/Uo8lOkRJ_normal.jpg","View")</f>
        <v>View</v>
      </c>
      <c r="P1865" s="7"/>
    </row>
    <row r="1866" spans="1:16">
      <c r="A1866" s="3">
        <v>43861.109722222223</v>
      </c>
      <c r="B1866" s="4" t="str">
        <f>HYPERLINK("https://twitter.com/petrogustavo","@petrogustavo")</f>
        <v>@petrogustavo</v>
      </c>
      <c r="C1866" s="5" t="s">
        <v>16</v>
      </c>
      <c r="D1866" s="5" t="s">
        <v>1832</v>
      </c>
      <c r="E1866" s="6" t="str">
        <f>HYPERLINK("https://twitter.com/petrogustavo/status/1222989865853341696","1222989865853341696")</f>
        <v>1222989865853341696</v>
      </c>
      <c r="F1866" s="7" t="s">
        <v>32</v>
      </c>
      <c r="G1866" s="7">
        <v>3622725</v>
      </c>
      <c r="H1866" s="7">
        <v>2352</v>
      </c>
      <c r="I1866" s="7">
        <v>144</v>
      </c>
      <c r="J1866" s="7">
        <v>0</v>
      </c>
      <c r="K1866" s="7" t="s">
        <v>18</v>
      </c>
      <c r="L1866" s="8">
        <v>39987.315405092595</v>
      </c>
      <c r="M1866" s="9" t="s">
        <v>19</v>
      </c>
      <c r="N1866" s="9" t="s">
        <v>20</v>
      </c>
      <c r="O1866" s="6" t="str">
        <f>HYPERLINK("https://pbs.twimg.com/profile_images/962471262747529216/Uo8lOkRJ_normal.jpg","View")</f>
        <v>View</v>
      </c>
      <c r="P1866" s="7"/>
    </row>
    <row r="1867" spans="1:16">
      <c r="A1867" s="3">
        <v>43861.175347222219</v>
      </c>
      <c r="B1867" s="4" t="str">
        <f>HYPERLINK("https://twitter.com/petrogustavo","@petrogustavo")</f>
        <v>@petrogustavo</v>
      </c>
      <c r="C1867" s="5" t="s">
        <v>16</v>
      </c>
      <c r="D1867" s="5" t="s">
        <v>1833</v>
      </c>
      <c r="E1867" s="6" t="str">
        <f>HYPERLINK("https://twitter.com/petrogustavo/status/1223013647896719360","1223013647896719360")</f>
        <v>1223013647896719360</v>
      </c>
      <c r="F1867" s="7" t="s">
        <v>32</v>
      </c>
      <c r="G1867" s="7">
        <v>3622787</v>
      </c>
      <c r="H1867" s="7">
        <v>2352</v>
      </c>
      <c r="I1867" s="7">
        <v>548</v>
      </c>
      <c r="J1867" s="7">
        <v>0</v>
      </c>
      <c r="K1867" s="7" t="s">
        <v>18</v>
      </c>
      <c r="L1867" s="8">
        <v>39987.315405092595</v>
      </c>
      <c r="M1867" s="9" t="s">
        <v>19</v>
      </c>
      <c r="N1867" s="9" t="s">
        <v>20</v>
      </c>
      <c r="O1867" s="6" t="str">
        <f>HYPERLINK("https://pbs.twimg.com/profile_images/962471262747529216/Uo8lOkRJ_normal.jpg","View")</f>
        <v>View</v>
      </c>
      <c r="P1867" s="7"/>
    </row>
    <row r="1868" spans="1:16">
      <c r="A1868" s="3">
        <v>43861.175613425927</v>
      </c>
      <c r="B1868" s="4" t="str">
        <f>HYPERLINK("https://twitter.com/petrogustavo","@petrogustavo")</f>
        <v>@petrogustavo</v>
      </c>
      <c r="C1868" s="5" t="s">
        <v>16</v>
      </c>
      <c r="D1868" s="5" t="s">
        <v>1834</v>
      </c>
      <c r="E1868" s="6" t="str">
        <f>HYPERLINK("https://twitter.com/petrogustavo/status/1223013742486618116","1223013742486618116")</f>
        <v>1223013742486618116</v>
      </c>
      <c r="F1868" s="7" t="s">
        <v>32</v>
      </c>
      <c r="G1868" s="7">
        <v>3622787</v>
      </c>
      <c r="H1868" s="7">
        <v>2352</v>
      </c>
      <c r="I1868" s="7">
        <v>56</v>
      </c>
      <c r="J1868" s="7">
        <v>0</v>
      </c>
      <c r="K1868" s="7" t="s">
        <v>18</v>
      </c>
      <c r="L1868" s="8">
        <v>39987.315405092595</v>
      </c>
      <c r="M1868" s="9" t="s">
        <v>19</v>
      </c>
      <c r="N1868" s="9" t="s">
        <v>20</v>
      </c>
      <c r="O1868" s="6" t="str">
        <f>HYPERLINK("https://pbs.twimg.com/profile_images/962471262747529216/Uo8lOkRJ_normal.jpg","View")</f>
        <v>View</v>
      </c>
      <c r="P1868" s="7"/>
    </row>
    <row r="1869" spans="1:16">
      <c r="A1869" s="3">
        <v>43861.192407407405</v>
      </c>
      <c r="B1869" s="4" t="str">
        <f>HYPERLINK("https://twitter.com/petrogustavo","@petrogustavo")</f>
        <v>@petrogustavo</v>
      </c>
      <c r="C1869" s="5" t="s">
        <v>16</v>
      </c>
      <c r="D1869" s="5" t="s">
        <v>1835</v>
      </c>
      <c r="E1869" s="6" t="str">
        <f>HYPERLINK("https://twitter.com/petrogustavo/status/1223019828685963266","1223019828685963266")</f>
        <v>1223019828685963266</v>
      </c>
      <c r="F1869" s="7" t="s">
        <v>32</v>
      </c>
      <c r="G1869" s="7">
        <v>3622810</v>
      </c>
      <c r="H1869" s="7">
        <v>2353</v>
      </c>
      <c r="I1869" s="7">
        <v>68</v>
      </c>
      <c r="J1869" s="7">
        <v>0</v>
      </c>
      <c r="K1869" s="7" t="s">
        <v>18</v>
      </c>
      <c r="L1869" s="8">
        <v>39987.315405092595</v>
      </c>
      <c r="M1869" s="9" t="s">
        <v>19</v>
      </c>
      <c r="N1869" s="9" t="s">
        <v>20</v>
      </c>
      <c r="O1869" s="6" t="str">
        <f>HYPERLINK("https://pbs.twimg.com/profile_images/962471262747529216/Uo8lOkRJ_normal.jpg","View")</f>
        <v>View</v>
      </c>
      <c r="P1869" s="7"/>
    </row>
    <row r="1870" spans="1:16">
      <c r="A1870" s="3">
        <v>43861.200787037036</v>
      </c>
      <c r="B1870" s="4" t="str">
        <f>HYPERLINK("https://twitter.com/petrogustavo","@petrogustavo")</f>
        <v>@petrogustavo</v>
      </c>
      <c r="C1870" s="5" t="s">
        <v>16</v>
      </c>
      <c r="D1870" s="5" t="s">
        <v>1836</v>
      </c>
      <c r="E1870" s="6" t="str">
        <f>HYPERLINK("https://twitter.com/petrogustavo/status/1223022865458638848","1223022865458638848")</f>
        <v>1223022865458638848</v>
      </c>
      <c r="F1870" s="7" t="s">
        <v>32</v>
      </c>
      <c r="G1870" s="7">
        <v>3622810</v>
      </c>
      <c r="H1870" s="7">
        <v>2353</v>
      </c>
      <c r="I1870" s="7">
        <v>117</v>
      </c>
      <c r="J1870" s="7">
        <v>0</v>
      </c>
      <c r="K1870" s="7" t="s">
        <v>18</v>
      </c>
      <c r="L1870" s="8">
        <v>39987.315405092595</v>
      </c>
      <c r="M1870" s="9" t="s">
        <v>19</v>
      </c>
      <c r="N1870" s="9" t="s">
        <v>20</v>
      </c>
      <c r="O1870" s="6" t="str">
        <f>HYPERLINK("https://pbs.twimg.com/profile_images/962471262747529216/Uo8lOkRJ_normal.jpg","View")</f>
        <v>View</v>
      </c>
      <c r="P1870" s="7"/>
    </row>
    <row r="1871" spans="1:16">
      <c r="A1871" s="3">
        <v>43861.201701388884</v>
      </c>
      <c r="B1871" s="4" t="str">
        <f>HYPERLINK("https://twitter.com/petrogustavo","@petrogustavo")</f>
        <v>@petrogustavo</v>
      </c>
      <c r="C1871" s="5" t="s">
        <v>16</v>
      </c>
      <c r="D1871" s="5" t="s">
        <v>1837</v>
      </c>
      <c r="E1871" s="6" t="str">
        <f>HYPERLINK("https://twitter.com/petrogustavo/status/1223023195877445632","1223023195877445632")</f>
        <v>1223023195877445632</v>
      </c>
      <c r="F1871" s="7" t="s">
        <v>32</v>
      </c>
      <c r="G1871" s="7">
        <v>3622810</v>
      </c>
      <c r="H1871" s="7">
        <v>2353</v>
      </c>
      <c r="I1871" s="7">
        <v>315</v>
      </c>
      <c r="J1871" s="7">
        <v>0</v>
      </c>
      <c r="K1871" s="7" t="s">
        <v>18</v>
      </c>
      <c r="L1871" s="8">
        <v>39987.315405092595</v>
      </c>
      <c r="M1871" s="9" t="s">
        <v>19</v>
      </c>
      <c r="N1871" s="9" t="s">
        <v>20</v>
      </c>
      <c r="O1871" s="6" t="str">
        <f>HYPERLINK("https://pbs.twimg.com/profile_images/962471262747529216/Uo8lOkRJ_normal.jpg","View")</f>
        <v>View</v>
      </c>
      <c r="P1871" s="7"/>
    </row>
    <row r="1872" spans="1:16">
      <c r="A1872" s="3">
        <v>43861.202025462961</v>
      </c>
      <c r="B1872" s="4" t="str">
        <f>HYPERLINK("https://twitter.com/petrogustavo","@petrogustavo")</f>
        <v>@petrogustavo</v>
      </c>
      <c r="C1872" s="5" t="s">
        <v>16</v>
      </c>
      <c r="D1872" s="5" t="s">
        <v>1838</v>
      </c>
      <c r="E1872" s="6" t="str">
        <f>HYPERLINK("https://twitter.com/petrogustavo/status/1223023315536744450","1223023315536744450")</f>
        <v>1223023315536744450</v>
      </c>
      <c r="F1872" s="7" t="s">
        <v>32</v>
      </c>
      <c r="G1872" s="7">
        <v>3622810</v>
      </c>
      <c r="H1872" s="7">
        <v>2353</v>
      </c>
      <c r="I1872" s="7">
        <v>55</v>
      </c>
      <c r="J1872" s="7">
        <v>0</v>
      </c>
      <c r="K1872" s="7" t="s">
        <v>18</v>
      </c>
      <c r="L1872" s="8">
        <v>39987.315405092595</v>
      </c>
      <c r="M1872" s="9" t="s">
        <v>19</v>
      </c>
      <c r="N1872" s="9" t="s">
        <v>20</v>
      </c>
      <c r="O1872" s="6" t="str">
        <f>HYPERLINK("https://pbs.twimg.com/profile_images/962471262747529216/Uo8lOkRJ_normal.jpg","View")</f>
        <v>View</v>
      </c>
      <c r="P1872" s="7"/>
    </row>
    <row r="1873" spans="1:16">
      <c r="A1873" s="3">
        <v>43861.203506944439</v>
      </c>
      <c r="B1873" s="4" t="str">
        <f>HYPERLINK("https://twitter.com/petrogustavo","@petrogustavo")</f>
        <v>@petrogustavo</v>
      </c>
      <c r="C1873" s="5" t="s">
        <v>16</v>
      </c>
      <c r="D1873" s="5" t="s">
        <v>1839</v>
      </c>
      <c r="E1873" s="6" t="str">
        <f>HYPERLINK("https://twitter.com/petrogustavo/status/1223023849714913280","1223023849714913280")</f>
        <v>1223023849714913280</v>
      </c>
      <c r="F1873" s="7" t="s">
        <v>32</v>
      </c>
      <c r="G1873" s="7">
        <v>3622810</v>
      </c>
      <c r="H1873" s="7">
        <v>2353</v>
      </c>
      <c r="I1873" s="7">
        <v>135</v>
      </c>
      <c r="J1873" s="7">
        <v>0</v>
      </c>
      <c r="K1873" s="7" t="s">
        <v>18</v>
      </c>
      <c r="L1873" s="8">
        <v>39987.315405092595</v>
      </c>
      <c r="M1873" s="9" t="s">
        <v>19</v>
      </c>
      <c r="N1873" s="9" t="s">
        <v>20</v>
      </c>
      <c r="O1873" s="6" t="str">
        <f>HYPERLINK("https://pbs.twimg.com/profile_images/962471262747529216/Uo8lOkRJ_normal.jpg","View")</f>
        <v>View</v>
      </c>
      <c r="P1873" s="7"/>
    </row>
    <row r="1874" spans="1:16">
      <c r="A1874" s="3">
        <v>43861.218530092592</v>
      </c>
      <c r="B1874" s="4" t="str">
        <f>HYPERLINK("https://twitter.com/petrogustavo","@petrogustavo")</f>
        <v>@petrogustavo</v>
      </c>
      <c r="C1874" s="5" t="s">
        <v>16</v>
      </c>
      <c r="D1874" s="5" t="s">
        <v>1840</v>
      </c>
      <c r="E1874" s="6" t="str">
        <f>HYPERLINK("https://twitter.com/petrogustavo/status/1223029297264328706","1223029297264328706")</f>
        <v>1223029297264328706</v>
      </c>
      <c r="F1874" s="7" t="s">
        <v>32</v>
      </c>
      <c r="G1874" s="7">
        <v>3622838</v>
      </c>
      <c r="H1874" s="7">
        <v>2353</v>
      </c>
      <c r="I1874" s="7">
        <v>50</v>
      </c>
      <c r="J1874" s="7">
        <v>0</v>
      </c>
      <c r="K1874" s="7" t="s">
        <v>18</v>
      </c>
      <c r="L1874" s="8">
        <v>39987.315405092595</v>
      </c>
      <c r="M1874" s="9" t="s">
        <v>19</v>
      </c>
      <c r="N1874" s="9" t="s">
        <v>20</v>
      </c>
      <c r="O1874" s="6" t="str">
        <f>HYPERLINK("https://pbs.twimg.com/profile_images/962471262747529216/Uo8lOkRJ_normal.jpg","View")</f>
        <v>View</v>
      </c>
      <c r="P1874" s="7"/>
    </row>
    <row r="1875" spans="1:16">
      <c r="A1875" s="3">
        <v>43861.246504629627</v>
      </c>
      <c r="B1875" s="4" t="str">
        <f>HYPERLINK("https://twitter.com/petrogustavo","@petrogustavo")</f>
        <v>@petrogustavo</v>
      </c>
      <c r="C1875" s="5" t="s">
        <v>16</v>
      </c>
      <c r="D1875" s="5" t="s">
        <v>1841</v>
      </c>
      <c r="E1875" s="6" t="str">
        <f>HYPERLINK("https://twitter.com/petrogustavo/status/1223039435119480834","1223039435119480834")</f>
        <v>1223039435119480834</v>
      </c>
      <c r="F1875" s="7" t="s">
        <v>17</v>
      </c>
      <c r="G1875" s="7">
        <v>3622875</v>
      </c>
      <c r="H1875" s="7">
        <v>2353</v>
      </c>
      <c r="I1875" s="7">
        <v>242</v>
      </c>
      <c r="J1875" s="7">
        <v>0</v>
      </c>
      <c r="K1875" s="7" t="s">
        <v>18</v>
      </c>
      <c r="L1875" s="8">
        <v>39987.315405092595</v>
      </c>
      <c r="M1875" s="9" t="s">
        <v>19</v>
      </c>
      <c r="N1875" s="9" t="s">
        <v>20</v>
      </c>
      <c r="O1875" s="6" t="str">
        <f>HYPERLINK("https://pbs.twimg.com/profile_images/962471262747529216/Uo8lOkRJ_normal.jpg","View")</f>
        <v>View</v>
      </c>
      <c r="P1875" s="7"/>
    </row>
    <row r="1876" spans="1:16">
      <c r="A1876" s="3">
        <v>43861.247395833328</v>
      </c>
      <c r="B1876" s="4" t="str">
        <f>HYPERLINK("https://twitter.com/petrogustavo","@petrogustavo")</f>
        <v>@petrogustavo</v>
      </c>
      <c r="C1876" s="5" t="s">
        <v>16</v>
      </c>
      <c r="D1876" s="5" t="s">
        <v>1842</v>
      </c>
      <c r="E1876" s="6" t="str">
        <f>HYPERLINK("https://twitter.com/petrogustavo/status/1223039755274936321","1223039755274936321")</f>
        <v>1223039755274936321</v>
      </c>
      <c r="F1876" s="7" t="s">
        <v>17</v>
      </c>
      <c r="G1876" s="7">
        <v>3622875</v>
      </c>
      <c r="H1876" s="7">
        <v>2353</v>
      </c>
      <c r="I1876" s="7">
        <v>266</v>
      </c>
      <c r="J1876" s="7">
        <v>0</v>
      </c>
      <c r="K1876" s="7" t="s">
        <v>18</v>
      </c>
      <c r="L1876" s="8">
        <v>39987.315405092595</v>
      </c>
      <c r="M1876" s="9" t="s">
        <v>19</v>
      </c>
      <c r="N1876" s="9" t="s">
        <v>20</v>
      </c>
      <c r="O1876" s="6" t="str">
        <f>HYPERLINK("https://pbs.twimg.com/profile_images/962471262747529216/Uo8lOkRJ_normal.jpg","View")</f>
        <v>View</v>
      </c>
      <c r="P1876" s="7"/>
    </row>
    <row r="1877" spans="1:16">
      <c r="A1877" s="3">
        <v>43861.257951388892</v>
      </c>
      <c r="B1877" s="4" t="str">
        <f>HYPERLINK("https://twitter.com/petrogustavo","@petrogustavo")</f>
        <v>@petrogustavo</v>
      </c>
      <c r="C1877" s="5" t="s">
        <v>16</v>
      </c>
      <c r="D1877" s="5" t="s">
        <v>1843</v>
      </c>
      <c r="E1877" s="6" t="str">
        <f>HYPERLINK("https://twitter.com/petrogustavo/status/1223043582547890176","1223043582547890176")</f>
        <v>1223043582547890176</v>
      </c>
      <c r="F1877" s="7" t="s">
        <v>32</v>
      </c>
      <c r="G1877" s="7">
        <v>3622895</v>
      </c>
      <c r="H1877" s="7">
        <v>2353</v>
      </c>
      <c r="I1877" s="7">
        <v>9</v>
      </c>
      <c r="J1877" s="7">
        <v>0</v>
      </c>
      <c r="K1877" s="7" t="s">
        <v>18</v>
      </c>
      <c r="L1877" s="8">
        <v>39987.315405092595</v>
      </c>
      <c r="M1877" s="9" t="s">
        <v>19</v>
      </c>
      <c r="N1877" s="9" t="s">
        <v>20</v>
      </c>
      <c r="O1877" s="6" t="str">
        <f>HYPERLINK("https://pbs.twimg.com/profile_images/962471262747529216/Uo8lOkRJ_normal.jpg","View")</f>
        <v>View</v>
      </c>
      <c r="P1877" s="7"/>
    </row>
    <row r="1878" spans="1:16">
      <c r="A1878" s="3">
        <v>43861.262453703705</v>
      </c>
      <c r="B1878" s="4" t="str">
        <f>HYPERLINK("https://twitter.com/petrogustavo","@petrogustavo")</f>
        <v>@petrogustavo</v>
      </c>
      <c r="C1878" s="5" t="s">
        <v>16</v>
      </c>
      <c r="D1878" s="5" t="s">
        <v>1844</v>
      </c>
      <c r="E1878" s="6" t="str">
        <f>HYPERLINK("https://twitter.com/petrogustavo/status/1223045214237007874","1223045214237007874")</f>
        <v>1223045214237007874</v>
      </c>
      <c r="F1878" s="7" t="s">
        <v>17</v>
      </c>
      <c r="G1878" s="7">
        <v>3622895</v>
      </c>
      <c r="H1878" s="7">
        <v>2353</v>
      </c>
      <c r="I1878" s="7">
        <v>182</v>
      </c>
      <c r="J1878" s="7">
        <v>707</v>
      </c>
      <c r="K1878" s="7" t="s">
        <v>18</v>
      </c>
      <c r="L1878" s="8">
        <v>39987.315405092595</v>
      </c>
      <c r="M1878" s="9" t="s">
        <v>19</v>
      </c>
      <c r="N1878" s="9" t="s">
        <v>20</v>
      </c>
      <c r="O1878" s="6" t="str">
        <f>HYPERLINK("https://pbs.twimg.com/profile_images/962471262747529216/Uo8lOkRJ_normal.jpg","View")</f>
        <v>View</v>
      </c>
      <c r="P1878" s="7"/>
    </row>
    <row r="1879" spans="1:16">
      <c r="A1879" s="3">
        <v>43861.309675925921</v>
      </c>
      <c r="B1879" s="4" t="str">
        <f>HYPERLINK("https://twitter.com/petrogustavo","@petrogustavo")</f>
        <v>@petrogustavo</v>
      </c>
      <c r="C1879" s="5" t="s">
        <v>16</v>
      </c>
      <c r="D1879" s="5" t="s">
        <v>1845</v>
      </c>
      <c r="E1879" s="6" t="str">
        <f>HYPERLINK("https://twitter.com/petrogustavo/status/1223062323885113345","1223062323885113345")</f>
        <v>1223062323885113345</v>
      </c>
      <c r="F1879" s="7" t="s">
        <v>32</v>
      </c>
      <c r="G1879" s="7">
        <v>3622938</v>
      </c>
      <c r="H1879" s="7">
        <v>2353</v>
      </c>
      <c r="I1879" s="7">
        <v>34</v>
      </c>
      <c r="J1879" s="7">
        <v>0</v>
      </c>
      <c r="K1879" s="7" t="s">
        <v>18</v>
      </c>
      <c r="L1879" s="8">
        <v>39987.315405092595</v>
      </c>
      <c r="M1879" s="9" t="s">
        <v>19</v>
      </c>
      <c r="N1879" s="9" t="s">
        <v>20</v>
      </c>
      <c r="O1879" s="6" t="str">
        <f>HYPERLINK("https://pbs.twimg.com/profile_images/962471262747529216/Uo8lOkRJ_normal.jpg","View")</f>
        <v>View</v>
      </c>
      <c r="P1879" s="7"/>
    </row>
    <row r="1880" spans="1:16">
      <c r="A1880" s="3">
        <v>43861.310277777782</v>
      </c>
      <c r="B1880" s="4" t="str">
        <f>HYPERLINK("https://twitter.com/petrogustavo","@petrogustavo")</f>
        <v>@petrogustavo</v>
      </c>
      <c r="C1880" s="5" t="s">
        <v>16</v>
      </c>
      <c r="D1880" s="5" t="s">
        <v>1846</v>
      </c>
      <c r="E1880" s="6" t="str">
        <f>HYPERLINK("https://twitter.com/petrogustavo/status/1223062544606224384","1223062544606224384")</f>
        <v>1223062544606224384</v>
      </c>
      <c r="F1880" s="7" t="s">
        <v>32</v>
      </c>
      <c r="G1880" s="7">
        <v>3622938</v>
      </c>
      <c r="H1880" s="7">
        <v>2353</v>
      </c>
      <c r="I1880" s="7">
        <v>15</v>
      </c>
      <c r="J1880" s="7">
        <v>0</v>
      </c>
      <c r="K1880" s="7" t="s">
        <v>18</v>
      </c>
      <c r="L1880" s="8">
        <v>39987.315405092595</v>
      </c>
      <c r="M1880" s="9" t="s">
        <v>19</v>
      </c>
      <c r="N1880" s="9" t="s">
        <v>20</v>
      </c>
      <c r="O1880" s="6" t="str">
        <f>HYPERLINK("https://pbs.twimg.com/profile_images/962471262747529216/Uo8lOkRJ_normal.jpg","View")</f>
        <v>View</v>
      </c>
      <c r="P1880" s="7"/>
    </row>
    <row r="1881" spans="1:16">
      <c r="A1881" s="3">
        <v>43861.315509259264</v>
      </c>
      <c r="B1881" s="4" t="str">
        <f>HYPERLINK("https://twitter.com/petrogustavo","@petrogustavo")</f>
        <v>@petrogustavo</v>
      </c>
      <c r="C1881" s="5" t="s">
        <v>16</v>
      </c>
      <c r="D1881" s="5" t="s">
        <v>1847</v>
      </c>
      <c r="E1881" s="6" t="str">
        <f>HYPERLINK("https://twitter.com/petrogustavo/status/1223064440469381123","1223064440469381123")</f>
        <v>1223064440469381123</v>
      </c>
      <c r="F1881" s="7" t="s">
        <v>32</v>
      </c>
      <c r="G1881" s="7">
        <v>3622977</v>
      </c>
      <c r="H1881" s="7">
        <v>2353</v>
      </c>
      <c r="I1881" s="7">
        <v>97</v>
      </c>
      <c r="J1881" s="7">
        <v>211</v>
      </c>
      <c r="K1881" s="7" t="s">
        <v>18</v>
      </c>
      <c r="L1881" s="8">
        <v>39987.315405092595</v>
      </c>
      <c r="M1881" s="9" t="s">
        <v>19</v>
      </c>
      <c r="N1881" s="9" t="s">
        <v>20</v>
      </c>
      <c r="O1881" s="6" t="str">
        <f>HYPERLINK("https://pbs.twimg.com/profile_images/962471262747529216/Uo8lOkRJ_normal.jpg","View")</f>
        <v>View</v>
      </c>
      <c r="P1881" s="7"/>
    </row>
    <row r="1882" spans="1:16">
      <c r="A1882" s="3">
        <v>43861.321087962962</v>
      </c>
      <c r="B1882" s="4" t="str">
        <f>HYPERLINK("https://twitter.com/petrogustavo","@petrogustavo")</f>
        <v>@petrogustavo</v>
      </c>
      <c r="C1882" s="5" t="s">
        <v>16</v>
      </c>
      <c r="D1882" s="5" t="s">
        <v>1814</v>
      </c>
      <c r="E1882" s="6" t="str">
        <f>HYPERLINK("https://twitter.com/petrogustavo/status/1223066463357100032","1223066463357100032")</f>
        <v>1223066463357100032</v>
      </c>
      <c r="F1882" s="7" t="s">
        <v>32</v>
      </c>
      <c r="G1882" s="7">
        <v>3622977</v>
      </c>
      <c r="H1882" s="7">
        <v>2353</v>
      </c>
      <c r="I1882" s="7">
        <v>966</v>
      </c>
      <c r="J1882" s="7">
        <v>0</v>
      </c>
      <c r="K1882" s="7" t="s">
        <v>18</v>
      </c>
      <c r="L1882" s="8">
        <v>39987.315405092595</v>
      </c>
      <c r="M1882" s="9" t="s">
        <v>19</v>
      </c>
      <c r="N1882" s="9" t="s">
        <v>20</v>
      </c>
      <c r="O1882" s="6" t="str">
        <f>HYPERLINK("https://pbs.twimg.com/profile_images/962471262747529216/Uo8lOkRJ_normal.jpg","View")</f>
        <v>View</v>
      </c>
      <c r="P1882" s="7"/>
    </row>
    <row r="1883" spans="1:16">
      <c r="A1883" s="3">
        <v>43861.321979166663</v>
      </c>
      <c r="B1883" s="4" t="str">
        <f>HYPERLINK("https://twitter.com/petrogustavo","@petrogustavo")</f>
        <v>@petrogustavo</v>
      </c>
      <c r="C1883" s="5" t="s">
        <v>16</v>
      </c>
      <c r="D1883" s="5" t="s">
        <v>1848</v>
      </c>
      <c r="E1883" s="6" t="str">
        <f>HYPERLINK("https://twitter.com/petrogustavo/status/1223066782782697472","1223066782782697472")</f>
        <v>1223066782782697472</v>
      </c>
      <c r="F1883" s="7" t="s">
        <v>32</v>
      </c>
      <c r="G1883" s="7">
        <v>3622977</v>
      </c>
      <c r="H1883" s="7">
        <v>2353</v>
      </c>
      <c r="I1883" s="7">
        <v>743</v>
      </c>
      <c r="J1883" s="7">
        <v>0</v>
      </c>
      <c r="K1883" s="7" t="s">
        <v>18</v>
      </c>
      <c r="L1883" s="8">
        <v>39987.315405092595</v>
      </c>
      <c r="M1883" s="9" t="s">
        <v>19</v>
      </c>
      <c r="N1883" s="9" t="s">
        <v>20</v>
      </c>
      <c r="O1883" s="6" t="str">
        <f>HYPERLINK("https://pbs.twimg.com/profile_images/962471262747529216/Uo8lOkRJ_normal.jpg","View")</f>
        <v>View</v>
      </c>
      <c r="P1883" s="7"/>
    </row>
    <row r="1884" spans="1:16">
      <c r="A1884" s="3">
        <v>43861.381678240738</v>
      </c>
      <c r="B1884" s="4" t="str">
        <f>HYPERLINK("https://twitter.com/petrogustavo","@petrogustavo")</f>
        <v>@petrogustavo</v>
      </c>
      <c r="C1884" s="5" t="s">
        <v>16</v>
      </c>
      <c r="D1884" s="5" t="s">
        <v>1849</v>
      </c>
      <c r="E1884" s="6" t="str">
        <f>HYPERLINK("https://twitter.com/petrogustavo/status/1223088417661210624","1223088417661210624")</f>
        <v>1223088417661210624</v>
      </c>
      <c r="F1884" s="7" t="s">
        <v>17</v>
      </c>
      <c r="G1884" s="7">
        <v>3623071</v>
      </c>
      <c r="H1884" s="7">
        <v>2353</v>
      </c>
      <c r="I1884" s="7">
        <v>105</v>
      </c>
      <c r="J1884" s="7">
        <v>383</v>
      </c>
      <c r="K1884" s="7" t="s">
        <v>18</v>
      </c>
      <c r="L1884" s="8">
        <v>39987.315405092595</v>
      </c>
      <c r="M1884" s="9" t="s">
        <v>19</v>
      </c>
      <c r="N1884" s="9" t="s">
        <v>20</v>
      </c>
      <c r="O1884" s="6" t="str">
        <f>HYPERLINK("https://pbs.twimg.com/profile_images/962471262747529216/Uo8lOkRJ_normal.jpg","View")</f>
        <v>View</v>
      </c>
      <c r="P1884" s="7"/>
    </row>
    <row r="1885" spans="1:16">
      <c r="A1885" s="3">
        <v>43861.384074074071</v>
      </c>
      <c r="B1885" s="4" t="str">
        <f>HYPERLINK("https://twitter.com/petrogustavo","@petrogustavo")</f>
        <v>@petrogustavo</v>
      </c>
      <c r="C1885" s="5" t="s">
        <v>16</v>
      </c>
      <c r="D1885" s="5" t="s">
        <v>1850</v>
      </c>
      <c r="E1885" s="6" t="str">
        <f>HYPERLINK("https://twitter.com/petrogustavo/status/1223089287765331976","1223089287765331976")</f>
        <v>1223089287765331976</v>
      </c>
      <c r="F1885" s="7" t="s">
        <v>17</v>
      </c>
      <c r="G1885" s="7">
        <v>3623071</v>
      </c>
      <c r="H1885" s="7">
        <v>2353</v>
      </c>
      <c r="I1885" s="7">
        <v>22</v>
      </c>
      <c r="J1885" s="7">
        <v>80</v>
      </c>
      <c r="K1885" s="7" t="s">
        <v>18</v>
      </c>
      <c r="L1885" s="8">
        <v>39987.315405092595</v>
      </c>
      <c r="M1885" s="9" t="s">
        <v>19</v>
      </c>
      <c r="N1885" s="9" t="s">
        <v>20</v>
      </c>
      <c r="O1885" s="6" t="str">
        <f>HYPERLINK("https://pbs.twimg.com/profile_images/962471262747529216/Uo8lOkRJ_normal.jpg","View")</f>
        <v>View</v>
      </c>
      <c r="P1885" s="7"/>
    </row>
    <row r="1886" spans="1:16">
      <c r="A1886" s="3">
        <v>43861.39162037037</v>
      </c>
      <c r="B1886" s="4" t="str">
        <f>HYPERLINK("https://twitter.com/petrogustavo","@petrogustavo")</f>
        <v>@petrogustavo</v>
      </c>
      <c r="C1886" s="5" t="s">
        <v>16</v>
      </c>
      <c r="D1886" s="5" t="s">
        <v>1851</v>
      </c>
      <c r="E1886" s="6" t="str">
        <f>HYPERLINK("https://twitter.com/petrogustavo/status/1223092019305811968","1223092019305811968")</f>
        <v>1223092019305811968</v>
      </c>
      <c r="F1886" s="7" t="s">
        <v>17</v>
      </c>
      <c r="G1886" s="7">
        <v>3623071</v>
      </c>
      <c r="H1886" s="7">
        <v>2353</v>
      </c>
      <c r="I1886" s="7">
        <v>151</v>
      </c>
      <c r="J1886" s="7">
        <v>203</v>
      </c>
      <c r="K1886" s="7" t="s">
        <v>18</v>
      </c>
      <c r="L1886" s="8">
        <v>39987.315405092595</v>
      </c>
      <c r="M1886" s="9" t="s">
        <v>19</v>
      </c>
      <c r="N1886" s="9" t="s">
        <v>20</v>
      </c>
      <c r="O1886" s="6" t="str">
        <f>HYPERLINK("https://pbs.twimg.com/profile_images/962471262747529216/Uo8lOkRJ_normal.jpg","View")</f>
        <v>View</v>
      </c>
      <c r="P1886" s="7"/>
    </row>
    <row r="1887" spans="1:16">
      <c r="A1887" s="3">
        <v>43861.815601851849</v>
      </c>
      <c r="B1887" s="4" t="str">
        <f>HYPERLINK("https://twitter.com/petrogustavo","@petrogustavo")</f>
        <v>@petrogustavo</v>
      </c>
      <c r="C1887" s="5" t="s">
        <v>16</v>
      </c>
      <c r="D1887" s="5" t="s">
        <v>1852</v>
      </c>
      <c r="E1887" s="6" t="str">
        <f>HYPERLINK("https://twitter.com/petrogustavo/status/1223245667541360642","1223245667541360642")</f>
        <v>1223245667541360642</v>
      </c>
      <c r="F1887" s="7" t="s">
        <v>17</v>
      </c>
      <c r="G1887" s="7">
        <v>3623301</v>
      </c>
      <c r="H1887" s="7">
        <v>2353</v>
      </c>
      <c r="I1887" s="7">
        <v>33</v>
      </c>
      <c r="J1887" s="7">
        <v>0</v>
      </c>
      <c r="K1887" s="7" t="s">
        <v>18</v>
      </c>
      <c r="L1887" s="8">
        <v>39987.315405092595</v>
      </c>
      <c r="M1887" s="9" t="s">
        <v>19</v>
      </c>
      <c r="N1887" s="9" t="s">
        <v>20</v>
      </c>
      <c r="O1887" s="6" t="str">
        <f>HYPERLINK("https://pbs.twimg.com/profile_images/962471262747529216/Uo8lOkRJ_normal.jpg","View")</f>
        <v>View</v>
      </c>
      <c r="P1887" s="7"/>
    </row>
    <row r="1888" spans="1:16">
      <c r="A1888" s="3">
        <v>43861.816631944443</v>
      </c>
      <c r="B1888" s="4" t="str">
        <f>HYPERLINK("https://twitter.com/petrogustavo","@petrogustavo")</f>
        <v>@petrogustavo</v>
      </c>
      <c r="C1888" s="5" t="s">
        <v>16</v>
      </c>
      <c r="D1888" s="5" t="s">
        <v>1853</v>
      </c>
      <c r="E1888" s="6" t="str">
        <f>HYPERLINK("https://twitter.com/petrogustavo/status/1223246041065103360","1223246041065103360")</f>
        <v>1223246041065103360</v>
      </c>
      <c r="F1888" s="7" t="s">
        <v>17</v>
      </c>
      <c r="G1888" s="7">
        <v>3623301</v>
      </c>
      <c r="H1888" s="7">
        <v>2353</v>
      </c>
      <c r="I1888" s="7">
        <v>804</v>
      </c>
      <c r="J1888" s="7">
        <v>0</v>
      </c>
      <c r="K1888" s="7" t="s">
        <v>18</v>
      </c>
      <c r="L1888" s="8">
        <v>39987.315405092595</v>
      </c>
      <c r="M1888" s="9" t="s">
        <v>19</v>
      </c>
      <c r="N1888" s="9" t="s">
        <v>20</v>
      </c>
      <c r="O1888" s="6" t="str">
        <f>HYPERLINK("https://pbs.twimg.com/profile_images/962471262747529216/Uo8lOkRJ_normal.jpg","View")</f>
        <v>View</v>
      </c>
      <c r="P1888" s="7"/>
    </row>
    <row r="1889" spans="1:16">
      <c r="A1889" s="3">
        <v>43861.81832175926</v>
      </c>
      <c r="B1889" s="4" t="str">
        <f>HYPERLINK("https://twitter.com/petrogustavo","@petrogustavo")</f>
        <v>@petrogustavo</v>
      </c>
      <c r="C1889" s="5" t="s">
        <v>16</v>
      </c>
      <c r="D1889" s="5" t="s">
        <v>1854</v>
      </c>
      <c r="E1889" s="6" t="str">
        <f>HYPERLINK("https://twitter.com/petrogustavo/status/1223246653513179136","1223246653513179136")</f>
        <v>1223246653513179136</v>
      </c>
      <c r="F1889" s="7" t="s">
        <v>17</v>
      </c>
      <c r="G1889" s="7">
        <v>3623301</v>
      </c>
      <c r="H1889" s="7">
        <v>2353</v>
      </c>
      <c r="I1889" s="7">
        <v>17</v>
      </c>
      <c r="J1889" s="7">
        <v>0</v>
      </c>
      <c r="K1889" s="7" t="s">
        <v>18</v>
      </c>
      <c r="L1889" s="8">
        <v>39987.315405092595</v>
      </c>
      <c r="M1889" s="9" t="s">
        <v>19</v>
      </c>
      <c r="N1889" s="9" t="s">
        <v>20</v>
      </c>
      <c r="O1889" s="6" t="str">
        <f>HYPERLINK("https://pbs.twimg.com/profile_images/962471262747529216/Uo8lOkRJ_normal.jpg","View")</f>
        <v>View</v>
      </c>
      <c r="P1889" s="7"/>
    </row>
    <row r="1890" spans="1:16">
      <c r="A1890" s="3">
        <v>43861.821111111116</v>
      </c>
      <c r="B1890" s="4" t="str">
        <f>HYPERLINK("https://twitter.com/petrogustavo","@petrogustavo")</f>
        <v>@petrogustavo</v>
      </c>
      <c r="C1890" s="5" t="s">
        <v>16</v>
      </c>
      <c r="D1890" s="5" t="s">
        <v>1855</v>
      </c>
      <c r="E1890" s="6" t="str">
        <f>HYPERLINK("https://twitter.com/petrogustavo/status/1223247662880841730","1223247662880841730")</f>
        <v>1223247662880841730</v>
      </c>
      <c r="F1890" s="7" t="s">
        <v>17</v>
      </c>
      <c r="G1890" s="7">
        <v>3623301</v>
      </c>
      <c r="H1890" s="7">
        <v>2353</v>
      </c>
      <c r="I1890" s="7">
        <v>95</v>
      </c>
      <c r="J1890" s="7">
        <v>256</v>
      </c>
      <c r="K1890" s="7" t="s">
        <v>18</v>
      </c>
      <c r="L1890" s="8">
        <v>39987.315405092595</v>
      </c>
      <c r="M1890" s="9" t="s">
        <v>19</v>
      </c>
      <c r="N1890" s="9" t="s">
        <v>20</v>
      </c>
      <c r="O1890" s="6" t="str">
        <f>HYPERLINK("https://pbs.twimg.com/profile_images/962471262747529216/Uo8lOkRJ_normal.jpg","View")</f>
        <v>View</v>
      </c>
      <c r="P1890" s="7"/>
    </row>
    <row r="1891" spans="1:16">
      <c r="A1891" s="3">
        <v>43861.823564814811</v>
      </c>
      <c r="B1891" s="4" t="str">
        <f>HYPERLINK("https://twitter.com/petrogustavo","@petrogustavo")</f>
        <v>@petrogustavo</v>
      </c>
      <c r="C1891" s="5" t="s">
        <v>16</v>
      </c>
      <c r="D1891" s="5" t="s">
        <v>1856</v>
      </c>
      <c r="E1891" s="6" t="str">
        <f>HYPERLINK("https://twitter.com/petrogustavo/status/1223248551502848000","1223248551502848000")</f>
        <v>1223248551502848000</v>
      </c>
      <c r="F1891" s="7" t="s">
        <v>17</v>
      </c>
      <c r="G1891" s="7">
        <v>3623301</v>
      </c>
      <c r="H1891" s="7">
        <v>2353</v>
      </c>
      <c r="I1891" s="7">
        <v>16</v>
      </c>
      <c r="J1891" s="7">
        <v>0</v>
      </c>
      <c r="K1891" s="7" t="s">
        <v>18</v>
      </c>
      <c r="L1891" s="8">
        <v>39987.315405092595</v>
      </c>
      <c r="M1891" s="9" t="s">
        <v>19</v>
      </c>
      <c r="N1891" s="9" t="s">
        <v>20</v>
      </c>
      <c r="O1891" s="6" t="str">
        <f>HYPERLINK("https://pbs.twimg.com/profile_images/962471262747529216/Uo8lOkRJ_normal.jpg","View")</f>
        <v>View</v>
      </c>
      <c r="P1891" s="7"/>
    </row>
    <row r="1892" spans="1:16">
      <c r="A1892" s="3">
        <v>43861.827800925923</v>
      </c>
      <c r="B1892" s="4" t="str">
        <f>HYPERLINK("https://twitter.com/petrogustavo","@petrogustavo")</f>
        <v>@petrogustavo</v>
      </c>
      <c r="C1892" s="5" t="s">
        <v>16</v>
      </c>
      <c r="D1892" s="5" t="s">
        <v>1857</v>
      </c>
      <c r="E1892" s="6" t="str">
        <f>HYPERLINK("https://twitter.com/petrogustavo/status/1223250086957867008","1223250086957867008")</f>
        <v>1223250086957867008</v>
      </c>
      <c r="F1892" s="7" t="s">
        <v>17</v>
      </c>
      <c r="G1892" s="7">
        <v>3623301</v>
      </c>
      <c r="H1892" s="7">
        <v>2353</v>
      </c>
      <c r="I1892" s="7">
        <v>30</v>
      </c>
      <c r="J1892" s="7">
        <v>0</v>
      </c>
      <c r="K1892" s="7" t="s">
        <v>18</v>
      </c>
      <c r="L1892" s="8">
        <v>39987.315405092595</v>
      </c>
      <c r="M1892" s="9" t="s">
        <v>19</v>
      </c>
      <c r="N1892" s="9" t="s">
        <v>20</v>
      </c>
      <c r="O1892" s="6" t="str">
        <f>HYPERLINK("https://pbs.twimg.com/profile_images/962471262747529216/Uo8lOkRJ_normal.jpg","View")</f>
        <v>View</v>
      </c>
      <c r="P1892" s="7"/>
    </row>
    <row r="1893" spans="1:16">
      <c r="A1893" s="3">
        <v>43861.830185185187</v>
      </c>
      <c r="B1893" s="4" t="str">
        <f>HYPERLINK("https://twitter.com/petrogustavo","@petrogustavo")</f>
        <v>@petrogustavo</v>
      </c>
      <c r="C1893" s="5" t="s">
        <v>16</v>
      </c>
      <c r="D1893" s="5" t="s">
        <v>1858</v>
      </c>
      <c r="E1893" s="6" t="str">
        <f>HYPERLINK("https://twitter.com/petrogustavo/status/1223250952528056320","1223250952528056320")</f>
        <v>1223250952528056320</v>
      </c>
      <c r="F1893" s="7" t="s">
        <v>17</v>
      </c>
      <c r="G1893" s="7">
        <v>3623301</v>
      </c>
      <c r="H1893" s="7">
        <v>2353</v>
      </c>
      <c r="I1893" s="7">
        <v>44</v>
      </c>
      <c r="J1893" s="7">
        <v>101</v>
      </c>
      <c r="K1893" s="7" t="s">
        <v>18</v>
      </c>
      <c r="L1893" s="8">
        <v>39987.315405092595</v>
      </c>
      <c r="M1893" s="9" t="s">
        <v>19</v>
      </c>
      <c r="N1893" s="9" t="s">
        <v>20</v>
      </c>
      <c r="O1893" s="6" t="str">
        <f>HYPERLINK("https://pbs.twimg.com/profile_images/962471262747529216/Uo8lOkRJ_normal.jpg","View")</f>
        <v>View</v>
      </c>
      <c r="P1893" s="7"/>
    </row>
    <row r="1894" spans="1:16">
      <c r="A1894" s="3">
        <v>43861.834780092591</v>
      </c>
      <c r="B1894" s="4" t="str">
        <f>HYPERLINK("https://twitter.com/petrogustavo","@petrogustavo")</f>
        <v>@petrogustavo</v>
      </c>
      <c r="C1894" s="5" t="s">
        <v>16</v>
      </c>
      <c r="D1894" s="5" t="s">
        <v>1859</v>
      </c>
      <c r="E1894" s="6" t="str">
        <f>HYPERLINK("https://twitter.com/petrogustavo/status/1223252617293389832","1223252617293389832")</f>
        <v>1223252617293389832</v>
      </c>
      <c r="F1894" s="7" t="s">
        <v>17</v>
      </c>
      <c r="G1894" s="7">
        <v>3623301</v>
      </c>
      <c r="H1894" s="7">
        <v>2353</v>
      </c>
      <c r="I1894" s="7">
        <v>2</v>
      </c>
      <c r="J1894" s="7">
        <v>11</v>
      </c>
      <c r="K1894" s="7" t="s">
        <v>18</v>
      </c>
      <c r="L1894" s="8">
        <v>39987.315405092595</v>
      </c>
      <c r="M1894" s="9" t="s">
        <v>19</v>
      </c>
      <c r="N1894" s="9" t="s">
        <v>20</v>
      </c>
      <c r="O1894" s="6" t="str">
        <f>HYPERLINK("https://pbs.twimg.com/profile_images/962471262747529216/Uo8lOkRJ_normal.jpg","View")</f>
        <v>View</v>
      </c>
      <c r="P1894" s="7"/>
    </row>
    <row r="1895" spans="1:16">
      <c r="A1895" s="3">
        <v>43861.835995370369</v>
      </c>
      <c r="B1895" s="4" t="str">
        <f>HYPERLINK("https://twitter.com/petrogustavo","@petrogustavo")</f>
        <v>@petrogustavo</v>
      </c>
      <c r="C1895" s="5" t="s">
        <v>16</v>
      </c>
      <c r="D1895" s="5" t="s">
        <v>1860</v>
      </c>
      <c r="E1895" s="6" t="str">
        <f>HYPERLINK("https://twitter.com/petrogustavo/status/1223253057003311104","1223253057003311104")</f>
        <v>1223253057003311104</v>
      </c>
      <c r="F1895" s="7" t="s">
        <v>17</v>
      </c>
      <c r="G1895" s="7">
        <v>3623316</v>
      </c>
      <c r="H1895" s="7">
        <v>2353</v>
      </c>
      <c r="I1895" s="7">
        <v>74</v>
      </c>
      <c r="J1895" s="7">
        <v>157</v>
      </c>
      <c r="K1895" s="7" t="s">
        <v>18</v>
      </c>
      <c r="L1895" s="8">
        <v>39987.315405092595</v>
      </c>
      <c r="M1895" s="9" t="s">
        <v>19</v>
      </c>
      <c r="N1895" s="9" t="s">
        <v>20</v>
      </c>
      <c r="O1895" s="6" t="str">
        <f>HYPERLINK("https://pbs.twimg.com/profile_images/962471262747529216/Uo8lOkRJ_normal.jpg","View")</f>
        <v>View</v>
      </c>
      <c r="P1895" s="7"/>
    </row>
    <row r="1896" spans="1:16">
      <c r="A1896" s="3">
        <v>43861.841805555552</v>
      </c>
      <c r="B1896" s="4" t="str">
        <f>HYPERLINK("https://twitter.com/petrogustavo","@petrogustavo")</f>
        <v>@petrogustavo</v>
      </c>
      <c r="C1896" s="5" t="s">
        <v>16</v>
      </c>
      <c r="D1896" s="5" t="s">
        <v>1861</v>
      </c>
      <c r="E1896" s="6" t="str">
        <f>HYPERLINK("https://twitter.com/petrogustavo/status/1223255164334854145","1223255164334854145")</f>
        <v>1223255164334854145</v>
      </c>
      <c r="F1896" s="7" t="s">
        <v>17</v>
      </c>
      <c r="G1896" s="7">
        <v>3623316</v>
      </c>
      <c r="H1896" s="7">
        <v>2353</v>
      </c>
      <c r="I1896" s="7">
        <v>213</v>
      </c>
      <c r="J1896" s="7">
        <v>518</v>
      </c>
      <c r="K1896" s="7" t="s">
        <v>18</v>
      </c>
      <c r="L1896" s="8">
        <v>39987.315405092595</v>
      </c>
      <c r="M1896" s="9" t="s">
        <v>19</v>
      </c>
      <c r="N1896" s="9" t="s">
        <v>20</v>
      </c>
      <c r="O1896" s="6" t="str">
        <f>HYPERLINK("https://pbs.twimg.com/profile_images/962471262747529216/Uo8lOkRJ_normal.jpg","View")</f>
        <v>View</v>
      </c>
      <c r="P1896" s="7"/>
    </row>
    <row r="1897" spans="1:16">
      <c r="A1897" s="3">
        <v>43861.85836805556</v>
      </c>
      <c r="B1897" s="4" t="str">
        <f>HYPERLINK("https://twitter.com/petrogustavo","@petrogustavo")</f>
        <v>@petrogustavo</v>
      </c>
      <c r="C1897" s="5" t="s">
        <v>16</v>
      </c>
      <c r="D1897" s="5" t="s">
        <v>1862</v>
      </c>
      <c r="E1897" s="6" t="str">
        <f>HYPERLINK("https://twitter.com/petrogustavo/status/1223261163154223105","1223261163154223105")</f>
        <v>1223261163154223105</v>
      </c>
      <c r="F1897" s="7" t="s">
        <v>17</v>
      </c>
      <c r="G1897" s="7">
        <v>3623342</v>
      </c>
      <c r="H1897" s="7">
        <v>2353</v>
      </c>
      <c r="I1897" s="7">
        <v>138</v>
      </c>
      <c r="J1897" s="7">
        <v>0</v>
      </c>
      <c r="K1897" s="7" t="s">
        <v>18</v>
      </c>
      <c r="L1897" s="8">
        <v>39987.315405092595</v>
      </c>
      <c r="M1897" s="9" t="s">
        <v>19</v>
      </c>
      <c r="N1897" s="9" t="s">
        <v>20</v>
      </c>
      <c r="O1897" s="6" t="str">
        <f>HYPERLINK("https://pbs.twimg.com/profile_images/962471262747529216/Uo8lOkRJ_normal.jpg","View")</f>
        <v>View</v>
      </c>
      <c r="P1897" s="7"/>
    </row>
    <row r="1898" spans="1:16">
      <c r="A1898" s="3">
        <v>43861.859236111108</v>
      </c>
      <c r="B1898" s="4" t="str">
        <f>HYPERLINK("https://twitter.com/petrogustavo","@petrogustavo")</f>
        <v>@petrogustavo</v>
      </c>
      <c r="C1898" s="5" t="s">
        <v>16</v>
      </c>
      <c r="D1898" s="5" t="s">
        <v>1863</v>
      </c>
      <c r="E1898" s="6" t="str">
        <f>HYPERLINK("https://twitter.com/petrogustavo/status/1223261480801443841","1223261480801443841")</f>
        <v>1223261480801443841</v>
      </c>
      <c r="F1898" s="7" t="s">
        <v>17</v>
      </c>
      <c r="G1898" s="7">
        <v>3623342</v>
      </c>
      <c r="H1898" s="7">
        <v>2353</v>
      </c>
      <c r="I1898" s="7">
        <v>112</v>
      </c>
      <c r="J1898" s="7">
        <v>0</v>
      </c>
      <c r="K1898" s="7" t="s">
        <v>18</v>
      </c>
      <c r="L1898" s="8">
        <v>39987.315405092595</v>
      </c>
      <c r="M1898" s="9" t="s">
        <v>19</v>
      </c>
      <c r="N1898" s="9" t="s">
        <v>20</v>
      </c>
      <c r="O1898" s="6" t="str">
        <f>HYPERLINK("https://pbs.twimg.com/profile_images/962471262747529216/Uo8lOkRJ_normal.jpg","View")</f>
        <v>View</v>
      </c>
      <c r="P1898" s="7"/>
    </row>
    <row r="1899" spans="1:16">
      <c r="A1899" s="3">
        <v>43861.859456018516</v>
      </c>
      <c r="B1899" s="4" t="str">
        <f>HYPERLINK("https://twitter.com/petrogustavo","@petrogustavo")</f>
        <v>@petrogustavo</v>
      </c>
      <c r="C1899" s="5" t="s">
        <v>16</v>
      </c>
      <c r="D1899" s="5" t="s">
        <v>1864</v>
      </c>
      <c r="E1899" s="6" t="str">
        <f>HYPERLINK("https://twitter.com/petrogustavo/status/1223261557624360961","1223261557624360961")</f>
        <v>1223261557624360961</v>
      </c>
      <c r="F1899" s="7" t="s">
        <v>17</v>
      </c>
      <c r="G1899" s="7">
        <v>3623342</v>
      </c>
      <c r="H1899" s="7">
        <v>2353</v>
      </c>
      <c r="I1899" s="7">
        <v>204</v>
      </c>
      <c r="J1899" s="7">
        <v>0</v>
      </c>
      <c r="K1899" s="7" t="s">
        <v>18</v>
      </c>
      <c r="L1899" s="8">
        <v>39987.315405092595</v>
      </c>
      <c r="M1899" s="9" t="s">
        <v>19</v>
      </c>
      <c r="N1899" s="9" t="s">
        <v>20</v>
      </c>
      <c r="O1899" s="6" t="str">
        <f>HYPERLINK("https://pbs.twimg.com/profile_images/962471262747529216/Uo8lOkRJ_normal.jpg","View")</f>
        <v>View</v>
      </c>
      <c r="P1899" s="7"/>
    </row>
    <row r="1900" spans="1:16">
      <c r="A1900" s="3">
        <v>43861.859907407408</v>
      </c>
      <c r="B1900" s="4" t="str">
        <f>HYPERLINK("https://twitter.com/petrogustavo","@petrogustavo")</f>
        <v>@petrogustavo</v>
      </c>
      <c r="C1900" s="5" t="s">
        <v>16</v>
      </c>
      <c r="D1900" s="5" t="s">
        <v>1865</v>
      </c>
      <c r="E1900" s="6" t="str">
        <f>HYPERLINK("https://twitter.com/petrogustavo/status/1223261724477882368","1223261724477882368")</f>
        <v>1223261724477882368</v>
      </c>
      <c r="F1900" s="7" t="s">
        <v>17</v>
      </c>
      <c r="G1900" s="7">
        <v>3623342</v>
      </c>
      <c r="H1900" s="7">
        <v>2353</v>
      </c>
      <c r="I1900" s="7">
        <v>21</v>
      </c>
      <c r="J1900" s="7">
        <v>0</v>
      </c>
      <c r="K1900" s="7" t="s">
        <v>18</v>
      </c>
      <c r="L1900" s="8">
        <v>39987.315405092595</v>
      </c>
      <c r="M1900" s="9" t="s">
        <v>19</v>
      </c>
      <c r="N1900" s="9" t="s">
        <v>20</v>
      </c>
      <c r="O1900" s="6" t="str">
        <f>HYPERLINK("https://pbs.twimg.com/profile_images/962471262747529216/Uo8lOkRJ_normal.jpg","View")</f>
        <v>View</v>
      </c>
      <c r="P1900" s="7"/>
    </row>
    <row r="1901" spans="1:16">
      <c r="A1901" s="3">
        <v>43861.862546296295</v>
      </c>
      <c r="B1901" s="4" t="str">
        <f>HYPERLINK("https://twitter.com/petrogustavo","@petrogustavo")</f>
        <v>@petrogustavo</v>
      </c>
      <c r="C1901" s="5" t="s">
        <v>16</v>
      </c>
      <c r="D1901" s="5" t="s">
        <v>1866</v>
      </c>
      <c r="E1901" s="6" t="str">
        <f>HYPERLINK("https://twitter.com/petrogustavo/status/1223262679319695361","1223262679319695361")</f>
        <v>1223262679319695361</v>
      </c>
      <c r="F1901" s="7" t="s">
        <v>17</v>
      </c>
      <c r="G1901" s="7">
        <v>3623342</v>
      </c>
      <c r="H1901" s="7">
        <v>2353</v>
      </c>
      <c r="I1901" s="7">
        <v>32</v>
      </c>
      <c r="J1901" s="7">
        <v>0</v>
      </c>
      <c r="K1901" s="7" t="s">
        <v>18</v>
      </c>
      <c r="L1901" s="8">
        <v>39987.315405092595</v>
      </c>
      <c r="M1901" s="9" t="s">
        <v>19</v>
      </c>
      <c r="N1901" s="9" t="s">
        <v>20</v>
      </c>
      <c r="O1901" s="6" t="str">
        <f>HYPERLINK("https://pbs.twimg.com/profile_images/962471262747529216/Uo8lOkRJ_normal.jpg","View")</f>
        <v>View</v>
      </c>
      <c r="P1901" s="7"/>
    </row>
    <row r="1902" spans="1:16">
      <c r="A1902" s="3">
        <v>43861.865613425922</v>
      </c>
      <c r="B1902" s="4" t="str">
        <f>HYPERLINK("https://twitter.com/petrogustavo","@petrogustavo")</f>
        <v>@petrogustavo</v>
      </c>
      <c r="C1902" s="5" t="s">
        <v>16</v>
      </c>
      <c r="D1902" s="5" t="s">
        <v>1867</v>
      </c>
      <c r="E1902" s="6" t="str">
        <f>HYPERLINK("https://twitter.com/petrogustavo/status/1223263792726806529","1223263792726806529")</f>
        <v>1223263792726806529</v>
      </c>
      <c r="F1902" s="7" t="s">
        <v>17</v>
      </c>
      <c r="G1902" s="7">
        <v>3623342</v>
      </c>
      <c r="H1902" s="7">
        <v>2353</v>
      </c>
      <c r="I1902" s="7">
        <v>49</v>
      </c>
      <c r="J1902" s="7">
        <v>0</v>
      </c>
      <c r="K1902" s="7" t="s">
        <v>18</v>
      </c>
      <c r="L1902" s="8">
        <v>39987.315405092595</v>
      </c>
      <c r="M1902" s="9" t="s">
        <v>19</v>
      </c>
      <c r="N1902" s="9" t="s">
        <v>20</v>
      </c>
      <c r="O1902" s="6" t="str">
        <f>HYPERLINK("https://pbs.twimg.com/profile_images/962471262747529216/Uo8lOkRJ_normal.jpg","View")</f>
        <v>View</v>
      </c>
      <c r="P1902" s="7"/>
    </row>
    <row r="1903" spans="1:16">
      <c r="A1903" s="3">
        <v>43861.868055555555</v>
      </c>
      <c r="B1903" s="4" t="str">
        <f>HYPERLINK("https://twitter.com/petrogustavo","@petrogustavo")</f>
        <v>@petrogustavo</v>
      </c>
      <c r="C1903" s="5" t="s">
        <v>16</v>
      </c>
      <c r="D1903" s="5" t="s">
        <v>1868</v>
      </c>
      <c r="E1903" s="6" t="str">
        <f>HYPERLINK("https://twitter.com/petrogustavo/status/1223264673899909125","1223264673899909125")</f>
        <v>1223264673899909125</v>
      </c>
      <c r="F1903" s="7" t="s">
        <v>17</v>
      </c>
      <c r="G1903" s="7">
        <v>3623342</v>
      </c>
      <c r="H1903" s="7">
        <v>2353</v>
      </c>
      <c r="I1903" s="7">
        <v>68</v>
      </c>
      <c r="J1903" s="7">
        <v>93</v>
      </c>
      <c r="K1903" s="7" t="s">
        <v>18</v>
      </c>
      <c r="L1903" s="8">
        <v>39987.315405092595</v>
      </c>
      <c r="M1903" s="9" t="s">
        <v>19</v>
      </c>
      <c r="N1903" s="9" t="s">
        <v>20</v>
      </c>
      <c r="O1903" s="6" t="str">
        <f>HYPERLINK("https://pbs.twimg.com/profile_images/962471262747529216/Uo8lOkRJ_normal.jpg","View")</f>
        <v>View</v>
      </c>
      <c r="P1903" s="7"/>
    </row>
    <row r="1904" spans="1:16">
      <c r="A1904" s="3">
        <v>43861.869398148148</v>
      </c>
      <c r="B1904" s="4" t="str">
        <f>HYPERLINK("https://twitter.com/petrogustavo","@petrogustavo")</f>
        <v>@petrogustavo</v>
      </c>
      <c r="C1904" s="5" t="s">
        <v>16</v>
      </c>
      <c r="D1904" s="5" t="s">
        <v>1869</v>
      </c>
      <c r="E1904" s="6" t="str">
        <f>HYPERLINK("https://twitter.com/petrogustavo/status/1223265160682442752","1223265160682442752")</f>
        <v>1223265160682442752</v>
      </c>
      <c r="F1904" s="7" t="s">
        <v>17</v>
      </c>
      <c r="G1904" s="7">
        <v>3623342</v>
      </c>
      <c r="H1904" s="7">
        <v>2353</v>
      </c>
      <c r="I1904" s="7">
        <v>755</v>
      </c>
      <c r="J1904" s="7">
        <v>0</v>
      </c>
      <c r="K1904" s="7" t="s">
        <v>18</v>
      </c>
      <c r="L1904" s="8">
        <v>39987.315405092595</v>
      </c>
      <c r="M1904" s="9" t="s">
        <v>19</v>
      </c>
      <c r="N1904" s="9" t="s">
        <v>20</v>
      </c>
      <c r="O1904" s="6" t="str">
        <f>HYPERLINK("https://pbs.twimg.com/profile_images/962471262747529216/Uo8lOkRJ_normal.jpg","View")</f>
        <v>View</v>
      </c>
      <c r="P1904" s="7"/>
    </row>
    <row r="1905" spans="1:16">
      <c r="A1905" s="3">
        <v>43861.870092592595</v>
      </c>
      <c r="B1905" s="4" t="str">
        <f>HYPERLINK("https://twitter.com/petrogustavo","@petrogustavo")</f>
        <v>@petrogustavo</v>
      </c>
      <c r="C1905" s="5" t="s">
        <v>16</v>
      </c>
      <c r="D1905" s="5" t="s">
        <v>1870</v>
      </c>
      <c r="E1905" s="6" t="str">
        <f>HYPERLINK("https://twitter.com/petrogustavo/status/1223265415171690502","1223265415171690502")</f>
        <v>1223265415171690502</v>
      </c>
      <c r="F1905" s="7" t="s">
        <v>17</v>
      </c>
      <c r="G1905" s="7">
        <v>3623342</v>
      </c>
      <c r="H1905" s="7">
        <v>2353</v>
      </c>
      <c r="I1905" s="7">
        <v>68</v>
      </c>
      <c r="J1905" s="7">
        <v>0</v>
      </c>
      <c r="K1905" s="7" t="s">
        <v>18</v>
      </c>
      <c r="L1905" s="8">
        <v>39987.315405092595</v>
      </c>
      <c r="M1905" s="9" t="s">
        <v>19</v>
      </c>
      <c r="N1905" s="9" t="s">
        <v>20</v>
      </c>
      <c r="O1905" s="6" t="str">
        <f>HYPERLINK("https://pbs.twimg.com/profile_images/962471262747529216/Uo8lOkRJ_normal.jpg","View")</f>
        <v>View</v>
      </c>
      <c r="P1905" s="7"/>
    </row>
    <row r="1906" spans="1:16">
      <c r="A1906" s="3">
        <v>43861.870717592596</v>
      </c>
      <c r="B1906" s="4" t="str">
        <f>HYPERLINK("https://twitter.com/petrogustavo","@petrogustavo")</f>
        <v>@petrogustavo</v>
      </c>
      <c r="C1906" s="5" t="s">
        <v>16</v>
      </c>
      <c r="D1906" s="5" t="s">
        <v>1871</v>
      </c>
      <c r="E1906" s="6" t="str">
        <f>HYPERLINK("https://twitter.com/petrogustavo/status/1223265639231578113","1223265639231578113")</f>
        <v>1223265639231578113</v>
      </c>
      <c r="F1906" s="7" t="s">
        <v>17</v>
      </c>
      <c r="G1906" s="7">
        <v>3623342</v>
      </c>
      <c r="H1906" s="7">
        <v>2353</v>
      </c>
      <c r="I1906" s="7">
        <v>580</v>
      </c>
      <c r="J1906" s="7">
        <v>0</v>
      </c>
      <c r="K1906" s="7" t="s">
        <v>18</v>
      </c>
      <c r="L1906" s="8">
        <v>39987.315405092595</v>
      </c>
      <c r="M1906" s="9" t="s">
        <v>19</v>
      </c>
      <c r="N1906" s="9" t="s">
        <v>20</v>
      </c>
      <c r="O1906" s="6" t="str">
        <f>HYPERLINK("https://pbs.twimg.com/profile_images/962471262747529216/Uo8lOkRJ_normal.jpg","View")</f>
        <v>View</v>
      </c>
      <c r="P1906" s="7"/>
    </row>
    <row r="1907" spans="1:16">
      <c r="A1907" s="3">
        <v>43861.871076388888</v>
      </c>
      <c r="B1907" s="4" t="str">
        <f>HYPERLINK("https://twitter.com/petrogustavo","@petrogustavo")</f>
        <v>@petrogustavo</v>
      </c>
      <c r="C1907" s="5" t="s">
        <v>16</v>
      </c>
      <c r="D1907" s="5" t="s">
        <v>1872</v>
      </c>
      <c r="E1907" s="6" t="str">
        <f>HYPERLINK("https://twitter.com/petrogustavo/status/1223265769246674950","1223265769246674950")</f>
        <v>1223265769246674950</v>
      </c>
      <c r="F1907" s="7" t="s">
        <v>17</v>
      </c>
      <c r="G1907" s="7">
        <v>3623342</v>
      </c>
      <c r="H1907" s="7">
        <v>2353</v>
      </c>
      <c r="I1907" s="7">
        <v>1020</v>
      </c>
      <c r="J1907" s="7">
        <v>0</v>
      </c>
      <c r="K1907" s="7" t="s">
        <v>18</v>
      </c>
      <c r="L1907" s="8">
        <v>39987.315405092595</v>
      </c>
      <c r="M1907" s="9" t="s">
        <v>19</v>
      </c>
      <c r="N1907" s="9" t="s">
        <v>20</v>
      </c>
      <c r="O1907" s="6" t="str">
        <f>HYPERLINK("https://pbs.twimg.com/profile_images/962471262747529216/Uo8lOkRJ_normal.jpg","View")</f>
        <v>View</v>
      </c>
      <c r="P1907" s="7"/>
    </row>
    <row r="1908" spans="1:16">
      <c r="A1908" s="3">
        <v>43861.872118055559</v>
      </c>
      <c r="B1908" s="4" t="str">
        <f>HYPERLINK("https://twitter.com/petrogustavo","@petrogustavo")</f>
        <v>@petrogustavo</v>
      </c>
      <c r="C1908" s="5" t="s">
        <v>16</v>
      </c>
      <c r="D1908" s="5" t="s">
        <v>1873</v>
      </c>
      <c r="E1908" s="6" t="str">
        <f>HYPERLINK("https://twitter.com/petrogustavo/status/1223266147707035650","1223266147707035650")</f>
        <v>1223266147707035650</v>
      </c>
      <c r="F1908" s="7" t="s">
        <v>17</v>
      </c>
      <c r="G1908" s="7">
        <v>3623342</v>
      </c>
      <c r="H1908" s="7">
        <v>2353</v>
      </c>
      <c r="I1908" s="7">
        <v>14</v>
      </c>
      <c r="J1908" s="7">
        <v>0</v>
      </c>
      <c r="K1908" s="7" t="s">
        <v>18</v>
      </c>
      <c r="L1908" s="8">
        <v>39987.315405092595</v>
      </c>
      <c r="M1908" s="9" t="s">
        <v>19</v>
      </c>
      <c r="N1908" s="9" t="s">
        <v>20</v>
      </c>
      <c r="O1908" s="6" t="str">
        <f>HYPERLINK("https://pbs.twimg.com/profile_images/962471262747529216/Uo8lOkRJ_normal.jpg","View")</f>
        <v>View</v>
      </c>
      <c r="P1908" s="7"/>
    </row>
    <row r="1909" spans="1:16">
      <c r="A1909" s="3">
        <v>43861.87336805556</v>
      </c>
      <c r="B1909" s="4" t="str">
        <f>HYPERLINK("https://twitter.com/petrogustavo","@petrogustavo")</f>
        <v>@petrogustavo</v>
      </c>
      <c r="C1909" s="5" t="s">
        <v>16</v>
      </c>
      <c r="D1909" s="5" t="s">
        <v>1874</v>
      </c>
      <c r="E1909" s="6" t="str">
        <f>HYPERLINK("https://twitter.com/petrogustavo/status/1223266602478686209","1223266602478686209")</f>
        <v>1223266602478686209</v>
      </c>
      <c r="F1909" s="7" t="s">
        <v>17</v>
      </c>
      <c r="G1909" s="7">
        <v>3623342</v>
      </c>
      <c r="H1909" s="7">
        <v>2353</v>
      </c>
      <c r="I1909" s="7">
        <v>415</v>
      </c>
      <c r="J1909" s="7">
        <v>0</v>
      </c>
      <c r="K1909" s="7" t="s">
        <v>18</v>
      </c>
      <c r="L1909" s="8">
        <v>39987.315405092595</v>
      </c>
      <c r="M1909" s="9" t="s">
        <v>19</v>
      </c>
      <c r="N1909" s="9" t="s">
        <v>20</v>
      </c>
      <c r="O1909" s="6" t="str">
        <f>HYPERLINK("https://pbs.twimg.com/profile_images/962471262747529216/Uo8lOkRJ_normal.jpg","View")</f>
        <v>View</v>
      </c>
      <c r="P1909" s="7"/>
    </row>
    <row r="1910" spans="1:16">
      <c r="A1910" s="3">
        <v>43861.878055555557</v>
      </c>
      <c r="B1910" s="4" t="str">
        <f>HYPERLINK("https://twitter.com/petrogustavo","@petrogustavo")</f>
        <v>@petrogustavo</v>
      </c>
      <c r="C1910" s="5" t="s">
        <v>16</v>
      </c>
      <c r="D1910" s="5" t="s">
        <v>1875</v>
      </c>
      <c r="E1910" s="6" t="str">
        <f>HYPERLINK("https://twitter.com/petrogustavo/status/1223268299405975552","1223268299405975552")</f>
        <v>1223268299405975552</v>
      </c>
      <c r="F1910" s="7" t="s">
        <v>17</v>
      </c>
      <c r="G1910" s="7">
        <v>3623366</v>
      </c>
      <c r="H1910" s="7">
        <v>2353</v>
      </c>
      <c r="I1910" s="7">
        <v>195</v>
      </c>
      <c r="J1910" s="7">
        <v>399</v>
      </c>
      <c r="K1910" s="7" t="s">
        <v>18</v>
      </c>
      <c r="L1910" s="8">
        <v>39987.315405092595</v>
      </c>
      <c r="M1910" s="9" t="s">
        <v>19</v>
      </c>
      <c r="N1910" s="9" t="s">
        <v>20</v>
      </c>
      <c r="O1910" s="6" t="str">
        <f>HYPERLINK("https://pbs.twimg.com/profile_images/962471262747529216/Uo8lOkRJ_normal.jpg","View")</f>
        <v>View</v>
      </c>
      <c r="P1910" s="7"/>
    </row>
    <row r="1911" spans="1:16">
      <c r="A1911" s="3">
        <v>43861.910810185189</v>
      </c>
      <c r="B1911" s="4" t="str">
        <f>HYPERLINK("https://twitter.com/petrogustavo","@petrogustavo")</f>
        <v>@petrogustavo</v>
      </c>
      <c r="C1911" s="5" t="s">
        <v>16</v>
      </c>
      <c r="D1911" s="5" t="s">
        <v>1876</v>
      </c>
      <c r="E1911" s="6" t="str">
        <f>HYPERLINK("https://twitter.com/petrogustavo/status/1223280170360020995","1223280170360020995")</f>
        <v>1223280170360020995</v>
      </c>
      <c r="F1911" s="7" t="s">
        <v>32</v>
      </c>
      <c r="G1911" s="7">
        <v>3623401</v>
      </c>
      <c r="H1911" s="7">
        <v>2353</v>
      </c>
      <c r="I1911" s="7">
        <v>109</v>
      </c>
      <c r="J1911" s="7">
        <v>249</v>
      </c>
      <c r="K1911" s="7" t="s">
        <v>18</v>
      </c>
      <c r="L1911" s="8">
        <v>39987.315405092595</v>
      </c>
      <c r="M1911" s="9" t="s">
        <v>19</v>
      </c>
      <c r="N1911" s="9" t="s">
        <v>20</v>
      </c>
      <c r="O1911" s="6" t="str">
        <f>HYPERLINK("https://pbs.twimg.com/profile_images/962471262747529216/Uo8lOkRJ_normal.jpg","View")</f>
        <v>View</v>
      </c>
      <c r="P1911" s="7"/>
    </row>
    <row r="1912" spans="1:16">
      <c r="A1912" s="3">
        <v>43861.932222222225</v>
      </c>
      <c r="B1912" s="4" t="str">
        <f>HYPERLINK("https://twitter.com/petrogustavo","@petrogustavo")</f>
        <v>@petrogustavo</v>
      </c>
      <c r="C1912" s="5" t="s">
        <v>16</v>
      </c>
      <c r="D1912" s="5" t="s">
        <v>1877</v>
      </c>
      <c r="E1912" s="6" t="str">
        <f>HYPERLINK("https://twitter.com/petrogustavo/status/1223287927389741061","1223287927389741061")</f>
        <v>1223287927389741061</v>
      </c>
      <c r="F1912" s="7" t="s">
        <v>32</v>
      </c>
      <c r="G1912" s="7">
        <v>3623434</v>
      </c>
      <c r="H1912" s="7">
        <v>2353</v>
      </c>
      <c r="I1912" s="7">
        <v>35</v>
      </c>
      <c r="J1912" s="7">
        <v>0</v>
      </c>
      <c r="K1912" s="7" t="s">
        <v>18</v>
      </c>
      <c r="L1912" s="8">
        <v>39987.315405092595</v>
      </c>
      <c r="M1912" s="9" t="s">
        <v>19</v>
      </c>
      <c r="N1912" s="9" t="s">
        <v>20</v>
      </c>
      <c r="O1912" s="6" t="str">
        <f>HYPERLINK("https://pbs.twimg.com/profile_images/962471262747529216/Uo8lOkRJ_normal.jpg","View")</f>
        <v>View</v>
      </c>
      <c r="P1912" s="7"/>
    </row>
    <row r="1913" spans="1:16">
      <c r="A1913" s="3">
        <v>43861.938831018517</v>
      </c>
      <c r="B1913" s="4" t="str">
        <f>HYPERLINK("https://twitter.com/petrogustavo","@petrogustavo")</f>
        <v>@petrogustavo</v>
      </c>
      <c r="C1913" s="5" t="s">
        <v>16</v>
      </c>
      <c r="D1913" s="5" t="s">
        <v>1878</v>
      </c>
      <c r="E1913" s="6" t="str">
        <f>HYPERLINK("https://twitter.com/petrogustavo/status/1223290325252395008","1223290325252395008")</f>
        <v>1223290325252395008</v>
      </c>
      <c r="F1913" s="7" t="s">
        <v>32</v>
      </c>
      <c r="G1913" s="7">
        <v>3623434</v>
      </c>
      <c r="H1913" s="7">
        <v>2353</v>
      </c>
      <c r="I1913" s="7">
        <v>217</v>
      </c>
      <c r="J1913" s="7">
        <v>0</v>
      </c>
      <c r="K1913" s="7" t="s">
        <v>18</v>
      </c>
      <c r="L1913" s="8">
        <v>39987.315405092595</v>
      </c>
      <c r="M1913" s="9" t="s">
        <v>19</v>
      </c>
      <c r="N1913" s="9" t="s">
        <v>20</v>
      </c>
      <c r="O1913" s="6" t="str">
        <f>HYPERLINK("https://pbs.twimg.com/profile_images/962471262747529216/Uo8lOkRJ_normal.jpg","View")</f>
        <v>View</v>
      </c>
      <c r="P1913" s="7"/>
    </row>
    <row r="1914" spans="1:16">
      <c r="A1914" s="3">
        <v>43861.940405092595</v>
      </c>
      <c r="B1914" s="4" t="str">
        <f>HYPERLINK("https://twitter.com/petrogustavo","@petrogustavo")</f>
        <v>@petrogustavo</v>
      </c>
      <c r="C1914" s="5" t="s">
        <v>16</v>
      </c>
      <c r="D1914" s="5" t="s">
        <v>1879</v>
      </c>
      <c r="E1914" s="6" t="str">
        <f>HYPERLINK("https://twitter.com/petrogustavo/status/1223290893937057792","1223290893937057792")</f>
        <v>1223290893937057792</v>
      </c>
      <c r="F1914" s="7" t="s">
        <v>32</v>
      </c>
      <c r="G1914" s="7">
        <v>3623467</v>
      </c>
      <c r="H1914" s="7">
        <v>2353</v>
      </c>
      <c r="I1914" s="7">
        <v>299</v>
      </c>
      <c r="J1914" s="7">
        <v>0</v>
      </c>
      <c r="K1914" s="7" t="s">
        <v>18</v>
      </c>
      <c r="L1914" s="8">
        <v>39987.315405092595</v>
      </c>
      <c r="M1914" s="9" t="s">
        <v>19</v>
      </c>
      <c r="N1914" s="9" t="s">
        <v>20</v>
      </c>
      <c r="O1914" s="6" t="str">
        <f>HYPERLINK("https://pbs.twimg.com/profile_images/962471262747529216/Uo8lOkRJ_normal.jpg","View")</f>
        <v>View</v>
      </c>
      <c r="P1914" s="7"/>
    </row>
    <row r="1915" spans="1:16">
      <c r="A1915" s="3">
        <v>43862.02752314815</v>
      </c>
      <c r="B1915" s="4" t="str">
        <f>HYPERLINK("https://twitter.com/petrogustavo","@petrogustavo")</f>
        <v>@petrogustavo</v>
      </c>
      <c r="C1915" s="5" t="s">
        <v>16</v>
      </c>
      <c r="D1915" s="5" t="s">
        <v>1880</v>
      </c>
      <c r="E1915" s="6" t="str">
        <f>HYPERLINK("https://twitter.com/petrogustavo/status/1223322463666307074","1223322463666307074")</f>
        <v>1223322463666307074</v>
      </c>
      <c r="F1915" s="7" t="s">
        <v>32</v>
      </c>
      <c r="G1915" s="7">
        <v>3623569</v>
      </c>
      <c r="H1915" s="7">
        <v>2353</v>
      </c>
      <c r="I1915" s="7">
        <v>153</v>
      </c>
      <c r="J1915" s="7">
        <v>279</v>
      </c>
      <c r="K1915" s="7" t="s">
        <v>18</v>
      </c>
      <c r="L1915" s="8">
        <v>39987.315405092595</v>
      </c>
      <c r="M1915" s="9" t="s">
        <v>19</v>
      </c>
      <c r="N1915" s="9" t="s">
        <v>20</v>
      </c>
      <c r="O1915" s="6" t="str">
        <f>HYPERLINK("https://pbs.twimg.com/profile_images/962471262747529216/Uo8lOkRJ_normal.jpg","View")</f>
        <v>View</v>
      </c>
      <c r="P1915" s="7"/>
    </row>
    <row r="1916" spans="1:16">
      <c r="A1916" s="3">
        <v>43862.043449074074</v>
      </c>
      <c r="B1916" s="4" t="str">
        <f>HYPERLINK("https://twitter.com/petrogustavo","@petrogustavo")</f>
        <v>@petrogustavo</v>
      </c>
      <c r="C1916" s="5" t="s">
        <v>16</v>
      </c>
      <c r="D1916" s="5" t="s">
        <v>1881</v>
      </c>
      <c r="E1916" s="6" t="str">
        <f>HYPERLINK("https://twitter.com/petrogustavo/status/1223328238056898562","1223328238056898562")</f>
        <v>1223328238056898562</v>
      </c>
      <c r="F1916" s="7" t="s">
        <v>32</v>
      </c>
      <c r="G1916" s="7">
        <v>3623569</v>
      </c>
      <c r="H1916" s="7">
        <v>2353</v>
      </c>
      <c r="I1916" s="7">
        <v>5</v>
      </c>
      <c r="J1916" s="7">
        <v>0</v>
      </c>
      <c r="K1916" s="7" t="s">
        <v>18</v>
      </c>
      <c r="L1916" s="8">
        <v>39987.315405092595</v>
      </c>
      <c r="M1916" s="9" t="s">
        <v>19</v>
      </c>
      <c r="N1916" s="9" t="s">
        <v>20</v>
      </c>
      <c r="O1916" s="6" t="str">
        <f>HYPERLINK("https://pbs.twimg.com/profile_images/962471262747529216/Uo8lOkRJ_normal.jpg","View")</f>
        <v>View</v>
      </c>
      <c r="P1916" s="7"/>
    </row>
    <row r="1917" spans="1:16">
      <c r="A1917" s="3">
        <v>43862.046041666668</v>
      </c>
      <c r="B1917" s="4" t="str">
        <f>HYPERLINK("https://twitter.com/petrogustavo","@petrogustavo")</f>
        <v>@petrogustavo</v>
      </c>
      <c r="C1917" s="5" t="s">
        <v>16</v>
      </c>
      <c r="D1917" s="5" t="s">
        <v>1882</v>
      </c>
      <c r="E1917" s="6" t="str">
        <f>HYPERLINK("https://twitter.com/petrogustavo/status/1223329174477209600","1223329174477209600")</f>
        <v>1223329174477209600</v>
      </c>
      <c r="F1917" s="7" t="s">
        <v>32</v>
      </c>
      <c r="G1917" s="7">
        <v>3623584</v>
      </c>
      <c r="H1917" s="7">
        <v>2353</v>
      </c>
      <c r="I1917" s="7">
        <v>48</v>
      </c>
      <c r="J1917" s="7">
        <v>0</v>
      </c>
      <c r="K1917" s="7" t="s">
        <v>18</v>
      </c>
      <c r="L1917" s="8">
        <v>39987.315405092595</v>
      </c>
      <c r="M1917" s="9" t="s">
        <v>19</v>
      </c>
      <c r="N1917" s="9" t="s">
        <v>20</v>
      </c>
      <c r="O1917" s="6" t="str">
        <f>HYPERLINK("https://pbs.twimg.com/profile_images/962471262747529216/Uo8lOkRJ_normal.jpg","View")</f>
        <v>View</v>
      </c>
      <c r="P1917" s="7"/>
    </row>
    <row r="1918" spans="1:16">
      <c r="A1918" s="3">
        <v>43862.085520833338</v>
      </c>
      <c r="B1918" s="4" t="str">
        <f>HYPERLINK("https://twitter.com/petrogustavo","@petrogustavo")</f>
        <v>@petrogustavo</v>
      </c>
      <c r="C1918" s="5" t="s">
        <v>16</v>
      </c>
      <c r="D1918" s="5" t="s">
        <v>1883</v>
      </c>
      <c r="E1918" s="6" t="str">
        <f>HYPERLINK("https://twitter.com/petrogustavo/status/1223343480862380032","1223343480862380032")</f>
        <v>1223343480862380032</v>
      </c>
      <c r="F1918" s="7" t="s">
        <v>32</v>
      </c>
      <c r="G1918" s="7">
        <v>3623592</v>
      </c>
      <c r="H1918" s="7">
        <v>2353</v>
      </c>
      <c r="I1918" s="7">
        <v>231</v>
      </c>
      <c r="J1918" s="7">
        <v>436</v>
      </c>
      <c r="K1918" s="7" t="s">
        <v>18</v>
      </c>
      <c r="L1918" s="8">
        <v>39987.315405092595</v>
      </c>
      <c r="M1918" s="9" t="s">
        <v>19</v>
      </c>
      <c r="N1918" s="9" t="s">
        <v>20</v>
      </c>
      <c r="O1918" s="6" t="str">
        <f>HYPERLINK("https://pbs.twimg.com/profile_images/962471262747529216/Uo8lOkRJ_normal.jpg","View")</f>
        <v>View</v>
      </c>
      <c r="P1918" s="7"/>
    </row>
    <row r="1919" spans="1:16">
      <c r="A1919" s="3">
        <v>43862.098865740743</v>
      </c>
      <c r="B1919" s="4" t="str">
        <f>HYPERLINK("https://twitter.com/petrogustavo","@petrogustavo")</f>
        <v>@petrogustavo</v>
      </c>
      <c r="C1919" s="5" t="s">
        <v>16</v>
      </c>
      <c r="D1919" s="5" t="s">
        <v>1884</v>
      </c>
      <c r="E1919" s="6" t="str">
        <f>HYPERLINK("https://twitter.com/petrogustavo/status/1223348319176536065","1223348319176536065")</f>
        <v>1223348319176536065</v>
      </c>
      <c r="F1919" s="7" t="s">
        <v>32</v>
      </c>
      <c r="G1919" s="7">
        <v>3623592</v>
      </c>
      <c r="H1919" s="7">
        <v>2353</v>
      </c>
      <c r="I1919" s="7">
        <v>277</v>
      </c>
      <c r="J1919" s="7">
        <v>0</v>
      </c>
      <c r="K1919" s="7" t="s">
        <v>18</v>
      </c>
      <c r="L1919" s="8">
        <v>39987.315405092595</v>
      </c>
      <c r="M1919" s="9" t="s">
        <v>19</v>
      </c>
      <c r="N1919" s="9" t="s">
        <v>20</v>
      </c>
      <c r="O1919" s="6" t="str">
        <f>HYPERLINK("https://pbs.twimg.com/profile_images/962471262747529216/Uo8lOkRJ_normal.jpg","View")</f>
        <v>View</v>
      </c>
      <c r="P1919" s="7"/>
    </row>
    <row r="1920" spans="1:16">
      <c r="A1920" s="3">
        <v>43862.103333333333</v>
      </c>
      <c r="B1920" s="4" t="str">
        <f>HYPERLINK("https://twitter.com/petrogustavo","@petrogustavo")</f>
        <v>@petrogustavo</v>
      </c>
      <c r="C1920" s="5" t="s">
        <v>16</v>
      </c>
      <c r="D1920" s="5" t="s">
        <v>1885</v>
      </c>
      <c r="E1920" s="6" t="str">
        <f>HYPERLINK("https://twitter.com/petrogustavo/status/1223349935858421761","1223349935858421761")</f>
        <v>1223349935858421761</v>
      </c>
      <c r="F1920" s="7" t="s">
        <v>32</v>
      </c>
      <c r="G1920" s="7">
        <v>3623592</v>
      </c>
      <c r="H1920" s="7">
        <v>2353</v>
      </c>
      <c r="I1920" s="7">
        <v>169</v>
      </c>
      <c r="J1920" s="7">
        <v>0</v>
      </c>
      <c r="K1920" s="7" t="s">
        <v>18</v>
      </c>
      <c r="L1920" s="8">
        <v>39987.315405092595</v>
      </c>
      <c r="M1920" s="9" t="s">
        <v>19</v>
      </c>
      <c r="N1920" s="9" t="s">
        <v>20</v>
      </c>
      <c r="O1920" s="6" t="str">
        <f>HYPERLINK("https://pbs.twimg.com/profile_images/962471262747529216/Uo8lOkRJ_normal.jpg","View")</f>
        <v>View</v>
      </c>
      <c r="P1920" s="7"/>
    </row>
    <row r="1921" spans="1:16">
      <c r="A1921" s="3">
        <v>43862.103495370371</v>
      </c>
      <c r="B1921" s="4" t="str">
        <f>HYPERLINK("https://twitter.com/petrogustavo","@petrogustavo")</f>
        <v>@petrogustavo</v>
      </c>
      <c r="C1921" s="5" t="s">
        <v>16</v>
      </c>
      <c r="D1921" s="5" t="s">
        <v>1886</v>
      </c>
      <c r="E1921" s="6" t="str">
        <f>HYPERLINK("https://twitter.com/petrogustavo/status/1223349997292466180","1223349997292466180")</f>
        <v>1223349997292466180</v>
      </c>
      <c r="F1921" s="7" t="s">
        <v>32</v>
      </c>
      <c r="G1921" s="7">
        <v>3623592</v>
      </c>
      <c r="H1921" s="7">
        <v>2353</v>
      </c>
      <c r="I1921" s="7">
        <v>359</v>
      </c>
      <c r="J1921" s="7">
        <v>0</v>
      </c>
      <c r="K1921" s="7" t="s">
        <v>18</v>
      </c>
      <c r="L1921" s="8">
        <v>39987.315405092595</v>
      </c>
      <c r="M1921" s="9" t="s">
        <v>19</v>
      </c>
      <c r="N1921" s="9" t="s">
        <v>20</v>
      </c>
      <c r="O1921" s="6" t="str">
        <f>HYPERLINK("https://pbs.twimg.com/profile_images/962471262747529216/Uo8lOkRJ_normal.jpg","View")</f>
        <v>View</v>
      </c>
      <c r="P1921" s="7"/>
    </row>
    <row r="1922" spans="1:16">
      <c r="A1922" s="3">
        <v>43862.106076388889</v>
      </c>
      <c r="B1922" s="4" t="str">
        <f>HYPERLINK("https://twitter.com/petrogustavo","@petrogustavo")</f>
        <v>@petrogustavo</v>
      </c>
      <c r="C1922" s="5" t="s">
        <v>16</v>
      </c>
      <c r="D1922" s="5" t="s">
        <v>1887</v>
      </c>
      <c r="E1922" s="6" t="str">
        <f>HYPERLINK("https://twitter.com/petrogustavo/status/1223350933146521602","1223350933146521602")</f>
        <v>1223350933146521602</v>
      </c>
      <c r="F1922" s="7" t="s">
        <v>32</v>
      </c>
      <c r="G1922" s="7">
        <v>3623619</v>
      </c>
      <c r="H1922" s="7">
        <v>2353</v>
      </c>
      <c r="I1922" s="7">
        <v>116</v>
      </c>
      <c r="J1922" s="7">
        <v>216</v>
      </c>
      <c r="K1922" s="7" t="s">
        <v>18</v>
      </c>
      <c r="L1922" s="8">
        <v>39987.315405092595</v>
      </c>
      <c r="M1922" s="9" t="s">
        <v>19</v>
      </c>
      <c r="N1922" s="9" t="s">
        <v>20</v>
      </c>
      <c r="O1922" s="6" t="str">
        <f>HYPERLINK("https://pbs.twimg.com/profile_images/962471262747529216/Uo8lOkRJ_normal.jpg","View")</f>
        <v>View</v>
      </c>
      <c r="P1922" s="7"/>
    </row>
    <row r="1923" spans="1:16">
      <c r="A1923" s="3">
        <v>43862.1096875</v>
      </c>
      <c r="B1923" s="4" t="str">
        <f>HYPERLINK("https://twitter.com/petrogustavo","@petrogustavo")</f>
        <v>@petrogustavo</v>
      </c>
      <c r="C1923" s="5" t="s">
        <v>16</v>
      </c>
      <c r="D1923" s="5" t="s">
        <v>1888</v>
      </c>
      <c r="E1923" s="6" t="str">
        <f>HYPERLINK("https://twitter.com/petrogustavo/status/1223352239462539265","1223352239462539265")</f>
        <v>1223352239462539265</v>
      </c>
      <c r="F1923" s="7" t="s">
        <v>32</v>
      </c>
      <c r="G1923" s="7">
        <v>3623619</v>
      </c>
      <c r="H1923" s="7">
        <v>2353</v>
      </c>
      <c r="I1923" s="7">
        <v>29</v>
      </c>
      <c r="J1923" s="7">
        <v>0</v>
      </c>
      <c r="K1923" s="7" t="s">
        <v>18</v>
      </c>
      <c r="L1923" s="8">
        <v>39987.315405092595</v>
      </c>
      <c r="M1923" s="9" t="s">
        <v>19</v>
      </c>
      <c r="N1923" s="9" t="s">
        <v>20</v>
      </c>
      <c r="O1923" s="6" t="str">
        <f>HYPERLINK("https://pbs.twimg.com/profile_images/962471262747529216/Uo8lOkRJ_normal.jpg","View")</f>
        <v>View</v>
      </c>
      <c r="P1923" s="7"/>
    </row>
    <row r="1924" spans="1:16">
      <c r="A1924" s="3">
        <v>43862.110266203701</v>
      </c>
      <c r="B1924" s="4" t="str">
        <f>HYPERLINK("https://twitter.com/petrogustavo","@petrogustavo")</f>
        <v>@petrogustavo</v>
      </c>
      <c r="C1924" s="5" t="s">
        <v>16</v>
      </c>
      <c r="D1924" s="5" t="s">
        <v>1889</v>
      </c>
      <c r="E1924" s="6" t="str">
        <f>HYPERLINK("https://twitter.com/petrogustavo/status/1223352450578599937","1223352450578599937")</f>
        <v>1223352450578599937</v>
      </c>
      <c r="F1924" s="7" t="s">
        <v>32</v>
      </c>
      <c r="G1924" s="7">
        <v>3623619</v>
      </c>
      <c r="H1924" s="7">
        <v>2353</v>
      </c>
      <c r="I1924" s="7">
        <v>148</v>
      </c>
      <c r="J1924" s="7">
        <v>0</v>
      </c>
      <c r="K1924" s="7" t="s">
        <v>18</v>
      </c>
      <c r="L1924" s="8">
        <v>39987.315405092595</v>
      </c>
      <c r="M1924" s="9" t="s">
        <v>19</v>
      </c>
      <c r="N1924" s="9" t="s">
        <v>20</v>
      </c>
      <c r="O1924" s="6" t="str">
        <f>HYPERLINK("https://pbs.twimg.com/profile_images/962471262747529216/Uo8lOkRJ_normal.jpg","View")</f>
        <v>View</v>
      </c>
      <c r="P1924" s="7"/>
    </row>
    <row r="1925" spans="1:16">
      <c r="A1925" s="3">
        <v>43862.111678240741</v>
      </c>
      <c r="B1925" s="4" t="str">
        <f>HYPERLINK("https://twitter.com/petrogustavo","@petrogustavo")</f>
        <v>@petrogustavo</v>
      </c>
      <c r="C1925" s="5" t="s">
        <v>16</v>
      </c>
      <c r="D1925" s="5" t="s">
        <v>1890</v>
      </c>
      <c r="E1925" s="6" t="str">
        <f>HYPERLINK("https://twitter.com/petrogustavo/status/1223352960819875842","1223352960819875842")</f>
        <v>1223352960819875842</v>
      </c>
      <c r="F1925" s="7" t="s">
        <v>32</v>
      </c>
      <c r="G1925" s="7">
        <v>3623619</v>
      </c>
      <c r="H1925" s="7">
        <v>2353</v>
      </c>
      <c r="I1925" s="7">
        <v>74</v>
      </c>
      <c r="J1925" s="7">
        <v>124</v>
      </c>
      <c r="K1925" s="7" t="s">
        <v>18</v>
      </c>
      <c r="L1925" s="8">
        <v>39987.315405092595</v>
      </c>
      <c r="M1925" s="9" t="s">
        <v>19</v>
      </c>
      <c r="N1925" s="9" t="s">
        <v>20</v>
      </c>
      <c r="O1925" s="6" t="str">
        <f>HYPERLINK("https://pbs.twimg.com/profile_images/962471262747529216/Uo8lOkRJ_normal.jpg","View")</f>
        <v>View</v>
      </c>
      <c r="P1925" s="7"/>
    </row>
    <row r="1926" spans="1:16">
      <c r="A1926" s="3">
        <v>43862.118425925924</v>
      </c>
      <c r="B1926" s="4" t="str">
        <f>HYPERLINK("https://twitter.com/petrogustavo","@petrogustavo")</f>
        <v>@petrogustavo</v>
      </c>
      <c r="C1926" s="5" t="s">
        <v>16</v>
      </c>
      <c r="D1926" s="5" t="s">
        <v>1891</v>
      </c>
      <c r="E1926" s="6" t="str">
        <f>HYPERLINK("https://twitter.com/petrogustavo/status/1223355405436440582","1223355405436440582")</f>
        <v>1223355405436440582</v>
      </c>
      <c r="F1926" s="7" t="s">
        <v>32</v>
      </c>
      <c r="G1926" s="7">
        <v>3623619</v>
      </c>
      <c r="H1926" s="7">
        <v>2353</v>
      </c>
      <c r="I1926" s="7">
        <v>93</v>
      </c>
      <c r="J1926" s="7">
        <v>231</v>
      </c>
      <c r="K1926" s="7" t="s">
        <v>18</v>
      </c>
      <c r="L1926" s="8">
        <v>39987.315405092595</v>
      </c>
      <c r="M1926" s="9" t="s">
        <v>19</v>
      </c>
      <c r="N1926" s="9" t="s">
        <v>20</v>
      </c>
      <c r="O1926" s="6" t="str">
        <f>HYPERLINK("https://pbs.twimg.com/profile_images/962471262747529216/Uo8lOkRJ_normal.jpg","View")</f>
        <v>View</v>
      </c>
      <c r="P1926" s="7"/>
    </row>
    <row r="1927" spans="1:16">
      <c r="A1927" s="3">
        <v>43862.121134259258</v>
      </c>
      <c r="B1927" s="4" t="str">
        <f>HYPERLINK("https://twitter.com/petrogustavo","@petrogustavo")</f>
        <v>@petrogustavo</v>
      </c>
      <c r="C1927" s="5" t="s">
        <v>16</v>
      </c>
      <c r="D1927" s="5" t="s">
        <v>1892</v>
      </c>
      <c r="E1927" s="6" t="str">
        <f>HYPERLINK("https://twitter.com/petrogustavo/status/1223356388606382080","1223356388606382080")</f>
        <v>1223356388606382080</v>
      </c>
      <c r="F1927" s="7" t="s">
        <v>32</v>
      </c>
      <c r="G1927" s="7">
        <v>3623619</v>
      </c>
      <c r="H1927" s="7">
        <v>2353</v>
      </c>
      <c r="I1927" s="7">
        <v>74</v>
      </c>
      <c r="J1927" s="7">
        <v>0</v>
      </c>
      <c r="K1927" s="7" t="s">
        <v>18</v>
      </c>
      <c r="L1927" s="8">
        <v>39987.315405092595</v>
      </c>
      <c r="M1927" s="9" t="s">
        <v>19</v>
      </c>
      <c r="N1927" s="9" t="s">
        <v>20</v>
      </c>
      <c r="O1927" s="6" t="str">
        <f>HYPERLINK("https://pbs.twimg.com/profile_images/962471262747529216/Uo8lOkRJ_normal.jpg","View")</f>
        <v>View</v>
      </c>
      <c r="P1927" s="7"/>
    </row>
    <row r="1928" spans="1:16">
      <c r="A1928" s="3">
        <v>43862.124386574069</v>
      </c>
      <c r="B1928" s="4" t="str">
        <f>HYPERLINK("https://twitter.com/petrogustavo","@petrogustavo")</f>
        <v>@petrogustavo</v>
      </c>
      <c r="C1928" s="5" t="s">
        <v>16</v>
      </c>
      <c r="D1928" s="5" t="s">
        <v>1893</v>
      </c>
      <c r="E1928" s="6" t="str">
        <f>HYPERLINK("https://twitter.com/petrogustavo/status/1223357568590012417","1223357568590012417")</f>
        <v>1223357568590012417</v>
      </c>
      <c r="F1928" s="7" t="s">
        <v>32</v>
      </c>
      <c r="G1928" s="7">
        <v>3623619</v>
      </c>
      <c r="H1928" s="7">
        <v>2353</v>
      </c>
      <c r="I1928" s="7">
        <v>2482</v>
      </c>
      <c r="J1928" s="7">
        <v>0</v>
      </c>
      <c r="K1928" s="7" t="s">
        <v>18</v>
      </c>
      <c r="L1928" s="8">
        <v>39987.315405092595</v>
      </c>
      <c r="M1928" s="9" t="s">
        <v>19</v>
      </c>
      <c r="N1928" s="9" t="s">
        <v>20</v>
      </c>
      <c r="O1928" s="6" t="str">
        <f>HYPERLINK("https://pbs.twimg.com/profile_images/962471262747529216/Uo8lOkRJ_normal.jpg","View")</f>
        <v>View</v>
      </c>
      <c r="P1928" s="7"/>
    </row>
    <row r="1929" spans="1:16">
      <c r="A1929" s="3">
        <v>43862.128657407404</v>
      </c>
      <c r="B1929" s="4" t="str">
        <f>HYPERLINK("https://twitter.com/petrogustavo","@petrogustavo")</f>
        <v>@petrogustavo</v>
      </c>
      <c r="C1929" s="5" t="s">
        <v>16</v>
      </c>
      <c r="D1929" s="5" t="s">
        <v>1894</v>
      </c>
      <c r="E1929" s="6" t="str">
        <f>HYPERLINK("https://twitter.com/petrogustavo/status/1223359115323412480","1223359115323412480")</f>
        <v>1223359115323412480</v>
      </c>
      <c r="F1929" s="7" t="s">
        <v>32</v>
      </c>
      <c r="G1929" s="7">
        <v>3623652</v>
      </c>
      <c r="H1929" s="7">
        <v>2353</v>
      </c>
      <c r="I1929" s="7">
        <v>37</v>
      </c>
      <c r="J1929" s="7">
        <v>72</v>
      </c>
      <c r="K1929" s="7" t="s">
        <v>18</v>
      </c>
      <c r="L1929" s="8">
        <v>39987.315405092595</v>
      </c>
      <c r="M1929" s="9" t="s">
        <v>19</v>
      </c>
      <c r="N1929" s="9" t="s">
        <v>20</v>
      </c>
      <c r="O1929" s="6" t="str">
        <f>HYPERLINK("https://pbs.twimg.com/profile_images/962471262747529216/Uo8lOkRJ_normal.jpg","View")</f>
        <v>View</v>
      </c>
      <c r="P1929" s="7"/>
    </row>
    <row r="1930" spans="1:16">
      <c r="A1930" s="3">
        <v>43862.137569444443</v>
      </c>
      <c r="B1930" s="4" t="str">
        <f>HYPERLINK("https://twitter.com/petrogustavo","@petrogustavo")</f>
        <v>@petrogustavo</v>
      </c>
      <c r="C1930" s="5" t="s">
        <v>16</v>
      </c>
      <c r="D1930" s="5" t="s">
        <v>1895</v>
      </c>
      <c r="E1930" s="6" t="str">
        <f>HYPERLINK("https://twitter.com/petrogustavo/status/1223362343159189504","1223362343159189504")</f>
        <v>1223362343159189504</v>
      </c>
      <c r="F1930" s="7" t="s">
        <v>32</v>
      </c>
      <c r="G1930" s="7">
        <v>3623652</v>
      </c>
      <c r="H1930" s="7">
        <v>2353</v>
      </c>
      <c r="I1930" s="7">
        <v>30</v>
      </c>
      <c r="J1930" s="7">
        <v>72</v>
      </c>
      <c r="K1930" s="7" t="s">
        <v>18</v>
      </c>
      <c r="L1930" s="8">
        <v>39987.315405092595</v>
      </c>
      <c r="M1930" s="9" t="s">
        <v>19</v>
      </c>
      <c r="N1930" s="9" t="s">
        <v>20</v>
      </c>
      <c r="O1930" s="6" t="str">
        <f>HYPERLINK("https://pbs.twimg.com/profile_images/962471262747529216/Uo8lOkRJ_normal.jpg","View")</f>
        <v>View</v>
      </c>
      <c r="P1930" s="7"/>
    </row>
    <row r="1931" spans="1:16">
      <c r="A1931" s="3">
        <v>43862.13894675926</v>
      </c>
      <c r="B1931" s="4" t="str">
        <f>HYPERLINK("https://twitter.com/petrogustavo","@petrogustavo")</f>
        <v>@petrogustavo</v>
      </c>
      <c r="C1931" s="5" t="s">
        <v>16</v>
      </c>
      <c r="D1931" s="5" t="s">
        <v>1896</v>
      </c>
      <c r="E1931" s="6" t="str">
        <f>HYPERLINK("https://twitter.com/petrogustavo/status/1223362841476050948","1223362841476050948")</f>
        <v>1223362841476050948</v>
      </c>
      <c r="F1931" s="7" t="s">
        <v>32</v>
      </c>
      <c r="G1931" s="7">
        <v>3623652</v>
      </c>
      <c r="H1931" s="7">
        <v>2353</v>
      </c>
      <c r="I1931" s="7">
        <v>30</v>
      </c>
      <c r="J1931" s="7">
        <v>74</v>
      </c>
      <c r="K1931" s="7" t="s">
        <v>18</v>
      </c>
      <c r="L1931" s="8">
        <v>39987.315405092595</v>
      </c>
      <c r="M1931" s="9" t="s">
        <v>19</v>
      </c>
      <c r="N1931" s="9" t="s">
        <v>20</v>
      </c>
      <c r="O1931" s="6" t="str">
        <f>HYPERLINK("https://pbs.twimg.com/profile_images/962471262747529216/Uo8lOkRJ_normal.jpg","View")</f>
        <v>View</v>
      </c>
      <c r="P1931" s="7"/>
    </row>
    <row r="1932" spans="1:16">
      <c r="A1932" s="3">
        <v>43862.140497685185</v>
      </c>
      <c r="B1932" s="4" t="str">
        <f>HYPERLINK("https://twitter.com/petrogustavo","@petrogustavo")</f>
        <v>@petrogustavo</v>
      </c>
      <c r="C1932" s="5" t="s">
        <v>16</v>
      </c>
      <c r="D1932" s="5" t="s">
        <v>1897</v>
      </c>
      <c r="E1932" s="6" t="str">
        <f>HYPERLINK("https://twitter.com/petrogustavo/status/1223363406331293697","1223363406331293697")</f>
        <v>1223363406331293697</v>
      </c>
      <c r="F1932" s="7" t="s">
        <v>32</v>
      </c>
      <c r="G1932" s="7">
        <v>3623652</v>
      </c>
      <c r="H1932" s="7">
        <v>2353</v>
      </c>
      <c r="I1932" s="7">
        <v>25</v>
      </c>
      <c r="J1932" s="7">
        <v>0</v>
      </c>
      <c r="K1932" s="7" t="s">
        <v>18</v>
      </c>
      <c r="L1932" s="8">
        <v>39987.315405092595</v>
      </c>
      <c r="M1932" s="9" t="s">
        <v>19</v>
      </c>
      <c r="N1932" s="9" t="s">
        <v>20</v>
      </c>
      <c r="O1932" s="6" t="str">
        <f>HYPERLINK("https://pbs.twimg.com/profile_images/962471262747529216/Uo8lOkRJ_normal.jpg","View")</f>
        <v>View</v>
      </c>
      <c r="P1932" s="7"/>
    </row>
    <row r="1933" spans="1:16">
      <c r="A1933" s="3">
        <v>43862.148645833338</v>
      </c>
      <c r="B1933" s="4" t="str">
        <f>HYPERLINK("https://twitter.com/petrogustavo","@petrogustavo")</f>
        <v>@petrogustavo</v>
      </c>
      <c r="C1933" s="5" t="s">
        <v>16</v>
      </c>
      <c r="D1933" s="5" t="s">
        <v>1898</v>
      </c>
      <c r="E1933" s="6" t="str">
        <f>HYPERLINK("https://twitter.com/petrogustavo/status/1223366358077005825","1223366358077005825")</f>
        <v>1223366358077005825</v>
      </c>
      <c r="F1933" s="7" t="s">
        <v>32</v>
      </c>
      <c r="G1933" s="7">
        <v>3623677</v>
      </c>
      <c r="H1933" s="7">
        <v>2353</v>
      </c>
      <c r="I1933" s="7">
        <v>48</v>
      </c>
      <c r="J1933" s="7">
        <v>115</v>
      </c>
      <c r="K1933" s="7" t="s">
        <v>18</v>
      </c>
      <c r="L1933" s="8">
        <v>39987.315405092595</v>
      </c>
      <c r="M1933" s="9" t="s">
        <v>19</v>
      </c>
      <c r="N1933" s="9" t="s">
        <v>20</v>
      </c>
      <c r="O1933" s="6" t="str">
        <f>HYPERLINK("https://pbs.twimg.com/profile_images/962471262747529216/Uo8lOkRJ_normal.jpg","View")</f>
        <v>View</v>
      </c>
      <c r="P1933" s="7"/>
    </row>
    <row r="1934" spans="1:16">
      <c r="A1934" s="3">
        <v>43862.149282407408</v>
      </c>
      <c r="B1934" s="4" t="str">
        <f>HYPERLINK("https://twitter.com/petrogustavo","@petrogustavo")</f>
        <v>@petrogustavo</v>
      </c>
      <c r="C1934" s="5" t="s">
        <v>16</v>
      </c>
      <c r="D1934" s="5" t="s">
        <v>1899</v>
      </c>
      <c r="E1934" s="6" t="str">
        <f>HYPERLINK("https://twitter.com/petrogustavo/status/1223366587450785794","1223366587450785794")</f>
        <v>1223366587450785794</v>
      </c>
      <c r="F1934" s="7" t="s">
        <v>32</v>
      </c>
      <c r="G1934" s="7">
        <v>3623677</v>
      </c>
      <c r="H1934" s="7">
        <v>2353</v>
      </c>
      <c r="I1934" s="7">
        <v>53</v>
      </c>
      <c r="J1934" s="7">
        <v>0</v>
      </c>
      <c r="K1934" s="7" t="s">
        <v>18</v>
      </c>
      <c r="L1934" s="8">
        <v>39987.315405092595</v>
      </c>
      <c r="M1934" s="9" t="s">
        <v>19</v>
      </c>
      <c r="N1934" s="9" t="s">
        <v>20</v>
      </c>
      <c r="O1934" s="6" t="str">
        <f>HYPERLINK("https://pbs.twimg.com/profile_images/962471262747529216/Uo8lOkRJ_normal.jpg","View")</f>
        <v>View</v>
      </c>
      <c r="P1934" s="7"/>
    </row>
    <row r="1935" spans="1:16">
      <c r="A1935" s="3">
        <v>43862.150405092594</v>
      </c>
      <c r="B1935" s="4" t="str">
        <f>HYPERLINK("https://twitter.com/petrogustavo","@petrogustavo")</f>
        <v>@petrogustavo</v>
      </c>
      <c r="C1935" s="5" t="s">
        <v>16</v>
      </c>
      <c r="D1935" s="5" t="s">
        <v>1900</v>
      </c>
      <c r="E1935" s="6" t="str">
        <f>HYPERLINK("https://twitter.com/petrogustavo/status/1223366994285690882","1223366994285690882")</f>
        <v>1223366994285690882</v>
      </c>
      <c r="F1935" s="7" t="s">
        <v>32</v>
      </c>
      <c r="G1935" s="7">
        <v>3623677</v>
      </c>
      <c r="H1935" s="7">
        <v>2353</v>
      </c>
      <c r="I1935" s="7">
        <v>33</v>
      </c>
      <c r="J1935" s="7">
        <v>0</v>
      </c>
      <c r="K1935" s="7" t="s">
        <v>18</v>
      </c>
      <c r="L1935" s="8">
        <v>39987.315405092595</v>
      </c>
      <c r="M1935" s="9" t="s">
        <v>19</v>
      </c>
      <c r="N1935" s="9" t="s">
        <v>20</v>
      </c>
      <c r="O1935" s="6" t="str">
        <f>HYPERLINK("https://pbs.twimg.com/profile_images/962471262747529216/Uo8lOkRJ_normal.jpg","View")</f>
        <v>View</v>
      </c>
      <c r="P1935" s="7"/>
    </row>
    <row r="1936" spans="1:16">
      <c r="A1936" s="3">
        <v>43862.152106481481</v>
      </c>
      <c r="B1936" s="4" t="str">
        <f>HYPERLINK("https://twitter.com/petrogustavo","@petrogustavo")</f>
        <v>@petrogustavo</v>
      </c>
      <c r="C1936" s="5" t="s">
        <v>16</v>
      </c>
      <c r="D1936" s="5" t="s">
        <v>1901</v>
      </c>
      <c r="E1936" s="6" t="str">
        <f>HYPERLINK("https://twitter.com/petrogustavo/status/1223367612991770631","1223367612991770631")</f>
        <v>1223367612991770631</v>
      </c>
      <c r="F1936" s="7" t="s">
        <v>32</v>
      </c>
      <c r="G1936" s="7">
        <v>3623677</v>
      </c>
      <c r="H1936" s="7">
        <v>2353</v>
      </c>
      <c r="I1936" s="7">
        <v>99</v>
      </c>
      <c r="J1936" s="7">
        <v>298</v>
      </c>
      <c r="K1936" s="7" t="s">
        <v>18</v>
      </c>
      <c r="L1936" s="8">
        <v>39987.315405092595</v>
      </c>
      <c r="M1936" s="9" t="s">
        <v>19</v>
      </c>
      <c r="N1936" s="9" t="s">
        <v>20</v>
      </c>
      <c r="O1936" s="6" t="str">
        <f>HYPERLINK("https://pbs.twimg.com/profile_images/962471262747529216/Uo8lOkRJ_normal.jpg","View")</f>
        <v>View</v>
      </c>
      <c r="P1936" s="7"/>
    </row>
    <row r="1937" spans="1:16">
      <c r="A1937" s="3">
        <v>43862.172060185185</v>
      </c>
      <c r="B1937" s="4" t="str">
        <f>HYPERLINK("https://twitter.com/petrogustavo","@petrogustavo")</f>
        <v>@petrogustavo</v>
      </c>
      <c r="C1937" s="5" t="s">
        <v>16</v>
      </c>
      <c r="D1937" s="5" t="s">
        <v>1902</v>
      </c>
      <c r="E1937" s="6" t="str">
        <f>HYPERLINK("https://twitter.com/petrogustavo/status/1223374843971866625","1223374843971866625")</f>
        <v>1223374843971866625</v>
      </c>
      <c r="F1937" s="7" t="s">
        <v>32</v>
      </c>
      <c r="G1937" s="7">
        <v>3623699</v>
      </c>
      <c r="H1937" s="7">
        <v>2352</v>
      </c>
      <c r="I1937" s="7">
        <v>39</v>
      </c>
      <c r="J1937" s="7">
        <v>106</v>
      </c>
      <c r="K1937" s="7" t="s">
        <v>18</v>
      </c>
      <c r="L1937" s="8">
        <v>39987.315405092595</v>
      </c>
      <c r="M1937" s="9" t="s">
        <v>19</v>
      </c>
      <c r="N1937" s="9" t="s">
        <v>20</v>
      </c>
      <c r="O1937" s="6" t="str">
        <f>HYPERLINK("https://pbs.twimg.com/profile_images/962471262747529216/Uo8lOkRJ_normal.jpg","View")</f>
        <v>View</v>
      </c>
      <c r="P1937" s="7"/>
    </row>
    <row r="1938" spans="1:16">
      <c r="A1938" s="3">
        <v>43862.173043981486</v>
      </c>
      <c r="B1938" s="4" t="str">
        <f>HYPERLINK("https://twitter.com/petrogustavo","@petrogustavo")</f>
        <v>@petrogustavo</v>
      </c>
      <c r="C1938" s="5" t="s">
        <v>16</v>
      </c>
      <c r="D1938" s="5" t="s">
        <v>1903</v>
      </c>
      <c r="E1938" s="6" t="str">
        <f>HYPERLINK("https://twitter.com/petrogustavo/status/1223375199619424256","1223375199619424256")</f>
        <v>1223375199619424256</v>
      </c>
      <c r="F1938" s="7" t="s">
        <v>32</v>
      </c>
      <c r="G1938" s="7">
        <v>3623699</v>
      </c>
      <c r="H1938" s="7">
        <v>2352</v>
      </c>
      <c r="I1938" s="7">
        <v>270</v>
      </c>
      <c r="J1938" s="7">
        <v>0</v>
      </c>
      <c r="K1938" s="7" t="s">
        <v>18</v>
      </c>
      <c r="L1938" s="8">
        <v>39987.315405092595</v>
      </c>
      <c r="M1938" s="9" t="s">
        <v>19</v>
      </c>
      <c r="N1938" s="9" t="s">
        <v>20</v>
      </c>
      <c r="O1938" s="6" t="str">
        <f>HYPERLINK("https://pbs.twimg.com/profile_images/962471262747529216/Uo8lOkRJ_normal.jpg","View")</f>
        <v>View</v>
      </c>
      <c r="P1938" s="7"/>
    </row>
    <row r="1939" spans="1:16">
      <c r="A1939" s="3">
        <v>43862.185416666667</v>
      </c>
      <c r="B1939" s="4" t="str">
        <f>HYPERLINK("https://twitter.com/petrogustavo","@petrogustavo")</f>
        <v>@petrogustavo</v>
      </c>
      <c r="C1939" s="5" t="s">
        <v>16</v>
      </c>
      <c r="D1939" s="5" t="s">
        <v>1904</v>
      </c>
      <c r="E1939" s="6" t="str">
        <f>HYPERLINK("https://twitter.com/petrogustavo/status/1223379684056096768","1223379684056096768")</f>
        <v>1223379684056096768</v>
      </c>
      <c r="F1939" s="7" t="s">
        <v>32</v>
      </c>
      <c r="G1939" s="7">
        <v>3623699</v>
      </c>
      <c r="H1939" s="7">
        <v>2352</v>
      </c>
      <c r="I1939" s="7">
        <v>12</v>
      </c>
      <c r="J1939" s="7">
        <v>42</v>
      </c>
      <c r="K1939" s="7" t="s">
        <v>18</v>
      </c>
      <c r="L1939" s="8">
        <v>39987.315405092595</v>
      </c>
      <c r="M1939" s="9" t="s">
        <v>19</v>
      </c>
      <c r="N1939" s="9" t="s">
        <v>20</v>
      </c>
      <c r="O1939" s="6" t="str">
        <f>HYPERLINK("https://pbs.twimg.com/profile_images/962471262747529216/Uo8lOkRJ_normal.jpg","View")</f>
        <v>View</v>
      </c>
      <c r="P1939" s="7"/>
    </row>
    <row r="1940" spans="1:16">
      <c r="A1940" s="3">
        <v>43862.186122685191</v>
      </c>
      <c r="B1940" s="4" t="str">
        <f>HYPERLINK("https://twitter.com/petrogustavo","@petrogustavo")</f>
        <v>@petrogustavo</v>
      </c>
      <c r="C1940" s="5" t="s">
        <v>16</v>
      </c>
      <c r="D1940" s="5" t="s">
        <v>1905</v>
      </c>
      <c r="E1940" s="6" t="str">
        <f>HYPERLINK("https://twitter.com/petrogustavo/status/1223379937534660608","1223379937534660608")</f>
        <v>1223379937534660608</v>
      </c>
      <c r="F1940" s="7" t="s">
        <v>32</v>
      </c>
      <c r="G1940" s="7">
        <v>3623699</v>
      </c>
      <c r="H1940" s="7">
        <v>2352</v>
      </c>
      <c r="I1940" s="7">
        <v>156</v>
      </c>
      <c r="J1940" s="7">
        <v>0</v>
      </c>
      <c r="K1940" s="7" t="s">
        <v>18</v>
      </c>
      <c r="L1940" s="8">
        <v>39987.315405092595</v>
      </c>
      <c r="M1940" s="9" t="s">
        <v>19</v>
      </c>
      <c r="N1940" s="9" t="s">
        <v>20</v>
      </c>
      <c r="O1940" s="6" t="str">
        <f>HYPERLINK("https://pbs.twimg.com/profile_images/962471262747529216/Uo8lOkRJ_normal.jpg","View")</f>
        <v>View</v>
      </c>
      <c r="P1940" s="7"/>
    </row>
    <row r="1941" spans="1:16">
      <c r="A1941" s="3">
        <v>43862.191377314812</v>
      </c>
      <c r="B1941" s="4" t="str">
        <f>HYPERLINK("https://twitter.com/petrogustavo","@petrogustavo")</f>
        <v>@petrogustavo</v>
      </c>
      <c r="C1941" s="5" t="s">
        <v>16</v>
      </c>
      <c r="D1941" s="5" t="s">
        <v>1906</v>
      </c>
      <c r="E1941" s="6" t="str">
        <f>HYPERLINK("https://twitter.com/petrogustavo/status/1223381844495872002","1223381844495872002")</f>
        <v>1223381844495872002</v>
      </c>
      <c r="F1941" s="7" t="s">
        <v>32</v>
      </c>
      <c r="G1941" s="7">
        <v>3623726</v>
      </c>
      <c r="H1941" s="7">
        <v>2352</v>
      </c>
      <c r="I1941" s="7">
        <v>251</v>
      </c>
      <c r="J1941" s="7">
        <v>0</v>
      </c>
      <c r="K1941" s="7" t="s">
        <v>18</v>
      </c>
      <c r="L1941" s="8">
        <v>39987.315405092595</v>
      </c>
      <c r="M1941" s="9" t="s">
        <v>19</v>
      </c>
      <c r="N1941" s="9" t="s">
        <v>20</v>
      </c>
      <c r="O1941" s="6" t="str">
        <f>HYPERLINK("https://pbs.twimg.com/profile_images/962471262747529216/Uo8lOkRJ_normal.jpg","View")</f>
        <v>View</v>
      </c>
      <c r="P1941" s="7"/>
    </row>
    <row r="1942" spans="1:16">
      <c r="A1942" s="3">
        <v>43862.261087962965</v>
      </c>
      <c r="B1942" s="4" t="str">
        <f>HYPERLINK("https://twitter.com/petrogustavo","@petrogustavo")</f>
        <v>@petrogustavo</v>
      </c>
      <c r="C1942" s="5" t="s">
        <v>16</v>
      </c>
      <c r="D1942" s="5" t="s">
        <v>1907</v>
      </c>
      <c r="E1942" s="6" t="str">
        <f>HYPERLINK("https://twitter.com/petrogustavo/status/1223407105211863041","1223407105211863041")</f>
        <v>1223407105211863041</v>
      </c>
      <c r="F1942" s="7" t="s">
        <v>32</v>
      </c>
      <c r="G1942" s="7">
        <v>3623794</v>
      </c>
      <c r="H1942" s="7">
        <v>2352</v>
      </c>
      <c r="I1942" s="7">
        <v>38</v>
      </c>
      <c r="J1942" s="7">
        <v>0</v>
      </c>
      <c r="K1942" s="7" t="s">
        <v>18</v>
      </c>
      <c r="L1942" s="8">
        <v>39987.315405092595</v>
      </c>
      <c r="M1942" s="9" t="s">
        <v>19</v>
      </c>
      <c r="N1942" s="9" t="s">
        <v>20</v>
      </c>
      <c r="O1942" s="6" t="str">
        <f>HYPERLINK("https://pbs.twimg.com/profile_images/962471262747529216/Uo8lOkRJ_normal.jpg","View")</f>
        <v>View</v>
      </c>
      <c r="P1942" s="7"/>
    </row>
    <row r="1943" spans="1:16">
      <c r="A1943" s="3">
        <v>43862.310023148151</v>
      </c>
      <c r="B1943" s="4" t="str">
        <f>HYPERLINK("https://twitter.com/petrogustavo","@petrogustavo")</f>
        <v>@petrogustavo</v>
      </c>
      <c r="C1943" s="5" t="s">
        <v>16</v>
      </c>
      <c r="D1943" s="5" t="s">
        <v>1908</v>
      </c>
      <c r="E1943" s="6" t="str">
        <f>HYPERLINK("https://twitter.com/petrogustavo/status/1223424838410416131","1223424838410416131")</f>
        <v>1223424838410416131</v>
      </c>
      <c r="F1943" s="7" t="s">
        <v>32</v>
      </c>
      <c r="G1943" s="7">
        <v>3623845</v>
      </c>
      <c r="H1943" s="7">
        <v>2352</v>
      </c>
      <c r="I1943" s="7">
        <v>21</v>
      </c>
      <c r="J1943" s="7">
        <v>0</v>
      </c>
      <c r="K1943" s="7" t="s">
        <v>18</v>
      </c>
      <c r="L1943" s="8">
        <v>39987.315405092595</v>
      </c>
      <c r="M1943" s="9" t="s">
        <v>19</v>
      </c>
      <c r="N1943" s="9" t="s">
        <v>20</v>
      </c>
      <c r="O1943" s="6" t="str">
        <f>HYPERLINK("https://pbs.twimg.com/profile_images/962471262747529216/Uo8lOkRJ_normal.jpg","View")</f>
        <v>View</v>
      </c>
      <c r="P1943" s="7"/>
    </row>
    <row r="1944" spans="1:16">
      <c r="A1944" s="3">
        <v>43862.310266203705</v>
      </c>
      <c r="B1944" s="4" t="str">
        <f>HYPERLINK("https://twitter.com/petrogustavo","@petrogustavo")</f>
        <v>@petrogustavo</v>
      </c>
      <c r="C1944" s="5" t="s">
        <v>16</v>
      </c>
      <c r="D1944" s="5" t="s">
        <v>1909</v>
      </c>
      <c r="E1944" s="6" t="str">
        <f>HYPERLINK("https://twitter.com/petrogustavo/status/1223424927912644610","1223424927912644610")</f>
        <v>1223424927912644610</v>
      </c>
      <c r="F1944" s="7" t="s">
        <v>32</v>
      </c>
      <c r="G1944" s="7">
        <v>3623845</v>
      </c>
      <c r="H1944" s="7">
        <v>2352</v>
      </c>
      <c r="I1944" s="7">
        <v>26</v>
      </c>
      <c r="J1944" s="7">
        <v>0</v>
      </c>
      <c r="K1944" s="7" t="s">
        <v>18</v>
      </c>
      <c r="L1944" s="8">
        <v>39987.315405092595</v>
      </c>
      <c r="M1944" s="9" t="s">
        <v>19</v>
      </c>
      <c r="N1944" s="9" t="s">
        <v>20</v>
      </c>
      <c r="O1944" s="6" t="str">
        <f>HYPERLINK("https://pbs.twimg.com/profile_images/962471262747529216/Uo8lOkRJ_normal.jpg","View")</f>
        <v>View</v>
      </c>
      <c r="P1944" s="7"/>
    </row>
    <row r="1945" spans="1:16">
      <c r="A1945" s="3">
        <v>43862.31049768519</v>
      </c>
      <c r="B1945" s="4" t="str">
        <f>HYPERLINK("https://twitter.com/petrogustavo","@petrogustavo")</f>
        <v>@petrogustavo</v>
      </c>
      <c r="C1945" s="5" t="s">
        <v>16</v>
      </c>
      <c r="D1945" s="5" t="s">
        <v>1910</v>
      </c>
      <c r="E1945" s="6" t="str">
        <f>HYPERLINK("https://twitter.com/petrogustavo/status/1223425010880122880","1223425010880122880")</f>
        <v>1223425010880122880</v>
      </c>
      <c r="F1945" s="7" t="s">
        <v>32</v>
      </c>
      <c r="G1945" s="7">
        <v>3623845</v>
      </c>
      <c r="H1945" s="7">
        <v>2352</v>
      </c>
      <c r="I1945" s="7">
        <v>96</v>
      </c>
      <c r="J1945" s="7">
        <v>0</v>
      </c>
      <c r="K1945" s="7" t="s">
        <v>18</v>
      </c>
      <c r="L1945" s="8">
        <v>39987.315405092595</v>
      </c>
      <c r="M1945" s="9" t="s">
        <v>19</v>
      </c>
      <c r="N1945" s="9" t="s">
        <v>20</v>
      </c>
      <c r="O1945" s="6" t="str">
        <f>HYPERLINK("https://pbs.twimg.com/profile_images/962471262747529216/Uo8lOkRJ_normal.jpg","View")</f>
        <v>View</v>
      </c>
      <c r="P1945" s="7"/>
    </row>
    <row r="1946" spans="1:16">
      <c r="A1946" s="3">
        <v>43862.310925925922</v>
      </c>
      <c r="B1946" s="4" t="str">
        <f>HYPERLINK("https://twitter.com/petrogustavo","@petrogustavo")</f>
        <v>@petrogustavo</v>
      </c>
      <c r="C1946" s="5" t="s">
        <v>16</v>
      </c>
      <c r="D1946" s="5" t="s">
        <v>1911</v>
      </c>
      <c r="E1946" s="6" t="str">
        <f>HYPERLINK("https://twitter.com/petrogustavo/status/1223425166610436096","1223425166610436096")</f>
        <v>1223425166610436096</v>
      </c>
      <c r="F1946" s="7" t="s">
        <v>32</v>
      </c>
      <c r="G1946" s="7">
        <v>3623845</v>
      </c>
      <c r="H1946" s="7">
        <v>2352</v>
      </c>
      <c r="I1946" s="7">
        <v>45</v>
      </c>
      <c r="J1946" s="7">
        <v>0</v>
      </c>
      <c r="K1946" s="7" t="s">
        <v>18</v>
      </c>
      <c r="L1946" s="8">
        <v>39987.315405092595</v>
      </c>
      <c r="M1946" s="9" t="s">
        <v>19</v>
      </c>
      <c r="N1946" s="9" t="s">
        <v>20</v>
      </c>
      <c r="O1946" s="6" t="str">
        <f>HYPERLINK("https://pbs.twimg.com/profile_images/962471262747529216/Uo8lOkRJ_normal.jpg","View")</f>
        <v>View</v>
      </c>
      <c r="P1946" s="7"/>
    </row>
    <row r="1947" spans="1:16">
      <c r="A1947" s="3">
        <v>43862.312743055554</v>
      </c>
      <c r="B1947" s="4" t="str">
        <f>HYPERLINK("https://twitter.com/petrogustavo","@petrogustavo")</f>
        <v>@petrogustavo</v>
      </c>
      <c r="C1947" s="5" t="s">
        <v>16</v>
      </c>
      <c r="D1947" s="5" t="s">
        <v>1912</v>
      </c>
      <c r="E1947" s="6" t="str">
        <f>HYPERLINK("https://twitter.com/petrogustavo/status/1223425826324197378","1223425826324197378")</f>
        <v>1223425826324197378</v>
      </c>
      <c r="F1947" s="7" t="s">
        <v>32</v>
      </c>
      <c r="G1947" s="7">
        <v>3623845</v>
      </c>
      <c r="H1947" s="7">
        <v>2352</v>
      </c>
      <c r="I1947" s="7">
        <v>34</v>
      </c>
      <c r="J1947" s="7">
        <v>67</v>
      </c>
      <c r="K1947" s="7" t="s">
        <v>18</v>
      </c>
      <c r="L1947" s="8">
        <v>39987.315405092595</v>
      </c>
      <c r="M1947" s="9" t="s">
        <v>19</v>
      </c>
      <c r="N1947" s="9" t="s">
        <v>20</v>
      </c>
      <c r="O1947" s="6" t="str">
        <f>HYPERLINK("https://pbs.twimg.com/profile_images/962471262747529216/Uo8lOkRJ_normal.jpg","View")</f>
        <v>View</v>
      </c>
      <c r="P1947" s="7"/>
    </row>
    <row r="1948" spans="1:16">
      <c r="A1948" s="3">
        <v>43862.31894675926</v>
      </c>
      <c r="B1948" s="4" t="str">
        <f>HYPERLINK("https://twitter.com/petrogustavo","@petrogustavo")</f>
        <v>@petrogustavo</v>
      </c>
      <c r="C1948" s="5" t="s">
        <v>16</v>
      </c>
      <c r="D1948" s="5" t="s">
        <v>1913</v>
      </c>
      <c r="E1948" s="6" t="str">
        <f>HYPERLINK("https://twitter.com/petrogustavo/status/1223428071170113538","1223428071170113538")</f>
        <v>1223428071170113538</v>
      </c>
      <c r="F1948" s="7" t="s">
        <v>32</v>
      </c>
      <c r="G1948" s="7">
        <v>3623850</v>
      </c>
      <c r="H1948" s="7">
        <v>2353</v>
      </c>
      <c r="I1948" s="7">
        <v>175</v>
      </c>
      <c r="J1948" s="7">
        <v>0</v>
      </c>
      <c r="K1948" s="7" t="s">
        <v>18</v>
      </c>
      <c r="L1948" s="8">
        <v>39987.315405092595</v>
      </c>
      <c r="M1948" s="9" t="s">
        <v>19</v>
      </c>
      <c r="N1948" s="9" t="s">
        <v>20</v>
      </c>
      <c r="O1948" s="6" t="str">
        <f>HYPERLINK("https://pbs.twimg.com/profile_images/962471262747529216/Uo8lOkRJ_normal.jpg","View")</f>
        <v>View</v>
      </c>
      <c r="P1948" s="7"/>
    </row>
    <row r="1949" spans="1:16">
      <c r="A1949" s="3">
        <v>43862.322280092594</v>
      </c>
      <c r="B1949" s="4" t="str">
        <f>HYPERLINK("https://twitter.com/petrogustavo","@petrogustavo")</f>
        <v>@petrogustavo</v>
      </c>
      <c r="C1949" s="5" t="s">
        <v>16</v>
      </c>
      <c r="D1949" s="5" t="s">
        <v>1914</v>
      </c>
      <c r="E1949" s="6" t="str">
        <f>HYPERLINK("https://twitter.com/petrogustavo/status/1223429280803233793","1223429280803233793")</f>
        <v>1223429280803233793</v>
      </c>
      <c r="F1949" s="7" t="s">
        <v>32</v>
      </c>
      <c r="G1949" s="7">
        <v>3623850</v>
      </c>
      <c r="H1949" s="7">
        <v>2353</v>
      </c>
      <c r="I1949" s="7">
        <v>272</v>
      </c>
      <c r="J1949" s="7">
        <v>0</v>
      </c>
      <c r="K1949" s="7" t="s">
        <v>18</v>
      </c>
      <c r="L1949" s="8">
        <v>39987.315405092595</v>
      </c>
      <c r="M1949" s="9" t="s">
        <v>19</v>
      </c>
      <c r="N1949" s="9" t="s">
        <v>20</v>
      </c>
      <c r="O1949" s="6" t="str">
        <f>HYPERLINK("https://pbs.twimg.com/profile_images/962471262747529216/Uo8lOkRJ_normal.jpg","View")</f>
        <v>View</v>
      </c>
      <c r="P1949" s="7"/>
    </row>
    <row r="1950" spans="1:16">
      <c r="A1950" s="3">
        <v>43862.388506944444</v>
      </c>
      <c r="B1950" s="4" t="str">
        <f>HYPERLINK("https://twitter.com/petrogustavo","@petrogustavo")</f>
        <v>@petrogustavo</v>
      </c>
      <c r="C1950" s="5" t="s">
        <v>16</v>
      </c>
      <c r="D1950" s="5" t="s">
        <v>1915</v>
      </c>
      <c r="E1950" s="6" t="str">
        <f>HYPERLINK("https://twitter.com/petrogustavo/status/1223453279356686337","1223453279356686337")</f>
        <v>1223453279356686337</v>
      </c>
      <c r="F1950" s="7" t="s">
        <v>17</v>
      </c>
      <c r="G1950" s="7">
        <v>3623940</v>
      </c>
      <c r="H1950" s="7">
        <v>2354</v>
      </c>
      <c r="I1950" s="7">
        <v>216</v>
      </c>
      <c r="J1950" s="7">
        <v>0</v>
      </c>
      <c r="K1950" s="7" t="s">
        <v>18</v>
      </c>
      <c r="L1950" s="8">
        <v>39987.315405092595</v>
      </c>
      <c r="M1950" s="9" t="s">
        <v>19</v>
      </c>
      <c r="N1950" s="9" t="s">
        <v>20</v>
      </c>
      <c r="O1950" s="6" t="str">
        <f>HYPERLINK("https://pbs.twimg.com/profile_images/962471262747529216/Uo8lOkRJ_normal.jpg","View")</f>
        <v>View</v>
      </c>
      <c r="P1950" s="7"/>
    </row>
    <row r="1951" spans="1:16">
      <c r="A1951" s="3">
        <v>43862.388749999998</v>
      </c>
      <c r="B1951" s="4" t="str">
        <f>HYPERLINK("https://twitter.com/petrogustavo","@petrogustavo")</f>
        <v>@petrogustavo</v>
      </c>
      <c r="C1951" s="5" t="s">
        <v>16</v>
      </c>
      <c r="D1951" s="5" t="s">
        <v>1916</v>
      </c>
      <c r="E1951" s="6" t="str">
        <f>HYPERLINK("https://twitter.com/petrogustavo/status/1223453368888238082","1223453368888238082")</f>
        <v>1223453368888238082</v>
      </c>
      <c r="F1951" s="7" t="s">
        <v>17</v>
      </c>
      <c r="G1951" s="7">
        <v>3623940</v>
      </c>
      <c r="H1951" s="7">
        <v>2354</v>
      </c>
      <c r="I1951" s="7">
        <v>54</v>
      </c>
      <c r="J1951" s="7">
        <v>0</v>
      </c>
      <c r="K1951" s="7" t="s">
        <v>18</v>
      </c>
      <c r="L1951" s="8">
        <v>39987.315405092595</v>
      </c>
      <c r="M1951" s="9" t="s">
        <v>19</v>
      </c>
      <c r="N1951" s="9" t="s">
        <v>20</v>
      </c>
      <c r="O1951" s="6" t="str">
        <f>HYPERLINK("https://pbs.twimg.com/profile_images/962471262747529216/Uo8lOkRJ_normal.jpg","View")</f>
        <v>View</v>
      </c>
      <c r="P1951" s="7"/>
    </row>
    <row r="1952" spans="1:16">
      <c r="A1952" s="3">
        <v>43862.388877314814</v>
      </c>
      <c r="B1952" s="4" t="str">
        <f>HYPERLINK("https://twitter.com/petrogustavo","@petrogustavo")</f>
        <v>@petrogustavo</v>
      </c>
      <c r="C1952" s="5" t="s">
        <v>16</v>
      </c>
      <c r="D1952" s="5" t="s">
        <v>1879</v>
      </c>
      <c r="E1952" s="6" t="str">
        <f>HYPERLINK("https://twitter.com/petrogustavo/status/1223453414857887745","1223453414857887745")</f>
        <v>1223453414857887745</v>
      </c>
      <c r="F1952" s="7" t="s">
        <v>17</v>
      </c>
      <c r="G1952" s="7">
        <v>3623940</v>
      </c>
      <c r="H1952" s="7">
        <v>2354</v>
      </c>
      <c r="I1952" s="7">
        <v>529</v>
      </c>
      <c r="J1952" s="7">
        <v>0</v>
      </c>
      <c r="K1952" s="7" t="s">
        <v>18</v>
      </c>
      <c r="L1952" s="8">
        <v>39987.315405092595</v>
      </c>
      <c r="M1952" s="9" t="s">
        <v>19</v>
      </c>
      <c r="N1952" s="9" t="s">
        <v>20</v>
      </c>
      <c r="O1952" s="6" t="str">
        <f>HYPERLINK("https://pbs.twimg.com/profile_images/962471262747529216/Uo8lOkRJ_normal.jpg","View")</f>
        <v>View</v>
      </c>
      <c r="P1952" s="7"/>
    </row>
    <row r="1953" spans="1:16">
      <c r="A1953" s="3">
        <v>43862.389155092591</v>
      </c>
      <c r="B1953" s="4" t="str">
        <f>HYPERLINK("https://twitter.com/petrogustavo","@petrogustavo")</f>
        <v>@petrogustavo</v>
      </c>
      <c r="C1953" s="5" t="s">
        <v>16</v>
      </c>
      <c r="D1953" s="5" t="s">
        <v>1917</v>
      </c>
      <c r="E1953" s="6" t="str">
        <f>HYPERLINK("https://twitter.com/petrogustavo/status/1223453517622534151","1223453517622534151")</f>
        <v>1223453517622534151</v>
      </c>
      <c r="F1953" s="7" t="s">
        <v>17</v>
      </c>
      <c r="G1953" s="7">
        <v>3623940</v>
      </c>
      <c r="H1953" s="7">
        <v>2354</v>
      </c>
      <c r="I1953" s="7">
        <v>402</v>
      </c>
      <c r="J1953" s="7">
        <v>0</v>
      </c>
      <c r="K1953" s="7" t="s">
        <v>18</v>
      </c>
      <c r="L1953" s="8">
        <v>39987.315405092595</v>
      </c>
      <c r="M1953" s="9" t="s">
        <v>19</v>
      </c>
      <c r="N1953" s="9" t="s">
        <v>20</v>
      </c>
      <c r="O1953" s="6" t="str">
        <f>HYPERLINK("https://pbs.twimg.com/profile_images/962471262747529216/Uo8lOkRJ_normal.jpg","View")</f>
        <v>View</v>
      </c>
      <c r="P1953" s="7"/>
    </row>
    <row r="1954" spans="1:16">
      <c r="A1954" s="3">
        <v>43862.389374999999</v>
      </c>
      <c r="B1954" s="4" t="str">
        <f>HYPERLINK("https://twitter.com/petrogustavo","@petrogustavo")</f>
        <v>@petrogustavo</v>
      </c>
      <c r="C1954" s="5" t="s">
        <v>16</v>
      </c>
      <c r="D1954" s="5" t="s">
        <v>1918</v>
      </c>
      <c r="E1954" s="6" t="str">
        <f>HYPERLINK("https://twitter.com/petrogustavo/status/1223453594562768896","1223453594562768896")</f>
        <v>1223453594562768896</v>
      </c>
      <c r="F1954" s="7" t="s">
        <v>17</v>
      </c>
      <c r="G1954" s="7">
        <v>3623940</v>
      </c>
      <c r="H1954" s="7">
        <v>2354</v>
      </c>
      <c r="I1954" s="7">
        <v>98</v>
      </c>
      <c r="J1954" s="7">
        <v>0</v>
      </c>
      <c r="K1954" s="7" t="s">
        <v>18</v>
      </c>
      <c r="L1954" s="8">
        <v>39987.315405092595</v>
      </c>
      <c r="M1954" s="9" t="s">
        <v>19</v>
      </c>
      <c r="N1954" s="9" t="s">
        <v>20</v>
      </c>
      <c r="O1954" s="6" t="str">
        <f>HYPERLINK("https://pbs.twimg.com/profile_images/962471262747529216/Uo8lOkRJ_normal.jpg","View")</f>
        <v>View</v>
      </c>
      <c r="P1954" s="7"/>
    </row>
    <row r="1955" spans="1:16">
      <c r="A1955" s="3">
        <v>43862.391053240739</v>
      </c>
      <c r="B1955" s="4" t="str">
        <f>HYPERLINK("https://twitter.com/petrogustavo","@petrogustavo")</f>
        <v>@petrogustavo</v>
      </c>
      <c r="C1955" s="5" t="s">
        <v>16</v>
      </c>
      <c r="D1955" s="5" t="s">
        <v>1919</v>
      </c>
      <c r="E1955" s="6" t="str">
        <f>HYPERLINK("https://twitter.com/petrogustavo/status/1223454202904662016","1223454202904662016")</f>
        <v>1223454202904662016</v>
      </c>
      <c r="F1955" s="7" t="s">
        <v>17</v>
      </c>
      <c r="G1955" s="7">
        <v>3623940</v>
      </c>
      <c r="H1955" s="7">
        <v>2354</v>
      </c>
      <c r="I1955" s="7">
        <v>16</v>
      </c>
      <c r="J1955" s="7">
        <v>0</v>
      </c>
      <c r="K1955" s="7" t="s">
        <v>18</v>
      </c>
      <c r="L1955" s="8">
        <v>39987.315405092595</v>
      </c>
      <c r="M1955" s="9" t="s">
        <v>19</v>
      </c>
      <c r="N1955" s="9" t="s">
        <v>20</v>
      </c>
      <c r="O1955" s="6" t="str">
        <f>HYPERLINK("https://pbs.twimg.com/profile_images/962471262747529216/Uo8lOkRJ_normal.jpg","View")</f>
        <v>View</v>
      </c>
      <c r="P1955" s="7"/>
    </row>
    <row r="1956" spans="1:16">
      <c r="A1956" s="3">
        <v>43862.394155092596</v>
      </c>
      <c r="B1956" s="4" t="str">
        <f>HYPERLINK("https://twitter.com/petrogustavo","@petrogustavo")</f>
        <v>@petrogustavo</v>
      </c>
      <c r="C1956" s="5" t="s">
        <v>16</v>
      </c>
      <c r="D1956" s="5" t="s">
        <v>1920</v>
      </c>
      <c r="E1956" s="6" t="str">
        <f>HYPERLINK("https://twitter.com/petrogustavo/status/1223455326915133442","1223455326915133442")</f>
        <v>1223455326915133442</v>
      </c>
      <c r="F1956" s="7" t="s">
        <v>17</v>
      </c>
      <c r="G1956" s="7">
        <v>3623940</v>
      </c>
      <c r="H1956" s="7">
        <v>2354</v>
      </c>
      <c r="I1956" s="7">
        <v>88</v>
      </c>
      <c r="J1956" s="7">
        <v>0</v>
      </c>
      <c r="K1956" s="7" t="s">
        <v>18</v>
      </c>
      <c r="L1956" s="8">
        <v>39987.315405092595</v>
      </c>
      <c r="M1956" s="9" t="s">
        <v>19</v>
      </c>
      <c r="N1956" s="9" t="s">
        <v>20</v>
      </c>
      <c r="O1956" s="6" t="str">
        <f>HYPERLINK("https://pbs.twimg.com/profile_images/962471262747529216/Uo8lOkRJ_normal.jpg","View")</f>
        <v>View</v>
      </c>
      <c r="P1956" s="7"/>
    </row>
    <row r="1957" spans="1:16">
      <c r="A1957" s="3">
        <v>43862.409988425927</v>
      </c>
      <c r="B1957" s="4" t="str">
        <f>HYPERLINK("https://twitter.com/petrogustavo","@petrogustavo")</f>
        <v>@petrogustavo</v>
      </c>
      <c r="C1957" s="5" t="s">
        <v>16</v>
      </c>
      <c r="D1957" s="5" t="s">
        <v>1921</v>
      </c>
      <c r="E1957" s="6" t="str">
        <f>HYPERLINK("https://twitter.com/petrogustavo/status/1223461064056221696","1223461064056221696")</f>
        <v>1223461064056221696</v>
      </c>
      <c r="F1957" s="7" t="s">
        <v>17</v>
      </c>
      <c r="G1957" s="7">
        <v>3623956</v>
      </c>
      <c r="H1957" s="7">
        <v>2354</v>
      </c>
      <c r="I1957" s="7">
        <v>507</v>
      </c>
      <c r="J1957" s="7">
        <v>0</v>
      </c>
      <c r="K1957" s="7" t="s">
        <v>18</v>
      </c>
      <c r="L1957" s="8">
        <v>39987.315405092595</v>
      </c>
      <c r="M1957" s="9" t="s">
        <v>19</v>
      </c>
      <c r="N1957" s="9" t="s">
        <v>20</v>
      </c>
      <c r="O1957" s="6" t="str">
        <f>HYPERLINK("https://pbs.twimg.com/profile_images/962471262747529216/Uo8lOkRJ_normal.jpg","View")</f>
        <v>View</v>
      </c>
      <c r="P1957" s="7"/>
    </row>
    <row r="1958" spans="1:16">
      <c r="A1958" s="3">
        <v>43862.413518518515</v>
      </c>
      <c r="B1958" s="4" t="str">
        <f>HYPERLINK("https://twitter.com/petrogustavo","@petrogustavo")</f>
        <v>@petrogustavo</v>
      </c>
      <c r="C1958" s="5" t="s">
        <v>16</v>
      </c>
      <c r="D1958" s="5" t="s">
        <v>1922</v>
      </c>
      <c r="E1958" s="6" t="str">
        <f>HYPERLINK("https://twitter.com/petrogustavo/status/1223462343021072389","1223462343021072389")</f>
        <v>1223462343021072389</v>
      </c>
      <c r="F1958" s="7" t="s">
        <v>17</v>
      </c>
      <c r="G1958" s="7">
        <v>3623956</v>
      </c>
      <c r="H1958" s="7">
        <v>2354</v>
      </c>
      <c r="I1958" s="7">
        <v>338</v>
      </c>
      <c r="J1958" s="7">
        <v>0</v>
      </c>
      <c r="K1958" s="7" t="s">
        <v>18</v>
      </c>
      <c r="L1958" s="8">
        <v>39987.315405092595</v>
      </c>
      <c r="M1958" s="9" t="s">
        <v>19</v>
      </c>
      <c r="N1958" s="9" t="s">
        <v>20</v>
      </c>
      <c r="O1958" s="6" t="str">
        <f>HYPERLINK("https://pbs.twimg.com/profile_images/962471262747529216/Uo8lOkRJ_normal.jpg","View")</f>
        <v>View</v>
      </c>
      <c r="P1958" s="7"/>
    </row>
    <row r="1959" spans="1:16">
      <c r="A1959" s="3">
        <v>43862.415127314816</v>
      </c>
      <c r="B1959" s="4" t="str">
        <f>HYPERLINK("https://twitter.com/petrogustavo","@petrogustavo")</f>
        <v>@petrogustavo</v>
      </c>
      <c r="C1959" s="5" t="s">
        <v>16</v>
      </c>
      <c r="D1959" s="5" t="s">
        <v>1923</v>
      </c>
      <c r="E1959" s="6" t="str">
        <f>HYPERLINK("https://twitter.com/petrogustavo/status/1223462929913339904","1223462929913339904")</f>
        <v>1223462929913339904</v>
      </c>
      <c r="F1959" s="7" t="s">
        <v>17</v>
      </c>
      <c r="G1959" s="7">
        <v>3623956</v>
      </c>
      <c r="H1959" s="7">
        <v>2354</v>
      </c>
      <c r="I1959" s="7">
        <v>46</v>
      </c>
      <c r="J1959" s="7">
        <v>0</v>
      </c>
      <c r="K1959" s="7" t="s">
        <v>18</v>
      </c>
      <c r="L1959" s="8">
        <v>39987.315405092595</v>
      </c>
      <c r="M1959" s="9" t="s">
        <v>19</v>
      </c>
      <c r="N1959" s="9" t="s">
        <v>20</v>
      </c>
      <c r="O1959" s="6" t="str">
        <f>HYPERLINK("https://pbs.twimg.com/profile_images/962471262747529216/Uo8lOkRJ_normal.jpg","View")</f>
        <v>View</v>
      </c>
      <c r="P1959" s="7"/>
    </row>
    <row r="1960" spans="1:16">
      <c r="A1960" s="3">
        <v>43862.419108796297</v>
      </c>
      <c r="B1960" s="4" t="str">
        <f>HYPERLINK("https://twitter.com/petrogustavo","@petrogustavo")</f>
        <v>@petrogustavo</v>
      </c>
      <c r="C1960" s="5" t="s">
        <v>16</v>
      </c>
      <c r="D1960" s="5" t="s">
        <v>1924</v>
      </c>
      <c r="E1960" s="6" t="str">
        <f>HYPERLINK("https://twitter.com/petrogustavo/status/1223464370832801797","1223464370832801797")</f>
        <v>1223464370832801797</v>
      </c>
      <c r="F1960" s="7" t="s">
        <v>17</v>
      </c>
      <c r="G1960" s="7">
        <v>3623980</v>
      </c>
      <c r="H1960" s="7">
        <v>2354</v>
      </c>
      <c r="I1960" s="7">
        <v>424</v>
      </c>
      <c r="J1960" s="7">
        <v>0</v>
      </c>
      <c r="K1960" s="7" t="s">
        <v>18</v>
      </c>
      <c r="L1960" s="8">
        <v>39987.315405092595</v>
      </c>
      <c r="M1960" s="9" t="s">
        <v>19</v>
      </c>
      <c r="N1960" s="9" t="s">
        <v>20</v>
      </c>
      <c r="O1960" s="6" t="str">
        <f>HYPERLINK("https://pbs.twimg.com/profile_images/962471262747529216/Uo8lOkRJ_normal.jpg","View")</f>
        <v>View</v>
      </c>
      <c r="P1960" s="7"/>
    </row>
    <row r="1961" spans="1:16">
      <c r="A1961" s="3">
        <v>43862.419733796298</v>
      </c>
      <c r="B1961" s="4" t="str">
        <f>HYPERLINK("https://twitter.com/petrogustavo","@petrogustavo")</f>
        <v>@petrogustavo</v>
      </c>
      <c r="C1961" s="5" t="s">
        <v>16</v>
      </c>
      <c r="D1961" s="5" t="s">
        <v>1925</v>
      </c>
      <c r="E1961" s="6" t="str">
        <f>HYPERLINK("https://twitter.com/petrogustavo/status/1223464597451149312","1223464597451149312")</f>
        <v>1223464597451149312</v>
      </c>
      <c r="F1961" s="7" t="s">
        <v>17</v>
      </c>
      <c r="G1961" s="7">
        <v>3623980</v>
      </c>
      <c r="H1961" s="7">
        <v>2354</v>
      </c>
      <c r="I1961" s="7">
        <v>55</v>
      </c>
      <c r="J1961" s="7">
        <v>0</v>
      </c>
      <c r="K1961" s="7" t="s">
        <v>18</v>
      </c>
      <c r="L1961" s="8">
        <v>39987.315405092595</v>
      </c>
      <c r="M1961" s="9" t="s">
        <v>19</v>
      </c>
      <c r="N1961" s="9" t="s">
        <v>20</v>
      </c>
      <c r="O1961" s="6" t="str">
        <f>HYPERLINK("https://pbs.twimg.com/profile_images/962471262747529216/Uo8lOkRJ_normal.jpg","View")</f>
        <v>View</v>
      </c>
      <c r="P1961" s="7"/>
    </row>
    <row r="1962" spans="1:16">
      <c r="A1962" s="3">
        <v>43862.420543981483</v>
      </c>
      <c r="B1962" s="4" t="str">
        <f>HYPERLINK("https://twitter.com/petrogustavo","@petrogustavo")</f>
        <v>@petrogustavo</v>
      </c>
      <c r="C1962" s="5" t="s">
        <v>16</v>
      </c>
      <c r="D1962" s="5" t="s">
        <v>1926</v>
      </c>
      <c r="E1962" s="6" t="str">
        <f>HYPERLINK("https://twitter.com/petrogustavo/status/1223464890888859649","1223464890888859649")</f>
        <v>1223464890888859649</v>
      </c>
      <c r="F1962" s="7" t="s">
        <v>17</v>
      </c>
      <c r="G1962" s="7">
        <v>3623980</v>
      </c>
      <c r="H1962" s="7">
        <v>2354</v>
      </c>
      <c r="I1962" s="7">
        <v>217</v>
      </c>
      <c r="J1962" s="7">
        <v>0</v>
      </c>
      <c r="K1962" s="7" t="s">
        <v>18</v>
      </c>
      <c r="L1962" s="8">
        <v>39987.315405092595</v>
      </c>
      <c r="M1962" s="9" t="s">
        <v>19</v>
      </c>
      <c r="N1962" s="9" t="s">
        <v>20</v>
      </c>
      <c r="O1962" s="6" t="str">
        <f>HYPERLINK("https://pbs.twimg.com/profile_images/962471262747529216/Uo8lOkRJ_normal.jpg","View")</f>
        <v>View</v>
      </c>
      <c r="P1962" s="7"/>
    </row>
    <row r="1963" spans="1:16">
      <c r="A1963" s="3">
        <v>43862.421620370369</v>
      </c>
      <c r="B1963" s="4" t="str">
        <f>HYPERLINK("https://twitter.com/petrogustavo","@petrogustavo")</f>
        <v>@petrogustavo</v>
      </c>
      <c r="C1963" s="5" t="s">
        <v>16</v>
      </c>
      <c r="D1963" s="5" t="s">
        <v>1927</v>
      </c>
      <c r="E1963" s="6" t="str">
        <f>HYPERLINK("https://twitter.com/petrogustavo/status/1223465279386259456","1223465279386259456")</f>
        <v>1223465279386259456</v>
      </c>
      <c r="F1963" s="7" t="s">
        <v>17</v>
      </c>
      <c r="G1963" s="7">
        <v>3623980</v>
      </c>
      <c r="H1963" s="7">
        <v>2354</v>
      </c>
      <c r="I1963" s="7">
        <v>83</v>
      </c>
      <c r="J1963" s="7">
        <v>0</v>
      </c>
      <c r="K1963" s="7" t="s">
        <v>18</v>
      </c>
      <c r="L1963" s="8">
        <v>39987.315405092595</v>
      </c>
      <c r="M1963" s="9" t="s">
        <v>19</v>
      </c>
      <c r="N1963" s="9" t="s">
        <v>20</v>
      </c>
      <c r="O1963" s="6" t="str">
        <f>HYPERLINK("https://pbs.twimg.com/profile_images/962471262747529216/Uo8lOkRJ_normal.jpg","View")</f>
        <v>View</v>
      </c>
      <c r="P1963" s="7"/>
    </row>
    <row r="1964" spans="1:16">
      <c r="A1964" s="3">
        <v>43862.423773148148</v>
      </c>
      <c r="B1964" s="4" t="str">
        <f>HYPERLINK("https://twitter.com/petrogustavo","@petrogustavo")</f>
        <v>@petrogustavo</v>
      </c>
      <c r="C1964" s="5" t="s">
        <v>16</v>
      </c>
      <c r="D1964" s="5" t="s">
        <v>1906</v>
      </c>
      <c r="E1964" s="6" t="str">
        <f>HYPERLINK("https://twitter.com/petrogustavo/status/1223466060877377536","1223466060877377536")</f>
        <v>1223466060877377536</v>
      </c>
      <c r="F1964" s="7" t="s">
        <v>17</v>
      </c>
      <c r="G1964" s="7">
        <v>3623980</v>
      </c>
      <c r="H1964" s="7">
        <v>2354</v>
      </c>
      <c r="I1964" s="7">
        <v>732</v>
      </c>
      <c r="J1964" s="7">
        <v>0</v>
      </c>
      <c r="K1964" s="7" t="s">
        <v>18</v>
      </c>
      <c r="L1964" s="8">
        <v>39987.315405092595</v>
      </c>
      <c r="M1964" s="9" t="s">
        <v>19</v>
      </c>
      <c r="N1964" s="9" t="s">
        <v>20</v>
      </c>
      <c r="O1964" s="6" t="str">
        <f>HYPERLINK("https://pbs.twimg.com/profile_images/962471262747529216/Uo8lOkRJ_normal.jpg","View")</f>
        <v>View</v>
      </c>
      <c r="P1964" s="7"/>
    </row>
    <row r="1965" spans="1:16">
      <c r="A1965" s="3">
        <v>43862.751620370371</v>
      </c>
      <c r="B1965" s="4" t="str">
        <f>HYPERLINK("https://twitter.com/petrogustavo","@petrogustavo")</f>
        <v>@petrogustavo</v>
      </c>
      <c r="C1965" s="5" t="s">
        <v>16</v>
      </c>
      <c r="D1965" s="5" t="s">
        <v>1928</v>
      </c>
      <c r="E1965" s="6" t="str">
        <f>HYPERLINK("https://twitter.com/petrogustavo/status/1223584870183636992","1223584870183636992")</f>
        <v>1223584870183636992</v>
      </c>
      <c r="F1965" s="7" t="s">
        <v>17</v>
      </c>
      <c r="G1965" s="7">
        <v>3624065</v>
      </c>
      <c r="H1965" s="7">
        <v>2354</v>
      </c>
      <c r="I1965" s="7">
        <v>1</v>
      </c>
      <c r="J1965" s="7">
        <v>4</v>
      </c>
      <c r="K1965" s="7" t="s">
        <v>18</v>
      </c>
      <c r="L1965" s="8">
        <v>39987.315405092595</v>
      </c>
      <c r="M1965" s="9" t="s">
        <v>19</v>
      </c>
      <c r="N1965" s="9" t="s">
        <v>20</v>
      </c>
      <c r="O1965" s="6" t="str">
        <f>HYPERLINK("https://pbs.twimg.com/profile_images/962471262747529216/Uo8lOkRJ_normal.jpg","View")</f>
        <v>View</v>
      </c>
      <c r="P1965" s="7"/>
    </row>
    <row r="1966" spans="1:16">
      <c r="A1966" s="3">
        <v>43862.75613425926</v>
      </c>
      <c r="B1966" s="4" t="str">
        <f>HYPERLINK("https://twitter.com/petrogustavo","@petrogustavo")</f>
        <v>@petrogustavo</v>
      </c>
      <c r="C1966" s="5" t="s">
        <v>16</v>
      </c>
      <c r="D1966" s="5" t="s">
        <v>1929</v>
      </c>
      <c r="E1966" s="6" t="str">
        <f>HYPERLINK("https://twitter.com/petrogustavo/status/1223586506499149824","1223586506499149824")</f>
        <v>1223586506499149824</v>
      </c>
      <c r="F1966" s="7" t="s">
        <v>17</v>
      </c>
      <c r="G1966" s="7">
        <v>3624077</v>
      </c>
      <c r="H1966" s="7">
        <v>2354</v>
      </c>
      <c r="I1966" s="7">
        <v>14</v>
      </c>
      <c r="J1966" s="7">
        <v>0</v>
      </c>
      <c r="K1966" s="7" t="s">
        <v>18</v>
      </c>
      <c r="L1966" s="8">
        <v>39987.315405092595</v>
      </c>
      <c r="M1966" s="9" t="s">
        <v>19</v>
      </c>
      <c r="N1966" s="9" t="s">
        <v>20</v>
      </c>
      <c r="O1966" s="6" t="str">
        <f>HYPERLINK("https://pbs.twimg.com/profile_images/962471262747529216/Uo8lOkRJ_normal.jpg","View")</f>
        <v>View</v>
      </c>
      <c r="P1966" s="7"/>
    </row>
    <row r="1967" spans="1:16">
      <c r="A1967" s="3">
        <v>43862.756423611107</v>
      </c>
      <c r="B1967" s="4" t="str">
        <f>HYPERLINK("https://twitter.com/petrogustavo","@petrogustavo")</f>
        <v>@petrogustavo</v>
      </c>
      <c r="C1967" s="5" t="s">
        <v>16</v>
      </c>
      <c r="D1967" s="5" t="s">
        <v>1930</v>
      </c>
      <c r="E1967" s="6" t="str">
        <f>HYPERLINK("https://twitter.com/petrogustavo/status/1223586607586074624","1223586607586074624")</f>
        <v>1223586607586074624</v>
      </c>
      <c r="F1967" s="7" t="s">
        <v>17</v>
      </c>
      <c r="G1967" s="7">
        <v>3624077</v>
      </c>
      <c r="H1967" s="7">
        <v>2354</v>
      </c>
      <c r="I1967" s="7">
        <v>161</v>
      </c>
      <c r="J1967" s="7">
        <v>0</v>
      </c>
      <c r="K1967" s="7" t="s">
        <v>18</v>
      </c>
      <c r="L1967" s="8">
        <v>39987.315405092595</v>
      </c>
      <c r="M1967" s="9" t="s">
        <v>19</v>
      </c>
      <c r="N1967" s="9" t="s">
        <v>20</v>
      </c>
      <c r="O1967" s="6" t="str">
        <f>HYPERLINK("https://pbs.twimg.com/profile_images/962471262747529216/Uo8lOkRJ_normal.jpg","View")</f>
        <v>View</v>
      </c>
      <c r="P1967" s="7"/>
    </row>
    <row r="1968" spans="1:16">
      <c r="A1968" s="3">
        <v>43862.757766203707</v>
      </c>
      <c r="B1968" s="4" t="str">
        <f>HYPERLINK("https://twitter.com/petrogustavo","@petrogustavo")</f>
        <v>@petrogustavo</v>
      </c>
      <c r="C1968" s="5" t="s">
        <v>16</v>
      </c>
      <c r="D1968" s="5" t="s">
        <v>1931</v>
      </c>
      <c r="E1968" s="6" t="str">
        <f>HYPERLINK("https://twitter.com/petrogustavo/status/1223587095438090241","1223587095438090241")</f>
        <v>1223587095438090241</v>
      </c>
      <c r="F1968" s="7" t="s">
        <v>17</v>
      </c>
      <c r="G1968" s="7">
        <v>3624077</v>
      </c>
      <c r="H1968" s="7">
        <v>2354</v>
      </c>
      <c r="I1968" s="7">
        <v>82</v>
      </c>
      <c r="J1968" s="7">
        <v>229</v>
      </c>
      <c r="K1968" s="7" t="s">
        <v>18</v>
      </c>
      <c r="L1968" s="8">
        <v>39987.315405092595</v>
      </c>
      <c r="M1968" s="9" t="s">
        <v>19</v>
      </c>
      <c r="N1968" s="9" t="s">
        <v>20</v>
      </c>
      <c r="O1968" s="6" t="str">
        <f>HYPERLINK("https://pbs.twimg.com/profile_images/962471262747529216/Uo8lOkRJ_normal.jpg","View")</f>
        <v>View</v>
      </c>
      <c r="P1968" s="7"/>
    </row>
    <row r="1969" spans="1:16">
      <c r="A1969" s="3">
        <v>43862.763113425928</v>
      </c>
      <c r="B1969" s="4" t="str">
        <f>HYPERLINK("https://twitter.com/petrogustavo","@petrogustavo")</f>
        <v>@petrogustavo</v>
      </c>
      <c r="C1969" s="5" t="s">
        <v>16</v>
      </c>
      <c r="D1969" s="5" t="s">
        <v>1932</v>
      </c>
      <c r="E1969" s="6" t="str">
        <f>HYPERLINK("https://twitter.com/petrogustavo/status/1223589035228192769","1223589035228192769")</f>
        <v>1223589035228192769</v>
      </c>
      <c r="F1969" s="7" t="s">
        <v>17</v>
      </c>
      <c r="G1969" s="7">
        <v>3624077</v>
      </c>
      <c r="H1969" s="7">
        <v>2354</v>
      </c>
      <c r="I1969" s="7">
        <v>119</v>
      </c>
      <c r="J1969" s="7">
        <v>238</v>
      </c>
      <c r="K1969" s="7" t="s">
        <v>18</v>
      </c>
      <c r="L1969" s="8">
        <v>39987.315405092595</v>
      </c>
      <c r="M1969" s="9" t="s">
        <v>19</v>
      </c>
      <c r="N1969" s="9" t="s">
        <v>20</v>
      </c>
      <c r="O1969" s="6" t="str">
        <f>HYPERLINK("https://pbs.twimg.com/profile_images/962471262747529216/Uo8lOkRJ_normal.jpg","View")</f>
        <v>View</v>
      </c>
      <c r="P1969" s="7"/>
    </row>
    <row r="1970" spans="1:16">
      <c r="A1970" s="3">
        <v>43862.768182870372</v>
      </c>
      <c r="B1970" s="4" t="str">
        <f>HYPERLINK("https://twitter.com/petrogustavo","@petrogustavo")</f>
        <v>@petrogustavo</v>
      </c>
      <c r="C1970" s="5" t="s">
        <v>16</v>
      </c>
      <c r="D1970" s="5" t="s">
        <v>1933</v>
      </c>
      <c r="E1970" s="6" t="str">
        <f>HYPERLINK("https://twitter.com/petrogustavo/status/1223590872937377792","1223590872937377792")</f>
        <v>1223590872937377792</v>
      </c>
      <c r="F1970" s="7" t="s">
        <v>17</v>
      </c>
      <c r="G1970" s="7">
        <v>3624077</v>
      </c>
      <c r="H1970" s="7">
        <v>2354</v>
      </c>
      <c r="I1970" s="7">
        <v>10</v>
      </c>
      <c r="J1970" s="7">
        <v>0</v>
      </c>
      <c r="K1970" s="7" t="s">
        <v>18</v>
      </c>
      <c r="L1970" s="8">
        <v>39987.315405092595</v>
      </c>
      <c r="M1970" s="9" t="s">
        <v>19</v>
      </c>
      <c r="N1970" s="9" t="s">
        <v>20</v>
      </c>
      <c r="O1970" s="6" t="str">
        <f>HYPERLINK("https://pbs.twimg.com/profile_images/962471262747529216/Uo8lOkRJ_normal.jpg","View")</f>
        <v>View</v>
      </c>
      <c r="P1970" s="7"/>
    </row>
    <row r="1971" spans="1:16">
      <c r="A1971" s="3">
        <v>43862.769872685181</v>
      </c>
      <c r="B1971" s="4" t="str">
        <f>HYPERLINK("https://twitter.com/petrogustavo","@petrogustavo")</f>
        <v>@petrogustavo</v>
      </c>
      <c r="C1971" s="5" t="s">
        <v>16</v>
      </c>
      <c r="D1971" s="5" t="s">
        <v>1934</v>
      </c>
      <c r="E1971" s="6" t="str">
        <f>HYPERLINK("https://twitter.com/petrogustavo/status/1223591483174985728","1223591483174985728")</f>
        <v>1223591483174985728</v>
      </c>
      <c r="F1971" s="7" t="s">
        <v>17</v>
      </c>
      <c r="G1971" s="7">
        <v>3624077</v>
      </c>
      <c r="H1971" s="7">
        <v>2354</v>
      </c>
      <c r="I1971" s="7">
        <v>14</v>
      </c>
      <c r="J1971" s="7">
        <v>33</v>
      </c>
      <c r="K1971" s="7" t="s">
        <v>18</v>
      </c>
      <c r="L1971" s="8">
        <v>39987.315405092595</v>
      </c>
      <c r="M1971" s="9" t="s">
        <v>19</v>
      </c>
      <c r="N1971" s="9" t="s">
        <v>20</v>
      </c>
      <c r="O1971" s="6" t="str">
        <f>HYPERLINK("https://pbs.twimg.com/profile_images/962471262747529216/Uo8lOkRJ_normal.jpg","View")</f>
        <v>View</v>
      </c>
      <c r="P1971" s="7"/>
    </row>
    <row r="1972" spans="1:16">
      <c r="A1972" s="3">
        <v>43862.772222222222</v>
      </c>
      <c r="B1972" s="4" t="str">
        <f>HYPERLINK("https://twitter.com/petrogustavo","@petrogustavo")</f>
        <v>@petrogustavo</v>
      </c>
      <c r="C1972" s="5" t="s">
        <v>16</v>
      </c>
      <c r="D1972" s="5" t="s">
        <v>1935</v>
      </c>
      <c r="E1972" s="6" t="str">
        <f>HYPERLINK("https://twitter.com/petrogustavo/status/1223592334509690880","1223592334509690880")</f>
        <v>1223592334509690880</v>
      </c>
      <c r="F1972" s="7" t="s">
        <v>17</v>
      </c>
      <c r="G1972" s="7">
        <v>3624077</v>
      </c>
      <c r="H1972" s="7">
        <v>2354</v>
      </c>
      <c r="I1972" s="7">
        <v>654</v>
      </c>
      <c r="J1972" s="7">
        <v>0</v>
      </c>
      <c r="K1972" s="7" t="s">
        <v>18</v>
      </c>
      <c r="L1972" s="8">
        <v>39987.315405092595</v>
      </c>
      <c r="M1972" s="9" t="s">
        <v>19</v>
      </c>
      <c r="N1972" s="9" t="s">
        <v>20</v>
      </c>
      <c r="O1972" s="6" t="str">
        <f>HYPERLINK("https://pbs.twimg.com/profile_images/962471262747529216/Uo8lOkRJ_normal.jpg","View")</f>
        <v>View</v>
      </c>
      <c r="P1972" s="7"/>
    </row>
    <row r="1973" spans="1:16">
      <c r="A1973" s="3">
        <v>43862.774224537032</v>
      </c>
      <c r="B1973" s="4" t="str">
        <f>HYPERLINK("https://twitter.com/petrogustavo","@petrogustavo")</f>
        <v>@petrogustavo</v>
      </c>
      <c r="C1973" s="5" t="s">
        <v>16</v>
      </c>
      <c r="D1973" s="5" t="s">
        <v>1936</v>
      </c>
      <c r="E1973" s="6" t="str">
        <f>HYPERLINK("https://twitter.com/petrogustavo/status/1223593058635255808","1223593058635255808")</f>
        <v>1223593058635255808</v>
      </c>
      <c r="F1973" s="7" t="s">
        <v>17</v>
      </c>
      <c r="G1973" s="7">
        <v>3624100</v>
      </c>
      <c r="H1973" s="7">
        <v>2354</v>
      </c>
      <c r="I1973" s="7">
        <v>274</v>
      </c>
      <c r="J1973" s="7">
        <v>906</v>
      </c>
      <c r="K1973" s="7" t="s">
        <v>18</v>
      </c>
      <c r="L1973" s="8">
        <v>39987.315405092595</v>
      </c>
      <c r="M1973" s="9" t="s">
        <v>19</v>
      </c>
      <c r="N1973" s="9" t="s">
        <v>20</v>
      </c>
      <c r="O1973" s="6" t="str">
        <f>HYPERLINK("https://pbs.twimg.com/profile_images/962471262747529216/Uo8lOkRJ_normal.jpg","View")</f>
        <v>View</v>
      </c>
      <c r="P1973" s="7"/>
    </row>
    <row r="1974" spans="1:16">
      <c r="A1974" s="3">
        <v>43862.776030092587</v>
      </c>
      <c r="B1974" s="4" t="str">
        <f>HYPERLINK("https://twitter.com/petrogustavo","@petrogustavo")</f>
        <v>@petrogustavo</v>
      </c>
      <c r="C1974" s="5" t="s">
        <v>16</v>
      </c>
      <c r="D1974" s="5" t="s">
        <v>1937</v>
      </c>
      <c r="E1974" s="6" t="str">
        <f>HYPERLINK("https://twitter.com/petrogustavo/status/1223593712565084160","1223593712565084160")</f>
        <v>1223593712565084160</v>
      </c>
      <c r="F1974" s="7" t="s">
        <v>17</v>
      </c>
      <c r="G1974" s="7">
        <v>3624100</v>
      </c>
      <c r="H1974" s="7">
        <v>2354</v>
      </c>
      <c r="I1974" s="7">
        <v>174</v>
      </c>
      <c r="J1974" s="7">
        <v>0</v>
      </c>
      <c r="K1974" s="7" t="s">
        <v>18</v>
      </c>
      <c r="L1974" s="8">
        <v>39987.315405092595</v>
      </c>
      <c r="M1974" s="9" t="s">
        <v>19</v>
      </c>
      <c r="N1974" s="9" t="s">
        <v>20</v>
      </c>
      <c r="O1974" s="6" t="str">
        <f>HYPERLINK("https://pbs.twimg.com/profile_images/962471262747529216/Uo8lOkRJ_normal.jpg","View")</f>
        <v>View</v>
      </c>
      <c r="P1974" s="7"/>
    </row>
    <row r="1975" spans="1:16">
      <c r="A1975" s="3">
        <v>43862.776446759264</v>
      </c>
      <c r="B1975" s="4" t="str">
        <f>HYPERLINK("https://twitter.com/petrogustavo","@petrogustavo")</f>
        <v>@petrogustavo</v>
      </c>
      <c r="C1975" s="5" t="s">
        <v>16</v>
      </c>
      <c r="D1975" s="5" t="s">
        <v>1938</v>
      </c>
      <c r="E1975" s="6" t="str">
        <f>HYPERLINK("https://twitter.com/petrogustavo/status/1223593864692453376","1223593864692453376")</f>
        <v>1223593864692453376</v>
      </c>
      <c r="F1975" s="7" t="s">
        <v>17</v>
      </c>
      <c r="G1975" s="7">
        <v>3624100</v>
      </c>
      <c r="H1975" s="7">
        <v>2354</v>
      </c>
      <c r="I1975" s="7">
        <v>147</v>
      </c>
      <c r="J1975" s="7">
        <v>433</v>
      </c>
      <c r="K1975" s="7" t="s">
        <v>18</v>
      </c>
      <c r="L1975" s="8">
        <v>39987.315405092595</v>
      </c>
      <c r="M1975" s="9" t="s">
        <v>19</v>
      </c>
      <c r="N1975" s="9" t="s">
        <v>20</v>
      </c>
      <c r="O1975" s="6" t="str">
        <f>HYPERLINK("https://pbs.twimg.com/profile_images/962471262747529216/Uo8lOkRJ_normal.jpg","View")</f>
        <v>View</v>
      </c>
      <c r="P1975" s="7"/>
    </row>
    <row r="1976" spans="1:16">
      <c r="A1976" s="3">
        <v>43862.827268518522</v>
      </c>
      <c r="B1976" s="4" t="str">
        <f>HYPERLINK("https://twitter.com/petrogustavo","@petrogustavo")</f>
        <v>@petrogustavo</v>
      </c>
      <c r="C1976" s="5" t="s">
        <v>16</v>
      </c>
      <c r="D1976" s="5" t="s">
        <v>1939</v>
      </c>
      <c r="E1976" s="6" t="str">
        <f>HYPERLINK("https://twitter.com/petrogustavo/status/1223612283877777408","1223612283877777408")</f>
        <v>1223612283877777408</v>
      </c>
      <c r="F1976" s="7" t="s">
        <v>17</v>
      </c>
      <c r="G1976" s="7">
        <v>3624144</v>
      </c>
      <c r="H1976" s="7">
        <v>2354</v>
      </c>
      <c r="I1976" s="7">
        <v>26</v>
      </c>
      <c r="J1976" s="7">
        <v>0</v>
      </c>
      <c r="K1976" s="7" t="s">
        <v>18</v>
      </c>
      <c r="L1976" s="8">
        <v>39987.315405092595</v>
      </c>
      <c r="M1976" s="9" t="s">
        <v>19</v>
      </c>
      <c r="N1976" s="9" t="s">
        <v>20</v>
      </c>
      <c r="O1976" s="6" t="str">
        <f>HYPERLINK("https://pbs.twimg.com/profile_images/962471262747529216/Uo8lOkRJ_normal.jpg","View")</f>
        <v>View</v>
      </c>
      <c r="P1976" s="7"/>
    </row>
    <row r="1977" spans="1:16">
      <c r="A1977" s="3">
        <v>43862.828379629631</v>
      </c>
      <c r="B1977" s="4" t="str">
        <f>HYPERLINK("https://twitter.com/petrogustavo","@petrogustavo")</f>
        <v>@petrogustavo</v>
      </c>
      <c r="C1977" s="5" t="s">
        <v>16</v>
      </c>
      <c r="D1977" s="5" t="s">
        <v>1940</v>
      </c>
      <c r="E1977" s="6" t="str">
        <f>HYPERLINK("https://twitter.com/petrogustavo/status/1223612685222326272","1223612685222326272")</f>
        <v>1223612685222326272</v>
      </c>
      <c r="F1977" s="7" t="s">
        <v>17</v>
      </c>
      <c r="G1977" s="7">
        <v>3624144</v>
      </c>
      <c r="H1977" s="7">
        <v>2354</v>
      </c>
      <c r="I1977" s="7">
        <v>26</v>
      </c>
      <c r="J1977" s="7">
        <v>0</v>
      </c>
      <c r="K1977" s="7" t="s">
        <v>18</v>
      </c>
      <c r="L1977" s="8">
        <v>39987.315405092595</v>
      </c>
      <c r="M1977" s="9" t="s">
        <v>19</v>
      </c>
      <c r="N1977" s="9" t="s">
        <v>20</v>
      </c>
      <c r="O1977" s="6" t="str">
        <f>HYPERLINK("https://pbs.twimg.com/profile_images/962471262747529216/Uo8lOkRJ_normal.jpg","View")</f>
        <v>View</v>
      </c>
      <c r="P1977" s="7"/>
    </row>
    <row r="1978" spans="1:16">
      <c r="A1978" s="3">
        <v>43862.830879629633</v>
      </c>
      <c r="B1978" s="4" t="str">
        <f>HYPERLINK("https://twitter.com/petrogustavo","@petrogustavo")</f>
        <v>@petrogustavo</v>
      </c>
      <c r="C1978" s="5" t="s">
        <v>16</v>
      </c>
      <c r="D1978" s="5" t="s">
        <v>1941</v>
      </c>
      <c r="E1978" s="6" t="str">
        <f>HYPERLINK("https://twitter.com/petrogustavo/status/1223613590441283584","1223613590441283584")</f>
        <v>1223613590441283584</v>
      </c>
      <c r="F1978" s="7" t="s">
        <v>17</v>
      </c>
      <c r="G1978" s="7">
        <v>3624144</v>
      </c>
      <c r="H1978" s="7">
        <v>2354</v>
      </c>
      <c r="I1978" s="7">
        <v>162</v>
      </c>
      <c r="J1978" s="7">
        <v>524</v>
      </c>
      <c r="K1978" s="7" t="s">
        <v>18</v>
      </c>
      <c r="L1978" s="8">
        <v>39987.315405092595</v>
      </c>
      <c r="M1978" s="9" t="s">
        <v>19</v>
      </c>
      <c r="N1978" s="9" t="s">
        <v>20</v>
      </c>
      <c r="O1978" s="6" t="str">
        <f>HYPERLINK("https://pbs.twimg.com/profile_images/962471262747529216/Uo8lOkRJ_normal.jpg","View")</f>
        <v>View</v>
      </c>
      <c r="P1978" s="7"/>
    </row>
    <row r="1979" spans="1:16">
      <c r="A1979" s="3">
        <v>43862.834502314814</v>
      </c>
      <c r="B1979" s="4" t="str">
        <f>HYPERLINK("https://twitter.com/petrogustavo","@petrogustavo")</f>
        <v>@petrogustavo</v>
      </c>
      <c r="C1979" s="5" t="s">
        <v>16</v>
      </c>
      <c r="D1979" s="5" t="s">
        <v>1942</v>
      </c>
      <c r="E1979" s="6" t="str">
        <f>HYPERLINK("https://twitter.com/petrogustavo/status/1223614905548517376","1223614905548517376")</f>
        <v>1223614905548517376</v>
      </c>
      <c r="F1979" s="7" t="s">
        <v>17</v>
      </c>
      <c r="G1979" s="7">
        <v>3624144</v>
      </c>
      <c r="H1979" s="7">
        <v>2354</v>
      </c>
      <c r="I1979" s="7">
        <v>104</v>
      </c>
      <c r="J1979" s="7">
        <v>0</v>
      </c>
      <c r="K1979" s="7" t="s">
        <v>18</v>
      </c>
      <c r="L1979" s="8">
        <v>39987.315405092595</v>
      </c>
      <c r="M1979" s="9" t="s">
        <v>19</v>
      </c>
      <c r="N1979" s="9" t="s">
        <v>20</v>
      </c>
      <c r="O1979" s="6" t="str">
        <f>HYPERLINK("https://pbs.twimg.com/profile_images/962471262747529216/Uo8lOkRJ_normal.jpg","View")</f>
        <v>View</v>
      </c>
      <c r="P1979" s="7"/>
    </row>
    <row r="1980" spans="1:16">
      <c r="A1980" s="3">
        <v>43862.834722222222</v>
      </c>
      <c r="B1980" s="4" t="str">
        <f>HYPERLINK("https://twitter.com/petrogustavo","@petrogustavo")</f>
        <v>@petrogustavo</v>
      </c>
      <c r="C1980" s="5" t="s">
        <v>16</v>
      </c>
      <c r="D1980" s="5" t="s">
        <v>1943</v>
      </c>
      <c r="E1980" s="6" t="str">
        <f>HYPERLINK("https://twitter.com/petrogustavo/status/1223614984493682693","1223614984493682693")</f>
        <v>1223614984493682693</v>
      </c>
      <c r="F1980" s="7" t="s">
        <v>17</v>
      </c>
      <c r="G1980" s="7">
        <v>3624144</v>
      </c>
      <c r="H1980" s="7">
        <v>2354</v>
      </c>
      <c r="I1980" s="7">
        <v>687</v>
      </c>
      <c r="J1980" s="7">
        <v>0</v>
      </c>
      <c r="K1980" s="7" t="s">
        <v>18</v>
      </c>
      <c r="L1980" s="8">
        <v>39987.315405092595</v>
      </c>
      <c r="M1980" s="9" t="s">
        <v>19</v>
      </c>
      <c r="N1980" s="9" t="s">
        <v>20</v>
      </c>
      <c r="O1980" s="6" t="str">
        <f>HYPERLINK("https://pbs.twimg.com/profile_images/962471262747529216/Uo8lOkRJ_normal.jpg","View")</f>
        <v>View</v>
      </c>
      <c r="P1980" s="7"/>
    </row>
    <row r="1981" spans="1:16">
      <c r="A1981" s="3">
        <v>43862.836134259254</v>
      </c>
      <c r="B1981" s="4" t="str">
        <f>HYPERLINK("https://twitter.com/petrogustavo","@petrogustavo")</f>
        <v>@petrogustavo</v>
      </c>
      <c r="C1981" s="5" t="s">
        <v>16</v>
      </c>
      <c r="D1981" s="5" t="s">
        <v>1944</v>
      </c>
      <c r="E1981" s="6" t="str">
        <f>HYPERLINK("https://twitter.com/petrogustavo/status/1223615495414349827","1223615495414349827")</f>
        <v>1223615495414349827</v>
      </c>
      <c r="F1981" s="7" t="s">
        <v>17</v>
      </c>
      <c r="G1981" s="7">
        <v>3624170</v>
      </c>
      <c r="H1981" s="7">
        <v>2354</v>
      </c>
      <c r="I1981" s="7">
        <v>114</v>
      </c>
      <c r="J1981" s="7">
        <v>0</v>
      </c>
      <c r="K1981" s="7" t="s">
        <v>18</v>
      </c>
      <c r="L1981" s="8">
        <v>39987.315405092595</v>
      </c>
      <c r="M1981" s="9" t="s">
        <v>19</v>
      </c>
      <c r="N1981" s="9" t="s">
        <v>20</v>
      </c>
      <c r="O1981" s="6" t="str">
        <f>HYPERLINK("https://pbs.twimg.com/profile_images/962471262747529216/Uo8lOkRJ_normal.jpg","View")</f>
        <v>View</v>
      </c>
      <c r="P1981" s="7"/>
    </row>
    <row r="1982" spans="1:16">
      <c r="A1982" s="3">
        <v>43862.838854166665</v>
      </c>
      <c r="B1982" s="4" t="str">
        <f>HYPERLINK("https://twitter.com/petrogustavo","@petrogustavo")</f>
        <v>@petrogustavo</v>
      </c>
      <c r="C1982" s="5" t="s">
        <v>16</v>
      </c>
      <c r="D1982" s="5" t="s">
        <v>1945</v>
      </c>
      <c r="E1982" s="6" t="str">
        <f>HYPERLINK("https://twitter.com/petrogustavo/status/1223616481419722752","1223616481419722752")</f>
        <v>1223616481419722752</v>
      </c>
      <c r="F1982" s="7" t="s">
        <v>17</v>
      </c>
      <c r="G1982" s="7">
        <v>3624170</v>
      </c>
      <c r="H1982" s="7">
        <v>2354</v>
      </c>
      <c r="I1982" s="7">
        <v>118</v>
      </c>
      <c r="J1982" s="7">
        <v>241</v>
      </c>
      <c r="K1982" s="7" t="s">
        <v>18</v>
      </c>
      <c r="L1982" s="8">
        <v>39987.315405092595</v>
      </c>
      <c r="M1982" s="9" t="s">
        <v>19</v>
      </c>
      <c r="N1982" s="9" t="s">
        <v>20</v>
      </c>
      <c r="O1982" s="6" t="str">
        <f>HYPERLINK("https://pbs.twimg.com/profile_images/962471262747529216/Uo8lOkRJ_normal.jpg","View")</f>
        <v>View</v>
      </c>
      <c r="P1982" s="7"/>
    </row>
    <row r="1983" spans="1:16">
      <c r="A1983" s="3">
        <v>43862.866342592592</v>
      </c>
      <c r="B1983" s="4" t="str">
        <f>HYPERLINK("https://twitter.com/petrogustavo","@petrogustavo")</f>
        <v>@petrogustavo</v>
      </c>
      <c r="C1983" s="5" t="s">
        <v>16</v>
      </c>
      <c r="D1983" s="5" t="s">
        <v>1946</v>
      </c>
      <c r="E1983" s="6" t="str">
        <f>HYPERLINK("https://twitter.com/petrogustavo/status/1223626442631761922","1223626442631761922")</f>
        <v>1223626442631761922</v>
      </c>
      <c r="F1983" s="7" t="s">
        <v>17</v>
      </c>
      <c r="G1983" s="7">
        <v>3624203</v>
      </c>
      <c r="H1983" s="7">
        <v>2354</v>
      </c>
      <c r="I1983" s="7">
        <v>47</v>
      </c>
      <c r="J1983" s="7">
        <v>0</v>
      </c>
      <c r="K1983" s="7" t="s">
        <v>18</v>
      </c>
      <c r="L1983" s="8">
        <v>39987.315405092595</v>
      </c>
      <c r="M1983" s="9" t="s">
        <v>19</v>
      </c>
      <c r="N1983" s="9" t="s">
        <v>20</v>
      </c>
      <c r="O1983" s="6" t="str">
        <f>HYPERLINK("https://pbs.twimg.com/profile_images/962471262747529216/Uo8lOkRJ_normal.jpg","View")</f>
        <v>View</v>
      </c>
      <c r="P1983" s="7"/>
    </row>
    <row r="1984" spans="1:16">
      <c r="A1984" s="3">
        <v>43862.869629629626</v>
      </c>
      <c r="B1984" s="4" t="str">
        <f>HYPERLINK("https://twitter.com/petrogustavo","@petrogustavo")</f>
        <v>@petrogustavo</v>
      </c>
      <c r="C1984" s="5" t="s">
        <v>16</v>
      </c>
      <c r="D1984" s="5" t="s">
        <v>1947</v>
      </c>
      <c r="E1984" s="6" t="str">
        <f>HYPERLINK("https://twitter.com/petrogustavo/status/1223627634187362305","1223627634187362305")</f>
        <v>1223627634187362305</v>
      </c>
      <c r="F1984" s="7" t="s">
        <v>17</v>
      </c>
      <c r="G1984" s="7">
        <v>3624203</v>
      </c>
      <c r="H1984" s="7">
        <v>2354</v>
      </c>
      <c r="I1984" s="7">
        <v>57</v>
      </c>
      <c r="J1984" s="7">
        <v>254</v>
      </c>
      <c r="K1984" s="7" t="s">
        <v>18</v>
      </c>
      <c r="L1984" s="8">
        <v>39987.315405092595</v>
      </c>
      <c r="M1984" s="9" t="s">
        <v>19</v>
      </c>
      <c r="N1984" s="9" t="s">
        <v>20</v>
      </c>
      <c r="O1984" s="6" t="str">
        <f>HYPERLINK("https://pbs.twimg.com/profile_images/962471262747529216/Uo8lOkRJ_normal.jpg","View")</f>
        <v>View</v>
      </c>
      <c r="P1984" s="7"/>
    </row>
    <row r="1985" spans="1:16">
      <c r="A1985" s="3">
        <v>43862.87118055555</v>
      </c>
      <c r="B1985" s="4" t="str">
        <f>HYPERLINK("https://twitter.com/petrogustavo","@petrogustavo")</f>
        <v>@petrogustavo</v>
      </c>
      <c r="C1985" s="5" t="s">
        <v>16</v>
      </c>
      <c r="D1985" s="5" t="s">
        <v>1948</v>
      </c>
      <c r="E1985" s="6" t="str">
        <f>HYPERLINK("https://twitter.com/petrogustavo/status/1223628197075357696","1223628197075357696")</f>
        <v>1223628197075357696</v>
      </c>
      <c r="F1985" s="7" t="s">
        <v>17</v>
      </c>
      <c r="G1985" s="7">
        <v>3624203</v>
      </c>
      <c r="H1985" s="7">
        <v>2354</v>
      </c>
      <c r="I1985" s="7">
        <v>15</v>
      </c>
      <c r="J1985" s="7">
        <v>52</v>
      </c>
      <c r="K1985" s="7" t="s">
        <v>18</v>
      </c>
      <c r="L1985" s="8">
        <v>39987.315405092595</v>
      </c>
      <c r="M1985" s="9" t="s">
        <v>19</v>
      </c>
      <c r="N1985" s="9" t="s">
        <v>20</v>
      </c>
      <c r="O1985" s="6" t="str">
        <f>HYPERLINK("https://pbs.twimg.com/profile_images/962471262747529216/Uo8lOkRJ_normal.jpg","View")</f>
        <v>View</v>
      </c>
      <c r="P1985" s="7"/>
    </row>
    <row r="1986" spans="1:16">
      <c r="A1986" s="3">
        <v>43862.878611111111</v>
      </c>
      <c r="B1986" s="4" t="str">
        <f>HYPERLINK("https://twitter.com/petrogustavo","@petrogustavo")</f>
        <v>@petrogustavo</v>
      </c>
      <c r="C1986" s="5" t="s">
        <v>16</v>
      </c>
      <c r="D1986" s="5" t="s">
        <v>1949</v>
      </c>
      <c r="E1986" s="6" t="str">
        <f>HYPERLINK("https://twitter.com/petrogustavo/status/1223630890451992583","1223630890451992583")</f>
        <v>1223630890451992583</v>
      </c>
      <c r="F1986" s="7" t="s">
        <v>17</v>
      </c>
      <c r="G1986" s="7">
        <v>3624204</v>
      </c>
      <c r="H1986" s="7">
        <v>2354</v>
      </c>
      <c r="I1986" s="7">
        <v>45</v>
      </c>
      <c r="J1986" s="7">
        <v>83</v>
      </c>
      <c r="K1986" s="7" t="s">
        <v>18</v>
      </c>
      <c r="L1986" s="8">
        <v>39987.315405092595</v>
      </c>
      <c r="M1986" s="9" t="s">
        <v>19</v>
      </c>
      <c r="N1986" s="9" t="s">
        <v>20</v>
      </c>
      <c r="O1986" s="6" t="str">
        <f>HYPERLINK("https://pbs.twimg.com/profile_images/962471262747529216/Uo8lOkRJ_normal.jpg","View")</f>
        <v>View</v>
      </c>
      <c r="P1986" s="7"/>
    </row>
    <row r="1987" spans="1:16">
      <c r="A1987" s="3">
        <v>43862.878784722227</v>
      </c>
      <c r="B1987" s="4" t="str">
        <f>HYPERLINK("https://twitter.com/petrogustavo","@petrogustavo")</f>
        <v>@petrogustavo</v>
      </c>
      <c r="C1987" s="5" t="s">
        <v>16</v>
      </c>
      <c r="D1987" s="5" t="s">
        <v>1950</v>
      </c>
      <c r="E1987" s="6" t="str">
        <f>HYPERLINK("https://twitter.com/petrogustavo/status/1223630952255148033","1223630952255148033")</f>
        <v>1223630952255148033</v>
      </c>
      <c r="F1987" s="7" t="s">
        <v>17</v>
      </c>
      <c r="G1987" s="7">
        <v>3624204</v>
      </c>
      <c r="H1987" s="7">
        <v>2354</v>
      </c>
      <c r="I1987" s="7">
        <v>24</v>
      </c>
      <c r="J1987" s="7">
        <v>0</v>
      </c>
      <c r="K1987" s="7" t="s">
        <v>18</v>
      </c>
      <c r="L1987" s="8">
        <v>39987.315405092595</v>
      </c>
      <c r="M1987" s="9" t="s">
        <v>19</v>
      </c>
      <c r="N1987" s="9" t="s">
        <v>20</v>
      </c>
      <c r="O1987" s="6" t="str">
        <f>HYPERLINK("https://pbs.twimg.com/profile_images/962471262747529216/Uo8lOkRJ_normal.jpg","View")</f>
        <v>View</v>
      </c>
      <c r="P1987" s="7"/>
    </row>
    <row r="1988" spans="1:16">
      <c r="A1988" s="3">
        <v>43862.878969907411</v>
      </c>
      <c r="B1988" s="4" t="str">
        <f>HYPERLINK("https://twitter.com/petrogustavo","@petrogustavo")</f>
        <v>@petrogustavo</v>
      </c>
      <c r="C1988" s="5" t="s">
        <v>16</v>
      </c>
      <c r="D1988" s="5" t="s">
        <v>1951</v>
      </c>
      <c r="E1988" s="6" t="str">
        <f>HYPERLINK("https://twitter.com/petrogustavo/status/1223631019695362048","1223631019695362048")</f>
        <v>1223631019695362048</v>
      </c>
      <c r="F1988" s="7" t="s">
        <v>17</v>
      </c>
      <c r="G1988" s="7">
        <v>3624204</v>
      </c>
      <c r="H1988" s="7">
        <v>2354</v>
      </c>
      <c r="I1988" s="7">
        <v>45</v>
      </c>
      <c r="J1988" s="7">
        <v>0</v>
      </c>
      <c r="K1988" s="7" t="s">
        <v>18</v>
      </c>
      <c r="L1988" s="8">
        <v>39987.315405092595</v>
      </c>
      <c r="M1988" s="9" t="s">
        <v>19</v>
      </c>
      <c r="N1988" s="9" t="s">
        <v>20</v>
      </c>
      <c r="O1988" s="6" t="str">
        <f>HYPERLINK("https://pbs.twimg.com/profile_images/962471262747529216/Uo8lOkRJ_normal.jpg","View")</f>
        <v>View</v>
      </c>
      <c r="P1988" s="7"/>
    </row>
    <row r="1989" spans="1:16">
      <c r="A1989" s="3">
        <v>43862.880659722221</v>
      </c>
      <c r="B1989" s="4" t="str">
        <f>HYPERLINK("https://twitter.com/petrogustavo","@petrogustavo")</f>
        <v>@petrogustavo</v>
      </c>
      <c r="C1989" s="5" t="s">
        <v>16</v>
      </c>
      <c r="D1989" s="5" t="s">
        <v>1952</v>
      </c>
      <c r="E1989" s="6" t="str">
        <f>HYPERLINK("https://twitter.com/petrogustavo/status/1223631629660446723","1223631629660446723")</f>
        <v>1223631629660446723</v>
      </c>
      <c r="F1989" s="7" t="s">
        <v>17</v>
      </c>
      <c r="G1989" s="7">
        <v>3624204</v>
      </c>
      <c r="H1989" s="7">
        <v>2354</v>
      </c>
      <c r="I1989" s="7">
        <v>1168</v>
      </c>
      <c r="J1989" s="7">
        <v>0</v>
      </c>
      <c r="K1989" s="7" t="s">
        <v>18</v>
      </c>
      <c r="L1989" s="8">
        <v>39987.315405092595</v>
      </c>
      <c r="M1989" s="9" t="s">
        <v>19</v>
      </c>
      <c r="N1989" s="9" t="s">
        <v>20</v>
      </c>
      <c r="O1989" s="6" t="str">
        <f>HYPERLINK("https://pbs.twimg.com/profile_images/962471262747529216/Uo8lOkRJ_normal.jpg","View")</f>
        <v>View</v>
      </c>
      <c r="P1989" s="7"/>
    </row>
    <row r="1990" spans="1:16">
      <c r="A1990" s="3">
        <v>43862.883287037039</v>
      </c>
      <c r="B1990" s="4" t="str">
        <f>HYPERLINK("https://twitter.com/petrogustavo","@petrogustavo")</f>
        <v>@petrogustavo</v>
      </c>
      <c r="C1990" s="5" t="s">
        <v>16</v>
      </c>
      <c r="D1990" s="5" t="s">
        <v>1953</v>
      </c>
      <c r="E1990" s="6" t="str">
        <f>HYPERLINK("https://twitter.com/petrogustavo/status/1223632582052630538","1223632582052630538")</f>
        <v>1223632582052630538</v>
      </c>
      <c r="F1990" s="7" t="s">
        <v>17</v>
      </c>
      <c r="G1990" s="7">
        <v>3624204</v>
      </c>
      <c r="H1990" s="7">
        <v>2354</v>
      </c>
      <c r="I1990" s="7">
        <v>23</v>
      </c>
      <c r="J1990" s="7">
        <v>110</v>
      </c>
      <c r="K1990" s="7" t="s">
        <v>18</v>
      </c>
      <c r="L1990" s="8">
        <v>39987.315405092595</v>
      </c>
      <c r="M1990" s="9" t="s">
        <v>19</v>
      </c>
      <c r="N1990" s="9" t="s">
        <v>20</v>
      </c>
      <c r="O1990" s="6" t="str">
        <f>HYPERLINK("https://pbs.twimg.com/profile_images/962471262747529216/Uo8lOkRJ_normal.jpg","View")</f>
        <v>View</v>
      </c>
      <c r="P1990" s="7"/>
    </row>
    <row r="1991" spans="1:16">
      <c r="A1991" s="3">
        <v>43862.885196759264</v>
      </c>
      <c r="B1991" s="4" t="str">
        <f>HYPERLINK("https://twitter.com/petrogustavo","@petrogustavo")</f>
        <v>@petrogustavo</v>
      </c>
      <c r="C1991" s="5" t="s">
        <v>16</v>
      </c>
      <c r="D1991" s="5" t="s">
        <v>1954</v>
      </c>
      <c r="E1991" s="6" t="str">
        <f>HYPERLINK("https://twitter.com/petrogustavo/status/1223633274058297344","1223633274058297344")</f>
        <v>1223633274058297344</v>
      </c>
      <c r="F1991" s="7" t="s">
        <v>17</v>
      </c>
      <c r="G1991" s="7">
        <v>3624204</v>
      </c>
      <c r="H1991" s="7">
        <v>2354</v>
      </c>
      <c r="I1991" s="7">
        <v>38</v>
      </c>
      <c r="J1991" s="7">
        <v>152</v>
      </c>
      <c r="K1991" s="7" t="s">
        <v>18</v>
      </c>
      <c r="L1991" s="8">
        <v>39987.315405092595</v>
      </c>
      <c r="M1991" s="9" t="s">
        <v>19</v>
      </c>
      <c r="N1991" s="9" t="s">
        <v>20</v>
      </c>
      <c r="O1991" s="6" t="str">
        <f>HYPERLINK("https://pbs.twimg.com/profile_images/962471262747529216/Uo8lOkRJ_normal.jpg","View")</f>
        <v>View</v>
      </c>
      <c r="P1991" s="7"/>
    </row>
    <row r="1992" spans="1:16">
      <c r="A1992" s="3">
        <v>43862.887256944443</v>
      </c>
      <c r="B1992" s="4" t="str">
        <f>HYPERLINK("https://twitter.com/petrogustavo","@petrogustavo")</f>
        <v>@petrogustavo</v>
      </c>
      <c r="C1992" s="5" t="s">
        <v>16</v>
      </c>
      <c r="D1992" s="5" t="s">
        <v>1955</v>
      </c>
      <c r="E1992" s="6" t="str">
        <f>HYPERLINK("https://twitter.com/petrogustavo/status/1223634022636642304","1223634022636642304")</f>
        <v>1223634022636642304</v>
      </c>
      <c r="F1992" s="7" t="s">
        <v>17</v>
      </c>
      <c r="G1992" s="7">
        <v>3624204</v>
      </c>
      <c r="H1992" s="7">
        <v>2354</v>
      </c>
      <c r="I1992" s="7">
        <v>159</v>
      </c>
      <c r="J1992" s="7">
        <v>815</v>
      </c>
      <c r="K1992" s="7" t="s">
        <v>18</v>
      </c>
      <c r="L1992" s="8">
        <v>39987.315405092595</v>
      </c>
      <c r="M1992" s="9" t="s">
        <v>19</v>
      </c>
      <c r="N1992" s="9" t="s">
        <v>20</v>
      </c>
      <c r="O1992" s="6" t="str">
        <f>HYPERLINK("https://pbs.twimg.com/profile_images/962471262747529216/Uo8lOkRJ_normal.jpg","View")</f>
        <v>View</v>
      </c>
      <c r="P1992" s="7"/>
    </row>
    <row r="1993" spans="1:16">
      <c r="A1993" s="3">
        <v>43862.891909722224</v>
      </c>
      <c r="B1993" s="4" t="str">
        <f>HYPERLINK("https://twitter.com/petrogustavo","@petrogustavo")</f>
        <v>@petrogustavo</v>
      </c>
      <c r="C1993" s="5" t="s">
        <v>16</v>
      </c>
      <c r="D1993" s="5" t="s">
        <v>1956</v>
      </c>
      <c r="E1993" s="6" t="str">
        <f>HYPERLINK("https://twitter.com/petrogustavo/status/1223635706079252480","1223635706079252480")</f>
        <v>1223635706079252480</v>
      </c>
      <c r="F1993" s="7" t="s">
        <v>17</v>
      </c>
      <c r="G1993" s="7">
        <v>3624204</v>
      </c>
      <c r="H1993" s="7">
        <v>2354</v>
      </c>
      <c r="I1993" s="7">
        <v>15</v>
      </c>
      <c r="J1993" s="7">
        <v>57</v>
      </c>
      <c r="K1993" s="7" t="s">
        <v>18</v>
      </c>
      <c r="L1993" s="8">
        <v>39987.315405092595</v>
      </c>
      <c r="M1993" s="9" t="s">
        <v>19</v>
      </c>
      <c r="N1993" s="9" t="s">
        <v>20</v>
      </c>
      <c r="O1993" s="6" t="str">
        <f>HYPERLINK("https://pbs.twimg.com/profile_images/962471262747529216/Uo8lOkRJ_normal.jpg","View")</f>
        <v>View</v>
      </c>
      <c r="P1993" s="7"/>
    </row>
    <row r="1994" spans="1:16">
      <c r="A1994" s="3">
        <v>43862.89775462963</v>
      </c>
      <c r="B1994" s="4" t="str">
        <f>HYPERLINK("https://twitter.com/petrogustavo","@petrogustavo")</f>
        <v>@petrogustavo</v>
      </c>
      <c r="C1994" s="5" t="s">
        <v>16</v>
      </c>
      <c r="D1994" s="5" t="s">
        <v>1957</v>
      </c>
      <c r="E1994" s="6" t="str">
        <f>HYPERLINK("https://twitter.com/petrogustavo/status/1223637824286662659","1223637824286662659")</f>
        <v>1223637824286662659</v>
      </c>
      <c r="F1994" s="7" t="s">
        <v>17</v>
      </c>
      <c r="G1994" s="7">
        <v>3624204</v>
      </c>
      <c r="H1994" s="7">
        <v>2354</v>
      </c>
      <c r="I1994" s="7">
        <v>3</v>
      </c>
      <c r="J1994" s="7">
        <v>0</v>
      </c>
      <c r="K1994" s="7" t="s">
        <v>18</v>
      </c>
      <c r="L1994" s="8">
        <v>39987.315405092595</v>
      </c>
      <c r="M1994" s="9" t="s">
        <v>19</v>
      </c>
      <c r="N1994" s="9" t="s">
        <v>20</v>
      </c>
      <c r="O1994" s="6" t="str">
        <f>HYPERLINK("https://pbs.twimg.com/profile_images/962471262747529216/Uo8lOkRJ_normal.jpg","View")</f>
        <v>View</v>
      </c>
      <c r="P1994" s="7"/>
    </row>
    <row r="1995" spans="1:16">
      <c r="A1995" s="3">
        <v>43862.898125</v>
      </c>
      <c r="B1995" s="4" t="str">
        <f>HYPERLINK("https://twitter.com/petrogustavo","@petrogustavo")</f>
        <v>@petrogustavo</v>
      </c>
      <c r="C1995" s="5" t="s">
        <v>16</v>
      </c>
      <c r="D1995" s="5" t="s">
        <v>1958</v>
      </c>
      <c r="E1995" s="6" t="str">
        <f>HYPERLINK("https://twitter.com/petrogustavo/status/1223637961260048386","1223637961260048386")</f>
        <v>1223637961260048386</v>
      </c>
      <c r="F1995" s="7" t="s">
        <v>17</v>
      </c>
      <c r="G1995" s="7">
        <v>3624222</v>
      </c>
      <c r="H1995" s="7">
        <v>2354</v>
      </c>
      <c r="I1995" s="7">
        <v>21</v>
      </c>
      <c r="J1995" s="7">
        <v>88</v>
      </c>
      <c r="K1995" s="7" t="s">
        <v>18</v>
      </c>
      <c r="L1995" s="8">
        <v>39987.315405092595</v>
      </c>
      <c r="M1995" s="9" t="s">
        <v>19</v>
      </c>
      <c r="N1995" s="9" t="s">
        <v>20</v>
      </c>
      <c r="O1995" s="6" t="str">
        <f>HYPERLINK("https://pbs.twimg.com/profile_images/962471262747529216/Uo8lOkRJ_normal.jpg","View")</f>
        <v>View</v>
      </c>
      <c r="P1995" s="7"/>
    </row>
    <row r="1996" spans="1:16">
      <c r="A1996" s="3">
        <v>43862.901631944449</v>
      </c>
      <c r="B1996" s="4" t="str">
        <f>HYPERLINK("https://twitter.com/petrogustavo","@petrogustavo")</f>
        <v>@petrogustavo</v>
      </c>
      <c r="C1996" s="5" t="s">
        <v>16</v>
      </c>
      <c r="D1996" s="5" t="s">
        <v>1959</v>
      </c>
      <c r="E1996" s="6" t="str">
        <f>HYPERLINK("https://twitter.com/petrogustavo/status/1223639229630156800","1223639229630156800")</f>
        <v>1223639229630156800</v>
      </c>
      <c r="F1996" s="7" t="s">
        <v>17</v>
      </c>
      <c r="G1996" s="7">
        <v>3624222</v>
      </c>
      <c r="H1996" s="7">
        <v>2354</v>
      </c>
      <c r="I1996" s="7">
        <v>56</v>
      </c>
      <c r="J1996" s="7">
        <v>194</v>
      </c>
      <c r="K1996" s="7" t="s">
        <v>18</v>
      </c>
      <c r="L1996" s="8">
        <v>39987.315405092595</v>
      </c>
      <c r="M1996" s="9" t="s">
        <v>19</v>
      </c>
      <c r="N1996" s="9" t="s">
        <v>20</v>
      </c>
      <c r="O1996" s="6" t="str">
        <f>HYPERLINK("https://pbs.twimg.com/profile_images/962471262747529216/Uo8lOkRJ_normal.jpg","View")</f>
        <v>View</v>
      </c>
      <c r="P1996" s="7"/>
    </row>
    <row r="1997" spans="1:16">
      <c r="A1997" s="3">
        <v>43862.904120370367</v>
      </c>
      <c r="B1997" s="4" t="str">
        <f>HYPERLINK("https://twitter.com/petrogustavo","@petrogustavo")</f>
        <v>@petrogustavo</v>
      </c>
      <c r="C1997" s="5" t="s">
        <v>16</v>
      </c>
      <c r="D1997" s="5" t="s">
        <v>1960</v>
      </c>
      <c r="E1997" s="6" t="str">
        <f>HYPERLINK("https://twitter.com/petrogustavo/status/1223640132814876673","1223640132814876673")</f>
        <v>1223640132814876673</v>
      </c>
      <c r="F1997" s="7" t="s">
        <v>17</v>
      </c>
      <c r="G1997" s="7">
        <v>3624222</v>
      </c>
      <c r="H1997" s="7">
        <v>2354</v>
      </c>
      <c r="I1997" s="7">
        <v>38</v>
      </c>
      <c r="J1997" s="7">
        <v>123</v>
      </c>
      <c r="K1997" s="7" t="s">
        <v>18</v>
      </c>
      <c r="L1997" s="8">
        <v>39987.315405092595</v>
      </c>
      <c r="M1997" s="9" t="s">
        <v>19</v>
      </c>
      <c r="N1997" s="9" t="s">
        <v>20</v>
      </c>
      <c r="O1997" s="6" t="str">
        <f>HYPERLINK("https://pbs.twimg.com/profile_images/962471262747529216/Uo8lOkRJ_normal.jpg","View")</f>
        <v>View</v>
      </c>
      <c r="P1997" s="7"/>
    </row>
    <row r="1998" spans="1:16">
      <c r="A1998" s="3">
        <v>43862.912291666667</v>
      </c>
      <c r="B1998" s="4" t="str">
        <f>HYPERLINK("https://twitter.com/petrogustavo","@petrogustavo")</f>
        <v>@petrogustavo</v>
      </c>
      <c r="C1998" s="5" t="s">
        <v>16</v>
      </c>
      <c r="D1998" s="5" t="s">
        <v>1961</v>
      </c>
      <c r="E1998" s="6" t="str">
        <f>HYPERLINK("https://twitter.com/petrogustavo/status/1223643093313957889","1223643093313957889")</f>
        <v>1223643093313957889</v>
      </c>
      <c r="F1998" s="7" t="s">
        <v>17</v>
      </c>
      <c r="G1998" s="7">
        <v>3624222</v>
      </c>
      <c r="H1998" s="7">
        <v>2354</v>
      </c>
      <c r="I1998" s="7">
        <v>48</v>
      </c>
      <c r="J1998" s="7">
        <v>0</v>
      </c>
      <c r="K1998" s="7" t="s">
        <v>18</v>
      </c>
      <c r="L1998" s="8">
        <v>39987.315405092595</v>
      </c>
      <c r="M1998" s="9" t="s">
        <v>19</v>
      </c>
      <c r="N1998" s="9" t="s">
        <v>20</v>
      </c>
      <c r="O1998" s="6" t="str">
        <f>HYPERLINK("https://pbs.twimg.com/profile_images/962471262747529216/Uo8lOkRJ_normal.jpg","View")</f>
        <v>View</v>
      </c>
      <c r="P1998" s="7"/>
    </row>
    <row r="1999" spans="1:16">
      <c r="A1999" s="3">
        <v>43862.927754629629</v>
      </c>
      <c r="B1999" s="4" t="str">
        <f>HYPERLINK("https://twitter.com/petrogustavo","@petrogustavo")</f>
        <v>@petrogustavo</v>
      </c>
      <c r="C1999" s="5" t="s">
        <v>16</v>
      </c>
      <c r="D1999" s="5" t="s">
        <v>1962</v>
      </c>
      <c r="E1999" s="6" t="str">
        <f>HYPERLINK("https://twitter.com/petrogustavo/status/1223648698787418112","1223648698787418112")</f>
        <v>1223648698787418112</v>
      </c>
      <c r="F1999" s="7" t="s">
        <v>17</v>
      </c>
      <c r="G1999" s="7">
        <v>3624246</v>
      </c>
      <c r="H1999" s="7">
        <v>2354</v>
      </c>
      <c r="I1999" s="7">
        <v>67</v>
      </c>
      <c r="J1999" s="7">
        <v>256</v>
      </c>
      <c r="K1999" s="7" t="s">
        <v>18</v>
      </c>
      <c r="L1999" s="8">
        <v>39987.315405092595</v>
      </c>
      <c r="M1999" s="9" t="s">
        <v>19</v>
      </c>
      <c r="N1999" s="9" t="s">
        <v>20</v>
      </c>
      <c r="O1999" s="6" t="str">
        <f>HYPERLINK("https://pbs.twimg.com/profile_images/962471262747529216/Uo8lOkRJ_normal.jpg","View")</f>
        <v>View</v>
      </c>
      <c r="P1999" s="7"/>
    </row>
    <row r="2000" spans="1:16">
      <c r="A2000" s="3">
        <v>43862.930486111116</v>
      </c>
      <c r="B2000" s="4" t="str">
        <f>HYPERLINK("https://twitter.com/petrogustavo","@petrogustavo")</f>
        <v>@petrogustavo</v>
      </c>
      <c r="C2000" s="5" t="s">
        <v>16</v>
      </c>
      <c r="D2000" s="5" t="s">
        <v>1963</v>
      </c>
      <c r="E2000" s="6" t="str">
        <f>HYPERLINK("https://twitter.com/petrogustavo/status/1223649686248218625","1223649686248218625")</f>
        <v>1223649686248218625</v>
      </c>
      <c r="F2000" s="7" t="s">
        <v>17</v>
      </c>
      <c r="G2000" s="7">
        <v>3624246</v>
      </c>
      <c r="H2000" s="7">
        <v>2354</v>
      </c>
      <c r="I2000" s="7">
        <v>41</v>
      </c>
      <c r="J2000" s="7">
        <v>171</v>
      </c>
      <c r="K2000" s="7" t="s">
        <v>18</v>
      </c>
      <c r="L2000" s="8">
        <v>39987.315405092595</v>
      </c>
      <c r="M2000" s="9" t="s">
        <v>19</v>
      </c>
      <c r="N2000" s="9" t="s">
        <v>20</v>
      </c>
      <c r="O2000" s="6" t="str">
        <f>HYPERLINK("https://pbs.twimg.com/profile_images/962471262747529216/Uo8lOkRJ_normal.jpg","View")</f>
        <v>View</v>
      </c>
      <c r="P2000" s="7"/>
    </row>
    <row r="2001" spans="1:16">
      <c r="A2001" s="3">
        <v>43862.938043981485</v>
      </c>
      <c r="B2001" s="4" t="str">
        <f>HYPERLINK("https://twitter.com/petrogustavo","@petrogustavo")</f>
        <v>@petrogustavo</v>
      </c>
      <c r="C2001" s="5" t="s">
        <v>16</v>
      </c>
      <c r="D2001" s="5" t="s">
        <v>1964</v>
      </c>
      <c r="E2001" s="6" t="str">
        <f>HYPERLINK("https://twitter.com/petrogustavo/status/1223652426441543680","1223652426441543680")</f>
        <v>1223652426441543680</v>
      </c>
      <c r="F2001" s="7" t="s">
        <v>17</v>
      </c>
      <c r="G2001" s="7">
        <v>3624246</v>
      </c>
      <c r="H2001" s="7">
        <v>2354</v>
      </c>
      <c r="I2001" s="7">
        <v>11</v>
      </c>
      <c r="J2001" s="7">
        <v>30</v>
      </c>
      <c r="K2001" s="7" t="s">
        <v>18</v>
      </c>
      <c r="L2001" s="8">
        <v>39987.315405092595</v>
      </c>
      <c r="M2001" s="9" t="s">
        <v>19</v>
      </c>
      <c r="N2001" s="9" t="s">
        <v>20</v>
      </c>
      <c r="O2001" s="6" t="str">
        <f>HYPERLINK("https://pbs.twimg.com/profile_images/962471262747529216/Uo8lOkRJ_normal.jpg","View")</f>
        <v>View</v>
      </c>
      <c r="P2001" s="7"/>
    </row>
    <row r="2002" spans="1:16">
      <c r="A2002" s="3">
        <v>43862.961967592593</v>
      </c>
      <c r="B2002" s="4" t="str">
        <f>HYPERLINK("https://twitter.com/petrogustavo","@petrogustavo")</f>
        <v>@petrogustavo</v>
      </c>
      <c r="C2002" s="5" t="s">
        <v>16</v>
      </c>
      <c r="D2002" s="5" t="s">
        <v>1965</v>
      </c>
      <c r="E2002" s="6" t="str">
        <f>HYPERLINK("https://twitter.com/petrogustavo/status/1223661094562074624","1223661094562074624")</f>
        <v>1223661094562074624</v>
      </c>
      <c r="F2002" s="7" t="s">
        <v>17</v>
      </c>
      <c r="G2002" s="7">
        <v>3624291</v>
      </c>
      <c r="H2002" s="7">
        <v>2354</v>
      </c>
      <c r="I2002" s="7">
        <v>80</v>
      </c>
      <c r="J2002" s="7">
        <v>143</v>
      </c>
      <c r="K2002" s="7" t="s">
        <v>18</v>
      </c>
      <c r="L2002" s="8">
        <v>39987.315405092595</v>
      </c>
      <c r="M2002" s="9" t="s">
        <v>19</v>
      </c>
      <c r="N2002" s="9" t="s">
        <v>20</v>
      </c>
      <c r="O2002" s="6" t="str">
        <f>HYPERLINK("https://pbs.twimg.com/profile_images/962471262747529216/Uo8lOkRJ_normal.jpg","View")</f>
        <v>View</v>
      </c>
      <c r="P2002" s="7"/>
    </row>
    <row r="2003" spans="1:16">
      <c r="A2003" s="3">
        <v>43862.96303240741</v>
      </c>
      <c r="B2003" s="4" t="str">
        <f>HYPERLINK("https://twitter.com/petrogustavo","@petrogustavo")</f>
        <v>@petrogustavo</v>
      </c>
      <c r="C2003" s="5" t="s">
        <v>16</v>
      </c>
      <c r="D2003" s="5" t="s">
        <v>1966</v>
      </c>
      <c r="E2003" s="6" t="str">
        <f>HYPERLINK("https://twitter.com/petrogustavo/status/1223661483642556418","1223661483642556418")</f>
        <v>1223661483642556418</v>
      </c>
      <c r="F2003" s="7" t="s">
        <v>17</v>
      </c>
      <c r="G2003" s="7">
        <v>3624291</v>
      </c>
      <c r="H2003" s="7">
        <v>2354</v>
      </c>
      <c r="I2003" s="7">
        <v>16</v>
      </c>
      <c r="J2003" s="7">
        <v>0</v>
      </c>
      <c r="K2003" s="7" t="s">
        <v>18</v>
      </c>
      <c r="L2003" s="8">
        <v>39987.315405092595</v>
      </c>
      <c r="M2003" s="9" t="s">
        <v>19</v>
      </c>
      <c r="N2003" s="9" t="s">
        <v>20</v>
      </c>
      <c r="O2003" s="6" t="str">
        <f>HYPERLINK("https://pbs.twimg.com/profile_images/962471262747529216/Uo8lOkRJ_normal.jpg","View")</f>
        <v>View</v>
      </c>
      <c r="P2003" s="7"/>
    </row>
    <row r="2004" spans="1:16">
      <c r="A2004" s="3">
        <v>43862.967280092591</v>
      </c>
      <c r="B2004" s="4" t="str">
        <f>HYPERLINK("https://twitter.com/petrogustavo","@petrogustavo")</f>
        <v>@petrogustavo</v>
      </c>
      <c r="C2004" s="5" t="s">
        <v>16</v>
      </c>
      <c r="D2004" s="5" t="s">
        <v>1967</v>
      </c>
      <c r="E2004" s="6" t="str">
        <f>HYPERLINK("https://twitter.com/petrogustavo/status/1223663021907697664","1223663021907697664")</f>
        <v>1223663021907697664</v>
      </c>
      <c r="F2004" s="7" t="s">
        <v>17</v>
      </c>
      <c r="G2004" s="7">
        <v>3624291</v>
      </c>
      <c r="H2004" s="7">
        <v>2354</v>
      </c>
      <c r="I2004" s="7">
        <v>32</v>
      </c>
      <c r="J2004" s="7">
        <v>0</v>
      </c>
      <c r="K2004" s="7" t="s">
        <v>18</v>
      </c>
      <c r="L2004" s="8">
        <v>39987.315405092595</v>
      </c>
      <c r="M2004" s="9" t="s">
        <v>19</v>
      </c>
      <c r="N2004" s="9" t="s">
        <v>20</v>
      </c>
      <c r="O2004" s="6" t="str">
        <f>HYPERLINK("https://pbs.twimg.com/profile_images/962471262747529216/Uo8lOkRJ_normal.jpg","View")</f>
        <v>View</v>
      </c>
      <c r="P2004" s="7"/>
    </row>
    <row r="2005" spans="1:16">
      <c r="A2005" s="3">
        <v>43862.970914351856</v>
      </c>
      <c r="B2005" s="4" t="str">
        <f>HYPERLINK("https://twitter.com/petrogustavo","@petrogustavo")</f>
        <v>@petrogustavo</v>
      </c>
      <c r="C2005" s="5" t="s">
        <v>16</v>
      </c>
      <c r="D2005" s="5" t="s">
        <v>1968</v>
      </c>
      <c r="E2005" s="6" t="str">
        <f>HYPERLINK("https://twitter.com/petrogustavo/status/1223664339959406592","1223664339959406592")</f>
        <v>1223664339959406592</v>
      </c>
      <c r="F2005" s="7" t="s">
        <v>17</v>
      </c>
      <c r="G2005" s="7">
        <v>3624291</v>
      </c>
      <c r="H2005" s="7">
        <v>2354</v>
      </c>
      <c r="I2005" s="7">
        <v>76</v>
      </c>
      <c r="J2005" s="7">
        <v>363</v>
      </c>
      <c r="K2005" s="7" t="s">
        <v>18</v>
      </c>
      <c r="L2005" s="8">
        <v>39987.315405092595</v>
      </c>
      <c r="M2005" s="9" t="s">
        <v>19</v>
      </c>
      <c r="N2005" s="9" t="s">
        <v>20</v>
      </c>
      <c r="O2005" s="6" t="str">
        <f>HYPERLINK("https://pbs.twimg.com/profile_images/962471262747529216/Uo8lOkRJ_normal.jpg","View")</f>
        <v>View</v>
      </c>
      <c r="P2005" s="7"/>
    </row>
    <row r="2006" spans="1:16">
      <c r="A2006" s="3">
        <v>43862.979664351849</v>
      </c>
      <c r="B2006" s="4" t="str">
        <f>HYPERLINK("https://twitter.com/petrogustavo","@petrogustavo")</f>
        <v>@petrogustavo</v>
      </c>
      <c r="C2006" s="5" t="s">
        <v>16</v>
      </c>
      <c r="D2006" s="5" t="s">
        <v>1969</v>
      </c>
      <c r="E2006" s="6" t="str">
        <f>HYPERLINK("https://twitter.com/petrogustavo/status/1223667508156272640","1223667508156272640")</f>
        <v>1223667508156272640</v>
      </c>
      <c r="F2006" s="7" t="s">
        <v>17</v>
      </c>
      <c r="G2006" s="7">
        <v>3624291</v>
      </c>
      <c r="H2006" s="7">
        <v>2354</v>
      </c>
      <c r="I2006" s="7">
        <v>107</v>
      </c>
      <c r="J2006" s="7">
        <v>0</v>
      </c>
      <c r="K2006" s="7" t="s">
        <v>18</v>
      </c>
      <c r="L2006" s="8">
        <v>39987.315405092595</v>
      </c>
      <c r="M2006" s="9" t="s">
        <v>19</v>
      </c>
      <c r="N2006" s="9" t="s">
        <v>20</v>
      </c>
      <c r="O2006" s="6" t="str">
        <f>HYPERLINK("https://pbs.twimg.com/profile_images/962471262747529216/Uo8lOkRJ_normal.jpg","View")</f>
        <v>View</v>
      </c>
      <c r="P2006" s="7"/>
    </row>
    <row r="2007" spans="1:16">
      <c r="A2007" s="3">
        <v>43862.981099537035</v>
      </c>
      <c r="B2007" s="4" t="str">
        <f>HYPERLINK("https://twitter.com/petrogustavo","@petrogustavo")</f>
        <v>@petrogustavo</v>
      </c>
      <c r="C2007" s="5" t="s">
        <v>16</v>
      </c>
      <c r="D2007" s="5" t="s">
        <v>1970</v>
      </c>
      <c r="E2007" s="6" t="str">
        <f>HYPERLINK("https://twitter.com/petrogustavo/status/1223668030078668805","1223668030078668805")</f>
        <v>1223668030078668805</v>
      </c>
      <c r="F2007" s="7" t="s">
        <v>17</v>
      </c>
      <c r="G2007" s="7">
        <v>3624291</v>
      </c>
      <c r="H2007" s="7">
        <v>2354</v>
      </c>
      <c r="I2007" s="7">
        <v>663</v>
      </c>
      <c r="J2007" s="7">
        <v>0</v>
      </c>
      <c r="K2007" s="7" t="s">
        <v>18</v>
      </c>
      <c r="L2007" s="8">
        <v>39987.315405092595</v>
      </c>
      <c r="M2007" s="9" t="s">
        <v>19</v>
      </c>
      <c r="N2007" s="9" t="s">
        <v>20</v>
      </c>
      <c r="O2007" s="6" t="str">
        <f>HYPERLINK("https://pbs.twimg.com/profile_images/962471262747529216/Uo8lOkRJ_normal.jpg","View")</f>
        <v>View</v>
      </c>
      <c r="P2007" s="7"/>
    </row>
    <row r="2008" spans="1:16">
      <c r="A2008" s="3">
        <v>43862.981516203705</v>
      </c>
      <c r="B2008" s="4" t="str">
        <f>HYPERLINK("https://twitter.com/petrogustavo","@petrogustavo")</f>
        <v>@petrogustavo</v>
      </c>
      <c r="C2008" s="5" t="s">
        <v>16</v>
      </c>
      <c r="D2008" s="5" t="s">
        <v>1971</v>
      </c>
      <c r="E2008" s="6" t="str">
        <f>HYPERLINK("https://twitter.com/petrogustavo/status/1223668178892533762","1223668178892533762")</f>
        <v>1223668178892533762</v>
      </c>
      <c r="F2008" s="7" t="s">
        <v>17</v>
      </c>
      <c r="G2008" s="7">
        <v>3624317</v>
      </c>
      <c r="H2008" s="7">
        <v>2354</v>
      </c>
      <c r="I2008" s="7">
        <v>2399</v>
      </c>
      <c r="J2008" s="7">
        <v>0</v>
      </c>
      <c r="K2008" s="7" t="s">
        <v>18</v>
      </c>
      <c r="L2008" s="8">
        <v>39987.315405092595</v>
      </c>
      <c r="M2008" s="9" t="s">
        <v>19</v>
      </c>
      <c r="N2008" s="9" t="s">
        <v>20</v>
      </c>
      <c r="O2008" s="6" t="str">
        <f>HYPERLINK("https://pbs.twimg.com/profile_images/962471262747529216/Uo8lOkRJ_normal.jpg","View")</f>
        <v>View</v>
      </c>
      <c r="P2008" s="7"/>
    </row>
    <row r="2009" spans="1:16">
      <c r="A2009" s="3">
        <v>43862.985787037032</v>
      </c>
      <c r="B2009" s="4" t="str">
        <f>HYPERLINK("https://twitter.com/petrogustavo","@petrogustavo")</f>
        <v>@petrogustavo</v>
      </c>
      <c r="C2009" s="5" t="s">
        <v>16</v>
      </c>
      <c r="D2009" s="5" t="s">
        <v>1972</v>
      </c>
      <c r="E2009" s="6" t="str">
        <f>HYPERLINK("https://twitter.com/petrogustavo/status/1223669726724939777","1223669726724939777")</f>
        <v>1223669726724939777</v>
      </c>
      <c r="F2009" s="7" t="s">
        <v>17</v>
      </c>
      <c r="G2009" s="7">
        <v>3624317</v>
      </c>
      <c r="H2009" s="7">
        <v>2354</v>
      </c>
      <c r="I2009" s="7">
        <v>85</v>
      </c>
      <c r="J2009" s="7">
        <v>180</v>
      </c>
      <c r="K2009" s="7" t="s">
        <v>18</v>
      </c>
      <c r="L2009" s="8">
        <v>39987.315405092595</v>
      </c>
      <c r="M2009" s="9" t="s">
        <v>19</v>
      </c>
      <c r="N2009" s="9" t="s">
        <v>20</v>
      </c>
      <c r="O2009" s="6" t="str">
        <f>HYPERLINK("https://pbs.twimg.com/profile_images/962471262747529216/Uo8lOkRJ_normal.jpg","View")</f>
        <v>View</v>
      </c>
      <c r="P2009" s="7"/>
    </row>
    <row r="2010" spans="1:16">
      <c r="A2010" s="3">
        <v>43863.110798611116</v>
      </c>
      <c r="B2010" s="4" t="str">
        <f>HYPERLINK("https://twitter.com/petrogustavo","@petrogustavo")</f>
        <v>@petrogustavo</v>
      </c>
      <c r="C2010" s="5" t="s">
        <v>16</v>
      </c>
      <c r="D2010" s="5" t="s">
        <v>1973</v>
      </c>
      <c r="E2010" s="6" t="str">
        <f>HYPERLINK("https://twitter.com/petrogustavo/status/1223715029272485888","1223715029272485888")</f>
        <v>1223715029272485888</v>
      </c>
      <c r="F2010" s="7" t="s">
        <v>17</v>
      </c>
      <c r="G2010" s="7">
        <v>3624432</v>
      </c>
      <c r="H2010" s="7">
        <v>2354</v>
      </c>
      <c r="I2010" s="7">
        <v>95</v>
      </c>
      <c r="J2010" s="7">
        <v>158</v>
      </c>
      <c r="K2010" s="7" t="s">
        <v>18</v>
      </c>
      <c r="L2010" s="8">
        <v>39987.315405092595</v>
      </c>
      <c r="M2010" s="9" t="s">
        <v>19</v>
      </c>
      <c r="N2010" s="9" t="s">
        <v>20</v>
      </c>
      <c r="O2010" s="6" t="str">
        <f>HYPERLINK("https://pbs.twimg.com/profile_images/962471262747529216/Uo8lOkRJ_normal.jpg","View")</f>
        <v>View</v>
      </c>
      <c r="P2010" s="7"/>
    </row>
    <row r="2011" spans="1:16">
      <c r="A2011" s="3">
        <v>43863.112916666665</v>
      </c>
      <c r="B2011" s="4" t="str">
        <f>HYPERLINK("https://twitter.com/petrogustavo","@petrogustavo")</f>
        <v>@petrogustavo</v>
      </c>
      <c r="C2011" s="5" t="s">
        <v>16</v>
      </c>
      <c r="D2011" s="5" t="s">
        <v>1974</v>
      </c>
      <c r="E2011" s="6" t="str">
        <f>HYPERLINK("https://twitter.com/petrogustavo/status/1223715798168100871","1223715798168100871")</f>
        <v>1223715798168100871</v>
      </c>
      <c r="F2011" s="7" t="s">
        <v>17</v>
      </c>
      <c r="G2011" s="7">
        <v>3624432</v>
      </c>
      <c r="H2011" s="7">
        <v>2354</v>
      </c>
      <c r="I2011" s="7">
        <v>70</v>
      </c>
      <c r="J2011" s="7">
        <v>0</v>
      </c>
      <c r="K2011" s="7" t="s">
        <v>18</v>
      </c>
      <c r="L2011" s="8">
        <v>39987.315405092595</v>
      </c>
      <c r="M2011" s="9" t="s">
        <v>19</v>
      </c>
      <c r="N2011" s="9" t="s">
        <v>20</v>
      </c>
      <c r="O2011" s="6" t="str">
        <f>HYPERLINK("https://pbs.twimg.com/profile_images/962471262747529216/Uo8lOkRJ_normal.jpg","View")</f>
        <v>View</v>
      </c>
      <c r="P2011" s="7"/>
    </row>
    <row r="2012" spans="1:16">
      <c r="A2012" s="3">
        <v>43863.113437499997</v>
      </c>
      <c r="B2012" s="4" t="str">
        <f>HYPERLINK("https://twitter.com/petrogustavo","@petrogustavo")</f>
        <v>@petrogustavo</v>
      </c>
      <c r="C2012" s="5" t="s">
        <v>16</v>
      </c>
      <c r="D2012" s="5" t="s">
        <v>1975</v>
      </c>
      <c r="E2012" s="6" t="str">
        <f>HYPERLINK("https://twitter.com/petrogustavo/status/1223715987746443266","1223715987746443266")</f>
        <v>1223715987746443266</v>
      </c>
      <c r="F2012" s="7" t="s">
        <v>17</v>
      </c>
      <c r="G2012" s="7">
        <v>3624432</v>
      </c>
      <c r="H2012" s="7">
        <v>2354</v>
      </c>
      <c r="I2012" s="7">
        <v>95</v>
      </c>
      <c r="J2012" s="7">
        <v>0</v>
      </c>
      <c r="K2012" s="7" t="s">
        <v>18</v>
      </c>
      <c r="L2012" s="8">
        <v>39987.315405092595</v>
      </c>
      <c r="M2012" s="9" t="s">
        <v>19</v>
      </c>
      <c r="N2012" s="9" t="s">
        <v>20</v>
      </c>
      <c r="O2012" s="6" t="str">
        <f>HYPERLINK("https://pbs.twimg.com/profile_images/962471262747529216/Uo8lOkRJ_normal.jpg","View")</f>
        <v>View</v>
      </c>
      <c r="P2012" s="7"/>
    </row>
    <row r="2013" spans="1:16">
      <c r="A2013" s="3">
        <v>43863.126550925925</v>
      </c>
      <c r="B2013" s="4" t="str">
        <f>HYPERLINK("https://twitter.com/petrogustavo","@petrogustavo")</f>
        <v>@petrogustavo</v>
      </c>
      <c r="C2013" s="5" t="s">
        <v>16</v>
      </c>
      <c r="D2013" s="5" t="s">
        <v>1976</v>
      </c>
      <c r="E2013" s="6" t="str">
        <f>HYPERLINK("https://twitter.com/petrogustavo/status/1223720740039557122","1223720740039557122")</f>
        <v>1223720740039557122</v>
      </c>
      <c r="F2013" s="7" t="s">
        <v>17</v>
      </c>
      <c r="G2013" s="7">
        <v>3624432</v>
      </c>
      <c r="H2013" s="7">
        <v>2354</v>
      </c>
      <c r="I2013" s="7">
        <v>447</v>
      </c>
      <c r="J2013" s="7">
        <v>0</v>
      </c>
      <c r="K2013" s="7" t="s">
        <v>18</v>
      </c>
      <c r="L2013" s="8">
        <v>39987.315405092595</v>
      </c>
      <c r="M2013" s="9" t="s">
        <v>19</v>
      </c>
      <c r="N2013" s="9" t="s">
        <v>20</v>
      </c>
      <c r="O2013" s="6" t="str">
        <f>HYPERLINK("https://pbs.twimg.com/profile_images/962471262747529216/Uo8lOkRJ_normal.jpg","View")</f>
        <v>View</v>
      </c>
      <c r="P2013" s="7"/>
    </row>
    <row r="2014" spans="1:16">
      <c r="A2014" s="3">
        <v>43863.128611111111</v>
      </c>
      <c r="B2014" s="4" t="str">
        <f>HYPERLINK("https://twitter.com/petrogustavo","@petrogustavo")</f>
        <v>@petrogustavo</v>
      </c>
      <c r="C2014" s="5" t="s">
        <v>16</v>
      </c>
      <c r="D2014" s="5" t="s">
        <v>1977</v>
      </c>
      <c r="E2014" s="6" t="str">
        <f>HYPERLINK("https://twitter.com/petrogustavo/status/1223721486701211651","1223721486701211651")</f>
        <v>1223721486701211651</v>
      </c>
      <c r="F2014" s="7" t="s">
        <v>17</v>
      </c>
      <c r="G2014" s="7">
        <v>3624452</v>
      </c>
      <c r="H2014" s="7">
        <v>2355</v>
      </c>
      <c r="I2014" s="7">
        <v>28</v>
      </c>
      <c r="J2014" s="7">
        <v>0</v>
      </c>
      <c r="K2014" s="7" t="s">
        <v>18</v>
      </c>
      <c r="L2014" s="8">
        <v>39987.315405092595</v>
      </c>
      <c r="M2014" s="9" t="s">
        <v>19</v>
      </c>
      <c r="N2014" s="9" t="s">
        <v>20</v>
      </c>
      <c r="O2014" s="6" t="str">
        <f>HYPERLINK("https://pbs.twimg.com/profile_images/962471262747529216/Uo8lOkRJ_normal.jpg","View")</f>
        <v>View</v>
      </c>
      <c r="P2014" s="7"/>
    </row>
    <row r="2015" spans="1:16">
      <c r="A2015" s="3">
        <v>43863.138287037036</v>
      </c>
      <c r="B2015" s="4" t="str">
        <f>HYPERLINK("https://twitter.com/petrogustavo","@petrogustavo")</f>
        <v>@petrogustavo</v>
      </c>
      <c r="C2015" s="5" t="s">
        <v>16</v>
      </c>
      <c r="D2015" s="5" t="s">
        <v>1978</v>
      </c>
      <c r="E2015" s="6" t="str">
        <f>HYPERLINK("https://twitter.com/petrogustavo/status/1223724992564801539","1223724992564801539")</f>
        <v>1223724992564801539</v>
      </c>
      <c r="F2015" s="7" t="s">
        <v>17</v>
      </c>
      <c r="G2015" s="7">
        <v>3624452</v>
      </c>
      <c r="H2015" s="7">
        <v>2355</v>
      </c>
      <c r="I2015" s="7">
        <v>52</v>
      </c>
      <c r="J2015" s="7">
        <v>179</v>
      </c>
      <c r="K2015" s="7" t="s">
        <v>18</v>
      </c>
      <c r="L2015" s="8">
        <v>39987.315405092595</v>
      </c>
      <c r="M2015" s="9" t="s">
        <v>19</v>
      </c>
      <c r="N2015" s="9" t="s">
        <v>20</v>
      </c>
      <c r="O2015" s="6" t="str">
        <f>HYPERLINK("https://pbs.twimg.com/profile_images/962471262747529216/Uo8lOkRJ_normal.jpg","View")</f>
        <v>View</v>
      </c>
      <c r="P2015" s="7"/>
    </row>
    <row r="2016" spans="1:16">
      <c r="A2016" s="3">
        <v>43863.13862268519</v>
      </c>
      <c r="B2016" s="4" t="str">
        <f>HYPERLINK("https://twitter.com/petrogustavo","@petrogustavo")</f>
        <v>@petrogustavo</v>
      </c>
      <c r="C2016" s="5" t="s">
        <v>16</v>
      </c>
      <c r="D2016" s="5" t="s">
        <v>1979</v>
      </c>
      <c r="E2016" s="6" t="str">
        <f>HYPERLINK("https://twitter.com/petrogustavo/status/1223725112354058242","1223725112354058242")</f>
        <v>1223725112354058242</v>
      </c>
      <c r="F2016" s="7" t="s">
        <v>17</v>
      </c>
      <c r="G2016" s="7">
        <v>3624452</v>
      </c>
      <c r="H2016" s="7">
        <v>2355</v>
      </c>
      <c r="I2016" s="7">
        <v>320</v>
      </c>
      <c r="J2016" s="7">
        <v>0</v>
      </c>
      <c r="K2016" s="7" t="s">
        <v>18</v>
      </c>
      <c r="L2016" s="8">
        <v>39987.315405092595</v>
      </c>
      <c r="M2016" s="9" t="s">
        <v>19</v>
      </c>
      <c r="N2016" s="9" t="s">
        <v>20</v>
      </c>
      <c r="O2016" s="6" t="str">
        <f>HYPERLINK("https://pbs.twimg.com/profile_images/962471262747529216/Uo8lOkRJ_normal.jpg","View")</f>
        <v>View</v>
      </c>
      <c r="P2016" s="7"/>
    </row>
    <row r="2017" spans="1:16">
      <c r="A2017" s="3">
        <v>43863.20480324074</v>
      </c>
      <c r="B2017" s="4" t="str">
        <f>HYPERLINK("https://twitter.com/petrogustavo","@petrogustavo")</f>
        <v>@petrogustavo</v>
      </c>
      <c r="C2017" s="5" t="s">
        <v>16</v>
      </c>
      <c r="D2017" s="5" t="s">
        <v>1980</v>
      </c>
      <c r="E2017" s="6" t="str">
        <f>HYPERLINK("https://twitter.com/petrogustavo/status/1223749096235786241","1223749096235786241")</f>
        <v>1223749096235786241</v>
      </c>
      <c r="F2017" s="7" t="s">
        <v>17</v>
      </c>
      <c r="G2017" s="7">
        <v>3624521</v>
      </c>
      <c r="H2017" s="7">
        <v>2355</v>
      </c>
      <c r="I2017" s="7">
        <v>59</v>
      </c>
      <c r="J2017" s="7">
        <v>123</v>
      </c>
      <c r="K2017" s="7" t="s">
        <v>18</v>
      </c>
      <c r="L2017" s="8">
        <v>39987.315405092595</v>
      </c>
      <c r="M2017" s="9" t="s">
        <v>19</v>
      </c>
      <c r="N2017" s="9" t="s">
        <v>20</v>
      </c>
      <c r="O2017" s="6" t="str">
        <f>HYPERLINK("https://pbs.twimg.com/profile_images/962471262747529216/Uo8lOkRJ_normal.jpg","View")</f>
        <v>View</v>
      </c>
      <c r="P2017" s="7"/>
    </row>
    <row r="2018" spans="1:16">
      <c r="A2018" s="3">
        <v>43863.220983796295</v>
      </c>
      <c r="B2018" s="4" t="str">
        <f>HYPERLINK("https://twitter.com/petrogustavo","@petrogustavo")</f>
        <v>@petrogustavo</v>
      </c>
      <c r="C2018" s="5" t="s">
        <v>16</v>
      </c>
      <c r="D2018" s="5" t="s">
        <v>1981</v>
      </c>
      <c r="E2018" s="6" t="str">
        <f>HYPERLINK("https://twitter.com/petrogustavo/status/1223754961537900552","1223754961537900552")</f>
        <v>1223754961537900552</v>
      </c>
      <c r="F2018" s="7" t="s">
        <v>17</v>
      </c>
      <c r="G2018" s="7">
        <v>3624545</v>
      </c>
      <c r="H2018" s="7">
        <v>2355</v>
      </c>
      <c r="I2018" s="7">
        <v>57</v>
      </c>
      <c r="J2018" s="7">
        <v>0</v>
      </c>
      <c r="K2018" s="7" t="s">
        <v>18</v>
      </c>
      <c r="L2018" s="8">
        <v>39987.315405092595</v>
      </c>
      <c r="M2018" s="9" t="s">
        <v>19</v>
      </c>
      <c r="N2018" s="9" t="s">
        <v>20</v>
      </c>
      <c r="O2018" s="6" t="str">
        <f>HYPERLINK("https://pbs.twimg.com/profile_images/962471262747529216/Uo8lOkRJ_normal.jpg","View")</f>
        <v>View</v>
      </c>
      <c r="P2018" s="7"/>
    </row>
    <row r="2019" spans="1:16">
      <c r="A2019" s="3">
        <v>43863.222280092596</v>
      </c>
      <c r="B2019" s="4" t="str">
        <f>HYPERLINK("https://twitter.com/petrogustavo","@petrogustavo")</f>
        <v>@petrogustavo</v>
      </c>
      <c r="C2019" s="5" t="s">
        <v>16</v>
      </c>
      <c r="D2019" s="5" t="s">
        <v>1982</v>
      </c>
      <c r="E2019" s="6" t="str">
        <f>HYPERLINK("https://twitter.com/petrogustavo/status/1223755428804419585","1223755428804419585")</f>
        <v>1223755428804419585</v>
      </c>
      <c r="F2019" s="7" t="s">
        <v>17</v>
      </c>
      <c r="G2019" s="7">
        <v>3624545</v>
      </c>
      <c r="H2019" s="7">
        <v>2355</v>
      </c>
      <c r="I2019" s="7">
        <v>77</v>
      </c>
      <c r="J2019" s="7">
        <v>189</v>
      </c>
      <c r="K2019" s="7" t="s">
        <v>18</v>
      </c>
      <c r="L2019" s="8">
        <v>39987.315405092595</v>
      </c>
      <c r="M2019" s="9" t="s">
        <v>19</v>
      </c>
      <c r="N2019" s="9" t="s">
        <v>20</v>
      </c>
      <c r="O2019" s="6" t="str">
        <f>HYPERLINK("https://pbs.twimg.com/profile_images/962471262747529216/Uo8lOkRJ_normal.jpg","View")</f>
        <v>View</v>
      </c>
      <c r="P2019" s="7"/>
    </row>
    <row r="2020" spans="1:16">
      <c r="A2020" s="3">
        <v>43863.24009259259</v>
      </c>
      <c r="B2020" s="4" t="str">
        <f>HYPERLINK("https://twitter.com/petrogustavo","@petrogustavo")</f>
        <v>@petrogustavo</v>
      </c>
      <c r="C2020" s="5" t="s">
        <v>16</v>
      </c>
      <c r="D2020" s="5" t="s">
        <v>1983</v>
      </c>
      <c r="E2020" s="6" t="str">
        <f>HYPERLINK("https://twitter.com/petrogustavo/status/1223761886753304576","1223761886753304576")</f>
        <v>1223761886753304576</v>
      </c>
      <c r="F2020" s="7" t="s">
        <v>17</v>
      </c>
      <c r="G2020" s="7">
        <v>3624583</v>
      </c>
      <c r="H2020" s="7">
        <v>2355</v>
      </c>
      <c r="I2020" s="7">
        <v>134</v>
      </c>
      <c r="J2020" s="7">
        <v>233</v>
      </c>
      <c r="K2020" s="7" t="s">
        <v>18</v>
      </c>
      <c r="L2020" s="8">
        <v>39987.315405092595</v>
      </c>
      <c r="M2020" s="9" t="s">
        <v>19</v>
      </c>
      <c r="N2020" s="9" t="s">
        <v>20</v>
      </c>
      <c r="O2020" s="6" t="str">
        <f>HYPERLINK("https://pbs.twimg.com/profile_images/962471262747529216/Uo8lOkRJ_normal.jpg","View")</f>
        <v>View</v>
      </c>
      <c r="P2020" s="7"/>
    </row>
    <row r="2021" spans="1:16">
      <c r="A2021" s="3">
        <v>43863.245046296295</v>
      </c>
      <c r="B2021" s="4" t="str">
        <f>HYPERLINK("https://twitter.com/petrogustavo","@petrogustavo")</f>
        <v>@petrogustavo</v>
      </c>
      <c r="C2021" s="5" t="s">
        <v>16</v>
      </c>
      <c r="D2021" s="5" t="s">
        <v>1984</v>
      </c>
      <c r="E2021" s="6" t="str">
        <f>HYPERLINK("https://twitter.com/petrogustavo/status/1223763678996107264","1223763678996107264")</f>
        <v>1223763678996107264</v>
      </c>
      <c r="F2021" s="7" t="s">
        <v>17</v>
      </c>
      <c r="G2021" s="7">
        <v>3624583</v>
      </c>
      <c r="H2021" s="7">
        <v>2355</v>
      </c>
      <c r="I2021" s="7">
        <v>1131</v>
      </c>
      <c r="J2021" s="7">
        <v>0</v>
      </c>
      <c r="K2021" s="7" t="s">
        <v>18</v>
      </c>
      <c r="L2021" s="8">
        <v>39987.315405092595</v>
      </c>
      <c r="M2021" s="9" t="s">
        <v>19</v>
      </c>
      <c r="N2021" s="9" t="s">
        <v>20</v>
      </c>
      <c r="O2021" s="6" t="str">
        <f>HYPERLINK("https://pbs.twimg.com/profile_images/962471262747529216/Uo8lOkRJ_normal.jpg","View")</f>
        <v>View</v>
      </c>
      <c r="P2021" s="7"/>
    </row>
    <row r="2022" spans="1:16">
      <c r="A2022" s="3">
        <v>43863.258437500001</v>
      </c>
      <c r="B2022" s="4" t="str">
        <f>HYPERLINK("https://twitter.com/petrogustavo","@petrogustavo")</f>
        <v>@petrogustavo</v>
      </c>
      <c r="C2022" s="5" t="s">
        <v>16</v>
      </c>
      <c r="D2022" s="5" t="s">
        <v>1985</v>
      </c>
      <c r="E2022" s="6" t="str">
        <f>HYPERLINK("https://twitter.com/petrogustavo/status/1223768534825807872","1223768534825807872")</f>
        <v>1223768534825807872</v>
      </c>
      <c r="F2022" s="7" t="s">
        <v>17</v>
      </c>
      <c r="G2022" s="7">
        <v>3624613</v>
      </c>
      <c r="H2022" s="7">
        <v>2355</v>
      </c>
      <c r="I2022" s="7">
        <v>210</v>
      </c>
      <c r="J2022" s="7">
        <v>0</v>
      </c>
      <c r="K2022" s="7" t="s">
        <v>18</v>
      </c>
      <c r="L2022" s="8">
        <v>39987.315405092595</v>
      </c>
      <c r="M2022" s="9" t="s">
        <v>19</v>
      </c>
      <c r="N2022" s="9" t="s">
        <v>20</v>
      </c>
      <c r="O2022" s="6" t="str">
        <f>HYPERLINK("https://pbs.twimg.com/profile_images/962471262747529216/Uo8lOkRJ_normal.jpg","View")</f>
        <v>View</v>
      </c>
      <c r="P2022" s="7"/>
    </row>
    <row r="2023" spans="1:16">
      <c r="A2023" s="3">
        <v>43863.706111111111</v>
      </c>
      <c r="B2023" s="4" t="str">
        <f>HYPERLINK("https://twitter.com/petrogustavo","@petrogustavo")</f>
        <v>@petrogustavo</v>
      </c>
      <c r="C2023" s="5" t="s">
        <v>16</v>
      </c>
      <c r="D2023" s="5" t="s">
        <v>1986</v>
      </c>
      <c r="E2023" s="6" t="str">
        <f>HYPERLINK("https://twitter.com/petrogustavo/status/1223930764070465536","1223930764070465536")</f>
        <v>1223930764070465536</v>
      </c>
      <c r="F2023" s="7" t="s">
        <v>17</v>
      </c>
      <c r="G2023" s="7">
        <v>3624829</v>
      </c>
      <c r="H2023" s="7">
        <v>2353</v>
      </c>
      <c r="I2023" s="7">
        <v>6</v>
      </c>
      <c r="J2023" s="7">
        <v>47</v>
      </c>
      <c r="K2023" s="7" t="s">
        <v>18</v>
      </c>
      <c r="L2023" s="8">
        <v>39987.315405092595</v>
      </c>
      <c r="M2023" s="9" t="s">
        <v>19</v>
      </c>
      <c r="N2023" s="9" t="s">
        <v>20</v>
      </c>
      <c r="O2023" s="6" t="str">
        <f>HYPERLINK("https://pbs.twimg.com/profile_images/962471262747529216/Uo8lOkRJ_normal.jpg","View")</f>
        <v>View</v>
      </c>
      <c r="P2023" s="7"/>
    </row>
    <row r="2024" spans="1:16">
      <c r="A2024" s="3">
        <v>43863.76525462963</v>
      </c>
      <c r="B2024" s="4" t="str">
        <f>HYPERLINK("https://twitter.com/petrogustavo","@petrogustavo")</f>
        <v>@petrogustavo</v>
      </c>
      <c r="C2024" s="5" t="s">
        <v>16</v>
      </c>
      <c r="D2024" s="5" t="s">
        <v>1987</v>
      </c>
      <c r="E2024" s="6" t="str">
        <f>HYPERLINK("https://twitter.com/petrogustavo/status/1223952199639871488","1223952199639871488")</f>
        <v>1223952199639871488</v>
      </c>
      <c r="F2024" s="7" t="s">
        <v>17</v>
      </c>
      <c r="G2024" s="7">
        <v>3624855</v>
      </c>
      <c r="H2024" s="7">
        <v>2353</v>
      </c>
      <c r="I2024" s="7">
        <v>50</v>
      </c>
      <c r="J2024" s="7">
        <v>226</v>
      </c>
      <c r="K2024" s="7" t="s">
        <v>18</v>
      </c>
      <c r="L2024" s="8">
        <v>39987.315405092595</v>
      </c>
      <c r="M2024" s="9" t="s">
        <v>19</v>
      </c>
      <c r="N2024" s="9" t="s">
        <v>20</v>
      </c>
      <c r="O2024" s="6" t="str">
        <f>HYPERLINK("https://pbs.twimg.com/profile_images/962471262747529216/Uo8lOkRJ_normal.jpg","View")</f>
        <v>View</v>
      </c>
      <c r="P2024" s="7"/>
    </row>
    <row r="2025" spans="1:16">
      <c r="A2025" s="3">
        <v>43863.765370370369</v>
      </c>
      <c r="B2025" s="4" t="str">
        <f>HYPERLINK("https://twitter.com/petrogustavo","@petrogustavo")</f>
        <v>@petrogustavo</v>
      </c>
      <c r="C2025" s="5" t="s">
        <v>16</v>
      </c>
      <c r="D2025" s="5" t="s">
        <v>1988</v>
      </c>
      <c r="E2025" s="6" t="str">
        <f>HYPERLINK("https://twitter.com/petrogustavo/status/1223952239405957121","1223952239405957121")</f>
        <v>1223952239405957121</v>
      </c>
      <c r="F2025" s="7" t="s">
        <v>17</v>
      </c>
      <c r="G2025" s="7">
        <v>3624855</v>
      </c>
      <c r="H2025" s="7">
        <v>2353</v>
      </c>
      <c r="I2025" s="7">
        <v>92</v>
      </c>
      <c r="J2025" s="7">
        <v>0</v>
      </c>
      <c r="K2025" s="7" t="s">
        <v>18</v>
      </c>
      <c r="L2025" s="8">
        <v>39987.315405092595</v>
      </c>
      <c r="M2025" s="9" t="s">
        <v>19</v>
      </c>
      <c r="N2025" s="9" t="s">
        <v>20</v>
      </c>
      <c r="O2025" s="6" t="str">
        <f>HYPERLINK("https://pbs.twimg.com/profile_images/962471262747529216/Uo8lOkRJ_normal.jpg","View")</f>
        <v>View</v>
      </c>
      <c r="P2025" s="7"/>
    </row>
    <row r="2026" spans="1:16">
      <c r="A2026" s="3">
        <v>43863.77342592593</v>
      </c>
      <c r="B2026" s="4" t="str">
        <f>HYPERLINK("https://twitter.com/petrogustavo","@petrogustavo")</f>
        <v>@petrogustavo</v>
      </c>
      <c r="C2026" s="5" t="s">
        <v>16</v>
      </c>
      <c r="D2026" s="5" t="s">
        <v>1989</v>
      </c>
      <c r="E2026" s="6" t="str">
        <f>HYPERLINK("https://twitter.com/petrogustavo/status/1223955157429428227","1223955157429428227")</f>
        <v>1223955157429428227</v>
      </c>
      <c r="F2026" s="7" t="s">
        <v>17</v>
      </c>
      <c r="G2026" s="7">
        <v>3624869</v>
      </c>
      <c r="H2026" s="7">
        <v>2353</v>
      </c>
      <c r="I2026" s="7">
        <v>1051</v>
      </c>
      <c r="J2026" s="7">
        <v>0</v>
      </c>
      <c r="K2026" s="7" t="s">
        <v>18</v>
      </c>
      <c r="L2026" s="8">
        <v>39987.315405092595</v>
      </c>
      <c r="M2026" s="9" t="s">
        <v>19</v>
      </c>
      <c r="N2026" s="9" t="s">
        <v>20</v>
      </c>
      <c r="O2026" s="6" t="str">
        <f>HYPERLINK("https://pbs.twimg.com/profile_images/962471262747529216/Uo8lOkRJ_normal.jpg","View")</f>
        <v>View</v>
      </c>
      <c r="P2026" s="7"/>
    </row>
    <row r="2027" spans="1:16">
      <c r="A2027" s="3">
        <v>43863.774513888886</v>
      </c>
      <c r="B2027" s="4" t="str">
        <f>HYPERLINK("https://twitter.com/petrogustavo","@petrogustavo")</f>
        <v>@petrogustavo</v>
      </c>
      <c r="C2027" s="5" t="s">
        <v>16</v>
      </c>
      <c r="D2027" s="5" t="s">
        <v>1990</v>
      </c>
      <c r="E2027" s="6" t="str">
        <f>HYPERLINK("https://twitter.com/petrogustavo/status/1223955550993571842","1223955550993571842")</f>
        <v>1223955550993571842</v>
      </c>
      <c r="F2027" s="7" t="s">
        <v>17</v>
      </c>
      <c r="G2027" s="7">
        <v>3624869</v>
      </c>
      <c r="H2027" s="7">
        <v>2353</v>
      </c>
      <c r="I2027" s="7">
        <v>110</v>
      </c>
      <c r="J2027" s="7">
        <v>0</v>
      </c>
      <c r="K2027" s="7" t="s">
        <v>18</v>
      </c>
      <c r="L2027" s="8">
        <v>39987.315405092595</v>
      </c>
      <c r="M2027" s="9" t="s">
        <v>19</v>
      </c>
      <c r="N2027" s="9" t="s">
        <v>20</v>
      </c>
      <c r="O2027" s="6" t="str">
        <f>HYPERLINK("https://pbs.twimg.com/profile_images/962471262747529216/Uo8lOkRJ_normal.jpg","View")</f>
        <v>View</v>
      </c>
      <c r="P2027" s="7"/>
    </row>
    <row r="2028" spans="1:16">
      <c r="A2028" s="3">
        <v>43863.814143518517</v>
      </c>
      <c r="B2028" s="4" t="str">
        <f>HYPERLINK("https://twitter.com/petrogustavo","@petrogustavo")</f>
        <v>@petrogustavo</v>
      </c>
      <c r="C2028" s="5" t="s">
        <v>16</v>
      </c>
      <c r="D2028" s="5" t="s">
        <v>1991</v>
      </c>
      <c r="E2028" s="6" t="str">
        <f>HYPERLINK("https://twitter.com/petrogustavo/status/1223969915595563014","1223969915595563014")</f>
        <v>1223969915595563014</v>
      </c>
      <c r="F2028" s="7" t="s">
        <v>17</v>
      </c>
      <c r="G2028" s="7">
        <v>3624882</v>
      </c>
      <c r="H2028" s="7">
        <v>2353</v>
      </c>
      <c r="I2028" s="7">
        <v>35</v>
      </c>
      <c r="J2028" s="7">
        <v>0</v>
      </c>
      <c r="K2028" s="7" t="s">
        <v>18</v>
      </c>
      <c r="L2028" s="8">
        <v>39987.315405092595</v>
      </c>
      <c r="M2028" s="9" t="s">
        <v>19</v>
      </c>
      <c r="N2028" s="9" t="s">
        <v>20</v>
      </c>
      <c r="O2028" s="6" t="str">
        <f>HYPERLINK("https://pbs.twimg.com/profile_images/962471262747529216/Uo8lOkRJ_normal.jpg","View")</f>
        <v>View</v>
      </c>
      <c r="P2028" s="7"/>
    </row>
    <row r="2029" spans="1:16">
      <c r="A2029" s="3">
        <v>43863.824004629627</v>
      </c>
      <c r="B2029" s="4" t="str">
        <f>HYPERLINK("https://twitter.com/petrogustavo","@petrogustavo")</f>
        <v>@petrogustavo</v>
      </c>
      <c r="C2029" s="5" t="s">
        <v>16</v>
      </c>
      <c r="D2029" s="5" t="s">
        <v>1992</v>
      </c>
      <c r="E2029" s="6" t="str">
        <f>HYPERLINK("https://twitter.com/petrogustavo/status/1223973486265278467","1223973486265278467")</f>
        <v>1223973486265278467</v>
      </c>
      <c r="F2029" s="7" t="s">
        <v>17</v>
      </c>
      <c r="G2029" s="7">
        <v>3624895</v>
      </c>
      <c r="H2029" s="7">
        <v>2353</v>
      </c>
      <c r="I2029" s="7">
        <v>148</v>
      </c>
      <c r="J2029" s="7">
        <v>406</v>
      </c>
      <c r="K2029" s="7" t="s">
        <v>18</v>
      </c>
      <c r="L2029" s="8">
        <v>39987.315405092595</v>
      </c>
      <c r="M2029" s="9" t="s">
        <v>19</v>
      </c>
      <c r="N2029" s="9" t="s">
        <v>20</v>
      </c>
      <c r="O2029" s="6" t="str">
        <f>HYPERLINK("https://pbs.twimg.com/profile_images/962471262747529216/Uo8lOkRJ_normal.jpg","View")</f>
        <v>View</v>
      </c>
      <c r="P2029" s="7"/>
    </row>
    <row r="2030" spans="1:16">
      <c r="A2030" s="3">
        <v>43863.876203703709</v>
      </c>
      <c r="B2030" s="4" t="str">
        <f>HYPERLINK("https://twitter.com/petrogustavo","@petrogustavo")</f>
        <v>@petrogustavo</v>
      </c>
      <c r="C2030" s="5" t="s">
        <v>16</v>
      </c>
      <c r="D2030" s="5" t="s">
        <v>1993</v>
      </c>
      <c r="E2030" s="6" t="str">
        <f>HYPERLINK("https://twitter.com/petrogustavo/status/1223992406103724037","1223992406103724037")</f>
        <v>1223992406103724037</v>
      </c>
      <c r="F2030" s="7" t="s">
        <v>17</v>
      </c>
      <c r="G2030" s="7">
        <v>3624940</v>
      </c>
      <c r="H2030" s="7">
        <v>2353</v>
      </c>
      <c r="I2030" s="7">
        <v>0</v>
      </c>
      <c r="J2030" s="7">
        <v>10</v>
      </c>
      <c r="K2030" s="7" t="s">
        <v>18</v>
      </c>
      <c r="L2030" s="8">
        <v>39987.315405092595</v>
      </c>
      <c r="M2030" s="9" t="s">
        <v>19</v>
      </c>
      <c r="N2030" s="9" t="s">
        <v>20</v>
      </c>
      <c r="O2030" s="6" t="str">
        <f>HYPERLINK("https://pbs.twimg.com/profile_images/962471262747529216/Uo8lOkRJ_normal.jpg","View")</f>
        <v>View</v>
      </c>
      <c r="P2030" s="7"/>
    </row>
    <row r="2031" spans="1:16">
      <c r="A2031" s="3">
        <v>43863.914039351846</v>
      </c>
      <c r="B2031" s="4" t="str">
        <f>HYPERLINK("https://twitter.com/petrogustavo","@petrogustavo")</f>
        <v>@petrogustavo</v>
      </c>
      <c r="C2031" s="5" t="s">
        <v>16</v>
      </c>
      <c r="D2031" s="5" t="s">
        <v>1994</v>
      </c>
      <c r="E2031" s="6" t="str">
        <f>HYPERLINK("https://twitter.com/petrogustavo/status/1224006115123396610","1224006115123396610")</f>
        <v>1224006115123396610</v>
      </c>
      <c r="F2031" s="7" t="s">
        <v>17</v>
      </c>
      <c r="G2031" s="7">
        <v>3624984</v>
      </c>
      <c r="H2031" s="7">
        <v>2353</v>
      </c>
      <c r="I2031" s="7">
        <v>70</v>
      </c>
      <c r="J2031" s="7">
        <v>149</v>
      </c>
      <c r="K2031" s="7" t="s">
        <v>18</v>
      </c>
      <c r="L2031" s="8">
        <v>39987.315405092595</v>
      </c>
      <c r="M2031" s="9" t="s">
        <v>19</v>
      </c>
      <c r="N2031" s="9" t="s">
        <v>20</v>
      </c>
      <c r="O2031" s="6" t="str">
        <f>HYPERLINK("https://pbs.twimg.com/profile_images/962471262747529216/Uo8lOkRJ_normal.jpg","View")</f>
        <v>View</v>
      </c>
      <c r="P2031" s="7"/>
    </row>
    <row r="2032" spans="1:16">
      <c r="A2032" s="3">
        <v>43863.941689814819</v>
      </c>
      <c r="B2032" s="4" t="str">
        <f>HYPERLINK("https://twitter.com/petrogustavo","@petrogustavo")</f>
        <v>@petrogustavo</v>
      </c>
      <c r="C2032" s="5" t="s">
        <v>16</v>
      </c>
      <c r="D2032" s="5" t="s">
        <v>1995</v>
      </c>
      <c r="E2032" s="6" t="str">
        <f>HYPERLINK("https://twitter.com/petrogustavo/status/1224016135185629184","1224016135185629184")</f>
        <v>1224016135185629184</v>
      </c>
      <c r="F2032" s="7" t="s">
        <v>17</v>
      </c>
      <c r="G2032" s="7">
        <v>3625029</v>
      </c>
      <c r="H2032" s="7">
        <v>2353</v>
      </c>
      <c r="I2032" s="7">
        <v>302</v>
      </c>
      <c r="J2032" s="7">
        <v>0</v>
      </c>
      <c r="K2032" s="7" t="s">
        <v>18</v>
      </c>
      <c r="L2032" s="8">
        <v>39987.315405092595</v>
      </c>
      <c r="M2032" s="9" t="s">
        <v>19</v>
      </c>
      <c r="N2032" s="9" t="s">
        <v>20</v>
      </c>
      <c r="O2032" s="6" t="str">
        <f>HYPERLINK("https://pbs.twimg.com/profile_images/962471262747529216/Uo8lOkRJ_normal.jpg","View")</f>
        <v>View</v>
      </c>
      <c r="P2032" s="7"/>
    </row>
    <row r="2033" spans="1:16">
      <c r="A2033" s="3">
        <v>43864.077777777777</v>
      </c>
      <c r="B2033" s="4" t="str">
        <f>HYPERLINK("https://twitter.com/petrogustavo","@petrogustavo")</f>
        <v>@petrogustavo</v>
      </c>
      <c r="C2033" s="5" t="s">
        <v>16</v>
      </c>
      <c r="D2033" s="5" t="s">
        <v>1996</v>
      </c>
      <c r="E2033" s="6" t="str">
        <f>HYPERLINK("https://twitter.com/petrogustavo/status/1224065451233357825","1224065451233357825")</f>
        <v>1224065451233357825</v>
      </c>
      <c r="F2033" s="7" t="s">
        <v>17</v>
      </c>
      <c r="G2033" s="7">
        <v>3625148</v>
      </c>
      <c r="H2033" s="7">
        <v>2353</v>
      </c>
      <c r="I2033" s="7">
        <v>108</v>
      </c>
      <c r="J2033" s="7">
        <v>0</v>
      </c>
      <c r="K2033" s="7" t="s">
        <v>18</v>
      </c>
      <c r="L2033" s="8">
        <v>39987.315405092595</v>
      </c>
      <c r="M2033" s="9" t="s">
        <v>19</v>
      </c>
      <c r="N2033" s="9" t="s">
        <v>20</v>
      </c>
      <c r="O2033" s="6" t="str">
        <f>HYPERLINK("https://pbs.twimg.com/profile_images/962471262747529216/Uo8lOkRJ_normal.jpg","View")</f>
        <v>View</v>
      </c>
      <c r="P2033" s="7"/>
    </row>
    <row r="2034" spans="1:16">
      <c r="A2034" s="3">
        <v>43864.193923611107</v>
      </c>
      <c r="B2034" s="4" t="str">
        <f>HYPERLINK("https://twitter.com/petrogustavo","@petrogustavo")</f>
        <v>@petrogustavo</v>
      </c>
      <c r="C2034" s="5" t="s">
        <v>16</v>
      </c>
      <c r="D2034" s="5" t="s">
        <v>1997</v>
      </c>
      <c r="E2034" s="6" t="str">
        <f>HYPERLINK("https://twitter.com/petrogustavo/status/1224107542994997248","1224107542994997248")</f>
        <v>1224107542994997248</v>
      </c>
      <c r="F2034" s="7" t="s">
        <v>32</v>
      </c>
      <c r="G2034" s="7">
        <v>3625255</v>
      </c>
      <c r="H2034" s="7">
        <v>2352</v>
      </c>
      <c r="I2034" s="7">
        <v>145</v>
      </c>
      <c r="J2034" s="7">
        <v>0</v>
      </c>
      <c r="K2034" s="7" t="s">
        <v>18</v>
      </c>
      <c r="L2034" s="8">
        <v>39987.315405092595</v>
      </c>
      <c r="M2034" s="9" t="s">
        <v>19</v>
      </c>
      <c r="N2034" s="9" t="s">
        <v>20</v>
      </c>
      <c r="O2034" s="6" t="str">
        <f>HYPERLINK("https://pbs.twimg.com/profile_images/962471262747529216/Uo8lOkRJ_normal.jpg","View")</f>
        <v>View</v>
      </c>
      <c r="P2034" s="7"/>
    </row>
    <row r="2035" spans="1:16">
      <c r="A2035" s="3">
        <v>43864.194131944445</v>
      </c>
      <c r="B2035" s="4" t="str">
        <f>HYPERLINK("https://twitter.com/petrogustavo","@petrogustavo")</f>
        <v>@petrogustavo</v>
      </c>
      <c r="C2035" s="5" t="s">
        <v>16</v>
      </c>
      <c r="D2035" s="5" t="s">
        <v>1998</v>
      </c>
      <c r="E2035" s="6" t="str">
        <f>HYPERLINK("https://twitter.com/petrogustavo/status/1224107619180302337","1224107619180302337")</f>
        <v>1224107619180302337</v>
      </c>
      <c r="F2035" s="7" t="s">
        <v>32</v>
      </c>
      <c r="G2035" s="7">
        <v>3625255</v>
      </c>
      <c r="H2035" s="7">
        <v>2352</v>
      </c>
      <c r="I2035" s="7">
        <v>64</v>
      </c>
      <c r="J2035" s="7">
        <v>0</v>
      </c>
      <c r="K2035" s="7" t="s">
        <v>18</v>
      </c>
      <c r="L2035" s="8">
        <v>39987.315405092595</v>
      </c>
      <c r="M2035" s="9" t="s">
        <v>19</v>
      </c>
      <c r="N2035" s="9" t="s">
        <v>20</v>
      </c>
      <c r="O2035" s="6" t="str">
        <f>HYPERLINK("https://pbs.twimg.com/profile_images/962471262747529216/Uo8lOkRJ_normal.jpg","View")</f>
        <v>View</v>
      </c>
      <c r="P2035" s="7"/>
    </row>
    <row r="2036" spans="1:16">
      <c r="A2036" s="3">
        <v>43864.205717592587</v>
      </c>
      <c r="B2036" s="4" t="str">
        <f>HYPERLINK("https://twitter.com/petrogustavo","@petrogustavo")</f>
        <v>@petrogustavo</v>
      </c>
      <c r="C2036" s="5" t="s">
        <v>16</v>
      </c>
      <c r="D2036" s="5" t="s">
        <v>1999</v>
      </c>
      <c r="E2036" s="6" t="str">
        <f>HYPERLINK("https://twitter.com/petrogustavo/status/1224111817544404993","1224111817544404993")</f>
        <v>1224111817544404993</v>
      </c>
      <c r="F2036" s="7" t="s">
        <v>17</v>
      </c>
      <c r="G2036" s="7">
        <v>3625255</v>
      </c>
      <c r="H2036" s="7">
        <v>2352</v>
      </c>
      <c r="I2036" s="7">
        <v>29</v>
      </c>
      <c r="J2036" s="7">
        <v>92</v>
      </c>
      <c r="K2036" s="7" t="s">
        <v>18</v>
      </c>
      <c r="L2036" s="8">
        <v>39987.315405092595</v>
      </c>
      <c r="M2036" s="9" t="s">
        <v>19</v>
      </c>
      <c r="N2036" s="9" t="s">
        <v>20</v>
      </c>
      <c r="O2036" s="6" t="str">
        <f>HYPERLINK("https://pbs.twimg.com/profile_images/962471262747529216/Uo8lOkRJ_normal.jpg","View")</f>
        <v>View</v>
      </c>
      <c r="P2036" s="7"/>
    </row>
    <row r="2037" spans="1:16">
      <c r="A2037" s="3">
        <v>43864.218819444446</v>
      </c>
      <c r="B2037" s="4" t="str">
        <f>HYPERLINK("https://twitter.com/petrogustavo","@petrogustavo")</f>
        <v>@petrogustavo</v>
      </c>
      <c r="C2037" s="5" t="s">
        <v>16</v>
      </c>
      <c r="D2037" s="5" t="s">
        <v>2000</v>
      </c>
      <c r="E2037" s="6" t="str">
        <f>HYPERLINK("https://twitter.com/petrogustavo/status/1224116565483892738","1224116565483892738")</f>
        <v>1224116565483892738</v>
      </c>
      <c r="F2037" s="7" t="s">
        <v>17</v>
      </c>
      <c r="G2037" s="7">
        <v>3625270</v>
      </c>
      <c r="H2037" s="7">
        <v>2352</v>
      </c>
      <c r="I2037" s="7">
        <v>417</v>
      </c>
      <c r="J2037" s="7">
        <v>0</v>
      </c>
      <c r="K2037" s="7" t="s">
        <v>18</v>
      </c>
      <c r="L2037" s="8">
        <v>39987.315405092595</v>
      </c>
      <c r="M2037" s="9" t="s">
        <v>19</v>
      </c>
      <c r="N2037" s="9" t="s">
        <v>20</v>
      </c>
      <c r="O2037" s="6" t="str">
        <f>HYPERLINK("https://pbs.twimg.com/profile_images/962471262747529216/Uo8lOkRJ_normal.jpg","View")</f>
        <v>View</v>
      </c>
      <c r="P2037" s="7"/>
    </row>
    <row r="2038" spans="1:16">
      <c r="A2038" s="3">
        <v>43864.219155092593</v>
      </c>
      <c r="B2038" s="4" t="str">
        <f>HYPERLINK("https://twitter.com/petrogustavo","@petrogustavo")</f>
        <v>@petrogustavo</v>
      </c>
      <c r="C2038" s="5" t="s">
        <v>16</v>
      </c>
      <c r="D2038" s="5" t="s">
        <v>2001</v>
      </c>
      <c r="E2038" s="6" t="str">
        <f>HYPERLINK("https://twitter.com/petrogustavo/status/1224116684585349121","1224116684585349121")</f>
        <v>1224116684585349121</v>
      </c>
      <c r="F2038" s="7" t="s">
        <v>17</v>
      </c>
      <c r="G2038" s="7">
        <v>3625270</v>
      </c>
      <c r="H2038" s="7">
        <v>2352</v>
      </c>
      <c r="I2038" s="7">
        <v>29</v>
      </c>
      <c r="J2038" s="7">
        <v>0</v>
      </c>
      <c r="K2038" s="7" t="s">
        <v>18</v>
      </c>
      <c r="L2038" s="8">
        <v>39987.315405092595</v>
      </c>
      <c r="M2038" s="9" t="s">
        <v>19</v>
      </c>
      <c r="N2038" s="9" t="s">
        <v>20</v>
      </c>
      <c r="O2038" s="6" t="str">
        <f>HYPERLINK("https://pbs.twimg.com/profile_images/962471262747529216/Uo8lOkRJ_normal.jpg","View")</f>
        <v>View</v>
      </c>
      <c r="P2038" s="7"/>
    </row>
    <row r="2039" spans="1:16">
      <c r="A2039" s="3">
        <v>43864.219722222224</v>
      </c>
      <c r="B2039" s="4" t="str">
        <f>HYPERLINK("https://twitter.com/petrogustavo","@petrogustavo")</f>
        <v>@petrogustavo</v>
      </c>
      <c r="C2039" s="5" t="s">
        <v>16</v>
      </c>
      <c r="D2039" s="5" t="s">
        <v>2002</v>
      </c>
      <c r="E2039" s="6" t="str">
        <f>HYPERLINK("https://twitter.com/petrogustavo/status/1224116891813339136","1224116891813339136")</f>
        <v>1224116891813339136</v>
      </c>
      <c r="F2039" s="7" t="s">
        <v>17</v>
      </c>
      <c r="G2039" s="7">
        <v>3625270</v>
      </c>
      <c r="H2039" s="7">
        <v>2352</v>
      </c>
      <c r="I2039" s="7">
        <v>54</v>
      </c>
      <c r="J2039" s="7">
        <v>0</v>
      </c>
      <c r="K2039" s="7" t="s">
        <v>18</v>
      </c>
      <c r="L2039" s="8">
        <v>39987.315405092595</v>
      </c>
      <c r="M2039" s="9" t="s">
        <v>19</v>
      </c>
      <c r="N2039" s="9" t="s">
        <v>20</v>
      </c>
      <c r="O2039" s="6" t="str">
        <f>HYPERLINK("https://pbs.twimg.com/profile_images/962471262747529216/Uo8lOkRJ_normal.jpg","View")</f>
        <v>View</v>
      </c>
      <c r="P2039" s="7"/>
    </row>
    <row r="2040" spans="1:16">
      <c r="A2040" s="3">
        <v>43864.220763888894</v>
      </c>
      <c r="B2040" s="4" t="str">
        <f>HYPERLINK("https://twitter.com/petrogustavo","@petrogustavo")</f>
        <v>@petrogustavo</v>
      </c>
      <c r="C2040" s="5" t="s">
        <v>16</v>
      </c>
      <c r="D2040" s="5" t="s">
        <v>2003</v>
      </c>
      <c r="E2040" s="6" t="str">
        <f>HYPERLINK("https://twitter.com/petrogustavo/status/1224117268457627652","1224117268457627652")</f>
        <v>1224117268457627652</v>
      </c>
      <c r="F2040" s="7" t="s">
        <v>17</v>
      </c>
      <c r="G2040" s="7">
        <v>3625270</v>
      </c>
      <c r="H2040" s="7">
        <v>2352</v>
      </c>
      <c r="I2040" s="7">
        <v>216</v>
      </c>
      <c r="J2040" s="7">
        <v>0</v>
      </c>
      <c r="K2040" s="7" t="s">
        <v>18</v>
      </c>
      <c r="L2040" s="8">
        <v>39987.315405092595</v>
      </c>
      <c r="M2040" s="9" t="s">
        <v>19</v>
      </c>
      <c r="N2040" s="9" t="s">
        <v>20</v>
      </c>
      <c r="O2040" s="6" t="str">
        <f>HYPERLINK("https://pbs.twimg.com/profile_images/962471262747529216/Uo8lOkRJ_normal.jpg","View")</f>
        <v>View</v>
      </c>
      <c r="P2040" s="7"/>
    </row>
    <row r="2041" spans="1:16">
      <c r="A2041" s="3">
        <v>43864.22283564815</v>
      </c>
      <c r="B2041" s="4" t="str">
        <f>HYPERLINK("https://twitter.com/petrogustavo","@petrogustavo")</f>
        <v>@petrogustavo</v>
      </c>
      <c r="C2041" s="5" t="s">
        <v>16</v>
      </c>
      <c r="D2041" s="5" t="s">
        <v>2004</v>
      </c>
      <c r="E2041" s="6" t="str">
        <f>HYPERLINK("https://twitter.com/petrogustavo/status/1224118017480699906","1224118017480699906")</f>
        <v>1224118017480699906</v>
      </c>
      <c r="F2041" s="7" t="s">
        <v>17</v>
      </c>
      <c r="G2041" s="7">
        <v>3625270</v>
      </c>
      <c r="H2041" s="7">
        <v>2352</v>
      </c>
      <c r="I2041" s="7">
        <v>193</v>
      </c>
      <c r="J2041" s="7">
        <v>0</v>
      </c>
      <c r="K2041" s="7" t="s">
        <v>18</v>
      </c>
      <c r="L2041" s="8">
        <v>39987.315405092595</v>
      </c>
      <c r="M2041" s="9" t="s">
        <v>19</v>
      </c>
      <c r="N2041" s="9" t="s">
        <v>20</v>
      </c>
      <c r="O2041" s="6" t="str">
        <f>HYPERLINK("https://pbs.twimg.com/profile_images/962471262747529216/Uo8lOkRJ_normal.jpg","View")</f>
        <v>View</v>
      </c>
      <c r="P2041" s="7"/>
    </row>
    <row r="2042" spans="1:16">
      <c r="A2042" s="3">
        <v>43864.223923611113</v>
      </c>
      <c r="B2042" s="4" t="str">
        <f>HYPERLINK("https://twitter.com/petrogustavo","@petrogustavo")</f>
        <v>@petrogustavo</v>
      </c>
      <c r="C2042" s="5" t="s">
        <v>16</v>
      </c>
      <c r="D2042" s="5" t="s">
        <v>2005</v>
      </c>
      <c r="E2042" s="6" t="str">
        <f>HYPERLINK("https://twitter.com/petrogustavo/status/1224118414089826304","1224118414089826304")</f>
        <v>1224118414089826304</v>
      </c>
      <c r="F2042" s="7" t="s">
        <v>17</v>
      </c>
      <c r="G2042" s="7">
        <v>3625270</v>
      </c>
      <c r="H2042" s="7">
        <v>2352</v>
      </c>
      <c r="I2042" s="7">
        <v>21</v>
      </c>
      <c r="J2042" s="7">
        <v>0</v>
      </c>
      <c r="K2042" s="7" t="s">
        <v>18</v>
      </c>
      <c r="L2042" s="8">
        <v>39987.315405092595</v>
      </c>
      <c r="M2042" s="9" t="s">
        <v>19</v>
      </c>
      <c r="N2042" s="9" t="s">
        <v>20</v>
      </c>
      <c r="O2042" s="6" t="str">
        <f>HYPERLINK("https://pbs.twimg.com/profile_images/962471262747529216/Uo8lOkRJ_normal.jpg","View")</f>
        <v>View</v>
      </c>
      <c r="P2042" s="7"/>
    </row>
    <row r="2043" spans="1:16">
      <c r="A2043" s="3">
        <v>43864.224606481483</v>
      </c>
      <c r="B2043" s="4" t="str">
        <f>HYPERLINK("https://twitter.com/petrogustavo","@petrogustavo")</f>
        <v>@petrogustavo</v>
      </c>
      <c r="C2043" s="5" t="s">
        <v>16</v>
      </c>
      <c r="D2043" s="5" t="s">
        <v>2006</v>
      </c>
      <c r="E2043" s="6" t="str">
        <f>HYPERLINK("https://twitter.com/petrogustavo/status/1224118662090633216","1224118662090633216")</f>
        <v>1224118662090633216</v>
      </c>
      <c r="F2043" s="7" t="s">
        <v>17</v>
      </c>
      <c r="G2043" s="7">
        <v>3625270</v>
      </c>
      <c r="H2043" s="7">
        <v>2352</v>
      </c>
      <c r="I2043" s="7">
        <v>461</v>
      </c>
      <c r="J2043" s="7">
        <v>0</v>
      </c>
      <c r="K2043" s="7" t="s">
        <v>18</v>
      </c>
      <c r="L2043" s="8">
        <v>39987.315405092595</v>
      </c>
      <c r="M2043" s="9" t="s">
        <v>19</v>
      </c>
      <c r="N2043" s="9" t="s">
        <v>20</v>
      </c>
      <c r="O2043" s="6" t="str">
        <f>HYPERLINK("https://pbs.twimg.com/profile_images/962471262747529216/Uo8lOkRJ_normal.jpg","View")</f>
        <v>View</v>
      </c>
      <c r="P2043" s="7"/>
    </row>
    <row r="2044" spans="1:16">
      <c r="A2044" s="3">
        <v>43864.224803240737</v>
      </c>
      <c r="B2044" s="4" t="str">
        <f>HYPERLINK("https://twitter.com/petrogustavo","@petrogustavo")</f>
        <v>@petrogustavo</v>
      </c>
      <c r="C2044" s="5" t="s">
        <v>16</v>
      </c>
      <c r="D2044" s="5" t="s">
        <v>2007</v>
      </c>
      <c r="E2044" s="6" t="str">
        <f>HYPERLINK("https://twitter.com/petrogustavo/status/1224118730709458947","1224118730709458947")</f>
        <v>1224118730709458947</v>
      </c>
      <c r="F2044" s="7" t="s">
        <v>17</v>
      </c>
      <c r="G2044" s="7">
        <v>3625270</v>
      </c>
      <c r="H2044" s="7">
        <v>2352</v>
      </c>
      <c r="I2044" s="7">
        <v>90</v>
      </c>
      <c r="J2044" s="7">
        <v>0</v>
      </c>
      <c r="K2044" s="7" t="s">
        <v>18</v>
      </c>
      <c r="L2044" s="8">
        <v>39987.315405092595</v>
      </c>
      <c r="M2044" s="9" t="s">
        <v>19</v>
      </c>
      <c r="N2044" s="9" t="s">
        <v>20</v>
      </c>
      <c r="O2044" s="6" t="str">
        <f>HYPERLINK("https://pbs.twimg.com/profile_images/962471262747529216/Uo8lOkRJ_normal.jpg","View")</f>
        <v>View</v>
      </c>
      <c r="P2044" s="7"/>
    </row>
    <row r="2045" spans="1:16">
      <c r="A2045" s="3">
        <v>43864.226875</v>
      </c>
      <c r="B2045" s="4" t="str">
        <f>HYPERLINK("https://twitter.com/petrogustavo","@petrogustavo")</f>
        <v>@petrogustavo</v>
      </c>
      <c r="C2045" s="5" t="s">
        <v>16</v>
      </c>
      <c r="D2045" s="5" t="s">
        <v>2008</v>
      </c>
      <c r="E2045" s="6" t="str">
        <f>HYPERLINK("https://twitter.com/petrogustavo/status/1224119481699655680","1224119481699655680")</f>
        <v>1224119481699655680</v>
      </c>
      <c r="F2045" s="7" t="s">
        <v>17</v>
      </c>
      <c r="G2045" s="7">
        <v>3625270</v>
      </c>
      <c r="H2045" s="7">
        <v>2352</v>
      </c>
      <c r="I2045" s="7">
        <v>8</v>
      </c>
      <c r="J2045" s="7">
        <v>0</v>
      </c>
      <c r="K2045" s="7" t="s">
        <v>18</v>
      </c>
      <c r="L2045" s="8">
        <v>39987.315405092595</v>
      </c>
      <c r="M2045" s="9" t="s">
        <v>19</v>
      </c>
      <c r="N2045" s="9" t="s">
        <v>20</v>
      </c>
      <c r="O2045" s="6" t="str">
        <f>HYPERLINK("https://pbs.twimg.com/profile_images/962471262747529216/Uo8lOkRJ_normal.jpg","View")</f>
        <v>View</v>
      </c>
      <c r="P2045" s="7"/>
    </row>
    <row r="2046" spans="1:16">
      <c r="A2046" s="3">
        <v>43864.22755787037</v>
      </c>
      <c r="B2046" s="4" t="str">
        <f>HYPERLINK("https://twitter.com/petrogustavo","@petrogustavo")</f>
        <v>@petrogustavo</v>
      </c>
      <c r="C2046" s="5" t="s">
        <v>16</v>
      </c>
      <c r="D2046" s="5" t="s">
        <v>2009</v>
      </c>
      <c r="E2046" s="6" t="str">
        <f>HYPERLINK("https://twitter.com/petrogustavo/status/1224119730174406657","1224119730174406657")</f>
        <v>1224119730174406657</v>
      </c>
      <c r="F2046" s="7" t="s">
        <v>17</v>
      </c>
      <c r="G2046" s="7">
        <v>3625270</v>
      </c>
      <c r="H2046" s="7">
        <v>2352</v>
      </c>
      <c r="I2046" s="7">
        <v>578</v>
      </c>
      <c r="J2046" s="7">
        <v>0</v>
      </c>
      <c r="K2046" s="7" t="s">
        <v>18</v>
      </c>
      <c r="L2046" s="8">
        <v>39987.315405092595</v>
      </c>
      <c r="M2046" s="9" t="s">
        <v>19</v>
      </c>
      <c r="N2046" s="9" t="s">
        <v>20</v>
      </c>
      <c r="O2046" s="6" t="str">
        <f>HYPERLINK("https://pbs.twimg.com/profile_images/962471262747529216/Uo8lOkRJ_normal.jpg","View")</f>
        <v>View</v>
      </c>
      <c r="P2046" s="7"/>
    </row>
    <row r="2047" spans="1:16">
      <c r="A2047" s="3">
        <v>43864.230590277773</v>
      </c>
      <c r="B2047" s="4" t="str">
        <f>HYPERLINK("https://twitter.com/petrogustavo","@petrogustavo")</f>
        <v>@petrogustavo</v>
      </c>
      <c r="C2047" s="5" t="s">
        <v>16</v>
      </c>
      <c r="D2047" s="5" t="s">
        <v>2010</v>
      </c>
      <c r="E2047" s="6" t="str">
        <f>HYPERLINK("https://twitter.com/petrogustavo/status/1224120830944272384","1224120830944272384")</f>
        <v>1224120830944272384</v>
      </c>
      <c r="F2047" s="7" t="s">
        <v>17</v>
      </c>
      <c r="G2047" s="7">
        <v>3625270</v>
      </c>
      <c r="H2047" s="7">
        <v>2352</v>
      </c>
      <c r="I2047" s="7">
        <v>0</v>
      </c>
      <c r="J2047" s="7">
        <v>0</v>
      </c>
      <c r="K2047" s="7" t="s">
        <v>18</v>
      </c>
      <c r="L2047" s="8">
        <v>39987.315405092595</v>
      </c>
      <c r="M2047" s="9" t="s">
        <v>19</v>
      </c>
      <c r="N2047" s="9" t="s">
        <v>20</v>
      </c>
      <c r="O2047" s="6" t="str">
        <f>HYPERLINK("https://pbs.twimg.com/profile_images/962471262747529216/Uo8lOkRJ_normal.jpg","View")</f>
        <v>View</v>
      </c>
      <c r="P2047" s="7"/>
    </row>
    <row r="2048" spans="1:16">
      <c r="A2048" s="3">
        <v>43864.230763888889</v>
      </c>
      <c r="B2048" s="4" t="str">
        <f>HYPERLINK("https://twitter.com/petrogustavo","@petrogustavo")</f>
        <v>@petrogustavo</v>
      </c>
      <c r="C2048" s="5" t="s">
        <v>16</v>
      </c>
      <c r="D2048" s="5" t="s">
        <v>2011</v>
      </c>
      <c r="E2048" s="6" t="str">
        <f>HYPERLINK("https://twitter.com/petrogustavo/status/1224120891153567745","1224120891153567745")</f>
        <v>1224120891153567745</v>
      </c>
      <c r="F2048" s="7" t="s">
        <v>17</v>
      </c>
      <c r="G2048" s="7">
        <v>3625293</v>
      </c>
      <c r="H2048" s="7">
        <v>2352</v>
      </c>
      <c r="I2048" s="7">
        <v>22</v>
      </c>
      <c r="J2048" s="7">
        <v>0</v>
      </c>
      <c r="K2048" s="7" t="s">
        <v>18</v>
      </c>
      <c r="L2048" s="8">
        <v>39987.315405092595</v>
      </c>
      <c r="M2048" s="9" t="s">
        <v>19</v>
      </c>
      <c r="N2048" s="9" t="s">
        <v>20</v>
      </c>
      <c r="O2048" s="6" t="str">
        <f>HYPERLINK("https://pbs.twimg.com/profile_images/962471262747529216/Uo8lOkRJ_normal.jpg","View")</f>
        <v>View</v>
      </c>
      <c r="P2048" s="7"/>
    </row>
    <row r="2049" spans="1:16">
      <c r="A2049" s="3">
        <v>43864.232928240745</v>
      </c>
      <c r="B2049" s="4" t="str">
        <f>HYPERLINK("https://twitter.com/petrogustavo","@petrogustavo")</f>
        <v>@petrogustavo</v>
      </c>
      <c r="C2049" s="5" t="s">
        <v>16</v>
      </c>
      <c r="D2049" s="5" t="s">
        <v>2012</v>
      </c>
      <c r="E2049" s="6" t="str">
        <f>HYPERLINK("https://twitter.com/petrogustavo/status/1224121676067229697","1224121676067229697")</f>
        <v>1224121676067229697</v>
      </c>
      <c r="F2049" s="7" t="s">
        <v>17</v>
      </c>
      <c r="G2049" s="7">
        <v>3625293</v>
      </c>
      <c r="H2049" s="7">
        <v>2352</v>
      </c>
      <c r="I2049" s="7">
        <v>200</v>
      </c>
      <c r="J2049" s="7">
        <v>536</v>
      </c>
      <c r="K2049" s="7" t="s">
        <v>18</v>
      </c>
      <c r="L2049" s="8">
        <v>39987.315405092595</v>
      </c>
      <c r="M2049" s="9" t="s">
        <v>19</v>
      </c>
      <c r="N2049" s="9" t="s">
        <v>20</v>
      </c>
      <c r="O2049" s="6" t="str">
        <f>HYPERLINK("https://pbs.twimg.com/profile_images/962471262747529216/Uo8lOkRJ_normal.jpg","View")</f>
        <v>View</v>
      </c>
      <c r="P2049" s="7"/>
    </row>
    <row r="2050" spans="1:16">
      <c r="A2050" s="3">
        <v>43864.236539351856</v>
      </c>
      <c r="B2050" s="4" t="str">
        <f>HYPERLINK("https://twitter.com/petrogustavo","@petrogustavo")</f>
        <v>@petrogustavo</v>
      </c>
      <c r="C2050" s="5" t="s">
        <v>16</v>
      </c>
      <c r="D2050" s="5" t="s">
        <v>2013</v>
      </c>
      <c r="E2050" s="6" t="str">
        <f>HYPERLINK("https://twitter.com/petrogustavo/status/1224122984958451713","1224122984958451713")</f>
        <v>1224122984958451713</v>
      </c>
      <c r="F2050" s="7" t="s">
        <v>17</v>
      </c>
      <c r="G2050" s="7">
        <v>3625293</v>
      </c>
      <c r="H2050" s="7">
        <v>2352</v>
      </c>
      <c r="I2050" s="7">
        <v>51</v>
      </c>
      <c r="J2050" s="7">
        <v>0</v>
      </c>
      <c r="K2050" s="7" t="s">
        <v>18</v>
      </c>
      <c r="L2050" s="8">
        <v>39987.315405092595</v>
      </c>
      <c r="M2050" s="9" t="s">
        <v>19</v>
      </c>
      <c r="N2050" s="9" t="s">
        <v>20</v>
      </c>
      <c r="O2050" s="6" t="str">
        <f>HYPERLINK("https://pbs.twimg.com/profile_images/962471262747529216/Uo8lOkRJ_normal.jpg","View")</f>
        <v>View</v>
      </c>
      <c r="P2050" s="7"/>
    </row>
    <row r="2051" spans="1:16">
      <c r="A2051" s="3">
        <v>43864.239178240736</v>
      </c>
      <c r="B2051" s="4" t="str">
        <f>HYPERLINK("https://twitter.com/petrogustavo","@petrogustavo")</f>
        <v>@petrogustavo</v>
      </c>
      <c r="C2051" s="5" t="s">
        <v>16</v>
      </c>
      <c r="D2051" s="5" t="s">
        <v>2014</v>
      </c>
      <c r="E2051" s="6" t="str">
        <f>HYPERLINK("https://twitter.com/petrogustavo/status/1224123940076953600","1224123940076953600")</f>
        <v>1224123940076953600</v>
      </c>
      <c r="F2051" s="7" t="s">
        <v>17</v>
      </c>
      <c r="G2051" s="7">
        <v>3625293</v>
      </c>
      <c r="H2051" s="7">
        <v>2352</v>
      </c>
      <c r="I2051" s="7">
        <v>53</v>
      </c>
      <c r="J2051" s="7">
        <v>118</v>
      </c>
      <c r="K2051" s="7" t="s">
        <v>18</v>
      </c>
      <c r="L2051" s="8">
        <v>39987.315405092595</v>
      </c>
      <c r="M2051" s="9" t="s">
        <v>19</v>
      </c>
      <c r="N2051" s="9" t="s">
        <v>20</v>
      </c>
      <c r="O2051" s="6" t="str">
        <f>HYPERLINK("https://pbs.twimg.com/profile_images/962471262747529216/Uo8lOkRJ_normal.jpg","View")</f>
        <v>View</v>
      </c>
      <c r="P2051" s="7"/>
    </row>
    <row r="2052" spans="1:16">
      <c r="A2052" s="3">
        <v>43864.239351851851</v>
      </c>
      <c r="B2052" s="4" t="str">
        <f>HYPERLINK("https://twitter.com/petrogustavo","@petrogustavo")</f>
        <v>@petrogustavo</v>
      </c>
      <c r="C2052" s="5" t="s">
        <v>16</v>
      </c>
      <c r="D2052" s="5" t="s">
        <v>2015</v>
      </c>
      <c r="E2052" s="6" t="str">
        <f>HYPERLINK("https://twitter.com/petrogustavo/status/1224124002706382850","1224124002706382850")</f>
        <v>1224124002706382850</v>
      </c>
      <c r="F2052" s="7" t="s">
        <v>17</v>
      </c>
      <c r="G2052" s="7">
        <v>3625293</v>
      </c>
      <c r="H2052" s="7">
        <v>2352</v>
      </c>
      <c r="I2052" s="7">
        <v>200</v>
      </c>
      <c r="J2052" s="7">
        <v>0</v>
      </c>
      <c r="K2052" s="7" t="s">
        <v>18</v>
      </c>
      <c r="L2052" s="8">
        <v>39987.315405092595</v>
      </c>
      <c r="M2052" s="9" t="s">
        <v>19</v>
      </c>
      <c r="N2052" s="9" t="s">
        <v>20</v>
      </c>
      <c r="O2052" s="6" t="str">
        <f>HYPERLINK("https://pbs.twimg.com/profile_images/962471262747529216/Uo8lOkRJ_normal.jpg","View")</f>
        <v>View</v>
      </c>
      <c r="P2052" s="7"/>
    </row>
    <row r="2053" spans="1:16">
      <c r="A2053" s="3">
        <v>43864.359930555554</v>
      </c>
      <c r="B2053" s="4" t="str">
        <f>HYPERLINK("https://twitter.com/petrogustavo","@petrogustavo")</f>
        <v>@petrogustavo</v>
      </c>
      <c r="C2053" s="5" t="s">
        <v>16</v>
      </c>
      <c r="D2053" s="5" t="s">
        <v>2016</v>
      </c>
      <c r="E2053" s="6" t="str">
        <f>HYPERLINK("https://twitter.com/petrogustavo/status/1224167701700120578","1224167701700120578")</f>
        <v>1224167701700120578</v>
      </c>
      <c r="F2053" s="7" t="s">
        <v>32</v>
      </c>
      <c r="G2053" s="7">
        <v>3625469</v>
      </c>
      <c r="H2053" s="7">
        <v>2353</v>
      </c>
      <c r="I2053" s="7">
        <v>111</v>
      </c>
      <c r="J2053" s="7">
        <v>0</v>
      </c>
      <c r="K2053" s="7" t="s">
        <v>18</v>
      </c>
      <c r="L2053" s="8">
        <v>39987.315405092595</v>
      </c>
      <c r="M2053" s="9" t="s">
        <v>19</v>
      </c>
      <c r="N2053" s="9" t="s">
        <v>20</v>
      </c>
      <c r="O2053" s="6" t="str">
        <f>HYPERLINK("https://pbs.twimg.com/profile_images/962471262747529216/Uo8lOkRJ_normal.jpg","View")</f>
        <v>View</v>
      </c>
      <c r="P2053" s="7"/>
    </row>
    <row r="2054" spans="1:16">
      <c r="A2054" s="3">
        <v>43864.77820601852</v>
      </c>
      <c r="B2054" s="4" t="str">
        <f>HYPERLINK("https://twitter.com/petrogustavo","@petrogustavo")</f>
        <v>@petrogustavo</v>
      </c>
      <c r="C2054" s="5" t="s">
        <v>16</v>
      </c>
      <c r="D2054" s="5" t="s">
        <v>2017</v>
      </c>
      <c r="E2054" s="6" t="str">
        <f>HYPERLINK("https://twitter.com/petrogustavo/status/1224319278586966016","1224319278586966016")</f>
        <v>1224319278586966016</v>
      </c>
      <c r="F2054" s="7" t="s">
        <v>17</v>
      </c>
      <c r="G2054" s="7">
        <v>3625618</v>
      </c>
      <c r="H2054" s="7">
        <v>2352</v>
      </c>
      <c r="I2054" s="7">
        <v>96</v>
      </c>
      <c r="J2054" s="7">
        <v>256</v>
      </c>
      <c r="K2054" s="7" t="s">
        <v>18</v>
      </c>
      <c r="L2054" s="8">
        <v>39987.315405092595</v>
      </c>
      <c r="M2054" s="9" t="s">
        <v>19</v>
      </c>
      <c r="N2054" s="9" t="s">
        <v>20</v>
      </c>
      <c r="O2054" s="6" t="str">
        <f>HYPERLINK("https://pbs.twimg.com/profile_images/962471262747529216/Uo8lOkRJ_normal.jpg","View")</f>
        <v>View</v>
      </c>
      <c r="P2054" s="7"/>
    </row>
    <row r="2055" spans="1:16">
      <c r="A2055" s="3">
        <v>43864.785462962958</v>
      </c>
      <c r="B2055" s="4" t="str">
        <f>HYPERLINK("https://twitter.com/petrogustavo","@petrogustavo")</f>
        <v>@petrogustavo</v>
      </c>
      <c r="C2055" s="5" t="s">
        <v>16</v>
      </c>
      <c r="D2055" s="5" t="s">
        <v>2018</v>
      </c>
      <c r="E2055" s="6" t="str">
        <f>HYPERLINK("https://twitter.com/petrogustavo/status/1224321908000378880","1224321908000378880")</f>
        <v>1224321908000378880</v>
      </c>
      <c r="F2055" s="7" t="s">
        <v>17</v>
      </c>
      <c r="G2055" s="7">
        <v>3625618</v>
      </c>
      <c r="H2055" s="7">
        <v>2352</v>
      </c>
      <c r="I2055" s="7">
        <v>82</v>
      </c>
      <c r="J2055" s="7">
        <v>174</v>
      </c>
      <c r="K2055" s="7" t="s">
        <v>18</v>
      </c>
      <c r="L2055" s="8">
        <v>39987.315405092595</v>
      </c>
      <c r="M2055" s="9" t="s">
        <v>19</v>
      </c>
      <c r="N2055" s="9" t="s">
        <v>20</v>
      </c>
      <c r="O2055" s="6" t="str">
        <f>HYPERLINK("https://pbs.twimg.com/profile_images/962471262747529216/Uo8lOkRJ_normal.jpg","View")</f>
        <v>View</v>
      </c>
      <c r="P2055" s="7"/>
    </row>
    <row r="2056" spans="1:16">
      <c r="A2056" s="3">
        <v>43864.789305555554</v>
      </c>
      <c r="B2056" s="4" t="str">
        <f>HYPERLINK("https://twitter.com/petrogustavo","@petrogustavo")</f>
        <v>@petrogustavo</v>
      </c>
      <c r="C2056" s="5" t="s">
        <v>16</v>
      </c>
      <c r="D2056" s="5" t="s">
        <v>2019</v>
      </c>
      <c r="E2056" s="6" t="str">
        <f>HYPERLINK("https://twitter.com/petrogustavo/status/1224323302673522689","1224323302673522689")</f>
        <v>1224323302673522689</v>
      </c>
      <c r="F2056" s="7" t="s">
        <v>17</v>
      </c>
      <c r="G2056" s="7">
        <v>3625618</v>
      </c>
      <c r="H2056" s="7">
        <v>2352</v>
      </c>
      <c r="I2056" s="7">
        <v>32</v>
      </c>
      <c r="J2056" s="7">
        <v>65</v>
      </c>
      <c r="K2056" s="7" t="s">
        <v>18</v>
      </c>
      <c r="L2056" s="8">
        <v>39987.315405092595</v>
      </c>
      <c r="M2056" s="9" t="s">
        <v>19</v>
      </c>
      <c r="N2056" s="9" t="s">
        <v>20</v>
      </c>
      <c r="O2056" s="6" t="str">
        <f>HYPERLINK("https://pbs.twimg.com/profile_images/962471262747529216/Uo8lOkRJ_normal.jpg","View")</f>
        <v>View</v>
      </c>
      <c r="P2056" s="7"/>
    </row>
    <row r="2057" spans="1:16">
      <c r="A2057" s="3">
        <v>43864.790902777779</v>
      </c>
      <c r="B2057" s="4" t="str">
        <f>HYPERLINK("https://twitter.com/petrogustavo","@petrogustavo")</f>
        <v>@petrogustavo</v>
      </c>
      <c r="C2057" s="5" t="s">
        <v>16</v>
      </c>
      <c r="D2057" s="5" t="s">
        <v>2020</v>
      </c>
      <c r="E2057" s="6" t="str">
        <f>HYPERLINK("https://twitter.com/petrogustavo/status/1224323882041200641","1224323882041200641")</f>
        <v>1224323882041200641</v>
      </c>
      <c r="F2057" s="7" t="s">
        <v>17</v>
      </c>
      <c r="G2057" s="7">
        <v>3625618</v>
      </c>
      <c r="H2057" s="7">
        <v>2352</v>
      </c>
      <c r="I2057" s="7">
        <v>25</v>
      </c>
      <c r="J2057" s="7">
        <v>66</v>
      </c>
      <c r="K2057" s="7" t="s">
        <v>18</v>
      </c>
      <c r="L2057" s="8">
        <v>39987.315405092595</v>
      </c>
      <c r="M2057" s="9" t="s">
        <v>19</v>
      </c>
      <c r="N2057" s="9" t="s">
        <v>20</v>
      </c>
      <c r="O2057" s="6" t="str">
        <f>HYPERLINK("https://pbs.twimg.com/profile_images/962471262747529216/Uo8lOkRJ_normal.jpg","View")</f>
        <v>View</v>
      </c>
      <c r="P2057" s="7"/>
    </row>
    <row r="2058" spans="1:16">
      <c r="A2058" s="3">
        <v>43864.805891203709</v>
      </c>
      <c r="B2058" s="4" t="str">
        <f>HYPERLINK("https://twitter.com/petrogustavo","@petrogustavo")</f>
        <v>@petrogustavo</v>
      </c>
      <c r="C2058" s="5" t="s">
        <v>16</v>
      </c>
      <c r="D2058" s="5" t="s">
        <v>2021</v>
      </c>
      <c r="E2058" s="6" t="str">
        <f>HYPERLINK("https://twitter.com/petrogustavo/status/1224329310183575553","1224329310183575553")</f>
        <v>1224329310183575553</v>
      </c>
      <c r="F2058" s="7" t="s">
        <v>17</v>
      </c>
      <c r="G2058" s="7">
        <v>3625638</v>
      </c>
      <c r="H2058" s="7">
        <v>2353</v>
      </c>
      <c r="I2058" s="7">
        <v>51</v>
      </c>
      <c r="J2058" s="7">
        <v>142</v>
      </c>
      <c r="K2058" s="7" t="s">
        <v>18</v>
      </c>
      <c r="L2058" s="8">
        <v>39987.315405092595</v>
      </c>
      <c r="M2058" s="9" t="s">
        <v>19</v>
      </c>
      <c r="N2058" s="9" t="s">
        <v>20</v>
      </c>
      <c r="O2058" s="6" t="str">
        <f>HYPERLINK("https://pbs.twimg.com/profile_images/962471262747529216/Uo8lOkRJ_normal.jpg","View")</f>
        <v>View</v>
      </c>
      <c r="P2058" s="7"/>
    </row>
    <row r="2059" spans="1:16">
      <c r="A2059" s="3">
        <v>43865.158668981487</v>
      </c>
      <c r="B2059" s="4" t="str">
        <f>HYPERLINK("https://twitter.com/petrogustavo","@petrogustavo")</f>
        <v>@petrogustavo</v>
      </c>
      <c r="C2059" s="5" t="s">
        <v>16</v>
      </c>
      <c r="D2059" s="5" t="s">
        <v>2022</v>
      </c>
      <c r="E2059" s="6" t="str">
        <f>HYPERLINK("https://twitter.com/petrogustavo/status/1224457152779055107","1224457152779055107")</f>
        <v>1224457152779055107</v>
      </c>
      <c r="F2059" s="7" t="s">
        <v>21</v>
      </c>
      <c r="G2059" s="7">
        <v>3626027</v>
      </c>
      <c r="H2059" s="7">
        <v>2352</v>
      </c>
      <c r="I2059" s="7">
        <v>27</v>
      </c>
      <c r="J2059" s="7">
        <v>66</v>
      </c>
      <c r="K2059" s="7" t="s">
        <v>18</v>
      </c>
      <c r="L2059" s="8">
        <v>39987.315405092595</v>
      </c>
      <c r="M2059" s="9" t="s">
        <v>19</v>
      </c>
      <c r="N2059" s="9" t="s">
        <v>20</v>
      </c>
      <c r="O2059" s="6" t="str">
        <f>HYPERLINK("https://pbs.twimg.com/profile_images/962471262747529216/Uo8lOkRJ_normal.jpg","View")</f>
        <v>View</v>
      </c>
      <c r="P2059" s="7"/>
    </row>
    <row r="2060" spans="1:16">
      <c r="A2060" s="3">
        <v>43865.158912037034</v>
      </c>
      <c r="B2060" s="4" t="str">
        <f>HYPERLINK("https://twitter.com/petrogustavo","@petrogustavo")</f>
        <v>@petrogustavo</v>
      </c>
      <c r="C2060" s="5" t="s">
        <v>16</v>
      </c>
      <c r="D2060" s="5" t="s">
        <v>2023</v>
      </c>
      <c r="E2060" s="6" t="str">
        <f>HYPERLINK("https://twitter.com/petrogustavo/status/1224457242377965571","1224457242377965571")</f>
        <v>1224457242377965571</v>
      </c>
      <c r="F2060" s="7" t="s">
        <v>21</v>
      </c>
      <c r="G2060" s="7">
        <v>3626027</v>
      </c>
      <c r="H2060" s="7">
        <v>2352</v>
      </c>
      <c r="I2060" s="7">
        <v>41</v>
      </c>
      <c r="J2060" s="7">
        <v>117</v>
      </c>
      <c r="K2060" s="7" t="s">
        <v>18</v>
      </c>
      <c r="L2060" s="8">
        <v>39987.315405092595</v>
      </c>
      <c r="M2060" s="9" t="s">
        <v>19</v>
      </c>
      <c r="N2060" s="9" t="s">
        <v>20</v>
      </c>
      <c r="O2060" s="6" t="str">
        <f>HYPERLINK("https://pbs.twimg.com/profile_images/962471262747529216/Uo8lOkRJ_normal.jpg","View")</f>
        <v>View</v>
      </c>
      <c r="P2060" s="7"/>
    </row>
    <row r="2061" spans="1:16">
      <c r="A2061" s="3">
        <v>43865.166307870371</v>
      </c>
      <c r="B2061" s="4" t="str">
        <f>HYPERLINK("https://twitter.com/petrogustavo","@petrogustavo")</f>
        <v>@petrogustavo</v>
      </c>
      <c r="C2061" s="5" t="s">
        <v>16</v>
      </c>
      <c r="D2061" s="5" t="s">
        <v>2024</v>
      </c>
      <c r="E2061" s="6" t="str">
        <f>HYPERLINK("https://twitter.com/petrogustavo/status/1224459922550685697","1224459922550685697")</f>
        <v>1224459922550685697</v>
      </c>
      <c r="F2061" s="7" t="s">
        <v>32</v>
      </c>
      <c r="G2061" s="7">
        <v>3626027</v>
      </c>
      <c r="H2061" s="7">
        <v>2352</v>
      </c>
      <c r="I2061" s="7">
        <v>18</v>
      </c>
      <c r="J2061" s="7">
        <v>55</v>
      </c>
      <c r="K2061" s="7" t="s">
        <v>18</v>
      </c>
      <c r="L2061" s="8">
        <v>39987.315405092595</v>
      </c>
      <c r="M2061" s="9" t="s">
        <v>19</v>
      </c>
      <c r="N2061" s="9" t="s">
        <v>20</v>
      </c>
      <c r="O2061" s="6" t="str">
        <f>HYPERLINK("https://pbs.twimg.com/profile_images/962471262747529216/Uo8lOkRJ_normal.jpg","View")</f>
        <v>View</v>
      </c>
      <c r="P2061" s="7"/>
    </row>
    <row r="2062" spans="1:16">
      <c r="A2062" s="3">
        <v>43865.166967592595</v>
      </c>
      <c r="B2062" s="4" t="str">
        <f>HYPERLINK("https://twitter.com/petrogustavo","@petrogustavo")</f>
        <v>@petrogustavo</v>
      </c>
      <c r="C2062" s="5" t="s">
        <v>16</v>
      </c>
      <c r="D2062" s="5" t="s">
        <v>2025</v>
      </c>
      <c r="E2062" s="6" t="str">
        <f>HYPERLINK("https://twitter.com/petrogustavo/status/1224460159986126848","1224460159986126848")</f>
        <v>1224460159986126848</v>
      </c>
      <c r="F2062" s="7" t="s">
        <v>32</v>
      </c>
      <c r="G2062" s="7">
        <v>3626027</v>
      </c>
      <c r="H2062" s="7">
        <v>2352</v>
      </c>
      <c r="I2062" s="7">
        <v>27</v>
      </c>
      <c r="J2062" s="7">
        <v>0</v>
      </c>
      <c r="K2062" s="7" t="s">
        <v>18</v>
      </c>
      <c r="L2062" s="8">
        <v>39987.315405092595</v>
      </c>
      <c r="M2062" s="9" t="s">
        <v>19</v>
      </c>
      <c r="N2062" s="9" t="s">
        <v>20</v>
      </c>
      <c r="O2062" s="6" t="str">
        <f>HYPERLINK("https://pbs.twimg.com/profile_images/962471262747529216/Uo8lOkRJ_normal.jpg","View")</f>
        <v>View</v>
      </c>
      <c r="P2062" s="7"/>
    </row>
    <row r="2063" spans="1:16">
      <c r="A2063" s="3">
        <v>43865.166979166665</v>
      </c>
      <c r="B2063" s="4" t="str">
        <f>HYPERLINK("https://twitter.com/petrogustavo","@petrogustavo")</f>
        <v>@petrogustavo</v>
      </c>
      <c r="C2063" s="5" t="s">
        <v>16</v>
      </c>
      <c r="D2063" s="5" t="s">
        <v>2026</v>
      </c>
      <c r="E2063" s="6" t="str">
        <f>HYPERLINK("https://twitter.com/petrogustavo/status/1224460167409958913","1224460167409958913")</f>
        <v>1224460167409958913</v>
      </c>
      <c r="F2063" s="7" t="s">
        <v>32</v>
      </c>
      <c r="G2063" s="7">
        <v>3626027</v>
      </c>
      <c r="H2063" s="7">
        <v>2352</v>
      </c>
      <c r="I2063" s="7">
        <v>41</v>
      </c>
      <c r="J2063" s="7">
        <v>0</v>
      </c>
      <c r="K2063" s="7" t="s">
        <v>18</v>
      </c>
      <c r="L2063" s="8">
        <v>39987.315405092595</v>
      </c>
      <c r="M2063" s="9" t="s">
        <v>19</v>
      </c>
      <c r="N2063" s="9" t="s">
        <v>20</v>
      </c>
      <c r="O2063" s="6" t="str">
        <f>HYPERLINK("https://pbs.twimg.com/profile_images/962471262747529216/Uo8lOkRJ_normal.jpg","View")</f>
        <v>View</v>
      </c>
      <c r="P2063" s="7"/>
    </row>
    <row r="2064" spans="1:16">
      <c r="A2064" s="3">
        <v>43865.223425925928</v>
      </c>
      <c r="B2064" s="4" t="str">
        <f>HYPERLINK("https://twitter.com/petrogustavo","@petrogustavo")</f>
        <v>@petrogustavo</v>
      </c>
      <c r="C2064" s="5" t="s">
        <v>16</v>
      </c>
      <c r="D2064" s="5" t="s">
        <v>2027</v>
      </c>
      <c r="E2064" s="6" t="str">
        <f>HYPERLINK("https://twitter.com/petrogustavo/status/1224480620979662848","1224480620979662848")</f>
        <v>1224480620979662848</v>
      </c>
      <c r="F2064" s="7" t="s">
        <v>17</v>
      </c>
      <c r="G2064" s="7">
        <v>3626077</v>
      </c>
      <c r="H2064" s="7">
        <v>2352</v>
      </c>
      <c r="I2064" s="7">
        <v>34</v>
      </c>
      <c r="J2064" s="7">
        <v>102</v>
      </c>
      <c r="K2064" s="7" t="s">
        <v>18</v>
      </c>
      <c r="L2064" s="8">
        <v>39987.315405092595</v>
      </c>
      <c r="M2064" s="9" t="s">
        <v>19</v>
      </c>
      <c r="N2064" s="9" t="s">
        <v>20</v>
      </c>
      <c r="O2064" s="6" t="str">
        <f>HYPERLINK("https://pbs.twimg.com/profile_images/962471262747529216/Uo8lOkRJ_normal.jpg","View")</f>
        <v>View</v>
      </c>
      <c r="P2064" s="7"/>
    </row>
    <row r="2065" spans="1:16">
      <c r="A2065" s="3">
        <v>43865.227650462963</v>
      </c>
      <c r="B2065" s="4" t="str">
        <f>HYPERLINK("https://twitter.com/petrogustavo","@petrogustavo")</f>
        <v>@petrogustavo</v>
      </c>
      <c r="C2065" s="5" t="s">
        <v>16</v>
      </c>
      <c r="D2065" s="5" t="s">
        <v>2028</v>
      </c>
      <c r="E2065" s="6" t="str">
        <f>HYPERLINK("https://twitter.com/petrogustavo/status/1224482153016242176","1224482153016242176")</f>
        <v>1224482153016242176</v>
      </c>
      <c r="F2065" s="7" t="s">
        <v>17</v>
      </c>
      <c r="G2065" s="7">
        <v>3626077</v>
      </c>
      <c r="H2065" s="7">
        <v>2352</v>
      </c>
      <c r="I2065" s="7">
        <v>88</v>
      </c>
      <c r="J2065" s="7">
        <v>210</v>
      </c>
      <c r="K2065" s="7" t="s">
        <v>18</v>
      </c>
      <c r="L2065" s="8">
        <v>39987.315405092595</v>
      </c>
      <c r="M2065" s="9" t="s">
        <v>19</v>
      </c>
      <c r="N2065" s="9" t="s">
        <v>20</v>
      </c>
      <c r="O2065" s="6" t="str">
        <f>HYPERLINK("https://pbs.twimg.com/profile_images/962471262747529216/Uo8lOkRJ_normal.jpg","View")</f>
        <v>View</v>
      </c>
      <c r="P2065" s="7"/>
    </row>
    <row r="2066" spans="1:16">
      <c r="A2066" s="3">
        <v>43865.238900462966</v>
      </c>
      <c r="B2066" s="4" t="str">
        <f>HYPERLINK("https://twitter.com/petrogustavo","@petrogustavo")</f>
        <v>@petrogustavo</v>
      </c>
      <c r="C2066" s="5" t="s">
        <v>16</v>
      </c>
      <c r="D2066" s="5" t="s">
        <v>2029</v>
      </c>
      <c r="E2066" s="6" t="str">
        <f>HYPERLINK("https://twitter.com/petrogustavo/status/1224486229305167879","1224486229305167879")</f>
        <v>1224486229305167879</v>
      </c>
      <c r="F2066" s="7" t="s">
        <v>17</v>
      </c>
      <c r="G2066" s="7">
        <v>3626091</v>
      </c>
      <c r="H2066" s="7">
        <v>2352</v>
      </c>
      <c r="I2066" s="7">
        <v>145</v>
      </c>
      <c r="J2066" s="7">
        <v>348</v>
      </c>
      <c r="K2066" s="7" t="s">
        <v>18</v>
      </c>
      <c r="L2066" s="8">
        <v>39987.315405092595</v>
      </c>
      <c r="M2066" s="9" t="s">
        <v>19</v>
      </c>
      <c r="N2066" s="9" t="s">
        <v>20</v>
      </c>
      <c r="O2066" s="6" t="str">
        <f>HYPERLINK("https://pbs.twimg.com/profile_images/962471262747529216/Uo8lOkRJ_normal.jpg","View")</f>
        <v>View</v>
      </c>
      <c r="P2066" s="7"/>
    </row>
    <row r="2067" spans="1:16">
      <c r="A2067" s="3">
        <v>43865.240428240737</v>
      </c>
      <c r="B2067" s="4" t="str">
        <f>HYPERLINK("https://twitter.com/petrogustavo","@petrogustavo")</f>
        <v>@petrogustavo</v>
      </c>
      <c r="C2067" s="5" t="s">
        <v>16</v>
      </c>
      <c r="D2067" s="5" t="s">
        <v>2030</v>
      </c>
      <c r="E2067" s="6" t="str">
        <f>HYPERLINK("https://twitter.com/petrogustavo/status/1224486782823227394","1224486782823227394")</f>
        <v>1224486782823227394</v>
      </c>
      <c r="F2067" s="7" t="s">
        <v>17</v>
      </c>
      <c r="G2067" s="7">
        <v>3626091</v>
      </c>
      <c r="H2067" s="7">
        <v>2352</v>
      </c>
      <c r="I2067" s="7">
        <v>180</v>
      </c>
      <c r="J2067" s="7">
        <v>543</v>
      </c>
      <c r="K2067" s="7" t="s">
        <v>18</v>
      </c>
      <c r="L2067" s="8">
        <v>39987.315405092595</v>
      </c>
      <c r="M2067" s="9" t="s">
        <v>19</v>
      </c>
      <c r="N2067" s="9" t="s">
        <v>20</v>
      </c>
      <c r="O2067" s="6" t="str">
        <f>HYPERLINK("https://pbs.twimg.com/profile_images/962471262747529216/Uo8lOkRJ_normal.jpg","View")</f>
        <v>View</v>
      </c>
      <c r="P2067" s="7"/>
    </row>
    <row r="2068" spans="1:16">
      <c r="A2068" s="3">
        <v>43865.249085648145</v>
      </c>
      <c r="B2068" s="4" t="str">
        <f>HYPERLINK("https://twitter.com/petrogustavo","@petrogustavo")</f>
        <v>@petrogustavo</v>
      </c>
      <c r="C2068" s="5" t="s">
        <v>16</v>
      </c>
      <c r="D2068" s="5" t="s">
        <v>2031</v>
      </c>
      <c r="E2068" s="6" t="str">
        <f>HYPERLINK("https://twitter.com/petrogustavo/status/1224489921232146432","1224489921232146432")</f>
        <v>1224489921232146432</v>
      </c>
      <c r="F2068" s="7" t="s">
        <v>17</v>
      </c>
      <c r="G2068" s="7">
        <v>3626091</v>
      </c>
      <c r="H2068" s="7">
        <v>2352</v>
      </c>
      <c r="I2068" s="7">
        <v>54</v>
      </c>
      <c r="J2068" s="7">
        <v>130</v>
      </c>
      <c r="K2068" s="7" t="s">
        <v>18</v>
      </c>
      <c r="L2068" s="8">
        <v>39987.315405092595</v>
      </c>
      <c r="M2068" s="9" t="s">
        <v>19</v>
      </c>
      <c r="N2068" s="9" t="s">
        <v>20</v>
      </c>
      <c r="O2068" s="6" t="str">
        <f>HYPERLINK("https://pbs.twimg.com/profile_images/962471262747529216/Uo8lOkRJ_normal.jpg","View")</f>
        <v>View</v>
      </c>
      <c r="P2068" s="7"/>
    </row>
    <row r="2069" spans="1:16">
      <c r="A2069" s="3">
        <v>43865.254537037035</v>
      </c>
      <c r="B2069" s="4" t="str">
        <f>HYPERLINK("https://twitter.com/petrogustavo","@petrogustavo")</f>
        <v>@petrogustavo</v>
      </c>
      <c r="C2069" s="5" t="s">
        <v>16</v>
      </c>
      <c r="D2069" s="5" t="s">
        <v>2032</v>
      </c>
      <c r="E2069" s="6" t="str">
        <f>HYPERLINK("https://twitter.com/petrogustavo/status/1224491893456883718","1224491893456883718")</f>
        <v>1224491893456883718</v>
      </c>
      <c r="F2069" s="7" t="s">
        <v>17</v>
      </c>
      <c r="G2069" s="7">
        <v>3626121</v>
      </c>
      <c r="H2069" s="7">
        <v>2352</v>
      </c>
      <c r="I2069" s="7">
        <v>537</v>
      </c>
      <c r="J2069" s="7">
        <v>1397</v>
      </c>
      <c r="K2069" s="7" t="s">
        <v>18</v>
      </c>
      <c r="L2069" s="8">
        <v>39987.315405092595</v>
      </c>
      <c r="M2069" s="9" t="s">
        <v>19</v>
      </c>
      <c r="N2069" s="9" t="s">
        <v>20</v>
      </c>
      <c r="O2069" s="6" t="str">
        <f>HYPERLINK("https://pbs.twimg.com/profile_images/962471262747529216/Uo8lOkRJ_normal.jpg","View")</f>
        <v>View</v>
      </c>
      <c r="P2069" s="7"/>
    </row>
    <row r="2070" spans="1:16">
      <c r="A2070" s="3">
        <v>43865.258252314816</v>
      </c>
      <c r="B2070" s="4" t="str">
        <f>HYPERLINK("https://twitter.com/petrogustavo","@petrogustavo")</f>
        <v>@petrogustavo</v>
      </c>
      <c r="C2070" s="5" t="s">
        <v>16</v>
      </c>
      <c r="D2070" s="5" t="s">
        <v>2033</v>
      </c>
      <c r="E2070" s="6" t="str">
        <f>HYPERLINK("https://twitter.com/petrogustavo/status/1224493241384521728","1224493241384521728")</f>
        <v>1224493241384521728</v>
      </c>
      <c r="F2070" s="7" t="s">
        <v>17</v>
      </c>
      <c r="G2070" s="7">
        <v>3626121</v>
      </c>
      <c r="H2070" s="7">
        <v>2352</v>
      </c>
      <c r="I2070" s="7">
        <v>309</v>
      </c>
      <c r="J2070" s="7">
        <v>940</v>
      </c>
      <c r="K2070" s="7" t="s">
        <v>18</v>
      </c>
      <c r="L2070" s="8">
        <v>39987.315405092595</v>
      </c>
      <c r="M2070" s="9" t="s">
        <v>19</v>
      </c>
      <c r="N2070" s="9" t="s">
        <v>20</v>
      </c>
      <c r="O2070" s="6" t="str">
        <f>HYPERLINK("https://pbs.twimg.com/profile_images/962471262747529216/Uo8lOkRJ_normal.jpg","View")</f>
        <v>View</v>
      </c>
      <c r="P2070" s="7"/>
    </row>
    <row r="2071" spans="1:16">
      <c r="A2071" s="3">
        <v>43865.260081018518</v>
      </c>
      <c r="B2071" s="4" t="str">
        <f>HYPERLINK("https://twitter.com/petrogustavo","@petrogustavo")</f>
        <v>@petrogustavo</v>
      </c>
      <c r="C2071" s="5" t="s">
        <v>16</v>
      </c>
      <c r="D2071" s="5" t="s">
        <v>2034</v>
      </c>
      <c r="E2071" s="6" t="str">
        <f>HYPERLINK("https://twitter.com/petrogustavo/status/1224493903891570688","1224493903891570688")</f>
        <v>1224493903891570688</v>
      </c>
      <c r="F2071" s="7" t="s">
        <v>17</v>
      </c>
      <c r="G2071" s="7">
        <v>3626121</v>
      </c>
      <c r="H2071" s="7">
        <v>2352</v>
      </c>
      <c r="I2071" s="7">
        <v>537</v>
      </c>
      <c r="J2071" s="7">
        <v>0</v>
      </c>
      <c r="K2071" s="7" t="s">
        <v>18</v>
      </c>
      <c r="L2071" s="8">
        <v>39987.315405092595</v>
      </c>
      <c r="M2071" s="9" t="s">
        <v>19</v>
      </c>
      <c r="N2071" s="9" t="s">
        <v>20</v>
      </c>
      <c r="O2071" s="6" t="str">
        <f>HYPERLINK("https://pbs.twimg.com/profile_images/962471262747529216/Uo8lOkRJ_normal.jpg","View")</f>
        <v>View</v>
      </c>
      <c r="P2071" s="7"/>
    </row>
    <row r="2072" spans="1:16">
      <c r="A2072" s="3">
        <v>43865.400520833333</v>
      </c>
      <c r="B2072" s="4" t="str">
        <f>HYPERLINK("https://twitter.com/petrogustavo","@petrogustavo")</f>
        <v>@petrogustavo</v>
      </c>
      <c r="C2072" s="5" t="s">
        <v>16</v>
      </c>
      <c r="D2072" s="5" t="s">
        <v>2025</v>
      </c>
      <c r="E2072" s="6" t="str">
        <f>HYPERLINK("https://twitter.com/petrogustavo/status/1224544797391839233","1224544797391839233")</f>
        <v>1224544797391839233</v>
      </c>
      <c r="F2072" s="7" t="s">
        <v>17</v>
      </c>
      <c r="G2072" s="7">
        <v>3626313</v>
      </c>
      <c r="H2072" s="7">
        <v>2352</v>
      </c>
      <c r="I2072" s="7">
        <v>143</v>
      </c>
      <c r="J2072" s="7">
        <v>0</v>
      </c>
      <c r="K2072" s="7" t="s">
        <v>18</v>
      </c>
      <c r="L2072" s="8">
        <v>39987.315405092595</v>
      </c>
      <c r="M2072" s="9" t="s">
        <v>19</v>
      </c>
      <c r="N2072" s="9" t="s">
        <v>20</v>
      </c>
      <c r="O2072" s="6" t="str">
        <f>HYPERLINK("https://pbs.twimg.com/profile_images/962471262747529216/Uo8lOkRJ_normal.jpg","View")</f>
        <v>View</v>
      </c>
      <c r="P2072" s="7"/>
    </row>
    <row r="2073" spans="1:16">
      <c r="A2073" s="3">
        <v>43865.400555555556</v>
      </c>
      <c r="B2073" s="4" t="str">
        <f>HYPERLINK("https://twitter.com/petrogustavo","@petrogustavo")</f>
        <v>@petrogustavo</v>
      </c>
      <c r="C2073" s="5" t="s">
        <v>16</v>
      </c>
      <c r="D2073" s="5" t="s">
        <v>2026</v>
      </c>
      <c r="E2073" s="6" t="str">
        <f>HYPERLINK("https://twitter.com/petrogustavo/status/1224544809051881472","1224544809051881472")</f>
        <v>1224544809051881472</v>
      </c>
      <c r="F2073" s="7" t="s">
        <v>17</v>
      </c>
      <c r="G2073" s="7">
        <v>3626313</v>
      </c>
      <c r="H2073" s="7">
        <v>2352</v>
      </c>
      <c r="I2073" s="7">
        <v>248</v>
      </c>
      <c r="J2073" s="7">
        <v>0</v>
      </c>
      <c r="K2073" s="7" t="s">
        <v>18</v>
      </c>
      <c r="L2073" s="8">
        <v>39987.315405092595</v>
      </c>
      <c r="M2073" s="9" t="s">
        <v>19</v>
      </c>
      <c r="N2073" s="9" t="s">
        <v>20</v>
      </c>
      <c r="O2073" s="6" t="str">
        <f>HYPERLINK("https://pbs.twimg.com/profile_images/962471262747529216/Uo8lOkRJ_normal.jpg","View")</f>
        <v>View</v>
      </c>
      <c r="P2073" s="7"/>
    </row>
    <row r="2074" spans="1:16">
      <c r="A2074" s="3">
        <v>43865.727314814816</v>
      </c>
      <c r="B2074" s="4" t="str">
        <f>HYPERLINK("https://twitter.com/petrogustavo","@petrogustavo")</f>
        <v>@petrogustavo</v>
      </c>
      <c r="C2074" s="5" t="s">
        <v>16</v>
      </c>
      <c r="D2074" s="5" t="s">
        <v>2025</v>
      </c>
      <c r="E2074" s="6" t="str">
        <f>HYPERLINK("https://twitter.com/petrogustavo/status/1224663225754628098","1224663225754628098")</f>
        <v>1224663225754628098</v>
      </c>
      <c r="F2074" s="7" t="s">
        <v>17</v>
      </c>
      <c r="G2074" s="7">
        <v>3626400</v>
      </c>
      <c r="H2074" s="7">
        <v>2351</v>
      </c>
      <c r="I2074" s="7">
        <v>166</v>
      </c>
      <c r="J2074" s="7">
        <v>0</v>
      </c>
      <c r="K2074" s="7" t="s">
        <v>18</v>
      </c>
      <c r="L2074" s="8">
        <v>39987.315405092595</v>
      </c>
      <c r="M2074" s="9" t="s">
        <v>19</v>
      </c>
      <c r="N2074" s="9" t="s">
        <v>20</v>
      </c>
      <c r="O2074" s="6" t="str">
        <f>HYPERLINK("https://pbs.twimg.com/profile_images/962471262747529216/Uo8lOkRJ_normal.jpg","View")</f>
        <v>View</v>
      </c>
      <c r="P2074" s="7"/>
    </row>
    <row r="2075" spans="1:16">
      <c r="A2075" s="3">
        <v>43865.846435185187</v>
      </c>
      <c r="B2075" s="4" t="str">
        <f>HYPERLINK("https://twitter.com/petrogustavo","@petrogustavo")</f>
        <v>@petrogustavo</v>
      </c>
      <c r="C2075" s="5" t="s">
        <v>16</v>
      </c>
      <c r="D2075" s="5" t="s">
        <v>2035</v>
      </c>
      <c r="E2075" s="6" t="str">
        <f>HYPERLINK("https://twitter.com/petrogustavo/status/1224706391153291266","1224706391153291266")</f>
        <v>1224706391153291266</v>
      </c>
      <c r="F2075" s="7" t="s">
        <v>17</v>
      </c>
      <c r="G2075" s="7">
        <v>3626531</v>
      </c>
      <c r="H2075" s="7">
        <v>2351</v>
      </c>
      <c r="I2075" s="7">
        <v>177</v>
      </c>
      <c r="J2075" s="7">
        <v>462</v>
      </c>
      <c r="K2075" s="7" t="s">
        <v>18</v>
      </c>
      <c r="L2075" s="8">
        <v>39987.315405092595</v>
      </c>
      <c r="M2075" s="9" t="s">
        <v>19</v>
      </c>
      <c r="N2075" s="9" t="s">
        <v>20</v>
      </c>
      <c r="O2075" s="6" t="str">
        <f>HYPERLINK("https://pbs.twimg.com/profile_images/962471262747529216/Uo8lOkRJ_normal.jpg","View")</f>
        <v>View</v>
      </c>
      <c r="P2075" s="7"/>
    </row>
    <row r="2076" spans="1:16">
      <c r="A2076" s="3">
        <v>43866.106365740736</v>
      </c>
      <c r="B2076" s="4" t="str">
        <f>HYPERLINK("https://twitter.com/petrogustavo","@petrogustavo")</f>
        <v>@petrogustavo</v>
      </c>
      <c r="C2076" s="5" t="s">
        <v>16</v>
      </c>
      <c r="D2076" s="5" t="s">
        <v>2036</v>
      </c>
      <c r="E2076" s="6" t="str">
        <f>HYPERLINK("https://twitter.com/petrogustavo/status/1224800589219016709","1224800589219016709")</f>
        <v>1224800589219016709</v>
      </c>
      <c r="F2076" s="7" t="s">
        <v>32</v>
      </c>
      <c r="G2076" s="7">
        <v>3626872</v>
      </c>
      <c r="H2076" s="7">
        <v>2351</v>
      </c>
      <c r="I2076" s="7">
        <v>125</v>
      </c>
      <c r="J2076" s="7">
        <v>353</v>
      </c>
      <c r="K2076" s="7" t="s">
        <v>18</v>
      </c>
      <c r="L2076" s="8">
        <v>39987.315405092595</v>
      </c>
      <c r="M2076" s="9" t="s">
        <v>19</v>
      </c>
      <c r="N2076" s="9" t="s">
        <v>20</v>
      </c>
      <c r="O2076" s="6" t="str">
        <f>HYPERLINK("https://pbs.twimg.com/profile_images/962471262747529216/Uo8lOkRJ_normal.jpg","View")</f>
        <v>View</v>
      </c>
      <c r="P2076" s="7"/>
    </row>
    <row r="2077" spans="1:16">
      <c r="A2077" s="3">
        <v>43866.113206018519</v>
      </c>
      <c r="B2077" s="4" t="str">
        <f>HYPERLINK("https://twitter.com/petrogustavo","@petrogustavo")</f>
        <v>@petrogustavo</v>
      </c>
      <c r="C2077" s="5" t="s">
        <v>16</v>
      </c>
      <c r="D2077" s="5" t="s">
        <v>2037</v>
      </c>
      <c r="E2077" s="6" t="str">
        <f>HYPERLINK("https://twitter.com/petrogustavo/status/1224803065724841990","1224803065724841990")</f>
        <v>1224803065724841990</v>
      </c>
      <c r="F2077" s="7" t="s">
        <v>32</v>
      </c>
      <c r="G2077" s="7">
        <v>3626872</v>
      </c>
      <c r="H2077" s="7">
        <v>2351</v>
      </c>
      <c r="I2077" s="7">
        <v>102</v>
      </c>
      <c r="J2077" s="7">
        <v>246</v>
      </c>
      <c r="K2077" s="7" t="s">
        <v>18</v>
      </c>
      <c r="L2077" s="8">
        <v>39987.315405092595</v>
      </c>
      <c r="M2077" s="9" t="s">
        <v>19</v>
      </c>
      <c r="N2077" s="9" t="s">
        <v>20</v>
      </c>
      <c r="O2077" s="6" t="str">
        <f>HYPERLINK("https://pbs.twimg.com/profile_images/962471262747529216/Uo8lOkRJ_normal.jpg","View")</f>
        <v>View</v>
      </c>
      <c r="P2077" s="7"/>
    </row>
    <row r="2078" spans="1:16">
      <c r="A2078" s="3">
        <v>43868.197905092587</v>
      </c>
      <c r="B2078" s="4" t="str">
        <f>HYPERLINK("https://twitter.com/petrogustavo","@petrogustavo")</f>
        <v>@petrogustavo</v>
      </c>
      <c r="C2078" s="5" t="s">
        <v>16</v>
      </c>
      <c r="D2078" s="5" t="s">
        <v>2038</v>
      </c>
      <c r="E2078" s="6" t="str">
        <f>HYPERLINK("https://twitter.com/petrogustavo/status/1225558535750197249","1225558535750197249")</f>
        <v>1225558535750197249</v>
      </c>
      <c r="F2078" s="7" t="s">
        <v>17</v>
      </c>
      <c r="G2078" s="7">
        <v>3628611</v>
      </c>
      <c r="H2078" s="7">
        <v>2352</v>
      </c>
      <c r="I2078" s="7">
        <v>45</v>
      </c>
      <c r="J2078" s="7">
        <v>0</v>
      </c>
      <c r="K2078" s="7" t="s">
        <v>18</v>
      </c>
      <c r="L2078" s="8">
        <v>39987.315405092595</v>
      </c>
      <c r="M2078" s="9" t="s">
        <v>19</v>
      </c>
      <c r="N2078" s="9" t="s">
        <v>20</v>
      </c>
      <c r="O2078" s="6" t="str">
        <f>HYPERLINK("https://pbs.twimg.com/profile_images/962471262747529216/Uo8lOkRJ_normal.jpg","View")</f>
        <v>View</v>
      </c>
      <c r="P2078" s="7"/>
    </row>
    <row r="2079" spans="1:16">
      <c r="A2079" s="3">
        <v>43868.205358796295</v>
      </c>
      <c r="B2079" s="4" t="str">
        <f>HYPERLINK("https://twitter.com/petrogustavo","@petrogustavo")</f>
        <v>@petrogustavo</v>
      </c>
      <c r="C2079" s="5" t="s">
        <v>16</v>
      </c>
      <c r="D2079" s="5" t="s">
        <v>2039</v>
      </c>
      <c r="E2079" s="6" t="str">
        <f>HYPERLINK("https://twitter.com/petrogustavo/status/1225561237863485441","1225561237863485441")</f>
        <v>1225561237863485441</v>
      </c>
      <c r="F2079" s="7" t="s">
        <v>17</v>
      </c>
      <c r="G2079" s="7">
        <v>3628611</v>
      </c>
      <c r="H2079" s="7">
        <v>2352</v>
      </c>
      <c r="I2079" s="7">
        <v>244</v>
      </c>
      <c r="J2079" s="7">
        <v>0</v>
      </c>
      <c r="K2079" s="7" t="s">
        <v>18</v>
      </c>
      <c r="L2079" s="8">
        <v>39987.315405092595</v>
      </c>
      <c r="M2079" s="9" t="s">
        <v>19</v>
      </c>
      <c r="N2079" s="9" t="s">
        <v>20</v>
      </c>
      <c r="O2079" s="6" t="str">
        <f>HYPERLINK("https://pbs.twimg.com/profile_images/962471262747529216/Uo8lOkRJ_normal.jpg","View")</f>
        <v>View</v>
      </c>
      <c r="P2079" s="7"/>
    </row>
    <row r="2080" spans="1:16">
      <c r="A2080" s="3">
        <v>43868.207002314812</v>
      </c>
      <c r="B2080" s="4" t="str">
        <f>HYPERLINK("https://twitter.com/petrogustavo","@petrogustavo")</f>
        <v>@petrogustavo</v>
      </c>
      <c r="C2080" s="5" t="s">
        <v>16</v>
      </c>
      <c r="D2080" s="5" t="s">
        <v>2040</v>
      </c>
      <c r="E2080" s="6" t="str">
        <f>HYPERLINK("https://twitter.com/petrogustavo/status/1225561832196395008","1225561832196395008")</f>
        <v>1225561832196395008</v>
      </c>
      <c r="F2080" s="7" t="s">
        <v>17</v>
      </c>
      <c r="G2080" s="7">
        <v>3628611</v>
      </c>
      <c r="H2080" s="7">
        <v>2352</v>
      </c>
      <c r="I2080" s="7">
        <v>165</v>
      </c>
      <c r="J2080" s="7">
        <v>0</v>
      </c>
      <c r="K2080" s="7" t="s">
        <v>18</v>
      </c>
      <c r="L2080" s="8">
        <v>39987.315405092595</v>
      </c>
      <c r="M2080" s="9" t="s">
        <v>19</v>
      </c>
      <c r="N2080" s="9" t="s">
        <v>20</v>
      </c>
      <c r="O2080" s="6" t="str">
        <f>HYPERLINK("https://pbs.twimg.com/profile_images/962471262747529216/Uo8lOkRJ_normal.jpg","View")</f>
        <v>View</v>
      </c>
      <c r="P2080" s="7"/>
    </row>
    <row r="2081" spans="1:16">
      <c r="A2081" s="3">
        <v>43868.208425925928</v>
      </c>
      <c r="B2081" s="4" t="str">
        <f>HYPERLINK("https://twitter.com/petrogustavo","@petrogustavo")</f>
        <v>@petrogustavo</v>
      </c>
      <c r="C2081" s="5" t="s">
        <v>16</v>
      </c>
      <c r="D2081" s="5" t="s">
        <v>2041</v>
      </c>
      <c r="E2081" s="6" t="str">
        <f>HYPERLINK("https://twitter.com/petrogustavo/status/1225562349077237761","1225562349077237761")</f>
        <v>1225562349077237761</v>
      </c>
      <c r="F2081" s="7" t="s">
        <v>17</v>
      </c>
      <c r="G2081" s="7">
        <v>3628611</v>
      </c>
      <c r="H2081" s="7">
        <v>2352</v>
      </c>
      <c r="I2081" s="7">
        <v>18</v>
      </c>
      <c r="J2081" s="7">
        <v>80</v>
      </c>
      <c r="K2081" s="7" t="s">
        <v>18</v>
      </c>
      <c r="L2081" s="8">
        <v>39987.315405092595</v>
      </c>
      <c r="M2081" s="9" t="s">
        <v>19</v>
      </c>
      <c r="N2081" s="9" t="s">
        <v>20</v>
      </c>
      <c r="O2081" s="6" t="str">
        <f>HYPERLINK("https://pbs.twimg.com/profile_images/962471262747529216/Uo8lOkRJ_normal.jpg","View")</f>
        <v>View</v>
      </c>
      <c r="P2081" s="7"/>
    </row>
    <row r="2082" spans="1:16">
      <c r="A2082" s="3">
        <v>43868.210138888884</v>
      </c>
      <c r="B2082" s="4" t="str">
        <f>HYPERLINK("https://twitter.com/petrogustavo","@petrogustavo")</f>
        <v>@petrogustavo</v>
      </c>
      <c r="C2082" s="5" t="s">
        <v>16</v>
      </c>
      <c r="D2082" s="5" t="s">
        <v>2042</v>
      </c>
      <c r="E2082" s="6" t="str">
        <f>HYPERLINK("https://twitter.com/petrogustavo/status/1225562971562237952","1225562971562237952")</f>
        <v>1225562971562237952</v>
      </c>
      <c r="F2082" s="7" t="s">
        <v>17</v>
      </c>
      <c r="G2082" s="7">
        <v>3628611</v>
      </c>
      <c r="H2082" s="7">
        <v>2352</v>
      </c>
      <c r="I2082" s="7">
        <v>48</v>
      </c>
      <c r="J2082" s="7">
        <v>0</v>
      </c>
      <c r="K2082" s="7" t="s">
        <v>18</v>
      </c>
      <c r="L2082" s="8">
        <v>39987.315405092595</v>
      </c>
      <c r="M2082" s="9" t="s">
        <v>19</v>
      </c>
      <c r="N2082" s="9" t="s">
        <v>20</v>
      </c>
      <c r="O2082" s="6" t="str">
        <f>HYPERLINK("https://pbs.twimg.com/profile_images/962471262747529216/Uo8lOkRJ_normal.jpg","View")</f>
        <v>View</v>
      </c>
      <c r="P2082" s="7"/>
    </row>
    <row r="2083" spans="1:16">
      <c r="A2083" s="3">
        <v>43868.212013888886</v>
      </c>
      <c r="B2083" s="4" t="str">
        <f>HYPERLINK("https://twitter.com/petrogustavo","@petrogustavo")</f>
        <v>@petrogustavo</v>
      </c>
      <c r="C2083" s="5" t="s">
        <v>16</v>
      </c>
      <c r="D2083" s="5" t="s">
        <v>2043</v>
      </c>
      <c r="E2083" s="6" t="str">
        <f>HYPERLINK("https://twitter.com/petrogustavo/status/1225563649248563200","1225563649248563200")</f>
        <v>1225563649248563200</v>
      </c>
      <c r="F2083" s="7" t="s">
        <v>17</v>
      </c>
      <c r="G2083" s="7">
        <v>3628626</v>
      </c>
      <c r="H2083" s="7">
        <v>2352</v>
      </c>
      <c r="I2083" s="7">
        <v>245</v>
      </c>
      <c r="J2083" s="7">
        <v>0</v>
      </c>
      <c r="K2083" s="7" t="s">
        <v>18</v>
      </c>
      <c r="L2083" s="8">
        <v>39987.315405092595</v>
      </c>
      <c r="M2083" s="9" t="s">
        <v>19</v>
      </c>
      <c r="N2083" s="9" t="s">
        <v>20</v>
      </c>
      <c r="O2083" s="6" t="str">
        <f>HYPERLINK("https://pbs.twimg.com/profile_images/962471262747529216/Uo8lOkRJ_normal.jpg","View")</f>
        <v>View</v>
      </c>
      <c r="P2083" s="7"/>
    </row>
    <row r="2084" spans="1:16">
      <c r="A2084" s="3">
        <v>43868.212500000001</v>
      </c>
      <c r="B2084" s="4" t="str">
        <f>HYPERLINK("https://twitter.com/petrogustavo","@petrogustavo")</f>
        <v>@petrogustavo</v>
      </c>
      <c r="C2084" s="5" t="s">
        <v>16</v>
      </c>
      <c r="D2084" s="5" t="s">
        <v>2044</v>
      </c>
      <c r="E2084" s="6" t="str">
        <f>HYPERLINK("https://twitter.com/petrogustavo/status/1225563826592059392","1225563826592059392")</f>
        <v>1225563826592059392</v>
      </c>
      <c r="F2084" s="7" t="s">
        <v>17</v>
      </c>
      <c r="G2084" s="7">
        <v>3628626</v>
      </c>
      <c r="H2084" s="7">
        <v>2352</v>
      </c>
      <c r="I2084" s="7">
        <v>308</v>
      </c>
      <c r="J2084" s="7">
        <v>0</v>
      </c>
      <c r="K2084" s="7" t="s">
        <v>18</v>
      </c>
      <c r="L2084" s="8">
        <v>39987.315405092595</v>
      </c>
      <c r="M2084" s="9" t="s">
        <v>19</v>
      </c>
      <c r="N2084" s="9" t="s">
        <v>20</v>
      </c>
      <c r="O2084" s="6" t="str">
        <f>HYPERLINK("https://pbs.twimg.com/profile_images/962471262747529216/Uo8lOkRJ_normal.jpg","View")</f>
        <v>View</v>
      </c>
      <c r="P2084" s="7"/>
    </row>
    <row r="2085" spans="1:16">
      <c r="A2085" s="3">
        <v>43868.214895833335</v>
      </c>
      <c r="B2085" s="4" t="str">
        <f>HYPERLINK("https://twitter.com/petrogustavo","@petrogustavo")</f>
        <v>@petrogustavo</v>
      </c>
      <c r="C2085" s="5" t="s">
        <v>16</v>
      </c>
      <c r="D2085" s="5" t="s">
        <v>2045</v>
      </c>
      <c r="E2085" s="6" t="str">
        <f>HYPERLINK("https://twitter.com/petrogustavo/status/1225564694288703495","1225564694288703495")</f>
        <v>1225564694288703495</v>
      </c>
      <c r="F2085" s="7" t="s">
        <v>17</v>
      </c>
      <c r="G2085" s="7">
        <v>3628626</v>
      </c>
      <c r="H2085" s="7">
        <v>2352</v>
      </c>
      <c r="I2085" s="7">
        <v>37</v>
      </c>
      <c r="J2085" s="7">
        <v>0</v>
      </c>
      <c r="K2085" s="7" t="s">
        <v>18</v>
      </c>
      <c r="L2085" s="8">
        <v>39987.315405092595</v>
      </c>
      <c r="M2085" s="9" t="s">
        <v>19</v>
      </c>
      <c r="N2085" s="9" t="s">
        <v>20</v>
      </c>
      <c r="O2085" s="6" t="str">
        <f>HYPERLINK("https://pbs.twimg.com/profile_images/962471262747529216/Uo8lOkRJ_normal.jpg","View")</f>
        <v>View</v>
      </c>
      <c r="P2085" s="7"/>
    </row>
    <row r="2086" spans="1:16">
      <c r="A2086" s="3">
        <v>43868.215138888889</v>
      </c>
      <c r="B2086" s="4" t="str">
        <f>HYPERLINK("https://twitter.com/petrogustavo","@petrogustavo")</f>
        <v>@petrogustavo</v>
      </c>
      <c r="C2086" s="5" t="s">
        <v>16</v>
      </c>
      <c r="D2086" s="5" t="s">
        <v>2046</v>
      </c>
      <c r="E2086" s="6" t="str">
        <f>HYPERLINK("https://twitter.com/petrogustavo/status/1225564783509954560","1225564783509954560")</f>
        <v>1225564783509954560</v>
      </c>
      <c r="F2086" s="7" t="s">
        <v>17</v>
      </c>
      <c r="G2086" s="7">
        <v>3628626</v>
      </c>
      <c r="H2086" s="7">
        <v>2352</v>
      </c>
      <c r="I2086" s="7">
        <v>76</v>
      </c>
      <c r="J2086" s="7">
        <v>0</v>
      </c>
      <c r="K2086" s="7" t="s">
        <v>18</v>
      </c>
      <c r="L2086" s="8">
        <v>39987.315405092595</v>
      </c>
      <c r="M2086" s="9" t="s">
        <v>19</v>
      </c>
      <c r="N2086" s="9" t="s">
        <v>20</v>
      </c>
      <c r="O2086" s="6" t="str">
        <f>HYPERLINK("https://pbs.twimg.com/profile_images/962471262747529216/Uo8lOkRJ_normal.jpg","View")</f>
        <v>View</v>
      </c>
      <c r="P2086" s="7"/>
    </row>
    <row r="2087" spans="1:16">
      <c r="A2087" s="3">
        <v>43868.215578703705</v>
      </c>
      <c r="B2087" s="4" t="str">
        <f>HYPERLINK("https://twitter.com/petrogustavo","@petrogustavo")</f>
        <v>@petrogustavo</v>
      </c>
      <c r="C2087" s="5" t="s">
        <v>16</v>
      </c>
      <c r="D2087" s="5" t="s">
        <v>2047</v>
      </c>
      <c r="E2087" s="6" t="str">
        <f>HYPERLINK("https://twitter.com/petrogustavo/status/1225564942021091328","1225564942021091328")</f>
        <v>1225564942021091328</v>
      </c>
      <c r="F2087" s="7" t="s">
        <v>17</v>
      </c>
      <c r="G2087" s="7">
        <v>3628626</v>
      </c>
      <c r="H2087" s="7">
        <v>2352</v>
      </c>
      <c r="I2087" s="7">
        <v>55</v>
      </c>
      <c r="J2087" s="7">
        <v>0</v>
      </c>
      <c r="K2087" s="7" t="s">
        <v>18</v>
      </c>
      <c r="L2087" s="8">
        <v>39987.315405092595</v>
      </c>
      <c r="M2087" s="9" t="s">
        <v>19</v>
      </c>
      <c r="N2087" s="9" t="s">
        <v>20</v>
      </c>
      <c r="O2087" s="6" t="str">
        <f>HYPERLINK("https://pbs.twimg.com/profile_images/962471262747529216/Uo8lOkRJ_normal.jpg","View")</f>
        <v>View</v>
      </c>
      <c r="P2087" s="7"/>
    </row>
    <row r="2088" spans="1:16">
      <c r="A2088" s="3">
        <v>43868.215937500005</v>
      </c>
      <c r="B2088" s="4" t="str">
        <f>HYPERLINK("https://twitter.com/petrogustavo","@petrogustavo")</f>
        <v>@petrogustavo</v>
      </c>
      <c r="C2088" s="5" t="s">
        <v>16</v>
      </c>
      <c r="D2088" s="5" t="s">
        <v>2048</v>
      </c>
      <c r="E2088" s="6" t="str">
        <f>HYPERLINK("https://twitter.com/petrogustavo/status/1225565069175554054","1225565069175554054")</f>
        <v>1225565069175554054</v>
      </c>
      <c r="F2088" s="7" t="s">
        <v>17</v>
      </c>
      <c r="G2088" s="7">
        <v>3628626</v>
      </c>
      <c r="H2088" s="7">
        <v>2352</v>
      </c>
      <c r="I2088" s="7">
        <v>147</v>
      </c>
      <c r="J2088" s="7">
        <v>0</v>
      </c>
      <c r="K2088" s="7" t="s">
        <v>18</v>
      </c>
      <c r="L2088" s="8">
        <v>39987.315405092595</v>
      </c>
      <c r="M2088" s="9" t="s">
        <v>19</v>
      </c>
      <c r="N2088" s="9" t="s">
        <v>20</v>
      </c>
      <c r="O2088" s="6" t="str">
        <f>HYPERLINK("https://pbs.twimg.com/profile_images/962471262747529216/Uo8lOkRJ_normal.jpg","View")</f>
        <v>View</v>
      </c>
      <c r="P2088" s="7"/>
    </row>
    <row r="2089" spans="1:16">
      <c r="A2089" s="3">
        <v>43868.216053240743</v>
      </c>
      <c r="B2089" s="4" t="str">
        <f>HYPERLINK("https://twitter.com/petrogustavo","@petrogustavo")</f>
        <v>@petrogustavo</v>
      </c>
      <c r="C2089" s="5" t="s">
        <v>16</v>
      </c>
      <c r="D2089" s="5" t="s">
        <v>2049</v>
      </c>
      <c r="E2089" s="6" t="str">
        <f>HYPERLINK("https://twitter.com/petrogustavo/status/1225565114650234881","1225565114650234881")</f>
        <v>1225565114650234881</v>
      </c>
      <c r="F2089" s="7" t="s">
        <v>17</v>
      </c>
      <c r="G2089" s="7">
        <v>3628626</v>
      </c>
      <c r="H2089" s="7">
        <v>2352</v>
      </c>
      <c r="I2089" s="7">
        <v>62</v>
      </c>
      <c r="J2089" s="7">
        <v>0</v>
      </c>
      <c r="K2089" s="7" t="s">
        <v>18</v>
      </c>
      <c r="L2089" s="8">
        <v>39987.315405092595</v>
      </c>
      <c r="M2089" s="9" t="s">
        <v>19</v>
      </c>
      <c r="N2089" s="9" t="s">
        <v>20</v>
      </c>
      <c r="O2089" s="6" t="str">
        <f>HYPERLINK("https://pbs.twimg.com/profile_images/962471262747529216/Uo8lOkRJ_normal.jpg","View")</f>
        <v>View</v>
      </c>
      <c r="P2089" s="7"/>
    </row>
    <row r="2090" spans="1:16">
      <c r="A2090" s="3">
        <v>43868.216134259259</v>
      </c>
      <c r="B2090" s="4" t="str">
        <f>HYPERLINK("https://twitter.com/petrogustavo","@petrogustavo")</f>
        <v>@petrogustavo</v>
      </c>
      <c r="C2090" s="5" t="s">
        <v>16</v>
      </c>
      <c r="D2090" s="5" t="s">
        <v>2050</v>
      </c>
      <c r="E2090" s="6" t="str">
        <f>HYPERLINK("https://twitter.com/petrogustavo/status/1225565142131322880","1225565142131322880")</f>
        <v>1225565142131322880</v>
      </c>
      <c r="F2090" s="7" t="s">
        <v>17</v>
      </c>
      <c r="G2090" s="7">
        <v>3628626</v>
      </c>
      <c r="H2090" s="7">
        <v>2352</v>
      </c>
      <c r="I2090" s="7">
        <v>232</v>
      </c>
      <c r="J2090" s="7">
        <v>0</v>
      </c>
      <c r="K2090" s="7" t="s">
        <v>18</v>
      </c>
      <c r="L2090" s="8">
        <v>39987.315405092595</v>
      </c>
      <c r="M2090" s="9" t="s">
        <v>19</v>
      </c>
      <c r="N2090" s="9" t="s">
        <v>20</v>
      </c>
      <c r="O2090" s="6" t="str">
        <f>HYPERLINK("https://pbs.twimg.com/profile_images/962471262747529216/Uo8lOkRJ_normal.jpg","View")</f>
        <v>View</v>
      </c>
      <c r="P2090" s="7"/>
    </row>
    <row r="2091" spans="1:16">
      <c r="A2091" s="3">
        <v>43868.216921296298</v>
      </c>
      <c r="B2091" s="4" t="str">
        <f>HYPERLINK("https://twitter.com/petrogustavo","@petrogustavo")</f>
        <v>@petrogustavo</v>
      </c>
      <c r="C2091" s="5" t="s">
        <v>16</v>
      </c>
      <c r="D2091" s="5" t="s">
        <v>2051</v>
      </c>
      <c r="E2091" s="6" t="str">
        <f>HYPERLINK("https://twitter.com/petrogustavo/status/1225565428023537666","1225565428023537666")</f>
        <v>1225565428023537666</v>
      </c>
      <c r="F2091" s="7" t="s">
        <v>17</v>
      </c>
      <c r="G2091" s="7">
        <v>3628626</v>
      </c>
      <c r="H2091" s="7">
        <v>2352</v>
      </c>
      <c r="I2091" s="7">
        <v>153</v>
      </c>
      <c r="J2091" s="7">
        <v>0</v>
      </c>
      <c r="K2091" s="7" t="s">
        <v>18</v>
      </c>
      <c r="L2091" s="8">
        <v>39987.315405092595</v>
      </c>
      <c r="M2091" s="9" t="s">
        <v>19</v>
      </c>
      <c r="N2091" s="9" t="s">
        <v>20</v>
      </c>
      <c r="O2091" s="6" t="str">
        <f>HYPERLINK("https://pbs.twimg.com/profile_images/962471262747529216/Uo8lOkRJ_normal.jpg","View")</f>
        <v>View</v>
      </c>
      <c r="P2091" s="7"/>
    </row>
    <row r="2092" spans="1:16">
      <c r="A2092" s="3">
        <v>43868.217638888891</v>
      </c>
      <c r="B2092" s="4" t="str">
        <f>HYPERLINK("https://twitter.com/petrogustavo","@petrogustavo")</f>
        <v>@petrogustavo</v>
      </c>
      <c r="C2092" s="5" t="s">
        <v>16</v>
      </c>
      <c r="D2092" s="5" t="s">
        <v>2052</v>
      </c>
      <c r="E2092" s="6" t="str">
        <f>HYPERLINK("https://twitter.com/petrogustavo/status/1225565686593966081","1225565686593966081")</f>
        <v>1225565686593966081</v>
      </c>
      <c r="F2092" s="7" t="s">
        <v>17</v>
      </c>
      <c r="G2092" s="7">
        <v>3628626</v>
      </c>
      <c r="H2092" s="7">
        <v>2352</v>
      </c>
      <c r="I2092" s="7">
        <v>604</v>
      </c>
      <c r="J2092" s="7">
        <v>0</v>
      </c>
      <c r="K2092" s="7" t="s">
        <v>18</v>
      </c>
      <c r="L2092" s="8">
        <v>39987.315405092595</v>
      </c>
      <c r="M2092" s="9" t="s">
        <v>19</v>
      </c>
      <c r="N2092" s="9" t="s">
        <v>20</v>
      </c>
      <c r="O2092" s="6" t="str">
        <f>HYPERLINK("https://pbs.twimg.com/profile_images/962471262747529216/Uo8lOkRJ_normal.jpg","View")</f>
        <v>View</v>
      </c>
      <c r="P2092" s="7"/>
    </row>
    <row r="2093" spans="1:16">
      <c r="A2093" s="3">
        <v>43868.220023148147</v>
      </c>
      <c r="B2093" s="4" t="str">
        <f>HYPERLINK("https://twitter.com/petrogustavo","@petrogustavo")</f>
        <v>@petrogustavo</v>
      </c>
      <c r="C2093" s="5" t="s">
        <v>16</v>
      </c>
      <c r="D2093" s="5" t="s">
        <v>2053</v>
      </c>
      <c r="E2093" s="6" t="str">
        <f>HYPERLINK("https://twitter.com/petrogustavo/status/1225566552596066304","1225566552596066304")</f>
        <v>1225566552596066304</v>
      </c>
      <c r="F2093" s="7" t="s">
        <v>17</v>
      </c>
      <c r="G2093" s="7">
        <v>3628626</v>
      </c>
      <c r="H2093" s="7">
        <v>2352</v>
      </c>
      <c r="I2093" s="7">
        <v>42</v>
      </c>
      <c r="J2093" s="7">
        <v>0</v>
      </c>
      <c r="K2093" s="7" t="s">
        <v>18</v>
      </c>
      <c r="L2093" s="8">
        <v>39987.315405092595</v>
      </c>
      <c r="M2093" s="9" t="s">
        <v>19</v>
      </c>
      <c r="N2093" s="9" t="s">
        <v>20</v>
      </c>
      <c r="O2093" s="6" t="str">
        <f>HYPERLINK("https://pbs.twimg.com/profile_images/962471262747529216/Uo8lOkRJ_normal.jpg","View")</f>
        <v>View</v>
      </c>
      <c r="P2093" s="7"/>
    </row>
    <row r="2094" spans="1:16">
      <c r="A2094" s="3">
        <v>43868.220775462964</v>
      </c>
      <c r="B2094" s="4" t="str">
        <f>HYPERLINK("https://twitter.com/petrogustavo","@petrogustavo")</f>
        <v>@petrogustavo</v>
      </c>
      <c r="C2094" s="5" t="s">
        <v>16</v>
      </c>
      <c r="D2094" s="5" t="s">
        <v>2054</v>
      </c>
      <c r="E2094" s="6" t="str">
        <f>HYPERLINK("https://twitter.com/petrogustavo/status/1225566823283818497","1225566823283818497")</f>
        <v>1225566823283818497</v>
      </c>
      <c r="F2094" s="7" t="s">
        <v>17</v>
      </c>
      <c r="G2094" s="7">
        <v>3628626</v>
      </c>
      <c r="H2094" s="7">
        <v>2352</v>
      </c>
      <c r="I2094" s="7">
        <v>132</v>
      </c>
      <c r="J2094" s="7">
        <v>0</v>
      </c>
      <c r="K2094" s="7" t="s">
        <v>18</v>
      </c>
      <c r="L2094" s="8">
        <v>39987.315405092595</v>
      </c>
      <c r="M2094" s="9" t="s">
        <v>19</v>
      </c>
      <c r="N2094" s="9" t="s">
        <v>20</v>
      </c>
      <c r="O2094" s="6" t="str">
        <f>HYPERLINK("https://pbs.twimg.com/profile_images/962471262747529216/Uo8lOkRJ_normal.jpg","View")</f>
        <v>View</v>
      </c>
      <c r="P2094" s="7"/>
    </row>
    <row r="2095" spans="1:16">
      <c r="A2095" s="3">
        <v>43868.224039351851</v>
      </c>
      <c r="B2095" s="4" t="str">
        <f>HYPERLINK("https://twitter.com/petrogustavo","@petrogustavo")</f>
        <v>@petrogustavo</v>
      </c>
      <c r="C2095" s="5" t="s">
        <v>16</v>
      </c>
      <c r="D2095" s="5" t="s">
        <v>2055</v>
      </c>
      <c r="E2095" s="6" t="str">
        <f>HYPERLINK("https://twitter.com/petrogustavo/status/1225568005956014080","1225568005956014080")</f>
        <v>1225568005956014080</v>
      </c>
      <c r="F2095" s="7" t="s">
        <v>17</v>
      </c>
      <c r="G2095" s="7">
        <v>3628626</v>
      </c>
      <c r="H2095" s="7">
        <v>2352</v>
      </c>
      <c r="I2095" s="7">
        <v>65</v>
      </c>
      <c r="J2095" s="7">
        <v>139</v>
      </c>
      <c r="K2095" s="7" t="s">
        <v>18</v>
      </c>
      <c r="L2095" s="8">
        <v>39987.315405092595</v>
      </c>
      <c r="M2095" s="9" t="s">
        <v>19</v>
      </c>
      <c r="N2095" s="9" t="s">
        <v>20</v>
      </c>
      <c r="O2095" s="6" t="str">
        <f>HYPERLINK("https://pbs.twimg.com/profile_images/962471262747529216/Uo8lOkRJ_normal.jpg","View")</f>
        <v>View</v>
      </c>
      <c r="P2095" s="7"/>
    </row>
    <row r="2096" spans="1:16">
      <c r="A2096" s="3">
        <v>43868.227141203708</v>
      </c>
      <c r="B2096" s="4" t="str">
        <f>HYPERLINK("https://twitter.com/petrogustavo","@petrogustavo")</f>
        <v>@petrogustavo</v>
      </c>
      <c r="C2096" s="5" t="s">
        <v>16</v>
      </c>
      <c r="D2096" s="5" t="s">
        <v>2056</v>
      </c>
      <c r="E2096" s="6" t="str">
        <f>HYPERLINK("https://twitter.com/petrogustavo/status/1225569130302132226","1225569130302132226")</f>
        <v>1225569130302132226</v>
      </c>
      <c r="F2096" s="7" t="s">
        <v>17</v>
      </c>
      <c r="G2096" s="7">
        <v>3628626</v>
      </c>
      <c r="H2096" s="7">
        <v>2352</v>
      </c>
      <c r="I2096" s="7">
        <v>92</v>
      </c>
      <c r="J2096" s="7">
        <v>192</v>
      </c>
      <c r="K2096" s="7" t="s">
        <v>18</v>
      </c>
      <c r="L2096" s="8">
        <v>39987.315405092595</v>
      </c>
      <c r="M2096" s="9" t="s">
        <v>19</v>
      </c>
      <c r="N2096" s="9" t="s">
        <v>20</v>
      </c>
      <c r="O2096" s="6" t="str">
        <f>HYPERLINK("https://pbs.twimg.com/profile_images/962471262747529216/Uo8lOkRJ_normal.jpg","View")</f>
        <v>View</v>
      </c>
      <c r="P2096" s="7"/>
    </row>
    <row r="2097" spans="1:16">
      <c r="A2097" s="3">
        <v>43868.228020833332</v>
      </c>
      <c r="B2097" s="4" t="str">
        <f>HYPERLINK("https://twitter.com/petrogustavo","@petrogustavo")</f>
        <v>@petrogustavo</v>
      </c>
      <c r="C2097" s="5" t="s">
        <v>16</v>
      </c>
      <c r="D2097" s="5" t="s">
        <v>2057</v>
      </c>
      <c r="E2097" s="6" t="str">
        <f>HYPERLINK("https://twitter.com/petrogustavo/status/1225569451007004672","1225569451007004672")</f>
        <v>1225569451007004672</v>
      </c>
      <c r="F2097" s="7" t="s">
        <v>17</v>
      </c>
      <c r="G2097" s="7">
        <v>3628626</v>
      </c>
      <c r="H2097" s="7">
        <v>2352</v>
      </c>
      <c r="I2097" s="7">
        <v>18</v>
      </c>
      <c r="J2097" s="7">
        <v>0</v>
      </c>
      <c r="K2097" s="7" t="s">
        <v>18</v>
      </c>
      <c r="L2097" s="8">
        <v>39987.315405092595</v>
      </c>
      <c r="M2097" s="9" t="s">
        <v>19</v>
      </c>
      <c r="N2097" s="9" t="s">
        <v>20</v>
      </c>
      <c r="O2097" s="6" t="str">
        <f>HYPERLINK("https://pbs.twimg.com/profile_images/962471262747529216/Uo8lOkRJ_normal.jpg","View")</f>
        <v>View</v>
      </c>
      <c r="P2097" s="7"/>
    </row>
    <row r="2098" spans="1:16">
      <c r="A2098" s="3">
        <v>43868.233449074076</v>
      </c>
      <c r="B2098" s="4" t="str">
        <f>HYPERLINK("https://twitter.com/petrogustavo","@petrogustavo")</f>
        <v>@petrogustavo</v>
      </c>
      <c r="C2098" s="5" t="s">
        <v>16</v>
      </c>
      <c r="D2098" s="5" t="s">
        <v>2058</v>
      </c>
      <c r="E2098" s="6" t="str">
        <f>HYPERLINK("https://twitter.com/petrogustavo/status/1225571418953453568","1225571418953453568")</f>
        <v>1225571418953453568</v>
      </c>
      <c r="F2098" s="7" t="s">
        <v>17</v>
      </c>
      <c r="G2098" s="7">
        <v>3628673</v>
      </c>
      <c r="H2098" s="7">
        <v>2352</v>
      </c>
      <c r="I2098" s="7">
        <v>71</v>
      </c>
      <c r="J2098" s="7">
        <v>0</v>
      </c>
      <c r="K2098" s="7" t="s">
        <v>18</v>
      </c>
      <c r="L2098" s="8">
        <v>39987.315405092595</v>
      </c>
      <c r="M2098" s="9" t="s">
        <v>19</v>
      </c>
      <c r="N2098" s="9" t="s">
        <v>20</v>
      </c>
      <c r="O2098" s="6" t="str">
        <f>HYPERLINK("https://pbs.twimg.com/profile_images/962471262747529216/Uo8lOkRJ_normal.jpg","View")</f>
        <v>View</v>
      </c>
      <c r="P2098" s="7"/>
    </row>
    <row r="2099" spans="1:16">
      <c r="A2099" s="3">
        <v>43868.235115740739</v>
      </c>
      <c r="B2099" s="4" t="str">
        <f>HYPERLINK("https://twitter.com/petrogustavo","@petrogustavo")</f>
        <v>@petrogustavo</v>
      </c>
      <c r="C2099" s="5" t="s">
        <v>16</v>
      </c>
      <c r="D2099" s="5" t="s">
        <v>2059</v>
      </c>
      <c r="E2099" s="6" t="str">
        <f>HYPERLINK("https://twitter.com/petrogustavo/status/1225572020072722443","1225572020072722443")</f>
        <v>1225572020072722443</v>
      </c>
      <c r="F2099" s="7" t="s">
        <v>17</v>
      </c>
      <c r="G2099" s="7">
        <v>3628673</v>
      </c>
      <c r="H2099" s="7">
        <v>2352</v>
      </c>
      <c r="I2099" s="7">
        <v>403</v>
      </c>
      <c r="J2099" s="7">
        <v>0</v>
      </c>
      <c r="K2099" s="7" t="s">
        <v>18</v>
      </c>
      <c r="L2099" s="8">
        <v>39987.315405092595</v>
      </c>
      <c r="M2099" s="9" t="s">
        <v>19</v>
      </c>
      <c r="N2099" s="9" t="s">
        <v>20</v>
      </c>
      <c r="O2099" s="6" t="str">
        <f>HYPERLINK("https://pbs.twimg.com/profile_images/962471262747529216/Uo8lOkRJ_normal.jpg","View")</f>
        <v>View</v>
      </c>
      <c r="P2099" s="7"/>
    </row>
    <row r="2100" spans="1:16">
      <c r="A2100" s="3">
        <v>43868.239016203705</v>
      </c>
      <c r="B2100" s="4" t="str">
        <f>HYPERLINK("https://twitter.com/petrogustavo","@petrogustavo")</f>
        <v>@petrogustavo</v>
      </c>
      <c r="C2100" s="5" t="s">
        <v>16</v>
      </c>
      <c r="D2100" s="5" t="s">
        <v>2060</v>
      </c>
      <c r="E2100" s="6" t="str">
        <f>HYPERLINK("https://twitter.com/petrogustavo/status/1225573436291940356","1225573436291940356")</f>
        <v>1225573436291940356</v>
      </c>
      <c r="F2100" s="7" t="s">
        <v>17</v>
      </c>
      <c r="G2100" s="7">
        <v>3628673</v>
      </c>
      <c r="H2100" s="7">
        <v>2352</v>
      </c>
      <c r="I2100" s="7">
        <v>525</v>
      </c>
      <c r="J2100" s="7">
        <v>0</v>
      </c>
      <c r="K2100" s="7" t="s">
        <v>18</v>
      </c>
      <c r="L2100" s="8">
        <v>39987.315405092595</v>
      </c>
      <c r="M2100" s="9" t="s">
        <v>19</v>
      </c>
      <c r="N2100" s="9" t="s">
        <v>20</v>
      </c>
      <c r="O2100" s="6" t="str">
        <f>HYPERLINK("https://pbs.twimg.com/profile_images/962471262747529216/Uo8lOkRJ_normal.jpg","View")</f>
        <v>View</v>
      </c>
      <c r="P2100" s="7"/>
    </row>
    <row r="2101" spans="1:16">
      <c r="A2101" s="3">
        <v>43868.239340277782</v>
      </c>
      <c r="B2101" s="4" t="str">
        <f>HYPERLINK("https://twitter.com/petrogustavo","@petrogustavo")</f>
        <v>@petrogustavo</v>
      </c>
      <c r="C2101" s="5" t="s">
        <v>16</v>
      </c>
      <c r="D2101" s="5" t="s">
        <v>2061</v>
      </c>
      <c r="E2101" s="6" t="str">
        <f>HYPERLINK("https://twitter.com/petrogustavo/status/1225573552428064771","1225573552428064771")</f>
        <v>1225573552428064771</v>
      </c>
      <c r="F2101" s="7" t="s">
        <v>17</v>
      </c>
      <c r="G2101" s="7">
        <v>3628673</v>
      </c>
      <c r="H2101" s="7">
        <v>2352</v>
      </c>
      <c r="I2101" s="7">
        <v>37</v>
      </c>
      <c r="J2101" s="7">
        <v>0</v>
      </c>
      <c r="K2101" s="7" t="s">
        <v>18</v>
      </c>
      <c r="L2101" s="8">
        <v>39987.315405092595</v>
      </c>
      <c r="M2101" s="9" t="s">
        <v>19</v>
      </c>
      <c r="N2101" s="9" t="s">
        <v>20</v>
      </c>
      <c r="O2101" s="6" t="str">
        <f>HYPERLINK("https://pbs.twimg.com/profile_images/962471262747529216/Uo8lOkRJ_normal.jpg","View")</f>
        <v>View</v>
      </c>
      <c r="P2101" s="7"/>
    </row>
    <row r="2102" spans="1:16">
      <c r="A2102" s="3">
        <v>43868.243576388893</v>
      </c>
      <c r="B2102" s="4" t="str">
        <f>HYPERLINK("https://twitter.com/petrogustavo","@petrogustavo")</f>
        <v>@petrogustavo</v>
      </c>
      <c r="C2102" s="5" t="s">
        <v>16</v>
      </c>
      <c r="D2102" s="5" t="s">
        <v>2062</v>
      </c>
      <c r="E2102" s="6" t="str">
        <f>HYPERLINK("https://twitter.com/petrogustavo/status/1225575087828611072","1225575087828611072")</f>
        <v>1225575087828611072</v>
      </c>
      <c r="F2102" s="7" t="s">
        <v>17</v>
      </c>
      <c r="G2102" s="7">
        <v>3628673</v>
      </c>
      <c r="H2102" s="7">
        <v>2352</v>
      </c>
      <c r="I2102" s="7">
        <v>88</v>
      </c>
      <c r="J2102" s="7">
        <v>215</v>
      </c>
      <c r="K2102" s="7" t="s">
        <v>18</v>
      </c>
      <c r="L2102" s="8">
        <v>39987.315405092595</v>
      </c>
      <c r="M2102" s="9" t="s">
        <v>19</v>
      </c>
      <c r="N2102" s="9" t="s">
        <v>20</v>
      </c>
      <c r="O2102" s="6" t="str">
        <f>HYPERLINK("https://pbs.twimg.com/profile_images/962471262747529216/Uo8lOkRJ_normal.jpg","View")</f>
        <v>View</v>
      </c>
      <c r="P2102" s="7"/>
    </row>
    <row r="2103" spans="1:16">
      <c r="A2103" s="3">
        <v>43868.317361111112</v>
      </c>
      <c r="B2103" s="4" t="str">
        <f>HYPERLINK("https://twitter.com/petrogustavo","@petrogustavo")</f>
        <v>@petrogustavo</v>
      </c>
      <c r="C2103" s="5" t="s">
        <v>16</v>
      </c>
      <c r="D2103" s="5" t="s">
        <v>2063</v>
      </c>
      <c r="E2103" s="6" t="str">
        <f>HYPERLINK("https://twitter.com/petrogustavo/status/1225601826474668033","1225601826474668033")</f>
        <v>1225601826474668033</v>
      </c>
      <c r="F2103" s="7" t="s">
        <v>17</v>
      </c>
      <c r="G2103" s="7">
        <v>3628829</v>
      </c>
      <c r="H2103" s="7">
        <v>2352</v>
      </c>
      <c r="I2103" s="7">
        <v>308</v>
      </c>
      <c r="J2103" s="7">
        <v>0</v>
      </c>
      <c r="K2103" s="7" t="s">
        <v>18</v>
      </c>
      <c r="L2103" s="8">
        <v>39987.315405092595</v>
      </c>
      <c r="M2103" s="9" t="s">
        <v>19</v>
      </c>
      <c r="N2103" s="9" t="s">
        <v>20</v>
      </c>
      <c r="O2103" s="6" t="str">
        <f>HYPERLINK("https://pbs.twimg.com/profile_images/962471262747529216/Uo8lOkRJ_normal.jpg","View")</f>
        <v>View</v>
      </c>
      <c r="P2103" s="7"/>
    </row>
    <row r="2104" spans="1:16">
      <c r="A2104" s="3">
        <v>43868.319351851853</v>
      </c>
      <c r="B2104" s="4" t="str">
        <f>HYPERLINK("https://twitter.com/petrogustavo","@petrogustavo")</f>
        <v>@petrogustavo</v>
      </c>
      <c r="C2104" s="5" t="s">
        <v>16</v>
      </c>
      <c r="D2104" s="5" t="s">
        <v>2064</v>
      </c>
      <c r="E2104" s="6" t="str">
        <f>HYPERLINK("https://twitter.com/petrogustavo/status/1225602548058509312","1225602548058509312")</f>
        <v>1225602548058509312</v>
      </c>
      <c r="F2104" s="7" t="s">
        <v>17</v>
      </c>
      <c r="G2104" s="7">
        <v>3628829</v>
      </c>
      <c r="H2104" s="7">
        <v>2352</v>
      </c>
      <c r="I2104" s="7">
        <v>41</v>
      </c>
      <c r="J2104" s="7">
        <v>0</v>
      </c>
      <c r="K2104" s="7" t="s">
        <v>18</v>
      </c>
      <c r="L2104" s="8">
        <v>39987.315405092595</v>
      </c>
      <c r="M2104" s="9" t="s">
        <v>19</v>
      </c>
      <c r="N2104" s="9" t="s">
        <v>20</v>
      </c>
      <c r="O2104" s="6" t="str">
        <f>HYPERLINK("https://pbs.twimg.com/profile_images/962471262747529216/Uo8lOkRJ_normal.jpg","View")</f>
        <v>View</v>
      </c>
      <c r="P2104" s="7"/>
    </row>
    <row r="2105" spans="1:16">
      <c r="A2105" s="3">
        <v>43868.32136574074</v>
      </c>
      <c r="B2105" s="4" t="str">
        <f>HYPERLINK("https://twitter.com/petrogustavo","@petrogustavo")</f>
        <v>@petrogustavo</v>
      </c>
      <c r="C2105" s="5" t="s">
        <v>16</v>
      </c>
      <c r="D2105" s="5" t="s">
        <v>2065</v>
      </c>
      <c r="E2105" s="6" t="str">
        <f>HYPERLINK("https://twitter.com/petrogustavo/status/1225603275996704771","1225603275996704771")</f>
        <v>1225603275996704771</v>
      </c>
      <c r="F2105" s="7" t="s">
        <v>17</v>
      </c>
      <c r="G2105" s="7">
        <v>3628829</v>
      </c>
      <c r="H2105" s="7">
        <v>2352</v>
      </c>
      <c r="I2105" s="7">
        <v>454</v>
      </c>
      <c r="J2105" s="7">
        <v>1187</v>
      </c>
      <c r="K2105" s="7" t="s">
        <v>18</v>
      </c>
      <c r="L2105" s="8">
        <v>39987.315405092595</v>
      </c>
      <c r="M2105" s="9" t="s">
        <v>19</v>
      </c>
      <c r="N2105" s="9" t="s">
        <v>20</v>
      </c>
      <c r="O2105" s="6" t="str">
        <f>HYPERLINK("https://pbs.twimg.com/profile_images/962471262747529216/Uo8lOkRJ_normal.jpg","View")</f>
        <v>View</v>
      </c>
      <c r="P2105" s="7"/>
    </row>
    <row r="2106" spans="1:16">
      <c r="A2106" s="3">
        <v>43869.106053240743</v>
      </c>
      <c r="B2106" s="4" t="str">
        <f>HYPERLINK("https://twitter.com/petrogustavo","@petrogustavo")</f>
        <v>@petrogustavo</v>
      </c>
      <c r="C2106" s="5" t="s">
        <v>16</v>
      </c>
      <c r="D2106" s="5" t="s">
        <v>2066</v>
      </c>
      <c r="E2106" s="6" t="str">
        <f>HYPERLINK("https://twitter.com/petrogustavo/status/1225887636776247309","1225887636776247309")</f>
        <v>1225887636776247309</v>
      </c>
      <c r="F2106" s="7" t="s">
        <v>32</v>
      </c>
      <c r="G2106" s="7">
        <v>3629622</v>
      </c>
      <c r="H2106" s="7">
        <v>2352</v>
      </c>
      <c r="I2106" s="7">
        <v>550</v>
      </c>
      <c r="J2106" s="7">
        <v>0</v>
      </c>
      <c r="K2106" s="7" t="s">
        <v>18</v>
      </c>
      <c r="L2106" s="8">
        <v>39987.315405092595</v>
      </c>
      <c r="M2106" s="9" t="s">
        <v>19</v>
      </c>
      <c r="N2106" s="9" t="s">
        <v>20</v>
      </c>
      <c r="O2106" s="6" t="str">
        <f>HYPERLINK("https://pbs.twimg.com/profile_images/962471262747529216/Uo8lOkRJ_normal.jpg","View")</f>
        <v>View</v>
      </c>
      <c r="P2106" s="7"/>
    </row>
    <row r="2107" spans="1:16">
      <c r="A2107" s="3">
        <v>43869.223819444444</v>
      </c>
      <c r="B2107" s="4" t="str">
        <f>HYPERLINK("https://twitter.com/petrogustavo","@petrogustavo")</f>
        <v>@petrogustavo</v>
      </c>
      <c r="C2107" s="5" t="s">
        <v>16</v>
      </c>
      <c r="D2107" s="5" t="s">
        <v>2067</v>
      </c>
      <c r="E2107" s="6" t="str">
        <f>HYPERLINK("https://twitter.com/petrogustavo/status/1225930315341946880","1225930315341946880")</f>
        <v>1225930315341946880</v>
      </c>
      <c r="F2107" s="7" t="s">
        <v>17</v>
      </c>
      <c r="G2107" s="7">
        <v>3629721</v>
      </c>
      <c r="H2107" s="7">
        <v>2353</v>
      </c>
      <c r="I2107" s="7">
        <v>73</v>
      </c>
      <c r="J2107" s="7">
        <v>0</v>
      </c>
      <c r="K2107" s="7" t="s">
        <v>18</v>
      </c>
      <c r="L2107" s="8">
        <v>39987.315405092595</v>
      </c>
      <c r="M2107" s="9" t="s">
        <v>19</v>
      </c>
      <c r="N2107" s="9" t="s">
        <v>20</v>
      </c>
      <c r="O2107" s="6" t="str">
        <f>HYPERLINK("https://pbs.twimg.com/profile_images/962471262747529216/Uo8lOkRJ_normal.jpg","View")</f>
        <v>View</v>
      </c>
      <c r="P2107" s="7"/>
    </row>
    <row r="2108" spans="1:16">
      <c r="A2108" s="3">
        <v>43869.899421296301</v>
      </c>
      <c r="B2108" s="4" t="str">
        <f>HYPERLINK("https://twitter.com/petrogustavo","@petrogustavo")</f>
        <v>@petrogustavo</v>
      </c>
      <c r="C2108" s="5" t="s">
        <v>16</v>
      </c>
      <c r="D2108" s="5" t="s">
        <v>2068</v>
      </c>
      <c r="E2108" s="6" t="str">
        <f>HYPERLINK("https://twitter.com/petrogustavo/status/1226175146806972418","1226175146806972418")</f>
        <v>1226175146806972418</v>
      </c>
      <c r="F2108" s="7" t="s">
        <v>32</v>
      </c>
      <c r="G2108" s="7">
        <v>3630242</v>
      </c>
      <c r="H2108" s="7">
        <v>2353</v>
      </c>
      <c r="I2108" s="7">
        <v>186</v>
      </c>
      <c r="J2108" s="7">
        <v>507</v>
      </c>
      <c r="K2108" s="7" t="s">
        <v>18</v>
      </c>
      <c r="L2108" s="8">
        <v>39987.315405092595</v>
      </c>
      <c r="M2108" s="9" t="s">
        <v>19</v>
      </c>
      <c r="N2108" s="9" t="s">
        <v>20</v>
      </c>
      <c r="O2108" s="6" t="str">
        <f>HYPERLINK("https://pbs.twimg.com/profile_images/962471262747529216/Uo8lOkRJ_normal.jpg","View")</f>
        <v>View</v>
      </c>
      <c r="P2108" s="7"/>
    </row>
    <row r="2109" spans="1:16">
      <c r="A2109" s="3">
        <v>43869.905104166668</v>
      </c>
      <c r="B2109" s="4" t="str">
        <f>HYPERLINK("https://twitter.com/petrogustavo","@petrogustavo")</f>
        <v>@petrogustavo</v>
      </c>
      <c r="C2109" s="5" t="s">
        <v>16</v>
      </c>
      <c r="D2109" s="5" t="s">
        <v>2069</v>
      </c>
      <c r="E2109" s="6" t="str">
        <f>HYPERLINK("https://twitter.com/petrogustavo/status/1226177206151450624","1226177206151450624")</f>
        <v>1226177206151450624</v>
      </c>
      <c r="F2109" s="7" t="s">
        <v>32</v>
      </c>
      <c r="G2109" s="7">
        <v>3630242</v>
      </c>
      <c r="H2109" s="7">
        <v>2353</v>
      </c>
      <c r="I2109" s="7">
        <v>19</v>
      </c>
      <c r="J2109" s="7">
        <v>0</v>
      </c>
      <c r="K2109" s="7" t="s">
        <v>18</v>
      </c>
      <c r="L2109" s="8">
        <v>39987.315405092595</v>
      </c>
      <c r="M2109" s="9" t="s">
        <v>19</v>
      </c>
      <c r="N2109" s="9" t="s">
        <v>20</v>
      </c>
      <c r="O2109" s="6" t="str">
        <f>HYPERLINK("https://pbs.twimg.com/profile_images/962471262747529216/Uo8lOkRJ_normal.jpg","View")</f>
        <v>View</v>
      </c>
      <c r="P2109" s="7"/>
    </row>
    <row r="2110" spans="1:16">
      <c r="A2110" s="3">
        <v>43869.905648148153</v>
      </c>
      <c r="B2110" s="4" t="str">
        <f>HYPERLINK("https://twitter.com/petrogustavo","@petrogustavo")</f>
        <v>@petrogustavo</v>
      </c>
      <c r="C2110" s="5" t="s">
        <v>16</v>
      </c>
      <c r="D2110" s="5" t="s">
        <v>2070</v>
      </c>
      <c r="E2110" s="6" t="str">
        <f>HYPERLINK("https://twitter.com/petrogustavo/status/1226177401761288192","1226177401761288192")</f>
        <v>1226177401761288192</v>
      </c>
      <c r="F2110" s="7" t="s">
        <v>32</v>
      </c>
      <c r="G2110" s="7">
        <v>3630242</v>
      </c>
      <c r="H2110" s="7">
        <v>2353</v>
      </c>
      <c r="I2110" s="7">
        <v>2752</v>
      </c>
      <c r="J2110" s="7">
        <v>0</v>
      </c>
      <c r="K2110" s="7" t="s">
        <v>18</v>
      </c>
      <c r="L2110" s="8">
        <v>39987.315405092595</v>
      </c>
      <c r="M2110" s="9" t="s">
        <v>19</v>
      </c>
      <c r="N2110" s="9" t="s">
        <v>20</v>
      </c>
      <c r="O2110" s="6" t="str">
        <f>HYPERLINK("https://pbs.twimg.com/profile_images/962471262747529216/Uo8lOkRJ_normal.jpg","View")</f>
        <v>View</v>
      </c>
      <c r="P2110" s="7"/>
    </row>
    <row r="2111" spans="1:16">
      <c r="A2111" s="3">
        <v>43869.911585648151</v>
      </c>
      <c r="B2111" s="4" t="str">
        <f>HYPERLINK("https://twitter.com/petrogustavo","@petrogustavo")</f>
        <v>@petrogustavo</v>
      </c>
      <c r="C2111" s="5" t="s">
        <v>16</v>
      </c>
      <c r="D2111" s="5" t="s">
        <v>2071</v>
      </c>
      <c r="E2111" s="6" t="str">
        <f>HYPERLINK("https://twitter.com/petrogustavo/status/1226179552365498368","1226179552365498368")</f>
        <v>1226179552365498368</v>
      </c>
      <c r="F2111" s="7" t="s">
        <v>32</v>
      </c>
      <c r="G2111" s="7">
        <v>3630242</v>
      </c>
      <c r="H2111" s="7">
        <v>2353</v>
      </c>
      <c r="I2111" s="7">
        <v>102</v>
      </c>
      <c r="J2111" s="7">
        <v>331</v>
      </c>
      <c r="K2111" s="7" t="s">
        <v>18</v>
      </c>
      <c r="L2111" s="8">
        <v>39987.315405092595</v>
      </c>
      <c r="M2111" s="9" t="s">
        <v>19</v>
      </c>
      <c r="N2111" s="9" t="s">
        <v>20</v>
      </c>
      <c r="O2111" s="6" t="str">
        <f>HYPERLINK("https://pbs.twimg.com/profile_images/962471262747529216/Uo8lOkRJ_normal.jpg","View")</f>
        <v>View</v>
      </c>
      <c r="P2111" s="7"/>
    </row>
    <row r="2112" spans="1:16">
      <c r="A2112" s="3">
        <v>43869.914826388893</v>
      </c>
      <c r="B2112" s="4" t="str">
        <f>HYPERLINK("https://twitter.com/petrogustavo","@petrogustavo")</f>
        <v>@petrogustavo</v>
      </c>
      <c r="C2112" s="5" t="s">
        <v>16</v>
      </c>
      <c r="D2112" s="5" t="s">
        <v>2072</v>
      </c>
      <c r="E2112" s="6" t="str">
        <f>HYPERLINK("https://twitter.com/petrogustavo/status/1226180726829256706","1226180726829256706")</f>
        <v>1226180726829256706</v>
      </c>
      <c r="F2112" s="7" t="s">
        <v>32</v>
      </c>
      <c r="G2112" s="7">
        <v>3630242</v>
      </c>
      <c r="H2112" s="7">
        <v>2353</v>
      </c>
      <c r="I2112" s="7">
        <v>83</v>
      </c>
      <c r="J2112" s="7">
        <v>237</v>
      </c>
      <c r="K2112" s="7" t="s">
        <v>18</v>
      </c>
      <c r="L2112" s="8">
        <v>39987.315405092595</v>
      </c>
      <c r="M2112" s="9" t="s">
        <v>19</v>
      </c>
      <c r="N2112" s="9" t="s">
        <v>20</v>
      </c>
      <c r="O2112" s="6" t="str">
        <f>HYPERLINK("https://pbs.twimg.com/profile_images/962471262747529216/Uo8lOkRJ_normal.jpg","View")</f>
        <v>View</v>
      </c>
      <c r="P2112" s="7"/>
    </row>
    <row r="2113" spans="1:16">
      <c r="A2113" s="3">
        <v>43869.957291666666</v>
      </c>
      <c r="B2113" s="4" t="str">
        <f>HYPERLINK("https://twitter.com/petrogustavo","@petrogustavo")</f>
        <v>@petrogustavo</v>
      </c>
      <c r="C2113" s="5" t="s">
        <v>16</v>
      </c>
      <c r="D2113" s="5" t="s">
        <v>2073</v>
      </c>
      <c r="E2113" s="6" t="str">
        <f>HYPERLINK("https://twitter.com/petrogustavo/status/1226196117173522432","1226196117173522432")</f>
        <v>1226196117173522432</v>
      </c>
      <c r="F2113" s="7" t="s">
        <v>17</v>
      </c>
      <c r="G2113" s="7">
        <v>3630288</v>
      </c>
      <c r="H2113" s="7">
        <v>2353</v>
      </c>
      <c r="I2113" s="7">
        <v>25</v>
      </c>
      <c r="J2113" s="7">
        <v>86</v>
      </c>
      <c r="K2113" s="7" t="s">
        <v>18</v>
      </c>
      <c r="L2113" s="8">
        <v>39987.315405092595</v>
      </c>
      <c r="M2113" s="9" t="s">
        <v>19</v>
      </c>
      <c r="N2113" s="9" t="s">
        <v>20</v>
      </c>
      <c r="O2113" s="6" t="str">
        <f>HYPERLINK("https://pbs.twimg.com/profile_images/962471262747529216/Uo8lOkRJ_normal.jpg","View")</f>
        <v>View</v>
      </c>
      <c r="P2113" s="7"/>
    </row>
    <row r="2114" spans="1:16">
      <c r="A2114" s="3">
        <v>43869.961412037039</v>
      </c>
      <c r="B2114" s="4" t="str">
        <f>HYPERLINK("https://twitter.com/petrogustavo","@petrogustavo")</f>
        <v>@petrogustavo</v>
      </c>
      <c r="C2114" s="5" t="s">
        <v>16</v>
      </c>
      <c r="D2114" s="5" t="s">
        <v>2074</v>
      </c>
      <c r="E2114" s="6" t="str">
        <f>HYPERLINK("https://twitter.com/petrogustavo/status/1226197608009478144","1226197608009478144")</f>
        <v>1226197608009478144</v>
      </c>
      <c r="F2114" s="7" t="s">
        <v>17</v>
      </c>
      <c r="G2114" s="7">
        <v>3630305</v>
      </c>
      <c r="H2114" s="7">
        <v>2353</v>
      </c>
      <c r="I2114" s="7">
        <v>48</v>
      </c>
      <c r="J2114" s="7">
        <v>172</v>
      </c>
      <c r="K2114" s="7" t="s">
        <v>18</v>
      </c>
      <c r="L2114" s="8">
        <v>39987.315405092595</v>
      </c>
      <c r="M2114" s="9" t="s">
        <v>19</v>
      </c>
      <c r="N2114" s="9" t="s">
        <v>20</v>
      </c>
      <c r="O2114" s="6" t="str">
        <f>HYPERLINK("https://pbs.twimg.com/profile_images/962471262747529216/Uo8lOkRJ_normal.jpg","View")</f>
        <v>View</v>
      </c>
      <c r="P2114" s="7"/>
    </row>
    <row r="2115" spans="1:16">
      <c r="A2115" s="3">
        <v>43869.965995370367</v>
      </c>
      <c r="B2115" s="4" t="str">
        <f>HYPERLINK("https://twitter.com/petrogustavo","@petrogustavo")</f>
        <v>@petrogustavo</v>
      </c>
      <c r="C2115" s="5" t="s">
        <v>16</v>
      </c>
      <c r="D2115" s="5" t="s">
        <v>2075</v>
      </c>
      <c r="E2115" s="6" t="str">
        <f>HYPERLINK("https://twitter.com/petrogustavo/status/1226199270195433472","1226199270195433472")</f>
        <v>1226199270195433472</v>
      </c>
      <c r="F2115" s="7" t="s">
        <v>17</v>
      </c>
      <c r="G2115" s="7">
        <v>3630305</v>
      </c>
      <c r="H2115" s="7">
        <v>2353</v>
      </c>
      <c r="I2115" s="7">
        <v>113</v>
      </c>
      <c r="J2115" s="7">
        <v>369</v>
      </c>
      <c r="K2115" s="7" t="s">
        <v>18</v>
      </c>
      <c r="L2115" s="8">
        <v>39987.315405092595</v>
      </c>
      <c r="M2115" s="9" t="s">
        <v>19</v>
      </c>
      <c r="N2115" s="9" t="s">
        <v>20</v>
      </c>
      <c r="O2115" s="6" t="str">
        <f>HYPERLINK("https://pbs.twimg.com/profile_images/962471262747529216/Uo8lOkRJ_normal.jpg","View")</f>
        <v>View</v>
      </c>
      <c r="P2115" s="7"/>
    </row>
    <row r="2116" spans="1:16">
      <c r="A2116" s="3">
        <v>43869.969872685186</v>
      </c>
      <c r="B2116" s="4" t="str">
        <f>HYPERLINK("https://twitter.com/petrogustavo","@petrogustavo")</f>
        <v>@petrogustavo</v>
      </c>
      <c r="C2116" s="5" t="s">
        <v>16</v>
      </c>
      <c r="D2116" s="5" t="s">
        <v>2076</v>
      </c>
      <c r="E2116" s="6" t="str">
        <f>HYPERLINK("https://twitter.com/petrogustavo/status/1226200674901295104","1226200674901295104")</f>
        <v>1226200674901295104</v>
      </c>
      <c r="F2116" s="7" t="s">
        <v>17</v>
      </c>
      <c r="G2116" s="7">
        <v>3630305</v>
      </c>
      <c r="H2116" s="7">
        <v>2353</v>
      </c>
      <c r="I2116" s="7">
        <v>2024</v>
      </c>
      <c r="J2116" s="7">
        <v>0</v>
      </c>
      <c r="K2116" s="7" t="s">
        <v>18</v>
      </c>
      <c r="L2116" s="8">
        <v>39987.315405092595</v>
      </c>
      <c r="M2116" s="9" t="s">
        <v>19</v>
      </c>
      <c r="N2116" s="9" t="s">
        <v>20</v>
      </c>
      <c r="O2116" s="6" t="str">
        <f>HYPERLINK("https://pbs.twimg.com/profile_images/962471262747529216/Uo8lOkRJ_normal.jpg","View")</f>
        <v>View</v>
      </c>
      <c r="P2116" s="7"/>
    </row>
    <row r="2117" spans="1:16">
      <c r="A2117" s="3">
        <v>43869.97719907407</v>
      </c>
      <c r="B2117" s="4" t="str">
        <f>HYPERLINK("https://twitter.com/petrogustavo","@petrogustavo")</f>
        <v>@petrogustavo</v>
      </c>
      <c r="C2117" s="5" t="s">
        <v>16</v>
      </c>
      <c r="D2117" s="5" t="s">
        <v>2077</v>
      </c>
      <c r="E2117" s="6" t="str">
        <f>HYPERLINK("https://twitter.com/petrogustavo/status/1226203329535102976","1226203329535102976")</f>
        <v>1226203329535102976</v>
      </c>
      <c r="F2117" s="7" t="s">
        <v>17</v>
      </c>
      <c r="G2117" s="7">
        <v>3630305</v>
      </c>
      <c r="H2117" s="7">
        <v>2353</v>
      </c>
      <c r="I2117" s="7">
        <v>81</v>
      </c>
      <c r="J2117" s="7">
        <v>0</v>
      </c>
      <c r="K2117" s="7" t="s">
        <v>18</v>
      </c>
      <c r="L2117" s="8">
        <v>39987.315405092595</v>
      </c>
      <c r="M2117" s="9" t="s">
        <v>19</v>
      </c>
      <c r="N2117" s="9" t="s">
        <v>20</v>
      </c>
      <c r="O2117" s="6" t="str">
        <f>HYPERLINK("https://pbs.twimg.com/profile_images/962471262747529216/Uo8lOkRJ_normal.jpg","View")</f>
        <v>View</v>
      </c>
      <c r="P2117" s="7"/>
    </row>
    <row r="2118" spans="1:16">
      <c r="A2118" s="3">
        <v>43869.982476851852</v>
      </c>
      <c r="B2118" s="4" t="str">
        <f>HYPERLINK("https://twitter.com/petrogustavo","@petrogustavo")</f>
        <v>@petrogustavo</v>
      </c>
      <c r="C2118" s="5" t="s">
        <v>16</v>
      </c>
      <c r="D2118" s="5" t="s">
        <v>2078</v>
      </c>
      <c r="E2118" s="6" t="str">
        <f>HYPERLINK("https://twitter.com/petrogustavo/status/1226205243416940544","1226205243416940544")</f>
        <v>1226205243416940544</v>
      </c>
      <c r="F2118" s="7" t="s">
        <v>17</v>
      </c>
      <c r="G2118" s="7">
        <v>3630315</v>
      </c>
      <c r="H2118" s="7">
        <v>2353</v>
      </c>
      <c r="I2118" s="7">
        <v>136</v>
      </c>
      <c r="J2118" s="7">
        <v>378</v>
      </c>
      <c r="K2118" s="7" t="s">
        <v>18</v>
      </c>
      <c r="L2118" s="8">
        <v>39987.315405092595</v>
      </c>
      <c r="M2118" s="9" t="s">
        <v>19</v>
      </c>
      <c r="N2118" s="9" t="s">
        <v>20</v>
      </c>
      <c r="O2118" s="6" t="str">
        <f>HYPERLINK("https://pbs.twimg.com/profile_images/962471262747529216/Uo8lOkRJ_normal.jpg","View")</f>
        <v>View</v>
      </c>
      <c r="P2118" s="7"/>
    </row>
    <row r="2119" spans="1:16">
      <c r="A2119" s="3">
        <v>43869.982476851852</v>
      </c>
      <c r="B2119" s="4" t="str">
        <f>HYPERLINK("https://twitter.com/petrogustavo","@petrogustavo")</f>
        <v>@petrogustavo</v>
      </c>
      <c r="C2119" s="5" t="s">
        <v>16</v>
      </c>
      <c r="D2119" s="5" t="s">
        <v>2079</v>
      </c>
      <c r="E2119" s="6" t="str">
        <f>HYPERLINK("https://twitter.com/petrogustavo/status/1226205244453015552","1226205244453015552")</f>
        <v>1226205244453015552</v>
      </c>
      <c r="F2119" s="7" t="s">
        <v>17</v>
      </c>
      <c r="G2119" s="7">
        <v>3630315</v>
      </c>
      <c r="H2119" s="7">
        <v>2353</v>
      </c>
      <c r="I2119" s="7">
        <v>64</v>
      </c>
      <c r="J2119" s="7">
        <v>187</v>
      </c>
      <c r="K2119" s="7" t="s">
        <v>18</v>
      </c>
      <c r="L2119" s="8">
        <v>39987.315405092595</v>
      </c>
      <c r="M2119" s="9" t="s">
        <v>19</v>
      </c>
      <c r="N2119" s="9" t="s">
        <v>20</v>
      </c>
      <c r="O2119" s="6" t="str">
        <f>HYPERLINK("https://pbs.twimg.com/profile_images/962471262747529216/Uo8lOkRJ_normal.jpg","View")</f>
        <v>View</v>
      </c>
      <c r="P2119" s="7"/>
    </row>
    <row r="2120" spans="1:16">
      <c r="A2120" s="3">
        <v>43869.982488425929</v>
      </c>
      <c r="B2120" s="4" t="str">
        <f>HYPERLINK("https://twitter.com/petrogustavo","@petrogustavo")</f>
        <v>@petrogustavo</v>
      </c>
      <c r="C2120" s="5" t="s">
        <v>16</v>
      </c>
      <c r="D2120" s="5" t="s">
        <v>2080</v>
      </c>
      <c r="E2120" s="6" t="str">
        <f>HYPERLINK("https://twitter.com/petrogustavo/status/1226205246738829318","1226205246738829318")</f>
        <v>1226205246738829318</v>
      </c>
      <c r="F2120" s="7" t="s">
        <v>17</v>
      </c>
      <c r="G2120" s="7">
        <v>3630315</v>
      </c>
      <c r="H2120" s="7">
        <v>2353</v>
      </c>
      <c r="I2120" s="7">
        <v>62</v>
      </c>
      <c r="J2120" s="7">
        <v>185</v>
      </c>
      <c r="K2120" s="7" t="s">
        <v>18</v>
      </c>
      <c r="L2120" s="8">
        <v>39987.315405092595</v>
      </c>
      <c r="M2120" s="9" t="s">
        <v>19</v>
      </c>
      <c r="N2120" s="9" t="s">
        <v>20</v>
      </c>
      <c r="O2120" s="6" t="str">
        <f>HYPERLINK("https://pbs.twimg.com/profile_images/962471262747529216/Uo8lOkRJ_normal.jpg","View")</f>
        <v>View</v>
      </c>
      <c r="P2120" s="7"/>
    </row>
    <row r="2121" spans="1:16">
      <c r="A2121" s="3">
        <v>43869.996469907404</v>
      </c>
      <c r="B2121" s="4" t="str">
        <f>HYPERLINK("https://twitter.com/petrogustavo","@petrogustavo")</f>
        <v>@petrogustavo</v>
      </c>
      <c r="C2121" s="5" t="s">
        <v>16</v>
      </c>
      <c r="D2121" s="5" t="s">
        <v>2081</v>
      </c>
      <c r="E2121" s="6" t="str">
        <f>HYPERLINK("https://twitter.com/petrogustavo/status/1226210316268298240","1226210316268298240")</f>
        <v>1226210316268298240</v>
      </c>
      <c r="F2121" s="7" t="s">
        <v>17</v>
      </c>
      <c r="G2121" s="7">
        <v>3630315</v>
      </c>
      <c r="H2121" s="7">
        <v>2353</v>
      </c>
      <c r="I2121" s="7">
        <v>106</v>
      </c>
      <c r="J2121" s="7">
        <v>261</v>
      </c>
      <c r="K2121" s="7" t="s">
        <v>18</v>
      </c>
      <c r="L2121" s="8">
        <v>39987.315405092595</v>
      </c>
      <c r="M2121" s="9" t="s">
        <v>19</v>
      </c>
      <c r="N2121" s="9" t="s">
        <v>20</v>
      </c>
      <c r="O2121" s="6" t="str">
        <f>HYPERLINK("https://pbs.twimg.com/profile_images/962471262747529216/Uo8lOkRJ_normal.jpg","View")</f>
        <v>View</v>
      </c>
      <c r="P2121" s="7"/>
    </row>
    <row r="2122" spans="1:16">
      <c r="A2122" s="3">
        <v>43869.999606481477</v>
      </c>
      <c r="B2122" s="4" t="str">
        <f>HYPERLINK("https://twitter.com/petrogustavo","@petrogustavo")</f>
        <v>@petrogustavo</v>
      </c>
      <c r="C2122" s="5" t="s">
        <v>16</v>
      </c>
      <c r="D2122" s="5" t="s">
        <v>2082</v>
      </c>
      <c r="E2122" s="6" t="str">
        <f>HYPERLINK("https://twitter.com/petrogustavo/status/1226211452756856833","1226211452756856833")</f>
        <v>1226211452756856833</v>
      </c>
      <c r="F2122" s="7" t="s">
        <v>17</v>
      </c>
      <c r="G2122" s="7">
        <v>3630315</v>
      </c>
      <c r="H2122" s="7">
        <v>2353</v>
      </c>
      <c r="I2122" s="7">
        <v>136</v>
      </c>
      <c r="J2122" s="7">
        <v>0</v>
      </c>
      <c r="K2122" s="7" t="s">
        <v>18</v>
      </c>
      <c r="L2122" s="8">
        <v>39987.315405092595</v>
      </c>
      <c r="M2122" s="9" t="s">
        <v>19</v>
      </c>
      <c r="N2122" s="9" t="s">
        <v>20</v>
      </c>
      <c r="O2122" s="6" t="str">
        <f>HYPERLINK("https://pbs.twimg.com/profile_images/962471262747529216/Uo8lOkRJ_normal.jpg","View")</f>
        <v>View</v>
      </c>
      <c r="P2122" s="7"/>
    </row>
    <row r="2123" spans="1:16">
      <c r="A2123" s="3">
        <v>43870.203564814816</v>
      </c>
      <c r="B2123" s="4" t="str">
        <f>HYPERLINK("https://twitter.com/petrogustavo","@petrogustavo")</f>
        <v>@petrogustavo</v>
      </c>
      <c r="C2123" s="5" t="s">
        <v>16</v>
      </c>
      <c r="D2123" s="5" t="s">
        <v>2083</v>
      </c>
      <c r="E2123" s="6" t="str">
        <f>HYPERLINK("https://twitter.com/petrogustavo/status/1226285365000101888","1226285365000101888")</f>
        <v>1226285365000101888</v>
      </c>
      <c r="F2123" s="7" t="s">
        <v>17</v>
      </c>
      <c r="G2123" s="7">
        <v>3630480</v>
      </c>
      <c r="H2123" s="7">
        <v>2352</v>
      </c>
      <c r="I2123" s="7">
        <v>41</v>
      </c>
      <c r="J2123" s="7">
        <v>0</v>
      </c>
      <c r="K2123" s="7" t="s">
        <v>18</v>
      </c>
      <c r="L2123" s="8">
        <v>39987.315405092595</v>
      </c>
      <c r="M2123" s="9" t="s">
        <v>19</v>
      </c>
      <c r="N2123" s="9" t="s">
        <v>20</v>
      </c>
      <c r="O2123" s="6" t="str">
        <f>HYPERLINK("https://pbs.twimg.com/profile_images/962471262747529216/Uo8lOkRJ_normal.jpg","View")</f>
        <v>View</v>
      </c>
      <c r="P2123" s="7"/>
    </row>
    <row r="2124" spans="1:16">
      <c r="A2124" s="3">
        <v>43870.204861111109</v>
      </c>
      <c r="B2124" s="4" t="str">
        <f>HYPERLINK("https://twitter.com/petrogustavo","@petrogustavo")</f>
        <v>@petrogustavo</v>
      </c>
      <c r="C2124" s="5" t="s">
        <v>16</v>
      </c>
      <c r="D2124" s="5" t="s">
        <v>2082</v>
      </c>
      <c r="E2124" s="6" t="str">
        <f>HYPERLINK("https://twitter.com/petrogustavo/status/1226285833780695042","1226285833780695042")</f>
        <v>1226285833780695042</v>
      </c>
      <c r="F2124" s="7" t="s">
        <v>17</v>
      </c>
      <c r="G2124" s="7">
        <v>3630480</v>
      </c>
      <c r="H2124" s="7">
        <v>2352</v>
      </c>
      <c r="I2124" s="7">
        <v>655</v>
      </c>
      <c r="J2124" s="7">
        <v>0</v>
      </c>
      <c r="K2124" s="7" t="s">
        <v>18</v>
      </c>
      <c r="L2124" s="8">
        <v>39987.315405092595</v>
      </c>
      <c r="M2124" s="9" t="s">
        <v>19</v>
      </c>
      <c r="N2124" s="9" t="s">
        <v>20</v>
      </c>
      <c r="O2124" s="6" t="str">
        <f>HYPERLINK("https://pbs.twimg.com/profile_images/962471262747529216/Uo8lOkRJ_normal.jpg","View")</f>
        <v>View</v>
      </c>
      <c r="P2124" s="7"/>
    </row>
    <row r="2125" spans="1:16">
      <c r="A2125" s="3">
        <v>43870.20711805555</v>
      </c>
      <c r="B2125" s="4" t="str">
        <f>HYPERLINK("https://twitter.com/petrogustavo","@petrogustavo")</f>
        <v>@petrogustavo</v>
      </c>
      <c r="C2125" s="5" t="s">
        <v>16</v>
      </c>
      <c r="D2125" s="5" t="s">
        <v>2084</v>
      </c>
      <c r="E2125" s="6" t="str">
        <f>HYPERLINK("https://twitter.com/petrogustavo/status/1226286649400791043","1226286649400791043")</f>
        <v>1226286649400791043</v>
      </c>
      <c r="F2125" s="7" t="s">
        <v>17</v>
      </c>
      <c r="G2125" s="7">
        <v>3630480</v>
      </c>
      <c r="H2125" s="7">
        <v>2352</v>
      </c>
      <c r="I2125" s="7">
        <v>52</v>
      </c>
      <c r="J2125" s="7">
        <v>103</v>
      </c>
      <c r="K2125" s="7" t="s">
        <v>18</v>
      </c>
      <c r="L2125" s="8">
        <v>39987.315405092595</v>
      </c>
      <c r="M2125" s="9" t="s">
        <v>19</v>
      </c>
      <c r="N2125" s="9" t="s">
        <v>20</v>
      </c>
      <c r="O2125" s="6" t="str">
        <f>HYPERLINK("https://pbs.twimg.com/profile_images/962471262747529216/Uo8lOkRJ_normal.jpg","View")</f>
        <v>View</v>
      </c>
      <c r="P2125" s="7"/>
    </row>
    <row r="2126" spans="1:16">
      <c r="A2126" s="3">
        <v>43870.309560185182</v>
      </c>
      <c r="B2126" s="4" t="str">
        <f>HYPERLINK("https://twitter.com/petrogustavo","@petrogustavo")</f>
        <v>@petrogustavo</v>
      </c>
      <c r="C2126" s="5" t="s">
        <v>16</v>
      </c>
      <c r="D2126" s="5" t="s">
        <v>2082</v>
      </c>
      <c r="E2126" s="6" t="str">
        <f>HYPERLINK("https://twitter.com/petrogustavo/status/1226323776478031873","1226323776478031873")</f>
        <v>1226323776478031873</v>
      </c>
      <c r="F2126" s="7" t="s">
        <v>17</v>
      </c>
      <c r="G2126" s="7">
        <v>3630572</v>
      </c>
      <c r="H2126" s="7">
        <v>2352</v>
      </c>
      <c r="I2126" s="7">
        <v>839</v>
      </c>
      <c r="J2126" s="7">
        <v>0</v>
      </c>
      <c r="K2126" s="7" t="s">
        <v>18</v>
      </c>
      <c r="L2126" s="8">
        <v>39987.315405092595</v>
      </c>
      <c r="M2126" s="9" t="s">
        <v>19</v>
      </c>
      <c r="N2126" s="9" t="s">
        <v>20</v>
      </c>
      <c r="O2126" s="6" t="str">
        <f>HYPERLINK("https://pbs.twimg.com/profile_images/962471262747529216/Uo8lOkRJ_normal.jpg","View")</f>
        <v>View</v>
      </c>
      <c r="P2126" s="7"/>
    </row>
    <row r="2127" spans="1:16">
      <c r="A2127" s="3">
        <v>43870.806157407409</v>
      </c>
      <c r="B2127" s="4" t="str">
        <f>HYPERLINK("https://twitter.com/petrogustavo","@petrogustavo")</f>
        <v>@petrogustavo</v>
      </c>
      <c r="C2127" s="5" t="s">
        <v>16</v>
      </c>
      <c r="D2127" s="5" t="s">
        <v>2085</v>
      </c>
      <c r="E2127" s="6" t="str">
        <f>HYPERLINK("https://twitter.com/petrogustavo/status/1226503733951057920","1226503733951057920")</f>
        <v>1226503733951057920</v>
      </c>
      <c r="F2127" s="7" t="s">
        <v>17</v>
      </c>
      <c r="G2127" s="7">
        <v>3630832</v>
      </c>
      <c r="H2127" s="7">
        <v>2352</v>
      </c>
      <c r="I2127" s="7">
        <v>82</v>
      </c>
      <c r="J2127" s="7">
        <v>156</v>
      </c>
      <c r="K2127" s="7" t="s">
        <v>18</v>
      </c>
      <c r="L2127" s="8">
        <v>39987.315405092595</v>
      </c>
      <c r="M2127" s="9" t="s">
        <v>19</v>
      </c>
      <c r="N2127" s="9" t="s">
        <v>20</v>
      </c>
      <c r="O2127" s="6" t="str">
        <f>HYPERLINK("https://pbs.twimg.com/profile_images/962471262747529216/Uo8lOkRJ_normal.jpg","View")</f>
        <v>View</v>
      </c>
      <c r="P2127" s="7"/>
    </row>
    <row r="2128" spans="1:16">
      <c r="A2128" s="3">
        <v>43870.808136574073</v>
      </c>
      <c r="B2128" s="4" t="str">
        <f>HYPERLINK("https://twitter.com/petrogustavo","@petrogustavo")</f>
        <v>@petrogustavo</v>
      </c>
      <c r="C2128" s="5" t="s">
        <v>16</v>
      </c>
      <c r="D2128" s="5" t="s">
        <v>2086</v>
      </c>
      <c r="E2128" s="6" t="str">
        <f>HYPERLINK("https://twitter.com/petrogustavo/status/1226504450715660288","1226504450715660288")</f>
        <v>1226504450715660288</v>
      </c>
      <c r="F2128" s="7" t="s">
        <v>17</v>
      </c>
      <c r="G2128" s="7">
        <v>3630832</v>
      </c>
      <c r="H2128" s="7">
        <v>2352</v>
      </c>
      <c r="I2128" s="7">
        <v>72</v>
      </c>
      <c r="J2128" s="7">
        <v>162</v>
      </c>
      <c r="K2128" s="7" t="s">
        <v>18</v>
      </c>
      <c r="L2128" s="8">
        <v>39987.315405092595</v>
      </c>
      <c r="M2128" s="9" t="s">
        <v>19</v>
      </c>
      <c r="N2128" s="9" t="s">
        <v>20</v>
      </c>
      <c r="O2128" s="6" t="str">
        <f>HYPERLINK("https://pbs.twimg.com/profile_images/962471262747529216/Uo8lOkRJ_normal.jpg","View")</f>
        <v>View</v>
      </c>
      <c r="P2128" s="7"/>
    </row>
    <row r="2129" spans="1:16">
      <c r="A2129" s="3">
        <v>43870.81212962963</v>
      </c>
      <c r="B2129" s="4" t="str">
        <f>HYPERLINK("https://twitter.com/petrogustavo","@petrogustavo")</f>
        <v>@petrogustavo</v>
      </c>
      <c r="C2129" s="5" t="s">
        <v>16</v>
      </c>
      <c r="D2129" s="5" t="s">
        <v>2087</v>
      </c>
      <c r="E2129" s="6" t="str">
        <f>HYPERLINK("https://twitter.com/petrogustavo/status/1226505901001060353","1226505901001060353")</f>
        <v>1226505901001060353</v>
      </c>
      <c r="F2129" s="7" t="s">
        <v>17</v>
      </c>
      <c r="G2129" s="7">
        <v>3630832</v>
      </c>
      <c r="H2129" s="7">
        <v>2352</v>
      </c>
      <c r="I2129" s="7">
        <v>23</v>
      </c>
      <c r="J2129" s="7">
        <v>43</v>
      </c>
      <c r="K2129" s="7" t="s">
        <v>18</v>
      </c>
      <c r="L2129" s="8">
        <v>39987.315405092595</v>
      </c>
      <c r="M2129" s="9" t="s">
        <v>19</v>
      </c>
      <c r="N2129" s="9" t="s">
        <v>20</v>
      </c>
      <c r="O2129" s="6" t="str">
        <f>HYPERLINK("https://pbs.twimg.com/profile_images/962471262747529216/Uo8lOkRJ_normal.jpg","View")</f>
        <v>View</v>
      </c>
      <c r="P2129" s="7"/>
    </row>
    <row r="2130" spans="1:16">
      <c r="A2130" s="3">
        <v>43870.891956018517</v>
      </c>
      <c r="B2130" s="4" t="str">
        <f>HYPERLINK("https://twitter.com/petrogustavo","@petrogustavo")</f>
        <v>@petrogustavo</v>
      </c>
      <c r="C2130" s="5" t="s">
        <v>16</v>
      </c>
      <c r="D2130" s="5" t="s">
        <v>2088</v>
      </c>
      <c r="E2130" s="6" t="str">
        <f>HYPERLINK("https://twitter.com/petrogustavo/status/1226534827547152384","1226534827547152384")</f>
        <v>1226534827547152384</v>
      </c>
      <c r="F2130" s="7" t="s">
        <v>17</v>
      </c>
      <c r="G2130" s="7">
        <v>3630942</v>
      </c>
      <c r="H2130" s="7">
        <v>2352</v>
      </c>
      <c r="I2130" s="7">
        <v>99</v>
      </c>
      <c r="J2130" s="7">
        <v>0</v>
      </c>
      <c r="K2130" s="7" t="s">
        <v>18</v>
      </c>
      <c r="L2130" s="8">
        <v>39987.315405092595</v>
      </c>
      <c r="M2130" s="9" t="s">
        <v>19</v>
      </c>
      <c r="N2130" s="9" t="s">
        <v>20</v>
      </c>
      <c r="O2130" s="6" t="str">
        <f>HYPERLINK("https://pbs.twimg.com/profile_images/962471262747529216/Uo8lOkRJ_normal.jpg","View")</f>
        <v>View</v>
      </c>
      <c r="P2130" s="7"/>
    </row>
    <row r="2131" spans="1:16">
      <c r="A2131" s="3">
        <v>43870.897534722222</v>
      </c>
      <c r="B2131" s="4" t="str">
        <f>HYPERLINK("https://twitter.com/petrogustavo","@petrogustavo")</f>
        <v>@petrogustavo</v>
      </c>
      <c r="C2131" s="5" t="s">
        <v>16</v>
      </c>
      <c r="D2131" s="5" t="s">
        <v>2089</v>
      </c>
      <c r="E2131" s="6" t="str">
        <f>HYPERLINK("https://twitter.com/petrogustavo/status/1226536848903802880","1226536848903802880")</f>
        <v>1226536848903802880</v>
      </c>
      <c r="F2131" s="7" t="s">
        <v>17</v>
      </c>
      <c r="G2131" s="7">
        <v>3630942</v>
      </c>
      <c r="H2131" s="7">
        <v>2352</v>
      </c>
      <c r="I2131" s="7">
        <v>141</v>
      </c>
      <c r="J2131" s="7">
        <v>348</v>
      </c>
      <c r="K2131" s="7" t="s">
        <v>18</v>
      </c>
      <c r="L2131" s="8">
        <v>39987.315405092595</v>
      </c>
      <c r="M2131" s="9" t="s">
        <v>19</v>
      </c>
      <c r="N2131" s="9" t="s">
        <v>20</v>
      </c>
      <c r="O2131" s="6" t="str">
        <f>HYPERLINK("https://pbs.twimg.com/profile_images/962471262747529216/Uo8lOkRJ_normal.jpg","View")</f>
        <v>View</v>
      </c>
      <c r="P2131" s="7"/>
    </row>
    <row r="2132" spans="1:16">
      <c r="A2132" s="3">
        <v>43870.897974537038</v>
      </c>
      <c r="B2132" s="4" t="str">
        <f>HYPERLINK("https://twitter.com/petrogustavo","@petrogustavo")</f>
        <v>@petrogustavo</v>
      </c>
      <c r="C2132" s="5" t="s">
        <v>16</v>
      </c>
      <c r="D2132" s="5" t="s">
        <v>2082</v>
      </c>
      <c r="E2132" s="6" t="str">
        <f>HYPERLINK("https://twitter.com/petrogustavo/status/1226537006869729283","1226537006869729283")</f>
        <v>1226537006869729283</v>
      </c>
      <c r="F2132" s="7" t="s">
        <v>17</v>
      </c>
      <c r="G2132" s="7">
        <v>3630942</v>
      </c>
      <c r="H2132" s="7">
        <v>2352</v>
      </c>
      <c r="I2132" s="7">
        <v>1189</v>
      </c>
      <c r="J2132" s="7">
        <v>0</v>
      </c>
      <c r="K2132" s="7" t="s">
        <v>18</v>
      </c>
      <c r="L2132" s="8">
        <v>39987.315405092595</v>
      </c>
      <c r="M2132" s="9" t="s">
        <v>19</v>
      </c>
      <c r="N2132" s="9" t="s">
        <v>20</v>
      </c>
      <c r="O2132" s="6" t="str">
        <f>HYPERLINK("https://pbs.twimg.com/profile_images/962471262747529216/Uo8lOkRJ_normal.jpg","View")</f>
        <v>View</v>
      </c>
      <c r="P2132" s="7"/>
    </row>
    <row r="2133" spans="1:16">
      <c r="A2133" s="3">
        <v>43870.971145833333</v>
      </c>
      <c r="B2133" s="4" t="str">
        <f>HYPERLINK("https://twitter.com/petrogustavo","@petrogustavo")</f>
        <v>@petrogustavo</v>
      </c>
      <c r="C2133" s="5" t="s">
        <v>16</v>
      </c>
      <c r="D2133" s="5" t="s">
        <v>2090</v>
      </c>
      <c r="E2133" s="6" t="str">
        <f>HYPERLINK("https://twitter.com/petrogustavo/status/1226563523884568580","1226563523884568580")</f>
        <v>1226563523884568580</v>
      </c>
      <c r="F2133" s="7" t="s">
        <v>17</v>
      </c>
      <c r="G2133" s="7">
        <v>3630993</v>
      </c>
      <c r="H2133" s="7">
        <v>2352</v>
      </c>
      <c r="I2133" s="7">
        <v>62</v>
      </c>
      <c r="J2133" s="7">
        <v>177</v>
      </c>
      <c r="K2133" s="7" t="s">
        <v>18</v>
      </c>
      <c r="L2133" s="8">
        <v>39987.315405092595</v>
      </c>
      <c r="M2133" s="9" t="s">
        <v>19</v>
      </c>
      <c r="N2133" s="9" t="s">
        <v>20</v>
      </c>
      <c r="O2133" s="6" t="str">
        <f>HYPERLINK("https://pbs.twimg.com/profile_images/962471262747529216/Uo8lOkRJ_normal.jpg","View")</f>
        <v>View</v>
      </c>
      <c r="P2133" s="7"/>
    </row>
    <row r="2134" spans="1:16">
      <c r="A2134" s="3">
        <v>43870.978761574079</v>
      </c>
      <c r="B2134" s="4" t="str">
        <f>HYPERLINK("https://twitter.com/petrogustavo","@petrogustavo")</f>
        <v>@petrogustavo</v>
      </c>
      <c r="C2134" s="5" t="s">
        <v>16</v>
      </c>
      <c r="D2134" s="5" t="s">
        <v>2091</v>
      </c>
      <c r="E2134" s="6" t="str">
        <f>HYPERLINK("https://twitter.com/petrogustavo/status/1226566286437765122","1226566286437765122")</f>
        <v>1226566286437765122</v>
      </c>
      <c r="F2134" s="7" t="s">
        <v>17</v>
      </c>
      <c r="G2134" s="7">
        <v>3630993</v>
      </c>
      <c r="H2134" s="7">
        <v>2352</v>
      </c>
      <c r="I2134" s="7">
        <v>10</v>
      </c>
      <c r="J2134" s="7">
        <v>28</v>
      </c>
      <c r="K2134" s="7" t="s">
        <v>18</v>
      </c>
      <c r="L2134" s="8">
        <v>39987.315405092595</v>
      </c>
      <c r="M2134" s="9" t="s">
        <v>19</v>
      </c>
      <c r="N2134" s="9" t="s">
        <v>20</v>
      </c>
      <c r="O2134" s="6" t="str">
        <f>HYPERLINK("https://pbs.twimg.com/profile_images/962471262747529216/Uo8lOkRJ_normal.jpg","View")</f>
        <v>View</v>
      </c>
      <c r="P2134" s="7"/>
    </row>
    <row r="2135" spans="1:16">
      <c r="A2135" s="3">
        <v>43870.985115740739</v>
      </c>
      <c r="B2135" s="4" t="str">
        <f>HYPERLINK("https://twitter.com/petrogustavo","@petrogustavo")</f>
        <v>@petrogustavo</v>
      </c>
      <c r="C2135" s="5" t="s">
        <v>16</v>
      </c>
      <c r="D2135" s="5" t="s">
        <v>2092</v>
      </c>
      <c r="E2135" s="6" t="str">
        <f>HYPERLINK("https://twitter.com/petrogustavo/status/1226568587470614528","1226568587470614528")</f>
        <v>1226568587470614528</v>
      </c>
      <c r="F2135" s="7" t="s">
        <v>17</v>
      </c>
      <c r="G2135" s="7">
        <v>3631013</v>
      </c>
      <c r="H2135" s="7">
        <v>2352</v>
      </c>
      <c r="I2135" s="7">
        <v>57</v>
      </c>
      <c r="J2135" s="7">
        <v>0</v>
      </c>
      <c r="K2135" s="7" t="s">
        <v>18</v>
      </c>
      <c r="L2135" s="8">
        <v>39987.315405092595</v>
      </c>
      <c r="M2135" s="9" t="s">
        <v>19</v>
      </c>
      <c r="N2135" s="9" t="s">
        <v>20</v>
      </c>
      <c r="O2135" s="6" t="str">
        <f>HYPERLINK("https://pbs.twimg.com/profile_images/962471262747529216/Uo8lOkRJ_normal.jpg","View")</f>
        <v>View</v>
      </c>
      <c r="P2135" s="7"/>
    </row>
    <row r="2136" spans="1:16">
      <c r="A2136" s="3">
        <v>43870.997962962967</v>
      </c>
      <c r="B2136" s="4" t="str">
        <f>HYPERLINK("https://twitter.com/petrogustavo","@petrogustavo")</f>
        <v>@petrogustavo</v>
      </c>
      <c r="C2136" s="5" t="s">
        <v>16</v>
      </c>
      <c r="D2136" s="5" t="s">
        <v>2093</v>
      </c>
      <c r="E2136" s="6" t="str">
        <f>HYPERLINK("https://twitter.com/petrogustavo/status/1226573241583636485","1226573241583636485")</f>
        <v>1226573241583636485</v>
      </c>
      <c r="F2136" s="7" t="s">
        <v>17</v>
      </c>
      <c r="G2136" s="7">
        <v>3631013</v>
      </c>
      <c r="H2136" s="7">
        <v>2352</v>
      </c>
      <c r="I2136" s="7">
        <v>29</v>
      </c>
      <c r="J2136" s="7">
        <v>158</v>
      </c>
      <c r="K2136" s="7" t="s">
        <v>18</v>
      </c>
      <c r="L2136" s="8">
        <v>39987.315405092595</v>
      </c>
      <c r="M2136" s="9" t="s">
        <v>19</v>
      </c>
      <c r="N2136" s="9" t="s">
        <v>20</v>
      </c>
      <c r="O2136" s="6" t="str">
        <f>HYPERLINK("https://pbs.twimg.com/profile_images/962471262747529216/Uo8lOkRJ_normal.jpg","View")</f>
        <v>View</v>
      </c>
      <c r="P2136" s="7"/>
    </row>
    <row r="2137" spans="1:16">
      <c r="A2137" s="3">
        <v>43874.23914351852</v>
      </c>
      <c r="B2137" s="4" t="str">
        <f>HYPERLINK("https://twitter.com/petrogustavo","@petrogustavo")</f>
        <v>@petrogustavo</v>
      </c>
      <c r="C2137" s="5" t="s">
        <v>16</v>
      </c>
      <c r="D2137" s="5" t="s">
        <v>2094</v>
      </c>
      <c r="E2137" s="6" t="str">
        <f>HYPERLINK("https://twitter.com/petrogustavo/status/1227747806837985280","1227747806837985280")</f>
        <v>1227747806837985280</v>
      </c>
      <c r="F2137" s="7" t="s">
        <v>17</v>
      </c>
      <c r="G2137" s="7">
        <v>3634461</v>
      </c>
      <c r="H2137" s="7">
        <v>2350</v>
      </c>
      <c r="I2137" s="7">
        <v>88</v>
      </c>
      <c r="J2137" s="7">
        <v>249</v>
      </c>
      <c r="K2137" s="7" t="s">
        <v>18</v>
      </c>
      <c r="L2137" s="8">
        <v>39987.315405092595</v>
      </c>
      <c r="M2137" s="9" t="s">
        <v>19</v>
      </c>
      <c r="N2137" s="9" t="s">
        <v>20</v>
      </c>
      <c r="O2137" s="6" t="str">
        <f>HYPERLINK("https://pbs.twimg.com/profile_images/962471262747529216/Uo8lOkRJ_normal.jpg","View")</f>
        <v>View</v>
      </c>
      <c r="P2137" s="7"/>
    </row>
    <row r="2138" spans="1:16">
      <c r="A2138" s="3">
        <v>43874.241793981477</v>
      </c>
      <c r="B2138" s="4" t="str">
        <f>HYPERLINK("https://twitter.com/petrogustavo","@petrogustavo")</f>
        <v>@petrogustavo</v>
      </c>
      <c r="C2138" s="5" t="s">
        <v>16</v>
      </c>
      <c r="D2138" s="5" t="s">
        <v>2095</v>
      </c>
      <c r="E2138" s="6" t="str">
        <f>HYPERLINK("https://twitter.com/petrogustavo/status/1227748768885374981","1227748768885374981")</f>
        <v>1227748768885374981</v>
      </c>
      <c r="F2138" s="7" t="s">
        <v>17</v>
      </c>
      <c r="G2138" s="7">
        <v>3634461</v>
      </c>
      <c r="H2138" s="7">
        <v>2350</v>
      </c>
      <c r="I2138" s="7">
        <v>212</v>
      </c>
      <c r="J2138" s="7">
        <v>487</v>
      </c>
      <c r="K2138" s="7" t="s">
        <v>18</v>
      </c>
      <c r="L2138" s="8">
        <v>39987.315405092595</v>
      </c>
      <c r="M2138" s="9" t="s">
        <v>19</v>
      </c>
      <c r="N2138" s="9" t="s">
        <v>20</v>
      </c>
      <c r="O2138" s="6" t="str">
        <f>HYPERLINK("https://pbs.twimg.com/profile_images/962471262747529216/Uo8lOkRJ_normal.jpg","View")</f>
        <v>View</v>
      </c>
      <c r="P2138" s="7"/>
    </row>
    <row r="2139" spans="1:16">
      <c r="A2139" s="3">
        <v>43874.244340277779</v>
      </c>
      <c r="B2139" s="4" t="str">
        <f>HYPERLINK("https://twitter.com/petrogustavo","@petrogustavo")</f>
        <v>@petrogustavo</v>
      </c>
      <c r="C2139" s="5" t="s">
        <v>16</v>
      </c>
      <c r="D2139" s="5" t="s">
        <v>2096</v>
      </c>
      <c r="E2139" s="6" t="str">
        <f>HYPERLINK("https://twitter.com/petrogustavo/status/1227749691762388992","1227749691762388992")</f>
        <v>1227749691762388992</v>
      </c>
      <c r="F2139" s="7" t="s">
        <v>17</v>
      </c>
      <c r="G2139" s="7">
        <v>3634461</v>
      </c>
      <c r="H2139" s="7">
        <v>2350</v>
      </c>
      <c r="I2139" s="7">
        <v>41</v>
      </c>
      <c r="J2139" s="7">
        <v>88</v>
      </c>
      <c r="K2139" s="7" t="s">
        <v>18</v>
      </c>
      <c r="L2139" s="8">
        <v>39987.315405092595</v>
      </c>
      <c r="M2139" s="9" t="s">
        <v>19</v>
      </c>
      <c r="N2139" s="9" t="s">
        <v>20</v>
      </c>
      <c r="O2139" s="6" t="str">
        <f>HYPERLINK("https://pbs.twimg.com/profile_images/962471262747529216/Uo8lOkRJ_normal.jpg","View")</f>
        <v>View</v>
      </c>
      <c r="P2139" s="7"/>
    </row>
    <row r="2140" spans="1:16">
      <c r="A2140" s="3">
        <v>43874.249398148153</v>
      </c>
      <c r="B2140" s="4" t="str">
        <f>HYPERLINK("https://twitter.com/petrogustavo","@petrogustavo")</f>
        <v>@petrogustavo</v>
      </c>
      <c r="C2140" s="5" t="s">
        <v>16</v>
      </c>
      <c r="D2140" s="5" t="s">
        <v>2097</v>
      </c>
      <c r="E2140" s="6" t="str">
        <f>HYPERLINK("https://twitter.com/petrogustavo/status/1227751523976990723","1227751523976990723")</f>
        <v>1227751523976990723</v>
      </c>
      <c r="F2140" s="7" t="s">
        <v>17</v>
      </c>
      <c r="G2140" s="7">
        <v>3634461</v>
      </c>
      <c r="H2140" s="7">
        <v>2350</v>
      </c>
      <c r="I2140" s="7">
        <v>37</v>
      </c>
      <c r="J2140" s="7">
        <v>84</v>
      </c>
      <c r="K2140" s="7" t="s">
        <v>18</v>
      </c>
      <c r="L2140" s="8">
        <v>39987.315405092595</v>
      </c>
      <c r="M2140" s="9" t="s">
        <v>19</v>
      </c>
      <c r="N2140" s="9" t="s">
        <v>20</v>
      </c>
      <c r="O2140" s="6" t="str">
        <f>HYPERLINK("https://pbs.twimg.com/profile_images/962471262747529216/Uo8lOkRJ_normal.jpg","View")</f>
        <v>View</v>
      </c>
      <c r="P2140" s="7"/>
    </row>
    <row r="2141" spans="1:16">
      <c r="A2141" s="3">
        <v>43874.252789351856</v>
      </c>
      <c r="B2141" s="4" t="str">
        <f>HYPERLINK("https://twitter.com/petrogustavo","@petrogustavo")</f>
        <v>@petrogustavo</v>
      </c>
      <c r="C2141" s="5" t="s">
        <v>16</v>
      </c>
      <c r="D2141" s="5" t="s">
        <v>2098</v>
      </c>
      <c r="E2141" s="6" t="str">
        <f>HYPERLINK("https://twitter.com/petrogustavo/status/1227752754115903490","1227752754115903490")</f>
        <v>1227752754115903490</v>
      </c>
      <c r="F2141" s="7" t="s">
        <v>17</v>
      </c>
      <c r="G2141" s="7">
        <v>3634501</v>
      </c>
      <c r="H2141" s="7">
        <v>2350</v>
      </c>
      <c r="I2141" s="7">
        <v>92</v>
      </c>
      <c r="J2141" s="7">
        <v>175</v>
      </c>
      <c r="K2141" s="7" t="s">
        <v>18</v>
      </c>
      <c r="L2141" s="8">
        <v>39987.315405092595</v>
      </c>
      <c r="M2141" s="9" t="s">
        <v>19</v>
      </c>
      <c r="N2141" s="9" t="s">
        <v>20</v>
      </c>
      <c r="O2141" s="6" t="str">
        <f>HYPERLINK("https://pbs.twimg.com/profile_images/962471262747529216/Uo8lOkRJ_normal.jpg","View")</f>
        <v>View</v>
      </c>
      <c r="P2141" s="7"/>
    </row>
    <row r="2142" spans="1:16">
      <c r="A2142" s="3">
        <v>43874.257071759261</v>
      </c>
      <c r="B2142" s="4" t="str">
        <f>HYPERLINK("https://twitter.com/petrogustavo","@petrogustavo")</f>
        <v>@petrogustavo</v>
      </c>
      <c r="C2142" s="5" t="s">
        <v>16</v>
      </c>
      <c r="D2142" s="5" t="s">
        <v>2099</v>
      </c>
      <c r="E2142" s="6" t="str">
        <f>HYPERLINK("https://twitter.com/petrogustavo/status/1227754303642853380","1227754303642853380")</f>
        <v>1227754303642853380</v>
      </c>
      <c r="F2142" s="7" t="s">
        <v>17</v>
      </c>
      <c r="G2142" s="7">
        <v>3634501</v>
      </c>
      <c r="H2142" s="7">
        <v>2350</v>
      </c>
      <c r="I2142" s="7">
        <v>125</v>
      </c>
      <c r="J2142" s="7">
        <v>445</v>
      </c>
      <c r="K2142" s="7" t="s">
        <v>18</v>
      </c>
      <c r="L2142" s="8">
        <v>39987.315405092595</v>
      </c>
      <c r="M2142" s="9" t="s">
        <v>19</v>
      </c>
      <c r="N2142" s="9" t="s">
        <v>20</v>
      </c>
      <c r="O2142" s="6" t="str">
        <f>HYPERLINK("https://pbs.twimg.com/profile_images/962471262747529216/Uo8lOkRJ_normal.jpg","View")</f>
        <v>View</v>
      </c>
      <c r="P2142" s="7"/>
    </row>
    <row r="2143" spans="1:16">
      <c r="A2143" s="3">
        <v>43874.258310185185</v>
      </c>
      <c r="B2143" s="4" t="str">
        <f>HYPERLINK("https://twitter.com/petrogustavo","@petrogustavo")</f>
        <v>@petrogustavo</v>
      </c>
      <c r="C2143" s="5" t="s">
        <v>16</v>
      </c>
      <c r="D2143" s="5" t="s">
        <v>2100</v>
      </c>
      <c r="E2143" s="6" t="str">
        <f>HYPERLINK("https://twitter.com/petrogustavo/status/1227754751787401217","1227754751787401217")</f>
        <v>1227754751787401217</v>
      </c>
      <c r="F2143" s="7" t="s">
        <v>17</v>
      </c>
      <c r="G2143" s="7">
        <v>3634501</v>
      </c>
      <c r="H2143" s="7">
        <v>2350</v>
      </c>
      <c r="I2143" s="7">
        <v>496</v>
      </c>
      <c r="J2143" s="7">
        <v>0</v>
      </c>
      <c r="K2143" s="7" t="s">
        <v>18</v>
      </c>
      <c r="L2143" s="8">
        <v>39987.315405092595</v>
      </c>
      <c r="M2143" s="9" t="s">
        <v>19</v>
      </c>
      <c r="N2143" s="9" t="s">
        <v>20</v>
      </c>
      <c r="O2143" s="6" t="str">
        <f>HYPERLINK("https://pbs.twimg.com/profile_images/962471262747529216/Uo8lOkRJ_normal.jpg","View")</f>
        <v>View</v>
      </c>
      <c r="P2143" s="7"/>
    </row>
    <row r="2144" spans="1:16">
      <c r="A2144" s="3">
        <v>43874.818564814814</v>
      </c>
      <c r="B2144" s="4" t="str">
        <f>HYPERLINK("https://twitter.com/petrogustavo","@petrogustavo")</f>
        <v>@petrogustavo</v>
      </c>
      <c r="C2144" s="5" t="s">
        <v>16</v>
      </c>
      <c r="D2144" s="5" t="s">
        <v>2101</v>
      </c>
      <c r="E2144" s="6" t="str">
        <f>HYPERLINK("https://twitter.com/petrogustavo/status/1227957782592344064","1227957782592344064")</f>
        <v>1227957782592344064</v>
      </c>
      <c r="F2144" s="7" t="s">
        <v>17</v>
      </c>
      <c r="G2144" s="7">
        <v>3635031</v>
      </c>
      <c r="H2144" s="7">
        <v>2350</v>
      </c>
      <c r="I2144" s="7">
        <v>189</v>
      </c>
      <c r="J2144" s="7">
        <v>422</v>
      </c>
      <c r="K2144" s="7" t="s">
        <v>18</v>
      </c>
      <c r="L2144" s="8">
        <v>39987.315405092595</v>
      </c>
      <c r="M2144" s="9" t="s">
        <v>19</v>
      </c>
      <c r="N2144" s="9" t="s">
        <v>20</v>
      </c>
      <c r="O2144" s="6" t="str">
        <f>HYPERLINK("https://pbs.twimg.com/profile_images/962471262747529216/Uo8lOkRJ_normal.jpg","View")</f>
        <v>View</v>
      </c>
      <c r="P2144" s="7"/>
    </row>
    <row r="2145" spans="1:16">
      <c r="A2145" s="3">
        <v>43874.824571759258</v>
      </c>
      <c r="B2145" s="4" t="str">
        <f>HYPERLINK("https://twitter.com/petrogustavo","@petrogustavo")</f>
        <v>@petrogustavo</v>
      </c>
      <c r="C2145" s="5" t="s">
        <v>16</v>
      </c>
      <c r="D2145" s="5" t="s">
        <v>2102</v>
      </c>
      <c r="E2145" s="6" t="str">
        <f>HYPERLINK("https://twitter.com/petrogustavo/status/1227959959268274177","1227959959268274177")</f>
        <v>1227959959268274177</v>
      </c>
      <c r="F2145" s="7" t="s">
        <v>17</v>
      </c>
      <c r="G2145" s="7">
        <v>3635031</v>
      </c>
      <c r="H2145" s="7">
        <v>2350</v>
      </c>
      <c r="I2145" s="7">
        <v>80</v>
      </c>
      <c r="J2145" s="7">
        <v>0</v>
      </c>
      <c r="K2145" s="7" t="s">
        <v>18</v>
      </c>
      <c r="L2145" s="8">
        <v>39987.315405092595</v>
      </c>
      <c r="M2145" s="9" t="s">
        <v>19</v>
      </c>
      <c r="N2145" s="9" t="s">
        <v>20</v>
      </c>
      <c r="O2145" s="6" t="str">
        <f>HYPERLINK("https://pbs.twimg.com/profile_images/962471262747529216/Uo8lOkRJ_normal.jpg","View")</f>
        <v>View</v>
      </c>
      <c r="P2145" s="7"/>
    </row>
    <row r="2146" spans="1:16">
      <c r="A2146" s="3">
        <v>43874.826412037037</v>
      </c>
      <c r="B2146" s="4" t="str">
        <f>HYPERLINK("https://twitter.com/petrogustavo","@petrogustavo")</f>
        <v>@petrogustavo</v>
      </c>
      <c r="C2146" s="5" t="s">
        <v>16</v>
      </c>
      <c r="D2146" s="5" t="s">
        <v>2103</v>
      </c>
      <c r="E2146" s="6" t="str">
        <f>HYPERLINK("https://twitter.com/petrogustavo/status/1227960626380787712","1227960626380787712")</f>
        <v>1227960626380787712</v>
      </c>
      <c r="F2146" s="7" t="s">
        <v>17</v>
      </c>
      <c r="G2146" s="7">
        <v>3635031</v>
      </c>
      <c r="H2146" s="7">
        <v>2350</v>
      </c>
      <c r="I2146" s="7">
        <v>42</v>
      </c>
      <c r="J2146" s="7">
        <v>106</v>
      </c>
      <c r="K2146" s="7" t="s">
        <v>18</v>
      </c>
      <c r="L2146" s="8">
        <v>39987.315405092595</v>
      </c>
      <c r="M2146" s="9" t="s">
        <v>19</v>
      </c>
      <c r="N2146" s="9" t="s">
        <v>20</v>
      </c>
      <c r="O2146" s="6" t="str">
        <f>HYPERLINK("https://pbs.twimg.com/profile_images/962471262747529216/Uo8lOkRJ_normal.jpg","View")</f>
        <v>View</v>
      </c>
      <c r="P2146" s="7"/>
    </row>
    <row r="2147" spans="1:16">
      <c r="A2147" s="3">
        <v>43874.840648148151</v>
      </c>
      <c r="B2147" s="4" t="str">
        <f>HYPERLINK("https://twitter.com/petrogustavo","@petrogustavo")</f>
        <v>@petrogustavo</v>
      </c>
      <c r="C2147" s="5" t="s">
        <v>16</v>
      </c>
      <c r="D2147" s="5" t="s">
        <v>2104</v>
      </c>
      <c r="E2147" s="6" t="str">
        <f>HYPERLINK("https://twitter.com/petrogustavo/status/1227965787123724293","1227965787123724293")</f>
        <v>1227965787123724293</v>
      </c>
      <c r="F2147" s="7" t="s">
        <v>17</v>
      </c>
      <c r="G2147" s="7">
        <v>3635060</v>
      </c>
      <c r="H2147" s="7">
        <v>2350</v>
      </c>
      <c r="I2147" s="7">
        <v>635</v>
      </c>
      <c r="J2147" s="7">
        <v>0</v>
      </c>
      <c r="K2147" s="7" t="s">
        <v>18</v>
      </c>
      <c r="L2147" s="8">
        <v>39987.315405092595</v>
      </c>
      <c r="M2147" s="9" t="s">
        <v>19</v>
      </c>
      <c r="N2147" s="9" t="s">
        <v>20</v>
      </c>
      <c r="O2147" s="6" t="str">
        <f>HYPERLINK("https://pbs.twimg.com/profile_images/962471262747529216/Uo8lOkRJ_normal.jpg","View")</f>
        <v>View</v>
      </c>
      <c r="P2147" s="7"/>
    </row>
    <row r="2148" spans="1:16">
      <c r="A2148" s="3">
        <v>43874.843032407407</v>
      </c>
      <c r="B2148" s="4" t="str">
        <f>HYPERLINK("https://twitter.com/petrogustavo","@petrogustavo")</f>
        <v>@petrogustavo</v>
      </c>
      <c r="C2148" s="5" t="s">
        <v>16</v>
      </c>
      <c r="D2148" s="5" t="s">
        <v>2105</v>
      </c>
      <c r="E2148" s="6" t="str">
        <f>HYPERLINK("https://twitter.com/petrogustavo/status/1227966649485144064","1227966649485144064")</f>
        <v>1227966649485144064</v>
      </c>
      <c r="F2148" s="7" t="s">
        <v>17</v>
      </c>
      <c r="G2148" s="7">
        <v>3635060</v>
      </c>
      <c r="H2148" s="7">
        <v>2350</v>
      </c>
      <c r="I2148" s="7">
        <v>36</v>
      </c>
      <c r="J2148" s="7">
        <v>132</v>
      </c>
      <c r="K2148" s="7" t="s">
        <v>18</v>
      </c>
      <c r="L2148" s="8">
        <v>39987.315405092595</v>
      </c>
      <c r="M2148" s="9" t="s">
        <v>19</v>
      </c>
      <c r="N2148" s="9" t="s">
        <v>20</v>
      </c>
      <c r="O2148" s="6" t="str">
        <f>HYPERLINK("https://pbs.twimg.com/profile_images/962471262747529216/Uo8lOkRJ_normal.jpg","View")</f>
        <v>View</v>
      </c>
      <c r="P2148" s="7"/>
    </row>
    <row r="2149" spans="1:16">
      <c r="A2149" s="3">
        <v>43874.987442129626</v>
      </c>
      <c r="B2149" s="4" t="str">
        <f>HYPERLINK("https://twitter.com/petrogustavo","@petrogustavo")</f>
        <v>@petrogustavo</v>
      </c>
      <c r="C2149" s="5" t="s">
        <v>16</v>
      </c>
      <c r="D2149" s="5" t="s">
        <v>2106</v>
      </c>
      <c r="E2149" s="6" t="str">
        <f>HYPERLINK("https://twitter.com/petrogustavo/status/1228018980868280320","1228018980868280320")</f>
        <v>1228018980868280320</v>
      </c>
      <c r="F2149" s="7" t="s">
        <v>17</v>
      </c>
      <c r="G2149" s="7">
        <v>3635239</v>
      </c>
      <c r="H2149" s="7">
        <v>2350</v>
      </c>
      <c r="I2149" s="7">
        <v>86</v>
      </c>
      <c r="J2149" s="7">
        <v>213</v>
      </c>
      <c r="K2149" s="7" t="s">
        <v>18</v>
      </c>
      <c r="L2149" s="8">
        <v>39987.315405092595</v>
      </c>
      <c r="M2149" s="9" t="s">
        <v>19</v>
      </c>
      <c r="N2149" s="9" t="s">
        <v>20</v>
      </c>
      <c r="O2149" s="6" t="str">
        <f>HYPERLINK("https://pbs.twimg.com/profile_images/962471262747529216/Uo8lOkRJ_normal.jpg","View")</f>
        <v>View</v>
      </c>
      <c r="P2149" s="7"/>
    </row>
    <row r="2150" spans="1:16">
      <c r="A2150" s="3">
        <v>43874.987511574072</v>
      </c>
      <c r="B2150" s="4" t="str">
        <f>HYPERLINK("https://twitter.com/petrogustavo","@petrogustavo")</f>
        <v>@petrogustavo</v>
      </c>
      <c r="C2150" s="5" t="s">
        <v>16</v>
      </c>
      <c r="D2150" s="5" t="s">
        <v>2107</v>
      </c>
      <c r="E2150" s="6" t="str">
        <f>HYPERLINK("https://twitter.com/petrogustavo/status/1228019006998745091","1228019006998745091")</f>
        <v>1228019006998745091</v>
      </c>
      <c r="F2150" s="7" t="s">
        <v>17</v>
      </c>
      <c r="G2150" s="7">
        <v>3635239</v>
      </c>
      <c r="H2150" s="7">
        <v>2350</v>
      </c>
      <c r="I2150" s="7">
        <v>15</v>
      </c>
      <c r="J2150" s="7">
        <v>48</v>
      </c>
      <c r="K2150" s="7" t="s">
        <v>18</v>
      </c>
      <c r="L2150" s="8">
        <v>39987.315405092595</v>
      </c>
      <c r="M2150" s="9" t="s">
        <v>19</v>
      </c>
      <c r="N2150" s="9" t="s">
        <v>20</v>
      </c>
      <c r="O2150" s="6" t="str">
        <f>HYPERLINK("https://pbs.twimg.com/profile_images/962471262747529216/Uo8lOkRJ_normal.jpg","View")</f>
        <v>View</v>
      </c>
      <c r="P2150" s="7"/>
    </row>
    <row r="2151" spans="1:16">
      <c r="A2151" s="3">
        <v>43874.987592592588</v>
      </c>
      <c r="B2151" s="4" t="str">
        <f>HYPERLINK("https://twitter.com/petrogustavo","@petrogustavo")</f>
        <v>@petrogustavo</v>
      </c>
      <c r="C2151" s="5" t="s">
        <v>16</v>
      </c>
      <c r="D2151" s="5" t="s">
        <v>2108</v>
      </c>
      <c r="E2151" s="6" t="str">
        <f>HYPERLINK("https://twitter.com/petrogustavo/status/1228019037290008576","1228019037290008576")</f>
        <v>1228019037290008576</v>
      </c>
      <c r="F2151" s="7" t="s">
        <v>17</v>
      </c>
      <c r="G2151" s="7">
        <v>3635239</v>
      </c>
      <c r="H2151" s="7">
        <v>2350</v>
      </c>
      <c r="I2151" s="7">
        <v>13</v>
      </c>
      <c r="J2151" s="7">
        <v>32</v>
      </c>
      <c r="K2151" s="7" t="s">
        <v>18</v>
      </c>
      <c r="L2151" s="8">
        <v>39987.315405092595</v>
      </c>
      <c r="M2151" s="9" t="s">
        <v>19</v>
      </c>
      <c r="N2151" s="9" t="s">
        <v>20</v>
      </c>
      <c r="O2151" s="6" t="str">
        <f>HYPERLINK("https://pbs.twimg.com/profile_images/962471262747529216/Uo8lOkRJ_normal.jpg","View")</f>
        <v>View</v>
      </c>
      <c r="P2151" s="7"/>
    </row>
    <row r="2152" spans="1:16">
      <c r="A2152" s="3">
        <v>43874.987627314811</v>
      </c>
      <c r="B2152" s="4" t="str">
        <f>HYPERLINK("https://twitter.com/petrogustavo","@petrogustavo")</f>
        <v>@petrogustavo</v>
      </c>
      <c r="C2152" s="5" t="s">
        <v>16</v>
      </c>
      <c r="D2152" s="5" t="s">
        <v>2109</v>
      </c>
      <c r="E2152" s="6" t="str">
        <f>HYPERLINK("https://twitter.com/petrogustavo/status/1228019047415107590","1228019047415107590")</f>
        <v>1228019047415107590</v>
      </c>
      <c r="F2152" s="7" t="s">
        <v>17</v>
      </c>
      <c r="G2152" s="7">
        <v>3635239</v>
      </c>
      <c r="H2152" s="7">
        <v>2350</v>
      </c>
      <c r="I2152" s="7">
        <v>10</v>
      </c>
      <c r="J2152" s="7">
        <v>28</v>
      </c>
      <c r="K2152" s="7" t="s">
        <v>18</v>
      </c>
      <c r="L2152" s="8">
        <v>39987.315405092595</v>
      </c>
      <c r="M2152" s="9" t="s">
        <v>19</v>
      </c>
      <c r="N2152" s="9" t="s">
        <v>20</v>
      </c>
      <c r="O2152" s="6" t="str">
        <f>HYPERLINK("https://pbs.twimg.com/profile_images/962471262747529216/Uo8lOkRJ_normal.jpg","View")</f>
        <v>View</v>
      </c>
      <c r="P2152" s="7"/>
    </row>
    <row r="2153" spans="1:16">
      <c r="A2153" s="3">
        <v>43874.987754629634</v>
      </c>
      <c r="B2153" s="4" t="str">
        <f>HYPERLINK("https://twitter.com/petrogustavo","@petrogustavo")</f>
        <v>@petrogustavo</v>
      </c>
      <c r="C2153" s="5" t="s">
        <v>16</v>
      </c>
      <c r="D2153" s="5" t="s">
        <v>2110</v>
      </c>
      <c r="E2153" s="6" t="str">
        <f>HYPERLINK("https://twitter.com/petrogustavo/status/1228019095691550725","1228019095691550725")</f>
        <v>1228019095691550725</v>
      </c>
      <c r="F2153" s="7" t="s">
        <v>17</v>
      </c>
      <c r="G2153" s="7">
        <v>3635239</v>
      </c>
      <c r="H2153" s="7">
        <v>2350</v>
      </c>
      <c r="I2153" s="7">
        <v>21</v>
      </c>
      <c r="J2153" s="7">
        <v>67</v>
      </c>
      <c r="K2153" s="7" t="s">
        <v>18</v>
      </c>
      <c r="L2153" s="8">
        <v>39987.315405092595</v>
      </c>
      <c r="M2153" s="9" t="s">
        <v>19</v>
      </c>
      <c r="N2153" s="9" t="s">
        <v>20</v>
      </c>
      <c r="O2153" s="6" t="str">
        <f>HYPERLINK("https://pbs.twimg.com/profile_images/962471262747529216/Uo8lOkRJ_normal.jpg","View")</f>
        <v>View</v>
      </c>
      <c r="P2153" s="7"/>
    </row>
    <row r="2154" spans="1:16">
      <c r="A2154" s="3">
        <v>43874.987777777773</v>
      </c>
      <c r="B2154" s="4" t="str">
        <f>HYPERLINK("https://twitter.com/petrogustavo","@petrogustavo")</f>
        <v>@petrogustavo</v>
      </c>
      <c r="C2154" s="5" t="s">
        <v>16</v>
      </c>
      <c r="D2154" s="5" t="s">
        <v>2111</v>
      </c>
      <c r="E2154" s="6" t="str">
        <f>HYPERLINK("https://twitter.com/petrogustavo/status/1228019101924237314","1228019101924237314")</f>
        <v>1228019101924237314</v>
      </c>
      <c r="F2154" s="7" t="s">
        <v>17</v>
      </c>
      <c r="G2154" s="7">
        <v>3635239</v>
      </c>
      <c r="H2154" s="7">
        <v>2350</v>
      </c>
      <c r="I2154" s="7">
        <v>22</v>
      </c>
      <c r="J2154" s="7">
        <v>57</v>
      </c>
      <c r="K2154" s="7" t="s">
        <v>18</v>
      </c>
      <c r="L2154" s="8">
        <v>39987.315405092595</v>
      </c>
      <c r="M2154" s="9" t="s">
        <v>19</v>
      </c>
      <c r="N2154" s="9" t="s">
        <v>20</v>
      </c>
      <c r="O2154" s="6" t="str">
        <f>HYPERLINK("https://pbs.twimg.com/profile_images/962471262747529216/Uo8lOkRJ_normal.jpg","View")</f>
        <v>View</v>
      </c>
      <c r="P2154" s="7"/>
    </row>
    <row r="2155" spans="1:16">
      <c r="A2155" s="3">
        <v>43875.215011574073</v>
      </c>
      <c r="B2155" s="4" t="str">
        <f>HYPERLINK("https://twitter.com/petrogustavo","@petrogustavo")</f>
        <v>@petrogustavo</v>
      </c>
      <c r="C2155" s="5" t="s">
        <v>16</v>
      </c>
      <c r="D2155" s="5" t="s">
        <v>2112</v>
      </c>
      <c r="E2155" s="6" t="str">
        <f>HYPERLINK("https://twitter.com/petrogustavo/status/1228101449902673920","1228101449902673920")</f>
        <v>1228101449902673920</v>
      </c>
      <c r="F2155" s="7" t="s">
        <v>17</v>
      </c>
      <c r="G2155" s="7">
        <v>3635302</v>
      </c>
      <c r="H2155" s="7">
        <v>2350</v>
      </c>
      <c r="I2155" s="7">
        <v>31</v>
      </c>
      <c r="J2155" s="7">
        <v>0</v>
      </c>
      <c r="K2155" s="7" t="s">
        <v>18</v>
      </c>
      <c r="L2155" s="8">
        <v>39987.315405092595</v>
      </c>
      <c r="M2155" s="9" t="s">
        <v>19</v>
      </c>
      <c r="N2155" s="9" t="s">
        <v>20</v>
      </c>
      <c r="O2155" s="6" t="str">
        <f>HYPERLINK("https://pbs.twimg.com/profile_images/962471262747529216/Uo8lOkRJ_normal.jpg","View")</f>
        <v>View</v>
      </c>
      <c r="P2155" s="7"/>
    </row>
    <row r="2156" spans="1:16">
      <c r="A2156" s="3">
        <v>43875.217766203699</v>
      </c>
      <c r="B2156" s="4" t="str">
        <f>HYPERLINK("https://twitter.com/petrogustavo","@petrogustavo")</f>
        <v>@petrogustavo</v>
      </c>
      <c r="C2156" s="5" t="s">
        <v>16</v>
      </c>
      <c r="D2156" s="5" t="s">
        <v>2113</v>
      </c>
      <c r="E2156" s="6" t="str">
        <f>HYPERLINK("https://twitter.com/petrogustavo/status/1228102450055434241","1228102450055434241")</f>
        <v>1228102450055434241</v>
      </c>
      <c r="F2156" s="7" t="s">
        <v>17</v>
      </c>
      <c r="G2156" s="7">
        <v>3635302</v>
      </c>
      <c r="H2156" s="7">
        <v>2350</v>
      </c>
      <c r="I2156" s="7">
        <v>124</v>
      </c>
      <c r="J2156" s="7">
        <v>0</v>
      </c>
      <c r="K2156" s="7" t="s">
        <v>18</v>
      </c>
      <c r="L2156" s="8">
        <v>39987.315405092595</v>
      </c>
      <c r="M2156" s="9" t="s">
        <v>19</v>
      </c>
      <c r="N2156" s="9" t="s">
        <v>20</v>
      </c>
      <c r="O2156" s="6" t="str">
        <f>HYPERLINK("https://pbs.twimg.com/profile_images/962471262747529216/Uo8lOkRJ_normal.jpg","View")</f>
        <v>View</v>
      </c>
      <c r="P2156" s="7"/>
    </row>
    <row r="2157" spans="1:16">
      <c r="A2157" s="3">
        <v>43875.217916666668</v>
      </c>
      <c r="B2157" s="4" t="str">
        <f>HYPERLINK("https://twitter.com/petrogustavo","@petrogustavo")</f>
        <v>@petrogustavo</v>
      </c>
      <c r="C2157" s="5" t="s">
        <v>16</v>
      </c>
      <c r="D2157" s="5" t="s">
        <v>2114</v>
      </c>
      <c r="E2157" s="6" t="str">
        <f>HYPERLINK("https://twitter.com/petrogustavo/status/1228102503209873409","1228102503209873409")</f>
        <v>1228102503209873409</v>
      </c>
      <c r="F2157" s="7" t="s">
        <v>17</v>
      </c>
      <c r="G2157" s="7">
        <v>3635302</v>
      </c>
      <c r="H2157" s="7">
        <v>2350</v>
      </c>
      <c r="I2157" s="7">
        <v>188</v>
      </c>
      <c r="J2157" s="7">
        <v>0</v>
      </c>
      <c r="K2157" s="7" t="s">
        <v>18</v>
      </c>
      <c r="L2157" s="8">
        <v>39987.315405092595</v>
      </c>
      <c r="M2157" s="9" t="s">
        <v>19</v>
      </c>
      <c r="N2157" s="9" t="s">
        <v>20</v>
      </c>
      <c r="O2157" s="6" t="str">
        <f>HYPERLINK("https://pbs.twimg.com/profile_images/962471262747529216/Uo8lOkRJ_normal.jpg","View")</f>
        <v>View</v>
      </c>
      <c r="P2157" s="7"/>
    </row>
    <row r="2158" spans="1:16">
      <c r="A2158" s="3">
        <v>43875.21806712963</v>
      </c>
      <c r="B2158" s="4" t="str">
        <f>HYPERLINK("https://twitter.com/petrogustavo","@petrogustavo")</f>
        <v>@petrogustavo</v>
      </c>
      <c r="C2158" s="5" t="s">
        <v>16</v>
      </c>
      <c r="D2158" s="5" t="s">
        <v>2115</v>
      </c>
      <c r="E2158" s="6" t="str">
        <f>HYPERLINK("https://twitter.com/petrogustavo/status/1228102558457225216","1228102558457225216")</f>
        <v>1228102558457225216</v>
      </c>
      <c r="F2158" s="7" t="s">
        <v>17</v>
      </c>
      <c r="G2158" s="7">
        <v>3635302</v>
      </c>
      <c r="H2158" s="7">
        <v>2350</v>
      </c>
      <c r="I2158" s="7">
        <v>208</v>
      </c>
      <c r="J2158" s="7">
        <v>0</v>
      </c>
      <c r="K2158" s="7" t="s">
        <v>18</v>
      </c>
      <c r="L2158" s="8">
        <v>39987.315405092595</v>
      </c>
      <c r="M2158" s="9" t="s">
        <v>19</v>
      </c>
      <c r="N2158" s="9" t="s">
        <v>20</v>
      </c>
      <c r="O2158" s="6" t="str">
        <f>HYPERLINK("https://pbs.twimg.com/profile_images/962471262747529216/Uo8lOkRJ_normal.jpg","View")</f>
        <v>View</v>
      </c>
      <c r="P2158" s="7"/>
    </row>
    <row r="2159" spans="1:16">
      <c r="A2159" s="3">
        <v>43875.218530092592</v>
      </c>
      <c r="B2159" s="4" t="str">
        <f>HYPERLINK("https://twitter.com/petrogustavo","@petrogustavo")</f>
        <v>@petrogustavo</v>
      </c>
      <c r="C2159" s="5" t="s">
        <v>16</v>
      </c>
      <c r="D2159" s="5" t="s">
        <v>2116</v>
      </c>
      <c r="E2159" s="6" t="str">
        <f>HYPERLINK("https://twitter.com/petrogustavo/status/1228102723842777088","1228102723842777088")</f>
        <v>1228102723842777088</v>
      </c>
      <c r="F2159" s="7" t="s">
        <v>17</v>
      </c>
      <c r="G2159" s="7">
        <v>3635302</v>
      </c>
      <c r="H2159" s="7">
        <v>2350</v>
      </c>
      <c r="I2159" s="7">
        <v>1130</v>
      </c>
      <c r="J2159" s="7">
        <v>0</v>
      </c>
      <c r="K2159" s="7" t="s">
        <v>18</v>
      </c>
      <c r="L2159" s="8">
        <v>39987.315405092595</v>
      </c>
      <c r="M2159" s="9" t="s">
        <v>19</v>
      </c>
      <c r="N2159" s="9" t="s">
        <v>20</v>
      </c>
      <c r="O2159" s="6" t="str">
        <f>HYPERLINK("https://pbs.twimg.com/profile_images/962471262747529216/Uo8lOkRJ_normal.jpg","View")</f>
        <v>View</v>
      </c>
      <c r="P2159" s="7"/>
    </row>
    <row r="2160" spans="1:16">
      <c r="A2160" s="3">
        <v>43875.219733796301</v>
      </c>
      <c r="B2160" s="4" t="str">
        <f>HYPERLINK("https://twitter.com/petrogustavo","@petrogustavo")</f>
        <v>@petrogustavo</v>
      </c>
      <c r="C2160" s="5" t="s">
        <v>16</v>
      </c>
      <c r="D2160" s="5" t="s">
        <v>2117</v>
      </c>
      <c r="E2160" s="6" t="str">
        <f>HYPERLINK("https://twitter.com/petrogustavo/status/1228103163246530560","1228103163246530560")</f>
        <v>1228103163246530560</v>
      </c>
      <c r="F2160" s="7" t="s">
        <v>17</v>
      </c>
      <c r="G2160" s="7">
        <v>3635302</v>
      </c>
      <c r="H2160" s="7">
        <v>2350</v>
      </c>
      <c r="I2160" s="7">
        <v>59</v>
      </c>
      <c r="J2160" s="7">
        <v>0</v>
      </c>
      <c r="K2160" s="7" t="s">
        <v>18</v>
      </c>
      <c r="L2160" s="8">
        <v>39987.315405092595</v>
      </c>
      <c r="M2160" s="9" t="s">
        <v>19</v>
      </c>
      <c r="N2160" s="9" t="s">
        <v>20</v>
      </c>
      <c r="O2160" s="6" t="str">
        <f>HYPERLINK("https://pbs.twimg.com/profile_images/962471262747529216/Uo8lOkRJ_normal.jpg","View")</f>
        <v>View</v>
      </c>
      <c r="P2160" s="7"/>
    </row>
    <row r="2161" spans="1:16">
      <c r="A2161" s="3">
        <v>43875.223634259259</v>
      </c>
      <c r="B2161" s="4" t="str">
        <f>HYPERLINK("https://twitter.com/petrogustavo","@petrogustavo")</f>
        <v>@petrogustavo</v>
      </c>
      <c r="C2161" s="5" t="s">
        <v>16</v>
      </c>
      <c r="D2161" s="5" t="s">
        <v>2118</v>
      </c>
      <c r="E2161" s="6" t="str">
        <f>HYPERLINK("https://twitter.com/petrogustavo/status/1228104573400862721","1228104573400862721")</f>
        <v>1228104573400862721</v>
      </c>
      <c r="F2161" s="7" t="s">
        <v>17</v>
      </c>
      <c r="G2161" s="7">
        <v>3635302</v>
      </c>
      <c r="H2161" s="7">
        <v>2350</v>
      </c>
      <c r="I2161" s="7">
        <v>68</v>
      </c>
      <c r="J2161" s="7">
        <v>0</v>
      </c>
      <c r="K2161" s="7" t="s">
        <v>18</v>
      </c>
      <c r="L2161" s="8">
        <v>39987.315405092595</v>
      </c>
      <c r="M2161" s="9" t="s">
        <v>19</v>
      </c>
      <c r="N2161" s="9" t="s">
        <v>20</v>
      </c>
      <c r="O2161" s="6" t="str">
        <f>HYPERLINK("https://pbs.twimg.com/profile_images/962471262747529216/Uo8lOkRJ_normal.jpg","View")</f>
        <v>View</v>
      </c>
      <c r="P2161" s="7"/>
    </row>
    <row r="2162" spans="1:16">
      <c r="A2162" s="3">
        <v>43875.233078703706</v>
      </c>
      <c r="B2162" s="4" t="str">
        <f>HYPERLINK("https://twitter.com/petrogustavo","@petrogustavo")</f>
        <v>@petrogustavo</v>
      </c>
      <c r="C2162" s="5" t="s">
        <v>16</v>
      </c>
      <c r="D2162" s="5" t="s">
        <v>2119</v>
      </c>
      <c r="E2162" s="6" t="str">
        <f>HYPERLINK("https://twitter.com/petrogustavo/status/1228107996657569792","1228107996657569792")</f>
        <v>1228107996657569792</v>
      </c>
      <c r="F2162" s="7" t="s">
        <v>17</v>
      </c>
      <c r="G2162" s="7">
        <v>3635297</v>
      </c>
      <c r="H2162" s="7">
        <v>2350</v>
      </c>
      <c r="I2162" s="7">
        <v>23</v>
      </c>
      <c r="J2162" s="7">
        <v>0</v>
      </c>
      <c r="K2162" s="7" t="s">
        <v>18</v>
      </c>
      <c r="L2162" s="8">
        <v>39987.315405092595</v>
      </c>
      <c r="M2162" s="9" t="s">
        <v>19</v>
      </c>
      <c r="N2162" s="9" t="s">
        <v>20</v>
      </c>
      <c r="O2162" s="6" t="str">
        <f>HYPERLINK("https://pbs.twimg.com/profile_images/962471262747529216/Uo8lOkRJ_normal.jpg","View")</f>
        <v>View</v>
      </c>
      <c r="P2162" s="7"/>
    </row>
    <row r="2163" spans="1:16">
      <c r="A2163" s="3">
        <v>43875.257638888885</v>
      </c>
      <c r="B2163" s="4" t="str">
        <f>HYPERLINK("https://twitter.com/petrogustavo","@petrogustavo")</f>
        <v>@petrogustavo</v>
      </c>
      <c r="C2163" s="5" t="s">
        <v>16</v>
      </c>
      <c r="D2163" s="5" t="s">
        <v>2120</v>
      </c>
      <c r="E2163" s="6" t="str">
        <f>HYPERLINK("https://twitter.com/petrogustavo/status/1228116896840605696","1228116896840605696")</f>
        <v>1228116896840605696</v>
      </c>
      <c r="F2163" s="7" t="s">
        <v>17</v>
      </c>
      <c r="G2163" s="7">
        <v>3635305</v>
      </c>
      <c r="H2163" s="7">
        <v>2350</v>
      </c>
      <c r="I2163" s="7">
        <v>100</v>
      </c>
      <c r="J2163" s="7">
        <v>495</v>
      </c>
      <c r="K2163" s="7" t="s">
        <v>18</v>
      </c>
      <c r="L2163" s="8">
        <v>39987.315405092595</v>
      </c>
      <c r="M2163" s="9" t="s">
        <v>19</v>
      </c>
      <c r="N2163" s="9" t="s">
        <v>20</v>
      </c>
      <c r="O2163" s="6" t="str">
        <f>HYPERLINK("https://pbs.twimg.com/profile_images/962471262747529216/Uo8lOkRJ_normal.jpg","View")</f>
        <v>View</v>
      </c>
      <c r="P2163" s="7"/>
    </row>
    <row r="2164" spans="1:16">
      <c r="A2164" s="3">
        <v>43875.267083333332</v>
      </c>
      <c r="B2164" s="4" t="str">
        <f>HYPERLINK("https://twitter.com/petrogustavo","@petrogustavo")</f>
        <v>@petrogustavo</v>
      </c>
      <c r="C2164" s="5" t="s">
        <v>16</v>
      </c>
      <c r="D2164" s="5" t="s">
        <v>2121</v>
      </c>
      <c r="E2164" s="6" t="str">
        <f>HYPERLINK("https://twitter.com/petrogustavo/status/1228120322009858049","1228120322009858049")</f>
        <v>1228120322009858049</v>
      </c>
      <c r="F2164" s="7" t="s">
        <v>17</v>
      </c>
      <c r="G2164" s="7">
        <v>3635305</v>
      </c>
      <c r="H2164" s="7">
        <v>2350</v>
      </c>
      <c r="I2164" s="7">
        <v>40</v>
      </c>
      <c r="J2164" s="7">
        <v>57</v>
      </c>
      <c r="K2164" s="7" t="s">
        <v>18</v>
      </c>
      <c r="L2164" s="8">
        <v>39987.315405092595</v>
      </c>
      <c r="M2164" s="9" t="s">
        <v>19</v>
      </c>
      <c r="N2164" s="9" t="s">
        <v>20</v>
      </c>
      <c r="O2164" s="6" t="str">
        <f>HYPERLINK("https://pbs.twimg.com/profile_images/962471262747529216/Uo8lOkRJ_normal.jpg","View")</f>
        <v>View</v>
      </c>
      <c r="P2164" s="7"/>
    </row>
    <row r="2165" spans="1:16">
      <c r="A2165" s="3">
        <v>43875.267094907409</v>
      </c>
      <c r="B2165" s="4" t="str">
        <f>HYPERLINK("https://twitter.com/petrogustavo","@petrogustavo")</f>
        <v>@petrogustavo</v>
      </c>
      <c r="C2165" s="5" t="s">
        <v>16</v>
      </c>
      <c r="D2165" s="5" t="s">
        <v>2122</v>
      </c>
      <c r="E2165" s="6" t="str">
        <f>HYPERLINK("https://twitter.com/petrogustavo/status/1228120326665576450","1228120326665576450")</f>
        <v>1228120326665576450</v>
      </c>
      <c r="F2165" s="7" t="s">
        <v>17</v>
      </c>
      <c r="G2165" s="7">
        <v>3635305</v>
      </c>
      <c r="H2165" s="7">
        <v>2350</v>
      </c>
      <c r="I2165" s="7">
        <v>25</v>
      </c>
      <c r="J2165" s="7">
        <v>40</v>
      </c>
      <c r="K2165" s="7" t="s">
        <v>18</v>
      </c>
      <c r="L2165" s="8">
        <v>39987.315405092595</v>
      </c>
      <c r="M2165" s="9" t="s">
        <v>19</v>
      </c>
      <c r="N2165" s="9" t="s">
        <v>20</v>
      </c>
      <c r="O2165" s="6" t="str">
        <f>HYPERLINK("https://pbs.twimg.com/profile_images/962471262747529216/Uo8lOkRJ_normal.jpg","View")</f>
        <v>View</v>
      </c>
      <c r="P2165" s="7"/>
    </row>
    <row r="2166" spans="1:16">
      <c r="A2166" s="3">
        <v>43875.276099537034</v>
      </c>
      <c r="B2166" s="4" t="str">
        <f>HYPERLINK("https://twitter.com/petrogustavo","@petrogustavo")</f>
        <v>@petrogustavo</v>
      </c>
      <c r="C2166" s="5" t="s">
        <v>16</v>
      </c>
      <c r="D2166" s="5" t="s">
        <v>2123</v>
      </c>
      <c r="E2166" s="6" t="str">
        <f>HYPERLINK("https://twitter.com/petrogustavo/status/1228123589842436096","1228123589842436096")</f>
        <v>1228123589842436096</v>
      </c>
      <c r="F2166" s="7" t="s">
        <v>17</v>
      </c>
      <c r="G2166" s="7">
        <v>3635304</v>
      </c>
      <c r="H2166" s="7">
        <v>2350</v>
      </c>
      <c r="I2166" s="7">
        <v>116</v>
      </c>
      <c r="J2166" s="7">
        <v>291</v>
      </c>
      <c r="K2166" s="7" t="s">
        <v>18</v>
      </c>
      <c r="L2166" s="8">
        <v>39987.315405092595</v>
      </c>
      <c r="M2166" s="9" t="s">
        <v>19</v>
      </c>
      <c r="N2166" s="9" t="s">
        <v>20</v>
      </c>
      <c r="O2166" s="6" t="str">
        <f>HYPERLINK("https://pbs.twimg.com/profile_images/962471262747529216/Uo8lOkRJ_normal.jpg","View")</f>
        <v>View</v>
      </c>
      <c r="P2166" s="7"/>
    </row>
    <row r="2167" spans="1:16">
      <c r="A2167" s="3">
        <v>43875.276863425926</v>
      </c>
      <c r="B2167" s="4" t="str">
        <f>HYPERLINK("https://twitter.com/petrogustavo","@petrogustavo")</f>
        <v>@petrogustavo</v>
      </c>
      <c r="C2167" s="5" t="s">
        <v>16</v>
      </c>
      <c r="D2167" s="5" t="s">
        <v>2124</v>
      </c>
      <c r="E2167" s="6" t="str">
        <f>HYPERLINK("https://twitter.com/petrogustavo/status/1228123866406572032","1228123866406572032")</f>
        <v>1228123866406572032</v>
      </c>
      <c r="F2167" s="7" t="s">
        <v>17</v>
      </c>
      <c r="G2167" s="7">
        <v>3635304</v>
      </c>
      <c r="H2167" s="7">
        <v>2350</v>
      </c>
      <c r="I2167" s="7">
        <v>1308</v>
      </c>
      <c r="J2167" s="7">
        <v>0</v>
      </c>
      <c r="K2167" s="7" t="s">
        <v>18</v>
      </c>
      <c r="L2167" s="8">
        <v>39987.315405092595</v>
      </c>
      <c r="M2167" s="9" t="s">
        <v>19</v>
      </c>
      <c r="N2167" s="9" t="s">
        <v>20</v>
      </c>
      <c r="O2167" s="6" t="str">
        <f>HYPERLINK("https://pbs.twimg.com/profile_images/962471262747529216/Uo8lOkRJ_normal.jpg","View")</f>
        <v>View</v>
      </c>
      <c r="P2167" s="7"/>
    </row>
    <row r="2168" spans="1:16">
      <c r="A2168" s="3">
        <v>43875.973900462966</v>
      </c>
      <c r="B2168" s="4" t="str">
        <f>HYPERLINK("https://twitter.com/petrogustavo","@petrogustavo")</f>
        <v>@petrogustavo</v>
      </c>
      <c r="C2168" s="5" t="s">
        <v>16</v>
      </c>
      <c r="D2168" s="5" t="s">
        <v>2125</v>
      </c>
      <c r="E2168" s="6" t="str">
        <f>HYPERLINK("https://twitter.com/petrogustavo/status/1228376463889649664","1228376463889649664")</f>
        <v>1228376463889649664</v>
      </c>
      <c r="F2168" s="7" t="s">
        <v>32</v>
      </c>
      <c r="G2168" s="7">
        <v>3635771</v>
      </c>
      <c r="H2168" s="7">
        <v>2350</v>
      </c>
      <c r="I2168" s="7">
        <v>267</v>
      </c>
      <c r="J2168" s="7">
        <v>0</v>
      </c>
      <c r="K2168" s="7" t="s">
        <v>18</v>
      </c>
      <c r="L2168" s="8">
        <v>39987.315405092595</v>
      </c>
      <c r="M2168" s="9" t="s">
        <v>19</v>
      </c>
      <c r="N2168" s="9" t="s">
        <v>20</v>
      </c>
      <c r="O2168" s="6" t="str">
        <f>HYPERLINK("https://pbs.twimg.com/profile_images/962471262747529216/Uo8lOkRJ_normal.jpg","View")</f>
        <v>View</v>
      </c>
      <c r="P2168" s="7"/>
    </row>
    <row r="2169" spans="1:16">
      <c r="A2169" s="3">
        <v>43875.977962962963</v>
      </c>
      <c r="B2169" s="4" t="str">
        <f>HYPERLINK("https://twitter.com/petrogustavo","@petrogustavo")</f>
        <v>@petrogustavo</v>
      </c>
      <c r="C2169" s="5" t="s">
        <v>16</v>
      </c>
      <c r="D2169" s="5" t="s">
        <v>2126</v>
      </c>
      <c r="E2169" s="6" t="str">
        <f>HYPERLINK("https://twitter.com/petrogustavo/status/1228377933716348929","1228377933716348929")</f>
        <v>1228377933716348929</v>
      </c>
      <c r="F2169" s="7" t="s">
        <v>32</v>
      </c>
      <c r="G2169" s="7">
        <v>3635771</v>
      </c>
      <c r="H2169" s="7">
        <v>2350</v>
      </c>
      <c r="I2169" s="7">
        <v>235</v>
      </c>
      <c r="J2169" s="7">
        <v>0</v>
      </c>
      <c r="K2169" s="7" t="s">
        <v>18</v>
      </c>
      <c r="L2169" s="8">
        <v>39987.315405092595</v>
      </c>
      <c r="M2169" s="9" t="s">
        <v>19</v>
      </c>
      <c r="N2169" s="9" t="s">
        <v>20</v>
      </c>
      <c r="O2169" s="6" t="str">
        <f>HYPERLINK("https://pbs.twimg.com/profile_images/962471262747529216/Uo8lOkRJ_normal.jpg","View")</f>
        <v>View</v>
      </c>
      <c r="P2169" s="7"/>
    </row>
    <row r="2170" spans="1:16">
      <c r="A2170" s="3">
        <v>43875.995474537034</v>
      </c>
      <c r="B2170" s="4" t="str">
        <f>HYPERLINK("https://twitter.com/petrogustavo","@petrogustavo")</f>
        <v>@petrogustavo</v>
      </c>
      <c r="C2170" s="5" t="s">
        <v>16</v>
      </c>
      <c r="D2170" s="5" t="s">
        <v>2127</v>
      </c>
      <c r="E2170" s="6" t="str">
        <f>HYPERLINK("https://twitter.com/petrogustavo/status/1228384279974932480","1228384279974932480")</f>
        <v>1228384279974932480</v>
      </c>
      <c r="F2170" s="7" t="s">
        <v>17</v>
      </c>
      <c r="G2170" s="7">
        <v>3635811</v>
      </c>
      <c r="H2170" s="7">
        <v>2350</v>
      </c>
      <c r="I2170" s="7">
        <v>125</v>
      </c>
      <c r="J2170" s="7">
        <v>357</v>
      </c>
      <c r="K2170" s="7" t="s">
        <v>18</v>
      </c>
      <c r="L2170" s="8">
        <v>39987.315405092595</v>
      </c>
      <c r="M2170" s="9" t="s">
        <v>19</v>
      </c>
      <c r="N2170" s="9" t="s">
        <v>20</v>
      </c>
      <c r="O2170" s="6" t="str">
        <f>HYPERLINK("https://pbs.twimg.com/profile_images/962471262747529216/Uo8lOkRJ_normal.jpg","View")</f>
        <v>View</v>
      </c>
      <c r="P2170" s="7"/>
    </row>
    <row r="2171" spans="1:16">
      <c r="A2171" s="3">
        <v>43875.995474537034</v>
      </c>
      <c r="B2171" s="4" t="str">
        <f>HYPERLINK("https://twitter.com/petrogustavo","@petrogustavo")</f>
        <v>@petrogustavo</v>
      </c>
      <c r="C2171" s="5" t="s">
        <v>16</v>
      </c>
      <c r="D2171" s="5" t="s">
        <v>2128</v>
      </c>
      <c r="E2171" s="6" t="str">
        <f>HYPERLINK("https://twitter.com/petrogustavo/status/1228384282781069313","1228384282781069313")</f>
        <v>1228384282781069313</v>
      </c>
      <c r="F2171" s="7" t="s">
        <v>17</v>
      </c>
      <c r="G2171" s="7">
        <v>3635811</v>
      </c>
      <c r="H2171" s="7">
        <v>2350</v>
      </c>
      <c r="I2171" s="7">
        <v>59</v>
      </c>
      <c r="J2171" s="7">
        <v>225</v>
      </c>
      <c r="K2171" s="7" t="s">
        <v>18</v>
      </c>
      <c r="L2171" s="8">
        <v>39987.315405092595</v>
      </c>
      <c r="M2171" s="9" t="s">
        <v>19</v>
      </c>
      <c r="N2171" s="9" t="s">
        <v>20</v>
      </c>
      <c r="O2171" s="6" t="str">
        <f>HYPERLINK("https://pbs.twimg.com/profile_images/962471262747529216/Uo8lOkRJ_normal.jpg","View")</f>
        <v>View</v>
      </c>
      <c r="P2171" s="7"/>
    </row>
    <row r="2172" spans="1:16">
      <c r="A2172" s="3">
        <v>43876.045474537037</v>
      </c>
      <c r="B2172" s="4" t="str">
        <f>HYPERLINK("https://twitter.com/petrogustavo","@petrogustavo")</f>
        <v>@petrogustavo</v>
      </c>
      <c r="C2172" s="5" t="s">
        <v>16</v>
      </c>
      <c r="D2172" s="5" t="s">
        <v>2129</v>
      </c>
      <c r="E2172" s="6" t="str">
        <f>HYPERLINK("https://twitter.com/petrogustavo/status/1228402401876611072","1228402401876611072")</f>
        <v>1228402401876611072</v>
      </c>
      <c r="F2172" s="7" t="s">
        <v>17</v>
      </c>
      <c r="G2172" s="7">
        <v>3635877</v>
      </c>
      <c r="H2172" s="7">
        <v>2350</v>
      </c>
      <c r="I2172" s="7">
        <v>73</v>
      </c>
      <c r="J2172" s="7">
        <v>155</v>
      </c>
      <c r="K2172" s="7" t="s">
        <v>18</v>
      </c>
      <c r="L2172" s="8">
        <v>39987.315405092595</v>
      </c>
      <c r="M2172" s="9" t="s">
        <v>19</v>
      </c>
      <c r="N2172" s="9" t="s">
        <v>20</v>
      </c>
      <c r="O2172" s="6" t="str">
        <f>HYPERLINK("https://pbs.twimg.com/profile_images/962471262747529216/Uo8lOkRJ_normal.jpg","View")</f>
        <v>View</v>
      </c>
      <c r="P2172" s="7"/>
    </row>
    <row r="2173" spans="1:16">
      <c r="A2173" s="3">
        <v>43876.06040509259</v>
      </c>
      <c r="B2173" s="4" t="str">
        <f>HYPERLINK("https://twitter.com/petrogustavo","@petrogustavo")</f>
        <v>@petrogustavo</v>
      </c>
      <c r="C2173" s="5" t="s">
        <v>16</v>
      </c>
      <c r="D2173" s="5" t="s">
        <v>2130</v>
      </c>
      <c r="E2173" s="6" t="str">
        <f>HYPERLINK("https://twitter.com/petrogustavo/status/1228407812260233219","1228407812260233219")</f>
        <v>1228407812260233219</v>
      </c>
      <c r="F2173" s="7" t="s">
        <v>17</v>
      </c>
      <c r="G2173" s="7">
        <v>3635906</v>
      </c>
      <c r="H2173" s="7">
        <v>2350</v>
      </c>
      <c r="I2173" s="7">
        <v>103</v>
      </c>
      <c r="J2173" s="7">
        <v>209</v>
      </c>
      <c r="K2173" s="7" t="s">
        <v>18</v>
      </c>
      <c r="L2173" s="8">
        <v>39987.315405092595</v>
      </c>
      <c r="M2173" s="9" t="s">
        <v>19</v>
      </c>
      <c r="N2173" s="9" t="s">
        <v>20</v>
      </c>
      <c r="O2173" s="6" t="str">
        <f>HYPERLINK("https://pbs.twimg.com/profile_images/962471262747529216/Uo8lOkRJ_normal.jpg","View")</f>
        <v>View</v>
      </c>
      <c r="P2173" s="7"/>
    </row>
    <row r="2174" spans="1:16">
      <c r="A2174" s="3">
        <v>43876.065347222218</v>
      </c>
      <c r="B2174" s="4" t="str">
        <f>HYPERLINK("https://twitter.com/petrogustavo","@petrogustavo")</f>
        <v>@petrogustavo</v>
      </c>
      <c r="C2174" s="5" t="s">
        <v>16</v>
      </c>
      <c r="D2174" s="5" t="s">
        <v>2131</v>
      </c>
      <c r="E2174" s="6" t="str">
        <f>HYPERLINK("https://twitter.com/petrogustavo/status/1228409603513372673","1228409603513372673")</f>
        <v>1228409603513372673</v>
      </c>
      <c r="F2174" s="7" t="s">
        <v>17</v>
      </c>
      <c r="G2174" s="7">
        <v>3635906</v>
      </c>
      <c r="H2174" s="7">
        <v>2350</v>
      </c>
      <c r="I2174" s="7">
        <v>186</v>
      </c>
      <c r="J2174" s="7">
        <v>768</v>
      </c>
      <c r="K2174" s="7" t="s">
        <v>18</v>
      </c>
      <c r="L2174" s="8">
        <v>39987.315405092595</v>
      </c>
      <c r="M2174" s="9" t="s">
        <v>19</v>
      </c>
      <c r="N2174" s="9" t="s">
        <v>20</v>
      </c>
      <c r="O2174" s="6" t="str">
        <f>HYPERLINK("https://pbs.twimg.com/profile_images/962471262747529216/Uo8lOkRJ_normal.jpg","View")</f>
        <v>View</v>
      </c>
      <c r="P2174" s="7"/>
    </row>
    <row r="2175" spans="1:16">
      <c r="A2175" s="3">
        <v>43876.066562499997</v>
      </c>
      <c r="B2175" s="4" t="str">
        <f>HYPERLINK("https://twitter.com/petrogustavo","@petrogustavo")</f>
        <v>@petrogustavo</v>
      </c>
      <c r="C2175" s="5" t="s">
        <v>16</v>
      </c>
      <c r="D2175" s="5" t="s">
        <v>2132</v>
      </c>
      <c r="E2175" s="6" t="str">
        <f>HYPERLINK("https://twitter.com/petrogustavo/status/1228410041985794050","1228410041985794050")</f>
        <v>1228410041985794050</v>
      </c>
      <c r="F2175" s="7" t="s">
        <v>17</v>
      </c>
      <c r="G2175" s="7">
        <v>3635906</v>
      </c>
      <c r="H2175" s="7">
        <v>2350</v>
      </c>
      <c r="I2175" s="7">
        <v>79</v>
      </c>
      <c r="J2175" s="7">
        <v>191</v>
      </c>
      <c r="K2175" s="7" t="s">
        <v>18</v>
      </c>
      <c r="L2175" s="8">
        <v>39987.315405092595</v>
      </c>
      <c r="M2175" s="9" t="s">
        <v>19</v>
      </c>
      <c r="N2175" s="9" t="s">
        <v>20</v>
      </c>
      <c r="O2175" s="6" t="str">
        <f>HYPERLINK("https://pbs.twimg.com/profile_images/962471262747529216/Uo8lOkRJ_normal.jpg","View")</f>
        <v>View</v>
      </c>
      <c r="P2175" s="7"/>
    </row>
    <row r="2176" spans="1:16">
      <c r="A2176" s="3">
        <v>43876.06826388889</v>
      </c>
      <c r="B2176" s="4" t="str">
        <f>HYPERLINK("https://twitter.com/petrogustavo","@petrogustavo")</f>
        <v>@petrogustavo</v>
      </c>
      <c r="C2176" s="5" t="s">
        <v>16</v>
      </c>
      <c r="D2176" s="5" t="s">
        <v>2133</v>
      </c>
      <c r="E2176" s="6" t="str">
        <f>HYPERLINK("https://twitter.com/petrogustavo/status/1228410657764249603","1228410657764249603")</f>
        <v>1228410657764249603</v>
      </c>
      <c r="F2176" s="7" t="s">
        <v>17</v>
      </c>
      <c r="G2176" s="7">
        <v>3635906</v>
      </c>
      <c r="H2176" s="7">
        <v>2350</v>
      </c>
      <c r="I2176" s="7">
        <v>47</v>
      </c>
      <c r="J2176" s="7">
        <v>147</v>
      </c>
      <c r="K2176" s="7" t="s">
        <v>18</v>
      </c>
      <c r="L2176" s="8">
        <v>39987.315405092595</v>
      </c>
      <c r="M2176" s="9" t="s">
        <v>19</v>
      </c>
      <c r="N2176" s="9" t="s">
        <v>20</v>
      </c>
      <c r="O2176" s="6" t="str">
        <f>HYPERLINK("https://pbs.twimg.com/profile_images/962471262747529216/Uo8lOkRJ_normal.jpg","View")</f>
        <v>View</v>
      </c>
      <c r="P2176" s="7"/>
    </row>
    <row r="2177" spans="1:16">
      <c r="A2177" s="3">
        <v>43876.077719907407</v>
      </c>
      <c r="B2177" s="4" t="str">
        <f>HYPERLINK("https://twitter.com/petrogustavo","@petrogustavo")</f>
        <v>@petrogustavo</v>
      </c>
      <c r="C2177" s="5" t="s">
        <v>16</v>
      </c>
      <c r="D2177" s="5" t="s">
        <v>2134</v>
      </c>
      <c r="E2177" s="6" t="str">
        <f>HYPERLINK("https://twitter.com/petrogustavo/status/1228414087597633536","1228414087597633536")</f>
        <v>1228414087597633536</v>
      </c>
      <c r="F2177" s="7" t="s">
        <v>17</v>
      </c>
      <c r="G2177" s="7">
        <v>3635923</v>
      </c>
      <c r="H2177" s="7">
        <v>2350</v>
      </c>
      <c r="I2177" s="7">
        <v>161</v>
      </c>
      <c r="J2177" s="7">
        <v>0</v>
      </c>
      <c r="K2177" s="7" t="s">
        <v>18</v>
      </c>
      <c r="L2177" s="8">
        <v>39987.315405092595</v>
      </c>
      <c r="M2177" s="9" t="s">
        <v>19</v>
      </c>
      <c r="N2177" s="9" t="s">
        <v>20</v>
      </c>
      <c r="O2177" s="6" t="str">
        <f>HYPERLINK("https://pbs.twimg.com/profile_images/962471262747529216/Uo8lOkRJ_normal.jpg","View")</f>
        <v>View</v>
      </c>
      <c r="P2177" s="7"/>
    </row>
    <row r="2178" spans="1:16">
      <c r="A2178" s="3">
        <v>43876.187453703707</v>
      </c>
      <c r="B2178" s="4" t="str">
        <f>HYPERLINK("https://twitter.com/petrogustavo","@petrogustavo")</f>
        <v>@petrogustavo</v>
      </c>
      <c r="C2178" s="5" t="s">
        <v>16</v>
      </c>
      <c r="D2178" s="5" t="s">
        <v>2135</v>
      </c>
      <c r="E2178" s="6" t="str">
        <f>HYPERLINK("https://twitter.com/petrogustavo/status/1228453851646320641","1228453851646320641")</f>
        <v>1228453851646320641</v>
      </c>
      <c r="F2178" s="7" t="s">
        <v>32</v>
      </c>
      <c r="G2178" s="7">
        <v>3636001</v>
      </c>
      <c r="H2178" s="7">
        <v>2350</v>
      </c>
      <c r="I2178" s="7">
        <v>581</v>
      </c>
      <c r="J2178" s="7">
        <v>0</v>
      </c>
      <c r="K2178" s="7" t="s">
        <v>18</v>
      </c>
      <c r="L2178" s="8">
        <v>39987.315405092595</v>
      </c>
      <c r="M2178" s="9" t="s">
        <v>19</v>
      </c>
      <c r="N2178" s="9" t="s">
        <v>20</v>
      </c>
      <c r="O2178" s="6" t="str">
        <f>HYPERLINK("https://pbs.twimg.com/profile_images/962471262747529216/Uo8lOkRJ_normal.jpg","View")</f>
        <v>View</v>
      </c>
      <c r="P2178" s="7"/>
    </row>
    <row r="2179" spans="1:16">
      <c r="A2179" s="3">
        <v>43876.194722222222</v>
      </c>
      <c r="B2179" s="4" t="str">
        <f>HYPERLINK("https://twitter.com/petrogustavo","@petrogustavo")</f>
        <v>@petrogustavo</v>
      </c>
      <c r="C2179" s="5" t="s">
        <v>16</v>
      </c>
      <c r="D2179" s="5" t="s">
        <v>2136</v>
      </c>
      <c r="E2179" s="6" t="str">
        <f>HYPERLINK("https://twitter.com/petrogustavo/status/1228456485161754625","1228456485161754625")</f>
        <v>1228456485161754625</v>
      </c>
      <c r="F2179" s="7" t="s">
        <v>32</v>
      </c>
      <c r="G2179" s="7">
        <v>3636001</v>
      </c>
      <c r="H2179" s="7">
        <v>2350</v>
      </c>
      <c r="I2179" s="7">
        <v>1181</v>
      </c>
      <c r="J2179" s="7">
        <v>0</v>
      </c>
      <c r="K2179" s="7" t="s">
        <v>18</v>
      </c>
      <c r="L2179" s="8">
        <v>39987.315405092595</v>
      </c>
      <c r="M2179" s="9" t="s">
        <v>19</v>
      </c>
      <c r="N2179" s="9" t="s">
        <v>20</v>
      </c>
      <c r="O2179" s="6" t="str">
        <f>HYPERLINK("https://pbs.twimg.com/profile_images/962471262747529216/Uo8lOkRJ_normal.jpg","View")</f>
        <v>View</v>
      </c>
      <c r="P2179" s="7"/>
    </row>
    <row r="2180" spans="1:16">
      <c r="A2180" s="3">
        <v>43876.337650462963</v>
      </c>
      <c r="B2180" s="4" t="str">
        <f>HYPERLINK("https://twitter.com/petrogustavo","@petrogustavo")</f>
        <v>@petrogustavo</v>
      </c>
      <c r="C2180" s="5" t="s">
        <v>16</v>
      </c>
      <c r="D2180" s="5" t="s">
        <v>2137</v>
      </c>
      <c r="E2180" s="6" t="str">
        <f>HYPERLINK("https://twitter.com/petrogustavo/status/1228508280181444608","1228508280181444608")</f>
        <v>1228508280181444608</v>
      </c>
      <c r="F2180" s="7" t="s">
        <v>17</v>
      </c>
      <c r="G2180" s="7">
        <v>3636192</v>
      </c>
      <c r="H2180" s="7">
        <v>2351</v>
      </c>
      <c r="I2180" s="7">
        <v>989</v>
      </c>
      <c r="J2180" s="7">
        <v>0</v>
      </c>
      <c r="K2180" s="7" t="s">
        <v>18</v>
      </c>
      <c r="L2180" s="8">
        <v>39987.315405092595</v>
      </c>
      <c r="M2180" s="9" t="s">
        <v>19</v>
      </c>
      <c r="N2180" s="9" t="s">
        <v>20</v>
      </c>
      <c r="O2180" s="6" t="str">
        <f>HYPERLINK("https://pbs.twimg.com/profile_images/962471262747529216/Uo8lOkRJ_normal.jpg","View")</f>
        <v>View</v>
      </c>
      <c r="P2180" s="7"/>
    </row>
    <row r="2181" spans="1:16">
      <c r="A2181" s="3">
        <v>43876.338553240741</v>
      </c>
      <c r="B2181" s="4" t="str">
        <f>HYPERLINK("https://twitter.com/petrogustavo","@petrogustavo")</f>
        <v>@petrogustavo</v>
      </c>
      <c r="C2181" s="5" t="s">
        <v>16</v>
      </c>
      <c r="D2181" s="5" t="s">
        <v>2134</v>
      </c>
      <c r="E2181" s="6" t="str">
        <f>HYPERLINK("https://twitter.com/petrogustavo/status/1228508608960376833","1228508608960376833")</f>
        <v>1228508608960376833</v>
      </c>
      <c r="F2181" s="7" t="s">
        <v>17</v>
      </c>
      <c r="G2181" s="7">
        <v>3636192</v>
      </c>
      <c r="H2181" s="7">
        <v>2351</v>
      </c>
      <c r="I2181" s="7">
        <v>523</v>
      </c>
      <c r="J2181" s="7">
        <v>0</v>
      </c>
      <c r="K2181" s="7" t="s">
        <v>18</v>
      </c>
      <c r="L2181" s="8">
        <v>39987.315405092595</v>
      </c>
      <c r="M2181" s="9" t="s">
        <v>19</v>
      </c>
      <c r="N2181" s="9" t="s">
        <v>20</v>
      </c>
      <c r="O2181" s="6" t="str">
        <f>HYPERLINK("https://pbs.twimg.com/profile_images/962471262747529216/Uo8lOkRJ_normal.jpg","View")</f>
        <v>View</v>
      </c>
      <c r="P2181" s="7"/>
    </row>
    <row r="2182" spans="1:16">
      <c r="A2182" s="3">
        <v>43876.894456018519</v>
      </c>
      <c r="B2182" s="4" t="str">
        <f>HYPERLINK("https://twitter.com/petrogustavo","@petrogustavo")</f>
        <v>@petrogustavo</v>
      </c>
      <c r="C2182" s="5" t="s">
        <v>16</v>
      </c>
      <c r="D2182" s="5" t="s">
        <v>2138</v>
      </c>
      <c r="E2182" s="6" t="str">
        <f>HYPERLINK("https://twitter.com/petrogustavo/status/1228710059905093642","1228710059905093642")</f>
        <v>1228710059905093642</v>
      </c>
      <c r="F2182" s="7" t="s">
        <v>17</v>
      </c>
      <c r="G2182" s="7">
        <v>3636608</v>
      </c>
      <c r="H2182" s="7">
        <v>2351</v>
      </c>
      <c r="I2182" s="7">
        <v>132</v>
      </c>
      <c r="J2182" s="7">
        <v>383</v>
      </c>
      <c r="K2182" s="7" t="s">
        <v>18</v>
      </c>
      <c r="L2182" s="8">
        <v>39987.315405092595</v>
      </c>
      <c r="M2182" s="9" t="s">
        <v>19</v>
      </c>
      <c r="N2182" s="9" t="s">
        <v>20</v>
      </c>
      <c r="O2182" s="6" t="str">
        <f>HYPERLINK("https://pbs.twimg.com/profile_images/962471262747529216/Uo8lOkRJ_normal.jpg","View")</f>
        <v>View</v>
      </c>
      <c r="P2182" s="7"/>
    </row>
    <row r="2183" spans="1:16">
      <c r="A2183" s="3">
        <v>43876.89638888889</v>
      </c>
      <c r="B2183" s="4" t="str">
        <f>HYPERLINK("https://twitter.com/petrogustavo","@petrogustavo")</f>
        <v>@petrogustavo</v>
      </c>
      <c r="C2183" s="5" t="s">
        <v>16</v>
      </c>
      <c r="D2183" s="5" t="s">
        <v>2139</v>
      </c>
      <c r="E2183" s="6" t="str">
        <f>HYPERLINK("https://twitter.com/petrogustavo/status/1228710761586929668","1228710761586929668")</f>
        <v>1228710761586929668</v>
      </c>
      <c r="F2183" s="7" t="s">
        <v>17</v>
      </c>
      <c r="G2183" s="7">
        <v>3636608</v>
      </c>
      <c r="H2183" s="7">
        <v>2351</v>
      </c>
      <c r="I2183" s="7">
        <v>169</v>
      </c>
      <c r="J2183" s="7">
        <v>477</v>
      </c>
      <c r="K2183" s="7" t="s">
        <v>18</v>
      </c>
      <c r="L2183" s="8">
        <v>39987.315405092595</v>
      </c>
      <c r="M2183" s="9" t="s">
        <v>19</v>
      </c>
      <c r="N2183" s="9" t="s">
        <v>20</v>
      </c>
      <c r="O2183" s="6" t="str">
        <f>HYPERLINK("https://pbs.twimg.com/profile_images/962471262747529216/Uo8lOkRJ_normal.jpg","View")</f>
        <v>View</v>
      </c>
      <c r="P2183" s="7"/>
    </row>
    <row r="2184" spans="1:16">
      <c r="A2184" s="3">
        <v>43876.910949074074</v>
      </c>
      <c r="B2184" s="4" t="str">
        <f>HYPERLINK("https://twitter.com/petrogustavo","@petrogustavo")</f>
        <v>@petrogustavo</v>
      </c>
      <c r="C2184" s="5" t="s">
        <v>16</v>
      </c>
      <c r="D2184" s="5" t="s">
        <v>2140</v>
      </c>
      <c r="E2184" s="6" t="str">
        <f>HYPERLINK("https://twitter.com/petrogustavo/status/1228716038084333569","1228716038084333569")</f>
        <v>1228716038084333569</v>
      </c>
      <c r="F2184" s="7" t="s">
        <v>17</v>
      </c>
      <c r="G2184" s="7">
        <v>3636629</v>
      </c>
      <c r="H2184" s="7">
        <v>2351</v>
      </c>
      <c r="I2184" s="7">
        <v>93</v>
      </c>
      <c r="J2184" s="7">
        <v>200</v>
      </c>
      <c r="K2184" s="7" t="s">
        <v>18</v>
      </c>
      <c r="L2184" s="8">
        <v>39987.315405092595</v>
      </c>
      <c r="M2184" s="9" t="s">
        <v>19</v>
      </c>
      <c r="N2184" s="9" t="s">
        <v>20</v>
      </c>
      <c r="O2184" s="6" t="str">
        <f>HYPERLINK("https://pbs.twimg.com/profile_images/962471262747529216/Uo8lOkRJ_normal.jpg","View")</f>
        <v>View</v>
      </c>
      <c r="P2184" s="7"/>
    </row>
    <row r="2185" spans="1:16">
      <c r="A2185" s="3">
        <v>43876.910949074074</v>
      </c>
      <c r="B2185" s="4" t="str">
        <f>HYPERLINK("https://twitter.com/petrogustavo","@petrogustavo")</f>
        <v>@petrogustavo</v>
      </c>
      <c r="C2185" s="5" t="s">
        <v>16</v>
      </c>
      <c r="D2185" s="5" t="s">
        <v>2141</v>
      </c>
      <c r="E2185" s="6" t="str">
        <f>HYPERLINK("https://twitter.com/petrogustavo/status/1228716039254441984","1228716039254441984")</f>
        <v>1228716039254441984</v>
      </c>
      <c r="F2185" s="7" t="s">
        <v>17</v>
      </c>
      <c r="G2185" s="7">
        <v>3636629</v>
      </c>
      <c r="H2185" s="7">
        <v>2351</v>
      </c>
      <c r="I2185" s="7">
        <v>57</v>
      </c>
      <c r="J2185" s="7">
        <v>139</v>
      </c>
      <c r="K2185" s="7" t="s">
        <v>18</v>
      </c>
      <c r="L2185" s="8">
        <v>39987.315405092595</v>
      </c>
      <c r="M2185" s="9" t="s">
        <v>19</v>
      </c>
      <c r="N2185" s="9" t="s">
        <v>20</v>
      </c>
      <c r="O2185" s="6" t="str">
        <f>HYPERLINK("https://pbs.twimg.com/profile_images/962471262747529216/Uo8lOkRJ_normal.jpg","View")</f>
        <v>View</v>
      </c>
      <c r="P2185" s="7"/>
    </row>
    <row r="2186" spans="1:16">
      <c r="A2186" s="3">
        <v>43876.925104166672</v>
      </c>
      <c r="B2186" s="4" t="str">
        <f>HYPERLINK("https://twitter.com/petrogustavo","@petrogustavo")</f>
        <v>@petrogustavo</v>
      </c>
      <c r="C2186" s="5" t="s">
        <v>16</v>
      </c>
      <c r="D2186" s="5" t="s">
        <v>2142</v>
      </c>
      <c r="E2186" s="6" t="str">
        <f>HYPERLINK("https://twitter.com/petrogustavo/status/1228721168217182209","1228721168217182209")</f>
        <v>1228721168217182209</v>
      </c>
      <c r="F2186" s="7" t="s">
        <v>17</v>
      </c>
      <c r="G2186" s="7">
        <v>3636629</v>
      </c>
      <c r="H2186" s="7">
        <v>2351</v>
      </c>
      <c r="I2186" s="7">
        <v>41</v>
      </c>
      <c r="J2186" s="7">
        <v>90</v>
      </c>
      <c r="K2186" s="7" t="s">
        <v>18</v>
      </c>
      <c r="L2186" s="8">
        <v>39987.315405092595</v>
      </c>
      <c r="M2186" s="9" t="s">
        <v>19</v>
      </c>
      <c r="N2186" s="9" t="s">
        <v>20</v>
      </c>
      <c r="O2186" s="6" t="str">
        <f>HYPERLINK("https://pbs.twimg.com/profile_images/962471262747529216/Uo8lOkRJ_normal.jpg","View")</f>
        <v>View</v>
      </c>
      <c r="P2186" s="7"/>
    </row>
    <row r="2187" spans="1:16">
      <c r="A2187" s="3">
        <v>43876.936226851853</v>
      </c>
      <c r="B2187" s="4" t="str">
        <f>HYPERLINK("https://twitter.com/petrogustavo","@petrogustavo")</f>
        <v>@petrogustavo</v>
      </c>
      <c r="C2187" s="5" t="s">
        <v>16</v>
      </c>
      <c r="D2187" s="5" t="s">
        <v>2143</v>
      </c>
      <c r="E2187" s="6" t="str">
        <f>HYPERLINK("https://twitter.com/petrogustavo/status/1228725196468649984","1228725196468649984")</f>
        <v>1228725196468649984</v>
      </c>
      <c r="F2187" s="7" t="s">
        <v>17</v>
      </c>
      <c r="G2187" s="7">
        <v>3636649</v>
      </c>
      <c r="H2187" s="7">
        <v>2351</v>
      </c>
      <c r="I2187" s="7">
        <v>144</v>
      </c>
      <c r="J2187" s="7">
        <v>0</v>
      </c>
      <c r="K2187" s="7" t="s">
        <v>18</v>
      </c>
      <c r="L2187" s="8">
        <v>39987.315405092595</v>
      </c>
      <c r="M2187" s="9" t="s">
        <v>19</v>
      </c>
      <c r="N2187" s="9" t="s">
        <v>20</v>
      </c>
      <c r="O2187" s="6" t="str">
        <f>HYPERLINK("https://pbs.twimg.com/profile_images/962471262747529216/Uo8lOkRJ_normal.jpg","View")</f>
        <v>View</v>
      </c>
      <c r="P2187" s="7"/>
    </row>
    <row r="2188" spans="1:16">
      <c r="A2188" s="3">
        <v>43876.958437499998</v>
      </c>
      <c r="B2188" s="4" t="str">
        <f>HYPERLINK("https://twitter.com/petrogustavo","@petrogustavo")</f>
        <v>@petrogustavo</v>
      </c>
      <c r="C2188" s="5" t="s">
        <v>16</v>
      </c>
      <c r="D2188" s="5" t="s">
        <v>2144</v>
      </c>
      <c r="E2188" s="6" t="str">
        <f>HYPERLINK("https://twitter.com/petrogustavo/status/1228733245900107776","1228733245900107776")</f>
        <v>1228733245900107776</v>
      </c>
      <c r="F2188" s="7" t="s">
        <v>17</v>
      </c>
      <c r="G2188" s="7">
        <v>3636657</v>
      </c>
      <c r="H2188" s="7">
        <v>2351</v>
      </c>
      <c r="I2188" s="7">
        <v>45</v>
      </c>
      <c r="J2188" s="7">
        <v>0</v>
      </c>
      <c r="K2188" s="7" t="s">
        <v>18</v>
      </c>
      <c r="L2188" s="8">
        <v>39987.315405092595</v>
      </c>
      <c r="M2188" s="9" t="s">
        <v>19</v>
      </c>
      <c r="N2188" s="9" t="s">
        <v>20</v>
      </c>
      <c r="O2188" s="6" t="str">
        <f>HYPERLINK("https://pbs.twimg.com/profile_images/962471262747529216/Uo8lOkRJ_normal.jpg","View")</f>
        <v>View</v>
      </c>
      <c r="P2188" s="7"/>
    </row>
    <row r="2189" spans="1:16">
      <c r="A2189" s="3">
        <v>43877.878622685181</v>
      </c>
      <c r="B2189" s="4" t="str">
        <f>HYPERLINK("https://twitter.com/petrogustavo","@petrogustavo")</f>
        <v>@petrogustavo</v>
      </c>
      <c r="C2189" s="5" t="s">
        <v>16</v>
      </c>
      <c r="D2189" s="5" t="s">
        <v>2145</v>
      </c>
      <c r="E2189" s="6" t="str">
        <f>HYPERLINK("https://twitter.com/petrogustavo/status/1229066710461960192","1229066710461960192")</f>
        <v>1229066710461960192</v>
      </c>
      <c r="F2189" s="7" t="s">
        <v>17</v>
      </c>
      <c r="G2189" s="7">
        <v>3637513</v>
      </c>
      <c r="H2189" s="7">
        <v>2350</v>
      </c>
      <c r="I2189" s="7">
        <v>111</v>
      </c>
      <c r="J2189" s="7">
        <v>305</v>
      </c>
      <c r="K2189" s="7" t="s">
        <v>18</v>
      </c>
      <c r="L2189" s="8">
        <v>39987.315405092595</v>
      </c>
      <c r="M2189" s="9" t="s">
        <v>19</v>
      </c>
      <c r="N2189" s="9" t="s">
        <v>20</v>
      </c>
      <c r="O2189" s="6" t="str">
        <f>HYPERLINK("https://pbs.twimg.com/profile_images/962471262747529216/Uo8lOkRJ_normal.jpg","View")</f>
        <v>View</v>
      </c>
      <c r="P2189" s="7"/>
    </row>
    <row r="2190" spans="1:16">
      <c r="A2190" s="3">
        <v>43877.88003472222</v>
      </c>
      <c r="B2190" s="4" t="str">
        <f>HYPERLINK("https://twitter.com/petrogustavo","@petrogustavo")</f>
        <v>@petrogustavo</v>
      </c>
      <c r="C2190" s="5" t="s">
        <v>16</v>
      </c>
      <c r="D2190" s="5" t="s">
        <v>2146</v>
      </c>
      <c r="E2190" s="6" t="str">
        <f>HYPERLINK("https://twitter.com/petrogustavo/status/1229067221743362049","1229067221743362049")</f>
        <v>1229067221743362049</v>
      </c>
      <c r="F2190" s="7" t="s">
        <v>17</v>
      </c>
      <c r="G2190" s="7">
        <v>3637513</v>
      </c>
      <c r="H2190" s="7">
        <v>2350</v>
      </c>
      <c r="I2190" s="7">
        <v>34</v>
      </c>
      <c r="J2190" s="7">
        <v>96</v>
      </c>
      <c r="K2190" s="7" t="s">
        <v>18</v>
      </c>
      <c r="L2190" s="8">
        <v>39987.315405092595</v>
      </c>
      <c r="M2190" s="9" t="s">
        <v>19</v>
      </c>
      <c r="N2190" s="9" t="s">
        <v>20</v>
      </c>
      <c r="O2190" s="6" t="str">
        <f>HYPERLINK("https://pbs.twimg.com/profile_images/962471262747529216/Uo8lOkRJ_normal.jpg","View")</f>
        <v>View</v>
      </c>
      <c r="P2190" s="7"/>
    </row>
    <row r="2191" spans="1:16">
      <c r="A2191" s="3">
        <v>43877.88212962963</v>
      </c>
      <c r="B2191" s="4" t="str">
        <f>HYPERLINK("https://twitter.com/petrogustavo","@petrogustavo")</f>
        <v>@petrogustavo</v>
      </c>
      <c r="C2191" s="5" t="s">
        <v>16</v>
      </c>
      <c r="D2191" s="5" t="s">
        <v>2147</v>
      </c>
      <c r="E2191" s="6" t="str">
        <f>HYPERLINK("https://twitter.com/petrogustavo/status/1229067982720159746","1229067982720159746")</f>
        <v>1229067982720159746</v>
      </c>
      <c r="F2191" s="7" t="s">
        <v>17</v>
      </c>
      <c r="G2191" s="7">
        <v>3637513</v>
      </c>
      <c r="H2191" s="7">
        <v>2350</v>
      </c>
      <c r="I2191" s="7">
        <v>37</v>
      </c>
      <c r="J2191" s="7">
        <v>71</v>
      </c>
      <c r="K2191" s="7" t="s">
        <v>18</v>
      </c>
      <c r="L2191" s="8">
        <v>39987.315405092595</v>
      </c>
      <c r="M2191" s="9" t="s">
        <v>19</v>
      </c>
      <c r="N2191" s="9" t="s">
        <v>20</v>
      </c>
      <c r="O2191" s="6" t="str">
        <f>HYPERLINK("https://pbs.twimg.com/profile_images/962471262747529216/Uo8lOkRJ_normal.jpg","View")</f>
        <v>View</v>
      </c>
      <c r="P2191" s="7"/>
    </row>
    <row r="2192" spans="1:16">
      <c r="A2192" s="3">
        <v>43877.897523148145</v>
      </c>
      <c r="B2192" s="4" t="str">
        <f>HYPERLINK("https://twitter.com/petrogustavo","@petrogustavo")</f>
        <v>@petrogustavo</v>
      </c>
      <c r="C2192" s="5" t="s">
        <v>16</v>
      </c>
      <c r="D2192" s="5" t="s">
        <v>2148</v>
      </c>
      <c r="E2192" s="6" t="str">
        <f>HYPERLINK("https://twitter.com/petrogustavo/status/1229073561740042241","1229073561740042241")</f>
        <v>1229073561740042241</v>
      </c>
      <c r="F2192" s="7" t="s">
        <v>17</v>
      </c>
      <c r="G2192" s="7">
        <v>3637561</v>
      </c>
      <c r="H2192" s="7">
        <v>2350</v>
      </c>
      <c r="I2192" s="7">
        <v>61</v>
      </c>
      <c r="J2192" s="7">
        <v>0</v>
      </c>
      <c r="K2192" s="7" t="s">
        <v>18</v>
      </c>
      <c r="L2192" s="8">
        <v>39987.315405092595</v>
      </c>
      <c r="M2192" s="9" t="s">
        <v>19</v>
      </c>
      <c r="N2192" s="9" t="s">
        <v>20</v>
      </c>
      <c r="O2192" s="6" t="str">
        <f>HYPERLINK("https://pbs.twimg.com/profile_images/962471262747529216/Uo8lOkRJ_normal.jpg","View")</f>
        <v>View</v>
      </c>
      <c r="P2192" s="7"/>
    </row>
    <row r="2193" spans="1:16">
      <c r="A2193" s="3">
        <v>43877.898888888885</v>
      </c>
      <c r="B2193" s="4" t="str">
        <f>HYPERLINK("https://twitter.com/petrogustavo","@petrogustavo")</f>
        <v>@petrogustavo</v>
      </c>
      <c r="C2193" s="5" t="s">
        <v>16</v>
      </c>
      <c r="D2193" s="5" t="s">
        <v>2149</v>
      </c>
      <c r="E2193" s="6" t="str">
        <f>HYPERLINK("https://twitter.com/petrogustavo/status/1229074055975841792","1229074055975841792")</f>
        <v>1229074055975841792</v>
      </c>
      <c r="F2193" s="7" t="s">
        <v>17</v>
      </c>
      <c r="G2193" s="7">
        <v>3637561</v>
      </c>
      <c r="H2193" s="7">
        <v>2350</v>
      </c>
      <c r="I2193" s="7">
        <v>1132</v>
      </c>
      <c r="J2193" s="7">
        <v>0</v>
      </c>
      <c r="K2193" s="7" t="s">
        <v>18</v>
      </c>
      <c r="L2193" s="8">
        <v>39987.315405092595</v>
      </c>
      <c r="M2193" s="9" t="s">
        <v>19</v>
      </c>
      <c r="N2193" s="9" t="s">
        <v>20</v>
      </c>
      <c r="O2193" s="6" t="str">
        <f>HYPERLINK("https://pbs.twimg.com/profile_images/962471262747529216/Uo8lOkRJ_normal.jpg","View")</f>
        <v>View</v>
      </c>
      <c r="P2193" s="7"/>
    </row>
    <row r="2194" spans="1:16">
      <c r="A2194" s="3">
        <v>43877.90111111111</v>
      </c>
      <c r="B2194" s="4" t="str">
        <f>HYPERLINK("https://twitter.com/petrogustavo","@petrogustavo")</f>
        <v>@petrogustavo</v>
      </c>
      <c r="C2194" s="5" t="s">
        <v>16</v>
      </c>
      <c r="D2194" s="5" t="s">
        <v>2150</v>
      </c>
      <c r="E2194" s="6" t="str">
        <f>HYPERLINK("https://twitter.com/petrogustavo/status/1229074860619583495","1229074860619583495")</f>
        <v>1229074860619583495</v>
      </c>
      <c r="F2194" s="7" t="s">
        <v>17</v>
      </c>
      <c r="G2194" s="7">
        <v>3637561</v>
      </c>
      <c r="H2194" s="7">
        <v>2350</v>
      </c>
      <c r="I2194" s="7">
        <v>112</v>
      </c>
      <c r="J2194" s="7">
        <v>0</v>
      </c>
      <c r="K2194" s="7" t="s">
        <v>18</v>
      </c>
      <c r="L2194" s="8">
        <v>39987.315405092595</v>
      </c>
      <c r="M2194" s="9" t="s">
        <v>19</v>
      </c>
      <c r="N2194" s="9" t="s">
        <v>20</v>
      </c>
      <c r="O2194" s="6" t="str">
        <f>HYPERLINK("https://pbs.twimg.com/profile_images/962471262747529216/Uo8lOkRJ_normal.jpg","View")</f>
        <v>View</v>
      </c>
      <c r="P2194" s="7"/>
    </row>
    <row r="2195" spans="1:16">
      <c r="A2195" s="3">
        <v>43877.903414351851</v>
      </c>
      <c r="B2195" s="4" t="str">
        <f>HYPERLINK("https://twitter.com/petrogustavo","@petrogustavo")</f>
        <v>@petrogustavo</v>
      </c>
      <c r="C2195" s="5" t="s">
        <v>16</v>
      </c>
      <c r="D2195" s="5" t="s">
        <v>2151</v>
      </c>
      <c r="E2195" s="6" t="str">
        <f>HYPERLINK("https://twitter.com/petrogustavo/status/1229075693604147202","1229075693604147202")</f>
        <v>1229075693604147202</v>
      </c>
      <c r="F2195" s="7" t="s">
        <v>17</v>
      </c>
      <c r="G2195" s="7">
        <v>3637561</v>
      </c>
      <c r="H2195" s="7">
        <v>2350</v>
      </c>
      <c r="I2195" s="7">
        <v>191</v>
      </c>
      <c r="J2195" s="7">
        <v>0</v>
      </c>
      <c r="K2195" s="7" t="s">
        <v>18</v>
      </c>
      <c r="L2195" s="8">
        <v>39987.315405092595</v>
      </c>
      <c r="M2195" s="9" t="s">
        <v>19</v>
      </c>
      <c r="N2195" s="9" t="s">
        <v>20</v>
      </c>
      <c r="O2195" s="6" t="str">
        <f>HYPERLINK("https://pbs.twimg.com/profile_images/962471262747529216/Uo8lOkRJ_normal.jpg","View")</f>
        <v>View</v>
      </c>
      <c r="P2195" s="7"/>
    </row>
    <row r="2196" spans="1:16">
      <c r="A2196" s="3">
        <v>43877.913321759261</v>
      </c>
      <c r="B2196" s="4" t="str">
        <f>HYPERLINK("https://twitter.com/petrogustavo","@petrogustavo")</f>
        <v>@petrogustavo</v>
      </c>
      <c r="C2196" s="5" t="s">
        <v>16</v>
      </c>
      <c r="D2196" s="5" t="s">
        <v>2152</v>
      </c>
      <c r="E2196" s="6" t="str">
        <f>HYPERLINK("https://twitter.com/petrogustavo/status/1229079287044681729","1229079287044681729")</f>
        <v>1229079287044681729</v>
      </c>
      <c r="F2196" s="7" t="s">
        <v>17</v>
      </c>
      <c r="G2196" s="7">
        <v>3637591</v>
      </c>
      <c r="H2196" s="7">
        <v>2350</v>
      </c>
      <c r="I2196" s="7">
        <v>259</v>
      </c>
      <c r="J2196" s="7">
        <v>506</v>
      </c>
      <c r="K2196" s="7" t="s">
        <v>18</v>
      </c>
      <c r="L2196" s="8">
        <v>39987.315405092595</v>
      </c>
      <c r="M2196" s="9" t="s">
        <v>19</v>
      </c>
      <c r="N2196" s="9" t="s">
        <v>20</v>
      </c>
      <c r="O2196" s="6" t="str">
        <f>HYPERLINK("https://pbs.twimg.com/profile_images/962471262747529216/Uo8lOkRJ_normal.jpg","View")</f>
        <v>View</v>
      </c>
      <c r="P2196" s="7"/>
    </row>
    <row r="2197" spans="1:16">
      <c r="A2197" s="3">
        <v>43877.913344907407</v>
      </c>
      <c r="B2197" s="4" t="str">
        <f>HYPERLINK("https://twitter.com/petrogustavo","@petrogustavo")</f>
        <v>@petrogustavo</v>
      </c>
      <c r="C2197" s="5" t="s">
        <v>16</v>
      </c>
      <c r="D2197" s="5" t="s">
        <v>2153</v>
      </c>
      <c r="E2197" s="6" t="str">
        <f>HYPERLINK("https://twitter.com/petrogustavo/status/1229079292577009664","1229079292577009664")</f>
        <v>1229079292577009664</v>
      </c>
      <c r="F2197" s="7" t="s">
        <v>17</v>
      </c>
      <c r="G2197" s="7">
        <v>3637591</v>
      </c>
      <c r="H2197" s="7">
        <v>2350</v>
      </c>
      <c r="I2197" s="7">
        <v>150</v>
      </c>
      <c r="J2197" s="7">
        <v>393</v>
      </c>
      <c r="K2197" s="7" t="s">
        <v>18</v>
      </c>
      <c r="L2197" s="8">
        <v>39987.315405092595</v>
      </c>
      <c r="M2197" s="9" t="s">
        <v>19</v>
      </c>
      <c r="N2197" s="9" t="s">
        <v>20</v>
      </c>
      <c r="O2197" s="6" t="str">
        <f>HYPERLINK("https://pbs.twimg.com/profile_images/962471262747529216/Uo8lOkRJ_normal.jpg","View")</f>
        <v>View</v>
      </c>
      <c r="P2197" s="7"/>
    </row>
    <row r="2198" spans="1:16">
      <c r="A2198" s="3">
        <v>43878.095046296294</v>
      </c>
      <c r="B2198" s="4" t="str">
        <f>HYPERLINK("https://twitter.com/petrogustavo","@petrogustavo")</f>
        <v>@petrogustavo</v>
      </c>
      <c r="C2198" s="5" t="s">
        <v>16</v>
      </c>
      <c r="D2198" s="5" t="s">
        <v>2154</v>
      </c>
      <c r="E2198" s="6" t="str">
        <f>HYPERLINK("https://twitter.com/petrogustavo/status/1229145141295931392","1229145141295931392")</f>
        <v>1229145141295931392</v>
      </c>
      <c r="F2198" s="7" t="s">
        <v>17</v>
      </c>
      <c r="G2198" s="7">
        <v>3637775</v>
      </c>
      <c r="H2198" s="7">
        <v>2350</v>
      </c>
      <c r="I2198" s="7">
        <v>2</v>
      </c>
      <c r="J2198" s="7">
        <v>11</v>
      </c>
      <c r="K2198" s="7" t="s">
        <v>18</v>
      </c>
      <c r="L2198" s="8">
        <v>39987.315405092595</v>
      </c>
      <c r="M2198" s="9" t="s">
        <v>19</v>
      </c>
      <c r="N2198" s="9" t="s">
        <v>20</v>
      </c>
      <c r="O2198" s="6" t="str">
        <f>HYPERLINK("https://pbs.twimg.com/profile_images/962471262747529216/Uo8lOkRJ_normal.jpg","View")</f>
        <v>View</v>
      </c>
      <c r="P2198" s="7"/>
    </row>
    <row r="2199" spans="1:16">
      <c r="A2199" s="3">
        <v>43878.095648148148</v>
      </c>
      <c r="B2199" s="4" t="str">
        <f>HYPERLINK("https://twitter.com/petrogustavo","@petrogustavo")</f>
        <v>@petrogustavo</v>
      </c>
      <c r="C2199" s="5" t="s">
        <v>16</v>
      </c>
      <c r="D2199" s="5" t="s">
        <v>2155</v>
      </c>
      <c r="E2199" s="6" t="str">
        <f>HYPERLINK("https://twitter.com/petrogustavo/status/1229145360259584001","1229145360259584001")</f>
        <v>1229145360259584001</v>
      </c>
      <c r="F2199" s="7" t="s">
        <v>17</v>
      </c>
      <c r="G2199" s="7">
        <v>3637775</v>
      </c>
      <c r="H2199" s="7">
        <v>2350</v>
      </c>
      <c r="I2199" s="7">
        <v>75</v>
      </c>
      <c r="J2199" s="7">
        <v>0</v>
      </c>
      <c r="K2199" s="7" t="s">
        <v>18</v>
      </c>
      <c r="L2199" s="8">
        <v>39987.315405092595</v>
      </c>
      <c r="M2199" s="9" t="s">
        <v>19</v>
      </c>
      <c r="N2199" s="9" t="s">
        <v>20</v>
      </c>
      <c r="O2199" s="6" t="str">
        <f>HYPERLINK("https://pbs.twimg.com/profile_images/962471262747529216/Uo8lOkRJ_normal.jpg","View")</f>
        <v>View</v>
      </c>
      <c r="P2199" s="7"/>
    </row>
    <row r="2200" spans="1:16">
      <c r="A2200" s="3">
        <v>43878.096250000002</v>
      </c>
      <c r="B2200" s="4" t="str">
        <f>HYPERLINK("https://twitter.com/petrogustavo","@petrogustavo")</f>
        <v>@petrogustavo</v>
      </c>
      <c r="C2200" s="5" t="s">
        <v>16</v>
      </c>
      <c r="D2200" s="5" t="s">
        <v>2156</v>
      </c>
      <c r="E2200" s="6" t="str">
        <f>HYPERLINK("https://twitter.com/petrogustavo/status/1229145578002616322","1229145578002616322")</f>
        <v>1229145578002616322</v>
      </c>
      <c r="F2200" s="7" t="s">
        <v>17</v>
      </c>
      <c r="G2200" s="7">
        <v>3637802</v>
      </c>
      <c r="H2200" s="7">
        <v>2350</v>
      </c>
      <c r="I2200" s="7">
        <v>99</v>
      </c>
      <c r="J2200" s="7">
        <v>394</v>
      </c>
      <c r="K2200" s="7" t="s">
        <v>18</v>
      </c>
      <c r="L2200" s="8">
        <v>39987.315405092595</v>
      </c>
      <c r="M2200" s="9" t="s">
        <v>19</v>
      </c>
      <c r="N2200" s="9" t="s">
        <v>20</v>
      </c>
      <c r="O2200" s="6" t="str">
        <f>HYPERLINK("https://pbs.twimg.com/profile_images/962471262747529216/Uo8lOkRJ_normal.jpg","View")</f>
        <v>View</v>
      </c>
      <c r="P2200" s="7"/>
    </row>
    <row r="2201" spans="1:16">
      <c r="A2201" s="3">
        <v>43878.10324074074</v>
      </c>
      <c r="B2201" s="4" t="str">
        <f>HYPERLINK("https://twitter.com/petrogustavo","@petrogustavo")</f>
        <v>@petrogustavo</v>
      </c>
      <c r="C2201" s="5" t="s">
        <v>16</v>
      </c>
      <c r="D2201" s="5" t="s">
        <v>2157</v>
      </c>
      <c r="E2201" s="6" t="str">
        <f>HYPERLINK("https://twitter.com/petrogustavo/status/1229148109776793601","1229148109776793601")</f>
        <v>1229148109776793601</v>
      </c>
      <c r="F2201" s="7" t="s">
        <v>17</v>
      </c>
      <c r="G2201" s="7">
        <v>3637802</v>
      </c>
      <c r="H2201" s="7">
        <v>2350</v>
      </c>
      <c r="I2201" s="7">
        <v>64</v>
      </c>
      <c r="J2201" s="7">
        <v>118</v>
      </c>
      <c r="K2201" s="7" t="s">
        <v>18</v>
      </c>
      <c r="L2201" s="8">
        <v>39987.315405092595</v>
      </c>
      <c r="M2201" s="9" t="s">
        <v>19</v>
      </c>
      <c r="N2201" s="9" t="s">
        <v>20</v>
      </c>
      <c r="O2201" s="6" t="str">
        <f>HYPERLINK("https://pbs.twimg.com/profile_images/962471262747529216/Uo8lOkRJ_normal.jpg","View")</f>
        <v>View</v>
      </c>
      <c r="P2201" s="7"/>
    </row>
    <row r="2202" spans="1:16">
      <c r="A2202" s="3">
        <v>43878.106562500005</v>
      </c>
      <c r="B2202" s="4" t="str">
        <f>HYPERLINK("https://twitter.com/petrogustavo","@petrogustavo")</f>
        <v>@petrogustavo</v>
      </c>
      <c r="C2202" s="5" t="s">
        <v>16</v>
      </c>
      <c r="D2202" s="5" t="s">
        <v>2158</v>
      </c>
      <c r="E2202" s="6" t="str">
        <f>HYPERLINK("https://twitter.com/petrogustavo/status/1229149314469056513","1229149314469056513")</f>
        <v>1229149314469056513</v>
      </c>
      <c r="F2202" s="7" t="s">
        <v>17</v>
      </c>
      <c r="G2202" s="7">
        <v>3637802</v>
      </c>
      <c r="H2202" s="7">
        <v>2350</v>
      </c>
      <c r="I2202" s="7">
        <v>173</v>
      </c>
      <c r="J2202" s="7">
        <v>342</v>
      </c>
      <c r="K2202" s="7" t="s">
        <v>18</v>
      </c>
      <c r="L2202" s="8">
        <v>39987.315405092595</v>
      </c>
      <c r="M2202" s="9" t="s">
        <v>19</v>
      </c>
      <c r="N2202" s="9" t="s">
        <v>20</v>
      </c>
      <c r="O2202" s="6" t="str">
        <f>HYPERLINK("https://pbs.twimg.com/profile_images/962471262747529216/Uo8lOkRJ_normal.jpg","View")</f>
        <v>View</v>
      </c>
      <c r="P2202" s="7"/>
    </row>
    <row r="2203" spans="1:16">
      <c r="A2203" s="3">
        <v>43878.107962962968</v>
      </c>
      <c r="B2203" s="4" t="str">
        <f>HYPERLINK("https://twitter.com/petrogustavo","@petrogustavo")</f>
        <v>@petrogustavo</v>
      </c>
      <c r="C2203" s="5" t="s">
        <v>16</v>
      </c>
      <c r="D2203" s="5" t="s">
        <v>2159</v>
      </c>
      <c r="E2203" s="6" t="str">
        <f>HYPERLINK("https://twitter.com/petrogustavo/status/1229149819916226560","1229149819916226560")</f>
        <v>1229149819916226560</v>
      </c>
      <c r="F2203" s="7" t="s">
        <v>17</v>
      </c>
      <c r="G2203" s="7">
        <v>3637802</v>
      </c>
      <c r="H2203" s="7">
        <v>2350</v>
      </c>
      <c r="I2203" s="7">
        <v>69</v>
      </c>
      <c r="J2203" s="7">
        <v>0</v>
      </c>
      <c r="K2203" s="7" t="s">
        <v>18</v>
      </c>
      <c r="L2203" s="8">
        <v>39987.315405092595</v>
      </c>
      <c r="M2203" s="9" t="s">
        <v>19</v>
      </c>
      <c r="N2203" s="9" t="s">
        <v>20</v>
      </c>
      <c r="O2203" s="6" t="str">
        <f>HYPERLINK("https://pbs.twimg.com/profile_images/962471262747529216/Uo8lOkRJ_normal.jpg","View")</f>
        <v>View</v>
      </c>
      <c r="P2203" s="7"/>
    </row>
    <row r="2204" spans="1:16">
      <c r="A2204" s="3">
        <v>43878.108171296291</v>
      </c>
      <c r="B2204" s="4" t="str">
        <f>HYPERLINK("https://twitter.com/petrogustavo","@petrogustavo")</f>
        <v>@petrogustavo</v>
      </c>
      <c r="C2204" s="5" t="s">
        <v>16</v>
      </c>
      <c r="D2204" s="5" t="s">
        <v>2160</v>
      </c>
      <c r="E2204" s="6" t="str">
        <f>HYPERLINK("https://twitter.com/petrogustavo/status/1229149895304630273","1229149895304630273")</f>
        <v>1229149895304630273</v>
      </c>
      <c r="F2204" s="7" t="s">
        <v>17</v>
      </c>
      <c r="G2204" s="7">
        <v>3637802</v>
      </c>
      <c r="H2204" s="7">
        <v>2350</v>
      </c>
      <c r="I2204" s="7">
        <v>1749</v>
      </c>
      <c r="J2204" s="7">
        <v>0</v>
      </c>
      <c r="K2204" s="7" t="s">
        <v>18</v>
      </c>
      <c r="L2204" s="8">
        <v>39987.315405092595</v>
      </c>
      <c r="M2204" s="9" t="s">
        <v>19</v>
      </c>
      <c r="N2204" s="9" t="s">
        <v>20</v>
      </c>
      <c r="O2204" s="6" t="str">
        <f>HYPERLINK("https://pbs.twimg.com/profile_images/962471262747529216/Uo8lOkRJ_normal.jpg","View")</f>
        <v>View</v>
      </c>
      <c r="P2204" s="7"/>
    </row>
    <row r="2205" spans="1:16">
      <c r="A2205" s="3">
        <v>43878.827430555553</v>
      </c>
      <c r="B2205" s="4" t="str">
        <f>HYPERLINK("https://twitter.com/petrogustavo","@petrogustavo")</f>
        <v>@petrogustavo</v>
      </c>
      <c r="C2205" s="5" t="s">
        <v>16</v>
      </c>
      <c r="D2205" s="5" t="s">
        <v>2161</v>
      </c>
      <c r="E2205" s="6" t="str">
        <f>HYPERLINK("https://twitter.com/petrogustavo/status/1229410546526642179","1229410546526642179")</f>
        <v>1229410546526642179</v>
      </c>
      <c r="F2205" s="7" t="s">
        <v>17</v>
      </c>
      <c r="G2205" s="7">
        <v>3638473</v>
      </c>
      <c r="H2205" s="7">
        <v>2351</v>
      </c>
      <c r="I2205" s="7">
        <v>12</v>
      </c>
      <c r="J2205" s="7">
        <v>0</v>
      </c>
      <c r="K2205" s="7" t="s">
        <v>18</v>
      </c>
      <c r="L2205" s="8">
        <v>39987.315405092595</v>
      </c>
      <c r="M2205" s="9" t="s">
        <v>19</v>
      </c>
      <c r="N2205" s="9" t="s">
        <v>20</v>
      </c>
      <c r="O2205" s="6" t="str">
        <f>HYPERLINK("https://pbs.twimg.com/profile_images/962471262747529216/Uo8lOkRJ_normal.jpg","View")</f>
        <v>View</v>
      </c>
      <c r="P2205" s="7"/>
    </row>
    <row r="2206" spans="1:16">
      <c r="A2206" s="3">
        <v>43878.830879629633</v>
      </c>
      <c r="B2206" s="4" t="str">
        <f>HYPERLINK("https://twitter.com/petrogustavo","@petrogustavo")</f>
        <v>@petrogustavo</v>
      </c>
      <c r="C2206" s="5" t="s">
        <v>16</v>
      </c>
      <c r="D2206" s="5" t="s">
        <v>2162</v>
      </c>
      <c r="E2206" s="6" t="str">
        <f>HYPERLINK("https://twitter.com/petrogustavo/status/1229411798320918530","1229411798320918530")</f>
        <v>1229411798320918530</v>
      </c>
      <c r="F2206" s="7" t="s">
        <v>17</v>
      </c>
      <c r="G2206" s="7">
        <v>3638473</v>
      </c>
      <c r="H2206" s="7">
        <v>2351</v>
      </c>
      <c r="I2206" s="7">
        <v>67</v>
      </c>
      <c r="J2206" s="7">
        <v>149</v>
      </c>
      <c r="K2206" s="7" t="s">
        <v>18</v>
      </c>
      <c r="L2206" s="8">
        <v>39987.315405092595</v>
      </c>
      <c r="M2206" s="9" t="s">
        <v>19</v>
      </c>
      <c r="N2206" s="9" t="s">
        <v>20</v>
      </c>
      <c r="O2206" s="6" t="str">
        <f>HYPERLINK("https://pbs.twimg.com/profile_images/962471262747529216/Uo8lOkRJ_normal.jpg","View")</f>
        <v>View</v>
      </c>
      <c r="P2206" s="7"/>
    </row>
    <row r="2207" spans="1:16">
      <c r="A2207" s="3">
        <v>43878.832106481481</v>
      </c>
      <c r="B2207" s="4" t="str">
        <f>HYPERLINK("https://twitter.com/petrogustavo","@petrogustavo")</f>
        <v>@petrogustavo</v>
      </c>
      <c r="C2207" s="5" t="s">
        <v>16</v>
      </c>
      <c r="D2207" s="5" t="s">
        <v>2163</v>
      </c>
      <c r="E2207" s="6" t="str">
        <f>HYPERLINK("https://twitter.com/petrogustavo/status/1229412243386851332","1229412243386851332")</f>
        <v>1229412243386851332</v>
      </c>
      <c r="F2207" s="7" t="s">
        <v>17</v>
      </c>
      <c r="G2207" s="7">
        <v>3638473</v>
      </c>
      <c r="H2207" s="7">
        <v>2351</v>
      </c>
      <c r="I2207" s="7">
        <v>92</v>
      </c>
      <c r="J2207" s="7">
        <v>0</v>
      </c>
      <c r="K2207" s="7" t="s">
        <v>18</v>
      </c>
      <c r="L2207" s="8">
        <v>39987.315405092595</v>
      </c>
      <c r="M2207" s="9" t="s">
        <v>19</v>
      </c>
      <c r="N2207" s="9" t="s">
        <v>20</v>
      </c>
      <c r="O2207" s="6" t="str">
        <f>HYPERLINK("https://pbs.twimg.com/profile_images/962471262747529216/Uo8lOkRJ_normal.jpg","View")</f>
        <v>View</v>
      </c>
      <c r="P2207" s="7"/>
    </row>
    <row r="2208" spans="1:16">
      <c r="A2208" s="3">
        <v>43878.832858796297</v>
      </c>
      <c r="B2208" s="4" t="str">
        <f>HYPERLINK("https://twitter.com/petrogustavo","@petrogustavo")</f>
        <v>@petrogustavo</v>
      </c>
      <c r="C2208" s="5" t="s">
        <v>16</v>
      </c>
      <c r="D2208" s="5" t="s">
        <v>2164</v>
      </c>
      <c r="E2208" s="6" t="str">
        <f>HYPERLINK("https://twitter.com/petrogustavo/status/1229412516180250625","1229412516180250625")</f>
        <v>1229412516180250625</v>
      </c>
      <c r="F2208" s="7" t="s">
        <v>17</v>
      </c>
      <c r="G2208" s="7">
        <v>3638473</v>
      </c>
      <c r="H2208" s="7">
        <v>2351</v>
      </c>
      <c r="I2208" s="7">
        <v>188</v>
      </c>
      <c r="J2208" s="7">
        <v>844</v>
      </c>
      <c r="K2208" s="7" t="s">
        <v>18</v>
      </c>
      <c r="L2208" s="8">
        <v>39987.315405092595</v>
      </c>
      <c r="M2208" s="9" t="s">
        <v>19</v>
      </c>
      <c r="N2208" s="9" t="s">
        <v>20</v>
      </c>
      <c r="O2208" s="6" t="str">
        <f>HYPERLINK("https://pbs.twimg.com/profile_images/962471262747529216/Uo8lOkRJ_normal.jpg","View")</f>
        <v>View</v>
      </c>
      <c r="P2208" s="7"/>
    </row>
    <row r="2209" spans="1:16">
      <c r="A2209" s="3">
        <v>43878.840381944443</v>
      </c>
      <c r="B2209" s="4" t="str">
        <f>HYPERLINK("https://twitter.com/petrogustavo","@petrogustavo")</f>
        <v>@petrogustavo</v>
      </c>
      <c r="C2209" s="5" t="s">
        <v>16</v>
      </c>
      <c r="D2209" s="5" t="s">
        <v>2165</v>
      </c>
      <c r="E2209" s="6" t="str">
        <f>HYPERLINK("https://twitter.com/petrogustavo/status/1229415240238092288","1229415240238092288")</f>
        <v>1229415240238092288</v>
      </c>
      <c r="F2209" s="7" t="s">
        <v>17</v>
      </c>
      <c r="G2209" s="7">
        <v>3638473</v>
      </c>
      <c r="H2209" s="7">
        <v>2351</v>
      </c>
      <c r="I2209" s="7">
        <v>27</v>
      </c>
      <c r="J2209" s="7">
        <v>77</v>
      </c>
      <c r="K2209" s="7" t="s">
        <v>18</v>
      </c>
      <c r="L2209" s="8">
        <v>39987.315405092595</v>
      </c>
      <c r="M2209" s="9" t="s">
        <v>19</v>
      </c>
      <c r="N2209" s="9" t="s">
        <v>20</v>
      </c>
      <c r="O2209" s="6" t="str">
        <f>HYPERLINK("https://pbs.twimg.com/profile_images/962471262747529216/Uo8lOkRJ_normal.jpg","View")</f>
        <v>View</v>
      </c>
      <c r="P2209" s="7"/>
    </row>
    <row r="2210" spans="1:16">
      <c r="A2210" s="3">
        <v>43878.840381944443</v>
      </c>
      <c r="B2210" s="4" t="str">
        <f>HYPERLINK("https://twitter.com/petrogustavo","@petrogustavo")</f>
        <v>@petrogustavo</v>
      </c>
      <c r="C2210" s="5" t="s">
        <v>16</v>
      </c>
      <c r="D2210" s="5" t="s">
        <v>2166</v>
      </c>
      <c r="E2210" s="6" t="str">
        <f>HYPERLINK("https://twitter.com/petrogustavo/status/1229415242469453825","1229415242469453825")</f>
        <v>1229415242469453825</v>
      </c>
      <c r="F2210" s="7" t="s">
        <v>17</v>
      </c>
      <c r="G2210" s="7">
        <v>3638473</v>
      </c>
      <c r="H2210" s="7">
        <v>2351</v>
      </c>
      <c r="I2210" s="7">
        <v>14</v>
      </c>
      <c r="J2210" s="7">
        <v>58</v>
      </c>
      <c r="K2210" s="7" t="s">
        <v>18</v>
      </c>
      <c r="L2210" s="8">
        <v>39987.315405092595</v>
      </c>
      <c r="M2210" s="9" t="s">
        <v>19</v>
      </c>
      <c r="N2210" s="9" t="s">
        <v>20</v>
      </c>
      <c r="O2210" s="6" t="str">
        <f>HYPERLINK("https://pbs.twimg.com/profile_images/962471262747529216/Uo8lOkRJ_normal.jpg","View")</f>
        <v>View</v>
      </c>
      <c r="P2210" s="7"/>
    </row>
    <row r="2211" spans="1:16">
      <c r="A2211" s="3">
        <v>43878.842106481483</v>
      </c>
      <c r="B2211" s="4" t="str">
        <f>HYPERLINK("https://twitter.com/petrogustavo","@petrogustavo")</f>
        <v>@petrogustavo</v>
      </c>
      <c r="C2211" s="5" t="s">
        <v>16</v>
      </c>
      <c r="D2211" s="5" t="s">
        <v>2167</v>
      </c>
      <c r="E2211" s="6" t="str">
        <f>HYPERLINK("https://twitter.com/petrogustavo/status/1229415864874815488","1229415864874815488")</f>
        <v>1229415864874815488</v>
      </c>
      <c r="F2211" s="7" t="s">
        <v>17</v>
      </c>
      <c r="G2211" s="7">
        <v>3638473</v>
      </c>
      <c r="H2211" s="7">
        <v>2351</v>
      </c>
      <c r="I2211" s="7">
        <v>36</v>
      </c>
      <c r="J2211" s="7">
        <v>80</v>
      </c>
      <c r="K2211" s="7" t="s">
        <v>18</v>
      </c>
      <c r="L2211" s="8">
        <v>39987.315405092595</v>
      </c>
      <c r="M2211" s="9" t="s">
        <v>19</v>
      </c>
      <c r="N2211" s="9" t="s">
        <v>20</v>
      </c>
      <c r="O2211" s="6" t="str">
        <f>HYPERLINK("https://pbs.twimg.com/profile_images/962471262747529216/Uo8lOkRJ_normal.jpg","View")</f>
        <v>View</v>
      </c>
      <c r="P2211" s="7"/>
    </row>
    <row r="2212" spans="1:16">
      <c r="A2212" s="3">
        <v>43878.843599537038</v>
      </c>
      <c r="B2212" s="4" t="str">
        <f>HYPERLINK("https://twitter.com/petrogustavo","@petrogustavo")</f>
        <v>@petrogustavo</v>
      </c>
      <c r="C2212" s="5" t="s">
        <v>16</v>
      </c>
      <c r="D2212" s="5" t="s">
        <v>2168</v>
      </c>
      <c r="E2212" s="6" t="str">
        <f>HYPERLINK("https://twitter.com/petrogustavo/status/1229416407756087296","1229416407756087296")</f>
        <v>1229416407756087296</v>
      </c>
      <c r="F2212" s="7" t="s">
        <v>17</v>
      </c>
      <c r="G2212" s="7">
        <v>3638473</v>
      </c>
      <c r="H2212" s="7">
        <v>2351</v>
      </c>
      <c r="I2212" s="7">
        <v>17</v>
      </c>
      <c r="J2212" s="7">
        <v>42</v>
      </c>
      <c r="K2212" s="7" t="s">
        <v>18</v>
      </c>
      <c r="L2212" s="8">
        <v>39987.315405092595</v>
      </c>
      <c r="M2212" s="9" t="s">
        <v>19</v>
      </c>
      <c r="N2212" s="9" t="s">
        <v>20</v>
      </c>
      <c r="O2212" s="6" t="str">
        <f>HYPERLINK("https://pbs.twimg.com/profile_images/962471262747529216/Uo8lOkRJ_normal.jpg","View")</f>
        <v>View</v>
      </c>
      <c r="P2212" s="7"/>
    </row>
    <row r="2213" spans="1:16">
      <c r="A2213" s="3">
        <v>43878.848310185189</v>
      </c>
      <c r="B2213" s="4" t="str">
        <f>HYPERLINK("https://twitter.com/petrogustavo","@petrogustavo")</f>
        <v>@petrogustavo</v>
      </c>
      <c r="C2213" s="5" t="s">
        <v>16</v>
      </c>
      <c r="D2213" s="5" t="s">
        <v>2169</v>
      </c>
      <c r="E2213" s="6" t="str">
        <f>HYPERLINK("https://twitter.com/petrogustavo/status/1229418113294270466","1229418113294270466")</f>
        <v>1229418113294270466</v>
      </c>
      <c r="F2213" s="7" t="s">
        <v>17</v>
      </c>
      <c r="G2213" s="7">
        <v>3638507</v>
      </c>
      <c r="H2213" s="7">
        <v>2351</v>
      </c>
      <c r="I2213" s="7">
        <v>94</v>
      </c>
      <c r="J2213" s="7">
        <v>165</v>
      </c>
      <c r="K2213" s="7" t="s">
        <v>18</v>
      </c>
      <c r="L2213" s="8">
        <v>39987.315405092595</v>
      </c>
      <c r="M2213" s="9" t="s">
        <v>19</v>
      </c>
      <c r="N2213" s="9" t="s">
        <v>20</v>
      </c>
      <c r="O2213" s="6" t="str">
        <f>HYPERLINK("https://pbs.twimg.com/profile_images/962471262747529216/Uo8lOkRJ_normal.jpg","View")</f>
        <v>View</v>
      </c>
      <c r="P2213" s="7"/>
    </row>
    <row r="2214" spans="1:16">
      <c r="A2214" s="3">
        <v>43878.855057870373</v>
      </c>
      <c r="B2214" s="4" t="str">
        <f>HYPERLINK("https://twitter.com/petrogustavo","@petrogustavo")</f>
        <v>@petrogustavo</v>
      </c>
      <c r="C2214" s="5" t="s">
        <v>16</v>
      </c>
      <c r="D2214" s="5" t="s">
        <v>2170</v>
      </c>
      <c r="E2214" s="6" t="str">
        <f>HYPERLINK("https://twitter.com/petrogustavo/status/1229420560209391617","1229420560209391617")</f>
        <v>1229420560209391617</v>
      </c>
      <c r="F2214" s="7" t="s">
        <v>17</v>
      </c>
      <c r="G2214" s="7">
        <v>3638507</v>
      </c>
      <c r="H2214" s="7">
        <v>2351</v>
      </c>
      <c r="I2214" s="7">
        <v>70</v>
      </c>
      <c r="J2214" s="7">
        <v>113</v>
      </c>
      <c r="K2214" s="7" t="s">
        <v>18</v>
      </c>
      <c r="L2214" s="8">
        <v>39987.315405092595</v>
      </c>
      <c r="M2214" s="9" t="s">
        <v>19</v>
      </c>
      <c r="N2214" s="9" t="s">
        <v>20</v>
      </c>
      <c r="O2214" s="6" t="str">
        <f>HYPERLINK("https://pbs.twimg.com/profile_images/962471262747529216/Uo8lOkRJ_normal.jpg","View")</f>
        <v>View</v>
      </c>
      <c r="P2214" s="7"/>
    </row>
    <row r="2215" spans="1:16">
      <c r="A2215" s="3">
        <v>43878.857581018514</v>
      </c>
      <c r="B2215" s="4" t="str">
        <f>HYPERLINK("https://twitter.com/petrogustavo","@petrogustavo")</f>
        <v>@petrogustavo</v>
      </c>
      <c r="C2215" s="5" t="s">
        <v>16</v>
      </c>
      <c r="D2215" s="5" t="s">
        <v>2171</v>
      </c>
      <c r="E2215" s="6" t="str">
        <f>HYPERLINK("https://twitter.com/petrogustavo/status/1229421471799431170","1229421471799431170")</f>
        <v>1229421471799431170</v>
      </c>
      <c r="F2215" s="7" t="s">
        <v>17</v>
      </c>
      <c r="G2215" s="7">
        <v>3638507</v>
      </c>
      <c r="H2215" s="7">
        <v>2351</v>
      </c>
      <c r="I2215" s="7">
        <v>72</v>
      </c>
      <c r="J2215" s="7">
        <v>115</v>
      </c>
      <c r="K2215" s="7" t="s">
        <v>18</v>
      </c>
      <c r="L2215" s="8">
        <v>39987.315405092595</v>
      </c>
      <c r="M2215" s="9" t="s">
        <v>19</v>
      </c>
      <c r="N2215" s="9" t="s">
        <v>20</v>
      </c>
      <c r="O2215" s="6" t="str">
        <f>HYPERLINK("https://pbs.twimg.com/profile_images/962471262747529216/Uo8lOkRJ_normal.jpg","View")</f>
        <v>View</v>
      </c>
      <c r="P2215" s="7"/>
    </row>
    <row r="2216" spans="1:16">
      <c r="A2216" s="3">
        <v>43878.861620370371</v>
      </c>
      <c r="B2216" s="4" t="str">
        <f>HYPERLINK("https://twitter.com/petrogustavo","@petrogustavo")</f>
        <v>@petrogustavo</v>
      </c>
      <c r="C2216" s="5" t="s">
        <v>16</v>
      </c>
      <c r="D2216" s="5" t="s">
        <v>2172</v>
      </c>
      <c r="E2216" s="6" t="str">
        <f>HYPERLINK("https://twitter.com/petrogustavo/status/1229422936009977862","1229422936009977862")</f>
        <v>1229422936009977862</v>
      </c>
      <c r="F2216" s="7" t="s">
        <v>17</v>
      </c>
      <c r="G2216" s="7">
        <v>3638507</v>
      </c>
      <c r="H2216" s="7">
        <v>2351</v>
      </c>
      <c r="I2216" s="7">
        <v>79</v>
      </c>
      <c r="J2216" s="7">
        <v>267</v>
      </c>
      <c r="K2216" s="7" t="s">
        <v>18</v>
      </c>
      <c r="L2216" s="8">
        <v>39987.315405092595</v>
      </c>
      <c r="M2216" s="9" t="s">
        <v>19</v>
      </c>
      <c r="N2216" s="9" t="s">
        <v>20</v>
      </c>
      <c r="O2216" s="6" t="str">
        <f>HYPERLINK("https://pbs.twimg.com/profile_images/962471262747529216/Uo8lOkRJ_normal.jpg","View")</f>
        <v>View</v>
      </c>
      <c r="P2216" s="7"/>
    </row>
    <row r="2217" spans="1:16">
      <c r="A2217" s="3">
        <v>43878.885138888887</v>
      </c>
      <c r="B2217" s="4" t="str">
        <f>HYPERLINK("https://twitter.com/petrogustavo","@petrogustavo")</f>
        <v>@petrogustavo</v>
      </c>
      <c r="C2217" s="5" t="s">
        <v>16</v>
      </c>
      <c r="D2217" s="5" t="s">
        <v>2173</v>
      </c>
      <c r="E2217" s="6" t="str">
        <f>HYPERLINK("https://twitter.com/petrogustavo/status/1229431460903489536","1229431460903489536")</f>
        <v>1229431460903489536</v>
      </c>
      <c r="F2217" s="7" t="s">
        <v>17</v>
      </c>
      <c r="G2217" s="7">
        <v>3638535</v>
      </c>
      <c r="H2217" s="7">
        <v>2351</v>
      </c>
      <c r="I2217" s="7">
        <v>177</v>
      </c>
      <c r="J2217" s="7">
        <v>0</v>
      </c>
      <c r="K2217" s="7" t="s">
        <v>18</v>
      </c>
      <c r="L2217" s="8">
        <v>39987.315405092595</v>
      </c>
      <c r="M2217" s="9" t="s">
        <v>19</v>
      </c>
      <c r="N2217" s="9" t="s">
        <v>20</v>
      </c>
      <c r="O2217" s="6" t="str">
        <f>HYPERLINK("https://pbs.twimg.com/profile_images/962471262747529216/Uo8lOkRJ_normal.jpg","View")</f>
        <v>View</v>
      </c>
      <c r="P2217" s="7"/>
    </row>
    <row r="2218" spans="1:16">
      <c r="A2218" s="3">
        <v>43878.962812500002</v>
      </c>
      <c r="B2218" s="4" t="str">
        <f>HYPERLINK("https://twitter.com/petrogustavo","@petrogustavo")</f>
        <v>@petrogustavo</v>
      </c>
      <c r="C2218" s="5" t="s">
        <v>16</v>
      </c>
      <c r="D2218" s="5" t="s">
        <v>2174</v>
      </c>
      <c r="E2218" s="6" t="str">
        <f>HYPERLINK("https://twitter.com/petrogustavo/status/1229459610194661379","1229459610194661379")</f>
        <v>1229459610194661379</v>
      </c>
      <c r="F2218" s="7" t="s">
        <v>17</v>
      </c>
      <c r="G2218" s="7">
        <v>3638653</v>
      </c>
      <c r="H2218" s="7">
        <v>2351</v>
      </c>
      <c r="I2218" s="7">
        <v>164</v>
      </c>
      <c r="J2218" s="7">
        <v>439</v>
      </c>
      <c r="K2218" s="7" t="s">
        <v>18</v>
      </c>
      <c r="L2218" s="8">
        <v>39987.315405092595</v>
      </c>
      <c r="M2218" s="9" t="s">
        <v>19</v>
      </c>
      <c r="N2218" s="9" t="s">
        <v>20</v>
      </c>
      <c r="O2218" s="6" t="str">
        <f>HYPERLINK("https://pbs.twimg.com/profile_images/962471262747529216/Uo8lOkRJ_normal.jpg","View")</f>
        <v>View</v>
      </c>
      <c r="P2218" s="7"/>
    </row>
    <row r="2219" spans="1:16">
      <c r="A2219" s="3">
        <v>43878.96674768519</v>
      </c>
      <c r="B2219" s="4" t="str">
        <f>HYPERLINK("https://twitter.com/petrogustavo","@petrogustavo")</f>
        <v>@petrogustavo</v>
      </c>
      <c r="C2219" s="5" t="s">
        <v>16</v>
      </c>
      <c r="D2219" s="5" t="s">
        <v>2175</v>
      </c>
      <c r="E2219" s="6" t="str">
        <f>HYPERLINK("https://twitter.com/petrogustavo/status/1229461035276537857","1229461035276537857")</f>
        <v>1229461035276537857</v>
      </c>
      <c r="F2219" s="7" t="s">
        <v>17</v>
      </c>
      <c r="G2219" s="7">
        <v>3638653</v>
      </c>
      <c r="H2219" s="7">
        <v>2351</v>
      </c>
      <c r="I2219" s="7">
        <v>153</v>
      </c>
      <c r="J2219" s="7">
        <v>0</v>
      </c>
      <c r="K2219" s="7" t="s">
        <v>18</v>
      </c>
      <c r="L2219" s="8">
        <v>39987.315405092595</v>
      </c>
      <c r="M2219" s="9" t="s">
        <v>19</v>
      </c>
      <c r="N2219" s="9" t="s">
        <v>20</v>
      </c>
      <c r="O2219" s="6" t="str">
        <f>HYPERLINK("https://pbs.twimg.com/profile_images/962471262747529216/Uo8lOkRJ_normal.jpg","View")</f>
        <v>View</v>
      </c>
      <c r="P2219" s="7"/>
    </row>
    <row r="2220" spans="1:16">
      <c r="A2220" s="3">
        <v>43878.973136574074</v>
      </c>
      <c r="B2220" s="4" t="str">
        <f>HYPERLINK("https://twitter.com/petrogustavo","@petrogustavo")</f>
        <v>@petrogustavo</v>
      </c>
      <c r="C2220" s="5" t="s">
        <v>16</v>
      </c>
      <c r="D2220" s="5" t="s">
        <v>2176</v>
      </c>
      <c r="E2220" s="6" t="str">
        <f>HYPERLINK("https://twitter.com/petrogustavo/status/1229463348439404544","1229463348439404544")</f>
        <v>1229463348439404544</v>
      </c>
      <c r="F2220" s="7" t="s">
        <v>17</v>
      </c>
      <c r="G2220" s="7">
        <v>3638672</v>
      </c>
      <c r="H2220" s="7">
        <v>2351</v>
      </c>
      <c r="I2220" s="7">
        <v>74</v>
      </c>
      <c r="J2220" s="7">
        <v>184</v>
      </c>
      <c r="K2220" s="7" t="s">
        <v>18</v>
      </c>
      <c r="L2220" s="8">
        <v>39987.315405092595</v>
      </c>
      <c r="M2220" s="9" t="s">
        <v>19</v>
      </c>
      <c r="N2220" s="9" t="s">
        <v>20</v>
      </c>
      <c r="O2220" s="6" t="str">
        <f>HYPERLINK("https://pbs.twimg.com/profile_images/962471262747529216/Uo8lOkRJ_normal.jpg","View")</f>
        <v>View</v>
      </c>
      <c r="P2220" s="7"/>
    </row>
    <row r="2221" spans="1:16">
      <c r="A2221" s="3">
        <v>43878.976666666669</v>
      </c>
      <c r="B2221" s="4" t="str">
        <f>HYPERLINK("https://twitter.com/petrogustavo","@petrogustavo")</f>
        <v>@petrogustavo</v>
      </c>
      <c r="C2221" s="5" t="s">
        <v>16</v>
      </c>
      <c r="D2221" s="5" t="s">
        <v>2177</v>
      </c>
      <c r="E2221" s="6" t="str">
        <f>HYPERLINK("https://twitter.com/petrogustavo/status/1229464628360630273","1229464628360630273")</f>
        <v>1229464628360630273</v>
      </c>
      <c r="F2221" s="7" t="s">
        <v>17</v>
      </c>
      <c r="G2221" s="7">
        <v>3638672</v>
      </c>
      <c r="H2221" s="7">
        <v>2351</v>
      </c>
      <c r="I2221" s="7">
        <v>126</v>
      </c>
      <c r="J2221" s="7">
        <v>367</v>
      </c>
      <c r="K2221" s="7" t="s">
        <v>18</v>
      </c>
      <c r="L2221" s="8">
        <v>39987.315405092595</v>
      </c>
      <c r="M2221" s="9" t="s">
        <v>19</v>
      </c>
      <c r="N2221" s="9" t="s">
        <v>20</v>
      </c>
      <c r="O2221" s="6" t="str">
        <f>HYPERLINK("https://pbs.twimg.com/profile_images/962471262747529216/Uo8lOkRJ_normal.jpg","View")</f>
        <v>View</v>
      </c>
      <c r="P2221" s="7"/>
    </row>
    <row r="2222" spans="1:16">
      <c r="A2222" s="3">
        <v>43878.977210648147</v>
      </c>
      <c r="B2222" s="4" t="str">
        <f>HYPERLINK("https://twitter.com/petrogustavo","@petrogustavo")</f>
        <v>@petrogustavo</v>
      </c>
      <c r="C2222" s="5" t="s">
        <v>16</v>
      </c>
      <c r="D2222" s="5" t="s">
        <v>2178</v>
      </c>
      <c r="E2222" s="6" t="str">
        <f>HYPERLINK("https://twitter.com/petrogustavo/status/1229464827527139328","1229464827527139328")</f>
        <v>1229464827527139328</v>
      </c>
      <c r="F2222" s="7" t="s">
        <v>17</v>
      </c>
      <c r="G2222" s="7">
        <v>3638672</v>
      </c>
      <c r="H2222" s="7">
        <v>2351</v>
      </c>
      <c r="I2222" s="7">
        <v>58</v>
      </c>
      <c r="J2222" s="7">
        <v>0</v>
      </c>
      <c r="K2222" s="7" t="s">
        <v>18</v>
      </c>
      <c r="L2222" s="8">
        <v>39987.315405092595</v>
      </c>
      <c r="M2222" s="9" t="s">
        <v>19</v>
      </c>
      <c r="N2222" s="9" t="s">
        <v>20</v>
      </c>
      <c r="O2222" s="6" t="str">
        <f>HYPERLINK("https://pbs.twimg.com/profile_images/962471262747529216/Uo8lOkRJ_normal.jpg","View")</f>
        <v>View</v>
      </c>
      <c r="P2222" s="7"/>
    </row>
    <row r="2223" spans="1:16">
      <c r="A2223" s="3">
        <v>43878.978344907402</v>
      </c>
      <c r="B2223" s="4" t="str">
        <f>HYPERLINK("https://twitter.com/petrogustavo","@petrogustavo")</f>
        <v>@petrogustavo</v>
      </c>
      <c r="C2223" s="5" t="s">
        <v>16</v>
      </c>
      <c r="D2223" s="5" t="s">
        <v>2179</v>
      </c>
      <c r="E2223" s="6" t="str">
        <f>HYPERLINK("https://twitter.com/petrogustavo/status/1229465236421402626","1229465236421402626")</f>
        <v>1229465236421402626</v>
      </c>
      <c r="F2223" s="7" t="s">
        <v>17</v>
      </c>
      <c r="G2223" s="7">
        <v>3638672</v>
      </c>
      <c r="H2223" s="7">
        <v>2351</v>
      </c>
      <c r="I2223" s="7">
        <v>300</v>
      </c>
      <c r="J2223" s="7">
        <v>819</v>
      </c>
      <c r="K2223" s="7" t="s">
        <v>18</v>
      </c>
      <c r="L2223" s="8">
        <v>39987.315405092595</v>
      </c>
      <c r="M2223" s="9" t="s">
        <v>19</v>
      </c>
      <c r="N2223" s="9" t="s">
        <v>20</v>
      </c>
      <c r="O2223" s="6" t="str">
        <f>HYPERLINK("https://pbs.twimg.com/profile_images/962471262747529216/Uo8lOkRJ_normal.jpg","View")</f>
        <v>View</v>
      </c>
      <c r="P2223" s="7"/>
    </row>
    <row r="2224" spans="1:16">
      <c r="A2224" s="3">
        <v>43878.987777777773</v>
      </c>
      <c r="B2224" s="4" t="str">
        <f>HYPERLINK("https://twitter.com/petrogustavo","@petrogustavo")</f>
        <v>@petrogustavo</v>
      </c>
      <c r="C2224" s="5" t="s">
        <v>16</v>
      </c>
      <c r="D2224" s="5" t="s">
        <v>2180</v>
      </c>
      <c r="E2224" s="6" t="str">
        <f>HYPERLINK("https://twitter.com/petrogustavo/status/1229468656515604486","1229468656515604486")</f>
        <v>1229468656515604486</v>
      </c>
      <c r="F2224" s="7" t="s">
        <v>17</v>
      </c>
      <c r="G2224" s="7">
        <v>3638672</v>
      </c>
      <c r="H2224" s="7">
        <v>2351</v>
      </c>
      <c r="I2224" s="7">
        <v>50</v>
      </c>
      <c r="J2224" s="7">
        <v>170</v>
      </c>
      <c r="K2224" s="7" t="s">
        <v>18</v>
      </c>
      <c r="L2224" s="8">
        <v>39987.315405092595</v>
      </c>
      <c r="M2224" s="9" t="s">
        <v>19</v>
      </c>
      <c r="N2224" s="9" t="s">
        <v>20</v>
      </c>
      <c r="O2224" s="6" t="str">
        <f>HYPERLINK("https://pbs.twimg.com/profile_images/962471262747529216/Uo8lOkRJ_normal.jpg","View")</f>
        <v>View</v>
      </c>
      <c r="P2224" s="7"/>
    </row>
    <row r="2225" spans="1:16">
      <c r="A2225" s="3">
        <v>43878.988993055551</v>
      </c>
      <c r="B2225" s="4" t="str">
        <f>HYPERLINK("https://twitter.com/petrogustavo","@petrogustavo")</f>
        <v>@petrogustavo</v>
      </c>
      <c r="C2225" s="5" t="s">
        <v>16</v>
      </c>
      <c r="D2225" s="5" t="s">
        <v>2181</v>
      </c>
      <c r="E2225" s="6" t="str">
        <f>HYPERLINK("https://twitter.com/petrogustavo/status/1229469093675315201","1229469093675315201")</f>
        <v>1229469093675315201</v>
      </c>
      <c r="F2225" s="7" t="s">
        <v>17</v>
      </c>
      <c r="G2225" s="7">
        <v>3638672</v>
      </c>
      <c r="H2225" s="7">
        <v>2351</v>
      </c>
      <c r="I2225" s="7">
        <v>23</v>
      </c>
      <c r="J2225" s="7">
        <v>0</v>
      </c>
      <c r="K2225" s="7" t="s">
        <v>18</v>
      </c>
      <c r="L2225" s="8">
        <v>39987.315405092595</v>
      </c>
      <c r="M2225" s="9" t="s">
        <v>19</v>
      </c>
      <c r="N2225" s="9" t="s">
        <v>20</v>
      </c>
      <c r="O2225" s="6" t="str">
        <f>HYPERLINK("https://pbs.twimg.com/profile_images/962471262747529216/Uo8lOkRJ_normal.jpg","View")</f>
        <v>View</v>
      </c>
      <c r="P2225" s="7"/>
    </row>
    <row r="2226" spans="1:16">
      <c r="A2226" s="3">
        <v>43878.991203703699</v>
      </c>
      <c r="B2226" s="4" t="str">
        <f>HYPERLINK("https://twitter.com/petrogustavo","@petrogustavo")</f>
        <v>@petrogustavo</v>
      </c>
      <c r="C2226" s="5" t="s">
        <v>16</v>
      </c>
      <c r="D2226" s="5" t="s">
        <v>2182</v>
      </c>
      <c r="E2226" s="6" t="str">
        <f>HYPERLINK("https://twitter.com/petrogustavo/status/1229469896372883456","1229469896372883456")</f>
        <v>1229469896372883456</v>
      </c>
      <c r="F2226" s="7" t="s">
        <v>17</v>
      </c>
      <c r="G2226" s="7">
        <v>3638716</v>
      </c>
      <c r="H2226" s="7">
        <v>2351</v>
      </c>
      <c r="I2226" s="7">
        <v>43</v>
      </c>
      <c r="J2226" s="7">
        <v>0</v>
      </c>
      <c r="K2226" s="7" t="s">
        <v>18</v>
      </c>
      <c r="L2226" s="8">
        <v>39987.315405092595</v>
      </c>
      <c r="M2226" s="9" t="s">
        <v>19</v>
      </c>
      <c r="N2226" s="9" t="s">
        <v>20</v>
      </c>
      <c r="O2226" s="6" t="str">
        <f>HYPERLINK("https://pbs.twimg.com/profile_images/962471262747529216/Uo8lOkRJ_normal.jpg","View")</f>
        <v>View</v>
      </c>
      <c r="P2226" s="7"/>
    </row>
    <row r="2227" spans="1:16">
      <c r="A2227" s="3">
        <v>43878.993078703701</v>
      </c>
      <c r="B2227" s="4" t="str">
        <f>HYPERLINK("https://twitter.com/petrogustavo","@petrogustavo")</f>
        <v>@petrogustavo</v>
      </c>
      <c r="C2227" s="5" t="s">
        <v>16</v>
      </c>
      <c r="D2227" s="5" t="s">
        <v>2183</v>
      </c>
      <c r="E2227" s="6" t="str">
        <f>HYPERLINK("https://twitter.com/petrogustavo/status/1229470577720807424","1229470577720807424")</f>
        <v>1229470577720807424</v>
      </c>
      <c r="F2227" s="7" t="s">
        <v>17</v>
      </c>
      <c r="G2227" s="7">
        <v>3638716</v>
      </c>
      <c r="H2227" s="7">
        <v>2351</v>
      </c>
      <c r="I2227" s="7">
        <v>57</v>
      </c>
      <c r="J2227" s="7">
        <v>158</v>
      </c>
      <c r="K2227" s="7" t="s">
        <v>18</v>
      </c>
      <c r="L2227" s="8">
        <v>39987.315405092595</v>
      </c>
      <c r="M2227" s="9" t="s">
        <v>19</v>
      </c>
      <c r="N2227" s="9" t="s">
        <v>20</v>
      </c>
      <c r="O2227" s="6" t="str">
        <f>HYPERLINK("https://pbs.twimg.com/profile_images/962471262747529216/Uo8lOkRJ_normal.jpg","View")</f>
        <v>View</v>
      </c>
      <c r="P2227" s="7"/>
    </row>
    <row r="2228" spans="1:16">
      <c r="A2228" s="3">
        <v>43878.994733796295</v>
      </c>
      <c r="B2228" s="4" t="str">
        <f>HYPERLINK("https://twitter.com/petrogustavo","@petrogustavo")</f>
        <v>@petrogustavo</v>
      </c>
      <c r="C2228" s="5" t="s">
        <v>16</v>
      </c>
      <c r="D2228" s="5" t="s">
        <v>2184</v>
      </c>
      <c r="E2228" s="6" t="str">
        <f>HYPERLINK("https://twitter.com/petrogustavo/status/1229471177388838913","1229471177388838913")</f>
        <v>1229471177388838913</v>
      </c>
      <c r="F2228" s="7" t="s">
        <v>17</v>
      </c>
      <c r="G2228" s="7">
        <v>3638716</v>
      </c>
      <c r="H2228" s="7">
        <v>2351</v>
      </c>
      <c r="I2228" s="7">
        <v>144</v>
      </c>
      <c r="J2228" s="7">
        <v>333</v>
      </c>
      <c r="K2228" s="7" t="s">
        <v>18</v>
      </c>
      <c r="L2228" s="8">
        <v>39987.315405092595</v>
      </c>
      <c r="M2228" s="9" t="s">
        <v>19</v>
      </c>
      <c r="N2228" s="9" t="s">
        <v>20</v>
      </c>
      <c r="O2228" s="6" t="str">
        <f>HYPERLINK("https://pbs.twimg.com/profile_images/962471262747529216/Uo8lOkRJ_normal.jpg","View")</f>
        <v>View</v>
      </c>
      <c r="P2228" s="7"/>
    </row>
    <row r="2229" spans="1:16">
      <c r="A2229" s="3">
        <v>43879.001689814817</v>
      </c>
      <c r="B2229" s="4" t="str">
        <f>HYPERLINK("https://twitter.com/petrogustavo","@petrogustavo")</f>
        <v>@petrogustavo</v>
      </c>
      <c r="C2229" s="5" t="s">
        <v>16</v>
      </c>
      <c r="D2229" s="5" t="s">
        <v>2185</v>
      </c>
      <c r="E2229" s="6" t="str">
        <f>HYPERLINK("https://twitter.com/petrogustavo/status/1229473696164798471","1229473696164798471")</f>
        <v>1229473696164798471</v>
      </c>
      <c r="F2229" s="7" t="s">
        <v>17</v>
      </c>
      <c r="G2229" s="7">
        <v>3638716</v>
      </c>
      <c r="H2229" s="7">
        <v>2351</v>
      </c>
      <c r="I2229" s="7">
        <v>13</v>
      </c>
      <c r="J2229" s="7">
        <v>0</v>
      </c>
      <c r="K2229" s="7" t="s">
        <v>18</v>
      </c>
      <c r="L2229" s="8">
        <v>39987.315405092595</v>
      </c>
      <c r="M2229" s="9" t="s">
        <v>19</v>
      </c>
      <c r="N2229" s="9" t="s">
        <v>20</v>
      </c>
      <c r="O2229" s="6" t="str">
        <f>HYPERLINK("https://pbs.twimg.com/profile_images/962471262747529216/Uo8lOkRJ_normal.jpg","View")</f>
        <v>View</v>
      </c>
      <c r="P2229" s="7"/>
    </row>
    <row r="2230" spans="1:16">
      <c r="A2230" s="3">
        <v>43879.004016203704</v>
      </c>
      <c r="B2230" s="4" t="str">
        <f>HYPERLINK("https://twitter.com/petrogustavo","@petrogustavo")</f>
        <v>@petrogustavo</v>
      </c>
      <c r="C2230" s="5" t="s">
        <v>16</v>
      </c>
      <c r="D2230" s="5" t="s">
        <v>2186</v>
      </c>
      <c r="E2230" s="6" t="str">
        <f>HYPERLINK("https://twitter.com/petrogustavo/status/1229474541778472960","1229474541778472960")</f>
        <v>1229474541778472960</v>
      </c>
      <c r="F2230" s="7" t="s">
        <v>17</v>
      </c>
      <c r="G2230" s="7">
        <v>3638716</v>
      </c>
      <c r="H2230" s="7">
        <v>2351</v>
      </c>
      <c r="I2230" s="7">
        <v>86</v>
      </c>
      <c r="J2230" s="7">
        <v>0</v>
      </c>
      <c r="K2230" s="7" t="s">
        <v>18</v>
      </c>
      <c r="L2230" s="8">
        <v>39987.315405092595</v>
      </c>
      <c r="M2230" s="9" t="s">
        <v>19</v>
      </c>
      <c r="N2230" s="9" t="s">
        <v>20</v>
      </c>
      <c r="O2230" s="6" t="str">
        <f>HYPERLINK("https://pbs.twimg.com/profile_images/962471262747529216/Uo8lOkRJ_normal.jpg","View")</f>
        <v>View</v>
      </c>
      <c r="P2230" s="7"/>
    </row>
    <row r="2231" spans="1:16">
      <c r="A2231" s="3">
        <v>43879.005208333328</v>
      </c>
      <c r="B2231" s="4" t="str">
        <f>HYPERLINK("https://twitter.com/petrogustavo","@petrogustavo")</f>
        <v>@petrogustavo</v>
      </c>
      <c r="C2231" s="5" t="s">
        <v>16</v>
      </c>
      <c r="D2231" s="5" t="s">
        <v>2187</v>
      </c>
      <c r="E2231" s="6" t="str">
        <f>HYPERLINK("https://twitter.com/petrogustavo/status/1229474972000772096","1229474972000772096")</f>
        <v>1229474972000772096</v>
      </c>
      <c r="F2231" s="7" t="s">
        <v>17</v>
      </c>
      <c r="G2231" s="7">
        <v>3638716</v>
      </c>
      <c r="H2231" s="7">
        <v>2351</v>
      </c>
      <c r="I2231" s="7">
        <v>99</v>
      </c>
      <c r="J2231" s="7">
        <v>307</v>
      </c>
      <c r="K2231" s="7" t="s">
        <v>18</v>
      </c>
      <c r="L2231" s="8">
        <v>39987.315405092595</v>
      </c>
      <c r="M2231" s="9" t="s">
        <v>19</v>
      </c>
      <c r="N2231" s="9" t="s">
        <v>20</v>
      </c>
      <c r="O2231" s="6" t="str">
        <f>HYPERLINK("https://pbs.twimg.com/profile_images/962471262747529216/Uo8lOkRJ_normal.jpg","View")</f>
        <v>View</v>
      </c>
      <c r="P2231" s="7"/>
    </row>
    <row r="2232" spans="1:16">
      <c r="A2232" s="3">
        <v>43879.00613425926</v>
      </c>
      <c r="B2232" s="4" t="str">
        <f>HYPERLINK("https://twitter.com/petrogustavo","@petrogustavo")</f>
        <v>@petrogustavo</v>
      </c>
      <c r="C2232" s="5" t="s">
        <v>16</v>
      </c>
      <c r="D2232" s="5" t="s">
        <v>2188</v>
      </c>
      <c r="E2232" s="6" t="str">
        <f>HYPERLINK("https://twitter.com/petrogustavo/status/1229475308899880960","1229475308899880960")</f>
        <v>1229475308899880960</v>
      </c>
      <c r="F2232" s="7" t="s">
        <v>17</v>
      </c>
      <c r="G2232" s="7">
        <v>3638716</v>
      </c>
      <c r="H2232" s="7">
        <v>2351</v>
      </c>
      <c r="I2232" s="7">
        <v>617</v>
      </c>
      <c r="J2232" s="7">
        <v>0</v>
      </c>
      <c r="K2232" s="7" t="s">
        <v>18</v>
      </c>
      <c r="L2232" s="8">
        <v>39987.315405092595</v>
      </c>
      <c r="M2232" s="9" t="s">
        <v>19</v>
      </c>
      <c r="N2232" s="9" t="s">
        <v>20</v>
      </c>
      <c r="O2232" s="6" t="str">
        <f>HYPERLINK("https://pbs.twimg.com/profile_images/962471262747529216/Uo8lOkRJ_normal.jpg","View")</f>
        <v>View</v>
      </c>
      <c r="P2232" s="7"/>
    </row>
    <row r="2233" spans="1:16">
      <c r="A2233" s="3">
        <v>43879.008240740739</v>
      </c>
      <c r="B2233" s="4" t="str">
        <f>HYPERLINK("https://twitter.com/petrogustavo","@petrogustavo")</f>
        <v>@petrogustavo</v>
      </c>
      <c r="C2233" s="5" t="s">
        <v>16</v>
      </c>
      <c r="D2233" s="5" t="s">
        <v>2189</v>
      </c>
      <c r="E2233" s="6" t="str">
        <f>HYPERLINK("https://twitter.com/petrogustavo/status/1229476070115729415","1229476070115729415")</f>
        <v>1229476070115729415</v>
      </c>
      <c r="F2233" s="7" t="s">
        <v>17</v>
      </c>
      <c r="G2233" s="7">
        <v>3638716</v>
      </c>
      <c r="H2233" s="7">
        <v>2351</v>
      </c>
      <c r="I2233" s="7">
        <v>2564</v>
      </c>
      <c r="J2233" s="7">
        <v>0</v>
      </c>
      <c r="K2233" s="7" t="s">
        <v>18</v>
      </c>
      <c r="L2233" s="8">
        <v>39987.315405092595</v>
      </c>
      <c r="M2233" s="9" t="s">
        <v>19</v>
      </c>
      <c r="N2233" s="9" t="s">
        <v>20</v>
      </c>
      <c r="O2233" s="6" t="str">
        <f>HYPERLINK("https://pbs.twimg.com/profile_images/962471262747529216/Uo8lOkRJ_normal.jpg","View")</f>
        <v>View</v>
      </c>
      <c r="P2233" s="7"/>
    </row>
    <row r="2234" spans="1:16">
      <c r="A2234" s="3">
        <v>43879.011284722219</v>
      </c>
      <c r="B2234" s="4" t="str">
        <f>HYPERLINK("https://twitter.com/petrogustavo","@petrogustavo")</f>
        <v>@petrogustavo</v>
      </c>
      <c r="C2234" s="5" t="s">
        <v>16</v>
      </c>
      <c r="D2234" s="5" t="s">
        <v>2190</v>
      </c>
      <c r="E2234" s="6" t="str">
        <f>HYPERLINK("https://twitter.com/petrogustavo/status/1229477174903742464","1229477174903742464")</f>
        <v>1229477174903742464</v>
      </c>
      <c r="F2234" s="7" t="s">
        <v>17</v>
      </c>
      <c r="G2234" s="7">
        <v>3638716</v>
      </c>
      <c r="H2234" s="7">
        <v>2351</v>
      </c>
      <c r="I2234" s="7">
        <v>17</v>
      </c>
      <c r="J2234" s="7">
        <v>20</v>
      </c>
      <c r="K2234" s="7" t="s">
        <v>18</v>
      </c>
      <c r="L2234" s="8">
        <v>39987.315405092595</v>
      </c>
      <c r="M2234" s="9" t="s">
        <v>19</v>
      </c>
      <c r="N2234" s="9" t="s">
        <v>20</v>
      </c>
      <c r="O2234" s="6" t="str">
        <f>HYPERLINK("https://pbs.twimg.com/profile_images/962471262747529216/Uo8lOkRJ_normal.jpg","View")</f>
        <v>View</v>
      </c>
      <c r="P2234" s="7"/>
    </row>
    <row r="2235" spans="1:16">
      <c r="A2235" s="3">
        <v>43879.031122685185</v>
      </c>
      <c r="B2235" s="4" t="str">
        <f>HYPERLINK("https://twitter.com/petrogustavo","@petrogustavo")</f>
        <v>@petrogustavo</v>
      </c>
      <c r="C2235" s="5" t="s">
        <v>16</v>
      </c>
      <c r="D2235" s="5" t="s">
        <v>2191</v>
      </c>
      <c r="E2235" s="6" t="str">
        <f>HYPERLINK("https://twitter.com/petrogustavo/status/1229484360904171520","1229484360904171520")</f>
        <v>1229484360904171520</v>
      </c>
      <c r="F2235" s="7" t="s">
        <v>17</v>
      </c>
      <c r="G2235" s="7">
        <v>3638778</v>
      </c>
      <c r="H2235" s="7">
        <v>2351</v>
      </c>
      <c r="I2235" s="7">
        <v>32</v>
      </c>
      <c r="J2235" s="7">
        <v>0</v>
      </c>
      <c r="K2235" s="7" t="s">
        <v>18</v>
      </c>
      <c r="L2235" s="8">
        <v>39987.315405092595</v>
      </c>
      <c r="M2235" s="9" t="s">
        <v>19</v>
      </c>
      <c r="N2235" s="9" t="s">
        <v>20</v>
      </c>
      <c r="O2235" s="6" t="str">
        <f>HYPERLINK("https://pbs.twimg.com/profile_images/962471262747529216/Uo8lOkRJ_normal.jpg","View")</f>
        <v>View</v>
      </c>
      <c r="P2235" s="7"/>
    </row>
    <row r="2236" spans="1:16">
      <c r="A2236" s="3">
        <v>43879.037291666667</v>
      </c>
      <c r="B2236" s="4" t="str">
        <f>HYPERLINK("https://twitter.com/petrogustavo","@petrogustavo")</f>
        <v>@petrogustavo</v>
      </c>
      <c r="C2236" s="5" t="s">
        <v>16</v>
      </c>
      <c r="D2236" s="5" t="s">
        <v>2192</v>
      </c>
      <c r="E2236" s="6" t="str">
        <f>HYPERLINK("https://twitter.com/petrogustavo/status/1229486600373121024","1229486600373121024")</f>
        <v>1229486600373121024</v>
      </c>
      <c r="F2236" s="7" t="s">
        <v>17</v>
      </c>
      <c r="G2236" s="7">
        <v>3638831</v>
      </c>
      <c r="H2236" s="7">
        <v>2351</v>
      </c>
      <c r="I2236" s="7">
        <v>333</v>
      </c>
      <c r="J2236" s="7">
        <v>790</v>
      </c>
      <c r="K2236" s="7" t="s">
        <v>18</v>
      </c>
      <c r="L2236" s="8">
        <v>39987.315405092595</v>
      </c>
      <c r="M2236" s="9" t="s">
        <v>19</v>
      </c>
      <c r="N2236" s="9" t="s">
        <v>20</v>
      </c>
      <c r="O2236" s="6" t="str">
        <f>HYPERLINK("https://pbs.twimg.com/profile_images/962471262747529216/Uo8lOkRJ_normal.jpg","View")</f>
        <v>View</v>
      </c>
      <c r="P2236" s="7"/>
    </row>
    <row r="2237" spans="1:16">
      <c r="A2237" s="3">
        <v>43879.049131944441</v>
      </c>
      <c r="B2237" s="4" t="str">
        <f>HYPERLINK("https://twitter.com/petrogustavo","@petrogustavo")</f>
        <v>@petrogustavo</v>
      </c>
      <c r="C2237" s="5" t="s">
        <v>16</v>
      </c>
      <c r="D2237" s="5" t="s">
        <v>2193</v>
      </c>
      <c r="E2237" s="6" t="str">
        <f>HYPERLINK("https://twitter.com/petrogustavo/status/1229490887228633089","1229490887228633089")</f>
        <v>1229490887228633089</v>
      </c>
      <c r="F2237" s="7" t="s">
        <v>17</v>
      </c>
      <c r="G2237" s="7">
        <v>3638831</v>
      </c>
      <c r="H2237" s="7">
        <v>2351</v>
      </c>
      <c r="I2237" s="7">
        <v>131</v>
      </c>
      <c r="J2237" s="7">
        <v>0</v>
      </c>
      <c r="K2237" s="7" t="s">
        <v>18</v>
      </c>
      <c r="L2237" s="8">
        <v>39987.315405092595</v>
      </c>
      <c r="M2237" s="9" t="s">
        <v>19</v>
      </c>
      <c r="N2237" s="9" t="s">
        <v>20</v>
      </c>
      <c r="O2237" s="6" t="str">
        <f>HYPERLINK("https://pbs.twimg.com/profile_images/962471262747529216/Uo8lOkRJ_normal.jpg","View")</f>
        <v>View</v>
      </c>
      <c r="P2237" s="7"/>
    </row>
    <row r="2238" spans="1:16">
      <c r="A2238" s="3">
        <v>43879.054733796293</v>
      </c>
      <c r="B2238" s="4" t="str">
        <f>HYPERLINK("https://twitter.com/petrogustavo","@petrogustavo")</f>
        <v>@petrogustavo</v>
      </c>
      <c r="C2238" s="5" t="s">
        <v>16</v>
      </c>
      <c r="D2238" s="5" t="s">
        <v>2194</v>
      </c>
      <c r="E2238" s="6" t="str">
        <f>HYPERLINK("https://twitter.com/petrogustavo/status/1229492919721234432","1229492919721234432")</f>
        <v>1229492919721234432</v>
      </c>
      <c r="F2238" s="7" t="s">
        <v>17</v>
      </c>
      <c r="G2238" s="7">
        <v>3638872</v>
      </c>
      <c r="H2238" s="7">
        <v>2351</v>
      </c>
      <c r="I2238" s="7">
        <v>82</v>
      </c>
      <c r="J2238" s="7">
        <v>0</v>
      </c>
      <c r="K2238" s="7" t="s">
        <v>18</v>
      </c>
      <c r="L2238" s="8">
        <v>39987.315405092595</v>
      </c>
      <c r="M2238" s="9" t="s">
        <v>19</v>
      </c>
      <c r="N2238" s="9" t="s">
        <v>20</v>
      </c>
      <c r="O2238" s="6" t="str">
        <f>HYPERLINK("https://pbs.twimg.com/profile_images/962471262747529216/Uo8lOkRJ_normal.jpg","View")</f>
        <v>View</v>
      </c>
      <c r="P2238" s="7"/>
    </row>
    <row r="2239" spans="1:16">
      <c r="A2239" s="3">
        <v>43879.061655092592</v>
      </c>
      <c r="B2239" s="4" t="str">
        <f>HYPERLINK("https://twitter.com/petrogustavo","@petrogustavo")</f>
        <v>@petrogustavo</v>
      </c>
      <c r="C2239" s="5" t="s">
        <v>16</v>
      </c>
      <c r="D2239" s="5" t="s">
        <v>2195</v>
      </c>
      <c r="E2239" s="6" t="str">
        <f>HYPERLINK("https://twitter.com/petrogustavo/status/1229495429596897280","1229495429596897280")</f>
        <v>1229495429596897280</v>
      </c>
      <c r="F2239" s="7" t="s">
        <v>17</v>
      </c>
      <c r="G2239" s="7">
        <v>3638872</v>
      </c>
      <c r="H2239" s="7">
        <v>2351</v>
      </c>
      <c r="I2239" s="7">
        <v>72</v>
      </c>
      <c r="J2239" s="7">
        <v>0</v>
      </c>
      <c r="K2239" s="7" t="s">
        <v>18</v>
      </c>
      <c r="L2239" s="8">
        <v>39987.315405092595</v>
      </c>
      <c r="M2239" s="9" t="s">
        <v>19</v>
      </c>
      <c r="N2239" s="9" t="s">
        <v>20</v>
      </c>
      <c r="O2239" s="6" t="str">
        <f>HYPERLINK("https://pbs.twimg.com/profile_images/962471262747529216/Uo8lOkRJ_normal.jpg","View")</f>
        <v>View</v>
      </c>
      <c r="P2239" s="7"/>
    </row>
    <row r="2240" spans="1:16">
      <c r="A2240" s="3">
        <v>43879.065821759257</v>
      </c>
      <c r="B2240" s="4" t="str">
        <f>HYPERLINK("https://twitter.com/petrogustavo","@petrogustavo")</f>
        <v>@petrogustavo</v>
      </c>
      <c r="C2240" s="5" t="s">
        <v>16</v>
      </c>
      <c r="D2240" s="5" t="s">
        <v>2196</v>
      </c>
      <c r="E2240" s="6" t="str">
        <f>HYPERLINK("https://twitter.com/petrogustavo/status/1229496939038859265","1229496939038859265")</f>
        <v>1229496939038859265</v>
      </c>
      <c r="F2240" s="7" t="s">
        <v>17</v>
      </c>
      <c r="G2240" s="7">
        <v>3638872</v>
      </c>
      <c r="H2240" s="7">
        <v>2351</v>
      </c>
      <c r="I2240" s="7">
        <v>94</v>
      </c>
      <c r="J2240" s="7">
        <v>236</v>
      </c>
      <c r="K2240" s="7" t="s">
        <v>18</v>
      </c>
      <c r="L2240" s="8">
        <v>39987.315405092595</v>
      </c>
      <c r="M2240" s="9" t="s">
        <v>19</v>
      </c>
      <c r="N2240" s="9" t="s">
        <v>20</v>
      </c>
      <c r="O2240" s="6" t="str">
        <f>HYPERLINK("https://pbs.twimg.com/profile_images/962471262747529216/Uo8lOkRJ_normal.jpg","View")</f>
        <v>View</v>
      </c>
      <c r="P2240" s="7"/>
    </row>
    <row r="2241" spans="1:16">
      <c r="A2241" s="3">
        <v>43879.067627314813</v>
      </c>
      <c r="B2241" s="4" t="str">
        <f>HYPERLINK("https://twitter.com/petrogustavo","@petrogustavo")</f>
        <v>@petrogustavo</v>
      </c>
      <c r="C2241" s="5" t="s">
        <v>16</v>
      </c>
      <c r="D2241" s="5" t="s">
        <v>2197</v>
      </c>
      <c r="E2241" s="6" t="str">
        <f>HYPERLINK("https://twitter.com/petrogustavo/status/1229497590774890501","1229497590774890501")</f>
        <v>1229497590774890501</v>
      </c>
      <c r="F2241" s="7" t="s">
        <v>17</v>
      </c>
      <c r="G2241" s="7">
        <v>3638872</v>
      </c>
      <c r="H2241" s="7">
        <v>2351</v>
      </c>
      <c r="I2241" s="7">
        <v>42</v>
      </c>
      <c r="J2241" s="7">
        <v>0</v>
      </c>
      <c r="K2241" s="7" t="s">
        <v>18</v>
      </c>
      <c r="L2241" s="8">
        <v>39987.315405092595</v>
      </c>
      <c r="M2241" s="9" t="s">
        <v>19</v>
      </c>
      <c r="N2241" s="9" t="s">
        <v>20</v>
      </c>
      <c r="O2241" s="6" t="str">
        <f>HYPERLINK("https://pbs.twimg.com/profile_images/962471262747529216/Uo8lOkRJ_normal.jpg","View")</f>
        <v>View</v>
      </c>
      <c r="P2241" s="7"/>
    </row>
    <row r="2242" spans="1:16">
      <c r="A2242" s="3">
        <v>43879.069016203706</v>
      </c>
      <c r="B2242" s="4" t="str">
        <f>HYPERLINK("https://twitter.com/petrogustavo","@petrogustavo")</f>
        <v>@petrogustavo</v>
      </c>
      <c r="C2242" s="5" t="s">
        <v>16</v>
      </c>
      <c r="D2242" s="5" t="s">
        <v>2198</v>
      </c>
      <c r="E2242" s="6" t="str">
        <f>HYPERLINK("https://twitter.com/petrogustavo/status/1229498093701337090","1229498093701337090")</f>
        <v>1229498093701337090</v>
      </c>
      <c r="F2242" s="7" t="s">
        <v>17</v>
      </c>
      <c r="G2242" s="7">
        <v>3638872</v>
      </c>
      <c r="H2242" s="7">
        <v>2351</v>
      </c>
      <c r="I2242" s="7">
        <v>26</v>
      </c>
      <c r="J2242" s="7">
        <v>0</v>
      </c>
      <c r="K2242" s="7" t="s">
        <v>18</v>
      </c>
      <c r="L2242" s="8">
        <v>39987.315405092595</v>
      </c>
      <c r="M2242" s="9" t="s">
        <v>19</v>
      </c>
      <c r="N2242" s="9" t="s">
        <v>20</v>
      </c>
      <c r="O2242" s="6" t="str">
        <f>HYPERLINK("https://pbs.twimg.com/profile_images/962471262747529216/Uo8lOkRJ_normal.jpg","View")</f>
        <v>View</v>
      </c>
      <c r="P2242" s="7"/>
    </row>
    <row r="2243" spans="1:16">
      <c r="A2243" s="3">
        <v>43879.070023148146</v>
      </c>
      <c r="B2243" s="4" t="str">
        <f>HYPERLINK("https://twitter.com/petrogustavo","@petrogustavo")</f>
        <v>@petrogustavo</v>
      </c>
      <c r="C2243" s="5" t="s">
        <v>16</v>
      </c>
      <c r="D2243" s="5" t="s">
        <v>2199</v>
      </c>
      <c r="E2243" s="6" t="str">
        <f>HYPERLINK("https://twitter.com/petrogustavo/status/1229498457968300032","1229498457968300032")</f>
        <v>1229498457968300032</v>
      </c>
      <c r="F2243" s="7" t="s">
        <v>17</v>
      </c>
      <c r="G2243" s="7">
        <v>3638872</v>
      </c>
      <c r="H2243" s="7">
        <v>2351</v>
      </c>
      <c r="I2243" s="7">
        <v>22</v>
      </c>
      <c r="J2243" s="7">
        <v>0</v>
      </c>
      <c r="K2243" s="7" t="s">
        <v>18</v>
      </c>
      <c r="L2243" s="8">
        <v>39987.315405092595</v>
      </c>
      <c r="M2243" s="9" t="s">
        <v>19</v>
      </c>
      <c r="N2243" s="9" t="s">
        <v>20</v>
      </c>
      <c r="O2243" s="6" t="str">
        <f>HYPERLINK("https://pbs.twimg.com/profile_images/962471262747529216/Uo8lOkRJ_normal.jpg","View")</f>
        <v>View</v>
      </c>
      <c r="P2243" s="7"/>
    </row>
    <row r="2244" spans="1:16">
      <c r="A2244" s="3">
        <v>43879.07032407407</v>
      </c>
      <c r="B2244" s="4" t="str">
        <f>HYPERLINK("https://twitter.com/petrogustavo","@petrogustavo")</f>
        <v>@petrogustavo</v>
      </c>
      <c r="C2244" s="5" t="s">
        <v>16</v>
      </c>
      <c r="D2244" s="5" t="s">
        <v>2200</v>
      </c>
      <c r="E2244" s="6" t="str">
        <f>HYPERLINK("https://twitter.com/petrogustavo/status/1229498570472116224","1229498570472116224")</f>
        <v>1229498570472116224</v>
      </c>
      <c r="F2244" s="7" t="s">
        <v>17</v>
      </c>
      <c r="G2244" s="7">
        <v>3638872</v>
      </c>
      <c r="H2244" s="7">
        <v>2351</v>
      </c>
      <c r="I2244" s="7">
        <v>20</v>
      </c>
      <c r="J2244" s="7">
        <v>0</v>
      </c>
      <c r="K2244" s="7" t="s">
        <v>18</v>
      </c>
      <c r="L2244" s="8">
        <v>39987.315405092595</v>
      </c>
      <c r="M2244" s="9" t="s">
        <v>19</v>
      </c>
      <c r="N2244" s="9" t="s">
        <v>20</v>
      </c>
      <c r="O2244" s="6" t="str">
        <f>HYPERLINK("https://pbs.twimg.com/profile_images/962471262747529216/Uo8lOkRJ_normal.jpg","View")</f>
        <v>View</v>
      </c>
      <c r="P2244" s="7"/>
    </row>
    <row r="2245" spans="1:16">
      <c r="A2245" s="3">
        <v>43879.077280092592</v>
      </c>
      <c r="B2245" s="4" t="str">
        <f>HYPERLINK("https://twitter.com/petrogustavo","@petrogustavo")</f>
        <v>@petrogustavo</v>
      </c>
      <c r="C2245" s="5" t="s">
        <v>16</v>
      </c>
      <c r="D2245" s="5" t="s">
        <v>2201</v>
      </c>
      <c r="E2245" s="6" t="str">
        <f>HYPERLINK("https://twitter.com/petrogustavo/status/1229501091550724099","1229501091550724099")</f>
        <v>1229501091550724099</v>
      </c>
      <c r="F2245" s="7" t="s">
        <v>17</v>
      </c>
      <c r="G2245" s="7">
        <v>3638907</v>
      </c>
      <c r="H2245" s="7">
        <v>2351</v>
      </c>
      <c r="I2245" s="7">
        <v>328</v>
      </c>
      <c r="J2245" s="7">
        <v>822</v>
      </c>
      <c r="K2245" s="7" t="s">
        <v>18</v>
      </c>
      <c r="L2245" s="8">
        <v>39987.315405092595</v>
      </c>
      <c r="M2245" s="9" t="s">
        <v>19</v>
      </c>
      <c r="N2245" s="9" t="s">
        <v>20</v>
      </c>
      <c r="O2245" s="6" t="str">
        <f>HYPERLINK("https://pbs.twimg.com/profile_images/962471262747529216/Uo8lOkRJ_normal.jpg","View")</f>
        <v>View</v>
      </c>
      <c r="P2245" s="7"/>
    </row>
    <row r="2246" spans="1:16">
      <c r="A2246" s="3">
        <v>43879.180474537032</v>
      </c>
      <c r="B2246" s="4" t="str">
        <f>HYPERLINK("https://twitter.com/petrogustavo","@petrogustavo")</f>
        <v>@petrogustavo</v>
      </c>
      <c r="C2246" s="5" t="s">
        <v>16</v>
      </c>
      <c r="D2246" s="5" t="s">
        <v>2202</v>
      </c>
      <c r="E2246" s="6" t="str">
        <f>HYPERLINK("https://twitter.com/petrogustavo/status/1229538484882432008","1229538484882432008")</f>
        <v>1229538484882432008</v>
      </c>
      <c r="F2246" s="7" t="s">
        <v>32</v>
      </c>
      <c r="G2246" s="7">
        <v>3639042</v>
      </c>
      <c r="H2246" s="7">
        <v>2351</v>
      </c>
      <c r="I2246" s="7">
        <v>416</v>
      </c>
      <c r="J2246" s="7">
        <v>1274</v>
      </c>
      <c r="K2246" s="7" t="s">
        <v>18</v>
      </c>
      <c r="L2246" s="8">
        <v>39987.315405092595</v>
      </c>
      <c r="M2246" s="9" t="s">
        <v>19</v>
      </c>
      <c r="N2246" s="9" t="s">
        <v>20</v>
      </c>
      <c r="O2246" s="6" t="str">
        <f>HYPERLINK("https://pbs.twimg.com/profile_images/962471262747529216/Uo8lOkRJ_normal.jpg","View")</f>
        <v>View</v>
      </c>
      <c r="P2246" s="7"/>
    </row>
    <row r="2247" spans="1:16">
      <c r="A2247" s="3">
        <v>43879.181944444441</v>
      </c>
      <c r="B2247" s="4" t="str">
        <f>HYPERLINK("https://twitter.com/petrogustavo","@petrogustavo")</f>
        <v>@petrogustavo</v>
      </c>
      <c r="C2247" s="5" t="s">
        <v>16</v>
      </c>
      <c r="D2247" s="5" t="s">
        <v>2203</v>
      </c>
      <c r="E2247" s="6" t="str">
        <f>HYPERLINK("https://twitter.com/petrogustavo/status/1229539019639414786","1229539019639414786")</f>
        <v>1229539019639414786</v>
      </c>
      <c r="F2247" s="7" t="s">
        <v>32</v>
      </c>
      <c r="G2247" s="7">
        <v>3639042</v>
      </c>
      <c r="H2247" s="7">
        <v>2351</v>
      </c>
      <c r="I2247" s="7">
        <v>491</v>
      </c>
      <c r="J2247" s="7">
        <v>0</v>
      </c>
      <c r="K2247" s="7" t="s">
        <v>18</v>
      </c>
      <c r="L2247" s="8">
        <v>39987.315405092595</v>
      </c>
      <c r="M2247" s="9" t="s">
        <v>19</v>
      </c>
      <c r="N2247" s="9" t="s">
        <v>20</v>
      </c>
      <c r="O2247" s="6" t="str">
        <f>HYPERLINK("https://pbs.twimg.com/profile_images/962471262747529216/Uo8lOkRJ_normal.jpg","View")</f>
        <v>View</v>
      </c>
      <c r="P2247" s="7"/>
    </row>
    <row r="2248" spans="1:16">
      <c r="A2248" s="3">
        <v>43879.183553240742</v>
      </c>
      <c r="B2248" s="4" t="str">
        <f>HYPERLINK("https://twitter.com/petrogustavo","@petrogustavo")</f>
        <v>@petrogustavo</v>
      </c>
      <c r="C2248" s="5" t="s">
        <v>16</v>
      </c>
      <c r="D2248" s="5" t="s">
        <v>2204</v>
      </c>
      <c r="E2248" s="6" t="str">
        <f>HYPERLINK("https://twitter.com/petrogustavo/status/1229539600839925762","1229539600839925762")</f>
        <v>1229539600839925762</v>
      </c>
      <c r="F2248" s="7" t="s">
        <v>32</v>
      </c>
      <c r="G2248" s="7">
        <v>3639042</v>
      </c>
      <c r="H2248" s="7">
        <v>2351</v>
      </c>
      <c r="I2248" s="7">
        <v>44</v>
      </c>
      <c r="J2248" s="7">
        <v>0</v>
      </c>
      <c r="K2248" s="7" t="s">
        <v>18</v>
      </c>
      <c r="L2248" s="8">
        <v>39987.315405092595</v>
      </c>
      <c r="M2248" s="9" t="s">
        <v>19</v>
      </c>
      <c r="N2248" s="9" t="s">
        <v>20</v>
      </c>
      <c r="O2248" s="6" t="str">
        <f>HYPERLINK("https://pbs.twimg.com/profile_images/962471262747529216/Uo8lOkRJ_normal.jpg","View")</f>
        <v>View</v>
      </c>
      <c r="P2248" s="7"/>
    </row>
    <row r="2249" spans="1:16">
      <c r="A2249" s="3">
        <v>43879.189039351855</v>
      </c>
      <c r="B2249" s="4" t="str">
        <f>HYPERLINK("https://twitter.com/petrogustavo","@petrogustavo")</f>
        <v>@petrogustavo</v>
      </c>
      <c r="C2249" s="5" t="s">
        <v>16</v>
      </c>
      <c r="D2249" s="5" t="s">
        <v>2205</v>
      </c>
      <c r="E2249" s="6" t="str">
        <f>HYPERLINK("https://twitter.com/petrogustavo/status/1229541588608614400","1229541588608614400")</f>
        <v>1229541588608614400</v>
      </c>
      <c r="F2249" s="7" t="s">
        <v>32</v>
      </c>
      <c r="G2249" s="7">
        <v>3639042</v>
      </c>
      <c r="H2249" s="7">
        <v>2351</v>
      </c>
      <c r="I2249" s="7">
        <v>1040</v>
      </c>
      <c r="J2249" s="7">
        <v>0</v>
      </c>
      <c r="K2249" s="7" t="s">
        <v>18</v>
      </c>
      <c r="L2249" s="8">
        <v>39987.315405092595</v>
      </c>
      <c r="M2249" s="9" t="s">
        <v>19</v>
      </c>
      <c r="N2249" s="9" t="s">
        <v>20</v>
      </c>
      <c r="O2249" s="6" t="str">
        <f>HYPERLINK("https://pbs.twimg.com/profile_images/962471262747529216/Uo8lOkRJ_normal.jpg","View")</f>
        <v>View</v>
      </c>
      <c r="P2249" s="7"/>
    </row>
    <row r="2250" spans="1:16">
      <c r="A2250" s="3">
        <v>43879.241863425923</v>
      </c>
      <c r="B2250" s="4" t="str">
        <f>HYPERLINK("https://twitter.com/petrogustavo","@petrogustavo")</f>
        <v>@petrogustavo</v>
      </c>
      <c r="C2250" s="5" t="s">
        <v>16</v>
      </c>
      <c r="D2250" s="5" t="s">
        <v>2206</v>
      </c>
      <c r="E2250" s="6" t="str">
        <f>HYPERLINK("https://twitter.com/petrogustavo/status/1229560730900455426","1229560730900455426")</f>
        <v>1229560730900455426</v>
      </c>
      <c r="F2250" s="7" t="s">
        <v>17</v>
      </c>
      <c r="G2250" s="7">
        <v>3639147</v>
      </c>
      <c r="H2250" s="7">
        <v>2351</v>
      </c>
      <c r="I2250" s="7">
        <v>96</v>
      </c>
      <c r="J2250" s="7">
        <v>0</v>
      </c>
      <c r="K2250" s="7" t="s">
        <v>18</v>
      </c>
      <c r="L2250" s="8">
        <v>39987.315405092595</v>
      </c>
      <c r="M2250" s="9" t="s">
        <v>19</v>
      </c>
      <c r="N2250" s="9" t="s">
        <v>20</v>
      </c>
      <c r="O2250" s="6" t="str">
        <f>HYPERLINK("https://pbs.twimg.com/profile_images/962471262747529216/Uo8lOkRJ_normal.jpg","View")</f>
        <v>View</v>
      </c>
      <c r="P2250" s="7"/>
    </row>
    <row r="2251" spans="1:16">
      <c r="A2251" s="3">
        <v>43879.2419212963</v>
      </c>
      <c r="B2251" s="4" t="str">
        <f>HYPERLINK("https://twitter.com/petrogustavo","@petrogustavo")</f>
        <v>@petrogustavo</v>
      </c>
      <c r="C2251" s="5" t="s">
        <v>16</v>
      </c>
      <c r="D2251" s="5" t="s">
        <v>2207</v>
      </c>
      <c r="E2251" s="6" t="str">
        <f>HYPERLINK("https://twitter.com/petrogustavo/status/1229560754493362176","1229560754493362176")</f>
        <v>1229560754493362176</v>
      </c>
      <c r="F2251" s="7" t="s">
        <v>17</v>
      </c>
      <c r="G2251" s="7">
        <v>3639147</v>
      </c>
      <c r="H2251" s="7">
        <v>2351</v>
      </c>
      <c r="I2251" s="7">
        <v>109</v>
      </c>
      <c r="J2251" s="7">
        <v>0</v>
      </c>
      <c r="K2251" s="7" t="s">
        <v>18</v>
      </c>
      <c r="L2251" s="8">
        <v>39987.315405092595</v>
      </c>
      <c r="M2251" s="9" t="s">
        <v>19</v>
      </c>
      <c r="N2251" s="9" t="s">
        <v>20</v>
      </c>
      <c r="O2251" s="6" t="str">
        <f>HYPERLINK("https://pbs.twimg.com/profile_images/962471262747529216/Uo8lOkRJ_normal.jpg","View")</f>
        <v>View</v>
      </c>
      <c r="P2251" s="7"/>
    </row>
    <row r="2252" spans="1:16">
      <c r="A2252" s="3">
        <v>43879.243703703702</v>
      </c>
      <c r="B2252" s="4" t="str">
        <f>HYPERLINK("https://twitter.com/petrogustavo","@petrogustavo")</f>
        <v>@petrogustavo</v>
      </c>
      <c r="C2252" s="5" t="s">
        <v>16</v>
      </c>
      <c r="D2252" s="5" t="s">
        <v>2208</v>
      </c>
      <c r="E2252" s="6" t="str">
        <f>HYPERLINK("https://twitter.com/petrogustavo/status/1229561400948854785","1229561400948854785")</f>
        <v>1229561400948854785</v>
      </c>
      <c r="F2252" s="7" t="s">
        <v>17</v>
      </c>
      <c r="G2252" s="7">
        <v>3639147</v>
      </c>
      <c r="H2252" s="7">
        <v>2351</v>
      </c>
      <c r="I2252" s="7">
        <v>176</v>
      </c>
      <c r="J2252" s="7">
        <v>402</v>
      </c>
      <c r="K2252" s="7" t="s">
        <v>18</v>
      </c>
      <c r="L2252" s="8">
        <v>39987.315405092595</v>
      </c>
      <c r="M2252" s="9" t="s">
        <v>19</v>
      </c>
      <c r="N2252" s="9" t="s">
        <v>20</v>
      </c>
      <c r="O2252" s="6" t="str">
        <f>HYPERLINK("https://pbs.twimg.com/profile_images/962471262747529216/Uo8lOkRJ_normal.jpg","View")</f>
        <v>View</v>
      </c>
      <c r="P2252" s="7"/>
    </row>
    <row r="2253" spans="1:16">
      <c r="A2253" s="3">
        <v>43879.244837962964</v>
      </c>
      <c r="B2253" s="4" t="str">
        <f>HYPERLINK("https://twitter.com/petrogustavo","@petrogustavo")</f>
        <v>@petrogustavo</v>
      </c>
      <c r="C2253" s="5" t="s">
        <v>16</v>
      </c>
      <c r="D2253" s="5" t="s">
        <v>2205</v>
      </c>
      <c r="E2253" s="6" t="str">
        <f>HYPERLINK("https://twitter.com/petrogustavo/status/1229561811030171648","1229561811030171648")</f>
        <v>1229561811030171648</v>
      </c>
      <c r="F2253" s="7" t="s">
        <v>17</v>
      </c>
      <c r="G2253" s="7">
        <v>3639147</v>
      </c>
      <c r="H2253" s="7">
        <v>2351</v>
      </c>
      <c r="I2253" s="7">
        <v>1275</v>
      </c>
      <c r="J2253" s="7">
        <v>0</v>
      </c>
      <c r="K2253" s="7" t="s">
        <v>18</v>
      </c>
      <c r="L2253" s="8">
        <v>39987.315405092595</v>
      </c>
      <c r="M2253" s="9" t="s">
        <v>19</v>
      </c>
      <c r="N2253" s="9" t="s">
        <v>20</v>
      </c>
      <c r="O2253" s="6" t="str">
        <f>HYPERLINK("https://pbs.twimg.com/profile_images/962471262747529216/Uo8lOkRJ_normal.jpg","View")</f>
        <v>View</v>
      </c>
      <c r="P2253" s="7"/>
    </row>
    <row r="2254" spans="1:16">
      <c r="A2254" s="3">
        <v>43879.852361111116</v>
      </c>
      <c r="B2254" s="4" t="str">
        <f>HYPERLINK("https://twitter.com/petrogustavo","@petrogustavo")</f>
        <v>@petrogustavo</v>
      </c>
      <c r="C2254" s="5" t="s">
        <v>16</v>
      </c>
      <c r="D2254" s="5" t="s">
        <v>2209</v>
      </c>
      <c r="E2254" s="6" t="str">
        <f>HYPERLINK("https://twitter.com/petrogustavo/status/1229781968969195520","1229781968969195520")</f>
        <v>1229781968969195520</v>
      </c>
      <c r="F2254" s="7" t="s">
        <v>17</v>
      </c>
      <c r="G2254" s="7">
        <v>3639729</v>
      </c>
      <c r="H2254" s="7">
        <v>2351</v>
      </c>
      <c r="I2254" s="7">
        <v>71</v>
      </c>
      <c r="J2254" s="7">
        <v>181</v>
      </c>
      <c r="K2254" s="7" t="s">
        <v>18</v>
      </c>
      <c r="L2254" s="8">
        <v>39987.315405092595</v>
      </c>
      <c r="M2254" s="9" t="s">
        <v>19</v>
      </c>
      <c r="N2254" s="9" t="s">
        <v>20</v>
      </c>
      <c r="O2254" s="6" t="str">
        <f>HYPERLINK("https://pbs.twimg.com/profile_images/962471262747529216/Uo8lOkRJ_normal.jpg","View")</f>
        <v>View</v>
      </c>
      <c r="P2254" s="7"/>
    </row>
    <row r="2255" spans="1:16">
      <c r="A2255" s="3">
        <v>43879.853252314817</v>
      </c>
      <c r="B2255" s="4" t="str">
        <f>HYPERLINK("https://twitter.com/petrogustavo","@petrogustavo")</f>
        <v>@petrogustavo</v>
      </c>
      <c r="C2255" s="5" t="s">
        <v>16</v>
      </c>
      <c r="D2255" s="5" t="s">
        <v>2210</v>
      </c>
      <c r="E2255" s="6" t="str">
        <f>HYPERLINK("https://twitter.com/petrogustavo/status/1229782294606598145","1229782294606598145")</f>
        <v>1229782294606598145</v>
      </c>
      <c r="F2255" s="7" t="s">
        <v>17</v>
      </c>
      <c r="G2255" s="7">
        <v>3639729</v>
      </c>
      <c r="H2255" s="7">
        <v>2351</v>
      </c>
      <c r="I2255" s="7">
        <v>11289</v>
      </c>
      <c r="J2255" s="7">
        <v>0</v>
      </c>
      <c r="K2255" s="7" t="s">
        <v>18</v>
      </c>
      <c r="L2255" s="8">
        <v>39987.315405092595</v>
      </c>
      <c r="M2255" s="9" t="s">
        <v>19</v>
      </c>
      <c r="N2255" s="9" t="s">
        <v>20</v>
      </c>
      <c r="O2255" s="6" t="str">
        <f>HYPERLINK("https://pbs.twimg.com/profile_images/962471262747529216/Uo8lOkRJ_normal.jpg","View")</f>
        <v>View</v>
      </c>
      <c r="P2255" s="7"/>
    </row>
    <row r="2256" spans="1:16">
      <c r="A2256" s="3">
        <v>43879.855775462958</v>
      </c>
      <c r="B2256" s="4" t="str">
        <f>HYPERLINK("https://twitter.com/petrogustavo","@petrogustavo")</f>
        <v>@petrogustavo</v>
      </c>
      <c r="C2256" s="5" t="s">
        <v>16</v>
      </c>
      <c r="D2256" s="5" t="s">
        <v>2211</v>
      </c>
      <c r="E2256" s="6" t="str">
        <f>HYPERLINK("https://twitter.com/petrogustavo/status/1229783209115865089","1229783209115865089")</f>
        <v>1229783209115865089</v>
      </c>
      <c r="F2256" s="7" t="s">
        <v>17</v>
      </c>
      <c r="G2256" s="7">
        <v>3639729</v>
      </c>
      <c r="H2256" s="7">
        <v>2351</v>
      </c>
      <c r="I2256" s="7">
        <v>327</v>
      </c>
      <c r="J2256" s="7">
        <v>834</v>
      </c>
      <c r="K2256" s="7" t="s">
        <v>18</v>
      </c>
      <c r="L2256" s="8">
        <v>39987.315405092595</v>
      </c>
      <c r="M2256" s="9" t="s">
        <v>19</v>
      </c>
      <c r="N2256" s="9" t="s">
        <v>20</v>
      </c>
      <c r="O2256" s="6" t="str">
        <f>HYPERLINK("https://pbs.twimg.com/profile_images/962471262747529216/Uo8lOkRJ_normal.jpg","View")</f>
        <v>View</v>
      </c>
      <c r="P2256" s="7"/>
    </row>
    <row r="2257" spans="1:16">
      <c r="A2257" s="3">
        <v>43879.861990740741</v>
      </c>
      <c r="B2257" s="4" t="str">
        <f>HYPERLINK("https://twitter.com/petrogustavo","@petrogustavo")</f>
        <v>@petrogustavo</v>
      </c>
      <c r="C2257" s="5" t="s">
        <v>16</v>
      </c>
      <c r="D2257" s="5" t="s">
        <v>2212</v>
      </c>
      <c r="E2257" s="6" t="str">
        <f>HYPERLINK("https://twitter.com/petrogustavo/status/1229785457661239302","1229785457661239302")</f>
        <v>1229785457661239302</v>
      </c>
      <c r="F2257" s="7" t="s">
        <v>17</v>
      </c>
      <c r="G2257" s="7">
        <v>3639729</v>
      </c>
      <c r="H2257" s="7">
        <v>2351</v>
      </c>
      <c r="I2257" s="7">
        <v>378</v>
      </c>
      <c r="J2257" s="7">
        <v>0</v>
      </c>
      <c r="K2257" s="7" t="s">
        <v>18</v>
      </c>
      <c r="L2257" s="8">
        <v>39987.315405092595</v>
      </c>
      <c r="M2257" s="9" t="s">
        <v>19</v>
      </c>
      <c r="N2257" s="9" t="s">
        <v>20</v>
      </c>
      <c r="O2257" s="6" t="str">
        <f>HYPERLINK("https://pbs.twimg.com/profile_images/962471262747529216/Uo8lOkRJ_normal.jpg","View")</f>
        <v>View</v>
      </c>
      <c r="P2257" s="7"/>
    </row>
    <row r="2258" spans="1:16">
      <c r="A2258" s="3">
        <v>43879.864733796298</v>
      </c>
      <c r="B2258" s="4" t="str">
        <f>HYPERLINK("https://twitter.com/petrogustavo","@petrogustavo")</f>
        <v>@petrogustavo</v>
      </c>
      <c r="C2258" s="5" t="s">
        <v>16</v>
      </c>
      <c r="D2258" s="5" t="s">
        <v>2213</v>
      </c>
      <c r="E2258" s="6" t="str">
        <f>HYPERLINK("https://twitter.com/petrogustavo/status/1229786455230308352","1229786455230308352")</f>
        <v>1229786455230308352</v>
      </c>
      <c r="F2258" s="7" t="s">
        <v>17</v>
      </c>
      <c r="G2258" s="7">
        <v>3639729</v>
      </c>
      <c r="H2258" s="7">
        <v>2351</v>
      </c>
      <c r="I2258" s="7">
        <v>12</v>
      </c>
      <c r="J2258" s="7">
        <v>59</v>
      </c>
      <c r="K2258" s="7" t="s">
        <v>18</v>
      </c>
      <c r="L2258" s="8">
        <v>39987.315405092595</v>
      </c>
      <c r="M2258" s="9" t="s">
        <v>19</v>
      </c>
      <c r="N2258" s="9" t="s">
        <v>20</v>
      </c>
      <c r="O2258" s="6" t="str">
        <f>HYPERLINK("https://pbs.twimg.com/profile_images/962471262747529216/Uo8lOkRJ_normal.jpg","View")</f>
        <v>View</v>
      </c>
      <c r="P2258" s="7"/>
    </row>
    <row r="2259" spans="1:16">
      <c r="A2259" s="3">
        <v>43879.870196759264</v>
      </c>
      <c r="B2259" s="4" t="str">
        <f>HYPERLINK("https://twitter.com/petrogustavo","@petrogustavo")</f>
        <v>@petrogustavo</v>
      </c>
      <c r="C2259" s="5" t="s">
        <v>16</v>
      </c>
      <c r="D2259" s="5" t="s">
        <v>2214</v>
      </c>
      <c r="E2259" s="6" t="str">
        <f>HYPERLINK("https://twitter.com/petrogustavo/status/1229788434069409795","1229788434069409795")</f>
        <v>1229788434069409795</v>
      </c>
      <c r="F2259" s="7" t="s">
        <v>17</v>
      </c>
      <c r="G2259" s="7">
        <v>3639762</v>
      </c>
      <c r="H2259" s="7">
        <v>2351</v>
      </c>
      <c r="I2259" s="7">
        <v>65</v>
      </c>
      <c r="J2259" s="7">
        <v>154</v>
      </c>
      <c r="K2259" s="7" t="s">
        <v>18</v>
      </c>
      <c r="L2259" s="8">
        <v>39987.315405092595</v>
      </c>
      <c r="M2259" s="9" t="s">
        <v>19</v>
      </c>
      <c r="N2259" s="9" t="s">
        <v>20</v>
      </c>
      <c r="O2259" s="6" t="str">
        <f>HYPERLINK("https://pbs.twimg.com/profile_images/962471262747529216/Uo8lOkRJ_normal.jpg","View")</f>
        <v>View</v>
      </c>
      <c r="P2259" s="7"/>
    </row>
    <row r="2260" spans="1:16">
      <c r="A2260" s="3">
        <v>43879.870208333334</v>
      </c>
      <c r="B2260" s="4" t="str">
        <f>HYPERLINK("https://twitter.com/petrogustavo","@petrogustavo")</f>
        <v>@petrogustavo</v>
      </c>
      <c r="C2260" s="5" t="s">
        <v>16</v>
      </c>
      <c r="D2260" s="5" t="s">
        <v>2215</v>
      </c>
      <c r="E2260" s="6" t="str">
        <f>HYPERLINK("https://twitter.com/petrogustavo/status/1229788435843514370","1229788435843514370")</f>
        <v>1229788435843514370</v>
      </c>
      <c r="F2260" s="7" t="s">
        <v>17</v>
      </c>
      <c r="G2260" s="7">
        <v>3639762</v>
      </c>
      <c r="H2260" s="7">
        <v>2351</v>
      </c>
      <c r="I2260" s="7">
        <v>31</v>
      </c>
      <c r="J2260" s="7">
        <v>110</v>
      </c>
      <c r="K2260" s="7" t="s">
        <v>18</v>
      </c>
      <c r="L2260" s="8">
        <v>39987.315405092595</v>
      </c>
      <c r="M2260" s="9" t="s">
        <v>19</v>
      </c>
      <c r="N2260" s="9" t="s">
        <v>20</v>
      </c>
      <c r="O2260" s="6" t="str">
        <f>HYPERLINK("https://pbs.twimg.com/profile_images/962471262747529216/Uo8lOkRJ_normal.jpg","View")</f>
        <v>View</v>
      </c>
      <c r="P2260" s="7"/>
    </row>
    <row r="2261" spans="1:16">
      <c r="A2261" s="3">
        <v>43879.870219907403</v>
      </c>
      <c r="B2261" s="4" t="str">
        <f>HYPERLINK("https://twitter.com/petrogustavo","@petrogustavo")</f>
        <v>@petrogustavo</v>
      </c>
      <c r="C2261" s="5" t="s">
        <v>16</v>
      </c>
      <c r="D2261" s="5" t="s">
        <v>2216</v>
      </c>
      <c r="E2261" s="6" t="str">
        <f>HYPERLINK("https://twitter.com/petrogustavo/status/1229788439735885825","1229788439735885825")</f>
        <v>1229788439735885825</v>
      </c>
      <c r="F2261" s="7" t="s">
        <v>17</v>
      </c>
      <c r="G2261" s="7">
        <v>3639762</v>
      </c>
      <c r="H2261" s="7">
        <v>2351</v>
      </c>
      <c r="I2261" s="7">
        <v>28</v>
      </c>
      <c r="J2261" s="7">
        <v>93</v>
      </c>
      <c r="K2261" s="7" t="s">
        <v>18</v>
      </c>
      <c r="L2261" s="8">
        <v>39987.315405092595</v>
      </c>
      <c r="M2261" s="9" t="s">
        <v>19</v>
      </c>
      <c r="N2261" s="9" t="s">
        <v>20</v>
      </c>
      <c r="O2261" s="6" t="str">
        <f>HYPERLINK("https://pbs.twimg.com/profile_images/962471262747529216/Uo8lOkRJ_normal.jpg","View")</f>
        <v>View</v>
      </c>
      <c r="P2261" s="7"/>
    </row>
    <row r="2262" spans="1:16">
      <c r="A2262" s="3">
        <v>43879.880185185189</v>
      </c>
      <c r="B2262" s="4" t="str">
        <f>HYPERLINK("https://twitter.com/petrogustavo","@petrogustavo")</f>
        <v>@petrogustavo</v>
      </c>
      <c r="C2262" s="5" t="s">
        <v>16</v>
      </c>
      <c r="D2262" s="5" t="s">
        <v>2217</v>
      </c>
      <c r="E2262" s="6" t="str">
        <f>HYPERLINK("https://twitter.com/petrogustavo/status/1229792052084383747","1229792052084383747")</f>
        <v>1229792052084383747</v>
      </c>
      <c r="F2262" s="7" t="s">
        <v>17</v>
      </c>
      <c r="G2262" s="7">
        <v>3639762</v>
      </c>
      <c r="H2262" s="7">
        <v>2351</v>
      </c>
      <c r="I2262" s="7">
        <v>164</v>
      </c>
      <c r="J2262" s="7">
        <v>502</v>
      </c>
      <c r="K2262" s="7" t="s">
        <v>18</v>
      </c>
      <c r="L2262" s="8">
        <v>39987.315405092595</v>
      </c>
      <c r="M2262" s="9" t="s">
        <v>19</v>
      </c>
      <c r="N2262" s="9" t="s">
        <v>20</v>
      </c>
      <c r="O2262" s="6" t="str">
        <f>HYPERLINK("https://pbs.twimg.com/profile_images/962471262747529216/Uo8lOkRJ_normal.jpg","View")</f>
        <v>View</v>
      </c>
      <c r="P2262" s="7"/>
    </row>
    <row r="2263" spans="1:16">
      <c r="A2263" s="3">
        <v>43879.940636574072</v>
      </c>
      <c r="B2263" s="4" t="str">
        <f>HYPERLINK("https://twitter.com/petrogustavo","@petrogustavo")</f>
        <v>@petrogustavo</v>
      </c>
      <c r="C2263" s="5" t="s">
        <v>16</v>
      </c>
      <c r="D2263" s="5" t="s">
        <v>2218</v>
      </c>
      <c r="E2263" s="6" t="str">
        <f>HYPERLINK("https://twitter.com/petrogustavo/status/1229813961341767681","1229813961341767681")</f>
        <v>1229813961341767681</v>
      </c>
      <c r="F2263" s="7" t="s">
        <v>32</v>
      </c>
      <c r="G2263" s="7">
        <v>3639796</v>
      </c>
      <c r="H2263" s="7">
        <v>2351</v>
      </c>
      <c r="I2263" s="7">
        <v>56</v>
      </c>
      <c r="J2263" s="7">
        <v>137</v>
      </c>
      <c r="K2263" s="7" t="s">
        <v>18</v>
      </c>
      <c r="L2263" s="8">
        <v>39987.315405092595</v>
      </c>
      <c r="M2263" s="9" t="s">
        <v>19</v>
      </c>
      <c r="N2263" s="9" t="s">
        <v>20</v>
      </c>
      <c r="O2263" s="6" t="str">
        <f>HYPERLINK("https://pbs.twimg.com/profile_images/962471262747529216/Uo8lOkRJ_normal.jpg","View")</f>
        <v>View</v>
      </c>
      <c r="P2263" s="7"/>
    </row>
    <row r="2264" spans="1:16">
      <c r="A2264" s="3">
        <v>43879.943368055552</v>
      </c>
      <c r="B2264" s="4" t="str">
        <f>HYPERLINK("https://twitter.com/petrogustavo","@petrogustavo")</f>
        <v>@petrogustavo</v>
      </c>
      <c r="C2264" s="5" t="s">
        <v>16</v>
      </c>
      <c r="D2264" s="5" t="s">
        <v>2219</v>
      </c>
      <c r="E2264" s="6" t="str">
        <f>HYPERLINK("https://twitter.com/petrogustavo/status/1229814950178193412","1229814950178193412")</f>
        <v>1229814950178193412</v>
      </c>
      <c r="F2264" s="7" t="s">
        <v>32</v>
      </c>
      <c r="G2264" s="7">
        <v>3639796</v>
      </c>
      <c r="H2264" s="7">
        <v>2351</v>
      </c>
      <c r="I2264" s="7">
        <v>42</v>
      </c>
      <c r="J2264" s="7">
        <v>128</v>
      </c>
      <c r="K2264" s="7" t="s">
        <v>18</v>
      </c>
      <c r="L2264" s="8">
        <v>39987.315405092595</v>
      </c>
      <c r="M2264" s="9" t="s">
        <v>19</v>
      </c>
      <c r="N2264" s="9" t="s">
        <v>20</v>
      </c>
      <c r="O2264" s="6" t="str">
        <f>HYPERLINK("https://pbs.twimg.com/profile_images/962471262747529216/Uo8lOkRJ_normal.jpg","View")</f>
        <v>View</v>
      </c>
      <c r="P2264" s="7"/>
    </row>
    <row r="2265" spans="1:16">
      <c r="A2265" s="3">
        <v>43879.948796296296</v>
      </c>
      <c r="B2265" s="4" t="str">
        <f>HYPERLINK("https://twitter.com/petrogustavo","@petrogustavo")</f>
        <v>@petrogustavo</v>
      </c>
      <c r="C2265" s="5" t="s">
        <v>16</v>
      </c>
      <c r="D2265" s="5" t="s">
        <v>2220</v>
      </c>
      <c r="E2265" s="6" t="str">
        <f>HYPERLINK("https://twitter.com/petrogustavo/status/1229816917264916483","1229816917264916483")</f>
        <v>1229816917264916483</v>
      </c>
      <c r="F2265" s="7" t="s">
        <v>32</v>
      </c>
      <c r="G2265" s="7">
        <v>3639796</v>
      </c>
      <c r="H2265" s="7">
        <v>2351</v>
      </c>
      <c r="I2265" s="7">
        <v>13</v>
      </c>
      <c r="J2265" s="7">
        <v>24</v>
      </c>
      <c r="K2265" s="7" t="s">
        <v>18</v>
      </c>
      <c r="L2265" s="8">
        <v>39987.315405092595</v>
      </c>
      <c r="M2265" s="9" t="s">
        <v>19</v>
      </c>
      <c r="N2265" s="9" t="s">
        <v>20</v>
      </c>
      <c r="O2265" s="6" t="str">
        <f>HYPERLINK("https://pbs.twimg.com/profile_images/962471262747529216/Uo8lOkRJ_normal.jpg","View")</f>
        <v>View</v>
      </c>
      <c r="P2265" s="7"/>
    </row>
    <row r="2266" spans="1:16">
      <c r="A2266" s="3">
        <v>43879.95244212963</v>
      </c>
      <c r="B2266" s="4" t="str">
        <f>HYPERLINK("https://twitter.com/petrogustavo","@petrogustavo")</f>
        <v>@petrogustavo</v>
      </c>
      <c r="C2266" s="5" t="s">
        <v>16</v>
      </c>
      <c r="D2266" s="5" t="s">
        <v>2221</v>
      </c>
      <c r="E2266" s="6" t="str">
        <f>HYPERLINK("https://twitter.com/petrogustavo/status/1229818236541206528","1229818236541206528")</f>
        <v>1229818236541206528</v>
      </c>
      <c r="F2266" s="7" t="s">
        <v>32</v>
      </c>
      <c r="G2266" s="7">
        <v>3639820</v>
      </c>
      <c r="H2266" s="7">
        <v>2351</v>
      </c>
      <c r="I2266" s="7">
        <v>1146</v>
      </c>
      <c r="J2266" s="7">
        <v>0</v>
      </c>
      <c r="K2266" s="7" t="s">
        <v>18</v>
      </c>
      <c r="L2266" s="8">
        <v>39987.315405092595</v>
      </c>
      <c r="M2266" s="9" t="s">
        <v>19</v>
      </c>
      <c r="N2266" s="9" t="s">
        <v>20</v>
      </c>
      <c r="O2266" s="6" t="str">
        <f>HYPERLINK("https://pbs.twimg.com/profile_images/962471262747529216/Uo8lOkRJ_normal.jpg","View")</f>
        <v>View</v>
      </c>
      <c r="P2266" s="7"/>
    </row>
    <row r="2267" spans="1:16">
      <c r="A2267" s="3">
        <v>43879.954375000001</v>
      </c>
      <c r="B2267" s="4" t="str">
        <f>HYPERLINK("https://twitter.com/petrogustavo","@petrogustavo")</f>
        <v>@petrogustavo</v>
      </c>
      <c r="C2267" s="5" t="s">
        <v>16</v>
      </c>
      <c r="D2267" s="5" t="s">
        <v>2222</v>
      </c>
      <c r="E2267" s="6" t="str">
        <f>HYPERLINK("https://twitter.com/petrogustavo/status/1229818936998473729","1229818936998473729")</f>
        <v>1229818936998473729</v>
      </c>
      <c r="F2267" s="7" t="s">
        <v>32</v>
      </c>
      <c r="G2267" s="7">
        <v>3639820</v>
      </c>
      <c r="H2267" s="7">
        <v>2351</v>
      </c>
      <c r="I2267" s="7">
        <v>260</v>
      </c>
      <c r="J2267" s="7">
        <v>903</v>
      </c>
      <c r="K2267" s="7" t="s">
        <v>18</v>
      </c>
      <c r="L2267" s="8">
        <v>39987.315405092595</v>
      </c>
      <c r="M2267" s="9" t="s">
        <v>19</v>
      </c>
      <c r="N2267" s="9" t="s">
        <v>20</v>
      </c>
      <c r="O2267" s="6" t="str">
        <f>HYPERLINK("https://pbs.twimg.com/profile_images/962471262747529216/Uo8lOkRJ_normal.jpg","View")</f>
        <v>View</v>
      </c>
      <c r="P2267" s="7"/>
    </row>
    <row r="2268" spans="1:16">
      <c r="A2268" s="3">
        <v>43880.047812500001</v>
      </c>
      <c r="B2268" s="4" t="str">
        <f>HYPERLINK("https://twitter.com/petrogustavo","@petrogustavo")</f>
        <v>@petrogustavo</v>
      </c>
      <c r="C2268" s="5" t="s">
        <v>16</v>
      </c>
      <c r="D2268" s="5" t="s">
        <v>2223</v>
      </c>
      <c r="E2268" s="6" t="str">
        <f>HYPERLINK("https://twitter.com/petrogustavo/status/1229852800005308418","1229852800005308418")</f>
        <v>1229852800005308418</v>
      </c>
      <c r="F2268" s="7" t="s">
        <v>17</v>
      </c>
      <c r="G2268" s="7">
        <v>3639914</v>
      </c>
      <c r="H2268" s="7">
        <v>2351</v>
      </c>
      <c r="I2268" s="7">
        <v>37</v>
      </c>
      <c r="J2268" s="7">
        <v>123</v>
      </c>
      <c r="K2268" s="7" t="s">
        <v>18</v>
      </c>
      <c r="L2268" s="8">
        <v>39987.315405092595</v>
      </c>
      <c r="M2268" s="9" t="s">
        <v>19</v>
      </c>
      <c r="N2268" s="9" t="s">
        <v>20</v>
      </c>
      <c r="O2268" s="6" t="str">
        <f>HYPERLINK("https://pbs.twimg.com/profile_images/962471262747529216/Uo8lOkRJ_normal.jpg","View")</f>
        <v>View</v>
      </c>
      <c r="P2268" s="7"/>
    </row>
    <row r="2269" spans="1:16">
      <c r="A2269" s="3">
        <v>43880.05972222222</v>
      </c>
      <c r="B2269" s="4" t="str">
        <f>HYPERLINK("https://twitter.com/petrogustavo","@petrogustavo")</f>
        <v>@petrogustavo</v>
      </c>
      <c r="C2269" s="5" t="s">
        <v>16</v>
      </c>
      <c r="D2269" s="5" t="s">
        <v>2224</v>
      </c>
      <c r="E2269" s="6" t="str">
        <f>HYPERLINK("https://twitter.com/petrogustavo/status/1229857116032245760","1229857116032245760")</f>
        <v>1229857116032245760</v>
      </c>
      <c r="F2269" s="7" t="s">
        <v>17</v>
      </c>
      <c r="G2269" s="7">
        <v>3639936</v>
      </c>
      <c r="H2269" s="7">
        <v>2351</v>
      </c>
      <c r="I2269" s="7">
        <v>106</v>
      </c>
      <c r="J2269" s="7">
        <v>228</v>
      </c>
      <c r="K2269" s="7" t="s">
        <v>18</v>
      </c>
      <c r="L2269" s="8">
        <v>39987.315405092595</v>
      </c>
      <c r="M2269" s="9" t="s">
        <v>19</v>
      </c>
      <c r="N2269" s="9" t="s">
        <v>20</v>
      </c>
      <c r="O2269" s="6" t="str">
        <f>HYPERLINK("https://pbs.twimg.com/profile_images/962471262747529216/Uo8lOkRJ_normal.jpg","View")</f>
        <v>View</v>
      </c>
      <c r="P2269" s="7"/>
    </row>
    <row r="2270" spans="1:16">
      <c r="A2270" s="3">
        <v>43880.060914351852</v>
      </c>
      <c r="B2270" s="4" t="str">
        <f>HYPERLINK("https://twitter.com/petrogustavo","@petrogustavo")</f>
        <v>@petrogustavo</v>
      </c>
      <c r="C2270" s="5" t="s">
        <v>16</v>
      </c>
      <c r="D2270" s="5" t="s">
        <v>2225</v>
      </c>
      <c r="E2270" s="6" t="str">
        <f>HYPERLINK("https://twitter.com/petrogustavo/status/1229857546883735552","1229857546883735552")</f>
        <v>1229857546883735552</v>
      </c>
      <c r="F2270" s="7" t="s">
        <v>17</v>
      </c>
      <c r="G2270" s="7">
        <v>3639936</v>
      </c>
      <c r="H2270" s="7">
        <v>2351</v>
      </c>
      <c r="I2270" s="7">
        <v>174</v>
      </c>
      <c r="J2270" s="7">
        <v>0</v>
      </c>
      <c r="K2270" s="7" t="s">
        <v>18</v>
      </c>
      <c r="L2270" s="8">
        <v>39987.315405092595</v>
      </c>
      <c r="M2270" s="9" t="s">
        <v>19</v>
      </c>
      <c r="N2270" s="9" t="s">
        <v>20</v>
      </c>
      <c r="O2270" s="6" t="str">
        <f>HYPERLINK("https://pbs.twimg.com/profile_images/962471262747529216/Uo8lOkRJ_normal.jpg","View")</f>
        <v>View</v>
      </c>
      <c r="P2270" s="7"/>
    </row>
    <row r="2271" spans="1:16">
      <c r="A2271" s="3">
        <v>43880.063240740739</v>
      </c>
      <c r="B2271" s="4" t="str">
        <f>HYPERLINK("https://twitter.com/petrogustavo","@petrogustavo")</f>
        <v>@petrogustavo</v>
      </c>
      <c r="C2271" s="5" t="s">
        <v>16</v>
      </c>
      <c r="D2271" s="5" t="s">
        <v>2226</v>
      </c>
      <c r="E2271" s="6" t="str">
        <f>HYPERLINK("https://twitter.com/petrogustavo/status/1229858391914360837","1229858391914360837")</f>
        <v>1229858391914360837</v>
      </c>
      <c r="F2271" s="7" t="s">
        <v>17</v>
      </c>
      <c r="G2271" s="7">
        <v>3639936</v>
      </c>
      <c r="H2271" s="7">
        <v>2351</v>
      </c>
      <c r="I2271" s="7">
        <v>65</v>
      </c>
      <c r="J2271" s="7">
        <v>200</v>
      </c>
      <c r="K2271" s="7" t="s">
        <v>18</v>
      </c>
      <c r="L2271" s="8">
        <v>39987.315405092595</v>
      </c>
      <c r="M2271" s="9" t="s">
        <v>19</v>
      </c>
      <c r="N2271" s="9" t="s">
        <v>20</v>
      </c>
      <c r="O2271" s="6" t="str">
        <f>HYPERLINK("https://pbs.twimg.com/profile_images/962471262747529216/Uo8lOkRJ_normal.jpg","View")</f>
        <v>View</v>
      </c>
      <c r="P2271" s="7"/>
    </row>
    <row r="2272" spans="1:16">
      <c r="A2272" s="3">
        <v>43880.06350694444</v>
      </c>
      <c r="B2272" s="4" t="str">
        <f>HYPERLINK("https://twitter.com/petrogustavo","@petrogustavo")</f>
        <v>@petrogustavo</v>
      </c>
      <c r="C2272" s="5" t="s">
        <v>16</v>
      </c>
      <c r="D2272" s="5" t="s">
        <v>2227</v>
      </c>
      <c r="E2272" s="6" t="str">
        <f>HYPERLINK("https://twitter.com/petrogustavo/status/1229858485246013441","1229858485246013441")</f>
        <v>1229858485246013441</v>
      </c>
      <c r="F2272" s="7" t="s">
        <v>17</v>
      </c>
      <c r="G2272" s="7">
        <v>3639936</v>
      </c>
      <c r="H2272" s="7">
        <v>2351</v>
      </c>
      <c r="I2272" s="7">
        <v>113</v>
      </c>
      <c r="J2272" s="7">
        <v>0</v>
      </c>
      <c r="K2272" s="7" t="s">
        <v>18</v>
      </c>
      <c r="L2272" s="8">
        <v>39987.315405092595</v>
      </c>
      <c r="M2272" s="9" t="s">
        <v>19</v>
      </c>
      <c r="N2272" s="9" t="s">
        <v>20</v>
      </c>
      <c r="O2272" s="6" t="str">
        <f>HYPERLINK("https://pbs.twimg.com/profile_images/962471262747529216/Uo8lOkRJ_normal.jpg","View")</f>
        <v>View</v>
      </c>
      <c r="P2272" s="7"/>
    </row>
    <row r="2273" spans="1:16">
      <c r="A2273" s="3">
        <v>43880.074502314819</v>
      </c>
      <c r="B2273" s="4" t="str">
        <f>HYPERLINK("https://twitter.com/petrogustavo","@petrogustavo")</f>
        <v>@petrogustavo</v>
      </c>
      <c r="C2273" s="5" t="s">
        <v>16</v>
      </c>
      <c r="D2273" s="5" t="s">
        <v>2228</v>
      </c>
      <c r="E2273" s="6" t="str">
        <f>HYPERLINK("https://twitter.com/petrogustavo/status/1229862473106411525","1229862473106411525")</f>
        <v>1229862473106411525</v>
      </c>
      <c r="F2273" s="7" t="s">
        <v>17</v>
      </c>
      <c r="G2273" s="7">
        <v>3639936</v>
      </c>
      <c r="H2273" s="7">
        <v>2351</v>
      </c>
      <c r="I2273" s="7">
        <v>0</v>
      </c>
      <c r="J2273" s="7">
        <v>8</v>
      </c>
      <c r="K2273" s="7" t="s">
        <v>18</v>
      </c>
      <c r="L2273" s="8">
        <v>39987.315405092595</v>
      </c>
      <c r="M2273" s="9" t="s">
        <v>19</v>
      </c>
      <c r="N2273" s="9" t="s">
        <v>20</v>
      </c>
      <c r="O2273" s="6" t="str">
        <f>HYPERLINK("https://pbs.twimg.com/profile_images/962471262747529216/Uo8lOkRJ_normal.jpg","View")</f>
        <v>View</v>
      </c>
      <c r="P2273" s="7"/>
    </row>
    <row r="2274" spans="1:16">
      <c r="A2274" s="3">
        <v>43880.077800925923</v>
      </c>
      <c r="B2274" s="4" t="str">
        <f>HYPERLINK("https://twitter.com/petrogustavo","@petrogustavo")</f>
        <v>@petrogustavo</v>
      </c>
      <c r="C2274" s="5" t="s">
        <v>16</v>
      </c>
      <c r="D2274" s="5" t="s">
        <v>2229</v>
      </c>
      <c r="E2274" s="6" t="str">
        <f>HYPERLINK("https://twitter.com/petrogustavo/status/1229863667845541890","1229863667845541890")</f>
        <v>1229863667845541890</v>
      </c>
      <c r="F2274" s="7" t="s">
        <v>17</v>
      </c>
      <c r="G2274" s="7">
        <v>3639976</v>
      </c>
      <c r="H2274" s="7">
        <v>2351</v>
      </c>
      <c r="I2274" s="7">
        <v>3852</v>
      </c>
      <c r="J2274" s="7">
        <v>0</v>
      </c>
      <c r="K2274" s="7" t="s">
        <v>18</v>
      </c>
      <c r="L2274" s="8">
        <v>39987.315405092595</v>
      </c>
      <c r="M2274" s="9" t="s">
        <v>19</v>
      </c>
      <c r="N2274" s="9" t="s">
        <v>20</v>
      </c>
      <c r="O2274" s="6" t="str">
        <f>HYPERLINK("https://pbs.twimg.com/profile_images/962471262747529216/Uo8lOkRJ_normal.jpg","View")</f>
        <v>View</v>
      </c>
      <c r="P2274" s="7"/>
    </row>
    <row r="2275" spans="1:16">
      <c r="A2275" s="3">
        <v>43880.079768518517</v>
      </c>
      <c r="B2275" s="4" t="str">
        <f>HYPERLINK("https://twitter.com/petrogustavo","@petrogustavo")</f>
        <v>@petrogustavo</v>
      </c>
      <c r="C2275" s="5" t="s">
        <v>16</v>
      </c>
      <c r="D2275" s="5" t="s">
        <v>2230</v>
      </c>
      <c r="E2275" s="6" t="str">
        <f>HYPERLINK("https://twitter.com/petrogustavo/status/1229864379044237313","1229864379044237313")</f>
        <v>1229864379044237313</v>
      </c>
      <c r="F2275" s="7" t="s">
        <v>17</v>
      </c>
      <c r="G2275" s="7">
        <v>3639976</v>
      </c>
      <c r="H2275" s="7">
        <v>2351</v>
      </c>
      <c r="I2275" s="7">
        <v>137</v>
      </c>
      <c r="J2275" s="7">
        <v>353</v>
      </c>
      <c r="K2275" s="7" t="s">
        <v>18</v>
      </c>
      <c r="L2275" s="8">
        <v>39987.315405092595</v>
      </c>
      <c r="M2275" s="9" t="s">
        <v>19</v>
      </c>
      <c r="N2275" s="9" t="s">
        <v>20</v>
      </c>
      <c r="O2275" s="6" t="str">
        <f>HYPERLINK("https://pbs.twimg.com/profile_images/962471262747529216/Uo8lOkRJ_normal.jpg","View")</f>
        <v>View</v>
      </c>
      <c r="P2275" s="7"/>
    </row>
    <row r="2276" spans="1:16">
      <c r="A2276" s="3">
        <v>43880.085428240738</v>
      </c>
      <c r="B2276" s="4" t="str">
        <f>HYPERLINK("https://twitter.com/petrogustavo","@petrogustavo")</f>
        <v>@petrogustavo</v>
      </c>
      <c r="C2276" s="5" t="s">
        <v>16</v>
      </c>
      <c r="D2276" s="5" t="s">
        <v>2231</v>
      </c>
      <c r="E2276" s="6" t="str">
        <f>HYPERLINK("https://twitter.com/petrogustavo/status/1229866429492670470","1229866429492670470")</f>
        <v>1229866429492670470</v>
      </c>
      <c r="F2276" s="7" t="s">
        <v>17</v>
      </c>
      <c r="G2276" s="7">
        <v>3639976</v>
      </c>
      <c r="H2276" s="7">
        <v>2351</v>
      </c>
      <c r="I2276" s="7">
        <v>168</v>
      </c>
      <c r="J2276" s="7">
        <v>560</v>
      </c>
      <c r="K2276" s="7" t="s">
        <v>18</v>
      </c>
      <c r="L2276" s="8">
        <v>39987.315405092595</v>
      </c>
      <c r="M2276" s="9" t="s">
        <v>19</v>
      </c>
      <c r="N2276" s="9" t="s">
        <v>20</v>
      </c>
      <c r="O2276" s="6" t="str">
        <f>HYPERLINK("https://pbs.twimg.com/profile_images/962471262747529216/Uo8lOkRJ_normal.jpg","View")</f>
        <v>View</v>
      </c>
      <c r="P2276" s="7"/>
    </row>
    <row r="2277" spans="1:16">
      <c r="A2277" s="3">
        <v>43880.087731481486</v>
      </c>
      <c r="B2277" s="4" t="str">
        <f>HYPERLINK("https://twitter.com/petrogustavo","@petrogustavo")</f>
        <v>@petrogustavo</v>
      </c>
      <c r="C2277" s="5" t="s">
        <v>16</v>
      </c>
      <c r="D2277" s="5" t="s">
        <v>2232</v>
      </c>
      <c r="E2277" s="6" t="str">
        <f>HYPERLINK("https://twitter.com/petrogustavo/status/1229867265698488326","1229867265698488326")</f>
        <v>1229867265698488326</v>
      </c>
      <c r="F2277" s="7" t="s">
        <v>17</v>
      </c>
      <c r="G2277" s="7">
        <v>3639976</v>
      </c>
      <c r="H2277" s="7">
        <v>2351</v>
      </c>
      <c r="I2277" s="7">
        <v>578</v>
      </c>
      <c r="J2277" s="7">
        <v>0</v>
      </c>
      <c r="K2277" s="7" t="s">
        <v>18</v>
      </c>
      <c r="L2277" s="8">
        <v>39987.315405092595</v>
      </c>
      <c r="M2277" s="9" t="s">
        <v>19</v>
      </c>
      <c r="N2277" s="9" t="s">
        <v>20</v>
      </c>
      <c r="O2277" s="6" t="str">
        <f>HYPERLINK("https://pbs.twimg.com/profile_images/962471262747529216/Uo8lOkRJ_normal.jpg","View")</f>
        <v>View</v>
      </c>
      <c r="P2277" s="7"/>
    </row>
    <row r="2278" spans="1:16">
      <c r="A2278" s="3">
        <v>43880.087847222225</v>
      </c>
      <c r="B2278" s="4" t="str">
        <f>HYPERLINK("https://twitter.com/petrogustavo","@petrogustavo")</f>
        <v>@petrogustavo</v>
      </c>
      <c r="C2278" s="5" t="s">
        <v>16</v>
      </c>
      <c r="D2278" s="5" t="s">
        <v>2233</v>
      </c>
      <c r="E2278" s="6" t="str">
        <f>HYPERLINK("https://twitter.com/petrogustavo/status/1229867308706926593","1229867308706926593")</f>
        <v>1229867308706926593</v>
      </c>
      <c r="F2278" s="7" t="s">
        <v>17</v>
      </c>
      <c r="G2278" s="7">
        <v>3639976</v>
      </c>
      <c r="H2278" s="7">
        <v>2351</v>
      </c>
      <c r="I2278" s="7">
        <v>168</v>
      </c>
      <c r="J2278" s="7">
        <v>0</v>
      </c>
      <c r="K2278" s="7" t="s">
        <v>18</v>
      </c>
      <c r="L2278" s="8">
        <v>39987.315405092595</v>
      </c>
      <c r="M2278" s="9" t="s">
        <v>19</v>
      </c>
      <c r="N2278" s="9" t="s">
        <v>20</v>
      </c>
      <c r="O2278" s="6" t="str">
        <f>HYPERLINK("https://pbs.twimg.com/profile_images/962471262747529216/Uo8lOkRJ_normal.jpg","View")</f>
        <v>View</v>
      </c>
      <c r="P2278" s="7"/>
    </row>
    <row r="2279" spans="1:16">
      <c r="A2279" s="3">
        <v>43880.104143518518</v>
      </c>
      <c r="B2279" s="4" t="str">
        <f>HYPERLINK("https://twitter.com/petrogustavo","@petrogustavo")</f>
        <v>@petrogustavo</v>
      </c>
      <c r="C2279" s="5" t="s">
        <v>16</v>
      </c>
      <c r="D2279" s="5" t="s">
        <v>2234</v>
      </c>
      <c r="E2279" s="6" t="str">
        <f>HYPERLINK("https://twitter.com/petrogustavo/status/1229873213926264833","1229873213926264833")</f>
        <v>1229873213926264833</v>
      </c>
      <c r="F2279" s="7" t="s">
        <v>17</v>
      </c>
      <c r="G2279" s="7">
        <v>3640007</v>
      </c>
      <c r="H2279" s="7">
        <v>2351</v>
      </c>
      <c r="I2279" s="7">
        <v>249</v>
      </c>
      <c r="J2279" s="7">
        <v>0</v>
      </c>
      <c r="K2279" s="7" t="s">
        <v>18</v>
      </c>
      <c r="L2279" s="8">
        <v>39987.315405092595</v>
      </c>
      <c r="M2279" s="9" t="s">
        <v>19</v>
      </c>
      <c r="N2279" s="9" t="s">
        <v>20</v>
      </c>
      <c r="O2279" s="6" t="str">
        <f>HYPERLINK("https://pbs.twimg.com/profile_images/962471262747529216/Uo8lOkRJ_normal.jpg","View")</f>
        <v>View</v>
      </c>
      <c r="P2279" s="7"/>
    </row>
    <row r="2280" spans="1:16">
      <c r="A2280" s="3">
        <v>43880.106516203705</v>
      </c>
      <c r="B2280" s="4" t="str">
        <f>HYPERLINK("https://twitter.com/petrogustavo","@petrogustavo")</f>
        <v>@petrogustavo</v>
      </c>
      <c r="C2280" s="5" t="s">
        <v>16</v>
      </c>
      <c r="D2280" s="5" t="s">
        <v>2235</v>
      </c>
      <c r="E2280" s="6" t="str">
        <f>HYPERLINK("https://twitter.com/petrogustavo/status/1229874072844193793","1229874072844193793")</f>
        <v>1229874072844193793</v>
      </c>
      <c r="F2280" s="7" t="s">
        <v>17</v>
      </c>
      <c r="G2280" s="7">
        <v>3640007</v>
      </c>
      <c r="H2280" s="7">
        <v>2351</v>
      </c>
      <c r="I2280" s="7">
        <v>61</v>
      </c>
      <c r="J2280" s="7">
        <v>149</v>
      </c>
      <c r="K2280" s="7" t="s">
        <v>18</v>
      </c>
      <c r="L2280" s="8">
        <v>39987.315405092595</v>
      </c>
      <c r="M2280" s="9" t="s">
        <v>19</v>
      </c>
      <c r="N2280" s="9" t="s">
        <v>20</v>
      </c>
      <c r="O2280" s="6" t="str">
        <f>HYPERLINK("https://pbs.twimg.com/profile_images/962471262747529216/Uo8lOkRJ_normal.jpg","View")</f>
        <v>View</v>
      </c>
      <c r="P2280" s="7"/>
    </row>
    <row r="2281" spans="1:16">
      <c r="A2281" s="3">
        <v>43880.112905092596</v>
      </c>
      <c r="B2281" s="4" t="str">
        <f>HYPERLINK("https://twitter.com/petrogustavo","@petrogustavo")</f>
        <v>@petrogustavo</v>
      </c>
      <c r="C2281" s="5" t="s">
        <v>16</v>
      </c>
      <c r="D2281" s="5" t="s">
        <v>2236</v>
      </c>
      <c r="E2281" s="6" t="str">
        <f>HYPERLINK("https://twitter.com/petrogustavo/status/1229876385839226880","1229876385839226880")</f>
        <v>1229876385839226880</v>
      </c>
      <c r="F2281" s="7" t="s">
        <v>17</v>
      </c>
      <c r="G2281" s="7">
        <v>3640007</v>
      </c>
      <c r="H2281" s="7">
        <v>2351</v>
      </c>
      <c r="I2281" s="7">
        <v>22</v>
      </c>
      <c r="J2281" s="7">
        <v>55</v>
      </c>
      <c r="K2281" s="7" t="s">
        <v>18</v>
      </c>
      <c r="L2281" s="8">
        <v>39987.315405092595</v>
      </c>
      <c r="M2281" s="9" t="s">
        <v>19</v>
      </c>
      <c r="N2281" s="9" t="s">
        <v>20</v>
      </c>
      <c r="O2281" s="6" t="str">
        <f>HYPERLINK("https://pbs.twimg.com/profile_images/962471262747529216/Uo8lOkRJ_normal.jpg","View")</f>
        <v>View</v>
      </c>
      <c r="P2281" s="7"/>
    </row>
    <row r="2282" spans="1:16">
      <c r="A2282" s="3">
        <v>43880.24690972222</v>
      </c>
      <c r="B2282" s="4" t="str">
        <f>HYPERLINK("https://twitter.com/petrogustavo","@petrogustavo")</f>
        <v>@petrogustavo</v>
      </c>
      <c r="C2282" s="5" t="s">
        <v>16</v>
      </c>
      <c r="D2282" s="5" t="s">
        <v>2237</v>
      </c>
      <c r="E2282" s="6" t="str">
        <f>HYPERLINK("https://twitter.com/petrogustavo/status/1229924950770888705","1229924950770888705")</f>
        <v>1229924950770888705</v>
      </c>
      <c r="F2282" s="7" t="s">
        <v>32</v>
      </c>
      <c r="G2282" s="7">
        <v>3640216</v>
      </c>
      <c r="H2282" s="7">
        <v>2351</v>
      </c>
      <c r="I2282" s="7">
        <v>191</v>
      </c>
      <c r="J2282" s="7">
        <v>377</v>
      </c>
      <c r="K2282" s="7" t="s">
        <v>18</v>
      </c>
      <c r="L2282" s="8">
        <v>39987.315405092595</v>
      </c>
      <c r="M2282" s="9" t="s">
        <v>19</v>
      </c>
      <c r="N2282" s="9" t="s">
        <v>20</v>
      </c>
      <c r="O2282" s="6" t="str">
        <f>HYPERLINK("https://pbs.twimg.com/profile_images/962471262747529216/Uo8lOkRJ_normal.jpg","View")</f>
        <v>View</v>
      </c>
      <c r="P2282" s="7"/>
    </row>
    <row r="2283" spans="1:16">
      <c r="A2283" s="3">
        <v>43880.248541666668</v>
      </c>
      <c r="B2283" s="4" t="str">
        <f>HYPERLINK("https://twitter.com/petrogustavo","@petrogustavo")</f>
        <v>@petrogustavo</v>
      </c>
      <c r="C2283" s="5" t="s">
        <v>16</v>
      </c>
      <c r="D2283" s="5" t="s">
        <v>2238</v>
      </c>
      <c r="E2283" s="6" t="str">
        <f>HYPERLINK("https://twitter.com/petrogustavo/status/1229925540880093184","1229925540880093184")</f>
        <v>1229925540880093184</v>
      </c>
      <c r="F2283" s="7" t="s">
        <v>32</v>
      </c>
      <c r="G2283" s="7">
        <v>3640216</v>
      </c>
      <c r="H2283" s="7">
        <v>2351</v>
      </c>
      <c r="I2283" s="7">
        <v>297</v>
      </c>
      <c r="J2283" s="7">
        <v>0</v>
      </c>
      <c r="K2283" s="7" t="s">
        <v>18</v>
      </c>
      <c r="L2283" s="8">
        <v>39987.315405092595</v>
      </c>
      <c r="M2283" s="9" t="s">
        <v>19</v>
      </c>
      <c r="N2283" s="9" t="s">
        <v>20</v>
      </c>
      <c r="O2283" s="6" t="str">
        <f>HYPERLINK("https://pbs.twimg.com/profile_images/962471262747529216/Uo8lOkRJ_normal.jpg","View")</f>
        <v>View</v>
      </c>
      <c r="P2283" s="7"/>
    </row>
    <row r="2284" spans="1:16">
      <c r="A2284" s="3">
        <v>43880.252708333333</v>
      </c>
      <c r="B2284" s="4" t="str">
        <f>HYPERLINK("https://twitter.com/petrogustavo","@petrogustavo")</f>
        <v>@petrogustavo</v>
      </c>
      <c r="C2284" s="5" t="s">
        <v>16</v>
      </c>
      <c r="D2284" s="5" t="s">
        <v>2239</v>
      </c>
      <c r="E2284" s="6" t="str">
        <f>HYPERLINK("https://twitter.com/petrogustavo/status/1229927049978138624","1229927049978138624")</f>
        <v>1229927049978138624</v>
      </c>
      <c r="F2284" s="7" t="s">
        <v>32</v>
      </c>
      <c r="G2284" s="7">
        <v>3640216</v>
      </c>
      <c r="H2284" s="7">
        <v>2351</v>
      </c>
      <c r="I2284" s="7">
        <v>276</v>
      </c>
      <c r="J2284" s="7">
        <v>0</v>
      </c>
      <c r="K2284" s="7" t="s">
        <v>18</v>
      </c>
      <c r="L2284" s="8">
        <v>39987.315405092595</v>
      </c>
      <c r="M2284" s="9" t="s">
        <v>19</v>
      </c>
      <c r="N2284" s="9" t="s">
        <v>20</v>
      </c>
      <c r="O2284" s="6" t="str">
        <f>HYPERLINK("https://pbs.twimg.com/profile_images/962471262747529216/Uo8lOkRJ_normal.jpg","View")</f>
        <v>View</v>
      </c>
      <c r="P2284" s="7"/>
    </row>
    <row r="2285" spans="1:16">
      <c r="A2285" s="3">
        <v>43880.253460648149</v>
      </c>
      <c r="B2285" s="4" t="str">
        <f>HYPERLINK("https://twitter.com/petrogustavo","@petrogustavo")</f>
        <v>@petrogustavo</v>
      </c>
      <c r="C2285" s="5" t="s">
        <v>16</v>
      </c>
      <c r="D2285" s="5" t="s">
        <v>2240</v>
      </c>
      <c r="E2285" s="6" t="str">
        <f>HYPERLINK("https://twitter.com/petrogustavo/status/1229927322675023872","1229927322675023872")</f>
        <v>1229927322675023872</v>
      </c>
      <c r="F2285" s="7" t="s">
        <v>32</v>
      </c>
      <c r="G2285" s="7">
        <v>3640216</v>
      </c>
      <c r="H2285" s="7">
        <v>2351</v>
      </c>
      <c r="I2285" s="7">
        <v>180</v>
      </c>
      <c r="J2285" s="7">
        <v>488</v>
      </c>
      <c r="K2285" s="7" t="s">
        <v>18</v>
      </c>
      <c r="L2285" s="8">
        <v>39987.315405092595</v>
      </c>
      <c r="M2285" s="9" t="s">
        <v>19</v>
      </c>
      <c r="N2285" s="9" t="s">
        <v>20</v>
      </c>
      <c r="O2285" s="6" t="str">
        <f>HYPERLINK("https://pbs.twimg.com/profile_images/962471262747529216/Uo8lOkRJ_normal.jpg","View")</f>
        <v>View</v>
      </c>
      <c r="P2285" s="7"/>
    </row>
    <row r="2286" spans="1:16">
      <c r="A2286" s="3">
        <v>43880.255416666667</v>
      </c>
      <c r="B2286" s="4" t="str">
        <f>HYPERLINK("https://twitter.com/petrogustavo","@petrogustavo")</f>
        <v>@petrogustavo</v>
      </c>
      <c r="C2286" s="5" t="s">
        <v>16</v>
      </c>
      <c r="D2286" s="5" t="s">
        <v>2241</v>
      </c>
      <c r="E2286" s="6" t="str">
        <f>HYPERLINK("https://twitter.com/petrogustavo/status/1229928034200965121","1229928034200965121")</f>
        <v>1229928034200965121</v>
      </c>
      <c r="F2286" s="7" t="s">
        <v>32</v>
      </c>
      <c r="G2286" s="7">
        <v>3640216</v>
      </c>
      <c r="H2286" s="7">
        <v>2351</v>
      </c>
      <c r="I2286" s="7">
        <v>93</v>
      </c>
      <c r="J2286" s="7">
        <v>169</v>
      </c>
      <c r="K2286" s="7" t="s">
        <v>18</v>
      </c>
      <c r="L2286" s="8">
        <v>39987.315405092595</v>
      </c>
      <c r="M2286" s="9" t="s">
        <v>19</v>
      </c>
      <c r="N2286" s="9" t="s">
        <v>20</v>
      </c>
      <c r="O2286" s="6" t="str">
        <f>HYPERLINK("https://pbs.twimg.com/profile_images/962471262747529216/Uo8lOkRJ_normal.jpg","View")</f>
        <v>View</v>
      </c>
      <c r="P2286" s="7"/>
    </row>
    <row r="2287" spans="1:16">
      <c r="A2287" s="3">
        <v>43880.258321759262</v>
      </c>
      <c r="B2287" s="4" t="str">
        <f>HYPERLINK("https://twitter.com/petrogustavo","@petrogustavo")</f>
        <v>@petrogustavo</v>
      </c>
      <c r="C2287" s="5" t="s">
        <v>16</v>
      </c>
      <c r="D2287" s="5" t="s">
        <v>2242</v>
      </c>
      <c r="E2287" s="6" t="str">
        <f>HYPERLINK("https://twitter.com/petrogustavo/status/1229929083049562112","1229929083049562112")</f>
        <v>1229929083049562112</v>
      </c>
      <c r="F2287" s="7" t="s">
        <v>32</v>
      </c>
      <c r="G2287" s="7">
        <v>3640216</v>
      </c>
      <c r="H2287" s="7">
        <v>2351</v>
      </c>
      <c r="I2287" s="7">
        <v>180</v>
      </c>
      <c r="J2287" s="7">
        <v>0</v>
      </c>
      <c r="K2287" s="7" t="s">
        <v>18</v>
      </c>
      <c r="L2287" s="8">
        <v>39987.315405092595</v>
      </c>
      <c r="M2287" s="9" t="s">
        <v>19</v>
      </c>
      <c r="N2287" s="9" t="s">
        <v>20</v>
      </c>
      <c r="O2287" s="6" t="str">
        <f>HYPERLINK("https://pbs.twimg.com/profile_images/962471262747529216/Uo8lOkRJ_normal.jpg","View")</f>
        <v>View</v>
      </c>
      <c r="P2287" s="7"/>
    </row>
    <row r="2288" spans="1:16">
      <c r="A2288" s="3">
        <v>43880.277581018519</v>
      </c>
      <c r="B2288" s="4" t="str">
        <f>HYPERLINK("https://twitter.com/petrogustavo","@petrogustavo")</f>
        <v>@petrogustavo</v>
      </c>
      <c r="C2288" s="5" t="s">
        <v>16</v>
      </c>
      <c r="D2288" s="5" t="s">
        <v>2243</v>
      </c>
      <c r="E2288" s="6" t="str">
        <f>HYPERLINK("https://twitter.com/petrogustavo/status/1229936065156407296","1229936065156407296")</f>
        <v>1229936065156407296</v>
      </c>
      <c r="F2288" s="7" t="s">
        <v>17</v>
      </c>
      <c r="G2288" s="7">
        <v>3640250</v>
      </c>
      <c r="H2288" s="7">
        <v>2351</v>
      </c>
      <c r="I2288" s="7">
        <v>25</v>
      </c>
      <c r="J2288" s="7">
        <v>99</v>
      </c>
      <c r="K2288" s="7" t="s">
        <v>18</v>
      </c>
      <c r="L2288" s="8">
        <v>39987.315405092595</v>
      </c>
      <c r="M2288" s="9" t="s">
        <v>19</v>
      </c>
      <c r="N2288" s="9" t="s">
        <v>20</v>
      </c>
      <c r="O2288" s="6" t="str">
        <f>HYPERLINK("https://pbs.twimg.com/profile_images/962471262747529216/Uo8lOkRJ_normal.jpg","View")</f>
        <v>View</v>
      </c>
      <c r="P2288" s="7"/>
    </row>
    <row r="2289" spans="1:16">
      <c r="A2289" s="3">
        <v>43880.299155092594</v>
      </c>
      <c r="B2289" s="4" t="str">
        <f>HYPERLINK("https://twitter.com/petrogustavo","@petrogustavo")</f>
        <v>@petrogustavo</v>
      </c>
      <c r="C2289" s="5" t="s">
        <v>16</v>
      </c>
      <c r="D2289" s="5" t="s">
        <v>2244</v>
      </c>
      <c r="E2289" s="6" t="str">
        <f>HYPERLINK("https://twitter.com/petrogustavo/status/1229943882366046209","1229943882366046209")</f>
        <v>1229943882366046209</v>
      </c>
      <c r="F2289" s="7" t="s">
        <v>32</v>
      </c>
      <c r="G2289" s="7">
        <v>3640295</v>
      </c>
      <c r="H2289" s="7">
        <v>2351</v>
      </c>
      <c r="I2289" s="7">
        <v>41</v>
      </c>
      <c r="J2289" s="7">
        <v>0</v>
      </c>
      <c r="K2289" s="7" t="s">
        <v>18</v>
      </c>
      <c r="L2289" s="8">
        <v>39987.315405092595</v>
      </c>
      <c r="M2289" s="9" t="s">
        <v>19</v>
      </c>
      <c r="N2289" s="9" t="s">
        <v>20</v>
      </c>
      <c r="O2289" s="6" t="str">
        <f>HYPERLINK("https://pbs.twimg.com/profile_images/962471262747529216/Uo8lOkRJ_normal.jpg","View")</f>
        <v>View</v>
      </c>
      <c r="P2289" s="7"/>
    </row>
    <row r="2290" spans="1:16">
      <c r="A2290" s="3">
        <v>43880.311793981484</v>
      </c>
      <c r="B2290" s="4" t="str">
        <f>HYPERLINK("https://twitter.com/petrogustavo","@petrogustavo")</f>
        <v>@petrogustavo</v>
      </c>
      <c r="C2290" s="5" t="s">
        <v>16</v>
      </c>
      <c r="D2290" s="5" t="s">
        <v>2245</v>
      </c>
      <c r="E2290" s="6" t="str">
        <f>HYPERLINK("https://twitter.com/petrogustavo/status/1229948463347064834","1229948463347064834")</f>
        <v>1229948463347064834</v>
      </c>
      <c r="F2290" s="7" t="s">
        <v>32</v>
      </c>
      <c r="G2290" s="7">
        <v>3640336</v>
      </c>
      <c r="H2290" s="7">
        <v>2351</v>
      </c>
      <c r="I2290" s="7">
        <v>35</v>
      </c>
      <c r="J2290" s="7">
        <v>0</v>
      </c>
      <c r="K2290" s="7" t="s">
        <v>18</v>
      </c>
      <c r="L2290" s="8">
        <v>39987.315405092595</v>
      </c>
      <c r="M2290" s="9" t="s">
        <v>19</v>
      </c>
      <c r="N2290" s="9" t="s">
        <v>20</v>
      </c>
      <c r="O2290" s="6" t="str">
        <f>HYPERLINK("https://pbs.twimg.com/profile_images/962471262747529216/Uo8lOkRJ_normal.jpg","View")</f>
        <v>View</v>
      </c>
      <c r="P2290" s="7"/>
    </row>
    <row r="2291" spans="1:16">
      <c r="A2291" s="3">
        <v>43880.313344907408</v>
      </c>
      <c r="B2291" s="4" t="str">
        <f>HYPERLINK("https://twitter.com/petrogustavo","@petrogustavo")</f>
        <v>@petrogustavo</v>
      </c>
      <c r="C2291" s="5" t="s">
        <v>16</v>
      </c>
      <c r="D2291" s="5" t="s">
        <v>2246</v>
      </c>
      <c r="E2291" s="6" t="str">
        <f>HYPERLINK("https://twitter.com/petrogustavo/status/1229949025580965888","1229949025580965888")</f>
        <v>1229949025580965888</v>
      </c>
      <c r="F2291" s="7" t="s">
        <v>32</v>
      </c>
      <c r="G2291" s="7">
        <v>3640336</v>
      </c>
      <c r="H2291" s="7">
        <v>2351</v>
      </c>
      <c r="I2291" s="7">
        <v>224</v>
      </c>
      <c r="J2291" s="7">
        <v>296</v>
      </c>
      <c r="K2291" s="7" t="s">
        <v>18</v>
      </c>
      <c r="L2291" s="8">
        <v>39987.315405092595</v>
      </c>
      <c r="M2291" s="9" t="s">
        <v>19</v>
      </c>
      <c r="N2291" s="9" t="s">
        <v>20</v>
      </c>
      <c r="O2291" s="6" t="str">
        <f>HYPERLINK("https://pbs.twimg.com/profile_images/962471262747529216/Uo8lOkRJ_normal.jpg","View")</f>
        <v>View</v>
      </c>
      <c r="P2291" s="7"/>
    </row>
    <row r="2292" spans="1:16">
      <c r="A2292" s="3">
        <v>43880.320150462961</v>
      </c>
      <c r="B2292" s="4" t="str">
        <f>HYPERLINK("https://twitter.com/petrogustavo","@petrogustavo")</f>
        <v>@petrogustavo</v>
      </c>
      <c r="C2292" s="5" t="s">
        <v>16</v>
      </c>
      <c r="D2292" s="5" t="s">
        <v>2247</v>
      </c>
      <c r="E2292" s="6" t="str">
        <f>HYPERLINK("https://twitter.com/petrogustavo/status/1229951489675755521","1229951489675755521")</f>
        <v>1229951489675755521</v>
      </c>
      <c r="F2292" s="7" t="s">
        <v>32</v>
      </c>
      <c r="G2292" s="7">
        <v>3640336</v>
      </c>
      <c r="H2292" s="7">
        <v>2351</v>
      </c>
      <c r="I2292" s="7">
        <v>27</v>
      </c>
      <c r="J2292" s="7">
        <v>72</v>
      </c>
      <c r="K2292" s="7" t="s">
        <v>18</v>
      </c>
      <c r="L2292" s="8">
        <v>39987.315405092595</v>
      </c>
      <c r="M2292" s="9" t="s">
        <v>19</v>
      </c>
      <c r="N2292" s="9" t="s">
        <v>20</v>
      </c>
      <c r="O2292" s="6" t="str">
        <f>HYPERLINK("https://pbs.twimg.com/profile_images/962471262747529216/Uo8lOkRJ_normal.jpg","View")</f>
        <v>View</v>
      </c>
      <c r="P2292" s="7"/>
    </row>
    <row r="2293" spans="1:16">
      <c r="A2293" s="3">
        <v>43880.333483796298</v>
      </c>
      <c r="B2293" s="4" t="str">
        <f>HYPERLINK("https://twitter.com/petrogustavo","@petrogustavo")</f>
        <v>@petrogustavo</v>
      </c>
      <c r="C2293" s="5" t="s">
        <v>16</v>
      </c>
      <c r="D2293" s="5" t="s">
        <v>2248</v>
      </c>
      <c r="E2293" s="6" t="str">
        <f>HYPERLINK("https://twitter.com/petrogustavo/status/1229956323682463744","1229956323682463744")</f>
        <v>1229956323682463744</v>
      </c>
      <c r="F2293" s="7" t="s">
        <v>32</v>
      </c>
      <c r="G2293" s="7">
        <v>3640390</v>
      </c>
      <c r="H2293" s="7">
        <v>2351</v>
      </c>
      <c r="I2293" s="7">
        <v>1456</v>
      </c>
      <c r="J2293" s="7">
        <v>0</v>
      </c>
      <c r="K2293" s="7" t="s">
        <v>18</v>
      </c>
      <c r="L2293" s="8">
        <v>39987.315405092595</v>
      </c>
      <c r="M2293" s="9" t="s">
        <v>19</v>
      </c>
      <c r="N2293" s="9" t="s">
        <v>20</v>
      </c>
      <c r="O2293" s="6" t="str">
        <f>HYPERLINK("https://pbs.twimg.com/profile_images/962471262747529216/Uo8lOkRJ_normal.jpg","View")</f>
        <v>View</v>
      </c>
      <c r="P2293" s="7"/>
    </row>
    <row r="2294" spans="1:16">
      <c r="A2294" s="3">
        <v>43880.33630787037</v>
      </c>
      <c r="B2294" s="4" t="str">
        <f>HYPERLINK("https://twitter.com/petrogustavo","@petrogustavo")</f>
        <v>@petrogustavo</v>
      </c>
      <c r="C2294" s="5" t="s">
        <v>16</v>
      </c>
      <c r="D2294" s="5" t="s">
        <v>2249</v>
      </c>
      <c r="E2294" s="6" t="str">
        <f>HYPERLINK("https://twitter.com/petrogustavo/status/1229957346606100480","1229957346606100480")</f>
        <v>1229957346606100480</v>
      </c>
      <c r="F2294" s="7" t="s">
        <v>32</v>
      </c>
      <c r="G2294" s="7">
        <v>3640390</v>
      </c>
      <c r="H2294" s="7">
        <v>2351</v>
      </c>
      <c r="I2294" s="7">
        <v>83</v>
      </c>
      <c r="J2294" s="7">
        <v>442</v>
      </c>
      <c r="K2294" s="7" t="s">
        <v>18</v>
      </c>
      <c r="L2294" s="8">
        <v>39987.315405092595</v>
      </c>
      <c r="M2294" s="9" t="s">
        <v>19</v>
      </c>
      <c r="N2294" s="9" t="s">
        <v>20</v>
      </c>
      <c r="O2294" s="6" t="str">
        <f>HYPERLINK("https://pbs.twimg.com/profile_images/962471262747529216/Uo8lOkRJ_normal.jpg","View")</f>
        <v>View</v>
      </c>
      <c r="P2294" s="7"/>
    </row>
    <row r="2295" spans="1:16">
      <c r="A2295" s="3">
        <v>43880.359583333338</v>
      </c>
      <c r="B2295" s="4" t="str">
        <f>HYPERLINK("https://twitter.com/petrogustavo","@petrogustavo")</f>
        <v>@petrogustavo</v>
      </c>
      <c r="C2295" s="5" t="s">
        <v>16</v>
      </c>
      <c r="D2295" s="5" t="s">
        <v>2250</v>
      </c>
      <c r="E2295" s="6" t="str">
        <f>HYPERLINK("https://twitter.com/petrogustavo/status/1229965780932059136","1229965780932059136")</f>
        <v>1229965780932059136</v>
      </c>
      <c r="F2295" s="7" t="s">
        <v>32</v>
      </c>
      <c r="G2295" s="7">
        <v>3640426</v>
      </c>
      <c r="H2295" s="7">
        <v>2351</v>
      </c>
      <c r="I2295" s="7">
        <v>43</v>
      </c>
      <c r="J2295" s="7">
        <v>160</v>
      </c>
      <c r="K2295" s="7" t="s">
        <v>18</v>
      </c>
      <c r="L2295" s="8">
        <v>39987.315405092595</v>
      </c>
      <c r="M2295" s="9" t="s">
        <v>19</v>
      </c>
      <c r="N2295" s="9" t="s">
        <v>20</v>
      </c>
      <c r="O2295" s="6" t="str">
        <f>HYPERLINK("https://pbs.twimg.com/profile_images/962471262747529216/Uo8lOkRJ_normal.jpg","View")</f>
        <v>View</v>
      </c>
      <c r="P2295" s="7"/>
    </row>
    <row r="2296" spans="1:16">
      <c r="A2296" s="3">
        <v>43880.361157407402</v>
      </c>
      <c r="B2296" s="4" t="str">
        <f>HYPERLINK("https://twitter.com/petrogustavo","@petrogustavo")</f>
        <v>@petrogustavo</v>
      </c>
      <c r="C2296" s="5" t="s">
        <v>16</v>
      </c>
      <c r="D2296" s="5" t="s">
        <v>2251</v>
      </c>
      <c r="E2296" s="6" t="str">
        <f>HYPERLINK("https://twitter.com/petrogustavo/status/1229966350199721984","1229966350199721984")</f>
        <v>1229966350199721984</v>
      </c>
      <c r="F2296" s="7" t="s">
        <v>32</v>
      </c>
      <c r="G2296" s="7">
        <v>3640426</v>
      </c>
      <c r="H2296" s="7">
        <v>2351</v>
      </c>
      <c r="I2296" s="7">
        <v>120</v>
      </c>
      <c r="J2296" s="7">
        <v>0</v>
      </c>
      <c r="K2296" s="7" t="s">
        <v>18</v>
      </c>
      <c r="L2296" s="8">
        <v>39987.315405092595</v>
      </c>
      <c r="M2296" s="9" t="s">
        <v>19</v>
      </c>
      <c r="N2296" s="9" t="s">
        <v>20</v>
      </c>
      <c r="O2296" s="6" t="str">
        <f>HYPERLINK("https://pbs.twimg.com/profile_images/962471262747529216/Uo8lOkRJ_normal.jpg","View")</f>
        <v>View</v>
      </c>
      <c r="P2296" s="7"/>
    </row>
    <row r="2297" spans="1:16">
      <c r="A2297" s="3">
        <v>43880.365439814814</v>
      </c>
      <c r="B2297" s="4" t="str">
        <f>HYPERLINK("https://twitter.com/petrogustavo","@petrogustavo")</f>
        <v>@petrogustavo</v>
      </c>
      <c r="C2297" s="5" t="s">
        <v>16</v>
      </c>
      <c r="D2297" s="5" t="s">
        <v>2252</v>
      </c>
      <c r="E2297" s="6" t="str">
        <f>HYPERLINK("https://twitter.com/petrogustavo/status/1229967903874785284","1229967903874785284")</f>
        <v>1229967903874785284</v>
      </c>
      <c r="F2297" s="7" t="s">
        <v>21</v>
      </c>
      <c r="G2297" s="7">
        <v>3640426</v>
      </c>
      <c r="H2297" s="7">
        <v>2351</v>
      </c>
      <c r="I2297" s="7">
        <v>26</v>
      </c>
      <c r="J2297" s="7">
        <v>40</v>
      </c>
      <c r="K2297" s="7" t="s">
        <v>18</v>
      </c>
      <c r="L2297" s="8">
        <v>39987.315405092595</v>
      </c>
      <c r="M2297" s="9" t="s">
        <v>19</v>
      </c>
      <c r="N2297" s="9" t="s">
        <v>20</v>
      </c>
      <c r="O2297" s="6" t="str">
        <f>HYPERLINK("https://pbs.twimg.com/profile_images/962471262747529216/Uo8lOkRJ_normal.jpg","View")</f>
        <v>View</v>
      </c>
      <c r="P2297" s="7"/>
    </row>
    <row r="2298" spans="1:16">
      <c r="A2298" s="3">
        <v>43880.735625000001</v>
      </c>
      <c r="B2298" s="4" t="str">
        <f>HYPERLINK("https://twitter.com/petrogustavo","@petrogustavo")</f>
        <v>@petrogustavo</v>
      </c>
      <c r="C2298" s="5" t="s">
        <v>16</v>
      </c>
      <c r="D2298" s="5" t="s">
        <v>2253</v>
      </c>
      <c r="E2298" s="6" t="str">
        <f>HYPERLINK("https://twitter.com/petrogustavo/status/1230102053244080128","1230102053244080128")</f>
        <v>1230102053244080128</v>
      </c>
      <c r="F2298" s="7" t="s">
        <v>17</v>
      </c>
      <c r="G2298" s="7">
        <v>3640581</v>
      </c>
      <c r="H2298" s="7">
        <v>2351</v>
      </c>
      <c r="I2298" s="7">
        <v>4019</v>
      </c>
      <c r="J2298" s="7">
        <v>0</v>
      </c>
      <c r="K2298" s="7" t="s">
        <v>18</v>
      </c>
      <c r="L2298" s="8">
        <v>39987.315405092595</v>
      </c>
      <c r="M2298" s="9" t="s">
        <v>19</v>
      </c>
      <c r="N2298" s="9" t="s">
        <v>20</v>
      </c>
      <c r="O2298" s="6" t="str">
        <f>HYPERLINK("https://pbs.twimg.com/profile_images/962471262747529216/Uo8lOkRJ_normal.jpg","View")</f>
        <v>View</v>
      </c>
      <c r="P2298" s="7"/>
    </row>
    <row r="2299" spans="1:16">
      <c r="A2299" s="3">
        <v>43880.856527777782</v>
      </c>
      <c r="B2299" s="4" t="str">
        <f>HYPERLINK("https://twitter.com/petrogustavo","@petrogustavo")</f>
        <v>@petrogustavo</v>
      </c>
      <c r="C2299" s="5" t="s">
        <v>16</v>
      </c>
      <c r="D2299" s="5" t="s">
        <v>2254</v>
      </c>
      <c r="E2299" s="6" t="str">
        <f>HYPERLINK("https://twitter.com/petrogustavo/status/1230145868738764801","1230145868738764801")</f>
        <v>1230145868738764801</v>
      </c>
      <c r="F2299" s="7" t="s">
        <v>17</v>
      </c>
      <c r="G2299" s="7">
        <v>3640752</v>
      </c>
      <c r="H2299" s="7">
        <v>2351</v>
      </c>
      <c r="I2299" s="7">
        <v>176</v>
      </c>
      <c r="J2299" s="7">
        <v>0</v>
      </c>
      <c r="K2299" s="7" t="s">
        <v>18</v>
      </c>
      <c r="L2299" s="8">
        <v>39987.315405092595</v>
      </c>
      <c r="M2299" s="9" t="s">
        <v>19</v>
      </c>
      <c r="N2299" s="9" t="s">
        <v>20</v>
      </c>
      <c r="O2299" s="6" t="str">
        <f>HYPERLINK("https://pbs.twimg.com/profile_images/962471262747529216/Uo8lOkRJ_normal.jpg","View")</f>
        <v>View</v>
      </c>
      <c r="P2299" s="7"/>
    </row>
    <row r="2300" spans="1:16">
      <c r="A2300" s="3">
        <v>43880.86519675926</v>
      </c>
      <c r="B2300" s="4" t="str">
        <f>HYPERLINK("https://twitter.com/petrogustavo","@petrogustavo")</f>
        <v>@petrogustavo</v>
      </c>
      <c r="C2300" s="5" t="s">
        <v>16</v>
      </c>
      <c r="D2300" s="5" t="s">
        <v>2255</v>
      </c>
      <c r="E2300" s="6" t="str">
        <f>HYPERLINK("https://twitter.com/petrogustavo/status/1230149009479733248","1230149009479733248")</f>
        <v>1230149009479733248</v>
      </c>
      <c r="F2300" s="7" t="s">
        <v>17</v>
      </c>
      <c r="G2300" s="7">
        <v>3640752</v>
      </c>
      <c r="H2300" s="7">
        <v>2351</v>
      </c>
      <c r="I2300" s="7">
        <v>26</v>
      </c>
      <c r="J2300" s="7">
        <v>32</v>
      </c>
      <c r="K2300" s="7" t="s">
        <v>18</v>
      </c>
      <c r="L2300" s="8">
        <v>39987.315405092595</v>
      </c>
      <c r="M2300" s="9" t="s">
        <v>19</v>
      </c>
      <c r="N2300" s="9" t="s">
        <v>20</v>
      </c>
      <c r="O2300" s="6" t="str">
        <f>HYPERLINK("https://pbs.twimg.com/profile_images/962471262747529216/Uo8lOkRJ_normal.jpg","View")</f>
        <v>View</v>
      </c>
      <c r="P2300" s="7"/>
    </row>
    <row r="2301" spans="1:16">
      <c r="A2301" s="3">
        <v>43880.873020833329</v>
      </c>
      <c r="B2301" s="4" t="str">
        <f>HYPERLINK("https://twitter.com/petrogustavo","@petrogustavo")</f>
        <v>@petrogustavo</v>
      </c>
      <c r="C2301" s="5" t="s">
        <v>16</v>
      </c>
      <c r="D2301" s="5" t="s">
        <v>2256</v>
      </c>
      <c r="E2301" s="6" t="str">
        <f>HYPERLINK("https://twitter.com/petrogustavo/status/1230151846427340802","1230151846427340802")</f>
        <v>1230151846427340802</v>
      </c>
      <c r="F2301" s="7" t="s">
        <v>17</v>
      </c>
      <c r="G2301" s="7">
        <v>3640792</v>
      </c>
      <c r="H2301" s="7">
        <v>2351</v>
      </c>
      <c r="I2301" s="7">
        <v>1150</v>
      </c>
      <c r="J2301" s="7">
        <v>0</v>
      </c>
      <c r="K2301" s="7" t="s">
        <v>18</v>
      </c>
      <c r="L2301" s="8">
        <v>39987.315405092595</v>
      </c>
      <c r="M2301" s="9" t="s">
        <v>19</v>
      </c>
      <c r="N2301" s="9" t="s">
        <v>20</v>
      </c>
      <c r="O2301" s="6" t="str">
        <f>HYPERLINK("https://pbs.twimg.com/profile_images/962471262747529216/Uo8lOkRJ_normal.jpg","View")</f>
        <v>View</v>
      </c>
      <c r="P2301" s="7"/>
    </row>
    <row r="2302" spans="1:16">
      <c r="A2302" s="3">
        <v>43880.877164351856</v>
      </c>
      <c r="B2302" s="4" t="str">
        <f>HYPERLINK("https://twitter.com/petrogustavo","@petrogustavo")</f>
        <v>@petrogustavo</v>
      </c>
      <c r="C2302" s="5" t="s">
        <v>16</v>
      </c>
      <c r="D2302" s="5" t="s">
        <v>2257</v>
      </c>
      <c r="E2302" s="6" t="str">
        <f>HYPERLINK("https://twitter.com/petrogustavo/status/1230153345605783552","1230153345605783552")</f>
        <v>1230153345605783552</v>
      </c>
      <c r="F2302" s="7" t="s">
        <v>17</v>
      </c>
      <c r="G2302" s="7">
        <v>3640792</v>
      </c>
      <c r="H2302" s="7">
        <v>2351</v>
      </c>
      <c r="I2302" s="7">
        <v>42</v>
      </c>
      <c r="J2302" s="7">
        <v>0</v>
      </c>
      <c r="K2302" s="7" t="s">
        <v>18</v>
      </c>
      <c r="L2302" s="8">
        <v>39987.315405092595</v>
      </c>
      <c r="M2302" s="9" t="s">
        <v>19</v>
      </c>
      <c r="N2302" s="9" t="s">
        <v>20</v>
      </c>
      <c r="O2302" s="6" t="str">
        <f>HYPERLINK("https://pbs.twimg.com/profile_images/962471262747529216/Uo8lOkRJ_normal.jpg","View")</f>
        <v>View</v>
      </c>
      <c r="P2302" s="7"/>
    </row>
    <row r="2303" spans="1:16">
      <c r="A2303" s="3">
        <v>43880.87976851852</v>
      </c>
      <c r="B2303" s="4" t="str">
        <f>HYPERLINK("https://twitter.com/petrogustavo","@petrogustavo")</f>
        <v>@petrogustavo</v>
      </c>
      <c r="C2303" s="5" t="s">
        <v>16</v>
      </c>
      <c r="D2303" s="5" t="s">
        <v>2258</v>
      </c>
      <c r="E2303" s="6" t="str">
        <f>HYPERLINK("https://twitter.com/petrogustavo/status/1230154289143742470","1230154289143742470")</f>
        <v>1230154289143742470</v>
      </c>
      <c r="F2303" s="7" t="s">
        <v>17</v>
      </c>
      <c r="G2303" s="7">
        <v>3640792</v>
      </c>
      <c r="H2303" s="7">
        <v>2351</v>
      </c>
      <c r="I2303" s="7">
        <v>362</v>
      </c>
      <c r="J2303" s="7">
        <v>0</v>
      </c>
      <c r="K2303" s="7" t="s">
        <v>18</v>
      </c>
      <c r="L2303" s="8">
        <v>39987.315405092595</v>
      </c>
      <c r="M2303" s="9" t="s">
        <v>19</v>
      </c>
      <c r="N2303" s="9" t="s">
        <v>20</v>
      </c>
      <c r="O2303" s="6" t="str">
        <f>HYPERLINK("https://pbs.twimg.com/profile_images/962471262747529216/Uo8lOkRJ_normal.jpg","View")</f>
        <v>View</v>
      </c>
      <c r="P2303" s="7"/>
    </row>
    <row r="2304" spans="1:16">
      <c r="A2304" s="3">
        <v>43880.881377314814</v>
      </c>
      <c r="B2304" s="4" t="str">
        <f>HYPERLINK("https://twitter.com/petrogustavo","@petrogustavo")</f>
        <v>@petrogustavo</v>
      </c>
      <c r="C2304" s="5" t="s">
        <v>16</v>
      </c>
      <c r="D2304" s="5" t="s">
        <v>2259</v>
      </c>
      <c r="E2304" s="6" t="str">
        <f>HYPERLINK("https://twitter.com/petrogustavo/status/1230154870780579842","1230154870780579842")</f>
        <v>1230154870780579842</v>
      </c>
      <c r="F2304" s="7" t="s">
        <v>17</v>
      </c>
      <c r="G2304" s="7">
        <v>3640792</v>
      </c>
      <c r="H2304" s="7">
        <v>2351</v>
      </c>
      <c r="I2304" s="7">
        <v>52</v>
      </c>
      <c r="J2304" s="7">
        <v>0</v>
      </c>
      <c r="K2304" s="7" t="s">
        <v>18</v>
      </c>
      <c r="L2304" s="8">
        <v>39987.315405092595</v>
      </c>
      <c r="M2304" s="9" t="s">
        <v>19</v>
      </c>
      <c r="N2304" s="9" t="s">
        <v>20</v>
      </c>
      <c r="O2304" s="6" t="str">
        <f>HYPERLINK("https://pbs.twimg.com/profile_images/962471262747529216/Uo8lOkRJ_normal.jpg","View")</f>
        <v>View</v>
      </c>
      <c r="P2304" s="7"/>
    </row>
    <row r="2305" spans="1:16">
      <c r="A2305" s="3">
        <v>43880.882071759261</v>
      </c>
      <c r="B2305" s="4" t="str">
        <f>HYPERLINK("https://twitter.com/petrogustavo","@petrogustavo")</f>
        <v>@petrogustavo</v>
      </c>
      <c r="C2305" s="5" t="s">
        <v>16</v>
      </c>
      <c r="D2305" s="5" t="s">
        <v>2260</v>
      </c>
      <c r="E2305" s="6" t="str">
        <f>HYPERLINK("https://twitter.com/petrogustavo/status/1230155124846333952","1230155124846333952")</f>
        <v>1230155124846333952</v>
      </c>
      <c r="F2305" s="7" t="s">
        <v>17</v>
      </c>
      <c r="G2305" s="7">
        <v>3640792</v>
      </c>
      <c r="H2305" s="7">
        <v>2351</v>
      </c>
      <c r="I2305" s="7">
        <v>48</v>
      </c>
      <c r="J2305" s="7">
        <v>155</v>
      </c>
      <c r="K2305" s="7" t="s">
        <v>18</v>
      </c>
      <c r="L2305" s="8">
        <v>39987.315405092595</v>
      </c>
      <c r="M2305" s="9" t="s">
        <v>19</v>
      </c>
      <c r="N2305" s="9" t="s">
        <v>20</v>
      </c>
      <c r="O2305" s="6" t="str">
        <f>HYPERLINK("https://pbs.twimg.com/profile_images/962471262747529216/Uo8lOkRJ_normal.jpg","View")</f>
        <v>View</v>
      </c>
      <c r="P2305" s="7"/>
    </row>
    <row r="2306" spans="1:16">
      <c r="A2306" s="3">
        <v>43880.887233796297</v>
      </c>
      <c r="B2306" s="4" t="str">
        <f>HYPERLINK("https://twitter.com/petrogustavo","@petrogustavo")</f>
        <v>@petrogustavo</v>
      </c>
      <c r="C2306" s="5" t="s">
        <v>16</v>
      </c>
      <c r="D2306" s="5" t="s">
        <v>2261</v>
      </c>
      <c r="E2306" s="6" t="str">
        <f>HYPERLINK("https://twitter.com/petrogustavo/status/1230156994088259587","1230156994088259587")</f>
        <v>1230156994088259587</v>
      </c>
      <c r="F2306" s="7" t="s">
        <v>17</v>
      </c>
      <c r="G2306" s="7">
        <v>3640820</v>
      </c>
      <c r="H2306" s="7">
        <v>2351</v>
      </c>
      <c r="I2306" s="7">
        <v>1244</v>
      </c>
      <c r="J2306" s="7">
        <v>0</v>
      </c>
      <c r="K2306" s="7" t="s">
        <v>18</v>
      </c>
      <c r="L2306" s="8">
        <v>39987.315405092595</v>
      </c>
      <c r="M2306" s="9" t="s">
        <v>19</v>
      </c>
      <c r="N2306" s="9" t="s">
        <v>20</v>
      </c>
      <c r="O2306" s="6" t="str">
        <f>HYPERLINK("https://pbs.twimg.com/profile_images/962471262747529216/Uo8lOkRJ_normal.jpg","View")</f>
        <v>View</v>
      </c>
      <c r="P2306" s="7"/>
    </row>
    <row r="2307" spans="1:16">
      <c r="A2307" s="3">
        <v>43880.892280092594</v>
      </c>
      <c r="B2307" s="4" t="str">
        <f>HYPERLINK("https://twitter.com/petrogustavo","@petrogustavo")</f>
        <v>@petrogustavo</v>
      </c>
      <c r="C2307" s="5" t="s">
        <v>16</v>
      </c>
      <c r="D2307" s="5" t="s">
        <v>2262</v>
      </c>
      <c r="E2307" s="6" t="str">
        <f>HYPERLINK("https://twitter.com/petrogustavo/status/1230158825845555201","1230158825845555201")</f>
        <v>1230158825845555201</v>
      </c>
      <c r="F2307" s="7" t="s">
        <v>17</v>
      </c>
      <c r="G2307" s="7">
        <v>3640820</v>
      </c>
      <c r="H2307" s="7">
        <v>2351</v>
      </c>
      <c r="I2307" s="7">
        <v>109</v>
      </c>
      <c r="J2307" s="7">
        <v>233</v>
      </c>
      <c r="K2307" s="7" t="s">
        <v>18</v>
      </c>
      <c r="L2307" s="8">
        <v>39987.315405092595</v>
      </c>
      <c r="M2307" s="9" t="s">
        <v>19</v>
      </c>
      <c r="N2307" s="9" t="s">
        <v>20</v>
      </c>
      <c r="O2307" s="6" t="str">
        <f>HYPERLINK("https://pbs.twimg.com/profile_images/962471262747529216/Uo8lOkRJ_normal.jpg","View")</f>
        <v>View</v>
      </c>
      <c r="P2307" s="7"/>
    </row>
    <row r="2308" spans="1:16">
      <c r="A2308" s="3">
        <v>43880.892662037033</v>
      </c>
      <c r="B2308" s="4" t="str">
        <f>HYPERLINK("https://twitter.com/petrogustavo","@petrogustavo")</f>
        <v>@petrogustavo</v>
      </c>
      <c r="C2308" s="5" t="s">
        <v>16</v>
      </c>
      <c r="D2308" s="5" t="s">
        <v>2263</v>
      </c>
      <c r="E2308" s="6" t="str">
        <f>HYPERLINK("https://twitter.com/petrogustavo/status/1230158961145503744","1230158961145503744")</f>
        <v>1230158961145503744</v>
      </c>
      <c r="F2308" s="7" t="s">
        <v>17</v>
      </c>
      <c r="G2308" s="7">
        <v>3640820</v>
      </c>
      <c r="H2308" s="7">
        <v>2351</v>
      </c>
      <c r="I2308" s="7">
        <v>236</v>
      </c>
      <c r="J2308" s="7">
        <v>0</v>
      </c>
      <c r="K2308" s="7" t="s">
        <v>18</v>
      </c>
      <c r="L2308" s="8">
        <v>39987.315405092595</v>
      </c>
      <c r="M2308" s="9" t="s">
        <v>19</v>
      </c>
      <c r="N2308" s="9" t="s">
        <v>20</v>
      </c>
      <c r="O2308" s="6" t="str">
        <f>HYPERLINK("https://pbs.twimg.com/profile_images/962471262747529216/Uo8lOkRJ_normal.jpg","View")</f>
        <v>View</v>
      </c>
      <c r="P2308" s="7"/>
    </row>
    <row r="2309" spans="1:16">
      <c r="A2309" s="3">
        <v>43880.900474537033</v>
      </c>
      <c r="B2309" s="4" t="str">
        <f>HYPERLINK("https://twitter.com/petrogustavo","@petrogustavo")</f>
        <v>@petrogustavo</v>
      </c>
      <c r="C2309" s="5" t="s">
        <v>16</v>
      </c>
      <c r="D2309" s="5" t="s">
        <v>2264</v>
      </c>
      <c r="E2309" s="6" t="str">
        <f>HYPERLINK("https://twitter.com/petrogustavo/status/1230161793286361088","1230161793286361088")</f>
        <v>1230161793286361088</v>
      </c>
      <c r="F2309" s="7" t="s">
        <v>17</v>
      </c>
      <c r="G2309" s="7">
        <v>3640820</v>
      </c>
      <c r="H2309" s="7">
        <v>2351</v>
      </c>
      <c r="I2309" s="7">
        <v>1811</v>
      </c>
      <c r="J2309" s="7">
        <v>0</v>
      </c>
      <c r="K2309" s="7" t="s">
        <v>18</v>
      </c>
      <c r="L2309" s="8">
        <v>39987.315405092595</v>
      </c>
      <c r="M2309" s="9" t="s">
        <v>19</v>
      </c>
      <c r="N2309" s="9" t="s">
        <v>20</v>
      </c>
      <c r="O2309" s="6" t="str">
        <f>HYPERLINK("https://pbs.twimg.com/profile_images/962471262747529216/Uo8lOkRJ_normal.jpg","View")</f>
        <v>View</v>
      </c>
      <c r="P2309" s="7"/>
    </row>
    <row r="2310" spans="1:16">
      <c r="A2310" s="3">
        <v>43880.996562500004</v>
      </c>
      <c r="B2310" s="4" t="str">
        <f>HYPERLINK("https://twitter.com/petrogustavo","@petrogustavo")</f>
        <v>@petrogustavo</v>
      </c>
      <c r="C2310" s="5" t="s">
        <v>16</v>
      </c>
      <c r="D2310" s="5" t="s">
        <v>2253</v>
      </c>
      <c r="E2310" s="6" t="str">
        <f>HYPERLINK("https://twitter.com/petrogustavo/status/1230196614251384838","1230196614251384838")</f>
        <v>1230196614251384838</v>
      </c>
      <c r="F2310" s="7" t="s">
        <v>17</v>
      </c>
      <c r="G2310" s="7">
        <v>3640978</v>
      </c>
      <c r="H2310" s="7">
        <v>2351</v>
      </c>
      <c r="I2310" s="7">
        <v>6466</v>
      </c>
      <c r="J2310" s="7">
        <v>0</v>
      </c>
      <c r="K2310" s="7" t="s">
        <v>18</v>
      </c>
      <c r="L2310" s="8">
        <v>39987.315405092595</v>
      </c>
      <c r="M2310" s="9" t="s">
        <v>19</v>
      </c>
      <c r="N2310" s="9" t="s">
        <v>20</v>
      </c>
      <c r="O2310" s="6" t="str">
        <f>HYPERLINK("https://pbs.twimg.com/profile_images/962471262747529216/Uo8lOkRJ_normal.jpg","View")</f>
        <v>View</v>
      </c>
      <c r="P2310" s="7"/>
    </row>
    <row r="2311" spans="1:16">
      <c r="A2311" s="3">
        <v>43881.000775462962</v>
      </c>
      <c r="B2311" s="4" t="str">
        <f>HYPERLINK("https://twitter.com/petrogustavo","@petrogustavo")</f>
        <v>@petrogustavo</v>
      </c>
      <c r="C2311" s="5" t="s">
        <v>16</v>
      </c>
      <c r="D2311" s="5" t="s">
        <v>2265</v>
      </c>
      <c r="E2311" s="6" t="str">
        <f>HYPERLINK("https://twitter.com/petrogustavo/status/1230198140541841410","1230198140541841410")</f>
        <v>1230198140541841410</v>
      </c>
      <c r="F2311" s="7" t="s">
        <v>17</v>
      </c>
      <c r="G2311" s="7">
        <v>3640978</v>
      </c>
      <c r="H2311" s="7">
        <v>2351</v>
      </c>
      <c r="I2311" s="7">
        <v>168</v>
      </c>
      <c r="J2311" s="7">
        <v>373</v>
      </c>
      <c r="K2311" s="7" t="s">
        <v>18</v>
      </c>
      <c r="L2311" s="8">
        <v>39987.315405092595</v>
      </c>
      <c r="M2311" s="9" t="s">
        <v>19</v>
      </c>
      <c r="N2311" s="9" t="s">
        <v>20</v>
      </c>
      <c r="O2311" s="6" t="str">
        <f>HYPERLINK("https://pbs.twimg.com/profile_images/962471262747529216/Uo8lOkRJ_normal.jpg","View")</f>
        <v>View</v>
      </c>
      <c r="P2311" s="7"/>
    </row>
    <row r="2312" spans="1:16">
      <c r="A2312" s="3">
        <v>43881.003958333335</v>
      </c>
      <c r="B2312" s="4" t="str">
        <f>HYPERLINK("https://twitter.com/petrogustavo","@petrogustavo")</f>
        <v>@petrogustavo</v>
      </c>
      <c r="C2312" s="5" t="s">
        <v>16</v>
      </c>
      <c r="D2312" s="5" t="s">
        <v>2266</v>
      </c>
      <c r="E2312" s="6" t="str">
        <f>HYPERLINK("https://twitter.com/petrogustavo/status/1230199293576990720","1230199293576990720")</f>
        <v>1230199293576990720</v>
      </c>
      <c r="F2312" s="7" t="s">
        <v>17</v>
      </c>
      <c r="G2312" s="7">
        <v>3640978</v>
      </c>
      <c r="H2312" s="7">
        <v>2351</v>
      </c>
      <c r="I2312" s="7">
        <v>52</v>
      </c>
      <c r="J2312" s="7">
        <v>98</v>
      </c>
      <c r="K2312" s="7" t="s">
        <v>18</v>
      </c>
      <c r="L2312" s="8">
        <v>39987.315405092595</v>
      </c>
      <c r="M2312" s="9" t="s">
        <v>19</v>
      </c>
      <c r="N2312" s="9" t="s">
        <v>20</v>
      </c>
      <c r="O2312" s="6" t="str">
        <f>HYPERLINK("https://pbs.twimg.com/profile_images/962471262747529216/Uo8lOkRJ_normal.jpg","View")</f>
        <v>View</v>
      </c>
      <c r="P2312" s="7"/>
    </row>
    <row r="2313" spans="1:16">
      <c r="A2313" s="3">
        <v>43881.009317129632</v>
      </c>
      <c r="B2313" s="4" t="str">
        <f>HYPERLINK("https://twitter.com/petrogustavo","@petrogustavo")</f>
        <v>@petrogustavo</v>
      </c>
      <c r="C2313" s="5" t="s">
        <v>16</v>
      </c>
      <c r="D2313" s="5" t="s">
        <v>2267</v>
      </c>
      <c r="E2313" s="6" t="str">
        <f>HYPERLINK("https://twitter.com/petrogustavo/status/1230201234604331010","1230201234604331010")</f>
        <v>1230201234604331010</v>
      </c>
      <c r="F2313" s="7" t="s">
        <v>17</v>
      </c>
      <c r="G2313" s="7">
        <v>3640978</v>
      </c>
      <c r="H2313" s="7">
        <v>2351</v>
      </c>
      <c r="I2313" s="7">
        <v>51</v>
      </c>
      <c r="J2313" s="7">
        <v>107</v>
      </c>
      <c r="K2313" s="7" t="s">
        <v>18</v>
      </c>
      <c r="L2313" s="8">
        <v>39987.315405092595</v>
      </c>
      <c r="M2313" s="9" t="s">
        <v>19</v>
      </c>
      <c r="N2313" s="9" t="s">
        <v>20</v>
      </c>
      <c r="O2313" s="6" t="str">
        <f>HYPERLINK("https://pbs.twimg.com/profile_images/962471262747529216/Uo8lOkRJ_normal.jpg","View")</f>
        <v>View</v>
      </c>
      <c r="P2313" s="7"/>
    </row>
    <row r="2314" spans="1:16">
      <c r="A2314" s="3">
        <v>43881.017060185186</v>
      </c>
      <c r="B2314" s="4" t="str">
        <f>HYPERLINK("https://twitter.com/petrogustavo","@petrogustavo")</f>
        <v>@petrogustavo</v>
      </c>
      <c r="C2314" s="5" t="s">
        <v>16</v>
      </c>
      <c r="D2314" s="5" t="s">
        <v>2268</v>
      </c>
      <c r="E2314" s="6" t="str">
        <f>HYPERLINK("https://twitter.com/petrogustavo/status/1230204043227803649","1230204043227803649")</f>
        <v>1230204043227803649</v>
      </c>
      <c r="F2314" s="7" t="s">
        <v>17</v>
      </c>
      <c r="G2314" s="7">
        <v>3640966</v>
      </c>
      <c r="H2314" s="7">
        <v>2351</v>
      </c>
      <c r="I2314" s="7">
        <v>228</v>
      </c>
      <c r="J2314" s="7">
        <v>796</v>
      </c>
      <c r="K2314" s="7" t="s">
        <v>18</v>
      </c>
      <c r="L2314" s="8">
        <v>39987.315405092595</v>
      </c>
      <c r="M2314" s="9" t="s">
        <v>19</v>
      </c>
      <c r="N2314" s="9" t="s">
        <v>20</v>
      </c>
      <c r="O2314" s="6" t="str">
        <f>HYPERLINK("https://pbs.twimg.com/profile_images/962471262747529216/Uo8lOkRJ_normal.jpg","View")</f>
        <v>View</v>
      </c>
      <c r="P2314" s="7"/>
    </row>
    <row r="2315" spans="1:16">
      <c r="A2315" s="3">
        <v>43881.027604166666</v>
      </c>
      <c r="B2315" s="4" t="str">
        <f>HYPERLINK("https://twitter.com/petrogustavo","@petrogustavo")</f>
        <v>@petrogustavo</v>
      </c>
      <c r="C2315" s="5" t="s">
        <v>16</v>
      </c>
      <c r="D2315" s="5" t="s">
        <v>2253</v>
      </c>
      <c r="E2315" s="6" t="str">
        <f>HYPERLINK("https://twitter.com/petrogustavo/status/1230207861596270592","1230207861596270592")</f>
        <v>1230207861596270592</v>
      </c>
      <c r="F2315" s="7" t="s">
        <v>17</v>
      </c>
      <c r="G2315" s="7">
        <v>3640966</v>
      </c>
      <c r="H2315" s="7">
        <v>2351</v>
      </c>
      <c r="I2315" s="7">
        <v>6566</v>
      </c>
      <c r="J2315" s="7">
        <v>0</v>
      </c>
      <c r="K2315" s="7" t="s">
        <v>18</v>
      </c>
      <c r="L2315" s="8">
        <v>39987.315405092595</v>
      </c>
      <c r="M2315" s="9" t="s">
        <v>19</v>
      </c>
      <c r="N2315" s="9" t="s">
        <v>20</v>
      </c>
      <c r="O2315" s="6" t="str">
        <f>HYPERLINK("https://pbs.twimg.com/profile_images/962471262747529216/Uo8lOkRJ_normal.jpg","View")</f>
        <v>View</v>
      </c>
      <c r="P2315" s="7"/>
    </row>
    <row r="2316" spans="1:16">
      <c r="A2316" s="3">
        <v>43881.21094907407</v>
      </c>
      <c r="B2316" s="4" t="str">
        <f>HYPERLINK("https://twitter.com/petrogustavo","@petrogustavo")</f>
        <v>@petrogustavo</v>
      </c>
      <c r="C2316" s="5" t="s">
        <v>16</v>
      </c>
      <c r="D2316" s="5" t="s">
        <v>2253</v>
      </c>
      <c r="E2316" s="6" t="str">
        <f>HYPERLINK("https://twitter.com/petrogustavo/status/1230274303855415297","1230274303855415297")</f>
        <v>1230274303855415297</v>
      </c>
      <c r="F2316" s="7" t="s">
        <v>17</v>
      </c>
      <c r="G2316" s="7">
        <v>3641220</v>
      </c>
      <c r="H2316" s="7">
        <v>2351</v>
      </c>
      <c r="I2316" s="7">
        <v>7304</v>
      </c>
      <c r="J2316" s="7">
        <v>0</v>
      </c>
      <c r="K2316" s="7" t="s">
        <v>18</v>
      </c>
      <c r="L2316" s="8">
        <v>39987.315405092595</v>
      </c>
      <c r="M2316" s="9" t="s">
        <v>19</v>
      </c>
      <c r="N2316" s="9" t="s">
        <v>20</v>
      </c>
      <c r="O2316" s="6" t="str">
        <f>HYPERLINK("https://pbs.twimg.com/profile_images/962471262747529216/Uo8lOkRJ_normal.jpg","View")</f>
        <v>View</v>
      </c>
      <c r="P2316" s="7"/>
    </row>
    <row r="2317" spans="1:16">
      <c r="A2317" s="3">
        <v>43881.264282407406</v>
      </c>
      <c r="B2317" s="4" t="str">
        <f>HYPERLINK("https://twitter.com/petrogustavo","@petrogustavo")</f>
        <v>@petrogustavo</v>
      </c>
      <c r="C2317" s="5" t="s">
        <v>16</v>
      </c>
      <c r="D2317" s="5" t="s">
        <v>2269</v>
      </c>
      <c r="E2317" s="6" t="str">
        <f>HYPERLINK("https://twitter.com/petrogustavo/status/1230293632571367425","1230293632571367425")</f>
        <v>1230293632571367425</v>
      </c>
      <c r="F2317" s="7" t="s">
        <v>17</v>
      </c>
      <c r="G2317" s="7">
        <v>3641294</v>
      </c>
      <c r="H2317" s="7">
        <v>2351</v>
      </c>
      <c r="I2317" s="7">
        <v>42</v>
      </c>
      <c r="J2317" s="7">
        <v>0</v>
      </c>
      <c r="K2317" s="7" t="s">
        <v>18</v>
      </c>
      <c r="L2317" s="8">
        <v>39987.315405092595</v>
      </c>
      <c r="M2317" s="9" t="s">
        <v>19</v>
      </c>
      <c r="N2317" s="9" t="s">
        <v>20</v>
      </c>
      <c r="O2317" s="6" t="str">
        <f>HYPERLINK("https://pbs.twimg.com/profile_images/962471262747529216/Uo8lOkRJ_normal.jpg","View")</f>
        <v>View</v>
      </c>
      <c r="P2317" s="7"/>
    </row>
    <row r="2318" spans="1:16">
      <c r="A2318" s="3">
        <v>43881.2658912037</v>
      </c>
      <c r="B2318" s="4" t="str">
        <f>HYPERLINK("https://twitter.com/petrogustavo","@petrogustavo")</f>
        <v>@petrogustavo</v>
      </c>
      <c r="C2318" s="5" t="s">
        <v>16</v>
      </c>
      <c r="D2318" s="5" t="s">
        <v>2270</v>
      </c>
      <c r="E2318" s="6" t="str">
        <f>HYPERLINK("https://twitter.com/petrogustavo/status/1230294215030120449","1230294215030120449")</f>
        <v>1230294215030120449</v>
      </c>
      <c r="F2318" s="7" t="s">
        <v>17</v>
      </c>
      <c r="G2318" s="7">
        <v>3641294</v>
      </c>
      <c r="H2318" s="7">
        <v>2351</v>
      </c>
      <c r="I2318" s="7">
        <v>160</v>
      </c>
      <c r="J2318" s="7">
        <v>0</v>
      </c>
      <c r="K2318" s="7" t="s">
        <v>18</v>
      </c>
      <c r="L2318" s="8">
        <v>39987.315405092595</v>
      </c>
      <c r="M2318" s="9" t="s">
        <v>19</v>
      </c>
      <c r="N2318" s="9" t="s">
        <v>20</v>
      </c>
      <c r="O2318" s="6" t="str">
        <f>HYPERLINK("https://pbs.twimg.com/profile_images/962471262747529216/Uo8lOkRJ_normal.jpg","View")</f>
        <v>View</v>
      </c>
      <c r="P2318" s="7"/>
    </row>
    <row r="2319" spans="1:16">
      <c r="A2319" s="3">
        <v>43881.268634259264</v>
      </c>
      <c r="B2319" s="4" t="str">
        <f>HYPERLINK("https://twitter.com/petrogustavo","@petrogustavo")</f>
        <v>@petrogustavo</v>
      </c>
      <c r="C2319" s="5" t="s">
        <v>16</v>
      </c>
      <c r="D2319" s="5" t="s">
        <v>2271</v>
      </c>
      <c r="E2319" s="6" t="str">
        <f>HYPERLINK("https://twitter.com/petrogustavo/status/1230295210690842625","1230295210690842625")</f>
        <v>1230295210690842625</v>
      </c>
      <c r="F2319" s="7" t="s">
        <v>17</v>
      </c>
      <c r="G2319" s="7">
        <v>3641294</v>
      </c>
      <c r="H2319" s="7">
        <v>2351</v>
      </c>
      <c r="I2319" s="7">
        <v>136</v>
      </c>
      <c r="J2319" s="7">
        <v>0</v>
      </c>
      <c r="K2319" s="7" t="s">
        <v>18</v>
      </c>
      <c r="L2319" s="8">
        <v>39987.315405092595</v>
      </c>
      <c r="M2319" s="9" t="s">
        <v>19</v>
      </c>
      <c r="N2319" s="9" t="s">
        <v>20</v>
      </c>
      <c r="O2319" s="6" t="str">
        <f>HYPERLINK("https://pbs.twimg.com/profile_images/962471262747529216/Uo8lOkRJ_normal.jpg","View")</f>
        <v>View</v>
      </c>
      <c r="P2319" s="7"/>
    </row>
    <row r="2320" spans="1:16">
      <c r="A2320" s="3">
        <v>43881.27175925926</v>
      </c>
      <c r="B2320" s="4" t="str">
        <f>HYPERLINK("https://twitter.com/petrogustavo","@petrogustavo")</f>
        <v>@petrogustavo</v>
      </c>
      <c r="C2320" s="5" t="s">
        <v>16</v>
      </c>
      <c r="D2320" s="5" t="s">
        <v>2272</v>
      </c>
      <c r="E2320" s="6" t="str">
        <f>HYPERLINK("https://twitter.com/petrogustavo/status/1230296342750212098","1230296342750212098")</f>
        <v>1230296342750212098</v>
      </c>
      <c r="F2320" s="7" t="s">
        <v>17</v>
      </c>
      <c r="G2320" s="7">
        <v>3641294</v>
      </c>
      <c r="H2320" s="7">
        <v>2351</v>
      </c>
      <c r="I2320" s="7">
        <v>200</v>
      </c>
      <c r="J2320" s="7">
        <v>0</v>
      </c>
      <c r="K2320" s="7" t="s">
        <v>18</v>
      </c>
      <c r="L2320" s="8">
        <v>39987.315405092595</v>
      </c>
      <c r="M2320" s="9" t="s">
        <v>19</v>
      </c>
      <c r="N2320" s="9" t="s">
        <v>20</v>
      </c>
      <c r="O2320" s="6" t="str">
        <f>HYPERLINK("https://pbs.twimg.com/profile_images/962471262747529216/Uo8lOkRJ_normal.jpg","View")</f>
        <v>View</v>
      </c>
      <c r="P2320" s="7"/>
    </row>
    <row r="2321" spans="1:16">
      <c r="A2321" s="3">
        <v>43881.271886574075</v>
      </c>
      <c r="B2321" s="4" t="str">
        <f>HYPERLINK("https://twitter.com/petrogustavo","@petrogustavo")</f>
        <v>@petrogustavo</v>
      </c>
      <c r="C2321" s="5" t="s">
        <v>16</v>
      </c>
      <c r="D2321" s="5" t="s">
        <v>2273</v>
      </c>
      <c r="E2321" s="6" t="str">
        <f>HYPERLINK("https://twitter.com/petrogustavo/status/1230296387092389890","1230296387092389890")</f>
        <v>1230296387092389890</v>
      </c>
      <c r="F2321" s="7" t="s">
        <v>17</v>
      </c>
      <c r="G2321" s="7">
        <v>3641294</v>
      </c>
      <c r="H2321" s="7">
        <v>2351</v>
      </c>
      <c r="I2321" s="7">
        <v>46</v>
      </c>
      <c r="J2321" s="7">
        <v>0</v>
      </c>
      <c r="K2321" s="7" t="s">
        <v>18</v>
      </c>
      <c r="L2321" s="8">
        <v>39987.315405092595</v>
      </c>
      <c r="M2321" s="9" t="s">
        <v>19</v>
      </c>
      <c r="N2321" s="9" t="s">
        <v>20</v>
      </c>
      <c r="O2321" s="6" t="str">
        <f>HYPERLINK("https://pbs.twimg.com/profile_images/962471262747529216/Uo8lOkRJ_normal.jpg","View")</f>
        <v>View</v>
      </c>
      <c r="P2321" s="7"/>
    </row>
    <row r="2322" spans="1:16">
      <c r="A2322" s="3">
        <v>43881.274594907409</v>
      </c>
      <c r="B2322" s="4" t="str">
        <f>HYPERLINK("https://twitter.com/petrogustavo","@petrogustavo")</f>
        <v>@petrogustavo</v>
      </c>
      <c r="C2322" s="5" t="s">
        <v>16</v>
      </c>
      <c r="D2322" s="5" t="s">
        <v>2274</v>
      </c>
      <c r="E2322" s="6" t="str">
        <f>HYPERLINK("https://twitter.com/petrogustavo/status/1230297368261734400","1230297368261734400")</f>
        <v>1230297368261734400</v>
      </c>
      <c r="F2322" s="7" t="s">
        <v>17</v>
      </c>
      <c r="G2322" s="7">
        <v>3641294</v>
      </c>
      <c r="H2322" s="7">
        <v>2351</v>
      </c>
      <c r="I2322" s="7">
        <v>450</v>
      </c>
      <c r="J2322" s="7">
        <v>0</v>
      </c>
      <c r="K2322" s="7" t="s">
        <v>18</v>
      </c>
      <c r="L2322" s="8">
        <v>39987.315405092595</v>
      </c>
      <c r="M2322" s="9" t="s">
        <v>19</v>
      </c>
      <c r="N2322" s="9" t="s">
        <v>20</v>
      </c>
      <c r="O2322" s="6" t="str">
        <f>HYPERLINK("https://pbs.twimg.com/profile_images/962471262747529216/Uo8lOkRJ_normal.jpg","View")</f>
        <v>View</v>
      </c>
      <c r="P2322" s="7"/>
    </row>
    <row r="2323" spans="1:16">
      <c r="A2323" s="3">
        <v>43881.279085648144</v>
      </c>
      <c r="B2323" s="4" t="str">
        <f>HYPERLINK("https://twitter.com/petrogustavo","@petrogustavo")</f>
        <v>@petrogustavo</v>
      </c>
      <c r="C2323" s="5" t="s">
        <v>16</v>
      </c>
      <c r="D2323" s="5" t="s">
        <v>2275</v>
      </c>
      <c r="E2323" s="6" t="str">
        <f>HYPERLINK("https://twitter.com/petrogustavo/status/1230298997585317889","1230298997585317889")</f>
        <v>1230298997585317889</v>
      </c>
      <c r="F2323" s="7" t="s">
        <v>17</v>
      </c>
      <c r="G2323" s="7">
        <v>3641294</v>
      </c>
      <c r="H2323" s="7">
        <v>2351</v>
      </c>
      <c r="I2323" s="7">
        <v>18</v>
      </c>
      <c r="J2323" s="7">
        <v>45</v>
      </c>
      <c r="K2323" s="7" t="s">
        <v>18</v>
      </c>
      <c r="L2323" s="8">
        <v>39987.315405092595</v>
      </c>
      <c r="M2323" s="9" t="s">
        <v>19</v>
      </c>
      <c r="N2323" s="9" t="s">
        <v>20</v>
      </c>
      <c r="O2323" s="6" t="str">
        <f>HYPERLINK("https://pbs.twimg.com/profile_images/962471262747529216/Uo8lOkRJ_normal.jpg","View")</f>
        <v>View</v>
      </c>
      <c r="P2323" s="7"/>
    </row>
    <row r="2324" spans="1:16">
      <c r="A2324" s="3">
        <v>43881.29896990741</v>
      </c>
      <c r="B2324" s="4" t="str">
        <f>HYPERLINK("https://twitter.com/petrogustavo","@petrogustavo")</f>
        <v>@petrogustavo</v>
      </c>
      <c r="C2324" s="5" t="s">
        <v>16</v>
      </c>
      <c r="D2324" s="5" t="s">
        <v>2276</v>
      </c>
      <c r="E2324" s="6" t="str">
        <f>HYPERLINK("https://twitter.com/petrogustavo/status/1230306203080830977","1230306203080830977")</f>
        <v>1230306203080830977</v>
      </c>
      <c r="F2324" s="7" t="s">
        <v>17</v>
      </c>
      <c r="G2324" s="7">
        <v>3641316</v>
      </c>
      <c r="H2324" s="7">
        <v>2351</v>
      </c>
      <c r="I2324" s="7">
        <v>54</v>
      </c>
      <c r="J2324" s="7">
        <v>202</v>
      </c>
      <c r="K2324" s="7" t="s">
        <v>18</v>
      </c>
      <c r="L2324" s="8">
        <v>39987.315405092595</v>
      </c>
      <c r="M2324" s="9" t="s">
        <v>19</v>
      </c>
      <c r="N2324" s="9" t="s">
        <v>20</v>
      </c>
      <c r="O2324" s="6" t="str">
        <f>HYPERLINK("https://pbs.twimg.com/profile_images/962471262747529216/Uo8lOkRJ_normal.jpg","View")</f>
        <v>View</v>
      </c>
      <c r="P2324" s="7"/>
    </row>
    <row r="2325" spans="1:16">
      <c r="A2325" s="3">
        <v>43881.29896990741</v>
      </c>
      <c r="B2325" s="4" t="str">
        <f>HYPERLINK("https://twitter.com/petrogustavo","@petrogustavo")</f>
        <v>@petrogustavo</v>
      </c>
      <c r="C2325" s="5" t="s">
        <v>16</v>
      </c>
      <c r="D2325" s="5" t="s">
        <v>2277</v>
      </c>
      <c r="E2325" s="6" t="str">
        <f>HYPERLINK("https://twitter.com/petrogustavo/status/1230306204171329538","1230306204171329538")</f>
        <v>1230306204171329538</v>
      </c>
      <c r="F2325" s="7" t="s">
        <v>17</v>
      </c>
      <c r="G2325" s="7">
        <v>3641316</v>
      </c>
      <c r="H2325" s="7">
        <v>2351</v>
      </c>
      <c r="I2325" s="7">
        <v>37</v>
      </c>
      <c r="J2325" s="7">
        <v>139</v>
      </c>
      <c r="K2325" s="7" t="s">
        <v>18</v>
      </c>
      <c r="L2325" s="8">
        <v>39987.315405092595</v>
      </c>
      <c r="M2325" s="9" t="s">
        <v>19</v>
      </c>
      <c r="N2325" s="9" t="s">
        <v>20</v>
      </c>
      <c r="O2325" s="6" t="str">
        <f>HYPERLINK("https://pbs.twimg.com/profile_images/962471262747529216/Uo8lOkRJ_normal.jpg","View")</f>
        <v>View</v>
      </c>
      <c r="P2325" s="7"/>
    </row>
    <row r="2326" spans="1:16">
      <c r="A2326" s="3">
        <v>43881.300775462965</v>
      </c>
      <c r="B2326" s="4" t="str">
        <f>HYPERLINK("https://twitter.com/petrogustavo","@petrogustavo")</f>
        <v>@petrogustavo</v>
      </c>
      <c r="C2326" s="5" t="s">
        <v>16</v>
      </c>
      <c r="D2326" s="5" t="s">
        <v>2253</v>
      </c>
      <c r="E2326" s="6" t="str">
        <f>HYPERLINK("https://twitter.com/petrogustavo/status/1230306856637259776","1230306856637259776")</f>
        <v>1230306856637259776</v>
      </c>
      <c r="F2326" s="7" t="s">
        <v>17</v>
      </c>
      <c r="G2326" s="7">
        <v>3641316</v>
      </c>
      <c r="H2326" s="7">
        <v>2351</v>
      </c>
      <c r="I2326" s="7">
        <v>7577</v>
      </c>
      <c r="J2326" s="7">
        <v>0</v>
      </c>
      <c r="K2326" s="7" t="s">
        <v>18</v>
      </c>
      <c r="L2326" s="8">
        <v>39987.315405092595</v>
      </c>
      <c r="M2326" s="9" t="s">
        <v>19</v>
      </c>
      <c r="N2326" s="9" t="s">
        <v>20</v>
      </c>
      <c r="O2326" s="6" t="str">
        <f>HYPERLINK("https://pbs.twimg.com/profile_images/962471262747529216/Uo8lOkRJ_normal.jpg","View")</f>
        <v>View</v>
      </c>
      <c r="P2326" s="7"/>
    </row>
    <row r="2327" spans="1:16">
      <c r="A2327" s="3">
        <v>43881.331099537041</v>
      </c>
      <c r="B2327" s="4" t="str">
        <f>HYPERLINK("https://twitter.com/petrogustavo","@petrogustavo")</f>
        <v>@petrogustavo</v>
      </c>
      <c r="C2327" s="5" t="s">
        <v>16</v>
      </c>
      <c r="D2327" s="5" t="s">
        <v>2278</v>
      </c>
      <c r="E2327" s="6" t="str">
        <f>HYPERLINK("https://twitter.com/petrogustavo/status/1230317847131414529","1230317847131414529")</f>
        <v>1230317847131414529</v>
      </c>
      <c r="F2327" s="7" t="s">
        <v>17</v>
      </c>
      <c r="G2327" s="7">
        <v>3641383</v>
      </c>
      <c r="H2327" s="7">
        <v>2351</v>
      </c>
      <c r="I2327" s="7">
        <v>72</v>
      </c>
      <c r="J2327" s="7">
        <v>0</v>
      </c>
      <c r="K2327" s="7" t="s">
        <v>18</v>
      </c>
      <c r="L2327" s="8">
        <v>39987.315405092595</v>
      </c>
      <c r="M2327" s="9" t="s">
        <v>19</v>
      </c>
      <c r="N2327" s="9" t="s">
        <v>20</v>
      </c>
      <c r="O2327" s="6" t="str">
        <f>HYPERLINK("https://pbs.twimg.com/profile_images/962471262747529216/Uo8lOkRJ_normal.jpg","View")</f>
        <v>View</v>
      </c>
      <c r="P2327" s="7"/>
    </row>
    <row r="2328" spans="1:16">
      <c r="A2328" s="3">
        <v>43881.331412037034</v>
      </c>
      <c r="B2328" s="4" t="str">
        <f>HYPERLINK("https://twitter.com/petrogustavo","@petrogustavo")</f>
        <v>@petrogustavo</v>
      </c>
      <c r="C2328" s="5" t="s">
        <v>16</v>
      </c>
      <c r="D2328" s="5" t="s">
        <v>2279</v>
      </c>
      <c r="E2328" s="6" t="str">
        <f>HYPERLINK("https://twitter.com/petrogustavo/status/1230317961279348736","1230317961279348736")</f>
        <v>1230317961279348736</v>
      </c>
      <c r="F2328" s="7" t="s">
        <v>17</v>
      </c>
      <c r="G2328" s="7">
        <v>3641383</v>
      </c>
      <c r="H2328" s="7">
        <v>2351</v>
      </c>
      <c r="I2328" s="7">
        <v>80</v>
      </c>
      <c r="J2328" s="7">
        <v>0</v>
      </c>
      <c r="K2328" s="7" t="s">
        <v>18</v>
      </c>
      <c r="L2328" s="8">
        <v>39987.315405092595</v>
      </c>
      <c r="M2328" s="9" t="s">
        <v>19</v>
      </c>
      <c r="N2328" s="9" t="s">
        <v>20</v>
      </c>
      <c r="O2328" s="6" t="str">
        <f>HYPERLINK("https://pbs.twimg.com/profile_images/962471262747529216/Uo8lOkRJ_normal.jpg","View")</f>
        <v>View</v>
      </c>
      <c r="P2328" s="7"/>
    </row>
    <row r="2329" spans="1:16">
      <c r="A2329" s="3">
        <v>43881.331956018519</v>
      </c>
      <c r="B2329" s="4" t="str">
        <f>HYPERLINK("https://twitter.com/petrogustavo","@petrogustavo")</f>
        <v>@petrogustavo</v>
      </c>
      <c r="C2329" s="5" t="s">
        <v>16</v>
      </c>
      <c r="D2329" s="5" t="s">
        <v>2280</v>
      </c>
      <c r="E2329" s="6" t="str">
        <f>HYPERLINK("https://twitter.com/petrogustavo/status/1230318157149196288","1230318157149196288")</f>
        <v>1230318157149196288</v>
      </c>
      <c r="F2329" s="7" t="s">
        <v>17</v>
      </c>
      <c r="G2329" s="7">
        <v>3641383</v>
      </c>
      <c r="H2329" s="7">
        <v>2351</v>
      </c>
      <c r="I2329" s="7">
        <v>55</v>
      </c>
      <c r="J2329" s="7">
        <v>0</v>
      </c>
      <c r="K2329" s="7" t="s">
        <v>18</v>
      </c>
      <c r="L2329" s="8">
        <v>39987.315405092595</v>
      </c>
      <c r="M2329" s="9" t="s">
        <v>19</v>
      </c>
      <c r="N2329" s="9" t="s">
        <v>20</v>
      </c>
      <c r="O2329" s="6" t="str">
        <f>HYPERLINK("https://pbs.twimg.com/profile_images/962471262747529216/Uo8lOkRJ_normal.jpg","View")</f>
        <v>View</v>
      </c>
      <c r="P2329" s="7"/>
    </row>
    <row r="2330" spans="1:16">
      <c r="A2330" s="3">
        <v>43881.334039351852</v>
      </c>
      <c r="B2330" s="4" t="str">
        <f>HYPERLINK("https://twitter.com/petrogustavo","@petrogustavo")</f>
        <v>@petrogustavo</v>
      </c>
      <c r="C2330" s="5" t="s">
        <v>16</v>
      </c>
      <c r="D2330" s="5" t="s">
        <v>2281</v>
      </c>
      <c r="E2330" s="6" t="str">
        <f>HYPERLINK("https://twitter.com/petrogustavo/status/1230318913323520001","1230318913323520001")</f>
        <v>1230318913323520001</v>
      </c>
      <c r="F2330" s="7" t="s">
        <v>17</v>
      </c>
      <c r="G2330" s="7">
        <v>3641383</v>
      </c>
      <c r="H2330" s="7">
        <v>2351</v>
      </c>
      <c r="I2330" s="7">
        <v>55</v>
      </c>
      <c r="J2330" s="7">
        <v>0</v>
      </c>
      <c r="K2330" s="7" t="s">
        <v>18</v>
      </c>
      <c r="L2330" s="8">
        <v>39987.315405092595</v>
      </c>
      <c r="M2330" s="9" t="s">
        <v>19</v>
      </c>
      <c r="N2330" s="9" t="s">
        <v>20</v>
      </c>
      <c r="O2330" s="6" t="str">
        <f>HYPERLINK("https://pbs.twimg.com/profile_images/962471262747529216/Uo8lOkRJ_normal.jpg","View")</f>
        <v>View</v>
      </c>
      <c r="P2330" s="7"/>
    </row>
    <row r="2331" spans="1:16">
      <c r="A2331" s="3">
        <v>43881.342986111107</v>
      </c>
      <c r="B2331" s="4" t="str">
        <f>HYPERLINK("https://twitter.com/petrogustavo","@petrogustavo")</f>
        <v>@petrogustavo</v>
      </c>
      <c r="C2331" s="5" t="s">
        <v>16</v>
      </c>
      <c r="D2331" s="5" t="s">
        <v>2253</v>
      </c>
      <c r="E2331" s="6" t="str">
        <f>HYPERLINK("https://twitter.com/petrogustavo/status/1230322154941681665","1230322154941681665")</f>
        <v>1230322154941681665</v>
      </c>
      <c r="F2331" s="7" t="s">
        <v>17</v>
      </c>
      <c r="G2331" s="7">
        <v>3641383</v>
      </c>
      <c r="H2331" s="7">
        <v>2351</v>
      </c>
      <c r="I2331" s="7">
        <v>7708</v>
      </c>
      <c r="J2331" s="7">
        <v>0</v>
      </c>
      <c r="K2331" s="7" t="s">
        <v>18</v>
      </c>
      <c r="L2331" s="8">
        <v>39987.315405092595</v>
      </c>
      <c r="M2331" s="9" t="s">
        <v>19</v>
      </c>
      <c r="N2331" s="9" t="s">
        <v>20</v>
      </c>
      <c r="O2331" s="6" t="str">
        <f>HYPERLINK("https://pbs.twimg.com/profile_images/962471262747529216/Uo8lOkRJ_normal.jpg","View")</f>
        <v>View</v>
      </c>
      <c r="P2331" s="7"/>
    </row>
    <row r="2332" spans="1:16">
      <c r="A2332" s="3">
        <v>43881.83829861111</v>
      </c>
      <c r="B2332" s="4" t="str">
        <f>HYPERLINK("https://twitter.com/petrogustavo","@petrogustavo")</f>
        <v>@petrogustavo</v>
      </c>
      <c r="C2332" s="5" t="s">
        <v>16</v>
      </c>
      <c r="D2332" s="5" t="s">
        <v>2282</v>
      </c>
      <c r="E2332" s="6" t="str">
        <f>HYPERLINK("https://twitter.com/petrogustavo/status/1230501649980018688","1230501649980018688")</f>
        <v>1230501649980018688</v>
      </c>
      <c r="F2332" s="7" t="s">
        <v>17</v>
      </c>
      <c r="G2332" s="7">
        <v>3641795</v>
      </c>
      <c r="H2332" s="7">
        <v>2351</v>
      </c>
      <c r="I2332" s="7">
        <v>984</v>
      </c>
      <c r="J2332" s="7">
        <v>0</v>
      </c>
      <c r="K2332" s="7" t="s">
        <v>18</v>
      </c>
      <c r="L2332" s="8">
        <v>39987.315405092595</v>
      </c>
      <c r="M2332" s="9" t="s">
        <v>19</v>
      </c>
      <c r="N2332" s="9" t="s">
        <v>20</v>
      </c>
      <c r="O2332" s="6" t="str">
        <f>HYPERLINK("https://pbs.twimg.com/profile_images/962471262747529216/Uo8lOkRJ_normal.jpg","View")</f>
        <v>View</v>
      </c>
      <c r="P2332" s="7"/>
    </row>
    <row r="2333" spans="1:16">
      <c r="A2333" s="3">
        <v>43881.83829861111</v>
      </c>
      <c r="B2333" s="4" t="str">
        <f>HYPERLINK("https://twitter.com/petrogustavo","@petrogustavo")</f>
        <v>@petrogustavo</v>
      </c>
      <c r="C2333" s="5" t="s">
        <v>16</v>
      </c>
      <c r="D2333" s="5" t="s">
        <v>2283</v>
      </c>
      <c r="E2333" s="6" t="str">
        <f>HYPERLINK("https://twitter.com/petrogustavo/status/1230501649988358145","1230501649988358145")</f>
        <v>1230501649988358145</v>
      </c>
      <c r="F2333" s="7" t="s">
        <v>17</v>
      </c>
      <c r="G2333" s="7">
        <v>3641795</v>
      </c>
      <c r="H2333" s="7">
        <v>2351</v>
      </c>
      <c r="I2333" s="7">
        <v>12</v>
      </c>
      <c r="J2333" s="7">
        <v>0</v>
      </c>
      <c r="K2333" s="7" t="s">
        <v>18</v>
      </c>
      <c r="L2333" s="8">
        <v>39987.315405092595</v>
      </c>
      <c r="M2333" s="9" t="s">
        <v>19</v>
      </c>
      <c r="N2333" s="9" t="s">
        <v>20</v>
      </c>
      <c r="O2333" s="6" t="str">
        <f>HYPERLINK("https://pbs.twimg.com/profile_images/962471262747529216/Uo8lOkRJ_normal.jpg","View")</f>
        <v>View</v>
      </c>
      <c r="P2333" s="7"/>
    </row>
    <row r="2334" spans="1:16">
      <c r="A2334" s="3">
        <v>43881.843657407408</v>
      </c>
      <c r="B2334" s="4" t="str">
        <f>HYPERLINK("https://twitter.com/petrogustavo","@petrogustavo")</f>
        <v>@petrogustavo</v>
      </c>
      <c r="C2334" s="5" t="s">
        <v>16</v>
      </c>
      <c r="D2334" s="5" t="s">
        <v>2284</v>
      </c>
      <c r="E2334" s="6" t="str">
        <f>HYPERLINK("https://twitter.com/petrogustavo/status/1230503590625714178","1230503590625714178")</f>
        <v>1230503590625714178</v>
      </c>
      <c r="F2334" s="7" t="s">
        <v>17</v>
      </c>
      <c r="G2334" s="7">
        <v>3641795</v>
      </c>
      <c r="H2334" s="7">
        <v>2351</v>
      </c>
      <c r="I2334" s="7">
        <v>29</v>
      </c>
      <c r="J2334" s="7">
        <v>47</v>
      </c>
      <c r="K2334" s="7" t="s">
        <v>18</v>
      </c>
      <c r="L2334" s="8">
        <v>39987.315405092595</v>
      </c>
      <c r="M2334" s="9" t="s">
        <v>19</v>
      </c>
      <c r="N2334" s="9" t="s">
        <v>20</v>
      </c>
      <c r="O2334" s="6" t="str">
        <f>HYPERLINK("https://pbs.twimg.com/profile_images/962471262747529216/Uo8lOkRJ_normal.jpg","View")</f>
        <v>View</v>
      </c>
      <c r="P2334" s="7"/>
    </row>
    <row r="2335" spans="1:16">
      <c r="A2335" s="3">
        <v>43881.845625000002</v>
      </c>
      <c r="B2335" s="4" t="str">
        <f>HYPERLINK("https://twitter.com/petrogustavo","@petrogustavo")</f>
        <v>@petrogustavo</v>
      </c>
      <c r="C2335" s="5" t="s">
        <v>16</v>
      </c>
      <c r="D2335" s="5" t="s">
        <v>2285</v>
      </c>
      <c r="E2335" s="6" t="str">
        <f>HYPERLINK("https://twitter.com/petrogustavo/status/1230504305641295873","1230504305641295873")</f>
        <v>1230504305641295873</v>
      </c>
      <c r="F2335" s="7" t="s">
        <v>17</v>
      </c>
      <c r="G2335" s="7">
        <v>3641825</v>
      </c>
      <c r="H2335" s="7">
        <v>2351</v>
      </c>
      <c r="I2335" s="7">
        <v>94</v>
      </c>
      <c r="J2335" s="7">
        <v>313</v>
      </c>
      <c r="K2335" s="7" t="s">
        <v>18</v>
      </c>
      <c r="L2335" s="8">
        <v>39987.315405092595</v>
      </c>
      <c r="M2335" s="9" t="s">
        <v>19</v>
      </c>
      <c r="N2335" s="9" t="s">
        <v>20</v>
      </c>
      <c r="O2335" s="6" t="str">
        <f>HYPERLINK("https://pbs.twimg.com/profile_images/962471262747529216/Uo8lOkRJ_normal.jpg","View")</f>
        <v>View</v>
      </c>
      <c r="P2335" s="7"/>
    </row>
    <row r="2336" spans="1:16">
      <c r="A2336" s="3">
        <v>43881.846562499995</v>
      </c>
      <c r="B2336" s="4" t="str">
        <f>HYPERLINK("https://twitter.com/petrogustavo","@petrogustavo")</f>
        <v>@petrogustavo</v>
      </c>
      <c r="C2336" s="5" t="s">
        <v>16</v>
      </c>
      <c r="D2336" s="5" t="s">
        <v>2286</v>
      </c>
      <c r="E2336" s="6" t="str">
        <f>HYPERLINK("https://twitter.com/petrogustavo/status/1230504645220536321","1230504645220536321")</f>
        <v>1230504645220536321</v>
      </c>
      <c r="F2336" s="7" t="s">
        <v>17</v>
      </c>
      <c r="G2336" s="7">
        <v>3641825</v>
      </c>
      <c r="H2336" s="7">
        <v>2351</v>
      </c>
      <c r="I2336" s="7">
        <v>69</v>
      </c>
      <c r="J2336" s="7">
        <v>153</v>
      </c>
      <c r="K2336" s="7" t="s">
        <v>18</v>
      </c>
      <c r="L2336" s="8">
        <v>39987.315405092595</v>
      </c>
      <c r="M2336" s="9" t="s">
        <v>19</v>
      </c>
      <c r="N2336" s="9" t="s">
        <v>20</v>
      </c>
      <c r="O2336" s="6" t="str">
        <f>HYPERLINK("https://pbs.twimg.com/profile_images/962471262747529216/Uo8lOkRJ_normal.jpg","View")</f>
        <v>View</v>
      </c>
      <c r="P2336" s="7"/>
    </row>
    <row r="2337" spans="1:16">
      <c r="A2337" s="3">
        <v>43881.846909722226</v>
      </c>
      <c r="B2337" s="4" t="str">
        <f>HYPERLINK("https://twitter.com/petrogustavo","@petrogustavo")</f>
        <v>@petrogustavo</v>
      </c>
      <c r="C2337" s="5" t="s">
        <v>16</v>
      </c>
      <c r="D2337" s="5" t="s">
        <v>2287</v>
      </c>
      <c r="E2337" s="6" t="str">
        <f>HYPERLINK("https://twitter.com/petrogustavo/status/1230504771028758529","1230504771028758529")</f>
        <v>1230504771028758529</v>
      </c>
      <c r="F2337" s="7" t="s">
        <v>17</v>
      </c>
      <c r="G2337" s="7">
        <v>3641825</v>
      </c>
      <c r="H2337" s="7">
        <v>2351</v>
      </c>
      <c r="I2337" s="7">
        <v>156</v>
      </c>
      <c r="J2337" s="7">
        <v>0</v>
      </c>
      <c r="K2337" s="7" t="s">
        <v>18</v>
      </c>
      <c r="L2337" s="8">
        <v>39987.315405092595</v>
      </c>
      <c r="M2337" s="9" t="s">
        <v>19</v>
      </c>
      <c r="N2337" s="9" t="s">
        <v>20</v>
      </c>
      <c r="O2337" s="6" t="str">
        <f>HYPERLINK("https://pbs.twimg.com/profile_images/962471262747529216/Uo8lOkRJ_normal.jpg","View")</f>
        <v>View</v>
      </c>
      <c r="P2337" s="7"/>
    </row>
    <row r="2338" spans="1:16">
      <c r="A2338" s="3">
        <v>43881.850358796291</v>
      </c>
      <c r="B2338" s="4" t="str">
        <f>HYPERLINK("https://twitter.com/petrogustavo","@petrogustavo")</f>
        <v>@petrogustavo</v>
      </c>
      <c r="C2338" s="5" t="s">
        <v>16</v>
      </c>
      <c r="D2338" s="5" t="s">
        <v>2288</v>
      </c>
      <c r="E2338" s="6" t="str">
        <f>HYPERLINK("https://twitter.com/petrogustavo/status/1230506019329015808","1230506019329015808")</f>
        <v>1230506019329015808</v>
      </c>
      <c r="F2338" s="7" t="s">
        <v>17</v>
      </c>
      <c r="G2338" s="7">
        <v>3641825</v>
      </c>
      <c r="H2338" s="7">
        <v>2351</v>
      </c>
      <c r="I2338" s="7">
        <v>2504</v>
      </c>
      <c r="J2338" s="7">
        <v>0</v>
      </c>
      <c r="K2338" s="7" t="s">
        <v>18</v>
      </c>
      <c r="L2338" s="8">
        <v>39987.315405092595</v>
      </c>
      <c r="M2338" s="9" t="s">
        <v>19</v>
      </c>
      <c r="N2338" s="9" t="s">
        <v>20</v>
      </c>
      <c r="O2338" s="6" t="str">
        <f>HYPERLINK("https://pbs.twimg.com/profile_images/962471262747529216/Uo8lOkRJ_normal.jpg","View")</f>
        <v>View</v>
      </c>
      <c r="P2338" s="7"/>
    </row>
    <row r="2339" spans="1:16">
      <c r="A2339" s="3">
        <v>43881.851898148147</v>
      </c>
      <c r="B2339" s="4" t="str">
        <f>HYPERLINK("https://twitter.com/petrogustavo","@petrogustavo")</f>
        <v>@petrogustavo</v>
      </c>
      <c r="C2339" s="5" t="s">
        <v>16</v>
      </c>
      <c r="D2339" s="5" t="s">
        <v>2289</v>
      </c>
      <c r="E2339" s="6" t="str">
        <f>HYPERLINK("https://twitter.com/petrogustavo/status/1230506578887020550","1230506578887020550")</f>
        <v>1230506578887020550</v>
      </c>
      <c r="F2339" s="7" t="s">
        <v>17</v>
      </c>
      <c r="G2339" s="7">
        <v>3641825</v>
      </c>
      <c r="H2339" s="7">
        <v>2351</v>
      </c>
      <c r="I2339" s="7">
        <v>78</v>
      </c>
      <c r="J2339" s="7">
        <v>264</v>
      </c>
      <c r="K2339" s="7" t="s">
        <v>18</v>
      </c>
      <c r="L2339" s="8">
        <v>39987.315405092595</v>
      </c>
      <c r="M2339" s="9" t="s">
        <v>19</v>
      </c>
      <c r="N2339" s="9" t="s">
        <v>20</v>
      </c>
      <c r="O2339" s="6" t="str">
        <f>HYPERLINK("https://pbs.twimg.com/profile_images/962471262747529216/Uo8lOkRJ_normal.jpg","View")</f>
        <v>View</v>
      </c>
      <c r="P2339" s="7"/>
    </row>
    <row r="2340" spans="1:16">
      <c r="A2340" s="3">
        <v>43881.853368055556</v>
      </c>
      <c r="B2340" s="4" t="str">
        <f>HYPERLINK("https://twitter.com/petrogustavo","@petrogustavo")</f>
        <v>@petrogustavo</v>
      </c>
      <c r="C2340" s="5" t="s">
        <v>16</v>
      </c>
      <c r="D2340" s="5" t="s">
        <v>2290</v>
      </c>
      <c r="E2340" s="6" t="str">
        <f>HYPERLINK("https://twitter.com/petrogustavo/status/1230507109395181569","1230507109395181569")</f>
        <v>1230507109395181569</v>
      </c>
      <c r="F2340" s="7" t="s">
        <v>17</v>
      </c>
      <c r="G2340" s="7">
        <v>3641825</v>
      </c>
      <c r="H2340" s="7">
        <v>2351</v>
      </c>
      <c r="I2340" s="7">
        <v>19</v>
      </c>
      <c r="J2340" s="7">
        <v>68</v>
      </c>
      <c r="K2340" s="7" t="s">
        <v>18</v>
      </c>
      <c r="L2340" s="8">
        <v>39987.315405092595</v>
      </c>
      <c r="M2340" s="9" t="s">
        <v>19</v>
      </c>
      <c r="N2340" s="9" t="s">
        <v>20</v>
      </c>
      <c r="O2340" s="6" t="str">
        <f>HYPERLINK("https://pbs.twimg.com/profile_images/962471262747529216/Uo8lOkRJ_normal.jpg","View")</f>
        <v>View</v>
      </c>
      <c r="P2340" s="7"/>
    </row>
    <row r="2341" spans="1:16">
      <c r="A2341" s="3">
        <v>43881.855682870373</v>
      </c>
      <c r="B2341" s="4" t="str">
        <f>HYPERLINK("https://twitter.com/petrogustavo","@petrogustavo")</f>
        <v>@petrogustavo</v>
      </c>
      <c r="C2341" s="5" t="s">
        <v>16</v>
      </c>
      <c r="D2341" s="5" t="s">
        <v>2291</v>
      </c>
      <c r="E2341" s="6" t="str">
        <f>HYPERLINK("https://twitter.com/petrogustavo/status/1230507951191973888","1230507951191973888")</f>
        <v>1230507951191973888</v>
      </c>
      <c r="F2341" s="7" t="s">
        <v>17</v>
      </c>
      <c r="G2341" s="7">
        <v>3641825</v>
      </c>
      <c r="H2341" s="7">
        <v>2351</v>
      </c>
      <c r="I2341" s="7">
        <v>30</v>
      </c>
      <c r="J2341" s="7">
        <v>126</v>
      </c>
      <c r="K2341" s="7" t="s">
        <v>18</v>
      </c>
      <c r="L2341" s="8">
        <v>39987.315405092595</v>
      </c>
      <c r="M2341" s="9" t="s">
        <v>19</v>
      </c>
      <c r="N2341" s="9" t="s">
        <v>20</v>
      </c>
      <c r="O2341" s="6" t="str">
        <f>HYPERLINK("https://pbs.twimg.com/profile_images/962471262747529216/Uo8lOkRJ_normal.jpg","View")</f>
        <v>View</v>
      </c>
      <c r="P2341" s="7"/>
    </row>
    <row r="2342" spans="1:16">
      <c r="A2342" s="3">
        <v>43881.861944444448</v>
      </c>
      <c r="B2342" s="4" t="str">
        <f>HYPERLINK("https://twitter.com/petrogustavo","@petrogustavo")</f>
        <v>@petrogustavo</v>
      </c>
      <c r="C2342" s="5" t="s">
        <v>16</v>
      </c>
      <c r="D2342" s="5" t="s">
        <v>2292</v>
      </c>
      <c r="E2342" s="6" t="str">
        <f>HYPERLINK("https://twitter.com/petrogustavo/status/1230510216359354369","1230510216359354369")</f>
        <v>1230510216359354369</v>
      </c>
      <c r="F2342" s="7" t="s">
        <v>17</v>
      </c>
      <c r="G2342" s="7">
        <v>3641825</v>
      </c>
      <c r="H2342" s="7">
        <v>2351</v>
      </c>
      <c r="I2342" s="7">
        <v>42</v>
      </c>
      <c r="J2342" s="7">
        <v>127</v>
      </c>
      <c r="K2342" s="7" t="s">
        <v>18</v>
      </c>
      <c r="L2342" s="8">
        <v>39987.315405092595</v>
      </c>
      <c r="M2342" s="9" t="s">
        <v>19</v>
      </c>
      <c r="N2342" s="9" t="s">
        <v>20</v>
      </c>
      <c r="O2342" s="6" t="str">
        <f>HYPERLINK("https://pbs.twimg.com/profile_images/962471262747529216/Uo8lOkRJ_normal.jpg","View")</f>
        <v>View</v>
      </c>
      <c r="P2342" s="7"/>
    </row>
    <row r="2343" spans="1:16">
      <c r="A2343" s="3">
        <v>43881.866226851853</v>
      </c>
      <c r="B2343" s="4" t="str">
        <f>HYPERLINK("https://twitter.com/petrogustavo","@petrogustavo")</f>
        <v>@petrogustavo</v>
      </c>
      <c r="C2343" s="5" t="s">
        <v>16</v>
      </c>
      <c r="D2343" s="5" t="s">
        <v>2293</v>
      </c>
      <c r="E2343" s="6" t="str">
        <f>HYPERLINK("https://twitter.com/petrogustavo/status/1230511768675536896","1230511768675536896")</f>
        <v>1230511768675536896</v>
      </c>
      <c r="F2343" s="7" t="s">
        <v>17</v>
      </c>
      <c r="G2343" s="7">
        <v>3641833</v>
      </c>
      <c r="H2343" s="7">
        <v>2351</v>
      </c>
      <c r="I2343" s="7">
        <v>69</v>
      </c>
      <c r="J2343" s="7">
        <v>175</v>
      </c>
      <c r="K2343" s="7" t="s">
        <v>18</v>
      </c>
      <c r="L2343" s="8">
        <v>39987.315405092595</v>
      </c>
      <c r="M2343" s="9" t="s">
        <v>19</v>
      </c>
      <c r="N2343" s="9" t="s">
        <v>20</v>
      </c>
      <c r="O2343" s="6" t="str">
        <f>HYPERLINK("https://pbs.twimg.com/profile_images/962471262747529216/Uo8lOkRJ_normal.jpg","View")</f>
        <v>View</v>
      </c>
      <c r="P2343" s="7"/>
    </row>
    <row r="2344" spans="1:16">
      <c r="A2344" s="3">
        <v>43881.866226851853</v>
      </c>
      <c r="B2344" s="4" t="str">
        <f>HYPERLINK("https://twitter.com/petrogustavo","@petrogustavo")</f>
        <v>@petrogustavo</v>
      </c>
      <c r="C2344" s="5" t="s">
        <v>16</v>
      </c>
      <c r="D2344" s="5" t="s">
        <v>2294</v>
      </c>
      <c r="E2344" s="6" t="str">
        <f>HYPERLINK("https://twitter.com/petrogustavo/status/1230511770089000960","1230511770089000960")</f>
        <v>1230511770089000960</v>
      </c>
      <c r="F2344" s="7" t="s">
        <v>17</v>
      </c>
      <c r="G2344" s="7">
        <v>3641833</v>
      </c>
      <c r="H2344" s="7">
        <v>2351</v>
      </c>
      <c r="I2344" s="7">
        <v>25</v>
      </c>
      <c r="J2344" s="7">
        <v>83</v>
      </c>
      <c r="K2344" s="7" t="s">
        <v>18</v>
      </c>
      <c r="L2344" s="8">
        <v>39987.315405092595</v>
      </c>
      <c r="M2344" s="9" t="s">
        <v>19</v>
      </c>
      <c r="N2344" s="9" t="s">
        <v>20</v>
      </c>
      <c r="O2344" s="6" t="str">
        <f>HYPERLINK("https://pbs.twimg.com/profile_images/962471262747529216/Uo8lOkRJ_normal.jpg","View")</f>
        <v>View</v>
      </c>
      <c r="P2344" s="7"/>
    </row>
    <row r="2345" spans="1:16">
      <c r="A2345" s="3">
        <v>43881.86891203704</v>
      </c>
      <c r="B2345" s="4" t="str">
        <f>HYPERLINK("https://twitter.com/petrogustavo","@petrogustavo")</f>
        <v>@petrogustavo</v>
      </c>
      <c r="C2345" s="5" t="s">
        <v>16</v>
      </c>
      <c r="D2345" s="5" t="s">
        <v>2295</v>
      </c>
      <c r="E2345" s="6" t="str">
        <f>HYPERLINK("https://twitter.com/petrogustavo/status/1230512743037493250","1230512743037493250")</f>
        <v>1230512743037493250</v>
      </c>
      <c r="F2345" s="7" t="s">
        <v>17</v>
      </c>
      <c r="G2345" s="7">
        <v>3641833</v>
      </c>
      <c r="H2345" s="7">
        <v>2351</v>
      </c>
      <c r="I2345" s="7">
        <v>59</v>
      </c>
      <c r="J2345" s="7">
        <v>0</v>
      </c>
      <c r="K2345" s="7" t="s">
        <v>18</v>
      </c>
      <c r="L2345" s="8">
        <v>39987.315405092595</v>
      </c>
      <c r="M2345" s="9" t="s">
        <v>19</v>
      </c>
      <c r="N2345" s="9" t="s">
        <v>20</v>
      </c>
      <c r="O2345" s="6" t="str">
        <f>HYPERLINK("https://pbs.twimg.com/profile_images/962471262747529216/Uo8lOkRJ_normal.jpg","View")</f>
        <v>View</v>
      </c>
      <c r="P2345" s="7"/>
    </row>
    <row r="2346" spans="1:16">
      <c r="A2346" s="3">
        <v>43881.869456018518</v>
      </c>
      <c r="B2346" s="4" t="str">
        <f>HYPERLINK("https://twitter.com/petrogustavo","@petrogustavo")</f>
        <v>@petrogustavo</v>
      </c>
      <c r="C2346" s="5" t="s">
        <v>16</v>
      </c>
      <c r="D2346" s="5" t="s">
        <v>2296</v>
      </c>
      <c r="E2346" s="6" t="str">
        <f>HYPERLINK("https://twitter.com/petrogustavo/status/1230512940719263744","1230512940719263744")</f>
        <v>1230512940719263744</v>
      </c>
      <c r="F2346" s="7" t="s">
        <v>17</v>
      </c>
      <c r="G2346" s="7">
        <v>3641833</v>
      </c>
      <c r="H2346" s="7">
        <v>2351</v>
      </c>
      <c r="I2346" s="7">
        <v>35</v>
      </c>
      <c r="J2346" s="7">
        <v>0</v>
      </c>
      <c r="K2346" s="7" t="s">
        <v>18</v>
      </c>
      <c r="L2346" s="8">
        <v>39987.315405092595</v>
      </c>
      <c r="M2346" s="9" t="s">
        <v>19</v>
      </c>
      <c r="N2346" s="9" t="s">
        <v>20</v>
      </c>
      <c r="O2346" s="6" t="str">
        <f>HYPERLINK("https://pbs.twimg.com/profile_images/962471262747529216/Uo8lOkRJ_normal.jpg","View")</f>
        <v>View</v>
      </c>
      <c r="P2346" s="7"/>
    </row>
    <row r="2347" spans="1:16">
      <c r="A2347" s="3">
        <v>43881.870358796295</v>
      </c>
      <c r="B2347" s="4" t="str">
        <f>HYPERLINK("https://twitter.com/petrogustavo","@petrogustavo")</f>
        <v>@petrogustavo</v>
      </c>
      <c r="C2347" s="5" t="s">
        <v>16</v>
      </c>
      <c r="D2347" s="5" t="s">
        <v>2297</v>
      </c>
      <c r="E2347" s="6" t="str">
        <f>HYPERLINK("https://twitter.com/petrogustavo/status/1230513269670064128","1230513269670064128")</f>
        <v>1230513269670064128</v>
      </c>
      <c r="F2347" s="7" t="s">
        <v>17</v>
      </c>
      <c r="G2347" s="7">
        <v>3641833</v>
      </c>
      <c r="H2347" s="7">
        <v>2351</v>
      </c>
      <c r="I2347" s="7">
        <v>428</v>
      </c>
      <c r="J2347" s="7">
        <v>0</v>
      </c>
      <c r="K2347" s="7" t="s">
        <v>18</v>
      </c>
      <c r="L2347" s="8">
        <v>39987.315405092595</v>
      </c>
      <c r="M2347" s="9" t="s">
        <v>19</v>
      </c>
      <c r="N2347" s="9" t="s">
        <v>20</v>
      </c>
      <c r="O2347" s="6" t="str">
        <f>HYPERLINK("https://pbs.twimg.com/profile_images/962471262747529216/Uo8lOkRJ_normal.jpg","View")</f>
        <v>View</v>
      </c>
      <c r="P2347" s="7"/>
    </row>
    <row r="2348" spans="1:16">
      <c r="A2348" s="3">
        <v>43881.87128472222</v>
      </c>
      <c r="B2348" s="4" t="str">
        <f>HYPERLINK("https://twitter.com/petrogustavo","@petrogustavo")</f>
        <v>@petrogustavo</v>
      </c>
      <c r="C2348" s="5" t="s">
        <v>16</v>
      </c>
      <c r="D2348" s="5" t="s">
        <v>2298</v>
      </c>
      <c r="E2348" s="6" t="str">
        <f>HYPERLINK("https://twitter.com/petrogustavo/status/1230513602571968513","1230513602571968513")</f>
        <v>1230513602571968513</v>
      </c>
      <c r="F2348" s="7" t="s">
        <v>17</v>
      </c>
      <c r="G2348" s="7">
        <v>3641833</v>
      </c>
      <c r="H2348" s="7">
        <v>2351</v>
      </c>
      <c r="I2348" s="7">
        <v>42</v>
      </c>
      <c r="J2348" s="7">
        <v>152</v>
      </c>
      <c r="K2348" s="7" t="s">
        <v>18</v>
      </c>
      <c r="L2348" s="8">
        <v>39987.315405092595</v>
      </c>
      <c r="M2348" s="9" t="s">
        <v>19</v>
      </c>
      <c r="N2348" s="9" t="s">
        <v>20</v>
      </c>
      <c r="O2348" s="6" t="str">
        <f>HYPERLINK("https://pbs.twimg.com/profile_images/962471262747529216/Uo8lOkRJ_normal.jpg","View")</f>
        <v>View</v>
      </c>
      <c r="P2348" s="7"/>
    </row>
    <row r="2349" spans="1:16">
      <c r="A2349" s="3">
        <v>43881.873067129629</v>
      </c>
      <c r="B2349" s="4" t="str">
        <f>HYPERLINK("https://twitter.com/petrogustavo","@petrogustavo")</f>
        <v>@petrogustavo</v>
      </c>
      <c r="C2349" s="5" t="s">
        <v>16</v>
      </c>
      <c r="D2349" s="5" t="s">
        <v>2299</v>
      </c>
      <c r="E2349" s="6" t="str">
        <f>HYPERLINK("https://twitter.com/petrogustavo/status/1230514248155095041","1230514248155095041")</f>
        <v>1230514248155095041</v>
      </c>
      <c r="F2349" s="7" t="s">
        <v>17</v>
      </c>
      <c r="G2349" s="7">
        <v>3641833</v>
      </c>
      <c r="H2349" s="7">
        <v>2351</v>
      </c>
      <c r="I2349" s="7">
        <v>750</v>
      </c>
      <c r="J2349" s="7">
        <v>0</v>
      </c>
      <c r="K2349" s="7" t="s">
        <v>18</v>
      </c>
      <c r="L2349" s="8">
        <v>39987.315405092595</v>
      </c>
      <c r="M2349" s="9" t="s">
        <v>19</v>
      </c>
      <c r="N2349" s="9" t="s">
        <v>20</v>
      </c>
      <c r="O2349" s="6" t="str">
        <f>HYPERLINK("https://pbs.twimg.com/profile_images/962471262747529216/Uo8lOkRJ_normal.jpg","View")</f>
        <v>View</v>
      </c>
      <c r="P2349" s="7"/>
    </row>
    <row r="2350" spans="1:16">
      <c r="A2350" s="3">
        <v>43881.873888888891</v>
      </c>
      <c r="B2350" s="4" t="str">
        <f>HYPERLINK("https://twitter.com/petrogustavo","@petrogustavo")</f>
        <v>@petrogustavo</v>
      </c>
      <c r="C2350" s="5" t="s">
        <v>16</v>
      </c>
      <c r="D2350" s="5" t="s">
        <v>2300</v>
      </c>
      <c r="E2350" s="6" t="str">
        <f>HYPERLINK("https://twitter.com/petrogustavo/status/1230514546164600834","1230514546164600834")</f>
        <v>1230514546164600834</v>
      </c>
      <c r="F2350" s="7" t="s">
        <v>17</v>
      </c>
      <c r="G2350" s="7">
        <v>3641833</v>
      </c>
      <c r="H2350" s="7">
        <v>2351</v>
      </c>
      <c r="I2350" s="7">
        <v>1395</v>
      </c>
      <c r="J2350" s="7">
        <v>0</v>
      </c>
      <c r="K2350" s="7" t="s">
        <v>18</v>
      </c>
      <c r="L2350" s="8">
        <v>39987.315405092595</v>
      </c>
      <c r="M2350" s="9" t="s">
        <v>19</v>
      </c>
      <c r="N2350" s="9" t="s">
        <v>20</v>
      </c>
      <c r="O2350" s="6" t="str">
        <f>HYPERLINK("https://pbs.twimg.com/profile_images/962471262747529216/Uo8lOkRJ_normal.jpg","View")</f>
        <v>View</v>
      </c>
      <c r="P2350" s="7"/>
    </row>
    <row r="2351" spans="1:16">
      <c r="A2351" s="3">
        <v>43881.875162037039</v>
      </c>
      <c r="B2351" s="4" t="str">
        <f>HYPERLINK("https://twitter.com/petrogustavo","@petrogustavo")</f>
        <v>@petrogustavo</v>
      </c>
      <c r="C2351" s="5" t="s">
        <v>16</v>
      </c>
      <c r="D2351" s="5" t="s">
        <v>2301</v>
      </c>
      <c r="E2351" s="6" t="str">
        <f>HYPERLINK("https://twitter.com/petrogustavo/status/1230515009933004801","1230515009933004801")</f>
        <v>1230515009933004801</v>
      </c>
      <c r="F2351" s="7" t="s">
        <v>17</v>
      </c>
      <c r="G2351" s="7">
        <v>3641833</v>
      </c>
      <c r="H2351" s="7">
        <v>2351</v>
      </c>
      <c r="I2351" s="7">
        <v>40</v>
      </c>
      <c r="J2351" s="7">
        <v>0</v>
      </c>
      <c r="K2351" s="7" t="s">
        <v>18</v>
      </c>
      <c r="L2351" s="8">
        <v>39987.315405092595</v>
      </c>
      <c r="M2351" s="9" t="s">
        <v>19</v>
      </c>
      <c r="N2351" s="9" t="s">
        <v>20</v>
      </c>
      <c r="O2351" s="6" t="str">
        <f>HYPERLINK("https://pbs.twimg.com/profile_images/962471262747529216/Uo8lOkRJ_normal.jpg","View")</f>
        <v>View</v>
      </c>
      <c r="P2351" s="7"/>
    </row>
    <row r="2352" spans="1:16">
      <c r="A2352" s="3">
        <v>43881.876597222217</v>
      </c>
      <c r="B2352" s="4" t="str">
        <f>HYPERLINK("https://twitter.com/petrogustavo","@petrogustavo")</f>
        <v>@petrogustavo</v>
      </c>
      <c r="C2352" s="5" t="s">
        <v>16</v>
      </c>
      <c r="D2352" s="5" t="s">
        <v>2302</v>
      </c>
      <c r="E2352" s="6" t="str">
        <f>HYPERLINK("https://twitter.com/petrogustavo/status/1230515526482452480","1230515526482452480")</f>
        <v>1230515526482452480</v>
      </c>
      <c r="F2352" s="7" t="s">
        <v>17</v>
      </c>
      <c r="G2352" s="7">
        <v>3641833</v>
      </c>
      <c r="H2352" s="7">
        <v>2351</v>
      </c>
      <c r="I2352" s="7">
        <v>66</v>
      </c>
      <c r="J2352" s="7">
        <v>117</v>
      </c>
      <c r="K2352" s="7" t="s">
        <v>18</v>
      </c>
      <c r="L2352" s="8">
        <v>39987.315405092595</v>
      </c>
      <c r="M2352" s="9" t="s">
        <v>19</v>
      </c>
      <c r="N2352" s="9" t="s">
        <v>20</v>
      </c>
      <c r="O2352" s="6" t="str">
        <f>HYPERLINK("https://pbs.twimg.com/profile_images/962471262747529216/Uo8lOkRJ_normal.jpg","View")</f>
        <v>View</v>
      </c>
      <c r="P2352" s="7"/>
    </row>
    <row r="2353" spans="1:16">
      <c r="A2353" s="3">
        <v>43881.879201388889</v>
      </c>
      <c r="B2353" s="4" t="str">
        <f>HYPERLINK("https://twitter.com/petrogustavo","@petrogustavo")</f>
        <v>@petrogustavo</v>
      </c>
      <c r="C2353" s="5" t="s">
        <v>16</v>
      </c>
      <c r="D2353" s="5" t="s">
        <v>2303</v>
      </c>
      <c r="E2353" s="6" t="str">
        <f>HYPERLINK("https://twitter.com/petrogustavo/status/1230516471224262658","1230516471224262658")</f>
        <v>1230516471224262658</v>
      </c>
      <c r="F2353" s="7" t="s">
        <v>32</v>
      </c>
      <c r="G2353" s="7">
        <v>3641833</v>
      </c>
      <c r="H2353" s="7">
        <v>2351</v>
      </c>
      <c r="I2353" s="7">
        <v>69</v>
      </c>
      <c r="J2353" s="7">
        <v>0</v>
      </c>
      <c r="K2353" s="7" t="s">
        <v>18</v>
      </c>
      <c r="L2353" s="8">
        <v>39987.315405092595</v>
      </c>
      <c r="M2353" s="9" t="s">
        <v>19</v>
      </c>
      <c r="N2353" s="9" t="s">
        <v>20</v>
      </c>
      <c r="O2353" s="6" t="str">
        <f>HYPERLINK("https://pbs.twimg.com/profile_images/962471262747529216/Uo8lOkRJ_normal.jpg","View")</f>
        <v>View</v>
      </c>
      <c r="P2353" s="7"/>
    </row>
    <row r="2354" spans="1:16">
      <c r="A2354" s="3">
        <v>43881.879467592589</v>
      </c>
      <c r="B2354" s="4" t="str">
        <f>HYPERLINK("https://twitter.com/petrogustavo","@petrogustavo")</f>
        <v>@petrogustavo</v>
      </c>
      <c r="C2354" s="5" t="s">
        <v>16</v>
      </c>
      <c r="D2354" s="5" t="s">
        <v>2304</v>
      </c>
      <c r="E2354" s="6" t="str">
        <f>HYPERLINK("https://twitter.com/petrogustavo/status/1230516568171433990","1230516568171433990")</f>
        <v>1230516568171433990</v>
      </c>
      <c r="F2354" s="7" t="s">
        <v>32</v>
      </c>
      <c r="G2354" s="7">
        <v>3641833</v>
      </c>
      <c r="H2354" s="7">
        <v>2351</v>
      </c>
      <c r="I2354" s="7">
        <v>146</v>
      </c>
      <c r="J2354" s="7">
        <v>0</v>
      </c>
      <c r="K2354" s="7" t="s">
        <v>18</v>
      </c>
      <c r="L2354" s="8">
        <v>39987.315405092595</v>
      </c>
      <c r="M2354" s="9" t="s">
        <v>19</v>
      </c>
      <c r="N2354" s="9" t="s">
        <v>20</v>
      </c>
      <c r="O2354" s="6" t="str">
        <f>HYPERLINK("https://pbs.twimg.com/profile_images/962471262747529216/Uo8lOkRJ_normal.jpg","View")</f>
        <v>View</v>
      </c>
      <c r="P2354" s="7"/>
    </row>
    <row r="2355" spans="1:16">
      <c r="A2355" s="3">
        <v>43881.880671296298</v>
      </c>
      <c r="B2355" s="4" t="str">
        <f>HYPERLINK("https://twitter.com/petrogustavo","@petrogustavo")</f>
        <v>@petrogustavo</v>
      </c>
      <c r="C2355" s="5" t="s">
        <v>16</v>
      </c>
      <c r="D2355" s="5" t="s">
        <v>2253</v>
      </c>
      <c r="E2355" s="6" t="str">
        <f>HYPERLINK("https://twitter.com/petrogustavo/status/1230517006656589824","1230517006656589824")</f>
        <v>1230517006656589824</v>
      </c>
      <c r="F2355" s="7" t="s">
        <v>32</v>
      </c>
      <c r="G2355" s="7">
        <v>3641833</v>
      </c>
      <c r="H2355" s="7">
        <v>2351</v>
      </c>
      <c r="I2355" s="7">
        <v>8170</v>
      </c>
      <c r="J2355" s="7">
        <v>0</v>
      </c>
      <c r="K2355" s="7" t="s">
        <v>18</v>
      </c>
      <c r="L2355" s="8">
        <v>39987.315405092595</v>
      </c>
      <c r="M2355" s="9" t="s">
        <v>19</v>
      </c>
      <c r="N2355" s="9" t="s">
        <v>20</v>
      </c>
      <c r="O2355" s="6" t="str">
        <f>HYPERLINK("https://pbs.twimg.com/profile_images/962471262747529216/Uo8lOkRJ_normal.jpg","View")</f>
        <v>View</v>
      </c>
      <c r="P2355" s="7"/>
    </row>
    <row r="2356" spans="1:16">
      <c r="A2356" s="3">
        <v>43881.910162037035</v>
      </c>
      <c r="B2356" s="4" t="str">
        <f>HYPERLINK("https://twitter.com/petrogustavo","@petrogustavo")</f>
        <v>@petrogustavo</v>
      </c>
      <c r="C2356" s="5" t="s">
        <v>16</v>
      </c>
      <c r="D2356" s="5" t="s">
        <v>2305</v>
      </c>
      <c r="E2356" s="6" t="str">
        <f>HYPERLINK("https://twitter.com/petrogustavo/status/1230527691813793794","1230527691813793794")</f>
        <v>1230527691813793794</v>
      </c>
      <c r="F2356" s="7" t="s">
        <v>17</v>
      </c>
      <c r="G2356" s="7">
        <v>3641896</v>
      </c>
      <c r="H2356" s="7">
        <v>2351</v>
      </c>
      <c r="I2356" s="7">
        <v>15</v>
      </c>
      <c r="J2356" s="7">
        <v>59</v>
      </c>
      <c r="K2356" s="7" t="s">
        <v>18</v>
      </c>
      <c r="L2356" s="8">
        <v>39987.315405092595</v>
      </c>
      <c r="M2356" s="9" t="s">
        <v>19</v>
      </c>
      <c r="N2356" s="9" t="s">
        <v>20</v>
      </c>
      <c r="O2356" s="6" t="str">
        <f>HYPERLINK("https://pbs.twimg.com/profile_images/962471262747529216/Uo8lOkRJ_normal.jpg","View")</f>
        <v>View</v>
      </c>
      <c r="P2356" s="7"/>
    </row>
    <row r="2357" spans="1:16">
      <c r="A2357" s="3">
        <v>43881.910162037035</v>
      </c>
      <c r="B2357" s="4" t="str">
        <f>HYPERLINK("https://twitter.com/petrogustavo","@petrogustavo")</f>
        <v>@petrogustavo</v>
      </c>
      <c r="C2357" s="5" t="s">
        <v>16</v>
      </c>
      <c r="D2357" s="5" t="s">
        <v>2306</v>
      </c>
      <c r="E2357" s="6" t="str">
        <f>HYPERLINK("https://twitter.com/petrogustavo/status/1230527693332062210","1230527693332062210")</f>
        <v>1230527693332062210</v>
      </c>
      <c r="F2357" s="7" t="s">
        <v>17</v>
      </c>
      <c r="G2357" s="7">
        <v>3641896</v>
      </c>
      <c r="H2357" s="7">
        <v>2351</v>
      </c>
      <c r="I2357" s="7">
        <v>27</v>
      </c>
      <c r="J2357" s="7">
        <v>95</v>
      </c>
      <c r="K2357" s="7" t="s">
        <v>18</v>
      </c>
      <c r="L2357" s="8">
        <v>39987.315405092595</v>
      </c>
      <c r="M2357" s="9" t="s">
        <v>19</v>
      </c>
      <c r="N2357" s="9" t="s">
        <v>20</v>
      </c>
      <c r="O2357" s="6" t="str">
        <f>HYPERLINK("https://pbs.twimg.com/profile_images/962471262747529216/Uo8lOkRJ_normal.jpg","View")</f>
        <v>View</v>
      </c>
      <c r="P2357" s="7"/>
    </row>
    <row r="2358" spans="1:16">
      <c r="A2358" s="3">
        <v>43881.910173611112</v>
      </c>
      <c r="B2358" s="4" t="str">
        <f>HYPERLINK("https://twitter.com/petrogustavo","@petrogustavo")</f>
        <v>@petrogustavo</v>
      </c>
      <c r="C2358" s="5" t="s">
        <v>16</v>
      </c>
      <c r="D2358" s="5" t="s">
        <v>2307</v>
      </c>
      <c r="E2358" s="6" t="str">
        <f>HYPERLINK("https://twitter.com/petrogustavo/status/1230527695995490304","1230527695995490304")</f>
        <v>1230527695995490304</v>
      </c>
      <c r="F2358" s="7" t="s">
        <v>17</v>
      </c>
      <c r="G2358" s="7">
        <v>3641896</v>
      </c>
      <c r="H2358" s="7">
        <v>2351</v>
      </c>
      <c r="I2358" s="7">
        <v>31</v>
      </c>
      <c r="J2358" s="7">
        <v>110</v>
      </c>
      <c r="K2358" s="7" t="s">
        <v>18</v>
      </c>
      <c r="L2358" s="8">
        <v>39987.315405092595</v>
      </c>
      <c r="M2358" s="9" t="s">
        <v>19</v>
      </c>
      <c r="N2358" s="9" t="s">
        <v>20</v>
      </c>
      <c r="O2358" s="6" t="str">
        <f>HYPERLINK("https://pbs.twimg.com/profile_images/962471262747529216/Uo8lOkRJ_normal.jpg","View")</f>
        <v>View</v>
      </c>
      <c r="P2358" s="7"/>
    </row>
    <row r="2359" spans="1:16">
      <c r="A2359" s="3">
        <v>43881.916296296295</v>
      </c>
      <c r="B2359" s="4" t="str">
        <f>HYPERLINK("https://twitter.com/petrogustavo","@petrogustavo")</f>
        <v>@petrogustavo</v>
      </c>
      <c r="C2359" s="5" t="s">
        <v>16</v>
      </c>
      <c r="D2359" s="5" t="s">
        <v>2308</v>
      </c>
      <c r="E2359" s="6" t="str">
        <f>HYPERLINK("https://twitter.com/petrogustavo/status/1230529916481032197","1230529916481032197")</f>
        <v>1230529916481032197</v>
      </c>
      <c r="F2359" s="7" t="s">
        <v>17</v>
      </c>
      <c r="G2359" s="7">
        <v>3641896</v>
      </c>
      <c r="H2359" s="7">
        <v>2351</v>
      </c>
      <c r="I2359" s="7">
        <v>189</v>
      </c>
      <c r="J2359" s="7">
        <v>344</v>
      </c>
      <c r="K2359" s="7" t="s">
        <v>18</v>
      </c>
      <c r="L2359" s="8">
        <v>39987.315405092595</v>
      </c>
      <c r="M2359" s="9" t="s">
        <v>19</v>
      </c>
      <c r="N2359" s="9" t="s">
        <v>20</v>
      </c>
      <c r="O2359" s="6" t="str">
        <f>HYPERLINK("https://pbs.twimg.com/profile_images/962471262747529216/Uo8lOkRJ_normal.jpg","View")</f>
        <v>View</v>
      </c>
      <c r="P2359" s="7"/>
    </row>
    <row r="2360" spans="1:16">
      <c r="A2360" s="3">
        <v>43881.920312499999</v>
      </c>
      <c r="B2360" s="4" t="str">
        <f>HYPERLINK("https://twitter.com/petrogustavo","@petrogustavo")</f>
        <v>@petrogustavo</v>
      </c>
      <c r="C2360" s="5" t="s">
        <v>16</v>
      </c>
      <c r="D2360" s="5" t="s">
        <v>2309</v>
      </c>
      <c r="E2360" s="6" t="str">
        <f>HYPERLINK("https://twitter.com/petrogustavo/status/1230531368515506177","1230531368515506177")</f>
        <v>1230531368515506177</v>
      </c>
      <c r="F2360" s="7" t="s">
        <v>17</v>
      </c>
      <c r="G2360" s="7">
        <v>3641896</v>
      </c>
      <c r="H2360" s="7">
        <v>2351</v>
      </c>
      <c r="I2360" s="7">
        <v>82</v>
      </c>
      <c r="J2360" s="7">
        <v>177</v>
      </c>
      <c r="K2360" s="7" t="s">
        <v>18</v>
      </c>
      <c r="L2360" s="8">
        <v>39987.315405092595</v>
      </c>
      <c r="M2360" s="9" t="s">
        <v>19</v>
      </c>
      <c r="N2360" s="9" t="s">
        <v>20</v>
      </c>
      <c r="O2360" s="6" t="str">
        <f>HYPERLINK("https://pbs.twimg.com/profile_images/962471262747529216/Uo8lOkRJ_normal.jpg","View")</f>
        <v>View</v>
      </c>
      <c r="P2360" s="7"/>
    </row>
    <row r="2361" spans="1:16">
      <c r="A2361" s="3">
        <v>43881.956064814818</v>
      </c>
      <c r="B2361" s="4" t="str">
        <f>HYPERLINK("https://twitter.com/petrogustavo","@petrogustavo")</f>
        <v>@petrogustavo</v>
      </c>
      <c r="C2361" s="5" t="s">
        <v>16</v>
      </c>
      <c r="D2361" s="5" t="s">
        <v>2310</v>
      </c>
      <c r="E2361" s="6" t="str">
        <f>HYPERLINK("https://twitter.com/petrogustavo/status/1230544326423388161","1230544326423388161")</f>
        <v>1230544326423388161</v>
      </c>
      <c r="F2361" s="7" t="s">
        <v>17</v>
      </c>
      <c r="G2361" s="7">
        <v>3641993</v>
      </c>
      <c r="H2361" s="7">
        <v>2351</v>
      </c>
      <c r="I2361" s="7">
        <v>251</v>
      </c>
      <c r="J2361" s="7">
        <v>572</v>
      </c>
      <c r="K2361" s="7" t="s">
        <v>18</v>
      </c>
      <c r="L2361" s="8">
        <v>39987.315405092595</v>
      </c>
      <c r="M2361" s="9" t="s">
        <v>19</v>
      </c>
      <c r="N2361" s="9" t="s">
        <v>20</v>
      </c>
      <c r="O2361" s="6" t="str">
        <f>HYPERLINK("https://pbs.twimg.com/profile_images/962471262747529216/Uo8lOkRJ_normal.jpg","View")</f>
        <v>View</v>
      </c>
      <c r="P2361" s="7"/>
    </row>
    <row r="2362" spans="1:16">
      <c r="A2362" s="3">
        <v>43882.083009259259</v>
      </c>
      <c r="B2362" s="4" t="str">
        <f>HYPERLINK("https://twitter.com/petrogustavo","@petrogustavo")</f>
        <v>@petrogustavo</v>
      </c>
      <c r="C2362" s="5" t="s">
        <v>16</v>
      </c>
      <c r="D2362" s="5" t="s">
        <v>2311</v>
      </c>
      <c r="E2362" s="6" t="str">
        <f>HYPERLINK("https://twitter.com/petrogustavo/status/1230590329750990850","1230590329750990850")</f>
        <v>1230590329750990850</v>
      </c>
      <c r="F2362" s="7" t="s">
        <v>17</v>
      </c>
      <c r="G2362" s="7">
        <v>3642142</v>
      </c>
      <c r="H2362" s="7">
        <v>2351</v>
      </c>
      <c r="I2362" s="7">
        <v>41</v>
      </c>
      <c r="J2362" s="7">
        <v>0</v>
      </c>
      <c r="K2362" s="7" t="s">
        <v>18</v>
      </c>
      <c r="L2362" s="8">
        <v>39987.315405092595</v>
      </c>
      <c r="M2362" s="9" t="s">
        <v>19</v>
      </c>
      <c r="N2362" s="9" t="s">
        <v>20</v>
      </c>
      <c r="O2362" s="6" t="str">
        <f>HYPERLINK("https://pbs.twimg.com/profile_images/962471262747529216/Uo8lOkRJ_normal.jpg","View")</f>
        <v>View</v>
      </c>
      <c r="P2362" s="7"/>
    </row>
    <row r="2363" spans="1:16">
      <c r="A2363" s="3">
        <v>43882.083136574074</v>
      </c>
      <c r="B2363" s="4" t="str">
        <f>HYPERLINK("https://twitter.com/petrogustavo","@petrogustavo")</f>
        <v>@petrogustavo</v>
      </c>
      <c r="C2363" s="5" t="s">
        <v>16</v>
      </c>
      <c r="D2363" s="5" t="s">
        <v>2253</v>
      </c>
      <c r="E2363" s="6" t="str">
        <f>HYPERLINK("https://twitter.com/petrogustavo/status/1230590376345571328","1230590376345571328")</f>
        <v>1230590376345571328</v>
      </c>
      <c r="F2363" s="7" t="s">
        <v>17</v>
      </c>
      <c r="G2363" s="7">
        <v>3642142</v>
      </c>
      <c r="H2363" s="7">
        <v>2351</v>
      </c>
      <c r="I2363" s="7">
        <v>8278</v>
      </c>
      <c r="J2363" s="7">
        <v>0</v>
      </c>
      <c r="K2363" s="7" t="s">
        <v>18</v>
      </c>
      <c r="L2363" s="8">
        <v>39987.315405092595</v>
      </c>
      <c r="M2363" s="9" t="s">
        <v>19</v>
      </c>
      <c r="N2363" s="9" t="s">
        <v>20</v>
      </c>
      <c r="O2363" s="6" t="str">
        <f>HYPERLINK("https://pbs.twimg.com/profile_images/962471262747529216/Uo8lOkRJ_normal.jpg","View")</f>
        <v>View</v>
      </c>
      <c r="P2363" s="7"/>
    </row>
    <row r="2364" spans="1:16">
      <c r="A2364" s="3">
        <v>43882.190509259264</v>
      </c>
      <c r="B2364" s="4" t="str">
        <f>HYPERLINK("https://twitter.com/petrogustavo","@petrogustavo")</f>
        <v>@petrogustavo</v>
      </c>
      <c r="C2364" s="5" t="s">
        <v>16</v>
      </c>
      <c r="D2364" s="5" t="s">
        <v>2312</v>
      </c>
      <c r="E2364" s="6" t="str">
        <f>HYPERLINK("https://twitter.com/petrogustavo/status/1230629285406396419","1230629285406396419")</f>
        <v>1230629285406396419</v>
      </c>
      <c r="F2364" s="7" t="s">
        <v>17</v>
      </c>
      <c r="G2364" s="7">
        <v>3642274</v>
      </c>
      <c r="H2364" s="7">
        <v>2351</v>
      </c>
      <c r="I2364" s="7">
        <v>775</v>
      </c>
      <c r="J2364" s="7">
        <v>0</v>
      </c>
      <c r="K2364" s="7" t="s">
        <v>18</v>
      </c>
      <c r="L2364" s="8">
        <v>39987.315405092595</v>
      </c>
      <c r="M2364" s="9" t="s">
        <v>19</v>
      </c>
      <c r="N2364" s="9" t="s">
        <v>20</v>
      </c>
      <c r="O2364" s="6" t="str">
        <f>HYPERLINK("https://pbs.twimg.com/profile_images/962471262747529216/Uo8lOkRJ_normal.jpg","View")</f>
        <v>View</v>
      </c>
      <c r="P2364" s="7"/>
    </row>
    <row r="2365" spans="1:16">
      <c r="A2365" s="3">
        <v>43882.196331018524</v>
      </c>
      <c r="B2365" s="4" t="str">
        <f>HYPERLINK("https://twitter.com/petrogustavo","@petrogustavo")</f>
        <v>@petrogustavo</v>
      </c>
      <c r="C2365" s="5" t="s">
        <v>16</v>
      </c>
      <c r="D2365" s="5" t="s">
        <v>2313</v>
      </c>
      <c r="E2365" s="6" t="str">
        <f>HYPERLINK("https://twitter.com/petrogustavo/status/1230631394394636288","1230631394394636288")</f>
        <v>1230631394394636288</v>
      </c>
      <c r="F2365" s="7" t="s">
        <v>17</v>
      </c>
      <c r="G2365" s="7">
        <v>3642274</v>
      </c>
      <c r="H2365" s="7">
        <v>2351</v>
      </c>
      <c r="I2365" s="7">
        <v>55</v>
      </c>
      <c r="J2365" s="7">
        <v>127</v>
      </c>
      <c r="K2365" s="7" t="s">
        <v>18</v>
      </c>
      <c r="L2365" s="8">
        <v>39987.315405092595</v>
      </c>
      <c r="M2365" s="9" t="s">
        <v>19</v>
      </c>
      <c r="N2365" s="9" t="s">
        <v>20</v>
      </c>
      <c r="O2365" s="6" t="str">
        <f>HYPERLINK("https://pbs.twimg.com/profile_images/962471262747529216/Uo8lOkRJ_normal.jpg","View")</f>
        <v>View</v>
      </c>
      <c r="P2365" s="7"/>
    </row>
    <row r="2366" spans="1:16">
      <c r="A2366" s="3">
        <v>43882.201423611114</v>
      </c>
      <c r="B2366" s="4" t="str">
        <f>HYPERLINK("https://twitter.com/petrogustavo","@petrogustavo")</f>
        <v>@petrogustavo</v>
      </c>
      <c r="C2366" s="5" t="s">
        <v>16</v>
      </c>
      <c r="D2366" s="5" t="s">
        <v>2314</v>
      </c>
      <c r="E2366" s="6" t="str">
        <f>HYPERLINK("https://twitter.com/petrogustavo/status/1230633242795048960","1230633242795048960")</f>
        <v>1230633242795048960</v>
      </c>
      <c r="F2366" s="7" t="s">
        <v>17</v>
      </c>
      <c r="G2366" s="7">
        <v>3642292</v>
      </c>
      <c r="H2366" s="7">
        <v>2351</v>
      </c>
      <c r="I2366" s="7">
        <v>230</v>
      </c>
      <c r="J2366" s="7">
        <v>855</v>
      </c>
      <c r="K2366" s="7" t="s">
        <v>18</v>
      </c>
      <c r="L2366" s="8">
        <v>39987.315405092595</v>
      </c>
      <c r="M2366" s="9" t="s">
        <v>19</v>
      </c>
      <c r="N2366" s="9" t="s">
        <v>20</v>
      </c>
      <c r="O2366" s="6" t="str">
        <f>HYPERLINK("https://pbs.twimg.com/profile_images/962471262747529216/Uo8lOkRJ_normal.jpg","View")</f>
        <v>View</v>
      </c>
      <c r="P2366" s="7"/>
    </row>
    <row r="2367" spans="1:16">
      <c r="A2367" s="3">
        <v>43882.20244212963</v>
      </c>
      <c r="B2367" s="4" t="str">
        <f>HYPERLINK("https://twitter.com/petrogustavo","@petrogustavo")</f>
        <v>@petrogustavo</v>
      </c>
      <c r="C2367" s="5" t="s">
        <v>16</v>
      </c>
      <c r="D2367" s="5" t="s">
        <v>2315</v>
      </c>
      <c r="E2367" s="6" t="str">
        <f>HYPERLINK("https://twitter.com/petrogustavo/status/1230633609129844736","1230633609129844736")</f>
        <v>1230633609129844736</v>
      </c>
      <c r="F2367" s="7" t="s">
        <v>17</v>
      </c>
      <c r="G2367" s="7">
        <v>3642292</v>
      </c>
      <c r="H2367" s="7">
        <v>2351</v>
      </c>
      <c r="I2367" s="7">
        <v>217</v>
      </c>
      <c r="J2367" s="7">
        <v>0</v>
      </c>
      <c r="K2367" s="7" t="s">
        <v>18</v>
      </c>
      <c r="L2367" s="8">
        <v>39987.315405092595</v>
      </c>
      <c r="M2367" s="9" t="s">
        <v>19</v>
      </c>
      <c r="N2367" s="9" t="s">
        <v>20</v>
      </c>
      <c r="O2367" s="6" t="str">
        <f>HYPERLINK("https://pbs.twimg.com/profile_images/962471262747529216/Uo8lOkRJ_normal.jpg","View")</f>
        <v>View</v>
      </c>
      <c r="P2367" s="7"/>
    </row>
    <row r="2368" spans="1:16">
      <c r="A2368" s="3">
        <v>43882.303854166668</v>
      </c>
      <c r="B2368" s="4" t="str">
        <f>HYPERLINK("https://twitter.com/petrogustavo","@petrogustavo")</f>
        <v>@petrogustavo</v>
      </c>
      <c r="C2368" s="5" t="s">
        <v>16</v>
      </c>
      <c r="D2368" s="5" t="s">
        <v>2316</v>
      </c>
      <c r="E2368" s="6" t="str">
        <f>HYPERLINK("https://twitter.com/petrogustavo/status/1230670362456870913","1230670362456870913")</f>
        <v>1230670362456870913</v>
      </c>
      <c r="F2368" s="7" t="s">
        <v>17</v>
      </c>
      <c r="G2368" s="7">
        <v>3642425</v>
      </c>
      <c r="H2368" s="7">
        <v>2351</v>
      </c>
      <c r="I2368" s="7">
        <v>25</v>
      </c>
      <c r="J2368" s="7">
        <v>0</v>
      </c>
      <c r="K2368" s="7" t="s">
        <v>18</v>
      </c>
      <c r="L2368" s="8">
        <v>39987.315405092595</v>
      </c>
      <c r="M2368" s="9" t="s">
        <v>19</v>
      </c>
      <c r="N2368" s="9" t="s">
        <v>20</v>
      </c>
      <c r="O2368" s="6" t="str">
        <f>HYPERLINK("https://pbs.twimg.com/profile_images/962471262747529216/Uo8lOkRJ_normal.jpg","View")</f>
        <v>View</v>
      </c>
      <c r="P2368" s="7"/>
    </row>
    <row r="2369" spans="1:16">
      <c r="A2369" s="3">
        <v>43882.305486111116</v>
      </c>
      <c r="B2369" s="4" t="str">
        <f>HYPERLINK("https://twitter.com/petrogustavo","@petrogustavo")</f>
        <v>@petrogustavo</v>
      </c>
      <c r="C2369" s="5" t="s">
        <v>16</v>
      </c>
      <c r="D2369" s="5" t="s">
        <v>2317</v>
      </c>
      <c r="E2369" s="6" t="str">
        <f>HYPERLINK("https://twitter.com/petrogustavo/status/1230670951215398912","1230670951215398912")</f>
        <v>1230670951215398912</v>
      </c>
      <c r="F2369" s="7" t="s">
        <v>17</v>
      </c>
      <c r="G2369" s="7">
        <v>3642455</v>
      </c>
      <c r="H2369" s="7">
        <v>2351</v>
      </c>
      <c r="I2369" s="7">
        <v>170</v>
      </c>
      <c r="J2369" s="7">
        <v>512</v>
      </c>
      <c r="K2369" s="7" t="s">
        <v>18</v>
      </c>
      <c r="L2369" s="8">
        <v>39987.315405092595</v>
      </c>
      <c r="M2369" s="9" t="s">
        <v>19</v>
      </c>
      <c r="N2369" s="9" t="s">
        <v>20</v>
      </c>
      <c r="O2369" s="6" t="str">
        <f>HYPERLINK("https://pbs.twimg.com/profile_images/962471262747529216/Uo8lOkRJ_normal.jpg","View")</f>
        <v>View</v>
      </c>
      <c r="P2369" s="7"/>
    </row>
    <row r="2370" spans="1:16">
      <c r="A2370" s="3">
        <v>43882.307083333333</v>
      </c>
      <c r="B2370" s="4" t="str">
        <f>HYPERLINK("https://twitter.com/petrogustavo","@petrogustavo")</f>
        <v>@petrogustavo</v>
      </c>
      <c r="C2370" s="5" t="s">
        <v>16</v>
      </c>
      <c r="D2370" s="5" t="s">
        <v>2318</v>
      </c>
      <c r="E2370" s="6" t="str">
        <f>HYPERLINK("https://twitter.com/petrogustavo/status/1230671530549374979","1230671530549374979")</f>
        <v>1230671530549374979</v>
      </c>
      <c r="F2370" s="7" t="s">
        <v>17</v>
      </c>
      <c r="G2370" s="7">
        <v>3642455</v>
      </c>
      <c r="H2370" s="7">
        <v>2351</v>
      </c>
      <c r="I2370" s="7">
        <v>227</v>
      </c>
      <c r="J2370" s="7">
        <v>0</v>
      </c>
      <c r="K2370" s="7" t="s">
        <v>18</v>
      </c>
      <c r="L2370" s="8">
        <v>39987.315405092595</v>
      </c>
      <c r="M2370" s="9" t="s">
        <v>19</v>
      </c>
      <c r="N2370" s="9" t="s">
        <v>20</v>
      </c>
      <c r="O2370" s="6" t="str">
        <f>HYPERLINK("https://pbs.twimg.com/profile_images/962471262747529216/Uo8lOkRJ_normal.jpg","View")</f>
        <v>View</v>
      </c>
      <c r="P2370" s="7"/>
    </row>
    <row r="2371" spans="1:16">
      <c r="A2371" s="3">
        <v>43882.311481481476</v>
      </c>
      <c r="B2371" s="4" t="str">
        <f>HYPERLINK("https://twitter.com/petrogustavo","@petrogustavo")</f>
        <v>@petrogustavo</v>
      </c>
      <c r="C2371" s="5" t="s">
        <v>16</v>
      </c>
      <c r="D2371" s="5" t="s">
        <v>2319</v>
      </c>
      <c r="E2371" s="6" t="str">
        <f>HYPERLINK("https://twitter.com/petrogustavo/status/1230673126352211968","1230673126352211968")</f>
        <v>1230673126352211968</v>
      </c>
      <c r="F2371" s="7" t="s">
        <v>17</v>
      </c>
      <c r="G2371" s="7">
        <v>3642455</v>
      </c>
      <c r="H2371" s="7">
        <v>2351</v>
      </c>
      <c r="I2371" s="7">
        <v>211</v>
      </c>
      <c r="J2371" s="7">
        <v>627</v>
      </c>
      <c r="K2371" s="7" t="s">
        <v>18</v>
      </c>
      <c r="L2371" s="8">
        <v>39987.315405092595</v>
      </c>
      <c r="M2371" s="9" t="s">
        <v>19</v>
      </c>
      <c r="N2371" s="9" t="s">
        <v>20</v>
      </c>
      <c r="O2371" s="6" t="str">
        <f>HYPERLINK("https://pbs.twimg.com/profile_images/962471262747529216/Uo8lOkRJ_normal.jpg","View")</f>
        <v>View</v>
      </c>
      <c r="P2371" s="7"/>
    </row>
    <row r="2372" spans="1:16">
      <c r="A2372" s="3">
        <v>43882.315254629633</v>
      </c>
      <c r="B2372" s="4" t="str">
        <f>HYPERLINK("https://twitter.com/petrogustavo","@petrogustavo")</f>
        <v>@petrogustavo</v>
      </c>
      <c r="C2372" s="5" t="s">
        <v>16</v>
      </c>
      <c r="D2372" s="5" t="s">
        <v>2320</v>
      </c>
      <c r="E2372" s="6" t="str">
        <f>HYPERLINK("https://twitter.com/petrogustavo/status/1230674490943836162","1230674490943836162")</f>
        <v>1230674490943836162</v>
      </c>
      <c r="F2372" s="7" t="s">
        <v>17</v>
      </c>
      <c r="G2372" s="7">
        <v>3642455</v>
      </c>
      <c r="H2372" s="7">
        <v>2351</v>
      </c>
      <c r="I2372" s="7">
        <v>44</v>
      </c>
      <c r="J2372" s="7">
        <v>118</v>
      </c>
      <c r="K2372" s="7" t="s">
        <v>18</v>
      </c>
      <c r="L2372" s="8">
        <v>39987.315405092595</v>
      </c>
      <c r="M2372" s="9" t="s">
        <v>19</v>
      </c>
      <c r="N2372" s="9" t="s">
        <v>20</v>
      </c>
      <c r="O2372" s="6" t="str">
        <f>HYPERLINK("https://pbs.twimg.com/profile_images/962471262747529216/Uo8lOkRJ_normal.jpg","View")</f>
        <v>View</v>
      </c>
      <c r="P2372" s="7"/>
    </row>
    <row r="2373" spans="1:16">
      <c r="A2373" s="3">
        <v>43882.317939814813</v>
      </c>
      <c r="B2373" s="4" t="str">
        <f>HYPERLINK("https://twitter.com/petrogustavo","@petrogustavo")</f>
        <v>@petrogustavo</v>
      </c>
      <c r="C2373" s="5" t="s">
        <v>16</v>
      </c>
      <c r="D2373" s="5" t="s">
        <v>2321</v>
      </c>
      <c r="E2373" s="6" t="str">
        <f>HYPERLINK("https://twitter.com/petrogustavo/status/1230675466828288002","1230675466828288002")</f>
        <v>1230675466828288002</v>
      </c>
      <c r="F2373" s="7" t="s">
        <v>17</v>
      </c>
      <c r="G2373" s="7">
        <v>3642455</v>
      </c>
      <c r="H2373" s="7">
        <v>2351</v>
      </c>
      <c r="I2373" s="7">
        <v>28</v>
      </c>
      <c r="J2373" s="7">
        <v>75</v>
      </c>
      <c r="K2373" s="7" t="s">
        <v>18</v>
      </c>
      <c r="L2373" s="8">
        <v>39987.315405092595</v>
      </c>
      <c r="M2373" s="9" t="s">
        <v>19</v>
      </c>
      <c r="N2373" s="9" t="s">
        <v>20</v>
      </c>
      <c r="O2373" s="6" t="str">
        <f>HYPERLINK("https://pbs.twimg.com/profile_images/962471262747529216/Uo8lOkRJ_normal.jpg","View")</f>
        <v>View</v>
      </c>
      <c r="P2373" s="7"/>
    </row>
    <row r="2374" spans="1:16">
      <c r="A2374" s="3">
        <v>43882.32166666667</v>
      </c>
      <c r="B2374" s="4" t="str">
        <f>HYPERLINK("https://twitter.com/petrogustavo","@petrogustavo")</f>
        <v>@petrogustavo</v>
      </c>
      <c r="C2374" s="5" t="s">
        <v>16</v>
      </c>
      <c r="D2374" s="5" t="s">
        <v>2322</v>
      </c>
      <c r="E2374" s="6" t="str">
        <f>HYPERLINK("https://twitter.com/petrogustavo/status/1230676817549430785","1230676817549430785")</f>
        <v>1230676817549430785</v>
      </c>
      <c r="F2374" s="7" t="s">
        <v>17</v>
      </c>
      <c r="G2374" s="7">
        <v>3642455</v>
      </c>
      <c r="H2374" s="7">
        <v>2351</v>
      </c>
      <c r="I2374" s="7">
        <v>902</v>
      </c>
      <c r="J2374" s="7">
        <v>0</v>
      </c>
      <c r="K2374" s="7" t="s">
        <v>18</v>
      </c>
      <c r="L2374" s="8">
        <v>39987.315405092595</v>
      </c>
      <c r="M2374" s="9" t="s">
        <v>19</v>
      </c>
      <c r="N2374" s="9" t="s">
        <v>20</v>
      </c>
      <c r="O2374" s="6" t="str">
        <f>HYPERLINK("https://pbs.twimg.com/profile_images/962471262747529216/Uo8lOkRJ_normal.jpg","View")</f>
        <v>View</v>
      </c>
      <c r="P2374" s="7"/>
    </row>
    <row r="2375" spans="1:16">
      <c r="A2375" s="3">
        <v>43882.322476851856</v>
      </c>
      <c r="B2375" s="4" t="str">
        <f>HYPERLINK("https://twitter.com/petrogustavo","@petrogustavo")</f>
        <v>@petrogustavo</v>
      </c>
      <c r="C2375" s="5" t="s">
        <v>16</v>
      </c>
      <c r="D2375" s="5" t="s">
        <v>2323</v>
      </c>
      <c r="E2375" s="6" t="str">
        <f>HYPERLINK("https://twitter.com/petrogustavo/status/1230677109623881728","1230677109623881728")</f>
        <v>1230677109623881728</v>
      </c>
      <c r="F2375" s="7" t="s">
        <v>17</v>
      </c>
      <c r="G2375" s="7">
        <v>3642455</v>
      </c>
      <c r="H2375" s="7">
        <v>2351</v>
      </c>
      <c r="I2375" s="7">
        <v>86</v>
      </c>
      <c r="J2375" s="7">
        <v>0</v>
      </c>
      <c r="K2375" s="7" t="s">
        <v>18</v>
      </c>
      <c r="L2375" s="8">
        <v>39987.315405092595</v>
      </c>
      <c r="M2375" s="9" t="s">
        <v>19</v>
      </c>
      <c r="N2375" s="9" t="s">
        <v>20</v>
      </c>
      <c r="O2375" s="6" t="str">
        <f>HYPERLINK("https://pbs.twimg.com/profile_images/962471262747529216/Uo8lOkRJ_normal.jpg","View")</f>
        <v>View</v>
      </c>
      <c r="P2375" s="7"/>
    </row>
    <row r="2376" spans="1:16">
      <c r="A2376" s="3">
        <v>43882.328530092593</v>
      </c>
      <c r="B2376" s="4" t="str">
        <f>HYPERLINK("https://twitter.com/petrogustavo","@petrogustavo")</f>
        <v>@petrogustavo</v>
      </c>
      <c r="C2376" s="5" t="s">
        <v>16</v>
      </c>
      <c r="D2376" s="5" t="s">
        <v>2324</v>
      </c>
      <c r="E2376" s="6" t="str">
        <f>HYPERLINK("https://twitter.com/petrogustavo/status/1230679303429525506","1230679303429525506")</f>
        <v>1230679303429525506</v>
      </c>
      <c r="F2376" s="7" t="s">
        <v>17</v>
      </c>
      <c r="G2376" s="7">
        <v>3642492</v>
      </c>
      <c r="H2376" s="7">
        <v>2351</v>
      </c>
      <c r="I2376" s="7">
        <v>57</v>
      </c>
      <c r="J2376" s="7">
        <v>0</v>
      </c>
      <c r="K2376" s="7" t="s">
        <v>18</v>
      </c>
      <c r="L2376" s="8">
        <v>39987.315405092595</v>
      </c>
      <c r="M2376" s="9" t="s">
        <v>19</v>
      </c>
      <c r="N2376" s="9" t="s">
        <v>20</v>
      </c>
      <c r="O2376" s="6" t="str">
        <f>HYPERLINK("https://pbs.twimg.com/profile_images/962471262747529216/Uo8lOkRJ_normal.jpg","View")</f>
        <v>View</v>
      </c>
      <c r="P2376" s="7"/>
    </row>
    <row r="2377" spans="1:16">
      <c r="A2377" s="3">
        <v>43882.32984953704</v>
      </c>
      <c r="B2377" s="4" t="str">
        <f>HYPERLINK("https://twitter.com/petrogustavo","@petrogustavo")</f>
        <v>@petrogustavo</v>
      </c>
      <c r="C2377" s="5" t="s">
        <v>16</v>
      </c>
      <c r="D2377" s="5" t="s">
        <v>2325</v>
      </c>
      <c r="E2377" s="6" t="str">
        <f>HYPERLINK("https://twitter.com/petrogustavo/status/1230679780967710720","1230679780967710720")</f>
        <v>1230679780967710720</v>
      </c>
      <c r="F2377" s="7" t="s">
        <v>17</v>
      </c>
      <c r="G2377" s="7">
        <v>3642492</v>
      </c>
      <c r="H2377" s="7">
        <v>2351</v>
      </c>
      <c r="I2377" s="7">
        <v>164</v>
      </c>
      <c r="J2377" s="7">
        <v>538</v>
      </c>
      <c r="K2377" s="7" t="s">
        <v>18</v>
      </c>
      <c r="L2377" s="8">
        <v>39987.315405092595</v>
      </c>
      <c r="M2377" s="9" t="s">
        <v>19</v>
      </c>
      <c r="N2377" s="9" t="s">
        <v>20</v>
      </c>
      <c r="O2377" s="6" t="str">
        <f>HYPERLINK("https://pbs.twimg.com/profile_images/962471262747529216/Uo8lOkRJ_normal.jpg","View")</f>
        <v>View</v>
      </c>
      <c r="P2377" s="7"/>
    </row>
    <row r="2378" spans="1:16">
      <c r="A2378" s="3">
        <v>43882.331574074073</v>
      </c>
      <c r="B2378" s="4" t="str">
        <f>HYPERLINK("https://twitter.com/petrogustavo","@petrogustavo")</f>
        <v>@petrogustavo</v>
      </c>
      <c r="C2378" s="5" t="s">
        <v>16</v>
      </c>
      <c r="D2378" s="5" t="s">
        <v>2326</v>
      </c>
      <c r="E2378" s="6" t="str">
        <f>HYPERLINK("https://twitter.com/petrogustavo/status/1230680405382246403","1230680405382246403")</f>
        <v>1230680405382246403</v>
      </c>
      <c r="F2378" s="7" t="s">
        <v>17</v>
      </c>
      <c r="G2378" s="7">
        <v>3642492</v>
      </c>
      <c r="H2378" s="7">
        <v>2351</v>
      </c>
      <c r="I2378" s="7">
        <v>702</v>
      </c>
      <c r="J2378" s="7">
        <v>0</v>
      </c>
      <c r="K2378" s="7" t="s">
        <v>18</v>
      </c>
      <c r="L2378" s="8">
        <v>39987.315405092595</v>
      </c>
      <c r="M2378" s="9" t="s">
        <v>19</v>
      </c>
      <c r="N2378" s="9" t="s">
        <v>20</v>
      </c>
      <c r="O2378" s="6" t="str">
        <f>HYPERLINK("https://pbs.twimg.com/profile_images/962471262747529216/Uo8lOkRJ_normal.jpg","View")</f>
        <v>View</v>
      </c>
      <c r="P2378" s="7"/>
    </row>
    <row r="2379" spans="1:16">
      <c r="A2379" s="3">
        <v>43882.334039351852</v>
      </c>
      <c r="B2379" s="4" t="str">
        <f>HYPERLINK("https://twitter.com/petrogustavo","@petrogustavo")</f>
        <v>@petrogustavo</v>
      </c>
      <c r="C2379" s="5" t="s">
        <v>16</v>
      </c>
      <c r="D2379" s="5" t="s">
        <v>2327</v>
      </c>
      <c r="E2379" s="6" t="str">
        <f>HYPERLINK("https://twitter.com/petrogustavo/status/1230681297883979776","1230681297883979776")</f>
        <v>1230681297883979776</v>
      </c>
      <c r="F2379" s="7" t="s">
        <v>17</v>
      </c>
      <c r="G2379" s="7">
        <v>3642492</v>
      </c>
      <c r="H2379" s="7">
        <v>2351</v>
      </c>
      <c r="I2379" s="7">
        <v>76</v>
      </c>
      <c r="J2379" s="7">
        <v>0</v>
      </c>
      <c r="K2379" s="7" t="s">
        <v>18</v>
      </c>
      <c r="L2379" s="8">
        <v>39987.315405092595</v>
      </c>
      <c r="M2379" s="9" t="s">
        <v>19</v>
      </c>
      <c r="N2379" s="9" t="s">
        <v>20</v>
      </c>
      <c r="O2379" s="6" t="str">
        <f>HYPERLINK("https://pbs.twimg.com/profile_images/962471262747529216/Uo8lOkRJ_normal.jpg","View")</f>
        <v>View</v>
      </c>
      <c r="P2379" s="7"/>
    </row>
    <row r="2380" spans="1:16">
      <c r="A2380" s="3">
        <v>43882.334120370375</v>
      </c>
      <c r="B2380" s="4" t="str">
        <f>HYPERLINK("https://twitter.com/petrogustavo","@petrogustavo")</f>
        <v>@petrogustavo</v>
      </c>
      <c r="C2380" s="5" t="s">
        <v>16</v>
      </c>
      <c r="D2380" s="5" t="s">
        <v>2328</v>
      </c>
      <c r="E2380" s="6" t="str">
        <f>HYPERLINK("https://twitter.com/petrogustavo/status/1230681330981179393","1230681330981179393")</f>
        <v>1230681330981179393</v>
      </c>
      <c r="F2380" s="7" t="s">
        <v>17</v>
      </c>
      <c r="G2380" s="7">
        <v>3642492</v>
      </c>
      <c r="H2380" s="7">
        <v>2351</v>
      </c>
      <c r="I2380" s="7">
        <v>38</v>
      </c>
      <c r="J2380" s="7">
        <v>0</v>
      </c>
      <c r="K2380" s="7" t="s">
        <v>18</v>
      </c>
      <c r="L2380" s="8">
        <v>39987.315405092595</v>
      </c>
      <c r="M2380" s="9" t="s">
        <v>19</v>
      </c>
      <c r="N2380" s="9" t="s">
        <v>20</v>
      </c>
      <c r="O2380" s="6" t="str">
        <f>HYPERLINK("https://pbs.twimg.com/profile_images/962471262747529216/Uo8lOkRJ_normal.jpg","View")</f>
        <v>View</v>
      </c>
      <c r="P2380" s="7"/>
    </row>
    <row r="2381" spans="1:16">
      <c r="A2381" s="3">
        <v>43882.336365740739</v>
      </c>
      <c r="B2381" s="4" t="str">
        <f>HYPERLINK("https://twitter.com/petrogustavo","@petrogustavo")</f>
        <v>@petrogustavo</v>
      </c>
      <c r="C2381" s="5" t="s">
        <v>16</v>
      </c>
      <c r="D2381" s="5" t="s">
        <v>2329</v>
      </c>
      <c r="E2381" s="6" t="str">
        <f>HYPERLINK("https://twitter.com/petrogustavo/status/1230682144730730506","1230682144730730506")</f>
        <v>1230682144730730506</v>
      </c>
      <c r="F2381" s="7" t="s">
        <v>17</v>
      </c>
      <c r="G2381" s="7">
        <v>3642492</v>
      </c>
      <c r="H2381" s="7">
        <v>2351</v>
      </c>
      <c r="I2381" s="7">
        <v>170</v>
      </c>
      <c r="J2381" s="7">
        <v>0</v>
      </c>
      <c r="K2381" s="7" t="s">
        <v>18</v>
      </c>
      <c r="L2381" s="8">
        <v>39987.315405092595</v>
      </c>
      <c r="M2381" s="9" t="s">
        <v>19</v>
      </c>
      <c r="N2381" s="9" t="s">
        <v>20</v>
      </c>
      <c r="O2381" s="6" t="str">
        <f>HYPERLINK("https://pbs.twimg.com/profile_images/962471262747529216/Uo8lOkRJ_normal.jpg","View")</f>
        <v>View</v>
      </c>
      <c r="P2381" s="7"/>
    </row>
    <row r="2382" spans="1:16">
      <c r="A2382" s="3">
        <v>43882.337349537032</v>
      </c>
      <c r="B2382" s="4" t="str">
        <f>HYPERLINK("https://twitter.com/petrogustavo","@petrogustavo")</f>
        <v>@petrogustavo</v>
      </c>
      <c r="C2382" s="5" t="s">
        <v>16</v>
      </c>
      <c r="D2382" s="5" t="s">
        <v>2330</v>
      </c>
      <c r="E2382" s="6" t="str">
        <f>HYPERLINK("https://twitter.com/petrogustavo/status/1230682498079895553","1230682498079895553")</f>
        <v>1230682498079895553</v>
      </c>
      <c r="F2382" s="7" t="s">
        <v>17</v>
      </c>
      <c r="G2382" s="7">
        <v>3642492</v>
      </c>
      <c r="H2382" s="7">
        <v>2351</v>
      </c>
      <c r="I2382" s="7">
        <v>100</v>
      </c>
      <c r="J2382" s="7">
        <v>0</v>
      </c>
      <c r="K2382" s="7" t="s">
        <v>18</v>
      </c>
      <c r="L2382" s="8">
        <v>39987.315405092595</v>
      </c>
      <c r="M2382" s="9" t="s">
        <v>19</v>
      </c>
      <c r="N2382" s="9" t="s">
        <v>20</v>
      </c>
      <c r="O2382" s="6" t="str">
        <f>HYPERLINK("https://pbs.twimg.com/profile_images/962471262747529216/Uo8lOkRJ_normal.jpg","View")</f>
        <v>View</v>
      </c>
      <c r="P2382" s="7"/>
    </row>
    <row r="2383" spans="1:16">
      <c r="A2383" s="3">
        <v>43882.34138888889</v>
      </c>
      <c r="B2383" s="4" t="str">
        <f>HYPERLINK("https://twitter.com/petrogustavo","@petrogustavo")</f>
        <v>@petrogustavo</v>
      </c>
      <c r="C2383" s="5" t="s">
        <v>16</v>
      </c>
      <c r="D2383" s="5" t="s">
        <v>2331</v>
      </c>
      <c r="E2383" s="6" t="str">
        <f>HYPERLINK("https://twitter.com/petrogustavo/status/1230683964203044865","1230683964203044865")</f>
        <v>1230683964203044865</v>
      </c>
      <c r="F2383" s="7" t="s">
        <v>17</v>
      </c>
      <c r="G2383" s="7">
        <v>3642492</v>
      </c>
      <c r="H2383" s="7">
        <v>2351</v>
      </c>
      <c r="I2383" s="7">
        <v>428</v>
      </c>
      <c r="J2383" s="7">
        <v>0</v>
      </c>
      <c r="K2383" s="7" t="s">
        <v>18</v>
      </c>
      <c r="L2383" s="8">
        <v>39987.315405092595</v>
      </c>
      <c r="M2383" s="9" t="s">
        <v>19</v>
      </c>
      <c r="N2383" s="9" t="s">
        <v>20</v>
      </c>
      <c r="O2383" s="6" t="str">
        <f>HYPERLINK("https://pbs.twimg.com/profile_images/962471262747529216/Uo8lOkRJ_normal.jpg","View")</f>
        <v>View</v>
      </c>
      <c r="P2383" s="7"/>
    </row>
    <row r="2384" spans="1:16">
      <c r="A2384" s="3">
        <v>43882.344791666663</v>
      </c>
      <c r="B2384" s="4" t="str">
        <f>HYPERLINK("https://twitter.com/petrogustavo","@petrogustavo")</f>
        <v>@petrogustavo</v>
      </c>
      <c r="C2384" s="5" t="s">
        <v>16</v>
      </c>
      <c r="D2384" s="5" t="s">
        <v>2332</v>
      </c>
      <c r="E2384" s="6" t="str">
        <f>HYPERLINK("https://twitter.com/petrogustavo/status/1230685196846030848","1230685196846030848")</f>
        <v>1230685196846030848</v>
      </c>
      <c r="F2384" s="7" t="s">
        <v>17</v>
      </c>
      <c r="G2384" s="7">
        <v>3642492</v>
      </c>
      <c r="H2384" s="7">
        <v>2351</v>
      </c>
      <c r="I2384" s="7">
        <v>3</v>
      </c>
      <c r="J2384" s="7">
        <v>7</v>
      </c>
      <c r="K2384" s="7" t="s">
        <v>18</v>
      </c>
      <c r="L2384" s="8">
        <v>39987.315405092595</v>
      </c>
      <c r="M2384" s="9" t="s">
        <v>19</v>
      </c>
      <c r="N2384" s="9" t="s">
        <v>20</v>
      </c>
      <c r="O2384" s="6" t="str">
        <f>HYPERLINK("https://pbs.twimg.com/profile_images/962471262747529216/Uo8lOkRJ_normal.jpg","View")</f>
        <v>View</v>
      </c>
      <c r="P2384" s="7"/>
    </row>
    <row r="2385" spans="1:16">
      <c r="A2385" s="3">
        <v>43882.837627314817</v>
      </c>
      <c r="B2385" s="4" t="str">
        <f>HYPERLINK("https://twitter.com/petrogustavo","@petrogustavo")</f>
        <v>@petrogustavo</v>
      </c>
      <c r="C2385" s="5" t="s">
        <v>16</v>
      </c>
      <c r="D2385" s="5" t="s">
        <v>2333</v>
      </c>
      <c r="E2385" s="6" t="str">
        <f>HYPERLINK("https://twitter.com/petrogustavo/status/1230863792248098817","1230863792248098817")</f>
        <v>1230863792248098817</v>
      </c>
      <c r="F2385" s="7" t="s">
        <v>17</v>
      </c>
      <c r="G2385" s="7">
        <v>3642877</v>
      </c>
      <c r="H2385" s="7">
        <v>2350</v>
      </c>
      <c r="I2385" s="7">
        <v>288</v>
      </c>
      <c r="J2385" s="7">
        <v>0</v>
      </c>
      <c r="K2385" s="7" t="s">
        <v>18</v>
      </c>
      <c r="L2385" s="8">
        <v>39987.315405092595</v>
      </c>
      <c r="M2385" s="9" t="s">
        <v>19</v>
      </c>
      <c r="N2385" s="9" t="s">
        <v>20</v>
      </c>
      <c r="O2385" s="6" t="str">
        <f>HYPERLINK("https://pbs.twimg.com/profile_images/962471262747529216/Uo8lOkRJ_normal.jpg","View")</f>
        <v>View</v>
      </c>
      <c r="P2385" s="7"/>
    </row>
    <row r="2386" spans="1:16">
      <c r="A2386" s="3">
        <v>43882.855532407411</v>
      </c>
      <c r="B2386" s="4" t="str">
        <f>HYPERLINK("https://twitter.com/petrogustavo","@petrogustavo")</f>
        <v>@petrogustavo</v>
      </c>
      <c r="C2386" s="5" t="s">
        <v>16</v>
      </c>
      <c r="D2386" s="5" t="s">
        <v>2334</v>
      </c>
      <c r="E2386" s="6" t="str">
        <f>HYPERLINK("https://twitter.com/petrogustavo/status/1230870283726282755","1230870283726282755")</f>
        <v>1230870283726282755</v>
      </c>
      <c r="F2386" s="7" t="s">
        <v>17</v>
      </c>
      <c r="G2386" s="7">
        <v>3642904</v>
      </c>
      <c r="H2386" s="7">
        <v>2350</v>
      </c>
      <c r="I2386" s="7">
        <v>114</v>
      </c>
      <c r="J2386" s="7">
        <v>0</v>
      </c>
      <c r="K2386" s="7" t="s">
        <v>18</v>
      </c>
      <c r="L2386" s="8">
        <v>39987.315405092595</v>
      </c>
      <c r="M2386" s="9" t="s">
        <v>19</v>
      </c>
      <c r="N2386" s="9" t="s">
        <v>20</v>
      </c>
      <c r="O2386" s="6" t="str">
        <f>HYPERLINK("https://pbs.twimg.com/profile_images/962471262747529216/Uo8lOkRJ_normal.jpg","View")</f>
        <v>View</v>
      </c>
      <c r="P2386" s="7"/>
    </row>
    <row r="2387" spans="1:16">
      <c r="A2387" s="3">
        <v>43882.858611111107</v>
      </c>
      <c r="B2387" s="4" t="str">
        <f>HYPERLINK("https://twitter.com/petrogustavo","@petrogustavo")</f>
        <v>@petrogustavo</v>
      </c>
      <c r="C2387" s="5" t="s">
        <v>16</v>
      </c>
      <c r="D2387" s="5" t="s">
        <v>2335</v>
      </c>
      <c r="E2387" s="6" t="str">
        <f>HYPERLINK("https://twitter.com/petrogustavo/status/1230871397389475843","1230871397389475843")</f>
        <v>1230871397389475843</v>
      </c>
      <c r="F2387" s="7" t="s">
        <v>17</v>
      </c>
      <c r="G2387" s="7">
        <v>3642904</v>
      </c>
      <c r="H2387" s="7">
        <v>2350</v>
      </c>
      <c r="I2387" s="7">
        <v>33</v>
      </c>
      <c r="J2387" s="7">
        <v>0</v>
      </c>
      <c r="K2387" s="7" t="s">
        <v>18</v>
      </c>
      <c r="L2387" s="8">
        <v>39987.315405092595</v>
      </c>
      <c r="M2387" s="9" t="s">
        <v>19</v>
      </c>
      <c r="N2387" s="9" t="s">
        <v>20</v>
      </c>
      <c r="O2387" s="6" t="str">
        <f>HYPERLINK("https://pbs.twimg.com/profile_images/962471262747529216/Uo8lOkRJ_normal.jpg","View")</f>
        <v>View</v>
      </c>
      <c r="P2387" s="7"/>
    </row>
    <row r="2388" spans="1:16">
      <c r="A2388" s="3">
        <v>43882.868356481486</v>
      </c>
      <c r="B2388" s="4" t="str">
        <f>HYPERLINK("https://twitter.com/petrogustavo","@petrogustavo")</f>
        <v>@petrogustavo</v>
      </c>
      <c r="C2388" s="5" t="s">
        <v>16</v>
      </c>
      <c r="D2388" s="5" t="s">
        <v>2336</v>
      </c>
      <c r="E2388" s="6" t="str">
        <f>HYPERLINK("https://twitter.com/petrogustavo/status/1230874931535241216","1230874931535241216")</f>
        <v>1230874931535241216</v>
      </c>
      <c r="F2388" s="7" t="s">
        <v>17</v>
      </c>
      <c r="G2388" s="7">
        <v>3642947</v>
      </c>
      <c r="H2388" s="7">
        <v>2350</v>
      </c>
      <c r="I2388" s="7">
        <v>138</v>
      </c>
      <c r="J2388" s="7">
        <v>329</v>
      </c>
      <c r="K2388" s="7" t="s">
        <v>18</v>
      </c>
      <c r="L2388" s="8">
        <v>39987.315405092595</v>
      </c>
      <c r="M2388" s="9" t="s">
        <v>19</v>
      </c>
      <c r="N2388" s="9" t="s">
        <v>20</v>
      </c>
      <c r="O2388" s="6" t="str">
        <f>HYPERLINK("https://pbs.twimg.com/profile_images/962471262747529216/Uo8lOkRJ_normal.jpg","View")</f>
        <v>View</v>
      </c>
      <c r="P2388" s="7"/>
    </row>
    <row r="2389" spans="1:16">
      <c r="A2389" s="3">
        <v>43882.872511574074</v>
      </c>
      <c r="B2389" s="4" t="str">
        <f>HYPERLINK("https://twitter.com/petrogustavo","@petrogustavo")</f>
        <v>@petrogustavo</v>
      </c>
      <c r="C2389" s="5" t="s">
        <v>16</v>
      </c>
      <c r="D2389" s="5" t="s">
        <v>2337</v>
      </c>
      <c r="E2389" s="6" t="str">
        <f>HYPERLINK("https://twitter.com/petrogustavo/status/1230876434320830467","1230876434320830467")</f>
        <v>1230876434320830467</v>
      </c>
      <c r="F2389" s="7" t="s">
        <v>17</v>
      </c>
      <c r="G2389" s="7">
        <v>3642947</v>
      </c>
      <c r="H2389" s="7">
        <v>2350</v>
      </c>
      <c r="I2389" s="7">
        <v>12</v>
      </c>
      <c r="J2389" s="7">
        <v>0</v>
      </c>
      <c r="K2389" s="7" t="s">
        <v>18</v>
      </c>
      <c r="L2389" s="8">
        <v>39987.315405092595</v>
      </c>
      <c r="M2389" s="9" t="s">
        <v>19</v>
      </c>
      <c r="N2389" s="9" t="s">
        <v>20</v>
      </c>
      <c r="O2389" s="6" t="str">
        <f>HYPERLINK("https://pbs.twimg.com/profile_images/962471262747529216/Uo8lOkRJ_normal.jpg","View")</f>
        <v>View</v>
      </c>
      <c r="P2389" s="7"/>
    </row>
    <row r="2390" spans="1:16">
      <c r="A2390" s="3">
        <v>43882.872604166667</v>
      </c>
      <c r="B2390" s="4" t="str">
        <f>HYPERLINK("https://twitter.com/petrogustavo","@petrogustavo")</f>
        <v>@petrogustavo</v>
      </c>
      <c r="C2390" s="5" t="s">
        <v>16</v>
      </c>
      <c r="D2390" s="5" t="s">
        <v>2338</v>
      </c>
      <c r="E2390" s="6" t="str">
        <f>HYPERLINK("https://twitter.com/petrogustavo/status/1230876467401232386","1230876467401232386")</f>
        <v>1230876467401232386</v>
      </c>
      <c r="F2390" s="7" t="s">
        <v>17</v>
      </c>
      <c r="G2390" s="7">
        <v>3642947</v>
      </c>
      <c r="H2390" s="7">
        <v>2350</v>
      </c>
      <c r="I2390" s="7">
        <v>13</v>
      </c>
      <c r="J2390" s="7">
        <v>0</v>
      </c>
      <c r="K2390" s="7" t="s">
        <v>18</v>
      </c>
      <c r="L2390" s="8">
        <v>39987.315405092595</v>
      </c>
      <c r="M2390" s="9" t="s">
        <v>19</v>
      </c>
      <c r="N2390" s="9" t="s">
        <v>20</v>
      </c>
      <c r="O2390" s="6" t="str">
        <f>HYPERLINK("https://pbs.twimg.com/profile_images/962471262747529216/Uo8lOkRJ_normal.jpg","View")</f>
        <v>View</v>
      </c>
      <c r="P2390" s="7"/>
    </row>
    <row r="2391" spans="1:16">
      <c r="A2391" s="3">
        <v>43882.875081018516</v>
      </c>
      <c r="B2391" s="4" t="str">
        <f>HYPERLINK("https://twitter.com/petrogustavo","@petrogustavo")</f>
        <v>@petrogustavo</v>
      </c>
      <c r="C2391" s="5" t="s">
        <v>16</v>
      </c>
      <c r="D2391" s="5" t="s">
        <v>2339</v>
      </c>
      <c r="E2391" s="6" t="str">
        <f>HYPERLINK("https://twitter.com/petrogustavo/status/1230877367440199680","1230877367440199680")</f>
        <v>1230877367440199680</v>
      </c>
      <c r="F2391" s="7" t="s">
        <v>17</v>
      </c>
      <c r="G2391" s="7">
        <v>3642947</v>
      </c>
      <c r="H2391" s="7">
        <v>2350</v>
      </c>
      <c r="I2391" s="7">
        <v>567</v>
      </c>
      <c r="J2391" s="7">
        <v>0</v>
      </c>
      <c r="K2391" s="7" t="s">
        <v>18</v>
      </c>
      <c r="L2391" s="8">
        <v>39987.315405092595</v>
      </c>
      <c r="M2391" s="9" t="s">
        <v>19</v>
      </c>
      <c r="N2391" s="9" t="s">
        <v>20</v>
      </c>
      <c r="O2391" s="6" t="str">
        <f>HYPERLINK("https://pbs.twimg.com/profile_images/962471262747529216/Uo8lOkRJ_normal.jpg","View")</f>
        <v>View</v>
      </c>
      <c r="P2391" s="7"/>
    </row>
    <row r="2392" spans="1:16">
      <c r="A2392" s="3">
        <v>43882.882754629631</v>
      </c>
      <c r="B2392" s="4" t="str">
        <f>HYPERLINK("https://twitter.com/petrogustavo","@petrogustavo")</f>
        <v>@petrogustavo</v>
      </c>
      <c r="C2392" s="5" t="s">
        <v>16</v>
      </c>
      <c r="D2392" s="5" t="s">
        <v>2340</v>
      </c>
      <c r="E2392" s="6" t="str">
        <f>HYPERLINK("https://twitter.com/petrogustavo/status/1230880147823304704","1230880147823304704")</f>
        <v>1230880147823304704</v>
      </c>
      <c r="F2392" s="7" t="s">
        <v>17</v>
      </c>
      <c r="G2392" s="7">
        <v>3642947</v>
      </c>
      <c r="H2392" s="7">
        <v>2350</v>
      </c>
      <c r="I2392" s="7">
        <v>266</v>
      </c>
      <c r="J2392" s="7">
        <v>0</v>
      </c>
      <c r="K2392" s="7" t="s">
        <v>18</v>
      </c>
      <c r="L2392" s="8">
        <v>39987.315405092595</v>
      </c>
      <c r="M2392" s="9" t="s">
        <v>19</v>
      </c>
      <c r="N2392" s="9" t="s">
        <v>20</v>
      </c>
      <c r="O2392" s="6" t="str">
        <f>HYPERLINK("https://pbs.twimg.com/profile_images/962471262747529216/Uo8lOkRJ_normal.jpg","View")</f>
        <v>View</v>
      </c>
      <c r="P2392" s="7"/>
    </row>
    <row r="2393" spans="1:16">
      <c r="A2393" s="3">
        <v>43882.896122685182</v>
      </c>
      <c r="B2393" s="4" t="str">
        <f>HYPERLINK("https://twitter.com/petrogustavo","@petrogustavo")</f>
        <v>@petrogustavo</v>
      </c>
      <c r="C2393" s="5" t="s">
        <v>16</v>
      </c>
      <c r="D2393" s="5" t="s">
        <v>2341</v>
      </c>
      <c r="E2393" s="6" t="str">
        <f>HYPERLINK("https://twitter.com/petrogustavo/status/1230884992022188033","1230884992022188033")</f>
        <v>1230884992022188033</v>
      </c>
      <c r="F2393" s="7" t="s">
        <v>17</v>
      </c>
      <c r="G2393" s="7">
        <v>3642988</v>
      </c>
      <c r="H2393" s="7">
        <v>2350</v>
      </c>
      <c r="I2393" s="7">
        <v>92</v>
      </c>
      <c r="J2393" s="7">
        <v>0</v>
      </c>
      <c r="K2393" s="7" t="s">
        <v>18</v>
      </c>
      <c r="L2393" s="8">
        <v>39987.315405092595</v>
      </c>
      <c r="M2393" s="9" t="s">
        <v>19</v>
      </c>
      <c r="N2393" s="9" t="s">
        <v>20</v>
      </c>
      <c r="O2393" s="6" t="str">
        <f>HYPERLINK("https://pbs.twimg.com/profile_images/962471262747529216/Uo8lOkRJ_normal.jpg","View")</f>
        <v>View</v>
      </c>
      <c r="P2393" s="7"/>
    </row>
    <row r="2394" spans="1:16">
      <c r="A2394" s="3">
        <v>43882.902303240742</v>
      </c>
      <c r="B2394" s="4" t="str">
        <f>HYPERLINK("https://twitter.com/petrogustavo","@petrogustavo")</f>
        <v>@petrogustavo</v>
      </c>
      <c r="C2394" s="5" t="s">
        <v>16</v>
      </c>
      <c r="D2394" s="5" t="s">
        <v>2342</v>
      </c>
      <c r="E2394" s="6" t="str">
        <f>HYPERLINK("https://twitter.com/petrogustavo/status/1230887229863743488","1230887229863743488")</f>
        <v>1230887229863743488</v>
      </c>
      <c r="F2394" s="7" t="s">
        <v>17</v>
      </c>
      <c r="G2394" s="7">
        <v>3642988</v>
      </c>
      <c r="H2394" s="7">
        <v>2350</v>
      </c>
      <c r="I2394" s="7">
        <v>83</v>
      </c>
      <c r="J2394" s="7">
        <v>187</v>
      </c>
      <c r="K2394" s="7" t="s">
        <v>18</v>
      </c>
      <c r="L2394" s="8">
        <v>39987.315405092595</v>
      </c>
      <c r="M2394" s="9" t="s">
        <v>19</v>
      </c>
      <c r="N2394" s="9" t="s">
        <v>20</v>
      </c>
      <c r="O2394" s="6" t="str">
        <f>HYPERLINK("https://pbs.twimg.com/profile_images/962471262747529216/Uo8lOkRJ_normal.jpg","View")</f>
        <v>View</v>
      </c>
      <c r="P2394" s="7"/>
    </row>
    <row r="2395" spans="1:16">
      <c r="A2395" s="3">
        <v>43882.90997685185</v>
      </c>
      <c r="B2395" s="4" t="str">
        <f>HYPERLINK("https://twitter.com/petrogustavo","@petrogustavo")</f>
        <v>@petrogustavo</v>
      </c>
      <c r="C2395" s="5" t="s">
        <v>16</v>
      </c>
      <c r="D2395" s="5" t="s">
        <v>2343</v>
      </c>
      <c r="E2395" s="6" t="str">
        <f>HYPERLINK("https://twitter.com/petrogustavo/status/1230890012184588288","1230890012184588288")</f>
        <v>1230890012184588288</v>
      </c>
      <c r="F2395" s="7" t="s">
        <v>17</v>
      </c>
      <c r="G2395" s="7">
        <v>3643008</v>
      </c>
      <c r="H2395" s="7">
        <v>2350</v>
      </c>
      <c r="I2395" s="7">
        <v>153</v>
      </c>
      <c r="J2395" s="7">
        <v>280</v>
      </c>
      <c r="K2395" s="7" t="s">
        <v>18</v>
      </c>
      <c r="L2395" s="8">
        <v>39987.315405092595</v>
      </c>
      <c r="M2395" s="9" t="s">
        <v>19</v>
      </c>
      <c r="N2395" s="9" t="s">
        <v>20</v>
      </c>
      <c r="O2395" s="6" t="str">
        <f>HYPERLINK("https://pbs.twimg.com/profile_images/962471262747529216/Uo8lOkRJ_normal.jpg","View")</f>
        <v>View</v>
      </c>
      <c r="P2395" s="7"/>
    </row>
    <row r="2396" spans="1:16">
      <c r="A2396" s="3">
        <v>43882.92050925926</v>
      </c>
      <c r="B2396" s="4" t="str">
        <f>HYPERLINK("https://twitter.com/petrogustavo","@petrogustavo")</f>
        <v>@petrogustavo</v>
      </c>
      <c r="C2396" s="5" t="s">
        <v>16</v>
      </c>
      <c r="D2396" s="5" t="s">
        <v>2344</v>
      </c>
      <c r="E2396" s="6" t="str">
        <f>HYPERLINK("https://twitter.com/petrogustavo/status/1230893829156413440","1230893829156413440")</f>
        <v>1230893829156413440</v>
      </c>
      <c r="F2396" s="7" t="s">
        <v>17</v>
      </c>
      <c r="G2396" s="7">
        <v>3643008</v>
      </c>
      <c r="H2396" s="7">
        <v>2350</v>
      </c>
      <c r="I2396" s="7">
        <v>101</v>
      </c>
      <c r="J2396" s="7">
        <v>0</v>
      </c>
      <c r="K2396" s="7" t="s">
        <v>18</v>
      </c>
      <c r="L2396" s="8">
        <v>39987.315405092595</v>
      </c>
      <c r="M2396" s="9" t="s">
        <v>19</v>
      </c>
      <c r="N2396" s="9" t="s">
        <v>20</v>
      </c>
      <c r="O2396" s="6" t="str">
        <f>HYPERLINK("https://pbs.twimg.com/profile_images/962471262747529216/Uo8lOkRJ_normal.jpg","View")</f>
        <v>View</v>
      </c>
      <c r="P2396" s="7"/>
    </row>
    <row r="2397" spans="1:16">
      <c r="A2397" s="3">
        <v>43882.922430555554</v>
      </c>
      <c r="B2397" s="4" t="str">
        <f>HYPERLINK("https://twitter.com/petrogustavo","@petrogustavo")</f>
        <v>@petrogustavo</v>
      </c>
      <c r="C2397" s="5" t="s">
        <v>16</v>
      </c>
      <c r="D2397" s="5" t="s">
        <v>2345</v>
      </c>
      <c r="E2397" s="6" t="str">
        <f>HYPERLINK("https://twitter.com/petrogustavo/status/1230894526321041408","1230894526321041408")</f>
        <v>1230894526321041408</v>
      </c>
      <c r="F2397" s="7" t="s">
        <v>17</v>
      </c>
      <c r="G2397" s="7">
        <v>3643008</v>
      </c>
      <c r="H2397" s="7">
        <v>2350</v>
      </c>
      <c r="I2397" s="7">
        <v>41</v>
      </c>
      <c r="J2397" s="7">
        <v>0</v>
      </c>
      <c r="K2397" s="7" t="s">
        <v>18</v>
      </c>
      <c r="L2397" s="8">
        <v>39987.315405092595</v>
      </c>
      <c r="M2397" s="9" t="s">
        <v>19</v>
      </c>
      <c r="N2397" s="9" t="s">
        <v>20</v>
      </c>
      <c r="O2397" s="6" t="str">
        <f>HYPERLINK("https://pbs.twimg.com/profile_images/962471262747529216/Uo8lOkRJ_normal.jpg","View")</f>
        <v>View</v>
      </c>
      <c r="P2397" s="7"/>
    </row>
    <row r="2398" spans="1:16">
      <c r="A2398" s="3">
        <v>43882.930243055554</v>
      </c>
      <c r="B2398" s="4" t="str">
        <f>HYPERLINK("https://twitter.com/petrogustavo","@petrogustavo")</f>
        <v>@petrogustavo</v>
      </c>
      <c r="C2398" s="5" t="s">
        <v>16</v>
      </c>
      <c r="D2398" s="5" t="s">
        <v>2346</v>
      </c>
      <c r="E2398" s="6" t="str">
        <f>HYPERLINK("https://twitter.com/petrogustavo/status/1230897357690220544","1230897357690220544")</f>
        <v>1230897357690220544</v>
      </c>
      <c r="F2398" s="7" t="s">
        <v>17</v>
      </c>
      <c r="G2398" s="7">
        <v>3643042</v>
      </c>
      <c r="H2398" s="7">
        <v>2350</v>
      </c>
      <c r="I2398" s="7">
        <v>276</v>
      </c>
      <c r="J2398" s="7">
        <v>0</v>
      </c>
      <c r="K2398" s="7" t="s">
        <v>18</v>
      </c>
      <c r="L2398" s="8">
        <v>39987.315405092595</v>
      </c>
      <c r="M2398" s="9" t="s">
        <v>19</v>
      </c>
      <c r="N2398" s="9" t="s">
        <v>20</v>
      </c>
      <c r="O2398" s="6" t="str">
        <f>HYPERLINK("https://pbs.twimg.com/profile_images/962471262747529216/Uo8lOkRJ_normal.jpg","View")</f>
        <v>View</v>
      </c>
      <c r="P2398" s="7"/>
    </row>
    <row r="2399" spans="1:16">
      <c r="A2399" s="3">
        <v>43882.940729166672</v>
      </c>
      <c r="B2399" s="4" t="str">
        <f>HYPERLINK("https://twitter.com/petrogustavo","@petrogustavo")</f>
        <v>@petrogustavo</v>
      </c>
      <c r="C2399" s="5" t="s">
        <v>16</v>
      </c>
      <c r="D2399" s="5" t="s">
        <v>2347</v>
      </c>
      <c r="E2399" s="6" t="str">
        <f>HYPERLINK("https://twitter.com/petrogustavo/status/1230901156244791297","1230901156244791297")</f>
        <v>1230901156244791297</v>
      </c>
      <c r="F2399" s="7" t="s">
        <v>17</v>
      </c>
      <c r="G2399" s="7">
        <v>3643042</v>
      </c>
      <c r="H2399" s="7">
        <v>2350</v>
      </c>
      <c r="I2399" s="7">
        <v>48</v>
      </c>
      <c r="J2399" s="7">
        <v>133</v>
      </c>
      <c r="K2399" s="7" t="s">
        <v>18</v>
      </c>
      <c r="L2399" s="8">
        <v>39987.315405092595</v>
      </c>
      <c r="M2399" s="9" t="s">
        <v>19</v>
      </c>
      <c r="N2399" s="9" t="s">
        <v>20</v>
      </c>
      <c r="O2399" s="6" t="str">
        <f>HYPERLINK("https://pbs.twimg.com/profile_images/962471262747529216/Uo8lOkRJ_normal.jpg","View")</f>
        <v>View</v>
      </c>
      <c r="P2399" s="7"/>
    </row>
    <row r="2400" spans="1:16">
      <c r="A2400" s="3">
        <v>43882.942858796298</v>
      </c>
      <c r="B2400" s="4" t="str">
        <f>HYPERLINK("https://twitter.com/petrogustavo","@petrogustavo")</f>
        <v>@petrogustavo</v>
      </c>
      <c r="C2400" s="5" t="s">
        <v>16</v>
      </c>
      <c r="D2400" s="5" t="s">
        <v>2348</v>
      </c>
      <c r="E2400" s="6" t="str">
        <f>HYPERLINK("https://twitter.com/petrogustavo/status/1230901929439567872","1230901929439567872")</f>
        <v>1230901929439567872</v>
      </c>
      <c r="F2400" s="7" t="s">
        <v>17</v>
      </c>
      <c r="G2400" s="7">
        <v>3643042</v>
      </c>
      <c r="H2400" s="7">
        <v>2350</v>
      </c>
      <c r="I2400" s="7">
        <v>361</v>
      </c>
      <c r="J2400" s="7">
        <v>0</v>
      </c>
      <c r="K2400" s="7" t="s">
        <v>18</v>
      </c>
      <c r="L2400" s="8">
        <v>39987.315405092595</v>
      </c>
      <c r="M2400" s="9" t="s">
        <v>19</v>
      </c>
      <c r="N2400" s="9" t="s">
        <v>20</v>
      </c>
      <c r="O2400" s="6" t="str">
        <f>HYPERLINK("https://pbs.twimg.com/profile_images/962471262747529216/Uo8lOkRJ_normal.jpg","View")</f>
        <v>View</v>
      </c>
      <c r="P2400" s="7"/>
    </row>
    <row r="2401" spans="1:16">
      <c r="A2401" s="3">
        <v>43882.943530092598</v>
      </c>
      <c r="B2401" s="4" t="str">
        <f>HYPERLINK("https://twitter.com/petrogustavo","@petrogustavo")</f>
        <v>@petrogustavo</v>
      </c>
      <c r="C2401" s="5" t="s">
        <v>16</v>
      </c>
      <c r="D2401" s="5" t="s">
        <v>2349</v>
      </c>
      <c r="E2401" s="6" t="str">
        <f>HYPERLINK("https://twitter.com/petrogustavo/status/1230902170633097218","1230902170633097218")</f>
        <v>1230902170633097218</v>
      </c>
      <c r="F2401" s="7" t="s">
        <v>17</v>
      </c>
      <c r="G2401" s="7">
        <v>3643042</v>
      </c>
      <c r="H2401" s="7">
        <v>2350</v>
      </c>
      <c r="I2401" s="7">
        <v>117</v>
      </c>
      <c r="J2401" s="7">
        <v>0</v>
      </c>
      <c r="K2401" s="7" t="s">
        <v>18</v>
      </c>
      <c r="L2401" s="8">
        <v>39987.315405092595</v>
      </c>
      <c r="M2401" s="9" t="s">
        <v>19</v>
      </c>
      <c r="N2401" s="9" t="s">
        <v>20</v>
      </c>
      <c r="O2401" s="6" t="str">
        <f>HYPERLINK("https://pbs.twimg.com/profile_images/962471262747529216/Uo8lOkRJ_normal.jpg","View")</f>
        <v>View</v>
      </c>
      <c r="P2401" s="7"/>
    </row>
    <row r="2402" spans="1:16">
      <c r="A2402" s="3">
        <v>43882.948113425926</v>
      </c>
      <c r="B2402" s="4" t="str">
        <f>HYPERLINK("https://twitter.com/petrogustavo","@petrogustavo")</f>
        <v>@petrogustavo</v>
      </c>
      <c r="C2402" s="5" t="s">
        <v>16</v>
      </c>
      <c r="D2402" s="5" t="s">
        <v>2350</v>
      </c>
      <c r="E2402" s="6" t="str">
        <f>HYPERLINK("https://twitter.com/petrogustavo/status/1230903832223404040","1230903832223404040")</f>
        <v>1230903832223404040</v>
      </c>
      <c r="F2402" s="7" t="s">
        <v>17</v>
      </c>
      <c r="G2402" s="7">
        <v>3643042</v>
      </c>
      <c r="H2402" s="7">
        <v>2350</v>
      </c>
      <c r="I2402" s="7">
        <v>9</v>
      </c>
      <c r="J2402" s="7">
        <v>0</v>
      </c>
      <c r="K2402" s="7" t="s">
        <v>18</v>
      </c>
      <c r="L2402" s="8">
        <v>39987.315405092595</v>
      </c>
      <c r="M2402" s="9" t="s">
        <v>19</v>
      </c>
      <c r="N2402" s="9" t="s">
        <v>20</v>
      </c>
      <c r="O2402" s="6" t="str">
        <f>HYPERLINK("https://pbs.twimg.com/profile_images/962471262747529216/Uo8lOkRJ_normal.jpg","View")</f>
        <v>View</v>
      </c>
      <c r="P2402" s="7"/>
    </row>
    <row r="2403" spans="1:16">
      <c r="A2403" s="3">
        <v>43883.037187499998</v>
      </c>
      <c r="B2403" s="4" t="str">
        <f>HYPERLINK("https://twitter.com/petrogustavo","@petrogustavo")</f>
        <v>@petrogustavo</v>
      </c>
      <c r="C2403" s="5" t="s">
        <v>16</v>
      </c>
      <c r="D2403" s="5" t="s">
        <v>2351</v>
      </c>
      <c r="E2403" s="6" t="str">
        <f>HYPERLINK("https://twitter.com/petrogustavo/status/1230936111108763648","1230936111108763648")</f>
        <v>1230936111108763648</v>
      </c>
      <c r="F2403" s="7" t="s">
        <v>17</v>
      </c>
      <c r="G2403" s="7">
        <v>3643173</v>
      </c>
      <c r="H2403" s="7">
        <v>2350</v>
      </c>
      <c r="I2403" s="7">
        <v>106</v>
      </c>
      <c r="J2403" s="7">
        <v>518</v>
      </c>
      <c r="K2403" s="7" t="s">
        <v>18</v>
      </c>
      <c r="L2403" s="8">
        <v>39987.315405092595</v>
      </c>
      <c r="M2403" s="9" t="s">
        <v>19</v>
      </c>
      <c r="N2403" s="9" t="s">
        <v>20</v>
      </c>
      <c r="O2403" s="6" t="str">
        <f>HYPERLINK("https://pbs.twimg.com/profile_images/962471262747529216/Uo8lOkRJ_normal.jpg","View")</f>
        <v>View</v>
      </c>
      <c r="P2403" s="7"/>
    </row>
    <row r="2404" spans="1:16">
      <c r="A2404" s="3">
        <v>43883.043993055559</v>
      </c>
      <c r="B2404" s="4" t="str">
        <f>HYPERLINK("https://twitter.com/petrogustavo","@petrogustavo")</f>
        <v>@petrogustavo</v>
      </c>
      <c r="C2404" s="5" t="s">
        <v>16</v>
      </c>
      <c r="D2404" s="5" t="s">
        <v>2352</v>
      </c>
      <c r="E2404" s="6" t="str">
        <f>HYPERLINK("https://twitter.com/petrogustavo/status/1230938579662262274","1230938579662262274")</f>
        <v>1230938579662262274</v>
      </c>
      <c r="F2404" s="7" t="s">
        <v>17</v>
      </c>
      <c r="G2404" s="7">
        <v>3643173</v>
      </c>
      <c r="H2404" s="7">
        <v>2350</v>
      </c>
      <c r="I2404" s="7">
        <v>87</v>
      </c>
      <c r="J2404" s="7">
        <v>215</v>
      </c>
      <c r="K2404" s="7" t="s">
        <v>18</v>
      </c>
      <c r="L2404" s="8">
        <v>39987.315405092595</v>
      </c>
      <c r="M2404" s="9" t="s">
        <v>19</v>
      </c>
      <c r="N2404" s="9" t="s">
        <v>20</v>
      </c>
      <c r="O2404" s="6" t="str">
        <f>HYPERLINK("https://pbs.twimg.com/profile_images/962471262747529216/Uo8lOkRJ_normal.jpg","View")</f>
        <v>View</v>
      </c>
      <c r="P2404" s="7"/>
    </row>
    <row r="2405" spans="1:16">
      <c r="A2405" s="3">
        <v>43883.04787037037</v>
      </c>
      <c r="B2405" s="4" t="str">
        <f>HYPERLINK("https://twitter.com/petrogustavo","@petrogustavo")</f>
        <v>@petrogustavo</v>
      </c>
      <c r="C2405" s="5" t="s">
        <v>16</v>
      </c>
      <c r="D2405" s="5" t="s">
        <v>2353</v>
      </c>
      <c r="E2405" s="6" t="str">
        <f>HYPERLINK("https://twitter.com/petrogustavo/status/1230939981998436354","1230939981998436354")</f>
        <v>1230939981998436354</v>
      </c>
      <c r="F2405" s="7" t="s">
        <v>17</v>
      </c>
      <c r="G2405" s="7">
        <v>3643173</v>
      </c>
      <c r="H2405" s="7">
        <v>2350</v>
      </c>
      <c r="I2405" s="7">
        <v>41</v>
      </c>
      <c r="J2405" s="7">
        <v>119</v>
      </c>
      <c r="K2405" s="7" t="s">
        <v>18</v>
      </c>
      <c r="L2405" s="8">
        <v>39987.315405092595</v>
      </c>
      <c r="M2405" s="9" t="s">
        <v>19</v>
      </c>
      <c r="N2405" s="9" t="s">
        <v>20</v>
      </c>
      <c r="O2405" s="6" t="str">
        <f>HYPERLINK("https://pbs.twimg.com/profile_images/962471262747529216/Uo8lOkRJ_normal.jpg","View")</f>
        <v>View</v>
      </c>
      <c r="P2405" s="7"/>
    </row>
    <row r="2406" spans="1:16">
      <c r="A2406" s="3">
        <v>43883.050115740742</v>
      </c>
      <c r="B2406" s="4" t="str">
        <f>HYPERLINK("https://twitter.com/petrogustavo","@petrogustavo")</f>
        <v>@petrogustavo</v>
      </c>
      <c r="C2406" s="5" t="s">
        <v>16</v>
      </c>
      <c r="D2406" s="5" t="s">
        <v>2354</v>
      </c>
      <c r="E2406" s="6" t="str">
        <f>HYPERLINK("https://twitter.com/petrogustavo/status/1230940796247060484","1230940796247060484")</f>
        <v>1230940796247060484</v>
      </c>
      <c r="F2406" s="7" t="s">
        <v>17</v>
      </c>
      <c r="G2406" s="7">
        <v>3643173</v>
      </c>
      <c r="H2406" s="7">
        <v>2350</v>
      </c>
      <c r="I2406" s="7">
        <v>60</v>
      </c>
      <c r="J2406" s="7">
        <v>0</v>
      </c>
      <c r="K2406" s="7" t="s">
        <v>18</v>
      </c>
      <c r="L2406" s="8">
        <v>39987.315405092595</v>
      </c>
      <c r="M2406" s="9" t="s">
        <v>19</v>
      </c>
      <c r="N2406" s="9" t="s">
        <v>20</v>
      </c>
      <c r="O2406" s="6" t="str">
        <f>HYPERLINK("https://pbs.twimg.com/profile_images/962471262747529216/Uo8lOkRJ_normal.jpg","View")</f>
        <v>View</v>
      </c>
      <c r="P2406" s="7"/>
    </row>
    <row r="2407" spans="1:16">
      <c r="A2407" s="3">
        <v>43883.050358796296</v>
      </c>
      <c r="B2407" s="4" t="str">
        <f>HYPERLINK("https://twitter.com/petrogustavo","@petrogustavo")</f>
        <v>@petrogustavo</v>
      </c>
      <c r="C2407" s="5" t="s">
        <v>16</v>
      </c>
      <c r="D2407" s="5" t="s">
        <v>2355</v>
      </c>
      <c r="E2407" s="6" t="str">
        <f>HYPERLINK("https://twitter.com/petrogustavo/status/1230940885807968256","1230940885807968256")</f>
        <v>1230940885807968256</v>
      </c>
      <c r="F2407" s="7" t="s">
        <v>17</v>
      </c>
      <c r="G2407" s="7">
        <v>3643173</v>
      </c>
      <c r="H2407" s="7">
        <v>2350</v>
      </c>
      <c r="I2407" s="7">
        <v>16</v>
      </c>
      <c r="J2407" s="7">
        <v>0</v>
      </c>
      <c r="K2407" s="7" t="s">
        <v>18</v>
      </c>
      <c r="L2407" s="8">
        <v>39987.315405092595</v>
      </c>
      <c r="M2407" s="9" t="s">
        <v>19</v>
      </c>
      <c r="N2407" s="9" t="s">
        <v>20</v>
      </c>
      <c r="O2407" s="6" t="str">
        <f>HYPERLINK("https://pbs.twimg.com/profile_images/962471262747529216/Uo8lOkRJ_normal.jpg","View")</f>
        <v>View</v>
      </c>
      <c r="P2407" s="7"/>
    </row>
    <row r="2408" spans="1:16">
      <c r="A2408" s="3">
        <v>43883.051145833335</v>
      </c>
      <c r="B2408" s="4" t="str">
        <f>HYPERLINK("https://twitter.com/petrogustavo","@petrogustavo")</f>
        <v>@petrogustavo</v>
      </c>
      <c r="C2408" s="5" t="s">
        <v>16</v>
      </c>
      <c r="D2408" s="5" t="s">
        <v>2356</v>
      </c>
      <c r="E2408" s="6" t="str">
        <f>HYPERLINK("https://twitter.com/petrogustavo/status/1230941172438372353","1230941172438372353")</f>
        <v>1230941172438372353</v>
      </c>
      <c r="F2408" s="7" t="s">
        <v>17</v>
      </c>
      <c r="G2408" s="7">
        <v>3643173</v>
      </c>
      <c r="H2408" s="7">
        <v>2350</v>
      </c>
      <c r="I2408" s="7">
        <v>6</v>
      </c>
      <c r="J2408" s="7">
        <v>0</v>
      </c>
      <c r="K2408" s="7" t="s">
        <v>18</v>
      </c>
      <c r="L2408" s="8">
        <v>39987.315405092595</v>
      </c>
      <c r="M2408" s="9" t="s">
        <v>19</v>
      </c>
      <c r="N2408" s="9" t="s">
        <v>20</v>
      </c>
      <c r="O2408" s="6" t="str">
        <f>HYPERLINK("https://pbs.twimg.com/profile_images/962471262747529216/Uo8lOkRJ_normal.jpg","View")</f>
        <v>View</v>
      </c>
      <c r="P2408" s="7"/>
    </row>
    <row r="2409" spans="1:16">
      <c r="A2409" s="3">
        <v>43883.051377314812</v>
      </c>
      <c r="B2409" s="4" t="str">
        <f>HYPERLINK("https://twitter.com/petrogustavo","@petrogustavo")</f>
        <v>@petrogustavo</v>
      </c>
      <c r="C2409" s="5" t="s">
        <v>16</v>
      </c>
      <c r="D2409" s="5" t="s">
        <v>2357</v>
      </c>
      <c r="E2409" s="6" t="str">
        <f>HYPERLINK("https://twitter.com/petrogustavo/status/1230941253270986754","1230941253270986754")</f>
        <v>1230941253270986754</v>
      </c>
      <c r="F2409" s="7" t="s">
        <v>17</v>
      </c>
      <c r="G2409" s="7">
        <v>3643173</v>
      </c>
      <c r="H2409" s="7">
        <v>2350</v>
      </c>
      <c r="I2409" s="7">
        <v>517</v>
      </c>
      <c r="J2409" s="7">
        <v>0</v>
      </c>
      <c r="K2409" s="7" t="s">
        <v>18</v>
      </c>
      <c r="L2409" s="8">
        <v>39987.315405092595</v>
      </c>
      <c r="M2409" s="9" t="s">
        <v>19</v>
      </c>
      <c r="N2409" s="9" t="s">
        <v>20</v>
      </c>
      <c r="O2409" s="6" t="str">
        <f>HYPERLINK("https://pbs.twimg.com/profile_images/962471262747529216/Uo8lOkRJ_normal.jpg","View")</f>
        <v>View</v>
      </c>
      <c r="P2409" s="7"/>
    </row>
    <row r="2410" spans="1:16">
      <c r="A2410" s="3">
        <v>43883.053275462968</v>
      </c>
      <c r="B2410" s="4" t="str">
        <f>HYPERLINK("https://twitter.com/petrogustavo","@petrogustavo")</f>
        <v>@petrogustavo</v>
      </c>
      <c r="C2410" s="5" t="s">
        <v>16</v>
      </c>
      <c r="D2410" s="5" t="s">
        <v>2358</v>
      </c>
      <c r="E2410" s="6" t="str">
        <f>HYPERLINK("https://twitter.com/petrogustavo/status/1230941942688763904","1230941942688763904")</f>
        <v>1230941942688763904</v>
      </c>
      <c r="F2410" s="7" t="s">
        <v>17</v>
      </c>
      <c r="G2410" s="7">
        <v>3643173</v>
      </c>
      <c r="H2410" s="7">
        <v>2350</v>
      </c>
      <c r="I2410" s="7">
        <v>4</v>
      </c>
      <c r="J2410" s="7">
        <v>0</v>
      </c>
      <c r="K2410" s="7" t="s">
        <v>18</v>
      </c>
      <c r="L2410" s="8">
        <v>39987.315405092595</v>
      </c>
      <c r="M2410" s="9" t="s">
        <v>19</v>
      </c>
      <c r="N2410" s="9" t="s">
        <v>20</v>
      </c>
      <c r="O2410" s="6" t="str">
        <f>HYPERLINK("https://pbs.twimg.com/profile_images/962471262747529216/Uo8lOkRJ_normal.jpg","View")</f>
        <v>View</v>
      </c>
      <c r="P2410" s="7"/>
    </row>
    <row r="2411" spans="1:16">
      <c r="A2411" s="3">
        <v>43883.053749999999</v>
      </c>
      <c r="B2411" s="4" t="str">
        <f>HYPERLINK("https://twitter.com/petrogustavo","@petrogustavo")</f>
        <v>@petrogustavo</v>
      </c>
      <c r="C2411" s="5" t="s">
        <v>16</v>
      </c>
      <c r="D2411" s="5" t="s">
        <v>2359</v>
      </c>
      <c r="E2411" s="6" t="str">
        <f>HYPERLINK("https://twitter.com/petrogustavo/status/1230942113682120705","1230942113682120705")</f>
        <v>1230942113682120705</v>
      </c>
      <c r="F2411" s="7" t="s">
        <v>17</v>
      </c>
      <c r="G2411" s="7">
        <v>3643194</v>
      </c>
      <c r="H2411" s="7">
        <v>2350</v>
      </c>
      <c r="I2411" s="7">
        <v>201</v>
      </c>
      <c r="J2411" s="7">
        <v>0</v>
      </c>
      <c r="K2411" s="7" t="s">
        <v>18</v>
      </c>
      <c r="L2411" s="8">
        <v>39987.315405092595</v>
      </c>
      <c r="M2411" s="9" t="s">
        <v>19</v>
      </c>
      <c r="N2411" s="9" t="s">
        <v>20</v>
      </c>
      <c r="O2411" s="6" t="str">
        <f>HYPERLINK("https://pbs.twimg.com/profile_images/962471262747529216/Uo8lOkRJ_normal.jpg","View")</f>
        <v>View</v>
      </c>
      <c r="P2411" s="7"/>
    </row>
    <row r="2412" spans="1:16">
      <c r="A2412" s="3">
        <v>43883.055775462963</v>
      </c>
      <c r="B2412" s="4" t="str">
        <f>HYPERLINK("https://twitter.com/petrogustavo","@petrogustavo")</f>
        <v>@petrogustavo</v>
      </c>
      <c r="C2412" s="5" t="s">
        <v>16</v>
      </c>
      <c r="D2412" s="5" t="s">
        <v>2360</v>
      </c>
      <c r="E2412" s="6" t="str">
        <f>HYPERLINK("https://twitter.com/petrogustavo/status/1230942848469655557","1230942848469655557")</f>
        <v>1230942848469655557</v>
      </c>
      <c r="F2412" s="7" t="s">
        <v>17</v>
      </c>
      <c r="G2412" s="7">
        <v>3643194</v>
      </c>
      <c r="H2412" s="7">
        <v>2350</v>
      </c>
      <c r="I2412" s="7">
        <v>185</v>
      </c>
      <c r="J2412" s="7">
        <v>0</v>
      </c>
      <c r="K2412" s="7" t="s">
        <v>18</v>
      </c>
      <c r="L2412" s="8">
        <v>39987.315405092595</v>
      </c>
      <c r="M2412" s="9" t="s">
        <v>19</v>
      </c>
      <c r="N2412" s="9" t="s">
        <v>20</v>
      </c>
      <c r="O2412" s="6" t="str">
        <f>HYPERLINK("https://pbs.twimg.com/profile_images/962471262747529216/Uo8lOkRJ_normal.jpg","View")</f>
        <v>View</v>
      </c>
      <c r="P2412" s="7"/>
    </row>
    <row r="2413" spans="1:16">
      <c r="A2413" s="3">
        <v>43883.05950231482</v>
      </c>
      <c r="B2413" s="4" t="str">
        <f>HYPERLINK("https://twitter.com/petrogustavo","@petrogustavo")</f>
        <v>@petrogustavo</v>
      </c>
      <c r="C2413" s="5" t="s">
        <v>16</v>
      </c>
      <c r="D2413" s="5" t="s">
        <v>2361</v>
      </c>
      <c r="E2413" s="6" t="str">
        <f>HYPERLINK("https://twitter.com/petrogustavo/status/1230944198918012928","1230944198918012928")</f>
        <v>1230944198918012928</v>
      </c>
      <c r="F2413" s="7" t="s">
        <v>17</v>
      </c>
      <c r="G2413" s="7">
        <v>3643194</v>
      </c>
      <c r="H2413" s="7">
        <v>2350</v>
      </c>
      <c r="I2413" s="7">
        <v>31</v>
      </c>
      <c r="J2413" s="7">
        <v>66</v>
      </c>
      <c r="K2413" s="7" t="s">
        <v>18</v>
      </c>
      <c r="L2413" s="8">
        <v>39987.315405092595</v>
      </c>
      <c r="M2413" s="9" t="s">
        <v>19</v>
      </c>
      <c r="N2413" s="9" t="s">
        <v>20</v>
      </c>
      <c r="O2413" s="6" t="str">
        <f>HYPERLINK("https://pbs.twimg.com/profile_images/962471262747529216/Uo8lOkRJ_normal.jpg","View")</f>
        <v>View</v>
      </c>
      <c r="P2413" s="7"/>
    </row>
    <row r="2414" spans="1:16">
      <c r="A2414" s="3">
        <v>43883.060335648144</v>
      </c>
      <c r="B2414" s="4" t="str">
        <f>HYPERLINK("https://twitter.com/petrogustavo","@petrogustavo")</f>
        <v>@petrogustavo</v>
      </c>
      <c r="C2414" s="5" t="s">
        <v>16</v>
      </c>
      <c r="D2414" s="5" t="s">
        <v>2362</v>
      </c>
      <c r="E2414" s="6" t="str">
        <f>HYPERLINK("https://twitter.com/petrogustavo/status/1230944499037351942","1230944499037351942")</f>
        <v>1230944499037351942</v>
      </c>
      <c r="F2414" s="7" t="s">
        <v>17</v>
      </c>
      <c r="G2414" s="7">
        <v>3643194</v>
      </c>
      <c r="H2414" s="7">
        <v>2350</v>
      </c>
      <c r="I2414" s="7">
        <v>49</v>
      </c>
      <c r="J2414" s="7">
        <v>0</v>
      </c>
      <c r="K2414" s="7" t="s">
        <v>18</v>
      </c>
      <c r="L2414" s="8">
        <v>39987.315405092595</v>
      </c>
      <c r="M2414" s="9" t="s">
        <v>19</v>
      </c>
      <c r="N2414" s="9" t="s">
        <v>20</v>
      </c>
      <c r="O2414" s="6" t="str">
        <f>HYPERLINK("https://pbs.twimg.com/profile_images/962471262747529216/Uo8lOkRJ_normal.jpg","View")</f>
        <v>View</v>
      </c>
      <c r="P2414" s="7"/>
    </row>
    <row r="2415" spans="1:16">
      <c r="A2415" s="3">
        <v>43883.061956018515</v>
      </c>
      <c r="B2415" s="4" t="str">
        <f>HYPERLINK("https://twitter.com/petrogustavo","@petrogustavo")</f>
        <v>@petrogustavo</v>
      </c>
      <c r="C2415" s="5" t="s">
        <v>16</v>
      </c>
      <c r="D2415" s="5" t="s">
        <v>2363</v>
      </c>
      <c r="E2415" s="6" t="str">
        <f>HYPERLINK("https://twitter.com/petrogustavo/status/1230945087858847744","1230945087858847744")</f>
        <v>1230945087858847744</v>
      </c>
      <c r="F2415" s="7" t="s">
        <v>17</v>
      </c>
      <c r="G2415" s="7">
        <v>3643194</v>
      </c>
      <c r="H2415" s="7">
        <v>2350</v>
      </c>
      <c r="I2415" s="7">
        <v>89</v>
      </c>
      <c r="J2415" s="7">
        <v>188</v>
      </c>
      <c r="K2415" s="7" t="s">
        <v>18</v>
      </c>
      <c r="L2415" s="8">
        <v>39987.315405092595</v>
      </c>
      <c r="M2415" s="9" t="s">
        <v>19</v>
      </c>
      <c r="N2415" s="9" t="s">
        <v>20</v>
      </c>
      <c r="O2415" s="6" t="str">
        <f>HYPERLINK("https://pbs.twimg.com/profile_images/962471262747529216/Uo8lOkRJ_normal.jpg","View")</f>
        <v>View</v>
      </c>
      <c r="P2415" s="7"/>
    </row>
    <row r="2416" spans="1:16">
      <c r="A2416" s="3">
        <v>43883.065520833334</v>
      </c>
      <c r="B2416" s="4" t="str">
        <f>HYPERLINK("https://twitter.com/petrogustavo","@petrogustavo")</f>
        <v>@petrogustavo</v>
      </c>
      <c r="C2416" s="5" t="s">
        <v>16</v>
      </c>
      <c r="D2416" s="5" t="s">
        <v>2364</v>
      </c>
      <c r="E2416" s="6" t="str">
        <f>HYPERLINK("https://twitter.com/petrogustavo/status/1230946379297644545","1230946379297644545")</f>
        <v>1230946379297644545</v>
      </c>
      <c r="F2416" s="7" t="s">
        <v>17</v>
      </c>
      <c r="G2416" s="7">
        <v>3643194</v>
      </c>
      <c r="H2416" s="7">
        <v>2350</v>
      </c>
      <c r="I2416" s="7">
        <v>58</v>
      </c>
      <c r="J2416" s="7">
        <v>90</v>
      </c>
      <c r="K2416" s="7" t="s">
        <v>18</v>
      </c>
      <c r="L2416" s="8">
        <v>39987.315405092595</v>
      </c>
      <c r="M2416" s="9" t="s">
        <v>19</v>
      </c>
      <c r="N2416" s="9" t="s">
        <v>20</v>
      </c>
      <c r="O2416" s="6" t="str">
        <f>HYPERLINK("https://pbs.twimg.com/profile_images/962471262747529216/Uo8lOkRJ_normal.jpg","View")</f>
        <v>View</v>
      </c>
      <c r="P2416" s="7"/>
    </row>
    <row r="2417" spans="1:16">
      <c r="A2417" s="3">
        <v>43883.06622685185</v>
      </c>
      <c r="B2417" s="4" t="str">
        <f>HYPERLINK("https://twitter.com/petrogustavo","@petrogustavo")</f>
        <v>@petrogustavo</v>
      </c>
      <c r="C2417" s="5" t="s">
        <v>16</v>
      </c>
      <c r="D2417" s="5" t="s">
        <v>2365</v>
      </c>
      <c r="E2417" s="6" t="str">
        <f>HYPERLINK("https://twitter.com/petrogustavo/status/1230946636249141255","1230946636249141255")</f>
        <v>1230946636249141255</v>
      </c>
      <c r="F2417" s="7" t="s">
        <v>17</v>
      </c>
      <c r="G2417" s="7">
        <v>3643194</v>
      </c>
      <c r="H2417" s="7">
        <v>2350</v>
      </c>
      <c r="I2417" s="7">
        <v>998</v>
      </c>
      <c r="J2417" s="7">
        <v>0</v>
      </c>
      <c r="K2417" s="7" t="s">
        <v>18</v>
      </c>
      <c r="L2417" s="8">
        <v>39987.315405092595</v>
      </c>
      <c r="M2417" s="9" t="s">
        <v>19</v>
      </c>
      <c r="N2417" s="9" t="s">
        <v>20</v>
      </c>
      <c r="O2417" s="6" t="str">
        <f>HYPERLINK("https://pbs.twimg.com/profile_images/962471262747529216/Uo8lOkRJ_normal.jpg","View")</f>
        <v>View</v>
      </c>
      <c r="P2417" s="7"/>
    </row>
    <row r="2418" spans="1:16">
      <c r="A2418" s="3">
        <v>43883.071655092594</v>
      </c>
      <c r="B2418" s="4" t="str">
        <f>HYPERLINK("https://twitter.com/petrogustavo","@petrogustavo")</f>
        <v>@petrogustavo</v>
      </c>
      <c r="C2418" s="5" t="s">
        <v>16</v>
      </c>
      <c r="D2418" s="5" t="s">
        <v>2366</v>
      </c>
      <c r="E2418" s="6" t="str">
        <f>HYPERLINK("https://twitter.com/petrogustavo/status/1230948603054710789","1230948603054710789")</f>
        <v>1230948603054710789</v>
      </c>
      <c r="F2418" s="7" t="s">
        <v>17</v>
      </c>
      <c r="G2418" s="7">
        <v>3643194</v>
      </c>
      <c r="H2418" s="7">
        <v>2350</v>
      </c>
      <c r="I2418" s="7">
        <v>101</v>
      </c>
      <c r="J2418" s="7">
        <v>386</v>
      </c>
      <c r="K2418" s="7" t="s">
        <v>18</v>
      </c>
      <c r="L2418" s="8">
        <v>39987.315405092595</v>
      </c>
      <c r="M2418" s="9" t="s">
        <v>19</v>
      </c>
      <c r="N2418" s="9" t="s">
        <v>20</v>
      </c>
      <c r="O2418" s="6" t="str">
        <f>HYPERLINK("https://pbs.twimg.com/profile_images/962471262747529216/Uo8lOkRJ_normal.jpg","View")</f>
        <v>View</v>
      </c>
      <c r="P2418" s="7"/>
    </row>
    <row r="2419" spans="1:16">
      <c r="A2419" s="3">
        <v>43883.081886574073</v>
      </c>
      <c r="B2419" s="4" t="str">
        <f>HYPERLINK("https://twitter.com/petrogustavo","@petrogustavo")</f>
        <v>@petrogustavo</v>
      </c>
      <c r="C2419" s="5" t="s">
        <v>16</v>
      </c>
      <c r="D2419" s="5" t="s">
        <v>2367</v>
      </c>
      <c r="E2419" s="6" t="str">
        <f>HYPERLINK("https://twitter.com/petrogustavo/status/1230952308739125250","1230952308739125250")</f>
        <v>1230952308739125250</v>
      </c>
      <c r="F2419" s="7" t="s">
        <v>17</v>
      </c>
      <c r="G2419" s="7">
        <v>3643206</v>
      </c>
      <c r="H2419" s="7">
        <v>2351</v>
      </c>
      <c r="I2419" s="7">
        <v>37</v>
      </c>
      <c r="J2419" s="7">
        <v>0</v>
      </c>
      <c r="K2419" s="7" t="s">
        <v>18</v>
      </c>
      <c r="L2419" s="8">
        <v>39987.315405092595</v>
      </c>
      <c r="M2419" s="9" t="s">
        <v>19</v>
      </c>
      <c r="N2419" s="9" t="s">
        <v>20</v>
      </c>
      <c r="O2419" s="6" t="str">
        <f>HYPERLINK("https://pbs.twimg.com/profile_images/962471262747529216/Uo8lOkRJ_normal.jpg","View")</f>
        <v>View</v>
      </c>
      <c r="P2419" s="7"/>
    </row>
    <row r="2420" spans="1:16">
      <c r="A2420" s="3">
        <v>43883.211979166663</v>
      </c>
      <c r="B2420" s="4" t="str">
        <f>HYPERLINK("https://twitter.com/petrogustavo","@petrogustavo")</f>
        <v>@petrogustavo</v>
      </c>
      <c r="C2420" s="5" t="s">
        <v>16</v>
      </c>
      <c r="D2420" s="5" t="s">
        <v>2368</v>
      </c>
      <c r="E2420" s="6" t="str">
        <f>HYPERLINK("https://twitter.com/petrogustavo/status/1230999456344092673","1230999456344092673")</f>
        <v>1230999456344092673</v>
      </c>
      <c r="F2420" s="7" t="s">
        <v>17</v>
      </c>
      <c r="G2420" s="7">
        <v>3643379</v>
      </c>
      <c r="H2420" s="7">
        <v>2351</v>
      </c>
      <c r="I2420" s="7">
        <v>18</v>
      </c>
      <c r="J2420" s="7">
        <v>0</v>
      </c>
      <c r="K2420" s="7" t="s">
        <v>18</v>
      </c>
      <c r="L2420" s="8">
        <v>39987.315405092595</v>
      </c>
      <c r="M2420" s="9" t="s">
        <v>19</v>
      </c>
      <c r="N2420" s="9" t="s">
        <v>20</v>
      </c>
      <c r="O2420" s="6" t="str">
        <f>HYPERLINK("https://pbs.twimg.com/profile_images/962471262747529216/Uo8lOkRJ_normal.jpg","View")</f>
        <v>View</v>
      </c>
      <c r="P2420" s="7"/>
    </row>
    <row r="2421" spans="1:16">
      <c r="A2421" s="3">
        <v>43883.212685185186</v>
      </c>
      <c r="B2421" s="4" t="str">
        <f>HYPERLINK("https://twitter.com/petrogustavo","@petrogustavo")</f>
        <v>@petrogustavo</v>
      </c>
      <c r="C2421" s="5" t="s">
        <v>16</v>
      </c>
      <c r="D2421" s="5" t="s">
        <v>2369</v>
      </c>
      <c r="E2421" s="6" t="str">
        <f>HYPERLINK("https://twitter.com/petrogustavo/status/1230999709252276226","1230999709252276226")</f>
        <v>1230999709252276226</v>
      </c>
      <c r="F2421" s="7" t="s">
        <v>17</v>
      </c>
      <c r="G2421" s="7">
        <v>3643379</v>
      </c>
      <c r="H2421" s="7">
        <v>2351</v>
      </c>
      <c r="I2421" s="7">
        <v>74</v>
      </c>
      <c r="J2421" s="7">
        <v>0</v>
      </c>
      <c r="K2421" s="7" t="s">
        <v>18</v>
      </c>
      <c r="L2421" s="8">
        <v>39987.315405092595</v>
      </c>
      <c r="M2421" s="9" t="s">
        <v>19</v>
      </c>
      <c r="N2421" s="9" t="s">
        <v>20</v>
      </c>
      <c r="O2421" s="6" t="str">
        <f>HYPERLINK("https://pbs.twimg.com/profile_images/962471262747529216/Uo8lOkRJ_normal.jpg","View")</f>
        <v>View</v>
      </c>
      <c r="P2421" s="7"/>
    </row>
    <row r="2422" spans="1:16">
      <c r="A2422" s="3">
        <v>43883.223854166667</v>
      </c>
      <c r="B2422" s="4" t="str">
        <f>HYPERLINK("https://twitter.com/petrogustavo","@petrogustavo")</f>
        <v>@petrogustavo</v>
      </c>
      <c r="C2422" s="5" t="s">
        <v>16</v>
      </c>
      <c r="D2422" s="5" t="s">
        <v>2370</v>
      </c>
      <c r="E2422" s="6" t="str">
        <f>HYPERLINK("https://twitter.com/petrogustavo/status/1231003756369793024","1231003756369793024")</f>
        <v>1231003756369793024</v>
      </c>
      <c r="F2422" s="7" t="s">
        <v>17</v>
      </c>
      <c r="G2422" s="7">
        <v>3643378</v>
      </c>
      <c r="H2422" s="7">
        <v>2351</v>
      </c>
      <c r="I2422" s="7">
        <v>143</v>
      </c>
      <c r="J2422" s="7">
        <v>407</v>
      </c>
      <c r="K2422" s="7" t="s">
        <v>18</v>
      </c>
      <c r="L2422" s="8">
        <v>39987.315405092595</v>
      </c>
      <c r="M2422" s="9" t="s">
        <v>19</v>
      </c>
      <c r="N2422" s="9" t="s">
        <v>20</v>
      </c>
      <c r="O2422" s="6" t="str">
        <f>HYPERLINK("https://pbs.twimg.com/profile_images/962471262747529216/Uo8lOkRJ_normal.jpg","View")</f>
        <v>View</v>
      </c>
      <c r="P2422" s="7"/>
    </row>
    <row r="2423" spans="1:16">
      <c r="A2423" s="3">
        <v>43883.224363425921</v>
      </c>
      <c r="B2423" s="4" t="str">
        <f>HYPERLINK("https://twitter.com/petrogustavo","@petrogustavo")</f>
        <v>@petrogustavo</v>
      </c>
      <c r="C2423" s="5" t="s">
        <v>16</v>
      </c>
      <c r="D2423" s="5" t="s">
        <v>2371</v>
      </c>
      <c r="E2423" s="6" t="str">
        <f>HYPERLINK("https://twitter.com/petrogustavo/status/1231003940516515841","1231003940516515841")</f>
        <v>1231003940516515841</v>
      </c>
      <c r="F2423" s="7" t="s">
        <v>17</v>
      </c>
      <c r="G2423" s="7">
        <v>3643378</v>
      </c>
      <c r="H2423" s="7">
        <v>2351</v>
      </c>
      <c r="I2423" s="7">
        <v>69</v>
      </c>
      <c r="J2423" s="7">
        <v>0</v>
      </c>
      <c r="K2423" s="7" t="s">
        <v>18</v>
      </c>
      <c r="L2423" s="8">
        <v>39987.315405092595</v>
      </c>
      <c r="M2423" s="9" t="s">
        <v>19</v>
      </c>
      <c r="N2423" s="9" t="s">
        <v>20</v>
      </c>
      <c r="O2423" s="6" t="str">
        <f>HYPERLINK("https://pbs.twimg.com/profile_images/962471262747529216/Uo8lOkRJ_normal.jpg","View")</f>
        <v>View</v>
      </c>
      <c r="P2423" s="7"/>
    </row>
    <row r="2424" spans="1:16">
      <c r="A2424" s="3">
        <v>43883.225416666668</v>
      </c>
      <c r="B2424" s="4" t="str">
        <f>HYPERLINK("https://twitter.com/petrogustavo","@petrogustavo")</f>
        <v>@petrogustavo</v>
      </c>
      <c r="C2424" s="5" t="s">
        <v>16</v>
      </c>
      <c r="D2424" s="5" t="s">
        <v>2372</v>
      </c>
      <c r="E2424" s="6" t="str">
        <f>HYPERLINK("https://twitter.com/petrogustavo/status/1231004324169502720","1231004324169502720")</f>
        <v>1231004324169502720</v>
      </c>
      <c r="F2424" s="7" t="s">
        <v>17</v>
      </c>
      <c r="G2424" s="7">
        <v>3643378</v>
      </c>
      <c r="H2424" s="7">
        <v>2351</v>
      </c>
      <c r="I2424" s="7">
        <v>99</v>
      </c>
      <c r="J2424" s="7">
        <v>0</v>
      </c>
      <c r="K2424" s="7" t="s">
        <v>18</v>
      </c>
      <c r="L2424" s="8">
        <v>39987.315405092595</v>
      </c>
      <c r="M2424" s="9" t="s">
        <v>19</v>
      </c>
      <c r="N2424" s="9" t="s">
        <v>20</v>
      </c>
      <c r="O2424" s="6" t="str">
        <f>HYPERLINK("https://pbs.twimg.com/profile_images/962471262747529216/Uo8lOkRJ_normal.jpg","View")</f>
        <v>View</v>
      </c>
      <c r="P2424" s="7"/>
    </row>
    <row r="2425" spans="1:16">
      <c r="A2425" s="3">
        <v>43883.227905092594</v>
      </c>
      <c r="B2425" s="4" t="str">
        <f>HYPERLINK("https://twitter.com/petrogustavo","@petrogustavo")</f>
        <v>@petrogustavo</v>
      </c>
      <c r="C2425" s="5" t="s">
        <v>16</v>
      </c>
      <c r="D2425" s="5" t="s">
        <v>2373</v>
      </c>
      <c r="E2425" s="6" t="str">
        <f>HYPERLINK("https://twitter.com/petrogustavo/status/1231005225311440898","1231005225311440898")</f>
        <v>1231005225311440898</v>
      </c>
      <c r="F2425" s="7" t="s">
        <v>17</v>
      </c>
      <c r="G2425" s="7">
        <v>3643378</v>
      </c>
      <c r="H2425" s="7">
        <v>2351</v>
      </c>
      <c r="I2425" s="7">
        <v>250</v>
      </c>
      <c r="J2425" s="7">
        <v>0</v>
      </c>
      <c r="K2425" s="7" t="s">
        <v>18</v>
      </c>
      <c r="L2425" s="8">
        <v>39987.315405092595</v>
      </c>
      <c r="M2425" s="9" t="s">
        <v>19</v>
      </c>
      <c r="N2425" s="9" t="s">
        <v>20</v>
      </c>
      <c r="O2425" s="6" t="str">
        <f>HYPERLINK("https://pbs.twimg.com/profile_images/962471262747529216/Uo8lOkRJ_normal.jpg","View")</f>
        <v>View</v>
      </c>
      <c r="P2425" s="7"/>
    </row>
    <row r="2426" spans="1:16">
      <c r="A2426" s="3">
        <v>43883.22828703704</v>
      </c>
      <c r="B2426" s="4" t="str">
        <f>HYPERLINK("https://twitter.com/petrogustavo","@petrogustavo")</f>
        <v>@petrogustavo</v>
      </c>
      <c r="C2426" s="5" t="s">
        <v>16</v>
      </c>
      <c r="D2426" s="5" t="s">
        <v>2374</v>
      </c>
      <c r="E2426" s="6" t="str">
        <f>HYPERLINK("https://twitter.com/petrogustavo/status/1231005365740953601","1231005365740953601")</f>
        <v>1231005365740953601</v>
      </c>
      <c r="F2426" s="7" t="s">
        <v>17</v>
      </c>
      <c r="G2426" s="7">
        <v>3643378</v>
      </c>
      <c r="H2426" s="7">
        <v>2351</v>
      </c>
      <c r="I2426" s="7">
        <v>65</v>
      </c>
      <c r="J2426" s="7">
        <v>0</v>
      </c>
      <c r="K2426" s="7" t="s">
        <v>18</v>
      </c>
      <c r="L2426" s="8">
        <v>39987.315405092595</v>
      </c>
      <c r="M2426" s="9" t="s">
        <v>19</v>
      </c>
      <c r="N2426" s="9" t="s">
        <v>20</v>
      </c>
      <c r="O2426" s="6" t="str">
        <f>HYPERLINK("https://pbs.twimg.com/profile_images/962471262747529216/Uo8lOkRJ_normal.jpg","View")</f>
        <v>View</v>
      </c>
      <c r="P2426" s="7"/>
    </row>
    <row r="2427" spans="1:16">
      <c r="A2427" s="3">
        <v>43883.228645833333</v>
      </c>
      <c r="B2427" s="4" t="str">
        <f>HYPERLINK("https://twitter.com/petrogustavo","@petrogustavo")</f>
        <v>@petrogustavo</v>
      </c>
      <c r="C2427" s="5" t="s">
        <v>16</v>
      </c>
      <c r="D2427" s="5" t="s">
        <v>2375</v>
      </c>
      <c r="E2427" s="6" t="str">
        <f>HYPERLINK("https://twitter.com/petrogustavo/status/1231005494531280897","1231005494531280897")</f>
        <v>1231005494531280897</v>
      </c>
      <c r="F2427" s="7" t="s">
        <v>17</v>
      </c>
      <c r="G2427" s="7">
        <v>3643378</v>
      </c>
      <c r="H2427" s="7">
        <v>2351</v>
      </c>
      <c r="I2427" s="7">
        <v>33</v>
      </c>
      <c r="J2427" s="7">
        <v>0</v>
      </c>
      <c r="K2427" s="7" t="s">
        <v>18</v>
      </c>
      <c r="L2427" s="8">
        <v>39987.315405092595</v>
      </c>
      <c r="M2427" s="9" t="s">
        <v>19</v>
      </c>
      <c r="N2427" s="9" t="s">
        <v>20</v>
      </c>
      <c r="O2427" s="6" t="str">
        <f>HYPERLINK("https://pbs.twimg.com/profile_images/962471262747529216/Uo8lOkRJ_normal.jpg","View")</f>
        <v>View</v>
      </c>
      <c r="P2427" s="7"/>
    </row>
    <row r="2428" spans="1:16">
      <c r="A2428" s="3">
        <v>43883.22923611111</v>
      </c>
      <c r="B2428" s="4" t="str">
        <f>HYPERLINK("https://twitter.com/petrogustavo","@petrogustavo")</f>
        <v>@petrogustavo</v>
      </c>
      <c r="C2428" s="5" t="s">
        <v>16</v>
      </c>
      <c r="D2428" s="5" t="s">
        <v>2376</v>
      </c>
      <c r="E2428" s="6" t="str">
        <f>HYPERLINK("https://twitter.com/petrogustavo/status/1231005708583342080","1231005708583342080")</f>
        <v>1231005708583342080</v>
      </c>
      <c r="F2428" s="7" t="s">
        <v>17</v>
      </c>
      <c r="G2428" s="7">
        <v>3643378</v>
      </c>
      <c r="H2428" s="7">
        <v>2351</v>
      </c>
      <c r="I2428" s="7">
        <v>36</v>
      </c>
      <c r="J2428" s="7">
        <v>0</v>
      </c>
      <c r="K2428" s="7" t="s">
        <v>18</v>
      </c>
      <c r="L2428" s="8">
        <v>39987.315405092595</v>
      </c>
      <c r="M2428" s="9" t="s">
        <v>19</v>
      </c>
      <c r="N2428" s="9" t="s">
        <v>20</v>
      </c>
      <c r="O2428" s="6" t="str">
        <f>HYPERLINK("https://pbs.twimg.com/profile_images/962471262747529216/Uo8lOkRJ_normal.jpg","View")</f>
        <v>View</v>
      </c>
      <c r="P2428" s="7"/>
    </row>
    <row r="2429" spans="1:16">
      <c r="A2429" s="3">
        <v>43883.230902777781</v>
      </c>
      <c r="B2429" s="4" t="str">
        <f>HYPERLINK("https://twitter.com/petrogustavo","@petrogustavo")</f>
        <v>@petrogustavo</v>
      </c>
      <c r="C2429" s="5" t="s">
        <v>16</v>
      </c>
      <c r="D2429" s="5" t="s">
        <v>2377</v>
      </c>
      <c r="E2429" s="6" t="str">
        <f>HYPERLINK("https://twitter.com/petrogustavo/status/1231006310726012929","1231006310726012929")</f>
        <v>1231006310726012929</v>
      </c>
      <c r="F2429" s="7" t="s">
        <v>17</v>
      </c>
      <c r="G2429" s="7">
        <v>3643378</v>
      </c>
      <c r="H2429" s="7">
        <v>2351</v>
      </c>
      <c r="I2429" s="7">
        <v>97</v>
      </c>
      <c r="J2429" s="7">
        <v>0</v>
      </c>
      <c r="K2429" s="7" t="s">
        <v>18</v>
      </c>
      <c r="L2429" s="8">
        <v>39987.315405092595</v>
      </c>
      <c r="M2429" s="9" t="s">
        <v>19</v>
      </c>
      <c r="N2429" s="9" t="s">
        <v>20</v>
      </c>
      <c r="O2429" s="6" t="str">
        <f>HYPERLINK("https://pbs.twimg.com/profile_images/962471262747529216/Uo8lOkRJ_normal.jpg","View")</f>
        <v>View</v>
      </c>
      <c r="P2429" s="7"/>
    </row>
    <row r="2430" spans="1:16">
      <c r="A2430" s="3">
        <v>43883.233530092592</v>
      </c>
      <c r="B2430" s="4" t="str">
        <f>HYPERLINK("https://twitter.com/petrogustavo","@petrogustavo")</f>
        <v>@petrogustavo</v>
      </c>
      <c r="C2430" s="5" t="s">
        <v>16</v>
      </c>
      <c r="D2430" s="5" t="s">
        <v>2378</v>
      </c>
      <c r="E2430" s="6" t="str">
        <f>HYPERLINK("https://twitter.com/petrogustavo/status/1231007265735544833","1231007265735544833")</f>
        <v>1231007265735544833</v>
      </c>
      <c r="F2430" s="7" t="s">
        <v>17</v>
      </c>
      <c r="G2430" s="7">
        <v>3643378</v>
      </c>
      <c r="H2430" s="7">
        <v>2351</v>
      </c>
      <c r="I2430" s="7">
        <v>8</v>
      </c>
      <c r="J2430" s="7">
        <v>0</v>
      </c>
      <c r="K2430" s="7" t="s">
        <v>18</v>
      </c>
      <c r="L2430" s="8">
        <v>39987.315405092595</v>
      </c>
      <c r="M2430" s="9" t="s">
        <v>19</v>
      </c>
      <c r="N2430" s="9" t="s">
        <v>20</v>
      </c>
      <c r="O2430" s="6" t="str">
        <f>HYPERLINK("https://pbs.twimg.com/profile_images/962471262747529216/Uo8lOkRJ_normal.jpg","View")</f>
        <v>View</v>
      </c>
      <c r="P2430" s="7"/>
    </row>
    <row r="2431" spans="1:16">
      <c r="A2431" s="3">
        <v>43883.235277777778</v>
      </c>
      <c r="B2431" s="4" t="str">
        <f>HYPERLINK("https://twitter.com/petrogustavo","@petrogustavo")</f>
        <v>@petrogustavo</v>
      </c>
      <c r="C2431" s="5" t="s">
        <v>16</v>
      </c>
      <c r="D2431" s="5" t="s">
        <v>2379</v>
      </c>
      <c r="E2431" s="6" t="str">
        <f>HYPERLINK("https://twitter.com/petrogustavo/status/1231007896126836736","1231007896126836736")</f>
        <v>1231007896126836736</v>
      </c>
      <c r="F2431" s="7" t="s">
        <v>17</v>
      </c>
      <c r="G2431" s="7">
        <v>3643378</v>
      </c>
      <c r="H2431" s="7">
        <v>2351</v>
      </c>
      <c r="I2431" s="7">
        <v>116</v>
      </c>
      <c r="J2431" s="7">
        <v>296</v>
      </c>
      <c r="K2431" s="7" t="s">
        <v>18</v>
      </c>
      <c r="L2431" s="8">
        <v>39987.315405092595</v>
      </c>
      <c r="M2431" s="9" t="s">
        <v>19</v>
      </c>
      <c r="N2431" s="9" t="s">
        <v>20</v>
      </c>
      <c r="O2431" s="6" t="str">
        <f>HYPERLINK("https://pbs.twimg.com/profile_images/962471262747529216/Uo8lOkRJ_normal.jpg","View")</f>
        <v>View</v>
      </c>
      <c r="P2431" s="7"/>
    </row>
    <row r="2432" spans="1:16">
      <c r="A2432" s="3">
        <v>43883.236666666664</v>
      </c>
      <c r="B2432" s="4" t="str">
        <f>HYPERLINK("https://twitter.com/petrogustavo","@petrogustavo")</f>
        <v>@petrogustavo</v>
      </c>
      <c r="C2432" s="5" t="s">
        <v>16</v>
      </c>
      <c r="D2432" s="5" t="s">
        <v>2380</v>
      </c>
      <c r="E2432" s="6" t="str">
        <f>HYPERLINK("https://twitter.com/petrogustavo/status/1231008400466698242","1231008400466698242")</f>
        <v>1231008400466698242</v>
      </c>
      <c r="F2432" s="7" t="s">
        <v>17</v>
      </c>
      <c r="G2432" s="7">
        <v>3643378</v>
      </c>
      <c r="H2432" s="7">
        <v>2351</v>
      </c>
      <c r="I2432" s="7">
        <v>47</v>
      </c>
      <c r="J2432" s="7">
        <v>0</v>
      </c>
      <c r="K2432" s="7" t="s">
        <v>18</v>
      </c>
      <c r="L2432" s="8">
        <v>39987.315405092595</v>
      </c>
      <c r="M2432" s="9" t="s">
        <v>19</v>
      </c>
      <c r="N2432" s="9" t="s">
        <v>20</v>
      </c>
      <c r="O2432" s="6" t="str">
        <f>HYPERLINK("https://pbs.twimg.com/profile_images/962471262747529216/Uo8lOkRJ_normal.jpg","View")</f>
        <v>View</v>
      </c>
      <c r="P2432" s="7"/>
    </row>
    <row r="2433" spans="1:16">
      <c r="A2433" s="3">
        <v>43883.241493055553</v>
      </c>
      <c r="B2433" s="4" t="str">
        <f>HYPERLINK("https://twitter.com/petrogustavo","@petrogustavo")</f>
        <v>@petrogustavo</v>
      </c>
      <c r="C2433" s="5" t="s">
        <v>16</v>
      </c>
      <c r="D2433" s="5" t="s">
        <v>2381</v>
      </c>
      <c r="E2433" s="6" t="str">
        <f>HYPERLINK("https://twitter.com/petrogustavo/status/1231010149587980290","1231010149587980290")</f>
        <v>1231010149587980290</v>
      </c>
      <c r="F2433" s="7" t="s">
        <v>17</v>
      </c>
      <c r="G2433" s="7">
        <v>3643401</v>
      </c>
      <c r="H2433" s="7">
        <v>2351</v>
      </c>
      <c r="I2433" s="7">
        <v>46</v>
      </c>
      <c r="J2433" s="7">
        <v>0</v>
      </c>
      <c r="K2433" s="7" t="s">
        <v>18</v>
      </c>
      <c r="L2433" s="8">
        <v>39987.315405092595</v>
      </c>
      <c r="M2433" s="9" t="s">
        <v>19</v>
      </c>
      <c r="N2433" s="9" t="s">
        <v>20</v>
      </c>
      <c r="O2433" s="6" t="str">
        <f>HYPERLINK("https://pbs.twimg.com/profile_images/962471262747529216/Uo8lOkRJ_normal.jpg","View")</f>
        <v>View</v>
      </c>
      <c r="P2433" s="7"/>
    </row>
    <row r="2434" spans="1:16">
      <c r="A2434" s="3">
        <v>43883.242893518516</v>
      </c>
      <c r="B2434" s="4" t="str">
        <f>HYPERLINK("https://twitter.com/petrogustavo","@petrogustavo")</f>
        <v>@petrogustavo</v>
      </c>
      <c r="C2434" s="5" t="s">
        <v>16</v>
      </c>
      <c r="D2434" s="5" t="s">
        <v>2382</v>
      </c>
      <c r="E2434" s="6" t="str">
        <f>HYPERLINK("https://twitter.com/petrogustavo/status/1231010659632078848","1231010659632078848")</f>
        <v>1231010659632078848</v>
      </c>
      <c r="F2434" s="7" t="s">
        <v>17</v>
      </c>
      <c r="G2434" s="7">
        <v>3643401</v>
      </c>
      <c r="H2434" s="7">
        <v>2351</v>
      </c>
      <c r="I2434" s="7">
        <v>126</v>
      </c>
      <c r="J2434" s="7">
        <v>325</v>
      </c>
      <c r="K2434" s="7" t="s">
        <v>18</v>
      </c>
      <c r="L2434" s="8">
        <v>39987.315405092595</v>
      </c>
      <c r="M2434" s="9" t="s">
        <v>19</v>
      </c>
      <c r="N2434" s="9" t="s">
        <v>20</v>
      </c>
      <c r="O2434" s="6" t="str">
        <f>HYPERLINK("https://pbs.twimg.com/profile_images/962471262747529216/Uo8lOkRJ_normal.jpg","View")</f>
        <v>View</v>
      </c>
      <c r="P2434" s="7"/>
    </row>
    <row r="2435" spans="1:16">
      <c r="A2435" s="3">
        <v>43883.24527777778</v>
      </c>
      <c r="B2435" s="4" t="str">
        <f>HYPERLINK("https://twitter.com/petrogustavo","@petrogustavo")</f>
        <v>@petrogustavo</v>
      </c>
      <c r="C2435" s="5" t="s">
        <v>16</v>
      </c>
      <c r="D2435" s="5" t="s">
        <v>2383</v>
      </c>
      <c r="E2435" s="6" t="str">
        <f>HYPERLINK("https://twitter.com/petrogustavo/status/1231011522102677504","1231011522102677504")</f>
        <v>1231011522102677504</v>
      </c>
      <c r="F2435" s="7" t="s">
        <v>17</v>
      </c>
      <c r="G2435" s="7">
        <v>3643401</v>
      </c>
      <c r="H2435" s="7">
        <v>2351</v>
      </c>
      <c r="I2435" s="7">
        <v>210</v>
      </c>
      <c r="J2435" s="7">
        <v>0</v>
      </c>
      <c r="K2435" s="7" t="s">
        <v>18</v>
      </c>
      <c r="L2435" s="8">
        <v>39987.315405092595</v>
      </c>
      <c r="M2435" s="9" t="s">
        <v>19</v>
      </c>
      <c r="N2435" s="9" t="s">
        <v>20</v>
      </c>
      <c r="O2435" s="6" t="str">
        <f>HYPERLINK("https://pbs.twimg.com/profile_images/962471262747529216/Uo8lOkRJ_normal.jpg","View")</f>
        <v>View</v>
      </c>
      <c r="P2435" s="7"/>
    </row>
    <row r="2436" spans="1:16">
      <c r="A2436" s="3">
        <v>43883.246261574073</v>
      </c>
      <c r="B2436" s="4" t="str">
        <f>HYPERLINK("https://twitter.com/petrogustavo","@petrogustavo")</f>
        <v>@petrogustavo</v>
      </c>
      <c r="C2436" s="5" t="s">
        <v>16</v>
      </c>
      <c r="D2436" s="5" t="s">
        <v>2384</v>
      </c>
      <c r="E2436" s="6" t="str">
        <f>HYPERLINK("https://twitter.com/petrogustavo/status/1231011878228365312","1231011878228365312")</f>
        <v>1231011878228365312</v>
      </c>
      <c r="F2436" s="7" t="s">
        <v>17</v>
      </c>
      <c r="G2436" s="7">
        <v>3643401</v>
      </c>
      <c r="H2436" s="7">
        <v>2351</v>
      </c>
      <c r="I2436" s="7">
        <v>21</v>
      </c>
      <c r="J2436" s="7">
        <v>0</v>
      </c>
      <c r="K2436" s="7" t="s">
        <v>18</v>
      </c>
      <c r="L2436" s="8">
        <v>39987.315405092595</v>
      </c>
      <c r="M2436" s="9" t="s">
        <v>19</v>
      </c>
      <c r="N2436" s="9" t="s">
        <v>20</v>
      </c>
      <c r="O2436" s="6" t="str">
        <f>HYPERLINK("https://pbs.twimg.com/profile_images/962471262747529216/Uo8lOkRJ_normal.jpg","View")</f>
        <v>View</v>
      </c>
      <c r="P2436" s="7"/>
    </row>
    <row r="2437" spans="1:16">
      <c r="A2437" s="3">
        <v>43883.24836805556</v>
      </c>
      <c r="B2437" s="4" t="str">
        <f>HYPERLINK("https://twitter.com/petrogustavo","@petrogustavo")</f>
        <v>@petrogustavo</v>
      </c>
      <c r="C2437" s="5" t="s">
        <v>16</v>
      </c>
      <c r="D2437" s="5" t="s">
        <v>2385</v>
      </c>
      <c r="E2437" s="6" t="str">
        <f>HYPERLINK("https://twitter.com/petrogustavo/status/1231012641029677062","1231012641029677062")</f>
        <v>1231012641029677062</v>
      </c>
      <c r="F2437" s="7" t="s">
        <v>17</v>
      </c>
      <c r="G2437" s="7">
        <v>3643401</v>
      </c>
      <c r="H2437" s="7">
        <v>2351</v>
      </c>
      <c r="I2437" s="7">
        <v>276</v>
      </c>
      <c r="J2437" s="7">
        <v>0</v>
      </c>
      <c r="K2437" s="7" t="s">
        <v>18</v>
      </c>
      <c r="L2437" s="8">
        <v>39987.315405092595</v>
      </c>
      <c r="M2437" s="9" t="s">
        <v>19</v>
      </c>
      <c r="N2437" s="9" t="s">
        <v>20</v>
      </c>
      <c r="O2437" s="6" t="str">
        <f>HYPERLINK("https://pbs.twimg.com/profile_images/962471262747529216/Uo8lOkRJ_normal.jpg","View")</f>
        <v>View</v>
      </c>
      <c r="P2437" s="7"/>
    </row>
    <row r="2438" spans="1:16">
      <c r="A2438" s="3">
        <v>43883.249942129631</v>
      </c>
      <c r="B2438" s="4" t="str">
        <f>HYPERLINK("https://twitter.com/petrogustavo","@petrogustavo")</f>
        <v>@petrogustavo</v>
      </c>
      <c r="C2438" s="5" t="s">
        <v>16</v>
      </c>
      <c r="D2438" s="5" t="s">
        <v>2386</v>
      </c>
      <c r="E2438" s="6" t="str">
        <f>HYPERLINK("https://twitter.com/petrogustavo/status/1231013213283790849","1231013213283790849")</f>
        <v>1231013213283790849</v>
      </c>
      <c r="F2438" s="7" t="s">
        <v>17</v>
      </c>
      <c r="G2438" s="7">
        <v>3643401</v>
      </c>
      <c r="H2438" s="7">
        <v>2351</v>
      </c>
      <c r="I2438" s="7">
        <v>87</v>
      </c>
      <c r="J2438" s="7">
        <v>0</v>
      </c>
      <c r="K2438" s="7" t="s">
        <v>18</v>
      </c>
      <c r="L2438" s="8">
        <v>39987.315405092595</v>
      </c>
      <c r="M2438" s="9" t="s">
        <v>19</v>
      </c>
      <c r="N2438" s="9" t="s">
        <v>20</v>
      </c>
      <c r="O2438" s="6" t="str">
        <f>HYPERLINK("https://pbs.twimg.com/profile_images/962471262747529216/Uo8lOkRJ_normal.jpg","View")</f>
        <v>View</v>
      </c>
      <c r="P2438" s="7"/>
    </row>
    <row r="2439" spans="1:16">
      <c r="A2439" s="3">
        <v>43883.252013888894</v>
      </c>
      <c r="B2439" s="4" t="str">
        <f>HYPERLINK("https://twitter.com/petrogustavo","@petrogustavo")</f>
        <v>@petrogustavo</v>
      </c>
      <c r="C2439" s="5" t="s">
        <v>16</v>
      </c>
      <c r="D2439" s="5" t="s">
        <v>2387</v>
      </c>
      <c r="E2439" s="6" t="str">
        <f>HYPERLINK("https://twitter.com/petrogustavo/status/1231013962210258945","1231013962210258945")</f>
        <v>1231013962210258945</v>
      </c>
      <c r="F2439" s="7" t="s">
        <v>17</v>
      </c>
      <c r="G2439" s="7">
        <v>3643401</v>
      </c>
      <c r="H2439" s="7">
        <v>2351</v>
      </c>
      <c r="I2439" s="7">
        <v>214</v>
      </c>
      <c r="J2439" s="7">
        <v>0</v>
      </c>
      <c r="K2439" s="7" t="s">
        <v>18</v>
      </c>
      <c r="L2439" s="8">
        <v>39987.315405092595</v>
      </c>
      <c r="M2439" s="9" t="s">
        <v>19</v>
      </c>
      <c r="N2439" s="9" t="s">
        <v>20</v>
      </c>
      <c r="O2439" s="6" t="str">
        <f>HYPERLINK("https://pbs.twimg.com/profile_images/962471262747529216/Uo8lOkRJ_normal.jpg","View")</f>
        <v>View</v>
      </c>
      <c r="P2439" s="7"/>
    </row>
    <row r="2440" spans="1:16">
      <c r="A2440" s="3">
        <v>43883.25681712963</v>
      </c>
      <c r="B2440" s="4" t="str">
        <f>HYPERLINK("https://twitter.com/petrogustavo","@petrogustavo")</f>
        <v>@petrogustavo</v>
      </c>
      <c r="C2440" s="5" t="s">
        <v>16</v>
      </c>
      <c r="D2440" s="5" t="s">
        <v>2388</v>
      </c>
      <c r="E2440" s="6" t="str">
        <f>HYPERLINK("https://twitter.com/petrogustavo/status/1231015702825512961","1231015702825512961")</f>
        <v>1231015702825512961</v>
      </c>
      <c r="F2440" s="7" t="s">
        <v>17</v>
      </c>
      <c r="G2440" s="7">
        <v>3643401</v>
      </c>
      <c r="H2440" s="7">
        <v>2351</v>
      </c>
      <c r="I2440" s="7">
        <v>379</v>
      </c>
      <c r="J2440" s="7">
        <v>0</v>
      </c>
      <c r="K2440" s="7" t="s">
        <v>18</v>
      </c>
      <c r="L2440" s="8">
        <v>39987.315405092595</v>
      </c>
      <c r="M2440" s="9" t="s">
        <v>19</v>
      </c>
      <c r="N2440" s="9" t="s">
        <v>20</v>
      </c>
      <c r="O2440" s="6" t="str">
        <f>HYPERLINK("https://pbs.twimg.com/profile_images/962471262747529216/Uo8lOkRJ_normal.jpg","View")</f>
        <v>View</v>
      </c>
      <c r="P2440" s="7"/>
    </row>
    <row r="2441" spans="1:16">
      <c r="A2441" s="3">
        <v>43883.2580787037</v>
      </c>
      <c r="B2441" s="4" t="str">
        <f>HYPERLINK("https://twitter.com/petrogustavo","@petrogustavo")</f>
        <v>@petrogustavo</v>
      </c>
      <c r="C2441" s="5" t="s">
        <v>16</v>
      </c>
      <c r="D2441" s="5" t="s">
        <v>2389</v>
      </c>
      <c r="E2441" s="6" t="str">
        <f>HYPERLINK("https://twitter.com/petrogustavo/status/1231016159358672897","1231016159358672897")</f>
        <v>1231016159358672897</v>
      </c>
      <c r="F2441" s="7" t="s">
        <v>17</v>
      </c>
      <c r="G2441" s="7">
        <v>3643401</v>
      </c>
      <c r="H2441" s="7">
        <v>2351</v>
      </c>
      <c r="I2441" s="7">
        <v>91</v>
      </c>
      <c r="J2441" s="7">
        <v>0</v>
      </c>
      <c r="K2441" s="7" t="s">
        <v>18</v>
      </c>
      <c r="L2441" s="8">
        <v>39987.315405092595</v>
      </c>
      <c r="M2441" s="9" t="s">
        <v>19</v>
      </c>
      <c r="N2441" s="9" t="s">
        <v>20</v>
      </c>
      <c r="O2441" s="6" t="str">
        <f>HYPERLINK("https://pbs.twimg.com/profile_images/962471262747529216/Uo8lOkRJ_normal.jpg","View")</f>
        <v>View</v>
      </c>
      <c r="P2441" s="7"/>
    </row>
    <row r="2442" spans="1:16">
      <c r="A2442" s="3">
        <v>43883.258263888885</v>
      </c>
      <c r="B2442" s="4" t="str">
        <f>HYPERLINK("https://twitter.com/petrogustavo","@petrogustavo")</f>
        <v>@petrogustavo</v>
      </c>
      <c r="C2442" s="5" t="s">
        <v>16</v>
      </c>
      <c r="D2442" s="5" t="s">
        <v>2390</v>
      </c>
      <c r="E2442" s="6" t="str">
        <f>HYPERLINK("https://twitter.com/petrogustavo/status/1231016226601807873","1231016226601807873")</f>
        <v>1231016226601807873</v>
      </c>
      <c r="F2442" s="7" t="s">
        <v>17</v>
      </c>
      <c r="G2442" s="7">
        <v>3643401</v>
      </c>
      <c r="H2442" s="7">
        <v>2351</v>
      </c>
      <c r="I2442" s="7">
        <v>65</v>
      </c>
      <c r="J2442" s="7">
        <v>0</v>
      </c>
      <c r="K2442" s="7" t="s">
        <v>18</v>
      </c>
      <c r="L2442" s="8">
        <v>39987.315405092595</v>
      </c>
      <c r="M2442" s="9" t="s">
        <v>19</v>
      </c>
      <c r="N2442" s="9" t="s">
        <v>20</v>
      </c>
      <c r="O2442" s="6" t="str">
        <f>HYPERLINK("https://pbs.twimg.com/profile_images/962471262747529216/Uo8lOkRJ_normal.jpg","View")</f>
        <v>View</v>
      </c>
      <c r="P2442" s="7"/>
    </row>
    <row r="2443" spans="1:16">
      <c r="A2443" s="3">
        <v>43883.25844907407</v>
      </c>
      <c r="B2443" s="4" t="str">
        <f>HYPERLINK("https://twitter.com/petrogustavo","@petrogustavo")</f>
        <v>@petrogustavo</v>
      </c>
      <c r="C2443" s="5" t="s">
        <v>16</v>
      </c>
      <c r="D2443" s="5" t="s">
        <v>2391</v>
      </c>
      <c r="E2443" s="6" t="str">
        <f>HYPERLINK("https://twitter.com/petrogustavo/status/1231016292666179584","1231016292666179584")</f>
        <v>1231016292666179584</v>
      </c>
      <c r="F2443" s="7" t="s">
        <v>17</v>
      </c>
      <c r="G2443" s="7">
        <v>3643401</v>
      </c>
      <c r="H2443" s="7">
        <v>2351</v>
      </c>
      <c r="I2443" s="7">
        <v>509</v>
      </c>
      <c r="J2443" s="7">
        <v>0</v>
      </c>
      <c r="K2443" s="7" t="s">
        <v>18</v>
      </c>
      <c r="L2443" s="8">
        <v>39987.315405092595</v>
      </c>
      <c r="M2443" s="9" t="s">
        <v>19</v>
      </c>
      <c r="N2443" s="9" t="s">
        <v>20</v>
      </c>
      <c r="O2443" s="6" t="str">
        <f>HYPERLINK("https://pbs.twimg.com/profile_images/962471262747529216/Uo8lOkRJ_normal.jpg","View")</f>
        <v>View</v>
      </c>
      <c r="P2443" s="7"/>
    </row>
    <row r="2444" spans="1:16">
      <c r="A2444" s="3">
        <v>43883.259224537032</v>
      </c>
      <c r="B2444" s="4" t="str">
        <f>HYPERLINK("https://twitter.com/petrogustavo","@petrogustavo")</f>
        <v>@petrogustavo</v>
      </c>
      <c r="C2444" s="5" t="s">
        <v>16</v>
      </c>
      <c r="D2444" s="5" t="s">
        <v>2392</v>
      </c>
      <c r="E2444" s="6" t="str">
        <f>HYPERLINK("https://twitter.com/petrogustavo/status/1231016574854815745","1231016574854815745")</f>
        <v>1231016574854815745</v>
      </c>
      <c r="F2444" s="7" t="s">
        <v>17</v>
      </c>
      <c r="G2444" s="7">
        <v>3643401</v>
      </c>
      <c r="H2444" s="7">
        <v>2351</v>
      </c>
      <c r="I2444" s="7">
        <v>199</v>
      </c>
      <c r="J2444" s="7">
        <v>0</v>
      </c>
      <c r="K2444" s="7" t="s">
        <v>18</v>
      </c>
      <c r="L2444" s="8">
        <v>39987.315405092595</v>
      </c>
      <c r="M2444" s="9" t="s">
        <v>19</v>
      </c>
      <c r="N2444" s="9" t="s">
        <v>20</v>
      </c>
      <c r="O2444" s="6" t="str">
        <f>HYPERLINK("https://pbs.twimg.com/profile_images/962471262747529216/Uo8lOkRJ_normal.jpg","View")</f>
        <v>View</v>
      </c>
      <c r="P2444" s="7"/>
    </row>
    <row r="2445" spans="1:16">
      <c r="A2445" s="3">
        <v>43883.259652777779</v>
      </c>
      <c r="B2445" s="4" t="str">
        <f>HYPERLINK("https://twitter.com/petrogustavo","@petrogustavo")</f>
        <v>@petrogustavo</v>
      </c>
      <c r="C2445" s="5" t="s">
        <v>16</v>
      </c>
      <c r="D2445" s="5" t="s">
        <v>2393</v>
      </c>
      <c r="E2445" s="6" t="str">
        <f>HYPERLINK("https://twitter.com/petrogustavo/status/1231016730052431872","1231016730052431872")</f>
        <v>1231016730052431872</v>
      </c>
      <c r="F2445" s="7" t="s">
        <v>17</v>
      </c>
      <c r="G2445" s="7">
        <v>3643401</v>
      </c>
      <c r="H2445" s="7">
        <v>2351</v>
      </c>
      <c r="I2445" s="7">
        <v>72</v>
      </c>
      <c r="J2445" s="7">
        <v>0</v>
      </c>
      <c r="K2445" s="7" t="s">
        <v>18</v>
      </c>
      <c r="L2445" s="8">
        <v>39987.315405092595</v>
      </c>
      <c r="M2445" s="9" t="s">
        <v>19</v>
      </c>
      <c r="N2445" s="9" t="s">
        <v>20</v>
      </c>
      <c r="O2445" s="6" t="str">
        <f>HYPERLINK("https://pbs.twimg.com/profile_images/962471262747529216/Uo8lOkRJ_normal.jpg","View")</f>
        <v>View</v>
      </c>
      <c r="P2445" s="7"/>
    </row>
    <row r="2446" spans="1:16">
      <c r="A2446" s="3">
        <v>43883.260682870372</v>
      </c>
      <c r="B2446" s="4" t="str">
        <f>HYPERLINK("https://twitter.com/petrogustavo","@petrogustavo")</f>
        <v>@petrogustavo</v>
      </c>
      <c r="C2446" s="5" t="s">
        <v>16</v>
      </c>
      <c r="D2446" s="5" t="s">
        <v>2394</v>
      </c>
      <c r="E2446" s="6" t="str">
        <f>HYPERLINK("https://twitter.com/petrogustavo/status/1231017103941042182","1231017103941042182")</f>
        <v>1231017103941042182</v>
      </c>
      <c r="F2446" s="7" t="s">
        <v>17</v>
      </c>
      <c r="G2446" s="7">
        <v>3643401</v>
      </c>
      <c r="H2446" s="7">
        <v>2351</v>
      </c>
      <c r="I2446" s="7">
        <v>213</v>
      </c>
      <c r="J2446" s="7">
        <v>0</v>
      </c>
      <c r="K2446" s="7" t="s">
        <v>18</v>
      </c>
      <c r="L2446" s="8">
        <v>39987.315405092595</v>
      </c>
      <c r="M2446" s="9" t="s">
        <v>19</v>
      </c>
      <c r="N2446" s="9" t="s">
        <v>20</v>
      </c>
      <c r="O2446" s="6" t="str">
        <f>HYPERLINK("https://pbs.twimg.com/profile_images/962471262747529216/Uo8lOkRJ_normal.jpg","View")</f>
        <v>View</v>
      </c>
      <c r="P2446" s="7"/>
    </row>
    <row r="2447" spans="1:16">
      <c r="A2447" s="3">
        <v>43883.260949074072</v>
      </c>
      <c r="B2447" s="4" t="str">
        <f>HYPERLINK("https://twitter.com/petrogustavo","@petrogustavo")</f>
        <v>@petrogustavo</v>
      </c>
      <c r="C2447" s="5" t="s">
        <v>16</v>
      </c>
      <c r="D2447" s="5" t="s">
        <v>2395</v>
      </c>
      <c r="E2447" s="6" t="str">
        <f>HYPERLINK("https://twitter.com/petrogustavo/status/1231017200468844544","1231017200468844544")</f>
        <v>1231017200468844544</v>
      </c>
      <c r="F2447" s="7" t="s">
        <v>17</v>
      </c>
      <c r="G2447" s="7">
        <v>3643401</v>
      </c>
      <c r="H2447" s="7">
        <v>2351</v>
      </c>
      <c r="I2447" s="7">
        <v>70</v>
      </c>
      <c r="J2447" s="7">
        <v>0</v>
      </c>
      <c r="K2447" s="7" t="s">
        <v>18</v>
      </c>
      <c r="L2447" s="8">
        <v>39987.315405092595</v>
      </c>
      <c r="M2447" s="9" t="s">
        <v>19</v>
      </c>
      <c r="N2447" s="9" t="s">
        <v>20</v>
      </c>
      <c r="O2447" s="6" t="str">
        <f>HYPERLINK("https://pbs.twimg.com/profile_images/962471262747529216/Uo8lOkRJ_normal.jpg","View")</f>
        <v>View</v>
      </c>
      <c r="P2447" s="7"/>
    </row>
    <row r="2448" spans="1:16">
      <c r="A2448" s="3">
        <v>43883.262488425928</v>
      </c>
      <c r="B2448" s="4" t="str">
        <f>HYPERLINK("https://twitter.com/petrogustavo","@petrogustavo")</f>
        <v>@petrogustavo</v>
      </c>
      <c r="C2448" s="5" t="s">
        <v>16</v>
      </c>
      <c r="D2448" s="5" t="s">
        <v>2396</v>
      </c>
      <c r="E2448" s="6" t="str">
        <f>HYPERLINK("https://twitter.com/petrogustavo/status/1231017758051250178","1231017758051250178")</f>
        <v>1231017758051250178</v>
      </c>
      <c r="F2448" s="7" t="s">
        <v>17</v>
      </c>
      <c r="G2448" s="7">
        <v>3643430</v>
      </c>
      <c r="H2448" s="7">
        <v>2351</v>
      </c>
      <c r="I2448" s="7">
        <v>328</v>
      </c>
      <c r="J2448" s="7">
        <v>0</v>
      </c>
      <c r="K2448" s="7" t="s">
        <v>18</v>
      </c>
      <c r="L2448" s="8">
        <v>39987.315405092595</v>
      </c>
      <c r="M2448" s="9" t="s">
        <v>19</v>
      </c>
      <c r="N2448" s="9" t="s">
        <v>20</v>
      </c>
      <c r="O2448" s="6" t="str">
        <f>HYPERLINK("https://pbs.twimg.com/profile_images/962471262747529216/Uo8lOkRJ_normal.jpg","View")</f>
        <v>View</v>
      </c>
      <c r="P2448" s="7"/>
    </row>
    <row r="2449" spans="1:16">
      <c r="A2449" s="3">
        <v>43883.266284722224</v>
      </c>
      <c r="B2449" s="4" t="str">
        <f>HYPERLINK("https://twitter.com/petrogustavo","@petrogustavo")</f>
        <v>@petrogustavo</v>
      </c>
      <c r="C2449" s="5" t="s">
        <v>16</v>
      </c>
      <c r="D2449" s="5" t="s">
        <v>2397</v>
      </c>
      <c r="E2449" s="6" t="str">
        <f>HYPERLINK("https://twitter.com/petrogustavo/status/1231019133208272898","1231019133208272898")</f>
        <v>1231019133208272898</v>
      </c>
      <c r="F2449" s="7" t="s">
        <v>17</v>
      </c>
      <c r="G2449" s="7">
        <v>3643430</v>
      </c>
      <c r="H2449" s="7">
        <v>2351</v>
      </c>
      <c r="I2449" s="7">
        <v>142</v>
      </c>
      <c r="J2449" s="7">
        <v>256</v>
      </c>
      <c r="K2449" s="7" t="s">
        <v>18</v>
      </c>
      <c r="L2449" s="8">
        <v>39987.315405092595</v>
      </c>
      <c r="M2449" s="9" t="s">
        <v>19</v>
      </c>
      <c r="N2449" s="9" t="s">
        <v>20</v>
      </c>
      <c r="O2449" s="6" t="str">
        <f>HYPERLINK("https://pbs.twimg.com/profile_images/962471262747529216/Uo8lOkRJ_normal.jpg","View")</f>
        <v>View</v>
      </c>
      <c r="P2449" s="7"/>
    </row>
    <row r="2450" spans="1:16">
      <c r="A2450" s="3">
        <v>43883.266469907408</v>
      </c>
      <c r="B2450" s="4" t="str">
        <f>HYPERLINK("https://twitter.com/petrogustavo","@petrogustavo")</f>
        <v>@petrogustavo</v>
      </c>
      <c r="C2450" s="5" t="s">
        <v>16</v>
      </c>
      <c r="D2450" s="5" t="s">
        <v>2398</v>
      </c>
      <c r="E2450" s="6" t="str">
        <f>HYPERLINK("https://twitter.com/petrogustavo/status/1231019202057777154","1231019202057777154")</f>
        <v>1231019202057777154</v>
      </c>
      <c r="F2450" s="7" t="s">
        <v>17</v>
      </c>
      <c r="G2450" s="7">
        <v>3643430</v>
      </c>
      <c r="H2450" s="7">
        <v>2351</v>
      </c>
      <c r="I2450" s="7">
        <v>29</v>
      </c>
      <c r="J2450" s="7">
        <v>0</v>
      </c>
      <c r="K2450" s="7" t="s">
        <v>18</v>
      </c>
      <c r="L2450" s="8">
        <v>39987.315405092595</v>
      </c>
      <c r="M2450" s="9" t="s">
        <v>19</v>
      </c>
      <c r="N2450" s="9" t="s">
        <v>20</v>
      </c>
      <c r="O2450" s="6" t="str">
        <f>HYPERLINK("https://pbs.twimg.com/profile_images/962471262747529216/Uo8lOkRJ_normal.jpg","View")</f>
        <v>View</v>
      </c>
      <c r="P2450" s="7"/>
    </row>
    <row r="2451" spans="1:16">
      <c r="A2451" s="3">
        <v>43883.272141203706</v>
      </c>
      <c r="B2451" s="4" t="str">
        <f>HYPERLINK("https://twitter.com/petrogustavo","@petrogustavo")</f>
        <v>@petrogustavo</v>
      </c>
      <c r="C2451" s="5" t="s">
        <v>16</v>
      </c>
      <c r="D2451" s="5" t="s">
        <v>2399</v>
      </c>
      <c r="E2451" s="6" t="str">
        <f>HYPERLINK("https://twitter.com/petrogustavo/status/1231021254779527169","1231021254779527169")</f>
        <v>1231021254779527169</v>
      </c>
      <c r="F2451" s="7" t="s">
        <v>17</v>
      </c>
      <c r="G2451" s="7">
        <v>3643430</v>
      </c>
      <c r="H2451" s="7">
        <v>2351</v>
      </c>
      <c r="I2451" s="7">
        <v>920</v>
      </c>
      <c r="J2451" s="7">
        <v>0</v>
      </c>
      <c r="K2451" s="7" t="s">
        <v>18</v>
      </c>
      <c r="L2451" s="8">
        <v>39987.315405092595</v>
      </c>
      <c r="M2451" s="9" t="s">
        <v>19</v>
      </c>
      <c r="N2451" s="9" t="s">
        <v>20</v>
      </c>
      <c r="O2451" s="6" t="str">
        <f>HYPERLINK("https://pbs.twimg.com/profile_images/962471262747529216/Uo8lOkRJ_normal.jpg","View")</f>
        <v>View</v>
      </c>
      <c r="P2451" s="7"/>
    </row>
    <row r="2452" spans="1:16">
      <c r="A2452" s="3">
        <v>43883.279467592598</v>
      </c>
      <c r="B2452" s="4" t="str">
        <f>HYPERLINK("https://twitter.com/petrogustavo","@petrogustavo")</f>
        <v>@petrogustavo</v>
      </c>
      <c r="C2452" s="5" t="s">
        <v>16</v>
      </c>
      <c r="D2452" s="5" t="s">
        <v>2400</v>
      </c>
      <c r="E2452" s="6" t="str">
        <f>HYPERLINK("https://twitter.com/petrogustavo/status/1231023910759563264","1231023910759563264")</f>
        <v>1231023910759563264</v>
      </c>
      <c r="F2452" s="7" t="s">
        <v>17</v>
      </c>
      <c r="G2452" s="7">
        <v>3643430</v>
      </c>
      <c r="H2452" s="7">
        <v>2351</v>
      </c>
      <c r="I2452" s="7">
        <v>48</v>
      </c>
      <c r="J2452" s="7">
        <v>238</v>
      </c>
      <c r="K2452" s="7" t="s">
        <v>18</v>
      </c>
      <c r="L2452" s="8">
        <v>39987.315405092595</v>
      </c>
      <c r="M2452" s="9" t="s">
        <v>19</v>
      </c>
      <c r="N2452" s="9" t="s">
        <v>20</v>
      </c>
      <c r="O2452" s="6" t="str">
        <f>HYPERLINK("https://pbs.twimg.com/profile_images/962471262747529216/Uo8lOkRJ_normal.jpg","View")</f>
        <v>View</v>
      </c>
      <c r="P2452" s="7"/>
    </row>
    <row r="2453" spans="1:16">
      <c r="A2453" s="3">
        <v>43883.280578703707</v>
      </c>
      <c r="B2453" s="4" t="str">
        <f>HYPERLINK("https://twitter.com/petrogustavo","@petrogustavo")</f>
        <v>@petrogustavo</v>
      </c>
      <c r="C2453" s="5" t="s">
        <v>16</v>
      </c>
      <c r="D2453" s="5" t="s">
        <v>2401</v>
      </c>
      <c r="E2453" s="6" t="str">
        <f>HYPERLINK("https://twitter.com/petrogustavo/status/1231024313425448966","1231024313425448966")</f>
        <v>1231024313425448966</v>
      </c>
      <c r="F2453" s="7" t="s">
        <v>17</v>
      </c>
      <c r="G2453" s="7">
        <v>3643430</v>
      </c>
      <c r="H2453" s="7">
        <v>2351</v>
      </c>
      <c r="I2453" s="7">
        <v>12</v>
      </c>
      <c r="J2453" s="7">
        <v>0</v>
      </c>
      <c r="K2453" s="7" t="s">
        <v>18</v>
      </c>
      <c r="L2453" s="8">
        <v>39987.315405092595</v>
      </c>
      <c r="M2453" s="9" t="s">
        <v>19</v>
      </c>
      <c r="N2453" s="9" t="s">
        <v>20</v>
      </c>
      <c r="O2453" s="6" t="str">
        <f>HYPERLINK("https://pbs.twimg.com/profile_images/962471262747529216/Uo8lOkRJ_normal.jpg","View")</f>
        <v>View</v>
      </c>
      <c r="P2453" s="7"/>
    </row>
    <row r="2454" spans="1:16">
      <c r="A2454" s="3">
        <v>43883.282372685186</v>
      </c>
      <c r="B2454" s="4" t="str">
        <f>HYPERLINK("https://twitter.com/petrogustavo","@petrogustavo")</f>
        <v>@petrogustavo</v>
      </c>
      <c r="C2454" s="5" t="s">
        <v>16</v>
      </c>
      <c r="D2454" s="5" t="s">
        <v>2402</v>
      </c>
      <c r="E2454" s="6" t="str">
        <f>HYPERLINK("https://twitter.com/petrogustavo/status/1231024963207024645","1231024963207024645")</f>
        <v>1231024963207024645</v>
      </c>
      <c r="F2454" s="7" t="s">
        <v>17</v>
      </c>
      <c r="G2454" s="7">
        <v>3643430</v>
      </c>
      <c r="H2454" s="7">
        <v>2351</v>
      </c>
      <c r="I2454" s="7">
        <v>295</v>
      </c>
      <c r="J2454" s="7">
        <v>0</v>
      </c>
      <c r="K2454" s="7" t="s">
        <v>18</v>
      </c>
      <c r="L2454" s="8">
        <v>39987.315405092595</v>
      </c>
      <c r="M2454" s="9" t="s">
        <v>19</v>
      </c>
      <c r="N2454" s="9" t="s">
        <v>20</v>
      </c>
      <c r="O2454" s="6" t="str">
        <f>HYPERLINK("https://pbs.twimg.com/profile_images/962471262747529216/Uo8lOkRJ_normal.jpg","View")</f>
        <v>View</v>
      </c>
      <c r="P2454" s="7"/>
    </row>
    <row r="2455" spans="1:16">
      <c r="A2455" s="3">
        <v>43883.285648148143</v>
      </c>
      <c r="B2455" s="4" t="str">
        <f>HYPERLINK("https://twitter.com/petrogustavo","@petrogustavo")</f>
        <v>@petrogustavo</v>
      </c>
      <c r="C2455" s="5" t="s">
        <v>16</v>
      </c>
      <c r="D2455" s="5" t="s">
        <v>2403</v>
      </c>
      <c r="E2455" s="6" t="str">
        <f>HYPERLINK("https://twitter.com/petrogustavo/status/1231026153240092672","1231026153240092672")</f>
        <v>1231026153240092672</v>
      </c>
      <c r="F2455" s="7" t="s">
        <v>17</v>
      </c>
      <c r="G2455" s="7">
        <v>3643459</v>
      </c>
      <c r="H2455" s="7">
        <v>2351</v>
      </c>
      <c r="I2455" s="7">
        <v>82</v>
      </c>
      <c r="J2455" s="7">
        <v>0</v>
      </c>
      <c r="K2455" s="7" t="s">
        <v>18</v>
      </c>
      <c r="L2455" s="8">
        <v>39987.315405092595</v>
      </c>
      <c r="M2455" s="9" t="s">
        <v>19</v>
      </c>
      <c r="N2455" s="9" t="s">
        <v>20</v>
      </c>
      <c r="O2455" s="6" t="str">
        <f>HYPERLINK("https://pbs.twimg.com/profile_images/962471262747529216/Uo8lOkRJ_normal.jpg","View")</f>
        <v>View</v>
      </c>
      <c r="P2455" s="7"/>
    </row>
    <row r="2456" spans="1:16">
      <c r="A2456" s="3">
        <v>43883.287881944445</v>
      </c>
      <c r="B2456" s="4" t="str">
        <f>HYPERLINK("https://twitter.com/petrogustavo","@petrogustavo")</f>
        <v>@petrogustavo</v>
      </c>
      <c r="C2456" s="5" t="s">
        <v>16</v>
      </c>
      <c r="D2456" s="5" t="s">
        <v>2404</v>
      </c>
      <c r="E2456" s="6" t="str">
        <f>HYPERLINK("https://twitter.com/petrogustavo/status/1231026959397855235","1231026959397855235")</f>
        <v>1231026959397855235</v>
      </c>
      <c r="F2456" s="7" t="s">
        <v>17</v>
      </c>
      <c r="G2456" s="7">
        <v>3643459</v>
      </c>
      <c r="H2456" s="7">
        <v>2351</v>
      </c>
      <c r="I2456" s="7">
        <v>74</v>
      </c>
      <c r="J2456" s="7">
        <v>127</v>
      </c>
      <c r="K2456" s="7" t="s">
        <v>18</v>
      </c>
      <c r="L2456" s="8">
        <v>39987.315405092595</v>
      </c>
      <c r="M2456" s="9" t="s">
        <v>19</v>
      </c>
      <c r="N2456" s="9" t="s">
        <v>20</v>
      </c>
      <c r="O2456" s="6" t="str">
        <f>HYPERLINK("https://pbs.twimg.com/profile_images/962471262747529216/Uo8lOkRJ_normal.jpg","View")</f>
        <v>View</v>
      </c>
      <c r="P2456" s="7"/>
    </row>
    <row r="2457" spans="1:16">
      <c r="A2457" s="3">
        <v>43883.289004629631</v>
      </c>
      <c r="B2457" s="4" t="str">
        <f>HYPERLINK("https://twitter.com/petrogustavo","@petrogustavo")</f>
        <v>@petrogustavo</v>
      </c>
      <c r="C2457" s="5" t="s">
        <v>16</v>
      </c>
      <c r="D2457" s="5" t="s">
        <v>2405</v>
      </c>
      <c r="E2457" s="6" t="str">
        <f>HYPERLINK("https://twitter.com/petrogustavo/status/1231027367939911680","1231027367939911680")</f>
        <v>1231027367939911680</v>
      </c>
      <c r="F2457" s="7" t="s">
        <v>17</v>
      </c>
      <c r="G2457" s="7">
        <v>3643459</v>
      </c>
      <c r="H2457" s="7">
        <v>2351</v>
      </c>
      <c r="I2457" s="7">
        <v>128</v>
      </c>
      <c r="J2457" s="7">
        <v>262</v>
      </c>
      <c r="K2457" s="7" t="s">
        <v>18</v>
      </c>
      <c r="L2457" s="8">
        <v>39987.315405092595</v>
      </c>
      <c r="M2457" s="9" t="s">
        <v>19</v>
      </c>
      <c r="N2457" s="9" t="s">
        <v>20</v>
      </c>
      <c r="O2457" s="6" t="str">
        <f>HYPERLINK("https://pbs.twimg.com/profile_images/962471262747529216/Uo8lOkRJ_normal.jpg","View")</f>
        <v>View</v>
      </c>
      <c r="P2457" s="7"/>
    </row>
    <row r="2458" spans="1:16">
      <c r="A2458" s="3">
        <v>43883.292361111111</v>
      </c>
      <c r="B2458" s="4" t="str">
        <f>HYPERLINK("https://twitter.com/petrogustavo","@petrogustavo")</f>
        <v>@petrogustavo</v>
      </c>
      <c r="C2458" s="5" t="s">
        <v>16</v>
      </c>
      <c r="D2458" s="5" t="s">
        <v>2406</v>
      </c>
      <c r="E2458" s="6" t="str">
        <f>HYPERLINK("https://twitter.com/petrogustavo/status/1231028585751875584","1231028585751875584")</f>
        <v>1231028585751875584</v>
      </c>
      <c r="F2458" s="7" t="s">
        <v>17</v>
      </c>
      <c r="G2458" s="7">
        <v>3643459</v>
      </c>
      <c r="H2458" s="7">
        <v>2351</v>
      </c>
      <c r="I2458" s="7">
        <v>911</v>
      </c>
      <c r="J2458" s="7">
        <v>0</v>
      </c>
      <c r="K2458" s="7" t="s">
        <v>18</v>
      </c>
      <c r="L2458" s="8">
        <v>39987.315405092595</v>
      </c>
      <c r="M2458" s="9" t="s">
        <v>19</v>
      </c>
      <c r="N2458" s="9" t="s">
        <v>20</v>
      </c>
      <c r="O2458" s="6" t="str">
        <f>HYPERLINK("https://pbs.twimg.com/profile_images/962471262747529216/Uo8lOkRJ_normal.jpg","View")</f>
        <v>View</v>
      </c>
      <c r="P2458" s="7"/>
    </row>
    <row r="2459" spans="1:16">
      <c r="A2459" s="3">
        <v>43883.304143518515</v>
      </c>
      <c r="B2459" s="4" t="str">
        <f>HYPERLINK("https://twitter.com/petrogustavo","@petrogustavo")</f>
        <v>@petrogustavo</v>
      </c>
      <c r="C2459" s="5" t="s">
        <v>16</v>
      </c>
      <c r="D2459" s="5" t="s">
        <v>2407</v>
      </c>
      <c r="E2459" s="6" t="str">
        <f>HYPERLINK("https://twitter.com/petrogustavo/status/1231032852474662912","1231032852474662912")</f>
        <v>1231032852474662912</v>
      </c>
      <c r="F2459" s="7" t="s">
        <v>17</v>
      </c>
      <c r="G2459" s="7">
        <v>3643473</v>
      </c>
      <c r="H2459" s="7">
        <v>2351</v>
      </c>
      <c r="I2459" s="7">
        <v>198</v>
      </c>
      <c r="J2459" s="7">
        <v>0</v>
      </c>
      <c r="K2459" s="7" t="s">
        <v>18</v>
      </c>
      <c r="L2459" s="8">
        <v>39987.315405092595</v>
      </c>
      <c r="M2459" s="9" t="s">
        <v>19</v>
      </c>
      <c r="N2459" s="9" t="s">
        <v>20</v>
      </c>
      <c r="O2459" s="6" t="str">
        <f>HYPERLINK("https://pbs.twimg.com/profile_images/962471262747529216/Uo8lOkRJ_normal.jpg","View")</f>
        <v>View</v>
      </c>
      <c r="P2459" s="7"/>
    </row>
    <row r="2460" spans="1:16">
      <c r="A2460" s="3">
        <v>43883.30469907407</v>
      </c>
      <c r="B2460" s="4" t="str">
        <f>HYPERLINK("https://twitter.com/petrogustavo","@petrogustavo")</f>
        <v>@petrogustavo</v>
      </c>
      <c r="C2460" s="5" t="s">
        <v>16</v>
      </c>
      <c r="D2460" s="5" t="s">
        <v>2408</v>
      </c>
      <c r="E2460" s="6" t="str">
        <f>HYPERLINK("https://twitter.com/petrogustavo/status/1231033054963142656","1231033054963142656")</f>
        <v>1231033054963142656</v>
      </c>
      <c r="F2460" s="7" t="s">
        <v>17</v>
      </c>
      <c r="G2460" s="7">
        <v>3643473</v>
      </c>
      <c r="H2460" s="7">
        <v>2351</v>
      </c>
      <c r="I2460" s="7">
        <v>1250</v>
      </c>
      <c r="J2460" s="7">
        <v>0</v>
      </c>
      <c r="K2460" s="7" t="s">
        <v>18</v>
      </c>
      <c r="L2460" s="8">
        <v>39987.315405092595</v>
      </c>
      <c r="M2460" s="9" t="s">
        <v>19</v>
      </c>
      <c r="N2460" s="9" t="s">
        <v>20</v>
      </c>
      <c r="O2460" s="6" t="str">
        <f>HYPERLINK("https://pbs.twimg.com/profile_images/962471262747529216/Uo8lOkRJ_normal.jpg","View")</f>
        <v>View</v>
      </c>
      <c r="P2460" s="7"/>
    </row>
    <row r="2461" spans="1:16">
      <c r="A2461" s="3">
        <v>43883.312013888892</v>
      </c>
      <c r="B2461" s="4" t="str">
        <f>HYPERLINK("https://twitter.com/petrogustavo","@petrogustavo")</f>
        <v>@petrogustavo</v>
      </c>
      <c r="C2461" s="5" t="s">
        <v>16</v>
      </c>
      <c r="D2461" s="5" t="s">
        <v>2409</v>
      </c>
      <c r="E2461" s="6" t="str">
        <f>HYPERLINK("https://twitter.com/petrogustavo/status/1231035706136518656","1231035706136518656")</f>
        <v>1231035706136518656</v>
      </c>
      <c r="F2461" s="7" t="s">
        <v>17</v>
      </c>
      <c r="G2461" s="7">
        <v>3643473</v>
      </c>
      <c r="H2461" s="7">
        <v>2351</v>
      </c>
      <c r="I2461" s="7">
        <v>47</v>
      </c>
      <c r="J2461" s="7">
        <v>0</v>
      </c>
      <c r="K2461" s="7" t="s">
        <v>18</v>
      </c>
      <c r="L2461" s="8">
        <v>39987.315405092595</v>
      </c>
      <c r="M2461" s="9" t="s">
        <v>19</v>
      </c>
      <c r="N2461" s="9" t="s">
        <v>20</v>
      </c>
      <c r="O2461" s="6" t="str">
        <f>HYPERLINK("https://pbs.twimg.com/profile_images/962471262747529216/Uo8lOkRJ_normal.jpg","View")</f>
        <v>View</v>
      </c>
      <c r="P2461" s="7"/>
    </row>
    <row r="2462" spans="1:16">
      <c r="A2462" s="3">
        <v>43883.319062499999</v>
      </c>
      <c r="B2462" s="4" t="str">
        <f>HYPERLINK("https://twitter.com/petrogustavo","@petrogustavo")</f>
        <v>@petrogustavo</v>
      </c>
      <c r="C2462" s="5" t="s">
        <v>16</v>
      </c>
      <c r="D2462" s="5" t="s">
        <v>2410</v>
      </c>
      <c r="E2462" s="6" t="str">
        <f>HYPERLINK("https://twitter.com/petrogustavo/status/1231038260727746560","1231038260727746560")</f>
        <v>1231038260727746560</v>
      </c>
      <c r="F2462" s="7" t="s">
        <v>17</v>
      </c>
      <c r="G2462" s="7">
        <v>3643473</v>
      </c>
      <c r="H2462" s="7">
        <v>2351</v>
      </c>
      <c r="I2462" s="7">
        <v>11</v>
      </c>
      <c r="J2462" s="7">
        <v>0</v>
      </c>
      <c r="K2462" s="7" t="s">
        <v>18</v>
      </c>
      <c r="L2462" s="8">
        <v>39987.315405092595</v>
      </c>
      <c r="M2462" s="9" t="s">
        <v>19</v>
      </c>
      <c r="N2462" s="9" t="s">
        <v>20</v>
      </c>
      <c r="O2462" s="6" t="str">
        <f>HYPERLINK("https://pbs.twimg.com/profile_images/962471262747529216/Uo8lOkRJ_normal.jpg","View")</f>
        <v>View</v>
      </c>
      <c r="P2462" s="7"/>
    </row>
    <row r="2463" spans="1:16">
      <c r="A2463" s="3">
        <v>43883.323854166665</v>
      </c>
      <c r="B2463" s="4" t="str">
        <f>HYPERLINK("https://twitter.com/petrogustavo","@petrogustavo")</f>
        <v>@petrogustavo</v>
      </c>
      <c r="C2463" s="5" t="s">
        <v>16</v>
      </c>
      <c r="D2463" s="5" t="s">
        <v>2411</v>
      </c>
      <c r="E2463" s="6" t="str">
        <f>HYPERLINK("https://twitter.com/petrogustavo/status/1231039997198946305","1231039997198946305")</f>
        <v>1231039997198946305</v>
      </c>
      <c r="F2463" s="7" t="s">
        <v>17</v>
      </c>
      <c r="G2463" s="7">
        <v>3643473</v>
      </c>
      <c r="H2463" s="7">
        <v>2351</v>
      </c>
      <c r="I2463" s="7">
        <v>4</v>
      </c>
      <c r="J2463" s="7">
        <v>22</v>
      </c>
      <c r="K2463" s="7" t="s">
        <v>18</v>
      </c>
      <c r="L2463" s="8">
        <v>39987.315405092595</v>
      </c>
      <c r="M2463" s="9" t="s">
        <v>19</v>
      </c>
      <c r="N2463" s="9" t="s">
        <v>20</v>
      </c>
      <c r="O2463" s="6" t="str">
        <f>HYPERLINK("https://pbs.twimg.com/profile_images/962471262747529216/Uo8lOkRJ_normal.jpg","View")</f>
        <v>View</v>
      </c>
      <c r="P2463" s="7"/>
    </row>
    <row r="2464" spans="1:16">
      <c r="A2464" s="3">
        <v>43883.326481481483</v>
      </c>
      <c r="B2464" s="4" t="str">
        <f>HYPERLINK("https://twitter.com/petrogustavo","@petrogustavo")</f>
        <v>@petrogustavo</v>
      </c>
      <c r="C2464" s="5" t="s">
        <v>16</v>
      </c>
      <c r="D2464" s="5" t="s">
        <v>2412</v>
      </c>
      <c r="E2464" s="6" t="str">
        <f>HYPERLINK("https://twitter.com/petrogustavo/status/1231040950937452550","1231040950937452550")</f>
        <v>1231040950937452550</v>
      </c>
      <c r="F2464" s="7" t="s">
        <v>17</v>
      </c>
      <c r="G2464" s="7">
        <v>3643505</v>
      </c>
      <c r="H2464" s="7">
        <v>2351</v>
      </c>
      <c r="I2464" s="7">
        <v>53</v>
      </c>
      <c r="J2464" s="7">
        <v>0</v>
      </c>
      <c r="K2464" s="7" t="s">
        <v>18</v>
      </c>
      <c r="L2464" s="8">
        <v>39987.315405092595</v>
      </c>
      <c r="M2464" s="9" t="s">
        <v>19</v>
      </c>
      <c r="N2464" s="9" t="s">
        <v>20</v>
      </c>
      <c r="O2464" s="6" t="str">
        <f>HYPERLINK("https://pbs.twimg.com/profile_images/962471262747529216/Uo8lOkRJ_normal.jpg","View")</f>
        <v>View</v>
      </c>
      <c r="P2464" s="7"/>
    </row>
    <row r="2465" spans="1:16">
      <c r="A2465" s="3">
        <v>43883.327511574069</v>
      </c>
      <c r="B2465" s="4" t="str">
        <f>HYPERLINK("https://twitter.com/petrogustavo","@petrogustavo")</f>
        <v>@petrogustavo</v>
      </c>
      <c r="C2465" s="5" t="s">
        <v>16</v>
      </c>
      <c r="D2465" s="5" t="s">
        <v>2413</v>
      </c>
      <c r="E2465" s="6" t="str">
        <f>HYPERLINK("https://twitter.com/petrogustavo/status/1231041320552144896","1231041320552144896")</f>
        <v>1231041320552144896</v>
      </c>
      <c r="F2465" s="7" t="s">
        <v>17</v>
      </c>
      <c r="G2465" s="7">
        <v>3643505</v>
      </c>
      <c r="H2465" s="7">
        <v>2351</v>
      </c>
      <c r="I2465" s="7">
        <v>2582</v>
      </c>
      <c r="J2465" s="7">
        <v>0</v>
      </c>
      <c r="K2465" s="7" t="s">
        <v>18</v>
      </c>
      <c r="L2465" s="8">
        <v>39987.315405092595</v>
      </c>
      <c r="M2465" s="9" t="s">
        <v>19</v>
      </c>
      <c r="N2465" s="9" t="s">
        <v>20</v>
      </c>
      <c r="O2465" s="6" t="str">
        <f>HYPERLINK("https://pbs.twimg.com/profile_images/962471262747529216/Uo8lOkRJ_normal.jpg","View")</f>
        <v>View</v>
      </c>
      <c r="P2465" s="7"/>
    </row>
    <row r="2466" spans="1:16">
      <c r="A2466" s="3">
        <v>43883.328402777777</v>
      </c>
      <c r="B2466" s="4" t="str">
        <f>HYPERLINK("https://twitter.com/petrogustavo","@petrogustavo")</f>
        <v>@petrogustavo</v>
      </c>
      <c r="C2466" s="5" t="s">
        <v>16</v>
      </c>
      <c r="D2466" s="5" t="s">
        <v>2414</v>
      </c>
      <c r="E2466" s="6" t="str">
        <f>HYPERLINK("https://twitter.com/petrogustavo/status/1231041646617382912","1231041646617382912")</f>
        <v>1231041646617382912</v>
      </c>
      <c r="F2466" s="7" t="s">
        <v>17</v>
      </c>
      <c r="G2466" s="7">
        <v>3643505</v>
      </c>
      <c r="H2466" s="7">
        <v>2351</v>
      </c>
      <c r="I2466" s="7">
        <v>165</v>
      </c>
      <c r="J2466" s="7">
        <v>0</v>
      </c>
      <c r="K2466" s="7" t="s">
        <v>18</v>
      </c>
      <c r="L2466" s="8">
        <v>39987.315405092595</v>
      </c>
      <c r="M2466" s="9" t="s">
        <v>19</v>
      </c>
      <c r="N2466" s="9" t="s">
        <v>20</v>
      </c>
      <c r="O2466" s="6" t="str">
        <f>HYPERLINK("https://pbs.twimg.com/profile_images/962471262747529216/Uo8lOkRJ_normal.jpg","View")</f>
        <v>View</v>
      </c>
      <c r="P2466" s="7"/>
    </row>
    <row r="2467" spans="1:16">
      <c r="A2467" s="3">
        <v>43883.330613425926</v>
      </c>
      <c r="B2467" s="4" t="str">
        <f>HYPERLINK("https://twitter.com/petrogustavo","@petrogustavo")</f>
        <v>@petrogustavo</v>
      </c>
      <c r="C2467" s="5" t="s">
        <v>16</v>
      </c>
      <c r="D2467" s="5" t="s">
        <v>2415</v>
      </c>
      <c r="E2467" s="6" t="str">
        <f>HYPERLINK("https://twitter.com/petrogustavo/status/1231042444583632897","1231042444583632897")</f>
        <v>1231042444583632897</v>
      </c>
      <c r="F2467" s="7" t="s">
        <v>17</v>
      </c>
      <c r="G2467" s="7">
        <v>3643505</v>
      </c>
      <c r="H2467" s="7">
        <v>2351</v>
      </c>
      <c r="I2467" s="7">
        <v>27</v>
      </c>
      <c r="J2467" s="7">
        <v>0</v>
      </c>
      <c r="K2467" s="7" t="s">
        <v>18</v>
      </c>
      <c r="L2467" s="8">
        <v>39987.315405092595</v>
      </c>
      <c r="M2467" s="9" t="s">
        <v>19</v>
      </c>
      <c r="N2467" s="9" t="s">
        <v>20</v>
      </c>
      <c r="O2467" s="6" t="str">
        <f>HYPERLINK("https://pbs.twimg.com/profile_images/962471262747529216/Uo8lOkRJ_normal.jpg","View")</f>
        <v>View</v>
      </c>
      <c r="P2467" s="7"/>
    </row>
    <row r="2468" spans="1:16">
      <c r="A2468" s="3">
        <v>43883.335289351853</v>
      </c>
      <c r="B2468" s="4" t="str">
        <f>HYPERLINK("https://twitter.com/petrogustavo","@petrogustavo")</f>
        <v>@petrogustavo</v>
      </c>
      <c r="C2468" s="5" t="s">
        <v>16</v>
      </c>
      <c r="D2468" s="5" t="s">
        <v>2416</v>
      </c>
      <c r="E2468" s="6" t="str">
        <f>HYPERLINK("https://twitter.com/petrogustavo/status/1231044139619377153","1231044139619377153")</f>
        <v>1231044139619377153</v>
      </c>
      <c r="F2468" s="7" t="s">
        <v>17</v>
      </c>
      <c r="G2468" s="7">
        <v>3643505</v>
      </c>
      <c r="H2468" s="7">
        <v>2351</v>
      </c>
      <c r="I2468" s="7">
        <v>1049</v>
      </c>
      <c r="J2468" s="7">
        <v>0</v>
      </c>
      <c r="K2468" s="7" t="s">
        <v>18</v>
      </c>
      <c r="L2468" s="8">
        <v>39987.315405092595</v>
      </c>
      <c r="M2468" s="9" t="s">
        <v>19</v>
      </c>
      <c r="N2468" s="9" t="s">
        <v>20</v>
      </c>
      <c r="O2468" s="6" t="str">
        <f>HYPERLINK("https://pbs.twimg.com/profile_images/962471262747529216/Uo8lOkRJ_normal.jpg","View")</f>
        <v>View</v>
      </c>
      <c r="P2468" s="7"/>
    </row>
    <row r="2469" spans="1:16">
      <c r="A2469" s="3">
        <v>43883.3355787037</v>
      </c>
      <c r="B2469" s="4" t="str">
        <f>HYPERLINK("https://twitter.com/petrogustavo","@petrogustavo")</f>
        <v>@petrogustavo</v>
      </c>
      <c r="C2469" s="5" t="s">
        <v>16</v>
      </c>
      <c r="D2469" s="5" t="s">
        <v>2417</v>
      </c>
      <c r="E2469" s="6" t="str">
        <f>HYPERLINK("https://twitter.com/petrogustavo/status/1231044244799918080","1231044244799918080")</f>
        <v>1231044244799918080</v>
      </c>
      <c r="F2469" s="7" t="s">
        <v>17</v>
      </c>
      <c r="G2469" s="7">
        <v>3643505</v>
      </c>
      <c r="H2469" s="7">
        <v>2351</v>
      </c>
      <c r="I2469" s="7">
        <v>553</v>
      </c>
      <c r="J2469" s="7">
        <v>0</v>
      </c>
      <c r="K2469" s="7" t="s">
        <v>18</v>
      </c>
      <c r="L2469" s="8">
        <v>39987.315405092595</v>
      </c>
      <c r="M2469" s="9" t="s">
        <v>19</v>
      </c>
      <c r="N2469" s="9" t="s">
        <v>20</v>
      </c>
      <c r="O2469" s="6" t="str">
        <f>HYPERLINK("https://pbs.twimg.com/profile_images/962471262747529216/Uo8lOkRJ_normal.jpg","View")</f>
        <v>View</v>
      </c>
      <c r="P2469" s="7"/>
    </row>
    <row r="2470" spans="1:16">
      <c r="A2470" s="3">
        <v>43883.871921296297</v>
      </c>
      <c r="B2470" s="4" t="str">
        <f>HYPERLINK("https://twitter.com/petrogustavo","@petrogustavo")</f>
        <v>@petrogustavo</v>
      </c>
      <c r="C2470" s="5" t="s">
        <v>16</v>
      </c>
      <c r="D2470" s="5" t="s">
        <v>2418</v>
      </c>
      <c r="E2470" s="6" t="str">
        <f>HYPERLINK("https://twitter.com/petrogustavo/status/1231238609593827328","1231238609593827328")</f>
        <v>1231238609593827328</v>
      </c>
      <c r="F2470" s="7" t="s">
        <v>17</v>
      </c>
      <c r="G2470" s="7">
        <v>3643879</v>
      </c>
      <c r="H2470" s="7">
        <v>2350</v>
      </c>
      <c r="I2470" s="7">
        <v>43</v>
      </c>
      <c r="J2470" s="7">
        <v>214</v>
      </c>
      <c r="K2470" s="7" t="s">
        <v>18</v>
      </c>
      <c r="L2470" s="8">
        <v>39987.315405092595</v>
      </c>
      <c r="M2470" s="9" t="s">
        <v>19</v>
      </c>
      <c r="N2470" s="9" t="s">
        <v>20</v>
      </c>
      <c r="O2470" s="6" t="str">
        <f>HYPERLINK("https://pbs.twimg.com/profile_images/962471262747529216/Uo8lOkRJ_normal.jpg","View")</f>
        <v>View</v>
      </c>
      <c r="P2470" s="7"/>
    </row>
    <row r="2471" spans="1:16">
      <c r="A2471" s="3">
        <v>43883.876736111109</v>
      </c>
      <c r="B2471" s="4" t="str">
        <f>HYPERLINK("https://twitter.com/petrogustavo","@petrogustavo")</f>
        <v>@petrogustavo</v>
      </c>
      <c r="C2471" s="5" t="s">
        <v>16</v>
      </c>
      <c r="D2471" s="5" t="s">
        <v>2419</v>
      </c>
      <c r="E2471" s="6" t="str">
        <f>HYPERLINK("https://twitter.com/petrogustavo/status/1231240352633323522","1231240352633323522")</f>
        <v>1231240352633323522</v>
      </c>
      <c r="F2471" s="7" t="s">
        <v>17</v>
      </c>
      <c r="G2471" s="7">
        <v>3643879</v>
      </c>
      <c r="H2471" s="7">
        <v>2350</v>
      </c>
      <c r="I2471" s="7">
        <v>117</v>
      </c>
      <c r="J2471" s="7">
        <v>389</v>
      </c>
      <c r="K2471" s="7" t="s">
        <v>18</v>
      </c>
      <c r="L2471" s="8">
        <v>39987.315405092595</v>
      </c>
      <c r="M2471" s="9" t="s">
        <v>19</v>
      </c>
      <c r="N2471" s="9" t="s">
        <v>20</v>
      </c>
      <c r="O2471" s="6" t="str">
        <f>HYPERLINK("https://pbs.twimg.com/profile_images/962471262747529216/Uo8lOkRJ_normal.jpg","View")</f>
        <v>View</v>
      </c>
      <c r="P2471" s="7"/>
    </row>
    <row r="2472" spans="1:16">
      <c r="A2472" s="3">
        <v>43883.876736111109</v>
      </c>
      <c r="B2472" s="4" t="str">
        <f>HYPERLINK("https://twitter.com/petrogustavo","@petrogustavo")</f>
        <v>@petrogustavo</v>
      </c>
      <c r="C2472" s="5" t="s">
        <v>16</v>
      </c>
      <c r="D2472" s="5" t="s">
        <v>2420</v>
      </c>
      <c r="E2472" s="6" t="str">
        <f>HYPERLINK("https://twitter.com/petrogustavo/status/1231240354357301250","1231240354357301250")</f>
        <v>1231240354357301250</v>
      </c>
      <c r="F2472" s="7" t="s">
        <v>17</v>
      </c>
      <c r="G2472" s="7">
        <v>3643879</v>
      </c>
      <c r="H2472" s="7">
        <v>2350</v>
      </c>
      <c r="I2472" s="7">
        <v>74</v>
      </c>
      <c r="J2472" s="7">
        <v>309</v>
      </c>
      <c r="K2472" s="7" t="s">
        <v>18</v>
      </c>
      <c r="L2472" s="8">
        <v>39987.315405092595</v>
      </c>
      <c r="M2472" s="9" t="s">
        <v>19</v>
      </c>
      <c r="N2472" s="9" t="s">
        <v>20</v>
      </c>
      <c r="O2472" s="6" t="str">
        <f>HYPERLINK("https://pbs.twimg.com/profile_images/962471262747529216/Uo8lOkRJ_normal.jpg","View")</f>
        <v>View</v>
      </c>
      <c r="P2472" s="7"/>
    </row>
    <row r="2473" spans="1:16">
      <c r="A2473" s="3">
        <v>43883.889467592591</v>
      </c>
      <c r="B2473" s="4" t="str">
        <f>HYPERLINK("https://twitter.com/petrogustavo","@petrogustavo")</f>
        <v>@petrogustavo</v>
      </c>
      <c r="C2473" s="5" t="s">
        <v>16</v>
      </c>
      <c r="D2473" s="5" t="s">
        <v>2421</v>
      </c>
      <c r="E2473" s="6" t="str">
        <f>HYPERLINK("https://twitter.com/petrogustavo/status/1231244967961600000","1231244967961600000")</f>
        <v>1231244967961600000</v>
      </c>
      <c r="F2473" s="7" t="s">
        <v>17</v>
      </c>
      <c r="G2473" s="7">
        <v>3643906</v>
      </c>
      <c r="H2473" s="7">
        <v>2350</v>
      </c>
      <c r="I2473" s="7">
        <v>220</v>
      </c>
      <c r="J2473" s="7">
        <v>392</v>
      </c>
      <c r="K2473" s="7" t="s">
        <v>18</v>
      </c>
      <c r="L2473" s="8">
        <v>39987.315405092595</v>
      </c>
      <c r="M2473" s="9" t="s">
        <v>19</v>
      </c>
      <c r="N2473" s="9" t="s">
        <v>20</v>
      </c>
      <c r="O2473" s="6" t="str">
        <f>HYPERLINK("https://pbs.twimg.com/profile_images/962471262747529216/Uo8lOkRJ_normal.jpg","View")</f>
        <v>View</v>
      </c>
      <c r="P2473" s="7"/>
    </row>
    <row r="2474" spans="1:16">
      <c r="A2474" s="3">
        <v>43883.897222222222</v>
      </c>
      <c r="B2474" s="4" t="str">
        <f>HYPERLINK("https://twitter.com/petrogustavo","@petrogustavo")</f>
        <v>@petrogustavo</v>
      </c>
      <c r="C2474" s="5" t="s">
        <v>16</v>
      </c>
      <c r="D2474" s="5" t="s">
        <v>2422</v>
      </c>
      <c r="E2474" s="6" t="str">
        <f>HYPERLINK("https://twitter.com/petrogustavo/status/1231247777629458432","1231247777629458432")</f>
        <v>1231247777629458432</v>
      </c>
      <c r="F2474" s="7" t="s">
        <v>17</v>
      </c>
      <c r="G2474" s="7">
        <v>3643906</v>
      </c>
      <c r="H2474" s="7">
        <v>2350</v>
      </c>
      <c r="I2474" s="7">
        <v>60</v>
      </c>
      <c r="J2474" s="7">
        <v>158</v>
      </c>
      <c r="K2474" s="7" t="s">
        <v>18</v>
      </c>
      <c r="L2474" s="8">
        <v>39987.315405092595</v>
      </c>
      <c r="M2474" s="9" t="s">
        <v>19</v>
      </c>
      <c r="N2474" s="9" t="s">
        <v>20</v>
      </c>
      <c r="O2474" s="6" t="str">
        <f>HYPERLINK("https://pbs.twimg.com/profile_images/962471262747529216/Uo8lOkRJ_normal.jpg","View")</f>
        <v>View</v>
      </c>
      <c r="P2474" s="7"/>
    </row>
    <row r="2475" spans="1:16">
      <c r="A2475" s="3">
        <v>43883.898645833338</v>
      </c>
      <c r="B2475" s="4" t="str">
        <f>HYPERLINK("https://twitter.com/petrogustavo","@petrogustavo")</f>
        <v>@petrogustavo</v>
      </c>
      <c r="C2475" s="5" t="s">
        <v>16</v>
      </c>
      <c r="D2475" s="5" t="s">
        <v>2423</v>
      </c>
      <c r="E2475" s="6" t="str">
        <f>HYPERLINK("https://twitter.com/petrogustavo/status/1231248292916363264","1231248292916363264")</f>
        <v>1231248292916363264</v>
      </c>
      <c r="F2475" s="7" t="s">
        <v>17</v>
      </c>
      <c r="G2475" s="7">
        <v>3643906</v>
      </c>
      <c r="H2475" s="7">
        <v>2350</v>
      </c>
      <c r="I2475" s="7">
        <v>31</v>
      </c>
      <c r="J2475" s="7">
        <v>0</v>
      </c>
      <c r="K2475" s="7" t="s">
        <v>18</v>
      </c>
      <c r="L2475" s="8">
        <v>39987.315405092595</v>
      </c>
      <c r="M2475" s="9" t="s">
        <v>19</v>
      </c>
      <c r="N2475" s="9" t="s">
        <v>20</v>
      </c>
      <c r="O2475" s="6" t="str">
        <f>HYPERLINK("https://pbs.twimg.com/profile_images/962471262747529216/Uo8lOkRJ_normal.jpg","View")</f>
        <v>View</v>
      </c>
      <c r="P2475" s="7"/>
    </row>
    <row r="2476" spans="1:16">
      <c r="A2476" s="3">
        <v>43883.901041666672</v>
      </c>
      <c r="B2476" s="4" t="str">
        <f>HYPERLINK("https://twitter.com/petrogustavo","@petrogustavo")</f>
        <v>@petrogustavo</v>
      </c>
      <c r="C2476" s="5" t="s">
        <v>16</v>
      </c>
      <c r="D2476" s="5" t="s">
        <v>2424</v>
      </c>
      <c r="E2476" s="6" t="str">
        <f>HYPERLINK("https://twitter.com/petrogustavo/status/1231249162089517056","1231249162089517056")</f>
        <v>1231249162089517056</v>
      </c>
      <c r="F2476" s="7" t="s">
        <v>17</v>
      </c>
      <c r="G2476" s="7">
        <v>3643906</v>
      </c>
      <c r="H2476" s="7">
        <v>2350</v>
      </c>
      <c r="I2476" s="7">
        <v>54</v>
      </c>
      <c r="J2476" s="7">
        <v>197</v>
      </c>
      <c r="K2476" s="7" t="s">
        <v>18</v>
      </c>
      <c r="L2476" s="8">
        <v>39987.315405092595</v>
      </c>
      <c r="M2476" s="9" t="s">
        <v>19</v>
      </c>
      <c r="N2476" s="9" t="s">
        <v>20</v>
      </c>
      <c r="O2476" s="6" t="str">
        <f>HYPERLINK("https://pbs.twimg.com/profile_images/962471262747529216/Uo8lOkRJ_normal.jpg","View")</f>
        <v>View</v>
      </c>
      <c r="P2476" s="7"/>
    </row>
    <row r="2477" spans="1:16">
      <c r="A2477" s="3">
        <v>43883.905787037038</v>
      </c>
      <c r="B2477" s="4" t="str">
        <f>HYPERLINK("https://twitter.com/petrogustavo","@petrogustavo")</f>
        <v>@petrogustavo</v>
      </c>
      <c r="C2477" s="5" t="s">
        <v>16</v>
      </c>
      <c r="D2477" s="5" t="s">
        <v>2425</v>
      </c>
      <c r="E2477" s="6" t="str">
        <f>HYPERLINK("https://twitter.com/petrogustavo/status/1231250881913540608","1231250881913540608")</f>
        <v>1231250881913540608</v>
      </c>
      <c r="F2477" s="7" t="s">
        <v>17</v>
      </c>
      <c r="G2477" s="7">
        <v>3643906</v>
      </c>
      <c r="H2477" s="7">
        <v>2350</v>
      </c>
      <c r="I2477" s="7">
        <v>28</v>
      </c>
      <c r="J2477" s="7">
        <v>54</v>
      </c>
      <c r="K2477" s="7" t="s">
        <v>18</v>
      </c>
      <c r="L2477" s="8">
        <v>39987.315405092595</v>
      </c>
      <c r="M2477" s="9" t="s">
        <v>19</v>
      </c>
      <c r="N2477" s="9" t="s">
        <v>20</v>
      </c>
      <c r="O2477" s="6" t="str">
        <f>HYPERLINK("https://pbs.twimg.com/profile_images/962471262747529216/Uo8lOkRJ_normal.jpg","View")</f>
        <v>View</v>
      </c>
      <c r="P2477" s="7"/>
    </row>
    <row r="2478" spans="1:16">
      <c r="A2478" s="3">
        <v>43883.909525462965</v>
      </c>
      <c r="B2478" s="4" t="str">
        <f>HYPERLINK("https://twitter.com/petrogustavo","@petrogustavo")</f>
        <v>@petrogustavo</v>
      </c>
      <c r="C2478" s="5" t="s">
        <v>16</v>
      </c>
      <c r="D2478" s="5" t="s">
        <v>2426</v>
      </c>
      <c r="E2478" s="6" t="str">
        <f>HYPERLINK("https://twitter.com/petrogustavo/status/1231252238212960257","1231252238212960257")</f>
        <v>1231252238212960257</v>
      </c>
      <c r="F2478" s="7" t="s">
        <v>17</v>
      </c>
      <c r="G2478" s="7">
        <v>3643933</v>
      </c>
      <c r="H2478" s="7">
        <v>2350</v>
      </c>
      <c r="I2478" s="7">
        <v>34</v>
      </c>
      <c r="J2478" s="7">
        <v>115</v>
      </c>
      <c r="K2478" s="7" t="s">
        <v>18</v>
      </c>
      <c r="L2478" s="8">
        <v>39987.315405092595</v>
      </c>
      <c r="M2478" s="9" t="s">
        <v>19</v>
      </c>
      <c r="N2478" s="9" t="s">
        <v>20</v>
      </c>
      <c r="O2478" s="6" t="str">
        <f>HYPERLINK("https://pbs.twimg.com/profile_images/962471262747529216/Uo8lOkRJ_normal.jpg","View")</f>
        <v>View</v>
      </c>
      <c r="P2478" s="7"/>
    </row>
    <row r="2479" spans="1:16">
      <c r="A2479" s="3">
        <v>43883.919363425928</v>
      </c>
      <c r="B2479" s="4" t="str">
        <f>HYPERLINK("https://twitter.com/petrogustavo","@petrogustavo")</f>
        <v>@petrogustavo</v>
      </c>
      <c r="C2479" s="5" t="s">
        <v>16</v>
      </c>
      <c r="D2479" s="5" t="s">
        <v>2427</v>
      </c>
      <c r="E2479" s="6" t="str">
        <f>HYPERLINK("https://twitter.com/petrogustavo/status/1231255803669155847","1231255803669155847")</f>
        <v>1231255803669155847</v>
      </c>
      <c r="F2479" s="7" t="s">
        <v>17</v>
      </c>
      <c r="G2479" s="7">
        <v>3643933</v>
      </c>
      <c r="H2479" s="7">
        <v>2350</v>
      </c>
      <c r="I2479" s="7">
        <v>6</v>
      </c>
      <c r="J2479" s="7">
        <v>0</v>
      </c>
      <c r="K2479" s="7" t="s">
        <v>18</v>
      </c>
      <c r="L2479" s="8">
        <v>39987.315405092595</v>
      </c>
      <c r="M2479" s="9" t="s">
        <v>19</v>
      </c>
      <c r="N2479" s="9" t="s">
        <v>20</v>
      </c>
      <c r="O2479" s="6" t="str">
        <f>HYPERLINK("https://pbs.twimg.com/profile_images/962471262747529216/Uo8lOkRJ_normal.jpg","View")</f>
        <v>View</v>
      </c>
      <c r="P2479" s="7"/>
    </row>
    <row r="2480" spans="1:16">
      <c r="A2480" s="3">
        <v>43883.919803240744</v>
      </c>
      <c r="B2480" s="4" t="str">
        <f>HYPERLINK("https://twitter.com/petrogustavo","@petrogustavo")</f>
        <v>@petrogustavo</v>
      </c>
      <c r="C2480" s="5" t="s">
        <v>16</v>
      </c>
      <c r="D2480" s="5" t="s">
        <v>2428</v>
      </c>
      <c r="E2480" s="6" t="str">
        <f>HYPERLINK("https://twitter.com/petrogustavo/status/1231255959638618113","1231255959638618113")</f>
        <v>1231255959638618113</v>
      </c>
      <c r="F2480" s="7" t="s">
        <v>17</v>
      </c>
      <c r="G2480" s="7">
        <v>3643933</v>
      </c>
      <c r="H2480" s="7">
        <v>2350</v>
      </c>
      <c r="I2480" s="7">
        <v>70</v>
      </c>
      <c r="J2480" s="7">
        <v>0</v>
      </c>
      <c r="K2480" s="7" t="s">
        <v>18</v>
      </c>
      <c r="L2480" s="8">
        <v>39987.315405092595</v>
      </c>
      <c r="M2480" s="9" t="s">
        <v>19</v>
      </c>
      <c r="N2480" s="9" t="s">
        <v>20</v>
      </c>
      <c r="O2480" s="6" t="str">
        <f>HYPERLINK("https://pbs.twimg.com/profile_images/962471262747529216/Uo8lOkRJ_normal.jpg","View")</f>
        <v>View</v>
      </c>
      <c r="P2480" s="7"/>
    </row>
    <row r="2481" spans="1:16">
      <c r="A2481" s="3">
        <v>43883.920462962968</v>
      </c>
      <c r="B2481" s="4" t="str">
        <f>HYPERLINK("https://twitter.com/petrogustavo","@petrogustavo")</f>
        <v>@petrogustavo</v>
      </c>
      <c r="C2481" s="5" t="s">
        <v>16</v>
      </c>
      <c r="D2481" s="5" t="s">
        <v>2429</v>
      </c>
      <c r="E2481" s="6" t="str">
        <f>HYPERLINK("https://twitter.com/petrogustavo/status/1231256200819494913","1231256200819494913")</f>
        <v>1231256200819494913</v>
      </c>
      <c r="F2481" s="7" t="s">
        <v>17</v>
      </c>
      <c r="G2481" s="7">
        <v>3643933</v>
      </c>
      <c r="H2481" s="7">
        <v>2350</v>
      </c>
      <c r="I2481" s="7">
        <v>172</v>
      </c>
      <c r="J2481" s="7">
        <v>0</v>
      </c>
      <c r="K2481" s="7" t="s">
        <v>18</v>
      </c>
      <c r="L2481" s="8">
        <v>39987.315405092595</v>
      </c>
      <c r="M2481" s="9" t="s">
        <v>19</v>
      </c>
      <c r="N2481" s="9" t="s">
        <v>20</v>
      </c>
      <c r="O2481" s="6" t="str">
        <f>HYPERLINK("https://pbs.twimg.com/profile_images/962471262747529216/Uo8lOkRJ_normal.jpg","View")</f>
        <v>View</v>
      </c>
      <c r="P2481" s="7"/>
    </row>
    <row r="2482" spans="1:16">
      <c r="A2482" s="3">
        <v>43883.921412037038</v>
      </c>
      <c r="B2482" s="4" t="str">
        <f>HYPERLINK("https://twitter.com/petrogustavo","@petrogustavo")</f>
        <v>@petrogustavo</v>
      </c>
      <c r="C2482" s="5" t="s">
        <v>16</v>
      </c>
      <c r="D2482" s="5" t="s">
        <v>2430</v>
      </c>
      <c r="E2482" s="6" t="str">
        <f>HYPERLINK("https://twitter.com/petrogustavo/status/1231256543913545728","1231256543913545728")</f>
        <v>1231256543913545728</v>
      </c>
      <c r="F2482" s="7" t="s">
        <v>17</v>
      </c>
      <c r="G2482" s="7">
        <v>3643933</v>
      </c>
      <c r="H2482" s="7">
        <v>2350</v>
      </c>
      <c r="I2482" s="7">
        <v>202</v>
      </c>
      <c r="J2482" s="7">
        <v>0</v>
      </c>
      <c r="K2482" s="7" t="s">
        <v>18</v>
      </c>
      <c r="L2482" s="8">
        <v>39987.315405092595</v>
      </c>
      <c r="M2482" s="9" t="s">
        <v>19</v>
      </c>
      <c r="N2482" s="9" t="s">
        <v>20</v>
      </c>
      <c r="O2482" s="6" t="str">
        <f>HYPERLINK("https://pbs.twimg.com/profile_images/962471262747529216/Uo8lOkRJ_normal.jpg","View")</f>
        <v>View</v>
      </c>
      <c r="P2482" s="7"/>
    </row>
    <row r="2483" spans="1:16">
      <c r="A2483" s="3">
        <v>43883.922164351854</v>
      </c>
      <c r="B2483" s="4" t="str">
        <f>HYPERLINK("https://twitter.com/petrogustavo","@petrogustavo")</f>
        <v>@petrogustavo</v>
      </c>
      <c r="C2483" s="5" t="s">
        <v>16</v>
      </c>
      <c r="D2483" s="5" t="s">
        <v>2431</v>
      </c>
      <c r="E2483" s="6" t="str">
        <f>HYPERLINK("https://twitter.com/petrogustavo/status/1231256818086809601","1231256818086809601")</f>
        <v>1231256818086809601</v>
      </c>
      <c r="F2483" s="7" t="s">
        <v>17</v>
      </c>
      <c r="G2483" s="7">
        <v>3643933</v>
      </c>
      <c r="H2483" s="7">
        <v>2350</v>
      </c>
      <c r="I2483" s="7">
        <v>11</v>
      </c>
      <c r="J2483" s="7">
        <v>0</v>
      </c>
      <c r="K2483" s="7" t="s">
        <v>18</v>
      </c>
      <c r="L2483" s="8">
        <v>39987.315405092595</v>
      </c>
      <c r="M2483" s="9" t="s">
        <v>19</v>
      </c>
      <c r="N2483" s="9" t="s">
        <v>20</v>
      </c>
      <c r="O2483" s="6" t="str">
        <f>HYPERLINK("https://pbs.twimg.com/profile_images/962471262747529216/Uo8lOkRJ_normal.jpg","View")</f>
        <v>View</v>
      </c>
      <c r="P2483" s="7"/>
    </row>
    <row r="2484" spans="1:16">
      <c r="A2484" s="3">
        <v>43883.925428240742</v>
      </c>
      <c r="B2484" s="4" t="str">
        <f>HYPERLINK("https://twitter.com/petrogustavo","@petrogustavo")</f>
        <v>@petrogustavo</v>
      </c>
      <c r="C2484" s="5" t="s">
        <v>16</v>
      </c>
      <c r="D2484" s="5" t="s">
        <v>2432</v>
      </c>
      <c r="E2484" s="6" t="str">
        <f>HYPERLINK("https://twitter.com/petrogustavo/status/1231257998787588098","1231257998787588098")</f>
        <v>1231257998787588098</v>
      </c>
      <c r="F2484" s="7" t="s">
        <v>17</v>
      </c>
      <c r="G2484" s="7">
        <v>3643933</v>
      </c>
      <c r="H2484" s="7">
        <v>2350</v>
      </c>
      <c r="I2484" s="7">
        <v>218</v>
      </c>
      <c r="J2484" s="7">
        <v>0</v>
      </c>
      <c r="K2484" s="7" t="s">
        <v>18</v>
      </c>
      <c r="L2484" s="8">
        <v>39987.315405092595</v>
      </c>
      <c r="M2484" s="9" t="s">
        <v>19</v>
      </c>
      <c r="N2484" s="9" t="s">
        <v>20</v>
      </c>
      <c r="O2484" s="6" t="str">
        <f>HYPERLINK("https://pbs.twimg.com/profile_images/962471262747529216/Uo8lOkRJ_normal.jpg","View")</f>
        <v>View</v>
      </c>
      <c r="P2484" s="7"/>
    </row>
    <row r="2485" spans="1:16">
      <c r="A2485" s="3">
        <v>43883.929027777776</v>
      </c>
      <c r="B2485" s="4" t="str">
        <f>HYPERLINK("https://twitter.com/petrogustavo","@petrogustavo")</f>
        <v>@petrogustavo</v>
      </c>
      <c r="C2485" s="5" t="s">
        <v>16</v>
      </c>
      <c r="D2485" s="5" t="s">
        <v>2433</v>
      </c>
      <c r="E2485" s="6" t="str">
        <f>HYPERLINK("https://twitter.com/petrogustavo/status/1231259302406606850","1231259302406606850")</f>
        <v>1231259302406606850</v>
      </c>
      <c r="F2485" s="7" t="s">
        <v>17</v>
      </c>
      <c r="G2485" s="7">
        <v>3643933</v>
      </c>
      <c r="H2485" s="7">
        <v>2350</v>
      </c>
      <c r="I2485" s="7">
        <v>18</v>
      </c>
      <c r="J2485" s="7">
        <v>0</v>
      </c>
      <c r="K2485" s="7" t="s">
        <v>18</v>
      </c>
      <c r="L2485" s="8">
        <v>39987.315405092595</v>
      </c>
      <c r="M2485" s="9" t="s">
        <v>19</v>
      </c>
      <c r="N2485" s="9" t="s">
        <v>20</v>
      </c>
      <c r="O2485" s="6" t="str">
        <f>HYPERLINK("https://pbs.twimg.com/profile_images/962471262747529216/Uo8lOkRJ_normal.jpg","View")</f>
        <v>View</v>
      </c>
      <c r="P2485" s="7"/>
    </row>
    <row r="2486" spans="1:16">
      <c r="A2486" s="3">
        <v>43883.929490740746</v>
      </c>
      <c r="B2486" s="4" t="str">
        <f>HYPERLINK("https://twitter.com/petrogustavo","@petrogustavo")</f>
        <v>@petrogustavo</v>
      </c>
      <c r="C2486" s="5" t="s">
        <v>16</v>
      </c>
      <c r="D2486" s="5" t="s">
        <v>2434</v>
      </c>
      <c r="E2486" s="6" t="str">
        <f>HYPERLINK("https://twitter.com/petrogustavo/status/1231259474171658241","1231259474171658241")</f>
        <v>1231259474171658241</v>
      </c>
      <c r="F2486" s="7" t="s">
        <v>17</v>
      </c>
      <c r="G2486" s="7">
        <v>3643943</v>
      </c>
      <c r="H2486" s="7">
        <v>2350</v>
      </c>
      <c r="I2486" s="7">
        <v>64</v>
      </c>
      <c r="J2486" s="7">
        <v>0</v>
      </c>
      <c r="K2486" s="7" t="s">
        <v>18</v>
      </c>
      <c r="L2486" s="8">
        <v>39987.315405092595</v>
      </c>
      <c r="M2486" s="9" t="s">
        <v>19</v>
      </c>
      <c r="N2486" s="9" t="s">
        <v>20</v>
      </c>
      <c r="O2486" s="6" t="str">
        <f>HYPERLINK("https://pbs.twimg.com/profile_images/962471262747529216/Uo8lOkRJ_normal.jpg","View")</f>
        <v>View</v>
      </c>
      <c r="P2486" s="7"/>
    </row>
    <row r="2487" spans="1:16">
      <c r="A2487" s="3">
        <v>43883.930300925931</v>
      </c>
      <c r="B2487" s="4" t="str">
        <f>HYPERLINK("https://twitter.com/petrogustavo","@petrogustavo")</f>
        <v>@petrogustavo</v>
      </c>
      <c r="C2487" s="5" t="s">
        <v>16</v>
      </c>
      <c r="D2487" s="5" t="s">
        <v>2435</v>
      </c>
      <c r="E2487" s="6" t="str">
        <f>HYPERLINK("https://twitter.com/petrogustavo/status/1231259765696876544","1231259765696876544")</f>
        <v>1231259765696876544</v>
      </c>
      <c r="F2487" s="7" t="s">
        <v>17</v>
      </c>
      <c r="G2487" s="7">
        <v>3643943</v>
      </c>
      <c r="H2487" s="7">
        <v>2350</v>
      </c>
      <c r="I2487" s="7">
        <v>72</v>
      </c>
      <c r="J2487" s="7">
        <v>0</v>
      </c>
      <c r="K2487" s="7" t="s">
        <v>18</v>
      </c>
      <c r="L2487" s="8">
        <v>39987.315405092595</v>
      </c>
      <c r="M2487" s="9" t="s">
        <v>19</v>
      </c>
      <c r="N2487" s="9" t="s">
        <v>20</v>
      </c>
      <c r="O2487" s="6" t="str">
        <f>HYPERLINK("https://pbs.twimg.com/profile_images/962471262747529216/Uo8lOkRJ_normal.jpg","View")</f>
        <v>View</v>
      </c>
      <c r="P2487" s="7"/>
    </row>
    <row r="2488" spans="1:16">
      <c r="A2488" s="3">
        <v>43883.950208333335</v>
      </c>
      <c r="B2488" s="4" t="str">
        <f>HYPERLINK("https://twitter.com/petrogustavo","@petrogustavo")</f>
        <v>@petrogustavo</v>
      </c>
      <c r="C2488" s="5" t="s">
        <v>16</v>
      </c>
      <c r="D2488" s="5" t="s">
        <v>2436</v>
      </c>
      <c r="E2488" s="6" t="str">
        <f>HYPERLINK("https://twitter.com/petrogustavo/status/1231266981745233922","1231266981745233922")</f>
        <v>1231266981745233922</v>
      </c>
      <c r="F2488" s="7" t="s">
        <v>17</v>
      </c>
      <c r="G2488" s="7">
        <v>3643964</v>
      </c>
      <c r="H2488" s="7">
        <v>2350</v>
      </c>
      <c r="I2488" s="7">
        <v>197</v>
      </c>
      <c r="J2488" s="7">
        <v>615</v>
      </c>
      <c r="K2488" s="7" t="s">
        <v>18</v>
      </c>
      <c r="L2488" s="8">
        <v>39987.315405092595</v>
      </c>
      <c r="M2488" s="9" t="s">
        <v>19</v>
      </c>
      <c r="N2488" s="9" t="s">
        <v>20</v>
      </c>
      <c r="O2488" s="6" t="str">
        <f>HYPERLINK("https://pbs.twimg.com/profile_images/962471262747529216/Uo8lOkRJ_normal.jpg","View")</f>
        <v>View</v>
      </c>
      <c r="P2488" s="7"/>
    </row>
    <row r="2489" spans="1:16">
      <c r="A2489" s="3">
        <v>43883.951412037037</v>
      </c>
      <c r="B2489" s="4" t="str">
        <f>HYPERLINK("https://twitter.com/petrogustavo","@petrogustavo")</f>
        <v>@petrogustavo</v>
      </c>
      <c r="C2489" s="5" t="s">
        <v>16</v>
      </c>
      <c r="D2489" s="5" t="s">
        <v>2437</v>
      </c>
      <c r="E2489" s="6" t="str">
        <f>HYPERLINK("https://twitter.com/petrogustavo/status/1231267415335501826","1231267415335501826")</f>
        <v>1231267415335501826</v>
      </c>
      <c r="F2489" s="7" t="s">
        <v>17</v>
      </c>
      <c r="G2489" s="7">
        <v>3643964</v>
      </c>
      <c r="H2489" s="7">
        <v>2350</v>
      </c>
      <c r="I2489" s="7">
        <v>109</v>
      </c>
      <c r="J2489" s="7">
        <v>313</v>
      </c>
      <c r="K2489" s="7" t="s">
        <v>18</v>
      </c>
      <c r="L2489" s="8">
        <v>39987.315405092595</v>
      </c>
      <c r="M2489" s="9" t="s">
        <v>19</v>
      </c>
      <c r="N2489" s="9" t="s">
        <v>20</v>
      </c>
      <c r="O2489" s="6" t="str">
        <f>HYPERLINK("https://pbs.twimg.com/profile_images/962471262747529216/Uo8lOkRJ_normal.jpg","View")</f>
        <v>View</v>
      </c>
      <c r="P2489" s="7"/>
    </row>
    <row r="2490" spans="1:16">
      <c r="A2490" s="3">
        <v>43883.952800925923</v>
      </c>
      <c r="B2490" s="4" t="str">
        <f>HYPERLINK("https://twitter.com/petrogustavo","@petrogustavo")</f>
        <v>@petrogustavo</v>
      </c>
      <c r="C2490" s="5" t="s">
        <v>16</v>
      </c>
      <c r="D2490" s="5" t="s">
        <v>2438</v>
      </c>
      <c r="E2490" s="6" t="str">
        <f>HYPERLINK("https://twitter.com/petrogustavo/status/1231267920736641024","1231267920736641024")</f>
        <v>1231267920736641024</v>
      </c>
      <c r="F2490" s="7" t="s">
        <v>17</v>
      </c>
      <c r="G2490" s="7">
        <v>3643964</v>
      </c>
      <c r="H2490" s="7">
        <v>2350</v>
      </c>
      <c r="I2490" s="7">
        <v>187</v>
      </c>
      <c r="J2490" s="7">
        <v>0</v>
      </c>
      <c r="K2490" s="7" t="s">
        <v>18</v>
      </c>
      <c r="L2490" s="8">
        <v>39987.315405092595</v>
      </c>
      <c r="M2490" s="9" t="s">
        <v>19</v>
      </c>
      <c r="N2490" s="9" t="s">
        <v>20</v>
      </c>
      <c r="O2490" s="6" t="str">
        <f>HYPERLINK("https://pbs.twimg.com/profile_images/962471262747529216/Uo8lOkRJ_normal.jpg","View")</f>
        <v>View</v>
      </c>
      <c r="P2490" s="7"/>
    </row>
    <row r="2491" spans="1:16">
      <c r="A2491" s="3">
        <v>43883.95815972222</v>
      </c>
      <c r="B2491" s="4" t="str">
        <f>HYPERLINK("https://twitter.com/petrogustavo","@petrogustavo")</f>
        <v>@petrogustavo</v>
      </c>
      <c r="C2491" s="5" t="s">
        <v>16</v>
      </c>
      <c r="D2491" s="5" t="s">
        <v>2439</v>
      </c>
      <c r="E2491" s="6" t="str">
        <f>HYPERLINK("https://twitter.com/petrogustavo/status/1231269861935976451","1231269861935976451")</f>
        <v>1231269861935976451</v>
      </c>
      <c r="F2491" s="7" t="s">
        <v>17</v>
      </c>
      <c r="G2491" s="7">
        <v>3643964</v>
      </c>
      <c r="H2491" s="7">
        <v>2350</v>
      </c>
      <c r="I2491" s="7">
        <v>48</v>
      </c>
      <c r="J2491" s="7">
        <v>164</v>
      </c>
      <c r="K2491" s="7" t="s">
        <v>18</v>
      </c>
      <c r="L2491" s="8">
        <v>39987.315405092595</v>
      </c>
      <c r="M2491" s="9" t="s">
        <v>19</v>
      </c>
      <c r="N2491" s="9" t="s">
        <v>20</v>
      </c>
      <c r="O2491" s="6" t="str">
        <f>HYPERLINK("https://pbs.twimg.com/profile_images/962471262747529216/Uo8lOkRJ_normal.jpg","View")</f>
        <v>View</v>
      </c>
      <c r="P2491" s="7"/>
    </row>
    <row r="2492" spans="1:16">
      <c r="A2492" s="3">
        <v>43883.959166666667</v>
      </c>
      <c r="B2492" s="4" t="str">
        <f>HYPERLINK("https://twitter.com/petrogustavo","@petrogustavo")</f>
        <v>@petrogustavo</v>
      </c>
      <c r="C2492" s="5" t="s">
        <v>16</v>
      </c>
      <c r="D2492" s="5" t="s">
        <v>2440</v>
      </c>
      <c r="E2492" s="6" t="str">
        <f>HYPERLINK("https://twitter.com/petrogustavo/status/1231270225456267265","1231270225456267265")</f>
        <v>1231270225456267265</v>
      </c>
      <c r="F2492" s="7" t="s">
        <v>17</v>
      </c>
      <c r="G2492" s="7">
        <v>3643964</v>
      </c>
      <c r="H2492" s="7">
        <v>2350</v>
      </c>
      <c r="I2492" s="7">
        <v>324</v>
      </c>
      <c r="J2492" s="7">
        <v>0</v>
      </c>
      <c r="K2492" s="7" t="s">
        <v>18</v>
      </c>
      <c r="L2492" s="8">
        <v>39987.315405092595</v>
      </c>
      <c r="M2492" s="9" t="s">
        <v>19</v>
      </c>
      <c r="N2492" s="9" t="s">
        <v>20</v>
      </c>
      <c r="O2492" s="6" t="str">
        <f>HYPERLINK("https://pbs.twimg.com/profile_images/962471262747529216/Uo8lOkRJ_normal.jpg","View")</f>
        <v>View</v>
      </c>
      <c r="P2492" s="7"/>
    </row>
    <row r="2493" spans="1:16">
      <c r="A2493" s="3">
        <v>43883.961180555554</v>
      </c>
      <c r="B2493" s="4" t="str">
        <f>HYPERLINK("https://twitter.com/petrogustavo","@petrogustavo")</f>
        <v>@petrogustavo</v>
      </c>
      <c r="C2493" s="5" t="s">
        <v>16</v>
      </c>
      <c r="D2493" s="5" t="s">
        <v>2441</v>
      </c>
      <c r="E2493" s="6" t="str">
        <f>HYPERLINK("https://twitter.com/petrogustavo/status/1231270956162744320","1231270956162744320")</f>
        <v>1231270956162744320</v>
      </c>
      <c r="F2493" s="7" t="s">
        <v>17</v>
      </c>
      <c r="G2493" s="7">
        <v>3643964</v>
      </c>
      <c r="H2493" s="7">
        <v>2350</v>
      </c>
      <c r="I2493" s="7">
        <v>9</v>
      </c>
      <c r="J2493" s="7">
        <v>60</v>
      </c>
      <c r="K2493" s="7" t="s">
        <v>18</v>
      </c>
      <c r="L2493" s="8">
        <v>39987.315405092595</v>
      </c>
      <c r="M2493" s="9" t="s">
        <v>19</v>
      </c>
      <c r="N2493" s="9" t="s">
        <v>20</v>
      </c>
      <c r="O2493" s="6" t="str">
        <f>HYPERLINK("https://pbs.twimg.com/profile_images/962471262747529216/Uo8lOkRJ_normal.jpg","View")</f>
        <v>View</v>
      </c>
      <c r="P2493" s="7"/>
    </row>
    <row r="2494" spans="1:16">
      <c r="A2494" s="3">
        <v>43883.961446759262</v>
      </c>
      <c r="B2494" s="4" t="str">
        <f>HYPERLINK("https://twitter.com/petrogustavo","@petrogustavo")</f>
        <v>@petrogustavo</v>
      </c>
      <c r="C2494" s="5" t="s">
        <v>16</v>
      </c>
      <c r="D2494" s="5" t="s">
        <v>2442</v>
      </c>
      <c r="E2494" s="6" t="str">
        <f>HYPERLINK("https://twitter.com/petrogustavo/status/1231271050941534210","1231271050941534210")</f>
        <v>1231271050941534210</v>
      </c>
      <c r="F2494" s="7" t="s">
        <v>17</v>
      </c>
      <c r="G2494" s="7">
        <v>3643964</v>
      </c>
      <c r="H2494" s="7">
        <v>2350</v>
      </c>
      <c r="I2494" s="7">
        <v>255</v>
      </c>
      <c r="J2494" s="7">
        <v>0</v>
      </c>
      <c r="K2494" s="7" t="s">
        <v>18</v>
      </c>
      <c r="L2494" s="8">
        <v>39987.315405092595</v>
      </c>
      <c r="M2494" s="9" t="s">
        <v>19</v>
      </c>
      <c r="N2494" s="9" t="s">
        <v>20</v>
      </c>
      <c r="O2494" s="6" t="str">
        <f>HYPERLINK("https://pbs.twimg.com/profile_images/962471262747529216/Uo8lOkRJ_normal.jpg","View")</f>
        <v>View</v>
      </c>
      <c r="P2494" s="7"/>
    </row>
    <row r="2495" spans="1:16">
      <c r="A2495" s="3">
        <v>43883.965231481481</v>
      </c>
      <c r="B2495" s="4" t="str">
        <f>HYPERLINK("https://twitter.com/petrogustavo","@petrogustavo")</f>
        <v>@petrogustavo</v>
      </c>
      <c r="C2495" s="5" t="s">
        <v>16</v>
      </c>
      <c r="D2495" s="5" t="s">
        <v>2443</v>
      </c>
      <c r="E2495" s="6" t="str">
        <f>HYPERLINK("https://twitter.com/petrogustavo/status/1231272423800045569","1231272423800045569")</f>
        <v>1231272423800045569</v>
      </c>
      <c r="F2495" s="7" t="s">
        <v>17</v>
      </c>
      <c r="G2495" s="7">
        <v>3643964</v>
      </c>
      <c r="H2495" s="7">
        <v>2350</v>
      </c>
      <c r="I2495" s="7">
        <v>197</v>
      </c>
      <c r="J2495" s="7">
        <v>0</v>
      </c>
      <c r="K2495" s="7" t="s">
        <v>18</v>
      </c>
      <c r="L2495" s="8">
        <v>39987.315405092595</v>
      </c>
      <c r="M2495" s="9" t="s">
        <v>19</v>
      </c>
      <c r="N2495" s="9" t="s">
        <v>20</v>
      </c>
      <c r="O2495" s="6" t="str">
        <f>HYPERLINK("https://pbs.twimg.com/profile_images/962471262747529216/Uo8lOkRJ_normal.jpg","View")</f>
        <v>View</v>
      </c>
      <c r="P2495" s="7"/>
    </row>
    <row r="2496" spans="1:16">
      <c r="A2496" s="3">
        <v>43883.96707175926</v>
      </c>
      <c r="B2496" s="4" t="str">
        <f>HYPERLINK("https://twitter.com/petrogustavo","@petrogustavo")</f>
        <v>@petrogustavo</v>
      </c>
      <c r="C2496" s="5" t="s">
        <v>16</v>
      </c>
      <c r="D2496" s="5" t="s">
        <v>2444</v>
      </c>
      <c r="E2496" s="6" t="str">
        <f>HYPERLINK("https://twitter.com/petrogustavo/status/1231273091445207041","1231273091445207041")</f>
        <v>1231273091445207041</v>
      </c>
      <c r="F2496" s="7" t="s">
        <v>17</v>
      </c>
      <c r="G2496" s="7">
        <v>3643964</v>
      </c>
      <c r="H2496" s="7">
        <v>2350</v>
      </c>
      <c r="I2496" s="7">
        <v>31</v>
      </c>
      <c r="J2496" s="7">
        <v>66</v>
      </c>
      <c r="K2496" s="7" t="s">
        <v>18</v>
      </c>
      <c r="L2496" s="8">
        <v>39987.315405092595</v>
      </c>
      <c r="M2496" s="9" t="s">
        <v>19</v>
      </c>
      <c r="N2496" s="9" t="s">
        <v>20</v>
      </c>
      <c r="O2496" s="6" t="str">
        <f>HYPERLINK("https://pbs.twimg.com/profile_images/962471262747529216/Uo8lOkRJ_normal.jpg","View")</f>
        <v>View</v>
      </c>
      <c r="P2496" s="7"/>
    </row>
    <row r="2497" spans="1:16">
      <c r="A2497" s="3">
        <v>43883.977662037039</v>
      </c>
      <c r="B2497" s="4" t="str">
        <f>HYPERLINK("https://twitter.com/petrogustavo","@petrogustavo")</f>
        <v>@petrogustavo</v>
      </c>
      <c r="C2497" s="5" t="s">
        <v>16</v>
      </c>
      <c r="D2497" s="5" t="s">
        <v>2445</v>
      </c>
      <c r="E2497" s="6" t="str">
        <f>HYPERLINK("https://twitter.com/petrogustavo/status/1231276928797233155","1231276928797233155")</f>
        <v>1231276928797233155</v>
      </c>
      <c r="F2497" s="7" t="s">
        <v>17</v>
      </c>
      <c r="G2497" s="7">
        <v>3643983</v>
      </c>
      <c r="H2497" s="7">
        <v>2350</v>
      </c>
      <c r="I2497" s="7">
        <v>44</v>
      </c>
      <c r="J2497" s="7">
        <v>151</v>
      </c>
      <c r="K2497" s="7" t="s">
        <v>18</v>
      </c>
      <c r="L2497" s="8">
        <v>39987.315405092595</v>
      </c>
      <c r="M2497" s="9" t="s">
        <v>19</v>
      </c>
      <c r="N2497" s="9" t="s">
        <v>20</v>
      </c>
      <c r="O2497" s="6" t="str">
        <f>HYPERLINK("https://pbs.twimg.com/profile_images/962471262747529216/Uo8lOkRJ_normal.jpg","View")</f>
        <v>View</v>
      </c>
      <c r="P2497" s="7"/>
    </row>
    <row r="2498" spans="1:16">
      <c r="A2498" s="3">
        <v>43883.979710648149</v>
      </c>
      <c r="B2498" s="4" t="str">
        <f>HYPERLINK("https://twitter.com/petrogustavo","@petrogustavo")</f>
        <v>@petrogustavo</v>
      </c>
      <c r="C2498" s="5" t="s">
        <v>16</v>
      </c>
      <c r="D2498" s="5" t="s">
        <v>2446</v>
      </c>
      <c r="E2498" s="6" t="str">
        <f>HYPERLINK("https://twitter.com/petrogustavo/status/1231277673126780932","1231277673126780932")</f>
        <v>1231277673126780932</v>
      </c>
      <c r="F2498" s="7" t="s">
        <v>17</v>
      </c>
      <c r="G2498" s="7">
        <v>3643983</v>
      </c>
      <c r="H2498" s="7">
        <v>2350</v>
      </c>
      <c r="I2498" s="7">
        <v>18</v>
      </c>
      <c r="J2498" s="7">
        <v>78</v>
      </c>
      <c r="K2498" s="7" t="s">
        <v>18</v>
      </c>
      <c r="L2498" s="8">
        <v>39987.315405092595</v>
      </c>
      <c r="M2498" s="9" t="s">
        <v>19</v>
      </c>
      <c r="N2498" s="9" t="s">
        <v>20</v>
      </c>
      <c r="O2498" s="6" t="str">
        <f>HYPERLINK("https://pbs.twimg.com/profile_images/962471262747529216/Uo8lOkRJ_normal.jpg","View")</f>
        <v>View</v>
      </c>
      <c r="P2498" s="7"/>
    </row>
    <row r="2499" spans="1:16">
      <c r="A2499" s="3">
        <v>43883.982025462959</v>
      </c>
      <c r="B2499" s="4" t="str">
        <f>HYPERLINK("https://twitter.com/petrogustavo","@petrogustavo")</f>
        <v>@petrogustavo</v>
      </c>
      <c r="C2499" s="5" t="s">
        <v>16</v>
      </c>
      <c r="D2499" s="5" t="s">
        <v>2447</v>
      </c>
      <c r="E2499" s="6" t="str">
        <f>HYPERLINK("https://twitter.com/petrogustavo/status/1231278511660445697","1231278511660445697")</f>
        <v>1231278511660445697</v>
      </c>
      <c r="F2499" s="7" t="s">
        <v>17</v>
      </c>
      <c r="G2499" s="7">
        <v>3643983</v>
      </c>
      <c r="H2499" s="7">
        <v>2350</v>
      </c>
      <c r="I2499" s="7">
        <v>16</v>
      </c>
      <c r="J2499" s="7">
        <v>47</v>
      </c>
      <c r="K2499" s="7" t="s">
        <v>18</v>
      </c>
      <c r="L2499" s="8">
        <v>39987.315405092595</v>
      </c>
      <c r="M2499" s="9" t="s">
        <v>19</v>
      </c>
      <c r="N2499" s="9" t="s">
        <v>20</v>
      </c>
      <c r="O2499" s="6" t="str">
        <f>HYPERLINK("https://pbs.twimg.com/profile_images/962471262747529216/Uo8lOkRJ_normal.jpg","View")</f>
        <v>View</v>
      </c>
      <c r="P2499" s="7"/>
    </row>
    <row r="2500" spans="1:16">
      <c r="A2500" s="3">
        <v>43883.983425925922</v>
      </c>
      <c r="B2500" s="4" t="str">
        <f>HYPERLINK("https://twitter.com/petrogustavo","@petrogustavo")</f>
        <v>@petrogustavo</v>
      </c>
      <c r="C2500" s="5" t="s">
        <v>16</v>
      </c>
      <c r="D2500" s="5" t="s">
        <v>2448</v>
      </c>
      <c r="E2500" s="6" t="str">
        <f>HYPERLINK("https://twitter.com/petrogustavo/status/1231279015836688384","1231279015836688384")</f>
        <v>1231279015836688384</v>
      </c>
      <c r="F2500" s="7" t="s">
        <v>17</v>
      </c>
      <c r="G2500" s="7">
        <v>3643983</v>
      </c>
      <c r="H2500" s="7">
        <v>2350</v>
      </c>
      <c r="I2500" s="7">
        <v>31</v>
      </c>
      <c r="J2500" s="7">
        <v>94</v>
      </c>
      <c r="K2500" s="7" t="s">
        <v>18</v>
      </c>
      <c r="L2500" s="8">
        <v>39987.315405092595</v>
      </c>
      <c r="M2500" s="9" t="s">
        <v>19</v>
      </c>
      <c r="N2500" s="9" t="s">
        <v>20</v>
      </c>
      <c r="O2500" s="6" t="str">
        <f>HYPERLINK("https://pbs.twimg.com/profile_images/962471262747529216/Uo8lOkRJ_normal.jpg","View")</f>
        <v>View</v>
      </c>
      <c r="P2500" s="7"/>
    </row>
    <row r="2501" spans="1:16">
      <c r="A2501" s="3">
        <v>43883.987951388888</v>
      </c>
      <c r="B2501" s="4" t="str">
        <f>HYPERLINK("https://twitter.com/petrogustavo","@petrogustavo")</f>
        <v>@petrogustavo</v>
      </c>
      <c r="C2501" s="5" t="s">
        <v>16</v>
      </c>
      <c r="D2501" s="5" t="s">
        <v>2449</v>
      </c>
      <c r="E2501" s="6" t="str">
        <f>HYPERLINK("https://twitter.com/petrogustavo/status/1231280658695249920","1231280658695249920")</f>
        <v>1231280658695249920</v>
      </c>
      <c r="F2501" s="7" t="s">
        <v>17</v>
      </c>
      <c r="G2501" s="7">
        <v>3643983</v>
      </c>
      <c r="H2501" s="7">
        <v>2350</v>
      </c>
      <c r="I2501" s="7">
        <v>36</v>
      </c>
      <c r="J2501" s="7">
        <v>76</v>
      </c>
      <c r="K2501" s="7" t="s">
        <v>18</v>
      </c>
      <c r="L2501" s="8">
        <v>39987.315405092595</v>
      </c>
      <c r="M2501" s="9" t="s">
        <v>19</v>
      </c>
      <c r="N2501" s="9" t="s">
        <v>20</v>
      </c>
      <c r="O2501" s="6" t="str">
        <f>HYPERLINK("https://pbs.twimg.com/profile_images/962471262747529216/Uo8lOkRJ_normal.jpg","View")</f>
        <v>View</v>
      </c>
      <c r="P2501" s="7"/>
    </row>
    <row r="2502" spans="1:16">
      <c r="A2502" s="3">
        <v>43883.991805555561</v>
      </c>
      <c r="B2502" s="4" t="str">
        <f>HYPERLINK("https://twitter.com/petrogustavo","@petrogustavo")</f>
        <v>@petrogustavo</v>
      </c>
      <c r="C2502" s="5" t="s">
        <v>16</v>
      </c>
      <c r="D2502" s="5" t="s">
        <v>2450</v>
      </c>
      <c r="E2502" s="6" t="str">
        <f>HYPERLINK("https://twitter.com/petrogustavo/status/1231282054320545792","1231282054320545792")</f>
        <v>1231282054320545792</v>
      </c>
      <c r="F2502" s="7" t="s">
        <v>17</v>
      </c>
      <c r="G2502" s="7">
        <v>3644015</v>
      </c>
      <c r="H2502" s="7">
        <v>2350</v>
      </c>
      <c r="I2502" s="7">
        <v>34</v>
      </c>
      <c r="J2502" s="7">
        <v>0</v>
      </c>
      <c r="K2502" s="7" t="s">
        <v>18</v>
      </c>
      <c r="L2502" s="8">
        <v>39987.315405092595</v>
      </c>
      <c r="M2502" s="9" t="s">
        <v>19</v>
      </c>
      <c r="N2502" s="9" t="s">
        <v>20</v>
      </c>
      <c r="O2502" s="6" t="str">
        <f>HYPERLINK("https://pbs.twimg.com/profile_images/962471262747529216/Uo8lOkRJ_normal.jpg","View")</f>
        <v>View</v>
      </c>
      <c r="P2502" s="7"/>
    </row>
    <row r="2503" spans="1:16">
      <c r="A2503" s="3">
        <v>43883.992060185185</v>
      </c>
      <c r="B2503" s="4" t="str">
        <f>HYPERLINK("https://twitter.com/petrogustavo","@petrogustavo")</f>
        <v>@petrogustavo</v>
      </c>
      <c r="C2503" s="5" t="s">
        <v>16</v>
      </c>
      <c r="D2503" s="5" t="s">
        <v>2451</v>
      </c>
      <c r="E2503" s="6" t="str">
        <f>HYPERLINK("https://twitter.com/petrogustavo/status/1231282147132149767","1231282147132149767")</f>
        <v>1231282147132149767</v>
      </c>
      <c r="F2503" s="7" t="s">
        <v>17</v>
      </c>
      <c r="G2503" s="7">
        <v>3644015</v>
      </c>
      <c r="H2503" s="7">
        <v>2350</v>
      </c>
      <c r="I2503" s="7">
        <v>105</v>
      </c>
      <c r="J2503" s="7">
        <v>0</v>
      </c>
      <c r="K2503" s="7" t="s">
        <v>18</v>
      </c>
      <c r="L2503" s="8">
        <v>39987.315405092595</v>
      </c>
      <c r="M2503" s="9" t="s">
        <v>19</v>
      </c>
      <c r="N2503" s="9" t="s">
        <v>20</v>
      </c>
      <c r="O2503" s="6" t="str">
        <f>HYPERLINK("https://pbs.twimg.com/profile_images/962471262747529216/Uo8lOkRJ_normal.jpg","View")</f>
        <v>View</v>
      </c>
      <c r="P2503" s="7"/>
    </row>
    <row r="2504" spans="1:16">
      <c r="A2504" s="3">
        <v>43883.993298611109</v>
      </c>
      <c r="B2504" s="4" t="str">
        <f>HYPERLINK("https://twitter.com/petrogustavo","@petrogustavo")</f>
        <v>@petrogustavo</v>
      </c>
      <c r="C2504" s="5" t="s">
        <v>16</v>
      </c>
      <c r="D2504" s="5" t="s">
        <v>2452</v>
      </c>
      <c r="E2504" s="6" t="str">
        <f>HYPERLINK("https://twitter.com/petrogustavo/status/1231282595369029632","1231282595369029632")</f>
        <v>1231282595369029632</v>
      </c>
      <c r="F2504" s="7" t="s">
        <v>17</v>
      </c>
      <c r="G2504" s="7">
        <v>3644015</v>
      </c>
      <c r="H2504" s="7">
        <v>2350</v>
      </c>
      <c r="I2504" s="7">
        <v>74</v>
      </c>
      <c r="J2504" s="7">
        <v>102</v>
      </c>
      <c r="K2504" s="7" t="s">
        <v>18</v>
      </c>
      <c r="L2504" s="8">
        <v>39987.315405092595</v>
      </c>
      <c r="M2504" s="9" t="s">
        <v>19</v>
      </c>
      <c r="N2504" s="9" t="s">
        <v>20</v>
      </c>
      <c r="O2504" s="6" t="str">
        <f>HYPERLINK("https://pbs.twimg.com/profile_images/962471262747529216/Uo8lOkRJ_normal.jpg","View")</f>
        <v>View</v>
      </c>
      <c r="P2504" s="7"/>
    </row>
    <row r="2505" spans="1:16">
      <c r="A2505" s="3">
        <v>43883.995300925926</v>
      </c>
      <c r="B2505" s="4" t="str">
        <f>HYPERLINK("https://twitter.com/petrogustavo","@petrogustavo")</f>
        <v>@petrogustavo</v>
      </c>
      <c r="C2505" s="5" t="s">
        <v>16</v>
      </c>
      <c r="D2505" s="5" t="s">
        <v>2453</v>
      </c>
      <c r="E2505" s="6" t="str">
        <f>HYPERLINK("https://twitter.com/petrogustavo/status/1231283321558175744","1231283321558175744")</f>
        <v>1231283321558175744</v>
      </c>
      <c r="F2505" s="7" t="s">
        <v>17</v>
      </c>
      <c r="G2505" s="7">
        <v>3644015</v>
      </c>
      <c r="H2505" s="7">
        <v>2350</v>
      </c>
      <c r="I2505" s="7">
        <v>97</v>
      </c>
      <c r="J2505" s="7">
        <v>0</v>
      </c>
      <c r="K2505" s="7" t="s">
        <v>18</v>
      </c>
      <c r="L2505" s="8">
        <v>39987.315405092595</v>
      </c>
      <c r="M2505" s="9" t="s">
        <v>19</v>
      </c>
      <c r="N2505" s="9" t="s">
        <v>20</v>
      </c>
      <c r="O2505" s="6" t="str">
        <f>HYPERLINK("https://pbs.twimg.com/profile_images/962471262747529216/Uo8lOkRJ_normal.jpg","View")</f>
        <v>View</v>
      </c>
      <c r="P2505" s="7"/>
    </row>
    <row r="2506" spans="1:16">
      <c r="A2506" s="3">
        <v>43883.999456018515</v>
      </c>
      <c r="B2506" s="4" t="str">
        <f>HYPERLINK("https://twitter.com/petrogustavo","@petrogustavo")</f>
        <v>@petrogustavo</v>
      </c>
      <c r="C2506" s="5" t="s">
        <v>16</v>
      </c>
      <c r="D2506" s="5" t="s">
        <v>2454</v>
      </c>
      <c r="E2506" s="6" t="str">
        <f>HYPERLINK("https://twitter.com/petrogustavo/status/1231284828726857732","1231284828726857732")</f>
        <v>1231284828726857732</v>
      </c>
      <c r="F2506" s="7" t="s">
        <v>17</v>
      </c>
      <c r="G2506" s="7">
        <v>3644015</v>
      </c>
      <c r="H2506" s="7">
        <v>2350</v>
      </c>
      <c r="I2506" s="7">
        <v>15</v>
      </c>
      <c r="J2506" s="7">
        <v>0</v>
      </c>
      <c r="K2506" s="7" t="s">
        <v>18</v>
      </c>
      <c r="L2506" s="8">
        <v>39987.315405092595</v>
      </c>
      <c r="M2506" s="9" t="s">
        <v>19</v>
      </c>
      <c r="N2506" s="9" t="s">
        <v>20</v>
      </c>
      <c r="O2506" s="6" t="str">
        <f>HYPERLINK("https://pbs.twimg.com/profile_images/962471262747529216/Uo8lOkRJ_normal.jpg","View")</f>
        <v>View</v>
      </c>
      <c r="P2506" s="7"/>
    </row>
    <row r="2507" spans="1:16">
      <c r="A2507" s="3">
        <v>43884.002210648148</v>
      </c>
      <c r="B2507" s="4" t="str">
        <f>HYPERLINK("https://twitter.com/petrogustavo","@petrogustavo")</f>
        <v>@petrogustavo</v>
      </c>
      <c r="C2507" s="5" t="s">
        <v>16</v>
      </c>
      <c r="D2507" s="5" t="s">
        <v>2455</v>
      </c>
      <c r="E2507" s="6" t="str">
        <f>HYPERLINK("https://twitter.com/petrogustavo/status/1231285823846408192","1231285823846408192")</f>
        <v>1231285823846408192</v>
      </c>
      <c r="F2507" s="7" t="s">
        <v>17</v>
      </c>
      <c r="G2507" s="7">
        <v>3644015</v>
      </c>
      <c r="H2507" s="7">
        <v>2350</v>
      </c>
      <c r="I2507" s="7">
        <v>9</v>
      </c>
      <c r="J2507" s="7">
        <v>46</v>
      </c>
      <c r="K2507" s="7" t="s">
        <v>18</v>
      </c>
      <c r="L2507" s="8">
        <v>39987.315405092595</v>
      </c>
      <c r="M2507" s="9" t="s">
        <v>19</v>
      </c>
      <c r="N2507" s="9" t="s">
        <v>20</v>
      </c>
      <c r="O2507" s="6" t="str">
        <f>HYPERLINK("https://pbs.twimg.com/profile_images/962471262747529216/Uo8lOkRJ_normal.jpg","View")</f>
        <v>View</v>
      </c>
      <c r="P2507" s="7"/>
    </row>
    <row r="2508" spans="1:16">
      <c r="A2508" s="3">
        <v>43884.003738425927</v>
      </c>
      <c r="B2508" s="4" t="str">
        <f>HYPERLINK("https://twitter.com/petrogustavo","@petrogustavo")</f>
        <v>@petrogustavo</v>
      </c>
      <c r="C2508" s="5" t="s">
        <v>16</v>
      </c>
      <c r="D2508" s="5" t="s">
        <v>2456</v>
      </c>
      <c r="E2508" s="6" t="str">
        <f>HYPERLINK("https://twitter.com/petrogustavo/status/1231286379449143303","1231286379449143303")</f>
        <v>1231286379449143303</v>
      </c>
      <c r="F2508" s="7" t="s">
        <v>17</v>
      </c>
      <c r="G2508" s="7">
        <v>3644015</v>
      </c>
      <c r="H2508" s="7">
        <v>2350</v>
      </c>
      <c r="I2508" s="7">
        <v>90</v>
      </c>
      <c r="J2508" s="7">
        <v>0</v>
      </c>
      <c r="K2508" s="7" t="s">
        <v>18</v>
      </c>
      <c r="L2508" s="8">
        <v>39987.315405092595</v>
      </c>
      <c r="M2508" s="9" t="s">
        <v>19</v>
      </c>
      <c r="N2508" s="9" t="s">
        <v>20</v>
      </c>
      <c r="O2508" s="6" t="str">
        <f>HYPERLINK("https://pbs.twimg.com/profile_images/962471262747529216/Uo8lOkRJ_normal.jpg","View")</f>
        <v>View</v>
      </c>
      <c r="P2508" s="7"/>
    </row>
    <row r="2509" spans="1:16">
      <c r="A2509" s="3">
        <v>43884.113784722227</v>
      </c>
      <c r="B2509" s="4" t="str">
        <f>HYPERLINK("https://twitter.com/petrogustavo","@petrogustavo")</f>
        <v>@petrogustavo</v>
      </c>
      <c r="C2509" s="5" t="s">
        <v>16</v>
      </c>
      <c r="D2509" s="5" t="s">
        <v>2457</v>
      </c>
      <c r="E2509" s="6" t="str">
        <f>HYPERLINK("https://twitter.com/petrogustavo/status/1231326256463044609","1231326256463044609")</f>
        <v>1231326256463044609</v>
      </c>
      <c r="F2509" s="7" t="s">
        <v>17</v>
      </c>
      <c r="G2509" s="7">
        <v>3644128</v>
      </c>
      <c r="H2509" s="7">
        <v>2350</v>
      </c>
      <c r="I2509" s="7">
        <v>73</v>
      </c>
      <c r="J2509" s="7">
        <v>249</v>
      </c>
      <c r="K2509" s="7" t="s">
        <v>18</v>
      </c>
      <c r="L2509" s="8">
        <v>39987.315405092595</v>
      </c>
      <c r="M2509" s="9" t="s">
        <v>19</v>
      </c>
      <c r="N2509" s="9" t="s">
        <v>20</v>
      </c>
      <c r="O2509" s="6" t="str">
        <f>HYPERLINK("https://pbs.twimg.com/profile_images/962471262747529216/Uo8lOkRJ_normal.jpg","View")</f>
        <v>View</v>
      </c>
      <c r="P2509" s="7"/>
    </row>
    <row r="2510" spans="1:16">
      <c r="A2510" s="3">
        <v>43884.120486111111</v>
      </c>
      <c r="B2510" s="4" t="str">
        <f>HYPERLINK("https://twitter.com/petrogustavo","@petrogustavo")</f>
        <v>@petrogustavo</v>
      </c>
      <c r="C2510" s="5" t="s">
        <v>16</v>
      </c>
      <c r="D2510" s="5" t="s">
        <v>2458</v>
      </c>
      <c r="E2510" s="6" t="str">
        <f>HYPERLINK("https://twitter.com/petrogustavo/status/1231328686319833091","1231328686319833091")</f>
        <v>1231328686319833091</v>
      </c>
      <c r="F2510" s="7" t="s">
        <v>17</v>
      </c>
      <c r="G2510" s="7">
        <v>3644160</v>
      </c>
      <c r="H2510" s="7">
        <v>2350</v>
      </c>
      <c r="I2510" s="7">
        <v>120</v>
      </c>
      <c r="J2510" s="7">
        <v>0</v>
      </c>
      <c r="K2510" s="7" t="s">
        <v>18</v>
      </c>
      <c r="L2510" s="8">
        <v>39987.315405092595</v>
      </c>
      <c r="M2510" s="9" t="s">
        <v>19</v>
      </c>
      <c r="N2510" s="9" t="s">
        <v>20</v>
      </c>
      <c r="O2510" s="6" t="str">
        <f>HYPERLINK("https://pbs.twimg.com/profile_images/962471262747529216/Uo8lOkRJ_normal.jpg","View")</f>
        <v>View</v>
      </c>
      <c r="P2510" s="7"/>
    </row>
    <row r="2511" spans="1:16">
      <c r="A2511" s="3">
        <v>43884.132337962961</v>
      </c>
      <c r="B2511" s="4" t="str">
        <f>HYPERLINK("https://twitter.com/petrogustavo","@petrogustavo")</f>
        <v>@petrogustavo</v>
      </c>
      <c r="C2511" s="5" t="s">
        <v>16</v>
      </c>
      <c r="D2511" s="5" t="s">
        <v>2459</v>
      </c>
      <c r="E2511" s="6" t="str">
        <f>HYPERLINK("https://twitter.com/petrogustavo/status/1231332981899497472","1231332981899497472")</f>
        <v>1231332981899497472</v>
      </c>
      <c r="F2511" s="7" t="s">
        <v>17</v>
      </c>
      <c r="G2511" s="7">
        <v>3644160</v>
      </c>
      <c r="H2511" s="7">
        <v>2350</v>
      </c>
      <c r="I2511" s="7">
        <v>599</v>
      </c>
      <c r="J2511" s="7">
        <v>0</v>
      </c>
      <c r="K2511" s="7" t="s">
        <v>18</v>
      </c>
      <c r="L2511" s="8">
        <v>39987.315405092595</v>
      </c>
      <c r="M2511" s="9" t="s">
        <v>19</v>
      </c>
      <c r="N2511" s="9" t="s">
        <v>20</v>
      </c>
      <c r="O2511" s="6" t="str">
        <f>HYPERLINK("https://pbs.twimg.com/profile_images/962471262747529216/Uo8lOkRJ_normal.jpg","View")</f>
        <v>View</v>
      </c>
      <c r="P2511" s="7"/>
    </row>
    <row r="2512" spans="1:16">
      <c r="A2512" s="3">
        <v>43884.149351851855</v>
      </c>
      <c r="B2512" s="4" t="str">
        <f>HYPERLINK("https://twitter.com/petrogustavo","@petrogustavo")</f>
        <v>@petrogustavo</v>
      </c>
      <c r="C2512" s="5" t="s">
        <v>16</v>
      </c>
      <c r="D2512" s="5" t="s">
        <v>2460</v>
      </c>
      <c r="E2512" s="6" t="str">
        <f>HYPERLINK("https://twitter.com/petrogustavo/status/1231339145806700547","1231339145806700547")</f>
        <v>1231339145806700547</v>
      </c>
      <c r="F2512" s="7" t="s">
        <v>17</v>
      </c>
      <c r="G2512" s="7">
        <v>3644188</v>
      </c>
      <c r="H2512" s="7">
        <v>2350</v>
      </c>
      <c r="I2512" s="7">
        <v>105</v>
      </c>
      <c r="J2512" s="7">
        <v>258</v>
      </c>
      <c r="K2512" s="7" t="s">
        <v>18</v>
      </c>
      <c r="L2512" s="8">
        <v>39987.315405092595</v>
      </c>
      <c r="M2512" s="9" t="s">
        <v>19</v>
      </c>
      <c r="N2512" s="9" t="s">
        <v>20</v>
      </c>
      <c r="O2512" s="6" t="str">
        <f>HYPERLINK("https://pbs.twimg.com/profile_images/962471262747529216/Uo8lOkRJ_normal.jpg","View")</f>
        <v>View</v>
      </c>
      <c r="P2512" s="7"/>
    </row>
    <row r="2513" spans="1:16">
      <c r="A2513" s="3">
        <v>43884.15861111111</v>
      </c>
      <c r="B2513" s="4" t="str">
        <f>HYPERLINK("https://twitter.com/petrogustavo","@petrogustavo")</f>
        <v>@petrogustavo</v>
      </c>
      <c r="C2513" s="5" t="s">
        <v>16</v>
      </c>
      <c r="D2513" s="5" t="s">
        <v>2461</v>
      </c>
      <c r="E2513" s="6" t="str">
        <f>HYPERLINK("https://twitter.com/petrogustavo/status/1231342501086232577","1231342501086232577")</f>
        <v>1231342501086232577</v>
      </c>
      <c r="F2513" s="7" t="s">
        <v>17</v>
      </c>
      <c r="G2513" s="7">
        <v>3644220</v>
      </c>
      <c r="H2513" s="7">
        <v>2350</v>
      </c>
      <c r="I2513" s="7">
        <v>46</v>
      </c>
      <c r="J2513" s="7">
        <v>146</v>
      </c>
      <c r="K2513" s="7" t="s">
        <v>18</v>
      </c>
      <c r="L2513" s="8">
        <v>39987.315405092595</v>
      </c>
      <c r="M2513" s="9" t="s">
        <v>19</v>
      </c>
      <c r="N2513" s="9" t="s">
        <v>20</v>
      </c>
      <c r="O2513" s="6" t="str">
        <f>HYPERLINK("https://pbs.twimg.com/profile_images/962471262747529216/Uo8lOkRJ_normal.jpg","View")</f>
        <v>View</v>
      </c>
      <c r="P2513" s="7"/>
    </row>
    <row r="2514" spans="1:16">
      <c r="A2514" s="3">
        <v>43884.159189814818</v>
      </c>
      <c r="B2514" s="4" t="str">
        <f>HYPERLINK("https://twitter.com/petrogustavo","@petrogustavo")</f>
        <v>@petrogustavo</v>
      </c>
      <c r="C2514" s="5" t="s">
        <v>16</v>
      </c>
      <c r="D2514" s="5" t="s">
        <v>2462</v>
      </c>
      <c r="E2514" s="6" t="str">
        <f>HYPERLINK("https://twitter.com/petrogustavo/status/1231342712558948352","1231342712558948352")</f>
        <v>1231342712558948352</v>
      </c>
      <c r="F2514" s="7" t="s">
        <v>17</v>
      </c>
      <c r="G2514" s="7">
        <v>3644220</v>
      </c>
      <c r="H2514" s="7">
        <v>2350</v>
      </c>
      <c r="I2514" s="7">
        <v>18</v>
      </c>
      <c r="J2514" s="7">
        <v>0</v>
      </c>
      <c r="K2514" s="7" t="s">
        <v>18</v>
      </c>
      <c r="L2514" s="8">
        <v>39987.315405092595</v>
      </c>
      <c r="M2514" s="9" t="s">
        <v>19</v>
      </c>
      <c r="N2514" s="9" t="s">
        <v>20</v>
      </c>
      <c r="O2514" s="6" t="str">
        <f>HYPERLINK("https://pbs.twimg.com/profile_images/962471262747529216/Uo8lOkRJ_normal.jpg","View")</f>
        <v>View</v>
      </c>
      <c r="P2514" s="7"/>
    </row>
    <row r="2515" spans="1:16">
      <c r="A2515" s="3">
        <v>43884.159386574072</v>
      </c>
      <c r="B2515" s="4" t="str">
        <f>HYPERLINK("https://twitter.com/petrogustavo","@petrogustavo")</f>
        <v>@petrogustavo</v>
      </c>
      <c r="C2515" s="5" t="s">
        <v>16</v>
      </c>
      <c r="D2515" s="5" t="s">
        <v>2463</v>
      </c>
      <c r="E2515" s="6" t="str">
        <f>HYPERLINK("https://twitter.com/petrogustavo/status/1231342784470274048","1231342784470274048")</f>
        <v>1231342784470274048</v>
      </c>
      <c r="F2515" s="7" t="s">
        <v>17</v>
      </c>
      <c r="G2515" s="7">
        <v>3644220</v>
      </c>
      <c r="H2515" s="7">
        <v>2350</v>
      </c>
      <c r="I2515" s="7">
        <v>70</v>
      </c>
      <c r="J2515" s="7">
        <v>0</v>
      </c>
      <c r="K2515" s="7" t="s">
        <v>18</v>
      </c>
      <c r="L2515" s="8">
        <v>39987.315405092595</v>
      </c>
      <c r="M2515" s="9" t="s">
        <v>19</v>
      </c>
      <c r="N2515" s="9" t="s">
        <v>20</v>
      </c>
      <c r="O2515" s="6" t="str">
        <f>HYPERLINK("https://pbs.twimg.com/profile_images/962471262747529216/Uo8lOkRJ_normal.jpg","View")</f>
        <v>View</v>
      </c>
      <c r="P2515" s="7"/>
    </row>
    <row r="2516" spans="1:16">
      <c r="A2516" s="3">
        <v>43884.159803240742</v>
      </c>
      <c r="B2516" s="4" t="str">
        <f>HYPERLINK("https://twitter.com/petrogustavo","@petrogustavo")</f>
        <v>@petrogustavo</v>
      </c>
      <c r="C2516" s="5" t="s">
        <v>16</v>
      </c>
      <c r="D2516" s="5" t="s">
        <v>2464</v>
      </c>
      <c r="E2516" s="6" t="str">
        <f>HYPERLINK("https://twitter.com/petrogustavo/status/1231342936618622978","1231342936618622978")</f>
        <v>1231342936618622978</v>
      </c>
      <c r="F2516" s="7" t="s">
        <v>17</v>
      </c>
      <c r="G2516" s="7">
        <v>3644220</v>
      </c>
      <c r="H2516" s="7">
        <v>2350</v>
      </c>
      <c r="I2516" s="7">
        <v>24</v>
      </c>
      <c r="J2516" s="7">
        <v>0</v>
      </c>
      <c r="K2516" s="7" t="s">
        <v>18</v>
      </c>
      <c r="L2516" s="8">
        <v>39987.315405092595</v>
      </c>
      <c r="M2516" s="9" t="s">
        <v>19</v>
      </c>
      <c r="N2516" s="9" t="s">
        <v>20</v>
      </c>
      <c r="O2516" s="6" t="str">
        <f>HYPERLINK("https://pbs.twimg.com/profile_images/962471262747529216/Uo8lOkRJ_normal.jpg","View")</f>
        <v>View</v>
      </c>
      <c r="P2516" s="7"/>
    </row>
    <row r="2517" spans="1:16">
      <c r="A2517" s="3">
        <v>43884.160057870366</v>
      </c>
      <c r="B2517" s="4" t="str">
        <f>HYPERLINK("https://twitter.com/petrogustavo","@petrogustavo")</f>
        <v>@petrogustavo</v>
      </c>
      <c r="C2517" s="5" t="s">
        <v>16</v>
      </c>
      <c r="D2517" s="5" t="s">
        <v>2465</v>
      </c>
      <c r="E2517" s="6" t="str">
        <f>HYPERLINK("https://twitter.com/petrogustavo/status/1231343027488161792","1231343027488161792")</f>
        <v>1231343027488161792</v>
      </c>
      <c r="F2517" s="7" t="s">
        <v>17</v>
      </c>
      <c r="G2517" s="7">
        <v>3644220</v>
      </c>
      <c r="H2517" s="7">
        <v>2350</v>
      </c>
      <c r="I2517" s="7">
        <v>44</v>
      </c>
      <c r="J2517" s="7">
        <v>0</v>
      </c>
      <c r="K2517" s="7" t="s">
        <v>18</v>
      </c>
      <c r="L2517" s="8">
        <v>39987.315405092595</v>
      </c>
      <c r="M2517" s="9" t="s">
        <v>19</v>
      </c>
      <c r="N2517" s="9" t="s">
        <v>20</v>
      </c>
      <c r="O2517" s="6" t="str">
        <f>HYPERLINK("https://pbs.twimg.com/profile_images/962471262747529216/Uo8lOkRJ_normal.jpg","View")</f>
        <v>View</v>
      </c>
      <c r="P2517" s="7"/>
    </row>
    <row r="2518" spans="1:16">
      <c r="A2518" s="3">
        <v>43884.160833333328</v>
      </c>
      <c r="B2518" s="4" t="str">
        <f>HYPERLINK("https://twitter.com/petrogustavo","@petrogustavo")</f>
        <v>@petrogustavo</v>
      </c>
      <c r="C2518" s="5" t="s">
        <v>16</v>
      </c>
      <c r="D2518" s="5" t="s">
        <v>2466</v>
      </c>
      <c r="E2518" s="6" t="str">
        <f>HYPERLINK("https://twitter.com/petrogustavo/status/1231343307713892352","1231343307713892352")</f>
        <v>1231343307713892352</v>
      </c>
      <c r="F2518" s="7" t="s">
        <v>17</v>
      </c>
      <c r="G2518" s="7">
        <v>3644220</v>
      </c>
      <c r="H2518" s="7">
        <v>2350</v>
      </c>
      <c r="I2518" s="7">
        <v>98</v>
      </c>
      <c r="J2518" s="7">
        <v>318</v>
      </c>
      <c r="K2518" s="7" t="s">
        <v>18</v>
      </c>
      <c r="L2518" s="8">
        <v>39987.315405092595</v>
      </c>
      <c r="M2518" s="9" t="s">
        <v>19</v>
      </c>
      <c r="N2518" s="9" t="s">
        <v>20</v>
      </c>
      <c r="O2518" s="6" t="str">
        <f>HYPERLINK("https://pbs.twimg.com/profile_images/962471262747529216/Uo8lOkRJ_normal.jpg","View")</f>
        <v>View</v>
      </c>
      <c r="P2518" s="7"/>
    </row>
    <row r="2519" spans="1:16">
      <c r="A2519" s="3">
        <v>43884.162777777776</v>
      </c>
      <c r="B2519" s="4" t="str">
        <f>HYPERLINK("https://twitter.com/petrogustavo","@petrogustavo")</f>
        <v>@petrogustavo</v>
      </c>
      <c r="C2519" s="5" t="s">
        <v>16</v>
      </c>
      <c r="D2519" s="5" t="s">
        <v>2467</v>
      </c>
      <c r="E2519" s="6" t="str">
        <f>HYPERLINK("https://twitter.com/petrogustavo/status/1231344013527199745","1231344013527199745")</f>
        <v>1231344013527199745</v>
      </c>
      <c r="F2519" s="7" t="s">
        <v>17</v>
      </c>
      <c r="G2519" s="7">
        <v>3644220</v>
      </c>
      <c r="H2519" s="7">
        <v>2350</v>
      </c>
      <c r="I2519" s="7">
        <v>112</v>
      </c>
      <c r="J2519" s="7">
        <v>178</v>
      </c>
      <c r="K2519" s="7" t="s">
        <v>18</v>
      </c>
      <c r="L2519" s="8">
        <v>39987.315405092595</v>
      </c>
      <c r="M2519" s="9" t="s">
        <v>19</v>
      </c>
      <c r="N2519" s="9" t="s">
        <v>20</v>
      </c>
      <c r="O2519" s="6" t="str">
        <f>HYPERLINK("https://pbs.twimg.com/profile_images/962471262747529216/Uo8lOkRJ_normal.jpg","View")</f>
        <v>View</v>
      </c>
      <c r="P2519" s="7"/>
    </row>
    <row r="2520" spans="1:16">
      <c r="A2520" s="3">
        <v>43884.163194444445</v>
      </c>
      <c r="B2520" s="4" t="str">
        <f>HYPERLINK("https://twitter.com/petrogustavo","@petrogustavo")</f>
        <v>@petrogustavo</v>
      </c>
      <c r="C2520" s="5" t="s">
        <v>16</v>
      </c>
      <c r="D2520" s="5" t="s">
        <v>2468</v>
      </c>
      <c r="E2520" s="6" t="str">
        <f>HYPERLINK("https://twitter.com/petrogustavo/status/1231344163922350089","1231344163922350089")</f>
        <v>1231344163922350089</v>
      </c>
      <c r="F2520" s="7" t="s">
        <v>17</v>
      </c>
      <c r="G2520" s="7">
        <v>3644220</v>
      </c>
      <c r="H2520" s="7">
        <v>2350</v>
      </c>
      <c r="I2520" s="7">
        <v>20</v>
      </c>
      <c r="J2520" s="7">
        <v>0</v>
      </c>
      <c r="K2520" s="7" t="s">
        <v>18</v>
      </c>
      <c r="L2520" s="8">
        <v>39987.315405092595</v>
      </c>
      <c r="M2520" s="9" t="s">
        <v>19</v>
      </c>
      <c r="N2520" s="9" t="s">
        <v>20</v>
      </c>
      <c r="O2520" s="6" t="str">
        <f>HYPERLINK("https://pbs.twimg.com/profile_images/962471262747529216/Uo8lOkRJ_normal.jpg","View")</f>
        <v>View</v>
      </c>
      <c r="P2520" s="7"/>
    </row>
    <row r="2521" spans="1:16">
      <c r="A2521" s="3">
        <v>43884.165474537032</v>
      </c>
      <c r="B2521" s="4" t="str">
        <f>HYPERLINK("https://twitter.com/petrogustavo","@petrogustavo")</f>
        <v>@petrogustavo</v>
      </c>
      <c r="C2521" s="5" t="s">
        <v>16</v>
      </c>
      <c r="D2521" s="5" t="s">
        <v>2469</v>
      </c>
      <c r="E2521" s="6" t="str">
        <f>HYPERLINK("https://twitter.com/petrogustavo/status/1231344988694466560","1231344988694466560")</f>
        <v>1231344988694466560</v>
      </c>
      <c r="F2521" s="7" t="s">
        <v>17</v>
      </c>
      <c r="G2521" s="7">
        <v>3644220</v>
      </c>
      <c r="H2521" s="7">
        <v>2350</v>
      </c>
      <c r="I2521" s="7">
        <v>341</v>
      </c>
      <c r="J2521" s="7">
        <v>0</v>
      </c>
      <c r="K2521" s="7" t="s">
        <v>18</v>
      </c>
      <c r="L2521" s="8">
        <v>39987.315405092595</v>
      </c>
      <c r="M2521" s="9" t="s">
        <v>19</v>
      </c>
      <c r="N2521" s="9" t="s">
        <v>20</v>
      </c>
      <c r="O2521" s="6" t="str">
        <f>HYPERLINK("https://pbs.twimg.com/profile_images/962471262747529216/Uo8lOkRJ_normal.jpg","View")</f>
        <v>View</v>
      </c>
      <c r="P2521" s="7"/>
    </row>
    <row r="2522" spans="1:16">
      <c r="A2522" s="3">
        <v>43884.168854166666</v>
      </c>
      <c r="B2522" s="4" t="str">
        <f>HYPERLINK("https://twitter.com/petrogustavo","@petrogustavo")</f>
        <v>@petrogustavo</v>
      </c>
      <c r="C2522" s="5" t="s">
        <v>16</v>
      </c>
      <c r="D2522" s="5" t="s">
        <v>2470</v>
      </c>
      <c r="E2522" s="6" t="str">
        <f>HYPERLINK("https://twitter.com/petrogustavo/status/1231346216560218113","1231346216560218113")</f>
        <v>1231346216560218113</v>
      </c>
      <c r="F2522" s="7" t="s">
        <v>17</v>
      </c>
      <c r="G2522" s="7">
        <v>3644220</v>
      </c>
      <c r="H2522" s="7">
        <v>2350</v>
      </c>
      <c r="I2522" s="7">
        <v>108</v>
      </c>
      <c r="J2522" s="7">
        <v>0</v>
      </c>
      <c r="K2522" s="7" t="s">
        <v>18</v>
      </c>
      <c r="L2522" s="8">
        <v>39987.315405092595</v>
      </c>
      <c r="M2522" s="9" t="s">
        <v>19</v>
      </c>
      <c r="N2522" s="9" t="s">
        <v>20</v>
      </c>
      <c r="O2522" s="6" t="str">
        <f>HYPERLINK("https://pbs.twimg.com/profile_images/962471262747529216/Uo8lOkRJ_normal.jpg","View")</f>
        <v>View</v>
      </c>
      <c r="P2522" s="7"/>
    </row>
    <row r="2523" spans="1:16">
      <c r="A2523" s="3">
        <v>43884.171944444446</v>
      </c>
      <c r="B2523" s="4" t="str">
        <f>HYPERLINK("https://twitter.com/petrogustavo","@petrogustavo")</f>
        <v>@petrogustavo</v>
      </c>
      <c r="C2523" s="5" t="s">
        <v>16</v>
      </c>
      <c r="D2523" s="5" t="s">
        <v>2471</v>
      </c>
      <c r="E2523" s="6" t="str">
        <f>HYPERLINK("https://twitter.com/petrogustavo/status/1231347332777680897","1231347332777680897")</f>
        <v>1231347332777680897</v>
      </c>
      <c r="F2523" s="7" t="s">
        <v>17</v>
      </c>
      <c r="G2523" s="7">
        <v>3644220</v>
      </c>
      <c r="H2523" s="7">
        <v>2350</v>
      </c>
      <c r="I2523" s="7">
        <v>334</v>
      </c>
      <c r="J2523" s="7">
        <v>0</v>
      </c>
      <c r="K2523" s="7" t="s">
        <v>18</v>
      </c>
      <c r="L2523" s="8">
        <v>39987.315405092595</v>
      </c>
      <c r="M2523" s="9" t="s">
        <v>19</v>
      </c>
      <c r="N2523" s="9" t="s">
        <v>20</v>
      </c>
      <c r="O2523" s="6" t="str">
        <f>HYPERLINK("https://pbs.twimg.com/profile_images/962471262747529216/Uo8lOkRJ_normal.jpg","View")</f>
        <v>View</v>
      </c>
      <c r="P2523" s="7"/>
    </row>
    <row r="2524" spans="1:16">
      <c r="A2524" s="3">
        <v>43884.177442129629</v>
      </c>
      <c r="B2524" s="4" t="str">
        <f>HYPERLINK("https://twitter.com/petrogustavo","@petrogustavo")</f>
        <v>@petrogustavo</v>
      </c>
      <c r="C2524" s="5" t="s">
        <v>16</v>
      </c>
      <c r="D2524" s="5" t="s">
        <v>2472</v>
      </c>
      <c r="E2524" s="6" t="str">
        <f>HYPERLINK("https://twitter.com/petrogustavo/status/1231349324589694977","1231349324589694977")</f>
        <v>1231349324589694977</v>
      </c>
      <c r="F2524" s="7" t="s">
        <v>17</v>
      </c>
      <c r="G2524" s="7">
        <v>3644220</v>
      </c>
      <c r="H2524" s="7">
        <v>2350</v>
      </c>
      <c r="I2524" s="7">
        <v>9</v>
      </c>
      <c r="J2524" s="7">
        <v>39</v>
      </c>
      <c r="K2524" s="7" t="s">
        <v>18</v>
      </c>
      <c r="L2524" s="8">
        <v>39987.315405092595</v>
      </c>
      <c r="M2524" s="9" t="s">
        <v>19</v>
      </c>
      <c r="N2524" s="9" t="s">
        <v>20</v>
      </c>
      <c r="O2524" s="6" t="str">
        <f>HYPERLINK("https://pbs.twimg.com/profile_images/962471262747529216/Uo8lOkRJ_normal.jpg","View")</f>
        <v>View</v>
      </c>
      <c r="P2524" s="7"/>
    </row>
    <row r="2525" spans="1:16">
      <c r="A2525" s="3">
        <v>43884.179432870369</v>
      </c>
      <c r="B2525" s="4" t="str">
        <f>HYPERLINK("https://twitter.com/petrogustavo","@petrogustavo")</f>
        <v>@petrogustavo</v>
      </c>
      <c r="C2525" s="5" t="s">
        <v>16</v>
      </c>
      <c r="D2525" s="5" t="s">
        <v>2473</v>
      </c>
      <c r="E2525" s="6" t="str">
        <f>HYPERLINK("https://twitter.com/petrogustavo/status/1231350046576304130","1231350046576304130")</f>
        <v>1231350046576304130</v>
      </c>
      <c r="F2525" s="7" t="s">
        <v>17</v>
      </c>
      <c r="G2525" s="7">
        <v>3644250</v>
      </c>
      <c r="H2525" s="7">
        <v>2350</v>
      </c>
      <c r="I2525" s="7">
        <v>23</v>
      </c>
      <c r="J2525" s="7">
        <v>0</v>
      </c>
      <c r="K2525" s="7" t="s">
        <v>18</v>
      </c>
      <c r="L2525" s="8">
        <v>39987.315405092595</v>
      </c>
      <c r="M2525" s="9" t="s">
        <v>19</v>
      </c>
      <c r="N2525" s="9" t="s">
        <v>20</v>
      </c>
      <c r="O2525" s="6" t="str">
        <f>HYPERLINK("https://pbs.twimg.com/profile_images/962471262747529216/Uo8lOkRJ_normal.jpg","View")</f>
        <v>View</v>
      </c>
      <c r="P2525" s="7"/>
    </row>
    <row r="2526" spans="1:16">
      <c r="A2526" s="3">
        <v>43884.180590277778</v>
      </c>
      <c r="B2526" s="4" t="str">
        <f>HYPERLINK("https://twitter.com/petrogustavo","@petrogustavo")</f>
        <v>@petrogustavo</v>
      </c>
      <c r="C2526" s="5" t="s">
        <v>16</v>
      </c>
      <c r="D2526" s="5" t="s">
        <v>2474</v>
      </c>
      <c r="E2526" s="6" t="str">
        <f>HYPERLINK("https://twitter.com/petrogustavo/status/1231350468439420933","1231350468439420933")</f>
        <v>1231350468439420933</v>
      </c>
      <c r="F2526" s="7" t="s">
        <v>17</v>
      </c>
      <c r="G2526" s="7">
        <v>3644250</v>
      </c>
      <c r="H2526" s="7">
        <v>2350</v>
      </c>
      <c r="I2526" s="7">
        <v>79</v>
      </c>
      <c r="J2526" s="7">
        <v>0</v>
      </c>
      <c r="K2526" s="7" t="s">
        <v>18</v>
      </c>
      <c r="L2526" s="8">
        <v>39987.315405092595</v>
      </c>
      <c r="M2526" s="9" t="s">
        <v>19</v>
      </c>
      <c r="N2526" s="9" t="s">
        <v>20</v>
      </c>
      <c r="O2526" s="6" t="str">
        <f>HYPERLINK("https://pbs.twimg.com/profile_images/962471262747529216/Uo8lOkRJ_normal.jpg","View")</f>
        <v>View</v>
      </c>
      <c r="P2526" s="7"/>
    </row>
    <row r="2527" spans="1:16">
      <c r="A2527" s="3">
        <v>43884.18131944444</v>
      </c>
      <c r="B2527" s="4" t="str">
        <f>HYPERLINK("https://twitter.com/petrogustavo","@petrogustavo")</f>
        <v>@petrogustavo</v>
      </c>
      <c r="C2527" s="5" t="s">
        <v>16</v>
      </c>
      <c r="D2527" s="5" t="s">
        <v>2475</v>
      </c>
      <c r="E2527" s="6" t="str">
        <f>HYPERLINK("https://twitter.com/petrogustavo/status/1231350732042985473","1231350732042985473")</f>
        <v>1231350732042985473</v>
      </c>
      <c r="F2527" s="7" t="s">
        <v>17</v>
      </c>
      <c r="G2527" s="7">
        <v>3644250</v>
      </c>
      <c r="H2527" s="7">
        <v>2350</v>
      </c>
      <c r="I2527" s="7">
        <v>49</v>
      </c>
      <c r="J2527" s="7">
        <v>0</v>
      </c>
      <c r="K2527" s="7" t="s">
        <v>18</v>
      </c>
      <c r="L2527" s="8">
        <v>39987.315405092595</v>
      </c>
      <c r="M2527" s="9" t="s">
        <v>19</v>
      </c>
      <c r="N2527" s="9" t="s">
        <v>20</v>
      </c>
      <c r="O2527" s="6" t="str">
        <f>HYPERLINK("https://pbs.twimg.com/profile_images/962471262747529216/Uo8lOkRJ_normal.jpg","View")</f>
        <v>View</v>
      </c>
      <c r="P2527" s="7"/>
    </row>
    <row r="2528" spans="1:16">
      <c r="A2528" s="3">
        <v>43884.182071759264</v>
      </c>
      <c r="B2528" s="4" t="str">
        <f>HYPERLINK("https://twitter.com/petrogustavo","@petrogustavo")</f>
        <v>@petrogustavo</v>
      </c>
      <c r="C2528" s="5" t="s">
        <v>16</v>
      </c>
      <c r="D2528" s="5" t="s">
        <v>2459</v>
      </c>
      <c r="E2528" s="6" t="str">
        <f>HYPERLINK("https://twitter.com/petrogustavo/status/1231351003657711617","1231351003657711617")</f>
        <v>1231351003657711617</v>
      </c>
      <c r="F2528" s="7" t="s">
        <v>17</v>
      </c>
      <c r="G2528" s="7">
        <v>3644250</v>
      </c>
      <c r="H2528" s="7">
        <v>2350</v>
      </c>
      <c r="I2528" s="7">
        <v>1573</v>
      </c>
      <c r="J2528" s="7">
        <v>0</v>
      </c>
      <c r="K2528" s="7" t="s">
        <v>18</v>
      </c>
      <c r="L2528" s="8">
        <v>39987.315405092595</v>
      </c>
      <c r="M2528" s="9" t="s">
        <v>19</v>
      </c>
      <c r="N2528" s="9" t="s">
        <v>20</v>
      </c>
      <c r="O2528" s="6" t="str">
        <f>HYPERLINK("https://pbs.twimg.com/profile_images/962471262747529216/Uo8lOkRJ_normal.jpg","View")</f>
        <v>View</v>
      </c>
      <c r="P2528" s="7"/>
    </row>
    <row r="2529" spans="1:16">
      <c r="A2529" s="3">
        <v>43884.198240740741</v>
      </c>
      <c r="B2529" s="4" t="str">
        <f>HYPERLINK("https://twitter.com/petrogustavo","@petrogustavo")</f>
        <v>@petrogustavo</v>
      </c>
      <c r="C2529" s="5" t="s">
        <v>16</v>
      </c>
      <c r="D2529" s="5" t="s">
        <v>2476</v>
      </c>
      <c r="E2529" s="6" t="str">
        <f>HYPERLINK("https://twitter.com/petrogustavo/status/1231356864249704449","1231356864249704449")</f>
        <v>1231356864249704449</v>
      </c>
      <c r="F2529" s="7" t="s">
        <v>17</v>
      </c>
      <c r="G2529" s="7">
        <v>3644250</v>
      </c>
      <c r="H2529" s="7">
        <v>2350</v>
      </c>
      <c r="I2529" s="7">
        <v>33</v>
      </c>
      <c r="J2529" s="7">
        <v>58</v>
      </c>
      <c r="K2529" s="7" t="s">
        <v>18</v>
      </c>
      <c r="L2529" s="8">
        <v>39987.315405092595</v>
      </c>
      <c r="M2529" s="9" t="s">
        <v>19</v>
      </c>
      <c r="N2529" s="9" t="s">
        <v>20</v>
      </c>
      <c r="O2529" s="6" t="str">
        <f>HYPERLINK("https://pbs.twimg.com/profile_images/962471262747529216/Uo8lOkRJ_normal.jpg","View")</f>
        <v>View</v>
      </c>
      <c r="P2529" s="7"/>
    </row>
    <row r="2530" spans="1:16">
      <c r="A2530" s="3">
        <v>43884.206990740742</v>
      </c>
      <c r="B2530" s="4" t="str">
        <f>HYPERLINK("https://twitter.com/petrogustavo","@petrogustavo")</f>
        <v>@petrogustavo</v>
      </c>
      <c r="C2530" s="5" t="s">
        <v>16</v>
      </c>
      <c r="D2530" s="5" t="s">
        <v>2477</v>
      </c>
      <c r="E2530" s="6" t="str">
        <f>HYPERLINK("https://twitter.com/petrogustavo/status/1231360035684519937","1231360035684519937")</f>
        <v>1231360035684519937</v>
      </c>
      <c r="F2530" s="7" t="s">
        <v>17</v>
      </c>
      <c r="G2530" s="7">
        <v>3644280</v>
      </c>
      <c r="H2530" s="7">
        <v>2350</v>
      </c>
      <c r="I2530" s="7">
        <v>576</v>
      </c>
      <c r="J2530" s="7">
        <v>0</v>
      </c>
      <c r="K2530" s="7" t="s">
        <v>18</v>
      </c>
      <c r="L2530" s="8">
        <v>39987.315405092595</v>
      </c>
      <c r="M2530" s="9" t="s">
        <v>19</v>
      </c>
      <c r="N2530" s="9" t="s">
        <v>20</v>
      </c>
      <c r="O2530" s="6" t="str">
        <f>HYPERLINK("https://pbs.twimg.com/profile_images/962471262747529216/Uo8lOkRJ_normal.jpg","View")</f>
        <v>View</v>
      </c>
      <c r="P2530" s="7"/>
    </row>
    <row r="2531" spans="1:16">
      <c r="A2531" s="3">
        <v>43884.207627314812</v>
      </c>
      <c r="B2531" s="4" t="str">
        <f>HYPERLINK("https://twitter.com/petrogustavo","@petrogustavo")</f>
        <v>@petrogustavo</v>
      </c>
      <c r="C2531" s="5" t="s">
        <v>16</v>
      </c>
      <c r="D2531" s="5" t="s">
        <v>2478</v>
      </c>
      <c r="E2531" s="6" t="str">
        <f>HYPERLINK("https://twitter.com/petrogustavo/status/1231360263909203968","1231360263909203968")</f>
        <v>1231360263909203968</v>
      </c>
      <c r="F2531" s="7" t="s">
        <v>17</v>
      </c>
      <c r="G2531" s="7">
        <v>3644280</v>
      </c>
      <c r="H2531" s="7">
        <v>2350</v>
      </c>
      <c r="I2531" s="7">
        <v>157</v>
      </c>
      <c r="J2531" s="7">
        <v>0</v>
      </c>
      <c r="K2531" s="7" t="s">
        <v>18</v>
      </c>
      <c r="L2531" s="8">
        <v>39987.315405092595</v>
      </c>
      <c r="M2531" s="9" t="s">
        <v>19</v>
      </c>
      <c r="N2531" s="9" t="s">
        <v>20</v>
      </c>
      <c r="O2531" s="6" t="str">
        <f>HYPERLINK("https://pbs.twimg.com/profile_images/962471262747529216/Uo8lOkRJ_normal.jpg","View")</f>
        <v>View</v>
      </c>
      <c r="P2531" s="7"/>
    </row>
    <row r="2532" spans="1:16">
      <c r="A2532" s="3">
        <v>43884.207743055551</v>
      </c>
      <c r="B2532" s="4" t="str">
        <f>HYPERLINK("https://twitter.com/petrogustavo","@petrogustavo")</f>
        <v>@petrogustavo</v>
      </c>
      <c r="C2532" s="5" t="s">
        <v>16</v>
      </c>
      <c r="D2532" s="5" t="s">
        <v>2479</v>
      </c>
      <c r="E2532" s="6" t="str">
        <f>HYPERLINK("https://twitter.com/petrogustavo/status/1231360306988883968","1231360306988883968")</f>
        <v>1231360306988883968</v>
      </c>
      <c r="F2532" s="7" t="s">
        <v>17</v>
      </c>
      <c r="G2532" s="7">
        <v>3644280</v>
      </c>
      <c r="H2532" s="7">
        <v>2350</v>
      </c>
      <c r="I2532" s="7">
        <v>72</v>
      </c>
      <c r="J2532" s="7">
        <v>0</v>
      </c>
      <c r="K2532" s="7" t="s">
        <v>18</v>
      </c>
      <c r="L2532" s="8">
        <v>39987.315405092595</v>
      </c>
      <c r="M2532" s="9" t="s">
        <v>19</v>
      </c>
      <c r="N2532" s="9" t="s">
        <v>20</v>
      </c>
      <c r="O2532" s="6" t="str">
        <f>HYPERLINK("https://pbs.twimg.com/profile_images/962471262747529216/Uo8lOkRJ_normal.jpg","View")</f>
        <v>View</v>
      </c>
      <c r="P2532" s="7"/>
    </row>
    <row r="2533" spans="1:16">
      <c r="A2533" s="3">
        <v>43884.208865740744</v>
      </c>
      <c r="B2533" s="4" t="str">
        <f>HYPERLINK("https://twitter.com/petrogustavo","@petrogustavo")</f>
        <v>@petrogustavo</v>
      </c>
      <c r="C2533" s="5" t="s">
        <v>16</v>
      </c>
      <c r="D2533" s="5" t="s">
        <v>2480</v>
      </c>
      <c r="E2533" s="6" t="str">
        <f>HYPERLINK("https://twitter.com/petrogustavo/status/1231360714603929601","1231360714603929601")</f>
        <v>1231360714603929601</v>
      </c>
      <c r="F2533" s="7" t="s">
        <v>17</v>
      </c>
      <c r="G2533" s="7">
        <v>3644280</v>
      </c>
      <c r="H2533" s="7">
        <v>2350</v>
      </c>
      <c r="I2533" s="7">
        <v>56</v>
      </c>
      <c r="J2533" s="7">
        <v>0</v>
      </c>
      <c r="K2533" s="7" t="s">
        <v>18</v>
      </c>
      <c r="L2533" s="8">
        <v>39987.315405092595</v>
      </c>
      <c r="M2533" s="9" t="s">
        <v>19</v>
      </c>
      <c r="N2533" s="9" t="s">
        <v>20</v>
      </c>
      <c r="O2533" s="6" t="str">
        <f>HYPERLINK("https://pbs.twimg.com/profile_images/962471262747529216/Uo8lOkRJ_normal.jpg","View")</f>
        <v>View</v>
      </c>
      <c r="P2533" s="7"/>
    </row>
    <row r="2534" spans="1:16">
      <c r="A2534" s="3">
        <v>43884.21256944444</v>
      </c>
      <c r="B2534" s="4" t="str">
        <f>HYPERLINK("https://twitter.com/petrogustavo","@petrogustavo")</f>
        <v>@petrogustavo</v>
      </c>
      <c r="C2534" s="5" t="s">
        <v>16</v>
      </c>
      <c r="D2534" s="5" t="s">
        <v>2481</v>
      </c>
      <c r="E2534" s="6" t="str">
        <f>HYPERLINK("https://twitter.com/petrogustavo/status/1231362056730939392","1231362056730939392")</f>
        <v>1231362056730939392</v>
      </c>
      <c r="F2534" s="7" t="s">
        <v>17</v>
      </c>
      <c r="G2534" s="7">
        <v>3644280</v>
      </c>
      <c r="H2534" s="7">
        <v>2350</v>
      </c>
      <c r="I2534" s="7">
        <v>111</v>
      </c>
      <c r="J2534" s="7">
        <v>0</v>
      </c>
      <c r="K2534" s="7" t="s">
        <v>18</v>
      </c>
      <c r="L2534" s="8">
        <v>39987.315405092595</v>
      </c>
      <c r="M2534" s="9" t="s">
        <v>19</v>
      </c>
      <c r="N2534" s="9" t="s">
        <v>20</v>
      </c>
      <c r="O2534" s="6" t="str">
        <f>HYPERLINK("https://pbs.twimg.com/profile_images/962471262747529216/Uo8lOkRJ_normal.jpg","View")</f>
        <v>View</v>
      </c>
      <c r="P2534" s="7"/>
    </row>
    <row r="2535" spans="1:16">
      <c r="A2535" s="3">
        <v>43884.214826388888</v>
      </c>
      <c r="B2535" s="4" t="str">
        <f>HYPERLINK("https://twitter.com/petrogustavo","@petrogustavo")</f>
        <v>@petrogustavo</v>
      </c>
      <c r="C2535" s="5" t="s">
        <v>16</v>
      </c>
      <c r="D2535" s="5" t="s">
        <v>2482</v>
      </c>
      <c r="E2535" s="6" t="str">
        <f>HYPERLINK("https://twitter.com/petrogustavo/status/1231362873840078848","1231362873840078848")</f>
        <v>1231362873840078848</v>
      </c>
      <c r="F2535" s="7" t="s">
        <v>17</v>
      </c>
      <c r="G2535" s="7">
        <v>3644280</v>
      </c>
      <c r="H2535" s="7">
        <v>2350</v>
      </c>
      <c r="I2535" s="7">
        <v>33</v>
      </c>
      <c r="J2535" s="7">
        <v>83</v>
      </c>
      <c r="K2535" s="7" t="s">
        <v>18</v>
      </c>
      <c r="L2535" s="8">
        <v>39987.315405092595</v>
      </c>
      <c r="M2535" s="9" t="s">
        <v>19</v>
      </c>
      <c r="N2535" s="9" t="s">
        <v>20</v>
      </c>
      <c r="O2535" s="6" t="str">
        <f>HYPERLINK("https://pbs.twimg.com/profile_images/962471262747529216/Uo8lOkRJ_normal.jpg","View")</f>
        <v>View</v>
      </c>
      <c r="P2535" s="7"/>
    </row>
    <row r="2536" spans="1:16">
      <c r="A2536" s="3">
        <v>43884.215983796297</v>
      </c>
      <c r="B2536" s="4" t="str">
        <f>HYPERLINK("https://twitter.com/petrogustavo","@petrogustavo")</f>
        <v>@petrogustavo</v>
      </c>
      <c r="C2536" s="5" t="s">
        <v>16</v>
      </c>
      <c r="D2536" s="5" t="s">
        <v>2483</v>
      </c>
      <c r="E2536" s="6" t="str">
        <f>HYPERLINK("https://twitter.com/petrogustavo/status/1231363294180597760","1231363294180597760")</f>
        <v>1231363294180597760</v>
      </c>
      <c r="F2536" s="7" t="s">
        <v>17</v>
      </c>
      <c r="G2536" s="7">
        <v>3644280</v>
      </c>
      <c r="H2536" s="7">
        <v>2350</v>
      </c>
      <c r="I2536" s="7">
        <v>25</v>
      </c>
      <c r="J2536" s="7">
        <v>80</v>
      </c>
      <c r="K2536" s="7" t="s">
        <v>18</v>
      </c>
      <c r="L2536" s="8">
        <v>39987.315405092595</v>
      </c>
      <c r="M2536" s="9" t="s">
        <v>19</v>
      </c>
      <c r="N2536" s="9" t="s">
        <v>20</v>
      </c>
      <c r="O2536" s="6" t="str">
        <f>HYPERLINK("https://pbs.twimg.com/profile_images/962471262747529216/Uo8lOkRJ_normal.jpg","View")</f>
        <v>View</v>
      </c>
      <c r="P2536" s="7"/>
    </row>
    <row r="2537" spans="1:16">
      <c r="A2537" s="3">
        <v>43884.216249999998</v>
      </c>
      <c r="B2537" s="4" t="str">
        <f>HYPERLINK("https://twitter.com/petrogustavo","@petrogustavo")</f>
        <v>@petrogustavo</v>
      </c>
      <c r="C2537" s="5" t="s">
        <v>16</v>
      </c>
      <c r="D2537" s="5" t="s">
        <v>2484</v>
      </c>
      <c r="E2537" s="6" t="str">
        <f>HYPERLINK("https://twitter.com/petrogustavo/status/1231363388808290304","1231363388808290304")</f>
        <v>1231363388808290304</v>
      </c>
      <c r="F2537" s="7" t="s">
        <v>17</v>
      </c>
      <c r="G2537" s="7">
        <v>3644280</v>
      </c>
      <c r="H2537" s="7">
        <v>2350</v>
      </c>
      <c r="I2537" s="7">
        <v>33</v>
      </c>
      <c r="J2537" s="7">
        <v>0</v>
      </c>
      <c r="K2537" s="7" t="s">
        <v>18</v>
      </c>
      <c r="L2537" s="8">
        <v>39987.315405092595</v>
      </c>
      <c r="M2537" s="9" t="s">
        <v>19</v>
      </c>
      <c r="N2537" s="9" t="s">
        <v>20</v>
      </c>
      <c r="O2537" s="6" t="str">
        <f>HYPERLINK("https://pbs.twimg.com/profile_images/962471262747529216/Uo8lOkRJ_normal.jpg","View")</f>
        <v>View</v>
      </c>
      <c r="P2537" s="7"/>
    </row>
    <row r="2538" spans="1:16">
      <c r="A2538" s="3">
        <v>43884.220289351855</v>
      </c>
      <c r="B2538" s="4" t="str">
        <f>HYPERLINK("https://twitter.com/petrogustavo","@petrogustavo")</f>
        <v>@petrogustavo</v>
      </c>
      <c r="C2538" s="5" t="s">
        <v>16</v>
      </c>
      <c r="D2538" s="5" t="s">
        <v>2485</v>
      </c>
      <c r="E2538" s="6" t="str">
        <f>HYPERLINK("https://twitter.com/petrogustavo/status/1231364852289089536","1231364852289089536")</f>
        <v>1231364852289089536</v>
      </c>
      <c r="F2538" s="7" t="s">
        <v>17</v>
      </c>
      <c r="G2538" s="7">
        <v>3644280</v>
      </c>
      <c r="H2538" s="7">
        <v>2350</v>
      </c>
      <c r="I2538" s="7">
        <v>23</v>
      </c>
      <c r="J2538" s="7">
        <v>0</v>
      </c>
      <c r="K2538" s="7" t="s">
        <v>18</v>
      </c>
      <c r="L2538" s="8">
        <v>39987.315405092595</v>
      </c>
      <c r="M2538" s="9" t="s">
        <v>19</v>
      </c>
      <c r="N2538" s="9" t="s">
        <v>20</v>
      </c>
      <c r="O2538" s="6" t="str">
        <f>HYPERLINK("https://pbs.twimg.com/profile_images/962471262747529216/Uo8lOkRJ_normal.jpg","View")</f>
        <v>View</v>
      </c>
      <c r="P2538" s="7"/>
    </row>
    <row r="2539" spans="1:16">
      <c r="A2539" s="3">
        <v>43884.243206018524</v>
      </c>
      <c r="B2539" s="4" t="str">
        <f>HYPERLINK("https://twitter.com/petrogustavo","@petrogustavo")</f>
        <v>@petrogustavo</v>
      </c>
      <c r="C2539" s="5" t="s">
        <v>16</v>
      </c>
      <c r="D2539" s="5" t="s">
        <v>2486</v>
      </c>
      <c r="E2539" s="6" t="str">
        <f>HYPERLINK("https://twitter.com/petrogustavo/status/1231373160295141376","1231373160295141376")</f>
        <v>1231373160295141376</v>
      </c>
      <c r="F2539" s="7" t="s">
        <v>17</v>
      </c>
      <c r="G2539" s="7">
        <v>3644311</v>
      </c>
      <c r="H2539" s="7">
        <v>2352</v>
      </c>
      <c r="I2539" s="7">
        <v>68</v>
      </c>
      <c r="J2539" s="7">
        <v>0</v>
      </c>
      <c r="K2539" s="7" t="s">
        <v>18</v>
      </c>
      <c r="L2539" s="8">
        <v>39987.315405092595</v>
      </c>
      <c r="M2539" s="9" t="s">
        <v>19</v>
      </c>
      <c r="N2539" s="9" t="s">
        <v>20</v>
      </c>
      <c r="O2539" s="6" t="str">
        <f>HYPERLINK("https://pbs.twimg.com/profile_images/962471262747529216/Uo8lOkRJ_normal.jpg","View")</f>
        <v>View</v>
      </c>
      <c r="P2539" s="7"/>
    </row>
    <row r="2540" spans="1:16">
      <c r="A2540" s="3">
        <v>43884.783854166672</v>
      </c>
      <c r="B2540" s="4" t="str">
        <f>HYPERLINK("https://twitter.com/petrogustavo","@petrogustavo")</f>
        <v>@petrogustavo</v>
      </c>
      <c r="C2540" s="5" t="s">
        <v>16</v>
      </c>
      <c r="D2540" s="5" t="s">
        <v>2487</v>
      </c>
      <c r="E2540" s="6" t="str">
        <f>HYPERLINK("https://twitter.com/petrogustavo/status/1231569081062559744","1231569081062559744")</f>
        <v>1231569081062559744</v>
      </c>
      <c r="F2540" s="7" t="s">
        <v>17</v>
      </c>
      <c r="G2540" s="7">
        <v>3644698</v>
      </c>
      <c r="H2540" s="7">
        <v>2353</v>
      </c>
      <c r="I2540" s="7">
        <v>599</v>
      </c>
      <c r="J2540" s="7">
        <v>0</v>
      </c>
      <c r="K2540" s="7" t="s">
        <v>18</v>
      </c>
      <c r="L2540" s="8">
        <v>39987.315405092595</v>
      </c>
      <c r="M2540" s="9" t="s">
        <v>19</v>
      </c>
      <c r="N2540" s="9" t="s">
        <v>20</v>
      </c>
      <c r="O2540" s="6" t="str">
        <f>HYPERLINK("https://pbs.twimg.com/profile_images/962471262747529216/Uo8lOkRJ_normal.jpg","View")</f>
        <v>View</v>
      </c>
      <c r="P2540" s="7"/>
    </row>
    <row r="2541" spans="1:16">
      <c r="A2541" s="3">
        <v>43884.795659722222</v>
      </c>
      <c r="B2541" s="4" t="str">
        <f>HYPERLINK("https://twitter.com/petrogustavo","@petrogustavo")</f>
        <v>@petrogustavo</v>
      </c>
      <c r="C2541" s="5" t="s">
        <v>16</v>
      </c>
      <c r="D2541" s="5" t="s">
        <v>2488</v>
      </c>
      <c r="E2541" s="6" t="str">
        <f>HYPERLINK("https://twitter.com/petrogustavo/status/1231573362905952256","1231573362905952256")</f>
        <v>1231573362905952256</v>
      </c>
      <c r="F2541" s="7" t="s">
        <v>17</v>
      </c>
      <c r="G2541" s="7">
        <v>3644698</v>
      </c>
      <c r="H2541" s="7">
        <v>2353</v>
      </c>
      <c r="I2541" s="7">
        <v>159</v>
      </c>
      <c r="J2541" s="7">
        <v>408</v>
      </c>
      <c r="K2541" s="7" t="s">
        <v>18</v>
      </c>
      <c r="L2541" s="8">
        <v>39987.315405092595</v>
      </c>
      <c r="M2541" s="9" t="s">
        <v>19</v>
      </c>
      <c r="N2541" s="9" t="s">
        <v>20</v>
      </c>
      <c r="O2541" s="6" t="str">
        <f>HYPERLINK("https://pbs.twimg.com/profile_images/962471262747529216/Uo8lOkRJ_normal.jpg","View")</f>
        <v>View</v>
      </c>
      <c r="P2541" s="7"/>
    </row>
    <row r="2542" spans="1:16">
      <c r="A2542" s="3">
        <v>43884.798518518517</v>
      </c>
      <c r="B2542" s="4" t="str">
        <f>HYPERLINK("https://twitter.com/petrogustavo","@petrogustavo")</f>
        <v>@petrogustavo</v>
      </c>
      <c r="C2542" s="5" t="s">
        <v>16</v>
      </c>
      <c r="D2542" s="5" t="s">
        <v>2489</v>
      </c>
      <c r="E2542" s="6" t="str">
        <f>HYPERLINK("https://twitter.com/petrogustavo/status/1231574396122345472","1231574396122345472")</f>
        <v>1231574396122345472</v>
      </c>
      <c r="F2542" s="7" t="s">
        <v>17</v>
      </c>
      <c r="G2542" s="7">
        <v>3644698</v>
      </c>
      <c r="H2542" s="7">
        <v>2353</v>
      </c>
      <c r="I2542" s="7">
        <v>52</v>
      </c>
      <c r="J2542" s="7">
        <v>93</v>
      </c>
      <c r="K2542" s="7" t="s">
        <v>18</v>
      </c>
      <c r="L2542" s="8">
        <v>39987.315405092595</v>
      </c>
      <c r="M2542" s="9" t="s">
        <v>19</v>
      </c>
      <c r="N2542" s="9" t="s">
        <v>20</v>
      </c>
      <c r="O2542" s="6" t="str">
        <f>HYPERLINK("https://pbs.twimg.com/profile_images/962471262747529216/Uo8lOkRJ_normal.jpg","View")</f>
        <v>View</v>
      </c>
      <c r="P2542" s="7"/>
    </row>
    <row r="2543" spans="1:16">
      <c r="A2543" s="3">
        <v>43884.802916666667</v>
      </c>
      <c r="B2543" s="4" t="str">
        <f>HYPERLINK("https://twitter.com/petrogustavo","@petrogustavo")</f>
        <v>@petrogustavo</v>
      </c>
      <c r="C2543" s="5" t="s">
        <v>16</v>
      </c>
      <c r="D2543" s="5" t="s">
        <v>2490</v>
      </c>
      <c r="E2543" s="6" t="str">
        <f>HYPERLINK("https://twitter.com/petrogustavo/status/1231575990238924801","1231575990238924801")</f>
        <v>1231575990238924801</v>
      </c>
      <c r="F2543" s="7" t="s">
        <v>17</v>
      </c>
      <c r="G2543" s="7">
        <v>3644698</v>
      </c>
      <c r="H2543" s="7">
        <v>2353</v>
      </c>
      <c r="I2543" s="7">
        <v>6</v>
      </c>
      <c r="J2543" s="7">
        <v>22</v>
      </c>
      <c r="K2543" s="7" t="s">
        <v>18</v>
      </c>
      <c r="L2543" s="8">
        <v>39987.315405092595</v>
      </c>
      <c r="M2543" s="9" t="s">
        <v>19</v>
      </c>
      <c r="N2543" s="9" t="s">
        <v>20</v>
      </c>
      <c r="O2543" s="6" t="str">
        <f>HYPERLINK("https://pbs.twimg.com/profile_images/962471262747529216/Uo8lOkRJ_normal.jpg","View")</f>
        <v>View</v>
      </c>
      <c r="P2543" s="7"/>
    </row>
    <row r="2544" spans="1:16">
      <c r="A2544" s="3">
        <v>43884.802928240737</v>
      </c>
      <c r="B2544" s="4" t="str">
        <f>HYPERLINK("https://twitter.com/petrogustavo","@petrogustavo")</f>
        <v>@petrogustavo</v>
      </c>
      <c r="C2544" s="5" t="s">
        <v>16</v>
      </c>
      <c r="D2544" s="5" t="s">
        <v>2491</v>
      </c>
      <c r="E2544" s="6" t="str">
        <f>HYPERLINK("https://twitter.com/petrogustavo/status/1231575993485266944","1231575993485266944")</f>
        <v>1231575993485266944</v>
      </c>
      <c r="F2544" s="7" t="s">
        <v>17</v>
      </c>
      <c r="G2544" s="7">
        <v>3644698</v>
      </c>
      <c r="H2544" s="7">
        <v>2353</v>
      </c>
      <c r="I2544" s="7">
        <v>1</v>
      </c>
      <c r="J2544" s="7">
        <v>7</v>
      </c>
      <c r="K2544" s="7" t="s">
        <v>18</v>
      </c>
      <c r="L2544" s="8">
        <v>39987.315405092595</v>
      </c>
      <c r="M2544" s="9" t="s">
        <v>19</v>
      </c>
      <c r="N2544" s="9" t="s">
        <v>20</v>
      </c>
      <c r="O2544" s="6" t="str">
        <f>HYPERLINK("https://pbs.twimg.com/profile_images/962471262747529216/Uo8lOkRJ_normal.jpg","View")</f>
        <v>View</v>
      </c>
      <c r="P2544" s="7"/>
    </row>
    <row r="2545" spans="1:16">
      <c r="A2545" s="3">
        <v>43884.819270833337</v>
      </c>
      <c r="B2545" s="4" t="str">
        <f>HYPERLINK("https://twitter.com/petrogustavo","@petrogustavo")</f>
        <v>@petrogustavo</v>
      </c>
      <c r="C2545" s="5" t="s">
        <v>16</v>
      </c>
      <c r="D2545" s="5" t="s">
        <v>2492</v>
      </c>
      <c r="E2545" s="6" t="str">
        <f>HYPERLINK("https://twitter.com/petrogustavo/status/1231581918308839425","1231581918308839425")</f>
        <v>1231581918308839425</v>
      </c>
      <c r="F2545" s="7" t="s">
        <v>17</v>
      </c>
      <c r="G2545" s="7">
        <v>3644721</v>
      </c>
      <c r="H2545" s="7">
        <v>2353</v>
      </c>
      <c r="I2545" s="7">
        <v>90</v>
      </c>
      <c r="J2545" s="7">
        <v>169</v>
      </c>
      <c r="K2545" s="7" t="s">
        <v>18</v>
      </c>
      <c r="L2545" s="8">
        <v>39987.315405092595</v>
      </c>
      <c r="M2545" s="9" t="s">
        <v>19</v>
      </c>
      <c r="N2545" s="9" t="s">
        <v>20</v>
      </c>
      <c r="O2545" s="6" t="str">
        <f>HYPERLINK("https://pbs.twimg.com/profile_images/962471262747529216/Uo8lOkRJ_normal.jpg","View")</f>
        <v>View</v>
      </c>
      <c r="P2545" s="7"/>
    </row>
    <row r="2546" spans="1:16">
      <c r="A2546" s="3">
        <v>43884.846446759257</v>
      </c>
      <c r="B2546" s="4" t="str">
        <f>HYPERLINK("https://twitter.com/petrogustavo","@petrogustavo")</f>
        <v>@petrogustavo</v>
      </c>
      <c r="C2546" s="5" t="s">
        <v>16</v>
      </c>
      <c r="D2546" s="5" t="s">
        <v>2493</v>
      </c>
      <c r="E2546" s="6" t="str">
        <f>HYPERLINK("https://twitter.com/petrogustavo/status/1231591764852715521","1231591764852715521")</f>
        <v>1231591764852715521</v>
      </c>
      <c r="F2546" s="7" t="s">
        <v>17</v>
      </c>
      <c r="G2546" s="7">
        <v>3644777</v>
      </c>
      <c r="H2546" s="7">
        <v>2353</v>
      </c>
      <c r="I2546" s="7">
        <v>259</v>
      </c>
      <c r="J2546" s="7">
        <v>0</v>
      </c>
      <c r="K2546" s="7" t="s">
        <v>18</v>
      </c>
      <c r="L2546" s="8">
        <v>39987.315405092595</v>
      </c>
      <c r="M2546" s="9" t="s">
        <v>19</v>
      </c>
      <c r="N2546" s="9" t="s">
        <v>20</v>
      </c>
      <c r="O2546" s="6" t="str">
        <f>HYPERLINK("https://pbs.twimg.com/profile_images/962471262747529216/Uo8lOkRJ_normal.jpg","View")</f>
        <v>View</v>
      </c>
      <c r="P2546" s="7"/>
    </row>
    <row r="2547" spans="1:16">
      <c r="A2547" s="3">
        <v>43884.85737268519</v>
      </c>
      <c r="B2547" s="4" t="str">
        <f>HYPERLINK("https://twitter.com/petrogustavo","@petrogustavo")</f>
        <v>@petrogustavo</v>
      </c>
      <c r="C2547" s="5" t="s">
        <v>16</v>
      </c>
      <c r="D2547" s="5" t="s">
        <v>2494</v>
      </c>
      <c r="E2547" s="6" t="str">
        <f>HYPERLINK("https://twitter.com/petrogustavo/status/1231595725919850497","1231595725919850497")</f>
        <v>1231595725919850497</v>
      </c>
      <c r="F2547" s="7" t="s">
        <v>17</v>
      </c>
      <c r="G2547" s="7">
        <v>3644777</v>
      </c>
      <c r="H2547" s="7">
        <v>2353</v>
      </c>
      <c r="I2547" s="7">
        <v>99</v>
      </c>
      <c r="J2547" s="7">
        <v>232</v>
      </c>
      <c r="K2547" s="7" t="s">
        <v>18</v>
      </c>
      <c r="L2547" s="8">
        <v>39987.315405092595</v>
      </c>
      <c r="M2547" s="9" t="s">
        <v>19</v>
      </c>
      <c r="N2547" s="9" t="s">
        <v>20</v>
      </c>
      <c r="O2547" s="6" t="str">
        <f>HYPERLINK("https://pbs.twimg.com/profile_images/962471262747529216/Uo8lOkRJ_normal.jpg","View")</f>
        <v>View</v>
      </c>
      <c r="P2547" s="7"/>
    </row>
    <row r="2548" spans="1:16">
      <c r="A2548" s="3">
        <v>43884.861168981486</v>
      </c>
      <c r="B2548" s="4" t="str">
        <f>HYPERLINK("https://twitter.com/petrogustavo","@petrogustavo")</f>
        <v>@petrogustavo</v>
      </c>
      <c r="C2548" s="5" t="s">
        <v>16</v>
      </c>
      <c r="D2548" s="5" t="s">
        <v>2495</v>
      </c>
      <c r="E2548" s="6" t="str">
        <f>HYPERLINK("https://twitter.com/petrogustavo/status/1231597100963631105","1231597100963631105")</f>
        <v>1231597100963631105</v>
      </c>
      <c r="F2548" s="7" t="s">
        <v>17</v>
      </c>
      <c r="G2548" s="7">
        <v>3644777</v>
      </c>
      <c r="H2548" s="7">
        <v>2353</v>
      </c>
      <c r="I2548" s="7">
        <v>2239</v>
      </c>
      <c r="J2548" s="7">
        <v>0</v>
      </c>
      <c r="K2548" s="7" t="s">
        <v>18</v>
      </c>
      <c r="L2548" s="8">
        <v>39987.315405092595</v>
      </c>
      <c r="M2548" s="9" t="s">
        <v>19</v>
      </c>
      <c r="N2548" s="9" t="s">
        <v>20</v>
      </c>
      <c r="O2548" s="6" t="str">
        <f>HYPERLINK("https://pbs.twimg.com/profile_images/962471262747529216/Uo8lOkRJ_normal.jpg","View")</f>
        <v>View</v>
      </c>
      <c r="P2548" s="7"/>
    </row>
    <row r="2549" spans="1:16">
      <c r="A2549" s="3">
        <v>43884.864236111112</v>
      </c>
      <c r="B2549" s="4" t="str">
        <f>HYPERLINK("https://twitter.com/petrogustavo","@petrogustavo")</f>
        <v>@petrogustavo</v>
      </c>
      <c r="C2549" s="5" t="s">
        <v>16</v>
      </c>
      <c r="D2549" s="5" t="s">
        <v>2496</v>
      </c>
      <c r="E2549" s="6" t="str">
        <f>HYPERLINK("https://twitter.com/petrogustavo/status/1231598211720241153","1231598211720241153")</f>
        <v>1231598211720241153</v>
      </c>
      <c r="F2549" s="7" t="s">
        <v>17</v>
      </c>
      <c r="G2549" s="7">
        <v>3644777</v>
      </c>
      <c r="H2549" s="7">
        <v>2353</v>
      </c>
      <c r="I2549" s="7">
        <v>59</v>
      </c>
      <c r="J2549" s="7">
        <v>177</v>
      </c>
      <c r="K2549" s="7" t="s">
        <v>18</v>
      </c>
      <c r="L2549" s="8">
        <v>39987.315405092595</v>
      </c>
      <c r="M2549" s="9" t="s">
        <v>19</v>
      </c>
      <c r="N2549" s="9" t="s">
        <v>20</v>
      </c>
      <c r="O2549" s="6" t="str">
        <f>HYPERLINK("https://pbs.twimg.com/profile_images/962471262747529216/Uo8lOkRJ_normal.jpg","View")</f>
        <v>View</v>
      </c>
      <c r="P2549" s="7"/>
    </row>
    <row r="2550" spans="1:16">
      <c r="A2550" s="3">
        <v>43884.867581018523</v>
      </c>
      <c r="B2550" s="4" t="str">
        <f>HYPERLINK("https://twitter.com/petrogustavo","@petrogustavo")</f>
        <v>@petrogustavo</v>
      </c>
      <c r="C2550" s="5" t="s">
        <v>16</v>
      </c>
      <c r="D2550" s="5" t="s">
        <v>2497</v>
      </c>
      <c r="E2550" s="6" t="str">
        <f>HYPERLINK("https://twitter.com/petrogustavo/status/1231599423450492930","1231599423450492930")</f>
        <v>1231599423450492930</v>
      </c>
      <c r="F2550" s="7" t="s">
        <v>17</v>
      </c>
      <c r="G2550" s="7">
        <v>3644801</v>
      </c>
      <c r="H2550" s="7">
        <v>2353</v>
      </c>
      <c r="I2550" s="7">
        <v>60</v>
      </c>
      <c r="J2550" s="7">
        <v>210</v>
      </c>
      <c r="K2550" s="7" t="s">
        <v>18</v>
      </c>
      <c r="L2550" s="8">
        <v>39987.315405092595</v>
      </c>
      <c r="M2550" s="9" t="s">
        <v>19</v>
      </c>
      <c r="N2550" s="9" t="s">
        <v>20</v>
      </c>
      <c r="O2550" s="6" t="str">
        <f>HYPERLINK("https://pbs.twimg.com/profile_images/962471262747529216/Uo8lOkRJ_normal.jpg","View")</f>
        <v>View</v>
      </c>
      <c r="P2550" s="7"/>
    </row>
    <row r="2551" spans="1:16">
      <c r="A2551" s="3">
        <v>43884.871458333335</v>
      </c>
      <c r="B2551" s="4" t="str">
        <f>HYPERLINK("https://twitter.com/petrogustavo","@petrogustavo")</f>
        <v>@petrogustavo</v>
      </c>
      <c r="C2551" s="5" t="s">
        <v>16</v>
      </c>
      <c r="D2551" s="5" t="s">
        <v>2498</v>
      </c>
      <c r="E2551" s="6" t="str">
        <f>HYPERLINK("https://twitter.com/petrogustavo/status/1231600830819819521","1231600830819819521")</f>
        <v>1231600830819819521</v>
      </c>
      <c r="F2551" s="7" t="s">
        <v>17</v>
      </c>
      <c r="G2551" s="7">
        <v>3644801</v>
      </c>
      <c r="H2551" s="7">
        <v>2353</v>
      </c>
      <c r="I2551" s="7">
        <v>982</v>
      </c>
      <c r="J2551" s="7">
        <v>0</v>
      </c>
      <c r="K2551" s="7" t="s">
        <v>18</v>
      </c>
      <c r="L2551" s="8">
        <v>39987.315405092595</v>
      </c>
      <c r="M2551" s="9" t="s">
        <v>19</v>
      </c>
      <c r="N2551" s="9" t="s">
        <v>20</v>
      </c>
      <c r="O2551" s="6" t="str">
        <f>HYPERLINK("https://pbs.twimg.com/profile_images/962471262747529216/Uo8lOkRJ_normal.jpg","View")</f>
        <v>View</v>
      </c>
      <c r="P2551" s="7"/>
    </row>
    <row r="2552" spans="1:16">
      <c r="A2552" s="3">
        <v>43884.871724537035</v>
      </c>
      <c r="B2552" s="4" t="str">
        <f>HYPERLINK("https://twitter.com/petrogustavo","@petrogustavo")</f>
        <v>@petrogustavo</v>
      </c>
      <c r="C2552" s="5" t="s">
        <v>16</v>
      </c>
      <c r="D2552" s="5" t="s">
        <v>2499</v>
      </c>
      <c r="E2552" s="6" t="str">
        <f>HYPERLINK("https://twitter.com/petrogustavo/status/1231600926382809089","1231600926382809089")</f>
        <v>1231600926382809089</v>
      </c>
      <c r="F2552" s="7" t="s">
        <v>17</v>
      </c>
      <c r="G2552" s="7">
        <v>3644801</v>
      </c>
      <c r="H2552" s="7">
        <v>2353</v>
      </c>
      <c r="I2552" s="7">
        <v>29</v>
      </c>
      <c r="J2552" s="7">
        <v>0</v>
      </c>
      <c r="K2552" s="7" t="s">
        <v>18</v>
      </c>
      <c r="L2552" s="8">
        <v>39987.315405092595</v>
      </c>
      <c r="M2552" s="9" t="s">
        <v>19</v>
      </c>
      <c r="N2552" s="9" t="s">
        <v>20</v>
      </c>
      <c r="O2552" s="6" t="str">
        <f>HYPERLINK("https://pbs.twimg.com/profile_images/962471262747529216/Uo8lOkRJ_normal.jpg","View")</f>
        <v>View</v>
      </c>
      <c r="P2552" s="7"/>
    </row>
    <row r="2553" spans="1:16">
      <c r="A2553" s="3">
        <v>43884.871898148151</v>
      </c>
      <c r="B2553" s="4" t="str">
        <f>HYPERLINK("https://twitter.com/petrogustavo","@petrogustavo")</f>
        <v>@petrogustavo</v>
      </c>
      <c r="C2553" s="5" t="s">
        <v>16</v>
      </c>
      <c r="D2553" s="5" t="s">
        <v>2500</v>
      </c>
      <c r="E2553" s="6" t="str">
        <f>HYPERLINK("https://twitter.com/petrogustavo/status/1231600987019923457","1231600987019923457")</f>
        <v>1231600987019923457</v>
      </c>
      <c r="F2553" s="7" t="s">
        <v>17</v>
      </c>
      <c r="G2553" s="7">
        <v>3644801</v>
      </c>
      <c r="H2553" s="7">
        <v>2353</v>
      </c>
      <c r="I2553" s="7">
        <v>904</v>
      </c>
      <c r="J2553" s="7">
        <v>0</v>
      </c>
      <c r="K2553" s="7" t="s">
        <v>18</v>
      </c>
      <c r="L2553" s="8">
        <v>39987.315405092595</v>
      </c>
      <c r="M2553" s="9" t="s">
        <v>19</v>
      </c>
      <c r="N2553" s="9" t="s">
        <v>20</v>
      </c>
      <c r="O2553" s="6" t="str">
        <f>HYPERLINK("https://pbs.twimg.com/profile_images/962471262747529216/Uo8lOkRJ_normal.jpg","View")</f>
        <v>View</v>
      </c>
      <c r="P2553" s="7"/>
    </row>
    <row r="2554" spans="1:16">
      <c r="A2554" s="3">
        <v>43884.875069444446</v>
      </c>
      <c r="B2554" s="4" t="str">
        <f>HYPERLINK("https://twitter.com/petrogustavo","@petrogustavo")</f>
        <v>@petrogustavo</v>
      </c>
      <c r="C2554" s="5" t="s">
        <v>16</v>
      </c>
      <c r="D2554" s="5" t="s">
        <v>2501</v>
      </c>
      <c r="E2554" s="6" t="str">
        <f>HYPERLINK("https://twitter.com/petrogustavo/status/1231602136401825792","1231602136401825792")</f>
        <v>1231602136401825792</v>
      </c>
      <c r="F2554" s="7" t="s">
        <v>17</v>
      </c>
      <c r="G2554" s="7">
        <v>3644801</v>
      </c>
      <c r="H2554" s="7">
        <v>2353</v>
      </c>
      <c r="I2554" s="7">
        <v>108</v>
      </c>
      <c r="J2554" s="7">
        <v>183</v>
      </c>
      <c r="K2554" s="7" t="s">
        <v>18</v>
      </c>
      <c r="L2554" s="8">
        <v>39987.315405092595</v>
      </c>
      <c r="M2554" s="9" t="s">
        <v>19</v>
      </c>
      <c r="N2554" s="9" t="s">
        <v>20</v>
      </c>
      <c r="O2554" s="6" t="str">
        <f>HYPERLINK("https://pbs.twimg.com/profile_images/962471262747529216/Uo8lOkRJ_normal.jpg","View")</f>
        <v>View</v>
      </c>
      <c r="P2554" s="7"/>
    </row>
    <row r="2555" spans="1:16">
      <c r="A2555" s="3">
        <v>43884.87572916667</v>
      </c>
      <c r="B2555" s="4" t="str">
        <f>HYPERLINK("https://twitter.com/petrogustavo","@petrogustavo")</f>
        <v>@petrogustavo</v>
      </c>
      <c r="C2555" s="5" t="s">
        <v>16</v>
      </c>
      <c r="D2555" s="5" t="s">
        <v>2502</v>
      </c>
      <c r="E2555" s="6" t="str">
        <f>HYPERLINK("https://twitter.com/petrogustavo/status/1231602376785702912","1231602376785702912")</f>
        <v>1231602376785702912</v>
      </c>
      <c r="F2555" s="7" t="s">
        <v>17</v>
      </c>
      <c r="G2555" s="7">
        <v>3644801</v>
      </c>
      <c r="H2555" s="7">
        <v>2353</v>
      </c>
      <c r="I2555" s="7">
        <v>7</v>
      </c>
      <c r="J2555" s="7">
        <v>0</v>
      </c>
      <c r="K2555" s="7" t="s">
        <v>18</v>
      </c>
      <c r="L2555" s="8">
        <v>39987.315405092595</v>
      </c>
      <c r="M2555" s="9" t="s">
        <v>19</v>
      </c>
      <c r="N2555" s="9" t="s">
        <v>20</v>
      </c>
      <c r="O2555" s="6" t="str">
        <f>HYPERLINK("https://pbs.twimg.com/profile_images/962471262747529216/Uo8lOkRJ_normal.jpg","View")</f>
        <v>View</v>
      </c>
      <c r="P2555" s="7"/>
    </row>
    <row r="2556" spans="1:16">
      <c r="A2556" s="3">
        <v>43884.877303240741</v>
      </c>
      <c r="B2556" s="4" t="str">
        <f>HYPERLINK("https://twitter.com/petrogustavo","@petrogustavo")</f>
        <v>@petrogustavo</v>
      </c>
      <c r="C2556" s="5" t="s">
        <v>16</v>
      </c>
      <c r="D2556" s="5" t="s">
        <v>2503</v>
      </c>
      <c r="E2556" s="6" t="str">
        <f>HYPERLINK("https://twitter.com/petrogustavo/status/1231602946615455744","1231602946615455744")</f>
        <v>1231602946615455744</v>
      </c>
      <c r="F2556" s="7" t="s">
        <v>17</v>
      </c>
      <c r="G2556" s="7">
        <v>3644801</v>
      </c>
      <c r="H2556" s="7">
        <v>2353</v>
      </c>
      <c r="I2556" s="7">
        <v>57</v>
      </c>
      <c r="J2556" s="7">
        <v>0</v>
      </c>
      <c r="K2556" s="7" t="s">
        <v>18</v>
      </c>
      <c r="L2556" s="8">
        <v>39987.315405092595</v>
      </c>
      <c r="M2556" s="9" t="s">
        <v>19</v>
      </c>
      <c r="N2556" s="9" t="s">
        <v>20</v>
      </c>
      <c r="O2556" s="6" t="str">
        <f>HYPERLINK("https://pbs.twimg.com/profile_images/962471262747529216/Uo8lOkRJ_normal.jpg","View")</f>
        <v>View</v>
      </c>
      <c r="P2556" s="7"/>
    </row>
    <row r="2557" spans="1:16">
      <c r="A2557" s="3">
        <v>43884.877581018518</v>
      </c>
      <c r="B2557" s="4" t="str">
        <f>HYPERLINK("https://twitter.com/petrogustavo","@petrogustavo")</f>
        <v>@petrogustavo</v>
      </c>
      <c r="C2557" s="5" t="s">
        <v>16</v>
      </c>
      <c r="D2557" s="5" t="s">
        <v>2504</v>
      </c>
      <c r="E2557" s="6" t="str">
        <f>HYPERLINK("https://twitter.com/petrogustavo/status/1231603049866649602","1231603049866649602")</f>
        <v>1231603049866649602</v>
      </c>
      <c r="F2557" s="7" t="s">
        <v>17</v>
      </c>
      <c r="G2557" s="7">
        <v>3644801</v>
      </c>
      <c r="H2557" s="7">
        <v>2353</v>
      </c>
      <c r="I2557" s="7">
        <v>69</v>
      </c>
      <c r="J2557" s="7">
        <v>0</v>
      </c>
      <c r="K2557" s="7" t="s">
        <v>18</v>
      </c>
      <c r="L2557" s="8">
        <v>39987.315405092595</v>
      </c>
      <c r="M2557" s="9" t="s">
        <v>19</v>
      </c>
      <c r="N2557" s="9" t="s">
        <v>20</v>
      </c>
      <c r="O2557" s="6" t="str">
        <f>HYPERLINK("https://pbs.twimg.com/profile_images/962471262747529216/Uo8lOkRJ_normal.jpg","View")</f>
        <v>View</v>
      </c>
      <c r="P2557" s="7"/>
    </row>
    <row r="2558" spans="1:16">
      <c r="A2558" s="3">
        <v>43884.87877314815</v>
      </c>
      <c r="B2558" s="4" t="str">
        <f>HYPERLINK("https://twitter.com/petrogustavo","@petrogustavo")</f>
        <v>@petrogustavo</v>
      </c>
      <c r="C2558" s="5" t="s">
        <v>16</v>
      </c>
      <c r="D2558" s="5" t="s">
        <v>2505</v>
      </c>
      <c r="E2558" s="6" t="str">
        <f>HYPERLINK("https://twitter.com/petrogustavo/status/1231603482404229120","1231603482404229120")</f>
        <v>1231603482404229120</v>
      </c>
      <c r="F2558" s="7" t="s">
        <v>17</v>
      </c>
      <c r="G2558" s="7">
        <v>3644801</v>
      </c>
      <c r="H2558" s="7">
        <v>2353</v>
      </c>
      <c r="I2558" s="7">
        <v>101</v>
      </c>
      <c r="J2558" s="7">
        <v>0</v>
      </c>
      <c r="K2558" s="7" t="s">
        <v>18</v>
      </c>
      <c r="L2558" s="8">
        <v>39987.315405092595</v>
      </c>
      <c r="M2558" s="9" t="s">
        <v>19</v>
      </c>
      <c r="N2558" s="9" t="s">
        <v>20</v>
      </c>
      <c r="O2558" s="6" t="str">
        <f>HYPERLINK("https://pbs.twimg.com/profile_images/962471262747529216/Uo8lOkRJ_normal.jpg","View")</f>
        <v>View</v>
      </c>
      <c r="P2558" s="7"/>
    </row>
    <row r="2559" spans="1:16">
      <c r="A2559" s="3">
        <v>43884.879108796296</v>
      </c>
      <c r="B2559" s="4" t="str">
        <f>HYPERLINK("https://twitter.com/petrogustavo","@petrogustavo")</f>
        <v>@petrogustavo</v>
      </c>
      <c r="C2559" s="5" t="s">
        <v>16</v>
      </c>
      <c r="D2559" s="5" t="s">
        <v>2506</v>
      </c>
      <c r="E2559" s="6" t="str">
        <f>HYPERLINK("https://twitter.com/petrogustavo/status/1231603601090457607","1231603601090457607")</f>
        <v>1231603601090457607</v>
      </c>
      <c r="F2559" s="7" t="s">
        <v>17</v>
      </c>
      <c r="G2559" s="7">
        <v>3644801</v>
      </c>
      <c r="H2559" s="7">
        <v>2353</v>
      </c>
      <c r="I2559" s="7">
        <v>42</v>
      </c>
      <c r="J2559" s="7">
        <v>0</v>
      </c>
      <c r="K2559" s="7" t="s">
        <v>18</v>
      </c>
      <c r="L2559" s="8">
        <v>39987.315405092595</v>
      </c>
      <c r="M2559" s="9" t="s">
        <v>19</v>
      </c>
      <c r="N2559" s="9" t="s">
        <v>20</v>
      </c>
      <c r="O2559" s="6" t="str">
        <f>HYPERLINK("https://pbs.twimg.com/profile_images/962471262747529216/Uo8lOkRJ_normal.jpg","View")</f>
        <v>View</v>
      </c>
      <c r="P2559" s="7"/>
    </row>
    <row r="2560" spans="1:16">
      <c r="A2560" s="3">
        <v>43884.879270833335</v>
      </c>
      <c r="B2560" s="4" t="str">
        <f>HYPERLINK("https://twitter.com/petrogustavo","@petrogustavo")</f>
        <v>@petrogustavo</v>
      </c>
      <c r="C2560" s="5" t="s">
        <v>16</v>
      </c>
      <c r="D2560" s="5" t="s">
        <v>2507</v>
      </c>
      <c r="E2560" s="6" t="str">
        <f>HYPERLINK("https://twitter.com/petrogustavo/status/1231603659169030144","1231603659169030144")</f>
        <v>1231603659169030144</v>
      </c>
      <c r="F2560" s="7" t="s">
        <v>17</v>
      </c>
      <c r="G2560" s="7">
        <v>3644801</v>
      </c>
      <c r="H2560" s="7">
        <v>2353</v>
      </c>
      <c r="I2560" s="7">
        <v>18</v>
      </c>
      <c r="J2560" s="7">
        <v>0</v>
      </c>
      <c r="K2560" s="7" t="s">
        <v>18</v>
      </c>
      <c r="L2560" s="8">
        <v>39987.315405092595</v>
      </c>
      <c r="M2560" s="9" t="s">
        <v>19</v>
      </c>
      <c r="N2560" s="9" t="s">
        <v>20</v>
      </c>
      <c r="O2560" s="6" t="str">
        <f>HYPERLINK("https://pbs.twimg.com/profile_images/962471262747529216/Uo8lOkRJ_normal.jpg","View")</f>
        <v>View</v>
      </c>
      <c r="P2560" s="7"/>
    </row>
    <row r="2561" spans="1:16">
      <c r="A2561" s="3">
        <v>43884.879745370374</v>
      </c>
      <c r="B2561" s="4" t="str">
        <f>HYPERLINK("https://twitter.com/petrogustavo","@petrogustavo")</f>
        <v>@petrogustavo</v>
      </c>
      <c r="C2561" s="5" t="s">
        <v>16</v>
      </c>
      <c r="D2561" s="5" t="s">
        <v>2508</v>
      </c>
      <c r="E2561" s="6" t="str">
        <f>HYPERLINK("https://twitter.com/petrogustavo/status/1231603834075729920","1231603834075729920")</f>
        <v>1231603834075729920</v>
      </c>
      <c r="F2561" s="7" t="s">
        <v>17</v>
      </c>
      <c r="G2561" s="7">
        <v>3644801</v>
      </c>
      <c r="H2561" s="7">
        <v>2353</v>
      </c>
      <c r="I2561" s="7">
        <v>361</v>
      </c>
      <c r="J2561" s="7">
        <v>0</v>
      </c>
      <c r="K2561" s="7" t="s">
        <v>18</v>
      </c>
      <c r="L2561" s="8">
        <v>39987.315405092595</v>
      </c>
      <c r="M2561" s="9" t="s">
        <v>19</v>
      </c>
      <c r="N2561" s="9" t="s">
        <v>20</v>
      </c>
      <c r="O2561" s="6" t="str">
        <f>HYPERLINK("https://pbs.twimg.com/profile_images/962471262747529216/Uo8lOkRJ_normal.jpg","View")</f>
        <v>View</v>
      </c>
      <c r="P2561" s="7"/>
    </row>
    <row r="2562" spans="1:16">
      <c r="A2562" s="3">
        <v>43884.880659722221</v>
      </c>
      <c r="B2562" s="4" t="str">
        <f>HYPERLINK("https://twitter.com/petrogustavo","@petrogustavo")</f>
        <v>@petrogustavo</v>
      </c>
      <c r="C2562" s="5" t="s">
        <v>16</v>
      </c>
      <c r="D2562" s="5" t="s">
        <v>2509</v>
      </c>
      <c r="E2562" s="6" t="str">
        <f>HYPERLINK("https://twitter.com/petrogustavo/status/1231604165169893376","1231604165169893376")</f>
        <v>1231604165169893376</v>
      </c>
      <c r="F2562" s="7" t="s">
        <v>17</v>
      </c>
      <c r="G2562" s="7">
        <v>3644801</v>
      </c>
      <c r="H2562" s="7">
        <v>2353</v>
      </c>
      <c r="I2562" s="7">
        <v>27</v>
      </c>
      <c r="J2562" s="7">
        <v>0</v>
      </c>
      <c r="K2562" s="7" t="s">
        <v>18</v>
      </c>
      <c r="L2562" s="8">
        <v>39987.315405092595</v>
      </c>
      <c r="M2562" s="9" t="s">
        <v>19</v>
      </c>
      <c r="N2562" s="9" t="s">
        <v>20</v>
      </c>
      <c r="O2562" s="6" t="str">
        <f>HYPERLINK("https://pbs.twimg.com/profile_images/962471262747529216/Uo8lOkRJ_normal.jpg","View")</f>
        <v>View</v>
      </c>
      <c r="P2562" s="7"/>
    </row>
    <row r="2563" spans="1:16">
      <c r="A2563" s="3">
        <v>43884.883888888886</v>
      </c>
      <c r="B2563" s="4" t="str">
        <f>HYPERLINK("https://twitter.com/petrogustavo","@petrogustavo")</f>
        <v>@petrogustavo</v>
      </c>
      <c r="C2563" s="5" t="s">
        <v>16</v>
      </c>
      <c r="D2563" s="5" t="s">
        <v>2510</v>
      </c>
      <c r="E2563" s="6" t="str">
        <f>HYPERLINK("https://twitter.com/petrogustavo/status/1231605334084550657","1231605334084550657")</f>
        <v>1231605334084550657</v>
      </c>
      <c r="F2563" s="7" t="s">
        <v>17</v>
      </c>
      <c r="G2563" s="7">
        <v>3644801</v>
      </c>
      <c r="H2563" s="7">
        <v>2353</v>
      </c>
      <c r="I2563" s="7">
        <v>29</v>
      </c>
      <c r="J2563" s="7">
        <v>81</v>
      </c>
      <c r="K2563" s="7" t="s">
        <v>18</v>
      </c>
      <c r="L2563" s="8">
        <v>39987.315405092595</v>
      </c>
      <c r="M2563" s="9" t="s">
        <v>19</v>
      </c>
      <c r="N2563" s="9" t="s">
        <v>20</v>
      </c>
      <c r="O2563" s="6" t="str">
        <f>HYPERLINK("https://pbs.twimg.com/profile_images/962471262747529216/Uo8lOkRJ_normal.jpg","View")</f>
        <v>View</v>
      </c>
      <c r="P2563" s="7"/>
    </row>
    <row r="2564" spans="1:16">
      <c r="A2564" s="3">
        <v>43884.884791666671</v>
      </c>
      <c r="B2564" s="4" t="str">
        <f>HYPERLINK("https://twitter.com/petrogustavo","@petrogustavo")</f>
        <v>@petrogustavo</v>
      </c>
      <c r="C2564" s="5" t="s">
        <v>16</v>
      </c>
      <c r="D2564" s="5" t="s">
        <v>2511</v>
      </c>
      <c r="E2564" s="6" t="str">
        <f>HYPERLINK("https://twitter.com/petrogustavo/status/1231605662209265668","1231605662209265668")</f>
        <v>1231605662209265668</v>
      </c>
      <c r="F2564" s="7" t="s">
        <v>17</v>
      </c>
      <c r="G2564" s="7">
        <v>3644801</v>
      </c>
      <c r="H2564" s="7">
        <v>2353</v>
      </c>
      <c r="I2564" s="7">
        <v>10</v>
      </c>
      <c r="J2564" s="7">
        <v>0</v>
      </c>
      <c r="K2564" s="7" t="s">
        <v>18</v>
      </c>
      <c r="L2564" s="8">
        <v>39987.315405092595</v>
      </c>
      <c r="M2564" s="9" t="s">
        <v>19</v>
      </c>
      <c r="N2564" s="9" t="s">
        <v>20</v>
      </c>
      <c r="O2564" s="6" t="str">
        <f>HYPERLINK("https://pbs.twimg.com/profile_images/962471262747529216/Uo8lOkRJ_normal.jpg","View")</f>
        <v>View</v>
      </c>
      <c r="P2564" s="7"/>
    </row>
    <row r="2565" spans="1:16">
      <c r="A2565" s="3">
        <v>43884.89163194444</v>
      </c>
      <c r="B2565" s="4" t="str">
        <f>HYPERLINK("https://twitter.com/petrogustavo","@petrogustavo")</f>
        <v>@petrogustavo</v>
      </c>
      <c r="C2565" s="5" t="s">
        <v>16</v>
      </c>
      <c r="D2565" s="5" t="s">
        <v>2512</v>
      </c>
      <c r="E2565" s="6" t="str">
        <f>HYPERLINK("https://twitter.com/petrogustavo/status/1231608138790514696","1231608138790514696")</f>
        <v>1231608138790514696</v>
      </c>
      <c r="F2565" s="7" t="s">
        <v>17</v>
      </c>
      <c r="G2565" s="7">
        <v>3644838</v>
      </c>
      <c r="H2565" s="7">
        <v>2353</v>
      </c>
      <c r="I2565" s="7">
        <v>48</v>
      </c>
      <c r="J2565" s="7">
        <v>168</v>
      </c>
      <c r="K2565" s="7" t="s">
        <v>18</v>
      </c>
      <c r="L2565" s="8">
        <v>39987.315405092595</v>
      </c>
      <c r="M2565" s="9" t="s">
        <v>19</v>
      </c>
      <c r="N2565" s="9" t="s">
        <v>20</v>
      </c>
      <c r="O2565" s="6" t="str">
        <f>HYPERLINK("https://pbs.twimg.com/profile_images/962471262747529216/Uo8lOkRJ_normal.jpg","View")</f>
        <v>View</v>
      </c>
      <c r="P2565" s="7"/>
    </row>
    <row r="2566" spans="1:16">
      <c r="A2566" s="3">
        <v>43884.894780092596</v>
      </c>
      <c r="B2566" s="4" t="str">
        <f>HYPERLINK("https://twitter.com/petrogustavo","@petrogustavo")</f>
        <v>@petrogustavo</v>
      </c>
      <c r="C2566" s="5" t="s">
        <v>16</v>
      </c>
      <c r="D2566" s="5" t="s">
        <v>2513</v>
      </c>
      <c r="E2566" s="6" t="str">
        <f>HYPERLINK("https://twitter.com/petrogustavo/status/1231609282791137280","1231609282791137280")</f>
        <v>1231609282791137280</v>
      </c>
      <c r="F2566" s="7" t="s">
        <v>17</v>
      </c>
      <c r="G2566" s="7">
        <v>3644838</v>
      </c>
      <c r="H2566" s="7">
        <v>2353</v>
      </c>
      <c r="I2566" s="7">
        <v>49</v>
      </c>
      <c r="J2566" s="7">
        <v>0</v>
      </c>
      <c r="K2566" s="7" t="s">
        <v>18</v>
      </c>
      <c r="L2566" s="8">
        <v>39987.315405092595</v>
      </c>
      <c r="M2566" s="9" t="s">
        <v>19</v>
      </c>
      <c r="N2566" s="9" t="s">
        <v>20</v>
      </c>
      <c r="O2566" s="6" t="str">
        <f>HYPERLINK("https://pbs.twimg.com/profile_images/962471262747529216/Uo8lOkRJ_normal.jpg","View")</f>
        <v>View</v>
      </c>
      <c r="P2566" s="7"/>
    </row>
    <row r="2567" spans="1:16">
      <c r="A2567" s="3">
        <v>43884.898900462962</v>
      </c>
      <c r="B2567" s="4" t="str">
        <f>HYPERLINK("https://twitter.com/petrogustavo","@petrogustavo")</f>
        <v>@petrogustavo</v>
      </c>
      <c r="C2567" s="5" t="s">
        <v>16</v>
      </c>
      <c r="D2567" s="5" t="s">
        <v>2514</v>
      </c>
      <c r="E2567" s="6" t="str">
        <f>HYPERLINK("https://twitter.com/petrogustavo/status/1231610774088540161","1231610774088540161")</f>
        <v>1231610774088540161</v>
      </c>
      <c r="F2567" s="7" t="s">
        <v>17</v>
      </c>
      <c r="G2567" s="7">
        <v>3644838</v>
      </c>
      <c r="H2567" s="7">
        <v>2353</v>
      </c>
      <c r="I2567" s="7">
        <v>391</v>
      </c>
      <c r="J2567" s="7">
        <v>0</v>
      </c>
      <c r="K2567" s="7" t="s">
        <v>18</v>
      </c>
      <c r="L2567" s="8">
        <v>39987.315405092595</v>
      </c>
      <c r="M2567" s="9" t="s">
        <v>19</v>
      </c>
      <c r="N2567" s="9" t="s">
        <v>20</v>
      </c>
      <c r="O2567" s="6" t="str">
        <f>HYPERLINK("https://pbs.twimg.com/profile_images/962471262747529216/Uo8lOkRJ_normal.jpg","View")</f>
        <v>View</v>
      </c>
      <c r="P2567" s="7"/>
    </row>
    <row r="2568" spans="1:16">
      <c r="A2568" s="3">
        <v>43884.904513888891</v>
      </c>
      <c r="B2568" s="4" t="str">
        <f>HYPERLINK("https://twitter.com/petrogustavo","@petrogustavo")</f>
        <v>@petrogustavo</v>
      </c>
      <c r="C2568" s="5" t="s">
        <v>16</v>
      </c>
      <c r="D2568" s="5" t="s">
        <v>2515</v>
      </c>
      <c r="E2568" s="6" t="str">
        <f>HYPERLINK("https://twitter.com/petrogustavo/status/1231612808820854785","1231612808820854785")</f>
        <v>1231612808820854785</v>
      </c>
      <c r="F2568" s="7" t="s">
        <v>17</v>
      </c>
      <c r="G2568" s="7">
        <v>3644838</v>
      </c>
      <c r="H2568" s="7">
        <v>2353</v>
      </c>
      <c r="I2568" s="7">
        <v>127</v>
      </c>
      <c r="J2568" s="7">
        <v>0</v>
      </c>
      <c r="K2568" s="7" t="s">
        <v>18</v>
      </c>
      <c r="L2568" s="8">
        <v>39987.315405092595</v>
      </c>
      <c r="M2568" s="9" t="s">
        <v>19</v>
      </c>
      <c r="N2568" s="9" t="s">
        <v>20</v>
      </c>
      <c r="O2568" s="6" t="str">
        <f>HYPERLINK("https://pbs.twimg.com/profile_images/962471262747529216/Uo8lOkRJ_normal.jpg","View")</f>
        <v>View</v>
      </c>
      <c r="P2568" s="7"/>
    </row>
    <row r="2569" spans="1:16">
      <c r="A2569" s="3">
        <v>43884.905717592592</v>
      </c>
      <c r="B2569" s="4" t="str">
        <f>HYPERLINK("https://twitter.com/petrogustavo","@petrogustavo")</f>
        <v>@petrogustavo</v>
      </c>
      <c r="C2569" s="5" t="s">
        <v>16</v>
      </c>
      <c r="D2569" s="5" t="s">
        <v>2516</v>
      </c>
      <c r="E2569" s="6" t="str">
        <f>HYPERLINK("https://twitter.com/petrogustavo/status/1231613244248330245","1231613244248330245")</f>
        <v>1231613244248330245</v>
      </c>
      <c r="F2569" s="7" t="s">
        <v>17</v>
      </c>
      <c r="G2569" s="7">
        <v>3644838</v>
      </c>
      <c r="H2569" s="7">
        <v>2353</v>
      </c>
      <c r="I2569" s="7">
        <v>1209</v>
      </c>
      <c r="J2569" s="7">
        <v>0</v>
      </c>
      <c r="K2569" s="7" t="s">
        <v>18</v>
      </c>
      <c r="L2569" s="8">
        <v>39987.315405092595</v>
      </c>
      <c r="M2569" s="9" t="s">
        <v>19</v>
      </c>
      <c r="N2569" s="9" t="s">
        <v>20</v>
      </c>
      <c r="O2569" s="6" t="str">
        <f>HYPERLINK("https://pbs.twimg.com/profile_images/962471262747529216/Uo8lOkRJ_normal.jpg","View")</f>
        <v>View</v>
      </c>
      <c r="P2569" s="7"/>
    </row>
    <row r="2570" spans="1:16">
      <c r="A2570" s="3">
        <v>43884.907824074078</v>
      </c>
      <c r="B2570" s="4" t="str">
        <f>HYPERLINK("https://twitter.com/petrogustavo","@petrogustavo")</f>
        <v>@petrogustavo</v>
      </c>
      <c r="C2570" s="5" t="s">
        <v>16</v>
      </c>
      <c r="D2570" s="5" t="s">
        <v>2517</v>
      </c>
      <c r="E2570" s="6" t="str">
        <f>HYPERLINK("https://twitter.com/petrogustavo/status/1231614006978392067","1231614006978392067")</f>
        <v>1231614006978392067</v>
      </c>
      <c r="F2570" s="7" t="s">
        <v>17</v>
      </c>
      <c r="G2570" s="7">
        <v>3644864</v>
      </c>
      <c r="H2570" s="7">
        <v>2353</v>
      </c>
      <c r="I2570" s="7">
        <v>383</v>
      </c>
      <c r="J2570" s="7">
        <v>0</v>
      </c>
      <c r="K2570" s="7" t="s">
        <v>18</v>
      </c>
      <c r="L2570" s="8">
        <v>39987.315405092595</v>
      </c>
      <c r="M2570" s="9" t="s">
        <v>19</v>
      </c>
      <c r="N2570" s="9" t="s">
        <v>20</v>
      </c>
      <c r="O2570" s="6" t="str">
        <f>HYPERLINK("https://pbs.twimg.com/profile_images/962471262747529216/Uo8lOkRJ_normal.jpg","View")</f>
        <v>View</v>
      </c>
      <c r="P2570" s="7"/>
    </row>
    <row r="2571" spans="1:16">
      <c r="A2571" s="3">
        <v>43884.908101851848</v>
      </c>
      <c r="B2571" s="4" t="str">
        <f>HYPERLINK("https://twitter.com/petrogustavo","@petrogustavo")</f>
        <v>@petrogustavo</v>
      </c>
      <c r="C2571" s="5" t="s">
        <v>16</v>
      </c>
      <c r="D2571" s="5" t="s">
        <v>2518</v>
      </c>
      <c r="E2571" s="6" t="str">
        <f>HYPERLINK("https://twitter.com/petrogustavo/status/1231614107599679490","1231614107599679490")</f>
        <v>1231614107599679490</v>
      </c>
      <c r="F2571" s="7" t="s">
        <v>17</v>
      </c>
      <c r="G2571" s="7">
        <v>3644864</v>
      </c>
      <c r="H2571" s="7">
        <v>2353</v>
      </c>
      <c r="I2571" s="7">
        <v>130</v>
      </c>
      <c r="J2571" s="7">
        <v>0</v>
      </c>
      <c r="K2571" s="7" t="s">
        <v>18</v>
      </c>
      <c r="L2571" s="8">
        <v>39987.315405092595</v>
      </c>
      <c r="M2571" s="9" t="s">
        <v>19</v>
      </c>
      <c r="N2571" s="9" t="s">
        <v>20</v>
      </c>
      <c r="O2571" s="6" t="str">
        <f>HYPERLINK("https://pbs.twimg.com/profile_images/962471262747529216/Uo8lOkRJ_normal.jpg","View")</f>
        <v>View</v>
      </c>
      <c r="P2571" s="7"/>
    </row>
    <row r="2572" spans="1:16">
      <c r="A2572" s="3">
        <v>43884.908668981487</v>
      </c>
      <c r="B2572" s="4" t="str">
        <f>HYPERLINK("https://twitter.com/petrogustavo","@petrogustavo")</f>
        <v>@petrogustavo</v>
      </c>
      <c r="C2572" s="5" t="s">
        <v>16</v>
      </c>
      <c r="D2572" s="5" t="s">
        <v>2519</v>
      </c>
      <c r="E2572" s="6" t="str">
        <f>HYPERLINK("https://twitter.com/petrogustavo/status/1231614314710257666","1231614314710257666")</f>
        <v>1231614314710257666</v>
      </c>
      <c r="F2572" s="7" t="s">
        <v>17</v>
      </c>
      <c r="G2572" s="7">
        <v>3644864</v>
      </c>
      <c r="H2572" s="7">
        <v>2353</v>
      </c>
      <c r="I2572" s="7">
        <v>154</v>
      </c>
      <c r="J2572" s="7">
        <v>0</v>
      </c>
      <c r="K2572" s="7" t="s">
        <v>18</v>
      </c>
      <c r="L2572" s="8">
        <v>39987.315405092595</v>
      </c>
      <c r="M2572" s="9" t="s">
        <v>19</v>
      </c>
      <c r="N2572" s="9" t="s">
        <v>20</v>
      </c>
      <c r="O2572" s="6" t="str">
        <f>HYPERLINK("https://pbs.twimg.com/profile_images/962471262747529216/Uo8lOkRJ_normal.jpg","View")</f>
        <v>View</v>
      </c>
      <c r="P2572" s="7"/>
    </row>
    <row r="2573" spans="1:16">
      <c r="A2573" s="3">
        <v>43884.909583333334</v>
      </c>
      <c r="B2573" s="4" t="str">
        <f>HYPERLINK("https://twitter.com/petrogustavo","@petrogustavo")</f>
        <v>@petrogustavo</v>
      </c>
      <c r="C2573" s="5" t="s">
        <v>16</v>
      </c>
      <c r="D2573" s="5" t="s">
        <v>2520</v>
      </c>
      <c r="E2573" s="6" t="str">
        <f>HYPERLINK("https://twitter.com/petrogustavo/status/1231614646253162502","1231614646253162502")</f>
        <v>1231614646253162502</v>
      </c>
      <c r="F2573" s="7" t="s">
        <v>17</v>
      </c>
      <c r="G2573" s="7">
        <v>3644864</v>
      </c>
      <c r="H2573" s="7">
        <v>2353</v>
      </c>
      <c r="I2573" s="7">
        <v>24</v>
      </c>
      <c r="J2573" s="7">
        <v>0</v>
      </c>
      <c r="K2573" s="7" t="s">
        <v>18</v>
      </c>
      <c r="L2573" s="8">
        <v>39987.315405092595</v>
      </c>
      <c r="M2573" s="9" t="s">
        <v>19</v>
      </c>
      <c r="N2573" s="9" t="s">
        <v>20</v>
      </c>
      <c r="O2573" s="6" t="str">
        <f>HYPERLINK("https://pbs.twimg.com/profile_images/962471262747529216/Uo8lOkRJ_normal.jpg","View")</f>
        <v>View</v>
      </c>
      <c r="P2573" s="7"/>
    </row>
    <row r="2574" spans="1:16">
      <c r="A2574" s="3">
        <v>43884.91128472222</v>
      </c>
      <c r="B2574" s="4" t="str">
        <f>HYPERLINK("https://twitter.com/petrogustavo","@petrogustavo")</f>
        <v>@petrogustavo</v>
      </c>
      <c r="C2574" s="5" t="s">
        <v>16</v>
      </c>
      <c r="D2574" s="5" t="s">
        <v>2521</v>
      </c>
      <c r="E2574" s="6" t="str">
        <f>HYPERLINK("https://twitter.com/petrogustavo/status/1231615262878785536","1231615262878785536")</f>
        <v>1231615262878785536</v>
      </c>
      <c r="F2574" s="7" t="s">
        <v>17</v>
      </c>
      <c r="G2574" s="7">
        <v>3644864</v>
      </c>
      <c r="H2574" s="7">
        <v>2353</v>
      </c>
      <c r="I2574" s="7">
        <v>92</v>
      </c>
      <c r="J2574" s="7">
        <v>370</v>
      </c>
      <c r="K2574" s="7" t="s">
        <v>18</v>
      </c>
      <c r="L2574" s="8">
        <v>39987.315405092595</v>
      </c>
      <c r="M2574" s="9" t="s">
        <v>19</v>
      </c>
      <c r="N2574" s="9" t="s">
        <v>20</v>
      </c>
      <c r="O2574" s="6" t="str">
        <f>HYPERLINK("https://pbs.twimg.com/profile_images/962471262747529216/Uo8lOkRJ_normal.jpg","View")</f>
        <v>View</v>
      </c>
      <c r="P2574" s="7"/>
    </row>
    <row r="2575" spans="1:16">
      <c r="A2575" s="3">
        <v>43884.914409722223</v>
      </c>
      <c r="B2575" s="4" t="str">
        <f>HYPERLINK("https://twitter.com/petrogustavo","@petrogustavo")</f>
        <v>@petrogustavo</v>
      </c>
      <c r="C2575" s="5" t="s">
        <v>16</v>
      </c>
      <c r="D2575" s="5" t="s">
        <v>2522</v>
      </c>
      <c r="E2575" s="6" t="str">
        <f>HYPERLINK("https://twitter.com/petrogustavo/status/1231616395768672256","1231616395768672256")</f>
        <v>1231616395768672256</v>
      </c>
      <c r="F2575" s="7" t="s">
        <v>17</v>
      </c>
      <c r="G2575" s="7">
        <v>3644864</v>
      </c>
      <c r="H2575" s="7">
        <v>2353</v>
      </c>
      <c r="I2575" s="7">
        <v>75</v>
      </c>
      <c r="J2575" s="7">
        <v>0</v>
      </c>
      <c r="K2575" s="7" t="s">
        <v>18</v>
      </c>
      <c r="L2575" s="8">
        <v>39987.315405092595</v>
      </c>
      <c r="M2575" s="9" t="s">
        <v>19</v>
      </c>
      <c r="N2575" s="9" t="s">
        <v>20</v>
      </c>
      <c r="O2575" s="6" t="str">
        <f>HYPERLINK("https://pbs.twimg.com/profile_images/962471262747529216/Uo8lOkRJ_normal.jpg","View")</f>
        <v>View</v>
      </c>
      <c r="P2575" s="7"/>
    </row>
    <row r="2576" spans="1:16">
      <c r="A2576" s="3">
        <v>43884.916805555556</v>
      </c>
      <c r="B2576" s="4" t="str">
        <f>HYPERLINK("https://twitter.com/petrogustavo","@petrogustavo")</f>
        <v>@petrogustavo</v>
      </c>
      <c r="C2576" s="5" t="s">
        <v>16</v>
      </c>
      <c r="D2576" s="5" t="s">
        <v>2523</v>
      </c>
      <c r="E2576" s="6" t="str">
        <f>HYPERLINK("https://twitter.com/petrogustavo/status/1231617264253841409","1231617264253841409")</f>
        <v>1231617264253841409</v>
      </c>
      <c r="F2576" s="7" t="s">
        <v>17</v>
      </c>
      <c r="G2576" s="7">
        <v>3644864</v>
      </c>
      <c r="H2576" s="7">
        <v>2353</v>
      </c>
      <c r="I2576" s="7">
        <v>135</v>
      </c>
      <c r="J2576" s="7">
        <v>450</v>
      </c>
      <c r="K2576" s="7" t="s">
        <v>18</v>
      </c>
      <c r="L2576" s="8">
        <v>39987.315405092595</v>
      </c>
      <c r="M2576" s="9" t="s">
        <v>19</v>
      </c>
      <c r="N2576" s="9" t="s">
        <v>20</v>
      </c>
      <c r="O2576" s="6" t="str">
        <f>HYPERLINK("https://pbs.twimg.com/profile_images/962471262747529216/Uo8lOkRJ_normal.jpg","View")</f>
        <v>View</v>
      </c>
      <c r="P2576" s="7"/>
    </row>
    <row r="2577" spans="1:16">
      <c r="A2577" s="3">
        <v>43884.924479166672</v>
      </c>
      <c r="B2577" s="4" t="str">
        <f>HYPERLINK("https://twitter.com/petrogustavo","@petrogustavo")</f>
        <v>@petrogustavo</v>
      </c>
      <c r="C2577" s="5" t="s">
        <v>16</v>
      </c>
      <c r="D2577" s="5" t="s">
        <v>2524</v>
      </c>
      <c r="E2577" s="6" t="str">
        <f>HYPERLINK("https://twitter.com/petrogustavo/status/1231620042925707265","1231620042925707265")</f>
        <v>1231620042925707265</v>
      </c>
      <c r="F2577" s="7" t="s">
        <v>17</v>
      </c>
      <c r="G2577" s="7">
        <v>3644864</v>
      </c>
      <c r="H2577" s="7">
        <v>2353</v>
      </c>
      <c r="I2577" s="7">
        <v>78</v>
      </c>
      <c r="J2577" s="7">
        <v>196</v>
      </c>
      <c r="K2577" s="7" t="s">
        <v>18</v>
      </c>
      <c r="L2577" s="8">
        <v>39987.315405092595</v>
      </c>
      <c r="M2577" s="9" t="s">
        <v>19</v>
      </c>
      <c r="N2577" s="9" t="s">
        <v>20</v>
      </c>
      <c r="O2577" s="6" t="str">
        <f>HYPERLINK("https://pbs.twimg.com/profile_images/962471262747529216/Uo8lOkRJ_normal.jpg","View")</f>
        <v>View</v>
      </c>
      <c r="P2577" s="7"/>
    </row>
    <row r="2578" spans="1:16">
      <c r="A2578" s="3">
        <v>43884.932280092587</v>
      </c>
      <c r="B2578" s="4" t="str">
        <f>HYPERLINK("https://twitter.com/petrogustavo","@petrogustavo")</f>
        <v>@petrogustavo</v>
      </c>
      <c r="C2578" s="5" t="s">
        <v>16</v>
      </c>
      <c r="D2578" s="5" t="s">
        <v>2525</v>
      </c>
      <c r="E2578" s="6" t="str">
        <f>HYPERLINK("https://twitter.com/petrogustavo/status/1231622870968786944","1231622870968786944")</f>
        <v>1231622870968786944</v>
      </c>
      <c r="F2578" s="7" t="s">
        <v>17</v>
      </c>
      <c r="G2578" s="7">
        <v>3644881</v>
      </c>
      <c r="H2578" s="7">
        <v>2353</v>
      </c>
      <c r="I2578" s="7">
        <v>79</v>
      </c>
      <c r="J2578" s="7">
        <v>170</v>
      </c>
      <c r="K2578" s="7" t="s">
        <v>18</v>
      </c>
      <c r="L2578" s="8">
        <v>39987.315405092595</v>
      </c>
      <c r="M2578" s="9" t="s">
        <v>19</v>
      </c>
      <c r="N2578" s="9" t="s">
        <v>20</v>
      </c>
      <c r="O2578" s="6" t="str">
        <f>HYPERLINK("https://pbs.twimg.com/profile_images/962471262747529216/Uo8lOkRJ_normal.jpg","View")</f>
        <v>View</v>
      </c>
      <c r="P2578" s="7"/>
    </row>
    <row r="2579" spans="1:16">
      <c r="A2579" s="3">
        <v>43884.935601851852</v>
      </c>
      <c r="B2579" s="4" t="str">
        <f>HYPERLINK("https://twitter.com/petrogustavo","@petrogustavo")</f>
        <v>@petrogustavo</v>
      </c>
      <c r="C2579" s="5" t="s">
        <v>16</v>
      </c>
      <c r="D2579" s="5" t="s">
        <v>2526</v>
      </c>
      <c r="E2579" s="6" t="str">
        <f>HYPERLINK("https://twitter.com/petrogustavo/status/1231624075598073856","1231624075598073856")</f>
        <v>1231624075598073856</v>
      </c>
      <c r="F2579" s="7" t="s">
        <v>17</v>
      </c>
      <c r="G2579" s="7">
        <v>3644881</v>
      </c>
      <c r="H2579" s="7">
        <v>2353</v>
      </c>
      <c r="I2579" s="7">
        <v>41</v>
      </c>
      <c r="J2579" s="7">
        <v>145</v>
      </c>
      <c r="K2579" s="7" t="s">
        <v>18</v>
      </c>
      <c r="L2579" s="8">
        <v>39987.315405092595</v>
      </c>
      <c r="M2579" s="9" t="s">
        <v>19</v>
      </c>
      <c r="N2579" s="9" t="s">
        <v>20</v>
      </c>
      <c r="O2579" s="6" t="str">
        <f>HYPERLINK("https://pbs.twimg.com/profile_images/962471262747529216/Uo8lOkRJ_normal.jpg","View")</f>
        <v>View</v>
      </c>
      <c r="P2579" s="7"/>
    </row>
    <row r="2580" spans="1:16">
      <c r="A2580" s="3">
        <v>43884.938726851848</v>
      </c>
      <c r="B2580" s="4" t="str">
        <f>HYPERLINK("https://twitter.com/petrogustavo","@petrogustavo")</f>
        <v>@petrogustavo</v>
      </c>
      <c r="C2580" s="5" t="s">
        <v>16</v>
      </c>
      <c r="D2580" s="5" t="s">
        <v>2527</v>
      </c>
      <c r="E2580" s="6" t="str">
        <f>HYPERLINK("https://twitter.com/petrogustavo/status/1231625205451251715","1231625205451251715")</f>
        <v>1231625205451251715</v>
      </c>
      <c r="F2580" s="7" t="s">
        <v>17</v>
      </c>
      <c r="G2580" s="7">
        <v>3644881</v>
      </c>
      <c r="H2580" s="7">
        <v>2353</v>
      </c>
      <c r="I2580" s="7">
        <v>117</v>
      </c>
      <c r="J2580" s="7">
        <v>308</v>
      </c>
      <c r="K2580" s="7" t="s">
        <v>18</v>
      </c>
      <c r="L2580" s="8">
        <v>39987.315405092595</v>
      </c>
      <c r="M2580" s="9" t="s">
        <v>19</v>
      </c>
      <c r="N2580" s="9" t="s">
        <v>20</v>
      </c>
      <c r="O2580" s="6" t="str">
        <f>HYPERLINK("https://pbs.twimg.com/profile_images/962471262747529216/Uo8lOkRJ_normal.jpg","View")</f>
        <v>View</v>
      </c>
      <c r="P2580" s="7"/>
    </row>
    <row r="2581" spans="1:16">
      <c r="A2581" s="3">
        <v>43884.940358796295</v>
      </c>
      <c r="B2581" s="4" t="str">
        <f>HYPERLINK("https://twitter.com/petrogustavo","@petrogustavo")</f>
        <v>@petrogustavo</v>
      </c>
      <c r="C2581" s="5" t="s">
        <v>16</v>
      </c>
      <c r="D2581" s="5" t="s">
        <v>2528</v>
      </c>
      <c r="E2581" s="6" t="str">
        <f>HYPERLINK("https://twitter.com/petrogustavo/status/1231625798513283073","1231625798513283073")</f>
        <v>1231625798513283073</v>
      </c>
      <c r="F2581" s="7" t="s">
        <v>17</v>
      </c>
      <c r="G2581" s="7">
        <v>3644881</v>
      </c>
      <c r="H2581" s="7">
        <v>2353</v>
      </c>
      <c r="I2581" s="7">
        <v>31</v>
      </c>
      <c r="J2581" s="7">
        <v>75</v>
      </c>
      <c r="K2581" s="7" t="s">
        <v>18</v>
      </c>
      <c r="L2581" s="8">
        <v>39987.315405092595</v>
      </c>
      <c r="M2581" s="9" t="s">
        <v>19</v>
      </c>
      <c r="N2581" s="9" t="s">
        <v>20</v>
      </c>
      <c r="O2581" s="6" t="str">
        <f>HYPERLINK("https://pbs.twimg.com/profile_images/962471262747529216/Uo8lOkRJ_normal.jpg","View")</f>
        <v>View</v>
      </c>
      <c r="P2581" s="7"/>
    </row>
    <row r="2582" spans="1:16">
      <c r="A2582" s="3">
        <v>43884.941550925927</v>
      </c>
      <c r="B2582" s="4" t="str">
        <f>HYPERLINK("https://twitter.com/petrogustavo","@petrogustavo")</f>
        <v>@petrogustavo</v>
      </c>
      <c r="C2582" s="5" t="s">
        <v>16</v>
      </c>
      <c r="D2582" s="5" t="s">
        <v>2529</v>
      </c>
      <c r="E2582" s="6" t="str">
        <f>HYPERLINK("https://twitter.com/petrogustavo/status/1231626230694367232","1231626230694367232")</f>
        <v>1231626230694367232</v>
      </c>
      <c r="F2582" s="7" t="s">
        <v>17</v>
      </c>
      <c r="G2582" s="7">
        <v>3644881</v>
      </c>
      <c r="H2582" s="7">
        <v>2353</v>
      </c>
      <c r="I2582" s="7">
        <v>33</v>
      </c>
      <c r="J2582" s="7">
        <v>118</v>
      </c>
      <c r="K2582" s="7" t="s">
        <v>18</v>
      </c>
      <c r="L2582" s="8">
        <v>39987.315405092595</v>
      </c>
      <c r="M2582" s="9" t="s">
        <v>19</v>
      </c>
      <c r="N2582" s="9" t="s">
        <v>20</v>
      </c>
      <c r="O2582" s="6" t="str">
        <f>HYPERLINK("https://pbs.twimg.com/profile_images/962471262747529216/Uo8lOkRJ_normal.jpg","View")</f>
        <v>View</v>
      </c>
      <c r="P2582" s="7"/>
    </row>
    <row r="2583" spans="1:16">
      <c r="A2583" s="3">
        <v>43884.990497685183</v>
      </c>
      <c r="B2583" s="4" t="str">
        <f>HYPERLINK("https://twitter.com/petrogustavo","@petrogustavo")</f>
        <v>@petrogustavo</v>
      </c>
      <c r="C2583" s="5" t="s">
        <v>16</v>
      </c>
      <c r="D2583" s="5" t="s">
        <v>2530</v>
      </c>
      <c r="E2583" s="6" t="str">
        <f>HYPERLINK("https://twitter.com/petrogustavo/status/1231643968255021056","1231643968255021056")</f>
        <v>1231643968255021056</v>
      </c>
      <c r="F2583" s="7" t="s">
        <v>17</v>
      </c>
      <c r="G2583" s="7">
        <v>3644931</v>
      </c>
      <c r="H2583" s="7">
        <v>2353</v>
      </c>
      <c r="I2583" s="7">
        <v>708</v>
      </c>
      <c r="J2583" s="7">
        <v>0</v>
      </c>
      <c r="K2583" s="7" t="s">
        <v>18</v>
      </c>
      <c r="L2583" s="8">
        <v>39987.315405092595</v>
      </c>
      <c r="M2583" s="9" t="s">
        <v>19</v>
      </c>
      <c r="N2583" s="9" t="s">
        <v>20</v>
      </c>
      <c r="O2583" s="6" t="str">
        <f>HYPERLINK("https://pbs.twimg.com/profile_images/962471262747529216/Uo8lOkRJ_normal.jpg","View")</f>
        <v>View</v>
      </c>
      <c r="P2583" s="7"/>
    </row>
    <row r="2584" spans="1:16">
      <c r="A2584" s="3">
        <v>43884.992951388893</v>
      </c>
      <c r="B2584" s="4" t="str">
        <f>HYPERLINK("https://twitter.com/petrogustavo","@petrogustavo")</f>
        <v>@petrogustavo</v>
      </c>
      <c r="C2584" s="5" t="s">
        <v>16</v>
      </c>
      <c r="D2584" s="5" t="s">
        <v>2531</v>
      </c>
      <c r="E2584" s="6" t="str">
        <f>HYPERLINK("https://twitter.com/petrogustavo/status/1231644858756059141","1231644858756059141")</f>
        <v>1231644858756059141</v>
      </c>
      <c r="F2584" s="7" t="s">
        <v>17</v>
      </c>
      <c r="G2584" s="7">
        <v>3644954</v>
      </c>
      <c r="H2584" s="7">
        <v>2353</v>
      </c>
      <c r="I2584" s="7">
        <v>50</v>
      </c>
      <c r="J2584" s="7">
        <v>105</v>
      </c>
      <c r="K2584" s="7" t="s">
        <v>18</v>
      </c>
      <c r="L2584" s="8">
        <v>39987.315405092595</v>
      </c>
      <c r="M2584" s="9" t="s">
        <v>19</v>
      </c>
      <c r="N2584" s="9" t="s">
        <v>20</v>
      </c>
      <c r="O2584" s="6" t="str">
        <f>HYPERLINK("https://pbs.twimg.com/profile_images/962471262747529216/Uo8lOkRJ_normal.jpg","View")</f>
        <v>View</v>
      </c>
      <c r="P2584" s="7"/>
    </row>
    <row r="2585" spans="1:16">
      <c r="A2585" s="3">
        <v>43884.996053240742</v>
      </c>
      <c r="B2585" s="4" t="str">
        <f>HYPERLINK("https://twitter.com/petrogustavo","@petrogustavo")</f>
        <v>@petrogustavo</v>
      </c>
      <c r="C2585" s="5" t="s">
        <v>16</v>
      </c>
      <c r="D2585" s="5" t="s">
        <v>2532</v>
      </c>
      <c r="E2585" s="6" t="str">
        <f>HYPERLINK("https://twitter.com/petrogustavo/status/1231645983399989248","1231645983399989248")</f>
        <v>1231645983399989248</v>
      </c>
      <c r="F2585" s="7" t="s">
        <v>17</v>
      </c>
      <c r="G2585" s="7">
        <v>3644954</v>
      </c>
      <c r="H2585" s="7">
        <v>2353</v>
      </c>
      <c r="I2585" s="7">
        <v>71</v>
      </c>
      <c r="J2585" s="7">
        <v>138</v>
      </c>
      <c r="K2585" s="7" t="s">
        <v>18</v>
      </c>
      <c r="L2585" s="8">
        <v>39987.315405092595</v>
      </c>
      <c r="M2585" s="9" t="s">
        <v>19</v>
      </c>
      <c r="N2585" s="9" t="s">
        <v>20</v>
      </c>
      <c r="O2585" s="6" t="str">
        <f>HYPERLINK("https://pbs.twimg.com/profile_images/962471262747529216/Uo8lOkRJ_normal.jpg","View")</f>
        <v>View</v>
      </c>
      <c r="P2585" s="7"/>
    </row>
    <row r="2586" spans="1:16">
      <c r="A2586" s="3">
        <v>43884.997129629628</v>
      </c>
      <c r="B2586" s="4" t="str">
        <f>HYPERLINK("https://twitter.com/petrogustavo","@petrogustavo")</f>
        <v>@petrogustavo</v>
      </c>
      <c r="C2586" s="5" t="s">
        <v>16</v>
      </c>
      <c r="D2586" s="5" t="s">
        <v>2533</v>
      </c>
      <c r="E2586" s="6" t="str">
        <f>HYPERLINK("https://twitter.com/petrogustavo/status/1231646372828532736","1231646372828532736")</f>
        <v>1231646372828532736</v>
      </c>
      <c r="F2586" s="7" t="s">
        <v>17</v>
      </c>
      <c r="G2586" s="7">
        <v>3644954</v>
      </c>
      <c r="H2586" s="7">
        <v>2353</v>
      </c>
      <c r="I2586" s="7">
        <v>3128</v>
      </c>
      <c r="J2586" s="7">
        <v>0</v>
      </c>
      <c r="K2586" s="7" t="s">
        <v>18</v>
      </c>
      <c r="L2586" s="8">
        <v>39987.315405092595</v>
      </c>
      <c r="M2586" s="9" t="s">
        <v>19</v>
      </c>
      <c r="N2586" s="9" t="s">
        <v>20</v>
      </c>
      <c r="O2586" s="6" t="str">
        <f>HYPERLINK("https://pbs.twimg.com/profile_images/962471262747529216/Uo8lOkRJ_normal.jpg","View")</f>
        <v>View</v>
      </c>
      <c r="P2586" s="7"/>
    </row>
    <row r="2587" spans="1:16">
      <c r="A2587" s="3">
        <v>43884.998402777783</v>
      </c>
      <c r="B2587" s="4" t="str">
        <f>HYPERLINK("https://twitter.com/petrogustavo","@petrogustavo")</f>
        <v>@petrogustavo</v>
      </c>
      <c r="C2587" s="5" t="s">
        <v>16</v>
      </c>
      <c r="D2587" s="5" t="s">
        <v>2534</v>
      </c>
      <c r="E2587" s="6" t="str">
        <f>HYPERLINK("https://twitter.com/petrogustavo/status/1231646834776514560","1231646834776514560")</f>
        <v>1231646834776514560</v>
      </c>
      <c r="F2587" s="7" t="s">
        <v>17</v>
      </c>
      <c r="G2587" s="7">
        <v>3644954</v>
      </c>
      <c r="H2587" s="7">
        <v>2353</v>
      </c>
      <c r="I2587" s="7">
        <v>84</v>
      </c>
      <c r="J2587" s="7">
        <v>171</v>
      </c>
      <c r="K2587" s="7" t="s">
        <v>18</v>
      </c>
      <c r="L2587" s="8">
        <v>39987.315405092595</v>
      </c>
      <c r="M2587" s="9" t="s">
        <v>19</v>
      </c>
      <c r="N2587" s="9" t="s">
        <v>20</v>
      </c>
      <c r="O2587" s="6" t="str">
        <f>HYPERLINK("https://pbs.twimg.com/profile_images/962471262747529216/Uo8lOkRJ_normal.jpg","View")</f>
        <v>View</v>
      </c>
      <c r="P2587" s="7"/>
    </row>
    <row r="2588" spans="1:16">
      <c r="A2588" s="3">
        <v>43885.000057870369</v>
      </c>
      <c r="B2588" s="4" t="str">
        <f>HYPERLINK("https://twitter.com/petrogustavo","@petrogustavo")</f>
        <v>@petrogustavo</v>
      </c>
      <c r="C2588" s="5" t="s">
        <v>16</v>
      </c>
      <c r="D2588" s="5" t="s">
        <v>2535</v>
      </c>
      <c r="E2588" s="6" t="str">
        <f>HYPERLINK("https://twitter.com/petrogustavo/status/1231647434578722816","1231647434578722816")</f>
        <v>1231647434578722816</v>
      </c>
      <c r="F2588" s="7" t="s">
        <v>17</v>
      </c>
      <c r="G2588" s="7">
        <v>3644954</v>
      </c>
      <c r="H2588" s="7">
        <v>2353</v>
      </c>
      <c r="I2588" s="7">
        <v>34</v>
      </c>
      <c r="J2588" s="7">
        <v>0</v>
      </c>
      <c r="K2588" s="7" t="s">
        <v>18</v>
      </c>
      <c r="L2588" s="8">
        <v>39987.315405092595</v>
      </c>
      <c r="M2588" s="9" t="s">
        <v>19</v>
      </c>
      <c r="N2588" s="9" t="s">
        <v>20</v>
      </c>
      <c r="O2588" s="6" t="str">
        <f>HYPERLINK("https://pbs.twimg.com/profile_images/962471262747529216/Uo8lOkRJ_normal.jpg","View")</f>
        <v>View</v>
      </c>
      <c r="P2588" s="7"/>
    </row>
    <row r="2589" spans="1:16">
      <c r="A2589" s="3">
        <v>43885.017824074079</v>
      </c>
      <c r="B2589" s="4" t="str">
        <f>HYPERLINK("https://twitter.com/petrogustavo","@petrogustavo")</f>
        <v>@petrogustavo</v>
      </c>
      <c r="C2589" s="5" t="s">
        <v>16</v>
      </c>
      <c r="D2589" s="5" t="s">
        <v>2536</v>
      </c>
      <c r="E2589" s="6" t="str">
        <f>HYPERLINK("https://twitter.com/petrogustavo/status/1231653872336326657","1231653872336326657")</f>
        <v>1231653872336326657</v>
      </c>
      <c r="F2589" s="7" t="s">
        <v>17</v>
      </c>
      <c r="G2589" s="7">
        <v>3644982</v>
      </c>
      <c r="H2589" s="7">
        <v>2353</v>
      </c>
      <c r="I2589" s="7">
        <v>107</v>
      </c>
      <c r="J2589" s="7">
        <v>204</v>
      </c>
      <c r="K2589" s="7" t="s">
        <v>18</v>
      </c>
      <c r="L2589" s="8">
        <v>39987.315405092595</v>
      </c>
      <c r="M2589" s="9" t="s">
        <v>19</v>
      </c>
      <c r="N2589" s="9" t="s">
        <v>20</v>
      </c>
      <c r="O2589" s="6" t="str">
        <f>HYPERLINK("https://pbs.twimg.com/profile_images/962471262747529216/Uo8lOkRJ_normal.jpg","View")</f>
        <v>View</v>
      </c>
      <c r="P2589" s="7"/>
    </row>
    <row r="2590" spans="1:16">
      <c r="A2590" s="3">
        <v>43885.021840277783</v>
      </c>
      <c r="B2590" s="4" t="str">
        <f>HYPERLINK("https://twitter.com/petrogustavo","@petrogustavo")</f>
        <v>@petrogustavo</v>
      </c>
      <c r="C2590" s="5" t="s">
        <v>16</v>
      </c>
      <c r="D2590" s="5" t="s">
        <v>2537</v>
      </c>
      <c r="E2590" s="6" t="str">
        <f>HYPERLINK("https://twitter.com/petrogustavo/status/1231655327214559233","1231655327214559233")</f>
        <v>1231655327214559233</v>
      </c>
      <c r="F2590" s="7" t="s">
        <v>17</v>
      </c>
      <c r="G2590" s="7">
        <v>3644982</v>
      </c>
      <c r="H2590" s="7">
        <v>2353</v>
      </c>
      <c r="I2590" s="7">
        <v>21</v>
      </c>
      <c r="J2590" s="7">
        <v>0</v>
      </c>
      <c r="K2590" s="7" t="s">
        <v>18</v>
      </c>
      <c r="L2590" s="8">
        <v>39987.315405092595</v>
      </c>
      <c r="M2590" s="9" t="s">
        <v>19</v>
      </c>
      <c r="N2590" s="9" t="s">
        <v>20</v>
      </c>
      <c r="O2590" s="6" t="str">
        <f>HYPERLINK("https://pbs.twimg.com/profile_images/962471262747529216/Uo8lOkRJ_normal.jpg","View")</f>
        <v>View</v>
      </c>
      <c r="P2590" s="7"/>
    </row>
    <row r="2591" spans="1:16">
      <c r="A2591" s="3">
        <v>43885.023414351846</v>
      </c>
      <c r="B2591" s="4" t="str">
        <f>HYPERLINK("https://twitter.com/petrogustavo","@petrogustavo")</f>
        <v>@petrogustavo</v>
      </c>
      <c r="C2591" s="5" t="s">
        <v>16</v>
      </c>
      <c r="D2591" s="5" t="s">
        <v>2538</v>
      </c>
      <c r="E2591" s="6" t="str">
        <f>HYPERLINK("https://twitter.com/petrogustavo/status/1231655896096419841","1231655896096419841")</f>
        <v>1231655896096419841</v>
      </c>
      <c r="F2591" s="7" t="s">
        <v>17</v>
      </c>
      <c r="G2591" s="7">
        <v>3644982</v>
      </c>
      <c r="H2591" s="7">
        <v>2353</v>
      </c>
      <c r="I2591" s="7">
        <v>193</v>
      </c>
      <c r="J2591" s="7">
        <v>0</v>
      </c>
      <c r="K2591" s="7" t="s">
        <v>18</v>
      </c>
      <c r="L2591" s="8">
        <v>39987.315405092595</v>
      </c>
      <c r="M2591" s="9" t="s">
        <v>19</v>
      </c>
      <c r="N2591" s="9" t="s">
        <v>20</v>
      </c>
      <c r="O2591" s="6" t="str">
        <f>HYPERLINK("https://pbs.twimg.com/profile_images/962471262747529216/Uo8lOkRJ_normal.jpg","View")</f>
        <v>View</v>
      </c>
      <c r="P2591" s="7"/>
    </row>
    <row r="2592" spans="1:16">
      <c r="A2592" s="3">
        <v>43885.023888888885</v>
      </c>
      <c r="B2592" s="4" t="str">
        <f>HYPERLINK("https://twitter.com/petrogustavo","@petrogustavo")</f>
        <v>@petrogustavo</v>
      </c>
      <c r="C2592" s="5" t="s">
        <v>16</v>
      </c>
      <c r="D2592" s="5" t="s">
        <v>2539</v>
      </c>
      <c r="E2592" s="6" t="str">
        <f>HYPERLINK("https://twitter.com/petrogustavo/status/1231656067014254592","1231656067014254592")</f>
        <v>1231656067014254592</v>
      </c>
      <c r="F2592" s="7" t="s">
        <v>17</v>
      </c>
      <c r="G2592" s="7">
        <v>3644982</v>
      </c>
      <c r="H2592" s="7">
        <v>2353</v>
      </c>
      <c r="I2592" s="7">
        <v>74</v>
      </c>
      <c r="J2592" s="7">
        <v>0</v>
      </c>
      <c r="K2592" s="7" t="s">
        <v>18</v>
      </c>
      <c r="L2592" s="8">
        <v>39987.315405092595</v>
      </c>
      <c r="M2592" s="9" t="s">
        <v>19</v>
      </c>
      <c r="N2592" s="9" t="s">
        <v>20</v>
      </c>
      <c r="O2592" s="6" t="str">
        <f>HYPERLINK("https://pbs.twimg.com/profile_images/962471262747529216/Uo8lOkRJ_normal.jpg","View")</f>
        <v>View</v>
      </c>
      <c r="P2592" s="7"/>
    </row>
    <row r="2593" spans="1:16">
      <c r="A2593" s="3">
        <v>43885.024907407409</v>
      </c>
      <c r="B2593" s="4" t="str">
        <f>HYPERLINK("https://twitter.com/petrogustavo","@petrogustavo")</f>
        <v>@petrogustavo</v>
      </c>
      <c r="C2593" s="5" t="s">
        <v>16</v>
      </c>
      <c r="D2593" s="5" t="s">
        <v>2540</v>
      </c>
      <c r="E2593" s="6" t="str">
        <f>HYPERLINK("https://twitter.com/petrogustavo/status/1231656435873918981","1231656435873918981")</f>
        <v>1231656435873918981</v>
      </c>
      <c r="F2593" s="7" t="s">
        <v>17</v>
      </c>
      <c r="G2593" s="7">
        <v>3644982</v>
      </c>
      <c r="H2593" s="7">
        <v>2353</v>
      </c>
      <c r="I2593" s="7">
        <v>57</v>
      </c>
      <c r="J2593" s="7">
        <v>0</v>
      </c>
      <c r="K2593" s="7" t="s">
        <v>18</v>
      </c>
      <c r="L2593" s="8">
        <v>39987.315405092595</v>
      </c>
      <c r="M2593" s="9" t="s">
        <v>19</v>
      </c>
      <c r="N2593" s="9" t="s">
        <v>20</v>
      </c>
      <c r="O2593" s="6" t="str">
        <f>HYPERLINK("https://pbs.twimg.com/profile_images/962471262747529216/Uo8lOkRJ_normal.jpg","View")</f>
        <v>View</v>
      </c>
      <c r="P2593" s="7"/>
    </row>
    <row r="2594" spans="1:16">
      <c r="A2594" s="3">
        <v>43885.025312500002</v>
      </c>
      <c r="B2594" s="4" t="str">
        <f>HYPERLINK("https://twitter.com/petrogustavo","@petrogustavo")</f>
        <v>@petrogustavo</v>
      </c>
      <c r="C2594" s="5" t="s">
        <v>16</v>
      </c>
      <c r="D2594" s="5" t="s">
        <v>2541</v>
      </c>
      <c r="E2594" s="6" t="str">
        <f>HYPERLINK("https://twitter.com/petrogustavo/status/1231656585560305667","1231656585560305667")</f>
        <v>1231656585560305667</v>
      </c>
      <c r="F2594" s="7" t="s">
        <v>17</v>
      </c>
      <c r="G2594" s="7">
        <v>3644982</v>
      </c>
      <c r="H2594" s="7">
        <v>2353</v>
      </c>
      <c r="I2594" s="7">
        <v>48</v>
      </c>
      <c r="J2594" s="7">
        <v>0</v>
      </c>
      <c r="K2594" s="7" t="s">
        <v>18</v>
      </c>
      <c r="L2594" s="8">
        <v>39987.315405092595</v>
      </c>
      <c r="M2594" s="9" t="s">
        <v>19</v>
      </c>
      <c r="N2594" s="9" t="s">
        <v>20</v>
      </c>
      <c r="O2594" s="6" t="str">
        <f>HYPERLINK("https://pbs.twimg.com/profile_images/962471262747529216/Uo8lOkRJ_normal.jpg","View")</f>
        <v>View</v>
      </c>
      <c r="P2594" s="7"/>
    </row>
    <row r="2595" spans="1:16">
      <c r="A2595" s="3">
        <v>43885.034097222218</v>
      </c>
      <c r="B2595" s="4" t="str">
        <f>HYPERLINK("https://twitter.com/petrogustavo","@petrogustavo")</f>
        <v>@petrogustavo</v>
      </c>
      <c r="C2595" s="5" t="s">
        <v>16</v>
      </c>
      <c r="D2595" s="5" t="s">
        <v>2542</v>
      </c>
      <c r="E2595" s="6" t="str">
        <f>HYPERLINK("https://twitter.com/petrogustavo/status/1231659770014244867","1231659770014244867")</f>
        <v>1231659770014244867</v>
      </c>
      <c r="F2595" s="7" t="s">
        <v>17</v>
      </c>
      <c r="G2595" s="7">
        <v>3645000</v>
      </c>
      <c r="H2595" s="7">
        <v>2353</v>
      </c>
      <c r="I2595" s="7">
        <v>1387</v>
      </c>
      <c r="J2595" s="7">
        <v>0</v>
      </c>
      <c r="K2595" s="7" t="s">
        <v>18</v>
      </c>
      <c r="L2595" s="8">
        <v>39987.315405092595</v>
      </c>
      <c r="M2595" s="9" t="s">
        <v>19</v>
      </c>
      <c r="N2595" s="9" t="s">
        <v>20</v>
      </c>
      <c r="O2595" s="6" t="str">
        <f>HYPERLINK("https://pbs.twimg.com/profile_images/962471262747529216/Uo8lOkRJ_normal.jpg","View")</f>
        <v>View</v>
      </c>
      <c r="P2595" s="7"/>
    </row>
    <row r="2596" spans="1:16">
      <c r="A2596" s="3">
        <v>43885.13762731482</v>
      </c>
      <c r="B2596" s="4" t="str">
        <f>HYPERLINK("https://twitter.com/petrogustavo","@petrogustavo")</f>
        <v>@petrogustavo</v>
      </c>
      <c r="C2596" s="5" t="s">
        <v>16</v>
      </c>
      <c r="D2596" s="5" t="s">
        <v>2543</v>
      </c>
      <c r="E2596" s="6" t="str">
        <f>HYPERLINK("https://twitter.com/petrogustavo/status/1231697286369030145","1231697286369030145")</f>
        <v>1231697286369030145</v>
      </c>
      <c r="F2596" s="7" t="s">
        <v>17</v>
      </c>
      <c r="G2596" s="7">
        <v>3645128</v>
      </c>
      <c r="H2596" s="7">
        <v>2353</v>
      </c>
      <c r="I2596" s="7">
        <v>218</v>
      </c>
      <c r="J2596" s="7">
        <v>434</v>
      </c>
      <c r="K2596" s="7" t="s">
        <v>18</v>
      </c>
      <c r="L2596" s="8">
        <v>39987.315405092595</v>
      </c>
      <c r="M2596" s="9" t="s">
        <v>19</v>
      </c>
      <c r="N2596" s="9" t="s">
        <v>20</v>
      </c>
      <c r="O2596" s="6" t="str">
        <f>HYPERLINK("https://pbs.twimg.com/profile_images/962471262747529216/Uo8lOkRJ_normal.jpg","View")</f>
        <v>View</v>
      </c>
      <c r="P2596" s="7"/>
    </row>
    <row r="2597" spans="1:16">
      <c r="A2597" s="3">
        <v>43885.141122685185</v>
      </c>
      <c r="B2597" s="4" t="str">
        <f>HYPERLINK("https://twitter.com/petrogustavo","@petrogustavo")</f>
        <v>@petrogustavo</v>
      </c>
      <c r="C2597" s="5" t="s">
        <v>16</v>
      </c>
      <c r="D2597" s="5" t="s">
        <v>2544</v>
      </c>
      <c r="E2597" s="6" t="str">
        <f>HYPERLINK("https://twitter.com/petrogustavo/status/1231698553107558400","1231698553107558400")</f>
        <v>1231698553107558400</v>
      </c>
      <c r="F2597" s="7" t="s">
        <v>17</v>
      </c>
      <c r="G2597" s="7">
        <v>3645128</v>
      </c>
      <c r="H2597" s="7">
        <v>2353</v>
      </c>
      <c r="I2597" s="7">
        <v>58</v>
      </c>
      <c r="J2597" s="7">
        <v>0</v>
      </c>
      <c r="K2597" s="7" t="s">
        <v>18</v>
      </c>
      <c r="L2597" s="8">
        <v>39987.315405092595</v>
      </c>
      <c r="M2597" s="9" t="s">
        <v>19</v>
      </c>
      <c r="N2597" s="9" t="s">
        <v>20</v>
      </c>
      <c r="O2597" s="6" t="str">
        <f>HYPERLINK("https://pbs.twimg.com/profile_images/962471262747529216/Uo8lOkRJ_normal.jpg","View")</f>
        <v>View</v>
      </c>
      <c r="P2597" s="7"/>
    </row>
    <row r="2598" spans="1:16">
      <c r="A2598" s="3">
        <v>43885.14576388889</v>
      </c>
      <c r="B2598" s="4" t="str">
        <f>HYPERLINK("https://twitter.com/petrogustavo","@petrogustavo")</f>
        <v>@petrogustavo</v>
      </c>
      <c r="C2598" s="5" t="s">
        <v>16</v>
      </c>
      <c r="D2598" s="5" t="s">
        <v>2545</v>
      </c>
      <c r="E2598" s="6" t="str">
        <f>HYPERLINK("https://twitter.com/petrogustavo/status/1231700233744109568","1231700233744109568")</f>
        <v>1231700233744109568</v>
      </c>
      <c r="F2598" s="7" t="s">
        <v>17</v>
      </c>
      <c r="G2598" s="7">
        <v>3645128</v>
      </c>
      <c r="H2598" s="7">
        <v>2353</v>
      </c>
      <c r="I2598" s="7">
        <v>79</v>
      </c>
      <c r="J2598" s="7">
        <v>196</v>
      </c>
      <c r="K2598" s="7" t="s">
        <v>18</v>
      </c>
      <c r="L2598" s="8">
        <v>39987.315405092595</v>
      </c>
      <c r="M2598" s="9" t="s">
        <v>19</v>
      </c>
      <c r="N2598" s="9" t="s">
        <v>20</v>
      </c>
      <c r="O2598" s="6" t="str">
        <f>HYPERLINK("https://pbs.twimg.com/profile_images/962471262747529216/Uo8lOkRJ_normal.jpg","View")</f>
        <v>View</v>
      </c>
      <c r="P2598" s="7"/>
    </row>
    <row r="2599" spans="1:16">
      <c r="A2599" s="3">
        <v>43885.252395833333</v>
      </c>
      <c r="B2599" s="4" t="str">
        <f>HYPERLINK("https://twitter.com/petrogustavo","@petrogustavo")</f>
        <v>@petrogustavo</v>
      </c>
      <c r="C2599" s="5" t="s">
        <v>16</v>
      </c>
      <c r="D2599" s="5" t="s">
        <v>2546</v>
      </c>
      <c r="E2599" s="6" t="str">
        <f>HYPERLINK("https://twitter.com/petrogustavo/status/1231738876101873666","1231738876101873666")</f>
        <v>1231738876101873666</v>
      </c>
      <c r="F2599" s="7" t="s">
        <v>17</v>
      </c>
      <c r="G2599" s="7">
        <v>3645268</v>
      </c>
      <c r="H2599" s="7">
        <v>2353</v>
      </c>
      <c r="I2599" s="7">
        <v>118</v>
      </c>
      <c r="J2599" s="7">
        <v>0</v>
      </c>
      <c r="K2599" s="7" t="s">
        <v>18</v>
      </c>
      <c r="L2599" s="8">
        <v>39987.315405092595</v>
      </c>
      <c r="M2599" s="9" t="s">
        <v>19</v>
      </c>
      <c r="N2599" s="9" t="s">
        <v>20</v>
      </c>
      <c r="O2599" s="6" t="str">
        <f>HYPERLINK("https://pbs.twimg.com/profile_images/962471262747529216/Uo8lOkRJ_normal.jpg","View")</f>
        <v>View</v>
      </c>
      <c r="P2599" s="7"/>
    </row>
    <row r="2600" spans="1:16">
      <c r="A2600" s="3">
        <v>43885.258240740739</v>
      </c>
      <c r="B2600" s="4" t="str">
        <f>HYPERLINK("https://twitter.com/petrogustavo","@petrogustavo")</f>
        <v>@petrogustavo</v>
      </c>
      <c r="C2600" s="5" t="s">
        <v>16</v>
      </c>
      <c r="D2600" s="5" t="s">
        <v>2547</v>
      </c>
      <c r="E2600" s="6" t="str">
        <f>HYPERLINK("https://twitter.com/petrogustavo/status/1231740993046827008","1231740993046827008")</f>
        <v>1231740993046827008</v>
      </c>
      <c r="F2600" s="7" t="s">
        <v>17</v>
      </c>
      <c r="G2600" s="7">
        <v>3645268</v>
      </c>
      <c r="H2600" s="7">
        <v>2353</v>
      </c>
      <c r="I2600" s="7">
        <v>46</v>
      </c>
      <c r="J2600" s="7">
        <v>0</v>
      </c>
      <c r="K2600" s="7" t="s">
        <v>18</v>
      </c>
      <c r="L2600" s="8">
        <v>39987.315405092595</v>
      </c>
      <c r="M2600" s="9" t="s">
        <v>19</v>
      </c>
      <c r="N2600" s="9" t="s">
        <v>20</v>
      </c>
      <c r="O2600" s="6" t="str">
        <f>HYPERLINK("https://pbs.twimg.com/profile_images/962471262747529216/Uo8lOkRJ_normal.jpg","View")</f>
        <v>View</v>
      </c>
      <c r="P2600" s="7"/>
    </row>
    <row r="2601" spans="1:16">
      <c r="A2601" s="3">
        <v>43885.260243055556</v>
      </c>
      <c r="B2601" s="4" t="str">
        <f>HYPERLINK("https://twitter.com/petrogustavo","@petrogustavo")</f>
        <v>@petrogustavo</v>
      </c>
      <c r="C2601" s="5" t="s">
        <v>16</v>
      </c>
      <c r="D2601" s="5" t="s">
        <v>2548</v>
      </c>
      <c r="E2601" s="6" t="str">
        <f>HYPERLINK("https://twitter.com/petrogustavo/status/1231741720578207745","1231741720578207745")</f>
        <v>1231741720578207745</v>
      </c>
      <c r="F2601" s="7" t="s">
        <v>17</v>
      </c>
      <c r="G2601" s="7">
        <v>3645268</v>
      </c>
      <c r="H2601" s="7">
        <v>2353</v>
      </c>
      <c r="I2601" s="7">
        <v>21</v>
      </c>
      <c r="J2601" s="7">
        <v>42</v>
      </c>
      <c r="K2601" s="7" t="s">
        <v>18</v>
      </c>
      <c r="L2601" s="8">
        <v>39987.315405092595</v>
      </c>
      <c r="M2601" s="9" t="s">
        <v>19</v>
      </c>
      <c r="N2601" s="9" t="s">
        <v>20</v>
      </c>
      <c r="O2601" s="6" t="str">
        <f>HYPERLINK("https://pbs.twimg.com/profile_images/962471262747529216/Uo8lOkRJ_normal.jpg","View")</f>
        <v>View</v>
      </c>
      <c r="P2601" s="7"/>
    </row>
    <row r="2602" spans="1:16">
      <c r="A2602" s="3">
        <v>43885.260960648149</v>
      </c>
      <c r="B2602" s="4" t="str">
        <f>HYPERLINK("https://twitter.com/petrogustavo","@petrogustavo")</f>
        <v>@petrogustavo</v>
      </c>
      <c r="C2602" s="5" t="s">
        <v>16</v>
      </c>
      <c r="D2602" s="5" t="s">
        <v>2549</v>
      </c>
      <c r="E2602" s="6" t="str">
        <f>HYPERLINK("https://twitter.com/petrogustavo/status/1231741982659268608","1231741982659268608")</f>
        <v>1231741982659268608</v>
      </c>
      <c r="F2602" s="7" t="s">
        <v>17</v>
      </c>
      <c r="G2602" s="7">
        <v>3645268</v>
      </c>
      <c r="H2602" s="7">
        <v>2353</v>
      </c>
      <c r="I2602" s="7">
        <v>2</v>
      </c>
      <c r="J2602" s="7">
        <v>0</v>
      </c>
      <c r="K2602" s="7" t="s">
        <v>18</v>
      </c>
      <c r="L2602" s="8">
        <v>39987.315405092595</v>
      </c>
      <c r="M2602" s="9" t="s">
        <v>19</v>
      </c>
      <c r="N2602" s="9" t="s">
        <v>20</v>
      </c>
      <c r="O2602" s="6" t="str">
        <f>HYPERLINK("https://pbs.twimg.com/profile_images/962471262747529216/Uo8lOkRJ_normal.jpg","View")</f>
        <v>View</v>
      </c>
      <c r="P2602" s="7"/>
    </row>
    <row r="2603" spans="1:16">
      <c r="A2603" s="3">
        <v>43885.261620370366</v>
      </c>
      <c r="B2603" s="4" t="str">
        <f>HYPERLINK("https://twitter.com/petrogustavo","@petrogustavo")</f>
        <v>@petrogustavo</v>
      </c>
      <c r="C2603" s="5" t="s">
        <v>16</v>
      </c>
      <c r="D2603" s="5" t="s">
        <v>2550</v>
      </c>
      <c r="E2603" s="6" t="str">
        <f>HYPERLINK("https://twitter.com/petrogustavo/status/1231742220111314944","1231742220111314944")</f>
        <v>1231742220111314944</v>
      </c>
      <c r="F2603" s="7" t="s">
        <v>17</v>
      </c>
      <c r="G2603" s="7">
        <v>3645268</v>
      </c>
      <c r="H2603" s="7">
        <v>2353</v>
      </c>
      <c r="I2603" s="7">
        <v>3</v>
      </c>
      <c r="J2603" s="7">
        <v>3</v>
      </c>
      <c r="K2603" s="7" t="s">
        <v>18</v>
      </c>
      <c r="L2603" s="8">
        <v>39987.315405092595</v>
      </c>
      <c r="M2603" s="9" t="s">
        <v>19</v>
      </c>
      <c r="N2603" s="9" t="s">
        <v>20</v>
      </c>
      <c r="O2603" s="6" t="str">
        <f>HYPERLINK("https://pbs.twimg.com/profile_images/962471262747529216/Uo8lOkRJ_normal.jpg","View")</f>
        <v>View</v>
      </c>
      <c r="P2603" s="7"/>
    </row>
    <row r="2604" spans="1:16">
      <c r="A2604" s="3">
        <v>43885.263912037037</v>
      </c>
      <c r="B2604" s="4" t="str">
        <f>HYPERLINK("https://twitter.com/petrogustavo","@petrogustavo")</f>
        <v>@petrogustavo</v>
      </c>
      <c r="C2604" s="5" t="s">
        <v>16</v>
      </c>
      <c r="D2604" s="5" t="s">
        <v>2551</v>
      </c>
      <c r="E2604" s="6" t="str">
        <f>HYPERLINK("https://twitter.com/petrogustavo/status/1231743050411577344","1231743050411577344")</f>
        <v>1231743050411577344</v>
      </c>
      <c r="F2604" s="7" t="s">
        <v>17</v>
      </c>
      <c r="G2604" s="7">
        <v>3645312</v>
      </c>
      <c r="H2604" s="7">
        <v>2354</v>
      </c>
      <c r="I2604" s="7">
        <v>1096</v>
      </c>
      <c r="J2604" s="7">
        <v>0</v>
      </c>
      <c r="K2604" s="7" t="s">
        <v>18</v>
      </c>
      <c r="L2604" s="8">
        <v>39987.315405092595</v>
      </c>
      <c r="M2604" s="9" t="s">
        <v>19</v>
      </c>
      <c r="N2604" s="9" t="s">
        <v>20</v>
      </c>
      <c r="O2604" s="6" t="str">
        <f>HYPERLINK("https://pbs.twimg.com/profile_images/962471262747529216/Uo8lOkRJ_normal.jpg","View")</f>
        <v>View</v>
      </c>
      <c r="P2604" s="7"/>
    </row>
    <row r="2605" spans="1:16">
      <c r="A2605" s="3">
        <v>43885.266608796301</v>
      </c>
      <c r="B2605" s="4" t="str">
        <f>HYPERLINK("https://twitter.com/petrogustavo","@petrogustavo")</f>
        <v>@petrogustavo</v>
      </c>
      <c r="C2605" s="5" t="s">
        <v>16</v>
      </c>
      <c r="D2605" s="5" t="s">
        <v>2552</v>
      </c>
      <c r="E2605" s="6" t="str">
        <f>HYPERLINK("https://twitter.com/petrogustavo/status/1231744027621568512","1231744027621568512")</f>
        <v>1231744027621568512</v>
      </c>
      <c r="F2605" s="7" t="s">
        <v>17</v>
      </c>
      <c r="G2605" s="7">
        <v>3645312</v>
      </c>
      <c r="H2605" s="7">
        <v>2354</v>
      </c>
      <c r="I2605" s="7">
        <v>176</v>
      </c>
      <c r="J2605" s="7">
        <v>0</v>
      </c>
      <c r="K2605" s="7" t="s">
        <v>18</v>
      </c>
      <c r="L2605" s="8">
        <v>39987.315405092595</v>
      </c>
      <c r="M2605" s="9" t="s">
        <v>19</v>
      </c>
      <c r="N2605" s="9" t="s">
        <v>20</v>
      </c>
      <c r="O2605" s="6" t="str">
        <f>HYPERLINK("https://pbs.twimg.com/profile_images/962471262747529216/Uo8lOkRJ_normal.jpg","View")</f>
        <v>View</v>
      </c>
      <c r="P2605" s="7"/>
    </row>
    <row r="2606" spans="1:16">
      <c r="A2606" s="3">
        <v>43885.347349537042</v>
      </c>
      <c r="B2606" s="4" t="str">
        <f>HYPERLINK("https://twitter.com/petrogustavo","@petrogustavo")</f>
        <v>@petrogustavo</v>
      </c>
      <c r="C2606" s="5" t="s">
        <v>16</v>
      </c>
      <c r="D2606" s="5" t="s">
        <v>2553</v>
      </c>
      <c r="E2606" s="6" t="str">
        <f>HYPERLINK("https://twitter.com/petrogustavo/status/1231773286247346176","1231773286247346176")</f>
        <v>1231773286247346176</v>
      </c>
      <c r="F2606" s="7" t="s">
        <v>32</v>
      </c>
      <c r="G2606" s="7">
        <v>3645447</v>
      </c>
      <c r="H2606" s="7">
        <v>2354</v>
      </c>
      <c r="I2606" s="7">
        <v>81</v>
      </c>
      <c r="J2606" s="7">
        <v>0</v>
      </c>
      <c r="K2606" s="7" t="s">
        <v>18</v>
      </c>
      <c r="L2606" s="8">
        <v>39987.315405092595</v>
      </c>
      <c r="M2606" s="9" t="s">
        <v>19</v>
      </c>
      <c r="N2606" s="9" t="s">
        <v>20</v>
      </c>
      <c r="O2606" s="6" t="str">
        <f>HYPERLINK("https://pbs.twimg.com/profile_images/962471262747529216/Uo8lOkRJ_normal.jpg","View")</f>
        <v>View</v>
      </c>
      <c r="P2606" s="7"/>
    </row>
    <row r="2607" spans="1:16">
      <c r="A2607" s="3">
        <v>43885.347881944443</v>
      </c>
      <c r="B2607" s="4" t="str">
        <f>HYPERLINK("https://twitter.com/petrogustavo","@petrogustavo")</f>
        <v>@petrogustavo</v>
      </c>
      <c r="C2607" s="5" t="s">
        <v>16</v>
      </c>
      <c r="D2607" s="5" t="s">
        <v>2554</v>
      </c>
      <c r="E2607" s="6" t="str">
        <f>HYPERLINK("https://twitter.com/petrogustavo/status/1231773481399963648","1231773481399963648")</f>
        <v>1231773481399963648</v>
      </c>
      <c r="F2607" s="7" t="s">
        <v>32</v>
      </c>
      <c r="G2607" s="7">
        <v>3645447</v>
      </c>
      <c r="H2607" s="7">
        <v>2354</v>
      </c>
      <c r="I2607" s="7">
        <v>532</v>
      </c>
      <c r="J2607" s="7">
        <v>0</v>
      </c>
      <c r="K2607" s="7" t="s">
        <v>18</v>
      </c>
      <c r="L2607" s="8">
        <v>39987.315405092595</v>
      </c>
      <c r="M2607" s="9" t="s">
        <v>19</v>
      </c>
      <c r="N2607" s="9" t="s">
        <v>20</v>
      </c>
      <c r="O2607" s="6" t="str">
        <f>HYPERLINK("https://pbs.twimg.com/profile_images/962471262747529216/Uo8lOkRJ_normal.jpg","View")</f>
        <v>View</v>
      </c>
      <c r="P2607" s="7"/>
    </row>
    <row r="2608" spans="1:16">
      <c r="A2608" s="3">
        <v>43885.824143518519</v>
      </c>
      <c r="B2608" s="4" t="str">
        <f>HYPERLINK("https://twitter.com/petrogustavo","@petrogustavo")</f>
        <v>@petrogustavo</v>
      </c>
      <c r="C2608" s="5" t="s">
        <v>16</v>
      </c>
      <c r="D2608" s="5" t="s">
        <v>2555</v>
      </c>
      <c r="E2608" s="6" t="str">
        <f>HYPERLINK("https://twitter.com/petrogustavo/status/1231946069824675846","1231946069824675846")</f>
        <v>1231946069824675846</v>
      </c>
      <c r="F2608" s="7" t="s">
        <v>17</v>
      </c>
      <c r="G2608" s="7">
        <v>3645691</v>
      </c>
      <c r="H2608" s="7">
        <v>2354</v>
      </c>
      <c r="I2608" s="7">
        <v>8</v>
      </c>
      <c r="J2608" s="7">
        <v>49</v>
      </c>
      <c r="K2608" s="7" t="s">
        <v>18</v>
      </c>
      <c r="L2608" s="8">
        <v>39987.315405092595</v>
      </c>
      <c r="M2608" s="9" t="s">
        <v>19</v>
      </c>
      <c r="N2608" s="9" t="s">
        <v>20</v>
      </c>
      <c r="O2608" s="6" t="str">
        <f>HYPERLINK("https://pbs.twimg.com/profile_images/962471262747529216/Uo8lOkRJ_normal.jpg","View")</f>
        <v>View</v>
      </c>
      <c r="P2608" s="7"/>
    </row>
    <row r="2609" spans="1:16">
      <c r="A2609" s="3">
        <v>43885.827662037038</v>
      </c>
      <c r="B2609" s="4" t="str">
        <f>HYPERLINK("https://twitter.com/petrogustavo","@petrogustavo")</f>
        <v>@petrogustavo</v>
      </c>
      <c r="C2609" s="5" t="s">
        <v>16</v>
      </c>
      <c r="D2609" s="5" t="s">
        <v>2556</v>
      </c>
      <c r="E2609" s="6" t="str">
        <f>HYPERLINK("https://twitter.com/petrogustavo/status/1231947345304203264","1231947345304203264")</f>
        <v>1231947345304203264</v>
      </c>
      <c r="F2609" s="7" t="s">
        <v>17</v>
      </c>
      <c r="G2609" s="7">
        <v>3645713</v>
      </c>
      <c r="H2609" s="7">
        <v>2354</v>
      </c>
      <c r="I2609" s="7">
        <v>58</v>
      </c>
      <c r="J2609" s="7">
        <v>126</v>
      </c>
      <c r="K2609" s="7" t="s">
        <v>18</v>
      </c>
      <c r="L2609" s="8">
        <v>39987.315405092595</v>
      </c>
      <c r="M2609" s="9" t="s">
        <v>19</v>
      </c>
      <c r="N2609" s="9" t="s">
        <v>20</v>
      </c>
      <c r="O2609" s="6" t="str">
        <f>HYPERLINK("https://pbs.twimg.com/profile_images/962471262747529216/Uo8lOkRJ_normal.jpg","View")</f>
        <v>View</v>
      </c>
      <c r="P2609" s="7"/>
    </row>
    <row r="2610" spans="1:16">
      <c r="A2610" s="3">
        <v>43885.837187500001</v>
      </c>
      <c r="B2610" s="4" t="str">
        <f>HYPERLINK("https://twitter.com/petrogustavo","@petrogustavo")</f>
        <v>@petrogustavo</v>
      </c>
      <c r="C2610" s="5" t="s">
        <v>16</v>
      </c>
      <c r="D2610" s="5" t="s">
        <v>2557</v>
      </c>
      <c r="E2610" s="6" t="str">
        <f>HYPERLINK("https://twitter.com/petrogustavo/status/1231950799892295680","1231950799892295680")</f>
        <v>1231950799892295680</v>
      </c>
      <c r="F2610" s="7" t="s">
        <v>17</v>
      </c>
      <c r="G2610" s="7">
        <v>3645713</v>
      </c>
      <c r="H2610" s="7">
        <v>2354</v>
      </c>
      <c r="I2610" s="7">
        <v>58</v>
      </c>
      <c r="J2610" s="7">
        <v>184</v>
      </c>
      <c r="K2610" s="7" t="s">
        <v>18</v>
      </c>
      <c r="L2610" s="8">
        <v>39987.315405092595</v>
      </c>
      <c r="M2610" s="9" t="s">
        <v>19</v>
      </c>
      <c r="N2610" s="9" t="s">
        <v>20</v>
      </c>
      <c r="O2610" s="6" t="str">
        <f>HYPERLINK("https://pbs.twimg.com/profile_images/962471262747529216/Uo8lOkRJ_normal.jpg","View")</f>
        <v>View</v>
      </c>
      <c r="P2610" s="7"/>
    </row>
    <row r="2611" spans="1:16">
      <c r="A2611" s="3">
        <v>43885.839259259257</v>
      </c>
      <c r="B2611" s="4" t="str">
        <f>HYPERLINK("https://twitter.com/petrogustavo","@petrogustavo")</f>
        <v>@petrogustavo</v>
      </c>
      <c r="C2611" s="5" t="s">
        <v>16</v>
      </c>
      <c r="D2611" s="5" t="s">
        <v>2558</v>
      </c>
      <c r="E2611" s="6" t="str">
        <f>HYPERLINK("https://twitter.com/petrogustavo/status/1231951550886686722","1231951550886686722")</f>
        <v>1231951550886686722</v>
      </c>
      <c r="F2611" s="7" t="s">
        <v>17</v>
      </c>
      <c r="G2611" s="7">
        <v>3645713</v>
      </c>
      <c r="H2611" s="7">
        <v>2354</v>
      </c>
      <c r="I2611" s="7">
        <v>35</v>
      </c>
      <c r="J2611" s="7">
        <v>0</v>
      </c>
      <c r="K2611" s="7" t="s">
        <v>18</v>
      </c>
      <c r="L2611" s="8">
        <v>39987.315405092595</v>
      </c>
      <c r="M2611" s="9" t="s">
        <v>19</v>
      </c>
      <c r="N2611" s="9" t="s">
        <v>20</v>
      </c>
      <c r="O2611" s="6" t="str">
        <f>HYPERLINK("https://pbs.twimg.com/profile_images/962471262747529216/Uo8lOkRJ_normal.jpg","View")</f>
        <v>View</v>
      </c>
      <c r="P2611" s="7"/>
    </row>
    <row r="2612" spans="1:16">
      <c r="A2612" s="3">
        <v>43885.841770833329</v>
      </c>
      <c r="B2612" s="4" t="str">
        <f>HYPERLINK("https://twitter.com/petrogustavo","@petrogustavo")</f>
        <v>@petrogustavo</v>
      </c>
      <c r="C2612" s="5" t="s">
        <v>16</v>
      </c>
      <c r="D2612" s="5" t="s">
        <v>2559</v>
      </c>
      <c r="E2612" s="6" t="str">
        <f>HYPERLINK("https://twitter.com/petrogustavo/status/1231952458806681601","1231952458806681601")</f>
        <v>1231952458806681601</v>
      </c>
      <c r="F2612" s="7" t="s">
        <v>17</v>
      </c>
      <c r="G2612" s="7">
        <v>3645713</v>
      </c>
      <c r="H2612" s="7">
        <v>2354</v>
      </c>
      <c r="I2612" s="7">
        <v>25</v>
      </c>
      <c r="J2612" s="7">
        <v>56</v>
      </c>
      <c r="K2612" s="7" t="s">
        <v>18</v>
      </c>
      <c r="L2612" s="8">
        <v>39987.315405092595</v>
      </c>
      <c r="M2612" s="9" t="s">
        <v>19</v>
      </c>
      <c r="N2612" s="9" t="s">
        <v>20</v>
      </c>
      <c r="O2612" s="6" t="str">
        <f>HYPERLINK("https://pbs.twimg.com/profile_images/962471262747529216/Uo8lOkRJ_normal.jpg","View")</f>
        <v>View</v>
      </c>
      <c r="P2612" s="7"/>
    </row>
    <row r="2613" spans="1:16">
      <c r="A2613" s="3">
        <v>43885.843182870369</v>
      </c>
      <c r="B2613" s="4" t="str">
        <f>HYPERLINK("https://twitter.com/petrogustavo","@petrogustavo")</f>
        <v>@petrogustavo</v>
      </c>
      <c r="C2613" s="5" t="s">
        <v>16</v>
      </c>
      <c r="D2613" s="5" t="s">
        <v>2560</v>
      </c>
      <c r="E2613" s="6" t="str">
        <f>HYPERLINK("https://twitter.com/petrogustavo/status/1231952969068957697","1231952969068957697")</f>
        <v>1231952969068957697</v>
      </c>
      <c r="F2613" s="7" t="s">
        <v>17</v>
      </c>
      <c r="G2613" s="7">
        <v>3645713</v>
      </c>
      <c r="H2613" s="7">
        <v>2354</v>
      </c>
      <c r="I2613" s="7">
        <v>7</v>
      </c>
      <c r="J2613" s="7">
        <v>0</v>
      </c>
      <c r="K2613" s="7" t="s">
        <v>18</v>
      </c>
      <c r="L2613" s="8">
        <v>39987.315405092595</v>
      </c>
      <c r="M2613" s="9" t="s">
        <v>19</v>
      </c>
      <c r="N2613" s="9" t="s">
        <v>20</v>
      </c>
      <c r="O2613" s="6" t="str">
        <f>HYPERLINK("https://pbs.twimg.com/profile_images/962471262747529216/Uo8lOkRJ_normal.jpg","View")</f>
        <v>View</v>
      </c>
      <c r="P2613" s="7"/>
    </row>
    <row r="2614" spans="1:16">
      <c r="A2614" s="3">
        <v>43885.847951388889</v>
      </c>
      <c r="B2614" s="4" t="str">
        <f>HYPERLINK("https://twitter.com/petrogustavo","@petrogustavo")</f>
        <v>@petrogustavo</v>
      </c>
      <c r="C2614" s="5" t="s">
        <v>16</v>
      </c>
      <c r="D2614" s="5" t="s">
        <v>2561</v>
      </c>
      <c r="E2614" s="6" t="str">
        <f>HYPERLINK("https://twitter.com/petrogustavo/status/1231954699168944131","1231954699168944131")</f>
        <v>1231954699168944131</v>
      </c>
      <c r="F2614" s="7" t="s">
        <v>17</v>
      </c>
      <c r="G2614" s="7">
        <v>3645740</v>
      </c>
      <c r="H2614" s="7">
        <v>2354</v>
      </c>
      <c r="I2614" s="7">
        <v>105</v>
      </c>
      <c r="J2614" s="7">
        <v>202</v>
      </c>
      <c r="K2614" s="7" t="s">
        <v>18</v>
      </c>
      <c r="L2614" s="8">
        <v>39987.315405092595</v>
      </c>
      <c r="M2614" s="9" t="s">
        <v>19</v>
      </c>
      <c r="N2614" s="9" t="s">
        <v>20</v>
      </c>
      <c r="O2614" s="6" t="str">
        <f>HYPERLINK("https://pbs.twimg.com/profile_images/962471262747529216/Uo8lOkRJ_normal.jpg","View")</f>
        <v>View</v>
      </c>
      <c r="P2614" s="7"/>
    </row>
    <row r="2615" spans="1:16">
      <c r="A2615" s="3">
        <v>43885.849108796298</v>
      </c>
      <c r="B2615" s="4" t="str">
        <f>HYPERLINK("https://twitter.com/petrogustavo","@petrogustavo")</f>
        <v>@petrogustavo</v>
      </c>
      <c r="C2615" s="5" t="s">
        <v>16</v>
      </c>
      <c r="D2615" s="5" t="s">
        <v>2562</v>
      </c>
      <c r="E2615" s="6" t="str">
        <f>HYPERLINK("https://twitter.com/petrogustavo/status/1231955119673159680","1231955119673159680")</f>
        <v>1231955119673159680</v>
      </c>
      <c r="F2615" s="7" t="s">
        <v>17</v>
      </c>
      <c r="G2615" s="7">
        <v>3645740</v>
      </c>
      <c r="H2615" s="7">
        <v>2354</v>
      </c>
      <c r="I2615" s="7">
        <v>245</v>
      </c>
      <c r="J2615" s="7">
        <v>932</v>
      </c>
      <c r="K2615" s="7" t="s">
        <v>18</v>
      </c>
      <c r="L2615" s="8">
        <v>39987.315405092595</v>
      </c>
      <c r="M2615" s="9" t="s">
        <v>19</v>
      </c>
      <c r="N2615" s="9" t="s">
        <v>20</v>
      </c>
      <c r="O2615" s="6" t="str">
        <f>HYPERLINK("https://pbs.twimg.com/profile_images/962471262747529216/Uo8lOkRJ_normal.jpg","View")</f>
        <v>View</v>
      </c>
      <c r="P2615" s="7"/>
    </row>
    <row r="2616" spans="1:16">
      <c r="A2616" s="3">
        <v>43885.855011574073</v>
      </c>
      <c r="B2616" s="4" t="str">
        <f>HYPERLINK("https://twitter.com/petrogustavo","@petrogustavo")</f>
        <v>@petrogustavo</v>
      </c>
      <c r="C2616" s="5" t="s">
        <v>16</v>
      </c>
      <c r="D2616" s="5" t="s">
        <v>2563</v>
      </c>
      <c r="E2616" s="6" t="str">
        <f>HYPERLINK("https://twitter.com/petrogustavo/status/1231957259426652160","1231957259426652160")</f>
        <v>1231957259426652160</v>
      </c>
      <c r="F2616" s="7" t="s">
        <v>17</v>
      </c>
      <c r="G2616" s="7">
        <v>3645740</v>
      </c>
      <c r="H2616" s="7">
        <v>2354</v>
      </c>
      <c r="I2616" s="7">
        <v>421</v>
      </c>
      <c r="J2616" s="7">
        <v>0</v>
      </c>
      <c r="K2616" s="7" t="s">
        <v>18</v>
      </c>
      <c r="L2616" s="8">
        <v>39987.315405092595</v>
      </c>
      <c r="M2616" s="9" t="s">
        <v>19</v>
      </c>
      <c r="N2616" s="9" t="s">
        <v>20</v>
      </c>
      <c r="O2616" s="6" t="str">
        <f>HYPERLINK("https://pbs.twimg.com/profile_images/962471262747529216/Uo8lOkRJ_normal.jpg","View")</f>
        <v>View</v>
      </c>
      <c r="P2616" s="7"/>
    </row>
    <row r="2617" spans="1:16">
      <c r="A2617" s="3">
        <v>43885.86241898148</v>
      </c>
      <c r="B2617" s="4" t="str">
        <f>HYPERLINK("https://twitter.com/petrogustavo","@petrogustavo")</f>
        <v>@petrogustavo</v>
      </c>
      <c r="C2617" s="5" t="s">
        <v>16</v>
      </c>
      <c r="D2617" s="5" t="s">
        <v>2564</v>
      </c>
      <c r="E2617" s="6" t="str">
        <f>HYPERLINK("https://twitter.com/petrogustavo/status/1231959942820696064","1231959942820696064")</f>
        <v>1231959942820696064</v>
      </c>
      <c r="F2617" s="7" t="s">
        <v>17</v>
      </c>
      <c r="G2617" s="7">
        <v>3645740</v>
      </c>
      <c r="H2617" s="7">
        <v>2354</v>
      </c>
      <c r="I2617" s="7">
        <v>1051</v>
      </c>
      <c r="J2617" s="7">
        <v>0</v>
      </c>
      <c r="K2617" s="7" t="s">
        <v>18</v>
      </c>
      <c r="L2617" s="8">
        <v>39987.315405092595</v>
      </c>
      <c r="M2617" s="9" t="s">
        <v>19</v>
      </c>
      <c r="N2617" s="9" t="s">
        <v>20</v>
      </c>
      <c r="O2617" s="6" t="str">
        <f>HYPERLINK("https://pbs.twimg.com/profile_images/962471262747529216/Uo8lOkRJ_normal.jpg","View")</f>
        <v>View</v>
      </c>
      <c r="P2617" s="7"/>
    </row>
    <row r="2618" spans="1:16">
      <c r="A2618" s="3">
        <v>43885.862488425926</v>
      </c>
      <c r="B2618" s="4" t="str">
        <f>HYPERLINK("https://twitter.com/petrogustavo","@petrogustavo")</f>
        <v>@petrogustavo</v>
      </c>
      <c r="C2618" s="5" t="s">
        <v>16</v>
      </c>
      <c r="D2618" s="5" t="s">
        <v>2565</v>
      </c>
      <c r="E2618" s="6" t="str">
        <f>HYPERLINK("https://twitter.com/petrogustavo/status/1231959968984813571","1231959968984813571")</f>
        <v>1231959968984813571</v>
      </c>
      <c r="F2618" s="7" t="s">
        <v>17</v>
      </c>
      <c r="G2618" s="7">
        <v>3645740</v>
      </c>
      <c r="H2618" s="7">
        <v>2354</v>
      </c>
      <c r="I2618" s="7">
        <v>121</v>
      </c>
      <c r="J2618" s="7">
        <v>0</v>
      </c>
      <c r="K2618" s="7" t="s">
        <v>18</v>
      </c>
      <c r="L2618" s="8">
        <v>39987.315405092595</v>
      </c>
      <c r="M2618" s="9" t="s">
        <v>19</v>
      </c>
      <c r="N2618" s="9" t="s">
        <v>20</v>
      </c>
      <c r="O2618" s="6" t="str">
        <f>HYPERLINK("https://pbs.twimg.com/profile_images/962471262747529216/Uo8lOkRJ_normal.jpg","View")</f>
        <v>View</v>
      </c>
      <c r="P2618" s="7"/>
    </row>
    <row r="2619" spans="1:16">
      <c r="A2619" s="3">
        <v>43885.868946759263</v>
      </c>
      <c r="B2619" s="4" t="str">
        <f>HYPERLINK("https://twitter.com/petrogustavo","@petrogustavo")</f>
        <v>@petrogustavo</v>
      </c>
      <c r="C2619" s="5" t="s">
        <v>16</v>
      </c>
      <c r="D2619" s="5" t="s">
        <v>2566</v>
      </c>
      <c r="E2619" s="6" t="str">
        <f>HYPERLINK("https://twitter.com/petrogustavo/status/1231962306596048896","1231962306596048896")</f>
        <v>1231962306596048896</v>
      </c>
      <c r="F2619" s="7" t="s">
        <v>17</v>
      </c>
      <c r="G2619" s="7">
        <v>3645764</v>
      </c>
      <c r="H2619" s="7">
        <v>2354</v>
      </c>
      <c r="I2619" s="7">
        <v>59</v>
      </c>
      <c r="J2619" s="7">
        <v>174</v>
      </c>
      <c r="K2619" s="7" t="s">
        <v>18</v>
      </c>
      <c r="L2619" s="8">
        <v>39987.315405092595</v>
      </c>
      <c r="M2619" s="9" t="s">
        <v>19</v>
      </c>
      <c r="N2619" s="9" t="s">
        <v>20</v>
      </c>
      <c r="O2619" s="6" t="str">
        <f>HYPERLINK("https://pbs.twimg.com/profile_images/962471262747529216/Uo8lOkRJ_normal.jpg","View")</f>
        <v>View</v>
      </c>
      <c r="P2619" s="7"/>
    </row>
    <row r="2620" spans="1:16">
      <c r="A2620" s="3">
        <v>43885.874050925922</v>
      </c>
      <c r="B2620" s="4" t="str">
        <f>HYPERLINK("https://twitter.com/petrogustavo","@petrogustavo")</f>
        <v>@petrogustavo</v>
      </c>
      <c r="C2620" s="5" t="s">
        <v>16</v>
      </c>
      <c r="D2620" s="5" t="s">
        <v>2567</v>
      </c>
      <c r="E2620" s="6" t="str">
        <f>HYPERLINK("https://twitter.com/petrogustavo/status/1231964157198598144","1231964157198598144")</f>
        <v>1231964157198598144</v>
      </c>
      <c r="F2620" s="7" t="s">
        <v>17</v>
      </c>
      <c r="G2620" s="7">
        <v>3645764</v>
      </c>
      <c r="H2620" s="7">
        <v>2354</v>
      </c>
      <c r="I2620" s="7">
        <v>193</v>
      </c>
      <c r="J2620" s="7">
        <v>520</v>
      </c>
      <c r="K2620" s="7" t="s">
        <v>18</v>
      </c>
      <c r="L2620" s="8">
        <v>39987.315405092595</v>
      </c>
      <c r="M2620" s="9" t="s">
        <v>19</v>
      </c>
      <c r="N2620" s="9" t="s">
        <v>20</v>
      </c>
      <c r="O2620" s="6" t="str">
        <f>HYPERLINK("https://pbs.twimg.com/profile_images/962471262747529216/Uo8lOkRJ_normal.jpg","View")</f>
        <v>View</v>
      </c>
      <c r="P2620" s="7"/>
    </row>
    <row r="2621" spans="1:16">
      <c r="A2621" s="3">
        <v>43885.877118055556</v>
      </c>
      <c r="B2621" s="4" t="str">
        <f>HYPERLINK("https://twitter.com/petrogustavo","@petrogustavo")</f>
        <v>@petrogustavo</v>
      </c>
      <c r="C2621" s="5" t="s">
        <v>16</v>
      </c>
      <c r="D2621" s="5" t="s">
        <v>2568</v>
      </c>
      <c r="E2621" s="6" t="str">
        <f>HYPERLINK("https://twitter.com/petrogustavo/status/1231965266722131970","1231965266722131970")</f>
        <v>1231965266722131970</v>
      </c>
      <c r="F2621" s="7" t="s">
        <v>17</v>
      </c>
      <c r="G2621" s="7">
        <v>3645764</v>
      </c>
      <c r="H2621" s="7">
        <v>2354</v>
      </c>
      <c r="I2621" s="7">
        <v>524</v>
      </c>
      <c r="J2621" s="7">
        <v>0</v>
      </c>
      <c r="K2621" s="7" t="s">
        <v>18</v>
      </c>
      <c r="L2621" s="8">
        <v>39987.315405092595</v>
      </c>
      <c r="M2621" s="9" t="s">
        <v>19</v>
      </c>
      <c r="N2621" s="9" t="s">
        <v>20</v>
      </c>
      <c r="O2621" s="6" t="str">
        <f>HYPERLINK("https://pbs.twimg.com/profile_images/962471262747529216/Uo8lOkRJ_normal.jpg","View")</f>
        <v>View</v>
      </c>
      <c r="P2621" s="7"/>
    </row>
    <row r="2622" spans="1:16">
      <c r="A2622" s="3">
        <v>43885.878252314811</v>
      </c>
      <c r="B2622" s="4" t="str">
        <f>HYPERLINK("https://twitter.com/petrogustavo","@petrogustavo")</f>
        <v>@petrogustavo</v>
      </c>
      <c r="C2622" s="5" t="s">
        <v>16</v>
      </c>
      <c r="D2622" s="5" t="s">
        <v>2569</v>
      </c>
      <c r="E2622" s="6" t="str">
        <f>HYPERLINK("https://twitter.com/petrogustavo/status/1231965680674758661","1231965680674758661")</f>
        <v>1231965680674758661</v>
      </c>
      <c r="F2622" s="7" t="s">
        <v>17</v>
      </c>
      <c r="G2622" s="7">
        <v>3645764</v>
      </c>
      <c r="H2622" s="7">
        <v>2354</v>
      </c>
      <c r="I2622" s="7">
        <v>1810</v>
      </c>
      <c r="J2622" s="7">
        <v>0</v>
      </c>
      <c r="K2622" s="7" t="s">
        <v>18</v>
      </c>
      <c r="L2622" s="8">
        <v>39987.315405092595</v>
      </c>
      <c r="M2622" s="9" t="s">
        <v>19</v>
      </c>
      <c r="N2622" s="9" t="s">
        <v>20</v>
      </c>
      <c r="O2622" s="6" t="str">
        <f>HYPERLINK("https://pbs.twimg.com/profile_images/962471262747529216/Uo8lOkRJ_normal.jpg","View")</f>
        <v>View</v>
      </c>
      <c r="P2622" s="7"/>
    </row>
    <row r="2623" spans="1:16">
      <c r="A2623" s="3">
        <v>43885.880115740743</v>
      </c>
      <c r="B2623" s="4" t="str">
        <f>HYPERLINK("https://twitter.com/petrogustavo","@petrogustavo")</f>
        <v>@petrogustavo</v>
      </c>
      <c r="C2623" s="5" t="s">
        <v>16</v>
      </c>
      <c r="D2623" s="5" t="s">
        <v>2570</v>
      </c>
      <c r="E2623" s="6" t="str">
        <f>HYPERLINK("https://twitter.com/petrogustavo/status/1231966355064225792","1231966355064225792")</f>
        <v>1231966355064225792</v>
      </c>
      <c r="F2623" s="7" t="s">
        <v>17</v>
      </c>
      <c r="G2623" s="7">
        <v>3645764</v>
      </c>
      <c r="H2623" s="7">
        <v>2354</v>
      </c>
      <c r="I2623" s="7">
        <v>8</v>
      </c>
      <c r="J2623" s="7">
        <v>92</v>
      </c>
      <c r="K2623" s="7" t="s">
        <v>18</v>
      </c>
      <c r="L2623" s="8">
        <v>39987.315405092595</v>
      </c>
      <c r="M2623" s="9" t="s">
        <v>19</v>
      </c>
      <c r="N2623" s="9" t="s">
        <v>20</v>
      </c>
      <c r="O2623" s="6" t="str">
        <f>HYPERLINK("https://pbs.twimg.com/profile_images/962471262747529216/Uo8lOkRJ_normal.jpg","View")</f>
        <v>View</v>
      </c>
      <c r="P2623" s="7"/>
    </row>
    <row r="2624" spans="1:16">
      <c r="A2624" s="3">
        <v>43885.889074074075</v>
      </c>
      <c r="B2624" s="4" t="str">
        <f>HYPERLINK("https://twitter.com/petrogustavo","@petrogustavo")</f>
        <v>@petrogustavo</v>
      </c>
      <c r="C2624" s="5" t="s">
        <v>16</v>
      </c>
      <c r="D2624" s="5" t="s">
        <v>2571</v>
      </c>
      <c r="E2624" s="6" t="str">
        <f>HYPERLINK("https://twitter.com/petrogustavo/status/1231969601728151553","1231969601728151553")</f>
        <v>1231969601728151553</v>
      </c>
      <c r="F2624" s="7" t="s">
        <v>17</v>
      </c>
      <c r="G2624" s="7">
        <v>3645788</v>
      </c>
      <c r="H2624" s="7">
        <v>2354</v>
      </c>
      <c r="I2624" s="7">
        <v>88</v>
      </c>
      <c r="J2624" s="7">
        <v>187</v>
      </c>
      <c r="K2624" s="7" t="s">
        <v>18</v>
      </c>
      <c r="L2624" s="8">
        <v>39987.315405092595</v>
      </c>
      <c r="M2624" s="9" t="s">
        <v>19</v>
      </c>
      <c r="N2624" s="9" t="s">
        <v>20</v>
      </c>
      <c r="O2624" s="6" t="str">
        <f>HYPERLINK("https://pbs.twimg.com/profile_images/962471262747529216/Uo8lOkRJ_normal.jpg","View")</f>
        <v>View</v>
      </c>
      <c r="P2624" s="7"/>
    </row>
    <row r="2625" spans="1:16">
      <c r="A2625" s="3">
        <v>43885.942106481481</v>
      </c>
      <c r="B2625" s="4" t="str">
        <f>HYPERLINK("https://twitter.com/petrogustavo","@petrogustavo")</f>
        <v>@petrogustavo</v>
      </c>
      <c r="C2625" s="5" t="s">
        <v>16</v>
      </c>
      <c r="D2625" s="5" t="s">
        <v>2572</v>
      </c>
      <c r="E2625" s="6" t="str">
        <f>HYPERLINK("https://twitter.com/petrogustavo/status/1231988820331188225","1231988820331188225")</f>
        <v>1231988820331188225</v>
      </c>
      <c r="F2625" s="7" t="s">
        <v>32</v>
      </c>
      <c r="G2625" s="7">
        <v>3645852</v>
      </c>
      <c r="H2625" s="7">
        <v>2354</v>
      </c>
      <c r="I2625" s="7">
        <v>53</v>
      </c>
      <c r="J2625" s="7">
        <v>0</v>
      </c>
      <c r="K2625" s="7" t="s">
        <v>18</v>
      </c>
      <c r="L2625" s="8">
        <v>39987.315405092595</v>
      </c>
      <c r="M2625" s="9" t="s">
        <v>19</v>
      </c>
      <c r="N2625" s="9" t="s">
        <v>20</v>
      </c>
      <c r="O2625" s="6" t="str">
        <f>HYPERLINK("https://pbs.twimg.com/profile_images/962471262747529216/Uo8lOkRJ_normal.jpg","View")</f>
        <v>View</v>
      </c>
      <c r="P2625" s="7"/>
    </row>
    <row r="2626" spans="1:16">
      <c r="A2626" s="3">
        <v>43886.048171296294</v>
      </c>
      <c r="B2626" s="4" t="str">
        <f>HYPERLINK("https://twitter.com/petrogustavo","@petrogustavo")</f>
        <v>@petrogustavo</v>
      </c>
      <c r="C2626" s="5" t="s">
        <v>16</v>
      </c>
      <c r="D2626" s="5" t="s">
        <v>2573</v>
      </c>
      <c r="E2626" s="6" t="str">
        <f>HYPERLINK("https://twitter.com/petrogustavo/status/1232027257100800000","1232027257100800000")</f>
        <v>1232027257100800000</v>
      </c>
      <c r="F2626" s="7" t="s">
        <v>17</v>
      </c>
      <c r="G2626" s="7">
        <v>3645995</v>
      </c>
      <c r="H2626" s="7">
        <v>2354</v>
      </c>
      <c r="I2626" s="7">
        <v>139</v>
      </c>
      <c r="J2626" s="7">
        <v>0</v>
      </c>
      <c r="K2626" s="7" t="s">
        <v>18</v>
      </c>
      <c r="L2626" s="8">
        <v>39987.315405092595</v>
      </c>
      <c r="M2626" s="9" t="s">
        <v>19</v>
      </c>
      <c r="N2626" s="9" t="s">
        <v>20</v>
      </c>
      <c r="O2626" s="6" t="str">
        <f>HYPERLINK("https://pbs.twimg.com/profile_images/962471262747529216/Uo8lOkRJ_normal.jpg","View")</f>
        <v>View</v>
      </c>
      <c r="P2626" s="7"/>
    </row>
    <row r="2627" spans="1:16">
      <c r="A2627" s="3">
        <v>43886.053090277783</v>
      </c>
      <c r="B2627" s="4" t="str">
        <f>HYPERLINK("https://twitter.com/petrogustavo","@petrogustavo")</f>
        <v>@petrogustavo</v>
      </c>
      <c r="C2627" s="5" t="s">
        <v>16</v>
      </c>
      <c r="D2627" s="5" t="s">
        <v>2574</v>
      </c>
      <c r="E2627" s="6" t="str">
        <f>HYPERLINK("https://twitter.com/petrogustavo/status/1232029040728510466","1232029040728510466")</f>
        <v>1232029040728510466</v>
      </c>
      <c r="F2627" s="7" t="s">
        <v>17</v>
      </c>
      <c r="G2627" s="7">
        <v>3645995</v>
      </c>
      <c r="H2627" s="7">
        <v>2354</v>
      </c>
      <c r="I2627" s="7">
        <v>3</v>
      </c>
      <c r="J2627" s="7">
        <v>11</v>
      </c>
      <c r="K2627" s="7" t="s">
        <v>18</v>
      </c>
      <c r="L2627" s="8">
        <v>39987.315405092595</v>
      </c>
      <c r="M2627" s="9" t="s">
        <v>19</v>
      </c>
      <c r="N2627" s="9" t="s">
        <v>20</v>
      </c>
      <c r="O2627" s="6" t="str">
        <f>HYPERLINK("https://pbs.twimg.com/profile_images/962471262747529216/Uo8lOkRJ_normal.jpg","View")</f>
        <v>View</v>
      </c>
      <c r="P2627" s="7"/>
    </row>
    <row r="2628" spans="1:16">
      <c r="A2628" s="3">
        <v>43886.056145833332</v>
      </c>
      <c r="B2628" s="4" t="str">
        <f>HYPERLINK("https://twitter.com/petrogustavo","@petrogustavo")</f>
        <v>@petrogustavo</v>
      </c>
      <c r="C2628" s="5" t="s">
        <v>16</v>
      </c>
      <c r="D2628" s="5" t="s">
        <v>2575</v>
      </c>
      <c r="E2628" s="6" t="str">
        <f>HYPERLINK("https://twitter.com/petrogustavo/status/1232030146691059715","1232030146691059715")</f>
        <v>1232030146691059715</v>
      </c>
      <c r="F2628" s="7" t="s">
        <v>17</v>
      </c>
      <c r="G2628" s="7">
        <v>3646030</v>
      </c>
      <c r="H2628" s="7">
        <v>2355</v>
      </c>
      <c r="I2628" s="7">
        <v>263</v>
      </c>
      <c r="J2628" s="7">
        <v>0</v>
      </c>
      <c r="K2628" s="7" t="s">
        <v>18</v>
      </c>
      <c r="L2628" s="8">
        <v>39987.315405092595</v>
      </c>
      <c r="M2628" s="9" t="s">
        <v>19</v>
      </c>
      <c r="N2628" s="9" t="s">
        <v>20</v>
      </c>
      <c r="O2628" s="6" t="str">
        <f>HYPERLINK("https://pbs.twimg.com/profile_images/962471262747529216/Uo8lOkRJ_normal.jpg","View")</f>
        <v>View</v>
      </c>
      <c r="P2628" s="7"/>
    </row>
    <row r="2629" spans="1:16">
      <c r="A2629" s="3">
        <v>43886.05850694445</v>
      </c>
      <c r="B2629" s="4" t="str">
        <f>HYPERLINK("https://twitter.com/petrogustavo","@petrogustavo")</f>
        <v>@petrogustavo</v>
      </c>
      <c r="C2629" s="5" t="s">
        <v>16</v>
      </c>
      <c r="D2629" s="5" t="s">
        <v>2576</v>
      </c>
      <c r="E2629" s="6" t="str">
        <f>HYPERLINK("https://twitter.com/petrogustavo/status/1232031001804787715","1232031001804787715")</f>
        <v>1232031001804787715</v>
      </c>
      <c r="F2629" s="7" t="s">
        <v>17</v>
      </c>
      <c r="G2629" s="7">
        <v>3646030</v>
      </c>
      <c r="H2629" s="7">
        <v>2355</v>
      </c>
      <c r="I2629" s="7">
        <v>33</v>
      </c>
      <c r="J2629" s="7">
        <v>0</v>
      </c>
      <c r="K2629" s="7" t="s">
        <v>18</v>
      </c>
      <c r="L2629" s="8">
        <v>39987.315405092595</v>
      </c>
      <c r="M2629" s="9" t="s">
        <v>19</v>
      </c>
      <c r="N2629" s="9" t="s">
        <v>20</v>
      </c>
      <c r="O2629" s="6" t="str">
        <f>HYPERLINK("https://pbs.twimg.com/profile_images/962471262747529216/Uo8lOkRJ_normal.jpg","View")</f>
        <v>View</v>
      </c>
      <c r="P2629" s="7"/>
    </row>
    <row r="2630" spans="1:16">
      <c r="A2630" s="3">
        <v>43886.062118055561</v>
      </c>
      <c r="B2630" s="4" t="str">
        <f>HYPERLINK("https://twitter.com/petrogustavo","@petrogustavo")</f>
        <v>@petrogustavo</v>
      </c>
      <c r="C2630" s="5" t="s">
        <v>16</v>
      </c>
      <c r="D2630" s="5" t="s">
        <v>2577</v>
      </c>
      <c r="E2630" s="6" t="str">
        <f>HYPERLINK("https://twitter.com/petrogustavo/status/1232032310968639488","1232032310968639488")</f>
        <v>1232032310968639488</v>
      </c>
      <c r="F2630" s="7" t="s">
        <v>17</v>
      </c>
      <c r="G2630" s="7">
        <v>3646030</v>
      </c>
      <c r="H2630" s="7">
        <v>2355</v>
      </c>
      <c r="I2630" s="7">
        <v>90</v>
      </c>
      <c r="J2630" s="7">
        <v>249</v>
      </c>
      <c r="K2630" s="7" t="s">
        <v>18</v>
      </c>
      <c r="L2630" s="8">
        <v>39987.315405092595</v>
      </c>
      <c r="M2630" s="9" t="s">
        <v>19</v>
      </c>
      <c r="N2630" s="9" t="s">
        <v>20</v>
      </c>
      <c r="O2630" s="6" t="str">
        <f>HYPERLINK("https://pbs.twimg.com/profile_images/962471262747529216/Uo8lOkRJ_normal.jpg","View")</f>
        <v>View</v>
      </c>
      <c r="P2630" s="7"/>
    </row>
    <row r="2631" spans="1:16">
      <c r="A2631" s="3">
        <v>43886.065949074073</v>
      </c>
      <c r="B2631" s="4" t="str">
        <f>HYPERLINK("https://twitter.com/petrogustavo","@petrogustavo")</f>
        <v>@petrogustavo</v>
      </c>
      <c r="C2631" s="5" t="s">
        <v>16</v>
      </c>
      <c r="D2631" s="5" t="s">
        <v>2578</v>
      </c>
      <c r="E2631" s="6" t="str">
        <f>HYPERLINK("https://twitter.com/petrogustavo/status/1232033699723644928","1232033699723644928")</f>
        <v>1232033699723644928</v>
      </c>
      <c r="F2631" s="7" t="s">
        <v>17</v>
      </c>
      <c r="G2631" s="7">
        <v>3646030</v>
      </c>
      <c r="H2631" s="7">
        <v>2355</v>
      </c>
      <c r="I2631" s="7">
        <v>112</v>
      </c>
      <c r="J2631" s="7">
        <v>0</v>
      </c>
      <c r="K2631" s="7" t="s">
        <v>18</v>
      </c>
      <c r="L2631" s="8">
        <v>39987.315405092595</v>
      </c>
      <c r="M2631" s="9" t="s">
        <v>19</v>
      </c>
      <c r="N2631" s="9" t="s">
        <v>20</v>
      </c>
      <c r="O2631" s="6" t="str">
        <f>HYPERLINK("https://pbs.twimg.com/profile_images/962471262747529216/Uo8lOkRJ_normal.jpg","View")</f>
        <v>View</v>
      </c>
      <c r="P2631" s="7"/>
    </row>
    <row r="2632" spans="1:16">
      <c r="A2632" s="3">
        <v>43886.066909722227</v>
      </c>
      <c r="B2632" s="4" t="str">
        <f>HYPERLINK("https://twitter.com/petrogustavo","@petrogustavo")</f>
        <v>@petrogustavo</v>
      </c>
      <c r="C2632" s="5" t="s">
        <v>16</v>
      </c>
      <c r="D2632" s="5" t="s">
        <v>2579</v>
      </c>
      <c r="E2632" s="6" t="str">
        <f>HYPERLINK("https://twitter.com/petrogustavo/status/1232034045938339844","1232034045938339844")</f>
        <v>1232034045938339844</v>
      </c>
      <c r="F2632" s="7" t="s">
        <v>17</v>
      </c>
      <c r="G2632" s="7">
        <v>3646030</v>
      </c>
      <c r="H2632" s="7">
        <v>2355</v>
      </c>
      <c r="I2632" s="7">
        <v>26</v>
      </c>
      <c r="J2632" s="7">
        <v>0</v>
      </c>
      <c r="K2632" s="7" t="s">
        <v>18</v>
      </c>
      <c r="L2632" s="8">
        <v>39987.315405092595</v>
      </c>
      <c r="M2632" s="9" t="s">
        <v>19</v>
      </c>
      <c r="N2632" s="9" t="s">
        <v>20</v>
      </c>
      <c r="O2632" s="6" t="str">
        <f>HYPERLINK("https://pbs.twimg.com/profile_images/962471262747529216/Uo8lOkRJ_normal.jpg","View")</f>
        <v>View</v>
      </c>
      <c r="P2632" s="7"/>
    </row>
    <row r="2633" spans="1:16">
      <c r="A2633" s="3">
        <v>43886.072581018518</v>
      </c>
      <c r="B2633" s="4" t="str">
        <f>HYPERLINK("https://twitter.com/petrogustavo","@petrogustavo")</f>
        <v>@petrogustavo</v>
      </c>
      <c r="C2633" s="5" t="s">
        <v>16</v>
      </c>
      <c r="D2633" s="5" t="s">
        <v>2580</v>
      </c>
      <c r="E2633" s="6" t="str">
        <f>HYPERLINK("https://twitter.com/petrogustavo/status/1232036100975288320","1232036100975288320")</f>
        <v>1232036100975288320</v>
      </c>
      <c r="F2633" s="7" t="s">
        <v>17</v>
      </c>
      <c r="G2633" s="7">
        <v>3646030</v>
      </c>
      <c r="H2633" s="7">
        <v>2355</v>
      </c>
      <c r="I2633" s="7">
        <v>993</v>
      </c>
      <c r="J2633" s="7">
        <v>0</v>
      </c>
      <c r="K2633" s="7" t="s">
        <v>18</v>
      </c>
      <c r="L2633" s="8">
        <v>39987.315405092595</v>
      </c>
      <c r="M2633" s="9" t="s">
        <v>19</v>
      </c>
      <c r="N2633" s="9" t="s">
        <v>20</v>
      </c>
      <c r="O2633" s="6" t="str">
        <f>HYPERLINK("https://pbs.twimg.com/profile_images/962471262747529216/Uo8lOkRJ_normal.jpg","View")</f>
        <v>View</v>
      </c>
      <c r="P2633" s="7"/>
    </row>
    <row r="2634" spans="1:16">
      <c r="A2634" s="3">
        <v>43886.076365740737</v>
      </c>
      <c r="B2634" s="4" t="str">
        <f>HYPERLINK("https://twitter.com/petrogustavo","@petrogustavo")</f>
        <v>@petrogustavo</v>
      </c>
      <c r="C2634" s="5" t="s">
        <v>16</v>
      </c>
      <c r="D2634" s="5" t="s">
        <v>2581</v>
      </c>
      <c r="E2634" s="6" t="str">
        <f>HYPERLINK("https://twitter.com/petrogustavo/status/1232037473204785152","1232037473204785152")</f>
        <v>1232037473204785152</v>
      </c>
      <c r="F2634" s="7" t="s">
        <v>17</v>
      </c>
      <c r="G2634" s="7">
        <v>3646056</v>
      </c>
      <c r="H2634" s="7">
        <v>2355</v>
      </c>
      <c r="I2634" s="7">
        <v>88</v>
      </c>
      <c r="J2634" s="7">
        <v>169</v>
      </c>
      <c r="K2634" s="7" t="s">
        <v>18</v>
      </c>
      <c r="L2634" s="8">
        <v>39987.315405092595</v>
      </c>
      <c r="M2634" s="9" t="s">
        <v>19</v>
      </c>
      <c r="N2634" s="9" t="s">
        <v>20</v>
      </c>
      <c r="O2634" s="6" t="str">
        <f>HYPERLINK("https://pbs.twimg.com/profile_images/962471262747529216/Uo8lOkRJ_normal.jpg","View")</f>
        <v>View</v>
      </c>
      <c r="P2634" s="7"/>
    </row>
    <row r="2635" spans="1:16">
      <c r="A2635" s="3">
        <v>43886.080150462964</v>
      </c>
      <c r="B2635" s="4" t="str">
        <f>HYPERLINK("https://twitter.com/petrogustavo","@petrogustavo")</f>
        <v>@petrogustavo</v>
      </c>
      <c r="C2635" s="5" t="s">
        <v>16</v>
      </c>
      <c r="D2635" s="5" t="s">
        <v>2582</v>
      </c>
      <c r="E2635" s="6" t="str">
        <f>HYPERLINK("https://twitter.com/petrogustavo/status/1232038843240632320","1232038843240632320")</f>
        <v>1232038843240632320</v>
      </c>
      <c r="F2635" s="7" t="s">
        <v>17</v>
      </c>
      <c r="G2635" s="7">
        <v>3646056</v>
      </c>
      <c r="H2635" s="7">
        <v>2355</v>
      </c>
      <c r="I2635" s="7">
        <v>69</v>
      </c>
      <c r="J2635" s="7">
        <v>166</v>
      </c>
      <c r="K2635" s="7" t="s">
        <v>18</v>
      </c>
      <c r="L2635" s="8">
        <v>39987.315405092595</v>
      </c>
      <c r="M2635" s="9" t="s">
        <v>19</v>
      </c>
      <c r="N2635" s="9" t="s">
        <v>20</v>
      </c>
      <c r="O2635" s="6" t="str">
        <f>HYPERLINK("https://pbs.twimg.com/profile_images/962471262747529216/Uo8lOkRJ_normal.jpg","View")</f>
        <v>View</v>
      </c>
      <c r="P2635" s="7"/>
    </row>
    <row r="2636" spans="1:16">
      <c r="A2636" s="3">
        <v>43886.084745370375</v>
      </c>
      <c r="B2636" s="4" t="str">
        <f>HYPERLINK("https://twitter.com/petrogustavo","@petrogustavo")</f>
        <v>@petrogustavo</v>
      </c>
      <c r="C2636" s="5" t="s">
        <v>16</v>
      </c>
      <c r="D2636" s="5" t="s">
        <v>2583</v>
      </c>
      <c r="E2636" s="6" t="str">
        <f>HYPERLINK("https://twitter.com/petrogustavo/status/1232040512091283456","1232040512091283456")</f>
        <v>1232040512091283456</v>
      </c>
      <c r="F2636" s="7" t="s">
        <v>32</v>
      </c>
      <c r="G2636" s="7">
        <v>3646056</v>
      </c>
      <c r="H2636" s="7">
        <v>2355</v>
      </c>
      <c r="I2636" s="7">
        <v>123</v>
      </c>
      <c r="J2636" s="7">
        <v>263</v>
      </c>
      <c r="K2636" s="7" t="s">
        <v>18</v>
      </c>
      <c r="L2636" s="8">
        <v>39987.315405092595</v>
      </c>
      <c r="M2636" s="9" t="s">
        <v>19</v>
      </c>
      <c r="N2636" s="9" t="s">
        <v>20</v>
      </c>
      <c r="O2636" s="6" t="str">
        <f>HYPERLINK("https://pbs.twimg.com/profile_images/962471262747529216/Uo8lOkRJ_normal.jpg","View")</f>
        <v>View</v>
      </c>
      <c r="P2636" s="7"/>
    </row>
    <row r="2637" spans="1:16">
      <c r="A2637" s="3">
        <v>43886.089004629626</v>
      </c>
      <c r="B2637" s="4" t="str">
        <f>HYPERLINK("https://twitter.com/petrogustavo","@petrogustavo")</f>
        <v>@petrogustavo</v>
      </c>
      <c r="C2637" s="5" t="s">
        <v>16</v>
      </c>
      <c r="D2637" s="5" t="s">
        <v>2584</v>
      </c>
      <c r="E2637" s="6" t="str">
        <f>HYPERLINK("https://twitter.com/petrogustavo/status/1232042054944948225","1232042054944948225")</f>
        <v>1232042054944948225</v>
      </c>
      <c r="F2637" s="7" t="s">
        <v>17</v>
      </c>
      <c r="G2637" s="7">
        <v>3646056</v>
      </c>
      <c r="H2637" s="7">
        <v>2355</v>
      </c>
      <c r="I2637" s="7">
        <v>23</v>
      </c>
      <c r="J2637" s="7">
        <v>0</v>
      </c>
      <c r="K2637" s="7" t="s">
        <v>18</v>
      </c>
      <c r="L2637" s="8">
        <v>39987.315405092595</v>
      </c>
      <c r="M2637" s="9" t="s">
        <v>19</v>
      </c>
      <c r="N2637" s="9" t="s">
        <v>20</v>
      </c>
      <c r="O2637" s="6" t="str">
        <f>HYPERLINK("https://pbs.twimg.com/profile_images/962471262747529216/Uo8lOkRJ_normal.jpg","View")</f>
        <v>View</v>
      </c>
      <c r="P2637" s="7"/>
    </row>
    <row r="2638" spans="1:16">
      <c r="A2638" s="3">
        <v>43886.159479166672</v>
      </c>
      <c r="B2638" s="4" t="str">
        <f>HYPERLINK("https://twitter.com/petrogustavo","@petrogustavo")</f>
        <v>@petrogustavo</v>
      </c>
      <c r="C2638" s="5" t="s">
        <v>16</v>
      </c>
      <c r="D2638" s="5" t="s">
        <v>2585</v>
      </c>
      <c r="E2638" s="6" t="str">
        <f>HYPERLINK("https://twitter.com/petrogustavo/status/1232067594276016130","1232067594276016130")</f>
        <v>1232067594276016130</v>
      </c>
      <c r="F2638" s="7" t="s">
        <v>32</v>
      </c>
      <c r="G2638" s="7">
        <v>3646141</v>
      </c>
      <c r="H2638" s="7">
        <v>2355</v>
      </c>
      <c r="I2638" s="7">
        <v>17</v>
      </c>
      <c r="J2638" s="7">
        <v>0</v>
      </c>
      <c r="K2638" s="7" t="s">
        <v>18</v>
      </c>
      <c r="L2638" s="8">
        <v>39987.315405092595</v>
      </c>
      <c r="M2638" s="9" t="s">
        <v>19</v>
      </c>
      <c r="N2638" s="9" t="s">
        <v>20</v>
      </c>
      <c r="O2638" s="6" t="str">
        <f>HYPERLINK("https://pbs.twimg.com/profile_images/962471262747529216/Uo8lOkRJ_normal.jpg","View")</f>
        <v>View</v>
      </c>
      <c r="P2638" s="7"/>
    </row>
    <row r="2639" spans="1:16">
      <c r="A2639" s="3">
        <v>43886.16101851852</v>
      </c>
      <c r="B2639" s="4" t="str">
        <f>HYPERLINK("https://twitter.com/petrogustavo","@petrogustavo")</f>
        <v>@petrogustavo</v>
      </c>
      <c r="C2639" s="5" t="s">
        <v>16</v>
      </c>
      <c r="D2639" s="5" t="s">
        <v>2586</v>
      </c>
      <c r="E2639" s="6" t="str">
        <f>HYPERLINK("https://twitter.com/petrogustavo/status/1232068152307089419","1232068152307089419")</f>
        <v>1232068152307089419</v>
      </c>
      <c r="F2639" s="7" t="s">
        <v>32</v>
      </c>
      <c r="G2639" s="7">
        <v>3646141</v>
      </c>
      <c r="H2639" s="7">
        <v>2355</v>
      </c>
      <c r="I2639" s="7">
        <v>1027</v>
      </c>
      <c r="J2639" s="7">
        <v>0</v>
      </c>
      <c r="K2639" s="7" t="s">
        <v>18</v>
      </c>
      <c r="L2639" s="8">
        <v>39987.315405092595</v>
      </c>
      <c r="M2639" s="9" t="s">
        <v>19</v>
      </c>
      <c r="N2639" s="9" t="s">
        <v>20</v>
      </c>
      <c r="O2639" s="6" t="str">
        <f>HYPERLINK("https://pbs.twimg.com/profile_images/962471262747529216/Uo8lOkRJ_normal.jpg","View")</f>
        <v>View</v>
      </c>
      <c r="P2639" s="7"/>
    </row>
    <row r="2640" spans="1:16">
      <c r="A2640" s="3">
        <v>43886.163298611107</v>
      </c>
      <c r="B2640" s="4" t="str">
        <f>HYPERLINK("https://twitter.com/petrogustavo","@petrogustavo")</f>
        <v>@petrogustavo</v>
      </c>
      <c r="C2640" s="5" t="s">
        <v>16</v>
      </c>
      <c r="D2640" s="5" t="s">
        <v>2587</v>
      </c>
      <c r="E2640" s="6" t="str">
        <f>HYPERLINK("https://twitter.com/petrogustavo/status/1232068975602827264","1232068975602827264")</f>
        <v>1232068975602827264</v>
      </c>
      <c r="F2640" s="7" t="s">
        <v>32</v>
      </c>
      <c r="G2640" s="7">
        <v>3646141</v>
      </c>
      <c r="H2640" s="7">
        <v>2355</v>
      </c>
      <c r="I2640" s="7">
        <v>86</v>
      </c>
      <c r="J2640" s="7">
        <v>0</v>
      </c>
      <c r="K2640" s="7" t="s">
        <v>18</v>
      </c>
      <c r="L2640" s="8">
        <v>39987.315405092595</v>
      </c>
      <c r="M2640" s="9" t="s">
        <v>19</v>
      </c>
      <c r="N2640" s="9" t="s">
        <v>20</v>
      </c>
      <c r="O2640" s="6" t="str">
        <f>HYPERLINK("https://pbs.twimg.com/profile_images/962471262747529216/Uo8lOkRJ_normal.jpg","View")</f>
        <v>View</v>
      </c>
      <c r="P2640" s="7"/>
    </row>
    <row r="2641" spans="1:16">
      <c r="A2641" s="3">
        <v>43886.163831018523</v>
      </c>
      <c r="B2641" s="4" t="str">
        <f>HYPERLINK("https://twitter.com/petrogustavo","@petrogustavo")</f>
        <v>@petrogustavo</v>
      </c>
      <c r="C2641" s="5" t="s">
        <v>16</v>
      </c>
      <c r="D2641" s="5" t="s">
        <v>2588</v>
      </c>
      <c r="E2641" s="6" t="str">
        <f>HYPERLINK("https://twitter.com/petrogustavo/status/1232069170747101187","1232069170747101187")</f>
        <v>1232069170747101187</v>
      </c>
      <c r="F2641" s="7" t="s">
        <v>32</v>
      </c>
      <c r="G2641" s="7">
        <v>3646141</v>
      </c>
      <c r="H2641" s="7">
        <v>2355</v>
      </c>
      <c r="I2641" s="7">
        <v>635</v>
      </c>
      <c r="J2641" s="7">
        <v>0</v>
      </c>
      <c r="K2641" s="7" t="s">
        <v>18</v>
      </c>
      <c r="L2641" s="8">
        <v>39987.315405092595</v>
      </c>
      <c r="M2641" s="9" t="s">
        <v>19</v>
      </c>
      <c r="N2641" s="9" t="s">
        <v>20</v>
      </c>
      <c r="O2641" s="6" t="str">
        <f>HYPERLINK("https://pbs.twimg.com/profile_images/962471262747529216/Uo8lOkRJ_normal.jpg","View")</f>
        <v>View</v>
      </c>
      <c r="P2641" s="7"/>
    </row>
    <row r="2642" spans="1:16">
      <c r="A2642" s="3">
        <v>43886.165208333332</v>
      </c>
      <c r="B2642" s="4" t="str">
        <f>HYPERLINK("https://twitter.com/petrogustavo","@petrogustavo")</f>
        <v>@petrogustavo</v>
      </c>
      <c r="C2642" s="5" t="s">
        <v>16</v>
      </c>
      <c r="D2642" s="5" t="s">
        <v>2589</v>
      </c>
      <c r="E2642" s="6" t="str">
        <f>HYPERLINK("https://twitter.com/petrogustavo/status/1232069669005209602","1232069669005209602")</f>
        <v>1232069669005209602</v>
      </c>
      <c r="F2642" s="7" t="s">
        <v>32</v>
      </c>
      <c r="G2642" s="7">
        <v>3646141</v>
      </c>
      <c r="H2642" s="7">
        <v>2355</v>
      </c>
      <c r="I2642" s="7">
        <v>105</v>
      </c>
      <c r="J2642" s="7">
        <v>228</v>
      </c>
      <c r="K2642" s="7" t="s">
        <v>18</v>
      </c>
      <c r="L2642" s="8">
        <v>39987.315405092595</v>
      </c>
      <c r="M2642" s="9" t="s">
        <v>19</v>
      </c>
      <c r="N2642" s="9" t="s">
        <v>20</v>
      </c>
      <c r="O2642" s="6" t="str">
        <f>HYPERLINK("https://pbs.twimg.com/profile_images/962471262747529216/Uo8lOkRJ_normal.jpg","View")</f>
        <v>View</v>
      </c>
      <c r="P2642" s="7"/>
    </row>
    <row r="2643" spans="1:16">
      <c r="A2643" s="3">
        <v>43886.227974537032</v>
      </c>
      <c r="B2643" s="4" t="str">
        <f>HYPERLINK("https://twitter.com/petrogustavo","@petrogustavo")</f>
        <v>@petrogustavo</v>
      </c>
      <c r="C2643" s="5" t="s">
        <v>16</v>
      </c>
      <c r="D2643" s="5" t="s">
        <v>2590</v>
      </c>
      <c r="E2643" s="6" t="str">
        <f>HYPERLINK("https://twitter.com/petrogustavo/status/1232092414061555717","1232092414061555717")</f>
        <v>1232092414061555717</v>
      </c>
      <c r="F2643" s="7" t="s">
        <v>32</v>
      </c>
      <c r="G2643" s="7">
        <v>3646214</v>
      </c>
      <c r="H2643" s="7">
        <v>2355</v>
      </c>
      <c r="I2643" s="7">
        <v>1768</v>
      </c>
      <c r="J2643" s="7">
        <v>0</v>
      </c>
      <c r="K2643" s="7" t="s">
        <v>18</v>
      </c>
      <c r="L2643" s="8">
        <v>39987.315405092595</v>
      </c>
      <c r="M2643" s="9" t="s">
        <v>19</v>
      </c>
      <c r="N2643" s="9" t="s">
        <v>20</v>
      </c>
      <c r="O2643" s="6" t="str">
        <f>HYPERLINK("https://pbs.twimg.com/profile_images/962471262747529216/Uo8lOkRJ_normal.jpg","View")</f>
        <v>View</v>
      </c>
      <c r="P2643" s="7"/>
    </row>
    <row r="2644" spans="1:16">
      <c r="A2644" s="3">
        <v>43886.303553240738</v>
      </c>
      <c r="B2644" s="4" t="str">
        <f>HYPERLINK("https://twitter.com/petrogustavo","@petrogustavo")</f>
        <v>@petrogustavo</v>
      </c>
      <c r="C2644" s="5" t="s">
        <v>16</v>
      </c>
      <c r="D2644" s="5" t="s">
        <v>2591</v>
      </c>
      <c r="E2644" s="6" t="str">
        <f>HYPERLINK("https://twitter.com/petrogustavo/status/1232119805056049152","1232119805056049152")</f>
        <v>1232119805056049152</v>
      </c>
      <c r="F2644" s="7" t="s">
        <v>17</v>
      </c>
      <c r="G2644" s="7">
        <v>3646304</v>
      </c>
      <c r="H2644" s="7">
        <v>2354</v>
      </c>
      <c r="I2644" s="7">
        <v>1694</v>
      </c>
      <c r="J2644" s="7">
        <v>0</v>
      </c>
      <c r="K2644" s="7" t="s">
        <v>18</v>
      </c>
      <c r="L2644" s="8">
        <v>39987.315405092595</v>
      </c>
      <c r="M2644" s="9" t="s">
        <v>19</v>
      </c>
      <c r="N2644" s="9" t="s">
        <v>20</v>
      </c>
      <c r="O2644" s="6" t="str">
        <f>HYPERLINK("https://pbs.twimg.com/profile_images/962471262747529216/Uo8lOkRJ_normal.jpg","View")</f>
        <v>View</v>
      </c>
      <c r="P2644" s="7"/>
    </row>
    <row r="2645" spans="1:16">
      <c r="A2645" s="3">
        <v>43886.307002314818</v>
      </c>
      <c r="B2645" s="4" t="str">
        <f>HYPERLINK("https://twitter.com/petrogustavo","@petrogustavo")</f>
        <v>@petrogustavo</v>
      </c>
      <c r="C2645" s="5" t="s">
        <v>16</v>
      </c>
      <c r="D2645" s="5" t="s">
        <v>2592</v>
      </c>
      <c r="E2645" s="6" t="str">
        <f>HYPERLINK("https://twitter.com/petrogustavo/status/1232121053977161729","1232121053977161729")</f>
        <v>1232121053977161729</v>
      </c>
      <c r="F2645" s="7" t="s">
        <v>17</v>
      </c>
      <c r="G2645" s="7">
        <v>3646344</v>
      </c>
      <c r="H2645" s="7">
        <v>2354</v>
      </c>
      <c r="I2645" s="7">
        <v>48</v>
      </c>
      <c r="J2645" s="7">
        <v>180</v>
      </c>
      <c r="K2645" s="7" t="s">
        <v>18</v>
      </c>
      <c r="L2645" s="8">
        <v>39987.315405092595</v>
      </c>
      <c r="M2645" s="9" t="s">
        <v>19</v>
      </c>
      <c r="N2645" s="9" t="s">
        <v>20</v>
      </c>
      <c r="O2645" s="6" t="str">
        <f>HYPERLINK("https://pbs.twimg.com/profile_images/962471262747529216/Uo8lOkRJ_normal.jpg","View")</f>
        <v>View</v>
      </c>
      <c r="P2645" s="7"/>
    </row>
    <row r="2646" spans="1:16">
      <c r="A2646" s="3">
        <v>43886.317650462966</v>
      </c>
      <c r="B2646" s="4" t="str">
        <f>HYPERLINK("https://twitter.com/petrogustavo","@petrogustavo")</f>
        <v>@petrogustavo</v>
      </c>
      <c r="C2646" s="5" t="s">
        <v>16</v>
      </c>
      <c r="D2646" s="5" t="s">
        <v>2593</v>
      </c>
      <c r="E2646" s="6" t="str">
        <f>HYPERLINK("https://twitter.com/petrogustavo/status/1232124912397168643","1232124912397168643")</f>
        <v>1232124912397168643</v>
      </c>
      <c r="F2646" s="7" t="s">
        <v>17</v>
      </c>
      <c r="G2646" s="7">
        <v>3646344</v>
      </c>
      <c r="H2646" s="7">
        <v>2354</v>
      </c>
      <c r="I2646" s="7">
        <v>76</v>
      </c>
      <c r="J2646" s="7">
        <v>176</v>
      </c>
      <c r="K2646" s="7" t="s">
        <v>18</v>
      </c>
      <c r="L2646" s="8">
        <v>39987.315405092595</v>
      </c>
      <c r="M2646" s="9" t="s">
        <v>19</v>
      </c>
      <c r="N2646" s="9" t="s">
        <v>20</v>
      </c>
      <c r="O2646" s="6" t="str">
        <f>HYPERLINK("https://pbs.twimg.com/profile_images/962471262747529216/Uo8lOkRJ_normal.jpg","View")</f>
        <v>View</v>
      </c>
      <c r="P2646" s="7"/>
    </row>
    <row r="2647" spans="1:16">
      <c r="A2647" s="3">
        <v>43887.082870370374</v>
      </c>
      <c r="B2647" s="4" t="str">
        <f>HYPERLINK("https://twitter.com/petrogustavo","@petrogustavo")</f>
        <v>@petrogustavo</v>
      </c>
      <c r="C2647" s="5" t="s">
        <v>16</v>
      </c>
      <c r="D2647" s="5" t="s">
        <v>2594</v>
      </c>
      <c r="E2647" s="6" t="str">
        <f>HYPERLINK("https://twitter.com/petrogustavo/status/1232402218105659392","1232402218105659392")</f>
        <v>1232402218105659392</v>
      </c>
      <c r="F2647" s="7" t="s">
        <v>17</v>
      </c>
      <c r="G2647" s="7">
        <v>3647000</v>
      </c>
      <c r="H2647" s="7">
        <v>2354</v>
      </c>
      <c r="I2647" s="7">
        <v>820</v>
      </c>
      <c r="J2647" s="7">
        <v>0</v>
      </c>
      <c r="K2647" s="7" t="s">
        <v>18</v>
      </c>
      <c r="L2647" s="8">
        <v>39987.315405092595</v>
      </c>
      <c r="M2647" s="9" t="s">
        <v>19</v>
      </c>
      <c r="N2647" s="9" t="s">
        <v>20</v>
      </c>
      <c r="O2647" s="6" t="str">
        <f>HYPERLINK("https://pbs.twimg.com/profile_images/962471262747529216/Uo8lOkRJ_normal.jpg","View")</f>
        <v>View</v>
      </c>
      <c r="P2647" s="7"/>
    </row>
    <row r="2648" spans="1:16">
      <c r="A2648" s="3">
        <v>43887.08520833333</v>
      </c>
      <c r="B2648" s="4" t="str">
        <f>HYPERLINK("https://twitter.com/petrogustavo","@petrogustavo")</f>
        <v>@petrogustavo</v>
      </c>
      <c r="C2648" s="5" t="s">
        <v>16</v>
      </c>
      <c r="D2648" s="5" t="s">
        <v>2595</v>
      </c>
      <c r="E2648" s="6" t="str">
        <f>HYPERLINK("https://twitter.com/petrogustavo/status/1232403065615114240","1232403065615114240")</f>
        <v>1232403065615114240</v>
      </c>
      <c r="F2648" s="7" t="s">
        <v>17</v>
      </c>
      <c r="G2648" s="7">
        <v>3647000</v>
      </c>
      <c r="H2648" s="7">
        <v>2354</v>
      </c>
      <c r="I2648" s="7">
        <v>89</v>
      </c>
      <c r="J2648" s="7">
        <v>296</v>
      </c>
      <c r="K2648" s="7" t="s">
        <v>18</v>
      </c>
      <c r="L2648" s="8">
        <v>39987.315405092595</v>
      </c>
      <c r="M2648" s="9" t="s">
        <v>19</v>
      </c>
      <c r="N2648" s="9" t="s">
        <v>20</v>
      </c>
      <c r="O2648" s="6" t="str">
        <f>HYPERLINK("https://pbs.twimg.com/profile_images/962471262747529216/Uo8lOkRJ_normal.jpg","View")</f>
        <v>View</v>
      </c>
      <c r="P2648" s="7"/>
    </row>
    <row r="2649" spans="1:16">
      <c r="A2649" s="3">
        <v>43887.08625</v>
      </c>
      <c r="B2649" s="4" t="str">
        <f>HYPERLINK("https://twitter.com/petrogustavo","@petrogustavo")</f>
        <v>@petrogustavo</v>
      </c>
      <c r="C2649" s="5" t="s">
        <v>16</v>
      </c>
      <c r="D2649" s="5" t="s">
        <v>2596</v>
      </c>
      <c r="E2649" s="6" t="str">
        <f>HYPERLINK("https://twitter.com/petrogustavo/status/1232403442167091205","1232403442167091205")</f>
        <v>1232403442167091205</v>
      </c>
      <c r="F2649" s="7" t="s">
        <v>17</v>
      </c>
      <c r="G2649" s="7">
        <v>3647000</v>
      </c>
      <c r="H2649" s="7">
        <v>2354</v>
      </c>
      <c r="I2649" s="7">
        <v>31</v>
      </c>
      <c r="J2649" s="7">
        <v>136</v>
      </c>
      <c r="K2649" s="7" t="s">
        <v>18</v>
      </c>
      <c r="L2649" s="8">
        <v>39987.315405092595</v>
      </c>
      <c r="M2649" s="9" t="s">
        <v>19</v>
      </c>
      <c r="N2649" s="9" t="s">
        <v>20</v>
      </c>
      <c r="O2649" s="6" t="str">
        <f>HYPERLINK("https://pbs.twimg.com/profile_images/962471262747529216/Uo8lOkRJ_normal.jpg","View")</f>
        <v>View</v>
      </c>
      <c r="P2649" s="7"/>
    </row>
    <row r="2650" spans="1:16">
      <c r="A2650" s="3">
        <v>43887.090451388889</v>
      </c>
      <c r="B2650" s="4" t="str">
        <f>HYPERLINK("https://twitter.com/petrogustavo","@petrogustavo")</f>
        <v>@petrogustavo</v>
      </c>
      <c r="C2650" s="5" t="s">
        <v>16</v>
      </c>
      <c r="D2650" s="5" t="s">
        <v>2597</v>
      </c>
      <c r="E2650" s="6" t="str">
        <f>HYPERLINK("https://twitter.com/petrogustavo/status/1232404967006363654","1232404967006363654")</f>
        <v>1232404967006363654</v>
      </c>
      <c r="F2650" s="7" t="s">
        <v>17</v>
      </c>
      <c r="G2650" s="7">
        <v>3647000</v>
      </c>
      <c r="H2650" s="7">
        <v>2354</v>
      </c>
      <c r="I2650" s="7">
        <v>1678</v>
      </c>
      <c r="J2650" s="7">
        <v>0</v>
      </c>
      <c r="K2650" s="7" t="s">
        <v>18</v>
      </c>
      <c r="L2650" s="8">
        <v>39987.315405092595</v>
      </c>
      <c r="M2650" s="9" t="s">
        <v>19</v>
      </c>
      <c r="N2650" s="9" t="s">
        <v>20</v>
      </c>
      <c r="O2650" s="6" t="str">
        <f>HYPERLINK("https://pbs.twimg.com/profile_images/962471262747529216/Uo8lOkRJ_normal.jpg","View")</f>
        <v>View</v>
      </c>
      <c r="P2650" s="7"/>
    </row>
    <row r="2651" spans="1:16">
      <c r="A2651" s="3">
        <v>43887.092615740738</v>
      </c>
      <c r="B2651" s="4" t="str">
        <f>HYPERLINK("https://twitter.com/petrogustavo","@petrogustavo")</f>
        <v>@petrogustavo</v>
      </c>
      <c r="C2651" s="5" t="s">
        <v>16</v>
      </c>
      <c r="D2651" s="5" t="s">
        <v>2598</v>
      </c>
      <c r="E2651" s="6" t="str">
        <f>HYPERLINK("https://twitter.com/petrogustavo/status/1232405749294346242","1232405749294346242")</f>
        <v>1232405749294346242</v>
      </c>
      <c r="F2651" s="7" t="s">
        <v>17</v>
      </c>
      <c r="G2651" s="7">
        <v>3647000</v>
      </c>
      <c r="H2651" s="7">
        <v>2354</v>
      </c>
      <c r="I2651" s="7">
        <v>26</v>
      </c>
      <c r="J2651" s="7">
        <v>62</v>
      </c>
      <c r="K2651" s="7" t="s">
        <v>18</v>
      </c>
      <c r="L2651" s="8">
        <v>39987.315405092595</v>
      </c>
      <c r="M2651" s="9" t="s">
        <v>19</v>
      </c>
      <c r="N2651" s="9" t="s">
        <v>20</v>
      </c>
      <c r="O2651" s="6" t="str">
        <f>HYPERLINK("https://pbs.twimg.com/profile_images/962471262747529216/Uo8lOkRJ_normal.jpg","View")</f>
        <v>View</v>
      </c>
      <c r="P2651" s="7"/>
    </row>
    <row r="2652" spans="1:16">
      <c r="A2652" s="3">
        <v>43887.114363425921</v>
      </c>
      <c r="B2652" s="4" t="str">
        <f>HYPERLINK("https://twitter.com/petrogustavo","@petrogustavo")</f>
        <v>@petrogustavo</v>
      </c>
      <c r="C2652" s="5" t="s">
        <v>16</v>
      </c>
      <c r="D2652" s="5" t="s">
        <v>2599</v>
      </c>
      <c r="E2652" s="6" t="str">
        <f>HYPERLINK("https://twitter.com/petrogustavo/status/1232413630865575946","1232413630865575946")</f>
        <v>1232413630865575946</v>
      </c>
      <c r="F2652" s="7" t="s">
        <v>17</v>
      </c>
      <c r="G2652" s="7">
        <v>3647029</v>
      </c>
      <c r="H2652" s="7">
        <v>2354</v>
      </c>
      <c r="I2652" s="7">
        <v>287</v>
      </c>
      <c r="J2652" s="7">
        <v>0</v>
      </c>
      <c r="K2652" s="7" t="s">
        <v>18</v>
      </c>
      <c r="L2652" s="8">
        <v>39987.315405092595</v>
      </c>
      <c r="M2652" s="9" t="s">
        <v>19</v>
      </c>
      <c r="N2652" s="9" t="s">
        <v>20</v>
      </c>
      <c r="O2652" s="6" t="str">
        <f>HYPERLINK("https://pbs.twimg.com/profile_images/962471262747529216/Uo8lOkRJ_normal.jpg","View")</f>
        <v>View</v>
      </c>
      <c r="P2652" s="7"/>
    </row>
    <row r="2653" spans="1:16">
      <c r="A2653" s="3">
        <v>43887.118518518517</v>
      </c>
      <c r="B2653" s="4" t="str">
        <f>HYPERLINK("https://twitter.com/petrogustavo","@petrogustavo")</f>
        <v>@petrogustavo</v>
      </c>
      <c r="C2653" s="5" t="s">
        <v>16</v>
      </c>
      <c r="D2653" s="5" t="s">
        <v>2600</v>
      </c>
      <c r="E2653" s="6" t="str">
        <f>HYPERLINK("https://twitter.com/petrogustavo/status/1232415136578785280","1232415136578785280")</f>
        <v>1232415136578785280</v>
      </c>
      <c r="F2653" s="7" t="s">
        <v>17</v>
      </c>
      <c r="G2653" s="7">
        <v>3647057</v>
      </c>
      <c r="H2653" s="7">
        <v>2354</v>
      </c>
      <c r="I2653" s="7">
        <v>69</v>
      </c>
      <c r="J2653" s="7">
        <v>0</v>
      </c>
      <c r="K2653" s="7" t="s">
        <v>18</v>
      </c>
      <c r="L2653" s="8">
        <v>39987.315405092595</v>
      </c>
      <c r="M2653" s="9" t="s">
        <v>19</v>
      </c>
      <c r="N2653" s="9" t="s">
        <v>20</v>
      </c>
      <c r="O2653" s="6" t="str">
        <f>HYPERLINK("https://pbs.twimg.com/profile_images/962471262747529216/Uo8lOkRJ_normal.jpg","View")</f>
        <v>View</v>
      </c>
      <c r="P2653" s="7"/>
    </row>
    <row r="2654" spans="1:16">
      <c r="A2654" s="3">
        <v>43887.125474537039</v>
      </c>
      <c r="B2654" s="4" t="str">
        <f>HYPERLINK("https://twitter.com/petrogustavo","@petrogustavo")</f>
        <v>@petrogustavo</v>
      </c>
      <c r="C2654" s="5" t="s">
        <v>16</v>
      </c>
      <c r="D2654" s="5" t="s">
        <v>2601</v>
      </c>
      <c r="E2654" s="6" t="str">
        <f>HYPERLINK("https://twitter.com/petrogustavo/status/1232417656462086144","1232417656462086144")</f>
        <v>1232417656462086144</v>
      </c>
      <c r="F2654" s="7" t="s">
        <v>17</v>
      </c>
      <c r="G2654" s="7">
        <v>3647057</v>
      </c>
      <c r="H2654" s="7">
        <v>2354</v>
      </c>
      <c r="I2654" s="7">
        <v>64</v>
      </c>
      <c r="J2654" s="7">
        <v>0</v>
      </c>
      <c r="K2654" s="7" t="s">
        <v>18</v>
      </c>
      <c r="L2654" s="8">
        <v>39987.315405092595</v>
      </c>
      <c r="M2654" s="9" t="s">
        <v>19</v>
      </c>
      <c r="N2654" s="9" t="s">
        <v>20</v>
      </c>
      <c r="O2654" s="6" t="str">
        <f>HYPERLINK("https://pbs.twimg.com/profile_images/962471262747529216/Uo8lOkRJ_normal.jpg","View")</f>
        <v>View</v>
      </c>
      <c r="P2654" s="7"/>
    </row>
    <row r="2655" spans="1:16">
      <c r="A2655" s="3">
        <v>43887.126655092594</v>
      </c>
      <c r="B2655" s="4" t="str">
        <f>HYPERLINK("https://twitter.com/petrogustavo","@petrogustavo")</f>
        <v>@petrogustavo</v>
      </c>
      <c r="C2655" s="5" t="s">
        <v>16</v>
      </c>
      <c r="D2655" s="5" t="s">
        <v>2602</v>
      </c>
      <c r="E2655" s="6" t="str">
        <f>HYPERLINK("https://twitter.com/petrogustavo/status/1232418085686202369","1232418085686202369")</f>
        <v>1232418085686202369</v>
      </c>
      <c r="F2655" s="7" t="s">
        <v>17</v>
      </c>
      <c r="G2655" s="7">
        <v>3647057</v>
      </c>
      <c r="H2655" s="7">
        <v>2354</v>
      </c>
      <c r="I2655" s="7">
        <v>23</v>
      </c>
      <c r="J2655" s="7">
        <v>120</v>
      </c>
      <c r="K2655" s="7" t="s">
        <v>18</v>
      </c>
      <c r="L2655" s="8">
        <v>39987.315405092595</v>
      </c>
      <c r="M2655" s="9" t="s">
        <v>19</v>
      </c>
      <c r="N2655" s="9" t="s">
        <v>20</v>
      </c>
      <c r="O2655" s="6" t="str">
        <f>HYPERLINK("https://pbs.twimg.com/profile_images/962471262747529216/Uo8lOkRJ_normal.jpg","View")</f>
        <v>View</v>
      </c>
      <c r="P2655" s="7"/>
    </row>
    <row r="2656" spans="1:16">
      <c r="A2656" s="3">
        <v>43887.148530092592</v>
      </c>
      <c r="B2656" s="4" t="str">
        <f>HYPERLINK("https://twitter.com/petrogustavo","@petrogustavo")</f>
        <v>@petrogustavo</v>
      </c>
      <c r="C2656" s="5" t="s">
        <v>16</v>
      </c>
      <c r="D2656" s="5" t="s">
        <v>2603</v>
      </c>
      <c r="E2656" s="6" t="str">
        <f>HYPERLINK("https://twitter.com/petrogustavo/status/1232426012174098433","1232426012174098433")</f>
        <v>1232426012174098433</v>
      </c>
      <c r="F2656" s="7" t="s">
        <v>17</v>
      </c>
      <c r="G2656" s="7">
        <v>3647078</v>
      </c>
      <c r="H2656" s="7">
        <v>2354</v>
      </c>
      <c r="I2656" s="7">
        <v>38</v>
      </c>
      <c r="J2656" s="7">
        <v>106</v>
      </c>
      <c r="K2656" s="7" t="s">
        <v>18</v>
      </c>
      <c r="L2656" s="8">
        <v>39987.315405092595</v>
      </c>
      <c r="M2656" s="9" t="s">
        <v>19</v>
      </c>
      <c r="N2656" s="9" t="s">
        <v>20</v>
      </c>
      <c r="O2656" s="6" t="str">
        <f>HYPERLINK("https://pbs.twimg.com/profile_images/962471262747529216/Uo8lOkRJ_normal.jpg","View")</f>
        <v>View</v>
      </c>
      <c r="P2656" s="7"/>
    </row>
    <row r="2657" spans="1:16">
      <c r="A2657" s="3">
        <v>43887.164953703701</v>
      </c>
      <c r="B2657" s="4" t="str">
        <f>HYPERLINK("https://twitter.com/petrogustavo","@petrogustavo")</f>
        <v>@petrogustavo</v>
      </c>
      <c r="C2657" s="5" t="s">
        <v>16</v>
      </c>
      <c r="D2657" s="5" t="s">
        <v>2604</v>
      </c>
      <c r="E2657" s="6" t="str">
        <f>HYPERLINK("https://twitter.com/petrogustavo/status/1232431965040562176","1232431965040562176")</f>
        <v>1232431965040562176</v>
      </c>
      <c r="F2657" s="7" t="s">
        <v>17</v>
      </c>
      <c r="G2657" s="7">
        <v>3647108</v>
      </c>
      <c r="H2657" s="7">
        <v>2354</v>
      </c>
      <c r="I2657" s="7">
        <v>88</v>
      </c>
      <c r="J2657" s="7">
        <v>253</v>
      </c>
      <c r="K2657" s="7" t="s">
        <v>18</v>
      </c>
      <c r="L2657" s="8">
        <v>39987.315405092595</v>
      </c>
      <c r="M2657" s="9" t="s">
        <v>19</v>
      </c>
      <c r="N2657" s="9" t="s">
        <v>20</v>
      </c>
      <c r="O2657" s="6" t="str">
        <f>HYPERLINK("https://pbs.twimg.com/profile_images/962471262747529216/Uo8lOkRJ_normal.jpg","View")</f>
        <v>View</v>
      </c>
      <c r="P2657" s="7"/>
    </row>
    <row r="2658" spans="1:16">
      <c r="A2658" s="3">
        <v>43887.187847222223</v>
      </c>
      <c r="B2658" s="4" t="str">
        <f>HYPERLINK("https://twitter.com/petrogustavo","@petrogustavo")</f>
        <v>@petrogustavo</v>
      </c>
      <c r="C2658" s="5" t="s">
        <v>16</v>
      </c>
      <c r="D2658" s="5" t="s">
        <v>2591</v>
      </c>
      <c r="E2658" s="6" t="str">
        <f>HYPERLINK("https://twitter.com/petrogustavo/status/1232440260631511040","1232440260631511040")</f>
        <v>1232440260631511040</v>
      </c>
      <c r="F2658" s="7" t="s">
        <v>17</v>
      </c>
      <c r="G2658" s="7">
        <v>3647138</v>
      </c>
      <c r="H2658" s="7">
        <v>2354</v>
      </c>
      <c r="I2658" s="7">
        <v>1965</v>
      </c>
      <c r="J2658" s="7">
        <v>0</v>
      </c>
      <c r="K2658" s="7" t="s">
        <v>18</v>
      </c>
      <c r="L2658" s="8">
        <v>39987.315405092595</v>
      </c>
      <c r="M2658" s="9" t="s">
        <v>19</v>
      </c>
      <c r="N2658" s="9" t="s">
        <v>20</v>
      </c>
      <c r="O2658" s="6" t="str">
        <f>HYPERLINK("https://pbs.twimg.com/profile_images/962471262747529216/Uo8lOkRJ_normal.jpg","View")</f>
        <v>View</v>
      </c>
      <c r="P2658" s="7"/>
    </row>
    <row r="2659" spans="1:16">
      <c r="A2659" s="3">
        <v>43887.208229166667</v>
      </c>
      <c r="B2659" s="4" t="str">
        <f>HYPERLINK("https://twitter.com/petrogustavo","@petrogustavo")</f>
        <v>@petrogustavo</v>
      </c>
      <c r="C2659" s="5" t="s">
        <v>16</v>
      </c>
      <c r="D2659" s="5" t="s">
        <v>2605</v>
      </c>
      <c r="E2659" s="6" t="str">
        <f>HYPERLINK("https://twitter.com/petrogustavo/status/1232447649149636608","1232447649149636608")</f>
        <v>1232447649149636608</v>
      </c>
      <c r="F2659" s="7" t="s">
        <v>32</v>
      </c>
      <c r="G2659" s="7">
        <v>3647143</v>
      </c>
      <c r="H2659" s="7">
        <v>2353</v>
      </c>
      <c r="I2659" s="7">
        <v>82</v>
      </c>
      <c r="J2659" s="7">
        <v>0</v>
      </c>
      <c r="K2659" s="7" t="s">
        <v>18</v>
      </c>
      <c r="L2659" s="8">
        <v>39987.315405092595</v>
      </c>
      <c r="M2659" s="9" t="s">
        <v>19</v>
      </c>
      <c r="N2659" s="9" t="s">
        <v>20</v>
      </c>
      <c r="O2659" s="6" t="str">
        <f>HYPERLINK("https://pbs.twimg.com/profile_images/962471262747529216/Uo8lOkRJ_normal.jpg","View")</f>
        <v>View</v>
      </c>
      <c r="P2659" s="7"/>
    </row>
    <row r="2660" spans="1:16">
      <c r="A2660" s="3">
        <v>43887.218263888892</v>
      </c>
      <c r="B2660" s="4" t="str">
        <f>HYPERLINK("https://twitter.com/petrogustavo","@petrogustavo")</f>
        <v>@petrogustavo</v>
      </c>
      <c r="C2660" s="5" t="s">
        <v>16</v>
      </c>
      <c r="D2660" s="5" t="s">
        <v>2606</v>
      </c>
      <c r="E2660" s="6" t="str">
        <f>HYPERLINK("https://twitter.com/petrogustavo/status/1232451282020884481","1232451282020884481")</f>
        <v>1232451282020884481</v>
      </c>
      <c r="F2660" s="7" t="s">
        <v>32</v>
      </c>
      <c r="G2660" s="7">
        <v>3647143</v>
      </c>
      <c r="H2660" s="7">
        <v>2353</v>
      </c>
      <c r="I2660" s="7">
        <v>31</v>
      </c>
      <c r="J2660" s="7">
        <v>61</v>
      </c>
      <c r="K2660" s="7" t="s">
        <v>18</v>
      </c>
      <c r="L2660" s="8">
        <v>39987.315405092595</v>
      </c>
      <c r="M2660" s="9" t="s">
        <v>19</v>
      </c>
      <c r="N2660" s="9" t="s">
        <v>20</v>
      </c>
      <c r="O2660" s="6" t="str">
        <f>HYPERLINK("https://pbs.twimg.com/profile_images/962471262747529216/Uo8lOkRJ_normal.jpg","View")</f>
        <v>View</v>
      </c>
      <c r="P2660" s="7"/>
    </row>
    <row r="2661" spans="1:16">
      <c r="A2661" s="3">
        <v>43887.290185185186</v>
      </c>
      <c r="B2661" s="4" t="str">
        <f>HYPERLINK("https://twitter.com/petrogustavo","@petrogustavo")</f>
        <v>@petrogustavo</v>
      </c>
      <c r="C2661" s="5" t="s">
        <v>16</v>
      </c>
      <c r="D2661" s="5" t="s">
        <v>2607</v>
      </c>
      <c r="E2661" s="6" t="str">
        <f>HYPERLINK("https://twitter.com/petrogustavo/status/1232477347284017152","1232477347284017152")</f>
        <v>1232477347284017152</v>
      </c>
      <c r="F2661" s="7" t="s">
        <v>17</v>
      </c>
      <c r="G2661" s="7">
        <v>3647255</v>
      </c>
      <c r="H2661" s="7">
        <v>2353</v>
      </c>
      <c r="I2661" s="7">
        <v>145</v>
      </c>
      <c r="J2661" s="7">
        <v>280</v>
      </c>
      <c r="K2661" s="7" t="s">
        <v>18</v>
      </c>
      <c r="L2661" s="8">
        <v>39987.315405092595</v>
      </c>
      <c r="M2661" s="9" t="s">
        <v>19</v>
      </c>
      <c r="N2661" s="9" t="s">
        <v>20</v>
      </c>
      <c r="O2661" s="6" t="str">
        <f>HYPERLINK("https://pbs.twimg.com/profile_images/962471262747529216/Uo8lOkRJ_normal.jpg","View")</f>
        <v>View</v>
      </c>
      <c r="P2661" s="7"/>
    </row>
    <row r="2662" spans="1:16">
      <c r="A2662" s="3">
        <v>43887.295636574076</v>
      </c>
      <c r="B2662" s="4" t="str">
        <f>HYPERLINK("https://twitter.com/petrogustavo","@petrogustavo")</f>
        <v>@petrogustavo</v>
      </c>
      <c r="C2662" s="5" t="s">
        <v>16</v>
      </c>
      <c r="D2662" s="5" t="s">
        <v>2608</v>
      </c>
      <c r="E2662" s="6" t="str">
        <f>HYPERLINK("https://twitter.com/petrogustavo/status/1232479322310660096","1232479322310660096")</f>
        <v>1232479322310660096</v>
      </c>
      <c r="F2662" s="7" t="s">
        <v>17</v>
      </c>
      <c r="G2662" s="7">
        <v>3647255</v>
      </c>
      <c r="H2662" s="7">
        <v>2353</v>
      </c>
      <c r="I2662" s="7">
        <v>44</v>
      </c>
      <c r="J2662" s="7">
        <v>151</v>
      </c>
      <c r="K2662" s="7" t="s">
        <v>18</v>
      </c>
      <c r="L2662" s="8">
        <v>39987.315405092595</v>
      </c>
      <c r="M2662" s="9" t="s">
        <v>19</v>
      </c>
      <c r="N2662" s="9" t="s">
        <v>20</v>
      </c>
      <c r="O2662" s="6" t="str">
        <f>HYPERLINK("https://pbs.twimg.com/profile_images/962471262747529216/Uo8lOkRJ_normal.jpg","View")</f>
        <v>View</v>
      </c>
      <c r="P2662" s="7"/>
    </row>
    <row r="2663" spans="1:16">
      <c r="A2663" s="3">
        <v>43887.298668981486</v>
      </c>
      <c r="B2663" s="4" t="str">
        <f>HYPERLINK("https://twitter.com/petrogustavo","@petrogustavo")</f>
        <v>@petrogustavo</v>
      </c>
      <c r="C2663" s="5" t="s">
        <v>16</v>
      </c>
      <c r="D2663" s="5" t="s">
        <v>2609</v>
      </c>
      <c r="E2663" s="6" t="str">
        <f>HYPERLINK("https://twitter.com/petrogustavo/status/1232480420626743297","1232480420626743297")</f>
        <v>1232480420626743297</v>
      </c>
      <c r="F2663" s="7" t="s">
        <v>17</v>
      </c>
      <c r="G2663" s="7">
        <v>3647255</v>
      </c>
      <c r="H2663" s="7">
        <v>2353</v>
      </c>
      <c r="I2663" s="7">
        <v>113</v>
      </c>
      <c r="J2663" s="7">
        <v>0</v>
      </c>
      <c r="K2663" s="7" t="s">
        <v>18</v>
      </c>
      <c r="L2663" s="8">
        <v>39987.315405092595</v>
      </c>
      <c r="M2663" s="9" t="s">
        <v>19</v>
      </c>
      <c r="N2663" s="9" t="s">
        <v>20</v>
      </c>
      <c r="O2663" s="6" t="str">
        <f>HYPERLINK("https://pbs.twimg.com/profile_images/962471262747529216/Uo8lOkRJ_normal.jpg","View")</f>
        <v>View</v>
      </c>
      <c r="P2663" s="7"/>
    </row>
    <row r="2664" spans="1:16">
      <c r="A2664" s="3">
        <v>43887.304409722223</v>
      </c>
      <c r="B2664" s="4" t="str">
        <f>HYPERLINK("https://twitter.com/petrogustavo","@petrogustavo")</f>
        <v>@petrogustavo</v>
      </c>
      <c r="C2664" s="5" t="s">
        <v>16</v>
      </c>
      <c r="D2664" s="5" t="s">
        <v>2610</v>
      </c>
      <c r="E2664" s="6" t="str">
        <f>HYPERLINK("https://twitter.com/petrogustavo/status/1232482503237099526","1232482503237099526")</f>
        <v>1232482503237099526</v>
      </c>
      <c r="F2664" s="7" t="s">
        <v>17</v>
      </c>
      <c r="G2664" s="7">
        <v>3647308</v>
      </c>
      <c r="H2664" s="7">
        <v>2353</v>
      </c>
      <c r="I2664" s="7">
        <v>37</v>
      </c>
      <c r="J2664" s="7">
        <v>109</v>
      </c>
      <c r="K2664" s="7" t="s">
        <v>18</v>
      </c>
      <c r="L2664" s="8">
        <v>39987.315405092595</v>
      </c>
      <c r="M2664" s="9" t="s">
        <v>19</v>
      </c>
      <c r="N2664" s="9" t="s">
        <v>20</v>
      </c>
      <c r="O2664" s="6" t="str">
        <f>HYPERLINK("https://pbs.twimg.com/profile_images/962471262747529216/Uo8lOkRJ_normal.jpg","View")</f>
        <v>View</v>
      </c>
      <c r="P2664" s="7"/>
    </row>
    <row r="2665" spans="1:16">
      <c r="A2665" s="3">
        <v>43887.317650462966</v>
      </c>
      <c r="B2665" s="4" t="str">
        <f>HYPERLINK("https://twitter.com/petrogustavo","@petrogustavo")</f>
        <v>@petrogustavo</v>
      </c>
      <c r="C2665" s="5" t="s">
        <v>16</v>
      </c>
      <c r="D2665" s="5" t="s">
        <v>2611</v>
      </c>
      <c r="E2665" s="6" t="str">
        <f>HYPERLINK("https://twitter.com/petrogustavo/status/1232487300254199809","1232487300254199809")</f>
        <v>1232487300254199809</v>
      </c>
      <c r="F2665" s="7" t="s">
        <v>17</v>
      </c>
      <c r="G2665" s="7">
        <v>3647308</v>
      </c>
      <c r="H2665" s="7">
        <v>2353</v>
      </c>
      <c r="I2665" s="7">
        <v>43</v>
      </c>
      <c r="J2665" s="7">
        <v>154</v>
      </c>
      <c r="K2665" s="7" t="s">
        <v>18</v>
      </c>
      <c r="L2665" s="8">
        <v>39987.315405092595</v>
      </c>
      <c r="M2665" s="9" t="s">
        <v>19</v>
      </c>
      <c r="N2665" s="9" t="s">
        <v>20</v>
      </c>
      <c r="O2665" s="6" t="str">
        <f>HYPERLINK("https://pbs.twimg.com/profile_images/962471262747529216/Uo8lOkRJ_normal.jpg","View")</f>
        <v>View</v>
      </c>
      <c r="P2665" s="7"/>
    </row>
    <row r="2666" spans="1:16">
      <c r="A2666" s="3">
        <v>43887.323530092588</v>
      </c>
      <c r="B2666" s="4" t="str">
        <f>HYPERLINK("https://twitter.com/petrogustavo","@petrogustavo")</f>
        <v>@petrogustavo</v>
      </c>
      <c r="C2666" s="5" t="s">
        <v>16</v>
      </c>
      <c r="D2666" s="5" t="s">
        <v>2612</v>
      </c>
      <c r="E2666" s="6" t="str">
        <f>HYPERLINK("https://twitter.com/petrogustavo/status/1232489431057125376","1232489431057125376")</f>
        <v>1232489431057125376</v>
      </c>
      <c r="F2666" s="7" t="s">
        <v>17</v>
      </c>
      <c r="G2666" s="7">
        <v>3647308</v>
      </c>
      <c r="H2666" s="7">
        <v>2353</v>
      </c>
      <c r="I2666" s="7">
        <v>10</v>
      </c>
      <c r="J2666" s="7">
        <v>27</v>
      </c>
      <c r="K2666" s="7" t="s">
        <v>18</v>
      </c>
      <c r="L2666" s="8">
        <v>39987.315405092595</v>
      </c>
      <c r="M2666" s="9" t="s">
        <v>19</v>
      </c>
      <c r="N2666" s="9" t="s">
        <v>20</v>
      </c>
      <c r="O2666" s="6" t="str">
        <f>HYPERLINK("https://pbs.twimg.com/profile_images/962471262747529216/Uo8lOkRJ_normal.jpg","View")</f>
        <v>View</v>
      </c>
      <c r="P2666" s="7"/>
    </row>
    <row r="2667" spans="1:16">
      <c r="A2667" s="3">
        <v>43887.336643518516</v>
      </c>
      <c r="B2667" s="4" t="str">
        <f>HYPERLINK("https://twitter.com/petrogustavo","@petrogustavo")</f>
        <v>@petrogustavo</v>
      </c>
      <c r="C2667" s="5" t="s">
        <v>16</v>
      </c>
      <c r="D2667" s="5" t="s">
        <v>2613</v>
      </c>
      <c r="E2667" s="6" t="str">
        <f>HYPERLINK("https://twitter.com/petrogustavo/status/1232494184730247168","1232494184730247168")</f>
        <v>1232494184730247168</v>
      </c>
      <c r="F2667" s="7" t="s">
        <v>17</v>
      </c>
      <c r="G2667" s="7">
        <v>3647351</v>
      </c>
      <c r="H2667" s="7">
        <v>2353</v>
      </c>
      <c r="I2667" s="7">
        <v>87</v>
      </c>
      <c r="J2667" s="7">
        <v>222</v>
      </c>
      <c r="K2667" s="7" t="s">
        <v>18</v>
      </c>
      <c r="L2667" s="8">
        <v>39987.315405092595</v>
      </c>
      <c r="M2667" s="9" t="s">
        <v>19</v>
      </c>
      <c r="N2667" s="9" t="s">
        <v>20</v>
      </c>
      <c r="O2667" s="6" t="str">
        <f>HYPERLINK("https://pbs.twimg.com/profile_images/962471262747529216/Uo8lOkRJ_normal.jpg","View")</f>
        <v>View</v>
      </c>
      <c r="P2667" s="7"/>
    </row>
    <row r="2668" spans="1:16">
      <c r="A2668" s="3">
        <v>43887.336956018524</v>
      </c>
      <c r="B2668" s="4" t="str">
        <f>HYPERLINK("https://twitter.com/petrogustavo","@petrogustavo")</f>
        <v>@petrogustavo</v>
      </c>
      <c r="C2668" s="5" t="s">
        <v>16</v>
      </c>
      <c r="D2668" s="5" t="s">
        <v>2614</v>
      </c>
      <c r="E2668" s="6" t="str">
        <f>HYPERLINK("https://twitter.com/petrogustavo/status/1232494296600739840","1232494296600739840")</f>
        <v>1232494296600739840</v>
      </c>
      <c r="F2668" s="7" t="s">
        <v>17</v>
      </c>
      <c r="G2668" s="7">
        <v>3647351</v>
      </c>
      <c r="H2668" s="7">
        <v>2353</v>
      </c>
      <c r="I2668" s="7">
        <v>279</v>
      </c>
      <c r="J2668" s="7">
        <v>0</v>
      </c>
      <c r="K2668" s="7" t="s">
        <v>18</v>
      </c>
      <c r="L2668" s="8">
        <v>39987.315405092595</v>
      </c>
      <c r="M2668" s="9" t="s">
        <v>19</v>
      </c>
      <c r="N2668" s="9" t="s">
        <v>20</v>
      </c>
      <c r="O2668" s="6" t="str">
        <f>HYPERLINK("https://pbs.twimg.com/profile_images/962471262747529216/Uo8lOkRJ_normal.jpg","View")</f>
        <v>View</v>
      </c>
      <c r="P2668" s="7"/>
    </row>
    <row r="2669" spans="1:16">
      <c r="A2669" s="3">
        <v>43887.340775462959</v>
      </c>
      <c r="B2669" s="4" t="str">
        <f>HYPERLINK("https://twitter.com/petrogustavo","@petrogustavo")</f>
        <v>@petrogustavo</v>
      </c>
      <c r="C2669" s="5" t="s">
        <v>16</v>
      </c>
      <c r="D2669" s="5" t="s">
        <v>2615</v>
      </c>
      <c r="E2669" s="6" t="str">
        <f>HYPERLINK("https://twitter.com/petrogustavo/status/1232495681782321152","1232495681782321152")</f>
        <v>1232495681782321152</v>
      </c>
      <c r="F2669" s="7" t="s">
        <v>17</v>
      </c>
      <c r="G2669" s="7">
        <v>3647351</v>
      </c>
      <c r="H2669" s="7">
        <v>2353</v>
      </c>
      <c r="I2669" s="7">
        <v>2328</v>
      </c>
      <c r="J2669" s="7">
        <v>0</v>
      </c>
      <c r="K2669" s="7" t="s">
        <v>18</v>
      </c>
      <c r="L2669" s="8">
        <v>39987.315405092595</v>
      </c>
      <c r="M2669" s="9" t="s">
        <v>19</v>
      </c>
      <c r="N2669" s="9" t="s">
        <v>20</v>
      </c>
      <c r="O2669" s="6" t="str">
        <f>HYPERLINK("https://pbs.twimg.com/profile_images/962471262747529216/Uo8lOkRJ_normal.jpg","View")</f>
        <v>View</v>
      </c>
      <c r="P2669" s="7"/>
    </row>
    <row r="2670" spans="1:16">
      <c r="A2670" s="3">
        <v>43887.341319444444</v>
      </c>
      <c r="B2670" s="4" t="str">
        <f>HYPERLINK("https://twitter.com/petrogustavo","@petrogustavo")</f>
        <v>@petrogustavo</v>
      </c>
      <c r="C2670" s="5" t="s">
        <v>16</v>
      </c>
      <c r="D2670" s="5" t="s">
        <v>2616</v>
      </c>
      <c r="E2670" s="6" t="str">
        <f>HYPERLINK("https://twitter.com/petrogustavo/status/1232495877673103361","1232495877673103361")</f>
        <v>1232495877673103361</v>
      </c>
      <c r="F2670" s="7" t="s">
        <v>17</v>
      </c>
      <c r="G2670" s="7">
        <v>3647351</v>
      </c>
      <c r="H2670" s="7">
        <v>2353</v>
      </c>
      <c r="I2670" s="7">
        <v>310</v>
      </c>
      <c r="J2670" s="7">
        <v>0</v>
      </c>
      <c r="K2670" s="7" t="s">
        <v>18</v>
      </c>
      <c r="L2670" s="8">
        <v>39987.315405092595</v>
      </c>
      <c r="M2670" s="9" t="s">
        <v>19</v>
      </c>
      <c r="N2670" s="9" t="s">
        <v>20</v>
      </c>
      <c r="O2670" s="6" t="str">
        <f>HYPERLINK("https://pbs.twimg.com/profile_images/962471262747529216/Uo8lOkRJ_normal.jpg","View")</f>
        <v>View</v>
      </c>
      <c r="P2670" s="7"/>
    </row>
    <row r="2671" spans="1:16">
      <c r="A2671" s="3">
        <v>43887.792303240742</v>
      </c>
      <c r="B2671" s="4" t="str">
        <f>HYPERLINK("https://twitter.com/petrogustavo","@petrogustavo")</f>
        <v>@petrogustavo</v>
      </c>
      <c r="C2671" s="5" t="s">
        <v>16</v>
      </c>
      <c r="D2671" s="5" t="s">
        <v>2617</v>
      </c>
      <c r="E2671" s="6" t="str">
        <f>HYPERLINK("https://twitter.com/petrogustavo/status/1232659307042410499","1232659307042410499")</f>
        <v>1232659307042410499</v>
      </c>
      <c r="F2671" s="7" t="s">
        <v>17</v>
      </c>
      <c r="G2671" s="7">
        <v>3647615</v>
      </c>
      <c r="H2671" s="7">
        <v>2353</v>
      </c>
      <c r="I2671" s="7">
        <v>116</v>
      </c>
      <c r="J2671" s="7">
        <v>180</v>
      </c>
      <c r="K2671" s="7" t="s">
        <v>18</v>
      </c>
      <c r="L2671" s="8">
        <v>39987.315405092595</v>
      </c>
      <c r="M2671" s="9" t="s">
        <v>19</v>
      </c>
      <c r="N2671" s="9" t="s">
        <v>20</v>
      </c>
      <c r="O2671" s="6" t="str">
        <f>HYPERLINK("https://pbs.twimg.com/profile_images/962471262747529216/Uo8lOkRJ_normal.jpg","View")</f>
        <v>View</v>
      </c>
      <c r="P2671" s="7"/>
    </row>
    <row r="2672" spans="1:16">
      <c r="A2672" s="3">
        <v>43887.801631944443</v>
      </c>
      <c r="B2672" s="4" t="str">
        <f>HYPERLINK("https://twitter.com/petrogustavo","@petrogustavo")</f>
        <v>@petrogustavo</v>
      </c>
      <c r="C2672" s="5" t="s">
        <v>16</v>
      </c>
      <c r="D2672" s="5" t="s">
        <v>2618</v>
      </c>
      <c r="E2672" s="6" t="str">
        <f>HYPERLINK("https://twitter.com/petrogustavo/status/1232662688305643520","1232662688305643520")</f>
        <v>1232662688305643520</v>
      </c>
      <c r="F2672" s="7" t="s">
        <v>17</v>
      </c>
      <c r="G2672" s="7">
        <v>3647615</v>
      </c>
      <c r="H2672" s="7">
        <v>2353</v>
      </c>
      <c r="I2672" s="7">
        <v>11</v>
      </c>
      <c r="J2672" s="7">
        <v>0</v>
      </c>
      <c r="K2672" s="7" t="s">
        <v>18</v>
      </c>
      <c r="L2672" s="8">
        <v>39987.315405092595</v>
      </c>
      <c r="M2672" s="9" t="s">
        <v>19</v>
      </c>
      <c r="N2672" s="9" t="s">
        <v>20</v>
      </c>
      <c r="O2672" s="6" t="str">
        <f>HYPERLINK("https://pbs.twimg.com/profile_images/962471262747529216/Uo8lOkRJ_normal.jpg","View")</f>
        <v>View</v>
      </c>
      <c r="P2672" s="7"/>
    </row>
    <row r="2673" spans="1:16">
      <c r="A2673" s="3">
        <v>43887.804456018523</v>
      </c>
      <c r="B2673" s="4" t="str">
        <f>HYPERLINK("https://twitter.com/petrogustavo","@petrogustavo")</f>
        <v>@petrogustavo</v>
      </c>
      <c r="C2673" s="5" t="s">
        <v>16</v>
      </c>
      <c r="D2673" s="5" t="s">
        <v>2619</v>
      </c>
      <c r="E2673" s="6" t="str">
        <f>HYPERLINK("https://twitter.com/petrogustavo/status/1232663714102419456","1232663714102419456")</f>
        <v>1232663714102419456</v>
      </c>
      <c r="F2673" s="7" t="s">
        <v>17</v>
      </c>
      <c r="G2673" s="7">
        <v>3647634</v>
      </c>
      <c r="H2673" s="7">
        <v>2353</v>
      </c>
      <c r="I2673" s="7">
        <v>115</v>
      </c>
      <c r="J2673" s="7">
        <v>340</v>
      </c>
      <c r="K2673" s="7" t="s">
        <v>18</v>
      </c>
      <c r="L2673" s="8">
        <v>39987.315405092595</v>
      </c>
      <c r="M2673" s="9" t="s">
        <v>19</v>
      </c>
      <c r="N2673" s="9" t="s">
        <v>20</v>
      </c>
      <c r="O2673" s="6" t="str">
        <f>HYPERLINK("https://pbs.twimg.com/profile_images/962471262747529216/Uo8lOkRJ_normal.jpg","View")</f>
        <v>View</v>
      </c>
      <c r="P2673" s="7"/>
    </row>
    <row r="2674" spans="1:16">
      <c r="A2674" s="3">
        <v>43887.804791666669</v>
      </c>
      <c r="B2674" s="4" t="str">
        <f>HYPERLINK("https://twitter.com/petrogustavo","@petrogustavo")</f>
        <v>@petrogustavo</v>
      </c>
      <c r="C2674" s="5" t="s">
        <v>16</v>
      </c>
      <c r="D2674" s="5" t="s">
        <v>2620</v>
      </c>
      <c r="E2674" s="6" t="str">
        <f>HYPERLINK("https://twitter.com/petrogustavo/status/1232663835825319936","1232663835825319936")</f>
        <v>1232663835825319936</v>
      </c>
      <c r="F2674" s="7" t="s">
        <v>17</v>
      </c>
      <c r="G2674" s="7">
        <v>3647634</v>
      </c>
      <c r="H2674" s="7">
        <v>2353</v>
      </c>
      <c r="I2674" s="7">
        <v>223</v>
      </c>
      <c r="J2674" s="7">
        <v>0</v>
      </c>
      <c r="K2674" s="7" t="s">
        <v>18</v>
      </c>
      <c r="L2674" s="8">
        <v>39987.315405092595</v>
      </c>
      <c r="M2674" s="9" t="s">
        <v>19</v>
      </c>
      <c r="N2674" s="9" t="s">
        <v>20</v>
      </c>
      <c r="O2674" s="6" t="str">
        <f>HYPERLINK("https://pbs.twimg.com/profile_images/962471262747529216/Uo8lOkRJ_normal.jpg","View")</f>
        <v>View</v>
      </c>
      <c r="P2674" s="7"/>
    </row>
    <row r="2675" spans="1:16">
      <c r="A2675" s="3">
        <v>43888.834791666668</v>
      </c>
      <c r="B2675" s="4" t="str">
        <f>HYPERLINK("https://twitter.com/petrogustavo","@petrogustavo")</f>
        <v>@petrogustavo</v>
      </c>
      <c r="C2675" s="5" t="s">
        <v>16</v>
      </c>
      <c r="D2675" s="5" t="s">
        <v>2621</v>
      </c>
      <c r="E2675" s="6" t="str">
        <f>HYPERLINK("https://twitter.com/petrogustavo/status/1233037095414964226","1233037095414964226")</f>
        <v>1233037095414964226</v>
      </c>
      <c r="F2675" s="7" t="s">
        <v>17</v>
      </c>
      <c r="G2675" s="7">
        <v>3648908</v>
      </c>
      <c r="H2675" s="7">
        <v>2355</v>
      </c>
      <c r="I2675" s="7">
        <v>105</v>
      </c>
      <c r="J2675" s="7">
        <v>246</v>
      </c>
      <c r="K2675" s="7" t="s">
        <v>18</v>
      </c>
      <c r="L2675" s="8">
        <v>39987.315405092595</v>
      </c>
      <c r="M2675" s="9" t="s">
        <v>19</v>
      </c>
      <c r="N2675" s="9" t="s">
        <v>20</v>
      </c>
      <c r="O2675" s="6" t="str">
        <f>HYPERLINK("https://pbs.twimg.com/profile_images/962471262747529216/Uo8lOkRJ_normal.jpg","View")</f>
        <v>View</v>
      </c>
      <c r="P2675" s="7"/>
    </row>
    <row r="2676" spans="1:16">
      <c r="A2676" s="3">
        <v>43888.835185185184</v>
      </c>
      <c r="B2676" s="4" t="str">
        <f>HYPERLINK("https://twitter.com/petrogustavo","@petrogustavo")</f>
        <v>@petrogustavo</v>
      </c>
      <c r="C2676" s="5" t="s">
        <v>16</v>
      </c>
      <c r="D2676" s="5" t="s">
        <v>2622</v>
      </c>
      <c r="E2676" s="6" t="str">
        <f>HYPERLINK("https://twitter.com/petrogustavo/status/1233037236330999809","1233037236330999809")</f>
        <v>1233037236330999809</v>
      </c>
      <c r="F2676" s="7" t="s">
        <v>17</v>
      </c>
      <c r="G2676" s="7">
        <v>3648908</v>
      </c>
      <c r="H2676" s="7">
        <v>2355</v>
      </c>
      <c r="I2676" s="7">
        <v>40</v>
      </c>
      <c r="J2676" s="7">
        <v>0</v>
      </c>
      <c r="K2676" s="7" t="s">
        <v>18</v>
      </c>
      <c r="L2676" s="8">
        <v>39987.315405092595</v>
      </c>
      <c r="M2676" s="9" t="s">
        <v>19</v>
      </c>
      <c r="N2676" s="9" t="s">
        <v>20</v>
      </c>
      <c r="O2676" s="6" t="str">
        <f>HYPERLINK("https://pbs.twimg.com/profile_images/962471262747529216/Uo8lOkRJ_normal.jpg","View")</f>
        <v>View</v>
      </c>
      <c r="P2676" s="7"/>
    </row>
    <row r="2677" spans="1:16">
      <c r="A2677" s="3">
        <v>43888.837500000001</v>
      </c>
      <c r="B2677" s="4" t="str">
        <f>HYPERLINK("https://twitter.com/petrogustavo","@petrogustavo")</f>
        <v>@petrogustavo</v>
      </c>
      <c r="C2677" s="5" t="s">
        <v>16</v>
      </c>
      <c r="D2677" s="5" t="s">
        <v>2623</v>
      </c>
      <c r="E2677" s="6" t="str">
        <f>HYPERLINK("https://twitter.com/petrogustavo/status/1233038073837113345","1233038073837113345")</f>
        <v>1233038073837113345</v>
      </c>
      <c r="F2677" s="7" t="s">
        <v>17</v>
      </c>
      <c r="G2677" s="7">
        <v>3648908</v>
      </c>
      <c r="H2677" s="7">
        <v>2355</v>
      </c>
      <c r="I2677" s="7">
        <v>60</v>
      </c>
      <c r="J2677" s="7">
        <v>116</v>
      </c>
      <c r="K2677" s="7" t="s">
        <v>18</v>
      </c>
      <c r="L2677" s="8">
        <v>39987.315405092595</v>
      </c>
      <c r="M2677" s="9" t="s">
        <v>19</v>
      </c>
      <c r="N2677" s="9" t="s">
        <v>20</v>
      </c>
      <c r="O2677" s="6" t="str">
        <f>HYPERLINK("https://pbs.twimg.com/profile_images/962471262747529216/Uo8lOkRJ_normal.jpg","View")</f>
        <v>View</v>
      </c>
      <c r="P2677" s="7"/>
    </row>
    <row r="2678" spans="1:16">
      <c r="A2678" s="3">
        <v>43888.838090277779</v>
      </c>
      <c r="B2678" s="4" t="str">
        <f>HYPERLINK("https://twitter.com/petrogustavo","@petrogustavo")</f>
        <v>@petrogustavo</v>
      </c>
      <c r="C2678" s="5" t="s">
        <v>16</v>
      </c>
      <c r="D2678" s="5" t="s">
        <v>2624</v>
      </c>
      <c r="E2678" s="6" t="str">
        <f>HYPERLINK("https://twitter.com/petrogustavo/status/1233038288463761409","1233038288463761409")</f>
        <v>1233038288463761409</v>
      </c>
      <c r="F2678" s="7" t="s">
        <v>17</v>
      </c>
      <c r="G2678" s="7">
        <v>3648908</v>
      </c>
      <c r="H2678" s="7">
        <v>2355</v>
      </c>
      <c r="I2678" s="7">
        <v>60</v>
      </c>
      <c r="J2678" s="7">
        <v>0</v>
      </c>
      <c r="K2678" s="7" t="s">
        <v>18</v>
      </c>
      <c r="L2678" s="8">
        <v>39987.315405092595</v>
      </c>
      <c r="M2678" s="9" t="s">
        <v>19</v>
      </c>
      <c r="N2678" s="9" t="s">
        <v>20</v>
      </c>
      <c r="O2678" s="6" t="str">
        <f>HYPERLINK("https://pbs.twimg.com/profile_images/962471262747529216/Uo8lOkRJ_normal.jpg","View")</f>
        <v>View</v>
      </c>
      <c r="P2678" s="7"/>
    </row>
    <row r="2679" spans="1:16">
      <c r="A2679" s="3">
        <v>43888.838495370372</v>
      </c>
      <c r="B2679" s="4" t="str">
        <f>HYPERLINK("https://twitter.com/petrogustavo","@petrogustavo")</f>
        <v>@petrogustavo</v>
      </c>
      <c r="C2679" s="5" t="s">
        <v>16</v>
      </c>
      <c r="D2679" s="5" t="s">
        <v>2625</v>
      </c>
      <c r="E2679" s="6" t="str">
        <f>HYPERLINK("https://twitter.com/petrogustavo/status/1233038434396184582","1233038434396184582")</f>
        <v>1233038434396184582</v>
      </c>
      <c r="F2679" s="7" t="s">
        <v>17</v>
      </c>
      <c r="G2679" s="7">
        <v>3648908</v>
      </c>
      <c r="H2679" s="7">
        <v>2355</v>
      </c>
      <c r="I2679" s="7">
        <v>972</v>
      </c>
      <c r="J2679" s="7">
        <v>0</v>
      </c>
      <c r="K2679" s="7" t="s">
        <v>18</v>
      </c>
      <c r="L2679" s="8">
        <v>39987.315405092595</v>
      </c>
      <c r="M2679" s="9" t="s">
        <v>19</v>
      </c>
      <c r="N2679" s="9" t="s">
        <v>20</v>
      </c>
      <c r="O2679" s="6" t="str">
        <f>HYPERLINK("https://pbs.twimg.com/profile_images/962471262747529216/Uo8lOkRJ_normal.jpg","View")</f>
        <v>View</v>
      </c>
      <c r="P2679" s="7"/>
    </row>
    <row r="2680" spans="1:16">
      <c r="A2680" s="3">
        <v>43888.838912037041</v>
      </c>
      <c r="B2680" s="4" t="str">
        <f>HYPERLINK("https://twitter.com/petrogustavo","@petrogustavo")</f>
        <v>@petrogustavo</v>
      </c>
      <c r="C2680" s="5" t="s">
        <v>16</v>
      </c>
      <c r="D2680" s="5" t="s">
        <v>2626</v>
      </c>
      <c r="E2680" s="6" t="str">
        <f>HYPERLINK("https://twitter.com/petrogustavo/status/1233038586242576385","1233038586242576385")</f>
        <v>1233038586242576385</v>
      </c>
      <c r="F2680" s="7" t="s">
        <v>17</v>
      </c>
      <c r="G2680" s="7">
        <v>3648908</v>
      </c>
      <c r="H2680" s="7">
        <v>2355</v>
      </c>
      <c r="I2680" s="7">
        <v>312</v>
      </c>
      <c r="J2680" s="7">
        <v>0</v>
      </c>
      <c r="K2680" s="7" t="s">
        <v>18</v>
      </c>
      <c r="L2680" s="8">
        <v>39987.315405092595</v>
      </c>
      <c r="M2680" s="9" t="s">
        <v>19</v>
      </c>
      <c r="N2680" s="9" t="s">
        <v>20</v>
      </c>
      <c r="O2680" s="6" t="str">
        <f>HYPERLINK("https://pbs.twimg.com/profile_images/962471262747529216/Uo8lOkRJ_normal.jpg","View")</f>
        <v>View</v>
      </c>
      <c r="P2680" s="7"/>
    </row>
    <row r="2681" spans="1:16">
      <c r="A2681" s="3">
        <v>43888.839259259257</v>
      </c>
      <c r="B2681" s="4" t="str">
        <f>HYPERLINK("https://twitter.com/petrogustavo","@petrogustavo")</f>
        <v>@petrogustavo</v>
      </c>
      <c r="C2681" s="5" t="s">
        <v>16</v>
      </c>
      <c r="D2681" s="5" t="s">
        <v>2627</v>
      </c>
      <c r="E2681" s="6" t="str">
        <f>HYPERLINK("https://twitter.com/petrogustavo/status/1233038714596663297","1233038714596663297")</f>
        <v>1233038714596663297</v>
      </c>
      <c r="F2681" s="7" t="s">
        <v>17</v>
      </c>
      <c r="G2681" s="7">
        <v>3648908</v>
      </c>
      <c r="H2681" s="7">
        <v>2355</v>
      </c>
      <c r="I2681" s="7">
        <v>2216</v>
      </c>
      <c r="J2681" s="7">
        <v>0</v>
      </c>
      <c r="K2681" s="7" t="s">
        <v>18</v>
      </c>
      <c r="L2681" s="8">
        <v>39987.315405092595</v>
      </c>
      <c r="M2681" s="9" t="s">
        <v>19</v>
      </c>
      <c r="N2681" s="9" t="s">
        <v>20</v>
      </c>
      <c r="O2681" s="6" t="str">
        <f>HYPERLINK("https://pbs.twimg.com/profile_images/962471262747529216/Uo8lOkRJ_normal.jpg","View")</f>
        <v>View</v>
      </c>
      <c r="P2681" s="7"/>
    </row>
    <row r="2682" spans="1:16">
      <c r="A2682" s="3">
        <v>43888.840312500004</v>
      </c>
      <c r="B2682" s="4" t="str">
        <f>HYPERLINK("https://twitter.com/petrogustavo","@petrogustavo")</f>
        <v>@petrogustavo</v>
      </c>
      <c r="C2682" s="5" t="s">
        <v>16</v>
      </c>
      <c r="D2682" s="5" t="s">
        <v>2628</v>
      </c>
      <c r="E2682" s="6" t="str">
        <f>HYPERLINK("https://twitter.com/petrogustavo/status/1233039095028383744","1233039095028383744")</f>
        <v>1233039095028383744</v>
      </c>
      <c r="F2682" s="7" t="s">
        <v>17</v>
      </c>
      <c r="G2682" s="7">
        <v>3648908</v>
      </c>
      <c r="H2682" s="7">
        <v>2355</v>
      </c>
      <c r="I2682" s="7">
        <v>60</v>
      </c>
      <c r="J2682" s="7">
        <v>0</v>
      </c>
      <c r="K2682" s="7" t="s">
        <v>18</v>
      </c>
      <c r="L2682" s="8">
        <v>39987.315405092595</v>
      </c>
      <c r="M2682" s="9" t="s">
        <v>19</v>
      </c>
      <c r="N2682" s="9" t="s">
        <v>20</v>
      </c>
      <c r="O2682" s="6" t="str">
        <f>HYPERLINK("https://pbs.twimg.com/profile_images/962471262747529216/Uo8lOkRJ_normal.jpg","View")</f>
        <v>View</v>
      </c>
      <c r="P2682" s="7"/>
    </row>
    <row r="2683" spans="1:16">
      <c r="A2683" s="3">
        <v>43888.840370370366</v>
      </c>
      <c r="B2683" s="4" t="str">
        <f>HYPERLINK("https://twitter.com/petrogustavo","@petrogustavo")</f>
        <v>@petrogustavo</v>
      </c>
      <c r="C2683" s="5" t="s">
        <v>16</v>
      </c>
      <c r="D2683" s="5" t="s">
        <v>2629</v>
      </c>
      <c r="E2683" s="6" t="str">
        <f>HYPERLINK("https://twitter.com/petrogustavo/status/1233039115010150400","1233039115010150400")</f>
        <v>1233039115010150400</v>
      </c>
      <c r="F2683" s="7" t="s">
        <v>17</v>
      </c>
      <c r="G2683" s="7">
        <v>3648908</v>
      </c>
      <c r="H2683" s="7">
        <v>2355</v>
      </c>
      <c r="I2683" s="7">
        <v>105</v>
      </c>
      <c r="J2683" s="7">
        <v>0</v>
      </c>
      <c r="K2683" s="7" t="s">
        <v>18</v>
      </c>
      <c r="L2683" s="8">
        <v>39987.315405092595</v>
      </c>
      <c r="M2683" s="9" t="s">
        <v>19</v>
      </c>
      <c r="N2683" s="9" t="s">
        <v>20</v>
      </c>
      <c r="O2683" s="6" t="str">
        <f>HYPERLINK("https://pbs.twimg.com/profile_images/962471262747529216/Uo8lOkRJ_normal.jpg","View")</f>
        <v>View</v>
      </c>
      <c r="P2683" s="7"/>
    </row>
    <row r="2684" spans="1:16">
      <c r="A2684" s="3">
        <v>43888.844293981485</v>
      </c>
      <c r="B2684" s="4" t="str">
        <f>HYPERLINK("https://twitter.com/petrogustavo","@petrogustavo")</f>
        <v>@petrogustavo</v>
      </c>
      <c r="C2684" s="5" t="s">
        <v>16</v>
      </c>
      <c r="D2684" s="5" t="s">
        <v>2630</v>
      </c>
      <c r="E2684" s="6" t="str">
        <f>HYPERLINK("https://twitter.com/petrogustavo/status/1233040537466408966","1233040537466408966")</f>
        <v>1233040537466408966</v>
      </c>
      <c r="F2684" s="7" t="s">
        <v>17</v>
      </c>
      <c r="G2684" s="7">
        <v>3648908</v>
      </c>
      <c r="H2684" s="7">
        <v>2355</v>
      </c>
      <c r="I2684" s="7">
        <v>30</v>
      </c>
      <c r="J2684" s="7">
        <v>65</v>
      </c>
      <c r="K2684" s="7" t="s">
        <v>18</v>
      </c>
      <c r="L2684" s="8">
        <v>39987.315405092595</v>
      </c>
      <c r="M2684" s="9" t="s">
        <v>19</v>
      </c>
      <c r="N2684" s="9" t="s">
        <v>20</v>
      </c>
      <c r="O2684" s="6" t="str">
        <f>HYPERLINK("https://pbs.twimg.com/profile_images/962471262747529216/Uo8lOkRJ_normal.jpg","View")</f>
        <v>View</v>
      </c>
      <c r="P2684" s="7"/>
    </row>
    <row r="2685" spans="1:16">
      <c r="A2685" s="3">
        <v>43888.848020833335</v>
      </c>
      <c r="B2685" s="4" t="str">
        <f>HYPERLINK("https://twitter.com/petrogustavo","@petrogustavo")</f>
        <v>@petrogustavo</v>
      </c>
      <c r="C2685" s="5" t="s">
        <v>16</v>
      </c>
      <c r="D2685" s="5" t="s">
        <v>2631</v>
      </c>
      <c r="E2685" s="6" t="str">
        <f>HYPERLINK("https://twitter.com/petrogustavo/status/1233041888694935553","1233041888694935553")</f>
        <v>1233041888694935553</v>
      </c>
      <c r="F2685" s="7" t="s">
        <v>17</v>
      </c>
      <c r="G2685" s="7">
        <v>3648926</v>
      </c>
      <c r="H2685" s="7">
        <v>2355</v>
      </c>
      <c r="I2685" s="7">
        <v>762</v>
      </c>
      <c r="J2685" s="7">
        <v>0</v>
      </c>
      <c r="K2685" s="7" t="s">
        <v>18</v>
      </c>
      <c r="L2685" s="8">
        <v>39987.315405092595</v>
      </c>
      <c r="M2685" s="9" t="s">
        <v>19</v>
      </c>
      <c r="N2685" s="9" t="s">
        <v>20</v>
      </c>
      <c r="O2685" s="6" t="str">
        <f>HYPERLINK("https://pbs.twimg.com/profile_images/962471262747529216/Uo8lOkRJ_normal.jpg","View")</f>
        <v>View</v>
      </c>
      <c r="P2685" s="7"/>
    </row>
    <row r="2686" spans="1:16">
      <c r="A2686" s="3">
        <v>43888.849953703699</v>
      </c>
      <c r="B2686" s="4" t="str">
        <f>HYPERLINK("https://twitter.com/petrogustavo","@petrogustavo")</f>
        <v>@petrogustavo</v>
      </c>
      <c r="C2686" s="5" t="s">
        <v>16</v>
      </c>
      <c r="D2686" s="5" t="s">
        <v>2632</v>
      </c>
      <c r="E2686" s="6" t="str">
        <f>HYPERLINK("https://twitter.com/petrogustavo/status/1233042588938186755","1233042588938186755")</f>
        <v>1233042588938186755</v>
      </c>
      <c r="F2686" s="7" t="s">
        <v>17</v>
      </c>
      <c r="G2686" s="7">
        <v>3648926</v>
      </c>
      <c r="H2686" s="7">
        <v>2355</v>
      </c>
      <c r="I2686" s="7">
        <v>243</v>
      </c>
      <c r="J2686" s="7">
        <v>390</v>
      </c>
      <c r="K2686" s="7" t="s">
        <v>18</v>
      </c>
      <c r="L2686" s="8">
        <v>39987.315405092595</v>
      </c>
      <c r="M2686" s="9" t="s">
        <v>19</v>
      </c>
      <c r="N2686" s="9" t="s">
        <v>20</v>
      </c>
      <c r="O2686" s="6" t="str">
        <f>HYPERLINK("https://pbs.twimg.com/profile_images/962471262747529216/Uo8lOkRJ_normal.jpg","View")</f>
        <v>View</v>
      </c>
      <c r="P2686" s="7"/>
    </row>
    <row r="2687" spans="1:16">
      <c r="A2687" s="3">
        <v>43889.103495370371</v>
      </c>
      <c r="B2687" s="4" t="str">
        <f>HYPERLINK("https://twitter.com/petrogustavo","@petrogustavo")</f>
        <v>@petrogustavo</v>
      </c>
      <c r="C2687" s="5" t="s">
        <v>16</v>
      </c>
      <c r="D2687" s="5" t="s">
        <v>2633</v>
      </c>
      <c r="E2687" s="6" t="str">
        <f>HYPERLINK("https://twitter.com/petrogustavo/status/1233134467075710977","1233134467075710977")</f>
        <v>1233134467075710977</v>
      </c>
      <c r="F2687" s="7" t="s">
        <v>17</v>
      </c>
      <c r="G2687" s="7">
        <v>3649324</v>
      </c>
      <c r="H2687" s="7">
        <v>2355</v>
      </c>
      <c r="I2687" s="7">
        <v>191</v>
      </c>
      <c r="J2687" s="7">
        <v>353</v>
      </c>
      <c r="K2687" s="7" t="s">
        <v>18</v>
      </c>
      <c r="L2687" s="8">
        <v>39987.315405092595</v>
      </c>
      <c r="M2687" s="9" t="s">
        <v>19</v>
      </c>
      <c r="N2687" s="9" t="s">
        <v>20</v>
      </c>
      <c r="O2687" s="6" t="str">
        <f>HYPERLINK("https://pbs.twimg.com/profile_images/962471262747529216/Uo8lOkRJ_normal.jpg","View")</f>
        <v>View</v>
      </c>
      <c r="P2687" s="7"/>
    </row>
    <row r="2688" spans="1:16">
      <c r="A2688" s="3">
        <v>43889.123379629629</v>
      </c>
      <c r="B2688" s="4" t="str">
        <f>HYPERLINK("https://twitter.com/petrogustavo","@petrogustavo")</f>
        <v>@petrogustavo</v>
      </c>
      <c r="C2688" s="5" t="s">
        <v>16</v>
      </c>
      <c r="D2688" s="5" t="s">
        <v>2634</v>
      </c>
      <c r="E2688" s="6" t="str">
        <f>HYPERLINK("https://twitter.com/petrogustavo/status/1233141675297513472","1233141675297513472")</f>
        <v>1233141675297513472</v>
      </c>
      <c r="F2688" s="7" t="s">
        <v>17</v>
      </c>
      <c r="G2688" s="7">
        <v>3649357</v>
      </c>
      <c r="H2688" s="7">
        <v>2355</v>
      </c>
      <c r="I2688" s="7">
        <v>40</v>
      </c>
      <c r="J2688" s="7">
        <v>118</v>
      </c>
      <c r="K2688" s="7" t="s">
        <v>18</v>
      </c>
      <c r="L2688" s="8">
        <v>39987.315405092595</v>
      </c>
      <c r="M2688" s="9" t="s">
        <v>19</v>
      </c>
      <c r="N2688" s="9" t="s">
        <v>20</v>
      </c>
      <c r="O2688" s="6" t="str">
        <f>HYPERLINK("https://pbs.twimg.com/profile_images/962471262747529216/Uo8lOkRJ_normal.jpg","View")</f>
        <v>View</v>
      </c>
      <c r="P2688" s="7"/>
    </row>
    <row r="2689" spans="1:16">
      <c r="A2689" s="3">
        <v>43889.124074074076</v>
      </c>
      <c r="B2689" s="4" t="str">
        <f>HYPERLINK("https://twitter.com/petrogustavo","@petrogustavo")</f>
        <v>@petrogustavo</v>
      </c>
      <c r="C2689" s="5" t="s">
        <v>16</v>
      </c>
      <c r="D2689" s="5" t="s">
        <v>2635</v>
      </c>
      <c r="E2689" s="6" t="str">
        <f>HYPERLINK("https://twitter.com/petrogustavo/status/1233141924934057984","1233141924934057984")</f>
        <v>1233141924934057984</v>
      </c>
      <c r="F2689" s="7" t="s">
        <v>17</v>
      </c>
      <c r="G2689" s="7">
        <v>3649357</v>
      </c>
      <c r="H2689" s="7">
        <v>2355</v>
      </c>
      <c r="I2689" s="7">
        <v>186</v>
      </c>
      <c r="J2689" s="7">
        <v>0</v>
      </c>
      <c r="K2689" s="7" t="s">
        <v>18</v>
      </c>
      <c r="L2689" s="8">
        <v>39987.315405092595</v>
      </c>
      <c r="M2689" s="9" t="s">
        <v>19</v>
      </c>
      <c r="N2689" s="9" t="s">
        <v>20</v>
      </c>
      <c r="O2689" s="6" t="str">
        <f>HYPERLINK("https://pbs.twimg.com/profile_images/962471262747529216/Uo8lOkRJ_normal.jpg","View")</f>
        <v>View</v>
      </c>
      <c r="P2689" s="7"/>
    </row>
    <row r="2690" spans="1:16">
      <c r="A2690" s="3">
        <v>43889.124143518522</v>
      </c>
      <c r="B2690" s="4" t="str">
        <f>HYPERLINK("https://twitter.com/petrogustavo","@petrogustavo")</f>
        <v>@petrogustavo</v>
      </c>
      <c r="C2690" s="5" t="s">
        <v>16</v>
      </c>
      <c r="D2690" s="5" t="s">
        <v>2636</v>
      </c>
      <c r="E2690" s="6" t="str">
        <f>HYPERLINK("https://twitter.com/petrogustavo/status/1233141951366672391","1233141951366672391")</f>
        <v>1233141951366672391</v>
      </c>
      <c r="F2690" s="7" t="s">
        <v>17</v>
      </c>
      <c r="G2690" s="7">
        <v>3649357</v>
      </c>
      <c r="H2690" s="7">
        <v>2355</v>
      </c>
      <c r="I2690" s="7">
        <v>76</v>
      </c>
      <c r="J2690" s="7">
        <v>0</v>
      </c>
      <c r="K2690" s="7" t="s">
        <v>18</v>
      </c>
      <c r="L2690" s="8">
        <v>39987.315405092595</v>
      </c>
      <c r="M2690" s="9" t="s">
        <v>19</v>
      </c>
      <c r="N2690" s="9" t="s">
        <v>20</v>
      </c>
      <c r="O2690" s="6" t="str">
        <f>HYPERLINK("https://pbs.twimg.com/profile_images/962471262747529216/Uo8lOkRJ_normal.jpg","View")</f>
        <v>View</v>
      </c>
      <c r="P2690" s="7"/>
    </row>
    <row r="2691" spans="1:16">
      <c r="A2691" s="3">
        <v>43889.128645833334</v>
      </c>
      <c r="B2691" s="4" t="str">
        <f>HYPERLINK("https://twitter.com/petrogustavo","@petrogustavo")</f>
        <v>@petrogustavo</v>
      </c>
      <c r="C2691" s="5" t="s">
        <v>16</v>
      </c>
      <c r="D2691" s="5" t="s">
        <v>2637</v>
      </c>
      <c r="E2691" s="6" t="str">
        <f>HYPERLINK("https://twitter.com/petrogustavo/status/1233143583710097424","1233143583710097424")</f>
        <v>1233143583710097424</v>
      </c>
      <c r="F2691" s="7" t="s">
        <v>17</v>
      </c>
      <c r="G2691" s="7">
        <v>3649357</v>
      </c>
      <c r="H2691" s="7">
        <v>2355</v>
      </c>
      <c r="I2691" s="7">
        <v>92</v>
      </c>
      <c r="J2691" s="7">
        <v>202</v>
      </c>
      <c r="K2691" s="7" t="s">
        <v>18</v>
      </c>
      <c r="L2691" s="8">
        <v>39987.315405092595</v>
      </c>
      <c r="M2691" s="9" t="s">
        <v>19</v>
      </c>
      <c r="N2691" s="9" t="s">
        <v>20</v>
      </c>
      <c r="O2691" s="6" t="str">
        <f>HYPERLINK("https://pbs.twimg.com/profile_images/962471262747529216/Uo8lOkRJ_normal.jpg","View")</f>
        <v>View</v>
      </c>
      <c r="P2691" s="7"/>
    </row>
    <row r="2692" spans="1:16">
      <c r="A2692" s="3">
        <v>43889.137488425928</v>
      </c>
      <c r="B2692" s="4" t="str">
        <f>HYPERLINK("https://twitter.com/petrogustavo","@petrogustavo")</f>
        <v>@petrogustavo</v>
      </c>
      <c r="C2692" s="5" t="s">
        <v>16</v>
      </c>
      <c r="D2692" s="5" t="s">
        <v>2638</v>
      </c>
      <c r="E2692" s="6" t="str">
        <f>HYPERLINK("https://twitter.com/petrogustavo/status/1233146789039132672","1233146789039132672")</f>
        <v>1233146789039132672</v>
      </c>
      <c r="F2692" s="7" t="s">
        <v>17</v>
      </c>
      <c r="G2692" s="7">
        <v>3649383</v>
      </c>
      <c r="H2692" s="7">
        <v>2355</v>
      </c>
      <c r="I2692" s="7">
        <v>56</v>
      </c>
      <c r="J2692" s="7">
        <v>131</v>
      </c>
      <c r="K2692" s="7" t="s">
        <v>18</v>
      </c>
      <c r="L2692" s="8">
        <v>39987.315405092595</v>
      </c>
      <c r="M2692" s="9" t="s">
        <v>19</v>
      </c>
      <c r="N2692" s="9" t="s">
        <v>20</v>
      </c>
      <c r="O2692" s="6" t="str">
        <f>HYPERLINK("https://pbs.twimg.com/profile_images/962471262747529216/Uo8lOkRJ_normal.jpg","View")</f>
        <v>View</v>
      </c>
      <c r="P2692" s="7"/>
    </row>
    <row r="2693" spans="1:16">
      <c r="A2693" s="3">
        <v>43889.138171296298</v>
      </c>
      <c r="B2693" s="4" t="str">
        <f>HYPERLINK("https://twitter.com/petrogustavo","@petrogustavo")</f>
        <v>@petrogustavo</v>
      </c>
      <c r="C2693" s="5" t="s">
        <v>16</v>
      </c>
      <c r="D2693" s="5" t="s">
        <v>2620</v>
      </c>
      <c r="E2693" s="6" t="str">
        <f>HYPERLINK("https://twitter.com/petrogustavo/status/1233147034917638146","1233147034917638146")</f>
        <v>1233147034917638146</v>
      </c>
      <c r="F2693" s="7" t="s">
        <v>17</v>
      </c>
      <c r="G2693" s="7">
        <v>3649383</v>
      </c>
      <c r="H2693" s="7">
        <v>2355</v>
      </c>
      <c r="I2693" s="7">
        <v>1113</v>
      </c>
      <c r="J2693" s="7">
        <v>0</v>
      </c>
      <c r="K2693" s="7" t="s">
        <v>18</v>
      </c>
      <c r="L2693" s="8">
        <v>39987.315405092595</v>
      </c>
      <c r="M2693" s="9" t="s">
        <v>19</v>
      </c>
      <c r="N2693" s="9" t="s">
        <v>20</v>
      </c>
      <c r="O2693" s="6" t="str">
        <f>HYPERLINK("https://pbs.twimg.com/profile_images/962471262747529216/Uo8lOkRJ_normal.jpg","View")</f>
        <v>View</v>
      </c>
      <c r="P2693" s="7"/>
    </row>
    <row r="2694" spans="1:16">
      <c r="A2694" s="3">
        <v>43889.138703703706</v>
      </c>
      <c r="B2694" s="4" t="str">
        <f>HYPERLINK("https://twitter.com/petrogustavo","@petrogustavo")</f>
        <v>@petrogustavo</v>
      </c>
      <c r="C2694" s="5" t="s">
        <v>16</v>
      </c>
      <c r="D2694" s="5" t="s">
        <v>2639</v>
      </c>
      <c r="E2694" s="6" t="str">
        <f>HYPERLINK("https://twitter.com/petrogustavo/status/1233147228455350274","1233147228455350274")</f>
        <v>1233147228455350274</v>
      </c>
      <c r="F2694" s="7" t="s">
        <v>17</v>
      </c>
      <c r="G2694" s="7">
        <v>3649383</v>
      </c>
      <c r="H2694" s="7">
        <v>2355</v>
      </c>
      <c r="I2694" s="7">
        <v>615</v>
      </c>
      <c r="J2694" s="7">
        <v>0</v>
      </c>
      <c r="K2694" s="7" t="s">
        <v>18</v>
      </c>
      <c r="L2694" s="8">
        <v>39987.315405092595</v>
      </c>
      <c r="M2694" s="9" t="s">
        <v>19</v>
      </c>
      <c r="N2694" s="9" t="s">
        <v>20</v>
      </c>
      <c r="O2694" s="6" t="str">
        <f>HYPERLINK("https://pbs.twimg.com/profile_images/962471262747529216/Uo8lOkRJ_normal.jpg","View")</f>
        <v>View</v>
      </c>
      <c r="P2694" s="7"/>
    </row>
    <row r="2695" spans="1:16">
      <c r="A2695" s="3">
        <v>43889.138842592598</v>
      </c>
      <c r="B2695" s="4" t="str">
        <f>HYPERLINK("https://twitter.com/petrogustavo","@petrogustavo")</f>
        <v>@petrogustavo</v>
      </c>
      <c r="C2695" s="5" t="s">
        <v>16</v>
      </c>
      <c r="D2695" s="5" t="s">
        <v>2640</v>
      </c>
      <c r="E2695" s="6" t="str">
        <f>HYPERLINK("https://twitter.com/petrogustavo/status/1233147278770286592","1233147278770286592")</f>
        <v>1233147278770286592</v>
      </c>
      <c r="F2695" s="7" t="s">
        <v>17</v>
      </c>
      <c r="G2695" s="7">
        <v>3649383</v>
      </c>
      <c r="H2695" s="7">
        <v>2355</v>
      </c>
      <c r="I2695" s="7">
        <v>207</v>
      </c>
      <c r="J2695" s="7">
        <v>0</v>
      </c>
      <c r="K2695" s="7" t="s">
        <v>18</v>
      </c>
      <c r="L2695" s="8">
        <v>39987.315405092595</v>
      </c>
      <c r="M2695" s="9" t="s">
        <v>19</v>
      </c>
      <c r="N2695" s="9" t="s">
        <v>20</v>
      </c>
      <c r="O2695" s="6" t="str">
        <f>HYPERLINK("https://pbs.twimg.com/profile_images/962471262747529216/Uo8lOkRJ_normal.jpg","View")</f>
        <v>View</v>
      </c>
      <c r="P2695" s="7"/>
    </row>
    <row r="2696" spans="1:16">
      <c r="A2696" s="3">
        <v>43889.139016203699</v>
      </c>
      <c r="B2696" s="4" t="str">
        <f>HYPERLINK("https://twitter.com/petrogustavo","@petrogustavo")</f>
        <v>@petrogustavo</v>
      </c>
      <c r="C2696" s="5" t="s">
        <v>16</v>
      </c>
      <c r="D2696" s="5" t="s">
        <v>2631</v>
      </c>
      <c r="E2696" s="6" t="str">
        <f>HYPERLINK("https://twitter.com/petrogustavo/status/1233147340850069505","1233147340850069505")</f>
        <v>1233147340850069505</v>
      </c>
      <c r="F2696" s="7" t="s">
        <v>17</v>
      </c>
      <c r="G2696" s="7">
        <v>3649383</v>
      </c>
      <c r="H2696" s="7">
        <v>2355</v>
      </c>
      <c r="I2696" s="7">
        <v>4169</v>
      </c>
      <c r="J2696" s="7">
        <v>0</v>
      </c>
      <c r="K2696" s="7" t="s">
        <v>18</v>
      </c>
      <c r="L2696" s="8">
        <v>39987.315405092595</v>
      </c>
      <c r="M2696" s="9" t="s">
        <v>19</v>
      </c>
      <c r="N2696" s="9" t="s">
        <v>20</v>
      </c>
      <c r="O2696" s="6" t="str">
        <f>HYPERLINK("https://pbs.twimg.com/profile_images/962471262747529216/Uo8lOkRJ_normal.jpg","View")</f>
        <v>View</v>
      </c>
      <c r="P2696" s="7"/>
    </row>
    <row r="2697" spans="1:16">
      <c r="A2697" s="3">
        <v>43889.251064814816</v>
      </c>
      <c r="B2697" s="4" t="str">
        <f>HYPERLINK("https://twitter.com/petrogustavo","@petrogustavo")</f>
        <v>@petrogustavo</v>
      </c>
      <c r="C2697" s="5" t="s">
        <v>16</v>
      </c>
      <c r="D2697" s="5" t="s">
        <v>2641</v>
      </c>
      <c r="E2697" s="6" t="str">
        <f>HYPERLINK("https://twitter.com/petrogustavo/status/1233187945420595201","1233187945420595201")</f>
        <v>1233187945420595201</v>
      </c>
      <c r="F2697" s="7" t="s">
        <v>17</v>
      </c>
      <c r="G2697" s="7">
        <v>3649533</v>
      </c>
      <c r="H2697" s="7">
        <v>2355</v>
      </c>
      <c r="I2697" s="7">
        <v>150</v>
      </c>
      <c r="J2697" s="7">
        <v>412</v>
      </c>
      <c r="K2697" s="7" t="s">
        <v>18</v>
      </c>
      <c r="L2697" s="8">
        <v>39987.315405092595</v>
      </c>
      <c r="M2697" s="9" t="s">
        <v>19</v>
      </c>
      <c r="N2697" s="9" t="s">
        <v>20</v>
      </c>
      <c r="O2697" s="6" t="str">
        <f>HYPERLINK("https://pbs.twimg.com/profile_images/962471262747529216/Uo8lOkRJ_normal.jpg","View")</f>
        <v>View</v>
      </c>
      <c r="P2697" s="7"/>
    </row>
    <row r="2698" spans="1:16">
      <c r="A2698" s="3">
        <v>43889.253622685181</v>
      </c>
      <c r="B2698" s="4" t="str">
        <f>HYPERLINK("https://twitter.com/petrogustavo","@petrogustavo")</f>
        <v>@petrogustavo</v>
      </c>
      <c r="C2698" s="5" t="s">
        <v>16</v>
      </c>
      <c r="D2698" s="5" t="s">
        <v>2642</v>
      </c>
      <c r="E2698" s="6" t="str">
        <f>HYPERLINK("https://twitter.com/petrogustavo/status/1233188871564857346","1233188871564857346")</f>
        <v>1233188871564857346</v>
      </c>
      <c r="F2698" s="7" t="s">
        <v>17</v>
      </c>
      <c r="G2698" s="7">
        <v>3649533</v>
      </c>
      <c r="H2698" s="7">
        <v>2355</v>
      </c>
      <c r="I2698" s="7">
        <v>50</v>
      </c>
      <c r="J2698" s="7">
        <v>175</v>
      </c>
      <c r="K2698" s="7" t="s">
        <v>18</v>
      </c>
      <c r="L2698" s="8">
        <v>39987.315405092595</v>
      </c>
      <c r="M2698" s="9" t="s">
        <v>19</v>
      </c>
      <c r="N2698" s="9" t="s">
        <v>20</v>
      </c>
      <c r="O2698" s="6" t="str">
        <f>HYPERLINK("https://pbs.twimg.com/profile_images/962471262747529216/Uo8lOkRJ_normal.jpg","View")</f>
        <v>View</v>
      </c>
      <c r="P2698" s="7"/>
    </row>
    <row r="2699" spans="1:16">
      <c r="A2699" s="3">
        <v>43889.256481481483</v>
      </c>
      <c r="B2699" s="4" t="str">
        <f>HYPERLINK("https://twitter.com/petrogustavo","@petrogustavo")</f>
        <v>@petrogustavo</v>
      </c>
      <c r="C2699" s="5" t="s">
        <v>16</v>
      </c>
      <c r="D2699" s="5" t="s">
        <v>2643</v>
      </c>
      <c r="E2699" s="6" t="str">
        <f>HYPERLINK("https://twitter.com/petrogustavo/status/1233189907704811521","1233189907704811521")</f>
        <v>1233189907704811521</v>
      </c>
      <c r="F2699" s="7" t="s">
        <v>17</v>
      </c>
      <c r="G2699" s="7">
        <v>3649533</v>
      </c>
      <c r="H2699" s="7">
        <v>2355</v>
      </c>
      <c r="I2699" s="7">
        <v>27</v>
      </c>
      <c r="J2699" s="7">
        <v>94</v>
      </c>
      <c r="K2699" s="7" t="s">
        <v>18</v>
      </c>
      <c r="L2699" s="8">
        <v>39987.315405092595</v>
      </c>
      <c r="M2699" s="9" t="s">
        <v>19</v>
      </c>
      <c r="N2699" s="9" t="s">
        <v>20</v>
      </c>
      <c r="O2699" s="6" t="str">
        <f>HYPERLINK("https://pbs.twimg.com/profile_images/962471262747529216/Uo8lOkRJ_normal.jpg","View")</f>
        <v>View</v>
      </c>
      <c r="P2699" s="7"/>
    </row>
    <row r="2700" spans="1:16">
      <c r="A2700" s="3">
        <v>43889.266689814816</v>
      </c>
      <c r="B2700" s="4" t="str">
        <f>HYPERLINK("https://twitter.com/petrogustavo","@petrogustavo")</f>
        <v>@petrogustavo</v>
      </c>
      <c r="C2700" s="5" t="s">
        <v>16</v>
      </c>
      <c r="D2700" s="5" t="s">
        <v>2644</v>
      </c>
      <c r="E2700" s="6" t="str">
        <f>HYPERLINK("https://twitter.com/petrogustavo/status/1233193609387794432","1233193609387794432")</f>
        <v>1233193609387794432</v>
      </c>
      <c r="F2700" s="7" t="s">
        <v>17</v>
      </c>
      <c r="G2700" s="7">
        <v>3649543</v>
      </c>
      <c r="H2700" s="7">
        <v>2355</v>
      </c>
      <c r="I2700" s="7">
        <v>217</v>
      </c>
      <c r="J2700" s="7">
        <v>640</v>
      </c>
      <c r="K2700" s="7" t="s">
        <v>18</v>
      </c>
      <c r="L2700" s="8">
        <v>39987.315405092595</v>
      </c>
      <c r="M2700" s="9" t="s">
        <v>19</v>
      </c>
      <c r="N2700" s="9" t="s">
        <v>20</v>
      </c>
      <c r="O2700" s="6" t="str">
        <f>HYPERLINK("https://pbs.twimg.com/profile_images/962471262747529216/Uo8lOkRJ_normal.jpg","View")</f>
        <v>View</v>
      </c>
      <c r="P2700" s="7"/>
    </row>
    <row r="2701" spans="1:16">
      <c r="A2701" s="3">
        <v>43889.26829861111</v>
      </c>
      <c r="B2701" s="4" t="str">
        <f>HYPERLINK("https://twitter.com/petrogustavo","@petrogustavo")</f>
        <v>@petrogustavo</v>
      </c>
      <c r="C2701" s="5" t="s">
        <v>16</v>
      </c>
      <c r="D2701" s="5" t="s">
        <v>2645</v>
      </c>
      <c r="E2701" s="6" t="str">
        <f>HYPERLINK("https://twitter.com/petrogustavo/status/1233194192026902534","1233194192026902534")</f>
        <v>1233194192026902534</v>
      </c>
      <c r="F2701" s="7" t="s">
        <v>17</v>
      </c>
      <c r="G2701" s="7">
        <v>3649543</v>
      </c>
      <c r="H2701" s="7">
        <v>2355</v>
      </c>
      <c r="I2701" s="7">
        <v>62</v>
      </c>
      <c r="J2701" s="7">
        <v>0</v>
      </c>
      <c r="K2701" s="7" t="s">
        <v>18</v>
      </c>
      <c r="L2701" s="8">
        <v>39987.315405092595</v>
      </c>
      <c r="M2701" s="9" t="s">
        <v>19</v>
      </c>
      <c r="N2701" s="9" t="s">
        <v>20</v>
      </c>
      <c r="O2701" s="6" t="str">
        <f>HYPERLINK("https://pbs.twimg.com/profile_images/962471262747529216/Uo8lOkRJ_normal.jpg","View")</f>
        <v>View</v>
      </c>
      <c r="P2701" s="7"/>
    </row>
    <row r="2702" spans="1:16">
      <c r="A2702" s="3">
        <v>43889.270555555559</v>
      </c>
      <c r="B2702" s="4" t="str">
        <f>HYPERLINK("https://twitter.com/petrogustavo","@petrogustavo")</f>
        <v>@petrogustavo</v>
      </c>
      <c r="C2702" s="5" t="s">
        <v>16</v>
      </c>
      <c r="D2702" s="5" t="s">
        <v>2646</v>
      </c>
      <c r="E2702" s="6" t="str">
        <f>HYPERLINK("https://twitter.com/petrogustavo/status/1233195010230816768","1233195010230816768")</f>
        <v>1233195010230816768</v>
      </c>
      <c r="F2702" s="7" t="s">
        <v>17</v>
      </c>
      <c r="G2702" s="7">
        <v>3649543</v>
      </c>
      <c r="H2702" s="7">
        <v>2355</v>
      </c>
      <c r="I2702" s="7">
        <v>51</v>
      </c>
      <c r="J2702" s="7">
        <v>180</v>
      </c>
      <c r="K2702" s="7" t="s">
        <v>18</v>
      </c>
      <c r="L2702" s="8">
        <v>39987.315405092595</v>
      </c>
      <c r="M2702" s="9" t="s">
        <v>19</v>
      </c>
      <c r="N2702" s="9" t="s">
        <v>20</v>
      </c>
      <c r="O2702" s="6" t="str">
        <f>HYPERLINK("https://pbs.twimg.com/profile_images/962471262747529216/Uo8lOkRJ_normal.jpg","View")</f>
        <v>View</v>
      </c>
      <c r="P2702" s="7"/>
    </row>
    <row r="2703" spans="1:16">
      <c r="A2703" s="3">
        <v>43889.284270833334</v>
      </c>
      <c r="B2703" s="4" t="str">
        <f>HYPERLINK("https://twitter.com/petrogustavo","@petrogustavo")</f>
        <v>@petrogustavo</v>
      </c>
      <c r="C2703" s="5" t="s">
        <v>16</v>
      </c>
      <c r="D2703" s="5" t="s">
        <v>2647</v>
      </c>
      <c r="E2703" s="6" t="str">
        <f>HYPERLINK("https://twitter.com/petrogustavo/status/1233199980053221377","1233199980053221377")</f>
        <v>1233199980053221377</v>
      </c>
      <c r="F2703" s="7" t="s">
        <v>17</v>
      </c>
      <c r="G2703" s="7">
        <v>3649588</v>
      </c>
      <c r="H2703" s="7">
        <v>2355</v>
      </c>
      <c r="I2703" s="7">
        <v>171</v>
      </c>
      <c r="J2703" s="7">
        <v>516</v>
      </c>
      <c r="K2703" s="7" t="s">
        <v>18</v>
      </c>
      <c r="L2703" s="8">
        <v>39987.315405092595</v>
      </c>
      <c r="M2703" s="9" t="s">
        <v>19</v>
      </c>
      <c r="N2703" s="9" t="s">
        <v>20</v>
      </c>
      <c r="O2703" s="6" t="str">
        <f>HYPERLINK("https://pbs.twimg.com/profile_images/962471262747529216/Uo8lOkRJ_normal.jpg","View")</f>
        <v>View</v>
      </c>
      <c r="P2703" s="7"/>
    </row>
    <row r="2704" spans="1:16">
      <c r="A2704" s="3">
        <v>43889.284525462965</v>
      </c>
      <c r="B2704" s="4" t="str">
        <f>HYPERLINK("https://twitter.com/petrogustavo","@petrogustavo")</f>
        <v>@petrogustavo</v>
      </c>
      <c r="C2704" s="5" t="s">
        <v>16</v>
      </c>
      <c r="D2704" s="5" t="s">
        <v>2648</v>
      </c>
      <c r="E2704" s="6" t="str">
        <f>HYPERLINK("https://twitter.com/petrogustavo/status/1233200072629858305","1233200072629858305")</f>
        <v>1233200072629858305</v>
      </c>
      <c r="F2704" s="7" t="s">
        <v>17</v>
      </c>
      <c r="G2704" s="7">
        <v>3649588</v>
      </c>
      <c r="H2704" s="7">
        <v>2355</v>
      </c>
      <c r="I2704" s="7">
        <v>337</v>
      </c>
      <c r="J2704" s="7">
        <v>0</v>
      </c>
      <c r="K2704" s="7" t="s">
        <v>18</v>
      </c>
      <c r="L2704" s="8">
        <v>39987.315405092595</v>
      </c>
      <c r="M2704" s="9" t="s">
        <v>19</v>
      </c>
      <c r="N2704" s="9" t="s">
        <v>20</v>
      </c>
      <c r="O2704" s="6" t="str">
        <f>HYPERLINK("https://pbs.twimg.com/profile_images/962471262747529216/Uo8lOkRJ_normal.jpg","View")</f>
        <v>View</v>
      </c>
      <c r="P2704" s="7"/>
    </row>
    <row r="2705" spans="1:16">
      <c r="A2705" s="3">
        <v>43889.752604166672</v>
      </c>
      <c r="B2705" s="4" t="str">
        <f>HYPERLINK("https://twitter.com/petrogustavo","@petrogustavo")</f>
        <v>@petrogustavo</v>
      </c>
      <c r="C2705" s="5" t="s">
        <v>16</v>
      </c>
      <c r="D2705" s="5" t="s">
        <v>2649</v>
      </c>
      <c r="E2705" s="6" t="str">
        <f>HYPERLINK("https://twitter.com/petrogustavo/status/1233369699318222856","1233369699318222856")</f>
        <v>1233369699318222856</v>
      </c>
      <c r="F2705" s="7" t="s">
        <v>17</v>
      </c>
      <c r="G2705" s="7">
        <v>3649955</v>
      </c>
      <c r="H2705" s="7">
        <v>2355</v>
      </c>
      <c r="I2705" s="7">
        <v>60</v>
      </c>
      <c r="J2705" s="7">
        <v>138</v>
      </c>
      <c r="K2705" s="7" t="s">
        <v>18</v>
      </c>
      <c r="L2705" s="8">
        <v>39987.315405092595</v>
      </c>
      <c r="M2705" s="9" t="s">
        <v>19</v>
      </c>
      <c r="N2705" s="9" t="s">
        <v>20</v>
      </c>
      <c r="O2705" s="6" t="str">
        <f>HYPERLINK("https://pbs.twimg.com/profile_images/962471262747529216/Uo8lOkRJ_normal.jpg","View")</f>
        <v>View</v>
      </c>
      <c r="P2705" s="7"/>
    </row>
    <row r="2706" spans="1:16">
      <c r="A2706" s="3">
        <v>43889.755590277782</v>
      </c>
      <c r="B2706" s="4" t="str">
        <f>HYPERLINK("https://twitter.com/petrogustavo","@petrogustavo")</f>
        <v>@petrogustavo</v>
      </c>
      <c r="C2706" s="5" t="s">
        <v>16</v>
      </c>
      <c r="D2706" s="5" t="s">
        <v>2650</v>
      </c>
      <c r="E2706" s="6" t="str">
        <f>HYPERLINK("https://twitter.com/petrogustavo/status/1233370780521680896","1233370780521680896")</f>
        <v>1233370780521680896</v>
      </c>
      <c r="F2706" s="7" t="s">
        <v>17</v>
      </c>
      <c r="G2706" s="7">
        <v>3649955</v>
      </c>
      <c r="H2706" s="7">
        <v>2355</v>
      </c>
      <c r="I2706" s="7">
        <v>87</v>
      </c>
      <c r="J2706" s="7">
        <v>264</v>
      </c>
      <c r="K2706" s="7" t="s">
        <v>18</v>
      </c>
      <c r="L2706" s="8">
        <v>39987.315405092595</v>
      </c>
      <c r="M2706" s="9" t="s">
        <v>19</v>
      </c>
      <c r="N2706" s="9" t="s">
        <v>20</v>
      </c>
      <c r="O2706" s="6" t="str">
        <f>HYPERLINK("https://pbs.twimg.com/profile_images/962471262747529216/Uo8lOkRJ_normal.jpg","View")</f>
        <v>View</v>
      </c>
      <c r="P2706" s="7"/>
    </row>
    <row r="2707" spans="1:16">
      <c r="A2707" s="3">
        <v>43889.755775462967</v>
      </c>
      <c r="B2707" s="4" t="str">
        <f>HYPERLINK("https://twitter.com/petrogustavo","@petrogustavo")</f>
        <v>@petrogustavo</v>
      </c>
      <c r="C2707" s="5" t="s">
        <v>16</v>
      </c>
      <c r="D2707" s="5" t="s">
        <v>2651</v>
      </c>
      <c r="E2707" s="6" t="str">
        <f>HYPERLINK("https://twitter.com/petrogustavo/status/1233370847597023233","1233370847597023233")</f>
        <v>1233370847597023233</v>
      </c>
      <c r="F2707" s="7" t="s">
        <v>17</v>
      </c>
      <c r="G2707" s="7">
        <v>3649955</v>
      </c>
      <c r="H2707" s="7">
        <v>2355</v>
      </c>
      <c r="I2707" s="7">
        <v>273</v>
      </c>
      <c r="J2707" s="7">
        <v>0</v>
      </c>
      <c r="K2707" s="7" t="s">
        <v>18</v>
      </c>
      <c r="L2707" s="8">
        <v>39987.315405092595</v>
      </c>
      <c r="M2707" s="9" t="s">
        <v>19</v>
      </c>
      <c r="N2707" s="9" t="s">
        <v>20</v>
      </c>
      <c r="O2707" s="6" t="str">
        <f>HYPERLINK("https://pbs.twimg.com/profile_images/962471262747529216/Uo8lOkRJ_normal.jpg","View")</f>
        <v>View</v>
      </c>
      <c r="P2707" s="7"/>
    </row>
    <row r="2708" spans="1:16">
      <c r="A2708" s="3">
        <v>43889.75645833333</v>
      </c>
      <c r="B2708" s="4" t="str">
        <f>HYPERLINK("https://twitter.com/petrogustavo","@petrogustavo")</f>
        <v>@petrogustavo</v>
      </c>
      <c r="C2708" s="5" t="s">
        <v>16</v>
      </c>
      <c r="D2708" s="5" t="s">
        <v>2652</v>
      </c>
      <c r="E2708" s="6" t="str">
        <f>HYPERLINK("https://twitter.com/petrogustavo/status/1233371095983677440","1233371095983677440")</f>
        <v>1233371095983677440</v>
      </c>
      <c r="F2708" s="7" t="s">
        <v>17</v>
      </c>
      <c r="G2708" s="7">
        <v>3649955</v>
      </c>
      <c r="H2708" s="7">
        <v>2355</v>
      </c>
      <c r="I2708" s="7">
        <v>63</v>
      </c>
      <c r="J2708" s="7">
        <v>0</v>
      </c>
      <c r="K2708" s="7" t="s">
        <v>18</v>
      </c>
      <c r="L2708" s="8">
        <v>39987.315405092595</v>
      </c>
      <c r="M2708" s="9" t="s">
        <v>19</v>
      </c>
      <c r="N2708" s="9" t="s">
        <v>20</v>
      </c>
      <c r="O2708" s="6" t="str">
        <f>HYPERLINK("https://pbs.twimg.com/profile_images/962471262747529216/Uo8lOkRJ_normal.jpg","View")</f>
        <v>View</v>
      </c>
      <c r="P2708" s="7"/>
    </row>
    <row r="2709" spans="1:16">
      <c r="A2709" s="3">
        <v>43889.756932870368</v>
      </c>
      <c r="B2709" s="4" t="str">
        <f>HYPERLINK("https://twitter.com/petrogustavo","@petrogustavo")</f>
        <v>@petrogustavo</v>
      </c>
      <c r="C2709" s="5" t="s">
        <v>16</v>
      </c>
      <c r="D2709" s="5" t="s">
        <v>2653</v>
      </c>
      <c r="E2709" s="6" t="str">
        <f>HYPERLINK("https://twitter.com/petrogustavo/status/1233371268491218944","1233371268491218944")</f>
        <v>1233371268491218944</v>
      </c>
      <c r="F2709" s="7" t="s">
        <v>17</v>
      </c>
      <c r="G2709" s="7">
        <v>3649955</v>
      </c>
      <c r="H2709" s="7">
        <v>2355</v>
      </c>
      <c r="I2709" s="7">
        <v>1436</v>
      </c>
      <c r="J2709" s="7">
        <v>0</v>
      </c>
      <c r="K2709" s="7" t="s">
        <v>18</v>
      </c>
      <c r="L2709" s="8">
        <v>39987.315405092595</v>
      </c>
      <c r="M2709" s="9" t="s">
        <v>19</v>
      </c>
      <c r="N2709" s="9" t="s">
        <v>20</v>
      </c>
      <c r="O2709" s="6" t="str">
        <f>HYPERLINK("https://pbs.twimg.com/profile_images/962471262747529216/Uo8lOkRJ_normal.jpg","View")</f>
        <v>View</v>
      </c>
      <c r="P2709" s="7"/>
    </row>
    <row r="2710" spans="1:16">
      <c r="A2710" s="3">
        <v>43889.758414351847</v>
      </c>
      <c r="B2710" s="4" t="str">
        <f>HYPERLINK("https://twitter.com/petrogustavo","@petrogustavo")</f>
        <v>@petrogustavo</v>
      </c>
      <c r="C2710" s="5" t="s">
        <v>16</v>
      </c>
      <c r="D2710" s="5" t="s">
        <v>2654</v>
      </c>
      <c r="E2710" s="6" t="str">
        <f>HYPERLINK("https://twitter.com/petrogustavo/status/1233371804498087936","1233371804498087936")</f>
        <v>1233371804498087936</v>
      </c>
      <c r="F2710" s="7" t="s">
        <v>17</v>
      </c>
      <c r="G2710" s="7">
        <v>3649955</v>
      </c>
      <c r="H2710" s="7">
        <v>2355</v>
      </c>
      <c r="I2710" s="7">
        <v>460</v>
      </c>
      <c r="J2710" s="7">
        <v>0</v>
      </c>
      <c r="K2710" s="7" t="s">
        <v>18</v>
      </c>
      <c r="L2710" s="8">
        <v>39987.315405092595</v>
      </c>
      <c r="M2710" s="9" t="s">
        <v>19</v>
      </c>
      <c r="N2710" s="9" t="s">
        <v>20</v>
      </c>
      <c r="O2710" s="6" t="str">
        <f>HYPERLINK("https://pbs.twimg.com/profile_images/962471262747529216/Uo8lOkRJ_normal.jpg","View")</f>
        <v>View</v>
      </c>
      <c r="P2710" s="7"/>
    </row>
    <row r="2711" spans="1:16">
      <c r="A2711" s="3">
        <v>43889.758784722224</v>
      </c>
      <c r="B2711" s="4" t="str">
        <f>HYPERLINK("https://twitter.com/petrogustavo","@petrogustavo")</f>
        <v>@petrogustavo</v>
      </c>
      <c r="C2711" s="5" t="s">
        <v>16</v>
      </c>
      <c r="D2711" s="5" t="s">
        <v>2655</v>
      </c>
      <c r="E2711" s="6" t="str">
        <f>HYPERLINK("https://twitter.com/petrogustavo/status/1233371938682261505","1233371938682261505")</f>
        <v>1233371938682261505</v>
      </c>
      <c r="F2711" s="7" t="s">
        <v>17</v>
      </c>
      <c r="G2711" s="7">
        <v>3649955</v>
      </c>
      <c r="H2711" s="7">
        <v>2355</v>
      </c>
      <c r="I2711" s="7">
        <v>15</v>
      </c>
      <c r="J2711" s="7">
        <v>30</v>
      </c>
      <c r="K2711" s="7" t="s">
        <v>18</v>
      </c>
      <c r="L2711" s="8">
        <v>39987.315405092595</v>
      </c>
      <c r="M2711" s="9" t="s">
        <v>19</v>
      </c>
      <c r="N2711" s="9" t="s">
        <v>20</v>
      </c>
      <c r="O2711" s="6" t="str">
        <f>HYPERLINK("https://pbs.twimg.com/profile_images/962471262747529216/Uo8lOkRJ_normal.jpg","View")</f>
        <v>View</v>
      </c>
      <c r="P2711" s="7"/>
    </row>
    <row r="2712" spans="1:16">
      <c r="A2712" s="3">
        <v>43889.816064814819</v>
      </c>
      <c r="B2712" s="4" t="str">
        <f>HYPERLINK("https://twitter.com/petrogustavo","@petrogustavo")</f>
        <v>@petrogustavo</v>
      </c>
      <c r="C2712" s="5" t="s">
        <v>16</v>
      </c>
      <c r="D2712" s="5" t="s">
        <v>2656</v>
      </c>
      <c r="E2712" s="6" t="str">
        <f>HYPERLINK("https://twitter.com/petrogustavo/status/1233392696179527680","1233392696179527680")</f>
        <v>1233392696179527680</v>
      </c>
      <c r="F2712" s="7" t="s">
        <v>17</v>
      </c>
      <c r="G2712" s="7">
        <v>3650010</v>
      </c>
      <c r="H2712" s="7">
        <v>2355</v>
      </c>
      <c r="I2712" s="7">
        <v>110</v>
      </c>
      <c r="J2712" s="7">
        <v>315</v>
      </c>
      <c r="K2712" s="7" t="s">
        <v>18</v>
      </c>
      <c r="L2712" s="8">
        <v>39987.315405092595</v>
      </c>
      <c r="M2712" s="9" t="s">
        <v>19</v>
      </c>
      <c r="N2712" s="9" t="s">
        <v>20</v>
      </c>
      <c r="O2712" s="6" t="str">
        <f>HYPERLINK("https://pbs.twimg.com/profile_images/962471262747529216/Uo8lOkRJ_normal.jpg","View")</f>
        <v>View</v>
      </c>
      <c r="P2712" s="7"/>
    </row>
    <row r="2713" spans="1:16">
      <c r="A2713" s="3">
        <v>43889.816064814819</v>
      </c>
      <c r="B2713" s="4" t="str">
        <f>HYPERLINK("https://twitter.com/petrogustavo","@petrogustavo")</f>
        <v>@petrogustavo</v>
      </c>
      <c r="C2713" s="5" t="s">
        <v>16</v>
      </c>
      <c r="D2713" s="5" t="s">
        <v>2657</v>
      </c>
      <c r="E2713" s="6" t="str">
        <f>HYPERLINK("https://twitter.com/petrogustavo/status/1233392696208822272","1233392696208822272")</f>
        <v>1233392696208822272</v>
      </c>
      <c r="F2713" s="7" t="s">
        <v>17</v>
      </c>
      <c r="G2713" s="7">
        <v>3650010</v>
      </c>
      <c r="H2713" s="7">
        <v>2355</v>
      </c>
      <c r="I2713" s="7">
        <v>59</v>
      </c>
      <c r="J2713" s="7">
        <v>146</v>
      </c>
      <c r="K2713" s="7" t="s">
        <v>18</v>
      </c>
      <c r="L2713" s="8">
        <v>39987.315405092595</v>
      </c>
      <c r="M2713" s="9" t="s">
        <v>19</v>
      </c>
      <c r="N2713" s="9" t="s">
        <v>20</v>
      </c>
      <c r="O2713" s="6" t="str">
        <f>HYPERLINK("https://pbs.twimg.com/profile_images/962471262747529216/Uo8lOkRJ_normal.jpg","View")</f>
        <v>View</v>
      </c>
      <c r="P2713" s="7"/>
    </row>
    <row r="2714" spans="1:16">
      <c r="A2714" s="3">
        <v>43889.816446759258</v>
      </c>
      <c r="B2714" s="4" t="str">
        <f>HYPERLINK("https://twitter.com/petrogustavo","@petrogustavo")</f>
        <v>@petrogustavo</v>
      </c>
      <c r="C2714" s="5" t="s">
        <v>16</v>
      </c>
      <c r="D2714" s="5" t="s">
        <v>2658</v>
      </c>
      <c r="E2714" s="6" t="str">
        <f>HYPERLINK("https://twitter.com/petrogustavo/status/1233392835107467265","1233392835107467265")</f>
        <v>1233392835107467265</v>
      </c>
      <c r="F2714" s="7" t="s">
        <v>17</v>
      </c>
      <c r="G2714" s="7">
        <v>3650010</v>
      </c>
      <c r="H2714" s="7">
        <v>2355</v>
      </c>
      <c r="I2714" s="7">
        <v>553</v>
      </c>
      <c r="J2714" s="7">
        <v>0</v>
      </c>
      <c r="K2714" s="7" t="s">
        <v>18</v>
      </c>
      <c r="L2714" s="8">
        <v>39987.315405092595</v>
      </c>
      <c r="M2714" s="9" t="s">
        <v>19</v>
      </c>
      <c r="N2714" s="9" t="s">
        <v>20</v>
      </c>
      <c r="O2714" s="6" t="str">
        <f>HYPERLINK("https://pbs.twimg.com/profile_images/962471262747529216/Uo8lOkRJ_normal.jpg","View")</f>
        <v>View</v>
      </c>
      <c r="P2714" s="7"/>
    </row>
    <row r="2715" spans="1:16">
      <c r="A2715" s="3">
        <v>43889.817418981482</v>
      </c>
      <c r="B2715" s="4" t="str">
        <f>HYPERLINK("https://twitter.com/petrogustavo","@petrogustavo")</f>
        <v>@petrogustavo</v>
      </c>
      <c r="C2715" s="5" t="s">
        <v>16</v>
      </c>
      <c r="D2715" s="5" t="s">
        <v>2659</v>
      </c>
      <c r="E2715" s="6" t="str">
        <f>HYPERLINK("https://twitter.com/petrogustavo/status/1233393184279015427","1233393184279015427")</f>
        <v>1233393184279015427</v>
      </c>
      <c r="F2715" s="7" t="s">
        <v>17</v>
      </c>
      <c r="G2715" s="7">
        <v>3650010</v>
      </c>
      <c r="H2715" s="7">
        <v>2355</v>
      </c>
      <c r="I2715" s="7">
        <v>251</v>
      </c>
      <c r="J2715" s="7">
        <v>0</v>
      </c>
      <c r="K2715" s="7" t="s">
        <v>18</v>
      </c>
      <c r="L2715" s="8">
        <v>39987.315405092595</v>
      </c>
      <c r="M2715" s="9" t="s">
        <v>19</v>
      </c>
      <c r="N2715" s="9" t="s">
        <v>20</v>
      </c>
      <c r="O2715" s="6" t="str">
        <f>HYPERLINK("https://pbs.twimg.com/profile_images/962471262747529216/Uo8lOkRJ_normal.jpg","View")</f>
        <v>View</v>
      </c>
      <c r="P2715" s="7"/>
    </row>
    <row r="2716" spans="1:16">
      <c r="A2716" s="3">
        <v>43889.817650462966</v>
      </c>
      <c r="B2716" s="4" t="str">
        <f>HYPERLINK("https://twitter.com/petrogustavo","@petrogustavo")</f>
        <v>@petrogustavo</v>
      </c>
      <c r="C2716" s="5" t="s">
        <v>16</v>
      </c>
      <c r="D2716" s="5" t="s">
        <v>2660</v>
      </c>
      <c r="E2716" s="6" t="str">
        <f>HYPERLINK("https://twitter.com/petrogustavo/status/1233393268089552897","1233393268089552897")</f>
        <v>1233393268089552897</v>
      </c>
      <c r="F2716" s="7" t="s">
        <v>17</v>
      </c>
      <c r="G2716" s="7">
        <v>3650010</v>
      </c>
      <c r="H2716" s="7">
        <v>2355</v>
      </c>
      <c r="I2716" s="7">
        <v>254</v>
      </c>
      <c r="J2716" s="7">
        <v>0</v>
      </c>
      <c r="K2716" s="7" t="s">
        <v>18</v>
      </c>
      <c r="L2716" s="8">
        <v>39987.315405092595</v>
      </c>
      <c r="M2716" s="9" t="s">
        <v>19</v>
      </c>
      <c r="N2716" s="9" t="s">
        <v>20</v>
      </c>
      <c r="O2716" s="6" t="str">
        <f>HYPERLINK("https://pbs.twimg.com/profile_images/962471262747529216/Uo8lOkRJ_normal.jpg","View")</f>
        <v>View</v>
      </c>
      <c r="P2716" s="7"/>
    </row>
    <row r="2717" spans="1:16">
      <c r="A2717" s="3">
        <v>43889.966099537036</v>
      </c>
      <c r="B2717" s="4" t="str">
        <f>HYPERLINK("https://twitter.com/petrogustavo","@petrogustavo")</f>
        <v>@petrogustavo</v>
      </c>
      <c r="C2717" s="5" t="s">
        <v>16</v>
      </c>
      <c r="D2717" s="5" t="s">
        <v>2661</v>
      </c>
      <c r="E2717" s="6" t="str">
        <f>HYPERLINK("https://twitter.com/petrogustavo/status/1233447066975842306","1233447066975842306")</f>
        <v>1233447066975842306</v>
      </c>
      <c r="F2717" s="7" t="s">
        <v>17</v>
      </c>
      <c r="G2717" s="7">
        <v>3650200</v>
      </c>
      <c r="H2717" s="7">
        <v>2355</v>
      </c>
      <c r="I2717" s="7">
        <v>343</v>
      </c>
      <c r="J2717" s="7">
        <v>0</v>
      </c>
      <c r="K2717" s="7" t="s">
        <v>18</v>
      </c>
      <c r="L2717" s="8">
        <v>39987.315405092595</v>
      </c>
      <c r="M2717" s="9" t="s">
        <v>19</v>
      </c>
      <c r="N2717" s="9" t="s">
        <v>20</v>
      </c>
      <c r="O2717" s="6" t="str">
        <f>HYPERLINK("https://pbs.twimg.com/profile_images/962471262747529216/Uo8lOkRJ_normal.jpg","View")</f>
        <v>View</v>
      </c>
      <c r="P2717" s="7"/>
    </row>
    <row r="2718" spans="1:16">
      <c r="A2718" s="3">
        <v>43889.96674768519</v>
      </c>
      <c r="B2718" s="4" t="str">
        <f>HYPERLINK("https://twitter.com/petrogustavo","@petrogustavo")</f>
        <v>@petrogustavo</v>
      </c>
      <c r="C2718" s="5" t="s">
        <v>16</v>
      </c>
      <c r="D2718" s="5" t="s">
        <v>2662</v>
      </c>
      <c r="E2718" s="6" t="str">
        <f>HYPERLINK("https://twitter.com/petrogustavo/status/1233447299579338753","1233447299579338753")</f>
        <v>1233447299579338753</v>
      </c>
      <c r="F2718" s="7" t="s">
        <v>17</v>
      </c>
      <c r="G2718" s="7">
        <v>3650200</v>
      </c>
      <c r="H2718" s="7">
        <v>2355</v>
      </c>
      <c r="I2718" s="7">
        <v>190</v>
      </c>
      <c r="J2718" s="7">
        <v>0</v>
      </c>
      <c r="K2718" s="7" t="s">
        <v>18</v>
      </c>
      <c r="L2718" s="8">
        <v>39987.315405092595</v>
      </c>
      <c r="M2718" s="9" t="s">
        <v>19</v>
      </c>
      <c r="N2718" s="9" t="s">
        <v>20</v>
      </c>
      <c r="O2718" s="6" t="str">
        <f>HYPERLINK("https://pbs.twimg.com/profile_images/962471262747529216/Uo8lOkRJ_normal.jpg","View")</f>
        <v>View</v>
      </c>
      <c r="P2718" s="7"/>
    </row>
    <row r="2719" spans="1:16">
      <c r="A2719" s="3">
        <v>43889.968356481477</v>
      </c>
      <c r="B2719" s="4" t="str">
        <f>HYPERLINK("https://twitter.com/petrogustavo","@petrogustavo")</f>
        <v>@petrogustavo</v>
      </c>
      <c r="C2719" s="5" t="s">
        <v>16</v>
      </c>
      <c r="D2719" s="5" t="s">
        <v>2663</v>
      </c>
      <c r="E2719" s="6" t="str">
        <f>HYPERLINK("https://twitter.com/petrogustavo/status/1233447883413782528","1233447883413782528")</f>
        <v>1233447883413782528</v>
      </c>
      <c r="F2719" s="7" t="s">
        <v>17</v>
      </c>
      <c r="G2719" s="7">
        <v>3650200</v>
      </c>
      <c r="H2719" s="7">
        <v>2355</v>
      </c>
      <c r="I2719" s="7">
        <v>36</v>
      </c>
      <c r="J2719" s="7">
        <v>95</v>
      </c>
      <c r="K2719" s="7" t="s">
        <v>18</v>
      </c>
      <c r="L2719" s="8">
        <v>39987.315405092595</v>
      </c>
      <c r="M2719" s="9" t="s">
        <v>19</v>
      </c>
      <c r="N2719" s="9" t="s">
        <v>20</v>
      </c>
      <c r="O2719" s="6" t="str">
        <f>HYPERLINK("https://pbs.twimg.com/profile_images/962471262747529216/Uo8lOkRJ_normal.jpg","View")</f>
        <v>View</v>
      </c>
      <c r="P2719" s="7"/>
    </row>
    <row r="2720" spans="1:16">
      <c r="A2720" s="3">
        <v>43889.972824074073</v>
      </c>
      <c r="B2720" s="4" t="str">
        <f>HYPERLINK("https://twitter.com/petrogustavo","@petrogustavo")</f>
        <v>@petrogustavo</v>
      </c>
      <c r="C2720" s="5" t="s">
        <v>16</v>
      </c>
      <c r="D2720" s="5" t="s">
        <v>2664</v>
      </c>
      <c r="E2720" s="6" t="str">
        <f>HYPERLINK("https://twitter.com/petrogustavo/status/1233449500682981376","1233449500682981376")</f>
        <v>1233449500682981376</v>
      </c>
      <c r="F2720" s="7" t="s">
        <v>17</v>
      </c>
      <c r="G2720" s="7">
        <v>3650231</v>
      </c>
      <c r="H2720" s="7">
        <v>2355</v>
      </c>
      <c r="I2720" s="7">
        <v>57</v>
      </c>
      <c r="J2720" s="7">
        <v>188</v>
      </c>
      <c r="K2720" s="7" t="s">
        <v>18</v>
      </c>
      <c r="L2720" s="8">
        <v>39987.315405092595</v>
      </c>
      <c r="M2720" s="9" t="s">
        <v>19</v>
      </c>
      <c r="N2720" s="9" t="s">
        <v>20</v>
      </c>
      <c r="O2720" s="6" t="str">
        <f>HYPERLINK("https://pbs.twimg.com/profile_images/962471262747529216/Uo8lOkRJ_normal.jpg","View")</f>
        <v>View</v>
      </c>
      <c r="P2720" s="7"/>
    </row>
    <row r="2721" spans="1:16">
      <c r="A2721" s="3">
        <v>43889.974224537036</v>
      </c>
      <c r="B2721" s="4" t="str">
        <f>HYPERLINK("https://twitter.com/petrogustavo","@petrogustavo")</f>
        <v>@petrogustavo</v>
      </c>
      <c r="C2721" s="5" t="s">
        <v>16</v>
      </c>
      <c r="D2721" s="5" t="s">
        <v>2665</v>
      </c>
      <c r="E2721" s="6" t="str">
        <f>HYPERLINK("https://twitter.com/petrogustavo/status/1233450011863719938","1233450011863719938")</f>
        <v>1233450011863719938</v>
      </c>
      <c r="F2721" s="7" t="s">
        <v>17</v>
      </c>
      <c r="G2721" s="7">
        <v>3650231</v>
      </c>
      <c r="H2721" s="7">
        <v>2355</v>
      </c>
      <c r="I2721" s="7">
        <v>290</v>
      </c>
      <c r="J2721" s="7">
        <v>0</v>
      </c>
      <c r="K2721" s="7" t="s">
        <v>18</v>
      </c>
      <c r="L2721" s="8">
        <v>39987.315405092595</v>
      </c>
      <c r="M2721" s="9" t="s">
        <v>19</v>
      </c>
      <c r="N2721" s="9" t="s">
        <v>20</v>
      </c>
      <c r="O2721" s="6" t="str">
        <f>HYPERLINK("https://pbs.twimg.com/profile_images/962471262747529216/Uo8lOkRJ_normal.jpg","View")</f>
        <v>View</v>
      </c>
      <c r="P2721" s="7"/>
    </row>
    <row r="2722" spans="1:16">
      <c r="A2722" s="3">
        <v>43889.979270833333</v>
      </c>
      <c r="B2722" s="4" t="str">
        <f>HYPERLINK("https://twitter.com/petrogustavo","@petrogustavo")</f>
        <v>@petrogustavo</v>
      </c>
      <c r="C2722" s="5" t="s">
        <v>16</v>
      </c>
      <c r="D2722" s="5" t="s">
        <v>2666</v>
      </c>
      <c r="E2722" s="6" t="str">
        <f>HYPERLINK("https://twitter.com/petrogustavo/status/1233451838143332354","1233451838143332354")</f>
        <v>1233451838143332354</v>
      </c>
      <c r="F2722" s="7" t="s">
        <v>17</v>
      </c>
      <c r="G2722" s="7">
        <v>3650231</v>
      </c>
      <c r="H2722" s="7">
        <v>2355</v>
      </c>
      <c r="I2722" s="7">
        <v>36</v>
      </c>
      <c r="J2722" s="7">
        <v>81</v>
      </c>
      <c r="K2722" s="7" t="s">
        <v>18</v>
      </c>
      <c r="L2722" s="8">
        <v>39987.315405092595</v>
      </c>
      <c r="M2722" s="9" t="s">
        <v>19</v>
      </c>
      <c r="N2722" s="9" t="s">
        <v>20</v>
      </c>
      <c r="O2722" s="6" t="str">
        <f>HYPERLINK("https://pbs.twimg.com/profile_images/962471262747529216/Uo8lOkRJ_normal.jpg","View")</f>
        <v>View</v>
      </c>
      <c r="P2722" s="7"/>
    </row>
    <row r="2723" spans="1:16">
      <c r="A2723" s="3">
        <v>43889.980879629627</v>
      </c>
      <c r="B2723" s="4" t="str">
        <f>HYPERLINK("https://twitter.com/petrogustavo","@petrogustavo")</f>
        <v>@petrogustavo</v>
      </c>
      <c r="C2723" s="5" t="s">
        <v>16</v>
      </c>
      <c r="D2723" s="5" t="s">
        <v>2667</v>
      </c>
      <c r="E2723" s="6" t="str">
        <f>HYPERLINK("https://twitter.com/petrogustavo/status/1233452420560302081","1233452420560302081")</f>
        <v>1233452420560302081</v>
      </c>
      <c r="F2723" s="7" t="s">
        <v>17</v>
      </c>
      <c r="G2723" s="7">
        <v>3650231</v>
      </c>
      <c r="H2723" s="7">
        <v>2355</v>
      </c>
      <c r="I2723" s="7">
        <v>76</v>
      </c>
      <c r="J2723" s="7">
        <v>282</v>
      </c>
      <c r="K2723" s="7" t="s">
        <v>18</v>
      </c>
      <c r="L2723" s="8">
        <v>39987.315405092595</v>
      </c>
      <c r="M2723" s="9" t="s">
        <v>19</v>
      </c>
      <c r="N2723" s="9" t="s">
        <v>20</v>
      </c>
      <c r="O2723" s="6" t="str">
        <f>HYPERLINK("https://pbs.twimg.com/profile_images/962471262747529216/Uo8lOkRJ_normal.jpg","View")</f>
        <v>View</v>
      </c>
      <c r="P2723" s="7"/>
    </row>
    <row r="2724" spans="1:16">
      <c r="A2724" s="3">
        <v>43889.988796296297</v>
      </c>
      <c r="B2724" s="4" t="str">
        <f>HYPERLINK("https://twitter.com/petrogustavo","@petrogustavo")</f>
        <v>@petrogustavo</v>
      </c>
      <c r="C2724" s="5" t="s">
        <v>16</v>
      </c>
      <c r="D2724" s="5" t="s">
        <v>2668</v>
      </c>
      <c r="E2724" s="6" t="str">
        <f>HYPERLINK("https://twitter.com/petrogustavo/status/1233455290479190016","1233455290479190016")</f>
        <v>1233455290479190016</v>
      </c>
      <c r="F2724" s="7" t="s">
        <v>17</v>
      </c>
      <c r="G2724" s="7">
        <v>3650231</v>
      </c>
      <c r="H2724" s="7">
        <v>2355</v>
      </c>
      <c r="I2724" s="7">
        <v>28</v>
      </c>
      <c r="J2724" s="7">
        <v>77</v>
      </c>
      <c r="K2724" s="7" t="s">
        <v>18</v>
      </c>
      <c r="L2724" s="8">
        <v>39987.315405092595</v>
      </c>
      <c r="M2724" s="9" t="s">
        <v>19</v>
      </c>
      <c r="N2724" s="9" t="s">
        <v>20</v>
      </c>
      <c r="O2724" s="6" t="str">
        <f>HYPERLINK("https://pbs.twimg.com/profile_images/962471262747529216/Uo8lOkRJ_normal.jpg","View")</f>
        <v>View</v>
      </c>
      <c r="P2724" s="7"/>
    </row>
    <row r="2725" spans="1:16">
      <c r="A2725" s="3">
        <v>43889.988981481481</v>
      </c>
      <c r="B2725" s="4" t="str">
        <f>HYPERLINK("https://twitter.com/petrogustavo","@petrogustavo")</f>
        <v>@petrogustavo</v>
      </c>
      <c r="C2725" s="5" t="s">
        <v>16</v>
      </c>
      <c r="D2725" s="5" t="s">
        <v>2669</v>
      </c>
      <c r="E2725" s="6" t="str">
        <f>HYPERLINK("https://twitter.com/petrogustavo/status/1233455359685210114","1233455359685210114")</f>
        <v>1233455359685210114</v>
      </c>
      <c r="F2725" s="7" t="s">
        <v>17</v>
      </c>
      <c r="G2725" s="7">
        <v>3650231</v>
      </c>
      <c r="H2725" s="7">
        <v>2355</v>
      </c>
      <c r="I2725" s="7">
        <v>76</v>
      </c>
      <c r="J2725" s="7">
        <v>0</v>
      </c>
      <c r="K2725" s="7" t="s">
        <v>18</v>
      </c>
      <c r="L2725" s="8">
        <v>39987.315405092595</v>
      </c>
      <c r="M2725" s="9" t="s">
        <v>19</v>
      </c>
      <c r="N2725" s="9" t="s">
        <v>20</v>
      </c>
      <c r="O2725" s="6" t="str">
        <f>HYPERLINK("https://pbs.twimg.com/profile_images/962471262747529216/Uo8lOkRJ_normal.jpg","View")</f>
        <v>View</v>
      </c>
      <c r="P2725" s="7"/>
    </row>
    <row r="2726" spans="1:16">
      <c r="A2726" s="3">
        <v>43889.99490740741</v>
      </c>
      <c r="B2726" s="4" t="str">
        <f>HYPERLINK("https://twitter.com/petrogustavo","@petrogustavo")</f>
        <v>@petrogustavo</v>
      </c>
      <c r="C2726" s="5" t="s">
        <v>16</v>
      </c>
      <c r="D2726" s="5" t="s">
        <v>2670</v>
      </c>
      <c r="E2726" s="6" t="str">
        <f>HYPERLINK("https://twitter.com/petrogustavo/status/1233457507206619137","1233457507206619137")</f>
        <v>1233457507206619137</v>
      </c>
      <c r="F2726" s="7" t="s">
        <v>17</v>
      </c>
      <c r="G2726" s="7">
        <v>3650256</v>
      </c>
      <c r="H2726" s="7">
        <v>2355</v>
      </c>
      <c r="I2726" s="7">
        <v>904</v>
      </c>
      <c r="J2726" s="7">
        <v>0</v>
      </c>
      <c r="K2726" s="7" t="s">
        <v>18</v>
      </c>
      <c r="L2726" s="8">
        <v>39987.315405092595</v>
      </c>
      <c r="M2726" s="9" t="s">
        <v>19</v>
      </c>
      <c r="N2726" s="9" t="s">
        <v>20</v>
      </c>
      <c r="O2726" s="6" t="str">
        <f>HYPERLINK("https://pbs.twimg.com/profile_images/962471262747529216/Uo8lOkRJ_normal.jpg","View")</f>
        <v>View</v>
      </c>
      <c r="P2726" s="7"/>
    </row>
    <row r="2727" spans="1:16">
      <c r="A2727" s="3">
        <v>43889.997569444444</v>
      </c>
      <c r="B2727" s="4" t="str">
        <f>HYPERLINK("https://twitter.com/petrogustavo","@petrogustavo")</f>
        <v>@petrogustavo</v>
      </c>
      <c r="C2727" s="5" t="s">
        <v>16</v>
      </c>
      <c r="D2727" s="5" t="s">
        <v>2671</v>
      </c>
      <c r="E2727" s="6" t="str">
        <f>HYPERLINK("https://twitter.com/petrogustavo/status/1233458470650830854","1233458470650830854")</f>
        <v>1233458470650830854</v>
      </c>
      <c r="F2727" s="7" t="s">
        <v>17</v>
      </c>
      <c r="G2727" s="7">
        <v>3650256</v>
      </c>
      <c r="H2727" s="7">
        <v>2355</v>
      </c>
      <c r="I2727" s="7">
        <v>126</v>
      </c>
      <c r="J2727" s="7">
        <v>313</v>
      </c>
      <c r="K2727" s="7" t="s">
        <v>18</v>
      </c>
      <c r="L2727" s="8">
        <v>39987.315405092595</v>
      </c>
      <c r="M2727" s="9" t="s">
        <v>19</v>
      </c>
      <c r="N2727" s="9" t="s">
        <v>20</v>
      </c>
      <c r="O2727" s="6" t="str">
        <f>HYPERLINK("https://pbs.twimg.com/profile_images/962471262747529216/Uo8lOkRJ_normal.jpg","View")</f>
        <v>View</v>
      </c>
      <c r="P2727" s="7"/>
    </row>
    <row r="2728" spans="1:16">
      <c r="A2728" s="3">
        <v>43890.001180555555</v>
      </c>
      <c r="B2728" s="4" t="str">
        <f>HYPERLINK("https://twitter.com/petrogustavo","@petrogustavo")</f>
        <v>@petrogustavo</v>
      </c>
      <c r="C2728" s="5" t="s">
        <v>16</v>
      </c>
      <c r="D2728" s="5" t="s">
        <v>2672</v>
      </c>
      <c r="E2728" s="6" t="str">
        <f>HYPERLINK("https://twitter.com/petrogustavo/status/1233459777151344641","1233459777151344641")</f>
        <v>1233459777151344641</v>
      </c>
      <c r="F2728" s="7" t="s">
        <v>17</v>
      </c>
      <c r="G2728" s="7">
        <v>3650256</v>
      </c>
      <c r="H2728" s="7">
        <v>2355</v>
      </c>
      <c r="I2728" s="7">
        <v>120</v>
      </c>
      <c r="J2728" s="7">
        <v>355</v>
      </c>
      <c r="K2728" s="7" t="s">
        <v>18</v>
      </c>
      <c r="L2728" s="8">
        <v>39987.315405092595</v>
      </c>
      <c r="M2728" s="9" t="s">
        <v>19</v>
      </c>
      <c r="N2728" s="9" t="s">
        <v>20</v>
      </c>
      <c r="O2728" s="6" t="str">
        <f>HYPERLINK("https://pbs.twimg.com/profile_images/962471262747529216/Uo8lOkRJ_normal.jpg","View")</f>
        <v>View</v>
      </c>
      <c r="P2728" s="7"/>
    </row>
    <row r="2729" spans="1:16">
      <c r="A2729" s="3">
        <v>43890.0546875</v>
      </c>
      <c r="B2729" s="4" t="str">
        <f>HYPERLINK("https://twitter.com/petrogustavo","@petrogustavo")</f>
        <v>@petrogustavo</v>
      </c>
      <c r="C2729" s="5" t="s">
        <v>16</v>
      </c>
      <c r="D2729" s="5" t="s">
        <v>2673</v>
      </c>
      <c r="E2729" s="6" t="str">
        <f>HYPERLINK("https://twitter.com/petrogustavo/status/1233479167850754049","1233479167850754049")</f>
        <v>1233479167850754049</v>
      </c>
      <c r="F2729" s="7" t="s">
        <v>17</v>
      </c>
      <c r="G2729" s="7">
        <v>3650330</v>
      </c>
      <c r="H2729" s="7">
        <v>2354</v>
      </c>
      <c r="I2729" s="7">
        <v>104</v>
      </c>
      <c r="J2729" s="7">
        <v>243</v>
      </c>
      <c r="K2729" s="7" t="s">
        <v>18</v>
      </c>
      <c r="L2729" s="8">
        <v>39987.315405092595</v>
      </c>
      <c r="M2729" s="9" t="s">
        <v>19</v>
      </c>
      <c r="N2729" s="9" t="s">
        <v>20</v>
      </c>
      <c r="O2729" s="6" t="str">
        <f>HYPERLINK("https://pbs.twimg.com/profile_images/962471262747529216/Uo8lOkRJ_normal.jpg","View")</f>
        <v>View</v>
      </c>
      <c r="P2729" s="7"/>
    </row>
    <row r="2730" spans="1:16">
      <c r="A2730" s="3">
        <v>43890.065104166672</v>
      </c>
      <c r="B2730" s="4" t="str">
        <f>HYPERLINK("https://twitter.com/petrogustavo","@petrogustavo")</f>
        <v>@petrogustavo</v>
      </c>
      <c r="C2730" s="5" t="s">
        <v>16</v>
      </c>
      <c r="D2730" s="5" t="s">
        <v>2674</v>
      </c>
      <c r="E2730" s="6" t="str">
        <f>HYPERLINK("https://twitter.com/petrogustavo/status/1233482941927510023","1233482941927510023")</f>
        <v>1233482941927510023</v>
      </c>
      <c r="F2730" s="7" t="s">
        <v>17</v>
      </c>
      <c r="G2730" s="7">
        <v>3650330</v>
      </c>
      <c r="H2730" s="7">
        <v>2354</v>
      </c>
      <c r="I2730" s="7">
        <v>794</v>
      </c>
      <c r="J2730" s="7">
        <v>0</v>
      </c>
      <c r="K2730" s="7" t="s">
        <v>18</v>
      </c>
      <c r="L2730" s="8">
        <v>39987.315405092595</v>
      </c>
      <c r="M2730" s="9" t="s">
        <v>19</v>
      </c>
      <c r="N2730" s="9" t="s">
        <v>20</v>
      </c>
      <c r="O2730" s="6" t="str">
        <f>HYPERLINK("https://pbs.twimg.com/profile_images/962471262747529216/Uo8lOkRJ_normal.jpg","View")</f>
        <v>View</v>
      </c>
      <c r="P2730" s="7"/>
    </row>
    <row r="2731" spans="1:16">
      <c r="A2731" s="3">
        <v>43890.070243055554</v>
      </c>
      <c r="B2731" s="4" t="str">
        <f>HYPERLINK("https://twitter.com/petrogustavo","@petrogustavo")</f>
        <v>@petrogustavo</v>
      </c>
      <c r="C2731" s="5" t="s">
        <v>16</v>
      </c>
      <c r="D2731" s="5" t="s">
        <v>2675</v>
      </c>
      <c r="E2731" s="6" t="str">
        <f>HYPERLINK("https://twitter.com/petrogustavo/status/1233484804202680321","1233484804202680321")</f>
        <v>1233484804202680321</v>
      </c>
      <c r="F2731" s="7" t="s">
        <v>17</v>
      </c>
      <c r="G2731" s="7">
        <v>3650330</v>
      </c>
      <c r="H2731" s="7">
        <v>2354</v>
      </c>
      <c r="I2731" s="7">
        <v>334</v>
      </c>
      <c r="J2731" s="7">
        <v>0</v>
      </c>
      <c r="K2731" s="7" t="s">
        <v>18</v>
      </c>
      <c r="L2731" s="8">
        <v>39987.315405092595</v>
      </c>
      <c r="M2731" s="9" t="s">
        <v>19</v>
      </c>
      <c r="N2731" s="9" t="s">
        <v>20</v>
      </c>
      <c r="O2731" s="6" t="str">
        <f>HYPERLINK("https://pbs.twimg.com/profile_images/962471262747529216/Uo8lOkRJ_normal.jpg","View")</f>
        <v>View</v>
      </c>
      <c r="P2731" s="7"/>
    </row>
    <row r="2732" spans="1:16">
      <c r="A2732" s="3">
        <v>43890.072592592594</v>
      </c>
      <c r="B2732" s="4" t="str">
        <f>HYPERLINK("https://twitter.com/petrogustavo","@petrogustavo")</f>
        <v>@petrogustavo</v>
      </c>
      <c r="C2732" s="5" t="s">
        <v>16</v>
      </c>
      <c r="D2732" s="5" t="s">
        <v>2676</v>
      </c>
      <c r="E2732" s="6" t="str">
        <f>HYPERLINK("https://twitter.com/petrogustavo/status/1233485656799809539","1233485656799809539")</f>
        <v>1233485656799809539</v>
      </c>
      <c r="F2732" s="7" t="s">
        <v>17</v>
      </c>
      <c r="G2732" s="7">
        <v>3650330</v>
      </c>
      <c r="H2732" s="7">
        <v>2354</v>
      </c>
      <c r="I2732" s="7">
        <v>21</v>
      </c>
      <c r="J2732" s="7">
        <v>69</v>
      </c>
      <c r="K2732" s="7" t="s">
        <v>18</v>
      </c>
      <c r="L2732" s="8">
        <v>39987.315405092595</v>
      </c>
      <c r="M2732" s="9" t="s">
        <v>19</v>
      </c>
      <c r="N2732" s="9" t="s">
        <v>20</v>
      </c>
      <c r="O2732" s="6" t="str">
        <f>HYPERLINK("https://pbs.twimg.com/profile_images/962471262747529216/Uo8lOkRJ_normal.jpg","View")</f>
        <v>View</v>
      </c>
      <c r="P2732" s="7"/>
    </row>
    <row r="2733" spans="1:16">
      <c r="A2733" s="3">
        <v>43890.288449074069</v>
      </c>
      <c r="B2733" s="4" t="str">
        <f>HYPERLINK("https://twitter.com/petrogustavo","@petrogustavo")</f>
        <v>@petrogustavo</v>
      </c>
      <c r="C2733" s="5" t="s">
        <v>16</v>
      </c>
      <c r="D2733" s="5" t="s">
        <v>2677</v>
      </c>
      <c r="E2733" s="6" t="str">
        <f>HYPERLINK("https://twitter.com/petrogustavo/status/1233563880573501442","1233563880573501442")</f>
        <v>1233563880573501442</v>
      </c>
      <c r="F2733" s="7" t="s">
        <v>17</v>
      </c>
      <c r="G2733" s="7">
        <v>3650675</v>
      </c>
      <c r="H2733" s="7">
        <v>2353</v>
      </c>
      <c r="I2733" s="7">
        <v>81</v>
      </c>
      <c r="J2733" s="7">
        <v>0</v>
      </c>
      <c r="K2733" s="7" t="s">
        <v>18</v>
      </c>
      <c r="L2733" s="8">
        <v>39987.315405092595</v>
      </c>
      <c r="M2733" s="9" t="s">
        <v>19</v>
      </c>
      <c r="N2733" s="9" t="s">
        <v>20</v>
      </c>
      <c r="O2733" s="6" t="str">
        <f>HYPERLINK("https://pbs.twimg.com/profile_images/962471262747529216/Uo8lOkRJ_normal.jpg","View")</f>
        <v>View</v>
      </c>
      <c r="P2733" s="7"/>
    </row>
    <row r="2734" spans="1:16">
      <c r="A2734" s="3">
        <v>43890.289988425924</v>
      </c>
      <c r="B2734" s="4" t="str">
        <f>HYPERLINK("https://twitter.com/petrogustavo","@petrogustavo")</f>
        <v>@petrogustavo</v>
      </c>
      <c r="C2734" s="5" t="s">
        <v>16</v>
      </c>
      <c r="D2734" s="5" t="s">
        <v>2678</v>
      </c>
      <c r="E2734" s="6" t="str">
        <f>HYPERLINK("https://twitter.com/petrogustavo/status/1233564440227975179","1233564440227975179")</f>
        <v>1233564440227975179</v>
      </c>
      <c r="F2734" s="7" t="s">
        <v>17</v>
      </c>
      <c r="G2734" s="7">
        <v>3650675</v>
      </c>
      <c r="H2734" s="7">
        <v>2353</v>
      </c>
      <c r="I2734" s="7">
        <v>40</v>
      </c>
      <c r="J2734" s="7">
        <v>0</v>
      </c>
      <c r="K2734" s="7" t="s">
        <v>18</v>
      </c>
      <c r="L2734" s="8">
        <v>39987.315405092595</v>
      </c>
      <c r="M2734" s="9" t="s">
        <v>19</v>
      </c>
      <c r="N2734" s="9" t="s">
        <v>20</v>
      </c>
      <c r="O2734" s="6" t="str">
        <f>HYPERLINK("https://pbs.twimg.com/profile_images/962471262747529216/Uo8lOkRJ_normal.jpg","View")</f>
        <v>View</v>
      </c>
      <c r="P2734" s="7"/>
    </row>
    <row r="2735" spans="1:16">
      <c r="A2735" s="3">
        <v>43890.290451388893</v>
      </c>
      <c r="B2735" s="4" t="str">
        <f>HYPERLINK("https://twitter.com/petrogustavo","@petrogustavo")</f>
        <v>@petrogustavo</v>
      </c>
      <c r="C2735" s="5" t="s">
        <v>16</v>
      </c>
      <c r="D2735" s="5" t="s">
        <v>2679</v>
      </c>
      <c r="E2735" s="6" t="str">
        <f>HYPERLINK("https://twitter.com/petrogustavo/status/1233564608721510400","1233564608721510400")</f>
        <v>1233564608721510400</v>
      </c>
      <c r="F2735" s="7" t="s">
        <v>17</v>
      </c>
      <c r="G2735" s="7">
        <v>3650675</v>
      </c>
      <c r="H2735" s="7">
        <v>2353</v>
      </c>
      <c r="I2735" s="7">
        <v>971</v>
      </c>
      <c r="J2735" s="7">
        <v>0</v>
      </c>
      <c r="K2735" s="7" t="s">
        <v>18</v>
      </c>
      <c r="L2735" s="8">
        <v>39987.315405092595</v>
      </c>
      <c r="M2735" s="9" t="s">
        <v>19</v>
      </c>
      <c r="N2735" s="9" t="s">
        <v>20</v>
      </c>
      <c r="O2735" s="6" t="str">
        <f>HYPERLINK("https://pbs.twimg.com/profile_images/962471262747529216/Uo8lOkRJ_normal.jpg","View")</f>
        <v>View</v>
      </c>
      <c r="P2735" s="7"/>
    </row>
    <row r="2736" spans="1:16">
      <c r="A2736" s="3">
        <v>43890.295995370368</v>
      </c>
      <c r="B2736" s="4" t="str">
        <f>HYPERLINK("https://twitter.com/petrogustavo","@petrogustavo")</f>
        <v>@petrogustavo</v>
      </c>
      <c r="C2736" s="5" t="s">
        <v>16</v>
      </c>
      <c r="D2736" s="5" t="s">
        <v>2680</v>
      </c>
      <c r="E2736" s="6" t="str">
        <f>HYPERLINK("https://twitter.com/petrogustavo/status/1233566614056046594","1233566614056046594")</f>
        <v>1233566614056046594</v>
      </c>
      <c r="F2736" s="7" t="s">
        <v>17</v>
      </c>
      <c r="G2736" s="7">
        <v>3650675</v>
      </c>
      <c r="H2736" s="7">
        <v>2353</v>
      </c>
      <c r="I2736" s="7">
        <v>74</v>
      </c>
      <c r="J2736" s="7">
        <v>182</v>
      </c>
      <c r="K2736" s="7" t="s">
        <v>18</v>
      </c>
      <c r="L2736" s="8">
        <v>39987.315405092595</v>
      </c>
      <c r="M2736" s="9" t="s">
        <v>19</v>
      </c>
      <c r="N2736" s="9" t="s">
        <v>20</v>
      </c>
      <c r="O2736" s="6" t="str">
        <f>HYPERLINK("https://pbs.twimg.com/profile_images/962471262747529216/Uo8lOkRJ_normal.jpg","View")</f>
        <v>View</v>
      </c>
      <c r="P2736" s="7"/>
    </row>
    <row r="2737" spans="1:16">
      <c r="A2737" s="3">
        <v>43890.295995370368</v>
      </c>
      <c r="B2737" s="4" t="str">
        <f>HYPERLINK("https://twitter.com/petrogustavo","@petrogustavo")</f>
        <v>@petrogustavo</v>
      </c>
      <c r="C2737" s="5" t="s">
        <v>16</v>
      </c>
      <c r="D2737" s="5" t="s">
        <v>2681</v>
      </c>
      <c r="E2737" s="6" t="str">
        <f>HYPERLINK("https://twitter.com/petrogustavo/status/1233566615029022721","1233566615029022721")</f>
        <v>1233566615029022721</v>
      </c>
      <c r="F2737" s="7" t="s">
        <v>17</v>
      </c>
      <c r="G2737" s="7">
        <v>3650675</v>
      </c>
      <c r="H2737" s="7">
        <v>2353</v>
      </c>
      <c r="I2737" s="7">
        <v>42</v>
      </c>
      <c r="J2737" s="7">
        <v>135</v>
      </c>
      <c r="K2737" s="7" t="s">
        <v>18</v>
      </c>
      <c r="L2737" s="8">
        <v>39987.315405092595</v>
      </c>
      <c r="M2737" s="9" t="s">
        <v>19</v>
      </c>
      <c r="N2737" s="9" t="s">
        <v>20</v>
      </c>
      <c r="O2737" s="6" t="str">
        <f>HYPERLINK("https://pbs.twimg.com/profile_images/962471262747529216/Uo8lOkRJ_normal.jpg","View")</f>
        <v>View</v>
      </c>
      <c r="P2737" s="7"/>
    </row>
    <row r="2738" spans="1:16">
      <c r="A2738" s="3">
        <v>43890.321932870371</v>
      </c>
      <c r="B2738" s="4" t="str">
        <f>HYPERLINK("https://twitter.com/petrogustavo","@petrogustavo")</f>
        <v>@petrogustavo</v>
      </c>
      <c r="C2738" s="5" t="s">
        <v>16</v>
      </c>
      <c r="D2738" s="5" t="s">
        <v>2682</v>
      </c>
      <c r="E2738" s="6" t="str">
        <f>HYPERLINK("https://twitter.com/petrogustavo/status/1233576015886274561","1233576015886274561")</f>
        <v>1233576015886274561</v>
      </c>
      <c r="F2738" s="7" t="s">
        <v>17</v>
      </c>
      <c r="G2738" s="7">
        <v>3650703</v>
      </c>
      <c r="H2738" s="7">
        <v>2353</v>
      </c>
      <c r="I2738" s="7">
        <v>44</v>
      </c>
      <c r="J2738" s="7">
        <v>110</v>
      </c>
      <c r="K2738" s="7" t="s">
        <v>18</v>
      </c>
      <c r="L2738" s="8">
        <v>39987.315405092595</v>
      </c>
      <c r="M2738" s="9" t="s">
        <v>19</v>
      </c>
      <c r="N2738" s="9" t="s">
        <v>20</v>
      </c>
      <c r="O2738" s="6" t="str">
        <f>HYPERLINK("https://pbs.twimg.com/profile_images/962471262747529216/Uo8lOkRJ_normal.jpg","View")</f>
        <v>View</v>
      </c>
      <c r="P2738" s="7"/>
    </row>
    <row r="2739" spans="1:16">
      <c r="A2739" s="3">
        <v>43890.322071759263</v>
      </c>
      <c r="B2739" s="4" t="str">
        <f>HYPERLINK("https://twitter.com/petrogustavo","@petrogustavo")</f>
        <v>@petrogustavo</v>
      </c>
      <c r="C2739" s="5" t="s">
        <v>16</v>
      </c>
      <c r="D2739" s="5" t="s">
        <v>2683</v>
      </c>
      <c r="E2739" s="6" t="str">
        <f>HYPERLINK("https://twitter.com/petrogustavo/status/1233576066918293504","1233576066918293504")</f>
        <v>1233576066918293504</v>
      </c>
      <c r="F2739" s="7" t="s">
        <v>17</v>
      </c>
      <c r="G2739" s="7">
        <v>3650703</v>
      </c>
      <c r="H2739" s="7">
        <v>2353</v>
      </c>
      <c r="I2739" s="7">
        <v>199</v>
      </c>
      <c r="J2739" s="7">
        <v>0</v>
      </c>
      <c r="K2739" s="7" t="s">
        <v>18</v>
      </c>
      <c r="L2739" s="8">
        <v>39987.315405092595</v>
      </c>
      <c r="M2739" s="9" t="s">
        <v>19</v>
      </c>
      <c r="N2739" s="9" t="s">
        <v>20</v>
      </c>
      <c r="O2739" s="6" t="str">
        <f>HYPERLINK("https://pbs.twimg.com/profile_images/962471262747529216/Uo8lOkRJ_normal.jpg","View")</f>
        <v>View</v>
      </c>
      <c r="P2739" s="7"/>
    </row>
    <row r="2740" spans="1:16">
      <c r="A2740" s="3">
        <v>43890.351678240739</v>
      </c>
      <c r="B2740" s="4" t="str">
        <f>HYPERLINK("https://twitter.com/petrogustavo","@petrogustavo")</f>
        <v>@petrogustavo</v>
      </c>
      <c r="C2740" s="5" t="s">
        <v>16</v>
      </c>
      <c r="D2740" s="5" t="s">
        <v>2684</v>
      </c>
      <c r="E2740" s="6" t="str">
        <f>HYPERLINK("https://twitter.com/petrogustavo/status/1233586795625013248","1233586795625013248")</f>
        <v>1233586795625013248</v>
      </c>
      <c r="F2740" s="7" t="s">
        <v>17</v>
      </c>
      <c r="G2740" s="7">
        <v>3650751</v>
      </c>
      <c r="H2740" s="7">
        <v>2353</v>
      </c>
      <c r="I2740" s="7">
        <v>1252</v>
      </c>
      <c r="J2740" s="7">
        <v>0</v>
      </c>
      <c r="K2740" s="7" t="s">
        <v>18</v>
      </c>
      <c r="L2740" s="8">
        <v>39987.315405092595</v>
      </c>
      <c r="M2740" s="9" t="s">
        <v>19</v>
      </c>
      <c r="N2740" s="9" t="s">
        <v>20</v>
      </c>
      <c r="O2740" s="6" t="str">
        <f>HYPERLINK("https://pbs.twimg.com/profile_images/962471262747529216/Uo8lOkRJ_normal.jpg","View")</f>
        <v>View</v>
      </c>
      <c r="P2740" s="7"/>
    </row>
    <row r="2741" spans="1:16">
      <c r="A2741" s="3">
        <v>43890.352002314816</v>
      </c>
      <c r="B2741" s="4" t="str">
        <f>HYPERLINK("https://twitter.com/petrogustavo","@petrogustavo")</f>
        <v>@petrogustavo</v>
      </c>
      <c r="C2741" s="5" t="s">
        <v>16</v>
      </c>
      <c r="D2741" s="5" t="s">
        <v>2685</v>
      </c>
      <c r="E2741" s="6" t="str">
        <f>HYPERLINK("https://twitter.com/petrogustavo/status/1233586913724030976","1233586913724030976")</f>
        <v>1233586913724030976</v>
      </c>
      <c r="F2741" s="7" t="s">
        <v>17</v>
      </c>
      <c r="G2741" s="7">
        <v>3650751</v>
      </c>
      <c r="H2741" s="7">
        <v>2353</v>
      </c>
      <c r="I2741" s="7">
        <v>131</v>
      </c>
      <c r="J2741" s="7">
        <v>502</v>
      </c>
      <c r="K2741" s="7" t="s">
        <v>18</v>
      </c>
      <c r="L2741" s="8">
        <v>39987.315405092595</v>
      </c>
      <c r="M2741" s="9" t="s">
        <v>19</v>
      </c>
      <c r="N2741" s="9" t="s">
        <v>20</v>
      </c>
      <c r="O2741" s="6" t="str">
        <f>HYPERLINK("https://pbs.twimg.com/profile_images/962471262747529216/Uo8lOkRJ_normal.jpg","View")</f>
        <v>View</v>
      </c>
      <c r="P2741" s="7"/>
    </row>
    <row r="2742" spans="1:16">
      <c r="A2742" s="3">
        <v>43890.353761574079</v>
      </c>
      <c r="B2742" s="4" t="str">
        <f>HYPERLINK("https://twitter.com/petrogustavo","@petrogustavo")</f>
        <v>@petrogustavo</v>
      </c>
      <c r="C2742" s="5" t="s">
        <v>16</v>
      </c>
      <c r="D2742" s="5" t="s">
        <v>2686</v>
      </c>
      <c r="E2742" s="6" t="str">
        <f>HYPERLINK("https://twitter.com/petrogustavo/status/1233587551811842048","1233587551811842048")</f>
        <v>1233587551811842048</v>
      </c>
      <c r="F2742" s="7" t="s">
        <v>17</v>
      </c>
      <c r="G2742" s="7">
        <v>3650751</v>
      </c>
      <c r="H2742" s="7">
        <v>2353</v>
      </c>
      <c r="I2742" s="7">
        <v>110</v>
      </c>
      <c r="J2742" s="7">
        <v>288</v>
      </c>
      <c r="K2742" s="7" t="s">
        <v>18</v>
      </c>
      <c r="L2742" s="8">
        <v>39987.315405092595</v>
      </c>
      <c r="M2742" s="9" t="s">
        <v>19</v>
      </c>
      <c r="N2742" s="9" t="s">
        <v>20</v>
      </c>
      <c r="O2742" s="6" t="str">
        <f>HYPERLINK("https://pbs.twimg.com/profile_images/962471262747529216/Uo8lOkRJ_normal.jpg","View")</f>
        <v>View</v>
      </c>
      <c r="P2742" s="7"/>
    </row>
    <row r="2743" spans="1:16">
      <c r="A2743" s="3">
        <v>43890.355300925927</v>
      </c>
      <c r="B2743" s="4" t="str">
        <f>HYPERLINK("https://twitter.com/petrogustavo","@petrogustavo")</f>
        <v>@petrogustavo</v>
      </c>
      <c r="C2743" s="5" t="s">
        <v>16</v>
      </c>
      <c r="D2743" s="5" t="s">
        <v>2687</v>
      </c>
      <c r="E2743" s="6" t="str">
        <f>HYPERLINK("https://twitter.com/petrogustavo/status/1233588106898673664","1233588106898673664")</f>
        <v>1233588106898673664</v>
      </c>
      <c r="F2743" s="7" t="s">
        <v>17</v>
      </c>
      <c r="G2743" s="7">
        <v>3650751</v>
      </c>
      <c r="H2743" s="7">
        <v>2353</v>
      </c>
      <c r="I2743" s="7">
        <v>1219</v>
      </c>
      <c r="J2743" s="7">
        <v>0</v>
      </c>
      <c r="K2743" s="7" t="s">
        <v>18</v>
      </c>
      <c r="L2743" s="8">
        <v>39987.315405092595</v>
      </c>
      <c r="M2743" s="9" t="s">
        <v>19</v>
      </c>
      <c r="N2743" s="9" t="s">
        <v>20</v>
      </c>
      <c r="O2743" s="6" t="str">
        <f>HYPERLINK("https://pbs.twimg.com/profile_images/962471262747529216/Uo8lOkRJ_normal.jpg","View")</f>
        <v>View</v>
      </c>
      <c r="P2743" s="7"/>
    </row>
    <row r="2744" spans="1:16">
      <c r="A2744" s="3">
        <v>43890.358043981483</v>
      </c>
      <c r="B2744" s="4" t="str">
        <f>HYPERLINK("https://twitter.com/petrogustavo","@petrogustavo")</f>
        <v>@petrogustavo</v>
      </c>
      <c r="C2744" s="5" t="s">
        <v>16</v>
      </c>
      <c r="D2744" s="5" t="s">
        <v>2688</v>
      </c>
      <c r="E2744" s="6" t="str">
        <f>HYPERLINK("https://twitter.com/petrogustavo/status/1233589101854633984","1233589101854633984")</f>
        <v>1233589101854633984</v>
      </c>
      <c r="F2744" s="7" t="s">
        <v>17</v>
      </c>
      <c r="G2744" s="7">
        <v>3650751</v>
      </c>
      <c r="H2744" s="7">
        <v>2353</v>
      </c>
      <c r="I2744" s="7">
        <v>41</v>
      </c>
      <c r="J2744" s="7">
        <v>159</v>
      </c>
      <c r="K2744" s="7" t="s">
        <v>18</v>
      </c>
      <c r="L2744" s="8">
        <v>39987.315405092595</v>
      </c>
      <c r="M2744" s="9" t="s">
        <v>19</v>
      </c>
      <c r="N2744" s="9" t="s">
        <v>20</v>
      </c>
      <c r="O2744" s="6" t="str">
        <f>HYPERLINK("https://pbs.twimg.com/profile_images/962471262747529216/Uo8lOkRJ_normal.jpg","View")</f>
        <v>View</v>
      </c>
      <c r="P2744" s="7"/>
    </row>
    <row r="2745" spans="1:16">
      <c r="A2745" s="3">
        <v>43890.359571759254</v>
      </c>
      <c r="B2745" s="4" t="str">
        <f>HYPERLINK("https://twitter.com/petrogustavo","@petrogustavo")</f>
        <v>@petrogustavo</v>
      </c>
      <c r="C2745" s="5" t="s">
        <v>16</v>
      </c>
      <c r="D2745" s="5" t="s">
        <v>2689</v>
      </c>
      <c r="E2745" s="6" t="str">
        <f>HYPERLINK("https://twitter.com/petrogustavo/status/1233589654085160961","1233589654085160961")</f>
        <v>1233589654085160961</v>
      </c>
      <c r="F2745" s="7" t="s">
        <v>17</v>
      </c>
      <c r="G2745" s="7">
        <v>3650751</v>
      </c>
      <c r="H2745" s="7">
        <v>2353</v>
      </c>
      <c r="I2745" s="7">
        <v>350</v>
      </c>
      <c r="J2745" s="7">
        <v>0</v>
      </c>
      <c r="K2745" s="7" t="s">
        <v>18</v>
      </c>
      <c r="L2745" s="8">
        <v>39987.315405092595</v>
      </c>
      <c r="M2745" s="9" t="s">
        <v>19</v>
      </c>
      <c r="N2745" s="9" t="s">
        <v>20</v>
      </c>
      <c r="O2745" s="6" t="str">
        <f>HYPERLINK("https://pbs.twimg.com/profile_images/962471262747529216/Uo8lOkRJ_normal.jpg","View")</f>
        <v>View</v>
      </c>
      <c r="P2745" s="7"/>
    </row>
    <row r="2746" spans="1:16">
      <c r="A2746" s="3">
        <v>43890.359884259262</v>
      </c>
      <c r="B2746" s="4" t="str">
        <f>HYPERLINK("https://twitter.com/petrogustavo","@petrogustavo")</f>
        <v>@petrogustavo</v>
      </c>
      <c r="C2746" s="5" t="s">
        <v>16</v>
      </c>
      <c r="D2746" s="5" t="s">
        <v>2690</v>
      </c>
      <c r="E2746" s="6" t="str">
        <f>HYPERLINK("https://twitter.com/petrogustavo/status/1233589769139052544","1233589769139052544")</f>
        <v>1233589769139052544</v>
      </c>
      <c r="F2746" s="7" t="s">
        <v>17</v>
      </c>
      <c r="G2746" s="7">
        <v>3650751</v>
      </c>
      <c r="H2746" s="7">
        <v>2353</v>
      </c>
      <c r="I2746" s="7">
        <v>42</v>
      </c>
      <c r="J2746" s="7">
        <v>0</v>
      </c>
      <c r="K2746" s="7" t="s">
        <v>18</v>
      </c>
      <c r="L2746" s="8">
        <v>39987.315405092595</v>
      </c>
      <c r="M2746" s="9" t="s">
        <v>19</v>
      </c>
      <c r="N2746" s="9" t="s">
        <v>20</v>
      </c>
      <c r="O2746" s="6" t="str">
        <f>HYPERLINK("https://pbs.twimg.com/profile_images/962471262747529216/Uo8lOkRJ_normal.jpg","View")</f>
        <v>View</v>
      </c>
      <c r="P2746" s="7"/>
    </row>
    <row r="2747" spans="1:16">
      <c r="A2747" s="3">
        <v>43890.36001157407</v>
      </c>
      <c r="B2747" s="4" t="str">
        <f>HYPERLINK("https://twitter.com/petrogustavo","@petrogustavo")</f>
        <v>@petrogustavo</v>
      </c>
      <c r="C2747" s="5" t="s">
        <v>16</v>
      </c>
      <c r="D2747" s="5" t="s">
        <v>2691</v>
      </c>
      <c r="E2747" s="6" t="str">
        <f>HYPERLINK("https://twitter.com/petrogustavo/status/1233589814903046145","1233589814903046145")</f>
        <v>1233589814903046145</v>
      </c>
      <c r="F2747" s="7" t="s">
        <v>17</v>
      </c>
      <c r="G2747" s="7">
        <v>3650751</v>
      </c>
      <c r="H2747" s="7">
        <v>2353</v>
      </c>
      <c r="I2747" s="7">
        <v>374</v>
      </c>
      <c r="J2747" s="7">
        <v>0</v>
      </c>
      <c r="K2747" s="7" t="s">
        <v>18</v>
      </c>
      <c r="L2747" s="8">
        <v>39987.315405092595</v>
      </c>
      <c r="M2747" s="9" t="s">
        <v>19</v>
      </c>
      <c r="N2747" s="9" t="s">
        <v>20</v>
      </c>
      <c r="O2747" s="6" t="str">
        <f>HYPERLINK("https://pbs.twimg.com/profile_images/962471262747529216/Uo8lOkRJ_normal.jpg","View")</f>
        <v>View</v>
      </c>
      <c r="P2747" s="7"/>
    </row>
    <row r="2748" spans="1:16">
      <c r="A2748" s="3">
        <v>43890.364247685182</v>
      </c>
      <c r="B2748" s="4" t="str">
        <f>HYPERLINK("https://twitter.com/petrogustavo","@petrogustavo")</f>
        <v>@petrogustavo</v>
      </c>
      <c r="C2748" s="5" t="s">
        <v>16</v>
      </c>
      <c r="D2748" s="5" t="s">
        <v>2692</v>
      </c>
      <c r="E2748" s="6" t="str">
        <f>HYPERLINK("https://twitter.com/petrogustavo/status/1233591351398277121","1233591351398277121")</f>
        <v>1233591351398277121</v>
      </c>
      <c r="F2748" s="7" t="s">
        <v>17</v>
      </c>
      <c r="G2748" s="7">
        <v>3650751</v>
      </c>
      <c r="H2748" s="7">
        <v>2353</v>
      </c>
      <c r="I2748" s="7">
        <v>31</v>
      </c>
      <c r="J2748" s="7">
        <v>70</v>
      </c>
      <c r="K2748" s="7" t="s">
        <v>18</v>
      </c>
      <c r="L2748" s="8">
        <v>39987.315405092595</v>
      </c>
      <c r="M2748" s="9" t="s">
        <v>19</v>
      </c>
      <c r="N2748" s="9" t="s">
        <v>20</v>
      </c>
      <c r="O2748" s="6" t="str">
        <f>HYPERLINK("https://pbs.twimg.com/profile_images/962471262747529216/Uo8lOkRJ_normal.jpg","View")</f>
        <v>View</v>
      </c>
      <c r="P2748" s="7"/>
    </row>
    <row r="2749" spans="1:16">
      <c r="A2749" s="3">
        <v>43890.364768518513</v>
      </c>
      <c r="B2749" s="4" t="str">
        <f>HYPERLINK("https://twitter.com/petrogustavo","@petrogustavo")</f>
        <v>@petrogustavo</v>
      </c>
      <c r="C2749" s="5" t="s">
        <v>16</v>
      </c>
      <c r="D2749" s="5" t="s">
        <v>2693</v>
      </c>
      <c r="E2749" s="6" t="str">
        <f>HYPERLINK("https://twitter.com/petrogustavo/status/1233591539760279554","1233591539760279554")</f>
        <v>1233591539760279554</v>
      </c>
      <c r="F2749" s="7" t="s">
        <v>17</v>
      </c>
      <c r="G2749" s="7">
        <v>3650751</v>
      </c>
      <c r="H2749" s="7">
        <v>2353</v>
      </c>
      <c r="I2749" s="7">
        <v>106</v>
      </c>
      <c r="J2749" s="7">
        <v>0</v>
      </c>
      <c r="K2749" s="7" t="s">
        <v>18</v>
      </c>
      <c r="L2749" s="8">
        <v>39987.315405092595</v>
      </c>
      <c r="M2749" s="9" t="s">
        <v>19</v>
      </c>
      <c r="N2749" s="9" t="s">
        <v>20</v>
      </c>
      <c r="O2749" s="6" t="str">
        <f>HYPERLINK("https://pbs.twimg.com/profile_images/962471262747529216/Uo8lOkRJ_normal.jpg","View")</f>
        <v>View</v>
      </c>
      <c r="P2749" s="7"/>
    </row>
    <row r="2750" spans="1:16">
      <c r="A2750" s="3">
        <v>43890.38003472222</v>
      </c>
      <c r="B2750" s="4" t="str">
        <f>HYPERLINK("https://twitter.com/petrogustavo","@petrogustavo")</f>
        <v>@petrogustavo</v>
      </c>
      <c r="C2750" s="5" t="s">
        <v>16</v>
      </c>
      <c r="D2750" s="5" t="s">
        <v>2683</v>
      </c>
      <c r="E2750" s="6" t="str">
        <f>HYPERLINK("https://twitter.com/petrogustavo/status/1233597072491896832","1233597072491896832")</f>
        <v>1233597072491896832</v>
      </c>
      <c r="F2750" s="7" t="s">
        <v>17</v>
      </c>
      <c r="G2750" s="7">
        <v>3650783</v>
      </c>
      <c r="H2750" s="7">
        <v>2353</v>
      </c>
      <c r="I2750" s="7">
        <v>370</v>
      </c>
      <c r="J2750" s="7">
        <v>0</v>
      </c>
      <c r="K2750" s="7" t="s">
        <v>18</v>
      </c>
      <c r="L2750" s="8">
        <v>39987.315405092595</v>
      </c>
      <c r="M2750" s="9" t="s">
        <v>19</v>
      </c>
      <c r="N2750" s="9" t="s">
        <v>20</v>
      </c>
      <c r="O2750" s="6" t="str">
        <f>HYPERLINK("https://pbs.twimg.com/profile_images/962471262747529216/Uo8lOkRJ_normal.jpg","View")</f>
        <v>View</v>
      </c>
      <c r="P2750" s="7"/>
    </row>
    <row r="2751" spans="1:16">
      <c r="A2751" s="3">
        <v>43890.380243055552</v>
      </c>
      <c r="B2751" s="4" t="str">
        <f>HYPERLINK("https://twitter.com/petrogustavo","@petrogustavo")</f>
        <v>@petrogustavo</v>
      </c>
      <c r="C2751" s="5" t="s">
        <v>16</v>
      </c>
      <c r="D2751" s="5" t="s">
        <v>2694</v>
      </c>
      <c r="E2751" s="6" t="str">
        <f>HYPERLINK("https://twitter.com/petrogustavo/status/1233597146416455680","1233597146416455680")</f>
        <v>1233597146416455680</v>
      </c>
      <c r="F2751" s="7" t="s">
        <v>17</v>
      </c>
      <c r="G2751" s="7">
        <v>3650783</v>
      </c>
      <c r="H2751" s="7">
        <v>2353</v>
      </c>
      <c r="I2751" s="7">
        <v>205</v>
      </c>
      <c r="J2751" s="7">
        <v>0</v>
      </c>
      <c r="K2751" s="7" t="s">
        <v>18</v>
      </c>
      <c r="L2751" s="8">
        <v>39987.315405092595</v>
      </c>
      <c r="M2751" s="9" t="s">
        <v>19</v>
      </c>
      <c r="N2751" s="9" t="s">
        <v>20</v>
      </c>
      <c r="O2751" s="6" t="str">
        <f>HYPERLINK("https://pbs.twimg.com/profile_images/962471262747529216/Uo8lOkRJ_normal.jpg","View")</f>
        <v>View</v>
      </c>
      <c r="P2751" s="7"/>
    </row>
    <row r="2752" spans="1:16">
      <c r="A2752" s="3">
        <v>43890.766944444447</v>
      </c>
      <c r="B2752" s="4" t="str">
        <f>HYPERLINK("https://twitter.com/petrogustavo","@petrogustavo")</f>
        <v>@petrogustavo</v>
      </c>
      <c r="C2752" s="5" t="s">
        <v>16</v>
      </c>
      <c r="D2752" s="5" t="s">
        <v>2695</v>
      </c>
      <c r="E2752" s="6" t="str">
        <f>HYPERLINK("https://twitter.com/petrogustavo/status/1233737280550002688","1233737280550002688")</f>
        <v>1233737280550002688</v>
      </c>
      <c r="F2752" s="7" t="s">
        <v>17</v>
      </c>
      <c r="G2752" s="7">
        <v>3650948</v>
      </c>
      <c r="H2752" s="7">
        <v>2353</v>
      </c>
      <c r="I2752" s="7">
        <v>65</v>
      </c>
      <c r="J2752" s="7">
        <v>0</v>
      </c>
      <c r="K2752" s="7" t="s">
        <v>18</v>
      </c>
      <c r="L2752" s="8">
        <v>39987.315405092595</v>
      </c>
      <c r="M2752" s="9" t="s">
        <v>19</v>
      </c>
      <c r="N2752" s="9" t="s">
        <v>20</v>
      </c>
      <c r="O2752" s="6" t="str">
        <f>HYPERLINK("https://pbs.twimg.com/profile_images/962471262747529216/Uo8lOkRJ_normal.jpg","View")</f>
        <v>View</v>
      </c>
      <c r="P2752" s="7"/>
    </row>
    <row r="2753" spans="1:16">
      <c r="A2753" s="3">
        <v>43890.767824074079</v>
      </c>
      <c r="B2753" s="4" t="str">
        <f>HYPERLINK("https://twitter.com/petrogustavo","@petrogustavo")</f>
        <v>@petrogustavo</v>
      </c>
      <c r="C2753" s="5" t="s">
        <v>16</v>
      </c>
      <c r="D2753" s="5" t="s">
        <v>2696</v>
      </c>
      <c r="E2753" s="6" t="str">
        <f>HYPERLINK("https://twitter.com/petrogustavo/status/1233737602118901761","1233737602118901761")</f>
        <v>1233737602118901761</v>
      </c>
      <c r="F2753" s="7" t="s">
        <v>17</v>
      </c>
      <c r="G2753" s="7">
        <v>3650948</v>
      </c>
      <c r="H2753" s="7">
        <v>2353</v>
      </c>
      <c r="I2753" s="7">
        <v>263</v>
      </c>
      <c r="J2753" s="7">
        <v>0</v>
      </c>
      <c r="K2753" s="7" t="s">
        <v>18</v>
      </c>
      <c r="L2753" s="8">
        <v>39987.315405092595</v>
      </c>
      <c r="M2753" s="9" t="s">
        <v>19</v>
      </c>
      <c r="N2753" s="9" t="s">
        <v>20</v>
      </c>
      <c r="O2753" s="6" t="str">
        <f>HYPERLINK("https://pbs.twimg.com/profile_images/962471262747529216/Uo8lOkRJ_normal.jpg","View")</f>
        <v>View</v>
      </c>
      <c r="P2753" s="7"/>
    </row>
    <row r="2754" spans="1:16">
      <c r="A2754" s="3">
        <v>43890.768379629633</v>
      </c>
      <c r="B2754" s="4" t="str">
        <f>HYPERLINK("https://twitter.com/petrogustavo","@petrogustavo")</f>
        <v>@petrogustavo</v>
      </c>
      <c r="C2754" s="5" t="s">
        <v>16</v>
      </c>
      <c r="D2754" s="5" t="s">
        <v>2697</v>
      </c>
      <c r="E2754" s="6" t="str">
        <f>HYPERLINK("https://twitter.com/petrogustavo/status/1233737802451431429","1233737802451431429")</f>
        <v>1233737802451431429</v>
      </c>
      <c r="F2754" s="7" t="s">
        <v>17</v>
      </c>
      <c r="G2754" s="7">
        <v>3650948</v>
      </c>
      <c r="H2754" s="7">
        <v>2353</v>
      </c>
      <c r="I2754" s="7">
        <v>80</v>
      </c>
      <c r="J2754" s="7">
        <v>0</v>
      </c>
      <c r="K2754" s="7" t="s">
        <v>18</v>
      </c>
      <c r="L2754" s="8">
        <v>39987.315405092595</v>
      </c>
      <c r="M2754" s="9" t="s">
        <v>19</v>
      </c>
      <c r="N2754" s="9" t="s">
        <v>20</v>
      </c>
      <c r="O2754" s="6" t="str">
        <f>HYPERLINK("https://pbs.twimg.com/profile_images/962471262747529216/Uo8lOkRJ_normal.jpg","View")</f>
        <v>View</v>
      </c>
      <c r="P2754" s="7"/>
    </row>
    <row r="2755" spans="1:16">
      <c r="A2755" s="3">
        <v>43890.77244212963</v>
      </c>
      <c r="B2755" s="4" t="str">
        <f>HYPERLINK("https://twitter.com/petrogustavo","@petrogustavo")</f>
        <v>@petrogustavo</v>
      </c>
      <c r="C2755" s="5" t="s">
        <v>16</v>
      </c>
      <c r="D2755" s="5" t="s">
        <v>2698</v>
      </c>
      <c r="E2755" s="6" t="str">
        <f>HYPERLINK("https://twitter.com/petrogustavo/status/1233739274178170880","1233739274178170880")</f>
        <v>1233739274178170880</v>
      </c>
      <c r="F2755" s="7" t="s">
        <v>17</v>
      </c>
      <c r="G2755" s="7">
        <v>3650948</v>
      </c>
      <c r="H2755" s="7">
        <v>2353</v>
      </c>
      <c r="I2755" s="7">
        <v>232</v>
      </c>
      <c r="J2755" s="7">
        <v>718</v>
      </c>
      <c r="K2755" s="7" t="s">
        <v>18</v>
      </c>
      <c r="L2755" s="8">
        <v>39987.315405092595</v>
      </c>
      <c r="M2755" s="9" t="s">
        <v>19</v>
      </c>
      <c r="N2755" s="9" t="s">
        <v>20</v>
      </c>
      <c r="O2755" s="6" t="str">
        <f>HYPERLINK("https://pbs.twimg.com/profile_images/962471262747529216/Uo8lOkRJ_normal.jpg","View")</f>
        <v>View</v>
      </c>
      <c r="P2755" s="7"/>
    </row>
    <row r="2756" spans="1:16">
      <c r="A2756" s="3">
        <v>43890.774664351848</v>
      </c>
      <c r="B2756" s="4" t="str">
        <f>HYPERLINK("https://twitter.com/petrogustavo","@petrogustavo")</f>
        <v>@petrogustavo</v>
      </c>
      <c r="C2756" s="5" t="s">
        <v>16</v>
      </c>
      <c r="D2756" s="5" t="s">
        <v>2694</v>
      </c>
      <c r="E2756" s="6" t="str">
        <f>HYPERLINK("https://twitter.com/petrogustavo/status/1233740081288097792","1233740081288097792")</f>
        <v>1233740081288097792</v>
      </c>
      <c r="F2756" s="7" t="s">
        <v>17</v>
      </c>
      <c r="G2756" s="7">
        <v>3650948</v>
      </c>
      <c r="H2756" s="7">
        <v>2353</v>
      </c>
      <c r="I2756" s="7">
        <v>1035</v>
      </c>
      <c r="J2756" s="7">
        <v>0</v>
      </c>
      <c r="K2756" s="7" t="s">
        <v>18</v>
      </c>
      <c r="L2756" s="8">
        <v>39987.315405092595</v>
      </c>
      <c r="M2756" s="9" t="s">
        <v>19</v>
      </c>
      <c r="N2756" s="9" t="s">
        <v>20</v>
      </c>
      <c r="O2756" s="6" t="str">
        <f>HYPERLINK("https://pbs.twimg.com/profile_images/962471262747529216/Uo8lOkRJ_normal.jpg","View")</f>
        <v>View</v>
      </c>
      <c r="P2756" s="7"/>
    </row>
    <row r="2757" spans="1:16">
      <c r="A2757" s="3">
        <v>43891.022476851853</v>
      </c>
      <c r="B2757" s="4" t="str">
        <f>HYPERLINK("https://twitter.com/petrogustavo","@petrogustavo")</f>
        <v>@petrogustavo</v>
      </c>
      <c r="C2757" s="5" t="s">
        <v>16</v>
      </c>
      <c r="D2757" s="5" t="s">
        <v>2699</v>
      </c>
      <c r="E2757" s="6" t="str">
        <f>HYPERLINK("https://twitter.com/petrogustavo/status/1233829884478263305","1233829884478263305")</f>
        <v>1233829884478263305</v>
      </c>
      <c r="F2757" s="7" t="s">
        <v>17</v>
      </c>
      <c r="G2757" s="7">
        <v>3651357</v>
      </c>
      <c r="H2757" s="7">
        <v>2353</v>
      </c>
      <c r="I2757" s="7">
        <v>277</v>
      </c>
      <c r="J2757" s="7">
        <v>0</v>
      </c>
      <c r="K2757" s="7" t="s">
        <v>18</v>
      </c>
      <c r="L2757" s="8">
        <v>39987.315405092595</v>
      </c>
      <c r="M2757" s="9" t="s">
        <v>19</v>
      </c>
      <c r="N2757" s="9" t="s">
        <v>20</v>
      </c>
      <c r="O2757" s="6" t="str">
        <f>HYPERLINK("https://pbs.twimg.com/profile_images/962471262747529216/Uo8lOkRJ_normal.jpg","View")</f>
        <v>View</v>
      </c>
      <c r="P2757" s="7"/>
    </row>
    <row r="2758" spans="1:16">
      <c r="A2758" s="3">
        <v>43891.024004629631</v>
      </c>
      <c r="B2758" s="4" t="str">
        <f>HYPERLINK("https://twitter.com/petrogustavo","@petrogustavo")</f>
        <v>@petrogustavo</v>
      </c>
      <c r="C2758" s="5" t="s">
        <v>16</v>
      </c>
      <c r="D2758" s="5" t="s">
        <v>2700</v>
      </c>
      <c r="E2758" s="6" t="str">
        <f>HYPERLINK("https://twitter.com/petrogustavo/status/1233830437786726402","1233830437786726402")</f>
        <v>1233830437786726402</v>
      </c>
      <c r="F2758" s="7" t="s">
        <v>17</v>
      </c>
      <c r="G2758" s="7">
        <v>3651357</v>
      </c>
      <c r="H2758" s="7">
        <v>2353</v>
      </c>
      <c r="I2758" s="7">
        <v>91</v>
      </c>
      <c r="J2758" s="7">
        <v>0</v>
      </c>
      <c r="K2758" s="7" t="s">
        <v>18</v>
      </c>
      <c r="L2758" s="8">
        <v>39987.315405092595</v>
      </c>
      <c r="M2758" s="9" t="s">
        <v>19</v>
      </c>
      <c r="N2758" s="9" t="s">
        <v>20</v>
      </c>
      <c r="O2758" s="6" t="str">
        <f>HYPERLINK("https://pbs.twimg.com/profile_images/962471262747529216/Uo8lOkRJ_normal.jpg","View")</f>
        <v>View</v>
      </c>
      <c r="P2758" s="7"/>
    </row>
    <row r="2759" spans="1:16">
      <c r="A2759" s="3">
        <v>43891.034641203703</v>
      </c>
      <c r="B2759" s="4" t="str">
        <f>HYPERLINK("https://twitter.com/petrogustavo","@petrogustavo")</f>
        <v>@petrogustavo</v>
      </c>
      <c r="C2759" s="5" t="s">
        <v>16</v>
      </c>
      <c r="D2759" s="5" t="s">
        <v>2701</v>
      </c>
      <c r="E2759" s="6" t="str">
        <f>HYPERLINK("https://twitter.com/petrogustavo/status/1233834293560070149","1233834293560070149")</f>
        <v>1233834293560070149</v>
      </c>
      <c r="F2759" s="7" t="s">
        <v>17</v>
      </c>
      <c r="G2759" s="7">
        <v>3651408</v>
      </c>
      <c r="H2759" s="7">
        <v>2353</v>
      </c>
      <c r="I2759" s="7">
        <v>94</v>
      </c>
      <c r="J2759" s="7">
        <v>0</v>
      </c>
      <c r="K2759" s="7" t="s">
        <v>18</v>
      </c>
      <c r="L2759" s="8">
        <v>39987.315405092595</v>
      </c>
      <c r="M2759" s="9" t="s">
        <v>19</v>
      </c>
      <c r="N2759" s="9" t="s">
        <v>20</v>
      </c>
      <c r="O2759" s="6" t="str">
        <f>HYPERLINK("https://pbs.twimg.com/profile_images/962471262747529216/Uo8lOkRJ_normal.jpg","View")</f>
        <v>View</v>
      </c>
      <c r="P2759" s="7"/>
    </row>
    <row r="2760" spans="1:16">
      <c r="A2760" s="3">
        <v>43891.034664351857</v>
      </c>
      <c r="B2760" s="4" t="str">
        <f>HYPERLINK("https://twitter.com/petrogustavo","@petrogustavo")</f>
        <v>@petrogustavo</v>
      </c>
      <c r="C2760" s="5" t="s">
        <v>16</v>
      </c>
      <c r="D2760" s="5" t="s">
        <v>2702</v>
      </c>
      <c r="E2760" s="6" t="str">
        <f>HYPERLINK("https://twitter.com/petrogustavo/status/1233834299641749504","1233834299641749504")</f>
        <v>1233834299641749504</v>
      </c>
      <c r="F2760" s="7" t="s">
        <v>17</v>
      </c>
      <c r="G2760" s="7">
        <v>3651408</v>
      </c>
      <c r="H2760" s="7">
        <v>2353</v>
      </c>
      <c r="I2760" s="7">
        <v>29</v>
      </c>
      <c r="J2760" s="7">
        <v>0</v>
      </c>
      <c r="K2760" s="7" t="s">
        <v>18</v>
      </c>
      <c r="L2760" s="8">
        <v>39987.315405092595</v>
      </c>
      <c r="M2760" s="9" t="s">
        <v>19</v>
      </c>
      <c r="N2760" s="9" t="s">
        <v>20</v>
      </c>
      <c r="O2760" s="6" t="str">
        <f>HYPERLINK("https://pbs.twimg.com/profile_images/962471262747529216/Uo8lOkRJ_normal.jpg","View")</f>
        <v>View</v>
      </c>
      <c r="P2760" s="7"/>
    </row>
    <row r="2761" spans="1:16">
      <c r="A2761" s="3">
        <v>43891.038449074069</v>
      </c>
      <c r="B2761" s="4" t="str">
        <f>HYPERLINK("https://twitter.com/petrogustavo","@petrogustavo")</f>
        <v>@petrogustavo</v>
      </c>
      <c r="C2761" s="5" t="s">
        <v>16</v>
      </c>
      <c r="D2761" s="5" t="s">
        <v>2703</v>
      </c>
      <c r="E2761" s="6" t="str">
        <f>HYPERLINK("https://twitter.com/petrogustavo/status/1233835673146286081","1233835673146286081")</f>
        <v>1233835673146286081</v>
      </c>
      <c r="F2761" s="7" t="s">
        <v>17</v>
      </c>
      <c r="G2761" s="7">
        <v>3651408</v>
      </c>
      <c r="H2761" s="7">
        <v>2353</v>
      </c>
      <c r="I2761" s="7">
        <v>177</v>
      </c>
      <c r="J2761" s="7">
        <v>376</v>
      </c>
      <c r="K2761" s="7" t="s">
        <v>18</v>
      </c>
      <c r="L2761" s="8">
        <v>39987.315405092595</v>
      </c>
      <c r="M2761" s="9" t="s">
        <v>19</v>
      </c>
      <c r="N2761" s="9" t="s">
        <v>20</v>
      </c>
      <c r="O2761" s="6" t="str">
        <f>HYPERLINK("https://pbs.twimg.com/profile_images/962471262747529216/Uo8lOkRJ_normal.jpg","View")</f>
        <v>View</v>
      </c>
      <c r="P2761" s="7"/>
    </row>
    <row r="2762" spans="1:16">
      <c r="A2762" s="3">
        <v>43891.039895833332</v>
      </c>
      <c r="B2762" s="4" t="str">
        <f>HYPERLINK("https://twitter.com/petrogustavo","@petrogustavo")</f>
        <v>@petrogustavo</v>
      </c>
      <c r="C2762" s="5" t="s">
        <v>16</v>
      </c>
      <c r="D2762" s="5" t="s">
        <v>2704</v>
      </c>
      <c r="E2762" s="6" t="str">
        <f>HYPERLINK("https://twitter.com/petrogustavo/status/1233836194779344896","1233836194779344896")</f>
        <v>1233836194779344896</v>
      </c>
      <c r="F2762" s="7" t="s">
        <v>17</v>
      </c>
      <c r="G2762" s="7">
        <v>3651408</v>
      </c>
      <c r="H2762" s="7">
        <v>2353</v>
      </c>
      <c r="I2762" s="7">
        <v>1017</v>
      </c>
      <c r="J2762" s="7">
        <v>0</v>
      </c>
      <c r="K2762" s="7" t="s">
        <v>18</v>
      </c>
      <c r="L2762" s="8">
        <v>39987.315405092595</v>
      </c>
      <c r="M2762" s="9" t="s">
        <v>19</v>
      </c>
      <c r="N2762" s="9" t="s">
        <v>20</v>
      </c>
      <c r="O2762" s="6" t="str">
        <f>HYPERLINK("https://pbs.twimg.com/profile_images/962471262747529216/Uo8lOkRJ_normal.jpg","View")</f>
        <v>View</v>
      </c>
      <c r="P2762" s="7"/>
    </row>
    <row r="2763" spans="1:16">
      <c r="A2763" s="3">
        <v>43891.040636574078</v>
      </c>
      <c r="B2763" s="4" t="str">
        <f>HYPERLINK("https://twitter.com/petrogustavo","@petrogustavo")</f>
        <v>@petrogustavo</v>
      </c>
      <c r="C2763" s="5" t="s">
        <v>16</v>
      </c>
      <c r="D2763" s="5" t="s">
        <v>2705</v>
      </c>
      <c r="E2763" s="6" t="str">
        <f>HYPERLINK("https://twitter.com/petrogustavo/status/1233836464385011725","1233836464385011725")</f>
        <v>1233836464385011725</v>
      </c>
      <c r="F2763" s="7" t="s">
        <v>17</v>
      </c>
      <c r="G2763" s="7">
        <v>3651408</v>
      </c>
      <c r="H2763" s="7">
        <v>2353</v>
      </c>
      <c r="I2763" s="7">
        <v>459</v>
      </c>
      <c r="J2763" s="7">
        <v>0</v>
      </c>
      <c r="K2763" s="7" t="s">
        <v>18</v>
      </c>
      <c r="L2763" s="8">
        <v>39987.315405092595</v>
      </c>
      <c r="M2763" s="9" t="s">
        <v>19</v>
      </c>
      <c r="N2763" s="9" t="s">
        <v>20</v>
      </c>
      <c r="O2763" s="6" t="str">
        <f>HYPERLINK("https://pbs.twimg.com/profile_images/962471262747529216/Uo8lOkRJ_normal.jpg","View")</f>
        <v>View</v>
      </c>
      <c r="P2763" s="7"/>
    </row>
    <row r="2764" spans="1:16">
      <c r="A2764" s="3">
        <v>43891.041261574079</v>
      </c>
      <c r="B2764" s="4" t="str">
        <f>HYPERLINK("https://twitter.com/petrogustavo","@petrogustavo")</f>
        <v>@petrogustavo</v>
      </c>
      <c r="C2764" s="5" t="s">
        <v>16</v>
      </c>
      <c r="D2764" s="5" t="s">
        <v>2706</v>
      </c>
      <c r="E2764" s="6" t="str">
        <f>HYPERLINK("https://twitter.com/petrogustavo/status/1233836693276499973","1233836693276499973")</f>
        <v>1233836693276499973</v>
      </c>
      <c r="F2764" s="7" t="s">
        <v>17</v>
      </c>
      <c r="G2764" s="7">
        <v>3651408</v>
      </c>
      <c r="H2764" s="7">
        <v>2353</v>
      </c>
      <c r="I2764" s="7">
        <v>326</v>
      </c>
      <c r="J2764" s="7">
        <v>0</v>
      </c>
      <c r="K2764" s="7" t="s">
        <v>18</v>
      </c>
      <c r="L2764" s="8">
        <v>39987.315405092595</v>
      </c>
      <c r="M2764" s="9" t="s">
        <v>19</v>
      </c>
      <c r="N2764" s="9" t="s">
        <v>20</v>
      </c>
      <c r="O2764" s="6" t="str">
        <f>HYPERLINK("https://pbs.twimg.com/profile_images/962471262747529216/Uo8lOkRJ_normal.jpg","View")</f>
        <v>View</v>
      </c>
      <c r="P2764" s="7"/>
    </row>
    <row r="2765" spans="1:16">
      <c r="A2765" s="3">
        <v>43891.045428240745</v>
      </c>
      <c r="B2765" s="4" t="str">
        <f>HYPERLINK("https://twitter.com/petrogustavo","@petrogustavo")</f>
        <v>@petrogustavo</v>
      </c>
      <c r="C2765" s="5" t="s">
        <v>16</v>
      </c>
      <c r="D2765" s="5" t="s">
        <v>2707</v>
      </c>
      <c r="E2765" s="6" t="str">
        <f>HYPERLINK("https://twitter.com/petrogustavo/status/1233838201846091784","1233838201846091784")</f>
        <v>1233838201846091784</v>
      </c>
      <c r="F2765" s="7" t="s">
        <v>17</v>
      </c>
      <c r="G2765" s="7">
        <v>3651408</v>
      </c>
      <c r="H2765" s="7">
        <v>2353</v>
      </c>
      <c r="I2765" s="7">
        <v>75</v>
      </c>
      <c r="J2765" s="7">
        <v>160</v>
      </c>
      <c r="K2765" s="7" t="s">
        <v>18</v>
      </c>
      <c r="L2765" s="8">
        <v>39987.315405092595</v>
      </c>
      <c r="M2765" s="9" t="s">
        <v>19</v>
      </c>
      <c r="N2765" s="9" t="s">
        <v>20</v>
      </c>
      <c r="O2765" s="6" t="str">
        <f>HYPERLINK("https://pbs.twimg.com/profile_images/962471262747529216/Uo8lOkRJ_normal.jpg","View")</f>
        <v>View</v>
      </c>
      <c r="P2765" s="7"/>
    </row>
    <row r="2766" spans="1:16">
      <c r="A2766" s="3">
        <v>43891.048321759255</v>
      </c>
      <c r="B2766" s="4" t="str">
        <f>HYPERLINK("https://twitter.com/petrogustavo","@petrogustavo")</f>
        <v>@petrogustavo</v>
      </c>
      <c r="C2766" s="5" t="s">
        <v>16</v>
      </c>
      <c r="D2766" s="5" t="s">
        <v>2708</v>
      </c>
      <c r="E2766" s="6" t="str">
        <f>HYPERLINK("https://twitter.com/petrogustavo/status/1233839250677862402","1233839250677862402")</f>
        <v>1233839250677862402</v>
      </c>
      <c r="F2766" s="7" t="s">
        <v>17</v>
      </c>
      <c r="G2766" s="7">
        <v>3651408</v>
      </c>
      <c r="H2766" s="7">
        <v>2353</v>
      </c>
      <c r="I2766" s="7">
        <v>30</v>
      </c>
      <c r="J2766" s="7">
        <v>103</v>
      </c>
      <c r="K2766" s="7" t="s">
        <v>18</v>
      </c>
      <c r="L2766" s="8">
        <v>39987.315405092595</v>
      </c>
      <c r="M2766" s="9" t="s">
        <v>19</v>
      </c>
      <c r="N2766" s="9" t="s">
        <v>20</v>
      </c>
      <c r="O2766" s="6" t="str">
        <f>HYPERLINK("https://pbs.twimg.com/profile_images/962471262747529216/Uo8lOkRJ_normal.jpg","View")</f>
        <v>View</v>
      </c>
      <c r="P2766" s="7"/>
    </row>
    <row r="2767" spans="1:16">
      <c r="A2767" s="3">
        <v>43891.049178240741</v>
      </c>
      <c r="B2767" s="4" t="str">
        <f>HYPERLINK("https://twitter.com/petrogustavo","@petrogustavo")</f>
        <v>@petrogustavo</v>
      </c>
      <c r="C2767" s="5" t="s">
        <v>16</v>
      </c>
      <c r="D2767" s="5" t="s">
        <v>2709</v>
      </c>
      <c r="E2767" s="6" t="str">
        <f>HYPERLINK("https://twitter.com/petrogustavo/status/1233839560452399105","1233839560452399105")</f>
        <v>1233839560452399105</v>
      </c>
      <c r="F2767" s="7" t="s">
        <v>17</v>
      </c>
      <c r="G2767" s="7">
        <v>3651408</v>
      </c>
      <c r="H2767" s="7">
        <v>2353</v>
      </c>
      <c r="I2767" s="7">
        <v>123</v>
      </c>
      <c r="J2767" s="7">
        <v>329</v>
      </c>
      <c r="K2767" s="7" t="s">
        <v>18</v>
      </c>
      <c r="L2767" s="8">
        <v>39987.315405092595</v>
      </c>
      <c r="M2767" s="9" t="s">
        <v>19</v>
      </c>
      <c r="N2767" s="9" t="s">
        <v>20</v>
      </c>
      <c r="O2767" s="6" t="str">
        <f>HYPERLINK("https://pbs.twimg.com/profile_images/962471262747529216/Uo8lOkRJ_normal.jpg","View")</f>
        <v>View</v>
      </c>
      <c r="P2767" s="7"/>
    </row>
    <row r="2768" spans="1:16">
      <c r="A2768" s="3">
        <v>43891.053171296298</v>
      </c>
      <c r="B2768" s="4" t="str">
        <f>HYPERLINK("https://twitter.com/petrogustavo","@petrogustavo")</f>
        <v>@petrogustavo</v>
      </c>
      <c r="C2768" s="5" t="s">
        <v>16</v>
      </c>
      <c r="D2768" s="5" t="s">
        <v>2710</v>
      </c>
      <c r="E2768" s="6" t="str">
        <f>HYPERLINK("https://twitter.com/petrogustavo/status/1233841009479553025","1233841009479553025")</f>
        <v>1233841009479553025</v>
      </c>
      <c r="F2768" s="7" t="s">
        <v>17</v>
      </c>
      <c r="G2768" s="7">
        <v>3651408</v>
      </c>
      <c r="H2768" s="7">
        <v>2353</v>
      </c>
      <c r="I2768" s="7">
        <v>9</v>
      </c>
      <c r="J2768" s="7">
        <v>21</v>
      </c>
      <c r="K2768" s="7" t="s">
        <v>18</v>
      </c>
      <c r="L2768" s="8">
        <v>39987.315405092595</v>
      </c>
      <c r="M2768" s="9" t="s">
        <v>19</v>
      </c>
      <c r="N2768" s="9" t="s">
        <v>20</v>
      </c>
      <c r="O2768" s="6" t="str">
        <f>HYPERLINK("https://pbs.twimg.com/profile_images/962471262747529216/Uo8lOkRJ_normal.jpg","View")</f>
        <v>View</v>
      </c>
      <c r="P2768" s="7"/>
    </row>
    <row r="2769" spans="1:16">
      <c r="A2769" s="3">
        <v>43891.053182870368</v>
      </c>
      <c r="B2769" s="4" t="str">
        <f>HYPERLINK("https://twitter.com/petrogustavo","@petrogustavo")</f>
        <v>@petrogustavo</v>
      </c>
      <c r="C2769" s="5" t="s">
        <v>16</v>
      </c>
      <c r="D2769" s="5" t="s">
        <v>2711</v>
      </c>
      <c r="E2769" s="6" t="str">
        <f>HYPERLINK("https://twitter.com/petrogustavo/status/1233841010951806977","1233841010951806977")</f>
        <v>1233841010951806977</v>
      </c>
      <c r="F2769" s="7" t="s">
        <v>17</v>
      </c>
      <c r="G2769" s="7">
        <v>3651408</v>
      </c>
      <c r="H2769" s="7">
        <v>2353</v>
      </c>
      <c r="I2769" s="7">
        <v>6</v>
      </c>
      <c r="J2769" s="7">
        <v>16</v>
      </c>
      <c r="K2769" s="7" t="s">
        <v>18</v>
      </c>
      <c r="L2769" s="8">
        <v>39987.315405092595</v>
      </c>
      <c r="M2769" s="9" t="s">
        <v>19</v>
      </c>
      <c r="N2769" s="9" t="s">
        <v>20</v>
      </c>
      <c r="O2769" s="6" t="str">
        <f>HYPERLINK("https://pbs.twimg.com/profile_images/962471262747529216/Uo8lOkRJ_normal.jpg","View")</f>
        <v>View</v>
      </c>
      <c r="P2769" s="7"/>
    </row>
    <row r="2770" spans="1:16">
      <c r="A2770" s="3">
        <v>43891.055474537032</v>
      </c>
      <c r="B2770" s="4" t="str">
        <f>HYPERLINK("https://twitter.com/petrogustavo","@petrogustavo")</f>
        <v>@petrogustavo</v>
      </c>
      <c r="C2770" s="5" t="s">
        <v>16</v>
      </c>
      <c r="D2770" s="5" t="s">
        <v>2712</v>
      </c>
      <c r="E2770" s="6" t="str">
        <f>HYPERLINK("https://twitter.com/petrogustavo/status/1233841842380328963","1233841842380328963")</f>
        <v>1233841842380328963</v>
      </c>
      <c r="F2770" s="7" t="s">
        <v>17</v>
      </c>
      <c r="G2770" s="7">
        <v>3651425</v>
      </c>
      <c r="H2770" s="7">
        <v>2353</v>
      </c>
      <c r="I2770" s="7">
        <v>417</v>
      </c>
      <c r="J2770" s="7">
        <v>0</v>
      </c>
      <c r="K2770" s="7" t="s">
        <v>18</v>
      </c>
      <c r="L2770" s="8">
        <v>39987.315405092595</v>
      </c>
      <c r="M2770" s="9" t="s">
        <v>19</v>
      </c>
      <c r="N2770" s="9" t="s">
        <v>20</v>
      </c>
      <c r="O2770" s="6" t="str">
        <f>HYPERLINK("https://pbs.twimg.com/profile_images/962471262747529216/Uo8lOkRJ_normal.jpg","View")</f>
        <v>View</v>
      </c>
      <c r="P2770" s="7"/>
    </row>
    <row r="2771" spans="1:16">
      <c r="A2771" s="3">
        <v>43891.059687500005</v>
      </c>
      <c r="B2771" s="4" t="str">
        <f>HYPERLINK("https://twitter.com/petrogustavo","@petrogustavo")</f>
        <v>@petrogustavo</v>
      </c>
      <c r="C2771" s="5" t="s">
        <v>16</v>
      </c>
      <c r="D2771" s="5" t="s">
        <v>2713</v>
      </c>
      <c r="E2771" s="6" t="str">
        <f>HYPERLINK("https://twitter.com/petrogustavo/status/1233843367638900737","1233843367638900737")</f>
        <v>1233843367638900737</v>
      </c>
      <c r="F2771" s="7" t="s">
        <v>17</v>
      </c>
      <c r="G2771" s="7">
        <v>3651425</v>
      </c>
      <c r="H2771" s="7">
        <v>2353</v>
      </c>
      <c r="I2771" s="7">
        <v>150</v>
      </c>
      <c r="J2771" s="7">
        <v>378</v>
      </c>
      <c r="K2771" s="7" t="s">
        <v>18</v>
      </c>
      <c r="L2771" s="8">
        <v>39987.315405092595</v>
      </c>
      <c r="M2771" s="9" t="s">
        <v>19</v>
      </c>
      <c r="N2771" s="9" t="s">
        <v>20</v>
      </c>
      <c r="O2771" s="6" t="str">
        <f>HYPERLINK("https://pbs.twimg.com/profile_images/962471262747529216/Uo8lOkRJ_normal.jpg","View")</f>
        <v>View</v>
      </c>
      <c r="P2771" s="7"/>
    </row>
    <row r="2772" spans="1:16">
      <c r="A2772" s="3">
        <v>43891.071712962963</v>
      </c>
      <c r="B2772" s="4" t="str">
        <f>HYPERLINK("https://twitter.com/petrogustavo","@petrogustavo")</f>
        <v>@petrogustavo</v>
      </c>
      <c r="C2772" s="5" t="s">
        <v>16</v>
      </c>
      <c r="D2772" s="5" t="s">
        <v>2714</v>
      </c>
      <c r="E2772" s="6" t="str">
        <f>HYPERLINK("https://twitter.com/petrogustavo/status/1233847725147480065","1233847725147480065")</f>
        <v>1233847725147480065</v>
      </c>
      <c r="F2772" s="7" t="s">
        <v>17</v>
      </c>
      <c r="G2772" s="7">
        <v>3651425</v>
      </c>
      <c r="H2772" s="7">
        <v>2353</v>
      </c>
      <c r="I2772" s="7">
        <v>69</v>
      </c>
      <c r="J2772" s="7">
        <v>146</v>
      </c>
      <c r="K2772" s="7" t="s">
        <v>18</v>
      </c>
      <c r="L2772" s="8">
        <v>39987.315405092595</v>
      </c>
      <c r="M2772" s="9" t="s">
        <v>19</v>
      </c>
      <c r="N2772" s="9" t="s">
        <v>20</v>
      </c>
      <c r="O2772" s="6" t="str">
        <f>HYPERLINK("https://pbs.twimg.com/profile_images/962471262747529216/Uo8lOkRJ_normal.jpg","View")</f>
        <v>View</v>
      </c>
      <c r="P2772" s="7"/>
    </row>
    <row r="2773" spans="1:16">
      <c r="A2773" s="3">
        <v>43891.077453703707</v>
      </c>
      <c r="B2773" s="4" t="str">
        <f>HYPERLINK("https://twitter.com/petrogustavo","@petrogustavo")</f>
        <v>@petrogustavo</v>
      </c>
      <c r="C2773" s="5" t="s">
        <v>16</v>
      </c>
      <c r="D2773" s="5" t="s">
        <v>2715</v>
      </c>
      <c r="E2773" s="6" t="str">
        <f>HYPERLINK("https://twitter.com/petrogustavo/status/1233849805916590082","1233849805916590082")</f>
        <v>1233849805916590082</v>
      </c>
      <c r="F2773" s="7" t="s">
        <v>17</v>
      </c>
      <c r="G2773" s="7">
        <v>3651465</v>
      </c>
      <c r="H2773" s="7">
        <v>2353</v>
      </c>
      <c r="I2773" s="7">
        <v>50</v>
      </c>
      <c r="J2773" s="7">
        <v>190</v>
      </c>
      <c r="K2773" s="7" t="s">
        <v>18</v>
      </c>
      <c r="L2773" s="8">
        <v>39987.315405092595</v>
      </c>
      <c r="M2773" s="9" t="s">
        <v>19</v>
      </c>
      <c r="N2773" s="9" t="s">
        <v>20</v>
      </c>
      <c r="O2773" s="6" t="str">
        <f>HYPERLINK("https://pbs.twimg.com/profile_images/962471262747529216/Uo8lOkRJ_normal.jpg","View")</f>
        <v>View</v>
      </c>
      <c r="P2773" s="7"/>
    </row>
    <row r="2774" spans="1:16">
      <c r="A2774" s="3">
        <v>43891.080069444448</v>
      </c>
      <c r="B2774" s="4" t="str">
        <f>HYPERLINK("https://twitter.com/petrogustavo","@petrogustavo")</f>
        <v>@petrogustavo</v>
      </c>
      <c r="C2774" s="5" t="s">
        <v>16</v>
      </c>
      <c r="D2774" s="5" t="s">
        <v>2716</v>
      </c>
      <c r="E2774" s="6" t="str">
        <f>HYPERLINK("https://twitter.com/petrogustavo/status/1233850756970811403","1233850756970811403")</f>
        <v>1233850756970811403</v>
      </c>
      <c r="F2774" s="7" t="s">
        <v>17</v>
      </c>
      <c r="G2774" s="7">
        <v>3651465</v>
      </c>
      <c r="H2774" s="7">
        <v>2353</v>
      </c>
      <c r="I2774" s="7">
        <v>109</v>
      </c>
      <c r="J2774" s="7">
        <v>0</v>
      </c>
      <c r="K2774" s="7" t="s">
        <v>18</v>
      </c>
      <c r="L2774" s="8">
        <v>39987.315405092595</v>
      </c>
      <c r="M2774" s="9" t="s">
        <v>19</v>
      </c>
      <c r="N2774" s="9" t="s">
        <v>20</v>
      </c>
      <c r="O2774" s="6" t="str">
        <f>HYPERLINK("https://pbs.twimg.com/profile_images/962471262747529216/Uo8lOkRJ_normal.jpg","View")</f>
        <v>View</v>
      </c>
      <c r="P2774" s="7"/>
    </row>
    <row r="2775" spans="1:16">
      <c r="A2775" s="3">
        <v>43891.09946759259</v>
      </c>
      <c r="B2775" s="4" t="str">
        <f>HYPERLINK("https://twitter.com/petrogustavo","@petrogustavo")</f>
        <v>@petrogustavo</v>
      </c>
      <c r="C2775" s="5" t="s">
        <v>16</v>
      </c>
      <c r="D2775" s="5" t="s">
        <v>2717</v>
      </c>
      <c r="E2775" s="6" t="str">
        <f>HYPERLINK("https://twitter.com/petrogustavo/status/1233857783583444998","1233857783583444998")</f>
        <v>1233857783583444998</v>
      </c>
      <c r="F2775" s="7" t="s">
        <v>17</v>
      </c>
      <c r="G2775" s="7">
        <v>3651500</v>
      </c>
      <c r="H2775" s="7">
        <v>2353</v>
      </c>
      <c r="I2775" s="7">
        <v>97</v>
      </c>
      <c r="J2775" s="7">
        <v>0</v>
      </c>
      <c r="K2775" s="7" t="s">
        <v>18</v>
      </c>
      <c r="L2775" s="8">
        <v>39987.315405092595</v>
      </c>
      <c r="M2775" s="9" t="s">
        <v>19</v>
      </c>
      <c r="N2775" s="9" t="s">
        <v>20</v>
      </c>
      <c r="O2775" s="6" t="str">
        <f>HYPERLINK("https://pbs.twimg.com/profile_images/962471262747529216/Uo8lOkRJ_normal.jpg","View")</f>
        <v>View</v>
      </c>
      <c r="P2775" s="7"/>
    </row>
    <row r="2776" spans="1:16">
      <c r="A2776" s="3">
        <v>43891.09957175926</v>
      </c>
      <c r="B2776" s="4" t="str">
        <f>HYPERLINK("https://twitter.com/petrogustavo","@petrogustavo")</f>
        <v>@petrogustavo</v>
      </c>
      <c r="C2776" s="5" t="s">
        <v>16</v>
      </c>
      <c r="D2776" s="5" t="s">
        <v>2718</v>
      </c>
      <c r="E2776" s="6" t="str">
        <f>HYPERLINK("https://twitter.com/petrogustavo/status/1233857822116458499","1233857822116458499")</f>
        <v>1233857822116458499</v>
      </c>
      <c r="F2776" s="7" t="s">
        <v>17</v>
      </c>
      <c r="G2776" s="7">
        <v>3651500</v>
      </c>
      <c r="H2776" s="7">
        <v>2353</v>
      </c>
      <c r="I2776" s="7">
        <v>87</v>
      </c>
      <c r="J2776" s="7">
        <v>0</v>
      </c>
      <c r="K2776" s="7" t="s">
        <v>18</v>
      </c>
      <c r="L2776" s="8">
        <v>39987.315405092595</v>
      </c>
      <c r="M2776" s="9" t="s">
        <v>19</v>
      </c>
      <c r="N2776" s="9" t="s">
        <v>20</v>
      </c>
      <c r="O2776" s="6" t="str">
        <f>HYPERLINK("https://pbs.twimg.com/profile_images/962471262747529216/Uo8lOkRJ_normal.jpg","View")</f>
        <v>View</v>
      </c>
      <c r="P2776" s="7"/>
    </row>
    <row r="2777" spans="1:16">
      <c r="A2777" s="3">
        <v>43891.100138888884</v>
      </c>
      <c r="B2777" s="4" t="str">
        <f>HYPERLINK("https://twitter.com/petrogustavo","@petrogustavo")</f>
        <v>@petrogustavo</v>
      </c>
      <c r="C2777" s="5" t="s">
        <v>16</v>
      </c>
      <c r="D2777" s="5" t="s">
        <v>2719</v>
      </c>
      <c r="E2777" s="6" t="str">
        <f>HYPERLINK("https://twitter.com/petrogustavo/status/1233858028040019974","1233858028040019974")</f>
        <v>1233858028040019974</v>
      </c>
      <c r="F2777" s="7" t="s">
        <v>17</v>
      </c>
      <c r="G2777" s="7">
        <v>3651500</v>
      </c>
      <c r="H2777" s="7">
        <v>2353</v>
      </c>
      <c r="I2777" s="7">
        <v>89</v>
      </c>
      <c r="J2777" s="7">
        <v>0</v>
      </c>
      <c r="K2777" s="7" t="s">
        <v>18</v>
      </c>
      <c r="L2777" s="8">
        <v>39987.315405092595</v>
      </c>
      <c r="M2777" s="9" t="s">
        <v>19</v>
      </c>
      <c r="N2777" s="9" t="s">
        <v>20</v>
      </c>
      <c r="O2777" s="6" t="str">
        <f>HYPERLINK("https://pbs.twimg.com/profile_images/962471262747529216/Uo8lOkRJ_normal.jpg","View")</f>
        <v>View</v>
      </c>
      <c r="P2777" s="7"/>
    </row>
    <row r="2778" spans="1:16">
      <c r="A2778" s="3">
        <v>43891.100185185191</v>
      </c>
      <c r="B2778" s="4" t="str">
        <f>HYPERLINK("https://twitter.com/petrogustavo","@petrogustavo")</f>
        <v>@petrogustavo</v>
      </c>
      <c r="C2778" s="5" t="s">
        <v>16</v>
      </c>
      <c r="D2778" s="5" t="s">
        <v>2720</v>
      </c>
      <c r="E2778" s="6" t="str">
        <f>HYPERLINK("https://twitter.com/petrogustavo/status/1233858043332440069","1233858043332440069")</f>
        <v>1233858043332440069</v>
      </c>
      <c r="F2778" s="7" t="s">
        <v>17</v>
      </c>
      <c r="G2778" s="7">
        <v>3651500</v>
      </c>
      <c r="H2778" s="7">
        <v>2353</v>
      </c>
      <c r="I2778" s="7">
        <v>89</v>
      </c>
      <c r="J2778" s="7">
        <v>0</v>
      </c>
      <c r="K2778" s="7" t="s">
        <v>18</v>
      </c>
      <c r="L2778" s="8">
        <v>39987.315405092595</v>
      </c>
      <c r="M2778" s="9" t="s">
        <v>19</v>
      </c>
      <c r="N2778" s="9" t="s">
        <v>20</v>
      </c>
      <c r="O2778" s="6" t="str">
        <f>HYPERLINK("https://pbs.twimg.com/profile_images/962471262747529216/Uo8lOkRJ_normal.jpg","View")</f>
        <v>View</v>
      </c>
      <c r="P2778" s="7"/>
    </row>
    <row r="2779" spans="1:16">
      <c r="A2779" s="3">
        <v>43891.10020833333</v>
      </c>
      <c r="B2779" s="4" t="str">
        <f>HYPERLINK("https://twitter.com/petrogustavo","@petrogustavo")</f>
        <v>@petrogustavo</v>
      </c>
      <c r="C2779" s="5" t="s">
        <v>16</v>
      </c>
      <c r="D2779" s="5" t="s">
        <v>2721</v>
      </c>
      <c r="E2779" s="6" t="str">
        <f>HYPERLINK("https://twitter.com/petrogustavo/status/1233858054468308994","1233858054468308994")</f>
        <v>1233858054468308994</v>
      </c>
      <c r="F2779" s="7" t="s">
        <v>17</v>
      </c>
      <c r="G2779" s="7">
        <v>3651500</v>
      </c>
      <c r="H2779" s="7">
        <v>2353</v>
      </c>
      <c r="I2779" s="7">
        <v>90</v>
      </c>
      <c r="J2779" s="7">
        <v>0</v>
      </c>
      <c r="K2779" s="7" t="s">
        <v>18</v>
      </c>
      <c r="L2779" s="8">
        <v>39987.315405092595</v>
      </c>
      <c r="M2779" s="9" t="s">
        <v>19</v>
      </c>
      <c r="N2779" s="9" t="s">
        <v>20</v>
      </c>
      <c r="O2779" s="6" t="str">
        <f>HYPERLINK("https://pbs.twimg.com/profile_images/962471262747529216/Uo8lOkRJ_normal.jpg","View")</f>
        <v>View</v>
      </c>
      <c r="P2779" s="7"/>
    </row>
    <row r="2780" spans="1:16">
      <c r="A2780" s="3">
        <v>43891.100324074076</v>
      </c>
      <c r="B2780" s="4" t="str">
        <f>HYPERLINK("https://twitter.com/petrogustavo","@petrogustavo")</f>
        <v>@petrogustavo</v>
      </c>
      <c r="C2780" s="5" t="s">
        <v>16</v>
      </c>
      <c r="D2780" s="5" t="s">
        <v>2722</v>
      </c>
      <c r="E2780" s="6" t="str">
        <f>HYPERLINK("https://twitter.com/petrogustavo/status/1233858094456877057","1233858094456877057")</f>
        <v>1233858094456877057</v>
      </c>
      <c r="F2780" s="7" t="s">
        <v>17</v>
      </c>
      <c r="G2780" s="7">
        <v>3651500</v>
      </c>
      <c r="H2780" s="7">
        <v>2353</v>
      </c>
      <c r="I2780" s="7">
        <v>82</v>
      </c>
      <c r="J2780" s="7">
        <v>0</v>
      </c>
      <c r="K2780" s="7" t="s">
        <v>18</v>
      </c>
      <c r="L2780" s="8">
        <v>39987.315405092595</v>
      </c>
      <c r="M2780" s="9" t="s">
        <v>19</v>
      </c>
      <c r="N2780" s="9" t="s">
        <v>20</v>
      </c>
      <c r="O2780" s="6" t="str">
        <f>HYPERLINK("https://pbs.twimg.com/profile_images/962471262747529216/Uo8lOkRJ_normal.jpg","View")</f>
        <v>View</v>
      </c>
      <c r="P2780" s="7"/>
    </row>
    <row r="2781" spans="1:16">
      <c r="A2781" s="3">
        <v>43891.10056712963</v>
      </c>
      <c r="B2781" s="4" t="str">
        <f>HYPERLINK("https://twitter.com/petrogustavo","@petrogustavo")</f>
        <v>@petrogustavo</v>
      </c>
      <c r="C2781" s="5" t="s">
        <v>16</v>
      </c>
      <c r="D2781" s="5" t="s">
        <v>2723</v>
      </c>
      <c r="E2781" s="6" t="str">
        <f>HYPERLINK("https://twitter.com/petrogustavo/status/1233858182746976256","1233858182746976256")</f>
        <v>1233858182746976256</v>
      </c>
      <c r="F2781" s="7" t="s">
        <v>17</v>
      </c>
      <c r="G2781" s="7">
        <v>3651500</v>
      </c>
      <c r="H2781" s="7">
        <v>2353</v>
      </c>
      <c r="I2781" s="7">
        <v>80</v>
      </c>
      <c r="J2781" s="7">
        <v>0</v>
      </c>
      <c r="K2781" s="7" t="s">
        <v>18</v>
      </c>
      <c r="L2781" s="8">
        <v>39987.315405092595</v>
      </c>
      <c r="M2781" s="9" t="s">
        <v>19</v>
      </c>
      <c r="N2781" s="9" t="s">
        <v>20</v>
      </c>
      <c r="O2781" s="6" t="str">
        <f>HYPERLINK("https://pbs.twimg.com/profile_images/962471262747529216/Uo8lOkRJ_normal.jpg","View")</f>
        <v>View</v>
      </c>
      <c r="P2781" s="7"/>
    </row>
    <row r="2782" spans="1:16">
      <c r="A2782" s="3">
        <v>43891.101620370369</v>
      </c>
      <c r="B2782" s="4" t="str">
        <f>HYPERLINK("https://twitter.com/petrogustavo","@petrogustavo")</f>
        <v>@petrogustavo</v>
      </c>
      <c r="C2782" s="5" t="s">
        <v>16</v>
      </c>
      <c r="D2782" s="5" t="s">
        <v>2724</v>
      </c>
      <c r="E2782" s="6" t="str">
        <f>HYPERLINK("https://twitter.com/petrogustavo/status/1233858565892431879","1233858565892431879")</f>
        <v>1233858565892431879</v>
      </c>
      <c r="F2782" s="7" t="s">
        <v>17</v>
      </c>
      <c r="G2782" s="7">
        <v>3651500</v>
      </c>
      <c r="H2782" s="7">
        <v>2353</v>
      </c>
      <c r="I2782" s="7">
        <v>110</v>
      </c>
      <c r="J2782" s="7">
        <v>161</v>
      </c>
      <c r="K2782" s="7" t="s">
        <v>18</v>
      </c>
      <c r="L2782" s="8">
        <v>39987.315405092595</v>
      </c>
      <c r="M2782" s="9" t="s">
        <v>19</v>
      </c>
      <c r="N2782" s="9" t="s">
        <v>20</v>
      </c>
      <c r="O2782" s="6" t="str">
        <f>HYPERLINK("https://pbs.twimg.com/profile_images/962471262747529216/Uo8lOkRJ_normal.jpg","View")</f>
        <v>View</v>
      </c>
      <c r="P2782" s="7"/>
    </row>
    <row r="2783" spans="1:16">
      <c r="A2783" s="3">
        <v>43891.104629629626</v>
      </c>
      <c r="B2783" s="4" t="str">
        <f>HYPERLINK("https://twitter.com/petrogustavo","@petrogustavo")</f>
        <v>@petrogustavo</v>
      </c>
      <c r="C2783" s="5" t="s">
        <v>16</v>
      </c>
      <c r="D2783" s="5" t="s">
        <v>2725</v>
      </c>
      <c r="E2783" s="6" t="str">
        <f>HYPERLINK("https://twitter.com/petrogustavo/status/1233859654557536256","1233859654557536256")</f>
        <v>1233859654557536256</v>
      </c>
      <c r="F2783" s="7" t="s">
        <v>17</v>
      </c>
      <c r="G2783" s="7">
        <v>3651500</v>
      </c>
      <c r="H2783" s="7">
        <v>2353</v>
      </c>
      <c r="I2783" s="7">
        <v>49</v>
      </c>
      <c r="J2783" s="7">
        <v>0</v>
      </c>
      <c r="K2783" s="7" t="s">
        <v>18</v>
      </c>
      <c r="L2783" s="8">
        <v>39987.315405092595</v>
      </c>
      <c r="M2783" s="9" t="s">
        <v>19</v>
      </c>
      <c r="N2783" s="9" t="s">
        <v>20</v>
      </c>
      <c r="O2783" s="6" t="str">
        <f>HYPERLINK("https://pbs.twimg.com/profile_images/962471262747529216/Uo8lOkRJ_normal.jpg","View")</f>
        <v>View</v>
      </c>
      <c r="P2783" s="7"/>
    </row>
    <row r="2784" spans="1:16">
      <c r="A2784" s="3">
        <v>43891.108402777776</v>
      </c>
      <c r="B2784" s="4" t="str">
        <f>HYPERLINK("https://twitter.com/petrogustavo","@petrogustavo")</f>
        <v>@petrogustavo</v>
      </c>
      <c r="C2784" s="5" t="s">
        <v>16</v>
      </c>
      <c r="D2784" s="5" t="s">
        <v>2726</v>
      </c>
      <c r="E2784" s="6" t="str">
        <f>HYPERLINK("https://twitter.com/petrogustavo/status/1233861023037317126","1233861023037317126")</f>
        <v>1233861023037317126</v>
      </c>
      <c r="F2784" s="7" t="s">
        <v>17</v>
      </c>
      <c r="G2784" s="7">
        <v>3651500</v>
      </c>
      <c r="H2784" s="7">
        <v>2353</v>
      </c>
      <c r="I2784" s="7">
        <v>50</v>
      </c>
      <c r="J2784" s="7">
        <v>107</v>
      </c>
      <c r="K2784" s="7" t="s">
        <v>18</v>
      </c>
      <c r="L2784" s="8">
        <v>39987.315405092595</v>
      </c>
      <c r="M2784" s="9" t="s">
        <v>19</v>
      </c>
      <c r="N2784" s="9" t="s">
        <v>20</v>
      </c>
      <c r="O2784" s="6" t="str">
        <f>HYPERLINK("https://pbs.twimg.com/profile_images/962471262747529216/Uo8lOkRJ_normal.jpg","View")</f>
        <v>View</v>
      </c>
      <c r="P2784" s="7"/>
    </row>
    <row r="2785" spans="1:16">
      <c r="A2785" s="3">
        <v>43891.239074074074</v>
      </c>
      <c r="B2785" s="4" t="str">
        <f>HYPERLINK("https://twitter.com/petrogustavo","@petrogustavo")</f>
        <v>@petrogustavo</v>
      </c>
      <c r="C2785" s="5" t="s">
        <v>16</v>
      </c>
      <c r="D2785" s="5" t="s">
        <v>2727</v>
      </c>
      <c r="E2785" s="6" t="str">
        <f>HYPERLINK("https://twitter.com/petrogustavo/status/1233908376238686214","1233908376238686214")</f>
        <v>1233908376238686214</v>
      </c>
      <c r="F2785" s="7" t="s">
        <v>17</v>
      </c>
      <c r="G2785" s="7">
        <v>3651658</v>
      </c>
      <c r="H2785" s="7">
        <v>2353</v>
      </c>
      <c r="I2785" s="7">
        <v>31</v>
      </c>
      <c r="J2785" s="7">
        <v>56</v>
      </c>
      <c r="K2785" s="7" t="s">
        <v>18</v>
      </c>
      <c r="L2785" s="8">
        <v>39987.315405092595</v>
      </c>
      <c r="M2785" s="9" t="s">
        <v>19</v>
      </c>
      <c r="N2785" s="9" t="s">
        <v>20</v>
      </c>
      <c r="O2785" s="6" t="str">
        <f>HYPERLINK("https://pbs.twimg.com/profile_images/962471262747529216/Uo8lOkRJ_normal.jpg","View")</f>
        <v>View</v>
      </c>
      <c r="P2785" s="7"/>
    </row>
    <row r="2786" spans="1:16">
      <c r="A2786" s="3">
        <v>43891.24118055556</v>
      </c>
      <c r="B2786" s="4" t="str">
        <f>HYPERLINK("https://twitter.com/petrogustavo","@petrogustavo")</f>
        <v>@petrogustavo</v>
      </c>
      <c r="C2786" s="5" t="s">
        <v>16</v>
      </c>
      <c r="D2786" s="5" t="s">
        <v>2728</v>
      </c>
      <c r="E2786" s="6" t="str">
        <f>HYPERLINK("https://twitter.com/petrogustavo/status/1233909139421761536","1233909139421761536")</f>
        <v>1233909139421761536</v>
      </c>
      <c r="F2786" s="7" t="s">
        <v>17</v>
      </c>
      <c r="G2786" s="7">
        <v>3651707</v>
      </c>
      <c r="H2786" s="7">
        <v>2353</v>
      </c>
      <c r="I2786" s="7">
        <v>1630</v>
      </c>
      <c r="J2786" s="7">
        <v>0</v>
      </c>
      <c r="K2786" s="7" t="s">
        <v>18</v>
      </c>
      <c r="L2786" s="8">
        <v>39987.315405092595</v>
      </c>
      <c r="M2786" s="9" t="s">
        <v>19</v>
      </c>
      <c r="N2786" s="9" t="s">
        <v>20</v>
      </c>
      <c r="O2786" s="6" t="str">
        <f>HYPERLINK("https://pbs.twimg.com/profile_images/962471262747529216/Uo8lOkRJ_normal.jpg","View")</f>
        <v>View</v>
      </c>
      <c r="P2786" s="7"/>
    </row>
    <row r="2787" spans="1:16">
      <c r="A2787" s="3">
        <v>43891.245115740741</v>
      </c>
      <c r="B2787" s="4" t="str">
        <f>HYPERLINK("https://twitter.com/petrogustavo","@petrogustavo")</f>
        <v>@petrogustavo</v>
      </c>
      <c r="C2787" s="5" t="s">
        <v>16</v>
      </c>
      <c r="D2787" s="5" t="s">
        <v>2729</v>
      </c>
      <c r="E2787" s="6" t="str">
        <f>HYPERLINK("https://twitter.com/petrogustavo/status/1233910566722457602","1233910566722457602")</f>
        <v>1233910566722457602</v>
      </c>
      <c r="F2787" s="7" t="s">
        <v>17</v>
      </c>
      <c r="G2787" s="7">
        <v>3651707</v>
      </c>
      <c r="H2787" s="7">
        <v>2353</v>
      </c>
      <c r="I2787" s="7">
        <v>889</v>
      </c>
      <c r="J2787" s="7">
        <v>0</v>
      </c>
      <c r="K2787" s="7" t="s">
        <v>18</v>
      </c>
      <c r="L2787" s="8">
        <v>39987.315405092595</v>
      </c>
      <c r="M2787" s="9" t="s">
        <v>19</v>
      </c>
      <c r="N2787" s="9" t="s">
        <v>20</v>
      </c>
      <c r="O2787" s="6" t="str">
        <f>HYPERLINK("https://pbs.twimg.com/profile_images/962471262747529216/Uo8lOkRJ_normal.jpg","View")</f>
        <v>View</v>
      </c>
      <c r="P2787" s="7"/>
    </row>
    <row r="2788" spans="1:16">
      <c r="A2788" s="3">
        <v>43891.247847222221</v>
      </c>
      <c r="B2788" s="4" t="str">
        <f>HYPERLINK("https://twitter.com/petrogustavo","@petrogustavo")</f>
        <v>@petrogustavo</v>
      </c>
      <c r="C2788" s="5" t="s">
        <v>16</v>
      </c>
      <c r="D2788" s="5" t="s">
        <v>2730</v>
      </c>
      <c r="E2788" s="6" t="str">
        <f>HYPERLINK("https://twitter.com/petrogustavo/status/1233911556435521536","1233911556435521536")</f>
        <v>1233911556435521536</v>
      </c>
      <c r="F2788" s="7" t="s">
        <v>17</v>
      </c>
      <c r="G2788" s="7">
        <v>3651707</v>
      </c>
      <c r="H2788" s="7">
        <v>2353</v>
      </c>
      <c r="I2788" s="7">
        <v>275</v>
      </c>
      <c r="J2788" s="7">
        <v>0</v>
      </c>
      <c r="K2788" s="7" t="s">
        <v>18</v>
      </c>
      <c r="L2788" s="8">
        <v>39987.315405092595</v>
      </c>
      <c r="M2788" s="9" t="s">
        <v>19</v>
      </c>
      <c r="N2788" s="9" t="s">
        <v>20</v>
      </c>
      <c r="O2788" s="6" t="str">
        <f>HYPERLINK("https://pbs.twimg.com/profile_images/962471262747529216/Uo8lOkRJ_normal.jpg","View")</f>
        <v>View</v>
      </c>
      <c r="P2788" s="7"/>
    </row>
    <row r="2789" spans="1:16">
      <c r="A2789" s="3">
        <v>43891.252013888894</v>
      </c>
      <c r="B2789" s="4" t="str">
        <f>HYPERLINK("https://twitter.com/petrogustavo","@petrogustavo")</f>
        <v>@petrogustavo</v>
      </c>
      <c r="C2789" s="5" t="s">
        <v>16</v>
      </c>
      <c r="D2789" s="5" t="s">
        <v>2731</v>
      </c>
      <c r="E2789" s="6" t="str">
        <f>HYPERLINK("https://twitter.com/petrogustavo/status/1233913067710353410","1233913067710353410")</f>
        <v>1233913067710353410</v>
      </c>
      <c r="F2789" s="7" t="s">
        <v>17</v>
      </c>
      <c r="G2789" s="7">
        <v>3651707</v>
      </c>
      <c r="H2789" s="7">
        <v>2353</v>
      </c>
      <c r="I2789" s="7">
        <v>4736</v>
      </c>
      <c r="J2789" s="7">
        <v>0</v>
      </c>
      <c r="K2789" s="7" t="s">
        <v>18</v>
      </c>
      <c r="L2789" s="8">
        <v>39987.315405092595</v>
      </c>
      <c r="M2789" s="9" t="s">
        <v>19</v>
      </c>
      <c r="N2789" s="9" t="s">
        <v>20</v>
      </c>
      <c r="O2789" s="6" t="str">
        <f>HYPERLINK("https://pbs.twimg.com/profile_images/962471262747529216/Uo8lOkRJ_normal.jpg","View")</f>
        <v>View</v>
      </c>
      <c r="P2789" s="7"/>
    </row>
    <row r="2790" spans="1:16">
      <c r="A2790" s="3">
        <v>43891.255300925928</v>
      </c>
      <c r="B2790" s="4" t="str">
        <f>HYPERLINK("https://twitter.com/petrogustavo","@petrogustavo")</f>
        <v>@petrogustavo</v>
      </c>
      <c r="C2790" s="5" t="s">
        <v>16</v>
      </c>
      <c r="D2790" s="5" t="s">
        <v>2732</v>
      </c>
      <c r="E2790" s="6" t="str">
        <f>HYPERLINK("https://twitter.com/petrogustavo/status/1233914255461797888","1233914255461797888")</f>
        <v>1233914255461797888</v>
      </c>
      <c r="F2790" s="7" t="s">
        <v>17</v>
      </c>
      <c r="G2790" s="7">
        <v>3651707</v>
      </c>
      <c r="H2790" s="7">
        <v>2353</v>
      </c>
      <c r="I2790" s="7">
        <v>130</v>
      </c>
      <c r="J2790" s="7">
        <v>320</v>
      </c>
      <c r="K2790" s="7" t="s">
        <v>18</v>
      </c>
      <c r="L2790" s="8">
        <v>39987.315405092595</v>
      </c>
      <c r="M2790" s="9" t="s">
        <v>19</v>
      </c>
      <c r="N2790" s="9" t="s">
        <v>20</v>
      </c>
      <c r="O2790" s="6" t="str">
        <f>HYPERLINK("https://pbs.twimg.com/profile_images/962471262747529216/Uo8lOkRJ_normal.jpg","View")</f>
        <v>View</v>
      </c>
      <c r="P2790" s="7"/>
    </row>
    <row r="2791" spans="1:16">
      <c r="A2791" s="3">
        <v>43891.256423611107</v>
      </c>
      <c r="B2791" s="4" t="str">
        <f>HYPERLINK("https://twitter.com/petrogustavo","@petrogustavo")</f>
        <v>@petrogustavo</v>
      </c>
      <c r="C2791" s="5" t="s">
        <v>16</v>
      </c>
      <c r="D2791" s="5" t="s">
        <v>2733</v>
      </c>
      <c r="E2791" s="6" t="str">
        <f>HYPERLINK("https://twitter.com/petrogustavo/status/1233914661902442497","1233914661902442497")</f>
        <v>1233914661902442497</v>
      </c>
      <c r="F2791" s="7" t="s">
        <v>17</v>
      </c>
      <c r="G2791" s="7">
        <v>3651707</v>
      </c>
      <c r="H2791" s="7">
        <v>2353</v>
      </c>
      <c r="I2791" s="7">
        <v>181</v>
      </c>
      <c r="J2791" s="7">
        <v>0</v>
      </c>
      <c r="K2791" s="7" t="s">
        <v>18</v>
      </c>
      <c r="L2791" s="8">
        <v>39987.315405092595</v>
      </c>
      <c r="M2791" s="9" t="s">
        <v>19</v>
      </c>
      <c r="N2791" s="9" t="s">
        <v>20</v>
      </c>
      <c r="O2791" s="6" t="str">
        <f>HYPERLINK("https://pbs.twimg.com/profile_images/962471262747529216/Uo8lOkRJ_normal.jpg","View")</f>
        <v>View</v>
      </c>
      <c r="P2791" s="7"/>
    </row>
    <row r="2792" spans="1:16">
      <c r="A2792" s="3">
        <v>43891.258148148147</v>
      </c>
      <c r="B2792" s="4" t="str">
        <f>HYPERLINK("https://twitter.com/petrogustavo","@petrogustavo")</f>
        <v>@petrogustavo</v>
      </c>
      <c r="C2792" s="5" t="s">
        <v>16</v>
      </c>
      <c r="D2792" s="5" t="s">
        <v>2734</v>
      </c>
      <c r="E2792" s="6" t="str">
        <f>HYPERLINK("https://twitter.com/petrogustavo/status/1233915287336050690","1233915287336050690")</f>
        <v>1233915287336050690</v>
      </c>
      <c r="F2792" s="7" t="s">
        <v>17</v>
      </c>
      <c r="G2792" s="7">
        <v>3651707</v>
      </c>
      <c r="H2792" s="7">
        <v>2353</v>
      </c>
      <c r="I2792" s="7">
        <v>217</v>
      </c>
      <c r="J2792" s="7">
        <v>0</v>
      </c>
      <c r="K2792" s="7" t="s">
        <v>18</v>
      </c>
      <c r="L2792" s="8">
        <v>39987.315405092595</v>
      </c>
      <c r="M2792" s="9" t="s">
        <v>19</v>
      </c>
      <c r="N2792" s="9" t="s">
        <v>20</v>
      </c>
      <c r="O2792" s="6" t="str">
        <f>HYPERLINK("https://pbs.twimg.com/profile_images/962471262747529216/Uo8lOkRJ_normal.jpg","View")</f>
        <v>View</v>
      </c>
      <c r="P2792" s="7"/>
    </row>
    <row r="2793" spans="1:16">
      <c r="A2793" s="3">
        <v>43891.26462962963</v>
      </c>
      <c r="B2793" s="4" t="str">
        <f>HYPERLINK("https://twitter.com/petrogustavo","@petrogustavo")</f>
        <v>@petrogustavo</v>
      </c>
      <c r="C2793" s="5" t="s">
        <v>16</v>
      </c>
      <c r="D2793" s="5" t="s">
        <v>2735</v>
      </c>
      <c r="E2793" s="6" t="str">
        <f>HYPERLINK("https://twitter.com/petrogustavo/status/1233917636318318593","1233917636318318593")</f>
        <v>1233917636318318593</v>
      </c>
      <c r="F2793" s="7" t="s">
        <v>17</v>
      </c>
      <c r="G2793" s="7">
        <v>3651731</v>
      </c>
      <c r="H2793" s="7">
        <v>2353</v>
      </c>
      <c r="I2793" s="7">
        <v>699</v>
      </c>
      <c r="J2793" s="7">
        <v>0</v>
      </c>
      <c r="K2793" s="7" t="s">
        <v>18</v>
      </c>
      <c r="L2793" s="8">
        <v>39987.315405092595</v>
      </c>
      <c r="M2793" s="9" t="s">
        <v>19</v>
      </c>
      <c r="N2793" s="9" t="s">
        <v>20</v>
      </c>
      <c r="O2793" s="6" t="str">
        <f>HYPERLINK("https://pbs.twimg.com/profile_images/962471262747529216/Uo8lOkRJ_normal.jpg","View")</f>
        <v>View</v>
      </c>
      <c r="P2793" s="7"/>
    </row>
    <row r="2794" spans="1:16">
      <c r="A2794" s="3">
        <v>43891.265023148153</v>
      </c>
      <c r="B2794" s="4" t="str">
        <f>HYPERLINK("https://twitter.com/petrogustavo","@petrogustavo")</f>
        <v>@petrogustavo</v>
      </c>
      <c r="C2794" s="5" t="s">
        <v>16</v>
      </c>
      <c r="D2794" s="5" t="s">
        <v>2736</v>
      </c>
      <c r="E2794" s="6" t="str">
        <f>HYPERLINK("https://twitter.com/petrogustavo/status/1233917778849124353","1233917778849124353")</f>
        <v>1233917778849124353</v>
      </c>
      <c r="F2794" s="7" t="s">
        <v>17</v>
      </c>
      <c r="G2794" s="7">
        <v>3651731</v>
      </c>
      <c r="H2794" s="7">
        <v>2353</v>
      </c>
      <c r="I2794" s="7">
        <v>1561</v>
      </c>
      <c r="J2794" s="7">
        <v>0</v>
      </c>
      <c r="K2794" s="7" t="s">
        <v>18</v>
      </c>
      <c r="L2794" s="8">
        <v>39987.315405092595</v>
      </c>
      <c r="M2794" s="9" t="s">
        <v>19</v>
      </c>
      <c r="N2794" s="9" t="s">
        <v>20</v>
      </c>
      <c r="O2794" s="6" t="str">
        <f>HYPERLINK("https://pbs.twimg.com/profile_images/962471262747529216/Uo8lOkRJ_normal.jpg","View")</f>
        <v>View</v>
      </c>
      <c r="P2794" s="7"/>
    </row>
    <row r="2795" spans="1:16">
      <c r="A2795" s="3">
        <v>43891.266111111108</v>
      </c>
      <c r="B2795" s="4" t="str">
        <f>HYPERLINK("https://twitter.com/petrogustavo","@petrogustavo")</f>
        <v>@petrogustavo</v>
      </c>
      <c r="C2795" s="5" t="s">
        <v>16</v>
      </c>
      <c r="D2795" s="5" t="s">
        <v>2737</v>
      </c>
      <c r="E2795" s="6" t="str">
        <f>HYPERLINK("https://twitter.com/petrogustavo/status/1233918172245512194","1233918172245512194")</f>
        <v>1233918172245512194</v>
      </c>
      <c r="F2795" s="7" t="s">
        <v>17</v>
      </c>
      <c r="G2795" s="7">
        <v>3651731</v>
      </c>
      <c r="H2795" s="7">
        <v>2353</v>
      </c>
      <c r="I2795" s="7">
        <v>1080</v>
      </c>
      <c r="J2795" s="7">
        <v>0</v>
      </c>
      <c r="K2795" s="7" t="s">
        <v>18</v>
      </c>
      <c r="L2795" s="8">
        <v>39987.315405092595</v>
      </c>
      <c r="M2795" s="9" t="s">
        <v>19</v>
      </c>
      <c r="N2795" s="9" t="s">
        <v>20</v>
      </c>
      <c r="O2795" s="6" t="str">
        <f>HYPERLINK("https://pbs.twimg.com/profile_images/962471262747529216/Uo8lOkRJ_normal.jpg","View")</f>
        <v>View</v>
      </c>
      <c r="P2795" s="7"/>
    </row>
    <row r="2796" spans="1:16">
      <c r="A2796" s="3">
        <v>43891.267592592594</v>
      </c>
      <c r="B2796" s="4" t="str">
        <f>HYPERLINK("https://twitter.com/petrogustavo","@petrogustavo")</f>
        <v>@petrogustavo</v>
      </c>
      <c r="C2796" s="5" t="s">
        <v>16</v>
      </c>
      <c r="D2796" s="5" t="s">
        <v>2738</v>
      </c>
      <c r="E2796" s="6" t="str">
        <f>HYPERLINK("https://twitter.com/petrogustavo/status/1233918712333447169","1233918712333447169")</f>
        <v>1233918712333447169</v>
      </c>
      <c r="F2796" s="7" t="s">
        <v>17</v>
      </c>
      <c r="G2796" s="7">
        <v>3651731</v>
      </c>
      <c r="H2796" s="7">
        <v>2353</v>
      </c>
      <c r="I2796" s="7">
        <v>412</v>
      </c>
      <c r="J2796" s="7">
        <v>0</v>
      </c>
      <c r="K2796" s="7" t="s">
        <v>18</v>
      </c>
      <c r="L2796" s="8">
        <v>39987.315405092595</v>
      </c>
      <c r="M2796" s="9" t="s">
        <v>19</v>
      </c>
      <c r="N2796" s="9" t="s">
        <v>20</v>
      </c>
      <c r="O2796" s="6" t="str">
        <f>HYPERLINK("https://pbs.twimg.com/profile_images/962471262747529216/Uo8lOkRJ_normal.jpg","View")</f>
        <v>View</v>
      </c>
      <c r="P2796" s="7"/>
    </row>
    <row r="2797" spans="1:16">
      <c r="A2797" s="3">
        <v>43891.268692129626</v>
      </c>
      <c r="B2797" s="4" t="str">
        <f>HYPERLINK("https://twitter.com/petrogustavo","@petrogustavo")</f>
        <v>@petrogustavo</v>
      </c>
      <c r="C2797" s="5" t="s">
        <v>16</v>
      </c>
      <c r="D2797" s="5" t="s">
        <v>2739</v>
      </c>
      <c r="E2797" s="6" t="str">
        <f>HYPERLINK("https://twitter.com/petrogustavo/status/1233919109672394752","1233919109672394752")</f>
        <v>1233919109672394752</v>
      </c>
      <c r="F2797" s="7" t="s">
        <v>17</v>
      </c>
      <c r="G2797" s="7">
        <v>3651731</v>
      </c>
      <c r="H2797" s="7">
        <v>2353</v>
      </c>
      <c r="I2797" s="7">
        <v>122</v>
      </c>
      <c r="J2797" s="7">
        <v>0</v>
      </c>
      <c r="K2797" s="7" t="s">
        <v>18</v>
      </c>
      <c r="L2797" s="8">
        <v>39987.315405092595</v>
      </c>
      <c r="M2797" s="9" t="s">
        <v>19</v>
      </c>
      <c r="N2797" s="9" t="s">
        <v>20</v>
      </c>
      <c r="O2797" s="6" t="str">
        <f>HYPERLINK("https://pbs.twimg.com/profile_images/962471262747529216/Uo8lOkRJ_normal.jpg","View")</f>
        <v>View</v>
      </c>
      <c r="P2797" s="7"/>
    </row>
    <row r="2798" spans="1:16">
      <c r="A2798" s="3">
        <v>43891.27070601852</v>
      </c>
      <c r="B2798" s="4" t="str">
        <f>HYPERLINK("https://twitter.com/petrogustavo","@petrogustavo")</f>
        <v>@petrogustavo</v>
      </c>
      <c r="C2798" s="5" t="s">
        <v>16</v>
      </c>
      <c r="D2798" s="5" t="s">
        <v>2740</v>
      </c>
      <c r="E2798" s="6" t="str">
        <f>HYPERLINK("https://twitter.com/petrogustavo/status/1233919840487956481","1233919840487956481")</f>
        <v>1233919840487956481</v>
      </c>
      <c r="F2798" s="7" t="s">
        <v>17</v>
      </c>
      <c r="G2798" s="7">
        <v>3651731</v>
      </c>
      <c r="H2798" s="7">
        <v>2353</v>
      </c>
      <c r="I2798" s="7">
        <v>16</v>
      </c>
      <c r="J2798" s="7">
        <v>0</v>
      </c>
      <c r="K2798" s="7" t="s">
        <v>18</v>
      </c>
      <c r="L2798" s="8">
        <v>39987.315405092595</v>
      </c>
      <c r="M2798" s="9" t="s">
        <v>19</v>
      </c>
      <c r="N2798" s="9" t="s">
        <v>20</v>
      </c>
      <c r="O2798" s="6" t="str">
        <f>HYPERLINK("https://pbs.twimg.com/profile_images/962471262747529216/Uo8lOkRJ_normal.jpg","View")</f>
        <v>View</v>
      </c>
      <c r="P2798" s="7"/>
    </row>
    <row r="2799" spans="1:16">
      <c r="A2799" s="3">
        <v>43891.270775462966</v>
      </c>
      <c r="B2799" s="4" t="str">
        <f>HYPERLINK("https://twitter.com/petrogustavo","@petrogustavo")</f>
        <v>@petrogustavo</v>
      </c>
      <c r="C2799" s="5" t="s">
        <v>16</v>
      </c>
      <c r="D2799" s="5" t="s">
        <v>2741</v>
      </c>
      <c r="E2799" s="6" t="str">
        <f>HYPERLINK("https://twitter.com/petrogustavo/status/1233919863606972417","1233919863606972417")</f>
        <v>1233919863606972417</v>
      </c>
      <c r="F2799" s="7" t="s">
        <v>17</v>
      </c>
      <c r="G2799" s="7">
        <v>3651731</v>
      </c>
      <c r="H2799" s="7">
        <v>2353</v>
      </c>
      <c r="I2799" s="7">
        <v>43</v>
      </c>
      <c r="J2799" s="7">
        <v>0</v>
      </c>
      <c r="K2799" s="7" t="s">
        <v>18</v>
      </c>
      <c r="L2799" s="8">
        <v>39987.315405092595</v>
      </c>
      <c r="M2799" s="9" t="s">
        <v>19</v>
      </c>
      <c r="N2799" s="9" t="s">
        <v>20</v>
      </c>
      <c r="O2799" s="6" t="str">
        <f>HYPERLINK("https://pbs.twimg.com/profile_images/962471262747529216/Uo8lOkRJ_normal.jpg","View")</f>
        <v>View</v>
      </c>
      <c r="P2799" s="7"/>
    </row>
    <row r="2800" spans="1:16">
      <c r="A2800" s="3">
        <v>43891.271956018521</v>
      </c>
      <c r="B2800" s="4" t="str">
        <f>HYPERLINK("https://twitter.com/petrogustavo","@petrogustavo")</f>
        <v>@petrogustavo</v>
      </c>
      <c r="C2800" s="5" t="s">
        <v>16</v>
      </c>
      <c r="D2800" s="5" t="s">
        <v>2742</v>
      </c>
      <c r="E2800" s="6" t="str">
        <f>HYPERLINK("https://twitter.com/petrogustavo/status/1233920291073556481","1233920291073556481")</f>
        <v>1233920291073556481</v>
      </c>
      <c r="F2800" s="7" t="s">
        <v>17</v>
      </c>
      <c r="G2800" s="7">
        <v>3651731</v>
      </c>
      <c r="H2800" s="7">
        <v>2353</v>
      </c>
      <c r="I2800" s="7">
        <v>135</v>
      </c>
      <c r="J2800" s="7">
        <v>0</v>
      </c>
      <c r="K2800" s="7" t="s">
        <v>18</v>
      </c>
      <c r="L2800" s="8">
        <v>39987.315405092595</v>
      </c>
      <c r="M2800" s="9" t="s">
        <v>19</v>
      </c>
      <c r="N2800" s="9" t="s">
        <v>20</v>
      </c>
      <c r="O2800" s="6" t="str">
        <f>HYPERLINK("https://pbs.twimg.com/profile_images/962471262747529216/Uo8lOkRJ_normal.jpg","View")</f>
        <v>View</v>
      </c>
      <c r="P2800" s="7"/>
    </row>
    <row r="2801" spans="1:16">
      <c r="A2801" s="3">
        <v>43891.280821759261</v>
      </c>
      <c r="B2801" s="4" t="str">
        <f>HYPERLINK("https://twitter.com/petrogustavo","@petrogustavo")</f>
        <v>@petrogustavo</v>
      </c>
      <c r="C2801" s="5" t="s">
        <v>16</v>
      </c>
      <c r="D2801" s="5" t="s">
        <v>2743</v>
      </c>
      <c r="E2801" s="6" t="str">
        <f>HYPERLINK("https://twitter.com/petrogustavo/status/1233923504665513986","1233923504665513986")</f>
        <v>1233923504665513986</v>
      </c>
      <c r="F2801" s="7" t="s">
        <v>17</v>
      </c>
      <c r="G2801" s="7">
        <v>3651731</v>
      </c>
      <c r="H2801" s="7">
        <v>2353</v>
      </c>
      <c r="I2801" s="7">
        <v>17</v>
      </c>
      <c r="J2801" s="7">
        <v>34</v>
      </c>
      <c r="K2801" s="7" t="s">
        <v>18</v>
      </c>
      <c r="L2801" s="8">
        <v>39987.315405092595</v>
      </c>
      <c r="M2801" s="9" t="s">
        <v>19</v>
      </c>
      <c r="N2801" s="9" t="s">
        <v>20</v>
      </c>
      <c r="O2801" s="6" t="str">
        <f>HYPERLINK("https://pbs.twimg.com/profile_images/962471262747529216/Uo8lOkRJ_normal.jpg","View")</f>
        <v>View</v>
      </c>
      <c r="P2801" s="7"/>
    </row>
    <row r="2802" spans="1:16">
      <c r="A2802" s="3">
        <v>43891.281180555554</v>
      </c>
      <c r="B2802" s="4" t="str">
        <f>HYPERLINK("https://twitter.com/petrogustavo","@petrogustavo")</f>
        <v>@petrogustavo</v>
      </c>
      <c r="C2802" s="5" t="s">
        <v>16</v>
      </c>
      <c r="D2802" s="5" t="s">
        <v>2744</v>
      </c>
      <c r="E2802" s="6" t="str">
        <f>HYPERLINK("https://twitter.com/petrogustavo/status/1233923636094013440","1233923636094013440")</f>
        <v>1233923636094013440</v>
      </c>
      <c r="F2802" s="7" t="s">
        <v>17</v>
      </c>
      <c r="G2802" s="7">
        <v>3651731</v>
      </c>
      <c r="H2802" s="7">
        <v>2353</v>
      </c>
      <c r="I2802" s="7">
        <v>2071</v>
      </c>
      <c r="J2802" s="7">
        <v>0</v>
      </c>
      <c r="K2802" s="7" t="s">
        <v>18</v>
      </c>
      <c r="L2802" s="8">
        <v>39987.315405092595</v>
      </c>
      <c r="M2802" s="9" t="s">
        <v>19</v>
      </c>
      <c r="N2802" s="9" t="s">
        <v>20</v>
      </c>
      <c r="O2802" s="6" t="str">
        <f>HYPERLINK("https://pbs.twimg.com/profile_images/962471262747529216/Uo8lOkRJ_normal.jpg","View")</f>
        <v>View</v>
      </c>
      <c r="P2802" s="7"/>
    </row>
    <row r="2803" spans="1:16">
      <c r="A2803" s="3">
        <v>43891.281481481477</v>
      </c>
      <c r="B2803" s="4" t="str">
        <f>HYPERLINK("https://twitter.com/petrogustavo","@petrogustavo")</f>
        <v>@petrogustavo</v>
      </c>
      <c r="C2803" s="5" t="s">
        <v>16</v>
      </c>
      <c r="D2803" s="5" t="s">
        <v>2745</v>
      </c>
      <c r="E2803" s="6" t="str">
        <f>HYPERLINK("https://twitter.com/petrogustavo/status/1233923743426080768","1233923743426080768")</f>
        <v>1233923743426080768</v>
      </c>
      <c r="F2803" s="7" t="s">
        <v>17</v>
      </c>
      <c r="G2803" s="7">
        <v>3651731</v>
      </c>
      <c r="H2803" s="7">
        <v>2353</v>
      </c>
      <c r="I2803" s="7">
        <v>18</v>
      </c>
      <c r="J2803" s="7">
        <v>0</v>
      </c>
      <c r="K2803" s="7" t="s">
        <v>18</v>
      </c>
      <c r="L2803" s="8">
        <v>39987.315405092595</v>
      </c>
      <c r="M2803" s="9" t="s">
        <v>19</v>
      </c>
      <c r="N2803" s="9" t="s">
        <v>20</v>
      </c>
      <c r="O2803" s="6" t="str">
        <f>HYPERLINK("https://pbs.twimg.com/profile_images/962471262747529216/Uo8lOkRJ_normal.jpg","View")</f>
        <v>View</v>
      </c>
      <c r="P2803" s="7"/>
    </row>
    <row r="2804" spans="1:16">
      <c r="A2804" s="3">
        <v>43891.899131944447</v>
      </c>
      <c r="B2804" s="4" t="str">
        <f>HYPERLINK("https://twitter.com/petrogustavo","@petrogustavo")</f>
        <v>@petrogustavo</v>
      </c>
      <c r="C2804" s="5" t="s">
        <v>16</v>
      </c>
      <c r="D2804" s="5" t="s">
        <v>2746</v>
      </c>
      <c r="E2804" s="6" t="str">
        <f>HYPERLINK("https://twitter.com/petrogustavo/status/1234147574594121729","1234147574594121729")</f>
        <v>1234147574594121729</v>
      </c>
      <c r="F2804" s="7" t="s">
        <v>17</v>
      </c>
      <c r="G2804" s="7">
        <v>3652265</v>
      </c>
      <c r="H2804" s="7">
        <v>2352</v>
      </c>
      <c r="I2804" s="7">
        <v>88</v>
      </c>
      <c r="J2804" s="7">
        <v>0</v>
      </c>
      <c r="K2804" s="7" t="s">
        <v>18</v>
      </c>
      <c r="L2804" s="8">
        <v>39987.315405092595</v>
      </c>
      <c r="M2804" s="9" t="s">
        <v>19</v>
      </c>
      <c r="N2804" s="9" t="s">
        <v>20</v>
      </c>
      <c r="O2804" s="6" t="str">
        <f>HYPERLINK("https://pbs.twimg.com/profile_images/962471262747529216/Uo8lOkRJ_normal.jpg","View")</f>
        <v>View</v>
      </c>
      <c r="P2804" s="7"/>
    </row>
    <row r="2805" spans="1:16">
      <c r="A2805" s="3">
        <v>43891.905046296291</v>
      </c>
      <c r="B2805" s="4" t="str">
        <f>HYPERLINK("https://twitter.com/petrogustavo","@petrogustavo")</f>
        <v>@petrogustavo</v>
      </c>
      <c r="C2805" s="5" t="s">
        <v>16</v>
      </c>
      <c r="D2805" s="5" t="s">
        <v>2747</v>
      </c>
      <c r="E2805" s="6" t="str">
        <f>HYPERLINK("https://twitter.com/petrogustavo/status/1234149716419579904","1234149716419579904")</f>
        <v>1234149716419579904</v>
      </c>
      <c r="F2805" s="7" t="s">
        <v>17</v>
      </c>
      <c r="G2805" s="7">
        <v>3652265</v>
      </c>
      <c r="H2805" s="7">
        <v>2352</v>
      </c>
      <c r="I2805" s="7">
        <v>48</v>
      </c>
      <c r="J2805" s="7">
        <v>135</v>
      </c>
      <c r="K2805" s="7" t="s">
        <v>18</v>
      </c>
      <c r="L2805" s="8">
        <v>39987.315405092595</v>
      </c>
      <c r="M2805" s="9" t="s">
        <v>19</v>
      </c>
      <c r="N2805" s="9" t="s">
        <v>20</v>
      </c>
      <c r="O2805" s="6" t="str">
        <f>HYPERLINK("https://pbs.twimg.com/profile_images/962471262747529216/Uo8lOkRJ_normal.jpg","View")</f>
        <v>View</v>
      </c>
      <c r="P2805" s="7"/>
    </row>
    <row r="2806" spans="1:16">
      <c r="A2806" s="3">
        <v>43891.909189814818</v>
      </c>
      <c r="B2806" s="4" t="str">
        <f>HYPERLINK("https://twitter.com/petrogustavo","@petrogustavo")</f>
        <v>@petrogustavo</v>
      </c>
      <c r="C2806" s="5" t="s">
        <v>16</v>
      </c>
      <c r="D2806" s="5" t="s">
        <v>2748</v>
      </c>
      <c r="E2806" s="6" t="str">
        <f>HYPERLINK("https://twitter.com/petrogustavo/status/1234151217552674818","1234151217552674818")</f>
        <v>1234151217552674818</v>
      </c>
      <c r="F2806" s="7" t="s">
        <v>17</v>
      </c>
      <c r="G2806" s="7">
        <v>3652304</v>
      </c>
      <c r="H2806" s="7">
        <v>2352</v>
      </c>
      <c r="I2806" s="7">
        <v>1239</v>
      </c>
      <c r="J2806" s="7">
        <v>0</v>
      </c>
      <c r="K2806" s="7" t="s">
        <v>18</v>
      </c>
      <c r="L2806" s="8">
        <v>39987.315405092595</v>
      </c>
      <c r="M2806" s="9" t="s">
        <v>19</v>
      </c>
      <c r="N2806" s="9" t="s">
        <v>20</v>
      </c>
      <c r="O2806" s="6" t="str">
        <f>HYPERLINK("https://pbs.twimg.com/profile_images/962471262747529216/Uo8lOkRJ_normal.jpg","View")</f>
        <v>View</v>
      </c>
      <c r="P2806" s="7"/>
    </row>
    <row r="2807" spans="1:16">
      <c r="A2807" s="3">
        <v>43891.914641203708</v>
      </c>
      <c r="B2807" s="4" t="str">
        <f>HYPERLINK("https://twitter.com/petrogustavo","@petrogustavo")</f>
        <v>@petrogustavo</v>
      </c>
      <c r="C2807" s="5" t="s">
        <v>16</v>
      </c>
      <c r="D2807" s="5" t="s">
        <v>2749</v>
      </c>
      <c r="E2807" s="6" t="str">
        <f>HYPERLINK("https://twitter.com/petrogustavo/status/1234153193556320257","1234153193556320257")</f>
        <v>1234153193556320257</v>
      </c>
      <c r="F2807" s="7" t="s">
        <v>17</v>
      </c>
      <c r="G2807" s="7">
        <v>3652304</v>
      </c>
      <c r="H2807" s="7">
        <v>2352</v>
      </c>
      <c r="I2807" s="7">
        <v>141</v>
      </c>
      <c r="J2807" s="7">
        <v>249</v>
      </c>
      <c r="K2807" s="7" t="s">
        <v>18</v>
      </c>
      <c r="L2807" s="8">
        <v>39987.315405092595</v>
      </c>
      <c r="M2807" s="9" t="s">
        <v>19</v>
      </c>
      <c r="N2807" s="9" t="s">
        <v>20</v>
      </c>
      <c r="O2807" s="6" t="str">
        <f>HYPERLINK("https://pbs.twimg.com/profile_images/962471262747529216/Uo8lOkRJ_normal.jpg","View")</f>
        <v>View</v>
      </c>
      <c r="P2807" s="7"/>
    </row>
    <row r="2808" spans="1:16">
      <c r="A2808" s="3">
        <v>43891.916377314818</v>
      </c>
      <c r="B2808" s="4" t="str">
        <f>HYPERLINK("https://twitter.com/petrogustavo","@petrogustavo")</f>
        <v>@petrogustavo</v>
      </c>
      <c r="C2808" s="5" t="s">
        <v>16</v>
      </c>
      <c r="D2808" s="5" t="s">
        <v>2750</v>
      </c>
      <c r="E2808" s="6" t="str">
        <f>HYPERLINK("https://twitter.com/petrogustavo/status/1234153824690036737","1234153824690036737")</f>
        <v>1234153824690036737</v>
      </c>
      <c r="F2808" s="7" t="s">
        <v>17</v>
      </c>
      <c r="G2808" s="7">
        <v>3652304</v>
      </c>
      <c r="H2808" s="7">
        <v>2352</v>
      </c>
      <c r="I2808" s="7">
        <v>80</v>
      </c>
      <c r="J2808" s="7">
        <v>294</v>
      </c>
      <c r="K2808" s="7" t="s">
        <v>18</v>
      </c>
      <c r="L2808" s="8">
        <v>39987.315405092595</v>
      </c>
      <c r="M2808" s="9" t="s">
        <v>19</v>
      </c>
      <c r="N2808" s="9" t="s">
        <v>20</v>
      </c>
      <c r="O2808" s="6" t="str">
        <f>HYPERLINK("https://pbs.twimg.com/profile_images/962471262747529216/Uo8lOkRJ_normal.jpg","View")</f>
        <v>View</v>
      </c>
      <c r="P2808" s="7"/>
    </row>
    <row r="2809" spans="1:16">
      <c r="A2809" s="3">
        <v>43891.921712962961</v>
      </c>
      <c r="B2809" s="4" t="str">
        <f>HYPERLINK("https://twitter.com/petrogustavo","@petrogustavo")</f>
        <v>@petrogustavo</v>
      </c>
      <c r="C2809" s="5" t="s">
        <v>16</v>
      </c>
      <c r="D2809" s="5" t="s">
        <v>2751</v>
      </c>
      <c r="E2809" s="6" t="str">
        <f>HYPERLINK("https://twitter.com/petrogustavo/status/1234155754560610311","1234155754560610311")</f>
        <v>1234155754560610311</v>
      </c>
      <c r="F2809" s="7" t="s">
        <v>17</v>
      </c>
      <c r="G2809" s="7">
        <v>3652304</v>
      </c>
      <c r="H2809" s="7">
        <v>2352</v>
      </c>
      <c r="I2809" s="7">
        <v>53</v>
      </c>
      <c r="J2809" s="7">
        <v>126</v>
      </c>
      <c r="K2809" s="7" t="s">
        <v>18</v>
      </c>
      <c r="L2809" s="8">
        <v>39987.315405092595</v>
      </c>
      <c r="M2809" s="9" t="s">
        <v>19</v>
      </c>
      <c r="N2809" s="9" t="s">
        <v>20</v>
      </c>
      <c r="O2809" s="6" t="str">
        <f>HYPERLINK("https://pbs.twimg.com/profile_images/962471262747529216/Uo8lOkRJ_normal.jpg","View")</f>
        <v>View</v>
      </c>
      <c r="P2809" s="7"/>
    </row>
    <row r="2810" spans="1:16">
      <c r="A2810" s="3">
        <v>43891.925023148149</v>
      </c>
      <c r="B2810" s="4" t="str">
        <f>HYPERLINK("https://twitter.com/petrogustavo","@petrogustavo")</f>
        <v>@petrogustavo</v>
      </c>
      <c r="C2810" s="5" t="s">
        <v>16</v>
      </c>
      <c r="D2810" s="5" t="s">
        <v>2752</v>
      </c>
      <c r="E2810" s="6" t="str">
        <f>HYPERLINK("https://twitter.com/petrogustavo/status/1234156955658309632","1234156955658309632")</f>
        <v>1234156955658309632</v>
      </c>
      <c r="F2810" s="7" t="s">
        <v>17</v>
      </c>
      <c r="G2810" s="7">
        <v>3652304</v>
      </c>
      <c r="H2810" s="7">
        <v>2352</v>
      </c>
      <c r="I2810" s="7">
        <v>40</v>
      </c>
      <c r="J2810" s="7">
        <v>109</v>
      </c>
      <c r="K2810" s="7" t="s">
        <v>18</v>
      </c>
      <c r="L2810" s="8">
        <v>39987.315405092595</v>
      </c>
      <c r="M2810" s="9" t="s">
        <v>19</v>
      </c>
      <c r="N2810" s="9" t="s">
        <v>20</v>
      </c>
      <c r="O2810" s="6" t="str">
        <f>HYPERLINK("https://pbs.twimg.com/profile_images/962471262747529216/Uo8lOkRJ_normal.jpg","View")</f>
        <v>View</v>
      </c>
      <c r="P2810" s="7"/>
    </row>
    <row r="2811" spans="1:16">
      <c r="A2811" s="3">
        <v>43892.110949074078</v>
      </c>
      <c r="B2811" s="4" t="str">
        <f>HYPERLINK("https://twitter.com/petrogustavo","@petrogustavo")</f>
        <v>@petrogustavo</v>
      </c>
      <c r="C2811" s="5" t="s">
        <v>16</v>
      </c>
      <c r="D2811" s="5" t="s">
        <v>2753</v>
      </c>
      <c r="E2811" s="6" t="str">
        <f>HYPERLINK("https://twitter.com/petrogustavo/status/1234224333196800000","1234224333196800000")</f>
        <v>1234224333196800000</v>
      </c>
      <c r="F2811" s="7" t="s">
        <v>17</v>
      </c>
      <c r="G2811" s="7">
        <v>3652583</v>
      </c>
      <c r="H2811" s="7">
        <v>2353</v>
      </c>
      <c r="I2811" s="7">
        <v>2791</v>
      </c>
      <c r="J2811" s="7">
        <v>0</v>
      </c>
      <c r="K2811" s="7" t="s">
        <v>18</v>
      </c>
      <c r="L2811" s="8">
        <v>39987.315405092595</v>
      </c>
      <c r="M2811" s="9" t="s">
        <v>19</v>
      </c>
      <c r="N2811" s="9" t="s">
        <v>20</v>
      </c>
      <c r="O2811" s="6" t="str">
        <f>HYPERLINK("https://pbs.twimg.com/profile_images/962471262747529216/Uo8lOkRJ_normal.jpg","View")</f>
        <v>View</v>
      </c>
      <c r="P2811" s="7"/>
    </row>
    <row r="2812" spans="1:16">
      <c r="A2812" s="3">
        <v>43892.114733796298</v>
      </c>
      <c r="B2812" s="4" t="str">
        <f>HYPERLINK("https://twitter.com/petrogustavo","@petrogustavo")</f>
        <v>@petrogustavo</v>
      </c>
      <c r="C2812" s="5" t="s">
        <v>16</v>
      </c>
      <c r="D2812" s="5" t="s">
        <v>2754</v>
      </c>
      <c r="E2812" s="6" t="str">
        <f>HYPERLINK("https://twitter.com/petrogustavo/status/1234225704297955328","1234225704297955328")</f>
        <v>1234225704297955328</v>
      </c>
      <c r="F2812" s="7" t="s">
        <v>17</v>
      </c>
      <c r="G2812" s="7">
        <v>3652583</v>
      </c>
      <c r="H2812" s="7">
        <v>2353</v>
      </c>
      <c r="I2812" s="7">
        <v>270</v>
      </c>
      <c r="J2812" s="7">
        <v>0</v>
      </c>
      <c r="K2812" s="7" t="s">
        <v>18</v>
      </c>
      <c r="L2812" s="8">
        <v>39987.315405092595</v>
      </c>
      <c r="M2812" s="9" t="s">
        <v>19</v>
      </c>
      <c r="N2812" s="9" t="s">
        <v>20</v>
      </c>
      <c r="O2812" s="6" t="str">
        <f>HYPERLINK("https://pbs.twimg.com/profile_images/962471262747529216/Uo8lOkRJ_normal.jpg","View")</f>
        <v>View</v>
      </c>
      <c r="P2812" s="7"/>
    </row>
    <row r="2813" spans="1:16">
      <c r="A2813" s="3">
        <v>43892.119629629626</v>
      </c>
      <c r="B2813" s="4" t="str">
        <f>HYPERLINK("https://twitter.com/petrogustavo","@petrogustavo")</f>
        <v>@petrogustavo</v>
      </c>
      <c r="C2813" s="5" t="s">
        <v>16</v>
      </c>
      <c r="D2813" s="5" t="s">
        <v>2755</v>
      </c>
      <c r="E2813" s="6" t="str">
        <f>HYPERLINK("https://twitter.com/petrogustavo/status/1234227480317382657","1234227480317382657")</f>
        <v>1234227480317382657</v>
      </c>
      <c r="F2813" s="7" t="s">
        <v>17</v>
      </c>
      <c r="G2813" s="7">
        <v>3652576</v>
      </c>
      <c r="H2813" s="7">
        <v>2353</v>
      </c>
      <c r="I2813" s="7">
        <v>22</v>
      </c>
      <c r="J2813" s="7">
        <v>0</v>
      </c>
      <c r="K2813" s="7" t="s">
        <v>18</v>
      </c>
      <c r="L2813" s="8">
        <v>39987.315405092595</v>
      </c>
      <c r="M2813" s="9" t="s">
        <v>19</v>
      </c>
      <c r="N2813" s="9" t="s">
        <v>20</v>
      </c>
      <c r="O2813" s="6" t="str">
        <f>HYPERLINK("https://pbs.twimg.com/profile_images/962471262747529216/Uo8lOkRJ_normal.jpg","View")</f>
        <v>View</v>
      </c>
      <c r="P2813" s="7"/>
    </row>
    <row r="2814" spans="1:16">
      <c r="A2814" s="3">
        <v>43892.124976851846</v>
      </c>
      <c r="B2814" s="4" t="str">
        <f>HYPERLINK("https://twitter.com/petrogustavo","@petrogustavo")</f>
        <v>@petrogustavo</v>
      </c>
      <c r="C2814" s="5" t="s">
        <v>16</v>
      </c>
      <c r="D2814" s="5" t="s">
        <v>2756</v>
      </c>
      <c r="E2814" s="6" t="str">
        <f>HYPERLINK("https://twitter.com/petrogustavo/status/1234229417754398720","1234229417754398720")</f>
        <v>1234229417754398720</v>
      </c>
      <c r="F2814" s="7" t="s">
        <v>17</v>
      </c>
      <c r="G2814" s="7">
        <v>3652576</v>
      </c>
      <c r="H2814" s="7">
        <v>2353</v>
      </c>
      <c r="I2814" s="7">
        <v>601</v>
      </c>
      <c r="J2814" s="7">
        <v>0</v>
      </c>
      <c r="K2814" s="7" t="s">
        <v>18</v>
      </c>
      <c r="L2814" s="8">
        <v>39987.315405092595</v>
      </c>
      <c r="M2814" s="9" t="s">
        <v>19</v>
      </c>
      <c r="N2814" s="9" t="s">
        <v>20</v>
      </c>
      <c r="O2814" s="6" t="str">
        <f>HYPERLINK("https://pbs.twimg.com/profile_images/962471262747529216/Uo8lOkRJ_normal.jpg","View")</f>
        <v>View</v>
      </c>
      <c r="P2814" s="7"/>
    </row>
    <row r="2815" spans="1:16">
      <c r="A2815" s="3">
        <v>43892.127881944441</v>
      </c>
      <c r="B2815" s="4" t="str">
        <f>HYPERLINK("https://twitter.com/petrogustavo","@petrogustavo")</f>
        <v>@petrogustavo</v>
      </c>
      <c r="C2815" s="5" t="s">
        <v>16</v>
      </c>
      <c r="D2815" s="5" t="s">
        <v>2757</v>
      </c>
      <c r="E2815" s="6" t="str">
        <f>HYPERLINK("https://twitter.com/petrogustavo/status/1234230468125560833","1234230468125560833")</f>
        <v>1234230468125560833</v>
      </c>
      <c r="F2815" s="7" t="s">
        <v>17</v>
      </c>
      <c r="G2815" s="7">
        <v>3652576</v>
      </c>
      <c r="H2815" s="7">
        <v>2353</v>
      </c>
      <c r="I2815" s="7">
        <v>36</v>
      </c>
      <c r="J2815" s="7">
        <v>96</v>
      </c>
      <c r="K2815" s="7" t="s">
        <v>18</v>
      </c>
      <c r="L2815" s="8">
        <v>39987.315405092595</v>
      </c>
      <c r="M2815" s="9" t="s">
        <v>19</v>
      </c>
      <c r="N2815" s="9" t="s">
        <v>20</v>
      </c>
      <c r="O2815" s="6" t="str">
        <f>HYPERLINK("https://pbs.twimg.com/profile_images/962471262747529216/Uo8lOkRJ_normal.jpg","View")</f>
        <v>View</v>
      </c>
      <c r="P2815" s="7"/>
    </row>
    <row r="2816" spans="1:16">
      <c r="A2816" s="3">
        <v>43892.128287037034</v>
      </c>
      <c r="B2816" s="4" t="str">
        <f>HYPERLINK("https://twitter.com/petrogustavo","@petrogustavo")</f>
        <v>@petrogustavo</v>
      </c>
      <c r="C2816" s="5" t="s">
        <v>16</v>
      </c>
      <c r="D2816" s="5" t="s">
        <v>2758</v>
      </c>
      <c r="E2816" s="6" t="str">
        <f>HYPERLINK("https://twitter.com/petrogustavo/status/1234230617371488257","1234230617371488257")</f>
        <v>1234230617371488257</v>
      </c>
      <c r="F2816" s="7" t="s">
        <v>17</v>
      </c>
      <c r="G2816" s="7">
        <v>3652576</v>
      </c>
      <c r="H2816" s="7">
        <v>2353</v>
      </c>
      <c r="I2816" s="7">
        <v>1648</v>
      </c>
      <c r="J2816" s="7">
        <v>0</v>
      </c>
      <c r="K2816" s="7" t="s">
        <v>18</v>
      </c>
      <c r="L2816" s="8">
        <v>39987.315405092595</v>
      </c>
      <c r="M2816" s="9" t="s">
        <v>19</v>
      </c>
      <c r="N2816" s="9" t="s">
        <v>20</v>
      </c>
      <c r="O2816" s="6" t="str">
        <f>HYPERLINK("https://pbs.twimg.com/profile_images/962471262747529216/Uo8lOkRJ_normal.jpg","View")</f>
        <v>View</v>
      </c>
      <c r="P2816" s="7"/>
    </row>
    <row r="2817" spans="1:16">
      <c r="A2817" s="3">
        <v>43892.130740740744</v>
      </c>
      <c r="B2817" s="4" t="str">
        <f>HYPERLINK("https://twitter.com/petrogustavo","@petrogustavo")</f>
        <v>@petrogustavo</v>
      </c>
      <c r="C2817" s="5" t="s">
        <v>16</v>
      </c>
      <c r="D2817" s="5" t="s">
        <v>2759</v>
      </c>
      <c r="E2817" s="6" t="str">
        <f>HYPERLINK("https://twitter.com/petrogustavo/status/1234231504282247169","1234231504282247169")</f>
        <v>1234231504282247169</v>
      </c>
      <c r="F2817" s="7" t="s">
        <v>17</v>
      </c>
      <c r="G2817" s="7">
        <v>3652576</v>
      </c>
      <c r="H2817" s="7">
        <v>2353</v>
      </c>
      <c r="I2817" s="7">
        <v>42</v>
      </c>
      <c r="J2817" s="7">
        <v>86</v>
      </c>
      <c r="K2817" s="7" t="s">
        <v>18</v>
      </c>
      <c r="L2817" s="8">
        <v>39987.315405092595</v>
      </c>
      <c r="M2817" s="9" t="s">
        <v>19</v>
      </c>
      <c r="N2817" s="9" t="s">
        <v>20</v>
      </c>
      <c r="O2817" s="6" t="str">
        <f>HYPERLINK("https://pbs.twimg.com/profile_images/962471262747529216/Uo8lOkRJ_normal.jpg","View")</f>
        <v>View</v>
      </c>
      <c r="P2817" s="7"/>
    </row>
    <row r="2818" spans="1:16">
      <c r="A2818" s="3">
        <v>43892.280509259261</v>
      </c>
      <c r="B2818" s="4" t="str">
        <f>HYPERLINK("https://twitter.com/petrogustavo","@petrogustavo")</f>
        <v>@petrogustavo</v>
      </c>
      <c r="C2818" s="5" t="s">
        <v>16</v>
      </c>
      <c r="D2818" s="5" t="s">
        <v>2760</v>
      </c>
      <c r="E2818" s="6" t="str">
        <f>HYPERLINK("https://twitter.com/petrogustavo/status/1234285780870279169","1234285780870279169")</f>
        <v>1234285780870279169</v>
      </c>
      <c r="F2818" s="7" t="s">
        <v>17</v>
      </c>
      <c r="G2818" s="7">
        <v>3652794</v>
      </c>
      <c r="H2818" s="7">
        <v>2353</v>
      </c>
      <c r="I2818" s="7">
        <v>13</v>
      </c>
      <c r="J2818" s="7">
        <v>0</v>
      </c>
      <c r="K2818" s="7" t="s">
        <v>18</v>
      </c>
      <c r="L2818" s="8">
        <v>39987.315405092595</v>
      </c>
      <c r="M2818" s="9" t="s">
        <v>19</v>
      </c>
      <c r="N2818" s="9" t="s">
        <v>20</v>
      </c>
      <c r="O2818" s="6" t="str">
        <f>HYPERLINK("https://pbs.twimg.com/profile_images/962471262747529216/Uo8lOkRJ_normal.jpg","View")</f>
        <v>View</v>
      </c>
      <c r="P2818" s="7"/>
    </row>
    <row r="2819" spans="1:16">
      <c r="A2819" s="3">
        <v>43892.283449074079</v>
      </c>
      <c r="B2819" s="4" t="str">
        <f>HYPERLINK("https://twitter.com/petrogustavo","@petrogustavo")</f>
        <v>@petrogustavo</v>
      </c>
      <c r="C2819" s="5" t="s">
        <v>16</v>
      </c>
      <c r="D2819" s="5" t="s">
        <v>2761</v>
      </c>
      <c r="E2819" s="6" t="str">
        <f>HYPERLINK("https://twitter.com/petrogustavo/status/1234286845426573316","1234286845426573316")</f>
        <v>1234286845426573316</v>
      </c>
      <c r="F2819" s="7" t="s">
        <v>17</v>
      </c>
      <c r="G2819" s="7">
        <v>3652847</v>
      </c>
      <c r="H2819" s="7">
        <v>2353</v>
      </c>
      <c r="I2819" s="7">
        <v>76</v>
      </c>
      <c r="J2819" s="7">
        <v>288</v>
      </c>
      <c r="K2819" s="7" t="s">
        <v>18</v>
      </c>
      <c r="L2819" s="8">
        <v>39987.315405092595</v>
      </c>
      <c r="M2819" s="9" t="s">
        <v>19</v>
      </c>
      <c r="N2819" s="9" t="s">
        <v>20</v>
      </c>
      <c r="O2819" s="6" t="str">
        <f>HYPERLINK("https://pbs.twimg.com/profile_images/962471262747529216/Uo8lOkRJ_normal.jpg","View")</f>
        <v>View</v>
      </c>
      <c r="P2819" s="7"/>
    </row>
    <row r="2820" spans="1:16">
      <c r="A2820" s="3">
        <v>43892.285011574073</v>
      </c>
      <c r="B2820" s="4" t="str">
        <f>HYPERLINK("https://twitter.com/petrogustavo","@petrogustavo")</f>
        <v>@petrogustavo</v>
      </c>
      <c r="C2820" s="5" t="s">
        <v>16</v>
      </c>
      <c r="D2820" s="5" t="s">
        <v>2762</v>
      </c>
      <c r="E2820" s="6" t="str">
        <f>HYPERLINK("https://twitter.com/petrogustavo/status/1234287412550959104","1234287412550959104")</f>
        <v>1234287412550959104</v>
      </c>
      <c r="F2820" s="7" t="s">
        <v>17</v>
      </c>
      <c r="G2820" s="7">
        <v>3652847</v>
      </c>
      <c r="H2820" s="7">
        <v>2353</v>
      </c>
      <c r="I2820" s="7">
        <v>1279</v>
      </c>
      <c r="J2820" s="7">
        <v>0</v>
      </c>
      <c r="K2820" s="7" t="s">
        <v>18</v>
      </c>
      <c r="L2820" s="8">
        <v>39987.315405092595</v>
      </c>
      <c r="M2820" s="9" t="s">
        <v>19</v>
      </c>
      <c r="N2820" s="9" t="s">
        <v>20</v>
      </c>
      <c r="O2820" s="6" t="str">
        <f>HYPERLINK("https://pbs.twimg.com/profile_images/962471262747529216/Uo8lOkRJ_normal.jpg","View")</f>
        <v>View</v>
      </c>
      <c r="P2820" s="7"/>
    </row>
    <row r="2821" spans="1:16">
      <c r="A2821" s="3">
        <v>43892.290567129632</v>
      </c>
      <c r="B2821" s="4" t="str">
        <f>HYPERLINK("https://twitter.com/petrogustavo","@petrogustavo")</f>
        <v>@petrogustavo</v>
      </c>
      <c r="C2821" s="5" t="s">
        <v>16</v>
      </c>
      <c r="D2821" s="5" t="s">
        <v>2763</v>
      </c>
      <c r="E2821" s="6" t="str">
        <f>HYPERLINK("https://twitter.com/petrogustavo/status/1234289423438811143","1234289423438811143")</f>
        <v>1234289423438811143</v>
      </c>
      <c r="F2821" s="7" t="s">
        <v>17</v>
      </c>
      <c r="G2821" s="7">
        <v>3652847</v>
      </c>
      <c r="H2821" s="7">
        <v>2353</v>
      </c>
      <c r="I2821" s="7">
        <v>103</v>
      </c>
      <c r="J2821" s="7">
        <v>301</v>
      </c>
      <c r="K2821" s="7" t="s">
        <v>18</v>
      </c>
      <c r="L2821" s="8">
        <v>39987.315405092595</v>
      </c>
      <c r="M2821" s="9" t="s">
        <v>19</v>
      </c>
      <c r="N2821" s="9" t="s">
        <v>20</v>
      </c>
      <c r="O2821" s="6" t="str">
        <f>HYPERLINK("https://pbs.twimg.com/profile_images/962471262747529216/Uo8lOkRJ_normal.jpg","View")</f>
        <v>View</v>
      </c>
      <c r="P2821" s="7"/>
    </row>
    <row r="2822" spans="1:16">
      <c r="A2822" s="3">
        <v>43892.306932870371</v>
      </c>
      <c r="B2822" s="4" t="str">
        <f>HYPERLINK("https://twitter.com/petrogustavo","@petrogustavo")</f>
        <v>@petrogustavo</v>
      </c>
      <c r="C2822" s="5" t="s">
        <v>16</v>
      </c>
      <c r="D2822" s="5" t="s">
        <v>2764</v>
      </c>
      <c r="E2822" s="6" t="str">
        <f>HYPERLINK("https://twitter.com/petrogustavo/status/1234295353886806016","1234295353886806016")</f>
        <v>1234295353886806016</v>
      </c>
      <c r="F2822" s="7" t="s">
        <v>17</v>
      </c>
      <c r="G2822" s="7">
        <v>3652882</v>
      </c>
      <c r="H2822" s="7">
        <v>2354</v>
      </c>
      <c r="I2822" s="7">
        <v>100</v>
      </c>
      <c r="J2822" s="7">
        <v>339</v>
      </c>
      <c r="K2822" s="7" t="s">
        <v>18</v>
      </c>
      <c r="L2822" s="8">
        <v>39987.315405092595</v>
      </c>
      <c r="M2822" s="9" t="s">
        <v>19</v>
      </c>
      <c r="N2822" s="9" t="s">
        <v>20</v>
      </c>
      <c r="O2822" s="6" t="str">
        <f>HYPERLINK("https://pbs.twimg.com/profile_images/962471262747529216/Uo8lOkRJ_normal.jpg","View")</f>
        <v>View</v>
      </c>
      <c r="P2822" s="7"/>
    </row>
    <row r="2823" spans="1:16">
      <c r="A2823" s="3">
        <v>43892.33079861111</v>
      </c>
      <c r="B2823" s="4" t="str">
        <f>HYPERLINK("https://twitter.com/petrogustavo","@petrogustavo")</f>
        <v>@petrogustavo</v>
      </c>
      <c r="C2823" s="5" t="s">
        <v>16</v>
      </c>
      <c r="D2823" s="5" t="s">
        <v>2765</v>
      </c>
      <c r="E2823" s="6" t="str">
        <f>HYPERLINK("https://twitter.com/petrogustavo/status/1234304005964255233","1234304005964255233")</f>
        <v>1234304005964255233</v>
      </c>
      <c r="F2823" s="7" t="s">
        <v>17</v>
      </c>
      <c r="G2823" s="7">
        <v>3652925</v>
      </c>
      <c r="H2823" s="7">
        <v>2354</v>
      </c>
      <c r="I2823" s="7">
        <v>88</v>
      </c>
      <c r="J2823" s="7">
        <v>237</v>
      </c>
      <c r="K2823" s="7" t="s">
        <v>18</v>
      </c>
      <c r="L2823" s="8">
        <v>39987.315405092595</v>
      </c>
      <c r="M2823" s="9" t="s">
        <v>19</v>
      </c>
      <c r="N2823" s="9" t="s">
        <v>20</v>
      </c>
      <c r="O2823" s="6" t="str">
        <f>HYPERLINK("https://pbs.twimg.com/profile_images/962471262747529216/Uo8lOkRJ_normal.jpg","View")</f>
        <v>View</v>
      </c>
      <c r="P2823" s="7"/>
    </row>
    <row r="2824" spans="1:16">
      <c r="A2824" s="3">
        <v>43892.333321759259</v>
      </c>
      <c r="B2824" s="4" t="str">
        <f>HYPERLINK("https://twitter.com/petrogustavo","@petrogustavo")</f>
        <v>@petrogustavo</v>
      </c>
      <c r="C2824" s="5" t="s">
        <v>16</v>
      </c>
      <c r="D2824" s="5" t="s">
        <v>2766</v>
      </c>
      <c r="E2824" s="6" t="str">
        <f>HYPERLINK("https://twitter.com/petrogustavo/status/1234304916757327872","1234304916757327872")</f>
        <v>1234304916757327872</v>
      </c>
      <c r="F2824" s="7" t="s">
        <v>17</v>
      </c>
      <c r="G2824" s="7">
        <v>3652925</v>
      </c>
      <c r="H2824" s="7">
        <v>2354</v>
      </c>
      <c r="I2824" s="7">
        <v>57</v>
      </c>
      <c r="J2824" s="7">
        <v>191</v>
      </c>
      <c r="K2824" s="7" t="s">
        <v>18</v>
      </c>
      <c r="L2824" s="8">
        <v>39987.315405092595</v>
      </c>
      <c r="M2824" s="9" t="s">
        <v>19</v>
      </c>
      <c r="N2824" s="9" t="s">
        <v>20</v>
      </c>
      <c r="O2824" s="6" t="str">
        <f>HYPERLINK("https://pbs.twimg.com/profile_images/962471262747529216/Uo8lOkRJ_normal.jpg","View")</f>
        <v>View</v>
      </c>
      <c r="P2824" s="7"/>
    </row>
    <row r="2825" spans="1:16">
      <c r="A2825" s="3">
        <v>43892.334918981476</v>
      </c>
      <c r="B2825" s="4" t="str">
        <f>HYPERLINK("https://twitter.com/petrogustavo","@petrogustavo")</f>
        <v>@petrogustavo</v>
      </c>
      <c r="C2825" s="5" t="s">
        <v>16</v>
      </c>
      <c r="D2825" s="5" t="s">
        <v>2767</v>
      </c>
      <c r="E2825" s="6" t="str">
        <f>HYPERLINK("https://twitter.com/petrogustavo/status/1234305496527626240","1234305496527626240")</f>
        <v>1234305496527626240</v>
      </c>
      <c r="F2825" s="7" t="s">
        <v>17</v>
      </c>
      <c r="G2825" s="7">
        <v>3652925</v>
      </c>
      <c r="H2825" s="7">
        <v>2354</v>
      </c>
      <c r="I2825" s="7">
        <v>88</v>
      </c>
      <c r="J2825" s="7">
        <v>0</v>
      </c>
      <c r="K2825" s="7" t="s">
        <v>18</v>
      </c>
      <c r="L2825" s="8">
        <v>39987.315405092595</v>
      </c>
      <c r="M2825" s="9" t="s">
        <v>19</v>
      </c>
      <c r="N2825" s="9" t="s">
        <v>20</v>
      </c>
      <c r="O2825" s="6" t="str">
        <f>HYPERLINK("https://pbs.twimg.com/profile_images/962471262747529216/Uo8lOkRJ_normal.jpg","View")</f>
        <v>View</v>
      </c>
      <c r="P2825" s="7"/>
    </row>
    <row r="2826" spans="1:16">
      <c r="A2826" s="3">
        <v>43892.347210648149</v>
      </c>
      <c r="B2826" s="4" t="str">
        <f>HYPERLINK("https://twitter.com/petrogustavo","@petrogustavo")</f>
        <v>@petrogustavo</v>
      </c>
      <c r="C2826" s="5" t="s">
        <v>16</v>
      </c>
      <c r="D2826" s="5" t="s">
        <v>2768</v>
      </c>
      <c r="E2826" s="6" t="str">
        <f>HYPERLINK("https://twitter.com/petrogustavo/status/1234309949578080257","1234309949578080257")</f>
        <v>1234309949578080257</v>
      </c>
      <c r="F2826" s="7" t="s">
        <v>17</v>
      </c>
      <c r="G2826" s="7">
        <v>3652954</v>
      </c>
      <c r="H2826" s="7">
        <v>2354</v>
      </c>
      <c r="I2826" s="7">
        <v>301</v>
      </c>
      <c r="J2826" s="7">
        <v>0</v>
      </c>
      <c r="K2826" s="7" t="s">
        <v>18</v>
      </c>
      <c r="L2826" s="8">
        <v>39987.315405092595</v>
      </c>
      <c r="M2826" s="9" t="s">
        <v>19</v>
      </c>
      <c r="N2826" s="9" t="s">
        <v>20</v>
      </c>
      <c r="O2826" s="6" t="str">
        <f>HYPERLINK("https://pbs.twimg.com/profile_images/962471262747529216/Uo8lOkRJ_normal.jpg","View")</f>
        <v>View</v>
      </c>
      <c r="P2826" s="7"/>
    </row>
    <row r="2827" spans="1:16">
      <c r="A2827" s="3">
        <v>43892.355254629627</v>
      </c>
      <c r="B2827" s="4" t="str">
        <f>HYPERLINK("https://twitter.com/petrogustavo","@petrogustavo")</f>
        <v>@petrogustavo</v>
      </c>
      <c r="C2827" s="5" t="s">
        <v>16</v>
      </c>
      <c r="D2827" s="5" t="s">
        <v>2769</v>
      </c>
      <c r="E2827" s="6" t="str">
        <f>HYPERLINK("https://twitter.com/petrogustavo/status/1234312867270230016","1234312867270230016")</f>
        <v>1234312867270230016</v>
      </c>
      <c r="F2827" s="7" t="s">
        <v>17</v>
      </c>
      <c r="G2827" s="7">
        <v>3652954</v>
      </c>
      <c r="H2827" s="7">
        <v>2354</v>
      </c>
      <c r="I2827" s="7">
        <v>2556</v>
      </c>
      <c r="J2827" s="7">
        <v>0</v>
      </c>
      <c r="K2827" s="7" t="s">
        <v>18</v>
      </c>
      <c r="L2827" s="8">
        <v>39987.315405092595</v>
      </c>
      <c r="M2827" s="9" t="s">
        <v>19</v>
      </c>
      <c r="N2827" s="9" t="s">
        <v>20</v>
      </c>
      <c r="O2827" s="6" t="str">
        <f>HYPERLINK("https://pbs.twimg.com/profile_images/962471262747529216/Uo8lOkRJ_normal.jpg","View")</f>
        <v>View</v>
      </c>
      <c r="P2827" s="7"/>
    </row>
    <row r="2828" spans="1:16">
      <c r="A2828" s="3">
        <v>43892.853321759263</v>
      </c>
      <c r="B2828" s="4" t="str">
        <f>HYPERLINK("https://twitter.com/petrogustavo","@petrogustavo")</f>
        <v>@petrogustavo</v>
      </c>
      <c r="C2828" s="5" t="s">
        <v>16</v>
      </c>
      <c r="D2828" s="5" t="s">
        <v>2770</v>
      </c>
      <c r="E2828" s="6" t="str">
        <f>HYPERLINK("https://twitter.com/petrogustavo/status/1234493361740025856","1234493361740025856")</f>
        <v>1234493361740025856</v>
      </c>
      <c r="F2828" s="7" t="s">
        <v>17</v>
      </c>
      <c r="G2828" s="7">
        <v>3653402</v>
      </c>
      <c r="H2828" s="7">
        <v>2354</v>
      </c>
      <c r="I2828" s="7">
        <v>27</v>
      </c>
      <c r="J2828" s="7">
        <v>0</v>
      </c>
      <c r="K2828" s="7" t="s">
        <v>18</v>
      </c>
      <c r="L2828" s="8">
        <v>39987.315405092595</v>
      </c>
      <c r="M2828" s="9" t="s">
        <v>19</v>
      </c>
      <c r="N2828" s="9" t="s">
        <v>20</v>
      </c>
      <c r="O2828" s="6" t="str">
        <f>HYPERLINK("https://pbs.twimg.com/profile_images/962471262747529216/Uo8lOkRJ_normal.jpg","View")</f>
        <v>View</v>
      </c>
      <c r="P2828" s="7"/>
    </row>
    <row r="2829" spans="1:16">
      <c r="A2829" s="3">
        <v>43892.853645833333</v>
      </c>
      <c r="B2829" s="4" t="str">
        <f>HYPERLINK("https://twitter.com/petrogustavo","@petrogustavo")</f>
        <v>@petrogustavo</v>
      </c>
      <c r="C2829" s="5" t="s">
        <v>16</v>
      </c>
      <c r="D2829" s="5" t="s">
        <v>2771</v>
      </c>
      <c r="E2829" s="6" t="str">
        <f>HYPERLINK("https://twitter.com/petrogustavo/status/1234493476059992066","1234493476059992066")</f>
        <v>1234493476059992066</v>
      </c>
      <c r="F2829" s="7" t="s">
        <v>17</v>
      </c>
      <c r="G2829" s="7">
        <v>3653402</v>
      </c>
      <c r="H2829" s="7">
        <v>2354</v>
      </c>
      <c r="I2829" s="7">
        <v>39</v>
      </c>
      <c r="J2829" s="7">
        <v>0</v>
      </c>
      <c r="K2829" s="7" t="s">
        <v>18</v>
      </c>
      <c r="L2829" s="8">
        <v>39987.315405092595</v>
      </c>
      <c r="M2829" s="9" t="s">
        <v>19</v>
      </c>
      <c r="N2829" s="9" t="s">
        <v>20</v>
      </c>
      <c r="O2829" s="6" t="str">
        <f>HYPERLINK("https://pbs.twimg.com/profile_images/962471262747529216/Uo8lOkRJ_normal.jpg","View")</f>
        <v>View</v>
      </c>
      <c r="P2829" s="7"/>
    </row>
    <row r="2830" spans="1:16">
      <c r="A2830" s="3">
        <v>43892.855914351851</v>
      </c>
      <c r="B2830" s="4" t="str">
        <f>HYPERLINK("https://twitter.com/petrogustavo","@petrogustavo")</f>
        <v>@petrogustavo</v>
      </c>
      <c r="C2830" s="5" t="s">
        <v>16</v>
      </c>
      <c r="D2830" s="5" t="s">
        <v>2772</v>
      </c>
      <c r="E2830" s="6" t="str">
        <f>HYPERLINK("https://twitter.com/petrogustavo/status/1234494299703775233","1234494299703775233")</f>
        <v>1234494299703775233</v>
      </c>
      <c r="F2830" s="7" t="s">
        <v>17</v>
      </c>
      <c r="G2830" s="7">
        <v>3653402</v>
      </c>
      <c r="H2830" s="7">
        <v>2354</v>
      </c>
      <c r="I2830" s="7">
        <v>82</v>
      </c>
      <c r="J2830" s="7">
        <v>230</v>
      </c>
      <c r="K2830" s="7" t="s">
        <v>18</v>
      </c>
      <c r="L2830" s="8">
        <v>39987.315405092595</v>
      </c>
      <c r="M2830" s="9" t="s">
        <v>19</v>
      </c>
      <c r="N2830" s="9" t="s">
        <v>20</v>
      </c>
      <c r="O2830" s="6" t="str">
        <f>HYPERLINK("https://pbs.twimg.com/profile_images/962471262747529216/Uo8lOkRJ_normal.jpg","View")</f>
        <v>View</v>
      </c>
      <c r="P2830" s="7"/>
    </row>
    <row r="2831" spans="1:16">
      <c r="A2831" s="3">
        <v>43892.857314814813</v>
      </c>
      <c r="B2831" s="4" t="str">
        <f>HYPERLINK("https://twitter.com/petrogustavo","@petrogustavo")</f>
        <v>@petrogustavo</v>
      </c>
      <c r="C2831" s="5" t="s">
        <v>16</v>
      </c>
      <c r="D2831" s="5" t="s">
        <v>2773</v>
      </c>
      <c r="E2831" s="6" t="str">
        <f>HYPERLINK("https://twitter.com/petrogustavo/status/1234494807197831170","1234494807197831170")</f>
        <v>1234494807197831170</v>
      </c>
      <c r="F2831" s="7" t="s">
        <v>17</v>
      </c>
      <c r="G2831" s="7">
        <v>3653402</v>
      </c>
      <c r="H2831" s="7">
        <v>2354</v>
      </c>
      <c r="I2831" s="7">
        <v>594</v>
      </c>
      <c r="J2831" s="7">
        <v>0</v>
      </c>
      <c r="K2831" s="7" t="s">
        <v>18</v>
      </c>
      <c r="L2831" s="8">
        <v>39987.315405092595</v>
      </c>
      <c r="M2831" s="9" t="s">
        <v>19</v>
      </c>
      <c r="N2831" s="9" t="s">
        <v>20</v>
      </c>
      <c r="O2831" s="6" t="str">
        <f>HYPERLINK("https://pbs.twimg.com/profile_images/962471262747529216/Uo8lOkRJ_normal.jpg","View")</f>
        <v>View</v>
      </c>
      <c r="P2831" s="7"/>
    </row>
    <row r="2832" spans="1:16">
      <c r="A2832" s="3">
        <v>43892.858472222222</v>
      </c>
      <c r="B2832" s="4" t="str">
        <f>HYPERLINK("https://twitter.com/petrogustavo","@petrogustavo")</f>
        <v>@petrogustavo</v>
      </c>
      <c r="C2832" s="5" t="s">
        <v>16</v>
      </c>
      <c r="D2832" s="5" t="s">
        <v>2774</v>
      </c>
      <c r="E2832" s="6" t="str">
        <f>HYPERLINK("https://twitter.com/petrogustavo/status/1234495227416760320","1234495227416760320")</f>
        <v>1234495227416760320</v>
      </c>
      <c r="F2832" s="7" t="s">
        <v>17</v>
      </c>
      <c r="G2832" s="7">
        <v>3653402</v>
      </c>
      <c r="H2832" s="7">
        <v>2354</v>
      </c>
      <c r="I2832" s="7">
        <v>18</v>
      </c>
      <c r="J2832" s="7">
        <v>0</v>
      </c>
      <c r="K2832" s="7" t="s">
        <v>18</v>
      </c>
      <c r="L2832" s="8">
        <v>39987.315405092595</v>
      </c>
      <c r="M2832" s="9" t="s">
        <v>19</v>
      </c>
      <c r="N2832" s="9" t="s">
        <v>20</v>
      </c>
      <c r="O2832" s="6" t="str">
        <f>HYPERLINK("https://pbs.twimg.com/profile_images/962471262747529216/Uo8lOkRJ_normal.jpg","View")</f>
        <v>View</v>
      </c>
      <c r="P2832" s="7"/>
    </row>
    <row r="2833" spans="1:16">
      <c r="A2833" s="3">
        <v>43892.859583333338</v>
      </c>
      <c r="B2833" s="4" t="str">
        <f>HYPERLINK("https://twitter.com/petrogustavo","@petrogustavo")</f>
        <v>@petrogustavo</v>
      </c>
      <c r="C2833" s="5" t="s">
        <v>16</v>
      </c>
      <c r="D2833" s="5" t="s">
        <v>2775</v>
      </c>
      <c r="E2833" s="6" t="str">
        <f>HYPERLINK("https://twitter.com/petrogustavo/status/1234495627947597824","1234495627947597824")</f>
        <v>1234495627947597824</v>
      </c>
      <c r="F2833" s="7" t="s">
        <v>17</v>
      </c>
      <c r="G2833" s="7">
        <v>3653402</v>
      </c>
      <c r="H2833" s="7">
        <v>2354</v>
      </c>
      <c r="I2833" s="7">
        <v>18</v>
      </c>
      <c r="J2833" s="7">
        <v>45</v>
      </c>
      <c r="K2833" s="7" t="s">
        <v>18</v>
      </c>
      <c r="L2833" s="8">
        <v>39987.315405092595</v>
      </c>
      <c r="M2833" s="9" t="s">
        <v>19</v>
      </c>
      <c r="N2833" s="9" t="s">
        <v>20</v>
      </c>
      <c r="O2833" s="6" t="str">
        <f>HYPERLINK("https://pbs.twimg.com/profile_images/962471262747529216/Uo8lOkRJ_normal.jpg","View")</f>
        <v>View</v>
      </c>
      <c r="P2833" s="7"/>
    </row>
    <row r="2834" spans="1:16">
      <c r="A2834" s="3">
        <v>43892.862962962958</v>
      </c>
      <c r="B2834" s="4" t="str">
        <f>HYPERLINK("https://twitter.com/petrogustavo","@petrogustavo")</f>
        <v>@petrogustavo</v>
      </c>
      <c r="C2834" s="5" t="s">
        <v>16</v>
      </c>
      <c r="D2834" s="5" t="s">
        <v>2776</v>
      </c>
      <c r="E2834" s="6" t="str">
        <f>HYPERLINK("https://twitter.com/petrogustavo/status/1234496855289028608","1234496855289028608")</f>
        <v>1234496855289028608</v>
      </c>
      <c r="F2834" s="7" t="s">
        <v>17</v>
      </c>
      <c r="G2834" s="7">
        <v>3653402</v>
      </c>
      <c r="H2834" s="7">
        <v>2354</v>
      </c>
      <c r="I2834" s="7">
        <v>238</v>
      </c>
      <c r="J2834" s="7">
        <v>0</v>
      </c>
      <c r="K2834" s="7" t="s">
        <v>18</v>
      </c>
      <c r="L2834" s="8">
        <v>39987.315405092595</v>
      </c>
      <c r="M2834" s="9" t="s">
        <v>19</v>
      </c>
      <c r="N2834" s="9" t="s">
        <v>20</v>
      </c>
      <c r="O2834" s="6" t="str">
        <f>HYPERLINK("https://pbs.twimg.com/profile_images/962471262747529216/Uo8lOkRJ_normal.jpg","View")</f>
        <v>View</v>
      </c>
      <c r="P2834" s="7"/>
    </row>
    <row r="2835" spans="1:16">
      <c r="A2835" s="3">
        <v>43892.97929398148</v>
      </c>
      <c r="B2835" s="4" t="str">
        <f>HYPERLINK("https://twitter.com/petrogustavo","@petrogustavo")</f>
        <v>@petrogustavo</v>
      </c>
      <c r="C2835" s="5" t="s">
        <v>16</v>
      </c>
      <c r="D2835" s="5" t="s">
        <v>2777</v>
      </c>
      <c r="E2835" s="6" t="str">
        <f>HYPERLINK("https://twitter.com/petrogustavo/status/1234539011928137728","1234539011928137728")</f>
        <v>1234539011928137728</v>
      </c>
      <c r="F2835" s="7" t="s">
        <v>17</v>
      </c>
      <c r="G2835" s="7">
        <v>3653562</v>
      </c>
      <c r="H2835" s="7">
        <v>2354</v>
      </c>
      <c r="I2835" s="7">
        <v>33</v>
      </c>
      <c r="J2835" s="7">
        <v>0</v>
      </c>
      <c r="K2835" s="7" t="s">
        <v>18</v>
      </c>
      <c r="L2835" s="8">
        <v>39987.315405092595</v>
      </c>
      <c r="M2835" s="9" t="s">
        <v>19</v>
      </c>
      <c r="N2835" s="9" t="s">
        <v>20</v>
      </c>
      <c r="O2835" s="6" t="str">
        <f>HYPERLINK("https://pbs.twimg.com/profile_images/962471262747529216/Uo8lOkRJ_normal.jpg","View")</f>
        <v>View</v>
      </c>
      <c r="P2835" s="7"/>
    </row>
    <row r="2836" spans="1:16">
      <c r="A2836" s="3">
        <v>43892.979467592595</v>
      </c>
      <c r="B2836" s="4" t="str">
        <f>HYPERLINK("https://twitter.com/petrogustavo","@petrogustavo")</f>
        <v>@petrogustavo</v>
      </c>
      <c r="C2836" s="5" t="s">
        <v>16</v>
      </c>
      <c r="D2836" s="5" t="s">
        <v>2778</v>
      </c>
      <c r="E2836" s="6" t="str">
        <f>HYPERLINK("https://twitter.com/petrogustavo/status/1234539075497078784","1234539075497078784")</f>
        <v>1234539075497078784</v>
      </c>
      <c r="F2836" s="7" t="s">
        <v>17</v>
      </c>
      <c r="G2836" s="7">
        <v>3653562</v>
      </c>
      <c r="H2836" s="7">
        <v>2354</v>
      </c>
      <c r="I2836" s="7">
        <v>845</v>
      </c>
      <c r="J2836" s="7">
        <v>0</v>
      </c>
      <c r="K2836" s="7" t="s">
        <v>18</v>
      </c>
      <c r="L2836" s="8">
        <v>39987.315405092595</v>
      </c>
      <c r="M2836" s="9" t="s">
        <v>19</v>
      </c>
      <c r="N2836" s="9" t="s">
        <v>20</v>
      </c>
      <c r="O2836" s="6" t="str">
        <f>HYPERLINK("https://pbs.twimg.com/profile_images/962471262747529216/Uo8lOkRJ_normal.jpg","View")</f>
        <v>View</v>
      </c>
      <c r="P2836" s="7"/>
    </row>
    <row r="2837" spans="1:16">
      <c r="A2837" s="3">
        <v>43892.980763888889</v>
      </c>
      <c r="B2837" s="4" t="str">
        <f>HYPERLINK("https://twitter.com/petrogustavo","@petrogustavo")</f>
        <v>@petrogustavo</v>
      </c>
      <c r="C2837" s="5" t="s">
        <v>16</v>
      </c>
      <c r="D2837" s="5" t="s">
        <v>2779</v>
      </c>
      <c r="E2837" s="6" t="str">
        <f>HYPERLINK("https://twitter.com/petrogustavo/status/1234539544084701185","1234539544084701185")</f>
        <v>1234539544084701185</v>
      </c>
      <c r="F2837" s="7" t="s">
        <v>17</v>
      </c>
      <c r="G2837" s="7">
        <v>3653562</v>
      </c>
      <c r="H2837" s="7">
        <v>2354</v>
      </c>
      <c r="I2837" s="7">
        <v>44</v>
      </c>
      <c r="J2837" s="7">
        <v>0</v>
      </c>
      <c r="K2837" s="7" t="s">
        <v>18</v>
      </c>
      <c r="L2837" s="8">
        <v>39987.315405092595</v>
      </c>
      <c r="M2837" s="9" t="s">
        <v>19</v>
      </c>
      <c r="N2837" s="9" t="s">
        <v>20</v>
      </c>
      <c r="O2837" s="6" t="str">
        <f>HYPERLINK("https://pbs.twimg.com/profile_images/962471262747529216/Uo8lOkRJ_normal.jpg","View")</f>
        <v>View</v>
      </c>
      <c r="P2837" s="7"/>
    </row>
    <row r="2838" spans="1:16">
      <c r="A2838" s="3">
        <v>43892.980810185181</v>
      </c>
      <c r="B2838" s="4" t="str">
        <f>HYPERLINK("https://twitter.com/petrogustavo","@petrogustavo")</f>
        <v>@petrogustavo</v>
      </c>
      <c r="C2838" s="5" t="s">
        <v>16</v>
      </c>
      <c r="D2838" s="5" t="s">
        <v>2780</v>
      </c>
      <c r="E2838" s="6" t="str">
        <f>HYPERLINK("https://twitter.com/petrogustavo/status/1234539559960109064","1234539559960109064")</f>
        <v>1234539559960109064</v>
      </c>
      <c r="F2838" s="7" t="s">
        <v>17</v>
      </c>
      <c r="G2838" s="7">
        <v>3653562</v>
      </c>
      <c r="H2838" s="7">
        <v>2354</v>
      </c>
      <c r="I2838" s="7">
        <v>24</v>
      </c>
      <c r="J2838" s="7">
        <v>0</v>
      </c>
      <c r="K2838" s="7" t="s">
        <v>18</v>
      </c>
      <c r="L2838" s="8">
        <v>39987.315405092595</v>
      </c>
      <c r="M2838" s="9" t="s">
        <v>19</v>
      </c>
      <c r="N2838" s="9" t="s">
        <v>20</v>
      </c>
      <c r="O2838" s="6" t="str">
        <f>HYPERLINK("https://pbs.twimg.com/profile_images/962471262747529216/Uo8lOkRJ_normal.jpg","View")</f>
        <v>View</v>
      </c>
      <c r="P2838" s="7"/>
    </row>
    <row r="2839" spans="1:16">
      <c r="A2839" s="3">
        <v>43892.981423611112</v>
      </c>
      <c r="B2839" s="4" t="str">
        <f>HYPERLINK("https://twitter.com/petrogustavo","@petrogustavo")</f>
        <v>@petrogustavo</v>
      </c>
      <c r="C2839" s="5" t="s">
        <v>16</v>
      </c>
      <c r="D2839" s="5" t="s">
        <v>2781</v>
      </c>
      <c r="E2839" s="6" t="str">
        <f>HYPERLINK("https://twitter.com/petrogustavo/status/1234539784049172483","1234539784049172483")</f>
        <v>1234539784049172483</v>
      </c>
      <c r="F2839" s="7" t="s">
        <v>17</v>
      </c>
      <c r="G2839" s="7">
        <v>3653562</v>
      </c>
      <c r="H2839" s="7">
        <v>2354</v>
      </c>
      <c r="I2839" s="7">
        <v>8</v>
      </c>
      <c r="J2839" s="7">
        <v>0</v>
      </c>
      <c r="K2839" s="7" t="s">
        <v>18</v>
      </c>
      <c r="L2839" s="8">
        <v>39987.315405092595</v>
      </c>
      <c r="M2839" s="9" t="s">
        <v>19</v>
      </c>
      <c r="N2839" s="9" t="s">
        <v>20</v>
      </c>
      <c r="O2839" s="6" t="str">
        <f>HYPERLINK("https://pbs.twimg.com/profile_images/962471262747529216/Uo8lOkRJ_normal.jpg","View")</f>
        <v>View</v>
      </c>
      <c r="P2839" s="7"/>
    </row>
    <row r="2840" spans="1:16">
      <c r="A2840" s="3">
        <v>43892.982222222221</v>
      </c>
      <c r="B2840" s="4" t="str">
        <f>HYPERLINK("https://twitter.com/petrogustavo","@petrogustavo")</f>
        <v>@petrogustavo</v>
      </c>
      <c r="C2840" s="5" t="s">
        <v>16</v>
      </c>
      <c r="D2840" s="5" t="s">
        <v>2782</v>
      </c>
      <c r="E2840" s="6" t="str">
        <f>HYPERLINK("https://twitter.com/petrogustavo/status/1234540072319553536","1234540072319553536")</f>
        <v>1234540072319553536</v>
      </c>
      <c r="F2840" s="7" t="s">
        <v>17</v>
      </c>
      <c r="G2840" s="7">
        <v>3653562</v>
      </c>
      <c r="H2840" s="7">
        <v>2354</v>
      </c>
      <c r="I2840" s="7">
        <v>13</v>
      </c>
      <c r="J2840" s="7">
        <v>0</v>
      </c>
      <c r="K2840" s="7" t="s">
        <v>18</v>
      </c>
      <c r="L2840" s="8">
        <v>39987.315405092595</v>
      </c>
      <c r="M2840" s="9" t="s">
        <v>19</v>
      </c>
      <c r="N2840" s="9" t="s">
        <v>20</v>
      </c>
      <c r="O2840" s="6" t="str">
        <f>HYPERLINK("https://pbs.twimg.com/profile_images/962471262747529216/Uo8lOkRJ_normal.jpg","View")</f>
        <v>View</v>
      </c>
      <c r="P2840" s="7"/>
    </row>
    <row r="2841" spans="1:16">
      <c r="A2841" s="3">
        <v>43892.982418981483</v>
      </c>
      <c r="B2841" s="4" t="str">
        <f>HYPERLINK("https://twitter.com/petrogustavo","@petrogustavo")</f>
        <v>@petrogustavo</v>
      </c>
      <c r="C2841" s="5" t="s">
        <v>16</v>
      </c>
      <c r="D2841" s="5" t="s">
        <v>2783</v>
      </c>
      <c r="E2841" s="6" t="str">
        <f>HYPERLINK("https://twitter.com/petrogustavo/status/1234540141789810688","1234540141789810688")</f>
        <v>1234540141789810688</v>
      </c>
      <c r="F2841" s="7" t="s">
        <v>17</v>
      </c>
      <c r="G2841" s="7">
        <v>3653562</v>
      </c>
      <c r="H2841" s="7">
        <v>2354</v>
      </c>
      <c r="I2841" s="7">
        <v>87</v>
      </c>
      <c r="J2841" s="7">
        <v>0</v>
      </c>
      <c r="K2841" s="7" t="s">
        <v>18</v>
      </c>
      <c r="L2841" s="8">
        <v>39987.315405092595</v>
      </c>
      <c r="M2841" s="9" t="s">
        <v>19</v>
      </c>
      <c r="N2841" s="9" t="s">
        <v>20</v>
      </c>
      <c r="O2841" s="6" t="str">
        <f>HYPERLINK("https://pbs.twimg.com/profile_images/962471262747529216/Uo8lOkRJ_normal.jpg","View")</f>
        <v>View</v>
      </c>
      <c r="P2841" s="7"/>
    </row>
    <row r="2842" spans="1:16">
      <c r="A2842" s="3">
        <v>43892.984236111108</v>
      </c>
      <c r="B2842" s="4" t="str">
        <f>HYPERLINK("https://twitter.com/petrogustavo","@petrogustavo")</f>
        <v>@petrogustavo</v>
      </c>
      <c r="C2842" s="5" t="s">
        <v>16</v>
      </c>
      <c r="D2842" s="5" t="s">
        <v>2784</v>
      </c>
      <c r="E2842" s="6" t="str">
        <f>HYPERLINK("https://twitter.com/petrogustavo/status/1234540801872613384","1234540801872613384")</f>
        <v>1234540801872613384</v>
      </c>
      <c r="F2842" s="7" t="s">
        <v>17</v>
      </c>
      <c r="G2842" s="7">
        <v>3653562</v>
      </c>
      <c r="H2842" s="7">
        <v>2354</v>
      </c>
      <c r="I2842" s="7">
        <v>55</v>
      </c>
      <c r="J2842" s="7">
        <v>165</v>
      </c>
      <c r="K2842" s="7" t="s">
        <v>18</v>
      </c>
      <c r="L2842" s="8">
        <v>39987.315405092595</v>
      </c>
      <c r="M2842" s="9" t="s">
        <v>19</v>
      </c>
      <c r="N2842" s="9" t="s">
        <v>20</v>
      </c>
      <c r="O2842" s="6" t="str">
        <f>HYPERLINK("https://pbs.twimg.com/profile_images/962471262747529216/Uo8lOkRJ_normal.jpg","View")</f>
        <v>View</v>
      </c>
      <c r="P2842" s="7"/>
    </row>
    <row r="2843" spans="1:16">
      <c r="A2843" s="3">
        <v>43892.987326388888</v>
      </c>
      <c r="B2843" s="4" t="str">
        <f>HYPERLINK("https://twitter.com/petrogustavo","@petrogustavo")</f>
        <v>@petrogustavo</v>
      </c>
      <c r="C2843" s="5" t="s">
        <v>16</v>
      </c>
      <c r="D2843" s="5" t="s">
        <v>2785</v>
      </c>
      <c r="E2843" s="6" t="str">
        <f>HYPERLINK("https://twitter.com/petrogustavo/status/1234541921395187712","1234541921395187712")</f>
        <v>1234541921395187712</v>
      </c>
      <c r="F2843" s="7" t="s">
        <v>17</v>
      </c>
      <c r="G2843" s="7">
        <v>3653562</v>
      </c>
      <c r="H2843" s="7">
        <v>2354</v>
      </c>
      <c r="I2843" s="7">
        <v>37</v>
      </c>
      <c r="J2843" s="7">
        <v>44</v>
      </c>
      <c r="K2843" s="7" t="s">
        <v>18</v>
      </c>
      <c r="L2843" s="8">
        <v>39987.315405092595</v>
      </c>
      <c r="M2843" s="9" t="s">
        <v>19</v>
      </c>
      <c r="N2843" s="9" t="s">
        <v>20</v>
      </c>
      <c r="O2843" s="6" t="str">
        <f>HYPERLINK("https://pbs.twimg.com/profile_images/962471262747529216/Uo8lOkRJ_normal.jpg","View")</f>
        <v>View</v>
      </c>
      <c r="P2843" s="7"/>
    </row>
    <row r="2844" spans="1:16">
      <c r="A2844" s="3">
        <v>43892.990775462968</v>
      </c>
      <c r="B2844" s="4" t="str">
        <f>HYPERLINK("https://twitter.com/petrogustavo","@petrogustavo")</f>
        <v>@petrogustavo</v>
      </c>
      <c r="C2844" s="5" t="s">
        <v>16</v>
      </c>
      <c r="D2844" s="5" t="s">
        <v>2786</v>
      </c>
      <c r="E2844" s="6" t="str">
        <f>HYPERLINK("https://twitter.com/petrogustavo/status/1234543172136640512","1234543172136640512")</f>
        <v>1234543172136640512</v>
      </c>
      <c r="F2844" s="7" t="s">
        <v>17</v>
      </c>
      <c r="G2844" s="7">
        <v>3653562</v>
      </c>
      <c r="H2844" s="7">
        <v>2354</v>
      </c>
      <c r="I2844" s="7">
        <v>365</v>
      </c>
      <c r="J2844" s="7">
        <v>0</v>
      </c>
      <c r="K2844" s="7" t="s">
        <v>18</v>
      </c>
      <c r="L2844" s="8">
        <v>39987.315405092595</v>
      </c>
      <c r="M2844" s="9" t="s">
        <v>19</v>
      </c>
      <c r="N2844" s="9" t="s">
        <v>20</v>
      </c>
      <c r="O2844" s="6" t="str">
        <f>HYPERLINK("https://pbs.twimg.com/profile_images/962471262747529216/Uo8lOkRJ_normal.jpg","View")</f>
        <v>View</v>
      </c>
      <c r="P2844" s="7"/>
    </row>
    <row r="2845" spans="1:16">
      <c r="A2845" s="3">
        <v>43892.992974537032</v>
      </c>
      <c r="B2845" s="4" t="str">
        <f>HYPERLINK("https://twitter.com/petrogustavo","@petrogustavo")</f>
        <v>@petrogustavo</v>
      </c>
      <c r="C2845" s="5" t="s">
        <v>16</v>
      </c>
      <c r="D2845" s="5" t="s">
        <v>2787</v>
      </c>
      <c r="E2845" s="6" t="str">
        <f>HYPERLINK("https://twitter.com/petrogustavo/status/1234543969675153408","1234543969675153408")</f>
        <v>1234543969675153408</v>
      </c>
      <c r="F2845" s="7" t="s">
        <v>17</v>
      </c>
      <c r="G2845" s="7">
        <v>3653575</v>
      </c>
      <c r="H2845" s="7">
        <v>2354</v>
      </c>
      <c r="I2845" s="7">
        <v>6758</v>
      </c>
      <c r="J2845" s="7">
        <v>0</v>
      </c>
      <c r="K2845" s="7" t="s">
        <v>18</v>
      </c>
      <c r="L2845" s="8">
        <v>39987.315405092595</v>
      </c>
      <c r="M2845" s="9" t="s">
        <v>19</v>
      </c>
      <c r="N2845" s="9" t="s">
        <v>20</v>
      </c>
      <c r="O2845" s="6" t="str">
        <f>HYPERLINK("https://pbs.twimg.com/profile_images/962471262747529216/Uo8lOkRJ_normal.jpg","View")</f>
        <v>View</v>
      </c>
      <c r="P2845" s="7"/>
    </row>
    <row r="2846" spans="1:16">
      <c r="A2846" s="3">
        <v>43892.996215277773</v>
      </c>
      <c r="B2846" s="4" t="str">
        <f>HYPERLINK("https://twitter.com/petrogustavo","@petrogustavo")</f>
        <v>@petrogustavo</v>
      </c>
      <c r="C2846" s="5" t="s">
        <v>16</v>
      </c>
      <c r="D2846" s="5" t="s">
        <v>2788</v>
      </c>
      <c r="E2846" s="6" t="str">
        <f>HYPERLINK("https://twitter.com/petrogustavo/status/1234545144751411201","1234545144751411201")</f>
        <v>1234545144751411201</v>
      </c>
      <c r="F2846" s="7" t="s">
        <v>17</v>
      </c>
      <c r="G2846" s="7">
        <v>3653575</v>
      </c>
      <c r="H2846" s="7">
        <v>2354</v>
      </c>
      <c r="I2846" s="7">
        <v>22</v>
      </c>
      <c r="J2846" s="7">
        <v>91</v>
      </c>
      <c r="K2846" s="7" t="s">
        <v>18</v>
      </c>
      <c r="L2846" s="8">
        <v>39987.315405092595</v>
      </c>
      <c r="M2846" s="9" t="s">
        <v>19</v>
      </c>
      <c r="N2846" s="9" t="s">
        <v>20</v>
      </c>
      <c r="O2846" s="6" t="str">
        <f>HYPERLINK("https://pbs.twimg.com/profile_images/962471262747529216/Uo8lOkRJ_normal.jpg","View")</f>
        <v>View</v>
      </c>
      <c r="P2846" s="7"/>
    </row>
    <row r="2847" spans="1:16">
      <c r="A2847" s="3">
        <v>43893.000173611115</v>
      </c>
      <c r="B2847" s="4" t="str">
        <f>HYPERLINK("https://twitter.com/petrogustavo","@petrogustavo")</f>
        <v>@petrogustavo</v>
      </c>
      <c r="C2847" s="5" t="s">
        <v>16</v>
      </c>
      <c r="D2847" s="5" t="s">
        <v>2789</v>
      </c>
      <c r="E2847" s="6" t="str">
        <f>HYPERLINK("https://twitter.com/petrogustavo/status/1234546577685000192","1234546577685000192")</f>
        <v>1234546577685000192</v>
      </c>
      <c r="F2847" s="7" t="s">
        <v>17</v>
      </c>
      <c r="G2847" s="7">
        <v>3653575</v>
      </c>
      <c r="H2847" s="7">
        <v>2354</v>
      </c>
      <c r="I2847" s="7">
        <v>107</v>
      </c>
      <c r="J2847" s="7">
        <v>0</v>
      </c>
      <c r="K2847" s="7" t="s">
        <v>18</v>
      </c>
      <c r="L2847" s="8">
        <v>39987.315405092595</v>
      </c>
      <c r="M2847" s="9" t="s">
        <v>19</v>
      </c>
      <c r="N2847" s="9" t="s">
        <v>20</v>
      </c>
      <c r="O2847" s="6" t="str">
        <f>HYPERLINK("https://pbs.twimg.com/profile_images/962471262747529216/Uo8lOkRJ_normal.jpg","View")</f>
        <v>View</v>
      </c>
      <c r="P2847" s="7"/>
    </row>
    <row r="2848" spans="1:16">
      <c r="A2848" s="3">
        <v>43893.00199074074</v>
      </c>
      <c r="B2848" s="4" t="str">
        <f>HYPERLINK("https://twitter.com/petrogustavo","@petrogustavo")</f>
        <v>@petrogustavo</v>
      </c>
      <c r="C2848" s="5" t="s">
        <v>16</v>
      </c>
      <c r="D2848" s="5" t="s">
        <v>2790</v>
      </c>
      <c r="E2848" s="6" t="str">
        <f>HYPERLINK("https://twitter.com/petrogustavo/status/1234547236513701888","1234547236513701888")</f>
        <v>1234547236513701888</v>
      </c>
      <c r="F2848" s="7" t="s">
        <v>17</v>
      </c>
      <c r="G2848" s="7">
        <v>3653575</v>
      </c>
      <c r="H2848" s="7">
        <v>2354</v>
      </c>
      <c r="I2848" s="7">
        <v>154</v>
      </c>
      <c r="J2848" s="7">
        <v>0</v>
      </c>
      <c r="K2848" s="7" t="s">
        <v>18</v>
      </c>
      <c r="L2848" s="8">
        <v>39987.315405092595</v>
      </c>
      <c r="M2848" s="9" t="s">
        <v>19</v>
      </c>
      <c r="N2848" s="9" t="s">
        <v>20</v>
      </c>
      <c r="O2848" s="6" t="str">
        <f>HYPERLINK("https://pbs.twimg.com/profile_images/962471262747529216/Uo8lOkRJ_normal.jpg","View")</f>
        <v>View</v>
      </c>
      <c r="P2848" s="7"/>
    </row>
    <row r="2849" spans="1:16">
      <c r="A2849" s="3">
        <v>43893.039884259255</v>
      </c>
      <c r="B2849" s="4" t="str">
        <f>HYPERLINK("https://twitter.com/petrogustavo","@petrogustavo")</f>
        <v>@petrogustavo</v>
      </c>
      <c r="C2849" s="5" t="s">
        <v>16</v>
      </c>
      <c r="D2849" s="5" t="s">
        <v>2791</v>
      </c>
      <c r="E2849" s="6" t="str">
        <f>HYPERLINK("https://twitter.com/petrogustavo/status/1234560966790172673","1234560966790172673")</f>
        <v>1234560966790172673</v>
      </c>
      <c r="F2849" s="7" t="s">
        <v>17</v>
      </c>
      <c r="G2849" s="7">
        <v>3653651</v>
      </c>
      <c r="H2849" s="7">
        <v>2354</v>
      </c>
      <c r="I2849" s="7">
        <v>54</v>
      </c>
      <c r="J2849" s="7">
        <v>0</v>
      </c>
      <c r="K2849" s="7" t="s">
        <v>18</v>
      </c>
      <c r="L2849" s="8">
        <v>39987.315405092595</v>
      </c>
      <c r="M2849" s="9" t="s">
        <v>19</v>
      </c>
      <c r="N2849" s="9" t="s">
        <v>20</v>
      </c>
      <c r="O2849" s="6" t="str">
        <f>HYPERLINK("https://pbs.twimg.com/profile_images/962471262747529216/Uo8lOkRJ_normal.jpg","View")</f>
        <v>View</v>
      </c>
      <c r="P2849" s="7"/>
    </row>
    <row r="2850" spans="1:16">
      <c r="A2850" s="3">
        <v>43893.042847222227</v>
      </c>
      <c r="B2850" s="4" t="str">
        <f>HYPERLINK("https://twitter.com/petrogustavo","@petrogustavo")</f>
        <v>@petrogustavo</v>
      </c>
      <c r="C2850" s="5" t="s">
        <v>16</v>
      </c>
      <c r="D2850" s="5" t="s">
        <v>2792</v>
      </c>
      <c r="E2850" s="6" t="str">
        <f>HYPERLINK("https://twitter.com/petrogustavo/status/1234562040053846017","1234562040053846017")</f>
        <v>1234562040053846017</v>
      </c>
      <c r="F2850" s="7" t="s">
        <v>17</v>
      </c>
      <c r="G2850" s="7">
        <v>3653651</v>
      </c>
      <c r="H2850" s="7">
        <v>2354</v>
      </c>
      <c r="I2850" s="7">
        <v>161</v>
      </c>
      <c r="J2850" s="7">
        <v>484</v>
      </c>
      <c r="K2850" s="7" t="s">
        <v>18</v>
      </c>
      <c r="L2850" s="8">
        <v>39987.315405092595</v>
      </c>
      <c r="M2850" s="9" t="s">
        <v>19</v>
      </c>
      <c r="N2850" s="9" t="s">
        <v>20</v>
      </c>
      <c r="O2850" s="6" t="str">
        <f>HYPERLINK("https://pbs.twimg.com/profile_images/962471262747529216/Uo8lOkRJ_normal.jpg","View")</f>
        <v>View</v>
      </c>
      <c r="P2850" s="7"/>
    </row>
    <row r="2851" spans="1:16">
      <c r="A2851" s="3">
        <v>43893.328032407408</v>
      </c>
      <c r="B2851" s="4" t="str">
        <f>HYPERLINK("https://twitter.com/petrogustavo","@petrogustavo")</f>
        <v>@petrogustavo</v>
      </c>
      <c r="C2851" s="5" t="s">
        <v>16</v>
      </c>
      <c r="D2851" s="5" t="s">
        <v>2793</v>
      </c>
      <c r="E2851" s="6" t="str">
        <f>HYPERLINK("https://twitter.com/petrogustavo/status/1234665388199170054","1234665388199170054")</f>
        <v>1234665388199170054</v>
      </c>
      <c r="F2851" s="7" t="s">
        <v>17</v>
      </c>
      <c r="G2851" s="7">
        <v>3654101</v>
      </c>
      <c r="H2851" s="7">
        <v>2354</v>
      </c>
      <c r="I2851" s="7">
        <v>51</v>
      </c>
      <c r="J2851" s="7">
        <v>0</v>
      </c>
      <c r="K2851" s="7" t="s">
        <v>18</v>
      </c>
      <c r="L2851" s="8">
        <v>39987.315405092595</v>
      </c>
      <c r="M2851" s="9" t="s">
        <v>19</v>
      </c>
      <c r="N2851" s="9" t="s">
        <v>20</v>
      </c>
      <c r="O2851" s="6" t="str">
        <f>HYPERLINK("https://pbs.twimg.com/profile_images/962471262747529216/Uo8lOkRJ_normal.jpg","View")</f>
        <v>View</v>
      </c>
      <c r="P2851" s="7"/>
    </row>
    <row r="2852" spans="1:16">
      <c r="A2852" s="3">
        <v>43893.331296296295</v>
      </c>
      <c r="B2852" s="4" t="str">
        <f>HYPERLINK("https://twitter.com/petrogustavo","@petrogustavo")</f>
        <v>@petrogustavo</v>
      </c>
      <c r="C2852" s="5" t="s">
        <v>16</v>
      </c>
      <c r="D2852" s="5" t="s">
        <v>2794</v>
      </c>
      <c r="E2852" s="6" t="str">
        <f>HYPERLINK("https://twitter.com/petrogustavo/status/1234666573031297025","1234666573031297025")</f>
        <v>1234666573031297025</v>
      </c>
      <c r="F2852" s="7" t="s">
        <v>17</v>
      </c>
      <c r="G2852" s="7">
        <v>3654101</v>
      </c>
      <c r="H2852" s="7">
        <v>2354</v>
      </c>
      <c r="I2852" s="7">
        <v>279</v>
      </c>
      <c r="J2852" s="7">
        <v>0</v>
      </c>
      <c r="K2852" s="7" t="s">
        <v>18</v>
      </c>
      <c r="L2852" s="8">
        <v>39987.315405092595</v>
      </c>
      <c r="M2852" s="9" t="s">
        <v>19</v>
      </c>
      <c r="N2852" s="9" t="s">
        <v>20</v>
      </c>
      <c r="O2852" s="6" t="str">
        <f>HYPERLINK("https://pbs.twimg.com/profile_images/962471262747529216/Uo8lOkRJ_normal.jpg","View")</f>
        <v>View</v>
      </c>
      <c r="P2852" s="7"/>
    </row>
    <row r="2853" spans="1:16">
      <c r="A2853" s="3">
        <v>43893.733101851853</v>
      </c>
      <c r="B2853" s="4" t="str">
        <f>HYPERLINK("https://twitter.com/petrogustavo","@petrogustavo")</f>
        <v>@petrogustavo</v>
      </c>
      <c r="C2853" s="5" t="s">
        <v>16</v>
      </c>
      <c r="D2853" s="5" t="s">
        <v>2795</v>
      </c>
      <c r="E2853" s="6" t="str">
        <f>HYPERLINK("https://twitter.com/petrogustavo/status/1234812183151771648","1234812183151771648")</f>
        <v>1234812183151771648</v>
      </c>
      <c r="F2853" s="7" t="s">
        <v>17</v>
      </c>
      <c r="G2853" s="7">
        <v>3654271</v>
      </c>
      <c r="H2853" s="7">
        <v>2354</v>
      </c>
      <c r="I2853" s="7">
        <v>6</v>
      </c>
      <c r="J2853" s="7">
        <v>0</v>
      </c>
      <c r="K2853" s="7" t="s">
        <v>18</v>
      </c>
      <c r="L2853" s="8">
        <v>39987.315405092595</v>
      </c>
      <c r="M2853" s="9" t="s">
        <v>19</v>
      </c>
      <c r="N2853" s="9" t="s">
        <v>20</v>
      </c>
      <c r="O2853" s="6" t="str">
        <f>HYPERLINK("https://pbs.twimg.com/profile_images/962471262747529216/Uo8lOkRJ_normal.jpg","View")</f>
        <v>View</v>
      </c>
      <c r="P2853" s="7"/>
    </row>
    <row r="2854" spans="1:16">
      <c r="A2854" s="3">
        <v>43893.745682870373</v>
      </c>
      <c r="B2854" s="4" t="str">
        <f>HYPERLINK("https://twitter.com/petrogustavo","@petrogustavo")</f>
        <v>@petrogustavo</v>
      </c>
      <c r="C2854" s="5" t="s">
        <v>16</v>
      </c>
      <c r="D2854" s="5" t="s">
        <v>2796</v>
      </c>
      <c r="E2854" s="6" t="str">
        <f>HYPERLINK("https://twitter.com/petrogustavo/status/1234816742385475586","1234816742385475586")</f>
        <v>1234816742385475586</v>
      </c>
      <c r="F2854" s="7" t="s">
        <v>17</v>
      </c>
      <c r="G2854" s="7">
        <v>3654293</v>
      </c>
      <c r="H2854" s="7">
        <v>2354</v>
      </c>
      <c r="I2854" s="7">
        <v>229</v>
      </c>
      <c r="J2854" s="7">
        <v>476</v>
      </c>
      <c r="K2854" s="7" t="s">
        <v>18</v>
      </c>
      <c r="L2854" s="8">
        <v>39987.315405092595</v>
      </c>
      <c r="M2854" s="9" t="s">
        <v>19</v>
      </c>
      <c r="N2854" s="9" t="s">
        <v>20</v>
      </c>
      <c r="O2854" s="6" t="str">
        <f>HYPERLINK("https://pbs.twimg.com/profile_images/962471262747529216/Uo8lOkRJ_normal.jpg","View")</f>
        <v>View</v>
      </c>
      <c r="P2854" s="7"/>
    </row>
    <row r="2855" spans="1:16">
      <c r="A2855" s="3">
        <v>43893.765601851846</v>
      </c>
      <c r="B2855" s="4" t="str">
        <f>HYPERLINK("https://twitter.com/petrogustavo","@petrogustavo")</f>
        <v>@petrogustavo</v>
      </c>
      <c r="C2855" s="5" t="s">
        <v>16</v>
      </c>
      <c r="D2855" s="5" t="s">
        <v>2797</v>
      </c>
      <c r="E2855" s="6" t="str">
        <f>HYPERLINK("https://twitter.com/petrogustavo/status/1234823958777782273","1234823958777782273")</f>
        <v>1234823958777782273</v>
      </c>
      <c r="F2855" s="7" t="s">
        <v>17</v>
      </c>
      <c r="G2855" s="7">
        <v>3654316</v>
      </c>
      <c r="H2855" s="7">
        <v>2354</v>
      </c>
      <c r="I2855" s="7">
        <v>519</v>
      </c>
      <c r="J2855" s="7">
        <v>0</v>
      </c>
      <c r="K2855" s="7" t="s">
        <v>18</v>
      </c>
      <c r="L2855" s="8">
        <v>39987.315405092595</v>
      </c>
      <c r="M2855" s="9" t="s">
        <v>19</v>
      </c>
      <c r="N2855" s="9" t="s">
        <v>20</v>
      </c>
      <c r="O2855" s="6" t="str">
        <f>HYPERLINK("https://pbs.twimg.com/profile_images/962471262747529216/Uo8lOkRJ_normal.jpg","View")</f>
        <v>View</v>
      </c>
      <c r="P2855" s="7"/>
    </row>
    <row r="2856" spans="1:16">
      <c r="A2856" s="3">
        <v>43893.791168981479</v>
      </c>
      <c r="B2856" s="4" t="str">
        <f>HYPERLINK("https://twitter.com/petrogustavo","@petrogustavo")</f>
        <v>@petrogustavo</v>
      </c>
      <c r="C2856" s="5" t="s">
        <v>16</v>
      </c>
      <c r="D2856" s="5" t="s">
        <v>2798</v>
      </c>
      <c r="E2856" s="6" t="str">
        <f>HYPERLINK("https://twitter.com/petrogustavo/status/1234833224586670082","1234833224586670082")</f>
        <v>1234833224586670082</v>
      </c>
      <c r="F2856" s="7" t="s">
        <v>17</v>
      </c>
      <c r="G2856" s="7">
        <v>3654346</v>
      </c>
      <c r="H2856" s="7">
        <v>2353</v>
      </c>
      <c r="I2856" s="7">
        <v>110</v>
      </c>
      <c r="J2856" s="7">
        <v>356</v>
      </c>
      <c r="K2856" s="7" t="s">
        <v>18</v>
      </c>
      <c r="L2856" s="8">
        <v>39987.315405092595</v>
      </c>
      <c r="M2856" s="9" t="s">
        <v>19</v>
      </c>
      <c r="N2856" s="9" t="s">
        <v>20</v>
      </c>
      <c r="O2856" s="6" t="str">
        <f>HYPERLINK("https://pbs.twimg.com/profile_images/962471262747529216/Uo8lOkRJ_normal.jpg","View")</f>
        <v>View</v>
      </c>
      <c r="P2856" s="7"/>
    </row>
    <row r="2857" spans="1:16">
      <c r="A2857" s="3">
        <v>43893.791493055556</v>
      </c>
      <c r="B2857" s="4" t="str">
        <f>HYPERLINK("https://twitter.com/petrogustavo","@petrogustavo")</f>
        <v>@petrogustavo</v>
      </c>
      <c r="C2857" s="5" t="s">
        <v>16</v>
      </c>
      <c r="D2857" s="5" t="s">
        <v>2799</v>
      </c>
      <c r="E2857" s="6" t="str">
        <f>HYPERLINK("https://twitter.com/petrogustavo/status/1234833343608492033","1234833343608492033")</f>
        <v>1234833343608492033</v>
      </c>
      <c r="F2857" s="7" t="s">
        <v>17</v>
      </c>
      <c r="G2857" s="7">
        <v>3654346</v>
      </c>
      <c r="H2857" s="7">
        <v>2353</v>
      </c>
      <c r="I2857" s="7">
        <v>543</v>
      </c>
      <c r="J2857" s="7">
        <v>0</v>
      </c>
      <c r="K2857" s="7" t="s">
        <v>18</v>
      </c>
      <c r="L2857" s="8">
        <v>39987.315405092595</v>
      </c>
      <c r="M2857" s="9" t="s">
        <v>19</v>
      </c>
      <c r="N2857" s="9" t="s">
        <v>20</v>
      </c>
      <c r="O2857" s="6" t="str">
        <f>HYPERLINK("https://pbs.twimg.com/profile_images/962471262747529216/Uo8lOkRJ_normal.jpg","View")</f>
        <v>View</v>
      </c>
      <c r="P2857" s="7"/>
    </row>
    <row r="2858" spans="1:16">
      <c r="A2858" s="3">
        <v>43893.795798611114</v>
      </c>
      <c r="B2858" s="4" t="str">
        <f>HYPERLINK("https://twitter.com/petrogustavo","@petrogustavo")</f>
        <v>@petrogustavo</v>
      </c>
      <c r="C2858" s="5" t="s">
        <v>16</v>
      </c>
      <c r="D2858" s="5" t="s">
        <v>2800</v>
      </c>
      <c r="E2858" s="6" t="str">
        <f>HYPERLINK("https://twitter.com/petrogustavo/status/1234834900265598977","1234834900265598977")</f>
        <v>1234834900265598977</v>
      </c>
      <c r="F2858" s="7" t="s">
        <v>17</v>
      </c>
      <c r="G2858" s="7">
        <v>3654346</v>
      </c>
      <c r="H2858" s="7">
        <v>2353</v>
      </c>
      <c r="I2858" s="7">
        <v>53</v>
      </c>
      <c r="J2858" s="7">
        <v>108</v>
      </c>
      <c r="K2858" s="7" t="s">
        <v>18</v>
      </c>
      <c r="L2858" s="8">
        <v>39987.315405092595</v>
      </c>
      <c r="M2858" s="9" t="s">
        <v>19</v>
      </c>
      <c r="N2858" s="9" t="s">
        <v>20</v>
      </c>
      <c r="O2858" s="6" t="str">
        <f>HYPERLINK("https://pbs.twimg.com/profile_images/962471262747529216/Uo8lOkRJ_normal.jpg","View")</f>
        <v>View</v>
      </c>
      <c r="P2858" s="7"/>
    </row>
    <row r="2859" spans="1:16">
      <c r="A2859" s="3">
        <v>43893.795798611114</v>
      </c>
      <c r="B2859" s="4" t="str">
        <f>HYPERLINK("https://twitter.com/petrogustavo","@petrogustavo")</f>
        <v>@petrogustavo</v>
      </c>
      <c r="C2859" s="5" t="s">
        <v>16</v>
      </c>
      <c r="D2859" s="5" t="s">
        <v>2801</v>
      </c>
      <c r="E2859" s="6" t="str">
        <f>HYPERLINK("https://twitter.com/petrogustavo/status/1234834904212525056","1234834904212525056")</f>
        <v>1234834904212525056</v>
      </c>
      <c r="F2859" s="7" t="s">
        <v>17</v>
      </c>
      <c r="G2859" s="7">
        <v>3654346</v>
      </c>
      <c r="H2859" s="7">
        <v>2353</v>
      </c>
      <c r="I2859" s="7">
        <v>23</v>
      </c>
      <c r="J2859" s="7">
        <v>68</v>
      </c>
      <c r="K2859" s="7" t="s">
        <v>18</v>
      </c>
      <c r="L2859" s="8">
        <v>39987.315405092595</v>
      </c>
      <c r="M2859" s="9" t="s">
        <v>19</v>
      </c>
      <c r="N2859" s="9" t="s">
        <v>20</v>
      </c>
      <c r="O2859" s="6" t="str">
        <f>HYPERLINK("https://pbs.twimg.com/profile_images/962471262747529216/Uo8lOkRJ_normal.jpg","View")</f>
        <v>View</v>
      </c>
      <c r="P2859" s="7"/>
    </row>
    <row r="2860" spans="1:16">
      <c r="A2860" s="3">
        <v>43893.795810185184</v>
      </c>
      <c r="B2860" s="4" t="str">
        <f>HYPERLINK("https://twitter.com/petrogustavo","@petrogustavo")</f>
        <v>@petrogustavo</v>
      </c>
      <c r="C2860" s="5" t="s">
        <v>16</v>
      </c>
      <c r="D2860" s="5" t="s">
        <v>2802</v>
      </c>
      <c r="E2860" s="6" t="str">
        <f>HYPERLINK("https://twitter.com/petrogustavo/status/1234834907018539008","1234834907018539008")</f>
        <v>1234834907018539008</v>
      </c>
      <c r="F2860" s="7" t="s">
        <v>17</v>
      </c>
      <c r="G2860" s="7">
        <v>3654346</v>
      </c>
      <c r="H2860" s="7">
        <v>2353</v>
      </c>
      <c r="I2860" s="7">
        <v>21</v>
      </c>
      <c r="J2860" s="7">
        <v>58</v>
      </c>
      <c r="K2860" s="7" t="s">
        <v>18</v>
      </c>
      <c r="L2860" s="8">
        <v>39987.315405092595</v>
      </c>
      <c r="M2860" s="9" t="s">
        <v>19</v>
      </c>
      <c r="N2860" s="9" t="s">
        <v>20</v>
      </c>
      <c r="O2860" s="6" t="str">
        <f>HYPERLINK("https://pbs.twimg.com/profile_images/962471262747529216/Uo8lOkRJ_normal.jpg","View")</f>
        <v>View</v>
      </c>
      <c r="P2860" s="7"/>
    </row>
    <row r="2861" spans="1:16">
      <c r="A2861" s="3">
        <v>43893.812939814816</v>
      </c>
      <c r="B2861" s="4" t="str">
        <f>HYPERLINK("https://twitter.com/petrogustavo","@petrogustavo")</f>
        <v>@petrogustavo</v>
      </c>
      <c r="C2861" s="5" t="s">
        <v>16</v>
      </c>
      <c r="D2861" s="5" t="s">
        <v>2803</v>
      </c>
      <c r="E2861" s="6" t="str">
        <f>HYPERLINK("https://twitter.com/petrogustavo/status/1234841114194083841","1234841114194083841")</f>
        <v>1234841114194083841</v>
      </c>
      <c r="F2861" s="7" t="s">
        <v>17</v>
      </c>
      <c r="G2861" s="7">
        <v>3654370</v>
      </c>
      <c r="H2861" s="7">
        <v>2353</v>
      </c>
      <c r="I2861" s="7">
        <v>486</v>
      </c>
      <c r="J2861" s="7">
        <v>0</v>
      </c>
      <c r="K2861" s="7" t="s">
        <v>18</v>
      </c>
      <c r="L2861" s="8">
        <v>39987.315405092595</v>
      </c>
      <c r="M2861" s="9" t="s">
        <v>19</v>
      </c>
      <c r="N2861" s="9" t="s">
        <v>20</v>
      </c>
      <c r="O2861" s="6" t="str">
        <f>HYPERLINK("https://pbs.twimg.com/profile_images/962471262747529216/Uo8lOkRJ_normal.jpg","View")</f>
        <v>View</v>
      </c>
      <c r="P2861" s="7"/>
    </row>
    <row r="2862" spans="1:16">
      <c r="A2862" s="3">
        <v>43893.873900462961</v>
      </c>
      <c r="B2862" s="4" t="str">
        <f>HYPERLINK("https://twitter.com/petrogustavo","@petrogustavo")</f>
        <v>@petrogustavo</v>
      </c>
      <c r="C2862" s="5" t="s">
        <v>16</v>
      </c>
      <c r="D2862" s="5" t="s">
        <v>2804</v>
      </c>
      <c r="E2862" s="6" t="str">
        <f>HYPERLINK("https://twitter.com/petrogustavo/status/1234863204901294081","1234863204901294081")</f>
        <v>1234863204901294081</v>
      </c>
      <c r="F2862" s="7" t="s">
        <v>17</v>
      </c>
      <c r="G2862" s="7">
        <v>3654439</v>
      </c>
      <c r="H2862" s="7">
        <v>2353</v>
      </c>
      <c r="I2862" s="7">
        <v>82</v>
      </c>
      <c r="J2862" s="7">
        <v>179</v>
      </c>
      <c r="K2862" s="7" t="s">
        <v>18</v>
      </c>
      <c r="L2862" s="8">
        <v>39987.315405092595</v>
      </c>
      <c r="M2862" s="9" t="s">
        <v>19</v>
      </c>
      <c r="N2862" s="9" t="s">
        <v>20</v>
      </c>
      <c r="O2862" s="6" t="str">
        <f>HYPERLINK("https://pbs.twimg.com/profile_images/962471262747529216/Uo8lOkRJ_normal.jpg","View")</f>
        <v>View</v>
      </c>
      <c r="P2862" s="7"/>
    </row>
    <row r="2863" spans="1:16">
      <c r="A2863" s="3">
        <v>43893.885115740741</v>
      </c>
      <c r="B2863" s="4" t="str">
        <f>HYPERLINK("https://twitter.com/petrogustavo","@petrogustavo")</f>
        <v>@petrogustavo</v>
      </c>
      <c r="C2863" s="5" t="s">
        <v>16</v>
      </c>
      <c r="D2863" s="5" t="s">
        <v>2805</v>
      </c>
      <c r="E2863" s="6" t="str">
        <f>HYPERLINK("https://twitter.com/petrogustavo/status/1234867269030862848","1234867269030862848")</f>
        <v>1234867269030862848</v>
      </c>
      <c r="F2863" s="7" t="s">
        <v>17</v>
      </c>
      <c r="G2863" s="7">
        <v>3654439</v>
      </c>
      <c r="H2863" s="7">
        <v>2353</v>
      </c>
      <c r="I2863" s="7">
        <v>29</v>
      </c>
      <c r="J2863" s="7">
        <v>58</v>
      </c>
      <c r="K2863" s="7" t="s">
        <v>18</v>
      </c>
      <c r="L2863" s="8">
        <v>39987.315405092595</v>
      </c>
      <c r="M2863" s="9" t="s">
        <v>19</v>
      </c>
      <c r="N2863" s="9" t="s">
        <v>20</v>
      </c>
      <c r="O2863" s="6" t="str">
        <f>HYPERLINK("https://pbs.twimg.com/profile_images/962471262747529216/Uo8lOkRJ_normal.jpg","View")</f>
        <v>View</v>
      </c>
      <c r="P2863" s="7"/>
    </row>
    <row r="2864" spans="1:16">
      <c r="A2864" s="3">
        <v>43893.889953703707</v>
      </c>
      <c r="B2864" s="4" t="str">
        <f>HYPERLINK("https://twitter.com/petrogustavo","@petrogustavo")</f>
        <v>@petrogustavo</v>
      </c>
      <c r="C2864" s="5" t="s">
        <v>16</v>
      </c>
      <c r="D2864" s="5" t="s">
        <v>2806</v>
      </c>
      <c r="E2864" s="6" t="str">
        <f>HYPERLINK("https://twitter.com/petrogustavo/status/1234869021163565058","1234869021163565058")</f>
        <v>1234869021163565058</v>
      </c>
      <c r="F2864" s="7" t="s">
        <v>17</v>
      </c>
      <c r="G2864" s="7">
        <v>3654458</v>
      </c>
      <c r="H2864" s="7">
        <v>2353</v>
      </c>
      <c r="I2864" s="7">
        <v>115</v>
      </c>
      <c r="J2864" s="7">
        <v>330</v>
      </c>
      <c r="K2864" s="7" t="s">
        <v>18</v>
      </c>
      <c r="L2864" s="8">
        <v>39987.315405092595</v>
      </c>
      <c r="M2864" s="9" t="s">
        <v>19</v>
      </c>
      <c r="N2864" s="9" t="s">
        <v>20</v>
      </c>
      <c r="O2864" s="6" t="str">
        <f>HYPERLINK("https://pbs.twimg.com/profile_images/962471262747529216/Uo8lOkRJ_normal.jpg","View")</f>
        <v>View</v>
      </c>
      <c r="P2864" s="7"/>
    </row>
    <row r="2865" spans="1:16">
      <c r="A2865" s="3">
        <v>43893.894282407404</v>
      </c>
      <c r="B2865" s="4" t="str">
        <f>HYPERLINK("https://twitter.com/petrogustavo","@petrogustavo")</f>
        <v>@petrogustavo</v>
      </c>
      <c r="C2865" s="5" t="s">
        <v>16</v>
      </c>
      <c r="D2865" s="5" t="s">
        <v>2807</v>
      </c>
      <c r="E2865" s="6" t="str">
        <f>HYPERLINK("https://twitter.com/petrogustavo/status/1234870592119111680","1234870592119111680")</f>
        <v>1234870592119111680</v>
      </c>
      <c r="F2865" s="7" t="s">
        <v>17</v>
      </c>
      <c r="G2865" s="7">
        <v>3654458</v>
      </c>
      <c r="H2865" s="7">
        <v>2353</v>
      </c>
      <c r="I2865" s="7">
        <v>41</v>
      </c>
      <c r="J2865" s="7">
        <v>0</v>
      </c>
      <c r="K2865" s="7" t="s">
        <v>18</v>
      </c>
      <c r="L2865" s="8">
        <v>39987.315405092595</v>
      </c>
      <c r="M2865" s="9" t="s">
        <v>19</v>
      </c>
      <c r="N2865" s="9" t="s">
        <v>20</v>
      </c>
      <c r="O2865" s="6" t="str">
        <f>HYPERLINK("https://pbs.twimg.com/profile_images/962471262747529216/Uo8lOkRJ_normal.jpg","View")</f>
        <v>View</v>
      </c>
      <c r="P2865" s="7"/>
    </row>
    <row r="2866" spans="1:16">
      <c r="A2866" s="3">
        <v>43893.897719907407</v>
      </c>
      <c r="B2866" s="4" t="str">
        <f>HYPERLINK("https://twitter.com/petrogustavo","@petrogustavo")</f>
        <v>@petrogustavo</v>
      </c>
      <c r="C2866" s="5" t="s">
        <v>16</v>
      </c>
      <c r="D2866" s="5" t="s">
        <v>2808</v>
      </c>
      <c r="E2866" s="6" t="str">
        <f>HYPERLINK("https://twitter.com/petrogustavo/status/1234871837806538758","1234871837806538758")</f>
        <v>1234871837806538758</v>
      </c>
      <c r="F2866" s="7" t="s">
        <v>17</v>
      </c>
      <c r="G2866" s="7">
        <v>3654458</v>
      </c>
      <c r="H2866" s="7">
        <v>2353</v>
      </c>
      <c r="I2866" s="7">
        <v>74</v>
      </c>
      <c r="J2866" s="7">
        <v>0</v>
      </c>
      <c r="K2866" s="7" t="s">
        <v>18</v>
      </c>
      <c r="L2866" s="8">
        <v>39987.315405092595</v>
      </c>
      <c r="M2866" s="9" t="s">
        <v>19</v>
      </c>
      <c r="N2866" s="9" t="s">
        <v>20</v>
      </c>
      <c r="O2866" s="6" t="str">
        <f>HYPERLINK("https://pbs.twimg.com/profile_images/962471262747529216/Uo8lOkRJ_normal.jpg","View")</f>
        <v>View</v>
      </c>
      <c r="P2866" s="7"/>
    </row>
    <row r="2867" spans="1:16">
      <c r="A2867" s="3">
        <v>43893.898726851854</v>
      </c>
      <c r="B2867" s="4" t="str">
        <f>HYPERLINK("https://twitter.com/petrogustavo","@petrogustavo")</f>
        <v>@petrogustavo</v>
      </c>
      <c r="C2867" s="5" t="s">
        <v>16</v>
      </c>
      <c r="D2867" s="5" t="s">
        <v>2809</v>
      </c>
      <c r="E2867" s="6" t="str">
        <f>HYPERLINK("https://twitter.com/petrogustavo/status/1234872201628848130","1234872201628848130")</f>
        <v>1234872201628848130</v>
      </c>
      <c r="F2867" s="7" t="s">
        <v>17</v>
      </c>
      <c r="G2867" s="7">
        <v>3654458</v>
      </c>
      <c r="H2867" s="7">
        <v>2353</v>
      </c>
      <c r="I2867" s="7">
        <v>55</v>
      </c>
      <c r="J2867" s="7">
        <v>0</v>
      </c>
      <c r="K2867" s="7" t="s">
        <v>18</v>
      </c>
      <c r="L2867" s="8">
        <v>39987.315405092595</v>
      </c>
      <c r="M2867" s="9" t="s">
        <v>19</v>
      </c>
      <c r="N2867" s="9" t="s">
        <v>20</v>
      </c>
      <c r="O2867" s="6" t="str">
        <f>HYPERLINK("https://pbs.twimg.com/profile_images/962471262747529216/Uo8lOkRJ_normal.jpg","View")</f>
        <v>View</v>
      </c>
      <c r="P2867" s="7"/>
    </row>
    <row r="2868" spans="1:16">
      <c r="A2868" s="3">
        <v>43893.899259259255</v>
      </c>
      <c r="B2868" s="4" t="str">
        <f>HYPERLINK("https://twitter.com/petrogustavo","@petrogustavo")</f>
        <v>@petrogustavo</v>
      </c>
      <c r="C2868" s="5" t="s">
        <v>16</v>
      </c>
      <c r="D2868" s="5" t="s">
        <v>2810</v>
      </c>
      <c r="E2868" s="6" t="str">
        <f>HYPERLINK("https://twitter.com/petrogustavo/status/1234872397095981057","1234872397095981057")</f>
        <v>1234872397095981057</v>
      </c>
      <c r="F2868" s="7" t="s">
        <v>17</v>
      </c>
      <c r="G2868" s="7">
        <v>3654458</v>
      </c>
      <c r="H2868" s="7">
        <v>2353</v>
      </c>
      <c r="I2868" s="7">
        <v>44</v>
      </c>
      <c r="J2868" s="7">
        <v>0</v>
      </c>
      <c r="K2868" s="7" t="s">
        <v>18</v>
      </c>
      <c r="L2868" s="8">
        <v>39987.315405092595</v>
      </c>
      <c r="M2868" s="9" t="s">
        <v>19</v>
      </c>
      <c r="N2868" s="9" t="s">
        <v>20</v>
      </c>
      <c r="O2868" s="6" t="str">
        <f>HYPERLINK("https://pbs.twimg.com/profile_images/962471262747529216/Uo8lOkRJ_normal.jpg","View")</f>
        <v>View</v>
      </c>
      <c r="P2868" s="7"/>
    </row>
    <row r="2869" spans="1:16">
      <c r="A2869" s="3">
        <v>43893.903483796297</v>
      </c>
      <c r="B2869" s="4" t="str">
        <f>HYPERLINK("https://twitter.com/petrogustavo","@petrogustavo")</f>
        <v>@petrogustavo</v>
      </c>
      <c r="C2869" s="5" t="s">
        <v>16</v>
      </c>
      <c r="D2869" s="5" t="s">
        <v>2811</v>
      </c>
      <c r="E2869" s="6" t="str">
        <f>HYPERLINK("https://twitter.com/petrogustavo/status/1234873925592592384","1234873925592592384")</f>
        <v>1234873925592592384</v>
      </c>
      <c r="F2869" s="7" t="s">
        <v>17</v>
      </c>
      <c r="G2869" s="7">
        <v>3654458</v>
      </c>
      <c r="H2869" s="7">
        <v>2353</v>
      </c>
      <c r="I2869" s="7">
        <v>48</v>
      </c>
      <c r="J2869" s="7">
        <v>93</v>
      </c>
      <c r="K2869" s="7" t="s">
        <v>18</v>
      </c>
      <c r="L2869" s="8">
        <v>39987.315405092595</v>
      </c>
      <c r="M2869" s="9" t="s">
        <v>19</v>
      </c>
      <c r="N2869" s="9" t="s">
        <v>20</v>
      </c>
      <c r="O2869" s="6" t="str">
        <f>HYPERLINK("https://pbs.twimg.com/profile_images/962471262747529216/Uo8lOkRJ_normal.jpg","View")</f>
        <v>View</v>
      </c>
      <c r="P2869" s="7"/>
    </row>
    <row r="2870" spans="1:16">
      <c r="A2870" s="3">
        <v>43894.034907407404</v>
      </c>
      <c r="B2870" s="4" t="str">
        <f>HYPERLINK("https://twitter.com/petrogustavo","@petrogustavo")</f>
        <v>@petrogustavo</v>
      </c>
      <c r="C2870" s="5" t="s">
        <v>16</v>
      </c>
      <c r="D2870" s="5" t="s">
        <v>2812</v>
      </c>
      <c r="E2870" s="6" t="str">
        <f>HYPERLINK("https://twitter.com/petrogustavo/status/1234921550857539584","1234921550857539584")</f>
        <v>1234921550857539584</v>
      </c>
      <c r="F2870" s="7" t="s">
        <v>17</v>
      </c>
      <c r="G2870" s="7">
        <v>3654578</v>
      </c>
      <c r="H2870" s="7">
        <v>2353</v>
      </c>
      <c r="I2870" s="7">
        <v>239</v>
      </c>
      <c r="J2870" s="7">
        <v>751</v>
      </c>
      <c r="K2870" s="7" t="s">
        <v>18</v>
      </c>
      <c r="L2870" s="8">
        <v>39987.315405092595</v>
      </c>
      <c r="M2870" s="9" t="s">
        <v>19</v>
      </c>
      <c r="N2870" s="9" t="s">
        <v>20</v>
      </c>
      <c r="O2870" s="6" t="str">
        <f>HYPERLINK("https://pbs.twimg.com/profile_images/962471262747529216/Uo8lOkRJ_normal.jpg","View")</f>
        <v>View</v>
      </c>
      <c r="P2870" s="7"/>
    </row>
    <row r="2871" spans="1:16">
      <c r="A2871" s="3">
        <v>43894.036574074074</v>
      </c>
      <c r="B2871" s="4" t="str">
        <f>HYPERLINK("https://twitter.com/petrogustavo","@petrogustavo")</f>
        <v>@petrogustavo</v>
      </c>
      <c r="C2871" s="5" t="s">
        <v>16</v>
      </c>
      <c r="D2871" s="5" t="s">
        <v>2813</v>
      </c>
      <c r="E2871" s="6" t="str">
        <f>HYPERLINK("https://twitter.com/petrogustavo/status/1234922155965636610","1234922155965636610")</f>
        <v>1234922155965636610</v>
      </c>
      <c r="F2871" s="7" t="s">
        <v>17</v>
      </c>
      <c r="G2871" s="7">
        <v>3654578</v>
      </c>
      <c r="H2871" s="7">
        <v>2353</v>
      </c>
      <c r="I2871" s="7">
        <v>1502</v>
      </c>
      <c r="J2871" s="7">
        <v>0</v>
      </c>
      <c r="K2871" s="7" t="s">
        <v>18</v>
      </c>
      <c r="L2871" s="8">
        <v>39987.315405092595</v>
      </c>
      <c r="M2871" s="9" t="s">
        <v>19</v>
      </c>
      <c r="N2871" s="9" t="s">
        <v>20</v>
      </c>
      <c r="O2871" s="6" t="str">
        <f>HYPERLINK("https://pbs.twimg.com/profile_images/962471262747529216/Uo8lOkRJ_normal.jpg","View")</f>
        <v>View</v>
      </c>
      <c r="P2871" s="7"/>
    </row>
    <row r="2872" spans="1:16">
      <c r="A2872" s="3">
        <v>43894.040717592594</v>
      </c>
      <c r="B2872" s="4" t="str">
        <f>HYPERLINK("https://twitter.com/petrogustavo","@petrogustavo")</f>
        <v>@petrogustavo</v>
      </c>
      <c r="C2872" s="5" t="s">
        <v>16</v>
      </c>
      <c r="D2872" s="5" t="s">
        <v>2814</v>
      </c>
      <c r="E2872" s="6" t="str">
        <f>HYPERLINK("https://twitter.com/petrogustavo/status/1234923658692485120","1234923658692485120")</f>
        <v>1234923658692485120</v>
      </c>
      <c r="F2872" s="7" t="s">
        <v>17</v>
      </c>
      <c r="G2872" s="7">
        <v>3654578</v>
      </c>
      <c r="H2872" s="7">
        <v>2353</v>
      </c>
      <c r="I2872" s="7">
        <v>77</v>
      </c>
      <c r="J2872" s="7">
        <v>0</v>
      </c>
      <c r="K2872" s="7" t="s">
        <v>18</v>
      </c>
      <c r="L2872" s="8">
        <v>39987.315405092595</v>
      </c>
      <c r="M2872" s="9" t="s">
        <v>19</v>
      </c>
      <c r="N2872" s="9" t="s">
        <v>20</v>
      </c>
      <c r="O2872" s="6" t="str">
        <f>HYPERLINK("https://pbs.twimg.com/profile_images/962471262747529216/Uo8lOkRJ_normal.jpg","View")</f>
        <v>View</v>
      </c>
      <c r="P2872" s="7"/>
    </row>
    <row r="2873" spans="1:16">
      <c r="A2873" s="3">
        <v>43894.043217592596</v>
      </c>
      <c r="B2873" s="4" t="str">
        <f>HYPERLINK("https://twitter.com/petrogustavo","@petrogustavo")</f>
        <v>@petrogustavo</v>
      </c>
      <c r="C2873" s="5" t="s">
        <v>16</v>
      </c>
      <c r="D2873" s="5" t="s">
        <v>2815</v>
      </c>
      <c r="E2873" s="6" t="str">
        <f>HYPERLINK("https://twitter.com/petrogustavo/status/1234924562871128064","1234924562871128064")</f>
        <v>1234924562871128064</v>
      </c>
      <c r="F2873" s="7" t="s">
        <v>17</v>
      </c>
      <c r="G2873" s="7">
        <v>3654578</v>
      </c>
      <c r="H2873" s="7">
        <v>2353</v>
      </c>
      <c r="I2873" s="7">
        <v>232</v>
      </c>
      <c r="J2873" s="7">
        <v>447</v>
      </c>
      <c r="K2873" s="7" t="s">
        <v>18</v>
      </c>
      <c r="L2873" s="8">
        <v>39987.315405092595</v>
      </c>
      <c r="M2873" s="9" t="s">
        <v>19</v>
      </c>
      <c r="N2873" s="9" t="s">
        <v>20</v>
      </c>
      <c r="O2873" s="6" t="str">
        <f>HYPERLINK("https://pbs.twimg.com/profile_images/962471262747529216/Uo8lOkRJ_normal.jpg","View")</f>
        <v>View</v>
      </c>
      <c r="P2873" s="7"/>
    </row>
    <row r="2874" spans="1:16">
      <c r="A2874" s="3">
        <v>43894.260694444441</v>
      </c>
      <c r="B2874" s="4" t="str">
        <f>HYPERLINK("https://twitter.com/petrogustavo","@petrogustavo")</f>
        <v>@petrogustavo</v>
      </c>
      <c r="C2874" s="5" t="s">
        <v>16</v>
      </c>
      <c r="D2874" s="5" t="s">
        <v>2816</v>
      </c>
      <c r="E2874" s="6" t="str">
        <f>HYPERLINK("https://twitter.com/petrogustavo/status/1235003376104067074","1235003376104067074")</f>
        <v>1235003376104067074</v>
      </c>
      <c r="F2874" s="7" t="s">
        <v>32</v>
      </c>
      <c r="G2874" s="7">
        <v>3654761</v>
      </c>
      <c r="H2874" s="7">
        <v>2353</v>
      </c>
      <c r="I2874" s="7">
        <v>17</v>
      </c>
      <c r="J2874" s="7">
        <v>0</v>
      </c>
      <c r="K2874" s="7" t="s">
        <v>18</v>
      </c>
      <c r="L2874" s="8">
        <v>39987.315405092595</v>
      </c>
      <c r="M2874" s="9" t="s">
        <v>19</v>
      </c>
      <c r="N2874" s="9" t="s">
        <v>20</v>
      </c>
      <c r="O2874" s="6" t="str">
        <f>HYPERLINK("https://pbs.twimg.com/profile_images/962471262747529216/Uo8lOkRJ_normal.jpg","View")</f>
        <v>View</v>
      </c>
      <c r="P2874" s="7"/>
    </row>
    <row r="2875" spans="1:16">
      <c r="A2875" s="3">
        <v>43894.260891203703</v>
      </c>
      <c r="B2875" s="4" t="str">
        <f>HYPERLINK("https://twitter.com/petrogustavo","@petrogustavo")</f>
        <v>@petrogustavo</v>
      </c>
      <c r="C2875" s="5" t="s">
        <v>16</v>
      </c>
      <c r="D2875" s="5" t="s">
        <v>2817</v>
      </c>
      <c r="E2875" s="6" t="str">
        <f>HYPERLINK("https://twitter.com/petrogustavo/status/1235003445939232768","1235003445939232768")</f>
        <v>1235003445939232768</v>
      </c>
      <c r="F2875" s="7" t="s">
        <v>32</v>
      </c>
      <c r="G2875" s="7">
        <v>3654761</v>
      </c>
      <c r="H2875" s="7">
        <v>2353</v>
      </c>
      <c r="I2875" s="7">
        <v>30</v>
      </c>
      <c r="J2875" s="7">
        <v>0</v>
      </c>
      <c r="K2875" s="7" t="s">
        <v>18</v>
      </c>
      <c r="L2875" s="8">
        <v>39987.315405092595</v>
      </c>
      <c r="M2875" s="9" t="s">
        <v>19</v>
      </c>
      <c r="N2875" s="9" t="s">
        <v>20</v>
      </c>
      <c r="O2875" s="6" t="str">
        <f>HYPERLINK("https://pbs.twimg.com/profile_images/962471262747529216/Uo8lOkRJ_normal.jpg","View")</f>
        <v>View</v>
      </c>
      <c r="P2875" s="7"/>
    </row>
    <row r="2876" spans="1:16">
      <c r="A2876" s="3">
        <v>43894.261087962965</v>
      </c>
      <c r="B2876" s="4" t="str">
        <f>HYPERLINK("https://twitter.com/petrogustavo","@petrogustavo")</f>
        <v>@petrogustavo</v>
      </c>
      <c r="C2876" s="5" t="s">
        <v>16</v>
      </c>
      <c r="D2876" s="5" t="s">
        <v>2818</v>
      </c>
      <c r="E2876" s="6" t="str">
        <f>HYPERLINK("https://twitter.com/petrogustavo/status/1235003518077087744","1235003518077087744")</f>
        <v>1235003518077087744</v>
      </c>
      <c r="F2876" s="7" t="s">
        <v>32</v>
      </c>
      <c r="G2876" s="7">
        <v>3654761</v>
      </c>
      <c r="H2876" s="7">
        <v>2353</v>
      </c>
      <c r="I2876" s="7">
        <v>29</v>
      </c>
      <c r="J2876" s="7">
        <v>0</v>
      </c>
      <c r="K2876" s="7" t="s">
        <v>18</v>
      </c>
      <c r="L2876" s="8">
        <v>39987.315405092595</v>
      </c>
      <c r="M2876" s="9" t="s">
        <v>19</v>
      </c>
      <c r="N2876" s="9" t="s">
        <v>20</v>
      </c>
      <c r="O2876" s="6" t="str">
        <f>HYPERLINK("https://pbs.twimg.com/profile_images/962471262747529216/Uo8lOkRJ_normal.jpg","View")</f>
        <v>View</v>
      </c>
      <c r="P2876" s="7"/>
    </row>
    <row r="2877" spans="1:16">
      <c r="A2877" s="3">
        <v>43894.27988425926</v>
      </c>
      <c r="B2877" s="4" t="str">
        <f>HYPERLINK("https://twitter.com/petrogustavo","@petrogustavo")</f>
        <v>@petrogustavo</v>
      </c>
      <c r="C2877" s="5" t="s">
        <v>16</v>
      </c>
      <c r="D2877" s="5" t="s">
        <v>2819</v>
      </c>
      <c r="E2877" s="6" t="str">
        <f>HYPERLINK("https://twitter.com/petrogustavo/status/1235010331161882625","1235010331161882625")</f>
        <v>1235010331161882625</v>
      </c>
      <c r="F2877" s="7" t="s">
        <v>17</v>
      </c>
      <c r="G2877" s="7">
        <v>3654799</v>
      </c>
      <c r="H2877" s="7">
        <v>2353</v>
      </c>
      <c r="I2877" s="7">
        <v>1824</v>
      </c>
      <c r="J2877" s="7">
        <v>0</v>
      </c>
      <c r="K2877" s="7" t="s">
        <v>18</v>
      </c>
      <c r="L2877" s="8">
        <v>39987.315405092595</v>
      </c>
      <c r="M2877" s="9" t="s">
        <v>19</v>
      </c>
      <c r="N2877" s="9" t="s">
        <v>20</v>
      </c>
      <c r="O2877" s="6" t="str">
        <f>HYPERLINK("https://pbs.twimg.com/profile_images/962471262747529216/Uo8lOkRJ_normal.jpg","View")</f>
        <v>View</v>
      </c>
      <c r="P2877" s="7"/>
    </row>
    <row r="2878" spans="1:16">
      <c r="A2878" s="3">
        <v>43894.714953703704</v>
      </c>
      <c r="B2878" s="4" t="str">
        <f>HYPERLINK("https://twitter.com/petrogustavo","@petrogustavo")</f>
        <v>@petrogustavo</v>
      </c>
      <c r="C2878" s="5" t="s">
        <v>16</v>
      </c>
      <c r="D2878" s="5" t="s">
        <v>2820</v>
      </c>
      <c r="E2878" s="6" t="str">
        <f>HYPERLINK("https://twitter.com/petrogustavo/status/1235167995086999553","1235167995086999553")</f>
        <v>1235167995086999553</v>
      </c>
      <c r="F2878" s="7" t="s">
        <v>17</v>
      </c>
      <c r="G2878" s="7">
        <v>3655020</v>
      </c>
      <c r="H2878" s="7">
        <v>2354</v>
      </c>
      <c r="I2878" s="7">
        <v>399</v>
      </c>
      <c r="J2878" s="7">
        <v>0</v>
      </c>
      <c r="K2878" s="7" t="s">
        <v>18</v>
      </c>
      <c r="L2878" s="8">
        <v>39987.315405092595</v>
      </c>
      <c r="M2878" s="9" t="s">
        <v>19</v>
      </c>
      <c r="N2878" s="9" t="s">
        <v>20</v>
      </c>
      <c r="O2878" s="6" t="str">
        <f>HYPERLINK("https://pbs.twimg.com/profile_images/962471262747529216/Uo8lOkRJ_normal.jpg","View")</f>
        <v>View</v>
      </c>
      <c r="P2878" s="7"/>
    </row>
    <row r="2879" spans="1:16">
      <c r="A2879" s="3">
        <v>43894.718634259261</v>
      </c>
      <c r="B2879" s="4" t="str">
        <f>HYPERLINK("https://twitter.com/petrogustavo","@petrogustavo")</f>
        <v>@petrogustavo</v>
      </c>
      <c r="C2879" s="5" t="s">
        <v>16</v>
      </c>
      <c r="D2879" s="5" t="s">
        <v>2821</v>
      </c>
      <c r="E2879" s="6" t="str">
        <f>HYPERLINK("https://twitter.com/petrogustavo/status/1235169326937837568","1235169326937837568")</f>
        <v>1235169326937837568</v>
      </c>
      <c r="F2879" s="7" t="s">
        <v>17</v>
      </c>
      <c r="G2879" s="7">
        <v>3655020</v>
      </c>
      <c r="H2879" s="7">
        <v>2354</v>
      </c>
      <c r="I2879" s="7">
        <v>21</v>
      </c>
      <c r="J2879" s="7">
        <v>63</v>
      </c>
      <c r="K2879" s="7" t="s">
        <v>18</v>
      </c>
      <c r="L2879" s="8">
        <v>39987.315405092595</v>
      </c>
      <c r="M2879" s="9" t="s">
        <v>19</v>
      </c>
      <c r="N2879" s="9" t="s">
        <v>20</v>
      </c>
      <c r="O2879" s="6" t="str">
        <f>HYPERLINK("https://pbs.twimg.com/profile_images/962471262747529216/Uo8lOkRJ_normal.jpg","View")</f>
        <v>View</v>
      </c>
      <c r="P2879" s="7"/>
    </row>
    <row r="2880" spans="1:16">
      <c r="A2880" s="3">
        <v>43894.718634259261</v>
      </c>
      <c r="B2880" s="4" t="str">
        <f>HYPERLINK("https://twitter.com/petrogustavo","@petrogustavo")</f>
        <v>@petrogustavo</v>
      </c>
      <c r="C2880" s="5" t="s">
        <v>16</v>
      </c>
      <c r="D2880" s="5" t="s">
        <v>2822</v>
      </c>
      <c r="E2880" s="6" t="str">
        <f>HYPERLINK("https://twitter.com/petrogustavo/status/1235169328078770176","1235169328078770176")</f>
        <v>1235169328078770176</v>
      </c>
      <c r="F2880" s="7" t="s">
        <v>17</v>
      </c>
      <c r="G2880" s="7">
        <v>3655020</v>
      </c>
      <c r="H2880" s="7">
        <v>2354</v>
      </c>
      <c r="I2880" s="7">
        <v>15</v>
      </c>
      <c r="J2880" s="7">
        <v>39</v>
      </c>
      <c r="K2880" s="7" t="s">
        <v>18</v>
      </c>
      <c r="L2880" s="8">
        <v>39987.315405092595</v>
      </c>
      <c r="M2880" s="9" t="s">
        <v>19</v>
      </c>
      <c r="N2880" s="9" t="s">
        <v>20</v>
      </c>
      <c r="O2880" s="6" t="str">
        <f>HYPERLINK("https://pbs.twimg.com/profile_images/962471262747529216/Uo8lOkRJ_normal.jpg","View")</f>
        <v>View</v>
      </c>
      <c r="P2880" s="7"/>
    </row>
    <row r="2881" spans="1:16">
      <c r="A2881" s="3">
        <v>43894.809027777781</v>
      </c>
      <c r="B2881" s="4" t="str">
        <f>HYPERLINK("https://twitter.com/petrogustavo","@petrogustavo")</f>
        <v>@petrogustavo</v>
      </c>
      <c r="C2881" s="5" t="s">
        <v>16</v>
      </c>
      <c r="D2881" s="5" t="s">
        <v>2823</v>
      </c>
      <c r="E2881" s="6" t="str">
        <f>HYPERLINK("https://twitter.com/petrogustavo/status/1235202085366398976","1235202085366398976")</f>
        <v>1235202085366398976</v>
      </c>
      <c r="F2881" s="7" t="s">
        <v>17</v>
      </c>
      <c r="G2881" s="7">
        <v>3655128</v>
      </c>
      <c r="H2881" s="7">
        <v>2354</v>
      </c>
      <c r="I2881" s="7">
        <v>105</v>
      </c>
      <c r="J2881" s="7">
        <v>306</v>
      </c>
      <c r="K2881" s="7" t="s">
        <v>18</v>
      </c>
      <c r="L2881" s="8">
        <v>39987.315405092595</v>
      </c>
      <c r="M2881" s="9" t="s">
        <v>19</v>
      </c>
      <c r="N2881" s="9" t="s">
        <v>20</v>
      </c>
      <c r="O2881" s="6" t="str">
        <f>HYPERLINK("https://pbs.twimg.com/profile_images/962471262747529216/Uo8lOkRJ_normal.jpg","View")</f>
        <v>View</v>
      </c>
      <c r="P2881" s="7"/>
    </row>
    <row r="2882" spans="1:16">
      <c r="A2882" s="3">
        <v>43894.81212962963</v>
      </c>
      <c r="B2882" s="4" t="str">
        <f>HYPERLINK("https://twitter.com/petrogustavo","@petrogustavo")</f>
        <v>@petrogustavo</v>
      </c>
      <c r="C2882" s="5" t="s">
        <v>16</v>
      </c>
      <c r="D2882" s="5" t="s">
        <v>2824</v>
      </c>
      <c r="E2882" s="6" t="str">
        <f>HYPERLINK("https://twitter.com/petrogustavo/status/1235203207837736960","1235203207837736960")</f>
        <v>1235203207837736960</v>
      </c>
      <c r="F2882" s="7" t="s">
        <v>17</v>
      </c>
      <c r="G2882" s="7">
        <v>3655128</v>
      </c>
      <c r="H2882" s="7">
        <v>2354</v>
      </c>
      <c r="I2882" s="7">
        <v>399</v>
      </c>
      <c r="J2882" s="7">
        <v>764</v>
      </c>
      <c r="K2882" s="7" t="s">
        <v>18</v>
      </c>
      <c r="L2882" s="8">
        <v>39987.315405092595</v>
      </c>
      <c r="M2882" s="9" t="s">
        <v>19</v>
      </c>
      <c r="N2882" s="9" t="s">
        <v>20</v>
      </c>
      <c r="O2882" s="6" t="str">
        <f>HYPERLINK("https://pbs.twimg.com/profile_images/962471262747529216/Uo8lOkRJ_normal.jpg","View")</f>
        <v>View</v>
      </c>
      <c r="P2882" s="7"/>
    </row>
    <row r="2883" spans="1:16">
      <c r="A2883" s="3">
        <v>43894.816388888888</v>
      </c>
      <c r="B2883" s="4" t="str">
        <f>HYPERLINK("https://twitter.com/petrogustavo","@petrogustavo")</f>
        <v>@petrogustavo</v>
      </c>
      <c r="C2883" s="5" t="s">
        <v>16</v>
      </c>
      <c r="D2883" s="5" t="s">
        <v>2825</v>
      </c>
      <c r="E2883" s="6" t="str">
        <f>HYPERLINK("https://twitter.com/petrogustavo/status/1235204753933701121","1235204753933701121")</f>
        <v>1235204753933701121</v>
      </c>
      <c r="F2883" s="7" t="s">
        <v>17</v>
      </c>
      <c r="G2883" s="7">
        <v>3655128</v>
      </c>
      <c r="H2883" s="7">
        <v>2354</v>
      </c>
      <c r="I2883" s="7">
        <v>95</v>
      </c>
      <c r="J2883" s="7">
        <v>0</v>
      </c>
      <c r="K2883" s="7" t="s">
        <v>18</v>
      </c>
      <c r="L2883" s="8">
        <v>39987.315405092595</v>
      </c>
      <c r="M2883" s="9" t="s">
        <v>19</v>
      </c>
      <c r="N2883" s="9" t="s">
        <v>20</v>
      </c>
      <c r="O2883" s="6" t="str">
        <f>HYPERLINK("https://pbs.twimg.com/profile_images/962471262747529216/Uo8lOkRJ_normal.jpg","View")</f>
        <v>View</v>
      </c>
      <c r="P2883" s="7"/>
    </row>
    <row r="2884" spans="1:16">
      <c r="A2884" s="3">
        <v>43894.825358796297</v>
      </c>
      <c r="B2884" s="4" t="str">
        <f>HYPERLINK("https://twitter.com/petrogustavo","@petrogustavo")</f>
        <v>@petrogustavo</v>
      </c>
      <c r="C2884" s="5" t="s">
        <v>16</v>
      </c>
      <c r="D2884" s="5" t="s">
        <v>2826</v>
      </c>
      <c r="E2884" s="6" t="str">
        <f>HYPERLINK("https://twitter.com/petrogustavo/status/1235208003718127619","1235208003718127619")</f>
        <v>1235208003718127619</v>
      </c>
      <c r="F2884" s="7" t="s">
        <v>17</v>
      </c>
      <c r="G2884" s="7">
        <v>3655153</v>
      </c>
      <c r="H2884" s="7">
        <v>2354</v>
      </c>
      <c r="I2884" s="7">
        <v>1838</v>
      </c>
      <c r="J2884" s="7">
        <v>0</v>
      </c>
      <c r="K2884" s="7" t="s">
        <v>18</v>
      </c>
      <c r="L2884" s="8">
        <v>39987.315405092595</v>
      </c>
      <c r="M2884" s="9" t="s">
        <v>19</v>
      </c>
      <c r="N2884" s="9" t="s">
        <v>20</v>
      </c>
      <c r="O2884" s="6" t="str">
        <f>HYPERLINK("https://pbs.twimg.com/profile_images/962471262747529216/Uo8lOkRJ_normal.jpg","View")</f>
        <v>View</v>
      </c>
      <c r="P2884" s="7"/>
    </row>
    <row r="2885" spans="1:16">
      <c r="A2885" s="3">
        <v>43894.825520833328</v>
      </c>
      <c r="B2885" s="4" t="str">
        <f>HYPERLINK("https://twitter.com/petrogustavo","@petrogustavo")</f>
        <v>@petrogustavo</v>
      </c>
      <c r="C2885" s="5" t="s">
        <v>16</v>
      </c>
      <c r="D2885" s="5" t="s">
        <v>2827</v>
      </c>
      <c r="E2885" s="6" t="str">
        <f>HYPERLINK("https://twitter.com/petrogustavo/status/1235208061100400640","1235208061100400640")</f>
        <v>1235208061100400640</v>
      </c>
      <c r="F2885" s="7" t="s">
        <v>17</v>
      </c>
      <c r="G2885" s="7">
        <v>3655153</v>
      </c>
      <c r="H2885" s="7">
        <v>2354</v>
      </c>
      <c r="I2885" s="7">
        <v>804</v>
      </c>
      <c r="J2885" s="7">
        <v>0</v>
      </c>
      <c r="K2885" s="7" t="s">
        <v>18</v>
      </c>
      <c r="L2885" s="8">
        <v>39987.315405092595</v>
      </c>
      <c r="M2885" s="9" t="s">
        <v>19</v>
      </c>
      <c r="N2885" s="9" t="s">
        <v>20</v>
      </c>
      <c r="O2885" s="6" t="str">
        <f>HYPERLINK("https://pbs.twimg.com/profile_images/962471262747529216/Uo8lOkRJ_normal.jpg","View")</f>
        <v>View</v>
      </c>
      <c r="P2885" s="7"/>
    </row>
    <row r="2886" spans="1:16">
      <c r="A2886" s="3">
        <v>43895.240219907406</v>
      </c>
      <c r="B2886" s="4" t="str">
        <f>HYPERLINK("https://twitter.com/petrogustavo","@petrogustavo")</f>
        <v>@petrogustavo</v>
      </c>
      <c r="C2886" s="5" t="s">
        <v>16</v>
      </c>
      <c r="D2886" s="5" t="s">
        <v>2828</v>
      </c>
      <c r="E2886" s="6" t="str">
        <f>HYPERLINK("https://twitter.com/petrogustavo/status/1235358343537012736","1235358343537012736")</f>
        <v>1235358343537012736</v>
      </c>
      <c r="F2886" s="7" t="s">
        <v>32</v>
      </c>
      <c r="G2886" s="7">
        <v>3655596</v>
      </c>
      <c r="H2886" s="7">
        <v>2356</v>
      </c>
      <c r="I2886" s="7">
        <v>1050</v>
      </c>
      <c r="J2886" s="7">
        <v>0</v>
      </c>
      <c r="K2886" s="7" t="s">
        <v>18</v>
      </c>
      <c r="L2886" s="8">
        <v>39987.315405092595</v>
      </c>
      <c r="M2886" s="9" t="s">
        <v>19</v>
      </c>
      <c r="N2886" s="9" t="s">
        <v>20</v>
      </c>
      <c r="O2886" s="6" t="str">
        <f>HYPERLINK("https://pbs.twimg.com/profile_images/962471262747529216/Uo8lOkRJ_normal.jpg","View")</f>
        <v>View</v>
      </c>
      <c r="P2886" s="7"/>
    </row>
    <row r="2887" spans="1:16">
      <c r="A2887" s="3">
        <v>43895.240347222221</v>
      </c>
      <c r="B2887" s="4" t="str">
        <f>HYPERLINK("https://twitter.com/petrogustavo","@petrogustavo")</f>
        <v>@petrogustavo</v>
      </c>
      <c r="C2887" s="5" t="s">
        <v>16</v>
      </c>
      <c r="D2887" s="5" t="s">
        <v>2829</v>
      </c>
      <c r="E2887" s="6" t="str">
        <f>HYPERLINK("https://twitter.com/petrogustavo/status/1235358390492241921","1235358390492241921")</f>
        <v>1235358390492241921</v>
      </c>
      <c r="F2887" s="7" t="s">
        <v>32</v>
      </c>
      <c r="G2887" s="7">
        <v>3655596</v>
      </c>
      <c r="H2887" s="7">
        <v>2356</v>
      </c>
      <c r="I2887" s="7">
        <v>245</v>
      </c>
      <c r="J2887" s="7">
        <v>0</v>
      </c>
      <c r="K2887" s="7" t="s">
        <v>18</v>
      </c>
      <c r="L2887" s="8">
        <v>39987.315405092595</v>
      </c>
      <c r="M2887" s="9" t="s">
        <v>19</v>
      </c>
      <c r="N2887" s="9" t="s">
        <v>20</v>
      </c>
      <c r="O2887" s="6" t="str">
        <f>HYPERLINK("https://pbs.twimg.com/profile_images/962471262747529216/Uo8lOkRJ_normal.jpg","View")</f>
        <v>View</v>
      </c>
      <c r="P2887" s="7"/>
    </row>
    <row r="2888" spans="1:16">
      <c r="A2888" s="3">
        <v>43895.24050925926</v>
      </c>
      <c r="B2888" s="4" t="str">
        <f>HYPERLINK("https://twitter.com/petrogustavo","@petrogustavo")</f>
        <v>@petrogustavo</v>
      </c>
      <c r="C2888" s="5" t="s">
        <v>16</v>
      </c>
      <c r="D2888" s="5" t="s">
        <v>2830</v>
      </c>
      <c r="E2888" s="6" t="str">
        <f>HYPERLINK("https://twitter.com/petrogustavo/status/1235358448075919360","1235358448075919360")</f>
        <v>1235358448075919360</v>
      </c>
      <c r="F2888" s="7" t="s">
        <v>32</v>
      </c>
      <c r="G2888" s="7">
        <v>3655596</v>
      </c>
      <c r="H2888" s="7">
        <v>2356</v>
      </c>
      <c r="I2888" s="7">
        <v>676</v>
      </c>
      <c r="J2888" s="7">
        <v>0</v>
      </c>
      <c r="K2888" s="7" t="s">
        <v>18</v>
      </c>
      <c r="L2888" s="8">
        <v>39987.315405092595</v>
      </c>
      <c r="M2888" s="9" t="s">
        <v>19</v>
      </c>
      <c r="N2888" s="9" t="s">
        <v>20</v>
      </c>
      <c r="O2888" s="6" t="str">
        <f>HYPERLINK("https://pbs.twimg.com/profile_images/962471262747529216/Uo8lOkRJ_normal.jpg","View")</f>
        <v>View</v>
      </c>
      <c r="P2888" s="7"/>
    </row>
    <row r="2889" spans="1:16">
      <c r="A2889" s="3">
        <v>43895.240601851852</v>
      </c>
      <c r="B2889" s="4" t="str">
        <f>HYPERLINK("https://twitter.com/petrogustavo","@petrogustavo")</f>
        <v>@petrogustavo</v>
      </c>
      <c r="C2889" s="5" t="s">
        <v>16</v>
      </c>
      <c r="D2889" s="5" t="s">
        <v>2831</v>
      </c>
      <c r="E2889" s="6" t="str">
        <f>HYPERLINK("https://twitter.com/petrogustavo/status/1235358482758594560","1235358482758594560")</f>
        <v>1235358482758594560</v>
      </c>
      <c r="F2889" s="7" t="s">
        <v>32</v>
      </c>
      <c r="G2889" s="7">
        <v>3655596</v>
      </c>
      <c r="H2889" s="7">
        <v>2356</v>
      </c>
      <c r="I2889" s="7">
        <v>53</v>
      </c>
      <c r="J2889" s="7">
        <v>0</v>
      </c>
      <c r="K2889" s="7" t="s">
        <v>18</v>
      </c>
      <c r="L2889" s="8">
        <v>39987.315405092595</v>
      </c>
      <c r="M2889" s="9" t="s">
        <v>19</v>
      </c>
      <c r="N2889" s="9" t="s">
        <v>20</v>
      </c>
      <c r="O2889" s="6" t="str">
        <f>HYPERLINK("https://pbs.twimg.com/profile_images/962471262747529216/Uo8lOkRJ_normal.jpg","View")</f>
        <v>View</v>
      </c>
      <c r="P2889" s="7"/>
    </row>
    <row r="2890" spans="1:16">
      <c r="A2890" s="3">
        <v>43895.241030092591</v>
      </c>
      <c r="B2890" s="4" t="str">
        <f>HYPERLINK("https://twitter.com/petrogustavo","@petrogustavo")</f>
        <v>@petrogustavo</v>
      </c>
      <c r="C2890" s="5" t="s">
        <v>16</v>
      </c>
      <c r="D2890" s="5" t="s">
        <v>2832</v>
      </c>
      <c r="E2890" s="6" t="str">
        <f>HYPERLINK("https://twitter.com/petrogustavo/status/1235358635674435584","1235358635674435584")</f>
        <v>1235358635674435584</v>
      </c>
      <c r="F2890" s="7" t="s">
        <v>32</v>
      </c>
      <c r="G2890" s="7">
        <v>3655596</v>
      </c>
      <c r="H2890" s="7">
        <v>2356</v>
      </c>
      <c r="I2890" s="7">
        <v>478</v>
      </c>
      <c r="J2890" s="7">
        <v>0</v>
      </c>
      <c r="K2890" s="7" t="s">
        <v>18</v>
      </c>
      <c r="L2890" s="8">
        <v>39987.315405092595</v>
      </c>
      <c r="M2890" s="9" t="s">
        <v>19</v>
      </c>
      <c r="N2890" s="9" t="s">
        <v>20</v>
      </c>
      <c r="O2890" s="6" t="str">
        <f>HYPERLINK("https://pbs.twimg.com/profile_images/962471262747529216/Uo8lOkRJ_normal.jpg","View")</f>
        <v>View</v>
      </c>
      <c r="P2890" s="7"/>
    </row>
    <row r="2891" spans="1:16">
      <c r="A2891" s="3">
        <v>43895.241516203707</v>
      </c>
      <c r="B2891" s="4" t="str">
        <f>HYPERLINK("https://twitter.com/petrogustavo","@petrogustavo")</f>
        <v>@petrogustavo</v>
      </c>
      <c r="C2891" s="5" t="s">
        <v>16</v>
      </c>
      <c r="D2891" s="5" t="s">
        <v>2833</v>
      </c>
      <c r="E2891" s="6" t="str">
        <f>HYPERLINK("https://twitter.com/petrogustavo/status/1235358814943301634","1235358814943301634")</f>
        <v>1235358814943301634</v>
      </c>
      <c r="F2891" s="7" t="s">
        <v>32</v>
      </c>
      <c r="G2891" s="7">
        <v>3655609</v>
      </c>
      <c r="H2891" s="7">
        <v>2356</v>
      </c>
      <c r="I2891" s="7">
        <v>967</v>
      </c>
      <c r="J2891" s="7">
        <v>0</v>
      </c>
      <c r="K2891" s="7" t="s">
        <v>18</v>
      </c>
      <c r="L2891" s="8">
        <v>39987.315405092595</v>
      </c>
      <c r="M2891" s="9" t="s">
        <v>19</v>
      </c>
      <c r="N2891" s="9" t="s">
        <v>20</v>
      </c>
      <c r="O2891" s="6" t="str">
        <f>HYPERLINK("https://pbs.twimg.com/profile_images/962471262747529216/Uo8lOkRJ_normal.jpg","View")</f>
        <v>View</v>
      </c>
      <c r="P2891" s="7"/>
    </row>
    <row r="2892" spans="1:16">
      <c r="A2892" s="3">
        <v>43895.284652777773</v>
      </c>
      <c r="B2892" s="4" t="str">
        <f>HYPERLINK("https://twitter.com/petrogustavo","@petrogustavo")</f>
        <v>@petrogustavo</v>
      </c>
      <c r="C2892" s="5" t="s">
        <v>16</v>
      </c>
      <c r="D2892" s="5" t="s">
        <v>2834</v>
      </c>
      <c r="E2892" s="6" t="str">
        <f>HYPERLINK("https://twitter.com/petrogustavo/status/1235374444870275078","1235374444870275078")</f>
        <v>1235374444870275078</v>
      </c>
      <c r="F2892" s="7" t="s">
        <v>32</v>
      </c>
      <c r="G2892" s="7">
        <v>3655654</v>
      </c>
      <c r="H2892" s="7">
        <v>2356</v>
      </c>
      <c r="I2892" s="7">
        <v>127</v>
      </c>
      <c r="J2892" s="7">
        <v>0</v>
      </c>
      <c r="K2892" s="7" t="s">
        <v>18</v>
      </c>
      <c r="L2892" s="8">
        <v>39987.315405092595</v>
      </c>
      <c r="M2892" s="9" t="s">
        <v>19</v>
      </c>
      <c r="N2892" s="9" t="s">
        <v>20</v>
      </c>
      <c r="O2892" s="6" t="str">
        <f>HYPERLINK("https://pbs.twimg.com/profile_images/962471262747529216/Uo8lOkRJ_normal.jpg","View")</f>
        <v>View</v>
      </c>
      <c r="P2892" s="7"/>
    </row>
    <row r="2893" spans="1:16">
      <c r="A2893" s="3">
        <v>43895.286134259259</v>
      </c>
      <c r="B2893" s="4" t="str">
        <f>HYPERLINK("https://twitter.com/petrogustavo","@petrogustavo")</f>
        <v>@petrogustavo</v>
      </c>
      <c r="C2893" s="5" t="s">
        <v>16</v>
      </c>
      <c r="D2893" s="5" t="s">
        <v>2835</v>
      </c>
      <c r="E2893" s="6" t="str">
        <f>HYPERLINK("https://twitter.com/petrogustavo/status/1235374983729295360","1235374983729295360")</f>
        <v>1235374983729295360</v>
      </c>
      <c r="F2893" s="7" t="s">
        <v>32</v>
      </c>
      <c r="G2893" s="7">
        <v>3655654</v>
      </c>
      <c r="H2893" s="7">
        <v>2356</v>
      </c>
      <c r="I2893" s="7">
        <v>339</v>
      </c>
      <c r="J2893" s="7">
        <v>0</v>
      </c>
      <c r="K2893" s="7" t="s">
        <v>18</v>
      </c>
      <c r="L2893" s="8">
        <v>39987.315405092595</v>
      </c>
      <c r="M2893" s="9" t="s">
        <v>19</v>
      </c>
      <c r="N2893" s="9" t="s">
        <v>20</v>
      </c>
      <c r="O2893" s="6" t="str">
        <f>HYPERLINK("https://pbs.twimg.com/profile_images/962471262747529216/Uo8lOkRJ_normal.jpg","View")</f>
        <v>View</v>
      </c>
      <c r="P2893" s="7"/>
    </row>
    <row r="2894" spans="1:16">
      <c r="A2894" s="3">
        <v>43895.286493055552</v>
      </c>
      <c r="B2894" s="4" t="str">
        <f>HYPERLINK("https://twitter.com/petrogustavo","@petrogustavo")</f>
        <v>@petrogustavo</v>
      </c>
      <c r="C2894" s="5" t="s">
        <v>16</v>
      </c>
      <c r="D2894" s="5" t="s">
        <v>2836</v>
      </c>
      <c r="E2894" s="6" t="str">
        <f>HYPERLINK("https://twitter.com/petrogustavo/status/1235375112272084992","1235375112272084992")</f>
        <v>1235375112272084992</v>
      </c>
      <c r="F2894" s="7" t="s">
        <v>32</v>
      </c>
      <c r="G2894" s="7">
        <v>3655654</v>
      </c>
      <c r="H2894" s="7">
        <v>2356</v>
      </c>
      <c r="I2894" s="7">
        <v>899</v>
      </c>
      <c r="J2894" s="7">
        <v>0</v>
      </c>
      <c r="K2894" s="7" t="s">
        <v>18</v>
      </c>
      <c r="L2894" s="8">
        <v>39987.315405092595</v>
      </c>
      <c r="M2894" s="9" t="s">
        <v>19</v>
      </c>
      <c r="N2894" s="9" t="s">
        <v>20</v>
      </c>
      <c r="O2894" s="6" t="str">
        <f>HYPERLINK("https://pbs.twimg.com/profile_images/962471262747529216/Uo8lOkRJ_normal.jpg","View")</f>
        <v>View</v>
      </c>
      <c r="P2894" s="7"/>
    </row>
    <row r="2895" spans="1:16">
      <c r="A2895" s="3">
        <v>43895.301793981482</v>
      </c>
      <c r="B2895" s="4" t="str">
        <f>HYPERLINK("https://twitter.com/petrogustavo","@petrogustavo")</f>
        <v>@petrogustavo</v>
      </c>
      <c r="C2895" s="5" t="s">
        <v>16</v>
      </c>
      <c r="D2895" s="5" t="s">
        <v>2837</v>
      </c>
      <c r="E2895" s="6" t="str">
        <f>HYPERLINK("https://twitter.com/petrogustavo/status/1235380655002988544","1235380655002988544")</f>
        <v>1235380655002988544</v>
      </c>
      <c r="F2895" s="7" t="s">
        <v>32</v>
      </c>
      <c r="G2895" s="7">
        <v>3655654</v>
      </c>
      <c r="H2895" s="7">
        <v>2356</v>
      </c>
      <c r="I2895" s="7">
        <v>60</v>
      </c>
      <c r="J2895" s="7">
        <v>70</v>
      </c>
      <c r="K2895" s="7" t="s">
        <v>18</v>
      </c>
      <c r="L2895" s="8">
        <v>39987.315405092595</v>
      </c>
      <c r="M2895" s="9" t="s">
        <v>19</v>
      </c>
      <c r="N2895" s="9" t="s">
        <v>20</v>
      </c>
      <c r="O2895" s="6" t="str">
        <f>HYPERLINK("https://pbs.twimg.com/profile_images/962471262747529216/Uo8lOkRJ_normal.jpg","View")</f>
        <v>View</v>
      </c>
      <c r="P2895" s="7"/>
    </row>
    <row r="2896" spans="1:16">
      <c r="A2896" s="3">
        <v>43895.302662037036</v>
      </c>
      <c r="B2896" s="4" t="str">
        <f>HYPERLINK("https://twitter.com/petrogustavo","@petrogustavo")</f>
        <v>@petrogustavo</v>
      </c>
      <c r="C2896" s="5" t="s">
        <v>16</v>
      </c>
      <c r="D2896" s="5" t="s">
        <v>2838</v>
      </c>
      <c r="E2896" s="6" t="str">
        <f>HYPERLINK("https://twitter.com/petrogustavo/status/1235380972826353664","1235380972826353664")</f>
        <v>1235380972826353664</v>
      </c>
      <c r="F2896" s="7" t="s">
        <v>32</v>
      </c>
      <c r="G2896" s="7">
        <v>3655654</v>
      </c>
      <c r="H2896" s="7">
        <v>2356</v>
      </c>
      <c r="I2896" s="7">
        <v>690</v>
      </c>
      <c r="J2896" s="7">
        <v>0</v>
      </c>
      <c r="K2896" s="7" t="s">
        <v>18</v>
      </c>
      <c r="L2896" s="8">
        <v>39987.315405092595</v>
      </c>
      <c r="M2896" s="9" t="s">
        <v>19</v>
      </c>
      <c r="N2896" s="9" t="s">
        <v>20</v>
      </c>
      <c r="O2896" s="6" t="str">
        <f>HYPERLINK("https://pbs.twimg.com/profile_images/962471262747529216/Uo8lOkRJ_normal.jpg","View")</f>
        <v>View</v>
      </c>
      <c r="P2896" s="7"/>
    </row>
    <row r="2897" spans="1:16">
      <c r="A2897" s="3">
        <v>43895.305162037039</v>
      </c>
      <c r="B2897" s="4" t="str">
        <f>HYPERLINK("https://twitter.com/petrogustavo","@petrogustavo")</f>
        <v>@petrogustavo</v>
      </c>
      <c r="C2897" s="5" t="s">
        <v>16</v>
      </c>
      <c r="D2897" s="5" t="s">
        <v>2839</v>
      </c>
      <c r="E2897" s="6" t="str">
        <f>HYPERLINK("https://twitter.com/petrogustavo/status/1235381876451348480","1235381876451348480")</f>
        <v>1235381876451348480</v>
      </c>
      <c r="F2897" s="7" t="s">
        <v>32</v>
      </c>
      <c r="G2897" s="7">
        <v>3655690</v>
      </c>
      <c r="H2897" s="7">
        <v>2356</v>
      </c>
      <c r="I2897" s="7">
        <v>152</v>
      </c>
      <c r="J2897" s="7">
        <v>0</v>
      </c>
      <c r="K2897" s="7" t="s">
        <v>18</v>
      </c>
      <c r="L2897" s="8">
        <v>39987.315405092595</v>
      </c>
      <c r="M2897" s="9" t="s">
        <v>19</v>
      </c>
      <c r="N2897" s="9" t="s">
        <v>20</v>
      </c>
      <c r="O2897" s="6" t="str">
        <f>HYPERLINK("https://pbs.twimg.com/profile_images/962471262747529216/Uo8lOkRJ_normal.jpg","View")</f>
        <v>View</v>
      </c>
      <c r="P2897" s="7"/>
    </row>
    <row r="2898" spans="1:16">
      <c r="A2898" s="3">
        <v>43895.309571759259</v>
      </c>
      <c r="B2898" s="4" t="str">
        <f>HYPERLINK("https://twitter.com/petrogustavo","@petrogustavo")</f>
        <v>@petrogustavo</v>
      </c>
      <c r="C2898" s="5" t="s">
        <v>16</v>
      </c>
      <c r="D2898" s="5" t="s">
        <v>2840</v>
      </c>
      <c r="E2898" s="6" t="str">
        <f>HYPERLINK("https://twitter.com/petrogustavo/status/1235383475387187200","1235383475387187200")</f>
        <v>1235383475387187200</v>
      </c>
      <c r="F2898" s="7" t="s">
        <v>32</v>
      </c>
      <c r="G2898" s="7">
        <v>3655690</v>
      </c>
      <c r="H2898" s="7">
        <v>2356</v>
      </c>
      <c r="I2898" s="7">
        <v>348</v>
      </c>
      <c r="J2898" s="7">
        <v>810</v>
      </c>
      <c r="K2898" s="7" t="s">
        <v>18</v>
      </c>
      <c r="L2898" s="8">
        <v>39987.315405092595</v>
      </c>
      <c r="M2898" s="9" t="s">
        <v>19</v>
      </c>
      <c r="N2898" s="9" t="s">
        <v>20</v>
      </c>
      <c r="O2898" s="6" t="str">
        <f>HYPERLINK("https://pbs.twimg.com/profile_images/962471262747529216/Uo8lOkRJ_normal.jpg","View")</f>
        <v>View</v>
      </c>
      <c r="P2898" s="7"/>
    </row>
    <row r="2899" spans="1:16">
      <c r="A2899" s="3">
        <v>43895.310520833329</v>
      </c>
      <c r="B2899" s="4" t="str">
        <f>HYPERLINK("https://twitter.com/petrogustavo","@petrogustavo")</f>
        <v>@petrogustavo</v>
      </c>
      <c r="C2899" s="5" t="s">
        <v>16</v>
      </c>
      <c r="D2899" s="5" t="s">
        <v>2841</v>
      </c>
      <c r="E2899" s="6" t="str">
        <f>HYPERLINK("https://twitter.com/petrogustavo/status/1235383817273323521","1235383817273323521")</f>
        <v>1235383817273323521</v>
      </c>
      <c r="F2899" s="7" t="s">
        <v>32</v>
      </c>
      <c r="G2899" s="7">
        <v>3655690</v>
      </c>
      <c r="H2899" s="7">
        <v>2356</v>
      </c>
      <c r="I2899" s="7">
        <v>32</v>
      </c>
      <c r="J2899" s="7">
        <v>0</v>
      </c>
      <c r="K2899" s="7" t="s">
        <v>18</v>
      </c>
      <c r="L2899" s="8">
        <v>39987.315405092595</v>
      </c>
      <c r="M2899" s="9" t="s">
        <v>19</v>
      </c>
      <c r="N2899" s="9" t="s">
        <v>20</v>
      </c>
      <c r="O2899" s="6" t="str">
        <f>HYPERLINK("https://pbs.twimg.com/profile_images/962471262747529216/Uo8lOkRJ_normal.jpg","View")</f>
        <v>View</v>
      </c>
      <c r="P2899" s="7"/>
    </row>
    <row r="2900" spans="1:16">
      <c r="A2900" s="3">
        <v>43895.315127314811</v>
      </c>
      <c r="B2900" s="4" t="str">
        <f>HYPERLINK("https://twitter.com/petrogustavo","@petrogustavo")</f>
        <v>@petrogustavo</v>
      </c>
      <c r="C2900" s="5" t="s">
        <v>16</v>
      </c>
      <c r="D2900" s="5" t="s">
        <v>2842</v>
      </c>
      <c r="E2900" s="6" t="str">
        <f>HYPERLINK("https://twitter.com/petrogustavo/status/1235385489286291456","1235385489286291456")</f>
        <v>1235385489286291456</v>
      </c>
      <c r="F2900" s="7" t="s">
        <v>32</v>
      </c>
      <c r="G2900" s="7">
        <v>3655690</v>
      </c>
      <c r="H2900" s="7">
        <v>2356</v>
      </c>
      <c r="I2900" s="7">
        <v>116</v>
      </c>
      <c r="J2900" s="7">
        <v>199</v>
      </c>
      <c r="K2900" s="7" t="s">
        <v>18</v>
      </c>
      <c r="L2900" s="8">
        <v>39987.315405092595</v>
      </c>
      <c r="M2900" s="9" t="s">
        <v>19</v>
      </c>
      <c r="N2900" s="9" t="s">
        <v>20</v>
      </c>
      <c r="O2900" s="6" t="str">
        <f>HYPERLINK("https://pbs.twimg.com/profile_images/962471262747529216/Uo8lOkRJ_normal.jpg","View")</f>
        <v>View</v>
      </c>
      <c r="P2900" s="7"/>
    </row>
    <row r="2901" spans="1:16">
      <c r="A2901" s="3">
        <v>43895.34746527778</v>
      </c>
      <c r="B2901" s="4" t="str">
        <f>HYPERLINK("https://twitter.com/petrogustavo","@petrogustavo")</f>
        <v>@petrogustavo</v>
      </c>
      <c r="C2901" s="5" t="s">
        <v>16</v>
      </c>
      <c r="D2901" s="5" t="s">
        <v>2843</v>
      </c>
      <c r="E2901" s="6" t="str">
        <f>HYPERLINK("https://twitter.com/petrogustavo/status/1235397206783471616","1235397206783471616")</f>
        <v>1235397206783471616</v>
      </c>
      <c r="F2901" s="7" t="s">
        <v>32</v>
      </c>
      <c r="G2901" s="7">
        <v>3655746</v>
      </c>
      <c r="H2901" s="7">
        <v>2356</v>
      </c>
      <c r="I2901" s="7">
        <v>120</v>
      </c>
      <c r="J2901" s="7">
        <v>0</v>
      </c>
      <c r="K2901" s="7" t="s">
        <v>18</v>
      </c>
      <c r="L2901" s="8">
        <v>39987.315405092595</v>
      </c>
      <c r="M2901" s="9" t="s">
        <v>19</v>
      </c>
      <c r="N2901" s="9" t="s">
        <v>20</v>
      </c>
      <c r="O2901" s="6" t="str">
        <f>HYPERLINK("https://pbs.twimg.com/profile_images/962471262747529216/Uo8lOkRJ_normal.jpg","View")</f>
        <v>View</v>
      </c>
      <c r="P2901" s="7"/>
    </row>
    <row r="2902" spans="1:16">
      <c r="A2902" s="3">
        <v>43895.34884259259</v>
      </c>
      <c r="B2902" s="4" t="str">
        <f>HYPERLINK("https://twitter.com/petrogustavo","@petrogustavo")</f>
        <v>@petrogustavo</v>
      </c>
      <c r="C2902" s="5" t="s">
        <v>16</v>
      </c>
      <c r="D2902" s="5" t="s">
        <v>2844</v>
      </c>
      <c r="E2902" s="6" t="str">
        <f>HYPERLINK("https://twitter.com/petrogustavo/status/1235397704622071808","1235397704622071808")</f>
        <v>1235397704622071808</v>
      </c>
      <c r="F2902" s="7" t="s">
        <v>32</v>
      </c>
      <c r="G2902" s="7">
        <v>3655746</v>
      </c>
      <c r="H2902" s="7">
        <v>2356</v>
      </c>
      <c r="I2902" s="7">
        <v>902</v>
      </c>
      <c r="J2902" s="7">
        <v>0</v>
      </c>
      <c r="K2902" s="7" t="s">
        <v>18</v>
      </c>
      <c r="L2902" s="8">
        <v>39987.315405092595</v>
      </c>
      <c r="M2902" s="9" t="s">
        <v>19</v>
      </c>
      <c r="N2902" s="9" t="s">
        <v>20</v>
      </c>
      <c r="O2902" s="6" t="str">
        <f>HYPERLINK("https://pbs.twimg.com/profile_images/962471262747529216/Uo8lOkRJ_normal.jpg","View")</f>
        <v>View</v>
      </c>
      <c r="P2902" s="7"/>
    </row>
    <row r="2903" spans="1:16">
      <c r="A2903" s="3">
        <v>43895.349155092597</v>
      </c>
      <c r="B2903" s="4" t="str">
        <f>HYPERLINK("https://twitter.com/petrogustavo","@petrogustavo")</f>
        <v>@petrogustavo</v>
      </c>
      <c r="C2903" s="5" t="s">
        <v>16</v>
      </c>
      <c r="D2903" s="5" t="s">
        <v>2845</v>
      </c>
      <c r="E2903" s="6" t="str">
        <f>HYPERLINK("https://twitter.com/petrogustavo/status/1235397821148172289","1235397821148172289")</f>
        <v>1235397821148172289</v>
      </c>
      <c r="F2903" s="7" t="s">
        <v>32</v>
      </c>
      <c r="G2903" s="7">
        <v>3655746</v>
      </c>
      <c r="H2903" s="7">
        <v>2356</v>
      </c>
      <c r="I2903" s="7">
        <v>395</v>
      </c>
      <c r="J2903" s="7">
        <v>0</v>
      </c>
      <c r="K2903" s="7" t="s">
        <v>18</v>
      </c>
      <c r="L2903" s="8">
        <v>39987.315405092595</v>
      </c>
      <c r="M2903" s="9" t="s">
        <v>19</v>
      </c>
      <c r="N2903" s="9" t="s">
        <v>20</v>
      </c>
      <c r="O2903" s="6" t="str">
        <f>HYPERLINK("https://pbs.twimg.com/profile_images/962471262747529216/Uo8lOkRJ_normal.jpg","View")</f>
        <v>View</v>
      </c>
      <c r="P2903" s="7"/>
    </row>
    <row r="2904" spans="1:16">
      <c r="A2904" s="3">
        <v>43895.353587962964</v>
      </c>
      <c r="B2904" s="4" t="str">
        <f>HYPERLINK("https://twitter.com/petrogustavo","@petrogustavo")</f>
        <v>@petrogustavo</v>
      </c>
      <c r="C2904" s="5" t="s">
        <v>16</v>
      </c>
      <c r="D2904" s="5" t="s">
        <v>2827</v>
      </c>
      <c r="E2904" s="6" t="str">
        <f>HYPERLINK("https://twitter.com/petrogustavo/status/1235399425876299776","1235399425876299776")</f>
        <v>1235399425876299776</v>
      </c>
      <c r="F2904" s="7" t="s">
        <v>32</v>
      </c>
      <c r="G2904" s="7">
        <v>3655746</v>
      </c>
      <c r="H2904" s="7">
        <v>2356</v>
      </c>
      <c r="I2904" s="7">
        <v>4730</v>
      </c>
      <c r="J2904" s="7">
        <v>0</v>
      </c>
      <c r="K2904" s="7" t="s">
        <v>18</v>
      </c>
      <c r="L2904" s="8">
        <v>39987.315405092595</v>
      </c>
      <c r="M2904" s="9" t="s">
        <v>19</v>
      </c>
      <c r="N2904" s="9" t="s">
        <v>20</v>
      </c>
      <c r="O2904" s="6" t="str">
        <f>HYPERLINK("https://pbs.twimg.com/profile_images/962471262747529216/Uo8lOkRJ_normal.jpg","View")</f>
        <v>View</v>
      </c>
      <c r="P2904" s="7"/>
    </row>
    <row r="2905" spans="1:16">
      <c r="A2905" s="3">
        <v>43895.869328703702</v>
      </c>
      <c r="B2905" s="4" t="str">
        <f>HYPERLINK("https://twitter.com/petrogustavo","@petrogustavo")</f>
        <v>@petrogustavo</v>
      </c>
      <c r="C2905" s="5" t="s">
        <v>16</v>
      </c>
      <c r="D2905" s="5" t="s">
        <v>2846</v>
      </c>
      <c r="E2905" s="6" t="str">
        <f>HYPERLINK("https://twitter.com/petrogustavo/status/1235586324964487168","1235586324964487168")</f>
        <v>1235586324964487168</v>
      </c>
      <c r="F2905" s="7" t="s">
        <v>17</v>
      </c>
      <c r="G2905" s="7">
        <v>3656056</v>
      </c>
      <c r="H2905" s="7">
        <v>2355</v>
      </c>
      <c r="I2905" s="7">
        <v>1293</v>
      </c>
      <c r="J2905" s="7">
        <v>0</v>
      </c>
      <c r="K2905" s="7" t="s">
        <v>18</v>
      </c>
      <c r="L2905" s="8">
        <v>39987.315405092595</v>
      </c>
      <c r="M2905" s="9" t="s">
        <v>19</v>
      </c>
      <c r="N2905" s="9" t="s">
        <v>20</v>
      </c>
      <c r="O2905" s="6" t="str">
        <f>HYPERLINK("https://pbs.twimg.com/profile_images/962471262747529216/Uo8lOkRJ_normal.jpg","View")</f>
        <v>View</v>
      </c>
      <c r="P2905" s="7"/>
    </row>
    <row r="2906" spans="1:16">
      <c r="A2906" s="3">
        <v>43895.871805555551</v>
      </c>
      <c r="B2906" s="4" t="str">
        <f>HYPERLINK("https://twitter.com/petrogustavo","@petrogustavo")</f>
        <v>@petrogustavo</v>
      </c>
      <c r="C2906" s="5" t="s">
        <v>16</v>
      </c>
      <c r="D2906" s="5" t="s">
        <v>2847</v>
      </c>
      <c r="E2906" s="6" t="str">
        <f>HYPERLINK("https://twitter.com/petrogustavo/status/1235587221857722368","1235587221857722368")</f>
        <v>1235587221857722368</v>
      </c>
      <c r="F2906" s="7" t="s">
        <v>17</v>
      </c>
      <c r="G2906" s="7">
        <v>3656056</v>
      </c>
      <c r="H2906" s="7">
        <v>2355</v>
      </c>
      <c r="I2906" s="7">
        <v>271</v>
      </c>
      <c r="J2906" s="7">
        <v>648</v>
      </c>
      <c r="K2906" s="7" t="s">
        <v>18</v>
      </c>
      <c r="L2906" s="8">
        <v>39987.315405092595</v>
      </c>
      <c r="M2906" s="9" t="s">
        <v>19</v>
      </c>
      <c r="N2906" s="9" t="s">
        <v>20</v>
      </c>
      <c r="O2906" s="6" t="str">
        <f>HYPERLINK("https://pbs.twimg.com/profile_images/962471262747529216/Uo8lOkRJ_normal.jpg","View")</f>
        <v>View</v>
      </c>
      <c r="P2906" s="7"/>
    </row>
    <row r="2907" spans="1:16">
      <c r="A2907" s="3">
        <v>43895.880347222221</v>
      </c>
      <c r="B2907" s="4" t="str">
        <f>HYPERLINK("https://twitter.com/petrogustavo","@petrogustavo")</f>
        <v>@petrogustavo</v>
      </c>
      <c r="C2907" s="5" t="s">
        <v>16</v>
      </c>
      <c r="D2907" s="5" t="s">
        <v>2848</v>
      </c>
      <c r="E2907" s="6" t="str">
        <f>HYPERLINK("https://twitter.com/petrogustavo/status/1235590318738849792","1235590318738849792")</f>
        <v>1235590318738849792</v>
      </c>
      <c r="F2907" s="7" t="s">
        <v>17</v>
      </c>
      <c r="G2907" s="7">
        <v>3656056</v>
      </c>
      <c r="H2907" s="7">
        <v>2355</v>
      </c>
      <c r="I2907" s="7">
        <v>63</v>
      </c>
      <c r="J2907" s="7">
        <v>196</v>
      </c>
      <c r="K2907" s="7" t="s">
        <v>18</v>
      </c>
      <c r="L2907" s="8">
        <v>39987.315405092595</v>
      </c>
      <c r="M2907" s="9" t="s">
        <v>19</v>
      </c>
      <c r="N2907" s="9" t="s">
        <v>20</v>
      </c>
      <c r="O2907" s="6" t="str">
        <f>HYPERLINK("https://pbs.twimg.com/profile_images/962471262747529216/Uo8lOkRJ_normal.jpg","View")</f>
        <v>View</v>
      </c>
      <c r="P2907" s="7"/>
    </row>
    <row r="2908" spans="1:16">
      <c r="A2908" s="3">
        <v>43895.882187499999</v>
      </c>
      <c r="B2908" s="4" t="str">
        <f>HYPERLINK("https://twitter.com/petrogustavo","@petrogustavo")</f>
        <v>@petrogustavo</v>
      </c>
      <c r="C2908" s="5" t="s">
        <v>16</v>
      </c>
      <c r="D2908" s="5" t="s">
        <v>2849</v>
      </c>
      <c r="E2908" s="6" t="str">
        <f>HYPERLINK("https://twitter.com/petrogustavo/status/1235590986199371778","1235590986199371778")</f>
        <v>1235590986199371778</v>
      </c>
      <c r="F2908" s="7" t="s">
        <v>17</v>
      </c>
      <c r="G2908" s="7">
        <v>3656056</v>
      </c>
      <c r="H2908" s="7">
        <v>2355</v>
      </c>
      <c r="I2908" s="7">
        <v>64</v>
      </c>
      <c r="J2908" s="7">
        <v>142</v>
      </c>
      <c r="K2908" s="7" t="s">
        <v>18</v>
      </c>
      <c r="L2908" s="8">
        <v>39987.315405092595</v>
      </c>
      <c r="M2908" s="9" t="s">
        <v>19</v>
      </c>
      <c r="N2908" s="9" t="s">
        <v>20</v>
      </c>
      <c r="O2908" s="6" t="str">
        <f>HYPERLINK("https://pbs.twimg.com/profile_images/962471262747529216/Uo8lOkRJ_normal.jpg","View")</f>
        <v>View</v>
      </c>
      <c r="P2908" s="7"/>
    </row>
    <row r="2909" spans="1:16">
      <c r="A2909" s="3">
        <v>43895.883715277778</v>
      </c>
      <c r="B2909" s="4" t="str">
        <f>HYPERLINK("https://twitter.com/petrogustavo","@petrogustavo")</f>
        <v>@petrogustavo</v>
      </c>
      <c r="C2909" s="5" t="s">
        <v>16</v>
      </c>
      <c r="D2909" s="5" t="s">
        <v>2850</v>
      </c>
      <c r="E2909" s="6" t="str">
        <f>HYPERLINK("https://twitter.com/petrogustavo/status/1235591536177565698","1235591536177565698")</f>
        <v>1235591536177565698</v>
      </c>
      <c r="F2909" s="7" t="s">
        <v>17</v>
      </c>
      <c r="G2909" s="7">
        <v>3656056</v>
      </c>
      <c r="H2909" s="7">
        <v>2355</v>
      </c>
      <c r="I2909" s="7">
        <v>45</v>
      </c>
      <c r="J2909" s="7">
        <v>111</v>
      </c>
      <c r="K2909" s="7" t="s">
        <v>18</v>
      </c>
      <c r="L2909" s="8">
        <v>39987.315405092595</v>
      </c>
      <c r="M2909" s="9" t="s">
        <v>19</v>
      </c>
      <c r="N2909" s="9" t="s">
        <v>20</v>
      </c>
      <c r="O2909" s="6" t="str">
        <f>HYPERLINK("https://pbs.twimg.com/profile_images/962471262747529216/Uo8lOkRJ_normal.jpg","View")</f>
        <v>View</v>
      </c>
      <c r="P2909" s="7"/>
    </row>
    <row r="2910" spans="1:16">
      <c r="A2910" s="3">
        <v>43895.930486111116</v>
      </c>
      <c r="B2910" s="4" t="str">
        <f>HYPERLINK("https://twitter.com/petrogustavo","@petrogustavo")</f>
        <v>@petrogustavo</v>
      </c>
      <c r="C2910" s="5" t="s">
        <v>16</v>
      </c>
      <c r="D2910" s="5" t="s">
        <v>2851</v>
      </c>
      <c r="E2910" s="6" t="str">
        <f>HYPERLINK("https://twitter.com/petrogustavo/status/1235608488606339072","1235608488606339072")</f>
        <v>1235608488606339072</v>
      </c>
      <c r="F2910" s="7" t="s">
        <v>17</v>
      </c>
      <c r="G2910" s="7">
        <v>3656117</v>
      </c>
      <c r="H2910" s="7">
        <v>2355</v>
      </c>
      <c r="I2910" s="7">
        <v>78</v>
      </c>
      <c r="J2910" s="7">
        <v>0</v>
      </c>
      <c r="K2910" s="7" t="s">
        <v>18</v>
      </c>
      <c r="L2910" s="8">
        <v>39987.315405092595</v>
      </c>
      <c r="M2910" s="9" t="s">
        <v>19</v>
      </c>
      <c r="N2910" s="9" t="s">
        <v>20</v>
      </c>
      <c r="O2910" s="6" t="str">
        <f>HYPERLINK("https://pbs.twimg.com/profile_images/962471262747529216/Uo8lOkRJ_normal.jpg","View")</f>
        <v>View</v>
      </c>
      <c r="P2910" s="7"/>
    </row>
    <row r="2911" spans="1:16">
      <c r="A2911" s="3">
        <v>43895.931342592594</v>
      </c>
      <c r="B2911" s="4" t="str">
        <f>HYPERLINK("https://twitter.com/petrogustavo","@petrogustavo")</f>
        <v>@petrogustavo</v>
      </c>
      <c r="C2911" s="5" t="s">
        <v>16</v>
      </c>
      <c r="D2911" s="5" t="s">
        <v>2852</v>
      </c>
      <c r="E2911" s="6" t="str">
        <f>HYPERLINK("https://twitter.com/petrogustavo/status/1235608799140077568","1235608799140077568")</f>
        <v>1235608799140077568</v>
      </c>
      <c r="F2911" s="7" t="s">
        <v>17</v>
      </c>
      <c r="G2911" s="7">
        <v>3656117</v>
      </c>
      <c r="H2911" s="7">
        <v>2355</v>
      </c>
      <c r="I2911" s="7">
        <v>97</v>
      </c>
      <c r="J2911" s="7">
        <v>0</v>
      </c>
      <c r="K2911" s="7" t="s">
        <v>18</v>
      </c>
      <c r="L2911" s="8">
        <v>39987.315405092595</v>
      </c>
      <c r="M2911" s="9" t="s">
        <v>19</v>
      </c>
      <c r="N2911" s="9" t="s">
        <v>20</v>
      </c>
      <c r="O2911" s="6" t="str">
        <f>HYPERLINK("https://pbs.twimg.com/profile_images/962471262747529216/Uo8lOkRJ_normal.jpg","View")</f>
        <v>View</v>
      </c>
      <c r="P2911" s="7"/>
    </row>
    <row r="2912" spans="1:16">
      <c r="A2912" s="3">
        <v>43895.93273148148</v>
      </c>
      <c r="B2912" s="4" t="str">
        <f>HYPERLINK("https://twitter.com/petrogustavo","@petrogustavo")</f>
        <v>@petrogustavo</v>
      </c>
      <c r="C2912" s="5" t="s">
        <v>16</v>
      </c>
      <c r="D2912" s="5" t="s">
        <v>2853</v>
      </c>
      <c r="E2912" s="6" t="str">
        <f>HYPERLINK("https://twitter.com/petrogustavo/status/1235609301827403776","1235609301827403776")</f>
        <v>1235609301827403776</v>
      </c>
      <c r="F2912" s="7" t="s">
        <v>17</v>
      </c>
      <c r="G2912" s="7">
        <v>3656117</v>
      </c>
      <c r="H2912" s="7">
        <v>2355</v>
      </c>
      <c r="I2912" s="7">
        <v>163</v>
      </c>
      <c r="J2912" s="7">
        <v>393</v>
      </c>
      <c r="K2912" s="7" t="s">
        <v>18</v>
      </c>
      <c r="L2912" s="8">
        <v>39987.315405092595</v>
      </c>
      <c r="M2912" s="9" t="s">
        <v>19</v>
      </c>
      <c r="N2912" s="9" t="s">
        <v>20</v>
      </c>
      <c r="O2912" s="6" t="str">
        <f>HYPERLINK("https://pbs.twimg.com/profile_images/962471262747529216/Uo8lOkRJ_normal.jpg","View")</f>
        <v>View</v>
      </c>
      <c r="P2912" s="7"/>
    </row>
    <row r="2913" spans="1:16">
      <c r="A2913" s="3">
        <v>43895.933842592596</v>
      </c>
      <c r="B2913" s="4" t="str">
        <f>HYPERLINK("https://twitter.com/petrogustavo","@petrogustavo")</f>
        <v>@petrogustavo</v>
      </c>
      <c r="C2913" s="5" t="s">
        <v>16</v>
      </c>
      <c r="D2913" s="5" t="s">
        <v>2854</v>
      </c>
      <c r="E2913" s="6" t="str">
        <f>HYPERLINK("https://twitter.com/petrogustavo/status/1235609703591415811","1235609703591415811")</f>
        <v>1235609703591415811</v>
      </c>
      <c r="F2913" s="7" t="s">
        <v>17</v>
      </c>
      <c r="G2913" s="7">
        <v>3656117</v>
      </c>
      <c r="H2913" s="7">
        <v>2355</v>
      </c>
      <c r="I2913" s="7">
        <v>810</v>
      </c>
      <c r="J2913" s="7">
        <v>0</v>
      </c>
      <c r="K2913" s="7" t="s">
        <v>18</v>
      </c>
      <c r="L2913" s="8">
        <v>39987.315405092595</v>
      </c>
      <c r="M2913" s="9" t="s">
        <v>19</v>
      </c>
      <c r="N2913" s="9" t="s">
        <v>20</v>
      </c>
      <c r="O2913" s="6" t="str">
        <f>HYPERLINK("https://pbs.twimg.com/profile_images/962471262747529216/Uo8lOkRJ_normal.jpg","View")</f>
        <v>View</v>
      </c>
      <c r="P2913" s="7"/>
    </row>
    <row r="2914" spans="1:16">
      <c r="A2914" s="3">
        <v>43895.936168981483</v>
      </c>
      <c r="B2914" s="4" t="str">
        <f>HYPERLINK("https://twitter.com/petrogustavo","@petrogustavo")</f>
        <v>@petrogustavo</v>
      </c>
      <c r="C2914" s="5" t="s">
        <v>16</v>
      </c>
      <c r="D2914" s="5" t="s">
        <v>2855</v>
      </c>
      <c r="E2914" s="6" t="str">
        <f>HYPERLINK("https://twitter.com/petrogustavo/status/1235610545979613188","1235610545979613188")</f>
        <v>1235610545979613188</v>
      </c>
      <c r="F2914" s="7" t="s">
        <v>17</v>
      </c>
      <c r="G2914" s="7">
        <v>3656117</v>
      </c>
      <c r="H2914" s="7">
        <v>2355</v>
      </c>
      <c r="I2914" s="7">
        <v>164</v>
      </c>
      <c r="J2914" s="7">
        <v>0</v>
      </c>
      <c r="K2914" s="7" t="s">
        <v>18</v>
      </c>
      <c r="L2914" s="8">
        <v>39987.315405092595</v>
      </c>
      <c r="M2914" s="9" t="s">
        <v>19</v>
      </c>
      <c r="N2914" s="9" t="s">
        <v>20</v>
      </c>
      <c r="O2914" s="6" t="str">
        <f>HYPERLINK("https://pbs.twimg.com/profile_images/962471262747529216/Uo8lOkRJ_normal.jpg","View")</f>
        <v>View</v>
      </c>
      <c r="P2914" s="7"/>
    </row>
    <row r="2915" spans="1:16">
      <c r="A2915" s="3">
        <v>43895.936423611114</v>
      </c>
      <c r="B2915" s="4" t="str">
        <f>HYPERLINK("https://twitter.com/petrogustavo","@petrogustavo")</f>
        <v>@petrogustavo</v>
      </c>
      <c r="C2915" s="5" t="s">
        <v>16</v>
      </c>
      <c r="D2915" s="5" t="s">
        <v>2856</v>
      </c>
      <c r="E2915" s="6" t="str">
        <f>HYPERLINK("https://twitter.com/petrogustavo/status/1235610637012586497","1235610637012586497")</f>
        <v>1235610637012586497</v>
      </c>
      <c r="F2915" s="7" t="s">
        <v>17</v>
      </c>
      <c r="G2915" s="7">
        <v>3656117</v>
      </c>
      <c r="H2915" s="7">
        <v>2355</v>
      </c>
      <c r="I2915" s="7">
        <v>2123</v>
      </c>
      <c r="J2915" s="7">
        <v>0</v>
      </c>
      <c r="K2915" s="7" t="s">
        <v>18</v>
      </c>
      <c r="L2915" s="8">
        <v>39987.315405092595</v>
      </c>
      <c r="M2915" s="9" t="s">
        <v>19</v>
      </c>
      <c r="N2915" s="9" t="s">
        <v>20</v>
      </c>
      <c r="O2915" s="6" t="str">
        <f>HYPERLINK("https://pbs.twimg.com/profile_images/962471262747529216/Uo8lOkRJ_normal.jpg","View")</f>
        <v>View</v>
      </c>
      <c r="P2915" s="7"/>
    </row>
    <row r="2916" spans="1:16">
      <c r="A2916" s="3">
        <v>43895.937094907407</v>
      </c>
      <c r="B2916" s="4" t="str">
        <f>HYPERLINK("https://twitter.com/petrogustavo","@petrogustavo")</f>
        <v>@petrogustavo</v>
      </c>
      <c r="C2916" s="5" t="s">
        <v>16</v>
      </c>
      <c r="D2916" s="5" t="s">
        <v>2857</v>
      </c>
      <c r="E2916" s="6" t="str">
        <f>HYPERLINK("https://twitter.com/petrogustavo/status/1235610882329047040","1235610882329047040")</f>
        <v>1235610882329047040</v>
      </c>
      <c r="F2916" s="7" t="s">
        <v>17</v>
      </c>
      <c r="G2916" s="7">
        <v>3656117</v>
      </c>
      <c r="H2916" s="7">
        <v>2355</v>
      </c>
      <c r="I2916" s="7">
        <v>5</v>
      </c>
      <c r="J2916" s="7">
        <v>0</v>
      </c>
      <c r="K2916" s="7" t="s">
        <v>18</v>
      </c>
      <c r="L2916" s="8">
        <v>39987.315405092595</v>
      </c>
      <c r="M2916" s="9" t="s">
        <v>19</v>
      </c>
      <c r="N2916" s="9" t="s">
        <v>20</v>
      </c>
      <c r="O2916" s="6" t="str">
        <f>HYPERLINK("https://pbs.twimg.com/profile_images/962471262747529216/Uo8lOkRJ_normal.jpg","View")</f>
        <v>View</v>
      </c>
      <c r="P2916" s="7"/>
    </row>
    <row r="2917" spans="1:16">
      <c r="A2917" s="3">
        <v>43895.938587962963</v>
      </c>
      <c r="B2917" s="4" t="str">
        <f>HYPERLINK("https://twitter.com/petrogustavo","@petrogustavo")</f>
        <v>@petrogustavo</v>
      </c>
      <c r="C2917" s="5" t="s">
        <v>16</v>
      </c>
      <c r="D2917" s="5" t="s">
        <v>2858</v>
      </c>
      <c r="E2917" s="6" t="str">
        <f>HYPERLINK("https://twitter.com/petrogustavo/status/1235611423415377920","1235611423415377920")</f>
        <v>1235611423415377920</v>
      </c>
      <c r="F2917" s="7" t="s">
        <v>17</v>
      </c>
      <c r="G2917" s="7">
        <v>3656117</v>
      </c>
      <c r="H2917" s="7">
        <v>2355</v>
      </c>
      <c r="I2917" s="7">
        <v>46</v>
      </c>
      <c r="J2917" s="7">
        <v>0</v>
      </c>
      <c r="K2917" s="7" t="s">
        <v>18</v>
      </c>
      <c r="L2917" s="8">
        <v>39987.315405092595</v>
      </c>
      <c r="M2917" s="9" t="s">
        <v>19</v>
      </c>
      <c r="N2917" s="9" t="s">
        <v>20</v>
      </c>
      <c r="O2917" s="6" t="str">
        <f>HYPERLINK("https://pbs.twimg.com/profile_images/962471262747529216/Uo8lOkRJ_normal.jpg","View")</f>
        <v>View</v>
      </c>
      <c r="P2917" s="7"/>
    </row>
    <row r="2918" spans="1:16">
      <c r="A2918" s="3">
        <v>43895.94127314815</v>
      </c>
      <c r="B2918" s="4" t="str">
        <f>HYPERLINK("https://twitter.com/petrogustavo","@petrogustavo")</f>
        <v>@petrogustavo</v>
      </c>
      <c r="C2918" s="5" t="s">
        <v>16</v>
      </c>
      <c r="D2918" s="5" t="s">
        <v>2859</v>
      </c>
      <c r="E2918" s="6" t="str">
        <f>HYPERLINK("https://twitter.com/petrogustavo/status/1235612394925314049","1235612394925314049")</f>
        <v>1235612394925314049</v>
      </c>
      <c r="F2918" s="7" t="s">
        <v>17</v>
      </c>
      <c r="G2918" s="7">
        <v>3656117</v>
      </c>
      <c r="H2918" s="7">
        <v>2355</v>
      </c>
      <c r="I2918" s="7">
        <v>861</v>
      </c>
      <c r="J2918" s="7">
        <v>0</v>
      </c>
      <c r="K2918" s="7" t="s">
        <v>18</v>
      </c>
      <c r="L2918" s="8">
        <v>39987.315405092595</v>
      </c>
      <c r="M2918" s="9" t="s">
        <v>19</v>
      </c>
      <c r="N2918" s="9" t="s">
        <v>20</v>
      </c>
      <c r="O2918" s="6" t="str">
        <f>HYPERLINK("https://pbs.twimg.com/profile_images/962471262747529216/Uo8lOkRJ_normal.jpg","View")</f>
        <v>View</v>
      </c>
      <c r="P2918" s="7"/>
    </row>
    <row r="2919" spans="1:16">
      <c r="A2919" s="3">
        <v>43895.944166666668</v>
      </c>
      <c r="B2919" s="4" t="str">
        <f>HYPERLINK("https://twitter.com/petrogustavo","@petrogustavo")</f>
        <v>@petrogustavo</v>
      </c>
      <c r="C2919" s="5" t="s">
        <v>16</v>
      </c>
      <c r="D2919" s="5" t="s">
        <v>2860</v>
      </c>
      <c r="E2919" s="6" t="str">
        <f>HYPERLINK("https://twitter.com/petrogustavo/status/1235613444512059392","1235613444512059392")</f>
        <v>1235613444512059392</v>
      </c>
      <c r="F2919" s="7" t="s">
        <v>17</v>
      </c>
      <c r="G2919" s="7">
        <v>3656117</v>
      </c>
      <c r="H2919" s="7">
        <v>2355</v>
      </c>
      <c r="I2919" s="7">
        <v>226</v>
      </c>
      <c r="J2919" s="7">
        <v>608</v>
      </c>
      <c r="K2919" s="7" t="s">
        <v>18</v>
      </c>
      <c r="L2919" s="8">
        <v>39987.315405092595</v>
      </c>
      <c r="M2919" s="9" t="s">
        <v>19</v>
      </c>
      <c r="N2919" s="9" t="s">
        <v>20</v>
      </c>
      <c r="O2919" s="6" t="str">
        <f>HYPERLINK("https://pbs.twimg.com/profile_images/962471262747529216/Uo8lOkRJ_normal.jpg","View")</f>
        <v>View</v>
      </c>
      <c r="P2919" s="7"/>
    </row>
    <row r="2920" spans="1:16">
      <c r="A2920" s="3">
        <v>43895.949317129634</v>
      </c>
      <c r="B2920" s="4" t="str">
        <f>HYPERLINK("https://twitter.com/petrogustavo","@petrogustavo")</f>
        <v>@petrogustavo</v>
      </c>
      <c r="C2920" s="5" t="s">
        <v>16</v>
      </c>
      <c r="D2920" s="5" t="s">
        <v>2861</v>
      </c>
      <c r="E2920" s="6" t="str">
        <f>HYPERLINK("https://twitter.com/petrogustavo/status/1235615309668614149","1235615309668614149")</f>
        <v>1235615309668614149</v>
      </c>
      <c r="F2920" s="7" t="s">
        <v>17</v>
      </c>
      <c r="G2920" s="7">
        <v>3656117</v>
      </c>
      <c r="H2920" s="7">
        <v>2355</v>
      </c>
      <c r="I2920" s="7">
        <v>68</v>
      </c>
      <c r="J2920" s="7">
        <v>0</v>
      </c>
      <c r="K2920" s="7" t="s">
        <v>18</v>
      </c>
      <c r="L2920" s="8">
        <v>39987.315405092595</v>
      </c>
      <c r="M2920" s="9" t="s">
        <v>19</v>
      </c>
      <c r="N2920" s="9" t="s">
        <v>20</v>
      </c>
      <c r="O2920" s="6" t="str">
        <f>HYPERLINK("https://pbs.twimg.com/profile_images/962471262747529216/Uo8lOkRJ_normal.jpg","View")</f>
        <v>View</v>
      </c>
      <c r="P2920" s="7"/>
    </row>
    <row r="2921" spans="1:16">
      <c r="A2921" s="3">
        <v>43895.949722222227</v>
      </c>
      <c r="B2921" s="4" t="str">
        <f>HYPERLINK("https://twitter.com/petrogustavo","@petrogustavo")</f>
        <v>@petrogustavo</v>
      </c>
      <c r="C2921" s="5" t="s">
        <v>16</v>
      </c>
      <c r="D2921" s="5" t="s">
        <v>2862</v>
      </c>
      <c r="E2921" s="6" t="str">
        <f>HYPERLINK("https://twitter.com/petrogustavo/status/1235615459917148162","1235615459917148162")</f>
        <v>1235615459917148162</v>
      </c>
      <c r="F2921" s="7" t="s">
        <v>17</v>
      </c>
      <c r="G2921" s="7">
        <v>3656136</v>
      </c>
      <c r="H2921" s="7">
        <v>2355</v>
      </c>
      <c r="I2921" s="7">
        <v>813</v>
      </c>
      <c r="J2921" s="7">
        <v>0</v>
      </c>
      <c r="K2921" s="7" t="s">
        <v>18</v>
      </c>
      <c r="L2921" s="8">
        <v>39987.315405092595</v>
      </c>
      <c r="M2921" s="9" t="s">
        <v>19</v>
      </c>
      <c r="N2921" s="9" t="s">
        <v>20</v>
      </c>
      <c r="O2921" s="6" t="str">
        <f>HYPERLINK("https://pbs.twimg.com/profile_images/962471262747529216/Uo8lOkRJ_normal.jpg","View")</f>
        <v>View</v>
      </c>
      <c r="P2921" s="7"/>
    </row>
    <row r="2922" spans="1:16">
      <c r="A2922" s="3">
        <v>43896.135104166664</v>
      </c>
      <c r="B2922" s="4" t="str">
        <f>HYPERLINK("https://twitter.com/petrogustavo","@petrogustavo")</f>
        <v>@petrogustavo</v>
      </c>
      <c r="C2922" s="5" t="s">
        <v>16</v>
      </c>
      <c r="D2922" s="5" t="s">
        <v>2863</v>
      </c>
      <c r="E2922" s="6" t="str">
        <f>HYPERLINK("https://twitter.com/petrogustavo/status/1235682636493971457","1235682636493971457")</f>
        <v>1235682636493971457</v>
      </c>
      <c r="F2922" s="7" t="s">
        <v>17</v>
      </c>
      <c r="G2922" s="7">
        <v>3656303</v>
      </c>
      <c r="H2922" s="7">
        <v>2355</v>
      </c>
      <c r="I2922" s="7">
        <v>817</v>
      </c>
      <c r="J2922" s="7">
        <v>0</v>
      </c>
      <c r="K2922" s="7" t="s">
        <v>18</v>
      </c>
      <c r="L2922" s="8">
        <v>39987.315405092595</v>
      </c>
      <c r="M2922" s="9" t="s">
        <v>19</v>
      </c>
      <c r="N2922" s="9" t="s">
        <v>20</v>
      </c>
      <c r="O2922" s="6" t="str">
        <f>HYPERLINK("https://pbs.twimg.com/profile_images/962471262747529216/Uo8lOkRJ_normal.jpg","View")</f>
        <v>View</v>
      </c>
      <c r="P2922" s="7"/>
    </row>
    <row r="2923" spans="1:16">
      <c r="A2923" s="3">
        <v>43896.145185185189</v>
      </c>
      <c r="B2923" s="4" t="str">
        <f>HYPERLINK("https://twitter.com/petrogustavo","@petrogustavo")</f>
        <v>@petrogustavo</v>
      </c>
      <c r="C2923" s="5" t="s">
        <v>16</v>
      </c>
      <c r="D2923" s="5" t="s">
        <v>2862</v>
      </c>
      <c r="E2923" s="6" t="str">
        <f>HYPERLINK("https://twitter.com/petrogustavo/status/1235686291628535808","1235686291628535808")</f>
        <v>1235686291628535808</v>
      </c>
      <c r="F2923" s="7" t="s">
        <v>17</v>
      </c>
      <c r="G2923" s="7">
        <v>3656324</v>
      </c>
      <c r="H2923" s="7">
        <v>2355</v>
      </c>
      <c r="I2923" s="7">
        <v>3121</v>
      </c>
      <c r="J2923" s="7">
        <v>0</v>
      </c>
      <c r="K2923" s="7" t="s">
        <v>18</v>
      </c>
      <c r="L2923" s="8">
        <v>39987.315405092595</v>
      </c>
      <c r="M2923" s="9" t="s">
        <v>19</v>
      </c>
      <c r="N2923" s="9" t="s">
        <v>20</v>
      </c>
      <c r="O2923" s="6" t="str">
        <f>HYPERLINK("https://pbs.twimg.com/profile_images/962471262747529216/Uo8lOkRJ_normal.jpg","View")</f>
        <v>View</v>
      </c>
      <c r="P2923" s="7"/>
    </row>
    <row r="2924" spans="1:16">
      <c r="A2924" s="3">
        <v>43896.145925925928</v>
      </c>
      <c r="B2924" s="4" t="str">
        <f>HYPERLINK("https://twitter.com/petrogustavo","@petrogustavo")</f>
        <v>@petrogustavo</v>
      </c>
      <c r="C2924" s="5" t="s">
        <v>16</v>
      </c>
      <c r="D2924" s="5" t="s">
        <v>2864</v>
      </c>
      <c r="E2924" s="6" t="str">
        <f>HYPERLINK("https://twitter.com/petrogustavo/status/1235686558046531585","1235686558046531585")</f>
        <v>1235686558046531585</v>
      </c>
      <c r="F2924" s="7" t="s">
        <v>17</v>
      </c>
      <c r="G2924" s="7">
        <v>3656324</v>
      </c>
      <c r="H2924" s="7">
        <v>2355</v>
      </c>
      <c r="I2924" s="7">
        <v>1316</v>
      </c>
      <c r="J2924" s="7">
        <v>0</v>
      </c>
      <c r="K2924" s="7" t="s">
        <v>18</v>
      </c>
      <c r="L2924" s="8">
        <v>39987.315405092595</v>
      </c>
      <c r="M2924" s="9" t="s">
        <v>19</v>
      </c>
      <c r="N2924" s="9" t="s">
        <v>20</v>
      </c>
      <c r="O2924" s="6" t="str">
        <f>HYPERLINK("https://pbs.twimg.com/profile_images/962471262747529216/Uo8lOkRJ_normal.jpg","View")</f>
        <v>View</v>
      </c>
      <c r="P2924" s="7"/>
    </row>
    <row r="2925" spans="1:16">
      <c r="A2925" s="3">
        <v>43896.147407407407</v>
      </c>
      <c r="B2925" s="4" t="str">
        <f>HYPERLINK("https://twitter.com/petrogustavo","@petrogustavo")</f>
        <v>@petrogustavo</v>
      </c>
      <c r="C2925" s="5" t="s">
        <v>16</v>
      </c>
      <c r="D2925" s="5" t="s">
        <v>2865</v>
      </c>
      <c r="E2925" s="6" t="str">
        <f>HYPERLINK("https://twitter.com/petrogustavo/status/1235687096519712768","1235687096519712768")</f>
        <v>1235687096519712768</v>
      </c>
      <c r="F2925" s="7" t="s">
        <v>17</v>
      </c>
      <c r="G2925" s="7">
        <v>3656324</v>
      </c>
      <c r="H2925" s="7">
        <v>2355</v>
      </c>
      <c r="I2925" s="7">
        <v>565</v>
      </c>
      <c r="J2925" s="7">
        <v>0</v>
      </c>
      <c r="K2925" s="7" t="s">
        <v>18</v>
      </c>
      <c r="L2925" s="8">
        <v>39987.315405092595</v>
      </c>
      <c r="M2925" s="9" t="s">
        <v>19</v>
      </c>
      <c r="N2925" s="9" t="s">
        <v>20</v>
      </c>
      <c r="O2925" s="6" t="str">
        <f>HYPERLINK("https://pbs.twimg.com/profile_images/962471262747529216/Uo8lOkRJ_normal.jpg","View")</f>
        <v>View</v>
      </c>
      <c r="P2925" s="7"/>
    </row>
    <row r="2926" spans="1:16">
      <c r="A2926" s="3">
        <v>43896.151354166665</v>
      </c>
      <c r="B2926" s="4" t="str">
        <f>HYPERLINK("https://twitter.com/petrogustavo","@petrogustavo")</f>
        <v>@petrogustavo</v>
      </c>
      <c r="C2926" s="5" t="s">
        <v>16</v>
      </c>
      <c r="D2926" s="5" t="s">
        <v>2866</v>
      </c>
      <c r="E2926" s="6" t="str">
        <f>HYPERLINK("https://twitter.com/petrogustavo/status/1235688526857060352","1235688526857060352")</f>
        <v>1235688526857060352</v>
      </c>
      <c r="F2926" s="7" t="s">
        <v>17</v>
      </c>
      <c r="G2926" s="7">
        <v>3656324</v>
      </c>
      <c r="H2926" s="7">
        <v>2355</v>
      </c>
      <c r="I2926" s="7">
        <v>211</v>
      </c>
      <c r="J2926" s="7">
        <v>0</v>
      </c>
      <c r="K2926" s="7" t="s">
        <v>18</v>
      </c>
      <c r="L2926" s="8">
        <v>39987.315405092595</v>
      </c>
      <c r="M2926" s="9" t="s">
        <v>19</v>
      </c>
      <c r="N2926" s="9" t="s">
        <v>20</v>
      </c>
      <c r="O2926" s="6" t="str">
        <f>HYPERLINK("https://pbs.twimg.com/profile_images/962471262747529216/Uo8lOkRJ_normal.jpg","View")</f>
        <v>View</v>
      </c>
      <c r="P2926" s="7"/>
    </row>
    <row r="2927" spans="1:16">
      <c r="A2927" s="3">
        <v>43896.152615740742</v>
      </c>
      <c r="B2927" s="4" t="str">
        <f>HYPERLINK("https://twitter.com/petrogustavo","@petrogustavo")</f>
        <v>@petrogustavo</v>
      </c>
      <c r="C2927" s="5" t="s">
        <v>16</v>
      </c>
      <c r="D2927" s="5" t="s">
        <v>2867</v>
      </c>
      <c r="E2927" s="6" t="str">
        <f>HYPERLINK("https://twitter.com/petrogustavo/status/1235688982190518272","1235688982190518272")</f>
        <v>1235688982190518272</v>
      </c>
      <c r="F2927" s="7" t="s">
        <v>17</v>
      </c>
      <c r="G2927" s="7">
        <v>3656324</v>
      </c>
      <c r="H2927" s="7">
        <v>2355</v>
      </c>
      <c r="I2927" s="7">
        <v>814</v>
      </c>
      <c r="J2927" s="7">
        <v>0</v>
      </c>
      <c r="K2927" s="7" t="s">
        <v>18</v>
      </c>
      <c r="L2927" s="8">
        <v>39987.315405092595</v>
      </c>
      <c r="M2927" s="9" t="s">
        <v>19</v>
      </c>
      <c r="N2927" s="9" t="s">
        <v>20</v>
      </c>
      <c r="O2927" s="6" t="str">
        <f>HYPERLINK("https://pbs.twimg.com/profile_images/962471262747529216/Uo8lOkRJ_normal.jpg","View")</f>
        <v>View</v>
      </c>
      <c r="P2927" s="7"/>
    </row>
    <row r="2928" spans="1:16">
      <c r="A2928" s="3">
        <v>43896.155092592591</v>
      </c>
      <c r="B2928" s="4" t="str">
        <f>HYPERLINK("https://twitter.com/petrogustavo","@petrogustavo")</f>
        <v>@petrogustavo</v>
      </c>
      <c r="C2928" s="5" t="s">
        <v>16</v>
      </c>
      <c r="D2928" s="5" t="s">
        <v>2868</v>
      </c>
      <c r="E2928" s="6" t="str">
        <f>HYPERLINK("https://twitter.com/petrogustavo/status/1235689880946081793","1235689880946081793")</f>
        <v>1235689880946081793</v>
      </c>
      <c r="F2928" s="7" t="s">
        <v>17</v>
      </c>
      <c r="G2928" s="7">
        <v>3656324</v>
      </c>
      <c r="H2928" s="7">
        <v>2355</v>
      </c>
      <c r="I2928" s="7">
        <v>87</v>
      </c>
      <c r="J2928" s="7">
        <v>173</v>
      </c>
      <c r="K2928" s="7" t="s">
        <v>18</v>
      </c>
      <c r="L2928" s="8">
        <v>39987.315405092595</v>
      </c>
      <c r="M2928" s="9" t="s">
        <v>19</v>
      </c>
      <c r="N2928" s="9" t="s">
        <v>20</v>
      </c>
      <c r="O2928" s="6" t="str">
        <f>HYPERLINK("https://pbs.twimg.com/profile_images/962471262747529216/Uo8lOkRJ_normal.jpg","View")</f>
        <v>View</v>
      </c>
      <c r="P2928" s="7"/>
    </row>
    <row r="2929" spans="1:16">
      <c r="A2929" s="3">
        <v>43896.166122685187</v>
      </c>
      <c r="B2929" s="4" t="str">
        <f>HYPERLINK("https://twitter.com/petrogustavo","@petrogustavo")</f>
        <v>@petrogustavo</v>
      </c>
      <c r="C2929" s="5" t="s">
        <v>16</v>
      </c>
      <c r="D2929" s="5" t="s">
        <v>2869</v>
      </c>
      <c r="E2929" s="6" t="str">
        <f>HYPERLINK("https://twitter.com/petrogustavo/status/1235693880269590538","1235693880269590538")</f>
        <v>1235693880269590538</v>
      </c>
      <c r="F2929" s="7" t="s">
        <v>17</v>
      </c>
      <c r="G2929" s="7">
        <v>3656328</v>
      </c>
      <c r="H2929" s="7">
        <v>2355</v>
      </c>
      <c r="I2929" s="7">
        <v>365</v>
      </c>
      <c r="J2929" s="7">
        <v>0</v>
      </c>
      <c r="K2929" s="7" t="s">
        <v>18</v>
      </c>
      <c r="L2929" s="8">
        <v>39987.315405092595</v>
      </c>
      <c r="M2929" s="9" t="s">
        <v>19</v>
      </c>
      <c r="N2929" s="9" t="s">
        <v>20</v>
      </c>
      <c r="O2929" s="6" t="str">
        <f>HYPERLINK("https://pbs.twimg.com/profile_images/962471262747529216/Uo8lOkRJ_normal.jpg","View")</f>
        <v>View</v>
      </c>
      <c r="P2929" s="7"/>
    </row>
    <row r="2930" spans="1:16">
      <c r="A2930" s="3">
        <v>43896.173935185187</v>
      </c>
      <c r="B2930" s="4" t="str">
        <f>HYPERLINK("https://twitter.com/petrogustavo","@petrogustavo")</f>
        <v>@petrogustavo</v>
      </c>
      <c r="C2930" s="5" t="s">
        <v>16</v>
      </c>
      <c r="D2930" s="5" t="s">
        <v>2870</v>
      </c>
      <c r="E2930" s="6" t="str">
        <f>HYPERLINK("https://twitter.com/petrogustavo/status/1235696709054971906","1235696709054971906")</f>
        <v>1235696709054971906</v>
      </c>
      <c r="F2930" s="7" t="s">
        <v>17</v>
      </c>
      <c r="G2930" s="7">
        <v>3656328</v>
      </c>
      <c r="H2930" s="7">
        <v>2355</v>
      </c>
      <c r="I2930" s="7">
        <v>319</v>
      </c>
      <c r="J2930" s="7">
        <v>0</v>
      </c>
      <c r="K2930" s="7" t="s">
        <v>18</v>
      </c>
      <c r="L2930" s="8">
        <v>39987.315405092595</v>
      </c>
      <c r="M2930" s="9" t="s">
        <v>19</v>
      </c>
      <c r="N2930" s="9" t="s">
        <v>20</v>
      </c>
      <c r="O2930" s="6" t="str">
        <f>HYPERLINK("https://pbs.twimg.com/profile_images/962471262747529216/Uo8lOkRJ_normal.jpg","View")</f>
        <v>View</v>
      </c>
      <c r="P2930" s="7"/>
    </row>
    <row r="2931" spans="1:16">
      <c r="A2931" s="3">
        <v>43896.176307870366</v>
      </c>
      <c r="B2931" s="4" t="str">
        <f>HYPERLINK("https://twitter.com/petrogustavo","@petrogustavo")</f>
        <v>@petrogustavo</v>
      </c>
      <c r="C2931" s="5" t="s">
        <v>16</v>
      </c>
      <c r="D2931" s="5" t="s">
        <v>2871</v>
      </c>
      <c r="E2931" s="6" t="str">
        <f>HYPERLINK("https://twitter.com/petrogustavo/status/1235697569973628928","1235697569973628928")</f>
        <v>1235697569973628928</v>
      </c>
      <c r="F2931" s="7" t="s">
        <v>17</v>
      </c>
      <c r="G2931" s="7">
        <v>3656328</v>
      </c>
      <c r="H2931" s="7">
        <v>2355</v>
      </c>
      <c r="I2931" s="7">
        <v>359</v>
      </c>
      <c r="J2931" s="7">
        <v>0</v>
      </c>
      <c r="K2931" s="7" t="s">
        <v>18</v>
      </c>
      <c r="L2931" s="8">
        <v>39987.315405092595</v>
      </c>
      <c r="M2931" s="9" t="s">
        <v>19</v>
      </c>
      <c r="N2931" s="9" t="s">
        <v>20</v>
      </c>
      <c r="O2931" s="6" t="str">
        <f>HYPERLINK("https://pbs.twimg.com/profile_images/962471262747529216/Uo8lOkRJ_normal.jpg","View")</f>
        <v>View</v>
      </c>
      <c r="P2931" s="7"/>
    </row>
    <row r="2932" spans="1:16">
      <c r="A2932" s="3">
        <v>43896.182280092587</v>
      </c>
      <c r="B2932" s="4" t="str">
        <f>HYPERLINK("https://twitter.com/petrogustavo","@petrogustavo")</f>
        <v>@petrogustavo</v>
      </c>
      <c r="C2932" s="5" t="s">
        <v>16</v>
      </c>
      <c r="D2932" s="5" t="s">
        <v>2872</v>
      </c>
      <c r="E2932" s="6" t="str">
        <f>HYPERLINK("https://twitter.com/petrogustavo/status/1235699735866073089","1235699735866073089")</f>
        <v>1235699735866073089</v>
      </c>
      <c r="F2932" s="7" t="s">
        <v>17</v>
      </c>
      <c r="G2932" s="7">
        <v>3656344</v>
      </c>
      <c r="H2932" s="7">
        <v>2355</v>
      </c>
      <c r="I2932" s="7">
        <v>105</v>
      </c>
      <c r="J2932" s="7">
        <v>0</v>
      </c>
      <c r="K2932" s="7" t="s">
        <v>18</v>
      </c>
      <c r="L2932" s="8">
        <v>39987.315405092595</v>
      </c>
      <c r="M2932" s="9" t="s">
        <v>19</v>
      </c>
      <c r="N2932" s="9" t="s">
        <v>20</v>
      </c>
      <c r="O2932" s="6" t="str">
        <f>HYPERLINK("https://pbs.twimg.com/profile_images/962471262747529216/Uo8lOkRJ_normal.jpg","View")</f>
        <v>View</v>
      </c>
      <c r="P2932" s="7"/>
    </row>
    <row r="2933" spans="1:16">
      <c r="A2933" s="3">
        <v>43896.18472222222</v>
      </c>
      <c r="B2933" s="4" t="str">
        <f>HYPERLINK("https://twitter.com/petrogustavo","@petrogustavo")</f>
        <v>@petrogustavo</v>
      </c>
      <c r="C2933" s="5" t="s">
        <v>16</v>
      </c>
      <c r="D2933" s="5" t="s">
        <v>2873</v>
      </c>
      <c r="E2933" s="6" t="str">
        <f>HYPERLINK("https://twitter.com/petrogustavo/status/1235700617479368704","1235700617479368704")</f>
        <v>1235700617479368704</v>
      </c>
      <c r="F2933" s="7" t="s">
        <v>17</v>
      </c>
      <c r="G2933" s="7">
        <v>3656344</v>
      </c>
      <c r="H2933" s="7">
        <v>2355</v>
      </c>
      <c r="I2933" s="7">
        <v>46</v>
      </c>
      <c r="J2933" s="7">
        <v>0</v>
      </c>
      <c r="K2933" s="7" t="s">
        <v>18</v>
      </c>
      <c r="L2933" s="8">
        <v>39987.315405092595</v>
      </c>
      <c r="M2933" s="9" t="s">
        <v>19</v>
      </c>
      <c r="N2933" s="9" t="s">
        <v>20</v>
      </c>
      <c r="O2933" s="6" t="str">
        <f>HYPERLINK("https://pbs.twimg.com/profile_images/962471262747529216/Uo8lOkRJ_normal.jpg","View")</f>
        <v>View</v>
      </c>
      <c r="P2933" s="7"/>
    </row>
    <row r="2934" spans="1:16">
      <c r="A2934" s="3">
        <v>43896.186631944445</v>
      </c>
      <c r="B2934" s="4" t="str">
        <f>HYPERLINK("https://twitter.com/petrogustavo","@petrogustavo")</f>
        <v>@petrogustavo</v>
      </c>
      <c r="C2934" s="5" t="s">
        <v>16</v>
      </c>
      <c r="D2934" s="5" t="s">
        <v>2874</v>
      </c>
      <c r="E2934" s="6" t="str">
        <f>HYPERLINK("https://twitter.com/petrogustavo/status/1235701310017744897","1235701310017744897")</f>
        <v>1235701310017744897</v>
      </c>
      <c r="F2934" s="7" t="s">
        <v>17</v>
      </c>
      <c r="G2934" s="7">
        <v>3656344</v>
      </c>
      <c r="H2934" s="7">
        <v>2355</v>
      </c>
      <c r="I2934" s="7">
        <v>149</v>
      </c>
      <c r="J2934" s="7">
        <v>361</v>
      </c>
      <c r="K2934" s="7" t="s">
        <v>18</v>
      </c>
      <c r="L2934" s="8">
        <v>39987.315405092595</v>
      </c>
      <c r="M2934" s="9" t="s">
        <v>19</v>
      </c>
      <c r="N2934" s="9" t="s">
        <v>20</v>
      </c>
      <c r="O2934" s="6" t="str">
        <f>HYPERLINK("https://pbs.twimg.com/profile_images/962471262747529216/Uo8lOkRJ_normal.jpg","View")</f>
        <v>View</v>
      </c>
      <c r="P2934" s="7"/>
    </row>
    <row r="2935" spans="1:16">
      <c r="A2935" s="3">
        <v>43896.192129629635</v>
      </c>
      <c r="B2935" s="4" t="str">
        <f>HYPERLINK("https://twitter.com/petrogustavo","@petrogustavo")</f>
        <v>@petrogustavo</v>
      </c>
      <c r="C2935" s="5" t="s">
        <v>16</v>
      </c>
      <c r="D2935" s="5" t="s">
        <v>2875</v>
      </c>
      <c r="E2935" s="6" t="str">
        <f>HYPERLINK("https://twitter.com/petrogustavo/status/1235703301825613825","1235703301825613825")</f>
        <v>1235703301825613825</v>
      </c>
      <c r="F2935" s="7" t="s">
        <v>17</v>
      </c>
      <c r="G2935" s="7">
        <v>3656344</v>
      </c>
      <c r="H2935" s="7">
        <v>2355</v>
      </c>
      <c r="I2935" s="7">
        <v>281</v>
      </c>
      <c r="J2935" s="7">
        <v>0</v>
      </c>
      <c r="K2935" s="7" t="s">
        <v>18</v>
      </c>
      <c r="L2935" s="8">
        <v>39987.315405092595</v>
      </c>
      <c r="M2935" s="9" t="s">
        <v>19</v>
      </c>
      <c r="N2935" s="9" t="s">
        <v>20</v>
      </c>
      <c r="O2935" s="6" t="str">
        <f>HYPERLINK("https://pbs.twimg.com/profile_images/962471262747529216/Uo8lOkRJ_normal.jpg","View")</f>
        <v>View</v>
      </c>
      <c r="P2935" s="7"/>
    </row>
    <row r="2936" spans="1:16">
      <c r="A2936" s="3">
        <v>43896.194861111115</v>
      </c>
      <c r="B2936" s="4" t="str">
        <f>HYPERLINK("https://twitter.com/petrogustavo","@petrogustavo")</f>
        <v>@petrogustavo</v>
      </c>
      <c r="C2936" s="5" t="s">
        <v>16</v>
      </c>
      <c r="D2936" s="5" t="s">
        <v>2876</v>
      </c>
      <c r="E2936" s="6" t="str">
        <f>HYPERLINK("https://twitter.com/petrogustavo/status/1235704294411833346","1235704294411833346")</f>
        <v>1235704294411833346</v>
      </c>
      <c r="F2936" s="7" t="s">
        <v>17</v>
      </c>
      <c r="G2936" s="7">
        <v>3656344</v>
      </c>
      <c r="H2936" s="7">
        <v>2355</v>
      </c>
      <c r="I2936" s="7">
        <v>764</v>
      </c>
      <c r="J2936" s="7">
        <v>0</v>
      </c>
      <c r="K2936" s="7" t="s">
        <v>18</v>
      </c>
      <c r="L2936" s="8">
        <v>39987.315405092595</v>
      </c>
      <c r="M2936" s="9" t="s">
        <v>19</v>
      </c>
      <c r="N2936" s="9" t="s">
        <v>20</v>
      </c>
      <c r="O2936" s="6" t="str">
        <f>HYPERLINK("https://pbs.twimg.com/profile_images/962471262747529216/Uo8lOkRJ_normal.jpg","View")</f>
        <v>View</v>
      </c>
      <c r="P2936" s="7"/>
    </row>
    <row r="2937" spans="1:16">
      <c r="A2937" s="3">
        <v>43896.293437500004</v>
      </c>
      <c r="B2937" s="4" t="str">
        <f>HYPERLINK("https://twitter.com/petrogustavo","@petrogustavo")</f>
        <v>@petrogustavo</v>
      </c>
      <c r="C2937" s="5" t="s">
        <v>16</v>
      </c>
      <c r="D2937" s="5" t="s">
        <v>2877</v>
      </c>
      <c r="E2937" s="6" t="str">
        <f>HYPERLINK("https://twitter.com/petrogustavo/status/1235740015445061632","1235740015445061632")</f>
        <v>1235740015445061632</v>
      </c>
      <c r="F2937" s="7" t="s">
        <v>17</v>
      </c>
      <c r="G2937" s="7">
        <v>3656464</v>
      </c>
      <c r="H2937" s="7">
        <v>2355</v>
      </c>
      <c r="I2937" s="7">
        <v>1179</v>
      </c>
      <c r="J2937" s="7">
        <v>0</v>
      </c>
      <c r="K2937" s="7" t="s">
        <v>18</v>
      </c>
      <c r="L2937" s="8">
        <v>39987.315405092595</v>
      </c>
      <c r="M2937" s="9" t="s">
        <v>19</v>
      </c>
      <c r="N2937" s="9" t="s">
        <v>20</v>
      </c>
      <c r="O2937" s="6" t="str">
        <f>HYPERLINK("https://pbs.twimg.com/profile_images/962471262747529216/Uo8lOkRJ_normal.jpg","View")</f>
        <v>View</v>
      </c>
      <c r="P2937" s="7"/>
    </row>
    <row r="2938" spans="1:16">
      <c r="A2938" s="3">
        <v>43896.32980324074</v>
      </c>
      <c r="B2938" s="4" t="str">
        <f>HYPERLINK("https://twitter.com/petrogustavo","@petrogustavo")</f>
        <v>@petrogustavo</v>
      </c>
      <c r="C2938" s="5" t="s">
        <v>16</v>
      </c>
      <c r="D2938" s="5" t="s">
        <v>2878</v>
      </c>
      <c r="E2938" s="6" t="str">
        <f>HYPERLINK("https://twitter.com/petrogustavo/status/1235753196955619328","1235753196955619328")</f>
        <v>1235753196955619328</v>
      </c>
      <c r="F2938" s="7" t="s">
        <v>17</v>
      </c>
      <c r="G2938" s="7">
        <v>3656517</v>
      </c>
      <c r="H2938" s="7">
        <v>2355</v>
      </c>
      <c r="I2938" s="7">
        <v>111</v>
      </c>
      <c r="J2938" s="7">
        <v>0</v>
      </c>
      <c r="K2938" s="7" t="s">
        <v>18</v>
      </c>
      <c r="L2938" s="8">
        <v>39987.315405092595</v>
      </c>
      <c r="M2938" s="9" t="s">
        <v>19</v>
      </c>
      <c r="N2938" s="9" t="s">
        <v>20</v>
      </c>
      <c r="O2938" s="6" t="str">
        <f>HYPERLINK("https://pbs.twimg.com/profile_images/962471262747529216/Uo8lOkRJ_normal.jpg","View")</f>
        <v>View</v>
      </c>
      <c r="P2938" s="7"/>
    </row>
    <row r="2939" spans="1:16">
      <c r="A2939" s="3">
        <v>43896.330150462964</v>
      </c>
      <c r="B2939" s="4" t="str">
        <f>HYPERLINK("https://twitter.com/petrogustavo","@petrogustavo")</f>
        <v>@petrogustavo</v>
      </c>
      <c r="C2939" s="5" t="s">
        <v>16</v>
      </c>
      <c r="D2939" s="5" t="s">
        <v>2879</v>
      </c>
      <c r="E2939" s="6" t="str">
        <f>HYPERLINK("https://twitter.com/petrogustavo/status/1235753319634808832","1235753319634808832")</f>
        <v>1235753319634808832</v>
      </c>
      <c r="F2939" s="7" t="s">
        <v>17</v>
      </c>
      <c r="G2939" s="7">
        <v>3656517</v>
      </c>
      <c r="H2939" s="7">
        <v>2355</v>
      </c>
      <c r="I2939" s="7">
        <v>849</v>
      </c>
      <c r="J2939" s="7">
        <v>0</v>
      </c>
      <c r="K2939" s="7" t="s">
        <v>18</v>
      </c>
      <c r="L2939" s="8">
        <v>39987.315405092595</v>
      </c>
      <c r="M2939" s="9" t="s">
        <v>19</v>
      </c>
      <c r="N2939" s="9" t="s">
        <v>20</v>
      </c>
      <c r="O2939" s="6" t="str">
        <f>HYPERLINK("https://pbs.twimg.com/profile_images/962471262747529216/Uo8lOkRJ_normal.jpg","View")</f>
        <v>View</v>
      </c>
      <c r="P2939" s="7"/>
    </row>
    <row r="2940" spans="1:16">
      <c r="A2940" s="3">
        <v>43896.331574074073</v>
      </c>
      <c r="B2940" s="4" t="str">
        <f>HYPERLINK("https://twitter.com/petrogustavo","@petrogustavo")</f>
        <v>@petrogustavo</v>
      </c>
      <c r="C2940" s="5" t="s">
        <v>16</v>
      </c>
      <c r="D2940" s="5" t="s">
        <v>2880</v>
      </c>
      <c r="E2940" s="6" t="str">
        <f>HYPERLINK("https://twitter.com/petrogustavo/status/1235753836054278144","1235753836054278144")</f>
        <v>1235753836054278144</v>
      </c>
      <c r="F2940" s="7" t="s">
        <v>17</v>
      </c>
      <c r="G2940" s="7">
        <v>3656517</v>
      </c>
      <c r="H2940" s="7">
        <v>2355</v>
      </c>
      <c r="I2940" s="7">
        <v>40</v>
      </c>
      <c r="J2940" s="7">
        <v>0</v>
      </c>
      <c r="K2940" s="7" t="s">
        <v>18</v>
      </c>
      <c r="L2940" s="8">
        <v>39987.315405092595</v>
      </c>
      <c r="M2940" s="9" t="s">
        <v>19</v>
      </c>
      <c r="N2940" s="9" t="s">
        <v>20</v>
      </c>
      <c r="O2940" s="6" t="str">
        <f>HYPERLINK("https://pbs.twimg.com/profile_images/962471262747529216/Uo8lOkRJ_normal.jpg","View")</f>
        <v>View</v>
      </c>
      <c r="P2940" s="7"/>
    </row>
    <row r="2941" spans="1:16">
      <c r="A2941" s="3">
        <v>43896.33493055556</v>
      </c>
      <c r="B2941" s="4" t="str">
        <f>HYPERLINK("https://twitter.com/petrogustavo","@petrogustavo")</f>
        <v>@petrogustavo</v>
      </c>
      <c r="C2941" s="5" t="s">
        <v>16</v>
      </c>
      <c r="D2941" s="5" t="s">
        <v>2881</v>
      </c>
      <c r="E2941" s="6" t="str">
        <f>HYPERLINK("https://twitter.com/petrogustavo/status/1235755053933375489","1235755053933375489")</f>
        <v>1235755053933375489</v>
      </c>
      <c r="F2941" s="7" t="s">
        <v>17</v>
      </c>
      <c r="G2941" s="7">
        <v>3656517</v>
      </c>
      <c r="H2941" s="7">
        <v>2355</v>
      </c>
      <c r="I2941" s="7">
        <v>543</v>
      </c>
      <c r="J2941" s="7">
        <v>0</v>
      </c>
      <c r="K2941" s="7" t="s">
        <v>18</v>
      </c>
      <c r="L2941" s="8">
        <v>39987.315405092595</v>
      </c>
      <c r="M2941" s="9" t="s">
        <v>19</v>
      </c>
      <c r="N2941" s="9" t="s">
        <v>20</v>
      </c>
      <c r="O2941" s="6" t="str">
        <f>HYPERLINK("https://pbs.twimg.com/profile_images/962471262747529216/Uo8lOkRJ_normal.jpg","View")</f>
        <v>View</v>
      </c>
      <c r="P2941" s="7"/>
    </row>
    <row r="2942" spans="1:16">
      <c r="A2942" s="3">
        <v>43896.678449074076</v>
      </c>
      <c r="B2942" s="4" t="str">
        <f>HYPERLINK("https://twitter.com/petrogustavo","@petrogustavo")</f>
        <v>@petrogustavo</v>
      </c>
      <c r="C2942" s="5" t="s">
        <v>16</v>
      </c>
      <c r="D2942" s="5" t="s">
        <v>2882</v>
      </c>
      <c r="E2942" s="6" t="str">
        <f>HYPERLINK("https://twitter.com/petrogustavo/status/1235879539307417600","1235879539307417600")</f>
        <v>1235879539307417600</v>
      </c>
      <c r="F2942" s="7" t="s">
        <v>17</v>
      </c>
      <c r="G2942" s="7">
        <v>3656669</v>
      </c>
      <c r="H2942" s="7">
        <v>2355</v>
      </c>
      <c r="I2942" s="7">
        <v>19</v>
      </c>
      <c r="J2942" s="7">
        <v>0</v>
      </c>
      <c r="K2942" s="7" t="s">
        <v>18</v>
      </c>
      <c r="L2942" s="8">
        <v>39987.315405092595</v>
      </c>
      <c r="M2942" s="9" t="s">
        <v>19</v>
      </c>
      <c r="N2942" s="9" t="s">
        <v>20</v>
      </c>
      <c r="O2942" s="6" t="str">
        <f>HYPERLINK("https://pbs.twimg.com/profile_images/962471262747529216/Uo8lOkRJ_normal.jpg","View")</f>
        <v>View</v>
      </c>
      <c r="P2942" s="7"/>
    </row>
    <row r="2943" spans="1:16">
      <c r="A2943" s="3">
        <v>43896.680277777778</v>
      </c>
      <c r="B2943" s="4" t="str">
        <f>HYPERLINK("https://twitter.com/petrogustavo","@petrogustavo")</f>
        <v>@petrogustavo</v>
      </c>
      <c r="C2943" s="5" t="s">
        <v>16</v>
      </c>
      <c r="D2943" s="5" t="s">
        <v>2883</v>
      </c>
      <c r="E2943" s="6" t="str">
        <f>HYPERLINK("https://twitter.com/petrogustavo/status/1235880201663414273","1235880201663414273")</f>
        <v>1235880201663414273</v>
      </c>
      <c r="F2943" s="7" t="s">
        <v>17</v>
      </c>
      <c r="G2943" s="7">
        <v>3656686</v>
      </c>
      <c r="H2943" s="7">
        <v>2355</v>
      </c>
      <c r="I2943" s="7">
        <v>179</v>
      </c>
      <c r="J2943" s="7">
        <v>0</v>
      </c>
      <c r="K2943" s="7" t="s">
        <v>18</v>
      </c>
      <c r="L2943" s="8">
        <v>39987.315405092595</v>
      </c>
      <c r="M2943" s="9" t="s">
        <v>19</v>
      </c>
      <c r="N2943" s="9" t="s">
        <v>20</v>
      </c>
      <c r="O2943" s="6" t="str">
        <f>HYPERLINK("https://pbs.twimg.com/profile_images/962471262747529216/Uo8lOkRJ_normal.jpg","View")</f>
        <v>View</v>
      </c>
      <c r="P2943" s="7"/>
    </row>
    <row r="2944" spans="1:16">
      <c r="A2944" s="3">
        <v>43896.682662037041</v>
      </c>
      <c r="B2944" s="4" t="str">
        <f>HYPERLINK("https://twitter.com/petrogustavo","@petrogustavo")</f>
        <v>@petrogustavo</v>
      </c>
      <c r="C2944" s="5" t="s">
        <v>16</v>
      </c>
      <c r="D2944" s="5" t="s">
        <v>2884</v>
      </c>
      <c r="E2944" s="6" t="str">
        <f>HYPERLINK("https://twitter.com/petrogustavo/status/1235881065908187137","1235881065908187137")</f>
        <v>1235881065908187137</v>
      </c>
      <c r="F2944" s="7" t="s">
        <v>17</v>
      </c>
      <c r="G2944" s="7">
        <v>3656686</v>
      </c>
      <c r="H2944" s="7">
        <v>2355</v>
      </c>
      <c r="I2944" s="7">
        <v>228</v>
      </c>
      <c r="J2944" s="7">
        <v>516</v>
      </c>
      <c r="K2944" s="7" t="s">
        <v>18</v>
      </c>
      <c r="L2944" s="8">
        <v>39987.315405092595</v>
      </c>
      <c r="M2944" s="9" t="s">
        <v>19</v>
      </c>
      <c r="N2944" s="9" t="s">
        <v>20</v>
      </c>
      <c r="O2944" s="6" t="str">
        <f>HYPERLINK("https://pbs.twimg.com/profile_images/962471262747529216/Uo8lOkRJ_normal.jpg","View")</f>
        <v>View</v>
      </c>
      <c r="P2944" s="7"/>
    </row>
    <row r="2945" spans="1:16">
      <c r="A2945" s="3">
        <v>43896.695520833338</v>
      </c>
      <c r="B2945" s="4" t="str">
        <f>HYPERLINK("https://twitter.com/petrogustavo","@petrogustavo")</f>
        <v>@petrogustavo</v>
      </c>
      <c r="C2945" s="5" t="s">
        <v>16</v>
      </c>
      <c r="D2945" s="5" t="s">
        <v>2885</v>
      </c>
      <c r="E2945" s="6" t="str">
        <f>HYPERLINK("https://twitter.com/petrogustavo/status/1235885725746421760","1235885725746421760")</f>
        <v>1235885725746421760</v>
      </c>
      <c r="F2945" s="7" t="s">
        <v>17</v>
      </c>
      <c r="G2945" s="7">
        <v>3656686</v>
      </c>
      <c r="H2945" s="7">
        <v>2355</v>
      </c>
      <c r="I2945" s="7">
        <v>46</v>
      </c>
      <c r="J2945" s="7">
        <v>103</v>
      </c>
      <c r="K2945" s="7" t="s">
        <v>18</v>
      </c>
      <c r="L2945" s="8">
        <v>39987.315405092595</v>
      </c>
      <c r="M2945" s="9" t="s">
        <v>19</v>
      </c>
      <c r="N2945" s="9" t="s">
        <v>20</v>
      </c>
      <c r="O2945" s="6" t="str">
        <f>HYPERLINK("https://pbs.twimg.com/profile_images/962471262747529216/Uo8lOkRJ_normal.jpg","View")</f>
        <v>View</v>
      </c>
      <c r="P2945" s="7"/>
    </row>
    <row r="2946" spans="1:16">
      <c r="A2946" s="3">
        <v>43896.838495370372</v>
      </c>
      <c r="B2946" s="4" t="str">
        <f>HYPERLINK("https://twitter.com/petrogustavo","@petrogustavo")</f>
        <v>@petrogustavo</v>
      </c>
      <c r="C2946" s="5" t="s">
        <v>16</v>
      </c>
      <c r="D2946" s="5" t="s">
        <v>2886</v>
      </c>
      <c r="E2946" s="6" t="str">
        <f>HYPERLINK("https://twitter.com/petrogustavo/status/1235937537983762433","1235937537983762433")</f>
        <v>1235937537983762433</v>
      </c>
      <c r="F2946" s="7" t="s">
        <v>17</v>
      </c>
      <c r="G2946" s="7">
        <v>3656767</v>
      </c>
      <c r="H2946" s="7">
        <v>2355</v>
      </c>
      <c r="I2946" s="7">
        <v>807</v>
      </c>
      <c r="J2946" s="7">
        <v>0</v>
      </c>
      <c r="K2946" s="7" t="s">
        <v>18</v>
      </c>
      <c r="L2946" s="8">
        <v>39987.315405092595</v>
      </c>
      <c r="M2946" s="9" t="s">
        <v>19</v>
      </c>
      <c r="N2946" s="9" t="s">
        <v>20</v>
      </c>
      <c r="O2946" s="6" t="str">
        <f>HYPERLINK("https://pbs.twimg.com/profile_images/962471262747529216/Uo8lOkRJ_normal.jpg","View")</f>
        <v>View</v>
      </c>
      <c r="P2946" s="7"/>
    </row>
    <row r="2947" spans="1:16">
      <c r="A2947" s="3">
        <v>43896.848020833335</v>
      </c>
      <c r="B2947" s="4" t="str">
        <f>HYPERLINK("https://twitter.com/petrogustavo","@petrogustavo")</f>
        <v>@petrogustavo</v>
      </c>
      <c r="C2947" s="5" t="s">
        <v>16</v>
      </c>
      <c r="D2947" s="5" t="s">
        <v>2887</v>
      </c>
      <c r="E2947" s="6" t="str">
        <f>HYPERLINK("https://twitter.com/petrogustavo/status/1235940990831165441","1235940990831165441")</f>
        <v>1235940990831165441</v>
      </c>
      <c r="F2947" s="7" t="s">
        <v>17</v>
      </c>
      <c r="G2947" s="7">
        <v>3656790</v>
      </c>
      <c r="H2947" s="7">
        <v>2355</v>
      </c>
      <c r="I2947" s="7">
        <v>100</v>
      </c>
      <c r="J2947" s="7">
        <v>280</v>
      </c>
      <c r="K2947" s="7" t="s">
        <v>18</v>
      </c>
      <c r="L2947" s="8">
        <v>39987.315405092595</v>
      </c>
      <c r="M2947" s="9" t="s">
        <v>19</v>
      </c>
      <c r="N2947" s="9" t="s">
        <v>20</v>
      </c>
      <c r="O2947" s="6" t="str">
        <f>HYPERLINK("https://pbs.twimg.com/profile_images/962471262747529216/Uo8lOkRJ_normal.jpg","View")</f>
        <v>View</v>
      </c>
      <c r="P2947" s="7"/>
    </row>
    <row r="2948" spans="1:16">
      <c r="A2948" s="3">
        <v>43896.848020833335</v>
      </c>
      <c r="B2948" s="4" t="str">
        <f>HYPERLINK("https://twitter.com/petrogustavo","@petrogustavo")</f>
        <v>@petrogustavo</v>
      </c>
      <c r="C2948" s="5" t="s">
        <v>16</v>
      </c>
      <c r="D2948" s="5" t="s">
        <v>2888</v>
      </c>
      <c r="E2948" s="6" t="str">
        <f>HYPERLINK("https://twitter.com/petrogustavo/status/1235940992567689217","1235940992567689217")</f>
        <v>1235940992567689217</v>
      </c>
      <c r="F2948" s="7" t="s">
        <v>17</v>
      </c>
      <c r="G2948" s="7">
        <v>3656790</v>
      </c>
      <c r="H2948" s="7">
        <v>2355</v>
      </c>
      <c r="I2948" s="7">
        <v>35</v>
      </c>
      <c r="J2948" s="7">
        <v>147</v>
      </c>
      <c r="K2948" s="7" t="s">
        <v>18</v>
      </c>
      <c r="L2948" s="8">
        <v>39987.315405092595</v>
      </c>
      <c r="M2948" s="9" t="s">
        <v>19</v>
      </c>
      <c r="N2948" s="9" t="s">
        <v>20</v>
      </c>
      <c r="O2948" s="6" t="str">
        <f>HYPERLINK("https://pbs.twimg.com/profile_images/962471262747529216/Uo8lOkRJ_normal.jpg","View")</f>
        <v>View</v>
      </c>
      <c r="P2948" s="7"/>
    </row>
    <row r="2949" spans="1:16">
      <c r="A2949" s="3">
        <v>43896.854849537034</v>
      </c>
      <c r="B2949" s="4" t="str">
        <f>HYPERLINK("https://twitter.com/petrogustavo","@petrogustavo")</f>
        <v>@petrogustavo</v>
      </c>
      <c r="C2949" s="5" t="s">
        <v>16</v>
      </c>
      <c r="D2949" s="5" t="s">
        <v>2889</v>
      </c>
      <c r="E2949" s="6" t="str">
        <f>HYPERLINK("https://twitter.com/petrogustavo/status/1235943463482544130","1235943463482544130")</f>
        <v>1235943463482544130</v>
      </c>
      <c r="F2949" s="7" t="s">
        <v>17</v>
      </c>
      <c r="G2949" s="7">
        <v>3656790</v>
      </c>
      <c r="H2949" s="7">
        <v>2355</v>
      </c>
      <c r="I2949" s="7">
        <v>563</v>
      </c>
      <c r="J2949" s="7">
        <v>0</v>
      </c>
      <c r="K2949" s="7" t="s">
        <v>18</v>
      </c>
      <c r="L2949" s="8">
        <v>39987.315405092595</v>
      </c>
      <c r="M2949" s="9" t="s">
        <v>19</v>
      </c>
      <c r="N2949" s="9" t="s">
        <v>20</v>
      </c>
      <c r="O2949" s="6" t="str">
        <f>HYPERLINK("https://pbs.twimg.com/profile_images/962471262747529216/Uo8lOkRJ_normal.jpg","View")</f>
        <v>View</v>
      </c>
      <c r="P2949" s="7"/>
    </row>
    <row r="2950" spans="1:16">
      <c r="A2950" s="3">
        <v>43896.864930555559</v>
      </c>
      <c r="B2950" s="4" t="str">
        <f>HYPERLINK("https://twitter.com/petrogustavo","@petrogustavo")</f>
        <v>@petrogustavo</v>
      </c>
      <c r="C2950" s="5" t="s">
        <v>16</v>
      </c>
      <c r="D2950" s="5" t="s">
        <v>2890</v>
      </c>
      <c r="E2950" s="6" t="str">
        <f>HYPERLINK("https://twitter.com/petrogustavo/status/1235947119644680193","1235947119644680193")</f>
        <v>1235947119644680193</v>
      </c>
      <c r="F2950" s="7" t="s">
        <v>17</v>
      </c>
      <c r="G2950" s="7">
        <v>3656790</v>
      </c>
      <c r="H2950" s="7">
        <v>2355</v>
      </c>
      <c r="I2950" s="7">
        <v>10</v>
      </c>
      <c r="J2950" s="7">
        <v>43</v>
      </c>
      <c r="K2950" s="7" t="s">
        <v>18</v>
      </c>
      <c r="L2950" s="8">
        <v>39987.315405092595</v>
      </c>
      <c r="M2950" s="9" t="s">
        <v>19</v>
      </c>
      <c r="N2950" s="9" t="s">
        <v>20</v>
      </c>
      <c r="O2950" s="6" t="str">
        <f>HYPERLINK("https://pbs.twimg.com/profile_images/962471262747529216/Uo8lOkRJ_normal.jpg","View")</f>
        <v>View</v>
      </c>
      <c r="P2950" s="7"/>
    </row>
    <row r="2951" spans="1:16">
      <c r="A2951" s="3">
        <v>43896.967939814815</v>
      </c>
      <c r="B2951" s="4" t="str">
        <f>HYPERLINK("https://twitter.com/petrogustavo","@petrogustavo")</f>
        <v>@petrogustavo</v>
      </c>
      <c r="C2951" s="5" t="s">
        <v>16</v>
      </c>
      <c r="D2951" s="5" t="s">
        <v>2891</v>
      </c>
      <c r="E2951" s="6" t="str">
        <f>HYPERLINK("https://twitter.com/petrogustavo/status/1235984448010833923","1235984448010833923")</f>
        <v>1235984448010833923</v>
      </c>
      <c r="F2951" s="7" t="s">
        <v>17</v>
      </c>
      <c r="G2951" s="7">
        <v>3656907</v>
      </c>
      <c r="H2951" s="7">
        <v>2355</v>
      </c>
      <c r="I2951" s="7">
        <v>447</v>
      </c>
      <c r="J2951" s="7">
        <v>0</v>
      </c>
      <c r="K2951" s="7" t="s">
        <v>18</v>
      </c>
      <c r="L2951" s="8">
        <v>39987.315405092595</v>
      </c>
      <c r="M2951" s="9" t="s">
        <v>19</v>
      </c>
      <c r="N2951" s="9" t="s">
        <v>20</v>
      </c>
      <c r="O2951" s="6" t="str">
        <f>HYPERLINK("https://pbs.twimg.com/profile_images/962471262747529216/Uo8lOkRJ_normal.jpg","View")</f>
        <v>View</v>
      </c>
      <c r="P2951" s="7"/>
    </row>
    <row r="2952" spans="1:16">
      <c r="A2952" s="3">
        <v>43897.068854166668</v>
      </c>
      <c r="B2952" s="4" t="str">
        <f>HYPERLINK("https://twitter.com/petrogustavo","@petrogustavo")</f>
        <v>@petrogustavo</v>
      </c>
      <c r="C2952" s="5" t="s">
        <v>16</v>
      </c>
      <c r="D2952" s="5" t="s">
        <v>2892</v>
      </c>
      <c r="E2952" s="6" t="str">
        <f>HYPERLINK("https://twitter.com/petrogustavo/status/1236021019699265536","1236021019699265536")</f>
        <v>1236021019699265536</v>
      </c>
      <c r="F2952" s="7" t="s">
        <v>32</v>
      </c>
      <c r="G2952" s="7">
        <v>3657051</v>
      </c>
      <c r="H2952" s="7">
        <v>2355</v>
      </c>
      <c r="I2952" s="7">
        <v>112</v>
      </c>
      <c r="J2952" s="7">
        <v>0</v>
      </c>
      <c r="K2952" s="7" t="s">
        <v>18</v>
      </c>
      <c r="L2952" s="8">
        <v>39987.315405092595</v>
      </c>
      <c r="M2952" s="9" t="s">
        <v>19</v>
      </c>
      <c r="N2952" s="9" t="s">
        <v>20</v>
      </c>
      <c r="O2952" s="6" t="str">
        <f>HYPERLINK("https://pbs.twimg.com/profile_images/962471262747529216/Uo8lOkRJ_normal.jpg","View")</f>
        <v>View</v>
      </c>
      <c r="P2952" s="7"/>
    </row>
    <row r="2953" spans="1:16">
      <c r="A2953" s="3">
        <v>43897.082071759258</v>
      </c>
      <c r="B2953" s="4" t="str">
        <f>HYPERLINK("https://twitter.com/petrogustavo","@petrogustavo")</f>
        <v>@petrogustavo</v>
      </c>
      <c r="C2953" s="5" t="s">
        <v>16</v>
      </c>
      <c r="D2953" s="5" t="s">
        <v>2893</v>
      </c>
      <c r="E2953" s="6" t="str">
        <f>HYPERLINK("https://twitter.com/petrogustavo/status/1236025807920869377","1236025807920869377")</f>
        <v>1236025807920869377</v>
      </c>
      <c r="F2953" s="7" t="s">
        <v>32</v>
      </c>
      <c r="G2953" s="7">
        <v>3657104</v>
      </c>
      <c r="H2953" s="7">
        <v>2355</v>
      </c>
      <c r="I2953" s="7">
        <v>58</v>
      </c>
      <c r="J2953" s="7">
        <v>166</v>
      </c>
      <c r="K2953" s="7" t="s">
        <v>18</v>
      </c>
      <c r="L2953" s="8">
        <v>39987.315405092595</v>
      </c>
      <c r="M2953" s="9" t="s">
        <v>19</v>
      </c>
      <c r="N2953" s="9" t="s">
        <v>20</v>
      </c>
      <c r="O2953" s="6" t="str">
        <f>HYPERLINK("https://pbs.twimg.com/profile_images/962471262747529216/Uo8lOkRJ_normal.jpg","View")</f>
        <v>View</v>
      </c>
      <c r="P2953" s="7"/>
    </row>
    <row r="2954" spans="1:16">
      <c r="A2954" s="3">
        <v>43897.129918981482</v>
      </c>
      <c r="B2954" s="4" t="str">
        <f>HYPERLINK("https://twitter.com/petrogustavo","@petrogustavo")</f>
        <v>@petrogustavo</v>
      </c>
      <c r="C2954" s="5" t="s">
        <v>16</v>
      </c>
      <c r="D2954" s="5" t="s">
        <v>2894</v>
      </c>
      <c r="E2954" s="6" t="str">
        <f>HYPERLINK("https://twitter.com/petrogustavo/status/1236043145428766721","1236043145428766721")</f>
        <v>1236043145428766721</v>
      </c>
      <c r="F2954" s="7" t="s">
        <v>32</v>
      </c>
      <c r="G2954" s="7">
        <v>3657196</v>
      </c>
      <c r="H2954" s="7">
        <v>2355</v>
      </c>
      <c r="I2954" s="7">
        <v>680</v>
      </c>
      <c r="J2954" s="7">
        <v>0</v>
      </c>
      <c r="K2954" s="7" t="s">
        <v>18</v>
      </c>
      <c r="L2954" s="8">
        <v>39987.315405092595</v>
      </c>
      <c r="M2954" s="9" t="s">
        <v>19</v>
      </c>
      <c r="N2954" s="9" t="s">
        <v>20</v>
      </c>
      <c r="O2954" s="6" t="str">
        <f>HYPERLINK("https://pbs.twimg.com/profile_images/962471262747529216/Uo8lOkRJ_normal.jpg","View")</f>
        <v>View</v>
      </c>
      <c r="P2954" s="7"/>
    </row>
    <row r="2955" spans="1:16">
      <c r="A2955" s="3">
        <v>43897.172858796301</v>
      </c>
      <c r="B2955" s="4" t="str">
        <f>HYPERLINK("https://twitter.com/petrogustavo","@petrogustavo")</f>
        <v>@petrogustavo</v>
      </c>
      <c r="C2955" s="5" t="s">
        <v>16</v>
      </c>
      <c r="D2955" s="5" t="s">
        <v>2895</v>
      </c>
      <c r="E2955" s="6" t="str">
        <f>HYPERLINK("https://twitter.com/petrogustavo/status/1236058706888077313","1236058706888077313")</f>
        <v>1236058706888077313</v>
      </c>
      <c r="F2955" s="7" t="s">
        <v>17</v>
      </c>
      <c r="G2955" s="7">
        <v>3657276</v>
      </c>
      <c r="H2955" s="7">
        <v>2355</v>
      </c>
      <c r="I2955" s="7">
        <v>172</v>
      </c>
      <c r="J2955" s="7">
        <v>554</v>
      </c>
      <c r="K2955" s="7" t="s">
        <v>18</v>
      </c>
      <c r="L2955" s="8">
        <v>39987.315405092595</v>
      </c>
      <c r="M2955" s="9" t="s">
        <v>19</v>
      </c>
      <c r="N2955" s="9" t="s">
        <v>20</v>
      </c>
      <c r="O2955" s="6" t="str">
        <f>HYPERLINK("https://pbs.twimg.com/profile_images/962471262747529216/Uo8lOkRJ_normal.jpg","View")</f>
        <v>View</v>
      </c>
      <c r="P2955" s="7"/>
    </row>
    <row r="2956" spans="1:16">
      <c r="A2956" s="3">
        <v>43897.199490740742</v>
      </c>
      <c r="B2956" s="4" t="str">
        <f>HYPERLINK("https://twitter.com/petrogustavo","@petrogustavo")</f>
        <v>@petrogustavo</v>
      </c>
      <c r="C2956" s="5" t="s">
        <v>16</v>
      </c>
      <c r="D2956" s="5" t="s">
        <v>2896</v>
      </c>
      <c r="E2956" s="6" t="str">
        <f>HYPERLINK("https://twitter.com/petrogustavo/status/1236068359202107392","1236068359202107392")</f>
        <v>1236068359202107392</v>
      </c>
      <c r="F2956" s="7" t="s">
        <v>17</v>
      </c>
      <c r="G2956" s="7">
        <v>3657342</v>
      </c>
      <c r="H2956" s="7">
        <v>2355</v>
      </c>
      <c r="I2956" s="7">
        <v>311</v>
      </c>
      <c r="J2956" s="7">
        <v>904</v>
      </c>
      <c r="K2956" s="7" t="s">
        <v>18</v>
      </c>
      <c r="L2956" s="8">
        <v>39987.315405092595</v>
      </c>
      <c r="M2956" s="9" t="s">
        <v>19</v>
      </c>
      <c r="N2956" s="9" t="s">
        <v>20</v>
      </c>
      <c r="O2956" s="6" t="str">
        <f>HYPERLINK("https://pbs.twimg.com/profile_images/962471262747529216/Uo8lOkRJ_normal.jpg","View")</f>
        <v>View</v>
      </c>
      <c r="P2956" s="7"/>
    </row>
    <row r="2957" spans="1:16">
      <c r="A2957" s="3">
        <v>43897.201238425929</v>
      </c>
      <c r="B2957" s="4" t="str">
        <f>HYPERLINK("https://twitter.com/petrogustavo","@petrogustavo")</f>
        <v>@petrogustavo</v>
      </c>
      <c r="C2957" s="5" t="s">
        <v>16</v>
      </c>
      <c r="D2957" s="5" t="s">
        <v>2897</v>
      </c>
      <c r="E2957" s="6" t="str">
        <f>HYPERLINK("https://twitter.com/petrogustavo/status/1236068990897840128","1236068990897840128")</f>
        <v>1236068990897840128</v>
      </c>
      <c r="F2957" s="7" t="s">
        <v>17</v>
      </c>
      <c r="G2957" s="7">
        <v>3657342</v>
      </c>
      <c r="H2957" s="7">
        <v>2355</v>
      </c>
      <c r="I2957" s="7">
        <v>58</v>
      </c>
      <c r="J2957" s="7">
        <v>0</v>
      </c>
      <c r="K2957" s="7" t="s">
        <v>18</v>
      </c>
      <c r="L2957" s="8">
        <v>39987.315405092595</v>
      </c>
      <c r="M2957" s="9" t="s">
        <v>19</v>
      </c>
      <c r="N2957" s="9" t="s">
        <v>20</v>
      </c>
      <c r="O2957" s="6" t="str">
        <f>HYPERLINK("https://pbs.twimg.com/profile_images/962471262747529216/Uo8lOkRJ_normal.jpg","View")</f>
        <v>View</v>
      </c>
      <c r="P2957" s="7"/>
    </row>
    <row r="2958" spans="1:16">
      <c r="A2958" s="3">
        <v>43897.202847222223</v>
      </c>
      <c r="B2958" s="4" t="str">
        <f>HYPERLINK("https://twitter.com/petrogustavo","@petrogustavo")</f>
        <v>@petrogustavo</v>
      </c>
      <c r="C2958" s="5" t="s">
        <v>16</v>
      </c>
      <c r="D2958" s="5" t="s">
        <v>2898</v>
      </c>
      <c r="E2958" s="6" t="str">
        <f>HYPERLINK("https://twitter.com/petrogustavo/status/1236069573973204997","1236069573973204997")</f>
        <v>1236069573973204997</v>
      </c>
      <c r="F2958" s="7" t="s">
        <v>17</v>
      </c>
      <c r="G2958" s="7">
        <v>3657342</v>
      </c>
      <c r="H2958" s="7">
        <v>2355</v>
      </c>
      <c r="I2958" s="7">
        <v>82</v>
      </c>
      <c r="J2958" s="7">
        <v>0</v>
      </c>
      <c r="K2958" s="7" t="s">
        <v>18</v>
      </c>
      <c r="L2958" s="8">
        <v>39987.315405092595</v>
      </c>
      <c r="M2958" s="9" t="s">
        <v>19</v>
      </c>
      <c r="N2958" s="9" t="s">
        <v>20</v>
      </c>
      <c r="O2958" s="6" t="str">
        <f>HYPERLINK("https://pbs.twimg.com/profile_images/962471262747529216/Uo8lOkRJ_normal.jpg","View")</f>
        <v>View</v>
      </c>
      <c r="P2958" s="7"/>
    </row>
    <row r="2959" spans="1:16">
      <c r="A2959" s="3">
        <v>43897.210879629631</v>
      </c>
      <c r="B2959" s="4" t="str">
        <f>HYPERLINK("https://twitter.com/petrogustavo","@petrogustavo")</f>
        <v>@petrogustavo</v>
      </c>
      <c r="C2959" s="5" t="s">
        <v>16</v>
      </c>
      <c r="D2959" s="5" t="s">
        <v>2899</v>
      </c>
      <c r="E2959" s="6" t="str">
        <f>HYPERLINK("https://twitter.com/petrogustavo/status/1236072487521316865","1236072487521316865")</f>
        <v>1236072487521316865</v>
      </c>
      <c r="F2959" s="7" t="s">
        <v>17</v>
      </c>
      <c r="G2959" s="7">
        <v>3657342</v>
      </c>
      <c r="H2959" s="7">
        <v>2355</v>
      </c>
      <c r="I2959" s="7">
        <v>57</v>
      </c>
      <c r="J2959" s="7">
        <v>231</v>
      </c>
      <c r="K2959" s="7" t="s">
        <v>18</v>
      </c>
      <c r="L2959" s="8">
        <v>39987.315405092595</v>
      </c>
      <c r="M2959" s="9" t="s">
        <v>19</v>
      </c>
      <c r="N2959" s="9" t="s">
        <v>20</v>
      </c>
      <c r="O2959" s="6" t="str">
        <f>HYPERLINK("https://pbs.twimg.com/profile_images/962471262747529216/Uo8lOkRJ_normal.jpg","View")</f>
        <v>View</v>
      </c>
      <c r="P2959" s="7"/>
    </row>
    <row r="2960" spans="1:16">
      <c r="A2960" s="3">
        <v>43897.216261574074</v>
      </c>
      <c r="B2960" s="4" t="str">
        <f>HYPERLINK("https://twitter.com/petrogustavo","@petrogustavo")</f>
        <v>@petrogustavo</v>
      </c>
      <c r="C2960" s="5" t="s">
        <v>16</v>
      </c>
      <c r="D2960" s="5" t="s">
        <v>2900</v>
      </c>
      <c r="E2960" s="6" t="str">
        <f>HYPERLINK("https://twitter.com/petrogustavo/status/1236074438598197248","1236074438598197248")</f>
        <v>1236074438598197248</v>
      </c>
      <c r="F2960" s="7" t="s">
        <v>17</v>
      </c>
      <c r="G2960" s="7">
        <v>3657342</v>
      </c>
      <c r="H2960" s="7">
        <v>2355</v>
      </c>
      <c r="I2960" s="7">
        <v>97</v>
      </c>
      <c r="J2960" s="7">
        <v>263</v>
      </c>
      <c r="K2960" s="7" t="s">
        <v>18</v>
      </c>
      <c r="L2960" s="8">
        <v>39987.315405092595</v>
      </c>
      <c r="M2960" s="9" t="s">
        <v>19</v>
      </c>
      <c r="N2960" s="9" t="s">
        <v>20</v>
      </c>
      <c r="O2960" s="6" t="str">
        <f>HYPERLINK("https://pbs.twimg.com/profile_images/962471262747529216/Uo8lOkRJ_normal.jpg","View")</f>
        <v>View</v>
      </c>
      <c r="P2960" s="7"/>
    </row>
    <row r="2961" spans="1:16">
      <c r="A2961" s="3">
        <v>43897.218807870369</v>
      </c>
      <c r="B2961" s="4" t="str">
        <f>HYPERLINK("https://twitter.com/petrogustavo","@petrogustavo")</f>
        <v>@petrogustavo</v>
      </c>
      <c r="C2961" s="5" t="s">
        <v>16</v>
      </c>
      <c r="D2961" s="5" t="s">
        <v>2901</v>
      </c>
      <c r="E2961" s="6" t="str">
        <f>HYPERLINK("https://twitter.com/petrogustavo/status/1236075361294786560","1236075361294786560")</f>
        <v>1236075361294786560</v>
      </c>
      <c r="F2961" s="7" t="s">
        <v>17</v>
      </c>
      <c r="G2961" s="7">
        <v>3657342</v>
      </c>
      <c r="H2961" s="7">
        <v>2355</v>
      </c>
      <c r="I2961" s="7">
        <v>11</v>
      </c>
      <c r="J2961" s="7">
        <v>38</v>
      </c>
      <c r="K2961" s="7" t="s">
        <v>18</v>
      </c>
      <c r="L2961" s="8">
        <v>39987.315405092595</v>
      </c>
      <c r="M2961" s="9" t="s">
        <v>19</v>
      </c>
      <c r="N2961" s="9" t="s">
        <v>20</v>
      </c>
      <c r="O2961" s="6" t="str">
        <f>HYPERLINK("https://pbs.twimg.com/profile_images/962471262747529216/Uo8lOkRJ_normal.jpg","View")</f>
        <v>View</v>
      </c>
      <c r="P2961" s="7"/>
    </row>
    <row r="2962" spans="1:16">
      <c r="A2962" s="3">
        <v>43897.220671296294</v>
      </c>
      <c r="B2962" s="4" t="str">
        <f>HYPERLINK("https://twitter.com/petrogustavo","@petrogustavo")</f>
        <v>@petrogustavo</v>
      </c>
      <c r="C2962" s="5" t="s">
        <v>16</v>
      </c>
      <c r="D2962" s="5" t="s">
        <v>2902</v>
      </c>
      <c r="E2962" s="6" t="str">
        <f>HYPERLINK("https://twitter.com/petrogustavo/status/1236076033146785793","1236076033146785793")</f>
        <v>1236076033146785793</v>
      </c>
      <c r="F2962" s="7" t="s">
        <v>17</v>
      </c>
      <c r="G2962" s="7">
        <v>3657354</v>
      </c>
      <c r="H2962" s="7">
        <v>2355</v>
      </c>
      <c r="I2962" s="7">
        <v>194</v>
      </c>
      <c r="J2962" s="7">
        <v>0</v>
      </c>
      <c r="K2962" s="7" t="s">
        <v>18</v>
      </c>
      <c r="L2962" s="8">
        <v>39987.315405092595</v>
      </c>
      <c r="M2962" s="9" t="s">
        <v>19</v>
      </c>
      <c r="N2962" s="9" t="s">
        <v>20</v>
      </c>
      <c r="O2962" s="6" t="str">
        <f>HYPERLINK("https://pbs.twimg.com/profile_images/962471262747529216/Uo8lOkRJ_normal.jpg","View")</f>
        <v>View</v>
      </c>
      <c r="P2962" s="7"/>
    </row>
    <row r="2963" spans="1:16">
      <c r="A2963" s="3">
        <v>43897.223877314813</v>
      </c>
      <c r="B2963" s="4" t="str">
        <f>HYPERLINK("https://twitter.com/petrogustavo","@petrogustavo")</f>
        <v>@petrogustavo</v>
      </c>
      <c r="C2963" s="5" t="s">
        <v>16</v>
      </c>
      <c r="D2963" s="5" t="s">
        <v>2903</v>
      </c>
      <c r="E2963" s="6" t="str">
        <f>HYPERLINK("https://twitter.com/petrogustavo/status/1236077197481435136","1236077197481435136")</f>
        <v>1236077197481435136</v>
      </c>
      <c r="F2963" s="7" t="s">
        <v>17</v>
      </c>
      <c r="G2963" s="7">
        <v>3657354</v>
      </c>
      <c r="H2963" s="7">
        <v>2355</v>
      </c>
      <c r="I2963" s="7">
        <v>208</v>
      </c>
      <c r="J2963" s="7">
        <v>463</v>
      </c>
      <c r="K2963" s="7" t="s">
        <v>18</v>
      </c>
      <c r="L2963" s="8">
        <v>39987.315405092595</v>
      </c>
      <c r="M2963" s="9" t="s">
        <v>19</v>
      </c>
      <c r="N2963" s="9" t="s">
        <v>20</v>
      </c>
      <c r="O2963" s="6" t="str">
        <f>HYPERLINK("https://pbs.twimg.com/profile_images/962471262747529216/Uo8lOkRJ_normal.jpg","View")</f>
        <v>View</v>
      </c>
      <c r="P2963" s="7"/>
    </row>
    <row r="2964" spans="1:16">
      <c r="A2964" s="3">
        <v>43897.224548611106</v>
      </c>
      <c r="B2964" s="4" t="str">
        <f>HYPERLINK("https://twitter.com/petrogustavo","@petrogustavo")</f>
        <v>@petrogustavo</v>
      </c>
      <c r="C2964" s="5" t="s">
        <v>16</v>
      </c>
      <c r="D2964" s="5" t="s">
        <v>2904</v>
      </c>
      <c r="E2964" s="6" t="str">
        <f>HYPERLINK("https://twitter.com/petrogustavo/status/1236077437764743168","1236077437764743168")</f>
        <v>1236077437764743168</v>
      </c>
      <c r="F2964" s="7" t="s">
        <v>17</v>
      </c>
      <c r="G2964" s="7">
        <v>3657354</v>
      </c>
      <c r="H2964" s="7">
        <v>2355</v>
      </c>
      <c r="I2964" s="7">
        <v>1571</v>
      </c>
      <c r="J2964" s="7">
        <v>0</v>
      </c>
      <c r="K2964" s="7" t="s">
        <v>18</v>
      </c>
      <c r="L2964" s="8">
        <v>39987.315405092595</v>
      </c>
      <c r="M2964" s="9" t="s">
        <v>19</v>
      </c>
      <c r="N2964" s="9" t="s">
        <v>20</v>
      </c>
      <c r="O2964" s="6" t="str">
        <f>HYPERLINK("https://pbs.twimg.com/profile_images/962471262747529216/Uo8lOkRJ_normal.jpg","View")</f>
        <v>View</v>
      </c>
      <c r="P2964" s="7"/>
    </row>
    <row r="2965" spans="1:16">
      <c r="A2965" s="3">
        <v>43897.225023148145</v>
      </c>
      <c r="B2965" s="4" t="str">
        <f>HYPERLINK("https://twitter.com/petrogustavo","@petrogustavo")</f>
        <v>@petrogustavo</v>
      </c>
      <c r="C2965" s="5" t="s">
        <v>16</v>
      </c>
      <c r="D2965" s="5" t="s">
        <v>2905</v>
      </c>
      <c r="E2965" s="6" t="str">
        <f>HYPERLINK("https://twitter.com/petrogustavo/status/1236077611618574337","1236077611618574337")</f>
        <v>1236077611618574337</v>
      </c>
      <c r="F2965" s="7" t="s">
        <v>17</v>
      </c>
      <c r="G2965" s="7">
        <v>3657354</v>
      </c>
      <c r="H2965" s="7">
        <v>2355</v>
      </c>
      <c r="I2965" s="7">
        <v>128</v>
      </c>
      <c r="J2965" s="7">
        <v>0</v>
      </c>
      <c r="K2965" s="7" t="s">
        <v>18</v>
      </c>
      <c r="L2965" s="8">
        <v>39987.315405092595</v>
      </c>
      <c r="M2965" s="9" t="s">
        <v>19</v>
      </c>
      <c r="N2965" s="9" t="s">
        <v>20</v>
      </c>
      <c r="O2965" s="6" t="str">
        <f>HYPERLINK("https://pbs.twimg.com/profile_images/962471262747529216/Uo8lOkRJ_normal.jpg","View")</f>
        <v>View</v>
      </c>
      <c r="P2965" s="7"/>
    </row>
    <row r="2966" spans="1:16">
      <c r="A2966" s="3">
        <v>43897.227083333331</v>
      </c>
      <c r="B2966" s="4" t="str">
        <f>HYPERLINK("https://twitter.com/petrogustavo","@petrogustavo")</f>
        <v>@petrogustavo</v>
      </c>
      <c r="C2966" s="5" t="s">
        <v>16</v>
      </c>
      <c r="D2966" s="5" t="s">
        <v>2906</v>
      </c>
      <c r="E2966" s="6" t="str">
        <f>HYPERLINK("https://twitter.com/petrogustavo/status/1236078356585644032","1236078356585644032")</f>
        <v>1236078356585644032</v>
      </c>
      <c r="F2966" s="7" t="s">
        <v>17</v>
      </c>
      <c r="G2966" s="7">
        <v>3657354</v>
      </c>
      <c r="H2966" s="7">
        <v>2355</v>
      </c>
      <c r="I2966" s="7">
        <v>100</v>
      </c>
      <c r="J2966" s="7">
        <v>230</v>
      </c>
      <c r="K2966" s="7" t="s">
        <v>18</v>
      </c>
      <c r="L2966" s="8">
        <v>39987.315405092595</v>
      </c>
      <c r="M2966" s="9" t="s">
        <v>19</v>
      </c>
      <c r="N2966" s="9" t="s">
        <v>20</v>
      </c>
      <c r="O2966" s="6" t="str">
        <f>HYPERLINK("https://pbs.twimg.com/profile_images/962471262747529216/Uo8lOkRJ_normal.jpg","View")</f>
        <v>View</v>
      </c>
      <c r="P2966" s="7"/>
    </row>
    <row r="2967" spans="1:16">
      <c r="A2967" s="3">
        <v>43897.229988425926</v>
      </c>
      <c r="B2967" s="4" t="str">
        <f>HYPERLINK("https://twitter.com/petrogustavo","@petrogustavo")</f>
        <v>@petrogustavo</v>
      </c>
      <c r="C2967" s="5" t="s">
        <v>16</v>
      </c>
      <c r="D2967" s="5" t="s">
        <v>2907</v>
      </c>
      <c r="E2967" s="6" t="str">
        <f>HYPERLINK("https://twitter.com/petrogustavo/status/1236079410706616323","1236079410706616323")</f>
        <v>1236079410706616323</v>
      </c>
      <c r="F2967" s="7" t="s">
        <v>17</v>
      </c>
      <c r="G2967" s="7">
        <v>3657354</v>
      </c>
      <c r="H2967" s="7">
        <v>2355</v>
      </c>
      <c r="I2967" s="7">
        <v>156</v>
      </c>
      <c r="J2967" s="7">
        <v>523</v>
      </c>
      <c r="K2967" s="7" t="s">
        <v>18</v>
      </c>
      <c r="L2967" s="8">
        <v>39987.315405092595</v>
      </c>
      <c r="M2967" s="9" t="s">
        <v>19</v>
      </c>
      <c r="N2967" s="9" t="s">
        <v>20</v>
      </c>
      <c r="O2967" s="6" t="str">
        <f>HYPERLINK("https://pbs.twimg.com/profile_images/962471262747529216/Uo8lOkRJ_normal.jpg","View")</f>
        <v>View</v>
      </c>
      <c r="P2967" s="7"/>
    </row>
    <row r="2968" spans="1:16">
      <c r="A2968" s="3">
        <v>43897.23300925926</v>
      </c>
      <c r="B2968" s="4" t="str">
        <f>HYPERLINK("https://twitter.com/petrogustavo","@petrogustavo")</f>
        <v>@petrogustavo</v>
      </c>
      <c r="C2968" s="5" t="s">
        <v>16</v>
      </c>
      <c r="D2968" s="5" t="s">
        <v>2908</v>
      </c>
      <c r="E2968" s="6" t="str">
        <f>HYPERLINK("https://twitter.com/petrogustavo/status/1236080507869368321","1236080507869368321")</f>
        <v>1236080507869368321</v>
      </c>
      <c r="F2968" s="7" t="s">
        <v>17</v>
      </c>
      <c r="G2968" s="7">
        <v>3657354</v>
      </c>
      <c r="H2968" s="7">
        <v>2355</v>
      </c>
      <c r="I2968" s="7">
        <v>240</v>
      </c>
      <c r="J2968" s="7">
        <v>651</v>
      </c>
      <c r="K2968" s="7" t="s">
        <v>18</v>
      </c>
      <c r="L2968" s="8">
        <v>39987.315405092595</v>
      </c>
      <c r="M2968" s="9" t="s">
        <v>19</v>
      </c>
      <c r="N2968" s="9" t="s">
        <v>20</v>
      </c>
      <c r="O2968" s="6" t="str">
        <f>HYPERLINK("https://pbs.twimg.com/profile_images/962471262747529216/Uo8lOkRJ_normal.jpg","View")</f>
        <v>View</v>
      </c>
      <c r="P2968" s="7"/>
    </row>
    <row r="2969" spans="1:16">
      <c r="A2969" s="3">
        <v>43897.234560185185</v>
      </c>
      <c r="B2969" s="4" t="str">
        <f>HYPERLINK("https://twitter.com/petrogustavo","@petrogustavo")</f>
        <v>@petrogustavo</v>
      </c>
      <c r="C2969" s="5" t="s">
        <v>16</v>
      </c>
      <c r="D2969" s="5" t="s">
        <v>2909</v>
      </c>
      <c r="E2969" s="6" t="str">
        <f>HYPERLINK("https://twitter.com/petrogustavo/status/1236081068576583680","1236081068576583680")</f>
        <v>1236081068576583680</v>
      </c>
      <c r="F2969" s="7" t="s">
        <v>17</v>
      </c>
      <c r="G2969" s="7">
        <v>3657354</v>
      </c>
      <c r="H2969" s="7">
        <v>2355</v>
      </c>
      <c r="I2969" s="7">
        <v>876</v>
      </c>
      <c r="J2969" s="7">
        <v>0</v>
      </c>
      <c r="K2969" s="7" t="s">
        <v>18</v>
      </c>
      <c r="L2969" s="8">
        <v>39987.315405092595</v>
      </c>
      <c r="M2969" s="9" t="s">
        <v>19</v>
      </c>
      <c r="N2969" s="9" t="s">
        <v>20</v>
      </c>
      <c r="O2969" s="6" t="str">
        <f>HYPERLINK("https://pbs.twimg.com/profile_images/962471262747529216/Uo8lOkRJ_normal.jpg","View")</f>
        <v>View</v>
      </c>
      <c r="P2969" s="7"/>
    </row>
    <row r="2970" spans="1:16">
      <c r="A2970" s="3">
        <v>43897.23600694444</v>
      </c>
      <c r="B2970" s="4" t="str">
        <f>HYPERLINK("https://twitter.com/petrogustavo","@petrogustavo")</f>
        <v>@petrogustavo</v>
      </c>
      <c r="C2970" s="5" t="s">
        <v>16</v>
      </c>
      <c r="D2970" s="5" t="s">
        <v>2910</v>
      </c>
      <c r="E2970" s="6" t="str">
        <f>HYPERLINK("https://twitter.com/petrogustavo/status/1236081591652438017","1236081591652438017")</f>
        <v>1236081591652438017</v>
      </c>
      <c r="F2970" s="7" t="s">
        <v>17</v>
      </c>
      <c r="G2970" s="7">
        <v>3657354</v>
      </c>
      <c r="H2970" s="7">
        <v>2355</v>
      </c>
      <c r="I2970" s="7">
        <v>581</v>
      </c>
      <c r="J2970" s="7">
        <v>0</v>
      </c>
      <c r="K2970" s="7" t="s">
        <v>18</v>
      </c>
      <c r="L2970" s="8">
        <v>39987.315405092595</v>
      </c>
      <c r="M2970" s="9" t="s">
        <v>19</v>
      </c>
      <c r="N2970" s="9" t="s">
        <v>20</v>
      </c>
      <c r="O2970" s="6" t="str">
        <f>HYPERLINK("https://pbs.twimg.com/profile_images/962471262747529216/Uo8lOkRJ_normal.jpg","View")</f>
        <v>View</v>
      </c>
      <c r="P2970" s="7"/>
    </row>
    <row r="2971" spans="1:16">
      <c r="A2971" s="3">
        <v>43897.241319444445</v>
      </c>
      <c r="B2971" s="4" t="str">
        <f>HYPERLINK("https://twitter.com/petrogustavo","@petrogustavo")</f>
        <v>@petrogustavo</v>
      </c>
      <c r="C2971" s="5" t="s">
        <v>16</v>
      </c>
      <c r="D2971" s="5" t="s">
        <v>2911</v>
      </c>
      <c r="E2971" s="6" t="str">
        <f>HYPERLINK("https://twitter.com/petrogustavo/status/1236083517521616899","1236083517521616899")</f>
        <v>1236083517521616899</v>
      </c>
      <c r="F2971" s="7" t="s">
        <v>17</v>
      </c>
      <c r="G2971" s="7">
        <v>3657354</v>
      </c>
      <c r="H2971" s="7">
        <v>2355</v>
      </c>
      <c r="I2971" s="7">
        <v>452</v>
      </c>
      <c r="J2971" s="7">
        <v>0</v>
      </c>
      <c r="K2971" s="7" t="s">
        <v>18</v>
      </c>
      <c r="L2971" s="8">
        <v>39987.315405092595</v>
      </c>
      <c r="M2971" s="9" t="s">
        <v>19</v>
      </c>
      <c r="N2971" s="9" t="s">
        <v>20</v>
      </c>
      <c r="O2971" s="6" t="str">
        <f>HYPERLINK("https://pbs.twimg.com/profile_images/962471262747529216/Uo8lOkRJ_normal.jpg","View")</f>
        <v>View</v>
      </c>
      <c r="P2971" s="7"/>
    </row>
    <row r="2972" spans="1:16">
      <c r="A2972" s="3">
        <v>43897.24417824074</v>
      </c>
      <c r="B2972" s="4" t="str">
        <f>HYPERLINK("https://twitter.com/petrogustavo","@petrogustavo")</f>
        <v>@petrogustavo</v>
      </c>
      <c r="C2972" s="5" t="s">
        <v>16</v>
      </c>
      <c r="D2972" s="5" t="s">
        <v>2912</v>
      </c>
      <c r="E2972" s="6" t="str">
        <f>HYPERLINK("https://twitter.com/petrogustavo/status/1236084553078497280","1236084553078497280")</f>
        <v>1236084553078497280</v>
      </c>
      <c r="F2972" s="7" t="s">
        <v>17</v>
      </c>
      <c r="G2972" s="7">
        <v>3657386</v>
      </c>
      <c r="H2972" s="7">
        <v>2355</v>
      </c>
      <c r="I2972" s="7">
        <v>1056</v>
      </c>
      <c r="J2972" s="7">
        <v>0</v>
      </c>
      <c r="K2972" s="7" t="s">
        <v>18</v>
      </c>
      <c r="L2972" s="8">
        <v>39987.315405092595</v>
      </c>
      <c r="M2972" s="9" t="s">
        <v>19</v>
      </c>
      <c r="N2972" s="9" t="s">
        <v>20</v>
      </c>
      <c r="O2972" s="6" t="str">
        <f>HYPERLINK("https://pbs.twimg.com/profile_images/962471262747529216/Uo8lOkRJ_normal.jpg","View")</f>
        <v>View</v>
      </c>
      <c r="P2972" s="7"/>
    </row>
    <row r="2973" spans="1:16">
      <c r="A2973" s="3">
        <v>43897.247152777782</v>
      </c>
      <c r="B2973" s="4" t="str">
        <f>HYPERLINK("https://twitter.com/petrogustavo","@petrogustavo")</f>
        <v>@petrogustavo</v>
      </c>
      <c r="C2973" s="5" t="s">
        <v>16</v>
      </c>
      <c r="D2973" s="5" t="s">
        <v>2913</v>
      </c>
      <c r="E2973" s="6" t="str">
        <f>HYPERLINK("https://twitter.com/petrogustavo/status/1236085631786369028","1236085631786369028")</f>
        <v>1236085631786369028</v>
      </c>
      <c r="F2973" s="7" t="s">
        <v>17</v>
      </c>
      <c r="G2973" s="7">
        <v>3657386</v>
      </c>
      <c r="H2973" s="7">
        <v>2355</v>
      </c>
      <c r="I2973" s="7">
        <v>130</v>
      </c>
      <c r="J2973" s="7">
        <v>353</v>
      </c>
      <c r="K2973" s="7" t="s">
        <v>18</v>
      </c>
      <c r="L2973" s="8">
        <v>39987.315405092595</v>
      </c>
      <c r="M2973" s="9" t="s">
        <v>19</v>
      </c>
      <c r="N2973" s="9" t="s">
        <v>20</v>
      </c>
      <c r="O2973" s="6" t="str">
        <f>HYPERLINK("https://pbs.twimg.com/profile_images/962471262747529216/Uo8lOkRJ_normal.jpg","View")</f>
        <v>View</v>
      </c>
      <c r="P2973" s="7"/>
    </row>
    <row r="2974" spans="1:16">
      <c r="A2974" s="3">
        <v>43897.250277777777</v>
      </c>
      <c r="B2974" s="4" t="str">
        <f>HYPERLINK("https://twitter.com/petrogustavo","@petrogustavo")</f>
        <v>@petrogustavo</v>
      </c>
      <c r="C2974" s="5" t="s">
        <v>16</v>
      </c>
      <c r="D2974" s="5" t="s">
        <v>2914</v>
      </c>
      <c r="E2974" s="6" t="str">
        <f>HYPERLINK("https://twitter.com/petrogustavo/status/1236086764701388801","1236086764701388801")</f>
        <v>1236086764701388801</v>
      </c>
      <c r="F2974" s="7" t="s">
        <v>17</v>
      </c>
      <c r="G2974" s="7">
        <v>3657386</v>
      </c>
      <c r="H2974" s="7">
        <v>2355</v>
      </c>
      <c r="I2974" s="7">
        <v>14</v>
      </c>
      <c r="J2974" s="7">
        <v>0</v>
      </c>
      <c r="K2974" s="7" t="s">
        <v>18</v>
      </c>
      <c r="L2974" s="8">
        <v>39987.315405092595</v>
      </c>
      <c r="M2974" s="9" t="s">
        <v>19</v>
      </c>
      <c r="N2974" s="9" t="s">
        <v>20</v>
      </c>
      <c r="O2974" s="6" t="str">
        <f>HYPERLINK("https://pbs.twimg.com/profile_images/962471262747529216/Uo8lOkRJ_normal.jpg","View")</f>
        <v>View</v>
      </c>
      <c r="P2974" s="7"/>
    </row>
    <row r="2975" spans="1:16">
      <c r="A2975" s="3">
        <v>43897.255023148144</v>
      </c>
      <c r="B2975" s="4" t="str">
        <f>HYPERLINK("https://twitter.com/petrogustavo","@petrogustavo")</f>
        <v>@petrogustavo</v>
      </c>
      <c r="C2975" s="5" t="s">
        <v>16</v>
      </c>
      <c r="D2975" s="5" t="s">
        <v>2915</v>
      </c>
      <c r="E2975" s="6" t="str">
        <f>HYPERLINK("https://twitter.com/petrogustavo/status/1236088485121069056","1236088485121069056")</f>
        <v>1236088485121069056</v>
      </c>
      <c r="F2975" s="7" t="s">
        <v>17</v>
      </c>
      <c r="G2975" s="7">
        <v>3657386</v>
      </c>
      <c r="H2975" s="7">
        <v>2355</v>
      </c>
      <c r="I2975" s="7">
        <v>612</v>
      </c>
      <c r="J2975" s="7">
        <v>0</v>
      </c>
      <c r="K2975" s="7" t="s">
        <v>18</v>
      </c>
      <c r="L2975" s="8">
        <v>39987.315405092595</v>
      </c>
      <c r="M2975" s="9" t="s">
        <v>19</v>
      </c>
      <c r="N2975" s="9" t="s">
        <v>20</v>
      </c>
      <c r="O2975" s="6" t="str">
        <f>HYPERLINK("https://pbs.twimg.com/profile_images/962471262747529216/Uo8lOkRJ_normal.jpg","View")</f>
        <v>View</v>
      </c>
      <c r="P2975" s="7"/>
    </row>
    <row r="2976" spans="1:16">
      <c r="A2976" s="3">
        <v>43897.25986111111</v>
      </c>
      <c r="B2976" s="4" t="str">
        <f>HYPERLINK("https://twitter.com/petrogustavo","@petrogustavo")</f>
        <v>@petrogustavo</v>
      </c>
      <c r="C2976" s="5" t="s">
        <v>16</v>
      </c>
      <c r="D2976" s="5" t="s">
        <v>2916</v>
      </c>
      <c r="E2976" s="6" t="str">
        <f>HYPERLINK("https://twitter.com/petrogustavo/status/1236090235060187137","1236090235060187137")</f>
        <v>1236090235060187137</v>
      </c>
      <c r="F2976" s="7" t="s">
        <v>17</v>
      </c>
      <c r="G2976" s="7">
        <v>3657386</v>
      </c>
      <c r="H2976" s="7">
        <v>2355</v>
      </c>
      <c r="I2976" s="7">
        <v>49</v>
      </c>
      <c r="J2976" s="7">
        <v>130</v>
      </c>
      <c r="K2976" s="7" t="s">
        <v>18</v>
      </c>
      <c r="L2976" s="8">
        <v>39987.315405092595</v>
      </c>
      <c r="M2976" s="9" t="s">
        <v>19</v>
      </c>
      <c r="N2976" s="9" t="s">
        <v>20</v>
      </c>
      <c r="O2976" s="6" t="str">
        <f>HYPERLINK("https://pbs.twimg.com/profile_images/962471262747529216/Uo8lOkRJ_normal.jpg","View")</f>
        <v>View</v>
      </c>
      <c r="P2976" s="7"/>
    </row>
    <row r="2977" spans="1:16">
      <c r="A2977" s="3">
        <v>43897.272268518514</v>
      </c>
      <c r="B2977" s="4" t="str">
        <f>HYPERLINK("https://twitter.com/petrogustavo","@petrogustavo")</f>
        <v>@petrogustavo</v>
      </c>
      <c r="C2977" s="5" t="s">
        <v>16</v>
      </c>
      <c r="D2977" s="5" t="s">
        <v>2917</v>
      </c>
      <c r="E2977" s="6" t="str">
        <f>HYPERLINK("https://twitter.com/petrogustavo/status/1236094733849673728","1236094733849673728")</f>
        <v>1236094733849673728</v>
      </c>
      <c r="F2977" s="7" t="s">
        <v>17</v>
      </c>
      <c r="G2977" s="7">
        <v>3657419</v>
      </c>
      <c r="H2977" s="7">
        <v>2355</v>
      </c>
      <c r="I2977" s="7">
        <v>136</v>
      </c>
      <c r="J2977" s="7">
        <v>427</v>
      </c>
      <c r="K2977" s="7" t="s">
        <v>18</v>
      </c>
      <c r="L2977" s="8">
        <v>39987.315405092595</v>
      </c>
      <c r="M2977" s="9" t="s">
        <v>19</v>
      </c>
      <c r="N2977" s="9" t="s">
        <v>20</v>
      </c>
      <c r="O2977" s="6" t="str">
        <f>HYPERLINK("https://pbs.twimg.com/profile_images/962471262747529216/Uo8lOkRJ_normal.jpg","View")</f>
        <v>View</v>
      </c>
      <c r="P2977" s="7"/>
    </row>
    <row r="2978" spans="1:16">
      <c r="A2978" s="3">
        <v>43897.284942129627</v>
      </c>
      <c r="B2978" s="4" t="str">
        <f>HYPERLINK("https://twitter.com/petrogustavo","@petrogustavo")</f>
        <v>@petrogustavo</v>
      </c>
      <c r="C2978" s="5" t="s">
        <v>16</v>
      </c>
      <c r="D2978" s="5" t="s">
        <v>2918</v>
      </c>
      <c r="E2978" s="6" t="str">
        <f>HYPERLINK("https://twitter.com/petrogustavo/status/1236099324867686401","1236099324867686401")</f>
        <v>1236099324867686401</v>
      </c>
      <c r="F2978" s="7" t="s">
        <v>17</v>
      </c>
      <c r="G2978" s="7">
        <v>3657451</v>
      </c>
      <c r="H2978" s="7">
        <v>2355</v>
      </c>
      <c r="I2978" s="7">
        <v>919</v>
      </c>
      <c r="J2978" s="7">
        <v>0</v>
      </c>
      <c r="K2978" s="7" t="s">
        <v>18</v>
      </c>
      <c r="L2978" s="8">
        <v>39987.315405092595</v>
      </c>
      <c r="M2978" s="9" t="s">
        <v>19</v>
      </c>
      <c r="N2978" s="9" t="s">
        <v>20</v>
      </c>
      <c r="O2978" s="6" t="str">
        <f>HYPERLINK("https://pbs.twimg.com/profile_images/962471262747529216/Uo8lOkRJ_normal.jpg","View")</f>
        <v>View</v>
      </c>
      <c r="P2978" s="7"/>
    </row>
    <row r="2979" spans="1:16">
      <c r="A2979" s="3">
        <v>43897.28837962963</v>
      </c>
      <c r="B2979" s="4" t="str">
        <f>HYPERLINK("https://twitter.com/petrogustavo","@petrogustavo")</f>
        <v>@petrogustavo</v>
      </c>
      <c r="C2979" s="5" t="s">
        <v>16</v>
      </c>
      <c r="D2979" s="5" t="s">
        <v>2919</v>
      </c>
      <c r="E2979" s="6" t="str">
        <f>HYPERLINK("https://twitter.com/petrogustavo/status/1236100572656422912","1236100572656422912")</f>
        <v>1236100572656422912</v>
      </c>
      <c r="F2979" s="7" t="s">
        <v>17</v>
      </c>
      <c r="G2979" s="7">
        <v>3657451</v>
      </c>
      <c r="H2979" s="7">
        <v>2355</v>
      </c>
      <c r="I2979" s="7">
        <v>630</v>
      </c>
      <c r="J2979" s="7">
        <v>0</v>
      </c>
      <c r="K2979" s="7" t="s">
        <v>18</v>
      </c>
      <c r="L2979" s="8">
        <v>39987.315405092595</v>
      </c>
      <c r="M2979" s="9" t="s">
        <v>19</v>
      </c>
      <c r="N2979" s="9" t="s">
        <v>20</v>
      </c>
      <c r="O2979" s="6" t="str">
        <f>HYPERLINK("https://pbs.twimg.com/profile_images/962471262747529216/Uo8lOkRJ_normal.jpg","View")</f>
        <v>View</v>
      </c>
      <c r="P2979" s="7"/>
    </row>
    <row r="2980" spans="1:16">
      <c r="A2980" s="3">
        <v>43897.289872685185</v>
      </c>
      <c r="B2980" s="4" t="str">
        <f>HYPERLINK("https://twitter.com/petrogustavo","@petrogustavo")</f>
        <v>@petrogustavo</v>
      </c>
      <c r="C2980" s="5" t="s">
        <v>16</v>
      </c>
      <c r="D2980" s="5" t="s">
        <v>2920</v>
      </c>
      <c r="E2980" s="6" t="str">
        <f>HYPERLINK("https://twitter.com/petrogustavo/status/1236101113339949057","1236101113339949057")</f>
        <v>1236101113339949057</v>
      </c>
      <c r="F2980" s="7" t="s">
        <v>17</v>
      </c>
      <c r="G2980" s="7">
        <v>3657451</v>
      </c>
      <c r="H2980" s="7">
        <v>2355</v>
      </c>
      <c r="I2980" s="7">
        <v>735</v>
      </c>
      <c r="J2980" s="7">
        <v>0</v>
      </c>
      <c r="K2980" s="7" t="s">
        <v>18</v>
      </c>
      <c r="L2980" s="8">
        <v>39987.315405092595</v>
      </c>
      <c r="M2980" s="9" t="s">
        <v>19</v>
      </c>
      <c r="N2980" s="9" t="s">
        <v>20</v>
      </c>
      <c r="O2980" s="6" t="str">
        <f>HYPERLINK("https://pbs.twimg.com/profile_images/962471262747529216/Uo8lOkRJ_normal.jpg","View")</f>
        <v>View</v>
      </c>
      <c r="P2980" s="7"/>
    </row>
    <row r="2981" spans="1:16">
      <c r="A2981" s="3">
        <v>43897.293344907404</v>
      </c>
      <c r="B2981" s="4" t="str">
        <f>HYPERLINK("https://twitter.com/petrogustavo","@petrogustavo")</f>
        <v>@petrogustavo</v>
      </c>
      <c r="C2981" s="5" t="s">
        <v>16</v>
      </c>
      <c r="D2981" s="5" t="s">
        <v>2921</v>
      </c>
      <c r="E2981" s="6" t="str">
        <f>HYPERLINK("https://twitter.com/petrogustavo/status/1236102371320762368","1236102371320762368")</f>
        <v>1236102371320762368</v>
      </c>
      <c r="F2981" s="7" t="s">
        <v>17</v>
      </c>
      <c r="G2981" s="7">
        <v>3657451</v>
      </c>
      <c r="H2981" s="7">
        <v>2355</v>
      </c>
      <c r="I2981" s="7">
        <v>198</v>
      </c>
      <c r="J2981" s="7">
        <v>324</v>
      </c>
      <c r="K2981" s="7" t="s">
        <v>18</v>
      </c>
      <c r="L2981" s="8">
        <v>39987.315405092595</v>
      </c>
      <c r="M2981" s="9" t="s">
        <v>19</v>
      </c>
      <c r="N2981" s="9" t="s">
        <v>20</v>
      </c>
      <c r="O2981" s="6" t="str">
        <f>HYPERLINK("https://pbs.twimg.com/profile_images/962471262747529216/Uo8lOkRJ_normal.jpg","View")</f>
        <v>View</v>
      </c>
      <c r="P2981" s="7"/>
    </row>
    <row r="2982" spans="1:16">
      <c r="A2982" s="3">
        <v>43897.294050925921</v>
      </c>
      <c r="B2982" s="4" t="str">
        <f>HYPERLINK("https://twitter.com/petrogustavo","@petrogustavo")</f>
        <v>@petrogustavo</v>
      </c>
      <c r="C2982" s="5" t="s">
        <v>16</v>
      </c>
      <c r="D2982" s="5" t="s">
        <v>2922</v>
      </c>
      <c r="E2982" s="6" t="str">
        <f>HYPERLINK("https://twitter.com/petrogustavo/status/1236102624870633474","1236102624870633474")</f>
        <v>1236102624870633474</v>
      </c>
      <c r="F2982" s="7" t="s">
        <v>17</v>
      </c>
      <c r="G2982" s="7">
        <v>3657451</v>
      </c>
      <c r="H2982" s="7">
        <v>2355</v>
      </c>
      <c r="I2982" s="7">
        <v>1633</v>
      </c>
      <c r="J2982" s="7">
        <v>0</v>
      </c>
      <c r="K2982" s="7" t="s">
        <v>18</v>
      </c>
      <c r="L2982" s="8">
        <v>39987.315405092595</v>
      </c>
      <c r="M2982" s="9" t="s">
        <v>19</v>
      </c>
      <c r="N2982" s="9" t="s">
        <v>20</v>
      </c>
      <c r="O2982" s="6" t="str">
        <f>HYPERLINK("https://pbs.twimg.com/profile_images/962471262747529216/Uo8lOkRJ_normal.jpg","View")</f>
        <v>View</v>
      </c>
      <c r="P2982" s="7"/>
    </row>
    <row r="2983" spans="1:16">
      <c r="A2983" s="3">
        <v>43897.303356481483</v>
      </c>
      <c r="B2983" s="4" t="str">
        <f>HYPERLINK("https://twitter.com/petrogustavo","@petrogustavo")</f>
        <v>@petrogustavo</v>
      </c>
      <c r="C2983" s="5" t="s">
        <v>16</v>
      </c>
      <c r="D2983" s="5" t="s">
        <v>2923</v>
      </c>
      <c r="E2983" s="6" t="str">
        <f>HYPERLINK("https://twitter.com/petrogustavo/status/1236105997871190017","1236105997871190017")</f>
        <v>1236105997871190017</v>
      </c>
      <c r="F2983" s="7" t="s">
        <v>17</v>
      </c>
      <c r="G2983" s="7">
        <v>3657451</v>
      </c>
      <c r="H2983" s="7">
        <v>2355</v>
      </c>
      <c r="I2983" s="7">
        <v>70</v>
      </c>
      <c r="J2983" s="7">
        <v>0</v>
      </c>
      <c r="K2983" s="7" t="s">
        <v>18</v>
      </c>
      <c r="L2983" s="8">
        <v>39987.315405092595</v>
      </c>
      <c r="M2983" s="9" t="s">
        <v>19</v>
      </c>
      <c r="N2983" s="9" t="s">
        <v>20</v>
      </c>
      <c r="O2983" s="6" t="str">
        <f>HYPERLINK("https://pbs.twimg.com/profile_images/962471262747529216/Uo8lOkRJ_normal.jpg","View")</f>
        <v>View</v>
      </c>
      <c r="P2983" s="7"/>
    </row>
    <row r="2984" spans="1:16">
      <c r="A2984" s="3">
        <v>43897.307905092588</v>
      </c>
      <c r="B2984" s="4" t="str">
        <f>HYPERLINK("https://twitter.com/petrogustavo","@petrogustavo")</f>
        <v>@petrogustavo</v>
      </c>
      <c r="C2984" s="5" t="s">
        <v>16</v>
      </c>
      <c r="D2984" s="5" t="s">
        <v>2924</v>
      </c>
      <c r="E2984" s="6" t="str">
        <f>HYPERLINK("https://twitter.com/petrogustavo/status/1236107648170369027","1236107648170369027")</f>
        <v>1236107648170369027</v>
      </c>
      <c r="F2984" s="7" t="s">
        <v>17</v>
      </c>
      <c r="G2984" s="7">
        <v>3657492</v>
      </c>
      <c r="H2984" s="7">
        <v>2355</v>
      </c>
      <c r="I2984" s="7">
        <v>1445</v>
      </c>
      <c r="J2984" s="7">
        <v>0</v>
      </c>
      <c r="K2984" s="7" t="s">
        <v>18</v>
      </c>
      <c r="L2984" s="8">
        <v>39987.315405092595</v>
      </c>
      <c r="M2984" s="9" t="s">
        <v>19</v>
      </c>
      <c r="N2984" s="9" t="s">
        <v>20</v>
      </c>
      <c r="O2984" s="6" t="str">
        <f>HYPERLINK("https://pbs.twimg.com/profile_images/962471262747529216/Uo8lOkRJ_normal.jpg","View")</f>
        <v>View</v>
      </c>
      <c r="P2984" s="7"/>
    </row>
    <row r="2985" spans="1:16">
      <c r="A2985" s="3">
        <v>43897.313657407409</v>
      </c>
      <c r="B2985" s="4" t="str">
        <f>HYPERLINK("https://twitter.com/petrogustavo","@petrogustavo")</f>
        <v>@petrogustavo</v>
      </c>
      <c r="C2985" s="5" t="s">
        <v>16</v>
      </c>
      <c r="D2985" s="5" t="s">
        <v>2925</v>
      </c>
      <c r="E2985" s="6" t="str">
        <f>HYPERLINK("https://twitter.com/petrogustavo/status/1236109731523170304","1236109731523170304")</f>
        <v>1236109731523170304</v>
      </c>
      <c r="F2985" s="7" t="s">
        <v>17</v>
      </c>
      <c r="G2985" s="7">
        <v>3657492</v>
      </c>
      <c r="H2985" s="7">
        <v>2355</v>
      </c>
      <c r="I2985" s="7">
        <v>77</v>
      </c>
      <c r="J2985" s="7">
        <v>0</v>
      </c>
      <c r="K2985" s="7" t="s">
        <v>18</v>
      </c>
      <c r="L2985" s="8">
        <v>39987.315405092595</v>
      </c>
      <c r="M2985" s="9" t="s">
        <v>19</v>
      </c>
      <c r="N2985" s="9" t="s">
        <v>20</v>
      </c>
      <c r="O2985" s="6" t="str">
        <f>HYPERLINK("https://pbs.twimg.com/profile_images/962471262747529216/Uo8lOkRJ_normal.jpg","View")</f>
        <v>View</v>
      </c>
      <c r="P2985" s="7"/>
    </row>
    <row r="2986" spans="1:16">
      <c r="A2986" s="3">
        <v>43897.317488425921</v>
      </c>
      <c r="B2986" s="4" t="str">
        <f>HYPERLINK("https://twitter.com/petrogustavo","@petrogustavo")</f>
        <v>@petrogustavo</v>
      </c>
      <c r="C2986" s="5" t="s">
        <v>16</v>
      </c>
      <c r="D2986" s="5" t="s">
        <v>2926</v>
      </c>
      <c r="E2986" s="6" t="str">
        <f>HYPERLINK("https://twitter.com/petrogustavo/status/1236111120923897856","1236111120923897856")</f>
        <v>1236111120923897856</v>
      </c>
      <c r="F2986" s="7" t="s">
        <v>17</v>
      </c>
      <c r="G2986" s="7">
        <v>3657492</v>
      </c>
      <c r="H2986" s="7">
        <v>2355</v>
      </c>
      <c r="I2986" s="7">
        <v>87</v>
      </c>
      <c r="J2986" s="7">
        <v>0</v>
      </c>
      <c r="K2986" s="7" t="s">
        <v>18</v>
      </c>
      <c r="L2986" s="8">
        <v>39987.315405092595</v>
      </c>
      <c r="M2986" s="9" t="s">
        <v>19</v>
      </c>
      <c r="N2986" s="9" t="s">
        <v>20</v>
      </c>
      <c r="O2986" s="6" t="str">
        <f>HYPERLINK("https://pbs.twimg.com/profile_images/962471262747529216/Uo8lOkRJ_normal.jpg","View")</f>
        <v>View</v>
      </c>
      <c r="P2986" s="7"/>
    </row>
    <row r="2987" spans="1:16">
      <c r="A2987" s="3">
        <v>43897.321076388893</v>
      </c>
      <c r="B2987" s="4" t="str">
        <f>HYPERLINK("https://twitter.com/petrogustavo","@petrogustavo")</f>
        <v>@petrogustavo</v>
      </c>
      <c r="C2987" s="5" t="s">
        <v>16</v>
      </c>
      <c r="D2987" s="5" t="s">
        <v>2927</v>
      </c>
      <c r="E2987" s="6" t="str">
        <f>HYPERLINK("https://twitter.com/petrogustavo/status/1236112421330149376","1236112421330149376")</f>
        <v>1236112421330149376</v>
      </c>
      <c r="F2987" s="7" t="s">
        <v>17</v>
      </c>
      <c r="G2987" s="7">
        <v>3657492</v>
      </c>
      <c r="H2987" s="7">
        <v>2355</v>
      </c>
      <c r="I2987" s="7">
        <v>2451</v>
      </c>
      <c r="J2987" s="7">
        <v>0</v>
      </c>
      <c r="K2987" s="7" t="s">
        <v>18</v>
      </c>
      <c r="L2987" s="8">
        <v>39987.315405092595</v>
      </c>
      <c r="M2987" s="9" t="s">
        <v>19</v>
      </c>
      <c r="N2987" s="9" t="s">
        <v>20</v>
      </c>
      <c r="O2987" s="6" t="str">
        <f>HYPERLINK("https://pbs.twimg.com/profile_images/962471262747529216/Uo8lOkRJ_normal.jpg","View")</f>
        <v>View</v>
      </c>
      <c r="P2987" s="7"/>
    </row>
    <row r="2988" spans="1:16">
      <c r="A2988" s="3">
        <v>43897.739629629628</v>
      </c>
      <c r="B2988" s="4" t="str">
        <f>HYPERLINK("https://twitter.com/petrogustavo","@petrogustavo")</f>
        <v>@petrogustavo</v>
      </c>
      <c r="C2988" s="5" t="s">
        <v>16</v>
      </c>
      <c r="D2988" s="5" t="s">
        <v>2928</v>
      </c>
      <c r="E2988" s="6" t="str">
        <f>HYPERLINK("https://twitter.com/petrogustavo/status/1236264100700794888","1236264100700794888")</f>
        <v>1236264100700794888</v>
      </c>
      <c r="F2988" s="7" t="s">
        <v>17</v>
      </c>
      <c r="G2988" s="7">
        <v>3657729</v>
      </c>
      <c r="H2988" s="7">
        <v>2355</v>
      </c>
      <c r="I2988" s="7">
        <v>1229</v>
      </c>
      <c r="J2988" s="7">
        <v>0</v>
      </c>
      <c r="K2988" s="7" t="s">
        <v>18</v>
      </c>
      <c r="L2988" s="8">
        <v>39987.315405092595</v>
      </c>
      <c r="M2988" s="9" t="s">
        <v>19</v>
      </c>
      <c r="N2988" s="9" t="s">
        <v>20</v>
      </c>
      <c r="O2988" s="6" t="str">
        <f>HYPERLINK("https://pbs.twimg.com/profile_images/962471262747529216/Uo8lOkRJ_normal.jpg","View")</f>
        <v>View</v>
      </c>
      <c r="P2988" s="7"/>
    </row>
    <row r="2989" spans="1:16">
      <c r="A2989" s="3">
        <v>43897.741331018522</v>
      </c>
      <c r="B2989" s="4" t="str">
        <f>HYPERLINK("https://twitter.com/petrogustavo","@petrogustavo")</f>
        <v>@petrogustavo</v>
      </c>
      <c r="C2989" s="5" t="s">
        <v>16</v>
      </c>
      <c r="D2989" s="5" t="s">
        <v>2929</v>
      </c>
      <c r="E2989" s="6" t="str">
        <f>HYPERLINK("https://twitter.com/petrogustavo/status/1236264713954234368","1236264713954234368")</f>
        <v>1236264713954234368</v>
      </c>
      <c r="F2989" s="7" t="s">
        <v>17</v>
      </c>
      <c r="G2989" s="7">
        <v>3657719</v>
      </c>
      <c r="H2989" s="7">
        <v>2355</v>
      </c>
      <c r="I2989" s="7">
        <v>204</v>
      </c>
      <c r="J2989" s="7">
        <v>477</v>
      </c>
      <c r="K2989" s="7" t="s">
        <v>18</v>
      </c>
      <c r="L2989" s="8">
        <v>39987.315405092595</v>
      </c>
      <c r="M2989" s="9" t="s">
        <v>19</v>
      </c>
      <c r="N2989" s="9" t="s">
        <v>20</v>
      </c>
      <c r="O2989" s="6" t="str">
        <f>HYPERLINK("https://pbs.twimg.com/profile_images/962471262747529216/Uo8lOkRJ_normal.jpg","View")</f>
        <v>View</v>
      </c>
      <c r="P2989" s="7"/>
    </row>
    <row r="2990" spans="1:16">
      <c r="A2990" s="3">
        <v>43897.749814814815</v>
      </c>
      <c r="B2990" s="4" t="str">
        <f>HYPERLINK("https://twitter.com/petrogustavo","@petrogustavo")</f>
        <v>@petrogustavo</v>
      </c>
      <c r="C2990" s="5" t="s">
        <v>16</v>
      </c>
      <c r="D2990" s="5" t="s">
        <v>2930</v>
      </c>
      <c r="E2990" s="6" t="str">
        <f>HYPERLINK("https://twitter.com/petrogustavo/status/1236267788613947393","1236267788613947393")</f>
        <v>1236267788613947393</v>
      </c>
      <c r="F2990" s="7" t="s">
        <v>17</v>
      </c>
      <c r="G2990" s="7">
        <v>3657719</v>
      </c>
      <c r="H2990" s="7">
        <v>2355</v>
      </c>
      <c r="I2990" s="7">
        <v>275</v>
      </c>
      <c r="J2990" s="7">
        <v>559</v>
      </c>
      <c r="K2990" s="7" t="s">
        <v>18</v>
      </c>
      <c r="L2990" s="8">
        <v>39987.315405092595</v>
      </c>
      <c r="M2990" s="9" t="s">
        <v>19</v>
      </c>
      <c r="N2990" s="9" t="s">
        <v>20</v>
      </c>
      <c r="O2990" s="6" t="str">
        <f>HYPERLINK("https://pbs.twimg.com/profile_images/962471262747529216/Uo8lOkRJ_normal.jpg","View")</f>
        <v>View</v>
      </c>
      <c r="P2990" s="7"/>
    </row>
    <row r="2991" spans="1:16">
      <c r="A2991" s="3">
        <v>43897.751666666663</v>
      </c>
      <c r="B2991" s="4" t="str">
        <f>HYPERLINK("https://twitter.com/petrogustavo","@petrogustavo")</f>
        <v>@petrogustavo</v>
      </c>
      <c r="C2991" s="5" t="s">
        <v>16</v>
      </c>
      <c r="D2991" s="5" t="s">
        <v>2931</v>
      </c>
      <c r="E2991" s="6" t="str">
        <f>HYPERLINK("https://twitter.com/petrogustavo/status/1236268462160388097","1236268462160388097")</f>
        <v>1236268462160388097</v>
      </c>
      <c r="F2991" s="7" t="s">
        <v>17</v>
      </c>
      <c r="G2991" s="7">
        <v>3657719</v>
      </c>
      <c r="H2991" s="7">
        <v>2355</v>
      </c>
      <c r="I2991" s="7">
        <v>142</v>
      </c>
      <c r="J2991" s="7">
        <v>261</v>
      </c>
      <c r="K2991" s="7" t="s">
        <v>18</v>
      </c>
      <c r="L2991" s="8">
        <v>39987.315405092595</v>
      </c>
      <c r="M2991" s="9" t="s">
        <v>19</v>
      </c>
      <c r="N2991" s="9" t="s">
        <v>20</v>
      </c>
      <c r="O2991" s="6" t="str">
        <f>HYPERLINK("https://pbs.twimg.com/profile_images/962471262747529216/Uo8lOkRJ_normal.jpg","View")</f>
        <v>View</v>
      </c>
      <c r="P2991" s="7"/>
    </row>
    <row r="2992" spans="1:16">
      <c r="A2992" s="3">
        <v>43897.757523148146</v>
      </c>
      <c r="B2992" s="4" t="str">
        <f>HYPERLINK("https://twitter.com/petrogustavo","@petrogustavo")</f>
        <v>@petrogustavo</v>
      </c>
      <c r="C2992" s="5" t="s">
        <v>16</v>
      </c>
      <c r="D2992" s="5" t="s">
        <v>2932</v>
      </c>
      <c r="E2992" s="6" t="str">
        <f>HYPERLINK("https://twitter.com/petrogustavo/status/1236270582091649024","1236270582091649024")</f>
        <v>1236270582091649024</v>
      </c>
      <c r="F2992" s="7" t="s">
        <v>17</v>
      </c>
      <c r="G2992" s="7">
        <v>3657719</v>
      </c>
      <c r="H2992" s="7">
        <v>2355</v>
      </c>
      <c r="I2992" s="7">
        <v>1065</v>
      </c>
      <c r="J2992" s="7">
        <v>0</v>
      </c>
      <c r="K2992" s="7" t="s">
        <v>18</v>
      </c>
      <c r="L2992" s="8">
        <v>39987.315405092595</v>
      </c>
      <c r="M2992" s="9" t="s">
        <v>19</v>
      </c>
      <c r="N2992" s="9" t="s">
        <v>20</v>
      </c>
      <c r="O2992" s="6" t="str">
        <f>HYPERLINK("https://pbs.twimg.com/profile_images/962471262747529216/Uo8lOkRJ_normal.jpg","View")</f>
        <v>View</v>
      </c>
      <c r="P2992" s="7"/>
    </row>
    <row r="2993" spans="1:16">
      <c r="A2993" s="3">
        <v>43897.762361111112</v>
      </c>
      <c r="B2993" s="4" t="str">
        <f>HYPERLINK("https://twitter.com/petrogustavo","@petrogustavo")</f>
        <v>@petrogustavo</v>
      </c>
      <c r="C2993" s="5" t="s">
        <v>16</v>
      </c>
      <c r="D2993" s="5" t="s">
        <v>2933</v>
      </c>
      <c r="E2993" s="6" t="str">
        <f>HYPERLINK("https://twitter.com/petrogustavo/status/1236272338230038531","1236272338230038531")</f>
        <v>1236272338230038531</v>
      </c>
      <c r="F2993" s="7" t="s">
        <v>17</v>
      </c>
      <c r="G2993" s="7">
        <v>3657758</v>
      </c>
      <c r="H2993" s="7">
        <v>2355</v>
      </c>
      <c r="I2993" s="7">
        <v>728</v>
      </c>
      <c r="J2993" s="7">
        <v>2811</v>
      </c>
      <c r="K2993" s="7" t="s">
        <v>18</v>
      </c>
      <c r="L2993" s="8">
        <v>39987.315405092595</v>
      </c>
      <c r="M2993" s="9" t="s">
        <v>19</v>
      </c>
      <c r="N2993" s="9" t="s">
        <v>20</v>
      </c>
      <c r="O2993" s="6" t="str">
        <f>HYPERLINK("https://pbs.twimg.com/profile_images/962471262747529216/Uo8lOkRJ_normal.jpg","View")</f>
        <v>View</v>
      </c>
      <c r="P2993" s="7"/>
    </row>
    <row r="2994" spans="1:16">
      <c r="A2994" s="3">
        <v>43897.764201388884</v>
      </c>
      <c r="B2994" s="4" t="str">
        <f>HYPERLINK("https://twitter.com/petrogustavo","@petrogustavo")</f>
        <v>@petrogustavo</v>
      </c>
      <c r="C2994" s="5" t="s">
        <v>16</v>
      </c>
      <c r="D2994" s="5" t="s">
        <v>2934</v>
      </c>
      <c r="E2994" s="6" t="str">
        <f>HYPERLINK("https://twitter.com/petrogustavo/status/1236273004096569344","1236273004096569344")</f>
        <v>1236273004096569344</v>
      </c>
      <c r="F2994" s="7" t="s">
        <v>17</v>
      </c>
      <c r="G2994" s="7">
        <v>3657758</v>
      </c>
      <c r="H2994" s="7">
        <v>2355</v>
      </c>
      <c r="I2994" s="7">
        <v>1816</v>
      </c>
      <c r="J2994" s="7">
        <v>0</v>
      </c>
      <c r="K2994" s="7" t="s">
        <v>18</v>
      </c>
      <c r="L2994" s="8">
        <v>39987.315405092595</v>
      </c>
      <c r="M2994" s="9" t="s">
        <v>19</v>
      </c>
      <c r="N2994" s="9" t="s">
        <v>20</v>
      </c>
      <c r="O2994" s="6" t="str">
        <f>HYPERLINK("https://pbs.twimg.com/profile_images/962471262747529216/Uo8lOkRJ_normal.jpg","View")</f>
        <v>View</v>
      </c>
      <c r="P2994" s="7"/>
    </row>
    <row r="2995" spans="1:16">
      <c r="A2995" s="3">
        <v>43897.764791666668</v>
      </c>
      <c r="B2995" s="4" t="str">
        <f>HYPERLINK("https://twitter.com/petrogustavo","@petrogustavo")</f>
        <v>@petrogustavo</v>
      </c>
      <c r="C2995" s="5" t="s">
        <v>16</v>
      </c>
      <c r="D2995" s="5" t="s">
        <v>2935</v>
      </c>
      <c r="E2995" s="6" t="str">
        <f>HYPERLINK("https://twitter.com/petrogustavo/status/1236273216886386688","1236273216886386688")</f>
        <v>1236273216886386688</v>
      </c>
      <c r="F2995" s="7" t="s">
        <v>17</v>
      </c>
      <c r="G2995" s="7">
        <v>3657758</v>
      </c>
      <c r="H2995" s="7">
        <v>2355</v>
      </c>
      <c r="I2995" s="7">
        <v>93</v>
      </c>
      <c r="J2995" s="7">
        <v>0</v>
      </c>
      <c r="K2995" s="7" t="s">
        <v>18</v>
      </c>
      <c r="L2995" s="8">
        <v>39987.315405092595</v>
      </c>
      <c r="M2995" s="9" t="s">
        <v>19</v>
      </c>
      <c r="N2995" s="9" t="s">
        <v>20</v>
      </c>
      <c r="O2995" s="6" t="str">
        <f>HYPERLINK("https://pbs.twimg.com/profile_images/962471262747529216/Uo8lOkRJ_normal.jpg","View")</f>
        <v>View</v>
      </c>
      <c r="P2995" s="7"/>
    </row>
    <row r="2996" spans="1:16">
      <c r="A2996" s="3">
        <v>43897.785185185188</v>
      </c>
      <c r="B2996" s="4" t="str">
        <f>HYPERLINK("https://twitter.com/petrogustavo","@petrogustavo")</f>
        <v>@petrogustavo</v>
      </c>
      <c r="C2996" s="5" t="s">
        <v>16</v>
      </c>
      <c r="D2996" s="5" t="s">
        <v>2936</v>
      </c>
      <c r="E2996" s="6" t="str">
        <f>HYPERLINK("https://twitter.com/petrogustavo/status/1236280608449536000","1236280608449536000")</f>
        <v>1236280608449536000</v>
      </c>
      <c r="F2996" s="7" t="s">
        <v>17</v>
      </c>
      <c r="G2996" s="7">
        <v>3657773</v>
      </c>
      <c r="H2996" s="7">
        <v>2355</v>
      </c>
      <c r="I2996" s="7">
        <v>65</v>
      </c>
      <c r="J2996" s="7">
        <v>0</v>
      </c>
      <c r="K2996" s="7" t="s">
        <v>18</v>
      </c>
      <c r="L2996" s="8">
        <v>39987.315405092595</v>
      </c>
      <c r="M2996" s="9" t="s">
        <v>19</v>
      </c>
      <c r="N2996" s="9" t="s">
        <v>20</v>
      </c>
      <c r="O2996" s="6" t="str">
        <f>HYPERLINK("https://pbs.twimg.com/profile_images/962471262747529216/Uo8lOkRJ_normal.jpg","View")</f>
        <v>View</v>
      </c>
      <c r="P2996" s="7"/>
    </row>
    <row r="2997" spans="1:16">
      <c r="A2997" s="3">
        <v>43897.787152777775</v>
      </c>
      <c r="B2997" s="4" t="str">
        <f>HYPERLINK("https://twitter.com/petrogustavo","@petrogustavo")</f>
        <v>@petrogustavo</v>
      </c>
      <c r="C2997" s="5" t="s">
        <v>16</v>
      </c>
      <c r="D2997" s="5" t="s">
        <v>2937</v>
      </c>
      <c r="E2997" s="6" t="str">
        <f>HYPERLINK("https://twitter.com/petrogustavo/status/1236281318700392449","1236281318700392449")</f>
        <v>1236281318700392449</v>
      </c>
      <c r="F2997" s="7" t="s">
        <v>17</v>
      </c>
      <c r="G2997" s="7">
        <v>3657773</v>
      </c>
      <c r="H2997" s="7">
        <v>2355</v>
      </c>
      <c r="I2997" s="7">
        <v>99</v>
      </c>
      <c r="J2997" s="7">
        <v>233</v>
      </c>
      <c r="K2997" s="7" t="s">
        <v>18</v>
      </c>
      <c r="L2997" s="8">
        <v>39987.315405092595</v>
      </c>
      <c r="M2997" s="9" t="s">
        <v>19</v>
      </c>
      <c r="N2997" s="9" t="s">
        <v>20</v>
      </c>
      <c r="O2997" s="6" t="str">
        <f>HYPERLINK("https://pbs.twimg.com/profile_images/962471262747529216/Uo8lOkRJ_normal.jpg","View")</f>
        <v>View</v>
      </c>
      <c r="P2997" s="7"/>
    </row>
    <row r="2998" spans="1:16">
      <c r="A2998" s="3">
        <v>43897.795798611114</v>
      </c>
      <c r="B2998" s="4" t="str">
        <f>HYPERLINK("https://twitter.com/petrogustavo","@petrogustavo")</f>
        <v>@petrogustavo</v>
      </c>
      <c r="C2998" s="5" t="s">
        <v>16</v>
      </c>
      <c r="D2998" s="5" t="s">
        <v>2938</v>
      </c>
      <c r="E2998" s="6" t="str">
        <f>HYPERLINK("https://twitter.com/petrogustavo/status/1236284454517248001","1236284454517248001")</f>
        <v>1236284454517248001</v>
      </c>
      <c r="F2998" s="7" t="s">
        <v>17</v>
      </c>
      <c r="G2998" s="7">
        <v>3657773</v>
      </c>
      <c r="H2998" s="7">
        <v>2355</v>
      </c>
      <c r="I2998" s="7">
        <v>135</v>
      </c>
      <c r="J2998" s="7">
        <v>343</v>
      </c>
      <c r="K2998" s="7" t="s">
        <v>18</v>
      </c>
      <c r="L2998" s="8">
        <v>39987.315405092595</v>
      </c>
      <c r="M2998" s="9" t="s">
        <v>19</v>
      </c>
      <c r="N2998" s="9" t="s">
        <v>20</v>
      </c>
      <c r="O2998" s="6" t="str">
        <f>HYPERLINK("https://pbs.twimg.com/profile_images/962471262747529216/Uo8lOkRJ_normal.jpg","View")</f>
        <v>View</v>
      </c>
      <c r="P2998" s="7"/>
    </row>
    <row r="2999" spans="1:16">
      <c r="A2999" s="3">
        <v>43897.795798611114</v>
      </c>
      <c r="B2999" s="4" t="str">
        <f>HYPERLINK("https://twitter.com/petrogustavo","@petrogustavo")</f>
        <v>@petrogustavo</v>
      </c>
      <c r="C2999" s="5" t="s">
        <v>16</v>
      </c>
      <c r="D2999" s="5" t="s">
        <v>2939</v>
      </c>
      <c r="E2999" s="6" t="str">
        <f>HYPERLINK("https://twitter.com/petrogustavo/status/1236284455620349952","1236284455620349952")</f>
        <v>1236284455620349952</v>
      </c>
      <c r="F2999" s="7" t="s">
        <v>17</v>
      </c>
      <c r="G2999" s="7">
        <v>3657773</v>
      </c>
      <c r="H2999" s="7">
        <v>2355</v>
      </c>
      <c r="I2999" s="7">
        <v>76</v>
      </c>
      <c r="J2999" s="7">
        <v>187</v>
      </c>
      <c r="K2999" s="7" t="s">
        <v>18</v>
      </c>
      <c r="L2999" s="8">
        <v>39987.315405092595</v>
      </c>
      <c r="M2999" s="9" t="s">
        <v>19</v>
      </c>
      <c r="N2999" s="9" t="s">
        <v>20</v>
      </c>
      <c r="O2999" s="6" t="str">
        <f>HYPERLINK("https://pbs.twimg.com/profile_images/962471262747529216/Uo8lOkRJ_normal.jpg","View")</f>
        <v>View</v>
      </c>
      <c r="P2999" s="7"/>
    </row>
    <row r="3000" spans="1:16">
      <c r="A3000" s="3">
        <v>43897.804247685184</v>
      </c>
      <c r="B3000" s="4" t="str">
        <f>HYPERLINK("https://twitter.com/petrogustavo","@petrogustavo")</f>
        <v>@petrogustavo</v>
      </c>
      <c r="C3000" s="5" t="s">
        <v>16</v>
      </c>
      <c r="D3000" s="5" t="s">
        <v>2940</v>
      </c>
      <c r="E3000" s="6" t="str">
        <f>HYPERLINK("https://twitter.com/petrogustavo/status/1236287513628741632","1236287513628741632")</f>
        <v>1236287513628741632</v>
      </c>
      <c r="F3000" s="7" t="s">
        <v>17</v>
      </c>
      <c r="G3000" s="7">
        <v>3657799</v>
      </c>
      <c r="H3000" s="7">
        <v>2355</v>
      </c>
      <c r="I3000" s="7">
        <v>375</v>
      </c>
      <c r="J3000" s="7">
        <v>933</v>
      </c>
      <c r="K3000" s="7" t="s">
        <v>18</v>
      </c>
      <c r="L3000" s="8">
        <v>39987.315405092595</v>
      </c>
      <c r="M3000" s="9" t="s">
        <v>19</v>
      </c>
      <c r="N3000" s="9" t="s">
        <v>20</v>
      </c>
      <c r="O3000" s="6" t="str">
        <f>HYPERLINK("https://pbs.twimg.com/profile_images/962471262747529216/Uo8lOkRJ_normal.jpg","View")</f>
        <v>View</v>
      </c>
      <c r="P3000" s="7"/>
    </row>
    <row r="3001" spans="1:16">
      <c r="A3001" s="3">
        <v>43897.813032407408</v>
      </c>
      <c r="B3001" s="4" t="str">
        <f>HYPERLINK("https://twitter.com/petrogustavo","@petrogustavo")</f>
        <v>@petrogustavo</v>
      </c>
      <c r="C3001" s="5" t="s">
        <v>16</v>
      </c>
      <c r="D3001" s="5" t="s">
        <v>2941</v>
      </c>
      <c r="E3001" s="6" t="str">
        <f>HYPERLINK("https://twitter.com/petrogustavo/status/1236290701001928709","1236290701001928709")</f>
        <v>1236290701001928709</v>
      </c>
      <c r="F3001" s="7" t="s">
        <v>17</v>
      </c>
      <c r="G3001" s="7">
        <v>3657799</v>
      </c>
      <c r="H3001" s="7">
        <v>2355</v>
      </c>
      <c r="I3001" s="7">
        <v>134</v>
      </c>
      <c r="J3001" s="7">
        <v>289</v>
      </c>
      <c r="K3001" s="7" t="s">
        <v>18</v>
      </c>
      <c r="L3001" s="8">
        <v>39987.315405092595</v>
      </c>
      <c r="M3001" s="9" t="s">
        <v>19</v>
      </c>
      <c r="N3001" s="9" t="s">
        <v>20</v>
      </c>
      <c r="O3001" s="6" t="str">
        <f>HYPERLINK("https://pbs.twimg.com/profile_images/962471262747529216/Uo8lOkRJ_normal.jpg","View")</f>
        <v>View</v>
      </c>
      <c r="P3001" s="7"/>
    </row>
    <row r="3002" spans="1:16">
      <c r="A3002" s="3">
        <v>43897.819571759261</v>
      </c>
      <c r="B3002" s="4" t="str">
        <f>HYPERLINK("https://twitter.com/petrogustavo","@petrogustavo")</f>
        <v>@petrogustavo</v>
      </c>
      <c r="C3002" s="5" t="s">
        <v>16</v>
      </c>
      <c r="D3002" s="5" t="s">
        <v>2942</v>
      </c>
      <c r="E3002" s="6" t="str">
        <f>HYPERLINK("https://twitter.com/petrogustavo/status/1236293068292325376","1236293068292325376")</f>
        <v>1236293068292325376</v>
      </c>
      <c r="F3002" s="7" t="s">
        <v>17</v>
      </c>
      <c r="G3002" s="7">
        <v>3657799</v>
      </c>
      <c r="H3002" s="7">
        <v>2355</v>
      </c>
      <c r="I3002" s="7">
        <v>44</v>
      </c>
      <c r="J3002" s="7">
        <v>139</v>
      </c>
      <c r="K3002" s="7" t="s">
        <v>18</v>
      </c>
      <c r="L3002" s="8">
        <v>39987.315405092595</v>
      </c>
      <c r="M3002" s="9" t="s">
        <v>19</v>
      </c>
      <c r="N3002" s="9" t="s">
        <v>20</v>
      </c>
      <c r="O3002" s="6" t="str">
        <f>HYPERLINK("https://pbs.twimg.com/profile_images/962471262747529216/Uo8lOkRJ_normal.jpg","View")</f>
        <v>View</v>
      </c>
      <c r="P3002" s="7"/>
    </row>
    <row r="3003" spans="1:16">
      <c r="A3003" s="3">
        <v>43897.821435185186</v>
      </c>
      <c r="B3003" s="4" t="str">
        <f>HYPERLINK("https://twitter.com/petrogustavo","@petrogustavo")</f>
        <v>@petrogustavo</v>
      </c>
      <c r="C3003" s="5" t="s">
        <v>16</v>
      </c>
      <c r="D3003" s="5" t="s">
        <v>2943</v>
      </c>
      <c r="E3003" s="6" t="str">
        <f>HYPERLINK("https://twitter.com/petrogustavo/status/1236293742820286465","1236293742820286465")</f>
        <v>1236293742820286465</v>
      </c>
      <c r="F3003" s="7" t="s">
        <v>17</v>
      </c>
      <c r="G3003" s="7">
        <v>3657799</v>
      </c>
      <c r="H3003" s="7">
        <v>2355</v>
      </c>
      <c r="I3003" s="7">
        <v>16</v>
      </c>
      <c r="J3003" s="7">
        <v>54</v>
      </c>
      <c r="K3003" s="7" t="s">
        <v>18</v>
      </c>
      <c r="L3003" s="8">
        <v>39987.315405092595</v>
      </c>
      <c r="M3003" s="9" t="s">
        <v>19</v>
      </c>
      <c r="N3003" s="9" t="s">
        <v>20</v>
      </c>
      <c r="O3003" s="6" t="str">
        <f>HYPERLINK("https://pbs.twimg.com/profile_images/962471262747529216/Uo8lOkRJ_normal.jpg","View")</f>
        <v>View</v>
      </c>
      <c r="P3003" s="7"/>
    </row>
    <row r="3004" spans="1:16">
      <c r="A3004" s="3">
        <v>43897.837187500001</v>
      </c>
      <c r="B3004" s="4" t="str">
        <f>HYPERLINK("https://twitter.com/petrogustavo","@petrogustavo")</f>
        <v>@petrogustavo</v>
      </c>
      <c r="C3004" s="5" t="s">
        <v>16</v>
      </c>
      <c r="D3004" s="5" t="s">
        <v>2944</v>
      </c>
      <c r="E3004" s="6" t="str">
        <f>HYPERLINK("https://twitter.com/petrogustavo/status/1236299452291448833","1236299452291448833")</f>
        <v>1236299452291448833</v>
      </c>
      <c r="F3004" s="7" t="s">
        <v>17</v>
      </c>
      <c r="G3004" s="7">
        <v>3657837</v>
      </c>
      <c r="H3004" s="7">
        <v>2355</v>
      </c>
      <c r="I3004" s="7">
        <v>85</v>
      </c>
      <c r="J3004" s="7">
        <v>232</v>
      </c>
      <c r="K3004" s="7" t="s">
        <v>18</v>
      </c>
      <c r="L3004" s="8">
        <v>39987.315405092595</v>
      </c>
      <c r="M3004" s="9" t="s">
        <v>19</v>
      </c>
      <c r="N3004" s="9" t="s">
        <v>20</v>
      </c>
      <c r="O3004" s="6" t="str">
        <f>HYPERLINK("https://pbs.twimg.com/profile_images/962471262747529216/Uo8lOkRJ_normal.jpg","View")</f>
        <v>View</v>
      </c>
      <c r="P3004" s="7"/>
    </row>
    <row r="3005" spans="1:16">
      <c r="A3005" s="3">
        <v>43897.839814814812</v>
      </c>
      <c r="B3005" s="4" t="str">
        <f>HYPERLINK("https://twitter.com/petrogustavo","@petrogustavo")</f>
        <v>@petrogustavo</v>
      </c>
      <c r="C3005" s="5" t="s">
        <v>16</v>
      </c>
      <c r="D3005" s="5" t="s">
        <v>2945</v>
      </c>
      <c r="E3005" s="6" t="str">
        <f>HYPERLINK("https://twitter.com/petrogustavo/status/1236300403383455746","1236300403383455746")</f>
        <v>1236300403383455746</v>
      </c>
      <c r="F3005" s="7" t="s">
        <v>17</v>
      </c>
      <c r="G3005" s="7">
        <v>3657837</v>
      </c>
      <c r="H3005" s="7">
        <v>2355</v>
      </c>
      <c r="I3005" s="7">
        <v>136</v>
      </c>
      <c r="J3005" s="7">
        <v>337</v>
      </c>
      <c r="K3005" s="7" t="s">
        <v>18</v>
      </c>
      <c r="L3005" s="8">
        <v>39987.315405092595</v>
      </c>
      <c r="M3005" s="9" t="s">
        <v>19</v>
      </c>
      <c r="N3005" s="9" t="s">
        <v>20</v>
      </c>
      <c r="O3005" s="6" t="str">
        <f>HYPERLINK("https://pbs.twimg.com/profile_images/962471262747529216/Uo8lOkRJ_normal.jpg","View")</f>
        <v>View</v>
      </c>
      <c r="P3005" s="7"/>
    </row>
    <row r="3006" spans="1:16">
      <c r="A3006" s="3">
        <v>43897.853738425925</v>
      </c>
      <c r="B3006" s="4" t="str">
        <f>HYPERLINK("https://twitter.com/petrogustavo","@petrogustavo")</f>
        <v>@petrogustavo</v>
      </c>
      <c r="C3006" s="5" t="s">
        <v>16</v>
      </c>
      <c r="D3006" s="5" t="s">
        <v>2946</v>
      </c>
      <c r="E3006" s="6" t="str">
        <f>HYPERLINK("https://twitter.com/petrogustavo/status/1236305449550589952","1236305449550589952")</f>
        <v>1236305449550589952</v>
      </c>
      <c r="F3006" s="7" t="s">
        <v>17</v>
      </c>
      <c r="G3006" s="7">
        <v>3657873</v>
      </c>
      <c r="H3006" s="7">
        <v>2355</v>
      </c>
      <c r="I3006" s="7">
        <v>54</v>
      </c>
      <c r="J3006" s="7">
        <v>186</v>
      </c>
      <c r="K3006" s="7" t="s">
        <v>18</v>
      </c>
      <c r="L3006" s="8">
        <v>39987.315405092595</v>
      </c>
      <c r="M3006" s="9" t="s">
        <v>19</v>
      </c>
      <c r="N3006" s="9" t="s">
        <v>20</v>
      </c>
      <c r="O3006" s="6" t="str">
        <f>HYPERLINK("https://pbs.twimg.com/profile_images/962471262747529216/Uo8lOkRJ_normal.jpg","View")</f>
        <v>View</v>
      </c>
      <c r="P3006" s="7"/>
    </row>
    <row r="3007" spans="1:16">
      <c r="A3007" s="3">
        <v>43897.880844907406</v>
      </c>
      <c r="B3007" s="4" t="str">
        <f>HYPERLINK("https://twitter.com/petrogustavo","@petrogustavo")</f>
        <v>@petrogustavo</v>
      </c>
      <c r="C3007" s="5" t="s">
        <v>16</v>
      </c>
      <c r="D3007" s="5" t="s">
        <v>2947</v>
      </c>
      <c r="E3007" s="6" t="str">
        <f>HYPERLINK("https://twitter.com/petrogustavo/status/1236315271759040512","1236315271759040512")</f>
        <v>1236315271759040512</v>
      </c>
      <c r="F3007" s="7" t="s">
        <v>17</v>
      </c>
      <c r="G3007" s="7">
        <v>3657912</v>
      </c>
      <c r="H3007" s="7">
        <v>2355</v>
      </c>
      <c r="I3007" s="7">
        <v>615</v>
      </c>
      <c r="J3007" s="7">
        <v>0</v>
      </c>
      <c r="K3007" s="7" t="s">
        <v>18</v>
      </c>
      <c r="L3007" s="8">
        <v>39987.315405092595</v>
      </c>
      <c r="M3007" s="9" t="s">
        <v>19</v>
      </c>
      <c r="N3007" s="9" t="s">
        <v>20</v>
      </c>
      <c r="O3007" s="6" t="str">
        <f>HYPERLINK("https://pbs.twimg.com/profile_images/962471262747529216/Uo8lOkRJ_normal.jpg","View")</f>
        <v>View</v>
      </c>
      <c r="P3007" s="7"/>
    </row>
    <row r="3008" spans="1:16">
      <c r="A3008" s="3">
        <v>43898.163611111115</v>
      </c>
      <c r="B3008" s="4" t="str">
        <f>HYPERLINK("https://twitter.com/petrogustavo","@petrogustavo")</f>
        <v>@petrogustavo</v>
      </c>
      <c r="C3008" s="5" t="s">
        <v>16</v>
      </c>
      <c r="D3008" s="5" t="s">
        <v>2948</v>
      </c>
      <c r="E3008" s="6" t="str">
        <f>HYPERLINK("https://twitter.com/petrogustavo/status/1236417745652195329","1236417745652195329")</f>
        <v>1236417745652195329</v>
      </c>
      <c r="F3008" s="7" t="s">
        <v>17</v>
      </c>
      <c r="G3008" s="7">
        <v>3658209</v>
      </c>
      <c r="H3008" s="7">
        <v>2355</v>
      </c>
      <c r="I3008" s="7">
        <v>81</v>
      </c>
      <c r="J3008" s="7">
        <v>203</v>
      </c>
      <c r="K3008" s="7" t="s">
        <v>18</v>
      </c>
      <c r="L3008" s="8">
        <v>39987.315405092595</v>
      </c>
      <c r="M3008" s="9" t="s">
        <v>19</v>
      </c>
      <c r="N3008" s="9" t="s">
        <v>20</v>
      </c>
      <c r="O3008" s="6" t="str">
        <f>HYPERLINK("https://pbs.twimg.com/profile_images/962471262747529216/Uo8lOkRJ_normal.jpg","View")</f>
        <v>View</v>
      </c>
      <c r="P3008" s="7"/>
    </row>
    <row r="3009" spans="1:16">
      <c r="A3009" s="3">
        <v>43898.164340277777</v>
      </c>
      <c r="B3009" s="4" t="str">
        <f>HYPERLINK("https://twitter.com/petrogustavo","@petrogustavo")</f>
        <v>@petrogustavo</v>
      </c>
      <c r="C3009" s="5" t="s">
        <v>16</v>
      </c>
      <c r="D3009" s="5" t="s">
        <v>2949</v>
      </c>
      <c r="E3009" s="6" t="str">
        <f>HYPERLINK("https://twitter.com/petrogustavo/status/1236418006856728576","1236418006856728576")</f>
        <v>1236418006856728576</v>
      </c>
      <c r="F3009" s="7" t="s">
        <v>17</v>
      </c>
      <c r="G3009" s="7">
        <v>3658209</v>
      </c>
      <c r="H3009" s="7">
        <v>2355</v>
      </c>
      <c r="I3009" s="7">
        <v>1481</v>
      </c>
      <c r="J3009" s="7">
        <v>0</v>
      </c>
      <c r="K3009" s="7" t="s">
        <v>18</v>
      </c>
      <c r="L3009" s="8">
        <v>39987.315405092595</v>
      </c>
      <c r="M3009" s="9" t="s">
        <v>19</v>
      </c>
      <c r="N3009" s="9" t="s">
        <v>20</v>
      </c>
      <c r="O3009" s="6" t="str">
        <f>HYPERLINK("https://pbs.twimg.com/profile_images/962471262747529216/Uo8lOkRJ_normal.jpg","View")</f>
        <v>View</v>
      </c>
      <c r="P3009" s="7"/>
    </row>
    <row r="3010" spans="1:16">
      <c r="A3010" s="3">
        <v>43898.167939814812</v>
      </c>
      <c r="B3010" s="4" t="str">
        <f>HYPERLINK("https://twitter.com/petrogustavo","@petrogustavo")</f>
        <v>@petrogustavo</v>
      </c>
      <c r="C3010" s="5" t="s">
        <v>16</v>
      </c>
      <c r="D3010" s="5" t="s">
        <v>2950</v>
      </c>
      <c r="E3010" s="6" t="str">
        <f>HYPERLINK("https://twitter.com/petrogustavo/status/1236419313273384965","1236419313273384965")</f>
        <v>1236419313273384965</v>
      </c>
      <c r="F3010" s="7" t="s">
        <v>17</v>
      </c>
      <c r="G3010" s="7">
        <v>3658209</v>
      </c>
      <c r="H3010" s="7">
        <v>2355</v>
      </c>
      <c r="I3010" s="7">
        <v>127</v>
      </c>
      <c r="J3010" s="7">
        <v>375</v>
      </c>
      <c r="K3010" s="7" t="s">
        <v>18</v>
      </c>
      <c r="L3010" s="8">
        <v>39987.315405092595</v>
      </c>
      <c r="M3010" s="9" t="s">
        <v>19</v>
      </c>
      <c r="N3010" s="9" t="s">
        <v>20</v>
      </c>
      <c r="O3010" s="6" t="str">
        <f>HYPERLINK("https://pbs.twimg.com/profile_images/962471262747529216/Uo8lOkRJ_normal.jpg","View")</f>
        <v>View</v>
      </c>
      <c r="P3010" s="7"/>
    </row>
    <row r="3011" spans="1:16">
      <c r="A3011" s="3">
        <v>43898.173113425924</v>
      </c>
      <c r="B3011" s="4" t="str">
        <f>HYPERLINK("https://twitter.com/petrogustavo","@petrogustavo")</f>
        <v>@petrogustavo</v>
      </c>
      <c r="C3011" s="5" t="s">
        <v>16</v>
      </c>
      <c r="D3011" s="5" t="s">
        <v>2951</v>
      </c>
      <c r="E3011" s="6" t="str">
        <f>HYPERLINK("https://twitter.com/petrogustavo/status/1236421190115381248","1236421190115381248")</f>
        <v>1236421190115381248</v>
      </c>
      <c r="F3011" s="7" t="s">
        <v>17</v>
      </c>
      <c r="G3011" s="7">
        <v>3658209</v>
      </c>
      <c r="H3011" s="7">
        <v>2355</v>
      </c>
      <c r="I3011" s="7">
        <v>30</v>
      </c>
      <c r="J3011" s="7">
        <v>81</v>
      </c>
      <c r="K3011" s="7" t="s">
        <v>18</v>
      </c>
      <c r="L3011" s="8">
        <v>39987.315405092595</v>
      </c>
      <c r="M3011" s="9" t="s">
        <v>19</v>
      </c>
      <c r="N3011" s="9" t="s">
        <v>20</v>
      </c>
      <c r="O3011" s="6" t="str">
        <f>HYPERLINK("https://pbs.twimg.com/profile_images/962471262747529216/Uo8lOkRJ_normal.jpg","View")</f>
        <v>View</v>
      </c>
      <c r="P3011" s="7"/>
    </row>
    <row r="3012" spans="1:16">
      <c r="A3012" s="3">
        <v>43898.199050925927</v>
      </c>
      <c r="B3012" s="4" t="str">
        <f>HYPERLINK("https://twitter.com/petrogustavo","@petrogustavo")</f>
        <v>@petrogustavo</v>
      </c>
      <c r="C3012" s="5" t="s">
        <v>16</v>
      </c>
      <c r="D3012" s="5" t="s">
        <v>2952</v>
      </c>
      <c r="E3012" s="6" t="str">
        <f>HYPERLINK("https://twitter.com/petrogustavo/status/1236430586094518272","1236430586094518272")</f>
        <v>1236430586094518272</v>
      </c>
      <c r="F3012" s="7" t="s">
        <v>17</v>
      </c>
      <c r="G3012" s="7">
        <v>3658242</v>
      </c>
      <c r="H3012" s="7">
        <v>2355</v>
      </c>
      <c r="I3012" s="7">
        <v>32</v>
      </c>
      <c r="J3012" s="7">
        <v>0</v>
      </c>
      <c r="K3012" s="7" t="s">
        <v>18</v>
      </c>
      <c r="L3012" s="8">
        <v>39987.315405092595</v>
      </c>
      <c r="M3012" s="9" t="s">
        <v>19</v>
      </c>
      <c r="N3012" s="9" t="s">
        <v>20</v>
      </c>
      <c r="O3012" s="6" t="str">
        <f>HYPERLINK("https://pbs.twimg.com/profile_images/962471262747529216/Uo8lOkRJ_normal.jpg","View")</f>
        <v>View</v>
      </c>
      <c r="P3012" s="7"/>
    </row>
    <row r="3013" spans="1:16">
      <c r="A3013" s="3">
        <v>43898.199884259258</v>
      </c>
      <c r="B3013" s="4" t="str">
        <f>HYPERLINK("https://twitter.com/petrogustavo","@petrogustavo")</f>
        <v>@petrogustavo</v>
      </c>
      <c r="C3013" s="5" t="s">
        <v>16</v>
      </c>
      <c r="D3013" s="5" t="s">
        <v>2953</v>
      </c>
      <c r="E3013" s="6" t="str">
        <f>HYPERLINK("https://twitter.com/petrogustavo/status/1236430887883100160","1236430887883100160")</f>
        <v>1236430887883100160</v>
      </c>
      <c r="F3013" s="7" t="s">
        <v>17</v>
      </c>
      <c r="G3013" s="7">
        <v>3658276</v>
      </c>
      <c r="H3013" s="7">
        <v>2355</v>
      </c>
      <c r="I3013" s="7">
        <v>1986</v>
      </c>
      <c r="J3013" s="7">
        <v>0</v>
      </c>
      <c r="K3013" s="7" t="s">
        <v>18</v>
      </c>
      <c r="L3013" s="8">
        <v>39987.315405092595</v>
      </c>
      <c r="M3013" s="9" t="s">
        <v>19</v>
      </c>
      <c r="N3013" s="9" t="s">
        <v>20</v>
      </c>
      <c r="O3013" s="6" t="str">
        <f>HYPERLINK("https://pbs.twimg.com/profile_images/962471262747529216/Uo8lOkRJ_normal.jpg","View")</f>
        <v>View</v>
      </c>
      <c r="P3013" s="7"/>
    </row>
    <row r="3014" spans="1:16">
      <c r="A3014" s="3">
        <v>43898.200590277775</v>
      </c>
      <c r="B3014" s="4" t="str">
        <f>HYPERLINK("https://twitter.com/petrogustavo","@petrogustavo")</f>
        <v>@petrogustavo</v>
      </c>
      <c r="C3014" s="5" t="s">
        <v>16</v>
      </c>
      <c r="D3014" s="5" t="s">
        <v>2954</v>
      </c>
      <c r="E3014" s="6" t="str">
        <f>HYPERLINK("https://twitter.com/petrogustavo/status/1236431146986192903","1236431146986192903")</f>
        <v>1236431146986192903</v>
      </c>
      <c r="F3014" s="7" t="s">
        <v>17</v>
      </c>
      <c r="G3014" s="7">
        <v>3658276</v>
      </c>
      <c r="H3014" s="7">
        <v>2355</v>
      </c>
      <c r="I3014" s="7">
        <v>11</v>
      </c>
      <c r="J3014" s="7">
        <v>0</v>
      </c>
      <c r="K3014" s="7" t="s">
        <v>18</v>
      </c>
      <c r="L3014" s="8">
        <v>39987.315405092595</v>
      </c>
      <c r="M3014" s="9" t="s">
        <v>19</v>
      </c>
      <c r="N3014" s="9" t="s">
        <v>20</v>
      </c>
      <c r="O3014" s="6" t="str">
        <f>HYPERLINK("https://pbs.twimg.com/profile_images/962471262747529216/Uo8lOkRJ_normal.jpg","View")</f>
        <v>View</v>
      </c>
      <c r="P3014" s="7"/>
    </row>
    <row r="3015" spans="1:16">
      <c r="A3015" s="3">
        <v>43898.203946759255</v>
      </c>
      <c r="B3015" s="4" t="str">
        <f>HYPERLINK("https://twitter.com/petrogustavo","@petrogustavo")</f>
        <v>@petrogustavo</v>
      </c>
      <c r="C3015" s="5" t="s">
        <v>16</v>
      </c>
      <c r="D3015" s="5" t="s">
        <v>2955</v>
      </c>
      <c r="E3015" s="6" t="str">
        <f>HYPERLINK("https://twitter.com/petrogustavo/status/1236432362189336577","1236432362189336577")</f>
        <v>1236432362189336577</v>
      </c>
      <c r="F3015" s="7" t="s">
        <v>17</v>
      </c>
      <c r="G3015" s="7">
        <v>3658276</v>
      </c>
      <c r="H3015" s="7">
        <v>2355</v>
      </c>
      <c r="I3015" s="7">
        <v>42</v>
      </c>
      <c r="J3015" s="7">
        <v>185</v>
      </c>
      <c r="K3015" s="7" t="s">
        <v>18</v>
      </c>
      <c r="L3015" s="8">
        <v>39987.315405092595</v>
      </c>
      <c r="M3015" s="9" t="s">
        <v>19</v>
      </c>
      <c r="N3015" s="9" t="s">
        <v>20</v>
      </c>
      <c r="O3015" s="6" t="str">
        <f>HYPERLINK("https://pbs.twimg.com/profile_images/962471262747529216/Uo8lOkRJ_normal.jpg","View")</f>
        <v>View</v>
      </c>
      <c r="P3015" s="7"/>
    </row>
    <row r="3016" spans="1:16">
      <c r="A3016" s="3">
        <v>43898.212627314817</v>
      </c>
      <c r="B3016" s="4" t="str">
        <f>HYPERLINK("https://twitter.com/petrogustavo","@petrogustavo")</f>
        <v>@petrogustavo</v>
      </c>
      <c r="C3016" s="5" t="s">
        <v>16</v>
      </c>
      <c r="D3016" s="5" t="s">
        <v>2956</v>
      </c>
      <c r="E3016" s="6" t="str">
        <f>HYPERLINK("https://twitter.com/petrogustavo/status/1236435508898734085","1236435508898734085")</f>
        <v>1236435508898734085</v>
      </c>
      <c r="F3016" s="7" t="s">
        <v>17</v>
      </c>
      <c r="G3016" s="7">
        <v>3658276</v>
      </c>
      <c r="H3016" s="7">
        <v>2355</v>
      </c>
      <c r="I3016" s="7">
        <v>20</v>
      </c>
      <c r="J3016" s="7">
        <v>0</v>
      </c>
      <c r="K3016" s="7" t="s">
        <v>18</v>
      </c>
      <c r="L3016" s="8">
        <v>39987.315405092595</v>
      </c>
      <c r="M3016" s="9" t="s">
        <v>19</v>
      </c>
      <c r="N3016" s="9" t="s">
        <v>20</v>
      </c>
      <c r="O3016" s="6" t="str">
        <f>HYPERLINK("https://pbs.twimg.com/profile_images/962471262747529216/Uo8lOkRJ_normal.jpg","View")</f>
        <v>View</v>
      </c>
      <c r="P3016" s="7"/>
    </row>
    <row r="3017" spans="1:16">
      <c r="A3017" s="3">
        <v>43898.215289351851</v>
      </c>
      <c r="B3017" s="4" t="str">
        <f>HYPERLINK("https://twitter.com/petrogustavo","@petrogustavo")</f>
        <v>@petrogustavo</v>
      </c>
      <c r="C3017" s="5" t="s">
        <v>16</v>
      </c>
      <c r="D3017" s="5" t="s">
        <v>2957</v>
      </c>
      <c r="E3017" s="6" t="str">
        <f>HYPERLINK("https://twitter.com/petrogustavo/status/1236436470564560908","1236436470564560908")</f>
        <v>1236436470564560908</v>
      </c>
      <c r="F3017" s="7" t="s">
        <v>17</v>
      </c>
      <c r="G3017" s="7">
        <v>3658276</v>
      </c>
      <c r="H3017" s="7">
        <v>2355</v>
      </c>
      <c r="I3017" s="7">
        <v>23</v>
      </c>
      <c r="J3017" s="7">
        <v>64</v>
      </c>
      <c r="K3017" s="7" t="s">
        <v>18</v>
      </c>
      <c r="L3017" s="8">
        <v>39987.315405092595</v>
      </c>
      <c r="M3017" s="9" t="s">
        <v>19</v>
      </c>
      <c r="N3017" s="9" t="s">
        <v>20</v>
      </c>
      <c r="O3017" s="6" t="str">
        <f>HYPERLINK("https://pbs.twimg.com/profile_images/962471262747529216/Uo8lOkRJ_normal.jpg","View")</f>
        <v>View</v>
      </c>
      <c r="P3017" s="7"/>
    </row>
    <row r="3018" spans="1:16">
      <c r="A3018" s="3">
        <v>43898.217372685191</v>
      </c>
      <c r="B3018" s="4" t="str">
        <f>HYPERLINK("https://twitter.com/petrogustavo","@petrogustavo")</f>
        <v>@petrogustavo</v>
      </c>
      <c r="C3018" s="5" t="s">
        <v>16</v>
      </c>
      <c r="D3018" s="5" t="s">
        <v>2958</v>
      </c>
      <c r="E3018" s="6" t="str">
        <f>HYPERLINK("https://twitter.com/petrogustavo/status/1236437229192478721","1236437229192478721")</f>
        <v>1236437229192478721</v>
      </c>
      <c r="F3018" s="7" t="s">
        <v>17</v>
      </c>
      <c r="G3018" s="7">
        <v>3658276</v>
      </c>
      <c r="H3018" s="7">
        <v>2355</v>
      </c>
      <c r="I3018" s="7">
        <v>13</v>
      </c>
      <c r="J3018" s="7">
        <v>57</v>
      </c>
      <c r="K3018" s="7" t="s">
        <v>18</v>
      </c>
      <c r="L3018" s="8">
        <v>39987.315405092595</v>
      </c>
      <c r="M3018" s="9" t="s">
        <v>19</v>
      </c>
      <c r="N3018" s="9" t="s">
        <v>20</v>
      </c>
      <c r="O3018" s="6" t="str">
        <f>HYPERLINK("https://pbs.twimg.com/profile_images/962471262747529216/Uo8lOkRJ_normal.jpg","View")</f>
        <v>View</v>
      </c>
      <c r="P3018" s="7"/>
    </row>
    <row r="3019" spans="1:16">
      <c r="A3019" s="3">
        <v>43898.223958333328</v>
      </c>
      <c r="B3019" s="4" t="str">
        <f>HYPERLINK("https://twitter.com/petrogustavo","@petrogustavo")</f>
        <v>@petrogustavo</v>
      </c>
      <c r="C3019" s="5" t="s">
        <v>16</v>
      </c>
      <c r="D3019" s="5" t="s">
        <v>2959</v>
      </c>
      <c r="E3019" s="6" t="str">
        <f>HYPERLINK("https://twitter.com/petrogustavo/status/1236439613511737355","1236439613511737355")</f>
        <v>1236439613511737355</v>
      </c>
      <c r="F3019" s="7" t="s">
        <v>17</v>
      </c>
      <c r="G3019" s="7">
        <v>3658291</v>
      </c>
      <c r="H3019" s="7">
        <v>2355</v>
      </c>
      <c r="I3019" s="7">
        <v>11</v>
      </c>
      <c r="J3019" s="7">
        <v>39</v>
      </c>
      <c r="K3019" s="7" t="s">
        <v>18</v>
      </c>
      <c r="L3019" s="8">
        <v>39987.315405092595</v>
      </c>
      <c r="M3019" s="9" t="s">
        <v>19</v>
      </c>
      <c r="N3019" s="9" t="s">
        <v>20</v>
      </c>
      <c r="O3019" s="6" t="str">
        <f>HYPERLINK("https://pbs.twimg.com/profile_images/962471262747529216/Uo8lOkRJ_normal.jpg","View")</f>
        <v>View</v>
      </c>
      <c r="P3019" s="7"/>
    </row>
    <row r="3020" spans="1:16">
      <c r="A3020" s="3">
        <v>43898.235671296294</v>
      </c>
      <c r="B3020" s="4" t="str">
        <f>HYPERLINK("https://twitter.com/petrogustavo","@petrogustavo")</f>
        <v>@petrogustavo</v>
      </c>
      <c r="C3020" s="5" t="s">
        <v>16</v>
      </c>
      <c r="D3020" s="5" t="s">
        <v>2960</v>
      </c>
      <c r="E3020" s="6" t="str">
        <f>HYPERLINK("https://twitter.com/petrogustavo/status/1236443857434423296","1236443857434423296")</f>
        <v>1236443857434423296</v>
      </c>
      <c r="F3020" s="7" t="s">
        <v>17</v>
      </c>
      <c r="G3020" s="7">
        <v>3658291</v>
      </c>
      <c r="H3020" s="7">
        <v>2355</v>
      </c>
      <c r="I3020" s="7">
        <v>35</v>
      </c>
      <c r="J3020" s="7">
        <v>170</v>
      </c>
      <c r="K3020" s="7" t="s">
        <v>18</v>
      </c>
      <c r="L3020" s="8">
        <v>39987.315405092595</v>
      </c>
      <c r="M3020" s="9" t="s">
        <v>19</v>
      </c>
      <c r="N3020" s="9" t="s">
        <v>20</v>
      </c>
      <c r="O3020" s="6" t="str">
        <f>HYPERLINK("https://pbs.twimg.com/profile_images/962471262747529216/Uo8lOkRJ_normal.jpg","View")</f>
        <v>View</v>
      </c>
      <c r="P3020" s="7"/>
    </row>
    <row r="3021" spans="1:16">
      <c r="A3021" s="3">
        <v>43898.240000000005</v>
      </c>
      <c r="B3021" s="4" t="str">
        <f>HYPERLINK("https://twitter.com/petrogustavo","@petrogustavo")</f>
        <v>@petrogustavo</v>
      </c>
      <c r="C3021" s="5" t="s">
        <v>16</v>
      </c>
      <c r="D3021" s="5" t="s">
        <v>2961</v>
      </c>
      <c r="E3021" s="6" t="str">
        <f>HYPERLINK("https://twitter.com/petrogustavo/status/1236445425814704130","1236445425814704130")</f>
        <v>1236445425814704130</v>
      </c>
      <c r="F3021" s="7" t="s">
        <v>17</v>
      </c>
      <c r="G3021" s="7">
        <v>3658291</v>
      </c>
      <c r="H3021" s="7">
        <v>2355</v>
      </c>
      <c r="I3021" s="7">
        <v>0</v>
      </c>
      <c r="J3021" s="7">
        <v>11</v>
      </c>
      <c r="K3021" s="7" t="s">
        <v>18</v>
      </c>
      <c r="L3021" s="8">
        <v>39987.315405092595</v>
      </c>
      <c r="M3021" s="9" t="s">
        <v>19</v>
      </c>
      <c r="N3021" s="9" t="s">
        <v>20</v>
      </c>
      <c r="O3021" s="6" t="str">
        <f>HYPERLINK("https://pbs.twimg.com/profile_images/962471262747529216/Uo8lOkRJ_normal.jpg","View")</f>
        <v>View</v>
      </c>
      <c r="P3021" s="7"/>
    </row>
    <row r="3022" spans="1:16">
      <c r="A3022" s="3">
        <v>43898.242476851854</v>
      </c>
      <c r="B3022" s="4" t="str">
        <f>HYPERLINK("https://twitter.com/petrogustavo","@petrogustavo")</f>
        <v>@petrogustavo</v>
      </c>
      <c r="C3022" s="5" t="s">
        <v>16</v>
      </c>
      <c r="D3022" s="5" t="s">
        <v>2962</v>
      </c>
      <c r="E3022" s="6" t="str">
        <f>HYPERLINK("https://twitter.com/petrogustavo/status/1236446325169889286","1236446325169889286")</f>
        <v>1236446325169889286</v>
      </c>
      <c r="F3022" s="7" t="s">
        <v>17</v>
      </c>
      <c r="G3022" s="7">
        <v>3658254</v>
      </c>
      <c r="H3022" s="7">
        <v>2355</v>
      </c>
      <c r="I3022" s="7">
        <v>18</v>
      </c>
      <c r="J3022" s="7">
        <v>65</v>
      </c>
      <c r="K3022" s="7" t="s">
        <v>18</v>
      </c>
      <c r="L3022" s="8">
        <v>39987.315405092595</v>
      </c>
      <c r="M3022" s="9" t="s">
        <v>19</v>
      </c>
      <c r="N3022" s="9" t="s">
        <v>20</v>
      </c>
      <c r="O3022" s="6" t="str">
        <f>HYPERLINK("https://pbs.twimg.com/profile_images/962471262747529216/Uo8lOkRJ_normal.jpg","View")</f>
        <v>View</v>
      </c>
      <c r="P3022" s="7"/>
    </row>
    <row r="3023" spans="1:16">
      <c r="A3023" s="3">
        <v>43898.245023148149</v>
      </c>
      <c r="B3023" s="4" t="str">
        <f>HYPERLINK("https://twitter.com/petrogustavo","@petrogustavo")</f>
        <v>@petrogustavo</v>
      </c>
      <c r="C3023" s="5" t="s">
        <v>16</v>
      </c>
      <c r="D3023" s="5" t="s">
        <v>2963</v>
      </c>
      <c r="E3023" s="6" t="str">
        <f>HYPERLINK("https://twitter.com/petrogustavo/status/1236447248516624385","1236447248516624385")</f>
        <v>1236447248516624385</v>
      </c>
      <c r="F3023" s="7" t="s">
        <v>17</v>
      </c>
      <c r="G3023" s="7">
        <v>3658254</v>
      </c>
      <c r="H3023" s="7">
        <v>2355</v>
      </c>
      <c r="I3023" s="7">
        <v>18</v>
      </c>
      <c r="J3023" s="7">
        <v>75</v>
      </c>
      <c r="K3023" s="7" t="s">
        <v>18</v>
      </c>
      <c r="L3023" s="8">
        <v>39987.315405092595</v>
      </c>
      <c r="M3023" s="9" t="s">
        <v>19</v>
      </c>
      <c r="N3023" s="9" t="s">
        <v>20</v>
      </c>
      <c r="O3023" s="6" t="str">
        <f>HYPERLINK("https://pbs.twimg.com/profile_images/962471262747529216/Uo8lOkRJ_normal.jpg","View")</f>
        <v>View</v>
      </c>
      <c r="P3023" s="7"/>
    </row>
    <row r="3024" spans="1:16">
      <c r="A3024" s="3">
        <v>43898.25001157407</v>
      </c>
      <c r="B3024" s="4" t="str">
        <f>HYPERLINK("https://twitter.com/petrogustavo","@petrogustavo")</f>
        <v>@petrogustavo</v>
      </c>
      <c r="C3024" s="5" t="s">
        <v>16</v>
      </c>
      <c r="D3024" s="5" t="s">
        <v>2964</v>
      </c>
      <c r="E3024" s="6" t="str">
        <f>HYPERLINK("https://twitter.com/petrogustavo/status/1236449057117257730","1236449057117257730")</f>
        <v>1236449057117257730</v>
      </c>
      <c r="F3024" s="7" t="s">
        <v>17</v>
      </c>
      <c r="G3024" s="7">
        <v>3658254</v>
      </c>
      <c r="H3024" s="7">
        <v>2355</v>
      </c>
      <c r="I3024" s="7">
        <v>11</v>
      </c>
      <c r="J3024" s="7">
        <v>49</v>
      </c>
      <c r="K3024" s="7" t="s">
        <v>18</v>
      </c>
      <c r="L3024" s="8">
        <v>39987.315405092595</v>
      </c>
      <c r="M3024" s="9" t="s">
        <v>19</v>
      </c>
      <c r="N3024" s="9" t="s">
        <v>20</v>
      </c>
      <c r="O3024" s="6" t="str">
        <f>HYPERLINK("https://pbs.twimg.com/profile_images/962471262747529216/Uo8lOkRJ_normal.jpg","View")</f>
        <v>View</v>
      </c>
      <c r="P3024" s="7"/>
    </row>
    <row r="3025" spans="1:16">
      <c r="A3025" s="3">
        <v>43898.383067129631</v>
      </c>
      <c r="B3025" s="4" t="str">
        <f>HYPERLINK("https://twitter.com/petrogustavo","@petrogustavo")</f>
        <v>@petrogustavo</v>
      </c>
      <c r="C3025" s="5" t="s">
        <v>16</v>
      </c>
      <c r="D3025" s="5" t="s">
        <v>2965</v>
      </c>
      <c r="E3025" s="6" t="str">
        <f>HYPERLINK("https://twitter.com/petrogustavo/status/1236497272390717440","1236497272390717440")</f>
        <v>1236497272390717440</v>
      </c>
      <c r="F3025" s="7" t="s">
        <v>17</v>
      </c>
      <c r="G3025" s="7">
        <v>3658419</v>
      </c>
      <c r="H3025" s="7">
        <v>2355</v>
      </c>
      <c r="I3025" s="7">
        <v>89</v>
      </c>
      <c r="J3025" s="7">
        <v>283</v>
      </c>
      <c r="K3025" s="7" t="s">
        <v>18</v>
      </c>
      <c r="L3025" s="8">
        <v>39987.315405092595</v>
      </c>
      <c r="M3025" s="9" t="s">
        <v>19</v>
      </c>
      <c r="N3025" s="9" t="s">
        <v>20</v>
      </c>
      <c r="O3025" s="6" t="str">
        <f>HYPERLINK("https://pbs.twimg.com/profile_images/962471262747529216/Uo8lOkRJ_normal.jpg","View")</f>
        <v>View</v>
      </c>
      <c r="P3025" s="7"/>
    </row>
    <row r="3026" spans="1:16">
      <c r="A3026" s="3">
        <v>43898.38762731482</v>
      </c>
      <c r="B3026" s="4" t="str">
        <f>HYPERLINK("https://twitter.com/petrogustavo","@petrogustavo")</f>
        <v>@petrogustavo</v>
      </c>
      <c r="C3026" s="5" t="s">
        <v>16</v>
      </c>
      <c r="D3026" s="5" t="s">
        <v>2966</v>
      </c>
      <c r="E3026" s="6" t="str">
        <f>HYPERLINK("https://twitter.com/petrogustavo/status/1236498926829797379","1236498926829797379")</f>
        <v>1236498926829797379</v>
      </c>
      <c r="F3026" s="7" t="s">
        <v>17</v>
      </c>
      <c r="G3026" s="7">
        <v>3658435</v>
      </c>
      <c r="H3026" s="7">
        <v>2355</v>
      </c>
      <c r="I3026" s="7">
        <v>965</v>
      </c>
      <c r="J3026" s="7">
        <v>0</v>
      </c>
      <c r="K3026" s="7" t="s">
        <v>18</v>
      </c>
      <c r="L3026" s="8">
        <v>39987.315405092595</v>
      </c>
      <c r="M3026" s="9" t="s">
        <v>19</v>
      </c>
      <c r="N3026" s="9" t="s">
        <v>20</v>
      </c>
      <c r="O3026" s="6" t="str">
        <f>HYPERLINK("https://pbs.twimg.com/profile_images/962471262747529216/Uo8lOkRJ_normal.jpg","View")</f>
        <v>View</v>
      </c>
      <c r="P3026" s="7"/>
    </row>
    <row r="3027" spans="1:16">
      <c r="A3027" s="3">
        <v>43898.38994212963</v>
      </c>
      <c r="B3027" s="4" t="str">
        <f>HYPERLINK("https://twitter.com/petrogustavo","@petrogustavo")</f>
        <v>@petrogustavo</v>
      </c>
      <c r="C3027" s="5" t="s">
        <v>16</v>
      </c>
      <c r="D3027" s="5" t="s">
        <v>2967</v>
      </c>
      <c r="E3027" s="6" t="str">
        <f>HYPERLINK("https://twitter.com/petrogustavo/status/1236499762779754497","1236499762779754497")</f>
        <v>1236499762779754497</v>
      </c>
      <c r="F3027" s="7" t="s">
        <v>17</v>
      </c>
      <c r="G3027" s="7">
        <v>3658435</v>
      </c>
      <c r="H3027" s="7">
        <v>2355</v>
      </c>
      <c r="I3027" s="7">
        <v>414</v>
      </c>
      <c r="J3027" s="7">
        <v>0</v>
      </c>
      <c r="K3027" s="7" t="s">
        <v>18</v>
      </c>
      <c r="L3027" s="8">
        <v>39987.315405092595</v>
      </c>
      <c r="M3027" s="9" t="s">
        <v>19</v>
      </c>
      <c r="N3027" s="9" t="s">
        <v>20</v>
      </c>
      <c r="O3027" s="6" t="str">
        <f>HYPERLINK("https://pbs.twimg.com/profile_images/962471262747529216/Uo8lOkRJ_normal.jpg","View")</f>
        <v>View</v>
      </c>
      <c r="P3027" s="7"/>
    </row>
    <row r="3028" spans="1:16">
      <c r="A3028" s="3">
        <v>43898.404467592598</v>
      </c>
      <c r="B3028" s="4" t="str">
        <f>HYPERLINK("https://twitter.com/petrogustavo","@petrogustavo")</f>
        <v>@petrogustavo</v>
      </c>
      <c r="C3028" s="5" t="s">
        <v>16</v>
      </c>
      <c r="D3028" s="5" t="s">
        <v>2968</v>
      </c>
      <c r="E3028" s="6" t="str">
        <f>HYPERLINK("https://twitter.com/petrogustavo/status/1236505028166406147","1236505028166406147")</f>
        <v>1236505028166406147</v>
      </c>
      <c r="F3028" s="7" t="s">
        <v>17</v>
      </c>
      <c r="G3028" s="7">
        <v>3658435</v>
      </c>
      <c r="H3028" s="7">
        <v>2355</v>
      </c>
      <c r="I3028" s="7">
        <v>230</v>
      </c>
      <c r="J3028" s="7">
        <v>0</v>
      </c>
      <c r="K3028" s="7" t="s">
        <v>18</v>
      </c>
      <c r="L3028" s="8">
        <v>39987.315405092595</v>
      </c>
      <c r="M3028" s="9" t="s">
        <v>19</v>
      </c>
      <c r="N3028" s="9" t="s">
        <v>20</v>
      </c>
      <c r="O3028" s="6" t="str">
        <f>HYPERLINK("https://pbs.twimg.com/profile_images/962471262747529216/Uo8lOkRJ_normal.jpg","View")</f>
        <v>View</v>
      </c>
      <c r="P3028" s="7"/>
    </row>
    <row r="3029" spans="1:16">
      <c r="A3029" s="3">
        <v>43898.410231481481</v>
      </c>
      <c r="B3029" s="4" t="str">
        <f>HYPERLINK("https://twitter.com/petrogustavo","@petrogustavo")</f>
        <v>@petrogustavo</v>
      </c>
      <c r="C3029" s="5" t="s">
        <v>16</v>
      </c>
      <c r="D3029" s="5" t="s">
        <v>2969</v>
      </c>
      <c r="E3029" s="6" t="str">
        <f>HYPERLINK("https://twitter.com/petrogustavo/status/1236507116791304192","1236507116791304192")</f>
        <v>1236507116791304192</v>
      </c>
      <c r="F3029" s="7" t="s">
        <v>17</v>
      </c>
      <c r="G3029" s="7">
        <v>3658426</v>
      </c>
      <c r="H3029" s="7">
        <v>2355</v>
      </c>
      <c r="I3029" s="7">
        <v>68</v>
      </c>
      <c r="J3029" s="7">
        <v>314</v>
      </c>
      <c r="K3029" s="7" t="s">
        <v>18</v>
      </c>
      <c r="L3029" s="8">
        <v>39987.315405092595</v>
      </c>
      <c r="M3029" s="9" t="s">
        <v>19</v>
      </c>
      <c r="N3029" s="9" t="s">
        <v>20</v>
      </c>
      <c r="O3029" s="6" t="str">
        <f>HYPERLINK("https://pbs.twimg.com/profile_images/962471262747529216/Uo8lOkRJ_normal.jpg","View")</f>
        <v>View</v>
      </c>
      <c r="P3029" s="7"/>
    </row>
    <row r="3030" spans="1:16">
      <c r="A3030" s="3">
        <v>43898.410231481481</v>
      </c>
      <c r="B3030" s="4" t="str">
        <f>HYPERLINK("https://twitter.com/petrogustavo","@petrogustavo")</f>
        <v>@petrogustavo</v>
      </c>
      <c r="C3030" s="5" t="s">
        <v>16</v>
      </c>
      <c r="D3030" s="5" t="s">
        <v>2970</v>
      </c>
      <c r="E3030" s="6" t="str">
        <f>HYPERLINK("https://twitter.com/petrogustavo/status/1236507118292865025","1236507118292865025")</f>
        <v>1236507118292865025</v>
      </c>
      <c r="F3030" s="7" t="s">
        <v>17</v>
      </c>
      <c r="G3030" s="7">
        <v>3658426</v>
      </c>
      <c r="H3030" s="7">
        <v>2355</v>
      </c>
      <c r="I3030" s="7">
        <v>27</v>
      </c>
      <c r="J3030" s="7">
        <v>134</v>
      </c>
      <c r="K3030" s="7" t="s">
        <v>18</v>
      </c>
      <c r="L3030" s="8">
        <v>39987.315405092595</v>
      </c>
      <c r="M3030" s="9" t="s">
        <v>19</v>
      </c>
      <c r="N3030" s="9" t="s">
        <v>20</v>
      </c>
      <c r="O3030" s="6" t="str">
        <f>HYPERLINK("https://pbs.twimg.com/profile_images/962471262747529216/Uo8lOkRJ_normal.jpg","View")</f>
        <v>View</v>
      </c>
      <c r="P3030" s="7"/>
    </row>
    <row r="3031" spans="1:16">
      <c r="A3031" s="3">
        <v>43898.41024305555</v>
      </c>
      <c r="B3031" s="4" t="str">
        <f>HYPERLINK("https://twitter.com/petrogustavo","@petrogustavo")</f>
        <v>@petrogustavo</v>
      </c>
      <c r="C3031" s="5" t="s">
        <v>16</v>
      </c>
      <c r="D3031" s="5" t="s">
        <v>2971</v>
      </c>
      <c r="E3031" s="6" t="str">
        <f>HYPERLINK("https://twitter.com/petrogustavo/status/1236507119442165772","1236507119442165772")</f>
        <v>1236507119442165772</v>
      </c>
      <c r="F3031" s="7" t="s">
        <v>17</v>
      </c>
      <c r="G3031" s="7">
        <v>3658426</v>
      </c>
      <c r="H3031" s="7">
        <v>2355</v>
      </c>
      <c r="I3031" s="7">
        <v>30</v>
      </c>
      <c r="J3031" s="7">
        <v>115</v>
      </c>
      <c r="K3031" s="7" t="s">
        <v>18</v>
      </c>
      <c r="L3031" s="8">
        <v>39987.315405092595</v>
      </c>
      <c r="M3031" s="9" t="s">
        <v>19</v>
      </c>
      <c r="N3031" s="9" t="s">
        <v>20</v>
      </c>
      <c r="O3031" s="6" t="str">
        <f>HYPERLINK("https://pbs.twimg.com/profile_images/962471262747529216/Uo8lOkRJ_normal.jpg","View")</f>
        <v>View</v>
      </c>
      <c r="P3031" s="7"/>
    </row>
    <row r="3032" spans="1:16">
      <c r="A3032" s="3">
        <v>43898.427002314813</v>
      </c>
      <c r="B3032" s="4" t="str">
        <f>HYPERLINK("https://twitter.com/petrogustavo","@petrogustavo")</f>
        <v>@petrogustavo</v>
      </c>
      <c r="C3032" s="5" t="s">
        <v>16</v>
      </c>
      <c r="D3032" s="5" t="s">
        <v>2947</v>
      </c>
      <c r="E3032" s="6" t="str">
        <f>HYPERLINK("https://twitter.com/petrogustavo/status/1236513194757292032","1236513194757292032")</f>
        <v>1236513194757292032</v>
      </c>
      <c r="F3032" s="7" t="s">
        <v>17</v>
      </c>
      <c r="G3032" s="7">
        <v>3658426</v>
      </c>
      <c r="H3032" s="7">
        <v>2355</v>
      </c>
      <c r="I3032" s="7">
        <v>2177</v>
      </c>
      <c r="J3032" s="7">
        <v>0</v>
      </c>
      <c r="K3032" s="7" t="s">
        <v>18</v>
      </c>
      <c r="L3032" s="8">
        <v>39987.315405092595</v>
      </c>
      <c r="M3032" s="9" t="s">
        <v>19</v>
      </c>
      <c r="N3032" s="9" t="s">
        <v>20</v>
      </c>
      <c r="O3032" s="6" t="str">
        <f>HYPERLINK("https://pbs.twimg.com/profile_images/962471262747529216/Uo8lOkRJ_normal.jpg","View")</f>
        <v>View</v>
      </c>
      <c r="P3032" s="7"/>
    </row>
    <row r="3033" spans="1:16">
      <c r="A3033" s="3">
        <v>43898.832187499997</v>
      </c>
      <c r="B3033" s="4" t="str">
        <f>HYPERLINK("https://twitter.com/petrogustavo","@petrogustavo")</f>
        <v>@petrogustavo</v>
      </c>
      <c r="C3033" s="5" t="s">
        <v>16</v>
      </c>
      <c r="D3033" s="5" t="s">
        <v>2972</v>
      </c>
      <c r="E3033" s="6" t="str">
        <f>HYPERLINK("https://twitter.com/petrogustavo/status/1236660030310690819","1236660030310690819")</f>
        <v>1236660030310690819</v>
      </c>
      <c r="F3033" s="7" t="s">
        <v>17</v>
      </c>
      <c r="G3033" s="7">
        <v>3658601</v>
      </c>
      <c r="H3033" s="7">
        <v>2355</v>
      </c>
      <c r="I3033" s="7">
        <v>237</v>
      </c>
      <c r="J3033" s="7">
        <v>0</v>
      </c>
      <c r="K3033" s="7" t="s">
        <v>18</v>
      </c>
      <c r="L3033" s="8">
        <v>39987.315405092595</v>
      </c>
      <c r="M3033" s="9" t="s">
        <v>19</v>
      </c>
      <c r="N3033" s="9" t="s">
        <v>20</v>
      </c>
      <c r="O3033" s="6" t="str">
        <f>HYPERLINK("https://pbs.twimg.com/profile_images/962471262747529216/Uo8lOkRJ_normal.jpg","View")</f>
        <v>View</v>
      </c>
      <c r="P3033" s="7"/>
    </row>
    <row r="3034" spans="1:16">
      <c r="A3034" s="3">
        <v>43898.834548611107</v>
      </c>
      <c r="B3034" s="4" t="str">
        <f>HYPERLINK("https://twitter.com/petrogustavo","@petrogustavo")</f>
        <v>@petrogustavo</v>
      </c>
      <c r="C3034" s="5" t="s">
        <v>16</v>
      </c>
      <c r="D3034" s="5" t="s">
        <v>2973</v>
      </c>
      <c r="E3034" s="6" t="str">
        <f>HYPERLINK("https://twitter.com/petrogustavo/status/1236660883427909632","1236660883427909632")</f>
        <v>1236660883427909632</v>
      </c>
      <c r="F3034" s="7" t="s">
        <v>17</v>
      </c>
      <c r="G3034" s="7">
        <v>3658601</v>
      </c>
      <c r="H3034" s="7">
        <v>2355</v>
      </c>
      <c r="I3034" s="7">
        <v>1199</v>
      </c>
      <c r="J3034" s="7">
        <v>0</v>
      </c>
      <c r="K3034" s="7" t="s">
        <v>18</v>
      </c>
      <c r="L3034" s="8">
        <v>39987.315405092595</v>
      </c>
      <c r="M3034" s="9" t="s">
        <v>19</v>
      </c>
      <c r="N3034" s="9" t="s">
        <v>20</v>
      </c>
      <c r="O3034" s="6" t="str">
        <f>HYPERLINK("https://pbs.twimg.com/profile_images/962471262747529216/Uo8lOkRJ_normal.jpg","View")</f>
        <v>View</v>
      </c>
      <c r="P3034" s="7"/>
    </row>
    <row r="3035" spans="1:16">
      <c r="A3035" s="3">
        <v>43898.835011574076</v>
      </c>
      <c r="B3035" s="4" t="str">
        <f>HYPERLINK("https://twitter.com/petrogustavo","@petrogustavo")</f>
        <v>@petrogustavo</v>
      </c>
      <c r="C3035" s="5" t="s">
        <v>16</v>
      </c>
      <c r="D3035" s="5" t="s">
        <v>2974</v>
      </c>
      <c r="E3035" s="6" t="str">
        <f>HYPERLINK("https://twitter.com/petrogustavo/status/1236661049983733760","1236661049983733760")</f>
        <v>1236661049983733760</v>
      </c>
      <c r="F3035" s="7" t="s">
        <v>17</v>
      </c>
      <c r="G3035" s="7">
        <v>3658601</v>
      </c>
      <c r="H3035" s="7">
        <v>2355</v>
      </c>
      <c r="I3035" s="7">
        <v>125</v>
      </c>
      <c r="J3035" s="7">
        <v>0</v>
      </c>
      <c r="K3035" s="7" t="s">
        <v>18</v>
      </c>
      <c r="L3035" s="8">
        <v>39987.315405092595</v>
      </c>
      <c r="M3035" s="9" t="s">
        <v>19</v>
      </c>
      <c r="N3035" s="9" t="s">
        <v>20</v>
      </c>
      <c r="O3035" s="6" t="str">
        <f>HYPERLINK("https://pbs.twimg.com/profile_images/962471262747529216/Uo8lOkRJ_normal.jpg","View")</f>
        <v>View</v>
      </c>
      <c r="P3035" s="7"/>
    </row>
    <row r="3036" spans="1:16">
      <c r="A3036" s="3">
        <v>43898.836979166663</v>
      </c>
      <c r="B3036" s="4" t="str">
        <f>HYPERLINK("https://twitter.com/petrogustavo","@petrogustavo")</f>
        <v>@petrogustavo</v>
      </c>
      <c r="C3036" s="5" t="s">
        <v>16</v>
      </c>
      <c r="D3036" s="5" t="s">
        <v>2975</v>
      </c>
      <c r="E3036" s="6" t="str">
        <f>HYPERLINK("https://twitter.com/petrogustavo/status/1236661763397111814","1236661763397111814")</f>
        <v>1236661763397111814</v>
      </c>
      <c r="F3036" s="7" t="s">
        <v>17</v>
      </c>
      <c r="G3036" s="7">
        <v>3658601</v>
      </c>
      <c r="H3036" s="7">
        <v>2355</v>
      </c>
      <c r="I3036" s="7">
        <v>2234</v>
      </c>
      <c r="J3036" s="7">
        <v>0</v>
      </c>
      <c r="K3036" s="7" t="s">
        <v>18</v>
      </c>
      <c r="L3036" s="8">
        <v>39987.315405092595</v>
      </c>
      <c r="M3036" s="9" t="s">
        <v>19</v>
      </c>
      <c r="N3036" s="9" t="s">
        <v>20</v>
      </c>
      <c r="O3036" s="6" t="str">
        <f>HYPERLINK("https://pbs.twimg.com/profile_images/962471262747529216/Uo8lOkRJ_normal.jpg","View")</f>
        <v>View</v>
      </c>
      <c r="P3036" s="7"/>
    </row>
    <row r="3037" spans="1:16">
      <c r="A3037" s="3">
        <v>43898.838148148148</v>
      </c>
      <c r="B3037" s="4" t="str">
        <f>HYPERLINK("https://twitter.com/petrogustavo","@petrogustavo")</f>
        <v>@petrogustavo</v>
      </c>
      <c r="C3037" s="5" t="s">
        <v>16</v>
      </c>
      <c r="D3037" s="5" t="s">
        <v>2976</v>
      </c>
      <c r="E3037" s="6" t="str">
        <f>HYPERLINK("https://twitter.com/petrogustavo/status/1236662189135724544","1236662189135724544")</f>
        <v>1236662189135724544</v>
      </c>
      <c r="F3037" s="7" t="s">
        <v>17</v>
      </c>
      <c r="G3037" s="7">
        <v>3658601</v>
      </c>
      <c r="H3037" s="7">
        <v>2355</v>
      </c>
      <c r="I3037" s="7">
        <v>25</v>
      </c>
      <c r="J3037" s="7">
        <v>0</v>
      </c>
      <c r="K3037" s="7" t="s">
        <v>18</v>
      </c>
      <c r="L3037" s="8">
        <v>39987.315405092595</v>
      </c>
      <c r="M3037" s="9" t="s">
        <v>19</v>
      </c>
      <c r="N3037" s="9" t="s">
        <v>20</v>
      </c>
      <c r="O3037" s="6" t="str">
        <f>HYPERLINK("https://pbs.twimg.com/profile_images/962471262747529216/Uo8lOkRJ_normal.jpg","View")</f>
        <v>View</v>
      </c>
      <c r="P3037" s="7"/>
    </row>
    <row r="3038" spans="1:16">
      <c r="A3038" s="3">
        <v>43898.842476851853</v>
      </c>
      <c r="B3038" s="4" t="str">
        <f>HYPERLINK("https://twitter.com/petrogustavo","@petrogustavo")</f>
        <v>@petrogustavo</v>
      </c>
      <c r="C3038" s="5" t="s">
        <v>16</v>
      </c>
      <c r="D3038" s="5" t="s">
        <v>2977</v>
      </c>
      <c r="E3038" s="6" t="str">
        <f>HYPERLINK("https://twitter.com/petrogustavo/status/1236663758430392322","1236663758430392322")</f>
        <v>1236663758430392322</v>
      </c>
      <c r="F3038" s="7" t="s">
        <v>17</v>
      </c>
      <c r="G3038" s="7">
        <v>3658601</v>
      </c>
      <c r="H3038" s="7">
        <v>2355</v>
      </c>
      <c r="I3038" s="7">
        <v>39</v>
      </c>
      <c r="J3038" s="7">
        <v>0</v>
      </c>
      <c r="K3038" s="7" t="s">
        <v>18</v>
      </c>
      <c r="L3038" s="8">
        <v>39987.315405092595</v>
      </c>
      <c r="M3038" s="9" t="s">
        <v>19</v>
      </c>
      <c r="N3038" s="9" t="s">
        <v>20</v>
      </c>
      <c r="O3038" s="6" t="str">
        <f>HYPERLINK("https://pbs.twimg.com/profile_images/962471262747529216/Uo8lOkRJ_normal.jpg","View")</f>
        <v>View</v>
      </c>
      <c r="P3038" s="7"/>
    </row>
    <row r="3039" spans="1:16">
      <c r="A3039" s="3">
        <v>43898.844039351854</v>
      </c>
      <c r="B3039" s="4" t="str">
        <f>HYPERLINK("https://twitter.com/petrogustavo","@petrogustavo")</f>
        <v>@petrogustavo</v>
      </c>
      <c r="C3039" s="5" t="s">
        <v>16</v>
      </c>
      <c r="D3039" s="5" t="s">
        <v>2978</v>
      </c>
      <c r="E3039" s="6" t="str">
        <f>HYPERLINK("https://twitter.com/petrogustavo/status/1236664321544990720","1236664321544990720")</f>
        <v>1236664321544990720</v>
      </c>
      <c r="F3039" s="7" t="s">
        <v>17</v>
      </c>
      <c r="G3039" s="7">
        <v>3658601</v>
      </c>
      <c r="H3039" s="7">
        <v>2355</v>
      </c>
      <c r="I3039" s="7">
        <v>17</v>
      </c>
      <c r="J3039" s="7">
        <v>0</v>
      </c>
      <c r="K3039" s="7" t="s">
        <v>18</v>
      </c>
      <c r="L3039" s="8">
        <v>39987.315405092595</v>
      </c>
      <c r="M3039" s="9" t="s">
        <v>19</v>
      </c>
      <c r="N3039" s="9" t="s">
        <v>20</v>
      </c>
      <c r="O3039" s="6" t="str">
        <f>HYPERLINK("https://pbs.twimg.com/profile_images/962471262747529216/Uo8lOkRJ_normal.jpg","View")</f>
        <v>View</v>
      </c>
      <c r="P3039" s="7"/>
    </row>
    <row r="3040" spans="1:16">
      <c r="A3040" s="3">
        <v>43898.848344907412</v>
      </c>
      <c r="B3040" s="4" t="str">
        <f>HYPERLINK("https://twitter.com/petrogustavo","@petrogustavo")</f>
        <v>@petrogustavo</v>
      </c>
      <c r="C3040" s="5" t="s">
        <v>16</v>
      </c>
      <c r="D3040" s="5" t="s">
        <v>2979</v>
      </c>
      <c r="E3040" s="6" t="str">
        <f>HYPERLINK("https://twitter.com/petrogustavo/status/1236665882543362050","1236665882543362050")</f>
        <v>1236665882543362050</v>
      </c>
      <c r="F3040" s="7" t="s">
        <v>17</v>
      </c>
      <c r="G3040" s="7">
        <v>3658635</v>
      </c>
      <c r="H3040" s="7">
        <v>2355</v>
      </c>
      <c r="I3040" s="7">
        <v>21</v>
      </c>
      <c r="J3040" s="7">
        <v>0</v>
      </c>
      <c r="K3040" s="7" t="s">
        <v>18</v>
      </c>
      <c r="L3040" s="8">
        <v>39987.315405092595</v>
      </c>
      <c r="M3040" s="9" t="s">
        <v>19</v>
      </c>
      <c r="N3040" s="9" t="s">
        <v>20</v>
      </c>
      <c r="O3040" s="6" t="str">
        <f>HYPERLINK("https://pbs.twimg.com/profile_images/962471262747529216/Uo8lOkRJ_normal.jpg","View")</f>
        <v>View</v>
      </c>
      <c r="P3040" s="7"/>
    </row>
    <row r="3041" spans="1:16">
      <c r="A3041" s="3">
        <v>43898.849976851852</v>
      </c>
      <c r="B3041" s="4" t="str">
        <f>HYPERLINK("https://twitter.com/petrogustavo","@petrogustavo")</f>
        <v>@petrogustavo</v>
      </c>
      <c r="C3041" s="5" t="s">
        <v>16</v>
      </c>
      <c r="D3041" s="5" t="s">
        <v>2980</v>
      </c>
      <c r="E3041" s="6" t="str">
        <f>HYPERLINK("https://twitter.com/petrogustavo/status/1236666474883923969","1236666474883923969")</f>
        <v>1236666474883923969</v>
      </c>
      <c r="F3041" s="7" t="s">
        <v>17</v>
      </c>
      <c r="G3041" s="7">
        <v>3658635</v>
      </c>
      <c r="H3041" s="7">
        <v>2355</v>
      </c>
      <c r="I3041" s="7">
        <v>31</v>
      </c>
      <c r="J3041" s="7">
        <v>0</v>
      </c>
      <c r="K3041" s="7" t="s">
        <v>18</v>
      </c>
      <c r="L3041" s="8">
        <v>39987.315405092595</v>
      </c>
      <c r="M3041" s="9" t="s">
        <v>19</v>
      </c>
      <c r="N3041" s="9" t="s">
        <v>20</v>
      </c>
      <c r="O3041" s="6" t="str">
        <f>HYPERLINK("https://pbs.twimg.com/profile_images/962471262747529216/Uo8lOkRJ_normal.jpg","View")</f>
        <v>View</v>
      </c>
      <c r="P3041" s="7"/>
    </row>
    <row r="3042" spans="1:16">
      <c r="A3042" s="3">
        <v>43898.853263888886</v>
      </c>
      <c r="B3042" s="4" t="str">
        <f>HYPERLINK("https://twitter.com/petrogustavo","@petrogustavo")</f>
        <v>@petrogustavo</v>
      </c>
      <c r="C3042" s="5" t="s">
        <v>16</v>
      </c>
      <c r="D3042" s="5" t="s">
        <v>2981</v>
      </c>
      <c r="E3042" s="6" t="str">
        <f>HYPERLINK("https://twitter.com/petrogustavo/status/1236667665885868032","1236667665885868032")</f>
        <v>1236667665885868032</v>
      </c>
      <c r="F3042" s="7" t="s">
        <v>17</v>
      </c>
      <c r="G3042" s="7">
        <v>3658635</v>
      </c>
      <c r="H3042" s="7">
        <v>2355</v>
      </c>
      <c r="I3042" s="7">
        <v>16</v>
      </c>
      <c r="J3042" s="7">
        <v>0</v>
      </c>
      <c r="K3042" s="7" t="s">
        <v>18</v>
      </c>
      <c r="L3042" s="8">
        <v>39987.315405092595</v>
      </c>
      <c r="M3042" s="9" t="s">
        <v>19</v>
      </c>
      <c r="N3042" s="9" t="s">
        <v>20</v>
      </c>
      <c r="O3042" s="6" t="str">
        <f>HYPERLINK("https://pbs.twimg.com/profile_images/962471262747529216/Uo8lOkRJ_normal.jpg","View")</f>
        <v>View</v>
      </c>
      <c r="P3042" s="7"/>
    </row>
    <row r="3043" spans="1:16">
      <c r="A3043" s="3">
        <v>43898.854675925926</v>
      </c>
      <c r="B3043" s="4" t="str">
        <f>HYPERLINK("https://twitter.com/petrogustavo","@petrogustavo")</f>
        <v>@petrogustavo</v>
      </c>
      <c r="C3043" s="5" t="s">
        <v>16</v>
      </c>
      <c r="D3043" s="5" t="s">
        <v>2982</v>
      </c>
      <c r="E3043" s="6" t="str">
        <f>HYPERLINK("https://twitter.com/petrogustavo/status/1236668177007992832","1236668177007992832")</f>
        <v>1236668177007992832</v>
      </c>
      <c r="F3043" s="7" t="s">
        <v>17</v>
      </c>
      <c r="G3043" s="7">
        <v>3658635</v>
      </c>
      <c r="H3043" s="7">
        <v>2355</v>
      </c>
      <c r="I3043" s="7">
        <v>29</v>
      </c>
      <c r="J3043" s="7">
        <v>0</v>
      </c>
      <c r="K3043" s="7" t="s">
        <v>18</v>
      </c>
      <c r="L3043" s="8">
        <v>39987.315405092595</v>
      </c>
      <c r="M3043" s="9" t="s">
        <v>19</v>
      </c>
      <c r="N3043" s="9" t="s">
        <v>20</v>
      </c>
      <c r="O3043" s="6" t="str">
        <f>HYPERLINK("https://pbs.twimg.com/profile_images/962471262747529216/Uo8lOkRJ_normal.jpg","View")</f>
        <v>View</v>
      </c>
      <c r="P3043" s="7"/>
    </row>
    <row r="3044" spans="1:16">
      <c r="A3044" s="3">
        <v>43898.857199074075</v>
      </c>
      <c r="B3044" s="4" t="str">
        <f>HYPERLINK("https://twitter.com/petrogustavo","@petrogustavo")</f>
        <v>@petrogustavo</v>
      </c>
      <c r="C3044" s="5" t="s">
        <v>16</v>
      </c>
      <c r="D3044" s="5" t="s">
        <v>2983</v>
      </c>
      <c r="E3044" s="6" t="str">
        <f>HYPERLINK("https://twitter.com/petrogustavo/status/1236669091227803648","1236669091227803648")</f>
        <v>1236669091227803648</v>
      </c>
      <c r="F3044" s="7" t="s">
        <v>17</v>
      </c>
      <c r="G3044" s="7">
        <v>3658635</v>
      </c>
      <c r="H3044" s="7">
        <v>2355</v>
      </c>
      <c r="I3044" s="7">
        <v>138</v>
      </c>
      <c r="J3044" s="7">
        <v>549</v>
      </c>
      <c r="K3044" s="7" t="s">
        <v>18</v>
      </c>
      <c r="L3044" s="8">
        <v>39987.315405092595</v>
      </c>
      <c r="M3044" s="9" t="s">
        <v>19</v>
      </c>
      <c r="N3044" s="9" t="s">
        <v>20</v>
      </c>
      <c r="O3044" s="6" t="str">
        <f>HYPERLINK("https://pbs.twimg.com/profile_images/962471262747529216/Uo8lOkRJ_normal.jpg","View")</f>
        <v>View</v>
      </c>
      <c r="P3044" s="7"/>
    </row>
    <row r="3045" spans="1:16">
      <c r="A3045" s="3">
        <v>43898.857870370368</v>
      </c>
      <c r="B3045" s="4" t="str">
        <f>HYPERLINK("https://twitter.com/petrogustavo","@petrogustavo")</f>
        <v>@petrogustavo</v>
      </c>
      <c r="C3045" s="5" t="s">
        <v>16</v>
      </c>
      <c r="D3045" s="5" t="s">
        <v>2984</v>
      </c>
      <c r="E3045" s="6" t="str">
        <f>HYPERLINK("https://twitter.com/petrogustavo/status/1236669337060204545","1236669337060204545")</f>
        <v>1236669337060204545</v>
      </c>
      <c r="F3045" s="7" t="s">
        <v>17</v>
      </c>
      <c r="G3045" s="7">
        <v>3658635</v>
      </c>
      <c r="H3045" s="7">
        <v>2355</v>
      </c>
      <c r="I3045" s="7">
        <v>224</v>
      </c>
      <c r="J3045" s="7">
        <v>0</v>
      </c>
      <c r="K3045" s="7" t="s">
        <v>18</v>
      </c>
      <c r="L3045" s="8">
        <v>39987.315405092595</v>
      </c>
      <c r="M3045" s="9" t="s">
        <v>19</v>
      </c>
      <c r="N3045" s="9" t="s">
        <v>20</v>
      </c>
      <c r="O3045" s="6" t="str">
        <f>HYPERLINK("https://pbs.twimg.com/profile_images/962471262747529216/Uo8lOkRJ_normal.jpg","View")</f>
        <v>View</v>
      </c>
      <c r="P3045" s="7"/>
    </row>
    <row r="3046" spans="1:16">
      <c r="A3046" s="3">
        <v>43898.859780092593</v>
      </c>
      <c r="B3046" s="4" t="str">
        <f>HYPERLINK("https://twitter.com/petrogustavo","@petrogustavo")</f>
        <v>@petrogustavo</v>
      </c>
      <c r="C3046" s="5" t="s">
        <v>16</v>
      </c>
      <c r="D3046" s="5" t="s">
        <v>2985</v>
      </c>
      <c r="E3046" s="6" t="str">
        <f>HYPERLINK("https://twitter.com/petrogustavo/status/1236670029804064774","1236670029804064774")</f>
        <v>1236670029804064774</v>
      </c>
      <c r="F3046" s="7" t="s">
        <v>17</v>
      </c>
      <c r="G3046" s="7">
        <v>3658635</v>
      </c>
      <c r="H3046" s="7">
        <v>2355</v>
      </c>
      <c r="I3046" s="7">
        <v>48</v>
      </c>
      <c r="J3046" s="7">
        <v>181</v>
      </c>
      <c r="K3046" s="7" t="s">
        <v>18</v>
      </c>
      <c r="L3046" s="8">
        <v>39987.315405092595</v>
      </c>
      <c r="M3046" s="9" t="s">
        <v>19</v>
      </c>
      <c r="N3046" s="9" t="s">
        <v>20</v>
      </c>
      <c r="O3046" s="6" t="str">
        <f>HYPERLINK("https://pbs.twimg.com/profile_images/962471262747529216/Uo8lOkRJ_normal.jpg","View")</f>
        <v>View</v>
      </c>
      <c r="P3046" s="7"/>
    </row>
    <row r="3047" spans="1:16">
      <c r="A3047" s="3">
        <v>43898.868923611109</v>
      </c>
      <c r="B3047" s="4" t="str">
        <f>HYPERLINK("https://twitter.com/petrogustavo","@petrogustavo")</f>
        <v>@petrogustavo</v>
      </c>
      <c r="C3047" s="5" t="s">
        <v>16</v>
      </c>
      <c r="D3047" s="5" t="s">
        <v>2986</v>
      </c>
      <c r="E3047" s="6" t="str">
        <f>HYPERLINK("https://twitter.com/petrogustavo/status/1236673340062011392","1236673340062011392")</f>
        <v>1236673340062011392</v>
      </c>
      <c r="F3047" s="7" t="s">
        <v>17</v>
      </c>
      <c r="G3047" s="7">
        <v>3658653</v>
      </c>
      <c r="H3047" s="7">
        <v>2355</v>
      </c>
      <c r="I3047" s="7">
        <v>1701</v>
      </c>
      <c r="J3047" s="7">
        <v>0</v>
      </c>
      <c r="K3047" s="7" t="s">
        <v>18</v>
      </c>
      <c r="L3047" s="8">
        <v>39987.315405092595</v>
      </c>
      <c r="M3047" s="9" t="s">
        <v>19</v>
      </c>
      <c r="N3047" s="9" t="s">
        <v>20</v>
      </c>
      <c r="O3047" s="6" t="str">
        <f>HYPERLINK("https://pbs.twimg.com/profile_images/962471262747529216/Uo8lOkRJ_normal.jpg","View")</f>
        <v>View</v>
      </c>
      <c r="P3047" s="7"/>
    </row>
    <row r="3048" spans="1:16">
      <c r="A3048" s="3">
        <v>43898.869953703703</v>
      </c>
      <c r="B3048" s="4" t="str">
        <f>HYPERLINK("https://twitter.com/petrogustavo","@petrogustavo")</f>
        <v>@petrogustavo</v>
      </c>
      <c r="C3048" s="5" t="s">
        <v>16</v>
      </c>
      <c r="D3048" s="5" t="s">
        <v>2987</v>
      </c>
      <c r="E3048" s="6" t="str">
        <f>HYPERLINK("https://twitter.com/petrogustavo/status/1236673713648648201","1236673713648648201")</f>
        <v>1236673713648648201</v>
      </c>
      <c r="F3048" s="7" t="s">
        <v>17</v>
      </c>
      <c r="G3048" s="7">
        <v>3658653</v>
      </c>
      <c r="H3048" s="7">
        <v>2355</v>
      </c>
      <c r="I3048" s="7">
        <v>1390</v>
      </c>
      <c r="J3048" s="7">
        <v>0</v>
      </c>
      <c r="K3048" s="7" t="s">
        <v>18</v>
      </c>
      <c r="L3048" s="8">
        <v>39987.315405092595</v>
      </c>
      <c r="M3048" s="9" t="s">
        <v>19</v>
      </c>
      <c r="N3048" s="9" t="s">
        <v>20</v>
      </c>
      <c r="O3048" s="6" t="str">
        <f>HYPERLINK("https://pbs.twimg.com/profile_images/962471262747529216/Uo8lOkRJ_normal.jpg","View")</f>
        <v>View</v>
      </c>
      <c r="P3048" s="7"/>
    </row>
    <row r="3049" spans="1:16">
      <c r="A3049" s="3">
        <v>43898.87018518518</v>
      </c>
      <c r="B3049" s="4" t="str">
        <f>HYPERLINK("https://twitter.com/petrogustavo","@petrogustavo")</f>
        <v>@petrogustavo</v>
      </c>
      <c r="C3049" s="5" t="s">
        <v>16</v>
      </c>
      <c r="D3049" s="5" t="s">
        <v>2988</v>
      </c>
      <c r="E3049" s="6" t="str">
        <f>HYPERLINK("https://twitter.com/petrogustavo/status/1236673799564800002","1236673799564800002")</f>
        <v>1236673799564800002</v>
      </c>
      <c r="F3049" s="7" t="s">
        <v>17</v>
      </c>
      <c r="G3049" s="7">
        <v>3658653</v>
      </c>
      <c r="H3049" s="7">
        <v>2355</v>
      </c>
      <c r="I3049" s="7">
        <v>338</v>
      </c>
      <c r="J3049" s="7">
        <v>0</v>
      </c>
      <c r="K3049" s="7" t="s">
        <v>18</v>
      </c>
      <c r="L3049" s="8">
        <v>39987.315405092595</v>
      </c>
      <c r="M3049" s="9" t="s">
        <v>19</v>
      </c>
      <c r="N3049" s="9" t="s">
        <v>20</v>
      </c>
      <c r="O3049" s="6" t="str">
        <f>HYPERLINK("https://pbs.twimg.com/profile_images/962471262747529216/Uo8lOkRJ_normal.jpg","View")</f>
        <v>View</v>
      </c>
      <c r="P3049" s="7"/>
    </row>
    <row r="3050" spans="1:16">
      <c r="A3050" s="3">
        <v>43898.879074074073</v>
      </c>
      <c r="B3050" s="4" t="str">
        <f>HYPERLINK("https://twitter.com/petrogustavo","@petrogustavo")</f>
        <v>@petrogustavo</v>
      </c>
      <c r="C3050" s="5" t="s">
        <v>16</v>
      </c>
      <c r="D3050" s="5" t="s">
        <v>2989</v>
      </c>
      <c r="E3050" s="6" t="str">
        <f>HYPERLINK("https://twitter.com/petrogustavo/status/1236677018202378241","1236677018202378241")</f>
        <v>1236677018202378241</v>
      </c>
      <c r="F3050" s="7" t="s">
        <v>17</v>
      </c>
      <c r="G3050" s="7">
        <v>3658653</v>
      </c>
      <c r="H3050" s="7">
        <v>2355</v>
      </c>
      <c r="I3050" s="7">
        <v>129</v>
      </c>
      <c r="J3050" s="7">
        <v>233</v>
      </c>
      <c r="K3050" s="7" t="s">
        <v>18</v>
      </c>
      <c r="L3050" s="8">
        <v>39987.315405092595</v>
      </c>
      <c r="M3050" s="9" t="s">
        <v>19</v>
      </c>
      <c r="N3050" s="9" t="s">
        <v>20</v>
      </c>
      <c r="O3050" s="6" t="str">
        <f>HYPERLINK("https://pbs.twimg.com/profile_images/962471262747529216/Uo8lOkRJ_normal.jpg","View")</f>
        <v>View</v>
      </c>
      <c r="P3050" s="7"/>
    </row>
    <row r="3051" spans="1:16">
      <c r="A3051" s="3">
        <v>43898.880601851852</v>
      </c>
      <c r="B3051" s="4" t="str">
        <f>HYPERLINK("https://twitter.com/petrogustavo","@petrogustavo")</f>
        <v>@petrogustavo</v>
      </c>
      <c r="C3051" s="5" t="s">
        <v>16</v>
      </c>
      <c r="D3051" s="5" t="s">
        <v>2990</v>
      </c>
      <c r="E3051" s="6" t="str">
        <f>HYPERLINK("https://twitter.com/petrogustavo/status/1236677571997286401","1236677571997286401")</f>
        <v>1236677571997286401</v>
      </c>
      <c r="F3051" s="7" t="s">
        <v>17</v>
      </c>
      <c r="G3051" s="7">
        <v>3658653</v>
      </c>
      <c r="H3051" s="7">
        <v>2355</v>
      </c>
      <c r="I3051" s="7">
        <v>228</v>
      </c>
      <c r="J3051" s="7">
        <v>0</v>
      </c>
      <c r="K3051" s="7" t="s">
        <v>18</v>
      </c>
      <c r="L3051" s="8">
        <v>39987.315405092595</v>
      </c>
      <c r="M3051" s="9" t="s">
        <v>19</v>
      </c>
      <c r="N3051" s="9" t="s">
        <v>20</v>
      </c>
      <c r="O3051" s="6" t="str">
        <f>HYPERLINK("https://pbs.twimg.com/profile_images/962471262747529216/Uo8lOkRJ_normal.jpg","View")</f>
        <v>View</v>
      </c>
      <c r="P3051" s="7"/>
    </row>
    <row r="3052" spans="1:16">
      <c r="A3052" s="3">
        <v>43898.880879629629</v>
      </c>
      <c r="B3052" s="4" t="str">
        <f>HYPERLINK("https://twitter.com/petrogustavo","@petrogustavo")</f>
        <v>@petrogustavo</v>
      </c>
      <c r="C3052" s="5" t="s">
        <v>16</v>
      </c>
      <c r="D3052" s="5" t="s">
        <v>2991</v>
      </c>
      <c r="E3052" s="6" t="str">
        <f>HYPERLINK("https://twitter.com/petrogustavo/status/1236677672333385729","1236677672333385729")</f>
        <v>1236677672333385729</v>
      </c>
      <c r="F3052" s="7" t="s">
        <v>17</v>
      </c>
      <c r="G3052" s="7">
        <v>3658653</v>
      </c>
      <c r="H3052" s="7">
        <v>2355</v>
      </c>
      <c r="I3052" s="7">
        <v>43</v>
      </c>
      <c r="J3052" s="7">
        <v>0</v>
      </c>
      <c r="K3052" s="7" t="s">
        <v>18</v>
      </c>
      <c r="L3052" s="8">
        <v>39987.315405092595</v>
      </c>
      <c r="M3052" s="9" t="s">
        <v>19</v>
      </c>
      <c r="N3052" s="9" t="s">
        <v>20</v>
      </c>
      <c r="O3052" s="6" t="str">
        <f>HYPERLINK("https://pbs.twimg.com/profile_images/962471262747529216/Uo8lOkRJ_normal.jpg","View")</f>
        <v>View</v>
      </c>
      <c r="P3052" s="7"/>
    </row>
    <row r="3053" spans="1:16">
      <c r="A3053" s="3">
        <v>43898.881643518514</v>
      </c>
      <c r="B3053" s="4" t="str">
        <f>HYPERLINK("https://twitter.com/petrogustavo","@petrogustavo")</f>
        <v>@petrogustavo</v>
      </c>
      <c r="C3053" s="5" t="s">
        <v>16</v>
      </c>
      <c r="D3053" s="5" t="s">
        <v>2992</v>
      </c>
      <c r="E3053" s="6" t="str">
        <f>HYPERLINK("https://twitter.com/petrogustavo/status/1236677949090340865","1236677949090340865")</f>
        <v>1236677949090340865</v>
      </c>
      <c r="F3053" s="7" t="s">
        <v>17</v>
      </c>
      <c r="G3053" s="7">
        <v>3658653</v>
      </c>
      <c r="H3053" s="7">
        <v>2355</v>
      </c>
      <c r="I3053" s="7">
        <v>112</v>
      </c>
      <c r="J3053" s="7">
        <v>374</v>
      </c>
      <c r="K3053" s="7" t="s">
        <v>18</v>
      </c>
      <c r="L3053" s="8">
        <v>39987.315405092595</v>
      </c>
      <c r="M3053" s="9" t="s">
        <v>19</v>
      </c>
      <c r="N3053" s="9" t="s">
        <v>20</v>
      </c>
      <c r="O3053" s="6" t="str">
        <f>HYPERLINK("https://pbs.twimg.com/profile_images/962471262747529216/Uo8lOkRJ_normal.jpg","View")</f>
        <v>View</v>
      </c>
      <c r="P3053" s="7"/>
    </row>
    <row r="3054" spans="1:16">
      <c r="A3054" s="3">
        <v>43898.883900462963</v>
      </c>
      <c r="B3054" s="4" t="str">
        <f>HYPERLINK("https://twitter.com/petrogustavo","@petrogustavo")</f>
        <v>@petrogustavo</v>
      </c>
      <c r="C3054" s="5" t="s">
        <v>16</v>
      </c>
      <c r="D3054" s="5" t="s">
        <v>2993</v>
      </c>
      <c r="E3054" s="6" t="str">
        <f>HYPERLINK("https://twitter.com/petrogustavo/status/1236678770741870594","1236678770741870594")</f>
        <v>1236678770741870594</v>
      </c>
      <c r="F3054" s="7" t="s">
        <v>17</v>
      </c>
      <c r="G3054" s="7">
        <v>3658653</v>
      </c>
      <c r="H3054" s="7">
        <v>2355</v>
      </c>
      <c r="I3054" s="7">
        <v>46</v>
      </c>
      <c r="J3054" s="7">
        <v>129</v>
      </c>
      <c r="K3054" s="7" t="s">
        <v>18</v>
      </c>
      <c r="L3054" s="8">
        <v>39987.315405092595</v>
      </c>
      <c r="M3054" s="9" t="s">
        <v>19</v>
      </c>
      <c r="N3054" s="9" t="s">
        <v>20</v>
      </c>
      <c r="O3054" s="6" t="str">
        <f>HYPERLINK("https://pbs.twimg.com/profile_images/962471262747529216/Uo8lOkRJ_normal.jpg","View")</f>
        <v>View</v>
      </c>
      <c r="P3054" s="7"/>
    </row>
    <row r="3055" spans="1:16">
      <c r="A3055" s="3">
        <v>43898.884687500002</v>
      </c>
      <c r="B3055" s="4" t="str">
        <f>HYPERLINK("https://twitter.com/petrogustavo","@petrogustavo")</f>
        <v>@petrogustavo</v>
      </c>
      <c r="C3055" s="5" t="s">
        <v>16</v>
      </c>
      <c r="D3055" s="5" t="s">
        <v>2994</v>
      </c>
      <c r="E3055" s="6" t="str">
        <f>HYPERLINK("https://twitter.com/petrogustavo/status/1236679055451262976","1236679055451262976")</f>
        <v>1236679055451262976</v>
      </c>
      <c r="F3055" s="7" t="s">
        <v>17</v>
      </c>
      <c r="G3055" s="7">
        <v>3658653</v>
      </c>
      <c r="H3055" s="7">
        <v>2355</v>
      </c>
      <c r="I3055" s="7">
        <v>15</v>
      </c>
      <c r="J3055" s="7">
        <v>0</v>
      </c>
      <c r="K3055" s="7" t="s">
        <v>18</v>
      </c>
      <c r="L3055" s="8">
        <v>39987.315405092595</v>
      </c>
      <c r="M3055" s="9" t="s">
        <v>19</v>
      </c>
      <c r="N3055" s="9" t="s">
        <v>20</v>
      </c>
      <c r="O3055" s="6" t="str">
        <f>HYPERLINK("https://pbs.twimg.com/profile_images/962471262747529216/Uo8lOkRJ_normal.jpg","View")</f>
        <v>View</v>
      </c>
      <c r="P3055" s="7"/>
    </row>
    <row r="3056" spans="1:16">
      <c r="A3056" s="3">
        <v>43898.88890046296</v>
      </c>
      <c r="B3056" s="4" t="str">
        <f>HYPERLINK("https://twitter.com/petrogustavo","@petrogustavo")</f>
        <v>@petrogustavo</v>
      </c>
      <c r="C3056" s="5" t="s">
        <v>16</v>
      </c>
      <c r="D3056" s="5" t="s">
        <v>2995</v>
      </c>
      <c r="E3056" s="6" t="str">
        <f>HYPERLINK("https://twitter.com/petrogustavo/status/1236680580756131841","1236680580756131841")</f>
        <v>1236680580756131841</v>
      </c>
      <c r="F3056" s="7" t="s">
        <v>17</v>
      </c>
      <c r="G3056" s="7">
        <v>3658650</v>
      </c>
      <c r="H3056" s="7">
        <v>2355</v>
      </c>
      <c r="I3056" s="7">
        <v>16</v>
      </c>
      <c r="J3056" s="7">
        <v>0</v>
      </c>
      <c r="K3056" s="7" t="s">
        <v>18</v>
      </c>
      <c r="L3056" s="8">
        <v>39987.315405092595</v>
      </c>
      <c r="M3056" s="9" t="s">
        <v>19</v>
      </c>
      <c r="N3056" s="9" t="s">
        <v>20</v>
      </c>
      <c r="O3056" s="6" t="str">
        <f>HYPERLINK("https://pbs.twimg.com/profile_images/962471262747529216/Uo8lOkRJ_normal.jpg","View")</f>
        <v>View</v>
      </c>
      <c r="P3056" s="7"/>
    </row>
    <row r="3057" spans="1:16">
      <c r="A3057" s="3">
        <v>43898.890069444446</v>
      </c>
      <c r="B3057" s="4" t="str">
        <f>HYPERLINK("https://twitter.com/petrogustavo","@petrogustavo")</f>
        <v>@petrogustavo</v>
      </c>
      <c r="C3057" s="5" t="s">
        <v>16</v>
      </c>
      <c r="D3057" s="5" t="s">
        <v>2996</v>
      </c>
      <c r="E3057" s="6" t="str">
        <f>HYPERLINK("https://twitter.com/petrogustavo/status/1236681005429383170","1236681005429383170")</f>
        <v>1236681005429383170</v>
      </c>
      <c r="F3057" s="7" t="s">
        <v>17</v>
      </c>
      <c r="G3057" s="7">
        <v>3658650</v>
      </c>
      <c r="H3057" s="7">
        <v>2355</v>
      </c>
      <c r="I3057" s="7">
        <v>37</v>
      </c>
      <c r="J3057" s="7">
        <v>117</v>
      </c>
      <c r="K3057" s="7" t="s">
        <v>18</v>
      </c>
      <c r="L3057" s="8">
        <v>39987.315405092595</v>
      </c>
      <c r="M3057" s="9" t="s">
        <v>19</v>
      </c>
      <c r="N3057" s="9" t="s">
        <v>20</v>
      </c>
      <c r="O3057" s="6" t="str">
        <f>HYPERLINK("https://pbs.twimg.com/profile_images/962471262747529216/Uo8lOkRJ_normal.jpg","View")</f>
        <v>View</v>
      </c>
      <c r="P3057" s="7"/>
    </row>
    <row r="3058" spans="1:16">
      <c r="A3058" s="3">
        <v>43898.892002314809</v>
      </c>
      <c r="B3058" s="4" t="str">
        <f>HYPERLINK("https://twitter.com/petrogustavo","@petrogustavo")</f>
        <v>@petrogustavo</v>
      </c>
      <c r="C3058" s="5" t="s">
        <v>16</v>
      </c>
      <c r="D3058" s="5" t="s">
        <v>2997</v>
      </c>
      <c r="E3058" s="6" t="str">
        <f>HYPERLINK("https://twitter.com/petrogustavo/status/1236681705882357760","1236681705882357760")</f>
        <v>1236681705882357760</v>
      </c>
      <c r="F3058" s="7" t="s">
        <v>17</v>
      </c>
      <c r="G3058" s="7">
        <v>3658650</v>
      </c>
      <c r="H3058" s="7">
        <v>2355</v>
      </c>
      <c r="I3058" s="7">
        <v>38</v>
      </c>
      <c r="J3058" s="7">
        <v>0</v>
      </c>
      <c r="K3058" s="7" t="s">
        <v>18</v>
      </c>
      <c r="L3058" s="8">
        <v>39987.315405092595</v>
      </c>
      <c r="M3058" s="9" t="s">
        <v>19</v>
      </c>
      <c r="N3058" s="9" t="s">
        <v>20</v>
      </c>
      <c r="O3058" s="6" t="str">
        <f>HYPERLINK("https://pbs.twimg.com/profile_images/962471262747529216/Uo8lOkRJ_normal.jpg","View")</f>
        <v>View</v>
      </c>
      <c r="P3058" s="7"/>
    </row>
    <row r="3059" spans="1:16">
      <c r="A3059" s="3">
        <v>43898.894143518519</v>
      </c>
      <c r="B3059" s="4" t="str">
        <f>HYPERLINK("https://twitter.com/petrogustavo","@petrogustavo")</f>
        <v>@petrogustavo</v>
      </c>
      <c r="C3059" s="5" t="s">
        <v>16</v>
      </c>
      <c r="D3059" s="5" t="s">
        <v>2998</v>
      </c>
      <c r="E3059" s="6" t="str">
        <f>HYPERLINK("https://twitter.com/petrogustavo/status/1236682478661885952","1236682478661885952")</f>
        <v>1236682478661885952</v>
      </c>
      <c r="F3059" s="7" t="s">
        <v>17</v>
      </c>
      <c r="G3059" s="7">
        <v>3658650</v>
      </c>
      <c r="H3059" s="7">
        <v>2355</v>
      </c>
      <c r="I3059" s="7">
        <v>23</v>
      </c>
      <c r="J3059" s="7">
        <v>0</v>
      </c>
      <c r="K3059" s="7" t="s">
        <v>18</v>
      </c>
      <c r="L3059" s="8">
        <v>39987.315405092595</v>
      </c>
      <c r="M3059" s="9" t="s">
        <v>19</v>
      </c>
      <c r="N3059" s="9" t="s">
        <v>20</v>
      </c>
      <c r="O3059" s="6" t="str">
        <f>HYPERLINK("https://pbs.twimg.com/profile_images/962471262747529216/Uo8lOkRJ_normal.jpg","View")</f>
        <v>View</v>
      </c>
      <c r="P3059" s="7"/>
    </row>
    <row r="3060" spans="1:16">
      <c r="A3060" s="3">
        <v>43898.895983796298</v>
      </c>
      <c r="B3060" s="4" t="str">
        <f>HYPERLINK("https://twitter.com/petrogustavo","@petrogustavo")</f>
        <v>@petrogustavo</v>
      </c>
      <c r="C3060" s="5" t="s">
        <v>16</v>
      </c>
      <c r="D3060" s="5" t="s">
        <v>2999</v>
      </c>
      <c r="E3060" s="6" t="str">
        <f>HYPERLINK("https://twitter.com/petrogustavo/status/1236683147217121280","1236683147217121280")</f>
        <v>1236683147217121280</v>
      </c>
      <c r="F3060" s="7" t="s">
        <v>17</v>
      </c>
      <c r="G3060" s="7">
        <v>3658650</v>
      </c>
      <c r="H3060" s="7">
        <v>2355</v>
      </c>
      <c r="I3060" s="7">
        <v>120</v>
      </c>
      <c r="J3060" s="7">
        <v>573</v>
      </c>
      <c r="K3060" s="7" t="s">
        <v>18</v>
      </c>
      <c r="L3060" s="8">
        <v>39987.315405092595</v>
      </c>
      <c r="M3060" s="9" t="s">
        <v>19</v>
      </c>
      <c r="N3060" s="9" t="s">
        <v>20</v>
      </c>
      <c r="O3060" s="6" t="str">
        <f>HYPERLINK("https://pbs.twimg.com/profile_images/962471262747529216/Uo8lOkRJ_normal.jpg","View")</f>
        <v>View</v>
      </c>
      <c r="P3060" s="7"/>
    </row>
    <row r="3061" spans="1:16">
      <c r="A3061" s="3">
        <v>43898.900451388894</v>
      </c>
      <c r="B3061" s="4" t="str">
        <f>HYPERLINK("https://twitter.com/petrogustavo","@petrogustavo")</f>
        <v>@petrogustavo</v>
      </c>
      <c r="C3061" s="5" t="s">
        <v>16</v>
      </c>
      <c r="D3061" s="5" t="s">
        <v>3000</v>
      </c>
      <c r="E3061" s="6" t="str">
        <f>HYPERLINK("https://twitter.com/petrogustavo/status/1236684766440808450","1236684766440808450")</f>
        <v>1236684766440808450</v>
      </c>
      <c r="F3061" s="7" t="s">
        <v>17</v>
      </c>
      <c r="G3061" s="7">
        <v>3658650</v>
      </c>
      <c r="H3061" s="7">
        <v>2355</v>
      </c>
      <c r="I3061" s="7">
        <v>29</v>
      </c>
      <c r="J3061" s="7">
        <v>105</v>
      </c>
      <c r="K3061" s="7" t="s">
        <v>18</v>
      </c>
      <c r="L3061" s="8">
        <v>39987.315405092595</v>
      </c>
      <c r="M3061" s="9" t="s">
        <v>19</v>
      </c>
      <c r="N3061" s="9" t="s">
        <v>20</v>
      </c>
      <c r="O3061" s="6" t="str">
        <f>HYPERLINK("https://pbs.twimg.com/profile_images/962471262747529216/Uo8lOkRJ_normal.jpg","View")</f>
        <v>View</v>
      </c>
      <c r="P3061" s="7"/>
    </row>
    <row r="3062" spans="1:16">
      <c r="A3062" s="3">
        <v>43898.901307870372</v>
      </c>
      <c r="B3062" s="4" t="str">
        <f>HYPERLINK("https://twitter.com/petrogustavo","@petrogustavo")</f>
        <v>@petrogustavo</v>
      </c>
      <c r="C3062" s="5" t="s">
        <v>16</v>
      </c>
      <c r="D3062" s="5" t="s">
        <v>3001</v>
      </c>
      <c r="E3062" s="6" t="str">
        <f>HYPERLINK("https://twitter.com/petrogustavo/status/1236685078341828608","1236685078341828608")</f>
        <v>1236685078341828608</v>
      </c>
      <c r="F3062" s="7" t="s">
        <v>17</v>
      </c>
      <c r="G3062" s="7">
        <v>3658650</v>
      </c>
      <c r="H3062" s="7">
        <v>2355</v>
      </c>
      <c r="I3062" s="7">
        <v>53</v>
      </c>
      <c r="J3062" s="7">
        <v>0</v>
      </c>
      <c r="K3062" s="7" t="s">
        <v>18</v>
      </c>
      <c r="L3062" s="8">
        <v>39987.315405092595</v>
      </c>
      <c r="M3062" s="9" t="s">
        <v>19</v>
      </c>
      <c r="N3062" s="9" t="s">
        <v>20</v>
      </c>
      <c r="O3062" s="6" t="str">
        <f>HYPERLINK("https://pbs.twimg.com/profile_images/962471262747529216/Uo8lOkRJ_normal.jpg","View")</f>
        <v>View</v>
      </c>
      <c r="P3062" s="7"/>
    </row>
    <row r="3063" spans="1:16">
      <c r="A3063" s="3">
        <v>43898.901354166665</v>
      </c>
      <c r="B3063" s="4" t="str">
        <f>HYPERLINK("https://twitter.com/petrogustavo","@petrogustavo")</f>
        <v>@petrogustavo</v>
      </c>
      <c r="C3063" s="5" t="s">
        <v>16</v>
      </c>
      <c r="D3063" s="5" t="s">
        <v>3002</v>
      </c>
      <c r="E3063" s="6" t="str">
        <f>HYPERLINK("https://twitter.com/petrogustavo/status/1236685092153589761","1236685092153589761")</f>
        <v>1236685092153589761</v>
      </c>
      <c r="F3063" s="7" t="s">
        <v>17</v>
      </c>
      <c r="G3063" s="7">
        <v>3658650</v>
      </c>
      <c r="H3063" s="7">
        <v>2355</v>
      </c>
      <c r="I3063" s="7">
        <v>325</v>
      </c>
      <c r="J3063" s="7">
        <v>0</v>
      </c>
      <c r="K3063" s="7" t="s">
        <v>18</v>
      </c>
      <c r="L3063" s="8">
        <v>39987.315405092595</v>
      </c>
      <c r="M3063" s="9" t="s">
        <v>19</v>
      </c>
      <c r="N3063" s="9" t="s">
        <v>20</v>
      </c>
      <c r="O3063" s="6" t="str">
        <f>HYPERLINK("https://pbs.twimg.com/profile_images/962471262747529216/Uo8lOkRJ_normal.jpg","View")</f>
        <v>View</v>
      </c>
      <c r="P3063" s="7"/>
    </row>
    <row r="3064" spans="1:16">
      <c r="A3064" s="3">
        <v>43898.905682870369</v>
      </c>
      <c r="B3064" s="4" t="str">
        <f>HYPERLINK("https://twitter.com/petrogustavo","@petrogustavo")</f>
        <v>@petrogustavo</v>
      </c>
      <c r="C3064" s="5" t="s">
        <v>16</v>
      </c>
      <c r="D3064" s="5" t="s">
        <v>3003</v>
      </c>
      <c r="E3064" s="6" t="str">
        <f>HYPERLINK("https://twitter.com/petrogustavo/status/1236686660445917185","1236686660445917185")</f>
        <v>1236686660445917185</v>
      </c>
      <c r="F3064" s="7" t="s">
        <v>17</v>
      </c>
      <c r="G3064" s="7">
        <v>3658650</v>
      </c>
      <c r="H3064" s="7">
        <v>2355</v>
      </c>
      <c r="I3064" s="7">
        <v>30</v>
      </c>
      <c r="J3064" s="7">
        <v>79</v>
      </c>
      <c r="K3064" s="7" t="s">
        <v>18</v>
      </c>
      <c r="L3064" s="8">
        <v>39987.315405092595</v>
      </c>
      <c r="M3064" s="9" t="s">
        <v>19</v>
      </c>
      <c r="N3064" s="9" t="s">
        <v>20</v>
      </c>
      <c r="O3064" s="6" t="str">
        <f>HYPERLINK("https://pbs.twimg.com/profile_images/962471262747529216/Uo8lOkRJ_normal.jpg","View")</f>
        <v>View</v>
      </c>
      <c r="P3064" s="7"/>
    </row>
    <row r="3065" spans="1:16">
      <c r="A3065" s="3">
        <v>43898.936099537037</v>
      </c>
      <c r="B3065" s="4" t="str">
        <f>HYPERLINK("https://twitter.com/petrogustavo","@petrogustavo")</f>
        <v>@petrogustavo</v>
      </c>
      <c r="C3065" s="5" t="s">
        <v>16</v>
      </c>
      <c r="D3065" s="5" t="s">
        <v>3004</v>
      </c>
      <c r="E3065" s="6" t="str">
        <f>HYPERLINK("https://twitter.com/petrogustavo/status/1236697683030671360","1236697683030671360")</f>
        <v>1236697683030671360</v>
      </c>
      <c r="F3065" s="7" t="s">
        <v>17</v>
      </c>
      <c r="G3065" s="7">
        <v>3658691</v>
      </c>
      <c r="H3065" s="7">
        <v>2355</v>
      </c>
      <c r="I3065" s="7">
        <v>217</v>
      </c>
      <c r="J3065" s="7">
        <v>776</v>
      </c>
      <c r="K3065" s="7" t="s">
        <v>18</v>
      </c>
      <c r="L3065" s="8">
        <v>39987.315405092595</v>
      </c>
      <c r="M3065" s="9" t="s">
        <v>19</v>
      </c>
      <c r="N3065" s="9" t="s">
        <v>20</v>
      </c>
      <c r="O3065" s="6" t="str">
        <f>HYPERLINK("https://pbs.twimg.com/profile_images/962471262747529216/Uo8lOkRJ_normal.jpg","View")</f>
        <v>View</v>
      </c>
      <c r="P3065" s="7"/>
    </row>
    <row r="3066" spans="1:16">
      <c r="A3066" s="3">
        <v>43898.940092592587</v>
      </c>
      <c r="B3066" s="4" t="str">
        <f>HYPERLINK("https://twitter.com/petrogustavo","@petrogustavo")</f>
        <v>@petrogustavo</v>
      </c>
      <c r="C3066" s="5" t="s">
        <v>16</v>
      </c>
      <c r="D3066" s="5" t="s">
        <v>3005</v>
      </c>
      <c r="E3066" s="6" t="str">
        <f>HYPERLINK("https://twitter.com/petrogustavo/status/1236699131579596802","1236699131579596802")</f>
        <v>1236699131579596802</v>
      </c>
      <c r="F3066" s="7" t="s">
        <v>17</v>
      </c>
      <c r="G3066" s="7">
        <v>3658691</v>
      </c>
      <c r="H3066" s="7">
        <v>2355</v>
      </c>
      <c r="I3066" s="7">
        <v>24</v>
      </c>
      <c r="J3066" s="7">
        <v>74</v>
      </c>
      <c r="K3066" s="7" t="s">
        <v>18</v>
      </c>
      <c r="L3066" s="8">
        <v>39987.315405092595</v>
      </c>
      <c r="M3066" s="9" t="s">
        <v>19</v>
      </c>
      <c r="N3066" s="9" t="s">
        <v>20</v>
      </c>
      <c r="O3066" s="6" t="str">
        <f>HYPERLINK("https://pbs.twimg.com/profile_images/962471262747529216/Uo8lOkRJ_normal.jpg","View")</f>
        <v>View</v>
      </c>
      <c r="P3066" s="7"/>
    </row>
    <row r="3067" spans="1:16">
      <c r="A3067" s="3">
        <v>43898.940104166672</v>
      </c>
      <c r="B3067" s="4" t="str">
        <f>HYPERLINK("https://twitter.com/petrogustavo","@petrogustavo")</f>
        <v>@petrogustavo</v>
      </c>
      <c r="C3067" s="5" t="s">
        <v>16</v>
      </c>
      <c r="D3067" s="5" t="s">
        <v>3006</v>
      </c>
      <c r="E3067" s="6" t="str">
        <f>HYPERLINK("https://twitter.com/petrogustavo/status/1236699134352031744","1236699134352031744")</f>
        <v>1236699134352031744</v>
      </c>
      <c r="F3067" s="7" t="s">
        <v>17</v>
      </c>
      <c r="G3067" s="7">
        <v>3658691</v>
      </c>
      <c r="H3067" s="7">
        <v>2355</v>
      </c>
      <c r="I3067" s="7">
        <v>17</v>
      </c>
      <c r="J3067" s="7">
        <v>52</v>
      </c>
      <c r="K3067" s="7" t="s">
        <v>18</v>
      </c>
      <c r="L3067" s="8">
        <v>39987.315405092595</v>
      </c>
      <c r="M3067" s="9" t="s">
        <v>19</v>
      </c>
      <c r="N3067" s="9" t="s">
        <v>20</v>
      </c>
      <c r="O3067" s="6" t="str">
        <f>HYPERLINK("https://pbs.twimg.com/profile_images/962471262747529216/Uo8lOkRJ_normal.jpg","View")</f>
        <v>View</v>
      </c>
      <c r="P3067" s="7"/>
    </row>
    <row r="3068" spans="1:16">
      <c r="A3068" s="3">
        <v>43898.941863425927</v>
      </c>
      <c r="B3068" s="4" t="str">
        <f>HYPERLINK("https://twitter.com/petrogustavo","@petrogustavo")</f>
        <v>@petrogustavo</v>
      </c>
      <c r="C3068" s="5" t="s">
        <v>16</v>
      </c>
      <c r="D3068" s="5" t="s">
        <v>3007</v>
      </c>
      <c r="E3068" s="6" t="str">
        <f>HYPERLINK("https://twitter.com/petrogustavo/status/1236699772301594624","1236699772301594624")</f>
        <v>1236699772301594624</v>
      </c>
      <c r="F3068" s="7" t="s">
        <v>17</v>
      </c>
      <c r="G3068" s="7">
        <v>3658691</v>
      </c>
      <c r="H3068" s="7">
        <v>2355</v>
      </c>
      <c r="I3068" s="7">
        <v>36</v>
      </c>
      <c r="J3068" s="7">
        <v>0</v>
      </c>
      <c r="K3068" s="7" t="s">
        <v>18</v>
      </c>
      <c r="L3068" s="8">
        <v>39987.315405092595</v>
      </c>
      <c r="M3068" s="9" t="s">
        <v>19</v>
      </c>
      <c r="N3068" s="9" t="s">
        <v>20</v>
      </c>
      <c r="O3068" s="6" t="str">
        <f>HYPERLINK("https://pbs.twimg.com/profile_images/962471262747529216/Uo8lOkRJ_normal.jpg","View")</f>
        <v>View</v>
      </c>
      <c r="P3068" s="7"/>
    </row>
    <row r="3069" spans="1:16">
      <c r="A3069" s="3">
        <v>43899.0471412037</v>
      </c>
      <c r="B3069" s="4" t="str">
        <f>HYPERLINK("https://twitter.com/petrogustavo","@petrogustavo")</f>
        <v>@petrogustavo</v>
      </c>
      <c r="C3069" s="5" t="s">
        <v>16</v>
      </c>
      <c r="D3069" s="5" t="s">
        <v>3008</v>
      </c>
      <c r="E3069" s="6" t="str">
        <f>HYPERLINK("https://twitter.com/petrogustavo/status/1236737926446428163","1236737926446428163")</f>
        <v>1236737926446428163</v>
      </c>
      <c r="F3069" s="7" t="s">
        <v>32</v>
      </c>
      <c r="G3069" s="7">
        <v>3658791</v>
      </c>
      <c r="H3069" s="7">
        <v>2355</v>
      </c>
      <c r="I3069" s="7">
        <v>148</v>
      </c>
      <c r="J3069" s="7">
        <v>0</v>
      </c>
      <c r="K3069" s="7" t="s">
        <v>18</v>
      </c>
      <c r="L3069" s="8">
        <v>39987.315405092595</v>
      </c>
      <c r="M3069" s="9" t="s">
        <v>19</v>
      </c>
      <c r="N3069" s="9" t="s">
        <v>20</v>
      </c>
      <c r="O3069" s="6" t="str">
        <f>HYPERLINK("https://pbs.twimg.com/profile_images/962471262747529216/Uo8lOkRJ_normal.jpg","View")</f>
        <v>View</v>
      </c>
      <c r="P3069" s="7"/>
    </row>
    <row r="3070" spans="1:16">
      <c r="A3070" s="3">
        <v>43899.053506944445</v>
      </c>
      <c r="B3070" s="4" t="str">
        <f>HYPERLINK("https://twitter.com/petrogustavo","@petrogustavo")</f>
        <v>@petrogustavo</v>
      </c>
      <c r="C3070" s="5" t="s">
        <v>16</v>
      </c>
      <c r="D3070" s="5" t="s">
        <v>3009</v>
      </c>
      <c r="E3070" s="6" t="str">
        <f>HYPERLINK("https://twitter.com/petrogustavo/status/1236740232042684417","1236740232042684417")</f>
        <v>1236740232042684417</v>
      </c>
      <c r="F3070" s="7" t="s">
        <v>32</v>
      </c>
      <c r="G3070" s="7">
        <v>3658791</v>
      </c>
      <c r="H3070" s="7">
        <v>2355</v>
      </c>
      <c r="I3070" s="7">
        <v>6</v>
      </c>
      <c r="J3070" s="7">
        <v>13</v>
      </c>
      <c r="K3070" s="7" t="s">
        <v>18</v>
      </c>
      <c r="L3070" s="8">
        <v>39987.315405092595</v>
      </c>
      <c r="M3070" s="9" t="s">
        <v>19</v>
      </c>
      <c r="N3070" s="9" t="s">
        <v>20</v>
      </c>
      <c r="O3070" s="6" t="str">
        <f>HYPERLINK("https://pbs.twimg.com/profile_images/962471262747529216/Uo8lOkRJ_normal.jpg","View")</f>
        <v>View</v>
      </c>
      <c r="P3070" s="7"/>
    </row>
    <row r="3071" spans="1:16">
      <c r="A3071" s="3">
        <v>43899.060682870375</v>
      </c>
      <c r="B3071" s="4" t="str">
        <f>HYPERLINK("https://twitter.com/petrogustavo","@petrogustavo")</f>
        <v>@petrogustavo</v>
      </c>
      <c r="C3071" s="5" t="s">
        <v>16</v>
      </c>
      <c r="D3071" s="5" t="s">
        <v>3010</v>
      </c>
      <c r="E3071" s="6" t="str">
        <f>HYPERLINK("https://twitter.com/petrogustavo/status/1236742831118712834","1236742831118712834")</f>
        <v>1236742831118712834</v>
      </c>
      <c r="F3071" s="7" t="s">
        <v>17</v>
      </c>
      <c r="G3071" s="7">
        <v>3658813</v>
      </c>
      <c r="H3071" s="7">
        <v>2355</v>
      </c>
      <c r="I3071" s="7">
        <v>159</v>
      </c>
      <c r="J3071" s="7">
        <v>234</v>
      </c>
      <c r="K3071" s="7" t="s">
        <v>18</v>
      </c>
      <c r="L3071" s="8">
        <v>39987.315405092595</v>
      </c>
      <c r="M3071" s="9" t="s">
        <v>19</v>
      </c>
      <c r="N3071" s="9" t="s">
        <v>20</v>
      </c>
      <c r="O3071" s="6" t="str">
        <f>HYPERLINK("https://pbs.twimg.com/profile_images/962471262747529216/Uo8lOkRJ_normal.jpg","View")</f>
        <v>View</v>
      </c>
      <c r="P3071" s="7"/>
    </row>
    <row r="3072" spans="1:16">
      <c r="A3072" s="3">
        <v>43899.081817129627</v>
      </c>
      <c r="B3072" s="4" t="str">
        <f>HYPERLINK("https://twitter.com/petrogustavo","@petrogustavo")</f>
        <v>@petrogustavo</v>
      </c>
      <c r="C3072" s="5" t="s">
        <v>16</v>
      </c>
      <c r="D3072" s="5" t="s">
        <v>3011</v>
      </c>
      <c r="E3072" s="6" t="str">
        <f>HYPERLINK("https://twitter.com/petrogustavo/status/1236750490815299584","1236750490815299584")</f>
        <v>1236750490815299584</v>
      </c>
      <c r="F3072" s="7" t="s">
        <v>17</v>
      </c>
      <c r="G3072" s="7">
        <v>3658830</v>
      </c>
      <c r="H3072" s="7">
        <v>2355</v>
      </c>
      <c r="I3072" s="7">
        <v>65</v>
      </c>
      <c r="J3072" s="7">
        <v>0</v>
      </c>
      <c r="K3072" s="7" t="s">
        <v>18</v>
      </c>
      <c r="L3072" s="8">
        <v>39987.315405092595</v>
      </c>
      <c r="M3072" s="9" t="s">
        <v>19</v>
      </c>
      <c r="N3072" s="9" t="s">
        <v>20</v>
      </c>
      <c r="O3072" s="6" t="str">
        <f>HYPERLINK("https://pbs.twimg.com/profile_images/962471262747529216/Uo8lOkRJ_normal.jpg","View")</f>
        <v>View</v>
      </c>
      <c r="P3072" s="7"/>
    </row>
    <row r="3073" spans="1:16">
      <c r="A3073" s="3">
        <v>43899.084155092598</v>
      </c>
      <c r="B3073" s="4" t="str">
        <f>HYPERLINK("https://twitter.com/petrogustavo","@petrogustavo")</f>
        <v>@petrogustavo</v>
      </c>
      <c r="C3073" s="5" t="s">
        <v>16</v>
      </c>
      <c r="D3073" s="5" t="s">
        <v>3012</v>
      </c>
      <c r="E3073" s="6" t="str">
        <f>HYPERLINK("https://twitter.com/petrogustavo/status/1236751337112637441","1236751337112637441")</f>
        <v>1236751337112637441</v>
      </c>
      <c r="F3073" s="7" t="s">
        <v>17</v>
      </c>
      <c r="G3073" s="7">
        <v>3658830</v>
      </c>
      <c r="H3073" s="7">
        <v>2355</v>
      </c>
      <c r="I3073" s="7">
        <v>82</v>
      </c>
      <c r="J3073" s="7">
        <v>0</v>
      </c>
      <c r="K3073" s="7" t="s">
        <v>18</v>
      </c>
      <c r="L3073" s="8">
        <v>39987.315405092595</v>
      </c>
      <c r="M3073" s="9" t="s">
        <v>19</v>
      </c>
      <c r="N3073" s="9" t="s">
        <v>20</v>
      </c>
      <c r="O3073" s="6" t="str">
        <f>HYPERLINK("https://pbs.twimg.com/profile_images/962471262747529216/Uo8lOkRJ_normal.jpg","View")</f>
        <v>View</v>
      </c>
      <c r="P3073" s="7"/>
    </row>
    <row r="3074" spans="1:16">
      <c r="A3074" s="3">
        <v>43899.102685185186</v>
      </c>
      <c r="B3074" s="4" t="str">
        <f>HYPERLINK("https://twitter.com/petrogustavo","@petrogustavo")</f>
        <v>@petrogustavo</v>
      </c>
      <c r="C3074" s="5" t="s">
        <v>16</v>
      </c>
      <c r="D3074" s="5" t="s">
        <v>3013</v>
      </c>
      <c r="E3074" s="6" t="str">
        <f>HYPERLINK("https://twitter.com/petrogustavo/status/1236758055393656832","1236758055393656832")</f>
        <v>1236758055393656832</v>
      </c>
      <c r="F3074" s="7" t="s">
        <v>17</v>
      </c>
      <c r="G3074" s="7">
        <v>3658858</v>
      </c>
      <c r="H3074" s="7">
        <v>2355</v>
      </c>
      <c r="I3074" s="7">
        <v>57</v>
      </c>
      <c r="J3074" s="7">
        <v>0</v>
      </c>
      <c r="K3074" s="7" t="s">
        <v>18</v>
      </c>
      <c r="L3074" s="8">
        <v>39987.315405092595</v>
      </c>
      <c r="M3074" s="9" t="s">
        <v>19</v>
      </c>
      <c r="N3074" s="9" t="s">
        <v>20</v>
      </c>
      <c r="O3074" s="6" t="str">
        <f>HYPERLINK("https://pbs.twimg.com/profile_images/962471262747529216/Uo8lOkRJ_normal.jpg","View")</f>
        <v>View</v>
      </c>
      <c r="P3074" s="7"/>
    </row>
    <row r="3075" spans="1:16">
      <c r="A3075" s="3">
        <v>43899.10292824074</v>
      </c>
      <c r="B3075" s="4" t="str">
        <f>HYPERLINK("https://twitter.com/petrogustavo","@petrogustavo")</f>
        <v>@petrogustavo</v>
      </c>
      <c r="C3075" s="5" t="s">
        <v>16</v>
      </c>
      <c r="D3075" s="5" t="s">
        <v>3014</v>
      </c>
      <c r="E3075" s="6" t="str">
        <f>HYPERLINK("https://twitter.com/petrogustavo/status/1236758141259386880","1236758141259386880")</f>
        <v>1236758141259386880</v>
      </c>
      <c r="F3075" s="7" t="s">
        <v>17</v>
      </c>
      <c r="G3075" s="7">
        <v>3658858</v>
      </c>
      <c r="H3075" s="7">
        <v>2355</v>
      </c>
      <c r="I3075" s="7">
        <v>20</v>
      </c>
      <c r="J3075" s="7">
        <v>0</v>
      </c>
      <c r="K3075" s="7" t="s">
        <v>18</v>
      </c>
      <c r="L3075" s="8">
        <v>39987.315405092595</v>
      </c>
      <c r="M3075" s="9" t="s">
        <v>19</v>
      </c>
      <c r="N3075" s="9" t="s">
        <v>20</v>
      </c>
      <c r="O3075" s="6" t="str">
        <f>HYPERLINK("https://pbs.twimg.com/profile_images/962471262747529216/Uo8lOkRJ_normal.jpg","View")</f>
        <v>View</v>
      </c>
      <c r="P3075" s="7"/>
    </row>
    <row r="3076" spans="1:16">
      <c r="A3076" s="3">
        <v>43899.103217592594</v>
      </c>
      <c r="B3076" s="4" t="str">
        <f>HYPERLINK("https://twitter.com/petrogustavo","@petrogustavo")</f>
        <v>@petrogustavo</v>
      </c>
      <c r="C3076" s="5" t="s">
        <v>16</v>
      </c>
      <c r="D3076" s="5" t="s">
        <v>3015</v>
      </c>
      <c r="E3076" s="6" t="str">
        <f>HYPERLINK("https://twitter.com/petrogustavo/status/1236758246423236610","1236758246423236610")</f>
        <v>1236758246423236610</v>
      </c>
      <c r="F3076" s="7" t="s">
        <v>17</v>
      </c>
      <c r="G3076" s="7">
        <v>3658858</v>
      </c>
      <c r="H3076" s="7">
        <v>2355</v>
      </c>
      <c r="I3076" s="7">
        <v>356</v>
      </c>
      <c r="J3076" s="7">
        <v>0</v>
      </c>
      <c r="K3076" s="7" t="s">
        <v>18</v>
      </c>
      <c r="L3076" s="8">
        <v>39987.315405092595</v>
      </c>
      <c r="M3076" s="9" t="s">
        <v>19</v>
      </c>
      <c r="N3076" s="9" t="s">
        <v>20</v>
      </c>
      <c r="O3076" s="6" t="str">
        <f>HYPERLINK("https://pbs.twimg.com/profile_images/962471262747529216/Uo8lOkRJ_normal.jpg","View")</f>
        <v>View</v>
      </c>
      <c r="P3076" s="7"/>
    </row>
    <row r="3077" spans="1:16">
      <c r="A3077" s="3">
        <v>43899.107719907406</v>
      </c>
      <c r="B3077" s="4" t="str">
        <f>HYPERLINK("https://twitter.com/petrogustavo","@petrogustavo")</f>
        <v>@petrogustavo</v>
      </c>
      <c r="C3077" s="5" t="s">
        <v>16</v>
      </c>
      <c r="D3077" s="5" t="s">
        <v>3016</v>
      </c>
      <c r="E3077" s="6" t="str">
        <f>HYPERLINK("https://twitter.com/petrogustavo/status/1236759877164335104","1236759877164335104")</f>
        <v>1236759877164335104</v>
      </c>
      <c r="F3077" s="7" t="s">
        <v>17</v>
      </c>
      <c r="G3077" s="7">
        <v>3658858</v>
      </c>
      <c r="H3077" s="7">
        <v>2355</v>
      </c>
      <c r="I3077" s="7">
        <v>41</v>
      </c>
      <c r="J3077" s="7">
        <v>0</v>
      </c>
      <c r="K3077" s="7" t="s">
        <v>18</v>
      </c>
      <c r="L3077" s="8">
        <v>39987.315405092595</v>
      </c>
      <c r="M3077" s="9" t="s">
        <v>19</v>
      </c>
      <c r="N3077" s="9" t="s">
        <v>20</v>
      </c>
      <c r="O3077" s="6" t="str">
        <f>HYPERLINK("https://pbs.twimg.com/profile_images/962471262747529216/Uo8lOkRJ_normal.jpg","View")</f>
        <v>View</v>
      </c>
      <c r="P3077" s="7"/>
    </row>
    <row r="3078" spans="1:16">
      <c r="A3078" s="3">
        <v>43899.109479166669</v>
      </c>
      <c r="B3078" s="4" t="str">
        <f>HYPERLINK("https://twitter.com/petrogustavo","@petrogustavo")</f>
        <v>@petrogustavo</v>
      </c>
      <c r="C3078" s="5" t="s">
        <v>16</v>
      </c>
      <c r="D3078" s="5" t="s">
        <v>3017</v>
      </c>
      <c r="E3078" s="6" t="str">
        <f>HYPERLINK("https://twitter.com/petrogustavo/status/1236760517194252291","1236760517194252291")</f>
        <v>1236760517194252291</v>
      </c>
      <c r="F3078" s="7" t="s">
        <v>17</v>
      </c>
      <c r="G3078" s="7">
        <v>3658858</v>
      </c>
      <c r="H3078" s="7">
        <v>2355</v>
      </c>
      <c r="I3078" s="7">
        <v>38</v>
      </c>
      <c r="J3078" s="7">
        <v>138</v>
      </c>
      <c r="K3078" s="7" t="s">
        <v>18</v>
      </c>
      <c r="L3078" s="8">
        <v>39987.315405092595</v>
      </c>
      <c r="M3078" s="9" t="s">
        <v>19</v>
      </c>
      <c r="N3078" s="9" t="s">
        <v>20</v>
      </c>
      <c r="O3078" s="6" t="str">
        <f>HYPERLINK("https://pbs.twimg.com/profile_images/962471262747529216/Uo8lOkRJ_normal.jpg","View")</f>
        <v>View</v>
      </c>
      <c r="P3078" s="7"/>
    </row>
    <row r="3079" spans="1:16">
      <c r="A3079" s="3">
        <v>43899.111898148149</v>
      </c>
      <c r="B3079" s="4" t="str">
        <f>HYPERLINK("https://twitter.com/petrogustavo","@petrogustavo")</f>
        <v>@petrogustavo</v>
      </c>
      <c r="C3079" s="5" t="s">
        <v>16</v>
      </c>
      <c r="D3079" s="5" t="s">
        <v>3018</v>
      </c>
      <c r="E3079" s="6" t="str">
        <f>HYPERLINK("https://twitter.com/petrogustavo/status/1236761390792290305","1236761390792290305")</f>
        <v>1236761390792290305</v>
      </c>
      <c r="F3079" s="7" t="s">
        <v>17</v>
      </c>
      <c r="G3079" s="7">
        <v>3658858</v>
      </c>
      <c r="H3079" s="7">
        <v>2355</v>
      </c>
      <c r="I3079" s="7">
        <v>70</v>
      </c>
      <c r="J3079" s="7">
        <v>247</v>
      </c>
      <c r="K3079" s="7" t="s">
        <v>18</v>
      </c>
      <c r="L3079" s="8">
        <v>39987.315405092595</v>
      </c>
      <c r="M3079" s="9" t="s">
        <v>19</v>
      </c>
      <c r="N3079" s="9" t="s">
        <v>20</v>
      </c>
      <c r="O3079" s="6" t="str">
        <f>HYPERLINK("https://pbs.twimg.com/profile_images/962471262747529216/Uo8lOkRJ_normal.jpg","View")</f>
        <v>View</v>
      </c>
      <c r="P3079" s="7"/>
    </row>
    <row r="3080" spans="1:16">
      <c r="A3080" s="3">
        <v>43899.112743055557</v>
      </c>
      <c r="B3080" s="4" t="str">
        <f>HYPERLINK("https://twitter.com/petrogustavo","@petrogustavo")</f>
        <v>@petrogustavo</v>
      </c>
      <c r="C3080" s="5" t="s">
        <v>16</v>
      </c>
      <c r="D3080" s="5" t="s">
        <v>3019</v>
      </c>
      <c r="E3080" s="6" t="str">
        <f>HYPERLINK("https://twitter.com/petrogustavo/status/1236761698012467200","1236761698012467200")</f>
        <v>1236761698012467200</v>
      </c>
      <c r="F3080" s="7" t="s">
        <v>17</v>
      </c>
      <c r="G3080" s="7">
        <v>3658858</v>
      </c>
      <c r="H3080" s="7">
        <v>2355</v>
      </c>
      <c r="I3080" s="7">
        <v>10</v>
      </c>
      <c r="J3080" s="7">
        <v>0</v>
      </c>
      <c r="K3080" s="7" t="s">
        <v>18</v>
      </c>
      <c r="L3080" s="8">
        <v>39987.315405092595</v>
      </c>
      <c r="M3080" s="9" t="s">
        <v>19</v>
      </c>
      <c r="N3080" s="9" t="s">
        <v>20</v>
      </c>
      <c r="O3080" s="6" t="str">
        <f>HYPERLINK("https://pbs.twimg.com/profile_images/962471262747529216/Uo8lOkRJ_normal.jpg","View")</f>
        <v>View</v>
      </c>
      <c r="P3080" s="7"/>
    </row>
    <row r="3081" spans="1:16">
      <c r="A3081" s="3">
        <v>43899.112847222219</v>
      </c>
      <c r="B3081" s="4" t="str">
        <f>HYPERLINK("https://twitter.com/petrogustavo","@petrogustavo")</f>
        <v>@petrogustavo</v>
      </c>
      <c r="C3081" s="5" t="s">
        <v>16</v>
      </c>
      <c r="D3081" s="5" t="s">
        <v>3020</v>
      </c>
      <c r="E3081" s="6" t="str">
        <f>HYPERLINK("https://twitter.com/petrogustavo/status/1236761734435803142","1236761734435803142")</f>
        <v>1236761734435803142</v>
      </c>
      <c r="F3081" s="7" t="s">
        <v>17</v>
      </c>
      <c r="G3081" s="7">
        <v>3658858</v>
      </c>
      <c r="H3081" s="7">
        <v>2355</v>
      </c>
      <c r="I3081" s="7">
        <v>46</v>
      </c>
      <c r="J3081" s="7">
        <v>0</v>
      </c>
      <c r="K3081" s="7" t="s">
        <v>18</v>
      </c>
      <c r="L3081" s="8">
        <v>39987.315405092595</v>
      </c>
      <c r="M3081" s="9" t="s">
        <v>19</v>
      </c>
      <c r="N3081" s="9" t="s">
        <v>20</v>
      </c>
      <c r="O3081" s="6" t="str">
        <f>HYPERLINK("https://pbs.twimg.com/profile_images/962471262747529216/Uo8lOkRJ_normal.jpg","View")</f>
        <v>View</v>
      </c>
      <c r="P3081" s="7"/>
    </row>
    <row r="3082" spans="1:16">
      <c r="A3082" s="3">
        <v>43899.117106481484</v>
      </c>
      <c r="B3082" s="4" t="str">
        <f>HYPERLINK("https://twitter.com/petrogustavo","@petrogustavo")</f>
        <v>@petrogustavo</v>
      </c>
      <c r="C3082" s="5" t="s">
        <v>16</v>
      </c>
      <c r="D3082" s="5" t="s">
        <v>3021</v>
      </c>
      <c r="E3082" s="6" t="str">
        <f>HYPERLINK("https://twitter.com/petrogustavo/status/1236763281567686656","1236763281567686656")</f>
        <v>1236763281567686656</v>
      </c>
      <c r="F3082" s="7" t="s">
        <v>17</v>
      </c>
      <c r="G3082" s="7">
        <v>3658880</v>
      </c>
      <c r="H3082" s="7">
        <v>2355</v>
      </c>
      <c r="I3082" s="7">
        <v>66</v>
      </c>
      <c r="J3082" s="7">
        <v>0</v>
      </c>
      <c r="K3082" s="7" t="s">
        <v>18</v>
      </c>
      <c r="L3082" s="8">
        <v>39987.315405092595</v>
      </c>
      <c r="M3082" s="9" t="s">
        <v>19</v>
      </c>
      <c r="N3082" s="9" t="s">
        <v>20</v>
      </c>
      <c r="O3082" s="6" t="str">
        <f>HYPERLINK("https://pbs.twimg.com/profile_images/962471262747529216/Uo8lOkRJ_normal.jpg","View")</f>
        <v>View</v>
      </c>
      <c r="P3082" s="7"/>
    </row>
    <row r="3083" spans="1:16">
      <c r="A3083" s="3">
        <v>43899.118263888886</v>
      </c>
      <c r="B3083" s="4" t="str">
        <f>HYPERLINK("https://twitter.com/petrogustavo","@petrogustavo")</f>
        <v>@petrogustavo</v>
      </c>
      <c r="C3083" s="5" t="s">
        <v>16</v>
      </c>
      <c r="D3083" s="5" t="s">
        <v>3022</v>
      </c>
      <c r="E3083" s="6" t="str">
        <f>HYPERLINK("https://twitter.com/petrogustavo/status/1236763698892542016","1236763698892542016")</f>
        <v>1236763698892542016</v>
      </c>
      <c r="F3083" s="7" t="s">
        <v>17</v>
      </c>
      <c r="G3083" s="7">
        <v>3658880</v>
      </c>
      <c r="H3083" s="7">
        <v>2355</v>
      </c>
      <c r="I3083" s="7">
        <v>61</v>
      </c>
      <c r="J3083" s="7">
        <v>187</v>
      </c>
      <c r="K3083" s="7" t="s">
        <v>18</v>
      </c>
      <c r="L3083" s="8">
        <v>39987.315405092595</v>
      </c>
      <c r="M3083" s="9" t="s">
        <v>19</v>
      </c>
      <c r="N3083" s="9" t="s">
        <v>20</v>
      </c>
      <c r="O3083" s="6" t="str">
        <f>HYPERLINK("https://pbs.twimg.com/profile_images/962471262747529216/Uo8lOkRJ_normal.jpg","View")</f>
        <v>View</v>
      </c>
      <c r="P3083" s="7"/>
    </row>
    <row r="3084" spans="1:16">
      <c r="A3084" s="3">
        <v>43899.119108796294</v>
      </c>
      <c r="B3084" s="4" t="str">
        <f>HYPERLINK("https://twitter.com/petrogustavo","@petrogustavo")</f>
        <v>@petrogustavo</v>
      </c>
      <c r="C3084" s="5" t="s">
        <v>16</v>
      </c>
      <c r="D3084" s="5" t="s">
        <v>3023</v>
      </c>
      <c r="E3084" s="6" t="str">
        <f>HYPERLINK("https://twitter.com/petrogustavo/status/1236764005827588103","1236764005827588103")</f>
        <v>1236764005827588103</v>
      </c>
      <c r="F3084" s="7" t="s">
        <v>17</v>
      </c>
      <c r="G3084" s="7">
        <v>3658880</v>
      </c>
      <c r="H3084" s="7">
        <v>2355</v>
      </c>
      <c r="I3084" s="7">
        <v>449</v>
      </c>
      <c r="J3084" s="7">
        <v>1663</v>
      </c>
      <c r="K3084" s="7" t="s">
        <v>18</v>
      </c>
      <c r="L3084" s="8">
        <v>39987.315405092595</v>
      </c>
      <c r="M3084" s="9" t="s">
        <v>19</v>
      </c>
      <c r="N3084" s="9" t="s">
        <v>20</v>
      </c>
      <c r="O3084" s="6" t="str">
        <f>HYPERLINK("https://pbs.twimg.com/profile_images/962471262747529216/Uo8lOkRJ_normal.jpg","View")</f>
        <v>View</v>
      </c>
      <c r="P3084" s="7"/>
    </row>
    <row r="3085" spans="1:16">
      <c r="A3085" s="3">
        <v>43899.122546296298</v>
      </c>
      <c r="B3085" s="4" t="str">
        <f>HYPERLINK("https://twitter.com/petrogustavo","@petrogustavo")</f>
        <v>@petrogustavo</v>
      </c>
      <c r="C3085" s="5" t="s">
        <v>16</v>
      </c>
      <c r="D3085" s="5" t="s">
        <v>3024</v>
      </c>
      <c r="E3085" s="6" t="str">
        <f>HYPERLINK("https://twitter.com/petrogustavo/status/1236765252295024644","1236765252295024644")</f>
        <v>1236765252295024644</v>
      </c>
      <c r="F3085" s="7" t="s">
        <v>17</v>
      </c>
      <c r="G3085" s="7">
        <v>3658880</v>
      </c>
      <c r="H3085" s="7">
        <v>2355</v>
      </c>
      <c r="I3085" s="7">
        <v>126</v>
      </c>
      <c r="J3085" s="7">
        <v>530</v>
      </c>
      <c r="K3085" s="7" t="s">
        <v>18</v>
      </c>
      <c r="L3085" s="8">
        <v>39987.315405092595</v>
      </c>
      <c r="M3085" s="9" t="s">
        <v>19</v>
      </c>
      <c r="N3085" s="9" t="s">
        <v>20</v>
      </c>
      <c r="O3085" s="6" t="str">
        <f>HYPERLINK("https://pbs.twimg.com/profile_images/962471262747529216/Uo8lOkRJ_normal.jpg","View")</f>
        <v>View</v>
      </c>
      <c r="P3085" s="7"/>
    </row>
    <row r="3086" spans="1:16">
      <c r="A3086" s="3">
        <v>43899.129270833335</v>
      </c>
      <c r="B3086" s="4" t="str">
        <f>HYPERLINK("https://twitter.com/petrogustavo","@petrogustavo")</f>
        <v>@petrogustavo</v>
      </c>
      <c r="C3086" s="5" t="s">
        <v>16</v>
      </c>
      <c r="D3086" s="5" t="s">
        <v>3025</v>
      </c>
      <c r="E3086" s="6" t="str">
        <f>HYPERLINK("https://twitter.com/petrogustavo/status/1236767686862024705","1236767686862024705")</f>
        <v>1236767686862024705</v>
      </c>
      <c r="F3086" s="7" t="s">
        <v>17</v>
      </c>
      <c r="G3086" s="7">
        <v>3658880</v>
      </c>
      <c r="H3086" s="7">
        <v>2355</v>
      </c>
      <c r="I3086" s="7">
        <v>43</v>
      </c>
      <c r="J3086" s="7">
        <v>130</v>
      </c>
      <c r="K3086" s="7" t="s">
        <v>18</v>
      </c>
      <c r="L3086" s="8">
        <v>39987.315405092595</v>
      </c>
      <c r="M3086" s="9" t="s">
        <v>19</v>
      </c>
      <c r="N3086" s="9" t="s">
        <v>20</v>
      </c>
      <c r="O3086" s="6" t="str">
        <f>HYPERLINK("https://pbs.twimg.com/profile_images/962471262747529216/Uo8lOkRJ_normal.jpg","View")</f>
        <v>View</v>
      </c>
      <c r="P3086" s="7"/>
    </row>
    <row r="3087" spans="1:16">
      <c r="A3087" s="3">
        <v>43899.131631944445</v>
      </c>
      <c r="B3087" s="4" t="str">
        <f>HYPERLINK("https://twitter.com/petrogustavo","@petrogustavo")</f>
        <v>@petrogustavo</v>
      </c>
      <c r="C3087" s="5" t="s">
        <v>16</v>
      </c>
      <c r="D3087" s="5" t="s">
        <v>3026</v>
      </c>
      <c r="E3087" s="6" t="str">
        <f>HYPERLINK("https://twitter.com/petrogustavo/status/1236768542160232449","1236768542160232449")</f>
        <v>1236768542160232449</v>
      </c>
      <c r="F3087" s="7" t="s">
        <v>17</v>
      </c>
      <c r="G3087" s="7">
        <v>3658880</v>
      </c>
      <c r="H3087" s="7">
        <v>2355</v>
      </c>
      <c r="I3087" s="7">
        <v>373</v>
      </c>
      <c r="J3087" s="7">
        <v>0</v>
      </c>
      <c r="K3087" s="7" t="s">
        <v>18</v>
      </c>
      <c r="L3087" s="8">
        <v>39987.315405092595</v>
      </c>
      <c r="M3087" s="9" t="s">
        <v>19</v>
      </c>
      <c r="N3087" s="9" t="s">
        <v>20</v>
      </c>
      <c r="O3087" s="6" t="str">
        <f>HYPERLINK("https://pbs.twimg.com/profile_images/962471262747529216/Uo8lOkRJ_normal.jpg","View")</f>
        <v>View</v>
      </c>
      <c r="P3087" s="7"/>
    </row>
    <row r="3088" spans="1:16">
      <c r="A3088" s="3">
        <v>43899.135787037041</v>
      </c>
      <c r="B3088" s="4" t="str">
        <f>HYPERLINK("https://twitter.com/petrogustavo","@petrogustavo")</f>
        <v>@petrogustavo</v>
      </c>
      <c r="C3088" s="5" t="s">
        <v>16</v>
      </c>
      <c r="D3088" s="5" t="s">
        <v>3027</v>
      </c>
      <c r="E3088" s="6" t="str">
        <f>HYPERLINK("https://twitter.com/petrogustavo/status/1236770050918490117","1236770050918490117")</f>
        <v>1236770050918490117</v>
      </c>
      <c r="F3088" s="7" t="s">
        <v>17</v>
      </c>
      <c r="G3088" s="7">
        <v>3658880</v>
      </c>
      <c r="H3088" s="7">
        <v>2355</v>
      </c>
      <c r="I3088" s="7">
        <v>15</v>
      </c>
      <c r="J3088" s="7">
        <v>54</v>
      </c>
      <c r="K3088" s="7" t="s">
        <v>18</v>
      </c>
      <c r="L3088" s="8">
        <v>39987.315405092595</v>
      </c>
      <c r="M3088" s="9" t="s">
        <v>19</v>
      </c>
      <c r="N3088" s="9" t="s">
        <v>20</v>
      </c>
      <c r="O3088" s="6" t="str">
        <f>HYPERLINK("https://pbs.twimg.com/profile_images/962471262747529216/Uo8lOkRJ_normal.jpg","View")</f>
        <v>View</v>
      </c>
      <c r="P3088" s="7"/>
    </row>
    <row r="3089" spans="1:16">
      <c r="A3089" s="3">
        <v>43899.16097222222</v>
      </c>
      <c r="B3089" s="4" t="str">
        <f>HYPERLINK("https://twitter.com/petrogustavo","@petrogustavo")</f>
        <v>@petrogustavo</v>
      </c>
      <c r="C3089" s="5" t="s">
        <v>16</v>
      </c>
      <c r="D3089" s="5" t="s">
        <v>3028</v>
      </c>
      <c r="E3089" s="6" t="str">
        <f>HYPERLINK("https://twitter.com/petrogustavo/status/1236779177669468161","1236779177669468161")</f>
        <v>1236779177669468161</v>
      </c>
      <c r="F3089" s="7" t="s">
        <v>17</v>
      </c>
      <c r="G3089" s="7">
        <v>3658921</v>
      </c>
      <c r="H3089" s="7">
        <v>2355</v>
      </c>
      <c r="I3089" s="7">
        <v>662</v>
      </c>
      <c r="J3089" s="7">
        <v>0</v>
      </c>
      <c r="K3089" s="7" t="s">
        <v>18</v>
      </c>
      <c r="L3089" s="8">
        <v>39987.315405092595</v>
      </c>
      <c r="M3089" s="9" t="s">
        <v>19</v>
      </c>
      <c r="N3089" s="9" t="s">
        <v>20</v>
      </c>
      <c r="O3089" s="6" t="str">
        <f>HYPERLINK("https://pbs.twimg.com/profile_images/962471262747529216/Uo8lOkRJ_normal.jpg","View")</f>
        <v>View</v>
      </c>
      <c r="P3089" s="7"/>
    </row>
    <row r="3090" spans="1:16">
      <c r="A3090" s="3">
        <v>43899.163032407407</v>
      </c>
      <c r="B3090" s="4" t="str">
        <f>HYPERLINK("https://twitter.com/petrogustavo","@petrogustavo")</f>
        <v>@petrogustavo</v>
      </c>
      <c r="C3090" s="5" t="s">
        <v>16</v>
      </c>
      <c r="D3090" s="5" t="s">
        <v>3029</v>
      </c>
      <c r="E3090" s="6" t="str">
        <f>HYPERLINK("https://twitter.com/petrogustavo/status/1236779924301713409","1236779924301713409")</f>
        <v>1236779924301713409</v>
      </c>
      <c r="F3090" s="7" t="s">
        <v>17</v>
      </c>
      <c r="G3090" s="7">
        <v>3658921</v>
      </c>
      <c r="H3090" s="7">
        <v>2355</v>
      </c>
      <c r="I3090" s="7">
        <v>15468</v>
      </c>
      <c r="J3090" s="7">
        <v>0</v>
      </c>
      <c r="K3090" s="7" t="s">
        <v>18</v>
      </c>
      <c r="L3090" s="8">
        <v>39987.315405092595</v>
      </c>
      <c r="M3090" s="9" t="s">
        <v>19</v>
      </c>
      <c r="N3090" s="9" t="s">
        <v>20</v>
      </c>
      <c r="O3090" s="6" t="str">
        <f>HYPERLINK("https://pbs.twimg.com/profile_images/962471262747529216/Uo8lOkRJ_normal.jpg","View")</f>
        <v>View</v>
      </c>
      <c r="P3090" s="7"/>
    </row>
    <row r="3091" spans="1:16">
      <c r="A3091" s="3">
        <v>43899.170034722221</v>
      </c>
      <c r="B3091" s="4" t="str">
        <f>HYPERLINK("https://twitter.com/petrogustavo","@petrogustavo")</f>
        <v>@petrogustavo</v>
      </c>
      <c r="C3091" s="5" t="s">
        <v>16</v>
      </c>
      <c r="D3091" s="5" t="s">
        <v>3030</v>
      </c>
      <c r="E3091" s="6" t="str">
        <f>HYPERLINK("https://twitter.com/petrogustavo/status/1236782460358266880","1236782460358266880")</f>
        <v>1236782460358266880</v>
      </c>
      <c r="F3091" s="7" t="s">
        <v>17</v>
      </c>
      <c r="G3091" s="7">
        <v>3658921</v>
      </c>
      <c r="H3091" s="7">
        <v>2355</v>
      </c>
      <c r="I3091" s="7">
        <v>26</v>
      </c>
      <c r="J3091" s="7">
        <v>88</v>
      </c>
      <c r="K3091" s="7" t="s">
        <v>18</v>
      </c>
      <c r="L3091" s="8">
        <v>39987.315405092595</v>
      </c>
      <c r="M3091" s="9" t="s">
        <v>19</v>
      </c>
      <c r="N3091" s="9" t="s">
        <v>20</v>
      </c>
      <c r="O3091" s="6" t="str">
        <f>HYPERLINK("https://pbs.twimg.com/profile_images/962471262747529216/Uo8lOkRJ_normal.jpg","View")</f>
        <v>View</v>
      </c>
      <c r="P3091" s="7"/>
    </row>
    <row r="3092" spans="1:16">
      <c r="A3092" s="3">
        <v>43899.174074074079</v>
      </c>
      <c r="B3092" s="4" t="str">
        <f>HYPERLINK("https://twitter.com/petrogustavo","@petrogustavo")</f>
        <v>@petrogustavo</v>
      </c>
      <c r="C3092" s="5" t="s">
        <v>16</v>
      </c>
      <c r="D3092" s="5" t="s">
        <v>3031</v>
      </c>
      <c r="E3092" s="6" t="str">
        <f>HYPERLINK("https://twitter.com/petrogustavo/status/1236783925885833218","1236783925885833218")</f>
        <v>1236783925885833218</v>
      </c>
      <c r="F3092" s="7" t="s">
        <v>17</v>
      </c>
      <c r="G3092" s="7">
        <v>3658921</v>
      </c>
      <c r="H3092" s="7">
        <v>2355</v>
      </c>
      <c r="I3092" s="7">
        <v>10</v>
      </c>
      <c r="J3092" s="7">
        <v>0</v>
      </c>
      <c r="K3092" s="7" t="s">
        <v>18</v>
      </c>
      <c r="L3092" s="8">
        <v>39987.315405092595</v>
      </c>
      <c r="M3092" s="9" t="s">
        <v>19</v>
      </c>
      <c r="N3092" s="9" t="s">
        <v>20</v>
      </c>
      <c r="O3092" s="6" t="str">
        <f>HYPERLINK("https://pbs.twimg.com/profile_images/962471262747529216/Uo8lOkRJ_normal.jpg","View")</f>
        <v>View</v>
      </c>
      <c r="P3092" s="7"/>
    </row>
    <row r="3093" spans="1:16">
      <c r="A3093" s="3">
        <v>43899.176516203705</v>
      </c>
      <c r="B3093" s="4" t="str">
        <f>HYPERLINK("https://twitter.com/petrogustavo","@petrogustavo")</f>
        <v>@petrogustavo</v>
      </c>
      <c r="C3093" s="5" t="s">
        <v>16</v>
      </c>
      <c r="D3093" s="5" t="s">
        <v>3032</v>
      </c>
      <c r="E3093" s="6" t="str">
        <f>HYPERLINK("https://twitter.com/petrogustavo/status/1236784808698748931","1236784808698748931")</f>
        <v>1236784808698748931</v>
      </c>
      <c r="F3093" s="7" t="s">
        <v>17</v>
      </c>
      <c r="G3093" s="7">
        <v>3658921</v>
      </c>
      <c r="H3093" s="7">
        <v>2355</v>
      </c>
      <c r="I3093" s="7">
        <v>20</v>
      </c>
      <c r="J3093" s="7">
        <v>63</v>
      </c>
      <c r="K3093" s="7" t="s">
        <v>18</v>
      </c>
      <c r="L3093" s="8">
        <v>39987.315405092595</v>
      </c>
      <c r="M3093" s="9" t="s">
        <v>19</v>
      </c>
      <c r="N3093" s="9" t="s">
        <v>20</v>
      </c>
      <c r="O3093" s="6" t="str">
        <f>HYPERLINK("https://pbs.twimg.com/profile_images/962471262747529216/Uo8lOkRJ_normal.jpg","View")</f>
        <v>View</v>
      </c>
      <c r="P3093" s="7"/>
    </row>
    <row r="3094" spans="1:16">
      <c r="A3094" s="3">
        <v>43899.179710648154</v>
      </c>
      <c r="B3094" s="4" t="str">
        <f>HYPERLINK("https://twitter.com/petrogustavo","@petrogustavo")</f>
        <v>@petrogustavo</v>
      </c>
      <c r="C3094" s="5" t="s">
        <v>16</v>
      </c>
      <c r="D3094" s="5" t="s">
        <v>3033</v>
      </c>
      <c r="E3094" s="6" t="str">
        <f>HYPERLINK("https://twitter.com/petrogustavo/status/1236785968578990081","1236785968578990081")</f>
        <v>1236785968578990081</v>
      </c>
      <c r="F3094" s="7" t="s">
        <v>17</v>
      </c>
      <c r="G3094" s="7">
        <v>3658933</v>
      </c>
      <c r="H3094" s="7">
        <v>2355</v>
      </c>
      <c r="I3094" s="7">
        <v>215</v>
      </c>
      <c r="J3094" s="7">
        <v>470</v>
      </c>
      <c r="K3094" s="7" t="s">
        <v>18</v>
      </c>
      <c r="L3094" s="8">
        <v>39987.315405092595</v>
      </c>
      <c r="M3094" s="9" t="s">
        <v>19</v>
      </c>
      <c r="N3094" s="9" t="s">
        <v>20</v>
      </c>
      <c r="O3094" s="6" t="str">
        <f>HYPERLINK("https://pbs.twimg.com/profile_images/962471262747529216/Uo8lOkRJ_normal.jpg","View")</f>
        <v>View</v>
      </c>
      <c r="P3094" s="7"/>
    </row>
    <row r="3095" spans="1:16">
      <c r="A3095" s="3">
        <v>43899.189340277779</v>
      </c>
      <c r="B3095" s="4" t="str">
        <f>HYPERLINK("https://twitter.com/petrogustavo","@petrogustavo")</f>
        <v>@petrogustavo</v>
      </c>
      <c r="C3095" s="5" t="s">
        <v>16</v>
      </c>
      <c r="D3095" s="5" t="s">
        <v>3034</v>
      </c>
      <c r="E3095" s="6" t="str">
        <f>HYPERLINK("https://twitter.com/petrogustavo/status/1236789455287181316","1236789455287181316")</f>
        <v>1236789455287181316</v>
      </c>
      <c r="F3095" s="7" t="s">
        <v>17</v>
      </c>
      <c r="G3095" s="7">
        <v>3658933</v>
      </c>
      <c r="H3095" s="7">
        <v>2355</v>
      </c>
      <c r="I3095" s="7">
        <v>17</v>
      </c>
      <c r="J3095" s="7">
        <v>0</v>
      </c>
      <c r="K3095" s="7" t="s">
        <v>18</v>
      </c>
      <c r="L3095" s="8">
        <v>39987.315405092595</v>
      </c>
      <c r="M3095" s="9" t="s">
        <v>19</v>
      </c>
      <c r="N3095" s="9" t="s">
        <v>20</v>
      </c>
      <c r="O3095" s="6" t="str">
        <f>HYPERLINK("https://pbs.twimg.com/profile_images/962471262747529216/Uo8lOkRJ_normal.jpg","View")</f>
        <v>View</v>
      </c>
      <c r="P3095" s="7"/>
    </row>
    <row r="3096" spans="1:16">
      <c r="A3096" s="3">
        <v>43899.191041666665</v>
      </c>
      <c r="B3096" s="4" t="str">
        <f>HYPERLINK("https://twitter.com/petrogustavo","@petrogustavo")</f>
        <v>@petrogustavo</v>
      </c>
      <c r="C3096" s="5" t="s">
        <v>16</v>
      </c>
      <c r="D3096" s="5" t="s">
        <v>3035</v>
      </c>
      <c r="E3096" s="6" t="str">
        <f>HYPERLINK("https://twitter.com/petrogustavo/status/1236790072973971458","1236790072973971458")</f>
        <v>1236790072973971458</v>
      </c>
      <c r="F3096" s="7" t="s">
        <v>17</v>
      </c>
      <c r="G3096" s="7">
        <v>3658933</v>
      </c>
      <c r="H3096" s="7">
        <v>2355</v>
      </c>
      <c r="I3096" s="7">
        <v>285</v>
      </c>
      <c r="J3096" s="7">
        <v>0</v>
      </c>
      <c r="K3096" s="7" t="s">
        <v>18</v>
      </c>
      <c r="L3096" s="8">
        <v>39987.315405092595</v>
      </c>
      <c r="M3096" s="9" t="s">
        <v>19</v>
      </c>
      <c r="N3096" s="9" t="s">
        <v>20</v>
      </c>
      <c r="O3096" s="6" t="str">
        <f>HYPERLINK("https://pbs.twimg.com/profile_images/962471262747529216/Uo8lOkRJ_normal.jpg","View")</f>
        <v>View</v>
      </c>
      <c r="P3096" s="7"/>
    </row>
    <row r="3097" spans="1:16">
      <c r="A3097" s="3">
        <v>43899.194166666668</v>
      </c>
      <c r="B3097" s="4" t="str">
        <f>HYPERLINK("https://twitter.com/petrogustavo","@petrogustavo")</f>
        <v>@petrogustavo</v>
      </c>
      <c r="C3097" s="5" t="s">
        <v>16</v>
      </c>
      <c r="D3097" s="5" t="s">
        <v>3036</v>
      </c>
      <c r="E3097" s="6" t="str">
        <f>HYPERLINK("https://twitter.com/petrogustavo/status/1236791207306702849","1236791207306702849")</f>
        <v>1236791207306702849</v>
      </c>
      <c r="F3097" s="7" t="s">
        <v>17</v>
      </c>
      <c r="G3097" s="7">
        <v>3658933</v>
      </c>
      <c r="H3097" s="7">
        <v>2355</v>
      </c>
      <c r="I3097" s="7">
        <v>765</v>
      </c>
      <c r="J3097" s="7">
        <v>0</v>
      </c>
      <c r="K3097" s="7" t="s">
        <v>18</v>
      </c>
      <c r="L3097" s="8">
        <v>39987.315405092595</v>
      </c>
      <c r="M3097" s="9" t="s">
        <v>19</v>
      </c>
      <c r="N3097" s="9" t="s">
        <v>20</v>
      </c>
      <c r="O3097" s="6" t="str">
        <f>HYPERLINK("https://pbs.twimg.com/profile_images/962471262747529216/Uo8lOkRJ_normal.jpg","View")</f>
        <v>View</v>
      </c>
      <c r="P3097" s="7"/>
    </row>
    <row r="3098" spans="1:16">
      <c r="A3098" s="3">
        <v>43899.195613425924</v>
      </c>
      <c r="B3098" s="4" t="str">
        <f>HYPERLINK("https://twitter.com/petrogustavo","@petrogustavo")</f>
        <v>@petrogustavo</v>
      </c>
      <c r="C3098" s="5" t="s">
        <v>16</v>
      </c>
      <c r="D3098" s="5" t="s">
        <v>3037</v>
      </c>
      <c r="E3098" s="6" t="str">
        <f>HYPERLINK("https://twitter.com/petrogustavo/status/1236791728306356228","1236791728306356228")</f>
        <v>1236791728306356228</v>
      </c>
      <c r="F3098" s="7" t="s">
        <v>17</v>
      </c>
      <c r="G3098" s="7">
        <v>3658933</v>
      </c>
      <c r="H3098" s="7">
        <v>2355</v>
      </c>
      <c r="I3098" s="7">
        <v>237</v>
      </c>
      <c r="J3098" s="7">
        <v>0</v>
      </c>
      <c r="K3098" s="7" t="s">
        <v>18</v>
      </c>
      <c r="L3098" s="8">
        <v>39987.315405092595</v>
      </c>
      <c r="M3098" s="9" t="s">
        <v>19</v>
      </c>
      <c r="N3098" s="9" t="s">
        <v>20</v>
      </c>
      <c r="O3098" s="6" t="str">
        <f>HYPERLINK("https://pbs.twimg.com/profile_images/962471262747529216/Uo8lOkRJ_normal.jpg","View")</f>
        <v>View</v>
      </c>
      <c r="P3098" s="7"/>
    </row>
    <row r="3099" spans="1:16">
      <c r="A3099" s="3">
        <v>43899.195868055554</v>
      </c>
      <c r="B3099" s="4" t="str">
        <f>HYPERLINK("https://twitter.com/petrogustavo","@petrogustavo")</f>
        <v>@petrogustavo</v>
      </c>
      <c r="C3099" s="5" t="s">
        <v>16</v>
      </c>
      <c r="D3099" s="5" t="s">
        <v>3038</v>
      </c>
      <c r="E3099" s="6" t="str">
        <f>HYPERLINK("https://twitter.com/petrogustavo/status/1236791823034695680","1236791823034695680")</f>
        <v>1236791823034695680</v>
      </c>
      <c r="F3099" s="7" t="s">
        <v>17</v>
      </c>
      <c r="G3099" s="7">
        <v>3658933</v>
      </c>
      <c r="H3099" s="7">
        <v>2355</v>
      </c>
      <c r="I3099" s="7">
        <v>11</v>
      </c>
      <c r="J3099" s="7">
        <v>0</v>
      </c>
      <c r="K3099" s="7" t="s">
        <v>18</v>
      </c>
      <c r="L3099" s="8">
        <v>39987.315405092595</v>
      </c>
      <c r="M3099" s="9" t="s">
        <v>19</v>
      </c>
      <c r="N3099" s="9" t="s">
        <v>20</v>
      </c>
      <c r="O3099" s="6" t="str">
        <f>HYPERLINK("https://pbs.twimg.com/profile_images/962471262747529216/Uo8lOkRJ_normal.jpg","View")</f>
        <v>View</v>
      </c>
      <c r="P3099" s="7"/>
    </row>
    <row r="3100" spans="1:16">
      <c r="A3100" s="3">
        <v>43899.200509259259</v>
      </c>
      <c r="B3100" s="4" t="str">
        <f>HYPERLINK("https://twitter.com/petrogustavo","@petrogustavo")</f>
        <v>@petrogustavo</v>
      </c>
      <c r="C3100" s="5" t="s">
        <v>16</v>
      </c>
      <c r="D3100" s="5" t="s">
        <v>3039</v>
      </c>
      <c r="E3100" s="6" t="str">
        <f>HYPERLINK("https://twitter.com/petrogustavo/status/1236793501955829760","1236793501955829760")</f>
        <v>1236793501955829760</v>
      </c>
      <c r="F3100" s="7" t="s">
        <v>17</v>
      </c>
      <c r="G3100" s="7">
        <v>3658957</v>
      </c>
      <c r="H3100" s="7">
        <v>2355</v>
      </c>
      <c r="I3100" s="7">
        <v>147</v>
      </c>
      <c r="J3100" s="7">
        <v>319</v>
      </c>
      <c r="K3100" s="7" t="s">
        <v>18</v>
      </c>
      <c r="L3100" s="8">
        <v>39987.315405092595</v>
      </c>
      <c r="M3100" s="9" t="s">
        <v>19</v>
      </c>
      <c r="N3100" s="9" t="s">
        <v>20</v>
      </c>
      <c r="O3100" s="6" t="str">
        <f>HYPERLINK("https://pbs.twimg.com/profile_images/962471262747529216/Uo8lOkRJ_normal.jpg","View")</f>
        <v>View</v>
      </c>
      <c r="P3100" s="7"/>
    </row>
    <row r="3101" spans="1:16">
      <c r="A3101" s="3">
        <v>43899.204212962963</v>
      </c>
      <c r="B3101" s="4" t="str">
        <f>HYPERLINK("https://twitter.com/petrogustavo","@petrogustavo")</f>
        <v>@petrogustavo</v>
      </c>
      <c r="C3101" s="5" t="s">
        <v>16</v>
      </c>
      <c r="D3101" s="5" t="s">
        <v>3040</v>
      </c>
      <c r="E3101" s="6" t="str">
        <f>HYPERLINK("https://twitter.com/petrogustavo/status/1236794844628111360","1236794844628111360")</f>
        <v>1236794844628111360</v>
      </c>
      <c r="F3101" s="7" t="s">
        <v>17</v>
      </c>
      <c r="G3101" s="7">
        <v>3658957</v>
      </c>
      <c r="H3101" s="7">
        <v>2355</v>
      </c>
      <c r="I3101" s="7">
        <v>40</v>
      </c>
      <c r="J3101" s="7">
        <v>0</v>
      </c>
      <c r="K3101" s="7" t="s">
        <v>18</v>
      </c>
      <c r="L3101" s="8">
        <v>39987.315405092595</v>
      </c>
      <c r="M3101" s="9" t="s">
        <v>19</v>
      </c>
      <c r="N3101" s="9" t="s">
        <v>20</v>
      </c>
      <c r="O3101" s="6" t="str">
        <f>HYPERLINK("https://pbs.twimg.com/profile_images/962471262747529216/Uo8lOkRJ_normal.jpg","View")</f>
        <v>View</v>
      </c>
      <c r="P3101" s="7"/>
    </row>
    <row r="3102" spans="1:16">
      <c r="A3102" s="3">
        <v>43899.206655092596</v>
      </c>
      <c r="B3102" s="4" t="str">
        <f>HYPERLINK("https://twitter.com/petrogustavo","@petrogustavo")</f>
        <v>@petrogustavo</v>
      </c>
      <c r="C3102" s="5" t="s">
        <v>16</v>
      </c>
      <c r="D3102" s="5" t="s">
        <v>3041</v>
      </c>
      <c r="E3102" s="6" t="str">
        <f>HYPERLINK("https://twitter.com/petrogustavo/status/1236795731329060864","1236795731329060864")</f>
        <v>1236795731329060864</v>
      </c>
      <c r="F3102" s="7" t="s">
        <v>17</v>
      </c>
      <c r="G3102" s="7">
        <v>3658957</v>
      </c>
      <c r="H3102" s="7">
        <v>2355</v>
      </c>
      <c r="I3102" s="7">
        <v>109</v>
      </c>
      <c r="J3102" s="7">
        <v>412</v>
      </c>
      <c r="K3102" s="7" t="s">
        <v>18</v>
      </c>
      <c r="L3102" s="8">
        <v>39987.315405092595</v>
      </c>
      <c r="M3102" s="9" t="s">
        <v>19</v>
      </c>
      <c r="N3102" s="9" t="s">
        <v>20</v>
      </c>
      <c r="O3102" s="6" t="str">
        <f>HYPERLINK("https://pbs.twimg.com/profile_images/962471262747529216/Uo8lOkRJ_normal.jpg","View")</f>
        <v>View</v>
      </c>
      <c r="P3102" s="7"/>
    </row>
    <row r="3103" spans="1:16">
      <c r="A3103" s="3">
        <v>43899.218912037039</v>
      </c>
      <c r="B3103" s="4" t="str">
        <f>HYPERLINK("https://twitter.com/petrogustavo","@petrogustavo")</f>
        <v>@petrogustavo</v>
      </c>
      <c r="C3103" s="5" t="s">
        <v>16</v>
      </c>
      <c r="D3103" s="5" t="s">
        <v>3042</v>
      </c>
      <c r="E3103" s="6" t="str">
        <f>HYPERLINK("https://twitter.com/petrogustavo/status/1236800174669869056","1236800174669869056")</f>
        <v>1236800174669869056</v>
      </c>
      <c r="F3103" s="7" t="s">
        <v>17</v>
      </c>
      <c r="G3103" s="7">
        <v>3658957</v>
      </c>
      <c r="H3103" s="7">
        <v>2355</v>
      </c>
      <c r="I3103" s="7">
        <v>8</v>
      </c>
      <c r="J3103" s="7">
        <v>46</v>
      </c>
      <c r="K3103" s="7" t="s">
        <v>18</v>
      </c>
      <c r="L3103" s="8">
        <v>39987.315405092595</v>
      </c>
      <c r="M3103" s="9" t="s">
        <v>19</v>
      </c>
      <c r="N3103" s="9" t="s">
        <v>20</v>
      </c>
      <c r="O3103" s="6" t="str">
        <f>HYPERLINK("https://pbs.twimg.com/profile_images/962471262747529216/Uo8lOkRJ_normal.jpg","View")</f>
        <v>View</v>
      </c>
      <c r="P3103" s="7"/>
    </row>
    <row r="3104" spans="1:16">
      <c r="A3104" s="3">
        <v>43899.220243055555</v>
      </c>
      <c r="B3104" s="4" t="str">
        <f>HYPERLINK("https://twitter.com/petrogustavo","@petrogustavo")</f>
        <v>@petrogustavo</v>
      </c>
      <c r="C3104" s="5" t="s">
        <v>16</v>
      </c>
      <c r="D3104" s="5" t="s">
        <v>3043</v>
      </c>
      <c r="E3104" s="6" t="str">
        <f>HYPERLINK("https://twitter.com/petrogustavo/status/1236800655651672069","1236800655651672069")</f>
        <v>1236800655651672069</v>
      </c>
      <c r="F3104" s="7" t="s">
        <v>17</v>
      </c>
      <c r="G3104" s="7">
        <v>3658957</v>
      </c>
      <c r="H3104" s="7">
        <v>2355</v>
      </c>
      <c r="I3104" s="7">
        <v>0</v>
      </c>
      <c r="J3104" s="7">
        <v>0</v>
      </c>
      <c r="K3104" s="7" t="s">
        <v>18</v>
      </c>
      <c r="L3104" s="8">
        <v>39987.315405092595</v>
      </c>
      <c r="M3104" s="9" t="s">
        <v>19</v>
      </c>
      <c r="N3104" s="9" t="s">
        <v>20</v>
      </c>
      <c r="O3104" s="6" t="str">
        <f>HYPERLINK("https://pbs.twimg.com/profile_images/962471262747529216/Uo8lOkRJ_normal.jpg","View")</f>
        <v>View</v>
      </c>
      <c r="P3104" s="7"/>
    </row>
    <row r="3105" spans="1:16">
      <c r="A3105" s="3">
        <v>43899.221192129626</v>
      </c>
      <c r="B3105" s="4" t="str">
        <f>HYPERLINK("https://twitter.com/petrogustavo","@petrogustavo")</f>
        <v>@petrogustavo</v>
      </c>
      <c r="C3105" s="5" t="s">
        <v>16</v>
      </c>
      <c r="D3105" s="5" t="s">
        <v>3044</v>
      </c>
      <c r="E3105" s="6" t="str">
        <f>HYPERLINK("https://twitter.com/petrogustavo/status/1236800999597146112","1236800999597146112")</f>
        <v>1236800999597146112</v>
      </c>
      <c r="F3105" s="7" t="s">
        <v>17</v>
      </c>
      <c r="G3105" s="7">
        <v>3658971</v>
      </c>
      <c r="H3105" s="7">
        <v>2355</v>
      </c>
      <c r="I3105" s="7">
        <v>175</v>
      </c>
      <c r="J3105" s="7">
        <v>0</v>
      </c>
      <c r="K3105" s="7" t="s">
        <v>18</v>
      </c>
      <c r="L3105" s="8">
        <v>39987.315405092595</v>
      </c>
      <c r="M3105" s="9" t="s">
        <v>19</v>
      </c>
      <c r="N3105" s="9" t="s">
        <v>20</v>
      </c>
      <c r="O3105" s="6" t="str">
        <f>HYPERLINK("https://pbs.twimg.com/profile_images/962471262747529216/Uo8lOkRJ_normal.jpg","View")</f>
        <v>View</v>
      </c>
      <c r="P3105" s="7"/>
    </row>
    <row r="3106" spans="1:16">
      <c r="A3106" s="3">
        <v>43899.235000000001</v>
      </c>
      <c r="B3106" s="4" t="str">
        <f>HYPERLINK("https://twitter.com/petrogustavo","@petrogustavo")</f>
        <v>@petrogustavo</v>
      </c>
      <c r="C3106" s="5" t="s">
        <v>16</v>
      </c>
      <c r="D3106" s="5" t="s">
        <v>3045</v>
      </c>
      <c r="E3106" s="6" t="str">
        <f>HYPERLINK("https://twitter.com/petrogustavo/status/1236806002395275264","1236806002395275264")</f>
        <v>1236806002395275264</v>
      </c>
      <c r="F3106" s="7" t="s">
        <v>17</v>
      </c>
      <c r="G3106" s="7">
        <v>3658971</v>
      </c>
      <c r="H3106" s="7">
        <v>2355</v>
      </c>
      <c r="I3106" s="7">
        <v>21</v>
      </c>
      <c r="J3106" s="7">
        <v>64</v>
      </c>
      <c r="K3106" s="7" t="s">
        <v>18</v>
      </c>
      <c r="L3106" s="8">
        <v>39987.315405092595</v>
      </c>
      <c r="M3106" s="9" t="s">
        <v>19</v>
      </c>
      <c r="N3106" s="9" t="s">
        <v>20</v>
      </c>
      <c r="O3106" s="6" t="str">
        <f>HYPERLINK("https://pbs.twimg.com/profile_images/962471262747529216/Uo8lOkRJ_normal.jpg","View")</f>
        <v>View</v>
      </c>
      <c r="P3106" s="7"/>
    </row>
    <row r="3107" spans="1:16">
      <c r="A3107" s="3">
        <v>43899.241631944446</v>
      </c>
      <c r="B3107" s="4" t="str">
        <f>HYPERLINK("https://twitter.com/petrogustavo","@petrogustavo")</f>
        <v>@petrogustavo</v>
      </c>
      <c r="C3107" s="5" t="s">
        <v>16</v>
      </c>
      <c r="D3107" s="5" t="s">
        <v>3046</v>
      </c>
      <c r="E3107" s="6" t="str">
        <f>HYPERLINK("https://twitter.com/petrogustavo/status/1236808408231301120","1236808408231301120")</f>
        <v>1236808408231301120</v>
      </c>
      <c r="F3107" s="7" t="s">
        <v>17</v>
      </c>
      <c r="G3107" s="7">
        <v>3658971</v>
      </c>
      <c r="H3107" s="7">
        <v>2355</v>
      </c>
      <c r="I3107" s="7">
        <v>0</v>
      </c>
      <c r="J3107" s="7">
        <v>0</v>
      </c>
      <c r="K3107" s="7" t="s">
        <v>18</v>
      </c>
      <c r="L3107" s="8">
        <v>39987.315405092595</v>
      </c>
      <c r="M3107" s="9" t="s">
        <v>19</v>
      </c>
      <c r="N3107" s="9" t="s">
        <v>20</v>
      </c>
      <c r="O3107" s="6" t="str">
        <f>HYPERLINK("https://pbs.twimg.com/profile_images/962471262747529216/Uo8lOkRJ_normal.jpg","View")</f>
        <v>View</v>
      </c>
      <c r="P3107" s="7"/>
    </row>
    <row r="3108" spans="1:16">
      <c r="A3108" s="3">
        <v>43899.247083333335</v>
      </c>
      <c r="B3108" s="4" t="str">
        <f>HYPERLINK("https://twitter.com/petrogustavo","@petrogustavo")</f>
        <v>@petrogustavo</v>
      </c>
      <c r="C3108" s="5" t="s">
        <v>16</v>
      </c>
      <c r="D3108" s="5" t="s">
        <v>3047</v>
      </c>
      <c r="E3108" s="6" t="str">
        <f>HYPERLINK("https://twitter.com/petrogustavo/status/1236810382364336129","1236810382364336129")</f>
        <v>1236810382364336129</v>
      </c>
      <c r="F3108" s="7" t="s">
        <v>17</v>
      </c>
      <c r="G3108" s="7">
        <v>3658984</v>
      </c>
      <c r="H3108" s="7">
        <v>2355</v>
      </c>
      <c r="I3108" s="7">
        <v>112</v>
      </c>
      <c r="J3108" s="7">
        <v>0</v>
      </c>
      <c r="K3108" s="7" t="s">
        <v>18</v>
      </c>
      <c r="L3108" s="8">
        <v>39987.315405092595</v>
      </c>
      <c r="M3108" s="9" t="s">
        <v>19</v>
      </c>
      <c r="N3108" s="9" t="s">
        <v>20</v>
      </c>
      <c r="O3108" s="6" t="str">
        <f>HYPERLINK("https://pbs.twimg.com/profile_images/962471262747529216/Uo8lOkRJ_normal.jpg","View")</f>
        <v>View</v>
      </c>
      <c r="P3108" s="7"/>
    </row>
    <row r="3109" spans="1:16">
      <c r="A3109" s="3">
        <v>43899.27952546296</v>
      </c>
      <c r="B3109" s="4" t="str">
        <f>HYPERLINK("https://twitter.com/petrogustavo","@petrogustavo")</f>
        <v>@petrogustavo</v>
      </c>
      <c r="C3109" s="5" t="s">
        <v>16</v>
      </c>
      <c r="D3109" s="5" t="s">
        <v>3048</v>
      </c>
      <c r="E3109" s="6" t="str">
        <f>HYPERLINK("https://twitter.com/petrogustavo/status/1236822138750992385","1236822138750992385")</f>
        <v>1236822138750992385</v>
      </c>
      <c r="F3109" s="7" t="s">
        <v>17</v>
      </c>
      <c r="G3109" s="7">
        <v>3658992</v>
      </c>
      <c r="H3109" s="7">
        <v>2355</v>
      </c>
      <c r="I3109" s="7">
        <v>16</v>
      </c>
      <c r="J3109" s="7">
        <v>0</v>
      </c>
      <c r="K3109" s="7" t="s">
        <v>18</v>
      </c>
      <c r="L3109" s="8">
        <v>39987.315405092595</v>
      </c>
      <c r="M3109" s="9" t="s">
        <v>19</v>
      </c>
      <c r="N3109" s="9" t="s">
        <v>20</v>
      </c>
      <c r="O3109" s="6" t="str">
        <f>HYPERLINK("https://pbs.twimg.com/profile_images/962471262747529216/Uo8lOkRJ_normal.jpg","View")</f>
        <v>View</v>
      </c>
      <c r="P3109" s="7"/>
    </row>
    <row r="3110" spans="1:16">
      <c r="A3110" s="3">
        <v>43899.282071759255</v>
      </c>
      <c r="B3110" s="4" t="str">
        <f>HYPERLINK("https://twitter.com/petrogustavo","@petrogustavo")</f>
        <v>@petrogustavo</v>
      </c>
      <c r="C3110" s="5" t="s">
        <v>16</v>
      </c>
      <c r="D3110" s="5" t="s">
        <v>3049</v>
      </c>
      <c r="E3110" s="6" t="str">
        <f>HYPERLINK("https://twitter.com/petrogustavo/status/1236823063204974592","1236823063204974592")</f>
        <v>1236823063204974592</v>
      </c>
      <c r="F3110" s="7" t="s">
        <v>17</v>
      </c>
      <c r="G3110" s="7">
        <v>3658992</v>
      </c>
      <c r="H3110" s="7">
        <v>2355</v>
      </c>
      <c r="I3110" s="7">
        <v>4362</v>
      </c>
      <c r="J3110" s="7">
        <v>0</v>
      </c>
      <c r="K3110" s="7" t="s">
        <v>18</v>
      </c>
      <c r="L3110" s="8">
        <v>39987.315405092595</v>
      </c>
      <c r="M3110" s="9" t="s">
        <v>19</v>
      </c>
      <c r="N3110" s="9" t="s">
        <v>20</v>
      </c>
      <c r="O3110" s="6" t="str">
        <f>HYPERLINK("https://pbs.twimg.com/profile_images/962471262747529216/Uo8lOkRJ_normal.jpg","View")</f>
        <v>View</v>
      </c>
      <c r="P3110" s="7"/>
    </row>
    <row r="3111" spans="1:16">
      <c r="A3111" s="3">
        <v>43899.282407407409</v>
      </c>
      <c r="B3111" s="4" t="str">
        <f>HYPERLINK("https://twitter.com/petrogustavo","@petrogustavo")</f>
        <v>@petrogustavo</v>
      </c>
      <c r="C3111" s="5" t="s">
        <v>16</v>
      </c>
      <c r="D3111" s="5" t="s">
        <v>3050</v>
      </c>
      <c r="E3111" s="6" t="str">
        <f>HYPERLINK("https://twitter.com/petrogustavo/status/1236823183065481218","1236823183065481218")</f>
        <v>1236823183065481218</v>
      </c>
      <c r="F3111" s="7" t="s">
        <v>17</v>
      </c>
      <c r="G3111" s="7">
        <v>3658992</v>
      </c>
      <c r="H3111" s="7">
        <v>2355</v>
      </c>
      <c r="I3111" s="7">
        <v>262</v>
      </c>
      <c r="J3111" s="7">
        <v>0</v>
      </c>
      <c r="K3111" s="7" t="s">
        <v>18</v>
      </c>
      <c r="L3111" s="8">
        <v>39987.315405092595</v>
      </c>
      <c r="M3111" s="9" t="s">
        <v>19</v>
      </c>
      <c r="N3111" s="9" t="s">
        <v>20</v>
      </c>
      <c r="O3111" s="6" t="str">
        <f>HYPERLINK("https://pbs.twimg.com/profile_images/962471262747529216/Uo8lOkRJ_normal.jpg","View")</f>
        <v>View</v>
      </c>
      <c r="P3111" s="7"/>
    </row>
    <row r="3112" spans="1:16">
      <c r="A3112" s="3">
        <v>43899.285578703704</v>
      </c>
      <c r="B3112" s="4" t="str">
        <f>HYPERLINK("https://twitter.com/petrogustavo","@petrogustavo")</f>
        <v>@petrogustavo</v>
      </c>
      <c r="C3112" s="5" t="s">
        <v>16</v>
      </c>
      <c r="D3112" s="5" t="s">
        <v>3051</v>
      </c>
      <c r="E3112" s="6" t="str">
        <f>HYPERLINK("https://twitter.com/petrogustavo/status/1236824332162215937","1236824332162215937")</f>
        <v>1236824332162215937</v>
      </c>
      <c r="F3112" s="7" t="s">
        <v>17</v>
      </c>
      <c r="G3112" s="7">
        <v>3659013</v>
      </c>
      <c r="H3112" s="7">
        <v>2355</v>
      </c>
      <c r="I3112" s="7">
        <v>197</v>
      </c>
      <c r="J3112" s="7">
        <v>518</v>
      </c>
      <c r="K3112" s="7" t="s">
        <v>18</v>
      </c>
      <c r="L3112" s="8">
        <v>39987.315405092595</v>
      </c>
      <c r="M3112" s="9" t="s">
        <v>19</v>
      </c>
      <c r="N3112" s="9" t="s">
        <v>20</v>
      </c>
      <c r="O3112" s="6" t="str">
        <f>HYPERLINK("https://pbs.twimg.com/profile_images/962471262747529216/Uo8lOkRJ_normal.jpg","View")</f>
        <v>View</v>
      </c>
      <c r="P3112" s="7"/>
    </row>
    <row r="3113" spans="1:16">
      <c r="A3113" s="3">
        <v>43899.312453703707</v>
      </c>
      <c r="B3113" s="4" t="str">
        <f>HYPERLINK("https://twitter.com/petrogustavo","@petrogustavo")</f>
        <v>@petrogustavo</v>
      </c>
      <c r="C3113" s="5" t="s">
        <v>16</v>
      </c>
      <c r="D3113" s="5" t="s">
        <v>3047</v>
      </c>
      <c r="E3113" s="6" t="str">
        <f>HYPERLINK("https://twitter.com/petrogustavo/status/1236834071608688640","1236834071608688640")</f>
        <v>1236834071608688640</v>
      </c>
      <c r="F3113" s="7" t="s">
        <v>17</v>
      </c>
      <c r="G3113" s="7">
        <v>3659033</v>
      </c>
      <c r="H3113" s="7">
        <v>2355</v>
      </c>
      <c r="I3113" s="7">
        <v>202</v>
      </c>
      <c r="J3113" s="7">
        <v>0</v>
      </c>
      <c r="K3113" s="7" t="s">
        <v>18</v>
      </c>
      <c r="L3113" s="8">
        <v>39987.315405092595</v>
      </c>
      <c r="M3113" s="9" t="s">
        <v>19</v>
      </c>
      <c r="N3113" s="9" t="s">
        <v>20</v>
      </c>
      <c r="O3113" s="6" t="str">
        <f>HYPERLINK("https://pbs.twimg.com/profile_images/962471262747529216/Uo8lOkRJ_normal.jpg","View")</f>
        <v>View</v>
      </c>
      <c r="P3113" s="7"/>
    </row>
    <row r="3114" spans="1:16">
      <c r="A3114" s="3">
        <v>43899.312893518523</v>
      </c>
      <c r="B3114" s="4" t="str">
        <f>HYPERLINK("https://twitter.com/petrogustavo","@petrogustavo")</f>
        <v>@petrogustavo</v>
      </c>
      <c r="C3114" s="5" t="s">
        <v>16</v>
      </c>
      <c r="D3114" s="5" t="s">
        <v>3052</v>
      </c>
      <c r="E3114" s="6" t="str">
        <f>HYPERLINK("https://twitter.com/petrogustavo/status/1236834231906701313","1236834231906701313")</f>
        <v>1236834231906701313</v>
      </c>
      <c r="F3114" s="7" t="s">
        <v>17</v>
      </c>
      <c r="G3114" s="7">
        <v>3659033</v>
      </c>
      <c r="H3114" s="7">
        <v>2355</v>
      </c>
      <c r="I3114" s="7">
        <v>337</v>
      </c>
      <c r="J3114" s="7">
        <v>0</v>
      </c>
      <c r="K3114" s="7" t="s">
        <v>18</v>
      </c>
      <c r="L3114" s="8">
        <v>39987.315405092595</v>
      </c>
      <c r="M3114" s="9" t="s">
        <v>19</v>
      </c>
      <c r="N3114" s="9" t="s">
        <v>20</v>
      </c>
      <c r="O3114" s="6" t="str">
        <f>HYPERLINK("https://pbs.twimg.com/profile_images/962471262747529216/Uo8lOkRJ_normal.jpg","View")</f>
        <v>View</v>
      </c>
      <c r="P3114" s="7"/>
    </row>
    <row r="3115" spans="1:16">
      <c r="A3115" s="3">
        <v>43899.31627314815</v>
      </c>
      <c r="B3115" s="4" t="str">
        <f>HYPERLINK("https://twitter.com/petrogustavo","@petrogustavo")</f>
        <v>@petrogustavo</v>
      </c>
      <c r="C3115" s="5" t="s">
        <v>16</v>
      </c>
      <c r="D3115" s="5" t="s">
        <v>3053</v>
      </c>
      <c r="E3115" s="6" t="str">
        <f>HYPERLINK("https://twitter.com/petrogustavo/status/1236835454701449216","1236835454701449216")</f>
        <v>1236835454701449216</v>
      </c>
      <c r="F3115" s="7" t="s">
        <v>17</v>
      </c>
      <c r="G3115" s="7">
        <v>3659033</v>
      </c>
      <c r="H3115" s="7">
        <v>2355</v>
      </c>
      <c r="I3115" s="7">
        <v>263</v>
      </c>
      <c r="J3115" s="7">
        <v>615</v>
      </c>
      <c r="K3115" s="7" t="s">
        <v>18</v>
      </c>
      <c r="L3115" s="8">
        <v>39987.315405092595</v>
      </c>
      <c r="M3115" s="9" t="s">
        <v>19</v>
      </c>
      <c r="N3115" s="9" t="s">
        <v>20</v>
      </c>
      <c r="O3115" s="6" t="str">
        <f>HYPERLINK("https://pbs.twimg.com/profile_images/962471262747529216/Uo8lOkRJ_normal.jpg","View")</f>
        <v>View</v>
      </c>
      <c r="P3115" s="7"/>
    </row>
    <row r="3116" spans="1:16">
      <c r="A3116" s="3">
        <v>43899.769016203703</v>
      </c>
      <c r="B3116" s="4" t="str">
        <f>HYPERLINK("https://twitter.com/petrogustavo","@petrogustavo")</f>
        <v>@petrogustavo</v>
      </c>
      <c r="C3116" s="5" t="s">
        <v>16</v>
      </c>
      <c r="D3116" s="5" t="s">
        <v>3054</v>
      </c>
      <c r="E3116" s="6" t="str">
        <f>HYPERLINK("https://twitter.com/petrogustavo/status/1236999525967048707","1236999525967048707")</f>
        <v>1236999525967048707</v>
      </c>
      <c r="F3116" s="7" t="s">
        <v>17</v>
      </c>
      <c r="G3116" s="7">
        <v>3659307</v>
      </c>
      <c r="H3116" s="7">
        <v>2355</v>
      </c>
      <c r="I3116" s="7">
        <v>122</v>
      </c>
      <c r="J3116" s="7">
        <v>0</v>
      </c>
      <c r="K3116" s="7" t="s">
        <v>18</v>
      </c>
      <c r="L3116" s="8">
        <v>39987.315405092595</v>
      </c>
      <c r="M3116" s="9" t="s">
        <v>19</v>
      </c>
      <c r="N3116" s="9" t="s">
        <v>20</v>
      </c>
      <c r="O3116" s="6" t="str">
        <f>HYPERLINK("https://pbs.twimg.com/profile_images/962471262747529216/Uo8lOkRJ_normal.jpg","View")</f>
        <v>View</v>
      </c>
      <c r="P3116" s="7"/>
    </row>
    <row r="3117" spans="1:16">
      <c r="A3117" s="3">
        <v>43899.777685185181</v>
      </c>
      <c r="B3117" s="4" t="str">
        <f>HYPERLINK("https://twitter.com/petrogustavo","@petrogustavo")</f>
        <v>@petrogustavo</v>
      </c>
      <c r="C3117" s="5" t="s">
        <v>16</v>
      </c>
      <c r="D3117" s="5" t="s">
        <v>3055</v>
      </c>
      <c r="E3117" s="6" t="str">
        <f>HYPERLINK("https://twitter.com/petrogustavo/status/1237002665005105152","1237002665005105152")</f>
        <v>1237002665005105152</v>
      </c>
      <c r="F3117" s="7" t="s">
        <v>17</v>
      </c>
      <c r="G3117" s="7">
        <v>3659307</v>
      </c>
      <c r="H3117" s="7">
        <v>2355</v>
      </c>
      <c r="I3117" s="7">
        <v>52</v>
      </c>
      <c r="J3117" s="7">
        <v>160</v>
      </c>
      <c r="K3117" s="7" t="s">
        <v>18</v>
      </c>
      <c r="L3117" s="8">
        <v>39987.315405092595</v>
      </c>
      <c r="M3117" s="9" t="s">
        <v>19</v>
      </c>
      <c r="N3117" s="9" t="s">
        <v>20</v>
      </c>
      <c r="O3117" s="6" t="str">
        <f>HYPERLINK("https://pbs.twimg.com/profile_images/962471262747529216/Uo8lOkRJ_normal.jpg","View")</f>
        <v>View</v>
      </c>
      <c r="P3117" s="7"/>
    </row>
    <row r="3118" spans="1:16">
      <c r="A3118" s="3">
        <v>43899.784548611111</v>
      </c>
      <c r="B3118" s="4" t="str">
        <f>HYPERLINK("https://twitter.com/petrogustavo","@petrogustavo")</f>
        <v>@petrogustavo</v>
      </c>
      <c r="C3118" s="5" t="s">
        <v>16</v>
      </c>
      <c r="D3118" s="5" t="s">
        <v>3056</v>
      </c>
      <c r="E3118" s="6" t="str">
        <f>HYPERLINK("https://twitter.com/petrogustavo/status/1237005152202166274","1237005152202166274")</f>
        <v>1237005152202166274</v>
      </c>
      <c r="F3118" s="7" t="s">
        <v>17</v>
      </c>
      <c r="G3118" s="7">
        <v>3659340</v>
      </c>
      <c r="H3118" s="7">
        <v>2355</v>
      </c>
      <c r="I3118" s="7">
        <v>249</v>
      </c>
      <c r="J3118" s="7">
        <v>633</v>
      </c>
      <c r="K3118" s="7" t="s">
        <v>18</v>
      </c>
      <c r="L3118" s="8">
        <v>39987.315405092595</v>
      </c>
      <c r="M3118" s="9" t="s">
        <v>19</v>
      </c>
      <c r="N3118" s="9" t="s">
        <v>20</v>
      </c>
      <c r="O3118" s="6" t="str">
        <f>HYPERLINK("https://pbs.twimg.com/profile_images/962471262747529216/Uo8lOkRJ_normal.jpg","View")</f>
        <v>View</v>
      </c>
      <c r="P3118" s="7"/>
    </row>
    <row r="3119" spans="1:16">
      <c r="A3119" s="3">
        <v>43899.784548611111</v>
      </c>
      <c r="B3119" s="4" t="str">
        <f>HYPERLINK("https://twitter.com/petrogustavo","@petrogustavo")</f>
        <v>@petrogustavo</v>
      </c>
      <c r="C3119" s="5" t="s">
        <v>16</v>
      </c>
      <c r="D3119" s="5" t="s">
        <v>3057</v>
      </c>
      <c r="E3119" s="6" t="str">
        <f>HYPERLINK("https://twitter.com/petrogustavo/status/1237005153611513856","1237005153611513856")</f>
        <v>1237005153611513856</v>
      </c>
      <c r="F3119" s="7" t="s">
        <v>17</v>
      </c>
      <c r="G3119" s="7">
        <v>3659340</v>
      </c>
      <c r="H3119" s="7">
        <v>2355</v>
      </c>
      <c r="I3119" s="7">
        <v>143</v>
      </c>
      <c r="J3119" s="7">
        <v>411</v>
      </c>
      <c r="K3119" s="7" t="s">
        <v>18</v>
      </c>
      <c r="L3119" s="8">
        <v>39987.315405092595</v>
      </c>
      <c r="M3119" s="9" t="s">
        <v>19</v>
      </c>
      <c r="N3119" s="9" t="s">
        <v>20</v>
      </c>
      <c r="O3119" s="6" t="str">
        <f>HYPERLINK("https://pbs.twimg.com/profile_images/962471262747529216/Uo8lOkRJ_normal.jpg","View")</f>
        <v>View</v>
      </c>
      <c r="P3119" s="7"/>
    </row>
    <row r="3120" spans="1:16">
      <c r="A3120" s="3">
        <v>43899.819398148145</v>
      </c>
      <c r="B3120" s="4" t="str">
        <f>HYPERLINK("https://twitter.com/petrogustavo","@petrogustavo")</f>
        <v>@petrogustavo</v>
      </c>
      <c r="C3120" s="5" t="s">
        <v>16</v>
      </c>
      <c r="D3120" s="5" t="s">
        <v>3058</v>
      </c>
      <c r="E3120" s="6" t="str">
        <f>HYPERLINK("https://twitter.com/petrogustavo/status/1237017780110721024","1237017780110721024")</f>
        <v>1237017780110721024</v>
      </c>
      <c r="F3120" s="7" t="s">
        <v>17</v>
      </c>
      <c r="G3120" s="7">
        <v>3659362</v>
      </c>
      <c r="H3120" s="7">
        <v>2355</v>
      </c>
      <c r="I3120" s="7">
        <v>61</v>
      </c>
      <c r="J3120" s="7">
        <v>182</v>
      </c>
      <c r="K3120" s="7" t="s">
        <v>18</v>
      </c>
      <c r="L3120" s="8">
        <v>39987.315405092595</v>
      </c>
      <c r="M3120" s="9" t="s">
        <v>19</v>
      </c>
      <c r="N3120" s="9" t="s">
        <v>20</v>
      </c>
      <c r="O3120" s="6" t="str">
        <f>HYPERLINK("https://pbs.twimg.com/profile_images/962471262747529216/Uo8lOkRJ_normal.jpg","View")</f>
        <v>View</v>
      </c>
      <c r="P3120" s="7"/>
    </row>
    <row r="3121" spans="1:16">
      <c r="A3121" s="3">
        <v>43899.828738425931</v>
      </c>
      <c r="B3121" s="4" t="str">
        <f>HYPERLINK("https://twitter.com/petrogustavo","@petrogustavo")</f>
        <v>@petrogustavo</v>
      </c>
      <c r="C3121" s="5" t="s">
        <v>16</v>
      </c>
      <c r="D3121" s="5" t="s">
        <v>3059</v>
      </c>
      <c r="E3121" s="6" t="str">
        <f>HYPERLINK("https://twitter.com/petrogustavo/status/1237021167053148167","1237021167053148167")</f>
        <v>1237021167053148167</v>
      </c>
      <c r="F3121" s="7" t="s">
        <v>17</v>
      </c>
      <c r="G3121" s="7">
        <v>3659395</v>
      </c>
      <c r="H3121" s="7">
        <v>2355</v>
      </c>
      <c r="I3121" s="7">
        <v>122</v>
      </c>
      <c r="J3121" s="7">
        <v>396</v>
      </c>
      <c r="K3121" s="7" t="s">
        <v>18</v>
      </c>
      <c r="L3121" s="8">
        <v>39987.315405092595</v>
      </c>
      <c r="M3121" s="9" t="s">
        <v>19</v>
      </c>
      <c r="N3121" s="9" t="s">
        <v>20</v>
      </c>
      <c r="O3121" s="6" t="str">
        <f>HYPERLINK("https://pbs.twimg.com/profile_images/962471262747529216/Uo8lOkRJ_normal.jpg","View")</f>
        <v>View</v>
      </c>
      <c r="P3121" s="7"/>
    </row>
    <row r="3122" spans="1:16">
      <c r="A3122" s="3">
        <v>43899.828738425931</v>
      </c>
      <c r="B3122" s="4" t="str">
        <f>HYPERLINK("https://twitter.com/petrogustavo","@petrogustavo")</f>
        <v>@petrogustavo</v>
      </c>
      <c r="C3122" s="5" t="s">
        <v>16</v>
      </c>
      <c r="D3122" s="5" t="s">
        <v>3060</v>
      </c>
      <c r="E3122" s="6" t="str">
        <f>HYPERLINK("https://twitter.com/petrogustavo/status/1237021168537919488","1237021168537919488")</f>
        <v>1237021168537919488</v>
      </c>
      <c r="F3122" s="7" t="s">
        <v>17</v>
      </c>
      <c r="G3122" s="7">
        <v>3659395</v>
      </c>
      <c r="H3122" s="7">
        <v>2355</v>
      </c>
      <c r="I3122" s="7">
        <v>34</v>
      </c>
      <c r="J3122" s="7">
        <v>142</v>
      </c>
      <c r="K3122" s="7" t="s">
        <v>18</v>
      </c>
      <c r="L3122" s="8">
        <v>39987.315405092595</v>
      </c>
      <c r="M3122" s="9" t="s">
        <v>19</v>
      </c>
      <c r="N3122" s="9" t="s">
        <v>20</v>
      </c>
      <c r="O3122" s="6" t="str">
        <f>HYPERLINK("https://pbs.twimg.com/profile_images/962471262747529216/Uo8lOkRJ_normal.jpg","View")</f>
        <v>View</v>
      </c>
      <c r="P3122" s="7"/>
    </row>
    <row r="3123" spans="1:16">
      <c r="A3123" s="3">
        <v>43899.828750000001</v>
      </c>
      <c r="B3123" s="4" t="str">
        <f>HYPERLINK("https://twitter.com/petrogustavo","@petrogustavo")</f>
        <v>@petrogustavo</v>
      </c>
      <c r="C3123" s="5" t="s">
        <v>16</v>
      </c>
      <c r="D3123" s="5" t="s">
        <v>3061</v>
      </c>
      <c r="E3123" s="6" t="str">
        <f>HYPERLINK("https://twitter.com/petrogustavo/status/1237021170253410306","1237021170253410306")</f>
        <v>1237021170253410306</v>
      </c>
      <c r="F3123" s="7" t="s">
        <v>17</v>
      </c>
      <c r="G3123" s="7">
        <v>3659395</v>
      </c>
      <c r="H3123" s="7">
        <v>2355</v>
      </c>
      <c r="I3123" s="7">
        <v>29</v>
      </c>
      <c r="J3123" s="7">
        <v>133</v>
      </c>
      <c r="K3123" s="7" t="s">
        <v>18</v>
      </c>
      <c r="L3123" s="8">
        <v>39987.315405092595</v>
      </c>
      <c r="M3123" s="9" t="s">
        <v>19</v>
      </c>
      <c r="N3123" s="9" t="s">
        <v>20</v>
      </c>
      <c r="O3123" s="6" t="str">
        <f>HYPERLINK("https://pbs.twimg.com/profile_images/962471262747529216/Uo8lOkRJ_normal.jpg","View")</f>
        <v>View</v>
      </c>
      <c r="P3123" s="7"/>
    </row>
    <row r="3124" spans="1:16">
      <c r="A3124" s="3">
        <v>43899.833657407406</v>
      </c>
      <c r="B3124" s="4" t="str">
        <f>HYPERLINK("https://twitter.com/petrogustavo","@petrogustavo")</f>
        <v>@petrogustavo</v>
      </c>
      <c r="C3124" s="5" t="s">
        <v>16</v>
      </c>
      <c r="D3124" s="5" t="s">
        <v>3062</v>
      </c>
      <c r="E3124" s="6" t="str">
        <f>HYPERLINK("https://twitter.com/petrogustavo/status/1237022947644256256","1237022947644256256")</f>
        <v>1237022947644256256</v>
      </c>
      <c r="F3124" s="7" t="s">
        <v>17</v>
      </c>
      <c r="G3124" s="7">
        <v>3659395</v>
      </c>
      <c r="H3124" s="7">
        <v>2355</v>
      </c>
      <c r="I3124" s="7">
        <v>122</v>
      </c>
      <c r="J3124" s="7">
        <v>0</v>
      </c>
      <c r="K3124" s="7" t="s">
        <v>18</v>
      </c>
      <c r="L3124" s="8">
        <v>39987.315405092595</v>
      </c>
      <c r="M3124" s="9" t="s">
        <v>19</v>
      </c>
      <c r="N3124" s="9" t="s">
        <v>20</v>
      </c>
      <c r="O3124" s="6" t="str">
        <f>HYPERLINK("https://pbs.twimg.com/profile_images/962471262747529216/Uo8lOkRJ_normal.jpg","View")</f>
        <v>View</v>
      </c>
      <c r="P3124" s="7"/>
    </row>
    <row r="3125" spans="1:16">
      <c r="A3125" s="3">
        <v>43899.87364583333</v>
      </c>
      <c r="B3125" s="4" t="str">
        <f>HYPERLINK("https://twitter.com/petrogustavo","@petrogustavo")</f>
        <v>@petrogustavo</v>
      </c>
      <c r="C3125" s="5" t="s">
        <v>16</v>
      </c>
      <c r="D3125" s="5" t="s">
        <v>3063</v>
      </c>
      <c r="E3125" s="6" t="str">
        <f>HYPERLINK("https://twitter.com/petrogustavo/status/1237037442047389699","1237037442047389699")</f>
        <v>1237037442047389699</v>
      </c>
      <c r="F3125" s="7" t="s">
        <v>17</v>
      </c>
      <c r="G3125" s="7">
        <v>3659448</v>
      </c>
      <c r="H3125" s="7">
        <v>2355</v>
      </c>
      <c r="I3125" s="7">
        <v>105</v>
      </c>
      <c r="J3125" s="7">
        <v>0</v>
      </c>
      <c r="K3125" s="7" t="s">
        <v>18</v>
      </c>
      <c r="L3125" s="8">
        <v>39987.315405092595</v>
      </c>
      <c r="M3125" s="9" t="s">
        <v>19</v>
      </c>
      <c r="N3125" s="9" t="s">
        <v>20</v>
      </c>
      <c r="O3125" s="6" t="str">
        <f>HYPERLINK("https://pbs.twimg.com/profile_images/962471262747529216/Uo8lOkRJ_normal.jpg","View")</f>
        <v>View</v>
      </c>
      <c r="P3125" s="7"/>
    </row>
    <row r="3126" spans="1:16">
      <c r="A3126" s="3">
        <v>43899.874305555553</v>
      </c>
      <c r="B3126" s="4" t="str">
        <f>HYPERLINK("https://twitter.com/petrogustavo","@petrogustavo")</f>
        <v>@petrogustavo</v>
      </c>
      <c r="C3126" s="5" t="s">
        <v>16</v>
      </c>
      <c r="D3126" s="5" t="s">
        <v>3064</v>
      </c>
      <c r="E3126" s="6" t="str">
        <f>HYPERLINK("https://twitter.com/petrogustavo/status/1237037678052487171","1237037678052487171")</f>
        <v>1237037678052487171</v>
      </c>
      <c r="F3126" s="7" t="s">
        <v>17</v>
      </c>
      <c r="G3126" s="7">
        <v>3659448</v>
      </c>
      <c r="H3126" s="7">
        <v>2355</v>
      </c>
      <c r="I3126" s="7">
        <v>92</v>
      </c>
      <c r="J3126" s="7">
        <v>0</v>
      </c>
      <c r="K3126" s="7" t="s">
        <v>18</v>
      </c>
      <c r="L3126" s="8">
        <v>39987.315405092595</v>
      </c>
      <c r="M3126" s="9" t="s">
        <v>19</v>
      </c>
      <c r="N3126" s="9" t="s">
        <v>20</v>
      </c>
      <c r="O3126" s="6" t="str">
        <f>HYPERLINK("https://pbs.twimg.com/profile_images/962471262747529216/Uo8lOkRJ_normal.jpg","View")</f>
        <v>View</v>
      </c>
      <c r="P3126" s="7"/>
    </row>
    <row r="3127" spans="1:16">
      <c r="A3127" s="3">
        <v>43899.880694444444</v>
      </c>
      <c r="B3127" s="4" t="str">
        <f>HYPERLINK("https://twitter.com/petrogustavo","@petrogustavo")</f>
        <v>@petrogustavo</v>
      </c>
      <c r="C3127" s="5" t="s">
        <v>16</v>
      </c>
      <c r="D3127" s="5" t="s">
        <v>3065</v>
      </c>
      <c r="E3127" s="6" t="str">
        <f>HYPERLINK("https://twitter.com/petrogustavo/status/1237039995594080257","1237039995594080257")</f>
        <v>1237039995594080257</v>
      </c>
      <c r="F3127" s="7" t="s">
        <v>17</v>
      </c>
      <c r="G3127" s="7">
        <v>3659448</v>
      </c>
      <c r="H3127" s="7">
        <v>2355</v>
      </c>
      <c r="I3127" s="7">
        <v>31</v>
      </c>
      <c r="J3127" s="7">
        <v>0</v>
      </c>
      <c r="K3127" s="7" t="s">
        <v>18</v>
      </c>
      <c r="L3127" s="8">
        <v>39987.315405092595</v>
      </c>
      <c r="M3127" s="9" t="s">
        <v>19</v>
      </c>
      <c r="N3127" s="9" t="s">
        <v>20</v>
      </c>
      <c r="O3127" s="6" t="str">
        <f>HYPERLINK("https://pbs.twimg.com/profile_images/962471262747529216/Uo8lOkRJ_normal.jpg","View")</f>
        <v>View</v>
      </c>
      <c r="P3127" s="7"/>
    </row>
    <row r="3128" spans="1:16">
      <c r="A3128" s="3">
        <v>43899.893773148149</v>
      </c>
      <c r="B3128" s="4" t="str">
        <f>HYPERLINK("https://twitter.com/petrogustavo","@petrogustavo")</f>
        <v>@petrogustavo</v>
      </c>
      <c r="C3128" s="5" t="s">
        <v>16</v>
      </c>
      <c r="D3128" s="5" t="s">
        <v>3066</v>
      </c>
      <c r="E3128" s="6" t="str">
        <f>HYPERLINK("https://twitter.com/petrogustavo/status/1237044732716617729","1237044732716617729")</f>
        <v>1237044732716617729</v>
      </c>
      <c r="F3128" s="7" t="s">
        <v>17</v>
      </c>
      <c r="G3128" s="7">
        <v>3659481</v>
      </c>
      <c r="H3128" s="7">
        <v>2355</v>
      </c>
      <c r="I3128" s="7">
        <v>678</v>
      </c>
      <c r="J3128" s="7">
        <v>0</v>
      </c>
      <c r="K3128" s="7" t="s">
        <v>18</v>
      </c>
      <c r="L3128" s="8">
        <v>39987.315405092595</v>
      </c>
      <c r="M3128" s="9" t="s">
        <v>19</v>
      </c>
      <c r="N3128" s="9" t="s">
        <v>20</v>
      </c>
      <c r="O3128" s="6" t="str">
        <f>HYPERLINK("https://pbs.twimg.com/profile_images/962471262747529216/Uo8lOkRJ_normal.jpg","View")</f>
        <v>View</v>
      </c>
      <c r="P3128" s="7"/>
    </row>
    <row r="3129" spans="1:16">
      <c r="A3129" s="3">
        <v>43899.896018518513</v>
      </c>
      <c r="B3129" s="4" t="str">
        <f>HYPERLINK("https://twitter.com/petrogustavo","@petrogustavo")</f>
        <v>@petrogustavo</v>
      </c>
      <c r="C3129" s="5" t="s">
        <v>16</v>
      </c>
      <c r="D3129" s="5" t="s">
        <v>3067</v>
      </c>
      <c r="E3129" s="6" t="str">
        <f>HYPERLINK("https://twitter.com/petrogustavo/status/1237045548152238081","1237045548152238081")</f>
        <v>1237045548152238081</v>
      </c>
      <c r="F3129" s="7" t="s">
        <v>17</v>
      </c>
      <c r="G3129" s="7">
        <v>3659481</v>
      </c>
      <c r="H3129" s="7">
        <v>2355</v>
      </c>
      <c r="I3129" s="7">
        <v>80</v>
      </c>
      <c r="J3129" s="7">
        <v>0</v>
      </c>
      <c r="K3129" s="7" t="s">
        <v>18</v>
      </c>
      <c r="L3129" s="8">
        <v>39987.315405092595</v>
      </c>
      <c r="M3129" s="9" t="s">
        <v>19</v>
      </c>
      <c r="N3129" s="9" t="s">
        <v>20</v>
      </c>
      <c r="O3129" s="6" t="str">
        <f>HYPERLINK("https://pbs.twimg.com/profile_images/962471262747529216/Uo8lOkRJ_normal.jpg","View")</f>
        <v>View</v>
      </c>
      <c r="P3129" s="7"/>
    </row>
    <row r="3130" spans="1:16">
      <c r="A3130" s="3">
        <v>43899.91002314815</v>
      </c>
      <c r="B3130" s="4" t="str">
        <f>HYPERLINK("https://twitter.com/petrogustavo","@petrogustavo")</f>
        <v>@petrogustavo</v>
      </c>
      <c r="C3130" s="5" t="s">
        <v>16</v>
      </c>
      <c r="D3130" s="5" t="s">
        <v>3068</v>
      </c>
      <c r="E3130" s="6" t="str">
        <f>HYPERLINK("https://twitter.com/petrogustavo/status/1237050623520104453","1237050623520104453")</f>
        <v>1237050623520104453</v>
      </c>
      <c r="F3130" s="7" t="s">
        <v>17</v>
      </c>
      <c r="G3130" s="7">
        <v>3659510</v>
      </c>
      <c r="H3130" s="7">
        <v>2355</v>
      </c>
      <c r="I3130" s="7">
        <v>117</v>
      </c>
      <c r="J3130" s="7">
        <v>386</v>
      </c>
      <c r="K3130" s="7" t="s">
        <v>18</v>
      </c>
      <c r="L3130" s="8">
        <v>39987.315405092595</v>
      </c>
      <c r="M3130" s="9" t="s">
        <v>19</v>
      </c>
      <c r="N3130" s="9" t="s">
        <v>20</v>
      </c>
      <c r="O3130" s="6" t="str">
        <f>HYPERLINK("https://pbs.twimg.com/profile_images/962471262747529216/Uo8lOkRJ_normal.jpg","View")</f>
        <v>View</v>
      </c>
      <c r="P3130" s="7"/>
    </row>
    <row r="3131" spans="1:16">
      <c r="A3131" s="3">
        <v>43899.91574074074</v>
      </c>
      <c r="B3131" s="4" t="str">
        <f>HYPERLINK("https://twitter.com/petrogustavo","@petrogustavo")</f>
        <v>@petrogustavo</v>
      </c>
      <c r="C3131" s="5" t="s">
        <v>16</v>
      </c>
      <c r="D3131" s="5" t="s">
        <v>3069</v>
      </c>
      <c r="E3131" s="6" t="str">
        <f>HYPERLINK("https://twitter.com/petrogustavo/status/1237052694872887297","1237052694872887297")</f>
        <v>1237052694872887297</v>
      </c>
      <c r="F3131" s="7" t="s">
        <v>17</v>
      </c>
      <c r="G3131" s="7">
        <v>3659510</v>
      </c>
      <c r="H3131" s="7">
        <v>2355</v>
      </c>
      <c r="I3131" s="7">
        <v>302</v>
      </c>
      <c r="J3131" s="7">
        <v>652</v>
      </c>
      <c r="K3131" s="7" t="s">
        <v>18</v>
      </c>
      <c r="L3131" s="8">
        <v>39987.315405092595</v>
      </c>
      <c r="M3131" s="9" t="s">
        <v>19</v>
      </c>
      <c r="N3131" s="9" t="s">
        <v>20</v>
      </c>
      <c r="O3131" s="6" t="str">
        <f>HYPERLINK("https://pbs.twimg.com/profile_images/962471262747529216/Uo8lOkRJ_normal.jpg","View")</f>
        <v>View</v>
      </c>
      <c r="P3131" s="7"/>
    </row>
    <row r="3132" spans="1:16">
      <c r="A3132" s="3">
        <v>43899.934652777782</v>
      </c>
      <c r="B3132" s="4" t="str">
        <f>HYPERLINK("https://twitter.com/petrogustavo","@petrogustavo")</f>
        <v>@petrogustavo</v>
      </c>
      <c r="C3132" s="5" t="s">
        <v>16</v>
      </c>
      <c r="D3132" s="5" t="s">
        <v>3070</v>
      </c>
      <c r="E3132" s="6" t="str">
        <f>HYPERLINK("https://twitter.com/petrogustavo/status/1237059550559252482","1237059550559252482")</f>
        <v>1237059550559252482</v>
      </c>
      <c r="F3132" s="7" t="s">
        <v>17</v>
      </c>
      <c r="G3132" s="7">
        <v>3659545</v>
      </c>
      <c r="H3132" s="7">
        <v>2355</v>
      </c>
      <c r="I3132" s="7">
        <v>270</v>
      </c>
      <c r="J3132" s="7">
        <v>691</v>
      </c>
      <c r="K3132" s="7" t="s">
        <v>18</v>
      </c>
      <c r="L3132" s="8">
        <v>39987.315405092595</v>
      </c>
      <c r="M3132" s="9" t="s">
        <v>19</v>
      </c>
      <c r="N3132" s="9" t="s">
        <v>20</v>
      </c>
      <c r="O3132" s="6" t="str">
        <f>HYPERLINK("https://pbs.twimg.com/profile_images/962471262747529216/Uo8lOkRJ_normal.jpg","View")</f>
        <v>View</v>
      </c>
      <c r="P3132" s="7"/>
    </row>
    <row r="3133" spans="1:16">
      <c r="A3133" s="3">
        <v>43899.940891203703</v>
      </c>
      <c r="B3133" s="4" t="str">
        <f>HYPERLINK("https://twitter.com/petrogustavo","@petrogustavo")</f>
        <v>@petrogustavo</v>
      </c>
      <c r="C3133" s="5" t="s">
        <v>16</v>
      </c>
      <c r="D3133" s="5" t="s">
        <v>3071</v>
      </c>
      <c r="E3133" s="6" t="str">
        <f>HYPERLINK("https://twitter.com/petrogustavo/status/1237061809670160385","1237061809670160385")</f>
        <v>1237061809670160385</v>
      </c>
      <c r="F3133" s="7" t="s">
        <v>17</v>
      </c>
      <c r="G3133" s="7">
        <v>3659545</v>
      </c>
      <c r="H3133" s="7">
        <v>2355</v>
      </c>
      <c r="I3133" s="7">
        <v>309</v>
      </c>
      <c r="J3133" s="7">
        <v>0</v>
      </c>
      <c r="K3133" s="7" t="s">
        <v>18</v>
      </c>
      <c r="L3133" s="8">
        <v>39987.315405092595</v>
      </c>
      <c r="M3133" s="9" t="s">
        <v>19</v>
      </c>
      <c r="N3133" s="9" t="s">
        <v>20</v>
      </c>
      <c r="O3133" s="6" t="str">
        <f>HYPERLINK("https://pbs.twimg.com/profile_images/962471262747529216/Uo8lOkRJ_normal.jpg","View")</f>
        <v>View</v>
      </c>
      <c r="P3133" s="7"/>
    </row>
    <row r="3134" spans="1:16">
      <c r="A3134" s="3">
        <v>43899.941979166666</v>
      </c>
      <c r="B3134" s="4" t="str">
        <f>HYPERLINK("https://twitter.com/petrogustavo","@petrogustavo")</f>
        <v>@petrogustavo</v>
      </c>
      <c r="C3134" s="5" t="s">
        <v>16</v>
      </c>
      <c r="D3134" s="5" t="s">
        <v>3072</v>
      </c>
      <c r="E3134" s="6" t="str">
        <f>HYPERLINK("https://twitter.com/petrogustavo/status/1237062205025247234","1237062205025247234")</f>
        <v>1237062205025247234</v>
      </c>
      <c r="F3134" s="7" t="s">
        <v>17</v>
      </c>
      <c r="G3134" s="7">
        <v>3659545</v>
      </c>
      <c r="H3134" s="7">
        <v>2355</v>
      </c>
      <c r="I3134" s="7">
        <v>102</v>
      </c>
      <c r="J3134" s="7">
        <v>245</v>
      </c>
      <c r="K3134" s="7" t="s">
        <v>18</v>
      </c>
      <c r="L3134" s="8">
        <v>39987.315405092595</v>
      </c>
      <c r="M3134" s="9" t="s">
        <v>19</v>
      </c>
      <c r="N3134" s="9" t="s">
        <v>20</v>
      </c>
      <c r="O3134" s="6" t="str">
        <f>HYPERLINK("https://pbs.twimg.com/profile_images/962471262747529216/Uo8lOkRJ_normal.jpg","View")</f>
        <v>View</v>
      </c>
      <c r="P3134" s="7"/>
    </row>
    <row r="3135" spans="1:16">
      <c r="A3135" s="3">
        <v>43899.942685185189</v>
      </c>
      <c r="B3135" s="4" t="str">
        <f>HYPERLINK("https://twitter.com/petrogustavo","@petrogustavo")</f>
        <v>@petrogustavo</v>
      </c>
      <c r="C3135" s="5" t="s">
        <v>16</v>
      </c>
      <c r="D3135" s="5" t="s">
        <v>3073</v>
      </c>
      <c r="E3135" s="6" t="str">
        <f>HYPERLINK("https://twitter.com/petrogustavo/status/1237062458424115202","1237062458424115202")</f>
        <v>1237062458424115202</v>
      </c>
      <c r="F3135" s="7" t="s">
        <v>17</v>
      </c>
      <c r="G3135" s="7">
        <v>3659545</v>
      </c>
      <c r="H3135" s="7">
        <v>2355</v>
      </c>
      <c r="I3135" s="7">
        <v>33</v>
      </c>
      <c r="J3135" s="7">
        <v>0</v>
      </c>
      <c r="K3135" s="7" t="s">
        <v>18</v>
      </c>
      <c r="L3135" s="8">
        <v>39987.315405092595</v>
      </c>
      <c r="M3135" s="9" t="s">
        <v>19</v>
      </c>
      <c r="N3135" s="9" t="s">
        <v>20</v>
      </c>
      <c r="O3135" s="6" t="str">
        <f>HYPERLINK("https://pbs.twimg.com/profile_images/962471262747529216/Uo8lOkRJ_normal.jpg","View")</f>
        <v>View</v>
      </c>
      <c r="P3135" s="7"/>
    </row>
    <row r="3136" spans="1:16">
      <c r="A3136" s="3">
        <v>43899.995092592595</v>
      </c>
      <c r="B3136" s="4" t="str">
        <f>HYPERLINK("https://twitter.com/petrogustavo","@petrogustavo")</f>
        <v>@petrogustavo</v>
      </c>
      <c r="C3136" s="5" t="s">
        <v>16</v>
      </c>
      <c r="D3136" s="5" t="s">
        <v>3074</v>
      </c>
      <c r="E3136" s="6" t="str">
        <f>HYPERLINK("https://twitter.com/petrogustavo/status/1237081453126615040","1237081453126615040")</f>
        <v>1237081453126615040</v>
      </c>
      <c r="F3136" s="7" t="s">
        <v>17</v>
      </c>
      <c r="G3136" s="7">
        <v>3659672</v>
      </c>
      <c r="H3136" s="7">
        <v>2355</v>
      </c>
      <c r="I3136" s="7">
        <v>751</v>
      </c>
      <c r="J3136" s="7">
        <v>0</v>
      </c>
      <c r="K3136" s="7" t="s">
        <v>18</v>
      </c>
      <c r="L3136" s="8">
        <v>39987.315405092595</v>
      </c>
      <c r="M3136" s="9" t="s">
        <v>19</v>
      </c>
      <c r="N3136" s="9" t="s">
        <v>20</v>
      </c>
      <c r="O3136" s="6" t="str">
        <f>HYPERLINK("https://pbs.twimg.com/profile_images/962471262747529216/Uo8lOkRJ_normal.jpg","View")</f>
        <v>View</v>
      </c>
      <c r="P3136" s="7"/>
    </row>
    <row r="3137" spans="1:16">
      <c r="A3137" s="3">
        <v>43899.995682870373</v>
      </c>
      <c r="B3137" s="4" t="str">
        <f>HYPERLINK("https://twitter.com/petrogustavo","@petrogustavo")</f>
        <v>@petrogustavo</v>
      </c>
      <c r="C3137" s="5" t="s">
        <v>16</v>
      </c>
      <c r="D3137" s="5" t="s">
        <v>3075</v>
      </c>
      <c r="E3137" s="6" t="str">
        <f>HYPERLINK("https://twitter.com/petrogustavo/status/1237081666407063554","1237081666407063554")</f>
        <v>1237081666407063554</v>
      </c>
      <c r="F3137" s="7" t="s">
        <v>17</v>
      </c>
      <c r="G3137" s="7">
        <v>3659672</v>
      </c>
      <c r="H3137" s="7">
        <v>2355</v>
      </c>
      <c r="I3137" s="7">
        <v>91</v>
      </c>
      <c r="J3137" s="7">
        <v>0</v>
      </c>
      <c r="K3137" s="7" t="s">
        <v>18</v>
      </c>
      <c r="L3137" s="8">
        <v>39987.315405092595</v>
      </c>
      <c r="M3137" s="9" t="s">
        <v>19</v>
      </c>
      <c r="N3137" s="9" t="s">
        <v>20</v>
      </c>
      <c r="O3137" s="6" t="str">
        <f>HYPERLINK("https://pbs.twimg.com/profile_images/962471262747529216/Uo8lOkRJ_normal.jpg","View")</f>
        <v>View</v>
      </c>
      <c r="P3137" s="7"/>
    </row>
    <row r="3138" spans="1:16">
      <c r="A3138" s="3">
        <v>43900.248217592598</v>
      </c>
      <c r="B3138" s="4" t="str">
        <f>HYPERLINK("https://twitter.com/petrogustavo","@petrogustavo")</f>
        <v>@petrogustavo</v>
      </c>
      <c r="C3138" s="5" t="s">
        <v>16</v>
      </c>
      <c r="D3138" s="5" t="s">
        <v>3076</v>
      </c>
      <c r="E3138" s="6" t="str">
        <f>HYPERLINK("https://twitter.com/petrogustavo/status/1237173181410091009","1237173181410091009")</f>
        <v>1237173181410091009</v>
      </c>
      <c r="F3138" s="7" t="s">
        <v>17</v>
      </c>
      <c r="G3138" s="7">
        <v>3660020</v>
      </c>
      <c r="H3138" s="7">
        <v>2355</v>
      </c>
      <c r="I3138" s="7">
        <v>1974</v>
      </c>
      <c r="J3138" s="7">
        <v>0</v>
      </c>
      <c r="K3138" s="7" t="s">
        <v>18</v>
      </c>
      <c r="L3138" s="8">
        <v>39987.315405092595</v>
      </c>
      <c r="M3138" s="9" t="s">
        <v>19</v>
      </c>
      <c r="N3138" s="9" t="s">
        <v>20</v>
      </c>
      <c r="O3138" s="6" t="str">
        <f>HYPERLINK("https://pbs.twimg.com/profile_images/962471262747529216/Uo8lOkRJ_normal.jpg","View")</f>
        <v>View</v>
      </c>
      <c r="P3138" s="7"/>
    </row>
    <row r="3139" spans="1:16">
      <c r="A3139" s="3">
        <v>43900.250625000001</v>
      </c>
      <c r="B3139" s="4" t="str">
        <f>HYPERLINK("https://twitter.com/petrogustavo","@petrogustavo")</f>
        <v>@petrogustavo</v>
      </c>
      <c r="C3139" s="5" t="s">
        <v>16</v>
      </c>
      <c r="D3139" s="5" t="s">
        <v>3077</v>
      </c>
      <c r="E3139" s="6" t="str">
        <f>HYPERLINK("https://twitter.com/petrogustavo/status/1237174053636583426","1237174053636583426")</f>
        <v>1237174053636583426</v>
      </c>
      <c r="F3139" s="7" t="s">
        <v>17</v>
      </c>
      <c r="G3139" s="7">
        <v>3660020</v>
      </c>
      <c r="H3139" s="7">
        <v>2355</v>
      </c>
      <c r="I3139" s="7">
        <v>86</v>
      </c>
      <c r="J3139" s="7">
        <v>236</v>
      </c>
      <c r="K3139" s="7" t="s">
        <v>18</v>
      </c>
      <c r="L3139" s="8">
        <v>39987.315405092595</v>
      </c>
      <c r="M3139" s="9" t="s">
        <v>19</v>
      </c>
      <c r="N3139" s="9" t="s">
        <v>20</v>
      </c>
      <c r="O3139" s="6" t="str">
        <f>HYPERLINK("https://pbs.twimg.com/profile_images/962471262747529216/Uo8lOkRJ_normal.jpg","View")</f>
        <v>View</v>
      </c>
      <c r="P3139" s="7"/>
    </row>
    <row r="3140" spans="1:16">
      <c r="A3140" s="3">
        <v>43900.253518518519</v>
      </c>
      <c r="B3140" s="4" t="str">
        <f>HYPERLINK("https://twitter.com/petrogustavo","@petrogustavo")</f>
        <v>@petrogustavo</v>
      </c>
      <c r="C3140" s="5" t="s">
        <v>16</v>
      </c>
      <c r="D3140" s="5" t="s">
        <v>3078</v>
      </c>
      <c r="E3140" s="6" t="str">
        <f>HYPERLINK("https://twitter.com/petrogustavo/status/1237175102111911936","1237175102111911936")</f>
        <v>1237175102111911936</v>
      </c>
      <c r="F3140" s="7" t="s">
        <v>17</v>
      </c>
      <c r="G3140" s="7">
        <v>3660020</v>
      </c>
      <c r="H3140" s="7">
        <v>2355</v>
      </c>
      <c r="I3140" s="7">
        <v>103</v>
      </c>
      <c r="J3140" s="7">
        <v>375</v>
      </c>
      <c r="K3140" s="7" t="s">
        <v>18</v>
      </c>
      <c r="L3140" s="8">
        <v>39987.315405092595</v>
      </c>
      <c r="M3140" s="9" t="s">
        <v>19</v>
      </c>
      <c r="N3140" s="9" t="s">
        <v>20</v>
      </c>
      <c r="O3140" s="6" t="str">
        <f>HYPERLINK("https://pbs.twimg.com/profile_images/962471262747529216/Uo8lOkRJ_normal.jpg","View")</f>
        <v>View</v>
      </c>
      <c r="P3140" s="7"/>
    </row>
    <row r="3141" spans="1:16">
      <c r="A3141" s="3">
        <v>43900.256909722222</v>
      </c>
      <c r="B3141" s="4" t="str">
        <f>HYPERLINK("https://twitter.com/petrogustavo","@petrogustavo")</f>
        <v>@petrogustavo</v>
      </c>
      <c r="C3141" s="5" t="s">
        <v>16</v>
      </c>
      <c r="D3141" s="5" t="s">
        <v>3079</v>
      </c>
      <c r="E3141" s="6" t="str">
        <f>HYPERLINK("https://twitter.com/petrogustavo/status/1237176328748752898","1237176328748752898")</f>
        <v>1237176328748752898</v>
      </c>
      <c r="F3141" s="7" t="s">
        <v>17</v>
      </c>
      <c r="G3141" s="7">
        <v>3660020</v>
      </c>
      <c r="H3141" s="7">
        <v>2355</v>
      </c>
      <c r="I3141" s="7">
        <v>81</v>
      </c>
      <c r="J3141" s="7">
        <v>141</v>
      </c>
      <c r="K3141" s="7" t="s">
        <v>18</v>
      </c>
      <c r="L3141" s="8">
        <v>39987.315405092595</v>
      </c>
      <c r="M3141" s="9" t="s">
        <v>19</v>
      </c>
      <c r="N3141" s="9" t="s">
        <v>20</v>
      </c>
      <c r="O3141" s="6" t="str">
        <f>HYPERLINK("https://pbs.twimg.com/profile_images/962471262747529216/Uo8lOkRJ_normal.jpg","View")</f>
        <v>View</v>
      </c>
      <c r="P3141" s="7"/>
    </row>
    <row r="3142" spans="1:16">
      <c r="A3142" s="3">
        <v>43900.258263888885</v>
      </c>
      <c r="B3142" s="4" t="str">
        <f>HYPERLINK("https://twitter.com/petrogustavo","@petrogustavo")</f>
        <v>@petrogustavo</v>
      </c>
      <c r="C3142" s="5" t="s">
        <v>16</v>
      </c>
      <c r="D3142" s="5" t="s">
        <v>3080</v>
      </c>
      <c r="E3142" s="6" t="str">
        <f>HYPERLINK("https://twitter.com/petrogustavo/status/1237176821201936387","1237176821201936387")</f>
        <v>1237176821201936387</v>
      </c>
      <c r="F3142" s="7" t="s">
        <v>17</v>
      </c>
      <c r="G3142" s="7">
        <v>3660020</v>
      </c>
      <c r="H3142" s="7">
        <v>2355</v>
      </c>
      <c r="I3142" s="7">
        <v>311</v>
      </c>
      <c r="J3142" s="7">
        <v>0</v>
      </c>
      <c r="K3142" s="7" t="s">
        <v>18</v>
      </c>
      <c r="L3142" s="8">
        <v>39987.315405092595</v>
      </c>
      <c r="M3142" s="9" t="s">
        <v>19</v>
      </c>
      <c r="N3142" s="9" t="s">
        <v>20</v>
      </c>
      <c r="O3142" s="6" t="str">
        <f>HYPERLINK("https://pbs.twimg.com/profile_images/962471262747529216/Uo8lOkRJ_normal.jpg","View")</f>
        <v>View</v>
      </c>
      <c r="P3142" s="7"/>
    </row>
    <row r="3143" spans="1:16">
      <c r="A3143" s="3">
        <v>43900.342210648145</v>
      </c>
      <c r="B3143" s="4" t="str">
        <f>HYPERLINK("https://twitter.com/petrogustavo","@petrogustavo")</f>
        <v>@petrogustavo</v>
      </c>
      <c r="C3143" s="5" t="s">
        <v>16</v>
      </c>
      <c r="D3143" s="5" t="s">
        <v>3081</v>
      </c>
      <c r="E3143" s="6" t="str">
        <f>HYPERLINK("https://twitter.com/petrogustavo/status/1237207244359467008","1237207244359467008")</f>
        <v>1237207244359467008</v>
      </c>
      <c r="F3143" s="7" t="s">
        <v>17</v>
      </c>
      <c r="G3143" s="7">
        <v>3660192</v>
      </c>
      <c r="H3143" s="7">
        <v>2355</v>
      </c>
      <c r="I3143" s="7">
        <v>108</v>
      </c>
      <c r="J3143" s="7">
        <v>0</v>
      </c>
      <c r="K3143" s="7" t="s">
        <v>18</v>
      </c>
      <c r="L3143" s="8">
        <v>39987.315405092595</v>
      </c>
      <c r="M3143" s="9" t="s">
        <v>19</v>
      </c>
      <c r="N3143" s="9" t="s">
        <v>20</v>
      </c>
      <c r="O3143" s="6" t="str">
        <f>HYPERLINK("https://pbs.twimg.com/profile_images/962471262747529216/Uo8lOkRJ_normal.jpg","View")</f>
        <v>View</v>
      </c>
      <c r="P3143" s="7"/>
    </row>
    <row r="3144" spans="1:16">
      <c r="A3144" s="3">
        <v>43900.350613425922</v>
      </c>
      <c r="B3144" s="4" t="str">
        <f>HYPERLINK("https://twitter.com/petrogustavo","@petrogustavo")</f>
        <v>@petrogustavo</v>
      </c>
      <c r="C3144" s="5" t="s">
        <v>16</v>
      </c>
      <c r="D3144" s="5" t="s">
        <v>3082</v>
      </c>
      <c r="E3144" s="6" t="str">
        <f>HYPERLINK("https://twitter.com/petrogustavo/status/1237210288279162882","1237210288279162882")</f>
        <v>1237210288279162882</v>
      </c>
      <c r="F3144" s="7" t="s">
        <v>17</v>
      </c>
      <c r="G3144" s="7">
        <v>3660210</v>
      </c>
      <c r="H3144" s="7">
        <v>2355</v>
      </c>
      <c r="I3144" s="7">
        <v>760</v>
      </c>
      <c r="J3144" s="7">
        <v>0</v>
      </c>
      <c r="K3144" s="7" t="s">
        <v>18</v>
      </c>
      <c r="L3144" s="8">
        <v>39987.315405092595</v>
      </c>
      <c r="M3144" s="9" t="s">
        <v>19</v>
      </c>
      <c r="N3144" s="9" t="s">
        <v>20</v>
      </c>
      <c r="O3144" s="6" t="str">
        <f>HYPERLINK("https://pbs.twimg.com/profile_images/962471262747529216/Uo8lOkRJ_normal.jpg","View")</f>
        <v>View</v>
      </c>
      <c r="P3144" s="7"/>
    </row>
    <row r="3145" spans="1:16">
      <c r="A3145" s="3">
        <v>43900.351412037038</v>
      </c>
      <c r="B3145" s="4" t="str">
        <f>HYPERLINK("https://twitter.com/petrogustavo","@petrogustavo")</f>
        <v>@petrogustavo</v>
      </c>
      <c r="C3145" s="5" t="s">
        <v>16</v>
      </c>
      <c r="D3145" s="5" t="s">
        <v>3083</v>
      </c>
      <c r="E3145" s="6" t="str">
        <f>HYPERLINK("https://twitter.com/petrogustavo/status/1237210577556180993","1237210577556180993")</f>
        <v>1237210577556180993</v>
      </c>
      <c r="F3145" s="7" t="s">
        <v>17</v>
      </c>
      <c r="G3145" s="7">
        <v>3660210</v>
      </c>
      <c r="H3145" s="7">
        <v>2355</v>
      </c>
      <c r="I3145" s="7">
        <v>105</v>
      </c>
      <c r="J3145" s="7">
        <v>0</v>
      </c>
      <c r="K3145" s="7" t="s">
        <v>18</v>
      </c>
      <c r="L3145" s="8">
        <v>39987.315405092595</v>
      </c>
      <c r="M3145" s="9" t="s">
        <v>19</v>
      </c>
      <c r="N3145" s="9" t="s">
        <v>20</v>
      </c>
      <c r="O3145" s="6" t="str">
        <f>HYPERLINK("https://pbs.twimg.com/profile_images/962471262747529216/Uo8lOkRJ_normal.jpg","View")</f>
        <v>View</v>
      </c>
      <c r="P3145" s="7"/>
    </row>
    <row r="3146" spans="1:16">
      <c r="A3146" s="3">
        <v>43900.353599537033</v>
      </c>
      <c r="B3146" s="4" t="str">
        <f>HYPERLINK("https://twitter.com/petrogustavo","@petrogustavo")</f>
        <v>@petrogustavo</v>
      </c>
      <c r="C3146" s="5" t="s">
        <v>16</v>
      </c>
      <c r="D3146" s="5" t="s">
        <v>3084</v>
      </c>
      <c r="E3146" s="6" t="str">
        <f>HYPERLINK("https://twitter.com/petrogustavo/status/1237211368320876544","1237211368320876544")</f>
        <v>1237211368320876544</v>
      </c>
      <c r="F3146" s="7" t="s">
        <v>17</v>
      </c>
      <c r="G3146" s="7">
        <v>3660210</v>
      </c>
      <c r="H3146" s="7">
        <v>2355</v>
      </c>
      <c r="I3146" s="7">
        <v>394</v>
      </c>
      <c r="J3146" s="7">
        <v>0</v>
      </c>
      <c r="K3146" s="7" t="s">
        <v>18</v>
      </c>
      <c r="L3146" s="8">
        <v>39987.315405092595</v>
      </c>
      <c r="M3146" s="9" t="s">
        <v>19</v>
      </c>
      <c r="N3146" s="9" t="s">
        <v>20</v>
      </c>
      <c r="O3146" s="6" t="str">
        <f>HYPERLINK("https://pbs.twimg.com/profile_images/962471262747529216/Uo8lOkRJ_normal.jpg","View")</f>
        <v>View</v>
      </c>
      <c r="P3146" s="7"/>
    </row>
    <row r="3147" spans="1:16">
      <c r="A3147" s="3">
        <v>43900.361168981486</v>
      </c>
      <c r="B3147" s="4" t="str">
        <f>HYPERLINK("https://twitter.com/petrogustavo","@petrogustavo")</f>
        <v>@petrogustavo</v>
      </c>
      <c r="C3147" s="5" t="s">
        <v>16</v>
      </c>
      <c r="D3147" s="5" t="s">
        <v>3085</v>
      </c>
      <c r="E3147" s="6" t="str">
        <f>HYPERLINK("https://twitter.com/petrogustavo/status/1237214114981740544","1237214114981740544")</f>
        <v>1237214114981740544</v>
      </c>
      <c r="F3147" s="7" t="s">
        <v>17</v>
      </c>
      <c r="G3147" s="7">
        <v>3660210</v>
      </c>
      <c r="H3147" s="7">
        <v>2355</v>
      </c>
      <c r="I3147" s="7">
        <v>257</v>
      </c>
      <c r="J3147" s="7">
        <v>0</v>
      </c>
      <c r="K3147" s="7" t="s">
        <v>18</v>
      </c>
      <c r="L3147" s="8">
        <v>39987.315405092595</v>
      </c>
      <c r="M3147" s="9" t="s">
        <v>19</v>
      </c>
      <c r="N3147" s="9" t="s">
        <v>20</v>
      </c>
      <c r="O3147" s="6" t="str">
        <f>HYPERLINK("https://pbs.twimg.com/profile_images/962471262747529216/Uo8lOkRJ_normal.jpg","View")</f>
        <v>View</v>
      </c>
      <c r="P3147" s="7"/>
    </row>
    <row r="3148" spans="1:16">
      <c r="A3148" s="3">
        <v>43900.367048611108</v>
      </c>
      <c r="B3148" s="4" t="str">
        <f>HYPERLINK("https://twitter.com/petrogustavo","@petrogustavo")</f>
        <v>@petrogustavo</v>
      </c>
      <c r="C3148" s="5" t="s">
        <v>16</v>
      </c>
      <c r="D3148" s="5" t="s">
        <v>3086</v>
      </c>
      <c r="E3148" s="6" t="str">
        <f>HYPERLINK("https://twitter.com/petrogustavo/status/1237216243028983810","1237216243028983810")</f>
        <v>1237216243028983810</v>
      </c>
      <c r="F3148" s="7" t="s">
        <v>17</v>
      </c>
      <c r="G3148" s="7">
        <v>3660253</v>
      </c>
      <c r="H3148" s="7">
        <v>2355</v>
      </c>
      <c r="I3148" s="7">
        <v>67</v>
      </c>
      <c r="J3148" s="7">
        <v>0</v>
      </c>
      <c r="K3148" s="7" t="s">
        <v>18</v>
      </c>
      <c r="L3148" s="8">
        <v>39987.315405092595</v>
      </c>
      <c r="M3148" s="9" t="s">
        <v>19</v>
      </c>
      <c r="N3148" s="9" t="s">
        <v>20</v>
      </c>
      <c r="O3148" s="6" t="str">
        <f>HYPERLINK("https://pbs.twimg.com/profile_images/962471262747529216/Uo8lOkRJ_normal.jpg","View")</f>
        <v>View</v>
      </c>
      <c r="P3148" s="7"/>
    </row>
    <row r="3149" spans="1:16">
      <c r="A3149" s="3">
        <v>43900.368229166663</v>
      </c>
      <c r="B3149" s="4" t="str">
        <f>HYPERLINK("https://twitter.com/petrogustavo","@petrogustavo")</f>
        <v>@petrogustavo</v>
      </c>
      <c r="C3149" s="5" t="s">
        <v>16</v>
      </c>
      <c r="D3149" s="5" t="s">
        <v>3087</v>
      </c>
      <c r="E3149" s="6" t="str">
        <f>HYPERLINK("https://twitter.com/petrogustavo/status/1237216670550315008","1237216670550315008")</f>
        <v>1237216670550315008</v>
      </c>
      <c r="F3149" s="7" t="s">
        <v>17</v>
      </c>
      <c r="G3149" s="7">
        <v>3660253</v>
      </c>
      <c r="H3149" s="7">
        <v>2355</v>
      </c>
      <c r="I3149" s="7">
        <v>227</v>
      </c>
      <c r="J3149" s="7">
        <v>0</v>
      </c>
      <c r="K3149" s="7" t="s">
        <v>18</v>
      </c>
      <c r="L3149" s="8">
        <v>39987.315405092595</v>
      </c>
      <c r="M3149" s="9" t="s">
        <v>19</v>
      </c>
      <c r="N3149" s="9" t="s">
        <v>20</v>
      </c>
      <c r="O3149" s="6" t="str">
        <f>HYPERLINK("https://pbs.twimg.com/profile_images/962471262747529216/Uo8lOkRJ_normal.jpg","View")</f>
        <v>View</v>
      </c>
      <c r="P3149" s="7"/>
    </row>
    <row r="3150" spans="1:16">
      <c r="A3150" s="3">
        <v>43900.37122685185</v>
      </c>
      <c r="B3150" s="4" t="str">
        <f>HYPERLINK("https://twitter.com/petrogustavo","@petrogustavo")</f>
        <v>@petrogustavo</v>
      </c>
      <c r="C3150" s="5" t="s">
        <v>16</v>
      </c>
      <c r="D3150" s="5" t="s">
        <v>3088</v>
      </c>
      <c r="E3150" s="6" t="str">
        <f>HYPERLINK("https://twitter.com/petrogustavo/status/1237217759274074112","1237217759274074112")</f>
        <v>1237217759274074112</v>
      </c>
      <c r="F3150" s="7" t="s">
        <v>17</v>
      </c>
      <c r="G3150" s="7">
        <v>3660253</v>
      </c>
      <c r="H3150" s="7">
        <v>2355</v>
      </c>
      <c r="I3150" s="7">
        <v>323</v>
      </c>
      <c r="J3150" s="7">
        <v>1222</v>
      </c>
      <c r="K3150" s="7" t="s">
        <v>18</v>
      </c>
      <c r="L3150" s="8">
        <v>39987.315405092595</v>
      </c>
      <c r="M3150" s="9" t="s">
        <v>19</v>
      </c>
      <c r="N3150" s="9" t="s">
        <v>20</v>
      </c>
      <c r="O3150" s="6" t="str">
        <f>HYPERLINK("https://pbs.twimg.com/profile_images/962471262747529216/Uo8lOkRJ_normal.jpg","View")</f>
        <v>View</v>
      </c>
      <c r="P3150" s="7"/>
    </row>
    <row r="3151" spans="1:16">
      <c r="A3151" s="3">
        <v>43900.37600694444</v>
      </c>
      <c r="B3151" s="4" t="str">
        <f>HYPERLINK("https://twitter.com/petrogustavo","@petrogustavo")</f>
        <v>@petrogustavo</v>
      </c>
      <c r="C3151" s="5" t="s">
        <v>16</v>
      </c>
      <c r="D3151" s="5" t="s">
        <v>3089</v>
      </c>
      <c r="E3151" s="6" t="str">
        <f>HYPERLINK("https://twitter.com/petrogustavo/status/1237219491970498560","1237219491970498560")</f>
        <v>1237219491970498560</v>
      </c>
      <c r="F3151" s="7" t="s">
        <v>17</v>
      </c>
      <c r="G3151" s="7">
        <v>3660253</v>
      </c>
      <c r="H3151" s="7">
        <v>2355</v>
      </c>
      <c r="I3151" s="7">
        <v>61</v>
      </c>
      <c r="J3151" s="7">
        <v>151</v>
      </c>
      <c r="K3151" s="7" t="s">
        <v>18</v>
      </c>
      <c r="L3151" s="8">
        <v>39987.315405092595</v>
      </c>
      <c r="M3151" s="9" t="s">
        <v>19</v>
      </c>
      <c r="N3151" s="9" t="s">
        <v>20</v>
      </c>
      <c r="O3151" s="6" t="str">
        <f>HYPERLINK("https://pbs.twimg.com/profile_images/962471262747529216/Uo8lOkRJ_normal.jpg","View")</f>
        <v>View</v>
      </c>
      <c r="P3151" s="7"/>
    </row>
    <row r="3152" spans="1:16">
      <c r="A3152" s="3">
        <v>43900.783622685187</v>
      </c>
      <c r="B3152" s="4" t="str">
        <f>HYPERLINK("https://twitter.com/petrogustavo","@petrogustavo")</f>
        <v>@petrogustavo</v>
      </c>
      <c r="C3152" s="5" t="s">
        <v>16</v>
      </c>
      <c r="D3152" s="5" t="s">
        <v>3090</v>
      </c>
      <c r="E3152" s="6" t="str">
        <f>HYPERLINK("https://twitter.com/petrogustavo/status/1237367203634253824","1237367203634253824")</f>
        <v>1237367203634253824</v>
      </c>
      <c r="F3152" s="7" t="s">
        <v>17</v>
      </c>
      <c r="G3152" s="7">
        <v>3660491</v>
      </c>
      <c r="H3152" s="7">
        <v>2355</v>
      </c>
      <c r="I3152" s="7">
        <v>1578</v>
      </c>
      <c r="J3152" s="7">
        <v>0</v>
      </c>
      <c r="K3152" s="7" t="s">
        <v>18</v>
      </c>
      <c r="L3152" s="8">
        <v>39987.315405092595</v>
      </c>
      <c r="M3152" s="9" t="s">
        <v>19</v>
      </c>
      <c r="N3152" s="9" t="s">
        <v>20</v>
      </c>
      <c r="O3152" s="6" t="str">
        <f>HYPERLINK("https://pbs.twimg.com/profile_images/962471262747529216/Uo8lOkRJ_normal.jpg","View")</f>
        <v>View</v>
      </c>
      <c r="P3152" s="7"/>
    </row>
    <row r="3153" spans="1:16">
      <c r="A3153" s="3">
        <v>43900.783912037034</v>
      </c>
      <c r="B3153" s="4" t="str">
        <f>HYPERLINK("https://twitter.com/petrogustavo","@petrogustavo")</f>
        <v>@petrogustavo</v>
      </c>
      <c r="C3153" s="5" t="s">
        <v>16</v>
      </c>
      <c r="D3153" s="5" t="s">
        <v>3091</v>
      </c>
      <c r="E3153" s="6" t="str">
        <f>HYPERLINK("https://twitter.com/petrogustavo/status/1237367310454792195","1237367310454792195")</f>
        <v>1237367310454792195</v>
      </c>
      <c r="F3153" s="7" t="s">
        <v>17</v>
      </c>
      <c r="G3153" s="7">
        <v>3660491</v>
      </c>
      <c r="H3153" s="7">
        <v>2355</v>
      </c>
      <c r="I3153" s="7">
        <v>398</v>
      </c>
      <c r="J3153" s="7">
        <v>0</v>
      </c>
      <c r="K3153" s="7" t="s">
        <v>18</v>
      </c>
      <c r="L3153" s="8">
        <v>39987.315405092595</v>
      </c>
      <c r="M3153" s="9" t="s">
        <v>19</v>
      </c>
      <c r="N3153" s="9" t="s">
        <v>20</v>
      </c>
      <c r="O3153" s="6" t="str">
        <f>HYPERLINK("https://pbs.twimg.com/profile_images/962471262747529216/Uo8lOkRJ_normal.jpg","View")</f>
        <v>View</v>
      </c>
      <c r="P3153" s="7"/>
    </row>
    <row r="3154" spans="1:16">
      <c r="A3154" s="3">
        <v>43900.785196759258</v>
      </c>
      <c r="B3154" s="4" t="str">
        <f>HYPERLINK("https://twitter.com/petrogustavo","@petrogustavo")</f>
        <v>@petrogustavo</v>
      </c>
      <c r="C3154" s="5" t="s">
        <v>16</v>
      </c>
      <c r="D3154" s="5" t="s">
        <v>3092</v>
      </c>
      <c r="E3154" s="6" t="str">
        <f>HYPERLINK("https://twitter.com/petrogustavo/status/1237367773942161408","1237367773942161408")</f>
        <v>1237367773942161408</v>
      </c>
      <c r="F3154" s="7" t="s">
        <v>17</v>
      </c>
      <c r="G3154" s="7">
        <v>3660491</v>
      </c>
      <c r="H3154" s="7">
        <v>2355</v>
      </c>
      <c r="I3154" s="7">
        <v>84</v>
      </c>
      <c r="J3154" s="7">
        <v>0</v>
      </c>
      <c r="K3154" s="7" t="s">
        <v>18</v>
      </c>
      <c r="L3154" s="8">
        <v>39987.315405092595</v>
      </c>
      <c r="M3154" s="9" t="s">
        <v>19</v>
      </c>
      <c r="N3154" s="9" t="s">
        <v>20</v>
      </c>
      <c r="O3154" s="6" t="str">
        <f>HYPERLINK("https://pbs.twimg.com/profile_images/962471262747529216/Uo8lOkRJ_normal.jpg","View")</f>
        <v>View</v>
      </c>
      <c r="P3154" s="7"/>
    </row>
    <row r="3155" spans="1:16">
      <c r="A3155" s="3">
        <v>43900.785995370374</v>
      </c>
      <c r="B3155" s="4" t="str">
        <f>HYPERLINK("https://twitter.com/petrogustavo","@petrogustavo")</f>
        <v>@petrogustavo</v>
      </c>
      <c r="C3155" s="5" t="s">
        <v>16</v>
      </c>
      <c r="D3155" s="5" t="s">
        <v>3093</v>
      </c>
      <c r="E3155" s="6" t="str">
        <f>HYPERLINK("https://twitter.com/petrogustavo/status/1237368063793782784","1237368063793782784")</f>
        <v>1237368063793782784</v>
      </c>
      <c r="F3155" s="7" t="s">
        <v>17</v>
      </c>
      <c r="G3155" s="7">
        <v>3660491</v>
      </c>
      <c r="H3155" s="7">
        <v>2355</v>
      </c>
      <c r="I3155" s="7">
        <v>1206</v>
      </c>
      <c r="J3155" s="7">
        <v>0</v>
      </c>
      <c r="K3155" s="7" t="s">
        <v>18</v>
      </c>
      <c r="L3155" s="8">
        <v>39987.315405092595</v>
      </c>
      <c r="M3155" s="9" t="s">
        <v>19</v>
      </c>
      <c r="N3155" s="9" t="s">
        <v>20</v>
      </c>
      <c r="O3155" s="6" t="str">
        <f>HYPERLINK("https://pbs.twimg.com/profile_images/962471262747529216/Uo8lOkRJ_normal.jpg","View")</f>
        <v>View</v>
      </c>
      <c r="P3155" s="7"/>
    </row>
    <row r="3156" spans="1:16">
      <c r="A3156" s="3">
        <v>43900.789930555555</v>
      </c>
      <c r="B3156" s="4" t="str">
        <f>HYPERLINK("https://twitter.com/petrogustavo","@petrogustavo")</f>
        <v>@petrogustavo</v>
      </c>
      <c r="C3156" s="5" t="s">
        <v>16</v>
      </c>
      <c r="D3156" s="5" t="s">
        <v>3094</v>
      </c>
      <c r="E3156" s="6" t="str">
        <f>HYPERLINK("https://twitter.com/petrogustavo/status/1237369491962593287","1237369491962593287")</f>
        <v>1237369491962593287</v>
      </c>
      <c r="F3156" s="7" t="s">
        <v>17</v>
      </c>
      <c r="G3156" s="7">
        <v>3660491</v>
      </c>
      <c r="H3156" s="7">
        <v>2355</v>
      </c>
      <c r="I3156" s="7">
        <v>149</v>
      </c>
      <c r="J3156" s="7">
        <v>259</v>
      </c>
      <c r="K3156" s="7" t="s">
        <v>18</v>
      </c>
      <c r="L3156" s="8">
        <v>39987.315405092595</v>
      </c>
      <c r="M3156" s="9" t="s">
        <v>19</v>
      </c>
      <c r="N3156" s="9" t="s">
        <v>20</v>
      </c>
      <c r="O3156" s="6" t="str">
        <f>HYPERLINK("https://pbs.twimg.com/profile_images/962471262747529216/Uo8lOkRJ_normal.jpg","View")</f>
        <v>View</v>
      </c>
      <c r="P3156" s="7"/>
    </row>
    <row r="3157" spans="1:16">
      <c r="A3157" s="3">
        <v>43900.793530092589</v>
      </c>
      <c r="B3157" s="4" t="str">
        <f>HYPERLINK("https://twitter.com/petrogustavo","@petrogustavo")</f>
        <v>@petrogustavo</v>
      </c>
      <c r="C3157" s="5" t="s">
        <v>16</v>
      </c>
      <c r="D3157" s="5" t="s">
        <v>3095</v>
      </c>
      <c r="E3157" s="6" t="str">
        <f>HYPERLINK("https://twitter.com/petrogustavo/status/1237370795304853506","1237370795304853506")</f>
        <v>1237370795304853506</v>
      </c>
      <c r="F3157" s="7" t="s">
        <v>17</v>
      </c>
      <c r="G3157" s="7">
        <v>3660491</v>
      </c>
      <c r="H3157" s="7">
        <v>2355</v>
      </c>
      <c r="I3157" s="7">
        <v>95</v>
      </c>
      <c r="J3157" s="7">
        <v>0</v>
      </c>
      <c r="K3157" s="7" t="s">
        <v>18</v>
      </c>
      <c r="L3157" s="8">
        <v>39987.315405092595</v>
      </c>
      <c r="M3157" s="9" t="s">
        <v>19</v>
      </c>
      <c r="N3157" s="9" t="s">
        <v>20</v>
      </c>
      <c r="O3157" s="6" t="str">
        <f>HYPERLINK("https://pbs.twimg.com/profile_images/962471262747529216/Uo8lOkRJ_normal.jpg","View")</f>
        <v>View</v>
      </c>
      <c r="P3157" s="7"/>
    </row>
    <row r="3158" spans="1:16">
      <c r="A3158" s="3">
        <v>43900.794270833328</v>
      </c>
      <c r="B3158" s="4" t="str">
        <f>HYPERLINK("https://twitter.com/petrogustavo","@petrogustavo")</f>
        <v>@petrogustavo</v>
      </c>
      <c r="C3158" s="5" t="s">
        <v>16</v>
      </c>
      <c r="D3158" s="5" t="s">
        <v>3096</v>
      </c>
      <c r="E3158" s="6" t="str">
        <f>HYPERLINK("https://twitter.com/petrogustavo/status/1237371065057320961","1237371065057320961")</f>
        <v>1237371065057320961</v>
      </c>
      <c r="F3158" s="7" t="s">
        <v>17</v>
      </c>
      <c r="G3158" s="7">
        <v>3660491</v>
      </c>
      <c r="H3158" s="7">
        <v>2355</v>
      </c>
      <c r="I3158" s="7">
        <v>60</v>
      </c>
      <c r="J3158" s="7">
        <v>0</v>
      </c>
      <c r="K3158" s="7" t="s">
        <v>18</v>
      </c>
      <c r="L3158" s="8">
        <v>39987.315405092595</v>
      </c>
      <c r="M3158" s="9" t="s">
        <v>19</v>
      </c>
      <c r="N3158" s="9" t="s">
        <v>20</v>
      </c>
      <c r="O3158" s="6" t="str">
        <f>HYPERLINK("https://pbs.twimg.com/profile_images/962471262747529216/Uo8lOkRJ_normal.jpg","View")</f>
        <v>View</v>
      </c>
      <c r="P3158" s="7"/>
    </row>
    <row r="3159" spans="1:16">
      <c r="A3159" s="3">
        <v>43900.804178240738</v>
      </c>
      <c r="B3159" s="4" t="str">
        <f>HYPERLINK("https://twitter.com/petrogustavo","@petrogustavo")</f>
        <v>@petrogustavo</v>
      </c>
      <c r="C3159" s="5" t="s">
        <v>16</v>
      </c>
      <c r="D3159" s="5" t="s">
        <v>3097</v>
      </c>
      <c r="E3159" s="6" t="str">
        <f>HYPERLINK("https://twitter.com/petrogustavo/status/1237374652898521089","1237374652898521089")</f>
        <v>1237374652898521089</v>
      </c>
      <c r="F3159" s="7" t="s">
        <v>17</v>
      </c>
      <c r="G3159" s="7">
        <v>3660491</v>
      </c>
      <c r="H3159" s="7">
        <v>2355</v>
      </c>
      <c r="I3159" s="7">
        <v>2416</v>
      </c>
      <c r="J3159" s="7">
        <v>0</v>
      </c>
      <c r="K3159" s="7" t="s">
        <v>18</v>
      </c>
      <c r="L3159" s="8">
        <v>39987.315405092595</v>
      </c>
      <c r="M3159" s="9" t="s">
        <v>19</v>
      </c>
      <c r="N3159" s="9" t="s">
        <v>20</v>
      </c>
      <c r="O3159" s="6" t="str">
        <f>HYPERLINK("https://pbs.twimg.com/profile_images/962471262747529216/Uo8lOkRJ_normal.jpg","View")</f>
        <v>View</v>
      </c>
      <c r="P3159" s="7"/>
    </row>
    <row r="3160" spans="1:16">
      <c r="A3160" s="3">
        <v>43900.806446759263</v>
      </c>
      <c r="B3160" s="4" t="str">
        <f>HYPERLINK("https://twitter.com/petrogustavo","@petrogustavo")</f>
        <v>@petrogustavo</v>
      </c>
      <c r="C3160" s="5" t="s">
        <v>16</v>
      </c>
      <c r="D3160" s="5" t="s">
        <v>3098</v>
      </c>
      <c r="E3160" s="6" t="str">
        <f>HYPERLINK("https://twitter.com/petrogustavo/status/1237375476030726144","1237375476030726144")</f>
        <v>1237375476030726144</v>
      </c>
      <c r="F3160" s="7" t="s">
        <v>17</v>
      </c>
      <c r="G3160" s="7">
        <v>3660524</v>
      </c>
      <c r="H3160" s="7">
        <v>2355</v>
      </c>
      <c r="I3160" s="7">
        <v>70</v>
      </c>
      <c r="J3160" s="7">
        <v>0</v>
      </c>
      <c r="K3160" s="7" t="s">
        <v>18</v>
      </c>
      <c r="L3160" s="8">
        <v>39987.315405092595</v>
      </c>
      <c r="M3160" s="9" t="s">
        <v>19</v>
      </c>
      <c r="N3160" s="9" t="s">
        <v>20</v>
      </c>
      <c r="O3160" s="6" t="str">
        <f>HYPERLINK("https://pbs.twimg.com/profile_images/962471262747529216/Uo8lOkRJ_normal.jpg","View")</f>
        <v>View</v>
      </c>
      <c r="P3160" s="7"/>
    </row>
    <row r="3161" spans="1:16">
      <c r="A3161" s="3">
        <v>43900.81113425926</v>
      </c>
      <c r="B3161" s="4" t="str">
        <f>HYPERLINK("https://twitter.com/petrogustavo","@petrogustavo")</f>
        <v>@petrogustavo</v>
      </c>
      <c r="C3161" s="5" t="s">
        <v>16</v>
      </c>
      <c r="D3161" s="5" t="s">
        <v>3099</v>
      </c>
      <c r="E3161" s="6" t="str">
        <f>HYPERLINK("https://twitter.com/petrogustavo/status/1237377176066023424","1237377176066023424")</f>
        <v>1237377176066023424</v>
      </c>
      <c r="F3161" s="7" t="s">
        <v>17</v>
      </c>
      <c r="G3161" s="7">
        <v>3660524</v>
      </c>
      <c r="H3161" s="7">
        <v>2355</v>
      </c>
      <c r="I3161" s="7">
        <v>455</v>
      </c>
      <c r="J3161" s="7">
        <v>0</v>
      </c>
      <c r="K3161" s="7" t="s">
        <v>18</v>
      </c>
      <c r="L3161" s="8">
        <v>39987.315405092595</v>
      </c>
      <c r="M3161" s="9" t="s">
        <v>19</v>
      </c>
      <c r="N3161" s="9" t="s">
        <v>20</v>
      </c>
      <c r="O3161" s="6" t="str">
        <f>HYPERLINK("https://pbs.twimg.com/profile_images/962471262747529216/Uo8lOkRJ_normal.jpg","View")</f>
        <v>View</v>
      </c>
      <c r="P3161" s="7"/>
    </row>
    <row r="3162" spans="1:16">
      <c r="A3162" s="3">
        <v>43900.813368055555</v>
      </c>
      <c r="B3162" s="4" t="str">
        <f>HYPERLINK("https://twitter.com/petrogustavo","@petrogustavo")</f>
        <v>@petrogustavo</v>
      </c>
      <c r="C3162" s="5" t="s">
        <v>16</v>
      </c>
      <c r="D3162" s="5" t="s">
        <v>3100</v>
      </c>
      <c r="E3162" s="6" t="str">
        <f>HYPERLINK("https://twitter.com/petrogustavo/status/1237377982295089152","1237377982295089152")</f>
        <v>1237377982295089152</v>
      </c>
      <c r="F3162" s="7" t="s">
        <v>17</v>
      </c>
      <c r="G3162" s="7">
        <v>3660524</v>
      </c>
      <c r="H3162" s="7">
        <v>2355</v>
      </c>
      <c r="I3162" s="7">
        <v>54</v>
      </c>
      <c r="J3162" s="7">
        <v>0</v>
      </c>
      <c r="K3162" s="7" t="s">
        <v>18</v>
      </c>
      <c r="L3162" s="8">
        <v>39987.315405092595</v>
      </c>
      <c r="M3162" s="9" t="s">
        <v>19</v>
      </c>
      <c r="N3162" s="9" t="s">
        <v>20</v>
      </c>
      <c r="O3162" s="6" t="str">
        <f>HYPERLINK("https://pbs.twimg.com/profile_images/962471262747529216/Uo8lOkRJ_normal.jpg","View")</f>
        <v>View</v>
      </c>
      <c r="P3162" s="7"/>
    </row>
    <row r="3163" spans="1:16">
      <c r="A3163" s="3">
        <v>43900.815763888888</v>
      </c>
      <c r="B3163" s="4" t="str">
        <f>HYPERLINK("https://twitter.com/petrogustavo","@petrogustavo")</f>
        <v>@petrogustavo</v>
      </c>
      <c r="C3163" s="5" t="s">
        <v>16</v>
      </c>
      <c r="D3163" s="5" t="s">
        <v>3101</v>
      </c>
      <c r="E3163" s="6" t="str">
        <f>HYPERLINK("https://twitter.com/petrogustavo/status/1237378851908530176","1237378851908530176")</f>
        <v>1237378851908530176</v>
      </c>
      <c r="F3163" s="7" t="s">
        <v>17</v>
      </c>
      <c r="G3163" s="7">
        <v>3660524</v>
      </c>
      <c r="H3163" s="7">
        <v>2355</v>
      </c>
      <c r="I3163" s="7">
        <v>51</v>
      </c>
      <c r="J3163" s="7">
        <v>101</v>
      </c>
      <c r="K3163" s="7" t="s">
        <v>18</v>
      </c>
      <c r="L3163" s="8">
        <v>39987.315405092595</v>
      </c>
      <c r="M3163" s="9" t="s">
        <v>19</v>
      </c>
      <c r="N3163" s="9" t="s">
        <v>20</v>
      </c>
      <c r="O3163" s="6" t="str">
        <f>HYPERLINK("https://pbs.twimg.com/profile_images/962471262747529216/Uo8lOkRJ_normal.jpg","View")</f>
        <v>View</v>
      </c>
      <c r="P3163" s="7"/>
    </row>
    <row r="3164" spans="1:16">
      <c r="A3164" s="3">
        <v>43900.815902777773</v>
      </c>
      <c r="B3164" s="4" t="str">
        <f>HYPERLINK("https://twitter.com/petrogustavo","@petrogustavo")</f>
        <v>@petrogustavo</v>
      </c>
      <c r="C3164" s="5" t="s">
        <v>16</v>
      </c>
      <c r="D3164" s="5" t="s">
        <v>3102</v>
      </c>
      <c r="E3164" s="6" t="str">
        <f>HYPERLINK("https://twitter.com/petrogustavo/status/1237378904081432576","1237378904081432576")</f>
        <v>1237378904081432576</v>
      </c>
      <c r="F3164" s="7" t="s">
        <v>17</v>
      </c>
      <c r="G3164" s="7">
        <v>3660524</v>
      </c>
      <c r="H3164" s="7">
        <v>2355</v>
      </c>
      <c r="I3164" s="7">
        <v>335</v>
      </c>
      <c r="J3164" s="7">
        <v>0</v>
      </c>
      <c r="K3164" s="7" t="s">
        <v>18</v>
      </c>
      <c r="L3164" s="8">
        <v>39987.315405092595</v>
      </c>
      <c r="M3164" s="9" t="s">
        <v>19</v>
      </c>
      <c r="N3164" s="9" t="s">
        <v>20</v>
      </c>
      <c r="O3164" s="6" t="str">
        <f>HYPERLINK("https://pbs.twimg.com/profile_images/962471262747529216/Uo8lOkRJ_normal.jpg","View")</f>
        <v>View</v>
      </c>
      <c r="P3164" s="7"/>
    </row>
    <row r="3165" spans="1:16">
      <c r="A3165" s="3">
        <v>43900.817453703705</v>
      </c>
      <c r="B3165" s="4" t="str">
        <f>HYPERLINK("https://twitter.com/petrogustavo","@petrogustavo")</f>
        <v>@petrogustavo</v>
      </c>
      <c r="C3165" s="5" t="s">
        <v>16</v>
      </c>
      <c r="D3165" s="5" t="s">
        <v>3103</v>
      </c>
      <c r="E3165" s="6" t="str">
        <f>HYPERLINK("https://twitter.com/petrogustavo/status/1237379465484939264","1237379465484939264")</f>
        <v>1237379465484939264</v>
      </c>
      <c r="F3165" s="7" t="s">
        <v>17</v>
      </c>
      <c r="G3165" s="7">
        <v>3660524</v>
      </c>
      <c r="H3165" s="7">
        <v>2355</v>
      </c>
      <c r="I3165" s="7">
        <v>1293</v>
      </c>
      <c r="J3165" s="7">
        <v>0</v>
      </c>
      <c r="K3165" s="7" t="s">
        <v>18</v>
      </c>
      <c r="L3165" s="8">
        <v>39987.315405092595</v>
      </c>
      <c r="M3165" s="9" t="s">
        <v>19</v>
      </c>
      <c r="N3165" s="9" t="s">
        <v>20</v>
      </c>
      <c r="O3165" s="6" t="str">
        <f>HYPERLINK("https://pbs.twimg.com/profile_images/962471262747529216/Uo8lOkRJ_normal.jpg","View")</f>
        <v>View</v>
      </c>
      <c r="P3165" s="7"/>
    </row>
    <row r="3166" spans="1:16">
      <c r="A3166" s="3">
        <v>43900.833506944444</v>
      </c>
      <c r="B3166" s="4" t="str">
        <f>HYPERLINK("https://twitter.com/petrogustavo","@petrogustavo")</f>
        <v>@petrogustavo</v>
      </c>
      <c r="C3166" s="5" t="s">
        <v>16</v>
      </c>
      <c r="D3166" s="5" t="s">
        <v>3104</v>
      </c>
      <c r="E3166" s="6" t="str">
        <f>HYPERLINK("https://twitter.com/petrogustavo/status/1237385282564976646","1237385282564976646")</f>
        <v>1237385282564976646</v>
      </c>
      <c r="F3166" s="7" t="s">
        <v>17</v>
      </c>
      <c r="G3166" s="7">
        <v>3660541</v>
      </c>
      <c r="H3166" s="7">
        <v>2355</v>
      </c>
      <c r="I3166" s="7">
        <v>90</v>
      </c>
      <c r="J3166" s="7">
        <v>251</v>
      </c>
      <c r="K3166" s="7" t="s">
        <v>18</v>
      </c>
      <c r="L3166" s="8">
        <v>39987.315405092595</v>
      </c>
      <c r="M3166" s="9" t="s">
        <v>19</v>
      </c>
      <c r="N3166" s="9" t="s">
        <v>20</v>
      </c>
      <c r="O3166" s="6" t="str">
        <f>HYPERLINK("https://pbs.twimg.com/profile_images/962471262747529216/Uo8lOkRJ_normal.jpg","View")</f>
        <v>View</v>
      </c>
      <c r="P3166" s="7"/>
    </row>
    <row r="3167" spans="1:16">
      <c r="A3167" s="3">
        <v>43900.833506944444</v>
      </c>
      <c r="B3167" s="4" t="str">
        <f>HYPERLINK("https://twitter.com/petrogustavo","@petrogustavo")</f>
        <v>@petrogustavo</v>
      </c>
      <c r="C3167" s="5" t="s">
        <v>16</v>
      </c>
      <c r="D3167" s="5" t="s">
        <v>3105</v>
      </c>
      <c r="E3167" s="6" t="str">
        <f>HYPERLINK("https://twitter.com/petrogustavo/status/1237385284175577094","1237385284175577094")</f>
        <v>1237385284175577094</v>
      </c>
      <c r="F3167" s="7" t="s">
        <v>17</v>
      </c>
      <c r="G3167" s="7">
        <v>3660541</v>
      </c>
      <c r="H3167" s="7">
        <v>2355</v>
      </c>
      <c r="I3167" s="7">
        <v>32</v>
      </c>
      <c r="J3167" s="7">
        <v>85</v>
      </c>
      <c r="K3167" s="7" t="s">
        <v>18</v>
      </c>
      <c r="L3167" s="8">
        <v>39987.315405092595</v>
      </c>
      <c r="M3167" s="9" t="s">
        <v>19</v>
      </c>
      <c r="N3167" s="9" t="s">
        <v>20</v>
      </c>
      <c r="O3167" s="6" t="str">
        <f>HYPERLINK("https://pbs.twimg.com/profile_images/962471262747529216/Uo8lOkRJ_normal.jpg","View")</f>
        <v>View</v>
      </c>
      <c r="P3167" s="7"/>
    </row>
    <row r="3168" spans="1:16">
      <c r="A3168" s="3">
        <v>43900.833518518513</v>
      </c>
      <c r="B3168" s="4" t="str">
        <f>HYPERLINK("https://twitter.com/petrogustavo","@petrogustavo")</f>
        <v>@petrogustavo</v>
      </c>
      <c r="C3168" s="5" t="s">
        <v>16</v>
      </c>
      <c r="D3168" s="5" t="s">
        <v>3106</v>
      </c>
      <c r="E3168" s="6" t="str">
        <f>HYPERLINK("https://twitter.com/petrogustavo/status/1237385285769428997","1237385285769428997")</f>
        <v>1237385285769428997</v>
      </c>
      <c r="F3168" s="7" t="s">
        <v>17</v>
      </c>
      <c r="G3168" s="7">
        <v>3660541</v>
      </c>
      <c r="H3168" s="7">
        <v>2355</v>
      </c>
      <c r="I3168" s="7">
        <v>29</v>
      </c>
      <c r="J3168" s="7">
        <v>108</v>
      </c>
      <c r="K3168" s="7" t="s">
        <v>18</v>
      </c>
      <c r="L3168" s="8">
        <v>39987.315405092595</v>
      </c>
      <c r="M3168" s="9" t="s">
        <v>19</v>
      </c>
      <c r="N3168" s="9" t="s">
        <v>20</v>
      </c>
      <c r="O3168" s="6" t="str">
        <f>HYPERLINK("https://pbs.twimg.com/profile_images/962471262747529216/Uo8lOkRJ_normal.jpg","View")</f>
        <v>View</v>
      </c>
      <c r="P3168" s="7"/>
    </row>
    <row r="3169" spans="1:16">
      <c r="A3169" s="3">
        <v>43900.838773148149</v>
      </c>
      <c r="B3169" s="4" t="str">
        <f>HYPERLINK("https://twitter.com/petrogustavo","@petrogustavo")</f>
        <v>@petrogustavo</v>
      </c>
      <c r="C3169" s="5" t="s">
        <v>16</v>
      </c>
      <c r="D3169" s="5" t="s">
        <v>3107</v>
      </c>
      <c r="E3169" s="6" t="str">
        <f>HYPERLINK("https://twitter.com/petrogustavo/status/1237387191489146880","1237387191489146880")</f>
        <v>1237387191489146880</v>
      </c>
      <c r="F3169" s="7" t="s">
        <v>17</v>
      </c>
      <c r="G3169" s="7">
        <v>3660541</v>
      </c>
      <c r="H3169" s="7">
        <v>2355</v>
      </c>
      <c r="I3169" s="7">
        <v>117</v>
      </c>
      <c r="J3169" s="7">
        <v>0</v>
      </c>
      <c r="K3169" s="7" t="s">
        <v>18</v>
      </c>
      <c r="L3169" s="8">
        <v>39987.315405092595</v>
      </c>
      <c r="M3169" s="9" t="s">
        <v>19</v>
      </c>
      <c r="N3169" s="9" t="s">
        <v>20</v>
      </c>
      <c r="O3169" s="6" t="str">
        <f>HYPERLINK("https://pbs.twimg.com/profile_images/962471262747529216/Uo8lOkRJ_normal.jpg","View")</f>
        <v>View</v>
      </c>
      <c r="P3169" s="7"/>
    </row>
    <row r="3170" spans="1:16">
      <c r="A3170" s="3">
        <v>43900.843692129631</v>
      </c>
      <c r="B3170" s="4" t="str">
        <f>HYPERLINK("https://twitter.com/petrogustavo","@petrogustavo")</f>
        <v>@petrogustavo</v>
      </c>
      <c r="C3170" s="5" t="s">
        <v>16</v>
      </c>
      <c r="D3170" s="5" t="s">
        <v>3108</v>
      </c>
      <c r="E3170" s="6" t="str">
        <f>HYPERLINK("https://twitter.com/petrogustavo/status/1237388972101218316","1237388972101218316")</f>
        <v>1237388972101218316</v>
      </c>
      <c r="F3170" s="7" t="s">
        <v>17</v>
      </c>
      <c r="G3170" s="7">
        <v>3660541</v>
      </c>
      <c r="H3170" s="7">
        <v>2355</v>
      </c>
      <c r="I3170" s="7">
        <v>15263</v>
      </c>
      <c r="J3170" s="7">
        <v>0</v>
      </c>
      <c r="K3170" s="7" t="s">
        <v>18</v>
      </c>
      <c r="L3170" s="8">
        <v>39987.315405092595</v>
      </c>
      <c r="M3170" s="9" t="s">
        <v>19</v>
      </c>
      <c r="N3170" s="9" t="s">
        <v>20</v>
      </c>
      <c r="O3170" s="6" t="str">
        <f>HYPERLINK("https://pbs.twimg.com/profile_images/962471262747529216/Uo8lOkRJ_normal.jpg","View")</f>
        <v>View</v>
      </c>
      <c r="P3170" s="7"/>
    </row>
    <row r="3171" spans="1:16">
      <c r="A3171" s="3">
        <v>43900.845162037032</v>
      </c>
      <c r="B3171" s="4" t="str">
        <f>HYPERLINK("https://twitter.com/petrogustavo","@petrogustavo")</f>
        <v>@petrogustavo</v>
      </c>
      <c r="C3171" s="5" t="s">
        <v>16</v>
      </c>
      <c r="D3171" s="5" t="s">
        <v>3109</v>
      </c>
      <c r="E3171" s="6" t="str">
        <f>HYPERLINK("https://twitter.com/petrogustavo/status/1237389506208124936","1237389506208124936")</f>
        <v>1237389506208124936</v>
      </c>
      <c r="F3171" s="7" t="s">
        <v>17</v>
      </c>
      <c r="G3171" s="7">
        <v>3660541</v>
      </c>
      <c r="H3171" s="7">
        <v>2355</v>
      </c>
      <c r="I3171" s="7">
        <v>6</v>
      </c>
      <c r="J3171" s="7">
        <v>31</v>
      </c>
      <c r="K3171" s="7" t="s">
        <v>18</v>
      </c>
      <c r="L3171" s="8">
        <v>39987.315405092595</v>
      </c>
      <c r="M3171" s="9" t="s">
        <v>19</v>
      </c>
      <c r="N3171" s="9" t="s">
        <v>20</v>
      </c>
      <c r="O3171" s="6" t="str">
        <f>HYPERLINK("https://pbs.twimg.com/profile_images/962471262747529216/Uo8lOkRJ_normal.jpg","View")</f>
        <v>View</v>
      </c>
      <c r="P3171" s="7"/>
    </row>
    <row r="3172" spans="1:16">
      <c r="A3172" s="3">
        <v>43900.850370370375</v>
      </c>
      <c r="B3172" s="4" t="str">
        <f>HYPERLINK("https://twitter.com/petrogustavo","@petrogustavo")</f>
        <v>@petrogustavo</v>
      </c>
      <c r="C3172" s="5" t="s">
        <v>16</v>
      </c>
      <c r="D3172" s="5" t="s">
        <v>3110</v>
      </c>
      <c r="E3172" s="6" t="str">
        <f>HYPERLINK("https://twitter.com/petrogustavo/status/1237391392726331392","1237391392726331392")</f>
        <v>1237391392726331392</v>
      </c>
      <c r="F3172" s="7" t="s">
        <v>17</v>
      </c>
      <c r="G3172" s="7">
        <v>3660593</v>
      </c>
      <c r="H3172" s="7">
        <v>2355</v>
      </c>
      <c r="I3172" s="7">
        <v>41</v>
      </c>
      <c r="J3172" s="7">
        <v>0</v>
      </c>
      <c r="K3172" s="7" t="s">
        <v>18</v>
      </c>
      <c r="L3172" s="8">
        <v>39987.315405092595</v>
      </c>
      <c r="M3172" s="9" t="s">
        <v>19</v>
      </c>
      <c r="N3172" s="9" t="s">
        <v>20</v>
      </c>
      <c r="O3172" s="6" t="str">
        <f>HYPERLINK("https://pbs.twimg.com/profile_images/962471262747529216/Uo8lOkRJ_normal.jpg","View")</f>
        <v>View</v>
      </c>
      <c r="P3172" s="7"/>
    </row>
    <row r="3173" spans="1:16">
      <c r="A3173" s="3">
        <v>43900.850717592592</v>
      </c>
      <c r="B3173" s="4" t="str">
        <f>HYPERLINK("https://twitter.com/petrogustavo","@petrogustavo")</f>
        <v>@petrogustavo</v>
      </c>
      <c r="C3173" s="5" t="s">
        <v>16</v>
      </c>
      <c r="D3173" s="5" t="s">
        <v>3111</v>
      </c>
      <c r="E3173" s="6" t="str">
        <f>HYPERLINK("https://twitter.com/petrogustavo/status/1237391517443973127","1237391517443973127")</f>
        <v>1237391517443973127</v>
      </c>
      <c r="F3173" s="7" t="s">
        <v>17</v>
      </c>
      <c r="G3173" s="7">
        <v>3660593</v>
      </c>
      <c r="H3173" s="7">
        <v>2355</v>
      </c>
      <c r="I3173" s="7">
        <v>115</v>
      </c>
      <c r="J3173" s="7">
        <v>0</v>
      </c>
      <c r="K3173" s="7" t="s">
        <v>18</v>
      </c>
      <c r="L3173" s="8">
        <v>39987.315405092595</v>
      </c>
      <c r="M3173" s="9" t="s">
        <v>19</v>
      </c>
      <c r="N3173" s="9" t="s">
        <v>20</v>
      </c>
      <c r="O3173" s="6" t="str">
        <f>HYPERLINK("https://pbs.twimg.com/profile_images/962471262747529216/Uo8lOkRJ_normal.jpg","View")</f>
        <v>View</v>
      </c>
      <c r="P3173" s="7"/>
    </row>
    <row r="3174" spans="1:16">
      <c r="A3174" s="3">
        <v>43900.851111111115</v>
      </c>
      <c r="B3174" s="4" t="str">
        <f>HYPERLINK("https://twitter.com/petrogustavo","@petrogustavo")</f>
        <v>@petrogustavo</v>
      </c>
      <c r="C3174" s="5" t="s">
        <v>16</v>
      </c>
      <c r="D3174" s="5" t="s">
        <v>3112</v>
      </c>
      <c r="E3174" s="6" t="str">
        <f>HYPERLINK("https://twitter.com/petrogustavo/status/1237391662499770368","1237391662499770368")</f>
        <v>1237391662499770368</v>
      </c>
      <c r="F3174" s="7" t="s">
        <v>17</v>
      </c>
      <c r="G3174" s="7">
        <v>3660593</v>
      </c>
      <c r="H3174" s="7">
        <v>2355</v>
      </c>
      <c r="I3174" s="7">
        <v>53</v>
      </c>
      <c r="J3174" s="7">
        <v>0</v>
      </c>
      <c r="K3174" s="7" t="s">
        <v>18</v>
      </c>
      <c r="L3174" s="8">
        <v>39987.315405092595</v>
      </c>
      <c r="M3174" s="9" t="s">
        <v>19</v>
      </c>
      <c r="N3174" s="9" t="s">
        <v>20</v>
      </c>
      <c r="O3174" s="6" t="str">
        <f>HYPERLINK("https://pbs.twimg.com/profile_images/962471262747529216/Uo8lOkRJ_normal.jpg","View")</f>
        <v>View</v>
      </c>
      <c r="P3174" s="7"/>
    </row>
    <row r="3175" spans="1:16">
      <c r="A3175" s="3">
        <v>43900.853854166664</v>
      </c>
      <c r="B3175" s="4" t="str">
        <f>HYPERLINK("https://twitter.com/petrogustavo","@petrogustavo")</f>
        <v>@petrogustavo</v>
      </c>
      <c r="C3175" s="5" t="s">
        <v>16</v>
      </c>
      <c r="D3175" s="5" t="s">
        <v>3113</v>
      </c>
      <c r="E3175" s="6" t="str">
        <f>HYPERLINK("https://twitter.com/petrogustavo/status/1237392657736851457","1237392657736851457")</f>
        <v>1237392657736851457</v>
      </c>
      <c r="F3175" s="7" t="s">
        <v>17</v>
      </c>
      <c r="G3175" s="7">
        <v>3660593</v>
      </c>
      <c r="H3175" s="7">
        <v>2355</v>
      </c>
      <c r="I3175" s="7">
        <v>62</v>
      </c>
      <c r="J3175" s="7">
        <v>238</v>
      </c>
      <c r="K3175" s="7" t="s">
        <v>18</v>
      </c>
      <c r="L3175" s="8">
        <v>39987.315405092595</v>
      </c>
      <c r="M3175" s="9" t="s">
        <v>19</v>
      </c>
      <c r="N3175" s="9" t="s">
        <v>20</v>
      </c>
      <c r="O3175" s="6" t="str">
        <f>HYPERLINK("https://pbs.twimg.com/profile_images/962471262747529216/Uo8lOkRJ_normal.jpg","View")</f>
        <v>View</v>
      </c>
      <c r="P3175" s="7"/>
    </row>
    <row r="3176" spans="1:16">
      <c r="A3176" s="3">
        <v>43900.855324074073</v>
      </c>
      <c r="B3176" s="4" t="str">
        <f>HYPERLINK("https://twitter.com/petrogustavo","@petrogustavo")</f>
        <v>@petrogustavo</v>
      </c>
      <c r="C3176" s="5" t="s">
        <v>16</v>
      </c>
      <c r="D3176" s="5" t="s">
        <v>3114</v>
      </c>
      <c r="E3176" s="6" t="str">
        <f>HYPERLINK("https://twitter.com/petrogustavo/status/1237393189473882114","1237393189473882114")</f>
        <v>1237393189473882114</v>
      </c>
      <c r="F3176" s="7" t="s">
        <v>17</v>
      </c>
      <c r="G3176" s="7">
        <v>3660593</v>
      </c>
      <c r="H3176" s="7">
        <v>2355</v>
      </c>
      <c r="I3176" s="7">
        <v>176</v>
      </c>
      <c r="J3176" s="7">
        <v>0</v>
      </c>
      <c r="K3176" s="7" t="s">
        <v>18</v>
      </c>
      <c r="L3176" s="8">
        <v>39987.315405092595</v>
      </c>
      <c r="M3176" s="9" t="s">
        <v>19</v>
      </c>
      <c r="N3176" s="9" t="s">
        <v>20</v>
      </c>
      <c r="O3176" s="6" t="str">
        <f>HYPERLINK("https://pbs.twimg.com/profile_images/962471262747529216/Uo8lOkRJ_normal.jpg","View")</f>
        <v>View</v>
      </c>
      <c r="P3176" s="7"/>
    </row>
    <row r="3177" spans="1:16">
      <c r="A3177" s="3">
        <v>43900.856608796297</v>
      </c>
      <c r="B3177" s="4" t="str">
        <f>HYPERLINK("https://twitter.com/petrogustavo","@petrogustavo")</f>
        <v>@petrogustavo</v>
      </c>
      <c r="C3177" s="5" t="s">
        <v>16</v>
      </c>
      <c r="D3177" s="5" t="s">
        <v>3115</v>
      </c>
      <c r="E3177" s="6" t="str">
        <f>HYPERLINK("https://twitter.com/petrogustavo/status/1237393653342932992","1237393653342932992")</f>
        <v>1237393653342932992</v>
      </c>
      <c r="F3177" s="7" t="s">
        <v>17</v>
      </c>
      <c r="G3177" s="7">
        <v>3660593</v>
      </c>
      <c r="H3177" s="7">
        <v>2355</v>
      </c>
      <c r="I3177" s="7">
        <v>199</v>
      </c>
      <c r="J3177" s="7">
        <v>0</v>
      </c>
      <c r="K3177" s="7" t="s">
        <v>18</v>
      </c>
      <c r="L3177" s="8">
        <v>39987.315405092595</v>
      </c>
      <c r="M3177" s="9" t="s">
        <v>19</v>
      </c>
      <c r="N3177" s="9" t="s">
        <v>20</v>
      </c>
      <c r="O3177" s="6" t="str">
        <f>HYPERLINK("https://pbs.twimg.com/profile_images/962471262747529216/Uo8lOkRJ_normal.jpg","View")</f>
        <v>View</v>
      </c>
      <c r="P3177" s="7"/>
    </row>
    <row r="3178" spans="1:16">
      <c r="A3178" s="3">
        <v>43900.857164351852</v>
      </c>
      <c r="B3178" s="4" t="str">
        <f>HYPERLINK("https://twitter.com/petrogustavo","@petrogustavo")</f>
        <v>@petrogustavo</v>
      </c>
      <c r="C3178" s="5" t="s">
        <v>16</v>
      </c>
      <c r="D3178" s="5" t="s">
        <v>3097</v>
      </c>
      <c r="E3178" s="6" t="str">
        <f>HYPERLINK("https://twitter.com/petrogustavo/status/1237393856695418900","1237393856695418900")</f>
        <v>1237393856695418900</v>
      </c>
      <c r="F3178" s="7" t="s">
        <v>17</v>
      </c>
      <c r="G3178" s="7">
        <v>3660593</v>
      </c>
      <c r="H3178" s="7">
        <v>2355</v>
      </c>
      <c r="I3178" s="7">
        <v>2765</v>
      </c>
      <c r="J3178" s="7">
        <v>0</v>
      </c>
      <c r="K3178" s="7" t="s">
        <v>18</v>
      </c>
      <c r="L3178" s="8">
        <v>39987.315405092595</v>
      </c>
      <c r="M3178" s="9" t="s">
        <v>19</v>
      </c>
      <c r="N3178" s="9" t="s">
        <v>20</v>
      </c>
      <c r="O3178" s="6" t="str">
        <f>HYPERLINK("https://pbs.twimg.com/profile_images/962471262747529216/Uo8lOkRJ_normal.jpg","View")</f>
        <v>View</v>
      </c>
      <c r="P3178" s="7"/>
    </row>
    <row r="3179" spans="1:16">
      <c r="A3179" s="3">
        <v>43900.85737268519</v>
      </c>
      <c r="B3179" s="4" t="str">
        <f>HYPERLINK("https://twitter.com/petrogustavo","@petrogustavo")</f>
        <v>@petrogustavo</v>
      </c>
      <c r="C3179" s="5" t="s">
        <v>16</v>
      </c>
      <c r="D3179" s="5" t="s">
        <v>3116</v>
      </c>
      <c r="E3179" s="6" t="str">
        <f>HYPERLINK("https://twitter.com/petrogustavo/status/1237393932989771778","1237393932989771778")</f>
        <v>1237393932989771778</v>
      </c>
      <c r="F3179" s="7" t="s">
        <v>17</v>
      </c>
      <c r="G3179" s="7">
        <v>3660593</v>
      </c>
      <c r="H3179" s="7">
        <v>2355</v>
      </c>
      <c r="I3179" s="7">
        <v>170</v>
      </c>
      <c r="J3179" s="7">
        <v>0</v>
      </c>
      <c r="K3179" s="7" t="s">
        <v>18</v>
      </c>
      <c r="L3179" s="8">
        <v>39987.315405092595</v>
      </c>
      <c r="M3179" s="9" t="s">
        <v>19</v>
      </c>
      <c r="N3179" s="9" t="s">
        <v>20</v>
      </c>
      <c r="O3179" s="6" t="str">
        <f>HYPERLINK("https://pbs.twimg.com/profile_images/962471262747529216/Uo8lOkRJ_normal.jpg","View")</f>
        <v>View</v>
      </c>
      <c r="P3179" s="7"/>
    </row>
    <row r="3180" spans="1:16">
      <c r="A3180" s="3">
        <v>43900.919548611113</v>
      </c>
      <c r="B3180" s="4" t="str">
        <f>HYPERLINK("https://twitter.com/petrogustavo","@petrogustavo")</f>
        <v>@petrogustavo</v>
      </c>
      <c r="C3180" s="5" t="s">
        <v>16</v>
      </c>
      <c r="D3180" s="5" t="s">
        <v>3117</v>
      </c>
      <c r="E3180" s="6" t="str">
        <f>HYPERLINK("https://twitter.com/petrogustavo/status/1237416461796335618","1237416461796335618")</f>
        <v>1237416461796335618</v>
      </c>
      <c r="F3180" s="7" t="s">
        <v>32</v>
      </c>
      <c r="G3180" s="7">
        <v>3660677</v>
      </c>
      <c r="H3180" s="7">
        <v>2355</v>
      </c>
      <c r="I3180" s="7">
        <v>279</v>
      </c>
      <c r="J3180" s="7">
        <v>0</v>
      </c>
      <c r="K3180" s="7" t="s">
        <v>18</v>
      </c>
      <c r="L3180" s="8">
        <v>39987.315405092595</v>
      </c>
      <c r="M3180" s="9" t="s">
        <v>19</v>
      </c>
      <c r="N3180" s="9" t="s">
        <v>20</v>
      </c>
      <c r="O3180" s="6" t="str">
        <f>HYPERLINK("https://pbs.twimg.com/profile_images/962471262747529216/Uo8lOkRJ_normal.jpg","View")</f>
        <v>View</v>
      </c>
      <c r="P3180" s="7"/>
    </row>
    <row r="3181" spans="1:16">
      <c r="A3181" s="3">
        <v>43901.049895833334</v>
      </c>
      <c r="B3181" s="4" t="str">
        <f>HYPERLINK("https://twitter.com/petrogustavo","@petrogustavo")</f>
        <v>@petrogustavo</v>
      </c>
      <c r="C3181" s="5" t="s">
        <v>16</v>
      </c>
      <c r="D3181" s="5" t="s">
        <v>3118</v>
      </c>
      <c r="E3181" s="6" t="str">
        <f>HYPERLINK("https://twitter.com/petrogustavo/status/1237463700707123203","1237463700707123203")</f>
        <v>1237463700707123203</v>
      </c>
      <c r="F3181" s="7" t="s">
        <v>32</v>
      </c>
      <c r="G3181" s="7">
        <v>3660859</v>
      </c>
      <c r="H3181" s="7">
        <v>2355</v>
      </c>
      <c r="I3181" s="7">
        <v>72</v>
      </c>
      <c r="J3181" s="7">
        <v>0</v>
      </c>
      <c r="K3181" s="7" t="s">
        <v>18</v>
      </c>
      <c r="L3181" s="8">
        <v>39987.315405092595</v>
      </c>
      <c r="M3181" s="9" t="s">
        <v>19</v>
      </c>
      <c r="N3181" s="9" t="s">
        <v>20</v>
      </c>
      <c r="O3181" s="6" t="str">
        <f>HYPERLINK("https://pbs.twimg.com/profile_images/962471262747529216/Uo8lOkRJ_normal.jpg","View")</f>
        <v>View</v>
      </c>
      <c r="P3181" s="7"/>
    </row>
    <row r="3182" spans="1:16">
      <c r="A3182" s="3">
        <v>43901.151967592596</v>
      </c>
      <c r="B3182" s="4" t="str">
        <f>HYPERLINK("https://twitter.com/petrogustavo","@petrogustavo")</f>
        <v>@petrogustavo</v>
      </c>
      <c r="C3182" s="5" t="s">
        <v>16</v>
      </c>
      <c r="D3182" s="5" t="s">
        <v>3119</v>
      </c>
      <c r="E3182" s="6" t="str">
        <f>HYPERLINK("https://twitter.com/petrogustavo/status/1237500688629936131","1237500688629936131")</f>
        <v>1237500688629936131</v>
      </c>
      <c r="F3182" s="7" t="s">
        <v>32</v>
      </c>
      <c r="G3182" s="7">
        <v>3661014</v>
      </c>
      <c r="H3182" s="7">
        <v>2355</v>
      </c>
      <c r="I3182" s="7">
        <v>2568</v>
      </c>
      <c r="J3182" s="7">
        <v>0</v>
      </c>
      <c r="K3182" s="7" t="s">
        <v>18</v>
      </c>
      <c r="L3182" s="8">
        <v>39987.315405092595</v>
      </c>
      <c r="M3182" s="9" t="s">
        <v>19</v>
      </c>
      <c r="N3182" s="9" t="s">
        <v>20</v>
      </c>
      <c r="O3182" s="6" t="str">
        <f>HYPERLINK("https://pbs.twimg.com/profile_images/962471262747529216/Uo8lOkRJ_normal.jpg","View")</f>
        <v>View</v>
      </c>
      <c r="P3182" s="7"/>
    </row>
    <row r="3183" spans="1:16">
      <c r="A3183" s="3">
        <v>43901.152928240743</v>
      </c>
      <c r="B3183" s="4" t="str">
        <f>HYPERLINK("https://twitter.com/petrogustavo","@petrogustavo")</f>
        <v>@petrogustavo</v>
      </c>
      <c r="C3183" s="5" t="s">
        <v>16</v>
      </c>
      <c r="D3183" s="5" t="s">
        <v>3120</v>
      </c>
      <c r="E3183" s="6" t="str">
        <f>HYPERLINK("https://twitter.com/petrogustavo/status/1237501035851190273","1237501035851190273")</f>
        <v>1237501035851190273</v>
      </c>
      <c r="F3183" s="7" t="s">
        <v>32</v>
      </c>
      <c r="G3183" s="7">
        <v>3661014</v>
      </c>
      <c r="H3183" s="7">
        <v>2355</v>
      </c>
      <c r="I3183" s="7">
        <v>47</v>
      </c>
      <c r="J3183" s="7">
        <v>0</v>
      </c>
      <c r="K3183" s="7" t="s">
        <v>18</v>
      </c>
      <c r="L3183" s="8">
        <v>39987.315405092595</v>
      </c>
      <c r="M3183" s="9" t="s">
        <v>19</v>
      </c>
      <c r="N3183" s="9" t="s">
        <v>20</v>
      </c>
      <c r="O3183" s="6" t="str">
        <f>HYPERLINK("https://pbs.twimg.com/profile_images/962471262747529216/Uo8lOkRJ_normal.jpg","View")</f>
        <v>View</v>
      </c>
      <c r="P3183" s="7"/>
    </row>
    <row r="3184" spans="1:16">
      <c r="A3184" s="3">
        <v>43901.159143518518</v>
      </c>
      <c r="B3184" s="4" t="str">
        <f>HYPERLINK("https://twitter.com/petrogustavo","@petrogustavo")</f>
        <v>@petrogustavo</v>
      </c>
      <c r="C3184" s="5" t="s">
        <v>16</v>
      </c>
      <c r="D3184" s="5" t="s">
        <v>3121</v>
      </c>
      <c r="E3184" s="6" t="str">
        <f>HYPERLINK("https://twitter.com/petrogustavo/status/1237503288284598272","1237503288284598272")</f>
        <v>1237503288284598272</v>
      </c>
      <c r="F3184" s="7" t="s">
        <v>32</v>
      </c>
      <c r="G3184" s="7">
        <v>3661034</v>
      </c>
      <c r="H3184" s="7">
        <v>2355</v>
      </c>
      <c r="I3184" s="7">
        <v>135</v>
      </c>
      <c r="J3184" s="7">
        <v>483</v>
      </c>
      <c r="K3184" s="7" t="s">
        <v>18</v>
      </c>
      <c r="L3184" s="8">
        <v>39987.315405092595</v>
      </c>
      <c r="M3184" s="9" t="s">
        <v>19</v>
      </c>
      <c r="N3184" s="9" t="s">
        <v>20</v>
      </c>
      <c r="O3184" s="6" t="str">
        <f>HYPERLINK("https://pbs.twimg.com/profile_images/962471262747529216/Uo8lOkRJ_normal.jpg","View")</f>
        <v>View</v>
      </c>
      <c r="P3184" s="7"/>
    </row>
    <row r="3185" spans="1:16">
      <c r="A3185" s="3">
        <v>43901.16134259259</v>
      </c>
      <c r="B3185" s="4" t="str">
        <f>HYPERLINK("https://twitter.com/petrogustavo","@petrogustavo")</f>
        <v>@petrogustavo</v>
      </c>
      <c r="C3185" s="5" t="s">
        <v>16</v>
      </c>
      <c r="D3185" s="5" t="s">
        <v>3122</v>
      </c>
      <c r="E3185" s="6" t="str">
        <f>HYPERLINK("https://twitter.com/petrogustavo/status/1237504084569133057","1237504084569133057")</f>
        <v>1237504084569133057</v>
      </c>
      <c r="F3185" s="7" t="s">
        <v>32</v>
      </c>
      <c r="G3185" s="7">
        <v>3661034</v>
      </c>
      <c r="H3185" s="7">
        <v>2355</v>
      </c>
      <c r="I3185" s="7">
        <v>204</v>
      </c>
      <c r="J3185" s="7">
        <v>0</v>
      </c>
      <c r="K3185" s="7" t="s">
        <v>18</v>
      </c>
      <c r="L3185" s="8">
        <v>39987.315405092595</v>
      </c>
      <c r="M3185" s="9" t="s">
        <v>19</v>
      </c>
      <c r="N3185" s="9" t="s">
        <v>20</v>
      </c>
      <c r="O3185" s="6" t="str">
        <f>HYPERLINK("https://pbs.twimg.com/profile_images/962471262747529216/Uo8lOkRJ_normal.jpg","View")</f>
        <v>View</v>
      </c>
      <c r="P3185" s="7"/>
    </row>
    <row r="3186" spans="1:16">
      <c r="A3186" s="3">
        <v>43901.164097222223</v>
      </c>
      <c r="B3186" s="4" t="str">
        <f>HYPERLINK("https://twitter.com/petrogustavo","@petrogustavo")</f>
        <v>@petrogustavo</v>
      </c>
      <c r="C3186" s="5" t="s">
        <v>16</v>
      </c>
      <c r="D3186" s="5" t="s">
        <v>3123</v>
      </c>
      <c r="E3186" s="6" t="str">
        <f>HYPERLINK("https://twitter.com/petrogustavo/status/1237505086198185984","1237505086198185984")</f>
        <v>1237505086198185984</v>
      </c>
      <c r="F3186" s="7" t="s">
        <v>32</v>
      </c>
      <c r="G3186" s="7">
        <v>3661034</v>
      </c>
      <c r="H3186" s="7">
        <v>2355</v>
      </c>
      <c r="I3186" s="7">
        <v>106</v>
      </c>
      <c r="J3186" s="7">
        <v>201</v>
      </c>
      <c r="K3186" s="7" t="s">
        <v>18</v>
      </c>
      <c r="L3186" s="8">
        <v>39987.315405092595</v>
      </c>
      <c r="M3186" s="9" t="s">
        <v>19</v>
      </c>
      <c r="N3186" s="9" t="s">
        <v>20</v>
      </c>
      <c r="O3186" s="6" t="str">
        <f>HYPERLINK("https://pbs.twimg.com/profile_images/962471262747529216/Uo8lOkRJ_normal.jpg","View")</f>
        <v>View</v>
      </c>
      <c r="P3186" s="7"/>
    </row>
    <row r="3187" spans="1:16">
      <c r="A3187" s="3">
        <v>43901.167256944449</v>
      </c>
      <c r="B3187" s="4" t="str">
        <f>HYPERLINK("https://twitter.com/petrogustavo","@petrogustavo")</f>
        <v>@petrogustavo</v>
      </c>
      <c r="C3187" s="5" t="s">
        <v>16</v>
      </c>
      <c r="D3187" s="5" t="s">
        <v>3124</v>
      </c>
      <c r="E3187" s="6" t="str">
        <f>HYPERLINK("https://twitter.com/petrogustavo/status/1237506230932795394","1237506230932795394")</f>
        <v>1237506230932795394</v>
      </c>
      <c r="F3187" s="7" t="s">
        <v>32</v>
      </c>
      <c r="G3187" s="7">
        <v>3661034</v>
      </c>
      <c r="H3187" s="7">
        <v>2355</v>
      </c>
      <c r="I3187" s="7">
        <v>185</v>
      </c>
      <c r="J3187" s="7">
        <v>0</v>
      </c>
      <c r="K3187" s="7" t="s">
        <v>18</v>
      </c>
      <c r="L3187" s="8">
        <v>39987.315405092595</v>
      </c>
      <c r="M3187" s="9" t="s">
        <v>19</v>
      </c>
      <c r="N3187" s="9" t="s">
        <v>20</v>
      </c>
      <c r="O3187" s="6" t="str">
        <f>HYPERLINK("https://pbs.twimg.com/profile_images/962471262747529216/Uo8lOkRJ_normal.jpg","View")</f>
        <v>View</v>
      </c>
      <c r="P3187" s="7"/>
    </row>
    <row r="3188" spans="1:16">
      <c r="A3188" s="3">
        <v>43901.168680555551</v>
      </c>
      <c r="B3188" s="4" t="str">
        <f>HYPERLINK("https://twitter.com/petrogustavo","@petrogustavo")</f>
        <v>@petrogustavo</v>
      </c>
      <c r="C3188" s="5" t="s">
        <v>16</v>
      </c>
      <c r="D3188" s="5" t="s">
        <v>3125</v>
      </c>
      <c r="E3188" s="6" t="str">
        <f>HYPERLINK("https://twitter.com/petrogustavo/status/1237506745095741440","1237506745095741440")</f>
        <v>1237506745095741440</v>
      </c>
      <c r="F3188" s="7" t="s">
        <v>32</v>
      </c>
      <c r="G3188" s="7">
        <v>3661034</v>
      </c>
      <c r="H3188" s="7">
        <v>2355</v>
      </c>
      <c r="I3188" s="7">
        <v>64</v>
      </c>
      <c r="J3188" s="7">
        <v>163</v>
      </c>
      <c r="K3188" s="7" t="s">
        <v>18</v>
      </c>
      <c r="L3188" s="8">
        <v>39987.315405092595</v>
      </c>
      <c r="M3188" s="9" t="s">
        <v>19</v>
      </c>
      <c r="N3188" s="9" t="s">
        <v>20</v>
      </c>
      <c r="O3188" s="6" t="str">
        <f>HYPERLINK("https://pbs.twimg.com/profile_images/962471262747529216/Uo8lOkRJ_normal.jpg","View")</f>
        <v>View</v>
      </c>
      <c r="P3188" s="7"/>
    </row>
    <row r="3189" spans="1:16">
      <c r="A3189" s="3">
        <v>43901.173287037032</v>
      </c>
      <c r="B3189" s="4" t="str">
        <f>HYPERLINK("https://twitter.com/petrogustavo","@petrogustavo")</f>
        <v>@petrogustavo</v>
      </c>
      <c r="C3189" s="5" t="s">
        <v>16</v>
      </c>
      <c r="D3189" s="5" t="s">
        <v>3126</v>
      </c>
      <c r="E3189" s="6" t="str">
        <f>HYPERLINK("https://twitter.com/petrogustavo/status/1237508415901097985","1237508415901097985")</f>
        <v>1237508415901097985</v>
      </c>
      <c r="F3189" s="7" t="s">
        <v>32</v>
      </c>
      <c r="G3189" s="7">
        <v>3661034</v>
      </c>
      <c r="H3189" s="7">
        <v>2355</v>
      </c>
      <c r="I3189" s="7">
        <v>276</v>
      </c>
      <c r="J3189" s="7">
        <v>0</v>
      </c>
      <c r="K3189" s="7" t="s">
        <v>18</v>
      </c>
      <c r="L3189" s="8">
        <v>39987.315405092595</v>
      </c>
      <c r="M3189" s="9" t="s">
        <v>19</v>
      </c>
      <c r="N3189" s="9" t="s">
        <v>20</v>
      </c>
      <c r="O3189" s="6" t="str">
        <f>HYPERLINK("https://pbs.twimg.com/profile_images/962471262747529216/Uo8lOkRJ_normal.jpg","View")</f>
        <v>View</v>
      </c>
      <c r="P3189" s="7"/>
    </row>
    <row r="3190" spans="1:16">
      <c r="A3190" s="3">
        <v>43901.174305555556</v>
      </c>
      <c r="B3190" s="4" t="str">
        <f>HYPERLINK("https://twitter.com/petrogustavo","@petrogustavo")</f>
        <v>@petrogustavo</v>
      </c>
      <c r="C3190" s="5" t="s">
        <v>16</v>
      </c>
      <c r="D3190" s="5" t="s">
        <v>3127</v>
      </c>
      <c r="E3190" s="6" t="str">
        <f>HYPERLINK("https://twitter.com/petrogustavo/status/1237508784928497669","1237508784928497669")</f>
        <v>1237508784928497669</v>
      </c>
      <c r="F3190" s="7" t="s">
        <v>32</v>
      </c>
      <c r="G3190" s="7">
        <v>3661034</v>
      </c>
      <c r="H3190" s="7">
        <v>2355</v>
      </c>
      <c r="I3190" s="7">
        <v>40</v>
      </c>
      <c r="J3190" s="7">
        <v>0</v>
      </c>
      <c r="K3190" s="7" t="s">
        <v>18</v>
      </c>
      <c r="L3190" s="8">
        <v>39987.315405092595</v>
      </c>
      <c r="M3190" s="9" t="s">
        <v>19</v>
      </c>
      <c r="N3190" s="9" t="s">
        <v>20</v>
      </c>
      <c r="O3190" s="6" t="str">
        <f>HYPERLINK("https://pbs.twimg.com/profile_images/962471262747529216/Uo8lOkRJ_normal.jpg","View")</f>
        <v>View</v>
      </c>
      <c r="P3190" s="7"/>
    </row>
    <row r="3191" spans="1:16">
      <c r="A3191" s="3">
        <v>43901.1799537037</v>
      </c>
      <c r="B3191" s="4" t="str">
        <f>HYPERLINK("https://twitter.com/petrogustavo","@petrogustavo")</f>
        <v>@petrogustavo</v>
      </c>
      <c r="C3191" s="5" t="s">
        <v>16</v>
      </c>
      <c r="D3191" s="5" t="s">
        <v>3128</v>
      </c>
      <c r="E3191" s="6" t="str">
        <f>HYPERLINK("https://twitter.com/petrogustavo/status/1237510830519775232","1237510830519775232")</f>
        <v>1237510830519775232</v>
      </c>
      <c r="F3191" s="7" t="s">
        <v>32</v>
      </c>
      <c r="G3191" s="7">
        <v>3661069</v>
      </c>
      <c r="H3191" s="7">
        <v>2355</v>
      </c>
      <c r="I3191" s="7">
        <v>95</v>
      </c>
      <c r="J3191" s="7">
        <v>261</v>
      </c>
      <c r="K3191" s="7" t="s">
        <v>18</v>
      </c>
      <c r="L3191" s="8">
        <v>39987.315405092595</v>
      </c>
      <c r="M3191" s="9" t="s">
        <v>19</v>
      </c>
      <c r="N3191" s="9" t="s">
        <v>20</v>
      </c>
      <c r="O3191" s="6" t="str">
        <f>HYPERLINK("https://pbs.twimg.com/profile_images/962471262747529216/Uo8lOkRJ_normal.jpg","View")</f>
        <v>View</v>
      </c>
      <c r="P3191" s="7"/>
    </row>
    <row r="3192" spans="1:16">
      <c r="A3192" s="3">
        <v>43901.236435185187</v>
      </c>
      <c r="B3192" s="4" t="str">
        <f>HYPERLINK("https://twitter.com/petrogustavo","@petrogustavo")</f>
        <v>@petrogustavo</v>
      </c>
      <c r="C3192" s="5" t="s">
        <v>16</v>
      </c>
      <c r="D3192" s="5" t="s">
        <v>3129</v>
      </c>
      <c r="E3192" s="6" t="str">
        <f>HYPERLINK("https://twitter.com/petrogustavo/status/1237531297997656064","1237531297997656064")</f>
        <v>1237531297997656064</v>
      </c>
      <c r="F3192" s="7" t="s">
        <v>17</v>
      </c>
      <c r="G3192" s="7">
        <v>3661132</v>
      </c>
      <c r="H3192" s="7">
        <v>2355</v>
      </c>
      <c r="I3192" s="7">
        <v>256</v>
      </c>
      <c r="J3192" s="7">
        <v>931</v>
      </c>
      <c r="K3192" s="7" t="s">
        <v>18</v>
      </c>
      <c r="L3192" s="8">
        <v>39987.315405092595</v>
      </c>
      <c r="M3192" s="9" t="s">
        <v>19</v>
      </c>
      <c r="N3192" s="9" t="s">
        <v>20</v>
      </c>
      <c r="O3192" s="6" t="str">
        <f>HYPERLINK("https://pbs.twimg.com/profile_images/962471262747529216/Uo8lOkRJ_normal.jpg","View")</f>
        <v>View</v>
      </c>
      <c r="P3192" s="7"/>
    </row>
    <row r="3193" spans="1:16">
      <c r="A3193" s="3">
        <v>43901.241342592592</v>
      </c>
      <c r="B3193" s="4" t="str">
        <f>HYPERLINK("https://twitter.com/petrogustavo","@petrogustavo")</f>
        <v>@petrogustavo</v>
      </c>
      <c r="C3193" s="5" t="s">
        <v>16</v>
      </c>
      <c r="D3193" s="5" t="s">
        <v>3130</v>
      </c>
      <c r="E3193" s="6" t="str">
        <f>HYPERLINK("https://twitter.com/petrogustavo/status/1237533075292049410","1237533075292049410")</f>
        <v>1237533075292049410</v>
      </c>
      <c r="F3193" s="7" t="s">
        <v>17</v>
      </c>
      <c r="G3193" s="7">
        <v>3661132</v>
      </c>
      <c r="H3193" s="7">
        <v>2355</v>
      </c>
      <c r="I3193" s="7">
        <v>0</v>
      </c>
      <c r="J3193" s="7">
        <v>10</v>
      </c>
      <c r="K3193" s="7" t="s">
        <v>18</v>
      </c>
      <c r="L3193" s="8">
        <v>39987.315405092595</v>
      </c>
      <c r="M3193" s="9" t="s">
        <v>19</v>
      </c>
      <c r="N3193" s="9" t="s">
        <v>20</v>
      </c>
      <c r="O3193" s="6" t="str">
        <f>HYPERLINK("https://pbs.twimg.com/profile_images/962471262747529216/Uo8lOkRJ_normal.jpg","View")</f>
        <v>View</v>
      </c>
      <c r="P3193" s="7"/>
    </row>
    <row r="3194" spans="1:16">
      <c r="A3194" s="3">
        <v>43901.24490740741</v>
      </c>
      <c r="B3194" s="4" t="str">
        <f>HYPERLINK("https://twitter.com/petrogustavo","@petrogustavo")</f>
        <v>@petrogustavo</v>
      </c>
      <c r="C3194" s="5" t="s">
        <v>16</v>
      </c>
      <c r="D3194" s="5" t="s">
        <v>3131</v>
      </c>
      <c r="E3194" s="6" t="str">
        <f>HYPERLINK("https://twitter.com/petrogustavo/status/1237534368492478464","1237534368492478464")</f>
        <v>1237534368492478464</v>
      </c>
      <c r="F3194" s="7" t="s">
        <v>17</v>
      </c>
      <c r="G3194" s="7">
        <v>3661151</v>
      </c>
      <c r="H3194" s="7">
        <v>2355</v>
      </c>
      <c r="I3194" s="7">
        <v>688</v>
      </c>
      <c r="J3194" s="7">
        <v>0</v>
      </c>
      <c r="K3194" s="7" t="s">
        <v>18</v>
      </c>
      <c r="L3194" s="8">
        <v>39987.315405092595</v>
      </c>
      <c r="M3194" s="9" t="s">
        <v>19</v>
      </c>
      <c r="N3194" s="9" t="s">
        <v>20</v>
      </c>
      <c r="O3194" s="6" t="str">
        <f>HYPERLINK("https://pbs.twimg.com/profile_images/962471262747529216/Uo8lOkRJ_normal.jpg","View")</f>
        <v>View</v>
      </c>
      <c r="P3194" s="7"/>
    </row>
    <row r="3195" spans="1:16">
      <c r="A3195" s="3">
        <v>43901.270011574074</v>
      </c>
      <c r="B3195" s="4" t="str">
        <f>HYPERLINK("https://twitter.com/petrogustavo","@petrogustavo")</f>
        <v>@petrogustavo</v>
      </c>
      <c r="C3195" s="5" t="s">
        <v>16</v>
      </c>
      <c r="D3195" s="5" t="s">
        <v>3132</v>
      </c>
      <c r="E3195" s="6" t="str">
        <f>HYPERLINK("https://twitter.com/petrogustavo/status/1237543467384889345","1237543467384889345")</f>
        <v>1237543467384889345</v>
      </c>
      <c r="F3195" s="7" t="s">
        <v>17</v>
      </c>
      <c r="G3195" s="7">
        <v>3661186</v>
      </c>
      <c r="H3195" s="7">
        <v>2355</v>
      </c>
      <c r="I3195" s="7">
        <v>118</v>
      </c>
      <c r="J3195" s="7">
        <v>0</v>
      </c>
      <c r="K3195" s="7" t="s">
        <v>18</v>
      </c>
      <c r="L3195" s="8">
        <v>39987.315405092595</v>
      </c>
      <c r="M3195" s="9" t="s">
        <v>19</v>
      </c>
      <c r="N3195" s="9" t="s">
        <v>20</v>
      </c>
      <c r="O3195" s="6" t="str">
        <f>HYPERLINK("https://pbs.twimg.com/profile_images/962471262747529216/Uo8lOkRJ_normal.jpg","View")</f>
        <v>View</v>
      </c>
      <c r="P3195" s="7"/>
    </row>
    <row r="3196" spans="1:16">
      <c r="A3196" s="3">
        <v>43901.276458333334</v>
      </c>
      <c r="B3196" s="4" t="str">
        <f>HYPERLINK("https://twitter.com/petrogustavo","@petrogustavo")</f>
        <v>@petrogustavo</v>
      </c>
      <c r="C3196" s="5" t="s">
        <v>16</v>
      </c>
      <c r="D3196" s="5" t="s">
        <v>3133</v>
      </c>
      <c r="E3196" s="6" t="str">
        <f>HYPERLINK("https://twitter.com/petrogustavo/status/1237545803129880576","1237545803129880576")</f>
        <v>1237545803129880576</v>
      </c>
      <c r="F3196" s="7" t="s">
        <v>17</v>
      </c>
      <c r="G3196" s="7">
        <v>3661186</v>
      </c>
      <c r="H3196" s="7">
        <v>2355</v>
      </c>
      <c r="I3196" s="7">
        <v>39</v>
      </c>
      <c r="J3196" s="7">
        <v>109</v>
      </c>
      <c r="K3196" s="7" t="s">
        <v>18</v>
      </c>
      <c r="L3196" s="8">
        <v>39987.315405092595</v>
      </c>
      <c r="M3196" s="9" t="s">
        <v>19</v>
      </c>
      <c r="N3196" s="9" t="s">
        <v>20</v>
      </c>
      <c r="O3196" s="6" t="str">
        <f>HYPERLINK("https://pbs.twimg.com/profile_images/962471262747529216/Uo8lOkRJ_normal.jpg","View")</f>
        <v>View</v>
      </c>
      <c r="P3196" s="7"/>
    </row>
    <row r="3197" spans="1:16">
      <c r="A3197" s="3">
        <v>43901.289710648147</v>
      </c>
      <c r="B3197" s="4" t="str">
        <f>HYPERLINK("https://twitter.com/petrogustavo","@petrogustavo")</f>
        <v>@petrogustavo</v>
      </c>
      <c r="C3197" s="5" t="s">
        <v>16</v>
      </c>
      <c r="D3197" s="5" t="s">
        <v>3134</v>
      </c>
      <c r="E3197" s="6" t="str">
        <f>HYPERLINK("https://twitter.com/petrogustavo/status/1237550605742161920","1237550605742161920")</f>
        <v>1237550605742161920</v>
      </c>
      <c r="F3197" s="7" t="s">
        <v>17</v>
      </c>
      <c r="G3197" s="7">
        <v>3661235</v>
      </c>
      <c r="H3197" s="7">
        <v>2355</v>
      </c>
      <c r="I3197" s="7">
        <v>165</v>
      </c>
      <c r="J3197" s="7">
        <v>515</v>
      </c>
      <c r="K3197" s="7" t="s">
        <v>18</v>
      </c>
      <c r="L3197" s="8">
        <v>39987.315405092595</v>
      </c>
      <c r="M3197" s="9" t="s">
        <v>19</v>
      </c>
      <c r="N3197" s="9" t="s">
        <v>20</v>
      </c>
      <c r="O3197" s="6" t="str">
        <f>HYPERLINK("https://pbs.twimg.com/profile_images/962471262747529216/Uo8lOkRJ_normal.jpg","View")</f>
        <v>View</v>
      </c>
      <c r="P3197" s="7"/>
    </row>
    <row r="3198" spans="1:16">
      <c r="A3198" s="3">
        <v>43901.38349537037</v>
      </c>
      <c r="B3198" s="4" t="str">
        <f>HYPERLINK("https://twitter.com/petrogustavo","@petrogustavo")</f>
        <v>@petrogustavo</v>
      </c>
      <c r="C3198" s="5" t="s">
        <v>16</v>
      </c>
      <c r="D3198" s="5" t="s">
        <v>3135</v>
      </c>
      <c r="E3198" s="6" t="str">
        <f>HYPERLINK("https://twitter.com/petrogustavo/status/1237584592678162438","1237584592678162438")</f>
        <v>1237584592678162438</v>
      </c>
      <c r="F3198" s="7" t="s">
        <v>17</v>
      </c>
      <c r="G3198" s="7">
        <v>3661402</v>
      </c>
      <c r="H3198" s="7">
        <v>2355</v>
      </c>
      <c r="I3198" s="7">
        <v>460</v>
      </c>
      <c r="J3198" s="7">
        <v>0</v>
      </c>
      <c r="K3198" s="7" t="s">
        <v>18</v>
      </c>
      <c r="L3198" s="8">
        <v>39987.315405092595</v>
      </c>
      <c r="M3198" s="9" t="s">
        <v>19</v>
      </c>
      <c r="N3198" s="9" t="s">
        <v>20</v>
      </c>
      <c r="O3198" s="6" t="str">
        <f>HYPERLINK("https://pbs.twimg.com/profile_images/962471262747529216/Uo8lOkRJ_normal.jpg","View")</f>
        <v>View</v>
      </c>
      <c r="P3198" s="7"/>
    </row>
    <row r="3199" spans="1:16">
      <c r="A3199" s="3">
        <v>43901.385833333334</v>
      </c>
      <c r="B3199" s="4" t="str">
        <f>HYPERLINK("https://twitter.com/petrogustavo","@petrogustavo")</f>
        <v>@petrogustavo</v>
      </c>
      <c r="C3199" s="5" t="s">
        <v>16</v>
      </c>
      <c r="D3199" s="5" t="s">
        <v>3136</v>
      </c>
      <c r="E3199" s="6" t="str">
        <f>HYPERLINK("https://twitter.com/petrogustavo/status/1237585439202009088","1237585439202009088")</f>
        <v>1237585439202009088</v>
      </c>
      <c r="F3199" s="7" t="s">
        <v>17</v>
      </c>
      <c r="G3199" s="7">
        <v>3661402</v>
      </c>
      <c r="H3199" s="7">
        <v>2355</v>
      </c>
      <c r="I3199" s="7">
        <v>27</v>
      </c>
      <c r="J3199" s="7">
        <v>0</v>
      </c>
      <c r="K3199" s="7" t="s">
        <v>18</v>
      </c>
      <c r="L3199" s="8">
        <v>39987.315405092595</v>
      </c>
      <c r="M3199" s="9" t="s">
        <v>19</v>
      </c>
      <c r="N3199" s="9" t="s">
        <v>20</v>
      </c>
      <c r="O3199" s="6" t="str">
        <f>HYPERLINK("https://pbs.twimg.com/profile_images/962471262747529216/Uo8lOkRJ_normal.jpg","View")</f>
        <v>View</v>
      </c>
      <c r="P3199" s="7"/>
    </row>
    <row r="3200" spans="1:16">
      <c r="A3200" s="3">
        <v>43901.778124999997</v>
      </c>
      <c r="B3200" s="4" t="str">
        <f>HYPERLINK("https://twitter.com/petrogustavo","@petrogustavo")</f>
        <v>@petrogustavo</v>
      </c>
      <c r="C3200" s="5" t="s">
        <v>16</v>
      </c>
      <c r="D3200" s="5" t="s">
        <v>3137</v>
      </c>
      <c r="E3200" s="6" t="str">
        <f>HYPERLINK("https://twitter.com/petrogustavo/status/1237727602330173440","1237727602330173440")</f>
        <v>1237727602330173440</v>
      </c>
      <c r="F3200" s="7" t="s">
        <v>17</v>
      </c>
      <c r="G3200" s="7">
        <v>3661650</v>
      </c>
      <c r="H3200" s="7">
        <v>2355</v>
      </c>
      <c r="I3200" s="7">
        <v>226</v>
      </c>
      <c r="J3200" s="7">
        <v>0</v>
      </c>
      <c r="K3200" s="7" t="s">
        <v>18</v>
      </c>
      <c r="L3200" s="8">
        <v>39987.315405092595</v>
      </c>
      <c r="M3200" s="9" t="s">
        <v>19</v>
      </c>
      <c r="N3200" s="9" t="s">
        <v>20</v>
      </c>
      <c r="O3200" s="6" t="str">
        <f>HYPERLINK("https://pbs.twimg.com/profile_images/962471262747529216/Uo8lOkRJ_normal.jpg","View")</f>
        <v>View</v>
      </c>
      <c r="P3200" s="7"/>
    </row>
    <row r="3201" spans="1:16">
      <c r="A3201" s="3">
        <v>43901.780671296292</v>
      </c>
      <c r="B3201" s="4" t="str">
        <f>HYPERLINK("https://twitter.com/petrogustavo","@petrogustavo")</f>
        <v>@petrogustavo</v>
      </c>
      <c r="C3201" s="5" t="s">
        <v>16</v>
      </c>
      <c r="D3201" s="5" t="s">
        <v>3138</v>
      </c>
      <c r="E3201" s="6" t="str">
        <f>HYPERLINK("https://twitter.com/petrogustavo/status/1237728525219749889","1237728525219749889")</f>
        <v>1237728525219749889</v>
      </c>
      <c r="F3201" s="7" t="s">
        <v>17</v>
      </c>
      <c r="G3201" s="7">
        <v>3661650</v>
      </c>
      <c r="H3201" s="7">
        <v>2355</v>
      </c>
      <c r="I3201" s="7">
        <v>40</v>
      </c>
      <c r="J3201" s="7">
        <v>107</v>
      </c>
      <c r="K3201" s="7" t="s">
        <v>18</v>
      </c>
      <c r="L3201" s="8">
        <v>39987.315405092595</v>
      </c>
      <c r="M3201" s="9" t="s">
        <v>19</v>
      </c>
      <c r="N3201" s="9" t="s">
        <v>20</v>
      </c>
      <c r="O3201" s="6" t="str">
        <f>HYPERLINK("https://pbs.twimg.com/profile_images/962471262747529216/Uo8lOkRJ_normal.jpg","View")</f>
        <v>View</v>
      </c>
      <c r="P3201" s="7"/>
    </row>
    <row r="3202" spans="1:16">
      <c r="A3202" s="3">
        <v>43901.784409722226</v>
      </c>
      <c r="B3202" s="4" t="str">
        <f>HYPERLINK("https://twitter.com/petrogustavo","@petrogustavo")</f>
        <v>@petrogustavo</v>
      </c>
      <c r="C3202" s="5" t="s">
        <v>16</v>
      </c>
      <c r="D3202" s="5" t="s">
        <v>3139</v>
      </c>
      <c r="E3202" s="6" t="str">
        <f>HYPERLINK("https://twitter.com/petrogustavo/status/1237729877022969856","1237729877022969856")</f>
        <v>1237729877022969856</v>
      </c>
      <c r="F3202" s="7" t="s">
        <v>17</v>
      </c>
      <c r="G3202" s="7">
        <v>3661648</v>
      </c>
      <c r="H3202" s="7">
        <v>2355</v>
      </c>
      <c r="I3202" s="7">
        <v>112</v>
      </c>
      <c r="J3202" s="7">
        <v>257</v>
      </c>
      <c r="K3202" s="7" t="s">
        <v>18</v>
      </c>
      <c r="L3202" s="8">
        <v>39987.315405092595</v>
      </c>
      <c r="M3202" s="9" t="s">
        <v>19</v>
      </c>
      <c r="N3202" s="9" t="s">
        <v>20</v>
      </c>
      <c r="O3202" s="6" t="str">
        <f>HYPERLINK("https://pbs.twimg.com/profile_images/962471262747529216/Uo8lOkRJ_normal.jpg","View")</f>
        <v>View</v>
      </c>
      <c r="P3202" s="7"/>
    </row>
    <row r="3203" spans="1:16">
      <c r="A3203" s="3">
        <v>43901.788171296299</v>
      </c>
      <c r="B3203" s="4" t="str">
        <f>HYPERLINK("https://twitter.com/petrogustavo","@petrogustavo")</f>
        <v>@petrogustavo</v>
      </c>
      <c r="C3203" s="5" t="s">
        <v>16</v>
      </c>
      <c r="D3203" s="5" t="s">
        <v>3140</v>
      </c>
      <c r="E3203" s="6" t="str">
        <f>HYPERLINK("https://twitter.com/petrogustavo/status/1237731239458529281","1237731239458529281")</f>
        <v>1237731239458529281</v>
      </c>
      <c r="F3203" s="7" t="s">
        <v>17</v>
      </c>
      <c r="G3203" s="7">
        <v>3661648</v>
      </c>
      <c r="H3203" s="7">
        <v>2355</v>
      </c>
      <c r="I3203" s="7">
        <v>48</v>
      </c>
      <c r="J3203" s="7">
        <v>120</v>
      </c>
      <c r="K3203" s="7" t="s">
        <v>18</v>
      </c>
      <c r="L3203" s="8">
        <v>39987.315405092595</v>
      </c>
      <c r="M3203" s="9" t="s">
        <v>19</v>
      </c>
      <c r="N3203" s="9" t="s">
        <v>20</v>
      </c>
      <c r="O3203" s="6" t="str">
        <f>HYPERLINK("https://pbs.twimg.com/profile_images/962471262747529216/Uo8lOkRJ_normal.jpg","View")</f>
        <v>View</v>
      </c>
      <c r="P3203" s="7"/>
    </row>
    <row r="3204" spans="1:16">
      <c r="A3204" s="3">
        <v>43901.788171296299</v>
      </c>
      <c r="B3204" s="4" t="str">
        <f>HYPERLINK("https://twitter.com/petrogustavo","@petrogustavo")</f>
        <v>@petrogustavo</v>
      </c>
      <c r="C3204" s="5" t="s">
        <v>16</v>
      </c>
      <c r="D3204" s="5" t="s">
        <v>3141</v>
      </c>
      <c r="E3204" s="6" t="str">
        <f>HYPERLINK("https://twitter.com/petrogustavo/status/1237731241241317377","1237731241241317377")</f>
        <v>1237731241241317377</v>
      </c>
      <c r="F3204" s="7" t="s">
        <v>17</v>
      </c>
      <c r="G3204" s="7">
        <v>3661648</v>
      </c>
      <c r="H3204" s="7">
        <v>2355</v>
      </c>
      <c r="I3204" s="7">
        <v>33</v>
      </c>
      <c r="J3204" s="7">
        <v>105</v>
      </c>
      <c r="K3204" s="7" t="s">
        <v>18</v>
      </c>
      <c r="L3204" s="8">
        <v>39987.315405092595</v>
      </c>
      <c r="M3204" s="9" t="s">
        <v>19</v>
      </c>
      <c r="N3204" s="9" t="s">
        <v>20</v>
      </c>
      <c r="O3204" s="6" t="str">
        <f>HYPERLINK("https://pbs.twimg.com/profile_images/962471262747529216/Uo8lOkRJ_normal.jpg","View")</f>
        <v>View</v>
      </c>
      <c r="P3204" s="7"/>
    </row>
    <row r="3205" spans="1:16">
      <c r="A3205" s="3">
        <v>43901.829282407409</v>
      </c>
      <c r="B3205" s="4" t="str">
        <f>HYPERLINK("https://twitter.com/petrogustavo","@petrogustavo")</f>
        <v>@petrogustavo</v>
      </c>
      <c r="C3205" s="5" t="s">
        <v>16</v>
      </c>
      <c r="D3205" s="5" t="s">
        <v>3142</v>
      </c>
      <c r="E3205" s="6" t="str">
        <f>HYPERLINK("https://twitter.com/petrogustavo/status/1237746138297573376","1237746138297573376")</f>
        <v>1237746138297573376</v>
      </c>
      <c r="F3205" s="7" t="s">
        <v>17</v>
      </c>
      <c r="G3205" s="7">
        <v>3661732</v>
      </c>
      <c r="H3205" s="7">
        <v>2355</v>
      </c>
      <c r="I3205" s="7">
        <v>71</v>
      </c>
      <c r="J3205" s="7">
        <v>183</v>
      </c>
      <c r="K3205" s="7" t="s">
        <v>18</v>
      </c>
      <c r="L3205" s="8">
        <v>39987.315405092595</v>
      </c>
      <c r="M3205" s="9" t="s">
        <v>19</v>
      </c>
      <c r="N3205" s="9" t="s">
        <v>20</v>
      </c>
      <c r="O3205" s="6" t="str">
        <f>HYPERLINK("https://pbs.twimg.com/profile_images/962471262747529216/Uo8lOkRJ_normal.jpg","View")</f>
        <v>View</v>
      </c>
      <c r="P3205" s="7"/>
    </row>
    <row r="3206" spans="1:16">
      <c r="A3206" s="3">
        <v>43901.833692129629</v>
      </c>
      <c r="B3206" s="4" t="str">
        <f>HYPERLINK("https://twitter.com/petrogustavo","@petrogustavo")</f>
        <v>@petrogustavo</v>
      </c>
      <c r="C3206" s="5" t="s">
        <v>16</v>
      </c>
      <c r="D3206" s="5" t="s">
        <v>3143</v>
      </c>
      <c r="E3206" s="6" t="str">
        <f>HYPERLINK("https://twitter.com/petrogustavo/status/1237747735845101568","1237747735845101568")</f>
        <v>1237747735845101568</v>
      </c>
      <c r="F3206" s="7" t="s">
        <v>17</v>
      </c>
      <c r="G3206" s="7">
        <v>3661732</v>
      </c>
      <c r="H3206" s="7">
        <v>2355</v>
      </c>
      <c r="I3206" s="7">
        <v>82</v>
      </c>
      <c r="J3206" s="7">
        <v>143</v>
      </c>
      <c r="K3206" s="7" t="s">
        <v>18</v>
      </c>
      <c r="L3206" s="8">
        <v>39987.315405092595</v>
      </c>
      <c r="M3206" s="9" t="s">
        <v>19</v>
      </c>
      <c r="N3206" s="9" t="s">
        <v>20</v>
      </c>
      <c r="O3206" s="6" t="str">
        <f>HYPERLINK("https://pbs.twimg.com/profile_images/962471262747529216/Uo8lOkRJ_normal.jpg","View")</f>
        <v>View</v>
      </c>
      <c r="P3206" s="7"/>
    </row>
    <row r="3207" spans="1:16">
      <c r="A3207" s="3">
        <v>43901.842499999999</v>
      </c>
      <c r="B3207" s="4" t="str">
        <f>HYPERLINK("https://twitter.com/petrogustavo","@petrogustavo")</f>
        <v>@petrogustavo</v>
      </c>
      <c r="C3207" s="5" t="s">
        <v>16</v>
      </c>
      <c r="D3207" s="5" t="s">
        <v>3144</v>
      </c>
      <c r="E3207" s="6" t="str">
        <f>HYPERLINK("https://twitter.com/petrogustavo/status/1237750929656610816","1237750929656610816")</f>
        <v>1237750929656610816</v>
      </c>
      <c r="F3207" s="7" t="s">
        <v>17</v>
      </c>
      <c r="G3207" s="7">
        <v>3661732</v>
      </c>
      <c r="H3207" s="7">
        <v>2355</v>
      </c>
      <c r="I3207" s="7">
        <v>3781</v>
      </c>
      <c r="J3207" s="7">
        <v>0</v>
      </c>
      <c r="K3207" s="7" t="s">
        <v>18</v>
      </c>
      <c r="L3207" s="8">
        <v>39987.315405092595</v>
      </c>
      <c r="M3207" s="9" t="s">
        <v>19</v>
      </c>
      <c r="N3207" s="9" t="s">
        <v>20</v>
      </c>
      <c r="O3207" s="6" t="str">
        <f>HYPERLINK("https://pbs.twimg.com/profile_images/962471262747529216/Uo8lOkRJ_normal.jpg","View")</f>
        <v>View</v>
      </c>
      <c r="P3207" s="7"/>
    </row>
    <row r="3208" spans="1:16">
      <c r="A3208" s="3">
        <v>43901.844780092593</v>
      </c>
      <c r="B3208" s="4" t="str">
        <f>HYPERLINK("https://twitter.com/petrogustavo","@petrogustavo")</f>
        <v>@petrogustavo</v>
      </c>
      <c r="C3208" s="5" t="s">
        <v>16</v>
      </c>
      <c r="D3208" s="5" t="s">
        <v>3145</v>
      </c>
      <c r="E3208" s="6" t="str">
        <f>HYPERLINK("https://twitter.com/petrogustavo/status/1237751755254960130","1237751755254960130")</f>
        <v>1237751755254960130</v>
      </c>
      <c r="F3208" s="7" t="s">
        <v>17</v>
      </c>
      <c r="G3208" s="7">
        <v>3661732</v>
      </c>
      <c r="H3208" s="7">
        <v>2355</v>
      </c>
      <c r="I3208" s="7">
        <v>7</v>
      </c>
      <c r="J3208" s="7">
        <v>13</v>
      </c>
      <c r="K3208" s="7" t="s">
        <v>18</v>
      </c>
      <c r="L3208" s="8">
        <v>39987.315405092595</v>
      </c>
      <c r="M3208" s="9" t="s">
        <v>19</v>
      </c>
      <c r="N3208" s="9" t="s">
        <v>20</v>
      </c>
      <c r="O3208" s="6" t="str">
        <f>HYPERLINK("https://pbs.twimg.com/profile_images/962471262747529216/Uo8lOkRJ_normal.jpg","View")</f>
        <v>View</v>
      </c>
      <c r="P3208" s="7"/>
    </row>
    <row r="3209" spans="1:16">
      <c r="A3209" s="3">
        <v>43901.846967592588</v>
      </c>
      <c r="B3209" s="4" t="str">
        <f>HYPERLINK("https://twitter.com/petrogustavo","@petrogustavo")</f>
        <v>@petrogustavo</v>
      </c>
      <c r="C3209" s="5" t="s">
        <v>16</v>
      </c>
      <c r="D3209" s="5" t="s">
        <v>3146</v>
      </c>
      <c r="E3209" s="6" t="str">
        <f>HYPERLINK("https://twitter.com/petrogustavo/status/1237752547764588544","1237752547764588544")</f>
        <v>1237752547764588544</v>
      </c>
      <c r="F3209" s="7" t="s">
        <v>17</v>
      </c>
      <c r="G3209" s="7">
        <v>3661753</v>
      </c>
      <c r="H3209" s="7">
        <v>2355</v>
      </c>
      <c r="I3209" s="7">
        <v>57</v>
      </c>
      <c r="J3209" s="7">
        <v>195</v>
      </c>
      <c r="K3209" s="7" t="s">
        <v>18</v>
      </c>
      <c r="L3209" s="8">
        <v>39987.315405092595</v>
      </c>
      <c r="M3209" s="9" t="s">
        <v>19</v>
      </c>
      <c r="N3209" s="9" t="s">
        <v>20</v>
      </c>
      <c r="O3209" s="6" t="str">
        <f>HYPERLINK("https://pbs.twimg.com/profile_images/962471262747529216/Uo8lOkRJ_normal.jpg","View")</f>
        <v>View</v>
      </c>
      <c r="P3209" s="7"/>
    </row>
    <row r="3210" spans="1:16">
      <c r="A3210" s="3">
        <v>43901.875960648147</v>
      </c>
      <c r="B3210" s="4" t="str">
        <f>HYPERLINK("https://twitter.com/petrogustavo","@petrogustavo")</f>
        <v>@petrogustavo</v>
      </c>
      <c r="C3210" s="5" t="s">
        <v>16</v>
      </c>
      <c r="D3210" s="5" t="s">
        <v>3147</v>
      </c>
      <c r="E3210" s="6" t="str">
        <f>HYPERLINK("https://twitter.com/petrogustavo/status/1237763056907759617","1237763056907759617")</f>
        <v>1237763056907759617</v>
      </c>
      <c r="F3210" s="7" t="s">
        <v>17</v>
      </c>
      <c r="G3210" s="7">
        <v>3661785</v>
      </c>
      <c r="H3210" s="7">
        <v>2355</v>
      </c>
      <c r="I3210" s="7">
        <v>24</v>
      </c>
      <c r="J3210" s="7">
        <v>76</v>
      </c>
      <c r="K3210" s="7" t="s">
        <v>18</v>
      </c>
      <c r="L3210" s="8">
        <v>39987.315405092595</v>
      </c>
      <c r="M3210" s="9" t="s">
        <v>19</v>
      </c>
      <c r="N3210" s="9" t="s">
        <v>20</v>
      </c>
      <c r="O3210" s="6" t="str">
        <f>HYPERLINK("https://pbs.twimg.com/profile_images/962471262747529216/Uo8lOkRJ_normal.jpg","View")</f>
        <v>View</v>
      </c>
      <c r="P3210" s="7"/>
    </row>
    <row r="3211" spans="1:16">
      <c r="A3211" s="3">
        <v>43901.913483796292</v>
      </c>
      <c r="B3211" s="4" t="str">
        <f>HYPERLINK("https://twitter.com/petrogustavo","@petrogustavo")</f>
        <v>@petrogustavo</v>
      </c>
      <c r="C3211" s="5" t="s">
        <v>16</v>
      </c>
      <c r="D3211" s="5" t="s">
        <v>3148</v>
      </c>
      <c r="E3211" s="6" t="str">
        <f>HYPERLINK("https://twitter.com/petrogustavo/status/1237776653402636288","1237776653402636288")</f>
        <v>1237776653402636288</v>
      </c>
      <c r="F3211" s="7" t="s">
        <v>32</v>
      </c>
      <c r="G3211" s="7">
        <v>3661847</v>
      </c>
      <c r="H3211" s="7">
        <v>2355</v>
      </c>
      <c r="I3211" s="7">
        <v>254</v>
      </c>
      <c r="J3211" s="7">
        <v>593</v>
      </c>
      <c r="K3211" s="7" t="s">
        <v>18</v>
      </c>
      <c r="L3211" s="8">
        <v>39987.315405092595</v>
      </c>
      <c r="M3211" s="9" t="s">
        <v>19</v>
      </c>
      <c r="N3211" s="9" t="s">
        <v>20</v>
      </c>
      <c r="O3211" s="6" t="str">
        <f>HYPERLINK("https://pbs.twimg.com/profile_images/962471262747529216/Uo8lOkRJ_normal.jpg","View")</f>
        <v>View</v>
      </c>
      <c r="P3211" s="7"/>
    </row>
    <row r="3212" spans="1:16">
      <c r="A3212" s="3">
        <v>43901.92019675926</v>
      </c>
      <c r="B3212" s="4" t="str">
        <f>HYPERLINK("https://twitter.com/petrogustavo","@petrogustavo")</f>
        <v>@petrogustavo</v>
      </c>
      <c r="C3212" s="5" t="s">
        <v>16</v>
      </c>
      <c r="D3212" s="5" t="s">
        <v>3149</v>
      </c>
      <c r="E3212" s="6" t="str">
        <f>HYPERLINK("https://twitter.com/petrogustavo/status/1237779086078103552","1237779086078103552")</f>
        <v>1237779086078103552</v>
      </c>
      <c r="F3212" s="7" t="s">
        <v>32</v>
      </c>
      <c r="G3212" s="7">
        <v>3661847</v>
      </c>
      <c r="H3212" s="7">
        <v>2355</v>
      </c>
      <c r="I3212" s="7">
        <v>151</v>
      </c>
      <c r="J3212" s="7">
        <v>0</v>
      </c>
      <c r="K3212" s="7" t="s">
        <v>18</v>
      </c>
      <c r="L3212" s="8">
        <v>39987.315405092595</v>
      </c>
      <c r="M3212" s="9" t="s">
        <v>19</v>
      </c>
      <c r="N3212" s="9" t="s">
        <v>20</v>
      </c>
      <c r="O3212" s="6" t="str">
        <f>HYPERLINK("https://pbs.twimg.com/profile_images/962471262747529216/Uo8lOkRJ_normal.jpg","View")</f>
        <v>View</v>
      </c>
      <c r="P3212" s="7"/>
    </row>
    <row r="3213" spans="1:16">
      <c r="A3213" s="3">
        <v>43901.928402777776</v>
      </c>
      <c r="B3213" s="4" t="str">
        <f>HYPERLINK("https://twitter.com/petrogustavo","@petrogustavo")</f>
        <v>@petrogustavo</v>
      </c>
      <c r="C3213" s="5" t="s">
        <v>16</v>
      </c>
      <c r="D3213" s="5" t="s">
        <v>3150</v>
      </c>
      <c r="E3213" s="6" t="str">
        <f>HYPERLINK("https://twitter.com/petrogustavo/status/1237782059197890562","1237782059197890562")</f>
        <v>1237782059197890562</v>
      </c>
      <c r="F3213" s="7" t="s">
        <v>32</v>
      </c>
      <c r="G3213" s="7">
        <v>3661847</v>
      </c>
      <c r="H3213" s="7">
        <v>2355</v>
      </c>
      <c r="I3213" s="7">
        <v>4</v>
      </c>
      <c r="J3213" s="7">
        <v>18</v>
      </c>
      <c r="K3213" s="7" t="s">
        <v>18</v>
      </c>
      <c r="L3213" s="8">
        <v>39987.315405092595</v>
      </c>
      <c r="M3213" s="9" t="s">
        <v>19</v>
      </c>
      <c r="N3213" s="9" t="s">
        <v>20</v>
      </c>
      <c r="O3213" s="6" t="str">
        <f>HYPERLINK("https://pbs.twimg.com/profile_images/962471262747529216/Uo8lOkRJ_normal.jpg","View")</f>
        <v>View</v>
      </c>
      <c r="P3213" s="7"/>
    </row>
    <row r="3214" spans="1:16">
      <c r="A3214" s="3">
        <v>43901.986134259263</v>
      </c>
      <c r="B3214" s="4" t="str">
        <f>HYPERLINK("https://twitter.com/petrogustavo","@petrogustavo")</f>
        <v>@petrogustavo</v>
      </c>
      <c r="C3214" s="5" t="s">
        <v>16</v>
      </c>
      <c r="D3214" s="5" t="s">
        <v>3151</v>
      </c>
      <c r="E3214" s="6" t="str">
        <f>HYPERLINK("https://twitter.com/petrogustavo/status/1237802978754670592","1237802978754670592")</f>
        <v>1237802978754670592</v>
      </c>
      <c r="F3214" s="7" t="s">
        <v>32</v>
      </c>
      <c r="G3214" s="7">
        <v>3661939</v>
      </c>
      <c r="H3214" s="7">
        <v>2355</v>
      </c>
      <c r="I3214" s="7">
        <v>57</v>
      </c>
      <c r="J3214" s="7">
        <v>211</v>
      </c>
      <c r="K3214" s="7" t="s">
        <v>18</v>
      </c>
      <c r="L3214" s="8">
        <v>39987.315405092595</v>
      </c>
      <c r="M3214" s="9" t="s">
        <v>19</v>
      </c>
      <c r="N3214" s="9" t="s">
        <v>20</v>
      </c>
      <c r="O3214" s="6" t="str">
        <f>HYPERLINK("https://pbs.twimg.com/profile_images/962471262747529216/Uo8lOkRJ_normal.jpg","View")</f>
        <v>View</v>
      </c>
      <c r="P3214" s="7"/>
    </row>
    <row r="3215" spans="1:16">
      <c r="A3215" s="3">
        <v>43902.120011574079</v>
      </c>
      <c r="B3215" s="4" t="str">
        <f>HYPERLINK("https://twitter.com/petrogustavo","@petrogustavo")</f>
        <v>@petrogustavo</v>
      </c>
      <c r="C3215" s="5" t="s">
        <v>16</v>
      </c>
      <c r="D3215" s="5" t="s">
        <v>3152</v>
      </c>
      <c r="E3215" s="6" t="str">
        <f>HYPERLINK("https://twitter.com/petrogustavo/status/1237851497792032768","1237851497792032768")</f>
        <v>1237851497792032768</v>
      </c>
      <c r="F3215" s="7" t="s">
        <v>17</v>
      </c>
      <c r="G3215" s="7">
        <v>3662051</v>
      </c>
      <c r="H3215" s="7">
        <v>2354</v>
      </c>
      <c r="I3215" s="7">
        <v>25</v>
      </c>
      <c r="J3215" s="7">
        <v>0</v>
      </c>
      <c r="K3215" s="7" t="s">
        <v>18</v>
      </c>
      <c r="L3215" s="8">
        <v>39987.315405092595</v>
      </c>
      <c r="M3215" s="9" t="s">
        <v>19</v>
      </c>
      <c r="N3215" s="9" t="s">
        <v>20</v>
      </c>
      <c r="O3215" s="6" t="str">
        <f>HYPERLINK("https://pbs.twimg.com/profile_images/962471262747529216/Uo8lOkRJ_normal.jpg","View")</f>
        <v>View</v>
      </c>
      <c r="P3215" s="7"/>
    </row>
    <row r="3216" spans="1:16">
      <c r="A3216" s="3">
        <v>43902.121168981481</v>
      </c>
      <c r="B3216" s="4" t="str">
        <f>HYPERLINK("https://twitter.com/petrogustavo","@petrogustavo")</f>
        <v>@petrogustavo</v>
      </c>
      <c r="C3216" s="5" t="s">
        <v>16</v>
      </c>
      <c r="D3216" s="5" t="s">
        <v>3153</v>
      </c>
      <c r="E3216" s="6" t="str">
        <f>HYPERLINK("https://twitter.com/petrogustavo/status/1237851914487783424","1237851914487783424")</f>
        <v>1237851914487783424</v>
      </c>
      <c r="F3216" s="7" t="s">
        <v>17</v>
      </c>
      <c r="G3216" s="7">
        <v>3662051</v>
      </c>
      <c r="H3216" s="7">
        <v>2354</v>
      </c>
      <c r="I3216" s="7">
        <v>426</v>
      </c>
      <c r="J3216" s="7">
        <v>0</v>
      </c>
      <c r="K3216" s="7" t="s">
        <v>18</v>
      </c>
      <c r="L3216" s="8">
        <v>39987.315405092595</v>
      </c>
      <c r="M3216" s="9" t="s">
        <v>19</v>
      </c>
      <c r="N3216" s="9" t="s">
        <v>20</v>
      </c>
      <c r="O3216" s="6" t="str">
        <f>HYPERLINK("https://pbs.twimg.com/profile_images/962471262747529216/Uo8lOkRJ_normal.jpg","View")</f>
        <v>View</v>
      </c>
      <c r="P3216" s="7"/>
    </row>
    <row r="3217" spans="1:16">
      <c r="A3217" s="3">
        <v>43902.122523148151</v>
      </c>
      <c r="B3217" s="4" t="str">
        <f>HYPERLINK("https://twitter.com/petrogustavo","@petrogustavo")</f>
        <v>@petrogustavo</v>
      </c>
      <c r="C3217" s="5" t="s">
        <v>16</v>
      </c>
      <c r="D3217" s="5" t="s">
        <v>3154</v>
      </c>
      <c r="E3217" s="6" t="str">
        <f>HYPERLINK("https://twitter.com/petrogustavo/status/1237852407649857536","1237852407649857536")</f>
        <v>1237852407649857536</v>
      </c>
      <c r="F3217" s="7" t="s">
        <v>17</v>
      </c>
      <c r="G3217" s="7">
        <v>3662051</v>
      </c>
      <c r="H3217" s="7">
        <v>2354</v>
      </c>
      <c r="I3217" s="7">
        <v>238</v>
      </c>
      <c r="J3217" s="7">
        <v>585</v>
      </c>
      <c r="K3217" s="7" t="s">
        <v>18</v>
      </c>
      <c r="L3217" s="8">
        <v>39987.315405092595</v>
      </c>
      <c r="M3217" s="9" t="s">
        <v>19</v>
      </c>
      <c r="N3217" s="9" t="s">
        <v>20</v>
      </c>
      <c r="O3217" s="6" t="str">
        <f>HYPERLINK("https://pbs.twimg.com/profile_images/962471262747529216/Uo8lOkRJ_normal.jpg","View")</f>
        <v>View</v>
      </c>
      <c r="P3217" s="7"/>
    </row>
    <row r="3218" spans="1:16">
      <c r="A3218" s="3">
        <v>43902.143506944441</v>
      </c>
      <c r="B3218" s="4" t="str">
        <f>HYPERLINK("https://twitter.com/petrogustavo","@petrogustavo")</f>
        <v>@petrogustavo</v>
      </c>
      <c r="C3218" s="5" t="s">
        <v>16</v>
      </c>
      <c r="D3218" s="5" t="s">
        <v>3155</v>
      </c>
      <c r="E3218" s="6" t="str">
        <f>HYPERLINK("https://twitter.com/petrogustavo/status/1237860011377700865","1237860011377700865")</f>
        <v>1237860011377700865</v>
      </c>
      <c r="F3218" s="7" t="s">
        <v>32</v>
      </c>
      <c r="G3218" s="7">
        <v>3662076</v>
      </c>
      <c r="H3218" s="7">
        <v>2354</v>
      </c>
      <c r="I3218" s="7">
        <v>4624</v>
      </c>
      <c r="J3218" s="7">
        <v>0</v>
      </c>
      <c r="K3218" s="7" t="s">
        <v>18</v>
      </c>
      <c r="L3218" s="8">
        <v>39987.315405092595</v>
      </c>
      <c r="M3218" s="9" t="s">
        <v>19</v>
      </c>
      <c r="N3218" s="9" t="s">
        <v>20</v>
      </c>
      <c r="O3218" s="6" t="str">
        <f>HYPERLINK("https://pbs.twimg.com/profile_images/962471262747529216/Uo8lOkRJ_normal.jpg","View")</f>
        <v>View</v>
      </c>
      <c r="P3218" s="7"/>
    </row>
    <row r="3219" spans="1:16">
      <c r="A3219" s="3">
        <v>43902.152071759258</v>
      </c>
      <c r="B3219" s="4" t="str">
        <f>HYPERLINK("https://twitter.com/petrogustavo","@petrogustavo")</f>
        <v>@petrogustavo</v>
      </c>
      <c r="C3219" s="5" t="s">
        <v>16</v>
      </c>
      <c r="D3219" s="5" t="s">
        <v>3156</v>
      </c>
      <c r="E3219" s="6" t="str">
        <f>HYPERLINK("https://twitter.com/petrogustavo/status/1237863114911010818","1237863114911010818")</f>
        <v>1237863114911010818</v>
      </c>
      <c r="F3219" s="7" t="s">
        <v>32</v>
      </c>
      <c r="G3219" s="7">
        <v>3662076</v>
      </c>
      <c r="H3219" s="7">
        <v>2354</v>
      </c>
      <c r="I3219" s="7">
        <v>85</v>
      </c>
      <c r="J3219" s="7">
        <v>0</v>
      </c>
      <c r="K3219" s="7" t="s">
        <v>18</v>
      </c>
      <c r="L3219" s="8">
        <v>39987.315405092595</v>
      </c>
      <c r="M3219" s="9" t="s">
        <v>19</v>
      </c>
      <c r="N3219" s="9" t="s">
        <v>20</v>
      </c>
      <c r="O3219" s="6" t="str">
        <f>HYPERLINK("https://pbs.twimg.com/profile_images/962471262747529216/Uo8lOkRJ_normal.jpg","View")</f>
        <v>View</v>
      </c>
      <c r="P3219" s="7"/>
    </row>
    <row r="3220" spans="1:16">
      <c r="A3220" s="3">
        <v>43902.15524305556</v>
      </c>
      <c r="B3220" s="4" t="str">
        <f>HYPERLINK("https://twitter.com/petrogustavo","@petrogustavo")</f>
        <v>@petrogustavo</v>
      </c>
      <c r="C3220" s="5" t="s">
        <v>16</v>
      </c>
      <c r="D3220" s="5" t="s">
        <v>3157</v>
      </c>
      <c r="E3220" s="6" t="str">
        <f>HYPERLINK("https://twitter.com/petrogustavo/status/1237864263798030337","1237864263798030337")</f>
        <v>1237864263798030337</v>
      </c>
      <c r="F3220" s="7" t="s">
        <v>32</v>
      </c>
      <c r="G3220" s="7">
        <v>3662076</v>
      </c>
      <c r="H3220" s="7">
        <v>2354</v>
      </c>
      <c r="I3220" s="7">
        <v>53</v>
      </c>
      <c r="J3220" s="7">
        <v>0</v>
      </c>
      <c r="K3220" s="7" t="s">
        <v>18</v>
      </c>
      <c r="L3220" s="8">
        <v>39987.315405092595</v>
      </c>
      <c r="M3220" s="9" t="s">
        <v>19</v>
      </c>
      <c r="N3220" s="9" t="s">
        <v>20</v>
      </c>
      <c r="O3220" s="6" t="str">
        <f>HYPERLINK("https://pbs.twimg.com/profile_images/962471262747529216/Uo8lOkRJ_normal.jpg","View")</f>
        <v>View</v>
      </c>
      <c r="P3220" s="7"/>
    </row>
    <row r="3221" spans="1:16">
      <c r="A3221" s="3">
        <v>43902.160868055551</v>
      </c>
      <c r="B3221" s="4" t="str">
        <f>HYPERLINK("https://twitter.com/petrogustavo","@petrogustavo")</f>
        <v>@petrogustavo</v>
      </c>
      <c r="C3221" s="5" t="s">
        <v>16</v>
      </c>
      <c r="D3221" s="5" t="s">
        <v>3158</v>
      </c>
      <c r="E3221" s="6" t="str">
        <f>HYPERLINK("https://twitter.com/petrogustavo/status/1237866302217129984","1237866302217129984")</f>
        <v>1237866302217129984</v>
      </c>
      <c r="F3221" s="7" t="s">
        <v>32</v>
      </c>
      <c r="G3221" s="7">
        <v>3662105</v>
      </c>
      <c r="H3221" s="7">
        <v>2354</v>
      </c>
      <c r="I3221" s="7">
        <v>275</v>
      </c>
      <c r="J3221" s="7">
        <v>720</v>
      </c>
      <c r="K3221" s="7" t="s">
        <v>18</v>
      </c>
      <c r="L3221" s="8">
        <v>39987.315405092595</v>
      </c>
      <c r="M3221" s="9" t="s">
        <v>19</v>
      </c>
      <c r="N3221" s="9" t="s">
        <v>20</v>
      </c>
      <c r="O3221" s="6" t="str">
        <f>HYPERLINK("https://pbs.twimg.com/profile_images/962471262747529216/Uo8lOkRJ_normal.jpg","View")</f>
        <v>View</v>
      </c>
      <c r="P3221" s="7"/>
    </row>
    <row r="3222" spans="1:16">
      <c r="A3222" s="3">
        <v>43902.161990740744</v>
      </c>
      <c r="B3222" s="4" t="str">
        <f>HYPERLINK("https://twitter.com/petrogustavo","@petrogustavo")</f>
        <v>@petrogustavo</v>
      </c>
      <c r="C3222" s="5" t="s">
        <v>16</v>
      </c>
      <c r="D3222" s="5" t="s">
        <v>3159</v>
      </c>
      <c r="E3222" s="6" t="str">
        <f>HYPERLINK("https://twitter.com/petrogustavo/status/1237866710234873857","1237866710234873857")</f>
        <v>1237866710234873857</v>
      </c>
      <c r="F3222" s="7" t="s">
        <v>17</v>
      </c>
      <c r="G3222" s="7">
        <v>3662105</v>
      </c>
      <c r="H3222" s="7">
        <v>2354</v>
      </c>
      <c r="I3222" s="7">
        <v>95</v>
      </c>
      <c r="J3222" s="7">
        <v>337</v>
      </c>
      <c r="K3222" s="7" t="s">
        <v>18</v>
      </c>
      <c r="L3222" s="8">
        <v>39987.315405092595</v>
      </c>
      <c r="M3222" s="9" t="s">
        <v>19</v>
      </c>
      <c r="N3222" s="9" t="s">
        <v>20</v>
      </c>
      <c r="O3222" s="6" t="str">
        <f>HYPERLINK("https://pbs.twimg.com/profile_images/962471262747529216/Uo8lOkRJ_normal.jpg","View")</f>
        <v>View</v>
      </c>
      <c r="P3222" s="7"/>
    </row>
    <row r="3223" spans="1:16">
      <c r="A3223" s="3">
        <v>43902.165243055555</v>
      </c>
      <c r="B3223" s="4" t="str">
        <f>HYPERLINK("https://twitter.com/petrogustavo","@petrogustavo")</f>
        <v>@petrogustavo</v>
      </c>
      <c r="C3223" s="5" t="s">
        <v>16</v>
      </c>
      <c r="D3223" s="5" t="s">
        <v>3160</v>
      </c>
      <c r="E3223" s="6" t="str">
        <f>HYPERLINK("https://twitter.com/petrogustavo/status/1237867887731204098","1237867887731204098")</f>
        <v>1237867887731204098</v>
      </c>
      <c r="F3223" s="7" t="s">
        <v>32</v>
      </c>
      <c r="G3223" s="7">
        <v>3662105</v>
      </c>
      <c r="H3223" s="7">
        <v>2354</v>
      </c>
      <c r="I3223" s="7">
        <v>114</v>
      </c>
      <c r="J3223" s="7">
        <v>308</v>
      </c>
      <c r="K3223" s="7" t="s">
        <v>18</v>
      </c>
      <c r="L3223" s="8">
        <v>39987.315405092595</v>
      </c>
      <c r="M3223" s="9" t="s">
        <v>19</v>
      </c>
      <c r="N3223" s="9" t="s">
        <v>20</v>
      </c>
      <c r="O3223" s="6" t="str">
        <f>HYPERLINK("https://pbs.twimg.com/profile_images/962471262747529216/Uo8lOkRJ_normal.jpg","View")</f>
        <v>View</v>
      </c>
      <c r="P3223" s="7"/>
    </row>
    <row r="3224" spans="1:16">
      <c r="A3224" s="3">
        <v>43902.167175925926</v>
      </c>
      <c r="B3224" s="4" t="str">
        <f>HYPERLINK("https://twitter.com/petrogustavo","@petrogustavo")</f>
        <v>@petrogustavo</v>
      </c>
      <c r="C3224" s="5" t="s">
        <v>16</v>
      </c>
      <c r="D3224" s="5" t="s">
        <v>3161</v>
      </c>
      <c r="E3224" s="6" t="str">
        <f>HYPERLINK("https://twitter.com/petrogustavo/status/1237868586984566784","1237868586984566784")</f>
        <v>1237868586984566784</v>
      </c>
      <c r="F3224" s="7" t="s">
        <v>32</v>
      </c>
      <c r="G3224" s="7">
        <v>3662105</v>
      </c>
      <c r="H3224" s="7">
        <v>2354</v>
      </c>
      <c r="I3224" s="7">
        <v>135</v>
      </c>
      <c r="J3224" s="7">
        <v>277</v>
      </c>
      <c r="K3224" s="7" t="s">
        <v>18</v>
      </c>
      <c r="L3224" s="8">
        <v>39987.315405092595</v>
      </c>
      <c r="M3224" s="9" t="s">
        <v>19</v>
      </c>
      <c r="N3224" s="9" t="s">
        <v>20</v>
      </c>
      <c r="O3224" s="6" t="str">
        <f>HYPERLINK("https://pbs.twimg.com/profile_images/962471262747529216/Uo8lOkRJ_normal.jpg","View")</f>
        <v>View</v>
      </c>
      <c r="P3224" s="7"/>
    </row>
    <row r="3225" spans="1:16">
      <c r="A3225" s="3">
        <v>43902.252650462964</v>
      </c>
      <c r="B3225" s="4" t="str">
        <f>HYPERLINK("https://twitter.com/petrogustavo","@petrogustavo")</f>
        <v>@petrogustavo</v>
      </c>
      <c r="C3225" s="5" t="s">
        <v>16</v>
      </c>
      <c r="D3225" s="5" t="s">
        <v>3162</v>
      </c>
      <c r="E3225" s="6" t="str">
        <f>HYPERLINK("https://twitter.com/petrogustavo/status/1237899564255858688","1237899564255858688")</f>
        <v>1237899564255858688</v>
      </c>
      <c r="F3225" s="7" t="s">
        <v>17</v>
      </c>
      <c r="G3225" s="7">
        <v>3662234</v>
      </c>
      <c r="H3225" s="7">
        <v>2355</v>
      </c>
      <c r="I3225" s="7">
        <v>33</v>
      </c>
      <c r="J3225" s="7">
        <v>0</v>
      </c>
      <c r="K3225" s="7" t="s">
        <v>18</v>
      </c>
      <c r="L3225" s="8">
        <v>39987.315405092595</v>
      </c>
      <c r="M3225" s="9" t="s">
        <v>19</v>
      </c>
      <c r="N3225" s="9" t="s">
        <v>20</v>
      </c>
      <c r="O3225" s="6" t="str">
        <f>HYPERLINK("https://pbs.twimg.com/profile_images/962471262747529216/Uo8lOkRJ_normal.jpg","View")</f>
        <v>View</v>
      </c>
      <c r="P3225" s="7"/>
    </row>
    <row r="3226" spans="1:16">
      <c r="A3226" s="3">
        <v>43902.263831018514</v>
      </c>
      <c r="B3226" s="4" t="str">
        <f>HYPERLINK("https://twitter.com/petrogustavo","@petrogustavo")</f>
        <v>@petrogustavo</v>
      </c>
      <c r="C3226" s="5" t="s">
        <v>16</v>
      </c>
      <c r="D3226" s="5" t="s">
        <v>3163</v>
      </c>
      <c r="E3226" s="6" t="str">
        <f>HYPERLINK("https://twitter.com/petrogustavo/status/1237903615844630529","1237903615844630529")</f>
        <v>1237903615844630529</v>
      </c>
      <c r="F3226" s="7" t="s">
        <v>17</v>
      </c>
      <c r="G3226" s="7">
        <v>3662244</v>
      </c>
      <c r="H3226" s="7">
        <v>2354</v>
      </c>
      <c r="I3226" s="7">
        <v>88</v>
      </c>
      <c r="J3226" s="7">
        <v>0</v>
      </c>
      <c r="K3226" s="7" t="s">
        <v>18</v>
      </c>
      <c r="L3226" s="8">
        <v>39987.315405092595</v>
      </c>
      <c r="M3226" s="9" t="s">
        <v>19</v>
      </c>
      <c r="N3226" s="9" t="s">
        <v>20</v>
      </c>
      <c r="O3226" s="6" t="str">
        <f>HYPERLINK("https://pbs.twimg.com/profile_images/962471262747529216/Uo8lOkRJ_normal.jpg","View")</f>
        <v>View</v>
      </c>
      <c r="P3226" s="7"/>
    </row>
    <row r="3227" spans="1:16">
      <c r="A3227" s="3">
        <v>43902.265740740739</v>
      </c>
      <c r="B3227" s="4" t="str">
        <f>HYPERLINK("https://twitter.com/petrogustavo","@petrogustavo")</f>
        <v>@petrogustavo</v>
      </c>
      <c r="C3227" s="5" t="s">
        <v>16</v>
      </c>
      <c r="D3227" s="5" t="s">
        <v>3164</v>
      </c>
      <c r="E3227" s="6" t="str">
        <f>HYPERLINK("https://twitter.com/petrogustavo/status/1237904308596871175","1237904308596871175")</f>
        <v>1237904308596871175</v>
      </c>
      <c r="F3227" s="7" t="s">
        <v>17</v>
      </c>
      <c r="G3227" s="7">
        <v>3662244</v>
      </c>
      <c r="H3227" s="7">
        <v>2354</v>
      </c>
      <c r="I3227" s="7">
        <v>262</v>
      </c>
      <c r="J3227" s="7">
        <v>511</v>
      </c>
      <c r="K3227" s="7" t="s">
        <v>18</v>
      </c>
      <c r="L3227" s="8">
        <v>39987.315405092595</v>
      </c>
      <c r="M3227" s="9" t="s">
        <v>19</v>
      </c>
      <c r="N3227" s="9" t="s">
        <v>20</v>
      </c>
      <c r="O3227" s="6" t="str">
        <f>HYPERLINK("https://pbs.twimg.com/profile_images/962471262747529216/Uo8lOkRJ_normal.jpg","View")</f>
        <v>View</v>
      </c>
      <c r="P3227" s="7"/>
    </row>
    <row r="3228" spans="1:16">
      <c r="A3228" s="3">
        <v>43902.279212962967</v>
      </c>
      <c r="B3228" s="4" t="str">
        <f>HYPERLINK("https://twitter.com/petrogustavo","@petrogustavo")</f>
        <v>@petrogustavo</v>
      </c>
      <c r="C3228" s="5" t="s">
        <v>16</v>
      </c>
      <c r="D3228" s="5" t="s">
        <v>3165</v>
      </c>
      <c r="E3228" s="6" t="str">
        <f>HYPERLINK("https://twitter.com/petrogustavo/status/1237909189391011841","1237909189391011841")</f>
        <v>1237909189391011841</v>
      </c>
      <c r="F3228" s="7" t="s">
        <v>17</v>
      </c>
      <c r="G3228" s="7">
        <v>3662244</v>
      </c>
      <c r="H3228" s="7">
        <v>2354</v>
      </c>
      <c r="I3228" s="7">
        <v>86</v>
      </c>
      <c r="J3228" s="7">
        <v>237</v>
      </c>
      <c r="K3228" s="7" t="s">
        <v>18</v>
      </c>
      <c r="L3228" s="8">
        <v>39987.315405092595</v>
      </c>
      <c r="M3228" s="9" t="s">
        <v>19</v>
      </c>
      <c r="N3228" s="9" t="s">
        <v>20</v>
      </c>
      <c r="O3228" s="6" t="str">
        <f>HYPERLINK("https://pbs.twimg.com/profile_images/962471262747529216/Uo8lOkRJ_normal.jpg","View")</f>
        <v>View</v>
      </c>
      <c r="P3228" s="7"/>
    </row>
    <row r="3229" spans="1:16">
      <c r="A3229" s="3">
        <v>43902.303437499999</v>
      </c>
      <c r="B3229" s="4" t="str">
        <f>HYPERLINK("https://twitter.com/petrogustavo","@petrogustavo")</f>
        <v>@petrogustavo</v>
      </c>
      <c r="C3229" s="5" t="s">
        <v>16</v>
      </c>
      <c r="D3229" s="5" t="s">
        <v>3166</v>
      </c>
      <c r="E3229" s="6" t="str">
        <f>HYPERLINK("https://twitter.com/petrogustavo/status/1237917965846294528","1237917965846294528")</f>
        <v>1237917965846294528</v>
      </c>
      <c r="F3229" s="7" t="s">
        <v>17</v>
      </c>
      <c r="G3229" s="7">
        <v>3662274</v>
      </c>
      <c r="H3229" s="7">
        <v>2354</v>
      </c>
      <c r="I3229" s="7">
        <v>36</v>
      </c>
      <c r="J3229" s="7">
        <v>0</v>
      </c>
      <c r="K3229" s="7" t="s">
        <v>18</v>
      </c>
      <c r="L3229" s="8">
        <v>39987.315405092595</v>
      </c>
      <c r="M3229" s="9" t="s">
        <v>19</v>
      </c>
      <c r="N3229" s="9" t="s">
        <v>20</v>
      </c>
      <c r="O3229" s="6" t="str">
        <f>HYPERLINK("https://pbs.twimg.com/profile_images/962471262747529216/Uo8lOkRJ_normal.jpg","View")</f>
        <v>View</v>
      </c>
      <c r="P3229" s="7"/>
    </row>
    <row r="3230" spans="1:16">
      <c r="A3230" s="3">
        <v>43902.310092592597</v>
      </c>
      <c r="B3230" s="4" t="str">
        <f>HYPERLINK("https://twitter.com/petrogustavo","@petrogustavo")</f>
        <v>@petrogustavo</v>
      </c>
      <c r="C3230" s="5" t="s">
        <v>16</v>
      </c>
      <c r="D3230" s="5" t="s">
        <v>3167</v>
      </c>
      <c r="E3230" s="6" t="str">
        <f>HYPERLINK("https://twitter.com/petrogustavo/status/1237920380431540225","1237920380431540225")</f>
        <v>1237920380431540225</v>
      </c>
      <c r="F3230" s="7" t="s">
        <v>17</v>
      </c>
      <c r="G3230" s="7">
        <v>3662327</v>
      </c>
      <c r="H3230" s="7">
        <v>2354</v>
      </c>
      <c r="I3230" s="7">
        <v>190</v>
      </c>
      <c r="J3230" s="7">
        <v>484</v>
      </c>
      <c r="K3230" s="7" t="s">
        <v>18</v>
      </c>
      <c r="L3230" s="8">
        <v>39987.315405092595</v>
      </c>
      <c r="M3230" s="9" t="s">
        <v>19</v>
      </c>
      <c r="N3230" s="9" t="s">
        <v>20</v>
      </c>
      <c r="O3230" s="6" t="str">
        <f>HYPERLINK("https://pbs.twimg.com/profile_images/962471262747529216/Uo8lOkRJ_normal.jpg","View")</f>
        <v>View</v>
      </c>
      <c r="P3230" s="7"/>
    </row>
    <row r="3231" spans="1:16">
      <c r="A3231" s="3">
        <v>43902.317453703705</v>
      </c>
      <c r="B3231" s="4" t="str">
        <f>HYPERLINK("https://twitter.com/petrogustavo","@petrogustavo")</f>
        <v>@petrogustavo</v>
      </c>
      <c r="C3231" s="5" t="s">
        <v>16</v>
      </c>
      <c r="D3231" s="5" t="s">
        <v>3168</v>
      </c>
      <c r="E3231" s="6" t="str">
        <f>HYPERLINK("https://twitter.com/petrogustavo/status/1237923048130596864","1237923048130596864")</f>
        <v>1237923048130596864</v>
      </c>
      <c r="F3231" s="7" t="s">
        <v>17</v>
      </c>
      <c r="G3231" s="7">
        <v>3662327</v>
      </c>
      <c r="H3231" s="7">
        <v>2354</v>
      </c>
      <c r="I3231" s="7">
        <v>50</v>
      </c>
      <c r="J3231" s="7">
        <v>219</v>
      </c>
      <c r="K3231" s="7" t="s">
        <v>18</v>
      </c>
      <c r="L3231" s="8">
        <v>39987.315405092595</v>
      </c>
      <c r="M3231" s="9" t="s">
        <v>19</v>
      </c>
      <c r="N3231" s="9" t="s">
        <v>20</v>
      </c>
      <c r="O3231" s="6" t="str">
        <f>HYPERLINK("https://pbs.twimg.com/profile_images/962471262747529216/Uo8lOkRJ_normal.jpg","View")</f>
        <v>View</v>
      </c>
      <c r="P3231" s="7"/>
    </row>
    <row r="3232" spans="1:16">
      <c r="A3232" s="3">
        <v>43902.317465277782</v>
      </c>
      <c r="B3232" s="4" t="str">
        <f>HYPERLINK("https://twitter.com/petrogustavo","@petrogustavo")</f>
        <v>@petrogustavo</v>
      </c>
      <c r="C3232" s="5" t="s">
        <v>16</v>
      </c>
      <c r="D3232" s="5" t="s">
        <v>3169</v>
      </c>
      <c r="E3232" s="6" t="str">
        <f>HYPERLINK("https://twitter.com/petrogustavo/status/1237923049313353728","1237923049313353728")</f>
        <v>1237923049313353728</v>
      </c>
      <c r="F3232" s="7" t="s">
        <v>17</v>
      </c>
      <c r="G3232" s="7">
        <v>3662327</v>
      </c>
      <c r="H3232" s="7">
        <v>2354</v>
      </c>
      <c r="I3232" s="7">
        <v>41</v>
      </c>
      <c r="J3232" s="7">
        <v>105</v>
      </c>
      <c r="K3232" s="7" t="s">
        <v>18</v>
      </c>
      <c r="L3232" s="8">
        <v>39987.315405092595</v>
      </c>
      <c r="M3232" s="9" t="s">
        <v>19</v>
      </c>
      <c r="N3232" s="9" t="s">
        <v>20</v>
      </c>
      <c r="O3232" s="6" t="str">
        <f>HYPERLINK("https://pbs.twimg.com/profile_images/962471262747529216/Uo8lOkRJ_normal.jpg","View")</f>
        <v>View</v>
      </c>
      <c r="P3232" s="7"/>
    </row>
    <row r="3233" spans="1:16">
      <c r="A3233" s="3">
        <v>43902.32430555555</v>
      </c>
      <c r="B3233" s="4" t="str">
        <f>HYPERLINK("https://twitter.com/petrogustavo","@petrogustavo")</f>
        <v>@petrogustavo</v>
      </c>
      <c r="C3233" s="5" t="s">
        <v>16</v>
      </c>
      <c r="D3233" s="5" t="s">
        <v>3170</v>
      </c>
      <c r="E3233" s="6" t="str">
        <f>HYPERLINK("https://twitter.com/petrogustavo/status/1237925529380143104","1237925529380143104")</f>
        <v>1237925529380143104</v>
      </c>
      <c r="F3233" s="7" t="s">
        <v>17</v>
      </c>
      <c r="G3233" s="7">
        <v>3662327</v>
      </c>
      <c r="H3233" s="7">
        <v>2354</v>
      </c>
      <c r="I3233" s="7">
        <v>21</v>
      </c>
      <c r="J3233" s="7">
        <v>62</v>
      </c>
      <c r="K3233" s="7" t="s">
        <v>18</v>
      </c>
      <c r="L3233" s="8">
        <v>39987.315405092595</v>
      </c>
      <c r="M3233" s="9" t="s">
        <v>19</v>
      </c>
      <c r="N3233" s="9" t="s">
        <v>20</v>
      </c>
      <c r="O3233" s="6" t="str">
        <f>HYPERLINK("https://pbs.twimg.com/profile_images/962471262747529216/Uo8lOkRJ_normal.jpg","View")</f>
        <v>View</v>
      </c>
      <c r="P3233" s="7"/>
    </row>
    <row r="3234" spans="1:16">
      <c r="A3234" s="3">
        <v>43902.338171296295</v>
      </c>
      <c r="B3234" s="4" t="str">
        <f>HYPERLINK("https://twitter.com/petrogustavo","@petrogustavo")</f>
        <v>@petrogustavo</v>
      </c>
      <c r="C3234" s="5" t="s">
        <v>16</v>
      </c>
      <c r="D3234" s="5" t="s">
        <v>3171</v>
      </c>
      <c r="E3234" s="6" t="str">
        <f>HYPERLINK("https://twitter.com/petrogustavo/status/1237930555536297984","1237930555536297984")</f>
        <v>1237930555536297984</v>
      </c>
      <c r="F3234" s="7" t="s">
        <v>17</v>
      </c>
      <c r="G3234" s="7">
        <v>3662359</v>
      </c>
      <c r="H3234" s="7">
        <v>2354</v>
      </c>
      <c r="I3234" s="7">
        <v>26</v>
      </c>
      <c r="J3234" s="7">
        <v>134</v>
      </c>
      <c r="K3234" s="7" t="s">
        <v>18</v>
      </c>
      <c r="L3234" s="8">
        <v>39987.315405092595</v>
      </c>
      <c r="M3234" s="9" t="s">
        <v>19</v>
      </c>
      <c r="N3234" s="9" t="s">
        <v>20</v>
      </c>
      <c r="O3234" s="6" t="str">
        <f>HYPERLINK("https://pbs.twimg.com/profile_images/962471262747529216/Uo8lOkRJ_normal.jpg","View")</f>
        <v>View</v>
      </c>
      <c r="P3234" s="7"/>
    </row>
    <row r="3235" spans="1:16">
      <c r="A3235" s="3">
        <v>43902.346863425926</v>
      </c>
      <c r="B3235" s="4" t="str">
        <f>HYPERLINK("https://twitter.com/petrogustavo","@petrogustavo")</f>
        <v>@petrogustavo</v>
      </c>
      <c r="C3235" s="5" t="s">
        <v>16</v>
      </c>
      <c r="D3235" s="5" t="s">
        <v>3172</v>
      </c>
      <c r="E3235" s="6" t="str">
        <f>HYPERLINK("https://twitter.com/petrogustavo/status/1237933704816754688","1237933704816754688")</f>
        <v>1237933704816754688</v>
      </c>
      <c r="F3235" s="7" t="s">
        <v>17</v>
      </c>
      <c r="G3235" s="7">
        <v>3662394</v>
      </c>
      <c r="H3235" s="7">
        <v>2354</v>
      </c>
      <c r="I3235" s="7">
        <v>77</v>
      </c>
      <c r="J3235" s="7">
        <v>0</v>
      </c>
      <c r="K3235" s="7" t="s">
        <v>18</v>
      </c>
      <c r="L3235" s="8">
        <v>39987.315405092595</v>
      </c>
      <c r="M3235" s="9" t="s">
        <v>19</v>
      </c>
      <c r="N3235" s="9" t="s">
        <v>20</v>
      </c>
      <c r="O3235" s="6" t="str">
        <f>HYPERLINK("https://pbs.twimg.com/profile_images/962471262747529216/Uo8lOkRJ_normal.jpg","View")</f>
        <v>View</v>
      </c>
      <c r="P3235" s="7"/>
    </row>
    <row r="3236" spans="1:16">
      <c r="A3236" s="3">
        <v>43902.363703703704</v>
      </c>
      <c r="B3236" s="4" t="str">
        <f>HYPERLINK("https://twitter.com/petrogustavo","@petrogustavo")</f>
        <v>@petrogustavo</v>
      </c>
      <c r="C3236" s="5" t="s">
        <v>16</v>
      </c>
      <c r="D3236" s="5" t="s">
        <v>3173</v>
      </c>
      <c r="E3236" s="6" t="str">
        <f>HYPERLINK("https://twitter.com/petrogustavo/status/1237939809143918593","1237939809143918593")</f>
        <v>1237939809143918593</v>
      </c>
      <c r="F3236" s="7" t="s">
        <v>17</v>
      </c>
      <c r="G3236" s="7">
        <v>3662394</v>
      </c>
      <c r="H3236" s="7">
        <v>2354</v>
      </c>
      <c r="I3236" s="7">
        <v>26</v>
      </c>
      <c r="J3236" s="7">
        <v>57</v>
      </c>
      <c r="K3236" s="7" t="s">
        <v>18</v>
      </c>
      <c r="L3236" s="8">
        <v>39987.315405092595</v>
      </c>
      <c r="M3236" s="9" t="s">
        <v>19</v>
      </c>
      <c r="N3236" s="9" t="s">
        <v>20</v>
      </c>
      <c r="O3236" s="6" t="str">
        <f>HYPERLINK("https://pbs.twimg.com/profile_images/962471262747529216/Uo8lOkRJ_normal.jpg","View")</f>
        <v>View</v>
      </c>
      <c r="P3236" s="7"/>
    </row>
    <row r="3237" spans="1:16">
      <c r="A3237" s="3">
        <v>43902.372962962967</v>
      </c>
      <c r="B3237" s="4" t="str">
        <f>HYPERLINK("https://twitter.com/petrogustavo","@petrogustavo")</f>
        <v>@petrogustavo</v>
      </c>
      <c r="C3237" s="5" t="s">
        <v>16</v>
      </c>
      <c r="D3237" s="5" t="s">
        <v>3174</v>
      </c>
      <c r="E3237" s="6" t="str">
        <f>HYPERLINK("https://twitter.com/petrogustavo/status/1237943162888491008","1237943162888491008")</f>
        <v>1237943162888491008</v>
      </c>
      <c r="F3237" s="7" t="s">
        <v>17</v>
      </c>
      <c r="G3237" s="7">
        <v>3662433</v>
      </c>
      <c r="H3237" s="7">
        <v>2354</v>
      </c>
      <c r="I3237" s="7">
        <v>116</v>
      </c>
      <c r="J3237" s="7">
        <v>382</v>
      </c>
      <c r="K3237" s="7" t="s">
        <v>18</v>
      </c>
      <c r="L3237" s="8">
        <v>39987.315405092595</v>
      </c>
      <c r="M3237" s="9" t="s">
        <v>19</v>
      </c>
      <c r="N3237" s="9" t="s">
        <v>20</v>
      </c>
      <c r="O3237" s="6" t="str">
        <f>HYPERLINK("https://pbs.twimg.com/profile_images/962471262747529216/Uo8lOkRJ_normal.jpg","View")</f>
        <v>View</v>
      </c>
      <c r="P3237" s="7"/>
    </row>
    <row r="3238" spans="1:16">
      <c r="A3238" s="3">
        <v>43902.37537037037</v>
      </c>
      <c r="B3238" s="4" t="str">
        <f>HYPERLINK("https://twitter.com/petrogustavo","@petrogustavo")</f>
        <v>@petrogustavo</v>
      </c>
      <c r="C3238" s="5" t="s">
        <v>16</v>
      </c>
      <c r="D3238" s="5" t="s">
        <v>3175</v>
      </c>
      <c r="E3238" s="6" t="str">
        <f>HYPERLINK("https://twitter.com/petrogustavo/status/1237944036465545217","1237944036465545217")</f>
        <v>1237944036465545217</v>
      </c>
      <c r="F3238" s="7" t="s">
        <v>17</v>
      </c>
      <c r="G3238" s="7">
        <v>3662433</v>
      </c>
      <c r="H3238" s="7">
        <v>2354</v>
      </c>
      <c r="I3238" s="7">
        <v>42</v>
      </c>
      <c r="J3238" s="7">
        <v>146</v>
      </c>
      <c r="K3238" s="7" t="s">
        <v>18</v>
      </c>
      <c r="L3238" s="8">
        <v>39987.315405092595</v>
      </c>
      <c r="M3238" s="9" t="s">
        <v>19</v>
      </c>
      <c r="N3238" s="9" t="s">
        <v>20</v>
      </c>
      <c r="O3238" s="6" t="str">
        <f>HYPERLINK("https://pbs.twimg.com/profile_images/962471262747529216/Uo8lOkRJ_normal.jpg","View")</f>
        <v>View</v>
      </c>
      <c r="P3238" s="7"/>
    </row>
    <row r="3239" spans="1:16">
      <c r="A3239" s="3">
        <v>43902.376956018517</v>
      </c>
      <c r="B3239" s="4" t="str">
        <f>HYPERLINK("https://twitter.com/petrogustavo","@petrogustavo")</f>
        <v>@petrogustavo</v>
      </c>
      <c r="C3239" s="5" t="s">
        <v>16</v>
      </c>
      <c r="D3239" s="5" t="s">
        <v>3176</v>
      </c>
      <c r="E3239" s="6" t="str">
        <f>HYPERLINK("https://twitter.com/petrogustavo/status/1237944607834624000","1237944607834624000")</f>
        <v>1237944607834624000</v>
      </c>
      <c r="F3239" s="7" t="s">
        <v>17</v>
      </c>
      <c r="G3239" s="7">
        <v>3662433</v>
      </c>
      <c r="H3239" s="7">
        <v>2354</v>
      </c>
      <c r="I3239" s="7">
        <v>31</v>
      </c>
      <c r="J3239" s="7">
        <v>109</v>
      </c>
      <c r="K3239" s="7" t="s">
        <v>18</v>
      </c>
      <c r="L3239" s="8">
        <v>39987.315405092595</v>
      </c>
      <c r="M3239" s="9" t="s">
        <v>19</v>
      </c>
      <c r="N3239" s="9" t="s">
        <v>20</v>
      </c>
      <c r="O3239" s="6" t="str">
        <f>HYPERLINK("https://pbs.twimg.com/profile_images/962471262747529216/Uo8lOkRJ_normal.jpg","View")</f>
        <v>View</v>
      </c>
      <c r="P3239" s="7"/>
    </row>
    <row r="3240" spans="1:16">
      <c r="A3240" s="3">
        <v>43902.389374999999</v>
      </c>
      <c r="B3240" s="4" t="str">
        <f>HYPERLINK("https://twitter.com/petrogustavo","@petrogustavo")</f>
        <v>@petrogustavo</v>
      </c>
      <c r="C3240" s="5" t="s">
        <v>16</v>
      </c>
      <c r="D3240" s="5" t="s">
        <v>3177</v>
      </c>
      <c r="E3240" s="6" t="str">
        <f>HYPERLINK("https://twitter.com/petrogustavo/status/1237949109031575554","1237949109031575554")</f>
        <v>1237949109031575554</v>
      </c>
      <c r="F3240" s="7" t="s">
        <v>17</v>
      </c>
      <c r="G3240" s="7">
        <v>3662472</v>
      </c>
      <c r="H3240" s="7">
        <v>2354</v>
      </c>
      <c r="I3240" s="7">
        <v>842</v>
      </c>
      <c r="J3240" s="7">
        <v>0</v>
      </c>
      <c r="K3240" s="7" t="s">
        <v>18</v>
      </c>
      <c r="L3240" s="8">
        <v>39987.315405092595</v>
      </c>
      <c r="M3240" s="9" t="s">
        <v>19</v>
      </c>
      <c r="N3240" s="9" t="s">
        <v>20</v>
      </c>
      <c r="O3240" s="6" t="str">
        <f>HYPERLINK("https://pbs.twimg.com/profile_images/962471262747529216/Uo8lOkRJ_normal.jpg","View")</f>
        <v>View</v>
      </c>
      <c r="P3240" s="7"/>
    </row>
    <row r="3241" spans="1:16">
      <c r="A3241" s="3">
        <v>43902.754861111112</v>
      </c>
      <c r="B3241" s="4" t="str">
        <f>HYPERLINK("https://twitter.com/petrogustavo","@petrogustavo")</f>
        <v>@petrogustavo</v>
      </c>
      <c r="C3241" s="5" t="s">
        <v>16</v>
      </c>
      <c r="D3241" s="5" t="s">
        <v>3178</v>
      </c>
      <c r="E3241" s="6" t="str">
        <f>HYPERLINK("https://twitter.com/petrogustavo/status/1238081557824495618","1238081557824495618")</f>
        <v>1238081557824495618</v>
      </c>
      <c r="F3241" s="7" t="s">
        <v>17</v>
      </c>
      <c r="G3241" s="7">
        <v>3662675</v>
      </c>
      <c r="H3241" s="7">
        <v>2354</v>
      </c>
      <c r="I3241" s="7">
        <v>439</v>
      </c>
      <c r="J3241" s="7">
        <v>0</v>
      </c>
      <c r="K3241" s="7" t="s">
        <v>18</v>
      </c>
      <c r="L3241" s="8">
        <v>39987.315405092595</v>
      </c>
      <c r="M3241" s="9" t="s">
        <v>19</v>
      </c>
      <c r="N3241" s="9" t="s">
        <v>20</v>
      </c>
      <c r="O3241" s="6" t="str">
        <f>HYPERLINK("https://pbs.twimg.com/profile_images/962471262747529216/Uo8lOkRJ_normal.jpg","View")</f>
        <v>View</v>
      </c>
      <c r="P3241" s="7"/>
    </row>
    <row r="3242" spans="1:16">
      <c r="A3242" s="3">
        <v>43902.759791666671</v>
      </c>
      <c r="B3242" s="4" t="str">
        <f>HYPERLINK("https://twitter.com/petrogustavo","@petrogustavo")</f>
        <v>@petrogustavo</v>
      </c>
      <c r="C3242" s="5" t="s">
        <v>16</v>
      </c>
      <c r="D3242" s="5" t="s">
        <v>3179</v>
      </c>
      <c r="E3242" s="6" t="str">
        <f>HYPERLINK("https://twitter.com/petrogustavo/status/1238083342991609858","1238083342991609858")</f>
        <v>1238083342991609858</v>
      </c>
      <c r="F3242" s="7" t="s">
        <v>17</v>
      </c>
      <c r="G3242" s="7">
        <v>3662675</v>
      </c>
      <c r="H3242" s="7">
        <v>2354</v>
      </c>
      <c r="I3242" s="7">
        <v>33</v>
      </c>
      <c r="J3242" s="7">
        <v>110</v>
      </c>
      <c r="K3242" s="7" t="s">
        <v>18</v>
      </c>
      <c r="L3242" s="8">
        <v>39987.315405092595</v>
      </c>
      <c r="M3242" s="9" t="s">
        <v>19</v>
      </c>
      <c r="N3242" s="9" t="s">
        <v>20</v>
      </c>
      <c r="O3242" s="6" t="str">
        <f>HYPERLINK("https://pbs.twimg.com/profile_images/962471262747529216/Uo8lOkRJ_normal.jpg","View")</f>
        <v>View</v>
      </c>
      <c r="P3242" s="7"/>
    </row>
    <row r="3243" spans="1:16">
      <c r="A3243" s="3">
        <v>43902.762523148151</v>
      </c>
      <c r="B3243" s="4" t="str">
        <f>HYPERLINK("https://twitter.com/petrogustavo","@petrogustavo")</f>
        <v>@petrogustavo</v>
      </c>
      <c r="C3243" s="5" t="s">
        <v>16</v>
      </c>
      <c r="D3243" s="5" t="s">
        <v>3180</v>
      </c>
      <c r="E3243" s="6" t="str">
        <f>HYPERLINK("https://twitter.com/petrogustavo/status/1238084333619085316","1238084333619085316")</f>
        <v>1238084333619085316</v>
      </c>
      <c r="F3243" s="7" t="s">
        <v>17</v>
      </c>
      <c r="G3243" s="7">
        <v>3662675</v>
      </c>
      <c r="H3243" s="7">
        <v>2354</v>
      </c>
      <c r="I3243" s="7">
        <v>486</v>
      </c>
      <c r="J3243" s="7">
        <v>0</v>
      </c>
      <c r="K3243" s="7" t="s">
        <v>18</v>
      </c>
      <c r="L3243" s="8">
        <v>39987.315405092595</v>
      </c>
      <c r="M3243" s="9" t="s">
        <v>19</v>
      </c>
      <c r="N3243" s="9" t="s">
        <v>20</v>
      </c>
      <c r="O3243" s="6" t="str">
        <f>HYPERLINK("https://pbs.twimg.com/profile_images/962471262747529216/Uo8lOkRJ_normal.jpg","View")</f>
        <v>View</v>
      </c>
      <c r="P3243" s="7"/>
    </row>
    <row r="3244" spans="1:16">
      <c r="A3244" s="3">
        <v>43902.763981481483</v>
      </c>
      <c r="B3244" s="4" t="str">
        <f>HYPERLINK("https://twitter.com/petrogustavo","@petrogustavo")</f>
        <v>@petrogustavo</v>
      </c>
      <c r="C3244" s="5" t="s">
        <v>16</v>
      </c>
      <c r="D3244" s="5" t="s">
        <v>3181</v>
      </c>
      <c r="E3244" s="6" t="str">
        <f>HYPERLINK("https://twitter.com/petrogustavo/status/1238084864336973824","1238084864336973824")</f>
        <v>1238084864336973824</v>
      </c>
      <c r="F3244" s="7" t="s">
        <v>17</v>
      </c>
      <c r="G3244" s="7">
        <v>3662707</v>
      </c>
      <c r="H3244" s="7">
        <v>2354</v>
      </c>
      <c r="I3244" s="7">
        <v>251</v>
      </c>
      <c r="J3244" s="7">
        <v>0</v>
      </c>
      <c r="K3244" s="7" t="s">
        <v>18</v>
      </c>
      <c r="L3244" s="8">
        <v>39987.315405092595</v>
      </c>
      <c r="M3244" s="9" t="s">
        <v>19</v>
      </c>
      <c r="N3244" s="9" t="s">
        <v>20</v>
      </c>
      <c r="O3244" s="6" t="str">
        <f>HYPERLINK("https://pbs.twimg.com/profile_images/962471262747529216/Uo8lOkRJ_normal.jpg","View")</f>
        <v>View</v>
      </c>
      <c r="P3244" s="7"/>
    </row>
    <row r="3245" spans="1:16">
      <c r="A3245" s="3">
        <v>43902.771585648152</v>
      </c>
      <c r="B3245" s="4" t="str">
        <f>HYPERLINK("https://twitter.com/petrogustavo","@petrogustavo")</f>
        <v>@petrogustavo</v>
      </c>
      <c r="C3245" s="5" t="s">
        <v>16</v>
      </c>
      <c r="D3245" s="5" t="s">
        <v>3182</v>
      </c>
      <c r="E3245" s="6" t="str">
        <f>HYPERLINK("https://twitter.com/petrogustavo/status/1238087618115653632","1238087618115653632")</f>
        <v>1238087618115653632</v>
      </c>
      <c r="F3245" s="7" t="s">
        <v>17</v>
      </c>
      <c r="G3245" s="7">
        <v>3662707</v>
      </c>
      <c r="H3245" s="7">
        <v>2354</v>
      </c>
      <c r="I3245" s="7">
        <v>96</v>
      </c>
      <c r="J3245" s="7">
        <v>223</v>
      </c>
      <c r="K3245" s="7" t="s">
        <v>18</v>
      </c>
      <c r="L3245" s="8">
        <v>39987.315405092595</v>
      </c>
      <c r="M3245" s="9" t="s">
        <v>19</v>
      </c>
      <c r="N3245" s="9" t="s">
        <v>20</v>
      </c>
      <c r="O3245" s="6" t="str">
        <f>HYPERLINK("https://pbs.twimg.com/profile_images/962471262747529216/Uo8lOkRJ_normal.jpg","View")</f>
        <v>View</v>
      </c>
      <c r="P3245" s="7"/>
    </row>
    <row r="3246" spans="1:16">
      <c r="A3246" s="3">
        <v>43902.779467592598</v>
      </c>
      <c r="B3246" s="4" t="str">
        <f>HYPERLINK("https://twitter.com/petrogustavo","@petrogustavo")</f>
        <v>@petrogustavo</v>
      </c>
      <c r="C3246" s="5" t="s">
        <v>16</v>
      </c>
      <c r="D3246" s="5" t="s">
        <v>3183</v>
      </c>
      <c r="E3246" s="6" t="str">
        <f>HYPERLINK("https://twitter.com/petrogustavo/status/1238090474482794496","1238090474482794496")</f>
        <v>1238090474482794496</v>
      </c>
      <c r="F3246" s="7" t="s">
        <v>17</v>
      </c>
      <c r="G3246" s="7">
        <v>3662707</v>
      </c>
      <c r="H3246" s="7">
        <v>2354</v>
      </c>
      <c r="I3246" s="7">
        <v>59</v>
      </c>
      <c r="J3246" s="7">
        <v>160</v>
      </c>
      <c r="K3246" s="7" t="s">
        <v>18</v>
      </c>
      <c r="L3246" s="8">
        <v>39987.315405092595</v>
      </c>
      <c r="M3246" s="9" t="s">
        <v>19</v>
      </c>
      <c r="N3246" s="9" t="s">
        <v>20</v>
      </c>
      <c r="O3246" s="6" t="str">
        <f>HYPERLINK("https://pbs.twimg.com/profile_images/962471262747529216/Uo8lOkRJ_normal.jpg","View")</f>
        <v>View</v>
      </c>
      <c r="P3246" s="7"/>
    </row>
    <row r="3247" spans="1:16">
      <c r="A3247" s="3">
        <v>43902.781296296293</v>
      </c>
      <c r="B3247" s="4" t="str">
        <f>HYPERLINK("https://twitter.com/petrogustavo","@petrogustavo")</f>
        <v>@petrogustavo</v>
      </c>
      <c r="C3247" s="5" t="s">
        <v>16</v>
      </c>
      <c r="D3247" s="5" t="s">
        <v>3184</v>
      </c>
      <c r="E3247" s="6" t="str">
        <f>HYPERLINK("https://twitter.com/petrogustavo/status/1238091135861559297","1238091135861559297")</f>
        <v>1238091135861559297</v>
      </c>
      <c r="F3247" s="7" t="s">
        <v>17</v>
      </c>
      <c r="G3247" s="7">
        <v>3662707</v>
      </c>
      <c r="H3247" s="7">
        <v>2354</v>
      </c>
      <c r="I3247" s="7">
        <v>33</v>
      </c>
      <c r="J3247" s="7">
        <v>88</v>
      </c>
      <c r="K3247" s="7" t="s">
        <v>18</v>
      </c>
      <c r="L3247" s="8">
        <v>39987.315405092595</v>
      </c>
      <c r="M3247" s="9" t="s">
        <v>19</v>
      </c>
      <c r="N3247" s="9" t="s">
        <v>20</v>
      </c>
      <c r="O3247" s="6" t="str">
        <f>HYPERLINK("https://pbs.twimg.com/profile_images/962471262747529216/Uo8lOkRJ_normal.jpg","View")</f>
        <v>View</v>
      </c>
      <c r="P3247" s="7"/>
    </row>
    <row r="3248" spans="1:16">
      <c r="A3248" s="3">
        <v>43902.787361111114</v>
      </c>
      <c r="B3248" s="4" t="str">
        <f>HYPERLINK("https://twitter.com/petrogustavo","@petrogustavo")</f>
        <v>@petrogustavo</v>
      </c>
      <c r="C3248" s="5" t="s">
        <v>16</v>
      </c>
      <c r="D3248" s="5" t="s">
        <v>3185</v>
      </c>
      <c r="E3248" s="6" t="str">
        <f>HYPERLINK("https://twitter.com/petrogustavo/status/1238093334985478147","1238093334985478147")</f>
        <v>1238093334985478147</v>
      </c>
      <c r="F3248" s="7" t="s">
        <v>17</v>
      </c>
      <c r="G3248" s="7">
        <v>3662726</v>
      </c>
      <c r="H3248" s="7">
        <v>2354</v>
      </c>
      <c r="I3248" s="7">
        <v>68</v>
      </c>
      <c r="J3248" s="7">
        <v>232</v>
      </c>
      <c r="K3248" s="7" t="s">
        <v>18</v>
      </c>
      <c r="L3248" s="8">
        <v>39987.315405092595</v>
      </c>
      <c r="M3248" s="9" t="s">
        <v>19</v>
      </c>
      <c r="N3248" s="9" t="s">
        <v>20</v>
      </c>
      <c r="O3248" s="6" t="str">
        <f>HYPERLINK("https://pbs.twimg.com/profile_images/962471262747529216/Uo8lOkRJ_normal.jpg","View")</f>
        <v>View</v>
      </c>
      <c r="P3248" s="7"/>
    </row>
    <row r="3249" spans="1:16">
      <c r="A3249" s="3">
        <v>43902.794768518521</v>
      </c>
      <c r="B3249" s="4" t="str">
        <f>HYPERLINK("https://twitter.com/petrogustavo","@petrogustavo")</f>
        <v>@petrogustavo</v>
      </c>
      <c r="C3249" s="5" t="s">
        <v>16</v>
      </c>
      <c r="D3249" s="5" t="s">
        <v>3186</v>
      </c>
      <c r="E3249" s="6" t="str">
        <f>HYPERLINK("https://twitter.com/petrogustavo/status/1238096018568286208","1238096018568286208")</f>
        <v>1238096018568286208</v>
      </c>
      <c r="F3249" s="7" t="s">
        <v>17</v>
      </c>
      <c r="G3249" s="7">
        <v>3662726</v>
      </c>
      <c r="H3249" s="7">
        <v>2354</v>
      </c>
      <c r="I3249" s="7">
        <v>25</v>
      </c>
      <c r="J3249" s="7">
        <v>121</v>
      </c>
      <c r="K3249" s="7" t="s">
        <v>18</v>
      </c>
      <c r="L3249" s="8">
        <v>39987.315405092595</v>
      </c>
      <c r="M3249" s="9" t="s">
        <v>19</v>
      </c>
      <c r="N3249" s="9" t="s">
        <v>20</v>
      </c>
      <c r="O3249" s="6" t="str">
        <f>HYPERLINK("https://pbs.twimg.com/profile_images/962471262747529216/Uo8lOkRJ_normal.jpg","View")</f>
        <v>View</v>
      </c>
      <c r="P3249" s="7"/>
    </row>
    <row r="3250" spans="1:16">
      <c r="A3250" s="3">
        <v>43902.8044212963</v>
      </c>
      <c r="B3250" s="4" t="str">
        <f>HYPERLINK("https://twitter.com/petrogustavo","@petrogustavo")</f>
        <v>@petrogustavo</v>
      </c>
      <c r="C3250" s="5" t="s">
        <v>16</v>
      </c>
      <c r="D3250" s="5" t="s">
        <v>3187</v>
      </c>
      <c r="E3250" s="6" t="str">
        <f>HYPERLINK("https://twitter.com/petrogustavo/status/1238099519138672641","1238099519138672641")</f>
        <v>1238099519138672641</v>
      </c>
      <c r="F3250" s="7" t="s">
        <v>17</v>
      </c>
      <c r="G3250" s="7">
        <v>3662761</v>
      </c>
      <c r="H3250" s="7">
        <v>2354</v>
      </c>
      <c r="I3250" s="7">
        <v>38</v>
      </c>
      <c r="J3250" s="7">
        <v>115</v>
      </c>
      <c r="K3250" s="7" t="s">
        <v>18</v>
      </c>
      <c r="L3250" s="8">
        <v>39987.315405092595</v>
      </c>
      <c r="M3250" s="9" t="s">
        <v>19</v>
      </c>
      <c r="N3250" s="9" t="s">
        <v>20</v>
      </c>
      <c r="O3250" s="6" t="str">
        <f>HYPERLINK("https://pbs.twimg.com/profile_images/962471262747529216/Uo8lOkRJ_normal.jpg","View")</f>
        <v>View</v>
      </c>
      <c r="P3250" s="7"/>
    </row>
    <row r="3251" spans="1:16">
      <c r="A3251" s="3">
        <v>43902.831319444449</v>
      </c>
      <c r="B3251" s="4" t="str">
        <f>HYPERLINK("https://twitter.com/petrogustavo","@petrogustavo")</f>
        <v>@petrogustavo</v>
      </c>
      <c r="C3251" s="5" t="s">
        <v>16</v>
      </c>
      <c r="D3251" s="5" t="s">
        <v>3188</v>
      </c>
      <c r="E3251" s="6" t="str">
        <f>HYPERLINK("https://twitter.com/petrogustavo/status/1238109263442120704","1238109263442120704")</f>
        <v>1238109263442120704</v>
      </c>
      <c r="F3251" s="7" t="s">
        <v>17</v>
      </c>
      <c r="G3251" s="7">
        <v>3662811</v>
      </c>
      <c r="H3251" s="7">
        <v>2354</v>
      </c>
      <c r="I3251" s="7">
        <v>101</v>
      </c>
      <c r="J3251" s="7">
        <v>0</v>
      </c>
      <c r="K3251" s="7" t="s">
        <v>18</v>
      </c>
      <c r="L3251" s="8">
        <v>39987.315405092595</v>
      </c>
      <c r="M3251" s="9" t="s">
        <v>19</v>
      </c>
      <c r="N3251" s="9" t="s">
        <v>20</v>
      </c>
      <c r="O3251" s="6" t="str">
        <f>HYPERLINK("https://pbs.twimg.com/profile_images/962471262747529216/Uo8lOkRJ_normal.jpg","View")</f>
        <v>View</v>
      </c>
      <c r="P3251" s="7"/>
    </row>
    <row r="3252" spans="1:16">
      <c r="A3252" s="3">
        <v>43902.831689814819</v>
      </c>
      <c r="B3252" s="4" t="str">
        <f>HYPERLINK("https://twitter.com/petrogustavo","@petrogustavo")</f>
        <v>@petrogustavo</v>
      </c>
      <c r="C3252" s="5" t="s">
        <v>16</v>
      </c>
      <c r="D3252" s="5" t="s">
        <v>3189</v>
      </c>
      <c r="E3252" s="6" t="str">
        <f>HYPERLINK("https://twitter.com/petrogustavo/status/1238109399748673536","1238109399748673536")</f>
        <v>1238109399748673536</v>
      </c>
      <c r="F3252" s="7" t="s">
        <v>17</v>
      </c>
      <c r="G3252" s="7">
        <v>3662811</v>
      </c>
      <c r="H3252" s="7">
        <v>2354</v>
      </c>
      <c r="I3252" s="7">
        <v>113</v>
      </c>
      <c r="J3252" s="7">
        <v>0</v>
      </c>
      <c r="K3252" s="7" t="s">
        <v>18</v>
      </c>
      <c r="L3252" s="8">
        <v>39987.315405092595</v>
      </c>
      <c r="M3252" s="9" t="s">
        <v>19</v>
      </c>
      <c r="N3252" s="9" t="s">
        <v>20</v>
      </c>
      <c r="O3252" s="6" t="str">
        <f>HYPERLINK("https://pbs.twimg.com/profile_images/962471262747529216/Uo8lOkRJ_normal.jpg","View")</f>
        <v>View</v>
      </c>
      <c r="P3252" s="7"/>
    </row>
    <row r="3253" spans="1:16">
      <c r="A3253" s="3">
        <v>43902.847303240742</v>
      </c>
      <c r="B3253" s="4" t="str">
        <f>HYPERLINK("https://twitter.com/petrogustavo","@petrogustavo")</f>
        <v>@petrogustavo</v>
      </c>
      <c r="C3253" s="5" t="s">
        <v>16</v>
      </c>
      <c r="D3253" s="5" t="s">
        <v>3190</v>
      </c>
      <c r="E3253" s="6" t="str">
        <f>HYPERLINK("https://twitter.com/petrogustavo/status/1238115055704641536","1238115055704641536")</f>
        <v>1238115055704641536</v>
      </c>
      <c r="F3253" s="7" t="s">
        <v>17</v>
      </c>
      <c r="G3253" s="7">
        <v>3662841</v>
      </c>
      <c r="H3253" s="7">
        <v>2353</v>
      </c>
      <c r="I3253" s="7">
        <v>91</v>
      </c>
      <c r="J3253" s="7">
        <v>0</v>
      </c>
      <c r="K3253" s="7" t="s">
        <v>18</v>
      </c>
      <c r="L3253" s="8">
        <v>39987.315405092595</v>
      </c>
      <c r="M3253" s="9" t="s">
        <v>19</v>
      </c>
      <c r="N3253" s="9" t="s">
        <v>20</v>
      </c>
      <c r="O3253" s="6" t="str">
        <f>HYPERLINK("https://pbs.twimg.com/profile_images/962471262747529216/Uo8lOkRJ_normal.jpg","View")</f>
        <v>View</v>
      </c>
      <c r="P3253" s="7"/>
    </row>
    <row r="3254" spans="1:16">
      <c r="A3254" s="3">
        <v>43902.85728009259</v>
      </c>
      <c r="B3254" s="4" t="str">
        <f>HYPERLINK("https://twitter.com/petrogustavo","@petrogustavo")</f>
        <v>@petrogustavo</v>
      </c>
      <c r="C3254" s="5" t="s">
        <v>16</v>
      </c>
      <c r="D3254" s="5" t="s">
        <v>3191</v>
      </c>
      <c r="E3254" s="6" t="str">
        <f>HYPERLINK("https://twitter.com/petrogustavo/status/1238118673912455168","1238118673912455168")</f>
        <v>1238118673912455168</v>
      </c>
      <c r="F3254" s="7" t="s">
        <v>17</v>
      </c>
      <c r="G3254" s="7">
        <v>3662841</v>
      </c>
      <c r="H3254" s="7">
        <v>2353</v>
      </c>
      <c r="I3254" s="7">
        <v>27</v>
      </c>
      <c r="J3254" s="7">
        <v>128</v>
      </c>
      <c r="K3254" s="7" t="s">
        <v>18</v>
      </c>
      <c r="L3254" s="8">
        <v>39987.315405092595</v>
      </c>
      <c r="M3254" s="9" t="s">
        <v>19</v>
      </c>
      <c r="N3254" s="9" t="s">
        <v>20</v>
      </c>
      <c r="O3254" s="6" t="str">
        <f>HYPERLINK("https://pbs.twimg.com/profile_images/962471262747529216/Uo8lOkRJ_normal.jpg","View")</f>
        <v>View</v>
      </c>
      <c r="P3254" s="7"/>
    </row>
    <row r="3255" spans="1:16">
      <c r="A3255" s="3">
        <v>43902.861296296294</v>
      </c>
      <c r="B3255" s="4" t="str">
        <f>HYPERLINK("https://twitter.com/petrogustavo","@petrogustavo")</f>
        <v>@petrogustavo</v>
      </c>
      <c r="C3255" s="5" t="s">
        <v>16</v>
      </c>
      <c r="D3255" s="5" t="s">
        <v>3192</v>
      </c>
      <c r="E3255" s="6" t="str">
        <f>HYPERLINK("https://twitter.com/petrogustavo/status/1238120127591317504","1238120127591317504")</f>
        <v>1238120127591317504</v>
      </c>
      <c r="F3255" s="7" t="s">
        <v>17</v>
      </c>
      <c r="G3255" s="7">
        <v>3662841</v>
      </c>
      <c r="H3255" s="7">
        <v>2353</v>
      </c>
      <c r="I3255" s="7">
        <v>1725</v>
      </c>
      <c r="J3255" s="7">
        <v>0</v>
      </c>
      <c r="K3255" s="7" t="s">
        <v>18</v>
      </c>
      <c r="L3255" s="8">
        <v>39987.315405092595</v>
      </c>
      <c r="M3255" s="9" t="s">
        <v>19</v>
      </c>
      <c r="N3255" s="9" t="s">
        <v>20</v>
      </c>
      <c r="O3255" s="6" t="str">
        <f>HYPERLINK("https://pbs.twimg.com/profile_images/962471262747529216/Uo8lOkRJ_normal.jpg","View")</f>
        <v>View</v>
      </c>
      <c r="P3255" s="7"/>
    </row>
    <row r="3256" spans="1:16">
      <c r="A3256" s="3">
        <v>43902.86409722222</v>
      </c>
      <c r="B3256" s="4" t="str">
        <f>HYPERLINK("https://twitter.com/petrogustavo","@petrogustavo")</f>
        <v>@petrogustavo</v>
      </c>
      <c r="C3256" s="5" t="s">
        <v>16</v>
      </c>
      <c r="D3256" s="5" t="s">
        <v>3193</v>
      </c>
      <c r="E3256" s="6" t="str">
        <f>HYPERLINK("https://twitter.com/petrogustavo/status/1238121142340198400","1238121142340198400")</f>
        <v>1238121142340198400</v>
      </c>
      <c r="F3256" s="7" t="s">
        <v>17</v>
      </c>
      <c r="G3256" s="7">
        <v>3662841</v>
      </c>
      <c r="H3256" s="7">
        <v>2353</v>
      </c>
      <c r="I3256" s="7">
        <v>174</v>
      </c>
      <c r="J3256" s="7">
        <v>446</v>
      </c>
      <c r="K3256" s="7" t="s">
        <v>18</v>
      </c>
      <c r="L3256" s="8">
        <v>39987.315405092595</v>
      </c>
      <c r="M3256" s="9" t="s">
        <v>19</v>
      </c>
      <c r="N3256" s="9" t="s">
        <v>20</v>
      </c>
      <c r="O3256" s="6" t="str">
        <f>HYPERLINK("https://pbs.twimg.com/profile_images/962471262747529216/Uo8lOkRJ_normal.jpg","View")</f>
        <v>View</v>
      </c>
      <c r="P3256" s="7"/>
    </row>
    <row r="3257" spans="1:16">
      <c r="A3257" s="3">
        <v>43902.866064814814</v>
      </c>
      <c r="B3257" s="4" t="str">
        <f>HYPERLINK("https://twitter.com/petrogustavo","@petrogustavo")</f>
        <v>@petrogustavo</v>
      </c>
      <c r="C3257" s="5" t="s">
        <v>16</v>
      </c>
      <c r="D3257" s="5" t="s">
        <v>3194</v>
      </c>
      <c r="E3257" s="6" t="str">
        <f>HYPERLINK("https://twitter.com/petrogustavo/status/1238121854835085312","1238121854835085312")</f>
        <v>1238121854835085312</v>
      </c>
      <c r="F3257" s="7" t="s">
        <v>17</v>
      </c>
      <c r="G3257" s="7">
        <v>3662841</v>
      </c>
      <c r="H3257" s="7">
        <v>2353</v>
      </c>
      <c r="I3257" s="7">
        <v>104</v>
      </c>
      <c r="J3257" s="7">
        <v>0</v>
      </c>
      <c r="K3257" s="7" t="s">
        <v>18</v>
      </c>
      <c r="L3257" s="8">
        <v>39987.315405092595</v>
      </c>
      <c r="M3257" s="9" t="s">
        <v>19</v>
      </c>
      <c r="N3257" s="9" t="s">
        <v>20</v>
      </c>
      <c r="O3257" s="6" t="str">
        <f>HYPERLINK("https://pbs.twimg.com/profile_images/962471262747529216/Uo8lOkRJ_normal.jpg","View")</f>
        <v>View</v>
      </c>
      <c r="P3257" s="7"/>
    </row>
    <row r="3258" spans="1:16">
      <c r="A3258" s="3">
        <v>43902.867974537032</v>
      </c>
      <c r="B3258" s="4" t="str">
        <f>HYPERLINK("https://twitter.com/petrogustavo","@petrogustavo")</f>
        <v>@petrogustavo</v>
      </c>
      <c r="C3258" s="5" t="s">
        <v>16</v>
      </c>
      <c r="D3258" s="5" t="s">
        <v>3178</v>
      </c>
      <c r="E3258" s="6" t="str">
        <f>HYPERLINK("https://twitter.com/petrogustavo/status/1238122548400922632","1238122548400922632")</f>
        <v>1238122548400922632</v>
      </c>
      <c r="F3258" s="7" t="s">
        <v>17</v>
      </c>
      <c r="G3258" s="7">
        <v>3662876</v>
      </c>
      <c r="H3258" s="7">
        <v>2353</v>
      </c>
      <c r="I3258" s="7">
        <v>534</v>
      </c>
      <c r="J3258" s="7">
        <v>0</v>
      </c>
      <c r="K3258" s="7" t="s">
        <v>18</v>
      </c>
      <c r="L3258" s="8">
        <v>39987.315405092595</v>
      </c>
      <c r="M3258" s="9" t="s">
        <v>19</v>
      </c>
      <c r="N3258" s="9" t="s">
        <v>20</v>
      </c>
      <c r="O3258" s="6" t="str">
        <f>HYPERLINK("https://pbs.twimg.com/profile_images/962471262747529216/Uo8lOkRJ_normal.jpg","View")</f>
        <v>View</v>
      </c>
      <c r="P3258" s="7"/>
    </row>
    <row r="3259" spans="1:16">
      <c r="A3259" s="3">
        <v>43902.868923611109</v>
      </c>
      <c r="B3259" s="4" t="str">
        <f>HYPERLINK("https://twitter.com/petrogustavo","@petrogustavo")</f>
        <v>@petrogustavo</v>
      </c>
      <c r="C3259" s="5" t="s">
        <v>16</v>
      </c>
      <c r="D3259" s="5" t="s">
        <v>3195</v>
      </c>
      <c r="E3259" s="6" t="str">
        <f>HYPERLINK("https://twitter.com/petrogustavo/status/1238122893818630150","1238122893818630150")</f>
        <v>1238122893818630150</v>
      </c>
      <c r="F3259" s="7" t="s">
        <v>17</v>
      </c>
      <c r="G3259" s="7">
        <v>3662876</v>
      </c>
      <c r="H3259" s="7">
        <v>2353</v>
      </c>
      <c r="I3259" s="7">
        <v>1016</v>
      </c>
      <c r="J3259" s="7">
        <v>0</v>
      </c>
      <c r="K3259" s="7" t="s">
        <v>18</v>
      </c>
      <c r="L3259" s="8">
        <v>39987.315405092595</v>
      </c>
      <c r="M3259" s="9" t="s">
        <v>19</v>
      </c>
      <c r="N3259" s="9" t="s">
        <v>20</v>
      </c>
      <c r="O3259" s="6" t="str">
        <f>HYPERLINK("https://pbs.twimg.com/profile_images/962471262747529216/Uo8lOkRJ_normal.jpg","View")</f>
        <v>View</v>
      </c>
      <c r="P3259" s="7"/>
    </row>
    <row r="3260" spans="1:16">
      <c r="A3260" s="3">
        <v>43902.896134259259</v>
      </c>
      <c r="B3260" s="4" t="str">
        <f>HYPERLINK("https://twitter.com/petrogustavo","@petrogustavo")</f>
        <v>@petrogustavo</v>
      </c>
      <c r="C3260" s="5" t="s">
        <v>16</v>
      </c>
      <c r="D3260" s="5" t="s">
        <v>3196</v>
      </c>
      <c r="E3260" s="6" t="str">
        <f>HYPERLINK("https://twitter.com/petrogustavo/status/1238132755432706048","1238132755432706048")</f>
        <v>1238132755432706048</v>
      </c>
      <c r="F3260" s="7" t="s">
        <v>32</v>
      </c>
      <c r="G3260" s="7">
        <v>3662913</v>
      </c>
      <c r="H3260" s="7">
        <v>2353</v>
      </c>
      <c r="I3260" s="7">
        <v>94</v>
      </c>
      <c r="J3260" s="7">
        <v>0</v>
      </c>
      <c r="K3260" s="7" t="s">
        <v>18</v>
      </c>
      <c r="L3260" s="8">
        <v>39987.315405092595</v>
      </c>
      <c r="M3260" s="9" t="s">
        <v>19</v>
      </c>
      <c r="N3260" s="9" t="s">
        <v>20</v>
      </c>
      <c r="O3260" s="6" t="str">
        <f>HYPERLINK("https://pbs.twimg.com/profile_images/962471262747529216/Uo8lOkRJ_normal.jpg","View")</f>
        <v>View</v>
      </c>
      <c r="P3260" s="7"/>
    </row>
    <row r="3261" spans="1:16">
      <c r="A3261" s="3">
        <v>43902.923564814817</v>
      </c>
      <c r="B3261" s="4" t="str">
        <f>HYPERLINK("https://twitter.com/petrogustavo","@petrogustavo")</f>
        <v>@petrogustavo</v>
      </c>
      <c r="C3261" s="5" t="s">
        <v>16</v>
      </c>
      <c r="D3261" s="5" t="s">
        <v>3197</v>
      </c>
      <c r="E3261" s="6" t="str">
        <f>HYPERLINK("https://twitter.com/petrogustavo/status/1238142692430942208","1238142692430942208")</f>
        <v>1238142692430942208</v>
      </c>
      <c r="F3261" s="7" t="s">
        <v>17</v>
      </c>
      <c r="G3261" s="7">
        <v>3662932</v>
      </c>
      <c r="H3261" s="7">
        <v>2353</v>
      </c>
      <c r="I3261" s="7">
        <v>213</v>
      </c>
      <c r="J3261" s="7">
        <v>452</v>
      </c>
      <c r="K3261" s="7" t="s">
        <v>18</v>
      </c>
      <c r="L3261" s="8">
        <v>39987.315405092595</v>
      </c>
      <c r="M3261" s="9" t="s">
        <v>19</v>
      </c>
      <c r="N3261" s="9" t="s">
        <v>20</v>
      </c>
      <c r="O3261" s="6" t="str">
        <f>HYPERLINK("https://pbs.twimg.com/profile_images/962471262747529216/Uo8lOkRJ_normal.jpg","View")</f>
        <v>View</v>
      </c>
      <c r="P3261" s="7"/>
    </row>
    <row r="3262" spans="1:16">
      <c r="A3262" s="3">
        <v>43902.924687499995</v>
      </c>
      <c r="B3262" s="4" t="str">
        <f>HYPERLINK("https://twitter.com/petrogustavo","@petrogustavo")</f>
        <v>@petrogustavo</v>
      </c>
      <c r="C3262" s="5" t="s">
        <v>16</v>
      </c>
      <c r="D3262" s="5" t="s">
        <v>3198</v>
      </c>
      <c r="E3262" s="6" t="str">
        <f>HYPERLINK("https://twitter.com/petrogustavo/status/1238143098946977792","1238143098946977792")</f>
        <v>1238143098946977792</v>
      </c>
      <c r="F3262" s="7" t="s">
        <v>17</v>
      </c>
      <c r="G3262" s="7">
        <v>3662932</v>
      </c>
      <c r="H3262" s="7">
        <v>2353</v>
      </c>
      <c r="I3262" s="7">
        <v>80</v>
      </c>
      <c r="J3262" s="7">
        <v>0</v>
      </c>
      <c r="K3262" s="7" t="s">
        <v>18</v>
      </c>
      <c r="L3262" s="8">
        <v>39987.315405092595</v>
      </c>
      <c r="M3262" s="9" t="s">
        <v>19</v>
      </c>
      <c r="N3262" s="9" t="s">
        <v>20</v>
      </c>
      <c r="O3262" s="6" t="str">
        <f>HYPERLINK("https://pbs.twimg.com/profile_images/962471262747529216/Uo8lOkRJ_normal.jpg","View")</f>
        <v>View</v>
      </c>
      <c r="P3262" s="7"/>
    </row>
    <row r="3263" spans="1:16">
      <c r="A3263" s="3">
        <v>43902.952407407407</v>
      </c>
      <c r="B3263" s="4" t="str">
        <f>HYPERLINK("https://twitter.com/petrogustavo","@petrogustavo")</f>
        <v>@petrogustavo</v>
      </c>
      <c r="C3263" s="5" t="s">
        <v>16</v>
      </c>
      <c r="D3263" s="5" t="s">
        <v>3199</v>
      </c>
      <c r="E3263" s="6" t="str">
        <f>HYPERLINK("https://twitter.com/petrogustavo/status/1238153146167328768","1238153146167328768")</f>
        <v>1238153146167328768</v>
      </c>
      <c r="F3263" s="7" t="s">
        <v>32</v>
      </c>
      <c r="G3263" s="7">
        <v>3662994</v>
      </c>
      <c r="H3263" s="7">
        <v>2353</v>
      </c>
      <c r="I3263" s="7">
        <v>16</v>
      </c>
      <c r="J3263" s="7">
        <v>0</v>
      </c>
      <c r="K3263" s="7" t="s">
        <v>18</v>
      </c>
      <c r="L3263" s="8">
        <v>39987.315405092595</v>
      </c>
      <c r="M3263" s="9" t="s">
        <v>19</v>
      </c>
      <c r="N3263" s="9" t="s">
        <v>20</v>
      </c>
      <c r="O3263" s="6" t="str">
        <f>HYPERLINK("https://pbs.twimg.com/profile_images/962471262747529216/Uo8lOkRJ_normal.jpg","View")</f>
        <v>View</v>
      </c>
      <c r="P3263" s="7"/>
    </row>
    <row r="3264" spans="1:16">
      <c r="A3264" s="3">
        <v>43902.952835648146</v>
      </c>
      <c r="B3264" s="4" t="str">
        <f>HYPERLINK("https://twitter.com/petrogustavo","@petrogustavo")</f>
        <v>@petrogustavo</v>
      </c>
      <c r="C3264" s="5" t="s">
        <v>16</v>
      </c>
      <c r="D3264" s="5" t="s">
        <v>3200</v>
      </c>
      <c r="E3264" s="6" t="str">
        <f>HYPERLINK("https://twitter.com/petrogustavo/status/1238153300920451072","1238153300920451072")</f>
        <v>1238153300920451072</v>
      </c>
      <c r="F3264" s="7" t="s">
        <v>32</v>
      </c>
      <c r="G3264" s="7">
        <v>3662994</v>
      </c>
      <c r="H3264" s="7">
        <v>2353</v>
      </c>
      <c r="I3264" s="7">
        <v>1696</v>
      </c>
      <c r="J3264" s="7">
        <v>0</v>
      </c>
      <c r="K3264" s="7" t="s">
        <v>18</v>
      </c>
      <c r="L3264" s="8">
        <v>39987.315405092595</v>
      </c>
      <c r="M3264" s="9" t="s">
        <v>19</v>
      </c>
      <c r="N3264" s="9" t="s">
        <v>20</v>
      </c>
      <c r="O3264" s="6" t="str">
        <f>HYPERLINK("https://pbs.twimg.com/profile_images/962471262747529216/Uo8lOkRJ_normal.jpg","View")</f>
        <v>View</v>
      </c>
      <c r="P3264" s="7"/>
    </row>
    <row r="3265" spans="1:16">
      <c r="A3265" s="3">
        <v>43903.118750000001</v>
      </c>
      <c r="B3265" s="4" t="str">
        <f>HYPERLINK("https://twitter.com/petrogustavo","@petrogustavo")</f>
        <v>@petrogustavo</v>
      </c>
      <c r="C3265" s="5" t="s">
        <v>16</v>
      </c>
      <c r="D3265" s="5" t="s">
        <v>3201</v>
      </c>
      <c r="E3265" s="6" t="str">
        <f>HYPERLINK("https://twitter.com/petrogustavo/status/1238213425785974784","1238213425785974784")</f>
        <v>1238213425785974784</v>
      </c>
      <c r="F3265" s="7" t="s">
        <v>17</v>
      </c>
      <c r="G3265" s="7">
        <v>3663225</v>
      </c>
      <c r="H3265" s="7">
        <v>2353</v>
      </c>
      <c r="I3265" s="7">
        <v>163</v>
      </c>
      <c r="J3265" s="7">
        <v>379</v>
      </c>
      <c r="K3265" s="7" t="s">
        <v>18</v>
      </c>
      <c r="L3265" s="8">
        <v>39987.315405092595</v>
      </c>
      <c r="M3265" s="9" t="s">
        <v>19</v>
      </c>
      <c r="N3265" s="9" t="s">
        <v>20</v>
      </c>
      <c r="O3265" s="6" t="str">
        <f>HYPERLINK("https://pbs.twimg.com/profile_images/962471262747529216/Uo8lOkRJ_normal.jpg","View")</f>
        <v>View</v>
      </c>
      <c r="P3265" s="7"/>
    </row>
    <row r="3266" spans="1:16">
      <c r="A3266" s="3">
        <v>43903.122557870374</v>
      </c>
      <c r="B3266" s="4" t="str">
        <f>HYPERLINK("https://twitter.com/petrogustavo","@petrogustavo")</f>
        <v>@petrogustavo</v>
      </c>
      <c r="C3266" s="5" t="s">
        <v>16</v>
      </c>
      <c r="D3266" s="5" t="s">
        <v>3202</v>
      </c>
      <c r="E3266" s="6" t="str">
        <f>HYPERLINK("https://twitter.com/petrogustavo/status/1238214806420828160","1238214806420828160")</f>
        <v>1238214806420828160</v>
      </c>
      <c r="F3266" s="7" t="s">
        <v>17</v>
      </c>
      <c r="G3266" s="7">
        <v>3663225</v>
      </c>
      <c r="H3266" s="7">
        <v>2353</v>
      </c>
      <c r="I3266" s="7">
        <v>151</v>
      </c>
      <c r="J3266" s="7">
        <v>391</v>
      </c>
      <c r="K3266" s="7" t="s">
        <v>18</v>
      </c>
      <c r="L3266" s="8">
        <v>39987.315405092595</v>
      </c>
      <c r="M3266" s="9" t="s">
        <v>19</v>
      </c>
      <c r="N3266" s="9" t="s">
        <v>20</v>
      </c>
      <c r="O3266" s="6" t="str">
        <f>HYPERLINK("https://pbs.twimg.com/profile_images/962471262747529216/Uo8lOkRJ_normal.jpg","View")</f>
        <v>View</v>
      </c>
      <c r="P3266" s="7"/>
    </row>
    <row r="3267" spans="1:16">
      <c r="A3267" s="3">
        <v>43903.230092592596</v>
      </c>
      <c r="B3267" s="4" t="str">
        <f>HYPERLINK("https://twitter.com/petrogustavo","@petrogustavo")</f>
        <v>@petrogustavo</v>
      </c>
      <c r="C3267" s="5" t="s">
        <v>16</v>
      </c>
      <c r="D3267" s="5" t="s">
        <v>3203</v>
      </c>
      <c r="E3267" s="6" t="str">
        <f>HYPERLINK("https://twitter.com/petrogustavo/status/1238253777456705537","1238253777456705537")</f>
        <v>1238253777456705537</v>
      </c>
      <c r="F3267" s="7" t="s">
        <v>17</v>
      </c>
      <c r="G3267" s="7">
        <v>3663347</v>
      </c>
      <c r="H3267" s="7">
        <v>2353</v>
      </c>
      <c r="I3267" s="7">
        <v>95</v>
      </c>
      <c r="J3267" s="7">
        <v>337</v>
      </c>
      <c r="K3267" s="7" t="s">
        <v>18</v>
      </c>
      <c r="L3267" s="8">
        <v>39987.315405092595</v>
      </c>
      <c r="M3267" s="9" t="s">
        <v>19</v>
      </c>
      <c r="N3267" s="9" t="s">
        <v>20</v>
      </c>
      <c r="O3267" s="6" t="str">
        <f>HYPERLINK("https://pbs.twimg.com/profile_images/962471262747529216/Uo8lOkRJ_normal.jpg","View")</f>
        <v>View</v>
      </c>
      <c r="P3267" s="7"/>
    </row>
    <row r="3268" spans="1:16">
      <c r="A3268" s="3">
        <v>43903.320243055554</v>
      </c>
      <c r="B3268" s="4" t="str">
        <f>HYPERLINK("https://twitter.com/petrogustavo","@petrogustavo")</f>
        <v>@petrogustavo</v>
      </c>
      <c r="C3268" s="5" t="s">
        <v>16</v>
      </c>
      <c r="D3268" s="5" t="s">
        <v>3204</v>
      </c>
      <c r="E3268" s="6" t="str">
        <f>HYPERLINK("https://twitter.com/petrogustavo/status/1238286447347748864","1238286447347748864")</f>
        <v>1238286447347748864</v>
      </c>
      <c r="F3268" s="7" t="s">
        <v>17</v>
      </c>
      <c r="G3268" s="7">
        <v>3663524</v>
      </c>
      <c r="H3268" s="7">
        <v>2353</v>
      </c>
      <c r="I3268" s="7">
        <v>1063</v>
      </c>
      <c r="J3268" s="7">
        <v>0</v>
      </c>
      <c r="K3268" s="7" t="s">
        <v>18</v>
      </c>
      <c r="L3268" s="8">
        <v>39987.315405092595</v>
      </c>
      <c r="M3268" s="9" t="s">
        <v>19</v>
      </c>
      <c r="N3268" s="9" t="s">
        <v>20</v>
      </c>
      <c r="O3268" s="6" t="str">
        <f>HYPERLINK("https://pbs.twimg.com/profile_images/962471262747529216/Uo8lOkRJ_normal.jpg","View")</f>
        <v>View</v>
      </c>
      <c r="P3268" s="7"/>
    </row>
    <row r="3269" spans="1:16">
      <c r="A3269" s="3">
        <v>43903.320914351847</v>
      </c>
      <c r="B3269" s="4" t="str">
        <f>HYPERLINK("https://twitter.com/petrogustavo","@petrogustavo")</f>
        <v>@petrogustavo</v>
      </c>
      <c r="C3269" s="5" t="s">
        <v>16</v>
      </c>
      <c r="D3269" s="5" t="s">
        <v>3205</v>
      </c>
      <c r="E3269" s="6" t="str">
        <f>HYPERLINK("https://twitter.com/petrogustavo/status/1238286690600583170","1238286690600583170")</f>
        <v>1238286690600583170</v>
      </c>
      <c r="F3269" s="7" t="s">
        <v>17</v>
      </c>
      <c r="G3269" s="7">
        <v>3663524</v>
      </c>
      <c r="H3269" s="7">
        <v>2353</v>
      </c>
      <c r="I3269" s="7">
        <v>39</v>
      </c>
      <c r="J3269" s="7">
        <v>0</v>
      </c>
      <c r="K3269" s="7" t="s">
        <v>18</v>
      </c>
      <c r="L3269" s="8">
        <v>39987.315405092595</v>
      </c>
      <c r="M3269" s="9" t="s">
        <v>19</v>
      </c>
      <c r="N3269" s="9" t="s">
        <v>20</v>
      </c>
      <c r="O3269" s="6" t="str">
        <f>HYPERLINK("https://pbs.twimg.com/profile_images/962471262747529216/Uo8lOkRJ_normal.jpg","View")</f>
        <v>View</v>
      </c>
      <c r="P3269" s="7"/>
    </row>
    <row r="3270" spans="1:16">
      <c r="A3270" s="3">
        <v>43903.32094907407</v>
      </c>
      <c r="B3270" s="4" t="str">
        <f>HYPERLINK("https://twitter.com/petrogustavo","@petrogustavo")</f>
        <v>@petrogustavo</v>
      </c>
      <c r="C3270" s="5" t="s">
        <v>16</v>
      </c>
      <c r="D3270" s="5" t="s">
        <v>3206</v>
      </c>
      <c r="E3270" s="6" t="str">
        <f>HYPERLINK("https://twitter.com/petrogustavo/status/1238286703359660032","1238286703359660032")</f>
        <v>1238286703359660032</v>
      </c>
      <c r="F3270" s="7" t="s">
        <v>17</v>
      </c>
      <c r="G3270" s="7">
        <v>3663524</v>
      </c>
      <c r="H3270" s="7">
        <v>2353</v>
      </c>
      <c r="I3270" s="7">
        <v>17</v>
      </c>
      <c r="J3270" s="7">
        <v>0</v>
      </c>
      <c r="K3270" s="7" t="s">
        <v>18</v>
      </c>
      <c r="L3270" s="8">
        <v>39987.315405092595</v>
      </c>
      <c r="M3270" s="9" t="s">
        <v>19</v>
      </c>
      <c r="N3270" s="9" t="s">
        <v>20</v>
      </c>
      <c r="O3270" s="6" t="str">
        <f>HYPERLINK("https://pbs.twimg.com/profile_images/962471262747529216/Uo8lOkRJ_normal.jpg","View")</f>
        <v>View</v>
      </c>
      <c r="P3270" s="7"/>
    </row>
    <row r="3271" spans="1:16">
      <c r="A3271" s="3">
        <v>43903.321435185186</v>
      </c>
      <c r="B3271" s="4" t="str">
        <f>HYPERLINK("https://twitter.com/petrogustavo","@petrogustavo")</f>
        <v>@petrogustavo</v>
      </c>
      <c r="C3271" s="5" t="s">
        <v>16</v>
      </c>
      <c r="D3271" s="5" t="s">
        <v>3207</v>
      </c>
      <c r="E3271" s="6" t="str">
        <f>HYPERLINK("https://twitter.com/petrogustavo/status/1238286876500537346","1238286876500537346")</f>
        <v>1238286876500537346</v>
      </c>
      <c r="F3271" s="7" t="s">
        <v>17</v>
      </c>
      <c r="G3271" s="7">
        <v>3663524</v>
      </c>
      <c r="H3271" s="7">
        <v>2353</v>
      </c>
      <c r="I3271" s="7">
        <v>21</v>
      </c>
      <c r="J3271" s="7">
        <v>0</v>
      </c>
      <c r="K3271" s="7" t="s">
        <v>18</v>
      </c>
      <c r="L3271" s="8">
        <v>39987.315405092595</v>
      </c>
      <c r="M3271" s="9" t="s">
        <v>19</v>
      </c>
      <c r="N3271" s="9" t="s">
        <v>20</v>
      </c>
      <c r="O3271" s="6" t="str">
        <f>HYPERLINK("https://pbs.twimg.com/profile_images/962471262747529216/Uo8lOkRJ_normal.jpg","View")</f>
        <v>View</v>
      </c>
      <c r="P3271" s="7"/>
    </row>
    <row r="3272" spans="1:16">
      <c r="A3272" s="3">
        <v>43903.321747685186</v>
      </c>
      <c r="B3272" s="4" t="str">
        <f>HYPERLINK("https://twitter.com/petrogustavo","@petrogustavo")</f>
        <v>@petrogustavo</v>
      </c>
      <c r="C3272" s="5" t="s">
        <v>16</v>
      </c>
      <c r="D3272" s="5" t="s">
        <v>3208</v>
      </c>
      <c r="E3272" s="6" t="str">
        <f>HYPERLINK("https://twitter.com/petrogustavo/status/1238286989046185984","1238286989046185984")</f>
        <v>1238286989046185984</v>
      </c>
      <c r="F3272" s="7" t="s">
        <v>17</v>
      </c>
      <c r="G3272" s="7">
        <v>3663524</v>
      </c>
      <c r="H3272" s="7">
        <v>2353</v>
      </c>
      <c r="I3272" s="7">
        <v>75</v>
      </c>
      <c r="J3272" s="7">
        <v>0</v>
      </c>
      <c r="K3272" s="7" t="s">
        <v>18</v>
      </c>
      <c r="L3272" s="8">
        <v>39987.315405092595</v>
      </c>
      <c r="M3272" s="9" t="s">
        <v>19</v>
      </c>
      <c r="N3272" s="9" t="s">
        <v>20</v>
      </c>
      <c r="O3272" s="6" t="str">
        <f>HYPERLINK("https://pbs.twimg.com/profile_images/962471262747529216/Uo8lOkRJ_normal.jpg","View")</f>
        <v>View</v>
      </c>
      <c r="P3272" s="7"/>
    </row>
    <row r="3273" spans="1:16">
      <c r="A3273" s="3">
        <v>43903.321840277778</v>
      </c>
      <c r="B3273" s="4" t="str">
        <f>HYPERLINK("https://twitter.com/petrogustavo","@petrogustavo")</f>
        <v>@petrogustavo</v>
      </c>
      <c r="C3273" s="5" t="s">
        <v>16</v>
      </c>
      <c r="D3273" s="5" t="s">
        <v>3209</v>
      </c>
      <c r="E3273" s="6" t="str">
        <f>HYPERLINK("https://twitter.com/petrogustavo/status/1238287022768480259","1238287022768480259")</f>
        <v>1238287022768480259</v>
      </c>
      <c r="F3273" s="7" t="s">
        <v>17</v>
      </c>
      <c r="G3273" s="7">
        <v>3663524</v>
      </c>
      <c r="H3273" s="7">
        <v>2353</v>
      </c>
      <c r="I3273" s="7">
        <v>39</v>
      </c>
      <c r="J3273" s="7">
        <v>0</v>
      </c>
      <c r="K3273" s="7" t="s">
        <v>18</v>
      </c>
      <c r="L3273" s="8">
        <v>39987.315405092595</v>
      </c>
      <c r="M3273" s="9" t="s">
        <v>19</v>
      </c>
      <c r="N3273" s="9" t="s">
        <v>20</v>
      </c>
      <c r="O3273" s="6" t="str">
        <f>HYPERLINK("https://pbs.twimg.com/profile_images/962471262747529216/Uo8lOkRJ_normal.jpg","View")</f>
        <v>View</v>
      </c>
      <c r="P3273" s="7"/>
    </row>
    <row r="3274" spans="1:16">
      <c r="A3274" s="3">
        <v>43903.32203703704</v>
      </c>
      <c r="B3274" s="4" t="str">
        <f>HYPERLINK("https://twitter.com/petrogustavo","@petrogustavo")</f>
        <v>@petrogustavo</v>
      </c>
      <c r="C3274" s="5" t="s">
        <v>16</v>
      </c>
      <c r="D3274" s="5" t="s">
        <v>3210</v>
      </c>
      <c r="E3274" s="6" t="str">
        <f>HYPERLINK("https://twitter.com/petrogustavo/status/1238287096454012936","1238287096454012936")</f>
        <v>1238287096454012936</v>
      </c>
      <c r="F3274" s="7" t="s">
        <v>17</v>
      </c>
      <c r="G3274" s="7">
        <v>3663524</v>
      </c>
      <c r="H3274" s="7">
        <v>2353</v>
      </c>
      <c r="I3274" s="7">
        <v>23</v>
      </c>
      <c r="J3274" s="7">
        <v>0</v>
      </c>
      <c r="K3274" s="7" t="s">
        <v>18</v>
      </c>
      <c r="L3274" s="8">
        <v>39987.315405092595</v>
      </c>
      <c r="M3274" s="9" t="s">
        <v>19</v>
      </c>
      <c r="N3274" s="9" t="s">
        <v>20</v>
      </c>
      <c r="O3274" s="6" t="str">
        <f>HYPERLINK("https://pbs.twimg.com/profile_images/962471262747529216/Uo8lOkRJ_normal.jpg","View")</f>
        <v>View</v>
      </c>
      <c r="P3274" s="7"/>
    </row>
    <row r="3275" spans="1:16">
      <c r="A3275" s="3">
        <v>43903.322268518517</v>
      </c>
      <c r="B3275" s="4" t="str">
        <f>HYPERLINK("https://twitter.com/petrogustavo","@petrogustavo")</f>
        <v>@petrogustavo</v>
      </c>
      <c r="C3275" s="5" t="s">
        <v>16</v>
      </c>
      <c r="D3275" s="5" t="s">
        <v>3211</v>
      </c>
      <c r="E3275" s="6" t="str">
        <f>HYPERLINK("https://twitter.com/petrogustavo/status/1238287179627061248","1238287179627061248")</f>
        <v>1238287179627061248</v>
      </c>
      <c r="F3275" s="7" t="s">
        <v>17</v>
      </c>
      <c r="G3275" s="7">
        <v>3663524</v>
      </c>
      <c r="H3275" s="7">
        <v>2353</v>
      </c>
      <c r="I3275" s="7">
        <v>55</v>
      </c>
      <c r="J3275" s="7">
        <v>0</v>
      </c>
      <c r="K3275" s="7" t="s">
        <v>18</v>
      </c>
      <c r="L3275" s="8">
        <v>39987.315405092595</v>
      </c>
      <c r="M3275" s="9" t="s">
        <v>19</v>
      </c>
      <c r="N3275" s="9" t="s">
        <v>20</v>
      </c>
      <c r="O3275" s="6" t="str">
        <f>HYPERLINK("https://pbs.twimg.com/profile_images/962471262747529216/Uo8lOkRJ_normal.jpg","View")</f>
        <v>View</v>
      </c>
      <c r="P3275" s="7"/>
    </row>
    <row r="3276" spans="1:16">
      <c r="A3276" s="3">
        <v>43903.323541666672</v>
      </c>
      <c r="B3276" s="4" t="str">
        <f>HYPERLINK("https://twitter.com/petrogustavo","@petrogustavo")</f>
        <v>@petrogustavo</v>
      </c>
      <c r="C3276" s="5" t="s">
        <v>16</v>
      </c>
      <c r="D3276" s="5" t="s">
        <v>3212</v>
      </c>
      <c r="E3276" s="6" t="str">
        <f>HYPERLINK("https://twitter.com/petrogustavo/status/1238287640081858560","1238287640081858560")</f>
        <v>1238287640081858560</v>
      </c>
      <c r="F3276" s="7" t="s">
        <v>17</v>
      </c>
      <c r="G3276" s="7">
        <v>3663524</v>
      </c>
      <c r="H3276" s="7">
        <v>2353</v>
      </c>
      <c r="I3276" s="7">
        <v>36</v>
      </c>
      <c r="J3276" s="7">
        <v>0</v>
      </c>
      <c r="K3276" s="7" t="s">
        <v>18</v>
      </c>
      <c r="L3276" s="8">
        <v>39987.315405092595</v>
      </c>
      <c r="M3276" s="9" t="s">
        <v>19</v>
      </c>
      <c r="N3276" s="9" t="s">
        <v>20</v>
      </c>
      <c r="O3276" s="6" t="str">
        <f>HYPERLINK("https://pbs.twimg.com/profile_images/962471262747529216/Uo8lOkRJ_normal.jpg","View")</f>
        <v>View</v>
      </c>
      <c r="P3276" s="7"/>
    </row>
    <row r="3277" spans="1:16">
      <c r="A3277" s="3">
        <v>43903.323738425926</v>
      </c>
      <c r="B3277" s="4" t="str">
        <f>HYPERLINK("https://twitter.com/petrogustavo","@petrogustavo")</f>
        <v>@petrogustavo</v>
      </c>
      <c r="C3277" s="5" t="s">
        <v>16</v>
      </c>
      <c r="D3277" s="5" t="s">
        <v>3213</v>
      </c>
      <c r="E3277" s="6" t="str">
        <f>HYPERLINK("https://twitter.com/petrogustavo/status/1238287712370786313","1238287712370786313")</f>
        <v>1238287712370786313</v>
      </c>
      <c r="F3277" s="7" t="s">
        <v>17</v>
      </c>
      <c r="G3277" s="7">
        <v>3663524</v>
      </c>
      <c r="H3277" s="7">
        <v>2353</v>
      </c>
      <c r="I3277" s="7">
        <v>20</v>
      </c>
      <c r="J3277" s="7">
        <v>0</v>
      </c>
      <c r="K3277" s="7" t="s">
        <v>18</v>
      </c>
      <c r="L3277" s="8">
        <v>39987.315405092595</v>
      </c>
      <c r="M3277" s="9" t="s">
        <v>19</v>
      </c>
      <c r="N3277" s="9" t="s">
        <v>20</v>
      </c>
      <c r="O3277" s="6" t="str">
        <f>HYPERLINK("https://pbs.twimg.com/profile_images/962471262747529216/Uo8lOkRJ_normal.jpg","View")</f>
        <v>View</v>
      </c>
      <c r="P3277" s="7"/>
    </row>
    <row r="3278" spans="1:16">
      <c r="A3278" s="3">
        <v>43903.324062500003</v>
      </c>
      <c r="B3278" s="4" t="str">
        <f>HYPERLINK("https://twitter.com/petrogustavo","@petrogustavo")</f>
        <v>@petrogustavo</v>
      </c>
      <c r="C3278" s="5" t="s">
        <v>16</v>
      </c>
      <c r="D3278" s="5" t="s">
        <v>3214</v>
      </c>
      <c r="E3278" s="6" t="str">
        <f>HYPERLINK("https://twitter.com/petrogustavo/status/1238287828838162433","1238287828838162433")</f>
        <v>1238287828838162433</v>
      </c>
      <c r="F3278" s="7" t="s">
        <v>17</v>
      </c>
      <c r="G3278" s="7">
        <v>3663524</v>
      </c>
      <c r="H3278" s="7">
        <v>2353</v>
      </c>
      <c r="I3278" s="7">
        <v>23</v>
      </c>
      <c r="J3278" s="7">
        <v>0</v>
      </c>
      <c r="K3278" s="7" t="s">
        <v>18</v>
      </c>
      <c r="L3278" s="8">
        <v>39987.315405092595</v>
      </c>
      <c r="M3278" s="9" t="s">
        <v>19</v>
      </c>
      <c r="N3278" s="9" t="s">
        <v>20</v>
      </c>
      <c r="O3278" s="6" t="str">
        <f>HYPERLINK("https://pbs.twimg.com/profile_images/962471262747529216/Uo8lOkRJ_normal.jpg","View")</f>
        <v>View</v>
      </c>
      <c r="P3278" s="7"/>
    </row>
    <row r="3279" spans="1:16">
      <c r="A3279" s="3">
        <v>43903.324189814812</v>
      </c>
      <c r="B3279" s="4" t="str">
        <f>HYPERLINK("https://twitter.com/petrogustavo","@petrogustavo")</f>
        <v>@petrogustavo</v>
      </c>
      <c r="C3279" s="5" t="s">
        <v>16</v>
      </c>
      <c r="D3279" s="5" t="s">
        <v>3215</v>
      </c>
      <c r="E3279" s="6" t="str">
        <f>HYPERLINK("https://twitter.com/petrogustavo/status/1238287874077974533","1238287874077974533")</f>
        <v>1238287874077974533</v>
      </c>
      <c r="F3279" s="7" t="s">
        <v>17</v>
      </c>
      <c r="G3279" s="7">
        <v>3663524</v>
      </c>
      <c r="H3279" s="7">
        <v>2353</v>
      </c>
      <c r="I3279" s="7">
        <v>48</v>
      </c>
      <c r="J3279" s="7">
        <v>0</v>
      </c>
      <c r="K3279" s="7" t="s">
        <v>18</v>
      </c>
      <c r="L3279" s="8">
        <v>39987.315405092595</v>
      </c>
      <c r="M3279" s="9" t="s">
        <v>19</v>
      </c>
      <c r="N3279" s="9" t="s">
        <v>20</v>
      </c>
      <c r="O3279" s="6" t="str">
        <f>HYPERLINK("https://pbs.twimg.com/profile_images/962471262747529216/Uo8lOkRJ_normal.jpg","View")</f>
        <v>View</v>
      </c>
      <c r="P3279" s="7"/>
    </row>
    <row r="3280" spans="1:16">
      <c r="A3280" s="3">
        <v>43903.324236111112</v>
      </c>
      <c r="B3280" s="4" t="str">
        <f>HYPERLINK("https://twitter.com/petrogustavo","@petrogustavo")</f>
        <v>@petrogustavo</v>
      </c>
      <c r="C3280" s="5" t="s">
        <v>16</v>
      </c>
      <c r="D3280" s="5" t="s">
        <v>3216</v>
      </c>
      <c r="E3280" s="6" t="str">
        <f>HYPERLINK("https://twitter.com/petrogustavo/status/1238287892893630464","1238287892893630464")</f>
        <v>1238287892893630464</v>
      </c>
      <c r="F3280" s="7" t="s">
        <v>17</v>
      </c>
      <c r="G3280" s="7">
        <v>3663524</v>
      </c>
      <c r="H3280" s="7">
        <v>2353</v>
      </c>
      <c r="I3280" s="7">
        <v>24</v>
      </c>
      <c r="J3280" s="7">
        <v>0</v>
      </c>
      <c r="K3280" s="7" t="s">
        <v>18</v>
      </c>
      <c r="L3280" s="8">
        <v>39987.315405092595</v>
      </c>
      <c r="M3280" s="9" t="s">
        <v>19</v>
      </c>
      <c r="N3280" s="9" t="s">
        <v>20</v>
      </c>
      <c r="O3280" s="6" t="str">
        <f>HYPERLINK("https://pbs.twimg.com/profile_images/962471262747529216/Uo8lOkRJ_normal.jpg","View")</f>
        <v>View</v>
      </c>
      <c r="P3280" s="7"/>
    </row>
    <row r="3281" spans="1:16">
      <c r="A3281" s="3">
        <v>43903.324641203704</v>
      </c>
      <c r="B3281" s="4" t="str">
        <f>HYPERLINK("https://twitter.com/petrogustavo","@petrogustavo")</f>
        <v>@petrogustavo</v>
      </c>
      <c r="C3281" s="5" t="s">
        <v>16</v>
      </c>
      <c r="D3281" s="5" t="s">
        <v>3217</v>
      </c>
      <c r="E3281" s="6" t="str">
        <f>HYPERLINK("https://twitter.com/petrogustavo/status/1238288039476105217","1238288039476105217")</f>
        <v>1238288039476105217</v>
      </c>
      <c r="F3281" s="7" t="s">
        <v>17</v>
      </c>
      <c r="G3281" s="7">
        <v>3663524</v>
      </c>
      <c r="H3281" s="7">
        <v>2353</v>
      </c>
      <c r="I3281" s="7">
        <v>23</v>
      </c>
      <c r="J3281" s="7">
        <v>0</v>
      </c>
      <c r="K3281" s="7" t="s">
        <v>18</v>
      </c>
      <c r="L3281" s="8">
        <v>39987.315405092595</v>
      </c>
      <c r="M3281" s="9" t="s">
        <v>19</v>
      </c>
      <c r="N3281" s="9" t="s">
        <v>20</v>
      </c>
      <c r="O3281" s="6" t="str">
        <f>HYPERLINK("https://pbs.twimg.com/profile_images/962471262747529216/Uo8lOkRJ_normal.jpg","View")</f>
        <v>View</v>
      </c>
      <c r="P3281" s="7"/>
    </row>
    <row r="3282" spans="1:16">
      <c r="A3282" s="3">
        <v>43903.324791666666</v>
      </c>
      <c r="B3282" s="4" t="str">
        <f>HYPERLINK("https://twitter.com/petrogustavo","@petrogustavo")</f>
        <v>@petrogustavo</v>
      </c>
      <c r="C3282" s="5" t="s">
        <v>16</v>
      </c>
      <c r="D3282" s="5" t="s">
        <v>3218</v>
      </c>
      <c r="E3282" s="6" t="str">
        <f>HYPERLINK("https://twitter.com/petrogustavo/status/1238288092584390656","1238288092584390656")</f>
        <v>1238288092584390656</v>
      </c>
      <c r="F3282" s="7" t="s">
        <v>17</v>
      </c>
      <c r="G3282" s="7">
        <v>3663524</v>
      </c>
      <c r="H3282" s="7">
        <v>2353</v>
      </c>
      <c r="I3282" s="7">
        <v>23</v>
      </c>
      <c r="J3282" s="7">
        <v>0</v>
      </c>
      <c r="K3282" s="7" t="s">
        <v>18</v>
      </c>
      <c r="L3282" s="8">
        <v>39987.315405092595</v>
      </c>
      <c r="M3282" s="9" t="s">
        <v>19</v>
      </c>
      <c r="N3282" s="9" t="s">
        <v>20</v>
      </c>
      <c r="O3282" s="6" t="str">
        <f>HYPERLINK("https://pbs.twimg.com/profile_images/962471262747529216/Uo8lOkRJ_normal.jpg","View")</f>
        <v>View</v>
      </c>
      <c r="P3282" s="7"/>
    </row>
    <row r="3283" spans="1:16">
      <c r="A3283" s="3">
        <v>43903.324976851851</v>
      </c>
      <c r="B3283" s="4" t="str">
        <f>HYPERLINK("https://twitter.com/petrogustavo","@petrogustavo")</f>
        <v>@petrogustavo</v>
      </c>
      <c r="C3283" s="5" t="s">
        <v>16</v>
      </c>
      <c r="D3283" s="5" t="s">
        <v>3219</v>
      </c>
      <c r="E3283" s="6" t="str">
        <f>HYPERLINK("https://twitter.com/petrogustavo/status/1238288159861100551","1238288159861100551")</f>
        <v>1238288159861100551</v>
      </c>
      <c r="F3283" s="7" t="s">
        <v>17</v>
      </c>
      <c r="G3283" s="7">
        <v>3663524</v>
      </c>
      <c r="H3283" s="7">
        <v>2353</v>
      </c>
      <c r="I3283" s="7">
        <v>25</v>
      </c>
      <c r="J3283" s="7">
        <v>0</v>
      </c>
      <c r="K3283" s="7" t="s">
        <v>18</v>
      </c>
      <c r="L3283" s="8">
        <v>39987.315405092595</v>
      </c>
      <c r="M3283" s="9" t="s">
        <v>19</v>
      </c>
      <c r="N3283" s="9" t="s">
        <v>20</v>
      </c>
      <c r="O3283" s="6" t="str">
        <f>HYPERLINK("https://pbs.twimg.com/profile_images/962471262747529216/Uo8lOkRJ_normal.jpg","View")</f>
        <v>View</v>
      </c>
      <c r="P3283" s="7"/>
    </row>
    <row r="3284" spans="1:16">
      <c r="A3284" s="3">
        <v>43903.325520833328</v>
      </c>
      <c r="B3284" s="4" t="str">
        <f>HYPERLINK("https://twitter.com/petrogustavo","@petrogustavo")</f>
        <v>@petrogustavo</v>
      </c>
      <c r="C3284" s="5" t="s">
        <v>16</v>
      </c>
      <c r="D3284" s="5" t="s">
        <v>3220</v>
      </c>
      <c r="E3284" s="6" t="str">
        <f>HYPERLINK("https://twitter.com/petrogustavo/status/1238288359467945986","1238288359467945986")</f>
        <v>1238288359467945986</v>
      </c>
      <c r="F3284" s="7" t="s">
        <v>17</v>
      </c>
      <c r="G3284" s="7">
        <v>3663570</v>
      </c>
      <c r="H3284" s="7">
        <v>2353</v>
      </c>
      <c r="I3284" s="7">
        <v>65</v>
      </c>
      <c r="J3284" s="7">
        <v>0</v>
      </c>
      <c r="K3284" s="7" t="s">
        <v>18</v>
      </c>
      <c r="L3284" s="8">
        <v>39987.315405092595</v>
      </c>
      <c r="M3284" s="9" t="s">
        <v>19</v>
      </c>
      <c r="N3284" s="9" t="s">
        <v>20</v>
      </c>
      <c r="O3284" s="6" t="str">
        <f>HYPERLINK("https://pbs.twimg.com/profile_images/962471262747529216/Uo8lOkRJ_normal.jpg","View")</f>
        <v>View</v>
      </c>
      <c r="P3284" s="7"/>
    </row>
    <row r="3285" spans="1:16">
      <c r="A3285" s="3">
        <v>43903.336898148147</v>
      </c>
      <c r="B3285" s="4" t="str">
        <f>HYPERLINK("https://twitter.com/petrogustavo","@petrogustavo")</f>
        <v>@petrogustavo</v>
      </c>
      <c r="C3285" s="5" t="s">
        <v>16</v>
      </c>
      <c r="D3285" s="5" t="s">
        <v>3221</v>
      </c>
      <c r="E3285" s="6" t="str">
        <f>HYPERLINK("https://twitter.com/petrogustavo/status/1238292481113980928","1238292481113980928")</f>
        <v>1238292481113980928</v>
      </c>
      <c r="F3285" s="7" t="s">
        <v>17</v>
      </c>
      <c r="G3285" s="7">
        <v>3663570</v>
      </c>
      <c r="H3285" s="7">
        <v>2353</v>
      </c>
      <c r="I3285" s="7">
        <v>70</v>
      </c>
      <c r="J3285" s="7">
        <v>0</v>
      </c>
      <c r="K3285" s="7" t="s">
        <v>18</v>
      </c>
      <c r="L3285" s="8">
        <v>39987.315405092595</v>
      </c>
      <c r="M3285" s="9" t="s">
        <v>19</v>
      </c>
      <c r="N3285" s="9" t="s">
        <v>20</v>
      </c>
      <c r="O3285" s="6" t="str">
        <f>HYPERLINK("https://pbs.twimg.com/profile_images/962471262747529216/Uo8lOkRJ_normal.jpg","View")</f>
        <v>View</v>
      </c>
      <c r="P3285" s="7"/>
    </row>
    <row r="3286" spans="1:16">
      <c r="A3286" s="3">
        <v>43903.346782407403</v>
      </c>
      <c r="B3286" s="4" t="str">
        <f>HYPERLINK("https://twitter.com/petrogustavo","@petrogustavo")</f>
        <v>@petrogustavo</v>
      </c>
      <c r="C3286" s="5" t="s">
        <v>16</v>
      </c>
      <c r="D3286" s="5" t="s">
        <v>3222</v>
      </c>
      <c r="E3286" s="6" t="str">
        <f>HYPERLINK("https://twitter.com/petrogustavo/status/1238296062256955394","1238296062256955394")</f>
        <v>1238296062256955394</v>
      </c>
      <c r="F3286" s="7" t="s">
        <v>17</v>
      </c>
      <c r="G3286" s="7">
        <v>3663619</v>
      </c>
      <c r="H3286" s="7">
        <v>2353</v>
      </c>
      <c r="I3286" s="7">
        <v>81</v>
      </c>
      <c r="J3286" s="7">
        <v>0</v>
      </c>
      <c r="K3286" s="7" t="s">
        <v>18</v>
      </c>
      <c r="L3286" s="8">
        <v>39987.315405092595</v>
      </c>
      <c r="M3286" s="9" t="s">
        <v>19</v>
      </c>
      <c r="N3286" s="9" t="s">
        <v>20</v>
      </c>
      <c r="O3286" s="6" t="str">
        <f>HYPERLINK("https://pbs.twimg.com/profile_images/962471262747529216/Uo8lOkRJ_normal.jpg","View")</f>
        <v>View</v>
      </c>
      <c r="P3286" s="7"/>
    </row>
    <row r="3287" spans="1:16">
      <c r="A3287" s="3">
        <v>43903.347152777773</v>
      </c>
      <c r="B3287" s="4" t="str">
        <f>HYPERLINK("https://twitter.com/petrogustavo","@petrogustavo")</f>
        <v>@petrogustavo</v>
      </c>
      <c r="C3287" s="5" t="s">
        <v>16</v>
      </c>
      <c r="D3287" s="5" t="s">
        <v>3223</v>
      </c>
      <c r="E3287" s="6" t="str">
        <f>HYPERLINK("https://twitter.com/petrogustavo/status/1238296197573599234","1238296197573599234")</f>
        <v>1238296197573599234</v>
      </c>
      <c r="F3287" s="7" t="s">
        <v>17</v>
      </c>
      <c r="G3287" s="7">
        <v>3663619</v>
      </c>
      <c r="H3287" s="7">
        <v>2353</v>
      </c>
      <c r="I3287" s="7">
        <v>33</v>
      </c>
      <c r="J3287" s="7">
        <v>0</v>
      </c>
      <c r="K3287" s="7" t="s">
        <v>18</v>
      </c>
      <c r="L3287" s="8">
        <v>39987.315405092595</v>
      </c>
      <c r="M3287" s="9" t="s">
        <v>19</v>
      </c>
      <c r="N3287" s="9" t="s">
        <v>20</v>
      </c>
      <c r="O3287" s="6" t="str">
        <f>HYPERLINK("https://pbs.twimg.com/profile_images/962471262747529216/Uo8lOkRJ_normal.jpg","View")</f>
        <v>View</v>
      </c>
      <c r="P3287" s="7"/>
    </row>
    <row r="3288" spans="1:16">
      <c r="A3288" s="3">
        <v>43903.347280092596</v>
      </c>
      <c r="B3288" s="4" t="str">
        <f>HYPERLINK("https://twitter.com/petrogustavo","@petrogustavo")</f>
        <v>@petrogustavo</v>
      </c>
      <c r="C3288" s="5" t="s">
        <v>16</v>
      </c>
      <c r="D3288" s="5" t="s">
        <v>3224</v>
      </c>
      <c r="E3288" s="6" t="str">
        <f>HYPERLINK("https://twitter.com/petrogustavo/status/1238296244751077377","1238296244751077377")</f>
        <v>1238296244751077377</v>
      </c>
      <c r="F3288" s="7" t="s">
        <v>17</v>
      </c>
      <c r="G3288" s="7">
        <v>3663619</v>
      </c>
      <c r="H3288" s="7">
        <v>2353</v>
      </c>
      <c r="I3288" s="7">
        <v>119</v>
      </c>
      <c r="J3288" s="7">
        <v>0</v>
      </c>
      <c r="K3288" s="7" t="s">
        <v>18</v>
      </c>
      <c r="L3288" s="8">
        <v>39987.315405092595</v>
      </c>
      <c r="M3288" s="9" t="s">
        <v>19</v>
      </c>
      <c r="N3288" s="9" t="s">
        <v>20</v>
      </c>
      <c r="O3288" s="6" t="str">
        <f>HYPERLINK("https://pbs.twimg.com/profile_images/962471262747529216/Uo8lOkRJ_normal.jpg","View")</f>
        <v>View</v>
      </c>
      <c r="P3288" s="7"/>
    </row>
    <row r="3289" spans="1:16">
      <c r="A3289" s="3">
        <v>43903.347407407404</v>
      </c>
      <c r="B3289" s="4" t="str">
        <f>HYPERLINK("https://twitter.com/petrogustavo","@petrogustavo")</f>
        <v>@petrogustavo</v>
      </c>
      <c r="C3289" s="5" t="s">
        <v>16</v>
      </c>
      <c r="D3289" s="5" t="s">
        <v>3225</v>
      </c>
      <c r="E3289" s="6" t="str">
        <f>HYPERLINK("https://twitter.com/petrogustavo/status/1238296290708111360","1238296290708111360")</f>
        <v>1238296290708111360</v>
      </c>
      <c r="F3289" s="7" t="s">
        <v>17</v>
      </c>
      <c r="G3289" s="7">
        <v>3663619</v>
      </c>
      <c r="H3289" s="7">
        <v>2353</v>
      </c>
      <c r="I3289" s="7">
        <v>175</v>
      </c>
      <c r="J3289" s="7">
        <v>0</v>
      </c>
      <c r="K3289" s="7" t="s">
        <v>18</v>
      </c>
      <c r="L3289" s="8">
        <v>39987.315405092595</v>
      </c>
      <c r="M3289" s="9" t="s">
        <v>19</v>
      </c>
      <c r="N3289" s="9" t="s">
        <v>20</v>
      </c>
      <c r="O3289" s="6" t="str">
        <f>HYPERLINK("https://pbs.twimg.com/profile_images/962471262747529216/Uo8lOkRJ_normal.jpg","View")</f>
        <v>View</v>
      </c>
      <c r="P3289" s="7"/>
    </row>
    <row r="3290" spans="1:16">
      <c r="A3290" s="3">
        <v>43903.347511574073</v>
      </c>
      <c r="B3290" s="4" t="str">
        <f>HYPERLINK("https://twitter.com/petrogustavo","@petrogustavo")</f>
        <v>@petrogustavo</v>
      </c>
      <c r="C3290" s="5" t="s">
        <v>16</v>
      </c>
      <c r="D3290" s="5" t="s">
        <v>3226</v>
      </c>
      <c r="E3290" s="6" t="str">
        <f>HYPERLINK("https://twitter.com/petrogustavo/status/1238296325264941056","1238296325264941056")</f>
        <v>1238296325264941056</v>
      </c>
      <c r="F3290" s="7" t="s">
        <v>17</v>
      </c>
      <c r="G3290" s="7">
        <v>3663619</v>
      </c>
      <c r="H3290" s="7">
        <v>2353</v>
      </c>
      <c r="I3290" s="7">
        <v>38</v>
      </c>
      <c r="J3290" s="7">
        <v>0</v>
      </c>
      <c r="K3290" s="7" t="s">
        <v>18</v>
      </c>
      <c r="L3290" s="8">
        <v>39987.315405092595</v>
      </c>
      <c r="M3290" s="9" t="s">
        <v>19</v>
      </c>
      <c r="N3290" s="9" t="s">
        <v>20</v>
      </c>
      <c r="O3290" s="6" t="str">
        <f>HYPERLINK("https://pbs.twimg.com/profile_images/962471262747529216/Uo8lOkRJ_normal.jpg","View")</f>
        <v>View</v>
      </c>
      <c r="P3290" s="7"/>
    </row>
    <row r="3291" spans="1:16">
      <c r="A3291" s="3">
        <v>43903.670671296291</v>
      </c>
      <c r="B3291" s="4" t="str">
        <f>HYPERLINK("https://twitter.com/petrogustavo","@petrogustavo")</f>
        <v>@petrogustavo</v>
      </c>
      <c r="C3291" s="5" t="s">
        <v>16</v>
      </c>
      <c r="D3291" s="5" t="s">
        <v>3227</v>
      </c>
      <c r="E3291" s="6" t="str">
        <f>HYPERLINK("https://twitter.com/petrogustavo/status/1238413436373143552","1238413436373143552")</f>
        <v>1238413436373143552</v>
      </c>
      <c r="F3291" s="7" t="s">
        <v>17</v>
      </c>
      <c r="G3291" s="7">
        <v>3663753</v>
      </c>
      <c r="H3291" s="7">
        <v>2353</v>
      </c>
      <c r="I3291" s="7">
        <v>116</v>
      </c>
      <c r="J3291" s="7">
        <v>0</v>
      </c>
      <c r="K3291" s="7" t="s">
        <v>18</v>
      </c>
      <c r="L3291" s="8">
        <v>39987.315405092595</v>
      </c>
      <c r="M3291" s="9" t="s">
        <v>19</v>
      </c>
      <c r="N3291" s="9" t="s">
        <v>20</v>
      </c>
      <c r="O3291" s="6" t="str">
        <f>HYPERLINK("https://pbs.twimg.com/profile_images/962471262747529216/Uo8lOkRJ_normal.jpg","View")</f>
        <v>View</v>
      </c>
      <c r="P3291" s="7"/>
    </row>
    <row r="3292" spans="1:16">
      <c r="A3292" s="3">
        <v>43903.671261574069</v>
      </c>
      <c r="B3292" s="4" t="str">
        <f>HYPERLINK("https://twitter.com/petrogustavo","@petrogustavo")</f>
        <v>@petrogustavo</v>
      </c>
      <c r="C3292" s="5" t="s">
        <v>16</v>
      </c>
      <c r="D3292" s="5" t="s">
        <v>3228</v>
      </c>
      <c r="E3292" s="6" t="str">
        <f>HYPERLINK("https://twitter.com/petrogustavo/status/1238413649225580547","1238413649225580547")</f>
        <v>1238413649225580547</v>
      </c>
      <c r="F3292" s="7" t="s">
        <v>17</v>
      </c>
      <c r="G3292" s="7">
        <v>3663753</v>
      </c>
      <c r="H3292" s="7">
        <v>2353</v>
      </c>
      <c r="I3292" s="7">
        <v>1828</v>
      </c>
      <c r="J3292" s="7">
        <v>0</v>
      </c>
      <c r="K3292" s="7" t="s">
        <v>18</v>
      </c>
      <c r="L3292" s="8">
        <v>39987.315405092595</v>
      </c>
      <c r="M3292" s="9" t="s">
        <v>19</v>
      </c>
      <c r="N3292" s="9" t="s">
        <v>20</v>
      </c>
      <c r="O3292" s="6" t="str">
        <f>HYPERLINK("https://pbs.twimg.com/profile_images/962471262747529216/Uo8lOkRJ_normal.jpg","View")</f>
        <v>View</v>
      </c>
      <c r="P3292" s="7"/>
    </row>
    <row r="3293" spans="1:16">
      <c r="A3293" s="3">
        <v>43903.682754629626</v>
      </c>
      <c r="B3293" s="4" t="str">
        <f>HYPERLINK("https://twitter.com/petrogustavo","@petrogustavo")</f>
        <v>@petrogustavo</v>
      </c>
      <c r="C3293" s="5" t="s">
        <v>16</v>
      </c>
      <c r="D3293" s="5" t="s">
        <v>3229</v>
      </c>
      <c r="E3293" s="6" t="str">
        <f>HYPERLINK("https://twitter.com/petrogustavo/status/1238417815050293249","1238417815050293249")</f>
        <v>1238417815050293249</v>
      </c>
      <c r="F3293" s="7" t="s">
        <v>17</v>
      </c>
      <c r="G3293" s="7">
        <v>3663769</v>
      </c>
      <c r="H3293" s="7">
        <v>2353</v>
      </c>
      <c r="I3293" s="7">
        <v>25</v>
      </c>
      <c r="J3293" s="7">
        <v>110</v>
      </c>
      <c r="K3293" s="7" t="s">
        <v>18</v>
      </c>
      <c r="L3293" s="8">
        <v>39987.315405092595</v>
      </c>
      <c r="M3293" s="9" t="s">
        <v>19</v>
      </c>
      <c r="N3293" s="9" t="s">
        <v>20</v>
      </c>
      <c r="O3293" s="6" t="str">
        <f>HYPERLINK("https://pbs.twimg.com/profile_images/962471262747529216/Uo8lOkRJ_normal.jpg","View")</f>
        <v>View</v>
      </c>
      <c r="P3293" s="7"/>
    </row>
    <row r="3294" spans="1:16">
      <c r="A3294" s="3">
        <v>43903.682754629626</v>
      </c>
      <c r="B3294" s="4" t="str">
        <f>HYPERLINK("https://twitter.com/petrogustavo","@petrogustavo")</f>
        <v>@petrogustavo</v>
      </c>
      <c r="C3294" s="5" t="s">
        <v>16</v>
      </c>
      <c r="D3294" s="5" t="s">
        <v>3230</v>
      </c>
      <c r="E3294" s="6" t="str">
        <f>HYPERLINK("https://twitter.com/petrogustavo/status/1238417815062876160","1238417815062876160")</f>
        <v>1238417815062876160</v>
      </c>
      <c r="F3294" s="7" t="s">
        <v>17</v>
      </c>
      <c r="G3294" s="7">
        <v>3663769</v>
      </c>
      <c r="H3294" s="7">
        <v>2353</v>
      </c>
      <c r="I3294" s="7">
        <v>64</v>
      </c>
      <c r="J3294" s="7">
        <v>170</v>
      </c>
      <c r="K3294" s="7" t="s">
        <v>18</v>
      </c>
      <c r="L3294" s="8">
        <v>39987.315405092595</v>
      </c>
      <c r="M3294" s="9" t="s">
        <v>19</v>
      </c>
      <c r="N3294" s="9" t="s">
        <v>20</v>
      </c>
      <c r="O3294" s="6" t="str">
        <f>HYPERLINK("https://pbs.twimg.com/profile_images/962471262747529216/Uo8lOkRJ_normal.jpg","View")</f>
        <v>View</v>
      </c>
      <c r="P3294" s="7"/>
    </row>
    <row r="3295" spans="1:16">
      <c r="A3295" s="3">
        <v>43903.684791666667</v>
      </c>
      <c r="B3295" s="4" t="str">
        <f>HYPERLINK("https://twitter.com/petrogustavo","@petrogustavo")</f>
        <v>@petrogustavo</v>
      </c>
      <c r="C3295" s="5" t="s">
        <v>16</v>
      </c>
      <c r="D3295" s="5" t="s">
        <v>3231</v>
      </c>
      <c r="E3295" s="6" t="str">
        <f>HYPERLINK("https://twitter.com/petrogustavo/status/1238418552803201026","1238418552803201026")</f>
        <v>1238418552803201026</v>
      </c>
      <c r="F3295" s="7" t="s">
        <v>17</v>
      </c>
      <c r="G3295" s="7">
        <v>3663769</v>
      </c>
      <c r="H3295" s="7">
        <v>2353</v>
      </c>
      <c r="I3295" s="7">
        <v>60</v>
      </c>
      <c r="J3295" s="7">
        <v>186</v>
      </c>
      <c r="K3295" s="7" t="s">
        <v>18</v>
      </c>
      <c r="L3295" s="8">
        <v>39987.315405092595</v>
      </c>
      <c r="M3295" s="9" t="s">
        <v>19</v>
      </c>
      <c r="N3295" s="9" t="s">
        <v>20</v>
      </c>
      <c r="O3295" s="6" t="str">
        <f>HYPERLINK("https://pbs.twimg.com/profile_images/962471262747529216/Uo8lOkRJ_normal.jpg","View")</f>
        <v>View</v>
      </c>
      <c r="P3295" s="7"/>
    </row>
    <row r="3296" spans="1:16">
      <c r="A3296" s="3">
        <v>43903.685613425929</v>
      </c>
      <c r="B3296" s="4" t="str">
        <f>HYPERLINK("https://twitter.com/petrogustavo","@petrogustavo")</f>
        <v>@petrogustavo</v>
      </c>
      <c r="C3296" s="5" t="s">
        <v>16</v>
      </c>
      <c r="D3296" s="5" t="s">
        <v>3232</v>
      </c>
      <c r="E3296" s="6" t="str">
        <f>HYPERLINK("https://twitter.com/petrogustavo/status/1238418850275827713","1238418850275827713")</f>
        <v>1238418850275827713</v>
      </c>
      <c r="F3296" s="7" t="s">
        <v>17</v>
      </c>
      <c r="G3296" s="7">
        <v>3663769</v>
      </c>
      <c r="H3296" s="7">
        <v>2353</v>
      </c>
      <c r="I3296" s="7">
        <v>3617</v>
      </c>
      <c r="J3296" s="7">
        <v>0</v>
      </c>
      <c r="K3296" s="7" t="s">
        <v>18</v>
      </c>
      <c r="L3296" s="8">
        <v>39987.315405092595</v>
      </c>
      <c r="M3296" s="9" t="s">
        <v>19</v>
      </c>
      <c r="N3296" s="9" t="s">
        <v>20</v>
      </c>
      <c r="O3296" s="6" t="str">
        <f>HYPERLINK("https://pbs.twimg.com/profile_images/962471262747529216/Uo8lOkRJ_normal.jpg","View")</f>
        <v>View</v>
      </c>
      <c r="P3296" s="7"/>
    </row>
    <row r="3297" spans="1:16">
      <c r="A3297" s="3">
        <v>43903.703842592593</v>
      </c>
      <c r="B3297" s="4" t="str">
        <f>HYPERLINK("https://twitter.com/petrogustavo","@petrogustavo")</f>
        <v>@petrogustavo</v>
      </c>
      <c r="C3297" s="5" t="s">
        <v>16</v>
      </c>
      <c r="D3297" s="5" t="s">
        <v>3233</v>
      </c>
      <c r="E3297" s="6" t="str">
        <f>HYPERLINK("https://twitter.com/petrogustavo/status/1238425455860101121","1238425455860101121")</f>
        <v>1238425455860101121</v>
      </c>
      <c r="F3297" s="7" t="s">
        <v>17</v>
      </c>
      <c r="G3297" s="7">
        <v>3663793</v>
      </c>
      <c r="H3297" s="7">
        <v>2354</v>
      </c>
      <c r="I3297" s="7">
        <v>159</v>
      </c>
      <c r="J3297" s="7">
        <v>377</v>
      </c>
      <c r="K3297" s="7" t="s">
        <v>18</v>
      </c>
      <c r="L3297" s="8">
        <v>39987.315405092595</v>
      </c>
      <c r="M3297" s="9" t="s">
        <v>19</v>
      </c>
      <c r="N3297" s="9" t="s">
        <v>20</v>
      </c>
      <c r="O3297" s="6" t="str">
        <f>HYPERLINK("https://pbs.twimg.com/profile_images/962471262747529216/Uo8lOkRJ_normal.jpg","View")</f>
        <v>View</v>
      </c>
      <c r="P3297" s="7"/>
    </row>
    <row r="3298" spans="1:16">
      <c r="A3298" s="3">
        <v>43903.703842592593</v>
      </c>
      <c r="B3298" s="4" t="str">
        <f>HYPERLINK("https://twitter.com/petrogustavo","@petrogustavo")</f>
        <v>@petrogustavo</v>
      </c>
      <c r="C3298" s="5" t="s">
        <v>16</v>
      </c>
      <c r="D3298" s="5" t="s">
        <v>3234</v>
      </c>
      <c r="E3298" s="6" t="str">
        <f>HYPERLINK("https://twitter.com/petrogustavo/status/1238425457122516992","1238425457122516992")</f>
        <v>1238425457122516992</v>
      </c>
      <c r="F3298" s="7" t="s">
        <v>17</v>
      </c>
      <c r="G3298" s="7">
        <v>3663793</v>
      </c>
      <c r="H3298" s="7">
        <v>2354</v>
      </c>
      <c r="I3298" s="7">
        <v>37</v>
      </c>
      <c r="J3298" s="7">
        <v>80</v>
      </c>
      <c r="K3298" s="7" t="s">
        <v>18</v>
      </c>
      <c r="L3298" s="8">
        <v>39987.315405092595</v>
      </c>
      <c r="M3298" s="9" t="s">
        <v>19</v>
      </c>
      <c r="N3298" s="9" t="s">
        <v>20</v>
      </c>
      <c r="O3298" s="6" t="str">
        <f>HYPERLINK("https://pbs.twimg.com/profile_images/962471262747529216/Uo8lOkRJ_normal.jpg","View")</f>
        <v>View</v>
      </c>
      <c r="P3298" s="7"/>
    </row>
    <row r="3299" spans="1:16">
      <c r="A3299" s="3">
        <v>43903.703842592593</v>
      </c>
      <c r="B3299" s="4" t="str">
        <f>HYPERLINK("https://twitter.com/petrogustavo","@petrogustavo")</f>
        <v>@petrogustavo</v>
      </c>
      <c r="C3299" s="5" t="s">
        <v>16</v>
      </c>
      <c r="D3299" s="5" t="s">
        <v>3235</v>
      </c>
      <c r="E3299" s="6" t="str">
        <f>HYPERLINK("https://twitter.com/petrogustavo/status/1238425458460499969","1238425458460499969")</f>
        <v>1238425458460499969</v>
      </c>
      <c r="F3299" s="7" t="s">
        <v>17</v>
      </c>
      <c r="G3299" s="7">
        <v>3663793</v>
      </c>
      <c r="H3299" s="7">
        <v>2354</v>
      </c>
      <c r="I3299" s="7">
        <v>42</v>
      </c>
      <c r="J3299" s="7">
        <v>84</v>
      </c>
      <c r="K3299" s="7" t="s">
        <v>18</v>
      </c>
      <c r="L3299" s="8">
        <v>39987.315405092595</v>
      </c>
      <c r="M3299" s="9" t="s">
        <v>19</v>
      </c>
      <c r="N3299" s="9" t="s">
        <v>20</v>
      </c>
      <c r="O3299" s="6" t="str">
        <f>HYPERLINK("https://pbs.twimg.com/profile_images/962471262747529216/Uo8lOkRJ_normal.jpg","View")</f>
        <v>View</v>
      </c>
      <c r="P3299" s="7"/>
    </row>
    <row r="3300" spans="1:16">
      <c r="A3300" s="3">
        <v>43903.70385416667</v>
      </c>
      <c r="B3300" s="4" t="str">
        <f>HYPERLINK("https://twitter.com/petrogustavo","@petrogustavo")</f>
        <v>@petrogustavo</v>
      </c>
      <c r="C3300" s="5" t="s">
        <v>16</v>
      </c>
      <c r="D3300" s="5" t="s">
        <v>3236</v>
      </c>
      <c r="E3300" s="6" t="str">
        <f>HYPERLINK("https://twitter.com/petrogustavo/status/1238425459827912704","1238425459827912704")</f>
        <v>1238425459827912704</v>
      </c>
      <c r="F3300" s="7" t="s">
        <v>17</v>
      </c>
      <c r="G3300" s="7">
        <v>3663793</v>
      </c>
      <c r="H3300" s="7">
        <v>2354</v>
      </c>
      <c r="I3300" s="7">
        <v>51</v>
      </c>
      <c r="J3300" s="7">
        <v>95</v>
      </c>
      <c r="K3300" s="7" t="s">
        <v>18</v>
      </c>
      <c r="L3300" s="8">
        <v>39987.315405092595</v>
      </c>
      <c r="M3300" s="9" t="s">
        <v>19</v>
      </c>
      <c r="N3300" s="9" t="s">
        <v>20</v>
      </c>
      <c r="O3300" s="6" t="str">
        <f>HYPERLINK("https://pbs.twimg.com/profile_images/962471262747529216/Uo8lOkRJ_normal.jpg","View")</f>
        <v>View</v>
      </c>
      <c r="P3300" s="7"/>
    </row>
    <row r="3301" spans="1:16">
      <c r="A3301" s="3">
        <v>43903.712476851855</v>
      </c>
      <c r="B3301" s="4" t="str">
        <f>HYPERLINK("https://twitter.com/petrogustavo","@petrogustavo")</f>
        <v>@petrogustavo</v>
      </c>
      <c r="C3301" s="5" t="s">
        <v>16</v>
      </c>
      <c r="D3301" s="5" t="s">
        <v>3237</v>
      </c>
      <c r="E3301" s="6" t="str">
        <f>HYPERLINK("https://twitter.com/petrogustavo/status/1238428584911527936","1238428584911527936")</f>
        <v>1238428584911527936</v>
      </c>
      <c r="F3301" s="7" t="s">
        <v>17</v>
      </c>
      <c r="G3301" s="7">
        <v>3663793</v>
      </c>
      <c r="H3301" s="7">
        <v>2354</v>
      </c>
      <c r="I3301" s="7">
        <v>36</v>
      </c>
      <c r="J3301" s="7">
        <v>57</v>
      </c>
      <c r="K3301" s="7" t="s">
        <v>18</v>
      </c>
      <c r="L3301" s="8">
        <v>39987.315405092595</v>
      </c>
      <c r="M3301" s="9" t="s">
        <v>19</v>
      </c>
      <c r="N3301" s="9" t="s">
        <v>20</v>
      </c>
      <c r="O3301" s="6" t="str">
        <f>HYPERLINK("https://pbs.twimg.com/profile_images/962471262747529216/Uo8lOkRJ_normal.jpg","View")</f>
        <v>View</v>
      </c>
      <c r="P3301" s="7"/>
    </row>
    <row r="3302" spans="1:16">
      <c r="A3302" s="3">
        <v>43903.712962962964</v>
      </c>
      <c r="B3302" s="4" t="str">
        <f>HYPERLINK("https://twitter.com/petrogustavo","@petrogustavo")</f>
        <v>@petrogustavo</v>
      </c>
      <c r="C3302" s="5" t="s">
        <v>16</v>
      </c>
      <c r="D3302" s="5" t="s">
        <v>3238</v>
      </c>
      <c r="E3302" s="6" t="str">
        <f>HYPERLINK("https://twitter.com/petrogustavo/status/1238428763089776642","1238428763089776642")</f>
        <v>1238428763089776642</v>
      </c>
      <c r="F3302" s="7" t="s">
        <v>17</v>
      </c>
      <c r="G3302" s="7">
        <v>3663793</v>
      </c>
      <c r="H3302" s="7">
        <v>2354</v>
      </c>
      <c r="I3302" s="7">
        <v>661</v>
      </c>
      <c r="J3302" s="7">
        <v>0</v>
      </c>
      <c r="K3302" s="7" t="s">
        <v>18</v>
      </c>
      <c r="L3302" s="8">
        <v>39987.315405092595</v>
      </c>
      <c r="M3302" s="9" t="s">
        <v>19</v>
      </c>
      <c r="N3302" s="9" t="s">
        <v>20</v>
      </c>
      <c r="O3302" s="6" t="str">
        <f>HYPERLINK("https://pbs.twimg.com/profile_images/962471262747529216/Uo8lOkRJ_normal.jpg","View")</f>
        <v>View</v>
      </c>
      <c r="P3302" s="7"/>
    </row>
    <row r="3303" spans="1:16">
      <c r="A3303" s="3">
        <v>43903.713518518518</v>
      </c>
      <c r="B3303" s="4" t="str">
        <f>HYPERLINK("https://twitter.com/petrogustavo","@petrogustavo")</f>
        <v>@petrogustavo</v>
      </c>
      <c r="C3303" s="5" t="s">
        <v>16</v>
      </c>
      <c r="D3303" s="5" t="s">
        <v>3239</v>
      </c>
      <c r="E3303" s="6" t="str">
        <f>HYPERLINK("https://twitter.com/petrogustavo/status/1238428962872852480","1238428962872852480")</f>
        <v>1238428962872852480</v>
      </c>
      <c r="F3303" s="7" t="s">
        <v>17</v>
      </c>
      <c r="G3303" s="7">
        <v>3663793</v>
      </c>
      <c r="H3303" s="7">
        <v>2354</v>
      </c>
      <c r="I3303" s="7">
        <v>53</v>
      </c>
      <c r="J3303" s="7">
        <v>183</v>
      </c>
      <c r="K3303" s="7" t="s">
        <v>18</v>
      </c>
      <c r="L3303" s="8">
        <v>39987.315405092595</v>
      </c>
      <c r="M3303" s="9" t="s">
        <v>19</v>
      </c>
      <c r="N3303" s="9" t="s">
        <v>20</v>
      </c>
      <c r="O3303" s="6" t="str">
        <f>HYPERLINK("https://pbs.twimg.com/profile_images/962471262747529216/Uo8lOkRJ_normal.jpg","View")</f>
        <v>View</v>
      </c>
      <c r="P3303" s="7"/>
    </row>
    <row r="3304" spans="1:16">
      <c r="A3304" s="3">
        <v>43903.715266203704</v>
      </c>
      <c r="B3304" s="4" t="str">
        <f>HYPERLINK("https://twitter.com/petrogustavo","@petrogustavo")</f>
        <v>@petrogustavo</v>
      </c>
      <c r="C3304" s="5" t="s">
        <v>16</v>
      </c>
      <c r="D3304" s="5" t="s">
        <v>3240</v>
      </c>
      <c r="E3304" s="6" t="str">
        <f>HYPERLINK("https://twitter.com/petrogustavo/status/1238429597395550208","1238429597395550208")</f>
        <v>1238429597395550208</v>
      </c>
      <c r="F3304" s="7" t="s">
        <v>17</v>
      </c>
      <c r="G3304" s="7">
        <v>3663793</v>
      </c>
      <c r="H3304" s="7">
        <v>2354</v>
      </c>
      <c r="I3304" s="7">
        <v>2547</v>
      </c>
      <c r="J3304" s="7">
        <v>0</v>
      </c>
      <c r="K3304" s="7" t="s">
        <v>18</v>
      </c>
      <c r="L3304" s="8">
        <v>39987.315405092595</v>
      </c>
      <c r="M3304" s="9" t="s">
        <v>19</v>
      </c>
      <c r="N3304" s="9" t="s">
        <v>20</v>
      </c>
      <c r="O3304" s="6" t="str">
        <f>HYPERLINK("https://pbs.twimg.com/profile_images/962471262747529216/Uo8lOkRJ_normal.jpg","View")</f>
        <v>View</v>
      </c>
      <c r="P3304" s="7"/>
    </row>
    <row r="3305" spans="1:16">
      <c r="A3305" s="3">
        <v>43903.718101851853</v>
      </c>
      <c r="B3305" s="4" t="str">
        <f>HYPERLINK("https://twitter.com/petrogustavo","@petrogustavo")</f>
        <v>@petrogustavo</v>
      </c>
      <c r="C3305" s="5" t="s">
        <v>16</v>
      </c>
      <c r="D3305" s="5" t="s">
        <v>3241</v>
      </c>
      <c r="E3305" s="6" t="str">
        <f>HYPERLINK("https://twitter.com/petrogustavo/status/1238430623032901634","1238430623032901634")</f>
        <v>1238430623032901634</v>
      </c>
      <c r="F3305" s="7" t="s">
        <v>17</v>
      </c>
      <c r="G3305" s="7">
        <v>3663793</v>
      </c>
      <c r="H3305" s="7">
        <v>2354</v>
      </c>
      <c r="I3305" s="7">
        <v>10</v>
      </c>
      <c r="J3305" s="7">
        <v>20</v>
      </c>
      <c r="K3305" s="7" t="s">
        <v>18</v>
      </c>
      <c r="L3305" s="8">
        <v>39987.315405092595</v>
      </c>
      <c r="M3305" s="9" t="s">
        <v>19</v>
      </c>
      <c r="N3305" s="9" t="s">
        <v>20</v>
      </c>
      <c r="O3305" s="6" t="str">
        <f>HYPERLINK("https://pbs.twimg.com/profile_images/962471262747529216/Uo8lOkRJ_normal.jpg","View")</f>
        <v>View</v>
      </c>
      <c r="P3305" s="7"/>
    </row>
    <row r="3306" spans="1:16">
      <c r="A3306" s="3">
        <v>43903.718819444446</v>
      </c>
      <c r="B3306" s="4" t="str">
        <f>HYPERLINK("https://twitter.com/petrogustavo","@petrogustavo")</f>
        <v>@petrogustavo</v>
      </c>
      <c r="C3306" s="5" t="s">
        <v>16</v>
      </c>
      <c r="D3306" s="5" t="s">
        <v>3242</v>
      </c>
      <c r="E3306" s="6" t="str">
        <f>HYPERLINK("https://twitter.com/petrogustavo/status/1238430884887437315","1238430884887437315")</f>
        <v>1238430884887437315</v>
      </c>
      <c r="F3306" s="7" t="s">
        <v>17</v>
      </c>
      <c r="G3306" s="7">
        <v>3663793</v>
      </c>
      <c r="H3306" s="7">
        <v>2354</v>
      </c>
      <c r="I3306" s="7">
        <v>159</v>
      </c>
      <c r="J3306" s="7">
        <v>0</v>
      </c>
      <c r="K3306" s="7" t="s">
        <v>18</v>
      </c>
      <c r="L3306" s="8">
        <v>39987.315405092595</v>
      </c>
      <c r="M3306" s="9" t="s">
        <v>19</v>
      </c>
      <c r="N3306" s="9" t="s">
        <v>20</v>
      </c>
      <c r="O3306" s="6" t="str">
        <f>HYPERLINK("https://pbs.twimg.com/profile_images/962471262747529216/Uo8lOkRJ_normal.jpg","View")</f>
        <v>View</v>
      </c>
      <c r="P3306" s="7"/>
    </row>
    <row r="3307" spans="1:16">
      <c r="A3307" s="3">
        <v>43903.815381944441</v>
      </c>
      <c r="B3307" s="4" t="str">
        <f>HYPERLINK("https://twitter.com/petrogustavo","@petrogustavo")</f>
        <v>@petrogustavo</v>
      </c>
      <c r="C3307" s="5" t="s">
        <v>16</v>
      </c>
      <c r="D3307" s="5" t="s">
        <v>3243</v>
      </c>
      <c r="E3307" s="6" t="str">
        <f>HYPERLINK("https://twitter.com/petrogustavo/status/1238465879840641024","1238465879840641024")</f>
        <v>1238465879840641024</v>
      </c>
      <c r="F3307" s="7" t="s">
        <v>17</v>
      </c>
      <c r="G3307" s="7">
        <v>3663937</v>
      </c>
      <c r="H3307" s="7">
        <v>2354</v>
      </c>
      <c r="I3307" s="7">
        <v>1356</v>
      </c>
      <c r="J3307" s="7">
        <v>0</v>
      </c>
      <c r="K3307" s="7" t="s">
        <v>18</v>
      </c>
      <c r="L3307" s="8">
        <v>39987.315405092595</v>
      </c>
      <c r="M3307" s="9" t="s">
        <v>19</v>
      </c>
      <c r="N3307" s="9" t="s">
        <v>20</v>
      </c>
      <c r="O3307" s="6" t="str">
        <f>HYPERLINK("https://pbs.twimg.com/profile_images/962471262747529216/Uo8lOkRJ_normal.jpg","View")</f>
        <v>View</v>
      </c>
      <c r="P3307" s="7"/>
    </row>
    <row r="3308" spans="1:16">
      <c r="A3308" s="3">
        <v>43903.818460648152</v>
      </c>
      <c r="B3308" s="4" t="str">
        <f>HYPERLINK("https://twitter.com/petrogustavo","@petrogustavo")</f>
        <v>@petrogustavo</v>
      </c>
      <c r="C3308" s="5" t="s">
        <v>16</v>
      </c>
      <c r="D3308" s="5" t="s">
        <v>3244</v>
      </c>
      <c r="E3308" s="6" t="str">
        <f>HYPERLINK("https://twitter.com/petrogustavo/status/1238466993113743361","1238466993113743361")</f>
        <v>1238466993113743361</v>
      </c>
      <c r="F3308" s="7" t="s">
        <v>17</v>
      </c>
      <c r="G3308" s="7">
        <v>3663937</v>
      </c>
      <c r="H3308" s="7">
        <v>2354</v>
      </c>
      <c r="I3308" s="7">
        <v>64</v>
      </c>
      <c r="J3308" s="7">
        <v>154</v>
      </c>
      <c r="K3308" s="7" t="s">
        <v>18</v>
      </c>
      <c r="L3308" s="8">
        <v>39987.315405092595</v>
      </c>
      <c r="M3308" s="9" t="s">
        <v>19</v>
      </c>
      <c r="N3308" s="9" t="s">
        <v>20</v>
      </c>
      <c r="O3308" s="6" t="str">
        <f>HYPERLINK("https://pbs.twimg.com/profile_images/962471262747529216/Uo8lOkRJ_normal.jpg","View")</f>
        <v>View</v>
      </c>
      <c r="P3308" s="7"/>
    </row>
    <row r="3309" spans="1:16">
      <c r="A3309" s="3">
        <v>43903.821388888886</v>
      </c>
      <c r="B3309" s="4" t="str">
        <f>HYPERLINK("https://twitter.com/petrogustavo","@petrogustavo")</f>
        <v>@petrogustavo</v>
      </c>
      <c r="C3309" s="5" t="s">
        <v>16</v>
      </c>
      <c r="D3309" s="5" t="s">
        <v>3245</v>
      </c>
      <c r="E3309" s="6" t="str">
        <f>HYPERLINK("https://twitter.com/petrogustavo/status/1238468053018558464","1238468053018558464")</f>
        <v>1238468053018558464</v>
      </c>
      <c r="F3309" s="7" t="s">
        <v>17</v>
      </c>
      <c r="G3309" s="7">
        <v>3663937</v>
      </c>
      <c r="H3309" s="7">
        <v>2354</v>
      </c>
      <c r="I3309" s="7">
        <v>32</v>
      </c>
      <c r="J3309" s="7">
        <v>110</v>
      </c>
      <c r="K3309" s="7" t="s">
        <v>18</v>
      </c>
      <c r="L3309" s="8">
        <v>39987.315405092595</v>
      </c>
      <c r="M3309" s="9" t="s">
        <v>19</v>
      </c>
      <c r="N3309" s="9" t="s">
        <v>20</v>
      </c>
      <c r="O3309" s="6" t="str">
        <f>HYPERLINK("https://pbs.twimg.com/profile_images/962471262747529216/Uo8lOkRJ_normal.jpg","View")</f>
        <v>View</v>
      </c>
      <c r="P3309" s="7"/>
    </row>
    <row r="3310" spans="1:16">
      <c r="A3310" s="3">
        <v>43903.82167824074</v>
      </c>
      <c r="B3310" s="4" t="str">
        <f>HYPERLINK("https://twitter.com/petrogustavo","@petrogustavo")</f>
        <v>@petrogustavo</v>
      </c>
      <c r="C3310" s="5" t="s">
        <v>16</v>
      </c>
      <c r="D3310" s="5" t="s">
        <v>3246</v>
      </c>
      <c r="E3310" s="6" t="str">
        <f>HYPERLINK("https://twitter.com/petrogustavo/status/1238468161126764544","1238468161126764544")</f>
        <v>1238468161126764544</v>
      </c>
      <c r="F3310" s="7" t="s">
        <v>17</v>
      </c>
      <c r="G3310" s="7">
        <v>3663937</v>
      </c>
      <c r="H3310" s="7">
        <v>2354</v>
      </c>
      <c r="I3310" s="7">
        <v>64</v>
      </c>
      <c r="J3310" s="7">
        <v>0</v>
      </c>
      <c r="K3310" s="7" t="s">
        <v>18</v>
      </c>
      <c r="L3310" s="8">
        <v>39987.315405092595</v>
      </c>
      <c r="M3310" s="9" t="s">
        <v>19</v>
      </c>
      <c r="N3310" s="9" t="s">
        <v>20</v>
      </c>
      <c r="O3310" s="6" t="str">
        <f>HYPERLINK("https://pbs.twimg.com/profile_images/962471262747529216/Uo8lOkRJ_normal.jpg","View")</f>
        <v>View</v>
      </c>
      <c r="P3310" s="7"/>
    </row>
    <row r="3311" spans="1:16">
      <c r="A3311" s="3">
        <v>43903.823437500003</v>
      </c>
      <c r="B3311" s="4" t="str">
        <f>HYPERLINK("https://twitter.com/petrogustavo","@petrogustavo")</f>
        <v>@petrogustavo</v>
      </c>
      <c r="C3311" s="5" t="s">
        <v>16</v>
      </c>
      <c r="D3311" s="5" t="s">
        <v>3247</v>
      </c>
      <c r="E3311" s="6" t="str">
        <f>HYPERLINK("https://twitter.com/petrogustavo/status/1238468797008416768","1238468797008416768")</f>
        <v>1238468797008416768</v>
      </c>
      <c r="F3311" s="7" t="s">
        <v>17</v>
      </c>
      <c r="G3311" s="7">
        <v>3663937</v>
      </c>
      <c r="H3311" s="7">
        <v>2354</v>
      </c>
      <c r="I3311" s="7">
        <v>21</v>
      </c>
      <c r="J3311" s="7">
        <v>63</v>
      </c>
      <c r="K3311" s="7" t="s">
        <v>18</v>
      </c>
      <c r="L3311" s="8">
        <v>39987.315405092595</v>
      </c>
      <c r="M3311" s="9" t="s">
        <v>19</v>
      </c>
      <c r="N3311" s="9" t="s">
        <v>20</v>
      </c>
      <c r="O3311" s="6" t="str">
        <f>HYPERLINK("https://pbs.twimg.com/profile_images/962471262747529216/Uo8lOkRJ_normal.jpg","View")</f>
        <v>View</v>
      </c>
      <c r="P3311" s="7"/>
    </row>
    <row r="3312" spans="1:16">
      <c r="A3312" s="3">
        <v>43903.827430555553</v>
      </c>
      <c r="B3312" s="4" t="str">
        <f>HYPERLINK("https://twitter.com/petrogustavo","@petrogustavo")</f>
        <v>@petrogustavo</v>
      </c>
      <c r="C3312" s="5" t="s">
        <v>16</v>
      </c>
      <c r="D3312" s="5" t="s">
        <v>3248</v>
      </c>
      <c r="E3312" s="6" t="str">
        <f>HYPERLINK("https://twitter.com/petrogustavo/status/1238470242143285248","1238470242143285248")</f>
        <v>1238470242143285248</v>
      </c>
      <c r="F3312" s="7" t="s">
        <v>17</v>
      </c>
      <c r="G3312" s="7">
        <v>3663969</v>
      </c>
      <c r="H3312" s="7">
        <v>2354</v>
      </c>
      <c r="I3312" s="7">
        <v>167</v>
      </c>
      <c r="J3312" s="7">
        <v>363</v>
      </c>
      <c r="K3312" s="7" t="s">
        <v>18</v>
      </c>
      <c r="L3312" s="8">
        <v>39987.315405092595</v>
      </c>
      <c r="M3312" s="9" t="s">
        <v>19</v>
      </c>
      <c r="N3312" s="9" t="s">
        <v>20</v>
      </c>
      <c r="O3312" s="6" t="str">
        <f>HYPERLINK("https://pbs.twimg.com/profile_images/962471262747529216/Uo8lOkRJ_normal.jpg","View")</f>
        <v>View</v>
      </c>
      <c r="P3312" s="7"/>
    </row>
    <row r="3313" spans="1:16">
      <c r="A3313" s="3">
        <v>43903.843506944446</v>
      </c>
      <c r="B3313" s="4" t="str">
        <f>HYPERLINK("https://twitter.com/petrogustavo","@petrogustavo")</f>
        <v>@petrogustavo</v>
      </c>
      <c r="C3313" s="5" t="s">
        <v>16</v>
      </c>
      <c r="D3313" s="5" t="s">
        <v>3249</v>
      </c>
      <c r="E3313" s="6" t="str">
        <f>HYPERLINK("https://twitter.com/petrogustavo/status/1238476071122751488","1238476071122751488")</f>
        <v>1238476071122751488</v>
      </c>
      <c r="F3313" s="7" t="s">
        <v>17</v>
      </c>
      <c r="G3313" s="7">
        <v>3663969</v>
      </c>
      <c r="H3313" s="7">
        <v>2354</v>
      </c>
      <c r="I3313" s="7">
        <v>370</v>
      </c>
      <c r="J3313" s="7">
        <v>0</v>
      </c>
      <c r="K3313" s="7" t="s">
        <v>18</v>
      </c>
      <c r="L3313" s="8">
        <v>39987.315405092595</v>
      </c>
      <c r="M3313" s="9" t="s">
        <v>19</v>
      </c>
      <c r="N3313" s="9" t="s">
        <v>20</v>
      </c>
      <c r="O3313" s="6" t="str">
        <f>HYPERLINK("https://pbs.twimg.com/profile_images/962471262747529216/Uo8lOkRJ_normal.jpg","View")</f>
        <v>View</v>
      </c>
      <c r="P3313" s="7"/>
    </row>
    <row r="3314" spans="1:16">
      <c r="A3314" s="3">
        <v>43903.845451388886</v>
      </c>
      <c r="B3314" s="4" t="str">
        <f>HYPERLINK("https://twitter.com/petrogustavo","@petrogustavo")</f>
        <v>@petrogustavo</v>
      </c>
      <c r="C3314" s="5" t="s">
        <v>16</v>
      </c>
      <c r="D3314" s="5" t="s">
        <v>3250</v>
      </c>
      <c r="E3314" s="6" t="str">
        <f>HYPERLINK("https://twitter.com/petrogustavo/status/1238476774218051588","1238476774218051588")</f>
        <v>1238476774218051588</v>
      </c>
      <c r="F3314" s="7" t="s">
        <v>17</v>
      </c>
      <c r="G3314" s="7">
        <v>3664014</v>
      </c>
      <c r="H3314" s="7">
        <v>2354</v>
      </c>
      <c r="I3314" s="7">
        <v>80</v>
      </c>
      <c r="J3314" s="7">
        <v>208</v>
      </c>
      <c r="K3314" s="7" t="s">
        <v>18</v>
      </c>
      <c r="L3314" s="8">
        <v>39987.315405092595</v>
      </c>
      <c r="M3314" s="9" t="s">
        <v>19</v>
      </c>
      <c r="N3314" s="9" t="s">
        <v>20</v>
      </c>
      <c r="O3314" s="6" t="str">
        <f>HYPERLINK("https://pbs.twimg.com/profile_images/962471262747529216/Uo8lOkRJ_normal.jpg","View")</f>
        <v>View</v>
      </c>
      <c r="P3314" s="7"/>
    </row>
    <row r="3315" spans="1:16">
      <c r="A3315" s="3">
        <v>43903.849409722221</v>
      </c>
      <c r="B3315" s="4" t="str">
        <f>HYPERLINK("https://twitter.com/petrogustavo","@petrogustavo")</f>
        <v>@petrogustavo</v>
      </c>
      <c r="C3315" s="5" t="s">
        <v>16</v>
      </c>
      <c r="D3315" s="5" t="s">
        <v>3251</v>
      </c>
      <c r="E3315" s="6" t="str">
        <f>HYPERLINK("https://twitter.com/petrogustavo/status/1238478210532335616","1238478210532335616")</f>
        <v>1238478210532335616</v>
      </c>
      <c r="F3315" s="7" t="s">
        <v>17</v>
      </c>
      <c r="G3315" s="7">
        <v>3664014</v>
      </c>
      <c r="H3315" s="7">
        <v>2354</v>
      </c>
      <c r="I3315" s="7">
        <v>90</v>
      </c>
      <c r="J3315" s="7">
        <v>212</v>
      </c>
      <c r="K3315" s="7" t="s">
        <v>18</v>
      </c>
      <c r="L3315" s="8">
        <v>39987.315405092595</v>
      </c>
      <c r="M3315" s="9" t="s">
        <v>19</v>
      </c>
      <c r="N3315" s="9" t="s">
        <v>20</v>
      </c>
      <c r="O3315" s="6" t="str">
        <f>HYPERLINK("https://pbs.twimg.com/profile_images/962471262747529216/Uo8lOkRJ_normal.jpg","View")</f>
        <v>View</v>
      </c>
      <c r="P3315" s="7"/>
    </row>
    <row r="3316" spans="1:16">
      <c r="A3316" s="3">
        <v>43903.852696759262</v>
      </c>
      <c r="B3316" s="4" t="str">
        <f>HYPERLINK("https://twitter.com/petrogustavo","@petrogustavo")</f>
        <v>@petrogustavo</v>
      </c>
      <c r="C3316" s="5" t="s">
        <v>16</v>
      </c>
      <c r="D3316" s="5" t="s">
        <v>3252</v>
      </c>
      <c r="E3316" s="6" t="str">
        <f>HYPERLINK("https://twitter.com/petrogustavo/status/1238479401915953152","1238479401915953152")</f>
        <v>1238479401915953152</v>
      </c>
      <c r="F3316" s="7" t="s">
        <v>17</v>
      </c>
      <c r="G3316" s="7">
        <v>3664014</v>
      </c>
      <c r="H3316" s="7">
        <v>2354</v>
      </c>
      <c r="I3316" s="7">
        <v>114</v>
      </c>
      <c r="J3316" s="7">
        <v>366</v>
      </c>
      <c r="K3316" s="7" t="s">
        <v>18</v>
      </c>
      <c r="L3316" s="8">
        <v>39987.315405092595</v>
      </c>
      <c r="M3316" s="9" t="s">
        <v>19</v>
      </c>
      <c r="N3316" s="9" t="s">
        <v>20</v>
      </c>
      <c r="O3316" s="6" t="str">
        <f>HYPERLINK("https://pbs.twimg.com/profile_images/962471262747529216/Uo8lOkRJ_normal.jpg","View")</f>
        <v>View</v>
      </c>
      <c r="P3316" s="7"/>
    </row>
    <row r="3317" spans="1:16">
      <c r="A3317" s="3">
        <v>43903.854953703703</v>
      </c>
      <c r="B3317" s="4" t="str">
        <f>HYPERLINK("https://twitter.com/petrogustavo","@petrogustavo")</f>
        <v>@petrogustavo</v>
      </c>
      <c r="C3317" s="5" t="s">
        <v>16</v>
      </c>
      <c r="D3317" s="5" t="s">
        <v>3253</v>
      </c>
      <c r="E3317" s="6" t="str">
        <f>HYPERLINK("https://twitter.com/petrogustavo/status/1238480219180339200","1238480219180339200")</f>
        <v>1238480219180339200</v>
      </c>
      <c r="F3317" s="7" t="s">
        <v>17</v>
      </c>
      <c r="G3317" s="7">
        <v>3664014</v>
      </c>
      <c r="H3317" s="7">
        <v>2354</v>
      </c>
      <c r="I3317" s="7">
        <v>51</v>
      </c>
      <c r="J3317" s="7">
        <v>177</v>
      </c>
      <c r="K3317" s="7" t="s">
        <v>18</v>
      </c>
      <c r="L3317" s="8">
        <v>39987.315405092595</v>
      </c>
      <c r="M3317" s="9" t="s">
        <v>19</v>
      </c>
      <c r="N3317" s="9" t="s">
        <v>20</v>
      </c>
      <c r="O3317" s="6" t="str">
        <f>HYPERLINK("https://pbs.twimg.com/profile_images/962471262747529216/Uo8lOkRJ_normal.jpg","View")</f>
        <v>View</v>
      </c>
      <c r="P3317" s="7"/>
    </row>
    <row r="3318" spans="1:16">
      <c r="A3318" s="3">
        <v>43903.876203703709</v>
      </c>
      <c r="B3318" s="4" t="str">
        <f>HYPERLINK("https://twitter.com/petrogustavo","@petrogustavo")</f>
        <v>@petrogustavo</v>
      </c>
      <c r="C3318" s="5" t="s">
        <v>16</v>
      </c>
      <c r="D3318" s="5" t="s">
        <v>3254</v>
      </c>
      <c r="E3318" s="6" t="str">
        <f>HYPERLINK("https://twitter.com/petrogustavo/status/1238487917120667649","1238487917120667649")</f>
        <v>1238487917120667649</v>
      </c>
      <c r="F3318" s="7" t="s">
        <v>17</v>
      </c>
      <c r="G3318" s="7">
        <v>3664054</v>
      </c>
      <c r="H3318" s="7">
        <v>2355</v>
      </c>
      <c r="I3318" s="7">
        <v>152</v>
      </c>
      <c r="J3318" s="7">
        <v>433</v>
      </c>
      <c r="K3318" s="7" t="s">
        <v>18</v>
      </c>
      <c r="L3318" s="8">
        <v>39987.315405092595</v>
      </c>
      <c r="M3318" s="9" t="s">
        <v>19</v>
      </c>
      <c r="N3318" s="9" t="s">
        <v>20</v>
      </c>
      <c r="O3318" s="6" t="str">
        <f>HYPERLINK("https://pbs.twimg.com/profile_images/962471262747529216/Uo8lOkRJ_normal.jpg","View")</f>
        <v>View</v>
      </c>
      <c r="P3318" s="7"/>
    </row>
    <row r="3319" spans="1:16">
      <c r="A3319" s="3">
        <v>43903.879965277782</v>
      </c>
      <c r="B3319" s="4" t="str">
        <f>HYPERLINK("https://twitter.com/petrogustavo","@petrogustavo")</f>
        <v>@petrogustavo</v>
      </c>
      <c r="C3319" s="5" t="s">
        <v>16</v>
      </c>
      <c r="D3319" s="5" t="s">
        <v>3255</v>
      </c>
      <c r="E3319" s="6" t="str">
        <f>HYPERLINK("https://twitter.com/petrogustavo/status/1238489280739229700","1238489280739229700")</f>
        <v>1238489280739229700</v>
      </c>
      <c r="F3319" s="7" t="s">
        <v>17</v>
      </c>
      <c r="G3319" s="7">
        <v>3664054</v>
      </c>
      <c r="H3319" s="7">
        <v>2355</v>
      </c>
      <c r="I3319" s="7">
        <v>30</v>
      </c>
      <c r="J3319" s="7">
        <v>123</v>
      </c>
      <c r="K3319" s="7" t="s">
        <v>18</v>
      </c>
      <c r="L3319" s="8">
        <v>39987.315405092595</v>
      </c>
      <c r="M3319" s="9" t="s">
        <v>19</v>
      </c>
      <c r="N3319" s="9" t="s">
        <v>20</v>
      </c>
      <c r="O3319" s="6" t="str">
        <f>HYPERLINK("https://pbs.twimg.com/profile_images/962471262747529216/Uo8lOkRJ_normal.jpg","View")</f>
        <v>View</v>
      </c>
      <c r="P3319" s="7"/>
    </row>
    <row r="3320" spans="1:16">
      <c r="A3320" s="3">
        <v>43903.889050925922</v>
      </c>
      <c r="B3320" s="4" t="str">
        <f>HYPERLINK("https://twitter.com/petrogustavo","@petrogustavo")</f>
        <v>@petrogustavo</v>
      </c>
      <c r="C3320" s="5" t="s">
        <v>16</v>
      </c>
      <c r="D3320" s="5" t="s">
        <v>3256</v>
      </c>
      <c r="E3320" s="6" t="str">
        <f>HYPERLINK("https://twitter.com/petrogustavo/status/1238492575918698496","1238492575918698496")</f>
        <v>1238492575918698496</v>
      </c>
      <c r="F3320" s="7" t="s">
        <v>17</v>
      </c>
      <c r="G3320" s="7">
        <v>3664089</v>
      </c>
      <c r="H3320" s="7">
        <v>2355</v>
      </c>
      <c r="I3320" s="7">
        <v>48</v>
      </c>
      <c r="J3320" s="7">
        <v>112</v>
      </c>
      <c r="K3320" s="7" t="s">
        <v>18</v>
      </c>
      <c r="L3320" s="8">
        <v>39987.315405092595</v>
      </c>
      <c r="M3320" s="9" t="s">
        <v>19</v>
      </c>
      <c r="N3320" s="9" t="s">
        <v>20</v>
      </c>
      <c r="O3320" s="6" t="str">
        <f>HYPERLINK("https://pbs.twimg.com/profile_images/962471262747529216/Uo8lOkRJ_normal.jpg","View")</f>
        <v>View</v>
      </c>
      <c r="P3320" s="7"/>
    </row>
    <row r="3321" spans="1:16">
      <c r="A3321" s="3">
        <v>43903.900127314817</v>
      </c>
      <c r="B3321" s="4" t="str">
        <f>HYPERLINK("https://twitter.com/petrogustavo","@petrogustavo")</f>
        <v>@petrogustavo</v>
      </c>
      <c r="C3321" s="5" t="s">
        <v>16</v>
      </c>
      <c r="D3321" s="5" t="s">
        <v>3257</v>
      </c>
      <c r="E3321" s="6" t="str">
        <f>HYPERLINK("https://twitter.com/petrogustavo/status/1238496586440769542","1238496586440769542")</f>
        <v>1238496586440769542</v>
      </c>
      <c r="F3321" s="7" t="s">
        <v>17</v>
      </c>
      <c r="G3321" s="7">
        <v>3664089</v>
      </c>
      <c r="H3321" s="7">
        <v>2355</v>
      </c>
      <c r="I3321" s="7">
        <v>21</v>
      </c>
      <c r="J3321" s="7">
        <v>93</v>
      </c>
      <c r="K3321" s="7" t="s">
        <v>18</v>
      </c>
      <c r="L3321" s="8">
        <v>39987.315405092595</v>
      </c>
      <c r="M3321" s="9" t="s">
        <v>19</v>
      </c>
      <c r="N3321" s="9" t="s">
        <v>20</v>
      </c>
      <c r="O3321" s="6" t="str">
        <f>HYPERLINK("https://pbs.twimg.com/profile_images/962471262747529216/Uo8lOkRJ_normal.jpg","View")</f>
        <v>View</v>
      </c>
      <c r="P3321" s="7"/>
    </row>
    <row r="3322" spans="1:16">
      <c r="A3322" s="3">
        <v>43903.928726851853</v>
      </c>
      <c r="B3322" s="4" t="str">
        <f>HYPERLINK("https://twitter.com/petrogustavo","@petrogustavo")</f>
        <v>@petrogustavo</v>
      </c>
      <c r="C3322" s="5" t="s">
        <v>16</v>
      </c>
      <c r="D3322" s="5" t="s">
        <v>3258</v>
      </c>
      <c r="E3322" s="6" t="str">
        <f>HYPERLINK("https://twitter.com/petrogustavo/status/1238506952226934789","1238506952226934789")</f>
        <v>1238506952226934789</v>
      </c>
      <c r="F3322" s="7" t="s">
        <v>17</v>
      </c>
      <c r="G3322" s="7">
        <v>3664124</v>
      </c>
      <c r="H3322" s="7">
        <v>2355</v>
      </c>
      <c r="I3322" s="7">
        <v>0</v>
      </c>
      <c r="J3322" s="7">
        <v>3</v>
      </c>
      <c r="K3322" s="7" t="s">
        <v>18</v>
      </c>
      <c r="L3322" s="8">
        <v>39987.315405092595</v>
      </c>
      <c r="M3322" s="9" t="s">
        <v>19</v>
      </c>
      <c r="N3322" s="9" t="s">
        <v>20</v>
      </c>
      <c r="O3322" s="6" t="str">
        <f>HYPERLINK("https://pbs.twimg.com/profile_images/962471262747529216/Uo8lOkRJ_normal.jpg","View")</f>
        <v>View</v>
      </c>
      <c r="P3322" s="7"/>
    </row>
    <row r="3323" spans="1:16">
      <c r="A3323" s="3">
        <v>43903.962187500001</v>
      </c>
      <c r="B3323" s="4" t="str">
        <f>HYPERLINK("https://twitter.com/petrogustavo","@petrogustavo")</f>
        <v>@petrogustavo</v>
      </c>
      <c r="C3323" s="5" t="s">
        <v>16</v>
      </c>
      <c r="D3323" s="5" t="s">
        <v>3259</v>
      </c>
      <c r="E3323" s="6" t="str">
        <f>HYPERLINK("https://twitter.com/petrogustavo/status/1238519077007745024","1238519077007745024")</f>
        <v>1238519077007745024</v>
      </c>
      <c r="F3323" s="7" t="s">
        <v>17</v>
      </c>
      <c r="G3323" s="7">
        <v>3664182</v>
      </c>
      <c r="H3323" s="7">
        <v>2356</v>
      </c>
      <c r="I3323" s="7">
        <v>49</v>
      </c>
      <c r="J3323" s="7">
        <v>0</v>
      </c>
      <c r="K3323" s="7" t="s">
        <v>18</v>
      </c>
      <c r="L3323" s="8">
        <v>39987.315405092595</v>
      </c>
      <c r="M3323" s="9" t="s">
        <v>19</v>
      </c>
      <c r="N3323" s="9" t="s">
        <v>20</v>
      </c>
      <c r="O3323" s="6" t="str">
        <f>HYPERLINK("https://pbs.twimg.com/profile_images/962471262747529216/Uo8lOkRJ_normal.jpg","View")</f>
        <v>View</v>
      </c>
      <c r="P3323" s="7"/>
    </row>
    <row r="3324" spans="1:16">
      <c r="A3324" s="3">
        <v>43903.963749999995</v>
      </c>
      <c r="B3324" s="4" t="str">
        <f>HYPERLINK("https://twitter.com/petrogustavo","@petrogustavo")</f>
        <v>@petrogustavo</v>
      </c>
      <c r="C3324" s="5" t="s">
        <v>16</v>
      </c>
      <c r="D3324" s="5" t="s">
        <v>3260</v>
      </c>
      <c r="E3324" s="6" t="str">
        <f>HYPERLINK("https://twitter.com/petrogustavo/status/1238519645042356227","1238519645042356227")</f>
        <v>1238519645042356227</v>
      </c>
      <c r="F3324" s="7" t="s">
        <v>17</v>
      </c>
      <c r="G3324" s="7">
        <v>3664182</v>
      </c>
      <c r="H3324" s="7">
        <v>2356</v>
      </c>
      <c r="I3324" s="7">
        <v>142</v>
      </c>
      <c r="J3324" s="7">
        <v>436</v>
      </c>
      <c r="K3324" s="7" t="s">
        <v>18</v>
      </c>
      <c r="L3324" s="8">
        <v>39987.315405092595</v>
      </c>
      <c r="M3324" s="9" t="s">
        <v>19</v>
      </c>
      <c r="N3324" s="9" t="s">
        <v>20</v>
      </c>
      <c r="O3324" s="6" t="str">
        <f>HYPERLINK("https://pbs.twimg.com/profile_images/962471262747529216/Uo8lOkRJ_normal.jpg","View")</f>
        <v>View</v>
      </c>
      <c r="P3324" s="7"/>
    </row>
    <row r="3325" spans="1:16">
      <c r="A3325" s="3">
        <v>43903.971886574072</v>
      </c>
      <c r="B3325" s="4" t="str">
        <f>HYPERLINK("https://twitter.com/petrogustavo","@petrogustavo")</f>
        <v>@petrogustavo</v>
      </c>
      <c r="C3325" s="5" t="s">
        <v>16</v>
      </c>
      <c r="D3325" s="5" t="s">
        <v>3261</v>
      </c>
      <c r="E3325" s="6" t="str">
        <f>HYPERLINK("https://twitter.com/petrogustavo/status/1238522592849547264","1238522592849547264")</f>
        <v>1238522592849547264</v>
      </c>
      <c r="F3325" s="7" t="s">
        <v>17</v>
      </c>
      <c r="G3325" s="7">
        <v>3664212</v>
      </c>
      <c r="H3325" s="7">
        <v>2356</v>
      </c>
      <c r="I3325" s="7">
        <v>75</v>
      </c>
      <c r="J3325" s="7">
        <v>244</v>
      </c>
      <c r="K3325" s="7" t="s">
        <v>18</v>
      </c>
      <c r="L3325" s="8">
        <v>39987.315405092595</v>
      </c>
      <c r="M3325" s="9" t="s">
        <v>19</v>
      </c>
      <c r="N3325" s="9" t="s">
        <v>20</v>
      </c>
      <c r="O3325" s="6" t="str">
        <f>HYPERLINK("https://pbs.twimg.com/profile_images/962471262747529216/Uo8lOkRJ_normal.jpg","View")</f>
        <v>View</v>
      </c>
      <c r="P3325" s="7"/>
    </row>
    <row r="3326" spans="1:16">
      <c r="A3326" s="3">
        <v>43903.972766203704</v>
      </c>
      <c r="B3326" s="4" t="str">
        <f>HYPERLINK("https://twitter.com/petrogustavo","@petrogustavo")</f>
        <v>@petrogustavo</v>
      </c>
      <c r="C3326" s="5" t="s">
        <v>16</v>
      </c>
      <c r="D3326" s="5" t="s">
        <v>3262</v>
      </c>
      <c r="E3326" s="6" t="str">
        <f>HYPERLINK("https://twitter.com/petrogustavo/status/1238522912967143424","1238522912967143424")</f>
        <v>1238522912967143424</v>
      </c>
      <c r="F3326" s="7" t="s">
        <v>17</v>
      </c>
      <c r="G3326" s="7">
        <v>3664212</v>
      </c>
      <c r="H3326" s="7">
        <v>2356</v>
      </c>
      <c r="I3326" s="7">
        <v>76</v>
      </c>
      <c r="J3326" s="7">
        <v>0</v>
      </c>
      <c r="K3326" s="7" t="s">
        <v>18</v>
      </c>
      <c r="L3326" s="8">
        <v>39987.315405092595</v>
      </c>
      <c r="M3326" s="9" t="s">
        <v>19</v>
      </c>
      <c r="N3326" s="9" t="s">
        <v>20</v>
      </c>
      <c r="O3326" s="6" t="str">
        <f>HYPERLINK("https://pbs.twimg.com/profile_images/962471262747529216/Uo8lOkRJ_normal.jpg","View")</f>
        <v>View</v>
      </c>
      <c r="P3326" s="7"/>
    </row>
    <row r="3327" spans="1:16">
      <c r="A3327" s="3">
        <v>43903.976840277777</v>
      </c>
      <c r="B3327" s="4" t="str">
        <f>HYPERLINK("https://twitter.com/petrogustavo","@petrogustavo")</f>
        <v>@petrogustavo</v>
      </c>
      <c r="C3327" s="5" t="s">
        <v>16</v>
      </c>
      <c r="D3327" s="5" t="s">
        <v>3263</v>
      </c>
      <c r="E3327" s="6" t="str">
        <f>HYPERLINK("https://twitter.com/petrogustavo/status/1238524386400927750","1238524386400927750")</f>
        <v>1238524386400927750</v>
      </c>
      <c r="F3327" s="7" t="s">
        <v>17</v>
      </c>
      <c r="G3327" s="7">
        <v>3664212</v>
      </c>
      <c r="H3327" s="7">
        <v>2356</v>
      </c>
      <c r="I3327" s="7">
        <v>105</v>
      </c>
      <c r="J3327" s="7">
        <v>305</v>
      </c>
      <c r="K3327" s="7" t="s">
        <v>18</v>
      </c>
      <c r="L3327" s="8">
        <v>39987.315405092595</v>
      </c>
      <c r="M3327" s="9" t="s">
        <v>19</v>
      </c>
      <c r="N3327" s="9" t="s">
        <v>20</v>
      </c>
      <c r="O3327" s="6" t="str">
        <f>HYPERLINK("https://pbs.twimg.com/profile_images/962471262747529216/Uo8lOkRJ_normal.jpg","View")</f>
        <v>View</v>
      </c>
      <c r="P3327" s="7"/>
    </row>
    <row r="3328" spans="1:16">
      <c r="A3328" s="3">
        <v>43903.979675925926</v>
      </c>
      <c r="B3328" s="4" t="str">
        <f>HYPERLINK("https://twitter.com/petrogustavo","@petrogustavo")</f>
        <v>@petrogustavo</v>
      </c>
      <c r="C3328" s="5" t="s">
        <v>16</v>
      </c>
      <c r="D3328" s="5" t="s">
        <v>3264</v>
      </c>
      <c r="E3328" s="6" t="str">
        <f>HYPERLINK("https://twitter.com/petrogustavo/status/1238525417935405056","1238525417935405056")</f>
        <v>1238525417935405056</v>
      </c>
      <c r="F3328" s="7" t="s">
        <v>17</v>
      </c>
      <c r="G3328" s="7">
        <v>3664212</v>
      </c>
      <c r="H3328" s="7">
        <v>2356</v>
      </c>
      <c r="I3328" s="7">
        <v>60</v>
      </c>
      <c r="J3328" s="7">
        <v>216</v>
      </c>
      <c r="K3328" s="7" t="s">
        <v>18</v>
      </c>
      <c r="L3328" s="8">
        <v>39987.315405092595</v>
      </c>
      <c r="M3328" s="9" t="s">
        <v>19</v>
      </c>
      <c r="N3328" s="9" t="s">
        <v>20</v>
      </c>
      <c r="O3328" s="6" t="str">
        <f>HYPERLINK("https://pbs.twimg.com/profile_images/962471262747529216/Uo8lOkRJ_normal.jpg","View")</f>
        <v>View</v>
      </c>
      <c r="P3328" s="7"/>
    </row>
    <row r="3329" spans="1:16">
      <c r="A3329" s="3">
        <v>43903.984224537038</v>
      </c>
      <c r="B3329" s="4" t="str">
        <f>HYPERLINK("https://twitter.com/petrogustavo","@petrogustavo")</f>
        <v>@petrogustavo</v>
      </c>
      <c r="C3329" s="5" t="s">
        <v>16</v>
      </c>
      <c r="D3329" s="5" t="s">
        <v>3265</v>
      </c>
      <c r="E3329" s="6" t="str">
        <f>HYPERLINK("https://twitter.com/petrogustavo/status/1238527062966755329","1238527062966755329")</f>
        <v>1238527062966755329</v>
      </c>
      <c r="F3329" s="7" t="s">
        <v>17</v>
      </c>
      <c r="G3329" s="7">
        <v>3664212</v>
      </c>
      <c r="H3329" s="7">
        <v>2356</v>
      </c>
      <c r="I3329" s="7">
        <v>14</v>
      </c>
      <c r="J3329" s="7">
        <v>0</v>
      </c>
      <c r="K3329" s="7" t="s">
        <v>18</v>
      </c>
      <c r="L3329" s="8">
        <v>39987.315405092595</v>
      </c>
      <c r="M3329" s="9" t="s">
        <v>19</v>
      </c>
      <c r="N3329" s="9" t="s">
        <v>20</v>
      </c>
      <c r="O3329" s="6" t="str">
        <f>HYPERLINK("https://pbs.twimg.com/profile_images/962471262747529216/Uo8lOkRJ_normal.jpg","View")</f>
        <v>View</v>
      </c>
      <c r="P3329" s="7"/>
    </row>
    <row r="3330" spans="1:16">
      <c r="A3330" s="3">
        <v>43903.988321759258</v>
      </c>
      <c r="B3330" s="4" t="str">
        <f>HYPERLINK("https://twitter.com/petrogustavo","@petrogustavo")</f>
        <v>@petrogustavo</v>
      </c>
      <c r="C3330" s="5" t="s">
        <v>16</v>
      </c>
      <c r="D3330" s="5" t="s">
        <v>3266</v>
      </c>
      <c r="E3330" s="6" t="str">
        <f>HYPERLINK("https://twitter.com/petrogustavo/status/1238528547905568768","1238528547905568768")</f>
        <v>1238528547905568768</v>
      </c>
      <c r="F3330" s="7" t="s">
        <v>17</v>
      </c>
      <c r="G3330" s="7">
        <v>3664212</v>
      </c>
      <c r="H3330" s="7">
        <v>2356</v>
      </c>
      <c r="I3330" s="7">
        <v>110</v>
      </c>
      <c r="J3330" s="7">
        <v>303</v>
      </c>
      <c r="K3330" s="7" t="s">
        <v>18</v>
      </c>
      <c r="L3330" s="8">
        <v>39987.315405092595</v>
      </c>
      <c r="M3330" s="9" t="s">
        <v>19</v>
      </c>
      <c r="N3330" s="9" t="s">
        <v>20</v>
      </c>
      <c r="O3330" s="6" t="str">
        <f>HYPERLINK("https://pbs.twimg.com/profile_images/962471262747529216/Uo8lOkRJ_normal.jpg","View")</f>
        <v>View</v>
      </c>
      <c r="P3330" s="7"/>
    </row>
    <row r="3331" spans="1:16">
      <c r="A3331" s="3">
        <v>43903.994999999995</v>
      </c>
      <c r="B3331" s="4" t="str">
        <f>HYPERLINK("https://twitter.com/petrogustavo","@petrogustavo")</f>
        <v>@petrogustavo</v>
      </c>
      <c r="C3331" s="5" t="s">
        <v>16</v>
      </c>
      <c r="D3331" s="5" t="s">
        <v>3267</v>
      </c>
      <c r="E3331" s="6" t="str">
        <f>HYPERLINK("https://twitter.com/petrogustavo/status/1238530967884779532","1238530967884779532")</f>
        <v>1238530967884779532</v>
      </c>
      <c r="F3331" s="7" t="s">
        <v>17</v>
      </c>
      <c r="G3331" s="7">
        <v>3664238</v>
      </c>
      <c r="H3331" s="7">
        <v>2356</v>
      </c>
      <c r="I3331" s="7">
        <v>115</v>
      </c>
      <c r="J3331" s="7">
        <v>0</v>
      </c>
      <c r="K3331" s="7" t="s">
        <v>18</v>
      </c>
      <c r="L3331" s="8">
        <v>39987.315405092595</v>
      </c>
      <c r="M3331" s="9" t="s">
        <v>19</v>
      </c>
      <c r="N3331" s="9" t="s">
        <v>20</v>
      </c>
      <c r="O3331" s="6" t="str">
        <f>HYPERLINK("https://pbs.twimg.com/profile_images/962471262747529216/Uo8lOkRJ_normal.jpg","View")</f>
        <v>View</v>
      </c>
      <c r="P3331" s="7"/>
    </row>
    <row r="3332" spans="1:16">
      <c r="A3332" s="3">
        <v>43904.009027777778</v>
      </c>
      <c r="B3332" s="4" t="str">
        <f>HYPERLINK("https://twitter.com/petrogustavo","@petrogustavo")</f>
        <v>@petrogustavo</v>
      </c>
      <c r="C3332" s="5" t="s">
        <v>16</v>
      </c>
      <c r="D3332" s="5" t="s">
        <v>3268</v>
      </c>
      <c r="E3332" s="6" t="str">
        <f>HYPERLINK("https://twitter.com/petrogustavo/status/1238536053067329536","1238536053067329536")</f>
        <v>1238536053067329536</v>
      </c>
      <c r="F3332" s="7" t="s">
        <v>17</v>
      </c>
      <c r="G3332" s="7">
        <v>3664238</v>
      </c>
      <c r="H3332" s="7">
        <v>2356</v>
      </c>
      <c r="I3332" s="7">
        <v>34</v>
      </c>
      <c r="J3332" s="7">
        <v>72</v>
      </c>
      <c r="K3332" s="7" t="s">
        <v>18</v>
      </c>
      <c r="L3332" s="8">
        <v>39987.315405092595</v>
      </c>
      <c r="M3332" s="9" t="s">
        <v>19</v>
      </c>
      <c r="N3332" s="9" t="s">
        <v>20</v>
      </c>
      <c r="O3332" s="6" t="str">
        <f>HYPERLINK("https://pbs.twimg.com/profile_images/962471262747529216/Uo8lOkRJ_normal.jpg","View")</f>
        <v>View</v>
      </c>
      <c r="P3332" s="7"/>
    </row>
    <row r="3333" spans="1:16">
      <c r="A3333" s="3">
        <v>43904.009548611109</v>
      </c>
      <c r="B3333" s="4" t="str">
        <f>HYPERLINK("https://twitter.com/petrogustavo","@petrogustavo")</f>
        <v>@petrogustavo</v>
      </c>
      <c r="C3333" s="5" t="s">
        <v>16</v>
      </c>
      <c r="D3333" s="5" t="s">
        <v>3269</v>
      </c>
      <c r="E3333" s="6" t="str">
        <f>HYPERLINK("https://twitter.com/petrogustavo/status/1238536242700132353","1238536242700132353")</f>
        <v>1238536242700132353</v>
      </c>
      <c r="F3333" s="7" t="s">
        <v>17</v>
      </c>
      <c r="G3333" s="7">
        <v>3664238</v>
      </c>
      <c r="H3333" s="7">
        <v>2356</v>
      </c>
      <c r="I3333" s="7">
        <v>3869</v>
      </c>
      <c r="J3333" s="7">
        <v>0</v>
      </c>
      <c r="K3333" s="7" t="s">
        <v>18</v>
      </c>
      <c r="L3333" s="8">
        <v>39987.315405092595</v>
      </c>
      <c r="M3333" s="9" t="s">
        <v>19</v>
      </c>
      <c r="N3333" s="9" t="s">
        <v>20</v>
      </c>
      <c r="O3333" s="6" t="str">
        <f>HYPERLINK("https://pbs.twimg.com/profile_images/962471262747529216/Uo8lOkRJ_normal.jpg","View")</f>
        <v>View</v>
      </c>
      <c r="P3333" s="7"/>
    </row>
    <row r="3334" spans="1:16">
      <c r="A3334" s="3">
        <v>43904.010555555556</v>
      </c>
      <c r="B3334" s="4" t="str">
        <f>HYPERLINK("https://twitter.com/petrogustavo","@petrogustavo")</f>
        <v>@petrogustavo</v>
      </c>
      <c r="C3334" s="5" t="s">
        <v>16</v>
      </c>
      <c r="D3334" s="5" t="s">
        <v>3270</v>
      </c>
      <c r="E3334" s="6" t="str">
        <f>HYPERLINK("https://twitter.com/petrogustavo/status/1238536605209681920","1238536605209681920")</f>
        <v>1238536605209681920</v>
      </c>
      <c r="F3334" s="7" t="s">
        <v>17</v>
      </c>
      <c r="G3334" s="7">
        <v>3664238</v>
      </c>
      <c r="H3334" s="7">
        <v>2356</v>
      </c>
      <c r="I3334" s="7">
        <v>27</v>
      </c>
      <c r="J3334" s="7">
        <v>0</v>
      </c>
      <c r="K3334" s="7" t="s">
        <v>18</v>
      </c>
      <c r="L3334" s="8">
        <v>39987.315405092595</v>
      </c>
      <c r="M3334" s="9" t="s">
        <v>19</v>
      </c>
      <c r="N3334" s="9" t="s">
        <v>20</v>
      </c>
      <c r="O3334" s="6" t="str">
        <f>HYPERLINK("https://pbs.twimg.com/profile_images/962471262747529216/Uo8lOkRJ_normal.jpg","View")</f>
        <v>View</v>
      </c>
      <c r="P3334" s="7"/>
    </row>
    <row r="3335" spans="1:16">
      <c r="A3335" s="3">
        <v>43904.031377314815</v>
      </c>
      <c r="B3335" s="4" t="str">
        <f>HYPERLINK("https://twitter.com/petrogustavo","@petrogustavo")</f>
        <v>@petrogustavo</v>
      </c>
      <c r="C3335" s="5" t="s">
        <v>16</v>
      </c>
      <c r="D3335" s="5" t="s">
        <v>3271</v>
      </c>
      <c r="E3335" s="6" t="str">
        <f>HYPERLINK("https://twitter.com/petrogustavo/status/1238544152645771265","1238544152645771265")</f>
        <v>1238544152645771265</v>
      </c>
      <c r="F3335" s="7" t="s">
        <v>17</v>
      </c>
      <c r="G3335" s="7">
        <v>3664265</v>
      </c>
      <c r="H3335" s="7">
        <v>2356</v>
      </c>
      <c r="I3335" s="7">
        <v>38</v>
      </c>
      <c r="J3335" s="7">
        <v>0</v>
      </c>
      <c r="K3335" s="7" t="s">
        <v>18</v>
      </c>
      <c r="L3335" s="8">
        <v>39987.315405092595</v>
      </c>
      <c r="M3335" s="9" t="s">
        <v>19</v>
      </c>
      <c r="N3335" s="9" t="s">
        <v>20</v>
      </c>
      <c r="O3335" s="6" t="str">
        <f>HYPERLINK("https://pbs.twimg.com/profile_images/962471262747529216/Uo8lOkRJ_normal.jpg","View")</f>
        <v>View</v>
      </c>
      <c r="P3335" s="7"/>
    </row>
    <row r="3336" spans="1:16">
      <c r="A3336" s="3">
        <v>43904.031481481477</v>
      </c>
      <c r="B3336" s="4" t="str">
        <f>HYPERLINK("https://twitter.com/petrogustavo","@petrogustavo")</f>
        <v>@petrogustavo</v>
      </c>
      <c r="C3336" s="5" t="s">
        <v>16</v>
      </c>
      <c r="D3336" s="5" t="s">
        <v>3272</v>
      </c>
      <c r="E3336" s="6" t="str">
        <f>HYPERLINK("https://twitter.com/petrogustavo/status/1238544189786411011","1238544189786411011")</f>
        <v>1238544189786411011</v>
      </c>
      <c r="F3336" s="7" t="s">
        <v>17</v>
      </c>
      <c r="G3336" s="7">
        <v>3664265</v>
      </c>
      <c r="H3336" s="7">
        <v>2356</v>
      </c>
      <c r="I3336" s="7">
        <v>38</v>
      </c>
      <c r="J3336" s="7">
        <v>0</v>
      </c>
      <c r="K3336" s="7" t="s">
        <v>18</v>
      </c>
      <c r="L3336" s="8">
        <v>39987.315405092595</v>
      </c>
      <c r="M3336" s="9" t="s">
        <v>19</v>
      </c>
      <c r="N3336" s="9" t="s">
        <v>20</v>
      </c>
      <c r="O3336" s="6" t="str">
        <f>HYPERLINK("https://pbs.twimg.com/profile_images/962471262747529216/Uo8lOkRJ_normal.jpg","View")</f>
        <v>View</v>
      </c>
      <c r="P3336" s="7"/>
    </row>
    <row r="3337" spans="1:16">
      <c r="A3337" s="3">
        <v>43904.032071759255</v>
      </c>
      <c r="B3337" s="4" t="str">
        <f>HYPERLINK("https://twitter.com/petrogustavo","@petrogustavo")</f>
        <v>@petrogustavo</v>
      </c>
      <c r="C3337" s="5" t="s">
        <v>16</v>
      </c>
      <c r="D3337" s="5" t="s">
        <v>3273</v>
      </c>
      <c r="E3337" s="6" t="str">
        <f>HYPERLINK("https://twitter.com/petrogustavo/status/1238544401628123141","1238544401628123141")</f>
        <v>1238544401628123141</v>
      </c>
      <c r="F3337" s="7" t="s">
        <v>17</v>
      </c>
      <c r="G3337" s="7">
        <v>3664265</v>
      </c>
      <c r="H3337" s="7">
        <v>2356</v>
      </c>
      <c r="I3337" s="7">
        <v>7</v>
      </c>
      <c r="J3337" s="7">
        <v>0</v>
      </c>
      <c r="K3337" s="7" t="s">
        <v>18</v>
      </c>
      <c r="L3337" s="8">
        <v>39987.315405092595</v>
      </c>
      <c r="M3337" s="9" t="s">
        <v>19</v>
      </c>
      <c r="N3337" s="9" t="s">
        <v>20</v>
      </c>
      <c r="O3337" s="6" t="str">
        <f>HYPERLINK("https://pbs.twimg.com/profile_images/962471262747529216/Uo8lOkRJ_normal.jpg","View")</f>
        <v>View</v>
      </c>
      <c r="P3337" s="7"/>
    </row>
    <row r="3338" spans="1:16">
      <c r="A3338" s="3">
        <v>43904.034305555557</v>
      </c>
      <c r="B3338" s="4" t="str">
        <f>HYPERLINK("https://twitter.com/petrogustavo","@petrogustavo")</f>
        <v>@petrogustavo</v>
      </c>
      <c r="C3338" s="5" t="s">
        <v>16</v>
      </c>
      <c r="D3338" s="5" t="s">
        <v>3274</v>
      </c>
      <c r="E3338" s="6" t="str">
        <f>HYPERLINK("https://twitter.com/petrogustavo/status/1238545211732738052","1238545211732738052")</f>
        <v>1238545211732738052</v>
      </c>
      <c r="F3338" s="7" t="s">
        <v>17</v>
      </c>
      <c r="G3338" s="7">
        <v>3664291</v>
      </c>
      <c r="H3338" s="7">
        <v>2356</v>
      </c>
      <c r="I3338" s="7">
        <v>63</v>
      </c>
      <c r="J3338" s="7">
        <v>150</v>
      </c>
      <c r="K3338" s="7" t="s">
        <v>18</v>
      </c>
      <c r="L3338" s="8">
        <v>39987.315405092595</v>
      </c>
      <c r="M3338" s="9" t="s">
        <v>19</v>
      </c>
      <c r="N3338" s="9" t="s">
        <v>20</v>
      </c>
      <c r="O3338" s="6" t="str">
        <f>HYPERLINK("https://pbs.twimg.com/profile_images/962471262747529216/Uo8lOkRJ_normal.jpg","View")</f>
        <v>View</v>
      </c>
      <c r="P3338" s="7"/>
    </row>
    <row r="3339" spans="1:16">
      <c r="A3339" s="3">
        <v>43904.034756944442</v>
      </c>
      <c r="B3339" s="4" t="str">
        <f>HYPERLINK("https://twitter.com/petrogustavo","@petrogustavo")</f>
        <v>@petrogustavo</v>
      </c>
      <c r="C3339" s="5" t="s">
        <v>16</v>
      </c>
      <c r="D3339" s="5" t="s">
        <v>3275</v>
      </c>
      <c r="E3339" s="6" t="str">
        <f>HYPERLINK("https://twitter.com/petrogustavo/status/1238545375415459841","1238545375415459841")</f>
        <v>1238545375415459841</v>
      </c>
      <c r="F3339" s="7" t="s">
        <v>17</v>
      </c>
      <c r="G3339" s="7">
        <v>3664291</v>
      </c>
      <c r="H3339" s="7">
        <v>2356</v>
      </c>
      <c r="I3339" s="7">
        <v>19</v>
      </c>
      <c r="J3339" s="7">
        <v>0</v>
      </c>
      <c r="K3339" s="7" t="s">
        <v>18</v>
      </c>
      <c r="L3339" s="8">
        <v>39987.315405092595</v>
      </c>
      <c r="M3339" s="9" t="s">
        <v>19</v>
      </c>
      <c r="N3339" s="9" t="s">
        <v>20</v>
      </c>
      <c r="O3339" s="6" t="str">
        <f>HYPERLINK("https://pbs.twimg.com/profile_images/962471262747529216/Uo8lOkRJ_normal.jpg","View")</f>
        <v>View</v>
      </c>
      <c r="P3339" s="7"/>
    </row>
    <row r="3340" spans="1:16">
      <c r="A3340" s="3">
        <v>43904.037511574075</v>
      </c>
      <c r="B3340" s="4" t="str">
        <f>HYPERLINK("https://twitter.com/petrogustavo","@petrogustavo")</f>
        <v>@petrogustavo</v>
      </c>
      <c r="C3340" s="5" t="s">
        <v>16</v>
      </c>
      <c r="D3340" s="5" t="s">
        <v>3276</v>
      </c>
      <c r="E3340" s="6" t="str">
        <f>HYPERLINK("https://twitter.com/petrogustavo/status/1238546373332602881","1238546373332602881")</f>
        <v>1238546373332602881</v>
      </c>
      <c r="F3340" s="7" t="s">
        <v>17</v>
      </c>
      <c r="G3340" s="7">
        <v>3664291</v>
      </c>
      <c r="H3340" s="7">
        <v>2356</v>
      </c>
      <c r="I3340" s="7">
        <v>86</v>
      </c>
      <c r="J3340" s="7">
        <v>0</v>
      </c>
      <c r="K3340" s="7" t="s">
        <v>18</v>
      </c>
      <c r="L3340" s="8">
        <v>39987.315405092595</v>
      </c>
      <c r="M3340" s="9" t="s">
        <v>19</v>
      </c>
      <c r="N3340" s="9" t="s">
        <v>20</v>
      </c>
      <c r="O3340" s="6" t="str">
        <f>HYPERLINK("https://pbs.twimg.com/profile_images/962471262747529216/Uo8lOkRJ_normal.jpg","View")</f>
        <v>View</v>
      </c>
      <c r="P3340" s="7"/>
    </row>
    <row r="3341" spans="1:16">
      <c r="A3341" s="3">
        <v>43904.041446759264</v>
      </c>
      <c r="B3341" s="4" t="str">
        <f>HYPERLINK("https://twitter.com/petrogustavo","@petrogustavo")</f>
        <v>@petrogustavo</v>
      </c>
      <c r="C3341" s="5" t="s">
        <v>16</v>
      </c>
      <c r="D3341" s="5" t="s">
        <v>3277</v>
      </c>
      <c r="E3341" s="6" t="str">
        <f>HYPERLINK("https://twitter.com/petrogustavo/status/1238547800771756035","1238547800771756035")</f>
        <v>1238547800771756035</v>
      </c>
      <c r="F3341" s="7" t="s">
        <v>17</v>
      </c>
      <c r="G3341" s="7">
        <v>3664291</v>
      </c>
      <c r="H3341" s="7">
        <v>2356</v>
      </c>
      <c r="I3341" s="7">
        <v>62</v>
      </c>
      <c r="J3341" s="7">
        <v>143</v>
      </c>
      <c r="K3341" s="7" t="s">
        <v>18</v>
      </c>
      <c r="L3341" s="8">
        <v>39987.315405092595</v>
      </c>
      <c r="M3341" s="9" t="s">
        <v>19</v>
      </c>
      <c r="N3341" s="9" t="s">
        <v>20</v>
      </c>
      <c r="O3341" s="6" t="str">
        <f>HYPERLINK("https://pbs.twimg.com/profile_images/962471262747529216/Uo8lOkRJ_normal.jpg","View")</f>
        <v>View</v>
      </c>
      <c r="P3341" s="7"/>
    </row>
    <row r="3342" spans="1:16">
      <c r="A3342" s="3">
        <v>43904.043043981481</v>
      </c>
      <c r="B3342" s="4" t="str">
        <f>HYPERLINK("https://twitter.com/petrogustavo","@petrogustavo")</f>
        <v>@petrogustavo</v>
      </c>
      <c r="C3342" s="5" t="s">
        <v>16</v>
      </c>
      <c r="D3342" s="5" t="s">
        <v>3278</v>
      </c>
      <c r="E3342" s="6" t="str">
        <f>HYPERLINK("https://twitter.com/petrogustavo/status/1238548377811464192","1238548377811464192")</f>
        <v>1238548377811464192</v>
      </c>
      <c r="F3342" s="7" t="s">
        <v>17</v>
      </c>
      <c r="G3342" s="7">
        <v>3664291</v>
      </c>
      <c r="H3342" s="7">
        <v>2356</v>
      </c>
      <c r="I3342" s="7">
        <v>286</v>
      </c>
      <c r="J3342" s="7">
        <v>0</v>
      </c>
      <c r="K3342" s="7" t="s">
        <v>18</v>
      </c>
      <c r="L3342" s="8">
        <v>39987.315405092595</v>
      </c>
      <c r="M3342" s="9" t="s">
        <v>19</v>
      </c>
      <c r="N3342" s="9" t="s">
        <v>20</v>
      </c>
      <c r="O3342" s="6" t="str">
        <f>HYPERLINK("https://pbs.twimg.com/profile_images/962471262747529216/Uo8lOkRJ_normal.jpg","View")</f>
        <v>View</v>
      </c>
      <c r="P3342" s="7"/>
    </row>
    <row r="3343" spans="1:16">
      <c r="A3343" s="3">
        <v>43904.044016203705</v>
      </c>
      <c r="B3343" s="4" t="str">
        <f>HYPERLINK("https://twitter.com/petrogustavo","@petrogustavo")</f>
        <v>@petrogustavo</v>
      </c>
      <c r="C3343" s="5" t="s">
        <v>16</v>
      </c>
      <c r="D3343" s="5" t="s">
        <v>3279</v>
      </c>
      <c r="E3343" s="6" t="str">
        <f>HYPERLINK("https://twitter.com/petrogustavo/status/1238548733459136516","1238548733459136516")</f>
        <v>1238548733459136516</v>
      </c>
      <c r="F3343" s="7" t="s">
        <v>17</v>
      </c>
      <c r="G3343" s="7">
        <v>3664291</v>
      </c>
      <c r="H3343" s="7">
        <v>2356</v>
      </c>
      <c r="I3343" s="7">
        <v>30</v>
      </c>
      <c r="J3343" s="7">
        <v>0</v>
      </c>
      <c r="K3343" s="7" t="s">
        <v>18</v>
      </c>
      <c r="L3343" s="8">
        <v>39987.315405092595</v>
      </c>
      <c r="M3343" s="9" t="s">
        <v>19</v>
      </c>
      <c r="N3343" s="9" t="s">
        <v>20</v>
      </c>
      <c r="O3343" s="6" t="str">
        <f>HYPERLINK("https://pbs.twimg.com/profile_images/962471262747529216/Uo8lOkRJ_normal.jpg","View")</f>
        <v>View</v>
      </c>
      <c r="P3343" s="7"/>
    </row>
    <row r="3344" spans="1:16">
      <c r="A3344" s="3">
        <v>43904.045439814814</v>
      </c>
      <c r="B3344" s="4" t="str">
        <f>HYPERLINK("https://twitter.com/petrogustavo","@petrogustavo")</f>
        <v>@petrogustavo</v>
      </c>
      <c r="C3344" s="5" t="s">
        <v>16</v>
      </c>
      <c r="D3344" s="5" t="s">
        <v>3280</v>
      </c>
      <c r="E3344" s="6" t="str">
        <f>HYPERLINK("https://twitter.com/petrogustavo/status/1238549249442406403","1238549249442406403")</f>
        <v>1238549249442406403</v>
      </c>
      <c r="F3344" s="7" t="s">
        <v>17</v>
      </c>
      <c r="G3344" s="7">
        <v>3664291</v>
      </c>
      <c r="H3344" s="7">
        <v>2356</v>
      </c>
      <c r="I3344" s="7">
        <v>104</v>
      </c>
      <c r="J3344" s="7">
        <v>306</v>
      </c>
      <c r="K3344" s="7" t="s">
        <v>18</v>
      </c>
      <c r="L3344" s="8">
        <v>39987.315405092595</v>
      </c>
      <c r="M3344" s="9" t="s">
        <v>19</v>
      </c>
      <c r="N3344" s="9" t="s">
        <v>20</v>
      </c>
      <c r="O3344" s="6" t="str">
        <f>HYPERLINK("https://pbs.twimg.com/profile_images/962471262747529216/Uo8lOkRJ_normal.jpg","View")</f>
        <v>View</v>
      </c>
      <c r="P3344" s="7"/>
    </row>
    <row r="3345" spans="1:16">
      <c r="A3345" s="3">
        <v>43904.050717592589</v>
      </c>
      <c r="B3345" s="4" t="str">
        <f>HYPERLINK("https://twitter.com/petrogustavo","@petrogustavo")</f>
        <v>@petrogustavo</v>
      </c>
      <c r="C3345" s="5" t="s">
        <v>16</v>
      </c>
      <c r="D3345" s="5" t="s">
        <v>3281</v>
      </c>
      <c r="E3345" s="6" t="str">
        <f>HYPERLINK("https://twitter.com/petrogustavo/status/1238551159385870336","1238551159385870336")</f>
        <v>1238551159385870336</v>
      </c>
      <c r="F3345" s="7" t="s">
        <v>17</v>
      </c>
      <c r="G3345" s="7">
        <v>3664291</v>
      </c>
      <c r="H3345" s="7">
        <v>2356</v>
      </c>
      <c r="I3345" s="7">
        <v>27</v>
      </c>
      <c r="J3345" s="7">
        <v>34</v>
      </c>
      <c r="K3345" s="7" t="s">
        <v>18</v>
      </c>
      <c r="L3345" s="8">
        <v>39987.315405092595</v>
      </c>
      <c r="M3345" s="9" t="s">
        <v>19</v>
      </c>
      <c r="N3345" s="9" t="s">
        <v>20</v>
      </c>
      <c r="O3345" s="6" t="str">
        <f>HYPERLINK("https://pbs.twimg.com/profile_images/962471262747529216/Uo8lOkRJ_normal.jpg","View")</f>
        <v>View</v>
      </c>
      <c r="P3345" s="7"/>
    </row>
    <row r="3346" spans="1:16">
      <c r="A3346" s="3">
        <v>43904.052870370375</v>
      </c>
      <c r="B3346" s="4" t="str">
        <f>HYPERLINK("https://twitter.com/petrogustavo","@petrogustavo")</f>
        <v>@petrogustavo</v>
      </c>
      <c r="C3346" s="5" t="s">
        <v>16</v>
      </c>
      <c r="D3346" s="5" t="s">
        <v>3282</v>
      </c>
      <c r="E3346" s="6" t="str">
        <f>HYPERLINK("https://twitter.com/petrogustavo/status/1238551942110031873","1238551942110031873")</f>
        <v>1238551942110031873</v>
      </c>
      <c r="F3346" s="7" t="s">
        <v>17</v>
      </c>
      <c r="G3346" s="7">
        <v>3664291</v>
      </c>
      <c r="H3346" s="7">
        <v>2356</v>
      </c>
      <c r="I3346" s="7">
        <v>11</v>
      </c>
      <c r="J3346" s="7">
        <v>20</v>
      </c>
      <c r="K3346" s="7" t="s">
        <v>18</v>
      </c>
      <c r="L3346" s="8">
        <v>39987.315405092595</v>
      </c>
      <c r="M3346" s="9" t="s">
        <v>19</v>
      </c>
      <c r="N3346" s="9" t="s">
        <v>20</v>
      </c>
      <c r="O3346" s="6" t="str">
        <f>HYPERLINK("https://pbs.twimg.com/profile_images/962471262747529216/Uo8lOkRJ_normal.jpg","View")</f>
        <v>View</v>
      </c>
      <c r="P3346" s="7"/>
    </row>
    <row r="3347" spans="1:16">
      <c r="A3347" s="3">
        <v>43904.053043981483</v>
      </c>
      <c r="B3347" s="4" t="str">
        <f>HYPERLINK("https://twitter.com/petrogustavo","@petrogustavo")</f>
        <v>@petrogustavo</v>
      </c>
      <c r="C3347" s="5" t="s">
        <v>16</v>
      </c>
      <c r="D3347" s="5" t="s">
        <v>3283</v>
      </c>
      <c r="E3347" s="6" t="str">
        <f>HYPERLINK("https://twitter.com/petrogustavo/status/1238552004571598848","1238552004571598848")</f>
        <v>1238552004571598848</v>
      </c>
      <c r="F3347" s="7" t="s">
        <v>17</v>
      </c>
      <c r="G3347" s="7">
        <v>3664291</v>
      </c>
      <c r="H3347" s="7">
        <v>2356</v>
      </c>
      <c r="I3347" s="7">
        <v>970</v>
      </c>
      <c r="J3347" s="7">
        <v>0</v>
      </c>
      <c r="K3347" s="7" t="s">
        <v>18</v>
      </c>
      <c r="L3347" s="8">
        <v>39987.315405092595</v>
      </c>
      <c r="M3347" s="9" t="s">
        <v>19</v>
      </c>
      <c r="N3347" s="9" t="s">
        <v>20</v>
      </c>
      <c r="O3347" s="6" t="str">
        <f>HYPERLINK("https://pbs.twimg.com/profile_images/962471262747529216/Uo8lOkRJ_normal.jpg","View")</f>
        <v>View</v>
      </c>
      <c r="P3347" s="7"/>
    </row>
    <row r="3348" spans="1:16">
      <c r="A3348" s="3">
        <v>43904.059421296297</v>
      </c>
      <c r="B3348" s="4" t="str">
        <f>HYPERLINK("https://twitter.com/petrogustavo","@petrogustavo")</f>
        <v>@petrogustavo</v>
      </c>
      <c r="C3348" s="5" t="s">
        <v>16</v>
      </c>
      <c r="D3348" s="5" t="s">
        <v>3284</v>
      </c>
      <c r="E3348" s="6" t="str">
        <f>HYPERLINK("https://twitter.com/petrogustavo/status/1238554314211307520","1238554314211307520")</f>
        <v>1238554314211307520</v>
      </c>
      <c r="F3348" s="7" t="s">
        <v>17</v>
      </c>
      <c r="G3348" s="7">
        <v>3664310</v>
      </c>
      <c r="H3348" s="7">
        <v>2356</v>
      </c>
      <c r="I3348" s="7">
        <v>194</v>
      </c>
      <c r="J3348" s="7">
        <v>0</v>
      </c>
      <c r="K3348" s="7" t="s">
        <v>18</v>
      </c>
      <c r="L3348" s="8">
        <v>39987.315405092595</v>
      </c>
      <c r="M3348" s="9" t="s">
        <v>19</v>
      </c>
      <c r="N3348" s="9" t="s">
        <v>20</v>
      </c>
      <c r="O3348" s="6" t="str">
        <f>HYPERLINK("https://pbs.twimg.com/profile_images/962471262747529216/Uo8lOkRJ_normal.jpg","View")</f>
        <v>View</v>
      </c>
      <c r="P3348" s="7"/>
    </row>
    <row r="3349" spans="1:16">
      <c r="A3349" s="3">
        <v>43904.060034722221</v>
      </c>
      <c r="B3349" s="4" t="str">
        <f>HYPERLINK("https://twitter.com/petrogustavo","@petrogustavo")</f>
        <v>@petrogustavo</v>
      </c>
      <c r="C3349" s="5" t="s">
        <v>16</v>
      </c>
      <c r="D3349" s="5" t="s">
        <v>3285</v>
      </c>
      <c r="E3349" s="6" t="str">
        <f>HYPERLINK("https://twitter.com/petrogustavo/status/1238554536006111234","1238554536006111234")</f>
        <v>1238554536006111234</v>
      </c>
      <c r="F3349" s="7" t="s">
        <v>17</v>
      </c>
      <c r="G3349" s="7">
        <v>3664310</v>
      </c>
      <c r="H3349" s="7">
        <v>2356</v>
      </c>
      <c r="I3349" s="7">
        <v>57</v>
      </c>
      <c r="J3349" s="7">
        <v>113</v>
      </c>
      <c r="K3349" s="7" t="s">
        <v>18</v>
      </c>
      <c r="L3349" s="8">
        <v>39987.315405092595</v>
      </c>
      <c r="M3349" s="9" t="s">
        <v>19</v>
      </c>
      <c r="N3349" s="9" t="s">
        <v>20</v>
      </c>
      <c r="O3349" s="6" t="str">
        <f>HYPERLINK("https://pbs.twimg.com/profile_images/962471262747529216/Uo8lOkRJ_normal.jpg","View")</f>
        <v>View</v>
      </c>
      <c r="P3349" s="7"/>
    </row>
    <row r="3350" spans="1:16">
      <c r="A3350" s="3">
        <v>43904.060613425929</v>
      </c>
      <c r="B3350" s="4" t="str">
        <f>HYPERLINK("https://twitter.com/petrogustavo","@petrogustavo")</f>
        <v>@petrogustavo</v>
      </c>
      <c r="C3350" s="5" t="s">
        <v>16</v>
      </c>
      <c r="D3350" s="5" t="s">
        <v>3286</v>
      </c>
      <c r="E3350" s="6" t="str">
        <f>HYPERLINK("https://twitter.com/petrogustavo/status/1238554747369652225","1238554747369652225")</f>
        <v>1238554747369652225</v>
      </c>
      <c r="F3350" s="7" t="s">
        <v>17</v>
      </c>
      <c r="G3350" s="7">
        <v>3664310</v>
      </c>
      <c r="H3350" s="7">
        <v>2356</v>
      </c>
      <c r="I3350" s="7">
        <v>89</v>
      </c>
      <c r="J3350" s="7">
        <v>0</v>
      </c>
      <c r="K3350" s="7" t="s">
        <v>18</v>
      </c>
      <c r="L3350" s="8">
        <v>39987.315405092595</v>
      </c>
      <c r="M3350" s="9" t="s">
        <v>19</v>
      </c>
      <c r="N3350" s="9" t="s">
        <v>20</v>
      </c>
      <c r="O3350" s="6" t="str">
        <f>HYPERLINK("https://pbs.twimg.com/profile_images/962471262747529216/Uo8lOkRJ_normal.jpg","View")</f>
        <v>View</v>
      </c>
      <c r="P3350" s="7"/>
    </row>
    <row r="3351" spans="1:16">
      <c r="A3351" s="3">
        <v>43904.061585648145</v>
      </c>
      <c r="B3351" s="4" t="str">
        <f>HYPERLINK("https://twitter.com/petrogustavo","@petrogustavo")</f>
        <v>@petrogustavo</v>
      </c>
      <c r="C3351" s="5" t="s">
        <v>16</v>
      </c>
      <c r="D3351" s="5" t="s">
        <v>3287</v>
      </c>
      <c r="E3351" s="6" t="str">
        <f>HYPERLINK("https://twitter.com/petrogustavo/status/1238555098592292867","1238555098592292867")</f>
        <v>1238555098592292867</v>
      </c>
      <c r="F3351" s="7" t="s">
        <v>17</v>
      </c>
      <c r="G3351" s="7">
        <v>3664310</v>
      </c>
      <c r="H3351" s="7">
        <v>2356</v>
      </c>
      <c r="I3351" s="7">
        <v>32</v>
      </c>
      <c r="J3351" s="7">
        <v>0</v>
      </c>
      <c r="K3351" s="7" t="s">
        <v>18</v>
      </c>
      <c r="L3351" s="8">
        <v>39987.315405092595</v>
      </c>
      <c r="M3351" s="9" t="s">
        <v>19</v>
      </c>
      <c r="N3351" s="9" t="s">
        <v>20</v>
      </c>
      <c r="O3351" s="6" t="str">
        <f>HYPERLINK("https://pbs.twimg.com/profile_images/962471262747529216/Uo8lOkRJ_normal.jpg","View")</f>
        <v>View</v>
      </c>
      <c r="P3351" s="7"/>
    </row>
    <row r="3352" spans="1:16">
      <c r="A3352" s="3">
        <v>43904.064166666663</v>
      </c>
      <c r="B3352" s="4" t="str">
        <f>HYPERLINK("https://twitter.com/petrogustavo","@petrogustavo")</f>
        <v>@petrogustavo</v>
      </c>
      <c r="C3352" s="5" t="s">
        <v>16</v>
      </c>
      <c r="D3352" s="5" t="s">
        <v>3288</v>
      </c>
      <c r="E3352" s="6" t="str">
        <f>HYPERLINK("https://twitter.com/petrogustavo/status/1238556036400898050","1238556036400898050")</f>
        <v>1238556036400898050</v>
      </c>
      <c r="F3352" s="7" t="s">
        <v>17</v>
      </c>
      <c r="G3352" s="7">
        <v>3664310</v>
      </c>
      <c r="H3352" s="7">
        <v>2356</v>
      </c>
      <c r="I3352" s="7">
        <v>67</v>
      </c>
      <c r="J3352" s="7">
        <v>126</v>
      </c>
      <c r="K3352" s="7" t="s">
        <v>18</v>
      </c>
      <c r="L3352" s="8">
        <v>39987.315405092595</v>
      </c>
      <c r="M3352" s="9" t="s">
        <v>19</v>
      </c>
      <c r="N3352" s="9" t="s">
        <v>20</v>
      </c>
      <c r="O3352" s="6" t="str">
        <f>HYPERLINK("https://pbs.twimg.com/profile_images/962471262747529216/Uo8lOkRJ_normal.jpg","View")</f>
        <v>View</v>
      </c>
      <c r="P3352" s="7"/>
    </row>
    <row r="3353" spans="1:16">
      <c r="A3353" s="3">
        <v>43904.069895833338</v>
      </c>
      <c r="B3353" s="4" t="str">
        <f>HYPERLINK("https://twitter.com/petrogustavo","@petrogustavo")</f>
        <v>@petrogustavo</v>
      </c>
      <c r="C3353" s="5" t="s">
        <v>16</v>
      </c>
      <c r="D3353" s="5" t="s">
        <v>3289</v>
      </c>
      <c r="E3353" s="6" t="str">
        <f>HYPERLINK("https://twitter.com/petrogustavo/status/1238558108483555330","1238558108483555330")</f>
        <v>1238558108483555330</v>
      </c>
      <c r="F3353" s="7" t="s">
        <v>17</v>
      </c>
      <c r="G3353" s="7">
        <v>3664310</v>
      </c>
      <c r="H3353" s="7">
        <v>2356</v>
      </c>
      <c r="I3353" s="7">
        <v>45</v>
      </c>
      <c r="J3353" s="7">
        <v>81</v>
      </c>
      <c r="K3353" s="7" t="s">
        <v>18</v>
      </c>
      <c r="L3353" s="8">
        <v>39987.315405092595</v>
      </c>
      <c r="M3353" s="9" t="s">
        <v>19</v>
      </c>
      <c r="N3353" s="9" t="s">
        <v>20</v>
      </c>
      <c r="O3353" s="6" t="str">
        <f>HYPERLINK("https://pbs.twimg.com/profile_images/962471262747529216/Uo8lOkRJ_normal.jpg","View")</f>
        <v>View</v>
      </c>
      <c r="P3353" s="7"/>
    </row>
    <row r="3354" spans="1:16">
      <c r="A3354" s="3">
        <v>43904.072013888886</v>
      </c>
      <c r="B3354" s="4" t="str">
        <f>HYPERLINK("https://twitter.com/petrogustavo","@petrogustavo")</f>
        <v>@petrogustavo</v>
      </c>
      <c r="C3354" s="5" t="s">
        <v>16</v>
      </c>
      <c r="D3354" s="5" t="s">
        <v>3283</v>
      </c>
      <c r="E3354" s="6" t="str">
        <f>HYPERLINK("https://twitter.com/petrogustavo/status/1238558878847193089","1238558878847193089")</f>
        <v>1238558878847193089</v>
      </c>
      <c r="F3354" s="7" t="s">
        <v>17</v>
      </c>
      <c r="G3354" s="7">
        <v>3664310</v>
      </c>
      <c r="H3354" s="7">
        <v>2356</v>
      </c>
      <c r="I3354" s="7">
        <v>1139</v>
      </c>
      <c r="J3354" s="7">
        <v>0</v>
      </c>
      <c r="K3354" s="7" t="s">
        <v>18</v>
      </c>
      <c r="L3354" s="8">
        <v>39987.315405092595</v>
      </c>
      <c r="M3354" s="9" t="s">
        <v>19</v>
      </c>
      <c r="N3354" s="9" t="s">
        <v>20</v>
      </c>
      <c r="O3354" s="6" t="str">
        <f>HYPERLINK("https://pbs.twimg.com/profile_images/962471262747529216/Uo8lOkRJ_normal.jpg","View")</f>
        <v>View</v>
      </c>
      <c r="P3354" s="7"/>
    </row>
    <row r="3355" spans="1:16">
      <c r="A3355" s="3">
        <v>43904.112986111111</v>
      </c>
      <c r="B3355" s="4" t="str">
        <f>HYPERLINK("https://twitter.com/petrogustavo","@petrogustavo")</f>
        <v>@petrogustavo</v>
      </c>
      <c r="C3355" s="5" t="s">
        <v>16</v>
      </c>
      <c r="D3355" s="5" t="s">
        <v>3290</v>
      </c>
      <c r="E3355" s="6" t="str">
        <f>HYPERLINK("https://twitter.com/petrogustavo/status/1238573724741369857","1238573724741369857")</f>
        <v>1238573724741369857</v>
      </c>
      <c r="F3355" s="7" t="s">
        <v>17</v>
      </c>
      <c r="G3355" s="7">
        <v>3664350</v>
      </c>
      <c r="H3355" s="7">
        <v>2356</v>
      </c>
      <c r="I3355" s="7">
        <v>100</v>
      </c>
      <c r="J3355" s="7">
        <v>193</v>
      </c>
      <c r="K3355" s="7" t="s">
        <v>18</v>
      </c>
      <c r="L3355" s="8">
        <v>39987.315405092595</v>
      </c>
      <c r="M3355" s="9" t="s">
        <v>19</v>
      </c>
      <c r="N3355" s="9" t="s">
        <v>20</v>
      </c>
      <c r="O3355" s="6" t="str">
        <f>HYPERLINK("https://pbs.twimg.com/profile_images/962471262747529216/Uo8lOkRJ_normal.jpg","View")</f>
        <v>View</v>
      </c>
      <c r="P3355" s="7"/>
    </row>
    <row r="3356" spans="1:16">
      <c r="A3356" s="3">
        <v>43904.12363425926</v>
      </c>
      <c r="B3356" s="4" t="str">
        <f>HYPERLINK("https://twitter.com/petrogustavo","@petrogustavo")</f>
        <v>@petrogustavo</v>
      </c>
      <c r="C3356" s="5" t="s">
        <v>16</v>
      </c>
      <c r="D3356" s="5" t="s">
        <v>3291</v>
      </c>
      <c r="E3356" s="6" t="str">
        <f>HYPERLINK("https://twitter.com/petrogustavo/status/1238577585744994305","1238577585744994305")</f>
        <v>1238577585744994305</v>
      </c>
      <c r="F3356" s="7" t="s">
        <v>17</v>
      </c>
      <c r="G3356" s="7">
        <v>3664384</v>
      </c>
      <c r="H3356" s="7">
        <v>2356</v>
      </c>
      <c r="I3356" s="7">
        <v>134</v>
      </c>
      <c r="J3356" s="7">
        <v>285</v>
      </c>
      <c r="K3356" s="7" t="s">
        <v>18</v>
      </c>
      <c r="L3356" s="8">
        <v>39987.315405092595</v>
      </c>
      <c r="M3356" s="9" t="s">
        <v>19</v>
      </c>
      <c r="N3356" s="9" t="s">
        <v>20</v>
      </c>
      <c r="O3356" s="6" t="str">
        <f>HYPERLINK("https://pbs.twimg.com/profile_images/962471262747529216/Uo8lOkRJ_normal.jpg","View")</f>
        <v>View</v>
      </c>
      <c r="P3356" s="7"/>
    </row>
    <row r="3357" spans="1:16">
      <c r="A3357" s="3">
        <v>43904.18167824074</v>
      </c>
      <c r="B3357" s="4" t="str">
        <f>HYPERLINK("https://twitter.com/petrogustavo","@petrogustavo")</f>
        <v>@petrogustavo</v>
      </c>
      <c r="C3357" s="5" t="s">
        <v>16</v>
      </c>
      <c r="D3357" s="5" t="s">
        <v>3292</v>
      </c>
      <c r="E3357" s="6" t="str">
        <f>HYPERLINK("https://twitter.com/petrogustavo/status/1238598619281928192","1238598619281928192")</f>
        <v>1238598619281928192</v>
      </c>
      <c r="F3357" s="7" t="s">
        <v>17</v>
      </c>
      <c r="G3357" s="7">
        <v>3664453</v>
      </c>
      <c r="H3357" s="7">
        <v>2356</v>
      </c>
      <c r="I3357" s="7">
        <v>106</v>
      </c>
      <c r="J3357" s="7">
        <v>307</v>
      </c>
      <c r="K3357" s="7" t="s">
        <v>18</v>
      </c>
      <c r="L3357" s="8">
        <v>39987.315405092595</v>
      </c>
      <c r="M3357" s="9" t="s">
        <v>19</v>
      </c>
      <c r="N3357" s="9" t="s">
        <v>20</v>
      </c>
      <c r="O3357" s="6" t="str">
        <f>HYPERLINK("https://pbs.twimg.com/profile_images/962471262747529216/Uo8lOkRJ_normal.jpg","View")</f>
        <v>View</v>
      </c>
      <c r="P3357" s="7"/>
    </row>
    <row r="3358" spans="1:16">
      <c r="A3358" s="3">
        <v>43904.183958333335</v>
      </c>
      <c r="B3358" s="4" t="str">
        <f>HYPERLINK("https://twitter.com/petrogustavo","@petrogustavo")</f>
        <v>@petrogustavo</v>
      </c>
      <c r="C3358" s="5" t="s">
        <v>16</v>
      </c>
      <c r="D3358" s="5" t="s">
        <v>3293</v>
      </c>
      <c r="E3358" s="6" t="str">
        <f>HYPERLINK("https://twitter.com/petrogustavo/status/1238599444834275328","1238599444834275328")</f>
        <v>1238599444834275328</v>
      </c>
      <c r="F3358" s="7" t="s">
        <v>17</v>
      </c>
      <c r="G3358" s="7">
        <v>3664453</v>
      </c>
      <c r="H3358" s="7">
        <v>2356</v>
      </c>
      <c r="I3358" s="7">
        <v>15</v>
      </c>
      <c r="J3358" s="7">
        <v>0</v>
      </c>
      <c r="K3358" s="7" t="s">
        <v>18</v>
      </c>
      <c r="L3358" s="8">
        <v>39987.315405092595</v>
      </c>
      <c r="M3358" s="9" t="s">
        <v>19</v>
      </c>
      <c r="N3358" s="9" t="s">
        <v>20</v>
      </c>
      <c r="O3358" s="6" t="str">
        <f>HYPERLINK("https://pbs.twimg.com/profile_images/962471262747529216/Uo8lOkRJ_normal.jpg","View")</f>
        <v>View</v>
      </c>
      <c r="P3358" s="7"/>
    </row>
    <row r="3359" spans="1:16">
      <c r="A3359" s="3">
        <v>43904.184178240743</v>
      </c>
      <c r="B3359" s="4" t="str">
        <f>HYPERLINK("https://twitter.com/petrogustavo","@petrogustavo")</f>
        <v>@petrogustavo</v>
      </c>
      <c r="C3359" s="5" t="s">
        <v>16</v>
      </c>
      <c r="D3359" s="5" t="s">
        <v>3294</v>
      </c>
      <c r="E3359" s="6" t="str">
        <f>HYPERLINK("https://twitter.com/petrogustavo/status/1238599525566230529","1238599525566230529")</f>
        <v>1238599525566230529</v>
      </c>
      <c r="F3359" s="7" t="s">
        <v>17</v>
      </c>
      <c r="G3359" s="7">
        <v>3664453</v>
      </c>
      <c r="H3359" s="7">
        <v>2356</v>
      </c>
      <c r="I3359" s="7">
        <v>11</v>
      </c>
      <c r="J3359" s="7">
        <v>0</v>
      </c>
      <c r="K3359" s="7" t="s">
        <v>18</v>
      </c>
      <c r="L3359" s="8">
        <v>39987.315405092595</v>
      </c>
      <c r="M3359" s="9" t="s">
        <v>19</v>
      </c>
      <c r="N3359" s="9" t="s">
        <v>20</v>
      </c>
      <c r="O3359" s="6" t="str">
        <f>HYPERLINK("https://pbs.twimg.com/profile_images/962471262747529216/Uo8lOkRJ_normal.jpg","View")</f>
        <v>View</v>
      </c>
      <c r="P3359" s="7"/>
    </row>
    <row r="3360" spans="1:16">
      <c r="A3360" s="3">
        <v>43904.185601851852</v>
      </c>
      <c r="B3360" s="4" t="str">
        <f>HYPERLINK("https://twitter.com/petrogustavo","@petrogustavo")</f>
        <v>@petrogustavo</v>
      </c>
      <c r="C3360" s="5" t="s">
        <v>16</v>
      </c>
      <c r="D3360" s="5" t="s">
        <v>3295</v>
      </c>
      <c r="E3360" s="6" t="str">
        <f>HYPERLINK("https://twitter.com/petrogustavo/status/1238600040815476738","1238600040815476738")</f>
        <v>1238600040815476738</v>
      </c>
      <c r="F3360" s="7" t="s">
        <v>17</v>
      </c>
      <c r="G3360" s="7">
        <v>3664453</v>
      </c>
      <c r="H3360" s="7">
        <v>2356</v>
      </c>
      <c r="I3360" s="7">
        <v>43</v>
      </c>
      <c r="J3360" s="7">
        <v>0</v>
      </c>
      <c r="K3360" s="7" t="s">
        <v>18</v>
      </c>
      <c r="L3360" s="8">
        <v>39987.315405092595</v>
      </c>
      <c r="M3360" s="9" t="s">
        <v>19</v>
      </c>
      <c r="N3360" s="9" t="s">
        <v>20</v>
      </c>
      <c r="O3360" s="6" t="str">
        <f>HYPERLINK("https://pbs.twimg.com/profile_images/962471262747529216/Uo8lOkRJ_normal.jpg","View")</f>
        <v>View</v>
      </c>
      <c r="P3360" s="7"/>
    </row>
    <row r="3361" spans="1:16">
      <c r="A3361" s="3">
        <v>43904.186388888891</v>
      </c>
      <c r="B3361" s="4" t="str">
        <f>HYPERLINK("https://twitter.com/petrogustavo","@petrogustavo")</f>
        <v>@petrogustavo</v>
      </c>
      <c r="C3361" s="5" t="s">
        <v>16</v>
      </c>
      <c r="D3361" s="5" t="s">
        <v>3296</v>
      </c>
      <c r="E3361" s="6" t="str">
        <f>HYPERLINK("https://twitter.com/petrogustavo/status/1238600326829178884","1238600326829178884")</f>
        <v>1238600326829178884</v>
      </c>
      <c r="F3361" s="7" t="s">
        <v>17</v>
      </c>
      <c r="G3361" s="7">
        <v>3664453</v>
      </c>
      <c r="H3361" s="7">
        <v>2356</v>
      </c>
      <c r="I3361" s="7">
        <v>109</v>
      </c>
      <c r="J3361" s="7">
        <v>0</v>
      </c>
      <c r="K3361" s="7" t="s">
        <v>18</v>
      </c>
      <c r="L3361" s="8">
        <v>39987.315405092595</v>
      </c>
      <c r="M3361" s="9" t="s">
        <v>19</v>
      </c>
      <c r="N3361" s="9" t="s">
        <v>20</v>
      </c>
      <c r="O3361" s="6" t="str">
        <f>HYPERLINK("https://pbs.twimg.com/profile_images/962471262747529216/Uo8lOkRJ_normal.jpg","View")</f>
        <v>View</v>
      </c>
      <c r="P3361" s="7"/>
    </row>
    <row r="3362" spans="1:16">
      <c r="A3362" s="3">
        <v>43904.187719907408</v>
      </c>
      <c r="B3362" s="4" t="str">
        <f>HYPERLINK("https://twitter.com/petrogustavo","@petrogustavo")</f>
        <v>@petrogustavo</v>
      </c>
      <c r="C3362" s="5" t="s">
        <v>16</v>
      </c>
      <c r="D3362" s="5" t="s">
        <v>3297</v>
      </c>
      <c r="E3362" s="6" t="str">
        <f>HYPERLINK("https://twitter.com/petrogustavo/status/1238600807085473792","1238600807085473792")</f>
        <v>1238600807085473792</v>
      </c>
      <c r="F3362" s="7" t="s">
        <v>17</v>
      </c>
      <c r="G3362" s="7">
        <v>3664453</v>
      </c>
      <c r="H3362" s="7">
        <v>2356</v>
      </c>
      <c r="I3362" s="7">
        <v>17</v>
      </c>
      <c r="J3362" s="7">
        <v>0</v>
      </c>
      <c r="K3362" s="7" t="s">
        <v>18</v>
      </c>
      <c r="L3362" s="8">
        <v>39987.315405092595</v>
      </c>
      <c r="M3362" s="9" t="s">
        <v>19</v>
      </c>
      <c r="N3362" s="9" t="s">
        <v>20</v>
      </c>
      <c r="O3362" s="6" t="str">
        <f>HYPERLINK("https://pbs.twimg.com/profile_images/962471262747529216/Uo8lOkRJ_normal.jpg","View")</f>
        <v>View</v>
      </c>
      <c r="P3362" s="7"/>
    </row>
    <row r="3363" spans="1:16">
      <c r="A3363" s="3">
        <v>43904.188680555555</v>
      </c>
      <c r="B3363" s="4" t="str">
        <f>HYPERLINK("https://twitter.com/petrogustavo","@petrogustavo")</f>
        <v>@petrogustavo</v>
      </c>
      <c r="C3363" s="5" t="s">
        <v>16</v>
      </c>
      <c r="D3363" s="5" t="s">
        <v>3298</v>
      </c>
      <c r="E3363" s="6" t="str">
        <f>HYPERLINK("https://twitter.com/petrogustavo/status/1238601155275567105","1238601155275567105")</f>
        <v>1238601155275567105</v>
      </c>
      <c r="F3363" s="7" t="s">
        <v>17</v>
      </c>
      <c r="G3363" s="7">
        <v>3664453</v>
      </c>
      <c r="H3363" s="7">
        <v>2356</v>
      </c>
      <c r="I3363" s="7">
        <v>15305</v>
      </c>
      <c r="J3363" s="7">
        <v>0</v>
      </c>
      <c r="K3363" s="7" t="s">
        <v>18</v>
      </c>
      <c r="L3363" s="8">
        <v>39987.315405092595</v>
      </c>
      <c r="M3363" s="9" t="s">
        <v>19</v>
      </c>
      <c r="N3363" s="9" t="s">
        <v>20</v>
      </c>
      <c r="O3363" s="6" t="str">
        <f>HYPERLINK("https://pbs.twimg.com/profile_images/962471262747529216/Uo8lOkRJ_normal.jpg","View")</f>
        <v>View</v>
      </c>
      <c r="P3363" s="7"/>
    </row>
    <row r="3364" spans="1:16">
      <c r="A3364" s="3">
        <v>43904.191527777773</v>
      </c>
      <c r="B3364" s="4" t="str">
        <f>HYPERLINK("https://twitter.com/petrogustavo","@petrogustavo")</f>
        <v>@petrogustavo</v>
      </c>
      <c r="C3364" s="5" t="s">
        <v>16</v>
      </c>
      <c r="D3364" s="5" t="s">
        <v>3299</v>
      </c>
      <c r="E3364" s="6" t="str">
        <f>HYPERLINK("https://twitter.com/petrogustavo/status/1238602187024093186","1238602187024093186")</f>
        <v>1238602187024093186</v>
      </c>
      <c r="F3364" s="7" t="s">
        <v>17</v>
      </c>
      <c r="G3364" s="7">
        <v>3664453</v>
      </c>
      <c r="H3364" s="7">
        <v>2356</v>
      </c>
      <c r="I3364" s="7">
        <v>17</v>
      </c>
      <c r="J3364" s="7">
        <v>0</v>
      </c>
      <c r="K3364" s="7" t="s">
        <v>18</v>
      </c>
      <c r="L3364" s="8">
        <v>39987.315405092595</v>
      </c>
      <c r="M3364" s="9" t="s">
        <v>19</v>
      </c>
      <c r="N3364" s="9" t="s">
        <v>20</v>
      </c>
      <c r="O3364" s="6" t="str">
        <f>HYPERLINK("https://pbs.twimg.com/profile_images/962471262747529216/Uo8lOkRJ_normal.jpg","View")</f>
        <v>View</v>
      </c>
      <c r="P3364" s="7"/>
    </row>
    <row r="3365" spans="1:16">
      <c r="A3365" s="3">
        <v>43904.192974537036</v>
      </c>
      <c r="B3365" s="4" t="str">
        <f>HYPERLINK("https://twitter.com/petrogustavo","@petrogustavo")</f>
        <v>@petrogustavo</v>
      </c>
      <c r="C3365" s="5" t="s">
        <v>16</v>
      </c>
      <c r="D3365" s="5" t="s">
        <v>3300</v>
      </c>
      <c r="E3365" s="6" t="str">
        <f>HYPERLINK("https://twitter.com/petrogustavo/status/1238602713434390528","1238602713434390528")</f>
        <v>1238602713434390528</v>
      </c>
      <c r="F3365" s="7" t="s">
        <v>17</v>
      </c>
      <c r="G3365" s="7">
        <v>3664453</v>
      </c>
      <c r="H3365" s="7">
        <v>2356</v>
      </c>
      <c r="I3365" s="7">
        <v>973</v>
      </c>
      <c r="J3365" s="7">
        <v>0</v>
      </c>
      <c r="K3365" s="7" t="s">
        <v>18</v>
      </c>
      <c r="L3365" s="8">
        <v>39987.315405092595</v>
      </c>
      <c r="M3365" s="9" t="s">
        <v>19</v>
      </c>
      <c r="N3365" s="9" t="s">
        <v>20</v>
      </c>
      <c r="O3365" s="6" t="str">
        <f>HYPERLINK("https://pbs.twimg.com/profile_images/962471262747529216/Uo8lOkRJ_normal.jpg","View")</f>
        <v>View</v>
      </c>
      <c r="P3365" s="7"/>
    </row>
    <row r="3366" spans="1:16">
      <c r="A3366" s="3">
        <v>43904.204363425924</v>
      </c>
      <c r="B3366" s="4" t="str">
        <f>HYPERLINK("https://twitter.com/petrogustavo","@petrogustavo")</f>
        <v>@petrogustavo</v>
      </c>
      <c r="C3366" s="5" t="s">
        <v>16</v>
      </c>
      <c r="D3366" s="5" t="s">
        <v>3301</v>
      </c>
      <c r="E3366" s="6" t="str">
        <f>HYPERLINK("https://twitter.com/petrogustavo/status/1238606841552216064","1238606841552216064")</f>
        <v>1238606841552216064</v>
      </c>
      <c r="F3366" s="7" t="s">
        <v>21</v>
      </c>
      <c r="G3366" s="7">
        <v>3664479</v>
      </c>
      <c r="H3366" s="7">
        <v>2356</v>
      </c>
      <c r="I3366" s="7">
        <v>164</v>
      </c>
      <c r="J3366" s="7">
        <v>341</v>
      </c>
      <c r="K3366" s="7" t="s">
        <v>18</v>
      </c>
      <c r="L3366" s="8">
        <v>39987.315405092595</v>
      </c>
      <c r="M3366" s="9" t="s">
        <v>19</v>
      </c>
      <c r="N3366" s="9" t="s">
        <v>20</v>
      </c>
      <c r="O3366" s="6" t="str">
        <f>HYPERLINK("https://pbs.twimg.com/profile_images/962471262747529216/Uo8lOkRJ_normal.jpg","View")</f>
        <v>View</v>
      </c>
      <c r="P3366" s="7"/>
    </row>
    <row r="3367" spans="1:16">
      <c r="A3367" s="3">
        <v>43904.225011574075</v>
      </c>
      <c r="B3367" s="4" t="str">
        <f>HYPERLINK("https://twitter.com/petrogustavo","@petrogustavo")</f>
        <v>@petrogustavo</v>
      </c>
      <c r="C3367" s="5" t="s">
        <v>16</v>
      </c>
      <c r="D3367" s="5" t="s">
        <v>3302</v>
      </c>
      <c r="E3367" s="6" t="str">
        <f>HYPERLINK("https://twitter.com/petrogustavo/status/1238614320696766464","1238614320696766464")</f>
        <v>1238614320696766464</v>
      </c>
      <c r="F3367" s="7" t="s">
        <v>17</v>
      </c>
      <c r="G3367" s="7">
        <v>3664516</v>
      </c>
      <c r="H3367" s="7">
        <v>2356</v>
      </c>
      <c r="I3367" s="7">
        <v>77</v>
      </c>
      <c r="J3367" s="7">
        <v>186</v>
      </c>
      <c r="K3367" s="7" t="s">
        <v>18</v>
      </c>
      <c r="L3367" s="8">
        <v>39987.315405092595</v>
      </c>
      <c r="M3367" s="9" t="s">
        <v>19</v>
      </c>
      <c r="N3367" s="9" t="s">
        <v>20</v>
      </c>
      <c r="O3367" s="6" t="str">
        <f>HYPERLINK("https://pbs.twimg.com/profile_images/962471262747529216/Uo8lOkRJ_normal.jpg","View")</f>
        <v>View</v>
      </c>
      <c r="P3367" s="7"/>
    </row>
    <row r="3368" spans="1:16">
      <c r="A3368" s="3">
        <v>43904.225289351853</v>
      </c>
      <c r="B3368" s="4" t="str">
        <f>HYPERLINK("https://twitter.com/petrogustavo","@petrogustavo")</f>
        <v>@petrogustavo</v>
      </c>
      <c r="C3368" s="5" t="s">
        <v>16</v>
      </c>
      <c r="D3368" s="5" t="s">
        <v>3303</v>
      </c>
      <c r="E3368" s="6" t="str">
        <f>HYPERLINK("https://twitter.com/petrogustavo/status/1238614421494288384","1238614421494288384")</f>
        <v>1238614421494288384</v>
      </c>
      <c r="F3368" s="7" t="s">
        <v>17</v>
      </c>
      <c r="G3368" s="7">
        <v>3664516</v>
      </c>
      <c r="H3368" s="7">
        <v>2356</v>
      </c>
      <c r="I3368" s="7">
        <v>316</v>
      </c>
      <c r="J3368" s="7">
        <v>0</v>
      </c>
      <c r="K3368" s="7" t="s">
        <v>18</v>
      </c>
      <c r="L3368" s="8">
        <v>39987.315405092595</v>
      </c>
      <c r="M3368" s="9" t="s">
        <v>19</v>
      </c>
      <c r="N3368" s="9" t="s">
        <v>20</v>
      </c>
      <c r="O3368" s="6" t="str">
        <f>HYPERLINK("https://pbs.twimg.com/profile_images/962471262747529216/Uo8lOkRJ_normal.jpg","View")</f>
        <v>View</v>
      </c>
      <c r="P3368" s="7"/>
    </row>
    <row r="3369" spans="1:16">
      <c r="A3369" s="3">
        <v>43904.235497685186</v>
      </c>
      <c r="B3369" s="4" t="str">
        <f>HYPERLINK("https://twitter.com/petrogustavo","@petrogustavo")</f>
        <v>@petrogustavo</v>
      </c>
      <c r="C3369" s="5" t="s">
        <v>16</v>
      </c>
      <c r="D3369" s="5" t="s">
        <v>3304</v>
      </c>
      <c r="E3369" s="6" t="str">
        <f>HYPERLINK("https://twitter.com/petrogustavo/status/1238618121847652352","1238618121847652352")</f>
        <v>1238618121847652352</v>
      </c>
      <c r="F3369" s="7" t="s">
        <v>17</v>
      </c>
      <c r="G3369" s="7">
        <v>3664516</v>
      </c>
      <c r="H3369" s="7">
        <v>2356</v>
      </c>
      <c r="I3369" s="7">
        <v>85</v>
      </c>
      <c r="J3369" s="7">
        <v>229</v>
      </c>
      <c r="K3369" s="7" t="s">
        <v>18</v>
      </c>
      <c r="L3369" s="8">
        <v>39987.315405092595</v>
      </c>
      <c r="M3369" s="9" t="s">
        <v>19</v>
      </c>
      <c r="N3369" s="9" t="s">
        <v>20</v>
      </c>
      <c r="O3369" s="6" t="str">
        <f>HYPERLINK("https://pbs.twimg.com/profile_images/962471262747529216/Uo8lOkRJ_normal.jpg","View")</f>
        <v>View</v>
      </c>
      <c r="P3369" s="7"/>
    </row>
    <row r="3370" spans="1:16">
      <c r="A3370" s="3">
        <v>43904.239178240736</v>
      </c>
      <c r="B3370" s="4" t="str">
        <f>HYPERLINK("https://twitter.com/petrogustavo","@petrogustavo")</f>
        <v>@petrogustavo</v>
      </c>
      <c r="C3370" s="5" t="s">
        <v>16</v>
      </c>
      <c r="D3370" s="5" t="s">
        <v>3305</v>
      </c>
      <c r="E3370" s="6" t="str">
        <f>HYPERLINK("https://twitter.com/petrogustavo/status/1238619458081566720","1238619458081566720")</f>
        <v>1238619458081566720</v>
      </c>
      <c r="F3370" s="7" t="s">
        <v>17</v>
      </c>
      <c r="G3370" s="7">
        <v>3664516</v>
      </c>
      <c r="H3370" s="7">
        <v>2356</v>
      </c>
      <c r="I3370" s="7">
        <v>22</v>
      </c>
      <c r="J3370" s="7">
        <v>43</v>
      </c>
      <c r="K3370" s="7" t="s">
        <v>18</v>
      </c>
      <c r="L3370" s="8">
        <v>39987.315405092595</v>
      </c>
      <c r="M3370" s="9" t="s">
        <v>19</v>
      </c>
      <c r="N3370" s="9" t="s">
        <v>20</v>
      </c>
      <c r="O3370" s="6" t="str">
        <f>HYPERLINK("https://pbs.twimg.com/profile_images/962471262747529216/Uo8lOkRJ_normal.jpg","View")</f>
        <v>View</v>
      </c>
      <c r="P3370" s="7"/>
    </row>
    <row r="3371" spans="1:16">
      <c r="A3371" s="3">
        <v>43904.283425925925</v>
      </c>
      <c r="B3371" s="4" t="str">
        <f>HYPERLINK("https://twitter.com/petrogustavo","@petrogustavo")</f>
        <v>@petrogustavo</v>
      </c>
      <c r="C3371" s="5" t="s">
        <v>16</v>
      </c>
      <c r="D3371" s="5" t="s">
        <v>3306</v>
      </c>
      <c r="E3371" s="6" t="str">
        <f>HYPERLINK("https://twitter.com/petrogustavo/status/1238635489252564992","1238635489252564992")</f>
        <v>1238635489252564992</v>
      </c>
      <c r="F3371" s="7" t="s">
        <v>32</v>
      </c>
      <c r="G3371" s="7">
        <v>3664590</v>
      </c>
      <c r="H3371" s="7">
        <v>2357</v>
      </c>
      <c r="I3371" s="7">
        <v>0</v>
      </c>
      <c r="J3371" s="7">
        <v>0</v>
      </c>
      <c r="K3371" s="7" t="s">
        <v>18</v>
      </c>
      <c r="L3371" s="8">
        <v>39987.315405092595</v>
      </c>
      <c r="M3371" s="9" t="s">
        <v>19</v>
      </c>
      <c r="N3371" s="9" t="s">
        <v>20</v>
      </c>
      <c r="O3371" s="6" t="str">
        <f>HYPERLINK("https://pbs.twimg.com/profile_images/962471262747529216/Uo8lOkRJ_normal.jpg","View")</f>
        <v>View</v>
      </c>
      <c r="P3371" s="7"/>
    </row>
    <row r="3372" spans="1:16">
      <c r="A3372" s="3">
        <v>43904.291273148148</v>
      </c>
      <c r="B3372" s="4" t="str">
        <f>HYPERLINK("https://twitter.com/petrogustavo","@petrogustavo")</f>
        <v>@petrogustavo</v>
      </c>
      <c r="C3372" s="5" t="s">
        <v>16</v>
      </c>
      <c r="D3372" s="5" t="s">
        <v>3307</v>
      </c>
      <c r="E3372" s="6" t="str">
        <f>HYPERLINK("https://twitter.com/petrogustavo/status/1238638333397475328","1238638333397475328")</f>
        <v>1238638333397475328</v>
      </c>
      <c r="F3372" s="7" t="s">
        <v>32</v>
      </c>
      <c r="G3372" s="7">
        <v>3664626</v>
      </c>
      <c r="H3372" s="7">
        <v>2357</v>
      </c>
      <c r="I3372" s="7">
        <v>37</v>
      </c>
      <c r="J3372" s="7">
        <v>78</v>
      </c>
      <c r="K3372" s="7" t="s">
        <v>18</v>
      </c>
      <c r="L3372" s="8">
        <v>39987.315405092595</v>
      </c>
      <c r="M3372" s="9" t="s">
        <v>19</v>
      </c>
      <c r="N3372" s="9" t="s">
        <v>20</v>
      </c>
      <c r="O3372" s="6" t="str">
        <f>HYPERLINK("https://pbs.twimg.com/profile_images/962471262747529216/Uo8lOkRJ_normal.jpg","View")</f>
        <v>View</v>
      </c>
      <c r="P3372" s="7"/>
    </row>
    <row r="3373" spans="1:16">
      <c r="A3373" s="3">
        <v>43904.29178240741</v>
      </c>
      <c r="B3373" s="4" t="str">
        <f>HYPERLINK("https://twitter.com/petrogustavo","@petrogustavo")</f>
        <v>@petrogustavo</v>
      </c>
      <c r="C3373" s="5" t="s">
        <v>16</v>
      </c>
      <c r="D3373" s="5" t="s">
        <v>3308</v>
      </c>
      <c r="E3373" s="6" t="str">
        <f>HYPERLINK("https://twitter.com/petrogustavo/status/1238638519247142912","1238638519247142912")</f>
        <v>1238638519247142912</v>
      </c>
      <c r="F3373" s="7" t="s">
        <v>32</v>
      </c>
      <c r="G3373" s="7">
        <v>3664626</v>
      </c>
      <c r="H3373" s="7">
        <v>2357</v>
      </c>
      <c r="I3373" s="7">
        <v>154</v>
      </c>
      <c r="J3373" s="7">
        <v>0</v>
      </c>
      <c r="K3373" s="7" t="s">
        <v>18</v>
      </c>
      <c r="L3373" s="8">
        <v>39987.315405092595</v>
      </c>
      <c r="M3373" s="9" t="s">
        <v>19</v>
      </c>
      <c r="N3373" s="9" t="s">
        <v>20</v>
      </c>
      <c r="O3373" s="6" t="str">
        <f>HYPERLINK("https://pbs.twimg.com/profile_images/962471262747529216/Uo8lOkRJ_normal.jpg","View")</f>
        <v>View</v>
      </c>
      <c r="P3373" s="7"/>
    </row>
    <row r="3374" spans="1:16">
      <c r="A3374" s="3">
        <v>43904.295613425929</v>
      </c>
      <c r="B3374" s="4" t="str">
        <f>HYPERLINK("https://twitter.com/petrogustavo","@petrogustavo")</f>
        <v>@petrogustavo</v>
      </c>
      <c r="C3374" s="5" t="s">
        <v>16</v>
      </c>
      <c r="D3374" s="5" t="s">
        <v>3309</v>
      </c>
      <c r="E3374" s="6" t="str">
        <f>HYPERLINK("https://twitter.com/petrogustavo/status/1238639908039864321","1238639908039864321")</f>
        <v>1238639908039864321</v>
      </c>
      <c r="F3374" s="7" t="s">
        <v>32</v>
      </c>
      <c r="G3374" s="7">
        <v>3664626</v>
      </c>
      <c r="H3374" s="7">
        <v>2357</v>
      </c>
      <c r="I3374" s="7">
        <v>28</v>
      </c>
      <c r="J3374" s="7">
        <v>0</v>
      </c>
      <c r="K3374" s="7" t="s">
        <v>18</v>
      </c>
      <c r="L3374" s="8">
        <v>39987.315405092595</v>
      </c>
      <c r="M3374" s="9" t="s">
        <v>19</v>
      </c>
      <c r="N3374" s="9" t="s">
        <v>20</v>
      </c>
      <c r="O3374" s="6" t="str">
        <f>HYPERLINK("https://pbs.twimg.com/profile_images/962471262747529216/Uo8lOkRJ_normal.jpg","View")</f>
        <v>View</v>
      </c>
      <c r="P3374" s="7"/>
    </row>
    <row r="3375" spans="1:16">
      <c r="A3375" s="3">
        <v>43904.296168981484</v>
      </c>
      <c r="B3375" s="4" t="str">
        <f>HYPERLINK("https://twitter.com/petrogustavo","@petrogustavo")</f>
        <v>@petrogustavo</v>
      </c>
      <c r="C3375" s="5" t="s">
        <v>16</v>
      </c>
      <c r="D3375" s="5" t="s">
        <v>3310</v>
      </c>
      <c r="E3375" s="6" t="str">
        <f>HYPERLINK("https://twitter.com/petrogustavo/status/1238640108577972224","1238640108577972224")</f>
        <v>1238640108577972224</v>
      </c>
      <c r="F3375" s="7" t="s">
        <v>32</v>
      </c>
      <c r="G3375" s="7">
        <v>3664626</v>
      </c>
      <c r="H3375" s="7">
        <v>2357</v>
      </c>
      <c r="I3375" s="7">
        <v>166</v>
      </c>
      <c r="J3375" s="7">
        <v>0</v>
      </c>
      <c r="K3375" s="7" t="s">
        <v>18</v>
      </c>
      <c r="L3375" s="8">
        <v>39987.315405092595</v>
      </c>
      <c r="M3375" s="9" t="s">
        <v>19</v>
      </c>
      <c r="N3375" s="9" t="s">
        <v>20</v>
      </c>
      <c r="O3375" s="6" t="str">
        <f>HYPERLINK("https://pbs.twimg.com/profile_images/962471262747529216/Uo8lOkRJ_normal.jpg","View")</f>
        <v>View</v>
      </c>
      <c r="P3375" s="7"/>
    </row>
    <row r="3376" spans="1:16">
      <c r="A3376" s="3">
        <v>43904.296620370369</v>
      </c>
      <c r="B3376" s="4" t="str">
        <f>HYPERLINK("https://twitter.com/petrogustavo","@petrogustavo")</f>
        <v>@petrogustavo</v>
      </c>
      <c r="C3376" s="5" t="s">
        <v>16</v>
      </c>
      <c r="D3376" s="5" t="s">
        <v>3303</v>
      </c>
      <c r="E3376" s="6" t="str">
        <f>HYPERLINK("https://twitter.com/petrogustavo/status/1238640273044975616","1238640273044975616")</f>
        <v>1238640273044975616</v>
      </c>
      <c r="F3376" s="7" t="s">
        <v>32</v>
      </c>
      <c r="G3376" s="7">
        <v>3664626</v>
      </c>
      <c r="H3376" s="7">
        <v>2357</v>
      </c>
      <c r="I3376" s="7">
        <v>530</v>
      </c>
      <c r="J3376" s="7">
        <v>0</v>
      </c>
      <c r="K3376" s="7" t="s">
        <v>18</v>
      </c>
      <c r="L3376" s="8">
        <v>39987.315405092595</v>
      </c>
      <c r="M3376" s="9" t="s">
        <v>19</v>
      </c>
      <c r="N3376" s="9" t="s">
        <v>20</v>
      </c>
      <c r="O3376" s="6" t="str">
        <f>HYPERLINK("https://pbs.twimg.com/profile_images/962471262747529216/Uo8lOkRJ_normal.jpg","View")</f>
        <v>View</v>
      </c>
      <c r="P3376" s="7"/>
    </row>
    <row r="3377" spans="1:16">
      <c r="A3377" s="3">
        <v>43904.296817129631</v>
      </c>
      <c r="B3377" s="4" t="str">
        <f>HYPERLINK("https://twitter.com/petrogustavo","@petrogustavo")</f>
        <v>@petrogustavo</v>
      </c>
      <c r="C3377" s="5" t="s">
        <v>16</v>
      </c>
      <c r="D3377" s="5" t="s">
        <v>3311</v>
      </c>
      <c r="E3377" s="6" t="str">
        <f>HYPERLINK("https://twitter.com/petrogustavo/status/1238640344083894273","1238640344083894273")</f>
        <v>1238640344083894273</v>
      </c>
      <c r="F3377" s="7" t="s">
        <v>32</v>
      </c>
      <c r="G3377" s="7">
        <v>3664626</v>
      </c>
      <c r="H3377" s="7">
        <v>2357</v>
      </c>
      <c r="I3377" s="7">
        <v>325</v>
      </c>
      <c r="J3377" s="7">
        <v>0</v>
      </c>
      <c r="K3377" s="7" t="s">
        <v>18</v>
      </c>
      <c r="L3377" s="8">
        <v>39987.315405092595</v>
      </c>
      <c r="M3377" s="9" t="s">
        <v>19</v>
      </c>
      <c r="N3377" s="9" t="s">
        <v>20</v>
      </c>
      <c r="O3377" s="6" t="str">
        <f>HYPERLINK("https://pbs.twimg.com/profile_images/962471262747529216/Uo8lOkRJ_normal.jpg","View")</f>
        <v>View</v>
      </c>
      <c r="P3377" s="7"/>
    </row>
    <row r="3378" spans="1:16">
      <c r="A3378" s="3">
        <v>43904.742743055554</v>
      </c>
      <c r="B3378" s="4" t="str">
        <f>HYPERLINK("https://twitter.com/petrogustavo","@petrogustavo")</f>
        <v>@petrogustavo</v>
      </c>
      <c r="C3378" s="5" t="s">
        <v>16</v>
      </c>
      <c r="D3378" s="5" t="s">
        <v>3312</v>
      </c>
      <c r="E3378" s="6" t="str">
        <f>HYPERLINK("https://twitter.com/petrogustavo/status/1238801942836654080","1238801942836654080")</f>
        <v>1238801942836654080</v>
      </c>
      <c r="F3378" s="7" t="s">
        <v>17</v>
      </c>
      <c r="G3378" s="7">
        <v>3665031</v>
      </c>
      <c r="H3378" s="7">
        <v>2356</v>
      </c>
      <c r="I3378" s="7">
        <v>83</v>
      </c>
      <c r="J3378" s="7">
        <v>196</v>
      </c>
      <c r="K3378" s="7" t="s">
        <v>18</v>
      </c>
      <c r="L3378" s="8">
        <v>39987.315405092595</v>
      </c>
      <c r="M3378" s="9" t="s">
        <v>19</v>
      </c>
      <c r="N3378" s="9" t="s">
        <v>20</v>
      </c>
      <c r="O3378" s="6" t="str">
        <f>HYPERLINK("https://pbs.twimg.com/profile_images/962471262747529216/Uo8lOkRJ_normal.jpg","View")</f>
        <v>View</v>
      </c>
      <c r="P3378" s="7"/>
    </row>
    <row r="3379" spans="1:16">
      <c r="A3379" s="3">
        <v>43904.760497685187</v>
      </c>
      <c r="B3379" s="4" t="str">
        <f>HYPERLINK("https://twitter.com/petrogustavo","@petrogustavo")</f>
        <v>@petrogustavo</v>
      </c>
      <c r="C3379" s="5" t="s">
        <v>16</v>
      </c>
      <c r="D3379" s="5" t="s">
        <v>3313</v>
      </c>
      <c r="E3379" s="6" t="str">
        <f>HYPERLINK("https://twitter.com/petrogustavo/status/1238808378132115457","1238808378132115457")</f>
        <v>1238808378132115457</v>
      </c>
      <c r="F3379" s="7" t="s">
        <v>17</v>
      </c>
      <c r="G3379" s="7">
        <v>3665031</v>
      </c>
      <c r="H3379" s="7">
        <v>2356</v>
      </c>
      <c r="I3379" s="7">
        <v>26</v>
      </c>
      <c r="J3379" s="7">
        <v>61</v>
      </c>
      <c r="K3379" s="7" t="s">
        <v>18</v>
      </c>
      <c r="L3379" s="8">
        <v>39987.315405092595</v>
      </c>
      <c r="M3379" s="9" t="s">
        <v>19</v>
      </c>
      <c r="N3379" s="9" t="s">
        <v>20</v>
      </c>
      <c r="O3379" s="6" t="str">
        <f>HYPERLINK("https://pbs.twimg.com/profile_images/962471262747529216/Uo8lOkRJ_normal.jpg","View")</f>
        <v>View</v>
      </c>
      <c r="P3379" s="7"/>
    </row>
    <row r="3380" spans="1:16">
      <c r="A3380" s="3">
        <v>43904.770787037036</v>
      </c>
      <c r="B3380" s="4" t="str">
        <f>HYPERLINK("https://twitter.com/petrogustavo","@petrogustavo")</f>
        <v>@petrogustavo</v>
      </c>
      <c r="C3380" s="5" t="s">
        <v>16</v>
      </c>
      <c r="D3380" s="5" t="s">
        <v>3314</v>
      </c>
      <c r="E3380" s="6" t="str">
        <f>HYPERLINK("https://twitter.com/petrogustavo/status/1238812105870135298","1238812105870135298")</f>
        <v>1238812105870135298</v>
      </c>
      <c r="F3380" s="7" t="s">
        <v>17</v>
      </c>
      <c r="G3380" s="7">
        <v>3665058</v>
      </c>
      <c r="H3380" s="7">
        <v>2357</v>
      </c>
      <c r="I3380" s="7">
        <v>124</v>
      </c>
      <c r="J3380" s="7">
        <v>393</v>
      </c>
      <c r="K3380" s="7" t="s">
        <v>18</v>
      </c>
      <c r="L3380" s="8">
        <v>39987.315405092595</v>
      </c>
      <c r="M3380" s="9" t="s">
        <v>19</v>
      </c>
      <c r="N3380" s="9" t="s">
        <v>20</v>
      </c>
      <c r="O3380" s="6" t="str">
        <f>HYPERLINK("https://pbs.twimg.com/profile_images/962471262747529216/Uo8lOkRJ_normal.jpg","View")</f>
        <v>View</v>
      </c>
      <c r="P3380" s="7"/>
    </row>
    <row r="3381" spans="1:16">
      <c r="A3381" s="3">
        <v>43904.774340277778</v>
      </c>
      <c r="B3381" s="4" t="str">
        <f>HYPERLINK("https://twitter.com/petrogustavo","@petrogustavo")</f>
        <v>@petrogustavo</v>
      </c>
      <c r="C3381" s="5" t="s">
        <v>16</v>
      </c>
      <c r="D3381" s="5" t="s">
        <v>3315</v>
      </c>
      <c r="E3381" s="6" t="str">
        <f>HYPERLINK("https://twitter.com/petrogustavo/status/1238813393156440064","1238813393156440064")</f>
        <v>1238813393156440064</v>
      </c>
      <c r="F3381" s="7" t="s">
        <v>17</v>
      </c>
      <c r="G3381" s="7">
        <v>3665058</v>
      </c>
      <c r="H3381" s="7">
        <v>2357</v>
      </c>
      <c r="I3381" s="7">
        <v>72</v>
      </c>
      <c r="J3381" s="7">
        <v>267</v>
      </c>
      <c r="K3381" s="7" t="s">
        <v>18</v>
      </c>
      <c r="L3381" s="8">
        <v>39987.315405092595</v>
      </c>
      <c r="M3381" s="9" t="s">
        <v>19</v>
      </c>
      <c r="N3381" s="9" t="s">
        <v>20</v>
      </c>
      <c r="O3381" s="6" t="str">
        <f>HYPERLINK("https://pbs.twimg.com/profile_images/962471262747529216/Uo8lOkRJ_normal.jpg","View")</f>
        <v>View</v>
      </c>
      <c r="P3381" s="7"/>
    </row>
    <row r="3382" spans="1:16">
      <c r="A3382" s="3">
        <v>43904.789305555554</v>
      </c>
      <c r="B3382" s="4" t="str">
        <f>HYPERLINK("https://twitter.com/petrogustavo","@petrogustavo")</f>
        <v>@petrogustavo</v>
      </c>
      <c r="C3382" s="5" t="s">
        <v>16</v>
      </c>
      <c r="D3382" s="5" t="s">
        <v>3316</v>
      </c>
      <c r="E3382" s="6" t="str">
        <f>HYPERLINK("https://twitter.com/petrogustavo/status/1238818814193733635","1238818814193733635")</f>
        <v>1238818814193733635</v>
      </c>
      <c r="F3382" s="7" t="s">
        <v>17</v>
      </c>
      <c r="G3382" s="7">
        <v>3665080</v>
      </c>
      <c r="H3382" s="7">
        <v>2357</v>
      </c>
      <c r="I3382" s="7">
        <v>10558</v>
      </c>
      <c r="J3382" s="7">
        <v>0</v>
      </c>
      <c r="K3382" s="7" t="s">
        <v>18</v>
      </c>
      <c r="L3382" s="8">
        <v>39987.315405092595</v>
      </c>
      <c r="M3382" s="9" t="s">
        <v>19</v>
      </c>
      <c r="N3382" s="9" t="s">
        <v>20</v>
      </c>
      <c r="O3382" s="6" t="str">
        <f>HYPERLINK("https://pbs.twimg.com/profile_images/962471262747529216/Uo8lOkRJ_normal.jpg","View")</f>
        <v>View</v>
      </c>
      <c r="P3382" s="7"/>
    </row>
    <row r="3383" spans="1:16">
      <c r="A3383" s="3">
        <v>43904.789502314816</v>
      </c>
      <c r="B3383" s="4" t="str">
        <f>HYPERLINK("https://twitter.com/petrogustavo","@petrogustavo")</f>
        <v>@petrogustavo</v>
      </c>
      <c r="C3383" s="5" t="s">
        <v>16</v>
      </c>
      <c r="D3383" s="5" t="s">
        <v>3317</v>
      </c>
      <c r="E3383" s="6" t="str">
        <f>HYPERLINK("https://twitter.com/petrogustavo/status/1238818888294563840","1238818888294563840")</f>
        <v>1238818888294563840</v>
      </c>
      <c r="F3383" s="7" t="s">
        <v>17</v>
      </c>
      <c r="G3383" s="7">
        <v>3665080</v>
      </c>
      <c r="H3383" s="7">
        <v>2357</v>
      </c>
      <c r="I3383" s="7">
        <v>794</v>
      </c>
      <c r="J3383" s="7">
        <v>0</v>
      </c>
      <c r="K3383" s="7" t="s">
        <v>18</v>
      </c>
      <c r="L3383" s="8">
        <v>39987.315405092595</v>
      </c>
      <c r="M3383" s="9" t="s">
        <v>19</v>
      </c>
      <c r="N3383" s="9" t="s">
        <v>20</v>
      </c>
      <c r="O3383" s="6" t="str">
        <f>HYPERLINK("https://pbs.twimg.com/profile_images/962471262747529216/Uo8lOkRJ_normal.jpg","View")</f>
        <v>View</v>
      </c>
      <c r="P3383" s="7"/>
    </row>
    <row r="3384" spans="1:16">
      <c r="A3384" s="3">
        <v>43904.792499999996</v>
      </c>
      <c r="B3384" s="4" t="str">
        <f>HYPERLINK("https://twitter.com/petrogustavo","@petrogustavo")</f>
        <v>@petrogustavo</v>
      </c>
      <c r="C3384" s="5" t="s">
        <v>16</v>
      </c>
      <c r="D3384" s="5" t="s">
        <v>3318</v>
      </c>
      <c r="E3384" s="6" t="str">
        <f>HYPERLINK("https://twitter.com/petrogustavo/status/1238819974371782657","1238819974371782657")</f>
        <v>1238819974371782657</v>
      </c>
      <c r="F3384" s="7" t="s">
        <v>17</v>
      </c>
      <c r="G3384" s="7">
        <v>3665080</v>
      </c>
      <c r="H3384" s="7">
        <v>2357</v>
      </c>
      <c r="I3384" s="7">
        <v>26</v>
      </c>
      <c r="J3384" s="7">
        <v>56</v>
      </c>
      <c r="K3384" s="7" t="s">
        <v>18</v>
      </c>
      <c r="L3384" s="8">
        <v>39987.315405092595</v>
      </c>
      <c r="M3384" s="9" t="s">
        <v>19</v>
      </c>
      <c r="N3384" s="9" t="s">
        <v>20</v>
      </c>
      <c r="O3384" s="6" t="str">
        <f>HYPERLINK("https://pbs.twimg.com/profile_images/962471262747529216/Uo8lOkRJ_normal.jpg","View")</f>
        <v>View</v>
      </c>
      <c r="P3384" s="7"/>
    </row>
    <row r="3385" spans="1:16">
      <c r="A3385" s="3">
        <v>43904.794386574074</v>
      </c>
      <c r="B3385" s="4" t="str">
        <f>HYPERLINK("https://twitter.com/petrogustavo","@petrogustavo")</f>
        <v>@petrogustavo</v>
      </c>
      <c r="C3385" s="5" t="s">
        <v>16</v>
      </c>
      <c r="D3385" s="5" t="s">
        <v>3319</v>
      </c>
      <c r="E3385" s="6" t="str">
        <f>HYPERLINK("https://twitter.com/petrogustavo/status/1238820656101326848","1238820656101326848")</f>
        <v>1238820656101326848</v>
      </c>
      <c r="F3385" s="7" t="s">
        <v>17</v>
      </c>
      <c r="G3385" s="7">
        <v>3665080</v>
      </c>
      <c r="H3385" s="7">
        <v>2357</v>
      </c>
      <c r="I3385" s="7">
        <v>6</v>
      </c>
      <c r="J3385" s="7">
        <v>0</v>
      </c>
      <c r="K3385" s="7" t="s">
        <v>18</v>
      </c>
      <c r="L3385" s="8">
        <v>39987.315405092595</v>
      </c>
      <c r="M3385" s="9" t="s">
        <v>19</v>
      </c>
      <c r="N3385" s="9" t="s">
        <v>20</v>
      </c>
      <c r="O3385" s="6" t="str">
        <f>HYPERLINK("https://pbs.twimg.com/profile_images/962471262747529216/Uo8lOkRJ_normal.jpg","View")</f>
        <v>View</v>
      </c>
      <c r="P3385" s="7"/>
    </row>
    <row r="3386" spans="1:16">
      <c r="A3386" s="3">
        <v>43904.795451388884</v>
      </c>
      <c r="B3386" s="4" t="str">
        <f>HYPERLINK("https://twitter.com/petrogustavo","@petrogustavo")</f>
        <v>@petrogustavo</v>
      </c>
      <c r="C3386" s="5" t="s">
        <v>16</v>
      </c>
      <c r="D3386" s="5" t="s">
        <v>3320</v>
      </c>
      <c r="E3386" s="6" t="str">
        <f>HYPERLINK("https://twitter.com/petrogustavo/status/1238821043873161218","1238821043873161218")</f>
        <v>1238821043873161218</v>
      </c>
      <c r="F3386" s="7" t="s">
        <v>17</v>
      </c>
      <c r="G3386" s="7">
        <v>3665080</v>
      </c>
      <c r="H3386" s="7">
        <v>2357</v>
      </c>
      <c r="I3386" s="7">
        <v>1055</v>
      </c>
      <c r="J3386" s="7">
        <v>0</v>
      </c>
      <c r="K3386" s="7" t="s">
        <v>18</v>
      </c>
      <c r="L3386" s="8">
        <v>39987.315405092595</v>
      </c>
      <c r="M3386" s="9" t="s">
        <v>19</v>
      </c>
      <c r="N3386" s="9" t="s">
        <v>20</v>
      </c>
      <c r="O3386" s="6" t="str">
        <f>HYPERLINK("https://pbs.twimg.com/profile_images/962471262747529216/Uo8lOkRJ_normal.jpg","View")</f>
        <v>View</v>
      </c>
      <c r="P3386" s="7"/>
    </row>
    <row r="3387" spans="1:16">
      <c r="A3387" s="3">
        <v>43904.797037037039</v>
      </c>
      <c r="B3387" s="4" t="str">
        <f>HYPERLINK("https://twitter.com/petrogustavo","@petrogustavo")</f>
        <v>@petrogustavo</v>
      </c>
      <c r="C3387" s="5" t="s">
        <v>16</v>
      </c>
      <c r="D3387" s="5" t="s">
        <v>3321</v>
      </c>
      <c r="E3387" s="6" t="str">
        <f>HYPERLINK("https://twitter.com/petrogustavo/status/1238821618392207362","1238821618392207362")</f>
        <v>1238821618392207362</v>
      </c>
      <c r="F3387" s="7" t="s">
        <v>17</v>
      </c>
      <c r="G3387" s="7">
        <v>3665080</v>
      </c>
      <c r="H3387" s="7">
        <v>2357</v>
      </c>
      <c r="I3387" s="7">
        <v>53</v>
      </c>
      <c r="J3387" s="7">
        <v>192</v>
      </c>
      <c r="K3387" s="7" t="s">
        <v>18</v>
      </c>
      <c r="L3387" s="8">
        <v>39987.315405092595</v>
      </c>
      <c r="M3387" s="9" t="s">
        <v>19</v>
      </c>
      <c r="N3387" s="9" t="s">
        <v>20</v>
      </c>
      <c r="O3387" s="6" t="str">
        <f>HYPERLINK("https://pbs.twimg.com/profile_images/962471262747529216/Uo8lOkRJ_normal.jpg","View")</f>
        <v>View</v>
      </c>
      <c r="P3387" s="7"/>
    </row>
    <row r="3388" spans="1:16">
      <c r="A3388" s="3">
        <v>43904.799247685187</v>
      </c>
      <c r="B3388" s="4" t="str">
        <f>HYPERLINK("https://twitter.com/petrogustavo","@petrogustavo")</f>
        <v>@petrogustavo</v>
      </c>
      <c r="C3388" s="5" t="s">
        <v>16</v>
      </c>
      <c r="D3388" s="5" t="s">
        <v>3322</v>
      </c>
      <c r="E3388" s="6" t="str">
        <f>HYPERLINK("https://twitter.com/petrogustavo/status/1238822420477329414","1238822420477329414")</f>
        <v>1238822420477329414</v>
      </c>
      <c r="F3388" s="7" t="s">
        <v>17</v>
      </c>
      <c r="G3388" s="7">
        <v>3665080</v>
      </c>
      <c r="H3388" s="7">
        <v>2357</v>
      </c>
      <c r="I3388" s="7">
        <v>40</v>
      </c>
      <c r="J3388" s="7">
        <v>72</v>
      </c>
      <c r="K3388" s="7" t="s">
        <v>18</v>
      </c>
      <c r="L3388" s="8">
        <v>39987.315405092595</v>
      </c>
      <c r="M3388" s="9" t="s">
        <v>19</v>
      </c>
      <c r="N3388" s="9" t="s">
        <v>20</v>
      </c>
      <c r="O3388" s="6" t="str">
        <f>HYPERLINK("https://pbs.twimg.com/profile_images/962471262747529216/Uo8lOkRJ_normal.jpg","View")</f>
        <v>View</v>
      </c>
      <c r="P3388" s="7"/>
    </row>
    <row r="3389" spans="1:16">
      <c r="A3389" s="3">
        <v>43904.805937500001</v>
      </c>
      <c r="B3389" s="4" t="str">
        <f>HYPERLINK("https://twitter.com/petrogustavo","@petrogustavo")</f>
        <v>@petrogustavo</v>
      </c>
      <c r="C3389" s="5" t="s">
        <v>16</v>
      </c>
      <c r="D3389" s="5" t="s">
        <v>3323</v>
      </c>
      <c r="E3389" s="6" t="str">
        <f>HYPERLINK("https://twitter.com/petrogustavo/status/1238824844801826816","1238824844801826816")</f>
        <v>1238824844801826816</v>
      </c>
      <c r="F3389" s="7" t="s">
        <v>17</v>
      </c>
      <c r="G3389" s="7">
        <v>3665085</v>
      </c>
      <c r="H3389" s="7">
        <v>2357</v>
      </c>
      <c r="I3389" s="7">
        <v>100</v>
      </c>
      <c r="J3389" s="7">
        <v>301</v>
      </c>
      <c r="K3389" s="7" t="s">
        <v>18</v>
      </c>
      <c r="L3389" s="8">
        <v>39987.315405092595</v>
      </c>
      <c r="M3389" s="9" t="s">
        <v>19</v>
      </c>
      <c r="N3389" s="9" t="s">
        <v>20</v>
      </c>
      <c r="O3389" s="6" t="str">
        <f>HYPERLINK("https://pbs.twimg.com/profile_images/962471262747529216/Uo8lOkRJ_normal.jpg","View")</f>
        <v>View</v>
      </c>
      <c r="P3389" s="7"/>
    </row>
    <row r="3390" spans="1:16">
      <c r="A3390" s="3">
        <v>43904.808078703703</v>
      </c>
      <c r="B3390" s="4" t="str">
        <f>HYPERLINK("https://twitter.com/petrogustavo","@petrogustavo")</f>
        <v>@petrogustavo</v>
      </c>
      <c r="C3390" s="5" t="s">
        <v>16</v>
      </c>
      <c r="D3390" s="5" t="s">
        <v>3324</v>
      </c>
      <c r="E3390" s="6" t="str">
        <f>HYPERLINK("https://twitter.com/petrogustavo/status/1238825617623220224","1238825617623220224")</f>
        <v>1238825617623220224</v>
      </c>
      <c r="F3390" s="7" t="s">
        <v>17</v>
      </c>
      <c r="G3390" s="7">
        <v>3665085</v>
      </c>
      <c r="H3390" s="7">
        <v>2357</v>
      </c>
      <c r="I3390" s="7">
        <v>169</v>
      </c>
      <c r="J3390" s="7">
        <v>717</v>
      </c>
      <c r="K3390" s="7" t="s">
        <v>18</v>
      </c>
      <c r="L3390" s="8">
        <v>39987.315405092595</v>
      </c>
      <c r="M3390" s="9" t="s">
        <v>19</v>
      </c>
      <c r="N3390" s="9" t="s">
        <v>20</v>
      </c>
      <c r="O3390" s="6" t="str">
        <f>HYPERLINK("https://pbs.twimg.com/profile_images/962471262747529216/Uo8lOkRJ_normal.jpg","View")</f>
        <v>View</v>
      </c>
      <c r="P3390" s="7"/>
    </row>
    <row r="3391" spans="1:16">
      <c r="A3391" s="3">
        <v>43904.81554398148</v>
      </c>
      <c r="B3391" s="4" t="str">
        <f>HYPERLINK("https://twitter.com/petrogustavo","@petrogustavo")</f>
        <v>@petrogustavo</v>
      </c>
      <c r="C3391" s="5" t="s">
        <v>16</v>
      </c>
      <c r="D3391" s="5" t="s">
        <v>3325</v>
      </c>
      <c r="E3391" s="6" t="str">
        <f>HYPERLINK("https://twitter.com/petrogustavo/status/1238828322542542848","1238828322542542848")</f>
        <v>1238828322542542848</v>
      </c>
      <c r="F3391" s="7" t="s">
        <v>17</v>
      </c>
      <c r="G3391" s="7">
        <v>3665085</v>
      </c>
      <c r="H3391" s="7">
        <v>2357</v>
      </c>
      <c r="I3391" s="7">
        <v>93</v>
      </c>
      <c r="J3391" s="7">
        <v>406</v>
      </c>
      <c r="K3391" s="7" t="s">
        <v>18</v>
      </c>
      <c r="L3391" s="8">
        <v>39987.315405092595</v>
      </c>
      <c r="M3391" s="9" t="s">
        <v>19</v>
      </c>
      <c r="N3391" s="9" t="s">
        <v>20</v>
      </c>
      <c r="O3391" s="6" t="str">
        <f>HYPERLINK("https://pbs.twimg.com/profile_images/962471262747529216/Uo8lOkRJ_normal.jpg","View")</f>
        <v>View</v>
      </c>
      <c r="P3391" s="7"/>
    </row>
    <row r="3392" spans="1:16">
      <c r="A3392" s="3">
        <v>43904.819062499999</v>
      </c>
      <c r="B3392" s="4" t="str">
        <f>HYPERLINK("https://twitter.com/petrogustavo","@petrogustavo")</f>
        <v>@petrogustavo</v>
      </c>
      <c r="C3392" s="5" t="s">
        <v>16</v>
      </c>
      <c r="D3392" s="5" t="s">
        <v>3326</v>
      </c>
      <c r="E3392" s="6" t="str">
        <f>HYPERLINK("https://twitter.com/petrogustavo/status/1238829601461329920","1238829601461329920")</f>
        <v>1238829601461329920</v>
      </c>
      <c r="F3392" s="7" t="s">
        <v>17</v>
      </c>
      <c r="G3392" s="7">
        <v>3665085</v>
      </c>
      <c r="H3392" s="7">
        <v>2357</v>
      </c>
      <c r="I3392" s="7">
        <v>40</v>
      </c>
      <c r="J3392" s="7">
        <v>116</v>
      </c>
      <c r="K3392" s="7" t="s">
        <v>18</v>
      </c>
      <c r="L3392" s="8">
        <v>39987.315405092595</v>
      </c>
      <c r="M3392" s="9" t="s">
        <v>19</v>
      </c>
      <c r="N3392" s="9" t="s">
        <v>20</v>
      </c>
      <c r="O3392" s="6" t="str">
        <f>HYPERLINK("https://pbs.twimg.com/profile_images/962471262747529216/Uo8lOkRJ_normal.jpg","View")</f>
        <v>View</v>
      </c>
      <c r="P3392" s="7"/>
    </row>
    <row r="3393" spans="1:16">
      <c r="A3393" s="3">
        <v>43904.822164351848</v>
      </c>
      <c r="B3393" s="4" t="str">
        <f>HYPERLINK("https://twitter.com/petrogustavo","@petrogustavo")</f>
        <v>@petrogustavo</v>
      </c>
      <c r="C3393" s="5" t="s">
        <v>16</v>
      </c>
      <c r="D3393" s="5" t="s">
        <v>3327</v>
      </c>
      <c r="E3393" s="6" t="str">
        <f>HYPERLINK("https://twitter.com/petrogustavo/status/1238830725438332928","1238830725438332928")</f>
        <v>1238830725438332928</v>
      </c>
      <c r="F3393" s="7" t="s">
        <v>17</v>
      </c>
      <c r="G3393" s="7">
        <v>3665085</v>
      </c>
      <c r="H3393" s="7">
        <v>2357</v>
      </c>
      <c r="I3393" s="7">
        <v>15</v>
      </c>
      <c r="J3393" s="7">
        <v>65</v>
      </c>
      <c r="K3393" s="7" t="s">
        <v>18</v>
      </c>
      <c r="L3393" s="8">
        <v>39987.315405092595</v>
      </c>
      <c r="M3393" s="9" t="s">
        <v>19</v>
      </c>
      <c r="N3393" s="9" t="s">
        <v>20</v>
      </c>
      <c r="O3393" s="6" t="str">
        <f>HYPERLINK("https://pbs.twimg.com/profile_images/962471262747529216/Uo8lOkRJ_normal.jpg","View")</f>
        <v>View</v>
      </c>
      <c r="P3393" s="7"/>
    </row>
    <row r="3394" spans="1:16">
      <c r="A3394" s="3">
        <v>43904.822372685187</v>
      </c>
      <c r="B3394" s="4" t="str">
        <f>HYPERLINK("https://twitter.com/petrogustavo","@petrogustavo")</f>
        <v>@petrogustavo</v>
      </c>
      <c r="C3394" s="5" t="s">
        <v>16</v>
      </c>
      <c r="D3394" s="5" t="s">
        <v>3328</v>
      </c>
      <c r="E3394" s="6" t="str">
        <f>HYPERLINK("https://twitter.com/petrogustavo/status/1238830799346163712","1238830799346163712")</f>
        <v>1238830799346163712</v>
      </c>
      <c r="F3394" s="7" t="s">
        <v>17</v>
      </c>
      <c r="G3394" s="7">
        <v>3665085</v>
      </c>
      <c r="H3394" s="7">
        <v>2357</v>
      </c>
      <c r="I3394" s="7">
        <v>40</v>
      </c>
      <c r="J3394" s="7">
        <v>0</v>
      </c>
      <c r="K3394" s="7" t="s">
        <v>18</v>
      </c>
      <c r="L3394" s="8">
        <v>39987.315405092595</v>
      </c>
      <c r="M3394" s="9" t="s">
        <v>19</v>
      </c>
      <c r="N3394" s="9" t="s">
        <v>20</v>
      </c>
      <c r="O3394" s="6" t="str">
        <f>HYPERLINK("https://pbs.twimg.com/profile_images/962471262747529216/Uo8lOkRJ_normal.jpg","View")</f>
        <v>View</v>
      </c>
      <c r="P3394" s="7"/>
    </row>
    <row r="3395" spans="1:16">
      <c r="A3395" s="3">
        <v>43904.828125</v>
      </c>
      <c r="B3395" s="4" t="str">
        <f>HYPERLINK("https://twitter.com/petrogustavo","@petrogustavo")</f>
        <v>@petrogustavo</v>
      </c>
      <c r="C3395" s="5" t="s">
        <v>16</v>
      </c>
      <c r="D3395" s="5" t="s">
        <v>3242</v>
      </c>
      <c r="E3395" s="6" t="str">
        <f>HYPERLINK("https://twitter.com/petrogustavo/status/1238832884707987456","1238832884707987456")</f>
        <v>1238832884707987456</v>
      </c>
      <c r="F3395" s="7" t="s">
        <v>17</v>
      </c>
      <c r="G3395" s="7">
        <v>3665124</v>
      </c>
      <c r="H3395" s="7">
        <v>2357</v>
      </c>
      <c r="I3395" s="7">
        <v>2298</v>
      </c>
      <c r="J3395" s="7">
        <v>0</v>
      </c>
      <c r="K3395" s="7" t="s">
        <v>18</v>
      </c>
      <c r="L3395" s="8">
        <v>39987.315405092595</v>
      </c>
      <c r="M3395" s="9" t="s">
        <v>19</v>
      </c>
      <c r="N3395" s="9" t="s">
        <v>20</v>
      </c>
      <c r="O3395" s="6" t="str">
        <f>HYPERLINK("https://pbs.twimg.com/profile_images/962471262747529216/Uo8lOkRJ_normal.jpg","View")</f>
        <v>View</v>
      </c>
      <c r="P3395" s="7"/>
    </row>
    <row r="3396" spans="1:16">
      <c r="A3396" s="3">
        <v>43904.846342592587</v>
      </c>
      <c r="B3396" s="4" t="str">
        <f>HYPERLINK("https://twitter.com/petrogustavo","@petrogustavo")</f>
        <v>@petrogustavo</v>
      </c>
      <c r="C3396" s="5" t="s">
        <v>16</v>
      </c>
      <c r="D3396" s="5" t="s">
        <v>3329</v>
      </c>
      <c r="E3396" s="6" t="str">
        <f>HYPERLINK("https://twitter.com/petrogustavo/status/1238839487062474753","1238839487062474753")</f>
        <v>1238839487062474753</v>
      </c>
      <c r="F3396" s="7" t="s">
        <v>17</v>
      </c>
      <c r="G3396" s="7">
        <v>3665151</v>
      </c>
      <c r="H3396" s="7">
        <v>2357</v>
      </c>
      <c r="I3396" s="7">
        <v>47</v>
      </c>
      <c r="J3396" s="7">
        <v>0</v>
      </c>
      <c r="K3396" s="7" t="s">
        <v>18</v>
      </c>
      <c r="L3396" s="8">
        <v>39987.315405092595</v>
      </c>
      <c r="M3396" s="9" t="s">
        <v>19</v>
      </c>
      <c r="N3396" s="9" t="s">
        <v>20</v>
      </c>
      <c r="O3396" s="6" t="str">
        <f>HYPERLINK("https://pbs.twimg.com/profile_images/962471262747529216/Uo8lOkRJ_normal.jpg","View")</f>
        <v>View</v>
      </c>
      <c r="P3396" s="7"/>
    </row>
    <row r="3397" spans="1:16">
      <c r="A3397" s="3">
        <v>43904.852662037039</v>
      </c>
      <c r="B3397" s="4" t="str">
        <f>HYPERLINK("https://twitter.com/petrogustavo","@petrogustavo")</f>
        <v>@petrogustavo</v>
      </c>
      <c r="C3397" s="5" t="s">
        <v>16</v>
      </c>
      <c r="D3397" s="5" t="s">
        <v>3330</v>
      </c>
      <c r="E3397" s="6" t="str">
        <f>HYPERLINK("https://twitter.com/petrogustavo/status/1238841774728253444","1238841774728253444")</f>
        <v>1238841774728253444</v>
      </c>
      <c r="F3397" s="7" t="s">
        <v>17</v>
      </c>
      <c r="G3397" s="7">
        <v>3665151</v>
      </c>
      <c r="H3397" s="7">
        <v>2357</v>
      </c>
      <c r="I3397" s="7">
        <v>66</v>
      </c>
      <c r="J3397" s="7">
        <v>203</v>
      </c>
      <c r="K3397" s="7" t="s">
        <v>18</v>
      </c>
      <c r="L3397" s="8">
        <v>39987.315405092595</v>
      </c>
      <c r="M3397" s="9" t="s">
        <v>19</v>
      </c>
      <c r="N3397" s="9" t="s">
        <v>20</v>
      </c>
      <c r="O3397" s="6" t="str">
        <f>HYPERLINK("https://pbs.twimg.com/profile_images/962471262747529216/Uo8lOkRJ_normal.jpg","View")</f>
        <v>View</v>
      </c>
      <c r="P3397" s="7"/>
    </row>
    <row r="3398" spans="1:16">
      <c r="A3398" s="3">
        <v>43904.854629629626</v>
      </c>
      <c r="B3398" s="4" t="str">
        <f>HYPERLINK("https://twitter.com/petrogustavo","@petrogustavo")</f>
        <v>@petrogustavo</v>
      </c>
      <c r="C3398" s="5" t="s">
        <v>16</v>
      </c>
      <c r="D3398" s="5" t="s">
        <v>3331</v>
      </c>
      <c r="E3398" s="6" t="str">
        <f>HYPERLINK("https://twitter.com/petrogustavo/status/1238842489416663041","1238842489416663041")</f>
        <v>1238842489416663041</v>
      </c>
      <c r="F3398" s="7" t="s">
        <v>17</v>
      </c>
      <c r="G3398" s="7">
        <v>3665151</v>
      </c>
      <c r="H3398" s="7">
        <v>2357</v>
      </c>
      <c r="I3398" s="7">
        <v>32</v>
      </c>
      <c r="J3398" s="7">
        <v>114</v>
      </c>
      <c r="K3398" s="7" t="s">
        <v>18</v>
      </c>
      <c r="L3398" s="8">
        <v>39987.315405092595</v>
      </c>
      <c r="M3398" s="9" t="s">
        <v>19</v>
      </c>
      <c r="N3398" s="9" t="s">
        <v>20</v>
      </c>
      <c r="O3398" s="6" t="str">
        <f>HYPERLINK("https://pbs.twimg.com/profile_images/962471262747529216/Uo8lOkRJ_normal.jpg","View")</f>
        <v>View</v>
      </c>
      <c r="P3398" s="7"/>
    </row>
    <row r="3399" spans="1:16">
      <c r="A3399" s="3">
        <v>43904.856631944444</v>
      </c>
      <c r="B3399" s="4" t="str">
        <f>HYPERLINK("https://twitter.com/petrogustavo","@petrogustavo")</f>
        <v>@petrogustavo</v>
      </c>
      <c r="C3399" s="5" t="s">
        <v>16</v>
      </c>
      <c r="D3399" s="5" t="s">
        <v>3332</v>
      </c>
      <c r="E3399" s="6" t="str">
        <f>HYPERLINK("https://twitter.com/petrogustavo/status/1238843213768806401","1238843213768806401")</f>
        <v>1238843213768806401</v>
      </c>
      <c r="F3399" s="7" t="s">
        <v>17</v>
      </c>
      <c r="G3399" s="7">
        <v>3665151</v>
      </c>
      <c r="H3399" s="7">
        <v>2357</v>
      </c>
      <c r="I3399" s="7">
        <v>22</v>
      </c>
      <c r="J3399" s="7">
        <v>63</v>
      </c>
      <c r="K3399" s="7" t="s">
        <v>18</v>
      </c>
      <c r="L3399" s="8">
        <v>39987.315405092595</v>
      </c>
      <c r="M3399" s="9" t="s">
        <v>19</v>
      </c>
      <c r="N3399" s="9" t="s">
        <v>20</v>
      </c>
      <c r="O3399" s="6" t="str">
        <f>HYPERLINK("https://pbs.twimg.com/profile_images/962471262747529216/Uo8lOkRJ_normal.jpg","View")</f>
        <v>View</v>
      </c>
      <c r="P3399" s="7"/>
    </row>
    <row r="3400" spans="1:16">
      <c r="A3400" s="3">
        <v>43904.86309027778</v>
      </c>
      <c r="B3400" s="4" t="str">
        <f>HYPERLINK("https://twitter.com/petrogustavo","@petrogustavo")</f>
        <v>@petrogustavo</v>
      </c>
      <c r="C3400" s="5" t="s">
        <v>16</v>
      </c>
      <c r="D3400" s="5" t="s">
        <v>3333</v>
      </c>
      <c r="E3400" s="6" t="str">
        <f>HYPERLINK("https://twitter.com/petrogustavo/status/1238845556031737856","1238845556031737856")</f>
        <v>1238845556031737856</v>
      </c>
      <c r="F3400" s="7" t="s">
        <v>17</v>
      </c>
      <c r="G3400" s="7">
        <v>3665151</v>
      </c>
      <c r="H3400" s="7">
        <v>2357</v>
      </c>
      <c r="I3400" s="7">
        <v>4</v>
      </c>
      <c r="J3400" s="7">
        <v>23</v>
      </c>
      <c r="K3400" s="7" t="s">
        <v>18</v>
      </c>
      <c r="L3400" s="8">
        <v>39987.315405092595</v>
      </c>
      <c r="M3400" s="9" t="s">
        <v>19</v>
      </c>
      <c r="N3400" s="9" t="s">
        <v>20</v>
      </c>
      <c r="O3400" s="6" t="str">
        <f>HYPERLINK("https://pbs.twimg.com/profile_images/962471262747529216/Uo8lOkRJ_normal.jpg","View")</f>
        <v>View</v>
      </c>
      <c r="P3400" s="7"/>
    </row>
    <row r="3401" spans="1:16">
      <c r="A3401" s="3">
        <v>43904.864814814813</v>
      </c>
      <c r="B3401" s="4" t="str">
        <f>HYPERLINK("https://twitter.com/petrogustavo","@petrogustavo")</f>
        <v>@petrogustavo</v>
      </c>
      <c r="C3401" s="5" t="s">
        <v>16</v>
      </c>
      <c r="D3401" s="5" t="s">
        <v>3334</v>
      </c>
      <c r="E3401" s="6" t="str">
        <f>HYPERLINK("https://twitter.com/petrogustavo/status/1238846178504118277","1238846178504118277")</f>
        <v>1238846178504118277</v>
      </c>
      <c r="F3401" s="7" t="s">
        <v>17</v>
      </c>
      <c r="G3401" s="7">
        <v>3665151</v>
      </c>
      <c r="H3401" s="7">
        <v>2357</v>
      </c>
      <c r="I3401" s="7">
        <v>4</v>
      </c>
      <c r="J3401" s="7">
        <v>8</v>
      </c>
      <c r="K3401" s="7" t="s">
        <v>18</v>
      </c>
      <c r="L3401" s="8">
        <v>39987.315405092595</v>
      </c>
      <c r="M3401" s="9" t="s">
        <v>19</v>
      </c>
      <c r="N3401" s="9" t="s">
        <v>20</v>
      </c>
      <c r="O3401" s="6" t="str">
        <f>HYPERLINK("https://pbs.twimg.com/profile_images/962471262747529216/Uo8lOkRJ_normal.jpg","View")</f>
        <v>View</v>
      </c>
      <c r="P3401" s="7"/>
    </row>
    <row r="3402" spans="1:16">
      <c r="A3402" s="3">
        <v>43904.873564814814</v>
      </c>
      <c r="B3402" s="4" t="str">
        <f>HYPERLINK("https://twitter.com/petrogustavo","@petrogustavo")</f>
        <v>@petrogustavo</v>
      </c>
      <c r="C3402" s="5" t="s">
        <v>16</v>
      </c>
      <c r="D3402" s="5" t="s">
        <v>3335</v>
      </c>
      <c r="E3402" s="6" t="str">
        <f>HYPERLINK("https://twitter.com/petrogustavo/status/1238849351163748353","1238849351163748353")</f>
        <v>1238849351163748353</v>
      </c>
      <c r="F3402" s="7" t="s">
        <v>17</v>
      </c>
      <c r="G3402" s="7">
        <v>3665180</v>
      </c>
      <c r="H3402" s="7">
        <v>2357</v>
      </c>
      <c r="I3402" s="7">
        <v>40</v>
      </c>
      <c r="J3402" s="7">
        <v>127</v>
      </c>
      <c r="K3402" s="7" t="s">
        <v>18</v>
      </c>
      <c r="L3402" s="8">
        <v>39987.315405092595</v>
      </c>
      <c r="M3402" s="9" t="s">
        <v>19</v>
      </c>
      <c r="N3402" s="9" t="s">
        <v>20</v>
      </c>
      <c r="O3402" s="6" t="str">
        <f>HYPERLINK("https://pbs.twimg.com/profile_images/962471262747529216/Uo8lOkRJ_normal.jpg","View")</f>
        <v>View</v>
      </c>
      <c r="P3402" s="7"/>
    </row>
    <row r="3403" spans="1:16">
      <c r="A3403" s="3">
        <v>43904.885567129633</v>
      </c>
      <c r="B3403" s="4" t="str">
        <f>HYPERLINK("https://twitter.com/petrogustavo","@petrogustavo")</f>
        <v>@petrogustavo</v>
      </c>
      <c r="C3403" s="5" t="s">
        <v>16</v>
      </c>
      <c r="D3403" s="5" t="s">
        <v>3336</v>
      </c>
      <c r="E3403" s="6" t="str">
        <f>HYPERLINK("https://twitter.com/petrogustavo/status/1238853700673835011","1238853700673835011")</f>
        <v>1238853700673835011</v>
      </c>
      <c r="F3403" s="7" t="s">
        <v>17</v>
      </c>
      <c r="G3403" s="7">
        <v>3665180</v>
      </c>
      <c r="H3403" s="7">
        <v>2357</v>
      </c>
      <c r="I3403" s="7">
        <v>30</v>
      </c>
      <c r="J3403" s="7">
        <v>83</v>
      </c>
      <c r="K3403" s="7" t="s">
        <v>18</v>
      </c>
      <c r="L3403" s="8">
        <v>39987.315405092595</v>
      </c>
      <c r="M3403" s="9" t="s">
        <v>19</v>
      </c>
      <c r="N3403" s="9" t="s">
        <v>20</v>
      </c>
      <c r="O3403" s="6" t="str">
        <f>HYPERLINK("https://pbs.twimg.com/profile_images/962471262747529216/Uo8lOkRJ_normal.jpg","View")</f>
        <v>View</v>
      </c>
      <c r="P3403" s="7"/>
    </row>
    <row r="3404" spans="1:16">
      <c r="A3404" s="3">
        <v>43904.888090277775</v>
      </c>
      <c r="B3404" s="4" t="str">
        <f>HYPERLINK("https://twitter.com/petrogustavo","@petrogustavo")</f>
        <v>@petrogustavo</v>
      </c>
      <c r="C3404" s="5" t="s">
        <v>16</v>
      </c>
      <c r="D3404" s="5" t="s">
        <v>3337</v>
      </c>
      <c r="E3404" s="6" t="str">
        <f>HYPERLINK("https://twitter.com/petrogustavo/status/1238854615740940293","1238854615740940293")</f>
        <v>1238854615740940293</v>
      </c>
      <c r="F3404" s="7" t="s">
        <v>17</v>
      </c>
      <c r="G3404" s="7">
        <v>3665212</v>
      </c>
      <c r="H3404" s="7">
        <v>2357</v>
      </c>
      <c r="I3404" s="7">
        <v>98</v>
      </c>
      <c r="J3404" s="7">
        <v>358</v>
      </c>
      <c r="K3404" s="7" t="s">
        <v>18</v>
      </c>
      <c r="L3404" s="8">
        <v>39987.315405092595</v>
      </c>
      <c r="M3404" s="9" t="s">
        <v>19</v>
      </c>
      <c r="N3404" s="9" t="s">
        <v>20</v>
      </c>
      <c r="O3404" s="6" t="str">
        <f>HYPERLINK("https://pbs.twimg.com/profile_images/962471262747529216/Uo8lOkRJ_normal.jpg","View")</f>
        <v>View</v>
      </c>
      <c r="P3404" s="7"/>
    </row>
    <row r="3405" spans="1:16">
      <c r="A3405" s="3">
        <v>43904.889398148152</v>
      </c>
      <c r="B3405" s="4" t="str">
        <f>HYPERLINK("https://twitter.com/petrogustavo","@petrogustavo")</f>
        <v>@petrogustavo</v>
      </c>
      <c r="C3405" s="5" t="s">
        <v>16</v>
      </c>
      <c r="D3405" s="5" t="s">
        <v>3338</v>
      </c>
      <c r="E3405" s="6" t="str">
        <f>HYPERLINK("https://twitter.com/petrogustavo/status/1238855087025463297","1238855087025463297")</f>
        <v>1238855087025463297</v>
      </c>
      <c r="F3405" s="7" t="s">
        <v>17</v>
      </c>
      <c r="G3405" s="7">
        <v>3665212</v>
      </c>
      <c r="H3405" s="7">
        <v>2357</v>
      </c>
      <c r="I3405" s="7">
        <v>51</v>
      </c>
      <c r="J3405" s="7">
        <v>0</v>
      </c>
      <c r="K3405" s="7" t="s">
        <v>18</v>
      </c>
      <c r="L3405" s="8">
        <v>39987.315405092595</v>
      </c>
      <c r="M3405" s="9" t="s">
        <v>19</v>
      </c>
      <c r="N3405" s="9" t="s">
        <v>20</v>
      </c>
      <c r="O3405" s="6" t="str">
        <f>HYPERLINK("https://pbs.twimg.com/profile_images/962471262747529216/Uo8lOkRJ_normal.jpg","View")</f>
        <v>View</v>
      </c>
      <c r="P3405" s="7"/>
    </row>
    <row r="3406" spans="1:16">
      <c r="A3406" s="3">
        <v>43904.899849537032</v>
      </c>
      <c r="B3406" s="4" t="str">
        <f>HYPERLINK("https://twitter.com/petrogustavo","@petrogustavo")</f>
        <v>@petrogustavo</v>
      </c>
      <c r="C3406" s="5" t="s">
        <v>16</v>
      </c>
      <c r="D3406" s="5" t="s">
        <v>3339</v>
      </c>
      <c r="E3406" s="6" t="str">
        <f>HYPERLINK("https://twitter.com/petrogustavo/status/1238858877296357379","1238858877296357379")</f>
        <v>1238858877296357379</v>
      </c>
      <c r="F3406" s="7" t="s">
        <v>17</v>
      </c>
      <c r="G3406" s="7">
        <v>3665212</v>
      </c>
      <c r="H3406" s="7">
        <v>2357</v>
      </c>
      <c r="I3406" s="7">
        <v>30</v>
      </c>
      <c r="J3406" s="7">
        <v>0</v>
      </c>
      <c r="K3406" s="7" t="s">
        <v>18</v>
      </c>
      <c r="L3406" s="8">
        <v>39987.315405092595</v>
      </c>
      <c r="M3406" s="9" t="s">
        <v>19</v>
      </c>
      <c r="N3406" s="9" t="s">
        <v>20</v>
      </c>
      <c r="O3406" s="6" t="str">
        <f>HYPERLINK("https://pbs.twimg.com/profile_images/962471262747529216/Uo8lOkRJ_normal.jpg","View")</f>
        <v>View</v>
      </c>
      <c r="P3406" s="7"/>
    </row>
    <row r="3407" spans="1:16">
      <c r="A3407" s="3">
        <v>43904.900844907403</v>
      </c>
      <c r="B3407" s="4" t="str">
        <f>HYPERLINK("https://twitter.com/petrogustavo","@petrogustavo")</f>
        <v>@petrogustavo</v>
      </c>
      <c r="C3407" s="5" t="s">
        <v>16</v>
      </c>
      <c r="D3407" s="5" t="s">
        <v>3340</v>
      </c>
      <c r="E3407" s="6" t="str">
        <f>HYPERLINK("https://twitter.com/petrogustavo/status/1238859238275002369","1238859238275002369")</f>
        <v>1238859238275002369</v>
      </c>
      <c r="F3407" s="7" t="s">
        <v>17</v>
      </c>
      <c r="G3407" s="7">
        <v>3665212</v>
      </c>
      <c r="H3407" s="7">
        <v>2357</v>
      </c>
      <c r="I3407" s="7">
        <v>124</v>
      </c>
      <c r="J3407" s="7">
        <v>0</v>
      </c>
      <c r="K3407" s="7" t="s">
        <v>18</v>
      </c>
      <c r="L3407" s="8">
        <v>39987.315405092595</v>
      </c>
      <c r="M3407" s="9" t="s">
        <v>19</v>
      </c>
      <c r="N3407" s="9" t="s">
        <v>20</v>
      </c>
      <c r="O3407" s="6" t="str">
        <f>HYPERLINK("https://pbs.twimg.com/profile_images/962471262747529216/Uo8lOkRJ_normal.jpg","View")</f>
        <v>View</v>
      </c>
      <c r="P3407" s="7"/>
    </row>
    <row r="3408" spans="1:16">
      <c r="A3408" s="3">
        <v>43904.902106481481</v>
      </c>
      <c r="B3408" s="4" t="str">
        <f>HYPERLINK("https://twitter.com/petrogustavo","@petrogustavo")</f>
        <v>@petrogustavo</v>
      </c>
      <c r="C3408" s="5" t="s">
        <v>16</v>
      </c>
      <c r="D3408" s="5" t="s">
        <v>3341</v>
      </c>
      <c r="E3408" s="6" t="str">
        <f>HYPERLINK("https://twitter.com/petrogustavo/status/1238859691628924931","1238859691628924931")</f>
        <v>1238859691628924931</v>
      </c>
      <c r="F3408" s="7" t="s">
        <v>17</v>
      </c>
      <c r="G3408" s="7">
        <v>3665212</v>
      </c>
      <c r="H3408" s="7">
        <v>2357</v>
      </c>
      <c r="I3408" s="7">
        <v>59</v>
      </c>
      <c r="J3408" s="7">
        <v>0</v>
      </c>
      <c r="K3408" s="7" t="s">
        <v>18</v>
      </c>
      <c r="L3408" s="8">
        <v>39987.315405092595</v>
      </c>
      <c r="M3408" s="9" t="s">
        <v>19</v>
      </c>
      <c r="N3408" s="9" t="s">
        <v>20</v>
      </c>
      <c r="O3408" s="6" t="str">
        <f>HYPERLINK("https://pbs.twimg.com/profile_images/962471262747529216/Uo8lOkRJ_normal.jpg","View")</f>
        <v>View</v>
      </c>
      <c r="P3408" s="7"/>
    </row>
    <row r="3409" spans="1:16">
      <c r="A3409" s="3">
        <v>43904.912233796298</v>
      </c>
      <c r="B3409" s="4" t="str">
        <f>HYPERLINK("https://twitter.com/petrogustavo","@petrogustavo")</f>
        <v>@petrogustavo</v>
      </c>
      <c r="C3409" s="5" t="s">
        <v>16</v>
      </c>
      <c r="D3409" s="5" t="s">
        <v>3342</v>
      </c>
      <c r="E3409" s="6" t="str">
        <f>HYPERLINK("https://twitter.com/petrogustavo/status/1238863364048257024","1238863364048257024")</f>
        <v>1238863364048257024</v>
      </c>
      <c r="F3409" s="7" t="s">
        <v>17</v>
      </c>
      <c r="G3409" s="7">
        <v>3665243</v>
      </c>
      <c r="H3409" s="7">
        <v>2357</v>
      </c>
      <c r="I3409" s="7">
        <v>363</v>
      </c>
      <c r="J3409" s="7">
        <v>1282</v>
      </c>
      <c r="K3409" s="7" t="s">
        <v>18</v>
      </c>
      <c r="L3409" s="8">
        <v>39987.315405092595</v>
      </c>
      <c r="M3409" s="9" t="s">
        <v>19</v>
      </c>
      <c r="N3409" s="9" t="s">
        <v>20</v>
      </c>
      <c r="O3409" s="6" t="str">
        <f>HYPERLINK("https://pbs.twimg.com/profile_images/962471262747529216/Uo8lOkRJ_normal.jpg","View")</f>
        <v>View</v>
      </c>
      <c r="P3409" s="7"/>
    </row>
    <row r="3410" spans="1:16">
      <c r="A3410" s="3">
        <v>43904.929201388892</v>
      </c>
      <c r="B3410" s="4" t="str">
        <f>HYPERLINK("https://twitter.com/petrogustavo","@petrogustavo")</f>
        <v>@petrogustavo</v>
      </c>
      <c r="C3410" s="5" t="s">
        <v>16</v>
      </c>
      <c r="D3410" s="5" t="s">
        <v>3343</v>
      </c>
      <c r="E3410" s="6" t="str">
        <f>HYPERLINK("https://twitter.com/petrogustavo/status/1238869514458103810","1238869514458103810")</f>
        <v>1238869514458103810</v>
      </c>
      <c r="F3410" s="7" t="s">
        <v>17</v>
      </c>
      <c r="G3410" s="7">
        <v>3665286</v>
      </c>
      <c r="H3410" s="7">
        <v>2357</v>
      </c>
      <c r="I3410" s="7">
        <v>48</v>
      </c>
      <c r="J3410" s="7">
        <v>127</v>
      </c>
      <c r="K3410" s="7" t="s">
        <v>18</v>
      </c>
      <c r="L3410" s="8">
        <v>39987.315405092595</v>
      </c>
      <c r="M3410" s="9" t="s">
        <v>19</v>
      </c>
      <c r="N3410" s="9" t="s">
        <v>20</v>
      </c>
      <c r="O3410" s="6" t="str">
        <f>HYPERLINK("https://pbs.twimg.com/profile_images/962471262747529216/Uo8lOkRJ_normal.jpg","View")</f>
        <v>View</v>
      </c>
      <c r="P3410" s="7"/>
    </row>
    <row r="3411" spans="1:16">
      <c r="A3411" s="3">
        <v>43904.944976851853</v>
      </c>
      <c r="B3411" s="4" t="str">
        <f>HYPERLINK("https://twitter.com/petrogustavo","@petrogustavo")</f>
        <v>@petrogustavo</v>
      </c>
      <c r="C3411" s="5" t="s">
        <v>16</v>
      </c>
      <c r="D3411" s="5" t="s">
        <v>3344</v>
      </c>
      <c r="E3411" s="6" t="str">
        <f>HYPERLINK("https://twitter.com/petrogustavo/status/1238875227750313984","1238875227750313984")</f>
        <v>1238875227750313984</v>
      </c>
      <c r="F3411" s="7" t="s">
        <v>17</v>
      </c>
      <c r="G3411" s="7">
        <v>3665286</v>
      </c>
      <c r="H3411" s="7">
        <v>2357</v>
      </c>
      <c r="I3411" s="7">
        <v>705</v>
      </c>
      <c r="J3411" s="7">
        <v>0</v>
      </c>
      <c r="K3411" s="7" t="s">
        <v>18</v>
      </c>
      <c r="L3411" s="8">
        <v>39987.315405092595</v>
      </c>
      <c r="M3411" s="9" t="s">
        <v>19</v>
      </c>
      <c r="N3411" s="9" t="s">
        <v>20</v>
      </c>
      <c r="O3411" s="6" t="str">
        <f>HYPERLINK("https://pbs.twimg.com/profile_images/962471262747529216/Uo8lOkRJ_normal.jpg","View")</f>
        <v>View</v>
      </c>
      <c r="P3411" s="7"/>
    </row>
    <row r="3412" spans="1:16">
      <c r="A3412" s="3">
        <v>43904.950821759259</v>
      </c>
      <c r="B3412" s="4" t="str">
        <f>HYPERLINK("https://twitter.com/petrogustavo","@petrogustavo")</f>
        <v>@petrogustavo</v>
      </c>
      <c r="C3412" s="5" t="s">
        <v>16</v>
      </c>
      <c r="D3412" s="5" t="s">
        <v>3345</v>
      </c>
      <c r="E3412" s="6" t="str">
        <f>HYPERLINK("https://twitter.com/petrogustavo/status/1238877345806790657","1238877345806790657")</f>
        <v>1238877345806790657</v>
      </c>
      <c r="F3412" s="7" t="s">
        <v>17</v>
      </c>
      <c r="G3412" s="7">
        <v>3665331</v>
      </c>
      <c r="H3412" s="7">
        <v>2357</v>
      </c>
      <c r="I3412" s="7">
        <v>39</v>
      </c>
      <c r="J3412" s="7">
        <v>129</v>
      </c>
      <c r="K3412" s="7" t="s">
        <v>18</v>
      </c>
      <c r="L3412" s="8">
        <v>39987.315405092595</v>
      </c>
      <c r="M3412" s="9" t="s">
        <v>19</v>
      </c>
      <c r="N3412" s="9" t="s">
        <v>20</v>
      </c>
      <c r="O3412" s="6" t="str">
        <f>HYPERLINK("https://pbs.twimg.com/profile_images/962471262747529216/Uo8lOkRJ_normal.jpg","View")</f>
        <v>View</v>
      </c>
      <c r="P3412" s="7"/>
    </row>
    <row r="3413" spans="1:16">
      <c r="A3413" s="3">
        <v>43904.950983796298</v>
      </c>
      <c r="B3413" s="4" t="str">
        <f>HYPERLINK("https://twitter.com/petrogustavo","@petrogustavo")</f>
        <v>@petrogustavo</v>
      </c>
      <c r="C3413" s="5" t="s">
        <v>16</v>
      </c>
      <c r="D3413" s="5" t="s">
        <v>3344</v>
      </c>
      <c r="E3413" s="6" t="str">
        <f>HYPERLINK("https://twitter.com/petrogustavo/status/1238877407932755968","1238877407932755968")</f>
        <v>1238877407932755968</v>
      </c>
      <c r="F3413" s="7" t="s">
        <v>17</v>
      </c>
      <c r="G3413" s="7">
        <v>3665331</v>
      </c>
      <c r="H3413" s="7">
        <v>2357</v>
      </c>
      <c r="I3413" s="7">
        <v>976</v>
      </c>
      <c r="J3413" s="7">
        <v>0</v>
      </c>
      <c r="K3413" s="7" t="s">
        <v>18</v>
      </c>
      <c r="L3413" s="8">
        <v>39987.315405092595</v>
      </c>
      <c r="M3413" s="9" t="s">
        <v>19</v>
      </c>
      <c r="N3413" s="9" t="s">
        <v>20</v>
      </c>
      <c r="O3413" s="6" t="str">
        <f>HYPERLINK("https://pbs.twimg.com/profile_images/962471262747529216/Uo8lOkRJ_normal.jpg","View")</f>
        <v>View</v>
      </c>
      <c r="P3413" s="7"/>
    </row>
    <row r="3414" spans="1:16">
      <c r="A3414" s="3">
        <v>43905.015451388885</v>
      </c>
      <c r="B3414" s="4" t="str">
        <f>HYPERLINK("https://twitter.com/petrogustavo","@petrogustavo")</f>
        <v>@petrogustavo</v>
      </c>
      <c r="C3414" s="5" t="s">
        <v>16</v>
      </c>
      <c r="D3414" s="5" t="s">
        <v>3346</v>
      </c>
      <c r="E3414" s="6" t="str">
        <f>HYPERLINK("https://twitter.com/petrogustavo/status/1238900767546920962","1238900767546920962")</f>
        <v>1238900767546920962</v>
      </c>
      <c r="F3414" s="7" t="s">
        <v>17</v>
      </c>
      <c r="G3414" s="7">
        <v>3665416</v>
      </c>
      <c r="H3414" s="7">
        <v>2357</v>
      </c>
      <c r="I3414" s="7">
        <v>18</v>
      </c>
      <c r="J3414" s="7">
        <v>0</v>
      </c>
      <c r="K3414" s="7" t="s">
        <v>18</v>
      </c>
      <c r="L3414" s="8">
        <v>39987.315405092595</v>
      </c>
      <c r="M3414" s="9" t="s">
        <v>19</v>
      </c>
      <c r="N3414" s="9" t="s">
        <v>20</v>
      </c>
      <c r="O3414" s="6" t="str">
        <f>HYPERLINK("https://pbs.twimg.com/profile_images/962471262747529216/Uo8lOkRJ_normal.jpg","View")</f>
        <v>View</v>
      </c>
      <c r="P3414" s="7"/>
    </row>
    <row r="3415" spans="1:16">
      <c r="A3415" s="3">
        <v>43905.015752314815</v>
      </c>
      <c r="B3415" s="4" t="str">
        <f>HYPERLINK("https://twitter.com/petrogustavo","@petrogustavo")</f>
        <v>@petrogustavo</v>
      </c>
      <c r="C3415" s="5" t="s">
        <v>16</v>
      </c>
      <c r="D3415" s="5" t="s">
        <v>3347</v>
      </c>
      <c r="E3415" s="6" t="str">
        <f>HYPERLINK("https://twitter.com/petrogustavo/status/1238900879442554885","1238900879442554885")</f>
        <v>1238900879442554885</v>
      </c>
      <c r="F3415" s="7" t="s">
        <v>17</v>
      </c>
      <c r="G3415" s="7">
        <v>3665416</v>
      </c>
      <c r="H3415" s="7">
        <v>2357</v>
      </c>
      <c r="I3415" s="7">
        <v>29</v>
      </c>
      <c r="J3415" s="7">
        <v>0</v>
      </c>
      <c r="K3415" s="7" t="s">
        <v>18</v>
      </c>
      <c r="L3415" s="8">
        <v>39987.315405092595</v>
      </c>
      <c r="M3415" s="9" t="s">
        <v>19</v>
      </c>
      <c r="N3415" s="9" t="s">
        <v>20</v>
      </c>
      <c r="O3415" s="6" t="str">
        <f>HYPERLINK("https://pbs.twimg.com/profile_images/962471262747529216/Uo8lOkRJ_normal.jpg","View")</f>
        <v>View</v>
      </c>
      <c r="P3415" s="7"/>
    </row>
    <row r="3416" spans="1:16">
      <c r="A3416" s="3">
        <v>43905.024201388893</v>
      </c>
      <c r="B3416" s="4" t="str">
        <f>HYPERLINK("https://twitter.com/petrogustavo","@petrogustavo")</f>
        <v>@petrogustavo</v>
      </c>
      <c r="C3416" s="5" t="s">
        <v>16</v>
      </c>
      <c r="D3416" s="5" t="s">
        <v>3348</v>
      </c>
      <c r="E3416" s="6" t="str">
        <f>HYPERLINK("https://twitter.com/petrogustavo/status/1238903940999241730","1238903940999241730")</f>
        <v>1238903940999241730</v>
      </c>
      <c r="F3416" s="7" t="s">
        <v>17</v>
      </c>
      <c r="G3416" s="7">
        <v>3665416</v>
      </c>
      <c r="H3416" s="7">
        <v>2357</v>
      </c>
      <c r="I3416" s="7">
        <v>72</v>
      </c>
      <c r="J3416" s="7">
        <v>0</v>
      </c>
      <c r="K3416" s="7" t="s">
        <v>18</v>
      </c>
      <c r="L3416" s="8">
        <v>39987.315405092595</v>
      </c>
      <c r="M3416" s="9" t="s">
        <v>19</v>
      </c>
      <c r="N3416" s="9" t="s">
        <v>20</v>
      </c>
      <c r="O3416" s="6" t="str">
        <f>HYPERLINK("https://pbs.twimg.com/profile_images/962471262747529216/Uo8lOkRJ_normal.jpg","View")</f>
        <v>View</v>
      </c>
      <c r="P3416" s="7"/>
    </row>
    <row r="3417" spans="1:16">
      <c r="A3417" s="3">
        <v>43905.024363425924</v>
      </c>
      <c r="B3417" s="4" t="str">
        <f>HYPERLINK("https://twitter.com/petrogustavo","@petrogustavo")</f>
        <v>@petrogustavo</v>
      </c>
      <c r="C3417" s="5" t="s">
        <v>16</v>
      </c>
      <c r="D3417" s="5" t="s">
        <v>3349</v>
      </c>
      <c r="E3417" s="6" t="str">
        <f>HYPERLINK("https://twitter.com/petrogustavo/status/1238903999086149638","1238903999086149638")</f>
        <v>1238903999086149638</v>
      </c>
      <c r="F3417" s="7" t="s">
        <v>17</v>
      </c>
      <c r="G3417" s="7">
        <v>3665416</v>
      </c>
      <c r="H3417" s="7">
        <v>2357</v>
      </c>
      <c r="I3417" s="7">
        <v>15</v>
      </c>
      <c r="J3417" s="7">
        <v>0</v>
      </c>
      <c r="K3417" s="7" t="s">
        <v>18</v>
      </c>
      <c r="L3417" s="8">
        <v>39987.315405092595</v>
      </c>
      <c r="M3417" s="9" t="s">
        <v>19</v>
      </c>
      <c r="N3417" s="9" t="s">
        <v>20</v>
      </c>
      <c r="O3417" s="6" t="str">
        <f>HYPERLINK("https://pbs.twimg.com/profile_images/962471262747529216/Uo8lOkRJ_normal.jpg","View")</f>
        <v>View</v>
      </c>
      <c r="P3417" s="7"/>
    </row>
    <row r="3418" spans="1:16">
      <c r="A3418" s="3">
        <v>43905.024479166663</v>
      </c>
      <c r="B3418" s="4" t="str">
        <f>HYPERLINK("https://twitter.com/petrogustavo","@petrogustavo")</f>
        <v>@petrogustavo</v>
      </c>
      <c r="C3418" s="5" t="s">
        <v>16</v>
      </c>
      <c r="D3418" s="5" t="s">
        <v>3350</v>
      </c>
      <c r="E3418" s="6" t="str">
        <f>HYPERLINK("https://twitter.com/petrogustavo/status/1238904041381363712","1238904041381363712")</f>
        <v>1238904041381363712</v>
      </c>
      <c r="F3418" s="7" t="s">
        <v>17</v>
      </c>
      <c r="G3418" s="7">
        <v>3665416</v>
      </c>
      <c r="H3418" s="7">
        <v>2357</v>
      </c>
      <c r="I3418" s="7">
        <v>13</v>
      </c>
      <c r="J3418" s="7">
        <v>0</v>
      </c>
      <c r="K3418" s="7" t="s">
        <v>18</v>
      </c>
      <c r="L3418" s="8">
        <v>39987.315405092595</v>
      </c>
      <c r="M3418" s="9" t="s">
        <v>19</v>
      </c>
      <c r="N3418" s="9" t="s">
        <v>20</v>
      </c>
      <c r="O3418" s="6" t="str">
        <f>HYPERLINK("https://pbs.twimg.com/profile_images/962471262747529216/Uo8lOkRJ_normal.jpg","View")</f>
        <v>View</v>
      </c>
      <c r="P3418" s="7"/>
    </row>
    <row r="3419" spans="1:16">
      <c r="A3419" s="3">
        <v>43905.024641203709</v>
      </c>
      <c r="B3419" s="4" t="str">
        <f>HYPERLINK("https://twitter.com/petrogustavo","@petrogustavo")</f>
        <v>@petrogustavo</v>
      </c>
      <c r="C3419" s="5" t="s">
        <v>16</v>
      </c>
      <c r="D3419" s="5" t="s">
        <v>3351</v>
      </c>
      <c r="E3419" s="6" t="str">
        <f>HYPERLINK("https://twitter.com/petrogustavo/status/1238904098444935170","1238904098444935170")</f>
        <v>1238904098444935170</v>
      </c>
      <c r="F3419" s="7" t="s">
        <v>17</v>
      </c>
      <c r="G3419" s="7">
        <v>3665416</v>
      </c>
      <c r="H3419" s="7">
        <v>2357</v>
      </c>
      <c r="I3419" s="7">
        <v>12</v>
      </c>
      <c r="J3419" s="7">
        <v>0</v>
      </c>
      <c r="K3419" s="7" t="s">
        <v>18</v>
      </c>
      <c r="L3419" s="8">
        <v>39987.315405092595</v>
      </c>
      <c r="M3419" s="9" t="s">
        <v>19</v>
      </c>
      <c r="N3419" s="9" t="s">
        <v>20</v>
      </c>
      <c r="O3419" s="6" t="str">
        <f>HYPERLINK("https://pbs.twimg.com/profile_images/962471262747529216/Uo8lOkRJ_normal.jpg","View")</f>
        <v>View</v>
      </c>
      <c r="P3419" s="7"/>
    </row>
    <row r="3420" spans="1:16">
      <c r="A3420" s="3">
        <v>43905.024976851855</v>
      </c>
      <c r="B3420" s="4" t="str">
        <f>HYPERLINK("https://twitter.com/petrogustavo","@petrogustavo")</f>
        <v>@petrogustavo</v>
      </c>
      <c r="C3420" s="5" t="s">
        <v>16</v>
      </c>
      <c r="D3420" s="5" t="s">
        <v>3352</v>
      </c>
      <c r="E3420" s="6" t="str">
        <f>HYPERLINK("https://twitter.com/petrogustavo/status/1238904220847398912","1238904220847398912")</f>
        <v>1238904220847398912</v>
      </c>
      <c r="F3420" s="7" t="s">
        <v>17</v>
      </c>
      <c r="G3420" s="7">
        <v>3665416</v>
      </c>
      <c r="H3420" s="7">
        <v>2357</v>
      </c>
      <c r="I3420" s="7">
        <v>14</v>
      </c>
      <c r="J3420" s="7">
        <v>0</v>
      </c>
      <c r="K3420" s="7" t="s">
        <v>18</v>
      </c>
      <c r="L3420" s="8">
        <v>39987.315405092595</v>
      </c>
      <c r="M3420" s="9" t="s">
        <v>19</v>
      </c>
      <c r="N3420" s="9" t="s">
        <v>20</v>
      </c>
      <c r="O3420" s="6" t="str">
        <f>HYPERLINK("https://pbs.twimg.com/profile_images/962471262747529216/Uo8lOkRJ_normal.jpg","View")</f>
        <v>View</v>
      </c>
      <c r="P3420" s="7"/>
    </row>
    <row r="3421" spans="1:16">
      <c r="A3421" s="3">
        <v>43905.026493055557</v>
      </c>
      <c r="B3421" s="4" t="str">
        <f>HYPERLINK("https://twitter.com/petrogustavo","@petrogustavo")</f>
        <v>@petrogustavo</v>
      </c>
      <c r="C3421" s="5" t="s">
        <v>16</v>
      </c>
      <c r="D3421" s="5" t="s">
        <v>3353</v>
      </c>
      <c r="E3421" s="6" t="str">
        <f>HYPERLINK("https://twitter.com/petrogustavo/status/1238904769563045888","1238904769563045888")</f>
        <v>1238904769563045888</v>
      </c>
      <c r="F3421" s="7" t="s">
        <v>17</v>
      </c>
      <c r="G3421" s="7">
        <v>3665416</v>
      </c>
      <c r="H3421" s="7">
        <v>2357</v>
      </c>
      <c r="I3421" s="7">
        <v>76</v>
      </c>
      <c r="J3421" s="7">
        <v>0</v>
      </c>
      <c r="K3421" s="7" t="s">
        <v>18</v>
      </c>
      <c r="L3421" s="8">
        <v>39987.315405092595</v>
      </c>
      <c r="M3421" s="9" t="s">
        <v>19</v>
      </c>
      <c r="N3421" s="9" t="s">
        <v>20</v>
      </c>
      <c r="O3421" s="6" t="str">
        <f>HYPERLINK("https://pbs.twimg.com/profile_images/962471262747529216/Uo8lOkRJ_normal.jpg","View")</f>
        <v>View</v>
      </c>
      <c r="P3421" s="7"/>
    </row>
    <row r="3422" spans="1:16">
      <c r="A3422" s="3">
        <v>43905.0315162037</v>
      </c>
      <c r="B3422" s="4" t="str">
        <f>HYPERLINK("https://twitter.com/petrogustavo","@petrogustavo")</f>
        <v>@petrogustavo</v>
      </c>
      <c r="C3422" s="5" t="s">
        <v>16</v>
      </c>
      <c r="D3422" s="5" t="s">
        <v>3354</v>
      </c>
      <c r="E3422" s="6" t="str">
        <f>HYPERLINK("https://twitter.com/petrogustavo/status/1238906588590718977","1238906588590718977")</f>
        <v>1238906588590718977</v>
      </c>
      <c r="F3422" s="7" t="s">
        <v>17</v>
      </c>
      <c r="G3422" s="7">
        <v>3665416</v>
      </c>
      <c r="H3422" s="7">
        <v>2357</v>
      </c>
      <c r="I3422" s="7">
        <v>18</v>
      </c>
      <c r="J3422" s="7">
        <v>34</v>
      </c>
      <c r="K3422" s="7" t="s">
        <v>18</v>
      </c>
      <c r="L3422" s="8">
        <v>39987.315405092595</v>
      </c>
      <c r="M3422" s="9" t="s">
        <v>19</v>
      </c>
      <c r="N3422" s="9" t="s">
        <v>20</v>
      </c>
      <c r="O3422" s="6" t="str">
        <f>HYPERLINK("https://pbs.twimg.com/profile_images/962471262747529216/Uo8lOkRJ_normal.jpg","View")</f>
        <v>View</v>
      </c>
      <c r="P3422" s="7"/>
    </row>
    <row r="3423" spans="1:16">
      <c r="A3423" s="3">
        <v>43905.032766203702</v>
      </c>
      <c r="B3423" s="4" t="str">
        <f>HYPERLINK("https://twitter.com/petrogustavo","@petrogustavo")</f>
        <v>@petrogustavo</v>
      </c>
      <c r="C3423" s="5" t="s">
        <v>16</v>
      </c>
      <c r="D3423" s="5" t="s">
        <v>3355</v>
      </c>
      <c r="E3423" s="6" t="str">
        <f>HYPERLINK("https://twitter.com/petrogustavo/status/1238907043119054849","1238907043119054849")</f>
        <v>1238907043119054849</v>
      </c>
      <c r="F3423" s="7" t="s">
        <v>17</v>
      </c>
      <c r="G3423" s="7">
        <v>3665416</v>
      </c>
      <c r="H3423" s="7">
        <v>2357</v>
      </c>
      <c r="I3423" s="7">
        <v>196</v>
      </c>
      <c r="J3423" s="7">
        <v>0</v>
      </c>
      <c r="K3423" s="7" t="s">
        <v>18</v>
      </c>
      <c r="L3423" s="8">
        <v>39987.315405092595</v>
      </c>
      <c r="M3423" s="9" t="s">
        <v>19</v>
      </c>
      <c r="N3423" s="9" t="s">
        <v>20</v>
      </c>
      <c r="O3423" s="6" t="str">
        <f>HYPERLINK("https://pbs.twimg.com/profile_images/962471262747529216/Uo8lOkRJ_normal.jpg","View")</f>
        <v>View</v>
      </c>
      <c r="P3423" s="7"/>
    </row>
    <row r="3424" spans="1:16">
      <c r="A3424" s="3">
        <v>43905.035682870366</v>
      </c>
      <c r="B3424" s="4" t="str">
        <f>HYPERLINK("https://twitter.com/petrogustavo","@petrogustavo")</f>
        <v>@petrogustavo</v>
      </c>
      <c r="C3424" s="5" t="s">
        <v>16</v>
      </c>
      <c r="D3424" s="5" t="s">
        <v>3356</v>
      </c>
      <c r="E3424" s="6" t="str">
        <f>HYPERLINK("https://twitter.com/petrogustavo/status/1238908098397573122","1238908098397573122")</f>
        <v>1238908098397573122</v>
      </c>
      <c r="F3424" s="7" t="s">
        <v>17</v>
      </c>
      <c r="G3424" s="7">
        <v>3665434</v>
      </c>
      <c r="H3424" s="7">
        <v>2357</v>
      </c>
      <c r="I3424" s="7">
        <v>111</v>
      </c>
      <c r="J3424" s="7">
        <v>0</v>
      </c>
      <c r="K3424" s="7" t="s">
        <v>18</v>
      </c>
      <c r="L3424" s="8">
        <v>39987.315405092595</v>
      </c>
      <c r="M3424" s="9" t="s">
        <v>19</v>
      </c>
      <c r="N3424" s="9" t="s">
        <v>20</v>
      </c>
      <c r="O3424" s="6" t="str">
        <f>HYPERLINK("https://pbs.twimg.com/profile_images/962471262747529216/Uo8lOkRJ_normal.jpg","View")</f>
        <v>View</v>
      </c>
      <c r="P3424" s="7"/>
    </row>
    <row r="3425" spans="1:16">
      <c r="A3425" s="3">
        <v>43905.037048611106</v>
      </c>
      <c r="B3425" s="4" t="str">
        <f>HYPERLINK("https://twitter.com/petrogustavo","@petrogustavo")</f>
        <v>@petrogustavo</v>
      </c>
      <c r="C3425" s="5" t="s">
        <v>16</v>
      </c>
      <c r="D3425" s="5" t="s">
        <v>3357</v>
      </c>
      <c r="E3425" s="6" t="str">
        <f>HYPERLINK("https://twitter.com/petrogustavo/status/1238908595439308800","1238908595439308800")</f>
        <v>1238908595439308800</v>
      </c>
      <c r="F3425" s="7" t="s">
        <v>17</v>
      </c>
      <c r="G3425" s="7">
        <v>3665434</v>
      </c>
      <c r="H3425" s="7">
        <v>2357</v>
      </c>
      <c r="I3425" s="7">
        <v>107</v>
      </c>
      <c r="J3425" s="7">
        <v>283</v>
      </c>
      <c r="K3425" s="7" t="s">
        <v>18</v>
      </c>
      <c r="L3425" s="8">
        <v>39987.315405092595</v>
      </c>
      <c r="M3425" s="9" t="s">
        <v>19</v>
      </c>
      <c r="N3425" s="9" t="s">
        <v>20</v>
      </c>
      <c r="O3425" s="6" t="str">
        <f>HYPERLINK("https://pbs.twimg.com/profile_images/962471262747529216/Uo8lOkRJ_normal.jpg","View")</f>
        <v>View</v>
      </c>
      <c r="P3425" s="7"/>
    </row>
    <row r="3426" spans="1:16">
      <c r="A3426" s="3">
        <v>43905.038969907408</v>
      </c>
      <c r="B3426" s="4" t="str">
        <f>HYPERLINK("https://twitter.com/petrogustavo","@petrogustavo")</f>
        <v>@petrogustavo</v>
      </c>
      <c r="C3426" s="5" t="s">
        <v>16</v>
      </c>
      <c r="D3426" s="5" t="s">
        <v>3358</v>
      </c>
      <c r="E3426" s="6" t="str">
        <f>HYPERLINK("https://twitter.com/petrogustavo/status/1238909290993324033","1238909290993324033")</f>
        <v>1238909290993324033</v>
      </c>
      <c r="F3426" s="7" t="s">
        <v>17</v>
      </c>
      <c r="G3426" s="7">
        <v>3665434</v>
      </c>
      <c r="H3426" s="7">
        <v>2357</v>
      </c>
      <c r="I3426" s="7">
        <v>2018</v>
      </c>
      <c r="J3426" s="7">
        <v>0</v>
      </c>
      <c r="K3426" s="7" t="s">
        <v>18</v>
      </c>
      <c r="L3426" s="8">
        <v>39987.315405092595</v>
      </c>
      <c r="M3426" s="9" t="s">
        <v>19</v>
      </c>
      <c r="N3426" s="9" t="s">
        <v>20</v>
      </c>
      <c r="O3426" s="6" t="str">
        <f>HYPERLINK("https://pbs.twimg.com/profile_images/962471262747529216/Uo8lOkRJ_normal.jpg","View")</f>
        <v>View</v>
      </c>
      <c r="P3426" s="7"/>
    </row>
    <row r="3427" spans="1:16">
      <c r="A3427" s="3">
        <v>43905.041504629626</v>
      </c>
      <c r="B3427" s="4" t="str">
        <f>HYPERLINK("https://twitter.com/petrogustavo","@petrogustavo")</f>
        <v>@petrogustavo</v>
      </c>
      <c r="C3427" s="5" t="s">
        <v>16</v>
      </c>
      <c r="D3427" s="5" t="s">
        <v>3359</v>
      </c>
      <c r="E3427" s="6" t="str">
        <f>HYPERLINK("https://twitter.com/petrogustavo/status/1238910208543461377","1238910208543461377")</f>
        <v>1238910208543461377</v>
      </c>
      <c r="F3427" s="7" t="s">
        <v>17</v>
      </c>
      <c r="G3427" s="7">
        <v>3665434</v>
      </c>
      <c r="H3427" s="7">
        <v>2357</v>
      </c>
      <c r="I3427" s="7">
        <v>104</v>
      </c>
      <c r="J3427" s="7">
        <v>0</v>
      </c>
      <c r="K3427" s="7" t="s">
        <v>18</v>
      </c>
      <c r="L3427" s="8">
        <v>39987.315405092595</v>
      </c>
      <c r="M3427" s="9" t="s">
        <v>19</v>
      </c>
      <c r="N3427" s="9" t="s">
        <v>20</v>
      </c>
      <c r="O3427" s="6" t="str">
        <f>HYPERLINK("https://pbs.twimg.com/profile_images/962471262747529216/Uo8lOkRJ_normal.jpg","View")</f>
        <v>View</v>
      </c>
      <c r="P3427" s="7"/>
    </row>
    <row r="3428" spans="1:16">
      <c r="A3428" s="3">
        <v>43905.043668981481</v>
      </c>
      <c r="B3428" s="4" t="str">
        <f>HYPERLINK("https://twitter.com/petrogustavo","@petrogustavo")</f>
        <v>@petrogustavo</v>
      </c>
      <c r="C3428" s="5" t="s">
        <v>16</v>
      </c>
      <c r="D3428" s="5" t="s">
        <v>3360</v>
      </c>
      <c r="E3428" s="6" t="str">
        <f>HYPERLINK("https://twitter.com/petrogustavo/status/1238910995470471168","1238910995470471168")</f>
        <v>1238910995470471168</v>
      </c>
      <c r="F3428" s="7" t="s">
        <v>17</v>
      </c>
      <c r="G3428" s="7">
        <v>3665434</v>
      </c>
      <c r="H3428" s="7">
        <v>2357</v>
      </c>
      <c r="I3428" s="7">
        <v>36</v>
      </c>
      <c r="J3428" s="7">
        <v>133</v>
      </c>
      <c r="K3428" s="7" t="s">
        <v>18</v>
      </c>
      <c r="L3428" s="8">
        <v>39987.315405092595</v>
      </c>
      <c r="M3428" s="9" t="s">
        <v>19</v>
      </c>
      <c r="N3428" s="9" t="s">
        <v>20</v>
      </c>
      <c r="O3428" s="6" t="str">
        <f>HYPERLINK("https://pbs.twimg.com/profile_images/962471262747529216/Uo8lOkRJ_normal.jpg","View")</f>
        <v>View</v>
      </c>
      <c r="P3428" s="7"/>
    </row>
    <row r="3429" spans="1:16">
      <c r="A3429" s="3">
        <v>43905.046168981484</v>
      </c>
      <c r="B3429" s="4" t="str">
        <f>HYPERLINK("https://twitter.com/petrogustavo","@petrogustavo")</f>
        <v>@petrogustavo</v>
      </c>
      <c r="C3429" s="5" t="s">
        <v>16</v>
      </c>
      <c r="D3429" s="5" t="s">
        <v>3361</v>
      </c>
      <c r="E3429" s="6" t="str">
        <f>HYPERLINK("https://twitter.com/petrogustavo/status/1238911900374781952","1238911900374781952")</f>
        <v>1238911900374781952</v>
      </c>
      <c r="F3429" s="7" t="s">
        <v>17</v>
      </c>
      <c r="G3429" s="7">
        <v>3665434</v>
      </c>
      <c r="H3429" s="7">
        <v>2357</v>
      </c>
      <c r="I3429" s="7">
        <v>23</v>
      </c>
      <c r="J3429" s="7">
        <v>0</v>
      </c>
      <c r="K3429" s="7" t="s">
        <v>18</v>
      </c>
      <c r="L3429" s="8">
        <v>39987.315405092595</v>
      </c>
      <c r="M3429" s="9" t="s">
        <v>19</v>
      </c>
      <c r="N3429" s="9" t="s">
        <v>20</v>
      </c>
      <c r="O3429" s="6" t="str">
        <f>HYPERLINK("https://pbs.twimg.com/profile_images/962471262747529216/Uo8lOkRJ_normal.jpg","View")</f>
        <v>View</v>
      </c>
      <c r="P3429" s="7"/>
    </row>
    <row r="3430" spans="1:16">
      <c r="A3430" s="3">
        <v>43905.04896990741</v>
      </c>
      <c r="B3430" s="4" t="str">
        <f>HYPERLINK("https://twitter.com/petrogustavo","@petrogustavo")</f>
        <v>@petrogustavo</v>
      </c>
      <c r="C3430" s="5" t="s">
        <v>16</v>
      </c>
      <c r="D3430" s="5" t="s">
        <v>3362</v>
      </c>
      <c r="E3430" s="6" t="str">
        <f>HYPERLINK("https://twitter.com/petrogustavo/status/1238912913269755906","1238912913269755906")</f>
        <v>1238912913269755906</v>
      </c>
      <c r="F3430" s="7" t="s">
        <v>17</v>
      </c>
      <c r="G3430" s="7">
        <v>3665434</v>
      </c>
      <c r="H3430" s="7">
        <v>2357</v>
      </c>
      <c r="I3430" s="7">
        <v>27</v>
      </c>
      <c r="J3430" s="7">
        <v>88</v>
      </c>
      <c r="K3430" s="7" t="s">
        <v>18</v>
      </c>
      <c r="L3430" s="8">
        <v>39987.315405092595</v>
      </c>
      <c r="M3430" s="9" t="s">
        <v>19</v>
      </c>
      <c r="N3430" s="9" t="s">
        <v>20</v>
      </c>
      <c r="O3430" s="6" t="str">
        <f>HYPERLINK("https://pbs.twimg.com/profile_images/962471262747529216/Uo8lOkRJ_normal.jpg","View")</f>
        <v>View</v>
      </c>
      <c r="P3430" s="7"/>
    </row>
    <row r="3431" spans="1:16">
      <c r="A3431" s="3">
        <v>43905.066875000004</v>
      </c>
      <c r="B3431" s="4" t="str">
        <f>HYPERLINK("https://twitter.com/petrogustavo","@petrogustavo")</f>
        <v>@petrogustavo</v>
      </c>
      <c r="C3431" s="5" t="s">
        <v>16</v>
      </c>
      <c r="D3431" s="5" t="s">
        <v>3363</v>
      </c>
      <c r="E3431" s="6" t="str">
        <f>HYPERLINK("https://twitter.com/petrogustavo/status/1238919404722798602","1238919404722798602")</f>
        <v>1238919404722798602</v>
      </c>
      <c r="F3431" s="7" t="s">
        <v>32</v>
      </c>
      <c r="G3431" s="7">
        <v>3665452</v>
      </c>
      <c r="H3431" s="7">
        <v>2357</v>
      </c>
      <c r="I3431" s="7">
        <v>99</v>
      </c>
      <c r="J3431" s="7">
        <v>0</v>
      </c>
      <c r="K3431" s="7" t="s">
        <v>18</v>
      </c>
      <c r="L3431" s="8">
        <v>39987.315405092595</v>
      </c>
      <c r="M3431" s="9" t="s">
        <v>19</v>
      </c>
      <c r="N3431" s="9" t="s">
        <v>20</v>
      </c>
      <c r="O3431" s="6" t="str">
        <f>HYPERLINK("https://pbs.twimg.com/profile_images/962471262747529216/Uo8lOkRJ_normal.jpg","View")</f>
        <v>View</v>
      </c>
      <c r="P3431" s="7"/>
    </row>
    <row r="3432" spans="1:16">
      <c r="A3432" s="3">
        <v>43905.06722222222</v>
      </c>
      <c r="B3432" s="4" t="str">
        <f>HYPERLINK("https://twitter.com/petrogustavo","@petrogustavo")</f>
        <v>@petrogustavo</v>
      </c>
      <c r="C3432" s="5" t="s">
        <v>16</v>
      </c>
      <c r="D3432" s="5" t="s">
        <v>3364</v>
      </c>
      <c r="E3432" s="6" t="str">
        <f>HYPERLINK("https://twitter.com/petrogustavo/status/1238919530937823234","1238919530937823234")</f>
        <v>1238919530937823234</v>
      </c>
      <c r="F3432" s="7" t="s">
        <v>32</v>
      </c>
      <c r="G3432" s="7">
        <v>3665452</v>
      </c>
      <c r="H3432" s="7">
        <v>2357</v>
      </c>
      <c r="I3432" s="7">
        <v>4061</v>
      </c>
      <c r="J3432" s="7">
        <v>0</v>
      </c>
      <c r="K3432" s="7" t="s">
        <v>18</v>
      </c>
      <c r="L3432" s="8">
        <v>39987.315405092595</v>
      </c>
      <c r="M3432" s="9" t="s">
        <v>19</v>
      </c>
      <c r="N3432" s="9" t="s">
        <v>20</v>
      </c>
      <c r="O3432" s="6" t="str">
        <f>HYPERLINK("https://pbs.twimg.com/profile_images/962471262747529216/Uo8lOkRJ_normal.jpg","View")</f>
        <v>View</v>
      </c>
      <c r="P3432" s="7"/>
    </row>
    <row r="3433" spans="1:16">
      <c r="A3433" s="3">
        <v>43905.069201388891</v>
      </c>
      <c r="B3433" s="4" t="str">
        <f>HYPERLINK("https://twitter.com/petrogustavo","@petrogustavo")</f>
        <v>@petrogustavo</v>
      </c>
      <c r="C3433" s="5" t="s">
        <v>16</v>
      </c>
      <c r="D3433" s="5" t="s">
        <v>3365</v>
      </c>
      <c r="E3433" s="6" t="str">
        <f>HYPERLINK("https://twitter.com/petrogustavo/status/1238920245357817858","1238920245357817858")</f>
        <v>1238920245357817858</v>
      </c>
      <c r="F3433" s="7" t="s">
        <v>32</v>
      </c>
      <c r="G3433" s="7">
        <v>3665452</v>
      </c>
      <c r="H3433" s="7">
        <v>2357</v>
      </c>
      <c r="I3433" s="7">
        <v>127</v>
      </c>
      <c r="J3433" s="7">
        <v>0</v>
      </c>
      <c r="K3433" s="7" t="s">
        <v>18</v>
      </c>
      <c r="L3433" s="8">
        <v>39987.315405092595</v>
      </c>
      <c r="M3433" s="9" t="s">
        <v>19</v>
      </c>
      <c r="N3433" s="9" t="s">
        <v>20</v>
      </c>
      <c r="O3433" s="6" t="str">
        <f>HYPERLINK("https://pbs.twimg.com/profile_images/962471262747529216/Uo8lOkRJ_normal.jpg","View")</f>
        <v>View</v>
      </c>
      <c r="P3433" s="7"/>
    </row>
    <row r="3434" spans="1:16">
      <c r="A3434" s="3">
        <v>43905.071481481486</v>
      </c>
      <c r="B3434" s="4" t="str">
        <f>HYPERLINK("https://twitter.com/petrogustavo","@petrogustavo")</f>
        <v>@petrogustavo</v>
      </c>
      <c r="C3434" s="5" t="s">
        <v>16</v>
      </c>
      <c r="D3434" s="5" t="s">
        <v>3366</v>
      </c>
      <c r="E3434" s="6" t="str">
        <f>HYPERLINK("https://twitter.com/petrogustavo/status/1238921073967738881","1238921073967738881")</f>
        <v>1238921073967738881</v>
      </c>
      <c r="F3434" s="7" t="s">
        <v>32</v>
      </c>
      <c r="G3434" s="7">
        <v>3665452</v>
      </c>
      <c r="H3434" s="7">
        <v>2357</v>
      </c>
      <c r="I3434" s="7">
        <v>79</v>
      </c>
      <c r="J3434" s="7">
        <v>0</v>
      </c>
      <c r="K3434" s="7" t="s">
        <v>18</v>
      </c>
      <c r="L3434" s="8">
        <v>39987.315405092595</v>
      </c>
      <c r="M3434" s="9" t="s">
        <v>19</v>
      </c>
      <c r="N3434" s="9" t="s">
        <v>20</v>
      </c>
      <c r="O3434" s="6" t="str">
        <f>HYPERLINK("https://pbs.twimg.com/profile_images/962471262747529216/Uo8lOkRJ_normal.jpg","View")</f>
        <v>View</v>
      </c>
      <c r="P3434" s="7"/>
    </row>
    <row r="3435" spans="1:16">
      <c r="A3435" s="3">
        <v>43905.073622685188</v>
      </c>
      <c r="B3435" s="4" t="str">
        <f>HYPERLINK("https://twitter.com/petrogustavo","@petrogustavo")</f>
        <v>@petrogustavo</v>
      </c>
      <c r="C3435" s="5" t="s">
        <v>16</v>
      </c>
      <c r="D3435" s="5" t="s">
        <v>3367</v>
      </c>
      <c r="E3435" s="6" t="str">
        <f>HYPERLINK("https://twitter.com/petrogustavo/status/1238921847783161856","1238921847783161856")</f>
        <v>1238921847783161856</v>
      </c>
      <c r="F3435" s="7" t="s">
        <v>32</v>
      </c>
      <c r="G3435" s="7">
        <v>3665452</v>
      </c>
      <c r="H3435" s="7">
        <v>2357</v>
      </c>
      <c r="I3435" s="7">
        <v>25</v>
      </c>
      <c r="J3435" s="7">
        <v>0</v>
      </c>
      <c r="K3435" s="7" t="s">
        <v>18</v>
      </c>
      <c r="L3435" s="8">
        <v>39987.315405092595</v>
      </c>
      <c r="M3435" s="9" t="s">
        <v>19</v>
      </c>
      <c r="N3435" s="9" t="s">
        <v>20</v>
      </c>
      <c r="O3435" s="6" t="str">
        <f>HYPERLINK("https://pbs.twimg.com/profile_images/962471262747529216/Uo8lOkRJ_normal.jpg","View")</f>
        <v>View</v>
      </c>
      <c r="P3435" s="7"/>
    </row>
    <row r="3436" spans="1:16">
      <c r="A3436" s="3">
        <v>43905.075277777782</v>
      </c>
      <c r="B3436" s="4" t="str">
        <f>HYPERLINK("https://twitter.com/petrogustavo","@petrogustavo")</f>
        <v>@petrogustavo</v>
      </c>
      <c r="C3436" s="5" t="s">
        <v>16</v>
      </c>
      <c r="D3436" s="5" t="s">
        <v>3368</v>
      </c>
      <c r="E3436" s="6" t="str">
        <f>HYPERLINK("https://twitter.com/petrogustavo/status/1238922447644250112","1238922447644250112")</f>
        <v>1238922447644250112</v>
      </c>
      <c r="F3436" s="7" t="s">
        <v>32</v>
      </c>
      <c r="G3436" s="7">
        <v>3665490</v>
      </c>
      <c r="H3436" s="7">
        <v>2357</v>
      </c>
      <c r="I3436" s="7">
        <v>49</v>
      </c>
      <c r="J3436" s="7">
        <v>0</v>
      </c>
      <c r="K3436" s="7" t="s">
        <v>18</v>
      </c>
      <c r="L3436" s="8">
        <v>39987.315405092595</v>
      </c>
      <c r="M3436" s="9" t="s">
        <v>19</v>
      </c>
      <c r="N3436" s="9" t="s">
        <v>20</v>
      </c>
      <c r="O3436" s="6" t="str">
        <f>HYPERLINK("https://pbs.twimg.com/profile_images/962471262747529216/Uo8lOkRJ_normal.jpg","View")</f>
        <v>View</v>
      </c>
      <c r="P3436" s="7"/>
    </row>
    <row r="3437" spans="1:16">
      <c r="A3437" s="3">
        <v>43905.098229166666</v>
      </c>
      <c r="B3437" s="4" t="str">
        <f>HYPERLINK("https://twitter.com/petrogustavo","@petrogustavo")</f>
        <v>@petrogustavo</v>
      </c>
      <c r="C3437" s="5" t="s">
        <v>16</v>
      </c>
      <c r="D3437" s="5" t="s">
        <v>3369</v>
      </c>
      <c r="E3437" s="6" t="str">
        <f>HYPERLINK("https://twitter.com/petrogustavo/status/1238930767998304258","1238930767998304258")</f>
        <v>1238930767998304258</v>
      </c>
      <c r="F3437" s="7" t="s">
        <v>32</v>
      </c>
      <c r="G3437" s="7">
        <v>3665515</v>
      </c>
      <c r="H3437" s="7">
        <v>2357</v>
      </c>
      <c r="I3437" s="7">
        <v>101</v>
      </c>
      <c r="J3437" s="7">
        <v>297</v>
      </c>
      <c r="K3437" s="7" t="s">
        <v>18</v>
      </c>
      <c r="L3437" s="8">
        <v>39987.315405092595</v>
      </c>
      <c r="M3437" s="9" t="s">
        <v>19</v>
      </c>
      <c r="N3437" s="9" t="s">
        <v>20</v>
      </c>
      <c r="O3437" s="6" t="str">
        <f>HYPERLINK("https://pbs.twimg.com/profile_images/962471262747529216/Uo8lOkRJ_normal.jpg","View")</f>
        <v>View</v>
      </c>
      <c r="P3437" s="7"/>
    </row>
    <row r="3438" spans="1:16">
      <c r="A3438" s="3">
        <v>43905.152453703704</v>
      </c>
      <c r="B3438" s="4" t="str">
        <f>HYPERLINK("https://twitter.com/petrogustavo","@petrogustavo")</f>
        <v>@petrogustavo</v>
      </c>
      <c r="C3438" s="5" t="s">
        <v>16</v>
      </c>
      <c r="D3438" s="5" t="s">
        <v>3370</v>
      </c>
      <c r="E3438" s="6" t="str">
        <f>HYPERLINK("https://twitter.com/petrogustavo/status/1238950417842798593","1238950417842798593")</f>
        <v>1238950417842798593</v>
      </c>
      <c r="F3438" s="7" t="s">
        <v>17</v>
      </c>
      <c r="G3438" s="7">
        <v>3665628</v>
      </c>
      <c r="H3438" s="7">
        <v>2357</v>
      </c>
      <c r="I3438" s="7">
        <v>11</v>
      </c>
      <c r="J3438" s="7">
        <v>0</v>
      </c>
      <c r="K3438" s="7" t="s">
        <v>18</v>
      </c>
      <c r="L3438" s="8">
        <v>39987.315405092595</v>
      </c>
      <c r="M3438" s="9" t="s">
        <v>19</v>
      </c>
      <c r="N3438" s="9" t="s">
        <v>20</v>
      </c>
      <c r="O3438" s="6" t="str">
        <f>HYPERLINK("https://pbs.twimg.com/profile_images/962471262747529216/Uo8lOkRJ_normal.jpg","View")</f>
        <v>View</v>
      </c>
      <c r="P3438" s="7"/>
    </row>
    <row r="3439" spans="1:16">
      <c r="A3439" s="3">
        <v>43905.154664351852</v>
      </c>
      <c r="B3439" s="4" t="str">
        <f>HYPERLINK("https://twitter.com/petrogustavo","@petrogustavo")</f>
        <v>@petrogustavo</v>
      </c>
      <c r="C3439" s="5" t="s">
        <v>16</v>
      </c>
      <c r="D3439" s="5" t="s">
        <v>3371</v>
      </c>
      <c r="E3439" s="6" t="str">
        <f>HYPERLINK("https://twitter.com/petrogustavo/status/1238951217268690944","1238951217268690944")</f>
        <v>1238951217268690944</v>
      </c>
      <c r="F3439" s="7" t="s">
        <v>17</v>
      </c>
      <c r="G3439" s="7">
        <v>3665628</v>
      </c>
      <c r="H3439" s="7">
        <v>2357</v>
      </c>
      <c r="I3439" s="7">
        <v>393</v>
      </c>
      <c r="J3439" s="7">
        <v>0</v>
      </c>
      <c r="K3439" s="7" t="s">
        <v>18</v>
      </c>
      <c r="L3439" s="8">
        <v>39987.315405092595</v>
      </c>
      <c r="M3439" s="9" t="s">
        <v>19</v>
      </c>
      <c r="N3439" s="9" t="s">
        <v>20</v>
      </c>
      <c r="O3439" s="6" t="str">
        <f>HYPERLINK("https://pbs.twimg.com/profile_images/962471262747529216/Uo8lOkRJ_normal.jpg","View")</f>
        <v>View</v>
      </c>
      <c r="P3439" s="7"/>
    </row>
    <row r="3440" spans="1:16">
      <c r="A3440" s="3">
        <v>43905.156666666662</v>
      </c>
      <c r="B3440" s="4" t="str">
        <f>HYPERLINK("https://twitter.com/petrogustavo","@petrogustavo")</f>
        <v>@petrogustavo</v>
      </c>
      <c r="C3440" s="5" t="s">
        <v>16</v>
      </c>
      <c r="D3440" s="5" t="s">
        <v>3372</v>
      </c>
      <c r="E3440" s="6" t="str">
        <f>HYPERLINK("https://twitter.com/petrogustavo/status/1238951943789318149","1238951943789318149")</f>
        <v>1238951943789318149</v>
      </c>
      <c r="F3440" s="7" t="s">
        <v>17</v>
      </c>
      <c r="G3440" s="7">
        <v>3665628</v>
      </c>
      <c r="H3440" s="7">
        <v>2357</v>
      </c>
      <c r="I3440" s="7">
        <v>274</v>
      </c>
      <c r="J3440" s="7">
        <v>0</v>
      </c>
      <c r="K3440" s="7" t="s">
        <v>18</v>
      </c>
      <c r="L3440" s="8">
        <v>39987.315405092595</v>
      </c>
      <c r="M3440" s="9" t="s">
        <v>19</v>
      </c>
      <c r="N3440" s="9" t="s">
        <v>20</v>
      </c>
      <c r="O3440" s="6" t="str">
        <f>HYPERLINK("https://pbs.twimg.com/profile_images/962471262747529216/Uo8lOkRJ_normal.jpg","View")</f>
        <v>View</v>
      </c>
      <c r="P3440" s="7"/>
    </row>
    <row r="3441" spans="1:16">
      <c r="A3441" s="3">
        <v>43905.160625000004</v>
      </c>
      <c r="B3441" s="4" t="str">
        <f>HYPERLINK("https://twitter.com/petrogustavo","@petrogustavo")</f>
        <v>@petrogustavo</v>
      </c>
      <c r="C3441" s="5" t="s">
        <v>16</v>
      </c>
      <c r="D3441" s="5" t="s">
        <v>3373</v>
      </c>
      <c r="E3441" s="6" t="str">
        <f>HYPERLINK("https://twitter.com/petrogustavo/status/1238953378111270912","1238953378111270912")</f>
        <v>1238953378111270912</v>
      </c>
      <c r="F3441" s="7" t="s">
        <v>17</v>
      </c>
      <c r="G3441" s="7">
        <v>3665682</v>
      </c>
      <c r="H3441" s="7">
        <v>2357</v>
      </c>
      <c r="I3441" s="7">
        <v>412</v>
      </c>
      <c r="J3441" s="7">
        <v>1136</v>
      </c>
      <c r="K3441" s="7" t="s">
        <v>18</v>
      </c>
      <c r="L3441" s="8">
        <v>39987.315405092595</v>
      </c>
      <c r="M3441" s="9" t="s">
        <v>19</v>
      </c>
      <c r="N3441" s="9" t="s">
        <v>20</v>
      </c>
      <c r="O3441" s="6" t="str">
        <f>HYPERLINK("https://pbs.twimg.com/profile_images/962471262747529216/Uo8lOkRJ_normal.jpg","View")</f>
        <v>View</v>
      </c>
      <c r="P3441" s="7"/>
    </row>
    <row r="3442" spans="1:16">
      <c r="A3442" s="3">
        <v>43905.163090277776</v>
      </c>
      <c r="B3442" s="4" t="str">
        <f>HYPERLINK("https://twitter.com/petrogustavo","@petrogustavo")</f>
        <v>@petrogustavo</v>
      </c>
      <c r="C3442" s="5" t="s">
        <v>16</v>
      </c>
      <c r="D3442" s="5" t="s">
        <v>3374</v>
      </c>
      <c r="E3442" s="6" t="str">
        <f>HYPERLINK("https://twitter.com/petrogustavo/status/1238954269652537344","1238954269652537344")</f>
        <v>1238954269652537344</v>
      </c>
      <c r="F3442" s="7" t="s">
        <v>17</v>
      </c>
      <c r="G3442" s="7">
        <v>3665682</v>
      </c>
      <c r="H3442" s="7">
        <v>2357</v>
      </c>
      <c r="I3442" s="7">
        <v>61</v>
      </c>
      <c r="J3442" s="7">
        <v>248</v>
      </c>
      <c r="K3442" s="7" t="s">
        <v>18</v>
      </c>
      <c r="L3442" s="8">
        <v>39987.315405092595</v>
      </c>
      <c r="M3442" s="9" t="s">
        <v>19</v>
      </c>
      <c r="N3442" s="9" t="s">
        <v>20</v>
      </c>
      <c r="O3442" s="6" t="str">
        <f>HYPERLINK("https://pbs.twimg.com/profile_images/962471262747529216/Uo8lOkRJ_normal.jpg","View")</f>
        <v>View</v>
      </c>
      <c r="P3442" s="7"/>
    </row>
    <row r="3443" spans="1:16">
      <c r="A3443" s="3">
        <v>43905.167199074072</v>
      </c>
      <c r="B3443" s="4" t="str">
        <f>HYPERLINK("https://twitter.com/petrogustavo","@petrogustavo")</f>
        <v>@petrogustavo</v>
      </c>
      <c r="C3443" s="5" t="s">
        <v>16</v>
      </c>
      <c r="D3443" s="5" t="s">
        <v>3375</v>
      </c>
      <c r="E3443" s="6" t="str">
        <f>HYPERLINK("https://twitter.com/petrogustavo/status/1238955758273941506","1238955758273941506")</f>
        <v>1238955758273941506</v>
      </c>
      <c r="F3443" s="7" t="s">
        <v>17</v>
      </c>
      <c r="G3443" s="7">
        <v>3665682</v>
      </c>
      <c r="H3443" s="7">
        <v>2357</v>
      </c>
      <c r="I3443" s="7">
        <v>133</v>
      </c>
      <c r="J3443" s="7">
        <v>246</v>
      </c>
      <c r="K3443" s="7" t="s">
        <v>18</v>
      </c>
      <c r="L3443" s="8">
        <v>39987.315405092595</v>
      </c>
      <c r="M3443" s="9" t="s">
        <v>19</v>
      </c>
      <c r="N3443" s="9" t="s">
        <v>20</v>
      </c>
      <c r="O3443" s="6" t="str">
        <f>HYPERLINK("https://pbs.twimg.com/profile_images/962471262747529216/Uo8lOkRJ_normal.jpg","View")</f>
        <v>View</v>
      </c>
      <c r="P3443" s="7"/>
    </row>
    <row r="3444" spans="1:16">
      <c r="A3444" s="3">
        <v>43905.171759259261</v>
      </c>
      <c r="B3444" s="4" t="str">
        <f>HYPERLINK("https://twitter.com/petrogustavo","@petrogustavo")</f>
        <v>@petrogustavo</v>
      </c>
      <c r="C3444" s="5" t="s">
        <v>16</v>
      </c>
      <c r="D3444" s="5" t="s">
        <v>3376</v>
      </c>
      <c r="E3444" s="6" t="str">
        <f>HYPERLINK("https://twitter.com/petrogustavo/status/1238957412339548160","1238957412339548160")</f>
        <v>1238957412339548160</v>
      </c>
      <c r="F3444" s="7" t="s">
        <v>17</v>
      </c>
      <c r="G3444" s="7">
        <v>3665682</v>
      </c>
      <c r="H3444" s="7">
        <v>2357</v>
      </c>
      <c r="I3444" s="7">
        <v>129</v>
      </c>
      <c r="J3444" s="7">
        <v>221</v>
      </c>
      <c r="K3444" s="7" t="s">
        <v>18</v>
      </c>
      <c r="L3444" s="8">
        <v>39987.315405092595</v>
      </c>
      <c r="M3444" s="9" t="s">
        <v>19</v>
      </c>
      <c r="N3444" s="9" t="s">
        <v>20</v>
      </c>
      <c r="O3444" s="6" t="str">
        <f>HYPERLINK("https://pbs.twimg.com/profile_images/962471262747529216/Uo8lOkRJ_normal.jpg","View")</f>
        <v>View</v>
      </c>
      <c r="P3444" s="7"/>
    </row>
    <row r="3445" spans="1:16">
      <c r="A3445" s="3">
        <v>43905.172222222223</v>
      </c>
      <c r="B3445" s="4" t="str">
        <f>HYPERLINK("https://twitter.com/petrogustavo","@petrogustavo")</f>
        <v>@petrogustavo</v>
      </c>
      <c r="C3445" s="5" t="s">
        <v>16</v>
      </c>
      <c r="D3445" s="5" t="s">
        <v>3377</v>
      </c>
      <c r="E3445" s="6" t="str">
        <f>HYPERLINK("https://twitter.com/petrogustavo/status/1238957582167027712","1238957582167027712")</f>
        <v>1238957582167027712</v>
      </c>
      <c r="F3445" s="7" t="s">
        <v>17</v>
      </c>
      <c r="G3445" s="7">
        <v>3665682</v>
      </c>
      <c r="H3445" s="7">
        <v>2357</v>
      </c>
      <c r="I3445" s="7">
        <v>194</v>
      </c>
      <c r="J3445" s="7">
        <v>0</v>
      </c>
      <c r="K3445" s="7" t="s">
        <v>18</v>
      </c>
      <c r="L3445" s="8">
        <v>39987.315405092595</v>
      </c>
      <c r="M3445" s="9" t="s">
        <v>19</v>
      </c>
      <c r="N3445" s="9" t="s">
        <v>20</v>
      </c>
      <c r="O3445" s="6" t="str">
        <f>HYPERLINK("https://pbs.twimg.com/profile_images/962471262747529216/Uo8lOkRJ_normal.jpg","View")</f>
        <v>View</v>
      </c>
      <c r="P3445" s="7"/>
    </row>
    <row r="3446" spans="1:16">
      <c r="A3446" s="3">
        <v>43905.174097222218</v>
      </c>
      <c r="B3446" s="4" t="str">
        <f>HYPERLINK("https://twitter.com/petrogustavo","@petrogustavo")</f>
        <v>@petrogustavo</v>
      </c>
      <c r="C3446" s="5" t="s">
        <v>16</v>
      </c>
      <c r="D3446" s="5" t="s">
        <v>3378</v>
      </c>
      <c r="E3446" s="6" t="str">
        <f>HYPERLINK("https://twitter.com/petrogustavo/status/1238958260402696192","1238958260402696192")</f>
        <v>1238958260402696192</v>
      </c>
      <c r="F3446" s="7" t="s">
        <v>17</v>
      </c>
      <c r="G3446" s="7">
        <v>3665682</v>
      </c>
      <c r="H3446" s="7">
        <v>2357</v>
      </c>
      <c r="I3446" s="7">
        <v>23</v>
      </c>
      <c r="J3446" s="7">
        <v>77</v>
      </c>
      <c r="K3446" s="7" t="s">
        <v>18</v>
      </c>
      <c r="L3446" s="8">
        <v>39987.315405092595</v>
      </c>
      <c r="M3446" s="9" t="s">
        <v>19</v>
      </c>
      <c r="N3446" s="9" t="s">
        <v>20</v>
      </c>
      <c r="O3446" s="6" t="str">
        <f>HYPERLINK("https://pbs.twimg.com/profile_images/962471262747529216/Uo8lOkRJ_normal.jpg","View")</f>
        <v>View</v>
      </c>
      <c r="P3446" s="7"/>
    </row>
    <row r="3447" spans="1:16">
      <c r="A3447" s="3">
        <v>43905.175682870366</v>
      </c>
      <c r="B3447" s="4" t="str">
        <f>HYPERLINK("https://twitter.com/petrogustavo","@petrogustavo")</f>
        <v>@petrogustavo</v>
      </c>
      <c r="C3447" s="5" t="s">
        <v>16</v>
      </c>
      <c r="D3447" s="5" t="s">
        <v>3379</v>
      </c>
      <c r="E3447" s="6" t="str">
        <f>HYPERLINK("https://twitter.com/petrogustavo/status/1238958836159045632","1238958836159045632")</f>
        <v>1238958836159045632</v>
      </c>
      <c r="F3447" s="7" t="s">
        <v>17</v>
      </c>
      <c r="G3447" s="7">
        <v>3665682</v>
      </c>
      <c r="H3447" s="7">
        <v>2357</v>
      </c>
      <c r="I3447" s="7">
        <v>11</v>
      </c>
      <c r="J3447" s="7">
        <v>29</v>
      </c>
      <c r="K3447" s="7" t="s">
        <v>18</v>
      </c>
      <c r="L3447" s="8">
        <v>39987.315405092595</v>
      </c>
      <c r="M3447" s="9" t="s">
        <v>19</v>
      </c>
      <c r="N3447" s="9" t="s">
        <v>20</v>
      </c>
      <c r="O3447" s="6" t="str">
        <f>HYPERLINK("https://pbs.twimg.com/profile_images/962471262747529216/Uo8lOkRJ_normal.jpg","View")</f>
        <v>View</v>
      </c>
      <c r="P3447" s="7"/>
    </row>
    <row r="3448" spans="1:16">
      <c r="A3448" s="3">
        <v>43905.176516203705</v>
      </c>
      <c r="B3448" s="4" t="str">
        <f>HYPERLINK("https://twitter.com/petrogustavo","@petrogustavo")</f>
        <v>@petrogustavo</v>
      </c>
      <c r="C3448" s="5" t="s">
        <v>16</v>
      </c>
      <c r="D3448" s="5" t="s">
        <v>3380</v>
      </c>
      <c r="E3448" s="6" t="str">
        <f>HYPERLINK("https://twitter.com/petrogustavo/status/1238959135481348098","1238959135481348098")</f>
        <v>1238959135481348098</v>
      </c>
      <c r="F3448" s="7" t="s">
        <v>17</v>
      </c>
      <c r="G3448" s="7">
        <v>3665682</v>
      </c>
      <c r="H3448" s="7">
        <v>2357</v>
      </c>
      <c r="I3448" s="7">
        <v>1203</v>
      </c>
      <c r="J3448" s="7">
        <v>0</v>
      </c>
      <c r="K3448" s="7" t="s">
        <v>18</v>
      </c>
      <c r="L3448" s="8">
        <v>39987.315405092595</v>
      </c>
      <c r="M3448" s="9" t="s">
        <v>19</v>
      </c>
      <c r="N3448" s="9" t="s">
        <v>20</v>
      </c>
      <c r="O3448" s="6" t="str">
        <f>HYPERLINK("https://pbs.twimg.com/profile_images/962471262747529216/Uo8lOkRJ_normal.jpg","View")</f>
        <v>View</v>
      </c>
      <c r="P3448" s="7"/>
    </row>
    <row r="3449" spans="1:16">
      <c r="A3449" s="3">
        <v>43905.178935185184</v>
      </c>
      <c r="B3449" s="4" t="str">
        <f>HYPERLINK("https://twitter.com/petrogustavo","@petrogustavo")</f>
        <v>@petrogustavo</v>
      </c>
      <c r="C3449" s="5" t="s">
        <v>16</v>
      </c>
      <c r="D3449" s="5" t="s">
        <v>3381</v>
      </c>
      <c r="E3449" s="6" t="str">
        <f>HYPERLINK("https://twitter.com/petrogustavo/status/1238960011767881731","1238960011767881731")</f>
        <v>1238960011767881731</v>
      </c>
      <c r="F3449" s="7" t="s">
        <v>17</v>
      </c>
      <c r="G3449" s="7">
        <v>3665733</v>
      </c>
      <c r="H3449" s="7">
        <v>2357</v>
      </c>
      <c r="I3449" s="7">
        <v>70</v>
      </c>
      <c r="J3449" s="7">
        <v>0</v>
      </c>
      <c r="K3449" s="7" t="s">
        <v>18</v>
      </c>
      <c r="L3449" s="8">
        <v>39987.315405092595</v>
      </c>
      <c r="M3449" s="9" t="s">
        <v>19</v>
      </c>
      <c r="N3449" s="9" t="s">
        <v>20</v>
      </c>
      <c r="O3449" s="6" t="str">
        <f>HYPERLINK("https://pbs.twimg.com/profile_images/962471262747529216/Uo8lOkRJ_normal.jpg","View")</f>
        <v>View</v>
      </c>
      <c r="P3449" s="7"/>
    </row>
    <row r="3450" spans="1:16">
      <c r="A3450" s="3">
        <v>43905.179814814815</v>
      </c>
      <c r="B3450" s="4" t="str">
        <f>HYPERLINK("https://twitter.com/petrogustavo","@petrogustavo")</f>
        <v>@petrogustavo</v>
      </c>
      <c r="C3450" s="5" t="s">
        <v>16</v>
      </c>
      <c r="D3450" s="5" t="s">
        <v>3382</v>
      </c>
      <c r="E3450" s="6" t="str">
        <f>HYPERLINK("https://twitter.com/petrogustavo/status/1238960332686663687","1238960332686663687")</f>
        <v>1238960332686663687</v>
      </c>
      <c r="F3450" s="7" t="s">
        <v>17</v>
      </c>
      <c r="G3450" s="7">
        <v>3665733</v>
      </c>
      <c r="H3450" s="7">
        <v>2357</v>
      </c>
      <c r="I3450" s="7">
        <v>62</v>
      </c>
      <c r="J3450" s="7">
        <v>0</v>
      </c>
      <c r="K3450" s="7" t="s">
        <v>18</v>
      </c>
      <c r="L3450" s="8">
        <v>39987.315405092595</v>
      </c>
      <c r="M3450" s="9" t="s">
        <v>19</v>
      </c>
      <c r="N3450" s="9" t="s">
        <v>20</v>
      </c>
      <c r="O3450" s="6" t="str">
        <f>HYPERLINK("https://pbs.twimg.com/profile_images/962471262747529216/Uo8lOkRJ_normal.jpg","View")</f>
        <v>View</v>
      </c>
      <c r="P3450" s="7"/>
    </row>
    <row r="3451" spans="1:16">
      <c r="A3451" s="3">
        <v>43905.180648148147</v>
      </c>
      <c r="B3451" s="4" t="str">
        <f>HYPERLINK("https://twitter.com/petrogustavo","@petrogustavo")</f>
        <v>@petrogustavo</v>
      </c>
      <c r="C3451" s="5" t="s">
        <v>16</v>
      </c>
      <c r="D3451" s="5" t="s">
        <v>3383</v>
      </c>
      <c r="E3451" s="6" t="str">
        <f>HYPERLINK("https://twitter.com/petrogustavo/status/1238960632906559489","1238960632906559489")</f>
        <v>1238960632906559489</v>
      </c>
      <c r="F3451" s="7" t="s">
        <v>17</v>
      </c>
      <c r="G3451" s="7">
        <v>3665733</v>
      </c>
      <c r="H3451" s="7">
        <v>2357</v>
      </c>
      <c r="I3451" s="7">
        <v>262</v>
      </c>
      <c r="J3451" s="7">
        <v>0</v>
      </c>
      <c r="K3451" s="7" t="s">
        <v>18</v>
      </c>
      <c r="L3451" s="8">
        <v>39987.315405092595</v>
      </c>
      <c r="M3451" s="9" t="s">
        <v>19</v>
      </c>
      <c r="N3451" s="9" t="s">
        <v>20</v>
      </c>
      <c r="O3451" s="6" t="str">
        <f>HYPERLINK("https://pbs.twimg.com/profile_images/962471262747529216/Uo8lOkRJ_normal.jpg","View")</f>
        <v>View</v>
      </c>
      <c r="P3451" s="7"/>
    </row>
    <row r="3452" spans="1:16">
      <c r="A3452" s="3">
        <v>43905.185300925921</v>
      </c>
      <c r="B3452" s="4" t="str">
        <f>HYPERLINK("https://twitter.com/petrogustavo","@petrogustavo")</f>
        <v>@petrogustavo</v>
      </c>
      <c r="C3452" s="5" t="s">
        <v>16</v>
      </c>
      <c r="D3452" s="5" t="s">
        <v>3384</v>
      </c>
      <c r="E3452" s="6" t="str">
        <f>HYPERLINK("https://twitter.com/petrogustavo/status/1238962317850808322","1238962317850808322")</f>
        <v>1238962317850808322</v>
      </c>
      <c r="F3452" s="7" t="s">
        <v>17</v>
      </c>
      <c r="G3452" s="7">
        <v>3665733</v>
      </c>
      <c r="H3452" s="7">
        <v>2357</v>
      </c>
      <c r="I3452" s="7">
        <v>669</v>
      </c>
      <c r="J3452" s="7">
        <v>0</v>
      </c>
      <c r="K3452" s="7" t="s">
        <v>18</v>
      </c>
      <c r="L3452" s="8">
        <v>39987.315405092595</v>
      </c>
      <c r="M3452" s="9" t="s">
        <v>19</v>
      </c>
      <c r="N3452" s="9" t="s">
        <v>20</v>
      </c>
      <c r="O3452" s="6" t="str">
        <f>HYPERLINK("https://pbs.twimg.com/profile_images/962471262747529216/Uo8lOkRJ_normal.jpg","View")</f>
        <v>View</v>
      </c>
      <c r="P3452" s="7"/>
    </row>
    <row r="3453" spans="1:16">
      <c r="A3453" s="3">
        <v>43905.187476851846</v>
      </c>
      <c r="B3453" s="4" t="str">
        <f>HYPERLINK("https://twitter.com/petrogustavo","@petrogustavo")</f>
        <v>@petrogustavo</v>
      </c>
      <c r="C3453" s="5" t="s">
        <v>16</v>
      </c>
      <c r="D3453" s="5" t="s">
        <v>3385</v>
      </c>
      <c r="E3453" s="6" t="str">
        <f>HYPERLINK("https://twitter.com/petrogustavo/status/1238963108569395203","1238963108569395203")</f>
        <v>1238963108569395203</v>
      </c>
      <c r="F3453" s="7" t="s">
        <v>17</v>
      </c>
      <c r="G3453" s="7">
        <v>3665733</v>
      </c>
      <c r="H3453" s="7">
        <v>2357</v>
      </c>
      <c r="I3453" s="7">
        <v>8</v>
      </c>
      <c r="J3453" s="7">
        <v>0</v>
      </c>
      <c r="K3453" s="7" t="s">
        <v>18</v>
      </c>
      <c r="L3453" s="8">
        <v>39987.315405092595</v>
      </c>
      <c r="M3453" s="9" t="s">
        <v>19</v>
      </c>
      <c r="N3453" s="9" t="s">
        <v>20</v>
      </c>
      <c r="O3453" s="6" t="str">
        <f>HYPERLINK("https://pbs.twimg.com/profile_images/962471262747529216/Uo8lOkRJ_normal.jpg","View")</f>
        <v>View</v>
      </c>
      <c r="P3453" s="7"/>
    </row>
    <row r="3454" spans="1:16">
      <c r="A3454" s="3">
        <v>43905.187604166669</v>
      </c>
      <c r="B3454" s="4" t="str">
        <f>HYPERLINK("https://twitter.com/petrogustavo","@petrogustavo")</f>
        <v>@petrogustavo</v>
      </c>
      <c r="C3454" s="5" t="s">
        <v>16</v>
      </c>
      <c r="D3454" s="5" t="s">
        <v>3386</v>
      </c>
      <c r="E3454" s="6" t="str">
        <f>HYPERLINK("https://twitter.com/petrogustavo/status/1238963153209372672","1238963153209372672")</f>
        <v>1238963153209372672</v>
      </c>
      <c r="F3454" s="7" t="s">
        <v>17</v>
      </c>
      <c r="G3454" s="7">
        <v>3665733</v>
      </c>
      <c r="H3454" s="7">
        <v>2357</v>
      </c>
      <c r="I3454" s="7">
        <v>12</v>
      </c>
      <c r="J3454" s="7">
        <v>0</v>
      </c>
      <c r="K3454" s="7" t="s">
        <v>18</v>
      </c>
      <c r="L3454" s="8">
        <v>39987.315405092595</v>
      </c>
      <c r="M3454" s="9" t="s">
        <v>19</v>
      </c>
      <c r="N3454" s="9" t="s">
        <v>20</v>
      </c>
      <c r="O3454" s="6" t="str">
        <f>HYPERLINK("https://pbs.twimg.com/profile_images/962471262747529216/Uo8lOkRJ_normal.jpg","View")</f>
        <v>View</v>
      </c>
      <c r="P3454" s="7"/>
    </row>
    <row r="3455" spans="1:16">
      <c r="A3455" s="3">
        <v>43905.189606481479</v>
      </c>
      <c r="B3455" s="4" t="str">
        <f>HYPERLINK("https://twitter.com/petrogustavo","@petrogustavo")</f>
        <v>@petrogustavo</v>
      </c>
      <c r="C3455" s="5" t="s">
        <v>16</v>
      </c>
      <c r="D3455" s="5" t="s">
        <v>3387</v>
      </c>
      <c r="E3455" s="6" t="str">
        <f>HYPERLINK("https://twitter.com/petrogustavo/status/1238963879570558982","1238963879570558982")</f>
        <v>1238963879570558982</v>
      </c>
      <c r="F3455" s="7" t="s">
        <v>17</v>
      </c>
      <c r="G3455" s="7">
        <v>3665733</v>
      </c>
      <c r="H3455" s="7">
        <v>2357</v>
      </c>
      <c r="I3455" s="7">
        <v>49</v>
      </c>
      <c r="J3455" s="7">
        <v>0</v>
      </c>
      <c r="K3455" s="7" t="s">
        <v>18</v>
      </c>
      <c r="L3455" s="8">
        <v>39987.315405092595</v>
      </c>
      <c r="M3455" s="9" t="s">
        <v>19</v>
      </c>
      <c r="N3455" s="9" t="s">
        <v>20</v>
      </c>
      <c r="O3455" s="6" t="str">
        <f>HYPERLINK("https://pbs.twimg.com/profile_images/962471262747529216/Uo8lOkRJ_normal.jpg","View")</f>
        <v>View</v>
      </c>
      <c r="P3455" s="7"/>
    </row>
    <row r="3456" spans="1:16">
      <c r="A3456" s="3">
        <v>43905.197708333333</v>
      </c>
      <c r="B3456" s="4" t="str">
        <f>HYPERLINK("https://twitter.com/petrogustavo","@petrogustavo")</f>
        <v>@petrogustavo</v>
      </c>
      <c r="C3456" s="5" t="s">
        <v>16</v>
      </c>
      <c r="D3456" s="5" t="s">
        <v>3388</v>
      </c>
      <c r="E3456" s="6" t="str">
        <f>HYPERLINK("https://twitter.com/petrogustavo/status/1238966817172979712","1238966817172979712")</f>
        <v>1238966817172979712</v>
      </c>
      <c r="F3456" s="7" t="s">
        <v>17</v>
      </c>
      <c r="G3456" s="7">
        <v>3665733</v>
      </c>
      <c r="H3456" s="7">
        <v>2357</v>
      </c>
      <c r="I3456" s="7">
        <v>202</v>
      </c>
      <c r="J3456" s="7">
        <v>0</v>
      </c>
      <c r="K3456" s="7" t="s">
        <v>18</v>
      </c>
      <c r="L3456" s="8">
        <v>39987.315405092595</v>
      </c>
      <c r="M3456" s="9" t="s">
        <v>19</v>
      </c>
      <c r="N3456" s="9" t="s">
        <v>20</v>
      </c>
      <c r="O3456" s="6" t="str">
        <f>HYPERLINK("https://pbs.twimg.com/profile_images/962471262747529216/Uo8lOkRJ_normal.jpg","View")</f>
        <v>View</v>
      </c>
      <c r="P3456" s="7"/>
    </row>
    <row r="3457" spans="1:16">
      <c r="A3457" s="3">
        <v>43905.199074074073</v>
      </c>
      <c r="B3457" s="4" t="str">
        <f>HYPERLINK("https://twitter.com/petrogustavo","@petrogustavo")</f>
        <v>@petrogustavo</v>
      </c>
      <c r="C3457" s="5" t="s">
        <v>16</v>
      </c>
      <c r="D3457" s="5" t="s">
        <v>3389</v>
      </c>
      <c r="E3457" s="6" t="str">
        <f>HYPERLINK("https://twitter.com/petrogustavo/status/1238967310507008001","1238967310507008001")</f>
        <v>1238967310507008001</v>
      </c>
      <c r="F3457" s="7" t="s">
        <v>17</v>
      </c>
      <c r="G3457" s="7">
        <v>3665733</v>
      </c>
      <c r="H3457" s="7">
        <v>2357</v>
      </c>
      <c r="I3457" s="7">
        <v>6</v>
      </c>
      <c r="J3457" s="7">
        <v>10</v>
      </c>
      <c r="K3457" s="7" t="s">
        <v>18</v>
      </c>
      <c r="L3457" s="8">
        <v>39987.315405092595</v>
      </c>
      <c r="M3457" s="9" t="s">
        <v>19</v>
      </c>
      <c r="N3457" s="9" t="s">
        <v>20</v>
      </c>
      <c r="O3457" s="6" t="str">
        <f>HYPERLINK("https://pbs.twimg.com/profile_images/962471262747529216/Uo8lOkRJ_normal.jpg","View")</f>
        <v>View</v>
      </c>
      <c r="P3457" s="7"/>
    </row>
    <row r="3458" spans="1:16">
      <c r="A3458" s="3">
        <v>43905.20039351852</v>
      </c>
      <c r="B3458" s="4" t="str">
        <f>HYPERLINK("https://twitter.com/petrogustavo","@petrogustavo")</f>
        <v>@petrogustavo</v>
      </c>
      <c r="C3458" s="5" t="s">
        <v>16</v>
      </c>
      <c r="D3458" s="5" t="s">
        <v>3390</v>
      </c>
      <c r="E3458" s="6" t="str">
        <f>HYPERLINK("https://twitter.com/petrogustavo/status/1238967789995646978","1238967789995646978")</f>
        <v>1238967789995646978</v>
      </c>
      <c r="F3458" s="7" t="s">
        <v>17</v>
      </c>
      <c r="G3458" s="7">
        <v>3665770</v>
      </c>
      <c r="H3458" s="7">
        <v>2357</v>
      </c>
      <c r="I3458" s="7">
        <v>4514</v>
      </c>
      <c r="J3458" s="7">
        <v>0</v>
      </c>
      <c r="K3458" s="7" t="s">
        <v>18</v>
      </c>
      <c r="L3458" s="8">
        <v>39987.315405092595</v>
      </c>
      <c r="M3458" s="9" t="s">
        <v>19</v>
      </c>
      <c r="N3458" s="9" t="s">
        <v>20</v>
      </c>
      <c r="O3458" s="6" t="str">
        <f>HYPERLINK("https://pbs.twimg.com/profile_images/962471262747529216/Uo8lOkRJ_normal.jpg","View")</f>
        <v>View</v>
      </c>
      <c r="P3458" s="7"/>
    </row>
    <row r="3459" spans="1:16">
      <c r="A3459" s="3">
        <v>43905.204282407409</v>
      </c>
      <c r="B3459" s="4" t="str">
        <f>HYPERLINK("https://twitter.com/petrogustavo","@petrogustavo")</f>
        <v>@petrogustavo</v>
      </c>
      <c r="C3459" s="5" t="s">
        <v>16</v>
      </c>
      <c r="D3459" s="5" t="s">
        <v>3391</v>
      </c>
      <c r="E3459" s="6" t="str">
        <f>HYPERLINK("https://twitter.com/petrogustavo/status/1238969197323063307","1238969197323063307")</f>
        <v>1238969197323063307</v>
      </c>
      <c r="F3459" s="7" t="s">
        <v>17</v>
      </c>
      <c r="G3459" s="7">
        <v>3665770</v>
      </c>
      <c r="H3459" s="7">
        <v>2357</v>
      </c>
      <c r="I3459" s="7">
        <v>14</v>
      </c>
      <c r="J3459" s="7">
        <v>0</v>
      </c>
      <c r="K3459" s="7" t="s">
        <v>18</v>
      </c>
      <c r="L3459" s="8">
        <v>39987.315405092595</v>
      </c>
      <c r="M3459" s="9" t="s">
        <v>19</v>
      </c>
      <c r="N3459" s="9" t="s">
        <v>20</v>
      </c>
      <c r="O3459" s="6" t="str">
        <f>HYPERLINK("https://pbs.twimg.com/profile_images/962471262747529216/Uo8lOkRJ_normal.jpg","View")</f>
        <v>View</v>
      </c>
      <c r="P3459" s="7"/>
    </row>
    <row r="3460" spans="1:16">
      <c r="A3460" s="3">
        <v>43905.243333333332</v>
      </c>
      <c r="B3460" s="4" t="str">
        <f>HYPERLINK("https://twitter.com/petrogustavo","@petrogustavo")</f>
        <v>@petrogustavo</v>
      </c>
      <c r="C3460" s="5" t="s">
        <v>16</v>
      </c>
      <c r="D3460" s="5" t="s">
        <v>3392</v>
      </c>
      <c r="E3460" s="6" t="str">
        <f>HYPERLINK("https://twitter.com/petrogustavo/status/1238983348778946567","1238983348778946567")</f>
        <v>1238983348778946567</v>
      </c>
      <c r="F3460" s="7" t="s">
        <v>17</v>
      </c>
      <c r="G3460" s="7">
        <v>3665848</v>
      </c>
      <c r="H3460" s="7">
        <v>2357</v>
      </c>
      <c r="I3460" s="7">
        <v>187</v>
      </c>
      <c r="J3460" s="7">
        <v>507</v>
      </c>
      <c r="K3460" s="7" t="s">
        <v>18</v>
      </c>
      <c r="L3460" s="8">
        <v>39987.315405092595</v>
      </c>
      <c r="M3460" s="9" t="s">
        <v>19</v>
      </c>
      <c r="N3460" s="9" t="s">
        <v>20</v>
      </c>
      <c r="O3460" s="6" t="str">
        <f>HYPERLINK("https://pbs.twimg.com/profile_images/962471262747529216/Uo8lOkRJ_normal.jpg","View")</f>
        <v>View</v>
      </c>
      <c r="P3460" s="7"/>
    </row>
    <row r="3461" spans="1:16">
      <c r="A3461" s="3">
        <v>43905.2497337963</v>
      </c>
      <c r="B3461" s="4" t="str">
        <f>HYPERLINK("https://twitter.com/petrogustavo","@petrogustavo")</f>
        <v>@petrogustavo</v>
      </c>
      <c r="C3461" s="5" t="s">
        <v>16</v>
      </c>
      <c r="D3461" s="5" t="s">
        <v>3393</v>
      </c>
      <c r="E3461" s="6" t="str">
        <f>HYPERLINK("https://twitter.com/petrogustavo/status/1238985667763417090","1238985667763417090")</f>
        <v>1238985667763417090</v>
      </c>
      <c r="F3461" s="7" t="s">
        <v>17</v>
      </c>
      <c r="G3461" s="7">
        <v>3665848</v>
      </c>
      <c r="H3461" s="7">
        <v>2357</v>
      </c>
      <c r="I3461" s="7">
        <v>6303</v>
      </c>
      <c r="J3461" s="7">
        <v>0</v>
      </c>
      <c r="K3461" s="7" t="s">
        <v>18</v>
      </c>
      <c r="L3461" s="8">
        <v>39987.315405092595</v>
      </c>
      <c r="M3461" s="9" t="s">
        <v>19</v>
      </c>
      <c r="N3461" s="9" t="s">
        <v>20</v>
      </c>
      <c r="O3461" s="6" t="str">
        <f>HYPERLINK("https://pbs.twimg.com/profile_images/962471262747529216/Uo8lOkRJ_normal.jpg","View")</f>
        <v>View</v>
      </c>
      <c r="P3461" s="7"/>
    </row>
    <row r="3462" spans="1:16">
      <c r="A3462" s="3">
        <v>43905.257164351853</v>
      </c>
      <c r="B3462" s="4" t="str">
        <f>HYPERLINK("https://twitter.com/petrogustavo","@petrogustavo")</f>
        <v>@petrogustavo</v>
      </c>
      <c r="C3462" s="5" t="s">
        <v>16</v>
      </c>
      <c r="D3462" s="5" t="s">
        <v>3394</v>
      </c>
      <c r="E3462" s="6" t="str">
        <f>HYPERLINK("https://twitter.com/petrogustavo/status/1238988363648155654","1238988363648155654")</f>
        <v>1238988363648155654</v>
      </c>
      <c r="F3462" s="7" t="s">
        <v>17</v>
      </c>
      <c r="G3462" s="7">
        <v>3665848</v>
      </c>
      <c r="H3462" s="7">
        <v>2357</v>
      </c>
      <c r="I3462" s="7">
        <v>2484</v>
      </c>
      <c r="J3462" s="7">
        <v>0</v>
      </c>
      <c r="K3462" s="7" t="s">
        <v>18</v>
      </c>
      <c r="L3462" s="8">
        <v>39987.315405092595</v>
      </c>
      <c r="M3462" s="9" t="s">
        <v>19</v>
      </c>
      <c r="N3462" s="9" t="s">
        <v>20</v>
      </c>
      <c r="O3462" s="6" t="str">
        <f>HYPERLINK("https://pbs.twimg.com/profile_images/962471262747529216/Uo8lOkRJ_normal.jpg","View")</f>
        <v>View</v>
      </c>
      <c r="P3462" s="7"/>
    </row>
    <row r="3463" spans="1:16">
      <c r="A3463" s="3">
        <v>43905.262349537035</v>
      </c>
      <c r="B3463" s="4" t="str">
        <f>HYPERLINK("https://twitter.com/petrogustavo","@petrogustavo")</f>
        <v>@petrogustavo</v>
      </c>
      <c r="C3463" s="5" t="s">
        <v>16</v>
      </c>
      <c r="D3463" s="5" t="s">
        <v>3395</v>
      </c>
      <c r="E3463" s="6" t="str">
        <f>HYPERLINK("https://twitter.com/petrogustavo/status/1238990242901884933","1238990242901884933")</f>
        <v>1238990242901884933</v>
      </c>
      <c r="F3463" s="7" t="s">
        <v>17</v>
      </c>
      <c r="G3463" s="7">
        <v>3665848</v>
      </c>
      <c r="H3463" s="7">
        <v>2357</v>
      </c>
      <c r="I3463" s="7">
        <v>28</v>
      </c>
      <c r="J3463" s="7">
        <v>0</v>
      </c>
      <c r="K3463" s="7" t="s">
        <v>18</v>
      </c>
      <c r="L3463" s="8">
        <v>39987.315405092595</v>
      </c>
      <c r="M3463" s="9" t="s">
        <v>19</v>
      </c>
      <c r="N3463" s="9" t="s">
        <v>20</v>
      </c>
      <c r="O3463" s="6" t="str">
        <f>HYPERLINK("https://pbs.twimg.com/profile_images/962471262747529216/Uo8lOkRJ_normal.jpg","View")</f>
        <v>View</v>
      </c>
      <c r="P3463" s="7"/>
    </row>
    <row r="3464" spans="1:16">
      <c r="A3464" s="3">
        <v>43905.264803240745</v>
      </c>
      <c r="B3464" s="4" t="str">
        <f>HYPERLINK("https://twitter.com/petrogustavo","@petrogustavo")</f>
        <v>@petrogustavo</v>
      </c>
      <c r="C3464" s="5" t="s">
        <v>16</v>
      </c>
      <c r="D3464" s="5" t="s">
        <v>3396</v>
      </c>
      <c r="E3464" s="6" t="str">
        <f>HYPERLINK("https://twitter.com/petrogustavo/status/1238991131360342016","1238991131360342016")</f>
        <v>1238991131360342016</v>
      </c>
      <c r="F3464" s="7" t="s">
        <v>17</v>
      </c>
      <c r="G3464" s="7">
        <v>3665892</v>
      </c>
      <c r="H3464" s="7">
        <v>2357</v>
      </c>
      <c r="I3464" s="7">
        <v>122</v>
      </c>
      <c r="J3464" s="7">
        <v>292</v>
      </c>
      <c r="K3464" s="7" t="s">
        <v>18</v>
      </c>
      <c r="L3464" s="8">
        <v>39987.315405092595</v>
      </c>
      <c r="M3464" s="9" t="s">
        <v>19</v>
      </c>
      <c r="N3464" s="9" t="s">
        <v>20</v>
      </c>
      <c r="O3464" s="6" t="str">
        <f>HYPERLINK("https://pbs.twimg.com/profile_images/962471262747529216/Uo8lOkRJ_normal.jpg","View")</f>
        <v>View</v>
      </c>
      <c r="P3464" s="7"/>
    </row>
    <row r="3465" spans="1:16">
      <c r="A3465" s="3">
        <v>43905.26971064815</v>
      </c>
      <c r="B3465" s="4" t="str">
        <f>HYPERLINK("https://twitter.com/petrogustavo","@petrogustavo")</f>
        <v>@petrogustavo</v>
      </c>
      <c r="C3465" s="5" t="s">
        <v>16</v>
      </c>
      <c r="D3465" s="5" t="s">
        <v>3397</v>
      </c>
      <c r="E3465" s="6" t="str">
        <f>HYPERLINK("https://twitter.com/petrogustavo/status/1238992907606032386","1238992907606032386")</f>
        <v>1238992907606032386</v>
      </c>
      <c r="F3465" s="7" t="s">
        <v>17</v>
      </c>
      <c r="G3465" s="7">
        <v>3665892</v>
      </c>
      <c r="H3465" s="7">
        <v>2357</v>
      </c>
      <c r="I3465" s="7">
        <v>3591</v>
      </c>
      <c r="J3465" s="7">
        <v>0</v>
      </c>
      <c r="K3465" s="7" t="s">
        <v>18</v>
      </c>
      <c r="L3465" s="8">
        <v>39987.315405092595</v>
      </c>
      <c r="M3465" s="9" t="s">
        <v>19</v>
      </c>
      <c r="N3465" s="9" t="s">
        <v>20</v>
      </c>
      <c r="O3465" s="6" t="str">
        <f>HYPERLINK("https://pbs.twimg.com/profile_images/962471262747529216/Uo8lOkRJ_normal.jpg","View")</f>
        <v>View</v>
      </c>
      <c r="P3465" s="7"/>
    </row>
    <row r="3466" spans="1:16">
      <c r="A3466" s="3">
        <v>43905.272141203706</v>
      </c>
      <c r="B3466" s="4" t="str">
        <f>HYPERLINK("https://twitter.com/petrogustavo","@petrogustavo")</f>
        <v>@petrogustavo</v>
      </c>
      <c r="C3466" s="5" t="s">
        <v>16</v>
      </c>
      <c r="D3466" s="5" t="s">
        <v>3398</v>
      </c>
      <c r="E3466" s="6" t="str">
        <f>HYPERLINK("https://twitter.com/petrogustavo/status/1238993791266312192","1238993791266312192")</f>
        <v>1238993791266312192</v>
      </c>
      <c r="F3466" s="7" t="s">
        <v>17</v>
      </c>
      <c r="G3466" s="7">
        <v>3665892</v>
      </c>
      <c r="H3466" s="7">
        <v>2357</v>
      </c>
      <c r="I3466" s="7">
        <v>1340</v>
      </c>
      <c r="J3466" s="7">
        <v>0</v>
      </c>
      <c r="K3466" s="7" t="s">
        <v>18</v>
      </c>
      <c r="L3466" s="8">
        <v>39987.315405092595</v>
      </c>
      <c r="M3466" s="9" t="s">
        <v>19</v>
      </c>
      <c r="N3466" s="9" t="s">
        <v>20</v>
      </c>
      <c r="O3466" s="6" t="str">
        <f>HYPERLINK("https://pbs.twimg.com/profile_images/962471262747529216/Uo8lOkRJ_normal.jpg","View")</f>
        <v>View</v>
      </c>
      <c r="P3466" s="7"/>
    </row>
    <row r="3467" spans="1:16">
      <c r="A3467" s="3">
        <v>43905.275717592594</v>
      </c>
      <c r="B3467" s="4" t="str">
        <f>HYPERLINK("https://twitter.com/petrogustavo","@petrogustavo")</f>
        <v>@petrogustavo</v>
      </c>
      <c r="C3467" s="5" t="s">
        <v>16</v>
      </c>
      <c r="D3467" s="5" t="s">
        <v>3399</v>
      </c>
      <c r="E3467" s="6" t="str">
        <f>HYPERLINK("https://twitter.com/petrogustavo/status/1238995085192310789","1238995085192310789")</f>
        <v>1238995085192310789</v>
      </c>
      <c r="F3467" s="7" t="s">
        <v>17</v>
      </c>
      <c r="G3467" s="7">
        <v>3665892</v>
      </c>
      <c r="H3467" s="7">
        <v>2357</v>
      </c>
      <c r="I3467" s="7">
        <v>119</v>
      </c>
      <c r="J3467" s="7">
        <v>432</v>
      </c>
      <c r="K3467" s="7" t="s">
        <v>18</v>
      </c>
      <c r="L3467" s="8">
        <v>39987.315405092595</v>
      </c>
      <c r="M3467" s="9" t="s">
        <v>19</v>
      </c>
      <c r="N3467" s="9" t="s">
        <v>20</v>
      </c>
      <c r="O3467" s="6" t="str">
        <f>HYPERLINK("https://pbs.twimg.com/profile_images/962471262747529216/Uo8lOkRJ_normal.jpg","View")</f>
        <v>View</v>
      </c>
      <c r="P3467" s="7"/>
    </row>
    <row r="3468" spans="1:16">
      <c r="A3468" s="3">
        <v>43905.27815972222</v>
      </c>
      <c r="B3468" s="4" t="str">
        <f>HYPERLINK("https://twitter.com/petrogustavo","@petrogustavo")</f>
        <v>@petrogustavo</v>
      </c>
      <c r="C3468" s="5" t="s">
        <v>16</v>
      </c>
      <c r="D3468" s="5" t="s">
        <v>3400</v>
      </c>
      <c r="E3468" s="6" t="str">
        <f>HYPERLINK("https://twitter.com/petrogustavo/status/1238995971910098950","1238995971910098950")</f>
        <v>1238995971910098950</v>
      </c>
      <c r="F3468" s="7" t="s">
        <v>17</v>
      </c>
      <c r="G3468" s="7">
        <v>3665892</v>
      </c>
      <c r="H3468" s="7">
        <v>2357</v>
      </c>
      <c r="I3468" s="7">
        <v>13</v>
      </c>
      <c r="J3468" s="7">
        <v>0</v>
      </c>
      <c r="K3468" s="7" t="s">
        <v>18</v>
      </c>
      <c r="L3468" s="8">
        <v>39987.315405092595</v>
      </c>
      <c r="M3468" s="9" t="s">
        <v>19</v>
      </c>
      <c r="N3468" s="9" t="s">
        <v>20</v>
      </c>
      <c r="O3468" s="6" t="str">
        <f>HYPERLINK("https://pbs.twimg.com/profile_images/962471262747529216/Uo8lOkRJ_normal.jpg","View")</f>
        <v>View</v>
      </c>
      <c r="P3468" s="7"/>
    </row>
    <row r="3469" spans="1:16">
      <c r="A3469" s="3">
        <v>43905.2894212963</v>
      </c>
      <c r="B3469" s="4" t="str">
        <f>HYPERLINK("https://twitter.com/petrogustavo","@petrogustavo")</f>
        <v>@petrogustavo</v>
      </c>
      <c r="C3469" s="5" t="s">
        <v>16</v>
      </c>
      <c r="D3469" s="5" t="s">
        <v>3401</v>
      </c>
      <c r="E3469" s="6" t="str">
        <f>HYPERLINK("https://twitter.com/petrogustavo/status/1239000053370499073","1239000053370499073")</f>
        <v>1239000053370499073</v>
      </c>
      <c r="F3469" s="7" t="s">
        <v>17</v>
      </c>
      <c r="G3469" s="7">
        <v>3665910</v>
      </c>
      <c r="H3469" s="7">
        <v>2357</v>
      </c>
      <c r="I3469" s="7">
        <v>97</v>
      </c>
      <c r="J3469" s="7">
        <v>224</v>
      </c>
      <c r="K3469" s="7" t="s">
        <v>18</v>
      </c>
      <c r="L3469" s="8">
        <v>39987.315405092595</v>
      </c>
      <c r="M3469" s="9" t="s">
        <v>19</v>
      </c>
      <c r="N3469" s="9" t="s">
        <v>20</v>
      </c>
      <c r="O3469" s="6" t="str">
        <f>HYPERLINK("https://pbs.twimg.com/profile_images/962471262747529216/Uo8lOkRJ_normal.jpg","View")</f>
        <v>View</v>
      </c>
      <c r="P3469" s="7"/>
    </row>
    <row r="3470" spans="1:16">
      <c r="A3470" s="3">
        <v>43905.348344907412</v>
      </c>
      <c r="B3470" s="4" t="str">
        <f>HYPERLINK("https://twitter.com/petrogustavo","@petrogustavo")</f>
        <v>@petrogustavo</v>
      </c>
      <c r="C3470" s="5" t="s">
        <v>16</v>
      </c>
      <c r="D3470" s="5" t="s">
        <v>3402</v>
      </c>
      <c r="E3470" s="6" t="str">
        <f>HYPERLINK("https://twitter.com/petrogustavo/status/1239021404005240834","1239021404005240834")</f>
        <v>1239021404005240834</v>
      </c>
      <c r="F3470" s="7" t="s">
        <v>17</v>
      </c>
      <c r="G3470" s="7">
        <v>3666031</v>
      </c>
      <c r="H3470" s="7">
        <v>2357</v>
      </c>
      <c r="I3470" s="7">
        <v>727</v>
      </c>
      <c r="J3470" s="7">
        <v>0</v>
      </c>
      <c r="K3470" s="7" t="s">
        <v>18</v>
      </c>
      <c r="L3470" s="8">
        <v>39987.315405092595</v>
      </c>
      <c r="M3470" s="9" t="s">
        <v>19</v>
      </c>
      <c r="N3470" s="9" t="s">
        <v>20</v>
      </c>
      <c r="O3470" s="6" t="str">
        <f>HYPERLINK("https://pbs.twimg.com/profile_images/962471262747529216/Uo8lOkRJ_normal.jpg","View")</f>
        <v>View</v>
      </c>
      <c r="P3470" s="7"/>
    </row>
    <row r="3471" spans="1:16">
      <c r="A3471" s="3">
        <v>43905.758391203708</v>
      </c>
      <c r="B3471" s="4" t="str">
        <f>HYPERLINK("https://twitter.com/petrogustavo","@petrogustavo")</f>
        <v>@petrogustavo</v>
      </c>
      <c r="C3471" s="5" t="s">
        <v>16</v>
      </c>
      <c r="D3471" s="5" t="s">
        <v>3403</v>
      </c>
      <c r="E3471" s="6" t="str">
        <f>HYPERLINK("https://twitter.com/petrogustavo/status/1239170002126864386","1239170002126864386")</f>
        <v>1239170002126864386</v>
      </c>
      <c r="F3471" s="7" t="s">
        <v>17</v>
      </c>
      <c r="G3471" s="7">
        <v>3666304</v>
      </c>
      <c r="H3471" s="7">
        <v>2357</v>
      </c>
      <c r="I3471" s="7">
        <v>67</v>
      </c>
      <c r="J3471" s="7">
        <v>0</v>
      </c>
      <c r="K3471" s="7" t="s">
        <v>18</v>
      </c>
      <c r="L3471" s="8">
        <v>39987.315405092595</v>
      </c>
      <c r="M3471" s="9" t="s">
        <v>19</v>
      </c>
      <c r="N3471" s="9" t="s">
        <v>20</v>
      </c>
      <c r="O3471" s="6" t="str">
        <f>HYPERLINK("https://pbs.twimg.com/profile_images/962471262747529216/Uo8lOkRJ_normal.jpg","View")</f>
        <v>View</v>
      </c>
      <c r="P3471" s="7"/>
    </row>
    <row r="3472" spans="1:16">
      <c r="A3472" s="3">
        <v>43905.761064814811</v>
      </c>
      <c r="B3472" s="4" t="str">
        <f>HYPERLINK("https://twitter.com/petrogustavo","@petrogustavo")</f>
        <v>@petrogustavo</v>
      </c>
      <c r="C3472" s="5" t="s">
        <v>16</v>
      </c>
      <c r="D3472" s="5" t="s">
        <v>3404</v>
      </c>
      <c r="E3472" s="6" t="str">
        <f>HYPERLINK("https://twitter.com/petrogustavo/status/1239170969685635073","1239170969685635073")</f>
        <v>1239170969685635073</v>
      </c>
      <c r="F3472" s="7" t="s">
        <v>17</v>
      </c>
      <c r="G3472" s="7">
        <v>3666304</v>
      </c>
      <c r="H3472" s="7">
        <v>2357</v>
      </c>
      <c r="I3472" s="7">
        <v>11</v>
      </c>
      <c r="J3472" s="7">
        <v>23</v>
      </c>
      <c r="K3472" s="7" t="s">
        <v>18</v>
      </c>
      <c r="L3472" s="8">
        <v>39987.315405092595</v>
      </c>
      <c r="M3472" s="9" t="s">
        <v>19</v>
      </c>
      <c r="N3472" s="9" t="s">
        <v>20</v>
      </c>
      <c r="O3472" s="6" t="str">
        <f>HYPERLINK("https://pbs.twimg.com/profile_images/962471262747529216/Uo8lOkRJ_normal.jpg","View")</f>
        <v>View</v>
      </c>
      <c r="P3472" s="7"/>
    </row>
    <row r="3473" spans="1:16">
      <c r="A3473" s="3">
        <v>43905.763124999998</v>
      </c>
      <c r="B3473" s="4" t="str">
        <f>HYPERLINK("https://twitter.com/petrogustavo","@petrogustavo")</f>
        <v>@petrogustavo</v>
      </c>
      <c r="C3473" s="5" t="s">
        <v>16</v>
      </c>
      <c r="D3473" s="5" t="s">
        <v>3405</v>
      </c>
      <c r="E3473" s="6" t="str">
        <f>HYPERLINK("https://twitter.com/petrogustavo/status/1239171714916978689","1239171714916978689")</f>
        <v>1239171714916978689</v>
      </c>
      <c r="F3473" s="7" t="s">
        <v>17</v>
      </c>
      <c r="G3473" s="7">
        <v>3666341</v>
      </c>
      <c r="H3473" s="7">
        <v>2357</v>
      </c>
      <c r="I3473" s="7">
        <v>36</v>
      </c>
      <c r="J3473" s="7">
        <v>0</v>
      </c>
      <c r="K3473" s="7" t="s">
        <v>18</v>
      </c>
      <c r="L3473" s="8">
        <v>39987.315405092595</v>
      </c>
      <c r="M3473" s="9" t="s">
        <v>19</v>
      </c>
      <c r="N3473" s="9" t="s">
        <v>20</v>
      </c>
      <c r="O3473" s="6" t="str">
        <f>HYPERLINK("https://pbs.twimg.com/profile_images/962471262747529216/Uo8lOkRJ_normal.jpg","View")</f>
        <v>View</v>
      </c>
      <c r="P3473" s="7"/>
    </row>
    <row r="3474" spans="1:16">
      <c r="A3474" s="3">
        <v>43905.767847222218</v>
      </c>
      <c r="B3474" s="4" t="str">
        <f>HYPERLINK("https://twitter.com/petrogustavo","@petrogustavo")</f>
        <v>@petrogustavo</v>
      </c>
      <c r="C3474" s="5" t="s">
        <v>16</v>
      </c>
      <c r="D3474" s="5" t="s">
        <v>3406</v>
      </c>
      <c r="E3474" s="6" t="str">
        <f>HYPERLINK("https://twitter.com/petrogustavo/status/1239173425828179969","1239173425828179969")</f>
        <v>1239173425828179969</v>
      </c>
      <c r="F3474" s="7" t="s">
        <v>17</v>
      </c>
      <c r="G3474" s="7">
        <v>3666341</v>
      </c>
      <c r="H3474" s="7">
        <v>2357</v>
      </c>
      <c r="I3474" s="7">
        <v>370</v>
      </c>
      <c r="J3474" s="7">
        <v>0</v>
      </c>
      <c r="K3474" s="7" t="s">
        <v>18</v>
      </c>
      <c r="L3474" s="8">
        <v>39987.315405092595</v>
      </c>
      <c r="M3474" s="9" t="s">
        <v>19</v>
      </c>
      <c r="N3474" s="9" t="s">
        <v>20</v>
      </c>
      <c r="O3474" s="6" t="str">
        <f>HYPERLINK("https://pbs.twimg.com/profile_images/962471262747529216/Uo8lOkRJ_normal.jpg","View")</f>
        <v>View</v>
      </c>
      <c r="P3474" s="7"/>
    </row>
    <row r="3475" spans="1:16">
      <c r="A3475" s="3">
        <v>43905.768043981487</v>
      </c>
      <c r="B3475" s="4" t="str">
        <f>HYPERLINK("https://twitter.com/petrogustavo","@petrogustavo")</f>
        <v>@petrogustavo</v>
      </c>
      <c r="C3475" s="5" t="s">
        <v>16</v>
      </c>
      <c r="D3475" s="5" t="s">
        <v>3407</v>
      </c>
      <c r="E3475" s="6" t="str">
        <f>HYPERLINK("https://twitter.com/petrogustavo/status/1239173498880307201","1239173498880307201")</f>
        <v>1239173498880307201</v>
      </c>
      <c r="F3475" s="7" t="s">
        <v>17</v>
      </c>
      <c r="G3475" s="7">
        <v>3666341</v>
      </c>
      <c r="H3475" s="7">
        <v>2357</v>
      </c>
      <c r="I3475" s="7">
        <v>167</v>
      </c>
      <c r="J3475" s="7">
        <v>0</v>
      </c>
      <c r="K3475" s="7" t="s">
        <v>18</v>
      </c>
      <c r="L3475" s="8">
        <v>39987.315405092595</v>
      </c>
      <c r="M3475" s="9" t="s">
        <v>19</v>
      </c>
      <c r="N3475" s="9" t="s">
        <v>20</v>
      </c>
      <c r="O3475" s="6" t="str">
        <f>HYPERLINK("https://pbs.twimg.com/profile_images/962471262747529216/Uo8lOkRJ_normal.jpg","View")</f>
        <v>View</v>
      </c>
      <c r="P3475" s="7"/>
    </row>
    <row r="3476" spans="1:16">
      <c r="A3476" s="3">
        <v>43905.769305555557</v>
      </c>
      <c r="B3476" s="4" t="str">
        <f>HYPERLINK("https://twitter.com/petrogustavo","@petrogustavo")</f>
        <v>@petrogustavo</v>
      </c>
      <c r="C3476" s="5" t="s">
        <v>16</v>
      </c>
      <c r="D3476" s="5" t="s">
        <v>3408</v>
      </c>
      <c r="E3476" s="6" t="str">
        <f>HYPERLINK("https://twitter.com/petrogustavo/status/1239173957795880960","1239173957795880960")</f>
        <v>1239173957795880960</v>
      </c>
      <c r="F3476" s="7" t="s">
        <v>17</v>
      </c>
      <c r="G3476" s="7">
        <v>3666341</v>
      </c>
      <c r="H3476" s="7">
        <v>2357</v>
      </c>
      <c r="I3476" s="7">
        <v>16</v>
      </c>
      <c r="J3476" s="7">
        <v>0</v>
      </c>
      <c r="K3476" s="7" t="s">
        <v>18</v>
      </c>
      <c r="L3476" s="8">
        <v>39987.315405092595</v>
      </c>
      <c r="M3476" s="9" t="s">
        <v>19</v>
      </c>
      <c r="N3476" s="9" t="s">
        <v>20</v>
      </c>
      <c r="O3476" s="6" t="str">
        <f>HYPERLINK("https://pbs.twimg.com/profile_images/962471262747529216/Uo8lOkRJ_normal.jpg","View")</f>
        <v>View</v>
      </c>
      <c r="P3476" s="7"/>
    </row>
    <row r="3477" spans="1:16">
      <c r="A3477" s="3">
        <v>43905.771030092597</v>
      </c>
      <c r="B3477" s="4" t="str">
        <f>HYPERLINK("https://twitter.com/petrogustavo","@petrogustavo")</f>
        <v>@petrogustavo</v>
      </c>
      <c r="C3477" s="5" t="s">
        <v>16</v>
      </c>
      <c r="D3477" s="5" t="s">
        <v>3409</v>
      </c>
      <c r="E3477" s="6" t="str">
        <f>HYPERLINK("https://twitter.com/petrogustavo/status/1239174582327816193","1239174582327816193")</f>
        <v>1239174582327816193</v>
      </c>
      <c r="F3477" s="7" t="s">
        <v>17</v>
      </c>
      <c r="G3477" s="7">
        <v>3666341</v>
      </c>
      <c r="H3477" s="7">
        <v>2357</v>
      </c>
      <c r="I3477" s="7">
        <v>27</v>
      </c>
      <c r="J3477" s="7">
        <v>0</v>
      </c>
      <c r="K3477" s="7" t="s">
        <v>18</v>
      </c>
      <c r="L3477" s="8">
        <v>39987.315405092595</v>
      </c>
      <c r="M3477" s="9" t="s">
        <v>19</v>
      </c>
      <c r="N3477" s="9" t="s">
        <v>20</v>
      </c>
      <c r="O3477" s="6" t="str">
        <f>HYPERLINK("https://pbs.twimg.com/profile_images/962471262747529216/Uo8lOkRJ_normal.jpg","View")</f>
        <v>View</v>
      </c>
      <c r="P3477" s="7"/>
    </row>
    <row r="3478" spans="1:16">
      <c r="A3478" s="3">
        <v>43905.775520833333</v>
      </c>
      <c r="B3478" s="4" t="str">
        <f>HYPERLINK("https://twitter.com/petrogustavo","@petrogustavo")</f>
        <v>@petrogustavo</v>
      </c>
      <c r="C3478" s="5" t="s">
        <v>16</v>
      </c>
      <c r="D3478" s="5" t="s">
        <v>3410</v>
      </c>
      <c r="E3478" s="6" t="str">
        <f>HYPERLINK("https://twitter.com/petrogustavo/status/1239176208895619072","1239176208895619072")</f>
        <v>1239176208895619072</v>
      </c>
      <c r="F3478" s="7" t="s">
        <v>17</v>
      </c>
      <c r="G3478" s="7">
        <v>3666341</v>
      </c>
      <c r="H3478" s="7">
        <v>2357</v>
      </c>
      <c r="I3478" s="7">
        <v>42</v>
      </c>
      <c r="J3478" s="7">
        <v>157</v>
      </c>
      <c r="K3478" s="7" t="s">
        <v>18</v>
      </c>
      <c r="L3478" s="8">
        <v>39987.315405092595</v>
      </c>
      <c r="M3478" s="9" t="s">
        <v>19</v>
      </c>
      <c r="N3478" s="9" t="s">
        <v>20</v>
      </c>
      <c r="O3478" s="6" t="str">
        <f>HYPERLINK("https://pbs.twimg.com/profile_images/962471262747529216/Uo8lOkRJ_normal.jpg","View")</f>
        <v>View</v>
      </c>
      <c r="P3478" s="7"/>
    </row>
    <row r="3479" spans="1:16">
      <c r="A3479" s="3">
        <v>43905.784768518519</v>
      </c>
      <c r="B3479" s="4" t="str">
        <f>HYPERLINK("https://twitter.com/petrogustavo","@petrogustavo")</f>
        <v>@petrogustavo</v>
      </c>
      <c r="C3479" s="5" t="s">
        <v>16</v>
      </c>
      <c r="D3479" s="5" t="s">
        <v>3411</v>
      </c>
      <c r="E3479" s="6" t="str">
        <f>HYPERLINK("https://twitter.com/petrogustavo/status/1239179560157155329","1239179560157155329")</f>
        <v>1239179560157155329</v>
      </c>
      <c r="F3479" s="7" t="s">
        <v>17</v>
      </c>
      <c r="G3479" s="7">
        <v>3666370</v>
      </c>
      <c r="H3479" s="7">
        <v>2357</v>
      </c>
      <c r="I3479" s="7">
        <v>42</v>
      </c>
      <c r="J3479" s="7">
        <v>125</v>
      </c>
      <c r="K3479" s="7" t="s">
        <v>18</v>
      </c>
      <c r="L3479" s="8">
        <v>39987.315405092595</v>
      </c>
      <c r="M3479" s="9" t="s">
        <v>19</v>
      </c>
      <c r="N3479" s="9" t="s">
        <v>20</v>
      </c>
      <c r="O3479" s="6" t="str">
        <f>HYPERLINK("https://pbs.twimg.com/profile_images/962471262747529216/Uo8lOkRJ_normal.jpg","View")</f>
        <v>View</v>
      </c>
      <c r="P3479" s="7"/>
    </row>
    <row r="3480" spans="1:16">
      <c r="A3480" s="3">
        <v>43905.790393518517</v>
      </c>
      <c r="B3480" s="4" t="str">
        <f>HYPERLINK("https://twitter.com/petrogustavo","@petrogustavo")</f>
        <v>@petrogustavo</v>
      </c>
      <c r="C3480" s="5" t="s">
        <v>16</v>
      </c>
      <c r="D3480" s="5" t="s">
        <v>3412</v>
      </c>
      <c r="E3480" s="6" t="str">
        <f>HYPERLINK("https://twitter.com/petrogustavo/status/1239181597003468805","1239181597003468805")</f>
        <v>1239181597003468805</v>
      </c>
      <c r="F3480" s="7" t="s">
        <v>17</v>
      </c>
      <c r="G3480" s="7">
        <v>3666370</v>
      </c>
      <c r="H3480" s="7">
        <v>2357</v>
      </c>
      <c r="I3480" s="7">
        <v>219</v>
      </c>
      <c r="J3480" s="7">
        <v>0</v>
      </c>
      <c r="K3480" s="7" t="s">
        <v>18</v>
      </c>
      <c r="L3480" s="8">
        <v>39987.315405092595</v>
      </c>
      <c r="M3480" s="9" t="s">
        <v>19</v>
      </c>
      <c r="N3480" s="9" t="s">
        <v>20</v>
      </c>
      <c r="O3480" s="6" t="str">
        <f>HYPERLINK("https://pbs.twimg.com/profile_images/962471262747529216/Uo8lOkRJ_normal.jpg","View")</f>
        <v>View</v>
      </c>
      <c r="P3480" s="7"/>
    </row>
    <row r="3481" spans="1:16">
      <c r="A3481" s="3">
        <v>43905.797476851847</v>
      </c>
      <c r="B3481" s="4" t="str">
        <f>HYPERLINK("https://twitter.com/petrogustavo","@petrogustavo")</f>
        <v>@petrogustavo</v>
      </c>
      <c r="C3481" s="5" t="s">
        <v>16</v>
      </c>
      <c r="D3481" s="5" t="s">
        <v>3413</v>
      </c>
      <c r="E3481" s="6" t="str">
        <f>HYPERLINK("https://twitter.com/petrogustavo/status/1239184164420833281","1239184164420833281")</f>
        <v>1239184164420833281</v>
      </c>
      <c r="F3481" s="7" t="s">
        <v>17</v>
      </c>
      <c r="G3481" s="7">
        <v>3666370</v>
      </c>
      <c r="H3481" s="7">
        <v>2357</v>
      </c>
      <c r="I3481" s="7">
        <v>127</v>
      </c>
      <c r="J3481" s="7">
        <v>255</v>
      </c>
      <c r="K3481" s="7" t="s">
        <v>18</v>
      </c>
      <c r="L3481" s="8">
        <v>39987.315405092595</v>
      </c>
      <c r="M3481" s="9" t="s">
        <v>19</v>
      </c>
      <c r="N3481" s="9" t="s">
        <v>20</v>
      </c>
      <c r="O3481" s="6" t="str">
        <f>HYPERLINK("https://pbs.twimg.com/profile_images/962471262747529216/Uo8lOkRJ_normal.jpg","View")</f>
        <v>View</v>
      </c>
      <c r="P3481" s="7"/>
    </row>
    <row r="3482" spans="1:16">
      <c r="A3482" s="3">
        <v>43905.800428240742</v>
      </c>
      <c r="B3482" s="4" t="str">
        <f>HYPERLINK("https://twitter.com/petrogustavo","@petrogustavo")</f>
        <v>@petrogustavo</v>
      </c>
      <c r="C3482" s="5" t="s">
        <v>16</v>
      </c>
      <c r="D3482" s="5" t="s">
        <v>3414</v>
      </c>
      <c r="E3482" s="6" t="str">
        <f>HYPERLINK("https://twitter.com/petrogustavo/status/1239185234723307521","1239185234723307521")</f>
        <v>1239185234723307521</v>
      </c>
      <c r="F3482" s="7" t="s">
        <v>17</v>
      </c>
      <c r="G3482" s="7">
        <v>3666370</v>
      </c>
      <c r="H3482" s="7">
        <v>2357</v>
      </c>
      <c r="I3482" s="7">
        <v>66</v>
      </c>
      <c r="J3482" s="7">
        <v>199</v>
      </c>
      <c r="K3482" s="7" t="s">
        <v>18</v>
      </c>
      <c r="L3482" s="8">
        <v>39987.315405092595</v>
      </c>
      <c r="M3482" s="9" t="s">
        <v>19</v>
      </c>
      <c r="N3482" s="9" t="s">
        <v>20</v>
      </c>
      <c r="O3482" s="6" t="str">
        <f>HYPERLINK("https://pbs.twimg.com/profile_images/962471262747529216/Uo8lOkRJ_normal.jpg","View")</f>
        <v>View</v>
      </c>
      <c r="P3482" s="7"/>
    </row>
    <row r="3483" spans="1:16">
      <c r="A3483" s="3">
        <v>43905.801631944443</v>
      </c>
      <c r="B3483" s="4" t="str">
        <f>HYPERLINK("https://twitter.com/petrogustavo","@petrogustavo")</f>
        <v>@petrogustavo</v>
      </c>
      <c r="C3483" s="5" t="s">
        <v>16</v>
      </c>
      <c r="D3483" s="5" t="s">
        <v>3415</v>
      </c>
      <c r="E3483" s="6" t="str">
        <f>HYPERLINK("https://twitter.com/petrogustavo/status/1239185670737887232","1239185670737887232")</f>
        <v>1239185670737887232</v>
      </c>
      <c r="F3483" s="7" t="s">
        <v>17</v>
      </c>
      <c r="G3483" s="7">
        <v>3666370</v>
      </c>
      <c r="H3483" s="7">
        <v>2357</v>
      </c>
      <c r="I3483" s="7">
        <v>1726</v>
      </c>
      <c r="J3483" s="7">
        <v>0</v>
      </c>
      <c r="K3483" s="7" t="s">
        <v>18</v>
      </c>
      <c r="L3483" s="8">
        <v>39987.315405092595</v>
      </c>
      <c r="M3483" s="9" t="s">
        <v>19</v>
      </c>
      <c r="N3483" s="9" t="s">
        <v>20</v>
      </c>
      <c r="O3483" s="6" t="str">
        <f>HYPERLINK("https://pbs.twimg.com/profile_images/962471262747529216/Uo8lOkRJ_normal.jpg","View")</f>
        <v>View</v>
      </c>
      <c r="P3483" s="7"/>
    </row>
    <row r="3484" spans="1:16">
      <c r="A3484" s="3">
        <v>43905.803344907406</v>
      </c>
      <c r="B3484" s="4" t="str">
        <f>HYPERLINK("https://twitter.com/petrogustavo","@petrogustavo")</f>
        <v>@petrogustavo</v>
      </c>
      <c r="C3484" s="5" t="s">
        <v>16</v>
      </c>
      <c r="D3484" s="5" t="s">
        <v>3416</v>
      </c>
      <c r="E3484" s="6" t="str">
        <f>HYPERLINK("https://twitter.com/petrogustavo/status/1239186293038383104","1239186293038383104")</f>
        <v>1239186293038383104</v>
      </c>
      <c r="F3484" s="7" t="s">
        <v>17</v>
      </c>
      <c r="G3484" s="7">
        <v>3666370</v>
      </c>
      <c r="H3484" s="7">
        <v>2357</v>
      </c>
      <c r="I3484" s="7">
        <v>5</v>
      </c>
      <c r="J3484" s="7">
        <v>0</v>
      </c>
      <c r="K3484" s="7" t="s">
        <v>18</v>
      </c>
      <c r="L3484" s="8">
        <v>39987.315405092595</v>
      </c>
      <c r="M3484" s="9" t="s">
        <v>19</v>
      </c>
      <c r="N3484" s="9" t="s">
        <v>20</v>
      </c>
      <c r="O3484" s="6" t="str">
        <f>HYPERLINK("https://pbs.twimg.com/profile_images/962471262747529216/Uo8lOkRJ_normal.jpg","View")</f>
        <v>View</v>
      </c>
      <c r="P3484" s="7"/>
    </row>
    <row r="3485" spans="1:16">
      <c r="A3485" s="3">
        <v>43905.803888888884</v>
      </c>
      <c r="B3485" s="4" t="str">
        <f>HYPERLINK("https://twitter.com/petrogustavo","@petrogustavo")</f>
        <v>@petrogustavo</v>
      </c>
      <c r="C3485" s="5" t="s">
        <v>16</v>
      </c>
      <c r="D3485" s="5" t="s">
        <v>3417</v>
      </c>
      <c r="E3485" s="6" t="str">
        <f>HYPERLINK("https://twitter.com/petrogustavo/status/1239186488346185728","1239186488346185728")</f>
        <v>1239186488346185728</v>
      </c>
      <c r="F3485" s="7" t="s">
        <v>17</v>
      </c>
      <c r="G3485" s="7">
        <v>3666370</v>
      </c>
      <c r="H3485" s="7">
        <v>2357</v>
      </c>
      <c r="I3485" s="7">
        <v>4</v>
      </c>
      <c r="J3485" s="7">
        <v>0</v>
      </c>
      <c r="K3485" s="7" t="s">
        <v>18</v>
      </c>
      <c r="L3485" s="8">
        <v>39987.315405092595</v>
      </c>
      <c r="M3485" s="9" t="s">
        <v>19</v>
      </c>
      <c r="N3485" s="9" t="s">
        <v>20</v>
      </c>
      <c r="O3485" s="6" t="str">
        <f>HYPERLINK("https://pbs.twimg.com/profile_images/962471262747529216/Uo8lOkRJ_normal.jpg","View")</f>
        <v>View</v>
      </c>
      <c r="P3485" s="7"/>
    </row>
    <row r="3486" spans="1:16">
      <c r="A3486" s="3">
        <v>43905.805462962962</v>
      </c>
      <c r="B3486" s="4" t="str">
        <f>HYPERLINK("https://twitter.com/petrogustavo","@petrogustavo")</f>
        <v>@petrogustavo</v>
      </c>
      <c r="C3486" s="5" t="s">
        <v>16</v>
      </c>
      <c r="D3486" s="5" t="s">
        <v>3418</v>
      </c>
      <c r="E3486" s="6" t="str">
        <f>HYPERLINK("https://twitter.com/petrogustavo/status/1239187057815236615","1239187057815236615")</f>
        <v>1239187057815236615</v>
      </c>
      <c r="F3486" s="7" t="s">
        <v>17</v>
      </c>
      <c r="G3486" s="7">
        <v>3666409</v>
      </c>
      <c r="H3486" s="7">
        <v>2357</v>
      </c>
      <c r="I3486" s="7">
        <v>131</v>
      </c>
      <c r="J3486" s="7">
        <v>463</v>
      </c>
      <c r="K3486" s="7" t="s">
        <v>18</v>
      </c>
      <c r="L3486" s="8">
        <v>39987.315405092595</v>
      </c>
      <c r="M3486" s="9" t="s">
        <v>19</v>
      </c>
      <c r="N3486" s="9" t="s">
        <v>20</v>
      </c>
      <c r="O3486" s="6" t="str">
        <f>HYPERLINK("https://pbs.twimg.com/profile_images/962471262747529216/Uo8lOkRJ_normal.jpg","View")</f>
        <v>View</v>
      </c>
      <c r="P3486" s="7"/>
    </row>
    <row r="3487" spans="1:16">
      <c r="A3487" s="3">
        <v>43905.806909722218</v>
      </c>
      <c r="B3487" s="4" t="str">
        <f>HYPERLINK("https://twitter.com/petrogustavo","@petrogustavo")</f>
        <v>@petrogustavo</v>
      </c>
      <c r="C3487" s="5" t="s">
        <v>16</v>
      </c>
      <c r="D3487" s="5" t="s">
        <v>3419</v>
      </c>
      <c r="E3487" s="6" t="str">
        <f>HYPERLINK("https://twitter.com/petrogustavo/status/1239187582011019264","1239187582011019264")</f>
        <v>1239187582011019264</v>
      </c>
      <c r="F3487" s="7" t="s">
        <v>17</v>
      </c>
      <c r="G3487" s="7">
        <v>3666409</v>
      </c>
      <c r="H3487" s="7">
        <v>2357</v>
      </c>
      <c r="I3487" s="7">
        <v>87</v>
      </c>
      <c r="J3487" s="7">
        <v>253</v>
      </c>
      <c r="K3487" s="7" t="s">
        <v>18</v>
      </c>
      <c r="L3487" s="8">
        <v>39987.315405092595</v>
      </c>
      <c r="M3487" s="9" t="s">
        <v>19</v>
      </c>
      <c r="N3487" s="9" t="s">
        <v>20</v>
      </c>
      <c r="O3487" s="6" t="str">
        <f>HYPERLINK("https://pbs.twimg.com/profile_images/962471262747529216/Uo8lOkRJ_normal.jpg","View")</f>
        <v>View</v>
      </c>
      <c r="P3487" s="7"/>
    </row>
    <row r="3488" spans="1:16">
      <c r="A3488" s="3">
        <v>43905.811238425929</v>
      </c>
      <c r="B3488" s="4" t="str">
        <f>HYPERLINK("https://twitter.com/petrogustavo","@petrogustavo")</f>
        <v>@petrogustavo</v>
      </c>
      <c r="C3488" s="5" t="s">
        <v>16</v>
      </c>
      <c r="D3488" s="5" t="s">
        <v>3420</v>
      </c>
      <c r="E3488" s="6" t="str">
        <f>HYPERLINK("https://twitter.com/petrogustavo/status/1239189152220020736","1239189152220020736")</f>
        <v>1239189152220020736</v>
      </c>
      <c r="F3488" s="7" t="s">
        <v>17</v>
      </c>
      <c r="G3488" s="7">
        <v>3666409</v>
      </c>
      <c r="H3488" s="7">
        <v>2357</v>
      </c>
      <c r="I3488" s="7">
        <v>54</v>
      </c>
      <c r="J3488" s="7">
        <v>173</v>
      </c>
      <c r="K3488" s="7" t="s">
        <v>18</v>
      </c>
      <c r="L3488" s="8">
        <v>39987.315405092595</v>
      </c>
      <c r="M3488" s="9" t="s">
        <v>19</v>
      </c>
      <c r="N3488" s="9" t="s">
        <v>20</v>
      </c>
      <c r="O3488" s="6" t="str">
        <f>HYPERLINK("https://pbs.twimg.com/profile_images/962471262747529216/Uo8lOkRJ_normal.jpg","View")</f>
        <v>View</v>
      </c>
      <c r="P3488" s="7"/>
    </row>
    <row r="3489" spans="1:16">
      <c r="A3489" s="3">
        <v>43905.812997685185</v>
      </c>
      <c r="B3489" s="4" t="str">
        <f>HYPERLINK("https://twitter.com/petrogustavo","@petrogustavo")</f>
        <v>@petrogustavo</v>
      </c>
      <c r="C3489" s="5" t="s">
        <v>16</v>
      </c>
      <c r="D3489" s="5" t="s">
        <v>3421</v>
      </c>
      <c r="E3489" s="6" t="str">
        <f>HYPERLINK("https://twitter.com/petrogustavo/status/1239189791448670208","1239189791448670208")</f>
        <v>1239189791448670208</v>
      </c>
      <c r="F3489" s="7" t="s">
        <v>17</v>
      </c>
      <c r="G3489" s="7">
        <v>3666409</v>
      </c>
      <c r="H3489" s="7">
        <v>2357</v>
      </c>
      <c r="I3489" s="7">
        <v>27</v>
      </c>
      <c r="J3489" s="7">
        <v>97</v>
      </c>
      <c r="K3489" s="7" t="s">
        <v>18</v>
      </c>
      <c r="L3489" s="8">
        <v>39987.315405092595</v>
      </c>
      <c r="M3489" s="9" t="s">
        <v>19</v>
      </c>
      <c r="N3489" s="9" t="s">
        <v>20</v>
      </c>
      <c r="O3489" s="6" t="str">
        <f>HYPERLINK("https://pbs.twimg.com/profile_images/962471262747529216/Uo8lOkRJ_normal.jpg","View")</f>
        <v>View</v>
      </c>
      <c r="P3489" s="7"/>
    </row>
    <row r="3490" spans="1:16">
      <c r="A3490" s="3">
        <v>43905.817986111113</v>
      </c>
      <c r="B3490" s="4" t="str">
        <f>HYPERLINK("https://twitter.com/petrogustavo","@petrogustavo")</f>
        <v>@petrogustavo</v>
      </c>
      <c r="C3490" s="5" t="s">
        <v>16</v>
      </c>
      <c r="D3490" s="5" t="s">
        <v>3422</v>
      </c>
      <c r="E3490" s="6" t="str">
        <f>HYPERLINK("https://twitter.com/petrogustavo/status/1239191598245785608","1239191598245785608")</f>
        <v>1239191598245785608</v>
      </c>
      <c r="F3490" s="7" t="s">
        <v>17</v>
      </c>
      <c r="G3490" s="7">
        <v>3666409</v>
      </c>
      <c r="H3490" s="7">
        <v>2357</v>
      </c>
      <c r="I3490" s="7">
        <v>19</v>
      </c>
      <c r="J3490" s="7">
        <v>66</v>
      </c>
      <c r="K3490" s="7" t="s">
        <v>18</v>
      </c>
      <c r="L3490" s="8">
        <v>39987.315405092595</v>
      </c>
      <c r="M3490" s="9" t="s">
        <v>19</v>
      </c>
      <c r="N3490" s="9" t="s">
        <v>20</v>
      </c>
      <c r="O3490" s="6" t="str">
        <f>HYPERLINK("https://pbs.twimg.com/profile_images/962471262747529216/Uo8lOkRJ_normal.jpg","View")</f>
        <v>View</v>
      </c>
      <c r="P3490" s="7"/>
    </row>
    <row r="3491" spans="1:16">
      <c r="A3491" s="3">
        <v>43905.818344907406</v>
      </c>
      <c r="B3491" s="4" t="str">
        <f>HYPERLINK("https://twitter.com/petrogustavo","@petrogustavo")</f>
        <v>@petrogustavo</v>
      </c>
      <c r="C3491" s="5" t="s">
        <v>16</v>
      </c>
      <c r="D3491" s="5" t="s">
        <v>3423</v>
      </c>
      <c r="E3491" s="6" t="str">
        <f>HYPERLINK("https://twitter.com/petrogustavo/status/1239191725672980482","1239191725672980482")</f>
        <v>1239191725672980482</v>
      </c>
      <c r="F3491" s="7" t="s">
        <v>17</v>
      </c>
      <c r="G3491" s="7">
        <v>3666409</v>
      </c>
      <c r="H3491" s="7">
        <v>2357</v>
      </c>
      <c r="I3491" s="7">
        <v>20</v>
      </c>
      <c r="J3491" s="7">
        <v>67</v>
      </c>
      <c r="K3491" s="7" t="s">
        <v>18</v>
      </c>
      <c r="L3491" s="8">
        <v>39987.315405092595</v>
      </c>
      <c r="M3491" s="9" t="s">
        <v>19</v>
      </c>
      <c r="N3491" s="9" t="s">
        <v>20</v>
      </c>
      <c r="O3491" s="6" t="str">
        <f>HYPERLINK("https://pbs.twimg.com/profile_images/962471262747529216/Uo8lOkRJ_normal.jpg","View")</f>
        <v>View</v>
      </c>
      <c r="P3491" s="7"/>
    </row>
    <row r="3492" spans="1:16">
      <c r="A3492" s="3">
        <v>43905.849432870367</v>
      </c>
      <c r="B3492" s="4" t="str">
        <f>HYPERLINK("https://twitter.com/petrogustavo","@petrogustavo")</f>
        <v>@petrogustavo</v>
      </c>
      <c r="C3492" s="5" t="s">
        <v>16</v>
      </c>
      <c r="D3492" s="5" t="s">
        <v>3424</v>
      </c>
      <c r="E3492" s="6" t="str">
        <f>HYPERLINK("https://twitter.com/petrogustavo/status/1239202991951020034","1239202991951020034")</f>
        <v>1239202991951020034</v>
      </c>
      <c r="F3492" s="7" t="s">
        <v>17</v>
      </c>
      <c r="G3492" s="7">
        <v>3666529</v>
      </c>
      <c r="H3492" s="7">
        <v>2357</v>
      </c>
      <c r="I3492" s="7">
        <v>91</v>
      </c>
      <c r="J3492" s="7">
        <v>286</v>
      </c>
      <c r="K3492" s="7" t="s">
        <v>18</v>
      </c>
      <c r="L3492" s="8">
        <v>39987.315405092595</v>
      </c>
      <c r="M3492" s="9" t="s">
        <v>19</v>
      </c>
      <c r="N3492" s="9" t="s">
        <v>20</v>
      </c>
      <c r="O3492" s="6" t="str">
        <f>HYPERLINK("https://pbs.twimg.com/profile_images/962471262747529216/Uo8lOkRJ_normal.jpg","View")</f>
        <v>View</v>
      </c>
      <c r="P3492" s="7"/>
    </row>
    <row r="3493" spans="1:16">
      <c r="A3493" s="3">
        <v>43905.853263888886</v>
      </c>
      <c r="B3493" s="4" t="str">
        <f>HYPERLINK("https://twitter.com/petrogustavo","@petrogustavo")</f>
        <v>@petrogustavo</v>
      </c>
      <c r="C3493" s="5" t="s">
        <v>16</v>
      </c>
      <c r="D3493" s="5" t="s">
        <v>3425</v>
      </c>
      <c r="E3493" s="6" t="str">
        <f>HYPERLINK("https://twitter.com/petrogustavo/status/1239204380269838338","1239204380269838338")</f>
        <v>1239204380269838338</v>
      </c>
      <c r="F3493" s="7" t="s">
        <v>17</v>
      </c>
      <c r="G3493" s="7">
        <v>3666529</v>
      </c>
      <c r="H3493" s="7">
        <v>2357</v>
      </c>
      <c r="I3493" s="7">
        <v>89</v>
      </c>
      <c r="J3493" s="7">
        <v>287</v>
      </c>
      <c r="K3493" s="7" t="s">
        <v>18</v>
      </c>
      <c r="L3493" s="8">
        <v>39987.315405092595</v>
      </c>
      <c r="M3493" s="9" t="s">
        <v>19</v>
      </c>
      <c r="N3493" s="9" t="s">
        <v>20</v>
      </c>
      <c r="O3493" s="6" t="str">
        <f>HYPERLINK("https://pbs.twimg.com/profile_images/962471262747529216/Uo8lOkRJ_normal.jpg","View")</f>
        <v>View</v>
      </c>
      <c r="P3493" s="7"/>
    </row>
    <row r="3494" spans="1:16">
      <c r="A3494" s="3">
        <v>43905.854537037041</v>
      </c>
      <c r="B3494" s="4" t="str">
        <f>HYPERLINK("https://twitter.com/petrogustavo","@petrogustavo")</f>
        <v>@petrogustavo</v>
      </c>
      <c r="C3494" s="5" t="s">
        <v>16</v>
      </c>
      <c r="D3494" s="5" t="s">
        <v>3426</v>
      </c>
      <c r="E3494" s="6" t="str">
        <f>HYPERLINK("https://twitter.com/petrogustavo/status/1239204844143026177","1239204844143026177")</f>
        <v>1239204844143026177</v>
      </c>
      <c r="F3494" s="7" t="s">
        <v>17</v>
      </c>
      <c r="G3494" s="7">
        <v>3666529</v>
      </c>
      <c r="H3494" s="7">
        <v>2357</v>
      </c>
      <c r="I3494" s="7">
        <v>144</v>
      </c>
      <c r="J3494" s="7">
        <v>0</v>
      </c>
      <c r="K3494" s="7" t="s">
        <v>18</v>
      </c>
      <c r="L3494" s="8">
        <v>39987.315405092595</v>
      </c>
      <c r="M3494" s="9" t="s">
        <v>19</v>
      </c>
      <c r="N3494" s="9" t="s">
        <v>20</v>
      </c>
      <c r="O3494" s="6" t="str">
        <f>HYPERLINK("https://pbs.twimg.com/profile_images/962471262747529216/Uo8lOkRJ_normal.jpg","View")</f>
        <v>View</v>
      </c>
      <c r="P3494" s="7"/>
    </row>
    <row r="3495" spans="1:16">
      <c r="A3495" s="3">
        <v>43905.854999999996</v>
      </c>
      <c r="B3495" s="4" t="str">
        <f>HYPERLINK("https://twitter.com/petrogustavo","@petrogustavo")</f>
        <v>@petrogustavo</v>
      </c>
      <c r="C3495" s="5" t="s">
        <v>16</v>
      </c>
      <c r="D3495" s="5" t="s">
        <v>3427</v>
      </c>
      <c r="E3495" s="6" t="str">
        <f>HYPERLINK("https://twitter.com/petrogustavo/status/1239205012124950529","1239205012124950529")</f>
        <v>1239205012124950529</v>
      </c>
      <c r="F3495" s="7" t="s">
        <v>17</v>
      </c>
      <c r="G3495" s="7">
        <v>3666529</v>
      </c>
      <c r="H3495" s="7">
        <v>2357</v>
      </c>
      <c r="I3495" s="7">
        <v>292</v>
      </c>
      <c r="J3495" s="7">
        <v>0</v>
      </c>
      <c r="K3495" s="7" t="s">
        <v>18</v>
      </c>
      <c r="L3495" s="8">
        <v>39987.315405092595</v>
      </c>
      <c r="M3495" s="9" t="s">
        <v>19</v>
      </c>
      <c r="N3495" s="9" t="s">
        <v>20</v>
      </c>
      <c r="O3495" s="6" t="str">
        <f>HYPERLINK("https://pbs.twimg.com/profile_images/962471262747529216/Uo8lOkRJ_normal.jpg","View")</f>
        <v>View</v>
      </c>
      <c r="P3495" s="7"/>
    </row>
    <row r="3496" spans="1:16">
      <c r="A3496" s="3">
        <v>43905.873657407406</v>
      </c>
      <c r="B3496" s="4" t="str">
        <f>HYPERLINK("https://twitter.com/petrogustavo","@petrogustavo")</f>
        <v>@petrogustavo</v>
      </c>
      <c r="C3496" s="5" t="s">
        <v>16</v>
      </c>
      <c r="D3496" s="5" t="s">
        <v>3428</v>
      </c>
      <c r="E3496" s="6" t="str">
        <f>HYPERLINK("https://twitter.com/petrogustavo/status/1239211773649137669","1239211773649137669")</f>
        <v>1239211773649137669</v>
      </c>
      <c r="F3496" s="7" t="s">
        <v>17</v>
      </c>
      <c r="G3496" s="7">
        <v>3666585</v>
      </c>
      <c r="H3496" s="7">
        <v>2357</v>
      </c>
      <c r="I3496" s="7">
        <v>83</v>
      </c>
      <c r="J3496" s="7">
        <v>248</v>
      </c>
      <c r="K3496" s="7" t="s">
        <v>18</v>
      </c>
      <c r="L3496" s="8">
        <v>39987.315405092595</v>
      </c>
      <c r="M3496" s="9" t="s">
        <v>19</v>
      </c>
      <c r="N3496" s="9" t="s">
        <v>20</v>
      </c>
      <c r="O3496" s="6" t="str">
        <f>HYPERLINK("https://pbs.twimg.com/profile_images/962471262747529216/Uo8lOkRJ_normal.jpg","View")</f>
        <v>View</v>
      </c>
      <c r="P3496" s="7"/>
    </row>
    <row r="3497" spans="1:16">
      <c r="A3497" s="3">
        <v>43905.874872685185</v>
      </c>
      <c r="B3497" s="4" t="str">
        <f>HYPERLINK("https://twitter.com/petrogustavo","@petrogustavo")</f>
        <v>@petrogustavo</v>
      </c>
      <c r="C3497" s="5" t="s">
        <v>16</v>
      </c>
      <c r="D3497" s="5" t="s">
        <v>3429</v>
      </c>
      <c r="E3497" s="6" t="str">
        <f>HYPERLINK("https://twitter.com/petrogustavo/status/1239212213786882048","1239212213786882048")</f>
        <v>1239212213786882048</v>
      </c>
      <c r="F3497" s="7" t="s">
        <v>17</v>
      </c>
      <c r="G3497" s="7">
        <v>3666585</v>
      </c>
      <c r="H3497" s="7">
        <v>2357</v>
      </c>
      <c r="I3497" s="7">
        <v>40</v>
      </c>
      <c r="J3497" s="7">
        <v>131</v>
      </c>
      <c r="K3497" s="7" t="s">
        <v>18</v>
      </c>
      <c r="L3497" s="8">
        <v>39987.315405092595</v>
      </c>
      <c r="M3497" s="9" t="s">
        <v>19</v>
      </c>
      <c r="N3497" s="9" t="s">
        <v>20</v>
      </c>
      <c r="O3497" s="6" t="str">
        <f>HYPERLINK("https://pbs.twimg.com/profile_images/962471262747529216/Uo8lOkRJ_normal.jpg","View")</f>
        <v>View</v>
      </c>
      <c r="P3497" s="7"/>
    </row>
    <row r="3498" spans="1:16">
      <c r="A3498" s="3">
        <v>43905.876956018517</v>
      </c>
      <c r="B3498" s="4" t="str">
        <f>HYPERLINK("https://twitter.com/petrogustavo","@petrogustavo")</f>
        <v>@petrogustavo</v>
      </c>
      <c r="C3498" s="5" t="s">
        <v>16</v>
      </c>
      <c r="D3498" s="5" t="s">
        <v>3430</v>
      </c>
      <c r="E3498" s="6" t="str">
        <f>HYPERLINK("https://twitter.com/petrogustavo/status/1239212968044355588","1239212968044355588")</f>
        <v>1239212968044355588</v>
      </c>
      <c r="F3498" s="7" t="s">
        <v>17</v>
      </c>
      <c r="G3498" s="7">
        <v>3666585</v>
      </c>
      <c r="H3498" s="7">
        <v>2357</v>
      </c>
      <c r="I3498" s="7">
        <v>126</v>
      </c>
      <c r="J3498" s="7">
        <v>515</v>
      </c>
      <c r="K3498" s="7" t="s">
        <v>18</v>
      </c>
      <c r="L3498" s="8">
        <v>39987.315405092595</v>
      </c>
      <c r="M3498" s="9" t="s">
        <v>19</v>
      </c>
      <c r="N3498" s="9" t="s">
        <v>20</v>
      </c>
      <c r="O3498" s="6" t="str">
        <f>HYPERLINK("https://pbs.twimg.com/profile_images/962471262747529216/Uo8lOkRJ_normal.jpg","View")</f>
        <v>View</v>
      </c>
      <c r="P3498" s="7"/>
    </row>
    <row r="3499" spans="1:16">
      <c r="A3499" s="3">
        <v>43905.898043981477</v>
      </c>
      <c r="B3499" s="4" t="str">
        <f>HYPERLINK("https://twitter.com/petrogustavo","@petrogustavo")</f>
        <v>@petrogustavo</v>
      </c>
      <c r="C3499" s="5" t="s">
        <v>16</v>
      </c>
      <c r="D3499" s="5" t="s">
        <v>3431</v>
      </c>
      <c r="E3499" s="6" t="str">
        <f>HYPERLINK("https://twitter.com/petrogustavo/status/1239220607667011584","1239220607667011584")</f>
        <v>1239220607667011584</v>
      </c>
      <c r="F3499" s="7" t="s">
        <v>17</v>
      </c>
      <c r="G3499" s="7">
        <v>3666651</v>
      </c>
      <c r="H3499" s="7">
        <v>2357</v>
      </c>
      <c r="I3499" s="7">
        <v>294</v>
      </c>
      <c r="J3499" s="7">
        <v>1070</v>
      </c>
      <c r="K3499" s="7" t="s">
        <v>18</v>
      </c>
      <c r="L3499" s="8">
        <v>39987.315405092595</v>
      </c>
      <c r="M3499" s="9" t="s">
        <v>19</v>
      </c>
      <c r="N3499" s="9" t="s">
        <v>20</v>
      </c>
      <c r="O3499" s="6" t="str">
        <f>HYPERLINK("https://pbs.twimg.com/profile_images/962471262747529216/Uo8lOkRJ_normal.jpg","View")</f>
        <v>View</v>
      </c>
      <c r="P3499" s="7"/>
    </row>
    <row r="3500" spans="1:16">
      <c r="A3500" s="3">
        <v>43905.905104166668</v>
      </c>
      <c r="B3500" s="4" t="str">
        <f>HYPERLINK("https://twitter.com/petrogustavo","@petrogustavo")</f>
        <v>@petrogustavo</v>
      </c>
      <c r="C3500" s="5" t="s">
        <v>16</v>
      </c>
      <c r="D3500" s="5" t="s">
        <v>3432</v>
      </c>
      <c r="E3500" s="6" t="str">
        <f>HYPERLINK("https://twitter.com/petrogustavo/status/1239223168176467968","1239223168176467968")</f>
        <v>1239223168176467968</v>
      </c>
      <c r="F3500" s="7" t="s">
        <v>17</v>
      </c>
      <c r="G3500" s="7">
        <v>3666651</v>
      </c>
      <c r="H3500" s="7">
        <v>2357</v>
      </c>
      <c r="I3500" s="7">
        <v>52</v>
      </c>
      <c r="J3500" s="7">
        <v>126</v>
      </c>
      <c r="K3500" s="7" t="s">
        <v>18</v>
      </c>
      <c r="L3500" s="8">
        <v>39987.315405092595</v>
      </c>
      <c r="M3500" s="9" t="s">
        <v>19</v>
      </c>
      <c r="N3500" s="9" t="s">
        <v>20</v>
      </c>
      <c r="O3500" s="6" t="str">
        <f>HYPERLINK("https://pbs.twimg.com/profile_images/962471262747529216/Uo8lOkRJ_normal.jpg","View")</f>
        <v>View</v>
      </c>
      <c r="P3500" s="7"/>
    </row>
    <row r="3501" spans="1:16">
      <c r="A3501" s="3">
        <v>43905.925775462965</v>
      </c>
      <c r="B3501" s="4" t="str">
        <f>HYPERLINK("https://twitter.com/petrogustavo","@petrogustavo")</f>
        <v>@petrogustavo</v>
      </c>
      <c r="C3501" s="5" t="s">
        <v>16</v>
      </c>
      <c r="D3501" s="5" t="s">
        <v>3433</v>
      </c>
      <c r="E3501" s="6" t="str">
        <f>HYPERLINK("https://twitter.com/petrogustavo/status/1239230659878694913","1239230659878694913")</f>
        <v>1239230659878694913</v>
      </c>
      <c r="F3501" s="7" t="s">
        <v>17</v>
      </c>
      <c r="G3501" s="7">
        <v>3666683</v>
      </c>
      <c r="H3501" s="7">
        <v>2357</v>
      </c>
      <c r="I3501" s="7">
        <v>19</v>
      </c>
      <c r="J3501" s="7">
        <v>83</v>
      </c>
      <c r="K3501" s="7" t="s">
        <v>18</v>
      </c>
      <c r="L3501" s="8">
        <v>39987.315405092595</v>
      </c>
      <c r="M3501" s="9" t="s">
        <v>19</v>
      </c>
      <c r="N3501" s="9" t="s">
        <v>20</v>
      </c>
      <c r="O3501" s="6" t="str">
        <f>HYPERLINK("https://pbs.twimg.com/profile_images/962471262747529216/Uo8lOkRJ_normal.jpg","View")</f>
        <v>View</v>
      </c>
      <c r="P3501" s="7"/>
    </row>
    <row r="3502" spans="1:16">
      <c r="A3502" s="3">
        <v>43905.925787037035</v>
      </c>
      <c r="B3502" s="4" t="str">
        <f>HYPERLINK("https://twitter.com/petrogustavo","@petrogustavo")</f>
        <v>@petrogustavo</v>
      </c>
      <c r="C3502" s="5" t="s">
        <v>16</v>
      </c>
      <c r="D3502" s="5" t="s">
        <v>3434</v>
      </c>
      <c r="E3502" s="6" t="str">
        <f>HYPERLINK("https://twitter.com/petrogustavo/status/1239230661229232129","1239230661229232129")</f>
        <v>1239230661229232129</v>
      </c>
      <c r="F3502" s="7" t="s">
        <v>17</v>
      </c>
      <c r="G3502" s="7">
        <v>3666683</v>
      </c>
      <c r="H3502" s="7">
        <v>2357</v>
      </c>
      <c r="I3502" s="7">
        <v>6</v>
      </c>
      <c r="J3502" s="7">
        <v>22</v>
      </c>
      <c r="K3502" s="7" t="s">
        <v>18</v>
      </c>
      <c r="L3502" s="8">
        <v>39987.315405092595</v>
      </c>
      <c r="M3502" s="9" t="s">
        <v>19</v>
      </c>
      <c r="N3502" s="9" t="s">
        <v>20</v>
      </c>
      <c r="O3502" s="6" t="str">
        <f>HYPERLINK("https://pbs.twimg.com/profile_images/962471262747529216/Uo8lOkRJ_normal.jpg","View")</f>
        <v>View</v>
      </c>
      <c r="P3502" s="7"/>
    </row>
    <row r="3503" spans="1:16">
      <c r="A3503" s="3">
        <v>43905.925787037035</v>
      </c>
      <c r="B3503" s="4" t="str">
        <f>HYPERLINK("https://twitter.com/petrogustavo","@petrogustavo")</f>
        <v>@petrogustavo</v>
      </c>
      <c r="C3503" s="5" t="s">
        <v>16</v>
      </c>
      <c r="D3503" s="5" t="s">
        <v>3435</v>
      </c>
      <c r="E3503" s="6" t="str">
        <f>HYPERLINK("https://twitter.com/petrogustavo/status/1239230663724851202","1239230663724851202")</f>
        <v>1239230663724851202</v>
      </c>
      <c r="F3503" s="7" t="s">
        <v>17</v>
      </c>
      <c r="G3503" s="7">
        <v>3666683</v>
      </c>
      <c r="H3503" s="7">
        <v>2357</v>
      </c>
      <c r="I3503" s="7">
        <v>7</v>
      </c>
      <c r="J3503" s="7">
        <v>27</v>
      </c>
      <c r="K3503" s="7" t="s">
        <v>18</v>
      </c>
      <c r="L3503" s="8">
        <v>39987.315405092595</v>
      </c>
      <c r="M3503" s="9" t="s">
        <v>19</v>
      </c>
      <c r="N3503" s="9" t="s">
        <v>20</v>
      </c>
      <c r="O3503" s="6" t="str">
        <f>HYPERLINK("https://pbs.twimg.com/profile_images/962471262747529216/Uo8lOkRJ_normal.jpg","View")</f>
        <v>View</v>
      </c>
      <c r="P3503" s="7"/>
    </row>
    <row r="3504" spans="1:16">
      <c r="A3504" s="3">
        <v>43905.925798611112</v>
      </c>
      <c r="B3504" s="4" t="str">
        <f>HYPERLINK("https://twitter.com/petrogustavo","@petrogustavo")</f>
        <v>@petrogustavo</v>
      </c>
      <c r="C3504" s="5" t="s">
        <v>16</v>
      </c>
      <c r="D3504" s="5" t="s">
        <v>3436</v>
      </c>
      <c r="E3504" s="6" t="str">
        <f>HYPERLINK("https://twitter.com/petrogustavo/status/1239230665163517952","1239230665163517952")</f>
        <v>1239230665163517952</v>
      </c>
      <c r="F3504" s="7" t="s">
        <v>17</v>
      </c>
      <c r="G3504" s="7">
        <v>3666683</v>
      </c>
      <c r="H3504" s="7">
        <v>2357</v>
      </c>
      <c r="I3504" s="7">
        <v>6</v>
      </c>
      <c r="J3504" s="7">
        <v>48</v>
      </c>
      <c r="K3504" s="7" t="s">
        <v>18</v>
      </c>
      <c r="L3504" s="8">
        <v>39987.315405092595</v>
      </c>
      <c r="M3504" s="9" t="s">
        <v>19</v>
      </c>
      <c r="N3504" s="9" t="s">
        <v>20</v>
      </c>
      <c r="O3504" s="6" t="str">
        <f>HYPERLINK("https://pbs.twimg.com/profile_images/962471262747529216/Uo8lOkRJ_normal.jpg","View")</f>
        <v>View</v>
      </c>
      <c r="P3504" s="7"/>
    </row>
    <row r="3505" spans="1:16">
      <c r="A3505" s="3">
        <v>43905.92597222222</v>
      </c>
      <c r="B3505" s="4" t="str">
        <f>HYPERLINK("https://twitter.com/petrogustavo","@petrogustavo")</f>
        <v>@petrogustavo</v>
      </c>
      <c r="C3505" s="5" t="s">
        <v>16</v>
      </c>
      <c r="D3505" s="5" t="s">
        <v>3437</v>
      </c>
      <c r="E3505" s="6" t="str">
        <f>HYPERLINK("https://twitter.com/petrogustavo/status/1239230731391565825","1239230731391565825")</f>
        <v>1239230731391565825</v>
      </c>
      <c r="F3505" s="7" t="s">
        <v>17</v>
      </c>
      <c r="G3505" s="7">
        <v>3666683</v>
      </c>
      <c r="H3505" s="7">
        <v>2357</v>
      </c>
      <c r="I3505" s="7">
        <v>221</v>
      </c>
      <c r="J3505" s="7">
        <v>0</v>
      </c>
      <c r="K3505" s="7" t="s">
        <v>18</v>
      </c>
      <c r="L3505" s="8">
        <v>39987.315405092595</v>
      </c>
      <c r="M3505" s="9" t="s">
        <v>19</v>
      </c>
      <c r="N3505" s="9" t="s">
        <v>20</v>
      </c>
      <c r="O3505" s="6" t="str">
        <f>HYPERLINK("https://pbs.twimg.com/profile_images/962471262747529216/Uo8lOkRJ_normal.jpg","View")</f>
        <v>View</v>
      </c>
      <c r="P3505" s="7"/>
    </row>
    <row r="3506" spans="1:16">
      <c r="A3506" s="3">
        <v>43905.932442129633</v>
      </c>
      <c r="B3506" s="4" t="str">
        <f>HYPERLINK("https://twitter.com/petrogustavo","@petrogustavo")</f>
        <v>@petrogustavo</v>
      </c>
      <c r="C3506" s="5" t="s">
        <v>16</v>
      </c>
      <c r="D3506" s="5" t="s">
        <v>3438</v>
      </c>
      <c r="E3506" s="6" t="str">
        <f>HYPERLINK("https://twitter.com/petrogustavo/status/1239233073352450050","1239233073352450050")</f>
        <v>1239233073352450050</v>
      </c>
      <c r="F3506" s="7" t="s">
        <v>17</v>
      </c>
      <c r="G3506" s="7">
        <v>3666734</v>
      </c>
      <c r="H3506" s="7">
        <v>2357</v>
      </c>
      <c r="I3506" s="7">
        <v>114</v>
      </c>
      <c r="J3506" s="7">
        <v>333</v>
      </c>
      <c r="K3506" s="7" t="s">
        <v>18</v>
      </c>
      <c r="L3506" s="8">
        <v>39987.315405092595</v>
      </c>
      <c r="M3506" s="9" t="s">
        <v>19</v>
      </c>
      <c r="N3506" s="9" t="s">
        <v>20</v>
      </c>
      <c r="O3506" s="6" t="str">
        <f>HYPERLINK("https://pbs.twimg.com/profile_images/962471262747529216/Uo8lOkRJ_normal.jpg","View")</f>
        <v>View</v>
      </c>
      <c r="P3506" s="7"/>
    </row>
    <row r="3507" spans="1:16">
      <c r="A3507" s="3">
        <v>43905.935324074075</v>
      </c>
      <c r="B3507" s="4" t="str">
        <f>HYPERLINK("https://twitter.com/petrogustavo","@petrogustavo")</f>
        <v>@petrogustavo</v>
      </c>
      <c r="C3507" s="5" t="s">
        <v>16</v>
      </c>
      <c r="D3507" s="5" t="s">
        <v>3439</v>
      </c>
      <c r="E3507" s="6" t="str">
        <f>HYPERLINK("https://twitter.com/petrogustavo/status/1239234120363974656","1239234120363974656")</f>
        <v>1239234120363974656</v>
      </c>
      <c r="F3507" s="7" t="s">
        <v>17</v>
      </c>
      <c r="G3507" s="7">
        <v>3666734</v>
      </c>
      <c r="H3507" s="7">
        <v>2357</v>
      </c>
      <c r="I3507" s="7">
        <v>54</v>
      </c>
      <c r="J3507" s="7">
        <v>91</v>
      </c>
      <c r="K3507" s="7" t="s">
        <v>18</v>
      </c>
      <c r="L3507" s="8">
        <v>39987.315405092595</v>
      </c>
      <c r="M3507" s="9" t="s">
        <v>19</v>
      </c>
      <c r="N3507" s="9" t="s">
        <v>20</v>
      </c>
      <c r="O3507" s="6" t="str">
        <f>HYPERLINK("https://pbs.twimg.com/profile_images/962471262747529216/Uo8lOkRJ_normal.jpg","View")</f>
        <v>View</v>
      </c>
      <c r="P3507" s="7"/>
    </row>
    <row r="3508" spans="1:16">
      <c r="A3508" s="3">
        <v>43905.939074074078</v>
      </c>
      <c r="B3508" s="4" t="str">
        <f>HYPERLINK("https://twitter.com/petrogustavo","@petrogustavo")</f>
        <v>@petrogustavo</v>
      </c>
      <c r="C3508" s="5" t="s">
        <v>16</v>
      </c>
      <c r="D3508" s="5" t="s">
        <v>3440</v>
      </c>
      <c r="E3508" s="6" t="str">
        <f>HYPERLINK("https://twitter.com/petrogustavo/status/1239235479691825154","1239235479691825154")</f>
        <v>1239235479691825154</v>
      </c>
      <c r="F3508" s="7" t="s">
        <v>17</v>
      </c>
      <c r="G3508" s="7">
        <v>3666734</v>
      </c>
      <c r="H3508" s="7">
        <v>2357</v>
      </c>
      <c r="I3508" s="7">
        <v>251</v>
      </c>
      <c r="J3508" s="7">
        <v>690</v>
      </c>
      <c r="K3508" s="7" t="s">
        <v>18</v>
      </c>
      <c r="L3508" s="8">
        <v>39987.315405092595</v>
      </c>
      <c r="M3508" s="9" t="s">
        <v>19</v>
      </c>
      <c r="N3508" s="9" t="s">
        <v>20</v>
      </c>
      <c r="O3508" s="6" t="str">
        <f>HYPERLINK("https://pbs.twimg.com/profile_images/962471262747529216/Uo8lOkRJ_normal.jpg","View")</f>
        <v>View</v>
      </c>
      <c r="P3508" s="7"/>
    </row>
    <row r="3509" spans="1:16">
      <c r="A3509" s="3">
        <v>43905.940972222219</v>
      </c>
      <c r="B3509" s="4" t="str">
        <f>HYPERLINK("https://twitter.com/petrogustavo","@petrogustavo")</f>
        <v>@petrogustavo</v>
      </c>
      <c r="C3509" s="5" t="s">
        <v>16</v>
      </c>
      <c r="D3509" s="5" t="s">
        <v>3441</v>
      </c>
      <c r="E3509" s="6" t="str">
        <f>HYPERLINK("https://twitter.com/petrogustavo/status/1239236167419211778","1239236167419211778")</f>
        <v>1239236167419211778</v>
      </c>
      <c r="F3509" s="7" t="s">
        <v>17</v>
      </c>
      <c r="G3509" s="7">
        <v>3666734</v>
      </c>
      <c r="H3509" s="7">
        <v>2357</v>
      </c>
      <c r="I3509" s="7">
        <v>63</v>
      </c>
      <c r="J3509" s="7">
        <v>183</v>
      </c>
      <c r="K3509" s="7" t="s">
        <v>18</v>
      </c>
      <c r="L3509" s="8">
        <v>39987.315405092595</v>
      </c>
      <c r="M3509" s="9" t="s">
        <v>19</v>
      </c>
      <c r="N3509" s="9" t="s">
        <v>20</v>
      </c>
      <c r="O3509" s="6" t="str">
        <f>HYPERLINK("https://pbs.twimg.com/profile_images/962471262747529216/Uo8lOkRJ_normal.jpg","View")</f>
        <v>View</v>
      </c>
      <c r="P3509" s="7"/>
    </row>
    <row r="3510" spans="1:16">
      <c r="A3510" s="3">
        <v>43905.942002314812</v>
      </c>
      <c r="B3510" s="4" t="str">
        <f>HYPERLINK("https://twitter.com/petrogustavo","@petrogustavo")</f>
        <v>@petrogustavo</v>
      </c>
      <c r="C3510" s="5" t="s">
        <v>16</v>
      </c>
      <c r="D3510" s="5" t="s">
        <v>3442</v>
      </c>
      <c r="E3510" s="6" t="str">
        <f>HYPERLINK("https://twitter.com/petrogustavo/status/1239236540922036228","1239236540922036228")</f>
        <v>1239236540922036228</v>
      </c>
      <c r="F3510" s="7" t="s">
        <v>17</v>
      </c>
      <c r="G3510" s="7">
        <v>3666734</v>
      </c>
      <c r="H3510" s="7">
        <v>2357</v>
      </c>
      <c r="I3510" s="7">
        <v>41</v>
      </c>
      <c r="J3510" s="7">
        <v>118</v>
      </c>
      <c r="K3510" s="7" t="s">
        <v>18</v>
      </c>
      <c r="L3510" s="8">
        <v>39987.315405092595</v>
      </c>
      <c r="M3510" s="9" t="s">
        <v>19</v>
      </c>
      <c r="N3510" s="9" t="s">
        <v>20</v>
      </c>
      <c r="O3510" s="6" t="str">
        <f>HYPERLINK("https://pbs.twimg.com/profile_images/962471262747529216/Uo8lOkRJ_normal.jpg","View")</f>
        <v>View</v>
      </c>
      <c r="P3510" s="7"/>
    </row>
    <row r="3511" spans="1:16">
      <c r="A3511" s="3">
        <v>43905.948287037041</v>
      </c>
      <c r="B3511" s="4" t="str">
        <f>HYPERLINK("https://twitter.com/petrogustavo","@petrogustavo")</f>
        <v>@petrogustavo</v>
      </c>
      <c r="C3511" s="5" t="s">
        <v>16</v>
      </c>
      <c r="D3511" s="5" t="s">
        <v>3443</v>
      </c>
      <c r="E3511" s="6" t="str">
        <f>HYPERLINK("https://twitter.com/petrogustavo/status/1239238817049120768","1239238817049120768")</f>
        <v>1239238817049120768</v>
      </c>
      <c r="F3511" s="7" t="s">
        <v>17</v>
      </c>
      <c r="G3511" s="7">
        <v>3666734</v>
      </c>
      <c r="H3511" s="7">
        <v>2357</v>
      </c>
      <c r="I3511" s="7">
        <v>651</v>
      </c>
      <c r="J3511" s="7">
        <v>0</v>
      </c>
      <c r="K3511" s="7" t="s">
        <v>18</v>
      </c>
      <c r="L3511" s="8">
        <v>39987.315405092595</v>
      </c>
      <c r="M3511" s="9" t="s">
        <v>19</v>
      </c>
      <c r="N3511" s="9" t="s">
        <v>20</v>
      </c>
      <c r="O3511" s="6" t="str">
        <f>HYPERLINK("https://pbs.twimg.com/profile_images/962471262747529216/Uo8lOkRJ_normal.jpg","View")</f>
        <v>View</v>
      </c>
      <c r="P3511" s="7"/>
    </row>
    <row r="3512" spans="1:16">
      <c r="A3512" s="3">
        <v>43905.992407407408</v>
      </c>
      <c r="B3512" s="4" t="str">
        <f>HYPERLINK("https://twitter.com/petrogustavo","@petrogustavo")</f>
        <v>@petrogustavo</v>
      </c>
      <c r="C3512" s="5" t="s">
        <v>16</v>
      </c>
      <c r="D3512" s="5" t="s">
        <v>3444</v>
      </c>
      <c r="E3512" s="6" t="str">
        <f>HYPERLINK("https://twitter.com/petrogustavo/status/1239254806784544768","1239254806784544768")</f>
        <v>1239254806784544768</v>
      </c>
      <c r="F3512" s="7" t="s">
        <v>17</v>
      </c>
      <c r="G3512" s="7">
        <v>3666874</v>
      </c>
      <c r="H3512" s="7">
        <v>2357</v>
      </c>
      <c r="I3512" s="7">
        <v>809</v>
      </c>
      <c r="J3512" s="7">
        <v>0</v>
      </c>
      <c r="K3512" s="7" t="s">
        <v>18</v>
      </c>
      <c r="L3512" s="8">
        <v>39987.315405092595</v>
      </c>
      <c r="M3512" s="9" t="s">
        <v>19</v>
      </c>
      <c r="N3512" s="9" t="s">
        <v>20</v>
      </c>
      <c r="O3512" s="6" t="str">
        <f>HYPERLINK("https://pbs.twimg.com/profile_images/962471262747529216/Uo8lOkRJ_normal.jpg","View")</f>
        <v>View</v>
      </c>
      <c r="P3512" s="7"/>
    </row>
    <row r="3513" spans="1:16">
      <c r="A3513" s="3">
        <v>43905.999421296292</v>
      </c>
      <c r="B3513" s="4" t="str">
        <f>HYPERLINK("https://twitter.com/petrogustavo","@petrogustavo")</f>
        <v>@petrogustavo</v>
      </c>
      <c r="C3513" s="5" t="s">
        <v>16</v>
      </c>
      <c r="D3513" s="5" t="s">
        <v>3445</v>
      </c>
      <c r="E3513" s="6" t="str">
        <f>HYPERLINK("https://twitter.com/petrogustavo/status/1239257347220004864","1239257347220004864")</f>
        <v>1239257347220004864</v>
      </c>
      <c r="F3513" s="7" t="s">
        <v>17</v>
      </c>
      <c r="G3513" s="7">
        <v>3666874</v>
      </c>
      <c r="H3513" s="7">
        <v>2357</v>
      </c>
      <c r="I3513" s="7">
        <v>211</v>
      </c>
      <c r="J3513" s="7">
        <v>0</v>
      </c>
      <c r="K3513" s="7" t="s">
        <v>18</v>
      </c>
      <c r="L3513" s="8">
        <v>39987.315405092595</v>
      </c>
      <c r="M3513" s="9" t="s">
        <v>19</v>
      </c>
      <c r="N3513" s="9" t="s">
        <v>20</v>
      </c>
      <c r="O3513" s="6" t="str">
        <f>HYPERLINK("https://pbs.twimg.com/profile_images/962471262747529216/Uo8lOkRJ_normal.jpg","View")</f>
        <v>View</v>
      </c>
      <c r="P3513" s="7"/>
    </row>
    <row r="3514" spans="1:16">
      <c r="A3514" s="3">
        <v>43906.005636574075</v>
      </c>
      <c r="B3514" s="4" t="str">
        <f>HYPERLINK("https://twitter.com/petrogustavo","@petrogustavo")</f>
        <v>@petrogustavo</v>
      </c>
      <c r="C3514" s="5" t="s">
        <v>16</v>
      </c>
      <c r="D3514" s="5" t="s">
        <v>3446</v>
      </c>
      <c r="E3514" s="6" t="str">
        <f>HYPERLINK("https://twitter.com/petrogustavo/status/1239259601536720896","1239259601536720896")</f>
        <v>1239259601536720896</v>
      </c>
      <c r="F3514" s="7" t="s">
        <v>17</v>
      </c>
      <c r="G3514" s="7">
        <v>3666874</v>
      </c>
      <c r="H3514" s="7">
        <v>2357</v>
      </c>
      <c r="I3514" s="7">
        <v>148</v>
      </c>
      <c r="J3514" s="7">
        <v>490</v>
      </c>
      <c r="K3514" s="7" t="s">
        <v>18</v>
      </c>
      <c r="L3514" s="8">
        <v>39987.315405092595</v>
      </c>
      <c r="M3514" s="9" t="s">
        <v>19</v>
      </c>
      <c r="N3514" s="9" t="s">
        <v>20</v>
      </c>
      <c r="O3514" s="6" t="str">
        <f>HYPERLINK("https://pbs.twimg.com/profile_images/962471262747529216/Uo8lOkRJ_normal.jpg","View")</f>
        <v>View</v>
      </c>
      <c r="P3514" s="7"/>
    </row>
    <row r="3515" spans="1:16">
      <c r="A3515" s="3">
        <v>43906.037268518514</v>
      </c>
      <c r="B3515" s="4" t="str">
        <f>HYPERLINK("https://twitter.com/petrogustavo","@petrogustavo")</f>
        <v>@petrogustavo</v>
      </c>
      <c r="C3515" s="5" t="s">
        <v>16</v>
      </c>
      <c r="D3515" s="5" t="s">
        <v>3447</v>
      </c>
      <c r="E3515" s="6" t="str">
        <f>HYPERLINK("https://twitter.com/petrogustavo/status/1239271062476591105","1239271062476591105")</f>
        <v>1239271062476591105</v>
      </c>
      <c r="F3515" s="7" t="s">
        <v>17</v>
      </c>
      <c r="G3515" s="7">
        <v>3667001</v>
      </c>
      <c r="H3515" s="7">
        <v>2357</v>
      </c>
      <c r="I3515" s="7">
        <v>80</v>
      </c>
      <c r="J3515" s="7">
        <v>0</v>
      </c>
      <c r="K3515" s="7" t="s">
        <v>18</v>
      </c>
      <c r="L3515" s="8">
        <v>39987.315405092595</v>
      </c>
      <c r="M3515" s="9" t="s">
        <v>19</v>
      </c>
      <c r="N3515" s="9" t="s">
        <v>20</v>
      </c>
      <c r="O3515" s="6" t="str">
        <f>HYPERLINK("https://pbs.twimg.com/profile_images/962471262747529216/Uo8lOkRJ_normal.jpg","View")</f>
        <v>View</v>
      </c>
      <c r="P3515" s="7"/>
    </row>
    <row r="3516" spans="1:16">
      <c r="A3516" s="3">
        <v>43906.039270833338</v>
      </c>
      <c r="B3516" s="4" t="str">
        <f>HYPERLINK("https://twitter.com/petrogustavo","@petrogustavo")</f>
        <v>@petrogustavo</v>
      </c>
      <c r="C3516" s="5" t="s">
        <v>16</v>
      </c>
      <c r="D3516" s="5" t="s">
        <v>3448</v>
      </c>
      <c r="E3516" s="6" t="str">
        <f>HYPERLINK("https://twitter.com/petrogustavo/status/1239271786686144517","1239271786686144517")</f>
        <v>1239271786686144517</v>
      </c>
      <c r="F3516" s="7" t="s">
        <v>17</v>
      </c>
      <c r="G3516" s="7">
        <v>3667001</v>
      </c>
      <c r="H3516" s="7">
        <v>2357</v>
      </c>
      <c r="I3516" s="7">
        <v>284</v>
      </c>
      <c r="J3516" s="7">
        <v>0</v>
      </c>
      <c r="K3516" s="7" t="s">
        <v>18</v>
      </c>
      <c r="L3516" s="8">
        <v>39987.315405092595</v>
      </c>
      <c r="M3516" s="9" t="s">
        <v>19</v>
      </c>
      <c r="N3516" s="9" t="s">
        <v>20</v>
      </c>
      <c r="O3516" s="6" t="str">
        <f>HYPERLINK("https://pbs.twimg.com/profile_images/962471262747529216/Uo8lOkRJ_normal.jpg","View")</f>
        <v>View</v>
      </c>
      <c r="P3516" s="7"/>
    </row>
    <row r="3517" spans="1:16">
      <c r="A3517" s="3">
        <v>43906.062256944446</v>
      </c>
      <c r="B3517" s="4" t="str">
        <f>HYPERLINK("https://twitter.com/petrogustavo","@petrogustavo")</f>
        <v>@petrogustavo</v>
      </c>
      <c r="C3517" s="5" t="s">
        <v>16</v>
      </c>
      <c r="D3517" s="5" t="s">
        <v>3449</v>
      </c>
      <c r="E3517" s="6" t="str">
        <f>HYPERLINK("https://twitter.com/petrogustavo/status/1239280118394126336","1239280118394126336")</f>
        <v>1239280118394126336</v>
      </c>
      <c r="F3517" s="7" t="s">
        <v>17</v>
      </c>
      <c r="G3517" s="7">
        <v>3667039</v>
      </c>
      <c r="H3517" s="7">
        <v>2357</v>
      </c>
      <c r="I3517" s="7">
        <v>71</v>
      </c>
      <c r="J3517" s="7">
        <v>228</v>
      </c>
      <c r="K3517" s="7" t="s">
        <v>18</v>
      </c>
      <c r="L3517" s="8">
        <v>39987.315405092595</v>
      </c>
      <c r="M3517" s="9" t="s">
        <v>19</v>
      </c>
      <c r="N3517" s="9" t="s">
        <v>20</v>
      </c>
      <c r="O3517" s="6" t="str">
        <f>HYPERLINK("https://pbs.twimg.com/profile_images/962471262747529216/Uo8lOkRJ_normal.jpg","View")</f>
        <v>View</v>
      </c>
      <c r="P3517" s="7"/>
    </row>
    <row r="3518" spans="1:16">
      <c r="A3518" s="3">
        <v>43906.065254629633</v>
      </c>
      <c r="B3518" s="4" t="str">
        <f>HYPERLINK("https://twitter.com/petrogustavo","@petrogustavo")</f>
        <v>@petrogustavo</v>
      </c>
      <c r="C3518" s="5" t="s">
        <v>16</v>
      </c>
      <c r="D3518" s="5" t="s">
        <v>3450</v>
      </c>
      <c r="E3518" s="6" t="str">
        <f>HYPERLINK("https://twitter.com/petrogustavo/status/1239281203058036740","1239281203058036740")</f>
        <v>1239281203058036740</v>
      </c>
      <c r="F3518" s="7" t="s">
        <v>17</v>
      </c>
      <c r="G3518" s="7">
        <v>3667039</v>
      </c>
      <c r="H3518" s="7">
        <v>2357</v>
      </c>
      <c r="I3518" s="7">
        <v>102</v>
      </c>
      <c r="J3518" s="7">
        <v>352</v>
      </c>
      <c r="K3518" s="7" t="s">
        <v>18</v>
      </c>
      <c r="L3518" s="8">
        <v>39987.315405092595</v>
      </c>
      <c r="M3518" s="9" t="s">
        <v>19</v>
      </c>
      <c r="N3518" s="9" t="s">
        <v>20</v>
      </c>
      <c r="O3518" s="6" t="str">
        <f>HYPERLINK("https://pbs.twimg.com/profile_images/962471262747529216/Uo8lOkRJ_normal.jpg","View")</f>
        <v>View</v>
      </c>
      <c r="P3518" s="7"/>
    </row>
    <row r="3519" spans="1:16">
      <c r="A3519" s="3">
        <v>43906.070162037038</v>
      </c>
      <c r="B3519" s="4" t="str">
        <f>HYPERLINK("https://twitter.com/petrogustavo","@petrogustavo")</f>
        <v>@petrogustavo</v>
      </c>
      <c r="C3519" s="5" t="s">
        <v>16</v>
      </c>
      <c r="D3519" s="5" t="s">
        <v>3451</v>
      </c>
      <c r="E3519" s="6" t="str">
        <f>HYPERLINK("https://twitter.com/petrogustavo/status/1239282980889206784","1239282980889206784")</f>
        <v>1239282980889206784</v>
      </c>
      <c r="F3519" s="7" t="s">
        <v>17</v>
      </c>
      <c r="G3519" s="7">
        <v>3667039</v>
      </c>
      <c r="H3519" s="7">
        <v>2357</v>
      </c>
      <c r="I3519" s="7">
        <v>53</v>
      </c>
      <c r="J3519" s="7">
        <v>163</v>
      </c>
      <c r="K3519" s="7" t="s">
        <v>18</v>
      </c>
      <c r="L3519" s="8">
        <v>39987.315405092595</v>
      </c>
      <c r="M3519" s="9" t="s">
        <v>19</v>
      </c>
      <c r="N3519" s="9" t="s">
        <v>20</v>
      </c>
      <c r="O3519" s="6" t="str">
        <f>HYPERLINK("https://pbs.twimg.com/profile_images/962471262747529216/Uo8lOkRJ_normal.jpg","View")</f>
        <v>View</v>
      </c>
      <c r="P3519" s="7"/>
    </row>
    <row r="3520" spans="1:16">
      <c r="A3520" s="3">
        <v>43906.076921296291</v>
      </c>
      <c r="B3520" s="4" t="str">
        <f>HYPERLINK("https://twitter.com/petrogustavo","@petrogustavo")</f>
        <v>@petrogustavo</v>
      </c>
      <c r="C3520" s="5" t="s">
        <v>16</v>
      </c>
      <c r="D3520" s="5" t="s">
        <v>3452</v>
      </c>
      <c r="E3520" s="6" t="str">
        <f>HYPERLINK("https://twitter.com/petrogustavo/status/1239285433483304962","1239285433483304962")</f>
        <v>1239285433483304962</v>
      </c>
      <c r="F3520" s="7" t="s">
        <v>17</v>
      </c>
      <c r="G3520" s="7">
        <v>3667096</v>
      </c>
      <c r="H3520" s="7">
        <v>2357</v>
      </c>
      <c r="I3520" s="7">
        <v>90</v>
      </c>
      <c r="J3520" s="7">
        <v>0</v>
      </c>
      <c r="K3520" s="7" t="s">
        <v>18</v>
      </c>
      <c r="L3520" s="8">
        <v>39987.315405092595</v>
      </c>
      <c r="M3520" s="9" t="s">
        <v>19</v>
      </c>
      <c r="N3520" s="9" t="s">
        <v>20</v>
      </c>
      <c r="O3520" s="6" t="str">
        <f>HYPERLINK("https://pbs.twimg.com/profile_images/962471262747529216/Uo8lOkRJ_normal.jpg","View")</f>
        <v>View</v>
      </c>
      <c r="P3520" s="7"/>
    </row>
    <row r="3521" spans="1:16">
      <c r="A3521" s="3">
        <v>43906.079560185186</v>
      </c>
      <c r="B3521" s="4" t="str">
        <f>HYPERLINK("https://twitter.com/petrogustavo","@petrogustavo")</f>
        <v>@petrogustavo</v>
      </c>
      <c r="C3521" s="5" t="s">
        <v>16</v>
      </c>
      <c r="D3521" s="5" t="s">
        <v>3453</v>
      </c>
      <c r="E3521" s="6" t="str">
        <f>HYPERLINK("https://twitter.com/petrogustavo/status/1239286389130305540","1239286389130305540")</f>
        <v>1239286389130305540</v>
      </c>
      <c r="F3521" s="7" t="s">
        <v>17</v>
      </c>
      <c r="G3521" s="7">
        <v>3667096</v>
      </c>
      <c r="H3521" s="7">
        <v>2357</v>
      </c>
      <c r="I3521" s="7">
        <v>44</v>
      </c>
      <c r="J3521" s="7">
        <v>236</v>
      </c>
      <c r="K3521" s="7" t="s">
        <v>18</v>
      </c>
      <c r="L3521" s="8">
        <v>39987.315405092595</v>
      </c>
      <c r="M3521" s="9" t="s">
        <v>19</v>
      </c>
      <c r="N3521" s="9" t="s">
        <v>20</v>
      </c>
      <c r="O3521" s="6" t="str">
        <f>HYPERLINK("https://pbs.twimg.com/profile_images/962471262747529216/Uo8lOkRJ_normal.jpg","View")</f>
        <v>View</v>
      </c>
      <c r="P3521" s="7"/>
    </row>
    <row r="3522" spans="1:16">
      <c r="A3522" s="3">
        <v>43906.083194444444</v>
      </c>
      <c r="B3522" s="4" t="str">
        <f>HYPERLINK("https://twitter.com/petrogustavo","@petrogustavo")</f>
        <v>@petrogustavo</v>
      </c>
      <c r="C3522" s="5" t="s">
        <v>16</v>
      </c>
      <c r="D3522" s="5" t="s">
        <v>3454</v>
      </c>
      <c r="E3522" s="6" t="str">
        <f>HYPERLINK("https://twitter.com/petrogustavo/status/1239287705990836224","1239287705990836224")</f>
        <v>1239287705990836224</v>
      </c>
      <c r="F3522" s="7" t="s">
        <v>17</v>
      </c>
      <c r="G3522" s="7">
        <v>3667096</v>
      </c>
      <c r="H3522" s="7">
        <v>2357</v>
      </c>
      <c r="I3522" s="7">
        <v>72</v>
      </c>
      <c r="J3522" s="7">
        <v>162</v>
      </c>
      <c r="K3522" s="7" t="s">
        <v>18</v>
      </c>
      <c r="L3522" s="8">
        <v>39987.315405092595</v>
      </c>
      <c r="M3522" s="9" t="s">
        <v>19</v>
      </c>
      <c r="N3522" s="9" t="s">
        <v>20</v>
      </c>
      <c r="O3522" s="6" t="str">
        <f>HYPERLINK("https://pbs.twimg.com/profile_images/962471262747529216/Uo8lOkRJ_normal.jpg","View")</f>
        <v>View</v>
      </c>
      <c r="P3522" s="7"/>
    </row>
    <row r="3523" spans="1:16">
      <c r="A3523" s="3">
        <v>43906.085439814815</v>
      </c>
      <c r="B3523" s="4" t="str">
        <f>HYPERLINK("https://twitter.com/petrogustavo","@petrogustavo")</f>
        <v>@petrogustavo</v>
      </c>
      <c r="C3523" s="5" t="s">
        <v>16</v>
      </c>
      <c r="D3523" s="5" t="s">
        <v>3455</v>
      </c>
      <c r="E3523" s="6" t="str">
        <f>HYPERLINK("https://twitter.com/petrogustavo/status/1239288518226120705","1239288518226120705")</f>
        <v>1239288518226120705</v>
      </c>
      <c r="F3523" s="7" t="s">
        <v>17</v>
      </c>
      <c r="G3523" s="7">
        <v>3667096</v>
      </c>
      <c r="H3523" s="7">
        <v>2357</v>
      </c>
      <c r="I3523" s="7">
        <v>102</v>
      </c>
      <c r="J3523" s="7">
        <v>231</v>
      </c>
      <c r="K3523" s="7" t="s">
        <v>18</v>
      </c>
      <c r="L3523" s="8">
        <v>39987.315405092595</v>
      </c>
      <c r="M3523" s="9" t="s">
        <v>19</v>
      </c>
      <c r="N3523" s="9" t="s">
        <v>20</v>
      </c>
      <c r="O3523" s="6" t="str">
        <f>HYPERLINK("https://pbs.twimg.com/profile_images/962471262747529216/Uo8lOkRJ_normal.jpg","View")</f>
        <v>View</v>
      </c>
      <c r="P3523" s="7"/>
    </row>
    <row r="3524" spans="1:16">
      <c r="A3524" s="3">
        <v>43906.086956018524</v>
      </c>
      <c r="B3524" s="4" t="str">
        <f>HYPERLINK("https://twitter.com/petrogustavo","@petrogustavo")</f>
        <v>@petrogustavo</v>
      </c>
      <c r="C3524" s="5" t="s">
        <v>16</v>
      </c>
      <c r="D3524" s="5" t="s">
        <v>3456</v>
      </c>
      <c r="E3524" s="6" t="str">
        <f>HYPERLINK("https://twitter.com/petrogustavo/status/1239289068053291009","1239289068053291009")</f>
        <v>1239289068053291009</v>
      </c>
      <c r="F3524" s="7" t="s">
        <v>17</v>
      </c>
      <c r="G3524" s="7">
        <v>3667096</v>
      </c>
      <c r="H3524" s="7">
        <v>2357</v>
      </c>
      <c r="I3524" s="7">
        <v>45</v>
      </c>
      <c r="J3524" s="7">
        <v>0</v>
      </c>
      <c r="K3524" s="7" t="s">
        <v>18</v>
      </c>
      <c r="L3524" s="8">
        <v>39987.315405092595</v>
      </c>
      <c r="M3524" s="9" t="s">
        <v>19</v>
      </c>
      <c r="N3524" s="9" t="s">
        <v>20</v>
      </c>
      <c r="O3524" s="6" t="str">
        <f>HYPERLINK("https://pbs.twimg.com/profile_images/962471262747529216/Uo8lOkRJ_normal.jpg","View")</f>
        <v>View</v>
      </c>
      <c r="P3524" s="7"/>
    </row>
    <row r="3525" spans="1:16">
      <c r="A3525" s="3">
        <v>43906.087766203702</v>
      </c>
      <c r="B3525" s="4" t="str">
        <f>HYPERLINK("https://twitter.com/petrogustavo","@petrogustavo")</f>
        <v>@petrogustavo</v>
      </c>
      <c r="C3525" s="5" t="s">
        <v>16</v>
      </c>
      <c r="D3525" s="5" t="s">
        <v>3457</v>
      </c>
      <c r="E3525" s="6" t="str">
        <f>HYPERLINK("https://twitter.com/petrogustavo/status/1239289363529371655","1239289363529371655")</f>
        <v>1239289363529371655</v>
      </c>
      <c r="F3525" s="7" t="s">
        <v>17</v>
      </c>
      <c r="G3525" s="7">
        <v>3667096</v>
      </c>
      <c r="H3525" s="7">
        <v>2357</v>
      </c>
      <c r="I3525" s="7">
        <v>47</v>
      </c>
      <c r="J3525" s="7">
        <v>245</v>
      </c>
      <c r="K3525" s="7" t="s">
        <v>18</v>
      </c>
      <c r="L3525" s="8">
        <v>39987.315405092595</v>
      </c>
      <c r="M3525" s="9" t="s">
        <v>19</v>
      </c>
      <c r="N3525" s="9" t="s">
        <v>20</v>
      </c>
      <c r="O3525" s="6" t="str">
        <f>HYPERLINK("https://pbs.twimg.com/profile_images/962471262747529216/Uo8lOkRJ_normal.jpg","View")</f>
        <v>View</v>
      </c>
      <c r="P3525" s="7"/>
    </row>
    <row r="3526" spans="1:16">
      <c r="A3526" s="3">
        <v>43906.090370370366</v>
      </c>
      <c r="B3526" s="4" t="str">
        <f>HYPERLINK("https://twitter.com/petrogustavo","@petrogustavo")</f>
        <v>@petrogustavo</v>
      </c>
      <c r="C3526" s="5" t="s">
        <v>16</v>
      </c>
      <c r="D3526" s="5" t="s">
        <v>3458</v>
      </c>
      <c r="E3526" s="6" t="str">
        <f>HYPERLINK("https://twitter.com/petrogustavo/status/1239290304412385282","1239290304412385282")</f>
        <v>1239290304412385282</v>
      </c>
      <c r="F3526" s="7" t="s">
        <v>17</v>
      </c>
      <c r="G3526" s="7">
        <v>3667096</v>
      </c>
      <c r="H3526" s="7">
        <v>2357</v>
      </c>
      <c r="I3526" s="7">
        <v>51</v>
      </c>
      <c r="J3526" s="7">
        <v>115</v>
      </c>
      <c r="K3526" s="7" t="s">
        <v>18</v>
      </c>
      <c r="L3526" s="8">
        <v>39987.315405092595</v>
      </c>
      <c r="M3526" s="9" t="s">
        <v>19</v>
      </c>
      <c r="N3526" s="9" t="s">
        <v>20</v>
      </c>
      <c r="O3526" s="6" t="str">
        <f>HYPERLINK("https://pbs.twimg.com/profile_images/962471262747529216/Uo8lOkRJ_normal.jpg","View")</f>
        <v>View</v>
      </c>
      <c r="P3526" s="7"/>
    </row>
    <row r="3527" spans="1:16">
      <c r="A3527" s="3">
        <v>43906.091805555552</v>
      </c>
      <c r="B3527" s="4" t="str">
        <f>HYPERLINK("https://twitter.com/petrogustavo","@petrogustavo")</f>
        <v>@petrogustavo</v>
      </c>
      <c r="C3527" s="5" t="s">
        <v>16</v>
      </c>
      <c r="D3527" s="5" t="s">
        <v>3459</v>
      </c>
      <c r="E3527" s="6" t="str">
        <f>HYPERLINK("https://twitter.com/petrogustavo/status/1239290825185669121","1239290825185669121")</f>
        <v>1239290825185669121</v>
      </c>
      <c r="F3527" s="7" t="s">
        <v>17</v>
      </c>
      <c r="G3527" s="7">
        <v>3667096</v>
      </c>
      <c r="H3527" s="7">
        <v>2357</v>
      </c>
      <c r="I3527" s="7">
        <v>238</v>
      </c>
      <c r="J3527" s="7">
        <v>0</v>
      </c>
      <c r="K3527" s="7" t="s">
        <v>18</v>
      </c>
      <c r="L3527" s="8">
        <v>39987.315405092595</v>
      </c>
      <c r="M3527" s="9" t="s">
        <v>19</v>
      </c>
      <c r="N3527" s="9" t="s">
        <v>20</v>
      </c>
      <c r="O3527" s="6" t="str">
        <f>HYPERLINK("https://pbs.twimg.com/profile_images/962471262747529216/Uo8lOkRJ_normal.jpg","View")</f>
        <v>View</v>
      </c>
      <c r="P3527" s="7"/>
    </row>
    <row r="3528" spans="1:16">
      <c r="A3528" s="3">
        <v>43906.096516203703</v>
      </c>
      <c r="B3528" s="4" t="str">
        <f>HYPERLINK("https://twitter.com/petrogustavo","@petrogustavo")</f>
        <v>@petrogustavo</v>
      </c>
      <c r="C3528" s="5" t="s">
        <v>16</v>
      </c>
      <c r="D3528" s="5" t="s">
        <v>3460</v>
      </c>
      <c r="E3528" s="6" t="str">
        <f>HYPERLINK("https://twitter.com/petrogustavo/status/1239292534305820674","1239292534305820674")</f>
        <v>1239292534305820674</v>
      </c>
      <c r="F3528" s="7" t="s">
        <v>17</v>
      </c>
      <c r="G3528" s="7">
        <v>3667142</v>
      </c>
      <c r="H3528" s="7">
        <v>2357</v>
      </c>
      <c r="I3528" s="7">
        <v>1132</v>
      </c>
      <c r="J3528" s="7">
        <v>0</v>
      </c>
      <c r="K3528" s="7" t="s">
        <v>18</v>
      </c>
      <c r="L3528" s="8">
        <v>39987.315405092595</v>
      </c>
      <c r="M3528" s="9" t="s">
        <v>19</v>
      </c>
      <c r="N3528" s="9" t="s">
        <v>20</v>
      </c>
      <c r="O3528" s="6" t="str">
        <f>HYPERLINK("https://pbs.twimg.com/profile_images/962471262747529216/Uo8lOkRJ_normal.jpg","View")</f>
        <v>View</v>
      </c>
      <c r="P3528" s="7"/>
    </row>
    <row r="3529" spans="1:16">
      <c r="A3529" s="3">
        <v>43906.100520833337</v>
      </c>
      <c r="B3529" s="4" t="str">
        <f>HYPERLINK("https://twitter.com/petrogustavo","@petrogustavo")</f>
        <v>@petrogustavo</v>
      </c>
      <c r="C3529" s="5" t="s">
        <v>16</v>
      </c>
      <c r="D3529" s="5" t="s">
        <v>3461</v>
      </c>
      <c r="E3529" s="6" t="str">
        <f>HYPERLINK("https://twitter.com/petrogustavo/status/1239293986017247241","1239293986017247241")</f>
        <v>1239293986017247241</v>
      </c>
      <c r="F3529" s="7" t="s">
        <v>17</v>
      </c>
      <c r="G3529" s="7">
        <v>3667142</v>
      </c>
      <c r="H3529" s="7">
        <v>2357</v>
      </c>
      <c r="I3529" s="7">
        <v>119</v>
      </c>
      <c r="J3529" s="7">
        <v>384</v>
      </c>
      <c r="K3529" s="7" t="s">
        <v>18</v>
      </c>
      <c r="L3529" s="8">
        <v>39987.315405092595</v>
      </c>
      <c r="M3529" s="9" t="s">
        <v>19</v>
      </c>
      <c r="N3529" s="9" t="s">
        <v>20</v>
      </c>
      <c r="O3529" s="6" t="str">
        <f>HYPERLINK("https://pbs.twimg.com/profile_images/962471262747529216/Uo8lOkRJ_normal.jpg","View")</f>
        <v>View</v>
      </c>
      <c r="P3529" s="7"/>
    </row>
    <row r="3530" spans="1:16">
      <c r="A3530" s="3">
        <v>43906.208958333329</v>
      </c>
      <c r="B3530" s="4" t="str">
        <f>HYPERLINK("https://twitter.com/petrogustavo","@petrogustavo")</f>
        <v>@petrogustavo</v>
      </c>
      <c r="C3530" s="5" t="s">
        <v>16</v>
      </c>
      <c r="D3530" s="5" t="s">
        <v>3462</v>
      </c>
      <c r="E3530" s="6" t="str">
        <f>HYPERLINK("https://twitter.com/petrogustavo/status/1239333280912211969","1239333280912211969")</f>
        <v>1239333280912211969</v>
      </c>
      <c r="F3530" s="7" t="s">
        <v>17</v>
      </c>
      <c r="G3530" s="7">
        <v>3668173</v>
      </c>
      <c r="H3530" s="7">
        <v>2357</v>
      </c>
      <c r="I3530" s="7">
        <v>339</v>
      </c>
      <c r="J3530" s="7">
        <v>1443</v>
      </c>
      <c r="K3530" s="7" t="s">
        <v>18</v>
      </c>
      <c r="L3530" s="8">
        <v>39987.315405092595</v>
      </c>
      <c r="M3530" s="9" t="s">
        <v>19</v>
      </c>
      <c r="N3530" s="9" t="s">
        <v>20</v>
      </c>
      <c r="O3530" s="6" t="str">
        <f>HYPERLINK("https://pbs.twimg.com/profile_images/962471262747529216/Uo8lOkRJ_normal.jpg","View")</f>
        <v>View</v>
      </c>
      <c r="P3530" s="7"/>
    </row>
    <row r="3531" spans="1:16">
      <c r="A3531" s="3">
        <v>43906.214328703703</v>
      </c>
      <c r="B3531" s="4" t="str">
        <f>HYPERLINK("https://twitter.com/petrogustavo","@petrogustavo")</f>
        <v>@petrogustavo</v>
      </c>
      <c r="C3531" s="5" t="s">
        <v>16</v>
      </c>
      <c r="D3531" s="5" t="s">
        <v>3463</v>
      </c>
      <c r="E3531" s="6" t="str">
        <f>HYPERLINK("https://twitter.com/petrogustavo/status/1239335225676660743","1239335225676660743")</f>
        <v>1239335225676660743</v>
      </c>
      <c r="F3531" s="7" t="s">
        <v>17</v>
      </c>
      <c r="G3531" s="7">
        <v>3668173</v>
      </c>
      <c r="H3531" s="7">
        <v>2357</v>
      </c>
      <c r="I3531" s="7">
        <v>11376</v>
      </c>
      <c r="J3531" s="7">
        <v>0</v>
      </c>
      <c r="K3531" s="7" t="s">
        <v>18</v>
      </c>
      <c r="L3531" s="8">
        <v>39987.315405092595</v>
      </c>
      <c r="M3531" s="9" t="s">
        <v>19</v>
      </c>
      <c r="N3531" s="9" t="s">
        <v>20</v>
      </c>
      <c r="O3531" s="6" t="str">
        <f>HYPERLINK("https://pbs.twimg.com/profile_images/962471262747529216/Uo8lOkRJ_normal.jpg","View")</f>
        <v>View</v>
      </c>
      <c r="P3531" s="7"/>
    </row>
    <row r="3532" spans="1:16">
      <c r="A3532" s="3">
        <v>43906.214745370366</v>
      </c>
      <c r="B3532" s="4" t="str">
        <f>HYPERLINK("https://twitter.com/petrogustavo","@petrogustavo")</f>
        <v>@petrogustavo</v>
      </c>
      <c r="C3532" s="5" t="s">
        <v>16</v>
      </c>
      <c r="D3532" s="5" t="s">
        <v>3464</v>
      </c>
      <c r="E3532" s="6" t="str">
        <f>HYPERLINK("https://twitter.com/petrogustavo/status/1239335379704123397","1239335379704123397")</f>
        <v>1239335379704123397</v>
      </c>
      <c r="F3532" s="7" t="s">
        <v>17</v>
      </c>
      <c r="G3532" s="7">
        <v>3668173</v>
      </c>
      <c r="H3532" s="7">
        <v>2357</v>
      </c>
      <c r="I3532" s="7">
        <v>24</v>
      </c>
      <c r="J3532" s="7">
        <v>0</v>
      </c>
      <c r="K3532" s="7" t="s">
        <v>18</v>
      </c>
      <c r="L3532" s="8">
        <v>39987.315405092595</v>
      </c>
      <c r="M3532" s="9" t="s">
        <v>19</v>
      </c>
      <c r="N3532" s="9" t="s">
        <v>20</v>
      </c>
      <c r="O3532" s="6" t="str">
        <f>HYPERLINK("https://pbs.twimg.com/profile_images/962471262747529216/Uo8lOkRJ_normal.jpg","View")</f>
        <v>View</v>
      </c>
      <c r="P3532" s="7"/>
    </row>
    <row r="3533" spans="1:16">
      <c r="A3533" s="3">
        <v>43906.216550925921</v>
      </c>
      <c r="B3533" s="4" t="str">
        <f>HYPERLINK("https://twitter.com/petrogustavo","@petrogustavo")</f>
        <v>@petrogustavo</v>
      </c>
      <c r="C3533" s="5" t="s">
        <v>16</v>
      </c>
      <c r="D3533" s="5" t="s">
        <v>3465</v>
      </c>
      <c r="E3533" s="6" t="str">
        <f>HYPERLINK("https://twitter.com/petrogustavo/status/1239336032362954757","1239336032362954757")</f>
        <v>1239336032362954757</v>
      </c>
      <c r="F3533" s="7" t="s">
        <v>17</v>
      </c>
      <c r="G3533" s="7">
        <v>3668173</v>
      </c>
      <c r="H3533" s="7">
        <v>2357</v>
      </c>
      <c r="I3533" s="7">
        <v>89</v>
      </c>
      <c r="J3533" s="7">
        <v>324</v>
      </c>
      <c r="K3533" s="7" t="s">
        <v>18</v>
      </c>
      <c r="L3533" s="8">
        <v>39987.315405092595</v>
      </c>
      <c r="M3533" s="9" t="s">
        <v>19</v>
      </c>
      <c r="N3533" s="9" t="s">
        <v>20</v>
      </c>
      <c r="O3533" s="6" t="str">
        <f>HYPERLINK("https://pbs.twimg.com/profile_images/962471262747529216/Uo8lOkRJ_normal.jpg","View")</f>
        <v>View</v>
      </c>
      <c r="P3533" s="7"/>
    </row>
    <row r="3534" spans="1:16">
      <c r="A3534" s="3">
        <v>43906.218622685185</v>
      </c>
      <c r="B3534" s="4" t="str">
        <f>HYPERLINK("https://twitter.com/petrogustavo","@petrogustavo")</f>
        <v>@petrogustavo</v>
      </c>
      <c r="C3534" s="5" t="s">
        <v>16</v>
      </c>
      <c r="D3534" s="5" t="s">
        <v>3466</v>
      </c>
      <c r="E3534" s="6" t="str">
        <f>HYPERLINK("https://twitter.com/petrogustavo/status/1239336784976326656","1239336784976326656")</f>
        <v>1239336784976326656</v>
      </c>
      <c r="F3534" s="7" t="s">
        <v>17</v>
      </c>
      <c r="G3534" s="7">
        <v>3668173</v>
      </c>
      <c r="H3534" s="7">
        <v>2357</v>
      </c>
      <c r="I3534" s="7">
        <v>339</v>
      </c>
      <c r="J3534" s="7">
        <v>0</v>
      </c>
      <c r="K3534" s="7" t="s">
        <v>18</v>
      </c>
      <c r="L3534" s="8">
        <v>39987.315405092595</v>
      </c>
      <c r="M3534" s="9" t="s">
        <v>19</v>
      </c>
      <c r="N3534" s="9" t="s">
        <v>20</v>
      </c>
      <c r="O3534" s="6" t="str">
        <f>HYPERLINK("https://pbs.twimg.com/profile_images/962471262747529216/Uo8lOkRJ_normal.jpg","View")</f>
        <v>View</v>
      </c>
      <c r="P3534" s="7"/>
    </row>
    <row r="3535" spans="1:16">
      <c r="A3535" s="3">
        <v>43906.234803240739</v>
      </c>
      <c r="B3535" s="4" t="str">
        <f>HYPERLINK("https://twitter.com/petrogustavo","@petrogustavo")</f>
        <v>@petrogustavo</v>
      </c>
      <c r="C3535" s="5" t="s">
        <v>16</v>
      </c>
      <c r="D3535" s="5" t="s">
        <v>3467</v>
      </c>
      <c r="E3535" s="6" t="str">
        <f>HYPERLINK("https://twitter.com/petrogustavo/status/1239342646642040834","1239342646642040834")</f>
        <v>1239342646642040834</v>
      </c>
      <c r="F3535" s="7" t="s">
        <v>17</v>
      </c>
      <c r="G3535" s="7">
        <v>3668429</v>
      </c>
      <c r="H3535" s="7">
        <v>2357</v>
      </c>
      <c r="I3535" s="7">
        <v>535</v>
      </c>
      <c r="J3535" s="7">
        <v>0</v>
      </c>
      <c r="K3535" s="7" t="s">
        <v>18</v>
      </c>
      <c r="L3535" s="8">
        <v>39987.315405092595</v>
      </c>
      <c r="M3535" s="9" t="s">
        <v>19</v>
      </c>
      <c r="N3535" s="9" t="s">
        <v>20</v>
      </c>
      <c r="O3535" s="6" t="str">
        <f>HYPERLINK("https://pbs.twimg.com/profile_images/962471262747529216/Uo8lOkRJ_normal.jpg","View")</f>
        <v>View</v>
      </c>
      <c r="P3535" s="7"/>
    </row>
    <row r="3536" spans="1:16">
      <c r="A3536" s="3">
        <v>43906.241041666668</v>
      </c>
      <c r="B3536" s="4" t="str">
        <f>HYPERLINK("https://twitter.com/petrogustavo","@petrogustavo")</f>
        <v>@petrogustavo</v>
      </c>
      <c r="C3536" s="5" t="s">
        <v>16</v>
      </c>
      <c r="D3536" s="5" t="s">
        <v>3468</v>
      </c>
      <c r="E3536" s="6" t="str">
        <f>HYPERLINK("https://twitter.com/petrogustavo/status/1239344906537181184","1239344906537181184")</f>
        <v>1239344906537181184</v>
      </c>
      <c r="F3536" s="7" t="s">
        <v>17</v>
      </c>
      <c r="G3536" s="7">
        <v>3668429</v>
      </c>
      <c r="H3536" s="7">
        <v>2357</v>
      </c>
      <c r="I3536" s="7">
        <v>4</v>
      </c>
      <c r="J3536" s="7">
        <v>9</v>
      </c>
      <c r="K3536" s="7" t="s">
        <v>18</v>
      </c>
      <c r="L3536" s="8">
        <v>39987.315405092595</v>
      </c>
      <c r="M3536" s="9" t="s">
        <v>19</v>
      </c>
      <c r="N3536" s="9" t="s">
        <v>20</v>
      </c>
      <c r="O3536" s="6" t="str">
        <f>HYPERLINK("https://pbs.twimg.com/profile_images/962471262747529216/Uo8lOkRJ_normal.jpg","View")</f>
        <v>View</v>
      </c>
      <c r="P3536" s="7"/>
    </row>
    <row r="3537" spans="1:16">
      <c r="A3537" s="3">
        <v>43906.253402777773</v>
      </c>
      <c r="B3537" s="4" t="str">
        <f>HYPERLINK("https://twitter.com/petrogustavo","@petrogustavo")</f>
        <v>@petrogustavo</v>
      </c>
      <c r="C3537" s="5" t="s">
        <v>16</v>
      </c>
      <c r="D3537" s="5" t="s">
        <v>3469</v>
      </c>
      <c r="E3537" s="6" t="str">
        <f>HYPERLINK("https://twitter.com/petrogustavo/status/1239349387253481476","1239349387253481476")</f>
        <v>1239349387253481476</v>
      </c>
      <c r="F3537" s="7" t="s">
        <v>17</v>
      </c>
      <c r="G3537" s="7">
        <v>3668660</v>
      </c>
      <c r="H3537" s="7">
        <v>2357</v>
      </c>
      <c r="I3537" s="7">
        <v>108</v>
      </c>
      <c r="J3537" s="7">
        <v>302</v>
      </c>
      <c r="K3537" s="7" t="s">
        <v>18</v>
      </c>
      <c r="L3537" s="8">
        <v>39987.315405092595</v>
      </c>
      <c r="M3537" s="9" t="s">
        <v>19</v>
      </c>
      <c r="N3537" s="9" t="s">
        <v>20</v>
      </c>
      <c r="O3537" s="6" t="str">
        <f>HYPERLINK("https://pbs.twimg.com/profile_images/962471262747529216/Uo8lOkRJ_normal.jpg","View")</f>
        <v>View</v>
      </c>
      <c r="P3537" s="7"/>
    </row>
    <row r="3538" spans="1:16">
      <c r="A3538" s="3">
        <v>43906.281631944439</v>
      </c>
      <c r="B3538" s="4" t="str">
        <f>HYPERLINK("https://twitter.com/petrogustavo","@petrogustavo")</f>
        <v>@petrogustavo</v>
      </c>
      <c r="C3538" s="5" t="s">
        <v>16</v>
      </c>
      <c r="D3538" s="5" t="s">
        <v>3470</v>
      </c>
      <c r="E3538" s="6" t="str">
        <f>HYPERLINK("https://twitter.com/petrogustavo/status/1239359615516712962","1239359615516712962")</f>
        <v>1239359615516712962</v>
      </c>
      <c r="F3538" s="7" t="s">
        <v>17</v>
      </c>
      <c r="G3538" s="7">
        <v>3668820</v>
      </c>
      <c r="H3538" s="7">
        <v>2357</v>
      </c>
      <c r="I3538" s="7">
        <v>704</v>
      </c>
      <c r="J3538" s="7">
        <v>0</v>
      </c>
      <c r="K3538" s="7" t="s">
        <v>18</v>
      </c>
      <c r="L3538" s="8">
        <v>39987.315405092595</v>
      </c>
      <c r="M3538" s="9" t="s">
        <v>19</v>
      </c>
      <c r="N3538" s="9" t="s">
        <v>20</v>
      </c>
      <c r="O3538" s="6" t="str">
        <f>HYPERLINK("https://pbs.twimg.com/profile_images/962471262747529216/Uo8lOkRJ_normal.jpg","View")</f>
        <v>View</v>
      </c>
      <c r="P3538" s="7"/>
    </row>
    <row r="3539" spans="1:16">
      <c r="A3539" s="3">
        <v>43906.283530092594</v>
      </c>
      <c r="B3539" s="4" t="str">
        <f>HYPERLINK("https://twitter.com/petrogustavo","@petrogustavo")</f>
        <v>@petrogustavo</v>
      </c>
      <c r="C3539" s="5" t="s">
        <v>16</v>
      </c>
      <c r="D3539" s="5" t="s">
        <v>3471</v>
      </c>
      <c r="E3539" s="6" t="str">
        <f>HYPERLINK("https://twitter.com/petrogustavo/status/1239360305102311425","1239360305102311425")</f>
        <v>1239360305102311425</v>
      </c>
      <c r="F3539" s="7" t="s">
        <v>17</v>
      </c>
      <c r="G3539" s="7">
        <v>3668974</v>
      </c>
      <c r="H3539" s="7">
        <v>2357</v>
      </c>
      <c r="I3539" s="7">
        <v>173</v>
      </c>
      <c r="J3539" s="7">
        <v>397</v>
      </c>
      <c r="K3539" s="7" t="s">
        <v>18</v>
      </c>
      <c r="L3539" s="8">
        <v>39987.315405092595</v>
      </c>
      <c r="M3539" s="9" t="s">
        <v>19</v>
      </c>
      <c r="N3539" s="9" t="s">
        <v>20</v>
      </c>
      <c r="O3539" s="6" t="str">
        <f>HYPERLINK("https://pbs.twimg.com/profile_images/962471262747529216/Uo8lOkRJ_normal.jpg","View")</f>
        <v>View</v>
      </c>
      <c r="P3539" s="7"/>
    </row>
    <row r="3540" spans="1:16">
      <c r="A3540" s="3">
        <v>43906.288599537038</v>
      </c>
      <c r="B3540" s="4" t="str">
        <f>HYPERLINK("https://twitter.com/petrogustavo","@petrogustavo")</f>
        <v>@petrogustavo</v>
      </c>
      <c r="C3540" s="5" t="s">
        <v>16</v>
      </c>
      <c r="D3540" s="5" t="s">
        <v>3427</v>
      </c>
      <c r="E3540" s="6" t="str">
        <f>HYPERLINK("https://twitter.com/petrogustavo/status/1239362141578244103","1239362141578244103")</f>
        <v>1239362141578244103</v>
      </c>
      <c r="F3540" s="7" t="s">
        <v>17</v>
      </c>
      <c r="G3540" s="7">
        <v>3668974</v>
      </c>
      <c r="H3540" s="7">
        <v>2357</v>
      </c>
      <c r="I3540" s="7">
        <v>803</v>
      </c>
      <c r="J3540" s="7">
        <v>0</v>
      </c>
      <c r="K3540" s="7" t="s">
        <v>18</v>
      </c>
      <c r="L3540" s="8">
        <v>39987.315405092595</v>
      </c>
      <c r="M3540" s="9" t="s">
        <v>19</v>
      </c>
      <c r="N3540" s="9" t="s">
        <v>20</v>
      </c>
      <c r="O3540" s="6" t="str">
        <f>HYPERLINK("https://pbs.twimg.com/profile_images/962471262747529216/Uo8lOkRJ_normal.jpg","View")</f>
        <v>View</v>
      </c>
      <c r="P3540" s="7"/>
    </row>
    <row r="3541" spans="1:16">
      <c r="A3541" s="3">
        <v>43906.352939814809</v>
      </c>
      <c r="B3541" s="4" t="str">
        <f>HYPERLINK("https://twitter.com/petrogustavo","@petrogustavo")</f>
        <v>@petrogustavo</v>
      </c>
      <c r="C3541" s="5" t="s">
        <v>16</v>
      </c>
      <c r="D3541" s="5" t="s">
        <v>3472</v>
      </c>
      <c r="E3541" s="6" t="str">
        <f>HYPERLINK("https://twitter.com/petrogustavo/status/1239385457273778178","1239385457273778178")</f>
        <v>1239385457273778178</v>
      </c>
      <c r="F3541" s="7" t="s">
        <v>17</v>
      </c>
      <c r="G3541" s="7">
        <v>3669393</v>
      </c>
      <c r="H3541" s="7">
        <v>2357</v>
      </c>
      <c r="I3541" s="7">
        <v>506</v>
      </c>
      <c r="J3541" s="7">
        <v>0</v>
      </c>
      <c r="K3541" s="7" t="s">
        <v>18</v>
      </c>
      <c r="L3541" s="8">
        <v>39987.315405092595</v>
      </c>
      <c r="M3541" s="9" t="s">
        <v>19</v>
      </c>
      <c r="N3541" s="9" t="s">
        <v>20</v>
      </c>
      <c r="O3541" s="6" t="str">
        <f>HYPERLINK("https://pbs.twimg.com/profile_images/962471262747529216/Uo8lOkRJ_normal.jpg","View")</f>
        <v>View</v>
      </c>
      <c r="P3541" s="7"/>
    </row>
    <row r="3542" spans="1:16">
      <c r="A3542" s="3">
        <v>43906.353645833333</v>
      </c>
      <c r="B3542" s="4" t="str">
        <f>HYPERLINK("https://twitter.com/petrogustavo","@petrogustavo")</f>
        <v>@petrogustavo</v>
      </c>
      <c r="C3542" s="5" t="s">
        <v>16</v>
      </c>
      <c r="D3542" s="5" t="s">
        <v>3473</v>
      </c>
      <c r="E3542" s="6" t="str">
        <f>HYPERLINK("https://twitter.com/petrogustavo/status/1239385713042436098","1239385713042436098")</f>
        <v>1239385713042436098</v>
      </c>
      <c r="F3542" s="7" t="s">
        <v>17</v>
      </c>
      <c r="G3542" s="7">
        <v>3669393</v>
      </c>
      <c r="H3542" s="7">
        <v>2357</v>
      </c>
      <c r="I3542" s="7">
        <v>56</v>
      </c>
      <c r="J3542" s="7">
        <v>0</v>
      </c>
      <c r="K3542" s="7" t="s">
        <v>18</v>
      </c>
      <c r="L3542" s="8">
        <v>39987.315405092595</v>
      </c>
      <c r="M3542" s="9" t="s">
        <v>19</v>
      </c>
      <c r="N3542" s="9" t="s">
        <v>20</v>
      </c>
      <c r="O3542" s="6" t="str">
        <f>HYPERLINK("https://pbs.twimg.com/profile_images/962471262747529216/Uo8lOkRJ_normal.jpg","View")</f>
        <v>View</v>
      </c>
      <c r="P3542" s="7"/>
    </row>
    <row r="3543" spans="1:16">
      <c r="A3543" s="3">
        <v>43906.380428240736</v>
      </c>
      <c r="B3543" s="4" t="str">
        <f>HYPERLINK("https://twitter.com/petrogustavo","@petrogustavo")</f>
        <v>@petrogustavo</v>
      </c>
      <c r="C3543" s="5" t="s">
        <v>16</v>
      </c>
      <c r="D3543" s="5" t="s">
        <v>3474</v>
      </c>
      <c r="E3543" s="6" t="str">
        <f>HYPERLINK("https://twitter.com/petrogustavo/status/1239395419299381249","1239395419299381249")</f>
        <v>1239395419299381249</v>
      </c>
      <c r="F3543" s="7" t="s">
        <v>17</v>
      </c>
      <c r="G3543" s="7">
        <v>3669517</v>
      </c>
      <c r="H3543" s="7">
        <v>2357</v>
      </c>
      <c r="I3543" s="7">
        <v>163</v>
      </c>
      <c r="J3543" s="7">
        <v>581</v>
      </c>
      <c r="K3543" s="7" t="s">
        <v>18</v>
      </c>
      <c r="L3543" s="8">
        <v>39987.315405092595</v>
      </c>
      <c r="M3543" s="9" t="s">
        <v>19</v>
      </c>
      <c r="N3543" s="9" t="s">
        <v>20</v>
      </c>
      <c r="O3543" s="6" t="str">
        <f>HYPERLINK("https://pbs.twimg.com/profile_images/962471262747529216/Uo8lOkRJ_normal.jpg","View")</f>
        <v>View</v>
      </c>
      <c r="P3543" s="7"/>
    </row>
    <row r="3544" spans="1:16">
      <c r="A3544" s="3">
        <v>43906.385462962964</v>
      </c>
      <c r="B3544" s="4" t="str">
        <f>HYPERLINK("https://twitter.com/petrogustavo","@petrogustavo")</f>
        <v>@petrogustavo</v>
      </c>
      <c r="C3544" s="5" t="s">
        <v>16</v>
      </c>
      <c r="D3544" s="5" t="s">
        <v>3475</v>
      </c>
      <c r="E3544" s="6" t="str">
        <f>HYPERLINK("https://twitter.com/petrogustavo/status/1239397243691634688","1239397243691634688")</f>
        <v>1239397243691634688</v>
      </c>
      <c r="F3544" s="7" t="s">
        <v>17</v>
      </c>
      <c r="G3544" s="7">
        <v>3669517</v>
      </c>
      <c r="H3544" s="7">
        <v>2357</v>
      </c>
      <c r="I3544" s="7">
        <v>44</v>
      </c>
      <c r="J3544" s="7">
        <v>91</v>
      </c>
      <c r="K3544" s="7" t="s">
        <v>18</v>
      </c>
      <c r="L3544" s="8">
        <v>39987.315405092595</v>
      </c>
      <c r="M3544" s="9" t="s">
        <v>19</v>
      </c>
      <c r="N3544" s="9" t="s">
        <v>20</v>
      </c>
      <c r="O3544" s="6" t="str">
        <f>HYPERLINK("https://pbs.twimg.com/profile_images/962471262747529216/Uo8lOkRJ_normal.jpg","View")</f>
        <v>View</v>
      </c>
      <c r="P3544" s="7"/>
    </row>
    <row r="3545" spans="1:16">
      <c r="A3545" s="3">
        <v>43906.386979166666</v>
      </c>
      <c r="B3545" s="4" t="str">
        <f>HYPERLINK("https://twitter.com/petrogustavo","@petrogustavo")</f>
        <v>@petrogustavo</v>
      </c>
      <c r="C3545" s="5" t="s">
        <v>16</v>
      </c>
      <c r="D3545" s="5" t="s">
        <v>3476</v>
      </c>
      <c r="E3545" s="6" t="str">
        <f>HYPERLINK("https://twitter.com/petrogustavo/status/1239397794823233536","1239397794823233536")</f>
        <v>1239397794823233536</v>
      </c>
      <c r="F3545" s="7" t="s">
        <v>17</v>
      </c>
      <c r="G3545" s="7">
        <v>3669517</v>
      </c>
      <c r="H3545" s="7">
        <v>2357</v>
      </c>
      <c r="I3545" s="7">
        <v>3</v>
      </c>
      <c r="J3545" s="7">
        <v>13</v>
      </c>
      <c r="K3545" s="7" t="s">
        <v>18</v>
      </c>
      <c r="L3545" s="8">
        <v>39987.315405092595</v>
      </c>
      <c r="M3545" s="9" t="s">
        <v>19</v>
      </c>
      <c r="N3545" s="9" t="s">
        <v>20</v>
      </c>
      <c r="O3545" s="6" t="str">
        <f>HYPERLINK("https://pbs.twimg.com/profile_images/962471262747529216/Uo8lOkRJ_normal.jpg","View")</f>
        <v>View</v>
      </c>
      <c r="P3545" s="7"/>
    </row>
    <row r="3546" spans="1:16">
      <c r="A3546" s="3">
        <v>43906.39230324074</v>
      </c>
      <c r="B3546" s="4" t="str">
        <f>HYPERLINK("https://twitter.com/petrogustavo","@petrogustavo")</f>
        <v>@petrogustavo</v>
      </c>
      <c r="C3546" s="5" t="s">
        <v>16</v>
      </c>
      <c r="D3546" s="5" t="s">
        <v>3477</v>
      </c>
      <c r="E3546" s="6" t="str">
        <f>HYPERLINK("https://twitter.com/petrogustavo/status/1239399721527017474","1239399721527017474")</f>
        <v>1239399721527017474</v>
      </c>
      <c r="F3546" s="7" t="s">
        <v>17</v>
      </c>
      <c r="G3546" s="7">
        <v>3669590</v>
      </c>
      <c r="H3546" s="7">
        <v>2357</v>
      </c>
      <c r="I3546" s="7">
        <v>214</v>
      </c>
      <c r="J3546" s="7">
        <v>0</v>
      </c>
      <c r="K3546" s="7" t="s">
        <v>18</v>
      </c>
      <c r="L3546" s="8">
        <v>39987.315405092595</v>
      </c>
      <c r="M3546" s="9" t="s">
        <v>19</v>
      </c>
      <c r="N3546" s="9" t="s">
        <v>20</v>
      </c>
      <c r="O3546" s="6" t="str">
        <f>HYPERLINK("https://pbs.twimg.com/profile_images/962471262747529216/Uo8lOkRJ_normal.jpg","View")</f>
        <v>View</v>
      </c>
      <c r="P3546" s="7"/>
    </row>
    <row r="3547" spans="1:16">
      <c r="A3547" s="3">
        <v>43906.393819444449</v>
      </c>
      <c r="B3547" s="4" t="str">
        <f>HYPERLINK("https://twitter.com/petrogustavo","@petrogustavo")</f>
        <v>@petrogustavo</v>
      </c>
      <c r="C3547" s="5" t="s">
        <v>16</v>
      </c>
      <c r="D3547" s="5" t="s">
        <v>3478</v>
      </c>
      <c r="E3547" s="6" t="str">
        <f>HYPERLINK("https://twitter.com/petrogustavo/status/1239400273984065536","1239400273984065536")</f>
        <v>1239400273984065536</v>
      </c>
      <c r="F3547" s="7" t="s">
        <v>17</v>
      </c>
      <c r="G3547" s="7">
        <v>3669590</v>
      </c>
      <c r="H3547" s="7">
        <v>2357</v>
      </c>
      <c r="I3547" s="7">
        <v>136</v>
      </c>
      <c r="J3547" s="7">
        <v>249</v>
      </c>
      <c r="K3547" s="7" t="s">
        <v>18</v>
      </c>
      <c r="L3547" s="8">
        <v>39987.315405092595</v>
      </c>
      <c r="M3547" s="9" t="s">
        <v>19</v>
      </c>
      <c r="N3547" s="9" t="s">
        <v>20</v>
      </c>
      <c r="O3547" s="6" t="str">
        <f>HYPERLINK("https://pbs.twimg.com/profile_images/962471262747529216/Uo8lOkRJ_normal.jpg","View")</f>
        <v>View</v>
      </c>
      <c r="P3547" s="7"/>
    </row>
    <row r="3548" spans="1:16">
      <c r="A3548" s="3">
        <v>43906.39744212963</v>
      </c>
      <c r="B3548" s="4" t="str">
        <f>HYPERLINK("https://twitter.com/petrogustavo","@petrogustavo")</f>
        <v>@petrogustavo</v>
      </c>
      <c r="C3548" s="5" t="s">
        <v>16</v>
      </c>
      <c r="D3548" s="5" t="s">
        <v>3479</v>
      </c>
      <c r="E3548" s="6" t="str">
        <f>HYPERLINK("https://twitter.com/petrogustavo/status/1239401586155229184","1239401586155229184")</f>
        <v>1239401586155229184</v>
      </c>
      <c r="F3548" s="7" t="s">
        <v>17</v>
      </c>
      <c r="G3548" s="7">
        <v>3669590</v>
      </c>
      <c r="H3548" s="7">
        <v>2357</v>
      </c>
      <c r="I3548" s="7">
        <v>137</v>
      </c>
      <c r="J3548" s="7">
        <v>370</v>
      </c>
      <c r="K3548" s="7" t="s">
        <v>18</v>
      </c>
      <c r="L3548" s="8">
        <v>39987.315405092595</v>
      </c>
      <c r="M3548" s="9" t="s">
        <v>19</v>
      </c>
      <c r="N3548" s="9" t="s">
        <v>20</v>
      </c>
      <c r="O3548" s="6" t="str">
        <f>HYPERLINK("https://pbs.twimg.com/profile_images/962471262747529216/Uo8lOkRJ_normal.jpg","View")</f>
        <v>View</v>
      </c>
      <c r="P3548" s="7"/>
    </row>
    <row r="3549" spans="1:16">
      <c r="A3549" s="3">
        <v>43906.398541666669</v>
      </c>
      <c r="B3549" s="4" t="str">
        <f>HYPERLINK("https://twitter.com/petrogustavo","@petrogustavo")</f>
        <v>@petrogustavo</v>
      </c>
      <c r="C3549" s="5" t="s">
        <v>16</v>
      </c>
      <c r="D3549" s="5" t="s">
        <v>3480</v>
      </c>
      <c r="E3549" s="6" t="str">
        <f>HYPERLINK("https://twitter.com/petrogustavo/status/1239401985356574720","1239401985356574720")</f>
        <v>1239401985356574720</v>
      </c>
      <c r="F3549" s="7" t="s">
        <v>17</v>
      </c>
      <c r="G3549" s="7">
        <v>3669590</v>
      </c>
      <c r="H3549" s="7">
        <v>2357</v>
      </c>
      <c r="I3549" s="7">
        <v>33</v>
      </c>
      <c r="J3549" s="7">
        <v>0</v>
      </c>
      <c r="K3549" s="7" t="s">
        <v>18</v>
      </c>
      <c r="L3549" s="8">
        <v>39987.315405092595</v>
      </c>
      <c r="M3549" s="9" t="s">
        <v>19</v>
      </c>
      <c r="N3549" s="9" t="s">
        <v>20</v>
      </c>
      <c r="O3549" s="6" t="str">
        <f>HYPERLINK("https://pbs.twimg.com/profile_images/962471262747529216/Uo8lOkRJ_normal.jpg","View")</f>
        <v>View</v>
      </c>
      <c r="P3549" s="7"/>
    </row>
    <row r="3550" spans="1:16">
      <c r="A3550" s="3">
        <v>43906.400995370372</v>
      </c>
      <c r="B3550" s="4" t="str">
        <f>HYPERLINK("https://twitter.com/petrogustavo","@petrogustavo")</f>
        <v>@petrogustavo</v>
      </c>
      <c r="C3550" s="5" t="s">
        <v>16</v>
      </c>
      <c r="D3550" s="5" t="s">
        <v>3481</v>
      </c>
      <c r="E3550" s="6" t="str">
        <f>HYPERLINK("https://twitter.com/petrogustavo/status/1239402873294913536","1239402873294913536")</f>
        <v>1239402873294913536</v>
      </c>
      <c r="F3550" s="7" t="s">
        <v>17</v>
      </c>
      <c r="G3550" s="7">
        <v>3669590</v>
      </c>
      <c r="H3550" s="7">
        <v>2357</v>
      </c>
      <c r="I3550" s="7">
        <v>138</v>
      </c>
      <c r="J3550" s="7">
        <v>417</v>
      </c>
      <c r="K3550" s="7" t="s">
        <v>18</v>
      </c>
      <c r="L3550" s="8">
        <v>39987.315405092595</v>
      </c>
      <c r="M3550" s="9" t="s">
        <v>19</v>
      </c>
      <c r="N3550" s="9" t="s">
        <v>20</v>
      </c>
      <c r="O3550" s="6" t="str">
        <f>HYPERLINK("https://pbs.twimg.com/profile_images/962471262747529216/Uo8lOkRJ_normal.jpg","View")</f>
        <v>View</v>
      </c>
      <c r="P3550" s="7"/>
    </row>
    <row r="3551" spans="1:16">
      <c r="A3551" s="3">
        <v>43906.404548611114</v>
      </c>
      <c r="B3551" s="4" t="str">
        <f>HYPERLINK("https://twitter.com/petrogustavo","@petrogustavo")</f>
        <v>@petrogustavo</v>
      </c>
      <c r="C3551" s="5" t="s">
        <v>16</v>
      </c>
      <c r="D3551" s="5" t="s">
        <v>3482</v>
      </c>
      <c r="E3551" s="6" t="str">
        <f>HYPERLINK("https://twitter.com/petrogustavo/status/1239404158316404736","1239404158316404736")</f>
        <v>1239404158316404736</v>
      </c>
      <c r="F3551" s="7" t="s">
        <v>17</v>
      </c>
      <c r="G3551" s="7">
        <v>3669590</v>
      </c>
      <c r="H3551" s="7">
        <v>2357</v>
      </c>
      <c r="I3551" s="7">
        <v>371</v>
      </c>
      <c r="J3551" s="7">
        <v>0</v>
      </c>
      <c r="K3551" s="7" t="s">
        <v>18</v>
      </c>
      <c r="L3551" s="8">
        <v>39987.315405092595</v>
      </c>
      <c r="M3551" s="9" t="s">
        <v>19</v>
      </c>
      <c r="N3551" s="9" t="s">
        <v>20</v>
      </c>
      <c r="O3551" s="6" t="str">
        <f>HYPERLINK("https://pbs.twimg.com/profile_images/962471262747529216/Uo8lOkRJ_normal.jpg","View")</f>
        <v>View</v>
      </c>
      <c r="P3551" s="7"/>
    </row>
    <row r="3552" spans="1:16">
      <c r="A3552" s="3">
        <v>43906.405034722222</v>
      </c>
      <c r="B3552" s="4" t="str">
        <f>HYPERLINK("https://twitter.com/petrogustavo","@petrogustavo")</f>
        <v>@petrogustavo</v>
      </c>
      <c r="C3552" s="5" t="s">
        <v>16</v>
      </c>
      <c r="D3552" s="5" t="s">
        <v>3483</v>
      </c>
      <c r="E3552" s="6" t="str">
        <f>HYPERLINK("https://twitter.com/petrogustavo/status/1239404336087797760","1239404336087797760")</f>
        <v>1239404336087797760</v>
      </c>
      <c r="F3552" s="7" t="s">
        <v>17</v>
      </c>
      <c r="G3552" s="7">
        <v>3669590</v>
      </c>
      <c r="H3552" s="7">
        <v>2357</v>
      </c>
      <c r="I3552" s="7">
        <v>21</v>
      </c>
      <c r="J3552" s="7">
        <v>0</v>
      </c>
      <c r="K3552" s="7" t="s">
        <v>18</v>
      </c>
      <c r="L3552" s="8">
        <v>39987.315405092595</v>
      </c>
      <c r="M3552" s="9" t="s">
        <v>19</v>
      </c>
      <c r="N3552" s="9" t="s">
        <v>20</v>
      </c>
      <c r="O3552" s="6" t="str">
        <f>HYPERLINK("https://pbs.twimg.com/profile_images/962471262747529216/Uo8lOkRJ_normal.jpg","View")</f>
        <v>View</v>
      </c>
      <c r="P3552" s="7"/>
    </row>
    <row r="3553" spans="1:16">
      <c r="A3553" s="3">
        <v>43906.407395833332</v>
      </c>
      <c r="B3553" s="4" t="str">
        <f>HYPERLINK("https://twitter.com/petrogustavo","@petrogustavo")</f>
        <v>@petrogustavo</v>
      </c>
      <c r="C3553" s="5" t="s">
        <v>16</v>
      </c>
      <c r="D3553" s="5" t="s">
        <v>3484</v>
      </c>
      <c r="E3553" s="6" t="str">
        <f>HYPERLINK("https://twitter.com/petrogustavo/status/1239405194229751810","1239405194229751810")</f>
        <v>1239405194229751810</v>
      </c>
      <c r="F3553" s="7" t="s">
        <v>17</v>
      </c>
      <c r="G3553" s="7">
        <v>3669590</v>
      </c>
      <c r="H3553" s="7">
        <v>2357</v>
      </c>
      <c r="I3553" s="7">
        <v>21</v>
      </c>
      <c r="J3553" s="7">
        <v>87</v>
      </c>
      <c r="K3553" s="7" t="s">
        <v>18</v>
      </c>
      <c r="L3553" s="8">
        <v>39987.315405092595</v>
      </c>
      <c r="M3553" s="9" t="s">
        <v>19</v>
      </c>
      <c r="N3553" s="9" t="s">
        <v>20</v>
      </c>
      <c r="O3553" s="6" t="str">
        <f>HYPERLINK("https://pbs.twimg.com/profile_images/962471262747529216/Uo8lOkRJ_normal.jpg","View")</f>
        <v>View</v>
      </c>
      <c r="P3553" s="7"/>
    </row>
    <row r="3554" spans="1:16">
      <c r="A3554" s="3">
        <v>43906.733310185184</v>
      </c>
      <c r="B3554" s="4" t="str">
        <f>HYPERLINK("https://twitter.com/petrogustavo","@petrogustavo")</f>
        <v>@petrogustavo</v>
      </c>
      <c r="C3554" s="5" t="s">
        <v>16</v>
      </c>
      <c r="D3554" s="5" t="s">
        <v>3485</v>
      </c>
      <c r="E3554" s="6" t="str">
        <f>HYPERLINK("https://twitter.com/petrogustavo/status/1239523300264611843","1239523300264611843")</f>
        <v>1239523300264611843</v>
      </c>
      <c r="F3554" s="7" t="s">
        <v>17</v>
      </c>
      <c r="G3554" s="7">
        <v>3669983</v>
      </c>
      <c r="H3554" s="7">
        <v>2357</v>
      </c>
      <c r="I3554" s="7">
        <v>314</v>
      </c>
      <c r="J3554" s="7">
        <v>0</v>
      </c>
      <c r="K3554" s="7" t="s">
        <v>18</v>
      </c>
      <c r="L3554" s="8">
        <v>39987.315405092595</v>
      </c>
      <c r="M3554" s="9" t="s">
        <v>19</v>
      </c>
      <c r="N3554" s="9" t="s">
        <v>20</v>
      </c>
      <c r="O3554" s="6" t="str">
        <f>HYPERLINK("https://pbs.twimg.com/profile_images/962471262747529216/Uo8lOkRJ_normal.jpg","View")</f>
        <v>View</v>
      </c>
      <c r="P3554" s="7"/>
    </row>
    <row r="3555" spans="1:16">
      <c r="A3555" s="3">
        <v>43906.735324074078</v>
      </c>
      <c r="B3555" s="4" t="str">
        <f>HYPERLINK("https://twitter.com/petrogustavo","@petrogustavo")</f>
        <v>@petrogustavo</v>
      </c>
      <c r="C3555" s="5" t="s">
        <v>16</v>
      </c>
      <c r="D3555" s="5" t="s">
        <v>3486</v>
      </c>
      <c r="E3555" s="6" t="str">
        <f>HYPERLINK("https://twitter.com/petrogustavo/status/1239524029641433088","1239524029641433088")</f>
        <v>1239524029641433088</v>
      </c>
      <c r="F3555" s="7" t="s">
        <v>17</v>
      </c>
      <c r="G3555" s="7">
        <v>3669983</v>
      </c>
      <c r="H3555" s="7">
        <v>2357</v>
      </c>
      <c r="I3555" s="7">
        <v>91</v>
      </c>
      <c r="J3555" s="7">
        <v>231</v>
      </c>
      <c r="K3555" s="7" t="s">
        <v>18</v>
      </c>
      <c r="L3555" s="8">
        <v>39987.315405092595</v>
      </c>
      <c r="M3555" s="9" t="s">
        <v>19</v>
      </c>
      <c r="N3555" s="9" t="s">
        <v>20</v>
      </c>
      <c r="O3555" s="6" t="str">
        <f>HYPERLINK("https://pbs.twimg.com/profile_images/962471262747529216/Uo8lOkRJ_normal.jpg","View")</f>
        <v>View</v>
      </c>
      <c r="P3555" s="7"/>
    </row>
    <row r="3556" spans="1:16">
      <c r="A3556" s="3">
        <v>43906.736157407402</v>
      </c>
      <c r="B3556" s="4" t="str">
        <f>HYPERLINK("https://twitter.com/petrogustavo","@petrogustavo")</f>
        <v>@petrogustavo</v>
      </c>
      <c r="C3556" s="5" t="s">
        <v>16</v>
      </c>
      <c r="D3556" s="5" t="s">
        <v>3487</v>
      </c>
      <c r="E3556" s="6" t="str">
        <f>HYPERLINK("https://twitter.com/petrogustavo/status/1239524331417452544","1239524331417452544")</f>
        <v>1239524331417452544</v>
      </c>
      <c r="F3556" s="7" t="s">
        <v>17</v>
      </c>
      <c r="G3556" s="7">
        <v>3669983</v>
      </c>
      <c r="H3556" s="7">
        <v>2357</v>
      </c>
      <c r="I3556" s="7">
        <v>34</v>
      </c>
      <c r="J3556" s="7">
        <v>0</v>
      </c>
      <c r="K3556" s="7" t="s">
        <v>18</v>
      </c>
      <c r="L3556" s="8">
        <v>39987.315405092595</v>
      </c>
      <c r="M3556" s="9" t="s">
        <v>19</v>
      </c>
      <c r="N3556" s="9" t="s">
        <v>20</v>
      </c>
      <c r="O3556" s="6" t="str">
        <f>HYPERLINK("https://pbs.twimg.com/profile_images/962471262747529216/Uo8lOkRJ_normal.jpg","View")</f>
        <v>View</v>
      </c>
      <c r="P3556" s="7"/>
    </row>
    <row r="3557" spans="1:16">
      <c r="A3557" s="3">
        <v>43906.736261574071</v>
      </c>
      <c r="B3557" s="4" t="str">
        <f>HYPERLINK("https://twitter.com/petrogustavo","@petrogustavo")</f>
        <v>@petrogustavo</v>
      </c>
      <c r="C3557" s="5" t="s">
        <v>16</v>
      </c>
      <c r="D3557" s="5" t="s">
        <v>3488</v>
      </c>
      <c r="E3557" s="6" t="str">
        <f>HYPERLINK("https://twitter.com/petrogustavo/status/1239524371078828032","1239524371078828032")</f>
        <v>1239524371078828032</v>
      </c>
      <c r="F3557" s="7" t="s">
        <v>17</v>
      </c>
      <c r="G3557" s="7">
        <v>3669983</v>
      </c>
      <c r="H3557" s="7">
        <v>2357</v>
      </c>
      <c r="I3557" s="7">
        <v>349</v>
      </c>
      <c r="J3557" s="7">
        <v>0</v>
      </c>
      <c r="K3557" s="7" t="s">
        <v>18</v>
      </c>
      <c r="L3557" s="8">
        <v>39987.315405092595</v>
      </c>
      <c r="M3557" s="9" t="s">
        <v>19</v>
      </c>
      <c r="N3557" s="9" t="s">
        <v>20</v>
      </c>
      <c r="O3557" s="6" t="str">
        <f>HYPERLINK("https://pbs.twimg.com/profile_images/962471262747529216/Uo8lOkRJ_normal.jpg","View")</f>
        <v>View</v>
      </c>
      <c r="P3557" s="7"/>
    </row>
    <row r="3558" spans="1:16">
      <c r="A3558" s="3">
        <v>43906.737592592588</v>
      </c>
      <c r="B3558" s="4" t="str">
        <f>HYPERLINK("https://twitter.com/petrogustavo","@petrogustavo")</f>
        <v>@petrogustavo</v>
      </c>
      <c r="C3558" s="5" t="s">
        <v>16</v>
      </c>
      <c r="D3558" s="5" t="s">
        <v>3489</v>
      </c>
      <c r="E3558" s="6" t="str">
        <f>HYPERLINK("https://twitter.com/petrogustavo/status/1239524851582414848","1239524851582414848")</f>
        <v>1239524851582414848</v>
      </c>
      <c r="F3558" s="7" t="s">
        <v>17</v>
      </c>
      <c r="G3558" s="7">
        <v>3669983</v>
      </c>
      <c r="H3558" s="7">
        <v>2357</v>
      </c>
      <c r="I3558" s="7">
        <v>46</v>
      </c>
      <c r="J3558" s="7">
        <v>117</v>
      </c>
      <c r="K3558" s="7" t="s">
        <v>18</v>
      </c>
      <c r="L3558" s="8">
        <v>39987.315405092595</v>
      </c>
      <c r="M3558" s="9" t="s">
        <v>19</v>
      </c>
      <c r="N3558" s="9" t="s">
        <v>20</v>
      </c>
      <c r="O3558" s="6" t="str">
        <f>HYPERLINK("https://pbs.twimg.com/profile_images/962471262747529216/Uo8lOkRJ_normal.jpg","View")</f>
        <v>View</v>
      </c>
      <c r="P3558" s="7"/>
    </row>
    <row r="3559" spans="1:16">
      <c r="A3559" s="3">
        <v>43906.738321759258</v>
      </c>
      <c r="B3559" s="4" t="str">
        <f>HYPERLINK("https://twitter.com/petrogustavo","@petrogustavo")</f>
        <v>@petrogustavo</v>
      </c>
      <c r="C3559" s="5" t="s">
        <v>16</v>
      </c>
      <c r="D3559" s="5" t="s">
        <v>3490</v>
      </c>
      <c r="E3559" s="6" t="str">
        <f>HYPERLINK("https://twitter.com/petrogustavo/status/1239525113890045953","1239525113890045953")</f>
        <v>1239525113890045953</v>
      </c>
      <c r="F3559" s="7" t="s">
        <v>17</v>
      </c>
      <c r="G3559" s="7">
        <v>3669983</v>
      </c>
      <c r="H3559" s="7">
        <v>2357</v>
      </c>
      <c r="I3559" s="7">
        <v>76</v>
      </c>
      <c r="J3559" s="7">
        <v>0</v>
      </c>
      <c r="K3559" s="7" t="s">
        <v>18</v>
      </c>
      <c r="L3559" s="8">
        <v>39987.315405092595</v>
      </c>
      <c r="M3559" s="9" t="s">
        <v>19</v>
      </c>
      <c r="N3559" s="9" t="s">
        <v>20</v>
      </c>
      <c r="O3559" s="6" t="str">
        <f>HYPERLINK("https://pbs.twimg.com/profile_images/962471262747529216/Uo8lOkRJ_normal.jpg","View")</f>
        <v>View</v>
      </c>
      <c r="P3559" s="7"/>
    </row>
    <row r="3560" spans="1:16">
      <c r="A3560" s="3">
        <v>43906.74018518519</v>
      </c>
      <c r="B3560" s="4" t="str">
        <f>HYPERLINK("https://twitter.com/petrogustavo","@petrogustavo")</f>
        <v>@petrogustavo</v>
      </c>
      <c r="C3560" s="5" t="s">
        <v>16</v>
      </c>
      <c r="D3560" s="5" t="s">
        <v>3491</v>
      </c>
      <c r="E3560" s="6" t="str">
        <f>HYPERLINK("https://twitter.com/petrogustavo/status/1239525791605633028","1239525791605633028")</f>
        <v>1239525791605633028</v>
      </c>
      <c r="F3560" s="7" t="s">
        <v>17</v>
      </c>
      <c r="G3560" s="7">
        <v>3669983</v>
      </c>
      <c r="H3560" s="7">
        <v>2357</v>
      </c>
      <c r="I3560" s="7">
        <v>78</v>
      </c>
      <c r="J3560" s="7">
        <v>144</v>
      </c>
      <c r="K3560" s="7" t="s">
        <v>18</v>
      </c>
      <c r="L3560" s="8">
        <v>39987.315405092595</v>
      </c>
      <c r="M3560" s="9" t="s">
        <v>19</v>
      </c>
      <c r="N3560" s="9" t="s">
        <v>20</v>
      </c>
      <c r="O3560" s="6" t="str">
        <f>HYPERLINK("https://pbs.twimg.com/profile_images/962471262747529216/Uo8lOkRJ_normal.jpg","View")</f>
        <v>View</v>
      </c>
      <c r="P3560" s="7"/>
    </row>
    <row r="3561" spans="1:16">
      <c r="A3561" s="3">
        <v>43906.741724537038</v>
      </c>
      <c r="B3561" s="4" t="str">
        <f>HYPERLINK("https://twitter.com/petrogustavo","@petrogustavo")</f>
        <v>@petrogustavo</v>
      </c>
      <c r="C3561" s="5" t="s">
        <v>16</v>
      </c>
      <c r="D3561" s="5" t="s">
        <v>3492</v>
      </c>
      <c r="E3561" s="6" t="str">
        <f>HYPERLINK("https://twitter.com/petrogustavo/status/1239526350815481856","1239526350815481856")</f>
        <v>1239526350815481856</v>
      </c>
      <c r="F3561" s="7" t="s">
        <v>17</v>
      </c>
      <c r="G3561" s="7">
        <v>3669983</v>
      </c>
      <c r="H3561" s="7">
        <v>2357</v>
      </c>
      <c r="I3561" s="7">
        <v>143</v>
      </c>
      <c r="J3561" s="7">
        <v>355</v>
      </c>
      <c r="K3561" s="7" t="s">
        <v>18</v>
      </c>
      <c r="L3561" s="8">
        <v>39987.315405092595</v>
      </c>
      <c r="M3561" s="9" t="s">
        <v>19</v>
      </c>
      <c r="N3561" s="9" t="s">
        <v>20</v>
      </c>
      <c r="O3561" s="6" t="str">
        <f>HYPERLINK("https://pbs.twimg.com/profile_images/962471262747529216/Uo8lOkRJ_normal.jpg","View")</f>
        <v>View</v>
      </c>
      <c r="P3561" s="7"/>
    </row>
    <row r="3562" spans="1:16">
      <c r="A3562" s="3">
        <v>43906.743773148148</v>
      </c>
      <c r="B3562" s="4" t="str">
        <f>HYPERLINK("https://twitter.com/petrogustavo","@petrogustavo")</f>
        <v>@petrogustavo</v>
      </c>
      <c r="C3562" s="5" t="s">
        <v>16</v>
      </c>
      <c r="D3562" s="5" t="s">
        <v>3493</v>
      </c>
      <c r="E3562" s="6" t="str">
        <f>HYPERLINK("https://twitter.com/petrogustavo/status/1239527091013640192","1239527091013640192")</f>
        <v>1239527091013640192</v>
      </c>
      <c r="F3562" s="7" t="s">
        <v>17</v>
      </c>
      <c r="G3562" s="7">
        <v>3669983</v>
      </c>
      <c r="H3562" s="7">
        <v>2357</v>
      </c>
      <c r="I3562" s="7">
        <v>31</v>
      </c>
      <c r="J3562" s="7">
        <v>111</v>
      </c>
      <c r="K3562" s="7" t="s">
        <v>18</v>
      </c>
      <c r="L3562" s="8">
        <v>39987.315405092595</v>
      </c>
      <c r="M3562" s="9" t="s">
        <v>19</v>
      </c>
      <c r="N3562" s="9" t="s">
        <v>20</v>
      </c>
      <c r="O3562" s="6" t="str">
        <f>HYPERLINK("https://pbs.twimg.com/profile_images/962471262747529216/Uo8lOkRJ_normal.jpg","View")</f>
        <v>View</v>
      </c>
      <c r="P3562" s="7"/>
    </row>
    <row r="3563" spans="1:16">
      <c r="A3563" s="3">
        <v>43906.745405092588</v>
      </c>
      <c r="B3563" s="4" t="str">
        <f>HYPERLINK("https://twitter.com/petrogustavo","@petrogustavo")</f>
        <v>@petrogustavo</v>
      </c>
      <c r="C3563" s="5" t="s">
        <v>16</v>
      </c>
      <c r="D3563" s="5" t="s">
        <v>3494</v>
      </c>
      <c r="E3563" s="6" t="str">
        <f>HYPERLINK("https://twitter.com/petrogustavo/status/1239527684088233984","1239527684088233984")</f>
        <v>1239527684088233984</v>
      </c>
      <c r="F3563" s="7" t="s">
        <v>17</v>
      </c>
      <c r="G3563" s="7">
        <v>3669983</v>
      </c>
      <c r="H3563" s="7">
        <v>2357</v>
      </c>
      <c r="I3563" s="7">
        <v>27</v>
      </c>
      <c r="J3563" s="7">
        <v>0</v>
      </c>
      <c r="K3563" s="7" t="s">
        <v>18</v>
      </c>
      <c r="L3563" s="8">
        <v>39987.315405092595</v>
      </c>
      <c r="M3563" s="9" t="s">
        <v>19</v>
      </c>
      <c r="N3563" s="9" t="s">
        <v>20</v>
      </c>
      <c r="O3563" s="6" t="str">
        <f>HYPERLINK("https://pbs.twimg.com/profile_images/962471262747529216/Uo8lOkRJ_normal.jpg","View")</f>
        <v>View</v>
      </c>
      <c r="P3563" s="7"/>
    </row>
    <row r="3564" spans="1:16">
      <c r="A3564" s="3">
        <v>43906.747592592597</v>
      </c>
      <c r="B3564" s="4" t="str">
        <f>HYPERLINK("https://twitter.com/petrogustavo","@petrogustavo")</f>
        <v>@petrogustavo</v>
      </c>
      <c r="C3564" s="5" t="s">
        <v>16</v>
      </c>
      <c r="D3564" s="5" t="s">
        <v>3495</v>
      </c>
      <c r="E3564" s="6" t="str">
        <f>HYPERLINK("https://twitter.com/petrogustavo/status/1239528474341228544","1239528474341228544")</f>
        <v>1239528474341228544</v>
      </c>
      <c r="F3564" s="7" t="s">
        <v>17</v>
      </c>
      <c r="G3564" s="7">
        <v>3669983</v>
      </c>
      <c r="H3564" s="7">
        <v>2357</v>
      </c>
      <c r="I3564" s="7">
        <v>22</v>
      </c>
      <c r="J3564" s="7">
        <v>0</v>
      </c>
      <c r="K3564" s="7" t="s">
        <v>18</v>
      </c>
      <c r="L3564" s="8">
        <v>39987.315405092595</v>
      </c>
      <c r="M3564" s="9" t="s">
        <v>19</v>
      </c>
      <c r="N3564" s="9" t="s">
        <v>20</v>
      </c>
      <c r="O3564" s="6" t="str">
        <f>HYPERLINK("https://pbs.twimg.com/profile_images/962471262747529216/Uo8lOkRJ_normal.jpg","View")</f>
        <v>View</v>
      </c>
      <c r="P3564" s="7"/>
    </row>
    <row r="3565" spans="1:16">
      <c r="A3565" s="3">
        <v>43906.749537037038</v>
      </c>
      <c r="B3565" s="4" t="str">
        <f>HYPERLINK("https://twitter.com/petrogustavo","@petrogustavo")</f>
        <v>@petrogustavo</v>
      </c>
      <c r="C3565" s="5" t="s">
        <v>16</v>
      </c>
      <c r="D3565" s="5" t="s">
        <v>3496</v>
      </c>
      <c r="E3565" s="6" t="str">
        <f>HYPERLINK("https://twitter.com/petrogustavo/status/1239529180859117568","1239529180859117568")</f>
        <v>1239529180859117568</v>
      </c>
      <c r="F3565" s="7" t="s">
        <v>17</v>
      </c>
      <c r="G3565" s="7">
        <v>3669983</v>
      </c>
      <c r="H3565" s="7">
        <v>2357</v>
      </c>
      <c r="I3565" s="7">
        <v>1699</v>
      </c>
      <c r="J3565" s="7">
        <v>0</v>
      </c>
      <c r="K3565" s="7" t="s">
        <v>18</v>
      </c>
      <c r="L3565" s="8">
        <v>39987.315405092595</v>
      </c>
      <c r="M3565" s="9" t="s">
        <v>19</v>
      </c>
      <c r="N3565" s="9" t="s">
        <v>20</v>
      </c>
      <c r="O3565" s="6" t="str">
        <f>HYPERLINK("https://pbs.twimg.com/profile_images/962471262747529216/Uo8lOkRJ_normal.jpg","View")</f>
        <v>View</v>
      </c>
      <c r="P3565" s="7"/>
    </row>
    <row r="3566" spans="1:16">
      <c r="A3566" s="3">
        <v>43906.751805555556</v>
      </c>
      <c r="B3566" s="4" t="str">
        <f>HYPERLINK("https://twitter.com/petrogustavo","@petrogustavo")</f>
        <v>@petrogustavo</v>
      </c>
      <c r="C3566" s="5" t="s">
        <v>16</v>
      </c>
      <c r="D3566" s="5" t="s">
        <v>3497</v>
      </c>
      <c r="E3566" s="6" t="str">
        <f>HYPERLINK("https://twitter.com/petrogustavo/status/1239530003513192448","1239530003513192448")</f>
        <v>1239530003513192448</v>
      </c>
      <c r="F3566" s="7" t="s">
        <v>17</v>
      </c>
      <c r="G3566" s="7">
        <v>3669983</v>
      </c>
      <c r="H3566" s="7">
        <v>2357</v>
      </c>
      <c r="I3566" s="7">
        <v>1</v>
      </c>
      <c r="J3566" s="7">
        <v>2</v>
      </c>
      <c r="K3566" s="7" t="s">
        <v>18</v>
      </c>
      <c r="L3566" s="8">
        <v>39987.315405092595</v>
      </c>
      <c r="M3566" s="9" t="s">
        <v>19</v>
      </c>
      <c r="N3566" s="9" t="s">
        <v>20</v>
      </c>
      <c r="O3566" s="6" t="str">
        <f>HYPERLINK("https://pbs.twimg.com/profile_images/962471262747529216/Uo8lOkRJ_normal.jpg","View")</f>
        <v>View</v>
      </c>
      <c r="P3566" s="7"/>
    </row>
    <row r="3567" spans="1:16">
      <c r="A3567" s="3">
        <v>43906.754606481481</v>
      </c>
      <c r="B3567" s="4" t="str">
        <f>HYPERLINK("https://twitter.com/petrogustavo","@petrogustavo")</f>
        <v>@petrogustavo</v>
      </c>
      <c r="C3567" s="5" t="s">
        <v>16</v>
      </c>
      <c r="D3567" s="5" t="s">
        <v>3498</v>
      </c>
      <c r="E3567" s="6" t="str">
        <f>HYPERLINK("https://twitter.com/petrogustavo/status/1239531017301626881","1239531017301626881")</f>
        <v>1239531017301626881</v>
      </c>
      <c r="F3567" s="7" t="s">
        <v>17</v>
      </c>
      <c r="G3567" s="7">
        <v>3670057</v>
      </c>
      <c r="H3567" s="7">
        <v>2357</v>
      </c>
      <c r="I3567" s="7">
        <v>162</v>
      </c>
      <c r="J3567" s="7">
        <v>0</v>
      </c>
      <c r="K3567" s="7" t="s">
        <v>18</v>
      </c>
      <c r="L3567" s="8">
        <v>39987.315405092595</v>
      </c>
      <c r="M3567" s="9" t="s">
        <v>19</v>
      </c>
      <c r="N3567" s="9" t="s">
        <v>20</v>
      </c>
      <c r="O3567" s="6" t="str">
        <f>HYPERLINK("https://pbs.twimg.com/profile_images/962471262747529216/Uo8lOkRJ_normal.jpg","View")</f>
        <v>View</v>
      </c>
      <c r="P3567" s="7"/>
    </row>
    <row r="3568" spans="1:16">
      <c r="A3568" s="3">
        <v>43906.757314814815</v>
      </c>
      <c r="B3568" s="4" t="str">
        <f>HYPERLINK("https://twitter.com/petrogustavo","@petrogustavo")</f>
        <v>@petrogustavo</v>
      </c>
      <c r="C3568" s="5" t="s">
        <v>16</v>
      </c>
      <c r="D3568" s="5" t="s">
        <v>3499</v>
      </c>
      <c r="E3568" s="6" t="str">
        <f>HYPERLINK("https://twitter.com/petrogustavo/status/1239531997162352641","1239531997162352641")</f>
        <v>1239531997162352641</v>
      </c>
      <c r="F3568" s="7" t="s">
        <v>17</v>
      </c>
      <c r="G3568" s="7">
        <v>3670057</v>
      </c>
      <c r="H3568" s="7">
        <v>2357</v>
      </c>
      <c r="I3568" s="7">
        <v>60</v>
      </c>
      <c r="J3568" s="7">
        <v>200</v>
      </c>
      <c r="K3568" s="7" t="s">
        <v>18</v>
      </c>
      <c r="L3568" s="8">
        <v>39987.315405092595</v>
      </c>
      <c r="M3568" s="9" t="s">
        <v>19</v>
      </c>
      <c r="N3568" s="9" t="s">
        <v>20</v>
      </c>
      <c r="O3568" s="6" t="str">
        <f>HYPERLINK("https://pbs.twimg.com/profile_images/962471262747529216/Uo8lOkRJ_normal.jpg","View")</f>
        <v>View</v>
      </c>
      <c r="P3568" s="7"/>
    </row>
    <row r="3569" spans="1:16">
      <c r="A3569" s="3">
        <v>43906.762523148151</v>
      </c>
      <c r="B3569" s="4" t="str">
        <f>HYPERLINK("https://twitter.com/petrogustavo","@petrogustavo")</f>
        <v>@petrogustavo</v>
      </c>
      <c r="C3569" s="5" t="s">
        <v>16</v>
      </c>
      <c r="D3569" s="5" t="s">
        <v>3500</v>
      </c>
      <c r="E3569" s="6" t="str">
        <f>HYPERLINK("https://twitter.com/petrogustavo/status/1239533886541041664","1239533886541041664")</f>
        <v>1239533886541041664</v>
      </c>
      <c r="F3569" s="7" t="s">
        <v>17</v>
      </c>
      <c r="G3569" s="7">
        <v>3670057</v>
      </c>
      <c r="H3569" s="7">
        <v>2357</v>
      </c>
      <c r="I3569" s="7">
        <v>78</v>
      </c>
      <c r="J3569" s="7">
        <v>207</v>
      </c>
      <c r="K3569" s="7" t="s">
        <v>18</v>
      </c>
      <c r="L3569" s="8">
        <v>39987.315405092595</v>
      </c>
      <c r="M3569" s="9" t="s">
        <v>19</v>
      </c>
      <c r="N3569" s="9" t="s">
        <v>20</v>
      </c>
      <c r="O3569" s="6" t="str">
        <f>HYPERLINK("https://pbs.twimg.com/profile_images/962471262747529216/Uo8lOkRJ_normal.jpg","View")</f>
        <v>View</v>
      </c>
      <c r="P3569" s="7"/>
    </row>
    <row r="3570" spans="1:16">
      <c r="A3570" s="3">
        <v>43906.767465277779</v>
      </c>
      <c r="B3570" s="4" t="str">
        <f>HYPERLINK("https://twitter.com/petrogustavo","@petrogustavo")</f>
        <v>@petrogustavo</v>
      </c>
      <c r="C3570" s="5" t="s">
        <v>16</v>
      </c>
      <c r="D3570" s="5" t="s">
        <v>3501</v>
      </c>
      <c r="E3570" s="6" t="str">
        <f>HYPERLINK("https://twitter.com/petrogustavo/status/1239535676682465288","1239535676682465288")</f>
        <v>1239535676682465288</v>
      </c>
      <c r="F3570" s="7" t="s">
        <v>17</v>
      </c>
      <c r="G3570" s="7">
        <v>3670057</v>
      </c>
      <c r="H3570" s="7">
        <v>2357</v>
      </c>
      <c r="I3570" s="7">
        <v>85</v>
      </c>
      <c r="J3570" s="7">
        <v>194</v>
      </c>
      <c r="K3570" s="7" t="s">
        <v>18</v>
      </c>
      <c r="L3570" s="8">
        <v>39987.315405092595</v>
      </c>
      <c r="M3570" s="9" t="s">
        <v>19</v>
      </c>
      <c r="N3570" s="9" t="s">
        <v>20</v>
      </c>
      <c r="O3570" s="6" t="str">
        <f>HYPERLINK("https://pbs.twimg.com/profile_images/962471262747529216/Uo8lOkRJ_normal.jpg","View")</f>
        <v>View</v>
      </c>
      <c r="P3570" s="7"/>
    </row>
    <row r="3571" spans="1:16">
      <c r="A3571" s="3">
        <v>43906.772199074076</v>
      </c>
      <c r="B3571" s="4" t="str">
        <f>HYPERLINK("https://twitter.com/petrogustavo","@petrogustavo")</f>
        <v>@petrogustavo</v>
      </c>
      <c r="C3571" s="5" t="s">
        <v>16</v>
      </c>
      <c r="D3571" s="5" t="s">
        <v>3502</v>
      </c>
      <c r="E3571" s="6" t="str">
        <f>HYPERLINK("https://twitter.com/petrogustavo/status/1239537391192477697","1239537391192477697")</f>
        <v>1239537391192477697</v>
      </c>
      <c r="F3571" s="7" t="s">
        <v>17</v>
      </c>
      <c r="G3571" s="7">
        <v>3670057</v>
      </c>
      <c r="H3571" s="7">
        <v>2357</v>
      </c>
      <c r="I3571" s="7">
        <v>12</v>
      </c>
      <c r="J3571" s="7">
        <v>27</v>
      </c>
      <c r="K3571" s="7" t="s">
        <v>18</v>
      </c>
      <c r="L3571" s="8">
        <v>39987.315405092595</v>
      </c>
      <c r="M3571" s="9" t="s">
        <v>19</v>
      </c>
      <c r="N3571" s="9" t="s">
        <v>20</v>
      </c>
      <c r="O3571" s="6" t="str">
        <f>HYPERLINK("https://pbs.twimg.com/profile_images/962471262747529216/Uo8lOkRJ_normal.jpg","View")</f>
        <v>View</v>
      </c>
      <c r="P3571" s="7"/>
    </row>
    <row r="3572" spans="1:16">
      <c r="A3572" s="3">
        <v>43906.777650462958</v>
      </c>
      <c r="B3572" s="4" t="str">
        <f>HYPERLINK("https://twitter.com/petrogustavo","@petrogustavo")</f>
        <v>@petrogustavo</v>
      </c>
      <c r="C3572" s="5" t="s">
        <v>16</v>
      </c>
      <c r="D3572" s="5" t="s">
        <v>3503</v>
      </c>
      <c r="E3572" s="6" t="str">
        <f>HYPERLINK("https://twitter.com/petrogustavo/status/1239539365975658497","1239539365975658497")</f>
        <v>1239539365975658497</v>
      </c>
      <c r="F3572" s="7" t="s">
        <v>17</v>
      </c>
      <c r="G3572" s="7">
        <v>3670120</v>
      </c>
      <c r="H3572" s="7">
        <v>2357</v>
      </c>
      <c r="I3572" s="7">
        <v>188</v>
      </c>
      <c r="J3572" s="7">
        <v>512</v>
      </c>
      <c r="K3572" s="7" t="s">
        <v>18</v>
      </c>
      <c r="L3572" s="8">
        <v>39987.315405092595</v>
      </c>
      <c r="M3572" s="9" t="s">
        <v>19</v>
      </c>
      <c r="N3572" s="9" t="s">
        <v>20</v>
      </c>
      <c r="O3572" s="6" t="str">
        <f>HYPERLINK("https://pbs.twimg.com/profile_images/962471262747529216/Uo8lOkRJ_normal.jpg","View")</f>
        <v>View</v>
      </c>
      <c r="P3572" s="7"/>
    </row>
    <row r="3573" spans="1:16">
      <c r="A3573" s="3">
        <v>43906.779606481483</v>
      </c>
      <c r="B3573" s="4" t="str">
        <f>HYPERLINK("https://twitter.com/petrogustavo","@petrogustavo")</f>
        <v>@petrogustavo</v>
      </c>
      <c r="C3573" s="5" t="s">
        <v>16</v>
      </c>
      <c r="D3573" s="5" t="s">
        <v>3504</v>
      </c>
      <c r="E3573" s="6" t="str">
        <f>HYPERLINK("https://twitter.com/petrogustavo/status/1239540076675203072","1239540076675203072")</f>
        <v>1239540076675203072</v>
      </c>
      <c r="F3573" s="7" t="s">
        <v>17</v>
      </c>
      <c r="G3573" s="7">
        <v>3670120</v>
      </c>
      <c r="H3573" s="7">
        <v>2357</v>
      </c>
      <c r="I3573" s="7">
        <v>64</v>
      </c>
      <c r="J3573" s="7">
        <v>191</v>
      </c>
      <c r="K3573" s="7" t="s">
        <v>18</v>
      </c>
      <c r="L3573" s="8">
        <v>39987.315405092595</v>
      </c>
      <c r="M3573" s="9" t="s">
        <v>19</v>
      </c>
      <c r="N3573" s="9" t="s">
        <v>20</v>
      </c>
      <c r="O3573" s="6" t="str">
        <f>HYPERLINK("https://pbs.twimg.com/profile_images/962471262747529216/Uo8lOkRJ_normal.jpg","View")</f>
        <v>View</v>
      </c>
      <c r="P3573" s="7"/>
    </row>
    <row r="3574" spans="1:16">
      <c r="A3574" s="3">
        <v>43906.785937499997</v>
      </c>
      <c r="B3574" s="4" t="str">
        <f>HYPERLINK("https://twitter.com/petrogustavo","@petrogustavo")</f>
        <v>@petrogustavo</v>
      </c>
      <c r="C3574" s="5" t="s">
        <v>16</v>
      </c>
      <c r="D3574" s="5" t="s">
        <v>3505</v>
      </c>
      <c r="E3574" s="6" t="str">
        <f>HYPERLINK("https://twitter.com/petrogustavo/status/1239542372008169473","1239542372008169473")</f>
        <v>1239542372008169473</v>
      </c>
      <c r="F3574" s="7" t="s">
        <v>17</v>
      </c>
      <c r="G3574" s="7">
        <v>3670120</v>
      </c>
      <c r="H3574" s="7">
        <v>2357</v>
      </c>
      <c r="I3574" s="7">
        <v>74</v>
      </c>
      <c r="J3574" s="7">
        <v>175</v>
      </c>
      <c r="K3574" s="7" t="s">
        <v>18</v>
      </c>
      <c r="L3574" s="8">
        <v>39987.315405092595</v>
      </c>
      <c r="M3574" s="9" t="s">
        <v>19</v>
      </c>
      <c r="N3574" s="9" t="s">
        <v>20</v>
      </c>
      <c r="O3574" s="6" t="str">
        <f>HYPERLINK("https://pbs.twimg.com/profile_images/962471262747529216/Uo8lOkRJ_normal.jpg","View")</f>
        <v>View</v>
      </c>
      <c r="P3574" s="7"/>
    </row>
    <row r="3575" spans="1:16">
      <c r="A3575" s="3">
        <v>43906.787465277783</v>
      </c>
      <c r="B3575" s="4" t="str">
        <f>HYPERLINK("https://twitter.com/petrogustavo","@petrogustavo")</f>
        <v>@petrogustavo</v>
      </c>
      <c r="C3575" s="5" t="s">
        <v>16</v>
      </c>
      <c r="D3575" s="5" t="s">
        <v>3506</v>
      </c>
      <c r="E3575" s="6" t="str">
        <f>HYPERLINK("https://twitter.com/petrogustavo/status/1239542925882728448","1239542925882728448")</f>
        <v>1239542925882728448</v>
      </c>
      <c r="F3575" s="7" t="s">
        <v>17</v>
      </c>
      <c r="G3575" s="7">
        <v>3670120</v>
      </c>
      <c r="H3575" s="7">
        <v>2357</v>
      </c>
      <c r="I3575" s="7">
        <v>42</v>
      </c>
      <c r="J3575" s="7">
        <v>92</v>
      </c>
      <c r="K3575" s="7" t="s">
        <v>18</v>
      </c>
      <c r="L3575" s="8">
        <v>39987.315405092595</v>
      </c>
      <c r="M3575" s="9" t="s">
        <v>19</v>
      </c>
      <c r="N3575" s="9" t="s">
        <v>20</v>
      </c>
      <c r="O3575" s="6" t="str">
        <f>HYPERLINK("https://pbs.twimg.com/profile_images/962471262747529216/Uo8lOkRJ_normal.jpg","View")</f>
        <v>View</v>
      </c>
      <c r="P3575" s="7"/>
    </row>
    <row r="3576" spans="1:16">
      <c r="A3576" s="3">
        <v>43906.79106481481</v>
      </c>
      <c r="B3576" s="4" t="str">
        <f>HYPERLINK("https://twitter.com/petrogustavo","@petrogustavo")</f>
        <v>@petrogustavo</v>
      </c>
      <c r="C3576" s="5" t="s">
        <v>16</v>
      </c>
      <c r="D3576" s="5" t="s">
        <v>3507</v>
      </c>
      <c r="E3576" s="6" t="str">
        <f>HYPERLINK("https://twitter.com/petrogustavo/status/1239544229959028736","1239544229959028736")</f>
        <v>1239544229959028736</v>
      </c>
      <c r="F3576" s="7" t="s">
        <v>17</v>
      </c>
      <c r="G3576" s="7">
        <v>3670120</v>
      </c>
      <c r="H3576" s="7">
        <v>2357</v>
      </c>
      <c r="I3576" s="7">
        <v>21</v>
      </c>
      <c r="J3576" s="7">
        <v>93</v>
      </c>
      <c r="K3576" s="7" t="s">
        <v>18</v>
      </c>
      <c r="L3576" s="8">
        <v>39987.315405092595</v>
      </c>
      <c r="M3576" s="9" t="s">
        <v>19</v>
      </c>
      <c r="N3576" s="9" t="s">
        <v>20</v>
      </c>
      <c r="O3576" s="6" t="str">
        <f>HYPERLINK("https://pbs.twimg.com/profile_images/962471262747529216/Uo8lOkRJ_normal.jpg","View")</f>
        <v>View</v>
      </c>
      <c r="P3576" s="7"/>
    </row>
    <row r="3577" spans="1:16">
      <c r="A3577" s="3">
        <v>43906.792650462958</v>
      </c>
      <c r="B3577" s="4" t="str">
        <f>HYPERLINK("https://twitter.com/petrogustavo","@petrogustavo")</f>
        <v>@petrogustavo</v>
      </c>
      <c r="C3577" s="5" t="s">
        <v>16</v>
      </c>
      <c r="D3577" s="5" t="s">
        <v>3508</v>
      </c>
      <c r="E3577" s="6" t="str">
        <f>HYPERLINK("https://twitter.com/petrogustavo/status/1239544802187886594","1239544802187886594")</f>
        <v>1239544802187886594</v>
      </c>
      <c r="F3577" s="7" t="s">
        <v>17</v>
      </c>
      <c r="G3577" s="7">
        <v>3670120</v>
      </c>
      <c r="H3577" s="7">
        <v>2357</v>
      </c>
      <c r="I3577" s="7">
        <v>15</v>
      </c>
      <c r="J3577" s="7">
        <v>58</v>
      </c>
      <c r="K3577" s="7" t="s">
        <v>18</v>
      </c>
      <c r="L3577" s="8">
        <v>39987.315405092595</v>
      </c>
      <c r="M3577" s="9" t="s">
        <v>19</v>
      </c>
      <c r="N3577" s="9" t="s">
        <v>20</v>
      </c>
      <c r="O3577" s="6" t="str">
        <f>HYPERLINK("https://pbs.twimg.com/profile_images/962471262747529216/Uo8lOkRJ_normal.jpg","View")</f>
        <v>View</v>
      </c>
      <c r="P3577" s="7"/>
    </row>
    <row r="3578" spans="1:16">
      <c r="A3578" s="3">
        <v>43906.796828703707</v>
      </c>
      <c r="B3578" s="4" t="str">
        <f>HYPERLINK("https://twitter.com/petrogustavo","@petrogustavo")</f>
        <v>@petrogustavo</v>
      </c>
      <c r="C3578" s="5" t="s">
        <v>16</v>
      </c>
      <c r="D3578" s="5" t="s">
        <v>3509</v>
      </c>
      <c r="E3578" s="6" t="str">
        <f>HYPERLINK("https://twitter.com/petrogustavo/status/1239546319519338497","1239546319519338497")</f>
        <v>1239546319519338497</v>
      </c>
      <c r="F3578" s="7" t="s">
        <v>17</v>
      </c>
      <c r="G3578" s="7">
        <v>3670199</v>
      </c>
      <c r="H3578" s="7">
        <v>2357</v>
      </c>
      <c r="I3578" s="7">
        <v>160</v>
      </c>
      <c r="J3578" s="7">
        <v>500</v>
      </c>
      <c r="K3578" s="7" t="s">
        <v>18</v>
      </c>
      <c r="L3578" s="8">
        <v>39987.315405092595</v>
      </c>
      <c r="M3578" s="9" t="s">
        <v>19</v>
      </c>
      <c r="N3578" s="9" t="s">
        <v>20</v>
      </c>
      <c r="O3578" s="6" t="str">
        <f>HYPERLINK("https://pbs.twimg.com/profile_images/962471262747529216/Uo8lOkRJ_normal.jpg","View")</f>
        <v>View</v>
      </c>
      <c r="P3578" s="7"/>
    </row>
    <row r="3579" spans="1:16">
      <c r="A3579" s="3">
        <v>43906.813414351855</v>
      </c>
      <c r="B3579" s="4" t="str">
        <f>HYPERLINK("https://twitter.com/petrogustavo","@petrogustavo")</f>
        <v>@petrogustavo</v>
      </c>
      <c r="C3579" s="5" t="s">
        <v>16</v>
      </c>
      <c r="D3579" s="5" t="s">
        <v>3510</v>
      </c>
      <c r="E3579" s="6" t="str">
        <f>HYPERLINK("https://twitter.com/petrogustavo/status/1239552326500827136","1239552326500827136")</f>
        <v>1239552326500827136</v>
      </c>
      <c r="F3579" s="7" t="s">
        <v>17</v>
      </c>
      <c r="G3579" s="7">
        <v>3670199</v>
      </c>
      <c r="H3579" s="7">
        <v>2357</v>
      </c>
      <c r="I3579" s="7">
        <v>10</v>
      </c>
      <c r="J3579" s="7">
        <v>0</v>
      </c>
      <c r="K3579" s="7" t="s">
        <v>18</v>
      </c>
      <c r="L3579" s="8">
        <v>39987.315405092595</v>
      </c>
      <c r="M3579" s="9" t="s">
        <v>19</v>
      </c>
      <c r="N3579" s="9" t="s">
        <v>20</v>
      </c>
      <c r="O3579" s="6" t="str">
        <f>HYPERLINK("https://pbs.twimg.com/profile_images/962471262747529216/Uo8lOkRJ_normal.jpg","View")</f>
        <v>View</v>
      </c>
      <c r="P3579" s="7"/>
    </row>
    <row r="3580" spans="1:16">
      <c r="A3580" s="3">
        <v>43906.816932870366</v>
      </c>
      <c r="B3580" s="4" t="str">
        <f>HYPERLINK("https://twitter.com/petrogustavo","@petrogustavo")</f>
        <v>@petrogustavo</v>
      </c>
      <c r="C3580" s="5" t="s">
        <v>16</v>
      </c>
      <c r="D3580" s="5" t="s">
        <v>3511</v>
      </c>
      <c r="E3580" s="6" t="str">
        <f>HYPERLINK("https://twitter.com/petrogustavo/status/1239553604006133761","1239553604006133761")</f>
        <v>1239553604006133761</v>
      </c>
      <c r="F3580" s="7" t="s">
        <v>17</v>
      </c>
      <c r="G3580" s="7">
        <v>3670230</v>
      </c>
      <c r="H3580" s="7">
        <v>2357</v>
      </c>
      <c r="I3580" s="7">
        <v>447</v>
      </c>
      <c r="J3580" s="7">
        <v>1448</v>
      </c>
      <c r="K3580" s="7" t="s">
        <v>18</v>
      </c>
      <c r="L3580" s="8">
        <v>39987.315405092595</v>
      </c>
      <c r="M3580" s="9" t="s">
        <v>19</v>
      </c>
      <c r="N3580" s="9" t="s">
        <v>20</v>
      </c>
      <c r="O3580" s="6" t="str">
        <f>HYPERLINK("https://pbs.twimg.com/profile_images/962471262747529216/Uo8lOkRJ_normal.jpg","View")</f>
        <v>View</v>
      </c>
      <c r="P3580" s="7"/>
    </row>
    <row r="3581" spans="1:16">
      <c r="A3581" s="3">
        <v>43906.822465277779</v>
      </c>
      <c r="B3581" s="4" t="str">
        <f>HYPERLINK("https://twitter.com/petrogustavo","@petrogustavo")</f>
        <v>@petrogustavo</v>
      </c>
      <c r="C3581" s="5" t="s">
        <v>16</v>
      </c>
      <c r="D3581" s="5" t="s">
        <v>3512</v>
      </c>
      <c r="E3581" s="6" t="str">
        <f>HYPERLINK("https://twitter.com/petrogustavo/status/1239555607671328768","1239555607671328768")</f>
        <v>1239555607671328768</v>
      </c>
      <c r="F3581" s="7" t="s">
        <v>17</v>
      </c>
      <c r="G3581" s="7">
        <v>3670230</v>
      </c>
      <c r="H3581" s="7">
        <v>2357</v>
      </c>
      <c r="I3581" s="7">
        <v>232</v>
      </c>
      <c r="J3581" s="7">
        <v>619</v>
      </c>
      <c r="K3581" s="7" t="s">
        <v>18</v>
      </c>
      <c r="L3581" s="8">
        <v>39987.315405092595</v>
      </c>
      <c r="M3581" s="9" t="s">
        <v>19</v>
      </c>
      <c r="N3581" s="9" t="s">
        <v>20</v>
      </c>
      <c r="O3581" s="6" t="str">
        <f>HYPERLINK("https://pbs.twimg.com/profile_images/962471262747529216/Uo8lOkRJ_normal.jpg","View")</f>
        <v>View</v>
      </c>
      <c r="P3581" s="7"/>
    </row>
    <row r="3582" spans="1:16">
      <c r="A3582" s="3">
        <v>43906.824143518519</v>
      </c>
      <c r="B3582" s="4" t="str">
        <f>HYPERLINK("https://twitter.com/petrogustavo","@petrogustavo")</f>
        <v>@petrogustavo</v>
      </c>
      <c r="C3582" s="5" t="s">
        <v>16</v>
      </c>
      <c r="D3582" s="5" t="s">
        <v>3513</v>
      </c>
      <c r="E3582" s="6" t="str">
        <f>HYPERLINK("https://twitter.com/petrogustavo/status/1239556218345177088","1239556218345177088")</f>
        <v>1239556218345177088</v>
      </c>
      <c r="F3582" s="7" t="s">
        <v>17</v>
      </c>
      <c r="G3582" s="7">
        <v>3670230</v>
      </c>
      <c r="H3582" s="7">
        <v>2357</v>
      </c>
      <c r="I3582" s="7">
        <v>426</v>
      </c>
      <c r="J3582" s="7">
        <v>0</v>
      </c>
      <c r="K3582" s="7" t="s">
        <v>18</v>
      </c>
      <c r="L3582" s="8">
        <v>39987.315405092595</v>
      </c>
      <c r="M3582" s="9" t="s">
        <v>19</v>
      </c>
      <c r="N3582" s="9" t="s">
        <v>20</v>
      </c>
      <c r="O3582" s="6" t="str">
        <f>HYPERLINK("https://pbs.twimg.com/profile_images/962471262747529216/Uo8lOkRJ_normal.jpg","View")</f>
        <v>View</v>
      </c>
      <c r="P3582" s="7"/>
    </row>
    <row r="3583" spans="1:16">
      <c r="A3583" s="3">
        <v>43906.828750000001</v>
      </c>
      <c r="B3583" s="4" t="str">
        <f>HYPERLINK("https://twitter.com/petrogustavo","@petrogustavo")</f>
        <v>@petrogustavo</v>
      </c>
      <c r="C3583" s="5" t="s">
        <v>16</v>
      </c>
      <c r="D3583" s="5" t="s">
        <v>3514</v>
      </c>
      <c r="E3583" s="6" t="str">
        <f>HYPERLINK("https://twitter.com/petrogustavo/status/1239557886528958466","1239557886528958466")</f>
        <v>1239557886528958466</v>
      </c>
      <c r="F3583" s="7" t="s">
        <v>17</v>
      </c>
      <c r="G3583" s="7">
        <v>3670230</v>
      </c>
      <c r="H3583" s="7">
        <v>2357</v>
      </c>
      <c r="I3583" s="7">
        <v>237</v>
      </c>
      <c r="J3583" s="7">
        <v>0</v>
      </c>
      <c r="K3583" s="7" t="s">
        <v>18</v>
      </c>
      <c r="L3583" s="8">
        <v>39987.315405092595</v>
      </c>
      <c r="M3583" s="9" t="s">
        <v>19</v>
      </c>
      <c r="N3583" s="9" t="s">
        <v>20</v>
      </c>
      <c r="O3583" s="6" t="str">
        <f>HYPERLINK("https://pbs.twimg.com/profile_images/962471262747529216/Uo8lOkRJ_normal.jpg","View")</f>
        <v>View</v>
      </c>
      <c r="P3583" s="7"/>
    </row>
    <row r="3584" spans="1:16">
      <c r="A3584" s="3">
        <v>43906.847986111112</v>
      </c>
      <c r="B3584" s="4" t="str">
        <f>HYPERLINK("https://twitter.com/petrogustavo","@petrogustavo")</f>
        <v>@petrogustavo</v>
      </c>
      <c r="C3584" s="5" t="s">
        <v>16</v>
      </c>
      <c r="D3584" s="5" t="s">
        <v>3515</v>
      </c>
      <c r="E3584" s="6" t="str">
        <f>HYPERLINK("https://twitter.com/petrogustavo/status/1239564856484904962","1239564856484904962")</f>
        <v>1239564856484904962</v>
      </c>
      <c r="F3584" s="7" t="s">
        <v>17</v>
      </c>
      <c r="G3584" s="7">
        <v>3670306</v>
      </c>
      <c r="H3584" s="7">
        <v>2357</v>
      </c>
      <c r="I3584" s="7">
        <v>178</v>
      </c>
      <c r="J3584" s="7">
        <v>437</v>
      </c>
      <c r="K3584" s="7" t="s">
        <v>18</v>
      </c>
      <c r="L3584" s="8">
        <v>39987.315405092595</v>
      </c>
      <c r="M3584" s="9" t="s">
        <v>19</v>
      </c>
      <c r="N3584" s="9" t="s">
        <v>20</v>
      </c>
      <c r="O3584" s="6" t="str">
        <f>HYPERLINK("https://pbs.twimg.com/profile_images/962471262747529216/Uo8lOkRJ_normal.jpg","View")</f>
        <v>View</v>
      </c>
      <c r="P3584" s="7"/>
    </row>
    <row r="3585" spans="1:16">
      <c r="A3585" s="3">
        <v>43906.859849537039</v>
      </c>
      <c r="B3585" s="4" t="str">
        <f>HYPERLINK("https://twitter.com/petrogustavo","@petrogustavo")</f>
        <v>@petrogustavo</v>
      </c>
      <c r="C3585" s="5" t="s">
        <v>16</v>
      </c>
      <c r="D3585" s="5" t="s">
        <v>3516</v>
      </c>
      <c r="E3585" s="6" t="str">
        <f>HYPERLINK("https://twitter.com/petrogustavo/status/1239569154086240256","1239569154086240256")</f>
        <v>1239569154086240256</v>
      </c>
      <c r="F3585" s="7" t="s">
        <v>32</v>
      </c>
      <c r="G3585" s="7">
        <v>3670369</v>
      </c>
      <c r="H3585" s="7">
        <v>2357</v>
      </c>
      <c r="I3585" s="7">
        <v>229</v>
      </c>
      <c r="J3585" s="7">
        <v>0</v>
      </c>
      <c r="K3585" s="7" t="s">
        <v>18</v>
      </c>
      <c r="L3585" s="8">
        <v>39987.315405092595</v>
      </c>
      <c r="M3585" s="9" t="s">
        <v>19</v>
      </c>
      <c r="N3585" s="9" t="s">
        <v>20</v>
      </c>
      <c r="O3585" s="6" t="str">
        <f>HYPERLINK("https://pbs.twimg.com/profile_images/962471262747529216/Uo8lOkRJ_normal.jpg","View")</f>
        <v>View</v>
      </c>
      <c r="P3585" s="7"/>
    </row>
    <row r="3586" spans="1:16">
      <c r="A3586" s="3">
        <v>43906.862523148149</v>
      </c>
      <c r="B3586" s="4" t="str">
        <f>HYPERLINK("https://twitter.com/petrogustavo","@petrogustavo")</f>
        <v>@petrogustavo</v>
      </c>
      <c r="C3586" s="5" t="s">
        <v>16</v>
      </c>
      <c r="D3586" s="5" t="s">
        <v>3517</v>
      </c>
      <c r="E3586" s="6" t="str">
        <f>HYPERLINK("https://twitter.com/petrogustavo/status/1239570125768007683","1239570125768007683")</f>
        <v>1239570125768007683</v>
      </c>
      <c r="F3586" s="7" t="s">
        <v>32</v>
      </c>
      <c r="G3586" s="7">
        <v>3670369</v>
      </c>
      <c r="H3586" s="7">
        <v>2357</v>
      </c>
      <c r="I3586" s="7">
        <v>80</v>
      </c>
      <c r="J3586" s="7">
        <v>150</v>
      </c>
      <c r="K3586" s="7" t="s">
        <v>18</v>
      </c>
      <c r="L3586" s="8">
        <v>39987.315405092595</v>
      </c>
      <c r="M3586" s="9" t="s">
        <v>19</v>
      </c>
      <c r="N3586" s="9" t="s">
        <v>20</v>
      </c>
      <c r="O3586" s="6" t="str">
        <f>HYPERLINK("https://pbs.twimg.com/profile_images/962471262747529216/Uo8lOkRJ_normal.jpg","View")</f>
        <v>View</v>
      </c>
      <c r="P3586" s="7"/>
    </row>
    <row r="3587" spans="1:16">
      <c r="A3587" s="3">
        <v>43906.871249999997</v>
      </c>
      <c r="B3587" s="4" t="str">
        <f>HYPERLINK("https://twitter.com/petrogustavo","@petrogustavo")</f>
        <v>@petrogustavo</v>
      </c>
      <c r="C3587" s="5" t="s">
        <v>16</v>
      </c>
      <c r="D3587" s="5" t="s">
        <v>3518</v>
      </c>
      <c r="E3587" s="6" t="str">
        <f>HYPERLINK("https://twitter.com/petrogustavo/status/1239573288457850885","1239573288457850885")</f>
        <v>1239573288457850885</v>
      </c>
      <c r="F3587" s="7" t="s">
        <v>32</v>
      </c>
      <c r="G3587" s="7">
        <v>3670369</v>
      </c>
      <c r="H3587" s="7">
        <v>2357</v>
      </c>
      <c r="I3587" s="7">
        <v>83</v>
      </c>
      <c r="J3587" s="7">
        <v>0</v>
      </c>
      <c r="K3587" s="7" t="s">
        <v>18</v>
      </c>
      <c r="L3587" s="8">
        <v>39987.315405092595</v>
      </c>
      <c r="M3587" s="9" t="s">
        <v>19</v>
      </c>
      <c r="N3587" s="9" t="s">
        <v>20</v>
      </c>
      <c r="O3587" s="6" t="str">
        <f>HYPERLINK("https://pbs.twimg.com/profile_images/962471262747529216/Uo8lOkRJ_normal.jpg","View")</f>
        <v>View</v>
      </c>
      <c r="P3587" s="7"/>
    </row>
    <row r="3588" spans="1:16">
      <c r="A3588" s="3">
        <v>43906.871504629627</v>
      </c>
      <c r="B3588" s="4" t="str">
        <f>HYPERLINK("https://twitter.com/petrogustavo","@petrogustavo")</f>
        <v>@petrogustavo</v>
      </c>
      <c r="C3588" s="5" t="s">
        <v>16</v>
      </c>
      <c r="D3588" s="5" t="s">
        <v>3519</v>
      </c>
      <c r="E3588" s="6" t="str">
        <f>HYPERLINK("https://twitter.com/petrogustavo/status/1239573377850933254","1239573377850933254")</f>
        <v>1239573377850933254</v>
      </c>
      <c r="F3588" s="7" t="s">
        <v>32</v>
      </c>
      <c r="G3588" s="7">
        <v>3670369</v>
      </c>
      <c r="H3588" s="7">
        <v>2357</v>
      </c>
      <c r="I3588" s="7">
        <v>17</v>
      </c>
      <c r="J3588" s="7">
        <v>0</v>
      </c>
      <c r="K3588" s="7" t="s">
        <v>18</v>
      </c>
      <c r="L3588" s="8">
        <v>39987.315405092595</v>
      </c>
      <c r="M3588" s="9" t="s">
        <v>19</v>
      </c>
      <c r="N3588" s="9" t="s">
        <v>20</v>
      </c>
      <c r="O3588" s="6" t="str">
        <f>HYPERLINK("https://pbs.twimg.com/profile_images/962471262747529216/Uo8lOkRJ_normal.jpg","View")</f>
        <v>View</v>
      </c>
      <c r="P3588" s="7"/>
    </row>
    <row r="3589" spans="1:16">
      <c r="A3589" s="3">
        <v>43906.871932870374</v>
      </c>
      <c r="B3589" s="4" t="str">
        <f>HYPERLINK("https://twitter.com/petrogustavo","@petrogustavo")</f>
        <v>@petrogustavo</v>
      </c>
      <c r="C3589" s="5" t="s">
        <v>16</v>
      </c>
      <c r="D3589" s="5" t="s">
        <v>3520</v>
      </c>
      <c r="E3589" s="6" t="str">
        <f>HYPERLINK("https://twitter.com/petrogustavo/status/1239573536450187264","1239573536450187264")</f>
        <v>1239573536450187264</v>
      </c>
      <c r="F3589" s="7" t="s">
        <v>32</v>
      </c>
      <c r="G3589" s="7">
        <v>3670369</v>
      </c>
      <c r="H3589" s="7">
        <v>2357</v>
      </c>
      <c r="I3589" s="7">
        <v>403</v>
      </c>
      <c r="J3589" s="7">
        <v>0</v>
      </c>
      <c r="K3589" s="7" t="s">
        <v>18</v>
      </c>
      <c r="L3589" s="8">
        <v>39987.315405092595</v>
      </c>
      <c r="M3589" s="9" t="s">
        <v>19</v>
      </c>
      <c r="N3589" s="9" t="s">
        <v>20</v>
      </c>
      <c r="O3589" s="6" t="str">
        <f>HYPERLINK("https://pbs.twimg.com/profile_images/962471262747529216/Uo8lOkRJ_normal.jpg","View")</f>
        <v>View</v>
      </c>
      <c r="P3589" s="7"/>
    </row>
    <row r="3590" spans="1:16">
      <c r="A3590" s="3">
        <v>43906.874027777776</v>
      </c>
      <c r="B3590" s="4" t="str">
        <f>HYPERLINK("https://twitter.com/petrogustavo","@petrogustavo")</f>
        <v>@petrogustavo</v>
      </c>
      <c r="C3590" s="5" t="s">
        <v>16</v>
      </c>
      <c r="D3590" s="5" t="s">
        <v>3521</v>
      </c>
      <c r="E3590" s="6" t="str">
        <f>HYPERLINK("https://twitter.com/petrogustavo/status/1239574291835957252","1239574291835957252")</f>
        <v>1239574291835957252</v>
      </c>
      <c r="F3590" s="7" t="s">
        <v>32</v>
      </c>
      <c r="G3590" s="7">
        <v>3670369</v>
      </c>
      <c r="H3590" s="7">
        <v>2357</v>
      </c>
      <c r="I3590" s="7">
        <v>22</v>
      </c>
      <c r="J3590" s="7">
        <v>0</v>
      </c>
      <c r="K3590" s="7" t="s">
        <v>18</v>
      </c>
      <c r="L3590" s="8">
        <v>39987.315405092595</v>
      </c>
      <c r="M3590" s="9" t="s">
        <v>19</v>
      </c>
      <c r="N3590" s="9" t="s">
        <v>20</v>
      </c>
      <c r="O3590" s="6" t="str">
        <f>HYPERLINK("https://pbs.twimg.com/profile_images/962471262747529216/Uo8lOkRJ_normal.jpg","View")</f>
        <v>View</v>
      </c>
      <c r="P3590" s="7"/>
    </row>
    <row r="3591" spans="1:16">
      <c r="A3591" s="3">
        <v>43906.90048611111</v>
      </c>
      <c r="B3591" s="4" t="str">
        <f>HYPERLINK("https://twitter.com/petrogustavo","@petrogustavo")</f>
        <v>@petrogustavo</v>
      </c>
      <c r="C3591" s="5" t="s">
        <v>16</v>
      </c>
      <c r="D3591" s="5" t="s">
        <v>3522</v>
      </c>
      <c r="E3591" s="6" t="str">
        <f>HYPERLINK("https://twitter.com/petrogustavo/status/1239583880904085504","1239583880904085504")</f>
        <v>1239583880904085504</v>
      </c>
      <c r="F3591" s="7" t="s">
        <v>17</v>
      </c>
      <c r="G3591" s="7">
        <v>3670528</v>
      </c>
      <c r="H3591" s="7">
        <v>2357</v>
      </c>
      <c r="I3591" s="7">
        <v>481</v>
      </c>
      <c r="J3591" s="7">
        <v>0</v>
      </c>
      <c r="K3591" s="7" t="s">
        <v>18</v>
      </c>
      <c r="L3591" s="8">
        <v>39987.315405092595</v>
      </c>
      <c r="M3591" s="9" t="s">
        <v>19</v>
      </c>
      <c r="N3591" s="9" t="s">
        <v>20</v>
      </c>
      <c r="O3591" s="6" t="str">
        <f>HYPERLINK("https://pbs.twimg.com/profile_images/962471262747529216/Uo8lOkRJ_normal.jpg","View")</f>
        <v>View</v>
      </c>
      <c r="P3591" s="7"/>
    </row>
    <row r="3592" spans="1:16">
      <c r="A3592" s="3">
        <v>43906.912835648152</v>
      </c>
      <c r="B3592" s="4" t="str">
        <f>HYPERLINK("https://twitter.com/petrogustavo","@petrogustavo")</f>
        <v>@petrogustavo</v>
      </c>
      <c r="C3592" s="5" t="s">
        <v>16</v>
      </c>
      <c r="D3592" s="5" t="s">
        <v>3523</v>
      </c>
      <c r="E3592" s="6" t="str">
        <f>HYPERLINK("https://twitter.com/petrogustavo/status/1239588357786738689","1239588357786738689")</f>
        <v>1239588357786738689</v>
      </c>
      <c r="F3592" s="7" t="s">
        <v>32</v>
      </c>
      <c r="G3592" s="7">
        <v>3670528</v>
      </c>
      <c r="H3592" s="7">
        <v>2357</v>
      </c>
      <c r="I3592" s="7">
        <v>33</v>
      </c>
      <c r="J3592" s="7">
        <v>0</v>
      </c>
      <c r="K3592" s="7" t="s">
        <v>18</v>
      </c>
      <c r="L3592" s="8">
        <v>39987.315405092595</v>
      </c>
      <c r="M3592" s="9" t="s">
        <v>19</v>
      </c>
      <c r="N3592" s="9" t="s">
        <v>20</v>
      </c>
      <c r="O3592" s="6" t="str">
        <f>HYPERLINK("https://pbs.twimg.com/profile_images/962471262747529216/Uo8lOkRJ_normal.jpg","View")</f>
        <v>View</v>
      </c>
      <c r="P3592" s="7"/>
    </row>
    <row r="3593" spans="1:16">
      <c r="A3593" s="3">
        <v>43906.913368055553</v>
      </c>
      <c r="B3593" s="4" t="str">
        <f>HYPERLINK("https://twitter.com/petrogustavo","@petrogustavo")</f>
        <v>@petrogustavo</v>
      </c>
      <c r="C3593" s="5" t="s">
        <v>16</v>
      </c>
      <c r="D3593" s="5" t="s">
        <v>3524</v>
      </c>
      <c r="E3593" s="6" t="str">
        <f>HYPERLINK("https://twitter.com/petrogustavo/status/1239588549936263175","1239588549936263175")</f>
        <v>1239588549936263175</v>
      </c>
      <c r="F3593" s="7" t="s">
        <v>32</v>
      </c>
      <c r="G3593" s="7">
        <v>3670528</v>
      </c>
      <c r="H3593" s="7">
        <v>2357</v>
      </c>
      <c r="I3593" s="7">
        <v>559</v>
      </c>
      <c r="J3593" s="7">
        <v>0</v>
      </c>
      <c r="K3593" s="7" t="s">
        <v>18</v>
      </c>
      <c r="L3593" s="8">
        <v>39987.315405092595</v>
      </c>
      <c r="M3593" s="9" t="s">
        <v>19</v>
      </c>
      <c r="N3593" s="9" t="s">
        <v>20</v>
      </c>
      <c r="O3593" s="6" t="str">
        <f>HYPERLINK("https://pbs.twimg.com/profile_images/962471262747529216/Uo8lOkRJ_normal.jpg","View")</f>
        <v>View</v>
      </c>
      <c r="P3593" s="7"/>
    </row>
    <row r="3594" spans="1:16">
      <c r="A3594" s="3">
        <v>43906.91914351852</v>
      </c>
      <c r="B3594" s="4" t="str">
        <f>HYPERLINK("https://twitter.com/petrogustavo","@petrogustavo")</f>
        <v>@petrogustavo</v>
      </c>
      <c r="C3594" s="5" t="s">
        <v>16</v>
      </c>
      <c r="D3594" s="5" t="s">
        <v>3525</v>
      </c>
      <c r="E3594" s="6" t="str">
        <f>HYPERLINK("https://twitter.com/petrogustavo/status/1239590643007135745","1239590643007135745")</f>
        <v>1239590643007135745</v>
      </c>
      <c r="F3594" s="7" t="s">
        <v>32</v>
      </c>
      <c r="G3594" s="7">
        <v>3670612</v>
      </c>
      <c r="H3594" s="7">
        <v>2357</v>
      </c>
      <c r="I3594" s="7">
        <v>308</v>
      </c>
      <c r="J3594" s="7">
        <v>887</v>
      </c>
      <c r="K3594" s="7" t="s">
        <v>18</v>
      </c>
      <c r="L3594" s="8">
        <v>39987.315405092595</v>
      </c>
      <c r="M3594" s="9" t="s">
        <v>19</v>
      </c>
      <c r="N3594" s="9" t="s">
        <v>20</v>
      </c>
      <c r="O3594" s="6" t="str">
        <f>HYPERLINK("https://pbs.twimg.com/profile_images/962471262747529216/Uo8lOkRJ_normal.jpg","View")</f>
        <v>View</v>
      </c>
      <c r="P3594" s="7"/>
    </row>
    <row r="3595" spans="1:16">
      <c r="A3595" s="3">
        <v>43906.919710648144</v>
      </c>
      <c r="B3595" s="4" t="str">
        <f>HYPERLINK("https://twitter.com/petrogustavo","@petrogustavo")</f>
        <v>@petrogustavo</v>
      </c>
      <c r="C3595" s="5" t="s">
        <v>16</v>
      </c>
      <c r="D3595" s="5" t="s">
        <v>3526</v>
      </c>
      <c r="E3595" s="6" t="str">
        <f>HYPERLINK("https://twitter.com/petrogustavo/status/1239590848674873345","1239590848674873345")</f>
        <v>1239590848674873345</v>
      </c>
      <c r="F3595" s="7" t="s">
        <v>32</v>
      </c>
      <c r="G3595" s="7">
        <v>3670612</v>
      </c>
      <c r="H3595" s="7">
        <v>2357</v>
      </c>
      <c r="I3595" s="7">
        <v>130</v>
      </c>
      <c r="J3595" s="7">
        <v>0</v>
      </c>
      <c r="K3595" s="7" t="s">
        <v>18</v>
      </c>
      <c r="L3595" s="8">
        <v>39987.315405092595</v>
      </c>
      <c r="M3595" s="9" t="s">
        <v>19</v>
      </c>
      <c r="N3595" s="9" t="s">
        <v>20</v>
      </c>
      <c r="O3595" s="6" t="str">
        <f>HYPERLINK("https://pbs.twimg.com/profile_images/962471262747529216/Uo8lOkRJ_normal.jpg","View")</f>
        <v>View</v>
      </c>
      <c r="P3595" s="7"/>
    </row>
    <row r="3596" spans="1:16">
      <c r="A3596" s="3">
        <v>43906.92359953704</v>
      </c>
      <c r="B3596" s="4" t="str">
        <f>HYPERLINK("https://twitter.com/petrogustavo","@petrogustavo")</f>
        <v>@petrogustavo</v>
      </c>
      <c r="C3596" s="5" t="s">
        <v>16</v>
      </c>
      <c r="D3596" s="5" t="s">
        <v>3527</v>
      </c>
      <c r="E3596" s="6" t="str">
        <f>HYPERLINK("https://twitter.com/petrogustavo/status/1239592257575161860","1239592257575161860")</f>
        <v>1239592257575161860</v>
      </c>
      <c r="F3596" s="7" t="s">
        <v>32</v>
      </c>
      <c r="G3596" s="7">
        <v>3670612</v>
      </c>
      <c r="H3596" s="7">
        <v>2357</v>
      </c>
      <c r="I3596" s="7">
        <v>133</v>
      </c>
      <c r="J3596" s="7">
        <v>0</v>
      </c>
      <c r="K3596" s="7" t="s">
        <v>18</v>
      </c>
      <c r="L3596" s="8">
        <v>39987.315405092595</v>
      </c>
      <c r="M3596" s="9" t="s">
        <v>19</v>
      </c>
      <c r="N3596" s="9" t="s">
        <v>20</v>
      </c>
      <c r="O3596" s="6" t="str">
        <f>HYPERLINK("https://pbs.twimg.com/profile_images/962471262747529216/Uo8lOkRJ_normal.jpg","View")</f>
        <v>View</v>
      </c>
      <c r="P3596" s="7"/>
    </row>
    <row r="3597" spans="1:16">
      <c r="A3597" s="3">
        <v>43906.923900462964</v>
      </c>
      <c r="B3597" s="4" t="str">
        <f>HYPERLINK("https://twitter.com/petrogustavo","@petrogustavo")</f>
        <v>@petrogustavo</v>
      </c>
      <c r="C3597" s="5" t="s">
        <v>16</v>
      </c>
      <c r="D3597" s="5" t="s">
        <v>3528</v>
      </c>
      <c r="E3597" s="6" t="str">
        <f>HYPERLINK("https://twitter.com/petrogustavo/status/1239592366421553155","1239592366421553155")</f>
        <v>1239592366421553155</v>
      </c>
      <c r="F3597" s="7" t="s">
        <v>32</v>
      </c>
      <c r="G3597" s="7">
        <v>3670612</v>
      </c>
      <c r="H3597" s="7">
        <v>2357</v>
      </c>
      <c r="I3597" s="7">
        <v>21</v>
      </c>
      <c r="J3597" s="7">
        <v>0</v>
      </c>
      <c r="K3597" s="7" t="s">
        <v>18</v>
      </c>
      <c r="L3597" s="8">
        <v>39987.315405092595</v>
      </c>
      <c r="M3597" s="9" t="s">
        <v>19</v>
      </c>
      <c r="N3597" s="9" t="s">
        <v>20</v>
      </c>
      <c r="O3597" s="6" t="str">
        <f>HYPERLINK("https://pbs.twimg.com/profile_images/962471262747529216/Uo8lOkRJ_normal.jpg","View")</f>
        <v>View</v>
      </c>
      <c r="P3597" s="7"/>
    </row>
    <row r="3598" spans="1:16">
      <c r="A3598" s="3">
        <v>43906.938564814816</v>
      </c>
      <c r="B3598" s="4" t="str">
        <f>HYPERLINK("https://twitter.com/petrogustavo","@petrogustavo")</f>
        <v>@petrogustavo</v>
      </c>
      <c r="C3598" s="5" t="s">
        <v>16</v>
      </c>
      <c r="D3598" s="5" t="s">
        <v>3529</v>
      </c>
      <c r="E3598" s="6" t="str">
        <f>HYPERLINK("https://twitter.com/petrogustavo/status/1239597679715463170","1239597679715463170")</f>
        <v>1239597679715463170</v>
      </c>
      <c r="F3598" s="7" t="s">
        <v>17</v>
      </c>
      <c r="G3598" s="7">
        <v>3670612</v>
      </c>
      <c r="H3598" s="7">
        <v>2357</v>
      </c>
      <c r="I3598" s="7">
        <v>22</v>
      </c>
      <c r="J3598" s="7">
        <v>57</v>
      </c>
      <c r="K3598" s="7" t="s">
        <v>18</v>
      </c>
      <c r="L3598" s="8">
        <v>39987.315405092595</v>
      </c>
      <c r="M3598" s="9" t="s">
        <v>19</v>
      </c>
      <c r="N3598" s="9" t="s">
        <v>20</v>
      </c>
      <c r="O3598" s="6" t="str">
        <f>HYPERLINK("https://pbs.twimg.com/profile_images/962471262747529216/Uo8lOkRJ_normal.jpg","View")</f>
        <v>View</v>
      </c>
      <c r="P3598" s="7"/>
    </row>
    <row r="3599" spans="1:16">
      <c r="A3599" s="3">
        <v>43906.955706018518</v>
      </c>
      <c r="B3599" s="4" t="str">
        <f>HYPERLINK("https://twitter.com/petrogustavo","@petrogustavo")</f>
        <v>@petrogustavo</v>
      </c>
      <c r="C3599" s="5" t="s">
        <v>16</v>
      </c>
      <c r="D3599" s="5" t="s">
        <v>3530</v>
      </c>
      <c r="E3599" s="6" t="str">
        <f>HYPERLINK("https://twitter.com/petrogustavo/status/1239603893266505730","1239603893266505730")</f>
        <v>1239603893266505730</v>
      </c>
      <c r="F3599" s="7" t="s">
        <v>32</v>
      </c>
      <c r="G3599" s="7">
        <v>3670682</v>
      </c>
      <c r="H3599" s="7">
        <v>2357</v>
      </c>
      <c r="I3599" s="7">
        <v>88</v>
      </c>
      <c r="J3599" s="7">
        <v>271</v>
      </c>
      <c r="K3599" s="7" t="s">
        <v>18</v>
      </c>
      <c r="L3599" s="8">
        <v>39987.315405092595</v>
      </c>
      <c r="M3599" s="9" t="s">
        <v>19</v>
      </c>
      <c r="N3599" s="9" t="s">
        <v>20</v>
      </c>
      <c r="O3599" s="6" t="str">
        <f>HYPERLINK("https://pbs.twimg.com/profile_images/962471262747529216/Uo8lOkRJ_normal.jpg","View")</f>
        <v>View</v>
      </c>
      <c r="P3599" s="7"/>
    </row>
    <row r="3600" spans="1:16">
      <c r="A3600" s="3">
        <v>43906.966122685189</v>
      </c>
      <c r="B3600" s="4" t="str">
        <f>HYPERLINK("https://twitter.com/petrogustavo","@petrogustavo")</f>
        <v>@petrogustavo</v>
      </c>
      <c r="C3600" s="5" t="s">
        <v>16</v>
      </c>
      <c r="D3600" s="5" t="s">
        <v>3531</v>
      </c>
      <c r="E3600" s="6" t="str">
        <f>HYPERLINK("https://twitter.com/petrogustavo/status/1239607670040125447","1239607670040125447")</f>
        <v>1239607670040125447</v>
      </c>
      <c r="F3600" s="7" t="s">
        <v>32</v>
      </c>
      <c r="G3600" s="7">
        <v>3670716</v>
      </c>
      <c r="H3600" s="7">
        <v>2357</v>
      </c>
      <c r="I3600" s="7">
        <v>140</v>
      </c>
      <c r="J3600" s="7">
        <v>333</v>
      </c>
      <c r="K3600" s="7" t="s">
        <v>18</v>
      </c>
      <c r="L3600" s="8">
        <v>39987.315405092595</v>
      </c>
      <c r="M3600" s="9" t="s">
        <v>19</v>
      </c>
      <c r="N3600" s="9" t="s">
        <v>20</v>
      </c>
      <c r="O3600" s="6" t="str">
        <f>HYPERLINK("https://pbs.twimg.com/profile_images/962471262747529216/Uo8lOkRJ_normal.jpg","View")</f>
        <v>View</v>
      </c>
      <c r="P3600" s="7"/>
    </row>
    <row r="3601" spans="1:16">
      <c r="A3601" s="3">
        <v>43906.974039351851</v>
      </c>
      <c r="B3601" s="4" t="str">
        <f>HYPERLINK("https://twitter.com/petrogustavo","@petrogustavo")</f>
        <v>@petrogustavo</v>
      </c>
      <c r="C3601" s="5" t="s">
        <v>16</v>
      </c>
      <c r="D3601" s="5" t="s">
        <v>3532</v>
      </c>
      <c r="E3601" s="6" t="str">
        <f>HYPERLINK("https://twitter.com/petrogustavo/status/1239610538977525762","1239610538977525762")</f>
        <v>1239610538977525762</v>
      </c>
      <c r="F3601" s="7" t="s">
        <v>32</v>
      </c>
      <c r="G3601" s="7">
        <v>3670716</v>
      </c>
      <c r="H3601" s="7">
        <v>2357</v>
      </c>
      <c r="I3601" s="7">
        <v>52</v>
      </c>
      <c r="J3601" s="7">
        <v>118</v>
      </c>
      <c r="K3601" s="7" t="s">
        <v>18</v>
      </c>
      <c r="L3601" s="8">
        <v>39987.315405092595</v>
      </c>
      <c r="M3601" s="9" t="s">
        <v>19</v>
      </c>
      <c r="N3601" s="9" t="s">
        <v>20</v>
      </c>
      <c r="O3601" s="6" t="str">
        <f>HYPERLINK("https://pbs.twimg.com/profile_images/962471262747529216/Uo8lOkRJ_normal.jpg","View")</f>
        <v>View</v>
      </c>
      <c r="P3601" s="7"/>
    </row>
    <row r="3602" spans="1:16">
      <c r="A3602" s="3">
        <v>43906.975960648153</v>
      </c>
      <c r="B3602" s="4" t="str">
        <f>HYPERLINK("https://twitter.com/petrogustavo","@petrogustavo")</f>
        <v>@petrogustavo</v>
      </c>
      <c r="C3602" s="5" t="s">
        <v>16</v>
      </c>
      <c r="D3602" s="5" t="s">
        <v>3533</v>
      </c>
      <c r="E3602" s="6" t="str">
        <f>HYPERLINK("https://twitter.com/petrogustavo/status/1239611232744804353","1239611232744804353")</f>
        <v>1239611232744804353</v>
      </c>
      <c r="F3602" s="7" t="s">
        <v>32</v>
      </c>
      <c r="G3602" s="7">
        <v>3670716</v>
      </c>
      <c r="H3602" s="7">
        <v>2357</v>
      </c>
      <c r="I3602" s="7">
        <v>47</v>
      </c>
      <c r="J3602" s="7">
        <v>0</v>
      </c>
      <c r="K3602" s="7" t="s">
        <v>18</v>
      </c>
      <c r="L3602" s="8">
        <v>39987.315405092595</v>
      </c>
      <c r="M3602" s="9" t="s">
        <v>19</v>
      </c>
      <c r="N3602" s="9" t="s">
        <v>20</v>
      </c>
      <c r="O3602" s="6" t="str">
        <f>HYPERLINK("https://pbs.twimg.com/profile_images/962471262747529216/Uo8lOkRJ_normal.jpg","View")</f>
        <v>View</v>
      </c>
      <c r="P3602" s="7"/>
    </row>
    <row r="3603" spans="1:16">
      <c r="A3603" s="3">
        <v>43906.977743055555</v>
      </c>
      <c r="B3603" s="4" t="str">
        <f>HYPERLINK("https://twitter.com/petrogustavo","@petrogustavo")</f>
        <v>@petrogustavo</v>
      </c>
      <c r="C3603" s="5" t="s">
        <v>16</v>
      </c>
      <c r="D3603" s="5" t="s">
        <v>3534</v>
      </c>
      <c r="E3603" s="6" t="str">
        <f>HYPERLINK("https://twitter.com/petrogustavo/status/1239611879200378880","1239611879200378880")</f>
        <v>1239611879200378880</v>
      </c>
      <c r="F3603" s="7" t="s">
        <v>32</v>
      </c>
      <c r="G3603" s="7">
        <v>3670716</v>
      </c>
      <c r="H3603" s="7">
        <v>2357</v>
      </c>
      <c r="I3603" s="7">
        <v>59</v>
      </c>
      <c r="J3603" s="7">
        <v>140</v>
      </c>
      <c r="K3603" s="7" t="s">
        <v>18</v>
      </c>
      <c r="L3603" s="8">
        <v>39987.315405092595</v>
      </c>
      <c r="M3603" s="9" t="s">
        <v>19</v>
      </c>
      <c r="N3603" s="9" t="s">
        <v>20</v>
      </c>
      <c r="O3603" s="6" t="str">
        <f>HYPERLINK("https://pbs.twimg.com/profile_images/962471262747529216/Uo8lOkRJ_normal.jpg","View")</f>
        <v>View</v>
      </c>
      <c r="P3603" s="7"/>
    </row>
    <row r="3604" spans="1:16">
      <c r="A3604" s="3">
        <v>43906.978483796294</v>
      </c>
      <c r="B3604" s="4" t="str">
        <f>HYPERLINK("https://twitter.com/petrogustavo","@petrogustavo")</f>
        <v>@petrogustavo</v>
      </c>
      <c r="C3604" s="5" t="s">
        <v>16</v>
      </c>
      <c r="D3604" s="5" t="s">
        <v>3535</v>
      </c>
      <c r="E3604" s="6" t="str">
        <f>HYPERLINK("https://twitter.com/petrogustavo/status/1239612148357246978","1239612148357246978")</f>
        <v>1239612148357246978</v>
      </c>
      <c r="F3604" s="7" t="s">
        <v>32</v>
      </c>
      <c r="G3604" s="7">
        <v>3670716</v>
      </c>
      <c r="H3604" s="7">
        <v>2357</v>
      </c>
      <c r="I3604" s="7">
        <v>838</v>
      </c>
      <c r="J3604" s="7">
        <v>0</v>
      </c>
      <c r="K3604" s="7" t="s">
        <v>18</v>
      </c>
      <c r="L3604" s="8">
        <v>39987.315405092595</v>
      </c>
      <c r="M3604" s="9" t="s">
        <v>19</v>
      </c>
      <c r="N3604" s="9" t="s">
        <v>20</v>
      </c>
      <c r="O3604" s="6" t="str">
        <f>HYPERLINK("https://pbs.twimg.com/profile_images/962471262747529216/Uo8lOkRJ_normal.jpg","View")</f>
        <v>View</v>
      </c>
      <c r="P3604" s="7"/>
    </row>
    <row r="3605" spans="1:16">
      <c r="A3605" s="3">
        <v>43906.978738425925</v>
      </c>
      <c r="B3605" s="4" t="str">
        <f>HYPERLINK("https://twitter.com/petrogustavo","@petrogustavo")</f>
        <v>@petrogustavo</v>
      </c>
      <c r="C3605" s="5" t="s">
        <v>16</v>
      </c>
      <c r="D3605" s="5" t="s">
        <v>3536</v>
      </c>
      <c r="E3605" s="6" t="str">
        <f>HYPERLINK("https://twitter.com/petrogustavo/status/1239612241256894466","1239612241256894466")</f>
        <v>1239612241256894466</v>
      </c>
      <c r="F3605" s="7" t="s">
        <v>32</v>
      </c>
      <c r="G3605" s="7">
        <v>3670716</v>
      </c>
      <c r="H3605" s="7">
        <v>2357</v>
      </c>
      <c r="I3605" s="7">
        <v>59</v>
      </c>
      <c r="J3605" s="7">
        <v>0</v>
      </c>
      <c r="K3605" s="7" t="s">
        <v>18</v>
      </c>
      <c r="L3605" s="8">
        <v>39987.315405092595</v>
      </c>
      <c r="M3605" s="9" t="s">
        <v>19</v>
      </c>
      <c r="N3605" s="9" t="s">
        <v>20</v>
      </c>
      <c r="O3605" s="6" t="str">
        <f>HYPERLINK("https://pbs.twimg.com/profile_images/962471262747529216/Uo8lOkRJ_normal.jpg","View")</f>
        <v>View</v>
      </c>
      <c r="P3605" s="7"/>
    </row>
    <row r="3606" spans="1:16">
      <c r="A3606" s="3">
        <v>43906.98646990741</v>
      </c>
      <c r="B3606" s="4" t="str">
        <f>HYPERLINK("https://twitter.com/petrogustavo","@petrogustavo")</f>
        <v>@petrogustavo</v>
      </c>
      <c r="C3606" s="5" t="s">
        <v>16</v>
      </c>
      <c r="D3606" s="5" t="s">
        <v>3537</v>
      </c>
      <c r="E3606" s="6" t="str">
        <f>HYPERLINK("https://twitter.com/petrogustavo/status/1239615041789464576","1239615041789464576")</f>
        <v>1239615041789464576</v>
      </c>
      <c r="F3606" s="7" t="s">
        <v>32</v>
      </c>
      <c r="G3606" s="7">
        <v>3670785</v>
      </c>
      <c r="H3606" s="7">
        <v>2357</v>
      </c>
      <c r="I3606" s="7">
        <v>131</v>
      </c>
      <c r="J3606" s="7">
        <v>491</v>
      </c>
      <c r="K3606" s="7" t="s">
        <v>18</v>
      </c>
      <c r="L3606" s="8">
        <v>39987.315405092595</v>
      </c>
      <c r="M3606" s="9" t="s">
        <v>19</v>
      </c>
      <c r="N3606" s="9" t="s">
        <v>20</v>
      </c>
      <c r="O3606" s="6" t="str">
        <f>HYPERLINK("https://pbs.twimg.com/profile_images/962471262747529216/Uo8lOkRJ_normal.jpg","View")</f>
        <v>View</v>
      </c>
      <c r="P3606" s="7"/>
    </row>
    <row r="3607" spans="1:16">
      <c r="A3607" s="3">
        <v>43906.990254629629</v>
      </c>
      <c r="B3607" s="4" t="str">
        <f>HYPERLINK("https://twitter.com/petrogustavo","@petrogustavo")</f>
        <v>@petrogustavo</v>
      </c>
      <c r="C3607" s="5" t="s">
        <v>16</v>
      </c>
      <c r="D3607" s="5" t="s">
        <v>3538</v>
      </c>
      <c r="E3607" s="6" t="str">
        <f>HYPERLINK("https://twitter.com/petrogustavo/status/1239616413666590721","1239616413666590721")</f>
        <v>1239616413666590721</v>
      </c>
      <c r="F3607" s="7" t="s">
        <v>32</v>
      </c>
      <c r="G3607" s="7">
        <v>3670785</v>
      </c>
      <c r="H3607" s="7">
        <v>2357</v>
      </c>
      <c r="I3607" s="7">
        <v>201</v>
      </c>
      <c r="J3607" s="7">
        <v>0</v>
      </c>
      <c r="K3607" s="7" t="s">
        <v>18</v>
      </c>
      <c r="L3607" s="8">
        <v>39987.315405092595</v>
      </c>
      <c r="M3607" s="9" t="s">
        <v>19</v>
      </c>
      <c r="N3607" s="9" t="s">
        <v>20</v>
      </c>
      <c r="O3607" s="6" t="str">
        <f>HYPERLINK("https://pbs.twimg.com/profile_images/962471262747529216/Uo8lOkRJ_normal.jpg","View")</f>
        <v>View</v>
      </c>
      <c r="P3607" s="7"/>
    </row>
    <row r="3608" spans="1:16">
      <c r="A3608" s="3">
        <v>43906.990752314814</v>
      </c>
      <c r="B3608" s="4" t="str">
        <f>HYPERLINK("https://twitter.com/petrogustavo","@petrogustavo")</f>
        <v>@petrogustavo</v>
      </c>
      <c r="C3608" s="5" t="s">
        <v>16</v>
      </c>
      <c r="D3608" s="5" t="s">
        <v>3539</v>
      </c>
      <c r="E3608" s="6" t="str">
        <f>HYPERLINK("https://twitter.com/petrogustavo/status/1239616595103801344","1239616595103801344")</f>
        <v>1239616595103801344</v>
      </c>
      <c r="F3608" s="7" t="s">
        <v>32</v>
      </c>
      <c r="G3608" s="7">
        <v>3670785</v>
      </c>
      <c r="H3608" s="7">
        <v>2357</v>
      </c>
      <c r="I3608" s="7">
        <v>118</v>
      </c>
      <c r="J3608" s="7">
        <v>0</v>
      </c>
      <c r="K3608" s="7" t="s">
        <v>18</v>
      </c>
      <c r="L3608" s="8">
        <v>39987.315405092595</v>
      </c>
      <c r="M3608" s="9" t="s">
        <v>19</v>
      </c>
      <c r="N3608" s="9" t="s">
        <v>20</v>
      </c>
      <c r="O3608" s="6" t="str">
        <f>HYPERLINK("https://pbs.twimg.com/profile_images/962471262747529216/Uo8lOkRJ_normal.jpg","View")</f>
        <v>View</v>
      </c>
      <c r="P3608" s="7"/>
    </row>
    <row r="3609" spans="1:16">
      <c r="A3609" s="3">
        <v>43906.998692129629</v>
      </c>
      <c r="B3609" s="4" t="str">
        <f>HYPERLINK("https://twitter.com/petrogustavo","@petrogustavo")</f>
        <v>@petrogustavo</v>
      </c>
      <c r="C3609" s="5" t="s">
        <v>16</v>
      </c>
      <c r="D3609" s="5" t="s">
        <v>3540</v>
      </c>
      <c r="E3609" s="6" t="str">
        <f>HYPERLINK("https://twitter.com/petrogustavo/status/1239619472576729089","1239619472576729089")</f>
        <v>1239619472576729089</v>
      </c>
      <c r="F3609" s="7" t="s">
        <v>32</v>
      </c>
      <c r="G3609" s="7">
        <v>3670785</v>
      </c>
      <c r="H3609" s="7">
        <v>2357</v>
      </c>
      <c r="I3609" s="7">
        <v>89</v>
      </c>
      <c r="J3609" s="7">
        <v>196</v>
      </c>
      <c r="K3609" s="7" t="s">
        <v>18</v>
      </c>
      <c r="L3609" s="8">
        <v>39987.315405092595</v>
      </c>
      <c r="M3609" s="9" t="s">
        <v>19</v>
      </c>
      <c r="N3609" s="9" t="s">
        <v>20</v>
      </c>
      <c r="O3609" s="6" t="str">
        <f>HYPERLINK("https://pbs.twimg.com/profile_images/962471262747529216/Uo8lOkRJ_normal.jpg","View")</f>
        <v>View</v>
      </c>
      <c r="P3609" s="7"/>
    </row>
    <row r="3610" spans="1:16">
      <c r="A3610" s="3">
        <v>43907.03261574074</v>
      </c>
      <c r="B3610" s="4" t="str">
        <f>HYPERLINK("https://twitter.com/petrogustavo","@petrogustavo")</f>
        <v>@petrogustavo</v>
      </c>
      <c r="C3610" s="5" t="s">
        <v>16</v>
      </c>
      <c r="D3610" s="5" t="s">
        <v>3541</v>
      </c>
      <c r="E3610" s="6" t="str">
        <f>HYPERLINK("https://twitter.com/petrogustavo/status/1239631765549060098","1239631765549060098")</f>
        <v>1239631765549060098</v>
      </c>
      <c r="F3610" s="7" t="s">
        <v>17</v>
      </c>
      <c r="G3610" s="7">
        <v>3670917</v>
      </c>
      <c r="H3610" s="7">
        <v>2357</v>
      </c>
      <c r="I3610" s="7">
        <v>157</v>
      </c>
      <c r="J3610" s="7">
        <v>394</v>
      </c>
      <c r="K3610" s="7" t="s">
        <v>18</v>
      </c>
      <c r="L3610" s="8">
        <v>39987.315405092595</v>
      </c>
      <c r="M3610" s="9" t="s">
        <v>19</v>
      </c>
      <c r="N3610" s="9" t="s">
        <v>20</v>
      </c>
      <c r="O3610" s="6" t="str">
        <f>HYPERLINK("https://pbs.twimg.com/profile_images/962471262747529216/Uo8lOkRJ_normal.jpg","View")</f>
        <v>View</v>
      </c>
      <c r="P3610" s="7"/>
    </row>
    <row r="3611" spans="1:16">
      <c r="A3611" s="3">
        <v>43907.035000000003</v>
      </c>
      <c r="B3611" s="4" t="str">
        <f>HYPERLINK("https://twitter.com/petrogustavo","@petrogustavo")</f>
        <v>@petrogustavo</v>
      </c>
      <c r="C3611" s="5" t="s">
        <v>16</v>
      </c>
      <c r="D3611" s="5" t="s">
        <v>3542</v>
      </c>
      <c r="E3611" s="6" t="str">
        <f>HYPERLINK("https://twitter.com/petrogustavo/status/1239632629227573249","1239632629227573249")</f>
        <v>1239632629227573249</v>
      </c>
      <c r="F3611" s="7" t="s">
        <v>17</v>
      </c>
      <c r="G3611" s="7">
        <v>3670917</v>
      </c>
      <c r="H3611" s="7">
        <v>2357</v>
      </c>
      <c r="I3611" s="7">
        <v>216</v>
      </c>
      <c r="J3611" s="7">
        <v>491</v>
      </c>
      <c r="K3611" s="7" t="s">
        <v>18</v>
      </c>
      <c r="L3611" s="8">
        <v>39987.315405092595</v>
      </c>
      <c r="M3611" s="9" t="s">
        <v>19</v>
      </c>
      <c r="N3611" s="9" t="s">
        <v>20</v>
      </c>
      <c r="O3611" s="6" t="str">
        <f>HYPERLINK("https://pbs.twimg.com/profile_images/962471262747529216/Uo8lOkRJ_normal.jpg","View")</f>
        <v>View</v>
      </c>
      <c r="P3611" s="7"/>
    </row>
    <row r="3612" spans="1:16">
      <c r="A3612" s="3">
        <v>43907.055567129632</v>
      </c>
      <c r="B3612" s="4" t="str">
        <f>HYPERLINK("https://twitter.com/petrogustavo","@petrogustavo")</f>
        <v>@petrogustavo</v>
      </c>
      <c r="C3612" s="5" t="s">
        <v>16</v>
      </c>
      <c r="D3612" s="5" t="s">
        <v>3543</v>
      </c>
      <c r="E3612" s="6" t="str">
        <f>HYPERLINK("https://twitter.com/petrogustavo/status/1239640080366649345","1239640080366649345")</f>
        <v>1239640080366649345</v>
      </c>
      <c r="F3612" s="7" t="s">
        <v>32</v>
      </c>
      <c r="G3612" s="7">
        <v>3670917</v>
      </c>
      <c r="H3612" s="7">
        <v>2357</v>
      </c>
      <c r="I3612" s="7">
        <v>129</v>
      </c>
      <c r="J3612" s="7">
        <v>403</v>
      </c>
      <c r="K3612" s="7" t="s">
        <v>18</v>
      </c>
      <c r="L3612" s="8">
        <v>39987.315405092595</v>
      </c>
      <c r="M3612" s="9" t="s">
        <v>19</v>
      </c>
      <c r="N3612" s="9" t="s">
        <v>20</v>
      </c>
      <c r="O3612" s="6" t="str">
        <f>HYPERLINK("https://pbs.twimg.com/profile_images/962471262747529216/Uo8lOkRJ_normal.jpg","View")</f>
        <v>View</v>
      </c>
      <c r="P3612" s="7"/>
    </row>
    <row r="3613" spans="1:16">
      <c r="A3613" s="3">
        <v>43907.076157407406</v>
      </c>
      <c r="B3613" s="4" t="str">
        <f>HYPERLINK("https://twitter.com/petrogustavo","@petrogustavo")</f>
        <v>@petrogustavo</v>
      </c>
      <c r="C3613" s="5" t="s">
        <v>16</v>
      </c>
      <c r="D3613" s="5" t="s">
        <v>3544</v>
      </c>
      <c r="E3613" s="6" t="str">
        <f>HYPERLINK("https://twitter.com/petrogustavo/status/1239647544638083073","1239647544638083073")</f>
        <v>1239647544638083073</v>
      </c>
      <c r="F3613" s="7" t="s">
        <v>17</v>
      </c>
      <c r="G3613" s="7">
        <v>3670985</v>
      </c>
      <c r="H3613" s="7">
        <v>2357</v>
      </c>
      <c r="I3613" s="7">
        <v>61</v>
      </c>
      <c r="J3613" s="7">
        <v>0</v>
      </c>
      <c r="K3613" s="7" t="s">
        <v>18</v>
      </c>
      <c r="L3613" s="8">
        <v>39987.315405092595</v>
      </c>
      <c r="M3613" s="9" t="s">
        <v>19</v>
      </c>
      <c r="N3613" s="9" t="s">
        <v>20</v>
      </c>
      <c r="O3613" s="6" t="str">
        <f>HYPERLINK("https://pbs.twimg.com/profile_images/962471262747529216/Uo8lOkRJ_normal.jpg","View")</f>
        <v>View</v>
      </c>
      <c r="P3613" s="7"/>
    </row>
    <row r="3614" spans="1:16">
      <c r="A3614" s="3">
        <v>43907.078946759255</v>
      </c>
      <c r="B3614" s="4" t="str">
        <f>HYPERLINK("https://twitter.com/petrogustavo","@petrogustavo")</f>
        <v>@petrogustavo</v>
      </c>
      <c r="C3614" s="5" t="s">
        <v>16</v>
      </c>
      <c r="D3614" s="5" t="s">
        <v>3545</v>
      </c>
      <c r="E3614" s="6" t="str">
        <f>HYPERLINK("https://twitter.com/petrogustavo/status/1239648552600719364","1239648552600719364")</f>
        <v>1239648552600719364</v>
      </c>
      <c r="F3614" s="7" t="s">
        <v>17</v>
      </c>
      <c r="G3614" s="7">
        <v>3670985</v>
      </c>
      <c r="H3614" s="7">
        <v>2357</v>
      </c>
      <c r="I3614" s="7">
        <v>90</v>
      </c>
      <c r="J3614" s="7">
        <v>255</v>
      </c>
      <c r="K3614" s="7" t="s">
        <v>18</v>
      </c>
      <c r="L3614" s="8">
        <v>39987.315405092595</v>
      </c>
      <c r="M3614" s="9" t="s">
        <v>19</v>
      </c>
      <c r="N3614" s="9" t="s">
        <v>20</v>
      </c>
      <c r="O3614" s="6" t="str">
        <f>HYPERLINK("https://pbs.twimg.com/profile_images/962471262747529216/Uo8lOkRJ_normal.jpg","View")</f>
        <v>View</v>
      </c>
      <c r="P3614" s="7"/>
    </row>
    <row r="3615" spans="1:16">
      <c r="A3615" s="3">
        <v>43907.082129629634</v>
      </c>
      <c r="B3615" s="4" t="str">
        <f>HYPERLINK("https://twitter.com/petrogustavo","@petrogustavo")</f>
        <v>@petrogustavo</v>
      </c>
      <c r="C3615" s="5" t="s">
        <v>16</v>
      </c>
      <c r="D3615" s="5" t="s">
        <v>3546</v>
      </c>
      <c r="E3615" s="6" t="str">
        <f>HYPERLINK("https://twitter.com/petrogustavo/status/1239649709402329089","1239649709402329089")</f>
        <v>1239649709402329089</v>
      </c>
      <c r="F3615" s="7" t="s">
        <v>17</v>
      </c>
      <c r="G3615" s="7">
        <v>3670985</v>
      </c>
      <c r="H3615" s="7">
        <v>2357</v>
      </c>
      <c r="I3615" s="7">
        <v>44</v>
      </c>
      <c r="J3615" s="7">
        <v>155</v>
      </c>
      <c r="K3615" s="7" t="s">
        <v>18</v>
      </c>
      <c r="L3615" s="8">
        <v>39987.315405092595</v>
      </c>
      <c r="M3615" s="9" t="s">
        <v>19</v>
      </c>
      <c r="N3615" s="9" t="s">
        <v>20</v>
      </c>
      <c r="O3615" s="6" t="str">
        <f>HYPERLINK("https://pbs.twimg.com/profile_images/962471262747529216/Uo8lOkRJ_normal.jpg","View")</f>
        <v>View</v>
      </c>
      <c r="P3615" s="7"/>
    </row>
    <row r="3616" spans="1:16">
      <c r="A3616" s="3">
        <v>43907.088124999995</v>
      </c>
      <c r="B3616" s="4" t="str">
        <f>HYPERLINK("https://twitter.com/petrogustavo","@petrogustavo")</f>
        <v>@petrogustavo</v>
      </c>
      <c r="C3616" s="5" t="s">
        <v>16</v>
      </c>
      <c r="D3616" s="5" t="s">
        <v>3547</v>
      </c>
      <c r="E3616" s="6" t="str">
        <f>HYPERLINK("https://twitter.com/petrogustavo/status/1239651879262605312","1239651879262605312")</f>
        <v>1239651879262605312</v>
      </c>
      <c r="F3616" s="7" t="s">
        <v>17</v>
      </c>
      <c r="G3616" s="7">
        <v>3671044</v>
      </c>
      <c r="H3616" s="7">
        <v>2357</v>
      </c>
      <c r="I3616" s="7">
        <v>125</v>
      </c>
      <c r="J3616" s="7">
        <v>427</v>
      </c>
      <c r="K3616" s="7" t="s">
        <v>18</v>
      </c>
      <c r="L3616" s="8">
        <v>39987.315405092595</v>
      </c>
      <c r="M3616" s="9" t="s">
        <v>19</v>
      </c>
      <c r="N3616" s="9" t="s">
        <v>20</v>
      </c>
      <c r="O3616" s="6" t="str">
        <f>HYPERLINK("https://pbs.twimg.com/profile_images/962471262747529216/Uo8lOkRJ_normal.jpg","View")</f>
        <v>View</v>
      </c>
      <c r="P3616" s="7"/>
    </row>
    <row r="3617" spans="1:16">
      <c r="A3617" s="3">
        <v>43907.089328703703</v>
      </c>
      <c r="B3617" s="4" t="str">
        <f>HYPERLINK("https://twitter.com/petrogustavo","@petrogustavo")</f>
        <v>@petrogustavo</v>
      </c>
      <c r="C3617" s="5" t="s">
        <v>16</v>
      </c>
      <c r="D3617" s="5" t="s">
        <v>3548</v>
      </c>
      <c r="E3617" s="6" t="str">
        <f>HYPERLINK("https://twitter.com/petrogustavo/status/1239652318053883905","1239652318053883905")</f>
        <v>1239652318053883905</v>
      </c>
      <c r="F3617" s="7" t="s">
        <v>17</v>
      </c>
      <c r="G3617" s="7">
        <v>3671044</v>
      </c>
      <c r="H3617" s="7">
        <v>2357</v>
      </c>
      <c r="I3617" s="7">
        <v>87</v>
      </c>
      <c r="J3617" s="7">
        <v>0</v>
      </c>
      <c r="K3617" s="7" t="s">
        <v>18</v>
      </c>
      <c r="L3617" s="8">
        <v>39987.315405092595</v>
      </c>
      <c r="M3617" s="9" t="s">
        <v>19</v>
      </c>
      <c r="N3617" s="9" t="s">
        <v>20</v>
      </c>
      <c r="O3617" s="6" t="str">
        <f>HYPERLINK("https://pbs.twimg.com/profile_images/962471262747529216/Uo8lOkRJ_normal.jpg","View")</f>
        <v>View</v>
      </c>
      <c r="P3617" s="7"/>
    </row>
    <row r="3618" spans="1:16">
      <c r="A3618" s="3">
        <v>43907.091782407406</v>
      </c>
      <c r="B3618" s="4" t="str">
        <f>HYPERLINK("https://twitter.com/petrogustavo","@petrogustavo")</f>
        <v>@petrogustavo</v>
      </c>
      <c r="C3618" s="5" t="s">
        <v>16</v>
      </c>
      <c r="D3618" s="5" t="s">
        <v>3549</v>
      </c>
      <c r="E3618" s="6" t="str">
        <f>HYPERLINK("https://twitter.com/petrogustavo/status/1239653206004846600","1239653206004846600")</f>
        <v>1239653206004846600</v>
      </c>
      <c r="F3618" s="7" t="s">
        <v>17</v>
      </c>
      <c r="G3618" s="7">
        <v>3671044</v>
      </c>
      <c r="H3618" s="7">
        <v>2357</v>
      </c>
      <c r="I3618" s="7">
        <v>345</v>
      </c>
      <c r="J3618" s="7">
        <v>0</v>
      </c>
      <c r="K3618" s="7" t="s">
        <v>18</v>
      </c>
      <c r="L3618" s="8">
        <v>39987.315405092595</v>
      </c>
      <c r="M3618" s="9" t="s">
        <v>19</v>
      </c>
      <c r="N3618" s="9" t="s">
        <v>20</v>
      </c>
      <c r="O3618" s="6" t="str">
        <f>HYPERLINK("https://pbs.twimg.com/profile_images/962471262747529216/Uo8lOkRJ_normal.jpg","View")</f>
        <v>View</v>
      </c>
      <c r="P3618" s="7"/>
    </row>
    <row r="3619" spans="1:16">
      <c r="A3619" s="3">
        <v>43907.12327546296</v>
      </c>
      <c r="B3619" s="4" t="str">
        <f>HYPERLINK("https://twitter.com/petrogustavo","@petrogustavo")</f>
        <v>@petrogustavo</v>
      </c>
      <c r="C3619" s="5" t="s">
        <v>16</v>
      </c>
      <c r="D3619" s="5" t="s">
        <v>3550</v>
      </c>
      <c r="E3619" s="6" t="str">
        <f>HYPERLINK("https://twitter.com/petrogustavo/status/1239664619502829569","1239664619502829569")</f>
        <v>1239664619502829569</v>
      </c>
      <c r="F3619" s="7" t="s">
        <v>17</v>
      </c>
      <c r="G3619" s="7">
        <v>3671101</v>
      </c>
      <c r="H3619" s="7">
        <v>2357</v>
      </c>
      <c r="I3619" s="7">
        <v>25</v>
      </c>
      <c r="J3619" s="7">
        <v>0</v>
      </c>
      <c r="K3619" s="7" t="s">
        <v>18</v>
      </c>
      <c r="L3619" s="8">
        <v>39987.315405092595</v>
      </c>
      <c r="M3619" s="9" t="s">
        <v>19</v>
      </c>
      <c r="N3619" s="9" t="s">
        <v>20</v>
      </c>
      <c r="O3619" s="6" t="str">
        <f>HYPERLINK("https://pbs.twimg.com/profile_images/962471262747529216/Uo8lOkRJ_normal.jpg","View")</f>
        <v>View</v>
      </c>
      <c r="P3619" s="7"/>
    </row>
    <row r="3620" spans="1:16">
      <c r="A3620" s="3">
        <v>43907.123344907406</v>
      </c>
      <c r="B3620" s="4" t="str">
        <f>HYPERLINK("https://twitter.com/petrogustavo","@petrogustavo")</f>
        <v>@petrogustavo</v>
      </c>
      <c r="C3620" s="5" t="s">
        <v>16</v>
      </c>
      <c r="D3620" s="5" t="s">
        <v>3551</v>
      </c>
      <c r="E3620" s="6" t="str">
        <f>HYPERLINK("https://twitter.com/petrogustavo/status/1239664644739993602","1239664644739993602")</f>
        <v>1239664644739993602</v>
      </c>
      <c r="F3620" s="7" t="s">
        <v>17</v>
      </c>
      <c r="G3620" s="7">
        <v>3671101</v>
      </c>
      <c r="H3620" s="7">
        <v>2357</v>
      </c>
      <c r="I3620" s="7">
        <v>5</v>
      </c>
      <c r="J3620" s="7">
        <v>0</v>
      </c>
      <c r="K3620" s="7" t="s">
        <v>18</v>
      </c>
      <c r="L3620" s="8">
        <v>39987.315405092595</v>
      </c>
      <c r="M3620" s="9" t="s">
        <v>19</v>
      </c>
      <c r="N3620" s="9" t="s">
        <v>20</v>
      </c>
      <c r="O3620" s="6" t="str">
        <f>HYPERLINK("https://pbs.twimg.com/profile_images/962471262747529216/Uo8lOkRJ_normal.jpg","View")</f>
        <v>View</v>
      </c>
      <c r="P3620" s="7"/>
    </row>
    <row r="3621" spans="1:16">
      <c r="A3621" s="3">
        <v>43907.123472222222</v>
      </c>
      <c r="B3621" s="4" t="str">
        <f>HYPERLINK("https://twitter.com/petrogustavo","@petrogustavo")</f>
        <v>@petrogustavo</v>
      </c>
      <c r="C3621" s="5" t="s">
        <v>16</v>
      </c>
      <c r="D3621" s="5" t="s">
        <v>3552</v>
      </c>
      <c r="E3621" s="6" t="str">
        <f>HYPERLINK("https://twitter.com/petrogustavo/status/1239664690592198656","1239664690592198656")</f>
        <v>1239664690592198656</v>
      </c>
      <c r="F3621" s="7" t="s">
        <v>17</v>
      </c>
      <c r="G3621" s="7">
        <v>3671101</v>
      </c>
      <c r="H3621" s="7">
        <v>2357</v>
      </c>
      <c r="I3621" s="7">
        <v>4</v>
      </c>
      <c r="J3621" s="7">
        <v>0</v>
      </c>
      <c r="K3621" s="7" t="s">
        <v>18</v>
      </c>
      <c r="L3621" s="8">
        <v>39987.315405092595</v>
      </c>
      <c r="M3621" s="9" t="s">
        <v>19</v>
      </c>
      <c r="N3621" s="9" t="s">
        <v>20</v>
      </c>
      <c r="O3621" s="6" t="str">
        <f>HYPERLINK("https://pbs.twimg.com/profile_images/962471262747529216/Uo8lOkRJ_normal.jpg","View")</f>
        <v>View</v>
      </c>
      <c r="P3621" s="7"/>
    </row>
    <row r="3622" spans="1:16">
      <c r="A3622" s="3">
        <v>43907.123877314814</v>
      </c>
      <c r="B3622" s="4" t="str">
        <f>HYPERLINK("https://twitter.com/petrogustavo","@petrogustavo")</f>
        <v>@petrogustavo</v>
      </c>
      <c r="C3622" s="5" t="s">
        <v>16</v>
      </c>
      <c r="D3622" s="5" t="s">
        <v>3553</v>
      </c>
      <c r="E3622" s="6" t="str">
        <f>HYPERLINK("https://twitter.com/petrogustavo/status/1239664835119456256","1239664835119456256")</f>
        <v>1239664835119456256</v>
      </c>
      <c r="F3622" s="7" t="s">
        <v>17</v>
      </c>
      <c r="G3622" s="7">
        <v>3671101</v>
      </c>
      <c r="H3622" s="7">
        <v>2357</v>
      </c>
      <c r="I3622" s="7">
        <v>94</v>
      </c>
      <c r="J3622" s="7">
        <v>0</v>
      </c>
      <c r="K3622" s="7" t="s">
        <v>18</v>
      </c>
      <c r="L3622" s="8">
        <v>39987.315405092595</v>
      </c>
      <c r="M3622" s="9" t="s">
        <v>19</v>
      </c>
      <c r="N3622" s="9" t="s">
        <v>20</v>
      </c>
      <c r="O3622" s="6" t="str">
        <f>HYPERLINK("https://pbs.twimg.com/profile_images/962471262747529216/Uo8lOkRJ_normal.jpg","View")</f>
        <v>View</v>
      </c>
      <c r="P3622" s="7"/>
    </row>
    <row r="3623" spans="1:16">
      <c r="A3623" s="3">
        <v>43907.132141203707</v>
      </c>
      <c r="B3623" s="4" t="str">
        <f>HYPERLINK("https://twitter.com/petrogustavo","@petrogustavo")</f>
        <v>@petrogustavo</v>
      </c>
      <c r="C3623" s="5" t="s">
        <v>16</v>
      </c>
      <c r="D3623" s="5" t="s">
        <v>3554</v>
      </c>
      <c r="E3623" s="6" t="str">
        <f>HYPERLINK("https://twitter.com/petrogustavo/status/1239667830657777666","1239667830657777666")</f>
        <v>1239667830657777666</v>
      </c>
      <c r="F3623" s="7" t="s">
        <v>17</v>
      </c>
      <c r="G3623" s="7">
        <v>3671079</v>
      </c>
      <c r="H3623" s="7">
        <v>2357</v>
      </c>
      <c r="I3623" s="7">
        <v>1598</v>
      </c>
      <c r="J3623" s="7">
        <v>0</v>
      </c>
      <c r="K3623" s="7" t="s">
        <v>18</v>
      </c>
      <c r="L3623" s="8">
        <v>39987.315405092595</v>
      </c>
      <c r="M3623" s="9" t="s">
        <v>19</v>
      </c>
      <c r="N3623" s="9" t="s">
        <v>20</v>
      </c>
      <c r="O3623" s="6" t="str">
        <f>HYPERLINK("https://pbs.twimg.com/profile_images/962471262747529216/Uo8lOkRJ_normal.jpg","View")</f>
        <v>View</v>
      </c>
      <c r="P3623" s="7"/>
    </row>
    <row r="3624" spans="1:16">
      <c r="A3624" s="3">
        <v>43907.134791666671</v>
      </c>
      <c r="B3624" s="4" t="str">
        <f>HYPERLINK("https://twitter.com/petrogustavo","@petrogustavo")</f>
        <v>@petrogustavo</v>
      </c>
      <c r="C3624" s="5" t="s">
        <v>16</v>
      </c>
      <c r="D3624" s="5" t="s">
        <v>3555</v>
      </c>
      <c r="E3624" s="6" t="str">
        <f>HYPERLINK("https://twitter.com/petrogustavo/status/1239668793472888833","1239668793472888833")</f>
        <v>1239668793472888833</v>
      </c>
      <c r="F3624" s="7" t="s">
        <v>17</v>
      </c>
      <c r="G3624" s="7">
        <v>3671079</v>
      </c>
      <c r="H3624" s="7">
        <v>2357</v>
      </c>
      <c r="I3624" s="7">
        <v>136</v>
      </c>
      <c r="J3624" s="7">
        <v>328</v>
      </c>
      <c r="K3624" s="7" t="s">
        <v>18</v>
      </c>
      <c r="L3624" s="8">
        <v>39987.315405092595</v>
      </c>
      <c r="M3624" s="9" t="s">
        <v>19</v>
      </c>
      <c r="N3624" s="9" t="s">
        <v>20</v>
      </c>
      <c r="O3624" s="6" t="str">
        <f>HYPERLINK("https://pbs.twimg.com/profile_images/962471262747529216/Uo8lOkRJ_normal.jpg","View")</f>
        <v>View</v>
      </c>
      <c r="P3624" s="7"/>
    </row>
    <row r="3625" spans="1:16">
      <c r="A3625" s="3">
        <v>43907.134918981479</v>
      </c>
      <c r="B3625" s="4" t="str">
        <f>HYPERLINK("https://twitter.com/petrogustavo","@petrogustavo")</f>
        <v>@petrogustavo</v>
      </c>
      <c r="C3625" s="5" t="s">
        <v>16</v>
      </c>
      <c r="D3625" s="5" t="s">
        <v>3556</v>
      </c>
      <c r="E3625" s="6" t="str">
        <f>HYPERLINK("https://twitter.com/petrogustavo/status/1239668837085335554","1239668837085335554")</f>
        <v>1239668837085335554</v>
      </c>
      <c r="F3625" s="7" t="s">
        <v>17</v>
      </c>
      <c r="G3625" s="7">
        <v>3671079</v>
      </c>
      <c r="H3625" s="7">
        <v>2357</v>
      </c>
      <c r="I3625" s="7">
        <v>2616</v>
      </c>
      <c r="J3625" s="7">
        <v>0</v>
      </c>
      <c r="K3625" s="7" t="s">
        <v>18</v>
      </c>
      <c r="L3625" s="8">
        <v>39987.315405092595</v>
      </c>
      <c r="M3625" s="9" t="s">
        <v>19</v>
      </c>
      <c r="N3625" s="9" t="s">
        <v>20</v>
      </c>
      <c r="O3625" s="6" t="str">
        <f>HYPERLINK("https://pbs.twimg.com/profile_images/962471262747529216/Uo8lOkRJ_normal.jpg","View")</f>
        <v>View</v>
      </c>
      <c r="P3625" s="7"/>
    </row>
    <row r="3626" spans="1:16">
      <c r="A3626" s="3">
        <v>43907.140555555554</v>
      </c>
      <c r="B3626" s="4" t="str">
        <f>HYPERLINK("https://twitter.com/petrogustavo","@petrogustavo")</f>
        <v>@petrogustavo</v>
      </c>
      <c r="C3626" s="5" t="s">
        <v>16</v>
      </c>
      <c r="D3626" s="5" t="s">
        <v>3557</v>
      </c>
      <c r="E3626" s="6" t="str">
        <f>HYPERLINK("https://twitter.com/petrogustavo/status/1239670880004976641","1239670880004976641")</f>
        <v>1239670880004976641</v>
      </c>
      <c r="F3626" s="7" t="s">
        <v>17</v>
      </c>
      <c r="G3626" s="7">
        <v>3671079</v>
      </c>
      <c r="H3626" s="7">
        <v>2357</v>
      </c>
      <c r="I3626" s="7">
        <v>20</v>
      </c>
      <c r="J3626" s="7">
        <v>0</v>
      </c>
      <c r="K3626" s="7" t="s">
        <v>18</v>
      </c>
      <c r="L3626" s="8">
        <v>39987.315405092595</v>
      </c>
      <c r="M3626" s="9" t="s">
        <v>19</v>
      </c>
      <c r="N3626" s="9" t="s">
        <v>20</v>
      </c>
      <c r="O3626" s="6" t="str">
        <f>HYPERLINK("https://pbs.twimg.com/profile_images/962471262747529216/Uo8lOkRJ_normal.jpg","View")</f>
        <v>View</v>
      </c>
      <c r="P3626" s="7"/>
    </row>
    <row r="3627" spans="1:16">
      <c r="A3627" s="3">
        <v>43907.14197916667</v>
      </c>
      <c r="B3627" s="4" t="str">
        <f>HYPERLINK("https://twitter.com/petrogustavo","@petrogustavo")</f>
        <v>@petrogustavo</v>
      </c>
      <c r="C3627" s="5" t="s">
        <v>16</v>
      </c>
      <c r="D3627" s="5" t="s">
        <v>3558</v>
      </c>
      <c r="E3627" s="6" t="str">
        <f>HYPERLINK("https://twitter.com/petrogustavo/status/1239671394939650048","1239671394939650048")</f>
        <v>1239671394939650048</v>
      </c>
      <c r="F3627" s="7" t="s">
        <v>17</v>
      </c>
      <c r="G3627" s="7">
        <v>3671079</v>
      </c>
      <c r="H3627" s="7">
        <v>2357</v>
      </c>
      <c r="I3627" s="7">
        <v>224</v>
      </c>
      <c r="J3627" s="7">
        <v>0</v>
      </c>
      <c r="K3627" s="7" t="s">
        <v>18</v>
      </c>
      <c r="L3627" s="8">
        <v>39987.315405092595</v>
      </c>
      <c r="M3627" s="9" t="s">
        <v>19</v>
      </c>
      <c r="N3627" s="9" t="s">
        <v>20</v>
      </c>
      <c r="O3627" s="6" t="str">
        <f>HYPERLINK("https://pbs.twimg.com/profile_images/962471262747529216/Uo8lOkRJ_normal.jpg","View")</f>
        <v>View</v>
      </c>
      <c r="P3627" s="7"/>
    </row>
    <row r="3628" spans="1:16">
      <c r="A3628" s="3">
        <v>43907.142164351855</v>
      </c>
      <c r="B3628" s="4" t="str">
        <f>HYPERLINK("https://twitter.com/petrogustavo","@petrogustavo")</f>
        <v>@petrogustavo</v>
      </c>
      <c r="C3628" s="5" t="s">
        <v>16</v>
      </c>
      <c r="D3628" s="5" t="s">
        <v>3559</v>
      </c>
      <c r="E3628" s="6" t="str">
        <f>HYPERLINK("https://twitter.com/petrogustavo/status/1239671464737062913","1239671464737062913")</f>
        <v>1239671464737062913</v>
      </c>
      <c r="F3628" s="7" t="s">
        <v>17</v>
      </c>
      <c r="G3628" s="7">
        <v>3671079</v>
      </c>
      <c r="H3628" s="7">
        <v>2357</v>
      </c>
      <c r="I3628" s="7">
        <v>31</v>
      </c>
      <c r="J3628" s="7">
        <v>0</v>
      </c>
      <c r="K3628" s="7" t="s">
        <v>18</v>
      </c>
      <c r="L3628" s="8">
        <v>39987.315405092595</v>
      </c>
      <c r="M3628" s="9" t="s">
        <v>19</v>
      </c>
      <c r="N3628" s="9" t="s">
        <v>20</v>
      </c>
      <c r="O3628" s="6" t="str">
        <f>HYPERLINK("https://pbs.twimg.com/profile_images/962471262747529216/Uo8lOkRJ_normal.jpg","View")</f>
        <v>View</v>
      </c>
      <c r="P3628" s="7"/>
    </row>
    <row r="3629" spans="1:16">
      <c r="A3629" s="3">
        <v>43907.142280092594</v>
      </c>
      <c r="B3629" s="4" t="str">
        <f>HYPERLINK("https://twitter.com/petrogustavo","@petrogustavo")</f>
        <v>@petrogustavo</v>
      </c>
      <c r="C3629" s="5" t="s">
        <v>16</v>
      </c>
      <c r="D3629" s="5" t="s">
        <v>3560</v>
      </c>
      <c r="E3629" s="6" t="str">
        <f>HYPERLINK("https://twitter.com/petrogustavo/status/1239671506919186433","1239671506919186433")</f>
        <v>1239671506919186433</v>
      </c>
      <c r="F3629" s="7" t="s">
        <v>17</v>
      </c>
      <c r="G3629" s="7">
        <v>3671079</v>
      </c>
      <c r="H3629" s="7">
        <v>2357</v>
      </c>
      <c r="I3629" s="7">
        <v>23</v>
      </c>
      <c r="J3629" s="7">
        <v>0</v>
      </c>
      <c r="K3629" s="7" t="s">
        <v>18</v>
      </c>
      <c r="L3629" s="8">
        <v>39987.315405092595</v>
      </c>
      <c r="M3629" s="9" t="s">
        <v>19</v>
      </c>
      <c r="N3629" s="9" t="s">
        <v>20</v>
      </c>
      <c r="O3629" s="6" t="str">
        <f>HYPERLINK("https://pbs.twimg.com/profile_images/962471262747529216/Uo8lOkRJ_normal.jpg","View")</f>
        <v>View</v>
      </c>
      <c r="P3629" s="7"/>
    </row>
    <row r="3630" spans="1:16">
      <c r="A3630" s="3">
        <v>43907.145509259259</v>
      </c>
      <c r="B3630" s="4" t="str">
        <f>HYPERLINK("https://twitter.com/petrogustavo","@petrogustavo")</f>
        <v>@petrogustavo</v>
      </c>
      <c r="C3630" s="5" t="s">
        <v>16</v>
      </c>
      <c r="D3630" s="5" t="s">
        <v>3561</v>
      </c>
      <c r="E3630" s="6" t="str">
        <f>HYPERLINK("https://twitter.com/petrogustavo/status/1239672675355766784","1239672675355766784")</f>
        <v>1239672675355766784</v>
      </c>
      <c r="F3630" s="7" t="s">
        <v>17</v>
      </c>
      <c r="G3630" s="7">
        <v>3671079</v>
      </c>
      <c r="H3630" s="7">
        <v>2357</v>
      </c>
      <c r="I3630" s="7">
        <v>31</v>
      </c>
      <c r="J3630" s="7">
        <v>112</v>
      </c>
      <c r="K3630" s="7" t="s">
        <v>18</v>
      </c>
      <c r="L3630" s="8">
        <v>39987.315405092595</v>
      </c>
      <c r="M3630" s="9" t="s">
        <v>19</v>
      </c>
      <c r="N3630" s="9" t="s">
        <v>20</v>
      </c>
      <c r="O3630" s="6" t="str">
        <f>HYPERLINK("https://pbs.twimg.com/profile_images/962471262747529216/Uo8lOkRJ_normal.jpg","View")</f>
        <v>View</v>
      </c>
      <c r="P3630" s="7"/>
    </row>
    <row r="3631" spans="1:16">
      <c r="A3631" s="3">
        <v>43907.206736111111</v>
      </c>
      <c r="B3631" s="4" t="str">
        <f>HYPERLINK("https://twitter.com/petrogustavo","@petrogustavo")</f>
        <v>@petrogustavo</v>
      </c>
      <c r="C3631" s="5" t="s">
        <v>16</v>
      </c>
      <c r="D3631" s="5" t="s">
        <v>3562</v>
      </c>
      <c r="E3631" s="6" t="str">
        <f>HYPERLINK("https://twitter.com/petrogustavo/status/1239694863378960384","1239694863378960384")</f>
        <v>1239694863378960384</v>
      </c>
      <c r="F3631" s="7" t="s">
        <v>17</v>
      </c>
      <c r="G3631" s="7">
        <v>3671232</v>
      </c>
      <c r="H3631" s="7">
        <v>2357</v>
      </c>
      <c r="I3631" s="7">
        <v>6768</v>
      </c>
      <c r="J3631" s="7">
        <v>0</v>
      </c>
      <c r="K3631" s="7" t="s">
        <v>18</v>
      </c>
      <c r="L3631" s="8">
        <v>39987.315405092595</v>
      </c>
      <c r="M3631" s="9" t="s">
        <v>19</v>
      </c>
      <c r="N3631" s="9" t="s">
        <v>20</v>
      </c>
      <c r="O3631" s="6" t="str">
        <f>HYPERLINK("https://pbs.twimg.com/profile_images/962471262747529216/Uo8lOkRJ_normal.jpg","View")</f>
        <v>View</v>
      </c>
      <c r="P3631" s="7"/>
    </row>
    <row r="3632" spans="1:16">
      <c r="A3632" s="3">
        <v>43907.22274305555</v>
      </c>
      <c r="B3632" s="4" t="str">
        <f>HYPERLINK("https://twitter.com/petrogustavo","@petrogustavo")</f>
        <v>@petrogustavo</v>
      </c>
      <c r="C3632" s="5" t="s">
        <v>16</v>
      </c>
      <c r="D3632" s="5" t="s">
        <v>3563</v>
      </c>
      <c r="E3632" s="6" t="str">
        <f>HYPERLINK("https://twitter.com/petrogustavo/status/1239700665183678465","1239700665183678465")</f>
        <v>1239700665183678465</v>
      </c>
      <c r="F3632" s="7" t="s">
        <v>17</v>
      </c>
      <c r="G3632" s="7">
        <v>3671291</v>
      </c>
      <c r="H3632" s="7">
        <v>2357</v>
      </c>
      <c r="I3632" s="7">
        <v>363</v>
      </c>
      <c r="J3632" s="7">
        <v>0</v>
      </c>
      <c r="K3632" s="7" t="s">
        <v>18</v>
      </c>
      <c r="L3632" s="8">
        <v>39987.315405092595</v>
      </c>
      <c r="M3632" s="9" t="s">
        <v>19</v>
      </c>
      <c r="N3632" s="9" t="s">
        <v>20</v>
      </c>
      <c r="O3632" s="6" t="str">
        <f>HYPERLINK("https://pbs.twimg.com/profile_images/962471262747529216/Uo8lOkRJ_normal.jpg","View")</f>
        <v>View</v>
      </c>
      <c r="P3632" s="7"/>
    </row>
    <row r="3633" spans="1:16">
      <c r="A3633" s="3">
        <v>43907.226898148147</v>
      </c>
      <c r="B3633" s="4" t="str">
        <f>HYPERLINK("https://twitter.com/petrogustavo","@petrogustavo")</f>
        <v>@petrogustavo</v>
      </c>
      <c r="C3633" s="5" t="s">
        <v>16</v>
      </c>
      <c r="D3633" s="5" t="s">
        <v>3564</v>
      </c>
      <c r="E3633" s="6" t="str">
        <f>HYPERLINK("https://twitter.com/petrogustavo/status/1239702169118531585","1239702169118531585")</f>
        <v>1239702169118531585</v>
      </c>
      <c r="F3633" s="7" t="s">
        <v>17</v>
      </c>
      <c r="G3633" s="7">
        <v>3671291</v>
      </c>
      <c r="H3633" s="7">
        <v>2357</v>
      </c>
      <c r="I3633" s="7">
        <v>714</v>
      </c>
      <c r="J3633" s="7">
        <v>0</v>
      </c>
      <c r="K3633" s="7" t="s">
        <v>18</v>
      </c>
      <c r="L3633" s="8">
        <v>39987.315405092595</v>
      </c>
      <c r="M3633" s="9" t="s">
        <v>19</v>
      </c>
      <c r="N3633" s="9" t="s">
        <v>20</v>
      </c>
      <c r="O3633" s="6" t="str">
        <f>HYPERLINK("https://pbs.twimg.com/profile_images/962471262747529216/Uo8lOkRJ_normal.jpg","View")</f>
        <v>View</v>
      </c>
      <c r="P3633" s="7"/>
    </row>
    <row r="3634" spans="1:16">
      <c r="A3634" s="3">
        <v>43907.227141203708</v>
      </c>
      <c r="B3634" s="4" t="str">
        <f>HYPERLINK("https://twitter.com/petrogustavo","@petrogustavo")</f>
        <v>@petrogustavo</v>
      </c>
      <c r="C3634" s="5" t="s">
        <v>16</v>
      </c>
      <c r="D3634" s="5" t="s">
        <v>3565</v>
      </c>
      <c r="E3634" s="6" t="str">
        <f>HYPERLINK("https://twitter.com/petrogustavo/status/1239702255961624576","1239702255961624576")</f>
        <v>1239702255961624576</v>
      </c>
      <c r="F3634" s="7" t="s">
        <v>17</v>
      </c>
      <c r="G3634" s="7">
        <v>3671291</v>
      </c>
      <c r="H3634" s="7">
        <v>2357</v>
      </c>
      <c r="I3634" s="7">
        <v>121</v>
      </c>
      <c r="J3634" s="7">
        <v>0</v>
      </c>
      <c r="K3634" s="7" t="s">
        <v>18</v>
      </c>
      <c r="L3634" s="8">
        <v>39987.315405092595</v>
      </c>
      <c r="M3634" s="9" t="s">
        <v>19</v>
      </c>
      <c r="N3634" s="9" t="s">
        <v>20</v>
      </c>
      <c r="O3634" s="6" t="str">
        <f>HYPERLINK("https://pbs.twimg.com/profile_images/962471262747529216/Uo8lOkRJ_normal.jpg","View")</f>
        <v>View</v>
      </c>
      <c r="P3634" s="7"/>
    </row>
    <row r="3635" spans="1:16">
      <c r="A3635" s="3">
        <v>43907.228298611109</v>
      </c>
      <c r="B3635" s="4" t="str">
        <f>HYPERLINK("https://twitter.com/petrogustavo","@petrogustavo")</f>
        <v>@petrogustavo</v>
      </c>
      <c r="C3635" s="5" t="s">
        <v>16</v>
      </c>
      <c r="D3635" s="5" t="s">
        <v>3566</v>
      </c>
      <c r="E3635" s="6" t="str">
        <f>HYPERLINK("https://twitter.com/petrogustavo/status/1239702676037873664","1239702676037873664")</f>
        <v>1239702676037873664</v>
      </c>
      <c r="F3635" s="7" t="s">
        <v>17</v>
      </c>
      <c r="G3635" s="7">
        <v>3671291</v>
      </c>
      <c r="H3635" s="7">
        <v>2357</v>
      </c>
      <c r="I3635" s="7">
        <v>112</v>
      </c>
      <c r="J3635" s="7">
        <v>346</v>
      </c>
      <c r="K3635" s="7" t="s">
        <v>18</v>
      </c>
      <c r="L3635" s="8">
        <v>39987.315405092595</v>
      </c>
      <c r="M3635" s="9" t="s">
        <v>19</v>
      </c>
      <c r="N3635" s="9" t="s">
        <v>20</v>
      </c>
      <c r="O3635" s="6" t="str">
        <f>HYPERLINK("https://pbs.twimg.com/profile_images/962471262747529216/Uo8lOkRJ_normal.jpg","View")</f>
        <v>View</v>
      </c>
      <c r="P3635" s="7"/>
    </row>
    <row r="3636" spans="1:16">
      <c r="A3636" s="3">
        <v>43907.229618055557</v>
      </c>
      <c r="B3636" s="4" t="str">
        <f>HYPERLINK("https://twitter.com/petrogustavo","@petrogustavo")</f>
        <v>@petrogustavo</v>
      </c>
      <c r="C3636" s="5" t="s">
        <v>16</v>
      </c>
      <c r="D3636" s="5" t="s">
        <v>3567</v>
      </c>
      <c r="E3636" s="6" t="str">
        <f>HYPERLINK("https://twitter.com/petrogustavo/status/1239703156872876034","1239703156872876034")</f>
        <v>1239703156872876034</v>
      </c>
      <c r="F3636" s="7" t="s">
        <v>17</v>
      </c>
      <c r="G3636" s="7">
        <v>3671291</v>
      </c>
      <c r="H3636" s="7">
        <v>2357</v>
      </c>
      <c r="I3636" s="7">
        <v>15</v>
      </c>
      <c r="J3636" s="7">
        <v>39</v>
      </c>
      <c r="K3636" s="7" t="s">
        <v>18</v>
      </c>
      <c r="L3636" s="8">
        <v>39987.315405092595</v>
      </c>
      <c r="M3636" s="9" t="s">
        <v>19</v>
      </c>
      <c r="N3636" s="9" t="s">
        <v>20</v>
      </c>
      <c r="O3636" s="6" t="str">
        <f>HYPERLINK("https://pbs.twimg.com/profile_images/962471262747529216/Uo8lOkRJ_normal.jpg","View")</f>
        <v>View</v>
      </c>
      <c r="P3636" s="7"/>
    </row>
    <row r="3637" spans="1:16">
      <c r="A3637" s="3">
        <v>43907.230891203704</v>
      </c>
      <c r="B3637" s="4" t="str">
        <f>HYPERLINK("https://twitter.com/petrogustavo","@petrogustavo")</f>
        <v>@petrogustavo</v>
      </c>
      <c r="C3637" s="5" t="s">
        <v>16</v>
      </c>
      <c r="D3637" s="5" t="s">
        <v>3568</v>
      </c>
      <c r="E3637" s="6" t="str">
        <f>HYPERLINK("https://twitter.com/petrogustavo/status/1239703616610500608","1239703616610500608")</f>
        <v>1239703616610500608</v>
      </c>
      <c r="F3637" s="7" t="s">
        <v>17</v>
      </c>
      <c r="G3637" s="7">
        <v>3671291</v>
      </c>
      <c r="H3637" s="7">
        <v>2357</v>
      </c>
      <c r="I3637" s="7">
        <v>75</v>
      </c>
      <c r="J3637" s="7">
        <v>0</v>
      </c>
      <c r="K3637" s="7" t="s">
        <v>18</v>
      </c>
      <c r="L3637" s="8">
        <v>39987.315405092595</v>
      </c>
      <c r="M3637" s="9" t="s">
        <v>19</v>
      </c>
      <c r="N3637" s="9" t="s">
        <v>20</v>
      </c>
      <c r="O3637" s="6" t="str">
        <f>HYPERLINK("https://pbs.twimg.com/profile_images/962471262747529216/Uo8lOkRJ_normal.jpg","View")</f>
        <v>View</v>
      </c>
      <c r="P3637" s="7"/>
    </row>
    <row r="3638" spans="1:16">
      <c r="A3638" s="3">
        <v>43907.231736111113</v>
      </c>
      <c r="B3638" s="4" t="str">
        <f>HYPERLINK("https://twitter.com/petrogustavo","@petrogustavo")</f>
        <v>@petrogustavo</v>
      </c>
      <c r="C3638" s="5" t="s">
        <v>16</v>
      </c>
      <c r="D3638" s="5" t="s">
        <v>3569</v>
      </c>
      <c r="E3638" s="6" t="str">
        <f>HYPERLINK("https://twitter.com/petrogustavo/status/1239703924606631936","1239703924606631936")</f>
        <v>1239703924606631936</v>
      </c>
      <c r="F3638" s="7" t="s">
        <v>17</v>
      </c>
      <c r="G3638" s="7">
        <v>3671368</v>
      </c>
      <c r="H3638" s="7">
        <v>2357</v>
      </c>
      <c r="I3638" s="7">
        <v>1290</v>
      </c>
      <c r="J3638" s="7">
        <v>0</v>
      </c>
      <c r="K3638" s="7" t="s">
        <v>18</v>
      </c>
      <c r="L3638" s="8">
        <v>39987.315405092595</v>
      </c>
      <c r="M3638" s="9" t="s">
        <v>19</v>
      </c>
      <c r="N3638" s="9" t="s">
        <v>20</v>
      </c>
      <c r="O3638" s="6" t="str">
        <f>HYPERLINK("https://pbs.twimg.com/profile_images/962471262747529216/Uo8lOkRJ_normal.jpg","View")</f>
        <v>View</v>
      </c>
      <c r="P3638" s="7"/>
    </row>
    <row r="3639" spans="1:16">
      <c r="A3639" s="3">
        <v>43907.234282407408</v>
      </c>
      <c r="B3639" s="4" t="str">
        <f>HYPERLINK("https://twitter.com/petrogustavo","@petrogustavo")</f>
        <v>@petrogustavo</v>
      </c>
      <c r="C3639" s="5" t="s">
        <v>16</v>
      </c>
      <c r="D3639" s="5" t="s">
        <v>3570</v>
      </c>
      <c r="E3639" s="6" t="str">
        <f>HYPERLINK("https://twitter.com/petrogustavo/status/1239704846162440192","1239704846162440192")</f>
        <v>1239704846162440192</v>
      </c>
      <c r="F3639" s="7" t="s">
        <v>17</v>
      </c>
      <c r="G3639" s="7">
        <v>3671368</v>
      </c>
      <c r="H3639" s="7">
        <v>2357</v>
      </c>
      <c r="I3639" s="7">
        <v>64</v>
      </c>
      <c r="J3639" s="7">
        <v>181</v>
      </c>
      <c r="K3639" s="7" t="s">
        <v>18</v>
      </c>
      <c r="L3639" s="8">
        <v>39987.315405092595</v>
      </c>
      <c r="M3639" s="9" t="s">
        <v>19</v>
      </c>
      <c r="N3639" s="9" t="s">
        <v>20</v>
      </c>
      <c r="O3639" s="6" t="str">
        <f>HYPERLINK("https://pbs.twimg.com/profile_images/962471262747529216/Uo8lOkRJ_normal.jpg","View")</f>
        <v>View</v>
      </c>
      <c r="P3639" s="7"/>
    </row>
    <row r="3640" spans="1:16">
      <c r="A3640" s="3">
        <v>43907.253032407403</v>
      </c>
      <c r="B3640" s="4" t="str">
        <f>HYPERLINK("https://twitter.com/petrogustavo","@petrogustavo")</f>
        <v>@petrogustavo</v>
      </c>
      <c r="C3640" s="5" t="s">
        <v>16</v>
      </c>
      <c r="D3640" s="5" t="s">
        <v>3571</v>
      </c>
      <c r="E3640" s="6" t="str">
        <f>HYPERLINK("https://twitter.com/petrogustavo/status/1239711639747862528","1239711639747862528")</f>
        <v>1239711639747862528</v>
      </c>
      <c r="F3640" s="7" t="s">
        <v>17</v>
      </c>
      <c r="G3640" s="7">
        <v>3671458</v>
      </c>
      <c r="H3640" s="7">
        <v>2357</v>
      </c>
      <c r="I3640" s="7">
        <v>69</v>
      </c>
      <c r="J3640" s="7">
        <v>0</v>
      </c>
      <c r="K3640" s="7" t="s">
        <v>18</v>
      </c>
      <c r="L3640" s="8">
        <v>39987.315405092595</v>
      </c>
      <c r="M3640" s="9" t="s">
        <v>19</v>
      </c>
      <c r="N3640" s="9" t="s">
        <v>20</v>
      </c>
      <c r="O3640" s="6" t="str">
        <f>HYPERLINK("https://pbs.twimg.com/profile_images/962471262747529216/Uo8lOkRJ_normal.jpg","View")</f>
        <v>View</v>
      </c>
      <c r="P3640" s="7"/>
    </row>
    <row r="3641" spans="1:16">
      <c r="A3641" s="3">
        <v>43907.270567129628</v>
      </c>
      <c r="B3641" s="4" t="str">
        <f>HYPERLINK("https://twitter.com/petrogustavo","@petrogustavo")</f>
        <v>@petrogustavo</v>
      </c>
      <c r="C3641" s="5" t="s">
        <v>16</v>
      </c>
      <c r="D3641" s="5" t="s">
        <v>3572</v>
      </c>
      <c r="E3641" s="6" t="str">
        <f>HYPERLINK("https://twitter.com/petrogustavo/status/1239717993057263617","1239717993057263617")</f>
        <v>1239717993057263617</v>
      </c>
      <c r="F3641" s="7" t="s">
        <v>17</v>
      </c>
      <c r="G3641" s="7">
        <v>3671458</v>
      </c>
      <c r="H3641" s="7">
        <v>2357</v>
      </c>
      <c r="I3641" s="7">
        <v>35</v>
      </c>
      <c r="J3641" s="7">
        <v>118</v>
      </c>
      <c r="K3641" s="7" t="s">
        <v>18</v>
      </c>
      <c r="L3641" s="8">
        <v>39987.315405092595</v>
      </c>
      <c r="M3641" s="9" t="s">
        <v>19</v>
      </c>
      <c r="N3641" s="9" t="s">
        <v>20</v>
      </c>
      <c r="O3641" s="6" t="str">
        <f>HYPERLINK("https://pbs.twimg.com/profile_images/962471262747529216/Uo8lOkRJ_normal.jpg","View")</f>
        <v>View</v>
      </c>
      <c r="P3641" s="7"/>
    </row>
    <row r="3642" spans="1:16">
      <c r="A3642" s="3">
        <v>43907.284791666665</v>
      </c>
      <c r="B3642" s="4" t="str">
        <f>HYPERLINK("https://twitter.com/petrogustavo","@petrogustavo")</f>
        <v>@petrogustavo</v>
      </c>
      <c r="C3642" s="5" t="s">
        <v>16</v>
      </c>
      <c r="D3642" s="5" t="s">
        <v>3573</v>
      </c>
      <c r="E3642" s="6" t="str">
        <f>HYPERLINK("https://twitter.com/petrogustavo/status/1239723150574866434","1239723150574866434")</f>
        <v>1239723150574866434</v>
      </c>
      <c r="F3642" s="7" t="s">
        <v>17</v>
      </c>
      <c r="G3642" s="7">
        <v>3671481</v>
      </c>
      <c r="H3642" s="7">
        <v>2357</v>
      </c>
      <c r="I3642" s="7">
        <v>266</v>
      </c>
      <c r="J3642" s="7">
        <v>0</v>
      </c>
      <c r="K3642" s="7" t="s">
        <v>18</v>
      </c>
      <c r="L3642" s="8">
        <v>39987.315405092595</v>
      </c>
      <c r="M3642" s="9" t="s">
        <v>19</v>
      </c>
      <c r="N3642" s="9" t="s">
        <v>20</v>
      </c>
      <c r="O3642" s="6" t="str">
        <f>HYPERLINK("https://pbs.twimg.com/profile_images/962471262747529216/Uo8lOkRJ_normal.jpg","View")</f>
        <v>View</v>
      </c>
      <c r="P3642" s="7"/>
    </row>
    <row r="3643" spans="1:16">
      <c r="A3643" s="3">
        <v>43907.288310185184</v>
      </c>
      <c r="B3643" s="4" t="str">
        <f>HYPERLINK("https://twitter.com/petrogustavo","@petrogustavo")</f>
        <v>@petrogustavo</v>
      </c>
      <c r="C3643" s="5" t="s">
        <v>16</v>
      </c>
      <c r="D3643" s="5" t="s">
        <v>3574</v>
      </c>
      <c r="E3643" s="6" t="str">
        <f>HYPERLINK("https://twitter.com/petrogustavo/status/1239724426570149888","1239724426570149888")</f>
        <v>1239724426570149888</v>
      </c>
      <c r="F3643" s="7" t="s">
        <v>17</v>
      </c>
      <c r="G3643" s="7">
        <v>3671481</v>
      </c>
      <c r="H3643" s="7">
        <v>2357</v>
      </c>
      <c r="I3643" s="7">
        <v>111</v>
      </c>
      <c r="J3643" s="7">
        <v>394</v>
      </c>
      <c r="K3643" s="7" t="s">
        <v>18</v>
      </c>
      <c r="L3643" s="8">
        <v>39987.315405092595</v>
      </c>
      <c r="M3643" s="9" t="s">
        <v>19</v>
      </c>
      <c r="N3643" s="9" t="s">
        <v>20</v>
      </c>
      <c r="O3643" s="6" t="str">
        <f>HYPERLINK("https://pbs.twimg.com/profile_images/962471262747529216/Uo8lOkRJ_normal.jpg","View")</f>
        <v>View</v>
      </c>
      <c r="P3643" s="7"/>
    </row>
    <row r="3644" spans="1:16">
      <c r="A3644" s="3">
        <v>43907.303310185191</v>
      </c>
      <c r="B3644" s="4" t="str">
        <f>HYPERLINK("https://twitter.com/petrogustavo","@petrogustavo")</f>
        <v>@petrogustavo</v>
      </c>
      <c r="C3644" s="5" t="s">
        <v>16</v>
      </c>
      <c r="D3644" s="5" t="s">
        <v>3575</v>
      </c>
      <c r="E3644" s="6" t="str">
        <f>HYPERLINK("https://twitter.com/petrogustavo/status/1239729862568488960","1239729862568488960")</f>
        <v>1239729862568488960</v>
      </c>
      <c r="F3644" s="7" t="s">
        <v>17</v>
      </c>
      <c r="G3644" s="7">
        <v>3671546</v>
      </c>
      <c r="H3644" s="7">
        <v>2357</v>
      </c>
      <c r="I3644" s="7">
        <v>121</v>
      </c>
      <c r="J3644" s="7">
        <v>0</v>
      </c>
      <c r="K3644" s="7" t="s">
        <v>18</v>
      </c>
      <c r="L3644" s="8">
        <v>39987.315405092595</v>
      </c>
      <c r="M3644" s="9" t="s">
        <v>19</v>
      </c>
      <c r="N3644" s="9" t="s">
        <v>20</v>
      </c>
      <c r="O3644" s="6" t="str">
        <f>HYPERLINK("https://pbs.twimg.com/profile_images/962471262747529216/Uo8lOkRJ_normal.jpg","View")</f>
        <v>View</v>
      </c>
      <c r="P3644" s="7"/>
    </row>
    <row r="3645" spans="1:16">
      <c r="A3645" s="3">
        <v>43907.303587962961</v>
      </c>
      <c r="B3645" s="4" t="str">
        <f>HYPERLINK("https://twitter.com/petrogustavo","@petrogustavo")</f>
        <v>@petrogustavo</v>
      </c>
      <c r="C3645" s="5" t="s">
        <v>16</v>
      </c>
      <c r="D3645" s="5" t="s">
        <v>3576</v>
      </c>
      <c r="E3645" s="6" t="str">
        <f>HYPERLINK("https://twitter.com/petrogustavo/status/1239729963210850312","1239729963210850312")</f>
        <v>1239729963210850312</v>
      </c>
      <c r="F3645" s="7" t="s">
        <v>17</v>
      </c>
      <c r="G3645" s="7">
        <v>3671546</v>
      </c>
      <c r="H3645" s="7">
        <v>2357</v>
      </c>
      <c r="I3645" s="7">
        <v>80</v>
      </c>
      <c r="J3645" s="7">
        <v>0</v>
      </c>
      <c r="K3645" s="7" t="s">
        <v>18</v>
      </c>
      <c r="L3645" s="8">
        <v>39987.315405092595</v>
      </c>
      <c r="M3645" s="9" t="s">
        <v>19</v>
      </c>
      <c r="N3645" s="9" t="s">
        <v>20</v>
      </c>
      <c r="O3645" s="6" t="str">
        <f>HYPERLINK("https://pbs.twimg.com/profile_images/962471262747529216/Uo8lOkRJ_normal.jpg","View")</f>
        <v>View</v>
      </c>
      <c r="P3645" s="7"/>
    </row>
    <row r="3646" spans="1:16">
      <c r="A3646" s="3">
        <v>43907.310706018514</v>
      </c>
      <c r="B3646" s="4" t="str">
        <f>HYPERLINK("https://twitter.com/petrogustavo","@petrogustavo")</f>
        <v>@petrogustavo</v>
      </c>
      <c r="C3646" s="5" t="s">
        <v>16</v>
      </c>
      <c r="D3646" s="5" t="s">
        <v>3577</v>
      </c>
      <c r="E3646" s="6" t="str">
        <f>HYPERLINK("https://twitter.com/petrogustavo/status/1239732539150995459","1239732539150995459")</f>
        <v>1239732539150995459</v>
      </c>
      <c r="F3646" s="7" t="s">
        <v>17</v>
      </c>
      <c r="G3646" s="7">
        <v>3671546</v>
      </c>
      <c r="H3646" s="7">
        <v>2357</v>
      </c>
      <c r="I3646" s="7">
        <v>373</v>
      </c>
      <c r="J3646" s="7">
        <v>0</v>
      </c>
      <c r="K3646" s="7" t="s">
        <v>18</v>
      </c>
      <c r="L3646" s="8">
        <v>39987.315405092595</v>
      </c>
      <c r="M3646" s="9" t="s">
        <v>19</v>
      </c>
      <c r="N3646" s="9" t="s">
        <v>20</v>
      </c>
      <c r="O3646" s="6" t="str">
        <f>HYPERLINK("https://pbs.twimg.com/profile_images/962471262747529216/Uo8lOkRJ_normal.jpg","View")</f>
        <v>View</v>
      </c>
      <c r="P3646" s="7"/>
    </row>
    <row r="3647" spans="1:16">
      <c r="A3647" s="3">
        <v>43907.311249999999</v>
      </c>
      <c r="B3647" s="4" t="str">
        <f>HYPERLINK("https://twitter.com/petrogustavo","@petrogustavo")</f>
        <v>@petrogustavo</v>
      </c>
      <c r="C3647" s="5" t="s">
        <v>16</v>
      </c>
      <c r="D3647" s="5" t="s">
        <v>3578</v>
      </c>
      <c r="E3647" s="6" t="str">
        <f>HYPERLINK("https://twitter.com/petrogustavo/status/1239732737378004992","1239732737378004992")</f>
        <v>1239732737378004992</v>
      </c>
      <c r="F3647" s="7" t="s">
        <v>17</v>
      </c>
      <c r="G3647" s="7">
        <v>3671546</v>
      </c>
      <c r="H3647" s="7">
        <v>2357</v>
      </c>
      <c r="I3647" s="7">
        <v>1126</v>
      </c>
      <c r="J3647" s="7">
        <v>0</v>
      </c>
      <c r="K3647" s="7" t="s">
        <v>18</v>
      </c>
      <c r="L3647" s="8">
        <v>39987.315405092595</v>
      </c>
      <c r="M3647" s="9" t="s">
        <v>19</v>
      </c>
      <c r="N3647" s="9" t="s">
        <v>20</v>
      </c>
      <c r="O3647" s="6" t="str">
        <f>HYPERLINK("https://pbs.twimg.com/profile_images/962471262747529216/Uo8lOkRJ_normal.jpg","View")</f>
        <v>View</v>
      </c>
      <c r="P3647" s="7"/>
    </row>
    <row r="3648" spans="1:16">
      <c r="A3648" s="3">
        <v>43907.326053240744</v>
      </c>
      <c r="B3648" s="4" t="str">
        <f>HYPERLINK("https://twitter.com/petrogustavo","@petrogustavo")</f>
        <v>@petrogustavo</v>
      </c>
      <c r="C3648" s="5" t="s">
        <v>16</v>
      </c>
      <c r="D3648" s="5" t="s">
        <v>3579</v>
      </c>
      <c r="E3648" s="6" t="str">
        <f>HYPERLINK("https://twitter.com/petrogustavo/status/1239738102253531136","1239738102253531136")</f>
        <v>1239738102253531136</v>
      </c>
      <c r="F3648" s="7" t="s">
        <v>17</v>
      </c>
      <c r="G3648" s="7">
        <v>3671625</v>
      </c>
      <c r="H3648" s="7">
        <v>2357</v>
      </c>
      <c r="I3648" s="7">
        <v>61</v>
      </c>
      <c r="J3648" s="7">
        <v>0</v>
      </c>
      <c r="K3648" s="7" t="s">
        <v>18</v>
      </c>
      <c r="L3648" s="8">
        <v>39987.315405092595</v>
      </c>
      <c r="M3648" s="9" t="s">
        <v>19</v>
      </c>
      <c r="N3648" s="9" t="s">
        <v>20</v>
      </c>
      <c r="O3648" s="6" t="str">
        <f>HYPERLINK("https://pbs.twimg.com/profile_images/962471262747529216/Uo8lOkRJ_normal.jpg","View")</f>
        <v>View</v>
      </c>
      <c r="P3648" s="7"/>
    </row>
    <row r="3649" spans="1:16">
      <c r="A3649" s="3">
        <v>43907.327152777776</v>
      </c>
      <c r="B3649" s="4" t="str">
        <f>HYPERLINK("https://twitter.com/petrogustavo","@petrogustavo")</f>
        <v>@petrogustavo</v>
      </c>
      <c r="C3649" s="5" t="s">
        <v>16</v>
      </c>
      <c r="D3649" s="5" t="s">
        <v>3580</v>
      </c>
      <c r="E3649" s="6" t="str">
        <f>HYPERLINK("https://twitter.com/petrogustavo/status/1239738502587260928","1239738502587260928")</f>
        <v>1239738502587260928</v>
      </c>
      <c r="F3649" s="7" t="s">
        <v>17</v>
      </c>
      <c r="G3649" s="7">
        <v>3671625</v>
      </c>
      <c r="H3649" s="7">
        <v>2357</v>
      </c>
      <c r="I3649" s="7">
        <v>353</v>
      </c>
      <c r="J3649" s="7">
        <v>0</v>
      </c>
      <c r="K3649" s="7" t="s">
        <v>18</v>
      </c>
      <c r="L3649" s="8">
        <v>39987.315405092595</v>
      </c>
      <c r="M3649" s="9" t="s">
        <v>19</v>
      </c>
      <c r="N3649" s="9" t="s">
        <v>20</v>
      </c>
      <c r="O3649" s="6" t="str">
        <f>HYPERLINK("https://pbs.twimg.com/profile_images/962471262747529216/Uo8lOkRJ_normal.jpg","View")</f>
        <v>View</v>
      </c>
      <c r="P3649" s="7"/>
    </row>
    <row r="3650" spans="1:16">
      <c r="A3650" s="3">
        <v>43907.329375000001</v>
      </c>
      <c r="B3650" s="4" t="str">
        <f>HYPERLINK("https://twitter.com/petrogustavo","@petrogustavo")</f>
        <v>@petrogustavo</v>
      </c>
      <c r="C3650" s="5" t="s">
        <v>16</v>
      </c>
      <c r="D3650" s="5" t="s">
        <v>3581</v>
      </c>
      <c r="E3650" s="6" t="str">
        <f>HYPERLINK("https://twitter.com/petrogustavo/status/1239739305456742402","1239739305456742402")</f>
        <v>1239739305456742402</v>
      </c>
      <c r="F3650" s="7" t="s">
        <v>17</v>
      </c>
      <c r="G3650" s="7">
        <v>3671625</v>
      </c>
      <c r="H3650" s="7">
        <v>2357</v>
      </c>
      <c r="I3650" s="7">
        <v>47</v>
      </c>
      <c r="J3650" s="7">
        <v>0</v>
      </c>
      <c r="K3650" s="7" t="s">
        <v>18</v>
      </c>
      <c r="L3650" s="8">
        <v>39987.315405092595</v>
      </c>
      <c r="M3650" s="9" t="s">
        <v>19</v>
      </c>
      <c r="N3650" s="9" t="s">
        <v>20</v>
      </c>
      <c r="O3650" s="6" t="str">
        <f>HYPERLINK("https://pbs.twimg.com/profile_images/962471262747529216/Uo8lOkRJ_normal.jpg","View")</f>
        <v>View</v>
      </c>
      <c r="P3650" s="7"/>
    </row>
    <row r="3651" spans="1:16">
      <c r="A3651" s="3">
        <v>43907.329583333332</v>
      </c>
      <c r="B3651" s="4" t="str">
        <f>HYPERLINK("https://twitter.com/petrogustavo","@petrogustavo")</f>
        <v>@petrogustavo</v>
      </c>
      <c r="C3651" s="5" t="s">
        <v>16</v>
      </c>
      <c r="D3651" s="5" t="s">
        <v>3582</v>
      </c>
      <c r="E3651" s="6" t="str">
        <f>HYPERLINK("https://twitter.com/petrogustavo/status/1239739381625376771","1239739381625376771")</f>
        <v>1239739381625376771</v>
      </c>
      <c r="F3651" s="7" t="s">
        <v>17</v>
      </c>
      <c r="G3651" s="7">
        <v>3671625</v>
      </c>
      <c r="H3651" s="7">
        <v>2357</v>
      </c>
      <c r="I3651" s="7">
        <v>90</v>
      </c>
      <c r="J3651" s="7">
        <v>0</v>
      </c>
      <c r="K3651" s="7" t="s">
        <v>18</v>
      </c>
      <c r="L3651" s="8">
        <v>39987.315405092595</v>
      </c>
      <c r="M3651" s="9" t="s">
        <v>19</v>
      </c>
      <c r="N3651" s="9" t="s">
        <v>20</v>
      </c>
      <c r="O3651" s="6" t="str">
        <f>HYPERLINK("https://pbs.twimg.com/profile_images/962471262747529216/Uo8lOkRJ_normal.jpg","View")</f>
        <v>View</v>
      </c>
      <c r="P3651" s="7"/>
    </row>
    <row r="3652" spans="1:16">
      <c r="A3652" s="3">
        <v>43907.330335648148</v>
      </c>
      <c r="B3652" s="4" t="str">
        <f>HYPERLINK("https://twitter.com/petrogustavo","@petrogustavo")</f>
        <v>@petrogustavo</v>
      </c>
      <c r="C3652" s="5" t="s">
        <v>16</v>
      </c>
      <c r="D3652" s="5" t="s">
        <v>3583</v>
      </c>
      <c r="E3652" s="6" t="str">
        <f>HYPERLINK("https://twitter.com/petrogustavo/status/1239739652472475649","1239739652472475649")</f>
        <v>1239739652472475649</v>
      </c>
      <c r="F3652" s="7" t="s">
        <v>17</v>
      </c>
      <c r="G3652" s="7">
        <v>3671625</v>
      </c>
      <c r="H3652" s="7">
        <v>2357</v>
      </c>
      <c r="I3652" s="7">
        <v>245</v>
      </c>
      <c r="J3652" s="7">
        <v>0</v>
      </c>
      <c r="K3652" s="7" t="s">
        <v>18</v>
      </c>
      <c r="L3652" s="8">
        <v>39987.315405092595</v>
      </c>
      <c r="M3652" s="9" t="s">
        <v>19</v>
      </c>
      <c r="N3652" s="9" t="s">
        <v>20</v>
      </c>
      <c r="O3652" s="6" t="str">
        <f>HYPERLINK("https://pbs.twimg.com/profile_images/962471262747529216/Uo8lOkRJ_normal.jpg","View")</f>
        <v>View</v>
      </c>
      <c r="P3652" s="7"/>
    </row>
    <row r="3653" spans="1:16">
      <c r="A3653" s="3">
        <v>43907.330543981487</v>
      </c>
      <c r="B3653" s="4" t="str">
        <f>HYPERLINK("https://twitter.com/petrogustavo","@petrogustavo")</f>
        <v>@petrogustavo</v>
      </c>
      <c r="C3653" s="5" t="s">
        <v>16</v>
      </c>
      <c r="D3653" s="5" t="s">
        <v>3584</v>
      </c>
      <c r="E3653" s="6" t="str">
        <f>HYPERLINK("https://twitter.com/petrogustavo/status/1239739730293637122","1239739730293637122")</f>
        <v>1239739730293637122</v>
      </c>
      <c r="F3653" s="7" t="s">
        <v>17</v>
      </c>
      <c r="G3653" s="7">
        <v>3671625</v>
      </c>
      <c r="H3653" s="7">
        <v>2357</v>
      </c>
      <c r="I3653" s="7">
        <v>90</v>
      </c>
      <c r="J3653" s="7">
        <v>0</v>
      </c>
      <c r="K3653" s="7" t="s">
        <v>18</v>
      </c>
      <c r="L3653" s="8">
        <v>39987.315405092595</v>
      </c>
      <c r="M3653" s="9" t="s">
        <v>19</v>
      </c>
      <c r="N3653" s="9" t="s">
        <v>20</v>
      </c>
      <c r="O3653" s="6" t="str">
        <f>HYPERLINK("https://pbs.twimg.com/profile_images/962471262747529216/Uo8lOkRJ_normal.jpg","View")</f>
        <v>View</v>
      </c>
      <c r="P3653" s="7"/>
    </row>
    <row r="3654" spans="1:16">
      <c r="A3654" s="3">
        <v>43907.332280092596</v>
      </c>
      <c r="B3654" s="4" t="str">
        <f>HYPERLINK("https://twitter.com/petrogustavo","@petrogustavo")</f>
        <v>@petrogustavo</v>
      </c>
      <c r="C3654" s="5" t="s">
        <v>16</v>
      </c>
      <c r="D3654" s="5" t="s">
        <v>3585</v>
      </c>
      <c r="E3654" s="6" t="str">
        <f>HYPERLINK("https://twitter.com/petrogustavo/status/1239740360307421185","1239740360307421185")</f>
        <v>1239740360307421185</v>
      </c>
      <c r="F3654" s="7" t="s">
        <v>17</v>
      </c>
      <c r="G3654" s="7">
        <v>3671625</v>
      </c>
      <c r="H3654" s="7">
        <v>2357</v>
      </c>
      <c r="I3654" s="7">
        <v>84</v>
      </c>
      <c r="J3654" s="7">
        <v>253</v>
      </c>
      <c r="K3654" s="7" t="s">
        <v>18</v>
      </c>
      <c r="L3654" s="8">
        <v>39987.315405092595</v>
      </c>
      <c r="M3654" s="9" t="s">
        <v>19</v>
      </c>
      <c r="N3654" s="9" t="s">
        <v>20</v>
      </c>
      <c r="O3654" s="6" t="str">
        <f>HYPERLINK("https://pbs.twimg.com/profile_images/962471262747529216/Uo8lOkRJ_normal.jpg","View")</f>
        <v>View</v>
      </c>
      <c r="P3654" s="7"/>
    </row>
    <row r="3655" spans="1:16">
      <c r="A3655" s="3">
        <v>43907.333611111113</v>
      </c>
      <c r="B3655" s="4" t="str">
        <f>HYPERLINK("https://twitter.com/petrogustavo","@petrogustavo")</f>
        <v>@petrogustavo</v>
      </c>
      <c r="C3655" s="5" t="s">
        <v>16</v>
      </c>
      <c r="D3655" s="5" t="s">
        <v>3586</v>
      </c>
      <c r="E3655" s="6" t="str">
        <f>HYPERLINK("https://twitter.com/petrogustavo/status/1239740840823709702","1239740840823709702")</f>
        <v>1239740840823709702</v>
      </c>
      <c r="F3655" s="7" t="s">
        <v>17</v>
      </c>
      <c r="G3655" s="7">
        <v>3671625</v>
      </c>
      <c r="H3655" s="7">
        <v>2357</v>
      </c>
      <c r="I3655" s="7">
        <v>17</v>
      </c>
      <c r="J3655" s="7">
        <v>63</v>
      </c>
      <c r="K3655" s="7" t="s">
        <v>18</v>
      </c>
      <c r="L3655" s="8">
        <v>39987.315405092595</v>
      </c>
      <c r="M3655" s="9" t="s">
        <v>19</v>
      </c>
      <c r="N3655" s="9" t="s">
        <v>20</v>
      </c>
      <c r="O3655" s="6" t="str">
        <f>HYPERLINK("https://pbs.twimg.com/profile_images/962471262747529216/Uo8lOkRJ_normal.jpg","View")</f>
        <v>View</v>
      </c>
      <c r="P3655" s="7"/>
    </row>
    <row r="3656" spans="1:16">
      <c r="A3656" s="3">
        <v>43907.362592592588</v>
      </c>
      <c r="B3656" s="4" t="str">
        <f>HYPERLINK("https://twitter.com/petrogustavo","@petrogustavo")</f>
        <v>@petrogustavo</v>
      </c>
      <c r="C3656" s="5" t="s">
        <v>16</v>
      </c>
      <c r="D3656" s="5" t="s">
        <v>3587</v>
      </c>
      <c r="E3656" s="6" t="str">
        <f>HYPERLINK("https://twitter.com/petrogustavo/status/1239751344220712960","1239751344220712960")</f>
        <v>1239751344220712960</v>
      </c>
      <c r="F3656" s="7" t="s">
        <v>17</v>
      </c>
      <c r="G3656" s="7">
        <v>3671807</v>
      </c>
      <c r="H3656" s="7">
        <v>2357</v>
      </c>
      <c r="I3656" s="7">
        <v>78</v>
      </c>
      <c r="J3656" s="7">
        <v>0</v>
      </c>
      <c r="K3656" s="7" t="s">
        <v>18</v>
      </c>
      <c r="L3656" s="8">
        <v>39987.315405092595</v>
      </c>
      <c r="M3656" s="9" t="s">
        <v>19</v>
      </c>
      <c r="N3656" s="9" t="s">
        <v>20</v>
      </c>
      <c r="O3656" s="6" t="str">
        <f>HYPERLINK("https://pbs.twimg.com/profile_images/962471262747529216/Uo8lOkRJ_normal.jpg","View")</f>
        <v>View</v>
      </c>
      <c r="P3656" s="7"/>
    </row>
    <row r="3657" spans="1:16">
      <c r="A3657" s="3">
        <v>43907.36917824074</v>
      </c>
      <c r="B3657" s="4" t="str">
        <f>HYPERLINK("https://twitter.com/petrogustavo","@petrogustavo")</f>
        <v>@petrogustavo</v>
      </c>
      <c r="C3657" s="5" t="s">
        <v>16</v>
      </c>
      <c r="D3657" s="5" t="s">
        <v>3588</v>
      </c>
      <c r="E3657" s="6" t="str">
        <f>HYPERLINK("https://twitter.com/petrogustavo/status/1239753729592700929","1239753729592700929")</f>
        <v>1239753729592700929</v>
      </c>
      <c r="F3657" s="7" t="s">
        <v>17</v>
      </c>
      <c r="G3657" s="7">
        <v>3671807</v>
      </c>
      <c r="H3657" s="7">
        <v>2357</v>
      </c>
      <c r="I3657" s="7">
        <v>12</v>
      </c>
      <c r="J3657" s="7">
        <v>86</v>
      </c>
      <c r="K3657" s="7" t="s">
        <v>18</v>
      </c>
      <c r="L3657" s="8">
        <v>39987.315405092595</v>
      </c>
      <c r="M3657" s="9" t="s">
        <v>19</v>
      </c>
      <c r="N3657" s="9" t="s">
        <v>20</v>
      </c>
      <c r="O3657" s="6" t="str">
        <f>HYPERLINK("https://pbs.twimg.com/profile_images/962471262747529216/Uo8lOkRJ_normal.jpg","View")</f>
        <v>View</v>
      </c>
      <c r="P3657" s="7"/>
    </row>
    <row r="3658" spans="1:16">
      <c r="A3658" s="3">
        <v>43907.371296296296</v>
      </c>
      <c r="B3658" s="4" t="str">
        <f>HYPERLINK("https://twitter.com/petrogustavo","@petrogustavo")</f>
        <v>@petrogustavo</v>
      </c>
      <c r="C3658" s="5" t="s">
        <v>16</v>
      </c>
      <c r="D3658" s="5" t="s">
        <v>3589</v>
      </c>
      <c r="E3658" s="6" t="str">
        <f>HYPERLINK("https://twitter.com/petrogustavo/status/1239754497880199169","1239754497880199169")</f>
        <v>1239754497880199169</v>
      </c>
      <c r="F3658" s="7" t="s">
        <v>17</v>
      </c>
      <c r="G3658" s="7">
        <v>3671807</v>
      </c>
      <c r="H3658" s="7">
        <v>2357</v>
      </c>
      <c r="I3658" s="7">
        <v>68</v>
      </c>
      <c r="J3658" s="7">
        <v>327</v>
      </c>
      <c r="K3658" s="7" t="s">
        <v>18</v>
      </c>
      <c r="L3658" s="8">
        <v>39987.315405092595</v>
      </c>
      <c r="M3658" s="9" t="s">
        <v>19</v>
      </c>
      <c r="N3658" s="9" t="s">
        <v>20</v>
      </c>
      <c r="O3658" s="6" t="str">
        <f>HYPERLINK("https://pbs.twimg.com/profile_images/962471262747529216/Uo8lOkRJ_normal.jpg","View")</f>
        <v>View</v>
      </c>
      <c r="P3658" s="7"/>
    </row>
    <row r="3659" spans="1:16">
      <c r="A3659" s="3">
        <v>43907.387256944443</v>
      </c>
      <c r="B3659" s="4" t="str">
        <f>HYPERLINK("https://twitter.com/petrogustavo","@petrogustavo")</f>
        <v>@petrogustavo</v>
      </c>
      <c r="C3659" s="5" t="s">
        <v>16</v>
      </c>
      <c r="D3659" s="5" t="s">
        <v>3590</v>
      </c>
      <c r="E3659" s="6" t="str">
        <f>HYPERLINK("https://twitter.com/petrogustavo/status/1239760282798510082","1239760282798510082")</f>
        <v>1239760282798510082</v>
      </c>
      <c r="F3659" s="7" t="s">
        <v>17</v>
      </c>
      <c r="G3659" s="7">
        <v>3671856</v>
      </c>
      <c r="H3659" s="7">
        <v>2357</v>
      </c>
      <c r="I3659" s="7">
        <v>49</v>
      </c>
      <c r="J3659" s="7">
        <v>127</v>
      </c>
      <c r="K3659" s="7" t="s">
        <v>18</v>
      </c>
      <c r="L3659" s="8">
        <v>39987.315405092595</v>
      </c>
      <c r="M3659" s="9" t="s">
        <v>19</v>
      </c>
      <c r="N3659" s="9" t="s">
        <v>20</v>
      </c>
      <c r="O3659" s="6" t="str">
        <f>HYPERLINK("https://pbs.twimg.com/profile_images/962471262747529216/Uo8lOkRJ_normal.jpg","View")</f>
        <v>View</v>
      </c>
      <c r="P3659" s="7"/>
    </row>
    <row r="3660" spans="1:16">
      <c r="A3660" s="3">
        <v>43907.38857638889</v>
      </c>
      <c r="B3660" s="4" t="str">
        <f>HYPERLINK("https://twitter.com/petrogustavo","@petrogustavo")</f>
        <v>@petrogustavo</v>
      </c>
      <c r="C3660" s="5" t="s">
        <v>16</v>
      </c>
      <c r="D3660" s="5" t="s">
        <v>3591</v>
      </c>
      <c r="E3660" s="6" t="str">
        <f>HYPERLINK("https://twitter.com/petrogustavo/status/1239760760399712256","1239760760399712256")</f>
        <v>1239760760399712256</v>
      </c>
      <c r="F3660" s="7" t="s">
        <v>17</v>
      </c>
      <c r="G3660" s="7">
        <v>3671856</v>
      </c>
      <c r="H3660" s="7">
        <v>2357</v>
      </c>
      <c r="I3660" s="7">
        <v>205</v>
      </c>
      <c r="J3660" s="7">
        <v>0</v>
      </c>
      <c r="K3660" s="7" t="s">
        <v>18</v>
      </c>
      <c r="L3660" s="8">
        <v>39987.315405092595</v>
      </c>
      <c r="M3660" s="9" t="s">
        <v>19</v>
      </c>
      <c r="N3660" s="9" t="s">
        <v>20</v>
      </c>
      <c r="O3660" s="6" t="str">
        <f>HYPERLINK("https://pbs.twimg.com/profile_images/962471262747529216/Uo8lOkRJ_normal.jpg","View")</f>
        <v>View</v>
      </c>
      <c r="P3660" s="7"/>
    </row>
    <row r="3661" spans="1:16">
      <c r="A3661" s="3">
        <v>43907.705543981487</v>
      </c>
      <c r="B3661" s="4" t="str">
        <f>HYPERLINK("https://twitter.com/petrogustavo","@petrogustavo")</f>
        <v>@petrogustavo</v>
      </c>
      <c r="C3661" s="5" t="s">
        <v>16</v>
      </c>
      <c r="D3661" s="5" t="s">
        <v>3592</v>
      </c>
      <c r="E3661" s="6" t="str">
        <f>HYPERLINK("https://twitter.com/petrogustavo/status/1239875624073822208","1239875624073822208")</f>
        <v>1239875624073822208</v>
      </c>
      <c r="F3661" s="7" t="s">
        <v>17</v>
      </c>
      <c r="G3661" s="7">
        <v>3672166</v>
      </c>
      <c r="H3661" s="7">
        <v>2357</v>
      </c>
      <c r="I3661" s="7">
        <v>31</v>
      </c>
      <c r="J3661" s="7">
        <v>92</v>
      </c>
      <c r="K3661" s="7" t="s">
        <v>18</v>
      </c>
      <c r="L3661" s="8">
        <v>39987.315405092595</v>
      </c>
      <c r="M3661" s="9" t="s">
        <v>19</v>
      </c>
      <c r="N3661" s="9" t="s">
        <v>20</v>
      </c>
      <c r="O3661" s="6" t="str">
        <f>HYPERLINK("https://pbs.twimg.com/profile_images/962471262747529216/Uo8lOkRJ_normal.jpg","View")</f>
        <v>View</v>
      </c>
      <c r="P3661" s="7"/>
    </row>
    <row r="3662" spans="1:16">
      <c r="A3662" s="3">
        <v>43907.707731481481</v>
      </c>
      <c r="B3662" s="4" t="str">
        <f>HYPERLINK("https://twitter.com/petrogustavo","@petrogustavo")</f>
        <v>@petrogustavo</v>
      </c>
      <c r="C3662" s="5" t="s">
        <v>16</v>
      </c>
      <c r="D3662" s="5" t="s">
        <v>3593</v>
      </c>
      <c r="E3662" s="6" t="str">
        <f>HYPERLINK("https://twitter.com/petrogustavo/status/1239876416407310336","1239876416407310336")</f>
        <v>1239876416407310336</v>
      </c>
      <c r="F3662" s="7" t="s">
        <v>17</v>
      </c>
      <c r="G3662" s="7">
        <v>3672166</v>
      </c>
      <c r="H3662" s="7">
        <v>2357</v>
      </c>
      <c r="I3662" s="7">
        <v>42</v>
      </c>
      <c r="J3662" s="7">
        <v>74</v>
      </c>
      <c r="K3662" s="7" t="s">
        <v>18</v>
      </c>
      <c r="L3662" s="8">
        <v>39987.315405092595</v>
      </c>
      <c r="M3662" s="9" t="s">
        <v>19</v>
      </c>
      <c r="N3662" s="9" t="s">
        <v>20</v>
      </c>
      <c r="O3662" s="6" t="str">
        <f>HYPERLINK("https://pbs.twimg.com/profile_images/962471262747529216/Uo8lOkRJ_normal.jpg","View")</f>
        <v>View</v>
      </c>
      <c r="P3662" s="7"/>
    </row>
    <row r="3663" spans="1:16">
      <c r="A3663" s="3">
        <v>43907.712650462963</v>
      </c>
      <c r="B3663" s="4" t="str">
        <f>HYPERLINK("https://twitter.com/petrogustavo","@petrogustavo")</f>
        <v>@petrogustavo</v>
      </c>
      <c r="C3663" s="5" t="s">
        <v>16</v>
      </c>
      <c r="D3663" s="5" t="s">
        <v>3594</v>
      </c>
      <c r="E3663" s="6" t="str">
        <f>HYPERLINK("https://twitter.com/petrogustavo/status/1239878201876402176","1239878201876402176")</f>
        <v>1239878201876402176</v>
      </c>
      <c r="F3663" s="7" t="s">
        <v>17</v>
      </c>
      <c r="G3663" s="7">
        <v>3672209</v>
      </c>
      <c r="H3663" s="7">
        <v>2357</v>
      </c>
      <c r="I3663" s="7">
        <v>321</v>
      </c>
      <c r="J3663" s="7">
        <v>1011</v>
      </c>
      <c r="K3663" s="7" t="s">
        <v>18</v>
      </c>
      <c r="L3663" s="8">
        <v>39987.315405092595</v>
      </c>
      <c r="M3663" s="9" t="s">
        <v>19</v>
      </c>
      <c r="N3663" s="9" t="s">
        <v>20</v>
      </c>
      <c r="O3663" s="6" t="str">
        <f>HYPERLINK("https://pbs.twimg.com/profile_images/962471262747529216/Uo8lOkRJ_normal.jpg","View")</f>
        <v>View</v>
      </c>
      <c r="P3663" s="7"/>
    </row>
    <row r="3664" spans="1:16">
      <c r="A3664" s="3">
        <v>43907.72383101852</v>
      </c>
      <c r="B3664" s="4" t="str">
        <f>HYPERLINK("https://twitter.com/petrogustavo","@petrogustavo")</f>
        <v>@petrogustavo</v>
      </c>
      <c r="C3664" s="5" t="s">
        <v>16</v>
      </c>
      <c r="D3664" s="5" t="s">
        <v>3595</v>
      </c>
      <c r="E3664" s="6" t="str">
        <f>HYPERLINK("https://twitter.com/petrogustavo/status/1239882250210115584","1239882250210115584")</f>
        <v>1239882250210115584</v>
      </c>
      <c r="F3664" s="7" t="s">
        <v>17</v>
      </c>
      <c r="G3664" s="7">
        <v>3672209</v>
      </c>
      <c r="H3664" s="7">
        <v>2357</v>
      </c>
      <c r="I3664" s="7">
        <v>94</v>
      </c>
      <c r="J3664" s="7">
        <v>334</v>
      </c>
      <c r="K3664" s="7" t="s">
        <v>18</v>
      </c>
      <c r="L3664" s="8">
        <v>39987.315405092595</v>
      </c>
      <c r="M3664" s="9" t="s">
        <v>19</v>
      </c>
      <c r="N3664" s="9" t="s">
        <v>20</v>
      </c>
      <c r="O3664" s="6" t="str">
        <f>HYPERLINK("https://pbs.twimg.com/profile_images/962471262747529216/Uo8lOkRJ_normal.jpg","View")</f>
        <v>View</v>
      </c>
      <c r="P3664" s="7"/>
    </row>
    <row r="3665" spans="1:16">
      <c r="A3665" s="3">
        <v>43907.725740740745</v>
      </c>
      <c r="B3665" s="4" t="str">
        <f>HYPERLINK("https://twitter.com/petrogustavo","@petrogustavo")</f>
        <v>@petrogustavo</v>
      </c>
      <c r="C3665" s="5" t="s">
        <v>16</v>
      </c>
      <c r="D3665" s="5" t="s">
        <v>3596</v>
      </c>
      <c r="E3665" s="6" t="str">
        <f>HYPERLINK("https://twitter.com/petrogustavo/status/1239882943230873603","1239882943230873603")</f>
        <v>1239882943230873603</v>
      </c>
      <c r="F3665" s="7" t="s">
        <v>17</v>
      </c>
      <c r="G3665" s="7">
        <v>3672209</v>
      </c>
      <c r="H3665" s="7">
        <v>2357</v>
      </c>
      <c r="I3665" s="7">
        <v>321</v>
      </c>
      <c r="J3665" s="7">
        <v>0</v>
      </c>
      <c r="K3665" s="7" t="s">
        <v>18</v>
      </c>
      <c r="L3665" s="8">
        <v>39987.315405092595</v>
      </c>
      <c r="M3665" s="9" t="s">
        <v>19</v>
      </c>
      <c r="N3665" s="9" t="s">
        <v>20</v>
      </c>
      <c r="O3665" s="6" t="str">
        <f>HYPERLINK("https://pbs.twimg.com/profile_images/962471262747529216/Uo8lOkRJ_normal.jpg","View")</f>
        <v>View</v>
      </c>
      <c r="P3665" s="7"/>
    </row>
    <row r="3666" spans="1:16">
      <c r="A3666" s="3">
        <v>43907.743287037039</v>
      </c>
      <c r="B3666" s="4" t="str">
        <f>HYPERLINK("https://twitter.com/petrogustavo","@petrogustavo")</f>
        <v>@petrogustavo</v>
      </c>
      <c r="C3666" s="5" t="s">
        <v>16</v>
      </c>
      <c r="D3666" s="5" t="s">
        <v>3597</v>
      </c>
      <c r="E3666" s="6" t="str">
        <f>HYPERLINK("https://twitter.com/petrogustavo/status/1239889304199016449","1239889304199016449")</f>
        <v>1239889304199016449</v>
      </c>
      <c r="F3666" s="7" t="s">
        <v>17</v>
      </c>
      <c r="G3666" s="7">
        <v>3672256</v>
      </c>
      <c r="H3666" s="7">
        <v>2357</v>
      </c>
      <c r="I3666" s="7">
        <v>138</v>
      </c>
      <c r="J3666" s="7">
        <v>528</v>
      </c>
      <c r="K3666" s="7" t="s">
        <v>18</v>
      </c>
      <c r="L3666" s="8">
        <v>39987.315405092595</v>
      </c>
      <c r="M3666" s="9" t="s">
        <v>19</v>
      </c>
      <c r="N3666" s="9" t="s">
        <v>20</v>
      </c>
      <c r="O3666" s="6" t="str">
        <f>HYPERLINK("https://pbs.twimg.com/profile_images/962471262747529216/Uo8lOkRJ_normal.jpg","View")</f>
        <v>View</v>
      </c>
      <c r="P3666" s="7"/>
    </row>
    <row r="3667" spans="1:16">
      <c r="A3667" s="3">
        <v>43907.744305555556</v>
      </c>
      <c r="B3667" s="4" t="str">
        <f>HYPERLINK("https://twitter.com/petrogustavo","@petrogustavo")</f>
        <v>@petrogustavo</v>
      </c>
      <c r="C3667" s="5" t="s">
        <v>16</v>
      </c>
      <c r="D3667" s="5" t="s">
        <v>3596</v>
      </c>
      <c r="E3667" s="6" t="str">
        <f>HYPERLINK("https://twitter.com/petrogustavo/status/1239889673952079872","1239889673952079872")</f>
        <v>1239889673952079872</v>
      </c>
      <c r="F3667" s="7" t="s">
        <v>17</v>
      </c>
      <c r="G3667" s="7">
        <v>3672256</v>
      </c>
      <c r="H3667" s="7">
        <v>2357</v>
      </c>
      <c r="I3667" s="7">
        <v>568</v>
      </c>
      <c r="J3667" s="7">
        <v>0</v>
      </c>
      <c r="K3667" s="7" t="s">
        <v>18</v>
      </c>
      <c r="L3667" s="8">
        <v>39987.315405092595</v>
      </c>
      <c r="M3667" s="9" t="s">
        <v>19</v>
      </c>
      <c r="N3667" s="9" t="s">
        <v>20</v>
      </c>
      <c r="O3667" s="6" t="str">
        <f>HYPERLINK("https://pbs.twimg.com/profile_images/962471262747529216/Uo8lOkRJ_normal.jpg","View")</f>
        <v>View</v>
      </c>
      <c r="P3667" s="7"/>
    </row>
    <row r="3668" spans="1:16">
      <c r="A3668" s="3">
        <v>43907.932974537034</v>
      </c>
      <c r="B3668" s="4" t="str">
        <f>HYPERLINK("https://twitter.com/petrogustavo","@petrogustavo")</f>
        <v>@petrogustavo</v>
      </c>
      <c r="C3668" s="5" t="s">
        <v>16</v>
      </c>
      <c r="D3668" s="5" t="s">
        <v>3598</v>
      </c>
      <c r="E3668" s="6" t="str">
        <f>HYPERLINK("https://twitter.com/petrogustavo/status/1239958042294263808","1239958042294263808")</f>
        <v>1239958042294263808</v>
      </c>
      <c r="F3668" s="7" t="s">
        <v>17</v>
      </c>
      <c r="G3668" s="7">
        <v>3672866</v>
      </c>
      <c r="H3668" s="7">
        <v>2357</v>
      </c>
      <c r="I3668" s="7">
        <v>59</v>
      </c>
      <c r="J3668" s="7">
        <v>151</v>
      </c>
      <c r="K3668" s="7" t="s">
        <v>18</v>
      </c>
      <c r="L3668" s="8">
        <v>39987.315405092595</v>
      </c>
      <c r="M3668" s="9" t="s">
        <v>19</v>
      </c>
      <c r="N3668" s="9" t="s">
        <v>20</v>
      </c>
      <c r="O3668" s="6" t="str">
        <f>HYPERLINK("https://pbs.twimg.com/profile_images/962471262747529216/Uo8lOkRJ_normal.jpg","View")</f>
        <v>View</v>
      </c>
      <c r="P3668" s="7"/>
    </row>
    <row r="3669" spans="1:16">
      <c r="A3669" s="3">
        <v>43907.934189814812</v>
      </c>
      <c r="B3669" s="4" t="str">
        <f>HYPERLINK("https://twitter.com/petrogustavo","@petrogustavo")</f>
        <v>@petrogustavo</v>
      </c>
      <c r="C3669" s="5" t="s">
        <v>16</v>
      </c>
      <c r="D3669" s="5" t="s">
        <v>3599</v>
      </c>
      <c r="E3669" s="6" t="str">
        <f>HYPERLINK("https://twitter.com/petrogustavo/status/1239958482104836097","1239958482104836097")</f>
        <v>1239958482104836097</v>
      </c>
      <c r="F3669" s="7" t="s">
        <v>17</v>
      </c>
      <c r="G3669" s="7">
        <v>3672866</v>
      </c>
      <c r="H3669" s="7">
        <v>2357</v>
      </c>
      <c r="I3669" s="7">
        <v>18</v>
      </c>
      <c r="J3669" s="7">
        <v>56</v>
      </c>
      <c r="K3669" s="7" t="s">
        <v>18</v>
      </c>
      <c r="L3669" s="8">
        <v>39987.315405092595</v>
      </c>
      <c r="M3669" s="9" t="s">
        <v>19</v>
      </c>
      <c r="N3669" s="9" t="s">
        <v>20</v>
      </c>
      <c r="O3669" s="6" t="str">
        <f>HYPERLINK("https://pbs.twimg.com/profile_images/962471262747529216/Uo8lOkRJ_normal.jpg","View")</f>
        <v>View</v>
      </c>
      <c r="P3669" s="7"/>
    </row>
    <row r="3670" spans="1:16">
      <c r="A3670" s="3">
        <v>43907.937337962961</v>
      </c>
      <c r="B3670" s="4" t="str">
        <f>HYPERLINK("https://twitter.com/petrogustavo","@petrogustavo")</f>
        <v>@petrogustavo</v>
      </c>
      <c r="C3670" s="5" t="s">
        <v>16</v>
      </c>
      <c r="D3670" s="5" t="s">
        <v>3600</v>
      </c>
      <c r="E3670" s="6" t="str">
        <f>HYPERLINK("https://twitter.com/petrogustavo/status/1239959625035919360","1239959625035919360")</f>
        <v>1239959625035919360</v>
      </c>
      <c r="F3670" s="7" t="s">
        <v>17</v>
      </c>
      <c r="G3670" s="7">
        <v>3672866</v>
      </c>
      <c r="H3670" s="7">
        <v>2357</v>
      </c>
      <c r="I3670" s="7">
        <v>40</v>
      </c>
      <c r="J3670" s="7">
        <v>102</v>
      </c>
      <c r="K3670" s="7" t="s">
        <v>18</v>
      </c>
      <c r="L3670" s="8">
        <v>39987.315405092595</v>
      </c>
      <c r="M3670" s="9" t="s">
        <v>19</v>
      </c>
      <c r="N3670" s="9" t="s">
        <v>20</v>
      </c>
      <c r="O3670" s="6" t="str">
        <f>HYPERLINK("https://pbs.twimg.com/profile_images/962471262747529216/Uo8lOkRJ_normal.jpg","View")</f>
        <v>View</v>
      </c>
      <c r="P3670" s="7"/>
    </row>
    <row r="3671" spans="1:16">
      <c r="A3671" s="3">
        <v>43907.940925925926</v>
      </c>
      <c r="B3671" s="4" t="str">
        <f>HYPERLINK("https://twitter.com/petrogustavo","@petrogustavo")</f>
        <v>@petrogustavo</v>
      </c>
      <c r="C3671" s="5" t="s">
        <v>16</v>
      </c>
      <c r="D3671" s="5" t="s">
        <v>3601</v>
      </c>
      <c r="E3671" s="6" t="str">
        <f>HYPERLINK("https://twitter.com/petrogustavo/status/1239960926746542083","1239960926746542083")</f>
        <v>1239960926746542083</v>
      </c>
      <c r="F3671" s="7" t="s">
        <v>17</v>
      </c>
      <c r="G3671" s="7">
        <v>3672934</v>
      </c>
      <c r="H3671" s="7">
        <v>2357</v>
      </c>
      <c r="I3671" s="7">
        <v>129</v>
      </c>
      <c r="J3671" s="7">
        <v>391</v>
      </c>
      <c r="K3671" s="7" t="s">
        <v>18</v>
      </c>
      <c r="L3671" s="8">
        <v>39987.315405092595</v>
      </c>
      <c r="M3671" s="9" t="s">
        <v>19</v>
      </c>
      <c r="N3671" s="9" t="s">
        <v>20</v>
      </c>
      <c r="O3671" s="6" t="str">
        <f>HYPERLINK("https://pbs.twimg.com/profile_images/962471262747529216/Uo8lOkRJ_normal.jpg","View")</f>
        <v>View</v>
      </c>
      <c r="P3671" s="7"/>
    </row>
    <row r="3672" spans="1:16">
      <c r="A3672" s="3">
        <v>43907.945960648147</v>
      </c>
      <c r="B3672" s="4" t="str">
        <f>HYPERLINK("https://twitter.com/petrogustavo","@petrogustavo")</f>
        <v>@petrogustavo</v>
      </c>
      <c r="C3672" s="5" t="s">
        <v>16</v>
      </c>
      <c r="D3672" s="5" t="s">
        <v>3602</v>
      </c>
      <c r="E3672" s="6" t="str">
        <f>HYPERLINK("https://twitter.com/petrogustavo/status/1239962748001218560","1239962748001218560")</f>
        <v>1239962748001218560</v>
      </c>
      <c r="F3672" s="7" t="s">
        <v>17</v>
      </c>
      <c r="G3672" s="7">
        <v>3672934</v>
      </c>
      <c r="H3672" s="7">
        <v>2357</v>
      </c>
      <c r="I3672" s="7">
        <v>89</v>
      </c>
      <c r="J3672" s="7">
        <v>269</v>
      </c>
      <c r="K3672" s="7" t="s">
        <v>18</v>
      </c>
      <c r="L3672" s="8">
        <v>39987.315405092595</v>
      </c>
      <c r="M3672" s="9" t="s">
        <v>19</v>
      </c>
      <c r="N3672" s="9" t="s">
        <v>20</v>
      </c>
      <c r="O3672" s="6" t="str">
        <f>HYPERLINK("https://pbs.twimg.com/profile_images/962471262747529216/Uo8lOkRJ_normal.jpg","View")</f>
        <v>View</v>
      </c>
      <c r="P3672" s="7"/>
    </row>
    <row r="3673" spans="1:16">
      <c r="A3673" s="3">
        <v>43907.948819444442</v>
      </c>
      <c r="B3673" s="4" t="str">
        <f>HYPERLINK("https://twitter.com/petrogustavo","@petrogustavo")</f>
        <v>@petrogustavo</v>
      </c>
      <c r="C3673" s="5" t="s">
        <v>16</v>
      </c>
      <c r="D3673" s="5" t="s">
        <v>3603</v>
      </c>
      <c r="E3673" s="6" t="str">
        <f>HYPERLINK("https://twitter.com/petrogustavo/status/1239963786804490245","1239963786804490245")</f>
        <v>1239963786804490245</v>
      </c>
      <c r="F3673" s="7" t="s">
        <v>17</v>
      </c>
      <c r="G3673" s="7">
        <v>3672934</v>
      </c>
      <c r="H3673" s="7">
        <v>2357</v>
      </c>
      <c r="I3673" s="7">
        <v>103</v>
      </c>
      <c r="J3673" s="7">
        <v>302</v>
      </c>
      <c r="K3673" s="7" t="s">
        <v>18</v>
      </c>
      <c r="L3673" s="8">
        <v>39987.315405092595</v>
      </c>
      <c r="M3673" s="9" t="s">
        <v>19</v>
      </c>
      <c r="N3673" s="9" t="s">
        <v>20</v>
      </c>
      <c r="O3673" s="6" t="str">
        <f>HYPERLINK("https://pbs.twimg.com/profile_images/962471262747529216/Uo8lOkRJ_normal.jpg","View")</f>
        <v>View</v>
      </c>
      <c r="P3673" s="7"/>
    </row>
    <row r="3674" spans="1:16">
      <c r="A3674" s="3">
        <v>43907.953402777777</v>
      </c>
      <c r="B3674" s="4" t="str">
        <f>HYPERLINK("https://twitter.com/petrogustavo","@petrogustavo")</f>
        <v>@petrogustavo</v>
      </c>
      <c r="C3674" s="5" t="s">
        <v>16</v>
      </c>
      <c r="D3674" s="5" t="s">
        <v>3604</v>
      </c>
      <c r="E3674" s="6" t="str">
        <f>HYPERLINK("https://twitter.com/petrogustavo/status/1239965444263436288","1239965444263436288")</f>
        <v>1239965444263436288</v>
      </c>
      <c r="F3674" s="7" t="s">
        <v>17</v>
      </c>
      <c r="G3674" s="7">
        <v>3672934</v>
      </c>
      <c r="H3674" s="7">
        <v>2357</v>
      </c>
      <c r="I3674" s="7">
        <v>26</v>
      </c>
      <c r="J3674" s="7">
        <v>68</v>
      </c>
      <c r="K3674" s="7" t="s">
        <v>18</v>
      </c>
      <c r="L3674" s="8">
        <v>39987.315405092595</v>
      </c>
      <c r="M3674" s="9" t="s">
        <v>19</v>
      </c>
      <c r="N3674" s="9" t="s">
        <v>20</v>
      </c>
      <c r="O3674" s="6" t="str">
        <f>HYPERLINK("https://pbs.twimg.com/profile_images/962471262747529216/Uo8lOkRJ_normal.jpg","View")</f>
        <v>View</v>
      </c>
      <c r="P3674" s="7"/>
    </row>
    <row r="3675" spans="1:16">
      <c r="A3675" s="3">
        <v>43907.954583333332</v>
      </c>
      <c r="B3675" s="4" t="str">
        <f>HYPERLINK("https://twitter.com/petrogustavo","@petrogustavo")</f>
        <v>@petrogustavo</v>
      </c>
      <c r="C3675" s="5" t="s">
        <v>16</v>
      </c>
      <c r="D3675" s="5" t="s">
        <v>3605</v>
      </c>
      <c r="E3675" s="6" t="str">
        <f>HYPERLINK("https://twitter.com/petrogustavo/status/1239965874464813056","1239965874464813056")</f>
        <v>1239965874464813056</v>
      </c>
      <c r="F3675" s="7" t="s">
        <v>17</v>
      </c>
      <c r="G3675" s="7">
        <v>3672934</v>
      </c>
      <c r="H3675" s="7">
        <v>2357</v>
      </c>
      <c r="I3675" s="7">
        <v>23</v>
      </c>
      <c r="J3675" s="7">
        <v>101</v>
      </c>
      <c r="K3675" s="7" t="s">
        <v>18</v>
      </c>
      <c r="L3675" s="8">
        <v>39987.315405092595</v>
      </c>
      <c r="M3675" s="9" t="s">
        <v>19</v>
      </c>
      <c r="N3675" s="9" t="s">
        <v>20</v>
      </c>
      <c r="O3675" s="6" t="str">
        <f>HYPERLINK("https://pbs.twimg.com/profile_images/962471262747529216/Uo8lOkRJ_normal.jpg","View")</f>
        <v>View</v>
      </c>
      <c r="P3675" s="7"/>
    </row>
    <row r="3676" spans="1:16">
      <c r="A3676" s="3">
        <v>43907.955995370372</v>
      </c>
      <c r="B3676" s="4" t="str">
        <f>HYPERLINK("https://twitter.com/petrogustavo","@petrogustavo")</f>
        <v>@petrogustavo</v>
      </c>
      <c r="C3676" s="5" t="s">
        <v>16</v>
      </c>
      <c r="D3676" s="5" t="s">
        <v>3606</v>
      </c>
      <c r="E3676" s="6" t="str">
        <f>HYPERLINK("https://twitter.com/petrogustavo/status/1239966386819960835","1239966386819960835")</f>
        <v>1239966386819960835</v>
      </c>
      <c r="F3676" s="7" t="s">
        <v>17</v>
      </c>
      <c r="G3676" s="7">
        <v>3672934</v>
      </c>
      <c r="H3676" s="7">
        <v>2357</v>
      </c>
      <c r="I3676" s="7">
        <v>22</v>
      </c>
      <c r="J3676" s="7">
        <v>102</v>
      </c>
      <c r="K3676" s="7" t="s">
        <v>18</v>
      </c>
      <c r="L3676" s="8">
        <v>39987.315405092595</v>
      </c>
      <c r="M3676" s="9" t="s">
        <v>19</v>
      </c>
      <c r="N3676" s="9" t="s">
        <v>20</v>
      </c>
      <c r="O3676" s="6" t="str">
        <f>HYPERLINK("https://pbs.twimg.com/profile_images/962471262747529216/Uo8lOkRJ_normal.jpg","View")</f>
        <v>View</v>
      </c>
      <c r="P3676" s="7"/>
    </row>
    <row r="3677" spans="1:16">
      <c r="A3677" s="3">
        <v>43907.958402777775</v>
      </c>
      <c r="B3677" s="4" t="str">
        <f>HYPERLINK("https://twitter.com/petrogustavo","@petrogustavo")</f>
        <v>@petrogustavo</v>
      </c>
      <c r="C3677" s="5" t="s">
        <v>16</v>
      </c>
      <c r="D3677" s="5" t="s">
        <v>3607</v>
      </c>
      <c r="E3677" s="6" t="str">
        <f>HYPERLINK("https://twitter.com/petrogustavo/status/1239967256831905793","1239967256831905793")</f>
        <v>1239967256831905793</v>
      </c>
      <c r="F3677" s="7" t="s">
        <v>17</v>
      </c>
      <c r="G3677" s="7">
        <v>3672934</v>
      </c>
      <c r="H3677" s="7">
        <v>2357</v>
      </c>
      <c r="I3677" s="7">
        <v>26</v>
      </c>
      <c r="J3677" s="7">
        <v>94</v>
      </c>
      <c r="K3677" s="7" t="s">
        <v>18</v>
      </c>
      <c r="L3677" s="8">
        <v>39987.315405092595</v>
      </c>
      <c r="M3677" s="9" t="s">
        <v>19</v>
      </c>
      <c r="N3677" s="9" t="s">
        <v>20</v>
      </c>
      <c r="O3677" s="6" t="str">
        <f>HYPERLINK("https://pbs.twimg.com/profile_images/962471262747529216/Uo8lOkRJ_normal.jpg","View")</f>
        <v>View</v>
      </c>
      <c r="P3677" s="7"/>
    </row>
    <row r="3678" spans="1:16">
      <c r="A3678" s="3">
        <v>43907.974027777775</v>
      </c>
      <c r="B3678" s="4" t="str">
        <f>HYPERLINK("https://twitter.com/petrogustavo","@petrogustavo")</f>
        <v>@petrogustavo</v>
      </c>
      <c r="C3678" s="5" t="s">
        <v>16</v>
      </c>
      <c r="D3678" s="5" t="s">
        <v>3608</v>
      </c>
      <c r="E3678" s="6" t="str">
        <f>HYPERLINK("https://twitter.com/petrogustavo/status/1239972922074124299","1239972922074124299")</f>
        <v>1239972922074124299</v>
      </c>
      <c r="F3678" s="7" t="s">
        <v>17</v>
      </c>
      <c r="G3678" s="7">
        <v>3673014</v>
      </c>
      <c r="H3678" s="7">
        <v>2357</v>
      </c>
      <c r="I3678" s="7">
        <v>34</v>
      </c>
      <c r="J3678" s="7">
        <v>157</v>
      </c>
      <c r="K3678" s="7" t="s">
        <v>18</v>
      </c>
      <c r="L3678" s="8">
        <v>39987.315405092595</v>
      </c>
      <c r="M3678" s="9" t="s">
        <v>19</v>
      </c>
      <c r="N3678" s="9" t="s">
        <v>20</v>
      </c>
      <c r="O3678" s="6" t="str">
        <f>HYPERLINK("https://pbs.twimg.com/profile_images/962471262747529216/Uo8lOkRJ_normal.jpg","View")</f>
        <v>View</v>
      </c>
      <c r="P3678" s="7"/>
    </row>
    <row r="3679" spans="1:16">
      <c r="A3679" s="3">
        <v>43907.979189814811</v>
      </c>
      <c r="B3679" s="4" t="str">
        <f>HYPERLINK("https://twitter.com/petrogustavo","@petrogustavo")</f>
        <v>@petrogustavo</v>
      </c>
      <c r="C3679" s="5" t="s">
        <v>16</v>
      </c>
      <c r="D3679" s="5" t="s">
        <v>3609</v>
      </c>
      <c r="E3679" s="6" t="str">
        <f>HYPERLINK("https://twitter.com/petrogustavo/status/1239974791198552070","1239974791198552070")</f>
        <v>1239974791198552070</v>
      </c>
      <c r="F3679" s="7" t="s">
        <v>17</v>
      </c>
      <c r="G3679" s="7">
        <v>3673014</v>
      </c>
      <c r="H3679" s="7">
        <v>2357</v>
      </c>
      <c r="I3679" s="7">
        <v>160</v>
      </c>
      <c r="J3679" s="7">
        <v>0</v>
      </c>
      <c r="K3679" s="7" t="s">
        <v>18</v>
      </c>
      <c r="L3679" s="8">
        <v>39987.315405092595</v>
      </c>
      <c r="M3679" s="9" t="s">
        <v>19</v>
      </c>
      <c r="N3679" s="9" t="s">
        <v>20</v>
      </c>
      <c r="O3679" s="6" t="str">
        <f>HYPERLINK("https://pbs.twimg.com/profile_images/962471262747529216/Uo8lOkRJ_normal.jpg","View")</f>
        <v>View</v>
      </c>
      <c r="P3679" s="7"/>
    </row>
    <row r="3680" spans="1:16">
      <c r="A3680" s="3">
        <v>43908.02820601852</v>
      </c>
      <c r="B3680" s="4" t="str">
        <f>HYPERLINK("https://twitter.com/petrogustavo","@petrogustavo")</f>
        <v>@petrogustavo</v>
      </c>
      <c r="C3680" s="5" t="s">
        <v>16</v>
      </c>
      <c r="D3680" s="5" t="s">
        <v>3610</v>
      </c>
      <c r="E3680" s="6" t="str">
        <f>HYPERLINK("https://twitter.com/petrogustavo/status/1239992553308594177","1239992553308594177")</f>
        <v>1239992553308594177</v>
      </c>
      <c r="F3680" s="7" t="s">
        <v>17</v>
      </c>
      <c r="G3680" s="7">
        <v>3673202</v>
      </c>
      <c r="H3680" s="7">
        <v>2357</v>
      </c>
      <c r="I3680" s="7">
        <v>103</v>
      </c>
      <c r="J3680" s="7">
        <v>395</v>
      </c>
      <c r="K3680" s="7" t="s">
        <v>18</v>
      </c>
      <c r="L3680" s="8">
        <v>39987.315405092595</v>
      </c>
      <c r="M3680" s="9" t="s">
        <v>19</v>
      </c>
      <c r="N3680" s="9" t="s">
        <v>20</v>
      </c>
      <c r="O3680" s="6" t="str">
        <f>HYPERLINK("https://pbs.twimg.com/profile_images/962471262747529216/Uo8lOkRJ_normal.jpg","View")</f>
        <v>View</v>
      </c>
      <c r="P3680" s="7"/>
    </row>
    <row r="3681" spans="1:16">
      <c r="A3681" s="3">
        <v>43908.033287037033</v>
      </c>
      <c r="B3681" s="4" t="str">
        <f>HYPERLINK("https://twitter.com/petrogustavo","@petrogustavo")</f>
        <v>@petrogustavo</v>
      </c>
      <c r="C3681" s="5" t="s">
        <v>16</v>
      </c>
      <c r="D3681" s="5" t="s">
        <v>3611</v>
      </c>
      <c r="E3681" s="6" t="str">
        <f>HYPERLINK("https://twitter.com/petrogustavo/status/1239994394436132865","1239994394436132865")</f>
        <v>1239994394436132865</v>
      </c>
      <c r="F3681" s="7" t="s">
        <v>17</v>
      </c>
      <c r="G3681" s="7">
        <v>3673202</v>
      </c>
      <c r="H3681" s="7">
        <v>2357</v>
      </c>
      <c r="I3681" s="7">
        <v>200</v>
      </c>
      <c r="J3681" s="7">
        <v>692</v>
      </c>
      <c r="K3681" s="7" t="s">
        <v>18</v>
      </c>
      <c r="L3681" s="8">
        <v>39987.315405092595</v>
      </c>
      <c r="M3681" s="9" t="s">
        <v>19</v>
      </c>
      <c r="N3681" s="9" t="s">
        <v>20</v>
      </c>
      <c r="O3681" s="6" t="str">
        <f>HYPERLINK("https://pbs.twimg.com/profile_images/962471262747529216/Uo8lOkRJ_normal.jpg","View")</f>
        <v>View</v>
      </c>
      <c r="P3681" s="7"/>
    </row>
    <row r="3682" spans="1:16">
      <c r="A3682" s="3">
        <v>43908.036932870367</v>
      </c>
      <c r="B3682" s="4" t="str">
        <f>HYPERLINK("https://twitter.com/petrogustavo","@petrogustavo")</f>
        <v>@petrogustavo</v>
      </c>
      <c r="C3682" s="5" t="s">
        <v>16</v>
      </c>
      <c r="D3682" s="5" t="s">
        <v>3612</v>
      </c>
      <c r="E3682" s="6" t="str">
        <f>HYPERLINK("https://twitter.com/petrogustavo/status/1239995717357273096","1239995717357273096")</f>
        <v>1239995717357273096</v>
      </c>
      <c r="F3682" s="7" t="s">
        <v>17</v>
      </c>
      <c r="G3682" s="7">
        <v>3673202</v>
      </c>
      <c r="H3682" s="7">
        <v>2357</v>
      </c>
      <c r="I3682" s="7">
        <v>393</v>
      </c>
      <c r="J3682" s="7">
        <v>0</v>
      </c>
      <c r="K3682" s="7" t="s">
        <v>18</v>
      </c>
      <c r="L3682" s="8">
        <v>39987.315405092595</v>
      </c>
      <c r="M3682" s="9" t="s">
        <v>19</v>
      </c>
      <c r="N3682" s="9" t="s">
        <v>20</v>
      </c>
      <c r="O3682" s="6" t="str">
        <f>HYPERLINK("https://pbs.twimg.com/profile_images/962471262747529216/Uo8lOkRJ_normal.jpg","View")</f>
        <v>View</v>
      </c>
      <c r="P3682" s="7"/>
    </row>
    <row r="3683" spans="1:16">
      <c r="A3683" s="3">
        <v>43908.093993055554</v>
      </c>
      <c r="B3683" s="4" t="str">
        <f>HYPERLINK("https://twitter.com/petrogustavo","@petrogustavo")</f>
        <v>@petrogustavo</v>
      </c>
      <c r="C3683" s="5" t="s">
        <v>16</v>
      </c>
      <c r="D3683" s="5" t="s">
        <v>3613</v>
      </c>
      <c r="E3683" s="6" t="str">
        <f>HYPERLINK("https://twitter.com/petrogustavo/status/1240016394969907204","1240016394969907204")</f>
        <v>1240016394969907204</v>
      </c>
      <c r="F3683" s="7" t="s">
        <v>17</v>
      </c>
      <c r="G3683" s="7">
        <v>3673387</v>
      </c>
      <c r="H3683" s="7">
        <v>2357</v>
      </c>
      <c r="I3683" s="7">
        <v>719</v>
      </c>
      <c r="J3683" s="7">
        <v>0</v>
      </c>
      <c r="K3683" s="7" t="s">
        <v>18</v>
      </c>
      <c r="L3683" s="8">
        <v>39987.315405092595</v>
      </c>
      <c r="M3683" s="9" t="s">
        <v>19</v>
      </c>
      <c r="N3683" s="9" t="s">
        <v>20</v>
      </c>
      <c r="O3683" s="6" t="str">
        <f>HYPERLINK("https://pbs.twimg.com/profile_images/962471262747529216/Uo8lOkRJ_normal.jpg","View")</f>
        <v>View</v>
      </c>
      <c r="P3683" s="7"/>
    </row>
    <row r="3684" spans="1:16">
      <c r="A3684" s="3">
        <v>43908.211099537039</v>
      </c>
      <c r="B3684" s="4" t="str">
        <f>HYPERLINK("https://twitter.com/petrogustavo","@petrogustavo")</f>
        <v>@petrogustavo</v>
      </c>
      <c r="C3684" s="5" t="s">
        <v>16</v>
      </c>
      <c r="D3684" s="5" t="s">
        <v>3613</v>
      </c>
      <c r="E3684" s="6" t="str">
        <f>HYPERLINK("https://twitter.com/petrogustavo/status/1240058832400928779","1240058832400928779")</f>
        <v>1240058832400928779</v>
      </c>
      <c r="F3684" s="7" t="s">
        <v>17</v>
      </c>
      <c r="G3684" s="7">
        <v>3673742</v>
      </c>
      <c r="H3684" s="7">
        <v>2357</v>
      </c>
      <c r="I3684" s="7">
        <v>1285</v>
      </c>
      <c r="J3684" s="7">
        <v>0</v>
      </c>
      <c r="K3684" s="7" t="s">
        <v>18</v>
      </c>
      <c r="L3684" s="8">
        <v>39987.315405092595</v>
      </c>
      <c r="M3684" s="9" t="s">
        <v>19</v>
      </c>
      <c r="N3684" s="9" t="s">
        <v>20</v>
      </c>
      <c r="O3684" s="6" t="str">
        <f>HYPERLINK("https://pbs.twimg.com/profile_images/962471262747529216/Uo8lOkRJ_normal.jpg","View")</f>
        <v>View</v>
      </c>
      <c r="P3684" s="7"/>
    </row>
    <row r="3685" spans="1:16">
      <c r="A3685" s="3">
        <v>43908.227592592593</v>
      </c>
      <c r="B3685" s="4" t="str">
        <f>HYPERLINK("https://twitter.com/petrogustavo","@petrogustavo")</f>
        <v>@petrogustavo</v>
      </c>
      <c r="C3685" s="5" t="s">
        <v>16</v>
      </c>
      <c r="D3685" s="5" t="s">
        <v>3614</v>
      </c>
      <c r="E3685" s="6" t="str">
        <f>HYPERLINK("https://twitter.com/petrogustavo/status/1240064809066016776","1240064809066016776")</f>
        <v>1240064809066016776</v>
      </c>
      <c r="F3685" s="7" t="s">
        <v>17</v>
      </c>
      <c r="G3685" s="7">
        <v>3673742</v>
      </c>
      <c r="H3685" s="7">
        <v>2357</v>
      </c>
      <c r="I3685" s="7">
        <v>50</v>
      </c>
      <c r="J3685" s="7">
        <v>110</v>
      </c>
      <c r="K3685" s="7" t="s">
        <v>18</v>
      </c>
      <c r="L3685" s="8">
        <v>39987.315405092595</v>
      </c>
      <c r="M3685" s="9" t="s">
        <v>19</v>
      </c>
      <c r="N3685" s="9" t="s">
        <v>20</v>
      </c>
      <c r="O3685" s="6" t="str">
        <f>HYPERLINK("https://pbs.twimg.com/profile_images/962471262747529216/Uo8lOkRJ_normal.jpg","View")</f>
        <v>View</v>
      </c>
      <c r="P3685" s="7"/>
    </row>
    <row r="3686" spans="1:16">
      <c r="A3686" s="3">
        <v>43908.251284722224</v>
      </c>
      <c r="B3686" s="4" t="str">
        <f>HYPERLINK("https://twitter.com/petrogustavo","@petrogustavo")</f>
        <v>@petrogustavo</v>
      </c>
      <c r="C3686" s="5" t="s">
        <v>16</v>
      </c>
      <c r="D3686" s="5" t="s">
        <v>3615</v>
      </c>
      <c r="E3686" s="6" t="str">
        <f>HYPERLINK("https://twitter.com/petrogustavo/status/1240073393514385409","1240073393514385409")</f>
        <v>1240073393514385409</v>
      </c>
      <c r="F3686" s="7" t="s">
        <v>21</v>
      </c>
      <c r="G3686" s="7">
        <v>3673802</v>
      </c>
      <c r="H3686" s="7">
        <v>2357</v>
      </c>
      <c r="I3686" s="7">
        <v>27</v>
      </c>
      <c r="J3686" s="7">
        <v>60</v>
      </c>
      <c r="K3686" s="7" t="s">
        <v>18</v>
      </c>
      <c r="L3686" s="8">
        <v>39987.315405092595</v>
      </c>
      <c r="M3686" s="9" t="s">
        <v>19</v>
      </c>
      <c r="N3686" s="9" t="s">
        <v>20</v>
      </c>
      <c r="O3686" s="6" t="str">
        <f>HYPERLINK("https://pbs.twimg.com/profile_images/962471262747529216/Uo8lOkRJ_normal.jpg","View")</f>
        <v>View</v>
      </c>
      <c r="P3686" s="7"/>
    </row>
    <row r="3687" spans="1:16">
      <c r="A3687" s="3">
        <v>43908.271828703699</v>
      </c>
      <c r="B3687" s="4" t="str">
        <f>HYPERLINK("https://twitter.com/petrogustavo","@petrogustavo")</f>
        <v>@petrogustavo</v>
      </c>
      <c r="C3687" s="5" t="s">
        <v>16</v>
      </c>
      <c r="D3687" s="5" t="s">
        <v>3609</v>
      </c>
      <c r="E3687" s="6" t="str">
        <f>HYPERLINK("https://twitter.com/petrogustavo/status/1240080839356153862","1240080839356153862")</f>
        <v>1240080839356153862</v>
      </c>
      <c r="F3687" s="7" t="s">
        <v>17</v>
      </c>
      <c r="G3687" s="7">
        <v>3673899</v>
      </c>
      <c r="H3687" s="7">
        <v>2357</v>
      </c>
      <c r="I3687" s="7">
        <v>818</v>
      </c>
      <c r="J3687" s="7">
        <v>0</v>
      </c>
      <c r="K3687" s="7" t="s">
        <v>18</v>
      </c>
      <c r="L3687" s="8">
        <v>39987.315405092595</v>
      </c>
      <c r="M3687" s="9" t="s">
        <v>19</v>
      </c>
      <c r="N3687" s="9" t="s">
        <v>20</v>
      </c>
      <c r="O3687" s="6" t="str">
        <f>HYPERLINK("https://pbs.twimg.com/profile_images/962471262747529216/Uo8lOkRJ_normal.jpg","View")</f>
        <v>View</v>
      </c>
      <c r="P3687" s="7"/>
    </row>
    <row r="3688" spans="1:16">
      <c r="A3688" s="3">
        <v>43908.283263888894</v>
      </c>
      <c r="B3688" s="4" t="str">
        <f>HYPERLINK("https://twitter.com/petrogustavo","@petrogustavo")</f>
        <v>@petrogustavo</v>
      </c>
      <c r="C3688" s="5" t="s">
        <v>16</v>
      </c>
      <c r="D3688" s="5" t="s">
        <v>3616</v>
      </c>
      <c r="E3688" s="6" t="str">
        <f>HYPERLINK("https://twitter.com/petrogustavo/status/1240084985698271237","1240084985698271237")</f>
        <v>1240084985698271237</v>
      </c>
      <c r="F3688" s="7" t="s">
        <v>17</v>
      </c>
      <c r="G3688" s="7">
        <v>3673975</v>
      </c>
      <c r="H3688" s="7">
        <v>2357</v>
      </c>
      <c r="I3688" s="7">
        <v>238</v>
      </c>
      <c r="J3688" s="7">
        <v>719</v>
      </c>
      <c r="K3688" s="7" t="s">
        <v>18</v>
      </c>
      <c r="L3688" s="8">
        <v>39987.315405092595</v>
      </c>
      <c r="M3688" s="9" t="s">
        <v>19</v>
      </c>
      <c r="N3688" s="9" t="s">
        <v>20</v>
      </c>
      <c r="O3688" s="6" t="str">
        <f>HYPERLINK("https://pbs.twimg.com/profile_images/962471262747529216/Uo8lOkRJ_normal.jpg","View")</f>
        <v>View</v>
      </c>
      <c r="P3688" s="7"/>
    </row>
    <row r="3689" spans="1:16">
      <c r="A3689" s="3">
        <v>43908.287974537037</v>
      </c>
      <c r="B3689" s="4" t="str">
        <f>HYPERLINK("https://twitter.com/petrogustavo","@petrogustavo")</f>
        <v>@petrogustavo</v>
      </c>
      <c r="C3689" s="5" t="s">
        <v>16</v>
      </c>
      <c r="D3689" s="5" t="s">
        <v>3617</v>
      </c>
      <c r="E3689" s="6" t="str">
        <f>HYPERLINK("https://twitter.com/petrogustavo/status/1240086690993233921","1240086690993233921")</f>
        <v>1240086690993233921</v>
      </c>
      <c r="F3689" s="7" t="s">
        <v>17</v>
      </c>
      <c r="G3689" s="7">
        <v>3673975</v>
      </c>
      <c r="H3689" s="7">
        <v>2357</v>
      </c>
      <c r="I3689" s="7">
        <v>75</v>
      </c>
      <c r="J3689" s="7">
        <v>212</v>
      </c>
      <c r="K3689" s="7" t="s">
        <v>18</v>
      </c>
      <c r="L3689" s="8">
        <v>39987.315405092595</v>
      </c>
      <c r="M3689" s="9" t="s">
        <v>19</v>
      </c>
      <c r="N3689" s="9" t="s">
        <v>20</v>
      </c>
      <c r="O3689" s="6" t="str">
        <f>HYPERLINK("https://pbs.twimg.com/profile_images/962471262747529216/Uo8lOkRJ_normal.jpg","View")</f>
        <v>View</v>
      </c>
      <c r="P3689" s="7"/>
    </row>
    <row r="3690" spans="1:16">
      <c r="A3690" s="3">
        <v>43908.290856481486</v>
      </c>
      <c r="B3690" s="4" t="str">
        <f>HYPERLINK("https://twitter.com/petrogustavo","@petrogustavo")</f>
        <v>@petrogustavo</v>
      </c>
      <c r="C3690" s="5" t="s">
        <v>16</v>
      </c>
      <c r="D3690" s="5" t="s">
        <v>3618</v>
      </c>
      <c r="E3690" s="6" t="str">
        <f>HYPERLINK("https://twitter.com/petrogustavo/status/1240087736154980354","1240087736154980354")</f>
        <v>1240087736154980354</v>
      </c>
      <c r="F3690" s="7" t="s">
        <v>32</v>
      </c>
      <c r="G3690" s="7">
        <v>3673975</v>
      </c>
      <c r="H3690" s="7">
        <v>2357</v>
      </c>
      <c r="I3690" s="7">
        <v>313</v>
      </c>
      <c r="J3690" s="7">
        <v>0</v>
      </c>
      <c r="K3690" s="7" t="s">
        <v>18</v>
      </c>
      <c r="L3690" s="8">
        <v>39987.315405092595</v>
      </c>
      <c r="M3690" s="9" t="s">
        <v>19</v>
      </c>
      <c r="N3690" s="9" t="s">
        <v>20</v>
      </c>
      <c r="O3690" s="6" t="str">
        <f>HYPERLINK("https://pbs.twimg.com/profile_images/962471262747529216/Uo8lOkRJ_normal.jpg","View")</f>
        <v>View</v>
      </c>
      <c r="P3690" s="7"/>
    </row>
    <row r="3691" spans="1:16">
      <c r="A3691" s="3">
        <v>43908.314085648148</v>
      </c>
      <c r="B3691" s="4" t="str">
        <f>HYPERLINK("https://twitter.com/petrogustavo","@petrogustavo")</f>
        <v>@petrogustavo</v>
      </c>
      <c r="C3691" s="5" t="s">
        <v>16</v>
      </c>
      <c r="D3691" s="5" t="s">
        <v>3619</v>
      </c>
      <c r="E3691" s="6" t="str">
        <f>HYPERLINK("https://twitter.com/petrogustavo/status/1240096154530066437","1240096154530066437")</f>
        <v>1240096154530066437</v>
      </c>
      <c r="F3691" s="7" t="s">
        <v>21</v>
      </c>
      <c r="G3691" s="7">
        <v>3674074</v>
      </c>
      <c r="H3691" s="7">
        <v>2357</v>
      </c>
      <c r="I3691" s="7">
        <v>14</v>
      </c>
      <c r="J3691" s="7">
        <v>14</v>
      </c>
      <c r="K3691" s="7" t="s">
        <v>18</v>
      </c>
      <c r="L3691" s="8">
        <v>39987.315405092595</v>
      </c>
      <c r="M3691" s="9" t="s">
        <v>19</v>
      </c>
      <c r="N3691" s="9" t="s">
        <v>20</v>
      </c>
      <c r="O3691" s="6" t="str">
        <f>HYPERLINK("https://pbs.twimg.com/profile_images/962471262747529216/Uo8lOkRJ_normal.jpg","View")</f>
        <v>View</v>
      </c>
      <c r="P3691" s="7"/>
    </row>
    <row r="3692" spans="1:16">
      <c r="A3692" s="3">
        <v>43908.315208333333</v>
      </c>
      <c r="B3692" s="4" t="str">
        <f>HYPERLINK("https://twitter.com/petrogustavo","@petrogustavo")</f>
        <v>@petrogustavo</v>
      </c>
      <c r="C3692" s="5" t="s">
        <v>16</v>
      </c>
      <c r="D3692" s="5" t="s">
        <v>3620</v>
      </c>
      <c r="E3692" s="6" t="str">
        <f>HYPERLINK("https://twitter.com/petrogustavo/status/1240096558227623937","1240096558227623937")</f>
        <v>1240096558227623937</v>
      </c>
      <c r="F3692" s="7" t="s">
        <v>21</v>
      </c>
      <c r="G3692" s="7">
        <v>3674123</v>
      </c>
      <c r="H3692" s="7">
        <v>2356</v>
      </c>
      <c r="I3692" s="7">
        <v>622</v>
      </c>
      <c r="J3692" s="7">
        <v>817</v>
      </c>
      <c r="K3692" s="7" t="s">
        <v>18</v>
      </c>
      <c r="L3692" s="8">
        <v>39987.315405092595</v>
      </c>
      <c r="M3692" s="9" t="s">
        <v>19</v>
      </c>
      <c r="N3692" s="9" t="s">
        <v>20</v>
      </c>
      <c r="O3692" s="6" t="str">
        <f>HYPERLINK("https://pbs.twimg.com/profile_images/962471262747529216/Uo8lOkRJ_normal.jpg","View")</f>
        <v>View</v>
      </c>
      <c r="P3692" s="7"/>
    </row>
    <row r="3693" spans="1:16">
      <c r="A3693" s="3">
        <v>43908.706701388888</v>
      </c>
      <c r="B3693" s="4" t="str">
        <f>HYPERLINK("https://twitter.com/petrogustavo","@petrogustavo")</f>
        <v>@petrogustavo</v>
      </c>
      <c r="C3693" s="5" t="s">
        <v>16</v>
      </c>
      <c r="D3693" s="5" t="s">
        <v>3621</v>
      </c>
      <c r="E3693" s="6" t="str">
        <f>HYPERLINK("https://twitter.com/petrogustavo/status/1240238434549194753","1240238434549194753")</f>
        <v>1240238434549194753</v>
      </c>
      <c r="F3693" s="7" t="s">
        <v>17</v>
      </c>
      <c r="G3693" s="7">
        <v>3674803</v>
      </c>
      <c r="H3693" s="7">
        <v>2356</v>
      </c>
      <c r="I3693" s="7">
        <v>99</v>
      </c>
      <c r="J3693" s="7">
        <v>306</v>
      </c>
      <c r="K3693" s="7" t="s">
        <v>18</v>
      </c>
      <c r="L3693" s="8">
        <v>39987.315405092595</v>
      </c>
      <c r="M3693" s="9" t="s">
        <v>19</v>
      </c>
      <c r="N3693" s="9" t="s">
        <v>20</v>
      </c>
      <c r="O3693" s="6" t="str">
        <f>HYPERLINK("https://pbs.twimg.com/profile_images/962471262747529216/Uo8lOkRJ_normal.jpg","View")</f>
        <v>View</v>
      </c>
      <c r="P3693" s="7"/>
    </row>
    <row r="3694" spans="1:16">
      <c r="A3694" s="3">
        <v>43908.713344907403</v>
      </c>
      <c r="B3694" s="4" t="str">
        <f>HYPERLINK("https://twitter.com/petrogustavo","@petrogustavo")</f>
        <v>@petrogustavo</v>
      </c>
      <c r="C3694" s="5" t="s">
        <v>16</v>
      </c>
      <c r="D3694" s="5" t="s">
        <v>3622</v>
      </c>
      <c r="E3694" s="6" t="str">
        <f>HYPERLINK("https://twitter.com/petrogustavo/status/1240240839848349697","1240240839848349697")</f>
        <v>1240240839848349697</v>
      </c>
      <c r="F3694" s="7" t="s">
        <v>17</v>
      </c>
      <c r="G3694" s="7">
        <v>3674854</v>
      </c>
      <c r="H3694" s="7">
        <v>2356</v>
      </c>
      <c r="I3694" s="7">
        <v>374</v>
      </c>
      <c r="J3694" s="7">
        <v>0</v>
      </c>
      <c r="K3694" s="7" t="s">
        <v>18</v>
      </c>
      <c r="L3694" s="8">
        <v>39987.315405092595</v>
      </c>
      <c r="M3694" s="9" t="s">
        <v>19</v>
      </c>
      <c r="N3694" s="9" t="s">
        <v>20</v>
      </c>
      <c r="O3694" s="6" t="str">
        <f>HYPERLINK("https://pbs.twimg.com/profile_images/962471262747529216/Uo8lOkRJ_normal.jpg","View")</f>
        <v>View</v>
      </c>
      <c r="P3694" s="7"/>
    </row>
    <row r="3695" spans="1:16">
      <c r="A3695" s="3">
        <v>43908.71607638889</v>
      </c>
      <c r="B3695" s="4" t="str">
        <f>HYPERLINK("https://twitter.com/petrogustavo","@petrogustavo")</f>
        <v>@petrogustavo</v>
      </c>
      <c r="C3695" s="5" t="s">
        <v>16</v>
      </c>
      <c r="D3695" s="5" t="s">
        <v>3623</v>
      </c>
      <c r="E3695" s="6" t="str">
        <f>HYPERLINK("https://twitter.com/petrogustavo/status/1240241828189921284","1240241828189921284")</f>
        <v>1240241828189921284</v>
      </c>
      <c r="F3695" s="7" t="s">
        <v>17</v>
      </c>
      <c r="G3695" s="7">
        <v>3674854</v>
      </c>
      <c r="H3695" s="7">
        <v>2356</v>
      </c>
      <c r="I3695" s="7">
        <v>45</v>
      </c>
      <c r="J3695" s="7">
        <v>0</v>
      </c>
      <c r="K3695" s="7" t="s">
        <v>18</v>
      </c>
      <c r="L3695" s="8">
        <v>39987.315405092595</v>
      </c>
      <c r="M3695" s="9" t="s">
        <v>19</v>
      </c>
      <c r="N3695" s="9" t="s">
        <v>20</v>
      </c>
      <c r="O3695" s="6" t="str">
        <f>HYPERLINK("https://pbs.twimg.com/profile_images/962471262747529216/Uo8lOkRJ_normal.jpg","View")</f>
        <v>View</v>
      </c>
      <c r="P3695" s="7"/>
    </row>
    <row r="3696" spans="1:16">
      <c r="A3696" s="3">
        <v>43908.716249999998</v>
      </c>
      <c r="B3696" s="4" t="str">
        <f>HYPERLINK("https://twitter.com/petrogustavo","@petrogustavo")</f>
        <v>@petrogustavo</v>
      </c>
      <c r="C3696" s="5" t="s">
        <v>16</v>
      </c>
      <c r="D3696" s="5" t="s">
        <v>3624</v>
      </c>
      <c r="E3696" s="6" t="str">
        <f>HYPERLINK("https://twitter.com/petrogustavo/status/1240241894153752577","1240241894153752577")</f>
        <v>1240241894153752577</v>
      </c>
      <c r="F3696" s="7" t="s">
        <v>17</v>
      </c>
      <c r="G3696" s="7">
        <v>3674854</v>
      </c>
      <c r="H3696" s="7">
        <v>2356</v>
      </c>
      <c r="I3696" s="7">
        <v>520</v>
      </c>
      <c r="J3696" s="7">
        <v>0</v>
      </c>
      <c r="K3696" s="7" t="s">
        <v>18</v>
      </c>
      <c r="L3696" s="8">
        <v>39987.315405092595</v>
      </c>
      <c r="M3696" s="9" t="s">
        <v>19</v>
      </c>
      <c r="N3696" s="9" t="s">
        <v>20</v>
      </c>
      <c r="O3696" s="6" t="str">
        <f>HYPERLINK("https://pbs.twimg.com/profile_images/962471262747529216/Uo8lOkRJ_normal.jpg","View")</f>
        <v>View</v>
      </c>
      <c r="P3696" s="7"/>
    </row>
    <row r="3697" spans="1:16">
      <c r="A3697" s="3">
        <v>43908.733564814815</v>
      </c>
      <c r="B3697" s="4" t="str">
        <f>HYPERLINK("https://twitter.com/petrogustavo","@petrogustavo")</f>
        <v>@petrogustavo</v>
      </c>
      <c r="C3697" s="5" t="s">
        <v>16</v>
      </c>
      <c r="D3697" s="5" t="s">
        <v>3625</v>
      </c>
      <c r="E3697" s="6" t="str">
        <f>HYPERLINK("https://twitter.com/petrogustavo/status/1240248167402221568","1240248167402221568")</f>
        <v>1240248167402221568</v>
      </c>
      <c r="F3697" s="7" t="s">
        <v>17</v>
      </c>
      <c r="G3697" s="7">
        <v>3674910</v>
      </c>
      <c r="H3697" s="7">
        <v>2356</v>
      </c>
      <c r="I3697" s="7">
        <v>232</v>
      </c>
      <c r="J3697" s="7">
        <v>580</v>
      </c>
      <c r="K3697" s="7" t="s">
        <v>18</v>
      </c>
      <c r="L3697" s="8">
        <v>39987.315405092595</v>
      </c>
      <c r="M3697" s="9" t="s">
        <v>19</v>
      </c>
      <c r="N3697" s="9" t="s">
        <v>20</v>
      </c>
      <c r="O3697" s="6" t="str">
        <f>HYPERLINK("https://pbs.twimg.com/profile_images/962471262747529216/Uo8lOkRJ_normal.jpg","View")</f>
        <v>View</v>
      </c>
      <c r="P3697" s="7"/>
    </row>
    <row r="3698" spans="1:16">
      <c r="A3698" s="3">
        <v>43908.736770833333</v>
      </c>
      <c r="B3698" s="4" t="str">
        <f>HYPERLINK("https://twitter.com/petrogustavo","@petrogustavo")</f>
        <v>@petrogustavo</v>
      </c>
      <c r="C3698" s="5" t="s">
        <v>16</v>
      </c>
      <c r="D3698" s="5" t="s">
        <v>3626</v>
      </c>
      <c r="E3698" s="6" t="str">
        <f>HYPERLINK("https://twitter.com/petrogustavo/status/1240249330923114496","1240249330923114496")</f>
        <v>1240249330923114496</v>
      </c>
      <c r="F3698" s="7" t="s">
        <v>17</v>
      </c>
      <c r="G3698" s="7">
        <v>3674910</v>
      </c>
      <c r="H3698" s="7">
        <v>2356</v>
      </c>
      <c r="I3698" s="7">
        <v>113</v>
      </c>
      <c r="J3698" s="7">
        <v>274</v>
      </c>
      <c r="K3698" s="7" t="s">
        <v>18</v>
      </c>
      <c r="L3698" s="8">
        <v>39987.315405092595</v>
      </c>
      <c r="M3698" s="9" t="s">
        <v>19</v>
      </c>
      <c r="N3698" s="9" t="s">
        <v>20</v>
      </c>
      <c r="O3698" s="6" t="str">
        <f>HYPERLINK("https://pbs.twimg.com/profile_images/962471262747529216/Uo8lOkRJ_normal.jpg","View")</f>
        <v>View</v>
      </c>
      <c r="P3698" s="7"/>
    </row>
    <row r="3699" spans="1:16">
      <c r="A3699" s="3">
        <v>43908.753518518519</v>
      </c>
      <c r="B3699" s="4" t="str">
        <f>HYPERLINK("https://twitter.com/petrogustavo","@petrogustavo")</f>
        <v>@petrogustavo</v>
      </c>
      <c r="C3699" s="5" t="s">
        <v>16</v>
      </c>
      <c r="D3699" s="5" t="s">
        <v>3627</v>
      </c>
      <c r="E3699" s="6" t="str">
        <f>HYPERLINK("https://twitter.com/petrogustavo/status/1240255397518290950","1240255397518290950")</f>
        <v>1240255397518290950</v>
      </c>
      <c r="F3699" s="7" t="s">
        <v>17</v>
      </c>
      <c r="G3699" s="7">
        <v>3674988</v>
      </c>
      <c r="H3699" s="7">
        <v>2356</v>
      </c>
      <c r="I3699" s="7">
        <v>173</v>
      </c>
      <c r="J3699" s="7">
        <v>295</v>
      </c>
      <c r="K3699" s="7" t="s">
        <v>18</v>
      </c>
      <c r="L3699" s="8">
        <v>39987.315405092595</v>
      </c>
      <c r="M3699" s="9" t="s">
        <v>19</v>
      </c>
      <c r="N3699" s="9" t="s">
        <v>20</v>
      </c>
      <c r="O3699" s="6" t="str">
        <f>HYPERLINK("https://pbs.twimg.com/profile_images/962471262747529216/Uo8lOkRJ_normal.jpg","View")</f>
        <v>View</v>
      </c>
      <c r="P3699" s="7"/>
    </row>
    <row r="3700" spans="1:16">
      <c r="A3700" s="3">
        <v>43908.762997685189</v>
      </c>
      <c r="B3700" s="4" t="str">
        <f>HYPERLINK("https://twitter.com/petrogustavo","@petrogustavo")</f>
        <v>@petrogustavo</v>
      </c>
      <c r="C3700" s="5" t="s">
        <v>16</v>
      </c>
      <c r="D3700" s="5" t="s">
        <v>3628</v>
      </c>
      <c r="E3700" s="6" t="str">
        <f>HYPERLINK("https://twitter.com/petrogustavo/status/1240258834746269696","1240258834746269696")</f>
        <v>1240258834746269696</v>
      </c>
      <c r="F3700" s="7" t="s">
        <v>17</v>
      </c>
      <c r="G3700" s="7">
        <v>3674988</v>
      </c>
      <c r="H3700" s="7">
        <v>2356</v>
      </c>
      <c r="I3700" s="7">
        <v>151</v>
      </c>
      <c r="J3700" s="7">
        <v>362</v>
      </c>
      <c r="K3700" s="7" t="s">
        <v>18</v>
      </c>
      <c r="L3700" s="8">
        <v>39987.315405092595</v>
      </c>
      <c r="M3700" s="9" t="s">
        <v>19</v>
      </c>
      <c r="N3700" s="9" t="s">
        <v>20</v>
      </c>
      <c r="O3700" s="6" t="str">
        <f>HYPERLINK("https://pbs.twimg.com/profile_images/962471262747529216/Uo8lOkRJ_normal.jpg","View")</f>
        <v>View</v>
      </c>
      <c r="P3700" s="7"/>
    </row>
    <row r="3701" spans="1:16">
      <c r="A3701" s="3">
        <v>43908.763310185182</v>
      </c>
      <c r="B3701" s="4" t="str">
        <f>HYPERLINK("https://twitter.com/petrogustavo","@petrogustavo")</f>
        <v>@petrogustavo</v>
      </c>
      <c r="C3701" s="5" t="s">
        <v>16</v>
      </c>
      <c r="D3701" s="5" t="s">
        <v>3629</v>
      </c>
      <c r="E3701" s="6" t="str">
        <f>HYPERLINK("https://twitter.com/petrogustavo/status/1240258945719185409","1240258945719185409")</f>
        <v>1240258945719185409</v>
      </c>
      <c r="F3701" s="7" t="s">
        <v>17</v>
      </c>
      <c r="G3701" s="7">
        <v>3674988</v>
      </c>
      <c r="H3701" s="7">
        <v>2356</v>
      </c>
      <c r="I3701" s="7">
        <v>173</v>
      </c>
      <c r="J3701" s="7">
        <v>0</v>
      </c>
      <c r="K3701" s="7" t="s">
        <v>18</v>
      </c>
      <c r="L3701" s="8">
        <v>39987.315405092595</v>
      </c>
      <c r="M3701" s="9" t="s">
        <v>19</v>
      </c>
      <c r="N3701" s="9" t="s">
        <v>20</v>
      </c>
      <c r="O3701" s="6" t="str">
        <f>HYPERLINK("https://pbs.twimg.com/profile_images/962471262747529216/Uo8lOkRJ_normal.jpg","View")</f>
        <v>View</v>
      </c>
      <c r="P3701" s="7"/>
    </row>
    <row r="3702" spans="1:16">
      <c r="A3702" s="3">
        <v>43908.782743055555</v>
      </c>
      <c r="B3702" s="4" t="str">
        <f>HYPERLINK("https://twitter.com/petrogustavo","@petrogustavo")</f>
        <v>@petrogustavo</v>
      </c>
      <c r="C3702" s="5" t="s">
        <v>16</v>
      </c>
      <c r="D3702" s="5" t="s">
        <v>3630</v>
      </c>
      <c r="E3702" s="6" t="str">
        <f>HYPERLINK("https://twitter.com/petrogustavo/status/1240265990006603778","1240265990006603778")</f>
        <v>1240265990006603778</v>
      </c>
      <c r="F3702" s="7" t="s">
        <v>17</v>
      </c>
      <c r="G3702" s="7">
        <v>3675059</v>
      </c>
      <c r="H3702" s="7">
        <v>2356</v>
      </c>
      <c r="I3702" s="7">
        <v>56</v>
      </c>
      <c r="J3702" s="7">
        <v>0</v>
      </c>
      <c r="K3702" s="7" t="s">
        <v>18</v>
      </c>
      <c r="L3702" s="8">
        <v>39987.315405092595</v>
      </c>
      <c r="M3702" s="9" t="s">
        <v>19</v>
      </c>
      <c r="N3702" s="9" t="s">
        <v>20</v>
      </c>
      <c r="O3702" s="6" t="str">
        <f>HYPERLINK("https://pbs.twimg.com/profile_images/962471262747529216/Uo8lOkRJ_normal.jpg","View")</f>
        <v>View</v>
      </c>
      <c r="P3702" s="7"/>
    </row>
    <row r="3703" spans="1:16">
      <c r="A3703" s="3">
        <v>43908.783506944441</v>
      </c>
      <c r="B3703" s="4" t="str">
        <f>HYPERLINK("https://twitter.com/petrogustavo","@petrogustavo")</f>
        <v>@petrogustavo</v>
      </c>
      <c r="C3703" s="5" t="s">
        <v>16</v>
      </c>
      <c r="D3703" s="5" t="s">
        <v>3631</v>
      </c>
      <c r="E3703" s="6" t="str">
        <f>HYPERLINK("https://twitter.com/petrogustavo/status/1240266264850857984","1240266264850857984")</f>
        <v>1240266264850857984</v>
      </c>
      <c r="F3703" s="7" t="s">
        <v>17</v>
      </c>
      <c r="G3703" s="7">
        <v>3675059</v>
      </c>
      <c r="H3703" s="7">
        <v>2356</v>
      </c>
      <c r="I3703" s="7">
        <v>13223</v>
      </c>
      <c r="J3703" s="7">
        <v>0</v>
      </c>
      <c r="K3703" s="7" t="s">
        <v>18</v>
      </c>
      <c r="L3703" s="8">
        <v>39987.315405092595</v>
      </c>
      <c r="M3703" s="9" t="s">
        <v>19</v>
      </c>
      <c r="N3703" s="9" t="s">
        <v>20</v>
      </c>
      <c r="O3703" s="6" t="str">
        <f>HYPERLINK("https://pbs.twimg.com/profile_images/962471262747529216/Uo8lOkRJ_normal.jpg","View")</f>
        <v>View</v>
      </c>
      <c r="P3703" s="7"/>
    </row>
    <row r="3704" spans="1:16">
      <c r="A3704" s="3">
        <v>43908.78606481482</v>
      </c>
      <c r="B3704" s="4" t="str">
        <f>HYPERLINK("https://twitter.com/petrogustavo","@petrogustavo")</f>
        <v>@petrogustavo</v>
      </c>
      <c r="C3704" s="5" t="s">
        <v>16</v>
      </c>
      <c r="D3704" s="5" t="s">
        <v>3632</v>
      </c>
      <c r="E3704" s="6" t="str">
        <f>HYPERLINK("https://twitter.com/petrogustavo/status/1240267192987529216","1240267192987529216")</f>
        <v>1240267192987529216</v>
      </c>
      <c r="F3704" s="7" t="s">
        <v>17</v>
      </c>
      <c r="G3704" s="7">
        <v>3675059</v>
      </c>
      <c r="H3704" s="7">
        <v>2356</v>
      </c>
      <c r="I3704" s="7">
        <v>186</v>
      </c>
      <c r="J3704" s="7">
        <v>367</v>
      </c>
      <c r="K3704" s="7" t="s">
        <v>18</v>
      </c>
      <c r="L3704" s="8">
        <v>39987.315405092595</v>
      </c>
      <c r="M3704" s="9" t="s">
        <v>19</v>
      </c>
      <c r="N3704" s="9" t="s">
        <v>20</v>
      </c>
      <c r="O3704" s="6" t="str">
        <f>HYPERLINK("https://pbs.twimg.com/profile_images/962471262747529216/Uo8lOkRJ_normal.jpg","View")</f>
        <v>View</v>
      </c>
      <c r="P3704" s="7"/>
    </row>
    <row r="3705" spans="1:16">
      <c r="A3705" s="3">
        <v>43908.789317129631</v>
      </c>
      <c r="B3705" s="4" t="str">
        <f>HYPERLINK("https://twitter.com/petrogustavo","@petrogustavo")</f>
        <v>@petrogustavo</v>
      </c>
      <c r="C3705" s="5" t="s">
        <v>16</v>
      </c>
      <c r="D3705" s="5" t="s">
        <v>3633</v>
      </c>
      <c r="E3705" s="6" t="str">
        <f>HYPERLINK("https://twitter.com/petrogustavo/status/1240268369753931776","1240268369753931776")</f>
        <v>1240268369753931776</v>
      </c>
      <c r="F3705" s="7" t="s">
        <v>17</v>
      </c>
      <c r="G3705" s="7">
        <v>3675059</v>
      </c>
      <c r="H3705" s="7">
        <v>2356</v>
      </c>
      <c r="I3705" s="7">
        <v>106</v>
      </c>
      <c r="J3705" s="7">
        <v>310</v>
      </c>
      <c r="K3705" s="7" t="s">
        <v>18</v>
      </c>
      <c r="L3705" s="8">
        <v>39987.315405092595</v>
      </c>
      <c r="M3705" s="9" t="s">
        <v>19</v>
      </c>
      <c r="N3705" s="9" t="s">
        <v>20</v>
      </c>
      <c r="O3705" s="6" t="str">
        <f>HYPERLINK("https://pbs.twimg.com/profile_images/962471262747529216/Uo8lOkRJ_normal.jpg","View")</f>
        <v>View</v>
      </c>
      <c r="P3705" s="7"/>
    </row>
    <row r="3706" spans="1:16">
      <c r="A3706" s="3">
        <v>43908.795740740738</v>
      </c>
      <c r="B3706" s="4" t="str">
        <f>HYPERLINK("https://twitter.com/petrogustavo","@petrogustavo")</f>
        <v>@petrogustavo</v>
      </c>
      <c r="C3706" s="5" t="s">
        <v>16</v>
      </c>
      <c r="D3706" s="5" t="s">
        <v>3634</v>
      </c>
      <c r="E3706" s="6" t="str">
        <f>HYPERLINK("https://twitter.com/petrogustavo/status/1240270698117058560","1240270698117058560")</f>
        <v>1240270698117058560</v>
      </c>
      <c r="F3706" s="7" t="s">
        <v>17</v>
      </c>
      <c r="G3706" s="7">
        <v>3675138</v>
      </c>
      <c r="H3706" s="7">
        <v>2356</v>
      </c>
      <c r="I3706" s="7">
        <v>178</v>
      </c>
      <c r="J3706" s="7">
        <v>438</v>
      </c>
      <c r="K3706" s="7" t="s">
        <v>18</v>
      </c>
      <c r="L3706" s="8">
        <v>39987.315405092595</v>
      </c>
      <c r="M3706" s="9" t="s">
        <v>19</v>
      </c>
      <c r="N3706" s="9" t="s">
        <v>20</v>
      </c>
      <c r="O3706" s="6" t="str">
        <f>HYPERLINK("https://pbs.twimg.com/profile_images/962471262747529216/Uo8lOkRJ_normal.jpg","View")</f>
        <v>View</v>
      </c>
      <c r="P3706" s="7"/>
    </row>
    <row r="3707" spans="1:16">
      <c r="A3707" s="3">
        <v>43908.797002314815</v>
      </c>
      <c r="B3707" s="4" t="str">
        <f>HYPERLINK("https://twitter.com/petrogustavo","@petrogustavo")</f>
        <v>@petrogustavo</v>
      </c>
      <c r="C3707" s="5" t="s">
        <v>16</v>
      </c>
      <c r="D3707" s="5" t="s">
        <v>3635</v>
      </c>
      <c r="E3707" s="6" t="str">
        <f>HYPERLINK("https://twitter.com/petrogustavo/status/1240271154683817984","1240271154683817984")</f>
        <v>1240271154683817984</v>
      </c>
      <c r="F3707" s="7" t="s">
        <v>17</v>
      </c>
      <c r="G3707" s="7">
        <v>3675138</v>
      </c>
      <c r="H3707" s="7">
        <v>2356</v>
      </c>
      <c r="I3707" s="7">
        <v>61</v>
      </c>
      <c r="J3707" s="7">
        <v>210</v>
      </c>
      <c r="K3707" s="7" t="s">
        <v>18</v>
      </c>
      <c r="L3707" s="8">
        <v>39987.315405092595</v>
      </c>
      <c r="M3707" s="9" t="s">
        <v>19</v>
      </c>
      <c r="N3707" s="9" t="s">
        <v>20</v>
      </c>
      <c r="O3707" s="6" t="str">
        <f>HYPERLINK("https://pbs.twimg.com/profile_images/962471262747529216/Uo8lOkRJ_normal.jpg","View")</f>
        <v>View</v>
      </c>
      <c r="P3707" s="7"/>
    </row>
    <row r="3708" spans="1:16">
      <c r="A3708" s="3">
        <v>43908.799791666665</v>
      </c>
      <c r="B3708" s="4" t="str">
        <f>HYPERLINK("https://twitter.com/petrogustavo","@petrogustavo")</f>
        <v>@petrogustavo</v>
      </c>
      <c r="C3708" s="5" t="s">
        <v>16</v>
      </c>
      <c r="D3708" s="5" t="s">
        <v>3636</v>
      </c>
      <c r="E3708" s="6" t="str">
        <f>HYPERLINK("https://twitter.com/petrogustavo/status/1240272166819696640","1240272166819696640")</f>
        <v>1240272166819696640</v>
      </c>
      <c r="F3708" s="7" t="s">
        <v>17</v>
      </c>
      <c r="G3708" s="7">
        <v>3675138</v>
      </c>
      <c r="H3708" s="7">
        <v>2356</v>
      </c>
      <c r="I3708" s="7">
        <v>60</v>
      </c>
      <c r="J3708" s="7">
        <v>144</v>
      </c>
      <c r="K3708" s="7" t="s">
        <v>18</v>
      </c>
      <c r="L3708" s="8">
        <v>39987.315405092595</v>
      </c>
      <c r="M3708" s="9" t="s">
        <v>19</v>
      </c>
      <c r="N3708" s="9" t="s">
        <v>20</v>
      </c>
      <c r="O3708" s="6" t="str">
        <f>HYPERLINK("https://pbs.twimg.com/profile_images/962471262747529216/Uo8lOkRJ_normal.jpg","View")</f>
        <v>View</v>
      </c>
      <c r="P3708" s="7"/>
    </row>
    <row r="3709" spans="1:16">
      <c r="A3709" s="3">
        <v>43908.806192129632</v>
      </c>
      <c r="B3709" s="4" t="str">
        <f>HYPERLINK("https://twitter.com/petrogustavo","@petrogustavo")</f>
        <v>@petrogustavo</v>
      </c>
      <c r="C3709" s="5" t="s">
        <v>16</v>
      </c>
      <c r="D3709" s="5" t="s">
        <v>3637</v>
      </c>
      <c r="E3709" s="6" t="str">
        <f>HYPERLINK("https://twitter.com/petrogustavo/status/1240274486009704451","1240274486009704451")</f>
        <v>1240274486009704451</v>
      </c>
      <c r="F3709" s="7" t="s">
        <v>17</v>
      </c>
      <c r="G3709" s="7">
        <v>3675138</v>
      </c>
      <c r="H3709" s="7">
        <v>2356</v>
      </c>
      <c r="I3709" s="7">
        <v>158</v>
      </c>
      <c r="J3709" s="7">
        <v>410</v>
      </c>
      <c r="K3709" s="7" t="s">
        <v>18</v>
      </c>
      <c r="L3709" s="8">
        <v>39987.315405092595</v>
      </c>
      <c r="M3709" s="9" t="s">
        <v>19</v>
      </c>
      <c r="N3709" s="9" t="s">
        <v>20</v>
      </c>
      <c r="O3709" s="6" t="str">
        <f>HYPERLINK("https://pbs.twimg.com/profile_images/962471262747529216/Uo8lOkRJ_normal.jpg","View")</f>
        <v>View</v>
      </c>
      <c r="P3709" s="7"/>
    </row>
    <row r="3710" spans="1:16">
      <c r="A3710" s="3">
        <v>43908.808391203704</v>
      </c>
      <c r="B3710" s="4" t="str">
        <f>HYPERLINK("https://twitter.com/petrogustavo","@petrogustavo")</f>
        <v>@petrogustavo</v>
      </c>
      <c r="C3710" s="5" t="s">
        <v>16</v>
      </c>
      <c r="D3710" s="5" t="s">
        <v>3638</v>
      </c>
      <c r="E3710" s="6" t="str">
        <f>HYPERLINK("https://twitter.com/petrogustavo/status/1240275285636984833","1240275285636984833")</f>
        <v>1240275285636984833</v>
      </c>
      <c r="F3710" s="7" t="s">
        <v>17</v>
      </c>
      <c r="G3710" s="7">
        <v>3675138</v>
      </c>
      <c r="H3710" s="7">
        <v>2356</v>
      </c>
      <c r="I3710" s="7">
        <v>174</v>
      </c>
      <c r="J3710" s="7">
        <v>591</v>
      </c>
      <c r="K3710" s="7" t="s">
        <v>18</v>
      </c>
      <c r="L3710" s="8">
        <v>39987.315405092595</v>
      </c>
      <c r="M3710" s="9" t="s">
        <v>19</v>
      </c>
      <c r="N3710" s="9" t="s">
        <v>20</v>
      </c>
      <c r="O3710" s="6" t="str">
        <f>HYPERLINK("https://pbs.twimg.com/profile_images/962471262747529216/Uo8lOkRJ_normal.jpg","View")</f>
        <v>View</v>
      </c>
      <c r="P3710" s="7"/>
    </row>
    <row r="3711" spans="1:16">
      <c r="A3711" s="3">
        <v>43908.810891203699</v>
      </c>
      <c r="B3711" s="4" t="str">
        <f>HYPERLINK("https://twitter.com/petrogustavo","@petrogustavo")</f>
        <v>@petrogustavo</v>
      </c>
      <c r="C3711" s="5" t="s">
        <v>16</v>
      </c>
      <c r="D3711" s="5" t="s">
        <v>3629</v>
      </c>
      <c r="E3711" s="6" t="str">
        <f>HYPERLINK("https://twitter.com/petrogustavo/status/1240276189463359488","1240276189463359488")</f>
        <v>1240276189463359488</v>
      </c>
      <c r="F3711" s="7" t="s">
        <v>17</v>
      </c>
      <c r="G3711" s="7">
        <v>3675138</v>
      </c>
      <c r="H3711" s="7">
        <v>2356</v>
      </c>
      <c r="I3711" s="7">
        <v>304</v>
      </c>
      <c r="J3711" s="7">
        <v>0</v>
      </c>
      <c r="K3711" s="7" t="s">
        <v>18</v>
      </c>
      <c r="L3711" s="8">
        <v>39987.315405092595</v>
      </c>
      <c r="M3711" s="9" t="s">
        <v>19</v>
      </c>
      <c r="N3711" s="9" t="s">
        <v>20</v>
      </c>
      <c r="O3711" s="6" t="str">
        <f>HYPERLINK("https://pbs.twimg.com/profile_images/962471262747529216/Uo8lOkRJ_normal.jpg","View")</f>
        <v>View</v>
      </c>
      <c r="P3711" s="7"/>
    </row>
    <row r="3712" spans="1:16">
      <c r="A3712" s="3">
        <v>43908.81459490741</v>
      </c>
      <c r="B3712" s="4" t="str">
        <f>HYPERLINK("https://twitter.com/petrogustavo","@petrogustavo")</f>
        <v>@petrogustavo</v>
      </c>
      <c r="C3712" s="5" t="s">
        <v>16</v>
      </c>
      <c r="D3712" s="5" t="s">
        <v>3639</v>
      </c>
      <c r="E3712" s="6" t="str">
        <f>HYPERLINK("https://twitter.com/petrogustavo/status/1240277532169117699","1240277532169117699")</f>
        <v>1240277532169117699</v>
      </c>
      <c r="F3712" s="7" t="s">
        <v>17</v>
      </c>
      <c r="G3712" s="7">
        <v>3675138</v>
      </c>
      <c r="H3712" s="7">
        <v>2356</v>
      </c>
      <c r="I3712" s="7">
        <v>3</v>
      </c>
      <c r="J3712" s="7">
        <v>17</v>
      </c>
      <c r="K3712" s="7" t="s">
        <v>18</v>
      </c>
      <c r="L3712" s="8">
        <v>39987.315405092595</v>
      </c>
      <c r="M3712" s="9" t="s">
        <v>19</v>
      </c>
      <c r="N3712" s="9" t="s">
        <v>20</v>
      </c>
      <c r="O3712" s="6" t="str">
        <f>HYPERLINK("https://pbs.twimg.com/profile_images/962471262747529216/Uo8lOkRJ_normal.jpg","View")</f>
        <v>View</v>
      </c>
      <c r="P3712" s="7"/>
    </row>
    <row r="3713" spans="1:16">
      <c r="A3713" s="3">
        <v>43908.850659722222</v>
      </c>
      <c r="B3713" s="4" t="str">
        <f>HYPERLINK("https://twitter.com/petrogustavo","@petrogustavo")</f>
        <v>@petrogustavo</v>
      </c>
      <c r="C3713" s="5" t="s">
        <v>16</v>
      </c>
      <c r="D3713" s="5" t="s">
        <v>3640</v>
      </c>
      <c r="E3713" s="6" t="str">
        <f>HYPERLINK("https://twitter.com/petrogustavo/status/1240290601163198467","1240290601163198467")</f>
        <v>1240290601163198467</v>
      </c>
      <c r="F3713" s="7" t="s">
        <v>17</v>
      </c>
      <c r="G3713" s="7">
        <v>3675297</v>
      </c>
      <c r="H3713" s="7">
        <v>2356</v>
      </c>
      <c r="I3713" s="7">
        <v>74</v>
      </c>
      <c r="J3713" s="7">
        <v>0</v>
      </c>
      <c r="K3713" s="7" t="s">
        <v>18</v>
      </c>
      <c r="L3713" s="8">
        <v>39987.315405092595</v>
      </c>
      <c r="M3713" s="9" t="s">
        <v>19</v>
      </c>
      <c r="N3713" s="9" t="s">
        <v>20</v>
      </c>
      <c r="O3713" s="6" t="str">
        <f>HYPERLINK("https://pbs.twimg.com/profile_images/962471262747529216/Uo8lOkRJ_normal.jpg","View")</f>
        <v>View</v>
      </c>
      <c r="P3713" s="7"/>
    </row>
    <row r="3714" spans="1:16">
      <c r="A3714" s="3">
        <v>43908.8512037037</v>
      </c>
      <c r="B3714" s="4" t="str">
        <f>HYPERLINK("https://twitter.com/petrogustavo","@petrogustavo")</f>
        <v>@petrogustavo</v>
      </c>
      <c r="C3714" s="5" t="s">
        <v>16</v>
      </c>
      <c r="D3714" s="5" t="s">
        <v>3641</v>
      </c>
      <c r="E3714" s="6" t="str">
        <f>HYPERLINK("https://twitter.com/petrogustavo/status/1240290798639480833","1240290798639480833")</f>
        <v>1240290798639480833</v>
      </c>
      <c r="F3714" s="7" t="s">
        <v>17</v>
      </c>
      <c r="G3714" s="7">
        <v>3675297</v>
      </c>
      <c r="H3714" s="7">
        <v>2356</v>
      </c>
      <c r="I3714" s="7">
        <v>440</v>
      </c>
      <c r="J3714" s="7">
        <v>0</v>
      </c>
      <c r="K3714" s="7" t="s">
        <v>18</v>
      </c>
      <c r="L3714" s="8">
        <v>39987.315405092595</v>
      </c>
      <c r="M3714" s="9" t="s">
        <v>19</v>
      </c>
      <c r="N3714" s="9" t="s">
        <v>20</v>
      </c>
      <c r="O3714" s="6" t="str">
        <f>HYPERLINK("https://pbs.twimg.com/profile_images/962471262747529216/Uo8lOkRJ_normal.jpg","View")</f>
        <v>View</v>
      </c>
      <c r="P3714" s="7"/>
    </row>
    <row r="3715" spans="1:16">
      <c r="A3715" s="3">
        <v>43908.851840277777</v>
      </c>
      <c r="B3715" s="4" t="str">
        <f>HYPERLINK("https://twitter.com/petrogustavo","@petrogustavo")</f>
        <v>@petrogustavo</v>
      </c>
      <c r="C3715" s="5" t="s">
        <v>16</v>
      </c>
      <c r="D3715" s="5" t="s">
        <v>3642</v>
      </c>
      <c r="E3715" s="6" t="str">
        <f>HYPERLINK("https://twitter.com/petrogustavo/status/1240291029544316933","1240291029544316933")</f>
        <v>1240291029544316933</v>
      </c>
      <c r="F3715" s="7" t="s">
        <v>17</v>
      </c>
      <c r="G3715" s="7">
        <v>3675297</v>
      </c>
      <c r="H3715" s="7">
        <v>2356</v>
      </c>
      <c r="I3715" s="7">
        <v>4577</v>
      </c>
      <c r="J3715" s="7">
        <v>0</v>
      </c>
      <c r="K3715" s="7" t="s">
        <v>18</v>
      </c>
      <c r="L3715" s="8">
        <v>39987.315405092595</v>
      </c>
      <c r="M3715" s="9" t="s">
        <v>19</v>
      </c>
      <c r="N3715" s="9" t="s">
        <v>20</v>
      </c>
      <c r="O3715" s="6" t="str">
        <f>HYPERLINK("https://pbs.twimg.com/profile_images/962471262747529216/Uo8lOkRJ_normal.jpg","View")</f>
        <v>View</v>
      </c>
      <c r="P3715" s="7"/>
    </row>
    <row r="3716" spans="1:16">
      <c r="A3716" s="3">
        <v>43908.851898148147</v>
      </c>
      <c r="B3716" s="4" t="str">
        <f>HYPERLINK("https://twitter.com/petrogustavo","@petrogustavo")</f>
        <v>@petrogustavo</v>
      </c>
      <c r="C3716" s="5" t="s">
        <v>16</v>
      </c>
      <c r="D3716" s="5" t="s">
        <v>3643</v>
      </c>
      <c r="E3716" s="6" t="str">
        <f>HYPERLINK("https://twitter.com/petrogustavo/status/1240291051493089281","1240291051493089281")</f>
        <v>1240291051493089281</v>
      </c>
      <c r="F3716" s="7" t="s">
        <v>17</v>
      </c>
      <c r="G3716" s="7">
        <v>3675297</v>
      </c>
      <c r="H3716" s="7">
        <v>2356</v>
      </c>
      <c r="I3716" s="7">
        <v>3151</v>
      </c>
      <c r="J3716" s="7">
        <v>0</v>
      </c>
      <c r="K3716" s="7" t="s">
        <v>18</v>
      </c>
      <c r="L3716" s="8">
        <v>39987.315405092595</v>
      </c>
      <c r="M3716" s="9" t="s">
        <v>19</v>
      </c>
      <c r="N3716" s="9" t="s">
        <v>20</v>
      </c>
      <c r="O3716" s="6" t="str">
        <f>HYPERLINK("https://pbs.twimg.com/profile_images/962471262747529216/Uo8lOkRJ_normal.jpg","View")</f>
        <v>View</v>
      </c>
      <c r="P3716" s="7"/>
    </row>
    <row r="3717" spans="1:16">
      <c r="A3717" s="3">
        <v>43908.871793981481</v>
      </c>
      <c r="B3717" s="4" t="str">
        <f>HYPERLINK("https://twitter.com/petrogustavo","@petrogustavo")</f>
        <v>@petrogustavo</v>
      </c>
      <c r="C3717" s="5" t="s">
        <v>16</v>
      </c>
      <c r="D3717" s="5" t="s">
        <v>3644</v>
      </c>
      <c r="E3717" s="6" t="str">
        <f>HYPERLINK("https://twitter.com/petrogustavo/status/1240298260667019266","1240298260667019266")</f>
        <v>1240298260667019266</v>
      </c>
      <c r="F3717" s="7" t="s">
        <v>17</v>
      </c>
      <c r="G3717" s="7">
        <v>3675325</v>
      </c>
      <c r="H3717" s="7">
        <v>2356</v>
      </c>
      <c r="I3717" s="7">
        <v>550</v>
      </c>
      <c r="J3717" s="7">
        <v>0</v>
      </c>
      <c r="K3717" s="7" t="s">
        <v>18</v>
      </c>
      <c r="L3717" s="8">
        <v>39987.315405092595</v>
      </c>
      <c r="M3717" s="9" t="s">
        <v>19</v>
      </c>
      <c r="N3717" s="9" t="s">
        <v>20</v>
      </c>
      <c r="O3717" s="6" t="str">
        <f>HYPERLINK("https://pbs.twimg.com/profile_images/962471262747529216/Uo8lOkRJ_normal.jpg","View")</f>
        <v>View</v>
      </c>
      <c r="P3717" s="7"/>
    </row>
    <row r="3718" spans="1:16">
      <c r="A3718" s="3">
        <v>43908.872928240744</v>
      </c>
      <c r="B3718" s="4" t="str">
        <f>HYPERLINK("https://twitter.com/petrogustavo","@petrogustavo")</f>
        <v>@petrogustavo</v>
      </c>
      <c r="C3718" s="5" t="s">
        <v>16</v>
      </c>
      <c r="D3718" s="5" t="s">
        <v>3642</v>
      </c>
      <c r="E3718" s="6" t="str">
        <f>HYPERLINK("https://twitter.com/petrogustavo/status/1240298672262348800","1240298672262348800")</f>
        <v>1240298672262348800</v>
      </c>
      <c r="F3718" s="7" t="s">
        <v>17</v>
      </c>
      <c r="G3718" s="7">
        <v>3675325</v>
      </c>
      <c r="H3718" s="7">
        <v>2356</v>
      </c>
      <c r="I3718" s="7">
        <v>4689</v>
      </c>
      <c r="J3718" s="7">
        <v>0</v>
      </c>
      <c r="K3718" s="7" t="s">
        <v>18</v>
      </c>
      <c r="L3718" s="8">
        <v>39987.315405092595</v>
      </c>
      <c r="M3718" s="9" t="s">
        <v>19</v>
      </c>
      <c r="N3718" s="9" t="s">
        <v>20</v>
      </c>
      <c r="O3718" s="6" t="str">
        <f>HYPERLINK("https://pbs.twimg.com/profile_images/962471262747529216/Uo8lOkRJ_normal.jpg","View")</f>
        <v>View</v>
      </c>
      <c r="P3718" s="7"/>
    </row>
    <row r="3719" spans="1:16">
      <c r="A3719" s="3">
        <v>43908.87336805556</v>
      </c>
      <c r="B3719" s="4" t="str">
        <f>HYPERLINK("https://twitter.com/petrogustavo","@petrogustavo")</f>
        <v>@petrogustavo</v>
      </c>
      <c r="C3719" s="5" t="s">
        <v>16</v>
      </c>
      <c r="D3719" s="5" t="s">
        <v>3643</v>
      </c>
      <c r="E3719" s="6" t="str">
        <f>HYPERLINK("https://twitter.com/petrogustavo/status/1240298831889281024","1240298831889281024")</f>
        <v>1240298831889281024</v>
      </c>
      <c r="F3719" s="7" t="s">
        <v>17</v>
      </c>
      <c r="G3719" s="7">
        <v>3675325</v>
      </c>
      <c r="H3719" s="7">
        <v>2356</v>
      </c>
      <c r="I3719" s="7">
        <v>3217</v>
      </c>
      <c r="J3719" s="7">
        <v>0</v>
      </c>
      <c r="K3719" s="7" t="s">
        <v>18</v>
      </c>
      <c r="L3719" s="8">
        <v>39987.315405092595</v>
      </c>
      <c r="M3719" s="9" t="s">
        <v>19</v>
      </c>
      <c r="N3719" s="9" t="s">
        <v>20</v>
      </c>
      <c r="O3719" s="6" t="str">
        <f>HYPERLINK("https://pbs.twimg.com/profile_images/962471262747529216/Uo8lOkRJ_normal.jpg","View")</f>
        <v>View</v>
      </c>
      <c r="P3719" s="7"/>
    </row>
    <row r="3720" spans="1:16">
      <c r="A3720" s="3">
        <v>43908.919571759259</v>
      </c>
      <c r="B3720" s="4" t="str">
        <f>HYPERLINK("https://twitter.com/petrogustavo","@petrogustavo")</f>
        <v>@petrogustavo</v>
      </c>
      <c r="C3720" s="5" t="s">
        <v>16</v>
      </c>
      <c r="D3720" s="5" t="s">
        <v>3645</v>
      </c>
      <c r="E3720" s="6" t="str">
        <f>HYPERLINK("https://twitter.com/petrogustavo/status/1240315573319487489","1240315573319487489")</f>
        <v>1240315573319487489</v>
      </c>
      <c r="F3720" s="7" t="s">
        <v>17</v>
      </c>
      <c r="G3720" s="7">
        <v>3675599</v>
      </c>
      <c r="H3720" s="7">
        <v>2356</v>
      </c>
      <c r="I3720" s="7">
        <v>2265</v>
      </c>
      <c r="J3720" s="7">
        <v>0</v>
      </c>
      <c r="K3720" s="7" t="s">
        <v>18</v>
      </c>
      <c r="L3720" s="8">
        <v>39987.315405092595</v>
      </c>
      <c r="M3720" s="9" t="s">
        <v>19</v>
      </c>
      <c r="N3720" s="9" t="s">
        <v>20</v>
      </c>
      <c r="O3720" s="6" t="str">
        <f>HYPERLINK("https://pbs.twimg.com/profile_images/962471262747529216/Uo8lOkRJ_normal.jpg","View")</f>
        <v>View</v>
      </c>
      <c r="P3720" s="7"/>
    </row>
    <row r="3721" spans="1:16">
      <c r="A3721" s="3">
        <v>43908.92186342593</v>
      </c>
      <c r="B3721" s="4" t="str">
        <f>HYPERLINK("https://twitter.com/petrogustavo","@petrogustavo")</f>
        <v>@petrogustavo</v>
      </c>
      <c r="C3721" s="5" t="s">
        <v>16</v>
      </c>
      <c r="D3721" s="5" t="s">
        <v>3642</v>
      </c>
      <c r="E3721" s="6" t="str">
        <f>HYPERLINK("https://twitter.com/petrogustavo/status/1240316405448400897","1240316405448400897")</f>
        <v>1240316405448400897</v>
      </c>
      <c r="F3721" s="7" t="s">
        <v>17</v>
      </c>
      <c r="G3721" s="7">
        <v>3675599</v>
      </c>
      <c r="H3721" s="7">
        <v>2356</v>
      </c>
      <c r="I3721" s="7">
        <v>4993</v>
      </c>
      <c r="J3721" s="7">
        <v>0</v>
      </c>
      <c r="K3721" s="7" t="s">
        <v>18</v>
      </c>
      <c r="L3721" s="8">
        <v>39987.315405092595</v>
      </c>
      <c r="M3721" s="9" t="s">
        <v>19</v>
      </c>
      <c r="N3721" s="9" t="s">
        <v>20</v>
      </c>
      <c r="O3721" s="6" t="str">
        <f>HYPERLINK("https://pbs.twimg.com/profile_images/962471262747529216/Uo8lOkRJ_normal.jpg","View")</f>
        <v>View</v>
      </c>
      <c r="P3721" s="7"/>
    </row>
    <row r="3722" spans="1:16">
      <c r="A3722" s="3">
        <v>43908.922048611115</v>
      </c>
      <c r="B3722" s="4" t="str">
        <f>HYPERLINK("https://twitter.com/petrogustavo","@petrogustavo")</f>
        <v>@petrogustavo</v>
      </c>
      <c r="C3722" s="5" t="s">
        <v>16</v>
      </c>
      <c r="D3722" s="5" t="s">
        <v>3643</v>
      </c>
      <c r="E3722" s="6" t="str">
        <f>HYPERLINK("https://twitter.com/petrogustavo/status/1240316472871628802","1240316472871628802")</f>
        <v>1240316472871628802</v>
      </c>
      <c r="F3722" s="7" t="s">
        <v>17</v>
      </c>
      <c r="G3722" s="7">
        <v>3675599</v>
      </c>
      <c r="H3722" s="7">
        <v>2356</v>
      </c>
      <c r="I3722" s="7">
        <v>3426</v>
      </c>
      <c r="J3722" s="7">
        <v>0</v>
      </c>
      <c r="K3722" s="7" t="s">
        <v>18</v>
      </c>
      <c r="L3722" s="8">
        <v>39987.315405092595</v>
      </c>
      <c r="M3722" s="9" t="s">
        <v>19</v>
      </c>
      <c r="N3722" s="9" t="s">
        <v>20</v>
      </c>
      <c r="O3722" s="6" t="str">
        <f>HYPERLINK("https://pbs.twimg.com/profile_images/962471262747529216/Uo8lOkRJ_normal.jpg","View")</f>
        <v>View</v>
      </c>
      <c r="P3722" s="7"/>
    </row>
    <row r="3723" spans="1:16">
      <c r="A3723" s="3">
        <v>43909.079525462963</v>
      </c>
      <c r="B3723" s="4" t="str">
        <f>HYPERLINK("https://twitter.com/petrogustavo","@petrogustavo")</f>
        <v>@petrogustavo</v>
      </c>
      <c r="C3723" s="5" t="s">
        <v>16</v>
      </c>
      <c r="D3723" s="5" t="s">
        <v>3646</v>
      </c>
      <c r="E3723" s="6" t="str">
        <f>HYPERLINK("https://twitter.com/petrogustavo/status/1240373538147700736","1240373538147700736")</f>
        <v>1240373538147700736</v>
      </c>
      <c r="F3723" s="7" t="s">
        <v>17</v>
      </c>
      <c r="G3723" s="7">
        <v>3676043</v>
      </c>
      <c r="H3723" s="7">
        <v>2356</v>
      </c>
      <c r="I3723" s="7">
        <v>127</v>
      </c>
      <c r="J3723" s="7">
        <v>323</v>
      </c>
      <c r="K3723" s="7" t="s">
        <v>18</v>
      </c>
      <c r="L3723" s="8">
        <v>39987.315405092595</v>
      </c>
      <c r="M3723" s="9" t="s">
        <v>19</v>
      </c>
      <c r="N3723" s="9" t="s">
        <v>20</v>
      </c>
      <c r="O3723" s="6" t="str">
        <f>HYPERLINK("https://pbs.twimg.com/profile_images/962471262747529216/Uo8lOkRJ_normal.jpg","View")</f>
        <v>View</v>
      </c>
      <c r="P3723" s="7"/>
    </row>
    <row r="3724" spans="1:16">
      <c r="A3724" s="3">
        <v>43909.080428240741</v>
      </c>
      <c r="B3724" s="4" t="str">
        <f>HYPERLINK("https://twitter.com/petrogustavo","@petrogustavo")</f>
        <v>@petrogustavo</v>
      </c>
      <c r="C3724" s="5" t="s">
        <v>16</v>
      </c>
      <c r="D3724" s="5" t="s">
        <v>3647</v>
      </c>
      <c r="E3724" s="6" t="str">
        <f>HYPERLINK("https://twitter.com/petrogustavo/status/1240373866725363712","1240373866725363712")</f>
        <v>1240373866725363712</v>
      </c>
      <c r="F3724" s="7" t="s">
        <v>17</v>
      </c>
      <c r="G3724" s="7">
        <v>3676043</v>
      </c>
      <c r="H3724" s="7">
        <v>2356</v>
      </c>
      <c r="I3724" s="7">
        <v>56</v>
      </c>
      <c r="J3724" s="7">
        <v>159</v>
      </c>
      <c r="K3724" s="7" t="s">
        <v>18</v>
      </c>
      <c r="L3724" s="8">
        <v>39987.315405092595</v>
      </c>
      <c r="M3724" s="9" t="s">
        <v>19</v>
      </c>
      <c r="N3724" s="9" t="s">
        <v>20</v>
      </c>
      <c r="O3724" s="6" t="str">
        <f>HYPERLINK("https://pbs.twimg.com/profile_images/962471262747529216/Uo8lOkRJ_normal.jpg","View")</f>
        <v>View</v>
      </c>
      <c r="P3724" s="7"/>
    </row>
    <row r="3725" spans="1:16">
      <c r="A3725" s="3">
        <v>43909.085266203707</v>
      </c>
      <c r="B3725" s="4" t="str">
        <f>HYPERLINK("https://twitter.com/petrogustavo","@petrogustavo")</f>
        <v>@petrogustavo</v>
      </c>
      <c r="C3725" s="5" t="s">
        <v>16</v>
      </c>
      <c r="D3725" s="5" t="s">
        <v>3648</v>
      </c>
      <c r="E3725" s="6" t="str">
        <f>HYPERLINK("https://twitter.com/petrogustavo/status/1240375619915038720","1240375619915038720")</f>
        <v>1240375619915038720</v>
      </c>
      <c r="F3725" s="7" t="s">
        <v>17</v>
      </c>
      <c r="G3725" s="7">
        <v>3676043</v>
      </c>
      <c r="H3725" s="7">
        <v>2356</v>
      </c>
      <c r="I3725" s="7">
        <v>0</v>
      </c>
      <c r="J3725" s="7">
        <v>0</v>
      </c>
      <c r="K3725" s="7" t="s">
        <v>18</v>
      </c>
      <c r="L3725" s="8">
        <v>39987.315405092595</v>
      </c>
      <c r="M3725" s="9" t="s">
        <v>19</v>
      </c>
      <c r="N3725" s="9" t="s">
        <v>20</v>
      </c>
      <c r="O3725" s="6" t="str">
        <f>HYPERLINK("https://pbs.twimg.com/profile_images/962471262747529216/Uo8lOkRJ_normal.jpg","View")</f>
        <v>View</v>
      </c>
      <c r="P3725" s="7"/>
    </row>
    <row r="3726" spans="1:16">
      <c r="A3726" s="3">
        <v>43909.087013888886</v>
      </c>
      <c r="B3726" s="4" t="str">
        <f>HYPERLINK("https://twitter.com/petrogustavo","@petrogustavo")</f>
        <v>@petrogustavo</v>
      </c>
      <c r="C3726" s="5" t="s">
        <v>16</v>
      </c>
      <c r="D3726" s="5" t="s">
        <v>3649</v>
      </c>
      <c r="E3726" s="6" t="str">
        <f>HYPERLINK("https://twitter.com/petrogustavo/status/1240376252407656448","1240376252407656448")</f>
        <v>1240376252407656448</v>
      </c>
      <c r="F3726" s="7" t="s">
        <v>17</v>
      </c>
      <c r="G3726" s="7">
        <v>3676083</v>
      </c>
      <c r="H3726" s="7">
        <v>2356</v>
      </c>
      <c r="I3726" s="7">
        <v>347</v>
      </c>
      <c r="J3726" s="7">
        <v>0</v>
      </c>
      <c r="K3726" s="7" t="s">
        <v>18</v>
      </c>
      <c r="L3726" s="8">
        <v>39987.315405092595</v>
      </c>
      <c r="M3726" s="9" t="s">
        <v>19</v>
      </c>
      <c r="N3726" s="9" t="s">
        <v>20</v>
      </c>
      <c r="O3726" s="6" t="str">
        <f>HYPERLINK("https://pbs.twimg.com/profile_images/962471262747529216/Uo8lOkRJ_normal.jpg","View")</f>
        <v>View</v>
      </c>
      <c r="P3726" s="7"/>
    </row>
    <row r="3727" spans="1:16">
      <c r="A3727" s="3">
        <v>43909.089490740742</v>
      </c>
      <c r="B3727" s="4" t="str">
        <f>HYPERLINK("https://twitter.com/petrogustavo","@petrogustavo")</f>
        <v>@petrogustavo</v>
      </c>
      <c r="C3727" s="5" t="s">
        <v>16</v>
      </c>
      <c r="D3727" s="5" t="s">
        <v>3650</v>
      </c>
      <c r="E3727" s="6" t="str">
        <f>HYPERLINK("https://twitter.com/petrogustavo/status/1240377151964266496","1240377151964266496")</f>
        <v>1240377151964266496</v>
      </c>
      <c r="F3727" s="7" t="s">
        <v>17</v>
      </c>
      <c r="G3727" s="7">
        <v>3676083</v>
      </c>
      <c r="H3727" s="7">
        <v>2356</v>
      </c>
      <c r="I3727" s="7">
        <v>356</v>
      </c>
      <c r="J3727" s="7">
        <v>840</v>
      </c>
      <c r="K3727" s="7" t="s">
        <v>18</v>
      </c>
      <c r="L3727" s="8">
        <v>39987.315405092595</v>
      </c>
      <c r="M3727" s="9" t="s">
        <v>19</v>
      </c>
      <c r="N3727" s="9" t="s">
        <v>20</v>
      </c>
      <c r="O3727" s="6" t="str">
        <f>HYPERLINK("https://pbs.twimg.com/profile_images/962471262747529216/Uo8lOkRJ_normal.jpg","View")</f>
        <v>View</v>
      </c>
      <c r="P3727" s="7"/>
    </row>
    <row r="3728" spans="1:16">
      <c r="A3728" s="3">
        <v>43909.102141203708</v>
      </c>
      <c r="B3728" s="4" t="str">
        <f>HYPERLINK("https://twitter.com/petrogustavo","@petrogustavo")</f>
        <v>@petrogustavo</v>
      </c>
      <c r="C3728" s="5" t="s">
        <v>16</v>
      </c>
      <c r="D3728" s="5" t="s">
        <v>3651</v>
      </c>
      <c r="E3728" s="6" t="str">
        <f>HYPERLINK("https://twitter.com/petrogustavo/status/1240381735034073090","1240381735034073090")</f>
        <v>1240381735034073090</v>
      </c>
      <c r="F3728" s="7" t="s">
        <v>17</v>
      </c>
      <c r="G3728" s="7">
        <v>3676083</v>
      </c>
      <c r="H3728" s="7">
        <v>2356</v>
      </c>
      <c r="I3728" s="7">
        <v>82</v>
      </c>
      <c r="J3728" s="7">
        <v>209</v>
      </c>
      <c r="K3728" s="7" t="s">
        <v>18</v>
      </c>
      <c r="L3728" s="8">
        <v>39987.315405092595</v>
      </c>
      <c r="M3728" s="9" t="s">
        <v>19</v>
      </c>
      <c r="N3728" s="9" t="s">
        <v>20</v>
      </c>
      <c r="O3728" s="6" t="str">
        <f>HYPERLINK("https://pbs.twimg.com/profile_images/962471262747529216/Uo8lOkRJ_normal.jpg","View")</f>
        <v>View</v>
      </c>
      <c r="P3728" s="7"/>
    </row>
    <row r="3729" spans="1:16">
      <c r="A3729" s="3">
        <v>43909.102881944447</v>
      </c>
      <c r="B3729" s="4" t="str">
        <f>HYPERLINK("https://twitter.com/petrogustavo","@petrogustavo")</f>
        <v>@petrogustavo</v>
      </c>
      <c r="C3729" s="5" t="s">
        <v>16</v>
      </c>
      <c r="D3729" s="5" t="s">
        <v>3652</v>
      </c>
      <c r="E3729" s="6" t="str">
        <f>HYPERLINK("https://twitter.com/petrogustavo/status/1240382005386379270","1240382005386379270")</f>
        <v>1240382005386379270</v>
      </c>
      <c r="F3729" s="7" t="s">
        <v>17</v>
      </c>
      <c r="G3729" s="7">
        <v>3676083</v>
      </c>
      <c r="H3729" s="7">
        <v>2356</v>
      </c>
      <c r="I3729" s="7">
        <v>1863</v>
      </c>
      <c r="J3729" s="7">
        <v>0</v>
      </c>
      <c r="K3729" s="7" t="s">
        <v>18</v>
      </c>
      <c r="L3729" s="8">
        <v>39987.315405092595</v>
      </c>
      <c r="M3729" s="9" t="s">
        <v>19</v>
      </c>
      <c r="N3729" s="9" t="s">
        <v>20</v>
      </c>
      <c r="O3729" s="6" t="str">
        <f>HYPERLINK("https://pbs.twimg.com/profile_images/962471262747529216/Uo8lOkRJ_normal.jpg","View")</f>
        <v>View</v>
      </c>
      <c r="P3729" s="7"/>
    </row>
    <row r="3730" spans="1:16">
      <c r="A3730" s="3">
        <v>43909.10328703704</v>
      </c>
      <c r="B3730" s="4" t="str">
        <f>HYPERLINK("https://twitter.com/petrogustavo","@petrogustavo")</f>
        <v>@petrogustavo</v>
      </c>
      <c r="C3730" s="5" t="s">
        <v>16</v>
      </c>
      <c r="D3730" s="5" t="s">
        <v>3653</v>
      </c>
      <c r="E3730" s="6" t="str">
        <f>HYPERLINK("https://twitter.com/petrogustavo/status/1240382149611716611","1240382149611716611")</f>
        <v>1240382149611716611</v>
      </c>
      <c r="F3730" s="7" t="s">
        <v>17</v>
      </c>
      <c r="G3730" s="7">
        <v>3676083</v>
      </c>
      <c r="H3730" s="7">
        <v>2356</v>
      </c>
      <c r="I3730" s="7">
        <v>356</v>
      </c>
      <c r="J3730" s="7">
        <v>0</v>
      </c>
      <c r="K3730" s="7" t="s">
        <v>18</v>
      </c>
      <c r="L3730" s="8">
        <v>39987.315405092595</v>
      </c>
      <c r="M3730" s="9" t="s">
        <v>19</v>
      </c>
      <c r="N3730" s="9" t="s">
        <v>20</v>
      </c>
      <c r="O3730" s="6" t="str">
        <f>HYPERLINK("https://pbs.twimg.com/profile_images/962471262747529216/Uo8lOkRJ_normal.jpg","View")</f>
        <v>View</v>
      </c>
      <c r="P3730" s="7"/>
    </row>
    <row r="3731" spans="1:16">
      <c r="A3731" s="3">
        <v>43909.151828703703</v>
      </c>
      <c r="B3731" s="4" t="str">
        <f>HYPERLINK("https://twitter.com/petrogustavo","@petrogustavo")</f>
        <v>@petrogustavo</v>
      </c>
      <c r="C3731" s="5" t="s">
        <v>16</v>
      </c>
      <c r="D3731" s="5" t="s">
        <v>3654</v>
      </c>
      <c r="E3731" s="6" t="str">
        <f>HYPERLINK("https://twitter.com/petrogustavo/status/1240399740505915392","1240399740505915392")</f>
        <v>1240399740505915392</v>
      </c>
      <c r="F3731" s="7" t="s">
        <v>17</v>
      </c>
      <c r="G3731" s="7">
        <v>3676414</v>
      </c>
      <c r="H3731" s="7">
        <v>2356</v>
      </c>
      <c r="I3731" s="7">
        <v>1133</v>
      </c>
      <c r="J3731" s="7">
        <v>3660</v>
      </c>
      <c r="K3731" s="7" t="s">
        <v>18</v>
      </c>
      <c r="L3731" s="8">
        <v>39987.315405092595</v>
      </c>
      <c r="M3731" s="9" t="s">
        <v>19</v>
      </c>
      <c r="N3731" s="9" t="s">
        <v>20</v>
      </c>
      <c r="O3731" s="6" t="str">
        <f>HYPERLINK("https://pbs.twimg.com/profile_images/962471262747529216/Uo8lOkRJ_normal.jpg","View")</f>
        <v>View</v>
      </c>
      <c r="P3731" s="7"/>
    </row>
    <row r="3732" spans="1:16">
      <c r="A3732" s="3">
        <v>43909.198159722218</v>
      </c>
      <c r="B3732" s="4" t="str">
        <f>HYPERLINK("https://twitter.com/petrogustavo","@petrogustavo")</f>
        <v>@petrogustavo</v>
      </c>
      <c r="C3732" s="5" t="s">
        <v>16</v>
      </c>
      <c r="D3732" s="5" t="s">
        <v>3655</v>
      </c>
      <c r="E3732" s="6" t="str">
        <f>HYPERLINK("https://twitter.com/petrogustavo/status/1240416530527064065","1240416530527064065")</f>
        <v>1240416530527064065</v>
      </c>
      <c r="F3732" s="7" t="s">
        <v>17</v>
      </c>
      <c r="G3732" s="7">
        <v>3676959</v>
      </c>
      <c r="H3732" s="7">
        <v>2356</v>
      </c>
      <c r="I3732" s="7">
        <v>494</v>
      </c>
      <c r="J3732" s="7">
        <v>1689</v>
      </c>
      <c r="K3732" s="7" t="s">
        <v>18</v>
      </c>
      <c r="L3732" s="8">
        <v>39987.315405092595</v>
      </c>
      <c r="M3732" s="9" t="s">
        <v>19</v>
      </c>
      <c r="N3732" s="9" t="s">
        <v>20</v>
      </c>
      <c r="O3732" s="6" t="str">
        <f>HYPERLINK("https://pbs.twimg.com/profile_images/962471262747529216/Uo8lOkRJ_normal.jpg","View")</f>
        <v>View</v>
      </c>
      <c r="P3732" s="7"/>
    </row>
    <row r="3733" spans="1:16">
      <c r="A3733" s="3">
        <v>43909.412650462968</v>
      </c>
      <c r="B3733" s="4" t="str">
        <f>HYPERLINK("https://twitter.com/petrogustavo","@petrogustavo")</f>
        <v>@petrogustavo</v>
      </c>
      <c r="C3733" s="5" t="s">
        <v>16</v>
      </c>
      <c r="D3733" s="5" t="s">
        <v>3642</v>
      </c>
      <c r="E3733" s="6" t="str">
        <f>HYPERLINK("https://twitter.com/petrogustavo/status/1240494258806759425","1240494258806759425")</f>
        <v>1240494258806759425</v>
      </c>
      <c r="F3733" s="7" t="s">
        <v>17</v>
      </c>
      <c r="G3733" s="7">
        <v>3679247</v>
      </c>
      <c r="H3733" s="7">
        <v>2356</v>
      </c>
      <c r="I3733" s="7">
        <v>5857</v>
      </c>
      <c r="J3733" s="7">
        <v>0</v>
      </c>
      <c r="K3733" s="7" t="s">
        <v>18</v>
      </c>
      <c r="L3733" s="8">
        <v>39987.315405092595</v>
      </c>
      <c r="M3733" s="9" t="s">
        <v>19</v>
      </c>
      <c r="N3733" s="9" t="s">
        <v>20</v>
      </c>
      <c r="O3733" s="6" t="str">
        <f>HYPERLINK("https://pbs.twimg.com/profile_images/962471262747529216/Uo8lOkRJ_normal.jpg","View")</f>
        <v>View</v>
      </c>
      <c r="P3733" s="7"/>
    </row>
    <row r="3734" spans="1:16">
      <c r="A3734" s="3">
        <v>43909.412789351853</v>
      </c>
      <c r="B3734" s="4" t="str">
        <f>HYPERLINK("https://twitter.com/petrogustavo","@petrogustavo")</f>
        <v>@petrogustavo</v>
      </c>
      <c r="C3734" s="5" t="s">
        <v>16</v>
      </c>
      <c r="D3734" s="5" t="s">
        <v>3643</v>
      </c>
      <c r="E3734" s="6" t="str">
        <f>HYPERLINK("https://twitter.com/petrogustavo/status/1240494309947957249","1240494309947957249")</f>
        <v>1240494309947957249</v>
      </c>
      <c r="F3734" s="7" t="s">
        <v>17</v>
      </c>
      <c r="G3734" s="7">
        <v>3679247</v>
      </c>
      <c r="H3734" s="7">
        <v>2356</v>
      </c>
      <c r="I3734" s="7">
        <v>4113</v>
      </c>
      <c r="J3734" s="7">
        <v>0</v>
      </c>
      <c r="K3734" s="7" t="s">
        <v>18</v>
      </c>
      <c r="L3734" s="8">
        <v>39987.315405092595</v>
      </c>
      <c r="M3734" s="9" t="s">
        <v>19</v>
      </c>
      <c r="N3734" s="9" t="s">
        <v>20</v>
      </c>
      <c r="O3734" s="6" t="str">
        <f>HYPERLINK("https://pbs.twimg.com/profile_images/962471262747529216/Uo8lOkRJ_normal.jpg","View")</f>
        <v>View</v>
      </c>
      <c r="P3734" s="7"/>
    </row>
    <row r="3735" spans="1:16">
      <c r="A3735" s="3">
        <v>43909.754201388889</v>
      </c>
      <c r="B3735" s="4" t="str">
        <f>HYPERLINK("https://twitter.com/petrogustavo","@petrogustavo")</f>
        <v>@petrogustavo</v>
      </c>
      <c r="C3735" s="5" t="s">
        <v>16</v>
      </c>
      <c r="D3735" s="5" t="s">
        <v>3656</v>
      </c>
      <c r="E3735" s="6" t="str">
        <f>HYPERLINK("https://twitter.com/petrogustavo/status/1240618033535758336","1240618033535758336")</f>
        <v>1240618033535758336</v>
      </c>
      <c r="F3735" s="7" t="s">
        <v>17</v>
      </c>
      <c r="G3735" s="7">
        <v>3680144</v>
      </c>
      <c r="H3735" s="7">
        <v>2356</v>
      </c>
      <c r="I3735" s="7">
        <v>410</v>
      </c>
      <c r="J3735" s="7">
        <v>0</v>
      </c>
      <c r="K3735" s="7" t="s">
        <v>18</v>
      </c>
      <c r="L3735" s="8">
        <v>39987.315405092595</v>
      </c>
      <c r="M3735" s="9" t="s">
        <v>19</v>
      </c>
      <c r="N3735" s="9" t="s">
        <v>20</v>
      </c>
      <c r="O3735" s="6" t="str">
        <f>HYPERLINK("https://pbs.twimg.com/profile_images/962471262747529216/Uo8lOkRJ_normal.jpg","View")</f>
        <v>View</v>
      </c>
      <c r="P3735" s="7"/>
    </row>
    <row r="3736" spans="1:16">
      <c r="A3736" s="3">
        <v>43909.757986111115</v>
      </c>
      <c r="B3736" s="4" t="str">
        <f>HYPERLINK("https://twitter.com/petrogustavo","@petrogustavo")</f>
        <v>@petrogustavo</v>
      </c>
      <c r="C3736" s="5" t="s">
        <v>16</v>
      </c>
      <c r="D3736" s="5" t="s">
        <v>3657</v>
      </c>
      <c r="E3736" s="6" t="str">
        <f>HYPERLINK("https://twitter.com/petrogustavo/status/1240619405853294592","1240619405853294592")</f>
        <v>1240619405853294592</v>
      </c>
      <c r="F3736" s="7" t="s">
        <v>17</v>
      </c>
      <c r="G3736" s="7">
        <v>3680144</v>
      </c>
      <c r="H3736" s="7">
        <v>2356</v>
      </c>
      <c r="I3736" s="7">
        <v>207</v>
      </c>
      <c r="J3736" s="7">
        <v>605</v>
      </c>
      <c r="K3736" s="7" t="s">
        <v>18</v>
      </c>
      <c r="L3736" s="8">
        <v>39987.315405092595</v>
      </c>
      <c r="M3736" s="9" t="s">
        <v>19</v>
      </c>
      <c r="N3736" s="9" t="s">
        <v>20</v>
      </c>
      <c r="O3736" s="6" t="str">
        <f>HYPERLINK("https://pbs.twimg.com/profile_images/962471262747529216/Uo8lOkRJ_normal.jpg","View")</f>
        <v>View</v>
      </c>
      <c r="P3736" s="7"/>
    </row>
    <row r="3737" spans="1:16">
      <c r="A3737" s="3">
        <v>43909.761388888888</v>
      </c>
      <c r="B3737" s="4" t="str">
        <f>HYPERLINK("https://twitter.com/petrogustavo","@petrogustavo")</f>
        <v>@petrogustavo</v>
      </c>
      <c r="C3737" s="5" t="s">
        <v>16</v>
      </c>
      <c r="D3737" s="5" t="s">
        <v>3658</v>
      </c>
      <c r="E3737" s="6" t="str">
        <f>HYPERLINK("https://twitter.com/petrogustavo/status/1240620636931870722","1240620636931870722")</f>
        <v>1240620636931870722</v>
      </c>
      <c r="F3737" s="7" t="s">
        <v>17</v>
      </c>
      <c r="G3737" s="7">
        <v>3680144</v>
      </c>
      <c r="H3737" s="7">
        <v>2356</v>
      </c>
      <c r="I3737" s="7">
        <v>373</v>
      </c>
      <c r="J3737" s="7">
        <v>801</v>
      </c>
      <c r="K3737" s="7" t="s">
        <v>18</v>
      </c>
      <c r="L3737" s="8">
        <v>39987.315405092595</v>
      </c>
      <c r="M3737" s="9" t="s">
        <v>19</v>
      </c>
      <c r="N3737" s="9" t="s">
        <v>20</v>
      </c>
      <c r="O3737" s="6" t="str">
        <f>HYPERLINK("https://pbs.twimg.com/profile_images/962471262747529216/Uo8lOkRJ_normal.jpg","View")</f>
        <v>View</v>
      </c>
      <c r="P3737" s="7"/>
    </row>
    <row r="3738" spans="1:16">
      <c r="A3738" s="3">
        <v>43909.766770833332</v>
      </c>
      <c r="B3738" s="4" t="str">
        <f>HYPERLINK("https://twitter.com/petrogustavo","@petrogustavo")</f>
        <v>@petrogustavo</v>
      </c>
      <c r="C3738" s="5" t="s">
        <v>16</v>
      </c>
      <c r="D3738" s="5" t="s">
        <v>3659</v>
      </c>
      <c r="E3738" s="6" t="str">
        <f>HYPERLINK("https://twitter.com/petrogustavo/status/1240622587459362817","1240622587459362817")</f>
        <v>1240622587459362817</v>
      </c>
      <c r="F3738" s="7" t="s">
        <v>17</v>
      </c>
      <c r="G3738" s="7">
        <v>3680144</v>
      </c>
      <c r="H3738" s="7">
        <v>2356</v>
      </c>
      <c r="I3738" s="7">
        <v>190</v>
      </c>
      <c r="J3738" s="7">
        <v>684</v>
      </c>
      <c r="K3738" s="7" t="s">
        <v>18</v>
      </c>
      <c r="L3738" s="8">
        <v>39987.315405092595</v>
      </c>
      <c r="M3738" s="9" t="s">
        <v>19</v>
      </c>
      <c r="N3738" s="9" t="s">
        <v>20</v>
      </c>
      <c r="O3738" s="6" t="str">
        <f>HYPERLINK("https://pbs.twimg.com/profile_images/962471262747529216/Uo8lOkRJ_normal.jpg","View")</f>
        <v>View</v>
      </c>
      <c r="P3738" s="7"/>
    </row>
    <row r="3739" spans="1:16">
      <c r="A3739" s="3">
        <v>43909.772222222222</v>
      </c>
      <c r="B3739" s="4" t="str">
        <f>HYPERLINK("https://twitter.com/petrogustavo","@petrogustavo")</f>
        <v>@petrogustavo</v>
      </c>
      <c r="C3739" s="5" t="s">
        <v>16</v>
      </c>
      <c r="D3739" s="5" t="s">
        <v>3660</v>
      </c>
      <c r="E3739" s="6" t="str">
        <f>HYPERLINK("https://twitter.com/petrogustavo/status/1240624562578042880","1240624562578042880")</f>
        <v>1240624562578042880</v>
      </c>
      <c r="F3739" s="7" t="s">
        <v>17</v>
      </c>
      <c r="G3739" s="7">
        <v>3680144</v>
      </c>
      <c r="H3739" s="7">
        <v>2356</v>
      </c>
      <c r="I3739" s="7">
        <v>5</v>
      </c>
      <c r="J3739" s="7">
        <v>16</v>
      </c>
      <c r="K3739" s="7" t="s">
        <v>18</v>
      </c>
      <c r="L3739" s="8">
        <v>39987.315405092595</v>
      </c>
      <c r="M3739" s="9" t="s">
        <v>19</v>
      </c>
      <c r="N3739" s="9" t="s">
        <v>20</v>
      </c>
      <c r="O3739" s="6" t="str">
        <f>HYPERLINK("https://pbs.twimg.com/profile_images/962471262747529216/Uo8lOkRJ_normal.jpg","View")</f>
        <v>View</v>
      </c>
      <c r="P3739" s="7"/>
    </row>
    <row r="3740" spans="1:16">
      <c r="A3740" s="3">
        <v>43909.77825231482</v>
      </c>
      <c r="B3740" s="4" t="str">
        <f>HYPERLINK("https://twitter.com/petrogustavo","@petrogustavo")</f>
        <v>@petrogustavo</v>
      </c>
      <c r="C3740" s="5" t="s">
        <v>16</v>
      </c>
      <c r="D3740" s="5" t="s">
        <v>3661</v>
      </c>
      <c r="E3740" s="6" t="str">
        <f>HYPERLINK("https://twitter.com/petrogustavo/status/1240626748246671360","1240626748246671360")</f>
        <v>1240626748246671360</v>
      </c>
      <c r="F3740" s="7" t="s">
        <v>17</v>
      </c>
      <c r="G3740" s="7">
        <v>3680315</v>
      </c>
      <c r="H3740" s="7">
        <v>2356</v>
      </c>
      <c r="I3740" s="7">
        <v>540</v>
      </c>
      <c r="J3740" s="7">
        <v>1633</v>
      </c>
      <c r="K3740" s="7" t="s">
        <v>18</v>
      </c>
      <c r="L3740" s="8">
        <v>39987.315405092595</v>
      </c>
      <c r="M3740" s="9" t="s">
        <v>19</v>
      </c>
      <c r="N3740" s="9" t="s">
        <v>20</v>
      </c>
      <c r="O3740" s="6" t="str">
        <f>HYPERLINK("https://pbs.twimg.com/profile_images/962471262747529216/Uo8lOkRJ_normal.jpg","View")</f>
        <v>View</v>
      </c>
      <c r="P3740" s="7"/>
    </row>
    <row r="3741" spans="1:16">
      <c r="A3741" s="3">
        <v>43909.781851851847</v>
      </c>
      <c r="B3741" s="4" t="str">
        <f>HYPERLINK("https://twitter.com/petrogustavo","@petrogustavo")</f>
        <v>@petrogustavo</v>
      </c>
      <c r="C3741" s="5" t="s">
        <v>16</v>
      </c>
      <c r="D3741" s="5" t="s">
        <v>3662</v>
      </c>
      <c r="E3741" s="6" t="str">
        <f>HYPERLINK("https://twitter.com/petrogustavo/status/1240628052926832641","1240628052926832641")</f>
        <v>1240628052926832641</v>
      </c>
      <c r="F3741" s="7" t="s">
        <v>17</v>
      </c>
      <c r="G3741" s="7">
        <v>3680315</v>
      </c>
      <c r="H3741" s="7">
        <v>2356</v>
      </c>
      <c r="I3741" s="7">
        <v>266</v>
      </c>
      <c r="J3741" s="7">
        <v>783</v>
      </c>
      <c r="K3741" s="7" t="s">
        <v>18</v>
      </c>
      <c r="L3741" s="8">
        <v>39987.315405092595</v>
      </c>
      <c r="M3741" s="9" t="s">
        <v>19</v>
      </c>
      <c r="N3741" s="9" t="s">
        <v>20</v>
      </c>
      <c r="O3741" s="6" t="str">
        <f>HYPERLINK("https://pbs.twimg.com/profile_images/962471262747529216/Uo8lOkRJ_normal.jpg","View")</f>
        <v>View</v>
      </c>
      <c r="P3741" s="7"/>
    </row>
    <row r="3742" spans="1:16">
      <c r="A3742" s="3">
        <v>43909.803831018522</v>
      </c>
      <c r="B3742" s="4" t="str">
        <f>HYPERLINK("https://twitter.com/petrogustavo","@petrogustavo")</f>
        <v>@petrogustavo</v>
      </c>
      <c r="C3742" s="5" t="s">
        <v>16</v>
      </c>
      <c r="D3742" s="5" t="s">
        <v>3663</v>
      </c>
      <c r="E3742" s="6" t="str">
        <f>HYPERLINK("https://twitter.com/petrogustavo/status/1240636018887450624","1240636018887450624")</f>
        <v>1240636018887450624</v>
      </c>
      <c r="F3742" s="7" t="s">
        <v>17</v>
      </c>
      <c r="G3742" s="7">
        <v>3680425</v>
      </c>
      <c r="H3742" s="7">
        <v>2356</v>
      </c>
      <c r="I3742" s="7">
        <v>161</v>
      </c>
      <c r="J3742" s="7">
        <v>274</v>
      </c>
      <c r="K3742" s="7" t="s">
        <v>18</v>
      </c>
      <c r="L3742" s="8">
        <v>39987.315405092595</v>
      </c>
      <c r="M3742" s="9" t="s">
        <v>19</v>
      </c>
      <c r="N3742" s="9" t="s">
        <v>20</v>
      </c>
      <c r="O3742" s="6" t="str">
        <f>HYPERLINK("https://pbs.twimg.com/profile_images/962471262747529216/Uo8lOkRJ_normal.jpg","View")</f>
        <v>View</v>
      </c>
      <c r="P3742" s="7"/>
    </row>
    <row r="3743" spans="1:16">
      <c r="A3743" s="3">
        <v>43909.815717592588</v>
      </c>
      <c r="B3743" s="4" t="str">
        <f>HYPERLINK("https://twitter.com/petrogustavo","@petrogustavo")</f>
        <v>@petrogustavo</v>
      </c>
      <c r="C3743" s="5" t="s">
        <v>16</v>
      </c>
      <c r="D3743" s="5" t="s">
        <v>3664</v>
      </c>
      <c r="E3743" s="6" t="str">
        <f>HYPERLINK("https://twitter.com/petrogustavo/status/1240640327461076992","1240640327461076992")</f>
        <v>1240640327461076992</v>
      </c>
      <c r="F3743" s="7" t="s">
        <v>17</v>
      </c>
      <c r="G3743" s="7">
        <v>3680530</v>
      </c>
      <c r="H3743" s="7">
        <v>2356</v>
      </c>
      <c r="I3743" s="7">
        <v>544</v>
      </c>
      <c r="J3743" s="7">
        <v>0</v>
      </c>
      <c r="K3743" s="7" t="s">
        <v>18</v>
      </c>
      <c r="L3743" s="8">
        <v>39987.315405092595</v>
      </c>
      <c r="M3743" s="9" t="s">
        <v>19</v>
      </c>
      <c r="N3743" s="9" t="s">
        <v>20</v>
      </c>
      <c r="O3743" s="6" t="str">
        <f>HYPERLINK("https://pbs.twimg.com/profile_images/962471262747529216/Uo8lOkRJ_normal.jpg","View")</f>
        <v>View</v>
      </c>
      <c r="P3743" s="7"/>
    </row>
    <row r="3744" spans="1:16">
      <c r="A3744" s="3">
        <v>43909.824884259258</v>
      </c>
      <c r="B3744" s="4" t="str">
        <f>HYPERLINK("https://twitter.com/petrogustavo","@petrogustavo")</f>
        <v>@petrogustavo</v>
      </c>
      <c r="C3744" s="5" t="s">
        <v>16</v>
      </c>
      <c r="D3744" s="5" t="s">
        <v>3665</v>
      </c>
      <c r="E3744" s="6" t="str">
        <f>HYPERLINK("https://twitter.com/petrogustavo/status/1240643648007671808","1240643648007671808")</f>
        <v>1240643648007671808</v>
      </c>
      <c r="F3744" s="7" t="s">
        <v>17</v>
      </c>
      <c r="G3744" s="7">
        <v>3680530</v>
      </c>
      <c r="H3744" s="7">
        <v>2356</v>
      </c>
      <c r="I3744" s="7">
        <v>61</v>
      </c>
      <c r="J3744" s="7">
        <v>209</v>
      </c>
      <c r="K3744" s="7" t="s">
        <v>18</v>
      </c>
      <c r="L3744" s="8">
        <v>39987.315405092595</v>
      </c>
      <c r="M3744" s="9" t="s">
        <v>19</v>
      </c>
      <c r="N3744" s="9" t="s">
        <v>20</v>
      </c>
      <c r="O3744" s="6" t="str">
        <f>HYPERLINK("https://pbs.twimg.com/profile_images/962471262747529216/Uo8lOkRJ_normal.jpg","View")</f>
        <v>View</v>
      </c>
      <c r="P3744" s="7"/>
    </row>
    <row r="3745" spans="1:16">
      <c r="A3745" s="3">
        <v>43909.826319444444</v>
      </c>
      <c r="B3745" s="4" t="str">
        <f>HYPERLINK("https://twitter.com/petrogustavo","@petrogustavo")</f>
        <v>@petrogustavo</v>
      </c>
      <c r="C3745" s="5" t="s">
        <v>16</v>
      </c>
      <c r="D3745" s="5" t="s">
        <v>3666</v>
      </c>
      <c r="E3745" s="6" t="str">
        <f>HYPERLINK("https://twitter.com/petrogustavo/status/1240644168847896582","1240644168847896582")</f>
        <v>1240644168847896582</v>
      </c>
      <c r="F3745" s="7" t="s">
        <v>17</v>
      </c>
      <c r="G3745" s="7">
        <v>3680530</v>
      </c>
      <c r="H3745" s="7">
        <v>2356</v>
      </c>
      <c r="I3745" s="7">
        <v>269</v>
      </c>
      <c r="J3745" s="7">
        <v>960</v>
      </c>
      <c r="K3745" s="7" t="s">
        <v>18</v>
      </c>
      <c r="L3745" s="8">
        <v>39987.315405092595</v>
      </c>
      <c r="M3745" s="9" t="s">
        <v>19</v>
      </c>
      <c r="N3745" s="9" t="s">
        <v>20</v>
      </c>
      <c r="O3745" s="6" t="str">
        <f>HYPERLINK("https://pbs.twimg.com/profile_images/962471262747529216/Uo8lOkRJ_normal.jpg","View")</f>
        <v>View</v>
      </c>
      <c r="P3745" s="7"/>
    </row>
    <row r="3746" spans="1:16">
      <c r="A3746" s="3">
        <v>43909.863958333328</v>
      </c>
      <c r="B3746" s="4" t="str">
        <f>HYPERLINK("https://twitter.com/petrogustavo","@petrogustavo")</f>
        <v>@petrogustavo</v>
      </c>
      <c r="C3746" s="5" t="s">
        <v>16</v>
      </c>
      <c r="D3746" s="5" t="s">
        <v>3667</v>
      </c>
      <c r="E3746" s="6" t="str">
        <f>HYPERLINK("https://twitter.com/petrogustavo/status/1240657808309342211","1240657808309342211")</f>
        <v>1240657808309342211</v>
      </c>
      <c r="F3746" s="7" t="s">
        <v>17</v>
      </c>
      <c r="G3746" s="7">
        <v>3680757</v>
      </c>
      <c r="H3746" s="7">
        <v>2356</v>
      </c>
      <c r="I3746" s="7">
        <v>76</v>
      </c>
      <c r="J3746" s="7">
        <v>165</v>
      </c>
      <c r="K3746" s="7" t="s">
        <v>18</v>
      </c>
      <c r="L3746" s="8">
        <v>39987.315405092595</v>
      </c>
      <c r="M3746" s="9" t="s">
        <v>19</v>
      </c>
      <c r="N3746" s="9" t="s">
        <v>20</v>
      </c>
      <c r="O3746" s="6" t="str">
        <f>HYPERLINK("https://pbs.twimg.com/profile_images/962471262747529216/Uo8lOkRJ_normal.jpg","View")</f>
        <v>View</v>
      </c>
      <c r="P3746" s="7"/>
    </row>
    <row r="3747" spans="1:16">
      <c r="A3747" s="3">
        <v>43909.864224537036</v>
      </c>
      <c r="B3747" s="4" t="str">
        <f>HYPERLINK("https://twitter.com/petrogustavo","@petrogustavo")</f>
        <v>@petrogustavo</v>
      </c>
      <c r="C3747" s="5" t="s">
        <v>16</v>
      </c>
      <c r="D3747" s="5" t="s">
        <v>3668</v>
      </c>
      <c r="E3747" s="6" t="str">
        <f>HYPERLINK("https://twitter.com/petrogustavo/status/1240657903952039936","1240657903952039936")</f>
        <v>1240657903952039936</v>
      </c>
      <c r="F3747" s="7" t="s">
        <v>17</v>
      </c>
      <c r="G3747" s="7">
        <v>3680757</v>
      </c>
      <c r="H3747" s="7">
        <v>2356</v>
      </c>
      <c r="I3747" s="7">
        <v>187</v>
      </c>
      <c r="J3747" s="7">
        <v>0</v>
      </c>
      <c r="K3747" s="7" t="s">
        <v>18</v>
      </c>
      <c r="L3747" s="8">
        <v>39987.315405092595</v>
      </c>
      <c r="M3747" s="9" t="s">
        <v>19</v>
      </c>
      <c r="N3747" s="9" t="s">
        <v>20</v>
      </c>
      <c r="O3747" s="6" t="str">
        <f>HYPERLINK("https://pbs.twimg.com/profile_images/962471262747529216/Uo8lOkRJ_normal.jpg","View")</f>
        <v>View</v>
      </c>
      <c r="P3747" s="7"/>
    </row>
    <row r="3748" spans="1:16">
      <c r="A3748" s="3">
        <v>43909.866296296299</v>
      </c>
      <c r="B3748" s="4" t="str">
        <f>HYPERLINK("https://twitter.com/petrogustavo","@petrogustavo")</f>
        <v>@petrogustavo</v>
      </c>
      <c r="C3748" s="5" t="s">
        <v>16</v>
      </c>
      <c r="D3748" s="5" t="s">
        <v>3669</v>
      </c>
      <c r="E3748" s="6" t="str">
        <f>HYPERLINK("https://twitter.com/petrogustavo/status/1240658654812143617","1240658654812143617")</f>
        <v>1240658654812143617</v>
      </c>
      <c r="F3748" s="7" t="s">
        <v>17</v>
      </c>
      <c r="G3748" s="7">
        <v>3680757</v>
      </c>
      <c r="H3748" s="7">
        <v>2356</v>
      </c>
      <c r="I3748" s="7">
        <v>321</v>
      </c>
      <c r="J3748" s="7">
        <v>1043</v>
      </c>
      <c r="K3748" s="7" t="s">
        <v>18</v>
      </c>
      <c r="L3748" s="8">
        <v>39987.315405092595</v>
      </c>
      <c r="M3748" s="9" t="s">
        <v>19</v>
      </c>
      <c r="N3748" s="9" t="s">
        <v>20</v>
      </c>
      <c r="O3748" s="6" t="str">
        <f>HYPERLINK("https://pbs.twimg.com/profile_images/962471262747529216/Uo8lOkRJ_normal.jpg","View")</f>
        <v>View</v>
      </c>
      <c r="P3748" s="7"/>
    </row>
    <row r="3749" spans="1:16">
      <c r="A3749" s="3">
        <v>43909.871423611112</v>
      </c>
      <c r="B3749" s="4" t="str">
        <f>HYPERLINK("https://twitter.com/petrogustavo","@petrogustavo")</f>
        <v>@petrogustavo</v>
      </c>
      <c r="C3749" s="5" t="s">
        <v>16</v>
      </c>
      <c r="D3749" s="5" t="s">
        <v>3670</v>
      </c>
      <c r="E3749" s="6" t="str">
        <f>HYPERLINK("https://twitter.com/petrogustavo/status/1240660512398086144","1240660512398086144")</f>
        <v>1240660512398086144</v>
      </c>
      <c r="F3749" s="7" t="s">
        <v>17</v>
      </c>
      <c r="G3749" s="7">
        <v>3680757</v>
      </c>
      <c r="H3749" s="7">
        <v>2356</v>
      </c>
      <c r="I3749" s="7">
        <v>72</v>
      </c>
      <c r="J3749" s="7">
        <v>173</v>
      </c>
      <c r="K3749" s="7" t="s">
        <v>18</v>
      </c>
      <c r="L3749" s="8">
        <v>39987.315405092595</v>
      </c>
      <c r="M3749" s="9" t="s">
        <v>19</v>
      </c>
      <c r="N3749" s="9" t="s">
        <v>20</v>
      </c>
      <c r="O3749" s="6" t="str">
        <f>HYPERLINK("https://pbs.twimg.com/profile_images/962471262747529216/Uo8lOkRJ_normal.jpg","View")</f>
        <v>View</v>
      </c>
      <c r="P3749" s="7"/>
    </row>
    <row r="3750" spans="1:16">
      <c r="A3750" s="3">
        <v>43909.915127314816</v>
      </c>
      <c r="B3750" s="4" t="str">
        <f>HYPERLINK("https://twitter.com/petrogustavo","@petrogustavo")</f>
        <v>@petrogustavo</v>
      </c>
      <c r="C3750" s="5" t="s">
        <v>16</v>
      </c>
      <c r="D3750" s="5" t="s">
        <v>3671</v>
      </c>
      <c r="E3750" s="6" t="str">
        <f>HYPERLINK("https://twitter.com/petrogustavo/status/1240676353235714049","1240676353235714049")</f>
        <v>1240676353235714049</v>
      </c>
      <c r="F3750" s="7" t="s">
        <v>17</v>
      </c>
      <c r="G3750" s="7">
        <v>3680983</v>
      </c>
      <c r="H3750" s="7">
        <v>2356</v>
      </c>
      <c r="I3750" s="7">
        <v>45</v>
      </c>
      <c r="J3750" s="7">
        <v>124</v>
      </c>
      <c r="K3750" s="7" t="s">
        <v>18</v>
      </c>
      <c r="L3750" s="8">
        <v>39987.315405092595</v>
      </c>
      <c r="M3750" s="9" t="s">
        <v>19</v>
      </c>
      <c r="N3750" s="9" t="s">
        <v>20</v>
      </c>
      <c r="O3750" s="6" t="str">
        <f>HYPERLINK("https://pbs.twimg.com/profile_images/962471262747529216/Uo8lOkRJ_normal.jpg","View")</f>
        <v>View</v>
      </c>
      <c r="P3750" s="7"/>
    </row>
    <row r="3751" spans="1:16">
      <c r="A3751" s="3">
        <v>43909.928067129629</v>
      </c>
      <c r="B3751" s="4" t="str">
        <f>HYPERLINK("https://twitter.com/petrogustavo","@petrogustavo")</f>
        <v>@petrogustavo</v>
      </c>
      <c r="C3751" s="5" t="s">
        <v>16</v>
      </c>
      <c r="D3751" s="5" t="s">
        <v>3672</v>
      </c>
      <c r="E3751" s="6" t="str">
        <f>HYPERLINK("https://twitter.com/petrogustavo/status/1240681038650716161","1240681038650716161")</f>
        <v>1240681038650716161</v>
      </c>
      <c r="F3751" s="7" t="s">
        <v>17</v>
      </c>
      <c r="G3751" s="7">
        <v>3681121</v>
      </c>
      <c r="H3751" s="7">
        <v>2356</v>
      </c>
      <c r="I3751" s="7">
        <v>221</v>
      </c>
      <c r="J3751" s="7">
        <v>503</v>
      </c>
      <c r="K3751" s="7" t="s">
        <v>18</v>
      </c>
      <c r="L3751" s="8">
        <v>39987.315405092595</v>
      </c>
      <c r="M3751" s="9" t="s">
        <v>19</v>
      </c>
      <c r="N3751" s="9" t="s">
        <v>20</v>
      </c>
      <c r="O3751" s="6" t="str">
        <f>HYPERLINK("https://pbs.twimg.com/profile_images/962471262747529216/Uo8lOkRJ_normal.jpg","View")</f>
        <v>View</v>
      </c>
      <c r="P3751" s="7"/>
    </row>
    <row r="3752" spans="1:16">
      <c r="A3752" s="3">
        <v>43909.940879629634</v>
      </c>
      <c r="B3752" s="4" t="str">
        <f>HYPERLINK("https://twitter.com/petrogustavo","@petrogustavo")</f>
        <v>@petrogustavo</v>
      </c>
      <c r="C3752" s="5" t="s">
        <v>16</v>
      </c>
      <c r="D3752" s="5" t="s">
        <v>3673</v>
      </c>
      <c r="E3752" s="6" t="str">
        <f>HYPERLINK("https://twitter.com/petrogustavo/status/1240685682055475203","1240685682055475203")</f>
        <v>1240685682055475203</v>
      </c>
      <c r="F3752" s="7" t="s">
        <v>17</v>
      </c>
      <c r="G3752" s="7">
        <v>3681244</v>
      </c>
      <c r="H3752" s="7">
        <v>2356</v>
      </c>
      <c r="I3752" s="7">
        <v>172</v>
      </c>
      <c r="J3752" s="7">
        <v>308</v>
      </c>
      <c r="K3752" s="7" t="s">
        <v>18</v>
      </c>
      <c r="L3752" s="8">
        <v>39987.315405092595</v>
      </c>
      <c r="M3752" s="9" t="s">
        <v>19</v>
      </c>
      <c r="N3752" s="9" t="s">
        <v>20</v>
      </c>
      <c r="O3752" s="6" t="str">
        <f>HYPERLINK("https://pbs.twimg.com/profile_images/962471262747529216/Uo8lOkRJ_normal.jpg","View")</f>
        <v>View</v>
      </c>
      <c r="P3752" s="7"/>
    </row>
    <row r="3753" spans="1:16">
      <c r="A3753" s="3">
        <v>43909.94149305555</v>
      </c>
      <c r="B3753" s="4" t="str">
        <f>HYPERLINK("https://twitter.com/petrogustavo","@petrogustavo")</f>
        <v>@petrogustavo</v>
      </c>
      <c r="C3753" s="5" t="s">
        <v>16</v>
      </c>
      <c r="D3753" s="5" t="s">
        <v>3674</v>
      </c>
      <c r="E3753" s="6" t="str">
        <f>HYPERLINK("https://twitter.com/petrogustavo/status/1240685906865958912","1240685906865958912")</f>
        <v>1240685906865958912</v>
      </c>
      <c r="F3753" s="7" t="s">
        <v>17</v>
      </c>
      <c r="G3753" s="7">
        <v>3681244</v>
      </c>
      <c r="H3753" s="7">
        <v>2356</v>
      </c>
      <c r="I3753" s="7">
        <v>100</v>
      </c>
      <c r="J3753" s="7">
        <v>326</v>
      </c>
      <c r="K3753" s="7" t="s">
        <v>18</v>
      </c>
      <c r="L3753" s="8">
        <v>39987.315405092595</v>
      </c>
      <c r="M3753" s="9" t="s">
        <v>19</v>
      </c>
      <c r="N3753" s="9" t="s">
        <v>20</v>
      </c>
      <c r="O3753" s="6" t="str">
        <f>HYPERLINK("https://pbs.twimg.com/profile_images/962471262747529216/Uo8lOkRJ_normal.jpg","View")</f>
        <v>View</v>
      </c>
      <c r="P3753" s="7"/>
    </row>
    <row r="3754" spans="1:16">
      <c r="A3754" s="3">
        <v>43909.944687499999</v>
      </c>
      <c r="B3754" s="4" t="str">
        <f>HYPERLINK("https://twitter.com/petrogustavo","@petrogustavo")</f>
        <v>@petrogustavo</v>
      </c>
      <c r="C3754" s="5" t="s">
        <v>16</v>
      </c>
      <c r="D3754" s="5" t="s">
        <v>3675</v>
      </c>
      <c r="E3754" s="6" t="str">
        <f>HYPERLINK("https://twitter.com/petrogustavo/status/1240687063571152896","1240687063571152896")</f>
        <v>1240687063571152896</v>
      </c>
      <c r="F3754" s="7" t="s">
        <v>17</v>
      </c>
      <c r="G3754" s="7">
        <v>3681244</v>
      </c>
      <c r="H3754" s="7">
        <v>2356</v>
      </c>
      <c r="I3754" s="7">
        <v>122</v>
      </c>
      <c r="J3754" s="7">
        <v>303</v>
      </c>
      <c r="K3754" s="7" t="s">
        <v>18</v>
      </c>
      <c r="L3754" s="8">
        <v>39987.315405092595</v>
      </c>
      <c r="M3754" s="9" t="s">
        <v>19</v>
      </c>
      <c r="N3754" s="9" t="s">
        <v>20</v>
      </c>
      <c r="O3754" s="6" t="str">
        <f>HYPERLINK("https://pbs.twimg.com/profile_images/962471262747529216/Uo8lOkRJ_normal.jpg","View")</f>
        <v>View</v>
      </c>
      <c r="P3754" s="7"/>
    </row>
    <row r="3755" spans="1:16">
      <c r="A3755" s="3">
        <v>43909.946770833332</v>
      </c>
      <c r="B3755" s="4" t="str">
        <f>HYPERLINK("https://twitter.com/petrogustavo","@petrogustavo")</f>
        <v>@petrogustavo</v>
      </c>
      <c r="C3755" s="5" t="s">
        <v>16</v>
      </c>
      <c r="D3755" s="5" t="s">
        <v>3676</v>
      </c>
      <c r="E3755" s="6" t="str">
        <f>HYPERLINK("https://twitter.com/petrogustavo/status/1240687820022231042","1240687820022231042")</f>
        <v>1240687820022231042</v>
      </c>
      <c r="F3755" s="7" t="s">
        <v>17</v>
      </c>
      <c r="G3755" s="7">
        <v>3681244</v>
      </c>
      <c r="H3755" s="7">
        <v>2356</v>
      </c>
      <c r="I3755" s="7">
        <v>149</v>
      </c>
      <c r="J3755" s="7">
        <v>320</v>
      </c>
      <c r="K3755" s="7" t="s">
        <v>18</v>
      </c>
      <c r="L3755" s="8">
        <v>39987.315405092595</v>
      </c>
      <c r="M3755" s="9" t="s">
        <v>19</v>
      </c>
      <c r="N3755" s="9" t="s">
        <v>20</v>
      </c>
      <c r="O3755" s="6" t="str">
        <f>HYPERLINK("https://pbs.twimg.com/profile_images/962471262747529216/Uo8lOkRJ_normal.jpg","View")</f>
        <v>View</v>
      </c>
      <c r="P3755" s="7"/>
    </row>
    <row r="3756" spans="1:16">
      <c r="A3756" s="3">
        <v>43909.952407407407</v>
      </c>
      <c r="B3756" s="4" t="str">
        <f>HYPERLINK("https://twitter.com/petrogustavo","@petrogustavo")</f>
        <v>@petrogustavo</v>
      </c>
      <c r="C3756" s="5" t="s">
        <v>16</v>
      </c>
      <c r="D3756" s="5" t="s">
        <v>3677</v>
      </c>
      <c r="E3756" s="6" t="str">
        <f>HYPERLINK("https://twitter.com/petrogustavo/status/1240689861784297474","1240689861784297474")</f>
        <v>1240689861784297474</v>
      </c>
      <c r="F3756" s="7" t="s">
        <v>17</v>
      </c>
      <c r="G3756" s="7">
        <v>3681244</v>
      </c>
      <c r="H3756" s="7">
        <v>2356</v>
      </c>
      <c r="I3756" s="7">
        <v>99</v>
      </c>
      <c r="J3756" s="7">
        <v>373</v>
      </c>
      <c r="K3756" s="7" t="s">
        <v>18</v>
      </c>
      <c r="L3756" s="8">
        <v>39987.315405092595</v>
      </c>
      <c r="M3756" s="9" t="s">
        <v>19</v>
      </c>
      <c r="N3756" s="9" t="s">
        <v>20</v>
      </c>
      <c r="O3756" s="6" t="str">
        <f>HYPERLINK("https://pbs.twimg.com/profile_images/962471262747529216/Uo8lOkRJ_normal.jpg","View")</f>
        <v>View</v>
      </c>
      <c r="P3756" s="7"/>
    </row>
    <row r="3757" spans="1:16">
      <c r="A3757" s="3">
        <v>43909.956041666665</v>
      </c>
      <c r="B3757" s="4" t="str">
        <f>HYPERLINK("https://twitter.com/petrogustavo","@petrogustavo")</f>
        <v>@petrogustavo</v>
      </c>
      <c r="C3757" s="5" t="s">
        <v>16</v>
      </c>
      <c r="D3757" s="5" t="s">
        <v>3678</v>
      </c>
      <c r="E3757" s="6" t="str">
        <f>HYPERLINK("https://twitter.com/petrogustavo/status/1240691179492003841","1240691179492003841")</f>
        <v>1240691179492003841</v>
      </c>
      <c r="F3757" s="7" t="s">
        <v>17</v>
      </c>
      <c r="G3757" s="7">
        <v>3681244</v>
      </c>
      <c r="H3757" s="7">
        <v>2356</v>
      </c>
      <c r="I3757" s="7">
        <v>72</v>
      </c>
      <c r="J3757" s="7">
        <v>163</v>
      </c>
      <c r="K3757" s="7" t="s">
        <v>18</v>
      </c>
      <c r="L3757" s="8">
        <v>39987.315405092595</v>
      </c>
      <c r="M3757" s="9" t="s">
        <v>19</v>
      </c>
      <c r="N3757" s="9" t="s">
        <v>20</v>
      </c>
      <c r="O3757" s="6" t="str">
        <f>HYPERLINK("https://pbs.twimg.com/profile_images/962471262747529216/Uo8lOkRJ_normal.jpg","View")</f>
        <v>View</v>
      </c>
      <c r="P3757" s="7"/>
    </row>
    <row r="3758" spans="1:16">
      <c r="A3758" s="3">
        <v>43909.965601851851</v>
      </c>
      <c r="B3758" s="4" t="str">
        <f>HYPERLINK("https://twitter.com/petrogustavo","@petrogustavo")</f>
        <v>@petrogustavo</v>
      </c>
      <c r="C3758" s="5" t="s">
        <v>16</v>
      </c>
      <c r="D3758" s="5" t="s">
        <v>3679</v>
      </c>
      <c r="E3758" s="6" t="str">
        <f>HYPERLINK("https://twitter.com/petrogustavo/status/1240694644465229824","1240694644465229824")</f>
        <v>1240694644465229824</v>
      </c>
      <c r="F3758" s="7" t="s">
        <v>17</v>
      </c>
      <c r="G3758" s="7">
        <v>3681317</v>
      </c>
      <c r="H3758" s="7">
        <v>2356</v>
      </c>
      <c r="I3758" s="7">
        <v>1213</v>
      </c>
      <c r="J3758" s="7">
        <v>0</v>
      </c>
      <c r="K3758" s="7" t="s">
        <v>18</v>
      </c>
      <c r="L3758" s="8">
        <v>39987.315405092595</v>
      </c>
      <c r="M3758" s="9" t="s">
        <v>19</v>
      </c>
      <c r="N3758" s="9" t="s">
        <v>20</v>
      </c>
      <c r="O3758" s="6" t="str">
        <f>HYPERLINK("https://pbs.twimg.com/profile_images/962471262747529216/Uo8lOkRJ_normal.jpg","View")</f>
        <v>View</v>
      </c>
      <c r="P3758" s="7"/>
    </row>
    <row r="3759" spans="1:16">
      <c r="A3759" s="3">
        <v>43909.975578703699</v>
      </c>
      <c r="B3759" s="4" t="str">
        <f>HYPERLINK("https://twitter.com/petrogustavo","@petrogustavo")</f>
        <v>@petrogustavo</v>
      </c>
      <c r="C3759" s="5" t="s">
        <v>16</v>
      </c>
      <c r="D3759" s="5" t="s">
        <v>3680</v>
      </c>
      <c r="E3759" s="6" t="str">
        <f>HYPERLINK("https://twitter.com/petrogustavo/status/1240698256977301506","1240698256977301506")</f>
        <v>1240698256977301506</v>
      </c>
      <c r="F3759" s="7" t="s">
        <v>17</v>
      </c>
      <c r="G3759" s="7">
        <v>3681317</v>
      </c>
      <c r="H3759" s="7">
        <v>2356</v>
      </c>
      <c r="I3759" s="7">
        <v>94</v>
      </c>
      <c r="J3759" s="7">
        <v>239</v>
      </c>
      <c r="K3759" s="7" t="s">
        <v>18</v>
      </c>
      <c r="L3759" s="8">
        <v>39987.315405092595</v>
      </c>
      <c r="M3759" s="9" t="s">
        <v>19</v>
      </c>
      <c r="N3759" s="9" t="s">
        <v>20</v>
      </c>
      <c r="O3759" s="6" t="str">
        <f>HYPERLINK("https://pbs.twimg.com/profile_images/962471262747529216/Uo8lOkRJ_normal.jpg","View")</f>
        <v>View</v>
      </c>
      <c r="P3759" s="7"/>
    </row>
    <row r="3760" spans="1:16">
      <c r="A3760" s="3">
        <v>43909.979907407411</v>
      </c>
      <c r="B3760" s="4" t="str">
        <f>HYPERLINK("https://twitter.com/petrogustavo","@petrogustavo")</f>
        <v>@petrogustavo</v>
      </c>
      <c r="C3760" s="5" t="s">
        <v>16</v>
      </c>
      <c r="D3760" s="5" t="s">
        <v>3681</v>
      </c>
      <c r="E3760" s="6" t="str">
        <f>HYPERLINK("https://twitter.com/petrogustavo/status/1240699828880867328","1240699828880867328")</f>
        <v>1240699828880867328</v>
      </c>
      <c r="F3760" s="7" t="s">
        <v>17</v>
      </c>
      <c r="G3760" s="7">
        <v>3681453</v>
      </c>
      <c r="H3760" s="7">
        <v>2356</v>
      </c>
      <c r="I3760" s="7">
        <v>159</v>
      </c>
      <c r="J3760" s="7">
        <v>459</v>
      </c>
      <c r="K3760" s="7" t="s">
        <v>18</v>
      </c>
      <c r="L3760" s="8">
        <v>39987.315405092595</v>
      </c>
      <c r="M3760" s="9" t="s">
        <v>19</v>
      </c>
      <c r="N3760" s="9" t="s">
        <v>20</v>
      </c>
      <c r="O3760" s="6" t="str">
        <f>HYPERLINK("https://pbs.twimg.com/profile_images/962471262747529216/Uo8lOkRJ_normal.jpg","View")</f>
        <v>View</v>
      </c>
      <c r="P3760" s="7"/>
    </row>
    <row r="3761" spans="1:16">
      <c r="A3761" s="3">
        <v>43910.013506944444</v>
      </c>
      <c r="B3761" s="4" t="str">
        <f>HYPERLINK("https://twitter.com/petrogustavo","@petrogustavo")</f>
        <v>@petrogustavo</v>
      </c>
      <c r="C3761" s="5" t="s">
        <v>16</v>
      </c>
      <c r="D3761" s="5" t="s">
        <v>3682</v>
      </c>
      <c r="E3761" s="6" t="str">
        <f>HYPERLINK("https://twitter.com/petrogustavo/status/1240712004446203905","1240712004446203905")</f>
        <v>1240712004446203905</v>
      </c>
      <c r="F3761" s="7" t="s">
        <v>17</v>
      </c>
      <c r="G3761" s="7">
        <v>3681572</v>
      </c>
      <c r="H3761" s="7">
        <v>2357</v>
      </c>
      <c r="I3761" s="7">
        <v>88</v>
      </c>
      <c r="J3761" s="7">
        <v>310</v>
      </c>
      <c r="K3761" s="7" t="s">
        <v>18</v>
      </c>
      <c r="L3761" s="8">
        <v>39987.315405092595</v>
      </c>
      <c r="M3761" s="9" t="s">
        <v>19</v>
      </c>
      <c r="N3761" s="9" t="s">
        <v>20</v>
      </c>
      <c r="O3761" s="6" t="str">
        <f>HYPERLINK("https://pbs.twimg.com/profile_images/962471262747529216/Uo8lOkRJ_normal.jpg","View")</f>
        <v>View</v>
      </c>
      <c r="P3761" s="7"/>
    </row>
    <row r="3762" spans="1:16">
      <c r="A3762" s="3">
        <v>43910.016747685186</v>
      </c>
      <c r="B3762" s="4" t="str">
        <f>HYPERLINK("https://twitter.com/petrogustavo","@petrogustavo")</f>
        <v>@petrogustavo</v>
      </c>
      <c r="C3762" s="5" t="s">
        <v>16</v>
      </c>
      <c r="D3762" s="5" t="s">
        <v>3683</v>
      </c>
      <c r="E3762" s="6" t="str">
        <f>HYPERLINK("https://twitter.com/petrogustavo/status/1240713176984858624","1240713176984858624")</f>
        <v>1240713176984858624</v>
      </c>
      <c r="F3762" s="7" t="s">
        <v>17</v>
      </c>
      <c r="G3762" s="7">
        <v>3681572</v>
      </c>
      <c r="H3762" s="7">
        <v>2357</v>
      </c>
      <c r="I3762" s="7">
        <v>122</v>
      </c>
      <c r="J3762" s="7">
        <v>525</v>
      </c>
      <c r="K3762" s="7" t="s">
        <v>18</v>
      </c>
      <c r="L3762" s="8">
        <v>39987.315405092595</v>
      </c>
      <c r="M3762" s="9" t="s">
        <v>19</v>
      </c>
      <c r="N3762" s="9" t="s">
        <v>20</v>
      </c>
      <c r="O3762" s="6" t="str">
        <f>HYPERLINK("https://pbs.twimg.com/profile_images/962471262747529216/Uo8lOkRJ_normal.jpg","View")</f>
        <v>View</v>
      </c>
      <c r="P3762" s="7"/>
    </row>
    <row r="3763" spans="1:16">
      <c r="A3763" s="3">
        <v>43910.032800925925</v>
      </c>
      <c r="B3763" s="4" t="str">
        <f>HYPERLINK("https://twitter.com/petrogustavo","@petrogustavo")</f>
        <v>@petrogustavo</v>
      </c>
      <c r="C3763" s="5" t="s">
        <v>16</v>
      </c>
      <c r="D3763" s="5" t="s">
        <v>3684</v>
      </c>
      <c r="E3763" s="6" t="str">
        <f>HYPERLINK("https://twitter.com/petrogustavo/status/1240718996883640320","1240718996883640320")</f>
        <v>1240718996883640320</v>
      </c>
      <c r="F3763" s="7" t="s">
        <v>17</v>
      </c>
      <c r="G3763" s="7">
        <v>3681620</v>
      </c>
      <c r="H3763" s="7">
        <v>2357</v>
      </c>
      <c r="I3763" s="7">
        <v>160</v>
      </c>
      <c r="J3763" s="7">
        <v>351</v>
      </c>
      <c r="K3763" s="7" t="s">
        <v>18</v>
      </c>
      <c r="L3763" s="8">
        <v>39987.315405092595</v>
      </c>
      <c r="M3763" s="9" t="s">
        <v>19</v>
      </c>
      <c r="N3763" s="9" t="s">
        <v>20</v>
      </c>
      <c r="O3763" s="6" t="str">
        <f>HYPERLINK("https://pbs.twimg.com/profile_images/962471262747529216/Uo8lOkRJ_normal.jpg","View")</f>
        <v>View</v>
      </c>
      <c r="P3763" s="7"/>
    </row>
    <row r="3764" spans="1:16">
      <c r="A3764" s="3">
        <v>43910.066145833334</v>
      </c>
      <c r="B3764" s="4" t="str">
        <f>HYPERLINK("https://twitter.com/petrogustavo","@petrogustavo")</f>
        <v>@petrogustavo</v>
      </c>
      <c r="C3764" s="5" t="s">
        <v>16</v>
      </c>
      <c r="D3764" s="5" t="s">
        <v>3685</v>
      </c>
      <c r="E3764" s="6" t="str">
        <f>HYPERLINK("https://twitter.com/petrogustavo/status/1240731079214075904","1240731079214075904")</f>
        <v>1240731079214075904</v>
      </c>
      <c r="F3764" s="7" t="s">
        <v>17</v>
      </c>
      <c r="G3764" s="7">
        <v>3681813</v>
      </c>
      <c r="H3764" s="7">
        <v>2357</v>
      </c>
      <c r="I3764" s="7">
        <v>186</v>
      </c>
      <c r="J3764" s="7">
        <v>545</v>
      </c>
      <c r="K3764" s="7" t="s">
        <v>18</v>
      </c>
      <c r="L3764" s="8">
        <v>39987.315405092595</v>
      </c>
      <c r="M3764" s="9" t="s">
        <v>19</v>
      </c>
      <c r="N3764" s="9" t="s">
        <v>20</v>
      </c>
      <c r="O3764" s="6" t="str">
        <f>HYPERLINK("https://pbs.twimg.com/profile_images/962471262747529216/Uo8lOkRJ_normal.jpg","View")</f>
        <v>View</v>
      </c>
      <c r="P3764" s="7"/>
    </row>
    <row r="3765" spans="1:16">
      <c r="A3765" s="3">
        <v>43910.068611111114</v>
      </c>
      <c r="B3765" s="4" t="str">
        <f>HYPERLINK("https://twitter.com/petrogustavo","@petrogustavo")</f>
        <v>@petrogustavo</v>
      </c>
      <c r="C3765" s="5" t="s">
        <v>16</v>
      </c>
      <c r="D3765" s="5" t="s">
        <v>3686</v>
      </c>
      <c r="E3765" s="6" t="str">
        <f>HYPERLINK("https://twitter.com/petrogustavo/status/1240731970721677312","1240731970721677312")</f>
        <v>1240731970721677312</v>
      </c>
      <c r="F3765" s="7" t="s">
        <v>17</v>
      </c>
      <c r="G3765" s="7">
        <v>3681813</v>
      </c>
      <c r="H3765" s="7">
        <v>2357</v>
      </c>
      <c r="I3765" s="7">
        <v>109</v>
      </c>
      <c r="J3765" s="7">
        <v>0</v>
      </c>
      <c r="K3765" s="7" t="s">
        <v>18</v>
      </c>
      <c r="L3765" s="8">
        <v>39987.315405092595</v>
      </c>
      <c r="M3765" s="9" t="s">
        <v>19</v>
      </c>
      <c r="N3765" s="9" t="s">
        <v>20</v>
      </c>
      <c r="O3765" s="6" t="str">
        <f>HYPERLINK("https://pbs.twimg.com/profile_images/962471262747529216/Uo8lOkRJ_normal.jpg","View")</f>
        <v>View</v>
      </c>
      <c r="P3765" s="7"/>
    </row>
    <row r="3766" spans="1:16">
      <c r="A3766" s="3">
        <v>43910.071157407408</v>
      </c>
      <c r="B3766" s="4" t="str">
        <f>HYPERLINK("https://twitter.com/petrogustavo","@petrogustavo")</f>
        <v>@petrogustavo</v>
      </c>
      <c r="C3766" s="5" t="s">
        <v>16</v>
      </c>
      <c r="D3766" s="5" t="s">
        <v>3687</v>
      </c>
      <c r="E3766" s="6" t="str">
        <f>HYPERLINK("https://twitter.com/petrogustavo/status/1240732894441738241","1240732894441738241")</f>
        <v>1240732894441738241</v>
      </c>
      <c r="F3766" s="7" t="s">
        <v>17</v>
      </c>
      <c r="G3766" s="7">
        <v>3681813</v>
      </c>
      <c r="H3766" s="7">
        <v>2357</v>
      </c>
      <c r="I3766" s="7">
        <v>41</v>
      </c>
      <c r="J3766" s="7">
        <v>84</v>
      </c>
      <c r="K3766" s="7" t="s">
        <v>18</v>
      </c>
      <c r="L3766" s="8">
        <v>39987.315405092595</v>
      </c>
      <c r="M3766" s="9" t="s">
        <v>19</v>
      </c>
      <c r="N3766" s="9" t="s">
        <v>20</v>
      </c>
      <c r="O3766" s="6" t="str">
        <f>HYPERLINK("https://pbs.twimg.com/profile_images/962471262747529216/Uo8lOkRJ_normal.jpg","View")</f>
        <v>View</v>
      </c>
      <c r="P3766" s="7"/>
    </row>
    <row r="3767" spans="1:16">
      <c r="A3767" s="3">
        <v>43910.074745370366</v>
      </c>
      <c r="B3767" s="4" t="str">
        <f>HYPERLINK("https://twitter.com/petrogustavo","@petrogustavo")</f>
        <v>@petrogustavo</v>
      </c>
      <c r="C3767" s="5" t="s">
        <v>16</v>
      </c>
      <c r="D3767" s="5" t="s">
        <v>3688</v>
      </c>
      <c r="E3767" s="6" t="str">
        <f>HYPERLINK("https://twitter.com/petrogustavo/status/1240734194885701633","1240734194885701633")</f>
        <v>1240734194885701633</v>
      </c>
      <c r="F3767" s="7" t="s">
        <v>17</v>
      </c>
      <c r="G3767" s="7">
        <v>3681813</v>
      </c>
      <c r="H3767" s="7">
        <v>2357</v>
      </c>
      <c r="I3767" s="7">
        <v>36</v>
      </c>
      <c r="J3767" s="7">
        <v>108</v>
      </c>
      <c r="K3767" s="7" t="s">
        <v>18</v>
      </c>
      <c r="L3767" s="8">
        <v>39987.315405092595</v>
      </c>
      <c r="M3767" s="9" t="s">
        <v>19</v>
      </c>
      <c r="N3767" s="9" t="s">
        <v>20</v>
      </c>
      <c r="O3767" s="6" t="str">
        <f>HYPERLINK("https://pbs.twimg.com/profile_images/962471262747529216/Uo8lOkRJ_normal.jpg","View")</f>
        <v>View</v>
      </c>
      <c r="P3767" s="7"/>
    </row>
    <row r="3768" spans="1:16">
      <c r="A3768" s="3">
        <v>43910.076388888891</v>
      </c>
      <c r="B3768" s="4" t="str">
        <f>HYPERLINK("https://twitter.com/petrogustavo","@petrogustavo")</f>
        <v>@petrogustavo</v>
      </c>
      <c r="C3768" s="5" t="s">
        <v>16</v>
      </c>
      <c r="D3768" s="5" t="s">
        <v>3689</v>
      </c>
      <c r="E3768" s="6" t="str">
        <f>HYPERLINK("https://twitter.com/petrogustavo/status/1240734788736167946","1240734788736167946")</f>
        <v>1240734788736167946</v>
      </c>
      <c r="F3768" s="7" t="s">
        <v>17</v>
      </c>
      <c r="G3768" s="7">
        <v>3681813</v>
      </c>
      <c r="H3768" s="7">
        <v>2357</v>
      </c>
      <c r="I3768" s="7">
        <v>40</v>
      </c>
      <c r="J3768" s="7">
        <v>79</v>
      </c>
      <c r="K3768" s="7" t="s">
        <v>18</v>
      </c>
      <c r="L3768" s="8">
        <v>39987.315405092595</v>
      </c>
      <c r="M3768" s="9" t="s">
        <v>19</v>
      </c>
      <c r="N3768" s="9" t="s">
        <v>20</v>
      </c>
      <c r="O3768" s="6" t="str">
        <f>HYPERLINK("https://pbs.twimg.com/profile_images/962471262747529216/Uo8lOkRJ_normal.jpg","View")</f>
        <v>View</v>
      </c>
      <c r="P3768" s="7"/>
    </row>
    <row r="3769" spans="1:16">
      <c r="A3769" s="3">
        <v>43910.081620370373</v>
      </c>
      <c r="B3769" s="4" t="str">
        <f>HYPERLINK("https://twitter.com/petrogustavo","@petrogustavo")</f>
        <v>@petrogustavo</v>
      </c>
      <c r="C3769" s="5" t="s">
        <v>16</v>
      </c>
      <c r="D3769" s="5" t="s">
        <v>3690</v>
      </c>
      <c r="E3769" s="6" t="str">
        <f>HYPERLINK("https://twitter.com/petrogustavo/status/1240736685270466562","1240736685270466562")</f>
        <v>1240736685270466562</v>
      </c>
      <c r="F3769" s="7" t="s">
        <v>17</v>
      </c>
      <c r="G3769" s="7">
        <v>3681813</v>
      </c>
      <c r="H3769" s="7">
        <v>2357</v>
      </c>
      <c r="I3769" s="7">
        <v>661</v>
      </c>
      <c r="J3769" s="7">
        <v>0</v>
      </c>
      <c r="K3769" s="7" t="s">
        <v>18</v>
      </c>
      <c r="L3769" s="8">
        <v>39987.315405092595</v>
      </c>
      <c r="M3769" s="9" t="s">
        <v>19</v>
      </c>
      <c r="N3769" s="9" t="s">
        <v>20</v>
      </c>
      <c r="O3769" s="6" t="str">
        <f>HYPERLINK("https://pbs.twimg.com/profile_images/962471262747529216/Uo8lOkRJ_normal.jpg","View")</f>
        <v>View</v>
      </c>
      <c r="P3769" s="7"/>
    </row>
    <row r="3770" spans="1:16">
      <c r="A3770" s="3">
        <v>43910.081828703704</v>
      </c>
      <c r="B3770" s="4" t="str">
        <f>HYPERLINK("https://twitter.com/petrogustavo","@petrogustavo")</f>
        <v>@petrogustavo</v>
      </c>
      <c r="C3770" s="5" t="s">
        <v>16</v>
      </c>
      <c r="D3770" s="5" t="s">
        <v>3691</v>
      </c>
      <c r="E3770" s="6" t="str">
        <f>HYPERLINK("https://twitter.com/petrogustavo/status/1240736763917873152","1240736763917873152")</f>
        <v>1240736763917873152</v>
      </c>
      <c r="F3770" s="7" t="s">
        <v>17</v>
      </c>
      <c r="G3770" s="7">
        <v>3681813</v>
      </c>
      <c r="H3770" s="7">
        <v>2357</v>
      </c>
      <c r="I3770" s="7">
        <v>353</v>
      </c>
      <c r="J3770" s="7">
        <v>0</v>
      </c>
      <c r="K3770" s="7" t="s">
        <v>18</v>
      </c>
      <c r="L3770" s="8">
        <v>39987.315405092595</v>
      </c>
      <c r="M3770" s="9" t="s">
        <v>19</v>
      </c>
      <c r="N3770" s="9" t="s">
        <v>20</v>
      </c>
      <c r="O3770" s="6" t="str">
        <f>HYPERLINK("https://pbs.twimg.com/profile_images/962471262747529216/Uo8lOkRJ_normal.jpg","View")</f>
        <v>View</v>
      </c>
      <c r="P3770" s="7"/>
    </row>
    <row r="3771" spans="1:16">
      <c r="A3771" s="3">
        <v>43910.199652777781</v>
      </c>
      <c r="B3771" s="4" t="str">
        <f>HYPERLINK("https://twitter.com/petrogustavo","@petrogustavo")</f>
        <v>@petrogustavo</v>
      </c>
      <c r="C3771" s="5" t="s">
        <v>16</v>
      </c>
      <c r="D3771" s="5" t="s">
        <v>3691</v>
      </c>
      <c r="E3771" s="6" t="str">
        <f>HYPERLINK("https://twitter.com/petrogustavo/status/1240779460984688646","1240779460984688646")</f>
        <v>1240779460984688646</v>
      </c>
      <c r="F3771" s="7" t="s">
        <v>17</v>
      </c>
      <c r="G3771" s="7">
        <v>3682270</v>
      </c>
      <c r="H3771" s="7">
        <v>2357</v>
      </c>
      <c r="I3771" s="7">
        <v>545</v>
      </c>
      <c r="J3771" s="7">
        <v>0</v>
      </c>
      <c r="K3771" s="7" t="s">
        <v>18</v>
      </c>
      <c r="L3771" s="8">
        <v>39987.315405092595</v>
      </c>
      <c r="M3771" s="9" t="s">
        <v>19</v>
      </c>
      <c r="N3771" s="9" t="s">
        <v>20</v>
      </c>
      <c r="O3771" s="6" t="str">
        <f>HYPERLINK("https://pbs.twimg.com/profile_images/962471262747529216/Uo8lOkRJ_normal.jpg","View")</f>
        <v>View</v>
      </c>
      <c r="P3771" s="7"/>
    </row>
    <row r="3772" spans="1:16">
      <c r="A3772" s="3">
        <v>43910.206863425927</v>
      </c>
      <c r="B3772" s="4" t="str">
        <f>HYPERLINK("https://twitter.com/petrogustavo","@petrogustavo")</f>
        <v>@petrogustavo</v>
      </c>
      <c r="C3772" s="5" t="s">
        <v>16</v>
      </c>
      <c r="D3772" s="5" t="s">
        <v>3692</v>
      </c>
      <c r="E3772" s="6" t="str">
        <f>HYPERLINK("https://twitter.com/petrogustavo/status/1240782074963005440","1240782074963005440")</f>
        <v>1240782074963005440</v>
      </c>
      <c r="F3772" s="7" t="s">
        <v>17</v>
      </c>
      <c r="G3772" s="7">
        <v>3682270</v>
      </c>
      <c r="H3772" s="7">
        <v>2357</v>
      </c>
      <c r="I3772" s="7">
        <v>74</v>
      </c>
      <c r="J3772" s="7">
        <v>149</v>
      </c>
      <c r="K3772" s="7" t="s">
        <v>18</v>
      </c>
      <c r="L3772" s="8">
        <v>39987.315405092595</v>
      </c>
      <c r="M3772" s="9" t="s">
        <v>19</v>
      </c>
      <c r="N3772" s="9" t="s">
        <v>20</v>
      </c>
      <c r="O3772" s="6" t="str">
        <f>HYPERLINK("https://pbs.twimg.com/profile_images/962471262747529216/Uo8lOkRJ_normal.jpg","View")</f>
        <v>View</v>
      </c>
      <c r="P3772" s="7"/>
    </row>
    <row r="3773" spans="1:16">
      <c r="A3773" s="3">
        <v>43910.210648148146</v>
      </c>
      <c r="B3773" s="4" t="str">
        <f>HYPERLINK("https://twitter.com/petrogustavo","@petrogustavo")</f>
        <v>@petrogustavo</v>
      </c>
      <c r="C3773" s="5" t="s">
        <v>16</v>
      </c>
      <c r="D3773" s="5" t="s">
        <v>3693</v>
      </c>
      <c r="E3773" s="6" t="str">
        <f>HYPERLINK("https://twitter.com/petrogustavo/status/1240783442910105603","1240783442910105603")</f>
        <v>1240783442910105603</v>
      </c>
      <c r="F3773" s="7" t="s">
        <v>17</v>
      </c>
      <c r="G3773" s="7">
        <v>3682360</v>
      </c>
      <c r="H3773" s="7">
        <v>2357</v>
      </c>
      <c r="I3773" s="7">
        <v>86</v>
      </c>
      <c r="J3773" s="7">
        <v>189</v>
      </c>
      <c r="K3773" s="7" t="s">
        <v>18</v>
      </c>
      <c r="L3773" s="8">
        <v>39987.315405092595</v>
      </c>
      <c r="M3773" s="9" t="s">
        <v>19</v>
      </c>
      <c r="N3773" s="9" t="s">
        <v>20</v>
      </c>
      <c r="O3773" s="6" t="str">
        <f>HYPERLINK("https://pbs.twimg.com/profile_images/962471262747529216/Uo8lOkRJ_normal.jpg","View")</f>
        <v>View</v>
      </c>
      <c r="P3773" s="7"/>
    </row>
    <row r="3774" spans="1:16">
      <c r="A3774" s="3">
        <v>43910.212060185186</v>
      </c>
      <c r="B3774" s="4" t="str">
        <f>HYPERLINK("https://twitter.com/petrogustavo","@petrogustavo")</f>
        <v>@petrogustavo</v>
      </c>
      <c r="C3774" s="5" t="s">
        <v>16</v>
      </c>
      <c r="D3774" s="5" t="s">
        <v>3694</v>
      </c>
      <c r="E3774" s="6" t="str">
        <f>HYPERLINK("https://twitter.com/petrogustavo/status/1240783954871046144","1240783954871046144")</f>
        <v>1240783954871046144</v>
      </c>
      <c r="F3774" s="7" t="s">
        <v>17</v>
      </c>
      <c r="G3774" s="7">
        <v>3682360</v>
      </c>
      <c r="H3774" s="7">
        <v>2357</v>
      </c>
      <c r="I3774" s="7">
        <v>67</v>
      </c>
      <c r="J3774" s="7">
        <v>167</v>
      </c>
      <c r="K3774" s="7" t="s">
        <v>18</v>
      </c>
      <c r="L3774" s="8">
        <v>39987.315405092595</v>
      </c>
      <c r="M3774" s="9" t="s">
        <v>19</v>
      </c>
      <c r="N3774" s="9" t="s">
        <v>20</v>
      </c>
      <c r="O3774" s="6" t="str">
        <f>HYPERLINK("https://pbs.twimg.com/profile_images/962471262747529216/Uo8lOkRJ_normal.jpg","View")</f>
        <v>View</v>
      </c>
      <c r="P3774" s="7"/>
    </row>
    <row r="3775" spans="1:16">
      <c r="A3775" s="3">
        <v>43910.213912037041</v>
      </c>
      <c r="B3775" s="4" t="str">
        <f>HYPERLINK("https://twitter.com/petrogustavo","@petrogustavo")</f>
        <v>@petrogustavo</v>
      </c>
      <c r="C3775" s="5" t="s">
        <v>16</v>
      </c>
      <c r="D3775" s="5" t="s">
        <v>3695</v>
      </c>
      <c r="E3775" s="6" t="str">
        <f>HYPERLINK("https://twitter.com/petrogustavo/status/1240784627238871042","1240784627238871042")</f>
        <v>1240784627238871042</v>
      </c>
      <c r="F3775" s="7" t="s">
        <v>17</v>
      </c>
      <c r="G3775" s="7">
        <v>3682360</v>
      </c>
      <c r="H3775" s="7">
        <v>2357</v>
      </c>
      <c r="I3775" s="7">
        <v>106</v>
      </c>
      <c r="J3775" s="7">
        <v>225</v>
      </c>
      <c r="K3775" s="7" t="s">
        <v>18</v>
      </c>
      <c r="L3775" s="8">
        <v>39987.315405092595</v>
      </c>
      <c r="M3775" s="9" t="s">
        <v>19</v>
      </c>
      <c r="N3775" s="9" t="s">
        <v>20</v>
      </c>
      <c r="O3775" s="6" t="str">
        <f>HYPERLINK("https://pbs.twimg.com/profile_images/962471262747529216/Uo8lOkRJ_normal.jpg","View")</f>
        <v>View</v>
      </c>
      <c r="P3775" s="7"/>
    </row>
    <row r="3776" spans="1:16">
      <c r="A3776" s="3">
        <v>43910.216840277775</v>
      </c>
      <c r="B3776" s="4" t="str">
        <f>HYPERLINK("https://twitter.com/petrogustavo","@petrogustavo")</f>
        <v>@petrogustavo</v>
      </c>
      <c r="C3776" s="5" t="s">
        <v>16</v>
      </c>
      <c r="D3776" s="5" t="s">
        <v>3696</v>
      </c>
      <c r="E3776" s="6" t="str">
        <f>HYPERLINK("https://twitter.com/petrogustavo/status/1240785690310389763","1240785690310389763")</f>
        <v>1240785690310389763</v>
      </c>
      <c r="F3776" s="7" t="s">
        <v>17</v>
      </c>
      <c r="G3776" s="7">
        <v>3682360</v>
      </c>
      <c r="H3776" s="7">
        <v>2357</v>
      </c>
      <c r="I3776" s="7">
        <v>295</v>
      </c>
      <c r="J3776" s="7">
        <v>817</v>
      </c>
      <c r="K3776" s="7" t="s">
        <v>18</v>
      </c>
      <c r="L3776" s="8">
        <v>39987.315405092595</v>
      </c>
      <c r="M3776" s="9" t="s">
        <v>19</v>
      </c>
      <c r="N3776" s="9" t="s">
        <v>20</v>
      </c>
      <c r="O3776" s="6" t="str">
        <f>HYPERLINK("https://pbs.twimg.com/profile_images/962471262747529216/Uo8lOkRJ_normal.jpg","View")</f>
        <v>View</v>
      </c>
      <c r="P3776" s="7"/>
    </row>
    <row r="3777" spans="1:16">
      <c r="A3777" s="3">
        <v>43910.219236111108</v>
      </c>
      <c r="B3777" s="4" t="str">
        <f>HYPERLINK("https://twitter.com/petrogustavo","@petrogustavo")</f>
        <v>@petrogustavo</v>
      </c>
      <c r="C3777" s="5" t="s">
        <v>16</v>
      </c>
      <c r="D3777" s="5" t="s">
        <v>3697</v>
      </c>
      <c r="E3777" s="6" t="str">
        <f>HYPERLINK("https://twitter.com/petrogustavo/status/1240786558283849728","1240786558283849728")</f>
        <v>1240786558283849728</v>
      </c>
      <c r="F3777" s="7" t="s">
        <v>17</v>
      </c>
      <c r="G3777" s="7">
        <v>3682360</v>
      </c>
      <c r="H3777" s="7">
        <v>2357</v>
      </c>
      <c r="I3777" s="7">
        <v>85</v>
      </c>
      <c r="J3777" s="7">
        <v>243</v>
      </c>
      <c r="K3777" s="7" t="s">
        <v>18</v>
      </c>
      <c r="L3777" s="8">
        <v>39987.315405092595</v>
      </c>
      <c r="M3777" s="9" t="s">
        <v>19</v>
      </c>
      <c r="N3777" s="9" t="s">
        <v>20</v>
      </c>
      <c r="O3777" s="6" t="str">
        <f>HYPERLINK("https://pbs.twimg.com/profile_images/962471262747529216/Uo8lOkRJ_normal.jpg","View")</f>
        <v>View</v>
      </c>
      <c r="P3777" s="7"/>
    </row>
    <row r="3778" spans="1:16">
      <c r="A3778" s="3">
        <v>43910.220706018517</v>
      </c>
      <c r="B3778" s="4" t="str">
        <f>HYPERLINK("https://twitter.com/petrogustavo","@petrogustavo")</f>
        <v>@petrogustavo</v>
      </c>
      <c r="C3778" s="5" t="s">
        <v>16</v>
      </c>
      <c r="D3778" s="5" t="s">
        <v>3698</v>
      </c>
      <c r="E3778" s="6" t="str">
        <f>HYPERLINK("https://twitter.com/petrogustavo/status/1240787091463823362","1240787091463823362")</f>
        <v>1240787091463823362</v>
      </c>
      <c r="F3778" s="7" t="s">
        <v>17</v>
      </c>
      <c r="G3778" s="7">
        <v>3682360</v>
      </c>
      <c r="H3778" s="7">
        <v>2357</v>
      </c>
      <c r="I3778" s="7">
        <v>49</v>
      </c>
      <c r="J3778" s="7">
        <v>164</v>
      </c>
      <c r="K3778" s="7" t="s">
        <v>18</v>
      </c>
      <c r="L3778" s="8">
        <v>39987.315405092595</v>
      </c>
      <c r="M3778" s="9" t="s">
        <v>19</v>
      </c>
      <c r="N3778" s="9" t="s">
        <v>20</v>
      </c>
      <c r="O3778" s="6" t="str">
        <f>HYPERLINK("https://pbs.twimg.com/profile_images/962471262747529216/Uo8lOkRJ_normal.jpg","View")</f>
        <v>View</v>
      </c>
      <c r="P3778" s="7"/>
    </row>
    <row r="3779" spans="1:16">
      <c r="A3779" s="3">
        <v>43910.253738425927</v>
      </c>
      <c r="B3779" s="4" t="str">
        <f>HYPERLINK("https://twitter.com/petrogustavo","@petrogustavo")</f>
        <v>@petrogustavo</v>
      </c>
      <c r="C3779" s="5" t="s">
        <v>16</v>
      </c>
      <c r="D3779" s="5" t="s">
        <v>3699</v>
      </c>
      <c r="E3779" s="6" t="str">
        <f>HYPERLINK("https://twitter.com/petrogustavo/status/1240799061562753025","1240799061562753025")</f>
        <v>1240799061562753025</v>
      </c>
      <c r="F3779" s="7" t="s">
        <v>17</v>
      </c>
      <c r="G3779" s="7">
        <v>3682519</v>
      </c>
      <c r="H3779" s="7">
        <v>2357</v>
      </c>
      <c r="I3779" s="7">
        <v>184</v>
      </c>
      <c r="J3779" s="7">
        <v>237</v>
      </c>
      <c r="K3779" s="7" t="s">
        <v>18</v>
      </c>
      <c r="L3779" s="8">
        <v>39987.315405092595</v>
      </c>
      <c r="M3779" s="9" t="s">
        <v>19</v>
      </c>
      <c r="N3779" s="9" t="s">
        <v>20</v>
      </c>
      <c r="O3779" s="6" t="str">
        <f>HYPERLINK("https://pbs.twimg.com/profile_images/962471262747529216/Uo8lOkRJ_normal.jpg","View")</f>
        <v>View</v>
      </c>
      <c r="P3779" s="7"/>
    </row>
    <row r="3780" spans="1:16">
      <c r="A3780" s="3">
        <v>43910.270011574074</v>
      </c>
      <c r="B3780" s="4" t="str">
        <f>HYPERLINK("https://twitter.com/petrogustavo","@petrogustavo")</f>
        <v>@petrogustavo</v>
      </c>
      <c r="C3780" s="5" t="s">
        <v>16</v>
      </c>
      <c r="D3780" s="5" t="s">
        <v>3700</v>
      </c>
      <c r="E3780" s="6" t="str">
        <f>HYPERLINK("https://twitter.com/petrogustavo/status/1240804957592453120","1240804957592453120")</f>
        <v>1240804957592453120</v>
      </c>
      <c r="F3780" s="7" t="s">
        <v>17</v>
      </c>
      <c r="G3780" s="7">
        <v>3682519</v>
      </c>
      <c r="H3780" s="7">
        <v>2357</v>
      </c>
      <c r="I3780" s="7">
        <v>63</v>
      </c>
      <c r="J3780" s="7">
        <v>132</v>
      </c>
      <c r="K3780" s="7" t="s">
        <v>18</v>
      </c>
      <c r="L3780" s="8">
        <v>39987.315405092595</v>
      </c>
      <c r="M3780" s="9" t="s">
        <v>19</v>
      </c>
      <c r="N3780" s="9" t="s">
        <v>20</v>
      </c>
      <c r="O3780" s="6" t="str">
        <f>HYPERLINK("https://pbs.twimg.com/profile_images/962471262747529216/Uo8lOkRJ_normal.jpg","View")</f>
        <v>View</v>
      </c>
      <c r="P3780" s="7"/>
    </row>
    <row r="3781" spans="1:16">
      <c r="A3781" s="3">
        <v>43910.271562499998</v>
      </c>
      <c r="B3781" s="4" t="str">
        <f>HYPERLINK("https://twitter.com/petrogustavo","@petrogustavo")</f>
        <v>@petrogustavo</v>
      </c>
      <c r="C3781" s="5" t="s">
        <v>16</v>
      </c>
      <c r="D3781" s="5" t="s">
        <v>3701</v>
      </c>
      <c r="E3781" s="6" t="str">
        <f>HYPERLINK("https://twitter.com/petrogustavo/status/1240805517674647558","1240805517674647558")</f>
        <v>1240805517674647558</v>
      </c>
      <c r="F3781" s="7" t="s">
        <v>17</v>
      </c>
      <c r="G3781" s="7">
        <v>3682519</v>
      </c>
      <c r="H3781" s="7">
        <v>2357</v>
      </c>
      <c r="I3781" s="7">
        <v>29</v>
      </c>
      <c r="J3781" s="7">
        <v>0</v>
      </c>
      <c r="K3781" s="7" t="s">
        <v>18</v>
      </c>
      <c r="L3781" s="8">
        <v>39987.315405092595</v>
      </c>
      <c r="M3781" s="9" t="s">
        <v>19</v>
      </c>
      <c r="N3781" s="9" t="s">
        <v>20</v>
      </c>
      <c r="O3781" s="6" t="str">
        <f>HYPERLINK("https://pbs.twimg.com/profile_images/962471262747529216/Uo8lOkRJ_normal.jpg","View")</f>
        <v>View</v>
      </c>
      <c r="P3781" s="7"/>
    </row>
    <row r="3782" spans="1:16">
      <c r="A3782" s="3">
        <v>43910.272719907407</v>
      </c>
      <c r="B3782" s="4" t="str">
        <f>HYPERLINK("https://twitter.com/petrogustavo","@petrogustavo")</f>
        <v>@petrogustavo</v>
      </c>
      <c r="C3782" s="5" t="s">
        <v>16</v>
      </c>
      <c r="D3782" s="5" t="s">
        <v>3702</v>
      </c>
      <c r="E3782" s="6" t="str">
        <f>HYPERLINK("https://twitter.com/petrogustavo/status/1240805936652042242","1240805936652042242")</f>
        <v>1240805936652042242</v>
      </c>
      <c r="F3782" s="7" t="s">
        <v>17</v>
      </c>
      <c r="G3782" s="7">
        <v>3682519</v>
      </c>
      <c r="H3782" s="7">
        <v>2357</v>
      </c>
      <c r="I3782" s="7">
        <v>1</v>
      </c>
      <c r="J3782" s="7">
        <v>0</v>
      </c>
      <c r="K3782" s="7" t="s">
        <v>18</v>
      </c>
      <c r="L3782" s="8">
        <v>39987.315405092595</v>
      </c>
      <c r="M3782" s="9" t="s">
        <v>19</v>
      </c>
      <c r="N3782" s="9" t="s">
        <v>20</v>
      </c>
      <c r="O3782" s="6" t="str">
        <f>HYPERLINK("https://pbs.twimg.com/profile_images/962471262747529216/Uo8lOkRJ_normal.jpg","View")</f>
        <v>View</v>
      </c>
      <c r="P3782" s="7"/>
    </row>
    <row r="3783" spans="1:16">
      <c r="A3783" s="3">
        <v>43910.284571759257</v>
      </c>
      <c r="B3783" s="4" t="str">
        <f>HYPERLINK("https://twitter.com/petrogustavo","@petrogustavo")</f>
        <v>@petrogustavo</v>
      </c>
      <c r="C3783" s="5" t="s">
        <v>16</v>
      </c>
      <c r="D3783" s="5" t="s">
        <v>3703</v>
      </c>
      <c r="E3783" s="6" t="str">
        <f>HYPERLINK("https://twitter.com/petrogustavo/status/1240810233120854016","1240810233120854016")</f>
        <v>1240810233120854016</v>
      </c>
      <c r="F3783" s="7" t="s">
        <v>17</v>
      </c>
      <c r="G3783" s="7">
        <v>3682618</v>
      </c>
      <c r="H3783" s="7">
        <v>2358</v>
      </c>
      <c r="I3783" s="7">
        <v>177</v>
      </c>
      <c r="J3783" s="7">
        <v>0</v>
      </c>
      <c r="K3783" s="7" t="s">
        <v>18</v>
      </c>
      <c r="L3783" s="8">
        <v>39987.315405092595</v>
      </c>
      <c r="M3783" s="9" t="s">
        <v>19</v>
      </c>
      <c r="N3783" s="9" t="s">
        <v>20</v>
      </c>
      <c r="O3783" s="6" t="str">
        <f>HYPERLINK("https://pbs.twimg.com/profile_images/962471262747529216/Uo8lOkRJ_normal.jpg","View")</f>
        <v>View</v>
      </c>
      <c r="P3783" s="7"/>
    </row>
    <row r="3784" spans="1:16">
      <c r="A3784" s="3">
        <v>43910.292442129634</v>
      </c>
      <c r="B3784" s="4" t="str">
        <f>HYPERLINK("https://twitter.com/petrogustavo","@petrogustavo")</f>
        <v>@petrogustavo</v>
      </c>
      <c r="C3784" s="5" t="s">
        <v>16</v>
      </c>
      <c r="D3784" s="5" t="s">
        <v>3704</v>
      </c>
      <c r="E3784" s="6" t="str">
        <f>HYPERLINK("https://twitter.com/petrogustavo/status/1240813084387803136","1240813084387803136")</f>
        <v>1240813084387803136</v>
      </c>
      <c r="F3784" s="7" t="s">
        <v>17</v>
      </c>
      <c r="G3784" s="7">
        <v>3682618</v>
      </c>
      <c r="H3784" s="7">
        <v>2358</v>
      </c>
      <c r="I3784" s="7">
        <v>1</v>
      </c>
      <c r="J3784" s="7">
        <v>7</v>
      </c>
      <c r="K3784" s="7" t="s">
        <v>18</v>
      </c>
      <c r="L3784" s="8">
        <v>39987.315405092595</v>
      </c>
      <c r="M3784" s="9" t="s">
        <v>19</v>
      </c>
      <c r="N3784" s="9" t="s">
        <v>20</v>
      </c>
      <c r="O3784" s="6" t="str">
        <f>HYPERLINK("https://pbs.twimg.com/profile_images/962471262747529216/Uo8lOkRJ_normal.jpg","View")</f>
        <v>View</v>
      </c>
      <c r="P3784" s="7"/>
    </row>
    <row r="3785" spans="1:16">
      <c r="A3785" s="3">
        <v>43910.297754629632</v>
      </c>
      <c r="B3785" s="4" t="str">
        <f>HYPERLINK("https://twitter.com/petrogustavo","@petrogustavo")</f>
        <v>@petrogustavo</v>
      </c>
      <c r="C3785" s="5" t="s">
        <v>16</v>
      </c>
      <c r="D3785" s="5" t="s">
        <v>3705</v>
      </c>
      <c r="E3785" s="6" t="str">
        <f>HYPERLINK("https://twitter.com/petrogustavo/status/1240815011947253762","1240815011947253762")</f>
        <v>1240815011947253762</v>
      </c>
      <c r="F3785" s="7" t="s">
        <v>17</v>
      </c>
      <c r="G3785" s="7">
        <v>3682724</v>
      </c>
      <c r="H3785" s="7">
        <v>2358</v>
      </c>
      <c r="I3785" s="7">
        <v>155</v>
      </c>
      <c r="J3785" s="7">
        <v>370</v>
      </c>
      <c r="K3785" s="7" t="s">
        <v>18</v>
      </c>
      <c r="L3785" s="8">
        <v>39987.315405092595</v>
      </c>
      <c r="M3785" s="9" t="s">
        <v>19</v>
      </c>
      <c r="N3785" s="9" t="s">
        <v>20</v>
      </c>
      <c r="O3785" s="6" t="str">
        <f>HYPERLINK("https://pbs.twimg.com/profile_images/962471262747529216/Uo8lOkRJ_normal.jpg","View")</f>
        <v>View</v>
      </c>
      <c r="P3785" s="7"/>
    </row>
    <row r="3786" spans="1:16">
      <c r="A3786" s="3">
        <v>43910.301446759258</v>
      </c>
      <c r="B3786" s="4" t="str">
        <f>HYPERLINK("https://twitter.com/petrogustavo","@petrogustavo")</f>
        <v>@petrogustavo</v>
      </c>
      <c r="C3786" s="5" t="s">
        <v>16</v>
      </c>
      <c r="D3786" s="5" t="s">
        <v>3706</v>
      </c>
      <c r="E3786" s="6" t="str">
        <f>HYPERLINK("https://twitter.com/petrogustavo/status/1240816346994180096","1240816346994180096")</f>
        <v>1240816346994180096</v>
      </c>
      <c r="F3786" s="7" t="s">
        <v>17</v>
      </c>
      <c r="G3786" s="7">
        <v>3682724</v>
      </c>
      <c r="H3786" s="7">
        <v>2358</v>
      </c>
      <c r="I3786" s="7">
        <v>29</v>
      </c>
      <c r="J3786" s="7">
        <v>0</v>
      </c>
      <c r="K3786" s="7" t="s">
        <v>18</v>
      </c>
      <c r="L3786" s="8">
        <v>39987.315405092595</v>
      </c>
      <c r="M3786" s="9" t="s">
        <v>19</v>
      </c>
      <c r="N3786" s="9" t="s">
        <v>20</v>
      </c>
      <c r="O3786" s="6" t="str">
        <f>HYPERLINK("https://pbs.twimg.com/profile_images/962471262747529216/Uo8lOkRJ_normal.jpg","View")</f>
        <v>View</v>
      </c>
      <c r="P3786" s="7"/>
    </row>
    <row r="3787" spans="1:16">
      <c r="A3787" s="3">
        <v>43910.305729166663</v>
      </c>
      <c r="B3787" s="4" t="str">
        <f>HYPERLINK("https://twitter.com/petrogustavo","@petrogustavo")</f>
        <v>@petrogustavo</v>
      </c>
      <c r="C3787" s="5" t="s">
        <v>16</v>
      </c>
      <c r="D3787" s="5" t="s">
        <v>3707</v>
      </c>
      <c r="E3787" s="6" t="str">
        <f>HYPERLINK("https://twitter.com/petrogustavo/status/1240817899947937794","1240817899947937794")</f>
        <v>1240817899947937794</v>
      </c>
      <c r="F3787" s="7" t="s">
        <v>17</v>
      </c>
      <c r="G3787" s="7">
        <v>3682724</v>
      </c>
      <c r="H3787" s="7">
        <v>2358</v>
      </c>
      <c r="I3787" s="7">
        <v>64</v>
      </c>
      <c r="J3787" s="7">
        <v>125</v>
      </c>
      <c r="K3787" s="7" t="s">
        <v>18</v>
      </c>
      <c r="L3787" s="8">
        <v>39987.315405092595</v>
      </c>
      <c r="M3787" s="9" t="s">
        <v>19</v>
      </c>
      <c r="N3787" s="9" t="s">
        <v>20</v>
      </c>
      <c r="O3787" s="6" t="str">
        <f>HYPERLINK("https://pbs.twimg.com/profile_images/962471262747529216/Uo8lOkRJ_normal.jpg","View")</f>
        <v>View</v>
      </c>
      <c r="P3787" s="7"/>
    </row>
    <row r="3788" spans="1:16">
      <c r="A3788" s="3">
        <v>43910.309444444443</v>
      </c>
      <c r="B3788" s="4" t="str">
        <f>HYPERLINK("https://twitter.com/petrogustavo","@petrogustavo")</f>
        <v>@petrogustavo</v>
      </c>
      <c r="C3788" s="5" t="s">
        <v>16</v>
      </c>
      <c r="D3788" s="5" t="s">
        <v>3708</v>
      </c>
      <c r="E3788" s="6" t="str">
        <f>HYPERLINK("https://twitter.com/petrogustavo/status/1240819248676601856","1240819248676601856")</f>
        <v>1240819248676601856</v>
      </c>
      <c r="F3788" s="7" t="s">
        <v>17</v>
      </c>
      <c r="G3788" s="7">
        <v>3682724</v>
      </c>
      <c r="H3788" s="7">
        <v>2358</v>
      </c>
      <c r="I3788" s="7">
        <v>74</v>
      </c>
      <c r="J3788" s="7">
        <v>219</v>
      </c>
      <c r="K3788" s="7" t="s">
        <v>18</v>
      </c>
      <c r="L3788" s="8">
        <v>39987.315405092595</v>
      </c>
      <c r="M3788" s="9" t="s">
        <v>19</v>
      </c>
      <c r="N3788" s="9" t="s">
        <v>20</v>
      </c>
      <c r="O3788" s="6" t="str">
        <f>HYPERLINK("https://pbs.twimg.com/profile_images/962471262747529216/Uo8lOkRJ_normal.jpg","View")</f>
        <v>View</v>
      </c>
      <c r="P3788" s="7"/>
    </row>
    <row r="3789" spans="1:16">
      <c r="A3789" s="3">
        <v>43910.315821759257</v>
      </c>
      <c r="B3789" s="4" t="str">
        <f>HYPERLINK("https://twitter.com/petrogustavo","@petrogustavo")</f>
        <v>@petrogustavo</v>
      </c>
      <c r="C3789" s="5" t="s">
        <v>16</v>
      </c>
      <c r="D3789" s="5" t="s">
        <v>3709</v>
      </c>
      <c r="E3789" s="6" t="str">
        <f>HYPERLINK("https://twitter.com/petrogustavo/status/1240821558618324992","1240821558618324992")</f>
        <v>1240821558618324992</v>
      </c>
      <c r="F3789" s="7" t="s">
        <v>17</v>
      </c>
      <c r="G3789" s="7">
        <v>3682821</v>
      </c>
      <c r="H3789" s="7">
        <v>2358</v>
      </c>
      <c r="I3789" s="7">
        <v>173</v>
      </c>
      <c r="J3789" s="7">
        <v>492</v>
      </c>
      <c r="K3789" s="7" t="s">
        <v>18</v>
      </c>
      <c r="L3789" s="8">
        <v>39987.315405092595</v>
      </c>
      <c r="M3789" s="9" t="s">
        <v>19</v>
      </c>
      <c r="N3789" s="9" t="s">
        <v>20</v>
      </c>
      <c r="O3789" s="6" t="str">
        <f>HYPERLINK("https://pbs.twimg.com/profile_images/962471262747529216/Uo8lOkRJ_normal.jpg","View")</f>
        <v>View</v>
      </c>
      <c r="P3789" s="7"/>
    </row>
    <row r="3790" spans="1:16">
      <c r="A3790" s="3">
        <v>43910.317604166667</v>
      </c>
      <c r="B3790" s="4" t="str">
        <f>HYPERLINK("https://twitter.com/petrogustavo","@petrogustavo")</f>
        <v>@petrogustavo</v>
      </c>
      <c r="C3790" s="5" t="s">
        <v>16</v>
      </c>
      <c r="D3790" s="5" t="s">
        <v>3710</v>
      </c>
      <c r="E3790" s="6" t="str">
        <f>HYPERLINK("https://twitter.com/petrogustavo/status/1240822203131838467","1240822203131838467")</f>
        <v>1240822203131838467</v>
      </c>
      <c r="F3790" s="7" t="s">
        <v>17</v>
      </c>
      <c r="G3790" s="7">
        <v>3682821</v>
      </c>
      <c r="H3790" s="7">
        <v>2358</v>
      </c>
      <c r="I3790" s="7">
        <v>217</v>
      </c>
      <c r="J3790" s="7">
        <v>724</v>
      </c>
      <c r="K3790" s="7" t="s">
        <v>18</v>
      </c>
      <c r="L3790" s="8">
        <v>39987.315405092595</v>
      </c>
      <c r="M3790" s="9" t="s">
        <v>19</v>
      </c>
      <c r="N3790" s="9" t="s">
        <v>20</v>
      </c>
      <c r="O3790" s="6" t="str">
        <f>HYPERLINK("https://pbs.twimg.com/profile_images/962471262747529216/Uo8lOkRJ_normal.jpg","View")</f>
        <v>View</v>
      </c>
      <c r="P3790" s="7"/>
    </row>
    <row r="3791" spans="1:16">
      <c r="A3791" s="3">
        <v>43910.326249999998</v>
      </c>
      <c r="B3791" s="4" t="str">
        <f>HYPERLINK("https://twitter.com/petrogustavo","@petrogustavo")</f>
        <v>@petrogustavo</v>
      </c>
      <c r="C3791" s="5" t="s">
        <v>16</v>
      </c>
      <c r="D3791" s="5" t="s">
        <v>3711</v>
      </c>
      <c r="E3791" s="6" t="str">
        <f>HYPERLINK("https://twitter.com/petrogustavo/status/1240825338176737280","1240825338176737280")</f>
        <v>1240825338176737280</v>
      </c>
      <c r="F3791" s="7" t="s">
        <v>17</v>
      </c>
      <c r="G3791" s="7">
        <v>3682821</v>
      </c>
      <c r="H3791" s="7">
        <v>2358</v>
      </c>
      <c r="I3791" s="7">
        <v>24</v>
      </c>
      <c r="J3791" s="7">
        <v>45</v>
      </c>
      <c r="K3791" s="7" t="s">
        <v>18</v>
      </c>
      <c r="L3791" s="8">
        <v>39987.315405092595</v>
      </c>
      <c r="M3791" s="9" t="s">
        <v>19</v>
      </c>
      <c r="N3791" s="9" t="s">
        <v>20</v>
      </c>
      <c r="O3791" s="6" t="str">
        <f>HYPERLINK("https://pbs.twimg.com/profile_images/962471262747529216/Uo8lOkRJ_normal.jpg","View")</f>
        <v>View</v>
      </c>
      <c r="P3791" s="7"/>
    </row>
    <row r="3792" spans="1:16">
      <c r="A3792" s="3">
        <v>43910.336793981478</v>
      </c>
      <c r="B3792" s="4" t="str">
        <f>HYPERLINK("https://twitter.com/petrogustavo","@petrogustavo")</f>
        <v>@petrogustavo</v>
      </c>
      <c r="C3792" s="5" t="s">
        <v>16</v>
      </c>
      <c r="D3792" s="5" t="s">
        <v>3712</v>
      </c>
      <c r="E3792" s="6" t="str">
        <f>HYPERLINK("https://twitter.com/petrogustavo/status/1240829156440637440","1240829156440637440")</f>
        <v>1240829156440637440</v>
      </c>
      <c r="F3792" s="7" t="s">
        <v>17</v>
      </c>
      <c r="G3792" s="7">
        <v>3682877</v>
      </c>
      <c r="H3792" s="7">
        <v>2358</v>
      </c>
      <c r="I3792" s="7">
        <v>99</v>
      </c>
      <c r="J3792" s="7">
        <v>304</v>
      </c>
      <c r="K3792" s="7" t="s">
        <v>18</v>
      </c>
      <c r="L3792" s="8">
        <v>39987.315405092595</v>
      </c>
      <c r="M3792" s="9" t="s">
        <v>19</v>
      </c>
      <c r="N3792" s="9" t="s">
        <v>20</v>
      </c>
      <c r="O3792" s="6" t="str">
        <f>HYPERLINK("https://pbs.twimg.com/profile_images/962471262747529216/Uo8lOkRJ_normal.jpg","View")</f>
        <v>View</v>
      </c>
      <c r="P3792" s="7"/>
    </row>
    <row r="3793" spans="1:16">
      <c r="A3793" s="3">
        <v>43910.34211805556</v>
      </c>
      <c r="B3793" s="4" t="str">
        <f>HYPERLINK("https://twitter.com/petrogustavo","@petrogustavo")</f>
        <v>@petrogustavo</v>
      </c>
      <c r="C3793" s="5" t="s">
        <v>16</v>
      </c>
      <c r="D3793" s="5" t="s">
        <v>3713</v>
      </c>
      <c r="E3793" s="6" t="str">
        <f>HYPERLINK("https://twitter.com/petrogustavo/status/1240831089788272648","1240831089788272648")</f>
        <v>1240831089788272648</v>
      </c>
      <c r="F3793" s="7" t="s">
        <v>17</v>
      </c>
      <c r="G3793" s="7">
        <v>3682877</v>
      </c>
      <c r="H3793" s="7">
        <v>2358</v>
      </c>
      <c r="I3793" s="7">
        <v>209</v>
      </c>
      <c r="J3793" s="7">
        <v>410</v>
      </c>
      <c r="K3793" s="7" t="s">
        <v>18</v>
      </c>
      <c r="L3793" s="8">
        <v>39987.315405092595</v>
      </c>
      <c r="M3793" s="9" t="s">
        <v>19</v>
      </c>
      <c r="N3793" s="9" t="s">
        <v>20</v>
      </c>
      <c r="O3793" s="6" t="str">
        <f>HYPERLINK("https://pbs.twimg.com/profile_images/962471262747529216/Uo8lOkRJ_normal.jpg","View")</f>
        <v>View</v>
      </c>
      <c r="P3793" s="7"/>
    </row>
    <row r="3794" spans="1:16">
      <c r="A3794" s="3">
        <v>43910.34642361111</v>
      </c>
      <c r="B3794" s="4" t="str">
        <f>HYPERLINK("https://twitter.com/petrogustavo","@petrogustavo")</f>
        <v>@petrogustavo</v>
      </c>
      <c r="C3794" s="5" t="s">
        <v>16</v>
      </c>
      <c r="D3794" s="5" t="s">
        <v>3714</v>
      </c>
      <c r="E3794" s="6" t="str">
        <f>HYPERLINK("https://twitter.com/petrogustavo/status/1240832648190341127","1240832648190341127")</f>
        <v>1240832648190341127</v>
      </c>
      <c r="F3794" s="7" t="s">
        <v>17</v>
      </c>
      <c r="G3794" s="7">
        <v>3682877</v>
      </c>
      <c r="H3794" s="7">
        <v>2358</v>
      </c>
      <c r="I3794" s="7">
        <v>108</v>
      </c>
      <c r="J3794" s="7">
        <v>218</v>
      </c>
      <c r="K3794" s="7" t="s">
        <v>18</v>
      </c>
      <c r="L3794" s="8">
        <v>39987.315405092595</v>
      </c>
      <c r="M3794" s="9" t="s">
        <v>19</v>
      </c>
      <c r="N3794" s="9" t="s">
        <v>20</v>
      </c>
      <c r="O3794" s="6" t="str">
        <f>HYPERLINK("https://pbs.twimg.com/profile_images/962471262747529216/Uo8lOkRJ_normal.jpg","View")</f>
        <v>View</v>
      </c>
      <c r="P3794" s="7"/>
    </row>
    <row r="3795" spans="1:16">
      <c r="A3795" s="3">
        <v>43910.736967592587</v>
      </c>
      <c r="B3795" s="4" t="str">
        <f>HYPERLINK("https://twitter.com/petrogustavo","@petrogustavo")</f>
        <v>@petrogustavo</v>
      </c>
      <c r="C3795" s="5" t="s">
        <v>16</v>
      </c>
      <c r="D3795" s="5" t="s">
        <v>3715</v>
      </c>
      <c r="E3795" s="6" t="str">
        <f>HYPERLINK("https://twitter.com/petrogustavo/status/1240974176883793920","1240974176883793920")</f>
        <v>1240974176883793920</v>
      </c>
      <c r="F3795" s="7" t="s">
        <v>17</v>
      </c>
      <c r="G3795" s="7">
        <v>3683589</v>
      </c>
      <c r="H3795" s="7">
        <v>2358</v>
      </c>
      <c r="I3795" s="7">
        <v>3622</v>
      </c>
      <c r="J3795" s="7">
        <v>0</v>
      </c>
      <c r="K3795" s="7" t="s">
        <v>18</v>
      </c>
      <c r="L3795" s="8">
        <v>39987.315405092595</v>
      </c>
      <c r="M3795" s="9" t="s">
        <v>19</v>
      </c>
      <c r="N3795" s="9" t="s">
        <v>20</v>
      </c>
      <c r="O3795" s="6" t="str">
        <f>HYPERLINK("https://pbs.twimg.com/profile_images/962471262747529216/Uo8lOkRJ_normal.jpg","View")</f>
        <v>View</v>
      </c>
      <c r="P3795" s="7"/>
    </row>
    <row r="3796" spans="1:16">
      <c r="A3796" s="3">
        <v>43910.745624999996</v>
      </c>
      <c r="B3796" s="4" t="str">
        <f>HYPERLINK("https://twitter.com/petrogustavo","@petrogustavo")</f>
        <v>@petrogustavo</v>
      </c>
      <c r="C3796" s="5" t="s">
        <v>16</v>
      </c>
      <c r="D3796" s="5" t="s">
        <v>3716</v>
      </c>
      <c r="E3796" s="6" t="str">
        <f>HYPERLINK("https://twitter.com/petrogustavo/status/1240977312193155072","1240977312193155072")</f>
        <v>1240977312193155072</v>
      </c>
      <c r="F3796" s="7" t="s">
        <v>17</v>
      </c>
      <c r="G3796" s="7">
        <v>3683589</v>
      </c>
      <c r="H3796" s="7">
        <v>2358</v>
      </c>
      <c r="I3796" s="7">
        <v>124</v>
      </c>
      <c r="J3796" s="7">
        <v>259</v>
      </c>
      <c r="K3796" s="7" t="s">
        <v>18</v>
      </c>
      <c r="L3796" s="8">
        <v>39987.315405092595</v>
      </c>
      <c r="M3796" s="9" t="s">
        <v>19</v>
      </c>
      <c r="N3796" s="9" t="s">
        <v>20</v>
      </c>
      <c r="O3796" s="6" t="str">
        <f>HYPERLINK("https://pbs.twimg.com/profile_images/962471262747529216/Uo8lOkRJ_normal.jpg","View")</f>
        <v>View</v>
      </c>
      <c r="P3796" s="7"/>
    </row>
    <row r="3797" spans="1:16">
      <c r="A3797" s="3">
        <v>43910.748912037037</v>
      </c>
      <c r="B3797" s="4" t="str">
        <f>HYPERLINK("https://twitter.com/petrogustavo","@petrogustavo")</f>
        <v>@petrogustavo</v>
      </c>
      <c r="C3797" s="5" t="s">
        <v>16</v>
      </c>
      <c r="D3797" s="5" t="s">
        <v>3717</v>
      </c>
      <c r="E3797" s="6" t="str">
        <f>HYPERLINK("https://twitter.com/petrogustavo/status/1240978504981905408","1240978504981905408")</f>
        <v>1240978504981905408</v>
      </c>
      <c r="F3797" s="7" t="s">
        <v>17</v>
      </c>
      <c r="G3797" s="7">
        <v>3683589</v>
      </c>
      <c r="H3797" s="7">
        <v>2358</v>
      </c>
      <c r="I3797" s="7">
        <v>20</v>
      </c>
      <c r="J3797" s="7">
        <v>49</v>
      </c>
      <c r="K3797" s="7" t="s">
        <v>18</v>
      </c>
      <c r="L3797" s="8">
        <v>39987.315405092595</v>
      </c>
      <c r="M3797" s="9" t="s">
        <v>19</v>
      </c>
      <c r="N3797" s="9" t="s">
        <v>20</v>
      </c>
      <c r="O3797" s="6" t="str">
        <f>HYPERLINK("https://pbs.twimg.com/profile_images/962471262747529216/Uo8lOkRJ_normal.jpg","View")</f>
        <v>View</v>
      </c>
      <c r="P3797" s="7"/>
    </row>
    <row r="3798" spans="1:16">
      <c r="A3798" s="3">
        <v>43910.752662037034</v>
      </c>
      <c r="B3798" s="4" t="str">
        <f>HYPERLINK("https://twitter.com/petrogustavo","@petrogustavo")</f>
        <v>@petrogustavo</v>
      </c>
      <c r="C3798" s="5" t="s">
        <v>16</v>
      </c>
      <c r="D3798" s="5" t="s">
        <v>3718</v>
      </c>
      <c r="E3798" s="6" t="str">
        <f>HYPERLINK("https://twitter.com/petrogustavo/status/1240979863592468480","1240979863592468480")</f>
        <v>1240979863592468480</v>
      </c>
      <c r="F3798" s="7" t="s">
        <v>17</v>
      </c>
      <c r="G3798" s="7">
        <v>3683658</v>
      </c>
      <c r="H3798" s="7">
        <v>2358</v>
      </c>
      <c r="I3798" s="7">
        <v>345</v>
      </c>
      <c r="J3798" s="7">
        <v>1104</v>
      </c>
      <c r="K3798" s="7" t="s">
        <v>18</v>
      </c>
      <c r="L3798" s="8">
        <v>39987.315405092595</v>
      </c>
      <c r="M3798" s="9" t="s">
        <v>19</v>
      </c>
      <c r="N3798" s="9" t="s">
        <v>20</v>
      </c>
      <c r="O3798" s="6" t="str">
        <f>HYPERLINK("https://pbs.twimg.com/profile_images/962471262747529216/Uo8lOkRJ_normal.jpg","View")</f>
        <v>View</v>
      </c>
      <c r="P3798" s="7"/>
    </row>
    <row r="3799" spans="1:16">
      <c r="A3799" s="3">
        <v>43910.75886574074</v>
      </c>
      <c r="B3799" s="4" t="str">
        <f>HYPERLINK("https://twitter.com/petrogustavo","@petrogustavo")</f>
        <v>@petrogustavo</v>
      </c>
      <c r="C3799" s="5" t="s">
        <v>16</v>
      </c>
      <c r="D3799" s="5" t="s">
        <v>3719</v>
      </c>
      <c r="E3799" s="6" t="str">
        <f>HYPERLINK("https://twitter.com/petrogustavo/status/1240982110225215488","1240982110225215488")</f>
        <v>1240982110225215488</v>
      </c>
      <c r="F3799" s="7" t="s">
        <v>17</v>
      </c>
      <c r="G3799" s="7">
        <v>3683658</v>
      </c>
      <c r="H3799" s="7">
        <v>2358</v>
      </c>
      <c r="I3799" s="7">
        <v>81</v>
      </c>
      <c r="J3799" s="7">
        <v>269</v>
      </c>
      <c r="K3799" s="7" t="s">
        <v>18</v>
      </c>
      <c r="L3799" s="8">
        <v>39987.315405092595</v>
      </c>
      <c r="M3799" s="9" t="s">
        <v>19</v>
      </c>
      <c r="N3799" s="9" t="s">
        <v>20</v>
      </c>
      <c r="O3799" s="6" t="str">
        <f>HYPERLINK("https://pbs.twimg.com/profile_images/962471262747529216/Uo8lOkRJ_normal.jpg","View")</f>
        <v>View</v>
      </c>
      <c r="P3799" s="7"/>
    </row>
    <row r="3800" spans="1:16">
      <c r="A3800" s="3">
        <v>43910.763587962967</v>
      </c>
      <c r="B3800" s="4" t="str">
        <f>HYPERLINK("https://twitter.com/petrogustavo","@petrogustavo")</f>
        <v>@petrogustavo</v>
      </c>
      <c r="C3800" s="5" t="s">
        <v>16</v>
      </c>
      <c r="D3800" s="5" t="s">
        <v>3720</v>
      </c>
      <c r="E3800" s="6" t="str">
        <f>HYPERLINK("https://twitter.com/petrogustavo/status/1240983825108344832","1240983825108344832")</f>
        <v>1240983825108344832</v>
      </c>
      <c r="F3800" s="7" t="s">
        <v>17</v>
      </c>
      <c r="G3800" s="7">
        <v>3683658</v>
      </c>
      <c r="H3800" s="7">
        <v>2358</v>
      </c>
      <c r="I3800" s="7">
        <v>41</v>
      </c>
      <c r="J3800" s="7">
        <v>78</v>
      </c>
      <c r="K3800" s="7" t="s">
        <v>18</v>
      </c>
      <c r="L3800" s="8">
        <v>39987.315405092595</v>
      </c>
      <c r="M3800" s="9" t="s">
        <v>19</v>
      </c>
      <c r="N3800" s="9" t="s">
        <v>20</v>
      </c>
      <c r="O3800" s="6" t="str">
        <f>HYPERLINK("https://pbs.twimg.com/profile_images/962471262747529216/Uo8lOkRJ_normal.jpg","View")</f>
        <v>View</v>
      </c>
      <c r="P3800" s="7"/>
    </row>
    <row r="3801" spans="1:16">
      <c r="A3801" s="3">
        <v>43910.766539351855</v>
      </c>
      <c r="B3801" s="4" t="str">
        <f>HYPERLINK("https://twitter.com/petrogustavo","@petrogustavo")</f>
        <v>@petrogustavo</v>
      </c>
      <c r="C3801" s="5" t="s">
        <v>16</v>
      </c>
      <c r="D3801" s="5" t="s">
        <v>3721</v>
      </c>
      <c r="E3801" s="6" t="str">
        <f>HYPERLINK("https://twitter.com/petrogustavo/status/1240984891178835968","1240984891178835968")</f>
        <v>1240984891178835968</v>
      </c>
      <c r="F3801" s="7" t="s">
        <v>17</v>
      </c>
      <c r="G3801" s="7">
        <v>3683658</v>
      </c>
      <c r="H3801" s="7">
        <v>2358</v>
      </c>
      <c r="I3801" s="7">
        <v>52</v>
      </c>
      <c r="J3801" s="7">
        <v>124</v>
      </c>
      <c r="K3801" s="7" t="s">
        <v>18</v>
      </c>
      <c r="L3801" s="8">
        <v>39987.315405092595</v>
      </c>
      <c r="M3801" s="9" t="s">
        <v>19</v>
      </c>
      <c r="N3801" s="9" t="s">
        <v>20</v>
      </c>
      <c r="O3801" s="6" t="str">
        <f>HYPERLINK("https://pbs.twimg.com/profile_images/962471262747529216/Uo8lOkRJ_normal.jpg","View")</f>
        <v>View</v>
      </c>
      <c r="P3801" s="7"/>
    </row>
    <row r="3802" spans="1:16">
      <c r="A3802" s="3">
        <v>43910.76834490741</v>
      </c>
      <c r="B3802" s="4" t="str">
        <f>HYPERLINK("https://twitter.com/petrogustavo","@petrogustavo")</f>
        <v>@petrogustavo</v>
      </c>
      <c r="C3802" s="5" t="s">
        <v>16</v>
      </c>
      <c r="D3802" s="5" t="s">
        <v>3722</v>
      </c>
      <c r="E3802" s="6" t="str">
        <f>HYPERLINK("https://twitter.com/petrogustavo/status/1240985548292046848","1240985548292046848")</f>
        <v>1240985548292046848</v>
      </c>
      <c r="F3802" s="7" t="s">
        <v>17</v>
      </c>
      <c r="G3802" s="7">
        <v>3683658</v>
      </c>
      <c r="H3802" s="7">
        <v>2358</v>
      </c>
      <c r="I3802" s="7">
        <v>59</v>
      </c>
      <c r="J3802" s="7">
        <v>119</v>
      </c>
      <c r="K3802" s="7" t="s">
        <v>18</v>
      </c>
      <c r="L3802" s="8">
        <v>39987.315405092595</v>
      </c>
      <c r="M3802" s="9" t="s">
        <v>19</v>
      </c>
      <c r="N3802" s="9" t="s">
        <v>20</v>
      </c>
      <c r="O3802" s="6" t="str">
        <f>HYPERLINK("https://pbs.twimg.com/profile_images/962471262747529216/Uo8lOkRJ_normal.jpg","View")</f>
        <v>View</v>
      </c>
      <c r="P3802" s="7"/>
    </row>
    <row r="3803" spans="1:16">
      <c r="A3803" s="3">
        <v>43910.770636574074</v>
      </c>
      <c r="B3803" s="4" t="str">
        <f>HYPERLINK("https://twitter.com/petrogustavo","@petrogustavo")</f>
        <v>@petrogustavo</v>
      </c>
      <c r="C3803" s="5" t="s">
        <v>16</v>
      </c>
      <c r="D3803" s="5" t="s">
        <v>3723</v>
      </c>
      <c r="E3803" s="6" t="str">
        <f>HYPERLINK("https://twitter.com/petrogustavo/status/1240986379661856768","1240986379661856768")</f>
        <v>1240986379661856768</v>
      </c>
      <c r="F3803" s="7" t="s">
        <v>17</v>
      </c>
      <c r="G3803" s="7">
        <v>3683658</v>
      </c>
      <c r="H3803" s="7">
        <v>2358</v>
      </c>
      <c r="I3803" s="7">
        <v>105</v>
      </c>
      <c r="J3803" s="7">
        <v>0</v>
      </c>
      <c r="K3803" s="7" t="s">
        <v>18</v>
      </c>
      <c r="L3803" s="8">
        <v>39987.315405092595</v>
      </c>
      <c r="M3803" s="9" t="s">
        <v>19</v>
      </c>
      <c r="N3803" s="9" t="s">
        <v>20</v>
      </c>
      <c r="O3803" s="6" t="str">
        <f>HYPERLINK("https://pbs.twimg.com/profile_images/962471262747529216/Uo8lOkRJ_normal.jpg","View")</f>
        <v>View</v>
      </c>
      <c r="P3803" s="7"/>
    </row>
    <row r="3804" spans="1:16">
      <c r="A3804" s="3">
        <v>43910.773159722223</v>
      </c>
      <c r="B3804" s="4" t="str">
        <f>HYPERLINK("https://twitter.com/petrogustavo","@petrogustavo")</f>
        <v>@petrogustavo</v>
      </c>
      <c r="C3804" s="5" t="s">
        <v>16</v>
      </c>
      <c r="D3804" s="5" t="s">
        <v>3724</v>
      </c>
      <c r="E3804" s="6" t="str">
        <f>HYPERLINK("https://twitter.com/petrogustavo/status/1240987291000229889","1240987291000229889")</f>
        <v>1240987291000229889</v>
      </c>
      <c r="F3804" s="7" t="s">
        <v>17</v>
      </c>
      <c r="G3804" s="7">
        <v>3683724</v>
      </c>
      <c r="H3804" s="7">
        <v>2358</v>
      </c>
      <c r="I3804" s="7">
        <v>170</v>
      </c>
      <c r="J3804" s="7">
        <v>388</v>
      </c>
      <c r="K3804" s="7" t="s">
        <v>18</v>
      </c>
      <c r="L3804" s="8">
        <v>39987.315405092595</v>
      </c>
      <c r="M3804" s="9" t="s">
        <v>19</v>
      </c>
      <c r="N3804" s="9" t="s">
        <v>20</v>
      </c>
      <c r="O3804" s="6" t="str">
        <f>HYPERLINK("https://pbs.twimg.com/profile_images/962471262747529216/Uo8lOkRJ_normal.jpg","View")</f>
        <v>View</v>
      </c>
      <c r="P3804" s="7"/>
    </row>
    <row r="3805" spans="1:16">
      <c r="A3805" s="3">
        <v>43910.785405092596</v>
      </c>
      <c r="B3805" s="4" t="str">
        <f>HYPERLINK("https://twitter.com/petrogustavo","@petrogustavo")</f>
        <v>@petrogustavo</v>
      </c>
      <c r="C3805" s="5" t="s">
        <v>16</v>
      </c>
      <c r="D3805" s="5" t="s">
        <v>3725</v>
      </c>
      <c r="E3805" s="6" t="str">
        <f>HYPERLINK("https://twitter.com/petrogustavo/status/1240991729240748032","1240991729240748032")</f>
        <v>1240991729240748032</v>
      </c>
      <c r="F3805" s="7" t="s">
        <v>17</v>
      </c>
      <c r="G3805" s="7">
        <v>3683724</v>
      </c>
      <c r="H3805" s="7">
        <v>2358</v>
      </c>
      <c r="I3805" s="7">
        <v>65</v>
      </c>
      <c r="J3805" s="7">
        <v>208</v>
      </c>
      <c r="K3805" s="7" t="s">
        <v>18</v>
      </c>
      <c r="L3805" s="8">
        <v>39987.315405092595</v>
      </c>
      <c r="M3805" s="9" t="s">
        <v>19</v>
      </c>
      <c r="N3805" s="9" t="s">
        <v>20</v>
      </c>
      <c r="O3805" s="6" t="str">
        <f>HYPERLINK("https://pbs.twimg.com/profile_images/962471262747529216/Uo8lOkRJ_normal.jpg","View")</f>
        <v>View</v>
      </c>
      <c r="P3805" s="7"/>
    </row>
    <row r="3806" spans="1:16">
      <c r="A3806" s="3">
        <v>43910.787673611107</v>
      </c>
      <c r="B3806" s="4" t="str">
        <f>HYPERLINK("https://twitter.com/petrogustavo","@petrogustavo")</f>
        <v>@petrogustavo</v>
      </c>
      <c r="C3806" s="5" t="s">
        <v>16</v>
      </c>
      <c r="D3806" s="5" t="s">
        <v>3726</v>
      </c>
      <c r="E3806" s="6" t="str">
        <f>HYPERLINK("https://twitter.com/petrogustavo/status/1240992553505357824","1240992553505357824")</f>
        <v>1240992553505357824</v>
      </c>
      <c r="F3806" s="7" t="s">
        <v>17</v>
      </c>
      <c r="G3806" s="7">
        <v>3683724</v>
      </c>
      <c r="H3806" s="7">
        <v>2358</v>
      </c>
      <c r="I3806" s="7">
        <v>43</v>
      </c>
      <c r="J3806" s="7">
        <v>112</v>
      </c>
      <c r="K3806" s="7" t="s">
        <v>18</v>
      </c>
      <c r="L3806" s="8">
        <v>39987.315405092595</v>
      </c>
      <c r="M3806" s="9" t="s">
        <v>19</v>
      </c>
      <c r="N3806" s="9" t="s">
        <v>20</v>
      </c>
      <c r="O3806" s="6" t="str">
        <f>HYPERLINK("https://pbs.twimg.com/profile_images/962471262747529216/Uo8lOkRJ_normal.jpg","View")</f>
        <v>View</v>
      </c>
      <c r="P3806" s="7"/>
    </row>
    <row r="3807" spans="1:16">
      <c r="A3807" s="3">
        <v>43910.789837962962</v>
      </c>
      <c r="B3807" s="4" t="str">
        <f>HYPERLINK("https://twitter.com/petrogustavo","@petrogustavo")</f>
        <v>@petrogustavo</v>
      </c>
      <c r="C3807" s="5" t="s">
        <v>16</v>
      </c>
      <c r="D3807" s="5" t="s">
        <v>3727</v>
      </c>
      <c r="E3807" s="6" t="str">
        <f>HYPERLINK("https://twitter.com/petrogustavo/status/1240993335625613312","1240993335625613312")</f>
        <v>1240993335625613312</v>
      </c>
      <c r="F3807" s="7" t="s">
        <v>17</v>
      </c>
      <c r="G3807" s="7">
        <v>3683724</v>
      </c>
      <c r="H3807" s="7">
        <v>2358</v>
      </c>
      <c r="I3807" s="7">
        <v>12</v>
      </c>
      <c r="J3807" s="7">
        <v>37</v>
      </c>
      <c r="K3807" s="7" t="s">
        <v>18</v>
      </c>
      <c r="L3807" s="8">
        <v>39987.315405092595</v>
      </c>
      <c r="M3807" s="9" t="s">
        <v>19</v>
      </c>
      <c r="N3807" s="9" t="s">
        <v>20</v>
      </c>
      <c r="O3807" s="6" t="str">
        <f>HYPERLINK("https://pbs.twimg.com/profile_images/962471262747529216/Uo8lOkRJ_normal.jpg","View")</f>
        <v>View</v>
      </c>
      <c r="P3807" s="7"/>
    </row>
    <row r="3808" spans="1:16">
      <c r="A3808" s="3">
        <v>43910.792465277773</v>
      </c>
      <c r="B3808" s="4" t="str">
        <f>HYPERLINK("https://twitter.com/petrogustavo","@petrogustavo")</f>
        <v>@petrogustavo</v>
      </c>
      <c r="C3808" s="5" t="s">
        <v>16</v>
      </c>
      <c r="D3808" s="5" t="s">
        <v>3728</v>
      </c>
      <c r="E3808" s="6" t="str">
        <f>HYPERLINK("https://twitter.com/petrogustavo/status/1240994288961564673","1240994288961564673")</f>
        <v>1240994288961564673</v>
      </c>
      <c r="F3808" s="7" t="s">
        <v>17</v>
      </c>
      <c r="G3808" s="7">
        <v>3683724</v>
      </c>
      <c r="H3808" s="7">
        <v>2358</v>
      </c>
      <c r="I3808" s="7">
        <v>2</v>
      </c>
      <c r="J3808" s="7">
        <v>4</v>
      </c>
      <c r="K3808" s="7" t="s">
        <v>18</v>
      </c>
      <c r="L3808" s="8">
        <v>39987.315405092595</v>
      </c>
      <c r="M3808" s="9" t="s">
        <v>19</v>
      </c>
      <c r="N3808" s="9" t="s">
        <v>20</v>
      </c>
      <c r="O3808" s="6" t="str">
        <f>HYPERLINK("https://pbs.twimg.com/profile_images/962471262747529216/Uo8lOkRJ_normal.jpg","View")</f>
        <v>View</v>
      </c>
      <c r="P3808" s="7"/>
    </row>
    <row r="3809" spans="1:16">
      <c r="A3809" s="3">
        <v>43910.796481481477</v>
      </c>
      <c r="B3809" s="4" t="str">
        <f>HYPERLINK("https://twitter.com/petrogustavo","@petrogustavo")</f>
        <v>@petrogustavo</v>
      </c>
      <c r="C3809" s="5" t="s">
        <v>16</v>
      </c>
      <c r="D3809" s="5" t="s">
        <v>3729</v>
      </c>
      <c r="E3809" s="6" t="str">
        <f>HYPERLINK("https://twitter.com/petrogustavo/status/1240995744250826752","1240995744250826752")</f>
        <v>1240995744250826752</v>
      </c>
      <c r="F3809" s="7" t="s">
        <v>17</v>
      </c>
      <c r="G3809" s="7">
        <v>3683782</v>
      </c>
      <c r="H3809" s="7">
        <v>2358</v>
      </c>
      <c r="I3809" s="7">
        <v>60</v>
      </c>
      <c r="J3809" s="7">
        <v>167</v>
      </c>
      <c r="K3809" s="7" t="s">
        <v>18</v>
      </c>
      <c r="L3809" s="8">
        <v>39987.315405092595</v>
      </c>
      <c r="M3809" s="9" t="s">
        <v>19</v>
      </c>
      <c r="N3809" s="9" t="s">
        <v>20</v>
      </c>
      <c r="O3809" s="6" t="str">
        <f>HYPERLINK("https://pbs.twimg.com/profile_images/962471262747529216/Uo8lOkRJ_normal.jpg","View")</f>
        <v>View</v>
      </c>
      <c r="P3809" s="7"/>
    </row>
    <row r="3810" spans="1:16">
      <c r="A3810" s="3">
        <v>43910.806481481486</v>
      </c>
      <c r="B3810" s="4" t="str">
        <f>HYPERLINK("https://twitter.com/petrogustavo","@petrogustavo")</f>
        <v>@petrogustavo</v>
      </c>
      <c r="C3810" s="5" t="s">
        <v>16</v>
      </c>
      <c r="D3810" s="5" t="s">
        <v>3730</v>
      </c>
      <c r="E3810" s="6" t="str">
        <f>HYPERLINK("https://twitter.com/petrogustavo/status/1240999366401327104","1240999366401327104")</f>
        <v>1240999366401327104</v>
      </c>
      <c r="F3810" s="7" t="s">
        <v>17</v>
      </c>
      <c r="G3810" s="7">
        <v>3683782</v>
      </c>
      <c r="H3810" s="7">
        <v>2358</v>
      </c>
      <c r="I3810" s="7">
        <v>23</v>
      </c>
      <c r="J3810" s="7">
        <v>70</v>
      </c>
      <c r="K3810" s="7" t="s">
        <v>18</v>
      </c>
      <c r="L3810" s="8">
        <v>39987.315405092595</v>
      </c>
      <c r="M3810" s="9" t="s">
        <v>19</v>
      </c>
      <c r="N3810" s="9" t="s">
        <v>20</v>
      </c>
      <c r="O3810" s="6" t="str">
        <f>HYPERLINK("https://pbs.twimg.com/profile_images/962471262747529216/Uo8lOkRJ_normal.jpg","View")</f>
        <v>View</v>
      </c>
      <c r="P3810" s="7"/>
    </row>
    <row r="3811" spans="1:16">
      <c r="A3811" s="3">
        <v>43910.808877314819</v>
      </c>
      <c r="B3811" s="4" t="str">
        <f>HYPERLINK("https://twitter.com/petrogustavo","@petrogustavo")</f>
        <v>@petrogustavo</v>
      </c>
      <c r="C3811" s="5" t="s">
        <v>16</v>
      </c>
      <c r="D3811" s="5" t="s">
        <v>3731</v>
      </c>
      <c r="E3811" s="6" t="str">
        <f>HYPERLINK("https://twitter.com/petrogustavo/status/1241000237650640904","1241000237650640904")</f>
        <v>1241000237650640904</v>
      </c>
      <c r="F3811" s="7" t="s">
        <v>17</v>
      </c>
      <c r="G3811" s="7">
        <v>3683782</v>
      </c>
      <c r="H3811" s="7">
        <v>2358</v>
      </c>
      <c r="I3811" s="7">
        <v>17</v>
      </c>
      <c r="J3811" s="7">
        <v>63</v>
      </c>
      <c r="K3811" s="7" t="s">
        <v>18</v>
      </c>
      <c r="L3811" s="8">
        <v>39987.315405092595</v>
      </c>
      <c r="M3811" s="9" t="s">
        <v>19</v>
      </c>
      <c r="N3811" s="9" t="s">
        <v>20</v>
      </c>
      <c r="O3811" s="6" t="str">
        <f>HYPERLINK("https://pbs.twimg.com/profile_images/962471262747529216/Uo8lOkRJ_normal.jpg","View")</f>
        <v>View</v>
      </c>
      <c r="P3811" s="7"/>
    </row>
    <row r="3812" spans="1:16">
      <c r="A3812" s="3">
        <v>43910.810914351852</v>
      </c>
      <c r="B3812" s="4" t="str">
        <f>HYPERLINK("https://twitter.com/petrogustavo","@petrogustavo")</f>
        <v>@petrogustavo</v>
      </c>
      <c r="C3812" s="5" t="s">
        <v>16</v>
      </c>
      <c r="D3812" s="5" t="s">
        <v>3732</v>
      </c>
      <c r="E3812" s="6" t="str">
        <f>HYPERLINK("https://twitter.com/petrogustavo/status/1241000974191415299","1241000974191415299")</f>
        <v>1241000974191415299</v>
      </c>
      <c r="F3812" s="7" t="s">
        <v>17</v>
      </c>
      <c r="G3812" s="7">
        <v>3683782</v>
      </c>
      <c r="H3812" s="7">
        <v>2358</v>
      </c>
      <c r="I3812" s="7">
        <v>17</v>
      </c>
      <c r="J3812" s="7">
        <v>59</v>
      </c>
      <c r="K3812" s="7" t="s">
        <v>18</v>
      </c>
      <c r="L3812" s="8">
        <v>39987.315405092595</v>
      </c>
      <c r="M3812" s="9" t="s">
        <v>19</v>
      </c>
      <c r="N3812" s="9" t="s">
        <v>20</v>
      </c>
      <c r="O3812" s="6" t="str">
        <f>HYPERLINK("https://pbs.twimg.com/profile_images/962471262747529216/Uo8lOkRJ_normal.jpg","View")</f>
        <v>View</v>
      </c>
      <c r="P3812" s="7"/>
    </row>
    <row r="3813" spans="1:16">
      <c r="A3813" s="3">
        <v>43910.812754629631</v>
      </c>
      <c r="B3813" s="4" t="str">
        <f>HYPERLINK("https://twitter.com/petrogustavo","@petrogustavo")</f>
        <v>@petrogustavo</v>
      </c>
      <c r="C3813" s="5" t="s">
        <v>16</v>
      </c>
      <c r="D3813" s="5" t="s">
        <v>3733</v>
      </c>
      <c r="E3813" s="6" t="str">
        <f>HYPERLINK("https://twitter.com/petrogustavo/status/1241001641618309121","1241001641618309121")</f>
        <v>1241001641618309121</v>
      </c>
      <c r="F3813" s="7" t="s">
        <v>17</v>
      </c>
      <c r="G3813" s="7">
        <v>3683782</v>
      </c>
      <c r="H3813" s="7">
        <v>2358</v>
      </c>
      <c r="I3813" s="7">
        <v>4</v>
      </c>
      <c r="J3813" s="7">
        <v>11</v>
      </c>
      <c r="K3813" s="7" t="s">
        <v>18</v>
      </c>
      <c r="L3813" s="8">
        <v>39987.315405092595</v>
      </c>
      <c r="M3813" s="9" t="s">
        <v>19</v>
      </c>
      <c r="N3813" s="9" t="s">
        <v>20</v>
      </c>
      <c r="O3813" s="6" t="str">
        <f>HYPERLINK("https://pbs.twimg.com/profile_images/962471262747529216/Uo8lOkRJ_normal.jpg","View")</f>
        <v>View</v>
      </c>
      <c r="P3813" s="7"/>
    </row>
    <row r="3814" spans="1:16">
      <c r="A3814" s="3">
        <v>43910.816909722227</v>
      </c>
      <c r="B3814" s="4" t="str">
        <f>HYPERLINK("https://twitter.com/petrogustavo","@petrogustavo")</f>
        <v>@petrogustavo</v>
      </c>
      <c r="C3814" s="5" t="s">
        <v>16</v>
      </c>
      <c r="D3814" s="5" t="s">
        <v>3734</v>
      </c>
      <c r="E3814" s="6" t="str">
        <f>HYPERLINK("https://twitter.com/petrogustavo/status/1241003147641921536","1241003147641921536")</f>
        <v>1241003147641921536</v>
      </c>
      <c r="F3814" s="7" t="s">
        <v>17</v>
      </c>
      <c r="G3814" s="7">
        <v>3683868</v>
      </c>
      <c r="H3814" s="7">
        <v>2358</v>
      </c>
      <c r="I3814" s="7">
        <v>47</v>
      </c>
      <c r="J3814" s="7">
        <v>179</v>
      </c>
      <c r="K3814" s="7" t="s">
        <v>18</v>
      </c>
      <c r="L3814" s="8">
        <v>39987.315405092595</v>
      </c>
      <c r="M3814" s="9" t="s">
        <v>19</v>
      </c>
      <c r="N3814" s="9" t="s">
        <v>20</v>
      </c>
      <c r="O3814" s="6" t="str">
        <f>HYPERLINK("https://pbs.twimg.com/profile_images/962471262747529216/Uo8lOkRJ_normal.jpg","View")</f>
        <v>View</v>
      </c>
      <c r="P3814" s="7"/>
    </row>
    <row r="3815" spans="1:16">
      <c r="A3815" s="3">
        <v>43910.87699074074</v>
      </c>
      <c r="B3815" s="4" t="str">
        <f>HYPERLINK("https://twitter.com/petrogustavo","@petrogustavo")</f>
        <v>@petrogustavo</v>
      </c>
      <c r="C3815" s="5" t="s">
        <v>16</v>
      </c>
      <c r="D3815" s="5" t="s">
        <v>3735</v>
      </c>
      <c r="E3815" s="6" t="str">
        <f>HYPERLINK("https://twitter.com/petrogustavo/status/1241024917530906624","1241024917530906624")</f>
        <v>1241024917530906624</v>
      </c>
      <c r="F3815" s="7" t="s">
        <v>17</v>
      </c>
      <c r="G3815" s="7">
        <v>3684046</v>
      </c>
      <c r="H3815" s="7">
        <v>2359</v>
      </c>
      <c r="I3815" s="7">
        <v>0</v>
      </c>
      <c r="J3815" s="7">
        <v>0</v>
      </c>
      <c r="K3815" s="7" t="s">
        <v>18</v>
      </c>
      <c r="L3815" s="8">
        <v>39987.315405092595</v>
      </c>
      <c r="M3815" s="9" t="s">
        <v>19</v>
      </c>
      <c r="N3815" s="9" t="s">
        <v>20</v>
      </c>
      <c r="O3815" s="6" t="str">
        <f>HYPERLINK("https://pbs.twimg.com/profile_images/962471262747529216/Uo8lOkRJ_normal.jpg","View")</f>
        <v>View</v>
      </c>
      <c r="P3815" s="7"/>
    </row>
    <row r="3816" spans="1:16">
      <c r="A3816" s="3">
        <v>43910.91642361111</v>
      </c>
      <c r="B3816" s="4" t="str">
        <f>HYPERLINK("https://twitter.com/petrogustavo","@petrogustavo")</f>
        <v>@petrogustavo</v>
      </c>
      <c r="C3816" s="5" t="s">
        <v>16</v>
      </c>
      <c r="D3816" s="5" t="s">
        <v>3736</v>
      </c>
      <c r="E3816" s="6" t="str">
        <f>HYPERLINK("https://twitter.com/petrogustavo/status/1241039209806417920","1241039209806417920")</f>
        <v>1241039209806417920</v>
      </c>
      <c r="F3816" s="7" t="s">
        <v>17</v>
      </c>
      <c r="G3816" s="7">
        <v>3684247</v>
      </c>
      <c r="H3816" s="7">
        <v>2359</v>
      </c>
      <c r="I3816" s="7">
        <v>60</v>
      </c>
      <c r="J3816" s="7">
        <v>122</v>
      </c>
      <c r="K3816" s="7" t="s">
        <v>18</v>
      </c>
      <c r="L3816" s="8">
        <v>39987.315405092595</v>
      </c>
      <c r="M3816" s="9" t="s">
        <v>19</v>
      </c>
      <c r="N3816" s="9" t="s">
        <v>20</v>
      </c>
      <c r="O3816" s="6" t="str">
        <f>HYPERLINK("https://pbs.twimg.com/profile_images/962471262747529216/Uo8lOkRJ_normal.jpg","View")</f>
        <v>View</v>
      </c>
      <c r="P3816" s="7"/>
    </row>
    <row r="3817" spans="1:16">
      <c r="A3817" s="3">
        <v>43910.922592592593</v>
      </c>
      <c r="B3817" s="4" t="str">
        <f>HYPERLINK("https://twitter.com/petrogustavo","@petrogustavo")</f>
        <v>@petrogustavo</v>
      </c>
      <c r="C3817" s="5" t="s">
        <v>16</v>
      </c>
      <c r="D3817" s="5" t="s">
        <v>3737</v>
      </c>
      <c r="E3817" s="6" t="str">
        <f>HYPERLINK("https://twitter.com/petrogustavo/status/1241041445101895680","1241041445101895680")</f>
        <v>1241041445101895680</v>
      </c>
      <c r="F3817" s="7" t="s">
        <v>17</v>
      </c>
      <c r="G3817" s="7">
        <v>3684346</v>
      </c>
      <c r="H3817" s="7">
        <v>2359</v>
      </c>
      <c r="I3817" s="7">
        <v>128</v>
      </c>
      <c r="J3817" s="7">
        <v>284</v>
      </c>
      <c r="K3817" s="7" t="s">
        <v>18</v>
      </c>
      <c r="L3817" s="8">
        <v>39987.315405092595</v>
      </c>
      <c r="M3817" s="9" t="s">
        <v>19</v>
      </c>
      <c r="N3817" s="9" t="s">
        <v>20</v>
      </c>
      <c r="O3817" s="6" t="str">
        <f>HYPERLINK("https://pbs.twimg.com/profile_images/962471262747529216/Uo8lOkRJ_normal.jpg","View")</f>
        <v>View</v>
      </c>
      <c r="P3817" s="7"/>
    </row>
    <row r="3818" spans="1:16">
      <c r="A3818" s="3">
        <v>43910.92559027778</v>
      </c>
      <c r="B3818" s="4" t="str">
        <f>HYPERLINK("https://twitter.com/petrogustavo","@petrogustavo")</f>
        <v>@petrogustavo</v>
      </c>
      <c r="C3818" s="5" t="s">
        <v>16</v>
      </c>
      <c r="D3818" s="5" t="s">
        <v>3738</v>
      </c>
      <c r="E3818" s="6" t="str">
        <f>HYPERLINK("https://twitter.com/petrogustavo/status/1241042532273991681","1241042532273991681")</f>
        <v>1241042532273991681</v>
      </c>
      <c r="F3818" s="7" t="s">
        <v>17</v>
      </c>
      <c r="G3818" s="7">
        <v>3684346</v>
      </c>
      <c r="H3818" s="7">
        <v>2359</v>
      </c>
      <c r="I3818" s="7">
        <v>531</v>
      </c>
      <c r="J3818" s="7">
        <v>0</v>
      </c>
      <c r="K3818" s="7" t="s">
        <v>18</v>
      </c>
      <c r="L3818" s="8">
        <v>39987.315405092595</v>
      </c>
      <c r="M3818" s="9" t="s">
        <v>19</v>
      </c>
      <c r="N3818" s="9" t="s">
        <v>20</v>
      </c>
      <c r="O3818" s="6" t="str">
        <f>HYPERLINK("https://pbs.twimg.com/profile_images/962471262747529216/Uo8lOkRJ_normal.jpg","View")</f>
        <v>View</v>
      </c>
      <c r="P3818" s="7"/>
    </row>
    <row r="3819" spans="1:16">
      <c r="A3819" s="3">
        <v>43910.929976851854</v>
      </c>
      <c r="B3819" s="4" t="str">
        <f>HYPERLINK("https://twitter.com/petrogustavo","@petrogustavo")</f>
        <v>@petrogustavo</v>
      </c>
      <c r="C3819" s="5" t="s">
        <v>16</v>
      </c>
      <c r="D3819" s="5" t="s">
        <v>3739</v>
      </c>
      <c r="E3819" s="6" t="str">
        <f>HYPERLINK("https://twitter.com/petrogustavo/status/1241044121369935878","1241044121369935878")</f>
        <v>1241044121369935878</v>
      </c>
      <c r="F3819" s="7" t="s">
        <v>17</v>
      </c>
      <c r="G3819" s="7">
        <v>3684346</v>
      </c>
      <c r="H3819" s="7">
        <v>2359</v>
      </c>
      <c r="I3819" s="7">
        <v>79</v>
      </c>
      <c r="J3819" s="7">
        <v>200</v>
      </c>
      <c r="K3819" s="7" t="s">
        <v>18</v>
      </c>
      <c r="L3819" s="8">
        <v>39987.315405092595</v>
      </c>
      <c r="M3819" s="9" t="s">
        <v>19</v>
      </c>
      <c r="N3819" s="9" t="s">
        <v>20</v>
      </c>
      <c r="O3819" s="6" t="str">
        <f>HYPERLINK("https://pbs.twimg.com/profile_images/962471262747529216/Uo8lOkRJ_normal.jpg","View")</f>
        <v>View</v>
      </c>
      <c r="P3819" s="7"/>
    </row>
    <row r="3820" spans="1:16">
      <c r="A3820" s="3">
        <v>43910.933472222227</v>
      </c>
      <c r="B3820" s="4" t="str">
        <f>HYPERLINK("https://twitter.com/petrogustavo","@petrogustavo")</f>
        <v>@petrogustavo</v>
      </c>
      <c r="C3820" s="5" t="s">
        <v>16</v>
      </c>
      <c r="D3820" s="5" t="s">
        <v>3740</v>
      </c>
      <c r="E3820" s="6" t="str">
        <f>HYPERLINK("https://twitter.com/petrogustavo/status/1241045389215764485","1241045389215764485")</f>
        <v>1241045389215764485</v>
      </c>
      <c r="F3820" s="7" t="s">
        <v>17</v>
      </c>
      <c r="G3820" s="7">
        <v>3684346</v>
      </c>
      <c r="H3820" s="7">
        <v>2359</v>
      </c>
      <c r="I3820" s="7">
        <v>967</v>
      </c>
      <c r="J3820" s="7">
        <v>0</v>
      </c>
      <c r="K3820" s="7" t="s">
        <v>18</v>
      </c>
      <c r="L3820" s="8">
        <v>39987.315405092595</v>
      </c>
      <c r="M3820" s="9" t="s">
        <v>19</v>
      </c>
      <c r="N3820" s="9" t="s">
        <v>20</v>
      </c>
      <c r="O3820" s="6" t="str">
        <f>HYPERLINK("https://pbs.twimg.com/profile_images/962471262747529216/Uo8lOkRJ_normal.jpg","View")</f>
        <v>View</v>
      </c>
      <c r="P3820" s="7"/>
    </row>
    <row r="3821" spans="1:16">
      <c r="A3821" s="3">
        <v>43910.935925925922</v>
      </c>
      <c r="B3821" s="4" t="str">
        <f>HYPERLINK("https://twitter.com/petrogustavo","@petrogustavo")</f>
        <v>@petrogustavo</v>
      </c>
      <c r="C3821" s="5" t="s">
        <v>16</v>
      </c>
      <c r="D3821" s="5" t="s">
        <v>3741</v>
      </c>
      <c r="E3821" s="6" t="str">
        <f>HYPERLINK("https://twitter.com/petrogustavo/status/1241046278160728064","1241046278160728064")</f>
        <v>1241046278160728064</v>
      </c>
      <c r="F3821" s="7" t="s">
        <v>17</v>
      </c>
      <c r="G3821" s="7">
        <v>3684346</v>
      </c>
      <c r="H3821" s="7">
        <v>2359</v>
      </c>
      <c r="I3821" s="7">
        <v>62</v>
      </c>
      <c r="J3821" s="7">
        <v>269</v>
      </c>
      <c r="K3821" s="7" t="s">
        <v>18</v>
      </c>
      <c r="L3821" s="8">
        <v>39987.315405092595</v>
      </c>
      <c r="M3821" s="9" t="s">
        <v>19</v>
      </c>
      <c r="N3821" s="9" t="s">
        <v>20</v>
      </c>
      <c r="O3821" s="6" t="str">
        <f>HYPERLINK("https://pbs.twimg.com/profile_images/962471262747529216/Uo8lOkRJ_normal.jpg","View")</f>
        <v>View</v>
      </c>
      <c r="P3821" s="7"/>
    </row>
    <row r="3822" spans="1:16">
      <c r="A3822" s="3">
        <v>43910.945879629631</v>
      </c>
      <c r="B3822" s="4" t="str">
        <f>HYPERLINK("https://twitter.com/petrogustavo","@petrogustavo")</f>
        <v>@petrogustavo</v>
      </c>
      <c r="C3822" s="5" t="s">
        <v>16</v>
      </c>
      <c r="D3822" s="5" t="s">
        <v>3740</v>
      </c>
      <c r="E3822" s="6" t="str">
        <f>HYPERLINK("https://twitter.com/petrogustavo/status/1241049885257928706","1241049885257928706")</f>
        <v>1241049885257928706</v>
      </c>
      <c r="F3822" s="7" t="s">
        <v>17</v>
      </c>
      <c r="G3822" s="7">
        <v>3684457</v>
      </c>
      <c r="H3822" s="7">
        <v>2359</v>
      </c>
      <c r="I3822" s="7">
        <v>1111</v>
      </c>
      <c r="J3822" s="7">
        <v>0</v>
      </c>
      <c r="K3822" s="7" t="s">
        <v>18</v>
      </c>
      <c r="L3822" s="8">
        <v>39987.315405092595</v>
      </c>
      <c r="M3822" s="9" t="s">
        <v>19</v>
      </c>
      <c r="N3822" s="9" t="s">
        <v>20</v>
      </c>
      <c r="O3822" s="6" t="str">
        <f>HYPERLINK("https://pbs.twimg.com/profile_images/962471262747529216/Uo8lOkRJ_normal.jpg","View")</f>
        <v>View</v>
      </c>
      <c r="P3822" s="7"/>
    </row>
    <row r="3823" spans="1:16">
      <c r="A3823" s="3">
        <v>43910.988495370373</v>
      </c>
      <c r="B3823" s="4" t="str">
        <f>HYPERLINK("https://twitter.com/petrogustavo","@petrogustavo")</f>
        <v>@petrogustavo</v>
      </c>
      <c r="C3823" s="5" t="s">
        <v>16</v>
      </c>
      <c r="D3823" s="5" t="s">
        <v>3742</v>
      </c>
      <c r="E3823" s="6" t="str">
        <f>HYPERLINK("https://twitter.com/petrogustavo/status/1241065325497548801","1241065325497548801")</f>
        <v>1241065325497548801</v>
      </c>
      <c r="F3823" s="7" t="s">
        <v>17</v>
      </c>
      <c r="G3823" s="7">
        <v>3684720</v>
      </c>
      <c r="H3823" s="7">
        <v>2359</v>
      </c>
      <c r="I3823" s="7">
        <v>991</v>
      </c>
      <c r="J3823" s="7">
        <v>0</v>
      </c>
      <c r="K3823" s="7" t="s">
        <v>18</v>
      </c>
      <c r="L3823" s="8">
        <v>39987.315405092595</v>
      </c>
      <c r="M3823" s="9" t="s">
        <v>19</v>
      </c>
      <c r="N3823" s="9" t="s">
        <v>20</v>
      </c>
      <c r="O3823" s="6" t="str">
        <f>HYPERLINK("https://pbs.twimg.com/profile_images/962471262747529216/Uo8lOkRJ_normal.jpg","View")</f>
        <v>View</v>
      </c>
      <c r="P3823" s="7"/>
    </row>
    <row r="3824" spans="1:16">
      <c r="A3824" s="3">
        <v>43911.040300925924</v>
      </c>
      <c r="B3824" s="4" t="str">
        <f>HYPERLINK("https://twitter.com/petrogustavo","@petrogustavo")</f>
        <v>@petrogustavo</v>
      </c>
      <c r="C3824" s="5" t="s">
        <v>16</v>
      </c>
      <c r="D3824" s="5" t="s">
        <v>3743</v>
      </c>
      <c r="E3824" s="6" t="str">
        <f>HYPERLINK("https://twitter.com/petrogustavo/status/1241084100343205889","1241084100343205889")</f>
        <v>1241084100343205889</v>
      </c>
      <c r="F3824" s="7" t="s">
        <v>17</v>
      </c>
      <c r="G3824" s="7">
        <v>3684882</v>
      </c>
      <c r="H3824" s="7">
        <v>2359</v>
      </c>
      <c r="I3824" s="7">
        <v>71</v>
      </c>
      <c r="J3824" s="7">
        <v>140</v>
      </c>
      <c r="K3824" s="7" t="s">
        <v>18</v>
      </c>
      <c r="L3824" s="8">
        <v>39987.315405092595</v>
      </c>
      <c r="M3824" s="9" t="s">
        <v>19</v>
      </c>
      <c r="N3824" s="9" t="s">
        <v>20</v>
      </c>
      <c r="O3824" s="6" t="str">
        <f>HYPERLINK("https://pbs.twimg.com/profile_images/962471262747529216/Uo8lOkRJ_normal.jpg","View")</f>
        <v>View</v>
      </c>
      <c r="P3824" s="7"/>
    </row>
    <row r="3825" spans="1:16">
      <c r="A3825" s="3">
        <v>43911.042187500003</v>
      </c>
      <c r="B3825" s="4" t="str">
        <f>HYPERLINK("https://twitter.com/petrogustavo","@petrogustavo")</f>
        <v>@petrogustavo</v>
      </c>
      <c r="C3825" s="5" t="s">
        <v>16</v>
      </c>
      <c r="D3825" s="5" t="s">
        <v>3744</v>
      </c>
      <c r="E3825" s="6" t="str">
        <f>HYPERLINK("https://twitter.com/petrogustavo/status/1241084785507864576","1241084785507864576")</f>
        <v>1241084785507864576</v>
      </c>
      <c r="F3825" s="7" t="s">
        <v>17</v>
      </c>
      <c r="G3825" s="7">
        <v>3684882</v>
      </c>
      <c r="H3825" s="7">
        <v>2359</v>
      </c>
      <c r="I3825" s="7">
        <v>11</v>
      </c>
      <c r="J3825" s="7">
        <v>20</v>
      </c>
      <c r="K3825" s="7" t="s">
        <v>18</v>
      </c>
      <c r="L3825" s="8">
        <v>39987.315405092595</v>
      </c>
      <c r="M3825" s="9" t="s">
        <v>19</v>
      </c>
      <c r="N3825" s="9" t="s">
        <v>20</v>
      </c>
      <c r="O3825" s="6" t="str">
        <f>HYPERLINK("https://pbs.twimg.com/profile_images/962471262747529216/Uo8lOkRJ_normal.jpg","View")</f>
        <v>View</v>
      </c>
      <c r="P3825" s="7"/>
    </row>
    <row r="3826" spans="1:16">
      <c r="A3826" s="3">
        <v>43911.044108796297</v>
      </c>
      <c r="B3826" s="4" t="str">
        <f>HYPERLINK("https://twitter.com/petrogustavo","@petrogustavo")</f>
        <v>@petrogustavo</v>
      </c>
      <c r="C3826" s="5" t="s">
        <v>16</v>
      </c>
      <c r="D3826" s="5" t="s">
        <v>3745</v>
      </c>
      <c r="E3826" s="6" t="str">
        <f>HYPERLINK("https://twitter.com/petrogustavo/status/1241085478914404353","1241085478914404353")</f>
        <v>1241085478914404353</v>
      </c>
      <c r="F3826" s="7" t="s">
        <v>17</v>
      </c>
      <c r="G3826" s="7">
        <v>3684962</v>
      </c>
      <c r="H3826" s="7">
        <v>2359</v>
      </c>
      <c r="I3826" s="7">
        <v>68</v>
      </c>
      <c r="J3826" s="7">
        <v>148</v>
      </c>
      <c r="K3826" s="7" t="s">
        <v>18</v>
      </c>
      <c r="L3826" s="8">
        <v>39987.315405092595</v>
      </c>
      <c r="M3826" s="9" t="s">
        <v>19</v>
      </c>
      <c r="N3826" s="9" t="s">
        <v>20</v>
      </c>
      <c r="O3826" s="6" t="str">
        <f>HYPERLINK("https://pbs.twimg.com/profile_images/962471262747529216/Uo8lOkRJ_normal.jpg","View")</f>
        <v>View</v>
      </c>
      <c r="P3826" s="7"/>
    </row>
    <row r="3827" spans="1:16">
      <c r="A3827" s="3">
        <v>43911.051145833335</v>
      </c>
      <c r="B3827" s="4" t="str">
        <f>HYPERLINK("https://twitter.com/petrogustavo","@petrogustavo")</f>
        <v>@petrogustavo</v>
      </c>
      <c r="C3827" s="5" t="s">
        <v>16</v>
      </c>
      <c r="D3827" s="5" t="s">
        <v>3746</v>
      </c>
      <c r="E3827" s="6" t="str">
        <f>HYPERLINK("https://twitter.com/petrogustavo/status/1241088031949537280","1241088031949537280")</f>
        <v>1241088031949537280</v>
      </c>
      <c r="F3827" s="7" t="s">
        <v>17</v>
      </c>
      <c r="G3827" s="7">
        <v>3684962</v>
      </c>
      <c r="H3827" s="7">
        <v>2359</v>
      </c>
      <c r="I3827" s="7">
        <v>80</v>
      </c>
      <c r="J3827" s="7">
        <v>145</v>
      </c>
      <c r="K3827" s="7" t="s">
        <v>18</v>
      </c>
      <c r="L3827" s="8">
        <v>39987.315405092595</v>
      </c>
      <c r="M3827" s="9" t="s">
        <v>19</v>
      </c>
      <c r="N3827" s="9" t="s">
        <v>20</v>
      </c>
      <c r="O3827" s="6" t="str">
        <f>HYPERLINK("https://pbs.twimg.com/profile_images/962471262747529216/Uo8lOkRJ_normal.jpg","View")</f>
        <v>View</v>
      </c>
      <c r="P3827" s="7"/>
    </row>
    <row r="3828" spans="1:16">
      <c r="A3828" s="3">
        <v>43911.058229166665</v>
      </c>
      <c r="B3828" s="4" t="str">
        <f>HYPERLINK("https://twitter.com/petrogustavo","@petrogustavo")</f>
        <v>@petrogustavo</v>
      </c>
      <c r="C3828" s="5" t="s">
        <v>16</v>
      </c>
      <c r="D3828" s="5" t="s">
        <v>3747</v>
      </c>
      <c r="E3828" s="6" t="str">
        <f>HYPERLINK("https://twitter.com/petrogustavo/status/1241090598620233728","1241090598620233728")</f>
        <v>1241090598620233728</v>
      </c>
      <c r="F3828" s="7" t="s">
        <v>17</v>
      </c>
      <c r="G3828" s="7">
        <v>3684962</v>
      </c>
      <c r="H3828" s="7">
        <v>2359</v>
      </c>
      <c r="I3828" s="7">
        <v>127</v>
      </c>
      <c r="J3828" s="7">
        <v>205</v>
      </c>
      <c r="K3828" s="7" t="s">
        <v>18</v>
      </c>
      <c r="L3828" s="8">
        <v>39987.315405092595</v>
      </c>
      <c r="M3828" s="9" t="s">
        <v>19</v>
      </c>
      <c r="N3828" s="9" t="s">
        <v>20</v>
      </c>
      <c r="O3828" s="6" t="str">
        <f>HYPERLINK("https://pbs.twimg.com/profile_images/962471262747529216/Uo8lOkRJ_normal.jpg","View")</f>
        <v>View</v>
      </c>
      <c r="P3828" s="7"/>
    </row>
    <row r="3829" spans="1:16">
      <c r="A3829" s="3">
        <v>43911.060104166667</v>
      </c>
      <c r="B3829" s="4" t="str">
        <f>HYPERLINK("https://twitter.com/petrogustavo","@petrogustavo")</f>
        <v>@petrogustavo</v>
      </c>
      <c r="C3829" s="5" t="s">
        <v>16</v>
      </c>
      <c r="D3829" s="5" t="s">
        <v>3748</v>
      </c>
      <c r="E3829" s="6" t="str">
        <f>HYPERLINK("https://twitter.com/petrogustavo/status/1241091277787222019","1241091277787222019")</f>
        <v>1241091277787222019</v>
      </c>
      <c r="F3829" s="7" t="s">
        <v>17</v>
      </c>
      <c r="G3829" s="7">
        <v>3684962</v>
      </c>
      <c r="H3829" s="7">
        <v>2359</v>
      </c>
      <c r="I3829" s="7">
        <v>618</v>
      </c>
      <c r="J3829" s="7">
        <v>0</v>
      </c>
      <c r="K3829" s="7" t="s">
        <v>18</v>
      </c>
      <c r="L3829" s="8">
        <v>39987.315405092595</v>
      </c>
      <c r="M3829" s="9" t="s">
        <v>19</v>
      </c>
      <c r="N3829" s="9" t="s">
        <v>20</v>
      </c>
      <c r="O3829" s="6" t="str">
        <f>HYPERLINK("https://pbs.twimg.com/profile_images/962471262747529216/Uo8lOkRJ_normal.jpg","View")</f>
        <v>View</v>
      </c>
      <c r="P3829" s="7"/>
    </row>
    <row r="3830" spans="1:16">
      <c r="A3830" s="3">
        <v>43911.0628587963</v>
      </c>
      <c r="B3830" s="4" t="str">
        <f>HYPERLINK("https://twitter.com/petrogustavo","@petrogustavo")</f>
        <v>@petrogustavo</v>
      </c>
      <c r="C3830" s="5" t="s">
        <v>16</v>
      </c>
      <c r="D3830" s="5" t="s">
        <v>3749</v>
      </c>
      <c r="E3830" s="6" t="str">
        <f>HYPERLINK("https://twitter.com/petrogustavo/status/1241092274580271106","1241092274580271106")</f>
        <v>1241092274580271106</v>
      </c>
      <c r="F3830" s="7" t="s">
        <v>17</v>
      </c>
      <c r="G3830" s="7">
        <v>3684962</v>
      </c>
      <c r="H3830" s="7">
        <v>2359</v>
      </c>
      <c r="I3830" s="7">
        <v>9</v>
      </c>
      <c r="J3830" s="7">
        <v>17</v>
      </c>
      <c r="K3830" s="7" t="s">
        <v>18</v>
      </c>
      <c r="L3830" s="8">
        <v>39987.315405092595</v>
      </c>
      <c r="M3830" s="9" t="s">
        <v>19</v>
      </c>
      <c r="N3830" s="9" t="s">
        <v>20</v>
      </c>
      <c r="O3830" s="6" t="str">
        <f>HYPERLINK("https://pbs.twimg.com/profile_images/962471262747529216/Uo8lOkRJ_normal.jpg","View")</f>
        <v>View</v>
      </c>
      <c r="P3830" s="7"/>
    </row>
    <row r="3831" spans="1:16">
      <c r="A3831" s="3">
        <v>43911.064155092594</v>
      </c>
      <c r="B3831" s="4" t="str">
        <f>HYPERLINK("https://twitter.com/petrogustavo","@petrogustavo")</f>
        <v>@petrogustavo</v>
      </c>
      <c r="C3831" s="5" t="s">
        <v>16</v>
      </c>
      <c r="D3831" s="5" t="s">
        <v>3750</v>
      </c>
      <c r="E3831" s="6" t="str">
        <f>HYPERLINK("https://twitter.com/petrogustavo/status/1241092745718050816","1241092745718050816")</f>
        <v>1241092745718050816</v>
      </c>
      <c r="F3831" s="7" t="s">
        <v>17</v>
      </c>
      <c r="G3831" s="7">
        <v>3684962</v>
      </c>
      <c r="H3831" s="7">
        <v>2359</v>
      </c>
      <c r="I3831" s="7">
        <v>3</v>
      </c>
      <c r="J3831" s="7">
        <v>4</v>
      </c>
      <c r="K3831" s="7" t="s">
        <v>18</v>
      </c>
      <c r="L3831" s="8">
        <v>39987.315405092595</v>
      </c>
      <c r="M3831" s="9" t="s">
        <v>19</v>
      </c>
      <c r="N3831" s="9" t="s">
        <v>20</v>
      </c>
      <c r="O3831" s="6" t="str">
        <f>HYPERLINK("https://pbs.twimg.com/profile_images/962471262747529216/Uo8lOkRJ_normal.jpg","View")</f>
        <v>View</v>
      </c>
      <c r="P3831" s="7"/>
    </row>
    <row r="3832" spans="1:16">
      <c r="A3832" s="3">
        <v>43911.067569444444</v>
      </c>
      <c r="B3832" s="4" t="str">
        <f>HYPERLINK("https://twitter.com/petrogustavo","@petrogustavo")</f>
        <v>@petrogustavo</v>
      </c>
      <c r="C3832" s="5" t="s">
        <v>16</v>
      </c>
      <c r="D3832" s="5" t="s">
        <v>3751</v>
      </c>
      <c r="E3832" s="6" t="str">
        <f>HYPERLINK("https://twitter.com/petrogustavo/status/1241093981959794689","1241093981959794689")</f>
        <v>1241093981959794689</v>
      </c>
      <c r="F3832" s="7" t="s">
        <v>17</v>
      </c>
      <c r="G3832" s="7">
        <v>3685030</v>
      </c>
      <c r="H3832" s="7">
        <v>2359</v>
      </c>
      <c r="I3832" s="7">
        <v>50</v>
      </c>
      <c r="J3832" s="7">
        <v>104</v>
      </c>
      <c r="K3832" s="7" t="s">
        <v>18</v>
      </c>
      <c r="L3832" s="8">
        <v>39987.315405092595</v>
      </c>
      <c r="M3832" s="9" t="s">
        <v>19</v>
      </c>
      <c r="N3832" s="9" t="s">
        <v>20</v>
      </c>
      <c r="O3832" s="6" t="str">
        <f>HYPERLINK("https://pbs.twimg.com/profile_images/962471262747529216/Uo8lOkRJ_normal.jpg","View")</f>
        <v>View</v>
      </c>
      <c r="P3832" s="7"/>
    </row>
    <row r="3833" spans="1:16">
      <c r="A3833" s="3">
        <v>43911.070798611108</v>
      </c>
      <c r="B3833" s="4" t="str">
        <f>HYPERLINK("https://twitter.com/petrogustavo","@petrogustavo")</f>
        <v>@petrogustavo</v>
      </c>
      <c r="C3833" s="5" t="s">
        <v>16</v>
      </c>
      <c r="D3833" s="5" t="s">
        <v>3752</v>
      </c>
      <c r="E3833" s="6" t="str">
        <f>HYPERLINK("https://twitter.com/petrogustavo/status/1241095152418070536","1241095152418070536")</f>
        <v>1241095152418070536</v>
      </c>
      <c r="F3833" s="7" t="s">
        <v>17</v>
      </c>
      <c r="G3833" s="7">
        <v>3685030</v>
      </c>
      <c r="H3833" s="7">
        <v>2359</v>
      </c>
      <c r="I3833" s="7">
        <v>54</v>
      </c>
      <c r="J3833" s="7">
        <v>161</v>
      </c>
      <c r="K3833" s="7" t="s">
        <v>18</v>
      </c>
      <c r="L3833" s="8">
        <v>39987.315405092595</v>
      </c>
      <c r="M3833" s="9" t="s">
        <v>19</v>
      </c>
      <c r="N3833" s="9" t="s">
        <v>20</v>
      </c>
      <c r="O3833" s="6" t="str">
        <f>HYPERLINK("https://pbs.twimg.com/profile_images/962471262747529216/Uo8lOkRJ_normal.jpg","View")</f>
        <v>View</v>
      </c>
      <c r="P3833" s="7"/>
    </row>
    <row r="3834" spans="1:16">
      <c r="A3834" s="3">
        <v>43911.086400462962</v>
      </c>
      <c r="B3834" s="4" t="str">
        <f>HYPERLINK("https://twitter.com/petrogustavo","@petrogustavo")</f>
        <v>@petrogustavo</v>
      </c>
      <c r="C3834" s="5" t="s">
        <v>16</v>
      </c>
      <c r="D3834" s="5" t="s">
        <v>3753</v>
      </c>
      <c r="E3834" s="6" t="str">
        <f>HYPERLINK("https://twitter.com/petrogustavo/status/1241100808437010439","1241100808437010439")</f>
        <v>1241100808437010439</v>
      </c>
      <c r="F3834" s="7" t="s">
        <v>17</v>
      </c>
      <c r="G3834" s="7">
        <v>3685093</v>
      </c>
      <c r="H3834" s="7">
        <v>2359</v>
      </c>
      <c r="I3834" s="7">
        <v>229</v>
      </c>
      <c r="J3834" s="7">
        <v>697</v>
      </c>
      <c r="K3834" s="7" t="s">
        <v>18</v>
      </c>
      <c r="L3834" s="8">
        <v>39987.315405092595</v>
      </c>
      <c r="M3834" s="9" t="s">
        <v>19</v>
      </c>
      <c r="N3834" s="9" t="s">
        <v>20</v>
      </c>
      <c r="O3834" s="6" t="str">
        <f>HYPERLINK("https://pbs.twimg.com/profile_images/962471262747529216/Uo8lOkRJ_normal.jpg","View")</f>
        <v>View</v>
      </c>
      <c r="P3834" s="7"/>
    </row>
    <row r="3835" spans="1:16">
      <c r="A3835" s="3">
        <v>43911.08893518518</v>
      </c>
      <c r="B3835" s="4" t="str">
        <f>HYPERLINK("https://twitter.com/petrogustavo","@petrogustavo")</f>
        <v>@petrogustavo</v>
      </c>
      <c r="C3835" s="5" t="s">
        <v>16</v>
      </c>
      <c r="D3835" s="5" t="s">
        <v>3754</v>
      </c>
      <c r="E3835" s="6" t="str">
        <f>HYPERLINK("https://twitter.com/petrogustavo/status/1241101727052554240","1241101727052554240")</f>
        <v>1241101727052554240</v>
      </c>
      <c r="F3835" s="7" t="s">
        <v>17</v>
      </c>
      <c r="G3835" s="7">
        <v>3685093</v>
      </c>
      <c r="H3835" s="7">
        <v>2359</v>
      </c>
      <c r="I3835" s="7">
        <v>548</v>
      </c>
      <c r="J3835" s="7">
        <v>0</v>
      </c>
      <c r="K3835" s="7" t="s">
        <v>18</v>
      </c>
      <c r="L3835" s="8">
        <v>39987.315405092595</v>
      </c>
      <c r="M3835" s="9" t="s">
        <v>19</v>
      </c>
      <c r="N3835" s="9" t="s">
        <v>20</v>
      </c>
      <c r="O3835" s="6" t="str">
        <f>HYPERLINK("https://pbs.twimg.com/profile_images/962471262747529216/Uo8lOkRJ_normal.jpg","View")</f>
        <v>View</v>
      </c>
      <c r="P3835" s="7"/>
    </row>
    <row r="3836" spans="1:16">
      <c r="A3836" s="3">
        <v>43911.090451388889</v>
      </c>
      <c r="B3836" s="4" t="str">
        <f>HYPERLINK("https://twitter.com/petrogustavo","@petrogustavo")</f>
        <v>@petrogustavo</v>
      </c>
      <c r="C3836" s="5" t="s">
        <v>16</v>
      </c>
      <c r="D3836" s="5" t="s">
        <v>3755</v>
      </c>
      <c r="E3836" s="6" t="str">
        <f>HYPERLINK("https://twitter.com/petrogustavo/status/1241102273448640512","1241102273448640512")</f>
        <v>1241102273448640512</v>
      </c>
      <c r="F3836" s="7" t="s">
        <v>17</v>
      </c>
      <c r="G3836" s="7">
        <v>3685093</v>
      </c>
      <c r="H3836" s="7">
        <v>2359</v>
      </c>
      <c r="I3836" s="7">
        <v>132</v>
      </c>
      <c r="J3836" s="7">
        <v>489</v>
      </c>
      <c r="K3836" s="7" t="s">
        <v>18</v>
      </c>
      <c r="L3836" s="8">
        <v>39987.315405092595</v>
      </c>
      <c r="M3836" s="9" t="s">
        <v>19</v>
      </c>
      <c r="N3836" s="9" t="s">
        <v>20</v>
      </c>
      <c r="O3836" s="6" t="str">
        <f>HYPERLINK("https://pbs.twimg.com/profile_images/962471262747529216/Uo8lOkRJ_normal.jpg","View")</f>
        <v>View</v>
      </c>
      <c r="P3836" s="7"/>
    </row>
    <row r="3837" spans="1:16">
      <c r="A3837" s="3">
        <v>43911.20517361111</v>
      </c>
      <c r="B3837" s="4" t="str">
        <f>HYPERLINK("https://twitter.com/petrogustavo","@petrogustavo")</f>
        <v>@petrogustavo</v>
      </c>
      <c r="C3837" s="5" t="s">
        <v>16</v>
      </c>
      <c r="D3837" s="5" t="s">
        <v>3756</v>
      </c>
      <c r="E3837" s="6" t="str">
        <f>HYPERLINK("https://twitter.com/petrogustavo/status/1241143850627780609","1241143850627780609")</f>
        <v>1241143850627780609</v>
      </c>
      <c r="F3837" s="7" t="s">
        <v>17</v>
      </c>
      <c r="G3837" s="7">
        <v>3685513</v>
      </c>
      <c r="H3837" s="7">
        <v>2360</v>
      </c>
      <c r="I3837" s="7">
        <v>65</v>
      </c>
      <c r="J3837" s="7">
        <v>127</v>
      </c>
      <c r="K3837" s="7" t="s">
        <v>18</v>
      </c>
      <c r="L3837" s="8">
        <v>39987.315405092595</v>
      </c>
      <c r="M3837" s="9" t="s">
        <v>19</v>
      </c>
      <c r="N3837" s="9" t="s">
        <v>20</v>
      </c>
      <c r="O3837" s="6" t="str">
        <f>HYPERLINK("https://pbs.twimg.com/profile_images/962471262747529216/Uo8lOkRJ_normal.jpg","View")</f>
        <v>View</v>
      </c>
      <c r="P3837" s="7"/>
    </row>
    <row r="3838" spans="1:16">
      <c r="A3838" s="3">
        <v>43911.210046296299</v>
      </c>
      <c r="B3838" s="4" t="str">
        <f>HYPERLINK("https://twitter.com/petrogustavo","@petrogustavo")</f>
        <v>@petrogustavo</v>
      </c>
      <c r="C3838" s="5" t="s">
        <v>16</v>
      </c>
      <c r="D3838" s="5" t="s">
        <v>3757</v>
      </c>
      <c r="E3838" s="6" t="str">
        <f>HYPERLINK("https://twitter.com/petrogustavo/status/1241145613473001474","1241145613473001474")</f>
        <v>1241145613473001474</v>
      </c>
      <c r="F3838" s="7" t="s">
        <v>17</v>
      </c>
      <c r="G3838" s="7">
        <v>3685513</v>
      </c>
      <c r="H3838" s="7">
        <v>2360</v>
      </c>
      <c r="I3838" s="7">
        <v>0</v>
      </c>
      <c r="J3838" s="7">
        <v>4</v>
      </c>
      <c r="K3838" s="7" t="s">
        <v>18</v>
      </c>
      <c r="L3838" s="8">
        <v>39987.315405092595</v>
      </c>
      <c r="M3838" s="9" t="s">
        <v>19</v>
      </c>
      <c r="N3838" s="9" t="s">
        <v>20</v>
      </c>
      <c r="O3838" s="6" t="str">
        <f>HYPERLINK("https://pbs.twimg.com/profile_images/962471262747529216/Uo8lOkRJ_normal.jpg","View")</f>
        <v>View</v>
      </c>
      <c r="P3838" s="7"/>
    </row>
    <row r="3839" spans="1:16">
      <c r="A3839" s="3">
        <v>43911.213912037041</v>
      </c>
      <c r="B3839" s="4" t="str">
        <f>HYPERLINK("https://twitter.com/petrogustavo","@petrogustavo")</f>
        <v>@petrogustavo</v>
      </c>
      <c r="C3839" s="5" t="s">
        <v>16</v>
      </c>
      <c r="D3839" s="5" t="s">
        <v>3758</v>
      </c>
      <c r="E3839" s="6" t="str">
        <f>HYPERLINK("https://twitter.com/petrogustavo/status/1241147014500495360","1241147014500495360")</f>
        <v>1241147014500495360</v>
      </c>
      <c r="F3839" s="7" t="s">
        <v>17</v>
      </c>
      <c r="G3839" s="7">
        <v>3685608</v>
      </c>
      <c r="H3839" s="7">
        <v>2361</v>
      </c>
      <c r="I3839" s="7">
        <v>258</v>
      </c>
      <c r="J3839" s="7">
        <v>491</v>
      </c>
      <c r="K3839" s="7" t="s">
        <v>18</v>
      </c>
      <c r="L3839" s="8">
        <v>39987.315405092595</v>
      </c>
      <c r="M3839" s="9" t="s">
        <v>19</v>
      </c>
      <c r="N3839" s="9" t="s">
        <v>20</v>
      </c>
      <c r="O3839" s="6" t="str">
        <f>HYPERLINK("https://pbs.twimg.com/profile_images/962471262747529216/Uo8lOkRJ_normal.jpg","View")</f>
        <v>View</v>
      </c>
      <c r="P3839" s="7"/>
    </row>
    <row r="3840" spans="1:16">
      <c r="A3840" s="3">
        <v>43911.224247685182</v>
      </c>
      <c r="B3840" s="4" t="str">
        <f>HYPERLINK("https://twitter.com/petrogustavo","@petrogustavo")</f>
        <v>@petrogustavo</v>
      </c>
      <c r="C3840" s="5" t="s">
        <v>16</v>
      </c>
      <c r="D3840" s="5" t="s">
        <v>3759</v>
      </c>
      <c r="E3840" s="6" t="str">
        <f>HYPERLINK("https://twitter.com/petrogustavo/status/1241150760391454726","1241150760391454726")</f>
        <v>1241150760391454726</v>
      </c>
      <c r="F3840" s="7" t="s">
        <v>17</v>
      </c>
      <c r="G3840" s="7">
        <v>3685608</v>
      </c>
      <c r="H3840" s="7">
        <v>2361</v>
      </c>
      <c r="I3840" s="7">
        <v>169</v>
      </c>
      <c r="J3840" s="7">
        <v>459</v>
      </c>
      <c r="K3840" s="7" t="s">
        <v>18</v>
      </c>
      <c r="L3840" s="8">
        <v>39987.315405092595</v>
      </c>
      <c r="M3840" s="9" t="s">
        <v>19</v>
      </c>
      <c r="N3840" s="9" t="s">
        <v>20</v>
      </c>
      <c r="O3840" s="6" t="str">
        <f>HYPERLINK("https://pbs.twimg.com/profile_images/962471262747529216/Uo8lOkRJ_normal.jpg","View")</f>
        <v>View</v>
      </c>
      <c r="P3840" s="7"/>
    </row>
    <row r="3841" spans="1:16">
      <c r="A3841" s="3">
        <v>43911.226736111115</v>
      </c>
      <c r="B3841" s="4" t="str">
        <f>HYPERLINK("https://twitter.com/petrogustavo","@petrogustavo")</f>
        <v>@petrogustavo</v>
      </c>
      <c r="C3841" s="5" t="s">
        <v>16</v>
      </c>
      <c r="D3841" s="5" t="s">
        <v>3760</v>
      </c>
      <c r="E3841" s="6" t="str">
        <f>HYPERLINK("https://twitter.com/petrogustavo/status/1241151663299350529","1241151663299350529")</f>
        <v>1241151663299350529</v>
      </c>
      <c r="F3841" s="7" t="s">
        <v>17</v>
      </c>
      <c r="G3841" s="7">
        <v>3685608</v>
      </c>
      <c r="H3841" s="7">
        <v>2361</v>
      </c>
      <c r="I3841" s="7">
        <v>76</v>
      </c>
      <c r="J3841" s="7">
        <v>106</v>
      </c>
      <c r="K3841" s="7" t="s">
        <v>18</v>
      </c>
      <c r="L3841" s="8">
        <v>39987.315405092595</v>
      </c>
      <c r="M3841" s="9" t="s">
        <v>19</v>
      </c>
      <c r="N3841" s="9" t="s">
        <v>20</v>
      </c>
      <c r="O3841" s="6" t="str">
        <f>HYPERLINK("https://pbs.twimg.com/profile_images/962471262747529216/Uo8lOkRJ_normal.jpg","View")</f>
        <v>View</v>
      </c>
      <c r="P3841" s="7"/>
    </row>
    <row r="3842" spans="1:16">
      <c r="A3842" s="3">
        <v>43911.240231481483</v>
      </c>
      <c r="B3842" s="4" t="str">
        <f>HYPERLINK("https://twitter.com/petrogustavo","@petrogustavo")</f>
        <v>@petrogustavo</v>
      </c>
      <c r="C3842" s="5" t="s">
        <v>16</v>
      </c>
      <c r="D3842" s="5" t="s">
        <v>3761</v>
      </c>
      <c r="E3842" s="6" t="str">
        <f>HYPERLINK("https://twitter.com/petrogustavo/status/1241156553052499969","1241156553052499969")</f>
        <v>1241156553052499969</v>
      </c>
      <c r="F3842" s="7" t="s">
        <v>17</v>
      </c>
      <c r="G3842" s="7">
        <v>3685708</v>
      </c>
      <c r="H3842" s="7">
        <v>2361</v>
      </c>
      <c r="I3842" s="7">
        <v>130</v>
      </c>
      <c r="J3842" s="7">
        <v>409</v>
      </c>
      <c r="K3842" s="7" t="s">
        <v>18</v>
      </c>
      <c r="L3842" s="8">
        <v>39987.315405092595</v>
      </c>
      <c r="M3842" s="9" t="s">
        <v>19</v>
      </c>
      <c r="N3842" s="9" t="s">
        <v>20</v>
      </c>
      <c r="O3842" s="6" t="str">
        <f>HYPERLINK("https://pbs.twimg.com/profile_images/962471262747529216/Uo8lOkRJ_normal.jpg","View")</f>
        <v>View</v>
      </c>
      <c r="P3842" s="7"/>
    </row>
    <row r="3843" spans="1:16">
      <c r="A3843" s="3">
        <v>43911.2421875</v>
      </c>
      <c r="B3843" s="4" t="str">
        <f>HYPERLINK("https://twitter.com/petrogustavo","@petrogustavo")</f>
        <v>@petrogustavo</v>
      </c>
      <c r="C3843" s="5" t="s">
        <v>16</v>
      </c>
      <c r="D3843" s="5" t="s">
        <v>3762</v>
      </c>
      <c r="E3843" s="6" t="str">
        <f>HYPERLINK("https://twitter.com/petrogustavo/status/1241157263085223936","1241157263085223936")</f>
        <v>1241157263085223936</v>
      </c>
      <c r="F3843" s="7" t="s">
        <v>17</v>
      </c>
      <c r="G3843" s="7">
        <v>3685708</v>
      </c>
      <c r="H3843" s="7">
        <v>2361</v>
      </c>
      <c r="I3843" s="7">
        <v>99</v>
      </c>
      <c r="J3843" s="7">
        <v>268</v>
      </c>
      <c r="K3843" s="7" t="s">
        <v>18</v>
      </c>
      <c r="L3843" s="8">
        <v>39987.315405092595</v>
      </c>
      <c r="M3843" s="9" t="s">
        <v>19</v>
      </c>
      <c r="N3843" s="9" t="s">
        <v>20</v>
      </c>
      <c r="O3843" s="6" t="str">
        <f>HYPERLINK("https://pbs.twimg.com/profile_images/962471262747529216/Uo8lOkRJ_normal.jpg","View")</f>
        <v>View</v>
      </c>
      <c r="P3843" s="7"/>
    </row>
    <row r="3844" spans="1:16">
      <c r="A3844" s="3">
        <v>43911.247418981482</v>
      </c>
      <c r="B3844" s="4" t="str">
        <f>HYPERLINK("https://twitter.com/petrogustavo","@petrogustavo")</f>
        <v>@petrogustavo</v>
      </c>
      <c r="C3844" s="5" t="s">
        <v>16</v>
      </c>
      <c r="D3844" s="5" t="s">
        <v>3763</v>
      </c>
      <c r="E3844" s="6" t="str">
        <f>HYPERLINK("https://twitter.com/petrogustavo/status/1241159156486279170","1241159156486279170")</f>
        <v>1241159156486279170</v>
      </c>
      <c r="F3844" s="7" t="s">
        <v>17</v>
      </c>
      <c r="G3844" s="7">
        <v>3685708</v>
      </c>
      <c r="H3844" s="7">
        <v>2361</v>
      </c>
      <c r="I3844" s="7">
        <v>80</v>
      </c>
      <c r="J3844" s="7">
        <v>245</v>
      </c>
      <c r="K3844" s="7" t="s">
        <v>18</v>
      </c>
      <c r="L3844" s="8">
        <v>39987.315405092595</v>
      </c>
      <c r="M3844" s="9" t="s">
        <v>19</v>
      </c>
      <c r="N3844" s="9" t="s">
        <v>20</v>
      </c>
      <c r="O3844" s="6" t="str">
        <f>HYPERLINK("https://pbs.twimg.com/profile_images/962471262747529216/Uo8lOkRJ_normal.jpg","View")</f>
        <v>View</v>
      </c>
      <c r="P3844" s="7"/>
    </row>
    <row r="3845" spans="1:16">
      <c r="A3845" s="3">
        <v>43911.255879629629</v>
      </c>
      <c r="B3845" s="4" t="str">
        <f>HYPERLINK("https://twitter.com/petrogustavo","@petrogustavo")</f>
        <v>@petrogustavo</v>
      </c>
      <c r="C3845" s="5" t="s">
        <v>16</v>
      </c>
      <c r="D3845" s="5" t="s">
        <v>3764</v>
      </c>
      <c r="E3845" s="6" t="str">
        <f>HYPERLINK("https://twitter.com/petrogustavo/status/1241162225060057091","1241162225060057091")</f>
        <v>1241162225060057091</v>
      </c>
      <c r="F3845" s="7" t="s">
        <v>17</v>
      </c>
      <c r="G3845" s="7">
        <v>3685817</v>
      </c>
      <c r="H3845" s="7">
        <v>2363</v>
      </c>
      <c r="I3845" s="7">
        <v>90</v>
      </c>
      <c r="J3845" s="7">
        <v>173</v>
      </c>
      <c r="K3845" s="7" t="s">
        <v>18</v>
      </c>
      <c r="L3845" s="8">
        <v>39987.315405092595</v>
      </c>
      <c r="M3845" s="9" t="s">
        <v>19</v>
      </c>
      <c r="N3845" s="9" t="s">
        <v>20</v>
      </c>
      <c r="O3845" s="6" t="str">
        <f>HYPERLINK("https://pbs.twimg.com/profile_images/962471262747529216/Uo8lOkRJ_normal.jpg","View")</f>
        <v>View</v>
      </c>
      <c r="P3845" s="7"/>
    </row>
    <row r="3846" spans="1:16">
      <c r="A3846" s="3">
        <v>43911.257731481484</v>
      </c>
      <c r="B3846" s="4" t="str">
        <f>HYPERLINK("https://twitter.com/petrogustavo","@petrogustavo")</f>
        <v>@petrogustavo</v>
      </c>
      <c r="C3846" s="5" t="s">
        <v>16</v>
      </c>
      <c r="D3846" s="5" t="s">
        <v>3765</v>
      </c>
      <c r="E3846" s="6" t="str">
        <f>HYPERLINK("https://twitter.com/petrogustavo/status/1241162896396124163","1241162896396124163")</f>
        <v>1241162896396124163</v>
      </c>
      <c r="F3846" s="7" t="s">
        <v>17</v>
      </c>
      <c r="G3846" s="7">
        <v>3685817</v>
      </c>
      <c r="H3846" s="7">
        <v>2363</v>
      </c>
      <c r="I3846" s="7">
        <v>30</v>
      </c>
      <c r="J3846" s="7">
        <v>0</v>
      </c>
      <c r="K3846" s="7" t="s">
        <v>18</v>
      </c>
      <c r="L3846" s="8">
        <v>39987.315405092595</v>
      </c>
      <c r="M3846" s="9" t="s">
        <v>19</v>
      </c>
      <c r="N3846" s="9" t="s">
        <v>20</v>
      </c>
      <c r="O3846" s="6" t="str">
        <f>HYPERLINK("https://pbs.twimg.com/profile_images/962471262747529216/Uo8lOkRJ_normal.jpg","View")</f>
        <v>View</v>
      </c>
      <c r="P3846" s="7"/>
    </row>
    <row r="3847" spans="1:16">
      <c r="A3847" s="3">
        <v>43911.262407407412</v>
      </c>
      <c r="B3847" s="4" t="str">
        <f>HYPERLINK("https://twitter.com/petrogustavo","@petrogustavo")</f>
        <v>@petrogustavo</v>
      </c>
      <c r="C3847" s="5" t="s">
        <v>16</v>
      </c>
      <c r="D3847" s="5" t="s">
        <v>3766</v>
      </c>
      <c r="E3847" s="6" t="str">
        <f>HYPERLINK("https://twitter.com/petrogustavo/status/1241164589410238464","1241164589410238464")</f>
        <v>1241164589410238464</v>
      </c>
      <c r="F3847" s="7" t="s">
        <v>17</v>
      </c>
      <c r="G3847" s="7">
        <v>3685817</v>
      </c>
      <c r="H3847" s="7">
        <v>2363</v>
      </c>
      <c r="I3847" s="7">
        <v>175</v>
      </c>
      <c r="J3847" s="7">
        <v>379</v>
      </c>
      <c r="K3847" s="7" t="s">
        <v>18</v>
      </c>
      <c r="L3847" s="8">
        <v>39987.315405092595</v>
      </c>
      <c r="M3847" s="9" t="s">
        <v>19</v>
      </c>
      <c r="N3847" s="9" t="s">
        <v>20</v>
      </c>
      <c r="O3847" s="6" t="str">
        <f>HYPERLINK("https://pbs.twimg.com/profile_images/962471262747529216/Uo8lOkRJ_normal.jpg","View")</f>
        <v>View</v>
      </c>
      <c r="P3847" s="7"/>
    </row>
    <row r="3848" spans="1:16">
      <c r="A3848" s="3">
        <v>43911.265717592592</v>
      </c>
      <c r="B3848" s="4" t="str">
        <f>HYPERLINK("https://twitter.com/petrogustavo","@petrogustavo")</f>
        <v>@petrogustavo</v>
      </c>
      <c r="C3848" s="5" t="s">
        <v>16</v>
      </c>
      <c r="D3848" s="5" t="s">
        <v>3767</v>
      </c>
      <c r="E3848" s="6" t="str">
        <f>HYPERLINK("https://twitter.com/petrogustavo/status/1241165790411399168","1241165790411399168")</f>
        <v>1241165790411399168</v>
      </c>
      <c r="F3848" s="7" t="s">
        <v>17</v>
      </c>
      <c r="G3848" s="7">
        <v>3685817</v>
      </c>
      <c r="H3848" s="7">
        <v>2363</v>
      </c>
      <c r="I3848" s="7">
        <v>95</v>
      </c>
      <c r="J3848" s="7">
        <v>375</v>
      </c>
      <c r="K3848" s="7" t="s">
        <v>18</v>
      </c>
      <c r="L3848" s="8">
        <v>39987.315405092595</v>
      </c>
      <c r="M3848" s="9" t="s">
        <v>19</v>
      </c>
      <c r="N3848" s="9" t="s">
        <v>20</v>
      </c>
      <c r="O3848" s="6" t="str">
        <f>HYPERLINK("https://pbs.twimg.com/profile_images/962471262747529216/Uo8lOkRJ_normal.jpg","View")</f>
        <v>View</v>
      </c>
      <c r="P3848" s="7"/>
    </row>
    <row r="3849" spans="1:16">
      <c r="A3849" s="3">
        <v>43911.265902777777</v>
      </c>
      <c r="B3849" s="4" t="str">
        <f>HYPERLINK("https://twitter.com/petrogustavo","@petrogustavo")</f>
        <v>@petrogustavo</v>
      </c>
      <c r="C3849" s="5" t="s">
        <v>16</v>
      </c>
      <c r="D3849" s="5" t="s">
        <v>3768</v>
      </c>
      <c r="E3849" s="6" t="str">
        <f>HYPERLINK("https://twitter.com/petrogustavo/status/1241165856098463745","1241165856098463745")</f>
        <v>1241165856098463745</v>
      </c>
      <c r="F3849" s="7" t="s">
        <v>17</v>
      </c>
      <c r="G3849" s="7">
        <v>3685817</v>
      </c>
      <c r="H3849" s="7">
        <v>2363</v>
      </c>
      <c r="I3849" s="7">
        <v>175</v>
      </c>
      <c r="J3849" s="7">
        <v>0</v>
      </c>
      <c r="K3849" s="7" t="s">
        <v>18</v>
      </c>
      <c r="L3849" s="8">
        <v>39987.315405092595</v>
      </c>
      <c r="M3849" s="9" t="s">
        <v>19</v>
      </c>
      <c r="N3849" s="9" t="s">
        <v>20</v>
      </c>
      <c r="O3849" s="6" t="str">
        <f>HYPERLINK("https://pbs.twimg.com/profile_images/962471262747529216/Uo8lOkRJ_normal.jpg","View")</f>
        <v>View</v>
      </c>
      <c r="P3849" s="7"/>
    </row>
    <row r="3850" spans="1:16">
      <c r="A3850" s="3">
        <v>43911.336469907408</v>
      </c>
      <c r="B3850" s="4" t="str">
        <f>HYPERLINK("https://twitter.com/petrogustavo","@petrogustavo")</f>
        <v>@petrogustavo</v>
      </c>
      <c r="C3850" s="5" t="s">
        <v>16</v>
      </c>
      <c r="D3850" s="5" t="s">
        <v>3769</v>
      </c>
      <c r="E3850" s="6" t="str">
        <f>HYPERLINK("https://twitter.com/petrogustavo/status/1241191429231333376","1241191429231333376")</f>
        <v>1241191429231333376</v>
      </c>
      <c r="F3850" s="7" t="s">
        <v>17</v>
      </c>
      <c r="G3850" s="7">
        <v>3686295</v>
      </c>
      <c r="H3850" s="7">
        <v>2363</v>
      </c>
      <c r="I3850" s="7">
        <v>871</v>
      </c>
      <c r="J3850" s="7">
        <v>0</v>
      </c>
      <c r="K3850" s="7" t="s">
        <v>18</v>
      </c>
      <c r="L3850" s="8">
        <v>39987.315405092595</v>
      </c>
      <c r="M3850" s="9" t="s">
        <v>19</v>
      </c>
      <c r="N3850" s="9" t="s">
        <v>20</v>
      </c>
      <c r="O3850" s="6" t="str">
        <f>HYPERLINK("https://pbs.twimg.com/profile_images/962471262747529216/Uo8lOkRJ_normal.jpg","View")</f>
        <v>View</v>
      </c>
      <c r="P3850" s="7"/>
    </row>
    <row r="3851" spans="1:16">
      <c r="A3851" s="3">
        <v>43911.339895833335</v>
      </c>
      <c r="B3851" s="4" t="str">
        <f>HYPERLINK("https://twitter.com/petrogustavo","@petrogustavo")</f>
        <v>@petrogustavo</v>
      </c>
      <c r="C3851" s="5" t="s">
        <v>16</v>
      </c>
      <c r="D3851" s="5" t="s">
        <v>3770</v>
      </c>
      <c r="E3851" s="6" t="str">
        <f>HYPERLINK("https://twitter.com/petrogustavo/status/1241192672049725440","1241192672049725440")</f>
        <v>1241192672049725440</v>
      </c>
      <c r="F3851" s="7" t="s">
        <v>17</v>
      </c>
      <c r="G3851" s="7">
        <v>3686295</v>
      </c>
      <c r="H3851" s="7">
        <v>2363</v>
      </c>
      <c r="I3851" s="7">
        <v>145</v>
      </c>
      <c r="J3851" s="7">
        <v>471</v>
      </c>
      <c r="K3851" s="7" t="s">
        <v>18</v>
      </c>
      <c r="L3851" s="8">
        <v>39987.315405092595</v>
      </c>
      <c r="M3851" s="9" t="s">
        <v>19</v>
      </c>
      <c r="N3851" s="9" t="s">
        <v>20</v>
      </c>
      <c r="O3851" s="6" t="str">
        <f>HYPERLINK("https://pbs.twimg.com/profile_images/962471262747529216/Uo8lOkRJ_normal.jpg","View")</f>
        <v>View</v>
      </c>
      <c r="P3851" s="7"/>
    </row>
    <row r="3852" spans="1:16">
      <c r="A3852" s="3">
        <v>43911.34988425926</v>
      </c>
      <c r="B3852" s="4" t="str">
        <f>HYPERLINK("https://twitter.com/petrogustavo","@petrogustavo")</f>
        <v>@petrogustavo</v>
      </c>
      <c r="C3852" s="5" t="s">
        <v>16</v>
      </c>
      <c r="D3852" s="5" t="s">
        <v>3771</v>
      </c>
      <c r="E3852" s="6" t="str">
        <f>HYPERLINK("https://twitter.com/petrogustavo/status/1241196289456562176","1241196289456562176")</f>
        <v>1241196289456562176</v>
      </c>
      <c r="F3852" s="7" t="s">
        <v>17</v>
      </c>
      <c r="G3852" s="7">
        <v>3686295</v>
      </c>
      <c r="H3852" s="7">
        <v>2363</v>
      </c>
      <c r="I3852" s="7">
        <v>133</v>
      </c>
      <c r="J3852" s="7">
        <v>417</v>
      </c>
      <c r="K3852" s="7" t="s">
        <v>18</v>
      </c>
      <c r="L3852" s="8">
        <v>39987.315405092595</v>
      </c>
      <c r="M3852" s="9" t="s">
        <v>19</v>
      </c>
      <c r="N3852" s="9" t="s">
        <v>20</v>
      </c>
      <c r="O3852" s="6" t="str">
        <f>HYPERLINK("https://pbs.twimg.com/profile_images/962471262747529216/Uo8lOkRJ_normal.jpg","View")</f>
        <v>View</v>
      </c>
      <c r="P3852" s="7"/>
    </row>
    <row r="3853" spans="1:16">
      <c r="A3853" s="3">
        <v>43911.360150462962</v>
      </c>
      <c r="B3853" s="4" t="str">
        <f>HYPERLINK("https://twitter.com/petrogustavo","@petrogustavo")</f>
        <v>@petrogustavo</v>
      </c>
      <c r="C3853" s="5" t="s">
        <v>16</v>
      </c>
      <c r="D3853" s="5" t="s">
        <v>3772</v>
      </c>
      <c r="E3853" s="6" t="str">
        <f>HYPERLINK("https://twitter.com/petrogustavo/status/1241200012132057088","1241200012132057088")</f>
        <v>1241200012132057088</v>
      </c>
      <c r="F3853" s="7" t="s">
        <v>17</v>
      </c>
      <c r="G3853" s="7">
        <v>3686497</v>
      </c>
      <c r="H3853" s="7">
        <v>2363</v>
      </c>
      <c r="I3853" s="7">
        <v>117</v>
      </c>
      <c r="J3853" s="7">
        <v>298</v>
      </c>
      <c r="K3853" s="7" t="s">
        <v>18</v>
      </c>
      <c r="L3853" s="8">
        <v>39987.315405092595</v>
      </c>
      <c r="M3853" s="9" t="s">
        <v>19</v>
      </c>
      <c r="N3853" s="9" t="s">
        <v>20</v>
      </c>
      <c r="O3853" s="6" t="str">
        <f>HYPERLINK("https://pbs.twimg.com/profile_images/962471262747529216/Uo8lOkRJ_normal.jpg","View")</f>
        <v>View</v>
      </c>
      <c r="P3853" s="7"/>
    </row>
    <row r="3854" spans="1:16">
      <c r="A3854" s="3">
        <v>43911.364756944444</v>
      </c>
      <c r="B3854" s="4" t="str">
        <f>HYPERLINK("https://twitter.com/petrogustavo","@petrogustavo")</f>
        <v>@petrogustavo</v>
      </c>
      <c r="C3854" s="5" t="s">
        <v>16</v>
      </c>
      <c r="D3854" s="5" t="s">
        <v>3773</v>
      </c>
      <c r="E3854" s="6" t="str">
        <f>HYPERLINK("https://twitter.com/petrogustavo/status/1241201680055754759","1241201680055754759")</f>
        <v>1241201680055754759</v>
      </c>
      <c r="F3854" s="7" t="s">
        <v>17</v>
      </c>
      <c r="G3854" s="7">
        <v>3686497</v>
      </c>
      <c r="H3854" s="7">
        <v>2363</v>
      </c>
      <c r="I3854" s="7">
        <v>121</v>
      </c>
      <c r="J3854" s="7">
        <v>235</v>
      </c>
      <c r="K3854" s="7" t="s">
        <v>18</v>
      </c>
      <c r="L3854" s="8">
        <v>39987.315405092595</v>
      </c>
      <c r="M3854" s="9" t="s">
        <v>19</v>
      </c>
      <c r="N3854" s="9" t="s">
        <v>20</v>
      </c>
      <c r="O3854" s="6" t="str">
        <f>HYPERLINK("https://pbs.twimg.com/profile_images/962471262747529216/Uo8lOkRJ_normal.jpg","View")</f>
        <v>View</v>
      </c>
      <c r="P3854" s="7"/>
    </row>
    <row r="3855" spans="1:16">
      <c r="A3855" s="3">
        <v>43911.370150462964</v>
      </c>
      <c r="B3855" s="4" t="str">
        <f>HYPERLINK("https://twitter.com/petrogustavo","@petrogustavo")</f>
        <v>@petrogustavo</v>
      </c>
      <c r="C3855" s="5" t="s">
        <v>16</v>
      </c>
      <c r="D3855" s="5" t="s">
        <v>3774</v>
      </c>
      <c r="E3855" s="6" t="str">
        <f>HYPERLINK("https://twitter.com/petrogustavo/status/1241203635444473858","1241203635444473858")</f>
        <v>1241203635444473858</v>
      </c>
      <c r="F3855" s="7" t="s">
        <v>17</v>
      </c>
      <c r="G3855" s="7">
        <v>3686497</v>
      </c>
      <c r="H3855" s="7">
        <v>2363</v>
      </c>
      <c r="I3855" s="7">
        <v>415</v>
      </c>
      <c r="J3855" s="7">
        <v>1304</v>
      </c>
      <c r="K3855" s="7" t="s">
        <v>18</v>
      </c>
      <c r="L3855" s="8">
        <v>39987.315405092595</v>
      </c>
      <c r="M3855" s="9" t="s">
        <v>19</v>
      </c>
      <c r="N3855" s="9" t="s">
        <v>20</v>
      </c>
      <c r="O3855" s="6" t="str">
        <f>HYPERLINK("https://pbs.twimg.com/profile_images/962471262747529216/Uo8lOkRJ_normal.jpg","View")</f>
        <v>View</v>
      </c>
      <c r="P3855" s="7"/>
    </row>
    <row r="3856" spans="1:16">
      <c r="A3856" s="3">
        <v>43911.372858796298</v>
      </c>
      <c r="B3856" s="4" t="str">
        <f>HYPERLINK("https://twitter.com/petrogustavo","@petrogustavo")</f>
        <v>@petrogustavo</v>
      </c>
      <c r="C3856" s="5" t="s">
        <v>16</v>
      </c>
      <c r="D3856" s="5" t="s">
        <v>3775</v>
      </c>
      <c r="E3856" s="6" t="str">
        <f>HYPERLINK("https://twitter.com/petrogustavo/status/1241204616542539777","1241204616542539777")</f>
        <v>1241204616542539777</v>
      </c>
      <c r="F3856" s="7" t="s">
        <v>17</v>
      </c>
      <c r="G3856" s="7">
        <v>3686497</v>
      </c>
      <c r="H3856" s="7">
        <v>2363</v>
      </c>
      <c r="I3856" s="7">
        <v>840</v>
      </c>
      <c r="J3856" s="7">
        <v>3596</v>
      </c>
      <c r="K3856" s="7" t="s">
        <v>18</v>
      </c>
      <c r="L3856" s="8">
        <v>39987.315405092595</v>
      </c>
      <c r="M3856" s="9" t="s">
        <v>19</v>
      </c>
      <c r="N3856" s="9" t="s">
        <v>20</v>
      </c>
      <c r="O3856" s="6" t="str">
        <f>HYPERLINK("https://pbs.twimg.com/profile_images/962471262747529216/Uo8lOkRJ_normal.jpg","View")</f>
        <v>View</v>
      </c>
      <c r="P3856" s="7"/>
    </row>
    <row r="3857" spans="1:16">
      <c r="A3857" s="3">
        <v>43911.79041666667</v>
      </c>
      <c r="B3857" s="4" t="str">
        <f>HYPERLINK("https://twitter.com/petrogustavo","@petrogustavo")</f>
        <v>@petrogustavo</v>
      </c>
      <c r="C3857" s="5" t="s">
        <v>16</v>
      </c>
      <c r="D3857" s="5" t="s">
        <v>3776</v>
      </c>
      <c r="E3857" s="6" t="str">
        <f>HYPERLINK("https://twitter.com/petrogustavo/status/1241355933063819264","1241355933063819264")</f>
        <v>1241355933063819264</v>
      </c>
      <c r="F3857" s="7" t="s">
        <v>17</v>
      </c>
      <c r="G3857" s="7">
        <v>3689044</v>
      </c>
      <c r="H3857" s="7">
        <v>2362</v>
      </c>
      <c r="I3857" s="7">
        <v>138</v>
      </c>
      <c r="J3857" s="7">
        <v>390</v>
      </c>
      <c r="K3857" s="7" t="s">
        <v>18</v>
      </c>
      <c r="L3857" s="8">
        <v>39987.315405092595</v>
      </c>
      <c r="M3857" s="9" t="s">
        <v>19</v>
      </c>
      <c r="N3857" s="9" t="s">
        <v>20</v>
      </c>
      <c r="O3857" s="6" t="str">
        <f>HYPERLINK("https://pbs.twimg.com/profile_images/962471262747529216/Uo8lOkRJ_normal.jpg","View")</f>
        <v>View</v>
      </c>
      <c r="P3857" s="7"/>
    </row>
    <row r="3858" spans="1:16">
      <c r="A3858" s="3">
        <v>43911.795381944445</v>
      </c>
      <c r="B3858" s="4" t="str">
        <f>HYPERLINK("https://twitter.com/petrogustavo","@petrogustavo")</f>
        <v>@petrogustavo</v>
      </c>
      <c r="C3858" s="5" t="s">
        <v>16</v>
      </c>
      <c r="D3858" s="5" t="s">
        <v>3777</v>
      </c>
      <c r="E3858" s="6" t="str">
        <f>HYPERLINK("https://twitter.com/petrogustavo/status/1241357734664118273","1241357734664118273")</f>
        <v>1241357734664118273</v>
      </c>
      <c r="F3858" s="7" t="s">
        <v>17</v>
      </c>
      <c r="G3858" s="7">
        <v>3689299</v>
      </c>
      <c r="H3858" s="7">
        <v>2362</v>
      </c>
      <c r="I3858" s="7">
        <v>1031</v>
      </c>
      <c r="J3858" s="7">
        <v>2967</v>
      </c>
      <c r="K3858" s="7" t="s">
        <v>18</v>
      </c>
      <c r="L3858" s="8">
        <v>39987.315405092595</v>
      </c>
      <c r="M3858" s="9" t="s">
        <v>19</v>
      </c>
      <c r="N3858" s="9" t="s">
        <v>20</v>
      </c>
      <c r="O3858" s="6" t="str">
        <f>HYPERLINK("https://pbs.twimg.com/profile_images/962471262747529216/Uo8lOkRJ_normal.jpg","View")</f>
        <v>View</v>
      </c>
      <c r="P3858" s="7"/>
    </row>
    <row r="3859" spans="1:16">
      <c r="A3859" s="3">
        <v>43911.84373842593</v>
      </c>
      <c r="B3859" s="4" t="str">
        <f>HYPERLINK("https://twitter.com/petrogustavo","@petrogustavo")</f>
        <v>@petrogustavo</v>
      </c>
      <c r="C3859" s="5" t="s">
        <v>16</v>
      </c>
      <c r="D3859" s="5" t="s">
        <v>3778</v>
      </c>
      <c r="E3859" s="6" t="str">
        <f>HYPERLINK("https://twitter.com/petrogustavo/status/1241375258386595840","1241375258386595840")</f>
        <v>1241375258386595840</v>
      </c>
      <c r="F3859" s="7" t="s">
        <v>17</v>
      </c>
      <c r="G3859" s="7">
        <v>3689828</v>
      </c>
      <c r="H3859" s="7">
        <v>2362</v>
      </c>
      <c r="I3859" s="7">
        <v>152</v>
      </c>
      <c r="J3859" s="7">
        <v>513</v>
      </c>
      <c r="K3859" s="7" t="s">
        <v>18</v>
      </c>
      <c r="L3859" s="8">
        <v>39987.315405092595</v>
      </c>
      <c r="M3859" s="9" t="s">
        <v>19</v>
      </c>
      <c r="N3859" s="9" t="s">
        <v>20</v>
      </c>
      <c r="O3859" s="6" t="str">
        <f>HYPERLINK("https://pbs.twimg.com/profile_images/962471262747529216/Uo8lOkRJ_normal.jpg","View")</f>
        <v>View</v>
      </c>
      <c r="P3859" s="7"/>
    </row>
    <row r="3860" spans="1:16">
      <c r="A3860" s="3">
        <v>43911.857222222221</v>
      </c>
      <c r="B3860" s="4" t="str">
        <f>HYPERLINK("https://twitter.com/petrogustavo","@petrogustavo")</f>
        <v>@petrogustavo</v>
      </c>
      <c r="C3860" s="5" t="s">
        <v>16</v>
      </c>
      <c r="D3860" s="5" t="s">
        <v>3779</v>
      </c>
      <c r="E3860" s="6" t="str">
        <f>HYPERLINK("https://twitter.com/petrogustavo/status/1241380143446327297","1241380143446327297")</f>
        <v>1241380143446327297</v>
      </c>
      <c r="F3860" s="7" t="s">
        <v>17</v>
      </c>
      <c r="G3860" s="7">
        <v>3690114</v>
      </c>
      <c r="H3860" s="7">
        <v>2362</v>
      </c>
      <c r="I3860" s="7">
        <v>153</v>
      </c>
      <c r="J3860" s="7">
        <v>494</v>
      </c>
      <c r="K3860" s="7" t="s">
        <v>18</v>
      </c>
      <c r="L3860" s="8">
        <v>39987.315405092595</v>
      </c>
      <c r="M3860" s="9" t="s">
        <v>19</v>
      </c>
      <c r="N3860" s="9" t="s">
        <v>20</v>
      </c>
      <c r="O3860" s="6" t="str">
        <f>HYPERLINK("https://pbs.twimg.com/profile_images/962471262747529216/Uo8lOkRJ_normal.jpg","View")</f>
        <v>View</v>
      </c>
      <c r="P3860" s="7"/>
    </row>
    <row r="3861" spans="1:16">
      <c r="A3861" s="3">
        <v>43911.944097222222</v>
      </c>
      <c r="B3861" s="4" t="str">
        <f>HYPERLINK("https://twitter.com/petrogustavo","@petrogustavo")</f>
        <v>@petrogustavo</v>
      </c>
      <c r="C3861" s="5" t="s">
        <v>16</v>
      </c>
      <c r="D3861" s="5" t="s">
        <v>3780</v>
      </c>
      <c r="E3861" s="6" t="str">
        <f>HYPERLINK("https://twitter.com/petrogustavo/status/1241411627007778822","1241411627007778822")</f>
        <v>1241411627007778822</v>
      </c>
      <c r="F3861" s="7" t="s">
        <v>17</v>
      </c>
      <c r="G3861" s="7">
        <v>3691038</v>
      </c>
      <c r="H3861" s="7">
        <v>2364</v>
      </c>
      <c r="I3861" s="7">
        <v>66</v>
      </c>
      <c r="J3861" s="7">
        <v>188</v>
      </c>
      <c r="K3861" s="7" t="s">
        <v>18</v>
      </c>
      <c r="L3861" s="8">
        <v>39987.315405092595</v>
      </c>
      <c r="M3861" s="9" t="s">
        <v>19</v>
      </c>
      <c r="N3861" s="9" t="s">
        <v>20</v>
      </c>
      <c r="O3861" s="6" t="str">
        <f>HYPERLINK("https://pbs.twimg.com/profile_images/962471262747529216/Uo8lOkRJ_normal.jpg","View")</f>
        <v>View</v>
      </c>
      <c r="P3861" s="7"/>
    </row>
    <row r="3862" spans="1:16">
      <c r="A3862" s="3">
        <v>43911.978668981479</v>
      </c>
      <c r="B3862" s="4" t="str">
        <f>HYPERLINK("https://twitter.com/petrogustavo","@petrogustavo")</f>
        <v>@petrogustavo</v>
      </c>
      <c r="C3862" s="5" t="s">
        <v>16</v>
      </c>
      <c r="D3862" s="5" t="s">
        <v>3781</v>
      </c>
      <c r="E3862" s="6" t="str">
        <f>HYPERLINK("https://twitter.com/petrogustavo/status/1241424151925215236","1241424151925215236")</f>
        <v>1241424151925215236</v>
      </c>
      <c r="F3862" s="7" t="s">
        <v>17</v>
      </c>
      <c r="G3862" s="7">
        <v>3691309</v>
      </c>
      <c r="H3862" s="7">
        <v>2364</v>
      </c>
      <c r="I3862" s="7">
        <v>21</v>
      </c>
      <c r="J3862" s="7">
        <v>80</v>
      </c>
      <c r="K3862" s="7" t="s">
        <v>18</v>
      </c>
      <c r="L3862" s="8">
        <v>39987.315405092595</v>
      </c>
      <c r="M3862" s="9" t="s">
        <v>19</v>
      </c>
      <c r="N3862" s="9" t="s">
        <v>20</v>
      </c>
      <c r="O3862" s="6" t="str">
        <f>HYPERLINK("https://pbs.twimg.com/profile_images/962471262747529216/Uo8lOkRJ_normal.jpg","View")</f>
        <v>View</v>
      </c>
      <c r="P3862" s="7"/>
    </row>
    <row r="3863" spans="1:16">
      <c r="A3863" s="3">
        <v>43911.980347222227</v>
      </c>
      <c r="B3863" s="4" t="str">
        <f>HYPERLINK("https://twitter.com/petrogustavo","@petrogustavo")</f>
        <v>@petrogustavo</v>
      </c>
      <c r="C3863" s="5" t="s">
        <v>16</v>
      </c>
      <c r="D3863" s="5" t="s">
        <v>3782</v>
      </c>
      <c r="E3863" s="6" t="str">
        <f>HYPERLINK("https://twitter.com/petrogustavo/status/1241424762330648576","1241424762330648576")</f>
        <v>1241424762330648576</v>
      </c>
      <c r="F3863" s="7" t="s">
        <v>17</v>
      </c>
      <c r="G3863" s="7">
        <v>3691309</v>
      </c>
      <c r="H3863" s="7">
        <v>2364</v>
      </c>
      <c r="I3863" s="7">
        <v>19</v>
      </c>
      <c r="J3863" s="7">
        <v>0</v>
      </c>
      <c r="K3863" s="7" t="s">
        <v>18</v>
      </c>
      <c r="L3863" s="8">
        <v>39987.315405092595</v>
      </c>
      <c r="M3863" s="9" t="s">
        <v>19</v>
      </c>
      <c r="N3863" s="9" t="s">
        <v>20</v>
      </c>
      <c r="O3863" s="6" t="str">
        <f>HYPERLINK("https://pbs.twimg.com/profile_images/962471262747529216/Uo8lOkRJ_normal.jpg","View")</f>
        <v>View</v>
      </c>
      <c r="P3863" s="7"/>
    </row>
    <row r="3864" spans="1:16">
      <c r="A3864" s="3">
        <v>43911.982106481482</v>
      </c>
      <c r="B3864" s="4" t="str">
        <f>HYPERLINK("https://twitter.com/petrogustavo","@petrogustavo")</f>
        <v>@petrogustavo</v>
      </c>
      <c r="C3864" s="5" t="s">
        <v>16</v>
      </c>
      <c r="D3864" s="5" t="s">
        <v>3783</v>
      </c>
      <c r="E3864" s="6" t="str">
        <f>HYPERLINK("https://twitter.com/petrogustavo/status/1241425399806070784","1241425399806070784")</f>
        <v>1241425399806070784</v>
      </c>
      <c r="F3864" s="7" t="s">
        <v>17</v>
      </c>
      <c r="G3864" s="7">
        <v>3691510</v>
      </c>
      <c r="H3864" s="7">
        <v>2364</v>
      </c>
      <c r="I3864" s="7">
        <v>368</v>
      </c>
      <c r="J3864" s="7">
        <v>0</v>
      </c>
      <c r="K3864" s="7" t="s">
        <v>18</v>
      </c>
      <c r="L3864" s="8">
        <v>39987.315405092595</v>
      </c>
      <c r="M3864" s="9" t="s">
        <v>19</v>
      </c>
      <c r="N3864" s="9" t="s">
        <v>20</v>
      </c>
      <c r="O3864" s="6" t="str">
        <f>HYPERLINK("https://pbs.twimg.com/profile_images/962471262747529216/Uo8lOkRJ_normal.jpg","View")</f>
        <v>View</v>
      </c>
      <c r="P3864" s="7"/>
    </row>
    <row r="3865" spans="1:16">
      <c r="A3865" s="3">
        <v>43911.98574074074</v>
      </c>
      <c r="B3865" s="4" t="str">
        <f>HYPERLINK("https://twitter.com/petrogustavo","@petrogustavo")</f>
        <v>@petrogustavo</v>
      </c>
      <c r="C3865" s="5" t="s">
        <v>16</v>
      </c>
      <c r="D3865" s="5" t="s">
        <v>3784</v>
      </c>
      <c r="E3865" s="6" t="str">
        <f>HYPERLINK("https://twitter.com/petrogustavo/status/1241426716142206979","1241426716142206979")</f>
        <v>1241426716142206979</v>
      </c>
      <c r="F3865" s="7" t="s">
        <v>17</v>
      </c>
      <c r="G3865" s="7">
        <v>3691510</v>
      </c>
      <c r="H3865" s="7">
        <v>2364</v>
      </c>
      <c r="I3865" s="7">
        <v>356</v>
      </c>
      <c r="J3865" s="7">
        <v>1017</v>
      </c>
      <c r="K3865" s="7" t="s">
        <v>18</v>
      </c>
      <c r="L3865" s="8">
        <v>39987.315405092595</v>
      </c>
      <c r="M3865" s="9" t="s">
        <v>19</v>
      </c>
      <c r="N3865" s="9" t="s">
        <v>20</v>
      </c>
      <c r="O3865" s="6" t="str">
        <f>HYPERLINK("https://pbs.twimg.com/profile_images/962471262747529216/Uo8lOkRJ_normal.jpg","View")</f>
        <v>View</v>
      </c>
      <c r="P3865" s="7"/>
    </row>
    <row r="3866" spans="1:16">
      <c r="A3866" s="3">
        <v>43911.993333333332</v>
      </c>
      <c r="B3866" s="4" t="str">
        <f>HYPERLINK("https://twitter.com/petrogustavo","@petrogustavo")</f>
        <v>@petrogustavo</v>
      </c>
      <c r="C3866" s="5" t="s">
        <v>16</v>
      </c>
      <c r="D3866" s="5" t="s">
        <v>3785</v>
      </c>
      <c r="E3866" s="6" t="str">
        <f>HYPERLINK("https://twitter.com/petrogustavo/status/1241429469438586881","1241429469438586881")</f>
        <v>1241429469438586881</v>
      </c>
      <c r="F3866" s="7" t="s">
        <v>17</v>
      </c>
      <c r="G3866" s="7">
        <v>3691510</v>
      </c>
      <c r="H3866" s="7">
        <v>2364</v>
      </c>
      <c r="I3866" s="7">
        <v>110</v>
      </c>
      <c r="J3866" s="7">
        <v>301</v>
      </c>
      <c r="K3866" s="7" t="s">
        <v>18</v>
      </c>
      <c r="L3866" s="8">
        <v>39987.315405092595</v>
      </c>
      <c r="M3866" s="9" t="s">
        <v>19</v>
      </c>
      <c r="N3866" s="9" t="s">
        <v>20</v>
      </c>
      <c r="O3866" s="6" t="str">
        <f>HYPERLINK("https://pbs.twimg.com/profile_images/962471262747529216/Uo8lOkRJ_normal.jpg","View")</f>
        <v>View</v>
      </c>
      <c r="P3866" s="7"/>
    </row>
    <row r="3867" spans="1:16">
      <c r="A3867" s="3">
        <v>43911.998067129629</v>
      </c>
      <c r="B3867" s="4" t="str">
        <f>HYPERLINK("https://twitter.com/petrogustavo","@petrogustavo")</f>
        <v>@petrogustavo</v>
      </c>
      <c r="C3867" s="5" t="s">
        <v>16</v>
      </c>
      <c r="D3867" s="5" t="s">
        <v>3786</v>
      </c>
      <c r="E3867" s="6" t="str">
        <f>HYPERLINK("https://twitter.com/petrogustavo/status/1241431183528988672","1241431183528988672")</f>
        <v>1241431183528988672</v>
      </c>
      <c r="F3867" s="7" t="s">
        <v>17</v>
      </c>
      <c r="G3867" s="7">
        <v>3691510</v>
      </c>
      <c r="H3867" s="7">
        <v>2364</v>
      </c>
      <c r="I3867" s="7">
        <v>28</v>
      </c>
      <c r="J3867" s="7">
        <v>78</v>
      </c>
      <c r="K3867" s="7" t="s">
        <v>18</v>
      </c>
      <c r="L3867" s="8">
        <v>39987.315405092595</v>
      </c>
      <c r="M3867" s="9" t="s">
        <v>19</v>
      </c>
      <c r="N3867" s="9" t="s">
        <v>20</v>
      </c>
      <c r="O3867" s="6" t="str">
        <f>HYPERLINK("https://pbs.twimg.com/profile_images/962471262747529216/Uo8lOkRJ_normal.jpg","View")</f>
        <v>View</v>
      </c>
      <c r="P3867" s="7"/>
    </row>
    <row r="3868" spans="1:16">
      <c r="A3868" s="3">
        <v>43912.003032407403</v>
      </c>
      <c r="B3868" s="4" t="str">
        <f>HYPERLINK("https://twitter.com/petrogustavo","@petrogustavo")</f>
        <v>@petrogustavo</v>
      </c>
      <c r="C3868" s="5" t="s">
        <v>16</v>
      </c>
      <c r="D3868" s="5" t="s">
        <v>3787</v>
      </c>
      <c r="E3868" s="6" t="str">
        <f>HYPERLINK("https://twitter.com/petrogustavo/status/1241432982180823040","1241432982180823040")</f>
        <v>1241432982180823040</v>
      </c>
      <c r="F3868" s="7" t="s">
        <v>17</v>
      </c>
      <c r="G3868" s="7">
        <v>3691614</v>
      </c>
      <c r="H3868" s="7">
        <v>2366</v>
      </c>
      <c r="I3868" s="7">
        <v>826</v>
      </c>
      <c r="J3868" s="7">
        <v>2877</v>
      </c>
      <c r="K3868" s="7" t="s">
        <v>18</v>
      </c>
      <c r="L3868" s="8">
        <v>39987.315405092595</v>
      </c>
      <c r="M3868" s="9" t="s">
        <v>19</v>
      </c>
      <c r="N3868" s="9" t="s">
        <v>20</v>
      </c>
      <c r="O3868" s="6" t="str">
        <f>HYPERLINK("https://pbs.twimg.com/profile_images/962471262747529216/Uo8lOkRJ_normal.jpg","View")</f>
        <v>View</v>
      </c>
      <c r="P3868" s="7"/>
    </row>
    <row r="3869" spans="1:16">
      <c r="A3869" s="3">
        <v>43912.008379629631</v>
      </c>
      <c r="B3869" s="4" t="str">
        <f>HYPERLINK("https://twitter.com/petrogustavo","@petrogustavo")</f>
        <v>@petrogustavo</v>
      </c>
      <c r="C3869" s="5" t="s">
        <v>16</v>
      </c>
      <c r="D3869" s="5" t="s">
        <v>3788</v>
      </c>
      <c r="E3869" s="6" t="str">
        <f>HYPERLINK("https://twitter.com/petrogustavo/status/1241434920515440641","1241434920515440641")</f>
        <v>1241434920515440641</v>
      </c>
      <c r="F3869" s="7" t="s">
        <v>17</v>
      </c>
      <c r="G3869" s="7">
        <v>3691614</v>
      </c>
      <c r="H3869" s="7">
        <v>2366</v>
      </c>
      <c r="I3869" s="7">
        <v>155</v>
      </c>
      <c r="J3869" s="7">
        <v>257</v>
      </c>
      <c r="K3869" s="7" t="s">
        <v>18</v>
      </c>
      <c r="L3869" s="8">
        <v>39987.315405092595</v>
      </c>
      <c r="M3869" s="9" t="s">
        <v>19</v>
      </c>
      <c r="N3869" s="9" t="s">
        <v>20</v>
      </c>
      <c r="O3869" s="6" t="str">
        <f>HYPERLINK("https://pbs.twimg.com/profile_images/962471262747529216/Uo8lOkRJ_normal.jpg","View")</f>
        <v>View</v>
      </c>
      <c r="P3869" s="7"/>
    </row>
    <row r="3870" spans="1:16">
      <c r="A3870" s="3">
        <v>43912.014050925922</v>
      </c>
      <c r="B3870" s="4" t="str">
        <f>HYPERLINK("https://twitter.com/petrogustavo","@petrogustavo")</f>
        <v>@petrogustavo</v>
      </c>
      <c r="C3870" s="5" t="s">
        <v>16</v>
      </c>
      <c r="D3870" s="5" t="s">
        <v>3789</v>
      </c>
      <c r="E3870" s="6" t="str">
        <f>HYPERLINK("https://twitter.com/petrogustavo/status/1241436975812444165","1241436975812444165")</f>
        <v>1241436975812444165</v>
      </c>
      <c r="F3870" s="7" t="s">
        <v>17</v>
      </c>
      <c r="G3870" s="7">
        <v>3691614</v>
      </c>
      <c r="H3870" s="7">
        <v>2366</v>
      </c>
      <c r="I3870" s="7">
        <v>122</v>
      </c>
      <c r="J3870" s="7">
        <v>364</v>
      </c>
      <c r="K3870" s="7" t="s">
        <v>18</v>
      </c>
      <c r="L3870" s="8">
        <v>39987.315405092595</v>
      </c>
      <c r="M3870" s="9" t="s">
        <v>19</v>
      </c>
      <c r="N3870" s="9" t="s">
        <v>20</v>
      </c>
      <c r="O3870" s="6" t="str">
        <f>HYPERLINK("https://pbs.twimg.com/profile_images/962471262747529216/Uo8lOkRJ_normal.jpg","View")</f>
        <v>View</v>
      </c>
      <c r="P3870" s="7"/>
    </row>
    <row r="3871" spans="1:16">
      <c r="A3871" s="3">
        <v>43912.018090277779</v>
      </c>
      <c r="B3871" s="4" t="str">
        <f>HYPERLINK("https://twitter.com/petrogustavo","@petrogustavo")</f>
        <v>@petrogustavo</v>
      </c>
      <c r="C3871" s="5" t="s">
        <v>16</v>
      </c>
      <c r="D3871" s="5" t="s">
        <v>3790</v>
      </c>
      <c r="E3871" s="6" t="str">
        <f>HYPERLINK("https://twitter.com/petrogustavo/status/1241438437728804864","1241438437728804864")</f>
        <v>1241438437728804864</v>
      </c>
      <c r="F3871" s="7" t="s">
        <v>17</v>
      </c>
      <c r="G3871" s="7">
        <v>3691614</v>
      </c>
      <c r="H3871" s="7">
        <v>2366</v>
      </c>
      <c r="I3871" s="7">
        <v>826</v>
      </c>
      <c r="J3871" s="7">
        <v>0</v>
      </c>
      <c r="K3871" s="7" t="s">
        <v>18</v>
      </c>
      <c r="L3871" s="8">
        <v>39987.315405092595</v>
      </c>
      <c r="M3871" s="9" t="s">
        <v>19</v>
      </c>
      <c r="N3871" s="9" t="s">
        <v>20</v>
      </c>
      <c r="O3871" s="6" t="str">
        <f>HYPERLINK("https://pbs.twimg.com/profile_images/962471262747529216/Uo8lOkRJ_normal.jpg","View")</f>
        <v>View</v>
      </c>
      <c r="P3871" s="7"/>
    </row>
    <row r="3872" spans="1:16">
      <c r="A3872" s="3">
        <v>43912.040162037039</v>
      </c>
      <c r="B3872" s="4" t="str">
        <f>HYPERLINK("https://twitter.com/petrogustavo","@petrogustavo")</f>
        <v>@petrogustavo</v>
      </c>
      <c r="C3872" s="5" t="s">
        <v>16</v>
      </c>
      <c r="D3872" s="5" t="s">
        <v>3791</v>
      </c>
      <c r="E3872" s="6" t="str">
        <f>HYPERLINK("https://twitter.com/petrogustavo/status/1241446437902340096","1241446437902340096")</f>
        <v>1241446437902340096</v>
      </c>
      <c r="F3872" s="7" t="s">
        <v>17</v>
      </c>
      <c r="G3872" s="7">
        <v>3691763</v>
      </c>
      <c r="H3872" s="7">
        <v>2366</v>
      </c>
      <c r="I3872" s="7">
        <v>484</v>
      </c>
      <c r="J3872" s="7">
        <v>0</v>
      </c>
      <c r="K3872" s="7" t="s">
        <v>18</v>
      </c>
      <c r="L3872" s="8">
        <v>39987.315405092595</v>
      </c>
      <c r="M3872" s="9" t="s">
        <v>19</v>
      </c>
      <c r="N3872" s="9" t="s">
        <v>20</v>
      </c>
      <c r="O3872" s="6" t="str">
        <f>HYPERLINK("https://pbs.twimg.com/profile_images/962471262747529216/Uo8lOkRJ_normal.jpg","View")</f>
        <v>View</v>
      </c>
      <c r="P3872" s="7"/>
    </row>
    <row r="3873" spans="1:16">
      <c r="A3873" s="3">
        <v>43912.048993055556</v>
      </c>
      <c r="B3873" s="4" t="str">
        <f>HYPERLINK("https://twitter.com/petrogustavo","@petrogustavo")</f>
        <v>@petrogustavo</v>
      </c>
      <c r="C3873" s="5" t="s">
        <v>16</v>
      </c>
      <c r="D3873" s="5" t="s">
        <v>3792</v>
      </c>
      <c r="E3873" s="6" t="str">
        <f>HYPERLINK("https://twitter.com/petrogustavo/status/1241449637426454528","1241449637426454528")</f>
        <v>1241449637426454528</v>
      </c>
      <c r="F3873" s="7" t="s">
        <v>17</v>
      </c>
      <c r="G3873" s="7">
        <v>3691945</v>
      </c>
      <c r="H3873" s="7">
        <v>2366</v>
      </c>
      <c r="I3873" s="7">
        <v>110</v>
      </c>
      <c r="J3873" s="7">
        <v>359</v>
      </c>
      <c r="K3873" s="7" t="s">
        <v>18</v>
      </c>
      <c r="L3873" s="8">
        <v>39987.315405092595</v>
      </c>
      <c r="M3873" s="9" t="s">
        <v>19</v>
      </c>
      <c r="N3873" s="9" t="s">
        <v>20</v>
      </c>
      <c r="O3873" s="6" t="str">
        <f>HYPERLINK("https://pbs.twimg.com/profile_images/962471262747529216/Uo8lOkRJ_normal.jpg","View")</f>
        <v>View</v>
      </c>
      <c r="P3873" s="7"/>
    </row>
    <row r="3874" spans="1:16">
      <c r="A3874" s="3">
        <v>43912.051655092597</v>
      </c>
      <c r="B3874" s="4" t="str">
        <f>HYPERLINK("https://twitter.com/petrogustavo","@petrogustavo")</f>
        <v>@petrogustavo</v>
      </c>
      <c r="C3874" s="5" t="s">
        <v>16</v>
      </c>
      <c r="D3874" s="5" t="s">
        <v>3793</v>
      </c>
      <c r="E3874" s="6" t="str">
        <f>HYPERLINK("https://twitter.com/petrogustavo/status/1241450602862981120","1241450602862981120")</f>
        <v>1241450602862981120</v>
      </c>
      <c r="F3874" s="7" t="s">
        <v>17</v>
      </c>
      <c r="G3874" s="7">
        <v>3691945</v>
      </c>
      <c r="H3874" s="7">
        <v>2366</v>
      </c>
      <c r="I3874" s="7">
        <v>2594</v>
      </c>
      <c r="J3874" s="7">
        <v>0</v>
      </c>
      <c r="K3874" s="7" t="s">
        <v>18</v>
      </c>
      <c r="L3874" s="8">
        <v>39987.315405092595</v>
      </c>
      <c r="M3874" s="9" t="s">
        <v>19</v>
      </c>
      <c r="N3874" s="9" t="s">
        <v>20</v>
      </c>
      <c r="O3874" s="6" t="str">
        <f>HYPERLINK("https://pbs.twimg.com/profile_images/962471262747529216/Uo8lOkRJ_normal.jpg","View")</f>
        <v>View</v>
      </c>
      <c r="P3874" s="7"/>
    </row>
    <row r="3875" spans="1:16">
      <c r="A3875" s="3">
        <v>43912.054131944446</v>
      </c>
      <c r="B3875" s="4" t="str">
        <f>HYPERLINK("https://twitter.com/petrogustavo","@petrogustavo")</f>
        <v>@petrogustavo</v>
      </c>
      <c r="C3875" s="5" t="s">
        <v>16</v>
      </c>
      <c r="D3875" s="5" t="s">
        <v>3794</v>
      </c>
      <c r="E3875" s="6" t="str">
        <f>HYPERLINK("https://twitter.com/petrogustavo/status/1241451502293659649","1241451502293659649")</f>
        <v>1241451502293659649</v>
      </c>
      <c r="F3875" s="7" t="s">
        <v>17</v>
      </c>
      <c r="G3875" s="7">
        <v>3691945</v>
      </c>
      <c r="H3875" s="7">
        <v>2366</v>
      </c>
      <c r="I3875" s="7">
        <v>192</v>
      </c>
      <c r="J3875" s="7">
        <v>389</v>
      </c>
      <c r="K3875" s="7" t="s">
        <v>18</v>
      </c>
      <c r="L3875" s="8">
        <v>39987.315405092595</v>
      </c>
      <c r="M3875" s="9" t="s">
        <v>19</v>
      </c>
      <c r="N3875" s="9" t="s">
        <v>20</v>
      </c>
      <c r="O3875" s="6" t="str">
        <f>HYPERLINK("https://pbs.twimg.com/profile_images/962471262747529216/Uo8lOkRJ_normal.jpg","View")</f>
        <v>View</v>
      </c>
      <c r="P3875" s="7"/>
    </row>
    <row r="3876" spans="1:16">
      <c r="A3876" s="3">
        <v>43912.055335648147</v>
      </c>
      <c r="B3876" s="4" t="str">
        <f>HYPERLINK("https://twitter.com/petrogustavo","@petrogustavo")</f>
        <v>@petrogustavo</v>
      </c>
      <c r="C3876" s="5" t="s">
        <v>16</v>
      </c>
      <c r="D3876" s="4" t="s">
        <v>3795</v>
      </c>
      <c r="E3876" s="6" t="str">
        <f>HYPERLINK("https://twitter.com/petrogustavo/status/1241451935137517574","1241451935137517574")</f>
        <v>1241451935137517574</v>
      </c>
      <c r="F3876" s="7" t="s">
        <v>17</v>
      </c>
      <c r="G3876" s="7">
        <v>3691945</v>
      </c>
      <c r="H3876" s="7">
        <v>2366</v>
      </c>
      <c r="I3876" s="7">
        <v>57</v>
      </c>
      <c r="J3876" s="7">
        <v>120</v>
      </c>
      <c r="K3876" s="7" t="s">
        <v>18</v>
      </c>
      <c r="L3876" s="8">
        <v>39987.315405092595</v>
      </c>
      <c r="M3876" s="9" t="s">
        <v>19</v>
      </c>
      <c r="N3876" s="9" t="s">
        <v>20</v>
      </c>
      <c r="O3876" s="6" t="str">
        <f>HYPERLINK("https://pbs.twimg.com/profile_images/962471262747529216/Uo8lOkRJ_normal.jpg","View")</f>
        <v>View</v>
      </c>
      <c r="P3876" s="7"/>
    </row>
    <row r="3877" spans="1:16">
      <c r="A3877" s="3">
        <v>43912.055462962962</v>
      </c>
      <c r="B3877" s="4" t="str">
        <f>HYPERLINK("https://twitter.com/petrogustavo","@petrogustavo")</f>
        <v>@petrogustavo</v>
      </c>
      <c r="C3877" s="5" t="s">
        <v>16</v>
      </c>
      <c r="D3877" s="4" t="s">
        <v>3796</v>
      </c>
      <c r="E3877" s="6" t="str">
        <f>HYPERLINK("https://twitter.com/petrogustavo/status/1241451984672129027","1241451984672129027")</f>
        <v>1241451984672129027</v>
      </c>
      <c r="F3877" s="7" t="s">
        <v>17</v>
      </c>
      <c r="G3877" s="7">
        <v>3691945</v>
      </c>
      <c r="H3877" s="7">
        <v>2366</v>
      </c>
      <c r="I3877" s="7">
        <v>60</v>
      </c>
      <c r="J3877" s="7">
        <v>113</v>
      </c>
      <c r="K3877" s="7" t="s">
        <v>18</v>
      </c>
      <c r="L3877" s="8">
        <v>39987.315405092595</v>
      </c>
      <c r="M3877" s="9" t="s">
        <v>19</v>
      </c>
      <c r="N3877" s="9" t="s">
        <v>20</v>
      </c>
      <c r="O3877" s="6" t="str">
        <f>HYPERLINK("https://pbs.twimg.com/profile_images/962471262747529216/Uo8lOkRJ_normal.jpg","View")</f>
        <v>View</v>
      </c>
      <c r="P3877" s="7"/>
    </row>
    <row r="3878" spans="1:16">
      <c r="A3878" s="3">
        <v>43912.055625000001</v>
      </c>
      <c r="B3878" s="4" t="str">
        <f>HYPERLINK("https://twitter.com/petrogustavo","@petrogustavo")</f>
        <v>@petrogustavo</v>
      </c>
      <c r="C3878" s="5" t="s">
        <v>16</v>
      </c>
      <c r="D3878" s="4" t="s">
        <v>3797</v>
      </c>
      <c r="E3878" s="6" t="str">
        <f>HYPERLINK("https://twitter.com/petrogustavo/status/1241452043660910592","1241452043660910592")</f>
        <v>1241452043660910592</v>
      </c>
      <c r="F3878" s="7" t="s">
        <v>17</v>
      </c>
      <c r="G3878" s="7">
        <v>3691945</v>
      </c>
      <c r="H3878" s="7">
        <v>2366</v>
      </c>
      <c r="I3878" s="7">
        <v>34</v>
      </c>
      <c r="J3878" s="7">
        <v>50</v>
      </c>
      <c r="K3878" s="7" t="s">
        <v>18</v>
      </c>
      <c r="L3878" s="8">
        <v>39987.315405092595</v>
      </c>
      <c r="M3878" s="9" t="s">
        <v>19</v>
      </c>
      <c r="N3878" s="9" t="s">
        <v>20</v>
      </c>
      <c r="O3878" s="6" t="str">
        <f>HYPERLINK("https://pbs.twimg.com/profile_images/962471262747529216/Uo8lOkRJ_normal.jpg","View")</f>
        <v>View</v>
      </c>
      <c r="P3878" s="7"/>
    </row>
    <row r="3879" spans="1:16">
      <c r="A3879" s="3">
        <v>43912.055810185186</v>
      </c>
      <c r="B3879" s="4" t="str">
        <f>HYPERLINK("https://twitter.com/petrogustavo","@petrogustavo")</f>
        <v>@petrogustavo</v>
      </c>
      <c r="C3879" s="5" t="s">
        <v>16</v>
      </c>
      <c r="D3879" s="4" t="s">
        <v>3798</v>
      </c>
      <c r="E3879" s="6" t="str">
        <f>HYPERLINK("https://twitter.com/petrogustavo/status/1241452108890746881","1241452108890746881")</f>
        <v>1241452108890746881</v>
      </c>
      <c r="F3879" s="7" t="s">
        <v>17</v>
      </c>
      <c r="G3879" s="7">
        <v>3691945</v>
      </c>
      <c r="H3879" s="7">
        <v>2366</v>
      </c>
      <c r="I3879" s="7">
        <v>21</v>
      </c>
      <c r="J3879" s="7">
        <v>42</v>
      </c>
      <c r="K3879" s="7" t="s">
        <v>18</v>
      </c>
      <c r="L3879" s="8">
        <v>39987.315405092595</v>
      </c>
      <c r="M3879" s="9" t="s">
        <v>19</v>
      </c>
      <c r="N3879" s="9" t="s">
        <v>20</v>
      </c>
      <c r="O3879" s="6" t="str">
        <f>HYPERLINK("https://pbs.twimg.com/profile_images/962471262747529216/Uo8lOkRJ_normal.jpg","View")</f>
        <v>View</v>
      </c>
      <c r="P3879" s="7"/>
    </row>
    <row r="3880" spans="1:16">
      <c r="A3880" s="3">
        <v>43912.056087962963</v>
      </c>
      <c r="B3880" s="4" t="str">
        <f>HYPERLINK("https://twitter.com/petrogustavo","@petrogustavo")</f>
        <v>@petrogustavo</v>
      </c>
      <c r="C3880" s="5" t="s">
        <v>16</v>
      </c>
      <c r="D3880" s="4" t="s">
        <v>3799</v>
      </c>
      <c r="E3880" s="6" t="str">
        <f>HYPERLINK("https://twitter.com/petrogustavo/status/1241452209197506565","1241452209197506565")</f>
        <v>1241452209197506565</v>
      </c>
      <c r="F3880" s="7" t="s">
        <v>17</v>
      </c>
      <c r="G3880" s="7">
        <v>3691945</v>
      </c>
      <c r="H3880" s="7">
        <v>2366</v>
      </c>
      <c r="I3880" s="7">
        <v>31</v>
      </c>
      <c r="J3880" s="7">
        <v>60</v>
      </c>
      <c r="K3880" s="7" t="s">
        <v>18</v>
      </c>
      <c r="L3880" s="8">
        <v>39987.315405092595</v>
      </c>
      <c r="M3880" s="9" t="s">
        <v>19</v>
      </c>
      <c r="N3880" s="9" t="s">
        <v>20</v>
      </c>
      <c r="O3880" s="6" t="str">
        <f>HYPERLINK("https://pbs.twimg.com/profile_images/962471262747529216/Uo8lOkRJ_normal.jpg","View")</f>
        <v>View</v>
      </c>
      <c r="P3880" s="7"/>
    </row>
    <row r="3881" spans="1:16">
      <c r="A3881" s="3">
        <v>43912.056273148148</v>
      </c>
      <c r="B3881" s="4" t="str">
        <f>HYPERLINK("https://twitter.com/petrogustavo","@petrogustavo")</f>
        <v>@petrogustavo</v>
      </c>
      <c r="C3881" s="5" t="s">
        <v>16</v>
      </c>
      <c r="D3881" s="4" t="s">
        <v>3800</v>
      </c>
      <c r="E3881" s="6" t="str">
        <f>HYPERLINK("https://twitter.com/petrogustavo/status/1241452275182305285","1241452275182305285")</f>
        <v>1241452275182305285</v>
      </c>
      <c r="F3881" s="7" t="s">
        <v>17</v>
      </c>
      <c r="G3881" s="7">
        <v>3691945</v>
      </c>
      <c r="H3881" s="7">
        <v>2366</v>
      </c>
      <c r="I3881" s="7">
        <v>27</v>
      </c>
      <c r="J3881" s="7">
        <v>50</v>
      </c>
      <c r="K3881" s="7" t="s">
        <v>18</v>
      </c>
      <c r="L3881" s="8">
        <v>39987.315405092595</v>
      </c>
      <c r="M3881" s="9" t="s">
        <v>19</v>
      </c>
      <c r="N3881" s="9" t="s">
        <v>20</v>
      </c>
      <c r="O3881" s="6" t="str">
        <f>HYPERLINK("https://pbs.twimg.com/profile_images/962471262747529216/Uo8lOkRJ_normal.jpg","View")</f>
        <v>View</v>
      </c>
      <c r="P3881" s="7"/>
    </row>
    <row r="3882" spans="1:16">
      <c r="A3882" s="3">
        <v>43912.056527777779</v>
      </c>
      <c r="B3882" s="4" t="str">
        <f>HYPERLINK("https://twitter.com/petrogustavo","@petrogustavo")</f>
        <v>@petrogustavo</v>
      </c>
      <c r="C3882" s="5" t="s">
        <v>16</v>
      </c>
      <c r="D3882" s="4" t="s">
        <v>3801</v>
      </c>
      <c r="E3882" s="6" t="str">
        <f>HYPERLINK("https://twitter.com/petrogustavo/status/1241452368165822464","1241452368165822464")</f>
        <v>1241452368165822464</v>
      </c>
      <c r="F3882" s="7" t="s">
        <v>17</v>
      </c>
      <c r="G3882" s="7">
        <v>3691945</v>
      </c>
      <c r="H3882" s="7">
        <v>2366</v>
      </c>
      <c r="I3882" s="7">
        <v>21</v>
      </c>
      <c r="J3882" s="7">
        <v>44</v>
      </c>
      <c r="K3882" s="7" t="s">
        <v>18</v>
      </c>
      <c r="L3882" s="8">
        <v>39987.315405092595</v>
      </c>
      <c r="M3882" s="9" t="s">
        <v>19</v>
      </c>
      <c r="N3882" s="9" t="s">
        <v>20</v>
      </c>
      <c r="O3882" s="6" t="str">
        <f>HYPERLINK("https://pbs.twimg.com/profile_images/962471262747529216/Uo8lOkRJ_normal.jpg","View")</f>
        <v>View</v>
      </c>
      <c r="P3882" s="7"/>
    </row>
    <row r="3883" spans="1:16">
      <c r="A3883" s="3">
        <v>43912.056724537033</v>
      </c>
      <c r="B3883" s="4" t="str">
        <f>HYPERLINK("https://twitter.com/petrogustavo","@petrogustavo")</f>
        <v>@petrogustavo</v>
      </c>
      <c r="C3883" s="5" t="s">
        <v>16</v>
      </c>
      <c r="D3883" s="4" t="s">
        <v>3802</v>
      </c>
      <c r="E3883" s="6" t="str">
        <f>HYPERLINK("https://twitter.com/petrogustavo/status/1241452442019119105","1241452442019119105")</f>
        <v>1241452442019119105</v>
      </c>
      <c r="F3883" s="7" t="s">
        <v>17</v>
      </c>
      <c r="G3883" s="7">
        <v>3691945</v>
      </c>
      <c r="H3883" s="7">
        <v>2366</v>
      </c>
      <c r="I3883" s="7">
        <v>20</v>
      </c>
      <c r="J3883" s="7">
        <v>41</v>
      </c>
      <c r="K3883" s="7" t="s">
        <v>18</v>
      </c>
      <c r="L3883" s="8">
        <v>39987.315405092595</v>
      </c>
      <c r="M3883" s="9" t="s">
        <v>19</v>
      </c>
      <c r="N3883" s="9" t="s">
        <v>20</v>
      </c>
      <c r="O3883" s="6" t="str">
        <f>HYPERLINK("https://pbs.twimg.com/profile_images/962471262747529216/Uo8lOkRJ_normal.jpg","View")</f>
        <v>View</v>
      </c>
      <c r="P3883" s="7"/>
    </row>
    <row r="3884" spans="1:16">
      <c r="A3884" s="3">
        <v>43912.056932870371</v>
      </c>
      <c r="B3884" s="4" t="str">
        <f>HYPERLINK("https://twitter.com/petrogustavo","@petrogustavo")</f>
        <v>@petrogustavo</v>
      </c>
      <c r="C3884" s="5" t="s">
        <v>16</v>
      </c>
      <c r="D3884" s="4" t="s">
        <v>3803</v>
      </c>
      <c r="E3884" s="6" t="str">
        <f>HYPERLINK("https://twitter.com/petrogustavo/status/1241452517386526720","1241452517386526720")</f>
        <v>1241452517386526720</v>
      </c>
      <c r="F3884" s="7" t="s">
        <v>17</v>
      </c>
      <c r="G3884" s="7">
        <v>3691945</v>
      </c>
      <c r="H3884" s="7">
        <v>2366</v>
      </c>
      <c r="I3884" s="7">
        <v>20</v>
      </c>
      <c r="J3884" s="7">
        <v>32</v>
      </c>
      <c r="K3884" s="7" t="s">
        <v>18</v>
      </c>
      <c r="L3884" s="8">
        <v>39987.315405092595</v>
      </c>
      <c r="M3884" s="9" t="s">
        <v>19</v>
      </c>
      <c r="N3884" s="9" t="s">
        <v>20</v>
      </c>
      <c r="O3884" s="6" t="str">
        <f>HYPERLINK("https://pbs.twimg.com/profile_images/962471262747529216/Uo8lOkRJ_normal.jpg","View")</f>
        <v>View</v>
      </c>
      <c r="P3884" s="7"/>
    </row>
    <row r="3885" spans="1:16">
      <c r="A3885" s="3">
        <v>43912.057175925926</v>
      </c>
      <c r="B3885" s="4" t="str">
        <f>HYPERLINK("https://twitter.com/petrogustavo","@petrogustavo")</f>
        <v>@petrogustavo</v>
      </c>
      <c r="C3885" s="5" t="s">
        <v>16</v>
      </c>
      <c r="D3885" s="5" t="s">
        <v>3804</v>
      </c>
      <c r="E3885" s="6" t="str">
        <f>HYPERLINK("https://twitter.com/petrogustavo/status/1241452604867186692","1241452604867186692")</f>
        <v>1241452604867186692</v>
      </c>
      <c r="F3885" s="7" t="s">
        <v>17</v>
      </c>
      <c r="G3885" s="7">
        <v>3691945</v>
      </c>
      <c r="H3885" s="7">
        <v>2366</v>
      </c>
      <c r="I3885" s="7">
        <v>192</v>
      </c>
      <c r="J3885" s="7">
        <v>0</v>
      </c>
      <c r="K3885" s="7" t="s">
        <v>18</v>
      </c>
      <c r="L3885" s="8">
        <v>39987.315405092595</v>
      </c>
      <c r="M3885" s="9" t="s">
        <v>19</v>
      </c>
      <c r="N3885" s="9" t="s">
        <v>20</v>
      </c>
      <c r="O3885" s="6" t="str">
        <f>HYPERLINK("https://pbs.twimg.com/profile_images/962471262747529216/Uo8lOkRJ_normal.jpg","View")</f>
        <v>View</v>
      </c>
      <c r="P3885" s="7"/>
    </row>
    <row r="3886" spans="1:16">
      <c r="A3886" s="3">
        <v>43912.063252314816</v>
      </c>
      <c r="B3886" s="4" t="str">
        <f>HYPERLINK("https://twitter.com/petrogustavo","@petrogustavo")</f>
        <v>@petrogustavo</v>
      </c>
      <c r="C3886" s="5" t="s">
        <v>16</v>
      </c>
      <c r="D3886" s="5" t="s">
        <v>3805</v>
      </c>
      <c r="E3886" s="6" t="str">
        <f>HYPERLINK("https://twitter.com/petrogustavo/status/1241454804905443329","1241454804905443329")</f>
        <v>1241454804905443329</v>
      </c>
      <c r="F3886" s="7" t="s">
        <v>17</v>
      </c>
      <c r="G3886" s="7">
        <v>3691945</v>
      </c>
      <c r="H3886" s="7">
        <v>2366</v>
      </c>
      <c r="I3886" s="7">
        <v>6158</v>
      </c>
      <c r="J3886" s="7">
        <v>0</v>
      </c>
      <c r="K3886" s="7" t="s">
        <v>18</v>
      </c>
      <c r="L3886" s="8">
        <v>39987.315405092595</v>
      </c>
      <c r="M3886" s="9" t="s">
        <v>19</v>
      </c>
      <c r="N3886" s="9" t="s">
        <v>20</v>
      </c>
      <c r="O3886" s="6" t="str">
        <f>HYPERLINK("https://pbs.twimg.com/profile_images/962471262747529216/Uo8lOkRJ_normal.jpg","View")</f>
        <v>View</v>
      </c>
      <c r="P3886" s="7"/>
    </row>
    <row r="3887" spans="1:16">
      <c r="A3887" s="3">
        <v>43912.085844907408</v>
      </c>
      <c r="B3887" s="4" t="str">
        <f>HYPERLINK("https://twitter.com/petrogustavo","@petrogustavo")</f>
        <v>@petrogustavo</v>
      </c>
      <c r="C3887" s="5" t="s">
        <v>16</v>
      </c>
      <c r="D3887" s="5" t="s">
        <v>3806</v>
      </c>
      <c r="E3887" s="6" t="str">
        <f>HYPERLINK("https://twitter.com/petrogustavo/status/1241462992065171459","1241462992065171459")</f>
        <v>1241462992065171459</v>
      </c>
      <c r="F3887" s="7" t="s">
        <v>17</v>
      </c>
      <c r="G3887" s="7">
        <v>3692280</v>
      </c>
      <c r="H3887" s="7">
        <v>2366</v>
      </c>
      <c r="I3887" s="7">
        <v>311</v>
      </c>
      <c r="J3887" s="7">
        <v>0</v>
      </c>
      <c r="K3887" s="7" t="s">
        <v>18</v>
      </c>
      <c r="L3887" s="8">
        <v>39987.315405092595</v>
      </c>
      <c r="M3887" s="9" t="s">
        <v>19</v>
      </c>
      <c r="N3887" s="9" t="s">
        <v>20</v>
      </c>
      <c r="O3887" s="6" t="str">
        <f>HYPERLINK("https://pbs.twimg.com/profile_images/962471262747529216/Uo8lOkRJ_normal.jpg","View")</f>
        <v>View</v>
      </c>
      <c r="P3887" s="7"/>
    </row>
    <row r="3888" spans="1:16">
      <c r="A3888" s="3">
        <v>43912.105185185181</v>
      </c>
      <c r="B3888" s="4" t="str">
        <f>HYPERLINK("https://twitter.com/petrogustavo","@petrogustavo")</f>
        <v>@petrogustavo</v>
      </c>
      <c r="C3888" s="5" t="s">
        <v>16</v>
      </c>
      <c r="D3888" s="5" t="s">
        <v>3807</v>
      </c>
      <c r="E3888" s="6" t="str">
        <f>HYPERLINK("https://twitter.com/petrogustavo/status/1241470003129483265","1241470003129483265")</f>
        <v>1241470003129483265</v>
      </c>
      <c r="F3888" s="7" t="s">
        <v>17</v>
      </c>
      <c r="G3888" s="7">
        <v>3692280</v>
      </c>
      <c r="H3888" s="7">
        <v>2366</v>
      </c>
      <c r="I3888" s="7">
        <v>5</v>
      </c>
      <c r="J3888" s="7">
        <v>26</v>
      </c>
      <c r="K3888" s="7" t="s">
        <v>18</v>
      </c>
      <c r="L3888" s="8">
        <v>39987.315405092595</v>
      </c>
      <c r="M3888" s="9" t="s">
        <v>19</v>
      </c>
      <c r="N3888" s="9" t="s">
        <v>20</v>
      </c>
      <c r="O3888" s="6" t="str">
        <f>HYPERLINK("https://pbs.twimg.com/profile_images/962471262747529216/Uo8lOkRJ_normal.jpg","View")</f>
        <v>View</v>
      </c>
      <c r="P3888" s="7"/>
    </row>
    <row r="3889" spans="1:16">
      <c r="A3889" s="3">
        <v>43912.152881944443</v>
      </c>
      <c r="B3889" s="4" t="str">
        <f>HYPERLINK("https://twitter.com/petrogustavo","@petrogustavo")</f>
        <v>@petrogustavo</v>
      </c>
      <c r="C3889" s="5" t="s">
        <v>16</v>
      </c>
      <c r="D3889" s="5" t="s">
        <v>3808</v>
      </c>
      <c r="E3889" s="6" t="str">
        <f>HYPERLINK("https://twitter.com/petrogustavo/status/1241487286413516800","1241487286413516800")</f>
        <v>1241487286413516800</v>
      </c>
      <c r="F3889" s="7" t="s">
        <v>17</v>
      </c>
      <c r="G3889" s="7">
        <v>3692789</v>
      </c>
      <c r="H3889" s="7">
        <v>2366</v>
      </c>
      <c r="I3889" s="7">
        <v>38</v>
      </c>
      <c r="J3889" s="7">
        <v>0</v>
      </c>
      <c r="K3889" s="7" t="s">
        <v>18</v>
      </c>
      <c r="L3889" s="8">
        <v>39987.315405092595</v>
      </c>
      <c r="M3889" s="9" t="s">
        <v>19</v>
      </c>
      <c r="N3889" s="9" t="s">
        <v>20</v>
      </c>
      <c r="O3889" s="6" t="str">
        <f>HYPERLINK("https://pbs.twimg.com/profile_images/962471262747529216/Uo8lOkRJ_normal.jpg","View")</f>
        <v>View</v>
      </c>
      <c r="P3889" s="7"/>
    </row>
    <row r="3890" spans="1:16">
      <c r="A3890" s="3">
        <v>43912.156469907408</v>
      </c>
      <c r="B3890" s="4" t="str">
        <f>HYPERLINK("https://twitter.com/petrogustavo","@petrogustavo")</f>
        <v>@petrogustavo</v>
      </c>
      <c r="C3890" s="5" t="s">
        <v>16</v>
      </c>
      <c r="D3890" s="5" t="s">
        <v>3805</v>
      </c>
      <c r="E3890" s="6" t="str">
        <f>HYPERLINK("https://twitter.com/petrogustavo/status/1241488588258390016","1241488588258390016")</f>
        <v>1241488588258390016</v>
      </c>
      <c r="F3890" s="7" t="s">
        <v>17</v>
      </c>
      <c r="G3890" s="7">
        <v>3692789</v>
      </c>
      <c r="H3890" s="7">
        <v>2366</v>
      </c>
      <c r="I3890" s="7">
        <v>6774</v>
      </c>
      <c r="J3890" s="7">
        <v>0</v>
      </c>
      <c r="K3890" s="7" t="s">
        <v>18</v>
      </c>
      <c r="L3890" s="8">
        <v>39987.315405092595</v>
      </c>
      <c r="M3890" s="9" t="s">
        <v>19</v>
      </c>
      <c r="N3890" s="9" t="s">
        <v>20</v>
      </c>
      <c r="O3890" s="6" t="str">
        <f>HYPERLINK("https://pbs.twimg.com/profile_images/962471262747529216/Uo8lOkRJ_normal.jpg","View")</f>
        <v>View</v>
      </c>
      <c r="P3890" s="7"/>
    </row>
    <row r="3891" spans="1:16">
      <c r="A3891" s="3">
        <v>43912.209189814814</v>
      </c>
      <c r="B3891" s="4" t="str">
        <f>HYPERLINK("https://twitter.com/petrogustavo","@petrogustavo")</f>
        <v>@petrogustavo</v>
      </c>
      <c r="C3891" s="5" t="s">
        <v>16</v>
      </c>
      <c r="D3891" s="5" t="s">
        <v>3809</v>
      </c>
      <c r="E3891" s="6" t="str">
        <f>HYPERLINK("https://twitter.com/petrogustavo/status/1241507691081728000","1241507691081728000")</f>
        <v>1241507691081728000</v>
      </c>
      <c r="F3891" s="7" t="s">
        <v>17</v>
      </c>
      <c r="G3891" s="7">
        <v>3693062</v>
      </c>
      <c r="H3891" s="7">
        <v>2366</v>
      </c>
      <c r="I3891" s="7">
        <v>18</v>
      </c>
      <c r="J3891" s="7">
        <v>0</v>
      </c>
      <c r="K3891" s="7" t="s">
        <v>18</v>
      </c>
      <c r="L3891" s="8">
        <v>39987.315405092595</v>
      </c>
      <c r="M3891" s="9" t="s">
        <v>19</v>
      </c>
      <c r="N3891" s="9" t="s">
        <v>20</v>
      </c>
      <c r="O3891" s="6" t="str">
        <f>HYPERLINK("https://pbs.twimg.com/profile_images/962471262747529216/Uo8lOkRJ_normal.jpg","View")</f>
        <v>View</v>
      </c>
      <c r="P3891" s="7"/>
    </row>
    <row r="3892" spans="1:16">
      <c r="A3892" s="3">
        <v>43912.212245370371</v>
      </c>
      <c r="B3892" s="4" t="str">
        <f>HYPERLINK("https://twitter.com/petrogustavo","@petrogustavo")</f>
        <v>@petrogustavo</v>
      </c>
      <c r="C3892" s="5" t="s">
        <v>16</v>
      </c>
      <c r="D3892" s="5" t="s">
        <v>3810</v>
      </c>
      <c r="E3892" s="6" t="str">
        <f>HYPERLINK("https://twitter.com/petrogustavo/status/1241508799309021185","1241508799309021185")</f>
        <v>1241508799309021185</v>
      </c>
      <c r="F3892" s="7" t="s">
        <v>17</v>
      </c>
      <c r="G3892" s="7">
        <v>3693246</v>
      </c>
      <c r="H3892" s="7">
        <v>2366</v>
      </c>
      <c r="I3892" s="7">
        <v>171</v>
      </c>
      <c r="J3892" s="7">
        <v>257</v>
      </c>
      <c r="K3892" s="7" t="s">
        <v>18</v>
      </c>
      <c r="L3892" s="8">
        <v>39987.315405092595</v>
      </c>
      <c r="M3892" s="9" t="s">
        <v>19</v>
      </c>
      <c r="N3892" s="9" t="s">
        <v>20</v>
      </c>
      <c r="O3892" s="6" t="str">
        <f>HYPERLINK("https://pbs.twimg.com/profile_images/962471262747529216/Uo8lOkRJ_normal.jpg","View")</f>
        <v>View</v>
      </c>
      <c r="P3892" s="7"/>
    </row>
    <row r="3893" spans="1:16">
      <c r="A3893" s="3">
        <v>43912.219155092593</v>
      </c>
      <c r="B3893" s="4" t="str">
        <f>HYPERLINK("https://twitter.com/petrogustavo","@petrogustavo")</f>
        <v>@petrogustavo</v>
      </c>
      <c r="C3893" s="5" t="s">
        <v>16</v>
      </c>
      <c r="D3893" s="5" t="s">
        <v>3811</v>
      </c>
      <c r="E3893" s="6" t="str">
        <f>HYPERLINK("https://twitter.com/petrogustavo/status/1241511301391822850","1241511301391822850")</f>
        <v>1241511301391822850</v>
      </c>
      <c r="F3893" s="7" t="s">
        <v>17</v>
      </c>
      <c r="G3893" s="7">
        <v>3693246</v>
      </c>
      <c r="H3893" s="7">
        <v>2366</v>
      </c>
      <c r="I3893" s="7">
        <v>163</v>
      </c>
      <c r="J3893" s="7">
        <v>446</v>
      </c>
      <c r="K3893" s="7" t="s">
        <v>18</v>
      </c>
      <c r="L3893" s="8">
        <v>39987.315405092595</v>
      </c>
      <c r="M3893" s="9" t="s">
        <v>19</v>
      </c>
      <c r="N3893" s="9" t="s">
        <v>20</v>
      </c>
      <c r="O3893" s="6" t="str">
        <f>HYPERLINK("https://pbs.twimg.com/profile_images/962471262747529216/Uo8lOkRJ_normal.jpg","View")</f>
        <v>View</v>
      </c>
      <c r="P3893" s="7"/>
    </row>
    <row r="3894" spans="1:16">
      <c r="A3894" s="3">
        <v>43912.221574074079</v>
      </c>
      <c r="B3894" s="4" t="str">
        <f>HYPERLINK("https://twitter.com/petrogustavo","@petrogustavo")</f>
        <v>@petrogustavo</v>
      </c>
      <c r="C3894" s="5" t="s">
        <v>16</v>
      </c>
      <c r="D3894" s="5" t="s">
        <v>3812</v>
      </c>
      <c r="E3894" s="6" t="str">
        <f>HYPERLINK("https://twitter.com/petrogustavo/status/1241512178680836096","1241512178680836096")</f>
        <v>1241512178680836096</v>
      </c>
      <c r="F3894" s="7" t="s">
        <v>17</v>
      </c>
      <c r="G3894" s="7">
        <v>3693246</v>
      </c>
      <c r="H3894" s="7">
        <v>2366</v>
      </c>
      <c r="I3894" s="7">
        <v>101</v>
      </c>
      <c r="J3894" s="7">
        <v>251</v>
      </c>
      <c r="K3894" s="7" t="s">
        <v>18</v>
      </c>
      <c r="L3894" s="8">
        <v>39987.315405092595</v>
      </c>
      <c r="M3894" s="9" t="s">
        <v>19</v>
      </c>
      <c r="N3894" s="9" t="s">
        <v>20</v>
      </c>
      <c r="O3894" s="6" t="str">
        <f>HYPERLINK("https://pbs.twimg.com/profile_images/962471262747529216/Uo8lOkRJ_normal.jpg","View")</f>
        <v>View</v>
      </c>
      <c r="P3894" s="7"/>
    </row>
    <row r="3895" spans="1:16">
      <c r="A3895" s="3">
        <v>43912.229571759264</v>
      </c>
      <c r="B3895" s="4" t="str">
        <f>HYPERLINK("https://twitter.com/petrogustavo","@petrogustavo")</f>
        <v>@petrogustavo</v>
      </c>
      <c r="C3895" s="5" t="s">
        <v>16</v>
      </c>
      <c r="D3895" s="5" t="s">
        <v>3813</v>
      </c>
      <c r="E3895" s="6" t="str">
        <f>HYPERLINK("https://twitter.com/petrogustavo/status/1241515078165422080","1241515078165422080")</f>
        <v>1241515078165422080</v>
      </c>
      <c r="F3895" s="7" t="s">
        <v>17</v>
      </c>
      <c r="G3895" s="7">
        <v>3693246</v>
      </c>
      <c r="H3895" s="7">
        <v>2366</v>
      </c>
      <c r="I3895" s="7">
        <v>26</v>
      </c>
      <c r="J3895" s="7">
        <v>60</v>
      </c>
      <c r="K3895" s="7" t="s">
        <v>18</v>
      </c>
      <c r="L3895" s="8">
        <v>39987.315405092595</v>
      </c>
      <c r="M3895" s="9" t="s">
        <v>19</v>
      </c>
      <c r="N3895" s="9" t="s">
        <v>20</v>
      </c>
      <c r="O3895" s="6" t="str">
        <f>HYPERLINK("https://pbs.twimg.com/profile_images/962471262747529216/Uo8lOkRJ_normal.jpg","View")</f>
        <v>View</v>
      </c>
      <c r="P3895" s="7"/>
    </row>
    <row r="3896" spans="1:16">
      <c r="A3896" s="3">
        <v>43912.232905092591</v>
      </c>
      <c r="B3896" s="4" t="str">
        <f>HYPERLINK("https://twitter.com/petrogustavo","@petrogustavo")</f>
        <v>@petrogustavo</v>
      </c>
      <c r="C3896" s="5" t="s">
        <v>16</v>
      </c>
      <c r="D3896" s="5" t="s">
        <v>3814</v>
      </c>
      <c r="E3896" s="6" t="str">
        <f>HYPERLINK("https://twitter.com/petrogustavo/status/1241516287186145280","1241516287186145280")</f>
        <v>1241516287186145280</v>
      </c>
      <c r="F3896" s="7" t="s">
        <v>17</v>
      </c>
      <c r="G3896" s="7">
        <v>3693411</v>
      </c>
      <c r="H3896" s="7">
        <v>2366</v>
      </c>
      <c r="I3896" s="7">
        <v>174</v>
      </c>
      <c r="J3896" s="7">
        <v>389</v>
      </c>
      <c r="K3896" s="7" t="s">
        <v>18</v>
      </c>
      <c r="L3896" s="8">
        <v>39987.315405092595</v>
      </c>
      <c r="M3896" s="9" t="s">
        <v>19</v>
      </c>
      <c r="N3896" s="9" t="s">
        <v>20</v>
      </c>
      <c r="O3896" s="6" t="str">
        <f>HYPERLINK("https://pbs.twimg.com/profile_images/962471262747529216/Uo8lOkRJ_normal.jpg","View")</f>
        <v>View</v>
      </c>
      <c r="P3896" s="7"/>
    </row>
    <row r="3897" spans="1:16">
      <c r="A3897" s="3">
        <v>43912.235509259262</v>
      </c>
      <c r="B3897" s="4" t="str">
        <f>HYPERLINK("https://twitter.com/petrogustavo","@petrogustavo")</f>
        <v>@petrogustavo</v>
      </c>
      <c r="C3897" s="5" t="s">
        <v>16</v>
      </c>
      <c r="D3897" s="5" t="s">
        <v>3815</v>
      </c>
      <c r="E3897" s="6" t="str">
        <f>HYPERLINK("https://twitter.com/petrogustavo/status/1241517229444907008","1241517229444907008")</f>
        <v>1241517229444907008</v>
      </c>
      <c r="F3897" s="7" t="s">
        <v>17</v>
      </c>
      <c r="G3897" s="7">
        <v>3693411</v>
      </c>
      <c r="H3897" s="7">
        <v>2366</v>
      </c>
      <c r="I3897" s="7">
        <v>301</v>
      </c>
      <c r="J3897" s="7">
        <v>0</v>
      </c>
      <c r="K3897" s="7" t="s">
        <v>18</v>
      </c>
      <c r="L3897" s="8">
        <v>39987.315405092595</v>
      </c>
      <c r="M3897" s="9" t="s">
        <v>19</v>
      </c>
      <c r="N3897" s="9" t="s">
        <v>20</v>
      </c>
      <c r="O3897" s="6" t="str">
        <f>HYPERLINK("https://pbs.twimg.com/profile_images/962471262747529216/Uo8lOkRJ_normal.jpg","View")</f>
        <v>View</v>
      </c>
      <c r="P3897" s="7"/>
    </row>
    <row r="3898" spans="1:16">
      <c r="A3898" s="3">
        <v>43912.250578703708</v>
      </c>
      <c r="B3898" s="4" t="str">
        <f>HYPERLINK("https://twitter.com/petrogustavo","@petrogustavo")</f>
        <v>@petrogustavo</v>
      </c>
      <c r="C3898" s="5" t="s">
        <v>16</v>
      </c>
      <c r="D3898" s="5" t="s">
        <v>3816</v>
      </c>
      <c r="E3898" s="6" t="str">
        <f>HYPERLINK("https://twitter.com/petrogustavo/status/1241522691196088321","1241522691196088321")</f>
        <v>1241522691196088321</v>
      </c>
      <c r="F3898" s="7" t="s">
        <v>17</v>
      </c>
      <c r="G3898" s="7">
        <v>3693411</v>
      </c>
      <c r="H3898" s="7">
        <v>2366</v>
      </c>
      <c r="I3898" s="7">
        <v>32</v>
      </c>
      <c r="J3898" s="7">
        <v>81</v>
      </c>
      <c r="K3898" s="7" t="s">
        <v>18</v>
      </c>
      <c r="L3898" s="8">
        <v>39987.315405092595</v>
      </c>
      <c r="M3898" s="9" t="s">
        <v>19</v>
      </c>
      <c r="N3898" s="9" t="s">
        <v>20</v>
      </c>
      <c r="O3898" s="6" t="str">
        <f>HYPERLINK("https://pbs.twimg.com/profile_images/962471262747529216/Uo8lOkRJ_normal.jpg","View")</f>
        <v>View</v>
      </c>
      <c r="P3898" s="7"/>
    </row>
    <row r="3899" spans="1:16">
      <c r="A3899" s="3">
        <v>43912.27449074074</v>
      </c>
      <c r="B3899" s="4" t="str">
        <f>HYPERLINK("https://twitter.com/petrogustavo","@petrogustavo")</f>
        <v>@petrogustavo</v>
      </c>
      <c r="C3899" s="5" t="s">
        <v>16</v>
      </c>
      <c r="D3899" s="5" t="s">
        <v>3817</v>
      </c>
      <c r="E3899" s="6" t="str">
        <f>HYPERLINK("https://twitter.com/petrogustavo/status/1241531356309569543","1241531356309569543")</f>
        <v>1241531356309569543</v>
      </c>
      <c r="F3899" s="7" t="s">
        <v>17</v>
      </c>
      <c r="G3899" s="7">
        <v>3693735</v>
      </c>
      <c r="H3899" s="7">
        <v>2366</v>
      </c>
      <c r="I3899" s="7">
        <v>271</v>
      </c>
      <c r="J3899" s="7">
        <v>1041</v>
      </c>
      <c r="K3899" s="7" t="s">
        <v>18</v>
      </c>
      <c r="L3899" s="8">
        <v>39987.315405092595</v>
      </c>
      <c r="M3899" s="9" t="s">
        <v>19</v>
      </c>
      <c r="N3899" s="9" t="s">
        <v>20</v>
      </c>
      <c r="O3899" s="6" t="str">
        <f>HYPERLINK("https://pbs.twimg.com/profile_images/962471262747529216/Uo8lOkRJ_normal.jpg","View")</f>
        <v>View</v>
      </c>
      <c r="P3899" s="7"/>
    </row>
    <row r="3900" spans="1:16">
      <c r="A3900" s="3">
        <v>43912.282129629632</v>
      </c>
      <c r="B3900" s="4" t="str">
        <f>HYPERLINK("https://twitter.com/petrogustavo","@petrogustavo")</f>
        <v>@petrogustavo</v>
      </c>
      <c r="C3900" s="5" t="s">
        <v>16</v>
      </c>
      <c r="D3900" s="5" t="s">
        <v>3818</v>
      </c>
      <c r="E3900" s="6" t="str">
        <f>HYPERLINK("https://twitter.com/petrogustavo/status/1241534123904286728","1241534123904286728")</f>
        <v>1241534123904286728</v>
      </c>
      <c r="F3900" s="7" t="s">
        <v>17</v>
      </c>
      <c r="G3900" s="7">
        <v>3693735</v>
      </c>
      <c r="H3900" s="7">
        <v>2366</v>
      </c>
      <c r="I3900" s="7">
        <v>151</v>
      </c>
      <c r="J3900" s="7">
        <v>610</v>
      </c>
      <c r="K3900" s="7" t="s">
        <v>18</v>
      </c>
      <c r="L3900" s="8">
        <v>39987.315405092595</v>
      </c>
      <c r="M3900" s="9" t="s">
        <v>19</v>
      </c>
      <c r="N3900" s="9" t="s">
        <v>20</v>
      </c>
      <c r="O3900" s="6" t="str">
        <f>HYPERLINK("https://pbs.twimg.com/profile_images/962471262747529216/Uo8lOkRJ_normal.jpg","View")</f>
        <v>View</v>
      </c>
      <c r="P3900" s="7"/>
    </row>
    <row r="3901" spans="1:16">
      <c r="A3901" s="3">
        <v>43912.288321759261</v>
      </c>
      <c r="B3901" s="4" t="str">
        <f>HYPERLINK("https://twitter.com/petrogustavo","@petrogustavo")</f>
        <v>@petrogustavo</v>
      </c>
      <c r="C3901" s="5" t="s">
        <v>16</v>
      </c>
      <c r="D3901" s="5" t="s">
        <v>3819</v>
      </c>
      <c r="E3901" s="6" t="str">
        <f>HYPERLINK("https://twitter.com/petrogustavo/status/1241536369832443904","1241536369832443904")</f>
        <v>1241536369832443904</v>
      </c>
      <c r="F3901" s="7" t="s">
        <v>17</v>
      </c>
      <c r="G3901" s="7">
        <v>3693735</v>
      </c>
      <c r="H3901" s="7">
        <v>2366</v>
      </c>
      <c r="I3901" s="7">
        <v>59</v>
      </c>
      <c r="J3901" s="7">
        <v>246</v>
      </c>
      <c r="K3901" s="7" t="s">
        <v>18</v>
      </c>
      <c r="L3901" s="8">
        <v>39987.315405092595</v>
      </c>
      <c r="M3901" s="9" t="s">
        <v>19</v>
      </c>
      <c r="N3901" s="9" t="s">
        <v>20</v>
      </c>
      <c r="O3901" s="6" t="str">
        <f>HYPERLINK("https://pbs.twimg.com/profile_images/962471262747529216/Uo8lOkRJ_normal.jpg","View")</f>
        <v>View</v>
      </c>
      <c r="P3901" s="7"/>
    </row>
    <row r="3902" spans="1:16">
      <c r="A3902" s="3">
        <v>43912.310902777783</v>
      </c>
      <c r="B3902" s="4" t="str">
        <f>HYPERLINK("https://twitter.com/petrogustavo","@petrogustavo")</f>
        <v>@petrogustavo</v>
      </c>
      <c r="C3902" s="5" t="s">
        <v>16</v>
      </c>
      <c r="D3902" s="5" t="s">
        <v>3820</v>
      </c>
      <c r="E3902" s="6" t="str">
        <f>HYPERLINK("https://twitter.com/petrogustavo/status/1241544553217343490","1241544553217343490")</f>
        <v>1241544553217343490</v>
      </c>
      <c r="F3902" s="7" t="s">
        <v>17</v>
      </c>
      <c r="G3902" s="7">
        <v>3693935</v>
      </c>
      <c r="H3902" s="7">
        <v>2366</v>
      </c>
      <c r="I3902" s="7">
        <v>64</v>
      </c>
      <c r="J3902" s="7">
        <v>194</v>
      </c>
      <c r="K3902" s="7" t="s">
        <v>18</v>
      </c>
      <c r="L3902" s="8">
        <v>39987.315405092595</v>
      </c>
      <c r="M3902" s="9" t="s">
        <v>19</v>
      </c>
      <c r="N3902" s="9" t="s">
        <v>20</v>
      </c>
      <c r="O3902" s="6" t="str">
        <f>HYPERLINK("https://pbs.twimg.com/profile_images/962471262747529216/Uo8lOkRJ_normal.jpg","View")</f>
        <v>View</v>
      </c>
      <c r="P3902" s="7"/>
    </row>
    <row r="3903" spans="1:16">
      <c r="A3903" s="3">
        <v>43912.318599537037</v>
      </c>
      <c r="B3903" s="4" t="str">
        <f>HYPERLINK("https://twitter.com/petrogustavo","@petrogustavo")</f>
        <v>@petrogustavo</v>
      </c>
      <c r="C3903" s="5" t="s">
        <v>16</v>
      </c>
      <c r="D3903" s="5" t="s">
        <v>3821</v>
      </c>
      <c r="E3903" s="6" t="str">
        <f>HYPERLINK("https://twitter.com/petrogustavo/status/1241547341896781827","1241547341896781827")</f>
        <v>1241547341896781827</v>
      </c>
      <c r="F3903" s="7" t="s">
        <v>17</v>
      </c>
      <c r="G3903" s="7">
        <v>3694116</v>
      </c>
      <c r="H3903" s="7">
        <v>2366</v>
      </c>
      <c r="I3903" s="7">
        <v>139</v>
      </c>
      <c r="J3903" s="7">
        <v>305</v>
      </c>
      <c r="K3903" s="7" t="s">
        <v>18</v>
      </c>
      <c r="L3903" s="8">
        <v>39987.315405092595</v>
      </c>
      <c r="M3903" s="9" t="s">
        <v>19</v>
      </c>
      <c r="N3903" s="9" t="s">
        <v>20</v>
      </c>
      <c r="O3903" s="6" t="str">
        <f>HYPERLINK("https://pbs.twimg.com/profile_images/962471262747529216/Uo8lOkRJ_normal.jpg","View")</f>
        <v>View</v>
      </c>
      <c r="P3903" s="7"/>
    </row>
    <row r="3904" spans="1:16">
      <c r="A3904" s="3">
        <v>43912.320833333331</v>
      </c>
      <c r="B3904" s="4" t="str">
        <f>HYPERLINK("https://twitter.com/petrogustavo","@petrogustavo")</f>
        <v>@petrogustavo</v>
      </c>
      <c r="C3904" s="5" t="s">
        <v>16</v>
      </c>
      <c r="D3904" s="5" t="s">
        <v>3822</v>
      </c>
      <c r="E3904" s="6" t="str">
        <f>HYPERLINK("https://twitter.com/petrogustavo/status/1241548149690417152","1241548149690417152")</f>
        <v>1241548149690417152</v>
      </c>
      <c r="F3904" s="7" t="s">
        <v>17</v>
      </c>
      <c r="G3904" s="7">
        <v>3694116</v>
      </c>
      <c r="H3904" s="7">
        <v>2366</v>
      </c>
      <c r="I3904" s="7">
        <v>230</v>
      </c>
      <c r="J3904" s="7">
        <v>752</v>
      </c>
      <c r="K3904" s="7" t="s">
        <v>18</v>
      </c>
      <c r="L3904" s="8">
        <v>39987.315405092595</v>
      </c>
      <c r="M3904" s="9" t="s">
        <v>19</v>
      </c>
      <c r="N3904" s="9" t="s">
        <v>20</v>
      </c>
      <c r="O3904" s="6" t="str">
        <f>HYPERLINK("https://pbs.twimg.com/profile_images/962471262747529216/Uo8lOkRJ_normal.jpg","View")</f>
        <v>View</v>
      </c>
      <c r="P3904" s="7"/>
    </row>
    <row r="3905" spans="1:16">
      <c r="A3905" s="3">
        <v>43912.32576388889</v>
      </c>
      <c r="B3905" s="4" t="str">
        <f>HYPERLINK("https://twitter.com/petrogustavo","@petrogustavo")</f>
        <v>@petrogustavo</v>
      </c>
      <c r="C3905" s="5" t="s">
        <v>16</v>
      </c>
      <c r="D3905" s="5" t="s">
        <v>3823</v>
      </c>
      <c r="E3905" s="6" t="str">
        <f>HYPERLINK("https://twitter.com/petrogustavo/status/1241549937797668864","1241549937797668864")</f>
        <v>1241549937797668864</v>
      </c>
      <c r="F3905" s="7" t="s">
        <v>17</v>
      </c>
      <c r="G3905" s="7">
        <v>3694116</v>
      </c>
      <c r="H3905" s="7">
        <v>2366</v>
      </c>
      <c r="I3905" s="7">
        <v>171</v>
      </c>
      <c r="J3905" s="7">
        <v>0</v>
      </c>
      <c r="K3905" s="7" t="s">
        <v>18</v>
      </c>
      <c r="L3905" s="8">
        <v>39987.315405092595</v>
      </c>
      <c r="M3905" s="9" t="s">
        <v>19</v>
      </c>
      <c r="N3905" s="9" t="s">
        <v>20</v>
      </c>
      <c r="O3905" s="6" t="str">
        <f>HYPERLINK("https://pbs.twimg.com/profile_images/962471262747529216/Uo8lOkRJ_normal.jpg","View")</f>
        <v>View</v>
      </c>
      <c r="P3905" s="7"/>
    </row>
    <row r="3906" spans="1:16">
      <c r="A3906" s="3">
        <v>43912.326689814814</v>
      </c>
      <c r="B3906" s="4" t="str">
        <f>HYPERLINK("https://twitter.com/petrogustavo","@petrogustavo")</f>
        <v>@petrogustavo</v>
      </c>
      <c r="C3906" s="5" t="s">
        <v>16</v>
      </c>
      <c r="D3906" s="5" t="s">
        <v>3824</v>
      </c>
      <c r="E3906" s="6" t="str">
        <f>HYPERLINK("https://twitter.com/petrogustavo/status/1241550272830324736","1241550272830324736")</f>
        <v>1241550272830324736</v>
      </c>
      <c r="F3906" s="7" t="s">
        <v>17</v>
      </c>
      <c r="G3906" s="7">
        <v>3694116</v>
      </c>
      <c r="H3906" s="7">
        <v>2366</v>
      </c>
      <c r="I3906" s="7">
        <v>42</v>
      </c>
      <c r="J3906" s="7">
        <v>0</v>
      </c>
      <c r="K3906" s="7" t="s">
        <v>18</v>
      </c>
      <c r="L3906" s="8">
        <v>39987.315405092595</v>
      </c>
      <c r="M3906" s="9" t="s">
        <v>19</v>
      </c>
      <c r="N3906" s="9" t="s">
        <v>20</v>
      </c>
      <c r="O3906" s="6" t="str">
        <f>HYPERLINK("https://pbs.twimg.com/profile_images/962471262747529216/Uo8lOkRJ_normal.jpg","View")</f>
        <v>View</v>
      </c>
      <c r="P3906" s="7"/>
    </row>
    <row r="3907" spans="1:16">
      <c r="A3907" s="3">
        <v>43912.327604166669</v>
      </c>
      <c r="B3907" s="4" t="str">
        <f>HYPERLINK("https://twitter.com/petrogustavo","@petrogustavo")</f>
        <v>@petrogustavo</v>
      </c>
      <c r="C3907" s="5" t="s">
        <v>16</v>
      </c>
      <c r="D3907" s="5" t="s">
        <v>3825</v>
      </c>
      <c r="E3907" s="6" t="str">
        <f>HYPERLINK("https://twitter.com/petrogustavo/status/1241550605128261634","1241550605128261634")</f>
        <v>1241550605128261634</v>
      </c>
      <c r="F3907" s="7" t="s">
        <v>17</v>
      </c>
      <c r="G3907" s="7">
        <v>3694116</v>
      </c>
      <c r="H3907" s="7">
        <v>2366</v>
      </c>
      <c r="I3907" s="7">
        <v>80</v>
      </c>
      <c r="J3907" s="7">
        <v>0</v>
      </c>
      <c r="K3907" s="7" t="s">
        <v>18</v>
      </c>
      <c r="L3907" s="8">
        <v>39987.315405092595</v>
      </c>
      <c r="M3907" s="9" t="s">
        <v>19</v>
      </c>
      <c r="N3907" s="9" t="s">
        <v>20</v>
      </c>
      <c r="O3907" s="6" t="str">
        <f>HYPERLINK("https://pbs.twimg.com/profile_images/962471262747529216/Uo8lOkRJ_normal.jpg","View")</f>
        <v>View</v>
      </c>
      <c r="P3907" s="7"/>
    </row>
    <row r="3908" spans="1:16">
      <c r="A3908" s="3">
        <v>43912.330671296295</v>
      </c>
      <c r="B3908" s="4" t="str">
        <f>HYPERLINK("https://twitter.com/petrogustavo","@petrogustavo")</f>
        <v>@petrogustavo</v>
      </c>
      <c r="C3908" s="5" t="s">
        <v>16</v>
      </c>
      <c r="D3908" s="5" t="s">
        <v>3826</v>
      </c>
      <c r="E3908" s="6" t="str">
        <f>HYPERLINK("https://twitter.com/petrogustavo/status/1241551716539142145","1241551716539142145")</f>
        <v>1241551716539142145</v>
      </c>
      <c r="F3908" s="7" t="s">
        <v>17</v>
      </c>
      <c r="G3908" s="7">
        <v>3694116</v>
      </c>
      <c r="H3908" s="7">
        <v>2366</v>
      </c>
      <c r="I3908" s="7">
        <v>39</v>
      </c>
      <c r="J3908" s="7">
        <v>89</v>
      </c>
      <c r="K3908" s="7" t="s">
        <v>18</v>
      </c>
      <c r="L3908" s="8">
        <v>39987.315405092595</v>
      </c>
      <c r="M3908" s="9" t="s">
        <v>19</v>
      </c>
      <c r="N3908" s="9" t="s">
        <v>20</v>
      </c>
      <c r="O3908" s="6" t="str">
        <f>HYPERLINK("https://pbs.twimg.com/profile_images/962471262747529216/Uo8lOkRJ_normal.jpg","View")</f>
        <v>View</v>
      </c>
      <c r="P3908" s="7"/>
    </row>
    <row r="3909" spans="1:16">
      <c r="A3909" s="3">
        <v>43912.333032407405</v>
      </c>
      <c r="B3909" s="4" t="str">
        <f>HYPERLINK("https://twitter.com/petrogustavo","@petrogustavo")</f>
        <v>@petrogustavo</v>
      </c>
      <c r="C3909" s="5" t="s">
        <v>16</v>
      </c>
      <c r="D3909" s="5" t="s">
        <v>3827</v>
      </c>
      <c r="E3909" s="6" t="str">
        <f>HYPERLINK("https://twitter.com/petrogustavo/status/1241552570818138113","1241552570818138113")</f>
        <v>1241552570818138113</v>
      </c>
      <c r="F3909" s="7" t="s">
        <v>17</v>
      </c>
      <c r="G3909" s="7">
        <v>3694116</v>
      </c>
      <c r="H3909" s="7">
        <v>2366</v>
      </c>
      <c r="I3909" s="7">
        <v>295</v>
      </c>
      <c r="J3909" s="7">
        <v>0</v>
      </c>
      <c r="K3909" s="7" t="s">
        <v>18</v>
      </c>
      <c r="L3909" s="8">
        <v>39987.315405092595</v>
      </c>
      <c r="M3909" s="9" t="s">
        <v>19</v>
      </c>
      <c r="N3909" s="9" t="s">
        <v>20</v>
      </c>
      <c r="O3909" s="6" t="str">
        <f>HYPERLINK("https://pbs.twimg.com/profile_images/962471262747529216/Uo8lOkRJ_normal.jpg","View")</f>
        <v>View</v>
      </c>
      <c r="P3909" s="7"/>
    </row>
    <row r="3910" spans="1:16">
      <c r="A3910" s="3">
        <v>43912.346666666665</v>
      </c>
      <c r="B3910" s="4" t="str">
        <f>HYPERLINK("https://twitter.com/petrogustavo","@petrogustavo")</f>
        <v>@petrogustavo</v>
      </c>
      <c r="C3910" s="5" t="s">
        <v>16</v>
      </c>
      <c r="D3910" s="5" t="s">
        <v>3828</v>
      </c>
      <c r="E3910" s="6" t="str">
        <f>HYPERLINK("https://twitter.com/petrogustavo/status/1241557513658667009","1241557513658667009")</f>
        <v>1241557513658667009</v>
      </c>
      <c r="F3910" s="7" t="s">
        <v>17</v>
      </c>
      <c r="G3910" s="7">
        <v>3694310</v>
      </c>
      <c r="H3910" s="7">
        <v>2366</v>
      </c>
      <c r="I3910" s="7">
        <v>126</v>
      </c>
      <c r="J3910" s="7">
        <v>269</v>
      </c>
      <c r="K3910" s="7" t="s">
        <v>18</v>
      </c>
      <c r="L3910" s="8">
        <v>39987.315405092595</v>
      </c>
      <c r="M3910" s="9" t="s">
        <v>19</v>
      </c>
      <c r="N3910" s="9" t="s">
        <v>20</v>
      </c>
      <c r="O3910" s="6" t="str">
        <f>HYPERLINK("https://pbs.twimg.com/profile_images/962471262747529216/Uo8lOkRJ_normal.jpg","View")</f>
        <v>View</v>
      </c>
      <c r="P3910" s="7"/>
    </row>
    <row r="3911" spans="1:16">
      <c r="A3911" s="3">
        <v>43912.716539351852</v>
      </c>
      <c r="B3911" s="4" t="str">
        <f>HYPERLINK("https://twitter.com/petrogustavo","@petrogustavo")</f>
        <v>@petrogustavo</v>
      </c>
      <c r="C3911" s="5" t="s">
        <v>16</v>
      </c>
      <c r="D3911" s="5" t="s">
        <v>3829</v>
      </c>
      <c r="E3911" s="6" t="str">
        <f>HYPERLINK("https://twitter.com/petrogustavo/status/1241691547508367365","1241691547508367365")</f>
        <v>1241691547508367365</v>
      </c>
      <c r="F3911" s="7" t="s">
        <v>17</v>
      </c>
      <c r="G3911" s="7">
        <v>3696595</v>
      </c>
      <c r="H3911" s="7">
        <v>2366</v>
      </c>
      <c r="I3911" s="7">
        <v>116</v>
      </c>
      <c r="J3911" s="7">
        <v>316</v>
      </c>
      <c r="K3911" s="7" t="s">
        <v>18</v>
      </c>
      <c r="L3911" s="8">
        <v>39987.315405092595</v>
      </c>
      <c r="M3911" s="9" t="s">
        <v>19</v>
      </c>
      <c r="N3911" s="9" t="s">
        <v>20</v>
      </c>
      <c r="O3911" s="6" t="str">
        <f>HYPERLINK("https://pbs.twimg.com/profile_images/962471262747529216/Uo8lOkRJ_normal.jpg","View")</f>
        <v>View</v>
      </c>
      <c r="P3911" s="7"/>
    </row>
    <row r="3912" spans="1:16">
      <c r="A3912" s="3">
        <v>43912.723055555558</v>
      </c>
      <c r="B3912" s="4" t="str">
        <f>HYPERLINK("https://twitter.com/petrogustavo","@petrogustavo")</f>
        <v>@petrogustavo</v>
      </c>
      <c r="C3912" s="5" t="s">
        <v>16</v>
      </c>
      <c r="D3912" s="5" t="s">
        <v>3830</v>
      </c>
      <c r="E3912" s="6" t="str">
        <f>HYPERLINK("https://twitter.com/petrogustavo/status/1241693911321542656","1241693911321542656")</f>
        <v>1241693911321542656</v>
      </c>
      <c r="F3912" s="7" t="s">
        <v>17</v>
      </c>
      <c r="G3912" s="7">
        <v>3696595</v>
      </c>
      <c r="H3912" s="7">
        <v>2366</v>
      </c>
      <c r="I3912" s="7">
        <v>55</v>
      </c>
      <c r="J3912" s="7">
        <v>102</v>
      </c>
      <c r="K3912" s="7" t="s">
        <v>18</v>
      </c>
      <c r="L3912" s="8">
        <v>39987.315405092595</v>
      </c>
      <c r="M3912" s="9" t="s">
        <v>19</v>
      </c>
      <c r="N3912" s="9" t="s">
        <v>20</v>
      </c>
      <c r="O3912" s="6" t="str">
        <f>HYPERLINK("https://pbs.twimg.com/profile_images/962471262747529216/Uo8lOkRJ_normal.jpg","View")</f>
        <v>View</v>
      </c>
      <c r="P3912" s="7"/>
    </row>
    <row r="3913" spans="1:16">
      <c r="A3913" s="3">
        <v>43912.726585648154</v>
      </c>
      <c r="B3913" s="4" t="str">
        <f>HYPERLINK("https://twitter.com/petrogustavo","@petrogustavo")</f>
        <v>@petrogustavo</v>
      </c>
      <c r="C3913" s="5" t="s">
        <v>16</v>
      </c>
      <c r="D3913" s="5" t="s">
        <v>3831</v>
      </c>
      <c r="E3913" s="6" t="str">
        <f>HYPERLINK("https://twitter.com/petrogustavo/status/1241695188810174464","1241695188810174464")</f>
        <v>1241695188810174464</v>
      </c>
      <c r="F3913" s="7" t="s">
        <v>17</v>
      </c>
      <c r="G3913" s="7">
        <v>3696595</v>
      </c>
      <c r="H3913" s="7">
        <v>2366</v>
      </c>
      <c r="I3913" s="7">
        <v>47</v>
      </c>
      <c r="J3913" s="7">
        <v>100</v>
      </c>
      <c r="K3913" s="7" t="s">
        <v>18</v>
      </c>
      <c r="L3913" s="8">
        <v>39987.315405092595</v>
      </c>
      <c r="M3913" s="9" t="s">
        <v>19</v>
      </c>
      <c r="N3913" s="9" t="s">
        <v>20</v>
      </c>
      <c r="O3913" s="6" t="str">
        <f>HYPERLINK("https://pbs.twimg.com/profile_images/962471262747529216/Uo8lOkRJ_normal.jpg","View")</f>
        <v>View</v>
      </c>
      <c r="P3913" s="7"/>
    </row>
    <row r="3914" spans="1:16">
      <c r="A3914" s="3">
        <v>43912.749178240745</v>
      </c>
      <c r="B3914" s="4" t="str">
        <f>HYPERLINK("https://twitter.com/petrogustavo","@petrogustavo")</f>
        <v>@petrogustavo</v>
      </c>
      <c r="C3914" s="5" t="s">
        <v>16</v>
      </c>
      <c r="D3914" s="5" t="s">
        <v>3832</v>
      </c>
      <c r="E3914" s="6" t="str">
        <f>HYPERLINK("https://twitter.com/petrogustavo/status/1241703375391068160","1241703375391068160")</f>
        <v>1241703375391068160</v>
      </c>
      <c r="F3914" s="7" t="s">
        <v>17</v>
      </c>
      <c r="G3914" s="7">
        <v>3696741</v>
      </c>
      <c r="H3914" s="7">
        <v>2366</v>
      </c>
      <c r="I3914" s="7">
        <v>71</v>
      </c>
      <c r="J3914" s="7">
        <v>157</v>
      </c>
      <c r="K3914" s="7" t="s">
        <v>18</v>
      </c>
      <c r="L3914" s="8">
        <v>39987.315405092595</v>
      </c>
      <c r="M3914" s="9" t="s">
        <v>19</v>
      </c>
      <c r="N3914" s="9" t="s">
        <v>20</v>
      </c>
      <c r="O3914" s="6" t="str">
        <f>HYPERLINK("https://pbs.twimg.com/profile_images/962471262747529216/Uo8lOkRJ_normal.jpg","View")</f>
        <v>View</v>
      </c>
      <c r="P3914" s="7"/>
    </row>
    <row r="3915" spans="1:16">
      <c r="A3915" s="3">
        <v>43912.751331018517</v>
      </c>
      <c r="B3915" s="4" t="str">
        <f>HYPERLINK("https://twitter.com/petrogustavo","@petrogustavo")</f>
        <v>@petrogustavo</v>
      </c>
      <c r="C3915" s="5" t="s">
        <v>16</v>
      </c>
      <c r="D3915" s="5" t="s">
        <v>3833</v>
      </c>
      <c r="E3915" s="6" t="str">
        <f>HYPERLINK("https://twitter.com/petrogustavo/status/1241704157565931523","1241704157565931523")</f>
        <v>1241704157565931523</v>
      </c>
      <c r="F3915" s="7" t="s">
        <v>17</v>
      </c>
      <c r="G3915" s="7">
        <v>3696741</v>
      </c>
      <c r="H3915" s="7">
        <v>2366</v>
      </c>
      <c r="I3915" s="7">
        <v>59</v>
      </c>
      <c r="J3915" s="7">
        <v>140</v>
      </c>
      <c r="K3915" s="7" t="s">
        <v>18</v>
      </c>
      <c r="L3915" s="8">
        <v>39987.315405092595</v>
      </c>
      <c r="M3915" s="9" t="s">
        <v>19</v>
      </c>
      <c r="N3915" s="9" t="s">
        <v>20</v>
      </c>
      <c r="O3915" s="6" t="str">
        <f>HYPERLINK("https://pbs.twimg.com/profile_images/962471262747529216/Uo8lOkRJ_normal.jpg","View")</f>
        <v>View</v>
      </c>
      <c r="P3915" s="7"/>
    </row>
    <row r="3916" spans="1:16">
      <c r="A3916" s="3">
        <v>43912.753182870365</v>
      </c>
      <c r="B3916" s="4" t="str">
        <f>HYPERLINK("https://twitter.com/petrogustavo","@petrogustavo")</f>
        <v>@petrogustavo</v>
      </c>
      <c r="C3916" s="5" t="s">
        <v>16</v>
      </c>
      <c r="D3916" s="5" t="s">
        <v>3834</v>
      </c>
      <c r="E3916" s="6" t="str">
        <f>HYPERLINK("https://twitter.com/petrogustavo/status/1241704829027782662","1241704829027782662")</f>
        <v>1241704829027782662</v>
      </c>
      <c r="F3916" s="7" t="s">
        <v>17</v>
      </c>
      <c r="G3916" s="7">
        <v>3696741</v>
      </c>
      <c r="H3916" s="7">
        <v>2366</v>
      </c>
      <c r="I3916" s="7">
        <v>158</v>
      </c>
      <c r="J3916" s="7">
        <v>0</v>
      </c>
      <c r="K3916" s="7" t="s">
        <v>18</v>
      </c>
      <c r="L3916" s="8">
        <v>39987.315405092595</v>
      </c>
      <c r="M3916" s="9" t="s">
        <v>19</v>
      </c>
      <c r="N3916" s="9" t="s">
        <v>20</v>
      </c>
      <c r="O3916" s="6" t="str">
        <f>HYPERLINK("https://pbs.twimg.com/profile_images/962471262747529216/Uo8lOkRJ_normal.jpg","View")</f>
        <v>View</v>
      </c>
      <c r="P3916" s="7"/>
    </row>
    <row r="3917" spans="1:16">
      <c r="A3917" s="3">
        <v>43912.753530092596</v>
      </c>
      <c r="B3917" s="4" t="str">
        <f>HYPERLINK("https://twitter.com/petrogustavo","@petrogustavo")</f>
        <v>@petrogustavo</v>
      </c>
      <c r="C3917" s="5" t="s">
        <v>16</v>
      </c>
      <c r="D3917" s="5" t="s">
        <v>3835</v>
      </c>
      <c r="E3917" s="6" t="str">
        <f>HYPERLINK("https://twitter.com/petrogustavo/status/1241704954559188993","1241704954559188993")</f>
        <v>1241704954559188993</v>
      </c>
      <c r="F3917" s="7" t="s">
        <v>17</v>
      </c>
      <c r="G3917" s="7">
        <v>3696741</v>
      </c>
      <c r="H3917" s="7">
        <v>2366</v>
      </c>
      <c r="I3917" s="7">
        <v>211</v>
      </c>
      <c r="J3917" s="7">
        <v>0</v>
      </c>
      <c r="K3917" s="7" t="s">
        <v>18</v>
      </c>
      <c r="L3917" s="8">
        <v>39987.315405092595</v>
      </c>
      <c r="M3917" s="9" t="s">
        <v>19</v>
      </c>
      <c r="N3917" s="9" t="s">
        <v>20</v>
      </c>
      <c r="O3917" s="6" t="str">
        <f>HYPERLINK("https://pbs.twimg.com/profile_images/962471262747529216/Uo8lOkRJ_normal.jpg","View")</f>
        <v>View</v>
      </c>
      <c r="P3917" s="7"/>
    </row>
    <row r="3918" spans="1:16">
      <c r="A3918" s="3">
        <v>43912.755104166667</v>
      </c>
      <c r="B3918" s="4" t="str">
        <f>HYPERLINK("https://twitter.com/petrogustavo","@petrogustavo")</f>
        <v>@petrogustavo</v>
      </c>
      <c r="C3918" s="5" t="s">
        <v>16</v>
      </c>
      <c r="D3918" s="5" t="s">
        <v>3836</v>
      </c>
      <c r="E3918" s="6" t="str">
        <f>HYPERLINK("https://twitter.com/petrogustavo/status/1241705524736950274","1241705524736950274")</f>
        <v>1241705524736950274</v>
      </c>
      <c r="F3918" s="7" t="s">
        <v>17</v>
      </c>
      <c r="G3918" s="7">
        <v>3696741</v>
      </c>
      <c r="H3918" s="7">
        <v>2366</v>
      </c>
      <c r="I3918" s="7">
        <v>61</v>
      </c>
      <c r="J3918" s="7">
        <v>145</v>
      </c>
      <c r="K3918" s="7" t="s">
        <v>18</v>
      </c>
      <c r="L3918" s="8">
        <v>39987.315405092595</v>
      </c>
      <c r="M3918" s="9" t="s">
        <v>19</v>
      </c>
      <c r="N3918" s="9" t="s">
        <v>20</v>
      </c>
      <c r="O3918" s="6" t="str">
        <f>HYPERLINK("https://pbs.twimg.com/profile_images/962471262747529216/Uo8lOkRJ_normal.jpg","View")</f>
        <v>View</v>
      </c>
      <c r="P3918" s="7"/>
    </row>
    <row r="3919" spans="1:16">
      <c r="A3919" s="3">
        <v>43912.758159722223</v>
      </c>
      <c r="B3919" s="4" t="str">
        <f>HYPERLINK("https://twitter.com/petrogustavo","@petrogustavo")</f>
        <v>@petrogustavo</v>
      </c>
      <c r="C3919" s="5" t="s">
        <v>16</v>
      </c>
      <c r="D3919" s="5" t="s">
        <v>3837</v>
      </c>
      <c r="E3919" s="6" t="str">
        <f>HYPERLINK("https://twitter.com/petrogustavo/status/1241706631009878019","1241706631009878019")</f>
        <v>1241706631009878019</v>
      </c>
      <c r="F3919" s="7" t="s">
        <v>17</v>
      </c>
      <c r="G3919" s="7">
        <v>3696741</v>
      </c>
      <c r="H3919" s="7">
        <v>2366</v>
      </c>
      <c r="I3919" s="7">
        <v>35</v>
      </c>
      <c r="J3919" s="7">
        <v>51</v>
      </c>
      <c r="K3919" s="7" t="s">
        <v>18</v>
      </c>
      <c r="L3919" s="8">
        <v>39987.315405092595</v>
      </c>
      <c r="M3919" s="9" t="s">
        <v>19</v>
      </c>
      <c r="N3919" s="9" t="s">
        <v>20</v>
      </c>
      <c r="O3919" s="6" t="str">
        <f>HYPERLINK("https://pbs.twimg.com/profile_images/962471262747529216/Uo8lOkRJ_normal.jpg","View")</f>
        <v>View</v>
      </c>
      <c r="P3919" s="7"/>
    </row>
    <row r="3920" spans="1:16">
      <c r="A3920" s="3">
        <v>43912.771770833337</v>
      </c>
      <c r="B3920" s="4" t="str">
        <f>HYPERLINK("https://twitter.com/petrogustavo","@petrogustavo")</f>
        <v>@petrogustavo</v>
      </c>
      <c r="C3920" s="5" t="s">
        <v>16</v>
      </c>
      <c r="D3920" s="5" t="s">
        <v>3838</v>
      </c>
      <c r="E3920" s="6" t="str">
        <f>HYPERLINK("https://twitter.com/petrogustavo/status/1241711566275448833","1241711566275448833")</f>
        <v>1241711566275448833</v>
      </c>
      <c r="F3920" s="7" t="s">
        <v>17</v>
      </c>
      <c r="G3920" s="7">
        <v>3696931</v>
      </c>
      <c r="H3920" s="7">
        <v>2366</v>
      </c>
      <c r="I3920" s="7">
        <v>140</v>
      </c>
      <c r="J3920" s="7">
        <v>416</v>
      </c>
      <c r="K3920" s="7" t="s">
        <v>18</v>
      </c>
      <c r="L3920" s="8">
        <v>39987.315405092595</v>
      </c>
      <c r="M3920" s="9" t="s">
        <v>19</v>
      </c>
      <c r="N3920" s="9" t="s">
        <v>20</v>
      </c>
      <c r="O3920" s="6" t="str">
        <f>HYPERLINK("https://pbs.twimg.com/profile_images/962471262747529216/Uo8lOkRJ_normal.jpg","View")</f>
        <v>View</v>
      </c>
      <c r="P3920" s="7"/>
    </row>
    <row r="3921" spans="1:16">
      <c r="A3921" s="3">
        <v>43912.7734375</v>
      </c>
      <c r="B3921" s="4" t="str">
        <f>HYPERLINK("https://twitter.com/petrogustavo","@petrogustavo")</f>
        <v>@petrogustavo</v>
      </c>
      <c r="C3921" s="5" t="s">
        <v>16</v>
      </c>
      <c r="D3921" s="5" t="s">
        <v>3839</v>
      </c>
      <c r="E3921" s="6" t="str">
        <f>HYPERLINK("https://twitter.com/petrogustavo/status/1241712168875307010","1241712168875307010")</f>
        <v>1241712168875307010</v>
      </c>
      <c r="F3921" s="7" t="s">
        <v>17</v>
      </c>
      <c r="G3921" s="7">
        <v>3696931</v>
      </c>
      <c r="H3921" s="7">
        <v>2366</v>
      </c>
      <c r="I3921" s="7">
        <v>186</v>
      </c>
      <c r="J3921" s="7">
        <v>528</v>
      </c>
      <c r="K3921" s="7" t="s">
        <v>18</v>
      </c>
      <c r="L3921" s="8">
        <v>39987.315405092595</v>
      </c>
      <c r="M3921" s="9" t="s">
        <v>19</v>
      </c>
      <c r="N3921" s="9" t="s">
        <v>20</v>
      </c>
      <c r="O3921" s="6" t="str">
        <f>HYPERLINK("https://pbs.twimg.com/profile_images/962471262747529216/Uo8lOkRJ_normal.jpg","View")</f>
        <v>View</v>
      </c>
      <c r="P3921" s="7"/>
    </row>
    <row r="3922" spans="1:16">
      <c r="A3922" s="3">
        <v>43912.785231481481</v>
      </c>
      <c r="B3922" s="4" t="str">
        <f>HYPERLINK("https://twitter.com/petrogustavo","@petrogustavo")</f>
        <v>@petrogustavo</v>
      </c>
      <c r="C3922" s="5" t="s">
        <v>16</v>
      </c>
      <c r="D3922" s="5" t="s">
        <v>3840</v>
      </c>
      <c r="E3922" s="6" t="str">
        <f>HYPERLINK("https://twitter.com/petrogustavo/status/1241716443911270401","1241716443911270401")</f>
        <v>1241716443911270401</v>
      </c>
      <c r="F3922" s="7" t="s">
        <v>17</v>
      </c>
      <c r="G3922" s="7">
        <v>3697123</v>
      </c>
      <c r="H3922" s="7">
        <v>2366</v>
      </c>
      <c r="I3922" s="7">
        <v>215</v>
      </c>
      <c r="J3922" s="7">
        <v>0</v>
      </c>
      <c r="K3922" s="7" t="s">
        <v>18</v>
      </c>
      <c r="L3922" s="8">
        <v>39987.315405092595</v>
      </c>
      <c r="M3922" s="9" t="s">
        <v>19</v>
      </c>
      <c r="N3922" s="9" t="s">
        <v>20</v>
      </c>
      <c r="O3922" s="6" t="str">
        <f>HYPERLINK("https://pbs.twimg.com/profile_images/962471262747529216/Uo8lOkRJ_normal.jpg","View")</f>
        <v>View</v>
      </c>
      <c r="P3922" s="7"/>
    </row>
    <row r="3923" spans="1:16">
      <c r="A3923" s="3">
        <v>43912.789131944446</v>
      </c>
      <c r="B3923" s="4" t="str">
        <f>HYPERLINK("https://twitter.com/petrogustavo","@petrogustavo")</f>
        <v>@petrogustavo</v>
      </c>
      <c r="C3923" s="5" t="s">
        <v>16</v>
      </c>
      <c r="D3923" s="5" t="s">
        <v>3841</v>
      </c>
      <c r="E3923" s="6" t="str">
        <f>HYPERLINK("https://twitter.com/petrogustavo/status/1241717856376631299","1241717856376631299")</f>
        <v>1241717856376631299</v>
      </c>
      <c r="F3923" s="7" t="s">
        <v>17</v>
      </c>
      <c r="G3923" s="7">
        <v>3697123</v>
      </c>
      <c r="H3923" s="7">
        <v>2366</v>
      </c>
      <c r="I3923" s="7">
        <v>218</v>
      </c>
      <c r="J3923" s="7">
        <v>538</v>
      </c>
      <c r="K3923" s="7" t="s">
        <v>18</v>
      </c>
      <c r="L3923" s="8">
        <v>39987.315405092595</v>
      </c>
      <c r="M3923" s="9" t="s">
        <v>19</v>
      </c>
      <c r="N3923" s="9" t="s">
        <v>20</v>
      </c>
      <c r="O3923" s="6" t="str">
        <f>HYPERLINK("https://pbs.twimg.com/profile_images/962471262747529216/Uo8lOkRJ_normal.jpg","View")</f>
        <v>View</v>
      </c>
      <c r="P3923" s="7"/>
    </row>
    <row r="3924" spans="1:16">
      <c r="A3924" s="3">
        <v>43912.801840277782</v>
      </c>
      <c r="B3924" s="4" t="str">
        <f>HYPERLINK("https://twitter.com/petrogustavo","@petrogustavo")</f>
        <v>@petrogustavo</v>
      </c>
      <c r="C3924" s="5" t="s">
        <v>16</v>
      </c>
      <c r="D3924" s="5" t="s">
        <v>3842</v>
      </c>
      <c r="E3924" s="6" t="str">
        <f>HYPERLINK("https://twitter.com/petrogustavo/status/1241722459876986880","1241722459876986880")</f>
        <v>1241722459876986880</v>
      </c>
      <c r="F3924" s="7" t="s">
        <v>17</v>
      </c>
      <c r="G3924" s="7">
        <v>3697123</v>
      </c>
      <c r="H3924" s="7">
        <v>2366</v>
      </c>
      <c r="I3924" s="7">
        <v>49</v>
      </c>
      <c r="J3924" s="7">
        <v>106</v>
      </c>
      <c r="K3924" s="7" t="s">
        <v>18</v>
      </c>
      <c r="L3924" s="8">
        <v>39987.315405092595</v>
      </c>
      <c r="M3924" s="9" t="s">
        <v>19</v>
      </c>
      <c r="N3924" s="9" t="s">
        <v>20</v>
      </c>
      <c r="O3924" s="6" t="str">
        <f>HYPERLINK("https://pbs.twimg.com/profile_images/962471262747529216/Uo8lOkRJ_normal.jpg","View")</f>
        <v>View</v>
      </c>
      <c r="P3924" s="7"/>
    </row>
    <row r="3925" spans="1:16">
      <c r="A3925" s="3">
        <v>43912.886874999997</v>
      </c>
      <c r="B3925" s="4" t="str">
        <f>HYPERLINK("https://twitter.com/petrogustavo","@petrogustavo")</f>
        <v>@petrogustavo</v>
      </c>
      <c r="C3925" s="5" t="s">
        <v>16</v>
      </c>
      <c r="D3925" s="5" t="s">
        <v>3843</v>
      </c>
      <c r="E3925" s="6" t="str">
        <f>HYPERLINK("https://twitter.com/petrogustavo/status/1241753275088715779","1241753275088715779")</f>
        <v>1241753275088715779</v>
      </c>
      <c r="F3925" s="7" t="s">
        <v>17</v>
      </c>
      <c r="G3925" s="7">
        <v>3697971</v>
      </c>
      <c r="H3925" s="7">
        <v>2366</v>
      </c>
      <c r="I3925" s="7">
        <v>102</v>
      </c>
      <c r="J3925" s="7">
        <v>0</v>
      </c>
      <c r="K3925" s="7" t="s">
        <v>18</v>
      </c>
      <c r="L3925" s="8">
        <v>39987.315405092595</v>
      </c>
      <c r="M3925" s="9" t="s">
        <v>19</v>
      </c>
      <c r="N3925" s="9" t="s">
        <v>20</v>
      </c>
      <c r="O3925" s="6" t="str">
        <f>HYPERLINK("https://pbs.twimg.com/profile_images/962471262747529216/Uo8lOkRJ_normal.jpg","View")</f>
        <v>View</v>
      </c>
      <c r="P3925" s="7"/>
    </row>
    <row r="3926" spans="1:16">
      <c r="A3926" s="3">
        <v>43912.889652777776</v>
      </c>
      <c r="B3926" s="4" t="str">
        <f>HYPERLINK("https://twitter.com/petrogustavo","@petrogustavo")</f>
        <v>@petrogustavo</v>
      </c>
      <c r="C3926" s="5" t="s">
        <v>16</v>
      </c>
      <c r="D3926" s="5" t="s">
        <v>3844</v>
      </c>
      <c r="E3926" s="6" t="str">
        <f>HYPERLINK("https://twitter.com/petrogustavo/status/1241754282459791363","1241754282459791363")</f>
        <v>1241754282459791363</v>
      </c>
      <c r="F3926" s="7" t="s">
        <v>17</v>
      </c>
      <c r="G3926" s="7">
        <v>3698213</v>
      </c>
      <c r="H3926" s="7">
        <v>2366</v>
      </c>
      <c r="I3926" s="7">
        <v>223</v>
      </c>
      <c r="J3926" s="7">
        <v>359</v>
      </c>
      <c r="K3926" s="7" t="s">
        <v>18</v>
      </c>
      <c r="L3926" s="8">
        <v>39987.315405092595</v>
      </c>
      <c r="M3926" s="9" t="s">
        <v>19</v>
      </c>
      <c r="N3926" s="9" t="s">
        <v>20</v>
      </c>
      <c r="O3926" s="6" t="str">
        <f>HYPERLINK("https://pbs.twimg.com/profile_images/962471262747529216/Uo8lOkRJ_normal.jpg","View")</f>
        <v>View</v>
      </c>
      <c r="P3926" s="7"/>
    </row>
    <row r="3927" spans="1:16">
      <c r="A3927" s="3">
        <v>43912.893784722226</v>
      </c>
      <c r="B3927" s="4" t="str">
        <f>HYPERLINK("https://twitter.com/petrogustavo","@petrogustavo")</f>
        <v>@petrogustavo</v>
      </c>
      <c r="C3927" s="5" t="s">
        <v>16</v>
      </c>
      <c r="D3927" s="5" t="s">
        <v>3845</v>
      </c>
      <c r="E3927" s="6" t="str">
        <f>HYPERLINK("https://twitter.com/petrogustavo/status/1241755782699499520","1241755782699499520")</f>
        <v>1241755782699499520</v>
      </c>
      <c r="F3927" s="7" t="s">
        <v>17</v>
      </c>
      <c r="G3927" s="7">
        <v>3698213</v>
      </c>
      <c r="H3927" s="7">
        <v>2366</v>
      </c>
      <c r="I3927" s="7">
        <v>245</v>
      </c>
      <c r="J3927" s="7">
        <v>397</v>
      </c>
      <c r="K3927" s="7" t="s">
        <v>18</v>
      </c>
      <c r="L3927" s="8">
        <v>39987.315405092595</v>
      </c>
      <c r="M3927" s="9" t="s">
        <v>19</v>
      </c>
      <c r="N3927" s="9" t="s">
        <v>20</v>
      </c>
      <c r="O3927" s="6" t="str">
        <f>HYPERLINK("https://pbs.twimg.com/profile_images/962471262747529216/Uo8lOkRJ_normal.jpg","View")</f>
        <v>View</v>
      </c>
      <c r="P3927" s="7"/>
    </row>
    <row r="3928" spans="1:16">
      <c r="A3928" s="3">
        <v>43912.895613425921</v>
      </c>
      <c r="B3928" s="4" t="str">
        <f>HYPERLINK("https://twitter.com/petrogustavo","@petrogustavo")</f>
        <v>@petrogustavo</v>
      </c>
      <c r="C3928" s="5" t="s">
        <v>16</v>
      </c>
      <c r="D3928" s="5" t="s">
        <v>3846</v>
      </c>
      <c r="E3928" s="6" t="str">
        <f>HYPERLINK("https://twitter.com/petrogustavo/status/1241756445122707466","1241756445122707466")</f>
        <v>1241756445122707466</v>
      </c>
      <c r="F3928" s="7" t="s">
        <v>17</v>
      </c>
      <c r="G3928" s="7">
        <v>3698213</v>
      </c>
      <c r="H3928" s="7">
        <v>2366</v>
      </c>
      <c r="I3928" s="7">
        <v>75</v>
      </c>
      <c r="J3928" s="7">
        <v>230</v>
      </c>
      <c r="K3928" s="7" t="s">
        <v>18</v>
      </c>
      <c r="L3928" s="8">
        <v>39987.315405092595</v>
      </c>
      <c r="M3928" s="9" t="s">
        <v>19</v>
      </c>
      <c r="N3928" s="9" t="s">
        <v>20</v>
      </c>
      <c r="O3928" s="6" t="str">
        <f>HYPERLINK("https://pbs.twimg.com/profile_images/962471262747529216/Uo8lOkRJ_normal.jpg","View")</f>
        <v>View</v>
      </c>
      <c r="P3928" s="7"/>
    </row>
    <row r="3929" spans="1:16">
      <c r="A3929" s="3">
        <v>43912.896296296298</v>
      </c>
      <c r="B3929" s="4" t="str">
        <f>HYPERLINK("https://twitter.com/petrogustavo","@petrogustavo")</f>
        <v>@petrogustavo</v>
      </c>
      <c r="C3929" s="5" t="s">
        <v>16</v>
      </c>
      <c r="D3929" s="5" t="s">
        <v>3847</v>
      </c>
      <c r="E3929" s="6" t="str">
        <f>HYPERLINK("https://twitter.com/petrogustavo/status/1241756692280418305","1241756692280418305")</f>
        <v>1241756692280418305</v>
      </c>
      <c r="F3929" s="7" t="s">
        <v>17</v>
      </c>
      <c r="G3929" s="7">
        <v>3698213</v>
      </c>
      <c r="H3929" s="7">
        <v>2366</v>
      </c>
      <c r="I3929" s="7">
        <v>200</v>
      </c>
      <c r="J3929" s="7">
        <v>0</v>
      </c>
      <c r="K3929" s="7" t="s">
        <v>18</v>
      </c>
      <c r="L3929" s="8">
        <v>39987.315405092595</v>
      </c>
      <c r="M3929" s="9" t="s">
        <v>19</v>
      </c>
      <c r="N3929" s="9" t="s">
        <v>20</v>
      </c>
      <c r="O3929" s="6" t="str">
        <f>HYPERLINK("https://pbs.twimg.com/profile_images/962471262747529216/Uo8lOkRJ_normal.jpg","View")</f>
        <v>View</v>
      </c>
      <c r="P3929" s="7"/>
    </row>
    <row r="3930" spans="1:16">
      <c r="A3930" s="3">
        <v>43912.897164351853</v>
      </c>
      <c r="B3930" s="4" t="str">
        <f>HYPERLINK("https://twitter.com/petrogustavo","@petrogustavo")</f>
        <v>@petrogustavo</v>
      </c>
      <c r="C3930" s="5" t="s">
        <v>16</v>
      </c>
      <c r="D3930" s="5" t="s">
        <v>3848</v>
      </c>
      <c r="E3930" s="6" t="str">
        <f>HYPERLINK("https://twitter.com/petrogustavo/status/1241757004848410624","1241757004848410624")</f>
        <v>1241757004848410624</v>
      </c>
      <c r="F3930" s="7" t="s">
        <v>17</v>
      </c>
      <c r="G3930" s="7">
        <v>3698213</v>
      </c>
      <c r="H3930" s="7">
        <v>2366</v>
      </c>
      <c r="I3930" s="7">
        <v>1559</v>
      </c>
      <c r="J3930" s="7">
        <v>0</v>
      </c>
      <c r="K3930" s="7" t="s">
        <v>18</v>
      </c>
      <c r="L3930" s="8">
        <v>39987.315405092595</v>
      </c>
      <c r="M3930" s="9" t="s">
        <v>19</v>
      </c>
      <c r="N3930" s="9" t="s">
        <v>20</v>
      </c>
      <c r="O3930" s="6" t="str">
        <f>HYPERLINK("https://pbs.twimg.com/profile_images/962471262747529216/Uo8lOkRJ_normal.jpg","View")</f>
        <v>View</v>
      </c>
      <c r="P3930" s="7"/>
    </row>
    <row r="3931" spans="1:16">
      <c r="A3931" s="3">
        <v>43912.898252314815</v>
      </c>
      <c r="B3931" s="4" t="str">
        <f>HYPERLINK("https://twitter.com/petrogustavo","@petrogustavo")</f>
        <v>@petrogustavo</v>
      </c>
      <c r="C3931" s="5" t="s">
        <v>16</v>
      </c>
      <c r="D3931" s="5" t="s">
        <v>3849</v>
      </c>
      <c r="E3931" s="6" t="str">
        <f>HYPERLINK("https://twitter.com/petrogustavo/status/1241757401017192448","1241757401017192448")</f>
        <v>1241757401017192448</v>
      </c>
      <c r="F3931" s="7" t="s">
        <v>17</v>
      </c>
      <c r="G3931" s="7">
        <v>3698213</v>
      </c>
      <c r="H3931" s="7">
        <v>2366</v>
      </c>
      <c r="I3931" s="7">
        <v>103</v>
      </c>
      <c r="J3931" s="7">
        <v>0</v>
      </c>
      <c r="K3931" s="7" t="s">
        <v>18</v>
      </c>
      <c r="L3931" s="8">
        <v>39987.315405092595</v>
      </c>
      <c r="M3931" s="9" t="s">
        <v>19</v>
      </c>
      <c r="N3931" s="9" t="s">
        <v>20</v>
      </c>
      <c r="O3931" s="6" t="str">
        <f>HYPERLINK("https://pbs.twimg.com/profile_images/962471262747529216/Uo8lOkRJ_normal.jpg","View")</f>
        <v>View</v>
      </c>
      <c r="P3931" s="7"/>
    </row>
    <row r="3932" spans="1:16">
      <c r="A3932" s="3">
        <v>43912.904791666668</v>
      </c>
      <c r="B3932" s="4" t="str">
        <f>HYPERLINK("https://twitter.com/petrogustavo","@petrogustavo")</f>
        <v>@petrogustavo</v>
      </c>
      <c r="C3932" s="5" t="s">
        <v>16</v>
      </c>
      <c r="D3932" s="5" t="s">
        <v>3850</v>
      </c>
      <c r="E3932" s="6" t="str">
        <f>HYPERLINK("https://twitter.com/petrogustavo/status/1241759768567578624","1241759768567578624")</f>
        <v>1241759768567578624</v>
      </c>
      <c r="F3932" s="7" t="s">
        <v>17</v>
      </c>
      <c r="G3932" s="7">
        <v>3698213</v>
      </c>
      <c r="H3932" s="7">
        <v>2366</v>
      </c>
      <c r="I3932" s="7">
        <v>13</v>
      </c>
      <c r="J3932" s="7">
        <v>40</v>
      </c>
      <c r="K3932" s="7" t="s">
        <v>18</v>
      </c>
      <c r="L3932" s="8">
        <v>39987.315405092595</v>
      </c>
      <c r="M3932" s="9" t="s">
        <v>19</v>
      </c>
      <c r="N3932" s="9" t="s">
        <v>20</v>
      </c>
      <c r="O3932" s="6" t="str">
        <f>HYPERLINK("https://pbs.twimg.com/profile_images/962471262747529216/Uo8lOkRJ_normal.jpg","View")</f>
        <v>View</v>
      </c>
      <c r="P3932" s="7"/>
    </row>
    <row r="3933" spans="1:16">
      <c r="A3933" s="3">
        <v>43912.904965277776</v>
      </c>
      <c r="B3933" s="4" t="str">
        <f>HYPERLINK("https://twitter.com/petrogustavo","@petrogustavo")</f>
        <v>@petrogustavo</v>
      </c>
      <c r="C3933" s="5" t="s">
        <v>16</v>
      </c>
      <c r="D3933" s="5" t="s">
        <v>3851</v>
      </c>
      <c r="E3933" s="6" t="str">
        <f>HYPERLINK("https://twitter.com/petrogustavo/status/1241759832413265923","1241759832413265923")</f>
        <v>1241759832413265923</v>
      </c>
      <c r="F3933" s="7" t="s">
        <v>17</v>
      </c>
      <c r="G3933" s="7">
        <v>3698213</v>
      </c>
      <c r="H3933" s="7">
        <v>2366</v>
      </c>
      <c r="I3933" s="7">
        <v>104</v>
      </c>
      <c r="J3933" s="7">
        <v>0</v>
      </c>
      <c r="K3933" s="7" t="s">
        <v>18</v>
      </c>
      <c r="L3933" s="8">
        <v>39987.315405092595</v>
      </c>
      <c r="M3933" s="9" t="s">
        <v>19</v>
      </c>
      <c r="N3933" s="9" t="s">
        <v>20</v>
      </c>
      <c r="O3933" s="6" t="str">
        <f>HYPERLINK("https://pbs.twimg.com/profile_images/962471262747529216/Uo8lOkRJ_normal.jpg","View")</f>
        <v>View</v>
      </c>
      <c r="P3933" s="7"/>
    </row>
    <row r="3934" spans="1:16">
      <c r="A3934" s="3">
        <v>43912.905717592592</v>
      </c>
      <c r="B3934" s="4" t="str">
        <f>HYPERLINK("https://twitter.com/petrogustavo","@petrogustavo")</f>
        <v>@petrogustavo</v>
      </c>
      <c r="C3934" s="5" t="s">
        <v>16</v>
      </c>
      <c r="D3934" s="5" t="s">
        <v>3852</v>
      </c>
      <c r="E3934" s="6" t="str">
        <f>HYPERLINK("https://twitter.com/petrogustavo/status/1241760105407840256","1241760105407840256")</f>
        <v>1241760105407840256</v>
      </c>
      <c r="F3934" s="7" t="s">
        <v>17</v>
      </c>
      <c r="G3934" s="7">
        <v>3698213</v>
      </c>
      <c r="H3934" s="7">
        <v>2366</v>
      </c>
      <c r="I3934" s="7">
        <v>2313</v>
      </c>
      <c r="J3934" s="7">
        <v>0</v>
      </c>
      <c r="K3934" s="7" t="s">
        <v>18</v>
      </c>
      <c r="L3934" s="8">
        <v>39987.315405092595</v>
      </c>
      <c r="M3934" s="9" t="s">
        <v>19</v>
      </c>
      <c r="N3934" s="9" t="s">
        <v>20</v>
      </c>
      <c r="O3934" s="6" t="str">
        <f>HYPERLINK("https://pbs.twimg.com/profile_images/962471262747529216/Uo8lOkRJ_normal.jpg","View")</f>
        <v>View</v>
      </c>
      <c r="P3934" s="7"/>
    </row>
    <row r="3935" spans="1:16">
      <c r="A3935" s="3">
        <v>43912.906203703707</v>
      </c>
      <c r="B3935" s="4" t="str">
        <f>HYPERLINK("https://twitter.com/petrogustavo","@petrogustavo")</f>
        <v>@petrogustavo</v>
      </c>
      <c r="C3935" s="5" t="s">
        <v>16</v>
      </c>
      <c r="D3935" s="5" t="s">
        <v>3853</v>
      </c>
      <c r="E3935" s="6" t="str">
        <f>HYPERLINK("https://twitter.com/petrogustavo/status/1241760279505010690","1241760279505010690")</f>
        <v>1241760279505010690</v>
      </c>
      <c r="F3935" s="7" t="s">
        <v>17</v>
      </c>
      <c r="G3935" s="7">
        <v>3698213</v>
      </c>
      <c r="H3935" s="7">
        <v>2366</v>
      </c>
      <c r="I3935" s="7">
        <v>88</v>
      </c>
      <c r="J3935" s="7">
        <v>0</v>
      </c>
      <c r="K3935" s="7" t="s">
        <v>18</v>
      </c>
      <c r="L3935" s="8">
        <v>39987.315405092595</v>
      </c>
      <c r="M3935" s="9" t="s">
        <v>19</v>
      </c>
      <c r="N3935" s="9" t="s">
        <v>20</v>
      </c>
      <c r="O3935" s="6" t="str">
        <f>HYPERLINK("https://pbs.twimg.com/profile_images/962471262747529216/Uo8lOkRJ_normal.jpg","View")</f>
        <v>View</v>
      </c>
      <c r="P3935" s="7"/>
    </row>
    <row r="3936" spans="1:16">
      <c r="A3936" s="3">
        <v>43912.909930555557</v>
      </c>
      <c r="B3936" s="4" t="str">
        <f>HYPERLINK("https://twitter.com/petrogustavo","@petrogustavo")</f>
        <v>@petrogustavo</v>
      </c>
      <c r="C3936" s="5" t="s">
        <v>16</v>
      </c>
      <c r="D3936" s="5" t="s">
        <v>3854</v>
      </c>
      <c r="E3936" s="6" t="str">
        <f>HYPERLINK("https://twitter.com/petrogustavo/status/1241761633296400392","1241761633296400392")</f>
        <v>1241761633296400392</v>
      </c>
      <c r="F3936" s="7" t="s">
        <v>17</v>
      </c>
      <c r="G3936" s="7">
        <v>3698454</v>
      </c>
      <c r="H3936" s="7">
        <v>2366</v>
      </c>
      <c r="I3936" s="7">
        <v>80</v>
      </c>
      <c r="J3936" s="7">
        <v>181</v>
      </c>
      <c r="K3936" s="7" t="s">
        <v>18</v>
      </c>
      <c r="L3936" s="8">
        <v>39987.315405092595</v>
      </c>
      <c r="M3936" s="9" t="s">
        <v>19</v>
      </c>
      <c r="N3936" s="9" t="s">
        <v>20</v>
      </c>
      <c r="O3936" s="6" t="str">
        <f>HYPERLINK("https://pbs.twimg.com/profile_images/962471262747529216/Uo8lOkRJ_normal.jpg","View")</f>
        <v>View</v>
      </c>
      <c r="P3936" s="7"/>
    </row>
    <row r="3937" spans="1:16">
      <c r="A3937" s="3">
        <v>43912.910138888888</v>
      </c>
      <c r="B3937" s="4" t="str">
        <f>HYPERLINK("https://twitter.com/petrogustavo","@petrogustavo")</f>
        <v>@petrogustavo</v>
      </c>
      <c r="C3937" s="5" t="s">
        <v>16</v>
      </c>
      <c r="D3937" s="5" t="s">
        <v>3855</v>
      </c>
      <c r="E3937" s="6" t="str">
        <f>HYPERLINK("https://twitter.com/petrogustavo/status/1241761709045448706","1241761709045448706")</f>
        <v>1241761709045448706</v>
      </c>
      <c r="F3937" s="7" t="s">
        <v>17</v>
      </c>
      <c r="G3937" s="7">
        <v>3698454</v>
      </c>
      <c r="H3937" s="7">
        <v>2366</v>
      </c>
      <c r="I3937" s="7">
        <v>117</v>
      </c>
      <c r="J3937" s="7">
        <v>0</v>
      </c>
      <c r="K3937" s="7" t="s">
        <v>18</v>
      </c>
      <c r="L3937" s="8">
        <v>39987.315405092595</v>
      </c>
      <c r="M3937" s="9" t="s">
        <v>19</v>
      </c>
      <c r="N3937" s="9" t="s">
        <v>20</v>
      </c>
      <c r="O3937" s="6" t="str">
        <f>HYPERLINK("https://pbs.twimg.com/profile_images/962471262747529216/Uo8lOkRJ_normal.jpg","View")</f>
        <v>View</v>
      </c>
      <c r="P3937" s="7"/>
    </row>
    <row r="3938" spans="1:16">
      <c r="A3938" s="3">
        <v>43912.912731481483</v>
      </c>
      <c r="B3938" s="4" t="str">
        <f>HYPERLINK("https://twitter.com/petrogustavo","@petrogustavo")</f>
        <v>@petrogustavo</v>
      </c>
      <c r="C3938" s="5" t="s">
        <v>16</v>
      </c>
      <c r="D3938" s="5" t="s">
        <v>3856</v>
      </c>
      <c r="E3938" s="6" t="str">
        <f>HYPERLINK("https://twitter.com/petrogustavo/status/1241762645792956417","1241762645792956417")</f>
        <v>1241762645792956417</v>
      </c>
      <c r="F3938" s="7" t="s">
        <v>17</v>
      </c>
      <c r="G3938" s="7">
        <v>3698454</v>
      </c>
      <c r="H3938" s="7">
        <v>2366</v>
      </c>
      <c r="I3938" s="7">
        <v>251</v>
      </c>
      <c r="J3938" s="7">
        <v>715</v>
      </c>
      <c r="K3938" s="7" t="s">
        <v>18</v>
      </c>
      <c r="L3938" s="8">
        <v>39987.315405092595</v>
      </c>
      <c r="M3938" s="9" t="s">
        <v>19</v>
      </c>
      <c r="N3938" s="9" t="s">
        <v>20</v>
      </c>
      <c r="O3938" s="6" t="str">
        <f>HYPERLINK("https://pbs.twimg.com/profile_images/962471262747529216/Uo8lOkRJ_normal.jpg","View")</f>
        <v>View</v>
      </c>
      <c r="P3938" s="7"/>
    </row>
    <row r="3939" spans="1:16">
      <c r="A3939" s="3">
        <v>43912.915532407409</v>
      </c>
      <c r="B3939" s="4" t="str">
        <f>HYPERLINK("https://twitter.com/petrogustavo","@petrogustavo")</f>
        <v>@petrogustavo</v>
      </c>
      <c r="C3939" s="5" t="s">
        <v>16</v>
      </c>
      <c r="D3939" s="5" t="s">
        <v>3857</v>
      </c>
      <c r="E3939" s="6" t="str">
        <f>HYPERLINK("https://twitter.com/petrogustavo/status/1241763663414951937","1241763663414951937")</f>
        <v>1241763663414951937</v>
      </c>
      <c r="F3939" s="7" t="s">
        <v>17</v>
      </c>
      <c r="G3939" s="7">
        <v>3698454</v>
      </c>
      <c r="H3939" s="7">
        <v>2366</v>
      </c>
      <c r="I3939" s="7">
        <v>145</v>
      </c>
      <c r="J3939" s="7">
        <v>341</v>
      </c>
      <c r="K3939" s="7" t="s">
        <v>18</v>
      </c>
      <c r="L3939" s="8">
        <v>39987.315405092595</v>
      </c>
      <c r="M3939" s="9" t="s">
        <v>19</v>
      </c>
      <c r="N3939" s="9" t="s">
        <v>20</v>
      </c>
      <c r="O3939" s="6" t="str">
        <f>HYPERLINK("https://pbs.twimg.com/profile_images/962471262747529216/Uo8lOkRJ_normal.jpg","View")</f>
        <v>View</v>
      </c>
      <c r="P3939" s="7"/>
    </row>
    <row r="3940" spans="1:16">
      <c r="A3940" s="3">
        <v>43912.916956018518</v>
      </c>
      <c r="B3940" s="4" t="str">
        <f>HYPERLINK("https://twitter.com/petrogustavo","@petrogustavo")</f>
        <v>@petrogustavo</v>
      </c>
      <c r="C3940" s="5" t="s">
        <v>16</v>
      </c>
      <c r="D3940" s="5" t="s">
        <v>3858</v>
      </c>
      <c r="E3940" s="6" t="str">
        <f>HYPERLINK("https://twitter.com/petrogustavo/status/1241764179331239936","1241764179331239936")</f>
        <v>1241764179331239936</v>
      </c>
      <c r="F3940" s="7" t="s">
        <v>17</v>
      </c>
      <c r="G3940" s="7">
        <v>3698454</v>
      </c>
      <c r="H3940" s="7">
        <v>2366</v>
      </c>
      <c r="I3940" s="7">
        <v>21</v>
      </c>
      <c r="J3940" s="7">
        <v>0</v>
      </c>
      <c r="K3940" s="7" t="s">
        <v>18</v>
      </c>
      <c r="L3940" s="8">
        <v>39987.315405092595</v>
      </c>
      <c r="M3940" s="9" t="s">
        <v>19</v>
      </c>
      <c r="N3940" s="9" t="s">
        <v>20</v>
      </c>
      <c r="O3940" s="6" t="str">
        <f>HYPERLINK("https://pbs.twimg.com/profile_images/962471262747529216/Uo8lOkRJ_normal.jpg","View")</f>
        <v>View</v>
      </c>
      <c r="P3940" s="7"/>
    </row>
    <row r="3941" spans="1:16">
      <c r="A3941" s="3">
        <v>43912.929236111115</v>
      </c>
      <c r="B3941" s="4" t="str">
        <f>HYPERLINK("https://twitter.com/petrogustavo","@petrogustavo")</f>
        <v>@petrogustavo</v>
      </c>
      <c r="C3941" s="5" t="s">
        <v>16</v>
      </c>
      <c r="D3941" s="5" t="s">
        <v>3859</v>
      </c>
      <c r="E3941" s="6" t="str">
        <f>HYPERLINK("https://twitter.com/petrogustavo/status/1241768629982633984","1241768629982633984")</f>
        <v>1241768629982633984</v>
      </c>
      <c r="F3941" s="7" t="s">
        <v>17</v>
      </c>
      <c r="G3941" s="7">
        <v>3698628</v>
      </c>
      <c r="H3941" s="7">
        <v>2366</v>
      </c>
      <c r="I3941" s="7">
        <v>501</v>
      </c>
      <c r="J3941" s="7">
        <v>1446</v>
      </c>
      <c r="K3941" s="7" t="s">
        <v>18</v>
      </c>
      <c r="L3941" s="8">
        <v>39987.315405092595</v>
      </c>
      <c r="M3941" s="9" t="s">
        <v>19</v>
      </c>
      <c r="N3941" s="9" t="s">
        <v>20</v>
      </c>
      <c r="O3941" s="6" t="str">
        <f>HYPERLINK("https://pbs.twimg.com/profile_images/962471262747529216/Uo8lOkRJ_normal.jpg","View")</f>
        <v>View</v>
      </c>
      <c r="P3941" s="7"/>
    </row>
    <row r="3942" spans="1:16">
      <c r="A3942" s="3">
        <v>43912.936030092591</v>
      </c>
      <c r="B3942" s="4" t="str">
        <f>HYPERLINK("https://twitter.com/petrogustavo","@petrogustavo")</f>
        <v>@petrogustavo</v>
      </c>
      <c r="C3942" s="5" t="s">
        <v>16</v>
      </c>
      <c r="D3942" s="5" t="s">
        <v>3860</v>
      </c>
      <c r="E3942" s="6" t="str">
        <f>HYPERLINK("https://twitter.com/petrogustavo/status/1241771090063564800","1241771090063564800")</f>
        <v>1241771090063564800</v>
      </c>
      <c r="F3942" s="7" t="s">
        <v>17</v>
      </c>
      <c r="G3942" s="7">
        <v>3698628</v>
      </c>
      <c r="H3942" s="7">
        <v>2366</v>
      </c>
      <c r="I3942" s="7">
        <v>199</v>
      </c>
      <c r="J3942" s="7">
        <v>425</v>
      </c>
      <c r="K3942" s="7" t="s">
        <v>18</v>
      </c>
      <c r="L3942" s="8">
        <v>39987.315405092595</v>
      </c>
      <c r="M3942" s="9" t="s">
        <v>19</v>
      </c>
      <c r="N3942" s="9" t="s">
        <v>20</v>
      </c>
      <c r="O3942" s="6" t="str">
        <f>HYPERLINK("https://pbs.twimg.com/profile_images/962471262747529216/Uo8lOkRJ_normal.jpg","View")</f>
        <v>View</v>
      </c>
      <c r="P3942" s="7"/>
    </row>
    <row r="3943" spans="1:16">
      <c r="A3943" s="3">
        <v>43912.93885416667</v>
      </c>
      <c r="B3943" s="4" t="str">
        <f>HYPERLINK("https://twitter.com/petrogustavo","@petrogustavo")</f>
        <v>@petrogustavo</v>
      </c>
      <c r="C3943" s="5" t="s">
        <v>16</v>
      </c>
      <c r="D3943" s="5" t="s">
        <v>3861</v>
      </c>
      <c r="E3943" s="6" t="str">
        <f>HYPERLINK("https://twitter.com/petrogustavo/status/1241772114207744001","1241772114207744001")</f>
        <v>1241772114207744001</v>
      </c>
      <c r="F3943" s="7" t="s">
        <v>17</v>
      </c>
      <c r="G3943" s="7">
        <v>3698628</v>
      </c>
      <c r="H3943" s="7">
        <v>2366</v>
      </c>
      <c r="I3943" s="7">
        <v>83</v>
      </c>
      <c r="J3943" s="7">
        <v>214</v>
      </c>
      <c r="K3943" s="7" t="s">
        <v>18</v>
      </c>
      <c r="L3943" s="8">
        <v>39987.315405092595</v>
      </c>
      <c r="M3943" s="9" t="s">
        <v>19</v>
      </c>
      <c r="N3943" s="9" t="s">
        <v>20</v>
      </c>
      <c r="O3943" s="6" t="str">
        <f>HYPERLINK("https://pbs.twimg.com/profile_images/962471262747529216/Uo8lOkRJ_normal.jpg","View")</f>
        <v>View</v>
      </c>
      <c r="P3943" s="7"/>
    </row>
    <row r="3944" spans="1:16">
      <c r="A3944" s="3">
        <v>43912.954513888893</v>
      </c>
      <c r="B3944" s="4" t="str">
        <f>HYPERLINK("https://twitter.com/petrogustavo","@petrogustavo")</f>
        <v>@petrogustavo</v>
      </c>
      <c r="C3944" s="5" t="s">
        <v>16</v>
      </c>
      <c r="D3944" s="5" t="s">
        <v>3862</v>
      </c>
      <c r="E3944" s="6" t="str">
        <f>HYPERLINK("https://twitter.com/petrogustavo/status/1241777788018987010","1241777788018987010")</f>
        <v>1241777788018987010</v>
      </c>
      <c r="F3944" s="7" t="s">
        <v>17</v>
      </c>
      <c r="G3944" s="7">
        <v>3698795</v>
      </c>
      <c r="H3944" s="7">
        <v>2366</v>
      </c>
      <c r="I3944" s="7">
        <v>62</v>
      </c>
      <c r="J3944" s="7">
        <v>0</v>
      </c>
      <c r="K3944" s="7" t="s">
        <v>18</v>
      </c>
      <c r="L3944" s="8">
        <v>39987.315405092595</v>
      </c>
      <c r="M3944" s="9" t="s">
        <v>19</v>
      </c>
      <c r="N3944" s="9" t="s">
        <v>20</v>
      </c>
      <c r="O3944" s="6" t="str">
        <f>HYPERLINK("https://pbs.twimg.com/profile_images/962471262747529216/Uo8lOkRJ_normal.jpg","View")</f>
        <v>View</v>
      </c>
      <c r="P3944" s="7"/>
    </row>
    <row r="3945" spans="1:16">
      <c r="A3945" s="3">
        <v>43912.957141203704</v>
      </c>
      <c r="B3945" s="4" t="str">
        <f>HYPERLINK("https://twitter.com/petrogustavo","@petrogustavo")</f>
        <v>@petrogustavo</v>
      </c>
      <c r="C3945" s="5" t="s">
        <v>16</v>
      </c>
      <c r="D3945" s="5" t="s">
        <v>3863</v>
      </c>
      <c r="E3945" s="6" t="str">
        <f>HYPERLINK("https://twitter.com/petrogustavo/status/1241778738708336641","1241778738708336641")</f>
        <v>1241778738708336641</v>
      </c>
      <c r="F3945" s="7" t="s">
        <v>17</v>
      </c>
      <c r="G3945" s="7">
        <v>3698795</v>
      </c>
      <c r="H3945" s="7">
        <v>2366</v>
      </c>
      <c r="I3945" s="7">
        <v>1250</v>
      </c>
      <c r="J3945" s="7">
        <v>0</v>
      </c>
      <c r="K3945" s="7" t="s">
        <v>18</v>
      </c>
      <c r="L3945" s="8">
        <v>39987.315405092595</v>
      </c>
      <c r="M3945" s="9" t="s">
        <v>19</v>
      </c>
      <c r="N3945" s="9" t="s">
        <v>20</v>
      </c>
      <c r="O3945" s="6" t="str">
        <f>HYPERLINK("https://pbs.twimg.com/profile_images/962471262747529216/Uo8lOkRJ_normal.jpg","View")</f>
        <v>View</v>
      </c>
      <c r="P3945" s="7"/>
    </row>
    <row r="3946" spans="1:16">
      <c r="A3946" s="3">
        <v>43912.957430555558</v>
      </c>
      <c r="B3946" s="4" t="str">
        <f>HYPERLINK("https://twitter.com/petrogustavo","@petrogustavo")</f>
        <v>@petrogustavo</v>
      </c>
      <c r="C3946" s="5" t="s">
        <v>16</v>
      </c>
      <c r="D3946" s="5" t="s">
        <v>3864</v>
      </c>
      <c r="E3946" s="6" t="str">
        <f>HYPERLINK("https://twitter.com/petrogustavo/status/1241778847072301056","1241778847072301056")</f>
        <v>1241778847072301056</v>
      </c>
      <c r="F3946" s="7" t="s">
        <v>17</v>
      </c>
      <c r="G3946" s="7">
        <v>3698795</v>
      </c>
      <c r="H3946" s="7">
        <v>2366</v>
      </c>
      <c r="I3946" s="7">
        <v>2485</v>
      </c>
      <c r="J3946" s="7">
        <v>0</v>
      </c>
      <c r="K3946" s="7" t="s">
        <v>18</v>
      </c>
      <c r="L3946" s="8">
        <v>39987.315405092595</v>
      </c>
      <c r="M3946" s="9" t="s">
        <v>19</v>
      </c>
      <c r="N3946" s="9" t="s">
        <v>20</v>
      </c>
      <c r="O3946" s="6" t="str">
        <f>HYPERLINK("https://pbs.twimg.com/profile_images/962471262747529216/Uo8lOkRJ_normal.jpg","View")</f>
        <v>View</v>
      </c>
      <c r="P3946" s="7"/>
    </row>
    <row r="3947" spans="1:16">
      <c r="A3947" s="3">
        <v>43912.979432870372</v>
      </c>
      <c r="B3947" s="4" t="str">
        <f>HYPERLINK("https://twitter.com/petrogustavo","@petrogustavo")</f>
        <v>@petrogustavo</v>
      </c>
      <c r="C3947" s="5" t="s">
        <v>16</v>
      </c>
      <c r="D3947" s="5" t="s">
        <v>3865</v>
      </c>
      <c r="E3947" s="6" t="str">
        <f>HYPERLINK("https://twitter.com/petrogustavo/status/1241786818112217088","1241786818112217088")</f>
        <v>1241786818112217088</v>
      </c>
      <c r="F3947" s="7" t="s">
        <v>32</v>
      </c>
      <c r="G3947" s="7">
        <v>3698933</v>
      </c>
      <c r="H3947" s="7">
        <v>2366</v>
      </c>
      <c r="I3947" s="7">
        <v>119</v>
      </c>
      <c r="J3947" s="7">
        <v>191</v>
      </c>
      <c r="K3947" s="7" t="s">
        <v>18</v>
      </c>
      <c r="L3947" s="8">
        <v>39987.315405092595</v>
      </c>
      <c r="M3947" s="9" t="s">
        <v>19</v>
      </c>
      <c r="N3947" s="9" t="s">
        <v>20</v>
      </c>
      <c r="O3947" s="6" t="str">
        <f>HYPERLINK("https://pbs.twimg.com/profile_images/962471262747529216/Uo8lOkRJ_normal.jpg","View")</f>
        <v>View</v>
      </c>
      <c r="P3947" s="7"/>
    </row>
    <row r="3948" spans="1:16">
      <c r="A3948" s="3">
        <v>43912.981504629628</v>
      </c>
      <c r="B3948" s="4" t="str">
        <f>HYPERLINK("https://twitter.com/petrogustavo","@petrogustavo")</f>
        <v>@petrogustavo</v>
      </c>
      <c r="C3948" s="5" t="s">
        <v>16</v>
      </c>
      <c r="D3948" s="5" t="s">
        <v>3866</v>
      </c>
      <c r="E3948" s="6" t="str">
        <f>HYPERLINK("https://twitter.com/petrogustavo/status/1241787568309571584","1241787568309571584")</f>
        <v>1241787568309571584</v>
      </c>
      <c r="F3948" s="7" t="s">
        <v>32</v>
      </c>
      <c r="G3948" s="7">
        <v>3698933</v>
      </c>
      <c r="H3948" s="7">
        <v>2366</v>
      </c>
      <c r="I3948" s="7">
        <v>208</v>
      </c>
      <c r="J3948" s="7">
        <v>501</v>
      </c>
      <c r="K3948" s="7" t="s">
        <v>18</v>
      </c>
      <c r="L3948" s="8">
        <v>39987.315405092595</v>
      </c>
      <c r="M3948" s="9" t="s">
        <v>19</v>
      </c>
      <c r="N3948" s="9" t="s">
        <v>20</v>
      </c>
      <c r="O3948" s="6" t="str">
        <f>HYPERLINK("https://pbs.twimg.com/profile_images/962471262747529216/Uo8lOkRJ_normal.jpg","View")</f>
        <v>View</v>
      </c>
      <c r="P3948" s="7"/>
    </row>
    <row r="3949" spans="1:16">
      <c r="A3949" s="3">
        <v>43912.98918981482</v>
      </c>
      <c r="B3949" s="4" t="str">
        <f>HYPERLINK("https://twitter.com/petrogustavo","@petrogustavo")</f>
        <v>@petrogustavo</v>
      </c>
      <c r="C3949" s="5" t="s">
        <v>16</v>
      </c>
      <c r="D3949" s="5" t="s">
        <v>3867</v>
      </c>
      <c r="E3949" s="6" t="str">
        <f>HYPERLINK("https://twitter.com/petrogustavo/status/1241790353268752389","1241790353268752389")</f>
        <v>1241790353268752389</v>
      </c>
      <c r="F3949" s="7" t="s">
        <v>32</v>
      </c>
      <c r="G3949" s="7">
        <v>3698933</v>
      </c>
      <c r="H3949" s="7">
        <v>2366</v>
      </c>
      <c r="I3949" s="7">
        <v>25</v>
      </c>
      <c r="J3949" s="7">
        <v>48</v>
      </c>
      <c r="K3949" s="7" t="s">
        <v>18</v>
      </c>
      <c r="L3949" s="8">
        <v>39987.315405092595</v>
      </c>
      <c r="M3949" s="9" t="s">
        <v>19</v>
      </c>
      <c r="N3949" s="9" t="s">
        <v>20</v>
      </c>
      <c r="O3949" s="6" t="str">
        <f>HYPERLINK("https://pbs.twimg.com/profile_images/962471262747529216/Uo8lOkRJ_normal.jpg","View")</f>
        <v>View</v>
      </c>
      <c r="P3949" s="7"/>
    </row>
    <row r="3950" spans="1:16">
      <c r="A3950" s="3">
        <v>43913.014074074075</v>
      </c>
      <c r="B3950" s="4" t="str">
        <f>HYPERLINK("https://twitter.com/petrogustavo","@petrogustavo")</f>
        <v>@petrogustavo</v>
      </c>
      <c r="C3950" s="5" t="s">
        <v>16</v>
      </c>
      <c r="D3950" s="5" t="s">
        <v>3868</v>
      </c>
      <c r="E3950" s="6" t="str">
        <f>HYPERLINK("https://twitter.com/petrogustavo/status/1241799370527383552","1241799370527383552")</f>
        <v>1241799370527383552</v>
      </c>
      <c r="F3950" s="7" t="s">
        <v>17</v>
      </c>
      <c r="G3950" s="7">
        <v>3699323</v>
      </c>
      <c r="H3950" s="7">
        <v>2365</v>
      </c>
      <c r="I3950" s="7">
        <v>269</v>
      </c>
      <c r="J3950" s="7">
        <v>455</v>
      </c>
      <c r="K3950" s="7" t="s">
        <v>18</v>
      </c>
      <c r="L3950" s="8">
        <v>39987.315405092595</v>
      </c>
      <c r="M3950" s="9" t="s">
        <v>19</v>
      </c>
      <c r="N3950" s="9" t="s">
        <v>20</v>
      </c>
      <c r="O3950" s="6" t="str">
        <f>HYPERLINK("https://pbs.twimg.com/profile_images/962471262747529216/Uo8lOkRJ_normal.jpg","View")</f>
        <v>View</v>
      </c>
      <c r="P3950" s="7"/>
    </row>
    <row r="3951" spans="1:16">
      <c r="A3951" s="3">
        <v>43913.043113425927</v>
      </c>
      <c r="B3951" s="4" t="str">
        <f>HYPERLINK("https://twitter.com/petrogustavo","@petrogustavo")</f>
        <v>@petrogustavo</v>
      </c>
      <c r="C3951" s="5" t="s">
        <v>16</v>
      </c>
      <c r="D3951" s="5" t="s">
        <v>3869</v>
      </c>
      <c r="E3951" s="6" t="str">
        <f>HYPERLINK("https://twitter.com/petrogustavo/status/1241809896791818240","1241809896791818240")</f>
        <v>1241809896791818240</v>
      </c>
      <c r="F3951" s="7" t="s">
        <v>32</v>
      </c>
      <c r="G3951" s="7">
        <v>3699465</v>
      </c>
      <c r="H3951" s="7">
        <v>2365</v>
      </c>
      <c r="I3951" s="7">
        <v>154</v>
      </c>
      <c r="J3951" s="7">
        <v>533</v>
      </c>
      <c r="K3951" s="7" t="s">
        <v>18</v>
      </c>
      <c r="L3951" s="8">
        <v>39987.315405092595</v>
      </c>
      <c r="M3951" s="9" t="s">
        <v>19</v>
      </c>
      <c r="N3951" s="9" t="s">
        <v>20</v>
      </c>
      <c r="O3951" s="6" t="str">
        <f>HYPERLINK("https://pbs.twimg.com/profile_images/962471262747529216/Uo8lOkRJ_normal.jpg","View")</f>
        <v>View</v>
      </c>
      <c r="P3951" s="7"/>
    </row>
    <row r="3952" spans="1:16">
      <c r="A3952" s="3">
        <v>43913.069189814814</v>
      </c>
      <c r="B3952" s="4" t="str">
        <f>HYPERLINK("https://twitter.com/petrogustavo","@petrogustavo")</f>
        <v>@petrogustavo</v>
      </c>
      <c r="C3952" s="5" t="s">
        <v>16</v>
      </c>
      <c r="D3952" s="5" t="s">
        <v>3870</v>
      </c>
      <c r="E3952" s="6" t="str">
        <f>HYPERLINK("https://twitter.com/petrogustavo/status/1241819345375891458","1241819345375891458")</f>
        <v>1241819345375891458</v>
      </c>
      <c r="F3952" s="7" t="s">
        <v>17</v>
      </c>
      <c r="G3952" s="7">
        <v>3699579</v>
      </c>
      <c r="H3952" s="7">
        <v>2365</v>
      </c>
      <c r="I3952" s="7">
        <v>986</v>
      </c>
      <c r="J3952" s="7">
        <v>0</v>
      </c>
      <c r="K3952" s="7" t="s">
        <v>18</v>
      </c>
      <c r="L3952" s="8">
        <v>39987.315405092595</v>
      </c>
      <c r="M3952" s="9" t="s">
        <v>19</v>
      </c>
      <c r="N3952" s="9" t="s">
        <v>20</v>
      </c>
      <c r="O3952" s="6" t="str">
        <f>HYPERLINK("https://pbs.twimg.com/profile_images/962471262747529216/Uo8lOkRJ_normal.jpg","View")</f>
        <v>View</v>
      </c>
      <c r="P3952" s="7"/>
    </row>
    <row r="3953" spans="1:16">
      <c r="A3953" s="3">
        <v>43913.109525462962</v>
      </c>
      <c r="B3953" s="4" t="str">
        <f>HYPERLINK("https://twitter.com/petrogustavo","@petrogustavo")</f>
        <v>@petrogustavo</v>
      </c>
      <c r="C3953" s="5" t="s">
        <v>16</v>
      </c>
      <c r="D3953" s="5" t="s">
        <v>3871</v>
      </c>
      <c r="E3953" s="6" t="str">
        <f>HYPERLINK("https://twitter.com/petrogustavo/status/1241833963456466945","1241833963456466945")</f>
        <v>1241833963456466945</v>
      </c>
      <c r="F3953" s="7" t="s">
        <v>17</v>
      </c>
      <c r="G3953" s="7">
        <v>3699873</v>
      </c>
      <c r="H3953" s="7">
        <v>2365</v>
      </c>
      <c r="I3953" s="7">
        <v>163</v>
      </c>
      <c r="J3953" s="7">
        <v>468</v>
      </c>
      <c r="K3953" s="7" t="s">
        <v>18</v>
      </c>
      <c r="L3953" s="8">
        <v>39987.315405092595</v>
      </c>
      <c r="M3953" s="9" t="s">
        <v>19</v>
      </c>
      <c r="N3953" s="9" t="s">
        <v>20</v>
      </c>
      <c r="O3953" s="6" t="str">
        <f>HYPERLINK("https://pbs.twimg.com/profile_images/962471262747529216/Uo8lOkRJ_normal.jpg","View")</f>
        <v>View</v>
      </c>
      <c r="P3953" s="7"/>
    </row>
    <row r="3954" spans="1:16">
      <c r="A3954" s="3">
        <v>43913.196631944447</v>
      </c>
      <c r="B3954" s="4" t="str">
        <f>HYPERLINK("https://twitter.com/petrogustavo","@petrogustavo")</f>
        <v>@petrogustavo</v>
      </c>
      <c r="C3954" s="5" t="s">
        <v>16</v>
      </c>
      <c r="D3954" s="5" t="s">
        <v>3872</v>
      </c>
      <c r="E3954" s="6" t="str">
        <f>HYPERLINK("https://twitter.com/petrogustavo/status/1241865530358861825","1241865530358861825")</f>
        <v>1241865530358861825</v>
      </c>
      <c r="F3954" s="7" t="s">
        <v>17</v>
      </c>
      <c r="G3954" s="7">
        <v>3700424</v>
      </c>
      <c r="H3954" s="7">
        <v>2365</v>
      </c>
      <c r="I3954" s="7">
        <v>217</v>
      </c>
      <c r="J3954" s="7">
        <v>0</v>
      </c>
      <c r="K3954" s="7" t="s">
        <v>18</v>
      </c>
      <c r="L3954" s="8">
        <v>39987.315405092595</v>
      </c>
      <c r="M3954" s="9" t="s">
        <v>19</v>
      </c>
      <c r="N3954" s="9" t="s">
        <v>20</v>
      </c>
      <c r="O3954" s="6" t="str">
        <f>HYPERLINK("https://pbs.twimg.com/profile_images/962471262747529216/Uo8lOkRJ_normal.jpg","View")</f>
        <v>View</v>
      </c>
      <c r="P3954" s="7"/>
    </row>
    <row r="3955" spans="1:16">
      <c r="A3955" s="3">
        <v>43913.198148148149</v>
      </c>
      <c r="B3955" s="4" t="str">
        <f>HYPERLINK("https://twitter.com/petrogustavo","@petrogustavo")</f>
        <v>@petrogustavo</v>
      </c>
      <c r="C3955" s="5" t="s">
        <v>16</v>
      </c>
      <c r="D3955" s="5" t="s">
        <v>3873</v>
      </c>
      <c r="E3955" s="6" t="str">
        <f>HYPERLINK("https://twitter.com/petrogustavo/status/1241866077879046145","1241866077879046145")</f>
        <v>1241866077879046145</v>
      </c>
      <c r="F3955" s="7" t="s">
        <v>17</v>
      </c>
      <c r="G3955" s="7">
        <v>3700424</v>
      </c>
      <c r="H3955" s="7">
        <v>2365</v>
      </c>
      <c r="I3955" s="7">
        <v>9</v>
      </c>
      <c r="J3955" s="7">
        <v>34</v>
      </c>
      <c r="K3955" s="7" t="s">
        <v>18</v>
      </c>
      <c r="L3955" s="8">
        <v>39987.315405092595</v>
      </c>
      <c r="M3955" s="9" t="s">
        <v>19</v>
      </c>
      <c r="N3955" s="9" t="s">
        <v>20</v>
      </c>
      <c r="O3955" s="6" t="str">
        <f>HYPERLINK("https://pbs.twimg.com/profile_images/962471262747529216/Uo8lOkRJ_normal.jpg","View")</f>
        <v>View</v>
      </c>
      <c r="P3955" s="7"/>
    </row>
    <row r="3956" spans="1:16">
      <c r="A3956" s="3">
        <v>43913.20207175926</v>
      </c>
      <c r="B3956" s="4" t="str">
        <f>HYPERLINK("https://twitter.com/petrogustavo","@petrogustavo")</f>
        <v>@petrogustavo</v>
      </c>
      <c r="C3956" s="5" t="s">
        <v>16</v>
      </c>
      <c r="D3956" s="5" t="s">
        <v>3874</v>
      </c>
      <c r="E3956" s="6" t="str">
        <f>HYPERLINK("https://twitter.com/petrogustavo/status/1241867498699579392","1241867498699579392")</f>
        <v>1241867498699579392</v>
      </c>
      <c r="F3956" s="7" t="s">
        <v>17</v>
      </c>
      <c r="G3956" s="7">
        <v>3700582</v>
      </c>
      <c r="H3956" s="7">
        <v>2365</v>
      </c>
      <c r="I3956" s="7">
        <v>144</v>
      </c>
      <c r="J3956" s="7">
        <v>370</v>
      </c>
      <c r="K3956" s="7" t="s">
        <v>18</v>
      </c>
      <c r="L3956" s="8">
        <v>39987.315405092595</v>
      </c>
      <c r="M3956" s="9" t="s">
        <v>19</v>
      </c>
      <c r="N3956" s="9" t="s">
        <v>20</v>
      </c>
      <c r="O3956" s="6" t="str">
        <f>HYPERLINK("https://pbs.twimg.com/profile_images/962471262747529216/Uo8lOkRJ_normal.jpg","View")</f>
        <v>View</v>
      </c>
      <c r="P3956" s="7"/>
    </row>
    <row r="3957" spans="1:16">
      <c r="A3957" s="3">
        <v>43913.20590277778</v>
      </c>
      <c r="B3957" s="4" t="str">
        <f>HYPERLINK("https://twitter.com/petrogustavo","@petrogustavo")</f>
        <v>@petrogustavo</v>
      </c>
      <c r="C3957" s="5" t="s">
        <v>16</v>
      </c>
      <c r="D3957" s="5" t="s">
        <v>3875</v>
      </c>
      <c r="E3957" s="6" t="str">
        <f>HYPERLINK("https://twitter.com/petrogustavo/status/1241868887727181831","1241868887727181831")</f>
        <v>1241868887727181831</v>
      </c>
      <c r="F3957" s="7" t="s">
        <v>17</v>
      </c>
      <c r="G3957" s="7">
        <v>3700582</v>
      </c>
      <c r="H3957" s="7">
        <v>2365</v>
      </c>
      <c r="I3957" s="7">
        <v>58</v>
      </c>
      <c r="J3957" s="7">
        <v>0</v>
      </c>
      <c r="K3957" s="7" t="s">
        <v>18</v>
      </c>
      <c r="L3957" s="8">
        <v>39987.315405092595</v>
      </c>
      <c r="M3957" s="9" t="s">
        <v>19</v>
      </c>
      <c r="N3957" s="9" t="s">
        <v>20</v>
      </c>
      <c r="O3957" s="6" t="str">
        <f>HYPERLINK("https://pbs.twimg.com/profile_images/962471262747529216/Uo8lOkRJ_normal.jpg","View")</f>
        <v>View</v>
      </c>
      <c r="P3957" s="7"/>
    </row>
    <row r="3958" spans="1:16">
      <c r="A3958" s="3">
        <v>43913.206423611111</v>
      </c>
      <c r="B3958" s="4" t="str">
        <f>HYPERLINK("https://twitter.com/petrogustavo","@petrogustavo")</f>
        <v>@petrogustavo</v>
      </c>
      <c r="C3958" s="5" t="s">
        <v>16</v>
      </c>
      <c r="D3958" s="5" t="s">
        <v>3876</v>
      </c>
      <c r="E3958" s="6" t="str">
        <f>HYPERLINK("https://twitter.com/petrogustavo/status/1241869077179707392","1241869077179707392")</f>
        <v>1241869077179707392</v>
      </c>
      <c r="F3958" s="7" t="s">
        <v>17</v>
      </c>
      <c r="G3958" s="7">
        <v>3700582</v>
      </c>
      <c r="H3958" s="7">
        <v>2365</v>
      </c>
      <c r="I3958" s="7">
        <v>49</v>
      </c>
      <c r="J3958" s="7">
        <v>0</v>
      </c>
      <c r="K3958" s="7" t="s">
        <v>18</v>
      </c>
      <c r="L3958" s="8">
        <v>39987.315405092595</v>
      </c>
      <c r="M3958" s="9" t="s">
        <v>19</v>
      </c>
      <c r="N3958" s="9" t="s">
        <v>20</v>
      </c>
      <c r="O3958" s="6" t="str">
        <f>HYPERLINK("https://pbs.twimg.com/profile_images/962471262747529216/Uo8lOkRJ_normal.jpg","View")</f>
        <v>View</v>
      </c>
      <c r="P3958" s="7"/>
    </row>
    <row r="3959" spans="1:16">
      <c r="A3959" s="3">
        <v>43913.208379629628</v>
      </c>
      <c r="B3959" s="4" t="str">
        <f>HYPERLINK("https://twitter.com/petrogustavo","@petrogustavo")</f>
        <v>@petrogustavo</v>
      </c>
      <c r="C3959" s="5" t="s">
        <v>16</v>
      </c>
      <c r="D3959" s="5" t="s">
        <v>3877</v>
      </c>
      <c r="E3959" s="6" t="str">
        <f>HYPERLINK("https://twitter.com/petrogustavo/status/1241869787552194561","1241869787552194561")</f>
        <v>1241869787552194561</v>
      </c>
      <c r="F3959" s="7" t="s">
        <v>17</v>
      </c>
      <c r="G3959" s="7">
        <v>3700582</v>
      </c>
      <c r="H3959" s="7">
        <v>2365</v>
      </c>
      <c r="I3959" s="7">
        <v>79</v>
      </c>
      <c r="J3959" s="7">
        <v>0</v>
      </c>
      <c r="K3959" s="7" t="s">
        <v>18</v>
      </c>
      <c r="L3959" s="8">
        <v>39987.315405092595</v>
      </c>
      <c r="M3959" s="9" t="s">
        <v>19</v>
      </c>
      <c r="N3959" s="9" t="s">
        <v>20</v>
      </c>
      <c r="O3959" s="6" t="str">
        <f>HYPERLINK("https://pbs.twimg.com/profile_images/962471262747529216/Uo8lOkRJ_normal.jpg","View")</f>
        <v>View</v>
      </c>
      <c r="P3959" s="7"/>
    </row>
    <row r="3960" spans="1:16">
      <c r="A3960" s="3">
        <v>43913.213333333333</v>
      </c>
      <c r="B3960" s="4" t="str">
        <f>HYPERLINK("https://twitter.com/petrogustavo","@petrogustavo")</f>
        <v>@petrogustavo</v>
      </c>
      <c r="C3960" s="5" t="s">
        <v>16</v>
      </c>
      <c r="D3960" s="5" t="s">
        <v>3878</v>
      </c>
      <c r="E3960" s="6" t="str">
        <f>HYPERLINK("https://twitter.com/petrogustavo/status/1241871580336185345","1241871580336185345")</f>
        <v>1241871580336185345</v>
      </c>
      <c r="F3960" s="7" t="s">
        <v>17</v>
      </c>
      <c r="G3960" s="7">
        <v>3700582</v>
      </c>
      <c r="H3960" s="7">
        <v>2365</v>
      </c>
      <c r="I3960" s="7">
        <v>191</v>
      </c>
      <c r="J3960" s="7">
        <v>0</v>
      </c>
      <c r="K3960" s="7" t="s">
        <v>18</v>
      </c>
      <c r="L3960" s="8">
        <v>39987.315405092595</v>
      </c>
      <c r="M3960" s="9" t="s">
        <v>19</v>
      </c>
      <c r="N3960" s="9" t="s">
        <v>20</v>
      </c>
      <c r="O3960" s="6" t="str">
        <f>HYPERLINK("https://pbs.twimg.com/profile_images/962471262747529216/Uo8lOkRJ_normal.jpg","View")</f>
        <v>View</v>
      </c>
      <c r="P3960" s="7"/>
    </row>
    <row r="3961" spans="1:16">
      <c r="A3961" s="3">
        <v>43913.224178240736</v>
      </c>
      <c r="B3961" s="4" t="str">
        <f>HYPERLINK("https://twitter.com/petrogustavo","@petrogustavo")</f>
        <v>@petrogustavo</v>
      </c>
      <c r="C3961" s="5" t="s">
        <v>16</v>
      </c>
      <c r="D3961" s="5" t="s">
        <v>3879</v>
      </c>
      <c r="E3961" s="6" t="str">
        <f>HYPERLINK("https://twitter.com/petrogustavo/status/1241875512160649232","1241875512160649232")</f>
        <v>1241875512160649232</v>
      </c>
      <c r="F3961" s="7" t="s">
        <v>17</v>
      </c>
      <c r="G3961" s="7">
        <v>3700714</v>
      </c>
      <c r="H3961" s="7">
        <v>2366</v>
      </c>
      <c r="I3961" s="7">
        <v>166</v>
      </c>
      <c r="J3961" s="7">
        <v>459</v>
      </c>
      <c r="K3961" s="7" t="s">
        <v>18</v>
      </c>
      <c r="L3961" s="8">
        <v>39987.315405092595</v>
      </c>
      <c r="M3961" s="9" t="s">
        <v>19</v>
      </c>
      <c r="N3961" s="9" t="s">
        <v>20</v>
      </c>
      <c r="O3961" s="6" t="str">
        <f>HYPERLINK("https://pbs.twimg.com/profile_images/962471262747529216/Uo8lOkRJ_normal.jpg","View")</f>
        <v>View</v>
      </c>
      <c r="P3961" s="7"/>
    </row>
    <row r="3962" spans="1:16">
      <c r="A3962" s="3">
        <v>43913.225543981476</v>
      </c>
      <c r="B3962" s="4" t="str">
        <f>HYPERLINK("https://twitter.com/petrogustavo","@petrogustavo")</f>
        <v>@petrogustavo</v>
      </c>
      <c r="C3962" s="5" t="s">
        <v>16</v>
      </c>
      <c r="D3962" s="5" t="s">
        <v>3880</v>
      </c>
      <c r="E3962" s="6" t="str">
        <f>HYPERLINK("https://twitter.com/petrogustavo/status/1241876007868682240","1241876007868682240")</f>
        <v>1241876007868682240</v>
      </c>
      <c r="F3962" s="7" t="s">
        <v>17</v>
      </c>
      <c r="G3962" s="7">
        <v>3700714</v>
      </c>
      <c r="H3962" s="7">
        <v>2366</v>
      </c>
      <c r="I3962" s="7">
        <v>99</v>
      </c>
      <c r="J3962" s="7">
        <v>170</v>
      </c>
      <c r="K3962" s="7" t="s">
        <v>18</v>
      </c>
      <c r="L3962" s="8">
        <v>39987.315405092595</v>
      </c>
      <c r="M3962" s="9" t="s">
        <v>19</v>
      </c>
      <c r="N3962" s="9" t="s">
        <v>20</v>
      </c>
      <c r="O3962" s="6" t="str">
        <f>HYPERLINK("https://pbs.twimg.com/profile_images/962471262747529216/Uo8lOkRJ_normal.jpg","View")</f>
        <v>View</v>
      </c>
      <c r="P3962" s="7"/>
    </row>
    <row r="3963" spans="1:16">
      <c r="A3963" s="3">
        <v>43913.228437500002</v>
      </c>
      <c r="B3963" s="4" t="str">
        <f>HYPERLINK("https://twitter.com/petrogustavo","@petrogustavo")</f>
        <v>@petrogustavo</v>
      </c>
      <c r="C3963" s="5" t="s">
        <v>16</v>
      </c>
      <c r="D3963" s="5" t="s">
        <v>3881</v>
      </c>
      <c r="E3963" s="6" t="str">
        <f>HYPERLINK("https://twitter.com/petrogustavo/status/1241877055551279110","1241877055551279110")</f>
        <v>1241877055551279110</v>
      </c>
      <c r="F3963" s="7" t="s">
        <v>17</v>
      </c>
      <c r="G3963" s="7">
        <v>3700714</v>
      </c>
      <c r="H3963" s="7">
        <v>2366</v>
      </c>
      <c r="I3963" s="7">
        <v>195</v>
      </c>
      <c r="J3963" s="7">
        <v>0</v>
      </c>
      <c r="K3963" s="7" t="s">
        <v>18</v>
      </c>
      <c r="L3963" s="8">
        <v>39987.315405092595</v>
      </c>
      <c r="M3963" s="9" t="s">
        <v>19</v>
      </c>
      <c r="N3963" s="9" t="s">
        <v>20</v>
      </c>
      <c r="O3963" s="6" t="str">
        <f>HYPERLINK("https://pbs.twimg.com/profile_images/962471262747529216/Uo8lOkRJ_normal.jpg","View")</f>
        <v>View</v>
      </c>
      <c r="P3963" s="7"/>
    </row>
    <row r="3964" spans="1:16">
      <c r="A3964" s="3">
        <v>43913.231249999997</v>
      </c>
      <c r="B3964" s="4" t="str">
        <f>HYPERLINK("https://twitter.com/petrogustavo","@petrogustavo")</f>
        <v>@petrogustavo</v>
      </c>
      <c r="C3964" s="5" t="s">
        <v>16</v>
      </c>
      <c r="D3964" s="5" t="s">
        <v>3882</v>
      </c>
      <c r="E3964" s="6" t="str">
        <f>HYPERLINK("https://twitter.com/petrogustavo/status/1241878075203297280","1241878075203297280")</f>
        <v>1241878075203297280</v>
      </c>
      <c r="F3964" s="7" t="s">
        <v>17</v>
      </c>
      <c r="G3964" s="7">
        <v>3700714</v>
      </c>
      <c r="H3964" s="7">
        <v>2366</v>
      </c>
      <c r="I3964" s="7">
        <v>87</v>
      </c>
      <c r="J3964" s="7">
        <v>306</v>
      </c>
      <c r="K3964" s="7" t="s">
        <v>18</v>
      </c>
      <c r="L3964" s="8">
        <v>39987.315405092595</v>
      </c>
      <c r="M3964" s="9" t="s">
        <v>19</v>
      </c>
      <c r="N3964" s="9" t="s">
        <v>20</v>
      </c>
      <c r="O3964" s="6" t="str">
        <f>HYPERLINK("https://pbs.twimg.com/profile_images/962471262747529216/Uo8lOkRJ_normal.jpg","View")</f>
        <v>View</v>
      </c>
      <c r="P3964" s="7"/>
    </row>
    <row r="3965" spans="1:16">
      <c r="A3965" s="3">
        <v>43913.239895833336</v>
      </c>
      <c r="B3965" s="4" t="str">
        <f>HYPERLINK("https://twitter.com/petrogustavo","@petrogustavo")</f>
        <v>@petrogustavo</v>
      </c>
      <c r="C3965" s="5" t="s">
        <v>16</v>
      </c>
      <c r="D3965" s="5" t="s">
        <v>3883</v>
      </c>
      <c r="E3965" s="6" t="str">
        <f>HYPERLINK("https://twitter.com/petrogustavo/status/1241881205706051586","1241881205706051586")</f>
        <v>1241881205706051586</v>
      </c>
      <c r="F3965" s="7" t="s">
        <v>17</v>
      </c>
      <c r="G3965" s="7">
        <v>3700714</v>
      </c>
      <c r="H3965" s="7">
        <v>2366</v>
      </c>
      <c r="I3965" s="7">
        <v>34</v>
      </c>
      <c r="J3965" s="7">
        <v>51</v>
      </c>
      <c r="K3965" s="7" t="s">
        <v>18</v>
      </c>
      <c r="L3965" s="8">
        <v>39987.315405092595</v>
      </c>
      <c r="M3965" s="9" t="s">
        <v>19</v>
      </c>
      <c r="N3965" s="9" t="s">
        <v>20</v>
      </c>
      <c r="O3965" s="6" t="str">
        <f>HYPERLINK("https://pbs.twimg.com/profile_images/962471262747529216/Uo8lOkRJ_normal.jpg","View")</f>
        <v>View</v>
      </c>
      <c r="P3965" s="7"/>
    </row>
    <row r="3966" spans="1:16">
      <c r="A3966" s="3">
        <v>43913.246747685189</v>
      </c>
      <c r="B3966" s="4" t="str">
        <f>HYPERLINK("https://twitter.com/petrogustavo","@petrogustavo")</f>
        <v>@petrogustavo</v>
      </c>
      <c r="C3966" s="5" t="s">
        <v>16</v>
      </c>
      <c r="D3966" s="5" t="s">
        <v>3884</v>
      </c>
      <c r="E3966" s="6" t="str">
        <f>HYPERLINK("https://twitter.com/petrogustavo/status/1241883690822709249","1241883690822709249")</f>
        <v>1241883690822709249</v>
      </c>
      <c r="F3966" s="7" t="s">
        <v>17</v>
      </c>
      <c r="G3966" s="7">
        <v>3700866</v>
      </c>
      <c r="H3966" s="7">
        <v>2367</v>
      </c>
      <c r="I3966" s="7">
        <v>218</v>
      </c>
      <c r="J3966" s="7">
        <v>594</v>
      </c>
      <c r="K3966" s="7" t="s">
        <v>18</v>
      </c>
      <c r="L3966" s="8">
        <v>39987.315405092595</v>
      </c>
      <c r="M3966" s="9" t="s">
        <v>19</v>
      </c>
      <c r="N3966" s="9" t="s">
        <v>20</v>
      </c>
      <c r="O3966" s="6" t="str">
        <f>HYPERLINK("https://pbs.twimg.com/profile_images/962471262747529216/Uo8lOkRJ_normal.jpg","View")</f>
        <v>View</v>
      </c>
      <c r="P3966" s="7"/>
    </row>
    <row r="3967" spans="1:16">
      <c r="A3967" s="3">
        <v>43913.251307870371</v>
      </c>
      <c r="B3967" s="4" t="str">
        <f>HYPERLINK("https://twitter.com/petrogustavo","@petrogustavo")</f>
        <v>@petrogustavo</v>
      </c>
      <c r="C3967" s="5" t="s">
        <v>16</v>
      </c>
      <c r="D3967" s="5" t="s">
        <v>3885</v>
      </c>
      <c r="E3967" s="6" t="str">
        <f>HYPERLINK("https://twitter.com/petrogustavo/status/1241885342585757697","1241885342585757697")</f>
        <v>1241885342585757697</v>
      </c>
      <c r="F3967" s="7" t="s">
        <v>17</v>
      </c>
      <c r="G3967" s="7">
        <v>3700866</v>
      </c>
      <c r="H3967" s="7">
        <v>2367</v>
      </c>
      <c r="I3967" s="7">
        <v>14</v>
      </c>
      <c r="J3967" s="7">
        <v>0</v>
      </c>
      <c r="K3967" s="7" t="s">
        <v>18</v>
      </c>
      <c r="L3967" s="8">
        <v>39987.315405092595</v>
      </c>
      <c r="M3967" s="9" t="s">
        <v>19</v>
      </c>
      <c r="N3967" s="9" t="s">
        <v>20</v>
      </c>
      <c r="O3967" s="6" t="str">
        <f>HYPERLINK("https://pbs.twimg.com/profile_images/962471262747529216/Uo8lOkRJ_normal.jpg","View")</f>
        <v>View</v>
      </c>
      <c r="P3967" s="7"/>
    </row>
    <row r="3968" spans="1:16">
      <c r="A3968" s="3">
        <v>43913.255752314813</v>
      </c>
      <c r="B3968" s="4" t="str">
        <f>HYPERLINK("https://twitter.com/petrogustavo","@petrogustavo")</f>
        <v>@petrogustavo</v>
      </c>
      <c r="C3968" s="5" t="s">
        <v>16</v>
      </c>
      <c r="D3968" s="5" t="s">
        <v>3886</v>
      </c>
      <c r="E3968" s="6" t="str">
        <f>HYPERLINK("https://twitter.com/petrogustavo/status/1241886955325046786","1241886955325046786")</f>
        <v>1241886955325046786</v>
      </c>
      <c r="F3968" s="7" t="s">
        <v>17</v>
      </c>
      <c r="G3968" s="7">
        <v>3700866</v>
      </c>
      <c r="H3968" s="7">
        <v>2367</v>
      </c>
      <c r="I3968" s="7">
        <v>86</v>
      </c>
      <c r="J3968" s="7">
        <v>115</v>
      </c>
      <c r="K3968" s="7" t="s">
        <v>18</v>
      </c>
      <c r="L3968" s="8">
        <v>39987.315405092595</v>
      </c>
      <c r="M3968" s="9" t="s">
        <v>19</v>
      </c>
      <c r="N3968" s="9" t="s">
        <v>20</v>
      </c>
      <c r="O3968" s="6" t="str">
        <f>HYPERLINK("https://pbs.twimg.com/profile_images/962471262747529216/Uo8lOkRJ_normal.jpg","View")</f>
        <v>View</v>
      </c>
      <c r="P3968" s="7"/>
    </row>
    <row r="3969" spans="1:16">
      <c r="A3969" s="3">
        <v>43913.264062499999</v>
      </c>
      <c r="B3969" s="4" t="str">
        <f>HYPERLINK("https://twitter.com/petrogustavo","@petrogustavo")</f>
        <v>@petrogustavo</v>
      </c>
      <c r="C3969" s="5" t="s">
        <v>16</v>
      </c>
      <c r="D3969" s="5" t="s">
        <v>3887</v>
      </c>
      <c r="E3969" s="6" t="str">
        <f>HYPERLINK("https://twitter.com/petrogustavo/status/1241889965816102913","1241889965816102913")</f>
        <v>1241889965816102913</v>
      </c>
      <c r="F3969" s="7" t="s">
        <v>17</v>
      </c>
      <c r="G3969" s="7">
        <v>3701001</v>
      </c>
      <c r="H3969" s="7">
        <v>2367</v>
      </c>
      <c r="I3969" s="7">
        <v>26</v>
      </c>
      <c r="J3969" s="7">
        <v>0</v>
      </c>
      <c r="K3969" s="7" t="s">
        <v>18</v>
      </c>
      <c r="L3969" s="8">
        <v>39987.315405092595</v>
      </c>
      <c r="M3969" s="9" t="s">
        <v>19</v>
      </c>
      <c r="N3969" s="9" t="s">
        <v>20</v>
      </c>
      <c r="O3969" s="6" t="str">
        <f>HYPERLINK("https://pbs.twimg.com/profile_images/962471262747529216/Uo8lOkRJ_normal.jpg","View")</f>
        <v>View</v>
      </c>
      <c r="P3969" s="7"/>
    </row>
    <row r="3970" spans="1:16">
      <c r="A3970" s="3">
        <v>43913.268460648149</v>
      </c>
      <c r="B3970" s="4" t="str">
        <f>HYPERLINK("https://twitter.com/petrogustavo","@petrogustavo")</f>
        <v>@petrogustavo</v>
      </c>
      <c r="C3970" s="5" t="s">
        <v>16</v>
      </c>
      <c r="D3970" s="5" t="s">
        <v>3888</v>
      </c>
      <c r="E3970" s="6" t="str">
        <f>HYPERLINK("https://twitter.com/petrogustavo/status/1241891560633126915","1241891560633126915")</f>
        <v>1241891560633126915</v>
      </c>
      <c r="F3970" s="7" t="s">
        <v>17</v>
      </c>
      <c r="G3970" s="7">
        <v>3701001</v>
      </c>
      <c r="H3970" s="7">
        <v>2367</v>
      </c>
      <c r="I3970" s="7">
        <v>31</v>
      </c>
      <c r="J3970" s="7">
        <v>0</v>
      </c>
      <c r="K3970" s="7" t="s">
        <v>18</v>
      </c>
      <c r="L3970" s="8">
        <v>39987.315405092595</v>
      </c>
      <c r="M3970" s="9" t="s">
        <v>19</v>
      </c>
      <c r="N3970" s="9" t="s">
        <v>20</v>
      </c>
      <c r="O3970" s="6" t="str">
        <f>HYPERLINK("https://pbs.twimg.com/profile_images/962471262747529216/Uo8lOkRJ_normal.jpg","View")</f>
        <v>View</v>
      </c>
      <c r="P3970" s="7"/>
    </row>
    <row r="3971" spans="1:16">
      <c r="A3971" s="3">
        <v>43913.273194444446</v>
      </c>
      <c r="B3971" s="4" t="str">
        <f>HYPERLINK("https://twitter.com/petrogustavo","@petrogustavo")</f>
        <v>@petrogustavo</v>
      </c>
      <c r="C3971" s="5" t="s">
        <v>16</v>
      </c>
      <c r="D3971" s="5" t="s">
        <v>3889</v>
      </c>
      <c r="E3971" s="6" t="str">
        <f>HYPERLINK("https://twitter.com/petrogustavo/status/1241893272391475211","1241893272391475211")</f>
        <v>1241893272391475211</v>
      </c>
      <c r="F3971" s="7" t="s">
        <v>17</v>
      </c>
      <c r="G3971" s="7">
        <v>3701001</v>
      </c>
      <c r="H3971" s="7">
        <v>2367</v>
      </c>
      <c r="I3971" s="7">
        <v>202</v>
      </c>
      <c r="J3971" s="7">
        <v>0</v>
      </c>
      <c r="K3971" s="7" t="s">
        <v>18</v>
      </c>
      <c r="L3971" s="8">
        <v>39987.315405092595</v>
      </c>
      <c r="M3971" s="9" t="s">
        <v>19</v>
      </c>
      <c r="N3971" s="9" t="s">
        <v>20</v>
      </c>
      <c r="O3971" s="6" t="str">
        <f>HYPERLINK("https://pbs.twimg.com/profile_images/962471262747529216/Uo8lOkRJ_normal.jpg","View")</f>
        <v>View</v>
      </c>
      <c r="P3971" s="7"/>
    </row>
    <row r="3972" spans="1:16">
      <c r="A3972" s="3">
        <v>43913.341643518521</v>
      </c>
      <c r="B3972" s="4" t="str">
        <f>HYPERLINK("https://twitter.com/petrogustavo","@petrogustavo")</f>
        <v>@petrogustavo</v>
      </c>
      <c r="C3972" s="5" t="s">
        <v>16</v>
      </c>
      <c r="D3972" s="5" t="s">
        <v>3890</v>
      </c>
      <c r="E3972" s="6" t="str">
        <f>HYPERLINK("https://twitter.com/petrogustavo/status/1241918079224946688","1241918079224946688")</f>
        <v>1241918079224946688</v>
      </c>
      <c r="F3972" s="7" t="s">
        <v>17</v>
      </c>
      <c r="G3972" s="7">
        <v>3701484</v>
      </c>
      <c r="H3972" s="7">
        <v>2367</v>
      </c>
      <c r="I3972" s="7">
        <v>54</v>
      </c>
      <c r="J3972" s="7">
        <v>100</v>
      </c>
      <c r="K3972" s="7" t="s">
        <v>18</v>
      </c>
      <c r="L3972" s="8">
        <v>39987.315405092595</v>
      </c>
      <c r="M3972" s="9" t="s">
        <v>19</v>
      </c>
      <c r="N3972" s="9" t="s">
        <v>20</v>
      </c>
      <c r="O3972" s="6" t="str">
        <f>HYPERLINK("https://pbs.twimg.com/profile_images/962471262747529216/Uo8lOkRJ_normal.jpg","View")</f>
        <v>View</v>
      </c>
      <c r="P3972" s="7"/>
    </row>
    <row r="3973" spans="1:16">
      <c r="A3973" s="3">
        <v>43913.34375</v>
      </c>
      <c r="B3973" s="4" t="str">
        <f>HYPERLINK("https://twitter.com/petrogustavo","@petrogustavo")</f>
        <v>@petrogustavo</v>
      </c>
      <c r="C3973" s="5" t="s">
        <v>16</v>
      </c>
      <c r="D3973" s="5" t="s">
        <v>3891</v>
      </c>
      <c r="E3973" s="6" t="str">
        <f>HYPERLINK("https://twitter.com/petrogustavo/status/1241918842697367554","1241918842697367554")</f>
        <v>1241918842697367554</v>
      </c>
      <c r="F3973" s="7" t="s">
        <v>17</v>
      </c>
      <c r="G3973" s="7">
        <v>3701484</v>
      </c>
      <c r="H3973" s="7">
        <v>2367</v>
      </c>
      <c r="I3973" s="7">
        <v>20</v>
      </c>
      <c r="J3973" s="7">
        <v>63</v>
      </c>
      <c r="K3973" s="7" t="s">
        <v>18</v>
      </c>
      <c r="L3973" s="8">
        <v>39987.315405092595</v>
      </c>
      <c r="M3973" s="9" t="s">
        <v>19</v>
      </c>
      <c r="N3973" s="9" t="s">
        <v>20</v>
      </c>
      <c r="O3973" s="6" t="str">
        <f>HYPERLINK("https://pbs.twimg.com/profile_images/962471262747529216/Uo8lOkRJ_normal.jpg","View")</f>
        <v>View</v>
      </c>
      <c r="P3973" s="7"/>
    </row>
    <row r="3974" spans="1:16">
      <c r="A3974" s="3">
        <v>43913.347754629634</v>
      </c>
      <c r="B3974" s="4" t="str">
        <f>HYPERLINK("https://twitter.com/petrogustavo","@petrogustavo")</f>
        <v>@petrogustavo</v>
      </c>
      <c r="C3974" s="5" t="s">
        <v>16</v>
      </c>
      <c r="D3974" s="5" t="s">
        <v>3892</v>
      </c>
      <c r="E3974" s="6" t="str">
        <f>HYPERLINK("https://twitter.com/petrogustavo/status/1241920293318385664","1241920293318385664")</f>
        <v>1241920293318385664</v>
      </c>
      <c r="F3974" s="7" t="s">
        <v>17</v>
      </c>
      <c r="G3974" s="7">
        <v>3701673</v>
      </c>
      <c r="H3974" s="7">
        <v>2367</v>
      </c>
      <c r="I3974" s="7">
        <v>152</v>
      </c>
      <c r="J3974" s="7">
        <v>404</v>
      </c>
      <c r="K3974" s="7" t="s">
        <v>18</v>
      </c>
      <c r="L3974" s="8">
        <v>39987.315405092595</v>
      </c>
      <c r="M3974" s="9" t="s">
        <v>19</v>
      </c>
      <c r="N3974" s="9" t="s">
        <v>20</v>
      </c>
      <c r="O3974" s="6" t="str">
        <f>HYPERLINK("https://pbs.twimg.com/profile_images/962471262747529216/Uo8lOkRJ_normal.jpg","View")</f>
        <v>View</v>
      </c>
      <c r="P3974" s="7"/>
    </row>
    <row r="3975" spans="1:16">
      <c r="A3975" s="3">
        <v>43913.354965277773</v>
      </c>
      <c r="B3975" s="4" t="str">
        <f>HYPERLINK("https://twitter.com/petrogustavo","@petrogustavo")</f>
        <v>@petrogustavo</v>
      </c>
      <c r="C3975" s="5" t="s">
        <v>16</v>
      </c>
      <c r="D3975" s="5" t="s">
        <v>3893</v>
      </c>
      <c r="E3975" s="6" t="str">
        <f>HYPERLINK("https://twitter.com/petrogustavo/status/1241922906801803265","1241922906801803265")</f>
        <v>1241922906801803265</v>
      </c>
      <c r="F3975" s="7" t="s">
        <v>17</v>
      </c>
      <c r="G3975" s="7">
        <v>3701673</v>
      </c>
      <c r="H3975" s="7">
        <v>2367</v>
      </c>
      <c r="I3975" s="7">
        <v>169</v>
      </c>
      <c r="J3975" s="7">
        <v>365</v>
      </c>
      <c r="K3975" s="7" t="s">
        <v>18</v>
      </c>
      <c r="L3975" s="8">
        <v>39987.315405092595</v>
      </c>
      <c r="M3975" s="9" t="s">
        <v>19</v>
      </c>
      <c r="N3975" s="9" t="s">
        <v>20</v>
      </c>
      <c r="O3975" s="6" t="str">
        <f>HYPERLINK("https://pbs.twimg.com/profile_images/962471262747529216/Uo8lOkRJ_normal.jpg","View")</f>
        <v>View</v>
      </c>
      <c r="P3975" s="7"/>
    </row>
    <row r="3976" spans="1:16">
      <c r="A3976" s="3">
        <v>43913.360613425924</v>
      </c>
      <c r="B3976" s="4" t="str">
        <f>HYPERLINK("https://twitter.com/petrogustavo","@petrogustavo")</f>
        <v>@petrogustavo</v>
      </c>
      <c r="C3976" s="5" t="s">
        <v>16</v>
      </c>
      <c r="D3976" s="5" t="s">
        <v>3894</v>
      </c>
      <c r="E3976" s="6" t="str">
        <f>HYPERLINK("https://twitter.com/petrogustavo/status/1241924953534054400","1241924953534054400")</f>
        <v>1241924953534054400</v>
      </c>
      <c r="F3976" s="7" t="s">
        <v>17</v>
      </c>
      <c r="G3976" s="7">
        <v>3701673</v>
      </c>
      <c r="H3976" s="7">
        <v>2367</v>
      </c>
      <c r="I3976" s="7">
        <v>135</v>
      </c>
      <c r="J3976" s="7">
        <v>323</v>
      </c>
      <c r="K3976" s="7" t="s">
        <v>18</v>
      </c>
      <c r="L3976" s="8">
        <v>39987.315405092595</v>
      </c>
      <c r="M3976" s="9" t="s">
        <v>19</v>
      </c>
      <c r="N3976" s="9" t="s">
        <v>20</v>
      </c>
      <c r="O3976" s="6" t="str">
        <f>HYPERLINK("https://pbs.twimg.com/profile_images/962471262747529216/Uo8lOkRJ_normal.jpg","View")</f>
        <v>View</v>
      </c>
      <c r="P3976" s="7"/>
    </row>
    <row r="3977" spans="1:16">
      <c r="A3977" s="3">
        <v>43913.361898148149</v>
      </c>
      <c r="B3977" s="4" t="str">
        <f>HYPERLINK("https://twitter.com/petrogustavo","@petrogustavo")</f>
        <v>@petrogustavo</v>
      </c>
      <c r="C3977" s="5" t="s">
        <v>16</v>
      </c>
      <c r="D3977" s="5" t="s">
        <v>3895</v>
      </c>
      <c r="E3977" s="6" t="str">
        <f>HYPERLINK("https://twitter.com/petrogustavo/status/1241925418413895680","1241925418413895680")</f>
        <v>1241925418413895680</v>
      </c>
      <c r="F3977" s="7" t="s">
        <v>17</v>
      </c>
      <c r="G3977" s="7">
        <v>3701673</v>
      </c>
      <c r="H3977" s="7">
        <v>2367</v>
      </c>
      <c r="I3977" s="7">
        <v>258</v>
      </c>
      <c r="J3977" s="7">
        <v>622</v>
      </c>
      <c r="K3977" s="7" t="s">
        <v>18</v>
      </c>
      <c r="L3977" s="8">
        <v>39987.315405092595</v>
      </c>
      <c r="M3977" s="9" t="s">
        <v>19</v>
      </c>
      <c r="N3977" s="9" t="s">
        <v>20</v>
      </c>
      <c r="O3977" s="6" t="str">
        <f>HYPERLINK("https://pbs.twimg.com/profile_images/962471262747529216/Uo8lOkRJ_normal.jpg","View")</f>
        <v>View</v>
      </c>
      <c r="P3977" s="7"/>
    </row>
    <row r="3978" spans="1:16">
      <c r="A3978" s="3">
        <v>43913.374409722222</v>
      </c>
      <c r="B3978" s="4" t="str">
        <f>HYPERLINK("https://twitter.com/petrogustavo","@petrogustavo")</f>
        <v>@petrogustavo</v>
      </c>
      <c r="C3978" s="5" t="s">
        <v>16</v>
      </c>
      <c r="D3978" s="5" t="s">
        <v>3896</v>
      </c>
      <c r="E3978" s="6" t="str">
        <f>HYPERLINK("https://twitter.com/petrogustavo/status/1241929952422965248","1241929952422965248")</f>
        <v>1241929952422965248</v>
      </c>
      <c r="F3978" s="7" t="s">
        <v>17</v>
      </c>
      <c r="G3978" s="7">
        <v>3701673</v>
      </c>
      <c r="H3978" s="7">
        <v>2367</v>
      </c>
      <c r="I3978" s="7">
        <v>56</v>
      </c>
      <c r="J3978" s="7">
        <v>134</v>
      </c>
      <c r="K3978" s="7" t="s">
        <v>18</v>
      </c>
      <c r="L3978" s="8">
        <v>39987.315405092595</v>
      </c>
      <c r="M3978" s="9" t="s">
        <v>19</v>
      </c>
      <c r="N3978" s="9" t="s">
        <v>20</v>
      </c>
      <c r="O3978" s="6" t="str">
        <f>HYPERLINK("https://pbs.twimg.com/profile_images/962471262747529216/Uo8lOkRJ_normal.jpg","View")</f>
        <v>View</v>
      </c>
      <c r="P3978" s="7"/>
    </row>
    <row r="3979" spans="1:16">
      <c r="A3979" s="3">
        <v>43913.376377314809</v>
      </c>
      <c r="B3979" s="4" t="str">
        <f>HYPERLINK("https://twitter.com/petrogustavo","@petrogustavo")</f>
        <v>@petrogustavo</v>
      </c>
      <c r="C3979" s="5" t="s">
        <v>16</v>
      </c>
      <c r="D3979" s="5" t="s">
        <v>3897</v>
      </c>
      <c r="E3979" s="6" t="str">
        <f>HYPERLINK("https://twitter.com/petrogustavo/status/1241930664938799105","1241930664938799105")</f>
        <v>1241930664938799105</v>
      </c>
      <c r="F3979" s="7" t="s">
        <v>17</v>
      </c>
      <c r="G3979" s="7">
        <v>3701673</v>
      </c>
      <c r="H3979" s="7">
        <v>2367</v>
      </c>
      <c r="I3979" s="7">
        <v>54</v>
      </c>
      <c r="J3979" s="7">
        <v>192</v>
      </c>
      <c r="K3979" s="7" t="s">
        <v>18</v>
      </c>
      <c r="L3979" s="8">
        <v>39987.315405092595</v>
      </c>
      <c r="M3979" s="9" t="s">
        <v>19</v>
      </c>
      <c r="N3979" s="9" t="s">
        <v>20</v>
      </c>
      <c r="O3979" s="6" t="str">
        <f>HYPERLINK("https://pbs.twimg.com/profile_images/962471262747529216/Uo8lOkRJ_normal.jpg","View")</f>
        <v>View</v>
      </c>
      <c r="P3979" s="7"/>
    </row>
    <row r="3980" spans="1:16">
      <c r="A3980" s="3">
        <v>43913.384664351848</v>
      </c>
      <c r="B3980" s="4" t="str">
        <f>HYPERLINK("https://twitter.com/petrogustavo","@petrogustavo")</f>
        <v>@petrogustavo</v>
      </c>
      <c r="C3980" s="5" t="s">
        <v>16</v>
      </c>
      <c r="D3980" s="5" t="s">
        <v>3898</v>
      </c>
      <c r="E3980" s="6" t="str">
        <f>HYPERLINK("https://twitter.com/petrogustavo/status/1241933668559585282","1241933668559585282")</f>
        <v>1241933668559585282</v>
      </c>
      <c r="F3980" s="7" t="s">
        <v>17</v>
      </c>
      <c r="G3980" s="7">
        <v>3701673</v>
      </c>
      <c r="H3980" s="7">
        <v>2367</v>
      </c>
      <c r="I3980" s="7">
        <v>24</v>
      </c>
      <c r="J3980" s="7">
        <v>40</v>
      </c>
      <c r="K3980" s="7" t="s">
        <v>18</v>
      </c>
      <c r="L3980" s="8">
        <v>39987.315405092595</v>
      </c>
      <c r="M3980" s="9" t="s">
        <v>19</v>
      </c>
      <c r="N3980" s="9" t="s">
        <v>20</v>
      </c>
      <c r="O3980" s="6" t="str">
        <f>HYPERLINK("https://pbs.twimg.com/profile_images/962471262747529216/Uo8lOkRJ_normal.jpg","View")</f>
        <v>View</v>
      </c>
      <c r="P3980" s="7"/>
    </row>
    <row r="3981" spans="1:16">
      <c r="A3981" s="3">
        <v>43913.39444444445</v>
      </c>
      <c r="B3981" s="4" t="str">
        <f>HYPERLINK("https://twitter.com/petrogustavo","@petrogustavo")</f>
        <v>@petrogustavo</v>
      </c>
      <c r="C3981" s="5" t="s">
        <v>16</v>
      </c>
      <c r="D3981" s="5" t="s">
        <v>3899</v>
      </c>
      <c r="E3981" s="6" t="str">
        <f>HYPERLINK("https://twitter.com/petrogustavo/status/1241937213396594688","1241937213396594688")</f>
        <v>1241937213396594688</v>
      </c>
      <c r="F3981" s="7" t="s">
        <v>17</v>
      </c>
      <c r="G3981" s="7">
        <v>3701800</v>
      </c>
      <c r="H3981" s="7">
        <v>2367</v>
      </c>
      <c r="I3981" s="7">
        <v>334</v>
      </c>
      <c r="J3981" s="7">
        <v>0</v>
      </c>
      <c r="K3981" s="7" t="s">
        <v>18</v>
      </c>
      <c r="L3981" s="8">
        <v>39987.315405092595</v>
      </c>
      <c r="M3981" s="9" t="s">
        <v>19</v>
      </c>
      <c r="N3981" s="9" t="s">
        <v>20</v>
      </c>
      <c r="O3981" s="6" t="str">
        <f>HYPERLINK("https://pbs.twimg.com/profile_images/962471262747529216/Uo8lOkRJ_normal.jpg","View")</f>
        <v>View</v>
      </c>
      <c r="P3981" s="7"/>
    </row>
    <row r="3982" spans="1:16">
      <c r="A3982" s="3">
        <v>43913.746377314819</v>
      </c>
      <c r="B3982" s="4" t="str">
        <f>HYPERLINK("https://twitter.com/petrogustavo","@petrogustavo")</f>
        <v>@petrogustavo</v>
      </c>
      <c r="C3982" s="5" t="s">
        <v>16</v>
      </c>
      <c r="D3982" s="5" t="s">
        <v>3900</v>
      </c>
      <c r="E3982" s="6" t="str">
        <f>HYPERLINK("https://twitter.com/petrogustavo/status/1242064748495200258","1242064748495200258")</f>
        <v>1242064748495200258</v>
      </c>
      <c r="F3982" s="7" t="s">
        <v>17</v>
      </c>
      <c r="G3982" s="7">
        <v>3702558</v>
      </c>
      <c r="H3982" s="7">
        <v>2367</v>
      </c>
      <c r="I3982" s="7">
        <v>189</v>
      </c>
      <c r="J3982" s="7">
        <v>482</v>
      </c>
      <c r="K3982" s="7" t="s">
        <v>18</v>
      </c>
      <c r="L3982" s="8">
        <v>39987.315405092595</v>
      </c>
      <c r="M3982" s="9" t="s">
        <v>19</v>
      </c>
      <c r="N3982" s="9" t="s">
        <v>20</v>
      </c>
      <c r="O3982" s="6" t="str">
        <f>HYPERLINK("https://pbs.twimg.com/profile_images/962471262747529216/Uo8lOkRJ_normal.jpg","View")</f>
        <v>View</v>
      </c>
      <c r="P3982" s="7"/>
    </row>
    <row r="3983" spans="1:16">
      <c r="A3983" s="3">
        <v>43913.755300925928</v>
      </c>
      <c r="B3983" s="4" t="str">
        <f>HYPERLINK("https://twitter.com/petrogustavo","@petrogustavo")</f>
        <v>@petrogustavo</v>
      </c>
      <c r="C3983" s="5" t="s">
        <v>16</v>
      </c>
      <c r="D3983" s="5" t="s">
        <v>3901</v>
      </c>
      <c r="E3983" s="6" t="str">
        <f>HYPERLINK("https://twitter.com/petrogustavo/status/1242067985147277314","1242067985147277314")</f>
        <v>1242067985147277314</v>
      </c>
      <c r="F3983" s="7" t="s">
        <v>17</v>
      </c>
      <c r="G3983" s="7">
        <v>3702558</v>
      </c>
      <c r="H3983" s="7">
        <v>2367</v>
      </c>
      <c r="I3983" s="7">
        <v>33</v>
      </c>
      <c r="J3983" s="7">
        <v>52</v>
      </c>
      <c r="K3983" s="7" t="s">
        <v>18</v>
      </c>
      <c r="L3983" s="8">
        <v>39987.315405092595</v>
      </c>
      <c r="M3983" s="9" t="s">
        <v>19</v>
      </c>
      <c r="N3983" s="9" t="s">
        <v>20</v>
      </c>
      <c r="O3983" s="6" t="str">
        <f>HYPERLINK("https://pbs.twimg.com/profile_images/962471262747529216/Uo8lOkRJ_normal.jpg","View")</f>
        <v>View</v>
      </c>
      <c r="P3983" s="7"/>
    </row>
    <row r="3984" spans="1:16">
      <c r="A3984" s="3">
        <v>43913.762280092589</v>
      </c>
      <c r="B3984" s="4" t="str">
        <f>HYPERLINK("https://twitter.com/petrogustavo","@petrogustavo")</f>
        <v>@petrogustavo</v>
      </c>
      <c r="C3984" s="5" t="s">
        <v>16</v>
      </c>
      <c r="D3984" s="5" t="s">
        <v>3902</v>
      </c>
      <c r="E3984" s="6" t="str">
        <f>HYPERLINK("https://twitter.com/petrogustavo/status/1242070511141740554","1242070511141740554")</f>
        <v>1242070511141740554</v>
      </c>
      <c r="F3984" s="7" t="s">
        <v>17</v>
      </c>
      <c r="G3984" s="7">
        <v>3702651</v>
      </c>
      <c r="H3984" s="7">
        <v>2367</v>
      </c>
      <c r="I3984" s="7">
        <v>116</v>
      </c>
      <c r="J3984" s="7">
        <v>277</v>
      </c>
      <c r="K3984" s="7" t="s">
        <v>18</v>
      </c>
      <c r="L3984" s="8">
        <v>39987.315405092595</v>
      </c>
      <c r="M3984" s="9" t="s">
        <v>19</v>
      </c>
      <c r="N3984" s="9" t="s">
        <v>20</v>
      </c>
      <c r="O3984" s="6" t="str">
        <f>HYPERLINK("https://pbs.twimg.com/profile_images/962471262747529216/Uo8lOkRJ_normal.jpg","View")</f>
        <v>View</v>
      </c>
      <c r="P3984" s="7"/>
    </row>
    <row r="3985" spans="1:16">
      <c r="A3985" s="3">
        <v>43913.768275462964</v>
      </c>
      <c r="B3985" s="4" t="str">
        <f>HYPERLINK("https://twitter.com/petrogustavo","@petrogustavo")</f>
        <v>@petrogustavo</v>
      </c>
      <c r="C3985" s="5" t="s">
        <v>16</v>
      </c>
      <c r="D3985" s="5" t="s">
        <v>3903</v>
      </c>
      <c r="E3985" s="6" t="str">
        <f>HYPERLINK("https://twitter.com/petrogustavo/status/1242072686093832195","1242072686093832195")</f>
        <v>1242072686093832195</v>
      </c>
      <c r="F3985" s="7" t="s">
        <v>17</v>
      </c>
      <c r="G3985" s="7">
        <v>3702651</v>
      </c>
      <c r="H3985" s="7">
        <v>2367</v>
      </c>
      <c r="I3985" s="7">
        <v>169</v>
      </c>
      <c r="J3985" s="7">
        <v>344</v>
      </c>
      <c r="K3985" s="7" t="s">
        <v>18</v>
      </c>
      <c r="L3985" s="8">
        <v>39987.315405092595</v>
      </c>
      <c r="M3985" s="9" t="s">
        <v>19</v>
      </c>
      <c r="N3985" s="9" t="s">
        <v>20</v>
      </c>
      <c r="O3985" s="6" t="str">
        <f>HYPERLINK("https://pbs.twimg.com/profile_images/962471262747529216/Uo8lOkRJ_normal.jpg","View")</f>
        <v>View</v>
      </c>
      <c r="P3985" s="7"/>
    </row>
    <row r="3986" spans="1:16">
      <c r="A3986" s="3">
        <v>43913.769942129627</v>
      </c>
      <c r="B3986" s="4" t="str">
        <f>HYPERLINK("https://twitter.com/petrogustavo","@petrogustavo")</f>
        <v>@petrogustavo</v>
      </c>
      <c r="C3986" s="5" t="s">
        <v>16</v>
      </c>
      <c r="D3986" s="5" t="s">
        <v>3904</v>
      </c>
      <c r="E3986" s="6" t="str">
        <f>HYPERLINK("https://twitter.com/petrogustavo/status/1242073287842291712","1242073287842291712")</f>
        <v>1242073287842291712</v>
      </c>
      <c r="F3986" s="7" t="s">
        <v>17</v>
      </c>
      <c r="G3986" s="7">
        <v>3702651</v>
      </c>
      <c r="H3986" s="7">
        <v>2367</v>
      </c>
      <c r="I3986" s="7">
        <v>39</v>
      </c>
      <c r="J3986" s="7">
        <v>0</v>
      </c>
      <c r="K3986" s="7" t="s">
        <v>18</v>
      </c>
      <c r="L3986" s="8">
        <v>39987.315405092595</v>
      </c>
      <c r="M3986" s="9" t="s">
        <v>19</v>
      </c>
      <c r="N3986" s="9" t="s">
        <v>20</v>
      </c>
      <c r="O3986" s="6" t="str">
        <f>HYPERLINK("https://pbs.twimg.com/profile_images/962471262747529216/Uo8lOkRJ_normal.jpg","View")</f>
        <v>View</v>
      </c>
      <c r="P3986" s="7"/>
    </row>
    <row r="3987" spans="1:16">
      <c r="A3987" s="3">
        <v>43913.779340277775</v>
      </c>
      <c r="B3987" s="4" t="str">
        <f>HYPERLINK("https://twitter.com/petrogustavo","@petrogustavo")</f>
        <v>@petrogustavo</v>
      </c>
      <c r="C3987" s="5" t="s">
        <v>16</v>
      </c>
      <c r="D3987" s="5" t="s">
        <v>3905</v>
      </c>
      <c r="E3987" s="6" t="str">
        <f>HYPERLINK("https://twitter.com/petrogustavo/status/1242076694904737794","1242076694904737794")</f>
        <v>1242076694904737794</v>
      </c>
      <c r="F3987" s="7" t="s">
        <v>17</v>
      </c>
      <c r="G3987" s="7">
        <v>3702651</v>
      </c>
      <c r="H3987" s="7">
        <v>2367</v>
      </c>
      <c r="I3987" s="7">
        <v>40</v>
      </c>
      <c r="J3987" s="7">
        <v>113</v>
      </c>
      <c r="K3987" s="7" t="s">
        <v>18</v>
      </c>
      <c r="L3987" s="8">
        <v>39987.315405092595</v>
      </c>
      <c r="M3987" s="9" t="s">
        <v>19</v>
      </c>
      <c r="N3987" s="9" t="s">
        <v>20</v>
      </c>
      <c r="O3987" s="6" t="str">
        <f>HYPERLINK("https://pbs.twimg.com/profile_images/962471262747529216/Uo8lOkRJ_normal.jpg","View")</f>
        <v>View</v>
      </c>
      <c r="P3987" s="7"/>
    </row>
    <row r="3988" spans="1:16">
      <c r="A3988" s="3">
        <v>43913.78162037037</v>
      </c>
      <c r="B3988" s="4" t="str">
        <f>HYPERLINK("https://twitter.com/petrogustavo","@petrogustavo")</f>
        <v>@petrogustavo</v>
      </c>
      <c r="C3988" s="5" t="s">
        <v>16</v>
      </c>
      <c r="D3988" s="5" t="s">
        <v>3906</v>
      </c>
      <c r="E3988" s="6" t="str">
        <f>HYPERLINK("https://twitter.com/petrogustavo/status/1242077520637431808","1242077520637431808")</f>
        <v>1242077520637431808</v>
      </c>
      <c r="F3988" s="7" t="s">
        <v>17</v>
      </c>
      <c r="G3988" s="7">
        <v>3702651</v>
      </c>
      <c r="H3988" s="7">
        <v>2367</v>
      </c>
      <c r="I3988" s="7">
        <v>104</v>
      </c>
      <c r="J3988" s="7">
        <v>0</v>
      </c>
      <c r="K3988" s="7" t="s">
        <v>18</v>
      </c>
      <c r="L3988" s="8">
        <v>39987.315405092595</v>
      </c>
      <c r="M3988" s="9" t="s">
        <v>19</v>
      </c>
      <c r="N3988" s="9" t="s">
        <v>20</v>
      </c>
      <c r="O3988" s="6" t="str">
        <f>HYPERLINK("https://pbs.twimg.com/profile_images/962471262747529216/Uo8lOkRJ_normal.jpg","View")</f>
        <v>View</v>
      </c>
      <c r="P3988" s="7"/>
    </row>
    <row r="3989" spans="1:16">
      <c r="A3989" s="3">
        <v>43913.783356481479</v>
      </c>
      <c r="B3989" s="4" t="str">
        <f>HYPERLINK("https://twitter.com/petrogustavo","@petrogustavo")</f>
        <v>@petrogustavo</v>
      </c>
      <c r="C3989" s="5" t="s">
        <v>16</v>
      </c>
      <c r="D3989" s="5" t="s">
        <v>3907</v>
      </c>
      <c r="E3989" s="6" t="str">
        <f>HYPERLINK("https://twitter.com/petrogustavo/status/1242078152672804864","1242078152672804864")</f>
        <v>1242078152672804864</v>
      </c>
      <c r="F3989" s="7" t="s">
        <v>17</v>
      </c>
      <c r="G3989" s="7">
        <v>3702777</v>
      </c>
      <c r="H3989" s="7">
        <v>2367</v>
      </c>
      <c r="I3989" s="7">
        <v>131</v>
      </c>
      <c r="J3989" s="7">
        <v>0</v>
      </c>
      <c r="K3989" s="7" t="s">
        <v>18</v>
      </c>
      <c r="L3989" s="8">
        <v>39987.315405092595</v>
      </c>
      <c r="M3989" s="9" t="s">
        <v>19</v>
      </c>
      <c r="N3989" s="9" t="s">
        <v>20</v>
      </c>
      <c r="O3989" s="6" t="str">
        <f>HYPERLINK("https://pbs.twimg.com/profile_images/962471262747529216/Uo8lOkRJ_normal.jpg","View")</f>
        <v>View</v>
      </c>
      <c r="P3989" s="7"/>
    </row>
    <row r="3990" spans="1:16">
      <c r="A3990" s="3">
        <v>43913.788148148145</v>
      </c>
      <c r="B3990" s="4" t="str">
        <f>HYPERLINK("https://twitter.com/petrogustavo","@petrogustavo")</f>
        <v>@petrogustavo</v>
      </c>
      <c r="C3990" s="5" t="s">
        <v>16</v>
      </c>
      <c r="D3990" s="5" t="s">
        <v>3908</v>
      </c>
      <c r="E3990" s="6" t="str">
        <f>HYPERLINK("https://twitter.com/petrogustavo/status/1242079887835443205","1242079887835443205")</f>
        <v>1242079887835443205</v>
      </c>
      <c r="F3990" s="7" t="s">
        <v>17</v>
      </c>
      <c r="G3990" s="7">
        <v>3702777</v>
      </c>
      <c r="H3990" s="7">
        <v>2367</v>
      </c>
      <c r="I3990" s="7">
        <v>60</v>
      </c>
      <c r="J3990" s="7">
        <v>141</v>
      </c>
      <c r="K3990" s="7" t="s">
        <v>18</v>
      </c>
      <c r="L3990" s="8">
        <v>39987.315405092595</v>
      </c>
      <c r="M3990" s="9" t="s">
        <v>19</v>
      </c>
      <c r="N3990" s="9" t="s">
        <v>20</v>
      </c>
      <c r="O3990" s="6" t="str">
        <f>HYPERLINK("https://pbs.twimg.com/profile_images/962471262747529216/Uo8lOkRJ_normal.jpg","View")</f>
        <v>View</v>
      </c>
      <c r="P3990" s="7"/>
    </row>
    <row r="3991" spans="1:16">
      <c r="A3991" s="3">
        <v>43913.80978009259</v>
      </c>
      <c r="B3991" s="4" t="str">
        <f>HYPERLINK("https://twitter.com/petrogustavo","@petrogustavo")</f>
        <v>@petrogustavo</v>
      </c>
      <c r="C3991" s="5" t="s">
        <v>16</v>
      </c>
      <c r="D3991" s="5" t="s">
        <v>3909</v>
      </c>
      <c r="E3991" s="6" t="str">
        <f>HYPERLINK("https://twitter.com/petrogustavo/status/1242087726167572480","1242087726167572480")</f>
        <v>1242087726167572480</v>
      </c>
      <c r="F3991" s="7" t="s">
        <v>17</v>
      </c>
      <c r="G3991" s="7">
        <v>3702950</v>
      </c>
      <c r="H3991" s="7">
        <v>2367</v>
      </c>
      <c r="I3991" s="7">
        <v>77</v>
      </c>
      <c r="J3991" s="7">
        <v>199</v>
      </c>
      <c r="K3991" s="7" t="s">
        <v>18</v>
      </c>
      <c r="L3991" s="8">
        <v>39987.315405092595</v>
      </c>
      <c r="M3991" s="9" t="s">
        <v>19</v>
      </c>
      <c r="N3991" s="9" t="s">
        <v>20</v>
      </c>
      <c r="O3991" s="6" t="str">
        <f>HYPERLINK("https://pbs.twimg.com/profile_images/962471262747529216/Uo8lOkRJ_normal.jpg","View")</f>
        <v>View</v>
      </c>
      <c r="P3991" s="7"/>
    </row>
    <row r="3992" spans="1:16">
      <c r="A3992" s="3">
        <v>43913.810636574075</v>
      </c>
      <c r="B3992" s="4" t="str">
        <f>HYPERLINK("https://twitter.com/petrogustavo","@petrogustavo")</f>
        <v>@petrogustavo</v>
      </c>
      <c r="C3992" s="5" t="s">
        <v>16</v>
      </c>
      <c r="D3992" s="5" t="s">
        <v>3910</v>
      </c>
      <c r="E3992" s="6" t="str">
        <f>HYPERLINK("https://twitter.com/petrogustavo/status/1242088036546097155","1242088036546097155")</f>
        <v>1242088036546097155</v>
      </c>
      <c r="F3992" s="7" t="s">
        <v>17</v>
      </c>
      <c r="G3992" s="7">
        <v>3702950</v>
      </c>
      <c r="H3992" s="7">
        <v>2367</v>
      </c>
      <c r="I3992" s="7">
        <v>4530</v>
      </c>
      <c r="J3992" s="7">
        <v>0</v>
      </c>
      <c r="K3992" s="7" t="s">
        <v>18</v>
      </c>
      <c r="L3992" s="8">
        <v>39987.315405092595</v>
      </c>
      <c r="M3992" s="9" t="s">
        <v>19</v>
      </c>
      <c r="N3992" s="9" t="s">
        <v>20</v>
      </c>
      <c r="O3992" s="6" t="str">
        <f>HYPERLINK("https://pbs.twimg.com/profile_images/962471262747529216/Uo8lOkRJ_normal.jpg","View")</f>
        <v>View</v>
      </c>
      <c r="P3992" s="7"/>
    </row>
    <row r="3993" spans="1:16">
      <c r="A3993" s="3">
        <v>43913.814212962963</v>
      </c>
      <c r="B3993" s="4" t="str">
        <f>HYPERLINK("https://twitter.com/petrogustavo","@petrogustavo")</f>
        <v>@petrogustavo</v>
      </c>
      <c r="C3993" s="5" t="s">
        <v>16</v>
      </c>
      <c r="D3993" s="5" t="s">
        <v>3911</v>
      </c>
      <c r="E3993" s="6" t="str">
        <f>HYPERLINK("https://twitter.com/petrogustavo/status/1242089331847827458","1242089331847827458")</f>
        <v>1242089331847827458</v>
      </c>
      <c r="F3993" s="7" t="s">
        <v>17</v>
      </c>
      <c r="G3993" s="7">
        <v>3702950</v>
      </c>
      <c r="H3993" s="7">
        <v>2367</v>
      </c>
      <c r="I3993" s="7">
        <v>328</v>
      </c>
      <c r="J3993" s="7">
        <v>0</v>
      </c>
      <c r="K3993" s="7" t="s">
        <v>18</v>
      </c>
      <c r="L3993" s="8">
        <v>39987.315405092595</v>
      </c>
      <c r="M3993" s="9" t="s">
        <v>19</v>
      </c>
      <c r="N3993" s="9" t="s">
        <v>20</v>
      </c>
      <c r="O3993" s="6" t="str">
        <f>HYPERLINK("https://pbs.twimg.com/profile_images/962471262747529216/Uo8lOkRJ_normal.jpg","View")</f>
        <v>View</v>
      </c>
      <c r="P3993" s="7"/>
    </row>
    <row r="3994" spans="1:16">
      <c r="A3994" s="3">
        <v>43913.814444444448</v>
      </c>
      <c r="B3994" s="4" t="str">
        <f>HYPERLINK("https://twitter.com/petrogustavo","@petrogustavo")</f>
        <v>@petrogustavo</v>
      </c>
      <c r="C3994" s="5" t="s">
        <v>16</v>
      </c>
      <c r="D3994" s="5" t="s">
        <v>3912</v>
      </c>
      <c r="E3994" s="6" t="str">
        <f>HYPERLINK("https://twitter.com/petrogustavo/status/1242089416644009984","1242089416644009984")</f>
        <v>1242089416644009984</v>
      </c>
      <c r="F3994" s="7" t="s">
        <v>17</v>
      </c>
      <c r="G3994" s="7">
        <v>3702950</v>
      </c>
      <c r="H3994" s="7">
        <v>2367</v>
      </c>
      <c r="I3994" s="7">
        <v>966</v>
      </c>
      <c r="J3994" s="7">
        <v>0</v>
      </c>
      <c r="K3994" s="7" t="s">
        <v>18</v>
      </c>
      <c r="L3994" s="8">
        <v>39987.315405092595</v>
      </c>
      <c r="M3994" s="9" t="s">
        <v>19</v>
      </c>
      <c r="N3994" s="9" t="s">
        <v>20</v>
      </c>
      <c r="O3994" s="6" t="str">
        <f>HYPERLINK("https://pbs.twimg.com/profile_images/962471262747529216/Uo8lOkRJ_normal.jpg","View")</f>
        <v>View</v>
      </c>
      <c r="P3994" s="7"/>
    </row>
    <row r="3995" spans="1:16">
      <c r="A3995" s="3">
        <v>43913.81659722222</v>
      </c>
      <c r="B3995" s="4" t="str">
        <f>HYPERLINK("https://twitter.com/petrogustavo","@petrogustavo")</f>
        <v>@petrogustavo</v>
      </c>
      <c r="C3995" s="5" t="s">
        <v>16</v>
      </c>
      <c r="D3995" s="5" t="s">
        <v>3913</v>
      </c>
      <c r="E3995" s="6" t="str">
        <f>HYPERLINK("https://twitter.com/petrogustavo/status/1242090196209934338","1242090196209934338")</f>
        <v>1242090196209934338</v>
      </c>
      <c r="F3995" s="7" t="s">
        <v>17</v>
      </c>
      <c r="G3995" s="7">
        <v>3702950</v>
      </c>
      <c r="H3995" s="7">
        <v>2367</v>
      </c>
      <c r="I3995" s="7">
        <v>614</v>
      </c>
      <c r="J3995" s="7">
        <v>0</v>
      </c>
      <c r="K3995" s="7" t="s">
        <v>18</v>
      </c>
      <c r="L3995" s="8">
        <v>39987.315405092595</v>
      </c>
      <c r="M3995" s="9" t="s">
        <v>19</v>
      </c>
      <c r="N3995" s="9" t="s">
        <v>20</v>
      </c>
      <c r="O3995" s="6" t="str">
        <f>HYPERLINK("https://pbs.twimg.com/profile_images/962471262747529216/Uo8lOkRJ_normal.jpg","View")</f>
        <v>View</v>
      </c>
      <c r="P3995" s="7"/>
    </row>
    <row r="3996" spans="1:16">
      <c r="A3996" s="3">
        <v>43913.81659722222</v>
      </c>
      <c r="B3996" s="4" t="str">
        <f>HYPERLINK("https://twitter.com/petrogustavo","@petrogustavo")</f>
        <v>@petrogustavo</v>
      </c>
      <c r="C3996" s="5" t="s">
        <v>16</v>
      </c>
      <c r="D3996" s="5" t="s">
        <v>3914</v>
      </c>
      <c r="E3996" s="6" t="str">
        <f>HYPERLINK("https://twitter.com/petrogustavo/status/1242090196331646980","1242090196331646980")</f>
        <v>1242090196331646980</v>
      </c>
      <c r="F3996" s="7" t="s">
        <v>17</v>
      </c>
      <c r="G3996" s="7">
        <v>3702950</v>
      </c>
      <c r="H3996" s="7">
        <v>2367</v>
      </c>
      <c r="I3996" s="7">
        <v>63</v>
      </c>
      <c r="J3996" s="7">
        <v>176</v>
      </c>
      <c r="K3996" s="7" t="s">
        <v>18</v>
      </c>
      <c r="L3996" s="8">
        <v>39987.315405092595</v>
      </c>
      <c r="M3996" s="9" t="s">
        <v>19</v>
      </c>
      <c r="N3996" s="9" t="s">
        <v>20</v>
      </c>
      <c r="O3996" s="6" t="str">
        <f>HYPERLINK("https://pbs.twimg.com/profile_images/962471262747529216/Uo8lOkRJ_normal.jpg","View")</f>
        <v>View</v>
      </c>
      <c r="P3996" s="7"/>
    </row>
    <row r="3997" spans="1:16">
      <c r="A3997" s="3">
        <v>43913.826319444444</v>
      </c>
      <c r="B3997" s="4" t="str">
        <f>HYPERLINK("https://twitter.com/petrogustavo","@petrogustavo")</f>
        <v>@petrogustavo</v>
      </c>
      <c r="C3997" s="5" t="s">
        <v>16</v>
      </c>
      <c r="D3997" s="5" t="s">
        <v>3915</v>
      </c>
      <c r="E3997" s="6" t="str">
        <f>HYPERLINK("https://twitter.com/petrogustavo/status/1242093719018504200","1242093719018504200")</f>
        <v>1242093719018504200</v>
      </c>
      <c r="F3997" s="7" t="s">
        <v>17</v>
      </c>
      <c r="G3997" s="7">
        <v>3703090</v>
      </c>
      <c r="H3997" s="7">
        <v>2367</v>
      </c>
      <c r="I3997" s="7">
        <v>336</v>
      </c>
      <c r="J3997" s="7">
        <v>868</v>
      </c>
      <c r="K3997" s="7" t="s">
        <v>18</v>
      </c>
      <c r="L3997" s="8">
        <v>39987.315405092595</v>
      </c>
      <c r="M3997" s="9" t="s">
        <v>19</v>
      </c>
      <c r="N3997" s="9" t="s">
        <v>20</v>
      </c>
      <c r="O3997" s="6" t="str">
        <f>HYPERLINK("https://pbs.twimg.com/profile_images/962471262747529216/Uo8lOkRJ_normal.jpg","View")</f>
        <v>View</v>
      </c>
      <c r="P3997" s="7"/>
    </row>
    <row r="3998" spans="1:16">
      <c r="A3998" s="3">
        <v>43913.833009259259</v>
      </c>
      <c r="B3998" s="4" t="str">
        <f>HYPERLINK("https://twitter.com/petrogustavo","@petrogustavo")</f>
        <v>@petrogustavo</v>
      </c>
      <c r="C3998" s="5" t="s">
        <v>16</v>
      </c>
      <c r="D3998" s="5" t="s">
        <v>3916</v>
      </c>
      <c r="E3998" s="6" t="str">
        <f>HYPERLINK("https://twitter.com/petrogustavo/status/1242096145675046912","1242096145675046912")</f>
        <v>1242096145675046912</v>
      </c>
      <c r="F3998" s="7" t="s">
        <v>17</v>
      </c>
      <c r="G3998" s="7">
        <v>3703090</v>
      </c>
      <c r="H3998" s="7">
        <v>2367</v>
      </c>
      <c r="I3998" s="7">
        <v>66</v>
      </c>
      <c r="J3998" s="7">
        <v>112</v>
      </c>
      <c r="K3998" s="7" t="s">
        <v>18</v>
      </c>
      <c r="L3998" s="8">
        <v>39987.315405092595</v>
      </c>
      <c r="M3998" s="9" t="s">
        <v>19</v>
      </c>
      <c r="N3998" s="9" t="s">
        <v>20</v>
      </c>
      <c r="O3998" s="6" t="str">
        <f>HYPERLINK("https://pbs.twimg.com/profile_images/962471262747529216/Uo8lOkRJ_normal.jpg","View")</f>
        <v>View</v>
      </c>
      <c r="P3998" s="7"/>
    </row>
    <row r="3999" spans="1:16">
      <c r="A3999" s="3">
        <v>43913.83729166667</v>
      </c>
      <c r="B3999" s="4" t="str">
        <f>HYPERLINK("https://twitter.com/petrogustavo","@petrogustavo")</f>
        <v>@petrogustavo</v>
      </c>
      <c r="C3999" s="5" t="s">
        <v>16</v>
      </c>
      <c r="D3999" s="5" t="s">
        <v>3917</v>
      </c>
      <c r="E3999" s="6" t="str">
        <f>HYPERLINK("https://twitter.com/petrogustavo/status/1242097698112667649","1242097698112667649")</f>
        <v>1242097698112667649</v>
      </c>
      <c r="F3999" s="7" t="s">
        <v>17</v>
      </c>
      <c r="G3999" s="7">
        <v>3703090</v>
      </c>
      <c r="H3999" s="7">
        <v>2367</v>
      </c>
      <c r="I3999" s="7">
        <v>126</v>
      </c>
      <c r="J3999" s="7">
        <v>236</v>
      </c>
      <c r="K3999" s="7" t="s">
        <v>18</v>
      </c>
      <c r="L3999" s="8">
        <v>39987.315405092595</v>
      </c>
      <c r="M3999" s="9" t="s">
        <v>19</v>
      </c>
      <c r="N3999" s="9" t="s">
        <v>20</v>
      </c>
      <c r="O3999" s="6" t="str">
        <f>HYPERLINK("https://pbs.twimg.com/profile_images/962471262747529216/Uo8lOkRJ_normal.jpg","View")</f>
        <v>View</v>
      </c>
      <c r="P3999" s="7"/>
    </row>
    <row r="4000" spans="1:16">
      <c r="A4000" s="3">
        <v>43913.955497685187</v>
      </c>
      <c r="B4000" s="4" t="str">
        <f>HYPERLINK("https://twitter.com/petrogustavo","@petrogustavo")</f>
        <v>@petrogustavo</v>
      </c>
      <c r="C4000" s="5" t="s">
        <v>16</v>
      </c>
      <c r="D4000" s="5" t="s">
        <v>3918</v>
      </c>
      <c r="E4000" s="6" t="str">
        <f>HYPERLINK("https://twitter.com/petrogustavo/status/1242140534073896960","1242140534073896960")</f>
        <v>1242140534073896960</v>
      </c>
      <c r="F4000" s="7" t="s">
        <v>17</v>
      </c>
      <c r="G4000" s="7">
        <v>3703895</v>
      </c>
      <c r="H4000" s="7">
        <v>2368</v>
      </c>
      <c r="I4000" s="7">
        <v>198</v>
      </c>
      <c r="J4000" s="7">
        <v>455</v>
      </c>
      <c r="K4000" s="7" t="s">
        <v>18</v>
      </c>
      <c r="L4000" s="8">
        <v>39987.315405092595</v>
      </c>
      <c r="M4000" s="9" t="s">
        <v>19</v>
      </c>
      <c r="N4000" s="9" t="s">
        <v>20</v>
      </c>
      <c r="O4000" s="6" t="str">
        <f>HYPERLINK("https://pbs.twimg.com/profile_images/962471262747529216/Uo8lOkRJ_normal.jpg","View")</f>
        <v>View</v>
      </c>
      <c r="P4000" s="7"/>
    </row>
    <row r="4001" spans="1:16">
      <c r="A4001" s="3">
        <v>43913.985844907409</v>
      </c>
      <c r="B4001" s="4" t="str">
        <f>HYPERLINK("https://twitter.com/petrogustavo","@petrogustavo")</f>
        <v>@petrogustavo</v>
      </c>
      <c r="C4001" s="5" t="s">
        <v>16</v>
      </c>
      <c r="D4001" s="5" t="s">
        <v>3919</v>
      </c>
      <c r="E4001" s="6" t="str">
        <f>HYPERLINK("https://twitter.com/petrogustavo/status/1242151529051717634","1242151529051717634")</f>
        <v>1242151529051717634</v>
      </c>
      <c r="F4001" s="7" t="s">
        <v>17</v>
      </c>
      <c r="G4001" s="7">
        <v>3704032</v>
      </c>
      <c r="H4001" s="7">
        <v>2368</v>
      </c>
      <c r="I4001" s="7">
        <v>1054</v>
      </c>
      <c r="J4001" s="7">
        <v>0</v>
      </c>
      <c r="K4001" s="7" t="s">
        <v>18</v>
      </c>
      <c r="L4001" s="8">
        <v>39987.315405092595</v>
      </c>
      <c r="M4001" s="9" t="s">
        <v>19</v>
      </c>
      <c r="N4001" s="9" t="s">
        <v>20</v>
      </c>
      <c r="O4001" s="6" t="str">
        <f>HYPERLINK("https://pbs.twimg.com/profile_images/962471262747529216/Uo8lOkRJ_normal.jpg","View")</f>
        <v>View</v>
      </c>
      <c r="P4001" s="7"/>
    </row>
    <row r="4002" spans="1:16">
      <c r="A4002" s="3">
        <v>43913.991122685184</v>
      </c>
      <c r="B4002" s="4" t="str">
        <f>HYPERLINK("https://twitter.com/petrogustavo","@petrogustavo")</f>
        <v>@petrogustavo</v>
      </c>
      <c r="C4002" s="5" t="s">
        <v>16</v>
      </c>
      <c r="D4002" s="5" t="s">
        <v>3920</v>
      </c>
      <c r="E4002" s="6" t="str">
        <f>HYPERLINK("https://twitter.com/petrogustavo/status/1242153443604582403","1242153443604582403")</f>
        <v>1242153443604582403</v>
      </c>
      <c r="F4002" s="7" t="s">
        <v>17</v>
      </c>
      <c r="G4002" s="7">
        <v>3704032</v>
      </c>
      <c r="H4002" s="7">
        <v>2368</v>
      </c>
      <c r="I4002" s="7">
        <v>335</v>
      </c>
      <c r="J4002" s="7">
        <v>0</v>
      </c>
      <c r="K4002" s="7" t="s">
        <v>18</v>
      </c>
      <c r="L4002" s="8">
        <v>39987.315405092595</v>
      </c>
      <c r="M4002" s="9" t="s">
        <v>19</v>
      </c>
      <c r="N4002" s="9" t="s">
        <v>20</v>
      </c>
      <c r="O4002" s="6" t="str">
        <f>HYPERLINK("https://pbs.twimg.com/profile_images/962471262747529216/Uo8lOkRJ_normal.jpg","View")</f>
        <v>View</v>
      </c>
      <c r="P4002" s="7"/>
    </row>
    <row r="4003" spans="1:16">
      <c r="A4003" s="3">
        <v>43913.996655092589</v>
      </c>
      <c r="B4003" s="4" t="str">
        <f>HYPERLINK("https://twitter.com/petrogustavo","@petrogustavo")</f>
        <v>@petrogustavo</v>
      </c>
      <c r="C4003" s="5" t="s">
        <v>16</v>
      </c>
      <c r="D4003" s="5" t="s">
        <v>3921</v>
      </c>
      <c r="E4003" s="6" t="str">
        <f>HYPERLINK("https://twitter.com/petrogustavo/status/1242155448251428864","1242155448251428864")</f>
        <v>1242155448251428864</v>
      </c>
      <c r="F4003" s="7" t="s">
        <v>17</v>
      </c>
      <c r="G4003" s="7">
        <v>3704173</v>
      </c>
      <c r="H4003" s="7">
        <v>2368</v>
      </c>
      <c r="I4003" s="7">
        <v>160</v>
      </c>
      <c r="J4003" s="7">
        <v>437</v>
      </c>
      <c r="K4003" s="7" t="s">
        <v>18</v>
      </c>
      <c r="L4003" s="8">
        <v>39987.315405092595</v>
      </c>
      <c r="M4003" s="9" t="s">
        <v>19</v>
      </c>
      <c r="N4003" s="9" t="s">
        <v>20</v>
      </c>
      <c r="O4003" s="6" t="str">
        <f>HYPERLINK("https://pbs.twimg.com/profile_images/962471262747529216/Uo8lOkRJ_normal.jpg","View")</f>
        <v>View</v>
      </c>
      <c r="P4003" s="7"/>
    </row>
    <row r="4004" spans="1:16">
      <c r="A4004" s="3">
        <v>43913.996863425928</v>
      </c>
      <c r="B4004" s="4" t="str">
        <f>HYPERLINK("https://twitter.com/petrogustavo","@petrogustavo")</f>
        <v>@petrogustavo</v>
      </c>
      <c r="C4004" s="5" t="s">
        <v>16</v>
      </c>
      <c r="D4004" s="5" t="s">
        <v>3920</v>
      </c>
      <c r="E4004" s="6" t="str">
        <f>HYPERLINK("https://twitter.com/petrogustavo/status/1242155523249758209","1242155523249758209")</f>
        <v>1242155523249758209</v>
      </c>
      <c r="F4004" s="7" t="s">
        <v>17</v>
      </c>
      <c r="G4004" s="7">
        <v>3704173</v>
      </c>
      <c r="H4004" s="7">
        <v>2368</v>
      </c>
      <c r="I4004" s="7">
        <v>408</v>
      </c>
      <c r="J4004" s="7">
        <v>0</v>
      </c>
      <c r="K4004" s="7" t="s">
        <v>18</v>
      </c>
      <c r="L4004" s="8">
        <v>39987.315405092595</v>
      </c>
      <c r="M4004" s="9" t="s">
        <v>19</v>
      </c>
      <c r="N4004" s="9" t="s">
        <v>20</v>
      </c>
      <c r="O4004" s="6" t="str">
        <f>HYPERLINK("https://pbs.twimg.com/profile_images/962471262747529216/Uo8lOkRJ_normal.jpg","View")</f>
        <v>View</v>
      </c>
      <c r="P4004" s="7"/>
    </row>
    <row r="4005" spans="1:16">
      <c r="A4005" s="3">
        <v>43914.024351851855</v>
      </c>
      <c r="B4005" s="4" t="str">
        <f>HYPERLINK("https://twitter.com/petrogustavo","@petrogustavo")</f>
        <v>@petrogustavo</v>
      </c>
      <c r="C4005" s="5" t="s">
        <v>16</v>
      </c>
      <c r="D4005" s="5" t="s">
        <v>3922</v>
      </c>
      <c r="E4005" s="6" t="str">
        <f>HYPERLINK("https://twitter.com/petrogustavo/status/1242165486219137029","1242165486219137029")</f>
        <v>1242165486219137029</v>
      </c>
      <c r="F4005" s="7" t="s">
        <v>17</v>
      </c>
      <c r="G4005" s="7">
        <v>3704299</v>
      </c>
      <c r="H4005" s="7">
        <v>2369</v>
      </c>
      <c r="I4005" s="7">
        <v>232</v>
      </c>
      <c r="J4005" s="7">
        <v>461</v>
      </c>
      <c r="K4005" s="7" t="s">
        <v>18</v>
      </c>
      <c r="L4005" s="8">
        <v>39987.315405092595</v>
      </c>
      <c r="M4005" s="9" t="s">
        <v>19</v>
      </c>
      <c r="N4005" s="9" t="s">
        <v>20</v>
      </c>
      <c r="O4005" s="6" t="str">
        <f>HYPERLINK("https://pbs.twimg.com/profile_images/962471262747529216/Uo8lOkRJ_normal.jpg","View")</f>
        <v>View</v>
      </c>
      <c r="P4005" s="7"/>
    </row>
    <row r="4006" spans="1:16">
      <c r="A4006" s="3">
        <v>43914.026493055557</v>
      </c>
      <c r="B4006" s="4" t="str">
        <f>HYPERLINK("https://twitter.com/petrogustavo","@petrogustavo")</f>
        <v>@petrogustavo</v>
      </c>
      <c r="C4006" s="5" t="s">
        <v>16</v>
      </c>
      <c r="D4006" s="5" t="s">
        <v>3923</v>
      </c>
      <c r="E4006" s="6" t="str">
        <f>HYPERLINK("https://twitter.com/petrogustavo/status/1242166261615931392","1242166261615931392")</f>
        <v>1242166261615931392</v>
      </c>
      <c r="F4006" s="7" t="s">
        <v>17</v>
      </c>
      <c r="G4006" s="7">
        <v>3704299</v>
      </c>
      <c r="H4006" s="7">
        <v>2369</v>
      </c>
      <c r="I4006" s="7">
        <v>90</v>
      </c>
      <c r="J4006" s="7">
        <v>184</v>
      </c>
      <c r="K4006" s="7" t="s">
        <v>18</v>
      </c>
      <c r="L4006" s="8">
        <v>39987.315405092595</v>
      </c>
      <c r="M4006" s="9" t="s">
        <v>19</v>
      </c>
      <c r="N4006" s="9" t="s">
        <v>20</v>
      </c>
      <c r="O4006" s="6" t="str">
        <f>HYPERLINK("https://pbs.twimg.com/profile_images/962471262747529216/Uo8lOkRJ_normal.jpg","View")</f>
        <v>View</v>
      </c>
      <c r="P4006" s="7"/>
    </row>
    <row r="4007" spans="1:16">
      <c r="A4007" s="3">
        <v>43914.028865740736</v>
      </c>
      <c r="B4007" s="4" t="str">
        <f>HYPERLINK("https://twitter.com/petrogustavo","@petrogustavo")</f>
        <v>@petrogustavo</v>
      </c>
      <c r="C4007" s="5" t="s">
        <v>16</v>
      </c>
      <c r="D4007" s="5" t="s">
        <v>3924</v>
      </c>
      <c r="E4007" s="6" t="str">
        <f>HYPERLINK("https://twitter.com/petrogustavo/status/1242167121091735552","1242167121091735552")</f>
        <v>1242167121091735552</v>
      </c>
      <c r="F4007" s="7" t="s">
        <v>17</v>
      </c>
      <c r="G4007" s="7">
        <v>3704299</v>
      </c>
      <c r="H4007" s="7">
        <v>2369</v>
      </c>
      <c r="I4007" s="7">
        <v>39</v>
      </c>
      <c r="J4007" s="7">
        <v>67</v>
      </c>
      <c r="K4007" s="7" t="s">
        <v>18</v>
      </c>
      <c r="L4007" s="8">
        <v>39987.315405092595</v>
      </c>
      <c r="M4007" s="9" t="s">
        <v>19</v>
      </c>
      <c r="N4007" s="9" t="s">
        <v>20</v>
      </c>
      <c r="O4007" s="6" t="str">
        <f>HYPERLINK("https://pbs.twimg.com/profile_images/962471262747529216/Uo8lOkRJ_normal.jpg","View")</f>
        <v>View</v>
      </c>
      <c r="P4007" s="7"/>
    </row>
    <row r="4008" spans="1:16">
      <c r="A4008" s="3">
        <v>43914.031863425931</v>
      </c>
      <c r="B4008" s="4" t="str">
        <f>HYPERLINK("https://twitter.com/petrogustavo","@petrogustavo")</f>
        <v>@petrogustavo</v>
      </c>
      <c r="C4008" s="5" t="s">
        <v>16</v>
      </c>
      <c r="D4008" s="5" t="s">
        <v>3925</v>
      </c>
      <c r="E4008" s="6" t="str">
        <f>HYPERLINK("https://twitter.com/petrogustavo/status/1242168207143821313","1242168207143821313")</f>
        <v>1242168207143821313</v>
      </c>
      <c r="F4008" s="7" t="s">
        <v>17</v>
      </c>
      <c r="G4008" s="7">
        <v>3704299</v>
      </c>
      <c r="H4008" s="7">
        <v>2369</v>
      </c>
      <c r="I4008" s="7">
        <v>7</v>
      </c>
      <c r="J4008" s="7">
        <v>12</v>
      </c>
      <c r="K4008" s="7" t="s">
        <v>18</v>
      </c>
      <c r="L4008" s="8">
        <v>39987.315405092595</v>
      </c>
      <c r="M4008" s="9" t="s">
        <v>19</v>
      </c>
      <c r="N4008" s="9" t="s">
        <v>20</v>
      </c>
      <c r="O4008" s="6" t="str">
        <f>HYPERLINK("https://pbs.twimg.com/profile_images/962471262747529216/Uo8lOkRJ_normal.jpg","View")</f>
        <v>View</v>
      </c>
      <c r="P4008" s="7"/>
    </row>
    <row r="4009" spans="1:16">
      <c r="A4009" s="3">
        <v>43914.034120370372</v>
      </c>
      <c r="B4009" s="4" t="str">
        <f>HYPERLINK("https://twitter.com/petrogustavo","@petrogustavo")</f>
        <v>@petrogustavo</v>
      </c>
      <c r="C4009" s="5" t="s">
        <v>16</v>
      </c>
      <c r="D4009" s="5" t="s">
        <v>3926</v>
      </c>
      <c r="E4009" s="6" t="str">
        <f>HYPERLINK("https://twitter.com/petrogustavo/status/1242169026358333440","1242169026358333440")</f>
        <v>1242169026358333440</v>
      </c>
      <c r="F4009" s="7" t="s">
        <v>17</v>
      </c>
      <c r="G4009" s="7">
        <v>3704447</v>
      </c>
      <c r="H4009" s="7">
        <v>2369</v>
      </c>
      <c r="I4009" s="7">
        <v>116</v>
      </c>
      <c r="J4009" s="7">
        <v>223</v>
      </c>
      <c r="K4009" s="7" t="s">
        <v>18</v>
      </c>
      <c r="L4009" s="8">
        <v>39987.315405092595</v>
      </c>
      <c r="M4009" s="9" t="s">
        <v>19</v>
      </c>
      <c r="N4009" s="9" t="s">
        <v>20</v>
      </c>
      <c r="O4009" s="6" t="str">
        <f>HYPERLINK("https://pbs.twimg.com/profile_images/962471262747529216/Uo8lOkRJ_normal.jpg","View")</f>
        <v>View</v>
      </c>
      <c r="P4009" s="7"/>
    </row>
    <row r="4010" spans="1:16">
      <c r="A4010" s="3">
        <v>43914.039293981477</v>
      </c>
      <c r="B4010" s="4" t="str">
        <f>HYPERLINK("https://twitter.com/petrogustavo","@petrogustavo")</f>
        <v>@petrogustavo</v>
      </c>
      <c r="C4010" s="5" t="s">
        <v>16</v>
      </c>
      <c r="D4010" s="5" t="s">
        <v>3927</v>
      </c>
      <c r="E4010" s="6" t="str">
        <f>HYPERLINK("https://twitter.com/petrogustavo/status/1242170899303981056","1242170899303981056")</f>
        <v>1242170899303981056</v>
      </c>
      <c r="F4010" s="7" t="s">
        <v>17</v>
      </c>
      <c r="G4010" s="7">
        <v>3704447</v>
      </c>
      <c r="H4010" s="7">
        <v>2369</v>
      </c>
      <c r="I4010" s="7">
        <v>80</v>
      </c>
      <c r="J4010" s="7">
        <v>171</v>
      </c>
      <c r="K4010" s="7" t="s">
        <v>18</v>
      </c>
      <c r="L4010" s="8">
        <v>39987.315405092595</v>
      </c>
      <c r="M4010" s="9" t="s">
        <v>19</v>
      </c>
      <c r="N4010" s="9" t="s">
        <v>20</v>
      </c>
      <c r="O4010" s="6" t="str">
        <f>HYPERLINK("https://pbs.twimg.com/profile_images/962471262747529216/Uo8lOkRJ_normal.jpg","View")</f>
        <v>View</v>
      </c>
      <c r="P4010" s="7"/>
    </row>
    <row r="4011" spans="1:16">
      <c r="A4011" s="3">
        <v>43914.039305555554</v>
      </c>
      <c r="B4011" s="4" t="str">
        <f>HYPERLINK("https://twitter.com/petrogustavo","@petrogustavo")</f>
        <v>@petrogustavo</v>
      </c>
      <c r="C4011" s="5" t="s">
        <v>16</v>
      </c>
      <c r="D4011" s="5" t="s">
        <v>3928</v>
      </c>
      <c r="E4011" s="6" t="str">
        <f>HYPERLINK("https://twitter.com/petrogustavo/status/1242170901547954180","1242170901547954180")</f>
        <v>1242170901547954180</v>
      </c>
      <c r="F4011" s="7" t="s">
        <v>17</v>
      </c>
      <c r="G4011" s="7">
        <v>3704447</v>
      </c>
      <c r="H4011" s="7">
        <v>2369</v>
      </c>
      <c r="I4011" s="7">
        <v>81</v>
      </c>
      <c r="J4011" s="7">
        <v>188</v>
      </c>
      <c r="K4011" s="7" t="s">
        <v>18</v>
      </c>
      <c r="L4011" s="8">
        <v>39987.315405092595</v>
      </c>
      <c r="M4011" s="9" t="s">
        <v>19</v>
      </c>
      <c r="N4011" s="9" t="s">
        <v>20</v>
      </c>
      <c r="O4011" s="6" t="str">
        <f>HYPERLINK("https://pbs.twimg.com/profile_images/962471262747529216/Uo8lOkRJ_normal.jpg","View")</f>
        <v>View</v>
      </c>
      <c r="P4011" s="7"/>
    </row>
    <row r="4012" spans="1:16">
      <c r="A4012" s="3">
        <v>43914.053206018521</v>
      </c>
      <c r="B4012" s="4" t="str">
        <f>HYPERLINK("https://twitter.com/petrogustavo","@petrogustavo")</f>
        <v>@petrogustavo</v>
      </c>
      <c r="C4012" s="5" t="s">
        <v>16</v>
      </c>
      <c r="D4012" s="5" t="s">
        <v>3929</v>
      </c>
      <c r="E4012" s="6" t="str">
        <f>HYPERLINK("https://twitter.com/petrogustavo/status/1242175941041930241","1242175941041930241")</f>
        <v>1242175941041930241</v>
      </c>
      <c r="F4012" s="7" t="s">
        <v>17</v>
      </c>
      <c r="G4012" s="7">
        <v>3704447</v>
      </c>
      <c r="H4012" s="7">
        <v>2369</v>
      </c>
      <c r="I4012" s="7">
        <v>81</v>
      </c>
      <c r="J4012" s="7">
        <v>0</v>
      </c>
      <c r="K4012" s="7" t="s">
        <v>18</v>
      </c>
      <c r="L4012" s="8">
        <v>39987.315405092595</v>
      </c>
      <c r="M4012" s="9" t="s">
        <v>19</v>
      </c>
      <c r="N4012" s="9" t="s">
        <v>20</v>
      </c>
      <c r="O4012" s="6" t="str">
        <f>HYPERLINK("https://pbs.twimg.com/profile_images/962471262747529216/Uo8lOkRJ_normal.jpg","View")</f>
        <v>View</v>
      </c>
      <c r="P4012" s="7"/>
    </row>
    <row r="4013" spans="1:16">
      <c r="A4013" s="3">
        <v>43914.069120370375</v>
      </c>
      <c r="B4013" s="4" t="str">
        <f>HYPERLINK("https://twitter.com/petrogustavo","@petrogustavo")</f>
        <v>@petrogustavo</v>
      </c>
      <c r="C4013" s="5" t="s">
        <v>16</v>
      </c>
      <c r="D4013" s="5" t="s">
        <v>3930</v>
      </c>
      <c r="E4013" s="6" t="str">
        <f>HYPERLINK("https://twitter.com/petrogustavo/status/1242181706741841920","1242181706741841920")</f>
        <v>1242181706741841920</v>
      </c>
      <c r="F4013" s="7" t="s">
        <v>17</v>
      </c>
      <c r="G4013" s="7">
        <v>3704586</v>
      </c>
      <c r="H4013" s="7">
        <v>2369</v>
      </c>
      <c r="I4013" s="7">
        <v>76</v>
      </c>
      <c r="J4013" s="7">
        <v>142</v>
      </c>
      <c r="K4013" s="7" t="s">
        <v>18</v>
      </c>
      <c r="L4013" s="8">
        <v>39987.315405092595</v>
      </c>
      <c r="M4013" s="9" t="s">
        <v>19</v>
      </c>
      <c r="N4013" s="9" t="s">
        <v>20</v>
      </c>
      <c r="O4013" s="6" t="str">
        <f>HYPERLINK("https://pbs.twimg.com/profile_images/962471262747529216/Uo8lOkRJ_normal.jpg","View")</f>
        <v>View</v>
      </c>
      <c r="P4013" s="7"/>
    </row>
    <row r="4014" spans="1:16">
      <c r="A4014" s="3">
        <v>43914.0933912037</v>
      </c>
      <c r="B4014" s="4" t="str">
        <f>HYPERLINK("https://twitter.com/petrogustavo","@petrogustavo")</f>
        <v>@petrogustavo</v>
      </c>
      <c r="C4014" s="5" t="s">
        <v>16</v>
      </c>
      <c r="D4014" s="5" t="s">
        <v>3931</v>
      </c>
      <c r="E4014" s="6" t="str">
        <f>HYPERLINK("https://twitter.com/petrogustavo/status/1242190503178878976","1242190503178878976")</f>
        <v>1242190503178878976</v>
      </c>
      <c r="F4014" s="7" t="s">
        <v>17</v>
      </c>
      <c r="G4014" s="7">
        <v>3704722</v>
      </c>
      <c r="H4014" s="7">
        <v>2369</v>
      </c>
      <c r="I4014" s="7">
        <v>1041</v>
      </c>
      <c r="J4014" s="7">
        <v>0</v>
      </c>
      <c r="K4014" s="7" t="s">
        <v>18</v>
      </c>
      <c r="L4014" s="8">
        <v>39987.315405092595</v>
      </c>
      <c r="M4014" s="9" t="s">
        <v>19</v>
      </c>
      <c r="N4014" s="9" t="s">
        <v>20</v>
      </c>
      <c r="O4014" s="6" t="str">
        <f>HYPERLINK("https://pbs.twimg.com/profile_images/962471262747529216/Uo8lOkRJ_normal.jpg","View")</f>
        <v>View</v>
      </c>
      <c r="P4014" s="7"/>
    </row>
    <row r="4015" spans="1:16">
      <c r="A4015" s="3">
        <v>43914.101412037038</v>
      </c>
      <c r="B4015" s="4" t="str">
        <f>HYPERLINK("https://twitter.com/petrogustavo","@petrogustavo")</f>
        <v>@petrogustavo</v>
      </c>
      <c r="C4015" s="5" t="s">
        <v>16</v>
      </c>
      <c r="D4015" s="5" t="s">
        <v>3932</v>
      </c>
      <c r="E4015" s="6" t="str">
        <f>HYPERLINK("https://twitter.com/petrogustavo/status/1242193410225844227","1242193410225844227")</f>
        <v>1242193410225844227</v>
      </c>
      <c r="F4015" s="7" t="s">
        <v>32</v>
      </c>
      <c r="G4015" s="7">
        <v>3704875</v>
      </c>
      <c r="H4015" s="7">
        <v>2369</v>
      </c>
      <c r="I4015" s="7">
        <v>235</v>
      </c>
      <c r="J4015" s="7">
        <v>524</v>
      </c>
      <c r="K4015" s="7" t="s">
        <v>18</v>
      </c>
      <c r="L4015" s="8">
        <v>39987.315405092595</v>
      </c>
      <c r="M4015" s="9" t="s">
        <v>19</v>
      </c>
      <c r="N4015" s="9" t="s">
        <v>20</v>
      </c>
      <c r="O4015" s="6" t="str">
        <f>HYPERLINK("https://pbs.twimg.com/profile_images/962471262747529216/Uo8lOkRJ_normal.jpg","View")</f>
        <v>View</v>
      </c>
      <c r="P4015" s="7"/>
    </row>
    <row r="4016" spans="1:16">
      <c r="A4016" s="3">
        <v>43914.104444444441</v>
      </c>
      <c r="B4016" s="4" t="str">
        <f>HYPERLINK("https://twitter.com/petrogustavo","@petrogustavo")</f>
        <v>@petrogustavo</v>
      </c>
      <c r="C4016" s="5" t="s">
        <v>16</v>
      </c>
      <c r="D4016" s="5" t="s">
        <v>3933</v>
      </c>
      <c r="E4016" s="6" t="str">
        <f>HYPERLINK("https://twitter.com/petrogustavo/status/1242194508810461185","1242194508810461185")</f>
        <v>1242194508810461185</v>
      </c>
      <c r="F4016" s="7" t="s">
        <v>32</v>
      </c>
      <c r="G4016" s="7">
        <v>3704875</v>
      </c>
      <c r="H4016" s="7">
        <v>2369</v>
      </c>
      <c r="I4016" s="7">
        <v>110</v>
      </c>
      <c r="J4016" s="7">
        <v>0</v>
      </c>
      <c r="K4016" s="7" t="s">
        <v>18</v>
      </c>
      <c r="L4016" s="8">
        <v>39987.315405092595</v>
      </c>
      <c r="M4016" s="9" t="s">
        <v>19</v>
      </c>
      <c r="N4016" s="9" t="s">
        <v>20</v>
      </c>
      <c r="O4016" s="6" t="str">
        <f>HYPERLINK("https://pbs.twimg.com/profile_images/962471262747529216/Uo8lOkRJ_normal.jpg","View")</f>
        <v>View</v>
      </c>
      <c r="P4016" s="7"/>
    </row>
    <row r="4017" spans="1:16">
      <c r="A4017" s="3">
        <v>43914.181342592594</v>
      </c>
      <c r="B4017" s="4" t="str">
        <f>HYPERLINK("https://twitter.com/petrogustavo","@petrogustavo")</f>
        <v>@petrogustavo</v>
      </c>
      <c r="C4017" s="5" t="s">
        <v>16</v>
      </c>
      <c r="D4017" s="5" t="s">
        <v>3934</v>
      </c>
      <c r="E4017" s="6" t="str">
        <f>HYPERLINK("https://twitter.com/petrogustavo/status/1242222377846689793","1242222377846689793")</f>
        <v>1242222377846689793</v>
      </c>
      <c r="F4017" s="7" t="s">
        <v>17</v>
      </c>
      <c r="G4017" s="7">
        <v>3705545</v>
      </c>
      <c r="H4017" s="7">
        <v>2368</v>
      </c>
      <c r="I4017" s="7">
        <v>198</v>
      </c>
      <c r="J4017" s="7">
        <v>424</v>
      </c>
      <c r="K4017" s="7" t="s">
        <v>18</v>
      </c>
      <c r="L4017" s="8">
        <v>39987.315405092595</v>
      </c>
      <c r="M4017" s="9" t="s">
        <v>19</v>
      </c>
      <c r="N4017" s="9" t="s">
        <v>20</v>
      </c>
      <c r="O4017" s="6" t="str">
        <f>HYPERLINK("https://pbs.twimg.com/profile_images/962471262747529216/Uo8lOkRJ_normal.jpg","View")</f>
        <v>View</v>
      </c>
      <c r="P4017" s="7"/>
    </row>
    <row r="4018" spans="1:16">
      <c r="A4018" s="3">
        <v>43914.187245370369</v>
      </c>
      <c r="B4018" s="4" t="str">
        <f>HYPERLINK("https://twitter.com/petrogustavo","@petrogustavo")</f>
        <v>@petrogustavo</v>
      </c>
      <c r="C4018" s="5" t="s">
        <v>16</v>
      </c>
      <c r="D4018" s="5" t="s">
        <v>3935</v>
      </c>
      <c r="E4018" s="6" t="str">
        <f>HYPERLINK("https://twitter.com/petrogustavo/status/1242224514836189185","1242224514836189185")</f>
        <v>1242224514836189185</v>
      </c>
      <c r="F4018" s="7" t="s">
        <v>17</v>
      </c>
      <c r="G4018" s="7">
        <v>3705545</v>
      </c>
      <c r="H4018" s="7">
        <v>2368</v>
      </c>
      <c r="I4018" s="7">
        <v>106</v>
      </c>
      <c r="J4018" s="7">
        <v>246</v>
      </c>
      <c r="K4018" s="7" t="s">
        <v>18</v>
      </c>
      <c r="L4018" s="8">
        <v>39987.315405092595</v>
      </c>
      <c r="M4018" s="9" t="s">
        <v>19</v>
      </c>
      <c r="N4018" s="9" t="s">
        <v>20</v>
      </c>
      <c r="O4018" s="6" t="str">
        <f>HYPERLINK("https://pbs.twimg.com/profile_images/962471262747529216/Uo8lOkRJ_normal.jpg","View")</f>
        <v>View</v>
      </c>
      <c r="P4018" s="7"/>
    </row>
    <row r="4019" spans="1:16">
      <c r="A4019" s="3">
        <v>43914.187245370369</v>
      </c>
      <c r="B4019" s="4" t="str">
        <f>HYPERLINK("https://twitter.com/petrogustavo","@petrogustavo")</f>
        <v>@petrogustavo</v>
      </c>
      <c r="C4019" s="5" t="s">
        <v>16</v>
      </c>
      <c r="D4019" s="5" t="s">
        <v>3936</v>
      </c>
      <c r="E4019" s="6" t="str">
        <f>HYPERLINK("https://twitter.com/petrogustavo/status/1242224516308353024","1242224516308353024")</f>
        <v>1242224516308353024</v>
      </c>
      <c r="F4019" s="7" t="s">
        <v>17</v>
      </c>
      <c r="G4019" s="7">
        <v>3705545</v>
      </c>
      <c r="H4019" s="7">
        <v>2368</v>
      </c>
      <c r="I4019" s="7">
        <v>78</v>
      </c>
      <c r="J4019" s="7">
        <v>183</v>
      </c>
      <c r="K4019" s="7" t="s">
        <v>18</v>
      </c>
      <c r="L4019" s="8">
        <v>39987.315405092595</v>
      </c>
      <c r="M4019" s="9" t="s">
        <v>19</v>
      </c>
      <c r="N4019" s="9" t="s">
        <v>20</v>
      </c>
      <c r="O4019" s="6" t="str">
        <f>HYPERLINK("https://pbs.twimg.com/profile_images/962471262747529216/Uo8lOkRJ_normal.jpg","View")</f>
        <v>View</v>
      </c>
      <c r="P4019" s="7"/>
    </row>
    <row r="4020" spans="1:16">
      <c r="A4020" s="3">
        <v>43914.188842592594</v>
      </c>
      <c r="B4020" s="4" t="str">
        <f>HYPERLINK("https://twitter.com/petrogustavo","@petrogustavo")</f>
        <v>@petrogustavo</v>
      </c>
      <c r="C4020" s="5" t="s">
        <v>16</v>
      </c>
      <c r="D4020" s="5" t="s">
        <v>3937</v>
      </c>
      <c r="E4020" s="6" t="str">
        <f>HYPERLINK("https://twitter.com/petrogustavo/status/1242225092664397833","1242225092664397833")</f>
        <v>1242225092664397833</v>
      </c>
      <c r="F4020" s="7" t="s">
        <v>17</v>
      </c>
      <c r="G4020" s="7">
        <v>3705545</v>
      </c>
      <c r="H4020" s="7">
        <v>2368</v>
      </c>
      <c r="I4020" s="7">
        <v>36</v>
      </c>
      <c r="J4020" s="7">
        <v>109</v>
      </c>
      <c r="K4020" s="7" t="s">
        <v>18</v>
      </c>
      <c r="L4020" s="8">
        <v>39987.315405092595</v>
      </c>
      <c r="M4020" s="9" t="s">
        <v>19</v>
      </c>
      <c r="N4020" s="9" t="s">
        <v>20</v>
      </c>
      <c r="O4020" s="6" t="str">
        <f>HYPERLINK("https://pbs.twimg.com/profile_images/962471262747529216/Uo8lOkRJ_normal.jpg","View")</f>
        <v>View</v>
      </c>
      <c r="P4020" s="7"/>
    </row>
    <row r="4021" spans="1:16">
      <c r="A4021" s="3">
        <v>43914.203993055555</v>
      </c>
      <c r="B4021" s="4" t="str">
        <f>HYPERLINK("https://twitter.com/petrogustavo","@petrogustavo")</f>
        <v>@petrogustavo</v>
      </c>
      <c r="C4021" s="5" t="s">
        <v>16</v>
      </c>
      <c r="D4021" s="5" t="s">
        <v>3938</v>
      </c>
      <c r="E4021" s="6" t="str">
        <f>HYPERLINK("https://twitter.com/petrogustavo/status/1242230583113256961","1242230583113256961")</f>
        <v>1242230583113256961</v>
      </c>
      <c r="F4021" s="7" t="s">
        <v>17</v>
      </c>
      <c r="G4021" s="7">
        <v>3705696</v>
      </c>
      <c r="H4021" s="7">
        <v>2368</v>
      </c>
      <c r="I4021" s="7">
        <v>227</v>
      </c>
      <c r="J4021" s="7">
        <v>0</v>
      </c>
      <c r="K4021" s="7" t="s">
        <v>18</v>
      </c>
      <c r="L4021" s="8">
        <v>39987.315405092595</v>
      </c>
      <c r="M4021" s="9" t="s">
        <v>19</v>
      </c>
      <c r="N4021" s="9" t="s">
        <v>20</v>
      </c>
      <c r="O4021" s="6" t="str">
        <f>HYPERLINK("https://pbs.twimg.com/profile_images/962471262747529216/Uo8lOkRJ_normal.jpg","View")</f>
        <v>View</v>
      </c>
      <c r="P4021" s="7"/>
    </row>
    <row r="4022" spans="1:16">
      <c r="A4022" s="3">
        <v>43914.204097222224</v>
      </c>
      <c r="B4022" s="4" t="str">
        <f>HYPERLINK("https://twitter.com/petrogustavo","@petrogustavo")</f>
        <v>@petrogustavo</v>
      </c>
      <c r="C4022" s="5" t="s">
        <v>16</v>
      </c>
      <c r="D4022" s="5" t="s">
        <v>3939</v>
      </c>
      <c r="E4022" s="6" t="str">
        <f>HYPERLINK("https://twitter.com/petrogustavo/status/1242230620048314370","1242230620048314370")</f>
        <v>1242230620048314370</v>
      </c>
      <c r="F4022" s="7" t="s">
        <v>17</v>
      </c>
      <c r="G4022" s="7">
        <v>3705696</v>
      </c>
      <c r="H4022" s="7">
        <v>2368</v>
      </c>
      <c r="I4022" s="7">
        <v>334</v>
      </c>
      <c r="J4022" s="7">
        <v>0</v>
      </c>
      <c r="K4022" s="7" t="s">
        <v>18</v>
      </c>
      <c r="L4022" s="8">
        <v>39987.315405092595</v>
      </c>
      <c r="M4022" s="9" t="s">
        <v>19</v>
      </c>
      <c r="N4022" s="9" t="s">
        <v>20</v>
      </c>
      <c r="O4022" s="6" t="str">
        <f>HYPERLINK("https://pbs.twimg.com/profile_images/962471262747529216/Uo8lOkRJ_normal.jpg","View")</f>
        <v>View</v>
      </c>
      <c r="P4022" s="7"/>
    </row>
    <row r="4023" spans="1:16">
      <c r="A4023" s="3">
        <v>43914.231261574074</v>
      </c>
      <c r="B4023" s="4" t="str">
        <f>HYPERLINK("https://twitter.com/petrogustavo","@petrogustavo")</f>
        <v>@petrogustavo</v>
      </c>
      <c r="C4023" s="5" t="s">
        <v>16</v>
      </c>
      <c r="D4023" s="5" t="s">
        <v>3940</v>
      </c>
      <c r="E4023" s="6" t="str">
        <f>HYPERLINK("https://twitter.com/petrogustavo/status/1242240465220616193","1242240465220616193")</f>
        <v>1242240465220616193</v>
      </c>
      <c r="F4023" s="7" t="s">
        <v>17</v>
      </c>
      <c r="G4023" s="7">
        <v>3705866</v>
      </c>
      <c r="H4023" s="7">
        <v>2368</v>
      </c>
      <c r="I4023" s="7">
        <v>458</v>
      </c>
      <c r="J4023" s="7">
        <v>1015</v>
      </c>
      <c r="K4023" s="7" t="s">
        <v>18</v>
      </c>
      <c r="L4023" s="8">
        <v>39987.315405092595</v>
      </c>
      <c r="M4023" s="9" t="s">
        <v>19</v>
      </c>
      <c r="N4023" s="9" t="s">
        <v>20</v>
      </c>
      <c r="O4023" s="6" t="str">
        <f>HYPERLINK("https://pbs.twimg.com/profile_images/962471262747529216/Uo8lOkRJ_normal.jpg","View")</f>
        <v>View</v>
      </c>
      <c r="P4023" s="7"/>
    </row>
    <row r="4024" spans="1:16">
      <c r="A4024" s="3">
        <v>43914.264039351852</v>
      </c>
      <c r="B4024" s="4" t="str">
        <f>HYPERLINK("https://twitter.com/petrogustavo","@petrogustavo")</f>
        <v>@petrogustavo</v>
      </c>
      <c r="C4024" s="5" t="s">
        <v>16</v>
      </c>
      <c r="D4024" s="5" t="s">
        <v>3941</v>
      </c>
      <c r="E4024" s="6" t="str">
        <f>HYPERLINK("https://twitter.com/petrogustavo/status/1242252344319975424","1242252344319975424")</f>
        <v>1242252344319975424</v>
      </c>
      <c r="F4024" s="7" t="s">
        <v>17</v>
      </c>
      <c r="G4024" s="7">
        <v>3706185</v>
      </c>
      <c r="H4024" s="7">
        <v>2368</v>
      </c>
      <c r="I4024" s="7">
        <v>149</v>
      </c>
      <c r="J4024" s="7">
        <v>240</v>
      </c>
      <c r="K4024" s="7" t="s">
        <v>18</v>
      </c>
      <c r="L4024" s="8">
        <v>39987.315405092595</v>
      </c>
      <c r="M4024" s="9" t="s">
        <v>19</v>
      </c>
      <c r="N4024" s="9" t="s">
        <v>20</v>
      </c>
      <c r="O4024" s="6" t="str">
        <f>HYPERLINK("https://pbs.twimg.com/profile_images/962471262747529216/Uo8lOkRJ_normal.jpg","View")</f>
        <v>View</v>
      </c>
      <c r="P4024" s="7"/>
    </row>
    <row r="4025" spans="1:16">
      <c r="A4025" s="3">
        <v>43914.268831018519</v>
      </c>
      <c r="B4025" s="4" t="str">
        <f>HYPERLINK("https://twitter.com/petrogustavo","@petrogustavo")</f>
        <v>@petrogustavo</v>
      </c>
      <c r="C4025" s="5" t="s">
        <v>16</v>
      </c>
      <c r="D4025" s="5" t="s">
        <v>3942</v>
      </c>
      <c r="E4025" s="6" t="str">
        <f>HYPERLINK("https://twitter.com/petrogustavo/status/1242254082028589063","1242254082028589063")</f>
        <v>1242254082028589063</v>
      </c>
      <c r="F4025" s="7" t="s">
        <v>17</v>
      </c>
      <c r="G4025" s="7">
        <v>3706185</v>
      </c>
      <c r="H4025" s="7">
        <v>2368</v>
      </c>
      <c r="I4025" s="7">
        <v>121</v>
      </c>
      <c r="J4025" s="7">
        <v>263</v>
      </c>
      <c r="K4025" s="7" t="s">
        <v>18</v>
      </c>
      <c r="L4025" s="8">
        <v>39987.315405092595</v>
      </c>
      <c r="M4025" s="9" t="s">
        <v>19</v>
      </c>
      <c r="N4025" s="9" t="s">
        <v>20</v>
      </c>
      <c r="O4025" s="6" t="str">
        <f>HYPERLINK("https://pbs.twimg.com/profile_images/962471262747529216/Uo8lOkRJ_normal.jpg","View")</f>
        <v>View</v>
      </c>
      <c r="P4025" s="7"/>
    </row>
    <row r="4026" spans="1:16">
      <c r="A4026" s="3">
        <v>43914.271678240737</v>
      </c>
      <c r="B4026" s="4" t="str">
        <f>HYPERLINK("https://twitter.com/petrogustavo","@petrogustavo")</f>
        <v>@petrogustavo</v>
      </c>
      <c r="C4026" s="5" t="s">
        <v>16</v>
      </c>
      <c r="D4026" s="5" t="s">
        <v>3943</v>
      </c>
      <c r="E4026" s="6" t="str">
        <f>HYPERLINK("https://twitter.com/petrogustavo/status/1242255112439042050","1242255112439042050")</f>
        <v>1242255112439042050</v>
      </c>
      <c r="F4026" s="7" t="s">
        <v>17</v>
      </c>
      <c r="G4026" s="7">
        <v>3706185</v>
      </c>
      <c r="H4026" s="7">
        <v>2368</v>
      </c>
      <c r="I4026" s="7">
        <v>311</v>
      </c>
      <c r="J4026" s="7">
        <v>977</v>
      </c>
      <c r="K4026" s="7" t="s">
        <v>18</v>
      </c>
      <c r="L4026" s="8">
        <v>39987.315405092595</v>
      </c>
      <c r="M4026" s="9" t="s">
        <v>19</v>
      </c>
      <c r="N4026" s="9" t="s">
        <v>20</v>
      </c>
      <c r="O4026" s="6" t="str">
        <f>HYPERLINK("https://pbs.twimg.com/profile_images/962471262747529216/Uo8lOkRJ_normal.jpg","View")</f>
        <v>View</v>
      </c>
      <c r="P4026" s="7"/>
    </row>
    <row r="4027" spans="1:16">
      <c r="A4027" s="3">
        <v>43914.290196759262</v>
      </c>
      <c r="B4027" s="4" t="str">
        <f>HYPERLINK("https://twitter.com/petrogustavo","@petrogustavo")</f>
        <v>@petrogustavo</v>
      </c>
      <c r="C4027" s="5" t="s">
        <v>16</v>
      </c>
      <c r="D4027" s="5" t="s">
        <v>3944</v>
      </c>
      <c r="E4027" s="6" t="str">
        <f>HYPERLINK("https://twitter.com/petrogustavo/status/1242261823652614144","1242261823652614144")</f>
        <v>1242261823652614144</v>
      </c>
      <c r="F4027" s="7" t="s">
        <v>32</v>
      </c>
      <c r="G4027" s="7">
        <v>3706355</v>
      </c>
      <c r="H4027" s="7">
        <v>2368</v>
      </c>
      <c r="I4027" s="7">
        <v>113</v>
      </c>
      <c r="J4027" s="7">
        <v>342</v>
      </c>
      <c r="K4027" s="7" t="s">
        <v>18</v>
      </c>
      <c r="L4027" s="8">
        <v>39987.315405092595</v>
      </c>
      <c r="M4027" s="9" t="s">
        <v>19</v>
      </c>
      <c r="N4027" s="9" t="s">
        <v>20</v>
      </c>
      <c r="O4027" s="6" t="str">
        <f>HYPERLINK("https://pbs.twimg.com/profile_images/962471262747529216/Uo8lOkRJ_normal.jpg","View")</f>
        <v>View</v>
      </c>
      <c r="P4027" s="7"/>
    </row>
    <row r="4028" spans="1:16">
      <c r="A4028" s="3">
        <v>43914.698298611111</v>
      </c>
      <c r="B4028" s="4" t="str">
        <f>HYPERLINK("https://twitter.com/petrogustavo","@petrogustavo")</f>
        <v>@petrogustavo</v>
      </c>
      <c r="C4028" s="5" t="s">
        <v>16</v>
      </c>
      <c r="D4028" s="5" t="s">
        <v>3945</v>
      </c>
      <c r="E4028" s="6" t="str">
        <f>HYPERLINK("https://twitter.com/petrogustavo/status/1242409716610973696","1242409716610973696")</f>
        <v>1242409716610973696</v>
      </c>
      <c r="F4028" s="7" t="s">
        <v>17</v>
      </c>
      <c r="G4028" s="7">
        <v>3707845</v>
      </c>
      <c r="H4028" s="7">
        <v>2369</v>
      </c>
      <c r="I4028" s="7">
        <v>4</v>
      </c>
      <c r="J4028" s="7">
        <v>18</v>
      </c>
      <c r="K4028" s="7" t="s">
        <v>18</v>
      </c>
      <c r="L4028" s="8">
        <v>39987.315405092595</v>
      </c>
      <c r="M4028" s="9" t="s">
        <v>19</v>
      </c>
      <c r="N4028" s="9" t="s">
        <v>20</v>
      </c>
      <c r="O4028" s="6" t="str">
        <f>HYPERLINK("https://pbs.twimg.com/profile_images/962471262747529216/Uo8lOkRJ_normal.jpg","View")</f>
        <v>View</v>
      </c>
      <c r="P4028" s="7"/>
    </row>
    <row r="4029" spans="1:16">
      <c r="A4029" s="3">
        <v>43914.731481481482</v>
      </c>
      <c r="B4029" s="4" t="str">
        <f>HYPERLINK("https://twitter.com/petrogustavo","@petrogustavo")</f>
        <v>@petrogustavo</v>
      </c>
      <c r="C4029" s="5" t="s">
        <v>16</v>
      </c>
      <c r="D4029" s="5" t="s">
        <v>3946</v>
      </c>
      <c r="E4029" s="6" t="str">
        <f>HYPERLINK("https://twitter.com/petrogustavo/status/1242421739814105089","1242421739814105089")</f>
        <v>1242421739814105089</v>
      </c>
      <c r="F4029" s="7" t="s">
        <v>17</v>
      </c>
      <c r="G4029" s="7">
        <v>3708025</v>
      </c>
      <c r="H4029" s="7">
        <v>2369</v>
      </c>
      <c r="I4029" s="7">
        <v>104</v>
      </c>
      <c r="J4029" s="7">
        <v>196</v>
      </c>
      <c r="K4029" s="7" t="s">
        <v>18</v>
      </c>
      <c r="L4029" s="8">
        <v>39987.315405092595</v>
      </c>
      <c r="M4029" s="9" t="s">
        <v>19</v>
      </c>
      <c r="N4029" s="9" t="s">
        <v>20</v>
      </c>
      <c r="O4029" s="6" t="str">
        <f>HYPERLINK("https://pbs.twimg.com/profile_images/962471262747529216/Uo8lOkRJ_normal.jpg","View")</f>
        <v>View</v>
      </c>
      <c r="P4029" s="7"/>
    </row>
    <row r="4030" spans="1:16">
      <c r="A4030" s="3">
        <v>43915.051828703705</v>
      </c>
      <c r="B4030" s="4" t="str">
        <f>HYPERLINK("https://twitter.com/petrogustavo","@petrogustavo")</f>
        <v>@petrogustavo</v>
      </c>
      <c r="C4030" s="5" t="s">
        <v>16</v>
      </c>
      <c r="D4030" s="5" t="s">
        <v>3947</v>
      </c>
      <c r="E4030" s="6" t="str">
        <f>HYPERLINK("https://twitter.com/petrogustavo/status/1242537829810475011","1242537829810475011")</f>
        <v>1242537829810475011</v>
      </c>
      <c r="F4030" s="7" t="s">
        <v>17</v>
      </c>
      <c r="G4030" s="7">
        <v>3710263</v>
      </c>
      <c r="H4030" s="7">
        <v>2369</v>
      </c>
      <c r="I4030" s="7">
        <v>13</v>
      </c>
      <c r="J4030" s="7">
        <v>33</v>
      </c>
      <c r="K4030" s="7" t="s">
        <v>18</v>
      </c>
      <c r="L4030" s="8">
        <v>39987.315405092595</v>
      </c>
      <c r="M4030" s="9" t="s">
        <v>19</v>
      </c>
      <c r="N4030" s="9" t="s">
        <v>20</v>
      </c>
      <c r="O4030" s="6" t="str">
        <f>HYPERLINK("https://pbs.twimg.com/profile_images/962471262747529216/Uo8lOkRJ_normal.jpg","View")</f>
        <v>View</v>
      </c>
      <c r="P4030" s="7"/>
    </row>
    <row r="4031" spans="1:16">
      <c r="A4031" s="3">
        <v>43915.054722222223</v>
      </c>
      <c r="B4031" s="4" t="str">
        <f>HYPERLINK("https://twitter.com/petrogustavo","@petrogustavo")</f>
        <v>@petrogustavo</v>
      </c>
      <c r="C4031" s="5" t="s">
        <v>16</v>
      </c>
      <c r="D4031" s="5" t="s">
        <v>3948</v>
      </c>
      <c r="E4031" s="6" t="str">
        <f>HYPERLINK("https://twitter.com/petrogustavo/status/1242538879682514944","1242538879682514944")</f>
        <v>1242538879682514944</v>
      </c>
      <c r="F4031" s="7" t="s">
        <v>17</v>
      </c>
      <c r="G4031" s="7">
        <v>3710337</v>
      </c>
      <c r="H4031" s="7">
        <v>2368</v>
      </c>
      <c r="I4031" s="7">
        <v>166</v>
      </c>
      <c r="J4031" s="7">
        <v>0</v>
      </c>
      <c r="K4031" s="7" t="s">
        <v>18</v>
      </c>
      <c r="L4031" s="8">
        <v>39987.315405092595</v>
      </c>
      <c r="M4031" s="9" t="s">
        <v>19</v>
      </c>
      <c r="N4031" s="9" t="s">
        <v>20</v>
      </c>
      <c r="O4031" s="6" t="str">
        <f>HYPERLINK("https://pbs.twimg.com/profile_images/962471262747529216/Uo8lOkRJ_normal.jpg","View")</f>
        <v>View</v>
      </c>
      <c r="P4031" s="7"/>
    </row>
    <row r="4032" spans="1:16">
      <c r="A4032" s="3">
        <v>43915.059374999997</v>
      </c>
      <c r="B4032" s="4" t="str">
        <f>HYPERLINK("https://twitter.com/petrogustavo","@petrogustavo")</f>
        <v>@petrogustavo</v>
      </c>
      <c r="C4032" s="5" t="s">
        <v>16</v>
      </c>
      <c r="D4032" s="5" t="s">
        <v>3949</v>
      </c>
      <c r="E4032" s="6" t="str">
        <f>HYPERLINK("https://twitter.com/petrogustavo/status/1242540566098980865","1242540566098980865")</f>
        <v>1242540566098980865</v>
      </c>
      <c r="F4032" s="7" t="s">
        <v>17</v>
      </c>
      <c r="G4032" s="7">
        <v>3710337</v>
      </c>
      <c r="H4032" s="7">
        <v>2368</v>
      </c>
      <c r="I4032" s="7">
        <v>198</v>
      </c>
      <c r="J4032" s="7">
        <v>553</v>
      </c>
      <c r="K4032" s="7" t="s">
        <v>18</v>
      </c>
      <c r="L4032" s="8">
        <v>39987.315405092595</v>
      </c>
      <c r="M4032" s="9" t="s">
        <v>19</v>
      </c>
      <c r="N4032" s="9" t="s">
        <v>20</v>
      </c>
      <c r="O4032" s="6" t="str">
        <f>HYPERLINK("https://pbs.twimg.com/profile_images/962471262747529216/Uo8lOkRJ_normal.jpg","View")</f>
        <v>View</v>
      </c>
      <c r="P4032" s="7"/>
    </row>
    <row r="4033" spans="1:16">
      <c r="A4033" s="3">
        <v>43915.069131944445</v>
      </c>
      <c r="B4033" s="4" t="str">
        <f>HYPERLINK("https://twitter.com/petrogustavo","@petrogustavo")</f>
        <v>@petrogustavo</v>
      </c>
      <c r="C4033" s="5" t="s">
        <v>16</v>
      </c>
      <c r="D4033" s="5" t="s">
        <v>3950</v>
      </c>
      <c r="E4033" s="6" t="str">
        <f>HYPERLINK("https://twitter.com/petrogustavo/status/1242544098390740992","1242544098390740992")</f>
        <v>1242544098390740992</v>
      </c>
      <c r="F4033" s="7" t="s">
        <v>17</v>
      </c>
      <c r="G4033" s="7">
        <v>3710337</v>
      </c>
      <c r="H4033" s="7">
        <v>2368</v>
      </c>
      <c r="I4033" s="7">
        <v>26</v>
      </c>
      <c r="J4033" s="7">
        <v>62</v>
      </c>
      <c r="K4033" s="7" t="s">
        <v>18</v>
      </c>
      <c r="L4033" s="8">
        <v>39987.315405092595</v>
      </c>
      <c r="M4033" s="9" t="s">
        <v>19</v>
      </c>
      <c r="N4033" s="9" t="s">
        <v>20</v>
      </c>
      <c r="O4033" s="6" t="str">
        <f>HYPERLINK("https://pbs.twimg.com/profile_images/962471262747529216/Uo8lOkRJ_normal.jpg","View")</f>
        <v>View</v>
      </c>
      <c r="P4033" s="7"/>
    </row>
    <row r="4034" spans="1:16">
      <c r="A4034" s="3">
        <v>43915.071053240739</v>
      </c>
      <c r="B4034" s="4" t="str">
        <f>HYPERLINK("https://twitter.com/petrogustavo","@petrogustavo")</f>
        <v>@petrogustavo</v>
      </c>
      <c r="C4034" s="5" t="s">
        <v>16</v>
      </c>
      <c r="D4034" s="5" t="s">
        <v>3951</v>
      </c>
      <c r="E4034" s="6" t="str">
        <f>HYPERLINK("https://twitter.com/petrogustavo/status/1242544796935299076","1242544796935299076")</f>
        <v>1242544796935299076</v>
      </c>
      <c r="F4034" s="7" t="s">
        <v>17</v>
      </c>
      <c r="G4034" s="7">
        <v>3710337</v>
      </c>
      <c r="H4034" s="7">
        <v>2368</v>
      </c>
      <c r="I4034" s="7">
        <v>65</v>
      </c>
      <c r="J4034" s="7">
        <v>232</v>
      </c>
      <c r="K4034" s="7" t="s">
        <v>18</v>
      </c>
      <c r="L4034" s="8">
        <v>39987.315405092595</v>
      </c>
      <c r="M4034" s="9" t="s">
        <v>19</v>
      </c>
      <c r="N4034" s="9" t="s">
        <v>20</v>
      </c>
      <c r="O4034" s="6" t="str">
        <f>HYPERLINK("https://pbs.twimg.com/profile_images/962471262747529216/Uo8lOkRJ_normal.jpg","View")</f>
        <v>View</v>
      </c>
      <c r="P4034" s="7"/>
    </row>
    <row r="4035" spans="1:16">
      <c r="A4035" s="3">
        <v>43915.073124999995</v>
      </c>
      <c r="B4035" s="4" t="str">
        <f>HYPERLINK("https://twitter.com/petrogustavo","@petrogustavo")</f>
        <v>@petrogustavo</v>
      </c>
      <c r="C4035" s="5" t="s">
        <v>16</v>
      </c>
      <c r="D4035" s="5" t="s">
        <v>3952</v>
      </c>
      <c r="E4035" s="6" t="str">
        <f>HYPERLINK("https://twitter.com/petrogustavo/status/1242545546977517570","1242545546977517570")</f>
        <v>1242545546977517570</v>
      </c>
      <c r="F4035" s="7" t="s">
        <v>17</v>
      </c>
      <c r="G4035" s="7">
        <v>3710337</v>
      </c>
      <c r="H4035" s="7">
        <v>2368</v>
      </c>
      <c r="I4035" s="7">
        <v>12</v>
      </c>
      <c r="J4035" s="7">
        <v>27</v>
      </c>
      <c r="K4035" s="7" t="s">
        <v>18</v>
      </c>
      <c r="L4035" s="8">
        <v>39987.315405092595</v>
      </c>
      <c r="M4035" s="9" t="s">
        <v>19</v>
      </c>
      <c r="N4035" s="9" t="s">
        <v>20</v>
      </c>
      <c r="O4035" s="6" t="str">
        <f>HYPERLINK("https://pbs.twimg.com/profile_images/962471262747529216/Uo8lOkRJ_normal.jpg","View")</f>
        <v>View</v>
      </c>
      <c r="P4035" s="7"/>
    </row>
    <row r="4036" spans="1:16">
      <c r="A4036" s="3">
        <v>43915.079340277778</v>
      </c>
      <c r="B4036" s="4" t="str">
        <f>HYPERLINK("https://twitter.com/petrogustavo","@petrogustavo")</f>
        <v>@petrogustavo</v>
      </c>
      <c r="C4036" s="5" t="s">
        <v>16</v>
      </c>
      <c r="D4036" s="5" t="s">
        <v>3953</v>
      </c>
      <c r="E4036" s="6" t="str">
        <f>HYPERLINK("https://twitter.com/petrogustavo/status/1242547799033556993","1242547799033556993")</f>
        <v>1242547799033556993</v>
      </c>
      <c r="F4036" s="7" t="s">
        <v>17</v>
      </c>
      <c r="G4036" s="7">
        <v>3710436</v>
      </c>
      <c r="H4036" s="7">
        <v>2368</v>
      </c>
      <c r="I4036" s="7">
        <v>115</v>
      </c>
      <c r="J4036" s="7">
        <v>226</v>
      </c>
      <c r="K4036" s="7" t="s">
        <v>18</v>
      </c>
      <c r="L4036" s="8">
        <v>39987.315405092595</v>
      </c>
      <c r="M4036" s="9" t="s">
        <v>19</v>
      </c>
      <c r="N4036" s="9" t="s">
        <v>20</v>
      </c>
      <c r="O4036" s="6" t="str">
        <f>HYPERLINK("https://pbs.twimg.com/profile_images/962471262747529216/Uo8lOkRJ_normal.jpg","View")</f>
        <v>View</v>
      </c>
      <c r="P4036" s="7"/>
    </row>
    <row r="4037" spans="1:16">
      <c r="A4037" s="3">
        <v>43915.084062499998</v>
      </c>
      <c r="B4037" s="4" t="str">
        <f>HYPERLINK("https://twitter.com/petrogustavo","@petrogustavo")</f>
        <v>@petrogustavo</v>
      </c>
      <c r="C4037" s="5" t="s">
        <v>16</v>
      </c>
      <c r="D4037" s="5" t="s">
        <v>3954</v>
      </c>
      <c r="E4037" s="6" t="str">
        <f>HYPERLINK("https://twitter.com/petrogustavo/status/1242549510951272450","1242549510951272450")</f>
        <v>1242549510951272450</v>
      </c>
      <c r="F4037" s="7" t="s">
        <v>17</v>
      </c>
      <c r="G4037" s="7">
        <v>3710436</v>
      </c>
      <c r="H4037" s="7">
        <v>2368</v>
      </c>
      <c r="I4037" s="7">
        <v>74</v>
      </c>
      <c r="J4037" s="7">
        <v>186</v>
      </c>
      <c r="K4037" s="7" t="s">
        <v>18</v>
      </c>
      <c r="L4037" s="8">
        <v>39987.315405092595</v>
      </c>
      <c r="M4037" s="9" t="s">
        <v>19</v>
      </c>
      <c r="N4037" s="9" t="s">
        <v>20</v>
      </c>
      <c r="O4037" s="6" t="str">
        <f>HYPERLINK("https://pbs.twimg.com/profile_images/962471262747529216/Uo8lOkRJ_normal.jpg","View")</f>
        <v>View</v>
      </c>
      <c r="P4037" s="7"/>
    </row>
    <row r="4038" spans="1:16">
      <c r="A4038" s="3">
        <v>43915.085983796293</v>
      </c>
      <c r="B4038" s="4" t="str">
        <f>HYPERLINK("https://twitter.com/petrogustavo","@petrogustavo")</f>
        <v>@petrogustavo</v>
      </c>
      <c r="C4038" s="5" t="s">
        <v>16</v>
      </c>
      <c r="D4038" s="5" t="s">
        <v>3955</v>
      </c>
      <c r="E4038" s="6" t="str">
        <f>HYPERLINK("https://twitter.com/petrogustavo/status/1242550208363409408","1242550208363409408")</f>
        <v>1242550208363409408</v>
      </c>
      <c r="F4038" s="7" t="s">
        <v>17</v>
      </c>
      <c r="G4038" s="7">
        <v>3710436</v>
      </c>
      <c r="H4038" s="7">
        <v>2368</v>
      </c>
      <c r="I4038" s="7">
        <v>98</v>
      </c>
      <c r="J4038" s="7">
        <v>224</v>
      </c>
      <c r="K4038" s="7" t="s">
        <v>18</v>
      </c>
      <c r="L4038" s="8">
        <v>39987.315405092595</v>
      </c>
      <c r="M4038" s="9" t="s">
        <v>19</v>
      </c>
      <c r="N4038" s="9" t="s">
        <v>20</v>
      </c>
      <c r="O4038" s="6" t="str">
        <f>HYPERLINK("https://pbs.twimg.com/profile_images/962471262747529216/Uo8lOkRJ_normal.jpg","View")</f>
        <v>View</v>
      </c>
      <c r="P4038" s="7"/>
    </row>
    <row r="4039" spans="1:16">
      <c r="A4039" s="3">
        <v>43915.08866898148</v>
      </c>
      <c r="B4039" s="4" t="str">
        <f>HYPERLINK("https://twitter.com/petrogustavo","@petrogustavo")</f>
        <v>@petrogustavo</v>
      </c>
      <c r="C4039" s="5" t="s">
        <v>16</v>
      </c>
      <c r="D4039" s="5" t="s">
        <v>3956</v>
      </c>
      <c r="E4039" s="6" t="str">
        <f>HYPERLINK("https://twitter.com/petrogustavo/status/1242551179487383557","1242551179487383557")</f>
        <v>1242551179487383557</v>
      </c>
      <c r="F4039" s="7" t="s">
        <v>17</v>
      </c>
      <c r="G4039" s="7">
        <v>3710436</v>
      </c>
      <c r="H4039" s="7">
        <v>2368</v>
      </c>
      <c r="I4039" s="7">
        <v>93</v>
      </c>
      <c r="J4039" s="7">
        <v>195</v>
      </c>
      <c r="K4039" s="7" t="s">
        <v>18</v>
      </c>
      <c r="L4039" s="8">
        <v>39987.315405092595</v>
      </c>
      <c r="M4039" s="9" t="s">
        <v>19</v>
      </c>
      <c r="N4039" s="9" t="s">
        <v>20</v>
      </c>
      <c r="O4039" s="6" t="str">
        <f>HYPERLINK("https://pbs.twimg.com/profile_images/962471262747529216/Uo8lOkRJ_normal.jpg","View")</f>
        <v>View</v>
      </c>
      <c r="P4039" s="7"/>
    </row>
    <row r="4040" spans="1:16">
      <c r="A4040" s="3">
        <v>43915.093148148153</v>
      </c>
      <c r="B4040" s="4" t="str">
        <f>HYPERLINK("https://twitter.com/petrogustavo","@petrogustavo")</f>
        <v>@petrogustavo</v>
      </c>
      <c r="C4040" s="5" t="s">
        <v>16</v>
      </c>
      <c r="D4040" s="5" t="s">
        <v>3957</v>
      </c>
      <c r="E4040" s="6" t="str">
        <f>HYPERLINK("https://twitter.com/petrogustavo/status/1242552802582368258","1242552802582368258")</f>
        <v>1242552802582368258</v>
      </c>
      <c r="F4040" s="7" t="s">
        <v>17</v>
      </c>
      <c r="G4040" s="7">
        <v>3710436</v>
      </c>
      <c r="H4040" s="7">
        <v>2368</v>
      </c>
      <c r="I4040" s="7">
        <v>20</v>
      </c>
      <c r="J4040" s="7">
        <v>33</v>
      </c>
      <c r="K4040" s="7" t="s">
        <v>18</v>
      </c>
      <c r="L4040" s="8">
        <v>39987.315405092595</v>
      </c>
      <c r="M4040" s="9" t="s">
        <v>19</v>
      </c>
      <c r="N4040" s="9" t="s">
        <v>20</v>
      </c>
      <c r="O4040" s="6" t="str">
        <f>HYPERLINK("https://pbs.twimg.com/profile_images/962471262747529216/Uo8lOkRJ_normal.jpg","View")</f>
        <v>View</v>
      </c>
      <c r="P4040" s="7"/>
    </row>
    <row r="4041" spans="1:16">
      <c r="A4041" s="3">
        <v>43915.095555555556</v>
      </c>
      <c r="B4041" s="4" t="str">
        <f>HYPERLINK("https://twitter.com/petrogustavo","@petrogustavo")</f>
        <v>@petrogustavo</v>
      </c>
      <c r="C4041" s="5" t="s">
        <v>16</v>
      </c>
      <c r="D4041" s="5" t="s">
        <v>3958</v>
      </c>
      <c r="E4041" s="6" t="str">
        <f>HYPERLINK("https://twitter.com/petrogustavo/status/1242553677518430211","1242553677518430211")</f>
        <v>1242553677518430211</v>
      </c>
      <c r="F4041" s="7" t="s">
        <v>17</v>
      </c>
      <c r="G4041" s="7">
        <v>3710436</v>
      </c>
      <c r="H4041" s="7">
        <v>2368</v>
      </c>
      <c r="I4041" s="7">
        <v>2</v>
      </c>
      <c r="J4041" s="7">
        <v>5</v>
      </c>
      <c r="K4041" s="7" t="s">
        <v>18</v>
      </c>
      <c r="L4041" s="8">
        <v>39987.315405092595</v>
      </c>
      <c r="M4041" s="9" t="s">
        <v>19</v>
      </c>
      <c r="N4041" s="9" t="s">
        <v>20</v>
      </c>
      <c r="O4041" s="6" t="str">
        <f>HYPERLINK("https://pbs.twimg.com/profile_images/962471262747529216/Uo8lOkRJ_normal.jpg","View")</f>
        <v>View</v>
      </c>
      <c r="P4041" s="7"/>
    </row>
    <row r="4042" spans="1:16">
      <c r="A4042" s="3">
        <v>43915.099050925928</v>
      </c>
      <c r="B4042" s="4" t="str">
        <f>HYPERLINK("https://twitter.com/petrogustavo","@petrogustavo")</f>
        <v>@petrogustavo</v>
      </c>
      <c r="C4042" s="5" t="s">
        <v>16</v>
      </c>
      <c r="D4042" s="5" t="s">
        <v>3959</v>
      </c>
      <c r="E4042" s="6" t="str">
        <f>HYPERLINK("https://twitter.com/petrogustavo/status/1242554941811625990","1242554941811625990")</f>
        <v>1242554941811625990</v>
      </c>
      <c r="F4042" s="7" t="s">
        <v>17</v>
      </c>
      <c r="G4042" s="7">
        <v>3710531</v>
      </c>
      <c r="H4042" s="7">
        <v>2368</v>
      </c>
      <c r="I4042" s="7">
        <v>1262</v>
      </c>
      <c r="J4042" s="7">
        <v>0</v>
      </c>
      <c r="K4042" s="7" t="s">
        <v>18</v>
      </c>
      <c r="L4042" s="8">
        <v>39987.315405092595</v>
      </c>
      <c r="M4042" s="9" t="s">
        <v>19</v>
      </c>
      <c r="N4042" s="9" t="s">
        <v>20</v>
      </c>
      <c r="O4042" s="6" t="str">
        <f>HYPERLINK("https://pbs.twimg.com/profile_images/962471262747529216/Uo8lOkRJ_normal.jpg","View")</f>
        <v>View</v>
      </c>
      <c r="P4042" s="7"/>
    </row>
    <row r="4043" spans="1:16">
      <c r="A4043" s="3">
        <v>43915.100613425922</v>
      </c>
      <c r="B4043" s="4" t="str">
        <f>HYPERLINK("https://twitter.com/petrogustavo","@petrogustavo")</f>
        <v>@petrogustavo</v>
      </c>
      <c r="C4043" s="5" t="s">
        <v>16</v>
      </c>
      <c r="D4043" s="5" t="s">
        <v>3960</v>
      </c>
      <c r="E4043" s="6" t="str">
        <f>HYPERLINK("https://twitter.com/petrogustavo/status/1242555506776047618","1242555506776047618")</f>
        <v>1242555506776047618</v>
      </c>
      <c r="F4043" s="7" t="s">
        <v>17</v>
      </c>
      <c r="G4043" s="7">
        <v>3710531</v>
      </c>
      <c r="H4043" s="7">
        <v>2368</v>
      </c>
      <c r="I4043" s="7">
        <v>267</v>
      </c>
      <c r="J4043" s="7">
        <v>812</v>
      </c>
      <c r="K4043" s="7" t="s">
        <v>18</v>
      </c>
      <c r="L4043" s="8">
        <v>39987.315405092595</v>
      </c>
      <c r="M4043" s="9" t="s">
        <v>19</v>
      </c>
      <c r="N4043" s="9" t="s">
        <v>20</v>
      </c>
      <c r="O4043" s="6" t="str">
        <f>HYPERLINK("https://pbs.twimg.com/profile_images/962471262747529216/Uo8lOkRJ_normal.jpg","View")</f>
        <v>View</v>
      </c>
      <c r="P4043" s="7"/>
    </row>
    <row r="4044" spans="1:16">
      <c r="A4044" s="3">
        <v>43915.102314814816</v>
      </c>
      <c r="B4044" s="4" t="str">
        <f>HYPERLINK("https://twitter.com/petrogustavo","@petrogustavo")</f>
        <v>@petrogustavo</v>
      </c>
      <c r="C4044" s="5" t="s">
        <v>16</v>
      </c>
      <c r="D4044" s="5" t="s">
        <v>3961</v>
      </c>
      <c r="E4044" s="6" t="str">
        <f>HYPERLINK("https://twitter.com/petrogustavo/status/1242556126983532550","1242556126983532550")</f>
        <v>1242556126983532550</v>
      </c>
      <c r="F4044" s="7" t="s">
        <v>17</v>
      </c>
      <c r="G4044" s="7">
        <v>3710531</v>
      </c>
      <c r="H4044" s="7">
        <v>2368</v>
      </c>
      <c r="I4044" s="7">
        <v>68</v>
      </c>
      <c r="J4044" s="7">
        <v>214</v>
      </c>
      <c r="K4044" s="7" t="s">
        <v>18</v>
      </c>
      <c r="L4044" s="8">
        <v>39987.315405092595</v>
      </c>
      <c r="M4044" s="9" t="s">
        <v>19</v>
      </c>
      <c r="N4044" s="9" t="s">
        <v>20</v>
      </c>
      <c r="O4044" s="6" t="str">
        <f>HYPERLINK("https://pbs.twimg.com/profile_images/962471262747529216/Uo8lOkRJ_normal.jpg","View")</f>
        <v>View</v>
      </c>
      <c r="P4044" s="7"/>
    </row>
    <row r="4045" spans="1:16">
      <c r="A4045" s="3">
        <v>43915.109293981484</v>
      </c>
      <c r="B4045" s="4" t="str">
        <f>HYPERLINK("https://twitter.com/petrogustavo","@petrogustavo")</f>
        <v>@petrogustavo</v>
      </c>
      <c r="C4045" s="5" t="s">
        <v>16</v>
      </c>
      <c r="D4045" s="5" t="s">
        <v>3962</v>
      </c>
      <c r="E4045" s="6" t="str">
        <f>HYPERLINK("https://twitter.com/petrogustavo/status/1242558655498792963","1242558655498792963")</f>
        <v>1242558655498792963</v>
      </c>
      <c r="F4045" s="7" t="s">
        <v>17</v>
      </c>
      <c r="G4045" s="7">
        <v>3710531</v>
      </c>
      <c r="H4045" s="7">
        <v>2368</v>
      </c>
      <c r="I4045" s="7">
        <v>111</v>
      </c>
      <c r="J4045" s="7">
        <v>267</v>
      </c>
      <c r="K4045" s="7" t="s">
        <v>18</v>
      </c>
      <c r="L4045" s="8">
        <v>39987.315405092595</v>
      </c>
      <c r="M4045" s="9" t="s">
        <v>19</v>
      </c>
      <c r="N4045" s="9" t="s">
        <v>20</v>
      </c>
      <c r="O4045" s="6" t="str">
        <f>HYPERLINK("https://pbs.twimg.com/profile_images/962471262747529216/Uo8lOkRJ_normal.jpg","View")</f>
        <v>View</v>
      </c>
      <c r="P4045" s="7"/>
    </row>
    <row r="4046" spans="1:16">
      <c r="A4046" s="3">
        <v>43915.115578703699</v>
      </c>
      <c r="B4046" s="4" t="str">
        <f>HYPERLINK("https://twitter.com/petrogustavo","@petrogustavo")</f>
        <v>@petrogustavo</v>
      </c>
      <c r="C4046" s="5" t="s">
        <v>16</v>
      </c>
      <c r="D4046" s="5" t="s">
        <v>3963</v>
      </c>
      <c r="E4046" s="6" t="str">
        <f>HYPERLINK("https://twitter.com/petrogustavo/status/1242560933358166016","1242560933358166016")</f>
        <v>1242560933358166016</v>
      </c>
      <c r="F4046" s="7" t="s">
        <v>17</v>
      </c>
      <c r="G4046" s="7">
        <v>3710531</v>
      </c>
      <c r="H4046" s="7">
        <v>2368</v>
      </c>
      <c r="I4046" s="7">
        <v>5</v>
      </c>
      <c r="J4046" s="7">
        <v>13</v>
      </c>
      <c r="K4046" s="7" t="s">
        <v>18</v>
      </c>
      <c r="L4046" s="8">
        <v>39987.315405092595</v>
      </c>
      <c r="M4046" s="9" t="s">
        <v>19</v>
      </c>
      <c r="N4046" s="9" t="s">
        <v>20</v>
      </c>
      <c r="O4046" s="6" t="str">
        <f>HYPERLINK("https://pbs.twimg.com/profile_images/962471262747529216/Uo8lOkRJ_normal.jpg","View")</f>
        <v>View</v>
      </c>
      <c r="P4046" s="7"/>
    </row>
    <row r="4047" spans="1:16">
      <c r="A4047" s="3">
        <v>43915.117696759262</v>
      </c>
      <c r="B4047" s="4" t="str">
        <f>HYPERLINK("https://twitter.com/petrogustavo","@petrogustavo")</f>
        <v>@petrogustavo</v>
      </c>
      <c r="C4047" s="5" t="s">
        <v>16</v>
      </c>
      <c r="D4047" s="5" t="s">
        <v>3964</v>
      </c>
      <c r="E4047" s="6" t="str">
        <f>HYPERLINK("https://twitter.com/petrogustavo/status/1242561699976265731","1242561699976265731")</f>
        <v>1242561699976265731</v>
      </c>
      <c r="F4047" s="7" t="s">
        <v>17</v>
      </c>
      <c r="G4047" s="7">
        <v>3710617</v>
      </c>
      <c r="H4047" s="7">
        <v>2368</v>
      </c>
      <c r="I4047" s="7">
        <v>59</v>
      </c>
      <c r="J4047" s="7">
        <v>177</v>
      </c>
      <c r="K4047" s="7" t="s">
        <v>18</v>
      </c>
      <c r="L4047" s="8">
        <v>39987.315405092595</v>
      </c>
      <c r="M4047" s="9" t="s">
        <v>19</v>
      </c>
      <c r="N4047" s="9" t="s">
        <v>20</v>
      </c>
      <c r="O4047" s="6" t="str">
        <f>HYPERLINK("https://pbs.twimg.com/profile_images/962471262747529216/Uo8lOkRJ_normal.jpg","View")</f>
        <v>View</v>
      </c>
      <c r="P4047" s="7"/>
    </row>
    <row r="4048" spans="1:16">
      <c r="A4048" s="3">
        <v>43915.124699074076</v>
      </c>
      <c r="B4048" s="4" t="str">
        <f>HYPERLINK("https://twitter.com/petrogustavo","@petrogustavo")</f>
        <v>@petrogustavo</v>
      </c>
      <c r="C4048" s="5" t="s">
        <v>16</v>
      </c>
      <c r="D4048" s="5" t="s">
        <v>3965</v>
      </c>
      <c r="E4048" s="6" t="str">
        <f>HYPERLINK("https://twitter.com/petrogustavo/status/1242564238775910401","1242564238775910401")</f>
        <v>1242564238775910401</v>
      </c>
      <c r="F4048" s="7" t="s">
        <v>17</v>
      </c>
      <c r="G4048" s="7">
        <v>3710617</v>
      </c>
      <c r="H4048" s="7">
        <v>2368</v>
      </c>
      <c r="I4048" s="7">
        <v>82</v>
      </c>
      <c r="J4048" s="7">
        <v>162</v>
      </c>
      <c r="K4048" s="7" t="s">
        <v>18</v>
      </c>
      <c r="L4048" s="8">
        <v>39987.315405092595</v>
      </c>
      <c r="M4048" s="9" t="s">
        <v>19</v>
      </c>
      <c r="N4048" s="9" t="s">
        <v>20</v>
      </c>
      <c r="O4048" s="6" t="str">
        <f>HYPERLINK("https://pbs.twimg.com/profile_images/962471262747529216/Uo8lOkRJ_normal.jpg","View")</f>
        <v>View</v>
      </c>
      <c r="P4048" s="7"/>
    </row>
    <row r="4049" spans="1:16">
      <c r="A4049" s="3">
        <v>43915.125717592593</v>
      </c>
      <c r="B4049" s="4" t="str">
        <f>HYPERLINK("https://twitter.com/petrogustavo","@petrogustavo")</f>
        <v>@petrogustavo</v>
      </c>
      <c r="C4049" s="5" t="s">
        <v>16</v>
      </c>
      <c r="D4049" s="5" t="s">
        <v>3966</v>
      </c>
      <c r="E4049" s="6" t="str">
        <f>HYPERLINK("https://twitter.com/petrogustavo/status/1242564605253124096","1242564605253124096")</f>
        <v>1242564605253124096</v>
      </c>
      <c r="F4049" s="7" t="s">
        <v>17</v>
      </c>
      <c r="G4049" s="7">
        <v>3710617</v>
      </c>
      <c r="H4049" s="7">
        <v>2368</v>
      </c>
      <c r="I4049" s="7">
        <v>94</v>
      </c>
      <c r="J4049" s="7">
        <v>0</v>
      </c>
      <c r="K4049" s="7" t="s">
        <v>18</v>
      </c>
      <c r="L4049" s="8">
        <v>39987.315405092595</v>
      </c>
      <c r="M4049" s="9" t="s">
        <v>19</v>
      </c>
      <c r="N4049" s="9" t="s">
        <v>20</v>
      </c>
      <c r="O4049" s="6" t="str">
        <f>HYPERLINK("https://pbs.twimg.com/profile_images/962471262747529216/Uo8lOkRJ_normal.jpg","View")</f>
        <v>View</v>
      </c>
      <c r="P4049" s="7"/>
    </row>
    <row r="4050" spans="1:16">
      <c r="A4050" s="3">
        <v>43915.130300925928</v>
      </c>
      <c r="B4050" s="4" t="str">
        <f>HYPERLINK("https://twitter.com/petrogustavo","@petrogustavo")</f>
        <v>@petrogustavo</v>
      </c>
      <c r="C4050" s="5" t="s">
        <v>16</v>
      </c>
      <c r="D4050" s="5" t="s">
        <v>3967</v>
      </c>
      <c r="E4050" s="6" t="str">
        <f>HYPERLINK("https://twitter.com/petrogustavo/status/1242566266403028994","1242566266403028994")</f>
        <v>1242566266403028994</v>
      </c>
      <c r="F4050" s="7" t="s">
        <v>17</v>
      </c>
      <c r="G4050" s="7">
        <v>3710617</v>
      </c>
      <c r="H4050" s="7">
        <v>2368</v>
      </c>
      <c r="I4050" s="7">
        <v>87</v>
      </c>
      <c r="J4050" s="7">
        <v>253</v>
      </c>
      <c r="K4050" s="7" t="s">
        <v>18</v>
      </c>
      <c r="L4050" s="8">
        <v>39987.315405092595</v>
      </c>
      <c r="M4050" s="9" t="s">
        <v>19</v>
      </c>
      <c r="N4050" s="9" t="s">
        <v>20</v>
      </c>
      <c r="O4050" s="6" t="str">
        <f>HYPERLINK("https://pbs.twimg.com/profile_images/962471262747529216/Uo8lOkRJ_normal.jpg","View")</f>
        <v>View</v>
      </c>
      <c r="P4050" s="7"/>
    </row>
    <row r="4051" spans="1:16">
      <c r="A4051" s="3">
        <v>43915.134409722217</v>
      </c>
      <c r="B4051" s="4" t="str">
        <f>HYPERLINK("https://twitter.com/petrogustavo","@petrogustavo")</f>
        <v>@petrogustavo</v>
      </c>
      <c r="C4051" s="5" t="s">
        <v>16</v>
      </c>
      <c r="D4051" s="5" t="s">
        <v>3968</v>
      </c>
      <c r="E4051" s="6" t="str">
        <f>HYPERLINK("https://twitter.com/petrogustavo/status/1242567754076565505","1242567754076565505")</f>
        <v>1242567754076565505</v>
      </c>
      <c r="F4051" s="7" t="s">
        <v>17</v>
      </c>
      <c r="G4051" s="7">
        <v>3710617</v>
      </c>
      <c r="H4051" s="7">
        <v>2368</v>
      </c>
      <c r="I4051" s="7">
        <v>19</v>
      </c>
      <c r="J4051" s="7">
        <v>40</v>
      </c>
      <c r="K4051" s="7" t="s">
        <v>18</v>
      </c>
      <c r="L4051" s="8">
        <v>39987.315405092595</v>
      </c>
      <c r="M4051" s="9" t="s">
        <v>19</v>
      </c>
      <c r="N4051" s="9" t="s">
        <v>20</v>
      </c>
      <c r="O4051" s="6" t="str">
        <f>HYPERLINK("https://pbs.twimg.com/profile_images/962471262747529216/Uo8lOkRJ_normal.jpg","View")</f>
        <v>View</v>
      </c>
      <c r="P4051" s="7"/>
    </row>
    <row r="4052" spans="1:16">
      <c r="A4052" s="3">
        <v>43915.136712962965</v>
      </c>
      <c r="B4052" s="4" t="str">
        <f>HYPERLINK("https://twitter.com/petrogustavo","@petrogustavo")</f>
        <v>@petrogustavo</v>
      </c>
      <c r="C4052" s="5" t="s">
        <v>16</v>
      </c>
      <c r="D4052" s="5" t="s">
        <v>3969</v>
      </c>
      <c r="E4052" s="6" t="str">
        <f>HYPERLINK("https://twitter.com/petrogustavo/status/1242568589560995846","1242568589560995846")</f>
        <v>1242568589560995846</v>
      </c>
      <c r="F4052" s="7" t="s">
        <v>17</v>
      </c>
      <c r="G4052" s="7">
        <v>3710617</v>
      </c>
      <c r="H4052" s="7">
        <v>2368</v>
      </c>
      <c r="I4052" s="7">
        <v>2</v>
      </c>
      <c r="J4052" s="7">
        <v>7</v>
      </c>
      <c r="K4052" s="7" t="s">
        <v>18</v>
      </c>
      <c r="L4052" s="8">
        <v>39987.315405092595</v>
      </c>
      <c r="M4052" s="9" t="s">
        <v>19</v>
      </c>
      <c r="N4052" s="9" t="s">
        <v>20</v>
      </c>
      <c r="O4052" s="6" t="str">
        <f>HYPERLINK("https://pbs.twimg.com/profile_images/962471262747529216/Uo8lOkRJ_normal.jpg","View")</f>
        <v>View</v>
      </c>
      <c r="P4052" s="7"/>
    </row>
    <row r="4053" spans="1:16">
      <c r="A4053" s="3">
        <v>43915.140810185185</v>
      </c>
      <c r="B4053" s="4" t="str">
        <f>HYPERLINK("https://twitter.com/petrogustavo","@petrogustavo")</f>
        <v>@petrogustavo</v>
      </c>
      <c r="C4053" s="5" t="s">
        <v>16</v>
      </c>
      <c r="D4053" s="5" t="s">
        <v>3970</v>
      </c>
      <c r="E4053" s="6" t="str">
        <f>HYPERLINK("https://twitter.com/petrogustavo/status/1242570075850317825","1242570075850317825")</f>
        <v>1242570075850317825</v>
      </c>
      <c r="F4053" s="7" t="s">
        <v>17</v>
      </c>
      <c r="G4053" s="7">
        <v>3710706</v>
      </c>
      <c r="H4053" s="7">
        <v>2368</v>
      </c>
      <c r="I4053" s="7">
        <v>32</v>
      </c>
      <c r="J4053" s="7">
        <v>90</v>
      </c>
      <c r="K4053" s="7" t="s">
        <v>18</v>
      </c>
      <c r="L4053" s="8">
        <v>39987.315405092595</v>
      </c>
      <c r="M4053" s="9" t="s">
        <v>19</v>
      </c>
      <c r="N4053" s="9" t="s">
        <v>20</v>
      </c>
      <c r="O4053" s="6" t="str">
        <f>HYPERLINK("https://pbs.twimg.com/profile_images/962471262747529216/Uo8lOkRJ_normal.jpg","View")</f>
        <v>View</v>
      </c>
      <c r="P4053" s="7"/>
    </row>
    <row r="4054" spans="1:16">
      <c r="A4054" s="3">
        <v>43915.143067129626</v>
      </c>
      <c r="B4054" s="4" t="str">
        <f>HYPERLINK("https://twitter.com/petrogustavo","@petrogustavo")</f>
        <v>@petrogustavo</v>
      </c>
      <c r="C4054" s="5" t="s">
        <v>16</v>
      </c>
      <c r="D4054" s="5" t="s">
        <v>3971</v>
      </c>
      <c r="E4054" s="6" t="str">
        <f>HYPERLINK("https://twitter.com/petrogustavo/status/1242570891948707840","1242570891948707840")</f>
        <v>1242570891948707840</v>
      </c>
      <c r="F4054" s="7" t="s">
        <v>17</v>
      </c>
      <c r="G4054" s="7">
        <v>3710706</v>
      </c>
      <c r="H4054" s="7">
        <v>2368</v>
      </c>
      <c r="I4054" s="7">
        <v>1604</v>
      </c>
      <c r="J4054" s="7">
        <v>0</v>
      </c>
      <c r="K4054" s="7" t="s">
        <v>18</v>
      </c>
      <c r="L4054" s="8">
        <v>39987.315405092595</v>
      </c>
      <c r="M4054" s="9" t="s">
        <v>19</v>
      </c>
      <c r="N4054" s="9" t="s">
        <v>20</v>
      </c>
      <c r="O4054" s="6" t="str">
        <f>HYPERLINK("https://pbs.twimg.com/profile_images/962471262747529216/Uo8lOkRJ_normal.jpg","View")</f>
        <v>View</v>
      </c>
      <c r="P4054" s="7"/>
    </row>
    <row r="4055" spans="1:16">
      <c r="A4055" s="3">
        <v>43915.143969907411</v>
      </c>
      <c r="B4055" s="4" t="str">
        <f>HYPERLINK("https://twitter.com/petrogustavo","@petrogustavo")</f>
        <v>@petrogustavo</v>
      </c>
      <c r="C4055" s="5" t="s">
        <v>16</v>
      </c>
      <c r="D4055" s="5" t="s">
        <v>3972</v>
      </c>
      <c r="E4055" s="6" t="str">
        <f>HYPERLINK("https://twitter.com/petrogustavo/status/1242571221386039296","1242571221386039296")</f>
        <v>1242571221386039296</v>
      </c>
      <c r="F4055" s="7" t="s">
        <v>17</v>
      </c>
      <c r="G4055" s="7">
        <v>3710706</v>
      </c>
      <c r="H4055" s="7">
        <v>2368</v>
      </c>
      <c r="I4055" s="7">
        <v>445</v>
      </c>
      <c r="J4055" s="7">
        <v>1427</v>
      </c>
      <c r="K4055" s="7" t="s">
        <v>18</v>
      </c>
      <c r="L4055" s="8">
        <v>39987.315405092595</v>
      </c>
      <c r="M4055" s="9" t="s">
        <v>19</v>
      </c>
      <c r="N4055" s="9" t="s">
        <v>20</v>
      </c>
      <c r="O4055" s="6" t="str">
        <f>HYPERLINK("https://pbs.twimg.com/profile_images/962471262747529216/Uo8lOkRJ_normal.jpg","View")</f>
        <v>View</v>
      </c>
      <c r="P4055" s="7"/>
    </row>
    <row r="4056" spans="1:16">
      <c r="A4056" s="3">
        <v>43915.144270833334</v>
      </c>
      <c r="B4056" s="4" t="str">
        <f>HYPERLINK("https://twitter.com/petrogustavo","@petrogustavo")</f>
        <v>@petrogustavo</v>
      </c>
      <c r="C4056" s="5" t="s">
        <v>16</v>
      </c>
      <c r="D4056" s="5" t="s">
        <v>3973</v>
      </c>
      <c r="E4056" s="6" t="str">
        <f>HYPERLINK("https://twitter.com/petrogustavo/status/1242571330815492098","1242571330815492098")</f>
        <v>1242571330815492098</v>
      </c>
      <c r="F4056" s="7" t="s">
        <v>17</v>
      </c>
      <c r="G4056" s="7">
        <v>3710706</v>
      </c>
      <c r="H4056" s="7">
        <v>2368</v>
      </c>
      <c r="I4056" s="7">
        <v>114</v>
      </c>
      <c r="J4056" s="7">
        <v>0</v>
      </c>
      <c r="K4056" s="7" t="s">
        <v>18</v>
      </c>
      <c r="L4056" s="8">
        <v>39987.315405092595</v>
      </c>
      <c r="M4056" s="9" t="s">
        <v>19</v>
      </c>
      <c r="N4056" s="9" t="s">
        <v>20</v>
      </c>
      <c r="O4056" s="6" t="str">
        <f>HYPERLINK("https://pbs.twimg.com/profile_images/962471262747529216/Uo8lOkRJ_normal.jpg","View")</f>
        <v>View</v>
      </c>
      <c r="P4056" s="7"/>
    </row>
    <row r="4057" spans="1:16">
      <c r="A4057" s="3">
        <v>43915.146585648152</v>
      </c>
      <c r="B4057" s="4" t="str">
        <f>HYPERLINK("https://twitter.com/petrogustavo","@petrogustavo")</f>
        <v>@petrogustavo</v>
      </c>
      <c r="C4057" s="5" t="s">
        <v>16</v>
      </c>
      <c r="D4057" s="5" t="s">
        <v>3974</v>
      </c>
      <c r="E4057" s="6" t="str">
        <f>HYPERLINK("https://twitter.com/petrogustavo/status/1242572169735012359","1242572169735012359")</f>
        <v>1242572169735012359</v>
      </c>
      <c r="F4057" s="7" t="s">
        <v>17</v>
      </c>
      <c r="G4057" s="7">
        <v>3710706</v>
      </c>
      <c r="H4057" s="7">
        <v>2368</v>
      </c>
      <c r="I4057" s="7">
        <v>241</v>
      </c>
      <c r="J4057" s="7">
        <v>576</v>
      </c>
      <c r="K4057" s="7" t="s">
        <v>18</v>
      </c>
      <c r="L4057" s="8">
        <v>39987.315405092595</v>
      </c>
      <c r="M4057" s="9" t="s">
        <v>19</v>
      </c>
      <c r="N4057" s="9" t="s">
        <v>20</v>
      </c>
      <c r="O4057" s="6" t="str">
        <f>HYPERLINK("https://pbs.twimg.com/profile_images/962471262747529216/Uo8lOkRJ_normal.jpg","View")</f>
        <v>View</v>
      </c>
      <c r="P4057" s="7"/>
    </row>
    <row r="4058" spans="1:16">
      <c r="A4058" s="3">
        <v>43915.16238425926</v>
      </c>
      <c r="B4058" s="4" t="str">
        <f>HYPERLINK("https://twitter.com/petrogustavo","@petrogustavo")</f>
        <v>@petrogustavo</v>
      </c>
      <c r="C4058" s="5" t="s">
        <v>16</v>
      </c>
      <c r="D4058" s="5" t="s">
        <v>3975</v>
      </c>
      <c r="E4058" s="6" t="str">
        <f>HYPERLINK("https://twitter.com/petrogustavo/status/1242577895274487810","1242577895274487810")</f>
        <v>1242577895274487810</v>
      </c>
      <c r="F4058" s="7" t="s">
        <v>17</v>
      </c>
      <c r="G4058" s="7">
        <v>3710837</v>
      </c>
      <c r="H4058" s="7">
        <v>2368</v>
      </c>
      <c r="I4058" s="7">
        <v>104</v>
      </c>
      <c r="J4058" s="7">
        <v>197</v>
      </c>
      <c r="K4058" s="7" t="s">
        <v>18</v>
      </c>
      <c r="L4058" s="8">
        <v>39987.315405092595</v>
      </c>
      <c r="M4058" s="9" t="s">
        <v>19</v>
      </c>
      <c r="N4058" s="9" t="s">
        <v>20</v>
      </c>
      <c r="O4058" s="6" t="str">
        <f>HYPERLINK("https://pbs.twimg.com/profile_images/962471262747529216/Uo8lOkRJ_normal.jpg","View")</f>
        <v>View</v>
      </c>
      <c r="P4058" s="7"/>
    </row>
    <row r="4059" spans="1:16">
      <c r="A4059" s="3">
        <v>43915.238449074073</v>
      </c>
      <c r="B4059" s="4" t="str">
        <f>HYPERLINK("https://twitter.com/petrogustavo","@petrogustavo")</f>
        <v>@petrogustavo</v>
      </c>
      <c r="C4059" s="5" t="s">
        <v>16</v>
      </c>
      <c r="D4059" s="5" t="s">
        <v>3976</v>
      </c>
      <c r="E4059" s="6" t="str">
        <f>HYPERLINK("https://twitter.com/petrogustavo/status/1242605458357137408","1242605458357137408")</f>
        <v>1242605458357137408</v>
      </c>
      <c r="F4059" s="7" t="s">
        <v>17</v>
      </c>
      <c r="G4059" s="7">
        <v>3711260</v>
      </c>
      <c r="H4059" s="7">
        <v>2368</v>
      </c>
      <c r="I4059" s="7">
        <v>19</v>
      </c>
      <c r="J4059" s="7">
        <v>54</v>
      </c>
      <c r="K4059" s="7" t="s">
        <v>18</v>
      </c>
      <c r="L4059" s="8">
        <v>39987.315405092595</v>
      </c>
      <c r="M4059" s="9" t="s">
        <v>19</v>
      </c>
      <c r="N4059" s="9" t="s">
        <v>20</v>
      </c>
      <c r="O4059" s="6" t="str">
        <f>HYPERLINK("https://pbs.twimg.com/profile_images/962471262747529216/Uo8lOkRJ_normal.jpg","View")</f>
        <v>View</v>
      </c>
      <c r="P4059" s="7"/>
    </row>
    <row r="4060" spans="1:16">
      <c r="A4060" s="3">
        <v>43915.240266203706</v>
      </c>
      <c r="B4060" s="4" t="str">
        <f>HYPERLINK("https://twitter.com/petrogustavo","@petrogustavo")</f>
        <v>@petrogustavo</v>
      </c>
      <c r="C4060" s="5" t="s">
        <v>16</v>
      </c>
      <c r="D4060" s="5" t="s">
        <v>3977</v>
      </c>
      <c r="E4060" s="6" t="str">
        <f>HYPERLINK("https://twitter.com/petrogustavo/status/1242606116795711494","1242606116795711494")</f>
        <v>1242606116795711494</v>
      </c>
      <c r="F4060" s="7" t="s">
        <v>17</v>
      </c>
      <c r="G4060" s="7">
        <v>3711260</v>
      </c>
      <c r="H4060" s="7">
        <v>2368</v>
      </c>
      <c r="I4060" s="7">
        <v>8</v>
      </c>
      <c r="J4060" s="7">
        <v>0</v>
      </c>
      <c r="K4060" s="7" t="s">
        <v>18</v>
      </c>
      <c r="L4060" s="8">
        <v>39987.315405092595</v>
      </c>
      <c r="M4060" s="9" t="s">
        <v>19</v>
      </c>
      <c r="N4060" s="9" t="s">
        <v>20</v>
      </c>
      <c r="O4060" s="6" t="str">
        <f>HYPERLINK("https://pbs.twimg.com/profile_images/962471262747529216/Uo8lOkRJ_normal.jpg","View")</f>
        <v>View</v>
      </c>
      <c r="P4060" s="7"/>
    </row>
    <row r="4061" spans="1:16">
      <c r="A4061" s="3">
        <v>43915.246770833328</v>
      </c>
      <c r="B4061" s="4" t="str">
        <f>HYPERLINK("https://twitter.com/petrogustavo","@petrogustavo")</f>
        <v>@petrogustavo</v>
      </c>
      <c r="C4061" s="5" t="s">
        <v>16</v>
      </c>
      <c r="D4061" s="5" t="s">
        <v>3978</v>
      </c>
      <c r="E4061" s="6" t="str">
        <f>HYPERLINK("https://twitter.com/petrogustavo/status/1242608475789824000","1242608475789824000")</f>
        <v>1242608475789824000</v>
      </c>
      <c r="F4061" s="7" t="s">
        <v>17</v>
      </c>
      <c r="G4061" s="7">
        <v>3711421</v>
      </c>
      <c r="H4061" s="7">
        <v>2368</v>
      </c>
      <c r="I4061" s="7">
        <v>1527</v>
      </c>
      <c r="J4061" s="7">
        <v>0</v>
      </c>
      <c r="K4061" s="7" t="s">
        <v>18</v>
      </c>
      <c r="L4061" s="8">
        <v>39987.315405092595</v>
      </c>
      <c r="M4061" s="9" t="s">
        <v>19</v>
      </c>
      <c r="N4061" s="9" t="s">
        <v>20</v>
      </c>
      <c r="O4061" s="6" t="str">
        <f>HYPERLINK("https://pbs.twimg.com/profile_images/962471262747529216/Uo8lOkRJ_normal.jpg","View")</f>
        <v>View</v>
      </c>
      <c r="P4061" s="7"/>
    </row>
    <row r="4062" spans="1:16">
      <c r="A4062" s="3">
        <v>43915.257384259261</v>
      </c>
      <c r="B4062" s="4" t="str">
        <f>HYPERLINK("https://twitter.com/petrogustavo","@petrogustavo")</f>
        <v>@petrogustavo</v>
      </c>
      <c r="C4062" s="5" t="s">
        <v>16</v>
      </c>
      <c r="D4062" s="5" t="s">
        <v>3979</v>
      </c>
      <c r="E4062" s="6" t="str">
        <f>HYPERLINK("https://twitter.com/petrogustavo/status/1242612321530322944","1242612321530322944")</f>
        <v>1242612321530322944</v>
      </c>
      <c r="F4062" s="7" t="s">
        <v>17</v>
      </c>
      <c r="G4062" s="7">
        <v>3711421</v>
      </c>
      <c r="H4062" s="7">
        <v>2368</v>
      </c>
      <c r="I4062" s="7">
        <v>25</v>
      </c>
      <c r="J4062" s="7">
        <v>75</v>
      </c>
      <c r="K4062" s="7" t="s">
        <v>18</v>
      </c>
      <c r="L4062" s="8">
        <v>39987.315405092595</v>
      </c>
      <c r="M4062" s="9" t="s">
        <v>19</v>
      </c>
      <c r="N4062" s="9" t="s">
        <v>20</v>
      </c>
      <c r="O4062" s="6" t="str">
        <f>HYPERLINK("https://pbs.twimg.com/profile_images/962471262747529216/Uo8lOkRJ_normal.jpg","View")</f>
        <v>View</v>
      </c>
      <c r="P4062" s="7"/>
    </row>
    <row r="4063" spans="1:16">
      <c r="A4063" s="3">
        <v>43915.265925925924</v>
      </c>
      <c r="B4063" s="4" t="str">
        <f>HYPERLINK("https://twitter.com/petrogustavo","@petrogustavo")</f>
        <v>@petrogustavo</v>
      </c>
      <c r="C4063" s="5" t="s">
        <v>16</v>
      </c>
      <c r="D4063" s="5" t="s">
        <v>3980</v>
      </c>
      <c r="E4063" s="6" t="str">
        <f>HYPERLINK("https://twitter.com/petrogustavo/status/1242615417622888458","1242615417622888458")</f>
        <v>1242615417622888458</v>
      </c>
      <c r="F4063" s="7" t="s">
        <v>17</v>
      </c>
      <c r="G4063" s="7">
        <v>3711571</v>
      </c>
      <c r="H4063" s="7">
        <v>2368</v>
      </c>
      <c r="I4063" s="7">
        <v>113</v>
      </c>
      <c r="J4063" s="7">
        <v>262</v>
      </c>
      <c r="K4063" s="7" t="s">
        <v>18</v>
      </c>
      <c r="L4063" s="8">
        <v>39987.315405092595</v>
      </c>
      <c r="M4063" s="9" t="s">
        <v>19</v>
      </c>
      <c r="N4063" s="9" t="s">
        <v>20</v>
      </c>
      <c r="O4063" s="6" t="str">
        <f>HYPERLINK("https://pbs.twimg.com/profile_images/962471262747529216/Uo8lOkRJ_normal.jpg","View")</f>
        <v>View</v>
      </c>
      <c r="P4063" s="7"/>
    </row>
    <row r="4064" spans="1:16">
      <c r="A4064" s="3">
        <v>43915.273136574076</v>
      </c>
      <c r="B4064" s="4" t="str">
        <f>HYPERLINK("https://twitter.com/petrogustavo","@petrogustavo")</f>
        <v>@petrogustavo</v>
      </c>
      <c r="C4064" s="5" t="s">
        <v>16</v>
      </c>
      <c r="D4064" s="5" t="s">
        <v>3981</v>
      </c>
      <c r="E4064" s="6" t="str">
        <f>HYPERLINK("https://twitter.com/petrogustavo/status/1242618027558031361","1242618027558031361")</f>
        <v>1242618027558031361</v>
      </c>
      <c r="F4064" s="7" t="s">
        <v>17</v>
      </c>
      <c r="G4064" s="7">
        <v>3711571</v>
      </c>
      <c r="H4064" s="7">
        <v>2368</v>
      </c>
      <c r="I4064" s="7">
        <v>200</v>
      </c>
      <c r="J4064" s="7">
        <v>440</v>
      </c>
      <c r="K4064" s="7" t="s">
        <v>18</v>
      </c>
      <c r="L4064" s="8">
        <v>39987.315405092595</v>
      </c>
      <c r="M4064" s="9" t="s">
        <v>19</v>
      </c>
      <c r="N4064" s="9" t="s">
        <v>20</v>
      </c>
      <c r="O4064" s="6" t="str">
        <f>HYPERLINK("https://pbs.twimg.com/profile_images/962471262747529216/Uo8lOkRJ_normal.jpg","View")</f>
        <v>View</v>
      </c>
      <c r="P4064" s="7"/>
    </row>
    <row r="4065" spans="1:16">
      <c r="A4065" s="3">
        <v>43915.277442129634</v>
      </c>
      <c r="B4065" s="4" t="str">
        <f>HYPERLINK("https://twitter.com/petrogustavo","@petrogustavo")</f>
        <v>@petrogustavo</v>
      </c>
      <c r="C4065" s="5" t="s">
        <v>16</v>
      </c>
      <c r="D4065" s="5" t="s">
        <v>3982</v>
      </c>
      <c r="E4065" s="6" t="str">
        <f>HYPERLINK("https://twitter.com/petrogustavo/status/1242619588325650435","1242619588325650435")</f>
        <v>1242619588325650435</v>
      </c>
      <c r="F4065" s="7" t="s">
        <v>17</v>
      </c>
      <c r="G4065" s="7">
        <v>3711571</v>
      </c>
      <c r="H4065" s="7">
        <v>2368</v>
      </c>
      <c r="I4065" s="7">
        <v>37</v>
      </c>
      <c r="J4065" s="7">
        <v>64</v>
      </c>
      <c r="K4065" s="7" t="s">
        <v>18</v>
      </c>
      <c r="L4065" s="8">
        <v>39987.315405092595</v>
      </c>
      <c r="M4065" s="9" t="s">
        <v>19</v>
      </c>
      <c r="N4065" s="9" t="s">
        <v>20</v>
      </c>
      <c r="O4065" s="6" t="str">
        <f>HYPERLINK("https://pbs.twimg.com/profile_images/962471262747529216/Uo8lOkRJ_normal.jpg","View")</f>
        <v>View</v>
      </c>
      <c r="P4065" s="7"/>
    </row>
    <row r="4066" spans="1:16">
      <c r="A4066" s="3">
        <v>43915.279479166667</v>
      </c>
      <c r="B4066" s="4" t="str">
        <f>HYPERLINK("https://twitter.com/petrogustavo","@petrogustavo")</f>
        <v>@petrogustavo</v>
      </c>
      <c r="C4066" s="5" t="s">
        <v>16</v>
      </c>
      <c r="D4066" s="5" t="s">
        <v>3983</v>
      </c>
      <c r="E4066" s="6" t="str">
        <f>HYPERLINK("https://twitter.com/petrogustavo/status/1242620326170722304","1242620326170722304")</f>
        <v>1242620326170722304</v>
      </c>
      <c r="F4066" s="7" t="s">
        <v>17</v>
      </c>
      <c r="G4066" s="7">
        <v>3711571</v>
      </c>
      <c r="H4066" s="7">
        <v>2368</v>
      </c>
      <c r="I4066" s="7">
        <v>93</v>
      </c>
      <c r="J4066" s="7">
        <v>0</v>
      </c>
      <c r="K4066" s="7" t="s">
        <v>18</v>
      </c>
      <c r="L4066" s="8">
        <v>39987.315405092595</v>
      </c>
      <c r="M4066" s="9" t="s">
        <v>19</v>
      </c>
      <c r="N4066" s="9" t="s">
        <v>20</v>
      </c>
      <c r="O4066" s="6" t="str">
        <f>HYPERLINK("https://pbs.twimg.com/profile_images/962471262747529216/Uo8lOkRJ_normal.jpg","View")</f>
        <v>View</v>
      </c>
      <c r="P4066" s="7"/>
    </row>
    <row r="4067" spans="1:16">
      <c r="A4067" s="3">
        <v>43915.280046296291</v>
      </c>
      <c r="B4067" s="4" t="str">
        <f>HYPERLINK("https://twitter.com/petrogustavo","@petrogustavo")</f>
        <v>@petrogustavo</v>
      </c>
      <c r="C4067" s="5" t="s">
        <v>16</v>
      </c>
      <c r="D4067" s="5" t="s">
        <v>3984</v>
      </c>
      <c r="E4067" s="6" t="str">
        <f>HYPERLINK("https://twitter.com/petrogustavo/status/1242620532522209284","1242620532522209284")</f>
        <v>1242620532522209284</v>
      </c>
      <c r="F4067" s="7" t="s">
        <v>17</v>
      </c>
      <c r="G4067" s="7">
        <v>3711571</v>
      </c>
      <c r="H4067" s="7">
        <v>2368</v>
      </c>
      <c r="I4067" s="7">
        <v>1393</v>
      </c>
      <c r="J4067" s="7">
        <v>0</v>
      </c>
      <c r="K4067" s="7" t="s">
        <v>18</v>
      </c>
      <c r="L4067" s="8">
        <v>39987.315405092595</v>
      </c>
      <c r="M4067" s="9" t="s">
        <v>19</v>
      </c>
      <c r="N4067" s="9" t="s">
        <v>20</v>
      </c>
      <c r="O4067" s="6" t="str">
        <f>HYPERLINK("https://pbs.twimg.com/profile_images/962471262747529216/Uo8lOkRJ_normal.jpg","View")</f>
        <v>View</v>
      </c>
      <c r="P4067" s="7"/>
    </row>
    <row r="4068" spans="1:16">
      <c r="A4068" s="3">
        <v>43915.287581018521</v>
      </c>
      <c r="B4068" s="4" t="str">
        <f>HYPERLINK("https://twitter.com/petrogustavo","@petrogustavo")</f>
        <v>@petrogustavo</v>
      </c>
      <c r="C4068" s="5" t="s">
        <v>16</v>
      </c>
      <c r="D4068" s="5" t="s">
        <v>3985</v>
      </c>
      <c r="E4068" s="6" t="str">
        <f>HYPERLINK("https://twitter.com/petrogustavo/status/1242623263722868736","1242623263722868736")</f>
        <v>1242623263722868736</v>
      </c>
      <c r="F4068" s="7" t="s">
        <v>17</v>
      </c>
      <c r="G4068" s="7">
        <v>3711705</v>
      </c>
      <c r="H4068" s="7">
        <v>2368</v>
      </c>
      <c r="I4068" s="7">
        <v>438</v>
      </c>
      <c r="J4068" s="7">
        <v>0</v>
      </c>
      <c r="K4068" s="7" t="s">
        <v>18</v>
      </c>
      <c r="L4068" s="8">
        <v>39987.315405092595</v>
      </c>
      <c r="M4068" s="9" t="s">
        <v>19</v>
      </c>
      <c r="N4068" s="9" t="s">
        <v>20</v>
      </c>
      <c r="O4068" s="6" t="str">
        <f>HYPERLINK("https://pbs.twimg.com/profile_images/962471262747529216/Uo8lOkRJ_normal.jpg","View")</f>
        <v>View</v>
      </c>
      <c r="P4068" s="7"/>
    </row>
    <row r="4069" spans="1:16">
      <c r="A4069" s="3">
        <v>43915.294733796298</v>
      </c>
      <c r="B4069" s="4" t="str">
        <f>HYPERLINK("https://twitter.com/petrogustavo","@petrogustavo")</f>
        <v>@petrogustavo</v>
      </c>
      <c r="C4069" s="5" t="s">
        <v>16</v>
      </c>
      <c r="D4069" s="5" t="s">
        <v>3986</v>
      </c>
      <c r="E4069" s="6" t="str">
        <f>HYPERLINK("https://twitter.com/petrogustavo/status/1242625855764955137","1242625855764955137")</f>
        <v>1242625855764955137</v>
      </c>
      <c r="F4069" s="7" t="s">
        <v>17</v>
      </c>
      <c r="G4069" s="7">
        <v>3711705</v>
      </c>
      <c r="H4069" s="7">
        <v>2368</v>
      </c>
      <c r="I4069" s="7">
        <v>68</v>
      </c>
      <c r="J4069" s="7">
        <v>126</v>
      </c>
      <c r="K4069" s="7" t="s">
        <v>18</v>
      </c>
      <c r="L4069" s="8">
        <v>39987.315405092595</v>
      </c>
      <c r="M4069" s="9" t="s">
        <v>19</v>
      </c>
      <c r="N4069" s="9" t="s">
        <v>20</v>
      </c>
      <c r="O4069" s="6" t="str">
        <f>HYPERLINK("https://pbs.twimg.com/profile_images/962471262747529216/Uo8lOkRJ_normal.jpg","View")</f>
        <v>View</v>
      </c>
      <c r="P4069" s="7"/>
    </row>
    <row r="4070" spans="1:16">
      <c r="A4070" s="3">
        <v>43915.2965625</v>
      </c>
      <c r="B4070" s="4" t="str">
        <f>HYPERLINK("https://twitter.com/petrogustavo","@petrogustavo")</f>
        <v>@petrogustavo</v>
      </c>
      <c r="C4070" s="5" t="s">
        <v>16</v>
      </c>
      <c r="D4070" s="5" t="s">
        <v>3987</v>
      </c>
      <c r="E4070" s="6" t="str">
        <f>HYPERLINK("https://twitter.com/petrogustavo/status/1242626519802970112","1242626519802970112")</f>
        <v>1242626519802970112</v>
      </c>
      <c r="F4070" s="7" t="s">
        <v>17</v>
      </c>
      <c r="G4070" s="7">
        <v>3711705</v>
      </c>
      <c r="H4070" s="7">
        <v>2368</v>
      </c>
      <c r="I4070" s="7">
        <v>14</v>
      </c>
      <c r="J4070" s="7">
        <v>0</v>
      </c>
      <c r="K4070" s="7" t="s">
        <v>18</v>
      </c>
      <c r="L4070" s="8">
        <v>39987.315405092595</v>
      </c>
      <c r="M4070" s="9" t="s">
        <v>19</v>
      </c>
      <c r="N4070" s="9" t="s">
        <v>20</v>
      </c>
      <c r="O4070" s="6" t="str">
        <f>HYPERLINK("https://pbs.twimg.com/profile_images/962471262747529216/Uo8lOkRJ_normal.jpg","View")</f>
        <v>View</v>
      </c>
      <c r="P4070" s="7"/>
    </row>
    <row r="4071" spans="1:16">
      <c r="A4071" s="3">
        <v>43915.299409722225</v>
      </c>
      <c r="B4071" s="4" t="str">
        <f>HYPERLINK("https://twitter.com/petrogustavo","@petrogustavo")</f>
        <v>@petrogustavo</v>
      </c>
      <c r="C4071" s="5" t="s">
        <v>16</v>
      </c>
      <c r="D4071" s="5" t="s">
        <v>3988</v>
      </c>
      <c r="E4071" s="6" t="str">
        <f>HYPERLINK("https://twitter.com/petrogustavo/status/1242627549181730816","1242627549181730816")</f>
        <v>1242627549181730816</v>
      </c>
      <c r="F4071" s="7" t="s">
        <v>17</v>
      </c>
      <c r="G4071" s="7">
        <v>3711705</v>
      </c>
      <c r="H4071" s="7">
        <v>2368</v>
      </c>
      <c r="I4071" s="7">
        <v>97</v>
      </c>
      <c r="J4071" s="7">
        <v>273</v>
      </c>
      <c r="K4071" s="7" t="s">
        <v>18</v>
      </c>
      <c r="L4071" s="8">
        <v>39987.315405092595</v>
      </c>
      <c r="M4071" s="9" t="s">
        <v>19</v>
      </c>
      <c r="N4071" s="9" t="s">
        <v>20</v>
      </c>
      <c r="O4071" s="6" t="str">
        <f>HYPERLINK("https://pbs.twimg.com/profile_images/962471262747529216/Uo8lOkRJ_normal.jpg","View")</f>
        <v>View</v>
      </c>
      <c r="P4071" s="7"/>
    </row>
    <row r="4072" spans="1:16">
      <c r="A4072" s="3">
        <v>43915.344965277778</v>
      </c>
      <c r="B4072" s="4" t="str">
        <f>HYPERLINK("https://twitter.com/petrogustavo","@petrogustavo")</f>
        <v>@petrogustavo</v>
      </c>
      <c r="C4072" s="5" t="s">
        <v>16</v>
      </c>
      <c r="D4072" s="5" t="s">
        <v>3989</v>
      </c>
      <c r="E4072" s="6" t="str">
        <f>HYPERLINK("https://twitter.com/petrogustavo/status/1242644059572838400","1242644059572838400")</f>
        <v>1242644059572838400</v>
      </c>
      <c r="F4072" s="7" t="s">
        <v>17</v>
      </c>
      <c r="G4072" s="7">
        <v>3711942</v>
      </c>
      <c r="H4072" s="7">
        <v>2368</v>
      </c>
      <c r="I4072" s="7">
        <v>62</v>
      </c>
      <c r="J4072" s="7">
        <v>0</v>
      </c>
      <c r="K4072" s="7" t="s">
        <v>18</v>
      </c>
      <c r="L4072" s="8">
        <v>39987.315405092595</v>
      </c>
      <c r="M4072" s="9" t="s">
        <v>19</v>
      </c>
      <c r="N4072" s="9" t="s">
        <v>20</v>
      </c>
      <c r="O4072" s="6" t="str">
        <f>HYPERLINK("https://pbs.twimg.com/profile_images/962471262747529216/Uo8lOkRJ_normal.jpg","View")</f>
        <v>View</v>
      </c>
      <c r="P4072" s="7"/>
    </row>
    <row r="4073" spans="1:16">
      <c r="A4073" s="3">
        <v>43915.346666666665</v>
      </c>
      <c r="B4073" s="4" t="str">
        <f>HYPERLINK("https://twitter.com/petrogustavo","@petrogustavo")</f>
        <v>@petrogustavo</v>
      </c>
      <c r="C4073" s="5" t="s">
        <v>16</v>
      </c>
      <c r="D4073" s="5" t="s">
        <v>3990</v>
      </c>
      <c r="E4073" s="6" t="str">
        <f>HYPERLINK("https://twitter.com/petrogustavo/status/1242644675116380162","1242644675116380162")</f>
        <v>1242644675116380162</v>
      </c>
      <c r="F4073" s="7" t="s">
        <v>17</v>
      </c>
      <c r="G4073" s="7">
        <v>3712070</v>
      </c>
      <c r="H4073" s="7">
        <v>2369</v>
      </c>
      <c r="I4073" s="7">
        <v>146</v>
      </c>
      <c r="J4073" s="7">
        <v>264</v>
      </c>
      <c r="K4073" s="7" t="s">
        <v>18</v>
      </c>
      <c r="L4073" s="8">
        <v>39987.315405092595</v>
      </c>
      <c r="M4073" s="9" t="s">
        <v>19</v>
      </c>
      <c r="N4073" s="9" t="s">
        <v>20</v>
      </c>
      <c r="O4073" s="6" t="str">
        <f>HYPERLINK("https://pbs.twimg.com/profile_images/962471262747529216/Uo8lOkRJ_normal.jpg","View")</f>
        <v>View</v>
      </c>
      <c r="P4073" s="7"/>
    </row>
    <row r="4074" spans="1:16">
      <c r="A4074" s="3">
        <v>43915.351215277777</v>
      </c>
      <c r="B4074" s="4" t="str">
        <f>HYPERLINK("https://twitter.com/petrogustavo","@petrogustavo")</f>
        <v>@petrogustavo</v>
      </c>
      <c r="C4074" s="5" t="s">
        <v>16</v>
      </c>
      <c r="D4074" s="5" t="s">
        <v>3991</v>
      </c>
      <c r="E4074" s="6" t="str">
        <f>HYPERLINK("https://twitter.com/petrogustavo/status/1242646324299870212","1242646324299870212")</f>
        <v>1242646324299870212</v>
      </c>
      <c r="F4074" s="7" t="s">
        <v>17</v>
      </c>
      <c r="G4074" s="7">
        <v>3712070</v>
      </c>
      <c r="H4074" s="7">
        <v>2369</v>
      </c>
      <c r="I4074" s="7">
        <v>115</v>
      </c>
      <c r="J4074" s="7">
        <v>224</v>
      </c>
      <c r="K4074" s="7" t="s">
        <v>18</v>
      </c>
      <c r="L4074" s="8">
        <v>39987.315405092595</v>
      </c>
      <c r="M4074" s="9" t="s">
        <v>19</v>
      </c>
      <c r="N4074" s="9" t="s">
        <v>20</v>
      </c>
      <c r="O4074" s="6" t="str">
        <f>HYPERLINK("https://pbs.twimg.com/profile_images/962471262747529216/Uo8lOkRJ_normal.jpg","View")</f>
        <v>View</v>
      </c>
      <c r="P4074" s="7"/>
    </row>
    <row r="4075" spans="1:16">
      <c r="A4075" s="3">
        <v>43915.358541666668</v>
      </c>
      <c r="B4075" s="4" t="str">
        <f>HYPERLINK("https://twitter.com/petrogustavo","@petrogustavo")</f>
        <v>@petrogustavo</v>
      </c>
      <c r="C4075" s="5" t="s">
        <v>16</v>
      </c>
      <c r="D4075" s="5" t="s">
        <v>3992</v>
      </c>
      <c r="E4075" s="6" t="str">
        <f>HYPERLINK("https://twitter.com/petrogustavo/status/1242648977268490240","1242648977268490240")</f>
        <v>1242648977268490240</v>
      </c>
      <c r="F4075" s="7" t="s">
        <v>17</v>
      </c>
      <c r="G4075" s="7">
        <v>3712070</v>
      </c>
      <c r="H4075" s="7">
        <v>2369</v>
      </c>
      <c r="I4075" s="7">
        <v>196</v>
      </c>
      <c r="J4075" s="7">
        <v>380</v>
      </c>
      <c r="K4075" s="7" t="s">
        <v>18</v>
      </c>
      <c r="L4075" s="8">
        <v>39987.315405092595</v>
      </c>
      <c r="M4075" s="9" t="s">
        <v>19</v>
      </c>
      <c r="N4075" s="9" t="s">
        <v>20</v>
      </c>
      <c r="O4075" s="6" t="str">
        <f>HYPERLINK("https://pbs.twimg.com/profile_images/962471262747529216/Uo8lOkRJ_normal.jpg","View")</f>
        <v>View</v>
      </c>
      <c r="P4075" s="7"/>
    </row>
    <row r="4076" spans="1:16">
      <c r="A4076" s="3">
        <v>43915.360462962963</v>
      </c>
      <c r="B4076" s="4" t="str">
        <f>HYPERLINK("https://twitter.com/petrogustavo","@petrogustavo")</f>
        <v>@petrogustavo</v>
      </c>
      <c r="C4076" s="5" t="s">
        <v>16</v>
      </c>
      <c r="D4076" s="5" t="s">
        <v>3993</v>
      </c>
      <c r="E4076" s="6" t="str">
        <f>HYPERLINK("https://twitter.com/petrogustavo/status/1242649675561402372","1242649675561402372")</f>
        <v>1242649675561402372</v>
      </c>
      <c r="F4076" s="7" t="s">
        <v>17</v>
      </c>
      <c r="G4076" s="7">
        <v>3712070</v>
      </c>
      <c r="H4076" s="7">
        <v>2369</v>
      </c>
      <c r="I4076" s="7">
        <v>188</v>
      </c>
      <c r="J4076" s="7">
        <v>0</v>
      </c>
      <c r="K4076" s="7" t="s">
        <v>18</v>
      </c>
      <c r="L4076" s="8">
        <v>39987.315405092595</v>
      </c>
      <c r="M4076" s="9" t="s">
        <v>19</v>
      </c>
      <c r="N4076" s="9" t="s">
        <v>20</v>
      </c>
      <c r="O4076" s="6" t="str">
        <f>HYPERLINK("https://pbs.twimg.com/profile_images/962471262747529216/Uo8lOkRJ_normal.jpg","View")</f>
        <v>View</v>
      </c>
      <c r="P4076" s="7"/>
    </row>
    <row r="4077" spans="1:16">
      <c r="A4077" s="3">
        <v>43915.363310185188</v>
      </c>
      <c r="B4077" s="4" t="str">
        <f>HYPERLINK("https://twitter.com/petrogustavo","@petrogustavo")</f>
        <v>@petrogustavo</v>
      </c>
      <c r="C4077" s="5" t="s">
        <v>16</v>
      </c>
      <c r="D4077" s="5" t="s">
        <v>3994</v>
      </c>
      <c r="E4077" s="6" t="str">
        <f>HYPERLINK("https://twitter.com/petrogustavo/status/1242650707490222080","1242650707490222080")</f>
        <v>1242650707490222080</v>
      </c>
      <c r="F4077" s="7" t="s">
        <v>17</v>
      </c>
      <c r="G4077" s="7">
        <v>3712070</v>
      </c>
      <c r="H4077" s="7">
        <v>2369</v>
      </c>
      <c r="I4077" s="7">
        <v>11</v>
      </c>
      <c r="J4077" s="7">
        <v>0</v>
      </c>
      <c r="K4077" s="7" t="s">
        <v>18</v>
      </c>
      <c r="L4077" s="8">
        <v>39987.315405092595</v>
      </c>
      <c r="M4077" s="9" t="s">
        <v>19</v>
      </c>
      <c r="N4077" s="9" t="s">
        <v>20</v>
      </c>
      <c r="O4077" s="6" t="str">
        <f>HYPERLINK("https://pbs.twimg.com/profile_images/962471262747529216/Uo8lOkRJ_normal.jpg","View")</f>
        <v>View</v>
      </c>
      <c r="P4077" s="7"/>
    </row>
    <row r="4078" spans="1:16">
      <c r="A4078" s="3">
        <v>43915.366076388891</v>
      </c>
      <c r="B4078" s="4" t="str">
        <f>HYPERLINK("https://twitter.com/petrogustavo","@petrogustavo")</f>
        <v>@petrogustavo</v>
      </c>
      <c r="C4078" s="5" t="s">
        <v>16</v>
      </c>
      <c r="D4078" s="5" t="s">
        <v>3995</v>
      </c>
      <c r="E4078" s="6" t="str">
        <f>HYPERLINK("https://twitter.com/petrogustavo/status/1242651711006814213","1242651711006814213")</f>
        <v>1242651711006814213</v>
      </c>
      <c r="F4078" s="7" t="s">
        <v>17</v>
      </c>
      <c r="G4078" s="7">
        <v>3712070</v>
      </c>
      <c r="H4078" s="7">
        <v>2369</v>
      </c>
      <c r="I4078" s="7">
        <v>9</v>
      </c>
      <c r="J4078" s="7">
        <v>25</v>
      </c>
      <c r="K4078" s="7" t="s">
        <v>18</v>
      </c>
      <c r="L4078" s="8">
        <v>39987.315405092595</v>
      </c>
      <c r="M4078" s="9" t="s">
        <v>19</v>
      </c>
      <c r="N4078" s="9" t="s">
        <v>20</v>
      </c>
      <c r="O4078" s="6" t="str">
        <f>HYPERLINK("https://pbs.twimg.com/profile_images/962471262747529216/Uo8lOkRJ_normal.jpg","View")</f>
        <v>View</v>
      </c>
      <c r="P4078" s="7"/>
    </row>
    <row r="4079" spans="1:16">
      <c r="A4079" s="3">
        <v>43915.385798611111</v>
      </c>
      <c r="B4079" s="4" t="str">
        <f>HYPERLINK("https://twitter.com/petrogustavo","@petrogustavo")</f>
        <v>@petrogustavo</v>
      </c>
      <c r="C4079" s="5" t="s">
        <v>16</v>
      </c>
      <c r="D4079" s="5" t="s">
        <v>3996</v>
      </c>
      <c r="E4079" s="6" t="str">
        <f>HYPERLINK("https://twitter.com/petrogustavo/status/1242658854816681984","1242658854816681984")</f>
        <v>1242658854816681984</v>
      </c>
      <c r="F4079" s="7" t="s">
        <v>17</v>
      </c>
      <c r="G4079" s="7">
        <v>3712178</v>
      </c>
      <c r="H4079" s="7">
        <v>2369</v>
      </c>
      <c r="I4079" s="7">
        <v>2228</v>
      </c>
      <c r="J4079" s="7">
        <v>0</v>
      </c>
      <c r="K4079" s="7" t="s">
        <v>18</v>
      </c>
      <c r="L4079" s="8">
        <v>39987.315405092595</v>
      </c>
      <c r="M4079" s="9" t="s">
        <v>19</v>
      </c>
      <c r="N4079" s="9" t="s">
        <v>20</v>
      </c>
      <c r="O4079" s="6" t="str">
        <f>HYPERLINK("https://pbs.twimg.com/profile_images/962471262747529216/Uo8lOkRJ_normal.jpg","View")</f>
        <v>View</v>
      </c>
      <c r="P4079" s="7"/>
    </row>
    <row r="4080" spans="1:16">
      <c r="A4080" s="3">
        <v>43915.714305555557</v>
      </c>
      <c r="B4080" s="4" t="str">
        <f>HYPERLINK("https://twitter.com/petrogustavo","@petrogustavo")</f>
        <v>@petrogustavo</v>
      </c>
      <c r="C4080" s="5" t="s">
        <v>16</v>
      </c>
      <c r="D4080" s="5" t="s">
        <v>3997</v>
      </c>
      <c r="E4080" s="6" t="str">
        <f>HYPERLINK("https://twitter.com/petrogustavo/status/1242777902120423424","1242777902120423424")</f>
        <v>1242777902120423424</v>
      </c>
      <c r="F4080" s="7" t="s">
        <v>17</v>
      </c>
      <c r="G4080" s="7">
        <v>3712902</v>
      </c>
      <c r="H4080" s="7">
        <v>2369</v>
      </c>
      <c r="I4080" s="7">
        <v>32</v>
      </c>
      <c r="J4080" s="7">
        <v>107</v>
      </c>
      <c r="K4080" s="7" t="s">
        <v>18</v>
      </c>
      <c r="L4080" s="8">
        <v>39987.315405092595</v>
      </c>
      <c r="M4080" s="9" t="s">
        <v>19</v>
      </c>
      <c r="N4080" s="9" t="s">
        <v>20</v>
      </c>
      <c r="O4080" s="6" t="str">
        <f>HYPERLINK("https://pbs.twimg.com/profile_images/962471262747529216/Uo8lOkRJ_normal.jpg","View")</f>
        <v>View</v>
      </c>
      <c r="P4080" s="7"/>
    </row>
    <row r="4081" spans="1:16">
      <c r="A4081" s="3">
        <v>43915.71670138889</v>
      </c>
      <c r="B4081" s="4" t="str">
        <f>HYPERLINK("https://twitter.com/petrogustavo","@petrogustavo")</f>
        <v>@petrogustavo</v>
      </c>
      <c r="C4081" s="5" t="s">
        <v>16</v>
      </c>
      <c r="D4081" s="5" t="s">
        <v>3998</v>
      </c>
      <c r="E4081" s="6" t="str">
        <f>HYPERLINK("https://twitter.com/petrogustavo/status/1242778770781675527","1242778770781675527")</f>
        <v>1242778770781675527</v>
      </c>
      <c r="F4081" s="7" t="s">
        <v>17</v>
      </c>
      <c r="G4081" s="7">
        <v>3712902</v>
      </c>
      <c r="H4081" s="7">
        <v>2369</v>
      </c>
      <c r="I4081" s="7">
        <v>32</v>
      </c>
      <c r="J4081" s="7">
        <v>78</v>
      </c>
      <c r="K4081" s="7" t="s">
        <v>18</v>
      </c>
      <c r="L4081" s="8">
        <v>39987.315405092595</v>
      </c>
      <c r="M4081" s="9" t="s">
        <v>19</v>
      </c>
      <c r="N4081" s="9" t="s">
        <v>20</v>
      </c>
      <c r="O4081" s="6" t="str">
        <f>HYPERLINK("https://pbs.twimg.com/profile_images/962471262747529216/Uo8lOkRJ_normal.jpg","View")</f>
        <v>View</v>
      </c>
      <c r="P4081" s="7"/>
    </row>
    <row r="4082" spans="1:16">
      <c r="A4082" s="3">
        <v>43915.739722222221</v>
      </c>
      <c r="B4082" s="4" t="str">
        <f>HYPERLINK("https://twitter.com/petrogustavo","@petrogustavo")</f>
        <v>@petrogustavo</v>
      </c>
      <c r="C4082" s="5" t="s">
        <v>16</v>
      </c>
      <c r="D4082" s="5" t="s">
        <v>3999</v>
      </c>
      <c r="E4082" s="6" t="str">
        <f>HYPERLINK("https://twitter.com/petrogustavo/status/1242787115525648385","1242787115525648385")</f>
        <v>1242787115525648385</v>
      </c>
      <c r="F4082" s="7" t="s">
        <v>17</v>
      </c>
      <c r="G4082" s="7">
        <v>3713044</v>
      </c>
      <c r="H4082" s="7">
        <v>2369</v>
      </c>
      <c r="I4082" s="7">
        <v>58</v>
      </c>
      <c r="J4082" s="7">
        <v>145</v>
      </c>
      <c r="K4082" s="7" t="s">
        <v>18</v>
      </c>
      <c r="L4082" s="8">
        <v>39987.315405092595</v>
      </c>
      <c r="M4082" s="9" t="s">
        <v>19</v>
      </c>
      <c r="N4082" s="9" t="s">
        <v>20</v>
      </c>
      <c r="O4082" s="6" t="str">
        <f>HYPERLINK("https://pbs.twimg.com/profile_images/962471262747529216/Uo8lOkRJ_normal.jpg","View")</f>
        <v>View</v>
      </c>
      <c r="P4082" s="7"/>
    </row>
    <row r="4083" spans="1:16">
      <c r="A4083" s="3">
        <v>43915.762488425928</v>
      </c>
      <c r="B4083" s="4" t="str">
        <f>HYPERLINK("https://twitter.com/petrogustavo","@petrogustavo")</f>
        <v>@petrogustavo</v>
      </c>
      <c r="C4083" s="5" t="s">
        <v>16</v>
      </c>
      <c r="D4083" s="5" t="s">
        <v>4000</v>
      </c>
      <c r="E4083" s="6" t="str">
        <f>HYPERLINK("https://twitter.com/petrogustavo/status/1242795362747854849","1242795362747854849")</f>
        <v>1242795362747854849</v>
      </c>
      <c r="F4083" s="7" t="s">
        <v>17</v>
      </c>
      <c r="G4083" s="7">
        <v>3713149</v>
      </c>
      <c r="H4083" s="7">
        <v>2369</v>
      </c>
      <c r="I4083" s="7">
        <v>53</v>
      </c>
      <c r="J4083" s="7">
        <v>139</v>
      </c>
      <c r="K4083" s="7" t="s">
        <v>18</v>
      </c>
      <c r="L4083" s="8">
        <v>39987.315405092595</v>
      </c>
      <c r="M4083" s="9" t="s">
        <v>19</v>
      </c>
      <c r="N4083" s="9" t="s">
        <v>20</v>
      </c>
      <c r="O4083" s="6" t="str">
        <f>HYPERLINK("https://pbs.twimg.com/profile_images/962471262747529216/Uo8lOkRJ_normal.jpg","View")</f>
        <v>View</v>
      </c>
      <c r="P4083" s="7"/>
    </row>
    <row r="4084" spans="1:16">
      <c r="A4084" s="3">
        <v>43915.771585648152</v>
      </c>
      <c r="B4084" s="4" t="str">
        <f>HYPERLINK("https://twitter.com/petrogustavo","@petrogustavo")</f>
        <v>@petrogustavo</v>
      </c>
      <c r="C4084" s="5" t="s">
        <v>16</v>
      </c>
      <c r="D4084" s="5" t="s">
        <v>4001</v>
      </c>
      <c r="E4084" s="6" t="str">
        <f>HYPERLINK("https://twitter.com/petrogustavo/status/1242798659642818561","1242798659642818561")</f>
        <v>1242798659642818561</v>
      </c>
      <c r="F4084" s="7" t="s">
        <v>17</v>
      </c>
      <c r="G4084" s="7">
        <v>3713149</v>
      </c>
      <c r="H4084" s="7">
        <v>2369</v>
      </c>
      <c r="I4084" s="7">
        <v>8</v>
      </c>
      <c r="J4084" s="7">
        <v>23</v>
      </c>
      <c r="K4084" s="7" t="s">
        <v>18</v>
      </c>
      <c r="L4084" s="8">
        <v>39987.315405092595</v>
      </c>
      <c r="M4084" s="9" t="s">
        <v>19</v>
      </c>
      <c r="N4084" s="9" t="s">
        <v>20</v>
      </c>
      <c r="O4084" s="6" t="str">
        <f>HYPERLINK("https://pbs.twimg.com/profile_images/962471262747529216/Uo8lOkRJ_normal.jpg","View")</f>
        <v>View</v>
      </c>
      <c r="P4084" s="7"/>
    </row>
    <row r="4085" spans="1:16">
      <c r="A4085" s="3">
        <v>43915.771585648152</v>
      </c>
      <c r="B4085" s="4" t="str">
        <f>HYPERLINK("https://twitter.com/petrogustavo","@petrogustavo")</f>
        <v>@petrogustavo</v>
      </c>
      <c r="C4085" s="5" t="s">
        <v>16</v>
      </c>
      <c r="D4085" s="5" t="s">
        <v>4002</v>
      </c>
      <c r="E4085" s="6" t="str">
        <f>HYPERLINK("https://twitter.com/petrogustavo/status/1242798661941301248","1242798661941301248")</f>
        <v>1242798661941301248</v>
      </c>
      <c r="F4085" s="7" t="s">
        <v>17</v>
      </c>
      <c r="G4085" s="7">
        <v>3713149</v>
      </c>
      <c r="H4085" s="7">
        <v>2369</v>
      </c>
      <c r="I4085" s="7">
        <v>0</v>
      </c>
      <c r="J4085" s="7">
        <v>4</v>
      </c>
      <c r="K4085" s="7" t="s">
        <v>18</v>
      </c>
      <c r="L4085" s="8">
        <v>39987.315405092595</v>
      </c>
      <c r="M4085" s="9" t="s">
        <v>19</v>
      </c>
      <c r="N4085" s="9" t="s">
        <v>20</v>
      </c>
      <c r="O4085" s="6" t="str">
        <f>HYPERLINK("https://pbs.twimg.com/profile_images/962471262747529216/Uo8lOkRJ_normal.jpg","View")</f>
        <v>View</v>
      </c>
      <c r="P4085" s="7"/>
    </row>
    <row r="4086" spans="1:16">
      <c r="A4086" s="3">
        <v>43915.771597222221</v>
      </c>
      <c r="B4086" s="4" t="str">
        <f>HYPERLINK("https://twitter.com/petrogustavo","@petrogustavo")</f>
        <v>@petrogustavo</v>
      </c>
      <c r="C4086" s="5" t="s">
        <v>16</v>
      </c>
      <c r="D4086" s="5" t="s">
        <v>4003</v>
      </c>
      <c r="E4086" s="6" t="str">
        <f>HYPERLINK("https://twitter.com/petrogustavo/status/1242798663249821698","1242798663249821698")</f>
        <v>1242798663249821698</v>
      </c>
      <c r="F4086" s="7" t="s">
        <v>17</v>
      </c>
      <c r="G4086" s="7">
        <v>3713149</v>
      </c>
      <c r="H4086" s="7">
        <v>2369</v>
      </c>
      <c r="I4086" s="7">
        <v>0</v>
      </c>
      <c r="J4086" s="7">
        <v>3</v>
      </c>
      <c r="K4086" s="7" t="s">
        <v>18</v>
      </c>
      <c r="L4086" s="8">
        <v>39987.315405092595</v>
      </c>
      <c r="M4086" s="9" t="s">
        <v>19</v>
      </c>
      <c r="N4086" s="9" t="s">
        <v>20</v>
      </c>
      <c r="O4086" s="6" t="str">
        <f>HYPERLINK("https://pbs.twimg.com/profile_images/962471262747529216/Uo8lOkRJ_normal.jpg","View")</f>
        <v>View</v>
      </c>
      <c r="P4086" s="7"/>
    </row>
    <row r="4087" spans="1:16">
      <c r="A4087" s="3">
        <v>43915.790983796294</v>
      </c>
      <c r="B4087" s="4" t="str">
        <f>HYPERLINK("https://twitter.com/petrogustavo","@petrogustavo")</f>
        <v>@petrogustavo</v>
      </c>
      <c r="C4087" s="5" t="s">
        <v>16</v>
      </c>
      <c r="D4087" s="5" t="s">
        <v>4004</v>
      </c>
      <c r="E4087" s="6" t="str">
        <f>HYPERLINK("https://twitter.com/petrogustavo/status/1242805689489264640","1242805689489264640")</f>
        <v>1242805689489264640</v>
      </c>
      <c r="F4087" s="7" t="s">
        <v>17</v>
      </c>
      <c r="G4087" s="7">
        <v>3713234</v>
      </c>
      <c r="H4087" s="7">
        <v>2369</v>
      </c>
      <c r="I4087" s="7">
        <v>23</v>
      </c>
      <c r="J4087" s="7">
        <v>43</v>
      </c>
      <c r="K4087" s="7" t="s">
        <v>18</v>
      </c>
      <c r="L4087" s="8">
        <v>39987.315405092595</v>
      </c>
      <c r="M4087" s="9" t="s">
        <v>19</v>
      </c>
      <c r="N4087" s="9" t="s">
        <v>20</v>
      </c>
      <c r="O4087" s="6" t="str">
        <f>HYPERLINK("https://pbs.twimg.com/profile_images/962471262747529216/Uo8lOkRJ_normal.jpg","View")</f>
        <v>View</v>
      </c>
      <c r="P4087" s="7"/>
    </row>
    <row r="4088" spans="1:16">
      <c r="A4088" s="3">
        <v>43915.793935185182</v>
      </c>
      <c r="B4088" s="4" t="str">
        <f>HYPERLINK("https://twitter.com/petrogustavo","@petrogustavo")</f>
        <v>@petrogustavo</v>
      </c>
      <c r="C4088" s="5" t="s">
        <v>16</v>
      </c>
      <c r="D4088" s="5" t="s">
        <v>4005</v>
      </c>
      <c r="E4088" s="6" t="str">
        <f>HYPERLINK("https://twitter.com/petrogustavo/status/1242806762123726853","1242806762123726853")</f>
        <v>1242806762123726853</v>
      </c>
      <c r="F4088" s="7" t="s">
        <v>17</v>
      </c>
      <c r="G4088" s="7">
        <v>3713374</v>
      </c>
      <c r="H4088" s="7">
        <v>2369</v>
      </c>
      <c r="I4088" s="7">
        <v>105</v>
      </c>
      <c r="J4088" s="7">
        <v>181</v>
      </c>
      <c r="K4088" s="7" t="s">
        <v>18</v>
      </c>
      <c r="L4088" s="8">
        <v>39987.315405092595</v>
      </c>
      <c r="M4088" s="9" t="s">
        <v>19</v>
      </c>
      <c r="N4088" s="9" t="s">
        <v>20</v>
      </c>
      <c r="O4088" s="6" t="str">
        <f>HYPERLINK("https://pbs.twimg.com/profile_images/962471262747529216/Uo8lOkRJ_normal.jpg","View")</f>
        <v>View</v>
      </c>
      <c r="P4088" s="7"/>
    </row>
    <row r="4089" spans="1:16">
      <c r="A4089" s="3">
        <v>43915.795648148152</v>
      </c>
      <c r="B4089" s="4" t="str">
        <f>HYPERLINK("https://twitter.com/petrogustavo","@petrogustavo")</f>
        <v>@petrogustavo</v>
      </c>
      <c r="C4089" s="5" t="s">
        <v>16</v>
      </c>
      <c r="D4089" s="5" t="s">
        <v>4006</v>
      </c>
      <c r="E4089" s="6" t="str">
        <f>HYPERLINK("https://twitter.com/petrogustavo/status/1242807381102399488","1242807381102399488")</f>
        <v>1242807381102399488</v>
      </c>
      <c r="F4089" s="7" t="s">
        <v>17</v>
      </c>
      <c r="G4089" s="7">
        <v>3713374</v>
      </c>
      <c r="H4089" s="7">
        <v>2369</v>
      </c>
      <c r="I4089" s="7">
        <v>167</v>
      </c>
      <c r="J4089" s="7">
        <v>460</v>
      </c>
      <c r="K4089" s="7" t="s">
        <v>18</v>
      </c>
      <c r="L4089" s="8">
        <v>39987.315405092595</v>
      </c>
      <c r="M4089" s="9" t="s">
        <v>19</v>
      </c>
      <c r="N4089" s="9" t="s">
        <v>20</v>
      </c>
      <c r="O4089" s="6" t="str">
        <f>HYPERLINK("https://pbs.twimg.com/profile_images/962471262747529216/Uo8lOkRJ_normal.jpg","View")</f>
        <v>View</v>
      </c>
      <c r="P4089" s="7"/>
    </row>
    <row r="4090" spans="1:16">
      <c r="A4090" s="3">
        <v>43915.796249999999</v>
      </c>
      <c r="B4090" s="4" t="str">
        <f>HYPERLINK("https://twitter.com/petrogustavo","@petrogustavo")</f>
        <v>@petrogustavo</v>
      </c>
      <c r="C4090" s="5" t="s">
        <v>16</v>
      </c>
      <c r="D4090" s="5" t="s">
        <v>4007</v>
      </c>
      <c r="E4090" s="6" t="str">
        <f>HYPERLINK("https://twitter.com/petrogustavo/status/1242807597792735232","1242807597792735232")</f>
        <v>1242807597792735232</v>
      </c>
      <c r="F4090" s="7" t="s">
        <v>17</v>
      </c>
      <c r="G4090" s="7">
        <v>3713374</v>
      </c>
      <c r="H4090" s="7">
        <v>2369</v>
      </c>
      <c r="I4090" s="7">
        <v>210</v>
      </c>
      <c r="J4090" s="7">
        <v>0</v>
      </c>
      <c r="K4090" s="7" t="s">
        <v>18</v>
      </c>
      <c r="L4090" s="8">
        <v>39987.315405092595</v>
      </c>
      <c r="M4090" s="9" t="s">
        <v>19</v>
      </c>
      <c r="N4090" s="9" t="s">
        <v>20</v>
      </c>
      <c r="O4090" s="6" t="str">
        <f>HYPERLINK("https://pbs.twimg.com/profile_images/962471262747529216/Uo8lOkRJ_normal.jpg","View")</f>
        <v>View</v>
      </c>
      <c r="P4090" s="7"/>
    </row>
    <row r="4091" spans="1:16">
      <c r="A4091" s="3">
        <v>43915.796354166669</v>
      </c>
      <c r="B4091" s="4" t="str">
        <f>HYPERLINK("https://twitter.com/petrogustavo","@petrogustavo")</f>
        <v>@petrogustavo</v>
      </c>
      <c r="C4091" s="5" t="s">
        <v>16</v>
      </c>
      <c r="D4091" s="5" t="s">
        <v>4008</v>
      </c>
      <c r="E4091" s="6" t="str">
        <f>HYPERLINK("https://twitter.com/petrogustavo/status/1242807635608559618","1242807635608559618")</f>
        <v>1242807635608559618</v>
      </c>
      <c r="F4091" s="7" t="s">
        <v>17</v>
      </c>
      <c r="G4091" s="7">
        <v>3713374</v>
      </c>
      <c r="H4091" s="7">
        <v>2369</v>
      </c>
      <c r="I4091" s="7">
        <v>167</v>
      </c>
      <c r="J4091" s="7">
        <v>0</v>
      </c>
      <c r="K4091" s="7" t="s">
        <v>18</v>
      </c>
      <c r="L4091" s="8">
        <v>39987.315405092595</v>
      </c>
      <c r="M4091" s="9" t="s">
        <v>19</v>
      </c>
      <c r="N4091" s="9" t="s">
        <v>20</v>
      </c>
      <c r="O4091" s="6" t="str">
        <f>HYPERLINK("https://pbs.twimg.com/profile_images/962471262747529216/Uo8lOkRJ_normal.jpg","View")</f>
        <v>View</v>
      </c>
      <c r="P4091" s="7"/>
    </row>
    <row r="4092" spans="1:16">
      <c r="A4092" s="3">
        <v>43915.839143518519</v>
      </c>
      <c r="B4092" s="4" t="str">
        <f>HYPERLINK("https://twitter.com/petrogustavo","@petrogustavo")</f>
        <v>@petrogustavo</v>
      </c>
      <c r="C4092" s="5" t="s">
        <v>16</v>
      </c>
      <c r="D4092" s="5" t="s">
        <v>4009</v>
      </c>
      <c r="E4092" s="6" t="str">
        <f>HYPERLINK("https://twitter.com/petrogustavo/status/1242823141862387714","1242823141862387714")</f>
        <v>1242823141862387714</v>
      </c>
      <c r="F4092" s="7" t="s">
        <v>17</v>
      </c>
      <c r="G4092" s="7">
        <v>3713641</v>
      </c>
      <c r="H4092" s="7">
        <v>2369</v>
      </c>
      <c r="I4092" s="7">
        <v>289</v>
      </c>
      <c r="J4092" s="7">
        <v>720</v>
      </c>
      <c r="K4092" s="7" t="s">
        <v>18</v>
      </c>
      <c r="L4092" s="8">
        <v>39987.315405092595</v>
      </c>
      <c r="M4092" s="9" t="s">
        <v>19</v>
      </c>
      <c r="N4092" s="9" t="s">
        <v>20</v>
      </c>
      <c r="O4092" s="6" t="str">
        <f>HYPERLINK("https://pbs.twimg.com/profile_images/962471262747529216/Uo8lOkRJ_normal.jpg","View")</f>
        <v>View</v>
      </c>
      <c r="P4092" s="7"/>
    </row>
    <row r="4093" spans="1:16">
      <c r="A4093" s="3">
        <v>43915.840717592597</v>
      </c>
      <c r="B4093" s="4" t="str">
        <f>HYPERLINK("https://twitter.com/petrogustavo","@petrogustavo")</f>
        <v>@petrogustavo</v>
      </c>
      <c r="C4093" s="5" t="s">
        <v>16</v>
      </c>
      <c r="D4093" s="5" t="s">
        <v>4010</v>
      </c>
      <c r="E4093" s="6" t="str">
        <f>HYPERLINK("https://twitter.com/petrogustavo/status/1242823714544246784","1242823714544246784")</f>
        <v>1242823714544246784</v>
      </c>
      <c r="F4093" s="7" t="s">
        <v>17</v>
      </c>
      <c r="G4093" s="7">
        <v>3713641</v>
      </c>
      <c r="H4093" s="7">
        <v>2369</v>
      </c>
      <c r="I4093" s="7">
        <v>74</v>
      </c>
      <c r="J4093" s="7">
        <v>210</v>
      </c>
      <c r="K4093" s="7" t="s">
        <v>18</v>
      </c>
      <c r="L4093" s="8">
        <v>39987.315405092595</v>
      </c>
      <c r="M4093" s="9" t="s">
        <v>19</v>
      </c>
      <c r="N4093" s="9" t="s">
        <v>20</v>
      </c>
      <c r="O4093" s="6" t="str">
        <f>HYPERLINK("https://pbs.twimg.com/profile_images/962471262747529216/Uo8lOkRJ_normal.jpg","View")</f>
        <v>View</v>
      </c>
      <c r="P4093" s="7"/>
    </row>
    <row r="4094" spans="1:16">
      <c r="A4094" s="3">
        <v>43915.851307870369</v>
      </c>
      <c r="B4094" s="4" t="str">
        <f>HYPERLINK("https://twitter.com/petrogustavo","@petrogustavo")</f>
        <v>@petrogustavo</v>
      </c>
      <c r="C4094" s="5" t="s">
        <v>16</v>
      </c>
      <c r="D4094" s="5" t="s">
        <v>4011</v>
      </c>
      <c r="E4094" s="6" t="str">
        <f>HYPERLINK("https://twitter.com/petrogustavo/status/1242827553221619714","1242827553221619714")</f>
        <v>1242827553221619714</v>
      </c>
      <c r="F4094" s="7" t="s">
        <v>17</v>
      </c>
      <c r="G4094" s="7">
        <v>3713641</v>
      </c>
      <c r="H4094" s="7">
        <v>2369</v>
      </c>
      <c r="I4094" s="7">
        <v>34</v>
      </c>
      <c r="J4094" s="7">
        <v>69</v>
      </c>
      <c r="K4094" s="7" t="s">
        <v>18</v>
      </c>
      <c r="L4094" s="8">
        <v>39987.315405092595</v>
      </c>
      <c r="M4094" s="9" t="s">
        <v>19</v>
      </c>
      <c r="N4094" s="9" t="s">
        <v>20</v>
      </c>
      <c r="O4094" s="6" t="str">
        <f>HYPERLINK("https://pbs.twimg.com/profile_images/962471262747529216/Uo8lOkRJ_normal.jpg","View")</f>
        <v>View</v>
      </c>
      <c r="P4094" s="7"/>
    </row>
    <row r="4095" spans="1:16">
      <c r="A4095" s="3">
        <v>43915.854131944448</v>
      </c>
      <c r="B4095" s="4" t="str">
        <f>HYPERLINK("https://twitter.com/petrogustavo","@petrogustavo")</f>
        <v>@petrogustavo</v>
      </c>
      <c r="C4095" s="5" t="s">
        <v>16</v>
      </c>
      <c r="D4095" s="5" t="s">
        <v>4012</v>
      </c>
      <c r="E4095" s="6" t="str">
        <f>HYPERLINK("https://twitter.com/petrogustavo/status/1242828574157090818","1242828574157090818")</f>
        <v>1242828574157090818</v>
      </c>
      <c r="F4095" s="7" t="s">
        <v>17</v>
      </c>
      <c r="G4095" s="7">
        <v>3713641</v>
      </c>
      <c r="H4095" s="7">
        <v>2369</v>
      </c>
      <c r="I4095" s="7">
        <v>50</v>
      </c>
      <c r="J4095" s="7">
        <v>126</v>
      </c>
      <c r="K4095" s="7" t="s">
        <v>18</v>
      </c>
      <c r="L4095" s="8">
        <v>39987.315405092595</v>
      </c>
      <c r="M4095" s="9" t="s">
        <v>19</v>
      </c>
      <c r="N4095" s="9" t="s">
        <v>20</v>
      </c>
      <c r="O4095" s="6" t="str">
        <f>HYPERLINK("https://pbs.twimg.com/profile_images/962471262747529216/Uo8lOkRJ_normal.jpg","View")</f>
        <v>View</v>
      </c>
      <c r="P4095" s="7"/>
    </row>
    <row r="4096" spans="1:16">
      <c r="A4096" s="3">
        <v>43915.91569444444</v>
      </c>
      <c r="B4096" s="4" t="str">
        <f>HYPERLINK("https://twitter.com/petrogustavo","@petrogustavo")</f>
        <v>@petrogustavo</v>
      </c>
      <c r="C4096" s="5" t="s">
        <v>16</v>
      </c>
      <c r="D4096" s="5" t="s">
        <v>4013</v>
      </c>
      <c r="E4096" s="6" t="str">
        <f>HYPERLINK("https://twitter.com/petrogustavo/status/1242850884717031426","1242850884717031426")</f>
        <v>1242850884717031426</v>
      </c>
      <c r="F4096" s="7" t="s">
        <v>17</v>
      </c>
      <c r="G4096" s="7">
        <v>3713984</v>
      </c>
      <c r="H4096" s="7">
        <v>2370</v>
      </c>
      <c r="I4096" s="7">
        <v>26</v>
      </c>
      <c r="J4096" s="7">
        <v>67</v>
      </c>
      <c r="K4096" s="7" t="s">
        <v>18</v>
      </c>
      <c r="L4096" s="8">
        <v>39987.315405092595</v>
      </c>
      <c r="M4096" s="9" t="s">
        <v>19</v>
      </c>
      <c r="N4096" s="9" t="s">
        <v>20</v>
      </c>
      <c r="O4096" s="6" t="str">
        <f>HYPERLINK("https://pbs.twimg.com/profile_images/962471262747529216/Uo8lOkRJ_normal.jpg","View")</f>
        <v>View</v>
      </c>
      <c r="P4096" s="7"/>
    </row>
    <row r="4097" spans="1:16">
      <c r="A4097" s="3">
        <v>43915.923391203702</v>
      </c>
      <c r="B4097" s="4" t="str">
        <f>HYPERLINK("https://twitter.com/petrogustavo","@petrogustavo")</f>
        <v>@petrogustavo</v>
      </c>
      <c r="C4097" s="5" t="s">
        <v>16</v>
      </c>
      <c r="D4097" s="5" t="s">
        <v>4014</v>
      </c>
      <c r="E4097" s="6" t="str">
        <f>HYPERLINK("https://twitter.com/petrogustavo/status/1242853672285061124","1242853672285061124")</f>
        <v>1242853672285061124</v>
      </c>
      <c r="F4097" s="7" t="s">
        <v>17</v>
      </c>
      <c r="G4097" s="7">
        <v>3714080</v>
      </c>
      <c r="H4097" s="7">
        <v>2370</v>
      </c>
      <c r="I4097" s="7">
        <v>239</v>
      </c>
      <c r="J4097" s="7">
        <v>724</v>
      </c>
      <c r="K4097" s="7" t="s">
        <v>18</v>
      </c>
      <c r="L4097" s="8">
        <v>39987.315405092595</v>
      </c>
      <c r="M4097" s="9" t="s">
        <v>19</v>
      </c>
      <c r="N4097" s="9" t="s">
        <v>20</v>
      </c>
      <c r="O4097" s="6" t="str">
        <f>HYPERLINK("https://pbs.twimg.com/profile_images/962471262747529216/Uo8lOkRJ_normal.jpg","View")</f>
        <v>View</v>
      </c>
      <c r="P4097" s="7"/>
    </row>
    <row r="4098" spans="1:16">
      <c r="A4098" s="3">
        <v>43915.925763888888</v>
      </c>
      <c r="B4098" s="4" t="str">
        <f>HYPERLINK("https://twitter.com/petrogustavo","@petrogustavo")</f>
        <v>@petrogustavo</v>
      </c>
      <c r="C4098" s="5" t="s">
        <v>16</v>
      </c>
      <c r="D4098" s="5" t="s">
        <v>4015</v>
      </c>
      <c r="E4098" s="6" t="str">
        <f>HYPERLINK("https://twitter.com/petrogustavo/status/1242854534877151235","1242854534877151235")</f>
        <v>1242854534877151235</v>
      </c>
      <c r="F4098" s="7" t="s">
        <v>17</v>
      </c>
      <c r="G4098" s="7">
        <v>3714080</v>
      </c>
      <c r="H4098" s="7">
        <v>2370</v>
      </c>
      <c r="I4098" s="7">
        <v>69</v>
      </c>
      <c r="J4098" s="7">
        <v>249</v>
      </c>
      <c r="K4098" s="7" t="s">
        <v>18</v>
      </c>
      <c r="L4098" s="8">
        <v>39987.315405092595</v>
      </c>
      <c r="M4098" s="9" t="s">
        <v>19</v>
      </c>
      <c r="N4098" s="9" t="s">
        <v>20</v>
      </c>
      <c r="O4098" s="6" t="str">
        <f>HYPERLINK("https://pbs.twimg.com/profile_images/962471262747529216/Uo8lOkRJ_normal.jpg","View")</f>
        <v>View</v>
      </c>
      <c r="P4098" s="7"/>
    </row>
    <row r="4099" spans="1:16">
      <c r="A4099" s="3">
        <v>43915.931793981479</v>
      </c>
      <c r="B4099" s="4" t="str">
        <f>HYPERLINK("https://twitter.com/petrogustavo","@petrogustavo")</f>
        <v>@petrogustavo</v>
      </c>
      <c r="C4099" s="5" t="s">
        <v>16</v>
      </c>
      <c r="D4099" s="5" t="s">
        <v>4016</v>
      </c>
      <c r="E4099" s="6" t="str">
        <f>HYPERLINK("https://twitter.com/petrogustavo/status/1242856719501402113","1242856719501402113")</f>
        <v>1242856719501402113</v>
      </c>
      <c r="F4099" s="7" t="s">
        <v>17</v>
      </c>
      <c r="G4099" s="7">
        <v>3714080</v>
      </c>
      <c r="H4099" s="7">
        <v>2370</v>
      </c>
      <c r="I4099" s="7">
        <v>179</v>
      </c>
      <c r="J4099" s="7">
        <v>0</v>
      </c>
      <c r="K4099" s="7" t="s">
        <v>18</v>
      </c>
      <c r="L4099" s="8">
        <v>39987.315405092595</v>
      </c>
      <c r="M4099" s="9" t="s">
        <v>19</v>
      </c>
      <c r="N4099" s="9" t="s">
        <v>20</v>
      </c>
      <c r="O4099" s="6" t="str">
        <f>HYPERLINK("https://pbs.twimg.com/profile_images/962471262747529216/Uo8lOkRJ_normal.jpg","View")</f>
        <v>View</v>
      </c>
      <c r="P4099" s="7"/>
    </row>
    <row r="4100" spans="1:16">
      <c r="A4100" s="3">
        <v>43915.937048611115</v>
      </c>
      <c r="B4100" s="4" t="str">
        <f>HYPERLINK("https://twitter.com/petrogustavo","@petrogustavo")</f>
        <v>@petrogustavo</v>
      </c>
      <c r="C4100" s="5" t="s">
        <v>16</v>
      </c>
      <c r="D4100" s="5" t="s">
        <v>4017</v>
      </c>
      <c r="E4100" s="6" t="str">
        <f>HYPERLINK("https://twitter.com/petrogustavo/status/1242858623577075714","1242858623577075714")</f>
        <v>1242858623577075714</v>
      </c>
      <c r="F4100" s="7" t="s">
        <v>17</v>
      </c>
      <c r="G4100" s="7">
        <v>3714080</v>
      </c>
      <c r="H4100" s="7">
        <v>2370</v>
      </c>
      <c r="I4100" s="7">
        <v>35</v>
      </c>
      <c r="J4100" s="7">
        <v>76</v>
      </c>
      <c r="K4100" s="7" t="s">
        <v>18</v>
      </c>
      <c r="L4100" s="8">
        <v>39987.315405092595</v>
      </c>
      <c r="M4100" s="9" t="s">
        <v>19</v>
      </c>
      <c r="N4100" s="9" t="s">
        <v>20</v>
      </c>
      <c r="O4100" s="6" t="str">
        <f>HYPERLINK("https://pbs.twimg.com/profile_images/962471262747529216/Uo8lOkRJ_normal.jpg","View")</f>
        <v>View</v>
      </c>
      <c r="P4100" s="7"/>
    </row>
    <row r="4101" spans="1:16">
      <c r="A4101" s="3">
        <v>43915.956678240742</v>
      </c>
      <c r="B4101" s="4" t="str">
        <f>HYPERLINK("https://twitter.com/petrogustavo","@petrogustavo")</f>
        <v>@petrogustavo</v>
      </c>
      <c r="C4101" s="5" t="s">
        <v>16</v>
      </c>
      <c r="D4101" s="5" t="s">
        <v>4018</v>
      </c>
      <c r="E4101" s="6" t="str">
        <f>HYPERLINK("https://twitter.com/petrogustavo/status/1242865735816314881","1242865735816314881")</f>
        <v>1242865735816314881</v>
      </c>
      <c r="F4101" s="7" t="s">
        <v>17</v>
      </c>
      <c r="G4101" s="7">
        <v>3714167</v>
      </c>
      <c r="H4101" s="7">
        <v>2370</v>
      </c>
      <c r="I4101" s="7">
        <v>56</v>
      </c>
      <c r="J4101" s="7">
        <v>97</v>
      </c>
      <c r="K4101" s="7" t="s">
        <v>18</v>
      </c>
      <c r="L4101" s="8">
        <v>39987.315405092595</v>
      </c>
      <c r="M4101" s="9" t="s">
        <v>19</v>
      </c>
      <c r="N4101" s="9" t="s">
        <v>20</v>
      </c>
      <c r="O4101" s="6" t="str">
        <f>HYPERLINK("https://pbs.twimg.com/profile_images/962471262747529216/Uo8lOkRJ_normal.jpg","View")</f>
        <v>View</v>
      </c>
      <c r="P4101" s="7"/>
    </row>
    <row r="4102" spans="1:16">
      <c r="A4102" s="3">
        <v>43916.023206018523</v>
      </c>
      <c r="B4102" s="4" t="str">
        <f>HYPERLINK("https://twitter.com/petrogustavo","@petrogustavo")</f>
        <v>@petrogustavo</v>
      </c>
      <c r="C4102" s="5" t="s">
        <v>16</v>
      </c>
      <c r="D4102" s="5" t="s">
        <v>4019</v>
      </c>
      <c r="E4102" s="6" t="str">
        <f>HYPERLINK("https://twitter.com/petrogustavo/status/1242889846907179013","1242889846907179013")</f>
        <v>1242889846907179013</v>
      </c>
      <c r="F4102" s="7" t="s">
        <v>17</v>
      </c>
      <c r="G4102" s="7">
        <v>3714655</v>
      </c>
      <c r="H4102" s="7">
        <v>2370</v>
      </c>
      <c r="I4102" s="7">
        <v>587</v>
      </c>
      <c r="J4102" s="7">
        <v>0</v>
      </c>
      <c r="K4102" s="7" t="s">
        <v>18</v>
      </c>
      <c r="L4102" s="8">
        <v>39987.315405092595</v>
      </c>
      <c r="M4102" s="9" t="s">
        <v>19</v>
      </c>
      <c r="N4102" s="9" t="s">
        <v>20</v>
      </c>
      <c r="O4102" s="6" t="str">
        <f>HYPERLINK("https://pbs.twimg.com/profile_images/962471262747529216/Uo8lOkRJ_normal.jpg","View")</f>
        <v>View</v>
      </c>
      <c r="P4102" s="7"/>
    </row>
    <row r="4103" spans="1:16">
      <c r="A4103" s="3">
        <v>43916.027812500004</v>
      </c>
      <c r="B4103" s="4" t="str">
        <f>HYPERLINK("https://twitter.com/petrogustavo","@petrogustavo")</f>
        <v>@petrogustavo</v>
      </c>
      <c r="C4103" s="5" t="s">
        <v>16</v>
      </c>
      <c r="D4103" s="5" t="s">
        <v>4020</v>
      </c>
      <c r="E4103" s="6" t="str">
        <f>HYPERLINK("https://twitter.com/petrogustavo/status/1242891514507821056","1242891514507821056")</f>
        <v>1242891514507821056</v>
      </c>
      <c r="F4103" s="7" t="s">
        <v>17</v>
      </c>
      <c r="G4103" s="7">
        <v>3714655</v>
      </c>
      <c r="H4103" s="7">
        <v>2370</v>
      </c>
      <c r="I4103" s="7">
        <v>124</v>
      </c>
      <c r="J4103" s="7">
        <v>256</v>
      </c>
      <c r="K4103" s="7" t="s">
        <v>18</v>
      </c>
      <c r="L4103" s="8">
        <v>39987.315405092595</v>
      </c>
      <c r="M4103" s="9" t="s">
        <v>19</v>
      </c>
      <c r="N4103" s="9" t="s">
        <v>20</v>
      </c>
      <c r="O4103" s="6" t="str">
        <f>HYPERLINK("https://pbs.twimg.com/profile_images/962471262747529216/Uo8lOkRJ_normal.jpg","View")</f>
        <v>View</v>
      </c>
      <c r="P4103" s="7"/>
    </row>
    <row r="4104" spans="1:16">
      <c r="A4104" s="3">
        <v>43916.032696759255</v>
      </c>
      <c r="B4104" s="4" t="str">
        <f>HYPERLINK("https://twitter.com/petrogustavo","@petrogustavo")</f>
        <v>@petrogustavo</v>
      </c>
      <c r="C4104" s="5" t="s">
        <v>16</v>
      </c>
      <c r="D4104" s="5" t="s">
        <v>4021</v>
      </c>
      <c r="E4104" s="6" t="str">
        <f>HYPERLINK("https://twitter.com/petrogustavo/status/1242893284504154112","1242893284504154112")</f>
        <v>1242893284504154112</v>
      </c>
      <c r="F4104" s="7" t="s">
        <v>17</v>
      </c>
      <c r="G4104" s="7">
        <v>3714655</v>
      </c>
      <c r="H4104" s="7">
        <v>2370</v>
      </c>
      <c r="I4104" s="7">
        <v>760</v>
      </c>
      <c r="J4104" s="7">
        <v>0</v>
      </c>
      <c r="K4104" s="7" t="s">
        <v>18</v>
      </c>
      <c r="L4104" s="8">
        <v>39987.315405092595</v>
      </c>
      <c r="M4104" s="9" t="s">
        <v>19</v>
      </c>
      <c r="N4104" s="9" t="s">
        <v>20</v>
      </c>
      <c r="O4104" s="6" t="str">
        <f>HYPERLINK("https://pbs.twimg.com/profile_images/962471262747529216/Uo8lOkRJ_normal.jpg","View")</f>
        <v>View</v>
      </c>
      <c r="P4104" s="7"/>
    </row>
    <row r="4105" spans="1:16">
      <c r="A4105" s="3">
        <v>43916.05972222222</v>
      </c>
      <c r="B4105" s="4" t="str">
        <f>HYPERLINK("https://twitter.com/petrogustavo","@petrogustavo")</f>
        <v>@petrogustavo</v>
      </c>
      <c r="C4105" s="5" t="s">
        <v>16</v>
      </c>
      <c r="D4105" s="5" t="s">
        <v>4022</v>
      </c>
      <c r="E4105" s="6" t="str">
        <f>HYPERLINK("https://twitter.com/petrogustavo/status/1242903076136267776","1242903076136267776")</f>
        <v>1242903076136267776</v>
      </c>
      <c r="F4105" s="7" t="s">
        <v>32</v>
      </c>
      <c r="G4105" s="7">
        <v>3714767</v>
      </c>
      <c r="H4105" s="7">
        <v>2370</v>
      </c>
      <c r="I4105" s="7">
        <v>68</v>
      </c>
      <c r="J4105" s="7">
        <v>175</v>
      </c>
      <c r="K4105" s="7" t="s">
        <v>18</v>
      </c>
      <c r="L4105" s="8">
        <v>39987.315405092595</v>
      </c>
      <c r="M4105" s="9" t="s">
        <v>19</v>
      </c>
      <c r="N4105" s="9" t="s">
        <v>20</v>
      </c>
      <c r="O4105" s="6" t="str">
        <f>HYPERLINK("https://pbs.twimg.com/profile_images/962471262747529216/Uo8lOkRJ_normal.jpg","View")</f>
        <v>View</v>
      </c>
      <c r="P4105" s="7"/>
    </row>
    <row r="4106" spans="1:16">
      <c r="A4106" s="3">
        <v>43916.095682870371</v>
      </c>
      <c r="B4106" s="4" t="str">
        <f>HYPERLINK("https://twitter.com/petrogustavo","@petrogustavo")</f>
        <v>@petrogustavo</v>
      </c>
      <c r="C4106" s="5" t="s">
        <v>16</v>
      </c>
      <c r="D4106" s="5" t="s">
        <v>4023</v>
      </c>
      <c r="E4106" s="6" t="str">
        <f>HYPERLINK("https://twitter.com/petrogustavo/status/1242916109210263552","1242916109210263552")</f>
        <v>1242916109210263552</v>
      </c>
      <c r="F4106" s="7" t="s">
        <v>17</v>
      </c>
      <c r="G4106" s="7">
        <v>3714950</v>
      </c>
      <c r="H4106" s="7">
        <v>2370</v>
      </c>
      <c r="I4106" s="7">
        <v>39</v>
      </c>
      <c r="J4106" s="7">
        <v>80</v>
      </c>
      <c r="K4106" s="7" t="s">
        <v>18</v>
      </c>
      <c r="L4106" s="8">
        <v>39987.315405092595</v>
      </c>
      <c r="M4106" s="9" t="s">
        <v>19</v>
      </c>
      <c r="N4106" s="9" t="s">
        <v>20</v>
      </c>
      <c r="O4106" s="6" t="str">
        <f>HYPERLINK("https://pbs.twimg.com/profile_images/962471262747529216/Uo8lOkRJ_normal.jpg","View")</f>
        <v>View</v>
      </c>
      <c r="P4106" s="7"/>
    </row>
    <row r="4107" spans="1:16">
      <c r="A4107" s="3">
        <v>43916.097291666665</v>
      </c>
      <c r="B4107" s="4" t="str">
        <f>HYPERLINK("https://twitter.com/petrogustavo","@petrogustavo")</f>
        <v>@petrogustavo</v>
      </c>
      <c r="C4107" s="5" t="s">
        <v>16</v>
      </c>
      <c r="D4107" s="5" t="s">
        <v>4024</v>
      </c>
      <c r="E4107" s="6" t="str">
        <f>HYPERLINK("https://twitter.com/petrogustavo/status/1242916691367153670","1242916691367153670")</f>
        <v>1242916691367153670</v>
      </c>
      <c r="F4107" s="7" t="s">
        <v>17</v>
      </c>
      <c r="G4107" s="7">
        <v>3714950</v>
      </c>
      <c r="H4107" s="7">
        <v>2370</v>
      </c>
      <c r="I4107" s="7">
        <v>26</v>
      </c>
      <c r="J4107" s="7">
        <v>50</v>
      </c>
      <c r="K4107" s="7" t="s">
        <v>18</v>
      </c>
      <c r="L4107" s="8">
        <v>39987.315405092595</v>
      </c>
      <c r="M4107" s="9" t="s">
        <v>19</v>
      </c>
      <c r="N4107" s="9" t="s">
        <v>20</v>
      </c>
      <c r="O4107" s="6" t="str">
        <f>HYPERLINK("https://pbs.twimg.com/profile_images/962471262747529216/Uo8lOkRJ_normal.jpg","View")</f>
        <v>View</v>
      </c>
      <c r="P4107" s="7"/>
    </row>
    <row r="4108" spans="1:16">
      <c r="A4108" s="3">
        <v>43916.10157407407</v>
      </c>
      <c r="B4108" s="4" t="str">
        <f>HYPERLINK("https://twitter.com/petrogustavo","@petrogustavo")</f>
        <v>@petrogustavo</v>
      </c>
      <c r="C4108" s="5" t="s">
        <v>16</v>
      </c>
      <c r="D4108" s="5" t="s">
        <v>4025</v>
      </c>
      <c r="E4108" s="6" t="str">
        <f>HYPERLINK("https://twitter.com/petrogustavo/status/1242918243658014730","1242918243658014730")</f>
        <v>1242918243658014730</v>
      </c>
      <c r="F4108" s="7" t="s">
        <v>17</v>
      </c>
      <c r="G4108" s="7">
        <v>3714950</v>
      </c>
      <c r="H4108" s="7">
        <v>2370</v>
      </c>
      <c r="I4108" s="7">
        <v>54</v>
      </c>
      <c r="J4108" s="7">
        <v>137</v>
      </c>
      <c r="K4108" s="7" t="s">
        <v>18</v>
      </c>
      <c r="L4108" s="8">
        <v>39987.315405092595</v>
      </c>
      <c r="M4108" s="9" t="s">
        <v>19</v>
      </c>
      <c r="N4108" s="9" t="s">
        <v>20</v>
      </c>
      <c r="O4108" s="6" t="str">
        <f>HYPERLINK("https://pbs.twimg.com/profile_images/962471262747529216/Uo8lOkRJ_normal.jpg","View")</f>
        <v>View</v>
      </c>
      <c r="P4108" s="7"/>
    </row>
    <row r="4109" spans="1:16">
      <c r="A4109" s="3">
        <v>43916.108703703707</v>
      </c>
      <c r="B4109" s="4" t="str">
        <f>HYPERLINK("https://twitter.com/petrogustavo","@petrogustavo")</f>
        <v>@petrogustavo</v>
      </c>
      <c r="C4109" s="5" t="s">
        <v>16</v>
      </c>
      <c r="D4109" s="5" t="s">
        <v>4026</v>
      </c>
      <c r="E4109" s="6" t="str">
        <f>HYPERLINK("https://twitter.com/petrogustavo/status/1242920829358346258","1242920829358346258")</f>
        <v>1242920829358346258</v>
      </c>
      <c r="F4109" s="7" t="s">
        <v>17</v>
      </c>
      <c r="G4109" s="7">
        <v>3715025</v>
      </c>
      <c r="H4109" s="7">
        <v>2371</v>
      </c>
      <c r="I4109" s="7">
        <v>83</v>
      </c>
      <c r="J4109" s="7">
        <v>194</v>
      </c>
      <c r="K4109" s="7" t="s">
        <v>18</v>
      </c>
      <c r="L4109" s="8">
        <v>39987.315405092595</v>
      </c>
      <c r="M4109" s="9" t="s">
        <v>19</v>
      </c>
      <c r="N4109" s="9" t="s">
        <v>20</v>
      </c>
      <c r="O4109" s="6" t="str">
        <f>HYPERLINK("https://pbs.twimg.com/profile_images/962471262747529216/Uo8lOkRJ_normal.jpg","View")</f>
        <v>View</v>
      </c>
      <c r="P4109" s="7"/>
    </row>
    <row r="4110" spans="1:16">
      <c r="A4110" s="3">
        <v>43916.110682870371</v>
      </c>
      <c r="B4110" s="4" t="str">
        <f>HYPERLINK("https://twitter.com/petrogustavo","@petrogustavo")</f>
        <v>@petrogustavo</v>
      </c>
      <c r="C4110" s="5" t="s">
        <v>16</v>
      </c>
      <c r="D4110" s="5" t="s">
        <v>4027</v>
      </c>
      <c r="E4110" s="6" t="str">
        <f>HYPERLINK("https://twitter.com/petrogustavo/status/1242921547465138176","1242921547465138176")</f>
        <v>1242921547465138176</v>
      </c>
      <c r="F4110" s="7" t="s">
        <v>17</v>
      </c>
      <c r="G4110" s="7">
        <v>3715025</v>
      </c>
      <c r="H4110" s="7">
        <v>2371</v>
      </c>
      <c r="I4110" s="7">
        <v>211</v>
      </c>
      <c r="J4110" s="7">
        <v>0</v>
      </c>
      <c r="K4110" s="7" t="s">
        <v>18</v>
      </c>
      <c r="L4110" s="8">
        <v>39987.315405092595</v>
      </c>
      <c r="M4110" s="9" t="s">
        <v>19</v>
      </c>
      <c r="N4110" s="9" t="s">
        <v>20</v>
      </c>
      <c r="O4110" s="6" t="str">
        <f>HYPERLINK("https://pbs.twimg.com/profile_images/962471262747529216/Uo8lOkRJ_normal.jpg","View")</f>
        <v>View</v>
      </c>
      <c r="P4110" s="7"/>
    </row>
    <row r="4111" spans="1:16">
      <c r="A4111" s="3">
        <v>43916.119340277779</v>
      </c>
      <c r="B4111" s="4" t="str">
        <f>HYPERLINK("https://twitter.com/petrogustavo","@petrogustavo")</f>
        <v>@petrogustavo</v>
      </c>
      <c r="C4111" s="5" t="s">
        <v>16</v>
      </c>
      <c r="D4111" s="5" t="s">
        <v>4028</v>
      </c>
      <c r="E4111" s="6" t="str">
        <f>HYPERLINK("https://twitter.com/petrogustavo/status/1242924684116721665","1242924684116721665")</f>
        <v>1242924684116721665</v>
      </c>
      <c r="F4111" s="7" t="s">
        <v>17</v>
      </c>
      <c r="G4111" s="7">
        <v>3715025</v>
      </c>
      <c r="H4111" s="7">
        <v>2371</v>
      </c>
      <c r="I4111" s="7">
        <v>170</v>
      </c>
      <c r="J4111" s="7">
        <v>417</v>
      </c>
      <c r="K4111" s="7" t="s">
        <v>18</v>
      </c>
      <c r="L4111" s="8">
        <v>39987.315405092595</v>
      </c>
      <c r="M4111" s="9" t="s">
        <v>19</v>
      </c>
      <c r="N4111" s="9" t="s">
        <v>20</v>
      </c>
      <c r="O4111" s="6" t="str">
        <f>HYPERLINK("https://pbs.twimg.com/profile_images/962471262747529216/Uo8lOkRJ_normal.jpg","View")</f>
        <v>View</v>
      </c>
      <c r="P4111" s="7"/>
    </row>
    <row r="4112" spans="1:16">
      <c r="A4112" s="3">
        <v>43916.121377314819</v>
      </c>
      <c r="B4112" s="4" t="str">
        <f>HYPERLINK("https://twitter.com/petrogustavo","@petrogustavo")</f>
        <v>@petrogustavo</v>
      </c>
      <c r="C4112" s="5" t="s">
        <v>16</v>
      </c>
      <c r="D4112" s="5" t="s">
        <v>4029</v>
      </c>
      <c r="E4112" s="6" t="str">
        <f>HYPERLINK("https://twitter.com/petrogustavo/status/1242925419097137153","1242925419097137153")</f>
        <v>1242925419097137153</v>
      </c>
      <c r="F4112" s="7" t="s">
        <v>17</v>
      </c>
      <c r="G4112" s="7">
        <v>3715025</v>
      </c>
      <c r="H4112" s="7">
        <v>2371</v>
      </c>
      <c r="I4112" s="7">
        <v>27</v>
      </c>
      <c r="J4112" s="7">
        <v>74</v>
      </c>
      <c r="K4112" s="7" t="s">
        <v>18</v>
      </c>
      <c r="L4112" s="8">
        <v>39987.315405092595</v>
      </c>
      <c r="M4112" s="9" t="s">
        <v>19</v>
      </c>
      <c r="N4112" s="9" t="s">
        <v>20</v>
      </c>
      <c r="O4112" s="6" t="str">
        <f>HYPERLINK("https://pbs.twimg.com/profile_images/962471262747529216/Uo8lOkRJ_normal.jpg","View")</f>
        <v>View</v>
      </c>
      <c r="P4112" s="7"/>
    </row>
    <row r="4113" spans="1:16">
      <c r="A4113" s="3">
        <v>43916.124293981484</v>
      </c>
      <c r="B4113" s="4" t="str">
        <f>HYPERLINK("https://twitter.com/petrogustavo","@petrogustavo")</f>
        <v>@petrogustavo</v>
      </c>
      <c r="C4113" s="5" t="s">
        <v>16</v>
      </c>
      <c r="D4113" s="5" t="s">
        <v>4030</v>
      </c>
      <c r="E4113" s="6" t="str">
        <f>HYPERLINK("https://twitter.com/petrogustavo/status/1242926476632227842","1242926476632227842")</f>
        <v>1242926476632227842</v>
      </c>
      <c r="F4113" s="7" t="s">
        <v>17</v>
      </c>
      <c r="G4113" s="7">
        <v>3715025</v>
      </c>
      <c r="H4113" s="7">
        <v>2371</v>
      </c>
      <c r="I4113" s="7">
        <v>15</v>
      </c>
      <c r="J4113" s="7">
        <v>36</v>
      </c>
      <c r="K4113" s="7" t="s">
        <v>18</v>
      </c>
      <c r="L4113" s="8">
        <v>39987.315405092595</v>
      </c>
      <c r="M4113" s="9" t="s">
        <v>19</v>
      </c>
      <c r="N4113" s="9" t="s">
        <v>20</v>
      </c>
      <c r="O4113" s="6" t="str">
        <f>HYPERLINK("https://pbs.twimg.com/profile_images/962471262747529216/Uo8lOkRJ_normal.jpg","View")</f>
        <v>View</v>
      </c>
      <c r="P4113" s="7"/>
    </row>
    <row r="4114" spans="1:16">
      <c r="A4114" s="3">
        <v>43916.126875000002</v>
      </c>
      <c r="B4114" s="4" t="str">
        <f>HYPERLINK("https://twitter.com/petrogustavo","@petrogustavo")</f>
        <v>@petrogustavo</v>
      </c>
      <c r="C4114" s="5" t="s">
        <v>16</v>
      </c>
      <c r="D4114" s="5" t="s">
        <v>4031</v>
      </c>
      <c r="E4114" s="6" t="str">
        <f>HYPERLINK("https://twitter.com/petrogustavo/status/1242927414885470208","1242927414885470208")</f>
        <v>1242927414885470208</v>
      </c>
      <c r="F4114" s="7" t="s">
        <v>17</v>
      </c>
      <c r="G4114" s="7">
        <v>3715109</v>
      </c>
      <c r="H4114" s="7">
        <v>2371</v>
      </c>
      <c r="I4114" s="7">
        <v>243</v>
      </c>
      <c r="J4114" s="7">
        <v>611</v>
      </c>
      <c r="K4114" s="7" t="s">
        <v>18</v>
      </c>
      <c r="L4114" s="8">
        <v>39987.315405092595</v>
      </c>
      <c r="M4114" s="9" t="s">
        <v>19</v>
      </c>
      <c r="N4114" s="9" t="s">
        <v>20</v>
      </c>
      <c r="O4114" s="6" t="str">
        <f>HYPERLINK("https://pbs.twimg.com/profile_images/962471262747529216/Uo8lOkRJ_normal.jpg","View")</f>
        <v>View</v>
      </c>
      <c r="P4114" s="7"/>
    </row>
    <row r="4115" spans="1:16">
      <c r="A4115" s="3">
        <v>43916.220150462963</v>
      </c>
      <c r="B4115" s="4" t="str">
        <f>HYPERLINK("https://twitter.com/petrogustavo","@petrogustavo")</f>
        <v>@petrogustavo</v>
      </c>
      <c r="C4115" s="5" t="s">
        <v>16</v>
      </c>
      <c r="D4115" s="5" t="s">
        <v>4032</v>
      </c>
      <c r="E4115" s="6" t="str">
        <f>HYPERLINK("https://twitter.com/petrogustavo/status/1242961214495481856","1242961214495481856")</f>
        <v>1242961214495481856</v>
      </c>
      <c r="F4115" s="7" t="s">
        <v>17</v>
      </c>
      <c r="G4115" s="7">
        <v>3715435</v>
      </c>
      <c r="H4115" s="7">
        <v>2371</v>
      </c>
      <c r="I4115" s="7">
        <v>31</v>
      </c>
      <c r="J4115" s="7">
        <v>0</v>
      </c>
      <c r="K4115" s="7" t="s">
        <v>18</v>
      </c>
      <c r="L4115" s="8">
        <v>39987.315405092595</v>
      </c>
      <c r="M4115" s="9" t="s">
        <v>19</v>
      </c>
      <c r="N4115" s="9" t="s">
        <v>20</v>
      </c>
      <c r="O4115" s="6" t="str">
        <f>HYPERLINK("https://pbs.twimg.com/profile_images/962471262747529216/Uo8lOkRJ_normal.jpg","View")</f>
        <v>View</v>
      </c>
      <c r="P4115" s="7"/>
    </row>
    <row r="4116" spans="1:16">
      <c r="A4116" s="3">
        <v>43916.221851851849</v>
      </c>
      <c r="B4116" s="4" t="str">
        <f>HYPERLINK("https://twitter.com/petrogustavo","@petrogustavo")</f>
        <v>@petrogustavo</v>
      </c>
      <c r="C4116" s="5" t="s">
        <v>16</v>
      </c>
      <c r="D4116" s="5" t="s">
        <v>4033</v>
      </c>
      <c r="E4116" s="6" t="str">
        <f>HYPERLINK("https://twitter.com/petrogustavo/status/1242961830739353600","1242961830739353600")</f>
        <v>1242961830739353600</v>
      </c>
      <c r="F4116" s="7" t="s">
        <v>17</v>
      </c>
      <c r="G4116" s="7">
        <v>3715435</v>
      </c>
      <c r="H4116" s="7">
        <v>2371</v>
      </c>
      <c r="I4116" s="7">
        <v>130</v>
      </c>
      <c r="J4116" s="7">
        <v>0</v>
      </c>
      <c r="K4116" s="7" t="s">
        <v>18</v>
      </c>
      <c r="L4116" s="8">
        <v>39987.315405092595</v>
      </c>
      <c r="M4116" s="9" t="s">
        <v>19</v>
      </c>
      <c r="N4116" s="9" t="s">
        <v>20</v>
      </c>
      <c r="O4116" s="6" t="str">
        <f>HYPERLINK("https://pbs.twimg.com/profile_images/962471262747529216/Uo8lOkRJ_normal.jpg","View")</f>
        <v>View</v>
      </c>
      <c r="P4116" s="7"/>
    </row>
    <row r="4117" spans="1:16">
      <c r="A4117" s="3">
        <v>43916.225300925929</v>
      </c>
      <c r="B4117" s="4" t="str">
        <f>HYPERLINK("https://twitter.com/petrogustavo","@petrogustavo")</f>
        <v>@petrogustavo</v>
      </c>
      <c r="C4117" s="5" t="s">
        <v>16</v>
      </c>
      <c r="D4117" s="5" t="s">
        <v>4034</v>
      </c>
      <c r="E4117" s="6" t="str">
        <f>HYPERLINK("https://twitter.com/petrogustavo/status/1242963079933149191","1242963079933149191")</f>
        <v>1242963079933149191</v>
      </c>
      <c r="F4117" s="7" t="s">
        <v>17</v>
      </c>
      <c r="G4117" s="7">
        <v>3715435</v>
      </c>
      <c r="H4117" s="7">
        <v>2371</v>
      </c>
      <c r="I4117" s="7">
        <v>62</v>
      </c>
      <c r="J4117" s="7">
        <v>157</v>
      </c>
      <c r="K4117" s="7" t="s">
        <v>18</v>
      </c>
      <c r="L4117" s="8">
        <v>39987.315405092595</v>
      </c>
      <c r="M4117" s="9" t="s">
        <v>19</v>
      </c>
      <c r="N4117" s="9" t="s">
        <v>20</v>
      </c>
      <c r="O4117" s="6" t="str">
        <f>HYPERLINK("https://pbs.twimg.com/profile_images/962471262747529216/Uo8lOkRJ_normal.jpg","View")</f>
        <v>View</v>
      </c>
      <c r="P4117" s="7"/>
    </row>
    <row r="4118" spans="1:16">
      <c r="A4118" s="3">
        <v>43916.227858796294</v>
      </c>
      <c r="B4118" s="4" t="str">
        <f>HYPERLINK("https://twitter.com/petrogustavo","@petrogustavo")</f>
        <v>@petrogustavo</v>
      </c>
      <c r="C4118" s="5" t="s">
        <v>16</v>
      </c>
      <c r="D4118" s="5" t="s">
        <v>4035</v>
      </c>
      <c r="E4118" s="6" t="str">
        <f>HYPERLINK("https://twitter.com/petrogustavo/status/1242964007759290368","1242964007759290368")</f>
        <v>1242964007759290368</v>
      </c>
      <c r="F4118" s="7" t="s">
        <v>17</v>
      </c>
      <c r="G4118" s="7">
        <v>3715435</v>
      </c>
      <c r="H4118" s="7">
        <v>2371</v>
      </c>
      <c r="I4118" s="7">
        <v>26</v>
      </c>
      <c r="J4118" s="7">
        <v>60</v>
      </c>
      <c r="K4118" s="7" t="s">
        <v>18</v>
      </c>
      <c r="L4118" s="8">
        <v>39987.315405092595</v>
      </c>
      <c r="M4118" s="9" t="s">
        <v>19</v>
      </c>
      <c r="N4118" s="9" t="s">
        <v>20</v>
      </c>
      <c r="O4118" s="6" t="str">
        <f>HYPERLINK("https://pbs.twimg.com/profile_images/962471262747529216/Uo8lOkRJ_normal.jpg","View")</f>
        <v>View</v>
      </c>
      <c r="P4118" s="7"/>
    </row>
    <row r="4119" spans="1:16">
      <c r="A4119" s="3">
        <v>43916.24145833333</v>
      </c>
      <c r="B4119" s="4" t="str">
        <f>HYPERLINK("https://twitter.com/petrogustavo","@petrogustavo")</f>
        <v>@petrogustavo</v>
      </c>
      <c r="C4119" s="5" t="s">
        <v>16</v>
      </c>
      <c r="D4119" s="5" t="s">
        <v>4036</v>
      </c>
      <c r="E4119" s="6" t="str">
        <f>HYPERLINK("https://twitter.com/petrogustavo/status/1242968938608279558","1242968938608279558")</f>
        <v>1242968938608279558</v>
      </c>
      <c r="F4119" s="7" t="s">
        <v>17</v>
      </c>
      <c r="G4119" s="7">
        <v>3715667</v>
      </c>
      <c r="H4119" s="7">
        <v>2371</v>
      </c>
      <c r="I4119" s="7">
        <v>77</v>
      </c>
      <c r="J4119" s="7">
        <v>217</v>
      </c>
      <c r="K4119" s="7" t="s">
        <v>18</v>
      </c>
      <c r="L4119" s="8">
        <v>39987.315405092595</v>
      </c>
      <c r="M4119" s="9" t="s">
        <v>19</v>
      </c>
      <c r="N4119" s="9" t="s">
        <v>20</v>
      </c>
      <c r="O4119" s="6" t="str">
        <f>HYPERLINK("https://pbs.twimg.com/profile_images/962471262747529216/Uo8lOkRJ_normal.jpg","View")</f>
        <v>View</v>
      </c>
      <c r="P4119" s="7"/>
    </row>
    <row r="4120" spans="1:16">
      <c r="A4120" s="3">
        <v>43916.24417824074</v>
      </c>
      <c r="B4120" s="4" t="str">
        <f>HYPERLINK("https://twitter.com/petrogustavo","@petrogustavo")</f>
        <v>@petrogustavo</v>
      </c>
      <c r="C4120" s="5" t="s">
        <v>16</v>
      </c>
      <c r="D4120" s="5" t="s">
        <v>4037</v>
      </c>
      <c r="E4120" s="6" t="str">
        <f>HYPERLINK("https://twitter.com/petrogustavo/status/1242969921778319360","1242969921778319360")</f>
        <v>1242969921778319360</v>
      </c>
      <c r="F4120" s="7" t="s">
        <v>17</v>
      </c>
      <c r="G4120" s="7">
        <v>3715667</v>
      </c>
      <c r="H4120" s="7">
        <v>2371</v>
      </c>
      <c r="I4120" s="7">
        <v>1085</v>
      </c>
      <c r="J4120" s="7">
        <v>0</v>
      </c>
      <c r="K4120" s="7" t="s">
        <v>18</v>
      </c>
      <c r="L4120" s="8">
        <v>39987.315405092595</v>
      </c>
      <c r="M4120" s="9" t="s">
        <v>19</v>
      </c>
      <c r="N4120" s="9" t="s">
        <v>20</v>
      </c>
      <c r="O4120" s="6" t="str">
        <f>HYPERLINK("https://pbs.twimg.com/profile_images/962471262747529216/Uo8lOkRJ_normal.jpg","View")</f>
        <v>View</v>
      </c>
      <c r="P4120" s="7"/>
    </row>
    <row r="4121" spans="1:16">
      <c r="A4121" s="3">
        <v>43916.244560185187</v>
      </c>
      <c r="B4121" s="4" t="str">
        <f>HYPERLINK("https://twitter.com/petrogustavo","@petrogustavo")</f>
        <v>@petrogustavo</v>
      </c>
      <c r="C4121" s="5" t="s">
        <v>16</v>
      </c>
      <c r="D4121" s="5" t="s">
        <v>4038</v>
      </c>
      <c r="E4121" s="6" t="str">
        <f>HYPERLINK("https://twitter.com/petrogustavo/status/1242970059686973445","1242970059686973445")</f>
        <v>1242970059686973445</v>
      </c>
      <c r="F4121" s="7" t="s">
        <v>17</v>
      </c>
      <c r="G4121" s="7">
        <v>3715667</v>
      </c>
      <c r="H4121" s="7">
        <v>2371</v>
      </c>
      <c r="I4121" s="7">
        <v>53</v>
      </c>
      <c r="J4121" s="7">
        <v>0</v>
      </c>
      <c r="K4121" s="7" t="s">
        <v>18</v>
      </c>
      <c r="L4121" s="8">
        <v>39987.315405092595</v>
      </c>
      <c r="M4121" s="9" t="s">
        <v>19</v>
      </c>
      <c r="N4121" s="9" t="s">
        <v>20</v>
      </c>
      <c r="O4121" s="6" t="str">
        <f>HYPERLINK("https://pbs.twimg.com/profile_images/962471262747529216/Uo8lOkRJ_normal.jpg","View")</f>
        <v>View</v>
      </c>
      <c r="P4121" s="7"/>
    </row>
    <row r="4122" spans="1:16">
      <c r="A4122" s="3">
        <v>43916.252164351856</v>
      </c>
      <c r="B4122" s="4" t="str">
        <f>HYPERLINK("https://twitter.com/petrogustavo","@petrogustavo")</f>
        <v>@petrogustavo</v>
      </c>
      <c r="C4122" s="5" t="s">
        <v>16</v>
      </c>
      <c r="D4122" s="5" t="s">
        <v>4039</v>
      </c>
      <c r="E4122" s="6" t="str">
        <f>HYPERLINK("https://twitter.com/petrogustavo/status/1242972815634169858","1242972815634169858")</f>
        <v>1242972815634169858</v>
      </c>
      <c r="F4122" s="7" t="s">
        <v>17</v>
      </c>
      <c r="G4122" s="7">
        <v>3715770</v>
      </c>
      <c r="H4122" s="7">
        <v>2371</v>
      </c>
      <c r="I4122" s="7">
        <v>114</v>
      </c>
      <c r="J4122" s="7">
        <v>296</v>
      </c>
      <c r="K4122" s="7" t="s">
        <v>18</v>
      </c>
      <c r="L4122" s="8">
        <v>39987.315405092595</v>
      </c>
      <c r="M4122" s="9" t="s">
        <v>19</v>
      </c>
      <c r="N4122" s="9" t="s">
        <v>20</v>
      </c>
      <c r="O4122" s="6" t="str">
        <f>HYPERLINK("https://pbs.twimg.com/profile_images/962471262747529216/Uo8lOkRJ_normal.jpg","View")</f>
        <v>View</v>
      </c>
      <c r="P4122" s="7"/>
    </row>
    <row r="4123" spans="1:16">
      <c r="A4123" s="3">
        <v>43916.252175925925</v>
      </c>
      <c r="B4123" s="4" t="str">
        <f>HYPERLINK("https://twitter.com/petrogustavo","@petrogustavo")</f>
        <v>@petrogustavo</v>
      </c>
      <c r="C4123" s="5" t="s">
        <v>16</v>
      </c>
      <c r="D4123" s="5" t="s">
        <v>4040</v>
      </c>
      <c r="E4123" s="6" t="str">
        <f>HYPERLINK("https://twitter.com/petrogustavo/status/1242972819299930113","1242972819299930113")</f>
        <v>1242972819299930113</v>
      </c>
      <c r="F4123" s="7" t="s">
        <v>17</v>
      </c>
      <c r="G4123" s="7">
        <v>3715770</v>
      </c>
      <c r="H4123" s="7">
        <v>2371</v>
      </c>
      <c r="I4123" s="7">
        <v>73</v>
      </c>
      <c r="J4123" s="7">
        <v>203</v>
      </c>
      <c r="K4123" s="7" t="s">
        <v>18</v>
      </c>
      <c r="L4123" s="8">
        <v>39987.315405092595</v>
      </c>
      <c r="M4123" s="9" t="s">
        <v>19</v>
      </c>
      <c r="N4123" s="9" t="s">
        <v>20</v>
      </c>
      <c r="O4123" s="6" t="str">
        <f>HYPERLINK("https://pbs.twimg.com/profile_images/962471262747529216/Uo8lOkRJ_normal.jpg","View")</f>
        <v>View</v>
      </c>
      <c r="P4123" s="7"/>
    </row>
    <row r="4124" spans="1:16">
      <c r="A4124" s="3">
        <v>43916.254444444443</v>
      </c>
      <c r="B4124" s="4" t="str">
        <f>HYPERLINK("https://twitter.com/petrogustavo","@petrogustavo")</f>
        <v>@petrogustavo</v>
      </c>
      <c r="C4124" s="5" t="s">
        <v>16</v>
      </c>
      <c r="D4124" s="5" t="s">
        <v>4041</v>
      </c>
      <c r="E4124" s="6" t="str">
        <f>HYPERLINK("https://twitter.com/petrogustavo/status/1242973641983299593","1242973641983299593")</f>
        <v>1242973641983299593</v>
      </c>
      <c r="F4124" s="7" t="s">
        <v>17</v>
      </c>
      <c r="G4124" s="7">
        <v>3715770</v>
      </c>
      <c r="H4124" s="7">
        <v>2371</v>
      </c>
      <c r="I4124" s="7">
        <v>251</v>
      </c>
      <c r="J4124" s="7">
        <v>532</v>
      </c>
      <c r="K4124" s="7" t="s">
        <v>18</v>
      </c>
      <c r="L4124" s="8">
        <v>39987.315405092595</v>
      </c>
      <c r="M4124" s="9" t="s">
        <v>19</v>
      </c>
      <c r="N4124" s="9" t="s">
        <v>20</v>
      </c>
      <c r="O4124" s="6" t="str">
        <f>HYPERLINK("https://pbs.twimg.com/profile_images/962471262747529216/Uo8lOkRJ_normal.jpg","View")</f>
        <v>View</v>
      </c>
      <c r="P4124" s="7"/>
    </row>
    <row r="4125" spans="1:16">
      <c r="A4125" s="3">
        <v>43916.257696759261</v>
      </c>
      <c r="B4125" s="4" t="str">
        <f>HYPERLINK("https://twitter.com/petrogustavo","@petrogustavo")</f>
        <v>@petrogustavo</v>
      </c>
      <c r="C4125" s="5" t="s">
        <v>16</v>
      </c>
      <c r="D4125" s="5" t="s">
        <v>4042</v>
      </c>
      <c r="E4125" s="6" t="str">
        <f>HYPERLINK("https://twitter.com/petrogustavo/status/1242974820364681218","1242974820364681218")</f>
        <v>1242974820364681218</v>
      </c>
      <c r="F4125" s="7" t="s">
        <v>17</v>
      </c>
      <c r="G4125" s="7">
        <v>3715770</v>
      </c>
      <c r="H4125" s="7">
        <v>2371</v>
      </c>
      <c r="I4125" s="7">
        <v>102</v>
      </c>
      <c r="J4125" s="7">
        <v>222</v>
      </c>
      <c r="K4125" s="7" t="s">
        <v>18</v>
      </c>
      <c r="L4125" s="8">
        <v>39987.315405092595</v>
      </c>
      <c r="M4125" s="9" t="s">
        <v>19</v>
      </c>
      <c r="N4125" s="9" t="s">
        <v>20</v>
      </c>
      <c r="O4125" s="6" t="str">
        <f>HYPERLINK("https://pbs.twimg.com/profile_images/962471262747529216/Uo8lOkRJ_normal.jpg","View")</f>
        <v>View</v>
      </c>
      <c r="P4125" s="7"/>
    </row>
    <row r="4126" spans="1:16">
      <c r="A4126" s="3">
        <v>43916.26489583333</v>
      </c>
      <c r="B4126" s="4" t="str">
        <f>HYPERLINK("https://twitter.com/petrogustavo","@petrogustavo")</f>
        <v>@petrogustavo</v>
      </c>
      <c r="C4126" s="5" t="s">
        <v>16</v>
      </c>
      <c r="D4126" s="5" t="s">
        <v>4043</v>
      </c>
      <c r="E4126" s="6" t="str">
        <f>HYPERLINK("https://twitter.com/petrogustavo/status/1242977429456633856","1242977429456633856")</f>
        <v>1242977429456633856</v>
      </c>
      <c r="F4126" s="7" t="s">
        <v>17</v>
      </c>
      <c r="G4126" s="7">
        <v>3715770</v>
      </c>
      <c r="H4126" s="7">
        <v>2371</v>
      </c>
      <c r="I4126" s="7">
        <v>336</v>
      </c>
      <c r="J4126" s="7">
        <v>0</v>
      </c>
      <c r="K4126" s="7" t="s">
        <v>18</v>
      </c>
      <c r="L4126" s="8">
        <v>39987.315405092595</v>
      </c>
      <c r="M4126" s="9" t="s">
        <v>19</v>
      </c>
      <c r="N4126" s="9" t="s">
        <v>20</v>
      </c>
      <c r="O4126" s="6" t="str">
        <f>HYPERLINK("https://pbs.twimg.com/profile_images/962471262747529216/Uo8lOkRJ_normal.jpg","View")</f>
        <v>View</v>
      </c>
      <c r="P4126" s="7"/>
    </row>
    <row r="4127" spans="1:16">
      <c r="A4127" s="3">
        <v>43916.321620370371</v>
      </c>
      <c r="B4127" s="4" t="str">
        <f>HYPERLINK("https://twitter.com/petrogustavo","@petrogustavo")</f>
        <v>@petrogustavo</v>
      </c>
      <c r="C4127" s="5" t="s">
        <v>16</v>
      </c>
      <c r="D4127" s="5" t="s">
        <v>4044</v>
      </c>
      <c r="E4127" s="6" t="str">
        <f>HYPERLINK("https://twitter.com/petrogustavo/status/1242997986596204549","1242997986596204549")</f>
        <v>1242997986596204549</v>
      </c>
      <c r="F4127" s="7" t="s">
        <v>17</v>
      </c>
      <c r="G4127" s="7">
        <v>3715990</v>
      </c>
      <c r="H4127" s="7">
        <v>2371</v>
      </c>
      <c r="I4127" s="7">
        <v>260</v>
      </c>
      <c r="J4127" s="7">
        <v>724</v>
      </c>
      <c r="K4127" s="7" t="s">
        <v>18</v>
      </c>
      <c r="L4127" s="8">
        <v>39987.315405092595</v>
      </c>
      <c r="M4127" s="9" t="s">
        <v>19</v>
      </c>
      <c r="N4127" s="9" t="s">
        <v>20</v>
      </c>
      <c r="O4127" s="6" t="str">
        <f>HYPERLINK("https://pbs.twimg.com/profile_images/962471262747529216/Uo8lOkRJ_normal.jpg","View")</f>
        <v>View</v>
      </c>
      <c r="P4127" s="7"/>
    </row>
    <row r="4128" spans="1:16">
      <c r="A4128" s="3">
        <v>43916.327291666668</v>
      </c>
      <c r="B4128" s="4" t="str">
        <f>HYPERLINK("https://twitter.com/petrogustavo","@petrogustavo")</f>
        <v>@petrogustavo</v>
      </c>
      <c r="C4128" s="5" t="s">
        <v>16</v>
      </c>
      <c r="D4128" s="5" t="s">
        <v>4045</v>
      </c>
      <c r="E4128" s="6" t="str">
        <f>HYPERLINK("https://twitter.com/petrogustavo/status/1243000041855488001","1243000041855488001")</f>
        <v>1243000041855488001</v>
      </c>
      <c r="F4128" s="7" t="s">
        <v>17</v>
      </c>
      <c r="G4128" s="7">
        <v>3715990</v>
      </c>
      <c r="H4128" s="7">
        <v>2371</v>
      </c>
      <c r="I4128" s="7">
        <v>91</v>
      </c>
      <c r="J4128" s="7">
        <v>263</v>
      </c>
      <c r="K4128" s="7" t="s">
        <v>18</v>
      </c>
      <c r="L4128" s="8">
        <v>39987.315405092595</v>
      </c>
      <c r="M4128" s="9" t="s">
        <v>19</v>
      </c>
      <c r="N4128" s="9" t="s">
        <v>20</v>
      </c>
      <c r="O4128" s="6" t="str">
        <f>HYPERLINK("https://pbs.twimg.com/profile_images/962471262747529216/Uo8lOkRJ_normal.jpg","View")</f>
        <v>View</v>
      </c>
      <c r="P4128" s="7"/>
    </row>
    <row r="4129" spans="1:16">
      <c r="A4129" s="3">
        <v>43916.327835648146</v>
      </c>
      <c r="B4129" s="4" t="str">
        <f>HYPERLINK("https://twitter.com/petrogustavo","@petrogustavo")</f>
        <v>@petrogustavo</v>
      </c>
      <c r="C4129" s="5" t="s">
        <v>16</v>
      </c>
      <c r="D4129" s="5" t="s">
        <v>4046</v>
      </c>
      <c r="E4129" s="6" t="str">
        <f>HYPERLINK("https://twitter.com/petrogustavo/status/1243000240057266176","1243000240057266176")</f>
        <v>1243000240057266176</v>
      </c>
      <c r="F4129" s="7" t="s">
        <v>17</v>
      </c>
      <c r="G4129" s="7">
        <v>3715990</v>
      </c>
      <c r="H4129" s="7">
        <v>2371</v>
      </c>
      <c r="I4129" s="7">
        <v>23</v>
      </c>
      <c r="J4129" s="7">
        <v>0</v>
      </c>
      <c r="K4129" s="7" t="s">
        <v>18</v>
      </c>
      <c r="L4129" s="8">
        <v>39987.315405092595</v>
      </c>
      <c r="M4129" s="9" t="s">
        <v>19</v>
      </c>
      <c r="N4129" s="9" t="s">
        <v>20</v>
      </c>
      <c r="O4129" s="6" t="str">
        <f>HYPERLINK("https://pbs.twimg.com/profile_images/962471262747529216/Uo8lOkRJ_normal.jpg","View")</f>
        <v>View</v>
      </c>
      <c r="P4129" s="7"/>
    </row>
    <row r="4130" spans="1:16">
      <c r="A4130" s="3">
        <v>43916.333020833335</v>
      </c>
      <c r="B4130" s="4" t="str">
        <f>HYPERLINK("https://twitter.com/petrogustavo","@petrogustavo")</f>
        <v>@petrogustavo</v>
      </c>
      <c r="C4130" s="5" t="s">
        <v>16</v>
      </c>
      <c r="D4130" s="5" t="s">
        <v>4047</v>
      </c>
      <c r="E4130" s="6" t="str">
        <f>HYPERLINK("https://twitter.com/petrogustavo/status/1243002118216339456","1243002118216339456")</f>
        <v>1243002118216339456</v>
      </c>
      <c r="F4130" s="7" t="s">
        <v>17</v>
      </c>
      <c r="G4130" s="7">
        <v>3715990</v>
      </c>
      <c r="H4130" s="7">
        <v>2371</v>
      </c>
      <c r="I4130" s="7">
        <v>84</v>
      </c>
      <c r="J4130" s="7">
        <v>249</v>
      </c>
      <c r="K4130" s="7" t="s">
        <v>18</v>
      </c>
      <c r="L4130" s="8">
        <v>39987.315405092595</v>
      </c>
      <c r="M4130" s="9" t="s">
        <v>19</v>
      </c>
      <c r="N4130" s="9" t="s">
        <v>20</v>
      </c>
      <c r="O4130" s="6" t="str">
        <f>HYPERLINK("https://pbs.twimg.com/profile_images/962471262747529216/Uo8lOkRJ_normal.jpg","View")</f>
        <v>View</v>
      </c>
      <c r="P4130" s="7"/>
    </row>
    <row r="4131" spans="1:16">
      <c r="A4131" s="3">
        <v>43916.336446759262</v>
      </c>
      <c r="B4131" s="4" t="str">
        <f>HYPERLINK("https://twitter.com/petrogustavo","@petrogustavo")</f>
        <v>@petrogustavo</v>
      </c>
      <c r="C4131" s="5" t="s">
        <v>16</v>
      </c>
      <c r="D4131" s="5" t="s">
        <v>4048</v>
      </c>
      <c r="E4131" s="6" t="str">
        <f>HYPERLINK("https://twitter.com/petrogustavo/status/1243003359533170689","1243003359533170689")</f>
        <v>1243003359533170689</v>
      </c>
      <c r="F4131" s="7" t="s">
        <v>17</v>
      </c>
      <c r="G4131" s="7">
        <v>3716090</v>
      </c>
      <c r="H4131" s="7">
        <v>2371</v>
      </c>
      <c r="I4131" s="7">
        <v>37</v>
      </c>
      <c r="J4131" s="7">
        <v>0</v>
      </c>
      <c r="K4131" s="7" t="s">
        <v>18</v>
      </c>
      <c r="L4131" s="8">
        <v>39987.315405092595</v>
      </c>
      <c r="M4131" s="9" t="s">
        <v>19</v>
      </c>
      <c r="N4131" s="9" t="s">
        <v>20</v>
      </c>
      <c r="O4131" s="6" t="str">
        <f>HYPERLINK("https://pbs.twimg.com/profile_images/962471262747529216/Uo8lOkRJ_normal.jpg","View")</f>
        <v>View</v>
      </c>
      <c r="P4131" s="7"/>
    </row>
    <row r="4132" spans="1:16">
      <c r="A4132" s="3">
        <v>43916.338078703702</v>
      </c>
      <c r="B4132" s="4" t="str">
        <f>HYPERLINK("https://twitter.com/petrogustavo","@petrogustavo")</f>
        <v>@petrogustavo</v>
      </c>
      <c r="C4132" s="5" t="s">
        <v>16</v>
      </c>
      <c r="D4132" s="5" t="s">
        <v>4049</v>
      </c>
      <c r="E4132" s="6" t="str">
        <f>HYPERLINK("https://twitter.com/petrogustavo/status/1243003950443433984","1243003950443433984")</f>
        <v>1243003950443433984</v>
      </c>
      <c r="F4132" s="7" t="s">
        <v>17</v>
      </c>
      <c r="G4132" s="7">
        <v>3716090</v>
      </c>
      <c r="H4132" s="7">
        <v>2371</v>
      </c>
      <c r="I4132" s="7">
        <v>134</v>
      </c>
      <c r="J4132" s="7">
        <v>311</v>
      </c>
      <c r="K4132" s="7" t="s">
        <v>18</v>
      </c>
      <c r="L4132" s="8">
        <v>39987.315405092595</v>
      </c>
      <c r="M4132" s="9" t="s">
        <v>19</v>
      </c>
      <c r="N4132" s="9" t="s">
        <v>20</v>
      </c>
      <c r="O4132" s="6" t="str">
        <f>HYPERLINK("https://pbs.twimg.com/profile_images/962471262747529216/Uo8lOkRJ_normal.jpg","View")</f>
        <v>View</v>
      </c>
      <c r="P4132" s="7"/>
    </row>
    <row r="4133" spans="1:16">
      <c r="A4133" s="3">
        <v>43916.341620370367</v>
      </c>
      <c r="B4133" s="4" t="str">
        <f>HYPERLINK("https://twitter.com/petrogustavo","@petrogustavo")</f>
        <v>@petrogustavo</v>
      </c>
      <c r="C4133" s="5" t="s">
        <v>16</v>
      </c>
      <c r="D4133" s="5" t="s">
        <v>4050</v>
      </c>
      <c r="E4133" s="6" t="str">
        <f>HYPERLINK("https://twitter.com/petrogustavo/status/1243005232830976002","1243005232830976002")</f>
        <v>1243005232830976002</v>
      </c>
      <c r="F4133" s="7" t="s">
        <v>17</v>
      </c>
      <c r="G4133" s="7">
        <v>3716090</v>
      </c>
      <c r="H4133" s="7">
        <v>2371</v>
      </c>
      <c r="I4133" s="7">
        <v>114</v>
      </c>
      <c r="J4133" s="7">
        <v>197</v>
      </c>
      <c r="K4133" s="7" t="s">
        <v>18</v>
      </c>
      <c r="L4133" s="8">
        <v>39987.315405092595</v>
      </c>
      <c r="M4133" s="9" t="s">
        <v>19</v>
      </c>
      <c r="N4133" s="9" t="s">
        <v>20</v>
      </c>
      <c r="O4133" s="6" t="str">
        <f>HYPERLINK("https://pbs.twimg.com/profile_images/962471262747529216/Uo8lOkRJ_normal.jpg","View")</f>
        <v>View</v>
      </c>
      <c r="P4133" s="7"/>
    </row>
    <row r="4134" spans="1:16">
      <c r="A4134" s="3">
        <v>43916.346504629633</v>
      </c>
      <c r="B4134" s="4" t="str">
        <f>HYPERLINK("https://twitter.com/petrogustavo","@petrogustavo")</f>
        <v>@petrogustavo</v>
      </c>
      <c r="C4134" s="5" t="s">
        <v>16</v>
      </c>
      <c r="D4134" s="5" t="s">
        <v>4051</v>
      </c>
      <c r="E4134" s="6" t="str">
        <f>HYPERLINK("https://twitter.com/petrogustavo/status/1243007004169375746","1243007004169375746")</f>
        <v>1243007004169375746</v>
      </c>
      <c r="F4134" s="7" t="s">
        <v>17</v>
      </c>
      <c r="G4134" s="7">
        <v>3716090</v>
      </c>
      <c r="H4134" s="7">
        <v>2371</v>
      </c>
      <c r="I4134" s="7">
        <v>144</v>
      </c>
      <c r="J4134" s="7">
        <v>256</v>
      </c>
      <c r="K4134" s="7" t="s">
        <v>18</v>
      </c>
      <c r="L4134" s="8">
        <v>39987.315405092595</v>
      </c>
      <c r="M4134" s="9" t="s">
        <v>19</v>
      </c>
      <c r="N4134" s="9" t="s">
        <v>20</v>
      </c>
      <c r="O4134" s="6" t="str">
        <f>HYPERLINK("https://pbs.twimg.com/profile_images/962471262747529216/Uo8lOkRJ_normal.jpg","View")</f>
        <v>View</v>
      </c>
      <c r="P4134" s="7"/>
    </row>
    <row r="4135" spans="1:16">
      <c r="A4135" s="3">
        <v>43916.348530092597</v>
      </c>
      <c r="B4135" s="4" t="str">
        <f>HYPERLINK("https://twitter.com/petrogustavo","@petrogustavo")</f>
        <v>@petrogustavo</v>
      </c>
      <c r="C4135" s="5" t="s">
        <v>16</v>
      </c>
      <c r="D4135" s="5" t="s">
        <v>4052</v>
      </c>
      <c r="E4135" s="6" t="str">
        <f>HYPERLINK("https://twitter.com/petrogustavo/status/1243007737937756160","1243007737937756160")</f>
        <v>1243007737937756160</v>
      </c>
      <c r="F4135" s="7" t="s">
        <v>17</v>
      </c>
      <c r="G4135" s="7">
        <v>3716090</v>
      </c>
      <c r="H4135" s="7">
        <v>2371</v>
      </c>
      <c r="I4135" s="7">
        <v>73</v>
      </c>
      <c r="J4135" s="7">
        <v>0</v>
      </c>
      <c r="K4135" s="7" t="s">
        <v>18</v>
      </c>
      <c r="L4135" s="8">
        <v>39987.315405092595</v>
      </c>
      <c r="M4135" s="9" t="s">
        <v>19</v>
      </c>
      <c r="N4135" s="9" t="s">
        <v>20</v>
      </c>
      <c r="O4135" s="6" t="str">
        <f>HYPERLINK("https://pbs.twimg.com/profile_images/962471262747529216/Uo8lOkRJ_normal.jpg","View")</f>
        <v>View</v>
      </c>
      <c r="P4135" s="7"/>
    </row>
    <row r="4136" spans="1:16">
      <c r="A4136" s="3">
        <v>43916.350763888884</v>
      </c>
      <c r="B4136" s="4" t="str">
        <f>HYPERLINK("https://twitter.com/petrogustavo","@petrogustavo")</f>
        <v>@petrogustavo</v>
      </c>
      <c r="C4136" s="5" t="s">
        <v>16</v>
      </c>
      <c r="D4136" s="5" t="s">
        <v>4053</v>
      </c>
      <c r="E4136" s="6" t="str">
        <f>HYPERLINK("https://twitter.com/petrogustavo/status/1243008548122038272","1243008548122038272")</f>
        <v>1243008548122038272</v>
      </c>
      <c r="F4136" s="7" t="s">
        <v>17</v>
      </c>
      <c r="G4136" s="7">
        <v>3716090</v>
      </c>
      <c r="H4136" s="7">
        <v>2371</v>
      </c>
      <c r="I4136" s="7">
        <v>13</v>
      </c>
      <c r="J4136" s="7">
        <v>0</v>
      </c>
      <c r="K4136" s="7" t="s">
        <v>18</v>
      </c>
      <c r="L4136" s="8">
        <v>39987.315405092595</v>
      </c>
      <c r="M4136" s="9" t="s">
        <v>19</v>
      </c>
      <c r="N4136" s="9" t="s">
        <v>20</v>
      </c>
      <c r="O4136" s="6" t="str">
        <f>HYPERLINK("https://pbs.twimg.com/profile_images/962471262747529216/Uo8lOkRJ_normal.jpg","View")</f>
        <v>View</v>
      </c>
      <c r="P4136" s="7"/>
    </row>
    <row r="4137" spans="1:16">
      <c r="A4137" s="3">
        <v>43916.35355324074</v>
      </c>
      <c r="B4137" s="4" t="str">
        <f>HYPERLINK("https://twitter.com/petrogustavo","@petrogustavo")</f>
        <v>@petrogustavo</v>
      </c>
      <c r="C4137" s="5" t="s">
        <v>16</v>
      </c>
      <c r="D4137" s="5" t="s">
        <v>4054</v>
      </c>
      <c r="E4137" s="6" t="str">
        <f>HYPERLINK("https://twitter.com/petrogustavo/status/1243009558873878529","1243009558873878529")</f>
        <v>1243009558873878529</v>
      </c>
      <c r="F4137" s="7" t="s">
        <v>17</v>
      </c>
      <c r="G4137" s="7">
        <v>3716090</v>
      </c>
      <c r="H4137" s="7">
        <v>2371</v>
      </c>
      <c r="I4137" s="7">
        <v>41</v>
      </c>
      <c r="J4137" s="7">
        <v>94</v>
      </c>
      <c r="K4137" s="7" t="s">
        <v>18</v>
      </c>
      <c r="L4137" s="8">
        <v>39987.315405092595</v>
      </c>
      <c r="M4137" s="9" t="s">
        <v>19</v>
      </c>
      <c r="N4137" s="9" t="s">
        <v>20</v>
      </c>
      <c r="O4137" s="6" t="str">
        <f>HYPERLINK("https://pbs.twimg.com/profile_images/962471262747529216/Uo8lOkRJ_normal.jpg","View")</f>
        <v>View</v>
      </c>
      <c r="P4137" s="7"/>
    </row>
    <row r="4138" spans="1:16">
      <c r="A4138" s="3">
        <v>43916.356736111113</v>
      </c>
      <c r="B4138" s="4" t="str">
        <f>HYPERLINK("https://twitter.com/petrogustavo","@petrogustavo")</f>
        <v>@petrogustavo</v>
      </c>
      <c r="C4138" s="5" t="s">
        <v>16</v>
      </c>
      <c r="D4138" s="5" t="s">
        <v>4055</v>
      </c>
      <c r="E4138" s="6" t="str">
        <f>HYPERLINK("https://twitter.com/petrogustavo/status/1243010711405711361","1243010711405711361")</f>
        <v>1243010711405711361</v>
      </c>
      <c r="F4138" s="7" t="s">
        <v>17</v>
      </c>
      <c r="G4138" s="7">
        <v>3716185</v>
      </c>
      <c r="H4138" s="7">
        <v>2371</v>
      </c>
      <c r="I4138" s="7">
        <v>120</v>
      </c>
      <c r="J4138" s="7">
        <v>0</v>
      </c>
      <c r="K4138" s="7" t="s">
        <v>18</v>
      </c>
      <c r="L4138" s="8">
        <v>39987.315405092595</v>
      </c>
      <c r="M4138" s="9" t="s">
        <v>19</v>
      </c>
      <c r="N4138" s="9" t="s">
        <v>20</v>
      </c>
      <c r="O4138" s="6" t="str">
        <f>HYPERLINK("https://pbs.twimg.com/profile_images/962471262747529216/Uo8lOkRJ_normal.jpg","View")</f>
        <v>View</v>
      </c>
      <c r="P4138" s="7"/>
    </row>
    <row r="4139" spans="1:16">
      <c r="A4139" s="3">
        <v>43916.364120370374</v>
      </c>
      <c r="B4139" s="4" t="str">
        <f>HYPERLINK("https://twitter.com/petrogustavo","@petrogustavo")</f>
        <v>@petrogustavo</v>
      </c>
      <c r="C4139" s="5" t="s">
        <v>16</v>
      </c>
      <c r="D4139" s="5" t="s">
        <v>4056</v>
      </c>
      <c r="E4139" s="6" t="str">
        <f>HYPERLINK("https://twitter.com/petrogustavo/status/1243013387396808704","1243013387396808704")</f>
        <v>1243013387396808704</v>
      </c>
      <c r="F4139" s="7" t="s">
        <v>17</v>
      </c>
      <c r="G4139" s="7">
        <v>3716185</v>
      </c>
      <c r="H4139" s="7">
        <v>2371</v>
      </c>
      <c r="I4139" s="7">
        <v>41</v>
      </c>
      <c r="J4139" s="7">
        <v>0</v>
      </c>
      <c r="K4139" s="7" t="s">
        <v>18</v>
      </c>
      <c r="L4139" s="8">
        <v>39987.315405092595</v>
      </c>
      <c r="M4139" s="9" t="s">
        <v>19</v>
      </c>
      <c r="N4139" s="9" t="s">
        <v>20</v>
      </c>
      <c r="O4139" s="6" t="str">
        <f>HYPERLINK("https://pbs.twimg.com/profile_images/962471262747529216/Uo8lOkRJ_normal.jpg","View")</f>
        <v>View</v>
      </c>
      <c r="P4139" s="7"/>
    </row>
    <row r="4140" spans="1:16">
      <c r="A4140" s="3">
        <v>43916.369050925925</v>
      </c>
      <c r="B4140" s="4" t="str">
        <f>HYPERLINK("https://twitter.com/petrogustavo","@petrogustavo")</f>
        <v>@petrogustavo</v>
      </c>
      <c r="C4140" s="5" t="s">
        <v>16</v>
      </c>
      <c r="D4140" s="5" t="s">
        <v>4057</v>
      </c>
      <c r="E4140" s="6" t="str">
        <f>HYPERLINK("https://twitter.com/petrogustavo/status/1243015176800079875","1243015176800079875")</f>
        <v>1243015176800079875</v>
      </c>
      <c r="F4140" s="7" t="s">
        <v>17</v>
      </c>
      <c r="G4140" s="7">
        <v>3716185</v>
      </c>
      <c r="H4140" s="7">
        <v>2371</v>
      </c>
      <c r="I4140" s="7">
        <v>97</v>
      </c>
      <c r="J4140" s="7">
        <v>256</v>
      </c>
      <c r="K4140" s="7" t="s">
        <v>18</v>
      </c>
      <c r="L4140" s="8">
        <v>39987.315405092595</v>
      </c>
      <c r="M4140" s="9" t="s">
        <v>19</v>
      </c>
      <c r="N4140" s="9" t="s">
        <v>20</v>
      </c>
      <c r="O4140" s="6" t="str">
        <f>HYPERLINK("https://pbs.twimg.com/profile_images/962471262747529216/Uo8lOkRJ_normal.jpg","View")</f>
        <v>View</v>
      </c>
      <c r="P4140" s="7"/>
    </row>
    <row r="4141" spans="1:16">
      <c r="A4141" s="3">
        <v>43916.382314814815</v>
      </c>
      <c r="B4141" s="4" t="str">
        <f>HYPERLINK("https://twitter.com/petrogustavo","@petrogustavo")</f>
        <v>@petrogustavo</v>
      </c>
      <c r="C4141" s="5" t="s">
        <v>16</v>
      </c>
      <c r="D4141" s="5" t="s">
        <v>4058</v>
      </c>
      <c r="E4141" s="6" t="str">
        <f>HYPERLINK("https://twitter.com/petrogustavo/status/1243019981123719168","1243019981123719168")</f>
        <v>1243019981123719168</v>
      </c>
      <c r="F4141" s="7" t="s">
        <v>17</v>
      </c>
      <c r="G4141" s="7">
        <v>3716296</v>
      </c>
      <c r="H4141" s="7">
        <v>2371</v>
      </c>
      <c r="I4141" s="7">
        <v>100</v>
      </c>
      <c r="J4141" s="7">
        <v>398</v>
      </c>
      <c r="K4141" s="7" t="s">
        <v>18</v>
      </c>
      <c r="L4141" s="8">
        <v>39987.315405092595</v>
      </c>
      <c r="M4141" s="9" t="s">
        <v>19</v>
      </c>
      <c r="N4141" s="9" t="s">
        <v>20</v>
      </c>
      <c r="O4141" s="6" t="str">
        <f>HYPERLINK("https://pbs.twimg.com/profile_images/962471262747529216/Uo8lOkRJ_normal.jpg","View")</f>
        <v>View</v>
      </c>
      <c r="P4141" s="7"/>
    </row>
    <row r="4142" spans="1:16">
      <c r="A4142" s="3">
        <v>43916.384293981479</v>
      </c>
      <c r="B4142" s="4" t="str">
        <f>HYPERLINK("https://twitter.com/petrogustavo","@petrogustavo")</f>
        <v>@petrogustavo</v>
      </c>
      <c r="C4142" s="5" t="s">
        <v>16</v>
      </c>
      <c r="D4142" s="5" t="s">
        <v>4059</v>
      </c>
      <c r="E4142" s="6" t="str">
        <f>HYPERLINK("https://twitter.com/petrogustavo/status/1243020697938649089","1243020697938649089")</f>
        <v>1243020697938649089</v>
      </c>
      <c r="F4142" s="7" t="s">
        <v>17</v>
      </c>
      <c r="G4142" s="7">
        <v>3716296</v>
      </c>
      <c r="H4142" s="7">
        <v>2371</v>
      </c>
      <c r="I4142" s="7">
        <v>275</v>
      </c>
      <c r="J4142" s="7">
        <v>0</v>
      </c>
      <c r="K4142" s="7" t="s">
        <v>18</v>
      </c>
      <c r="L4142" s="8">
        <v>39987.315405092595</v>
      </c>
      <c r="M4142" s="9" t="s">
        <v>19</v>
      </c>
      <c r="N4142" s="9" t="s">
        <v>20</v>
      </c>
      <c r="O4142" s="6" t="str">
        <f>HYPERLINK("https://pbs.twimg.com/profile_images/962471262747529216/Uo8lOkRJ_normal.jpg","View")</f>
        <v>View</v>
      </c>
      <c r="P4142" s="7"/>
    </row>
    <row r="4143" spans="1:16">
      <c r="A4143" s="3">
        <v>43916.401562500003</v>
      </c>
      <c r="B4143" s="4" t="str">
        <f>HYPERLINK("https://twitter.com/petrogustavo","@petrogustavo")</f>
        <v>@petrogustavo</v>
      </c>
      <c r="C4143" s="5" t="s">
        <v>16</v>
      </c>
      <c r="D4143" s="5" t="s">
        <v>4060</v>
      </c>
      <c r="E4143" s="6" t="str">
        <f>HYPERLINK("https://twitter.com/petrogustavo/status/1243026957995999238","1243026957995999238")</f>
        <v>1243026957995999238</v>
      </c>
      <c r="F4143" s="7" t="s">
        <v>17</v>
      </c>
      <c r="G4143" s="7">
        <v>3716375</v>
      </c>
      <c r="H4143" s="7">
        <v>2371</v>
      </c>
      <c r="I4143" s="7">
        <v>111</v>
      </c>
      <c r="J4143" s="7">
        <v>299</v>
      </c>
      <c r="K4143" s="7" t="s">
        <v>18</v>
      </c>
      <c r="L4143" s="8">
        <v>39987.315405092595</v>
      </c>
      <c r="M4143" s="9" t="s">
        <v>19</v>
      </c>
      <c r="N4143" s="9" t="s">
        <v>20</v>
      </c>
      <c r="O4143" s="6" t="str">
        <f>HYPERLINK("https://pbs.twimg.com/profile_images/962471262747529216/Uo8lOkRJ_normal.jpg","View")</f>
        <v>View</v>
      </c>
      <c r="P4143" s="7"/>
    </row>
    <row r="4144" spans="1:16">
      <c r="A4144" s="3">
        <v>43916.728958333333</v>
      </c>
      <c r="B4144" s="4" t="str">
        <f>HYPERLINK("https://twitter.com/petrogustavo","@petrogustavo")</f>
        <v>@petrogustavo</v>
      </c>
      <c r="C4144" s="5" t="s">
        <v>16</v>
      </c>
      <c r="D4144" s="5" t="s">
        <v>4061</v>
      </c>
      <c r="E4144" s="6" t="str">
        <f>HYPERLINK("https://twitter.com/petrogustavo/status/1243145600981512193","1243145600981512193")</f>
        <v>1243145600981512193</v>
      </c>
      <c r="F4144" s="7" t="s">
        <v>17</v>
      </c>
      <c r="G4144" s="7">
        <v>3716834</v>
      </c>
      <c r="H4144" s="7">
        <v>2371</v>
      </c>
      <c r="I4144" s="7">
        <v>14</v>
      </c>
      <c r="J4144" s="7">
        <v>27</v>
      </c>
      <c r="K4144" s="7" t="s">
        <v>18</v>
      </c>
      <c r="L4144" s="8">
        <v>39987.315405092595</v>
      </c>
      <c r="M4144" s="9" t="s">
        <v>19</v>
      </c>
      <c r="N4144" s="9" t="s">
        <v>20</v>
      </c>
      <c r="O4144" s="6" t="str">
        <f>HYPERLINK("https://pbs.twimg.com/profile_images/962471262747529216/Uo8lOkRJ_normal.jpg","View")</f>
        <v>View</v>
      </c>
      <c r="P4144" s="7"/>
    </row>
    <row r="4145" spans="1:16">
      <c r="A4145" s="3">
        <v>43916.739884259259</v>
      </c>
      <c r="B4145" s="4" t="str">
        <f>HYPERLINK("https://twitter.com/petrogustavo","@petrogustavo")</f>
        <v>@petrogustavo</v>
      </c>
      <c r="C4145" s="5" t="s">
        <v>16</v>
      </c>
      <c r="D4145" s="5" t="s">
        <v>4062</v>
      </c>
      <c r="E4145" s="6" t="str">
        <f>HYPERLINK("https://twitter.com/petrogustavo/status/1243149561025232898","1243149561025232898")</f>
        <v>1243149561025232898</v>
      </c>
      <c r="F4145" s="7" t="s">
        <v>17</v>
      </c>
      <c r="G4145" s="7">
        <v>3716912</v>
      </c>
      <c r="H4145" s="7">
        <v>2371</v>
      </c>
      <c r="I4145" s="7">
        <v>68</v>
      </c>
      <c r="J4145" s="7">
        <v>96</v>
      </c>
      <c r="K4145" s="7" t="s">
        <v>18</v>
      </c>
      <c r="L4145" s="8">
        <v>39987.315405092595</v>
      </c>
      <c r="M4145" s="9" t="s">
        <v>19</v>
      </c>
      <c r="N4145" s="9" t="s">
        <v>20</v>
      </c>
      <c r="O4145" s="6" t="str">
        <f>HYPERLINK("https://pbs.twimg.com/profile_images/962471262747529216/Uo8lOkRJ_normal.jpg","View")</f>
        <v>View</v>
      </c>
      <c r="P4145" s="7"/>
    </row>
    <row r="4146" spans="1:16">
      <c r="A4146" s="3">
        <v>43916.743113425924</v>
      </c>
      <c r="B4146" s="4" t="str">
        <f>HYPERLINK("https://twitter.com/petrogustavo","@petrogustavo")</f>
        <v>@petrogustavo</v>
      </c>
      <c r="C4146" s="5" t="s">
        <v>16</v>
      </c>
      <c r="D4146" s="5" t="s">
        <v>4063</v>
      </c>
      <c r="E4146" s="6" t="str">
        <f>HYPERLINK("https://twitter.com/petrogustavo/status/1243150732511064065","1243150732511064065")</f>
        <v>1243150732511064065</v>
      </c>
      <c r="F4146" s="7" t="s">
        <v>17</v>
      </c>
      <c r="G4146" s="7">
        <v>3716912</v>
      </c>
      <c r="H4146" s="7">
        <v>2371</v>
      </c>
      <c r="I4146" s="7">
        <v>24</v>
      </c>
      <c r="J4146" s="7">
        <v>50</v>
      </c>
      <c r="K4146" s="7" t="s">
        <v>18</v>
      </c>
      <c r="L4146" s="8">
        <v>39987.315405092595</v>
      </c>
      <c r="M4146" s="9" t="s">
        <v>19</v>
      </c>
      <c r="N4146" s="9" t="s">
        <v>20</v>
      </c>
      <c r="O4146" s="6" t="str">
        <f>HYPERLINK("https://pbs.twimg.com/profile_images/962471262747529216/Uo8lOkRJ_normal.jpg","View")</f>
        <v>View</v>
      </c>
      <c r="P4146" s="7"/>
    </row>
    <row r="4147" spans="1:16">
      <c r="A4147" s="3">
        <v>43916.74518518518</v>
      </c>
      <c r="B4147" s="4" t="str">
        <f>HYPERLINK("https://twitter.com/petrogustavo","@petrogustavo")</f>
        <v>@petrogustavo</v>
      </c>
      <c r="C4147" s="5" t="s">
        <v>16</v>
      </c>
      <c r="D4147" s="5" t="s">
        <v>4064</v>
      </c>
      <c r="E4147" s="6" t="str">
        <f>HYPERLINK("https://twitter.com/petrogustavo/status/1243151482578440192","1243151482578440192")</f>
        <v>1243151482578440192</v>
      </c>
      <c r="F4147" s="7" t="s">
        <v>17</v>
      </c>
      <c r="G4147" s="7">
        <v>3716912</v>
      </c>
      <c r="H4147" s="7">
        <v>2371</v>
      </c>
      <c r="I4147" s="7">
        <v>29</v>
      </c>
      <c r="J4147" s="7">
        <v>50</v>
      </c>
      <c r="K4147" s="7" t="s">
        <v>18</v>
      </c>
      <c r="L4147" s="8">
        <v>39987.315405092595</v>
      </c>
      <c r="M4147" s="9" t="s">
        <v>19</v>
      </c>
      <c r="N4147" s="9" t="s">
        <v>20</v>
      </c>
      <c r="O4147" s="6" t="str">
        <f>HYPERLINK("https://pbs.twimg.com/profile_images/962471262747529216/Uo8lOkRJ_normal.jpg","View")</f>
        <v>View</v>
      </c>
      <c r="P4147" s="7"/>
    </row>
    <row r="4148" spans="1:16">
      <c r="A4148" s="3">
        <v>43916.752245370371</v>
      </c>
      <c r="B4148" s="4" t="str">
        <f>HYPERLINK("https://twitter.com/petrogustavo","@petrogustavo")</f>
        <v>@petrogustavo</v>
      </c>
      <c r="C4148" s="5" t="s">
        <v>16</v>
      </c>
      <c r="D4148" s="5" t="s">
        <v>4065</v>
      </c>
      <c r="E4148" s="6" t="str">
        <f>HYPERLINK("https://twitter.com/petrogustavo/status/1243154038008557570","1243154038008557570")</f>
        <v>1243154038008557570</v>
      </c>
      <c r="F4148" s="7" t="s">
        <v>17</v>
      </c>
      <c r="G4148" s="7">
        <v>3716985</v>
      </c>
      <c r="H4148" s="7">
        <v>2371</v>
      </c>
      <c r="I4148" s="7">
        <v>104</v>
      </c>
      <c r="J4148" s="7">
        <v>328</v>
      </c>
      <c r="K4148" s="7" t="s">
        <v>18</v>
      </c>
      <c r="L4148" s="8">
        <v>39987.315405092595</v>
      </c>
      <c r="M4148" s="9" t="s">
        <v>19</v>
      </c>
      <c r="N4148" s="9" t="s">
        <v>20</v>
      </c>
      <c r="O4148" s="6" t="str">
        <f>HYPERLINK("https://pbs.twimg.com/profile_images/962471262747529216/Uo8lOkRJ_normal.jpg","View")</f>
        <v>View</v>
      </c>
      <c r="P4148" s="7"/>
    </row>
    <row r="4149" spans="1:16">
      <c r="A4149" s="3">
        <v>43916.755601851852</v>
      </c>
      <c r="B4149" s="4" t="str">
        <f>HYPERLINK("https://twitter.com/petrogustavo","@petrogustavo")</f>
        <v>@petrogustavo</v>
      </c>
      <c r="C4149" s="5" t="s">
        <v>16</v>
      </c>
      <c r="D4149" s="5" t="s">
        <v>4066</v>
      </c>
      <c r="E4149" s="6" t="str">
        <f>HYPERLINK("https://twitter.com/petrogustavo/status/1243155255904346115","1243155255904346115")</f>
        <v>1243155255904346115</v>
      </c>
      <c r="F4149" s="7" t="s">
        <v>17</v>
      </c>
      <c r="G4149" s="7">
        <v>3716985</v>
      </c>
      <c r="H4149" s="7">
        <v>2371</v>
      </c>
      <c r="I4149" s="7">
        <v>49</v>
      </c>
      <c r="J4149" s="7">
        <v>94</v>
      </c>
      <c r="K4149" s="7" t="s">
        <v>18</v>
      </c>
      <c r="L4149" s="8">
        <v>39987.315405092595</v>
      </c>
      <c r="M4149" s="9" t="s">
        <v>19</v>
      </c>
      <c r="N4149" s="9" t="s">
        <v>20</v>
      </c>
      <c r="O4149" s="6" t="str">
        <f>HYPERLINK("https://pbs.twimg.com/profile_images/962471262747529216/Uo8lOkRJ_normal.jpg","View")</f>
        <v>View</v>
      </c>
      <c r="P4149" s="7"/>
    </row>
    <row r="4150" spans="1:16">
      <c r="A4150" s="3">
        <v>43916.764675925922</v>
      </c>
      <c r="B4150" s="4" t="str">
        <f>HYPERLINK("https://twitter.com/petrogustavo","@petrogustavo")</f>
        <v>@petrogustavo</v>
      </c>
      <c r="C4150" s="5" t="s">
        <v>16</v>
      </c>
      <c r="D4150" s="5" t="s">
        <v>4067</v>
      </c>
      <c r="E4150" s="6" t="str">
        <f>HYPERLINK("https://twitter.com/petrogustavo/status/1243158543441842179","1243158543441842179")</f>
        <v>1243158543441842179</v>
      </c>
      <c r="F4150" s="7" t="s">
        <v>17</v>
      </c>
      <c r="G4150" s="7">
        <v>3716985</v>
      </c>
      <c r="H4150" s="7">
        <v>2371</v>
      </c>
      <c r="I4150" s="7">
        <v>10</v>
      </c>
      <c r="J4150" s="7">
        <v>17</v>
      </c>
      <c r="K4150" s="7" t="s">
        <v>18</v>
      </c>
      <c r="L4150" s="8">
        <v>39987.315405092595</v>
      </c>
      <c r="M4150" s="9" t="s">
        <v>19</v>
      </c>
      <c r="N4150" s="9" t="s">
        <v>20</v>
      </c>
      <c r="O4150" s="6" t="str">
        <f>HYPERLINK("https://pbs.twimg.com/profile_images/962471262747529216/Uo8lOkRJ_normal.jpg","View")</f>
        <v>View</v>
      </c>
      <c r="P4150" s="7"/>
    </row>
    <row r="4151" spans="1:16">
      <c r="A4151" s="3">
        <v>43916.768773148149</v>
      </c>
      <c r="B4151" s="4" t="str">
        <f>HYPERLINK("https://twitter.com/petrogustavo","@petrogustavo")</f>
        <v>@petrogustavo</v>
      </c>
      <c r="C4151" s="5" t="s">
        <v>16</v>
      </c>
      <c r="D4151" s="5" t="s">
        <v>4068</v>
      </c>
      <c r="E4151" s="6" t="str">
        <f>HYPERLINK("https://twitter.com/petrogustavo/status/1243160028321898496","1243160028321898496")</f>
        <v>1243160028321898496</v>
      </c>
      <c r="F4151" s="7" t="s">
        <v>17</v>
      </c>
      <c r="G4151" s="7">
        <v>3716985</v>
      </c>
      <c r="H4151" s="7">
        <v>2371</v>
      </c>
      <c r="I4151" s="7">
        <v>23</v>
      </c>
      <c r="J4151" s="7">
        <v>40</v>
      </c>
      <c r="K4151" s="7" t="s">
        <v>18</v>
      </c>
      <c r="L4151" s="8">
        <v>39987.315405092595</v>
      </c>
      <c r="M4151" s="9" t="s">
        <v>19</v>
      </c>
      <c r="N4151" s="9" t="s">
        <v>20</v>
      </c>
      <c r="O4151" s="6" t="str">
        <f>HYPERLINK("https://pbs.twimg.com/profile_images/962471262747529216/Uo8lOkRJ_normal.jpg","View")</f>
        <v>View</v>
      </c>
      <c r="P4151" s="7"/>
    </row>
    <row r="4152" spans="1:16">
      <c r="A4152" s="3">
        <v>43916.779803240745</v>
      </c>
      <c r="B4152" s="4" t="str">
        <f>HYPERLINK("https://twitter.com/petrogustavo","@petrogustavo")</f>
        <v>@petrogustavo</v>
      </c>
      <c r="C4152" s="5" t="s">
        <v>16</v>
      </c>
      <c r="D4152" s="5" t="s">
        <v>4069</v>
      </c>
      <c r="E4152" s="6" t="str">
        <f>HYPERLINK("https://twitter.com/petrogustavo/status/1243164026655453186","1243164026655453186")</f>
        <v>1243164026655453186</v>
      </c>
      <c r="F4152" s="7" t="s">
        <v>17</v>
      </c>
      <c r="G4152" s="7">
        <v>3717080</v>
      </c>
      <c r="H4152" s="7">
        <v>2371</v>
      </c>
      <c r="I4152" s="7">
        <v>337</v>
      </c>
      <c r="J4152" s="7">
        <v>0</v>
      </c>
      <c r="K4152" s="7" t="s">
        <v>18</v>
      </c>
      <c r="L4152" s="8">
        <v>39987.315405092595</v>
      </c>
      <c r="M4152" s="9" t="s">
        <v>19</v>
      </c>
      <c r="N4152" s="9" t="s">
        <v>20</v>
      </c>
      <c r="O4152" s="6" t="str">
        <f>HYPERLINK("https://pbs.twimg.com/profile_images/962471262747529216/Uo8lOkRJ_normal.jpg","View")</f>
        <v>View</v>
      </c>
      <c r="P4152" s="7"/>
    </row>
    <row r="4153" spans="1:16">
      <c r="A4153" s="3">
        <v>43916.784282407403</v>
      </c>
      <c r="B4153" s="4" t="str">
        <f>HYPERLINK("https://twitter.com/petrogustavo","@petrogustavo")</f>
        <v>@petrogustavo</v>
      </c>
      <c r="C4153" s="5" t="s">
        <v>16</v>
      </c>
      <c r="D4153" s="5" t="s">
        <v>4070</v>
      </c>
      <c r="E4153" s="6" t="str">
        <f>HYPERLINK("https://twitter.com/petrogustavo/status/1243165649456766976","1243165649456766976")</f>
        <v>1243165649456766976</v>
      </c>
      <c r="F4153" s="7" t="s">
        <v>17</v>
      </c>
      <c r="G4153" s="7">
        <v>3717080</v>
      </c>
      <c r="H4153" s="7">
        <v>2371</v>
      </c>
      <c r="I4153" s="7">
        <v>92</v>
      </c>
      <c r="J4153" s="7">
        <v>219</v>
      </c>
      <c r="K4153" s="7" t="s">
        <v>18</v>
      </c>
      <c r="L4153" s="8">
        <v>39987.315405092595</v>
      </c>
      <c r="M4153" s="9" t="s">
        <v>19</v>
      </c>
      <c r="N4153" s="9" t="s">
        <v>20</v>
      </c>
      <c r="O4153" s="6" t="str">
        <f>HYPERLINK("https://pbs.twimg.com/profile_images/962471262747529216/Uo8lOkRJ_normal.jpg","View")</f>
        <v>View</v>
      </c>
      <c r="P4153" s="7"/>
    </row>
    <row r="4154" spans="1:16">
      <c r="A4154" s="3">
        <v>43916.791134259256</v>
      </c>
      <c r="B4154" s="4" t="str">
        <f>HYPERLINK("https://twitter.com/petrogustavo","@petrogustavo")</f>
        <v>@petrogustavo</v>
      </c>
      <c r="C4154" s="5" t="s">
        <v>16</v>
      </c>
      <c r="D4154" s="5" t="s">
        <v>4071</v>
      </c>
      <c r="E4154" s="6" t="str">
        <f>HYPERLINK("https://twitter.com/petrogustavo/status/1243168131092287494","1243168131092287494")</f>
        <v>1243168131092287494</v>
      </c>
      <c r="F4154" s="7" t="s">
        <v>17</v>
      </c>
      <c r="G4154" s="7">
        <v>3717080</v>
      </c>
      <c r="H4154" s="7">
        <v>2371</v>
      </c>
      <c r="I4154" s="7">
        <v>19</v>
      </c>
      <c r="J4154" s="7">
        <v>35</v>
      </c>
      <c r="K4154" s="7" t="s">
        <v>18</v>
      </c>
      <c r="L4154" s="8">
        <v>39987.315405092595</v>
      </c>
      <c r="M4154" s="9" t="s">
        <v>19</v>
      </c>
      <c r="N4154" s="9" t="s">
        <v>20</v>
      </c>
      <c r="O4154" s="6" t="str">
        <f>HYPERLINK("https://pbs.twimg.com/profile_images/962471262747529216/Uo8lOkRJ_normal.jpg","View")</f>
        <v>View</v>
      </c>
      <c r="P4154" s="7"/>
    </row>
    <row r="4155" spans="1:16">
      <c r="A4155" s="3">
        <v>43916.793506944443</v>
      </c>
      <c r="B4155" s="4" t="str">
        <f>HYPERLINK("https://twitter.com/petrogustavo","@petrogustavo")</f>
        <v>@petrogustavo</v>
      </c>
      <c r="C4155" s="5" t="s">
        <v>16</v>
      </c>
      <c r="D4155" s="5" t="s">
        <v>4072</v>
      </c>
      <c r="E4155" s="6" t="str">
        <f>HYPERLINK("https://twitter.com/petrogustavo/status/1243168992874938369","1243168992874938369")</f>
        <v>1243168992874938369</v>
      </c>
      <c r="F4155" s="7" t="s">
        <v>17</v>
      </c>
      <c r="G4155" s="7">
        <v>3717080</v>
      </c>
      <c r="H4155" s="7">
        <v>2371</v>
      </c>
      <c r="I4155" s="7">
        <v>554</v>
      </c>
      <c r="J4155" s="7">
        <v>0</v>
      </c>
      <c r="K4155" s="7" t="s">
        <v>18</v>
      </c>
      <c r="L4155" s="8">
        <v>39987.315405092595</v>
      </c>
      <c r="M4155" s="9" t="s">
        <v>19</v>
      </c>
      <c r="N4155" s="9" t="s">
        <v>20</v>
      </c>
      <c r="O4155" s="6" t="str">
        <f>HYPERLINK("https://pbs.twimg.com/profile_images/962471262747529216/Uo8lOkRJ_normal.jpg","View")</f>
        <v>View</v>
      </c>
      <c r="P4155" s="7"/>
    </row>
    <row r="4156" spans="1:16">
      <c r="A4156" s="3">
        <v>43916.796064814815</v>
      </c>
      <c r="B4156" s="4" t="str">
        <f>HYPERLINK("https://twitter.com/petrogustavo","@petrogustavo")</f>
        <v>@petrogustavo</v>
      </c>
      <c r="C4156" s="5" t="s">
        <v>16</v>
      </c>
      <c r="D4156" s="5" t="s">
        <v>4073</v>
      </c>
      <c r="E4156" s="6" t="str">
        <f>HYPERLINK("https://twitter.com/petrogustavo/status/1243169919073738752","1243169919073738752")</f>
        <v>1243169919073738752</v>
      </c>
      <c r="F4156" s="7" t="s">
        <v>17</v>
      </c>
      <c r="G4156" s="7">
        <v>3717181</v>
      </c>
      <c r="H4156" s="7">
        <v>2371</v>
      </c>
      <c r="I4156" s="7">
        <v>80</v>
      </c>
      <c r="J4156" s="7">
        <v>170</v>
      </c>
      <c r="K4156" s="7" t="s">
        <v>18</v>
      </c>
      <c r="L4156" s="8">
        <v>39987.315405092595</v>
      </c>
      <c r="M4156" s="9" t="s">
        <v>19</v>
      </c>
      <c r="N4156" s="9" t="s">
        <v>20</v>
      </c>
      <c r="O4156" s="6" t="str">
        <f>HYPERLINK("https://pbs.twimg.com/profile_images/962471262747529216/Uo8lOkRJ_normal.jpg","View")</f>
        <v>View</v>
      </c>
      <c r="P4156" s="7"/>
    </row>
    <row r="4157" spans="1:16">
      <c r="A4157" s="3">
        <v>43916.806076388893</v>
      </c>
      <c r="B4157" s="4" t="str">
        <f>HYPERLINK("https://twitter.com/petrogustavo","@petrogustavo")</f>
        <v>@petrogustavo</v>
      </c>
      <c r="C4157" s="5" t="s">
        <v>16</v>
      </c>
      <c r="D4157" s="5" t="s">
        <v>4074</v>
      </c>
      <c r="E4157" s="6" t="str">
        <f>HYPERLINK("https://twitter.com/petrogustavo/status/1243173545972301824","1243173545972301824")</f>
        <v>1243173545972301824</v>
      </c>
      <c r="F4157" s="7" t="s">
        <v>17</v>
      </c>
      <c r="G4157" s="7">
        <v>3717181</v>
      </c>
      <c r="H4157" s="7">
        <v>2371</v>
      </c>
      <c r="I4157" s="7">
        <v>45</v>
      </c>
      <c r="J4157" s="7">
        <v>74</v>
      </c>
      <c r="K4157" s="7" t="s">
        <v>18</v>
      </c>
      <c r="L4157" s="8">
        <v>39987.315405092595</v>
      </c>
      <c r="M4157" s="9" t="s">
        <v>19</v>
      </c>
      <c r="N4157" s="9" t="s">
        <v>20</v>
      </c>
      <c r="O4157" s="6" t="str">
        <f>HYPERLINK("https://pbs.twimg.com/profile_images/962471262747529216/Uo8lOkRJ_normal.jpg","View")</f>
        <v>View</v>
      </c>
      <c r="P4157" s="7"/>
    </row>
    <row r="4158" spans="1:16">
      <c r="A4158" s="3">
        <v>43916.817673611113</v>
      </c>
      <c r="B4158" s="4" t="str">
        <f>HYPERLINK("https://twitter.com/petrogustavo","@petrogustavo")</f>
        <v>@petrogustavo</v>
      </c>
      <c r="C4158" s="5" t="s">
        <v>16</v>
      </c>
      <c r="D4158" s="5" t="s">
        <v>4075</v>
      </c>
      <c r="E4158" s="6" t="str">
        <f>HYPERLINK("https://twitter.com/petrogustavo/status/1243177751735152641","1243177751735152641")</f>
        <v>1243177751735152641</v>
      </c>
      <c r="F4158" s="7" t="s">
        <v>17</v>
      </c>
      <c r="G4158" s="7">
        <v>3717266</v>
      </c>
      <c r="H4158" s="7">
        <v>2371</v>
      </c>
      <c r="I4158" s="7">
        <v>67</v>
      </c>
      <c r="J4158" s="7">
        <v>110</v>
      </c>
      <c r="K4158" s="7" t="s">
        <v>18</v>
      </c>
      <c r="L4158" s="8">
        <v>39987.315405092595</v>
      </c>
      <c r="M4158" s="9" t="s">
        <v>19</v>
      </c>
      <c r="N4158" s="9" t="s">
        <v>20</v>
      </c>
      <c r="O4158" s="6" t="str">
        <f>HYPERLINK("https://pbs.twimg.com/profile_images/962471262747529216/Uo8lOkRJ_normal.jpg","View")</f>
        <v>View</v>
      </c>
      <c r="P4158" s="7"/>
    </row>
    <row r="4159" spans="1:16">
      <c r="A4159" s="3">
        <v>43916.833298611113</v>
      </c>
      <c r="B4159" s="4" t="str">
        <f>HYPERLINK("https://twitter.com/petrogustavo","@petrogustavo")</f>
        <v>@petrogustavo</v>
      </c>
      <c r="C4159" s="5" t="s">
        <v>16</v>
      </c>
      <c r="D4159" s="5" t="s">
        <v>4076</v>
      </c>
      <c r="E4159" s="6" t="str">
        <f>HYPERLINK("https://twitter.com/petrogustavo/status/1243183414662086656","1243183414662086656")</f>
        <v>1243183414662086656</v>
      </c>
      <c r="F4159" s="7" t="s">
        <v>17</v>
      </c>
      <c r="G4159" s="7">
        <v>3717266</v>
      </c>
      <c r="H4159" s="7">
        <v>2371</v>
      </c>
      <c r="I4159" s="7">
        <v>190</v>
      </c>
      <c r="J4159" s="7">
        <v>0</v>
      </c>
      <c r="K4159" s="7" t="s">
        <v>18</v>
      </c>
      <c r="L4159" s="8">
        <v>39987.315405092595</v>
      </c>
      <c r="M4159" s="9" t="s">
        <v>19</v>
      </c>
      <c r="N4159" s="9" t="s">
        <v>20</v>
      </c>
      <c r="O4159" s="6" t="str">
        <f>HYPERLINK("https://pbs.twimg.com/profile_images/962471262747529216/Uo8lOkRJ_normal.jpg","View")</f>
        <v>View</v>
      </c>
      <c r="P4159" s="7"/>
    </row>
    <row r="4160" spans="1:16">
      <c r="A4160" s="3">
        <v>43916.839131944449</v>
      </c>
      <c r="B4160" s="4" t="str">
        <f>HYPERLINK("https://twitter.com/petrogustavo","@petrogustavo")</f>
        <v>@petrogustavo</v>
      </c>
      <c r="C4160" s="5" t="s">
        <v>16</v>
      </c>
      <c r="D4160" s="5" t="s">
        <v>4077</v>
      </c>
      <c r="E4160" s="6" t="str">
        <f>HYPERLINK("https://twitter.com/petrogustavo/status/1243185528331264005","1243185528331264005")</f>
        <v>1243185528331264005</v>
      </c>
      <c r="F4160" s="7" t="s">
        <v>17</v>
      </c>
      <c r="G4160" s="7">
        <v>3717349</v>
      </c>
      <c r="H4160" s="7">
        <v>2371</v>
      </c>
      <c r="I4160" s="7">
        <v>109</v>
      </c>
      <c r="J4160" s="7">
        <v>250</v>
      </c>
      <c r="K4160" s="7" t="s">
        <v>18</v>
      </c>
      <c r="L4160" s="8">
        <v>39987.315405092595</v>
      </c>
      <c r="M4160" s="9" t="s">
        <v>19</v>
      </c>
      <c r="N4160" s="9" t="s">
        <v>20</v>
      </c>
      <c r="O4160" s="6" t="str">
        <f>HYPERLINK("https://pbs.twimg.com/profile_images/962471262747529216/Uo8lOkRJ_normal.jpg","View")</f>
        <v>View</v>
      </c>
      <c r="P4160" s="7"/>
    </row>
    <row r="4161" spans="1:16">
      <c r="A4161" s="3">
        <v>43916.84306712963</v>
      </c>
      <c r="B4161" s="4" t="str">
        <f>HYPERLINK("https://twitter.com/petrogustavo","@petrogustavo")</f>
        <v>@petrogustavo</v>
      </c>
      <c r="C4161" s="5" t="s">
        <v>16</v>
      </c>
      <c r="D4161" s="5" t="s">
        <v>4078</v>
      </c>
      <c r="E4161" s="6" t="str">
        <f>HYPERLINK("https://twitter.com/petrogustavo/status/1243186951450177541","1243186951450177541")</f>
        <v>1243186951450177541</v>
      </c>
      <c r="F4161" s="7" t="s">
        <v>17</v>
      </c>
      <c r="G4161" s="7">
        <v>3717349</v>
      </c>
      <c r="H4161" s="7">
        <v>2371</v>
      </c>
      <c r="I4161" s="7">
        <v>109</v>
      </c>
      <c r="J4161" s="7">
        <v>288</v>
      </c>
      <c r="K4161" s="7" t="s">
        <v>18</v>
      </c>
      <c r="L4161" s="8">
        <v>39987.315405092595</v>
      </c>
      <c r="M4161" s="9" t="s">
        <v>19</v>
      </c>
      <c r="N4161" s="9" t="s">
        <v>20</v>
      </c>
      <c r="O4161" s="6" t="str">
        <f>HYPERLINK("https://pbs.twimg.com/profile_images/962471262747529216/Uo8lOkRJ_normal.jpg","View")</f>
        <v>View</v>
      </c>
      <c r="P4161" s="7"/>
    </row>
    <row r="4162" spans="1:16">
      <c r="A4162" s="3">
        <v>43916.848043981481</v>
      </c>
      <c r="B4162" s="4" t="str">
        <f>HYPERLINK("https://twitter.com/petrogustavo","@petrogustavo")</f>
        <v>@petrogustavo</v>
      </c>
      <c r="C4162" s="5" t="s">
        <v>16</v>
      </c>
      <c r="D4162" s="5" t="s">
        <v>4079</v>
      </c>
      <c r="E4162" s="6" t="str">
        <f>HYPERLINK("https://twitter.com/petrogustavo/status/1243188758066888707","1243188758066888707")</f>
        <v>1243188758066888707</v>
      </c>
      <c r="F4162" s="7" t="s">
        <v>17</v>
      </c>
      <c r="G4162" s="7">
        <v>3717349</v>
      </c>
      <c r="H4162" s="7">
        <v>2371</v>
      </c>
      <c r="I4162" s="7">
        <v>380</v>
      </c>
      <c r="J4162" s="7">
        <v>0</v>
      </c>
      <c r="K4162" s="7" t="s">
        <v>18</v>
      </c>
      <c r="L4162" s="8">
        <v>39987.315405092595</v>
      </c>
      <c r="M4162" s="9" t="s">
        <v>19</v>
      </c>
      <c r="N4162" s="9" t="s">
        <v>20</v>
      </c>
      <c r="O4162" s="6" t="str">
        <f>HYPERLINK("https://pbs.twimg.com/profile_images/962471262747529216/Uo8lOkRJ_normal.jpg","View")</f>
        <v>View</v>
      </c>
      <c r="P4162" s="7"/>
    </row>
    <row r="4163" spans="1:16">
      <c r="A4163" s="3">
        <v>43916.851284722223</v>
      </c>
      <c r="B4163" s="4" t="str">
        <f>HYPERLINK("https://twitter.com/petrogustavo","@petrogustavo")</f>
        <v>@petrogustavo</v>
      </c>
      <c r="C4163" s="5" t="s">
        <v>16</v>
      </c>
      <c r="D4163" s="5" t="s">
        <v>4080</v>
      </c>
      <c r="E4163" s="6" t="str">
        <f>HYPERLINK("https://twitter.com/petrogustavo/status/1243189931679395840","1243189931679395840")</f>
        <v>1243189931679395840</v>
      </c>
      <c r="F4163" s="7" t="s">
        <v>17</v>
      </c>
      <c r="G4163" s="7">
        <v>3717349</v>
      </c>
      <c r="H4163" s="7">
        <v>2371</v>
      </c>
      <c r="I4163" s="7">
        <v>115</v>
      </c>
      <c r="J4163" s="7">
        <v>267</v>
      </c>
      <c r="K4163" s="7" t="s">
        <v>18</v>
      </c>
      <c r="L4163" s="8">
        <v>39987.315405092595</v>
      </c>
      <c r="M4163" s="9" t="s">
        <v>19</v>
      </c>
      <c r="N4163" s="9" t="s">
        <v>20</v>
      </c>
      <c r="O4163" s="6" t="str">
        <f>HYPERLINK("https://pbs.twimg.com/profile_images/962471262747529216/Uo8lOkRJ_normal.jpg","View")</f>
        <v>View</v>
      </c>
      <c r="P4163" s="7"/>
    </row>
    <row r="4164" spans="1:16">
      <c r="A4164" s="3">
        <v>43916.856990740736</v>
      </c>
      <c r="B4164" s="4" t="str">
        <f>HYPERLINK("https://twitter.com/petrogustavo","@petrogustavo")</f>
        <v>@petrogustavo</v>
      </c>
      <c r="C4164" s="5" t="s">
        <v>16</v>
      </c>
      <c r="D4164" s="5" t="s">
        <v>4081</v>
      </c>
      <c r="E4164" s="6" t="str">
        <f>HYPERLINK("https://twitter.com/petrogustavo/status/1243191999290843136","1243191999290843136")</f>
        <v>1243191999290843136</v>
      </c>
      <c r="F4164" s="7" t="s">
        <v>17</v>
      </c>
      <c r="G4164" s="7">
        <v>3717443</v>
      </c>
      <c r="H4164" s="7">
        <v>2371</v>
      </c>
      <c r="I4164" s="7">
        <v>73</v>
      </c>
      <c r="J4164" s="7">
        <v>158</v>
      </c>
      <c r="K4164" s="7" t="s">
        <v>18</v>
      </c>
      <c r="L4164" s="8">
        <v>39987.315405092595</v>
      </c>
      <c r="M4164" s="9" t="s">
        <v>19</v>
      </c>
      <c r="N4164" s="9" t="s">
        <v>20</v>
      </c>
      <c r="O4164" s="6" t="str">
        <f>HYPERLINK("https://pbs.twimg.com/profile_images/962471262747529216/Uo8lOkRJ_normal.jpg","View")</f>
        <v>View</v>
      </c>
      <c r="P4164" s="7"/>
    </row>
    <row r="4165" spans="1:16">
      <c r="A4165" s="3">
        <v>43916.861875000002</v>
      </c>
      <c r="B4165" s="4" t="str">
        <f>HYPERLINK("https://twitter.com/petrogustavo","@petrogustavo")</f>
        <v>@petrogustavo</v>
      </c>
      <c r="C4165" s="5" t="s">
        <v>16</v>
      </c>
      <c r="D4165" s="5" t="s">
        <v>4082</v>
      </c>
      <c r="E4165" s="6" t="str">
        <f>HYPERLINK("https://twitter.com/petrogustavo/status/1243193768041500673","1243193768041500673")</f>
        <v>1243193768041500673</v>
      </c>
      <c r="F4165" s="7" t="s">
        <v>17</v>
      </c>
      <c r="G4165" s="7">
        <v>3717443</v>
      </c>
      <c r="H4165" s="7">
        <v>2371</v>
      </c>
      <c r="I4165" s="7">
        <v>56</v>
      </c>
      <c r="J4165" s="7">
        <v>119</v>
      </c>
      <c r="K4165" s="7" t="s">
        <v>18</v>
      </c>
      <c r="L4165" s="8">
        <v>39987.315405092595</v>
      </c>
      <c r="M4165" s="9" t="s">
        <v>19</v>
      </c>
      <c r="N4165" s="9" t="s">
        <v>20</v>
      </c>
      <c r="O4165" s="6" t="str">
        <f>HYPERLINK("https://pbs.twimg.com/profile_images/962471262747529216/Uo8lOkRJ_normal.jpg","View")</f>
        <v>View</v>
      </c>
      <c r="P4165" s="7"/>
    </row>
    <row r="4166" spans="1:16">
      <c r="A4166" s="3">
        <v>43916.863935185189</v>
      </c>
      <c r="B4166" s="4" t="str">
        <f>HYPERLINK("https://twitter.com/petrogustavo","@petrogustavo")</f>
        <v>@petrogustavo</v>
      </c>
      <c r="C4166" s="5" t="s">
        <v>16</v>
      </c>
      <c r="D4166" s="5" t="s">
        <v>4083</v>
      </c>
      <c r="E4166" s="6" t="str">
        <f>HYPERLINK("https://twitter.com/petrogustavo/status/1243194516150026240","1243194516150026240")</f>
        <v>1243194516150026240</v>
      </c>
      <c r="F4166" s="7" t="s">
        <v>17</v>
      </c>
      <c r="G4166" s="7">
        <v>3717443</v>
      </c>
      <c r="H4166" s="7">
        <v>2371</v>
      </c>
      <c r="I4166" s="7">
        <v>134</v>
      </c>
      <c r="J4166" s="7">
        <v>283</v>
      </c>
      <c r="K4166" s="7" t="s">
        <v>18</v>
      </c>
      <c r="L4166" s="8">
        <v>39987.315405092595</v>
      </c>
      <c r="M4166" s="9" t="s">
        <v>19</v>
      </c>
      <c r="N4166" s="9" t="s">
        <v>20</v>
      </c>
      <c r="O4166" s="6" t="str">
        <f>HYPERLINK("https://pbs.twimg.com/profile_images/962471262747529216/Uo8lOkRJ_normal.jpg","View")</f>
        <v>View</v>
      </c>
      <c r="P4166" s="7"/>
    </row>
    <row r="4167" spans="1:16">
      <c r="A4167" s="3">
        <v>43916.864733796298</v>
      </c>
      <c r="B4167" s="4" t="str">
        <f>HYPERLINK("https://twitter.com/petrogustavo","@petrogustavo")</f>
        <v>@petrogustavo</v>
      </c>
      <c r="C4167" s="5" t="s">
        <v>16</v>
      </c>
      <c r="D4167" s="5" t="s">
        <v>4084</v>
      </c>
      <c r="E4167" s="6" t="str">
        <f>HYPERLINK("https://twitter.com/petrogustavo/status/1243194804009402368","1243194804009402368")</f>
        <v>1243194804009402368</v>
      </c>
      <c r="F4167" s="7" t="s">
        <v>17</v>
      </c>
      <c r="G4167" s="7">
        <v>3717443</v>
      </c>
      <c r="H4167" s="7">
        <v>2371</v>
      </c>
      <c r="I4167" s="7">
        <v>502</v>
      </c>
      <c r="J4167" s="7">
        <v>0</v>
      </c>
      <c r="K4167" s="7" t="s">
        <v>18</v>
      </c>
      <c r="L4167" s="8">
        <v>39987.315405092595</v>
      </c>
      <c r="M4167" s="9" t="s">
        <v>19</v>
      </c>
      <c r="N4167" s="9" t="s">
        <v>20</v>
      </c>
      <c r="O4167" s="6" t="str">
        <f>HYPERLINK("https://pbs.twimg.com/profile_images/962471262747529216/Uo8lOkRJ_normal.jpg","View")</f>
        <v>View</v>
      </c>
      <c r="P4167" s="7"/>
    </row>
    <row r="4168" spans="1:16">
      <c r="A4168" s="3">
        <v>43916.864861111113</v>
      </c>
      <c r="B4168" s="4" t="str">
        <f>HYPERLINK("https://twitter.com/petrogustavo","@petrogustavo")</f>
        <v>@petrogustavo</v>
      </c>
      <c r="C4168" s="5" t="s">
        <v>16</v>
      </c>
      <c r="D4168" s="5" t="s">
        <v>4085</v>
      </c>
      <c r="E4168" s="6" t="str">
        <f>HYPERLINK("https://twitter.com/petrogustavo/status/1243194849907572737","1243194849907572737")</f>
        <v>1243194849907572737</v>
      </c>
      <c r="F4168" s="7" t="s">
        <v>17</v>
      </c>
      <c r="G4168" s="7">
        <v>3717443</v>
      </c>
      <c r="H4168" s="7">
        <v>2371</v>
      </c>
      <c r="I4168" s="7">
        <v>134</v>
      </c>
      <c r="J4168" s="7">
        <v>0</v>
      </c>
      <c r="K4168" s="7" t="s">
        <v>18</v>
      </c>
      <c r="L4168" s="8">
        <v>39987.315405092595</v>
      </c>
      <c r="M4168" s="9" t="s">
        <v>19</v>
      </c>
      <c r="N4168" s="9" t="s">
        <v>20</v>
      </c>
      <c r="O4168" s="6" t="str">
        <f>HYPERLINK("https://pbs.twimg.com/profile_images/962471262747529216/Uo8lOkRJ_normal.jpg","View")</f>
        <v>View</v>
      </c>
      <c r="P4168" s="7"/>
    </row>
    <row r="4169" spans="1:16">
      <c r="A4169" s="3">
        <v>43916.867407407408</v>
      </c>
      <c r="B4169" s="4" t="str">
        <f>HYPERLINK("https://twitter.com/petrogustavo","@petrogustavo")</f>
        <v>@petrogustavo</v>
      </c>
      <c r="C4169" s="5" t="s">
        <v>16</v>
      </c>
      <c r="D4169" s="5" t="s">
        <v>4086</v>
      </c>
      <c r="E4169" s="6" t="str">
        <f>HYPERLINK("https://twitter.com/petrogustavo/status/1243195775267614720","1243195775267614720")</f>
        <v>1243195775267614720</v>
      </c>
      <c r="F4169" s="7" t="s">
        <v>17</v>
      </c>
      <c r="G4169" s="7">
        <v>3717443</v>
      </c>
      <c r="H4169" s="7">
        <v>2371</v>
      </c>
      <c r="I4169" s="7">
        <v>216</v>
      </c>
      <c r="J4169" s="7">
        <v>405</v>
      </c>
      <c r="K4169" s="7" t="s">
        <v>18</v>
      </c>
      <c r="L4169" s="8">
        <v>39987.315405092595</v>
      </c>
      <c r="M4169" s="9" t="s">
        <v>19</v>
      </c>
      <c r="N4169" s="9" t="s">
        <v>20</v>
      </c>
      <c r="O4169" s="6" t="str">
        <f>HYPERLINK("https://pbs.twimg.com/profile_images/962471262747529216/Uo8lOkRJ_normal.jpg","View")</f>
        <v>View</v>
      </c>
      <c r="P4169" s="7"/>
    </row>
    <row r="4170" spans="1:16">
      <c r="A4170" s="3">
        <v>43917.017835648148</v>
      </c>
      <c r="B4170" s="4" t="str">
        <f>HYPERLINK("https://twitter.com/petrogustavo","@petrogustavo")</f>
        <v>@petrogustavo</v>
      </c>
      <c r="C4170" s="5" t="s">
        <v>16</v>
      </c>
      <c r="D4170" s="5" t="s">
        <v>4087</v>
      </c>
      <c r="E4170" s="6" t="str">
        <f>HYPERLINK("https://twitter.com/petrogustavo/status/1243250286094962688","1243250286094962688")</f>
        <v>1243250286094962688</v>
      </c>
      <c r="F4170" s="7" t="s">
        <v>17</v>
      </c>
      <c r="G4170" s="7">
        <v>3717978</v>
      </c>
      <c r="H4170" s="7">
        <v>2371</v>
      </c>
      <c r="I4170" s="7">
        <v>152</v>
      </c>
      <c r="J4170" s="7">
        <v>438</v>
      </c>
      <c r="K4170" s="7" t="s">
        <v>18</v>
      </c>
      <c r="L4170" s="8">
        <v>39987.315405092595</v>
      </c>
      <c r="M4170" s="9" t="s">
        <v>19</v>
      </c>
      <c r="N4170" s="9" t="s">
        <v>20</v>
      </c>
      <c r="O4170" s="6" t="str">
        <f>HYPERLINK("https://pbs.twimg.com/profile_images/962471262747529216/Uo8lOkRJ_normal.jpg","View")</f>
        <v>View</v>
      </c>
      <c r="P4170" s="7"/>
    </row>
    <row r="4171" spans="1:16">
      <c r="A4171" s="3">
        <v>43917.044467592597</v>
      </c>
      <c r="B4171" s="4" t="str">
        <f>HYPERLINK("https://twitter.com/petrogustavo","@petrogustavo")</f>
        <v>@petrogustavo</v>
      </c>
      <c r="C4171" s="5" t="s">
        <v>16</v>
      </c>
      <c r="D4171" s="5" t="s">
        <v>4088</v>
      </c>
      <c r="E4171" s="6" t="str">
        <f>HYPERLINK("https://twitter.com/petrogustavo/status/1243259939570794497","1243259939570794497")</f>
        <v>1243259939570794497</v>
      </c>
      <c r="F4171" s="7" t="s">
        <v>17</v>
      </c>
      <c r="G4171" s="7">
        <v>3718172</v>
      </c>
      <c r="H4171" s="7">
        <v>2371</v>
      </c>
      <c r="I4171" s="7">
        <v>309</v>
      </c>
      <c r="J4171" s="7">
        <v>629</v>
      </c>
      <c r="K4171" s="7" t="s">
        <v>18</v>
      </c>
      <c r="L4171" s="8">
        <v>39987.315405092595</v>
      </c>
      <c r="M4171" s="9" t="s">
        <v>19</v>
      </c>
      <c r="N4171" s="9" t="s">
        <v>20</v>
      </c>
      <c r="O4171" s="6" t="str">
        <f>HYPERLINK("https://pbs.twimg.com/profile_images/962471262747529216/Uo8lOkRJ_normal.jpg","View")</f>
        <v>View</v>
      </c>
      <c r="P4171" s="7"/>
    </row>
    <row r="4172" spans="1:16">
      <c r="A4172" s="3">
        <v>43917.046319444446</v>
      </c>
      <c r="B4172" s="4" t="str">
        <f>HYPERLINK("https://twitter.com/petrogustavo","@petrogustavo")</f>
        <v>@petrogustavo</v>
      </c>
      <c r="C4172" s="5" t="s">
        <v>16</v>
      </c>
      <c r="D4172" s="5" t="s">
        <v>4089</v>
      </c>
      <c r="E4172" s="6" t="str">
        <f>HYPERLINK("https://twitter.com/petrogustavo/status/1243260609916960769","1243260609916960769")</f>
        <v>1243260609916960769</v>
      </c>
      <c r="F4172" s="7" t="s">
        <v>17</v>
      </c>
      <c r="G4172" s="7">
        <v>3718172</v>
      </c>
      <c r="H4172" s="7">
        <v>2371</v>
      </c>
      <c r="I4172" s="7">
        <v>196</v>
      </c>
      <c r="J4172" s="7">
        <v>503</v>
      </c>
      <c r="K4172" s="7" t="s">
        <v>18</v>
      </c>
      <c r="L4172" s="8">
        <v>39987.315405092595</v>
      </c>
      <c r="M4172" s="9" t="s">
        <v>19</v>
      </c>
      <c r="N4172" s="9" t="s">
        <v>20</v>
      </c>
      <c r="O4172" s="6" t="str">
        <f>HYPERLINK("https://pbs.twimg.com/profile_images/962471262747529216/Uo8lOkRJ_normal.jpg","View")</f>
        <v>View</v>
      </c>
      <c r="P4172" s="7"/>
    </row>
    <row r="4173" spans="1:16">
      <c r="A4173" s="3">
        <v>43917.050451388888</v>
      </c>
      <c r="B4173" s="4" t="str">
        <f>HYPERLINK("https://twitter.com/petrogustavo","@petrogustavo")</f>
        <v>@petrogustavo</v>
      </c>
      <c r="C4173" s="5" t="s">
        <v>16</v>
      </c>
      <c r="D4173" s="5" t="s">
        <v>4090</v>
      </c>
      <c r="E4173" s="6" t="str">
        <f>HYPERLINK("https://twitter.com/petrogustavo/status/1243262107031932935","1243262107031932935")</f>
        <v>1243262107031932935</v>
      </c>
      <c r="F4173" s="7" t="s">
        <v>17</v>
      </c>
      <c r="G4173" s="7">
        <v>3718172</v>
      </c>
      <c r="H4173" s="7">
        <v>2371</v>
      </c>
      <c r="I4173" s="7">
        <v>773</v>
      </c>
      <c r="J4173" s="7">
        <v>0</v>
      </c>
      <c r="K4173" s="7" t="s">
        <v>18</v>
      </c>
      <c r="L4173" s="8">
        <v>39987.315405092595</v>
      </c>
      <c r="M4173" s="9" t="s">
        <v>19</v>
      </c>
      <c r="N4173" s="9" t="s">
        <v>20</v>
      </c>
      <c r="O4173" s="6" t="str">
        <f>HYPERLINK("https://pbs.twimg.com/profile_images/962471262747529216/Uo8lOkRJ_normal.jpg","View")</f>
        <v>View</v>
      </c>
      <c r="P4173" s="7"/>
    </row>
    <row r="4174" spans="1:16">
      <c r="A4174" s="3">
        <v>43917.055219907408</v>
      </c>
      <c r="B4174" s="4" t="str">
        <f>HYPERLINK("https://twitter.com/petrogustavo","@petrogustavo")</f>
        <v>@petrogustavo</v>
      </c>
      <c r="C4174" s="5" t="s">
        <v>16</v>
      </c>
      <c r="D4174" s="5" t="s">
        <v>4091</v>
      </c>
      <c r="E4174" s="6" t="str">
        <f>HYPERLINK("https://twitter.com/petrogustavo/status/1243263833503866889","1243263833503866889")</f>
        <v>1243263833503866889</v>
      </c>
      <c r="F4174" s="7" t="s">
        <v>17</v>
      </c>
      <c r="G4174" s="7">
        <v>3718172</v>
      </c>
      <c r="H4174" s="7">
        <v>2371</v>
      </c>
      <c r="I4174" s="7">
        <v>147</v>
      </c>
      <c r="J4174" s="7">
        <v>0</v>
      </c>
      <c r="K4174" s="7" t="s">
        <v>18</v>
      </c>
      <c r="L4174" s="8">
        <v>39987.315405092595</v>
      </c>
      <c r="M4174" s="9" t="s">
        <v>19</v>
      </c>
      <c r="N4174" s="9" t="s">
        <v>20</v>
      </c>
      <c r="O4174" s="6" t="str">
        <f>HYPERLINK("https://pbs.twimg.com/profile_images/962471262747529216/Uo8lOkRJ_normal.jpg","View")</f>
        <v>View</v>
      </c>
      <c r="P4174" s="7"/>
    </row>
    <row r="4175" spans="1:16">
      <c r="A4175" s="3">
        <v>43917.057743055557</v>
      </c>
      <c r="B4175" s="4" t="str">
        <f>HYPERLINK("https://twitter.com/petrogustavo","@petrogustavo")</f>
        <v>@petrogustavo</v>
      </c>
      <c r="C4175" s="5" t="s">
        <v>16</v>
      </c>
      <c r="D4175" s="5" t="s">
        <v>4092</v>
      </c>
      <c r="E4175" s="6" t="str">
        <f>HYPERLINK("https://twitter.com/petrogustavo/status/1243264750575849472","1243264750575849472")</f>
        <v>1243264750575849472</v>
      </c>
      <c r="F4175" s="7" t="s">
        <v>17</v>
      </c>
      <c r="G4175" s="7">
        <v>3718172</v>
      </c>
      <c r="H4175" s="7">
        <v>2371</v>
      </c>
      <c r="I4175" s="7">
        <v>41</v>
      </c>
      <c r="J4175" s="7">
        <v>101</v>
      </c>
      <c r="K4175" s="7" t="s">
        <v>18</v>
      </c>
      <c r="L4175" s="8">
        <v>39987.315405092595</v>
      </c>
      <c r="M4175" s="9" t="s">
        <v>19</v>
      </c>
      <c r="N4175" s="9" t="s">
        <v>20</v>
      </c>
      <c r="O4175" s="6" t="str">
        <f>HYPERLINK("https://pbs.twimg.com/profile_images/962471262747529216/Uo8lOkRJ_normal.jpg","View")</f>
        <v>View</v>
      </c>
      <c r="P4175" s="7"/>
    </row>
    <row r="4176" spans="1:16">
      <c r="A4176" s="3">
        <v>43917.057928240742</v>
      </c>
      <c r="B4176" s="4" t="str">
        <f>HYPERLINK("https://twitter.com/petrogustavo","@petrogustavo")</f>
        <v>@petrogustavo</v>
      </c>
      <c r="C4176" s="5" t="s">
        <v>16</v>
      </c>
      <c r="D4176" s="5" t="s">
        <v>4093</v>
      </c>
      <c r="E4176" s="6" t="str">
        <f>HYPERLINK("https://twitter.com/petrogustavo/status/1243264815319191553","1243264815319191553")</f>
        <v>1243264815319191553</v>
      </c>
      <c r="F4176" s="7" t="s">
        <v>17</v>
      </c>
      <c r="G4176" s="7">
        <v>3718172</v>
      </c>
      <c r="H4176" s="7">
        <v>2371</v>
      </c>
      <c r="I4176" s="7">
        <v>1931</v>
      </c>
      <c r="J4176" s="7">
        <v>0</v>
      </c>
      <c r="K4176" s="7" t="s">
        <v>18</v>
      </c>
      <c r="L4176" s="8">
        <v>39987.315405092595</v>
      </c>
      <c r="M4176" s="9" t="s">
        <v>19</v>
      </c>
      <c r="N4176" s="9" t="s">
        <v>20</v>
      </c>
      <c r="O4176" s="6" t="str">
        <f>HYPERLINK("https://pbs.twimg.com/profile_images/962471262747529216/Uo8lOkRJ_normal.jpg","View")</f>
        <v>View</v>
      </c>
      <c r="P4176" s="7"/>
    </row>
    <row r="4177" spans="1:16">
      <c r="A4177" s="3">
        <v>43917.155729166669</v>
      </c>
      <c r="B4177" s="4" t="str">
        <f>HYPERLINK("https://twitter.com/petrogustavo","@petrogustavo")</f>
        <v>@petrogustavo</v>
      </c>
      <c r="C4177" s="5" t="s">
        <v>16</v>
      </c>
      <c r="D4177" s="5" t="s">
        <v>4094</v>
      </c>
      <c r="E4177" s="6" t="str">
        <f>HYPERLINK("https://twitter.com/petrogustavo/status/1243300259712905218","1243300259712905218")</f>
        <v>1243300259712905218</v>
      </c>
      <c r="F4177" s="7" t="s">
        <v>17</v>
      </c>
      <c r="G4177" s="7">
        <v>3718630</v>
      </c>
      <c r="H4177" s="7">
        <v>2370</v>
      </c>
      <c r="I4177" s="7">
        <v>489</v>
      </c>
      <c r="J4177" s="7">
        <v>997</v>
      </c>
      <c r="K4177" s="7" t="s">
        <v>18</v>
      </c>
      <c r="L4177" s="8">
        <v>39987.315405092595</v>
      </c>
      <c r="M4177" s="9" t="s">
        <v>19</v>
      </c>
      <c r="N4177" s="9" t="s">
        <v>20</v>
      </c>
      <c r="O4177" s="6" t="str">
        <f>HYPERLINK("https://pbs.twimg.com/profile_images/962471262747529216/Uo8lOkRJ_normal.jpg","View")</f>
        <v>View</v>
      </c>
      <c r="P4177" s="7"/>
    </row>
    <row r="4178" spans="1:16">
      <c r="A4178" s="3">
        <v>43917.157905092594</v>
      </c>
      <c r="B4178" s="4" t="str">
        <f>HYPERLINK("https://twitter.com/petrogustavo","@petrogustavo")</f>
        <v>@petrogustavo</v>
      </c>
      <c r="C4178" s="5" t="s">
        <v>16</v>
      </c>
      <c r="D4178" s="5" t="s">
        <v>4095</v>
      </c>
      <c r="E4178" s="6" t="str">
        <f>HYPERLINK("https://twitter.com/petrogustavo/status/1243301047315173382","1243301047315173382")</f>
        <v>1243301047315173382</v>
      </c>
      <c r="F4178" s="7" t="s">
        <v>17</v>
      </c>
      <c r="G4178" s="7">
        <v>3718630</v>
      </c>
      <c r="H4178" s="7">
        <v>2370</v>
      </c>
      <c r="I4178" s="7">
        <v>618</v>
      </c>
      <c r="J4178" s="7">
        <v>1971</v>
      </c>
      <c r="K4178" s="7" t="s">
        <v>18</v>
      </c>
      <c r="L4178" s="8">
        <v>39987.315405092595</v>
      </c>
      <c r="M4178" s="9" t="s">
        <v>19</v>
      </c>
      <c r="N4178" s="9" t="s">
        <v>20</v>
      </c>
      <c r="O4178" s="6" t="str">
        <f>HYPERLINK("https://pbs.twimg.com/profile_images/962471262747529216/Uo8lOkRJ_normal.jpg","View")</f>
        <v>View</v>
      </c>
      <c r="P4178" s="7"/>
    </row>
    <row r="4179" spans="1:16">
      <c r="A4179" s="3">
        <v>43917.160162037035</v>
      </c>
      <c r="B4179" s="4" t="str">
        <f>HYPERLINK("https://twitter.com/petrogustavo","@petrogustavo")</f>
        <v>@petrogustavo</v>
      </c>
      <c r="C4179" s="5" t="s">
        <v>16</v>
      </c>
      <c r="D4179" s="5" t="s">
        <v>4096</v>
      </c>
      <c r="E4179" s="6" t="str">
        <f>HYPERLINK("https://twitter.com/petrogustavo/status/1243301863954558976","1243301863954558976")</f>
        <v>1243301863954558976</v>
      </c>
      <c r="F4179" s="7" t="s">
        <v>17</v>
      </c>
      <c r="G4179" s="7">
        <v>3718630</v>
      </c>
      <c r="H4179" s="7">
        <v>2370</v>
      </c>
      <c r="I4179" s="7">
        <v>124</v>
      </c>
      <c r="J4179" s="7">
        <v>214</v>
      </c>
      <c r="K4179" s="7" t="s">
        <v>18</v>
      </c>
      <c r="L4179" s="8">
        <v>39987.315405092595</v>
      </c>
      <c r="M4179" s="9" t="s">
        <v>19</v>
      </c>
      <c r="N4179" s="9" t="s">
        <v>20</v>
      </c>
      <c r="O4179" s="6" t="str">
        <f>HYPERLINK("https://pbs.twimg.com/profile_images/962471262747529216/Uo8lOkRJ_normal.jpg","View")</f>
        <v>View</v>
      </c>
      <c r="P4179" s="7"/>
    </row>
    <row r="4180" spans="1:16">
      <c r="A4180" s="3">
        <v>43917.161354166667</v>
      </c>
      <c r="B4180" s="4" t="str">
        <f>HYPERLINK("https://twitter.com/petrogustavo","@petrogustavo")</f>
        <v>@petrogustavo</v>
      </c>
      <c r="C4180" s="5" t="s">
        <v>16</v>
      </c>
      <c r="D4180" s="5" t="s">
        <v>4097</v>
      </c>
      <c r="E4180" s="6" t="str">
        <f>HYPERLINK("https://twitter.com/petrogustavo/status/1243302294130757632","1243302294130757632")</f>
        <v>1243302294130757632</v>
      </c>
      <c r="F4180" s="7" t="s">
        <v>17</v>
      </c>
      <c r="G4180" s="7">
        <v>3718630</v>
      </c>
      <c r="H4180" s="7">
        <v>2370</v>
      </c>
      <c r="I4180" s="7">
        <v>115</v>
      </c>
      <c r="J4180" s="7">
        <v>251</v>
      </c>
      <c r="K4180" s="7" t="s">
        <v>18</v>
      </c>
      <c r="L4180" s="8">
        <v>39987.315405092595</v>
      </c>
      <c r="M4180" s="9" t="s">
        <v>19</v>
      </c>
      <c r="N4180" s="9" t="s">
        <v>20</v>
      </c>
      <c r="O4180" s="6" t="str">
        <f>HYPERLINK("https://pbs.twimg.com/profile_images/962471262747529216/Uo8lOkRJ_normal.jpg","View")</f>
        <v>View</v>
      </c>
      <c r="P4180" s="7"/>
    </row>
    <row r="4181" spans="1:16">
      <c r="A4181" s="3">
        <v>43917.168321759258</v>
      </c>
      <c r="B4181" s="4" t="str">
        <f>HYPERLINK("https://twitter.com/petrogustavo","@petrogustavo")</f>
        <v>@petrogustavo</v>
      </c>
      <c r="C4181" s="5" t="s">
        <v>16</v>
      </c>
      <c r="D4181" s="5" t="s">
        <v>4098</v>
      </c>
      <c r="E4181" s="6" t="str">
        <f>HYPERLINK("https://twitter.com/petrogustavo/status/1243304820410327040","1243304820410327040")</f>
        <v>1243304820410327040</v>
      </c>
      <c r="F4181" s="7" t="s">
        <v>17</v>
      </c>
      <c r="G4181" s="7">
        <v>3718630</v>
      </c>
      <c r="H4181" s="7">
        <v>2370</v>
      </c>
      <c r="I4181" s="7">
        <v>489</v>
      </c>
      <c r="J4181" s="7">
        <v>0</v>
      </c>
      <c r="K4181" s="7" t="s">
        <v>18</v>
      </c>
      <c r="L4181" s="8">
        <v>39987.315405092595</v>
      </c>
      <c r="M4181" s="9" t="s">
        <v>19</v>
      </c>
      <c r="N4181" s="9" t="s">
        <v>20</v>
      </c>
      <c r="O4181" s="6" t="str">
        <f>HYPERLINK("https://pbs.twimg.com/profile_images/962471262747529216/Uo8lOkRJ_normal.jpg","View")</f>
        <v>View</v>
      </c>
      <c r="P4181" s="7"/>
    </row>
    <row r="4182" spans="1:16">
      <c r="A4182" s="3">
        <v>43917.169965277775</v>
      </c>
      <c r="B4182" s="4" t="str">
        <f>HYPERLINK("https://twitter.com/petrogustavo","@petrogustavo")</f>
        <v>@petrogustavo</v>
      </c>
      <c r="C4182" s="5" t="s">
        <v>16</v>
      </c>
      <c r="D4182" s="5" t="s">
        <v>4099</v>
      </c>
      <c r="E4182" s="6" t="str">
        <f>HYPERLINK("https://twitter.com/petrogustavo/status/1243305418157445123","1243305418157445123")</f>
        <v>1243305418157445123</v>
      </c>
      <c r="F4182" s="7" t="s">
        <v>17</v>
      </c>
      <c r="G4182" s="7">
        <v>3718630</v>
      </c>
      <c r="H4182" s="7">
        <v>2370</v>
      </c>
      <c r="I4182" s="7">
        <v>35</v>
      </c>
      <c r="J4182" s="7">
        <v>0</v>
      </c>
      <c r="K4182" s="7" t="s">
        <v>18</v>
      </c>
      <c r="L4182" s="8">
        <v>39987.315405092595</v>
      </c>
      <c r="M4182" s="9" t="s">
        <v>19</v>
      </c>
      <c r="N4182" s="9" t="s">
        <v>20</v>
      </c>
      <c r="O4182" s="6" t="str">
        <f>HYPERLINK("https://pbs.twimg.com/profile_images/962471262747529216/Uo8lOkRJ_normal.jpg","View")</f>
        <v>View</v>
      </c>
      <c r="P4182" s="7"/>
    </row>
    <row r="4183" spans="1:16">
      <c r="A4183" s="3">
        <v>43917.170138888891</v>
      </c>
      <c r="B4183" s="4" t="str">
        <f>HYPERLINK("https://twitter.com/petrogustavo","@petrogustavo")</f>
        <v>@petrogustavo</v>
      </c>
      <c r="C4183" s="5" t="s">
        <v>16</v>
      </c>
      <c r="D4183" s="5" t="s">
        <v>4100</v>
      </c>
      <c r="E4183" s="6" t="str">
        <f>HYPERLINK("https://twitter.com/petrogustavo/status/1243305481122254858","1243305481122254858")</f>
        <v>1243305481122254858</v>
      </c>
      <c r="F4183" s="7" t="s">
        <v>17</v>
      </c>
      <c r="G4183" s="7">
        <v>3718630</v>
      </c>
      <c r="H4183" s="7">
        <v>2370</v>
      </c>
      <c r="I4183" s="7">
        <v>152</v>
      </c>
      <c r="J4183" s="7">
        <v>0</v>
      </c>
      <c r="K4183" s="7" t="s">
        <v>18</v>
      </c>
      <c r="L4183" s="8">
        <v>39987.315405092595</v>
      </c>
      <c r="M4183" s="9" t="s">
        <v>19</v>
      </c>
      <c r="N4183" s="9" t="s">
        <v>20</v>
      </c>
      <c r="O4183" s="6" t="str">
        <f>HYPERLINK("https://pbs.twimg.com/profile_images/962471262747529216/Uo8lOkRJ_normal.jpg","View")</f>
        <v>View</v>
      </c>
      <c r="P4183" s="7"/>
    </row>
    <row r="4184" spans="1:16">
      <c r="A4184" s="3">
        <v>43917.178287037037</v>
      </c>
      <c r="B4184" s="4" t="str">
        <f>HYPERLINK("https://twitter.com/petrogustavo","@petrogustavo")</f>
        <v>@petrogustavo</v>
      </c>
      <c r="C4184" s="5" t="s">
        <v>16</v>
      </c>
      <c r="D4184" s="5" t="s">
        <v>4101</v>
      </c>
      <c r="E4184" s="6" t="str">
        <f>HYPERLINK("https://twitter.com/petrogustavo/status/1243308434432327680","1243308434432327680")</f>
        <v>1243308434432327680</v>
      </c>
      <c r="F4184" s="7" t="s">
        <v>17</v>
      </c>
      <c r="G4184" s="7">
        <v>3718630</v>
      </c>
      <c r="H4184" s="7">
        <v>2370</v>
      </c>
      <c r="I4184" s="7">
        <v>161</v>
      </c>
      <c r="J4184" s="7">
        <v>297</v>
      </c>
      <c r="K4184" s="7" t="s">
        <v>18</v>
      </c>
      <c r="L4184" s="8">
        <v>39987.315405092595</v>
      </c>
      <c r="M4184" s="9" t="s">
        <v>19</v>
      </c>
      <c r="N4184" s="9" t="s">
        <v>20</v>
      </c>
      <c r="O4184" s="6" t="str">
        <f>HYPERLINK("https://pbs.twimg.com/profile_images/962471262747529216/Uo8lOkRJ_normal.jpg","View")</f>
        <v>View</v>
      </c>
      <c r="P4184" s="7"/>
    </row>
    <row r="4185" spans="1:16">
      <c r="A4185" s="3">
        <v>43917.193379629629</v>
      </c>
      <c r="B4185" s="4" t="str">
        <f>HYPERLINK("https://twitter.com/petrogustavo","@petrogustavo")</f>
        <v>@petrogustavo</v>
      </c>
      <c r="C4185" s="5" t="s">
        <v>16</v>
      </c>
      <c r="D4185" s="5" t="s">
        <v>4102</v>
      </c>
      <c r="E4185" s="6" t="str">
        <f>HYPERLINK("https://twitter.com/petrogustavo/status/1243313901439258625","1243313901439258625")</f>
        <v>1243313901439258625</v>
      </c>
      <c r="F4185" s="7" t="s">
        <v>17</v>
      </c>
      <c r="G4185" s="7">
        <v>3718733</v>
      </c>
      <c r="H4185" s="7">
        <v>2370</v>
      </c>
      <c r="I4185" s="7">
        <v>236</v>
      </c>
      <c r="J4185" s="7">
        <v>533</v>
      </c>
      <c r="K4185" s="7" t="s">
        <v>18</v>
      </c>
      <c r="L4185" s="8">
        <v>39987.315405092595</v>
      </c>
      <c r="M4185" s="9" t="s">
        <v>19</v>
      </c>
      <c r="N4185" s="9" t="s">
        <v>20</v>
      </c>
      <c r="O4185" s="6" t="str">
        <f>HYPERLINK("https://pbs.twimg.com/profile_images/962471262747529216/Uo8lOkRJ_normal.jpg","View")</f>
        <v>View</v>
      </c>
      <c r="P4185" s="7"/>
    </row>
    <row r="4186" spans="1:16">
      <c r="A4186" s="3">
        <v>43917.200138888889</v>
      </c>
      <c r="B4186" s="4" t="str">
        <f>HYPERLINK("https://twitter.com/petrogustavo","@petrogustavo")</f>
        <v>@petrogustavo</v>
      </c>
      <c r="C4186" s="5" t="s">
        <v>16</v>
      </c>
      <c r="D4186" s="5" t="s">
        <v>4103</v>
      </c>
      <c r="E4186" s="6" t="str">
        <f>HYPERLINK("https://twitter.com/petrogustavo/status/1243316350463938567","1243316350463938567")</f>
        <v>1243316350463938567</v>
      </c>
      <c r="F4186" s="7" t="s">
        <v>17</v>
      </c>
      <c r="G4186" s="7">
        <v>3718733</v>
      </c>
      <c r="H4186" s="7">
        <v>2370</v>
      </c>
      <c r="I4186" s="7">
        <v>123</v>
      </c>
      <c r="J4186" s="7">
        <v>219</v>
      </c>
      <c r="K4186" s="7" t="s">
        <v>18</v>
      </c>
      <c r="L4186" s="8">
        <v>39987.315405092595</v>
      </c>
      <c r="M4186" s="9" t="s">
        <v>19</v>
      </c>
      <c r="N4186" s="9" t="s">
        <v>20</v>
      </c>
      <c r="O4186" s="6" t="str">
        <f>HYPERLINK("https://pbs.twimg.com/profile_images/962471262747529216/Uo8lOkRJ_normal.jpg","View")</f>
        <v>View</v>
      </c>
      <c r="P4186" s="7"/>
    </row>
    <row r="4187" spans="1:16">
      <c r="A4187" s="3">
        <v>43917.212187500001</v>
      </c>
      <c r="B4187" s="4" t="str">
        <f>HYPERLINK("https://twitter.com/petrogustavo","@petrogustavo")</f>
        <v>@petrogustavo</v>
      </c>
      <c r="C4187" s="5" t="s">
        <v>16</v>
      </c>
      <c r="D4187" s="5" t="s">
        <v>4104</v>
      </c>
      <c r="E4187" s="6" t="str">
        <f>HYPERLINK("https://twitter.com/petrogustavo/status/1243320719175540740","1243320719175540740")</f>
        <v>1243320719175540740</v>
      </c>
      <c r="F4187" s="7" t="s">
        <v>17</v>
      </c>
      <c r="G4187" s="7">
        <v>3718811</v>
      </c>
      <c r="H4187" s="7">
        <v>2370</v>
      </c>
      <c r="I4187" s="7">
        <v>102</v>
      </c>
      <c r="J4187" s="7">
        <v>323</v>
      </c>
      <c r="K4187" s="7" t="s">
        <v>18</v>
      </c>
      <c r="L4187" s="8">
        <v>39987.315405092595</v>
      </c>
      <c r="M4187" s="9" t="s">
        <v>19</v>
      </c>
      <c r="N4187" s="9" t="s">
        <v>20</v>
      </c>
      <c r="O4187" s="6" t="str">
        <f>HYPERLINK("https://pbs.twimg.com/profile_images/962471262747529216/Uo8lOkRJ_normal.jpg","View")</f>
        <v>View</v>
      </c>
      <c r="P4187" s="7"/>
    </row>
    <row r="4188" spans="1:16">
      <c r="A4188" s="3">
        <v>43917.214571759258</v>
      </c>
      <c r="B4188" s="4" t="str">
        <f>HYPERLINK("https://twitter.com/petrogustavo","@petrogustavo")</f>
        <v>@petrogustavo</v>
      </c>
      <c r="C4188" s="5" t="s">
        <v>16</v>
      </c>
      <c r="D4188" s="5" t="s">
        <v>4105</v>
      </c>
      <c r="E4188" s="6" t="str">
        <f>HYPERLINK("https://twitter.com/petrogustavo/status/1243321582438801410","1243321582438801410")</f>
        <v>1243321582438801410</v>
      </c>
      <c r="F4188" s="7" t="s">
        <v>17</v>
      </c>
      <c r="G4188" s="7">
        <v>3718811</v>
      </c>
      <c r="H4188" s="7">
        <v>2370</v>
      </c>
      <c r="I4188" s="7">
        <v>75</v>
      </c>
      <c r="J4188" s="7">
        <v>132</v>
      </c>
      <c r="K4188" s="7" t="s">
        <v>18</v>
      </c>
      <c r="L4188" s="8">
        <v>39987.315405092595</v>
      </c>
      <c r="M4188" s="9" t="s">
        <v>19</v>
      </c>
      <c r="N4188" s="9" t="s">
        <v>20</v>
      </c>
      <c r="O4188" s="6" t="str">
        <f>HYPERLINK("https://pbs.twimg.com/profile_images/962471262747529216/Uo8lOkRJ_normal.jpg","View")</f>
        <v>View</v>
      </c>
      <c r="P4188" s="7"/>
    </row>
    <row r="4189" spans="1:16">
      <c r="A4189" s="3">
        <v>43917.216956018514</v>
      </c>
      <c r="B4189" s="4" t="str">
        <f>HYPERLINK("https://twitter.com/petrogustavo","@petrogustavo")</f>
        <v>@petrogustavo</v>
      </c>
      <c r="C4189" s="5" t="s">
        <v>16</v>
      </c>
      <c r="D4189" s="5" t="s">
        <v>4106</v>
      </c>
      <c r="E4189" s="6" t="str">
        <f>HYPERLINK("https://twitter.com/petrogustavo/status/1243322445433638912","1243322445433638912")</f>
        <v>1243322445433638912</v>
      </c>
      <c r="F4189" s="7" t="s">
        <v>17</v>
      </c>
      <c r="G4189" s="7">
        <v>3718811</v>
      </c>
      <c r="H4189" s="7">
        <v>2370</v>
      </c>
      <c r="I4189" s="7">
        <v>72</v>
      </c>
      <c r="J4189" s="7">
        <v>187</v>
      </c>
      <c r="K4189" s="7" t="s">
        <v>18</v>
      </c>
      <c r="L4189" s="8">
        <v>39987.315405092595</v>
      </c>
      <c r="M4189" s="9" t="s">
        <v>19</v>
      </c>
      <c r="N4189" s="9" t="s">
        <v>20</v>
      </c>
      <c r="O4189" s="6" t="str">
        <f>HYPERLINK("https://pbs.twimg.com/profile_images/962471262747529216/Uo8lOkRJ_normal.jpg","View")</f>
        <v>View</v>
      </c>
      <c r="P4189" s="7"/>
    </row>
    <row r="4190" spans="1:16">
      <c r="A4190" s="3">
        <v>43917.221608796295</v>
      </c>
      <c r="B4190" s="4" t="str">
        <f>HYPERLINK("https://twitter.com/petrogustavo","@petrogustavo")</f>
        <v>@petrogustavo</v>
      </c>
      <c r="C4190" s="5" t="s">
        <v>16</v>
      </c>
      <c r="D4190" s="5" t="s">
        <v>4107</v>
      </c>
      <c r="E4190" s="6" t="str">
        <f>HYPERLINK("https://twitter.com/petrogustavo/status/1243324131497644032","1243324131497644032")</f>
        <v>1243324131497644032</v>
      </c>
      <c r="F4190" s="7" t="s">
        <v>17</v>
      </c>
      <c r="G4190" s="7">
        <v>3718811</v>
      </c>
      <c r="H4190" s="7">
        <v>2370</v>
      </c>
      <c r="I4190" s="7">
        <v>745</v>
      </c>
      <c r="J4190" s="7">
        <v>0</v>
      </c>
      <c r="K4190" s="7" t="s">
        <v>18</v>
      </c>
      <c r="L4190" s="8">
        <v>39987.315405092595</v>
      </c>
      <c r="M4190" s="9" t="s">
        <v>19</v>
      </c>
      <c r="N4190" s="9" t="s">
        <v>20</v>
      </c>
      <c r="O4190" s="6" t="str">
        <f>HYPERLINK("https://pbs.twimg.com/profile_images/962471262747529216/Uo8lOkRJ_normal.jpg","View")</f>
        <v>View</v>
      </c>
      <c r="P4190" s="7"/>
    </row>
    <row r="4191" spans="1:16">
      <c r="A4191" s="3">
        <v>43917.224016203705</v>
      </c>
      <c r="B4191" s="4" t="str">
        <f>HYPERLINK("https://twitter.com/petrogustavo","@petrogustavo")</f>
        <v>@petrogustavo</v>
      </c>
      <c r="C4191" s="5" t="s">
        <v>16</v>
      </c>
      <c r="D4191" s="5" t="s">
        <v>4108</v>
      </c>
      <c r="E4191" s="6" t="str">
        <f>HYPERLINK("https://twitter.com/petrogustavo/status/1243325002881142784","1243325002881142784")</f>
        <v>1243325002881142784</v>
      </c>
      <c r="F4191" s="7" t="s">
        <v>17</v>
      </c>
      <c r="G4191" s="7">
        <v>3718811</v>
      </c>
      <c r="H4191" s="7">
        <v>2370</v>
      </c>
      <c r="I4191" s="7">
        <v>128</v>
      </c>
      <c r="J4191" s="7">
        <v>233</v>
      </c>
      <c r="K4191" s="7" t="s">
        <v>18</v>
      </c>
      <c r="L4191" s="8">
        <v>39987.315405092595</v>
      </c>
      <c r="M4191" s="9" t="s">
        <v>19</v>
      </c>
      <c r="N4191" s="9" t="s">
        <v>20</v>
      </c>
      <c r="O4191" s="6" t="str">
        <f>HYPERLINK("https://pbs.twimg.com/profile_images/962471262747529216/Uo8lOkRJ_normal.jpg","View")</f>
        <v>View</v>
      </c>
      <c r="P4191" s="7"/>
    </row>
    <row r="4192" spans="1:16">
      <c r="A4192" s="3">
        <v>43917.241793981477</v>
      </c>
      <c r="B4192" s="4" t="str">
        <f>HYPERLINK("https://twitter.com/petrogustavo","@petrogustavo")</f>
        <v>@petrogustavo</v>
      </c>
      <c r="C4192" s="5" t="s">
        <v>16</v>
      </c>
      <c r="D4192" s="5" t="s">
        <v>4109</v>
      </c>
      <c r="E4192" s="6" t="str">
        <f>HYPERLINK("https://twitter.com/petrogustavo/status/1243331446556839946","1243331446556839946")</f>
        <v>1243331446556839946</v>
      </c>
      <c r="F4192" s="7" t="s">
        <v>17</v>
      </c>
      <c r="G4192" s="7">
        <v>3718876</v>
      </c>
      <c r="H4192" s="7">
        <v>2370</v>
      </c>
      <c r="I4192" s="7">
        <v>75</v>
      </c>
      <c r="J4192" s="7">
        <v>173</v>
      </c>
      <c r="K4192" s="7" t="s">
        <v>18</v>
      </c>
      <c r="L4192" s="8">
        <v>39987.315405092595</v>
      </c>
      <c r="M4192" s="9" t="s">
        <v>19</v>
      </c>
      <c r="N4192" s="9" t="s">
        <v>20</v>
      </c>
      <c r="O4192" s="6" t="str">
        <f>HYPERLINK("https://pbs.twimg.com/profile_images/962471262747529216/Uo8lOkRJ_normal.jpg","View")</f>
        <v>View</v>
      </c>
      <c r="P4192" s="7"/>
    </row>
    <row r="4193" spans="1:16">
      <c r="A4193" s="3">
        <v>43917.244814814811</v>
      </c>
      <c r="B4193" s="4" t="str">
        <f>HYPERLINK("https://twitter.com/petrogustavo","@petrogustavo")</f>
        <v>@petrogustavo</v>
      </c>
      <c r="C4193" s="5" t="s">
        <v>16</v>
      </c>
      <c r="D4193" s="5" t="s">
        <v>4110</v>
      </c>
      <c r="E4193" s="6" t="str">
        <f>HYPERLINK("https://twitter.com/petrogustavo/status/1243332541697986560","1243332541697986560")</f>
        <v>1243332541697986560</v>
      </c>
      <c r="F4193" s="7" t="s">
        <v>17</v>
      </c>
      <c r="G4193" s="7">
        <v>3718876</v>
      </c>
      <c r="H4193" s="7">
        <v>2370</v>
      </c>
      <c r="I4193" s="7">
        <v>132</v>
      </c>
      <c r="J4193" s="7">
        <v>0</v>
      </c>
      <c r="K4193" s="7" t="s">
        <v>18</v>
      </c>
      <c r="L4193" s="8">
        <v>39987.315405092595</v>
      </c>
      <c r="M4193" s="9" t="s">
        <v>19</v>
      </c>
      <c r="N4193" s="9" t="s">
        <v>20</v>
      </c>
      <c r="O4193" s="6" t="str">
        <f>HYPERLINK("https://pbs.twimg.com/profile_images/962471262747529216/Uo8lOkRJ_normal.jpg","View")</f>
        <v>View</v>
      </c>
      <c r="P4193" s="7"/>
    </row>
    <row r="4194" spans="1:16">
      <c r="A4194" s="3">
        <v>43917.247291666667</v>
      </c>
      <c r="B4194" s="4" t="str">
        <f>HYPERLINK("https://twitter.com/petrogustavo","@petrogustavo")</f>
        <v>@petrogustavo</v>
      </c>
      <c r="C4194" s="5" t="s">
        <v>16</v>
      </c>
      <c r="D4194" s="5" t="s">
        <v>4111</v>
      </c>
      <c r="E4194" s="6" t="str">
        <f>HYPERLINK("https://twitter.com/petrogustavo/status/1243333440415596546","1243333440415596546")</f>
        <v>1243333440415596546</v>
      </c>
      <c r="F4194" s="7" t="s">
        <v>17</v>
      </c>
      <c r="G4194" s="7">
        <v>3718876</v>
      </c>
      <c r="H4194" s="7">
        <v>2370</v>
      </c>
      <c r="I4194" s="7">
        <v>75</v>
      </c>
      <c r="J4194" s="7">
        <v>0</v>
      </c>
      <c r="K4194" s="7" t="s">
        <v>18</v>
      </c>
      <c r="L4194" s="8">
        <v>39987.315405092595</v>
      </c>
      <c r="M4194" s="9" t="s">
        <v>19</v>
      </c>
      <c r="N4194" s="9" t="s">
        <v>20</v>
      </c>
      <c r="O4194" s="6" t="str">
        <f>HYPERLINK("https://pbs.twimg.com/profile_images/962471262747529216/Uo8lOkRJ_normal.jpg","View")</f>
        <v>View</v>
      </c>
      <c r="P4194" s="7"/>
    </row>
    <row r="4195" spans="1:16">
      <c r="A4195" s="3">
        <v>43917.272546296299</v>
      </c>
      <c r="B4195" s="4" t="str">
        <f>HYPERLINK("https://twitter.com/petrogustavo","@petrogustavo")</f>
        <v>@petrogustavo</v>
      </c>
      <c r="C4195" s="5" t="s">
        <v>16</v>
      </c>
      <c r="D4195" s="5" t="s">
        <v>4112</v>
      </c>
      <c r="E4195" s="6" t="str">
        <f>HYPERLINK("https://twitter.com/petrogustavo/status/1243342589362868230","1243342589362868230")</f>
        <v>1243342589362868230</v>
      </c>
      <c r="F4195" s="7" t="s">
        <v>17</v>
      </c>
      <c r="G4195" s="7">
        <v>3719048</v>
      </c>
      <c r="H4195" s="7">
        <v>2370</v>
      </c>
      <c r="I4195" s="7">
        <v>76</v>
      </c>
      <c r="J4195" s="7">
        <v>0</v>
      </c>
      <c r="K4195" s="7" t="s">
        <v>18</v>
      </c>
      <c r="L4195" s="8">
        <v>39987.315405092595</v>
      </c>
      <c r="M4195" s="9" t="s">
        <v>19</v>
      </c>
      <c r="N4195" s="9" t="s">
        <v>20</v>
      </c>
      <c r="O4195" s="6" t="str">
        <f>HYPERLINK("https://pbs.twimg.com/profile_images/962471262747529216/Uo8lOkRJ_normal.jpg","View")</f>
        <v>View</v>
      </c>
      <c r="P4195" s="7"/>
    </row>
    <row r="4196" spans="1:16">
      <c r="A4196" s="3">
        <v>43917.279490740737</v>
      </c>
      <c r="B4196" s="4" t="str">
        <f>HYPERLINK("https://twitter.com/petrogustavo","@petrogustavo")</f>
        <v>@petrogustavo</v>
      </c>
      <c r="C4196" s="5" t="s">
        <v>16</v>
      </c>
      <c r="D4196" s="5" t="s">
        <v>4113</v>
      </c>
      <c r="E4196" s="6" t="str">
        <f>HYPERLINK("https://twitter.com/petrogustavo/status/1243345106226331655","1243345106226331655")</f>
        <v>1243345106226331655</v>
      </c>
      <c r="F4196" s="7" t="s">
        <v>17</v>
      </c>
      <c r="G4196" s="7">
        <v>3719048</v>
      </c>
      <c r="H4196" s="7">
        <v>2370</v>
      </c>
      <c r="I4196" s="7">
        <v>51</v>
      </c>
      <c r="J4196" s="7">
        <v>84</v>
      </c>
      <c r="K4196" s="7" t="s">
        <v>18</v>
      </c>
      <c r="L4196" s="8">
        <v>39987.315405092595</v>
      </c>
      <c r="M4196" s="9" t="s">
        <v>19</v>
      </c>
      <c r="N4196" s="9" t="s">
        <v>20</v>
      </c>
      <c r="O4196" s="6" t="str">
        <f>HYPERLINK("https://pbs.twimg.com/profile_images/962471262747529216/Uo8lOkRJ_normal.jpg","View")</f>
        <v>View</v>
      </c>
      <c r="P4196" s="7"/>
    </row>
    <row r="4197" spans="1:16">
      <c r="A4197" s="3">
        <v>43917.284421296295</v>
      </c>
      <c r="B4197" s="4" t="str">
        <f>HYPERLINK("https://twitter.com/petrogustavo","@petrogustavo")</f>
        <v>@petrogustavo</v>
      </c>
      <c r="C4197" s="5" t="s">
        <v>16</v>
      </c>
      <c r="D4197" s="5" t="s">
        <v>4114</v>
      </c>
      <c r="E4197" s="6" t="str">
        <f>HYPERLINK("https://twitter.com/petrogustavo/status/1243346892538380289","1243346892538380289")</f>
        <v>1243346892538380289</v>
      </c>
      <c r="F4197" s="7" t="s">
        <v>17</v>
      </c>
      <c r="G4197" s="7">
        <v>3719048</v>
      </c>
      <c r="H4197" s="7">
        <v>2370</v>
      </c>
      <c r="I4197" s="7">
        <v>1797</v>
      </c>
      <c r="J4197" s="7">
        <v>0</v>
      </c>
      <c r="K4197" s="7" t="s">
        <v>18</v>
      </c>
      <c r="L4197" s="8">
        <v>39987.315405092595</v>
      </c>
      <c r="M4197" s="9" t="s">
        <v>19</v>
      </c>
      <c r="N4197" s="9" t="s">
        <v>20</v>
      </c>
      <c r="O4197" s="6" t="str">
        <f>HYPERLINK("https://pbs.twimg.com/profile_images/962471262747529216/Uo8lOkRJ_normal.jpg","View")</f>
        <v>View</v>
      </c>
      <c r="P4197" s="7"/>
    </row>
    <row r="4198" spans="1:16">
      <c r="A4198" s="3">
        <v>43917.297291666662</v>
      </c>
      <c r="B4198" s="4" t="str">
        <f>HYPERLINK("https://twitter.com/petrogustavo","@petrogustavo")</f>
        <v>@petrogustavo</v>
      </c>
      <c r="C4198" s="5" t="s">
        <v>16</v>
      </c>
      <c r="D4198" s="5" t="s">
        <v>4115</v>
      </c>
      <c r="E4198" s="6" t="str">
        <f>HYPERLINK("https://twitter.com/petrogustavo/status/1243351557338533891","1243351557338533891")</f>
        <v>1243351557338533891</v>
      </c>
      <c r="F4198" s="7" t="s">
        <v>17</v>
      </c>
      <c r="G4198" s="7">
        <v>3719130</v>
      </c>
      <c r="H4198" s="7">
        <v>2370</v>
      </c>
      <c r="I4198" s="7">
        <v>369</v>
      </c>
      <c r="J4198" s="7">
        <v>957</v>
      </c>
      <c r="K4198" s="7" t="s">
        <v>18</v>
      </c>
      <c r="L4198" s="8">
        <v>39987.315405092595</v>
      </c>
      <c r="M4198" s="9" t="s">
        <v>19</v>
      </c>
      <c r="N4198" s="9" t="s">
        <v>20</v>
      </c>
      <c r="O4198" s="6" t="str">
        <f>HYPERLINK("https://pbs.twimg.com/profile_images/962471262747529216/Uo8lOkRJ_normal.jpg","View")</f>
        <v>View</v>
      </c>
      <c r="P4198" s="7"/>
    </row>
    <row r="4199" spans="1:16">
      <c r="A4199" s="3">
        <v>43917.327731481477</v>
      </c>
      <c r="B4199" s="4" t="str">
        <f>HYPERLINK("https://twitter.com/petrogustavo","@petrogustavo")</f>
        <v>@petrogustavo</v>
      </c>
      <c r="C4199" s="5" t="s">
        <v>16</v>
      </c>
      <c r="D4199" s="5" t="s">
        <v>4116</v>
      </c>
      <c r="E4199" s="6" t="str">
        <f>HYPERLINK("https://twitter.com/petrogustavo/status/1243362588068438016","1243362588068438016")</f>
        <v>1243362588068438016</v>
      </c>
      <c r="F4199" s="7" t="s">
        <v>17</v>
      </c>
      <c r="G4199" s="7">
        <v>3719193</v>
      </c>
      <c r="H4199" s="7">
        <v>2370</v>
      </c>
      <c r="I4199" s="7">
        <v>479</v>
      </c>
      <c r="J4199" s="7">
        <v>0</v>
      </c>
      <c r="K4199" s="7" t="s">
        <v>18</v>
      </c>
      <c r="L4199" s="8">
        <v>39987.315405092595</v>
      </c>
      <c r="M4199" s="9" t="s">
        <v>19</v>
      </c>
      <c r="N4199" s="9" t="s">
        <v>20</v>
      </c>
      <c r="O4199" s="6" t="str">
        <f>HYPERLINK("https://pbs.twimg.com/profile_images/962471262747529216/Uo8lOkRJ_normal.jpg","View")</f>
        <v>View</v>
      </c>
      <c r="P4199" s="7"/>
    </row>
    <row r="4200" spans="1:16">
      <c r="A4200" s="3">
        <v>43917.330694444448</v>
      </c>
      <c r="B4200" s="4" t="str">
        <f>HYPERLINK("https://twitter.com/petrogustavo","@petrogustavo")</f>
        <v>@petrogustavo</v>
      </c>
      <c r="C4200" s="5" t="s">
        <v>16</v>
      </c>
      <c r="D4200" s="5" t="s">
        <v>4117</v>
      </c>
      <c r="E4200" s="6" t="str">
        <f>HYPERLINK("https://twitter.com/petrogustavo/status/1243363664851128320","1243363664851128320")</f>
        <v>1243363664851128320</v>
      </c>
      <c r="F4200" s="7" t="s">
        <v>17</v>
      </c>
      <c r="G4200" s="7">
        <v>3719193</v>
      </c>
      <c r="H4200" s="7">
        <v>2370</v>
      </c>
      <c r="I4200" s="7">
        <v>69</v>
      </c>
      <c r="J4200" s="7">
        <v>135</v>
      </c>
      <c r="K4200" s="7" t="s">
        <v>18</v>
      </c>
      <c r="L4200" s="8">
        <v>39987.315405092595</v>
      </c>
      <c r="M4200" s="9" t="s">
        <v>19</v>
      </c>
      <c r="N4200" s="9" t="s">
        <v>20</v>
      </c>
      <c r="O4200" s="6" t="str">
        <f>HYPERLINK("https://pbs.twimg.com/profile_images/962471262747529216/Uo8lOkRJ_normal.jpg","View")</f>
        <v>View</v>
      </c>
      <c r="P4200" s="7"/>
    </row>
    <row r="4201" spans="1:16">
      <c r="A4201" s="3">
        <v>43917.342476851853</v>
      </c>
      <c r="B4201" s="4" t="str">
        <f>HYPERLINK("https://twitter.com/petrogustavo","@petrogustavo")</f>
        <v>@petrogustavo</v>
      </c>
      <c r="C4201" s="5" t="s">
        <v>16</v>
      </c>
      <c r="D4201" s="5" t="s">
        <v>4118</v>
      </c>
      <c r="E4201" s="6" t="str">
        <f>HYPERLINK("https://twitter.com/petrogustavo/status/1243367932106866688","1243367932106866688")</f>
        <v>1243367932106866688</v>
      </c>
      <c r="F4201" s="7" t="s">
        <v>17</v>
      </c>
      <c r="G4201" s="7">
        <v>3719284</v>
      </c>
      <c r="H4201" s="7">
        <v>2370</v>
      </c>
      <c r="I4201" s="7">
        <v>143</v>
      </c>
      <c r="J4201" s="7">
        <v>270</v>
      </c>
      <c r="K4201" s="7" t="s">
        <v>18</v>
      </c>
      <c r="L4201" s="8">
        <v>39987.315405092595</v>
      </c>
      <c r="M4201" s="9" t="s">
        <v>19</v>
      </c>
      <c r="N4201" s="9" t="s">
        <v>20</v>
      </c>
      <c r="O4201" s="6" t="str">
        <f>HYPERLINK("https://pbs.twimg.com/profile_images/962471262747529216/Uo8lOkRJ_normal.jpg","View")</f>
        <v>View</v>
      </c>
      <c r="P4201" s="7"/>
    </row>
    <row r="4202" spans="1:16">
      <c r="A4202" s="3">
        <v>43917.351678240739</v>
      </c>
      <c r="B4202" s="4" t="str">
        <f>HYPERLINK("https://twitter.com/petrogustavo","@petrogustavo")</f>
        <v>@petrogustavo</v>
      </c>
      <c r="C4202" s="5" t="s">
        <v>16</v>
      </c>
      <c r="D4202" s="5" t="s">
        <v>4119</v>
      </c>
      <c r="E4202" s="6" t="str">
        <f>HYPERLINK("https://twitter.com/petrogustavo/status/1243371267782250503","1243371267782250503")</f>
        <v>1243371267782250503</v>
      </c>
      <c r="F4202" s="7" t="s">
        <v>17</v>
      </c>
      <c r="G4202" s="7">
        <v>3719284</v>
      </c>
      <c r="H4202" s="7">
        <v>2370</v>
      </c>
      <c r="I4202" s="7">
        <v>10</v>
      </c>
      <c r="J4202" s="7">
        <v>0</v>
      </c>
      <c r="K4202" s="7" t="s">
        <v>18</v>
      </c>
      <c r="L4202" s="8">
        <v>39987.315405092595</v>
      </c>
      <c r="M4202" s="9" t="s">
        <v>19</v>
      </c>
      <c r="N4202" s="9" t="s">
        <v>20</v>
      </c>
      <c r="O4202" s="6" t="str">
        <f>HYPERLINK("https://pbs.twimg.com/profile_images/962471262747529216/Uo8lOkRJ_normal.jpg","View")</f>
        <v>View</v>
      </c>
      <c r="P4202" s="7"/>
    </row>
    <row r="4203" spans="1:16">
      <c r="A4203" s="3">
        <v>43917.35291666667</v>
      </c>
      <c r="B4203" s="4" t="str">
        <f>HYPERLINK("https://twitter.com/petrogustavo","@petrogustavo")</f>
        <v>@petrogustavo</v>
      </c>
      <c r="C4203" s="5" t="s">
        <v>16</v>
      </c>
      <c r="D4203" s="5" t="s">
        <v>4120</v>
      </c>
      <c r="E4203" s="6" t="str">
        <f>HYPERLINK("https://twitter.com/petrogustavo/status/1243371714333028352","1243371714333028352")</f>
        <v>1243371714333028352</v>
      </c>
      <c r="F4203" s="7" t="s">
        <v>17</v>
      </c>
      <c r="G4203" s="7">
        <v>3719284</v>
      </c>
      <c r="H4203" s="7">
        <v>2370</v>
      </c>
      <c r="I4203" s="7">
        <v>377</v>
      </c>
      <c r="J4203" s="7">
        <v>0</v>
      </c>
      <c r="K4203" s="7" t="s">
        <v>18</v>
      </c>
      <c r="L4203" s="8">
        <v>39987.315405092595</v>
      </c>
      <c r="M4203" s="9" t="s">
        <v>19</v>
      </c>
      <c r="N4203" s="9" t="s">
        <v>20</v>
      </c>
      <c r="O4203" s="6" t="str">
        <f>HYPERLINK("https://pbs.twimg.com/profile_images/962471262747529216/Uo8lOkRJ_normal.jpg","View")</f>
        <v>View</v>
      </c>
      <c r="P4203" s="7"/>
    </row>
    <row r="4204" spans="1:16">
      <c r="A4204" s="3">
        <v>43917.356527777782</v>
      </c>
      <c r="B4204" s="4" t="str">
        <f>HYPERLINK("https://twitter.com/petrogustavo","@petrogustavo")</f>
        <v>@petrogustavo</v>
      </c>
      <c r="C4204" s="5" t="s">
        <v>16</v>
      </c>
      <c r="D4204" s="5" t="s">
        <v>4121</v>
      </c>
      <c r="E4204" s="6" t="str">
        <f>HYPERLINK("https://twitter.com/petrogustavo/status/1243373023102722049","1243373023102722049")</f>
        <v>1243373023102722049</v>
      </c>
      <c r="F4204" s="7" t="s">
        <v>17</v>
      </c>
      <c r="G4204" s="7">
        <v>3719369</v>
      </c>
      <c r="H4204" s="7">
        <v>2370</v>
      </c>
      <c r="I4204" s="7">
        <v>237</v>
      </c>
      <c r="J4204" s="7">
        <v>0</v>
      </c>
      <c r="K4204" s="7" t="s">
        <v>18</v>
      </c>
      <c r="L4204" s="8">
        <v>39987.315405092595</v>
      </c>
      <c r="M4204" s="9" t="s">
        <v>19</v>
      </c>
      <c r="N4204" s="9" t="s">
        <v>20</v>
      </c>
      <c r="O4204" s="6" t="str">
        <f>HYPERLINK("https://pbs.twimg.com/profile_images/962471262747529216/Uo8lOkRJ_normal.jpg","View")</f>
        <v>View</v>
      </c>
      <c r="P4204" s="7"/>
    </row>
    <row r="4205" spans="1:16">
      <c r="A4205" s="3">
        <v>43917.356574074074</v>
      </c>
      <c r="B4205" s="4" t="str">
        <f>HYPERLINK("https://twitter.com/petrogustavo","@petrogustavo")</f>
        <v>@petrogustavo</v>
      </c>
      <c r="C4205" s="5" t="s">
        <v>16</v>
      </c>
      <c r="D4205" s="5" t="s">
        <v>4122</v>
      </c>
      <c r="E4205" s="6" t="str">
        <f>HYPERLINK("https://twitter.com/petrogustavo/status/1243373042904023041","1243373042904023041")</f>
        <v>1243373042904023041</v>
      </c>
      <c r="F4205" s="7" t="s">
        <v>17</v>
      </c>
      <c r="G4205" s="7">
        <v>3719369</v>
      </c>
      <c r="H4205" s="7">
        <v>2370</v>
      </c>
      <c r="I4205" s="7">
        <v>287</v>
      </c>
      <c r="J4205" s="7">
        <v>0</v>
      </c>
      <c r="K4205" s="7" t="s">
        <v>18</v>
      </c>
      <c r="L4205" s="8">
        <v>39987.315405092595</v>
      </c>
      <c r="M4205" s="9" t="s">
        <v>19</v>
      </c>
      <c r="N4205" s="9" t="s">
        <v>20</v>
      </c>
      <c r="O4205" s="6" t="str">
        <f>HYPERLINK("https://pbs.twimg.com/profile_images/962471262747529216/Uo8lOkRJ_normal.jpg","View")</f>
        <v>View</v>
      </c>
      <c r="P4205" s="7"/>
    </row>
    <row r="4206" spans="1:16">
      <c r="A4206" s="3">
        <v>43917.72252314815</v>
      </c>
      <c r="B4206" s="4" t="str">
        <f>HYPERLINK("https://twitter.com/petrogustavo","@petrogustavo")</f>
        <v>@petrogustavo</v>
      </c>
      <c r="C4206" s="5" t="s">
        <v>16</v>
      </c>
      <c r="D4206" s="5" t="s">
        <v>4123</v>
      </c>
      <c r="E4206" s="6" t="str">
        <f>HYPERLINK("https://twitter.com/petrogustavo/status/1243505657166344193","1243505657166344193")</f>
        <v>1243505657166344193</v>
      </c>
      <c r="F4206" s="7" t="s">
        <v>17</v>
      </c>
      <c r="G4206" s="7">
        <v>3719820</v>
      </c>
      <c r="H4206" s="7">
        <v>2370</v>
      </c>
      <c r="I4206" s="7">
        <v>182</v>
      </c>
      <c r="J4206" s="7">
        <v>0</v>
      </c>
      <c r="K4206" s="7" t="s">
        <v>18</v>
      </c>
      <c r="L4206" s="8">
        <v>39987.315405092595</v>
      </c>
      <c r="M4206" s="9" t="s">
        <v>19</v>
      </c>
      <c r="N4206" s="9" t="s">
        <v>20</v>
      </c>
      <c r="O4206" s="6" t="str">
        <f>HYPERLINK("https://pbs.twimg.com/profile_images/962471262747529216/Uo8lOkRJ_normal.jpg","View")</f>
        <v>View</v>
      </c>
      <c r="P4206" s="7"/>
    </row>
    <row r="4207" spans="1:16">
      <c r="A4207" s="3">
        <v>43917.723611111112</v>
      </c>
      <c r="B4207" s="4" t="str">
        <f>HYPERLINK("https://twitter.com/petrogustavo","@petrogustavo")</f>
        <v>@petrogustavo</v>
      </c>
      <c r="C4207" s="5" t="s">
        <v>16</v>
      </c>
      <c r="D4207" s="5" t="s">
        <v>4124</v>
      </c>
      <c r="E4207" s="6" t="str">
        <f>HYPERLINK("https://twitter.com/petrogustavo/status/1243506052194275328","1243506052194275328")</f>
        <v>1243506052194275328</v>
      </c>
      <c r="F4207" s="7" t="s">
        <v>17</v>
      </c>
      <c r="G4207" s="7">
        <v>3719820</v>
      </c>
      <c r="H4207" s="7">
        <v>2370</v>
      </c>
      <c r="I4207" s="7">
        <v>22</v>
      </c>
      <c r="J4207" s="7">
        <v>45</v>
      </c>
      <c r="K4207" s="7" t="s">
        <v>18</v>
      </c>
      <c r="L4207" s="8">
        <v>39987.315405092595</v>
      </c>
      <c r="M4207" s="9" t="s">
        <v>19</v>
      </c>
      <c r="N4207" s="9" t="s">
        <v>20</v>
      </c>
      <c r="O4207" s="6" t="str">
        <f>HYPERLINK("https://pbs.twimg.com/profile_images/962471262747529216/Uo8lOkRJ_normal.jpg","View")</f>
        <v>View</v>
      </c>
      <c r="P4207" s="7"/>
    </row>
    <row r="4208" spans="1:16">
      <c r="A4208" s="3">
        <v>43917.724444444444</v>
      </c>
      <c r="B4208" s="4" t="str">
        <f>HYPERLINK("https://twitter.com/petrogustavo","@petrogustavo")</f>
        <v>@petrogustavo</v>
      </c>
      <c r="C4208" s="5" t="s">
        <v>16</v>
      </c>
      <c r="D4208" s="5" t="s">
        <v>4125</v>
      </c>
      <c r="E4208" s="6" t="str">
        <f>HYPERLINK("https://twitter.com/petrogustavo/status/1243506351952838659","1243506351952838659")</f>
        <v>1243506351952838659</v>
      </c>
      <c r="F4208" s="7" t="s">
        <v>17</v>
      </c>
      <c r="G4208" s="7">
        <v>3719820</v>
      </c>
      <c r="H4208" s="7">
        <v>2370</v>
      </c>
      <c r="I4208" s="7">
        <v>89</v>
      </c>
      <c r="J4208" s="7">
        <v>160</v>
      </c>
      <c r="K4208" s="7" t="s">
        <v>18</v>
      </c>
      <c r="L4208" s="8">
        <v>39987.315405092595</v>
      </c>
      <c r="M4208" s="9" t="s">
        <v>19</v>
      </c>
      <c r="N4208" s="9" t="s">
        <v>20</v>
      </c>
      <c r="O4208" s="6" t="str">
        <f>HYPERLINK("https://pbs.twimg.com/profile_images/962471262747529216/Uo8lOkRJ_normal.jpg","View")</f>
        <v>View</v>
      </c>
      <c r="P4208" s="7"/>
    </row>
    <row r="4209" spans="1:16">
      <c r="A4209" s="3">
        <v>43917.727164351847</v>
      </c>
      <c r="B4209" s="4" t="str">
        <f>HYPERLINK("https://twitter.com/petrogustavo","@petrogustavo")</f>
        <v>@petrogustavo</v>
      </c>
      <c r="C4209" s="5" t="s">
        <v>16</v>
      </c>
      <c r="D4209" s="5" t="s">
        <v>4126</v>
      </c>
      <c r="E4209" s="6" t="str">
        <f>HYPERLINK("https://twitter.com/petrogustavo/status/1243507339493244929","1243507339493244929")</f>
        <v>1243507339493244929</v>
      </c>
      <c r="F4209" s="7" t="s">
        <v>17</v>
      </c>
      <c r="G4209" s="7">
        <v>3719820</v>
      </c>
      <c r="H4209" s="7">
        <v>2370</v>
      </c>
      <c r="I4209" s="7">
        <v>58</v>
      </c>
      <c r="J4209" s="7">
        <v>89</v>
      </c>
      <c r="K4209" s="7" t="s">
        <v>18</v>
      </c>
      <c r="L4209" s="8">
        <v>39987.315405092595</v>
      </c>
      <c r="M4209" s="9" t="s">
        <v>19</v>
      </c>
      <c r="N4209" s="9" t="s">
        <v>20</v>
      </c>
      <c r="O4209" s="6" t="str">
        <f>HYPERLINK("https://pbs.twimg.com/profile_images/962471262747529216/Uo8lOkRJ_normal.jpg","View")</f>
        <v>View</v>
      </c>
      <c r="P4209" s="7"/>
    </row>
    <row r="4210" spans="1:16">
      <c r="A4210" s="3">
        <v>43917.732511574075</v>
      </c>
      <c r="B4210" s="4" t="str">
        <f>HYPERLINK("https://twitter.com/petrogustavo","@petrogustavo")</f>
        <v>@petrogustavo</v>
      </c>
      <c r="C4210" s="5" t="s">
        <v>16</v>
      </c>
      <c r="D4210" s="5" t="s">
        <v>4127</v>
      </c>
      <c r="E4210" s="6" t="str">
        <f>HYPERLINK("https://twitter.com/petrogustavo/status/1243509274581532673","1243509274581532673")</f>
        <v>1243509274581532673</v>
      </c>
      <c r="F4210" s="7" t="s">
        <v>17</v>
      </c>
      <c r="G4210" s="7">
        <v>3719862</v>
      </c>
      <c r="H4210" s="7">
        <v>2370</v>
      </c>
      <c r="I4210" s="7">
        <v>119</v>
      </c>
      <c r="J4210" s="7">
        <v>142</v>
      </c>
      <c r="K4210" s="7" t="s">
        <v>18</v>
      </c>
      <c r="L4210" s="8">
        <v>39987.315405092595</v>
      </c>
      <c r="M4210" s="9" t="s">
        <v>19</v>
      </c>
      <c r="N4210" s="9" t="s">
        <v>20</v>
      </c>
      <c r="O4210" s="6" t="str">
        <f>HYPERLINK("https://pbs.twimg.com/profile_images/962471262747529216/Uo8lOkRJ_normal.jpg","View")</f>
        <v>View</v>
      </c>
      <c r="P4210" s="7"/>
    </row>
    <row r="4211" spans="1:16">
      <c r="A4211" s="3">
        <v>43917.735000000001</v>
      </c>
      <c r="B4211" s="4" t="str">
        <f>HYPERLINK("https://twitter.com/petrogustavo","@petrogustavo")</f>
        <v>@petrogustavo</v>
      </c>
      <c r="C4211" s="5" t="s">
        <v>16</v>
      </c>
      <c r="D4211" s="5" t="s">
        <v>4128</v>
      </c>
      <c r="E4211" s="6" t="str">
        <f>HYPERLINK("https://twitter.com/petrogustavo/status/1243510177468383240","1243510177468383240")</f>
        <v>1243510177468383240</v>
      </c>
      <c r="F4211" s="7" t="s">
        <v>17</v>
      </c>
      <c r="G4211" s="7">
        <v>3719862</v>
      </c>
      <c r="H4211" s="7">
        <v>2370</v>
      </c>
      <c r="I4211" s="7">
        <v>163</v>
      </c>
      <c r="J4211" s="7">
        <v>0</v>
      </c>
      <c r="K4211" s="7" t="s">
        <v>18</v>
      </c>
      <c r="L4211" s="8">
        <v>39987.315405092595</v>
      </c>
      <c r="M4211" s="9" t="s">
        <v>19</v>
      </c>
      <c r="N4211" s="9" t="s">
        <v>20</v>
      </c>
      <c r="O4211" s="6" t="str">
        <f>HYPERLINK("https://pbs.twimg.com/profile_images/962471262747529216/Uo8lOkRJ_normal.jpg","View")</f>
        <v>View</v>
      </c>
      <c r="P4211" s="7"/>
    </row>
    <row r="4212" spans="1:16">
      <c r="A4212" s="3">
        <v>43917.740752314814</v>
      </c>
      <c r="B4212" s="4" t="str">
        <f>HYPERLINK("https://twitter.com/petrogustavo","@petrogustavo")</f>
        <v>@petrogustavo</v>
      </c>
      <c r="C4212" s="5" t="s">
        <v>16</v>
      </c>
      <c r="D4212" s="5" t="s">
        <v>4129</v>
      </c>
      <c r="E4212" s="6" t="str">
        <f>HYPERLINK("https://twitter.com/petrogustavo/status/1243512263916630018","1243512263916630018")</f>
        <v>1243512263916630018</v>
      </c>
      <c r="F4212" s="7" t="s">
        <v>17</v>
      </c>
      <c r="G4212" s="7">
        <v>3719862</v>
      </c>
      <c r="H4212" s="7">
        <v>2370</v>
      </c>
      <c r="I4212" s="7">
        <v>144</v>
      </c>
      <c r="J4212" s="7">
        <v>367</v>
      </c>
      <c r="K4212" s="7" t="s">
        <v>18</v>
      </c>
      <c r="L4212" s="8">
        <v>39987.315405092595</v>
      </c>
      <c r="M4212" s="9" t="s">
        <v>19</v>
      </c>
      <c r="N4212" s="9" t="s">
        <v>20</v>
      </c>
      <c r="O4212" s="6" t="str">
        <f>HYPERLINK("https://pbs.twimg.com/profile_images/962471262747529216/Uo8lOkRJ_normal.jpg","View")</f>
        <v>View</v>
      </c>
      <c r="P4212" s="7"/>
    </row>
    <row r="4213" spans="1:16">
      <c r="A4213" s="3">
        <v>43917.747071759259</v>
      </c>
      <c r="B4213" s="4" t="str">
        <f>HYPERLINK("https://twitter.com/petrogustavo","@petrogustavo")</f>
        <v>@petrogustavo</v>
      </c>
      <c r="C4213" s="5" t="s">
        <v>16</v>
      </c>
      <c r="D4213" s="5" t="s">
        <v>4130</v>
      </c>
      <c r="E4213" s="6" t="str">
        <f>HYPERLINK("https://twitter.com/petrogustavo/status/1243514553100632065","1243514553100632065")</f>
        <v>1243514553100632065</v>
      </c>
      <c r="F4213" s="7" t="s">
        <v>17</v>
      </c>
      <c r="G4213" s="7">
        <v>3719862</v>
      </c>
      <c r="H4213" s="7">
        <v>2370</v>
      </c>
      <c r="I4213" s="7">
        <v>71</v>
      </c>
      <c r="J4213" s="7">
        <v>144</v>
      </c>
      <c r="K4213" s="7" t="s">
        <v>18</v>
      </c>
      <c r="L4213" s="8">
        <v>39987.315405092595</v>
      </c>
      <c r="M4213" s="9" t="s">
        <v>19</v>
      </c>
      <c r="N4213" s="9" t="s">
        <v>20</v>
      </c>
      <c r="O4213" s="6" t="str">
        <f>HYPERLINK("https://pbs.twimg.com/profile_images/962471262747529216/Uo8lOkRJ_normal.jpg","View")</f>
        <v>View</v>
      </c>
      <c r="P4213" s="7"/>
    </row>
    <row r="4214" spans="1:16">
      <c r="A4214" s="3">
        <v>43917.751828703702</v>
      </c>
      <c r="B4214" s="4" t="str">
        <f>HYPERLINK("https://twitter.com/petrogustavo","@petrogustavo")</f>
        <v>@petrogustavo</v>
      </c>
      <c r="C4214" s="5" t="s">
        <v>16</v>
      </c>
      <c r="D4214" s="5" t="s">
        <v>4131</v>
      </c>
      <c r="E4214" s="6" t="str">
        <f>HYPERLINK("https://twitter.com/petrogustavo/status/1243516278595297282","1243516278595297282")</f>
        <v>1243516278595297282</v>
      </c>
      <c r="F4214" s="7" t="s">
        <v>17</v>
      </c>
      <c r="G4214" s="7">
        <v>3719948</v>
      </c>
      <c r="H4214" s="7">
        <v>2371</v>
      </c>
      <c r="I4214" s="7">
        <v>80</v>
      </c>
      <c r="J4214" s="7">
        <v>108</v>
      </c>
      <c r="K4214" s="7" t="s">
        <v>18</v>
      </c>
      <c r="L4214" s="8">
        <v>39987.315405092595</v>
      </c>
      <c r="M4214" s="9" t="s">
        <v>19</v>
      </c>
      <c r="N4214" s="9" t="s">
        <v>20</v>
      </c>
      <c r="O4214" s="6" t="str">
        <f>HYPERLINK("https://pbs.twimg.com/profile_images/962471262747529216/Uo8lOkRJ_normal.jpg","View")</f>
        <v>View</v>
      </c>
      <c r="P4214" s="7"/>
    </row>
    <row r="4215" spans="1:16">
      <c r="A4215" s="3">
        <v>43917.757777777777</v>
      </c>
      <c r="B4215" s="4" t="str">
        <f>HYPERLINK("https://twitter.com/petrogustavo","@petrogustavo")</f>
        <v>@petrogustavo</v>
      </c>
      <c r="C4215" s="5" t="s">
        <v>16</v>
      </c>
      <c r="D4215" s="5" t="s">
        <v>4132</v>
      </c>
      <c r="E4215" s="6" t="str">
        <f>HYPERLINK("https://twitter.com/petrogustavo/status/1243518433540653056","1243518433540653056")</f>
        <v>1243518433540653056</v>
      </c>
      <c r="F4215" s="7" t="s">
        <v>17</v>
      </c>
      <c r="G4215" s="7">
        <v>3719948</v>
      </c>
      <c r="H4215" s="7">
        <v>2371</v>
      </c>
      <c r="I4215" s="7">
        <v>63</v>
      </c>
      <c r="J4215" s="7">
        <v>154</v>
      </c>
      <c r="K4215" s="7" t="s">
        <v>18</v>
      </c>
      <c r="L4215" s="8">
        <v>39987.315405092595</v>
      </c>
      <c r="M4215" s="9" t="s">
        <v>19</v>
      </c>
      <c r="N4215" s="9" t="s">
        <v>20</v>
      </c>
      <c r="O4215" s="6" t="str">
        <f>HYPERLINK("https://pbs.twimg.com/profile_images/962471262747529216/Uo8lOkRJ_normal.jpg","View")</f>
        <v>View</v>
      </c>
      <c r="P4215" s="7"/>
    </row>
    <row r="4216" spans="1:16">
      <c r="A4216" s="3">
        <v>43917.77034722222</v>
      </c>
      <c r="B4216" s="4" t="str">
        <f>HYPERLINK("https://twitter.com/petrogustavo","@petrogustavo")</f>
        <v>@petrogustavo</v>
      </c>
      <c r="C4216" s="5" t="s">
        <v>16</v>
      </c>
      <c r="D4216" s="5" t="s">
        <v>4133</v>
      </c>
      <c r="E4216" s="6" t="str">
        <f>HYPERLINK("https://twitter.com/petrogustavo/status/1243522986919034880","1243522986919034880")</f>
        <v>1243522986919034880</v>
      </c>
      <c r="F4216" s="7" t="s">
        <v>17</v>
      </c>
      <c r="G4216" s="7">
        <v>3719948</v>
      </c>
      <c r="H4216" s="7">
        <v>2371</v>
      </c>
      <c r="I4216" s="7">
        <v>42</v>
      </c>
      <c r="J4216" s="7">
        <v>89</v>
      </c>
      <c r="K4216" s="7" t="s">
        <v>18</v>
      </c>
      <c r="L4216" s="8">
        <v>39987.315405092595</v>
      </c>
      <c r="M4216" s="9" t="s">
        <v>19</v>
      </c>
      <c r="N4216" s="9" t="s">
        <v>20</v>
      </c>
      <c r="O4216" s="6" t="str">
        <f>HYPERLINK("https://pbs.twimg.com/profile_images/962471262747529216/Uo8lOkRJ_normal.jpg","View")</f>
        <v>View</v>
      </c>
      <c r="P4216" s="7"/>
    </row>
    <row r="4217" spans="1:16">
      <c r="A4217" s="3">
        <v>43917.774837962963</v>
      </c>
      <c r="B4217" s="4" t="str">
        <f>HYPERLINK("https://twitter.com/petrogustavo","@petrogustavo")</f>
        <v>@petrogustavo</v>
      </c>
      <c r="C4217" s="5" t="s">
        <v>16</v>
      </c>
      <c r="D4217" s="5" t="s">
        <v>4134</v>
      </c>
      <c r="E4217" s="6" t="str">
        <f>HYPERLINK("https://twitter.com/petrogustavo/status/1243524613180710914","1243524613180710914")</f>
        <v>1243524613180710914</v>
      </c>
      <c r="F4217" s="7" t="s">
        <v>17</v>
      </c>
      <c r="G4217" s="7">
        <v>3720027</v>
      </c>
      <c r="H4217" s="7">
        <v>2371</v>
      </c>
      <c r="I4217" s="7">
        <v>40</v>
      </c>
      <c r="J4217" s="7">
        <v>0</v>
      </c>
      <c r="K4217" s="7" t="s">
        <v>18</v>
      </c>
      <c r="L4217" s="8">
        <v>39987.315405092595</v>
      </c>
      <c r="M4217" s="9" t="s">
        <v>19</v>
      </c>
      <c r="N4217" s="9" t="s">
        <v>20</v>
      </c>
      <c r="O4217" s="6" t="str">
        <f>HYPERLINK("https://pbs.twimg.com/profile_images/962471262747529216/Uo8lOkRJ_normal.jpg","View")</f>
        <v>View</v>
      </c>
      <c r="P4217" s="7"/>
    </row>
    <row r="4218" spans="1:16">
      <c r="A4218" s="3">
        <v>43917.795671296291</v>
      </c>
      <c r="B4218" s="4" t="str">
        <f>HYPERLINK("https://twitter.com/petrogustavo","@petrogustavo")</f>
        <v>@petrogustavo</v>
      </c>
      <c r="C4218" s="5" t="s">
        <v>16</v>
      </c>
      <c r="D4218" s="5" t="s">
        <v>4135</v>
      </c>
      <c r="E4218" s="6" t="str">
        <f>HYPERLINK("https://twitter.com/petrogustavo/status/1243532166773997568","1243532166773997568")</f>
        <v>1243532166773997568</v>
      </c>
      <c r="F4218" s="7" t="s">
        <v>17</v>
      </c>
      <c r="G4218" s="7">
        <v>3720082</v>
      </c>
      <c r="H4218" s="7">
        <v>2371</v>
      </c>
      <c r="I4218" s="7">
        <v>197</v>
      </c>
      <c r="J4218" s="7">
        <v>355</v>
      </c>
      <c r="K4218" s="7" t="s">
        <v>18</v>
      </c>
      <c r="L4218" s="8">
        <v>39987.315405092595</v>
      </c>
      <c r="M4218" s="9" t="s">
        <v>19</v>
      </c>
      <c r="N4218" s="9" t="s">
        <v>20</v>
      </c>
      <c r="O4218" s="6" t="str">
        <f>HYPERLINK("https://pbs.twimg.com/profile_images/962471262747529216/Uo8lOkRJ_normal.jpg","View")</f>
        <v>View</v>
      </c>
      <c r="P4218" s="7"/>
    </row>
    <row r="4219" spans="1:16">
      <c r="A4219" s="3">
        <v>43917.798726851848</v>
      </c>
      <c r="B4219" s="4" t="str">
        <f>HYPERLINK("https://twitter.com/petrogustavo","@petrogustavo")</f>
        <v>@petrogustavo</v>
      </c>
      <c r="C4219" s="5" t="s">
        <v>16</v>
      </c>
      <c r="D4219" s="5" t="s">
        <v>4136</v>
      </c>
      <c r="E4219" s="6" t="str">
        <f>HYPERLINK("https://twitter.com/petrogustavo/status/1243533274342924292","1243533274342924292")</f>
        <v>1243533274342924292</v>
      </c>
      <c r="F4219" s="7" t="s">
        <v>17</v>
      </c>
      <c r="G4219" s="7">
        <v>3720082</v>
      </c>
      <c r="H4219" s="7">
        <v>2371</v>
      </c>
      <c r="I4219" s="7">
        <v>146</v>
      </c>
      <c r="J4219" s="7">
        <v>260</v>
      </c>
      <c r="K4219" s="7" t="s">
        <v>18</v>
      </c>
      <c r="L4219" s="8">
        <v>39987.315405092595</v>
      </c>
      <c r="M4219" s="9" t="s">
        <v>19</v>
      </c>
      <c r="N4219" s="9" t="s">
        <v>20</v>
      </c>
      <c r="O4219" s="6" t="str">
        <f>HYPERLINK("https://pbs.twimg.com/profile_images/962471262747529216/Uo8lOkRJ_normal.jpg","View")</f>
        <v>View</v>
      </c>
      <c r="P4219" s="7"/>
    </row>
    <row r="4220" spans="1:16">
      <c r="A4220" s="3">
        <v>43917.812743055554</v>
      </c>
      <c r="B4220" s="4" t="str">
        <f>HYPERLINK("https://twitter.com/petrogustavo","@petrogustavo")</f>
        <v>@petrogustavo</v>
      </c>
      <c r="C4220" s="5" t="s">
        <v>16</v>
      </c>
      <c r="D4220" s="5" t="s">
        <v>4137</v>
      </c>
      <c r="E4220" s="6" t="str">
        <f>HYPERLINK("https://twitter.com/petrogustavo/status/1243538350893662209","1243538350893662209")</f>
        <v>1243538350893662209</v>
      </c>
      <c r="F4220" s="7" t="s">
        <v>17</v>
      </c>
      <c r="G4220" s="7">
        <v>3720082</v>
      </c>
      <c r="H4220" s="7">
        <v>2371</v>
      </c>
      <c r="I4220" s="7">
        <v>9</v>
      </c>
      <c r="J4220" s="7">
        <v>20</v>
      </c>
      <c r="K4220" s="7" t="s">
        <v>18</v>
      </c>
      <c r="L4220" s="8">
        <v>39987.315405092595</v>
      </c>
      <c r="M4220" s="9" t="s">
        <v>19</v>
      </c>
      <c r="N4220" s="9" t="s">
        <v>20</v>
      </c>
      <c r="O4220" s="6" t="str">
        <f>HYPERLINK("https://pbs.twimg.com/profile_images/962471262747529216/Uo8lOkRJ_normal.jpg","View")</f>
        <v>View</v>
      </c>
      <c r="P4220" s="7"/>
    </row>
    <row r="4221" spans="1:16">
      <c r="A4221" s="3">
        <v>43917.821932870371</v>
      </c>
      <c r="B4221" s="4" t="str">
        <f>HYPERLINK("https://twitter.com/petrogustavo","@petrogustavo")</f>
        <v>@petrogustavo</v>
      </c>
      <c r="C4221" s="5" t="s">
        <v>16</v>
      </c>
      <c r="D4221" s="5" t="s">
        <v>4138</v>
      </c>
      <c r="E4221" s="6" t="str">
        <f>HYPERLINK("https://twitter.com/petrogustavo/status/1243541680206360578","1243541680206360578")</f>
        <v>1243541680206360578</v>
      </c>
      <c r="F4221" s="7" t="s">
        <v>17</v>
      </c>
      <c r="G4221" s="7">
        <v>3720134</v>
      </c>
      <c r="H4221" s="7">
        <v>2371</v>
      </c>
      <c r="I4221" s="7">
        <v>66</v>
      </c>
      <c r="J4221" s="7">
        <v>134</v>
      </c>
      <c r="K4221" s="7" t="s">
        <v>18</v>
      </c>
      <c r="L4221" s="8">
        <v>39987.315405092595</v>
      </c>
      <c r="M4221" s="9" t="s">
        <v>19</v>
      </c>
      <c r="N4221" s="9" t="s">
        <v>20</v>
      </c>
      <c r="O4221" s="6" t="str">
        <f>HYPERLINK("https://pbs.twimg.com/profile_images/962471262747529216/Uo8lOkRJ_normal.jpg","View")</f>
        <v>View</v>
      </c>
      <c r="P4221" s="7"/>
    </row>
    <row r="4222" spans="1:16">
      <c r="A4222" s="3">
        <v>43917.892546296294</v>
      </c>
      <c r="B4222" s="4" t="str">
        <f>HYPERLINK("https://twitter.com/petrogustavo","@petrogustavo")</f>
        <v>@petrogustavo</v>
      </c>
      <c r="C4222" s="5" t="s">
        <v>16</v>
      </c>
      <c r="D4222" s="5" t="s">
        <v>4139</v>
      </c>
      <c r="E4222" s="6" t="str">
        <f>HYPERLINK("https://twitter.com/petrogustavo/status/1243567272645582848","1243567272645582848")</f>
        <v>1243567272645582848</v>
      </c>
      <c r="F4222" s="7" t="s">
        <v>17</v>
      </c>
      <c r="G4222" s="7">
        <v>3720343</v>
      </c>
      <c r="H4222" s="7">
        <v>2371</v>
      </c>
      <c r="I4222" s="7">
        <v>91</v>
      </c>
      <c r="J4222" s="7">
        <v>0</v>
      </c>
      <c r="K4222" s="7" t="s">
        <v>18</v>
      </c>
      <c r="L4222" s="8">
        <v>39987.315405092595</v>
      </c>
      <c r="M4222" s="9" t="s">
        <v>19</v>
      </c>
      <c r="N4222" s="9" t="s">
        <v>20</v>
      </c>
      <c r="O4222" s="6" t="str">
        <f>HYPERLINK("https://pbs.twimg.com/profile_images/962471262747529216/Uo8lOkRJ_normal.jpg","View")</f>
        <v>View</v>
      </c>
      <c r="P4222" s="7"/>
    </row>
    <row r="4223" spans="1:16">
      <c r="A4223" s="3">
        <v>43917.89366898148</v>
      </c>
      <c r="B4223" s="4" t="str">
        <f>HYPERLINK("https://twitter.com/petrogustavo","@petrogustavo")</f>
        <v>@petrogustavo</v>
      </c>
      <c r="C4223" s="5" t="s">
        <v>16</v>
      </c>
      <c r="D4223" s="5" t="s">
        <v>4140</v>
      </c>
      <c r="E4223" s="6" t="str">
        <f>HYPERLINK("https://twitter.com/petrogustavo/status/1243567680235454469","1243567680235454469")</f>
        <v>1243567680235454469</v>
      </c>
      <c r="F4223" s="7" t="s">
        <v>17</v>
      </c>
      <c r="G4223" s="7">
        <v>3720343</v>
      </c>
      <c r="H4223" s="7">
        <v>2371</v>
      </c>
      <c r="I4223" s="7">
        <v>980</v>
      </c>
      <c r="J4223" s="7">
        <v>0</v>
      </c>
      <c r="K4223" s="7" t="s">
        <v>18</v>
      </c>
      <c r="L4223" s="8">
        <v>39987.315405092595</v>
      </c>
      <c r="M4223" s="9" t="s">
        <v>19</v>
      </c>
      <c r="N4223" s="9" t="s">
        <v>20</v>
      </c>
      <c r="O4223" s="6" t="str">
        <f>HYPERLINK("https://pbs.twimg.com/profile_images/962471262747529216/Uo8lOkRJ_normal.jpg","View")</f>
        <v>View</v>
      </c>
      <c r="P4223" s="7"/>
    </row>
    <row r="4224" spans="1:16">
      <c r="A4224" s="3">
        <v>43917.913136574076</v>
      </c>
      <c r="B4224" s="4" t="str">
        <f>HYPERLINK("https://twitter.com/petrogustavo","@petrogustavo")</f>
        <v>@petrogustavo</v>
      </c>
      <c r="C4224" s="5" t="s">
        <v>16</v>
      </c>
      <c r="D4224" s="5" t="s">
        <v>4141</v>
      </c>
      <c r="E4224" s="6" t="str">
        <f>HYPERLINK("https://twitter.com/petrogustavo/status/1243574732999610368","1243574732999610368")</f>
        <v>1243574732999610368</v>
      </c>
      <c r="F4224" s="7" t="s">
        <v>17</v>
      </c>
      <c r="G4224" s="7">
        <v>3720412</v>
      </c>
      <c r="H4224" s="7">
        <v>2371</v>
      </c>
      <c r="I4224" s="7">
        <v>29</v>
      </c>
      <c r="J4224" s="7">
        <v>38</v>
      </c>
      <c r="K4224" s="7" t="s">
        <v>18</v>
      </c>
      <c r="L4224" s="8">
        <v>39987.315405092595</v>
      </c>
      <c r="M4224" s="9" t="s">
        <v>19</v>
      </c>
      <c r="N4224" s="9" t="s">
        <v>20</v>
      </c>
      <c r="O4224" s="6" t="str">
        <f>HYPERLINK("https://pbs.twimg.com/profile_images/962471262747529216/Uo8lOkRJ_normal.jpg","View")</f>
        <v>View</v>
      </c>
      <c r="P4224" s="7"/>
    </row>
    <row r="4225" spans="1:16">
      <c r="A4225" s="3">
        <v>43917.928287037037</v>
      </c>
      <c r="B4225" s="4" t="str">
        <f>HYPERLINK("https://twitter.com/petrogustavo","@petrogustavo")</f>
        <v>@petrogustavo</v>
      </c>
      <c r="C4225" s="5" t="s">
        <v>16</v>
      </c>
      <c r="D4225" s="5" t="s">
        <v>4142</v>
      </c>
      <c r="E4225" s="6" t="str">
        <f>HYPERLINK("https://twitter.com/petrogustavo/status/1243580223184044032","1243580223184044032")</f>
        <v>1243580223184044032</v>
      </c>
      <c r="F4225" s="7" t="s">
        <v>17</v>
      </c>
      <c r="G4225" s="7">
        <v>3720481</v>
      </c>
      <c r="H4225" s="7">
        <v>2371</v>
      </c>
      <c r="I4225" s="7">
        <v>59</v>
      </c>
      <c r="J4225" s="7">
        <v>115</v>
      </c>
      <c r="K4225" s="7" t="s">
        <v>18</v>
      </c>
      <c r="L4225" s="8">
        <v>39987.315405092595</v>
      </c>
      <c r="M4225" s="9" t="s">
        <v>19</v>
      </c>
      <c r="N4225" s="9" t="s">
        <v>20</v>
      </c>
      <c r="O4225" s="6" t="str">
        <f>HYPERLINK("https://pbs.twimg.com/profile_images/962471262747529216/Uo8lOkRJ_normal.jpg","View")</f>
        <v>View</v>
      </c>
      <c r="P4225" s="7"/>
    </row>
    <row r="4226" spans="1:16">
      <c r="A4226" s="3">
        <v>43917.931712962964</v>
      </c>
      <c r="B4226" s="4" t="str">
        <f>HYPERLINK("https://twitter.com/petrogustavo","@petrogustavo")</f>
        <v>@petrogustavo</v>
      </c>
      <c r="C4226" s="5" t="s">
        <v>16</v>
      </c>
      <c r="D4226" s="5" t="s">
        <v>4143</v>
      </c>
      <c r="E4226" s="6" t="str">
        <f>HYPERLINK("https://twitter.com/petrogustavo/status/1243581464337317895","1243581464337317895")</f>
        <v>1243581464337317895</v>
      </c>
      <c r="F4226" s="7" t="s">
        <v>17</v>
      </c>
      <c r="G4226" s="7">
        <v>3720481</v>
      </c>
      <c r="H4226" s="7">
        <v>2371</v>
      </c>
      <c r="I4226" s="7">
        <v>54</v>
      </c>
      <c r="J4226" s="7">
        <v>133</v>
      </c>
      <c r="K4226" s="7" t="s">
        <v>18</v>
      </c>
      <c r="L4226" s="8">
        <v>39987.315405092595</v>
      </c>
      <c r="M4226" s="9" t="s">
        <v>19</v>
      </c>
      <c r="N4226" s="9" t="s">
        <v>20</v>
      </c>
      <c r="O4226" s="6" t="str">
        <f>HYPERLINK("https://pbs.twimg.com/profile_images/962471262747529216/Uo8lOkRJ_normal.jpg","View")</f>
        <v>View</v>
      </c>
      <c r="P4226" s="7"/>
    </row>
    <row r="4227" spans="1:16">
      <c r="A4227" s="3">
        <v>43917.935844907406</v>
      </c>
      <c r="B4227" s="4" t="str">
        <f>HYPERLINK("https://twitter.com/petrogustavo","@petrogustavo")</f>
        <v>@petrogustavo</v>
      </c>
      <c r="C4227" s="5" t="s">
        <v>16</v>
      </c>
      <c r="D4227" s="5" t="s">
        <v>4144</v>
      </c>
      <c r="E4227" s="6" t="str">
        <f>HYPERLINK("https://twitter.com/petrogustavo/status/1243582963436204038","1243582963436204038")</f>
        <v>1243582963436204038</v>
      </c>
      <c r="F4227" s="7" t="s">
        <v>17</v>
      </c>
      <c r="G4227" s="7">
        <v>3720481</v>
      </c>
      <c r="H4227" s="7">
        <v>2371</v>
      </c>
      <c r="I4227" s="7">
        <v>63</v>
      </c>
      <c r="J4227" s="7">
        <v>153</v>
      </c>
      <c r="K4227" s="7" t="s">
        <v>18</v>
      </c>
      <c r="L4227" s="8">
        <v>39987.315405092595</v>
      </c>
      <c r="M4227" s="9" t="s">
        <v>19</v>
      </c>
      <c r="N4227" s="9" t="s">
        <v>20</v>
      </c>
      <c r="O4227" s="6" t="str">
        <f>HYPERLINK("https://pbs.twimg.com/profile_images/962471262747529216/Uo8lOkRJ_normal.jpg","View")</f>
        <v>View</v>
      </c>
      <c r="P4227" s="7"/>
    </row>
    <row r="4228" spans="1:16">
      <c r="A4228" s="3">
        <v>43917.938969907409</v>
      </c>
      <c r="B4228" s="4" t="str">
        <f>HYPERLINK("https://twitter.com/petrogustavo","@petrogustavo")</f>
        <v>@petrogustavo</v>
      </c>
      <c r="C4228" s="5" t="s">
        <v>16</v>
      </c>
      <c r="D4228" s="5" t="s">
        <v>4145</v>
      </c>
      <c r="E4228" s="6" t="str">
        <f>HYPERLINK("https://twitter.com/petrogustavo/status/1243584095835369472","1243584095835369472")</f>
        <v>1243584095835369472</v>
      </c>
      <c r="F4228" s="7" t="s">
        <v>17</v>
      </c>
      <c r="G4228" s="7">
        <v>3720481</v>
      </c>
      <c r="H4228" s="7">
        <v>2371</v>
      </c>
      <c r="I4228" s="7">
        <v>0</v>
      </c>
      <c r="J4228" s="7">
        <v>0</v>
      </c>
      <c r="K4228" s="7" t="s">
        <v>18</v>
      </c>
      <c r="L4228" s="8">
        <v>39987.315405092595</v>
      </c>
      <c r="M4228" s="9" t="s">
        <v>19</v>
      </c>
      <c r="N4228" s="9" t="s">
        <v>20</v>
      </c>
      <c r="O4228" s="6" t="str">
        <f>HYPERLINK("https://pbs.twimg.com/profile_images/962471262747529216/Uo8lOkRJ_normal.jpg","View")</f>
        <v>View</v>
      </c>
      <c r="P4228" s="7"/>
    </row>
    <row r="4229" spans="1:16">
      <c r="A4229" s="3">
        <v>43917.953993055555</v>
      </c>
      <c r="B4229" s="4" t="str">
        <f>HYPERLINK("https://twitter.com/petrogustavo","@petrogustavo")</f>
        <v>@petrogustavo</v>
      </c>
      <c r="C4229" s="5" t="s">
        <v>16</v>
      </c>
      <c r="D4229" s="5" t="s">
        <v>4146</v>
      </c>
      <c r="E4229" s="6" t="str">
        <f>HYPERLINK("https://twitter.com/petrogustavo/status/1243589539282681863","1243589539282681863")</f>
        <v>1243589539282681863</v>
      </c>
      <c r="F4229" s="7" t="s">
        <v>17</v>
      </c>
      <c r="G4229" s="7">
        <v>3720545</v>
      </c>
      <c r="H4229" s="7">
        <v>2371</v>
      </c>
      <c r="I4229" s="7">
        <v>145</v>
      </c>
      <c r="J4229" s="7">
        <v>0</v>
      </c>
      <c r="K4229" s="7" t="s">
        <v>18</v>
      </c>
      <c r="L4229" s="8">
        <v>39987.315405092595</v>
      </c>
      <c r="M4229" s="9" t="s">
        <v>19</v>
      </c>
      <c r="N4229" s="9" t="s">
        <v>20</v>
      </c>
      <c r="O4229" s="6" t="str">
        <f>HYPERLINK("https://pbs.twimg.com/profile_images/962471262747529216/Uo8lOkRJ_normal.jpg","View")</f>
        <v>View</v>
      </c>
      <c r="P4229" s="7"/>
    </row>
    <row r="4230" spans="1:16">
      <c r="A4230" s="3">
        <v>43918.005787037036</v>
      </c>
      <c r="B4230" s="4" t="str">
        <f>HYPERLINK("https://twitter.com/petrogustavo","@petrogustavo")</f>
        <v>@petrogustavo</v>
      </c>
      <c r="C4230" s="5" t="s">
        <v>16</v>
      </c>
      <c r="D4230" s="5" t="s">
        <v>4147</v>
      </c>
      <c r="E4230" s="6" t="str">
        <f>HYPERLINK("https://twitter.com/petrogustavo/status/1243608306540740608","1243608306540740608")</f>
        <v>1243608306540740608</v>
      </c>
      <c r="F4230" s="7" t="s">
        <v>17</v>
      </c>
      <c r="G4230" s="7">
        <v>3720757</v>
      </c>
      <c r="H4230" s="7">
        <v>2371</v>
      </c>
      <c r="I4230" s="7">
        <v>709</v>
      </c>
      <c r="J4230" s="7">
        <v>1531</v>
      </c>
      <c r="K4230" s="7" t="s">
        <v>18</v>
      </c>
      <c r="L4230" s="8">
        <v>39987.315405092595</v>
      </c>
      <c r="M4230" s="9" t="s">
        <v>19</v>
      </c>
      <c r="N4230" s="9" t="s">
        <v>20</v>
      </c>
      <c r="O4230" s="6" t="str">
        <f>HYPERLINK("https://pbs.twimg.com/profile_images/962471262747529216/Uo8lOkRJ_normal.jpg","View")</f>
        <v>View</v>
      </c>
      <c r="P4230" s="7"/>
    </row>
    <row r="4231" spans="1:16">
      <c r="A4231" s="3">
        <v>43918.00917824074</v>
      </c>
      <c r="B4231" s="4" t="str">
        <f>HYPERLINK("https://twitter.com/petrogustavo","@petrogustavo")</f>
        <v>@petrogustavo</v>
      </c>
      <c r="C4231" s="5" t="s">
        <v>16</v>
      </c>
      <c r="D4231" s="5" t="s">
        <v>4148</v>
      </c>
      <c r="E4231" s="6" t="str">
        <f>HYPERLINK("https://twitter.com/petrogustavo/status/1243609535320928257","1243609535320928257")</f>
        <v>1243609535320928257</v>
      </c>
      <c r="F4231" s="7" t="s">
        <v>17</v>
      </c>
      <c r="G4231" s="7">
        <v>3720757</v>
      </c>
      <c r="H4231" s="7">
        <v>2371</v>
      </c>
      <c r="I4231" s="7">
        <v>45</v>
      </c>
      <c r="J4231" s="7">
        <v>123</v>
      </c>
      <c r="K4231" s="7" t="s">
        <v>18</v>
      </c>
      <c r="L4231" s="8">
        <v>39987.315405092595</v>
      </c>
      <c r="M4231" s="9" t="s">
        <v>19</v>
      </c>
      <c r="N4231" s="9" t="s">
        <v>20</v>
      </c>
      <c r="O4231" s="6" t="str">
        <f>HYPERLINK("https://pbs.twimg.com/profile_images/962471262747529216/Uo8lOkRJ_normal.jpg","View")</f>
        <v>View</v>
      </c>
      <c r="P4231" s="7"/>
    </row>
    <row r="4232" spans="1:16">
      <c r="A4232" s="3">
        <v>43918.016597222224</v>
      </c>
      <c r="B4232" s="4" t="str">
        <f>HYPERLINK("https://twitter.com/petrogustavo","@petrogustavo")</f>
        <v>@petrogustavo</v>
      </c>
      <c r="C4232" s="5" t="s">
        <v>16</v>
      </c>
      <c r="D4232" s="5" t="s">
        <v>4149</v>
      </c>
      <c r="E4232" s="6" t="str">
        <f>HYPERLINK("https://twitter.com/petrogustavo/status/1243612227913093120","1243612227913093120")</f>
        <v>1243612227913093120</v>
      </c>
      <c r="F4232" s="7" t="s">
        <v>17</v>
      </c>
      <c r="G4232" s="7">
        <v>3720757</v>
      </c>
      <c r="H4232" s="7">
        <v>2371</v>
      </c>
      <c r="I4232" s="7">
        <v>570</v>
      </c>
      <c r="J4232" s="7">
        <v>0</v>
      </c>
      <c r="K4232" s="7" t="s">
        <v>18</v>
      </c>
      <c r="L4232" s="8">
        <v>39987.315405092595</v>
      </c>
      <c r="M4232" s="9" t="s">
        <v>19</v>
      </c>
      <c r="N4232" s="9" t="s">
        <v>20</v>
      </c>
      <c r="O4232" s="6" t="str">
        <f>HYPERLINK("https://pbs.twimg.com/profile_images/962471262747529216/Uo8lOkRJ_normal.jpg","View")</f>
        <v>View</v>
      </c>
      <c r="P4232" s="7"/>
    </row>
    <row r="4233" spans="1:16">
      <c r="A4233" s="3">
        <v>43918.018090277779</v>
      </c>
      <c r="B4233" s="4" t="str">
        <f>HYPERLINK("https://twitter.com/petrogustavo","@petrogustavo")</f>
        <v>@petrogustavo</v>
      </c>
      <c r="C4233" s="5" t="s">
        <v>16</v>
      </c>
      <c r="D4233" s="5" t="s">
        <v>4150</v>
      </c>
      <c r="E4233" s="6" t="str">
        <f>HYPERLINK("https://twitter.com/petrogustavo/status/1243612765769682944","1243612765769682944")</f>
        <v>1243612765769682944</v>
      </c>
      <c r="F4233" s="7" t="s">
        <v>17</v>
      </c>
      <c r="G4233" s="7">
        <v>3720757</v>
      </c>
      <c r="H4233" s="7">
        <v>2371</v>
      </c>
      <c r="I4233" s="7">
        <v>100</v>
      </c>
      <c r="J4233" s="7">
        <v>187</v>
      </c>
      <c r="K4233" s="7" t="s">
        <v>18</v>
      </c>
      <c r="L4233" s="8">
        <v>39987.315405092595</v>
      </c>
      <c r="M4233" s="9" t="s">
        <v>19</v>
      </c>
      <c r="N4233" s="9" t="s">
        <v>20</v>
      </c>
      <c r="O4233" s="6" t="str">
        <f>HYPERLINK("https://pbs.twimg.com/profile_images/962471262747529216/Uo8lOkRJ_normal.jpg","View")</f>
        <v>View</v>
      </c>
      <c r="P4233" s="7"/>
    </row>
    <row r="4234" spans="1:16">
      <c r="A4234" s="3">
        <v>43918.019525462965</v>
      </c>
      <c r="B4234" s="4" t="str">
        <f>HYPERLINK("https://twitter.com/petrogustavo","@petrogustavo")</f>
        <v>@petrogustavo</v>
      </c>
      <c r="C4234" s="5" t="s">
        <v>16</v>
      </c>
      <c r="D4234" s="5" t="s">
        <v>4151</v>
      </c>
      <c r="E4234" s="6" t="str">
        <f>HYPERLINK("https://twitter.com/petrogustavo/status/1243613286022684673","1243613286022684673")</f>
        <v>1243613286022684673</v>
      </c>
      <c r="F4234" s="7" t="s">
        <v>17</v>
      </c>
      <c r="G4234" s="7">
        <v>3720757</v>
      </c>
      <c r="H4234" s="7">
        <v>2371</v>
      </c>
      <c r="I4234" s="7">
        <v>15</v>
      </c>
      <c r="J4234" s="7">
        <v>0</v>
      </c>
      <c r="K4234" s="7" t="s">
        <v>18</v>
      </c>
      <c r="L4234" s="8">
        <v>39987.315405092595</v>
      </c>
      <c r="M4234" s="9" t="s">
        <v>19</v>
      </c>
      <c r="N4234" s="9" t="s">
        <v>20</v>
      </c>
      <c r="O4234" s="6" t="str">
        <f>HYPERLINK("https://pbs.twimg.com/profile_images/962471262747529216/Uo8lOkRJ_normal.jpg","View")</f>
        <v>View</v>
      </c>
      <c r="P4234" s="7"/>
    </row>
    <row r="4235" spans="1:16">
      <c r="A4235" s="3">
        <v>43918.020185185189</v>
      </c>
      <c r="B4235" s="4" t="str">
        <f>HYPERLINK("https://twitter.com/petrogustavo","@petrogustavo")</f>
        <v>@petrogustavo</v>
      </c>
      <c r="C4235" s="5" t="s">
        <v>16</v>
      </c>
      <c r="D4235" s="5" t="s">
        <v>4152</v>
      </c>
      <c r="E4235" s="6" t="str">
        <f>HYPERLINK("https://twitter.com/petrogustavo/status/1243613525601370113","1243613525601370113")</f>
        <v>1243613525601370113</v>
      </c>
      <c r="F4235" s="7" t="s">
        <v>17</v>
      </c>
      <c r="G4235" s="7">
        <v>3720757</v>
      </c>
      <c r="H4235" s="7">
        <v>2371</v>
      </c>
      <c r="I4235" s="7">
        <v>13</v>
      </c>
      <c r="J4235" s="7">
        <v>0</v>
      </c>
      <c r="K4235" s="7" t="s">
        <v>18</v>
      </c>
      <c r="L4235" s="8">
        <v>39987.315405092595</v>
      </c>
      <c r="M4235" s="9" t="s">
        <v>19</v>
      </c>
      <c r="N4235" s="9" t="s">
        <v>20</v>
      </c>
      <c r="O4235" s="6" t="str">
        <f>HYPERLINK("https://pbs.twimg.com/profile_images/962471262747529216/Uo8lOkRJ_normal.jpg","View")</f>
        <v>View</v>
      </c>
      <c r="P4235" s="7"/>
    </row>
    <row r="4236" spans="1:16">
      <c r="A4236" s="3">
        <v>43918.035925925928</v>
      </c>
      <c r="B4236" s="4" t="str">
        <f>HYPERLINK("https://twitter.com/petrogustavo","@petrogustavo")</f>
        <v>@petrogustavo</v>
      </c>
      <c r="C4236" s="5" t="s">
        <v>16</v>
      </c>
      <c r="D4236" s="5" t="s">
        <v>4153</v>
      </c>
      <c r="E4236" s="6" t="str">
        <f>HYPERLINK("https://twitter.com/petrogustavo/status/1243619229477351430","1243619229477351430")</f>
        <v>1243619229477351430</v>
      </c>
      <c r="F4236" s="7" t="s">
        <v>17</v>
      </c>
      <c r="G4236" s="7">
        <v>3720819</v>
      </c>
      <c r="H4236" s="7">
        <v>2371</v>
      </c>
      <c r="I4236" s="7">
        <v>168</v>
      </c>
      <c r="J4236" s="7">
        <v>238</v>
      </c>
      <c r="K4236" s="7" t="s">
        <v>18</v>
      </c>
      <c r="L4236" s="8">
        <v>39987.315405092595</v>
      </c>
      <c r="M4236" s="9" t="s">
        <v>19</v>
      </c>
      <c r="N4236" s="9" t="s">
        <v>20</v>
      </c>
      <c r="O4236" s="6" t="str">
        <f>HYPERLINK("https://pbs.twimg.com/profile_images/962471262747529216/Uo8lOkRJ_normal.jpg","View")</f>
        <v>View</v>
      </c>
      <c r="P4236" s="7"/>
    </row>
    <row r="4237" spans="1:16">
      <c r="A4237" s="3">
        <v>43918.039641203708</v>
      </c>
      <c r="B4237" s="4" t="str">
        <f>HYPERLINK("https://twitter.com/petrogustavo","@petrogustavo")</f>
        <v>@petrogustavo</v>
      </c>
      <c r="C4237" s="5" t="s">
        <v>16</v>
      </c>
      <c r="D4237" s="5" t="s">
        <v>4154</v>
      </c>
      <c r="E4237" s="6" t="str">
        <f>HYPERLINK("https://twitter.com/petrogustavo/status/1243620578235465728","1243620578235465728")</f>
        <v>1243620578235465728</v>
      </c>
      <c r="F4237" s="7" t="s">
        <v>17</v>
      </c>
      <c r="G4237" s="7">
        <v>3720819</v>
      </c>
      <c r="H4237" s="7">
        <v>2371</v>
      </c>
      <c r="I4237" s="7">
        <v>29</v>
      </c>
      <c r="J4237" s="7">
        <v>67</v>
      </c>
      <c r="K4237" s="7" t="s">
        <v>18</v>
      </c>
      <c r="L4237" s="8">
        <v>39987.315405092595</v>
      </c>
      <c r="M4237" s="9" t="s">
        <v>19</v>
      </c>
      <c r="N4237" s="9" t="s">
        <v>20</v>
      </c>
      <c r="O4237" s="6" t="str">
        <f>HYPERLINK("https://pbs.twimg.com/profile_images/962471262747529216/Uo8lOkRJ_normal.jpg","View")</f>
        <v>View</v>
      </c>
      <c r="P4237" s="7"/>
    </row>
    <row r="4238" spans="1:16">
      <c r="A4238" s="3">
        <v>43918.047291666662</v>
      </c>
      <c r="B4238" s="4" t="str">
        <f>HYPERLINK("https://twitter.com/petrogustavo","@petrogustavo")</f>
        <v>@petrogustavo</v>
      </c>
      <c r="C4238" s="5" t="s">
        <v>16</v>
      </c>
      <c r="D4238" s="5" t="s">
        <v>4155</v>
      </c>
      <c r="E4238" s="6" t="str">
        <f>HYPERLINK("https://twitter.com/petrogustavo/status/1243623347541417989","1243623347541417989")</f>
        <v>1243623347541417989</v>
      </c>
      <c r="F4238" s="7" t="s">
        <v>17</v>
      </c>
      <c r="G4238" s="7">
        <v>3720872</v>
      </c>
      <c r="H4238" s="7">
        <v>2371</v>
      </c>
      <c r="I4238" s="7">
        <v>18</v>
      </c>
      <c r="J4238" s="7">
        <v>0</v>
      </c>
      <c r="K4238" s="7" t="s">
        <v>18</v>
      </c>
      <c r="L4238" s="8">
        <v>39987.315405092595</v>
      </c>
      <c r="M4238" s="9" t="s">
        <v>19</v>
      </c>
      <c r="N4238" s="9" t="s">
        <v>20</v>
      </c>
      <c r="O4238" s="6" t="str">
        <f>HYPERLINK("https://pbs.twimg.com/profile_images/962471262747529216/Uo8lOkRJ_normal.jpg","View")</f>
        <v>View</v>
      </c>
      <c r="P4238" s="7"/>
    </row>
    <row r="4239" spans="1:16">
      <c r="A4239" s="3">
        <v>43918.051620370374</v>
      </c>
      <c r="B4239" s="4" t="str">
        <f>HYPERLINK("https://twitter.com/petrogustavo","@petrogustavo")</f>
        <v>@petrogustavo</v>
      </c>
      <c r="C4239" s="5" t="s">
        <v>16</v>
      </c>
      <c r="D4239" s="5" t="s">
        <v>4156</v>
      </c>
      <c r="E4239" s="6" t="str">
        <f>HYPERLINK("https://twitter.com/petrogustavo/status/1243624916215308291","1243624916215308291")</f>
        <v>1243624916215308291</v>
      </c>
      <c r="F4239" s="7" t="s">
        <v>17</v>
      </c>
      <c r="G4239" s="7">
        <v>3720872</v>
      </c>
      <c r="H4239" s="7">
        <v>2371</v>
      </c>
      <c r="I4239" s="7">
        <v>45</v>
      </c>
      <c r="J4239" s="7">
        <v>0</v>
      </c>
      <c r="K4239" s="7" t="s">
        <v>18</v>
      </c>
      <c r="L4239" s="8">
        <v>39987.315405092595</v>
      </c>
      <c r="M4239" s="9" t="s">
        <v>19</v>
      </c>
      <c r="N4239" s="9" t="s">
        <v>20</v>
      </c>
      <c r="O4239" s="6" t="str">
        <f>HYPERLINK("https://pbs.twimg.com/profile_images/962471262747529216/Uo8lOkRJ_normal.jpg","View")</f>
        <v>View</v>
      </c>
      <c r="P4239" s="7"/>
    </row>
    <row r="4240" spans="1:16">
      <c r="A4240" s="3">
        <v>43918.052384259259</v>
      </c>
      <c r="B4240" s="4" t="str">
        <f>HYPERLINK("https://twitter.com/petrogustavo","@petrogustavo")</f>
        <v>@petrogustavo</v>
      </c>
      <c r="C4240" s="5" t="s">
        <v>16</v>
      </c>
      <c r="D4240" s="5" t="s">
        <v>4157</v>
      </c>
      <c r="E4240" s="6" t="str">
        <f>HYPERLINK("https://twitter.com/petrogustavo/status/1243625196193546240","1243625196193546240")</f>
        <v>1243625196193546240</v>
      </c>
      <c r="F4240" s="7" t="s">
        <v>17</v>
      </c>
      <c r="G4240" s="7">
        <v>3720872</v>
      </c>
      <c r="H4240" s="7">
        <v>2371</v>
      </c>
      <c r="I4240" s="7">
        <v>264</v>
      </c>
      <c r="J4240" s="7">
        <v>0</v>
      </c>
      <c r="K4240" s="7" t="s">
        <v>18</v>
      </c>
      <c r="L4240" s="8">
        <v>39987.315405092595</v>
      </c>
      <c r="M4240" s="9" t="s">
        <v>19</v>
      </c>
      <c r="N4240" s="9" t="s">
        <v>20</v>
      </c>
      <c r="O4240" s="6" t="str">
        <f>HYPERLINK("https://pbs.twimg.com/profile_images/962471262747529216/Uo8lOkRJ_normal.jpg","View")</f>
        <v>View</v>
      </c>
      <c r="P4240" s="7"/>
    </row>
    <row r="4241" spans="1:16">
      <c r="A4241" s="3">
        <v>43918.055613425924</v>
      </c>
      <c r="B4241" s="4" t="str">
        <f>HYPERLINK("https://twitter.com/petrogustavo","@petrogustavo")</f>
        <v>@petrogustavo</v>
      </c>
      <c r="C4241" s="5" t="s">
        <v>16</v>
      </c>
      <c r="D4241" s="5" t="s">
        <v>4158</v>
      </c>
      <c r="E4241" s="6" t="str">
        <f>HYPERLINK("https://twitter.com/petrogustavo/status/1243626363208245248","1243626363208245248")</f>
        <v>1243626363208245248</v>
      </c>
      <c r="F4241" s="7" t="s">
        <v>17</v>
      </c>
      <c r="G4241" s="7">
        <v>3720872</v>
      </c>
      <c r="H4241" s="7">
        <v>2371</v>
      </c>
      <c r="I4241" s="7">
        <v>25</v>
      </c>
      <c r="J4241" s="7">
        <v>46</v>
      </c>
      <c r="K4241" s="7" t="s">
        <v>18</v>
      </c>
      <c r="L4241" s="8">
        <v>39987.315405092595</v>
      </c>
      <c r="M4241" s="9" t="s">
        <v>19</v>
      </c>
      <c r="N4241" s="9" t="s">
        <v>20</v>
      </c>
      <c r="O4241" s="6" t="str">
        <f>HYPERLINK("https://pbs.twimg.com/profile_images/962471262747529216/Uo8lOkRJ_normal.jpg","View")</f>
        <v>View</v>
      </c>
      <c r="P4241" s="7"/>
    </row>
    <row r="4242" spans="1:16">
      <c r="A4242" s="3">
        <v>43918.059097222227</v>
      </c>
      <c r="B4242" s="4" t="str">
        <f>HYPERLINK("https://twitter.com/petrogustavo","@petrogustavo")</f>
        <v>@petrogustavo</v>
      </c>
      <c r="C4242" s="5" t="s">
        <v>16</v>
      </c>
      <c r="D4242" s="5" t="s">
        <v>4159</v>
      </c>
      <c r="E4242" s="6" t="str">
        <f>HYPERLINK("https://twitter.com/petrogustavo/status/1243627626968887297","1243627626968887297")</f>
        <v>1243627626968887297</v>
      </c>
      <c r="F4242" s="7" t="s">
        <v>17</v>
      </c>
      <c r="G4242" s="7">
        <v>3720872</v>
      </c>
      <c r="H4242" s="7">
        <v>2371</v>
      </c>
      <c r="I4242" s="7">
        <v>57</v>
      </c>
      <c r="J4242" s="7">
        <v>93</v>
      </c>
      <c r="K4242" s="7" t="s">
        <v>18</v>
      </c>
      <c r="L4242" s="8">
        <v>39987.315405092595</v>
      </c>
      <c r="M4242" s="9" t="s">
        <v>19</v>
      </c>
      <c r="N4242" s="9" t="s">
        <v>20</v>
      </c>
      <c r="O4242" s="6" t="str">
        <f>HYPERLINK("https://pbs.twimg.com/profile_images/962471262747529216/Uo8lOkRJ_normal.jpg","View")</f>
        <v>View</v>
      </c>
      <c r="P4242" s="7"/>
    </row>
    <row r="4243" spans="1:16">
      <c r="A4243" s="3">
        <v>43918.060358796298</v>
      </c>
      <c r="B4243" s="4" t="str">
        <f>HYPERLINK("https://twitter.com/petrogustavo","@petrogustavo")</f>
        <v>@petrogustavo</v>
      </c>
      <c r="C4243" s="5" t="s">
        <v>16</v>
      </c>
      <c r="D4243" s="5" t="s">
        <v>4160</v>
      </c>
      <c r="E4243" s="6" t="str">
        <f>HYPERLINK("https://twitter.com/petrogustavo/status/1243628084424736769","1243628084424736769")</f>
        <v>1243628084424736769</v>
      </c>
      <c r="F4243" s="7" t="s">
        <v>17</v>
      </c>
      <c r="G4243" s="7">
        <v>3720872</v>
      </c>
      <c r="H4243" s="7">
        <v>2371</v>
      </c>
      <c r="I4243" s="7">
        <v>63</v>
      </c>
      <c r="J4243" s="7">
        <v>0</v>
      </c>
      <c r="K4243" s="7" t="s">
        <v>18</v>
      </c>
      <c r="L4243" s="8">
        <v>39987.315405092595</v>
      </c>
      <c r="M4243" s="9" t="s">
        <v>19</v>
      </c>
      <c r="N4243" s="9" t="s">
        <v>20</v>
      </c>
      <c r="O4243" s="6" t="str">
        <f>HYPERLINK("https://pbs.twimg.com/profile_images/962471262747529216/Uo8lOkRJ_normal.jpg","View")</f>
        <v>View</v>
      </c>
      <c r="P4243" s="7"/>
    </row>
    <row r="4244" spans="1:16">
      <c r="A4244" s="3">
        <v>43918.081284722226</v>
      </c>
      <c r="B4244" s="4" t="str">
        <f>HYPERLINK("https://twitter.com/petrogustavo","@petrogustavo")</f>
        <v>@petrogustavo</v>
      </c>
      <c r="C4244" s="5" t="s">
        <v>16</v>
      </c>
      <c r="D4244" s="5" t="s">
        <v>4161</v>
      </c>
      <c r="E4244" s="6" t="str">
        <f>HYPERLINK("https://twitter.com/petrogustavo/status/1243635668821192708","1243635668821192708")</f>
        <v>1243635668821192708</v>
      </c>
      <c r="F4244" s="7" t="s">
        <v>17</v>
      </c>
      <c r="G4244" s="7">
        <v>3720948</v>
      </c>
      <c r="H4244" s="7">
        <v>2371</v>
      </c>
      <c r="I4244" s="7">
        <v>32</v>
      </c>
      <c r="J4244" s="7">
        <v>50</v>
      </c>
      <c r="K4244" s="7" t="s">
        <v>18</v>
      </c>
      <c r="L4244" s="8">
        <v>39987.315405092595</v>
      </c>
      <c r="M4244" s="9" t="s">
        <v>19</v>
      </c>
      <c r="N4244" s="9" t="s">
        <v>20</v>
      </c>
      <c r="O4244" s="6" t="str">
        <f>HYPERLINK("https://pbs.twimg.com/profile_images/962471262747529216/Uo8lOkRJ_normal.jpg","View")</f>
        <v>View</v>
      </c>
      <c r="P4244" s="7"/>
    </row>
    <row r="4245" spans="1:16">
      <c r="A4245" s="3">
        <v>43918.132291666669</v>
      </c>
      <c r="B4245" s="4" t="str">
        <f>HYPERLINK("https://twitter.com/petrogustavo","@petrogustavo")</f>
        <v>@petrogustavo</v>
      </c>
      <c r="C4245" s="5" t="s">
        <v>16</v>
      </c>
      <c r="D4245" s="5" t="s">
        <v>4162</v>
      </c>
      <c r="E4245" s="6" t="str">
        <f>HYPERLINK("https://twitter.com/petrogustavo/status/1243654151587999745","1243654151587999745")</f>
        <v>1243654151587999745</v>
      </c>
      <c r="F4245" s="7" t="s">
        <v>17</v>
      </c>
      <c r="G4245" s="7">
        <v>3721123</v>
      </c>
      <c r="H4245" s="7">
        <v>2370</v>
      </c>
      <c r="I4245" s="7">
        <v>72</v>
      </c>
      <c r="J4245" s="7">
        <v>136</v>
      </c>
      <c r="K4245" s="7" t="s">
        <v>18</v>
      </c>
      <c r="L4245" s="8">
        <v>39987.315405092595</v>
      </c>
      <c r="M4245" s="9" t="s">
        <v>19</v>
      </c>
      <c r="N4245" s="9" t="s">
        <v>20</v>
      </c>
      <c r="O4245" s="6" t="str">
        <f>HYPERLINK("https://pbs.twimg.com/profile_images/962471262747529216/Uo8lOkRJ_normal.jpg","View")</f>
        <v>View</v>
      </c>
      <c r="P4245" s="7"/>
    </row>
    <row r="4246" spans="1:16">
      <c r="A4246" s="3">
        <v>43918.13553240741</v>
      </c>
      <c r="B4246" s="4" t="str">
        <f>HYPERLINK("https://twitter.com/petrogustavo","@petrogustavo")</f>
        <v>@petrogustavo</v>
      </c>
      <c r="C4246" s="5" t="s">
        <v>16</v>
      </c>
      <c r="D4246" s="5" t="s">
        <v>4163</v>
      </c>
      <c r="E4246" s="6" t="str">
        <f>HYPERLINK("https://twitter.com/petrogustavo/status/1243655328274710530","1243655328274710530")</f>
        <v>1243655328274710530</v>
      </c>
      <c r="F4246" s="7" t="s">
        <v>17</v>
      </c>
      <c r="G4246" s="7">
        <v>3721123</v>
      </c>
      <c r="H4246" s="7">
        <v>2370</v>
      </c>
      <c r="I4246" s="7">
        <v>27</v>
      </c>
      <c r="J4246" s="7">
        <v>63</v>
      </c>
      <c r="K4246" s="7" t="s">
        <v>18</v>
      </c>
      <c r="L4246" s="8">
        <v>39987.315405092595</v>
      </c>
      <c r="M4246" s="9" t="s">
        <v>19</v>
      </c>
      <c r="N4246" s="9" t="s">
        <v>20</v>
      </c>
      <c r="O4246" s="6" t="str">
        <f>HYPERLINK("https://pbs.twimg.com/profile_images/962471262747529216/Uo8lOkRJ_normal.jpg","View")</f>
        <v>View</v>
      </c>
      <c r="P4246" s="7"/>
    </row>
    <row r="4247" spans="1:16">
      <c r="A4247" s="3">
        <v>43918.140694444446</v>
      </c>
      <c r="B4247" s="4" t="str">
        <f>HYPERLINK("https://twitter.com/petrogustavo","@petrogustavo")</f>
        <v>@petrogustavo</v>
      </c>
      <c r="C4247" s="5" t="s">
        <v>16</v>
      </c>
      <c r="D4247" s="5" t="s">
        <v>4164</v>
      </c>
      <c r="E4247" s="6" t="str">
        <f>HYPERLINK("https://twitter.com/petrogustavo/status/1243657197827043336","1243657197827043336")</f>
        <v>1243657197827043336</v>
      </c>
      <c r="F4247" s="7" t="s">
        <v>17</v>
      </c>
      <c r="G4247" s="7">
        <v>3721123</v>
      </c>
      <c r="H4247" s="7">
        <v>2370</v>
      </c>
      <c r="I4247" s="7">
        <v>13</v>
      </c>
      <c r="J4247" s="7">
        <v>29</v>
      </c>
      <c r="K4247" s="7" t="s">
        <v>18</v>
      </c>
      <c r="L4247" s="8">
        <v>39987.315405092595</v>
      </c>
      <c r="M4247" s="9" t="s">
        <v>19</v>
      </c>
      <c r="N4247" s="9" t="s">
        <v>20</v>
      </c>
      <c r="O4247" s="6" t="str">
        <f>HYPERLINK("https://pbs.twimg.com/profile_images/962471262747529216/Uo8lOkRJ_normal.jpg","View")</f>
        <v>View</v>
      </c>
      <c r="P4247" s="7"/>
    </row>
    <row r="4248" spans="1:16">
      <c r="A4248" s="3">
        <v>43918.144745370373</v>
      </c>
      <c r="B4248" s="4" t="str">
        <f>HYPERLINK("https://twitter.com/petrogustavo","@petrogustavo")</f>
        <v>@petrogustavo</v>
      </c>
      <c r="C4248" s="5" t="s">
        <v>16</v>
      </c>
      <c r="D4248" s="5" t="s">
        <v>4165</v>
      </c>
      <c r="E4248" s="6" t="str">
        <f>HYPERLINK("https://twitter.com/petrogustavo/status/1243658665367932929","1243658665367932929")</f>
        <v>1243658665367932929</v>
      </c>
      <c r="F4248" s="7" t="s">
        <v>17</v>
      </c>
      <c r="G4248" s="7">
        <v>3721123</v>
      </c>
      <c r="H4248" s="7">
        <v>2370</v>
      </c>
      <c r="I4248" s="7">
        <v>9</v>
      </c>
      <c r="J4248" s="7">
        <v>16</v>
      </c>
      <c r="K4248" s="7" t="s">
        <v>18</v>
      </c>
      <c r="L4248" s="8">
        <v>39987.315405092595</v>
      </c>
      <c r="M4248" s="9" t="s">
        <v>19</v>
      </c>
      <c r="N4248" s="9" t="s">
        <v>20</v>
      </c>
      <c r="O4248" s="6" t="str">
        <f>HYPERLINK("https://pbs.twimg.com/profile_images/962471262747529216/Uo8lOkRJ_normal.jpg","View")</f>
        <v>View</v>
      </c>
      <c r="P4248" s="7"/>
    </row>
    <row r="4249" spans="1:16">
      <c r="A4249" s="3">
        <v>43918.146099537036</v>
      </c>
      <c r="B4249" s="4" t="str">
        <f>HYPERLINK("https://twitter.com/petrogustavo","@petrogustavo")</f>
        <v>@petrogustavo</v>
      </c>
      <c r="C4249" s="5" t="s">
        <v>16</v>
      </c>
      <c r="D4249" s="5" t="s">
        <v>4166</v>
      </c>
      <c r="E4249" s="6" t="str">
        <f>HYPERLINK("https://twitter.com/petrogustavo/status/1243659156588048387","1243659156588048387")</f>
        <v>1243659156588048387</v>
      </c>
      <c r="F4249" s="7" t="s">
        <v>17</v>
      </c>
      <c r="G4249" s="7">
        <v>3721123</v>
      </c>
      <c r="H4249" s="7">
        <v>2370</v>
      </c>
      <c r="I4249" s="7">
        <v>4</v>
      </c>
      <c r="J4249" s="7">
        <v>4</v>
      </c>
      <c r="K4249" s="7" t="s">
        <v>18</v>
      </c>
      <c r="L4249" s="8">
        <v>39987.315405092595</v>
      </c>
      <c r="M4249" s="9" t="s">
        <v>19</v>
      </c>
      <c r="N4249" s="9" t="s">
        <v>20</v>
      </c>
      <c r="O4249" s="6" t="str">
        <f>HYPERLINK("https://pbs.twimg.com/profile_images/962471262747529216/Uo8lOkRJ_normal.jpg","View")</f>
        <v>View</v>
      </c>
      <c r="P4249" s="7"/>
    </row>
    <row r="4250" spans="1:16">
      <c r="A4250" s="3">
        <v>43918.147291666668</v>
      </c>
      <c r="B4250" s="4" t="str">
        <f>HYPERLINK("https://twitter.com/petrogustavo","@petrogustavo")</f>
        <v>@petrogustavo</v>
      </c>
      <c r="C4250" s="5" t="s">
        <v>16</v>
      </c>
      <c r="D4250" s="5" t="s">
        <v>4167</v>
      </c>
      <c r="E4250" s="6" t="str">
        <f>HYPERLINK("https://twitter.com/petrogustavo/status/1243659587653382144","1243659587653382144")</f>
        <v>1243659587653382144</v>
      </c>
      <c r="F4250" s="7" t="s">
        <v>17</v>
      </c>
      <c r="G4250" s="7">
        <v>3721123</v>
      </c>
      <c r="H4250" s="7">
        <v>2370</v>
      </c>
      <c r="I4250" s="7">
        <v>4</v>
      </c>
      <c r="J4250" s="7">
        <v>11</v>
      </c>
      <c r="K4250" s="7" t="s">
        <v>18</v>
      </c>
      <c r="L4250" s="8">
        <v>39987.315405092595</v>
      </c>
      <c r="M4250" s="9" t="s">
        <v>19</v>
      </c>
      <c r="N4250" s="9" t="s">
        <v>20</v>
      </c>
      <c r="O4250" s="6" t="str">
        <f>HYPERLINK("https://pbs.twimg.com/profile_images/962471262747529216/Uo8lOkRJ_normal.jpg","View")</f>
        <v>View</v>
      </c>
      <c r="P4250" s="7"/>
    </row>
    <row r="4251" spans="1:16">
      <c r="A4251" s="3">
        <v>43918.150150462963</v>
      </c>
      <c r="B4251" s="4" t="str">
        <f>HYPERLINK("https://twitter.com/petrogustavo","@petrogustavo")</f>
        <v>@petrogustavo</v>
      </c>
      <c r="C4251" s="5" t="s">
        <v>16</v>
      </c>
      <c r="D4251" s="5" t="s">
        <v>4168</v>
      </c>
      <c r="E4251" s="6" t="str">
        <f>HYPERLINK("https://twitter.com/petrogustavo/status/1243660624376352775","1243660624376352775")</f>
        <v>1243660624376352775</v>
      </c>
      <c r="F4251" s="7" t="s">
        <v>17</v>
      </c>
      <c r="G4251" s="7">
        <v>3721176</v>
      </c>
      <c r="H4251" s="7">
        <v>2370</v>
      </c>
      <c r="I4251" s="7">
        <v>25</v>
      </c>
      <c r="J4251" s="7">
        <v>72</v>
      </c>
      <c r="K4251" s="7" t="s">
        <v>18</v>
      </c>
      <c r="L4251" s="8">
        <v>39987.315405092595</v>
      </c>
      <c r="M4251" s="9" t="s">
        <v>19</v>
      </c>
      <c r="N4251" s="9" t="s">
        <v>20</v>
      </c>
      <c r="O4251" s="6" t="str">
        <f>HYPERLINK("https://pbs.twimg.com/profile_images/962471262747529216/Uo8lOkRJ_normal.jpg","View")</f>
        <v>View</v>
      </c>
      <c r="P4251" s="7"/>
    </row>
    <row r="4252" spans="1:16">
      <c r="A4252" s="3">
        <v>43918.151840277773</v>
      </c>
      <c r="B4252" s="4" t="str">
        <f>HYPERLINK("https://twitter.com/petrogustavo","@petrogustavo")</f>
        <v>@petrogustavo</v>
      </c>
      <c r="C4252" s="5" t="s">
        <v>16</v>
      </c>
      <c r="D4252" s="5" t="s">
        <v>4169</v>
      </c>
      <c r="E4252" s="6" t="str">
        <f>HYPERLINK("https://twitter.com/petrogustavo/status/1243661236937637888","1243661236937637888")</f>
        <v>1243661236937637888</v>
      </c>
      <c r="F4252" s="7" t="s">
        <v>17</v>
      </c>
      <c r="G4252" s="7">
        <v>3721176</v>
      </c>
      <c r="H4252" s="7">
        <v>2370</v>
      </c>
      <c r="I4252" s="7">
        <v>16</v>
      </c>
      <c r="J4252" s="7">
        <v>56</v>
      </c>
      <c r="K4252" s="7" t="s">
        <v>18</v>
      </c>
      <c r="L4252" s="8">
        <v>39987.315405092595</v>
      </c>
      <c r="M4252" s="9" t="s">
        <v>19</v>
      </c>
      <c r="N4252" s="9" t="s">
        <v>20</v>
      </c>
      <c r="O4252" s="6" t="str">
        <f>HYPERLINK("https://pbs.twimg.com/profile_images/962471262747529216/Uo8lOkRJ_normal.jpg","View")</f>
        <v>View</v>
      </c>
      <c r="P4252" s="7"/>
    </row>
    <row r="4253" spans="1:16">
      <c r="A4253" s="3">
        <v>43918.153749999998</v>
      </c>
      <c r="B4253" s="4" t="str">
        <f>HYPERLINK("https://twitter.com/petrogustavo","@petrogustavo")</f>
        <v>@petrogustavo</v>
      </c>
      <c r="C4253" s="5" t="s">
        <v>16</v>
      </c>
      <c r="D4253" s="5" t="s">
        <v>4170</v>
      </c>
      <c r="E4253" s="6" t="str">
        <f>HYPERLINK("https://twitter.com/petrogustavo/status/1243661928557416449","1243661928557416449")</f>
        <v>1243661928557416449</v>
      </c>
      <c r="F4253" s="7" t="s">
        <v>17</v>
      </c>
      <c r="G4253" s="7">
        <v>3721176</v>
      </c>
      <c r="H4253" s="7">
        <v>2370</v>
      </c>
      <c r="I4253" s="7">
        <v>22</v>
      </c>
      <c r="J4253" s="7">
        <v>50</v>
      </c>
      <c r="K4253" s="7" t="s">
        <v>18</v>
      </c>
      <c r="L4253" s="8">
        <v>39987.315405092595</v>
      </c>
      <c r="M4253" s="9" t="s">
        <v>19</v>
      </c>
      <c r="N4253" s="9" t="s">
        <v>20</v>
      </c>
      <c r="O4253" s="6" t="str">
        <f>HYPERLINK("https://pbs.twimg.com/profile_images/962471262747529216/Uo8lOkRJ_normal.jpg","View")</f>
        <v>View</v>
      </c>
      <c r="P4253" s="7"/>
    </row>
    <row r="4254" spans="1:16">
      <c r="A4254" s="3">
        <v>43918.155381944445</v>
      </c>
      <c r="B4254" s="4" t="str">
        <f>HYPERLINK("https://twitter.com/petrogustavo","@petrogustavo")</f>
        <v>@petrogustavo</v>
      </c>
      <c r="C4254" s="5" t="s">
        <v>16</v>
      </c>
      <c r="D4254" s="5" t="s">
        <v>4171</v>
      </c>
      <c r="E4254" s="6" t="str">
        <f>HYPERLINK("https://twitter.com/petrogustavo/status/1243662517752279043","1243662517752279043")</f>
        <v>1243662517752279043</v>
      </c>
      <c r="F4254" s="7" t="s">
        <v>17</v>
      </c>
      <c r="G4254" s="7">
        <v>3721176</v>
      </c>
      <c r="H4254" s="7">
        <v>2370</v>
      </c>
      <c r="I4254" s="7">
        <v>26</v>
      </c>
      <c r="J4254" s="7">
        <v>51</v>
      </c>
      <c r="K4254" s="7" t="s">
        <v>18</v>
      </c>
      <c r="L4254" s="8">
        <v>39987.315405092595</v>
      </c>
      <c r="M4254" s="9" t="s">
        <v>19</v>
      </c>
      <c r="N4254" s="9" t="s">
        <v>20</v>
      </c>
      <c r="O4254" s="6" t="str">
        <f>HYPERLINK("https://pbs.twimg.com/profile_images/962471262747529216/Uo8lOkRJ_normal.jpg","View")</f>
        <v>View</v>
      </c>
      <c r="P4254" s="7"/>
    </row>
    <row r="4255" spans="1:16">
      <c r="A4255" s="3">
        <v>43918.253287037034</v>
      </c>
      <c r="B4255" s="4" t="str">
        <f>HYPERLINK("https://twitter.com/petrogustavo","@petrogustavo")</f>
        <v>@petrogustavo</v>
      </c>
      <c r="C4255" s="5" t="s">
        <v>16</v>
      </c>
      <c r="D4255" s="5" t="s">
        <v>4172</v>
      </c>
      <c r="E4255" s="6" t="str">
        <f>HYPERLINK("https://twitter.com/petrogustavo/status/1243698000486154241","1243698000486154241")</f>
        <v>1243698000486154241</v>
      </c>
      <c r="F4255" s="7" t="s">
        <v>17</v>
      </c>
      <c r="G4255" s="7">
        <v>3721536</v>
      </c>
      <c r="H4255" s="7">
        <v>2370</v>
      </c>
      <c r="I4255" s="7">
        <v>174</v>
      </c>
      <c r="J4255" s="7">
        <v>0</v>
      </c>
      <c r="K4255" s="7" t="s">
        <v>18</v>
      </c>
      <c r="L4255" s="8">
        <v>39987.315405092595</v>
      </c>
      <c r="M4255" s="9" t="s">
        <v>19</v>
      </c>
      <c r="N4255" s="9" t="s">
        <v>20</v>
      </c>
      <c r="O4255" s="6" t="str">
        <f>HYPERLINK("https://pbs.twimg.com/profile_images/962471262747529216/Uo8lOkRJ_normal.jpg","View")</f>
        <v>View</v>
      </c>
      <c r="P4255" s="7"/>
    </row>
    <row r="4256" spans="1:16">
      <c r="A4256" s="3">
        <v>43918.256550925929</v>
      </c>
      <c r="B4256" s="4" t="str">
        <f>HYPERLINK("https://twitter.com/petrogustavo","@petrogustavo")</f>
        <v>@petrogustavo</v>
      </c>
      <c r="C4256" s="5" t="s">
        <v>16</v>
      </c>
      <c r="D4256" s="5" t="s">
        <v>4173</v>
      </c>
      <c r="E4256" s="6" t="str">
        <f>HYPERLINK("https://twitter.com/petrogustavo/status/1243699182080311298","1243699182080311298")</f>
        <v>1243699182080311298</v>
      </c>
      <c r="F4256" s="7" t="s">
        <v>17</v>
      </c>
      <c r="G4256" s="7">
        <v>3721536</v>
      </c>
      <c r="H4256" s="7">
        <v>2370</v>
      </c>
      <c r="I4256" s="7">
        <v>235</v>
      </c>
      <c r="J4256" s="7">
        <v>0</v>
      </c>
      <c r="K4256" s="7" t="s">
        <v>18</v>
      </c>
      <c r="L4256" s="8">
        <v>39987.315405092595</v>
      </c>
      <c r="M4256" s="9" t="s">
        <v>19</v>
      </c>
      <c r="N4256" s="9" t="s">
        <v>20</v>
      </c>
      <c r="O4256" s="6" t="str">
        <f>HYPERLINK("https://pbs.twimg.com/profile_images/962471262747529216/Uo8lOkRJ_normal.jpg","View")</f>
        <v>View</v>
      </c>
      <c r="P4256" s="7"/>
    </row>
    <row r="4257" spans="1:16">
      <c r="A4257" s="3">
        <v>43918.266493055555</v>
      </c>
      <c r="B4257" s="4" t="str">
        <f>HYPERLINK("https://twitter.com/petrogustavo","@petrogustavo")</f>
        <v>@petrogustavo</v>
      </c>
      <c r="C4257" s="5" t="s">
        <v>16</v>
      </c>
      <c r="D4257" s="5" t="s">
        <v>4174</v>
      </c>
      <c r="E4257" s="6" t="str">
        <f>HYPERLINK("https://twitter.com/petrogustavo/status/1243702786203795456","1243702786203795456")</f>
        <v>1243702786203795456</v>
      </c>
      <c r="F4257" s="7" t="s">
        <v>17</v>
      </c>
      <c r="G4257" s="7">
        <v>3721536</v>
      </c>
      <c r="H4257" s="7">
        <v>2370</v>
      </c>
      <c r="I4257" s="7">
        <v>107</v>
      </c>
      <c r="J4257" s="7">
        <v>179</v>
      </c>
      <c r="K4257" s="7" t="s">
        <v>18</v>
      </c>
      <c r="L4257" s="8">
        <v>39987.315405092595</v>
      </c>
      <c r="M4257" s="9" t="s">
        <v>19</v>
      </c>
      <c r="N4257" s="9" t="s">
        <v>20</v>
      </c>
      <c r="O4257" s="6" t="str">
        <f>HYPERLINK("https://pbs.twimg.com/profile_images/962471262747529216/Uo8lOkRJ_normal.jpg","View")</f>
        <v>View</v>
      </c>
      <c r="P4257" s="7"/>
    </row>
    <row r="4258" spans="1:16">
      <c r="A4258" s="3">
        <v>43918.28052083333</v>
      </c>
      <c r="B4258" s="4" t="str">
        <f>HYPERLINK("https://twitter.com/petrogustavo","@petrogustavo")</f>
        <v>@petrogustavo</v>
      </c>
      <c r="C4258" s="5" t="s">
        <v>16</v>
      </c>
      <c r="D4258" s="5" t="s">
        <v>4175</v>
      </c>
      <c r="E4258" s="6" t="str">
        <f>HYPERLINK("https://twitter.com/petrogustavo/status/1243707867355635712","1243707867355635712")</f>
        <v>1243707867355635712</v>
      </c>
      <c r="F4258" s="7" t="s">
        <v>17</v>
      </c>
      <c r="G4258" s="7">
        <v>3721586</v>
      </c>
      <c r="H4258" s="7">
        <v>2370</v>
      </c>
      <c r="I4258" s="7">
        <v>279</v>
      </c>
      <c r="J4258" s="7">
        <v>436</v>
      </c>
      <c r="K4258" s="7" t="s">
        <v>18</v>
      </c>
      <c r="L4258" s="8">
        <v>39987.315405092595</v>
      </c>
      <c r="M4258" s="9" t="s">
        <v>19</v>
      </c>
      <c r="N4258" s="9" t="s">
        <v>20</v>
      </c>
      <c r="O4258" s="6" t="str">
        <f>HYPERLINK("https://pbs.twimg.com/profile_images/962471262747529216/Uo8lOkRJ_normal.jpg","View")</f>
        <v>View</v>
      </c>
      <c r="P4258" s="7"/>
    </row>
    <row r="4259" spans="1:16">
      <c r="A4259" s="3">
        <v>43918.280601851853</v>
      </c>
      <c r="B4259" s="4" t="str">
        <f>HYPERLINK("https://twitter.com/petrogustavo","@petrogustavo")</f>
        <v>@petrogustavo</v>
      </c>
      <c r="C4259" s="5" t="s">
        <v>16</v>
      </c>
      <c r="D4259" s="5" t="s">
        <v>4176</v>
      </c>
      <c r="E4259" s="6" t="str">
        <f>HYPERLINK("https://twitter.com/petrogustavo/status/1243707896929693698","1243707896929693698")</f>
        <v>1243707896929693698</v>
      </c>
      <c r="F4259" s="7" t="s">
        <v>17</v>
      </c>
      <c r="G4259" s="7">
        <v>3721586</v>
      </c>
      <c r="H4259" s="7">
        <v>2370</v>
      </c>
      <c r="I4259" s="7">
        <v>276</v>
      </c>
      <c r="J4259" s="7">
        <v>550</v>
      </c>
      <c r="K4259" s="7" t="s">
        <v>18</v>
      </c>
      <c r="L4259" s="8">
        <v>39987.315405092595</v>
      </c>
      <c r="M4259" s="9" t="s">
        <v>19</v>
      </c>
      <c r="N4259" s="9" t="s">
        <v>20</v>
      </c>
      <c r="O4259" s="6" t="str">
        <f>HYPERLINK("https://pbs.twimg.com/profile_images/962471262747529216/Uo8lOkRJ_normal.jpg","View")</f>
        <v>View</v>
      </c>
      <c r="P4259" s="7"/>
    </row>
    <row r="4260" spans="1:16">
      <c r="A4260" s="3">
        <v>43918.730439814812</v>
      </c>
      <c r="B4260" s="4" t="str">
        <f>HYPERLINK("https://twitter.com/petrogustavo","@petrogustavo")</f>
        <v>@petrogustavo</v>
      </c>
      <c r="C4260" s="5" t="s">
        <v>16</v>
      </c>
      <c r="D4260" s="5" t="s">
        <v>4177</v>
      </c>
      <c r="E4260" s="6" t="str">
        <f>HYPERLINK("https://twitter.com/petrogustavo/status/1243870914179145729","1243870914179145729")</f>
        <v>1243870914179145729</v>
      </c>
      <c r="F4260" s="7" t="s">
        <v>17</v>
      </c>
      <c r="G4260" s="7">
        <v>3722260</v>
      </c>
      <c r="H4260" s="7">
        <v>2371</v>
      </c>
      <c r="I4260" s="7">
        <v>96</v>
      </c>
      <c r="J4260" s="7">
        <v>0</v>
      </c>
      <c r="K4260" s="7" t="s">
        <v>18</v>
      </c>
      <c r="L4260" s="8">
        <v>39987.315405092595</v>
      </c>
      <c r="M4260" s="9" t="s">
        <v>19</v>
      </c>
      <c r="N4260" s="9" t="s">
        <v>20</v>
      </c>
      <c r="O4260" s="6" t="str">
        <f>HYPERLINK("https://pbs.twimg.com/profile_images/962471262747529216/Uo8lOkRJ_normal.jpg","View")</f>
        <v>View</v>
      </c>
      <c r="P4260" s="7"/>
    </row>
    <row r="4261" spans="1:16">
      <c r="A4261" s="3">
        <v>43918.735462962963</v>
      </c>
      <c r="B4261" s="4" t="str">
        <f>HYPERLINK("https://twitter.com/petrogustavo","@petrogustavo")</f>
        <v>@petrogustavo</v>
      </c>
      <c r="C4261" s="5" t="s">
        <v>16</v>
      </c>
      <c r="D4261" s="5" t="s">
        <v>4178</v>
      </c>
      <c r="E4261" s="6" t="str">
        <f>HYPERLINK("https://twitter.com/petrogustavo/status/1243872732003078144","1243872732003078144")</f>
        <v>1243872732003078144</v>
      </c>
      <c r="F4261" s="7" t="s">
        <v>17</v>
      </c>
      <c r="G4261" s="7">
        <v>3722279</v>
      </c>
      <c r="H4261" s="7">
        <v>2371</v>
      </c>
      <c r="I4261" s="7">
        <v>47</v>
      </c>
      <c r="J4261" s="7">
        <v>100</v>
      </c>
      <c r="K4261" s="7" t="s">
        <v>18</v>
      </c>
      <c r="L4261" s="8">
        <v>39987.315405092595</v>
      </c>
      <c r="M4261" s="9" t="s">
        <v>19</v>
      </c>
      <c r="N4261" s="9" t="s">
        <v>20</v>
      </c>
      <c r="O4261" s="6" t="str">
        <f>HYPERLINK("https://pbs.twimg.com/profile_images/962471262747529216/Uo8lOkRJ_normal.jpg","View")</f>
        <v>View</v>
      </c>
      <c r="P4261" s="7"/>
    </row>
    <row r="4262" spans="1:16">
      <c r="A4262" s="3">
        <v>43918.736435185187</v>
      </c>
      <c r="B4262" s="4" t="str">
        <f>HYPERLINK("https://twitter.com/petrogustavo","@petrogustavo")</f>
        <v>@petrogustavo</v>
      </c>
      <c r="C4262" s="5" t="s">
        <v>16</v>
      </c>
      <c r="D4262" s="5" t="s">
        <v>4179</v>
      </c>
      <c r="E4262" s="6" t="str">
        <f>HYPERLINK("https://twitter.com/petrogustavo/status/1243873086497325056","1243873086497325056")</f>
        <v>1243873086497325056</v>
      </c>
      <c r="F4262" s="7" t="s">
        <v>17</v>
      </c>
      <c r="G4262" s="7">
        <v>3722279</v>
      </c>
      <c r="H4262" s="7">
        <v>2371</v>
      </c>
      <c r="I4262" s="7">
        <v>861</v>
      </c>
      <c r="J4262" s="7">
        <v>0</v>
      </c>
      <c r="K4262" s="7" t="s">
        <v>18</v>
      </c>
      <c r="L4262" s="8">
        <v>39987.315405092595</v>
      </c>
      <c r="M4262" s="9" t="s">
        <v>19</v>
      </c>
      <c r="N4262" s="9" t="s">
        <v>20</v>
      </c>
      <c r="O4262" s="6" t="str">
        <f>HYPERLINK("https://pbs.twimg.com/profile_images/962471262747529216/Uo8lOkRJ_normal.jpg","View")</f>
        <v>View</v>
      </c>
      <c r="P4262" s="7"/>
    </row>
    <row r="4263" spans="1:16">
      <c r="A4263" s="3">
        <v>43918.737268518518</v>
      </c>
      <c r="B4263" s="4" t="str">
        <f>HYPERLINK("https://twitter.com/petrogustavo","@petrogustavo")</f>
        <v>@petrogustavo</v>
      </c>
      <c r="C4263" s="5" t="s">
        <v>16</v>
      </c>
      <c r="D4263" s="5" t="s">
        <v>4180</v>
      </c>
      <c r="E4263" s="6" t="str">
        <f>HYPERLINK("https://twitter.com/petrogustavo/status/1243873388352987137","1243873388352987137")</f>
        <v>1243873388352987137</v>
      </c>
      <c r="F4263" s="7" t="s">
        <v>17</v>
      </c>
      <c r="G4263" s="7">
        <v>3722279</v>
      </c>
      <c r="H4263" s="7">
        <v>2371</v>
      </c>
      <c r="I4263" s="7">
        <v>1507</v>
      </c>
      <c r="J4263" s="7">
        <v>0</v>
      </c>
      <c r="K4263" s="7" t="s">
        <v>18</v>
      </c>
      <c r="L4263" s="8">
        <v>39987.315405092595</v>
      </c>
      <c r="M4263" s="9" t="s">
        <v>19</v>
      </c>
      <c r="N4263" s="9" t="s">
        <v>20</v>
      </c>
      <c r="O4263" s="6" t="str">
        <f>HYPERLINK("https://pbs.twimg.com/profile_images/962471262747529216/Uo8lOkRJ_normal.jpg","View")</f>
        <v>View</v>
      </c>
      <c r="P4263" s="7"/>
    </row>
    <row r="4264" spans="1:16">
      <c r="A4264" s="3">
        <v>43918.743877314817</v>
      </c>
      <c r="B4264" s="4" t="str">
        <f>HYPERLINK("https://twitter.com/petrogustavo","@petrogustavo")</f>
        <v>@petrogustavo</v>
      </c>
      <c r="C4264" s="5" t="s">
        <v>16</v>
      </c>
      <c r="D4264" s="5" t="s">
        <v>4181</v>
      </c>
      <c r="E4264" s="6" t="str">
        <f>HYPERLINK("https://twitter.com/petrogustavo/status/1243875782101020672","1243875782101020672")</f>
        <v>1243875782101020672</v>
      </c>
      <c r="F4264" s="7" t="s">
        <v>17</v>
      </c>
      <c r="G4264" s="7">
        <v>3722279</v>
      </c>
      <c r="H4264" s="7">
        <v>2371</v>
      </c>
      <c r="I4264" s="7">
        <v>59</v>
      </c>
      <c r="J4264" s="7">
        <v>99</v>
      </c>
      <c r="K4264" s="7" t="s">
        <v>18</v>
      </c>
      <c r="L4264" s="8">
        <v>39987.315405092595</v>
      </c>
      <c r="M4264" s="9" t="s">
        <v>19</v>
      </c>
      <c r="N4264" s="9" t="s">
        <v>20</v>
      </c>
      <c r="O4264" s="6" t="str">
        <f>HYPERLINK("https://pbs.twimg.com/profile_images/962471262747529216/Uo8lOkRJ_normal.jpg","View")</f>
        <v>View</v>
      </c>
      <c r="P4264" s="7"/>
    </row>
    <row r="4265" spans="1:16">
      <c r="A4265" s="3">
        <v>43918.750706018516</v>
      </c>
      <c r="B4265" s="4" t="str">
        <f>HYPERLINK("https://twitter.com/petrogustavo","@petrogustavo")</f>
        <v>@petrogustavo</v>
      </c>
      <c r="C4265" s="5" t="s">
        <v>16</v>
      </c>
      <c r="D4265" s="5" t="s">
        <v>4182</v>
      </c>
      <c r="E4265" s="6" t="str">
        <f>HYPERLINK("https://twitter.com/petrogustavo/status/1243878257600143361","1243878257600143361")</f>
        <v>1243878257600143361</v>
      </c>
      <c r="F4265" s="7" t="s">
        <v>17</v>
      </c>
      <c r="G4265" s="7">
        <v>3722279</v>
      </c>
      <c r="H4265" s="7">
        <v>2371</v>
      </c>
      <c r="I4265" s="7">
        <v>1666</v>
      </c>
      <c r="J4265" s="7">
        <v>0</v>
      </c>
      <c r="K4265" s="7" t="s">
        <v>18</v>
      </c>
      <c r="L4265" s="8">
        <v>39987.315405092595</v>
      </c>
      <c r="M4265" s="9" t="s">
        <v>19</v>
      </c>
      <c r="N4265" s="9" t="s">
        <v>20</v>
      </c>
      <c r="O4265" s="6" t="str">
        <f>HYPERLINK("https://pbs.twimg.com/profile_images/962471262747529216/Uo8lOkRJ_normal.jpg","View")</f>
        <v>View</v>
      </c>
      <c r="P4265" s="7"/>
    </row>
    <row r="4266" spans="1:16">
      <c r="A4266" s="3">
        <v>43918.753437499996</v>
      </c>
      <c r="B4266" s="4" t="str">
        <f>HYPERLINK("https://twitter.com/petrogustavo","@petrogustavo")</f>
        <v>@petrogustavo</v>
      </c>
      <c r="C4266" s="5" t="s">
        <v>16</v>
      </c>
      <c r="D4266" s="5" t="s">
        <v>4183</v>
      </c>
      <c r="E4266" s="6" t="str">
        <f>HYPERLINK("https://twitter.com/petrogustavo/status/1243879246671511553","1243879246671511553")</f>
        <v>1243879246671511553</v>
      </c>
      <c r="F4266" s="7" t="s">
        <v>17</v>
      </c>
      <c r="G4266" s="7">
        <v>3722330</v>
      </c>
      <c r="H4266" s="7">
        <v>2371</v>
      </c>
      <c r="I4266" s="7">
        <v>95</v>
      </c>
      <c r="J4266" s="7">
        <v>160</v>
      </c>
      <c r="K4266" s="7" t="s">
        <v>18</v>
      </c>
      <c r="L4266" s="8">
        <v>39987.315405092595</v>
      </c>
      <c r="M4266" s="9" t="s">
        <v>19</v>
      </c>
      <c r="N4266" s="9" t="s">
        <v>20</v>
      </c>
      <c r="O4266" s="6" t="str">
        <f>HYPERLINK("https://pbs.twimg.com/profile_images/962471262747529216/Uo8lOkRJ_normal.jpg","View")</f>
        <v>View</v>
      </c>
      <c r="P4266" s="7"/>
    </row>
    <row r="4267" spans="1:16">
      <c r="A4267" s="3">
        <v>43918.768761574072</v>
      </c>
      <c r="B4267" s="4" t="str">
        <f>HYPERLINK("https://twitter.com/petrogustavo","@petrogustavo")</f>
        <v>@petrogustavo</v>
      </c>
      <c r="C4267" s="5" t="s">
        <v>16</v>
      </c>
      <c r="D4267" s="5" t="s">
        <v>4184</v>
      </c>
      <c r="E4267" s="6" t="str">
        <f>HYPERLINK("https://twitter.com/petrogustavo/status/1243884801926598657","1243884801926598657")</f>
        <v>1243884801926598657</v>
      </c>
      <c r="F4267" s="7" t="s">
        <v>17</v>
      </c>
      <c r="G4267" s="7">
        <v>3722330</v>
      </c>
      <c r="H4267" s="7">
        <v>2371</v>
      </c>
      <c r="I4267" s="7">
        <v>29</v>
      </c>
      <c r="J4267" s="7">
        <v>59</v>
      </c>
      <c r="K4267" s="7" t="s">
        <v>18</v>
      </c>
      <c r="L4267" s="8">
        <v>39987.315405092595</v>
      </c>
      <c r="M4267" s="9" t="s">
        <v>19</v>
      </c>
      <c r="N4267" s="9" t="s">
        <v>20</v>
      </c>
      <c r="O4267" s="6" t="str">
        <f>HYPERLINK("https://pbs.twimg.com/profile_images/962471262747529216/Uo8lOkRJ_normal.jpg","View")</f>
        <v>View</v>
      </c>
      <c r="P4267" s="7"/>
    </row>
    <row r="4268" spans="1:16">
      <c r="A4268" s="3">
        <v>43918.82435185185</v>
      </c>
      <c r="B4268" s="4" t="str">
        <f>HYPERLINK("https://twitter.com/petrogustavo","@petrogustavo")</f>
        <v>@petrogustavo</v>
      </c>
      <c r="C4268" s="5" t="s">
        <v>16</v>
      </c>
      <c r="D4268" s="5" t="s">
        <v>4185</v>
      </c>
      <c r="E4268" s="6" t="str">
        <f>HYPERLINK("https://twitter.com/petrogustavo/status/1243904948368216064","1243904948368216064")</f>
        <v>1243904948368216064</v>
      </c>
      <c r="F4268" s="7" t="s">
        <v>17</v>
      </c>
      <c r="G4268" s="7">
        <v>3722533</v>
      </c>
      <c r="H4268" s="7">
        <v>2371</v>
      </c>
      <c r="I4268" s="7">
        <v>129</v>
      </c>
      <c r="J4268" s="7">
        <v>372</v>
      </c>
      <c r="K4268" s="7" t="s">
        <v>18</v>
      </c>
      <c r="L4268" s="8">
        <v>39987.315405092595</v>
      </c>
      <c r="M4268" s="9" t="s">
        <v>19</v>
      </c>
      <c r="N4268" s="9" t="s">
        <v>20</v>
      </c>
      <c r="O4268" s="6" t="str">
        <f>HYPERLINK("https://pbs.twimg.com/profile_images/962471262747529216/Uo8lOkRJ_normal.jpg","View")</f>
        <v>View</v>
      </c>
      <c r="P4268" s="7"/>
    </row>
    <row r="4269" spans="1:16">
      <c r="A4269" s="3">
        <v>43918.828368055554</v>
      </c>
      <c r="B4269" s="4" t="str">
        <f>HYPERLINK("https://twitter.com/petrogustavo","@petrogustavo")</f>
        <v>@petrogustavo</v>
      </c>
      <c r="C4269" s="5" t="s">
        <v>16</v>
      </c>
      <c r="D4269" s="5" t="s">
        <v>4186</v>
      </c>
      <c r="E4269" s="6" t="str">
        <f>HYPERLINK("https://twitter.com/petrogustavo/status/1243906400817995776","1243906400817995776")</f>
        <v>1243906400817995776</v>
      </c>
      <c r="F4269" s="7" t="s">
        <v>17</v>
      </c>
      <c r="G4269" s="7">
        <v>3722533</v>
      </c>
      <c r="H4269" s="7">
        <v>2371</v>
      </c>
      <c r="I4269" s="7">
        <v>54</v>
      </c>
      <c r="J4269" s="7">
        <v>172</v>
      </c>
      <c r="K4269" s="7" t="s">
        <v>18</v>
      </c>
      <c r="L4269" s="8">
        <v>39987.315405092595</v>
      </c>
      <c r="M4269" s="9" t="s">
        <v>19</v>
      </c>
      <c r="N4269" s="9" t="s">
        <v>20</v>
      </c>
      <c r="O4269" s="6" t="str">
        <f>HYPERLINK("https://pbs.twimg.com/profile_images/962471262747529216/Uo8lOkRJ_normal.jpg","View")</f>
        <v>View</v>
      </c>
      <c r="P4269" s="7"/>
    </row>
    <row r="4270" spans="1:16">
      <c r="A4270" s="3">
        <v>43918.849872685183</v>
      </c>
      <c r="B4270" s="4" t="str">
        <f>HYPERLINK("https://twitter.com/petrogustavo","@petrogustavo")</f>
        <v>@petrogustavo</v>
      </c>
      <c r="C4270" s="5" t="s">
        <v>16</v>
      </c>
      <c r="D4270" s="5" t="s">
        <v>4187</v>
      </c>
      <c r="E4270" s="6" t="str">
        <f>HYPERLINK("https://twitter.com/petrogustavo/status/1243914192714969090","1243914192714969090")</f>
        <v>1243914192714969090</v>
      </c>
      <c r="F4270" s="7" t="s">
        <v>17</v>
      </c>
      <c r="G4270" s="7">
        <v>3722612</v>
      </c>
      <c r="H4270" s="7">
        <v>2371</v>
      </c>
      <c r="I4270" s="7">
        <v>56</v>
      </c>
      <c r="J4270" s="7">
        <v>127</v>
      </c>
      <c r="K4270" s="7" t="s">
        <v>18</v>
      </c>
      <c r="L4270" s="8">
        <v>39987.315405092595</v>
      </c>
      <c r="M4270" s="9" t="s">
        <v>19</v>
      </c>
      <c r="N4270" s="9" t="s">
        <v>20</v>
      </c>
      <c r="O4270" s="6" t="str">
        <f>HYPERLINK("https://pbs.twimg.com/profile_images/962471262747529216/Uo8lOkRJ_normal.jpg","View")</f>
        <v>View</v>
      </c>
      <c r="P4270" s="7"/>
    </row>
    <row r="4271" spans="1:16">
      <c r="A4271" s="3">
        <v>43918.854976851857</v>
      </c>
      <c r="B4271" s="4" t="str">
        <f>HYPERLINK("https://twitter.com/petrogustavo","@petrogustavo")</f>
        <v>@petrogustavo</v>
      </c>
      <c r="C4271" s="5" t="s">
        <v>16</v>
      </c>
      <c r="D4271" s="5" t="s">
        <v>4188</v>
      </c>
      <c r="E4271" s="6" t="str">
        <f>HYPERLINK("https://twitter.com/petrogustavo/status/1243916042923053056","1243916042923053056")</f>
        <v>1243916042923053056</v>
      </c>
      <c r="F4271" s="7" t="s">
        <v>17</v>
      </c>
      <c r="G4271" s="7">
        <v>3722612</v>
      </c>
      <c r="H4271" s="7">
        <v>2371</v>
      </c>
      <c r="I4271" s="7">
        <v>16</v>
      </c>
      <c r="J4271" s="7">
        <v>68</v>
      </c>
      <c r="K4271" s="7" t="s">
        <v>18</v>
      </c>
      <c r="L4271" s="8">
        <v>39987.315405092595</v>
      </c>
      <c r="M4271" s="9" t="s">
        <v>19</v>
      </c>
      <c r="N4271" s="9" t="s">
        <v>20</v>
      </c>
      <c r="O4271" s="6" t="str">
        <f>HYPERLINK("https://pbs.twimg.com/profile_images/962471262747529216/Uo8lOkRJ_normal.jpg","View")</f>
        <v>View</v>
      </c>
      <c r="P4271" s="7"/>
    </row>
    <row r="4272" spans="1:16">
      <c r="A4272" s="3">
        <v>43918.857893518521</v>
      </c>
      <c r="B4272" s="4" t="str">
        <f>HYPERLINK("https://twitter.com/petrogustavo","@petrogustavo")</f>
        <v>@petrogustavo</v>
      </c>
      <c r="C4272" s="5" t="s">
        <v>16</v>
      </c>
      <c r="D4272" s="5" t="s">
        <v>4189</v>
      </c>
      <c r="E4272" s="6" t="str">
        <f>HYPERLINK("https://twitter.com/petrogustavo/status/1243917103004073984","1243917103004073984")</f>
        <v>1243917103004073984</v>
      </c>
      <c r="F4272" s="7" t="s">
        <v>17</v>
      </c>
      <c r="G4272" s="7">
        <v>3722674</v>
      </c>
      <c r="H4272" s="7">
        <v>2371</v>
      </c>
      <c r="I4272" s="7">
        <v>109</v>
      </c>
      <c r="J4272" s="7">
        <v>266</v>
      </c>
      <c r="K4272" s="7" t="s">
        <v>18</v>
      </c>
      <c r="L4272" s="8">
        <v>39987.315405092595</v>
      </c>
      <c r="M4272" s="9" t="s">
        <v>19</v>
      </c>
      <c r="N4272" s="9" t="s">
        <v>20</v>
      </c>
      <c r="O4272" s="6" t="str">
        <f>HYPERLINK("https://pbs.twimg.com/profile_images/962471262747529216/Uo8lOkRJ_normal.jpg","View")</f>
        <v>View</v>
      </c>
      <c r="P4272" s="7"/>
    </row>
    <row r="4273" spans="1:16">
      <c r="A4273" s="3">
        <v>43918.862037037034</v>
      </c>
      <c r="B4273" s="4" t="str">
        <f>HYPERLINK("https://twitter.com/petrogustavo","@petrogustavo")</f>
        <v>@petrogustavo</v>
      </c>
      <c r="C4273" s="5" t="s">
        <v>16</v>
      </c>
      <c r="D4273" s="5" t="s">
        <v>4190</v>
      </c>
      <c r="E4273" s="6" t="str">
        <f>HYPERLINK("https://twitter.com/petrogustavo/status/1243918601679187969","1243918601679187969")</f>
        <v>1243918601679187969</v>
      </c>
      <c r="F4273" s="7" t="s">
        <v>17</v>
      </c>
      <c r="G4273" s="7">
        <v>3722674</v>
      </c>
      <c r="H4273" s="7">
        <v>2371</v>
      </c>
      <c r="I4273" s="7">
        <v>56</v>
      </c>
      <c r="J4273" s="7">
        <v>140</v>
      </c>
      <c r="K4273" s="7" t="s">
        <v>18</v>
      </c>
      <c r="L4273" s="8">
        <v>39987.315405092595</v>
      </c>
      <c r="M4273" s="9" t="s">
        <v>19</v>
      </c>
      <c r="N4273" s="9" t="s">
        <v>20</v>
      </c>
      <c r="O4273" s="6" t="str">
        <f>HYPERLINK("https://pbs.twimg.com/profile_images/962471262747529216/Uo8lOkRJ_normal.jpg","View")</f>
        <v>View</v>
      </c>
      <c r="P4273" s="7"/>
    </row>
    <row r="4274" spans="1:16">
      <c r="A4274" s="3">
        <v>43918.888182870374</v>
      </c>
      <c r="B4274" s="4" t="str">
        <f>HYPERLINK("https://twitter.com/petrogustavo","@petrogustavo")</f>
        <v>@petrogustavo</v>
      </c>
      <c r="C4274" s="5" t="s">
        <v>16</v>
      </c>
      <c r="D4274" s="5" t="s">
        <v>4191</v>
      </c>
      <c r="E4274" s="6" t="str">
        <f>HYPERLINK("https://twitter.com/petrogustavo/status/1243928076767068168","1243928076767068168")</f>
        <v>1243928076767068168</v>
      </c>
      <c r="F4274" s="7" t="s">
        <v>17</v>
      </c>
      <c r="G4274" s="7">
        <v>3722763</v>
      </c>
      <c r="H4274" s="7">
        <v>2371</v>
      </c>
      <c r="I4274" s="7">
        <v>135</v>
      </c>
      <c r="J4274" s="7">
        <v>290</v>
      </c>
      <c r="K4274" s="7" t="s">
        <v>18</v>
      </c>
      <c r="L4274" s="8">
        <v>39987.315405092595</v>
      </c>
      <c r="M4274" s="9" t="s">
        <v>19</v>
      </c>
      <c r="N4274" s="9" t="s">
        <v>20</v>
      </c>
      <c r="O4274" s="6" t="str">
        <f>HYPERLINK("https://pbs.twimg.com/profile_images/962471262747529216/Uo8lOkRJ_normal.jpg","View")</f>
        <v>View</v>
      </c>
      <c r="P4274" s="7"/>
    </row>
    <row r="4275" spans="1:16">
      <c r="A4275" s="3">
        <v>43918.897835648153</v>
      </c>
      <c r="B4275" s="4" t="str">
        <f>HYPERLINK("https://twitter.com/petrogustavo","@petrogustavo")</f>
        <v>@petrogustavo</v>
      </c>
      <c r="C4275" s="5" t="s">
        <v>16</v>
      </c>
      <c r="D4275" s="5" t="s">
        <v>4192</v>
      </c>
      <c r="E4275" s="6" t="str">
        <f>HYPERLINK("https://twitter.com/petrogustavo/status/1243931577786253312","1243931577786253312")</f>
        <v>1243931577786253312</v>
      </c>
      <c r="F4275" s="7" t="s">
        <v>17</v>
      </c>
      <c r="G4275" s="7">
        <v>3722763</v>
      </c>
      <c r="H4275" s="7">
        <v>2371</v>
      </c>
      <c r="I4275" s="7">
        <v>0</v>
      </c>
      <c r="J4275" s="7">
        <v>0</v>
      </c>
      <c r="K4275" s="7" t="s">
        <v>18</v>
      </c>
      <c r="L4275" s="8">
        <v>39987.315405092595</v>
      </c>
      <c r="M4275" s="9" t="s">
        <v>19</v>
      </c>
      <c r="N4275" s="9" t="s">
        <v>20</v>
      </c>
      <c r="O4275" s="6" t="str">
        <f>HYPERLINK("https://pbs.twimg.com/profile_images/962471262747529216/Uo8lOkRJ_normal.jpg","View")</f>
        <v>View</v>
      </c>
      <c r="P4275" s="7"/>
    </row>
    <row r="4276" spans="1:16">
      <c r="A4276" s="3">
        <v>43918.904861111107</v>
      </c>
      <c r="B4276" s="4" t="str">
        <f>HYPERLINK("https://twitter.com/petrogustavo","@petrogustavo")</f>
        <v>@petrogustavo</v>
      </c>
      <c r="C4276" s="5" t="s">
        <v>16</v>
      </c>
      <c r="D4276" s="5" t="s">
        <v>4193</v>
      </c>
      <c r="E4276" s="6" t="str">
        <f>HYPERLINK("https://twitter.com/petrogustavo/status/1243934121149247488","1243934121149247488")</f>
        <v>1243934121149247488</v>
      </c>
      <c r="F4276" s="7" t="s">
        <v>17</v>
      </c>
      <c r="G4276" s="7">
        <v>3722829</v>
      </c>
      <c r="H4276" s="7">
        <v>2370</v>
      </c>
      <c r="I4276" s="7">
        <v>135</v>
      </c>
      <c r="J4276" s="7">
        <v>436</v>
      </c>
      <c r="K4276" s="7" t="s">
        <v>18</v>
      </c>
      <c r="L4276" s="8">
        <v>39987.315405092595</v>
      </c>
      <c r="M4276" s="9" t="s">
        <v>19</v>
      </c>
      <c r="N4276" s="9" t="s">
        <v>20</v>
      </c>
      <c r="O4276" s="6" t="str">
        <f>HYPERLINK("https://pbs.twimg.com/profile_images/962471262747529216/Uo8lOkRJ_normal.jpg","View")</f>
        <v>View</v>
      </c>
      <c r="P4276" s="7"/>
    </row>
    <row r="4277" spans="1:16">
      <c r="A4277" s="3">
        <v>43918.913900462961</v>
      </c>
      <c r="B4277" s="4" t="str">
        <f>HYPERLINK("https://twitter.com/petrogustavo","@petrogustavo")</f>
        <v>@petrogustavo</v>
      </c>
      <c r="C4277" s="5" t="s">
        <v>16</v>
      </c>
      <c r="D4277" s="5" t="s">
        <v>4194</v>
      </c>
      <c r="E4277" s="6" t="str">
        <f>HYPERLINK("https://twitter.com/petrogustavo/status/1243937395583733760","1243937395583733760")</f>
        <v>1243937395583733760</v>
      </c>
      <c r="F4277" s="7" t="s">
        <v>17</v>
      </c>
      <c r="G4277" s="7">
        <v>3722829</v>
      </c>
      <c r="H4277" s="7">
        <v>2370</v>
      </c>
      <c r="I4277" s="7">
        <v>632</v>
      </c>
      <c r="J4277" s="7">
        <v>0</v>
      </c>
      <c r="K4277" s="7" t="s">
        <v>18</v>
      </c>
      <c r="L4277" s="8">
        <v>39987.315405092595</v>
      </c>
      <c r="M4277" s="9" t="s">
        <v>19</v>
      </c>
      <c r="N4277" s="9" t="s">
        <v>20</v>
      </c>
      <c r="O4277" s="6" t="str">
        <f>HYPERLINK("https://pbs.twimg.com/profile_images/962471262747529216/Uo8lOkRJ_normal.jpg","View")</f>
        <v>View</v>
      </c>
      <c r="P4277" s="7"/>
    </row>
    <row r="4278" spans="1:16">
      <c r="A4278" s="3">
        <v>43918.918761574074</v>
      </c>
      <c r="B4278" s="4" t="str">
        <f>HYPERLINK("https://twitter.com/petrogustavo","@petrogustavo")</f>
        <v>@petrogustavo</v>
      </c>
      <c r="C4278" s="5" t="s">
        <v>16</v>
      </c>
      <c r="D4278" s="5" t="s">
        <v>4195</v>
      </c>
      <c r="E4278" s="6" t="str">
        <f>HYPERLINK("https://twitter.com/petrogustavo/status/1243939159284363265","1243939159284363265")</f>
        <v>1243939159284363265</v>
      </c>
      <c r="F4278" s="7" t="s">
        <v>17</v>
      </c>
      <c r="G4278" s="7">
        <v>3722893</v>
      </c>
      <c r="H4278" s="7">
        <v>2370</v>
      </c>
      <c r="I4278" s="7">
        <v>158</v>
      </c>
      <c r="J4278" s="7">
        <v>304</v>
      </c>
      <c r="K4278" s="7" t="s">
        <v>18</v>
      </c>
      <c r="L4278" s="8">
        <v>39987.315405092595</v>
      </c>
      <c r="M4278" s="9" t="s">
        <v>19</v>
      </c>
      <c r="N4278" s="9" t="s">
        <v>20</v>
      </c>
      <c r="O4278" s="6" t="str">
        <f>HYPERLINK("https://pbs.twimg.com/profile_images/962471262747529216/Uo8lOkRJ_normal.jpg","View")</f>
        <v>View</v>
      </c>
      <c r="P4278" s="7"/>
    </row>
    <row r="4279" spans="1:16">
      <c r="A4279" s="3">
        <v>43918.921527777777</v>
      </c>
      <c r="B4279" s="4" t="str">
        <f>HYPERLINK("https://twitter.com/petrogustavo","@petrogustavo")</f>
        <v>@petrogustavo</v>
      </c>
      <c r="C4279" s="5" t="s">
        <v>16</v>
      </c>
      <c r="D4279" s="5" t="s">
        <v>4196</v>
      </c>
      <c r="E4279" s="6" t="str">
        <f>HYPERLINK("https://twitter.com/petrogustavo/status/1243940163488747521","1243940163488747521")</f>
        <v>1243940163488747521</v>
      </c>
      <c r="F4279" s="7" t="s">
        <v>17</v>
      </c>
      <c r="G4279" s="7">
        <v>3722893</v>
      </c>
      <c r="H4279" s="7">
        <v>2370</v>
      </c>
      <c r="I4279" s="7">
        <v>83</v>
      </c>
      <c r="J4279" s="7">
        <v>179</v>
      </c>
      <c r="K4279" s="7" t="s">
        <v>18</v>
      </c>
      <c r="L4279" s="8">
        <v>39987.315405092595</v>
      </c>
      <c r="M4279" s="9" t="s">
        <v>19</v>
      </c>
      <c r="N4279" s="9" t="s">
        <v>20</v>
      </c>
      <c r="O4279" s="6" t="str">
        <f>HYPERLINK("https://pbs.twimg.com/profile_images/962471262747529216/Uo8lOkRJ_normal.jpg","View")</f>
        <v>View</v>
      </c>
      <c r="P4279" s="7"/>
    </row>
    <row r="4280" spans="1:16">
      <c r="A4280" s="3">
        <v>43918.937627314815</v>
      </c>
      <c r="B4280" s="4" t="str">
        <f>HYPERLINK("https://twitter.com/petrogustavo","@petrogustavo")</f>
        <v>@petrogustavo</v>
      </c>
      <c r="C4280" s="5" t="s">
        <v>16</v>
      </c>
      <c r="D4280" s="5" t="s">
        <v>4197</v>
      </c>
      <c r="E4280" s="6" t="str">
        <f>HYPERLINK("https://twitter.com/petrogustavo/status/1243945996113055746","1243945996113055746")</f>
        <v>1243945996113055746</v>
      </c>
      <c r="F4280" s="7" t="s">
        <v>17</v>
      </c>
      <c r="G4280" s="7">
        <v>3722893</v>
      </c>
      <c r="H4280" s="7">
        <v>2370</v>
      </c>
      <c r="I4280" s="7">
        <v>202</v>
      </c>
      <c r="J4280" s="7">
        <v>0</v>
      </c>
      <c r="K4280" s="7" t="s">
        <v>18</v>
      </c>
      <c r="L4280" s="8">
        <v>39987.315405092595</v>
      </c>
      <c r="M4280" s="9" t="s">
        <v>19</v>
      </c>
      <c r="N4280" s="9" t="s">
        <v>20</v>
      </c>
      <c r="O4280" s="6" t="str">
        <f>HYPERLINK("https://pbs.twimg.com/profile_images/962471262747529216/Uo8lOkRJ_normal.jpg","View")</f>
        <v>View</v>
      </c>
      <c r="P4280" s="7"/>
    </row>
    <row r="4281" spans="1:16">
      <c r="A4281" s="3">
        <v>43918.938460648147</v>
      </c>
      <c r="B4281" s="4" t="str">
        <f>HYPERLINK("https://twitter.com/petrogustavo","@petrogustavo")</f>
        <v>@petrogustavo</v>
      </c>
      <c r="C4281" s="5" t="s">
        <v>16</v>
      </c>
      <c r="D4281" s="5" t="s">
        <v>4198</v>
      </c>
      <c r="E4281" s="6" t="str">
        <f>HYPERLINK("https://twitter.com/petrogustavo/status/1243946298979618816","1243946298979618816")</f>
        <v>1243946298979618816</v>
      </c>
      <c r="F4281" s="7" t="s">
        <v>17</v>
      </c>
      <c r="G4281" s="7">
        <v>3722893</v>
      </c>
      <c r="H4281" s="7">
        <v>2370</v>
      </c>
      <c r="I4281" s="7">
        <v>1107</v>
      </c>
      <c r="J4281" s="7">
        <v>0</v>
      </c>
      <c r="K4281" s="7" t="s">
        <v>18</v>
      </c>
      <c r="L4281" s="8">
        <v>39987.315405092595</v>
      </c>
      <c r="M4281" s="9" t="s">
        <v>19</v>
      </c>
      <c r="N4281" s="9" t="s">
        <v>20</v>
      </c>
      <c r="O4281" s="6" t="str">
        <f>HYPERLINK("https://pbs.twimg.com/profile_images/962471262747529216/Uo8lOkRJ_normal.jpg","View")</f>
        <v>View</v>
      </c>
      <c r="P4281" s="7"/>
    </row>
    <row r="4282" spans="1:16">
      <c r="A4282" s="3">
        <v>43918.943298611106</v>
      </c>
      <c r="B4282" s="4" t="str">
        <f>HYPERLINK("https://twitter.com/petrogustavo","@petrogustavo")</f>
        <v>@petrogustavo</v>
      </c>
      <c r="C4282" s="5" t="s">
        <v>16</v>
      </c>
      <c r="D4282" s="5" t="s">
        <v>4199</v>
      </c>
      <c r="E4282" s="6" t="str">
        <f>HYPERLINK("https://twitter.com/petrogustavo/status/1243948052060258305","1243948052060258305")</f>
        <v>1243948052060258305</v>
      </c>
      <c r="F4282" s="7" t="s">
        <v>17</v>
      </c>
      <c r="G4282" s="7">
        <v>3722951</v>
      </c>
      <c r="H4282" s="7">
        <v>2370</v>
      </c>
      <c r="I4282" s="7">
        <v>263</v>
      </c>
      <c r="J4282" s="7">
        <v>576</v>
      </c>
      <c r="K4282" s="7" t="s">
        <v>18</v>
      </c>
      <c r="L4282" s="8">
        <v>39987.315405092595</v>
      </c>
      <c r="M4282" s="9" t="s">
        <v>19</v>
      </c>
      <c r="N4282" s="9" t="s">
        <v>20</v>
      </c>
      <c r="O4282" s="6" t="str">
        <f>HYPERLINK("https://pbs.twimg.com/profile_images/962471262747529216/Uo8lOkRJ_normal.jpg","View")</f>
        <v>View</v>
      </c>
      <c r="P4282" s="7"/>
    </row>
    <row r="4283" spans="1:16">
      <c r="A4283" s="3">
        <v>43918.977361111116</v>
      </c>
      <c r="B4283" s="4" t="str">
        <f>HYPERLINK("https://twitter.com/petrogustavo","@petrogustavo")</f>
        <v>@petrogustavo</v>
      </c>
      <c r="C4283" s="5" t="s">
        <v>16</v>
      </c>
      <c r="D4283" s="5" t="s">
        <v>4200</v>
      </c>
      <c r="E4283" s="6" t="str">
        <f>HYPERLINK("https://twitter.com/petrogustavo/status/1243960393615237121","1243960393615237121")</f>
        <v>1243960393615237121</v>
      </c>
      <c r="F4283" s="7" t="s">
        <v>17</v>
      </c>
      <c r="G4283" s="7">
        <v>3723008</v>
      </c>
      <c r="H4283" s="7">
        <v>2370</v>
      </c>
      <c r="I4283" s="7">
        <v>23</v>
      </c>
      <c r="J4283" s="7">
        <v>0</v>
      </c>
      <c r="K4283" s="7" t="s">
        <v>18</v>
      </c>
      <c r="L4283" s="8">
        <v>39987.315405092595</v>
      </c>
      <c r="M4283" s="9" t="s">
        <v>19</v>
      </c>
      <c r="N4283" s="9" t="s">
        <v>20</v>
      </c>
      <c r="O4283" s="6" t="str">
        <f>HYPERLINK("https://pbs.twimg.com/profile_images/962471262747529216/Uo8lOkRJ_normal.jpg","View")</f>
        <v>View</v>
      </c>
      <c r="P4283" s="7"/>
    </row>
    <row r="4284" spans="1:16">
      <c r="A4284" s="3">
        <v>43918.980069444442</v>
      </c>
      <c r="B4284" s="4" t="str">
        <f>HYPERLINK("https://twitter.com/petrogustavo","@petrogustavo")</f>
        <v>@petrogustavo</v>
      </c>
      <c r="C4284" s="5" t="s">
        <v>16</v>
      </c>
      <c r="D4284" s="5" t="s">
        <v>4201</v>
      </c>
      <c r="E4284" s="6" t="str">
        <f>HYPERLINK("https://twitter.com/petrogustavo/status/1243961378437763072","1243961378437763072")</f>
        <v>1243961378437763072</v>
      </c>
      <c r="F4284" s="7" t="s">
        <v>17</v>
      </c>
      <c r="G4284" s="7">
        <v>3723008</v>
      </c>
      <c r="H4284" s="7">
        <v>2370</v>
      </c>
      <c r="I4284" s="7">
        <v>6</v>
      </c>
      <c r="J4284" s="7">
        <v>14</v>
      </c>
      <c r="K4284" s="7" t="s">
        <v>18</v>
      </c>
      <c r="L4284" s="8">
        <v>39987.315405092595</v>
      </c>
      <c r="M4284" s="9" t="s">
        <v>19</v>
      </c>
      <c r="N4284" s="9" t="s">
        <v>20</v>
      </c>
      <c r="O4284" s="6" t="str">
        <f>HYPERLINK("https://pbs.twimg.com/profile_images/962471262747529216/Uo8lOkRJ_normal.jpg","View")</f>
        <v>View</v>
      </c>
      <c r="P4284" s="7"/>
    </row>
    <row r="4285" spans="1:16">
      <c r="A4285" s="3">
        <v>43918.983726851853</v>
      </c>
      <c r="B4285" s="4" t="str">
        <f>HYPERLINK("https://twitter.com/petrogustavo","@petrogustavo")</f>
        <v>@petrogustavo</v>
      </c>
      <c r="C4285" s="5" t="s">
        <v>16</v>
      </c>
      <c r="D4285" s="5" t="s">
        <v>4202</v>
      </c>
      <c r="E4285" s="6" t="str">
        <f>HYPERLINK("https://twitter.com/petrogustavo/status/1243962700583055360","1243962700583055360")</f>
        <v>1243962700583055360</v>
      </c>
      <c r="F4285" s="7" t="s">
        <v>17</v>
      </c>
      <c r="G4285" s="7">
        <v>3723079</v>
      </c>
      <c r="H4285" s="7">
        <v>2370</v>
      </c>
      <c r="I4285" s="7">
        <v>133</v>
      </c>
      <c r="J4285" s="7">
        <v>0</v>
      </c>
      <c r="K4285" s="7" t="s">
        <v>18</v>
      </c>
      <c r="L4285" s="8">
        <v>39987.315405092595</v>
      </c>
      <c r="M4285" s="9" t="s">
        <v>19</v>
      </c>
      <c r="N4285" s="9" t="s">
        <v>20</v>
      </c>
      <c r="O4285" s="6" t="str">
        <f>HYPERLINK("https://pbs.twimg.com/profile_images/962471262747529216/Uo8lOkRJ_normal.jpg","View")</f>
        <v>View</v>
      </c>
      <c r="P4285" s="7"/>
    </row>
    <row r="4286" spans="1:16">
      <c r="A4286" s="3">
        <v>43918.985682870371</v>
      </c>
      <c r="B4286" s="4" t="str">
        <f>HYPERLINK("https://twitter.com/petrogustavo","@petrogustavo")</f>
        <v>@petrogustavo</v>
      </c>
      <c r="C4286" s="5" t="s">
        <v>16</v>
      </c>
      <c r="D4286" s="5" t="s">
        <v>4203</v>
      </c>
      <c r="E4286" s="6" t="str">
        <f>HYPERLINK("https://twitter.com/petrogustavo/status/1243963412348121090","1243963412348121090")</f>
        <v>1243963412348121090</v>
      </c>
      <c r="F4286" s="7" t="s">
        <v>17</v>
      </c>
      <c r="G4286" s="7">
        <v>3723079</v>
      </c>
      <c r="H4286" s="7">
        <v>2370</v>
      </c>
      <c r="I4286" s="7">
        <v>155</v>
      </c>
      <c r="J4286" s="7">
        <v>0</v>
      </c>
      <c r="K4286" s="7" t="s">
        <v>18</v>
      </c>
      <c r="L4286" s="8">
        <v>39987.315405092595</v>
      </c>
      <c r="M4286" s="9" t="s">
        <v>19</v>
      </c>
      <c r="N4286" s="9" t="s">
        <v>20</v>
      </c>
      <c r="O4286" s="6" t="str">
        <f>HYPERLINK("https://pbs.twimg.com/profile_images/962471262747529216/Uo8lOkRJ_normal.jpg","View")</f>
        <v>View</v>
      </c>
      <c r="P4286" s="7"/>
    </row>
    <row r="4287" spans="1:16">
      <c r="A4287" s="3">
        <v>43918.988900462966</v>
      </c>
      <c r="B4287" s="4" t="str">
        <f>HYPERLINK("https://twitter.com/petrogustavo","@petrogustavo")</f>
        <v>@petrogustavo</v>
      </c>
      <c r="C4287" s="5" t="s">
        <v>16</v>
      </c>
      <c r="D4287" s="5" t="s">
        <v>4204</v>
      </c>
      <c r="E4287" s="6" t="str">
        <f>HYPERLINK("https://twitter.com/petrogustavo/status/1243964576942698496","1243964576942698496")</f>
        <v>1243964576942698496</v>
      </c>
      <c r="F4287" s="7" t="s">
        <v>17</v>
      </c>
      <c r="G4287" s="7">
        <v>3723079</v>
      </c>
      <c r="H4287" s="7">
        <v>2370</v>
      </c>
      <c r="I4287" s="7">
        <v>58</v>
      </c>
      <c r="J4287" s="7">
        <v>98</v>
      </c>
      <c r="K4287" s="7" t="s">
        <v>18</v>
      </c>
      <c r="L4287" s="8">
        <v>39987.315405092595</v>
      </c>
      <c r="M4287" s="9" t="s">
        <v>19</v>
      </c>
      <c r="N4287" s="9" t="s">
        <v>20</v>
      </c>
      <c r="O4287" s="6" t="str">
        <f>HYPERLINK("https://pbs.twimg.com/profile_images/962471262747529216/Uo8lOkRJ_normal.jpg","View")</f>
        <v>View</v>
      </c>
      <c r="P4287" s="7"/>
    </row>
    <row r="4288" spans="1:16">
      <c r="A4288" s="3">
        <v>43918.996053240742</v>
      </c>
      <c r="B4288" s="4" t="str">
        <f>HYPERLINK("https://twitter.com/petrogustavo","@petrogustavo")</f>
        <v>@petrogustavo</v>
      </c>
      <c r="C4288" s="5" t="s">
        <v>16</v>
      </c>
      <c r="D4288" s="5" t="s">
        <v>4205</v>
      </c>
      <c r="E4288" s="6" t="str">
        <f>HYPERLINK("https://twitter.com/petrogustavo/status/1243967170230521856","1243967170230521856")</f>
        <v>1243967170230521856</v>
      </c>
      <c r="F4288" s="7" t="s">
        <v>17</v>
      </c>
      <c r="G4288" s="7">
        <v>3723079</v>
      </c>
      <c r="H4288" s="7">
        <v>2370</v>
      </c>
      <c r="I4288" s="7">
        <v>136</v>
      </c>
      <c r="J4288" s="7">
        <v>0</v>
      </c>
      <c r="K4288" s="7" t="s">
        <v>18</v>
      </c>
      <c r="L4288" s="8">
        <v>39987.315405092595</v>
      </c>
      <c r="M4288" s="9" t="s">
        <v>19</v>
      </c>
      <c r="N4288" s="9" t="s">
        <v>20</v>
      </c>
      <c r="O4288" s="6" t="str">
        <f>HYPERLINK("https://pbs.twimg.com/profile_images/962471262747529216/Uo8lOkRJ_normal.jpg","View")</f>
        <v>View</v>
      </c>
      <c r="P4288" s="7"/>
    </row>
    <row r="4289" spans="1:16">
      <c r="A4289" s="3">
        <v>43919.005706018521</v>
      </c>
      <c r="B4289" s="4" t="str">
        <f>HYPERLINK("https://twitter.com/petrogustavo","@petrogustavo")</f>
        <v>@petrogustavo</v>
      </c>
      <c r="C4289" s="5" t="s">
        <v>16</v>
      </c>
      <c r="D4289" s="5" t="s">
        <v>4206</v>
      </c>
      <c r="E4289" s="6" t="str">
        <f>HYPERLINK("https://twitter.com/petrogustavo/status/1243970665910358016","1243970665910358016")</f>
        <v>1243970665910358016</v>
      </c>
      <c r="F4289" s="7" t="s">
        <v>17</v>
      </c>
      <c r="G4289" s="7">
        <v>3723129</v>
      </c>
      <c r="H4289" s="7">
        <v>2371</v>
      </c>
      <c r="I4289" s="7">
        <v>36</v>
      </c>
      <c r="J4289" s="7">
        <v>0</v>
      </c>
      <c r="K4289" s="7" t="s">
        <v>18</v>
      </c>
      <c r="L4289" s="8">
        <v>39987.315405092595</v>
      </c>
      <c r="M4289" s="9" t="s">
        <v>19</v>
      </c>
      <c r="N4289" s="9" t="s">
        <v>20</v>
      </c>
      <c r="O4289" s="6" t="str">
        <f>HYPERLINK("https://pbs.twimg.com/profile_images/962471262747529216/Uo8lOkRJ_normal.jpg","View")</f>
        <v>View</v>
      </c>
      <c r="P4289" s="7"/>
    </row>
    <row r="4290" spans="1:16">
      <c r="A4290" s="3">
        <v>43919.007233796292</v>
      </c>
      <c r="B4290" s="4" t="str">
        <f>HYPERLINK("https://twitter.com/petrogustavo","@petrogustavo")</f>
        <v>@petrogustavo</v>
      </c>
      <c r="C4290" s="5" t="s">
        <v>16</v>
      </c>
      <c r="D4290" s="5" t="s">
        <v>4207</v>
      </c>
      <c r="E4290" s="6" t="str">
        <f>HYPERLINK("https://twitter.com/petrogustavo/status/1243971219407470592","1243971219407470592")</f>
        <v>1243971219407470592</v>
      </c>
      <c r="F4290" s="7" t="s">
        <v>17</v>
      </c>
      <c r="G4290" s="7">
        <v>3723129</v>
      </c>
      <c r="H4290" s="7">
        <v>2371</v>
      </c>
      <c r="I4290" s="7">
        <v>36</v>
      </c>
      <c r="J4290" s="7">
        <v>90</v>
      </c>
      <c r="K4290" s="7" t="s">
        <v>18</v>
      </c>
      <c r="L4290" s="8">
        <v>39987.315405092595</v>
      </c>
      <c r="M4290" s="9" t="s">
        <v>19</v>
      </c>
      <c r="N4290" s="9" t="s">
        <v>20</v>
      </c>
      <c r="O4290" s="6" t="str">
        <f>HYPERLINK("https://pbs.twimg.com/profile_images/962471262747529216/Uo8lOkRJ_normal.jpg","View")</f>
        <v>View</v>
      </c>
      <c r="P4290" s="7"/>
    </row>
    <row r="4291" spans="1:16">
      <c r="A4291" s="3">
        <v>43919.009375000001</v>
      </c>
      <c r="B4291" s="4" t="str">
        <f>HYPERLINK("https://twitter.com/petrogustavo","@petrogustavo")</f>
        <v>@petrogustavo</v>
      </c>
      <c r="C4291" s="5" t="s">
        <v>16</v>
      </c>
      <c r="D4291" s="5" t="s">
        <v>4208</v>
      </c>
      <c r="E4291" s="6" t="str">
        <f>HYPERLINK("https://twitter.com/petrogustavo/status/1243971997895360514","1243971997895360514")</f>
        <v>1243971997895360514</v>
      </c>
      <c r="F4291" s="7" t="s">
        <v>17</v>
      </c>
      <c r="G4291" s="7">
        <v>3723129</v>
      </c>
      <c r="H4291" s="7">
        <v>2371</v>
      </c>
      <c r="I4291" s="7">
        <v>129</v>
      </c>
      <c r="J4291" s="7">
        <v>364</v>
      </c>
      <c r="K4291" s="7" t="s">
        <v>18</v>
      </c>
      <c r="L4291" s="8">
        <v>39987.315405092595</v>
      </c>
      <c r="M4291" s="9" t="s">
        <v>19</v>
      </c>
      <c r="N4291" s="9" t="s">
        <v>20</v>
      </c>
      <c r="O4291" s="6" t="str">
        <f>HYPERLINK("https://pbs.twimg.com/profile_images/962471262747529216/Uo8lOkRJ_normal.jpg","View")</f>
        <v>View</v>
      </c>
      <c r="P4291" s="7"/>
    </row>
    <row r="4292" spans="1:16">
      <c r="A4292" s="3">
        <v>43919.011597222227</v>
      </c>
      <c r="B4292" s="4" t="str">
        <f>HYPERLINK("https://twitter.com/petrogustavo","@petrogustavo")</f>
        <v>@petrogustavo</v>
      </c>
      <c r="C4292" s="5" t="s">
        <v>16</v>
      </c>
      <c r="D4292" s="5" t="s">
        <v>4209</v>
      </c>
      <c r="E4292" s="6" t="str">
        <f>HYPERLINK("https://twitter.com/petrogustavo/status/1243972803298242560","1243972803298242560")</f>
        <v>1243972803298242560</v>
      </c>
      <c r="F4292" s="7" t="s">
        <v>17</v>
      </c>
      <c r="G4292" s="7">
        <v>3723129</v>
      </c>
      <c r="H4292" s="7">
        <v>2371</v>
      </c>
      <c r="I4292" s="7">
        <v>113</v>
      </c>
      <c r="J4292" s="7">
        <v>242</v>
      </c>
      <c r="K4292" s="7" t="s">
        <v>18</v>
      </c>
      <c r="L4292" s="8">
        <v>39987.315405092595</v>
      </c>
      <c r="M4292" s="9" t="s">
        <v>19</v>
      </c>
      <c r="N4292" s="9" t="s">
        <v>20</v>
      </c>
      <c r="O4292" s="6" t="str">
        <f>HYPERLINK("https://pbs.twimg.com/profile_images/962471262747529216/Uo8lOkRJ_normal.jpg","View")</f>
        <v>View</v>
      </c>
      <c r="P4292" s="7"/>
    </row>
    <row r="4293" spans="1:16">
      <c r="A4293" s="3">
        <v>43919.013252314813</v>
      </c>
      <c r="B4293" s="4" t="str">
        <f>HYPERLINK("https://twitter.com/petrogustavo","@petrogustavo")</f>
        <v>@petrogustavo</v>
      </c>
      <c r="C4293" s="5" t="s">
        <v>16</v>
      </c>
      <c r="D4293" s="5" t="s">
        <v>4210</v>
      </c>
      <c r="E4293" s="6" t="str">
        <f>HYPERLINK("https://twitter.com/petrogustavo/status/1243973399631839234","1243973399631839234")</f>
        <v>1243973399631839234</v>
      </c>
      <c r="F4293" s="7" t="s">
        <v>17</v>
      </c>
      <c r="G4293" s="7">
        <v>3723129</v>
      </c>
      <c r="H4293" s="7">
        <v>2371</v>
      </c>
      <c r="I4293" s="7">
        <v>157</v>
      </c>
      <c r="J4293" s="7">
        <v>0</v>
      </c>
      <c r="K4293" s="7" t="s">
        <v>18</v>
      </c>
      <c r="L4293" s="8">
        <v>39987.315405092595</v>
      </c>
      <c r="M4293" s="9" t="s">
        <v>19</v>
      </c>
      <c r="N4293" s="9" t="s">
        <v>20</v>
      </c>
      <c r="O4293" s="6" t="str">
        <f>HYPERLINK("https://pbs.twimg.com/profile_images/962471262747529216/Uo8lOkRJ_normal.jpg","View")</f>
        <v>View</v>
      </c>
      <c r="P4293" s="7"/>
    </row>
    <row r="4294" spans="1:16">
      <c r="A4294" s="3">
        <v>43919.014398148152</v>
      </c>
      <c r="B4294" s="4" t="str">
        <f>HYPERLINK("https://twitter.com/petrogustavo","@petrogustavo")</f>
        <v>@petrogustavo</v>
      </c>
      <c r="C4294" s="5" t="s">
        <v>16</v>
      </c>
      <c r="D4294" s="5" t="s">
        <v>4211</v>
      </c>
      <c r="E4294" s="6" t="str">
        <f>HYPERLINK("https://twitter.com/petrogustavo/status/1243973817053130755","1243973817053130755")</f>
        <v>1243973817053130755</v>
      </c>
      <c r="F4294" s="7" t="s">
        <v>17</v>
      </c>
      <c r="G4294" s="7">
        <v>3723129</v>
      </c>
      <c r="H4294" s="7">
        <v>2371</v>
      </c>
      <c r="I4294" s="7">
        <v>113</v>
      </c>
      <c r="J4294" s="7">
        <v>0</v>
      </c>
      <c r="K4294" s="7" t="s">
        <v>18</v>
      </c>
      <c r="L4294" s="8">
        <v>39987.315405092595</v>
      </c>
      <c r="M4294" s="9" t="s">
        <v>19</v>
      </c>
      <c r="N4294" s="9" t="s">
        <v>20</v>
      </c>
      <c r="O4294" s="6" t="str">
        <f>HYPERLINK("https://pbs.twimg.com/profile_images/962471262747529216/Uo8lOkRJ_normal.jpg","View")</f>
        <v>View</v>
      </c>
      <c r="P4294" s="7"/>
    </row>
    <row r="4295" spans="1:16">
      <c r="A4295" s="3">
        <v>43919.015648148154</v>
      </c>
      <c r="B4295" s="4" t="str">
        <f>HYPERLINK("https://twitter.com/petrogustavo","@petrogustavo")</f>
        <v>@petrogustavo</v>
      </c>
      <c r="C4295" s="5" t="s">
        <v>16</v>
      </c>
      <c r="D4295" s="5" t="s">
        <v>4212</v>
      </c>
      <c r="E4295" s="6" t="str">
        <f>HYPERLINK("https://twitter.com/petrogustavo/status/1243974268402237441","1243974268402237441")</f>
        <v>1243974268402237441</v>
      </c>
      <c r="F4295" s="7" t="s">
        <v>17</v>
      </c>
      <c r="G4295" s="7">
        <v>3723129</v>
      </c>
      <c r="H4295" s="7">
        <v>2371</v>
      </c>
      <c r="I4295" s="7">
        <v>641</v>
      </c>
      <c r="J4295" s="7">
        <v>0</v>
      </c>
      <c r="K4295" s="7" t="s">
        <v>18</v>
      </c>
      <c r="L4295" s="8">
        <v>39987.315405092595</v>
      </c>
      <c r="M4295" s="9" t="s">
        <v>19</v>
      </c>
      <c r="N4295" s="9" t="s">
        <v>20</v>
      </c>
      <c r="O4295" s="6" t="str">
        <f>HYPERLINK("https://pbs.twimg.com/profile_images/962471262747529216/Uo8lOkRJ_normal.jpg","View")</f>
        <v>View</v>
      </c>
      <c r="P4295" s="7"/>
    </row>
    <row r="4296" spans="1:16">
      <c r="A4296" s="3">
        <v>43919.021655092598</v>
      </c>
      <c r="B4296" s="4" t="str">
        <f>HYPERLINK("https://twitter.com/petrogustavo","@petrogustavo")</f>
        <v>@petrogustavo</v>
      </c>
      <c r="C4296" s="5" t="s">
        <v>16</v>
      </c>
      <c r="D4296" s="5" t="s">
        <v>4213</v>
      </c>
      <c r="E4296" s="6" t="str">
        <f>HYPERLINK("https://twitter.com/petrogustavo/status/1243976447267680259","1243976447267680259")</f>
        <v>1243976447267680259</v>
      </c>
      <c r="F4296" s="7" t="s">
        <v>17</v>
      </c>
      <c r="G4296" s="7">
        <v>3723129</v>
      </c>
      <c r="H4296" s="7">
        <v>2371</v>
      </c>
      <c r="I4296" s="7">
        <v>20</v>
      </c>
      <c r="J4296" s="7">
        <v>52</v>
      </c>
      <c r="K4296" s="7" t="s">
        <v>18</v>
      </c>
      <c r="L4296" s="8">
        <v>39987.315405092595</v>
      </c>
      <c r="M4296" s="9" t="s">
        <v>19</v>
      </c>
      <c r="N4296" s="9" t="s">
        <v>20</v>
      </c>
      <c r="O4296" s="6" t="str">
        <f>HYPERLINK("https://pbs.twimg.com/profile_images/962471262747529216/Uo8lOkRJ_normal.jpg","View")</f>
        <v>View</v>
      </c>
      <c r="P4296" s="7"/>
    </row>
    <row r="4297" spans="1:16">
      <c r="A4297" s="3">
        <v>43919.030034722222</v>
      </c>
      <c r="B4297" s="4" t="str">
        <f>HYPERLINK("https://twitter.com/petrogustavo","@petrogustavo")</f>
        <v>@petrogustavo</v>
      </c>
      <c r="C4297" s="5" t="s">
        <v>16</v>
      </c>
      <c r="D4297" s="5" t="s">
        <v>4212</v>
      </c>
      <c r="E4297" s="6" t="str">
        <f>HYPERLINK("https://twitter.com/petrogustavo/status/1243979484782571520","1243979484782571520")</f>
        <v>1243979484782571520</v>
      </c>
      <c r="F4297" s="7" t="s">
        <v>17</v>
      </c>
      <c r="G4297" s="7">
        <v>3723198</v>
      </c>
      <c r="H4297" s="7">
        <v>2371</v>
      </c>
      <c r="I4297" s="7">
        <v>751</v>
      </c>
      <c r="J4297" s="7">
        <v>0</v>
      </c>
      <c r="K4297" s="7" t="s">
        <v>18</v>
      </c>
      <c r="L4297" s="8">
        <v>39987.315405092595</v>
      </c>
      <c r="M4297" s="9" t="s">
        <v>19</v>
      </c>
      <c r="N4297" s="9" t="s">
        <v>20</v>
      </c>
      <c r="O4297" s="6" t="str">
        <f>HYPERLINK("https://pbs.twimg.com/profile_images/962471262747529216/Uo8lOkRJ_normal.jpg","View")</f>
        <v>View</v>
      </c>
      <c r="P4297" s="7"/>
    </row>
    <row r="4298" spans="1:16">
      <c r="A4298" s="3">
        <v>43919.081307870365</v>
      </c>
      <c r="B4298" s="4" t="str">
        <f>HYPERLINK("https://twitter.com/petrogustavo","@petrogustavo")</f>
        <v>@petrogustavo</v>
      </c>
      <c r="C4298" s="5" t="s">
        <v>16</v>
      </c>
      <c r="D4298" s="5" t="s">
        <v>4214</v>
      </c>
      <c r="E4298" s="6" t="str">
        <f>HYPERLINK("https://twitter.com/petrogustavo/status/1243998063187898368","1243998063187898368")</f>
        <v>1243998063187898368</v>
      </c>
      <c r="F4298" s="7" t="s">
        <v>17</v>
      </c>
      <c r="G4298" s="7">
        <v>3723298</v>
      </c>
      <c r="H4298" s="7">
        <v>2371</v>
      </c>
      <c r="I4298" s="7">
        <v>50</v>
      </c>
      <c r="J4298" s="7">
        <v>71</v>
      </c>
      <c r="K4298" s="7" t="s">
        <v>18</v>
      </c>
      <c r="L4298" s="8">
        <v>39987.315405092595</v>
      </c>
      <c r="M4298" s="9" t="s">
        <v>19</v>
      </c>
      <c r="N4298" s="9" t="s">
        <v>20</v>
      </c>
      <c r="O4298" s="6" t="str">
        <f>HYPERLINK("https://pbs.twimg.com/profile_images/962471262747529216/Uo8lOkRJ_normal.jpg","View")</f>
        <v>View</v>
      </c>
      <c r="P4298" s="7"/>
    </row>
    <row r="4299" spans="1:16">
      <c r="A4299" s="3">
        <v>43919.084999999999</v>
      </c>
      <c r="B4299" s="4" t="str">
        <f>HYPERLINK("https://twitter.com/petrogustavo","@petrogustavo")</f>
        <v>@petrogustavo</v>
      </c>
      <c r="C4299" s="5" t="s">
        <v>16</v>
      </c>
      <c r="D4299" s="5" t="s">
        <v>4215</v>
      </c>
      <c r="E4299" s="6" t="str">
        <f>HYPERLINK("https://twitter.com/petrogustavo/status/1243999402697674753","1243999402697674753")</f>
        <v>1243999402697674753</v>
      </c>
      <c r="F4299" s="7" t="s">
        <v>17</v>
      </c>
      <c r="G4299" s="7">
        <v>3723298</v>
      </c>
      <c r="H4299" s="7">
        <v>2371</v>
      </c>
      <c r="I4299" s="7">
        <v>1</v>
      </c>
      <c r="J4299" s="7">
        <v>3</v>
      </c>
      <c r="K4299" s="7" t="s">
        <v>18</v>
      </c>
      <c r="L4299" s="8">
        <v>39987.315405092595</v>
      </c>
      <c r="M4299" s="9" t="s">
        <v>19</v>
      </c>
      <c r="N4299" s="9" t="s">
        <v>20</v>
      </c>
      <c r="O4299" s="6" t="str">
        <f>HYPERLINK("https://pbs.twimg.com/profile_images/962471262747529216/Uo8lOkRJ_normal.jpg","View")</f>
        <v>View</v>
      </c>
      <c r="P4299" s="7"/>
    </row>
    <row r="4300" spans="1:16">
      <c r="A4300" s="3">
        <v>43919.086805555555</v>
      </c>
      <c r="B4300" s="4" t="str">
        <f>HYPERLINK("https://twitter.com/petrogustavo","@petrogustavo")</f>
        <v>@petrogustavo</v>
      </c>
      <c r="C4300" s="5" t="s">
        <v>16</v>
      </c>
      <c r="D4300" s="5" t="s">
        <v>4216</v>
      </c>
      <c r="E4300" s="6" t="str">
        <f>HYPERLINK("https://twitter.com/petrogustavo/status/1244000057759760384","1244000057759760384")</f>
        <v>1244000057759760384</v>
      </c>
      <c r="F4300" s="7" t="s">
        <v>17</v>
      </c>
      <c r="G4300" s="7">
        <v>3723358</v>
      </c>
      <c r="H4300" s="7">
        <v>2371</v>
      </c>
      <c r="I4300" s="7">
        <v>375</v>
      </c>
      <c r="J4300" s="7">
        <v>0</v>
      </c>
      <c r="K4300" s="7" t="s">
        <v>18</v>
      </c>
      <c r="L4300" s="8">
        <v>39987.315405092595</v>
      </c>
      <c r="M4300" s="9" t="s">
        <v>19</v>
      </c>
      <c r="N4300" s="9" t="s">
        <v>20</v>
      </c>
      <c r="O4300" s="6" t="str">
        <f>HYPERLINK("https://pbs.twimg.com/profile_images/962471262747529216/Uo8lOkRJ_normal.jpg","View")</f>
        <v>View</v>
      </c>
      <c r="P4300" s="7"/>
    </row>
    <row r="4301" spans="1:16">
      <c r="A4301" s="3">
        <v>43919.089606481481</v>
      </c>
      <c r="B4301" s="4" t="str">
        <f>HYPERLINK("https://twitter.com/petrogustavo","@petrogustavo")</f>
        <v>@petrogustavo</v>
      </c>
      <c r="C4301" s="5" t="s">
        <v>16</v>
      </c>
      <c r="D4301" s="5" t="s">
        <v>4217</v>
      </c>
      <c r="E4301" s="6" t="str">
        <f>HYPERLINK("https://twitter.com/petrogustavo/status/1244001071732793344","1244001071732793344")</f>
        <v>1244001071732793344</v>
      </c>
      <c r="F4301" s="7" t="s">
        <v>17</v>
      </c>
      <c r="G4301" s="7">
        <v>3723358</v>
      </c>
      <c r="H4301" s="7">
        <v>2371</v>
      </c>
      <c r="I4301" s="7">
        <v>126</v>
      </c>
      <c r="J4301" s="7">
        <v>0</v>
      </c>
      <c r="K4301" s="7" t="s">
        <v>18</v>
      </c>
      <c r="L4301" s="8">
        <v>39987.315405092595</v>
      </c>
      <c r="M4301" s="9" t="s">
        <v>19</v>
      </c>
      <c r="N4301" s="9" t="s">
        <v>20</v>
      </c>
      <c r="O4301" s="6" t="str">
        <f>HYPERLINK("https://pbs.twimg.com/profile_images/962471262747529216/Uo8lOkRJ_normal.jpg","View")</f>
        <v>View</v>
      </c>
      <c r="P4301" s="7"/>
    </row>
    <row r="4302" spans="1:16">
      <c r="A4302" s="3">
        <v>43919.094849537039</v>
      </c>
      <c r="B4302" s="4" t="str">
        <f>HYPERLINK("https://twitter.com/petrogustavo","@petrogustavo")</f>
        <v>@petrogustavo</v>
      </c>
      <c r="C4302" s="5" t="s">
        <v>16</v>
      </c>
      <c r="D4302" s="5" t="s">
        <v>4218</v>
      </c>
      <c r="E4302" s="6" t="str">
        <f>HYPERLINK("https://twitter.com/petrogustavo/status/1244002971555430400","1244002971555430400")</f>
        <v>1244002971555430400</v>
      </c>
      <c r="F4302" s="7" t="s">
        <v>17</v>
      </c>
      <c r="G4302" s="7">
        <v>3723358</v>
      </c>
      <c r="H4302" s="7">
        <v>2371</v>
      </c>
      <c r="I4302" s="7">
        <v>221</v>
      </c>
      <c r="J4302" s="7">
        <v>430</v>
      </c>
      <c r="K4302" s="7" t="s">
        <v>18</v>
      </c>
      <c r="L4302" s="8">
        <v>39987.315405092595</v>
      </c>
      <c r="M4302" s="9" t="s">
        <v>19</v>
      </c>
      <c r="N4302" s="9" t="s">
        <v>20</v>
      </c>
      <c r="O4302" s="6" t="str">
        <f>HYPERLINK("https://pbs.twimg.com/profile_images/962471262747529216/Uo8lOkRJ_normal.jpg","View")</f>
        <v>View</v>
      </c>
      <c r="P4302" s="7"/>
    </row>
    <row r="4303" spans="1:16">
      <c r="A4303" s="3">
        <v>43919.101446759261</v>
      </c>
      <c r="B4303" s="4" t="str">
        <f>HYPERLINK("https://twitter.com/petrogustavo","@petrogustavo")</f>
        <v>@petrogustavo</v>
      </c>
      <c r="C4303" s="5" t="s">
        <v>16</v>
      </c>
      <c r="D4303" s="5" t="s">
        <v>4219</v>
      </c>
      <c r="E4303" s="6" t="str">
        <f>HYPERLINK("https://twitter.com/petrogustavo/status/1244005363915149312","1244005363915149312")</f>
        <v>1244005363915149312</v>
      </c>
      <c r="F4303" s="7" t="s">
        <v>17</v>
      </c>
      <c r="G4303" s="7">
        <v>3723358</v>
      </c>
      <c r="H4303" s="7">
        <v>2371</v>
      </c>
      <c r="I4303" s="7">
        <v>36</v>
      </c>
      <c r="J4303" s="7">
        <v>84</v>
      </c>
      <c r="K4303" s="7" t="s">
        <v>18</v>
      </c>
      <c r="L4303" s="8">
        <v>39987.315405092595</v>
      </c>
      <c r="M4303" s="9" t="s">
        <v>19</v>
      </c>
      <c r="N4303" s="9" t="s">
        <v>20</v>
      </c>
      <c r="O4303" s="6" t="str">
        <f>HYPERLINK("https://pbs.twimg.com/profile_images/962471262747529216/Uo8lOkRJ_normal.jpg","View")</f>
        <v>View</v>
      </c>
      <c r="P4303" s="7"/>
    </row>
    <row r="4304" spans="1:16">
      <c r="A4304" s="3">
        <v>43919.189780092594</v>
      </c>
      <c r="B4304" s="4" t="str">
        <f>HYPERLINK("https://twitter.com/petrogustavo","@petrogustavo")</f>
        <v>@petrogustavo</v>
      </c>
      <c r="C4304" s="5" t="s">
        <v>16</v>
      </c>
      <c r="D4304" s="5" t="s">
        <v>4220</v>
      </c>
      <c r="E4304" s="6" t="str">
        <f>HYPERLINK("https://twitter.com/petrogustavo/status/1244037374734196736","1244037374734196736")</f>
        <v>1244037374734196736</v>
      </c>
      <c r="F4304" s="7" t="s">
        <v>17</v>
      </c>
      <c r="G4304" s="7">
        <v>3723582</v>
      </c>
      <c r="H4304" s="7">
        <v>2371</v>
      </c>
      <c r="I4304" s="7">
        <v>144</v>
      </c>
      <c r="J4304" s="7">
        <v>462</v>
      </c>
      <c r="K4304" s="7" t="s">
        <v>18</v>
      </c>
      <c r="L4304" s="8">
        <v>39987.315405092595</v>
      </c>
      <c r="M4304" s="9" t="s">
        <v>19</v>
      </c>
      <c r="N4304" s="9" t="s">
        <v>20</v>
      </c>
      <c r="O4304" s="6" t="str">
        <f>HYPERLINK("https://pbs.twimg.com/profile_images/962471262747529216/Uo8lOkRJ_normal.jpg","View")</f>
        <v>View</v>
      </c>
      <c r="P4304" s="7"/>
    </row>
    <row r="4305" spans="1:16">
      <c r="A4305" s="3">
        <v>43919.192349537036</v>
      </c>
      <c r="B4305" s="4" t="str">
        <f>HYPERLINK("https://twitter.com/petrogustavo","@petrogustavo")</f>
        <v>@petrogustavo</v>
      </c>
      <c r="C4305" s="5" t="s">
        <v>16</v>
      </c>
      <c r="D4305" s="5" t="s">
        <v>4221</v>
      </c>
      <c r="E4305" s="6" t="str">
        <f>HYPERLINK("https://twitter.com/petrogustavo/status/1244038302862323712","1244038302862323712")</f>
        <v>1244038302862323712</v>
      </c>
      <c r="F4305" s="7" t="s">
        <v>17</v>
      </c>
      <c r="G4305" s="7">
        <v>3723582</v>
      </c>
      <c r="H4305" s="7">
        <v>2371</v>
      </c>
      <c r="I4305" s="7">
        <v>172</v>
      </c>
      <c r="J4305" s="7">
        <v>321</v>
      </c>
      <c r="K4305" s="7" t="s">
        <v>18</v>
      </c>
      <c r="L4305" s="8">
        <v>39987.315405092595</v>
      </c>
      <c r="M4305" s="9" t="s">
        <v>19</v>
      </c>
      <c r="N4305" s="9" t="s">
        <v>20</v>
      </c>
      <c r="O4305" s="6" t="str">
        <f>HYPERLINK("https://pbs.twimg.com/profile_images/962471262747529216/Uo8lOkRJ_normal.jpg","View")</f>
        <v>View</v>
      </c>
      <c r="P4305" s="7"/>
    </row>
    <row r="4306" spans="1:16">
      <c r="A4306" s="3">
        <v>43919.209733796291</v>
      </c>
      <c r="B4306" s="4" t="str">
        <f>HYPERLINK("https://twitter.com/petrogustavo","@petrogustavo")</f>
        <v>@petrogustavo</v>
      </c>
      <c r="C4306" s="5" t="s">
        <v>16</v>
      </c>
      <c r="D4306" s="5" t="s">
        <v>4222</v>
      </c>
      <c r="E4306" s="6" t="str">
        <f>HYPERLINK("https://twitter.com/petrogustavo/status/1244044604455952384","1244044604455952384")</f>
        <v>1244044604455952384</v>
      </c>
      <c r="F4306" s="7" t="s">
        <v>17</v>
      </c>
      <c r="G4306" s="7">
        <v>3723582</v>
      </c>
      <c r="H4306" s="7">
        <v>2371</v>
      </c>
      <c r="I4306" s="7">
        <v>21</v>
      </c>
      <c r="J4306" s="7">
        <v>0</v>
      </c>
      <c r="K4306" s="7" t="s">
        <v>18</v>
      </c>
      <c r="L4306" s="8">
        <v>39987.315405092595</v>
      </c>
      <c r="M4306" s="9" t="s">
        <v>19</v>
      </c>
      <c r="N4306" s="9" t="s">
        <v>20</v>
      </c>
      <c r="O4306" s="6" t="str">
        <f>HYPERLINK("https://pbs.twimg.com/profile_images/962471262747529216/Uo8lOkRJ_normal.jpg","View")</f>
        <v>View</v>
      </c>
      <c r="P4306" s="7"/>
    </row>
    <row r="4307" spans="1:16">
      <c r="A4307" s="3">
        <v>43919.216111111113</v>
      </c>
      <c r="B4307" s="4" t="str">
        <f>HYPERLINK("https://twitter.com/petrogustavo","@petrogustavo")</f>
        <v>@petrogustavo</v>
      </c>
      <c r="C4307" s="5" t="s">
        <v>16</v>
      </c>
      <c r="D4307" s="5" t="s">
        <v>4223</v>
      </c>
      <c r="E4307" s="6" t="str">
        <f>HYPERLINK("https://twitter.com/petrogustavo/status/1244046913109987337","1244046913109987337")</f>
        <v>1244046913109987337</v>
      </c>
      <c r="F4307" s="7" t="s">
        <v>17</v>
      </c>
      <c r="G4307" s="7">
        <v>3723656</v>
      </c>
      <c r="H4307" s="7">
        <v>2371</v>
      </c>
      <c r="I4307" s="7">
        <v>124</v>
      </c>
      <c r="J4307" s="7">
        <v>184</v>
      </c>
      <c r="K4307" s="7" t="s">
        <v>18</v>
      </c>
      <c r="L4307" s="8">
        <v>39987.315405092595</v>
      </c>
      <c r="M4307" s="9" t="s">
        <v>19</v>
      </c>
      <c r="N4307" s="9" t="s">
        <v>20</v>
      </c>
      <c r="O4307" s="6" t="str">
        <f>HYPERLINK("https://pbs.twimg.com/profile_images/962471262747529216/Uo8lOkRJ_normal.jpg","View")</f>
        <v>View</v>
      </c>
      <c r="P4307" s="7"/>
    </row>
    <row r="4308" spans="1:16">
      <c r="A4308" s="3">
        <v>43919.216342592597</v>
      </c>
      <c r="B4308" s="4" t="str">
        <f>HYPERLINK("https://twitter.com/petrogustavo","@petrogustavo")</f>
        <v>@petrogustavo</v>
      </c>
      <c r="C4308" s="5" t="s">
        <v>16</v>
      </c>
      <c r="D4308" s="5" t="s">
        <v>4224</v>
      </c>
      <c r="E4308" s="6" t="str">
        <f>HYPERLINK("https://twitter.com/petrogustavo/status/1244046998732451847","1244046998732451847")</f>
        <v>1244046998732451847</v>
      </c>
      <c r="F4308" s="7" t="s">
        <v>17</v>
      </c>
      <c r="G4308" s="7">
        <v>3723656</v>
      </c>
      <c r="H4308" s="7">
        <v>2371</v>
      </c>
      <c r="I4308" s="7">
        <v>268</v>
      </c>
      <c r="J4308" s="7">
        <v>0</v>
      </c>
      <c r="K4308" s="7" t="s">
        <v>18</v>
      </c>
      <c r="L4308" s="8">
        <v>39987.315405092595</v>
      </c>
      <c r="M4308" s="9" t="s">
        <v>19</v>
      </c>
      <c r="N4308" s="9" t="s">
        <v>20</v>
      </c>
      <c r="O4308" s="6" t="str">
        <f>HYPERLINK("https://pbs.twimg.com/profile_images/962471262747529216/Uo8lOkRJ_normal.jpg","View")</f>
        <v>View</v>
      </c>
      <c r="P4308" s="7"/>
    </row>
    <row r="4309" spans="1:16">
      <c r="A4309" s="3">
        <v>43919.21806712963</v>
      </c>
      <c r="B4309" s="4" t="str">
        <f>HYPERLINK("https://twitter.com/petrogustavo","@petrogustavo")</f>
        <v>@petrogustavo</v>
      </c>
      <c r="C4309" s="5" t="s">
        <v>16</v>
      </c>
      <c r="D4309" s="5" t="s">
        <v>4225</v>
      </c>
      <c r="E4309" s="6" t="str">
        <f>HYPERLINK("https://twitter.com/petrogustavo/status/1244047624803680257","1244047624803680257")</f>
        <v>1244047624803680257</v>
      </c>
      <c r="F4309" s="7" t="s">
        <v>17</v>
      </c>
      <c r="G4309" s="7">
        <v>3723656</v>
      </c>
      <c r="H4309" s="7">
        <v>2371</v>
      </c>
      <c r="I4309" s="7">
        <v>70</v>
      </c>
      <c r="J4309" s="7">
        <v>0</v>
      </c>
      <c r="K4309" s="7" t="s">
        <v>18</v>
      </c>
      <c r="L4309" s="8">
        <v>39987.315405092595</v>
      </c>
      <c r="M4309" s="9" t="s">
        <v>19</v>
      </c>
      <c r="N4309" s="9" t="s">
        <v>20</v>
      </c>
      <c r="O4309" s="6" t="str">
        <f>HYPERLINK("https://pbs.twimg.com/profile_images/962471262747529216/Uo8lOkRJ_normal.jpg","View")</f>
        <v>View</v>
      </c>
      <c r="P4309" s="7"/>
    </row>
    <row r="4310" spans="1:16">
      <c r="A4310" s="3">
        <v>43919.220347222217</v>
      </c>
      <c r="B4310" s="4" t="str">
        <f>HYPERLINK("https://twitter.com/petrogustavo","@petrogustavo")</f>
        <v>@petrogustavo</v>
      </c>
      <c r="C4310" s="5" t="s">
        <v>16</v>
      </c>
      <c r="D4310" s="5" t="s">
        <v>4226</v>
      </c>
      <c r="E4310" s="6" t="str">
        <f>HYPERLINK("https://twitter.com/petrogustavo/status/1244048449223512064","1244048449223512064")</f>
        <v>1244048449223512064</v>
      </c>
      <c r="F4310" s="7" t="s">
        <v>17</v>
      </c>
      <c r="G4310" s="7">
        <v>3723656</v>
      </c>
      <c r="H4310" s="7">
        <v>2371</v>
      </c>
      <c r="I4310" s="7">
        <v>259</v>
      </c>
      <c r="J4310" s="7">
        <v>0</v>
      </c>
      <c r="K4310" s="7" t="s">
        <v>18</v>
      </c>
      <c r="L4310" s="8">
        <v>39987.315405092595</v>
      </c>
      <c r="M4310" s="9" t="s">
        <v>19</v>
      </c>
      <c r="N4310" s="9" t="s">
        <v>20</v>
      </c>
      <c r="O4310" s="6" t="str">
        <f>HYPERLINK("https://pbs.twimg.com/profile_images/962471262747529216/Uo8lOkRJ_normal.jpg","View")</f>
        <v>View</v>
      </c>
      <c r="P4310" s="7"/>
    </row>
    <row r="4311" spans="1:16">
      <c r="A4311" s="3">
        <v>43919.221631944441</v>
      </c>
      <c r="B4311" s="4" t="str">
        <f>HYPERLINK("https://twitter.com/petrogustavo","@petrogustavo")</f>
        <v>@petrogustavo</v>
      </c>
      <c r="C4311" s="5" t="s">
        <v>16</v>
      </c>
      <c r="D4311" s="5" t="s">
        <v>4227</v>
      </c>
      <c r="E4311" s="6" t="str">
        <f>HYPERLINK("https://twitter.com/petrogustavo/status/1244048916259262465","1244048916259262465")</f>
        <v>1244048916259262465</v>
      </c>
      <c r="F4311" s="7" t="s">
        <v>17</v>
      </c>
      <c r="G4311" s="7">
        <v>3723656</v>
      </c>
      <c r="H4311" s="7">
        <v>2371</v>
      </c>
      <c r="I4311" s="7">
        <v>76</v>
      </c>
      <c r="J4311" s="7">
        <v>0</v>
      </c>
      <c r="K4311" s="7" t="s">
        <v>18</v>
      </c>
      <c r="L4311" s="8">
        <v>39987.315405092595</v>
      </c>
      <c r="M4311" s="9" t="s">
        <v>19</v>
      </c>
      <c r="N4311" s="9" t="s">
        <v>20</v>
      </c>
      <c r="O4311" s="6" t="str">
        <f>HYPERLINK("https://pbs.twimg.com/profile_images/962471262747529216/Uo8lOkRJ_normal.jpg","View")</f>
        <v>View</v>
      </c>
      <c r="P4311" s="7"/>
    </row>
    <row r="4312" spans="1:16">
      <c r="A4312" s="3">
        <v>43919.226354166662</v>
      </c>
      <c r="B4312" s="4" t="str">
        <f>HYPERLINK("https://twitter.com/petrogustavo","@petrogustavo")</f>
        <v>@petrogustavo</v>
      </c>
      <c r="C4312" s="5" t="s">
        <v>16</v>
      </c>
      <c r="D4312" s="5" t="s">
        <v>4228</v>
      </c>
      <c r="E4312" s="6" t="str">
        <f>HYPERLINK("https://twitter.com/petrogustavo/status/1244050629074567168","1244050629074567168")</f>
        <v>1244050629074567168</v>
      </c>
      <c r="F4312" s="7" t="s">
        <v>17</v>
      </c>
      <c r="G4312" s="7">
        <v>3723656</v>
      </c>
      <c r="H4312" s="7">
        <v>2371</v>
      </c>
      <c r="I4312" s="7">
        <v>31</v>
      </c>
      <c r="J4312" s="7">
        <v>0</v>
      </c>
      <c r="K4312" s="7" t="s">
        <v>18</v>
      </c>
      <c r="L4312" s="8">
        <v>39987.315405092595</v>
      </c>
      <c r="M4312" s="9" t="s">
        <v>19</v>
      </c>
      <c r="N4312" s="9" t="s">
        <v>20</v>
      </c>
      <c r="O4312" s="6" t="str">
        <f>HYPERLINK("https://pbs.twimg.com/profile_images/962471262747529216/Uo8lOkRJ_normal.jpg","View")</f>
        <v>View</v>
      </c>
      <c r="P4312" s="7"/>
    </row>
    <row r="4313" spans="1:16">
      <c r="A4313" s="3">
        <v>43919.226909722223</v>
      </c>
      <c r="B4313" s="4" t="str">
        <f>HYPERLINK("https://twitter.com/petrogustavo","@petrogustavo")</f>
        <v>@petrogustavo</v>
      </c>
      <c r="C4313" s="5" t="s">
        <v>16</v>
      </c>
      <c r="D4313" s="5" t="s">
        <v>4229</v>
      </c>
      <c r="E4313" s="6" t="str">
        <f>HYPERLINK("https://twitter.com/petrogustavo/status/1244050828257906689","1244050828257906689")</f>
        <v>1244050828257906689</v>
      </c>
      <c r="F4313" s="7" t="s">
        <v>17</v>
      </c>
      <c r="G4313" s="7">
        <v>3723656</v>
      </c>
      <c r="H4313" s="7">
        <v>2371</v>
      </c>
      <c r="I4313" s="7">
        <v>3009</v>
      </c>
      <c r="J4313" s="7">
        <v>0</v>
      </c>
      <c r="K4313" s="7" t="s">
        <v>18</v>
      </c>
      <c r="L4313" s="8">
        <v>39987.315405092595</v>
      </c>
      <c r="M4313" s="9" t="s">
        <v>19</v>
      </c>
      <c r="N4313" s="9" t="s">
        <v>20</v>
      </c>
      <c r="O4313" s="6" t="str">
        <f>HYPERLINK("https://pbs.twimg.com/profile_images/962471262747529216/Uo8lOkRJ_normal.jpg","View")</f>
        <v>View</v>
      </c>
      <c r="P4313" s="7"/>
    </row>
    <row r="4314" spans="1:16">
      <c r="A4314" s="3">
        <v>43919.241701388892</v>
      </c>
      <c r="B4314" s="4" t="str">
        <f>HYPERLINK("https://twitter.com/petrogustavo","@petrogustavo")</f>
        <v>@petrogustavo</v>
      </c>
      <c r="C4314" s="5" t="s">
        <v>16</v>
      </c>
      <c r="D4314" s="5" t="s">
        <v>4230</v>
      </c>
      <c r="E4314" s="6" t="str">
        <f>HYPERLINK("https://twitter.com/petrogustavo/status/1244056189757001732","1244056189757001732")</f>
        <v>1244056189757001732</v>
      </c>
      <c r="F4314" s="7" t="s">
        <v>17</v>
      </c>
      <c r="G4314" s="7">
        <v>3723689</v>
      </c>
      <c r="H4314" s="7">
        <v>2371</v>
      </c>
      <c r="I4314" s="7">
        <v>19</v>
      </c>
      <c r="J4314" s="7">
        <v>0</v>
      </c>
      <c r="K4314" s="7" t="s">
        <v>18</v>
      </c>
      <c r="L4314" s="8">
        <v>39987.315405092595</v>
      </c>
      <c r="M4314" s="9" t="s">
        <v>19</v>
      </c>
      <c r="N4314" s="9" t="s">
        <v>20</v>
      </c>
      <c r="O4314" s="6" t="str">
        <f>HYPERLINK("https://pbs.twimg.com/profile_images/962471262747529216/Uo8lOkRJ_normal.jpg","View")</f>
        <v>View</v>
      </c>
      <c r="P4314" s="7"/>
    </row>
    <row r="4315" spans="1:16">
      <c r="A4315" s="3">
        <v>43919.241805555561</v>
      </c>
      <c r="B4315" s="4" t="str">
        <f>HYPERLINK("https://twitter.com/petrogustavo","@petrogustavo")</f>
        <v>@petrogustavo</v>
      </c>
      <c r="C4315" s="5" t="s">
        <v>16</v>
      </c>
      <c r="D4315" s="5" t="s">
        <v>4231</v>
      </c>
      <c r="E4315" s="6" t="str">
        <f>HYPERLINK("https://twitter.com/petrogustavo/status/1244056228554309634","1244056228554309634")</f>
        <v>1244056228554309634</v>
      </c>
      <c r="F4315" s="7" t="s">
        <v>17</v>
      </c>
      <c r="G4315" s="7">
        <v>3723689</v>
      </c>
      <c r="H4315" s="7">
        <v>2371</v>
      </c>
      <c r="I4315" s="7">
        <v>73</v>
      </c>
      <c r="J4315" s="7">
        <v>0</v>
      </c>
      <c r="K4315" s="7" t="s">
        <v>18</v>
      </c>
      <c r="L4315" s="8">
        <v>39987.315405092595</v>
      </c>
      <c r="M4315" s="9" t="s">
        <v>19</v>
      </c>
      <c r="N4315" s="9" t="s">
        <v>20</v>
      </c>
      <c r="O4315" s="6" t="str">
        <f>HYPERLINK("https://pbs.twimg.com/profile_images/962471262747529216/Uo8lOkRJ_normal.jpg","View")</f>
        <v>View</v>
      </c>
      <c r="P4315" s="7"/>
    </row>
    <row r="4316" spans="1:16">
      <c r="A4316" s="3">
        <v>43919.244351851856</v>
      </c>
      <c r="B4316" s="4" t="str">
        <f>HYPERLINK("https://twitter.com/petrogustavo","@petrogustavo")</f>
        <v>@petrogustavo</v>
      </c>
      <c r="C4316" s="5" t="s">
        <v>16</v>
      </c>
      <c r="D4316" s="5" t="s">
        <v>4232</v>
      </c>
      <c r="E4316" s="6" t="str">
        <f>HYPERLINK("https://twitter.com/petrogustavo/status/1244057150969823234","1244057150969823234")</f>
        <v>1244057150969823234</v>
      </c>
      <c r="F4316" s="7" t="s">
        <v>17</v>
      </c>
      <c r="G4316" s="7">
        <v>3723689</v>
      </c>
      <c r="H4316" s="7">
        <v>2371</v>
      </c>
      <c r="I4316" s="7">
        <v>88</v>
      </c>
      <c r="J4316" s="7">
        <v>151</v>
      </c>
      <c r="K4316" s="7" t="s">
        <v>18</v>
      </c>
      <c r="L4316" s="8">
        <v>39987.315405092595</v>
      </c>
      <c r="M4316" s="9" t="s">
        <v>19</v>
      </c>
      <c r="N4316" s="9" t="s">
        <v>20</v>
      </c>
      <c r="O4316" s="6" t="str">
        <f>HYPERLINK("https://pbs.twimg.com/profile_images/962471262747529216/Uo8lOkRJ_normal.jpg","View")</f>
        <v>View</v>
      </c>
      <c r="P4316" s="7"/>
    </row>
    <row r="4317" spans="1:16">
      <c r="A4317" s="3">
        <v>43919.287824074076</v>
      </c>
      <c r="B4317" s="4" t="str">
        <f>HYPERLINK("https://twitter.com/petrogustavo","@petrogustavo")</f>
        <v>@petrogustavo</v>
      </c>
      <c r="C4317" s="5" t="s">
        <v>16</v>
      </c>
      <c r="D4317" s="5" t="s">
        <v>4233</v>
      </c>
      <c r="E4317" s="6" t="str">
        <f>HYPERLINK("https://twitter.com/petrogustavo/status/1244072903295074305","1244072903295074305")</f>
        <v>1244072903295074305</v>
      </c>
      <c r="F4317" s="7" t="s">
        <v>17</v>
      </c>
      <c r="G4317" s="7">
        <v>3723805</v>
      </c>
      <c r="H4317" s="7">
        <v>2371</v>
      </c>
      <c r="I4317" s="7">
        <v>210</v>
      </c>
      <c r="J4317" s="7">
        <v>0</v>
      </c>
      <c r="K4317" s="7" t="s">
        <v>18</v>
      </c>
      <c r="L4317" s="8">
        <v>39987.315405092595</v>
      </c>
      <c r="M4317" s="9" t="s">
        <v>19</v>
      </c>
      <c r="N4317" s="9" t="s">
        <v>20</v>
      </c>
      <c r="O4317" s="6" t="str">
        <f>HYPERLINK("https://pbs.twimg.com/profile_images/962471262747529216/Uo8lOkRJ_normal.jpg","View")</f>
        <v>View</v>
      </c>
      <c r="P4317" s="7"/>
    </row>
    <row r="4318" spans="1:16">
      <c r="A4318" s="3">
        <v>43919.305671296301</v>
      </c>
      <c r="B4318" s="4" t="str">
        <f>HYPERLINK("https://twitter.com/petrogustavo","@petrogustavo")</f>
        <v>@petrogustavo</v>
      </c>
      <c r="C4318" s="5" t="s">
        <v>16</v>
      </c>
      <c r="D4318" s="5" t="s">
        <v>4234</v>
      </c>
      <c r="E4318" s="6" t="str">
        <f>HYPERLINK("https://twitter.com/petrogustavo/status/1244079370869800960","1244079370869800960")</f>
        <v>1244079370869800960</v>
      </c>
      <c r="F4318" s="7" t="s">
        <v>17</v>
      </c>
      <c r="G4318" s="7">
        <v>3723867</v>
      </c>
      <c r="H4318" s="7">
        <v>2371</v>
      </c>
      <c r="I4318" s="7">
        <v>95</v>
      </c>
      <c r="J4318" s="7">
        <v>0</v>
      </c>
      <c r="K4318" s="7" t="s">
        <v>18</v>
      </c>
      <c r="L4318" s="8">
        <v>39987.315405092595</v>
      </c>
      <c r="M4318" s="9" t="s">
        <v>19</v>
      </c>
      <c r="N4318" s="9" t="s">
        <v>20</v>
      </c>
      <c r="O4318" s="6" t="str">
        <f>HYPERLINK("https://pbs.twimg.com/profile_images/962471262747529216/Uo8lOkRJ_normal.jpg","View")</f>
        <v>View</v>
      </c>
      <c r="P4318" s="7"/>
    </row>
    <row r="4319" spans="1:16">
      <c r="A4319" s="3">
        <v>43919.310474537036</v>
      </c>
      <c r="B4319" s="4" t="str">
        <f>HYPERLINK("https://twitter.com/petrogustavo","@petrogustavo")</f>
        <v>@petrogustavo</v>
      </c>
      <c r="C4319" s="5" t="s">
        <v>16</v>
      </c>
      <c r="D4319" s="5" t="s">
        <v>4235</v>
      </c>
      <c r="E4319" s="6" t="str">
        <f>HYPERLINK("https://twitter.com/petrogustavo/status/1244081110239326209","1244081110239326209")</f>
        <v>1244081110239326209</v>
      </c>
      <c r="F4319" s="7" t="s">
        <v>17</v>
      </c>
      <c r="G4319" s="7">
        <v>3723867</v>
      </c>
      <c r="H4319" s="7">
        <v>2371</v>
      </c>
      <c r="I4319" s="7">
        <v>18</v>
      </c>
      <c r="J4319" s="7">
        <v>41</v>
      </c>
      <c r="K4319" s="7" t="s">
        <v>18</v>
      </c>
      <c r="L4319" s="8">
        <v>39987.315405092595</v>
      </c>
      <c r="M4319" s="9" t="s">
        <v>19</v>
      </c>
      <c r="N4319" s="9" t="s">
        <v>20</v>
      </c>
      <c r="O4319" s="6" t="str">
        <f>HYPERLINK("https://pbs.twimg.com/profile_images/962471262747529216/Uo8lOkRJ_normal.jpg","View")</f>
        <v>View</v>
      </c>
      <c r="P4319" s="7"/>
    </row>
    <row r="4320" spans="1:16">
      <c r="A4320" s="3">
        <v>43919.315023148149</v>
      </c>
      <c r="B4320" s="4" t="str">
        <f>HYPERLINK("https://twitter.com/petrogustavo","@petrogustavo")</f>
        <v>@petrogustavo</v>
      </c>
      <c r="C4320" s="5" t="s">
        <v>16</v>
      </c>
      <c r="D4320" s="5" t="s">
        <v>4236</v>
      </c>
      <c r="E4320" s="6" t="str">
        <f>HYPERLINK("https://twitter.com/petrogustavo/status/1244082759338987525","1244082759338987525")</f>
        <v>1244082759338987525</v>
      </c>
      <c r="F4320" s="7" t="s">
        <v>17</v>
      </c>
      <c r="G4320" s="7">
        <v>3723933</v>
      </c>
      <c r="H4320" s="7">
        <v>2371</v>
      </c>
      <c r="I4320" s="7">
        <v>1914</v>
      </c>
      <c r="J4320" s="7">
        <v>0</v>
      </c>
      <c r="K4320" s="7" t="s">
        <v>18</v>
      </c>
      <c r="L4320" s="8">
        <v>39987.315405092595</v>
      </c>
      <c r="M4320" s="9" t="s">
        <v>19</v>
      </c>
      <c r="N4320" s="9" t="s">
        <v>20</v>
      </c>
      <c r="O4320" s="6" t="str">
        <f>HYPERLINK("https://pbs.twimg.com/profile_images/962471262747529216/Uo8lOkRJ_normal.jpg","View")</f>
        <v>View</v>
      </c>
      <c r="P4320" s="7"/>
    </row>
    <row r="4321" spans="1:16">
      <c r="A4321" s="3">
        <v>43919.3199537037</v>
      </c>
      <c r="B4321" s="4" t="str">
        <f>HYPERLINK("https://twitter.com/petrogustavo","@petrogustavo")</f>
        <v>@petrogustavo</v>
      </c>
      <c r="C4321" s="5" t="s">
        <v>16</v>
      </c>
      <c r="D4321" s="5" t="s">
        <v>4237</v>
      </c>
      <c r="E4321" s="6" t="str">
        <f>HYPERLINK("https://twitter.com/petrogustavo/status/1244084544397082624","1244084544397082624")</f>
        <v>1244084544397082624</v>
      </c>
      <c r="F4321" s="7" t="s">
        <v>17</v>
      </c>
      <c r="G4321" s="7">
        <v>3723933</v>
      </c>
      <c r="H4321" s="7">
        <v>2371</v>
      </c>
      <c r="I4321" s="7">
        <v>746</v>
      </c>
      <c r="J4321" s="7">
        <v>0</v>
      </c>
      <c r="K4321" s="7" t="s">
        <v>18</v>
      </c>
      <c r="L4321" s="8">
        <v>39987.315405092595</v>
      </c>
      <c r="M4321" s="9" t="s">
        <v>19</v>
      </c>
      <c r="N4321" s="9" t="s">
        <v>20</v>
      </c>
      <c r="O4321" s="6" t="str">
        <f>HYPERLINK("https://pbs.twimg.com/profile_images/962471262747529216/Uo8lOkRJ_normal.jpg","View")</f>
        <v>View</v>
      </c>
      <c r="P4321" s="7"/>
    </row>
    <row r="4322" spans="1:16">
      <c r="A4322" s="3">
        <v>43919.322627314818</v>
      </c>
      <c r="B4322" s="4" t="str">
        <f>HYPERLINK("https://twitter.com/petrogustavo","@petrogustavo")</f>
        <v>@petrogustavo</v>
      </c>
      <c r="C4322" s="5" t="s">
        <v>16</v>
      </c>
      <c r="D4322" s="5" t="s">
        <v>4238</v>
      </c>
      <c r="E4322" s="6" t="str">
        <f>HYPERLINK("https://twitter.com/petrogustavo/status/1244085515256807425","1244085515256807425")</f>
        <v>1244085515256807425</v>
      </c>
      <c r="F4322" s="7" t="s">
        <v>17</v>
      </c>
      <c r="G4322" s="7">
        <v>3723933</v>
      </c>
      <c r="H4322" s="7">
        <v>2371</v>
      </c>
      <c r="I4322" s="7">
        <v>107</v>
      </c>
      <c r="J4322" s="7">
        <v>224</v>
      </c>
      <c r="K4322" s="7" t="s">
        <v>18</v>
      </c>
      <c r="L4322" s="8">
        <v>39987.315405092595</v>
      </c>
      <c r="M4322" s="9" t="s">
        <v>19</v>
      </c>
      <c r="N4322" s="9" t="s">
        <v>20</v>
      </c>
      <c r="O4322" s="6" t="str">
        <f>HYPERLINK("https://pbs.twimg.com/profile_images/962471262747529216/Uo8lOkRJ_normal.jpg","View")</f>
        <v>View</v>
      </c>
      <c r="P4322" s="7"/>
    </row>
    <row r="4323" spans="1:16">
      <c r="A4323" s="3">
        <v>43919.323749999996</v>
      </c>
      <c r="B4323" s="4" t="str">
        <f>HYPERLINK("https://twitter.com/petrogustavo","@petrogustavo")</f>
        <v>@petrogustavo</v>
      </c>
      <c r="C4323" s="5" t="s">
        <v>16</v>
      </c>
      <c r="D4323" s="5" t="s">
        <v>4239</v>
      </c>
      <c r="E4323" s="6" t="str">
        <f>HYPERLINK("https://twitter.com/petrogustavo/status/1244085920917225473","1244085920917225473")</f>
        <v>1244085920917225473</v>
      </c>
      <c r="F4323" s="7" t="s">
        <v>17</v>
      </c>
      <c r="G4323" s="7">
        <v>3723933</v>
      </c>
      <c r="H4323" s="7">
        <v>2371</v>
      </c>
      <c r="I4323" s="7">
        <v>47</v>
      </c>
      <c r="J4323" s="7">
        <v>110</v>
      </c>
      <c r="K4323" s="7" t="s">
        <v>18</v>
      </c>
      <c r="L4323" s="8">
        <v>39987.315405092595</v>
      </c>
      <c r="M4323" s="9" t="s">
        <v>19</v>
      </c>
      <c r="N4323" s="9" t="s">
        <v>20</v>
      </c>
      <c r="O4323" s="6" t="str">
        <f>HYPERLINK("https://pbs.twimg.com/profile_images/962471262747529216/Uo8lOkRJ_normal.jpg","View")</f>
        <v>View</v>
      </c>
      <c r="P4323" s="7"/>
    </row>
    <row r="4324" spans="1:16">
      <c r="A4324" s="3">
        <v>43919.325543981482</v>
      </c>
      <c r="B4324" s="4" t="str">
        <f>HYPERLINK("https://twitter.com/petrogustavo","@petrogustavo")</f>
        <v>@petrogustavo</v>
      </c>
      <c r="C4324" s="5" t="s">
        <v>16</v>
      </c>
      <c r="D4324" s="5" t="s">
        <v>4240</v>
      </c>
      <c r="E4324" s="6" t="str">
        <f>HYPERLINK("https://twitter.com/petrogustavo/status/1244086571046969345","1244086571046969345")</f>
        <v>1244086571046969345</v>
      </c>
      <c r="F4324" s="7" t="s">
        <v>17</v>
      </c>
      <c r="G4324" s="7">
        <v>3723933</v>
      </c>
      <c r="H4324" s="7">
        <v>2371</v>
      </c>
      <c r="I4324" s="7">
        <v>41</v>
      </c>
      <c r="J4324" s="7">
        <v>94</v>
      </c>
      <c r="K4324" s="7" t="s">
        <v>18</v>
      </c>
      <c r="L4324" s="8">
        <v>39987.315405092595</v>
      </c>
      <c r="M4324" s="9" t="s">
        <v>19</v>
      </c>
      <c r="N4324" s="9" t="s">
        <v>20</v>
      </c>
      <c r="O4324" s="6" t="str">
        <f>HYPERLINK("https://pbs.twimg.com/profile_images/962471262747529216/Uo8lOkRJ_normal.jpg","View")</f>
        <v>View</v>
      </c>
      <c r="P4324" s="7"/>
    </row>
    <row r="4325" spans="1:16">
      <c r="A4325" s="3">
        <v>43919.790277777778</v>
      </c>
      <c r="B4325" s="4" t="str">
        <f>HYPERLINK("https://twitter.com/petrogustavo","@petrogustavo")</f>
        <v>@petrogustavo</v>
      </c>
      <c r="C4325" s="5" t="s">
        <v>16</v>
      </c>
      <c r="D4325" s="5" t="s">
        <v>4241</v>
      </c>
      <c r="E4325" s="6" t="str">
        <f>HYPERLINK("https://twitter.com/petrogustavo/status/1244254987586285568","1244254987586285568")</f>
        <v>1244254987586285568</v>
      </c>
      <c r="F4325" s="7" t="s">
        <v>17</v>
      </c>
      <c r="G4325" s="7">
        <v>3724559</v>
      </c>
      <c r="H4325" s="7">
        <v>2371</v>
      </c>
      <c r="I4325" s="7">
        <v>756</v>
      </c>
      <c r="J4325" s="7">
        <v>0</v>
      </c>
      <c r="K4325" s="7" t="s">
        <v>18</v>
      </c>
      <c r="L4325" s="8">
        <v>39987.315405092595</v>
      </c>
      <c r="M4325" s="9" t="s">
        <v>19</v>
      </c>
      <c r="N4325" s="9" t="s">
        <v>20</v>
      </c>
      <c r="O4325" s="6" t="str">
        <f>HYPERLINK("https://pbs.twimg.com/profile_images/962471262747529216/Uo8lOkRJ_normal.jpg","View")</f>
        <v>View</v>
      </c>
      <c r="P4325" s="7"/>
    </row>
    <row r="4326" spans="1:16">
      <c r="A4326" s="3">
        <v>43919.79173611111</v>
      </c>
      <c r="B4326" s="4" t="str">
        <f>HYPERLINK("https://twitter.com/petrogustavo","@petrogustavo")</f>
        <v>@petrogustavo</v>
      </c>
      <c r="C4326" s="5" t="s">
        <v>16</v>
      </c>
      <c r="D4326" s="5" t="s">
        <v>4242</v>
      </c>
      <c r="E4326" s="6" t="str">
        <f>HYPERLINK("https://twitter.com/petrogustavo/status/1244255515955396609","1244255515955396609")</f>
        <v>1244255515955396609</v>
      </c>
      <c r="F4326" s="7" t="s">
        <v>17</v>
      </c>
      <c r="G4326" s="7">
        <v>3724559</v>
      </c>
      <c r="H4326" s="7">
        <v>2371</v>
      </c>
      <c r="I4326" s="7">
        <v>8</v>
      </c>
      <c r="J4326" s="7">
        <v>19</v>
      </c>
      <c r="K4326" s="7" t="s">
        <v>18</v>
      </c>
      <c r="L4326" s="8">
        <v>39987.315405092595</v>
      </c>
      <c r="M4326" s="9" t="s">
        <v>19</v>
      </c>
      <c r="N4326" s="9" t="s">
        <v>20</v>
      </c>
      <c r="O4326" s="6" t="str">
        <f>HYPERLINK("https://pbs.twimg.com/profile_images/962471262747529216/Uo8lOkRJ_normal.jpg","View")</f>
        <v>View</v>
      </c>
      <c r="P4326" s="7"/>
    </row>
    <row r="4327" spans="1:16">
      <c r="A4327" s="3">
        <v>43919.799247685187</v>
      </c>
      <c r="B4327" s="4" t="str">
        <f>HYPERLINK("https://twitter.com/petrogustavo","@petrogustavo")</f>
        <v>@petrogustavo</v>
      </c>
      <c r="C4327" s="5" t="s">
        <v>16</v>
      </c>
      <c r="D4327" s="5" t="s">
        <v>4243</v>
      </c>
      <c r="E4327" s="6" t="str">
        <f>HYPERLINK("https://twitter.com/petrogustavo/status/1244258237706375169","1244258237706375169")</f>
        <v>1244258237706375169</v>
      </c>
      <c r="F4327" s="7" t="s">
        <v>17</v>
      </c>
      <c r="G4327" s="7">
        <v>3724627</v>
      </c>
      <c r="H4327" s="7">
        <v>2371</v>
      </c>
      <c r="I4327" s="7">
        <v>164</v>
      </c>
      <c r="J4327" s="7">
        <v>452</v>
      </c>
      <c r="K4327" s="7" t="s">
        <v>18</v>
      </c>
      <c r="L4327" s="8">
        <v>39987.315405092595</v>
      </c>
      <c r="M4327" s="9" t="s">
        <v>19</v>
      </c>
      <c r="N4327" s="9" t="s">
        <v>20</v>
      </c>
      <c r="O4327" s="6" t="str">
        <f>HYPERLINK("https://pbs.twimg.com/profile_images/962471262747529216/Uo8lOkRJ_normal.jpg","View")</f>
        <v>View</v>
      </c>
      <c r="P4327" s="7"/>
    </row>
    <row r="4328" spans="1:16">
      <c r="A4328" s="3">
        <v>43919.799259259264</v>
      </c>
      <c r="B4328" s="4" t="str">
        <f>HYPERLINK("https://twitter.com/petrogustavo","@petrogustavo")</f>
        <v>@petrogustavo</v>
      </c>
      <c r="C4328" s="5" t="s">
        <v>16</v>
      </c>
      <c r="D4328" s="5" t="s">
        <v>4244</v>
      </c>
      <c r="E4328" s="6" t="str">
        <f>HYPERLINK("https://twitter.com/petrogustavo/status/1244258239807717377","1244258239807717377")</f>
        <v>1244258239807717377</v>
      </c>
      <c r="F4328" s="7" t="s">
        <v>17</v>
      </c>
      <c r="G4328" s="7">
        <v>3724627</v>
      </c>
      <c r="H4328" s="7">
        <v>2371</v>
      </c>
      <c r="I4328" s="7">
        <v>68</v>
      </c>
      <c r="J4328" s="7">
        <v>227</v>
      </c>
      <c r="K4328" s="7" t="s">
        <v>18</v>
      </c>
      <c r="L4328" s="8">
        <v>39987.315405092595</v>
      </c>
      <c r="M4328" s="9" t="s">
        <v>19</v>
      </c>
      <c r="N4328" s="9" t="s">
        <v>20</v>
      </c>
      <c r="O4328" s="6" t="str">
        <f>HYPERLINK("https://pbs.twimg.com/profile_images/962471262747529216/Uo8lOkRJ_normal.jpg","View")</f>
        <v>View</v>
      </c>
      <c r="P4328" s="7"/>
    </row>
    <row r="4329" spans="1:16">
      <c r="A4329" s="3">
        <v>43919.812222222223</v>
      </c>
      <c r="B4329" s="4" t="str">
        <f>HYPERLINK("https://twitter.com/petrogustavo","@petrogustavo")</f>
        <v>@petrogustavo</v>
      </c>
      <c r="C4329" s="5" t="s">
        <v>16</v>
      </c>
      <c r="D4329" s="5" t="s">
        <v>4245</v>
      </c>
      <c r="E4329" s="6" t="str">
        <f>HYPERLINK("https://twitter.com/petrogustavo/status/1244262938489356288","1244262938489356288")</f>
        <v>1244262938489356288</v>
      </c>
      <c r="F4329" s="7" t="s">
        <v>17</v>
      </c>
      <c r="G4329" s="7">
        <v>3724627</v>
      </c>
      <c r="H4329" s="7">
        <v>2371</v>
      </c>
      <c r="I4329" s="7">
        <v>24</v>
      </c>
      <c r="J4329" s="7">
        <v>51</v>
      </c>
      <c r="K4329" s="7" t="s">
        <v>18</v>
      </c>
      <c r="L4329" s="8">
        <v>39987.315405092595</v>
      </c>
      <c r="M4329" s="9" t="s">
        <v>19</v>
      </c>
      <c r="N4329" s="9" t="s">
        <v>20</v>
      </c>
      <c r="O4329" s="6" t="str">
        <f>HYPERLINK("https://pbs.twimg.com/profile_images/962471262747529216/Uo8lOkRJ_normal.jpg","View")</f>
        <v>View</v>
      </c>
      <c r="P4329" s="7"/>
    </row>
    <row r="4330" spans="1:16">
      <c r="A4330" s="3">
        <v>43919.812222222223</v>
      </c>
      <c r="B4330" s="4" t="str">
        <f>HYPERLINK("https://twitter.com/petrogustavo","@petrogustavo")</f>
        <v>@petrogustavo</v>
      </c>
      <c r="C4330" s="5" t="s">
        <v>16</v>
      </c>
      <c r="D4330" s="5" t="s">
        <v>4246</v>
      </c>
      <c r="E4330" s="6" t="str">
        <f>HYPERLINK("https://twitter.com/petrogustavo/status/1244262939982540800","1244262939982540800")</f>
        <v>1244262939982540800</v>
      </c>
      <c r="F4330" s="7" t="s">
        <v>17</v>
      </c>
      <c r="G4330" s="7">
        <v>3724627</v>
      </c>
      <c r="H4330" s="7">
        <v>2371</v>
      </c>
      <c r="I4330" s="7">
        <v>3</v>
      </c>
      <c r="J4330" s="7">
        <v>15</v>
      </c>
      <c r="K4330" s="7" t="s">
        <v>18</v>
      </c>
      <c r="L4330" s="8">
        <v>39987.315405092595</v>
      </c>
      <c r="M4330" s="9" t="s">
        <v>19</v>
      </c>
      <c r="N4330" s="9" t="s">
        <v>20</v>
      </c>
      <c r="O4330" s="6" t="str">
        <f>HYPERLINK("https://pbs.twimg.com/profile_images/962471262747529216/Uo8lOkRJ_normal.jpg","View")</f>
        <v>View</v>
      </c>
      <c r="P4330" s="7"/>
    </row>
    <row r="4331" spans="1:16">
      <c r="A4331" s="3">
        <v>43919.8122337963</v>
      </c>
      <c r="B4331" s="4" t="str">
        <f>HYPERLINK("https://twitter.com/petrogustavo","@petrogustavo")</f>
        <v>@petrogustavo</v>
      </c>
      <c r="C4331" s="5" t="s">
        <v>16</v>
      </c>
      <c r="D4331" s="5" t="s">
        <v>4247</v>
      </c>
      <c r="E4331" s="6" t="str">
        <f>HYPERLINK("https://twitter.com/petrogustavo/status/1244262942373183493","1244262942373183493")</f>
        <v>1244262942373183493</v>
      </c>
      <c r="F4331" s="7" t="s">
        <v>17</v>
      </c>
      <c r="G4331" s="7">
        <v>3724627</v>
      </c>
      <c r="H4331" s="7">
        <v>2371</v>
      </c>
      <c r="I4331" s="7">
        <v>3</v>
      </c>
      <c r="J4331" s="7">
        <v>9</v>
      </c>
      <c r="K4331" s="7" t="s">
        <v>18</v>
      </c>
      <c r="L4331" s="8">
        <v>39987.315405092595</v>
      </c>
      <c r="M4331" s="9" t="s">
        <v>19</v>
      </c>
      <c r="N4331" s="9" t="s">
        <v>20</v>
      </c>
      <c r="O4331" s="6" t="str">
        <f>HYPERLINK("https://pbs.twimg.com/profile_images/962471262747529216/Uo8lOkRJ_normal.jpg","View")</f>
        <v>View</v>
      </c>
      <c r="P4331" s="7"/>
    </row>
    <row r="4332" spans="1:16">
      <c r="A4332" s="3">
        <v>43919.8122337963</v>
      </c>
      <c r="B4332" s="4" t="str">
        <f>HYPERLINK("https://twitter.com/petrogustavo","@petrogustavo")</f>
        <v>@petrogustavo</v>
      </c>
      <c r="C4332" s="5" t="s">
        <v>16</v>
      </c>
      <c r="D4332" s="5" t="s">
        <v>4248</v>
      </c>
      <c r="E4332" s="6" t="str">
        <f>HYPERLINK("https://twitter.com/petrogustavo/status/1244262943962824704","1244262943962824704")</f>
        <v>1244262943962824704</v>
      </c>
      <c r="F4332" s="7" t="s">
        <v>17</v>
      </c>
      <c r="G4332" s="7">
        <v>3724627</v>
      </c>
      <c r="H4332" s="7">
        <v>2371</v>
      </c>
      <c r="I4332" s="7">
        <v>4</v>
      </c>
      <c r="J4332" s="7">
        <v>10</v>
      </c>
      <c r="K4332" s="7" t="s">
        <v>18</v>
      </c>
      <c r="L4332" s="8">
        <v>39987.315405092595</v>
      </c>
      <c r="M4332" s="9" t="s">
        <v>19</v>
      </c>
      <c r="N4332" s="9" t="s">
        <v>20</v>
      </c>
      <c r="O4332" s="6" t="str">
        <f>HYPERLINK("https://pbs.twimg.com/profile_images/962471262747529216/Uo8lOkRJ_normal.jpg","View")</f>
        <v>View</v>
      </c>
      <c r="P4332" s="7"/>
    </row>
    <row r="4333" spans="1:16">
      <c r="A4333" s="3">
        <v>43919.812245370369</v>
      </c>
      <c r="B4333" s="4" t="str">
        <f>HYPERLINK("https://twitter.com/petrogustavo","@petrogustavo")</f>
        <v>@petrogustavo</v>
      </c>
      <c r="C4333" s="5" t="s">
        <v>16</v>
      </c>
      <c r="D4333" s="5" t="s">
        <v>4249</v>
      </c>
      <c r="E4333" s="6" t="str">
        <f>HYPERLINK("https://twitter.com/petrogustavo/status/1244262945300852737","1244262945300852737")</f>
        <v>1244262945300852737</v>
      </c>
      <c r="F4333" s="7" t="s">
        <v>17</v>
      </c>
      <c r="G4333" s="7">
        <v>3724627</v>
      </c>
      <c r="H4333" s="7">
        <v>2371</v>
      </c>
      <c r="I4333" s="7">
        <v>3</v>
      </c>
      <c r="J4333" s="7">
        <v>12</v>
      </c>
      <c r="K4333" s="7" t="s">
        <v>18</v>
      </c>
      <c r="L4333" s="8">
        <v>39987.315405092595</v>
      </c>
      <c r="M4333" s="9" t="s">
        <v>19</v>
      </c>
      <c r="N4333" s="9" t="s">
        <v>20</v>
      </c>
      <c r="O4333" s="6" t="str">
        <f>HYPERLINK("https://pbs.twimg.com/profile_images/962471262747529216/Uo8lOkRJ_normal.jpg","View")</f>
        <v>View</v>
      </c>
      <c r="P4333" s="7"/>
    </row>
    <row r="4334" spans="1:16">
      <c r="A4334" s="3">
        <v>43919.84574074074</v>
      </c>
      <c r="B4334" s="4" t="str">
        <f>HYPERLINK("https://twitter.com/petrogustavo","@petrogustavo")</f>
        <v>@petrogustavo</v>
      </c>
      <c r="C4334" s="5" t="s">
        <v>16</v>
      </c>
      <c r="D4334" s="5" t="s">
        <v>4250</v>
      </c>
      <c r="E4334" s="6" t="str">
        <f>HYPERLINK("https://twitter.com/petrogustavo/status/1244275083541196804","1244275083541196804")</f>
        <v>1244275083541196804</v>
      </c>
      <c r="F4334" s="7" t="s">
        <v>17</v>
      </c>
      <c r="G4334" s="7">
        <v>3724750</v>
      </c>
      <c r="H4334" s="7">
        <v>2371</v>
      </c>
      <c r="I4334" s="7">
        <v>118</v>
      </c>
      <c r="J4334" s="7">
        <v>298</v>
      </c>
      <c r="K4334" s="7" t="s">
        <v>18</v>
      </c>
      <c r="L4334" s="8">
        <v>39987.315405092595</v>
      </c>
      <c r="M4334" s="9" t="s">
        <v>19</v>
      </c>
      <c r="N4334" s="9" t="s">
        <v>20</v>
      </c>
      <c r="O4334" s="6" t="str">
        <f>HYPERLINK("https://pbs.twimg.com/profile_images/962471262747529216/Uo8lOkRJ_normal.jpg","View")</f>
        <v>View</v>
      </c>
      <c r="P4334" s="7"/>
    </row>
    <row r="4335" spans="1:16">
      <c r="A4335" s="3">
        <v>43919.847962962958</v>
      </c>
      <c r="B4335" s="4" t="str">
        <f>HYPERLINK("https://twitter.com/petrogustavo","@petrogustavo")</f>
        <v>@petrogustavo</v>
      </c>
      <c r="C4335" s="5" t="s">
        <v>16</v>
      </c>
      <c r="D4335" s="5" t="s">
        <v>4251</v>
      </c>
      <c r="E4335" s="6" t="str">
        <f>HYPERLINK("https://twitter.com/petrogustavo/status/1244275889833226245","1244275889833226245")</f>
        <v>1244275889833226245</v>
      </c>
      <c r="F4335" s="7" t="s">
        <v>17</v>
      </c>
      <c r="G4335" s="7">
        <v>3724750</v>
      </c>
      <c r="H4335" s="7">
        <v>2371</v>
      </c>
      <c r="I4335" s="7">
        <v>62</v>
      </c>
      <c r="J4335" s="7">
        <v>152</v>
      </c>
      <c r="K4335" s="7" t="s">
        <v>18</v>
      </c>
      <c r="L4335" s="8">
        <v>39987.315405092595</v>
      </c>
      <c r="M4335" s="9" t="s">
        <v>19</v>
      </c>
      <c r="N4335" s="9" t="s">
        <v>20</v>
      </c>
      <c r="O4335" s="6" t="str">
        <f>HYPERLINK("https://pbs.twimg.com/profile_images/962471262747529216/Uo8lOkRJ_normal.jpg","View")</f>
        <v>View</v>
      </c>
      <c r="P4335" s="7"/>
    </row>
    <row r="4336" spans="1:16">
      <c r="A4336" s="3">
        <v>43919.883333333331</v>
      </c>
      <c r="B4336" s="4" t="str">
        <f>HYPERLINK("https://twitter.com/petrogustavo","@petrogustavo")</f>
        <v>@petrogustavo</v>
      </c>
      <c r="C4336" s="5" t="s">
        <v>16</v>
      </c>
      <c r="D4336" s="5" t="s">
        <v>4252</v>
      </c>
      <c r="E4336" s="6" t="str">
        <f>HYPERLINK("https://twitter.com/petrogustavo/status/1244288709022883843","1244288709022883843")</f>
        <v>1244288709022883843</v>
      </c>
      <c r="F4336" s="7" t="s">
        <v>17</v>
      </c>
      <c r="G4336" s="7">
        <v>3724924</v>
      </c>
      <c r="H4336" s="7">
        <v>2371</v>
      </c>
      <c r="I4336" s="7">
        <v>167</v>
      </c>
      <c r="J4336" s="7">
        <v>373</v>
      </c>
      <c r="K4336" s="7" t="s">
        <v>18</v>
      </c>
      <c r="L4336" s="8">
        <v>39987.315405092595</v>
      </c>
      <c r="M4336" s="9" t="s">
        <v>19</v>
      </c>
      <c r="N4336" s="9" t="s">
        <v>20</v>
      </c>
      <c r="O4336" s="6" t="str">
        <f>HYPERLINK("https://pbs.twimg.com/profile_images/962471262747529216/Uo8lOkRJ_normal.jpg","View")</f>
        <v>View</v>
      </c>
      <c r="P4336" s="7"/>
    </row>
    <row r="4337" spans="1:16">
      <c r="A4337" s="3">
        <v>43919.895787037036</v>
      </c>
      <c r="B4337" s="4" t="str">
        <f>HYPERLINK("https://twitter.com/petrogustavo","@petrogustavo")</f>
        <v>@petrogustavo</v>
      </c>
      <c r="C4337" s="5" t="s">
        <v>16</v>
      </c>
      <c r="D4337" s="5" t="s">
        <v>4253</v>
      </c>
      <c r="E4337" s="6" t="str">
        <f>HYPERLINK("https://twitter.com/petrogustavo/status/1244293222794498048","1244293222794498048")</f>
        <v>1244293222794498048</v>
      </c>
      <c r="F4337" s="7" t="s">
        <v>17</v>
      </c>
      <c r="G4337" s="7">
        <v>3724924</v>
      </c>
      <c r="H4337" s="7">
        <v>2371</v>
      </c>
      <c r="I4337" s="7">
        <v>20</v>
      </c>
      <c r="J4337" s="7">
        <v>51</v>
      </c>
      <c r="K4337" s="7" t="s">
        <v>18</v>
      </c>
      <c r="L4337" s="8">
        <v>39987.315405092595</v>
      </c>
      <c r="M4337" s="9" t="s">
        <v>19</v>
      </c>
      <c r="N4337" s="9" t="s">
        <v>20</v>
      </c>
      <c r="O4337" s="6" t="str">
        <f>HYPERLINK("https://pbs.twimg.com/profile_images/962471262747529216/Uo8lOkRJ_normal.jpg","View")</f>
        <v>View</v>
      </c>
      <c r="P4337" s="7"/>
    </row>
    <row r="4338" spans="1:16">
      <c r="A4338" s="3">
        <v>43919.898981481485</v>
      </c>
      <c r="B4338" s="4" t="str">
        <f>HYPERLINK("https://twitter.com/petrogustavo","@petrogustavo")</f>
        <v>@petrogustavo</v>
      </c>
      <c r="C4338" s="5" t="s">
        <v>16</v>
      </c>
      <c r="D4338" s="5" t="s">
        <v>4254</v>
      </c>
      <c r="E4338" s="6" t="str">
        <f>HYPERLINK("https://twitter.com/petrogustavo/status/1244294381131255809","1244294381131255809")</f>
        <v>1244294381131255809</v>
      </c>
      <c r="F4338" s="7" t="s">
        <v>17</v>
      </c>
      <c r="G4338" s="7">
        <v>3724987</v>
      </c>
      <c r="H4338" s="7">
        <v>2371</v>
      </c>
      <c r="I4338" s="7">
        <v>49</v>
      </c>
      <c r="J4338" s="7">
        <v>96</v>
      </c>
      <c r="K4338" s="7" t="s">
        <v>18</v>
      </c>
      <c r="L4338" s="8">
        <v>39987.315405092595</v>
      </c>
      <c r="M4338" s="9" t="s">
        <v>19</v>
      </c>
      <c r="N4338" s="9" t="s">
        <v>20</v>
      </c>
      <c r="O4338" s="6" t="str">
        <f>HYPERLINK("https://pbs.twimg.com/profile_images/962471262747529216/Uo8lOkRJ_normal.jpg","View")</f>
        <v>View</v>
      </c>
      <c r="P4338" s="7"/>
    </row>
    <row r="4339" spans="1:16">
      <c r="A4339" s="3">
        <v>43919.904652777783</v>
      </c>
      <c r="B4339" s="4" t="str">
        <f>HYPERLINK("https://twitter.com/petrogustavo","@petrogustavo")</f>
        <v>@petrogustavo</v>
      </c>
      <c r="C4339" s="5" t="s">
        <v>16</v>
      </c>
      <c r="D4339" s="5" t="s">
        <v>4255</v>
      </c>
      <c r="E4339" s="6" t="str">
        <f>HYPERLINK("https://twitter.com/petrogustavo/status/1244296435912368131","1244296435912368131")</f>
        <v>1244296435912368131</v>
      </c>
      <c r="F4339" s="7" t="s">
        <v>17</v>
      </c>
      <c r="G4339" s="7">
        <v>3724987</v>
      </c>
      <c r="H4339" s="7">
        <v>2371</v>
      </c>
      <c r="I4339" s="7">
        <v>34</v>
      </c>
      <c r="J4339" s="7">
        <v>96</v>
      </c>
      <c r="K4339" s="7" t="s">
        <v>18</v>
      </c>
      <c r="L4339" s="8">
        <v>39987.315405092595</v>
      </c>
      <c r="M4339" s="9" t="s">
        <v>19</v>
      </c>
      <c r="N4339" s="9" t="s">
        <v>20</v>
      </c>
      <c r="O4339" s="6" t="str">
        <f>HYPERLINK("https://pbs.twimg.com/profile_images/962471262747529216/Uo8lOkRJ_normal.jpg","View")</f>
        <v>View</v>
      </c>
      <c r="P4339" s="7"/>
    </row>
    <row r="4340" spans="1:16">
      <c r="A4340" s="3">
        <v>43919.909826388888</v>
      </c>
      <c r="B4340" s="4" t="str">
        <f>HYPERLINK("https://twitter.com/petrogustavo","@petrogustavo")</f>
        <v>@petrogustavo</v>
      </c>
      <c r="C4340" s="5" t="s">
        <v>16</v>
      </c>
      <c r="D4340" s="5" t="s">
        <v>4256</v>
      </c>
      <c r="E4340" s="6" t="str">
        <f>HYPERLINK("https://twitter.com/petrogustavo/status/1244298309524770821","1244298309524770821")</f>
        <v>1244298309524770821</v>
      </c>
      <c r="F4340" s="7" t="s">
        <v>17</v>
      </c>
      <c r="G4340" s="7">
        <v>3724987</v>
      </c>
      <c r="H4340" s="7">
        <v>2371</v>
      </c>
      <c r="I4340" s="7">
        <v>1</v>
      </c>
      <c r="J4340" s="7">
        <v>0</v>
      </c>
      <c r="K4340" s="7" t="s">
        <v>18</v>
      </c>
      <c r="L4340" s="8">
        <v>39987.315405092595</v>
      </c>
      <c r="M4340" s="9" t="s">
        <v>19</v>
      </c>
      <c r="N4340" s="9" t="s">
        <v>20</v>
      </c>
      <c r="O4340" s="6" t="str">
        <f>HYPERLINK("https://pbs.twimg.com/profile_images/962471262747529216/Uo8lOkRJ_normal.jpg","View")</f>
        <v>View</v>
      </c>
      <c r="P4340" s="7"/>
    </row>
    <row r="4341" spans="1:16">
      <c r="A4341" s="3">
        <v>43919.910648148143</v>
      </c>
      <c r="B4341" s="4" t="str">
        <f>HYPERLINK("https://twitter.com/petrogustavo","@petrogustavo")</f>
        <v>@petrogustavo</v>
      </c>
      <c r="C4341" s="5" t="s">
        <v>16</v>
      </c>
      <c r="D4341" s="5" t="s">
        <v>4257</v>
      </c>
      <c r="E4341" s="6" t="str">
        <f>HYPERLINK("https://twitter.com/petrogustavo/status/1244298607869808641","1244298607869808641")</f>
        <v>1244298607869808641</v>
      </c>
      <c r="F4341" s="7" t="s">
        <v>17</v>
      </c>
      <c r="G4341" s="7">
        <v>3724987</v>
      </c>
      <c r="H4341" s="7">
        <v>2371</v>
      </c>
      <c r="I4341" s="7">
        <v>613</v>
      </c>
      <c r="J4341" s="7">
        <v>0</v>
      </c>
      <c r="K4341" s="7" t="s">
        <v>18</v>
      </c>
      <c r="L4341" s="8">
        <v>39987.315405092595</v>
      </c>
      <c r="M4341" s="9" t="s">
        <v>19</v>
      </c>
      <c r="N4341" s="9" t="s">
        <v>20</v>
      </c>
      <c r="O4341" s="6" t="str">
        <f>HYPERLINK("https://pbs.twimg.com/profile_images/962471262747529216/Uo8lOkRJ_normal.jpg","View")</f>
        <v>View</v>
      </c>
      <c r="P4341" s="7"/>
    </row>
    <row r="4342" spans="1:16">
      <c r="A4342" s="3">
        <v>43919.913148148145</v>
      </c>
      <c r="B4342" s="4" t="str">
        <f>HYPERLINK("https://twitter.com/petrogustavo","@petrogustavo")</f>
        <v>@petrogustavo</v>
      </c>
      <c r="C4342" s="5" t="s">
        <v>16</v>
      </c>
      <c r="D4342" s="5" t="s">
        <v>4258</v>
      </c>
      <c r="E4342" s="6" t="str">
        <f>HYPERLINK("https://twitter.com/petrogustavo/status/1244299512727961602","1244299512727961602")</f>
        <v>1244299512727961602</v>
      </c>
      <c r="F4342" s="7" t="s">
        <v>17</v>
      </c>
      <c r="G4342" s="7">
        <v>3724987</v>
      </c>
      <c r="H4342" s="7">
        <v>2371</v>
      </c>
      <c r="I4342" s="7">
        <v>24</v>
      </c>
      <c r="J4342" s="7">
        <v>57</v>
      </c>
      <c r="K4342" s="7" t="s">
        <v>18</v>
      </c>
      <c r="L4342" s="8">
        <v>39987.315405092595</v>
      </c>
      <c r="M4342" s="9" t="s">
        <v>19</v>
      </c>
      <c r="N4342" s="9" t="s">
        <v>20</v>
      </c>
      <c r="O4342" s="6" t="str">
        <f>HYPERLINK("https://pbs.twimg.com/profile_images/962471262747529216/Uo8lOkRJ_normal.jpg","View")</f>
        <v>View</v>
      </c>
      <c r="P4342" s="7"/>
    </row>
    <row r="4343" spans="1:16">
      <c r="A4343" s="3">
        <v>43919.914918981478</v>
      </c>
      <c r="B4343" s="4" t="str">
        <f>HYPERLINK("https://twitter.com/petrogustavo","@petrogustavo")</f>
        <v>@petrogustavo</v>
      </c>
      <c r="C4343" s="5" t="s">
        <v>16</v>
      </c>
      <c r="D4343" s="5" t="s">
        <v>4259</v>
      </c>
      <c r="E4343" s="6" t="str">
        <f>HYPERLINK("https://twitter.com/petrogustavo/status/1244300156448768001","1244300156448768001")</f>
        <v>1244300156448768001</v>
      </c>
      <c r="F4343" s="7" t="s">
        <v>17</v>
      </c>
      <c r="G4343" s="7">
        <v>3724987</v>
      </c>
      <c r="H4343" s="7">
        <v>2371</v>
      </c>
      <c r="I4343" s="7">
        <v>27</v>
      </c>
      <c r="J4343" s="7">
        <v>53</v>
      </c>
      <c r="K4343" s="7" t="s">
        <v>18</v>
      </c>
      <c r="L4343" s="8">
        <v>39987.315405092595</v>
      </c>
      <c r="M4343" s="9" t="s">
        <v>19</v>
      </c>
      <c r="N4343" s="9" t="s">
        <v>20</v>
      </c>
      <c r="O4343" s="6" t="str">
        <f>HYPERLINK("https://pbs.twimg.com/profile_images/962471262747529216/Uo8lOkRJ_normal.jpg","View")</f>
        <v>View</v>
      </c>
      <c r="P4343" s="7"/>
    </row>
    <row r="4344" spans="1:16">
      <c r="A4344" s="3">
        <v>43919.928356481483</v>
      </c>
      <c r="B4344" s="4" t="str">
        <f>HYPERLINK("https://twitter.com/petrogustavo","@petrogustavo")</f>
        <v>@petrogustavo</v>
      </c>
      <c r="C4344" s="5" t="s">
        <v>16</v>
      </c>
      <c r="D4344" s="5" t="s">
        <v>4260</v>
      </c>
      <c r="E4344" s="6" t="str">
        <f>HYPERLINK("https://twitter.com/petrogustavo/status/1244305026165637128","1244305026165637128")</f>
        <v>1244305026165637128</v>
      </c>
      <c r="F4344" s="7" t="s">
        <v>17</v>
      </c>
      <c r="G4344" s="7">
        <v>3725051</v>
      </c>
      <c r="H4344" s="7">
        <v>2371</v>
      </c>
      <c r="I4344" s="7">
        <v>42</v>
      </c>
      <c r="J4344" s="7">
        <v>87</v>
      </c>
      <c r="K4344" s="7" t="s">
        <v>18</v>
      </c>
      <c r="L4344" s="8">
        <v>39987.315405092595</v>
      </c>
      <c r="M4344" s="9" t="s">
        <v>19</v>
      </c>
      <c r="N4344" s="9" t="s">
        <v>20</v>
      </c>
      <c r="O4344" s="6" t="str">
        <f>HYPERLINK("https://pbs.twimg.com/profile_images/962471262747529216/Uo8lOkRJ_normal.jpg","View")</f>
        <v>View</v>
      </c>
      <c r="P4344" s="7"/>
    </row>
    <row r="4345" spans="1:16">
      <c r="A4345" s="3">
        <v>43919.943923611107</v>
      </c>
      <c r="B4345" s="4" t="str">
        <f>HYPERLINK("https://twitter.com/petrogustavo","@petrogustavo")</f>
        <v>@petrogustavo</v>
      </c>
      <c r="C4345" s="5" t="s">
        <v>16</v>
      </c>
      <c r="D4345" s="5" t="s">
        <v>4261</v>
      </c>
      <c r="E4345" s="6" t="str">
        <f>HYPERLINK("https://twitter.com/petrogustavo/status/1244310665608728578","1244310665608728578")</f>
        <v>1244310665608728578</v>
      </c>
      <c r="F4345" s="7" t="s">
        <v>17</v>
      </c>
      <c r="G4345" s="7">
        <v>3725105</v>
      </c>
      <c r="H4345" s="7">
        <v>2371</v>
      </c>
      <c r="I4345" s="7">
        <v>351</v>
      </c>
      <c r="J4345" s="7">
        <v>681</v>
      </c>
      <c r="K4345" s="7" t="s">
        <v>18</v>
      </c>
      <c r="L4345" s="8">
        <v>39987.315405092595</v>
      </c>
      <c r="M4345" s="9" t="s">
        <v>19</v>
      </c>
      <c r="N4345" s="9" t="s">
        <v>20</v>
      </c>
      <c r="O4345" s="6" t="str">
        <f>HYPERLINK("https://pbs.twimg.com/profile_images/962471262747529216/Uo8lOkRJ_normal.jpg","View")</f>
        <v>View</v>
      </c>
      <c r="P4345" s="7"/>
    </row>
    <row r="4346" spans="1:16">
      <c r="A4346" s="3">
        <v>43919.946956018517</v>
      </c>
      <c r="B4346" s="4" t="str">
        <f>HYPERLINK("https://twitter.com/petrogustavo","@petrogustavo")</f>
        <v>@petrogustavo</v>
      </c>
      <c r="C4346" s="5" t="s">
        <v>16</v>
      </c>
      <c r="D4346" s="5" t="s">
        <v>4262</v>
      </c>
      <c r="E4346" s="6" t="str">
        <f>HYPERLINK("https://twitter.com/petrogustavo/status/1244311764843606027","1244311764843606027")</f>
        <v>1244311764843606027</v>
      </c>
      <c r="F4346" s="7" t="s">
        <v>17</v>
      </c>
      <c r="G4346" s="7">
        <v>3725105</v>
      </c>
      <c r="H4346" s="7">
        <v>2371</v>
      </c>
      <c r="I4346" s="7">
        <v>151</v>
      </c>
      <c r="J4346" s="7">
        <v>348</v>
      </c>
      <c r="K4346" s="7" t="s">
        <v>18</v>
      </c>
      <c r="L4346" s="8">
        <v>39987.315405092595</v>
      </c>
      <c r="M4346" s="9" t="s">
        <v>19</v>
      </c>
      <c r="N4346" s="9" t="s">
        <v>20</v>
      </c>
      <c r="O4346" s="6" t="str">
        <f>HYPERLINK("https://pbs.twimg.com/profile_images/962471262747529216/Uo8lOkRJ_normal.jpg","View")</f>
        <v>View</v>
      </c>
      <c r="P4346" s="7"/>
    </row>
    <row r="4347" spans="1:16">
      <c r="A4347" s="3">
        <v>43919.956585648149</v>
      </c>
      <c r="B4347" s="4" t="str">
        <f>HYPERLINK("https://twitter.com/petrogustavo","@petrogustavo")</f>
        <v>@petrogustavo</v>
      </c>
      <c r="C4347" s="5" t="s">
        <v>16</v>
      </c>
      <c r="D4347" s="5" t="s">
        <v>4263</v>
      </c>
      <c r="E4347" s="6" t="str">
        <f>HYPERLINK("https://twitter.com/petrogustavo/status/1244315254340927489","1244315254340927489")</f>
        <v>1244315254340927489</v>
      </c>
      <c r="F4347" s="7" t="s">
        <v>17</v>
      </c>
      <c r="G4347" s="7">
        <v>3725105</v>
      </c>
      <c r="H4347" s="7">
        <v>2371</v>
      </c>
      <c r="I4347" s="7">
        <v>40</v>
      </c>
      <c r="J4347" s="7">
        <v>109</v>
      </c>
      <c r="K4347" s="7" t="s">
        <v>18</v>
      </c>
      <c r="L4347" s="8">
        <v>39987.315405092595</v>
      </c>
      <c r="M4347" s="9" t="s">
        <v>19</v>
      </c>
      <c r="N4347" s="9" t="s">
        <v>20</v>
      </c>
      <c r="O4347" s="6" t="str">
        <f>HYPERLINK("https://pbs.twimg.com/profile_images/962471262747529216/Uo8lOkRJ_normal.jpg","View")</f>
        <v>View</v>
      </c>
      <c r="P4347" s="7"/>
    </row>
    <row r="4348" spans="1:16">
      <c r="A4348" s="3">
        <v>43919.987916666665</v>
      </c>
      <c r="B4348" s="4" t="str">
        <f>HYPERLINK("https://twitter.com/petrogustavo","@petrogustavo")</f>
        <v>@petrogustavo</v>
      </c>
      <c r="C4348" s="5" t="s">
        <v>16</v>
      </c>
      <c r="D4348" s="5" t="s">
        <v>4264</v>
      </c>
      <c r="E4348" s="6" t="str">
        <f>HYPERLINK("https://twitter.com/petrogustavo/status/1244326610075074562","1244326610075074562")</f>
        <v>1244326610075074562</v>
      </c>
      <c r="F4348" s="7" t="s">
        <v>17</v>
      </c>
      <c r="G4348" s="7">
        <v>3725206</v>
      </c>
      <c r="H4348" s="7">
        <v>2371</v>
      </c>
      <c r="I4348" s="7">
        <v>480</v>
      </c>
      <c r="J4348" s="7">
        <v>0</v>
      </c>
      <c r="K4348" s="7" t="s">
        <v>18</v>
      </c>
      <c r="L4348" s="8">
        <v>39987.315405092595</v>
      </c>
      <c r="M4348" s="9" t="s">
        <v>19</v>
      </c>
      <c r="N4348" s="9" t="s">
        <v>20</v>
      </c>
      <c r="O4348" s="6" t="str">
        <f>HYPERLINK("https://pbs.twimg.com/profile_images/962471262747529216/Uo8lOkRJ_normal.jpg","View")</f>
        <v>View</v>
      </c>
      <c r="P4348" s="7"/>
    </row>
    <row r="4349" spans="1:16">
      <c r="A4349" s="3">
        <v>43919.990520833337</v>
      </c>
      <c r="B4349" s="4" t="str">
        <f>HYPERLINK("https://twitter.com/petrogustavo","@petrogustavo")</f>
        <v>@petrogustavo</v>
      </c>
      <c r="C4349" s="5" t="s">
        <v>16</v>
      </c>
      <c r="D4349" s="5" t="s">
        <v>4265</v>
      </c>
      <c r="E4349" s="6" t="str">
        <f>HYPERLINK("https://twitter.com/petrogustavo/status/1244327552698781696","1244327552698781696")</f>
        <v>1244327552698781696</v>
      </c>
      <c r="F4349" s="7" t="s">
        <v>17</v>
      </c>
      <c r="G4349" s="7">
        <v>3725206</v>
      </c>
      <c r="H4349" s="7">
        <v>2371</v>
      </c>
      <c r="I4349" s="7">
        <v>108</v>
      </c>
      <c r="J4349" s="7">
        <v>196</v>
      </c>
      <c r="K4349" s="7" t="s">
        <v>18</v>
      </c>
      <c r="L4349" s="8">
        <v>39987.315405092595</v>
      </c>
      <c r="M4349" s="9" t="s">
        <v>19</v>
      </c>
      <c r="N4349" s="9" t="s">
        <v>20</v>
      </c>
      <c r="O4349" s="6" t="str">
        <f>HYPERLINK("https://pbs.twimg.com/profile_images/962471262747529216/Uo8lOkRJ_normal.jpg","View")</f>
        <v>View</v>
      </c>
      <c r="P4349" s="7"/>
    </row>
    <row r="4350" spans="1:16">
      <c r="A4350" s="3">
        <v>43919.99318287037</v>
      </c>
      <c r="B4350" s="4" t="str">
        <f>HYPERLINK("https://twitter.com/petrogustavo","@petrogustavo")</f>
        <v>@petrogustavo</v>
      </c>
      <c r="C4350" s="5" t="s">
        <v>16</v>
      </c>
      <c r="D4350" s="5" t="s">
        <v>4266</v>
      </c>
      <c r="E4350" s="6" t="str">
        <f>HYPERLINK("https://twitter.com/petrogustavo/status/1244328516902158344","1244328516902158344")</f>
        <v>1244328516902158344</v>
      </c>
      <c r="F4350" s="7" t="s">
        <v>17</v>
      </c>
      <c r="G4350" s="7">
        <v>3725206</v>
      </c>
      <c r="H4350" s="7">
        <v>2371</v>
      </c>
      <c r="I4350" s="7">
        <v>577</v>
      </c>
      <c r="J4350" s="7">
        <v>0</v>
      </c>
      <c r="K4350" s="7" t="s">
        <v>18</v>
      </c>
      <c r="L4350" s="8">
        <v>39987.315405092595</v>
      </c>
      <c r="M4350" s="9" t="s">
        <v>19</v>
      </c>
      <c r="N4350" s="9" t="s">
        <v>20</v>
      </c>
      <c r="O4350" s="6" t="str">
        <f>HYPERLINK("https://pbs.twimg.com/profile_images/962471262747529216/Uo8lOkRJ_normal.jpg","View")</f>
        <v>View</v>
      </c>
      <c r="P4350" s="7"/>
    </row>
    <row r="4351" spans="1:16">
      <c r="A4351" s="3">
        <v>43919.993831018517</v>
      </c>
      <c r="B4351" s="4" t="str">
        <f>HYPERLINK("https://twitter.com/petrogustavo","@petrogustavo")</f>
        <v>@petrogustavo</v>
      </c>
      <c r="C4351" s="5" t="s">
        <v>16</v>
      </c>
      <c r="D4351" s="5" t="s">
        <v>4267</v>
      </c>
      <c r="E4351" s="6" t="str">
        <f>HYPERLINK("https://twitter.com/petrogustavo/status/1244328749933486084","1244328749933486084")</f>
        <v>1244328749933486084</v>
      </c>
      <c r="F4351" s="7" t="s">
        <v>17</v>
      </c>
      <c r="G4351" s="7">
        <v>3725206</v>
      </c>
      <c r="H4351" s="7">
        <v>2371</v>
      </c>
      <c r="I4351" s="7">
        <v>97</v>
      </c>
      <c r="J4351" s="7">
        <v>0</v>
      </c>
      <c r="K4351" s="7" t="s">
        <v>18</v>
      </c>
      <c r="L4351" s="8">
        <v>39987.315405092595</v>
      </c>
      <c r="M4351" s="9" t="s">
        <v>19</v>
      </c>
      <c r="N4351" s="9" t="s">
        <v>20</v>
      </c>
      <c r="O4351" s="6" t="str">
        <f>HYPERLINK("https://pbs.twimg.com/profile_images/962471262747529216/Uo8lOkRJ_normal.jpg","View")</f>
        <v>View</v>
      </c>
      <c r="P4351" s="7"/>
    </row>
    <row r="4352" spans="1:16">
      <c r="A4352" s="3">
        <v>43919.993958333333</v>
      </c>
      <c r="B4352" s="4" t="str">
        <f>HYPERLINK("https://twitter.com/petrogustavo","@petrogustavo")</f>
        <v>@petrogustavo</v>
      </c>
      <c r="C4352" s="5" t="s">
        <v>16</v>
      </c>
      <c r="D4352" s="5" t="s">
        <v>4268</v>
      </c>
      <c r="E4352" s="6" t="str">
        <f>HYPERLINK("https://twitter.com/petrogustavo/status/1244328795835957250","1244328795835957250")</f>
        <v>1244328795835957250</v>
      </c>
      <c r="F4352" s="7" t="s">
        <v>17</v>
      </c>
      <c r="G4352" s="7">
        <v>3725206</v>
      </c>
      <c r="H4352" s="7">
        <v>2371</v>
      </c>
      <c r="I4352" s="7">
        <v>383</v>
      </c>
      <c r="J4352" s="7">
        <v>0</v>
      </c>
      <c r="K4352" s="7" t="s">
        <v>18</v>
      </c>
      <c r="L4352" s="8">
        <v>39987.315405092595</v>
      </c>
      <c r="M4352" s="9" t="s">
        <v>19</v>
      </c>
      <c r="N4352" s="9" t="s">
        <v>20</v>
      </c>
      <c r="O4352" s="6" t="str">
        <f>HYPERLINK("https://pbs.twimg.com/profile_images/962471262747529216/Uo8lOkRJ_normal.jpg","View")</f>
        <v>View</v>
      </c>
      <c r="P4352" s="7"/>
    </row>
    <row r="4353" spans="1:16">
      <c r="A4353" s="3">
        <v>43920.087743055556</v>
      </c>
      <c r="B4353" s="4" t="str">
        <f>HYPERLINK("https://twitter.com/petrogustavo","@petrogustavo")</f>
        <v>@petrogustavo</v>
      </c>
      <c r="C4353" s="5" t="s">
        <v>16</v>
      </c>
      <c r="D4353" s="5" t="s">
        <v>4269</v>
      </c>
      <c r="E4353" s="6" t="str">
        <f>HYPERLINK("https://twitter.com/petrogustavo/status/1244362784349065217","1244362784349065217")</f>
        <v>1244362784349065217</v>
      </c>
      <c r="F4353" s="7" t="s">
        <v>17</v>
      </c>
      <c r="G4353" s="7">
        <v>3725531</v>
      </c>
      <c r="H4353" s="7">
        <v>2371</v>
      </c>
      <c r="I4353" s="7">
        <v>137</v>
      </c>
      <c r="J4353" s="7">
        <v>381</v>
      </c>
      <c r="K4353" s="7" t="s">
        <v>18</v>
      </c>
      <c r="L4353" s="8">
        <v>39987.315405092595</v>
      </c>
      <c r="M4353" s="9" t="s">
        <v>19</v>
      </c>
      <c r="N4353" s="9" t="s">
        <v>20</v>
      </c>
      <c r="O4353" s="6" t="str">
        <f>HYPERLINK("https://pbs.twimg.com/profile_images/962471262747529216/Uo8lOkRJ_normal.jpg","View")</f>
        <v>View</v>
      </c>
      <c r="P4353" s="7"/>
    </row>
    <row r="4354" spans="1:16">
      <c r="A4354" s="3">
        <v>43920.096145833333</v>
      </c>
      <c r="B4354" s="4" t="str">
        <f>HYPERLINK("https://twitter.com/petrogustavo","@petrogustavo")</f>
        <v>@petrogustavo</v>
      </c>
      <c r="C4354" s="5" t="s">
        <v>16</v>
      </c>
      <c r="D4354" s="5" t="s">
        <v>4270</v>
      </c>
      <c r="E4354" s="6" t="str">
        <f>HYPERLINK("https://twitter.com/petrogustavo/status/1244365828805574670","1244365828805574670")</f>
        <v>1244365828805574670</v>
      </c>
      <c r="F4354" s="7" t="s">
        <v>17</v>
      </c>
      <c r="G4354" s="7">
        <v>3725531</v>
      </c>
      <c r="H4354" s="7">
        <v>2371</v>
      </c>
      <c r="I4354" s="7">
        <v>408</v>
      </c>
      <c r="J4354" s="7">
        <v>0</v>
      </c>
      <c r="K4354" s="7" t="s">
        <v>18</v>
      </c>
      <c r="L4354" s="8">
        <v>39987.315405092595</v>
      </c>
      <c r="M4354" s="9" t="s">
        <v>19</v>
      </c>
      <c r="N4354" s="9" t="s">
        <v>20</v>
      </c>
      <c r="O4354" s="6" t="str">
        <f>HYPERLINK("https://pbs.twimg.com/profile_images/962471262747529216/Uo8lOkRJ_normal.jpg","View")</f>
        <v>View</v>
      </c>
      <c r="P4354" s="7"/>
    </row>
    <row r="4355" spans="1:16">
      <c r="A4355" s="3">
        <v>43920.102546296301</v>
      </c>
      <c r="B4355" s="4" t="str">
        <f>HYPERLINK("https://twitter.com/petrogustavo","@petrogustavo")</f>
        <v>@petrogustavo</v>
      </c>
      <c r="C4355" s="5" t="s">
        <v>16</v>
      </c>
      <c r="D4355" s="5" t="s">
        <v>4271</v>
      </c>
      <c r="E4355" s="6" t="str">
        <f>HYPERLINK("https://twitter.com/petrogustavo/status/1244368147383189505","1244368147383189505")</f>
        <v>1244368147383189505</v>
      </c>
      <c r="F4355" s="7" t="s">
        <v>17</v>
      </c>
      <c r="G4355" s="7">
        <v>3725531</v>
      </c>
      <c r="H4355" s="7">
        <v>2371</v>
      </c>
      <c r="I4355" s="7">
        <v>958</v>
      </c>
      <c r="J4355" s="7">
        <v>0</v>
      </c>
      <c r="K4355" s="7" t="s">
        <v>18</v>
      </c>
      <c r="L4355" s="8">
        <v>39987.315405092595</v>
      </c>
      <c r="M4355" s="9" t="s">
        <v>19</v>
      </c>
      <c r="N4355" s="9" t="s">
        <v>20</v>
      </c>
      <c r="O4355" s="6" t="str">
        <f>HYPERLINK("https://pbs.twimg.com/profile_images/962471262747529216/Uo8lOkRJ_normal.jpg","View")</f>
        <v>View</v>
      </c>
      <c r="P4355" s="7"/>
    </row>
    <row r="4356" spans="1:16">
      <c r="A4356" s="3">
        <v>43920.103171296301</v>
      </c>
      <c r="B4356" s="4" t="str">
        <f>HYPERLINK("https://twitter.com/petrogustavo","@petrogustavo")</f>
        <v>@petrogustavo</v>
      </c>
      <c r="C4356" s="5" t="s">
        <v>16</v>
      </c>
      <c r="D4356" s="5" t="s">
        <v>4272</v>
      </c>
      <c r="E4356" s="6" t="str">
        <f>HYPERLINK("https://twitter.com/petrogustavo/status/1244368373087113217","1244368373087113217")</f>
        <v>1244368373087113217</v>
      </c>
      <c r="F4356" s="7" t="s">
        <v>17</v>
      </c>
      <c r="G4356" s="7">
        <v>3725531</v>
      </c>
      <c r="H4356" s="7">
        <v>2371</v>
      </c>
      <c r="I4356" s="7">
        <v>396</v>
      </c>
      <c r="J4356" s="7">
        <v>0</v>
      </c>
      <c r="K4356" s="7" t="s">
        <v>18</v>
      </c>
      <c r="L4356" s="8">
        <v>39987.315405092595</v>
      </c>
      <c r="M4356" s="9" t="s">
        <v>19</v>
      </c>
      <c r="N4356" s="9" t="s">
        <v>20</v>
      </c>
      <c r="O4356" s="6" t="str">
        <f>HYPERLINK("https://pbs.twimg.com/profile_images/962471262747529216/Uo8lOkRJ_normal.jpg","View")</f>
        <v>View</v>
      </c>
      <c r="P4356" s="7"/>
    </row>
    <row r="4357" spans="1:16">
      <c r="A4357" s="3">
        <v>43920.183888888889</v>
      </c>
      <c r="B4357" s="4" t="str">
        <f>HYPERLINK("https://twitter.com/petrogustavo","@petrogustavo")</f>
        <v>@petrogustavo</v>
      </c>
      <c r="C4357" s="5" t="s">
        <v>16</v>
      </c>
      <c r="D4357" s="5" t="s">
        <v>4273</v>
      </c>
      <c r="E4357" s="6" t="str">
        <f>HYPERLINK("https://twitter.com/petrogustavo/status/1244397628114243586","1244397628114243586")</f>
        <v>1244397628114243586</v>
      </c>
      <c r="F4357" s="7" t="s">
        <v>17</v>
      </c>
      <c r="G4357" s="7">
        <v>3725781</v>
      </c>
      <c r="H4357" s="7">
        <v>2371</v>
      </c>
      <c r="I4357" s="7">
        <v>68</v>
      </c>
      <c r="J4357" s="7">
        <v>128</v>
      </c>
      <c r="K4357" s="7" t="s">
        <v>18</v>
      </c>
      <c r="L4357" s="8">
        <v>39987.315405092595</v>
      </c>
      <c r="M4357" s="9" t="s">
        <v>19</v>
      </c>
      <c r="N4357" s="9" t="s">
        <v>20</v>
      </c>
      <c r="O4357" s="6" t="str">
        <f>HYPERLINK("https://pbs.twimg.com/profile_images/962471262747529216/Uo8lOkRJ_normal.jpg","View")</f>
        <v>View</v>
      </c>
      <c r="P4357" s="7"/>
    </row>
    <row r="4358" spans="1:16">
      <c r="A4358" s="3">
        <v>43920.187881944439</v>
      </c>
      <c r="B4358" s="4" t="str">
        <f>HYPERLINK("https://twitter.com/petrogustavo","@petrogustavo")</f>
        <v>@petrogustavo</v>
      </c>
      <c r="C4358" s="5" t="s">
        <v>16</v>
      </c>
      <c r="D4358" s="5" t="s">
        <v>4274</v>
      </c>
      <c r="E4358" s="6" t="str">
        <f>HYPERLINK("https://twitter.com/petrogustavo/status/1244399071189774341","1244399071189774341")</f>
        <v>1244399071189774341</v>
      </c>
      <c r="F4358" s="7" t="s">
        <v>17</v>
      </c>
      <c r="G4358" s="7">
        <v>3725781</v>
      </c>
      <c r="H4358" s="7">
        <v>2371</v>
      </c>
      <c r="I4358" s="7">
        <v>11</v>
      </c>
      <c r="J4358" s="7">
        <v>19</v>
      </c>
      <c r="K4358" s="7" t="s">
        <v>18</v>
      </c>
      <c r="L4358" s="8">
        <v>39987.315405092595</v>
      </c>
      <c r="M4358" s="9" t="s">
        <v>19</v>
      </c>
      <c r="N4358" s="9" t="s">
        <v>20</v>
      </c>
      <c r="O4358" s="6" t="str">
        <f>HYPERLINK("https://pbs.twimg.com/profile_images/962471262747529216/Uo8lOkRJ_normal.jpg","View")</f>
        <v>View</v>
      </c>
      <c r="P4358" s="7"/>
    </row>
    <row r="4359" spans="1:16">
      <c r="A4359" s="3">
        <v>43920.194502314815</v>
      </c>
      <c r="B4359" s="4" t="str">
        <f>HYPERLINK("https://twitter.com/petrogustavo","@petrogustavo")</f>
        <v>@petrogustavo</v>
      </c>
      <c r="C4359" s="5" t="s">
        <v>16</v>
      </c>
      <c r="D4359" s="5" t="s">
        <v>4275</v>
      </c>
      <c r="E4359" s="6" t="str">
        <f>HYPERLINK("https://twitter.com/petrogustavo/status/1244401470927187971","1244401470927187971")</f>
        <v>1244401470927187971</v>
      </c>
      <c r="F4359" s="7" t="s">
        <v>17</v>
      </c>
      <c r="G4359" s="7">
        <v>3725850</v>
      </c>
      <c r="H4359" s="7">
        <v>2371</v>
      </c>
      <c r="I4359" s="7">
        <v>2209</v>
      </c>
      <c r="J4359" s="7">
        <v>0</v>
      </c>
      <c r="K4359" s="7" t="s">
        <v>18</v>
      </c>
      <c r="L4359" s="8">
        <v>39987.315405092595</v>
      </c>
      <c r="M4359" s="9" t="s">
        <v>19</v>
      </c>
      <c r="N4359" s="9" t="s">
        <v>20</v>
      </c>
      <c r="O4359" s="6" t="str">
        <f>HYPERLINK("https://pbs.twimg.com/profile_images/962471262747529216/Uo8lOkRJ_normal.jpg","View")</f>
        <v>View</v>
      </c>
      <c r="P4359" s="7"/>
    </row>
    <row r="4360" spans="1:16">
      <c r="A4360" s="3">
        <v>43920.204548611116</v>
      </c>
      <c r="B4360" s="4" t="str">
        <f>HYPERLINK("https://twitter.com/petrogustavo","@petrogustavo")</f>
        <v>@petrogustavo</v>
      </c>
      <c r="C4360" s="5" t="s">
        <v>16</v>
      </c>
      <c r="D4360" s="5" t="s">
        <v>4276</v>
      </c>
      <c r="E4360" s="6" t="str">
        <f>HYPERLINK("https://twitter.com/petrogustavo/status/1244405114548469765","1244405114548469765")</f>
        <v>1244405114548469765</v>
      </c>
      <c r="F4360" s="7" t="s">
        <v>17</v>
      </c>
      <c r="G4360" s="7">
        <v>3725850</v>
      </c>
      <c r="H4360" s="7">
        <v>2371</v>
      </c>
      <c r="I4360" s="7">
        <v>125</v>
      </c>
      <c r="J4360" s="7">
        <v>269</v>
      </c>
      <c r="K4360" s="7" t="s">
        <v>18</v>
      </c>
      <c r="L4360" s="8">
        <v>39987.315405092595</v>
      </c>
      <c r="M4360" s="9" t="s">
        <v>19</v>
      </c>
      <c r="N4360" s="9" t="s">
        <v>20</v>
      </c>
      <c r="O4360" s="6" t="str">
        <f>HYPERLINK("https://pbs.twimg.com/profile_images/962471262747529216/Uo8lOkRJ_normal.jpg","View")</f>
        <v>View</v>
      </c>
      <c r="P4360" s="7"/>
    </row>
    <row r="4361" spans="1:16">
      <c r="A4361" s="3">
        <v>43920.205613425926</v>
      </c>
      <c r="B4361" s="4" t="str">
        <f>HYPERLINK("https://twitter.com/petrogustavo","@petrogustavo")</f>
        <v>@petrogustavo</v>
      </c>
      <c r="C4361" s="5" t="s">
        <v>16</v>
      </c>
      <c r="D4361" s="5" t="s">
        <v>4277</v>
      </c>
      <c r="E4361" s="6" t="str">
        <f>HYPERLINK("https://twitter.com/petrogustavo/status/1244405500806082564","1244405500806082564")</f>
        <v>1244405500806082564</v>
      </c>
      <c r="F4361" s="7" t="s">
        <v>17</v>
      </c>
      <c r="G4361" s="7">
        <v>3725850</v>
      </c>
      <c r="H4361" s="7">
        <v>2371</v>
      </c>
      <c r="I4361" s="7">
        <v>14</v>
      </c>
      <c r="J4361" s="7">
        <v>42</v>
      </c>
      <c r="K4361" s="7" t="s">
        <v>18</v>
      </c>
      <c r="L4361" s="8">
        <v>39987.315405092595</v>
      </c>
      <c r="M4361" s="9" t="s">
        <v>19</v>
      </c>
      <c r="N4361" s="9" t="s">
        <v>20</v>
      </c>
      <c r="O4361" s="6" t="str">
        <f>HYPERLINK("https://pbs.twimg.com/profile_images/962471262747529216/Uo8lOkRJ_normal.jpg","View")</f>
        <v>View</v>
      </c>
      <c r="P4361" s="7"/>
    </row>
    <row r="4362" spans="1:16">
      <c r="A4362" s="3">
        <v>43920.205868055556</v>
      </c>
      <c r="B4362" s="4" t="str">
        <f>HYPERLINK("https://twitter.com/petrogustavo","@petrogustavo")</f>
        <v>@petrogustavo</v>
      </c>
      <c r="C4362" s="5" t="s">
        <v>16</v>
      </c>
      <c r="D4362" s="5" t="s">
        <v>4278</v>
      </c>
      <c r="E4362" s="6" t="str">
        <f>HYPERLINK("https://twitter.com/petrogustavo/status/1244405589284921345","1244405589284921345")</f>
        <v>1244405589284921345</v>
      </c>
      <c r="F4362" s="7" t="s">
        <v>17</v>
      </c>
      <c r="G4362" s="7">
        <v>3725850</v>
      </c>
      <c r="H4362" s="7">
        <v>2371</v>
      </c>
      <c r="I4362" s="7">
        <v>10</v>
      </c>
      <c r="J4362" s="7">
        <v>56</v>
      </c>
      <c r="K4362" s="7" t="s">
        <v>18</v>
      </c>
      <c r="L4362" s="8">
        <v>39987.315405092595</v>
      </c>
      <c r="M4362" s="9" t="s">
        <v>19</v>
      </c>
      <c r="N4362" s="9" t="s">
        <v>20</v>
      </c>
      <c r="O4362" s="6" t="str">
        <f>HYPERLINK("https://pbs.twimg.com/profile_images/962471262747529216/Uo8lOkRJ_normal.jpg","View")</f>
        <v>View</v>
      </c>
      <c r="P4362" s="7"/>
    </row>
    <row r="4363" spans="1:16">
      <c r="A4363" s="3">
        <v>43920.206261574072</v>
      </c>
      <c r="B4363" s="4" t="str">
        <f>HYPERLINK("https://twitter.com/petrogustavo","@petrogustavo")</f>
        <v>@petrogustavo</v>
      </c>
      <c r="C4363" s="5" t="s">
        <v>16</v>
      </c>
      <c r="D4363" s="5" t="s">
        <v>4279</v>
      </c>
      <c r="E4363" s="6" t="str">
        <f>HYPERLINK("https://twitter.com/petrogustavo/status/1244405731857760257","1244405731857760257")</f>
        <v>1244405731857760257</v>
      </c>
      <c r="F4363" s="7" t="s">
        <v>17</v>
      </c>
      <c r="G4363" s="7">
        <v>3725850</v>
      </c>
      <c r="H4363" s="7">
        <v>2371</v>
      </c>
      <c r="I4363" s="7">
        <v>96</v>
      </c>
      <c r="J4363" s="7">
        <v>0</v>
      </c>
      <c r="K4363" s="7" t="s">
        <v>18</v>
      </c>
      <c r="L4363" s="8">
        <v>39987.315405092595</v>
      </c>
      <c r="M4363" s="9" t="s">
        <v>19</v>
      </c>
      <c r="N4363" s="9" t="s">
        <v>20</v>
      </c>
      <c r="O4363" s="6" t="str">
        <f>HYPERLINK("https://pbs.twimg.com/profile_images/962471262747529216/Uo8lOkRJ_normal.jpg","View")</f>
        <v>View</v>
      </c>
      <c r="P4363" s="7"/>
    </row>
    <row r="4364" spans="1:16">
      <c r="A4364" s="3">
        <v>43920.206782407404</v>
      </c>
      <c r="B4364" s="4" t="str">
        <f>HYPERLINK("https://twitter.com/petrogustavo","@petrogustavo")</f>
        <v>@petrogustavo</v>
      </c>
      <c r="C4364" s="5" t="s">
        <v>16</v>
      </c>
      <c r="D4364" s="5" t="s">
        <v>4280</v>
      </c>
      <c r="E4364" s="6" t="str">
        <f>HYPERLINK("https://twitter.com/petrogustavo/status/1244405920391729152","1244405920391729152")</f>
        <v>1244405920391729152</v>
      </c>
      <c r="F4364" s="7" t="s">
        <v>17</v>
      </c>
      <c r="G4364" s="7">
        <v>3725850</v>
      </c>
      <c r="H4364" s="7">
        <v>2371</v>
      </c>
      <c r="I4364" s="7">
        <v>24</v>
      </c>
      <c r="J4364" s="7">
        <v>0</v>
      </c>
      <c r="K4364" s="7" t="s">
        <v>18</v>
      </c>
      <c r="L4364" s="8">
        <v>39987.315405092595</v>
      </c>
      <c r="M4364" s="9" t="s">
        <v>19</v>
      </c>
      <c r="N4364" s="9" t="s">
        <v>20</v>
      </c>
      <c r="O4364" s="6" t="str">
        <f>HYPERLINK("https://pbs.twimg.com/profile_images/962471262747529216/Uo8lOkRJ_normal.jpg","View")</f>
        <v>View</v>
      </c>
      <c r="P4364" s="7"/>
    </row>
    <row r="4365" spans="1:16">
      <c r="A4365" s="3">
        <v>43920.207268518519</v>
      </c>
      <c r="B4365" s="4" t="str">
        <f>HYPERLINK("https://twitter.com/petrogustavo","@petrogustavo")</f>
        <v>@petrogustavo</v>
      </c>
      <c r="C4365" s="5" t="s">
        <v>16</v>
      </c>
      <c r="D4365" s="5" t="s">
        <v>4281</v>
      </c>
      <c r="E4365" s="6" t="str">
        <f>HYPERLINK("https://twitter.com/petrogustavo/status/1244406099236847616","1244406099236847616")</f>
        <v>1244406099236847616</v>
      </c>
      <c r="F4365" s="7" t="s">
        <v>17</v>
      </c>
      <c r="G4365" s="7">
        <v>3725850</v>
      </c>
      <c r="H4365" s="7">
        <v>2371</v>
      </c>
      <c r="I4365" s="7">
        <v>413</v>
      </c>
      <c r="J4365" s="7">
        <v>0</v>
      </c>
      <c r="K4365" s="7" t="s">
        <v>18</v>
      </c>
      <c r="L4365" s="8">
        <v>39987.315405092595</v>
      </c>
      <c r="M4365" s="9" t="s">
        <v>19</v>
      </c>
      <c r="N4365" s="9" t="s">
        <v>20</v>
      </c>
      <c r="O4365" s="6" t="str">
        <f>HYPERLINK("https://pbs.twimg.com/profile_images/962471262747529216/Uo8lOkRJ_normal.jpg","View")</f>
        <v>View</v>
      </c>
      <c r="P4365" s="7"/>
    </row>
    <row r="4366" spans="1:16">
      <c r="A4366" s="3">
        <v>43920.213877314818</v>
      </c>
      <c r="B4366" s="4" t="str">
        <f>HYPERLINK("https://twitter.com/petrogustavo","@petrogustavo")</f>
        <v>@petrogustavo</v>
      </c>
      <c r="C4366" s="5" t="s">
        <v>16</v>
      </c>
      <c r="D4366" s="5" t="s">
        <v>4282</v>
      </c>
      <c r="E4366" s="6" t="str">
        <f>HYPERLINK("https://twitter.com/petrogustavo/status/1244408494658334720","1244408494658334720")</f>
        <v>1244408494658334720</v>
      </c>
      <c r="F4366" s="7" t="s">
        <v>17</v>
      </c>
      <c r="G4366" s="7">
        <v>3725903</v>
      </c>
      <c r="H4366" s="7">
        <v>2371</v>
      </c>
      <c r="I4366" s="7">
        <v>740</v>
      </c>
      <c r="J4366" s="7">
        <v>0</v>
      </c>
      <c r="K4366" s="7" t="s">
        <v>18</v>
      </c>
      <c r="L4366" s="8">
        <v>39987.315405092595</v>
      </c>
      <c r="M4366" s="9" t="s">
        <v>19</v>
      </c>
      <c r="N4366" s="9" t="s">
        <v>20</v>
      </c>
      <c r="O4366" s="6" t="str">
        <f>HYPERLINK("https://pbs.twimg.com/profile_images/962471262747529216/Uo8lOkRJ_normal.jpg","View")</f>
        <v>View</v>
      </c>
      <c r="P4366" s="7"/>
    </row>
    <row r="4367" spans="1:16">
      <c r="A4367" s="3">
        <v>43920.215358796297</v>
      </c>
      <c r="B4367" s="4" t="str">
        <f>HYPERLINK("https://twitter.com/petrogustavo","@petrogustavo")</f>
        <v>@petrogustavo</v>
      </c>
      <c r="C4367" s="5" t="s">
        <v>16</v>
      </c>
      <c r="D4367" s="5" t="s">
        <v>4283</v>
      </c>
      <c r="E4367" s="6" t="str">
        <f>HYPERLINK("https://twitter.com/petrogustavo/status/1244409030279380993","1244409030279380993")</f>
        <v>1244409030279380993</v>
      </c>
      <c r="F4367" s="7" t="s">
        <v>17</v>
      </c>
      <c r="G4367" s="7">
        <v>3725903</v>
      </c>
      <c r="H4367" s="7">
        <v>2371</v>
      </c>
      <c r="I4367" s="7">
        <v>267</v>
      </c>
      <c r="J4367" s="7">
        <v>675</v>
      </c>
      <c r="K4367" s="7" t="s">
        <v>18</v>
      </c>
      <c r="L4367" s="8">
        <v>39987.315405092595</v>
      </c>
      <c r="M4367" s="9" t="s">
        <v>19</v>
      </c>
      <c r="N4367" s="9" t="s">
        <v>20</v>
      </c>
      <c r="O4367" s="6" t="str">
        <f>HYPERLINK("https://pbs.twimg.com/profile_images/962471262747529216/Uo8lOkRJ_normal.jpg","View")</f>
        <v>View</v>
      </c>
      <c r="P4367" s="7"/>
    </row>
    <row r="4368" spans="1:16">
      <c r="A4368" s="3">
        <v>43920.226122685184</v>
      </c>
      <c r="B4368" s="4" t="str">
        <f>HYPERLINK("https://twitter.com/petrogustavo","@petrogustavo")</f>
        <v>@petrogustavo</v>
      </c>
      <c r="C4368" s="5" t="s">
        <v>16</v>
      </c>
      <c r="D4368" s="5" t="s">
        <v>4284</v>
      </c>
      <c r="E4368" s="6" t="str">
        <f>HYPERLINK("https://twitter.com/petrogustavo/status/1244412930365575168","1244412930365575168")</f>
        <v>1244412930365575168</v>
      </c>
      <c r="F4368" s="7" t="s">
        <v>17</v>
      </c>
      <c r="G4368" s="7">
        <v>3725903</v>
      </c>
      <c r="H4368" s="7">
        <v>2371</v>
      </c>
      <c r="I4368" s="7">
        <v>101</v>
      </c>
      <c r="J4368" s="7">
        <v>256</v>
      </c>
      <c r="K4368" s="7" t="s">
        <v>18</v>
      </c>
      <c r="L4368" s="8">
        <v>39987.315405092595</v>
      </c>
      <c r="M4368" s="9" t="s">
        <v>19</v>
      </c>
      <c r="N4368" s="9" t="s">
        <v>20</v>
      </c>
      <c r="O4368" s="6" t="str">
        <f>HYPERLINK("https://pbs.twimg.com/profile_images/962471262747529216/Uo8lOkRJ_normal.jpg","View")</f>
        <v>View</v>
      </c>
      <c r="P4368" s="7"/>
    </row>
    <row r="4369" spans="1:16">
      <c r="A4369" s="3">
        <v>43920.227789351848</v>
      </c>
      <c r="B4369" s="4" t="str">
        <f>HYPERLINK("https://twitter.com/petrogustavo","@petrogustavo")</f>
        <v>@petrogustavo</v>
      </c>
      <c r="C4369" s="5" t="s">
        <v>16</v>
      </c>
      <c r="D4369" s="5" t="s">
        <v>4285</v>
      </c>
      <c r="E4369" s="6" t="str">
        <f>HYPERLINK("https://twitter.com/petrogustavo/status/1244413533183500289","1244413533183500289")</f>
        <v>1244413533183500289</v>
      </c>
      <c r="F4369" s="7" t="s">
        <v>17</v>
      </c>
      <c r="G4369" s="7">
        <v>3725903</v>
      </c>
      <c r="H4369" s="7">
        <v>2371</v>
      </c>
      <c r="I4369" s="7">
        <v>36</v>
      </c>
      <c r="J4369" s="7">
        <v>100</v>
      </c>
      <c r="K4369" s="7" t="s">
        <v>18</v>
      </c>
      <c r="L4369" s="8">
        <v>39987.315405092595</v>
      </c>
      <c r="M4369" s="9" t="s">
        <v>19</v>
      </c>
      <c r="N4369" s="9" t="s">
        <v>20</v>
      </c>
      <c r="O4369" s="6" t="str">
        <f>HYPERLINK("https://pbs.twimg.com/profile_images/962471262747529216/Uo8lOkRJ_normal.jpg","View")</f>
        <v>View</v>
      </c>
      <c r="P4369" s="7"/>
    </row>
    <row r="4370" spans="1:16">
      <c r="A4370" s="3">
        <v>43920.242048611108</v>
      </c>
      <c r="B4370" s="4" t="str">
        <f>HYPERLINK("https://twitter.com/petrogustavo","@petrogustavo")</f>
        <v>@petrogustavo</v>
      </c>
      <c r="C4370" s="5" t="s">
        <v>16</v>
      </c>
      <c r="D4370" s="5" t="s">
        <v>4286</v>
      </c>
      <c r="E4370" s="6" t="str">
        <f>HYPERLINK("https://twitter.com/petrogustavo/status/1244418701971140614","1244418701971140614")</f>
        <v>1244418701971140614</v>
      </c>
      <c r="F4370" s="7" t="s">
        <v>17</v>
      </c>
      <c r="G4370" s="7">
        <v>3725979</v>
      </c>
      <c r="H4370" s="7">
        <v>2371</v>
      </c>
      <c r="I4370" s="7">
        <v>93</v>
      </c>
      <c r="J4370" s="7">
        <v>157</v>
      </c>
      <c r="K4370" s="7" t="s">
        <v>18</v>
      </c>
      <c r="L4370" s="8">
        <v>39987.315405092595</v>
      </c>
      <c r="M4370" s="9" t="s">
        <v>19</v>
      </c>
      <c r="N4370" s="9" t="s">
        <v>20</v>
      </c>
      <c r="O4370" s="6" t="str">
        <f>HYPERLINK("https://pbs.twimg.com/profile_images/962471262747529216/Uo8lOkRJ_normal.jpg","View")</f>
        <v>View</v>
      </c>
      <c r="P4370" s="7"/>
    </row>
    <row r="4371" spans="1:16">
      <c r="A4371" s="3">
        <v>43920.252407407403</v>
      </c>
      <c r="B4371" s="4" t="str">
        <f>HYPERLINK("https://twitter.com/petrogustavo","@petrogustavo")</f>
        <v>@petrogustavo</v>
      </c>
      <c r="C4371" s="5" t="s">
        <v>16</v>
      </c>
      <c r="D4371" s="5" t="s">
        <v>4287</v>
      </c>
      <c r="E4371" s="6" t="str">
        <f>HYPERLINK("https://twitter.com/petrogustavo/status/1244422457701924865","1244422457701924865")</f>
        <v>1244422457701924865</v>
      </c>
      <c r="F4371" s="7" t="s">
        <v>17</v>
      </c>
      <c r="G4371" s="7">
        <v>3726047</v>
      </c>
      <c r="H4371" s="7">
        <v>2371</v>
      </c>
      <c r="I4371" s="7">
        <v>75</v>
      </c>
      <c r="J4371" s="7">
        <v>136</v>
      </c>
      <c r="K4371" s="7" t="s">
        <v>18</v>
      </c>
      <c r="L4371" s="8">
        <v>39987.315405092595</v>
      </c>
      <c r="M4371" s="9" t="s">
        <v>19</v>
      </c>
      <c r="N4371" s="9" t="s">
        <v>20</v>
      </c>
      <c r="O4371" s="6" t="str">
        <f>HYPERLINK("https://pbs.twimg.com/profile_images/962471262747529216/Uo8lOkRJ_normal.jpg","View")</f>
        <v>View</v>
      </c>
      <c r="P4371" s="7"/>
    </row>
    <row r="4372" spans="1:16">
      <c r="A4372" s="3">
        <v>43920.254513888889</v>
      </c>
      <c r="B4372" s="4" t="str">
        <f>HYPERLINK("https://twitter.com/petrogustavo","@petrogustavo")</f>
        <v>@petrogustavo</v>
      </c>
      <c r="C4372" s="5" t="s">
        <v>16</v>
      </c>
      <c r="D4372" s="5" t="s">
        <v>4288</v>
      </c>
      <c r="E4372" s="6" t="str">
        <f>HYPERLINK("https://twitter.com/petrogustavo/status/1244423217995014144","1244423217995014144")</f>
        <v>1244423217995014144</v>
      </c>
      <c r="F4372" s="7" t="s">
        <v>17</v>
      </c>
      <c r="G4372" s="7">
        <v>3726047</v>
      </c>
      <c r="H4372" s="7">
        <v>2371</v>
      </c>
      <c r="I4372" s="7">
        <v>189</v>
      </c>
      <c r="J4372" s="7">
        <v>0</v>
      </c>
      <c r="K4372" s="7" t="s">
        <v>18</v>
      </c>
      <c r="L4372" s="8">
        <v>39987.315405092595</v>
      </c>
      <c r="M4372" s="9" t="s">
        <v>19</v>
      </c>
      <c r="N4372" s="9" t="s">
        <v>20</v>
      </c>
      <c r="O4372" s="6" t="str">
        <f>HYPERLINK("https://pbs.twimg.com/profile_images/962471262747529216/Uo8lOkRJ_normal.jpg","View")</f>
        <v>View</v>
      </c>
      <c r="P4372" s="7"/>
    </row>
    <row r="4373" spans="1:16">
      <c r="A4373" s="3">
        <v>43920.256967592592</v>
      </c>
      <c r="B4373" s="4" t="str">
        <f>HYPERLINK("https://twitter.com/petrogustavo","@petrogustavo")</f>
        <v>@petrogustavo</v>
      </c>
      <c r="C4373" s="5" t="s">
        <v>16</v>
      </c>
      <c r="D4373" s="5" t="s">
        <v>4289</v>
      </c>
      <c r="E4373" s="6" t="str">
        <f>HYPERLINK("https://twitter.com/petrogustavo/status/1244424108127006723","1244424108127006723")</f>
        <v>1244424108127006723</v>
      </c>
      <c r="F4373" s="7" t="s">
        <v>17</v>
      </c>
      <c r="G4373" s="7">
        <v>3726047</v>
      </c>
      <c r="H4373" s="7">
        <v>2371</v>
      </c>
      <c r="I4373" s="7">
        <v>212</v>
      </c>
      <c r="J4373" s="7">
        <v>404</v>
      </c>
      <c r="K4373" s="7" t="s">
        <v>18</v>
      </c>
      <c r="L4373" s="8">
        <v>39987.315405092595</v>
      </c>
      <c r="M4373" s="9" t="s">
        <v>19</v>
      </c>
      <c r="N4373" s="9" t="s">
        <v>20</v>
      </c>
      <c r="O4373" s="6" t="str">
        <f>HYPERLINK("https://pbs.twimg.com/profile_images/962471262747529216/Uo8lOkRJ_normal.jpg","View")</f>
        <v>View</v>
      </c>
      <c r="P4373" s="7"/>
    </row>
    <row r="4374" spans="1:16">
      <c r="A4374" s="3">
        <v>43920.30678240741</v>
      </c>
      <c r="B4374" s="4" t="str">
        <f>HYPERLINK("https://twitter.com/petrogustavo","@petrogustavo")</f>
        <v>@petrogustavo</v>
      </c>
      <c r="C4374" s="5" t="s">
        <v>16</v>
      </c>
      <c r="D4374" s="5" t="s">
        <v>4290</v>
      </c>
      <c r="E4374" s="6" t="str">
        <f>HYPERLINK("https://twitter.com/petrogustavo/status/1244442160251969538","1244442160251969538")</f>
        <v>1244442160251969538</v>
      </c>
      <c r="F4374" s="7" t="s">
        <v>17</v>
      </c>
      <c r="G4374" s="7">
        <v>3726190</v>
      </c>
      <c r="H4374" s="7">
        <v>2371</v>
      </c>
      <c r="I4374" s="7">
        <v>895</v>
      </c>
      <c r="J4374" s="7">
        <v>0</v>
      </c>
      <c r="K4374" s="7" t="s">
        <v>18</v>
      </c>
      <c r="L4374" s="8">
        <v>39987.315405092595</v>
      </c>
      <c r="M4374" s="9" t="s">
        <v>19</v>
      </c>
      <c r="N4374" s="9" t="s">
        <v>20</v>
      </c>
      <c r="O4374" s="6" t="str">
        <f>HYPERLINK("https://pbs.twimg.com/profile_images/962471262747529216/Uo8lOkRJ_normal.jpg","View")</f>
        <v>View</v>
      </c>
      <c r="P4374" s="7"/>
    </row>
    <row r="4375" spans="1:16">
      <c r="A4375" s="3">
        <v>43920.79519675926</v>
      </c>
      <c r="B4375" s="4" t="str">
        <f>HYPERLINK("https://twitter.com/petrogustavo","@petrogustavo")</f>
        <v>@petrogustavo</v>
      </c>
      <c r="C4375" s="5" t="s">
        <v>16</v>
      </c>
      <c r="D4375" s="5" t="s">
        <v>4291</v>
      </c>
      <c r="E4375" s="6" t="str">
        <f>HYPERLINK("https://twitter.com/petrogustavo/status/1244619155359367168","1244619155359367168")</f>
        <v>1244619155359367168</v>
      </c>
      <c r="F4375" s="7" t="s">
        <v>17</v>
      </c>
      <c r="G4375" s="7">
        <v>3727086</v>
      </c>
      <c r="H4375" s="7">
        <v>2373</v>
      </c>
      <c r="I4375" s="7">
        <v>63</v>
      </c>
      <c r="J4375" s="7">
        <v>170</v>
      </c>
      <c r="K4375" s="7" t="s">
        <v>18</v>
      </c>
      <c r="L4375" s="8">
        <v>39987.315405092595</v>
      </c>
      <c r="M4375" s="9" t="s">
        <v>19</v>
      </c>
      <c r="N4375" s="9" t="s">
        <v>20</v>
      </c>
      <c r="O4375" s="6" t="str">
        <f>HYPERLINK("https://pbs.twimg.com/profile_images/962471262747529216/Uo8lOkRJ_normal.jpg","View")</f>
        <v>View</v>
      </c>
      <c r="P4375" s="7"/>
    </row>
    <row r="4376" spans="1:16">
      <c r="A4376" s="3">
        <v>43920.800775462965</v>
      </c>
      <c r="B4376" s="4" t="str">
        <f>HYPERLINK("https://twitter.com/petrogustavo","@petrogustavo")</f>
        <v>@petrogustavo</v>
      </c>
      <c r="C4376" s="5" t="s">
        <v>16</v>
      </c>
      <c r="D4376" s="5" t="s">
        <v>4292</v>
      </c>
      <c r="E4376" s="6" t="str">
        <f>HYPERLINK("https://twitter.com/petrogustavo/status/1244621178800680963","1244621178800680963")</f>
        <v>1244621178800680963</v>
      </c>
      <c r="F4376" s="7" t="s">
        <v>17</v>
      </c>
      <c r="G4376" s="7">
        <v>3727086</v>
      </c>
      <c r="H4376" s="7">
        <v>2373</v>
      </c>
      <c r="I4376" s="7">
        <v>112</v>
      </c>
      <c r="J4376" s="7">
        <v>202</v>
      </c>
      <c r="K4376" s="7" t="s">
        <v>18</v>
      </c>
      <c r="L4376" s="8">
        <v>39987.315405092595</v>
      </c>
      <c r="M4376" s="9" t="s">
        <v>19</v>
      </c>
      <c r="N4376" s="9" t="s">
        <v>20</v>
      </c>
      <c r="O4376" s="6" t="str">
        <f>HYPERLINK("https://pbs.twimg.com/profile_images/962471262747529216/Uo8lOkRJ_normal.jpg","View")</f>
        <v>View</v>
      </c>
      <c r="P4376" s="7"/>
    </row>
    <row r="4377" spans="1:16">
      <c r="A4377" s="3">
        <v>43920.821620370371</v>
      </c>
      <c r="B4377" s="4" t="str">
        <f>HYPERLINK("https://twitter.com/petrogustavo","@petrogustavo")</f>
        <v>@petrogustavo</v>
      </c>
      <c r="C4377" s="5" t="s">
        <v>16</v>
      </c>
      <c r="D4377" s="5" t="s">
        <v>4293</v>
      </c>
      <c r="E4377" s="6" t="str">
        <f>HYPERLINK("https://twitter.com/petrogustavo/status/1244628731907448833","1244628731907448833")</f>
        <v>1244628731907448833</v>
      </c>
      <c r="F4377" s="7" t="s">
        <v>17</v>
      </c>
      <c r="G4377" s="7">
        <v>3727132</v>
      </c>
      <c r="H4377" s="7">
        <v>2373</v>
      </c>
      <c r="I4377" s="7">
        <v>350</v>
      </c>
      <c r="J4377" s="7">
        <v>1099</v>
      </c>
      <c r="K4377" s="7" t="s">
        <v>18</v>
      </c>
      <c r="L4377" s="8">
        <v>39987.315405092595</v>
      </c>
      <c r="M4377" s="9" t="s">
        <v>19</v>
      </c>
      <c r="N4377" s="9" t="s">
        <v>20</v>
      </c>
      <c r="O4377" s="6" t="str">
        <f>HYPERLINK("https://pbs.twimg.com/profile_images/962471262747529216/Uo8lOkRJ_normal.jpg","View")</f>
        <v>View</v>
      </c>
      <c r="P4377" s="7"/>
    </row>
    <row r="4378" spans="1:16">
      <c r="A4378" s="3">
        <v>43920.8433912037</v>
      </c>
      <c r="B4378" s="4" t="str">
        <f>HYPERLINK("https://twitter.com/petrogustavo","@petrogustavo")</f>
        <v>@petrogustavo</v>
      </c>
      <c r="C4378" s="5" t="s">
        <v>16</v>
      </c>
      <c r="D4378" s="5" t="s">
        <v>4294</v>
      </c>
      <c r="E4378" s="6" t="str">
        <f>HYPERLINK("https://twitter.com/petrogustavo/status/1244636619971403776","1244636619971403776")</f>
        <v>1244636619971403776</v>
      </c>
      <c r="F4378" s="7" t="s">
        <v>17</v>
      </c>
      <c r="G4378" s="7">
        <v>3727198</v>
      </c>
      <c r="H4378" s="7">
        <v>2373</v>
      </c>
      <c r="I4378" s="7">
        <v>24</v>
      </c>
      <c r="J4378" s="7">
        <v>34</v>
      </c>
      <c r="K4378" s="7" t="s">
        <v>18</v>
      </c>
      <c r="L4378" s="8">
        <v>39987.315405092595</v>
      </c>
      <c r="M4378" s="9" t="s">
        <v>19</v>
      </c>
      <c r="N4378" s="9" t="s">
        <v>20</v>
      </c>
      <c r="O4378" s="6" t="str">
        <f>HYPERLINK("https://pbs.twimg.com/profile_images/962471262747529216/Uo8lOkRJ_normal.jpg","View")</f>
        <v>View</v>
      </c>
      <c r="P4378" s="7"/>
    </row>
    <row r="4379" spans="1:16">
      <c r="A4379" s="3">
        <v>43920.846875000003</v>
      </c>
      <c r="B4379" s="4" t="str">
        <f>HYPERLINK("https://twitter.com/petrogustavo","@petrogustavo")</f>
        <v>@petrogustavo</v>
      </c>
      <c r="C4379" s="5" t="s">
        <v>16</v>
      </c>
      <c r="D4379" s="5" t="s">
        <v>4295</v>
      </c>
      <c r="E4379" s="6" t="str">
        <f>HYPERLINK("https://twitter.com/petrogustavo/status/1244637885292318721","1244637885292318721")</f>
        <v>1244637885292318721</v>
      </c>
      <c r="F4379" s="7" t="s">
        <v>17</v>
      </c>
      <c r="G4379" s="7">
        <v>3727198</v>
      </c>
      <c r="H4379" s="7">
        <v>2373</v>
      </c>
      <c r="I4379" s="7">
        <v>25</v>
      </c>
      <c r="J4379" s="7">
        <v>51</v>
      </c>
      <c r="K4379" s="7" t="s">
        <v>18</v>
      </c>
      <c r="L4379" s="8">
        <v>39987.315405092595</v>
      </c>
      <c r="M4379" s="9" t="s">
        <v>19</v>
      </c>
      <c r="N4379" s="9" t="s">
        <v>20</v>
      </c>
      <c r="O4379" s="6" t="str">
        <f>HYPERLINK("https://pbs.twimg.com/profile_images/962471262747529216/Uo8lOkRJ_normal.jpg","View")</f>
        <v>View</v>
      </c>
      <c r="P4379" s="7"/>
    </row>
    <row r="4380" spans="1:16">
      <c r="A4380" s="3">
        <v>43920.849050925928</v>
      </c>
      <c r="B4380" s="4" t="str">
        <f>HYPERLINK("https://twitter.com/petrogustavo","@petrogustavo")</f>
        <v>@petrogustavo</v>
      </c>
      <c r="C4380" s="5" t="s">
        <v>16</v>
      </c>
      <c r="D4380" s="5" t="s">
        <v>4296</v>
      </c>
      <c r="E4380" s="6" t="str">
        <f>HYPERLINK("https://twitter.com/petrogustavo/status/1244638671116161025","1244638671116161025")</f>
        <v>1244638671116161025</v>
      </c>
      <c r="F4380" s="7" t="s">
        <v>17</v>
      </c>
      <c r="G4380" s="7">
        <v>3727198</v>
      </c>
      <c r="H4380" s="7">
        <v>2373</v>
      </c>
      <c r="I4380" s="7">
        <v>19</v>
      </c>
      <c r="J4380" s="7">
        <v>30</v>
      </c>
      <c r="K4380" s="7" t="s">
        <v>18</v>
      </c>
      <c r="L4380" s="8">
        <v>39987.315405092595</v>
      </c>
      <c r="M4380" s="9" t="s">
        <v>19</v>
      </c>
      <c r="N4380" s="9" t="s">
        <v>20</v>
      </c>
      <c r="O4380" s="6" t="str">
        <f>HYPERLINK("https://pbs.twimg.com/profile_images/962471262747529216/Uo8lOkRJ_normal.jpg","View")</f>
        <v>View</v>
      </c>
      <c r="P4380" s="7"/>
    </row>
    <row r="4381" spans="1:16">
      <c r="A4381" s="3">
        <v>43920.859849537039</v>
      </c>
      <c r="B4381" s="4" t="str">
        <f>HYPERLINK("https://twitter.com/petrogustavo","@petrogustavo")</f>
        <v>@petrogustavo</v>
      </c>
      <c r="C4381" s="5" t="s">
        <v>16</v>
      </c>
      <c r="D4381" s="5" t="s">
        <v>4297</v>
      </c>
      <c r="E4381" s="6" t="str">
        <f>HYPERLINK("https://twitter.com/petrogustavo/status/1244642586972880896","1244642586972880896")</f>
        <v>1244642586972880896</v>
      </c>
      <c r="F4381" s="7" t="s">
        <v>17</v>
      </c>
      <c r="G4381" s="7">
        <v>3727256</v>
      </c>
      <c r="H4381" s="7">
        <v>2373</v>
      </c>
      <c r="I4381" s="7">
        <v>84</v>
      </c>
      <c r="J4381" s="7">
        <v>206</v>
      </c>
      <c r="K4381" s="7" t="s">
        <v>18</v>
      </c>
      <c r="L4381" s="8">
        <v>39987.315405092595</v>
      </c>
      <c r="M4381" s="9" t="s">
        <v>19</v>
      </c>
      <c r="N4381" s="9" t="s">
        <v>20</v>
      </c>
      <c r="O4381" s="6" t="str">
        <f>HYPERLINK("https://pbs.twimg.com/profile_images/962471262747529216/Uo8lOkRJ_normal.jpg","View")</f>
        <v>View</v>
      </c>
      <c r="P4381" s="7"/>
    </row>
    <row r="4382" spans="1:16">
      <c r="A4382" s="3">
        <v>43920.862708333334</v>
      </c>
      <c r="B4382" s="4" t="str">
        <f>HYPERLINK("https://twitter.com/petrogustavo","@petrogustavo")</f>
        <v>@petrogustavo</v>
      </c>
      <c r="C4382" s="5" t="s">
        <v>16</v>
      </c>
      <c r="D4382" s="5" t="s">
        <v>4298</v>
      </c>
      <c r="E4382" s="6" t="str">
        <f>HYPERLINK("https://twitter.com/petrogustavo/status/1244643622722682880","1244643622722682880")</f>
        <v>1244643622722682880</v>
      </c>
      <c r="F4382" s="7" t="s">
        <v>17</v>
      </c>
      <c r="G4382" s="7">
        <v>3727256</v>
      </c>
      <c r="H4382" s="7">
        <v>2373</v>
      </c>
      <c r="I4382" s="7">
        <v>149</v>
      </c>
      <c r="J4382" s="7">
        <v>372</v>
      </c>
      <c r="K4382" s="7" t="s">
        <v>18</v>
      </c>
      <c r="L4382" s="8">
        <v>39987.315405092595</v>
      </c>
      <c r="M4382" s="9" t="s">
        <v>19</v>
      </c>
      <c r="N4382" s="9" t="s">
        <v>20</v>
      </c>
      <c r="O4382" s="6" t="str">
        <f>HYPERLINK("https://pbs.twimg.com/profile_images/962471262747529216/Uo8lOkRJ_normal.jpg","View")</f>
        <v>View</v>
      </c>
      <c r="P4382" s="7"/>
    </row>
    <row r="4383" spans="1:16">
      <c r="A4383" s="3">
        <v>43920.866319444445</v>
      </c>
      <c r="B4383" s="4" t="str">
        <f>HYPERLINK("https://twitter.com/petrogustavo","@petrogustavo")</f>
        <v>@petrogustavo</v>
      </c>
      <c r="C4383" s="5" t="s">
        <v>16</v>
      </c>
      <c r="D4383" s="5" t="s">
        <v>4299</v>
      </c>
      <c r="E4383" s="6" t="str">
        <f>HYPERLINK("https://twitter.com/petrogustavo/status/1244644929554563072","1244644929554563072")</f>
        <v>1244644929554563072</v>
      </c>
      <c r="F4383" s="7" t="s">
        <v>17</v>
      </c>
      <c r="G4383" s="7">
        <v>3727256</v>
      </c>
      <c r="H4383" s="7">
        <v>2373</v>
      </c>
      <c r="I4383" s="7">
        <v>131</v>
      </c>
      <c r="J4383" s="7">
        <v>0</v>
      </c>
      <c r="K4383" s="7" t="s">
        <v>18</v>
      </c>
      <c r="L4383" s="8">
        <v>39987.315405092595</v>
      </c>
      <c r="M4383" s="9" t="s">
        <v>19</v>
      </c>
      <c r="N4383" s="9" t="s">
        <v>20</v>
      </c>
      <c r="O4383" s="6" t="str">
        <f>HYPERLINK("https://pbs.twimg.com/profile_images/962471262747529216/Uo8lOkRJ_normal.jpg","View")</f>
        <v>View</v>
      </c>
      <c r="P4383" s="7"/>
    </row>
    <row r="4384" spans="1:16">
      <c r="A4384" s="3">
        <v>43920.876886574071</v>
      </c>
      <c r="B4384" s="4" t="str">
        <f>HYPERLINK("https://twitter.com/petrogustavo","@petrogustavo")</f>
        <v>@petrogustavo</v>
      </c>
      <c r="C4384" s="5" t="s">
        <v>16</v>
      </c>
      <c r="D4384" s="5" t="s">
        <v>4300</v>
      </c>
      <c r="E4384" s="6" t="str">
        <f>HYPERLINK("https://twitter.com/petrogustavo/status/1244648761504251904","1244648761504251904")</f>
        <v>1244648761504251904</v>
      </c>
      <c r="F4384" s="7" t="s">
        <v>17</v>
      </c>
      <c r="G4384" s="7">
        <v>3727315</v>
      </c>
      <c r="H4384" s="7">
        <v>2373</v>
      </c>
      <c r="I4384" s="7">
        <v>91</v>
      </c>
      <c r="J4384" s="7">
        <v>214</v>
      </c>
      <c r="K4384" s="7" t="s">
        <v>18</v>
      </c>
      <c r="L4384" s="8">
        <v>39987.315405092595</v>
      </c>
      <c r="M4384" s="9" t="s">
        <v>19</v>
      </c>
      <c r="N4384" s="9" t="s">
        <v>20</v>
      </c>
      <c r="O4384" s="6" t="str">
        <f>HYPERLINK("https://pbs.twimg.com/profile_images/962471262747529216/Uo8lOkRJ_normal.jpg","View")</f>
        <v>View</v>
      </c>
      <c r="P4384" s="7"/>
    </row>
    <row r="4385" spans="1:16">
      <c r="A4385" s="3">
        <v>43920.894976851851</v>
      </c>
      <c r="B4385" s="4" t="str">
        <f>HYPERLINK("https://twitter.com/petrogustavo","@petrogustavo")</f>
        <v>@petrogustavo</v>
      </c>
      <c r="C4385" s="5" t="s">
        <v>16</v>
      </c>
      <c r="D4385" s="5" t="s">
        <v>4301</v>
      </c>
      <c r="E4385" s="6" t="str">
        <f>HYPERLINK("https://twitter.com/petrogustavo/status/1244655314932240386","1244655314932240386")</f>
        <v>1244655314932240386</v>
      </c>
      <c r="F4385" s="7" t="s">
        <v>17</v>
      </c>
      <c r="G4385" s="7">
        <v>3727315</v>
      </c>
      <c r="H4385" s="7">
        <v>2373</v>
      </c>
      <c r="I4385" s="7">
        <v>22</v>
      </c>
      <c r="J4385" s="7">
        <v>35</v>
      </c>
      <c r="K4385" s="7" t="s">
        <v>18</v>
      </c>
      <c r="L4385" s="8">
        <v>39987.315405092595</v>
      </c>
      <c r="M4385" s="9" t="s">
        <v>19</v>
      </c>
      <c r="N4385" s="9" t="s">
        <v>20</v>
      </c>
      <c r="O4385" s="6" t="str">
        <f>HYPERLINK("https://pbs.twimg.com/profile_images/962471262747529216/Uo8lOkRJ_normal.jpg","View")</f>
        <v>View</v>
      </c>
      <c r="P4385" s="7"/>
    </row>
    <row r="4386" spans="1:16">
      <c r="A4386" s="3">
        <v>43920.899386574078</v>
      </c>
      <c r="B4386" s="4" t="str">
        <f>HYPERLINK("https://twitter.com/petrogustavo","@petrogustavo")</f>
        <v>@petrogustavo</v>
      </c>
      <c r="C4386" s="5" t="s">
        <v>16</v>
      </c>
      <c r="D4386" s="5" t="s">
        <v>4302</v>
      </c>
      <c r="E4386" s="6" t="str">
        <f>HYPERLINK("https://twitter.com/petrogustavo/status/1244656912454598665","1244656912454598665")</f>
        <v>1244656912454598665</v>
      </c>
      <c r="F4386" s="7" t="s">
        <v>17</v>
      </c>
      <c r="G4386" s="7">
        <v>3727365</v>
      </c>
      <c r="H4386" s="7">
        <v>2373</v>
      </c>
      <c r="I4386" s="7">
        <v>117</v>
      </c>
      <c r="J4386" s="7">
        <v>0</v>
      </c>
      <c r="K4386" s="7" t="s">
        <v>18</v>
      </c>
      <c r="L4386" s="8">
        <v>39987.315405092595</v>
      </c>
      <c r="M4386" s="9" t="s">
        <v>19</v>
      </c>
      <c r="N4386" s="9" t="s">
        <v>20</v>
      </c>
      <c r="O4386" s="6" t="str">
        <f>HYPERLINK("https://pbs.twimg.com/profile_images/962471262747529216/Uo8lOkRJ_normal.jpg","View")</f>
        <v>View</v>
      </c>
      <c r="P4386" s="7"/>
    </row>
    <row r="4387" spans="1:16">
      <c r="A4387" s="3">
        <v>43920.900509259256</v>
      </c>
      <c r="B4387" s="4" t="str">
        <f>HYPERLINK("https://twitter.com/petrogustavo","@petrogustavo")</f>
        <v>@petrogustavo</v>
      </c>
      <c r="C4387" s="5" t="s">
        <v>16</v>
      </c>
      <c r="D4387" s="5" t="s">
        <v>4303</v>
      </c>
      <c r="E4387" s="6" t="str">
        <f>HYPERLINK("https://twitter.com/petrogustavo/status/1244657322577874947","1244657322577874947")</f>
        <v>1244657322577874947</v>
      </c>
      <c r="F4387" s="7" t="s">
        <v>17</v>
      </c>
      <c r="G4387" s="7">
        <v>3727365</v>
      </c>
      <c r="H4387" s="7">
        <v>2373</v>
      </c>
      <c r="I4387" s="7">
        <v>128</v>
      </c>
      <c r="J4387" s="7">
        <v>276</v>
      </c>
      <c r="K4387" s="7" t="s">
        <v>18</v>
      </c>
      <c r="L4387" s="8">
        <v>39987.315405092595</v>
      </c>
      <c r="M4387" s="9" t="s">
        <v>19</v>
      </c>
      <c r="N4387" s="9" t="s">
        <v>20</v>
      </c>
      <c r="O4387" s="6" t="str">
        <f>HYPERLINK("https://pbs.twimg.com/profile_images/962471262747529216/Uo8lOkRJ_normal.jpg","View")</f>
        <v>View</v>
      </c>
      <c r="P4387" s="7"/>
    </row>
    <row r="4388" spans="1:16">
      <c r="A4388" s="3">
        <v>43920.90289351852</v>
      </c>
      <c r="B4388" s="4" t="str">
        <f>HYPERLINK("https://twitter.com/petrogustavo","@petrogustavo")</f>
        <v>@petrogustavo</v>
      </c>
      <c r="C4388" s="5" t="s">
        <v>16</v>
      </c>
      <c r="D4388" s="5" t="s">
        <v>4304</v>
      </c>
      <c r="E4388" s="6" t="str">
        <f>HYPERLINK("https://twitter.com/petrogustavo/status/1244658183194513408","1244658183194513408")</f>
        <v>1244658183194513408</v>
      </c>
      <c r="F4388" s="7" t="s">
        <v>17</v>
      </c>
      <c r="G4388" s="7">
        <v>3727365</v>
      </c>
      <c r="H4388" s="7">
        <v>2373</v>
      </c>
      <c r="I4388" s="7">
        <v>54</v>
      </c>
      <c r="J4388" s="7">
        <v>115</v>
      </c>
      <c r="K4388" s="7" t="s">
        <v>18</v>
      </c>
      <c r="L4388" s="8">
        <v>39987.315405092595</v>
      </c>
      <c r="M4388" s="9" t="s">
        <v>19</v>
      </c>
      <c r="N4388" s="9" t="s">
        <v>20</v>
      </c>
      <c r="O4388" s="6" t="str">
        <f>HYPERLINK("https://pbs.twimg.com/profile_images/962471262747529216/Uo8lOkRJ_normal.jpg","View")</f>
        <v>View</v>
      </c>
      <c r="P4388" s="7"/>
    </row>
    <row r="4389" spans="1:16">
      <c r="A4389" s="3">
        <v>43920.920231481483</v>
      </c>
      <c r="B4389" s="4" t="str">
        <f>HYPERLINK("https://twitter.com/petrogustavo","@petrogustavo")</f>
        <v>@petrogustavo</v>
      </c>
      <c r="C4389" s="5" t="s">
        <v>16</v>
      </c>
      <c r="D4389" s="5" t="s">
        <v>4305</v>
      </c>
      <c r="E4389" s="6" t="str">
        <f>HYPERLINK("https://twitter.com/petrogustavo/status/1244664468161912833","1244664468161912833")</f>
        <v>1244664468161912833</v>
      </c>
      <c r="F4389" s="7" t="s">
        <v>17</v>
      </c>
      <c r="G4389" s="7">
        <v>3727418</v>
      </c>
      <c r="H4389" s="7">
        <v>2373</v>
      </c>
      <c r="I4389" s="7">
        <v>173</v>
      </c>
      <c r="J4389" s="7">
        <v>319</v>
      </c>
      <c r="K4389" s="7" t="s">
        <v>18</v>
      </c>
      <c r="L4389" s="8">
        <v>39987.315405092595</v>
      </c>
      <c r="M4389" s="9" t="s">
        <v>19</v>
      </c>
      <c r="N4389" s="9" t="s">
        <v>20</v>
      </c>
      <c r="O4389" s="6" t="str">
        <f>HYPERLINK("https://pbs.twimg.com/profile_images/962471262747529216/Uo8lOkRJ_normal.jpg","View")</f>
        <v>View</v>
      </c>
      <c r="P4389" s="7"/>
    </row>
    <row r="4390" spans="1:16">
      <c r="A4390" s="3">
        <v>43920.931562500002</v>
      </c>
      <c r="B4390" s="4" t="str">
        <f>HYPERLINK("https://twitter.com/petrogustavo","@petrogustavo")</f>
        <v>@petrogustavo</v>
      </c>
      <c r="C4390" s="5" t="s">
        <v>16</v>
      </c>
      <c r="D4390" s="5" t="s">
        <v>4306</v>
      </c>
      <c r="E4390" s="6" t="str">
        <f>HYPERLINK("https://twitter.com/petrogustavo/status/1244668573018193922","1244668573018193922")</f>
        <v>1244668573018193922</v>
      </c>
      <c r="F4390" s="7" t="s">
        <v>17</v>
      </c>
      <c r="G4390" s="7">
        <v>3727418</v>
      </c>
      <c r="H4390" s="7">
        <v>2373</v>
      </c>
      <c r="I4390" s="7">
        <v>499</v>
      </c>
      <c r="J4390" s="7">
        <v>0</v>
      </c>
      <c r="K4390" s="7" t="s">
        <v>18</v>
      </c>
      <c r="L4390" s="8">
        <v>39987.315405092595</v>
      </c>
      <c r="M4390" s="9" t="s">
        <v>19</v>
      </c>
      <c r="N4390" s="9" t="s">
        <v>20</v>
      </c>
      <c r="O4390" s="6" t="str">
        <f>HYPERLINK("https://pbs.twimg.com/profile_images/962471262747529216/Uo8lOkRJ_normal.jpg","View")</f>
        <v>View</v>
      </c>
      <c r="P4390" s="7"/>
    </row>
    <row r="4391" spans="1:16">
      <c r="A4391" s="3">
        <v>43920.936412037037</v>
      </c>
      <c r="B4391" s="4" t="str">
        <f>HYPERLINK("https://twitter.com/petrogustavo","@petrogustavo")</f>
        <v>@petrogustavo</v>
      </c>
      <c r="C4391" s="5" t="s">
        <v>16</v>
      </c>
      <c r="D4391" s="5" t="s">
        <v>4307</v>
      </c>
      <c r="E4391" s="6" t="str">
        <f>HYPERLINK("https://twitter.com/petrogustavo/status/1244670333220724738","1244670333220724738")</f>
        <v>1244670333220724738</v>
      </c>
      <c r="F4391" s="7" t="s">
        <v>17</v>
      </c>
      <c r="G4391" s="7">
        <v>3727418</v>
      </c>
      <c r="H4391" s="7">
        <v>2373</v>
      </c>
      <c r="I4391" s="7">
        <v>12</v>
      </c>
      <c r="J4391" s="7">
        <v>21</v>
      </c>
      <c r="K4391" s="7" t="s">
        <v>18</v>
      </c>
      <c r="L4391" s="8">
        <v>39987.315405092595</v>
      </c>
      <c r="M4391" s="9" t="s">
        <v>19</v>
      </c>
      <c r="N4391" s="9" t="s">
        <v>20</v>
      </c>
      <c r="O4391" s="6" t="str">
        <f>HYPERLINK("https://pbs.twimg.com/profile_images/962471262747529216/Uo8lOkRJ_normal.jpg","View")</f>
        <v>View</v>
      </c>
      <c r="P4391" s="7"/>
    </row>
    <row r="4392" spans="1:16">
      <c r="A4392" s="3">
        <v>43920.979675925926</v>
      </c>
      <c r="B4392" s="4" t="str">
        <f>HYPERLINK("https://twitter.com/petrogustavo","@petrogustavo")</f>
        <v>@petrogustavo</v>
      </c>
      <c r="C4392" s="5" t="s">
        <v>16</v>
      </c>
      <c r="D4392" s="5" t="s">
        <v>4308</v>
      </c>
      <c r="E4392" s="6" t="str">
        <f>HYPERLINK("https://twitter.com/petrogustavo/status/1244686009884987397","1244686009884987397")</f>
        <v>1244686009884987397</v>
      </c>
      <c r="F4392" s="7" t="s">
        <v>17</v>
      </c>
      <c r="G4392" s="7">
        <v>3727546</v>
      </c>
      <c r="H4392" s="7">
        <v>2373</v>
      </c>
      <c r="I4392" s="7">
        <v>14</v>
      </c>
      <c r="J4392" s="7">
        <v>33</v>
      </c>
      <c r="K4392" s="7" t="s">
        <v>18</v>
      </c>
      <c r="L4392" s="8">
        <v>39987.315405092595</v>
      </c>
      <c r="M4392" s="9" t="s">
        <v>19</v>
      </c>
      <c r="N4392" s="9" t="s">
        <v>20</v>
      </c>
      <c r="O4392" s="6" t="str">
        <f>HYPERLINK("https://pbs.twimg.com/profile_images/962471262747529216/Uo8lOkRJ_normal.jpg","View")</f>
        <v>View</v>
      </c>
      <c r="P4392" s="7"/>
    </row>
    <row r="4393" spans="1:16">
      <c r="A4393" s="3">
        <v>43921.053912037038</v>
      </c>
      <c r="B4393" s="4" t="str">
        <f>HYPERLINK("https://twitter.com/petrogustavo","@petrogustavo")</f>
        <v>@petrogustavo</v>
      </c>
      <c r="C4393" s="5" t="s">
        <v>16</v>
      </c>
      <c r="D4393" s="5" t="s">
        <v>4309</v>
      </c>
      <c r="E4393" s="6" t="str">
        <f>HYPERLINK("https://twitter.com/petrogustavo/status/1244712913186828288","1244712913186828288")</f>
        <v>1244712913186828288</v>
      </c>
      <c r="F4393" s="7" t="s">
        <v>17</v>
      </c>
      <c r="G4393" s="7">
        <v>3727768</v>
      </c>
      <c r="H4393" s="7">
        <v>2373</v>
      </c>
      <c r="I4393" s="7">
        <v>26</v>
      </c>
      <c r="J4393" s="7">
        <v>43</v>
      </c>
      <c r="K4393" s="7" t="s">
        <v>18</v>
      </c>
      <c r="L4393" s="8">
        <v>39987.315405092595</v>
      </c>
      <c r="M4393" s="9" t="s">
        <v>19</v>
      </c>
      <c r="N4393" s="9" t="s">
        <v>20</v>
      </c>
      <c r="O4393" s="6" t="str">
        <f>HYPERLINK("https://pbs.twimg.com/profile_images/962471262747529216/Uo8lOkRJ_normal.jpg","View")</f>
        <v>View</v>
      </c>
      <c r="P4393" s="7"/>
    </row>
    <row r="4394" spans="1:16">
      <c r="A4394" s="3">
        <v>43921.084710648152</v>
      </c>
      <c r="B4394" s="4" t="str">
        <f>HYPERLINK("https://twitter.com/petrogustavo","@petrogustavo")</f>
        <v>@petrogustavo</v>
      </c>
      <c r="C4394" s="5" t="s">
        <v>16</v>
      </c>
      <c r="D4394" s="5" t="s">
        <v>4310</v>
      </c>
      <c r="E4394" s="6" t="str">
        <f>HYPERLINK("https://twitter.com/petrogustavo/status/1244724072509997058","1244724072509997058")</f>
        <v>1244724072509997058</v>
      </c>
      <c r="F4394" s="7" t="s">
        <v>17</v>
      </c>
      <c r="G4394" s="7">
        <v>3727808</v>
      </c>
      <c r="H4394" s="7">
        <v>2373</v>
      </c>
      <c r="I4394" s="7">
        <v>0</v>
      </c>
      <c r="J4394" s="7">
        <v>0</v>
      </c>
      <c r="K4394" s="7" t="s">
        <v>18</v>
      </c>
      <c r="L4394" s="8">
        <v>39987.315405092595</v>
      </c>
      <c r="M4394" s="9" t="s">
        <v>19</v>
      </c>
      <c r="N4394" s="9" t="s">
        <v>20</v>
      </c>
      <c r="O4394" s="6" t="str">
        <f>HYPERLINK("https://pbs.twimg.com/profile_images/962471262747529216/Uo8lOkRJ_normal.jpg","View")</f>
        <v>View</v>
      </c>
      <c r="P4394" s="7"/>
    </row>
    <row r="4395" spans="1:16">
      <c r="A4395" s="3">
        <v>43921.088553240741</v>
      </c>
      <c r="B4395" s="4" t="str">
        <f>HYPERLINK("https://twitter.com/petrogustavo","@petrogustavo")</f>
        <v>@petrogustavo</v>
      </c>
      <c r="C4395" s="5" t="s">
        <v>16</v>
      </c>
      <c r="D4395" s="5" t="s">
        <v>4311</v>
      </c>
      <c r="E4395" s="6" t="str">
        <f>HYPERLINK("https://twitter.com/petrogustavo/status/1244725463605563400","1244725463605563400")</f>
        <v>1244725463605563400</v>
      </c>
      <c r="F4395" s="7" t="s">
        <v>17</v>
      </c>
      <c r="G4395" s="7">
        <v>3727848</v>
      </c>
      <c r="H4395" s="7">
        <v>2373</v>
      </c>
      <c r="I4395" s="7">
        <v>56</v>
      </c>
      <c r="J4395" s="7">
        <v>94</v>
      </c>
      <c r="K4395" s="7" t="s">
        <v>18</v>
      </c>
      <c r="L4395" s="8">
        <v>39987.315405092595</v>
      </c>
      <c r="M4395" s="9" t="s">
        <v>19</v>
      </c>
      <c r="N4395" s="9" t="s">
        <v>20</v>
      </c>
      <c r="O4395" s="6" t="str">
        <f>HYPERLINK("https://pbs.twimg.com/profile_images/962471262747529216/Uo8lOkRJ_normal.jpg","View")</f>
        <v>View</v>
      </c>
      <c r="P4395" s="7"/>
    </row>
    <row r="4396" spans="1:16">
      <c r="A4396" s="3">
        <v>43921.096446759257</v>
      </c>
      <c r="B4396" s="4" t="str">
        <f>HYPERLINK("https://twitter.com/petrogustavo","@petrogustavo")</f>
        <v>@petrogustavo</v>
      </c>
      <c r="C4396" s="5" t="s">
        <v>16</v>
      </c>
      <c r="D4396" s="5" t="s">
        <v>4312</v>
      </c>
      <c r="E4396" s="6" t="str">
        <f>HYPERLINK("https://twitter.com/petrogustavo/status/1244728326033485827","1244728326033485827")</f>
        <v>1244728326033485827</v>
      </c>
      <c r="F4396" s="7" t="s">
        <v>17</v>
      </c>
      <c r="G4396" s="7">
        <v>3727848</v>
      </c>
      <c r="H4396" s="7">
        <v>2373</v>
      </c>
      <c r="I4396" s="7">
        <v>32</v>
      </c>
      <c r="J4396" s="7">
        <v>57</v>
      </c>
      <c r="K4396" s="7" t="s">
        <v>18</v>
      </c>
      <c r="L4396" s="8">
        <v>39987.315405092595</v>
      </c>
      <c r="M4396" s="9" t="s">
        <v>19</v>
      </c>
      <c r="N4396" s="9" t="s">
        <v>20</v>
      </c>
      <c r="O4396" s="6" t="str">
        <f>HYPERLINK("https://pbs.twimg.com/profile_images/962471262747529216/Uo8lOkRJ_normal.jpg","View")</f>
        <v>View</v>
      </c>
      <c r="P4396" s="7"/>
    </row>
    <row r="4397" spans="1:16">
      <c r="A4397" s="3">
        <v>43921.151944444442</v>
      </c>
      <c r="B4397" s="4" t="str">
        <f>HYPERLINK("https://twitter.com/petrogustavo","@petrogustavo")</f>
        <v>@petrogustavo</v>
      </c>
      <c r="C4397" s="5" t="s">
        <v>16</v>
      </c>
      <c r="D4397" s="5" t="s">
        <v>4313</v>
      </c>
      <c r="E4397" s="6" t="str">
        <f>HYPERLINK("https://twitter.com/petrogustavo/status/1244748437377212419","1244748437377212419")</f>
        <v>1244748437377212419</v>
      </c>
      <c r="F4397" s="7" t="s">
        <v>17</v>
      </c>
      <c r="G4397" s="7">
        <v>3728043</v>
      </c>
      <c r="H4397" s="7">
        <v>2373</v>
      </c>
      <c r="I4397" s="7">
        <v>229</v>
      </c>
      <c r="J4397" s="7">
        <v>0</v>
      </c>
      <c r="K4397" s="7" t="s">
        <v>18</v>
      </c>
      <c r="L4397" s="8">
        <v>39987.315405092595</v>
      </c>
      <c r="M4397" s="9" t="s">
        <v>19</v>
      </c>
      <c r="N4397" s="9" t="s">
        <v>20</v>
      </c>
      <c r="O4397" s="6" t="str">
        <f>HYPERLINK("https://pbs.twimg.com/profile_images/962471262747529216/Uo8lOkRJ_normal.jpg","View")</f>
        <v>View</v>
      </c>
      <c r="P4397" s="7"/>
    </row>
    <row r="4398" spans="1:16">
      <c r="A4398" s="3">
        <v>43921.186053240745</v>
      </c>
      <c r="B4398" s="4" t="str">
        <f>HYPERLINK("https://twitter.com/petrogustavo","@petrogustavo")</f>
        <v>@petrogustavo</v>
      </c>
      <c r="C4398" s="5" t="s">
        <v>16</v>
      </c>
      <c r="D4398" s="5" t="s">
        <v>4314</v>
      </c>
      <c r="E4398" s="6" t="str">
        <f>HYPERLINK("https://twitter.com/petrogustavo/status/1244760799966609411","1244760799966609411")</f>
        <v>1244760799966609411</v>
      </c>
      <c r="F4398" s="7" t="s">
        <v>32</v>
      </c>
      <c r="G4398" s="7">
        <v>3728043</v>
      </c>
      <c r="H4398" s="7">
        <v>2373</v>
      </c>
      <c r="I4398" s="7">
        <v>13</v>
      </c>
      <c r="J4398" s="7">
        <v>34</v>
      </c>
      <c r="K4398" s="7" t="s">
        <v>18</v>
      </c>
      <c r="L4398" s="8">
        <v>39987.315405092595</v>
      </c>
      <c r="M4398" s="9" t="s">
        <v>19</v>
      </c>
      <c r="N4398" s="9" t="s">
        <v>20</v>
      </c>
      <c r="O4398" s="6" t="str">
        <f>HYPERLINK("https://pbs.twimg.com/profile_images/962471262747529216/Uo8lOkRJ_normal.jpg","View")</f>
        <v>View</v>
      </c>
      <c r="P4398" s="7"/>
    </row>
    <row r="4399" spans="1:16">
      <c r="A4399" s="3">
        <v>43921.187222222223</v>
      </c>
      <c r="B4399" s="4" t="str">
        <f>HYPERLINK("https://twitter.com/petrogustavo","@petrogustavo")</f>
        <v>@petrogustavo</v>
      </c>
      <c r="C4399" s="5" t="s">
        <v>16</v>
      </c>
      <c r="D4399" s="5" t="s">
        <v>4315</v>
      </c>
      <c r="E4399" s="6" t="str">
        <f>HYPERLINK("https://twitter.com/petrogustavo/status/1244761222345560066","1244761222345560066")</f>
        <v>1244761222345560066</v>
      </c>
      <c r="F4399" s="7" t="s">
        <v>32</v>
      </c>
      <c r="G4399" s="7">
        <v>3728043</v>
      </c>
      <c r="H4399" s="7">
        <v>2373</v>
      </c>
      <c r="I4399" s="7">
        <v>4</v>
      </c>
      <c r="J4399" s="7">
        <v>0</v>
      </c>
      <c r="K4399" s="7" t="s">
        <v>18</v>
      </c>
      <c r="L4399" s="8">
        <v>39987.315405092595</v>
      </c>
      <c r="M4399" s="9" t="s">
        <v>19</v>
      </c>
      <c r="N4399" s="9" t="s">
        <v>20</v>
      </c>
      <c r="O4399" s="6" t="str">
        <f>HYPERLINK("https://pbs.twimg.com/profile_images/962471262747529216/Uo8lOkRJ_normal.jpg","View")</f>
        <v>View</v>
      </c>
      <c r="P4399" s="7"/>
    </row>
    <row r="4400" spans="1:16">
      <c r="A4400" s="3">
        <v>43921.189004629632</v>
      </c>
      <c r="B4400" s="4" t="str">
        <f>HYPERLINK("https://twitter.com/petrogustavo","@petrogustavo")</f>
        <v>@petrogustavo</v>
      </c>
      <c r="C4400" s="5" t="s">
        <v>16</v>
      </c>
      <c r="D4400" s="5" t="s">
        <v>4316</v>
      </c>
      <c r="E4400" s="6" t="str">
        <f>HYPERLINK("https://twitter.com/petrogustavo/status/1244761866456502277","1244761866456502277")</f>
        <v>1244761866456502277</v>
      </c>
      <c r="F4400" s="7" t="s">
        <v>32</v>
      </c>
      <c r="G4400" s="7">
        <v>3728043</v>
      </c>
      <c r="H4400" s="7">
        <v>2373</v>
      </c>
      <c r="I4400" s="7">
        <v>660</v>
      </c>
      <c r="J4400" s="7">
        <v>0</v>
      </c>
      <c r="K4400" s="7" t="s">
        <v>18</v>
      </c>
      <c r="L4400" s="8">
        <v>39987.315405092595</v>
      </c>
      <c r="M4400" s="9" t="s">
        <v>19</v>
      </c>
      <c r="N4400" s="9" t="s">
        <v>20</v>
      </c>
      <c r="O4400" s="6" t="str">
        <f>HYPERLINK("https://pbs.twimg.com/profile_images/962471262747529216/Uo8lOkRJ_normal.jpg","View")</f>
        <v>View</v>
      </c>
      <c r="P4400" s="7"/>
    </row>
    <row r="4401" spans="1:16">
      <c r="A4401" s="3">
        <v>43921.189849537041</v>
      </c>
      <c r="B4401" s="4" t="str">
        <f>HYPERLINK("https://twitter.com/petrogustavo","@petrogustavo")</f>
        <v>@petrogustavo</v>
      </c>
      <c r="C4401" s="5" t="s">
        <v>16</v>
      </c>
      <c r="D4401" s="5" t="s">
        <v>4317</v>
      </c>
      <c r="E4401" s="6" t="str">
        <f>HYPERLINK("https://twitter.com/petrogustavo/status/1244762172204421121","1244762172204421121")</f>
        <v>1244762172204421121</v>
      </c>
      <c r="F4401" s="7" t="s">
        <v>32</v>
      </c>
      <c r="G4401" s="7">
        <v>3728107</v>
      </c>
      <c r="H4401" s="7">
        <v>2373</v>
      </c>
      <c r="I4401" s="7">
        <v>196</v>
      </c>
      <c r="J4401" s="7">
        <v>259</v>
      </c>
      <c r="K4401" s="7" t="s">
        <v>18</v>
      </c>
      <c r="L4401" s="8">
        <v>39987.315405092595</v>
      </c>
      <c r="M4401" s="9" t="s">
        <v>19</v>
      </c>
      <c r="N4401" s="9" t="s">
        <v>20</v>
      </c>
      <c r="O4401" s="6" t="str">
        <f>HYPERLINK("https://pbs.twimg.com/profile_images/962471262747529216/Uo8lOkRJ_normal.jpg","View")</f>
        <v>View</v>
      </c>
      <c r="P4401" s="7"/>
    </row>
    <row r="4402" spans="1:16">
      <c r="A4402" s="3">
        <v>43921.201226851852</v>
      </c>
      <c r="B4402" s="4" t="str">
        <f>HYPERLINK("https://twitter.com/petrogustavo","@petrogustavo")</f>
        <v>@petrogustavo</v>
      </c>
      <c r="C4402" s="5" t="s">
        <v>16</v>
      </c>
      <c r="D4402" s="5" t="s">
        <v>4318</v>
      </c>
      <c r="E4402" s="6" t="str">
        <f>HYPERLINK("https://twitter.com/petrogustavo/status/1244766296778199042","1244766296778199042")</f>
        <v>1244766296778199042</v>
      </c>
      <c r="F4402" s="7" t="s">
        <v>17</v>
      </c>
      <c r="G4402" s="7">
        <v>3728107</v>
      </c>
      <c r="H4402" s="7">
        <v>2373</v>
      </c>
      <c r="I4402" s="7">
        <v>73</v>
      </c>
      <c r="J4402" s="7">
        <v>0</v>
      </c>
      <c r="K4402" s="7" t="s">
        <v>18</v>
      </c>
      <c r="L4402" s="8">
        <v>39987.315405092595</v>
      </c>
      <c r="M4402" s="9" t="s">
        <v>19</v>
      </c>
      <c r="N4402" s="9" t="s">
        <v>20</v>
      </c>
      <c r="O4402" s="6" t="str">
        <f>HYPERLINK("https://pbs.twimg.com/profile_images/962471262747529216/Uo8lOkRJ_normal.jpg","View")</f>
        <v>View</v>
      </c>
      <c r="P4402" s="7"/>
    </row>
    <row r="4403" spans="1:16">
      <c r="A4403" s="3">
        <v>43921.206493055557</v>
      </c>
      <c r="B4403" s="4" t="str">
        <f>HYPERLINK("https://twitter.com/petrogustavo","@petrogustavo")</f>
        <v>@petrogustavo</v>
      </c>
      <c r="C4403" s="5" t="s">
        <v>16</v>
      </c>
      <c r="D4403" s="5" t="s">
        <v>4319</v>
      </c>
      <c r="E4403" s="6" t="str">
        <f>HYPERLINK("https://twitter.com/petrogustavo/status/1244768206805491718","1244768206805491718")</f>
        <v>1244768206805491718</v>
      </c>
      <c r="F4403" s="7" t="s">
        <v>17</v>
      </c>
      <c r="G4403" s="7">
        <v>3728107</v>
      </c>
      <c r="H4403" s="7">
        <v>2373</v>
      </c>
      <c r="I4403" s="7">
        <v>42</v>
      </c>
      <c r="J4403" s="7">
        <v>110</v>
      </c>
      <c r="K4403" s="7" t="s">
        <v>18</v>
      </c>
      <c r="L4403" s="8">
        <v>39987.315405092595</v>
      </c>
      <c r="M4403" s="9" t="s">
        <v>19</v>
      </c>
      <c r="N4403" s="9" t="s">
        <v>20</v>
      </c>
      <c r="O4403" s="6" t="str">
        <f>HYPERLINK("https://pbs.twimg.com/profile_images/962471262747529216/Uo8lOkRJ_normal.jpg","View")</f>
        <v>View</v>
      </c>
      <c r="P4403" s="7"/>
    </row>
    <row r="4404" spans="1:16">
      <c r="A4404" s="3">
        <v>43921.20711805555</v>
      </c>
      <c r="B4404" s="4" t="str">
        <f>HYPERLINK("https://twitter.com/petrogustavo","@petrogustavo")</f>
        <v>@petrogustavo</v>
      </c>
      <c r="C4404" s="5" t="s">
        <v>16</v>
      </c>
      <c r="D4404" s="5" t="s">
        <v>4320</v>
      </c>
      <c r="E4404" s="6" t="str">
        <f>HYPERLINK("https://twitter.com/petrogustavo/status/1244768431360139265","1244768431360139265")</f>
        <v>1244768431360139265</v>
      </c>
      <c r="F4404" s="7" t="s">
        <v>17</v>
      </c>
      <c r="G4404" s="7">
        <v>3728107</v>
      </c>
      <c r="H4404" s="7">
        <v>2373</v>
      </c>
      <c r="I4404" s="7">
        <v>62</v>
      </c>
      <c r="J4404" s="7">
        <v>214</v>
      </c>
      <c r="K4404" s="7" t="s">
        <v>18</v>
      </c>
      <c r="L4404" s="8">
        <v>39987.315405092595</v>
      </c>
      <c r="M4404" s="9" t="s">
        <v>19</v>
      </c>
      <c r="N4404" s="9" t="s">
        <v>20</v>
      </c>
      <c r="O4404" s="6" t="str">
        <f>HYPERLINK("https://pbs.twimg.com/profile_images/962471262747529216/Uo8lOkRJ_normal.jpg","View")</f>
        <v>View</v>
      </c>
      <c r="P4404" s="7"/>
    </row>
    <row r="4405" spans="1:16">
      <c r="A4405" s="3">
        <v>43921.211851851855</v>
      </c>
      <c r="B4405" s="4" t="str">
        <f>HYPERLINK("https://twitter.com/petrogustavo","@petrogustavo")</f>
        <v>@petrogustavo</v>
      </c>
      <c r="C4405" s="5" t="s">
        <v>16</v>
      </c>
      <c r="D4405" s="5" t="s">
        <v>4321</v>
      </c>
      <c r="E4405" s="6" t="str">
        <f>HYPERLINK("https://twitter.com/petrogustavo/status/1244770145941282816","1244770145941282816")</f>
        <v>1244770145941282816</v>
      </c>
      <c r="F4405" s="7" t="s">
        <v>17</v>
      </c>
      <c r="G4405" s="7">
        <v>3728188</v>
      </c>
      <c r="H4405" s="7">
        <v>2373</v>
      </c>
      <c r="I4405" s="7">
        <v>148</v>
      </c>
      <c r="J4405" s="7">
        <v>208</v>
      </c>
      <c r="K4405" s="7" t="s">
        <v>18</v>
      </c>
      <c r="L4405" s="8">
        <v>39987.315405092595</v>
      </c>
      <c r="M4405" s="9" t="s">
        <v>19</v>
      </c>
      <c r="N4405" s="9" t="s">
        <v>20</v>
      </c>
      <c r="O4405" s="6" t="str">
        <f>HYPERLINK("https://pbs.twimg.com/profile_images/962471262747529216/Uo8lOkRJ_normal.jpg","View")</f>
        <v>View</v>
      </c>
      <c r="P4405" s="7"/>
    </row>
    <row r="4406" spans="1:16">
      <c r="A4406" s="3">
        <v>43921.22174768518</v>
      </c>
      <c r="B4406" s="4" t="str">
        <f>HYPERLINK("https://twitter.com/petrogustavo","@petrogustavo")</f>
        <v>@petrogustavo</v>
      </c>
      <c r="C4406" s="5" t="s">
        <v>16</v>
      </c>
      <c r="D4406" s="5" t="s">
        <v>4322</v>
      </c>
      <c r="E4406" s="6" t="str">
        <f>HYPERLINK("https://twitter.com/petrogustavo/status/1244773732985470976","1244773732985470976")</f>
        <v>1244773732985470976</v>
      </c>
      <c r="F4406" s="7" t="s">
        <v>17</v>
      </c>
      <c r="G4406" s="7">
        <v>3728188</v>
      </c>
      <c r="H4406" s="7">
        <v>2373</v>
      </c>
      <c r="I4406" s="7">
        <v>139</v>
      </c>
      <c r="J4406" s="7">
        <v>275</v>
      </c>
      <c r="K4406" s="7" t="s">
        <v>18</v>
      </c>
      <c r="L4406" s="8">
        <v>39987.315405092595</v>
      </c>
      <c r="M4406" s="9" t="s">
        <v>19</v>
      </c>
      <c r="N4406" s="9" t="s">
        <v>20</v>
      </c>
      <c r="O4406" s="6" t="str">
        <f>HYPERLINK("https://pbs.twimg.com/profile_images/962471262747529216/Uo8lOkRJ_normal.jpg","View")</f>
        <v>View</v>
      </c>
      <c r="P4406" s="7"/>
    </row>
    <row r="4407" spans="1:16">
      <c r="A4407" s="3">
        <v>43921.237673611111</v>
      </c>
      <c r="B4407" s="4" t="str">
        <f>HYPERLINK("https://twitter.com/petrogustavo","@petrogustavo")</f>
        <v>@petrogustavo</v>
      </c>
      <c r="C4407" s="5" t="s">
        <v>16</v>
      </c>
      <c r="D4407" s="5" t="s">
        <v>4323</v>
      </c>
      <c r="E4407" s="6" t="str">
        <f>HYPERLINK("https://twitter.com/petrogustavo/status/1244779505505439744","1244779505505439744")</f>
        <v>1244779505505439744</v>
      </c>
      <c r="F4407" s="7" t="s">
        <v>17</v>
      </c>
      <c r="G4407" s="7">
        <v>3728215</v>
      </c>
      <c r="H4407" s="7">
        <v>2373</v>
      </c>
      <c r="I4407" s="7">
        <v>112</v>
      </c>
      <c r="J4407" s="7">
        <v>179</v>
      </c>
      <c r="K4407" s="7" t="s">
        <v>18</v>
      </c>
      <c r="L4407" s="8">
        <v>39987.315405092595</v>
      </c>
      <c r="M4407" s="9" t="s">
        <v>19</v>
      </c>
      <c r="N4407" s="9" t="s">
        <v>20</v>
      </c>
      <c r="O4407" s="6" t="str">
        <f>HYPERLINK("https://pbs.twimg.com/profile_images/962471262747529216/Uo8lOkRJ_normal.jpg","View")</f>
        <v>View</v>
      </c>
      <c r="P4407" s="7"/>
    </row>
    <row r="4408" spans="1:16">
      <c r="A4408" s="3">
        <v>43921.255682870367</v>
      </c>
      <c r="B4408" s="4" t="str">
        <f>HYPERLINK("https://twitter.com/petrogustavo","@petrogustavo")</f>
        <v>@petrogustavo</v>
      </c>
      <c r="C4408" s="5" t="s">
        <v>16</v>
      </c>
      <c r="D4408" s="5" t="s">
        <v>4324</v>
      </c>
      <c r="E4408" s="6" t="str">
        <f>HYPERLINK("https://twitter.com/petrogustavo/status/1244786032521945089","1244786032521945089")</f>
        <v>1244786032521945089</v>
      </c>
      <c r="F4408" s="7" t="s">
        <v>17</v>
      </c>
      <c r="G4408" s="7">
        <v>3728268</v>
      </c>
      <c r="H4408" s="7">
        <v>2373</v>
      </c>
      <c r="I4408" s="7">
        <v>738</v>
      </c>
      <c r="J4408" s="7">
        <v>0</v>
      </c>
      <c r="K4408" s="7" t="s">
        <v>18</v>
      </c>
      <c r="L4408" s="8">
        <v>39987.315405092595</v>
      </c>
      <c r="M4408" s="9" t="s">
        <v>19</v>
      </c>
      <c r="N4408" s="9" t="s">
        <v>20</v>
      </c>
      <c r="O4408" s="6" t="str">
        <f>HYPERLINK("https://pbs.twimg.com/profile_images/962471262747529216/Uo8lOkRJ_normal.jpg","View")</f>
        <v>View</v>
      </c>
      <c r="P4408" s="7"/>
    </row>
    <row r="4409" spans="1:16">
      <c r="A4409" s="3">
        <v>43921.25782407407</v>
      </c>
      <c r="B4409" s="4" t="str">
        <f>HYPERLINK("https://twitter.com/petrogustavo","@petrogustavo")</f>
        <v>@petrogustavo</v>
      </c>
      <c r="C4409" s="5" t="s">
        <v>16</v>
      </c>
      <c r="D4409" s="5" t="s">
        <v>4325</v>
      </c>
      <c r="E4409" s="6" t="str">
        <f>HYPERLINK("https://twitter.com/petrogustavo/status/1244786806639525888","1244786806639525888")</f>
        <v>1244786806639525888</v>
      </c>
      <c r="F4409" s="7" t="s">
        <v>17</v>
      </c>
      <c r="G4409" s="7">
        <v>3728268</v>
      </c>
      <c r="H4409" s="7">
        <v>2373</v>
      </c>
      <c r="I4409" s="7">
        <v>66</v>
      </c>
      <c r="J4409" s="7">
        <v>88</v>
      </c>
      <c r="K4409" s="7" t="s">
        <v>18</v>
      </c>
      <c r="L4409" s="8">
        <v>39987.315405092595</v>
      </c>
      <c r="M4409" s="9" t="s">
        <v>19</v>
      </c>
      <c r="N4409" s="9" t="s">
        <v>20</v>
      </c>
      <c r="O4409" s="6" t="str">
        <f>HYPERLINK("https://pbs.twimg.com/profile_images/962471262747529216/Uo8lOkRJ_normal.jpg","View")</f>
        <v>View</v>
      </c>
      <c r="P4409" s="7"/>
    </row>
    <row r="4410" spans="1:16">
      <c r="A4410" s="3">
        <v>43921.26053240741</v>
      </c>
      <c r="B4410" s="4" t="str">
        <f>HYPERLINK("https://twitter.com/petrogustavo","@petrogustavo")</f>
        <v>@petrogustavo</v>
      </c>
      <c r="C4410" s="5" t="s">
        <v>16</v>
      </c>
      <c r="D4410" s="5" t="s">
        <v>4326</v>
      </c>
      <c r="E4410" s="6" t="str">
        <f>HYPERLINK("https://twitter.com/petrogustavo/status/1244787789603971074","1244787789603971074")</f>
        <v>1244787789603971074</v>
      </c>
      <c r="F4410" s="7" t="s">
        <v>17</v>
      </c>
      <c r="G4410" s="7">
        <v>3728268</v>
      </c>
      <c r="H4410" s="7">
        <v>2373</v>
      </c>
      <c r="I4410" s="7">
        <v>49</v>
      </c>
      <c r="J4410" s="7">
        <v>93</v>
      </c>
      <c r="K4410" s="7" t="s">
        <v>18</v>
      </c>
      <c r="L4410" s="8">
        <v>39987.315405092595</v>
      </c>
      <c r="M4410" s="9" t="s">
        <v>19</v>
      </c>
      <c r="N4410" s="9" t="s">
        <v>20</v>
      </c>
      <c r="O4410" s="6" t="str">
        <f>HYPERLINK("https://pbs.twimg.com/profile_images/962471262747529216/Uo8lOkRJ_normal.jpg","View")</f>
        <v>View</v>
      </c>
      <c r="P4410" s="7"/>
    </row>
    <row r="4411" spans="1:16">
      <c r="A4411" s="3">
        <v>43921.269328703704</v>
      </c>
      <c r="B4411" s="4" t="str">
        <f>HYPERLINK("https://twitter.com/petrogustavo","@petrogustavo")</f>
        <v>@petrogustavo</v>
      </c>
      <c r="C4411" s="5" t="s">
        <v>16</v>
      </c>
      <c r="D4411" s="5" t="s">
        <v>4327</v>
      </c>
      <c r="E4411" s="6" t="str">
        <f>HYPERLINK("https://twitter.com/petrogustavo/status/1244790976993988609","1244790976993988609")</f>
        <v>1244790976993988609</v>
      </c>
      <c r="F4411" s="7" t="s">
        <v>17</v>
      </c>
      <c r="G4411" s="7">
        <v>3728268</v>
      </c>
      <c r="H4411" s="7">
        <v>2373</v>
      </c>
      <c r="I4411" s="7">
        <v>43</v>
      </c>
      <c r="J4411" s="7">
        <v>88</v>
      </c>
      <c r="K4411" s="7" t="s">
        <v>18</v>
      </c>
      <c r="L4411" s="8">
        <v>39987.315405092595</v>
      </c>
      <c r="M4411" s="9" t="s">
        <v>19</v>
      </c>
      <c r="N4411" s="9" t="s">
        <v>20</v>
      </c>
      <c r="O4411" s="6" t="str">
        <f>HYPERLINK("https://pbs.twimg.com/profile_images/962471262747529216/Uo8lOkRJ_normal.jpg","View")</f>
        <v>View</v>
      </c>
      <c r="P4411" s="7"/>
    </row>
    <row r="4412" spans="1:16">
      <c r="A4412" s="3">
        <v>43921.358159722222</v>
      </c>
      <c r="B4412" s="4" t="str">
        <f>HYPERLINK("https://twitter.com/petrogustavo","@petrogustavo")</f>
        <v>@petrogustavo</v>
      </c>
      <c r="C4412" s="5" t="s">
        <v>16</v>
      </c>
      <c r="D4412" s="5" t="s">
        <v>4328</v>
      </c>
      <c r="E4412" s="6" t="str">
        <f>HYPERLINK("https://twitter.com/petrogustavo/status/1244823166113001473","1244823166113001473")</f>
        <v>1244823166113001473</v>
      </c>
      <c r="F4412" s="7" t="s">
        <v>32</v>
      </c>
      <c r="G4412" s="7">
        <v>3728558</v>
      </c>
      <c r="H4412" s="7">
        <v>2373</v>
      </c>
      <c r="I4412" s="7">
        <v>51</v>
      </c>
      <c r="J4412" s="7">
        <v>0</v>
      </c>
      <c r="K4412" s="7" t="s">
        <v>18</v>
      </c>
      <c r="L4412" s="8">
        <v>39987.315405092595</v>
      </c>
      <c r="M4412" s="9" t="s">
        <v>19</v>
      </c>
      <c r="N4412" s="9" t="s">
        <v>20</v>
      </c>
      <c r="O4412" s="6" t="str">
        <f>HYPERLINK("https://pbs.twimg.com/profile_images/962471262747529216/Uo8lOkRJ_normal.jpg","View")</f>
        <v>View</v>
      </c>
      <c r="P4412" s="7"/>
    </row>
    <row r="4413" spans="1:16">
      <c r="A4413" s="3">
        <v>43921.359398148154</v>
      </c>
      <c r="B4413" s="4" t="str">
        <f>HYPERLINK("https://twitter.com/petrogustavo","@petrogustavo")</f>
        <v>@petrogustavo</v>
      </c>
      <c r="C4413" s="5" t="s">
        <v>16</v>
      </c>
      <c r="D4413" s="5" t="s">
        <v>4329</v>
      </c>
      <c r="E4413" s="6" t="str">
        <f>HYPERLINK("https://twitter.com/petrogustavo/status/1244823614643470337","1244823614643470337")</f>
        <v>1244823614643470337</v>
      </c>
      <c r="F4413" s="7" t="s">
        <v>32</v>
      </c>
      <c r="G4413" s="7">
        <v>3728558</v>
      </c>
      <c r="H4413" s="7">
        <v>2373</v>
      </c>
      <c r="I4413" s="7">
        <v>129</v>
      </c>
      <c r="J4413" s="7">
        <v>0</v>
      </c>
      <c r="K4413" s="7" t="s">
        <v>18</v>
      </c>
      <c r="L4413" s="8">
        <v>39987.315405092595</v>
      </c>
      <c r="M4413" s="9" t="s">
        <v>19</v>
      </c>
      <c r="N4413" s="9" t="s">
        <v>20</v>
      </c>
      <c r="O4413" s="6" t="str">
        <f>HYPERLINK("https://pbs.twimg.com/profile_images/962471262747529216/Uo8lOkRJ_normal.jpg","View")</f>
        <v>View</v>
      </c>
      <c r="P4413" s="7"/>
    </row>
    <row r="4414" spans="1:16">
      <c r="A4414" s="3">
        <v>43921.359513888892</v>
      </c>
      <c r="B4414" s="4" t="str">
        <f>HYPERLINK("https://twitter.com/petrogustavo","@petrogustavo")</f>
        <v>@petrogustavo</v>
      </c>
      <c r="C4414" s="5" t="s">
        <v>16</v>
      </c>
      <c r="D4414" s="5" t="s">
        <v>4330</v>
      </c>
      <c r="E4414" s="6" t="str">
        <f>HYPERLINK("https://twitter.com/petrogustavo/status/1244823660344610818","1244823660344610818")</f>
        <v>1244823660344610818</v>
      </c>
      <c r="F4414" s="7" t="s">
        <v>32</v>
      </c>
      <c r="G4414" s="7">
        <v>3728558</v>
      </c>
      <c r="H4414" s="7">
        <v>2373</v>
      </c>
      <c r="I4414" s="7">
        <v>88</v>
      </c>
      <c r="J4414" s="7">
        <v>0</v>
      </c>
      <c r="K4414" s="7" t="s">
        <v>18</v>
      </c>
      <c r="L4414" s="8">
        <v>39987.315405092595</v>
      </c>
      <c r="M4414" s="9" t="s">
        <v>19</v>
      </c>
      <c r="N4414" s="9" t="s">
        <v>20</v>
      </c>
      <c r="O4414" s="6" t="str">
        <f>HYPERLINK("https://pbs.twimg.com/profile_images/962471262747529216/Uo8lOkRJ_normal.jpg","View")</f>
        <v>View</v>
      </c>
      <c r="P4414" s="7"/>
    </row>
    <row r="4415" spans="1:16">
      <c r="A4415" s="3">
        <v>43921.3596412037</v>
      </c>
      <c r="B4415" s="4" t="str">
        <f>HYPERLINK("https://twitter.com/petrogustavo","@petrogustavo")</f>
        <v>@petrogustavo</v>
      </c>
      <c r="C4415" s="5" t="s">
        <v>16</v>
      </c>
      <c r="D4415" s="5" t="s">
        <v>4331</v>
      </c>
      <c r="E4415" s="6" t="str">
        <f>HYPERLINK("https://twitter.com/petrogustavo/status/1244823706070913024","1244823706070913024")</f>
        <v>1244823706070913024</v>
      </c>
      <c r="F4415" s="7" t="s">
        <v>32</v>
      </c>
      <c r="G4415" s="7">
        <v>3728558</v>
      </c>
      <c r="H4415" s="7">
        <v>2373</v>
      </c>
      <c r="I4415" s="7">
        <v>113</v>
      </c>
      <c r="J4415" s="7">
        <v>0</v>
      </c>
      <c r="K4415" s="7" t="s">
        <v>18</v>
      </c>
      <c r="L4415" s="8">
        <v>39987.315405092595</v>
      </c>
      <c r="M4415" s="9" t="s">
        <v>19</v>
      </c>
      <c r="N4415" s="9" t="s">
        <v>20</v>
      </c>
      <c r="O4415" s="6" t="str">
        <f>HYPERLINK("https://pbs.twimg.com/profile_images/962471262747529216/Uo8lOkRJ_normal.jpg","View")</f>
        <v>View</v>
      </c>
      <c r="P4415" s="7"/>
    </row>
    <row r="4416" spans="1:16">
      <c r="A4416" s="3">
        <v>43921.35974537037</v>
      </c>
      <c r="B4416" s="4" t="str">
        <f>HYPERLINK("https://twitter.com/petrogustavo","@petrogustavo")</f>
        <v>@petrogustavo</v>
      </c>
      <c r="C4416" s="5" t="s">
        <v>16</v>
      </c>
      <c r="D4416" s="5" t="s">
        <v>4332</v>
      </c>
      <c r="E4416" s="6" t="str">
        <f>HYPERLINK("https://twitter.com/petrogustavo/status/1244823743186251776","1244823743186251776")</f>
        <v>1244823743186251776</v>
      </c>
      <c r="F4416" s="7" t="s">
        <v>32</v>
      </c>
      <c r="G4416" s="7">
        <v>3728558</v>
      </c>
      <c r="H4416" s="7">
        <v>2373</v>
      </c>
      <c r="I4416" s="7">
        <v>77</v>
      </c>
      <c r="J4416" s="7">
        <v>0</v>
      </c>
      <c r="K4416" s="7" t="s">
        <v>18</v>
      </c>
      <c r="L4416" s="8">
        <v>39987.315405092595</v>
      </c>
      <c r="M4416" s="9" t="s">
        <v>19</v>
      </c>
      <c r="N4416" s="9" t="s">
        <v>20</v>
      </c>
      <c r="O4416" s="6" t="str">
        <f>HYPERLINK("https://pbs.twimg.com/profile_images/962471262747529216/Uo8lOkRJ_normal.jpg","View")</f>
        <v>View</v>
      </c>
      <c r="P4416" s="7"/>
    </row>
    <row r="4417" spans="1:16">
      <c r="A4417" s="3">
        <v>43921.359837962962</v>
      </c>
      <c r="B4417" s="4" t="str">
        <f>HYPERLINK("https://twitter.com/petrogustavo","@petrogustavo")</f>
        <v>@petrogustavo</v>
      </c>
      <c r="C4417" s="5" t="s">
        <v>16</v>
      </c>
      <c r="D4417" s="5" t="s">
        <v>4333</v>
      </c>
      <c r="E4417" s="6" t="str">
        <f>HYPERLINK("https://twitter.com/petrogustavo/status/1244823777374023680","1244823777374023680")</f>
        <v>1244823777374023680</v>
      </c>
      <c r="F4417" s="7" t="s">
        <v>32</v>
      </c>
      <c r="G4417" s="7">
        <v>3728558</v>
      </c>
      <c r="H4417" s="7">
        <v>2373</v>
      </c>
      <c r="I4417" s="7">
        <v>59</v>
      </c>
      <c r="J4417" s="7">
        <v>0</v>
      </c>
      <c r="K4417" s="7" t="s">
        <v>18</v>
      </c>
      <c r="L4417" s="8">
        <v>39987.315405092595</v>
      </c>
      <c r="M4417" s="9" t="s">
        <v>19</v>
      </c>
      <c r="N4417" s="9" t="s">
        <v>20</v>
      </c>
      <c r="O4417" s="6" t="str">
        <f>HYPERLINK("https://pbs.twimg.com/profile_images/962471262747529216/Uo8lOkRJ_normal.jpg","View")</f>
        <v>View</v>
      </c>
      <c r="P4417" s="7"/>
    </row>
    <row r="4418" spans="1:16">
      <c r="A4418" s="3">
        <v>43921.359918981485</v>
      </c>
      <c r="B4418" s="4" t="str">
        <f>HYPERLINK("https://twitter.com/petrogustavo","@petrogustavo")</f>
        <v>@petrogustavo</v>
      </c>
      <c r="C4418" s="5" t="s">
        <v>16</v>
      </c>
      <c r="D4418" s="5" t="s">
        <v>4334</v>
      </c>
      <c r="E4418" s="6" t="str">
        <f>HYPERLINK("https://twitter.com/petrogustavo/status/1244823805647781889","1244823805647781889")</f>
        <v>1244823805647781889</v>
      </c>
      <c r="F4418" s="7" t="s">
        <v>32</v>
      </c>
      <c r="G4418" s="7">
        <v>3728558</v>
      </c>
      <c r="H4418" s="7">
        <v>2373</v>
      </c>
      <c r="I4418" s="7">
        <v>90</v>
      </c>
      <c r="J4418" s="7">
        <v>0</v>
      </c>
      <c r="K4418" s="7" t="s">
        <v>18</v>
      </c>
      <c r="L4418" s="8">
        <v>39987.315405092595</v>
      </c>
      <c r="M4418" s="9" t="s">
        <v>19</v>
      </c>
      <c r="N4418" s="9" t="s">
        <v>20</v>
      </c>
      <c r="O4418" s="6" t="str">
        <f>HYPERLINK("https://pbs.twimg.com/profile_images/962471262747529216/Uo8lOkRJ_normal.jpg","View")</f>
        <v>View</v>
      </c>
      <c r="P4418" s="7"/>
    </row>
    <row r="4419" spans="1:16">
      <c r="A4419" s="3">
        <v>43921.813761574071</v>
      </c>
      <c r="B4419" s="4" t="str">
        <f>HYPERLINK("https://twitter.com/petrogustavo","@petrogustavo")</f>
        <v>@petrogustavo</v>
      </c>
      <c r="C4419" s="5" t="s">
        <v>16</v>
      </c>
      <c r="D4419" s="5" t="s">
        <v>4335</v>
      </c>
      <c r="E4419" s="6" t="str">
        <f>HYPERLINK("https://twitter.com/petrogustavo/status/1244988270401986562","1244988270401986562")</f>
        <v>1244988270401986562</v>
      </c>
      <c r="F4419" s="7" t="s">
        <v>17</v>
      </c>
      <c r="G4419" s="7">
        <v>3729197</v>
      </c>
      <c r="H4419" s="7">
        <v>2372</v>
      </c>
      <c r="I4419" s="7">
        <v>5</v>
      </c>
      <c r="J4419" s="7">
        <v>18</v>
      </c>
      <c r="K4419" s="7" t="s">
        <v>18</v>
      </c>
      <c r="L4419" s="8">
        <v>39987.315405092595</v>
      </c>
      <c r="M4419" s="9" t="s">
        <v>19</v>
      </c>
      <c r="N4419" s="9" t="s">
        <v>20</v>
      </c>
      <c r="O4419" s="6" t="str">
        <f>HYPERLINK("https://pbs.twimg.com/profile_images/962471262747529216/Uo8lOkRJ_normal.jpg","View")</f>
        <v>View</v>
      </c>
      <c r="P4419" s="7"/>
    </row>
    <row r="4420" spans="1:16">
      <c r="A4420" s="3">
        <v>43921.818078703705</v>
      </c>
      <c r="B4420" s="4" t="str">
        <f>HYPERLINK("https://twitter.com/petrogustavo","@petrogustavo")</f>
        <v>@petrogustavo</v>
      </c>
      <c r="C4420" s="5" t="s">
        <v>16</v>
      </c>
      <c r="D4420" s="5" t="s">
        <v>4336</v>
      </c>
      <c r="E4420" s="6" t="str">
        <f>HYPERLINK("https://twitter.com/petrogustavo/status/1244989835917561856","1244989835917561856")</f>
        <v>1244989835917561856</v>
      </c>
      <c r="F4420" s="7" t="s">
        <v>17</v>
      </c>
      <c r="G4420" s="7">
        <v>3729270</v>
      </c>
      <c r="H4420" s="7">
        <v>2372</v>
      </c>
      <c r="I4420" s="7">
        <v>74</v>
      </c>
      <c r="J4420" s="7">
        <v>187</v>
      </c>
      <c r="K4420" s="7" t="s">
        <v>18</v>
      </c>
      <c r="L4420" s="8">
        <v>39987.315405092595</v>
      </c>
      <c r="M4420" s="9" t="s">
        <v>19</v>
      </c>
      <c r="N4420" s="9" t="s">
        <v>20</v>
      </c>
      <c r="O4420" s="6" t="str">
        <f>HYPERLINK("https://pbs.twimg.com/profile_images/962471262747529216/Uo8lOkRJ_normal.jpg","View")</f>
        <v>View</v>
      </c>
      <c r="P4420" s="7"/>
    </row>
    <row r="4421" spans="1:16">
      <c r="A4421" s="3">
        <v>43921.820266203707</v>
      </c>
      <c r="B4421" s="4" t="str">
        <f>HYPERLINK("https://twitter.com/petrogustavo","@petrogustavo")</f>
        <v>@petrogustavo</v>
      </c>
      <c r="C4421" s="5" t="s">
        <v>16</v>
      </c>
      <c r="D4421" s="5" t="s">
        <v>4337</v>
      </c>
      <c r="E4421" s="6" t="str">
        <f>HYPERLINK("https://twitter.com/petrogustavo/status/1244990628251021313","1244990628251021313")</f>
        <v>1244990628251021313</v>
      </c>
      <c r="F4421" s="7" t="s">
        <v>17</v>
      </c>
      <c r="G4421" s="7">
        <v>3729270</v>
      </c>
      <c r="H4421" s="7">
        <v>2372</v>
      </c>
      <c r="I4421" s="7">
        <v>95</v>
      </c>
      <c r="J4421" s="7">
        <v>192</v>
      </c>
      <c r="K4421" s="7" t="s">
        <v>18</v>
      </c>
      <c r="L4421" s="8">
        <v>39987.315405092595</v>
      </c>
      <c r="M4421" s="9" t="s">
        <v>19</v>
      </c>
      <c r="N4421" s="9" t="s">
        <v>20</v>
      </c>
      <c r="O4421" s="6" t="str">
        <f>HYPERLINK("https://pbs.twimg.com/profile_images/962471262747529216/Uo8lOkRJ_normal.jpg","View")</f>
        <v>View</v>
      </c>
      <c r="P4421" s="7"/>
    </row>
    <row r="4422" spans="1:16">
      <c r="A4422" s="3">
        <v>43921.82331018518</v>
      </c>
      <c r="B4422" s="4" t="str">
        <f>HYPERLINK("https://twitter.com/petrogustavo","@petrogustavo")</f>
        <v>@petrogustavo</v>
      </c>
      <c r="C4422" s="5" t="s">
        <v>16</v>
      </c>
      <c r="D4422" s="5" t="s">
        <v>4338</v>
      </c>
      <c r="E4422" s="6" t="str">
        <f>HYPERLINK("https://twitter.com/petrogustavo/status/1244991732573442054","1244991732573442054")</f>
        <v>1244991732573442054</v>
      </c>
      <c r="F4422" s="7" t="s">
        <v>17</v>
      </c>
      <c r="G4422" s="7">
        <v>3729270</v>
      </c>
      <c r="H4422" s="7">
        <v>2372</v>
      </c>
      <c r="I4422" s="7">
        <v>61</v>
      </c>
      <c r="J4422" s="7">
        <v>141</v>
      </c>
      <c r="K4422" s="7" t="s">
        <v>18</v>
      </c>
      <c r="L4422" s="8">
        <v>39987.315405092595</v>
      </c>
      <c r="M4422" s="9" t="s">
        <v>19</v>
      </c>
      <c r="N4422" s="9" t="s">
        <v>20</v>
      </c>
      <c r="O4422" s="6" t="str">
        <f>HYPERLINK("https://pbs.twimg.com/profile_images/962471262747529216/Uo8lOkRJ_normal.jpg","View")</f>
        <v>View</v>
      </c>
      <c r="P4422" s="7"/>
    </row>
    <row r="4423" spans="1:16">
      <c r="A4423" s="3">
        <v>43921.837430555555</v>
      </c>
      <c r="B4423" s="4" t="str">
        <f>HYPERLINK("https://twitter.com/petrogustavo","@petrogustavo")</f>
        <v>@petrogustavo</v>
      </c>
      <c r="C4423" s="5" t="s">
        <v>16</v>
      </c>
      <c r="D4423" s="5" t="s">
        <v>4339</v>
      </c>
      <c r="E4423" s="6" t="str">
        <f>HYPERLINK("https://twitter.com/petrogustavo/status/1244996849397874688","1244996849397874688")</f>
        <v>1244996849397874688</v>
      </c>
      <c r="F4423" s="7" t="s">
        <v>17</v>
      </c>
      <c r="G4423" s="7">
        <v>3729337</v>
      </c>
      <c r="H4423" s="7">
        <v>2372</v>
      </c>
      <c r="I4423" s="7">
        <v>141</v>
      </c>
      <c r="J4423" s="7">
        <v>328</v>
      </c>
      <c r="K4423" s="7" t="s">
        <v>18</v>
      </c>
      <c r="L4423" s="8">
        <v>39987.315405092595</v>
      </c>
      <c r="M4423" s="9" t="s">
        <v>19</v>
      </c>
      <c r="N4423" s="9" t="s">
        <v>20</v>
      </c>
      <c r="O4423" s="6" t="str">
        <f>HYPERLINK("https://pbs.twimg.com/profile_images/962471262747529216/Uo8lOkRJ_normal.jpg","View")</f>
        <v>View</v>
      </c>
      <c r="P4423" s="7"/>
    </row>
    <row r="4424" spans="1:16">
      <c r="A4424" s="3">
        <v>43921.880601851852</v>
      </c>
      <c r="B4424" s="4" t="str">
        <f>HYPERLINK("https://twitter.com/petrogustavo","@petrogustavo")</f>
        <v>@petrogustavo</v>
      </c>
      <c r="C4424" s="5" t="s">
        <v>16</v>
      </c>
      <c r="D4424" s="5" t="s">
        <v>4340</v>
      </c>
      <c r="E4424" s="6" t="str">
        <f>HYPERLINK("https://twitter.com/petrogustavo/status/1245012492566265862","1245012492566265862")</f>
        <v>1245012492566265862</v>
      </c>
      <c r="F4424" s="7" t="s">
        <v>17</v>
      </c>
      <c r="G4424" s="7">
        <v>3729482</v>
      </c>
      <c r="H4424" s="7">
        <v>2373</v>
      </c>
      <c r="I4424" s="7">
        <v>58</v>
      </c>
      <c r="J4424" s="7">
        <v>112</v>
      </c>
      <c r="K4424" s="7" t="s">
        <v>18</v>
      </c>
      <c r="L4424" s="8">
        <v>39987.315405092595</v>
      </c>
      <c r="M4424" s="9" t="s">
        <v>19</v>
      </c>
      <c r="N4424" s="9" t="s">
        <v>20</v>
      </c>
      <c r="O4424" s="6" t="str">
        <f>HYPERLINK("https://pbs.twimg.com/profile_images/962471262747529216/Uo8lOkRJ_normal.jpg","View")</f>
        <v>View</v>
      </c>
      <c r="P4424" s="7"/>
    </row>
    <row r="4425" spans="1:16">
      <c r="A4425" s="3">
        <v>43921.880601851852</v>
      </c>
      <c r="B4425" s="4" t="str">
        <f>HYPERLINK("https://twitter.com/petrogustavo","@petrogustavo")</f>
        <v>@petrogustavo</v>
      </c>
      <c r="C4425" s="5" t="s">
        <v>16</v>
      </c>
      <c r="D4425" s="5" t="s">
        <v>4341</v>
      </c>
      <c r="E4425" s="6" t="str">
        <f>HYPERLINK("https://twitter.com/petrogustavo/status/1245012495233843201","1245012495233843201")</f>
        <v>1245012495233843201</v>
      </c>
      <c r="F4425" s="7" t="s">
        <v>17</v>
      </c>
      <c r="G4425" s="7">
        <v>3729482</v>
      </c>
      <c r="H4425" s="7">
        <v>2373</v>
      </c>
      <c r="I4425" s="7">
        <v>32</v>
      </c>
      <c r="J4425" s="7">
        <v>66</v>
      </c>
      <c r="K4425" s="7" t="s">
        <v>18</v>
      </c>
      <c r="L4425" s="8">
        <v>39987.315405092595</v>
      </c>
      <c r="M4425" s="9" t="s">
        <v>19</v>
      </c>
      <c r="N4425" s="9" t="s">
        <v>20</v>
      </c>
      <c r="O4425" s="6" t="str">
        <f>HYPERLINK("https://pbs.twimg.com/profile_images/962471262747529216/Uo8lOkRJ_normal.jpg","View")</f>
        <v>View</v>
      </c>
      <c r="P4425" s="7"/>
    </row>
    <row r="4426" spans="1:16">
      <c r="A4426" s="3">
        <v>43921.880625000005</v>
      </c>
      <c r="B4426" s="4" t="str">
        <f>HYPERLINK("https://twitter.com/petrogustavo","@petrogustavo")</f>
        <v>@petrogustavo</v>
      </c>
      <c r="C4426" s="5" t="s">
        <v>16</v>
      </c>
      <c r="D4426" s="5" t="s">
        <v>4342</v>
      </c>
      <c r="E4426" s="6" t="str">
        <f>HYPERLINK("https://twitter.com/petrogustavo/status/1245012502972444681","1245012502972444681")</f>
        <v>1245012502972444681</v>
      </c>
      <c r="F4426" s="7" t="s">
        <v>17</v>
      </c>
      <c r="G4426" s="7">
        <v>3729482</v>
      </c>
      <c r="H4426" s="7">
        <v>2373</v>
      </c>
      <c r="I4426" s="7">
        <v>36</v>
      </c>
      <c r="J4426" s="7">
        <v>70</v>
      </c>
      <c r="K4426" s="7" t="s">
        <v>18</v>
      </c>
      <c r="L4426" s="8">
        <v>39987.315405092595</v>
      </c>
      <c r="M4426" s="9" t="s">
        <v>19</v>
      </c>
      <c r="N4426" s="9" t="s">
        <v>20</v>
      </c>
      <c r="O4426" s="6" t="str">
        <f>HYPERLINK("https://pbs.twimg.com/profile_images/962471262747529216/Uo8lOkRJ_normal.jpg","View")</f>
        <v>View</v>
      </c>
      <c r="P4426" s="7"/>
    </row>
    <row r="4427" spans="1:16">
      <c r="A4427" s="3">
        <v>43921.880729166667</v>
      </c>
      <c r="B4427" s="4" t="str">
        <f>HYPERLINK("https://twitter.com/petrogustavo","@petrogustavo")</f>
        <v>@petrogustavo</v>
      </c>
      <c r="C4427" s="5" t="s">
        <v>16</v>
      </c>
      <c r="D4427" s="5" t="s">
        <v>4343</v>
      </c>
      <c r="E4427" s="6" t="str">
        <f>HYPERLINK("https://twitter.com/petrogustavo/status/1245012539748036610","1245012539748036610")</f>
        <v>1245012539748036610</v>
      </c>
      <c r="F4427" s="7" t="s">
        <v>17</v>
      </c>
      <c r="G4427" s="7">
        <v>3729482</v>
      </c>
      <c r="H4427" s="7">
        <v>2373</v>
      </c>
      <c r="I4427" s="7">
        <v>337</v>
      </c>
      <c r="J4427" s="7">
        <v>0</v>
      </c>
      <c r="K4427" s="7" t="s">
        <v>18</v>
      </c>
      <c r="L4427" s="8">
        <v>39987.315405092595</v>
      </c>
      <c r="M4427" s="9" t="s">
        <v>19</v>
      </c>
      <c r="N4427" s="9" t="s">
        <v>20</v>
      </c>
      <c r="O4427" s="6" t="str">
        <f>HYPERLINK("https://pbs.twimg.com/profile_images/962471262747529216/Uo8lOkRJ_normal.jpg","View")</f>
        <v>View</v>
      </c>
      <c r="P4427" s="7"/>
    </row>
    <row r="4428" spans="1:16">
      <c r="A4428" s="3">
        <v>43921.906099537038</v>
      </c>
      <c r="B4428" s="4" t="str">
        <f>HYPERLINK("https://twitter.com/petrogustavo","@petrogustavo")</f>
        <v>@petrogustavo</v>
      </c>
      <c r="C4428" s="5" t="s">
        <v>16</v>
      </c>
      <c r="D4428" s="5" t="s">
        <v>4344</v>
      </c>
      <c r="E4428" s="6" t="str">
        <f>HYPERLINK("https://twitter.com/petrogustavo/status/1245021733880545280","1245021733880545280")</f>
        <v>1245021733880545280</v>
      </c>
      <c r="F4428" s="7" t="s">
        <v>17</v>
      </c>
      <c r="G4428" s="7">
        <v>3729562</v>
      </c>
      <c r="H4428" s="7">
        <v>2373</v>
      </c>
      <c r="I4428" s="7">
        <v>99</v>
      </c>
      <c r="J4428" s="7">
        <v>230</v>
      </c>
      <c r="K4428" s="7" t="s">
        <v>18</v>
      </c>
      <c r="L4428" s="8">
        <v>39987.315405092595</v>
      </c>
      <c r="M4428" s="9" t="s">
        <v>19</v>
      </c>
      <c r="N4428" s="9" t="s">
        <v>20</v>
      </c>
      <c r="O4428" s="6" t="str">
        <f>HYPERLINK("https://pbs.twimg.com/profile_images/962471262747529216/Uo8lOkRJ_normal.jpg","View")</f>
        <v>View</v>
      </c>
      <c r="P4428" s="7"/>
    </row>
    <row r="4429" spans="1:16">
      <c r="A4429" s="3">
        <v>43921.91305555556</v>
      </c>
      <c r="B4429" s="4" t="str">
        <f>HYPERLINK("https://twitter.com/petrogustavo","@petrogustavo")</f>
        <v>@petrogustavo</v>
      </c>
      <c r="C4429" s="5" t="s">
        <v>16</v>
      </c>
      <c r="D4429" s="5" t="s">
        <v>4345</v>
      </c>
      <c r="E4429" s="6" t="str">
        <f>HYPERLINK("https://twitter.com/petrogustavo/status/1245024255378685953","1245024255378685953")</f>
        <v>1245024255378685953</v>
      </c>
      <c r="F4429" s="7" t="s">
        <v>17</v>
      </c>
      <c r="G4429" s="7">
        <v>3729562</v>
      </c>
      <c r="H4429" s="7">
        <v>2373</v>
      </c>
      <c r="I4429" s="7">
        <v>77</v>
      </c>
      <c r="J4429" s="7">
        <v>154</v>
      </c>
      <c r="K4429" s="7" t="s">
        <v>18</v>
      </c>
      <c r="L4429" s="8">
        <v>39987.315405092595</v>
      </c>
      <c r="M4429" s="9" t="s">
        <v>19</v>
      </c>
      <c r="N4429" s="9" t="s">
        <v>20</v>
      </c>
      <c r="O4429" s="6" t="str">
        <f>HYPERLINK("https://pbs.twimg.com/profile_images/962471262747529216/Uo8lOkRJ_normal.jpg","View")</f>
        <v>View</v>
      </c>
      <c r="P4429" s="7"/>
    </row>
    <row r="4430" spans="1:16">
      <c r="A4430" s="3">
        <v>43921.936851851853</v>
      </c>
      <c r="B4430" s="4" t="str">
        <f>HYPERLINK("https://twitter.com/petrogustavo","@petrogustavo")</f>
        <v>@petrogustavo</v>
      </c>
      <c r="C4430" s="5" t="s">
        <v>16</v>
      </c>
      <c r="D4430" s="5" t="s">
        <v>4343</v>
      </c>
      <c r="E4430" s="6" t="str">
        <f>HYPERLINK("https://twitter.com/petrogustavo/status/1245032876846075904","1245032876846075904")</f>
        <v>1245032876846075904</v>
      </c>
      <c r="F4430" s="7" t="s">
        <v>17</v>
      </c>
      <c r="G4430" s="7">
        <v>3729658</v>
      </c>
      <c r="H4430" s="7">
        <v>2373</v>
      </c>
      <c r="I4430" s="7">
        <v>467</v>
      </c>
      <c r="J4430" s="7">
        <v>0</v>
      </c>
      <c r="K4430" s="7" t="s">
        <v>18</v>
      </c>
      <c r="L4430" s="8">
        <v>39987.315405092595</v>
      </c>
      <c r="M4430" s="9" t="s">
        <v>19</v>
      </c>
      <c r="N4430" s="9" t="s">
        <v>20</v>
      </c>
      <c r="O4430" s="6" t="str">
        <f>HYPERLINK("https://pbs.twimg.com/profile_images/962471262747529216/Uo8lOkRJ_normal.jpg","View")</f>
        <v>View</v>
      </c>
      <c r="P4430" s="7"/>
    </row>
    <row r="4431" spans="1:16">
      <c r="A4431" s="3">
        <v>43921.94430555556</v>
      </c>
      <c r="B4431" s="4" t="str">
        <f>HYPERLINK("https://twitter.com/petrogustavo","@petrogustavo")</f>
        <v>@petrogustavo</v>
      </c>
      <c r="C4431" s="5" t="s">
        <v>16</v>
      </c>
      <c r="D4431" s="5" t="s">
        <v>4346</v>
      </c>
      <c r="E4431" s="6" t="str">
        <f>HYPERLINK("https://twitter.com/petrogustavo/status/1245035578636283904","1245035578636283904")</f>
        <v>1245035578636283904</v>
      </c>
      <c r="F4431" s="7" t="s">
        <v>17</v>
      </c>
      <c r="G4431" s="7">
        <v>3729730</v>
      </c>
      <c r="H4431" s="7">
        <v>2373</v>
      </c>
      <c r="I4431" s="7">
        <v>21</v>
      </c>
      <c r="J4431" s="7">
        <v>0</v>
      </c>
      <c r="K4431" s="7" t="s">
        <v>18</v>
      </c>
      <c r="L4431" s="8">
        <v>39987.315405092595</v>
      </c>
      <c r="M4431" s="9" t="s">
        <v>19</v>
      </c>
      <c r="N4431" s="9" t="s">
        <v>20</v>
      </c>
      <c r="O4431" s="6" t="str">
        <f>HYPERLINK("https://pbs.twimg.com/profile_images/962471262747529216/Uo8lOkRJ_normal.jpg","View")</f>
        <v>View</v>
      </c>
      <c r="P4431" s="7"/>
    </row>
    <row r="4432" spans="1:16">
      <c r="A4432" s="3">
        <v>43921.947592592594</v>
      </c>
      <c r="B4432" s="4" t="str">
        <f>HYPERLINK("https://twitter.com/petrogustavo","@petrogustavo")</f>
        <v>@petrogustavo</v>
      </c>
      <c r="C4432" s="5" t="s">
        <v>16</v>
      </c>
      <c r="D4432" s="5" t="s">
        <v>4347</v>
      </c>
      <c r="E4432" s="6" t="str">
        <f>HYPERLINK("https://twitter.com/petrogustavo/status/1245036769663475712","1245036769663475712")</f>
        <v>1245036769663475712</v>
      </c>
      <c r="F4432" s="7" t="s">
        <v>17</v>
      </c>
      <c r="G4432" s="7">
        <v>3729730</v>
      </c>
      <c r="H4432" s="7">
        <v>2373</v>
      </c>
      <c r="I4432" s="7">
        <v>275</v>
      </c>
      <c r="J4432" s="7">
        <v>724</v>
      </c>
      <c r="K4432" s="7" t="s">
        <v>18</v>
      </c>
      <c r="L4432" s="8">
        <v>39987.315405092595</v>
      </c>
      <c r="M4432" s="9" t="s">
        <v>19</v>
      </c>
      <c r="N4432" s="9" t="s">
        <v>20</v>
      </c>
      <c r="O4432" s="6" t="str">
        <f>HYPERLINK("https://pbs.twimg.com/profile_images/962471262747529216/Uo8lOkRJ_normal.jpg","View")</f>
        <v>View</v>
      </c>
      <c r="P4432" s="7"/>
    </row>
    <row r="4433" spans="1:16">
      <c r="A4433" s="3">
        <v>43921.94940972222</v>
      </c>
      <c r="B4433" s="4" t="str">
        <f>HYPERLINK("https://twitter.com/petrogustavo","@petrogustavo")</f>
        <v>@petrogustavo</v>
      </c>
      <c r="C4433" s="5" t="s">
        <v>16</v>
      </c>
      <c r="D4433" s="5" t="s">
        <v>4348</v>
      </c>
      <c r="E4433" s="6" t="str">
        <f>HYPERLINK("https://twitter.com/petrogustavo/status/1245037429419114498","1245037429419114498")</f>
        <v>1245037429419114498</v>
      </c>
      <c r="F4433" s="7" t="s">
        <v>17</v>
      </c>
      <c r="G4433" s="7">
        <v>3729730</v>
      </c>
      <c r="H4433" s="7">
        <v>2373</v>
      </c>
      <c r="I4433" s="7">
        <v>282</v>
      </c>
      <c r="J4433" s="7">
        <v>0</v>
      </c>
      <c r="K4433" s="7" t="s">
        <v>18</v>
      </c>
      <c r="L4433" s="8">
        <v>39987.315405092595</v>
      </c>
      <c r="M4433" s="9" t="s">
        <v>19</v>
      </c>
      <c r="N4433" s="9" t="s">
        <v>20</v>
      </c>
      <c r="O4433" s="6" t="str">
        <f>HYPERLINK("https://pbs.twimg.com/profile_images/962471262747529216/Uo8lOkRJ_normal.jpg","View")</f>
        <v>View</v>
      </c>
      <c r="P4433" s="7"/>
    </row>
    <row r="4434" spans="1:16">
      <c r="A4434" s="3">
        <v>43921.951562499999</v>
      </c>
      <c r="B4434" s="4" t="str">
        <f>HYPERLINK("https://twitter.com/petrogustavo","@petrogustavo")</f>
        <v>@petrogustavo</v>
      </c>
      <c r="C4434" s="5" t="s">
        <v>16</v>
      </c>
      <c r="D4434" s="5" t="s">
        <v>4349</v>
      </c>
      <c r="E4434" s="6" t="str">
        <f>HYPERLINK("https://twitter.com/petrogustavo/status/1245038209618317314","1245038209618317314")</f>
        <v>1245038209618317314</v>
      </c>
      <c r="F4434" s="7" t="s">
        <v>17</v>
      </c>
      <c r="G4434" s="7">
        <v>3729730</v>
      </c>
      <c r="H4434" s="7">
        <v>2373</v>
      </c>
      <c r="I4434" s="7">
        <v>54</v>
      </c>
      <c r="J4434" s="7">
        <v>165</v>
      </c>
      <c r="K4434" s="7" t="s">
        <v>18</v>
      </c>
      <c r="L4434" s="8">
        <v>39987.315405092595</v>
      </c>
      <c r="M4434" s="9" t="s">
        <v>19</v>
      </c>
      <c r="N4434" s="9" t="s">
        <v>20</v>
      </c>
      <c r="O4434" s="6" t="str">
        <f>HYPERLINK("https://pbs.twimg.com/profile_images/962471262747529216/Uo8lOkRJ_normal.jpg","View")</f>
        <v>View</v>
      </c>
      <c r="P4434" s="7"/>
    </row>
    <row r="4435" spans="1:16">
      <c r="A4435" s="3">
        <v>43921.955763888887</v>
      </c>
      <c r="B4435" s="4" t="str">
        <f>HYPERLINK("https://twitter.com/petrogustavo","@petrogustavo")</f>
        <v>@petrogustavo</v>
      </c>
      <c r="C4435" s="5" t="s">
        <v>16</v>
      </c>
      <c r="D4435" s="5" t="s">
        <v>4350</v>
      </c>
      <c r="E4435" s="6" t="str">
        <f>HYPERLINK("https://twitter.com/petrogustavo/status/1245039732154929154","1245039732154929154")</f>
        <v>1245039732154929154</v>
      </c>
      <c r="F4435" s="7" t="s">
        <v>17</v>
      </c>
      <c r="G4435" s="7">
        <v>3729730</v>
      </c>
      <c r="H4435" s="7">
        <v>2373</v>
      </c>
      <c r="I4435" s="7">
        <v>28</v>
      </c>
      <c r="J4435" s="7">
        <v>71</v>
      </c>
      <c r="K4435" s="7" t="s">
        <v>18</v>
      </c>
      <c r="L4435" s="8">
        <v>39987.315405092595</v>
      </c>
      <c r="M4435" s="9" t="s">
        <v>19</v>
      </c>
      <c r="N4435" s="9" t="s">
        <v>20</v>
      </c>
      <c r="O4435" s="6" t="str">
        <f>HYPERLINK("https://pbs.twimg.com/profile_images/962471262747529216/Uo8lOkRJ_normal.jpg","View")</f>
        <v>View</v>
      </c>
      <c r="P4435" s="7"/>
    </row>
    <row r="4436" spans="1:16">
      <c r="A4436" s="3">
        <v>43921.956099537041</v>
      </c>
      <c r="B4436" s="4" t="str">
        <f>HYPERLINK("https://twitter.com/petrogustavo","@petrogustavo")</f>
        <v>@petrogustavo</v>
      </c>
      <c r="C4436" s="5" t="s">
        <v>16</v>
      </c>
      <c r="D4436" s="5" t="s">
        <v>4351</v>
      </c>
      <c r="E4436" s="6" t="str">
        <f>HYPERLINK("https://twitter.com/petrogustavo/status/1245039855467409409","1245039855467409409")</f>
        <v>1245039855467409409</v>
      </c>
      <c r="F4436" s="7" t="s">
        <v>17</v>
      </c>
      <c r="G4436" s="7">
        <v>3729730</v>
      </c>
      <c r="H4436" s="7">
        <v>2373</v>
      </c>
      <c r="I4436" s="7">
        <v>11</v>
      </c>
      <c r="J4436" s="7">
        <v>0</v>
      </c>
      <c r="K4436" s="7" t="s">
        <v>18</v>
      </c>
      <c r="L4436" s="8">
        <v>39987.315405092595</v>
      </c>
      <c r="M4436" s="9" t="s">
        <v>19</v>
      </c>
      <c r="N4436" s="9" t="s">
        <v>20</v>
      </c>
      <c r="O4436" s="6" t="str">
        <f>HYPERLINK("https://pbs.twimg.com/profile_images/962471262747529216/Uo8lOkRJ_normal.jpg","View")</f>
        <v>View</v>
      </c>
      <c r="P4436" s="7"/>
    </row>
    <row r="4437" spans="1:16">
      <c r="A4437" s="3">
        <v>43921.957013888888</v>
      </c>
      <c r="B4437" s="4" t="str">
        <f>HYPERLINK("https://twitter.com/petrogustavo","@petrogustavo")</f>
        <v>@petrogustavo</v>
      </c>
      <c r="C4437" s="5" t="s">
        <v>16</v>
      </c>
      <c r="D4437" s="5" t="s">
        <v>4352</v>
      </c>
      <c r="E4437" s="6" t="str">
        <f>HYPERLINK("https://twitter.com/petrogustavo/status/1245040184414044161","1245040184414044161")</f>
        <v>1245040184414044161</v>
      </c>
      <c r="F4437" s="7" t="s">
        <v>17</v>
      </c>
      <c r="G4437" s="7">
        <v>3729730</v>
      </c>
      <c r="H4437" s="7">
        <v>2373</v>
      </c>
      <c r="I4437" s="7">
        <v>12</v>
      </c>
      <c r="J4437" s="7">
        <v>40</v>
      </c>
      <c r="K4437" s="7" t="s">
        <v>18</v>
      </c>
      <c r="L4437" s="8">
        <v>39987.315405092595</v>
      </c>
      <c r="M4437" s="9" t="s">
        <v>19</v>
      </c>
      <c r="N4437" s="9" t="s">
        <v>20</v>
      </c>
      <c r="O4437" s="6" t="str">
        <f>HYPERLINK("https://pbs.twimg.com/profile_images/962471262747529216/Uo8lOkRJ_normal.jpg","View")</f>
        <v>View</v>
      </c>
      <c r="P4437" s="7"/>
    </row>
    <row r="4438" spans="1:16">
      <c r="A4438" s="3">
        <v>43921.957696759258</v>
      </c>
      <c r="B4438" s="4" t="str">
        <f>HYPERLINK("https://twitter.com/petrogustavo","@petrogustavo")</f>
        <v>@petrogustavo</v>
      </c>
      <c r="C4438" s="5" t="s">
        <v>16</v>
      </c>
      <c r="D4438" s="5" t="s">
        <v>4353</v>
      </c>
      <c r="E4438" s="6" t="str">
        <f>HYPERLINK("https://twitter.com/petrogustavo/status/1245040433392164864","1245040433392164864")</f>
        <v>1245040433392164864</v>
      </c>
      <c r="F4438" s="7" t="s">
        <v>17</v>
      </c>
      <c r="G4438" s="7">
        <v>3729730</v>
      </c>
      <c r="H4438" s="7">
        <v>2373</v>
      </c>
      <c r="I4438" s="7">
        <v>28</v>
      </c>
      <c r="J4438" s="7">
        <v>0</v>
      </c>
      <c r="K4438" s="7" t="s">
        <v>18</v>
      </c>
      <c r="L4438" s="8">
        <v>39987.315405092595</v>
      </c>
      <c r="M4438" s="9" t="s">
        <v>19</v>
      </c>
      <c r="N4438" s="9" t="s">
        <v>20</v>
      </c>
      <c r="O4438" s="6" t="str">
        <f>HYPERLINK("https://pbs.twimg.com/profile_images/962471262747529216/Uo8lOkRJ_normal.jpg","View")</f>
        <v>View</v>
      </c>
      <c r="P4438" s="7"/>
    </row>
    <row r="4439" spans="1:16">
      <c r="A4439" s="3">
        <v>43921.957928240736</v>
      </c>
      <c r="B4439" s="4" t="str">
        <f>HYPERLINK("https://twitter.com/petrogustavo","@petrogustavo")</f>
        <v>@petrogustavo</v>
      </c>
      <c r="C4439" s="5" t="s">
        <v>16</v>
      </c>
      <c r="D4439" s="5" t="s">
        <v>4354</v>
      </c>
      <c r="E4439" s="6" t="str">
        <f>HYPERLINK("https://twitter.com/petrogustavo/status/1245040515822817280","1245040515822817280")</f>
        <v>1245040515822817280</v>
      </c>
      <c r="F4439" s="7" t="s">
        <v>17</v>
      </c>
      <c r="G4439" s="7">
        <v>3729730</v>
      </c>
      <c r="H4439" s="7">
        <v>2373</v>
      </c>
      <c r="I4439" s="7">
        <v>275</v>
      </c>
      <c r="J4439" s="7">
        <v>0</v>
      </c>
      <c r="K4439" s="7" t="s">
        <v>18</v>
      </c>
      <c r="L4439" s="8">
        <v>39987.315405092595</v>
      </c>
      <c r="M4439" s="9" t="s">
        <v>19</v>
      </c>
      <c r="N4439" s="9" t="s">
        <v>20</v>
      </c>
      <c r="O4439" s="6" t="str">
        <f>HYPERLINK("https://pbs.twimg.com/profile_images/962471262747529216/Uo8lOkRJ_normal.jpg","View")</f>
        <v>View</v>
      </c>
      <c r="P4439" s="7"/>
    </row>
    <row r="4440" spans="1:16">
      <c r="A4440" s="3">
        <v>43921.962106481486</v>
      </c>
      <c r="B4440" s="4" t="str">
        <f>HYPERLINK("https://twitter.com/petrogustavo","@petrogustavo")</f>
        <v>@petrogustavo</v>
      </c>
      <c r="C4440" s="5" t="s">
        <v>16</v>
      </c>
      <c r="D4440" s="5" t="s">
        <v>4355</v>
      </c>
      <c r="E4440" s="6" t="str">
        <f>HYPERLINK("https://twitter.com/petrogustavo/status/1245042030016856067","1245042030016856067")</f>
        <v>1245042030016856067</v>
      </c>
      <c r="F4440" s="7" t="s">
        <v>17</v>
      </c>
      <c r="G4440" s="7">
        <v>3729788</v>
      </c>
      <c r="H4440" s="7">
        <v>2373</v>
      </c>
      <c r="I4440" s="7">
        <v>96</v>
      </c>
      <c r="J4440" s="7">
        <v>281</v>
      </c>
      <c r="K4440" s="7" t="s">
        <v>18</v>
      </c>
      <c r="L4440" s="8">
        <v>39987.315405092595</v>
      </c>
      <c r="M4440" s="9" t="s">
        <v>19</v>
      </c>
      <c r="N4440" s="9" t="s">
        <v>20</v>
      </c>
      <c r="O4440" s="6" t="str">
        <f>HYPERLINK("https://pbs.twimg.com/profile_images/962471262747529216/Uo8lOkRJ_normal.jpg","View")</f>
        <v>View</v>
      </c>
      <c r="P4440" s="7"/>
    </row>
    <row r="4441" spans="1:16">
      <c r="A4441" s="3">
        <v>43921.973750000005</v>
      </c>
      <c r="B4441" s="4" t="str">
        <f>HYPERLINK("https://twitter.com/petrogustavo","@petrogustavo")</f>
        <v>@petrogustavo</v>
      </c>
      <c r="C4441" s="5" t="s">
        <v>16</v>
      </c>
      <c r="D4441" s="5" t="s">
        <v>4356</v>
      </c>
      <c r="E4441" s="6" t="str">
        <f>HYPERLINK("https://twitter.com/petrogustavo/status/1245046249486782466","1245046249486782466")</f>
        <v>1245046249486782466</v>
      </c>
      <c r="F4441" s="7" t="s">
        <v>17</v>
      </c>
      <c r="G4441" s="7">
        <v>3729788</v>
      </c>
      <c r="H4441" s="7">
        <v>2373</v>
      </c>
      <c r="I4441" s="7">
        <v>80</v>
      </c>
      <c r="J4441" s="7">
        <v>190</v>
      </c>
      <c r="K4441" s="7" t="s">
        <v>18</v>
      </c>
      <c r="L4441" s="8">
        <v>39987.315405092595</v>
      </c>
      <c r="M4441" s="9" t="s">
        <v>19</v>
      </c>
      <c r="N4441" s="9" t="s">
        <v>20</v>
      </c>
      <c r="O4441" s="6" t="str">
        <f>HYPERLINK("https://pbs.twimg.com/profile_images/962471262747529216/Uo8lOkRJ_normal.jpg","View")</f>
        <v>View</v>
      </c>
      <c r="P4441" s="7"/>
    </row>
    <row r="4442" spans="1:16">
      <c r="A4442" s="3">
        <v>43921.979432870372</v>
      </c>
      <c r="B4442" s="4" t="str">
        <f>HYPERLINK("https://twitter.com/petrogustavo","@petrogustavo")</f>
        <v>@petrogustavo</v>
      </c>
      <c r="C4442" s="5" t="s">
        <v>16</v>
      </c>
      <c r="D4442" s="5" t="s">
        <v>4357</v>
      </c>
      <c r="E4442" s="6" t="str">
        <f>HYPERLINK("https://twitter.com/petrogustavo/status/1245048307606487041","1245048307606487041")</f>
        <v>1245048307606487041</v>
      </c>
      <c r="F4442" s="7" t="s">
        <v>17</v>
      </c>
      <c r="G4442" s="7">
        <v>3729788</v>
      </c>
      <c r="H4442" s="7">
        <v>2373</v>
      </c>
      <c r="I4442" s="7">
        <v>8</v>
      </c>
      <c r="J4442" s="7">
        <v>11</v>
      </c>
      <c r="K4442" s="7" t="s">
        <v>18</v>
      </c>
      <c r="L4442" s="8">
        <v>39987.315405092595</v>
      </c>
      <c r="M4442" s="9" t="s">
        <v>19</v>
      </c>
      <c r="N4442" s="9" t="s">
        <v>20</v>
      </c>
      <c r="O4442" s="6" t="str">
        <f>HYPERLINK("https://pbs.twimg.com/profile_images/962471262747529216/Uo8lOkRJ_normal.jpg","View")</f>
        <v>View</v>
      </c>
      <c r="P4442" s="7"/>
    </row>
    <row r="4443" spans="1:16">
      <c r="A4443" s="3">
        <v>43922.0471412037</v>
      </c>
      <c r="B4443" s="4" t="str">
        <f>HYPERLINK("https://twitter.com/petrogustavo","@petrogustavo")</f>
        <v>@petrogustavo</v>
      </c>
      <c r="C4443" s="5" t="s">
        <v>16</v>
      </c>
      <c r="D4443" s="5" t="s">
        <v>4358</v>
      </c>
      <c r="E4443" s="6" t="str">
        <f>HYPERLINK("https://twitter.com/petrogustavo/status/1245072847917252609","1245072847917252609")</f>
        <v>1245072847917252609</v>
      </c>
      <c r="F4443" s="7" t="s">
        <v>17</v>
      </c>
      <c r="G4443" s="7">
        <v>3730058</v>
      </c>
      <c r="H4443" s="7">
        <v>2373</v>
      </c>
      <c r="I4443" s="7">
        <v>98</v>
      </c>
      <c r="J4443" s="7">
        <v>160</v>
      </c>
      <c r="K4443" s="7" t="s">
        <v>18</v>
      </c>
      <c r="L4443" s="8">
        <v>39987.315405092595</v>
      </c>
      <c r="M4443" s="9" t="s">
        <v>19</v>
      </c>
      <c r="N4443" s="9" t="s">
        <v>20</v>
      </c>
      <c r="O4443" s="6" t="str">
        <f>HYPERLINK("https://pbs.twimg.com/profile_images/962471262747529216/Uo8lOkRJ_normal.jpg","View")</f>
        <v>View</v>
      </c>
      <c r="P4443" s="7"/>
    </row>
    <row r="4444" spans="1:16">
      <c r="A4444" s="3">
        <v>43922.051261574074</v>
      </c>
      <c r="B4444" s="4" t="str">
        <f>HYPERLINK("https://twitter.com/petrogustavo","@petrogustavo")</f>
        <v>@petrogustavo</v>
      </c>
      <c r="C4444" s="5" t="s">
        <v>16</v>
      </c>
      <c r="D4444" s="5" t="s">
        <v>4359</v>
      </c>
      <c r="E4444" s="6" t="str">
        <f>HYPERLINK("https://twitter.com/petrogustavo/status/1245074340535767047","1245074340535767047")</f>
        <v>1245074340535767047</v>
      </c>
      <c r="F4444" s="7" t="s">
        <v>17</v>
      </c>
      <c r="G4444" s="7">
        <v>3730058</v>
      </c>
      <c r="H4444" s="7">
        <v>2373</v>
      </c>
      <c r="I4444" s="7">
        <v>331</v>
      </c>
      <c r="J4444" s="7">
        <v>867</v>
      </c>
      <c r="K4444" s="7" t="s">
        <v>18</v>
      </c>
      <c r="L4444" s="8">
        <v>39987.315405092595</v>
      </c>
      <c r="M4444" s="9" t="s">
        <v>19</v>
      </c>
      <c r="N4444" s="9" t="s">
        <v>20</v>
      </c>
      <c r="O4444" s="6" t="str">
        <f>HYPERLINK("https://pbs.twimg.com/profile_images/962471262747529216/Uo8lOkRJ_normal.jpg","View")</f>
        <v>View</v>
      </c>
      <c r="P4444" s="7"/>
    </row>
    <row r="4445" spans="1:16">
      <c r="A4445" s="3">
        <v>43922.052881944444</v>
      </c>
      <c r="B4445" s="4" t="str">
        <f>HYPERLINK("https://twitter.com/petrogustavo","@petrogustavo")</f>
        <v>@petrogustavo</v>
      </c>
      <c r="C4445" s="5" t="s">
        <v>16</v>
      </c>
      <c r="D4445" s="5" t="s">
        <v>4360</v>
      </c>
      <c r="E4445" s="6" t="str">
        <f>HYPERLINK("https://twitter.com/petrogustavo/status/1245074926228422663","1245074926228422663")</f>
        <v>1245074926228422663</v>
      </c>
      <c r="F4445" s="7" t="s">
        <v>17</v>
      </c>
      <c r="G4445" s="7">
        <v>3730058</v>
      </c>
      <c r="H4445" s="7">
        <v>2373</v>
      </c>
      <c r="I4445" s="7">
        <v>27</v>
      </c>
      <c r="J4445" s="7">
        <v>46</v>
      </c>
      <c r="K4445" s="7" t="s">
        <v>18</v>
      </c>
      <c r="L4445" s="8">
        <v>39987.315405092595</v>
      </c>
      <c r="M4445" s="9" t="s">
        <v>19</v>
      </c>
      <c r="N4445" s="9" t="s">
        <v>20</v>
      </c>
      <c r="O4445" s="6" t="str">
        <f>HYPERLINK("https://pbs.twimg.com/profile_images/962471262747529216/Uo8lOkRJ_normal.jpg","View")</f>
        <v>View</v>
      </c>
      <c r="P4445" s="7"/>
    </row>
    <row r="4446" spans="1:16">
      <c r="A4446" s="3">
        <v>43922.05568287037</v>
      </c>
      <c r="B4446" s="4" t="str">
        <f>HYPERLINK("https://twitter.com/petrogustavo","@petrogustavo")</f>
        <v>@petrogustavo</v>
      </c>
      <c r="C4446" s="5" t="s">
        <v>16</v>
      </c>
      <c r="D4446" s="5" t="s">
        <v>4361</v>
      </c>
      <c r="E4446" s="6" t="str">
        <f>HYPERLINK("https://twitter.com/petrogustavo/status/1245075939765125120","1245075939765125120")</f>
        <v>1245075939765125120</v>
      </c>
      <c r="F4446" s="7" t="s">
        <v>17</v>
      </c>
      <c r="G4446" s="7">
        <v>3730058</v>
      </c>
      <c r="H4446" s="7">
        <v>2373</v>
      </c>
      <c r="I4446" s="7">
        <v>45</v>
      </c>
      <c r="J4446" s="7">
        <v>50</v>
      </c>
      <c r="K4446" s="7" t="s">
        <v>18</v>
      </c>
      <c r="L4446" s="8">
        <v>39987.315405092595</v>
      </c>
      <c r="M4446" s="9" t="s">
        <v>19</v>
      </c>
      <c r="N4446" s="9" t="s">
        <v>20</v>
      </c>
      <c r="O4446" s="6" t="str">
        <f>HYPERLINK("https://pbs.twimg.com/profile_images/962471262747529216/Uo8lOkRJ_normal.jpg","View")</f>
        <v>View</v>
      </c>
      <c r="P4446" s="7"/>
    </row>
    <row r="4447" spans="1:16">
      <c r="A4447" s="3">
        <v>43922.064398148148</v>
      </c>
      <c r="B4447" s="4" t="str">
        <f>HYPERLINK("https://twitter.com/petrogustavo","@petrogustavo")</f>
        <v>@petrogustavo</v>
      </c>
      <c r="C4447" s="5" t="s">
        <v>16</v>
      </c>
      <c r="D4447" s="5" t="s">
        <v>4362</v>
      </c>
      <c r="E4447" s="6" t="str">
        <f>HYPERLINK("https://twitter.com/petrogustavo/status/1245079098524917760","1245079098524917760")</f>
        <v>1245079098524917760</v>
      </c>
      <c r="F4447" s="7" t="s">
        <v>17</v>
      </c>
      <c r="G4447" s="7">
        <v>3730058</v>
      </c>
      <c r="H4447" s="7">
        <v>2373</v>
      </c>
      <c r="I4447" s="7">
        <v>1</v>
      </c>
      <c r="J4447" s="7">
        <v>0</v>
      </c>
      <c r="K4447" s="7" t="s">
        <v>18</v>
      </c>
      <c r="L4447" s="8">
        <v>39987.315405092595</v>
      </c>
      <c r="M4447" s="9" t="s">
        <v>19</v>
      </c>
      <c r="N4447" s="9" t="s">
        <v>20</v>
      </c>
      <c r="O4447" s="6" t="str">
        <f>HYPERLINK("https://pbs.twimg.com/profile_images/962471262747529216/Uo8lOkRJ_normal.jpg","View")</f>
        <v>View</v>
      </c>
      <c r="P4447" s="7"/>
    </row>
    <row r="4448" spans="1:16">
      <c r="A4448" s="3">
        <v>43922.065798611111</v>
      </c>
      <c r="B4448" s="4" t="str">
        <f>HYPERLINK("https://twitter.com/petrogustavo","@petrogustavo")</f>
        <v>@petrogustavo</v>
      </c>
      <c r="C4448" s="5" t="s">
        <v>16</v>
      </c>
      <c r="D4448" s="5" t="s">
        <v>4363</v>
      </c>
      <c r="E4448" s="6" t="str">
        <f>HYPERLINK("https://twitter.com/petrogustavo/status/1245079607897985032","1245079607897985032")</f>
        <v>1245079607897985032</v>
      </c>
      <c r="F4448" s="7" t="s">
        <v>17</v>
      </c>
      <c r="G4448" s="7">
        <v>3730136</v>
      </c>
      <c r="H4448" s="7">
        <v>2373</v>
      </c>
      <c r="I4448" s="7">
        <v>32</v>
      </c>
      <c r="J4448" s="7">
        <v>113</v>
      </c>
      <c r="K4448" s="7" t="s">
        <v>18</v>
      </c>
      <c r="L4448" s="8">
        <v>39987.315405092595</v>
      </c>
      <c r="M4448" s="9" t="s">
        <v>19</v>
      </c>
      <c r="N4448" s="9" t="s">
        <v>20</v>
      </c>
      <c r="O4448" s="6" t="str">
        <f>HYPERLINK("https://pbs.twimg.com/profile_images/962471262747529216/Uo8lOkRJ_normal.jpg","View")</f>
        <v>View</v>
      </c>
      <c r="P4448" s="7"/>
    </row>
    <row r="4449" spans="1:16">
      <c r="A4449" s="3">
        <v>43922.066875000004</v>
      </c>
      <c r="B4449" s="4" t="str">
        <f>HYPERLINK("https://twitter.com/petrogustavo","@petrogustavo")</f>
        <v>@petrogustavo</v>
      </c>
      <c r="C4449" s="5" t="s">
        <v>16</v>
      </c>
      <c r="D4449" s="5" t="s">
        <v>4364</v>
      </c>
      <c r="E4449" s="6" t="str">
        <f>HYPERLINK("https://twitter.com/petrogustavo/status/1245079998572244993","1245079998572244993")</f>
        <v>1245079998572244993</v>
      </c>
      <c r="F4449" s="7" t="s">
        <v>17</v>
      </c>
      <c r="G4449" s="7">
        <v>3730136</v>
      </c>
      <c r="H4449" s="7">
        <v>2373</v>
      </c>
      <c r="I4449" s="7">
        <v>1112</v>
      </c>
      <c r="J4449" s="7">
        <v>0</v>
      </c>
      <c r="K4449" s="7" t="s">
        <v>18</v>
      </c>
      <c r="L4449" s="8">
        <v>39987.315405092595</v>
      </c>
      <c r="M4449" s="9" t="s">
        <v>19</v>
      </c>
      <c r="N4449" s="9" t="s">
        <v>20</v>
      </c>
      <c r="O4449" s="6" t="str">
        <f>HYPERLINK("https://pbs.twimg.com/profile_images/962471262747529216/Uo8lOkRJ_normal.jpg","View")</f>
        <v>View</v>
      </c>
      <c r="P4449" s="7"/>
    </row>
    <row r="4450" spans="1:16">
      <c r="A4450" s="3">
        <v>43922.06695601852</v>
      </c>
      <c r="B4450" s="4" t="str">
        <f>HYPERLINK("https://twitter.com/petrogustavo","@petrogustavo")</f>
        <v>@petrogustavo</v>
      </c>
      <c r="C4450" s="5" t="s">
        <v>16</v>
      </c>
      <c r="D4450" s="5" t="s">
        <v>4365</v>
      </c>
      <c r="E4450" s="6" t="str">
        <f>HYPERLINK("https://twitter.com/petrogustavo/status/1245080026497855493","1245080026497855493")</f>
        <v>1245080026497855493</v>
      </c>
      <c r="F4450" s="7" t="s">
        <v>17</v>
      </c>
      <c r="G4450" s="7">
        <v>3730136</v>
      </c>
      <c r="H4450" s="7">
        <v>2373</v>
      </c>
      <c r="I4450" s="7">
        <v>55</v>
      </c>
      <c r="J4450" s="7">
        <v>0</v>
      </c>
      <c r="K4450" s="7" t="s">
        <v>18</v>
      </c>
      <c r="L4450" s="8">
        <v>39987.315405092595</v>
      </c>
      <c r="M4450" s="9" t="s">
        <v>19</v>
      </c>
      <c r="N4450" s="9" t="s">
        <v>20</v>
      </c>
      <c r="O4450" s="6" t="str">
        <f>HYPERLINK("https://pbs.twimg.com/profile_images/962471262747529216/Uo8lOkRJ_normal.jpg","View")</f>
        <v>View</v>
      </c>
      <c r="P4450" s="7"/>
    </row>
    <row r="4451" spans="1:16">
      <c r="A4451" s="3">
        <v>43922.070601851854</v>
      </c>
      <c r="B4451" s="4" t="str">
        <f>HYPERLINK("https://twitter.com/petrogustavo","@petrogustavo")</f>
        <v>@petrogustavo</v>
      </c>
      <c r="C4451" s="5" t="s">
        <v>16</v>
      </c>
      <c r="D4451" s="5" t="s">
        <v>4366</v>
      </c>
      <c r="E4451" s="6" t="str">
        <f>HYPERLINK("https://twitter.com/petrogustavo/status/1245081346084614147","1245081346084614147")</f>
        <v>1245081346084614147</v>
      </c>
      <c r="F4451" s="7" t="s">
        <v>17</v>
      </c>
      <c r="G4451" s="7">
        <v>3730136</v>
      </c>
      <c r="H4451" s="7">
        <v>2373</v>
      </c>
      <c r="I4451" s="7">
        <v>30</v>
      </c>
      <c r="J4451" s="7">
        <v>52</v>
      </c>
      <c r="K4451" s="7" t="s">
        <v>18</v>
      </c>
      <c r="L4451" s="8">
        <v>39987.315405092595</v>
      </c>
      <c r="M4451" s="9" t="s">
        <v>19</v>
      </c>
      <c r="N4451" s="9" t="s">
        <v>20</v>
      </c>
      <c r="O4451" s="6" t="str">
        <f>HYPERLINK("https://pbs.twimg.com/profile_images/962471262747529216/Uo8lOkRJ_normal.jpg","View")</f>
        <v>View</v>
      </c>
      <c r="P4451" s="7"/>
    </row>
    <row r="4452" spans="1:16">
      <c r="A4452" s="3">
        <v>43922.073541666672</v>
      </c>
      <c r="B4452" s="4" t="str">
        <f>HYPERLINK("https://twitter.com/petrogustavo","@petrogustavo")</f>
        <v>@petrogustavo</v>
      </c>
      <c r="C4452" s="5" t="s">
        <v>16</v>
      </c>
      <c r="D4452" s="5" t="s">
        <v>4367</v>
      </c>
      <c r="E4452" s="6" t="str">
        <f>HYPERLINK("https://twitter.com/petrogustavo/status/1245082411697872896","1245082411697872896")</f>
        <v>1245082411697872896</v>
      </c>
      <c r="F4452" s="7" t="s">
        <v>17</v>
      </c>
      <c r="G4452" s="7">
        <v>3730136</v>
      </c>
      <c r="H4452" s="7">
        <v>2373</v>
      </c>
      <c r="I4452" s="7">
        <v>67</v>
      </c>
      <c r="J4452" s="7">
        <v>0</v>
      </c>
      <c r="K4452" s="7" t="s">
        <v>18</v>
      </c>
      <c r="L4452" s="8">
        <v>39987.315405092595</v>
      </c>
      <c r="M4452" s="9" t="s">
        <v>19</v>
      </c>
      <c r="N4452" s="9" t="s">
        <v>20</v>
      </c>
      <c r="O4452" s="6" t="str">
        <f>HYPERLINK("https://pbs.twimg.com/profile_images/962471262747529216/Uo8lOkRJ_normal.jpg","View")</f>
        <v>View</v>
      </c>
      <c r="P4452" s="7"/>
    </row>
    <row r="4453" spans="1:16">
      <c r="A4453" s="3">
        <v>43922.081006944441</v>
      </c>
      <c r="B4453" s="4" t="str">
        <f>HYPERLINK("https://twitter.com/petrogustavo","@petrogustavo")</f>
        <v>@petrogustavo</v>
      </c>
      <c r="C4453" s="5" t="s">
        <v>16</v>
      </c>
      <c r="D4453" s="5" t="s">
        <v>4368</v>
      </c>
      <c r="E4453" s="6" t="str">
        <f>HYPERLINK("https://twitter.com/petrogustavo/status/1245085116868825090","1245085116868825090")</f>
        <v>1245085116868825090</v>
      </c>
      <c r="F4453" s="7" t="s">
        <v>17</v>
      </c>
      <c r="G4453" s="7">
        <v>3730136</v>
      </c>
      <c r="H4453" s="7">
        <v>2373</v>
      </c>
      <c r="I4453" s="7">
        <v>33</v>
      </c>
      <c r="J4453" s="7">
        <v>55</v>
      </c>
      <c r="K4453" s="7" t="s">
        <v>18</v>
      </c>
      <c r="L4453" s="8">
        <v>39987.315405092595</v>
      </c>
      <c r="M4453" s="9" t="s">
        <v>19</v>
      </c>
      <c r="N4453" s="9" t="s">
        <v>20</v>
      </c>
      <c r="O4453" s="6" t="str">
        <f>HYPERLINK("https://pbs.twimg.com/profile_images/962471262747529216/Uo8lOkRJ_normal.jpg","View")</f>
        <v>View</v>
      </c>
      <c r="P4453" s="7"/>
    </row>
    <row r="4454" spans="1:16">
      <c r="A4454" s="3">
        <v>43922.086597222224</v>
      </c>
      <c r="B4454" s="4" t="str">
        <f>HYPERLINK("https://twitter.com/petrogustavo","@petrogustavo")</f>
        <v>@petrogustavo</v>
      </c>
      <c r="C4454" s="5" t="s">
        <v>16</v>
      </c>
      <c r="D4454" s="5" t="s">
        <v>4369</v>
      </c>
      <c r="E4454" s="6" t="str">
        <f>HYPERLINK("https://twitter.com/petrogustavo/status/1245087146144419840","1245087146144419840")</f>
        <v>1245087146144419840</v>
      </c>
      <c r="F4454" s="7" t="s">
        <v>17</v>
      </c>
      <c r="G4454" s="7">
        <v>3730200</v>
      </c>
      <c r="H4454" s="7">
        <v>2373</v>
      </c>
      <c r="I4454" s="7">
        <v>22</v>
      </c>
      <c r="J4454" s="7">
        <v>0</v>
      </c>
      <c r="K4454" s="7" t="s">
        <v>18</v>
      </c>
      <c r="L4454" s="8">
        <v>39987.315405092595</v>
      </c>
      <c r="M4454" s="9" t="s">
        <v>19</v>
      </c>
      <c r="N4454" s="9" t="s">
        <v>20</v>
      </c>
      <c r="O4454" s="6" t="str">
        <f>HYPERLINK("https://pbs.twimg.com/profile_images/962471262747529216/Uo8lOkRJ_normal.jpg","View")</f>
        <v>View</v>
      </c>
      <c r="P4454" s="7"/>
    </row>
    <row r="4455" spans="1:16">
      <c r="A4455" s="3">
        <v>43922.08793981481</v>
      </c>
      <c r="B4455" s="4" t="str">
        <f>HYPERLINK("https://twitter.com/petrogustavo","@petrogustavo")</f>
        <v>@petrogustavo</v>
      </c>
      <c r="C4455" s="5" t="s">
        <v>16</v>
      </c>
      <c r="D4455" s="5" t="s">
        <v>4370</v>
      </c>
      <c r="E4455" s="6" t="str">
        <f>HYPERLINK("https://twitter.com/petrogustavo/status/1245087631895138305","1245087631895138305")</f>
        <v>1245087631895138305</v>
      </c>
      <c r="F4455" s="7" t="s">
        <v>17</v>
      </c>
      <c r="G4455" s="7">
        <v>3730200</v>
      </c>
      <c r="H4455" s="7">
        <v>2373</v>
      </c>
      <c r="I4455" s="7">
        <v>77</v>
      </c>
      <c r="J4455" s="7">
        <v>166</v>
      </c>
      <c r="K4455" s="7" t="s">
        <v>18</v>
      </c>
      <c r="L4455" s="8">
        <v>39987.315405092595</v>
      </c>
      <c r="M4455" s="9" t="s">
        <v>19</v>
      </c>
      <c r="N4455" s="9" t="s">
        <v>20</v>
      </c>
      <c r="O4455" s="6" t="str">
        <f>HYPERLINK("https://pbs.twimg.com/profile_images/962471262747529216/Uo8lOkRJ_normal.jpg","View")</f>
        <v>View</v>
      </c>
      <c r="P4455" s="7"/>
    </row>
    <row r="4456" spans="1:16">
      <c r="A4456" s="3">
        <v>43922.089583333334</v>
      </c>
      <c r="B4456" s="4" t="str">
        <f>HYPERLINK("https://twitter.com/petrogustavo","@petrogustavo")</f>
        <v>@petrogustavo</v>
      </c>
      <c r="C4456" s="5" t="s">
        <v>16</v>
      </c>
      <c r="D4456" s="5" t="s">
        <v>4371</v>
      </c>
      <c r="E4456" s="6" t="str">
        <f>HYPERLINK("https://twitter.com/petrogustavo/status/1245088225380708352","1245088225380708352")</f>
        <v>1245088225380708352</v>
      </c>
      <c r="F4456" s="7" t="s">
        <v>17</v>
      </c>
      <c r="G4456" s="7">
        <v>3730200</v>
      </c>
      <c r="H4456" s="7">
        <v>2373</v>
      </c>
      <c r="I4456" s="7">
        <v>60</v>
      </c>
      <c r="J4456" s="7">
        <v>0</v>
      </c>
      <c r="K4456" s="7" t="s">
        <v>18</v>
      </c>
      <c r="L4456" s="8">
        <v>39987.315405092595</v>
      </c>
      <c r="M4456" s="9" t="s">
        <v>19</v>
      </c>
      <c r="N4456" s="9" t="s">
        <v>20</v>
      </c>
      <c r="O4456" s="6" t="str">
        <f>HYPERLINK("https://pbs.twimg.com/profile_images/962471262747529216/Uo8lOkRJ_normal.jpg","View")</f>
        <v>View</v>
      </c>
      <c r="P4456" s="7"/>
    </row>
    <row r="4457" spans="1:16">
      <c r="A4457" s="3">
        <v>43922.089733796296</v>
      </c>
      <c r="B4457" s="4" t="str">
        <f>HYPERLINK("https://twitter.com/petrogustavo","@petrogustavo")</f>
        <v>@petrogustavo</v>
      </c>
      <c r="C4457" s="5" t="s">
        <v>16</v>
      </c>
      <c r="D4457" s="5" t="s">
        <v>4372</v>
      </c>
      <c r="E4457" s="6" t="str">
        <f>HYPERLINK("https://twitter.com/petrogustavo/status/1245088282037424128","1245088282037424128")</f>
        <v>1245088282037424128</v>
      </c>
      <c r="F4457" s="7" t="s">
        <v>17</v>
      </c>
      <c r="G4457" s="7">
        <v>3730200</v>
      </c>
      <c r="H4457" s="7">
        <v>2373</v>
      </c>
      <c r="I4457" s="7">
        <v>26</v>
      </c>
      <c r="J4457" s="7">
        <v>0</v>
      </c>
      <c r="K4457" s="7" t="s">
        <v>18</v>
      </c>
      <c r="L4457" s="8">
        <v>39987.315405092595</v>
      </c>
      <c r="M4457" s="9" t="s">
        <v>19</v>
      </c>
      <c r="N4457" s="9" t="s">
        <v>20</v>
      </c>
      <c r="O4457" s="6" t="str">
        <f>HYPERLINK("https://pbs.twimg.com/profile_images/962471262747529216/Uo8lOkRJ_normal.jpg","View")</f>
        <v>View</v>
      </c>
      <c r="P4457" s="7"/>
    </row>
    <row r="4458" spans="1:16">
      <c r="A4458" s="3">
        <v>43922.091446759259</v>
      </c>
      <c r="B4458" s="4" t="str">
        <f>HYPERLINK("https://twitter.com/petrogustavo","@petrogustavo")</f>
        <v>@petrogustavo</v>
      </c>
      <c r="C4458" s="5" t="s">
        <v>16</v>
      </c>
      <c r="D4458" s="5" t="s">
        <v>4373</v>
      </c>
      <c r="E4458" s="6" t="str">
        <f>HYPERLINK("https://twitter.com/petrogustavo/status/1245088902664409092","1245088902664409092")</f>
        <v>1245088902664409092</v>
      </c>
      <c r="F4458" s="7" t="s">
        <v>17</v>
      </c>
      <c r="G4458" s="7">
        <v>3730200</v>
      </c>
      <c r="H4458" s="7">
        <v>2373</v>
      </c>
      <c r="I4458" s="7">
        <v>45</v>
      </c>
      <c r="J4458" s="7">
        <v>79</v>
      </c>
      <c r="K4458" s="7" t="s">
        <v>18</v>
      </c>
      <c r="L4458" s="8">
        <v>39987.315405092595</v>
      </c>
      <c r="M4458" s="9" t="s">
        <v>19</v>
      </c>
      <c r="N4458" s="9" t="s">
        <v>20</v>
      </c>
      <c r="O4458" s="6" t="str">
        <f>HYPERLINK("https://pbs.twimg.com/profile_images/962471262747529216/Uo8lOkRJ_normal.jpg","View")</f>
        <v>View</v>
      </c>
      <c r="P4458" s="7"/>
    </row>
    <row r="4459" spans="1:16">
      <c r="A4459" s="3">
        <v>43922.096319444448</v>
      </c>
      <c r="B4459" s="4" t="str">
        <f>HYPERLINK("https://twitter.com/petrogustavo","@petrogustavo")</f>
        <v>@petrogustavo</v>
      </c>
      <c r="C4459" s="5" t="s">
        <v>16</v>
      </c>
      <c r="D4459" s="5" t="s">
        <v>4374</v>
      </c>
      <c r="E4459" s="6" t="str">
        <f>HYPERLINK("https://twitter.com/petrogustavo/status/1245090666474090496","1245090666474090496")</f>
        <v>1245090666474090496</v>
      </c>
      <c r="F4459" s="7" t="s">
        <v>17</v>
      </c>
      <c r="G4459" s="7">
        <v>3730200</v>
      </c>
      <c r="H4459" s="7">
        <v>2373</v>
      </c>
      <c r="I4459" s="7">
        <v>56</v>
      </c>
      <c r="J4459" s="7">
        <v>108</v>
      </c>
      <c r="K4459" s="7" t="s">
        <v>18</v>
      </c>
      <c r="L4459" s="8">
        <v>39987.315405092595</v>
      </c>
      <c r="M4459" s="9" t="s">
        <v>19</v>
      </c>
      <c r="N4459" s="9" t="s">
        <v>20</v>
      </c>
      <c r="O4459" s="6" t="str">
        <f>HYPERLINK("https://pbs.twimg.com/profile_images/962471262747529216/Uo8lOkRJ_normal.jpg","View")</f>
        <v>View</v>
      </c>
      <c r="P4459" s="7"/>
    </row>
    <row r="4460" spans="1:16">
      <c r="A4460" s="3">
        <v>43922.09684027778</v>
      </c>
      <c r="B4460" s="4" t="str">
        <f>HYPERLINK("https://twitter.com/petrogustavo","@petrogustavo")</f>
        <v>@petrogustavo</v>
      </c>
      <c r="C4460" s="5" t="s">
        <v>16</v>
      </c>
      <c r="D4460" s="5" t="s">
        <v>4375</v>
      </c>
      <c r="E4460" s="6" t="str">
        <f>HYPERLINK("https://twitter.com/petrogustavo/status/1245090857654550528","1245090857654550528")</f>
        <v>1245090857654550528</v>
      </c>
      <c r="F4460" s="7" t="s">
        <v>17</v>
      </c>
      <c r="G4460" s="7">
        <v>3730200</v>
      </c>
      <c r="H4460" s="7">
        <v>2373</v>
      </c>
      <c r="I4460" s="7">
        <v>79</v>
      </c>
      <c r="J4460" s="7">
        <v>0</v>
      </c>
      <c r="K4460" s="7" t="s">
        <v>18</v>
      </c>
      <c r="L4460" s="8">
        <v>39987.315405092595</v>
      </c>
      <c r="M4460" s="9" t="s">
        <v>19</v>
      </c>
      <c r="N4460" s="9" t="s">
        <v>20</v>
      </c>
      <c r="O4460" s="6" t="str">
        <f>HYPERLINK("https://pbs.twimg.com/profile_images/962471262747529216/Uo8lOkRJ_normal.jpg","View")</f>
        <v>View</v>
      </c>
      <c r="P4460" s="7"/>
    </row>
    <row r="4461" spans="1:16">
      <c r="A4461" s="3">
        <v>43922.099606481483</v>
      </c>
      <c r="B4461" s="4" t="str">
        <f>HYPERLINK("https://twitter.com/petrogustavo","@petrogustavo")</f>
        <v>@petrogustavo</v>
      </c>
      <c r="C4461" s="5" t="s">
        <v>16</v>
      </c>
      <c r="D4461" s="5" t="s">
        <v>4376</v>
      </c>
      <c r="E4461" s="6" t="str">
        <f>HYPERLINK("https://twitter.com/petrogustavo/status/1245091859321573378","1245091859321573378")</f>
        <v>1245091859321573378</v>
      </c>
      <c r="F4461" s="7" t="s">
        <v>17</v>
      </c>
      <c r="G4461" s="7">
        <v>3730200</v>
      </c>
      <c r="H4461" s="7">
        <v>2373</v>
      </c>
      <c r="I4461" s="7">
        <v>93</v>
      </c>
      <c r="J4461" s="7">
        <v>193</v>
      </c>
      <c r="K4461" s="7" t="s">
        <v>18</v>
      </c>
      <c r="L4461" s="8">
        <v>39987.315405092595</v>
      </c>
      <c r="M4461" s="9" t="s">
        <v>19</v>
      </c>
      <c r="N4461" s="9" t="s">
        <v>20</v>
      </c>
      <c r="O4461" s="6" t="str">
        <f>HYPERLINK("https://pbs.twimg.com/profile_images/962471262747529216/Uo8lOkRJ_normal.jpg","View")</f>
        <v>View</v>
      </c>
      <c r="P4461" s="7"/>
    </row>
    <row r="4462" spans="1:16">
      <c r="A4462" s="3">
        <v>43922.103379629625</v>
      </c>
      <c r="B4462" s="4" t="str">
        <f>HYPERLINK("https://twitter.com/petrogustavo","@petrogustavo")</f>
        <v>@petrogustavo</v>
      </c>
      <c r="C4462" s="5" t="s">
        <v>16</v>
      </c>
      <c r="D4462" s="5" t="s">
        <v>4377</v>
      </c>
      <c r="E4462" s="6" t="str">
        <f>HYPERLINK("https://twitter.com/petrogustavo/status/1245093225737658368","1245093225737658368")</f>
        <v>1245093225737658368</v>
      </c>
      <c r="F4462" s="7" t="s">
        <v>17</v>
      </c>
      <c r="G4462" s="7">
        <v>3730200</v>
      </c>
      <c r="H4462" s="7">
        <v>2373</v>
      </c>
      <c r="I4462" s="7">
        <v>37</v>
      </c>
      <c r="J4462" s="7">
        <v>52</v>
      </c>
      <c r="K4462" s="7" t="s">
        <v>18</v>
      </c>
      <c r="L4462" s="8">
        <v>39987.315405092595</v>
      </c>
      <c r="M4462" s="9" t="s">
        <v>19</v>
      </c>
      <c r="N4462" s="9" t="s">
        <v>20</v>
      </c>
      <c r="O4462" s="6" t="str">
        <f>HYPERLINK("https://pbs.twimg.com/profile_images/962471262747529216/Uo8lOkRJ_normal.jpg","View")</f>
        <v>View</v>
      </c>
      <c r="P4462" s="7"/>
    </row>
    <row r="4463" spans="1:16">
      <c r="A4463" s="3">
        <v>43922.108865740738</v>
      </c>
      <c r="B4463" s="4" t="str">
        <f>HYPERLINK("https://twitter.com/petrogustavo","@petrogustavo")</f>
        <v>@petrogustavo</v>
      </c>
      <c r="C4463" s="5" t="s">
        <v>16</v>
      </c>
      <c r="D4463" s="5" t="s">
        <v>4378</v>
      </c>
      <c r="E4463" s="6" t="str">
        <f>HYPERLINK("https://twitter.com/petrogustavo/status/1245095216396320770","1245095216396320770")</f>
        <v>1245095216396320770</v>
      </c>
      <c r="F4463" s="7" t="s">
        <v>17</v>
      </c>
      <c r="G4463" s="7">
        <v>3730269</v>
      </c>
      <c r="H4463" s="7">
        <v>2373</v>
      </c>
      <c r="I4463" s="7">
        <v>186</v>
      </c>
      <c r="J4463" s="7">
        <v>416</v>
      </c>
      <c r="K4463" s="7" t="s">
        <v>18</v>
      </c>
      <c r="L4463" s="8">
        <v>39987.315405092595</v>
      </c>
      <c r="M4463" s="9" t="s">
        <v>19</v>
      </c>
      <c r="N4463" s="9" t="s">
        <v>20</v>
      </c>
      <c r="O4463" s="6" t="str">
        <f>HYPERLINK("https://pbs.twimg.com/profile_images/962471262747529216/Uo8lOkRJ_normal.jpg","View")</f>
        <v>View</v>
      </c>
      <c r="P4463" s="7"/>
    </row>
    <row r="4464" spans="1:16">
      <c r="A4464" s="3">
        <v>43922.111446759256</v>
      </c>
      <c r="B4464" s="4" t="str">
        <f>HYPERLINK("https://twitter.com/petrogustavo","@petrogustavo")</f>
        <v>@petrogustavo</v>
      </c>
      <c r="C4464" s="5" t="s">
        <v>16</v>
      </c>
      <c r="D4464" s="5" t="s">
        <v>4379</v>
      </c>
      <c r="E4464" s="6" t="str">
        <f>HYPERLINK("https://twitter.com/petrogustavo/status/1245096148819415041","1245096148819415041")</f>
        <v>1245096148819415041</v>
      </c>
      <c r="F4464" s="7" t="s">
        <v>17</v>
      </c>
      <c r="G4464" s="7">
        <v>3730269</v>
      </c>
      <c r="H4464" s="7">
        <v>2373</v>
      </c>
      <c r="I4464" s="7">
        <v>64</v>
      </c>
      <c r="J4464" s="7">
        <v>0</v>
      </c>
      <c r="K4464" s="7" t="s">
        <v>18</v>
      </c>
      <c r="L4464" s="8">
        <v>39987.315405092595</v>
      </c>
      <c r="M4464" s="9" t="s">
        <v>19</v>
      </c>
      <c r="N4464" s="9" t="s">
        <v>20</v>
      </c>
      <c r="O4464" s="6" t="str">
        <f>HYPERLINK("https://pbs.twimg.com/profile_images/962471262747529216/Uo8lOkRJ_normal.jpg","View")</f>
        <v>View</v>
      </c>
      <c r="P4464" s="7"/>
    </row>
    <row r="4465" spans="1:16">
      <c r="A4465" s="3">
        <v>43922.114270833335</v>
      </c>
      <c r="B4465" s="4" t="str">
        <f>HYPERLINK("https://twitter.com/petrogustavo","@petrogustavo")</f>
        <v>@petrogustavo</v>
      </c>
      <c r="C4465" s="5" t="s">
        <v>16</v>
      </c>
      <c r="D4465" s="5" t="s">
        <v>4380</v>
      </c>
      <c r="E4465" s="6" t="str">
        <f>HYPERLINK("https://twitter.com/petrogustavo/status/1245097174742052868","1245097174742052868")</f>
        <v>1245097174742052868</v>
      </c>
      <c r="F4465" s="7" t="s">
        <v>17</v>
      </c>
      <c r="G4465" s="7">
        <v>3730269</v>
      </c>
      <c r="H4465" s="7">
        <v>2373</v>
      </c>
      <c r="I4465" s="7">
        <v>151</v>
      </c>
      <c r="J4465" s="7">
        <v>221</v>
      </c>
      <c r="K4465" s="7" t="s">
        <v>18</v>
      </c>
      <c r="L4465" s="8">
        <v>39987.315405092595</v>
      </c>
      <c r="M4465" s="9" t="s">
        <v>19</v>
      </c>
      <c r="N4465" s="9" t="s">
        <v>20</v>
      </c>
      <c r="O4465" s="6" t="str">
        <f>HYPERLINK("https://pbs.twimg.com/profile_images/962471262747529216/Uo8lOkRJ_normal.jpg","View")</f>
        <v>View</v>
      </c>
      <c r="P4465" s="7"/>
    </row>
    <row r="4466" spans="1:16">
      <c r="A4466" s="3">
        <v>43922.117013888885</v>
      </c>
      <c r="B4466" s="4" t="str">
        <f>HYPERLINK("https://twitter.com/petrogustavo","@petrogustavo")</f>
        <v>@petrogustavo</v>
      </c>
      <c r="C4466" s="5" t="s">
        <v>16</v>
      </c>
      <c r="D4466" s="5" t="s">
        <v>4381</v>
      </c>
      <c r="E4466" s="6" t="str">
        <f>HYPERLINK("https://twitter.com/petrogustavo/status/1245098166153883648","1245098166153883648")</f>
        <v>1245098166153883648</v>
      </c>
      <c r="F4466" s="7" t="s">
        <v>17</v>
      </c>
      <c r="G4466" s="7">
        <v>3730269</v>
      </c>
      <c r="H4466" s="7">
        <v>2373</v>
      </c>
      <c r="I4466" s="7">
        <v>209</v>
      </c>
      <c r="J4466" s="7">
        <v>0</v>
      </c>
      <c r="K4466" s="7" t="s">
        <v>18</v>
      </c>
      <c r="L4466" s="8">
        <v>39987.315405092595</v>
      </c>
      <c r="M4466" s="9" t="s">
        <v>19</v>
      </c>
      <c r="N4466" s="9" t="s">
        <v>20</v>
      </c>
      <c r="O4466" s="6" t="str">
        <f>HYPERLINK("https://pbs.twimg.com/profile_images/962471262747529216/Uo8lOkRJ_normal.jpg","View")</f>
        <v>View</v>
      </c>
      <c r="P4466" s="7"/>
    </row>
    <row r="4467" spans="1:16">
      <c r="A4467" s="3">
        <v>43922.11917824074</v>
      </c>
      <c r="B4467" s="4" t="str">
        <f>HYPERLINK("https://twitter.com/petrogustavo","@petrogustavo")</f>
        <v>@petrogustavo</v>
      </c>
      <c r="C4467" s="5" t="s">
        <v>16</v>
      </c>
      <c r="D4467" s="5" t="s">
        <v>4382</v>
      </c>
      <c r="E4467" s="6" t="str">
        <f>HYPERLINK("https://twitter.com/petrogustavo/status/1245098951151362048","1245098951151362048")</f>
        <v>1245098951151362048</v>
      </c>
      <c r="F4467" s="7" t="s">
        <v>17</v>
      </c>
      <c r="G4467" s="7">
        <v>3730269</v>
      </c>
      <c r="H4467" s="7">
        <v>2373</v>
      </c>
      <c r="I4467" s="7">
        <v>15</v>
      </c>
      <c r="J4467" s="7">
        <v>0</v>
      </c>
      <c r="K4467" s="7" t="s">
        <v>18</v>
      </c>
      <c r="L4467" s="8">
        <v>39987.315405092595</v>
      </c>
      <c r="M4467" s="9" t="s">
        <v>19</v>
      </c>
      <c r="N4467" s="9" t="s">
        <v>20</v>
      </c>
      <c r="O4467" s="6" t="str">
        <f>HYPERLINK("https://pbs.twimg.com/profile_images/962471262747529216/Uo8lOkRJ_normal.jpg","View")</f>
        <v>View</v>
      </c>
      <c r="P4467" s="7"/>
    </row>
    <row r="4468" spans="1:16">
      <c r="A4468" s="3">
        <v>43922.119490740741</v>
      </c>
      <c r="B4468" s="4" t="str">
        <f>HYPERLINK("https://twitter.com/petrogustavo","@petrogustavo")</f>
        <v>@petrogustavo</v>
      </c>
      <c r="C4468" s="5" t="s">
        <v>16</v>
      </c>
      <c r="D4468" s="5" t="s">
        <v>4383</v>
      </c>
      <c r="E4468" s="6" t="str">
        <f>HYPERLINK("https://twitter.com/petrogustavo/status/1245099066754846723","1245099066754846723")</f>
        <v>1245099066754846723</v>
      </c>
      <c r="F4468" s="7" t="s">
        <v>17</v>
      </c>
      <c r="G4468" s="7">
        <v>3730269</v>
      </c>
      <c r="H4468" s="7">
        <v>2373</v>
      </c>
      <c r="I4468" s="7">
        <v>30</v>
      </c>
      <c r="J4468" s="7">
        <v>0</v>
      </c>
      <c r="K4468" s="7" t="s">
        <v>18</v>
      </c>
      <c r="L4468" s="8">
        <v>39987.315405092595</v>
      </c>
      <c r="M4468" s="9" t="s">
        <v>19</v>
      </c>
      <c r="N4468" s="9" t="s">
        <v>20</v>
      </c>
      <c r="O4468" s="6" t="str">
        <f>HYPERLINK("https://pbs.twimg.com/profile_images/962471262747529216/Uo8lOkRJ_normal.jpg","View")</f>
        <v>View</v>
      </c>
      <c r="P4468" s="7"/>
    </row>
    <row r="4469" spans="1:16">
      <c r="A4469" s="3">
        <v>43922.119710648149</v>
      </c>
      <c r="B4469" s="4" t="str">
        <f>HYPERLINK("https://twitter.com/petrogustavo","@petrogustavo")</f>
        <v>@petrogustavo</v>
      </c>
      <c r="C4469" s="5" t="s">
        <v>16</v>
      </c>
      <c r="D4469" s="5" t="s">
        <v>4384</v>
      </c>
      <c r="E4469" s="6" t="str">
        <f>HYPERLINK("https://twitter.com/petrogustavo/status/1245099145704202245","1245099145704202245")</f>
        <v>1245099145704202245</v>
      </c>
      <c r="F4469" s="7" t="s">
        <v>17</v>
      </c>
      <c r="G4469" s="7">
        <v>3730269</v>
      </c>
      <c r="H4469" s="7">
        <v>2373</v>
      </c>
      <c r="I4469" s="7">
        <v>103</v>
      </c>
      <c r="J4469" s="7">
        <v>0</v>
      </c>
      <c r="K4469" s="7" t="s">
        <v>18</v>
      </c>
      <c r="L4469" s="8">
        <v>39987.315405092595</v>
      </c>
      <c r="M4469" s="9" t="s">
        <v>19</v>
      </c>
      <c r="N4469" s="9" t="s">
        <v>20</v>
      </c>
      <c r="O4469" s="6" t="str">
        <f>HYPERLINK("https://pbs.twimg.com/profile_images/962471262747529216/Uo8lOkRJ_normal.jpg","View")</f>
        <v>View</v>
      </c>
      <c r="P4469" s="7"/>
    </row>
    <row r="4470" spans="1:16">
      <c r="A4470" s="3">
        <v>43922.120775462958</v>
      </c>
      <c r="B4470" s="4" t="str">
        <f>HYPERLINK("https://twitter.com/petrogustavo","@petrogustavo")</f>
        <v>@petrogustavo</v>
      </c>
      <c r="C4470" s="5" t="s">
        <v>16</v>
      </c>
      <c r="D4470" s="5" t="s">
        <v>4385</v>
      </c>
      <c r="E4470" s="6" t="str">
        <f>HYPERLINK("https://twitter.com/petrogustavo/status/1245099528459628550","1245099528459628550")</f>
        <v>1245099528459628550</v>
      </c>
      <c r="F4470" s="7" t="s">
        <v>17</v>
      </c>
      <c r="G4470" s="7">
        <v>3730269</v>
      </c>
      <c r="H4470" s="7">
        <v>2373</v>
      </c>
      <c r="I4470" s="7">
        <v>33</v>
      </c>
      <c r="J4470" s="7">
        <v>0</v>
      </c>
      <c r="K4470" s="7" t="s">
        <v>18</v>
      </c>
      <c r="L4470" s="8">
        <v>39987.315405092595</v>
      </c>
      <c r="M4470" s="9" t="s">
        <v>19</v>
      </c>
      <c r="N4470" s="9" t="s">
        <v>20</v>
      </c>
      <c r="O4470" s="6" t="str">
        <f>HYPERLINK("https://pbs.twimg.com/profile_images/962471262747529216/Uo8lOkRJ_normal.jpg","View")</f>
        <v>View</v>
      </c>
      <c r="P4470" s="7"/>
    </row>
    <row r="4471" spans="1:16">
      <c r="A4471" s="3">
        <v>43922.122523148151</v>
      </c>
      <c r="B4471" s="4" t="str">
        <f>HYPERLINK("https://twitter.com/petrogustavo","@petrogustavo")</f>
        <v>@petrogustavo</v>
      </c>
      <c r="C4471" s="5" t="s">
        <v>16</v>
      </c>
      <c r="D4471" s="5" t="s">
        <v>4386</v>
      </c>
      <c r="E4471" s="6" t="str">
        <f>HYPERLINK("https://twitter.com/petrogustavo/status/1245100164316094471","1245100164316094471")</f>
        <v>1245100164316094471</v>
      </c>
      <c r="F4471" s="7" t="s">
        <v>17</v>
      </c>
      <c r="G4471" s="7">
        <v>3730269</v>
      </c>
      <c r="H4471" s="7">
        <v>2373</v>
      </c>
      <c r="I4471" s="7">
        <v>29</v>
      </c>
      <c r="J4471" s="7">
        <v>87</v>
      </c>
      <c r="K4471" s="7" t="s">
        <v>18</v>
      </c>
      <c r="L4471" s="8">
        <v>39987.315405092595</v>
      </c>
      <c r="M4471" s="9" t="s">
        <v>19</v>
      </c>
      <c r="N4471" s="9" t="s">
        <v>20</v>
      </c>
      <c r="O4471" s="6" t="str">
        <f>HYPERLINK("https://pbs.twimg.com/profile_images/962471262747529216/Uo8lOkRJ_normal.jpg","View")</f>
        <v>View</v>
      </c>
      <c r="P4471" s="7"/>
    </row>
    <row r="4472" spans="1:16">
      <c r="A4472" s="3">
        <v>43922.130787037036</v>
      </c>
      <c r="B4472" s="4" t="str">
        <f>HYPERLINK("https://twitter.com/petrogustavo","@petrogustavo")</f>
        <v>@petrogustavo</v>
      </c>
      <c r="C4472" s="5" t="s">
        <v>16</v>
      </c>
      <c r="D4472" s="5" t="s">
        <v>4387</v>
      </c>
      <c r="E4472" s="6" t="str">
        <f>HYPERLINK("https://twitter.com/petrogustavo/status/1245103157421711362","1245103157421711362")</f>
        <v>1245103157421711362</v>
      </c>
      <c r="F4472" s="7" t="s">
        <v>17</v>
      </c>
      <c r="G4472" s="7">
        <v>3730277</v>
      </c>
      <c r="H4472" s="7">
        <v>2373</v>
      </c>
      <c r="I4472" s="7">
        <v>45</v>
      </c>
      <c r="J4472" s="7">
        <v>126</v>
      </c>
      <c r="K4472" s="7" t="s">
        <v>18</v>
      </c>
      <c r="L4472" s="8">
        <v>39987.315405092595</v>
      </c>
      <c r="M4472" s="9" t="s">
        <v>19</v>
      </c>
      <c r="N4472" s="9" t="s">
        <v>20</v>
      </c>
      <c r="O4472" s="6" t="str">
        <f>HYPERLINK("https://pbs.twimg.com/profile_images/962471262747529216/Uo8lOkRJ_normal.jpg","View")</f>
        <v>View</v>
      </c>
      <c r="P4472" s="7"/>
    </row>
    <row r="4473" spans="1:16">
      <c r="A4473" s="3">
        <v>43922.132534722223</v>
      </c>
      <c r="B4473" s="4" t="str">
        <f>HYPERLINK("https://twitter.com/petrogustavo","@petrogustavo")</f>
        <v>@petrogustavo</v>
      </c>
      <c r="C4473" s="5" t="s">
        <v>16</v>
      </c>
      <c r="D4473" s="5" t="s">
        <v>4388</v>
      </c>
      <c r="E4473" s="6" t="str">
        <f>HYPERLINK("https://twitter.com/petrogustavo/status/1245103792993062913","1245103792993062913")</f>
        <v>1245103792993062913</v>
      </c>
      <c r="F4473" s="7" t="s">
        <v>17</v>
      </c>
      <c r="G4473" s="7">
        <v>3730277</v>
      </c>
      <c r="H4473" s="7">
        <v>2373</v>
      </c>
      <c r="I4473" s="7">
        <v>149</v>
      </c>
      <c r="J4473" s="7">
        <v>327</v>
      </c>
      <c r="K4473" s="7" t="s">
        <v>18</v>
      </c>
      <c r="L4473" s="8">
        <v>39987.315405092595</v>
      </c>
      <c r="M4473" s="9" t="s">
        <v>19</v>
      </c>
      <c r="N4473" s="9" t="s">
        <v>20</v>
      </c>
      <c r="O4473" s="6" t="str">
        <f>HYPERLINK("https://pbs.twimg.com/profile_images/962471262747529216/Uo8lOkRJ_normal.jpg","View")</f>
        <v>View</v>
      </c>
      <c r="P4473" s="7"/>
    </row>
    <row r="4474" spans="1:16">
      <c r="A4474" s="3">
        <v>43922.142893518518</v>
      </c>
      <c r="B4474" s="4" t="str">
        <f>HYPERLINK("https://twitter.com/petrogustavo","@petrogustavo")</f>
        <v>@petrogustavo</v>
      </c>
      <c r="C4474" s="5" t="s">
        <v>16</v>
      </c>
      <c r="D4474" s="5" t="s">
        <v>4389</v>
      </c>
      <c r="E4474" s="6" t="str">
        <f>HYPERLINK("https://twitter.com/petrogustavo/status/1245107546219786256","1245107546219786256")</f>
        <v>1245107546219786256</v>
      </c>
      <c r="F4474" s="7" t="s">
        <v>17</v>
      </c>
      <c r="G4474" s="7">
        <v>3730277</v>
      </c>
      <c r="H4474" s="7">
        <v>2373</v>
      </c>
      <c r="I4474" s="7">
        <v>41</v>
      </c>
      <c r="J4474" s="7">
        <v>96</v>
      </c>
      <c r="K4474" s="7" t="s">
        <v>18</v>
      </c>
      <c r="L4474" s="8">
        <v>39987.315405092595</v>
      </c>
      <c r="M4474" s="9" t="s">
        <v>19</v>
      </c>
      <c r="N4474" s="9" t="s">
        <v>20</v>
      </c>
      <c r="O4474" s="6" t="str">
        <f>HYPERLINK("https://pbs.twimg.com/profile_images/962471262747529216/Uo8lOkRJ_normal.jpg","View")</f>
        <v>View</v>
      </c>
      <c r="P4474" s="7"/>
    </row>
    <row r="4475" spans="1:16">
      <c r="A4475" s="3">
        <v>43922.194699074069</v>
      </c>
      <c r="B4475" s="4" t="str">
        <f>HYPERLINK("https://twitter.com/petrogustavo","@petrogustavo")</f>
        <v>@petrogustavo</v>
      </c>
      <c r="C4475" s="5" t="s">
        <v>16</v>
      </c>
      <c r="D4475" s="5" t="s">
        <v>4390</v>
      </c>
      <c r="E4475" s="6" t="str">
        <f>HYPERLINK("https://twitter.com/petrogustavo/status/1245126319475765248","1245126319475765248")</f>
        <v>1245126319475765248</v>
      </c>
      <c r="F4475" s="7" t="s">
        <v>32</v>
      </c>
      <c r="G4475" s="7">
        <v>3730451</v>
      </c>
      <c r="H4475" s="7">
        <v>2373</v>
      </c>
      <c r="I4475" s="7">
        <v>226</v>
      </c>
      <c r="J4475" s="7">
        <v>0</v>
      </c>
      <c r="K4475" s="7" t="s">
        <v>18</v>
      </c>
      <c r="L4475" s="8">
        <v>39987.315405092595</v>
      </c>
      <c r="M4475" s="9" t="s">
        <v>19</v>
      </c>
      <c r="N4475" s="9" t="s">
        <v>20</v>
      </c>
      <c r="O4475" s="6" t="str">
        <f>HYPERLINK("https://pbs.twimg.com/profile_images/962471262747529216/Uo8lOkRJ_normal.jpg","View")</f>
        <v>View</v>
      </c>
      <c r="P4475" s="7"/>
    </row>
    <row r="4476" spans="1:16">
      <c r="A4476" s="3">
        <v>43922.194895833338</v>
      </c>
      <c r="B4476" s="4" t="str">
        <f>HYPERLINK("https://twitter.com/petrogustavo","@petrogustavo")</f>
        <v>@petrogustavo</v>
      </c>
      <c r="C4476" s="5" t="s">
        <v>16</v>
      </c>
      <c r="D4476" s="5" t="s">
        <v>4391</v>
      </c>
      <c r="E4476" s="6" t="str">
        <f>HYPERLINK("https://twitter.com/petrogustavo/status/1245126390527283202","1245126390527283202")</f>
        <v>1245126390527283202</v>
      </c>
      <c r="F4476" s="7" t="s">
        <v>32</v>
      </c>
      <c r="G4476" s="7">
        <v>3730451</v>
      </c>
      <c r="H4476" s="7">
        <v>2373</v>
      </c>
      <c r="I4476" s="7">
        <v>92</v>
      </c>
      <c r="J4476" s="7">
        <v>0</v>
      </c>
      <c r="K4476" s="7" t="s">
        <v>18</v>
      </c>
      <c r="L4476" s="8">
        <v>39987.315405092595</v>
      </c>
      <c r="M4476" s="9" t="s">
        <v>19</v>
      </c>
      <c r="N4476" s="9" t="s">
        <v>20</v>
      </c>
      <c r="O4476" s="6" t="str">
        <f>HYPERLINK("https://pbs.twimg.com/profile_images/962471262747529216/Uo8lOkRJ_normal.jpg","View")</f>
        <v>View</v>
      </c>
      <c r="P4476" s="7"/>
    </row>
    <row r="4477" spans="1:16">
      <c r="A4477" s="3">
        <v>43922.1949537037</v>
      </c>
      <c r="B4477" s="4" t="str">
        <f>HYPERLINK("https://twitter.com/petrogustavo","@petrogustavo")</f>
        <v>@petrogustavo</v>
      </c>
      <c r="C4477" s="5" t="s">
        <v>16</v>
      </c>
      <c r="D4477" s="5" t="s">
        <v>4392</v>
      </c>
      <c r="E4477" s="6" t="str">
        <f>HYPERLINK("https://twitter.com/petrogustavo/status/1245126412408946688","1245126412408946688")</f>
        <v>1245126412408946688</v>
      </c>
      <c r="F4477" s="7" t="s">
        <v>32</v>
      </c>
      <c r="G4477" s="7">
        <v>3730451</v>
      </c>
      <c r="H4477" s="7">
        <v>2373</v>
      </c>
      <c r="I4477" s="7">
        <v>25</v>
      </c>
      <c r="J4477" s="7">
        <v>0</v>
      </c>
      <c r="K4477" s="7" t="s">
        <v>18</v>
      </c>
      <c r="L4477" s="8">
        <v>39987.315405092595</v>
      </c>
      <c r="M4477" s="9" t="s">
        <v>19</v>
      </c>
      <c r="N4477" s="9" t="s">
        <v>20</v>
      </c>
      <c r="O4477" s="6" t="str">
        <f>HYPERLINK("https://pbs.twimg.com/profile_images/962471262747529216/Uo8lOkRJ_normal.jpg","View")</f>
        <v>View</v>
      </c>
      <c r="P4477" s="7"/>
    </row>
    <row r="4478" spans="1:16">
      <c r="A4478" s="3">
        <v>43922.195011574076</v>
      </c>
      <c r="B4478" s="4" t="str">
        <f>HYPERLINK("https://twitter.com/petrogustavo","@petrogustavo")</f>
        <v>@petrogustavo</v>
      </c>
      <c r="C4478" s="5" t="s">
        <v>16</v>
      </c>
      <c r="D4478" s="5" t="s">
        <v>4393</v>
      </c>
      <c r="E4478" s="6" t="str">
        <f>HYPERLINK("https://twitter.com/petrogustavo/status/1245126433745272832","1245126433745272832")</f>
        <v>1245126433745272832</v>
      </c>
      <c r="F4478" s="7" t="s">
        <v>32</v>
      </c>
      <c r="G4478" s="7">
        <v>3730451</v>
      </c>
      <c r="H4478" s="7">
        <v>2373</v>
      </c>
      <c r="I4478" s="7">
        <v>48</v>
      </c>
      <c r="J4478" s="7">
        <v>0</v>
      </c>
      <c r="K4478" s="7" t="s">
        <v>18</v>
      </c>
      <c r="L4478" s="8">
        <v>39987.315405092595</v>
      </c>
      <c r="M4478" s="9" t="s">
        <v>19</v>
      </c>
      <c r="N4478" s="9" t="s">
        <v>20</v>
      </c>
      <c r="O4478" s="6" t="str">
        <f>HYPERLINK("https://pbs.twimg.com/profile_images/962471262747529216/Uo8lOkRJ_normal.jpg","View")</f>
        <v>View</v>
      </c>
      <c r="P4478" s="7"/>
    </row>
    <row r="4479" spans="1:16">
      <c r="A4479" s="3">
        <v>43922.195138888885</v>
      </c>
      <c r="B4479" s="4" t="str">
        <f>HYPERLINK("https://twitter.com/petrogustavo","@petrogustavo")</f>
        <v>@petrogustavo</v>
      </c>
      <c r="C4479" s="5" t="s">
        <v>16</v>
      </c>
      <c r="D4479" s="5" t="s">
        <v>4394</v>
      </c>
      <c r="E4479" s="6" t="str">
        <f>HYPERLINK("https://twitter.com/petrogustavo/status/1245126480721575937","1245126480721575937")</f>
        <v>1245126480721575937</v>
      </c>
      <c r="F4479" s="7" t="s">
        <v>32</v>
      </c>
      <c r="G4479" s="7">
        <v>3730451</v>
      </c>
      <c r="H4479" s="7">
        <v>2373</v>
      </c>
      <c r="I4479" s="7">
        <v>21</v>
      </c>
      <c r="J4479" s="7">
        <v>0</v>
      </c>
      <c r="K4479" s="7" t="s">
        <v>18</v>
      </c>
      <c r="L4479" s="8">
        <v>39987.315405092595</v>
      </c>
      <c r="M4479" s="9" t="s">
        <v>19</v>
      </c>
      <c r="N4479" s="9" t="s">
        <v>20</v>
      </c>
      <c r="O4479" s="6" t="str">
        <f>HYPERLINK("https://pbs.twimg.com/profile_images/962471262747529216/Uo8lOkRJ_normal.jpg","View")</f>
        <v>View</v>
      </c>
      <c r="P4479" s="7"/>
    </row>
    <row r="4480" spans="1:16">
      <c r="A4480" s="3">
        <v>43922.195439814815</v>
      </c>
      <c r="B4480" s="4" t="str">
        <f>HYPERLINK("https://twitter.com/petrogustavo","@petrogustavo")</f>
        <v>@petrogustavo</v>
      </c>
      <c r="C4480" s="5" t="s">
        <v>16</v>
      </c>
      <c r="D4480" s="5" t="s">
        <v>4395</v>
      </c>
      <c r="E4480" s="6" t="str">
        <f>HYPERLINK("https://twitter.com/petrogustavo/status/1245126587235868683","1245126587235868683")</f>
        <v>1245126587235868683</v>
      </c>
      <c r="F4480" s="7" t="s">
        <v>32</v>
      </c>
      <c r="G4480" s="7">
        <v>3730451</v>
      </c>
      <c r="H4480" s="7">
        <v>2373</v>
      </c>
      <c r="I4480" s="7">
        <v>45</v>
      </c>
      <c r="J4480" s="7">
        <v>0</v>
      </c>
      <c r="K4480" s="7" t="s">
        <v>18</v>
      </c>
      <c r="L4480" s="8">
        <v>39987.315405092595</v>
      </c>
      <c r="M4480" s="9" t="s">
        <v>19</v>
      </c>
      <c r="N4480" s="9" t="s">
        <v>20</v>
      </c>
      <c r="O4480" s="6" t="str">
        <f>HYPERLINK("https://pbs.twimg.com/profile_images/962471262747529216/Uo8lOkRJ_normal.jpg","View")</f>
        <v>View</v>
      </c>
      <c r="P4480" s="7"/>
    </row>
    <row r="4481" spans="1:16">
      <c r="A4481" s="3">
        <v>43922.195844907408</v>
      </c>
      <c r="B4481" s="4" t="str">
        <f>HYPERLINK("https://twitter.com/petrogustavo","@petrogustavo")</f>
        <v>@petrogustavo</v>
      </c>
      <c r="C4481" s="5" t="s">
        <v>16</v>
      </c>
      <c r="D4481" s="5" t="s">
        <v>4396</v>
      </c>
      <c r="E4481" s="6" t="str">
        <f>HYPERLINK("https://twitter.com/petrogustavo/status/1245126734736953352","1245126734736953352")</f>
        <v>1245126734736953352</v>
      </c>
      <c r="F4481" s="7" t="s">
        <v>32</v>
      </c>
      <c r="G4481" s="7">
        <v>3730451</v>
      </c>
      <c r="H4481" s="7">
        <v>2373</v>
      </c>
      <c r="I4481" s="7">
        <v>17</v>
      </c>
      <c r="J4481" s="7">
        <v>0</v>
      </c>
      <c r="K4481" s="7" t="s">
        <v>18</v>
      </c>
      <c r="L4481" s="8">
        <v>39987.315405092595</v>
      </c>
      <c r="M4481" s="9" t="s">
        <v>19</v>
      </c>
      <c r="N4481" s="9" t="s">
        <v>20</v>
      </c>
      <c r="O4481" s="6" t="str">
        <f>HYPERLINK("https://pbs.twimg.com/profile_images/962471262747529216/Uo8lOkRJ_normal.jpg","View")</f>
        <v>View</v>
      </c>
      <c r="P4481" s="7"/>
    </row>
    <row r="4482" spans="1:16">
      <c r="A4482" s="3">
        <v>43922.195925925931</v>
      </c>
      <c r="B4482" s="4" t="str">
        <f>HYPERLINK("https://twitter.com/petrogustavo","@petrogustavo")</f>
        <v>@petrogustavo</v>
      </c>
      <c r="C4482" s="5" t="s">
        <v>16</v>
      </c>
      <c r="D4482" s="5" t="s">
        <v>4397</v>
      </c>
      <c r="E4482" s="6" t="str">
        <f>HYPERLINK("https://twitter.com/petrogustavo/status/1245126765300850689","1245126765300850689")</f>
        <v>1245126765300850689</v>
      </c>
      <c r="F4482" s="7" t="s">
        <v>32</v>
      </c>
      <c r="G4482" s="7">
        <v>3730451</v>
      </c>
      <c r="H4482" s="7">
        <v>2373</v>
      </c>
      <c r="I4482" s="7">
        <v>26</v>
      </c>
      <c r="J4482" s="7">
        <v>0</v>
      </c>
      <c r="K4482" s="7" t="s">
        <v>18</v>
      </c>
      <c r="L4482" s="8">
        <v>39987.315405092595</v>
      </c>
      <c r="M4482" s="9" t="s">
        <v>19</v>
      </c>
      <c r="N4482" s="9" t="s">
        <v>20</v>
      </c>
      <c r="O4482" s="6" t="str">
        <f>HYPERLINK("https://pbs.twimg.com/profile_images/962471262747529216/Uo8lOkRJ_normal.jpg","View")</f>
        <v>View</v>
      </c>
      <c r="P4482" s="7"/>
    </row>
    <row r="4483" spans="1:16">
      <c r="A4483" s="3">
        <v>43922.196053240739</v>
      </c>
      <c r="B4483" s="4" t="str">
        <f>HYPERLINK("https://twitter.com/petrogustavo","@petrogustavo")</f>
        <v>@petrogustavo</v>
      </c>
      <c r="C4483" s="5" t="s">
        <v>16</v>
      </c>
      <c r="D4483" s="5" t="s">
        <v>4398</v>
      </c>
      <c r="E4483" s="6" t="str">
        <f>HYPERLINK("https://twitter.com/petrogustavo/status/1245126809206820865","1245126809206820865")</f>
        <v>1245126809206820865</v>
      </c>
      <c r="F4483" s="7" t="s">
        <v>32</v>
      </c>
      <c r="G4483" s="7">
        <v>3730451</v>
      </c>
      <c r="H4483" s="7">
        <v>2373</v>
      </c>
      <c r="I4483" s="7">
        <v>28</v>
      </c>
      <c r="J4483" s="7">
        <v>0</v>
      </c>
      <c r="K4483" s="7" t="s">
        <v>18</v>
      </c>
      <c r="L4483" s="8">
        <v>39987.315405092595</v>
      </c>
      <c r="M4483" s="9" t="s">
        <v>19</v>
      </c>
      <c r="N4483" s="9" t="s">
        <v>20</v>
      </c>
      <c r="O4483" s="6" t="str">
        <f>HYPERLINK("https://pbs.twimg.com/profile_images/962471262747529216/Uo8lOkRJ_normal.jpg","View")</f>
        <v>View</v>
      </c>
      <c r="P4483" s="7"/>
    </row>
    <row r="4484" spans="1:16">
      <c r="A4484" s="3">
        <v>43922.196168981478</v>
      </c>
      <c r="B4484" s="4" t="str">
        <f>HYPERLINK("https://twitter.com/petrogustavo","@petrogustavo")</f>
        <v>@petrogustavo</v>
      </c>
      <c r="C4484" s="5" t="s">
        <v>16</v>
      </c>
      <c r="D4484" s="5" t="s">
        <v>4399</v>
      </c>
      <c r="E4484" s="6" t="str">
        <f>HYPERLINK("https://twitter.com/petrogustavo/status/1245126850449485824","1245126850449485824")</f>
        <v>1245126850449485824</v>
      </c>
      <c r="F4484" s="7" t="s">
        <v>32</v>
      </c>
      <c r="G4484" s="7">
        <v>3730451</v>
      </c>
      <c r="H4484" s="7">
        <v>2373</v>
      </c>
      <c r="I4484" s="7">
        <v>69</v>
      </c>
      <c r="J4484" s="7">
        <v>0</v>
      </c>
      <c r="K4484" s="7" t="s">
        <v>18</v>
      </c>
      <c r="L4484" s="8">
        <v>39987.315405092595</v>
      </c>
      <c r="M4484" s="9" t="s">
        <v>19</v>
      </c>
      <c r="N4484" s="9" t="s">
        <v>20</v>
      </c>
      <c r="O4484" s="6" t="str">
        <f>HYPERLINK("https://pbs.twimg.com/profile_images/962471262747529216/Uo8lOkRJ_normal.jpg","View")</f>
        <v>View</v>
      </c>
      <c r="P4484" s="7"/>
    </row>
    <row r="4485" spans="1:16">
      <c r="A4485" s="3">
        <v>43922.196631944447</v>
      </c>
      <c r="B4485" s="4" t="str">
        <f>HYPERLINK("https://twitter.com/petrogustavo","@petrogustavo")</f>
        <v>@petrogustavo</v>
      </c>
      <c r="C4485" s="5" t="s">
        <v>16</v>
      </c>
      <c r="D4485" s="5" t="s">
        <v>4400</v>
      </c>
      <c r="E4485" s="6" t="str">
        <f>HYPERLINK("https://twitter.com/petrogustavo/status/1245127021107335168","1245127021107335168")</f>
        <v>1245127021107335168</v>
      </c>
      <c r="F4485" s="7" t="s">
        <v>32</v>
      </c>
      <c r="G4485" s="7">
        <v>3730451</v>
      </c>
      <c r="H4485" s="7">
        <v>2373</v>
      </c>
      <c r="I4485" s="7">
        <v>47</v>
      </c>
      <c r="J4485" s="7">
        <v>0</v>
      </c>
      <c r="K4485" s="7" t="s">
        <v>18</v>
      </c>
      <c r="L4485" s="8">
        <v>39987.315405092595</v>
      </c>
      <c r="M4485" s="9" t="s">
        <v>19</v>
      </c>
      <c r="N4485" s="9" t="s">
        <v>20</v>
      </c>
      <c r="O4485" s="6" t="str">
        <f>HYPERLINK("https://pbs.twimg.com/profile_images/962471262747529216/Uo8lOkRJ_normal.jpg","View")</f>
        <v>View</v>
      </c>
      <c r="P4485" s="7"/>
    </row>
    <row r="4486" spans="1:16">
      <c r="A4486" s="3">
        <v>43922.197025462963</v>
      </c>
      <c r="B4486" s="4" t="str">
        <f>HYPERLINK("https://twitter.com/petrogustavo","@petrogustavo")</f>
        <v>@petrogustavo</v>
      </c>
      <c r="C4486" s="5" t="s">
        <v>16</v>
      </c>
      <c r="D4486" s="5" t="s">
        <v>4401</v>
      </c>
      <c r="E4486" s="6" t="str">
        <f>HYPERLINK("https://twitter.com/petrogustavo/status/1245127162837053448","1245127162837053448")</f>
        <v>1245127162837053448</v>
      </c>
      <c r="F4486" s="7" t="s">
        <v>32</v>
      </c>
      <c r="G4486" s="7">
        <v>3730451</v>
      </c>
      <c r="H4486" s="7">
        <v>2373</v>
      </c>
      <c r="I4486" s="7">
        <v>23</v>
      </c>
      <c r="J4486" s="7">
        <v>0</v>
      </c>
      <c r="K4486" s="7" t="s">
        <v>18</v>
      </c>
      <c r="L4486" s="8">
        <v>39987.315405092595</v>
      </c>
      <c r="M4486" s="9" t="s">
        <v>19</v>
      </c>
      <c r="N4486" s="9" t="s">
        <v>20</v>
      </c>
      <c r="O4486" s="6" t="str">
        <f>HYPERLINK("https://pbs.twimg.com/profile_images/962471262747529216/Uo8lOkRJ_normal.jpg","View")</f>
        <v>View</v>
      </c>
      <c r="P4486" s="7"/>
    </row>
    <row r="4487" spans="1:16">
      <c r="A4487" s="3">
        <v>43922.197326388894</v>
      </c>
      <c r="B4487" s="4" t="str">
        <f>HYPERLINK("https://twitter.com/petrogustavo","@petrogustavo")</f>
        <v>@petrogustavo</v>
      </c>
      <c r="C4487" s="5" t="s">
        <v>16</v>
      </c>
      <c r="D4487" s="5" t="s">
        <v>4402</v>
      </c>
      <c r="E4487" s="6" t="str">
        <f>HYPERLINK("https://twitter.com/petrogustavo/status/1245127269359722497","1245127269359722497")</f>
        <v>1245127269359722497</v>
      </c>
      <c r="F4487" s="7" t="s">
        <v>32</v>
      </c>
      <c r="G4487" s="7">
        <v>3730451</v>
      </c>
      <c r="H4487" s="7">
        <v>2373</v>
      </c>
      <c r="I4487" s="7">
        <v>25</v>
      </c>
      <c r="J4487" s="7">
        <v>0</v>
      </c>
      <c r="K4487" s="7" t="s">
        <v>18</v>
      </c>
      <c r="L4487" s="8">
        <v>39987.315405092595</v>
      </c>
      <c r="M4487" s="9" t="s">
        <v>19</v>
      </c>
      <c r="N4487" s="9" t="s">
        <v>20</v>
      </c>
      <c r="O4487" s="6" t="str">
        <f>HYPERLINK("https://pbs.twimg.com/profile_images/962471262747529216/Uo8lOkRJ_normal.jpg","View")</f>
        <v>View</v>
      </c>
      <c r="P4487" s="7"/>
    </row>
    <row r="4488" spans="1:16">
      <c r="A4488" s="3">
        <v>43922.197511574079</v>
      </c>
      <c r="B4488" s="4" t="str">
        <f>HYPERLINK("https://twitter.com/petrogustavo","@petrogustavo")</f>
        <v>@petrogustavo</v>
      </c>
      <c r="C4488" s="5" t="s">
        <v>16</v>
      </c>
      <c r="D4488" s="5" t="s">
        <v>4403</v>
      </c>
      <c r="E4488" s="6" t="str">
        <f>HYPERLINK("https://twitter.com/petrogustavo/status/1245127336531550211","1245127336531550211")</f>
        <v>1245127336531550211</v>
      </c>
      <c r="F4488" s="7" t="s">
        <v>32</v>
      </c>
      <c r="G4488" s="7">
        <v>3730451</v>
      </c>
      <c r="H4488" s="7">
        <v>2373</v>
      </c>
      <c r="I4488" s="7">
        <v>37</v>
      </c>
      <c r="J4488" s="7">
        <v>0</v>
      </c>
      <c r="K4488" s="7" t="s">
        <v>18</v>
      </c>
      <c r="L4488" s="8">
        <v>39987.315405092595</v>
      </c>
      <c r="M4488" s="9" t="s">
        <v>19</v>
      </c>
      <c r="N4488" s="9" t="s">
        <v>20</v>
      </c>
      <c r="O4488" s="6" t="str">
        <f>HYPERLINK("https://pbs.twimg.com/profile_images/962471262747529216/Uo8lOkRJ_normal.jpg","View")</f>
        <v>View</v>
      </c>
      <c r="P4488" s="7"/>
    </row>
    <row r="4489" spans="1:16">
      <c r="A4489" s="3">
        <v>43922.197615740741</v>
      </c>
      <c r="B4489" s="4" t="str">
        <f>HYPERLINK("https://twitter.com/petrogustavo","@petrogustavo")</f>
        <v>@petrogustavo</v>
      </c>
      <c r="C4489" s="5" t="s">
        <v>16</v>
      </c>
      <c r="D4489" s="5" t="s">
        <v>4404</v>
      </c>
      <c r="E4489" s="6" t="str">
        <f>HYPERLINK("https://twitter.com/petrogustavo/status/1245127374821187584","1245127374821187584")</f>
        <v>1245127374821187584</v>
      </c>
      <c r="F4489" s="7" t="s">
        <v>32</v>
      </c>
      <c r="G4489" s="7">
        <v>3730451</v>
      </c>
      <c r="H4489" s="7">
        <v>2373</v>
      </c>
      <c r="I4489" s="7">
        <v>21</v>
      </c>
      <c r="J4489" s="7">
        <v>0</v>
      </c>
      <c r="K4489" s="7" t="s">
        <v>18</v>
      </c>
      <c r="L4489" s="8">
        <v>39987.315405092595</v>
      </c>
      <c r="M4489" s="9" t="s">
        <v>19</v>
      </c>
      <c r="N4489" s="9" t="s">
        <v>20</v>
      </c>
      <c r="O4489" s="6" t="str">
        <f>HYPERLINK("https://pbs.twimg.com/profile_images/962471262747529216/Uo8lOkRJ_normal.jpg","View")</f>
        <v>View</v>
      </c>
      <c r="P4489" s="7"/>
    </row>
    <row r="4490" spans="1:16">
      <c r="A4490" s="3">
        <v>43922.197812500002</v>
      </c>
      <c r="B4490" s="4" t="str">
        <f>HYPERLINK("https://twitter.com/petrogustavo","@petrogustavo")</f>
        <v>@petrogustavo</v>
      </c>
      <c r="C4490" s="5" t="s">
        <v>16</v>
      </c>
      <c r="D4490" s="5" t="s">
        <v>4405</v>
      </c>
      <c r="E4490" s="6" t="str">
        <f>HYPERLINK("https://twitter.com/petrogustavo/status/1245127447395422208","1245127447395422208")</f>
        <v>1245127447395422208</v>
      </c>
      <c r="F4490" s="7" t="s">
        <v>32</v>
      </c>
      <c r="G4490" s="7">
        <v>3730451</v>
      </c>
      <c r="H4490" s="7">
        <v>2373</v>
      </c>
      <c r="I4490" s="7">
        <v>34</v>
      </c>
      <c r="J4490" s="7">
        <v>0</v>
      </c>
      <c r="K4490" s="7" t="s">
        <v>18</v>
      </c>
      <c r="L4490" s="8">
        <v>39987.315405092595</v>
      </c>
      <c r="M4490" s="9" t="s">
        <v>19</v>
      </c>
      <c r="N4490" s="9" t="s">
        <v>20</v>
      </c>
      <c r="O4490" s="6" t="str">
        <f>HYPERLINK("https://pbs.twimg.com/profile_images/962471262747529216/Uo8lOkRJ_normal.jpg","View")</f>
        <v>View</v>
      </c>
      <c r="P4490" s="7"/>
    </row>
    <row r="4491" spans="1:16">
      <c r="A4491" s="3">
        <v>43922.197893518518</v>
      </c>
      <c r="B4491" s="4" t="str">
        <f>HYPERLINK("https://twitter.com/petrogustavo","@petrogustavo")</f>
        <v>@petrogustavo</v>
      </c>
      <c r="C4491" s="5" t="s">
        <v>16</v>
      </c>
      <c r="D4491" s="5" t="s">
        <v>4406</v>
      </c>
      <c r="E4491" s="6" t="str">
        <f>HYPERLINK("https://twitter.com/petrogustavo/status/1245127476310953989","1245127476310953989")</f>
        <v>1245127476310953989</v>
      </c>
      <c r="F4491" s="7" t="s">
        <v>32</v>
      </c>
      <c r="G4491" s="7">
        <v>3730451</v>
      </c>
      <c r="H4491" s="7">
        <v>2373</v>
      </c>
      <c r="I4491" s="7">
        <v>22</v>
      </c>
      <c r="J4491" s="7">
        <v>0</v>
      </c>
      <c r="K4491" s="7" t="s">
        <v>18</v>
      </c>
      <c r="L4491" s="8">
        <v>39987.315405092595</v>
      </c>
      <c r="M4491" s="9" t="s">
        <v>19</v>
      </c>
      <c r="N4491" s="9" t="s">
        <v>20</v>
      </c>
      <c r="O4491" s="6" t="str">
        <f>HYPERLINK("https://pbs.twimg.com/profile_images/962471262747529216/Uo8lOkRJ_normal.jpg","View")</f>
        <v>View</v>
      </c>
      <c r="P4491" s="7"/>
    </row>
    <row r="4492" spans="1:16">
      <c r="A4492" s="3">
        <v>43922.200046296297</v>
      </c>
      <c r="B4492" s="4" t="str">
        <f>HYPERLINK("https://twitter.com/petrogustavo","@petrogustavo")</f>
        <v>@petrogustavo</v>
      </c>
      <c r="C4492" s="5" t="s">
        <v>16</v>
      </c>
      <c r="D4492" s="5" t="s">
        <v>4407</v>
      </c>
      <c r="E4492" s="6" t="str">
        <f>HYPERLINK("https://twitter.com/petrogustavo/status/1245128258452144131","1245128258452144131")</f>
        <v>1245128258452144131</v>
      </c>
      <c r="F4492" s="7" t="s">
        <v>32</v>
      </c>
      <c r="G4492" s="7">
        <v>3730451</v>
      </c>
      <c r="H4492" s="7">
        <v>2373</v>
      </c>
      <c r="I4492" s="7">
        <v>29</v>
      </c>
      <c r="J4492" s="7">
        <v>0</v>
      </c>
      <c r="K4492" s="7" t="s">
        <v>18</v>
      </c>
      <c r="L4492" s="8">
        <v>39987.315405092595</v>
      </c>
      <c r="M4492" s="9" t="s">
        <v>19</v>
      </c>
      <c r="N4492" s="9" t="s">
        <v>20</v>
      </c>
      <c r="O4492" s="6" t="str">
        <f>HYPERLINK("https://pbs.twimg.com/profile_images/962471262747529216/Uo8lOkRJ_normal.jpg","View")</f>
        <v>View</v>
      </c>
      <c r="P4492" s="7"/>
    </row>
    <row r="4493" spans="1:16">
      <c r="A4493" s="3">
        <v>43922.200185185182</v>
      </c>
      <c r="B4493" s="4" t="str">
        <f>HYPERLINK("https://twitter.com/petrogustavo","@petrogustavo")</f>
        <v>@petrogustavo</v>
      </c>
      <c r="C4493" s="5" t="s">
        <v>16</v>
      </c>
      <c r="D4493" s="5" t="s">
        <v>4408</v>
      </c>
      <c r="E4493" s="6" t="str">
        <f>HYPERLINK("https://twitter.com/petrogustavo/status/1245128307085017088","1245128307085017088")</f>
        <v>1245128307085017088</v>
      </c>
      <c r="F4493" s="7" t="s">
        <v>32</v>
      </c>
      <c r="G4493" s="7">
        <v>3730451</v>
      </c>
      <c r="H4493" s="7">
        <v>2373</v>
      </c>
      <c r="I4493" s="7">
        <v>26</v>
      </c>
      <c r="J4493" s="7">
        <v>0</v>
      </c>
      <c r="K4493" s="7" t="s">
        <v>18</v>
      </c>
      <c r="L4493" s="8">
        <v>39987.315405092595</v>
      </c>
      <c r="M4493" s="9" t="s">
        <v>19</v>
      </c>
      <c r="N4493" s="9" t="s">
        <v>20</v>
      </c>
      <c r="O4493" s="6" t="str">
        <f>HYPERLINK("https://pbs.twimg.com/profile_images/962471262747529216/Uo8lOkRJ_normal.jpg","View")</f>
        <v>View</v>
      </c>
      <c r="P4493" s="7"/>
    </row>
    <row r="4494" spans="1:16">
      <c r="A4494" s="3">
        <v>43922.254837962959</v>
      </c>
      <c r="B4494" s="4" t="str">
        <f>HYPERLINK("https://twitter.com/petrogustavo","@petrogustavo")</f>
        <v>@petrogustavo</v>
      </c>
      <c r="C4494" s="5" t="s">
        <v>16</v>
      </c>
      <c r="D4494" s="5" t="s">
        <v>4409</v>
      </c>
      <c r="E4494" s="6" t="str">
        <f>HYPERLINK("https://twitter.com/petrogustavo/status/1245148111540047872","1245148111540047872")</f>
        <v>1245148111540047872</v>
      </c>
      <c r="F4494" s="7" t="s">
        <v>17</v>
      </c>
      <c r="G4494" s="7">
        <v>3730699</v>
      </c>
      <c r="H4494" s="7">
        <v>2373</v>
      </c>
      <c r="I4494" s="7">
        <v>115</v>
      </c>
      <c r="J4494" s="7">
        <v>275</v>
      </c>
      <c r="K4494" s="7" t="s">
        <v>18</v>
      </c>
      <c r="L4494" s="8">
        <v>39987.315405092595</v>
      </c>
      <c r="M4494" s="9" t="s">
        <v>19</v>
      </c>
      <c r="N4494" s="9" t="s">
        <v>20</v>
      </c>
      <c r="O4494" s="6" t="str">
        <f>HYPERLINK("https://pbs.twimg.com/profile_images/962471262747529216/Uo8lOkRJ_normal.jpg","View")</f>
        <v>View</v>
      </c>
      <c r="P4494" s="7"/>
    </row>
    <row r="4495" spans="1:16">
      <c r="A4495" s="3">
        <v>43922.256122685183</v>
      </c>
      <c r="B4495" s="4" t="str">
        <f>HYPERLINK("https://twitter.com/petrogustavo","@petrogustavo")</f>
        <v>@petrogustavo</v>
      </c>
      <c r="C4495" s="5" t="s">
        <v>16</v>
      </c>
      <c r="D4495" s="5" t="s">
        <v>4410</v>
      </c>
      <c r="E4495" s="6" t="str">
        <f>HYPERLINK("https://twitter.com/petrogustavo/status/1245148578558939136","1245148578558939136")</f>
        <v>1245148578558939136</v>
      </c>
      <c r="F4495" s="7" t="s">
        <v>17</v>
      </c>
      <c r="G4495" s="7">
        <v>3730699</v>
      </c>
      <c r="H4495" s="7">
        <v>2373</v>
      </c>
      <c r="I4495" s="7">
        <v>159</v>
      </c>
      <c r="J4495" s="7">
        <v>175</v>
      </c>
      <c r="K4495" s="7" t="s">
        <v>18</v>
      </c>
      <c r="L4495" s="8">
        <v>39987.315405092595</v>
      </c>
      <c r="M4495" s="9" t="s">
        <v>19</v>
      </c>
      <c r="N4495" s="9" t="s">
        <v>20</v>
      </c>
      <c r="O4495" s="6" t="str">
        <f>HYPERLINK("https://pbs.twimg.com/profile_images/962471262747529216/Uo8lOkRJ_normal.jpg","View")</f>
        <v>View</v>
      </c>
      <c r="P4495" s="7"/>
    </row>
    <row r="4496" spans="1:16">
      <c r="A4496" s="3">
        <v>43922.256319444445</v>
      </c>
      <c r="B4496" s="4" t="str">
        <f>HYPERLINK("https://twitter.com/petrogustavo","@petrogustavo")</f>
        <v>@petrogustavo</v>
      </c>
      <c r="C4496" s="5" t="s">
        <v>16</v>
      </c>
      <c r="D4496" s="5" t="s">
        <v>4411</v>
      </c>
      <c r="E4496" s="6" t="str">
        <f>HYPERLINK("https://twitter.com/petrogustavo/status/1245148651502125057","1245148651502125057")</f>
        <v>1245148651502125057</v>
      </c>
      <c r="F4496" s="7" t="s">
        <v>17</v>
      </c>
      <c r="G4496" s="7">
        <v>3730699</v>
      </c>
      <c r="H4496" s="7">
        <v>2373</v>
      </c>
      <c r="I4496" s="7">
        <v>115</v>
      </c>
      <c r="J4496" s="7">
        <v>0</v>
      </c>
      <c r="K4496" s="7" t="s">
        <v>18</v>
      </c>
      <c r="L4496" s="8">
        <v>39987.315405092595</v>
      </c>
      <c r="M4496" s="9" t="s">
        <v>19</v>
      </c>
      <c r="N4496" s="9" t="s">
        <v>20</v>
      </c>
      <c r="O4496" s="6" t="str">
        <f>HYPERLINK("https://pbs.twimg.com/profile_images/962471262747529216/Uo8lOkRJ_normal.jpg","View")</f>
        <v>View</v>
      </c>
      <c r="P4496" s="7"/>
    </row>
    <row r="4497" spans="1:16">
      <c r="A4497" s="3">
        <v>43922.263726851852</v>
      </c>
      <c r="B4497" s="4" t="str">
        <f>HYPERLINK("https://twitter.com/petrogustavo","@petrogustavo")</f>
        <v>@petrogustavo</v>
      </c>
      <c r="C4497" s="5" t="s">
        <v>16</v>
      </c>
      <c r="D4497" s="5" t="s">
        <v>4412</v>
      </c>
      <c r="E4497" s="6" t="str">
        <f>HYPERLINK("https://twitter.com/petrogustavo/status/1245151334921273344","1245151334921273344")</f>
        <v>1245151334921273344</v>
      </c>
      <c r="F4497" s="7" t="s">
        <v>17</v>
      </c>
      <c r="G4497" s="7">
        <v>3730699</v>
      </c>
      <c r="H4497" s="7">
        <v>2373</v>
      </c>
      <c r="I4497" s="7">
        <v>47</v>
      </c>
      <c r="J4497" s="7">
        <v>64</v>
      </c>
      <c r="K4497" s="7" t="s">
        <v>18</v>
      </c>
      <c r="L4497" s="8">
        <v>39987.315405092595</v>
      </c>
      <c r="M4497" s="9" t="s">
        <v>19</v>
      </c>
      <c r="N4497" s="9" t="s">
        <v>20</v>
      </c>
      <c r="O4497" s="6" t="str">
        <f>HYPERLINK("https://pbs.twimg.com/profile_images/962471262747529216/Uo8lOkRJ_normal.jpg","View")</f>
        <v>View</v>
      </c>
      <c r="P4497" s="7"/>
    </row>
    <row r="4498" spans="1:16">
      <c r="A4498" s="3">
        <v>43922.265902777777</v>
      </c>
      <c r="B4498" s="4" t="str">
        <f>HYPERLINK("https://twitter.com/petrogustavo","@petrogustavo")</f>
        <v>@petrogustavo</v>
      </c>
      <c r="C4498" s="5" t="s">
        <v>16</v>
      </c>
      <c r="D4498" s="5" t="s">
        <v>4413</v>
      </c>
      <c r="E4498" s="6" t="str">
        <f>HYPERLINK("https://twitter.com/petrogustavo/status/1245152121605021696","1245152121605021696")</f>
        <v>1245152121605021696</v>
      </c>
      <c r="F4498" s="7" t="s">
        <v>17</v>
      </c>
      <c r="G4498" s="7">
        <v>3730699</v>
      </c>
      <c r="H4498" s="7">
        <v>2373</v>
      </c>
      <c r="I4498" s="7">
        <v>45</v>
      </c>
      <c r="J4498" s="7">
        <v>99</v>
      </c>
      <c r="K4498" s="7" t="s">
        <v>18</v>
      </c>
      <c r="L4498" s="8">
        <v>39987.315405092595</v>
      </c>
      <c r="M4498" s="9" t="s">
        <v>19</v>
      </c>
      <c r="N4498" s="9" t="s">
        <v>20</v>
      </c>
      <c r="O4498" s="6" t="str">
        <f>HYPERLINK("https://pbs.twimg.com/profile_images/962471262747529216/Uo8lOkRJ_normal.jpg","View")</f>
        <v>View</v>
      </c>
      <c r="P4498" s="7"/>
    </row>
    <row r="4499" spans="1:16">
      <c r="A4499" s="3">
        <v>43922.269652777773</v>
      </c>
      <c r="B4499" s="4" t="str">
        <f>HYPERLINK("https://twitter.com/petrogustavo","@petrogustavo")</f>
        <v>@petrogustavo</v>
      </c>
      <c r="C4499" s="5" t="s">
        <v>16</v>
      </c>
      <c r="D4499" s="5" t="s">
        <v>4414</v>
      </c>
      <c r="E4499" s="6" t="str">
        <f>HYPERLINK("https://twitter.com/petrogustavo/status/1245153481712963584","1245153481712963584")</f>
        <v>1245153481712963584</v>
      </c>
      <c r="F4499" s="7" t="s">
        <v>17</v>
      </c>
      <c r="G4499" s="7">
        <v>3730699</v>
      </c>
      <c r="H4499" s="7">
        <v>2373</v>
      </c>
      <c r="I4499" s="7">
        <v>391</v>
      </c>
      <c r="J4499" s="7">
        <v>0</v>
      </c>
      <c r="K4499" s="7" t="s">
        <v>18</v>
      </c>
      <c r="L4499" s="8">
        <v>39987.315405092595</v>
      </c>
      <c r="M4499" s="9" t="s">
        <v>19</v>
      </c>
      <c r="N4499" s="9" t="s">
        <v>20</v>
      </c>
      <c r="O4499" s="6" t="str">
        <f>HYPERLINK("https://pbs.twimg.com/profile_images/962471262747529216/Uo8lOkRJ_normal.jpg","View")</f>
        <v>View</v>
      </c>
      <c r="P4499" s="7"/>
    </row>
    <row r="4500" spans="1:16">
      <c r="A4500" s="3">
        <v>43922.27244212963</v>
      </c>
      <c r="B4500" s="4" t="str">
        <f>HYPERLINK("https://twitter.com/petrogustavo","@petrogustavo")</f>
        <v>@petrogustavo</v>
      </c>
      <c r="C4500" s="5" t="s">
        <v>16</v>
      </c>
      <c r="D4500" s="5" t="s">
        <v>4415</v>
      </c>
      <c r="E4500" s="6" t="str">
        <f>HYPERLINK("https://twitter.com/petrogustavo/status/1245154490417905670","1245154490417905670")</f>
        <v>1245154490417905670</v>
      </c>
      <c r="F4500" s="7" t="s">
        <v>17</v>
      </c>
      <c r="G4500" s="7">
        <v>3730699</v>
      </c>
      <c r="H4500" s="7">
        <v>2373</v>
      </c>
      <c r="I4500" s="7">
        <v>2</v>
      </c>
      <c r="J4500" s="7">
        <v>0</v>
      </c>
      <c r="K4500" s="7" t="s">
        <v>18</v>
      </c>
      <c r="L4500" s="8">
        <v>39987.315405092595</v>
      </c>
      <c r="M4500" s="9" t="s">
        <v>19</v>
      </c>
      <c r="N4500" s="9" t="s">
        <v>20</v>
      </c>
      <c r="O4500" s="6" t="str">
        <f>HYPERLINK("https://pbs.twimg.com/profile_images/962471262747529216/Uo8lOkRJ_normal.jpg","View")</f>
        <v>View</v>
      </c>
      <c r="P4500" s="7"/>
    </row>
    <row r="4501" spans="1:16">
      <c r="A4501" s="3">
        <v>43922.274108796293</v>
      </c>
      <c r="B4501" s="4" t="str">
        <f>HYPERLINK("https://twitter.com/petrogustavo","@petrogustavo")</f>
        <v>@petrogustavo</v>
      </c>
      <c r="C4501" s="5" t="s">
        <v>16</v>
      </c>
      <c r="D4501" s="5" t="s">
        <v>4416</v>
      </c>
      <c r="E4501" s="6" t="str">
        <f>HYPERLINK("https://twitter.com/petrogustavo/status/1245155097199489025","1245155097199489025")</f>
        <v>1245155097199489025</v>
      </c>
      <c r="F4501" s="7" t="s">
        <v>17</v>
      </c>
      <c r="G4501" s="7">
        <v>3730786</v>
      </c>
      <c r="H4501" s="7">
        <v>2373</v>
      </c>
      <c r="I4501" s="7">
        <v>801</v>
      </c>
      <c r="J4501" s="7">
        <v>0</v>
      </c>
      <c r="K4501" s="7" t="s">
        <v>18</v>
      </c>
      <c r="L4501" s="8">
        <v>39987.315405092595</v>
      </c>
      <c r="M4501" s="9" t="s">
        <v>19</v>
      </c>
      <c r="N4501" s="9" t="s">
        <v>20</v>
      </c>
      <c r="O4501" s="6" t="str">
        <f>HYPERLINK("https://pbs.twimg.com/profile_images/962471262747529216/Uo8lOkRJ_normal.jpg","View")</f>
        <v>View</v>
      </c>
      <c r="P4501" s="7"/>
    </row>
    <row r="4502" spans="1:16">
      <c r="A4502" s="3">
        <v>43922.274293981478</v>
      </c>
      <c r="B4502" s="4" t="str">
        <f>HYPERLINK("https://twitter.com/petrogustavo","@petrogustavo")</f>
        <v>@petrogustavo</v>
      </c>
      <c r="C4502" s="5" t="s">
        <v>16</v>
      </c>
      <c r="D4502" s="5" t="s">
        <v>4417</v>
      </c>
      <c r="E4502" s="6" t="str">
        <f>HYPERLINK("https://twitter.com/petrogustavo/status/1245155164933275648","1245155164933275648")</f>
        <v>1245155164933275648</v>
      </c>
      <c r="F4502" s="7" t="s">
        <v>17</v>
      </c>
      <c r="G4502" s="7">
        <v>3730786</v>
      </c>
      <c r="H4502" s="7">
        <v>2373</v>
      </c>
      <c r="I4502" s="7">
        <v>742</v>
      </c>
      <c r="J4502" s="7">
        <v>0</v>
      </c>
      <c r="K4502" s="7" t="s">
        <v>18</v>
      </c>
      <c r="L4502" s="8">
        <v>39987.315405092595</v>
      </c>
      <c r="M4502" s="9" t="s">
        <v>19</v>
      </c>
      <c r="N4502" s="9" t="s">
        <v>20</v>
      </c>
      <c r="O4502" s="6" t="str">
        <f>HYPERLINK("https://pbs.twimg.com/profile_images/962471262747529216/Uo8lOkRJ_normal.jpg","View")</f>
        <v>View</v>
      </c>
      <c r="P4502" s="7"/>
    </row>
    <row r="4503" spans="1:16">
      <c r="A4503" s="3">
        <v>43922.274594907409</v>
      </c>
      <c r="B4503" s="4" t="str">
        <f>HYPERLINK("https://twitter.com/petrogustavo","@petrogustavo")</f>
        <v>@petrogustavo</v>
      </c>
      <c r="C4503" s="5" t="s">
        <v>16</v>
      </c>
      <c r="D4503" s="5" t="s">
        <v>4418</v>
      </c>
      <c r="E4503" s="6" t="str">
        <f>HYPERLINK("https://twitter.com/petrogustavo/status/1245155272965918720","1245155272965918720")</f>
        <v>1245155272965918720</v>
      </c>
      <c r="F4503" s="7" t="s">
        <v>17</v>
      </c>
      <c r="G4503" s="7">
        <v>3730786</v>
      </c>
      <c r="H4503" s="7">
        <v>2373</v>
      </c>
      <c r="I4503" s="7">
        <v>128</v>
      </c>
      <c r="J4503" s="7">
        <v>0</v>
      </c>
      <c r="K4503" s="7" t="s">
        <v>18</v>
      </c>
      <c r="L4503" s="8">
        <v>39987.315405092595</v>
      </c>
      <c r="M4503" s="9" t="s">
        <v>19</v>
      </c>
      <c r="N4503" s="9" t="s">
        <v>20</v>
      </c>
      <c r="O4503" s="6" t="str">
        <f>HYPERLINK("https://pbs.twimg.com/profile_images/962471262747529216/Uo8lOkRJ_normal.jpg","View")</f>
        <v>View</v>
      </c>
      <c r="P4503" s="7"/>
    </row>
    <row r="4504" spans="1:16">
      <c r="A4504" s="3">
        <v>43922.279780092591</v>
      </c>
      <c r="B4504" s="4" t="str">
        <f>HYPERLINK("https://twitter.com/petrogustavo","@petrogustavo")</f>
        <v>@petrogustavo</v>
      </c>
      <c r="C4504" s="5" t="s">
        <v>16</v>
      </c>
      <c r="D4504" s="5" t="s">
        <v>4419</v>
      </c>
      <c r="E4504" s="6" t="str">
        <f>HYPERLINK("https://twitter.com/petrogustavo/status/1245157152584597505","1245157152584597505")</f>
        <v>1245157152584597505</v>
      </c>
      <c r="F4504" s="7" t="s">
        <v>17</v>
      </c>
      <c r="G4504" s="7">
        <v>3730786</v>
      </c>
      <c r="H4504" s="7">
        <v>2373</v>
      </c>
      <c r="I4504" s="7">
        <v>3792</v>
      </c>
      <c r="J4504" s="7">
        <v>0</v>
      </c>
      <c r="K4504" s="7" t="s">
        <v>18</v>
      </c>
      <c r="L4504" s="8">
        <v>39987.315405092595</v>
      </c>
      <c r="M4504" s="9" t="s">
        <v>19</v>
      </c>
      <c r="N4504" s="9" t="s">
        <v>20</v>
      </c>
      <c r="O4504" s="6" t="str">
        <f>HYPERLINK("https://pbs.twimg.com/profile_images/962471262747529216/Uo8lOkRJ_normal.jpg","View")</f>
        <v>View</v>
      </c>
      <c r="P4504" s="7"/>
    </row>
    <row r="4505" spans="1:16">
      <c r="A4505" s="3">
        <v>43922.281990740739</v>
      </c>
      <c r="B4505" s="4" t="str">
        <f>HYPERLINK("https://twitter.com/petrogustavo","@petrogustavo")</f>
        <v>@petrogustavo</v>
      </c>
      <c r="C4505" s="5" t="s">
        <v>16</v>
      </c>
      <c r="D4505" s="5" t="s">
        <v>4420</v>
      </c>
      <c r="E4505" s="6" t="str">
        <f>HYPERLINK("https://twitter.com/petrogustavo/status/1245157952539054087","1245157952539054087")</f>
        <v>1245157952539054087</v>
      </c>
      <c r="F4505" s="7" t="s">
        <v>17</v>
      </c>
      <c r="G4505" s="7">
        <v>3730786</v>
      </c>
      <c r="H4505" s="7">
        <v>2373</v>
      </c>
      <c r="I4505" s="7">
        <v>121</v>
      </c>
      <c r="J4505" s="7">
        <v>262</v>
      </c>
      <c r="K4505" s="7" t="s">
        <v>18</v>
      </c>
      <c r="L4505" s="8">
        <v>39987.315405092595</v>
      </c>
      <c r="M4505" s="9" t="s">
        <v>19</v>
      </c>
      <c r="N4505" s="9" t="s">
        <v>20</v>
      </c>
      <c r="O4505" s="6" t="str">
        <f>HYPERLINK("https://pbs.twimg.com/profile_images/962471262747529216/Uo8lOkRJ_normal.jpg","View")</f>
        <v>View</v>
      </c>
      <c r="P4505" s="7"/>
    </row>
    <row r="4506" spans="1:16">
      <c r="A4506" s="3">
        <v>43922.283356481479</v>
      </c>
      <c r="B4506" s="4" t="str">
        <f>HYPERLINK("https://twitter.com/petrogustavo","@petrogustavo")</f>
        <v>@petrogustavo</v>
      </c>
      <c r="C4506" s="5" t="s">
        <v>16</v>
      </c>
      <c r="D4506" s="5" t="s">
        <v>4421</v>
      </c>
      <c r="E4506" s="6" t="str">
        <f>HYPERLINK("https://twitter.com/petrogustavo/status/1245158448775471105","1245158448775471105")</f>
        <v>1245158448775471105</v>
      </c>
      <c r="F4506" s="7" t="s">
        <v>17</v>
      </c>
      <c r="G4506" s="7">
        <v>3730786</v>
      </c>
      <c r="H4506" s="7">
        <v>2373</v>
      </c>
      <c r="I4506" s="7">
        <v>910</v>
      </c>
      <c r="J4506" s="7">
        <v>0</v>
      </c>
      <c r="K4506" s="7" t="s">
        <v>18</v>
      </c>
      <c r="L4506" s="8">
        <v>39987.315405092595</v>
      </c>
      <c r="M4506" s="9" t="s">
        <v>19</v>
      </c>
      <c r="N4506" s="9" t="s">
        <v>20</v>
      </c>
      <c r="O4506" s="6" t="str">
        <f>HYPERLINK("https://pbs.twimg.com/profile_images/962471262747529216/Uo8lOkRJ_normal.jpg","View")</f>
        <v>View</v>
      </c>
      <c r="P4506" s="7"/>
    </row>
    <row r="4507" spans="1:16">
      <c r="A4507" s="3">
        <v>43922.284467592588</v>
      </c>
      <c r="B4507" s="4" t="str">
        <f>HYPERLINK("https://twitter.com/petrogustavo","@petrogustavo")</f>
        <v>@petrogustavo</v>
      </c>
      <c r="C4507" s="5" t="s">
        <v>16</v>
      </c>
      <c r="D4507" s="5" t="s">
        <v>4422</v>
      </c>
      <c r="E4507" s="6" t="str">
        <f>HYPERLINK("https://twitter.com/petrogustavo/status/1245158850300448770","1245158850300448770")</f>
        <v>1245158850300448770</v>
      </c>
      <c r="F4507" s="7" t="s">
        <v>17</v>
      </c>
      <c r="G4507" s="7">
        <v>3730786</v>
      </c>
      <c r="H4507" s="7">
        <v>2373</v>
      </c>
      <c r="I4507" s="7">
        <v>1842</v>
      </c>
      <c r="J4507" s="7">
        <v>0</v>
      </c>
      <c r="K4507" s="7" t="s">
        <v>18</v>
      </c>
      <c r="L4507" s="8">
        <v>39987.315405092595</v>
      </c>
      <c r="M4507" s="9" t="s">
        <v>19</v>
      </c>
      <c r="N4507" s="9" t="s">
        <v>20</v>
      </c>
      <c r="O4507" s="6" t="str">
        <f>HYPERLINK("https://pbs.twimg.com/profile_images/962471262747529216/Uo8lOkRJ_normal.jpg","View")</f>
        <v>View</v>
      </c>
      <c r="P4507" s="7"/>
    </row>
    <row r="4508" spans="1:16">
      <c r="A4508" s="3">
        <v>43922.287129629629</v>
      </c>
      <c r="B4508" s="4" t="str">
        <f>HYPERLINK("https://twitter.com/petrogustavo","@petrogustavo")</f>
        <v>@petrogustavo</v>
      </c>
      <c r="C4508" s="5" t="s">
        <v>16</v>
      </c>
      <c r="D4508" s="5" t="s">
        <v>4423</v>
      </c>
      <c r="E4508" s="6" t="str">
        <f>HYPERLINK("https://twitter.com/petrogustavo/status/1245159815267209222","1245159815267209222")</f>
        <v>1245159815267209222</v>
      </c>
      <c r="F4508" s="7" t="s">
        <v>17</v>
      </c>
      <c r="G4508" s="7">
        <v>3730786</v>
      </c>
      <c r="H4508" s="7">
        <v>2373</v>
      </c>
      <c r="I4508" s="7">
        <v>51</v>
      </c>
      <c r="J4508" s="7">
        <v>0</v>
      </c>
      <c r="K4508" s="7" t="s">
        <v>18</v>
      </c>
      <c r="L4508" s="8">
        <v>39987.315405092595</v>
      </c>
      <c r="M4508" s="9" t="s">
        <v>19</v>
      </c>
      <c r="N4508" s="9" t="s">
        <v>20</v>
      </c>
      <c r="O4508" s="6" t="str">
        <f>HYPERLINK("https://pbs.twimg.com/profile_images/962471262747529216/Uo8lOkRJ_normal.jpg","View")</f>
        <v>View</v>
      </c>
      <c r="P4508" s="7"/>
    </row>
    <row r="4509" spans="1:16">
      <c r="A4509" s="3">
        <v>43922.290324074071</v>
      </c>
      <c r="B4509" s="4" t="str">
        <f>HYPERLINK("https://twitter.com/petrogustavo","@petrogustavo")</f>
        <v>@petrogustavo</v>
      </c>
      <c r="C4509" s="5" t="s">
        <v>16</v>
      </c>
      <c r="D4509" s="5" t="s">
        <v>4424</v>
      </c>
      <c r="E4509" s="6" t="str">
        <f>HYPERLINK("https://twitter.com/petrogustavo/status/1245160971309666305","1245160971309666305")</f>
        <v>1245160971309666305</v>
      </c>
      <c r="F4509" s="7" t="s">
        <v>17</v>
      </c>
      <c r="G4509" s="7">
        <v>3730786</v>
      </c>
      <c r="H4509" s="7">
        <v>2373</v>
      </c>
      <c r="I4509" s="7">
        <v>35</v>
      </c>
      <c r="J4509" s="7">
        <v>63</v>
      </c>
      <c r="K4509" s="7" t="s">
        <v>18</v>
      </c>
      <c r="L4509" s="8">
        <v>39987.315405092595</v>
      </c>
      <c r="M4509" s="9" t="s">
        <v>19</v>
      </c>
      <c r="N4509" s="9" t="s">
        <v>20</v>
      </c>
      <c r="O4509" s="6" t="str">
        <f>HYPERLINK("https://pbs.twimg.com/profile_images/962471262747529216/Uo8lOkRJ_normal.jpg","View")</f>
        <v>View</v>
      </c>
      <c r="P4509" s="7"/>
    </row>
    <row r="4510" spans="1:16">
      <c r="A4510" s="3">
        <v>43922.292314814811</v>
      </c>
      <c r="B4510" s="4" t="str">
        <f>HYPERLINK("https://twitter.com/petrogustavo","@petrogustavo")</f>
        <v>@petrogustavo</v>
      </c>
      <c r="C4510" s="5" t="s">
        <v>16</v>
      </c>
      <c r="D4510" s="5" t="s">
        <v>4425</v>
      </c>
      <c r="E4510" s="6" t="str">
        <f>HYPERLINK("https://twitter.com/petrogustavo/status/1245161693023481856","1245161693023481856")</f>
        <v>1245161693023481856</v>
      </c>
      <c r="F4510" s="7" t="s">
        <v>17</v>
      </c>
      <c r="G4510" s="7">
        <v>3730786</v>
      </c>
      <c r="H4510" s="7">
        <v>2373</v>
      </c>
      <c r="I4510" s="7">
        <v>275</v>
      </c>
      <c r="J4510" s="7">
        <v>0</v>
      </c>
      <c r="K4510" s="7" t="s">
        <v>18</v>
      </c>
      <c r="L4510" s="8">
        <v>39987.315405092595</v>
      </c>
      <c r="M4510" s="9" t="s">
        <v>19</v>
      </c>
      <c r="N4510" s="9" t="s">
        <v>20</v>
      </c>
      <c r="O4510" s="6" t="str">
        <f>HYPERLINK("https://pbs.twimg.com/profile_images/962471262747529216/Uo8lOkRJ_normal.jpg","View")</f>
        <v>View</v>
      </c>
      <c r="P4510" s="7"/>
    </row>
    <row r="4511" spans="1:16">
      <c r="A4511" s="3">
        <v>43922.297835648147</v>
      </c>
      <c r="B4511" s="4" t="str">
        <f>HYPERLINK("https://twitter.com/petrogustavo","@petrogustavo")</f>
        <v>@petrogustavo</v>
      </c>
      <c r="C4511" s="5" t="s">
        <v>16</v>
      </c>
      <c r="D4511" s="5" t="s">
        <v>4426</v>
      </c>
      <c r="E4511" s="6" t="str">
        <f>HYPERLINK("https://twitter.com/petrogustavo/status/1245163693924646912","1245163693924646912")</f>
        <v>1245163693924646912</v>
      </c>
      <c r="F4511" s="7" t="s">
        <v>17</v>
      </c>
      <c r="G4511" s="7">
        <v>3730842</v>
      </c>
      <c r="H4511" s="7">
        <v>2373</v>
      </c>
      <c r="I4511" s="7">
        <v>83</v>
      </c>
      <c r="J4511" s="7">
        <v>164</v>
      </c>
      <c r="K4511" s="7" t="s">
        <v>18</v>
      </c>
      <c r="L4511" s="8">
        <v>39987.315405092595</v>
      </c>
      <c r="M4511" s="9" t="s">
        <v>19</v>
      </c>
      <c r="N4511" s="9" t="s">
        <v>20</v>
      </c>
      <c r="O4511" s="6" t="str">
        <f>HYPERLINK("https://pbs.twimg.com/profile_images/962471262747529216/Uo8lOkRJ_normal.jpg","View")</f>
        <v>View</v>
      </c>
      <c r="P4511" s="7"/>
    </row>
    <row r="4512" spans="1:16">
      <c r="A4512" s="3">
        <v>43922.312777777777</v>
      </c>
      <c r="B4512" s="4" t="str">
        <f>HYPERLINK("https://twitter.com/petrogustavo","@petrogustavo")</f>
        <v>@petrogustavo</v>
      </c>
      <c r="C4512" s="5" t="s">
        <v>16</v>
      </c>
      <c r="D4512" s="5" t="s">
        <v>4427</v>
      </c>
      <c r="E4512" s="6" t="str">
        <f>HYPERLINK("https://twitter.com/petrogustavo/status/1245169110134161408","1245169110134161408")</f>
        <v>1245169110134161408</v>
      </c>
      <c r="F4512" s="7" t="s">
        <v>17</v>
      </c>
      <c r="G4512" s="7">
        <v>3730842</v>
      </c>
      <c r="H4512" s="7">
        <v>2373</v>
      </c>
      <c r="I4512" s="7">
        <v>6284</v>
      </c>
      <c r="J4512" s="7">
        <v>0</v>
      </c>
      <c r="K4512" s="7" t="s">
        <v>18</v>
      </c>
      <c r="L4512" s="8">
        <v>39987.315405092595</v>
      </c>
      <c r="M4512" s="9" t="s">
        <v>19</v>
      </c>
      <c r="N4512" s="9" t="s">
        <v>20</v>
      </c>
      <c r="O4512" s="6" t="str">
        <f>HYPERLINK("https://pbs.twimg.com/profile_images/962471262747529216/Uo8lOkRJ_normal.jpg","View")</f>
        <v>View</v>
      </c>
      <c r="P4512" s="7"/>
    </row>
    <row r="4513" spans="1:16">
      <c r="A4513" s="3">
        <v>43922.318495370375</v>
      </c>
      <c r="B4513" s="4" t="str">
        <f>HYPERLINK("https://twitter.com/petrogustavo","@petrogustavo")</f>
        <v>@petrogustavo</v>
      </c>
      <c r="C4513" s="5" t="s">
        <v>16</v>
      </c>
      <c r="D4513" s="5" t="s">
        <v>4428</v>
      </c>
      <c r="E4513" s="6" t="str">
        <f>HYPERLINK("https://twitter.com/petrogustavo/status/1245171179935150080","1245171179935150080")</f>
        <v>1245171179935150080</v>
      </c>
      <c r="F4513" s="7" t="s">
        <v>17</v>
      </c>
      <c r="G4513" s="7">
        <v>3730927</v>
      </c>
      <c r="H4513" s="7">
        <v>2373</v>
      </c>
      <c r="I4513" s="7">
        <v>117</v>
      </c>
      <c r="J4513" s="7">
        <v>193</v>
      </c>
      <c r="K4513" s="7" t="s">
        <v>18</v>
      </c>
      <c r="L4513" s="8">
        <v>39987.315405092595</v>
      </c>
      <c r="M4513" s="9" t="s">
        <v>19</v>
      </c>
      <c r="N4513" s="9" t="s">
        <v>20</v>
      </c>
      <c r="O4513" s="6" t="str">
        <f>HYPERLINK("https://pbs.twimg.com/profile_images/962471262747529216/Uo8lOkRJ_normal.jpg","View")</f>
        <v>View</v>
      </c>
      <c r="P4513" s="7"/>
    </row>
    <row r="4514" spans="1:16">
      <c r="A4514" s="3">
        <v>43922.323067129633</v>
      </c>
      <c r="B4514" s="4" t="str">
        <f>HYPERLINK("https://twitter.com/petrogustavo","@petrogustavo")</f>
        <v>@petrogustavo</v>
      </c>
      <c r="C4514" s="5" t="s">
        <v>16</v>
      </c>
      <c r="D4514" s="5" t="s">
        <v>4429</v>
      </c>
      <c r="E4514" s="6" t="str">
        <f>HYPERLINK("https://twitter.com/petrogustavo/status/1245172836349759494","1245172836349759494")</f>
        <v>1245172836349759494</v>
      </c>
      <c r="F4514" s="7" t="s">
        <v>17</v>
      </c>
      <c r="G4514" s="7">
        <v>3730927</v>
      </c>
      <c r="H4514" s="7">
        <v>2373</v>
      </c>
      <c r="I4514" s="7">
        <v>265</v>
      </c>
      <c r="J4514" s="7">
        <v>0</v>
      </c>
      <c r="K4514" s="7" t="s">
        <v>18</v>
      </c>
      <c r="L4514" s="8">
        <v>39987.315405092595</v>
      </c>
      <c r="M4514" s="9" t="s">
        <v>19</v>
      </c>
      <c r="N4514" s="9" t="s">
        <v>20</v>
      </c>
      <c r="O4514" s="6" t="str">
        <f>HYPERLINK("https://pbs.twimg.com/profile_images/962471262747529216/Uo8lOkRJ_normal.jpg","View")</f>
        <v>View</v>
      </c>
      <c r="P4514" s="7"/>
    </row>
    <row r="4515" spans="1:16">
      <c r="A4515" s="3">
        <v>43922.325185185182</v>
      </c>
      <c r="B4515" s="4" t="str">
        <f>HYPERLINK("https://twitter.com/petrogustavo","@petrogustavo")</f>
        <v>@petrogustavo</v>
      </c>
      <c r="C4515" s="5" t="s">
        <v>16</v>
      </c>
      <c r="D4515" s="5" t="s">
        <v>4430</v>
      </c>
      <c r="E4515" s="6" t="str">
        <f>HYPERLINK("https://twitter.com/petrogustavo/status/1245173606977503232","1245173606977503232")</f>
        <v>1245173606977503232</v>
      </c>
      <c r="F4515" s="7" t="s">
        <v>17</v>
      </c>
      <c r="G4515" s="7">
        <v>3730927</v>
      </c>
      <c r="H4515" s="7">
        <v>2373</v>
      </c>
      <c r="I4515" s="7">
        <v>44</v>
      </c>
      <c r="J4515" s="7">
        <v>109</v>
      </c>
      <c r="K4515" s="7" t="s">
        <v>18</v>
      </c>
      <c r="L4515" s="8">
        <v>39987.315405092595</v>
      </c>
      <c r="M4515" s="9" t="s">
        <v>19</v>
      </c>
      <c r="N4515" s="9" t="s">
        <v>20</v>
      </c>
      <c r="O4515" s="6" t="str">
        <f>HYPERLINK("https://pbs.twimg.com/profile_images/962471262747529216/Uo8lOkRJ_normal.jpg","View")</f>
        <v>View</v>
      </c>
      <c r="P4515" s="7"/>
    </row>
    <row r="4516" spans="1:16">
      <c r="A4516" s="3">
        <v>43922.327337962968</v>
      </c>
      <c r="B4516" s="4" t="str">
        <f>HYPERLINK("https://twitter.com/petrogustavo","@petrogustavo")</f>
        <v>@petrogustavo</v>
      </c>
      <c r="C4516" s="5" t="s">
        <v>16</v>
      </c>
      <c r="D4516" s="5" t="s">
        <v>4431</v>
      </c>
      <c r="E4516" s="6" t="str">
        <f>HYPERLINK("https://twitter.com/petrogustavo/status/1245174387759816711","1245174387759816711")</f>
        <v>1245174387759816711</v>
      </c>
      <c r="F4516" s="7" t="s">
        <v>17</v>
      </c>
      <c r="G4516" s="7">
        <v>3730927</v>
      </c>
      <c r="H4516" s="7">
        <v>2373</v>
      </c>
      <c r="I4516" s="7">
        <v>5513</v>
      </c>
      <c r="J4516" s="7">
        <v>0</v>
      </c>
      <c r="K4516" s="7" t="s">
        <v>18</v>
      </c>
      <c r="L4516" s="8">
        <v>39987.315405092595</v>
      </c>
      <c r="M4516" s="9" t="s">
        <v>19</v>
      </c>
      <c r="N4516" s="9" t="s">
        <v>20</v>
      </c>
      <c r="O4516" s="6" t="str">
        <f>HYPERLINK("https://pbs.twimg.com/profile_images/962471262747529216/Uo8lOkRJ_normal.jpg","View")</f>
        <v>View</v>
      </c>
      <c r="P4516" s="7"/>
    </row>
    <row r="4517" spans="1:16">
      <c r="A4517" s="3">
        <v>43922.328032407408</v>
      </c>
      <c r="B4517" s="4" t="str">
        <f>HYPERLINK("https://twitter.com/petrogustavo","@petrogustavo")</f>
        <v>@petrogustavo</v>
      </c>
      <c r="C4517" s="5" t="s">
        <v>16</v>
      </c>
      <c r="D4517" s="5" t="s">
        <v>4432</v>
      </c>
      <c r="E4517" s="6" t="str">
        <f>HYPERLINK("https://twitter.com/petrogustavo/status/1245174635970416640","1245174635970416640")</f>
        <v>1245174635970416640</v>
      </c>
      <c r="F4517" s="7" t="s">
        <v>17</v>
      </c>
      <c r="G4517" s="7">
        <v>3730927</v>
      </c>
      <c r="H4517" s="7">
        <v>2373</v>
      </c>
      <c r="I4517" s="7">
        <v>3941</v>
      </c>
      <c r="J4517" s="7">
        <v>0</v>
      </c>
      <c r="K4517" s="7" t="s">
        <v>18</v>
      </c>
      <c r="L4517" s="8">
        <v>39987.315405092595</v>
      </c>
      <c r="M4517" s="9" t="s">
        <v>19</v>
      </c>
      <c r="N4517" s="9" t="s">
        <v>20</v>
      </c>
      <c r="O4517" s="6" t="str">
        <f>HYPERLINK("https://pbs.twimg.com/profile_images/962471262747529216/Uo8lOkRJ_normal.jpg","View")</f>
        <v>View</v>
      </c>
      <c r="P4517" s="7"/>
    </row>
    <row r="4518" spans="1:16">
      <c r="A4518" s="3">
        <v>43922.330034722225</v>
      </c>
      <c r="B4518" s="4" t="str">
        <f>HYPERLINK("https://twitter.com/petrogustavo","@petrogustavo")</f>
        <v>@petrogustavo</v>
      </c>
      <c r="C4518" s="5" t="s">
        <v>16</v>
      </c>
      <c r="D4518" s="5" t="s">
        <v>4433</v>
      </c>
      <c r="E4518" s="6" t="str">
        <f>HYPERLINK("https://twitter.com/petrogustavo/status/1245175362352492554","1245175362352492554")</f>
        <v>1245175362352492554</v>
      </c>
      <c r="F4518" s="7" t="s">
        <v>17</v>
      </c>
      <c r="G4518" s="7">
        <v>3730927</v>
      </c>
      <c r="H4518" s="7">
        <v>2373</v>
      </c>
      <c r="I4518" s="7">
        <v>87</v>
      </c>
      <c r="J4518" s="7">
        <v>0</v>
      </c>
      <c r="K4518" s="7" t="s">
        <v>18</v>
      </c>
      <c r="L4518" s="8">
        <v>39987.315405092595</v>
      </c>
      <c r="M4518" s="9" t="s">
        <v>19</v>
      </c>
      <c r="N4518" s="9" t="s">
        <v>20</v>
      </c>
      <c r="O4518" s="6" t="str">
        <f>HYPERLINK("https://pbs.twimg.com/profile_images/962471262747529216/Uo8lOkRJ_normal.jpg","View")</f>
        <v>View</v>
      </c>
      <c r="P4518" s="7"/>
    </row>
    <row r="4519" spans="1:16">
      <c r="A4519" s="3">
        <v>43922.334201388891</v>
      </c>
      <c r="B4519" s="4" t="str">
        <f>HYPERLINK("https://twitter.com/petrogustavo","@petrogustavo")</f>
        <v>@petrogustavo</v>
      </c>
      <c r="C4519" s="5" t="s">
        <v>16</v>
      </c>
      <c r="D4519" s="5" t="s">
        <v>4434</v>
      </c>
      <c r="E4519" s="6" t="str">
        <f>HYPERLINK("https://twitter.com/petrogustavo/status/1245176871660277762","1245176871660277762")</f>
        <v>1245176871660277762</v>
      </c>
      <c r="F4519" s="7" t="s">
        <v>17</v>
      </c>
      <c r="G4519" s="7">
        <v>3730927</v>
      </c>
      <c r="H4519" s="7">
        <v>2373</v>
      </c>
      <c r="I4519" s="7">
        <v>117</v>
      </c>
      <c r="J4519" s="7">
        <v>0</v>
      </c>
      <c r="K4519" s="7" t="s">
        <v>18</v>
      </c>
      <c r="L4519" s="8">
        <v>39987.315405092595</v>
      </c>
      <c r="M4519" s="9" t="s">
        <v>19</v>
      </c>
      <c r="N4519" s="9" t="s">
        <v>20</v>
      </c>
      <c r="O4519" s="6" t="str">
        <f>HYPERLINK("https://pbs.twimg.com/profile_images/962471262747529216/Uo8lOkRJ_normal.jpg","View")</f>
        <v>View</v>
      </c>
      <c r="P4519" s="7"/>
    </row>
    <row r="4520" spans="1:16">
      <c r="A4520" s="3">
        <v>43922.339594907404</v>
      </c>
      <c r="B4520" s="4" t="str">
        <f>HYPERLINK("https://twitter.com/petrogustavo","@petrogustavo")</f>
        <v>@petrogustavo</v>
      </c>
      <c r="C4520" s="5" t="s">
        <v>16</v>
      </c>
      <c r="D4520" s="5" t="s">
        <v>4435</v>
      </c>
      <c r="E4520" s="6" t="str">
        <f>HYPERLINK("https://twitter.com/petrogustavo/status/1245178828269539329","1245178828269539329")</f>
        <v>1245178828269539329</v>
      </c>
      <c r="F4520" s="7" t="s">
        <v>17</v>
      </c>
      <c r="G4520" s="7">
        <v>3731006</v>
      </c>
      <c r="H4520" s="7">
        <v>2373</v>
      </c>
      <c r="I4520" s="7">
        <v>69</v>
      </c>
      <c r="J4520" s="7">
        <v>152</v>
      </c>
      <c r="K4520" s="7" t="s">
        <v>18</v>
      </c>
      <c r="L4520" s="8">
        <v>39987.315405092595</v>
      </c>
      <c r="M4520" s="9" t="s">
        <v>19</v>
      </c>
      <c r="N4520" s="9" t="s">
        <v>20</v>
      </c>
      <c r="O4520" s="6" t="str">
        <f>HYPERLINK("https://pbs.twimg.com/profile_images/962471262747529216/Uo8lOkRJ_normal.jpg","View")</f>
        <v>View</v>
      </c>
      <c r="P4520" s="7"/>
    </row>
    <row r="4521" spans="1:16">
      <c r="A4521" s="3">
        <v>43922.34302083333</v>
      </c>
      <c r="B4521" s="4" t="str">
        <f>HYPERLINK("https://twitter.com/petrogustavo","@petrogustavo")</f>
        <v>@petrogustavo</v>
      </c>
      <c r="C4521" s="5" t="s">
        <v>16</v>
      </c>
      <c r="D4521" s="5" t="s">
        <v>4436</v>
      </c>
      <c r="E4521" s="6" t="str">
        <f>HYPERLINK("https://twitter.com/petrogustavo/status/1245180068076322816","1245180068076322816")</f>
        <v>1245180068076322816</v>
      </c>
      <c r="F4521" s="7" t="s">
        <v>17</v>
      </c>
      <c r="G4521" s="7">
        <v>3731006</v>
      </c>
      <c r="H4521" s="7">
        <v>2373</v>
      </c>
      <c r="I4521" s="7">
        <v>175</v>
      </c>
      <c r="J4521" s="7">
        <v>0</v>
      </c>
      <c r="K4521" s="7" t="s">
        <v>18</v>
      </c>
      <c r="L4521" s="8">
        <v>39987.315405092595</v>
      </c>
      <c r="M4521" s="9" t="s">
        <v>19</v>
      </c>
      <c r="N4521" s="9" t="s">
        <v>20</v>
      </c>
      <c r="O4521" s="6" t="str">
        <f>HYPERLINK("https://pbs.twimg.com/profile_images/962471262747529216/Uo8lOkRJ_normal.jpg","View")</f>
        <v>View</v>
      </c>
      <c r="P4521" s="7"/>
    </row>
    <row r="4522" spans="1:16">
      <c r="A4522" s="3">
        <v>43922.344560185185</v>
      </c>
      <c r="B4522" s="4" t="str">
        <f>HYPERLINK("https://twitter.com/petrogustavo","@petrogustavo")</f>
        <v>@petrogustavo</v>
      </c>
      <c r="C4522" s="5" t="s">
        <v>16</v>
      </c>
      <c r="D4522" s="5" t="s">
        <v>4437</v>
      </c>
      <c r="E4522" s="6" t="str">
        <f>HYPERLINK("https://twitter.com/petrogustavo/status/1245180625176473600","1245180625176473600")</f>
        <v>1245180625176473600</v>
      </c>
      <c r="F4522" s="7" t="s">
        <v>17</v>
      </c>
      <c r="G4522" s="7">
        <v>3731006</v>
      </c>
      <c r="H4522" s="7">
        <v>2373</v>
      </c>
      <c r="I4522" s="7">
        <v>60</v>
      </c>
      <c r="J4522" s="7">
        <v>0</v>
      </c>
      <c r="K4522" s="7" t="s">
        <v>18</v>
      </c>
      <c r="L4522" s="8">
        <v>39987.315405092595</v>
      </c>
      <c r="M4522" s="9" t="s">
        <v>19</v>
      </c>
      <c r="N4522" s="9" t="s">
        <v>20</v>
      </c>
      <c r="O4522" s="6" t="str">
        <f>HYPERLINK("https://pbs.twimg.com/profile_images/962471262747529216/Uo8lOkRJ_normal.jpg","View")</f>
        <v>View</v>
      </c>
      <c r="P4522" s="7"/>
    </row>
    <row r="4523" spans="1:16">
      <c r="A4523" s="3">
        <v>43922.346770833334</v>
      </c>
      <c r="B4523" s="4" t="str">
        <f>HYPERLINK("https://twitter.com/petrogustavo","@petrogustavo")</f>
        <v>@petrogustavo</v>
      </c>
      <c r="C4523" s="5" t="s">
        <v>16</v>
      </c>
      <c r="D4523" s="5" t="s">
        <v>4438</v>
      </c>
      <c r="E4523" s="6" t="str">
        <f>HYPERLINK("https://twitter.com/petrogustavo/status/1245181428553396227","1245181428553396227")</f>
        <v>1245181428553396227</v>
      </c>
      <c r="F4523" s="7" t="s">
        <v>17</v>
      </c>
      <c r="G4523" s="7">
        <v>3731006</v>
      </c>
      <c r="H4523" s="7">
        <v>2373</v>
      </c>
      <c r="I4523" s="7">
        <v>69</v>
      </c>
      <c r="J4523" s="7">
        <v>0</v>
      </c>
      <c r="K4523" s="7" t="s">
        <v>18</v>
      </c>
      <c r="L4523" s="8">
        <v>39987.315405092595</v>
      </c>
      <c r="M4523" s="9" t="s">
        <v>19</v>
      </c>
      <c r="N4523" s="9" t="s">
        <v>20</v>
      </c>
      <c r="O4523" s="6" t="str">
        <f>HYPERLINK("https://pbs.twimg.com/profile_images/962471262747529216/Uo8lOkRJ_normal.jpg","View")</f>
        <v>View</v>
      </c>
      <c r="P4523" s="7"/>
    </row>
    <row r="4524" spans="1:16">
      <c r="A4524" s="3">
        <v>43922.357175925921</v>
      </c>
      <c r="B4524" s="4" t="str">
        <f>HYPERLINK("https://twitter.com/petrogustavo","@petrogustavo")</f>
        <v>@petrogustavo</v>
      </c>
      <c r="C4524" s="5" t="s">
        <v>16</v>
      </c>
      <c r="D4524" s="5" t="s">
        <v>4439</v>
      </c>
      <c r="E4524" s="6" t="str">
        <f>HYPERLINK("https://twitter.com/petrogustavo/status/1245185198335156225","1245185198335156225")</f>
        <v>1245185198335156225</v>
      </c>
      <c r="F4524" s="7" t="s">
        <v>17</v>
      </c>
      <c r="G4524" s="7">
        <v>3731068</v>
      </c>
      <c r="H4524" s="7">
        <v>2373</v>
      </c>
      <c r="I4524" s="7">
        <v>97</v>
      </c>
      <c r="J4524" s="7">
        <v>201</v>
      </c>
      <c r="K4524" s="7" t="s">
        <v>18</v>
      </c>
      <c r="L4524" s="8">
        <v>39987.315405092595</v>
      </c>
      <c r="M4524" s="9" t="s">
        <v>19</v>
      </c>
      <c r="N4524" s="9" t="s">
        <v>20</v>
      </c>
      <c r="O4524" s="6" t="str">
        <f>HYPERLINK("https://pbs.twimg.com/profile_images/962471262747529216/Uo8lOkRJ_normal.jpg","View")</f>
        <v>View</v>
      </c>
      <c r="P4524" s="7"/>
    </row>
    <row r="4525" spans="1:16">
      <c r="A4525" s="3">
        <v>43922.365914351853</v>
      </c>
      <c r="B4525" s="4" t="str">
        <f>HYPERLINK("https://twitter.com/petrogustavo","@petrogustavo")</f>
        <v>@petrogustavo</v>
      </c>
      <c r="C4525" s="5" t="s">
        <v>16</v>
      </c>
      <c r="D4525" s="5" t="s">
        <v>4433</v>
      </c>
      <c r="E4525" s="6" t="str">
        <f>HYPERLINK("https://twitter.com/petrogustavo/status/1245188367471476737","1245188367471476737")</f>
        <v>1245188367471476737</v>
      </c>
      <c r="F4525" s="7" t="s">
        <v>17</v>
      </c>
      <c r="G4525" s="7">
        <v>3731068</v>
      </c>
      <c r="H4525" s="7">
        <v>2373</v>
      </c>
      <c r="I4525" s="7">
        <v>108</v>
      </c>
      <c r="J4525" s="7">
        <v>0</v>
      </c>
      <c r="K4525" s="7" t="s">
        <v>18</v>
      </c>
      <c r="L4525" s="8">
        <v>39987.315405092595</v>
      </c>
      <c r="M4525" s="9" t="s">
        <v>19</v>
      </c>
      <c r="N4525" s="9" t="s">
        <v>20</v>
      </c>
      <c r="O4525" s="6" t="str">
        <f>HYPERLINK("https://pbs.twimg.com/profile_images/962471262747529216/Uo8lOkRJ_normal.jpg","View")</f>
        <v>View</v>
      </c>
      <c r="P4525" s="7"/>
    </row>
    <row r="4526" spans="1:16">
      <c r="A4526" s="3">
        <v>43922.366076388891</v>
      </c>
      <c r="B4526" s="4" t="str">
        <f>HYPERLINK("https://twitter.com/petrogustavo","@petrogustavo")</f>
        <v>@petrogustavo</v>
      </c>
      <c r="C4526" s="5" t="s">
        <v>16</v>
      </c>
      <c r="D4526" s="5" t="s">
        <v>4343</v>
      </c>
      <c r="E4526" s="6" t="str">
        <f>HYPERLINK("https://twitter.com/petrogustavo/status/1245188425923334145","1245188425923334145")</f>
        <v>1245188425923334145</v>
      </c>
      <c r="F4526" s="7" t="s">
        <v>17</v>
      </c>
      <c r="G4526" s="7">
        <v>3731068</v>
      </c>
      <c r="H4526" s="7">
        <v>2373</v>
      </c>
      <c r="I4526" s="7">
        <v>874</v>
      </c>
      <c r="J4526" s="7">
        <v>0</v>
      </c>
      <c r="K4526" s="7" t="s">
        <v>18</v>
      </c>
      <c r="L4526" s="8">
        <v>39987.315405092595</v>
      </c>
      <c r="M4526" s="9" t="s">
        <v>19</v>
      </c>
      <c r="N4526" s="9" t="s">
        <v>20</v>
      </c>
      <c r="O4526" s="6" t="str">
        <f>HYPERLINK("https://pbs.twimg.com/profile_images/962471262747529216/Uo8lOkRJ_normal.jpg","View")</f>
        <v>View</v>
      </c>
      <c r="P4526" s="7"/>
    </row>
    <row r="4527" spans="1:16">
      <c r="A4527" s="3">
        <v>43922.804398148146</v>
      </c>
      <c r="B4527" s="4" t="str">
        <f>HYPERLINK("https://twitter.com/petrogustavo","@petrogustavo")</f>
        <v>@petrogustavo</v>
      </c>
      <c r="C4527" s="5" t="s">
        <v>16</v>
      </c>
      <c r="D4527" s="5" t="s">
        <v>4440</v>
      </c>
      <c r="E4527" s="6" t="str">
        <f>HYPERLINK("https://twitter.com/petrogustavo/status/1245347267915264001","1245347267915264001")</f>
        <v>1245347267915264001</v>
      </c>
      <c r="F4527" s="7" t="s">
        <v>17</v>
      </c>
      <c r="G4527" s="7">
        <v>3731883</v>
      </c>
      <c r="H4527" s="7">
        <v>2373</v>
      </c>
      <c r="I4527" s="7">
        <v>98</v>
      </c>
      <c r="J4527" s="7">
        <v>328</v>
      </c>
      <c r="K4527" s="7" t="s">
        <v>18</v>
      </c>
      <c r="L4527" s="8">
        <v>39987.315405092595</v>
      </c>
      <c r="M4527" s="9" t="s">
        <v>19</v>
      </c>
      <c r="N4527" s="9" t="s">
        <v>20</v>
      </c>
      <c r="O4527" s="6" t="str">
        <f>HYPERLINK("https://pbs.twimg.com/profile_images/962471262747529216/Uo8lOkRJ_normal.jpg","View")</f>
        <v>View</v>
      </c>
      <c r="P4527" s="7"/>
    </row>
    <row r="4528" spans="1:16">
      <c r="A4528" s="3">
        <v>43922.804664351846</v>
      </c>
      <c r="B4528" s="4" t="str">
        <f>HYPERLINK("https://twitter.com/petrogustavo","@petrogustavo")</f>
        <v>@petrogustavo</v>
      </c>
      <c r="C4528" s="5" t="s">
        <v>16</v>
      </c>
      <c r="D4528" s="5" t="s">
        <v>4441</v>
      </c>
      <c r="E4528" s="6" t="str">
        <f>HYPERLINK("https://twitter.com/petrogustavo/status/1245347362790408192","1245347362790408192")</f>
        <v>1245347362790408192</v>
      </c>
      <c r="F4528" s="7" t="s">
        <v>17</v>
      </c>
      <c r="G4528" s="7">
        <v>3731883</v>
      </c>
      <c r="H4528" s="7">
        <v>2373</v>
      </c>
      <c r="I4528" s="7">
        <v>30</v>
      </c>
      <c r="J4528" s="7">
        <v>0</v>
      </c>
      <c r="K4528" s="7" t="s">
        <v>18</v>
      </c>
      <c r="L4528" s="8">
        <v>39987.315405092595</v>
      </c>
      <c r="M4528" s="9" t="s">
        <v>19</v>
      </c>
      <c r="N4528" s="9" t="s">
        <v>20</v>
      </c>
      <c r="O4528" s="6" t="str">
        <f>HYPERLINK("https://pbs.twimg.com/profile_images/962471262747529216/Uo8lOkRJ_normal.jpg","View")</f>
        <v>View</v>
      </c>
      <c r="P4528" s="7"/>
    </row>
    <row r="4529" spans="1:16">
      <c r="A4529" s="3">
        <v>43922.805567129632</v>
      </c>
      <c r="B4529" s="4" t="str">
        <f>HYPERLINK("https://twitter.com/petrogustavo","@petrogustavo")</f>
        <v>@petrogustavo</v>
      </c>
      <c r="C4529" s="5" t="s">
        <v>16</v>
      </c>
      <c r="D4529" s="5" t="s">
        <v>4442</v>
      </c>
      <c r="E4529" s="6" t="str">
        <f>HYPERLINK("https://twitter.com/petrogustavo/status/1245347688884953088","1245347688884953088")</f>
        <v>1245347688884953088</v>
      </c>
      <c r="F4529" s="7" t="s">
        <v>17</v>
      </c>
      <c r="G4529" s="7">
        <v>3731883</v>
      </c>
      <c r="H4529" s="7">
        <v>2373</v>
      </c>
      <c r="I4529" s="7">
        <v>19</v>
      </c>
      <c r="J4529" s="7">
        <v>33</v>
      </c>
      <c r="K4529" s="7" t="s">
        <v>18</v>
      </c>
      <c r="L4529" s="8">
        <v>39987.315405092595</v>
      </c>
      <c r="M4529" s="9" t="s">
        <v>19</v>
      </c>
      <c r="N4529" s="9" t="s">
        <v>20</v>
      </c>
      <c r="O4529" s="6" t="str">
        <f>HYPERLINK("https://pbs.twimg.com/profile_images/962471262747529216/Uo8lOkRJ_normal.jpg","View")</f>
        <v>View</v>
      </c>
      <c r="P4529" s="7"/>
    </row>
    <row r="4530" spans="1:16">
      <c r="A4530" s="3">
        <v>43922.806898148148</v>
      </c>
      <c r="B4530" s="4" t="str">
        <f>HYPERLINK("https://twitter.com/petrogustavo","@petrogustavo")</f>
        <v>@petrogustavo</v>
      </c>
      <c r="C4530" s="5" t="s">
        <v>16</v>
      </c>
      <c r="D4530" s="5" t="s">
        <v>4443</v>
      </c>
      <c r="E4530" s="6" t="str">
        <f>HYPERLINK("https://twitter.com/petrogustavo/status/1245348172664393735","1245348172664393735")</f>
        <v>1245348172664393735</v>
      </c>
      <c r="F4530" s="7" t="s">
        <v>17</v>
      </c>
      <c r="G4530" s="7">
        <v>3731883</v>
      </c>
      <c r="H4530" s="7">
        <v>2373</v>
      </c>
      <c r="I4530" s="7">
        <v>19</v>
      </c>
      <c r="J4530" s="7">
        <v>33</v>
      </c>
      <c r="K4530" s="7" t="s">
        <v>18</v>
      </c>
      <c r="L4530" s="8">
        <v>39987.315405092595</v>
      </c>
      <c r="M4530" s="9" t="s">
        <v>19</v>
      </c>
      <c r="N4530" s="9" t="s">
        <v>20</v>
      </c>
      <c r="O4530" s="6" t="str">
        <f>HYPERLINK("https://pbs.twimg.com/profile_images/962471262747529216/Uo8lOkRJ_normal.jpg","View")</f>
        <v>View</v>
      </c>
      <c r="P4530" s="7"/>
    </row>
    <row r="4531" spans="1:16">
      <c r="A4531" s="3">
        <v>43922.837025462963</v>
      </c>
      <c r="B4531" s="4" t="str">
        <f>HYPERLINK("https://twitter.com/petrogustavo","@petrogustavo")</f>
        <v>@petrogustavo</v>
      </c>
      <c r="C4531" s="5" t="s">
        <v>16</v>
      </c>
      <c r="D4531" s="5" t="s">
        <v>4444</v>
      </c>
      <c r="E4531" s="6" t="str">
        <f>HYPERLINK("https://twitter.com/petrogustavo/status/1245359089829511171","1245359089829511171")</f>
        <v>1245359089829511171</v>
      </c>
      <c r="F4531" s="7" t="s">
        <v>17</v>
      </c>
      <c r="G4531" s="7">
        <v>3732046</v>
      </c>
      <c r="H4531" s="7">
        <v>2373</v>
      </c>
      <c r="I4531" s="7">
        <v>58</v>
      </c>
      <c r="J4531" s="7">
        <v>102</v>
      </c>
      <c r="K4531" s="7" t="s">
        <v>18</v>
      </c>
      <c r="L4531" s="8">
        <v>39987.315405092595</v>
      </c>
      <c r="M4531" s="9" t="s">
        <v>19</v>
      </c>
      <c r="N4531" s="9" t="s">
        <v>20</v>
      </c>
      <c r="O4531" s="6" t="str">
        <f>HYPERLINK("https://pbs.twimg.com/profile_images/962471262747529216/Uo8lOkRJ_normal.jpg","View")</f>
        <v>View</v>
      </c>
      <c r="P4531" s="7"/>
    </row>
    <row r="4532" spans="1:16">
      <c r="A4532" s="3">
        <v>43922.840451388889</v>
      </c>
      <c r="B4532" s="4" t="str">
        <f>HYPERLINK("https://twitter.com/petrogustavo","@petrogustavo")</f>
        <v>@petrogustavo</v>
      </c>
      <c r="C4532" s="5" t="s">
        <v>16</v>
      </c>
      <c r="D4532" s="5" t="s">
        <v>4445</v>
      </c>
      <c r="E4532" s="6" t="str">
        <f>HYPERLINK("https://twitter.com/petrogustavo/status/1245360330202628097","1245360330202628097")</f>
        <v>1245360330202628097</v>
      </c>
      <c r="F4532" s="7" t="s">
        <v>17</v>
      </c>
      <c r="G4532" s="7">
        <v>3732046</v>
      </c>
      <c r="H4532" s="7">
        <v>2373</v>
      </c>
      <c r="I4532" s="7">
        <v>47</v>
      </c>
      <c r="J4532" s="7">
        <v>0</v>
      </c>
      <c r="K4532" s="7" t="s">
        <v>18</v>
      </c>
      <c r="L4532" s="8">
        <v>39987.315405092595</v>
      </c>
      <c r="M4532" s="9" t="s">
        <v>19</v>
      </c>
      <c r="N4532" s="9" t="s">
        <v>20</v>
      </c>
      <c r="O4532" s="6" t="str">
        <f>HYPERLINK("https://pbs.twimg.com/profile_images/962471262747529216/Uo8lOkRJ_normal.jpg","View")</f>
        <v>View</v>
      </c>
      <c r="P4532" s="7"/>
    </row>
    <row r="4533" spans="1:16">
      <c r="A4533" s="3">
        <v>43922.858969907407</v>
      </c>
      <c r="B4533" s="4" t="str">
        <f>HYPERLINK("https://twitter.com/petrogustavo","@petrogustavo")</f>
        <v>@petrogustavo</v>
      </c>
      <c r="C4533" s="5" t="s">
        <v>16</v>
      </c>
      <c r="D4533" s="5" t="s">
        <v>4446</v>
      </c>
      <c r="E4533" s="6" t="str">
        <f>HYPERLINK("https://twitter.com/petrogustavo/status/1245367042804461569","1245367042804461569")</f>
        <v>1245367042804461569</v>
      </c>
      <c r="F4533" s="7" t="s">
        <v>17</v>
      </c>
      <c r="G4533" s="7">
        <v>3732105</v>
      </c>
      <c r="H4533" s="7">
        <v>2373</v>
      </c>
      <c r="I4533" s="7">
        <v>814</v>
      </c>
      <c r="J4533" s="7">
        <v>0</v>
      </c>
      <c r="K4533" s="7" t="s">
        <v>18</v>
      </c>
      <c r="L4533" s="8">
        <v>39987.315405092595</v>
      </c>
      <c r="M4533" s="9" t="s">
        <v>19</v>
      </c>
      <c r="N4533" s="9" t="s">
        <v>20</v>
      </c>
      <c r="O4533" s="6" t="str">
        <f>HYPERLINK("https://pbs.twimg.com/profile_images/962471262747529216/Uo8lOkRJ_normal.jpg","View")</f>
        <v>View</v>
      </c>
      <c r="P4533" s="7"/>
    </row>
    <row r="4534" spans="1:16">
      <c r="A4534" s="3">
        <v>43922.862060185187</v>
      </c>
      <c r="B4534" s="4" t="str">
        <f>HYPERLINK("https://twitter.com/petrogustavo","@petrogustavo")</f>
        <v>@petrogustavo</v>
      </c>
      <c r="C4534" s="5" t="s">
        <v>16</v>
      </c>
      <c r="D4534" s="5" t="s">
        <v>4447</v>
      </c>
      <c r="E4534" s="6" t="str">
        <f>HYPERLINK("https://twitter.com/petrogustavo/status/1245368161555353605","1245368161555353605")</f>
        <v>1245368161555353605</v>
      </c>
      <c r="F4534" s="7" t="s">
        <v>17</v>
      </c>
      <c r="G4534" s="7">
        <v>3732105</v>
      </c>
      <c r="H4534" s="7">
        <v>2373</v>
      </c>
      <c r="I4534" s="7">
        <v>288</v>
      </c>
      <c r="J4534" s="7">
        <v>591</v>
      </c>
      <c r="K4534" s="7" t="s">
        <v>18</v>
      </c>
      <c r="L4534" s="8">
        <v>39987.315405092595</v>
      </c>
      <c r="M4534" s="9" t="s">
        <v>19</v>
      </c>
      <c r="N4534" s="9" t="s">
        <v>20</v>
      </c>
      <c r="O4534" s="6" t="str">
        <f>HYPERLINK("https://pbs.twimg.com/profile_images/962471262747529216/Uo8lOkRJ_normal.jpg","View")</f>
        <v>View</v>
      </c>
      <c r="P4534" s="7"/>
    </row>
    <row r="4535" spans="1:16">
      <c r="A4535" s="3">
        <v>43922.862789351857</v>
      </c>
      <c r="B4535" s="4" t="str">
        <f>HYPERLINK("https://twitter.com/petrogustavo","@petrogustavo")</f>
        <v>@petrogustavo</v>
      </c>
      <c r="C4535" s="5" t="s">
        <v>16</v>
      </c>
      <c r="D4535" s="5" t="s">
        <v>4448</v>
      </c>
      <c r="E4535" s="6" t="str">
        <f>HYPERLINK("https://twitter.com/petrogustavo/status/1245368425645592576","1245368425645592576")</f>
        <v>1245368425645592576</v>
      </c>
      <c r="F4535" s="7" t="s">
        <v>17</v>
      </c>
      <c r="G4535" s="7">
        <v>3732105</v>
      </c>
      <c r="H4535" s="7">
        <v>2373</v>
      </c>
      <c r="I4535" s="7">
        <v>692</v>
      </c>
      <c r="J4535" s="7">
        <v>0</v>
      </c>
      <c r="K4535" s="7" t="s">
        <v>18</v>
      </c>
      <c r="L4535" s="8">
        <v>39987.315405092595</v>
      </c>
      <c r="M4535" s="9" t="s">
        <v>19</v>
      </c>
      <c r="N4535" s="9" t="s">
        <v>20</v>
      </c>
      <c r="O4535" s="6" t="str">
        <f>HYPERLINK("https://pbs.twimg.com/profile_images/962471262747529216/Uo8lOkRJ_normal.jpg","View")</f>
        <v>View</v>
      </c>
      <c r="P4535" s="7"/>
    </row>
    <row r="4536" spans="1:16">
      <c r="A4536" s="3">
        <v>43922.863055555557</v>
      </c>
      <c r="B4536" s="4" t="str">
        <f>HYPERLINK("https://twitter.com/petrogustavo","@petrogustavo")</f>
        <v>@petrogustavo</v>
      </c>
      <c r="C4536" s="5" t="s">
        <v>16</v>
      </c>
      <c r="D4536" s="5" t="s">
        <v>4449</v>
      </c>
      <c r="E4536" s="6" t="str">
        <f>HYPERLINK("https://twitter.com/petrogustavo/status/1245368521628024833","1245368521628024833")</f>
        <v>1245368521628024833</v>
      </c>
      <c r="F4536" s="7" t="s">
        <v>17</v>
      </c>
      <c r="G4536" s="7">
        <v>3732105</v>
      </c>
      <c r="H4536" s="7">
        <v>2373</v>
      </c>
      <c r="I4536" s="7">
        <v>38</v>
      </c>
      <c r="J4536" s="7">
        <v>0</v>
      </c>
      <c r="K4536" s="7" t="s">
        <v>18</v>
      </c>
      <c r="L4536" s="8">
        <v>39987.315405092595</v>
      </c>
      <c r="M4536" s="9" t="s">
        <v>19</v>
      </c>
      <c r="N4536" s="9" t="s">
        <v>20</v>
      </c>
      <c r="O4536" s="6" t="str">
        <f>HYPERLINK("https://pbs.twimg.com/profile_images/962471262747529216/Uo8lOkRJ_normal.jpg","View")</f>
        <v>View</v>
      </c>
      <c r="P4536" s="7"/>
    </row>
    <row r="4537" spans="1:16">
      <c r="A4537" s="3">
        <v>43922.86509259259</v>
      </c>
      <c r="B4537" s="4" t="str">
        <f>HYPERLINK("https://twitter.com/petrogustavo","@petrogustavo")</f>
        <v>@petrogustavo</v>
      </c>
      <c r="C4537" s="5" t="s">
        <v>16</v>
      </c>
      <c r="D4537" s="5" t="s">
        <v>4450</v>
      </c>
      <c r="E4537" s="6" t="str">
        <f>HYPERLINK("https://twitter.com/petrogustavo/status/1245369262862204930","1245369262862204930")</f>
        <v>1245369262862204930</v>
      </c>
      <c r="F4537" s="7" t="s">
        <v>17</v>
      </c>
      <c r="G4537" s="7">
        <v>3732105</v>
      </c>
      <c r="H4537" s="7">
        <v>2373</v>
      </c>
      <c r="I4537" s="7">
        <v>23</v>
      </c>
      <c r="J4537" s="7">
        <v>0</v>
      </c>
      <c r="K4537" s="7" t="s">
        <v>18</v>
      </c>
      <c r="L4537" s="8">
        <v>39987.315405092595</v>
      </c>
      <c r="M4537" s="9" t="s">
        <v>19</v>
      </c>
      <c r="N4537" s="9" t="s">
        <v>20</v>
      </c>
      <c r="O4537" s="6" t="str">
        <f>HYPERLINK("https://pbs.twimg.com/profile_images/962471262747529216/Uo8lOkRJ_normal.jpg","View")</f>
        <v>View</v>
      </c>
      <c r="P4537" s="7"/>
    </row>
    <row r="4538" spans="1:16">
      <c r="A4538" s="3">
        <v>43922.868854166663</v>
      </c>
      <c r="B4538" s="4" t="str">
        <f>HYPERLINK("https://twitter.com/petrogustavo","@petrogustavo")</f>
        <v>@petrogustavo</v>
      </c>
      <c r="C4538" s="5" t="s">
        <v>16</v>
      </c>
      <c r="D4538" s="5" t="s">
        <v>4451</v>
      </c>
      <c r="E4538" s="6" t="str">
        <f>HYPERLINK("https://twitter.com/petrogustavo/status/1245370626644291584","1245370626644291584")</f>
        <v>1245370626644291584</v>
      </c>
      <c r="F4538" s="7" t="s">
        <v>17</v>
      </c>
      <c r="G4538" s="7">
        <v>3732105</v>
      </c>
      <c r="H4538" s="7">
        <v>2373</v>
      </c>
      <c r="I4538" s="7">
        <v>107</v>
      </c>
      <c r="J4538" s="7">
        <v>245</v>
      </c>
      <c r="K4538" s="7" t="s">
        <v>18</v>
      </c>
      <c r="L4538" s="8">
        <v>39987.315405092595</v>
      </c>
      <c r="M4538" s="9" t="s">
        <v>19</v>
      </c>
      <c r="N4538" s="9" t="s">
        <v>20</v>
      </c>
      <c r="O4538" s="6" t="str">
        <f>HYPERLINK("https://pbs.twimg.com/profile_images/962471262747529216/Uo8lOkRJ_normal.jpg","View")</f>
        <v>View</v>
      </c>
      <c r="P4538" s="7"/>
    </row>
    <row r="4539" spans="1:16">
      <c r="A4539" s="3">
        <v>43922.874583333338</v>
      </c>
      <c r="B4539" s="4" t="str">
        <f>HYPERLINK("https://twitter.com/petrogustavo","@petrogustavo")</f>
        <v>@petrogustavo</v>
      </c>
      <c r="C4539" s="5" t="s">
        <v>16</v>
      </c>
      <c r="D4539" s="5" t="s">
        <v>4452</v>
      </c>
      <c r="E4539" s="6" t="str">
        <f>HYPERLINK("https://twitter.com/petrogustavo/status/1245372701474271234","1245372701474271234")</f>
        <v>1245372701474271234</v>
      </c>
      <c r="F4539" s="7" t="s">
        <v>17</v>
      </c>
      <c r="G4539" s="7">
        <v>3732105</v>
      </c>
      <c r="H4539" s="7">
        <v>2373</v>
      </c>
      <c r="I4539" s="7">
        <v>21</v>
      </c>
      <c r="J4539" s="7">
        <v>32</v>
      </c>
      <c r="K4539" s="7" t="s">
        <v>18</v>
      </c>
      <c r="L4539" s="8">
        <v>39987.315405092595</v>
      </c>
      <c r="M4539" s="9" t="s">
        <v>19</v>
      </c>
      <c r="N4539" s="9" t="s">
        <v>20</v>
      </c>
      <c r="O4539" s="6" t="str">
        <f>HYPERLINK("https://pbs.twimg.com/profile_images/962471262747529216/Uo8lOkRJ_normal.jpg","View")</f>
        <v>View</v>
      </c>
      <c r="P4539" s="7"/>
    </row>
    <row r="4540" spans="1:16">
      <c r="A4540" s="3">
        <v>43922.874768518523</v>
      </c>
      <c r="B4540" s="4" t="str">
        <f>HYPERLINK("https://twitter.com/petrogustavo","@petrogustavo")</f>
        <v>@petrogustavo</v>
      </c>
      <c r="C4540" s="5" t="s">
        <v>16</v>
      </c>
      <c r="D4540" s="5" t="s">
        <v>4453</v>
      </c>
      <c r="E4540" s="6" t="str">
        <f>HYPERLINK("https://twitter.com/petrogustavo/status/1245372766225743872","1245372766225743872")</f>
        <v>1245372766225743872</v>
      </c>
      <c r="F4540" s="7" t="s">
        <v>17</v>
      </c>
      <c r="G4540" s="7">
        <v>3732105</v>
      </c>
      <c r="H4540" s="7">
        <v>2373</v>
      </c>
      <c r="I4540" s="7">
        <v>107</v>
      </c>
      <c r="J4540" s="7">
        <v>0</v>
      </c>
      <c r="K4540" s="7" t="s">
        <v>18</v>
      </c>
      <c r="L4540" s="8">
        <v>39987.315405092595</v>
      </c>
      <c r="M4540" s="9" t="s">
        <v>19</v>
      </c>
      <c r="N4540" s="9" t="s">
        <v>20</v>
      </c>
      <c r="O4540" s="6" t="str">
        <f>HYPERLINK("https://pbs.twimg.com/profile_images/962471262747529216/Uo8lOkRJ_normal.jpg","View")</f>
        <v>View</v>
      </c>
      <c r="P4540" s="7"/>
    </row>
    <row r="4541" spans="1:16">
      <c r="A4541" s="3">
        <v>43922.87976851852</v>
      </c>
      <c r="B4541" s="4" t="str">
        <f>HYPERLINK("https://twitter.com/petrogustavo","@petrogustavo")</f>
        <v>@petrogustavo</v>
      </c>
      <c r="C4541" s="5" t="s">
        <v>16</v>
      </c>
      <c r="D4541" s="5" t="s">
        <v>4454</v>
      </c>
      <c r="E4541" s="6" t="str">
        <f>HYPERLINK("https://twitter.com/petrogustavo/status/1245374579981377536","1245374579981377536")</f>
        <v>1245374579981377536</v>
      </c>
      <c r="F4541" s="7" t="s">
        <v>17</v>
      </c>
      <c r="G4541" s="7">
        <v>3732178</v>
      </c>
      <c r="H4541" s="7">
        <v>2373</v>
      </c>
      <c r="I4541" s="7">
        <v>60</v>
      </c>
      <c r="J4541" s="7">
        <v>117</v>
      </c>
      <c r="K4541" s="7" t="s">
        <v>18</v>
      </c>
      <c r="L4541" s="8">
        <v>39987.315405092595</v>
      </c>
      <c r="M4541" s="9" t="s">
        <v>19</v>
      </c>
      <c r="N4541" s="9" t="s">
        <v>20</v>
      </c>
      <c r="O4541" s="6" t="str">
        <f>HYPERLINK("https://pbs.twimg.com/profile_images/962471262747529216/Uo8lOkRJ_normal.jpg","View")</f>
        <v>View</v>
      </c>
      <c r="P4541" s="7"/>
    </row>
    <row r="4542" spans="1:16">
      <c r="A4542" s="3">
        <v>43922.880532407406</v>
      </c>
      <c r="B4542" s="4" t="str">
        <f>HYPERLINK("https://twitter.com/petrogustavo","@petrogustavo")</f>
        <v>@petrogustavo</v>
      </c>
      <c r="C4542" s="5" t="s">
        <v>16</v>
      </c>
      <c r="D4542" s="5" t="s">
        <v>4455</v>
      </c>
      <c r="E4542" s="6" t="str">
        <f>HYPERLINK("https://twitter.com/petrogustavo/status/1245374857707167746","1245374857707167746")</f>
        <v>1245374857707167746</v>
      </c>
      <c r="F4542" s="7" t="s">
        <v>17</v>
      </c>
      <c r="G4542" s="7">
        <v>3732178</v>
      </c>
      <c r="H4542" s="7">
        <v>2373</v>
      </c>
      <c r="I4542" s="7">
        <v>573</v>
      </c>
      <c r="J4542" s="7">
        <v>0</v>
      </c>
      <c r="K4542" s="7" t="s">
        <v>18</v>
      </c>
      <c r="L4542" s="8">
        <v>39987.315405092595</v>
      </c>
      <c r="M4542" s="9" t="s">
        <v>19</v>
      </c>
      <c r="N4542" s="9" t="s">
        <v>20</v>
      </c>
      <c r="O4542" s="6" t="str">
        <f>HYPERLINK("https://pbs.twimg.com/profile_images/962471262747529216/Uo8lOkRJ_normal.jpg","View")</f>
        <v>View</v>
      </c>
      <c r="P4542" s="7"/>
    </row>
    <row r="4543" spans="1:16">
      <c r="A4543" s="3">
        <v>43922.886342592596</v>
      </c>
      <c r="B4543" s="4" t="str">
        <f>HYPERLINK("https://twitter.com/petrogustavo","@petrogustavo")</f>
        <v>@petrogustavo</v>
      </c>
      <c r="C4543" s="5" t="s">
        <v>16</v>
      </c>
      <c r="D4543" s="5" t="s">
        <v>4453</v>
      </c>
      <c r="E4543" s="6" t="str">
        <f>HYPERLINK("https://twitter.com/petrogustavo/status/1245376963205890048","1245376963205890048")</f>
        <v>1245376963205890048</v>
      </c>
      <c r="F4543" s="7" t="s">
        <v>17</v>
      </c>
      <c r="G4543" s="7">
        <v>3732178</v>
      </c>
      <c r="H4543" s="7">
        <v>2373</v>
      </c>
      <c r="I4543" s="7">
        <v>329</v>
      </c>
      <c r="J4543" s="7">
        <v>0</v>
      </c>
      <c r="K4543" s="7" t="s">
        <v>18</v>
      </c>
      <c r="L4543" s="8">
        <v>39987.315405092595</v>
      </c>
      <c r="M4543" s="9" t="s">
        <v>19</v>
      </c>
      <c r="N4543" s="9" t="s">
        <v>20</v>
      </c>
      <c r="O4543" s="6" t="str">
        <f>HYPERLINK("https://pbs.twimg.com/profile_images/962471262747529216/Uo8lOkRJ_normal.jpg","View")</f>
        <v>View</v>
      </c>
      <c r="P4543" s="7"/>
    </row>
    <row r="4544" spans="1:16">
      <c r="A4544" s="3">
        <v>43922.907280092593</v>
      </c>
      <c r="B4544" s="4" t="str">
        <f>HYPERLINK("https://twitter.com/petrogustavo","@petrogustavo")</f>
        <v>@petrogustavo</v>
      </c>
      <c r="C4544" s="5" t="s">
        <v>16</v>
      </c>
      <c r="D4544" s="5" t="s">
        <v>4456</v>
      </c>
      <c r="E4544" s="6" t="str">
        <f>HYPERLINK("https://twitter.com/petrogustavo/status/1245384547967078401","1245384547967078401")</f>
        <v>1245384547967078401</v>
      </c>
      <c r="F4544" s="7" t="s">
        <v>17</v>
      </c>
      <c r="G4544" s="7">
        <v>3732238</v>
      </c>
      <c r="H4544" s="7">
        <v>2373</v>
      </c>
      <c r="I4544" s="7">
        <v>190</v>
      </c>
      <c r="J4544" s="7">
        <v>0</v>
      </c>
      <c r="K4544" s="7" t="s">
        <v>18</v>
      </c>
      <c r="L4544" s="8">
        <v>39987.315405092595</v>
      </c>
      <c r="M4544" s="9" t="s">
        <v>19</v>
      </c>
      <c r="N4544" s="9" t="s">
        <v>20</v>
      </c>
      <c r="O4544" s="6" t="str">
        <f>HYPERLINK("https://pbs.twimg.com/profile_images/962471262747529216/Uo8lOkRJ_normal.jpg","View")</f>
        <v>View</v>
      </c>
      <c r="P4544" s="7"/>
    </row>
    <row r="4545" spans="1:16">
      <c r="A4545" s="3">
        <v>43922.917071759264</v>
      </c>
      <c r="B4545" s="4" t="str">
        <f>HYPERLINK("https://twitter.com/petrogustavo","@petrogustavo")</f>
        <v>@petrogustavo</v>
      </c>
      <c r="C4545" s="5" t="s">
        <v>16</v>
      </c>
      <c r="D4545" s="5" t="s">
        <v>4457</v>
      </c>
      <c r="E4545" s="6" t="str">
        <f>HYPERLINK("https://twitter.com/petrogustavo/status/1245388098801983492","1245388098801983492")</f>
        <v>1245388098801983492</v>
      </c>
      <c r="F4545" s="7" t="s">
        <v>17</v>
      </c>
      <c r="G4545" s="7">
        <v>3732238</v>
      </c>
      <c r="H4545" s="7">
        <v>2373</v>
      </c>
      <c r="I4545" s="7">
        <v>7</v>
      </c>
      <c r="J4545" s="7">
        <v>27</v>
      </c>
      <c r="K4545" s="7" t="s">
        <v>18</v>
      </c>
      <c r="L4545" s="8">
        <v>39987.315405092595</v>
      </c>
      <c r="M4545" s="9" t="s">
        <v>19</v>
      </c>
      <c r="N4545" s="9" t="s">
        <v>20</v>
      </c>
      <c r="O4545" s="6" t="str">
        <f>HYPERLINK("https://pbs.twimg.com/profile_images/962471262747529216/Uo8lOkRJ_normal.jpg","View")</f>
        <v>View</v>
      </c>
      <c r="P4545" s="7"/>
    </row>
    <row r="4546" spans="1:16">
      <c r="A4546" s="3">
        <v>43922.923090277778</v>
      </c>
      <c r="B4546" s="4" t="str">
        <f>HYPERLINK("https://twitter.com/petrogustavo","@petrogustavo")</f>
        <v>@petrogustavo</v>
      </c>
      <c r="C4546" s="5" t="s">
        <v>16</v>
      </c>
      <c r="D4546" s="5" t="s">
        <v>4453</v>
      </c>
      <c r="E4546" s="6" t="str">
        <f>HYPERLINK("https://twitter.com/petrogustavo/status/1245390280725069824","1245390280725069824")</f>
        <v>1245390280725069824</v>
      </c>
      <c r="F4546" s="7" t="s">
        <v>17</v>
      </c>
      <c r="G4546" s="7">
        <v>3732318</v>
      </c>
      <c r="H4546" s="7">
        <v>2373</v>
      </c>
      <c r="I4546" s="7">
        <v>663</v>
      </c>
      <c r="J4546" s="7">
        <v>0</v>
      </c>
      <c r="K4546" s="7" t="s">
        <v>18</v>
      </c>
      <c r="L4546" s="8">
        <v>39987.315405092595</v>
      </c>
      <c r="M4546" s="9" t="s">
        <v>19</v>
      </c>
      <c r="N4546" s="9" t="s">
        <v>20</v>
      </c>
      <c r="O4546" s="6" t="str">
        <f>HYPERLINK("https://pbs.twimg.com/profile_images/962471262747529216/Uo8lOkRJ_normal.jpg","View")</f>
        <v>View</v>
      </c>
      <c r="P4546" s="7"/>
    </row>
    <row r="4547" spans="1:16">
      <c r="A4547" s="3">
        <v>43922.988807870366</v>
      </c>
      <c r="B4547" s="4" t="str">
        <f>HYPERLINK("https://twitter.com/petrogustavo","@petrogustavo")</f>
        <v>@petrogustavo</v>
      </c>
      <c r="C4547" s="5" t="s">
        <v>16</v>
      </c>
      <c r="D4547" s="5" t="s">
        <v>4458</v>
      </c>
      <c r="E4547" s="6" t="str">
        <f>HYPERLINK("https://twitter.com/petrogustavo/status/1245414092661305344","1245414092661305344")</f>
        <v>1245414092661305344</v>
      </c>
      <c r="F4547" s="7" t="s">
        <v>17</v>
      </c>
      <c r="G4547" s="7">
        <v>3732571</v>
      </c>
      <c r="H4547" s="7">
        <v>2373</v>
      </c>
      <c r="I4547" s="7">
        <v>51</v>
      </c>
      <c r="J4547" s="7">
        <v>124</v>
      </c>
      <c r="K4547" s="7" t="s">
        <v>18</v>
      </c>
      <c r="L4547" s="8">
        <v>39987.315405092595</v>
      </c>
      <c r="M4547" s="9" t="s">
        <v>19</v>
      </c>
      <c r="N4547" s="9" t="s">
        <v>20</v>
      </c>
      <c r="O4547" s="6" t="str">
        <f>HYPERLINK("https://pbs.twimg.com/profile_images/962471262747529216/Uo8lOkRJ_normal.jpg","View")</f>
        <v>View</v>
      </c>
      <c r="P4547" s="7"/>
    </row>
    <row r="4548" spans="1:16">
      <c r="A4548" s="3">
        <v>43922.997534722221</v>
      </c>
      <c r="B4548" s="4" t="str">
        <f>HYPERLINK("https://twitter.com/petrogustavo","@petrogustavo")</f>
        <v>@petrogustavo</v>
      </c>
      <c r="C4548" s="5" t="s">
        <v>16</v>
      </c>
      <c r="D4548" s="5" t="s">
        <v>4459</v>
      </c>
      <c r="E4548" s="6" t="str">
        <f>HYPERLINK("https://twitter.com/petrogustavo/status/1245417258622636034","1245417258622636034")</f>
        <v>1245417258622636034</v>
      </c>
      <c r="F4548" s="7" t="s">
        <v>17</v>
      </c>
      <c r="G4548" s="7">
        <v>3732571</v>
      </c>
      <c r="H4548" s="7">
        <v>2373</v>
      </c>
      <c r="I4548" s="7">
        <v>31</v>
      </c>
      <c r="J4548" s="7">
        <v>75</v>
      </c>
      <c r="K4548" s="7" t="s">
        <v>18</v>
      </c>
      <c r="L4548" s="8">
        <v>39987.315405092595</v>
      </c>
      <c r="M4548" s="9" t="s">
        <v>19</v>
      </c>
      <c r="N4548" s="9" t="s">
        <v>20</v>
      </c>
      <c r="O4548" s="6" t="str">
        <f>HYPERLINK("https://pbs.twimg.com/profile_images/962471262747529216/Uo8lOkRJ_normal.jpg","View")</f>
        <v>View</v>
      </c>
      <c r="P4548" s="7"/>
    </row>
    <row r="4549" spans="1:16">
      <c r="A4549" s="3">
        <v>43923.012210648143</v>
      </c>
      <c r="B4549" s="4" t="str">
        <f>HYPERLINK("https://twitter.com/petrogustavo","@petrogustavo")</f>
        <v>@petrogustavo</v>
      </c>
      <c r="C4549" s="5" t="s">
        <v>16</v>
      </c>
      <c r="D4549" s="5" t="s">
        <v>4460</v>
      </c>
      <c r="E4549" s="6" t="str">
        <f>HYPERLINK("https://twitter.com/petrogustavo/status/1245422575339085825","1245422575339085825")</f>
        <v>1245422575339085825</v>
      </c>
      <c r="F4549" s="7" t="s">
        <v>17</v>
      </c>
      <c r="G4549" s="7">
        <v>3732636</v>
      </c>
      <c r="H4549" s="7">
        <v>2373</v>
      </c>
      <c r="I4549" s="7">
        <v>360</v>
      </c>
      <c r="J4549" s="7">
        <v>0</v>
      </c>
      <c r="K4549" s="7" t="s">
        <v>18</v>
      </c>
      <c r="L4549" s="8">
        <v>39987.315405092595</v>
      </c>
      <c r="M4549" s="9" t="s">
        <v>19</v>
      </c>
      <c r="N4549" s="9" t="s">
        <v>20</v>
      </c>
      <c r="O4549" s="6" t="str">
        <f>HYPERLINK("https://pbs.twimg.com/profile_images/962471262747529216/Uo8lOkRJ_normal.jpg","View")</f>
        <v>View</v>
      </c>
      <c r="P4549" s="7"/>
    </row>
    <row r="4550" spans="1:16">
      <c r="A4550" s="3">
        <v>43923.020312499997</v>
      </c>
      <c r="B4550" s="4" t="str">
        <f>HYPERLINK("https://twitter.com/petrogustavo","@petrogustavo")</f>
        <v>@petrogustavo</v>
      </c>
      <c r="C4550" s="5" t="s">
        <v>16</v>
      </c>
      <c r="D4550" s="5" t="s">
        <v>4461</v>
      </c>
      <c r="E4550" s="6" t="str">
        <f>HYPERLINK("https://twitter.com/petrogustavo/status/1245425511020494851","1245425511020494851")</f>
        <v>1245425511020494851</v>
      </c>
      <c r="F4550" s="7" t="s">
        <v>17</v>
      </c>
      <c r="G4550" s="7">
        <v>3732636</v>
      </c>
      <c r="H4550" s="7">
        <v>2373</v>
      </c>
      <c r="I4550" s="7">
        <v>55</v>
      </c>
      <c r="J4550" s="7">
        <v>103</v>
      </c>
      <c r="K4550" s="7" t="s">
        <v>18</v>
      </c>
      <c r="L4550" s="8">
        <v>39987.315405092595</v>
      </c>
      <c r="M4550" s="9" t="s">
        <v>19</v>
      </c>
      <c r="N4550" s="9" t="s">
        <v>20</v>
      </c>
      <c r="O4550" s="6" t="str">
        <f>HYPERLINK("https://pbs.twimg.com/profile_images/962471262747529216/Uo8lOkRJ_normal.jpg","View")</f>
        <v>View</v>
      </c>
      <c r="P4550" s="7"/>
    </row>
    <row r="4551" spans="1:16">
      <c r="A4551" s="3">
        <v>43923.022824074069</v>
      </c>
      <c r="B4551" s="4" t="str">
        <f>HYPERLINK("https://twitter.com/petrogustavo","@petrogustavo")</f>
        <v>@petrogustavo</v>
      </c>
      <c r="C4551" s="5" t="s">
        <v>16</v>
      </c>
      <c r="D4551" s="5" t="s">
        <v>4462</v>
      </c>
      <c r="E4551" s="6" t="str">
        <f>HYPERLINK("https://twitter.com/petrogustavo/status/1245426419733352452","1245426419733352452")</f>
        <v>1245426419733352452</v>
      </c>
      <c r="F4551" s="7" t="s">
        <v>17</v>
      </c>
      <c r="G4551" s="7">
        <v>3732654</v>
      </c>
      <c r="H4551" s="7">
        <v>2372</v>
      </c>
      <c r="I4551" s="7">
        <v>83</v>
      </c>
      <c r="J4551" s="7">
        <v>207</v>
      </c>
      <c r="K4551" s="7" t="s">
        <v>18</v>
      </c>
      <c r="L4551" s="8">
        <v>39987.315405092595</v>
      </c>
      <c r="M4551" s="9" t="s">
        <v>19</v>
      </c>
      <c r="N4551" s="9" t="s">
        <v>20</v>
      </c>
      <c r="O4551" s="6" t="str">
        <f>HYPERLINK("https://pbs.twimg.com/profile_images/962471262747529216/Uo8lOkRJ_normal.jpg","View")</f>
        <v>View</v>
      </c>
      <c r="P4551" s="7"/>
    </row>
    <row r="4552" spans="1:16">
      <c r="A4552" s="3">
        <v>43923.026874999996</v>
      </c>
      <c r="B4552" s="4" t="str">
        <f>HYPERLINK("https://twitter.com/petrogustavo","@petrogustavo")</f>
        <v>@petrogustavo</v>
      </c>
      <c r="C4552" s="5" t="s">
        <v>16</v>
      </c>
      <c r="D4552" s="5" t="s">
        <v>4463</v>
      </c>
      <c r="E4552" s="6" t="str">
        <f>HYPERLINK("https://twitter.com/petrogustavo/status/1245427888054304771","1245427888054304771")</f>
        <v>1245427888054304771</v>
      </c>
      <c r="F4552" s="7" t="s">
        <v>17</v>
      </c>
      <c r="G4552" s="7">
        <v>3732654</v>
      </c>
      <c r="H4552" s="7">
        <v>2372</v>
      </c>
      <c r="I4552" s="7">
        <v>185</v>
      </c>
      <c r="J4552" s="7">
        <v>264</v>
      </c>
      <c r="K4552" s="7" t="s">
        <v>18</v>
      </c>
      <c r="L4552" s="8">
        <v>39987.315405092595</v>
      </c>
      <c r="M4552" s="9" t="s">
        <v>19</v>
      </c>
      <c r="N4552" s="9" t="s">
        <v>20</v>
      </c>
      <c r="O4552" s="6" t="str">
        <f>HYPERLINK("https://pbs.twimg.com/profile_images/962471262747529216/Uo8lOkRJ_normal.jpg","View")</f>
        <v>View</v>
      </c>
      <c r="P4552" s="7"/>
    </row>
    <row r="4553" spans="1:16">
      <c r="A4553" s="3">
        <v>43923.029236111106</v>
      </c>
      <c r="B4553" s="4" t="str">
        <f>HYPERLINK("https://twitter.com/petrogustavo","@petrogustavo")</f>
        <v>@petrogustavo</v>
      </c>
      <c r="C4553" s="5" t="s">
        <v>16</v>
      </c>
      <c r="D4553" s="5" t="s">
        <v>4464</v>
      </c>
      <c r="E4553" s="6" t="str">
        <f>HYPERLINK("https://twitter.com/petrogustavo/status/1245428746468888578","1245428746468888578")</f>
        <v>1245428746468888578</v>
      </c>
      <c r="F4553" s="7" t="s">
        <v>17</v>
      </c>
      <c r="G4553" s="7">
        <v>3732654</v>
      </c>
      <c r="H4553" s="7">
        <v>2372</v>
      </c>
      <c r="I4553" s="7">
        <v>110</v>
      </c>
      <c r="J4553" s="7">
        <v>302</v>
      </c>
      <c r="K4553" s="7" t="s">
        <v>18</v>
      </c>
      <c r="L4553" s="8">
        <v>39987.315405092595</v>
      </c>
      <c r="M4553" s="9" t="s">
        <v>19</v>
      </c>
      <c r="N4553" s="9" t="s">
        <v>20</v>
      </c>
      <c r="O4553" s="6" t="str">
        <f>HYPERLINK("https://pbs.twimg.com/profile_images/962471262747529216/Uo8lOkRJ_normal.jpg","View")</f>
        <v>View</v>
      </c>
      <c r="P4553" s="7"/>
    </row>
    <row r="4554" spans="1:16">
      <c r="A4554" s="3">
        <v>43923.041261574079</v>
      </c>
      <c r="B4554" s="4" t="str">
        <f>HYPERLINK("https://twitter.com/petrogustavo","@petrogustavo")</f>
        <v>@petrogustavo</v>
      </c>
      <c r="C4554" s="5" t="s">
        <v>16</v>
      </c>
      <c r="D4554" s="5" t="s">
        <v>4465</v>
      </c>
      <c r="E4554" s="6" t="str">
        <f>HYPERLINK("https://twitter.com/petrogustavo/status/1245433103197274113","1245433103197274113")</f>
        <v>1245433103197274113</v>
      </c>
      <c r="F4554" s="7" t="s">
        <v>17</v>
      </c>
      <c r="G4554" s="7">
        <v>3732654</v>
      </c>
      <c r="H4554" s="7">
        <v>2372</v>
      </c>
      <c r="I4554" s="7">
        <v>13</v>
      </c>
      <c r="J4554" s="7">
        <v>24</v>
      </c>
      <c r="K4554" s="7" t="s">
        <v>18</v>
      </c>
      <c r="L4554" s="8">
        <v>39987.315405092595</v>
      </c>
      <c r="M4554" s="9" t="s">
        <v>19</v>
      </c>
      <c r="N4554" s="9" t="s">
        <v>20</v>
      </c>
      <c r="O4554" s="6" t="str">
        <f>HYPERLINK("https://pbs.twimg.com/profile_images/962471262747529216/Uo8lOkRJ_normal.jpg","View")</f>
        <v>View</v>
      </c>
      <c r="P4554" s="7"/>
    </row>
    <row r="4555" spans="1:16">
      <c r="A4555" s="3">
        <v>43923.049201388887</v>
      </c>
      <c r="B4555" s="4" t="str">
        <f>HYPERLINK("https://twitter.com/petrogustavo","@petrogustavo")</f>
        <v>@petrogustavo</v>
      </c>
      <c r="C4555" s="5" t="s">
        <v>16</v>
      </c>
      <c r="D4555" s="5" t="s">
        <v>4466</v>
      </c>
      <c r="E4555" s="6" t="str">
        <f>HYPERLINK("https://twitter.com/petrogustavo/status/1245435979281969153","1245435979281969153")</f>
        <v>1245435979281969153</v>
      </c>
      <c r="F4555" s="7" t="s">
        <v>17</v>
      </c>
      <c r="G4555" s="7">
        <v>3732757</v>
      </c>
      <c r="H4555" s="7">
        <v>2373</v>
      </c>
      <c r="I4555" s="7">
        <v>30</v>
      </c>
      <c r="J4555" s="7">
        <v>0</v>
      </c>
      <c r="K4555" s="7" t="s">
        <v>18</v>
      </c>
      <c r="L4555" s="8">
        <v>39987.315405092595</v>
      </c>
      <c r="M4555" s="9" t="s">
        <v>19</v>
      </c>
      <c r="N4555" s="9" t="s">
        <v>20</v>
      </c>
      <c r="O4555" s="6" t="str">
        <f>HYPERLINK("https://pbs.twimg.com/profile_images/962471262747529216/Uo8lOkRJ_normal.jpg","View")</f>
        <v>View</v>
      </c>
      <c r="P4555" s="7"/>
    </row>
    <row r="4556" spans="1:16">
      <c r="A4556" s="3">
        <v>43923.062719907408</v>
      </c>
      <c r="B4556" s="4" t="str">
        <f>HYPERLINK("https://twitter.com/petrogustavo","@petrogustavo")</f>
        <v>@petrogustavo</v>
      </c>
      <c r="C4556" s="5" t="s">
        <v>16</v>
      </c>
      <c r="D4556" s="5" t="s">
        <v>4467</v>
      </c>
      <c r="E4556" s="6" t="str">
        <f>HYPERLINK("https://twitter.com/petrogustavo/status/1245440881374777344","1245440881374777344")</f>
        <v>1245440881374777344</v>
      </c>
      <c r="F4556" s="7" t="s">
        <v>17</v>
      </c>
      <c r="G4556" s="7">
        <v>3732757</v>
      </c>
      <c r="H4556" s="7">
        <v>2373</v>
      </c>
      <c r="I4556" s="7">
        <v>30</v>
      </c>
      <c r="J4556" s="7">
        <v>104</v>
      </c>
      <c r="K4556" s="7" t="s">
        <v>18</v>
      </c>
      <c r="L4556" s="8">
        <v>39987.315405092595</v>
      </c>
      <c r="M4556" s="9" t="s">
        <v>19</v>
      </c>
      <c r="N4556" s="9" t="s">
        <v>20</v>
      </c>
      <c r="O4556" s="6" t="str">
        <f>HYPERLINK("https://pbs.twimg.com/profile_images/962471262747529216/Uo8lOkRJ_normal.jpg","View")</f>
        <v>View</v>
      </c>
      <c r="P4556" s="7"/>
    </row>
    <row r="4557" spans="1:16">
      <c r="A4557" s="3">
        <v>43923.069293981476</v>
      </c>
      <c r="B4557" s="4" t="str">
        <f>HYPERLINK("https://twitter.com/petrogustavo","@petrogustavo")</f>
        <v>@petrogustavo</v>
      </c>
      <c r="C4557" s="5" t="s">
        <v>16</v>
      </c>
      <c r="D4557" s="5" t="s">
        <v>4468</v>
      </c>
      <c r="E4557" s="6" t="str">
        <f>HYPERLINK("https://twitter.com/petrogustavo/status/1245443263290580996","1245443263290580996")</f>
        <v>1245443263290580996</v>
      </c>
      <c r="F4557" s="7" t="s">
        <v>17</v>
      </c>
      <c r="G4557" s="7">
        <v>3732808</v>
      </c>
      <c r="H4557" s="7">
        <v>2373</v>
      </c>
      <c r="I4557" s="7">
        <v>46</v>
      </c>
      <c r="J4557" s="7">
        <v>74</v>
      </c>
      <c r="K4557" s="7" t="s">
        <v>18</v>
      </c>
      <c r="L4557" s="8">
        <v>39987.315405092595</v>
      </c>
      <c r="M4557" s="9" t="s">
        <v>19</v>
      </c>
      <c r="N4557" s="9" t="s">
        <v>20</v>
      </c>
      <c r="O4557" s="6" t="str">
        <f>HYPERLINK("https://pbs.twimg.com/profile_images/962471262747529216/Uo8lOkRJ_normal.jpg","View")</f>
        <v>View</v>
      </c>
      <c r="P4557" s="7"/>
    </row>
    <row r="4558" spans="1:16">
      <c r="A4558" s="3">
        <v>43923.070439814815</v>
      </c>
      <c r="B4558" s="4" t="str">
        <f>HYPERLINK("https://twitter.com/petrogustavo","@petrogustavo")</f>
        <v>@petrogustavo</v>
      </c>
      <c r="C4558" s="5" t="s">
        <v>16</v>
      </c>
      <c r="D4558" s="5" t="s">
        <v>4469</v>
      </c>
      <c r="E4558" s="6" t="str">
        <f>HYPERLINK("https://twitter.com/petrogustavo/status/1245443676630855681","1245443676630855681")</f>
        <v>1245443676630855681</v>
      </c>
      <c r="F4558" s="7" t="s">
        <v>17</v>
      </c>
      <c r="G4558" s="7">
        <v>3732808</v>
      </c>
      <c r="H4558" s="7">
        <v>2373</v>
      </c>
      <c r="I4558" s="7">
        <v>2643</v>
      </c>
      <c r="J4558" s="7">
        <v>0</v>
      </c>
      <c r="K4558" s="7" t="s">
        <v>18</v>
      </c>
      <c r="L4558" s="8">
        <v>39987.315405092595</v>
      </c>
      <c r="M4558" s="9" t="s">
        <v>19</v>
      </c>
      <c r="N4558" s="9" t="s">
        <v>20</v>
      </c>
      <c r="O4558" s="6" t="str">
        <f>HYPERLINK("https://pbs.twimg.com/profile_images/962471262747529216/Uo8lOkRJ_normal.jpg","View")</f>
        <v>View</v>
      </c>
      <c r="P4558" s="7"/>
    </row>
    <row r="4559" spans="1:16">
      <c r="A4559" s="3">
        <v>43923.071875000001</v>
      </c>
      <c r="B4559" s="4" t="str">
        <f>HYPERLINK("https://twitter.com/petrogustavo","@petrogustavo")</f>
        <v>@petrogustavo</v>
      </c>
      <c r="C4559" s="5" t="s">
        <v>16</v>
      </c>
      <c r="D4559" s="5" t="s">
        <v>4470</v>
      </c>
      <c r="E4559" s="6" t="str">
        <f>HYPERLINK("https://twitter.com/petrogustavo/status/1245444198335217675","1245444198335217675")</f>
        <v>1245444198335217675</v>
      </c>
      <c r="F4559" s="7" t="s">
        <v>17</v>
      </c>
      <c r="G4559" s="7">
        <v>3732808</v>
      </c>
      <c r="H4559" s="7">
        <v>2373</v>
      </c>
      <c r="I4559" s="7">
        <v>25</v>
      </c>
      <c r="J4559" s="7">
        <v>112</v>
      </c>
      <c r="K4559" s="7" t="s">
        <v>18</v>
      </c>
      <c r="L4559" s="8">
        <v>39987.315405092595</v>
      </c>
      <c r="M4559" s="9" t="s">
        <v>19</v>
      </c>
      <c r="N4559" s="9" t="s">
        <v>20</v>
      </c>
      <c r="O4559" s="6" t="str">
        <f>HYPERLINK("https://pbs.twimg.com/profile_images/962471262747529216/Uo8lOkRJ_normal.jpg","View")</f>
        <v>View</v>
      </c>
      <c r="P4559" s="7"/>
    </row>
    <row r="4560" spans="1:16">
      <c r="A4560" s="3">
        <v>43923.085555555561</v>
      </c>
      <c r="B4560" s="4" t="str">
        <f>HYPERLINK("https://twitter.com/petrogustavo","@petrogustavo")</f>
        <v>@petrogustavo</v>
      </c>
      <c r="C4560" s="5" t="s">
        <v>16</v>
      </c>
      <c r="D4560" s="5" t="s">
        <v>4471</v>
      </c>
      <c r="E4560" s="6" t="str">
        <f>HYPERLINK("https://twitter.com/petrogustavo/status/1245449156300353537","1245449156300353537")</f>
        <v>1245449156300353537</v>
      </c>
      <c r="F4560" s="7" t="s">
        <v>17</v>
      </c>
      <c r="G4560" s="7">
        <v>3732869</v>
      </c>
      <c r="H4560" s="7">
        <v>2373</v>
      </c>
      <c r="I4560" s="7">
        <v>263</v>
      </c>
      <c r="J4560" s="7">
        <v>0</v>
      </c>
      <c r="K4560" s="7" t="s">
        <v>18</v>
      </c>
      <c r="L4560" s="8">
        <v>39987.315405092595</v>
      </c>
      <c r="M4560" s="9" t="s">
        <v>19</v>
      </c>
      <c r="N4560" s="9" t="s">
        <v>20</v>
      </c>
      <c r="O4560" s="6" t="str">
        <f>HYPERLINK("https://pbs.twimg.com/profile_images/962471262747529216/Uo8lOkRJ_normal.jpg","View")</f>
        <v>View</v>
      </c>
      <c r="P4560" s="7"/>
    </row>
    <row r="4561" spans="1:16">
      <c r="A4561" s="3">
        <v>43923.089178240742</v>
      </c>
      <c r="B4561" s="4" t="str">
        <f>HYPERLINK("https://twitter.com/petrogustavo","@petrogustavo")</f>
        <v>@petrogustavo</v>
      </c>
      <c r="C4561" s="5" t="s">
        <v>16</v>
      </c>
      <c r="D4561" s="5" t="s">
        <v>4472</v>
      </c>
      <c r="E4561" s="6" t="str">
        <f>HYPERLINK("https://twitter.com/petrogustavo/status/1245450468236689415","1245450468236689415")</f>
        <v>1245450468236689415</v>
      </c>
      <c r="F4561" s="7" t="s">
        <v>17</v>
      </c>
      <c r="G4561" s="7">
        <v>3732869</v>
      </c>
      <c r="H4561" s="7">
        <v>2373</v>
      </c>
      <c r="I4561" s="7">
        <v>71</v>
      </c>
      <c r="J4561" s="7">
        <v>0</v>
      </c>
      <c r="K4561" s="7" t="s">
        <v>18</v>
      </c>
      <c r="L4561" s="8">
        <v>39987.315405092595</v>
      </c>
      <c r="M4561" s="9" t="s">
        <v>19</v>
      </c>
      <c r="N4561" s="9" t="s">
        <v>20</v>
      </c>
      <c r="O4561" s="6" t="str">
        <f>HYPERLINK("https://pbs.twimg.com/profile_images/962471262747529216/Uo8lOkRJ_normal.jpg","View")</f>
        <v>View</v>
      </c>
      <c r="P4561" s="7"/>
    </row>
    <row r="4562" spans="1:16">
      <c r="A4562" s="3">
        <v>43923.09103009259</v>
      </c>
      <c r="B4562" s="4" t="str">
        <f>HYPERLINK("https://twitter.com/petrogustavo","@petrogustavo")</f>
        <v>@petrogustavo</v>
      </c>
      <c r="C4562" s="5" t="s">
        <v>16</v>
      </c>
      <c r="D4562" s="5" t="s">
        <v>4473</v>
      </c>
      <c r="E4562" s="6" t="str">
        <f>HYPERLINK("https://twitter.com/petrogustavo/status/1245451140076113922","1245451140076113922")</f>
        <v>1245451140076113922</v>
      </c>
      <c r="F4562" s="7" t="s">
        <v>17</v>
      </c>
      <c r="G4562" s="7">
        <v>3732869</v>
      </c>
      <c r="H4562" s="7">
        <v>2373</v>
      </c>
      <c r="I4562" s="7">
        <v>43</v>
      </c>
      <c r="J4562" s="7">
        <v>83</v>
      </c>
      <c r="K4562" s="7" t="s">
        <v>18</v>
      </c>
      <c r="L4562" s="8">
        <v>39987.315405092595</v>
      </c>
      <c r="M4562" s="9" t="s">
        <v>19</v>
      </c>
      <c r="N4562" s="9" t="s">
        <v>20</v>
      </c>
      <c r="O4562" s="6" t="str">
        <f>HYPERLINK("https://pbs.twimg.com/profile_images/962471262747529216/Uo8lOkRJ_normal.jpg","View")</f>
        <v>View</v>
      </c>
      <c r="P4562" s="7"/>
    </row>
    <row r="4563" spans="1:16">
      <c r="A4563" s="3">
        <v>43923.093229166669</v>
      </c>
      <c r="B4563" s="4" t="str">
        <f>HYPERLINK("https://twitter.com/petrogustavo","@petrogustavo")</f>
        <v>@petrogustavo</v>
      </c>
      <c r="C4563" s="5" t="s">
        <v>16</v>
      </c>
      <c r="D4563" s="5" t="s">
        <v>4474</v>
      </c>
      <c r="E4563" s="6" t="str">
        <f>HYPERLINK("https://twitter.com/petrogustavo/status/1245451936977084416","1245451936977084416")</f>
        <v>1245451936977084416</v>
      </c>
      <c r="F4563" s="7" t="s">
        <v>17</v>
      </c>
      <c r="G4563" s="7">
        <v>3732869</v>
      </c>
      <c r="H4563" s="7">
        <v>2373</v>
      </c>
      <c r="I4563" s="7">
        <v>398</v>
      </c>
      <c r="J4563" s="7">
        <v>985</v>
      </c>
      <c r="K4563" s="7" t="s">
        <v>18</v>
      </c>
      <c r="L4563" s="8">
        <v>39987.315405092595</v>
      </c>
      <c r="M4563" s="9" t="s">
        <v>19</v>
      </c>
      <c r="N4563" s="9" t="s">
        <v>20</v>
      </c>
      <c r="O4563" s="6" t="str">
        <f>HYPERLINK("https://pbs.twimg.com/profile_images/962471262747529216/Uo8lOkRJ_normal.jpg","View")</f>
        <v>View</v>
      </c>
      <c r="P4563" s="7"/>
    </row>
    <row r="4564" spans="1:16">
      <c r="A4564" s="3">
        <v>43923.108148148152</v>
      </c>
      <c r="B4564" s="4" t="str">
        <f>HYPERLINK("https://twitter.com/petrogustavo","@petrogustavo")</f>
        <v>@petrogustavo</v>
      </c>
      <c r="C4564" s="5" t="s">
        <v>16</v>
      </c>
      <c r="D4564" s="5" t="s">
        <v>4475</v>
      </c>
      <c r="E4564" s="6" t="str">
        <f>HYPERLINK("https://twitter.com/petrogustavo/status/1245457341539143684","1245457341539143684")</f>
        <v>1245457341539143684</v>
      </c>
      <c r="F4564" s="7" t="s">
        <v>17</v>
      </c>
      <c r="G4564" s="7">
        <v>3732931</v>
      </c>
      <c r="H4564" s="7">
        <v>2374</v>
      </c>
      <c r="I4564" s="7">
        <v>59</v>
      </c>
      <c r="J4564" s="7">
        <v>106</v>
      </c>
      <c r="K4564" s="7" t="s">
        <v>18</v>
      </c>
      <c r="L4564" s="8">
        <v>39987.315405092595</v>
      </c>
      <c r="M4564" s="9" t="s">
        <v>19</v>
      </c>
      <c r="N4564" s="9" t="s">
        <v>20</v>
      </c>
      <c r="O4564" s="6" t="str">
        <f>HYPERLINK("https://pbs.twimg.com/profile_images/962471262747529216/Uo8lOkRJ_normal.jpg","View")</f>
        <v>View</v>
      </c>
      <c r="P4564" s="7"/>
    </row>
    <row r="4565" spans="1:16">
      <c r="A4565" s="3">
        <v>43923.117905092593</v>
      </c>
      <c r="B4565" s="4" t="str">
        <f>HYPERLINK("https://twitter.com/petrogustavo","@petrogustavo")</f>
        <v>@petrogustavo</v>
      </c>
      <c r="C4565" s="5" t="s">
        <v>16</v>
      </c>
      <c r="D4565" s="5" t="s">
        <v>4476</v>
      </c>
      <c r="E4565" s="6" t="str">
        <f>HYPERLINK("https://twitter.com/petrogustavo/status/1245460875898732551","1245460875898732551")</f>
        <v>1245460875898732551</v>
      </c>
      <c r="F4565" s="7" t="s">
        <v>17</v>
      </c>
      <c r="G4565" s="7">
        <v>3732931</v>
      </c>
      <c r="H4565" s="7">
        <v>2374</v>
      </c>
      <c r="I4565" s="7">
        <v>52</v>
      </c>
      <c r="J4565" s="7">
        <v>101</v>
      </c>
      <c r="K4565" s="7" t="s">
        <v>18</v>
      </c>
      <c r="L4565" s="8">
        <v>39987.315405092595</v>
      </c>
      <c r="M4565" s="9" t="s">
        <v>19</v>
      </c>
      <c r="N4565" s="9" t="s">
        <v>20</v>
      </c>
      <c r="O4565" s="6" t="str">
        <f>HYPERLINK("https://pbs.twimg.com/profile_images/962471262747529216/Uo8lOkRJ_normal.jpg","View")</f>
        <v>View</v>
      </c>
      <c r="P4565" s="7"/>
    </row>
    <row r="4566" spans="1:16">
      <c r="A4566" s="3">
        <v>43923.121053240742</v>
      </c>
      <c r="B4566" s="4" t="str">
        <f>HYPERLINK("https://twitter.com/petrogustavo","@petrogustavo")</f>
        <v>@petrogustavo</v>
      </c>
      <c r="C4566" s="5" t="s">
        <v>16</v>
      </c>
      <c r="D4566" s="5" t="s">
        <v>4477</v>
      </c>
      <c r="E4566" s="6" t="str">
        <f>HYPERLINK("https://twitter.com/petrogustavo/status/1245462020805341187","1245462020805341187")</f>
        <v>1245462020805341187</v>
      </c>
      <c r="F4566" s="7" t="s">
        <v>17</v>
      </c>
      <c r="G4566" s="7">
        <v>3732931</v>
      </c>
      <c r="H4566" s="7">
        <v>2374</v>
      </c>
      <c r="I4566" s="7">
        <v>28</v>
      </c>
      <c r="J4566" s="7">
        <v>0</v>
      </c>
      <c r="K4566" s="7" t="s">
        <v>18</v>
      </c>
      <c r="L4566" s="8">
        <v>39987.315405092595</v>
      </c>
      <c r="M4566" s="9" t="s">
        <v>19</v>
      </c>
      <c r="N4566" s="9" t="s">
        <v>20</v>
      </c>
      <c r="O4566" s="6" t="str">
        <f>HYPERLINK("https://pbs.twimg.com/profile_images/962471262747529216/Uo8lOkRJ_normal.jpg","View")</f>
        <v>View</v>
      </c>
      <c r="P4566" s="7"/>
    </row>
    <row r="4567" spans="1:16">
      <c r="A4567" s="3">
        <v>43923.126203703709</v>
      </c>
      <c r="B4567" s="4" t="str">
        <f>HYPERLINK("https://twitter.com/petrogustavo","@petrogustavo")</f>
        <v>@petrogustavo</v>
      </c>
      <c r="C4567" s="5" t="s">
        <v>16</v>
      </c>
      <c r="D4567" s="5" t="s">
        <v>4478</v>
      </c>
      <c r="E4567" s="6" t="str">
        <f>HYPERLINK("https://twitter.com/petrogustavo/status/1245463885253169156","1245463885253169156")</f>
        <v>1245463885253169156</v>
      </c>
      <c r="F4567" s="7" t="s">
        <v>17</v>
      </c>
      <c r="G4567" s="7">
        <v>3732931</v>
      </c>
      <c r="H4567" s="7">
        <v>2374</v>
      </c>
      <c r="I4567" s="7">
        <v>13</v>
      </c>
      <c r="J4567" s="7">
        <v>20</v>
      </c>
      <c r="K4567" s="7" t="s">
        <v>18</v>
      </c>
      <c r="L4567" s="8">
        <v>39987.315405092595</v>
      </c>
      <c r="M4567" s="9" t="s">
        <v>19</v>
      </c>
      <c r="N4567" s="9" t="s">
        <v>20</v>
      </c>
      <c r="O4567" s="6" t="str">
        <f>HYPERLINK("https://pbs.twimg.com/profile_images/962471262747529216/Uo8lOkRJ_normal.jpg","View")</f>
        <v>View</v>
      </c>
      <c r="P4567" s="7"/>
    </row>
    <row r="4568" spans="1:16">
      <c r="A4568" s="3">
        <v>43923.130995370375</v>
      </c>
      <c r="B4568" s="4" t="str">
        <f>HYPERLINK("https://twitter.com/petrogustavo","@petrogustavo")</f>
        <v>@petrogustavo</v>
      </c>
      <c r="C4568" s="5" t="s">
        <v>16</v>
      </c>
      <c r="D4568" s="5" t="s">
        <v>4479</v>
      </c>
      <c r="E4568" s="6" t="str">
        <f>HYPERLINK("https://twitter.com/petrogustavo/status/1245465623100096514","1245465623100096514")</f>
        <v>1245465623100096514</v>
      </c>
      <c r="F4568" s="7" t="s">
        <v>17</v>
      </c>
      <c r="G4568" s="7">
        <v>3732980</v>
      </c>
      <c r="H4568" s="7">
        <v>2374</v>
      </c>
      <c r="I4568" s="7">
        <v>223</v>
      </c>
      <c r="J4568" s="7">
        <v>357</v>
      </c>
      <c r="K4568" s="7" t="s">
        <v>18</v>
      </c>
      <c r="L4568" s="8">
        <v>39987.315405092595</v>
      </c>
      <c r="M4568" s="9" t="s">
        <v>19</v>
      </c>
      <c r="N4568" s="9" t="s">
        <v>20</v>
      </c>
      <c r="O4568" s="6" t="str">
        <f>HYPERLINK("https://pbs.twimg.com/profile_images/962471262747529216/Uo8lOkRJ_normal.jpg","View")</f>
        <v>View</v>
      </c>
      <c r="P4568" s="7"/>
    </row>
    <row r="4569" spans="1:16">
      <c r="A4569" s="3">
        <v>43923.133009259254</v>
      </c>
      <c r="B4569" s="4" t="str">
        <f>HYPERLINK("https://twitter.com/petrogustavo","@petrogustavo")</f>
        <v>@petrogustavo</v>
      </c>
      <c r="C4569" s="5" t="s">
        <v>16</v>
      </c>
      <c r="D4569" s="5" t="s">
        <v>4480</v>
      </c>
      <c r="E4569" s="6" t="str">
        <f>HYPERLINK("https://twitter.com/petrogustavo/status/1245466350136496135","1245466350136496135")</f>
        <v>1245466350136496135</v>
      </c>
      <c r="F4569" s="7" t="s">
        <v>17</v>
      </c>
      <c r="G4569" s="7">
        <v>3732980</v>
      </c>
      <c r="H4569" s="7">
        <v>2374</v>
      </c>
      <c r="I4569" s="7">
        <v>1023</v>
      </c>
      <c r="J4569" s="7">
        <v>0</v>
      </c>
      <c r="K4569" s="7" t="s">
        <v>18</v>
      </c>
      <c r="L4569" s="8">
        <v>39987.315405092595</v>
      </c>
      <c r="M4569" s="9" t="s">
        <v>19</v>
      </c>
      <c r="N4569" s="9" t="s">
        <v>20</v>
      </c>
      <c r="O4569" s="6" t="str">
        <f>HYPERLINK("https://pbs.twimg.com/profile_images/962471262747529216/Uo8lOkRJ_normal.jpg","View")</f>
        <v>View</v>
      </c>
      <c r="P4569" s="7"/>
    </row>
    <row r="4570" spans="1:16">
      <c r="A4570" s="3">
        <v>43923.143796296295</v>
      </c>
      <c r="B4570" s="4" t="str">
        <f>HYPERLINK("https://twitter.com/petrogustavo","@petrogustavo")</f>
        <v>@petrogustavo</v>
      </c>
      <c r="C4570" s="5" t="s">
        <v>16</v>
      </c>
      <c r="D4570" s="5" t="s">
        <v>4481</v>
      </c>
      <c r="E4570" s="6" t="str">
        <f>HYPERLINK("https://twitter.com/petrogustavo/status/1245470260725235713","1245470260725235713")</f>
        <v>1245470260725235713</v>
      </c>
      <c r="F4570" s="7" t="s">
        <v>17</v>
      </c>
      <c r="G4570" s="7">
        <v>3732980</v>
      </c>
      <c r="H4570" s="7">
        <v>2374</v>
      </c>
      <c r="I4570" s="7">
        <v>10</v>
      </c>
      <c r="J4570" s="7">
        <v>31</v>
      </c>
      <c r="K4570" s="7" t="s">
        <v>18</v>
      </c>
      <c r="L4570" s="8">
        <v>39987.315405092595</v>
      </c>
      <c r="M4570" s="9" t="s">
        <v>19</v>
      </c>
      <c r="N4570" s="9" t="s">
        <v>20</v>
      </c>
      <c r="O4570" s="6" t="str">
        <f>HYPERLINK("https://pbs.twimg.com/profile_images/962471262747529216/Uo8lOkRJ_normal.jpg","View")</f>
        <v>View</v>
      </c>
      <c r="P4570" s="7"/>
    </row>
    <row r="4571" spans="1:16">
      <c r="A4571" s="3">
        <v>43923.152638888889</v>
      </c>
      <c r="B4571" s="4" t="str">
        <f>HYPERLINK("https://twitter.com/petrogustavo","@petrogustavo")</f>
        <v>@petrogustavo</v>
      </c>
      <c r="C4571" s="5" t="s">
        <v>16</v>
      </c>
      <c r="D4571" s="5" t="s">
        <v>4482</v>
      </c>
      <c r="E4571" s="6" t="str">
        <f>HYPERLINK("https://twitter.com/petrogustavo/status/1245473465962029057","1245473465962029057")</f>
        <v>1245473465962029057</v>
      </c>
      <c r="F4571" s="7" t="s">
        <v>17</v>
      </c>
      <c r="G4571" s="7">
        <v>3733060</v>
      </c>
      <c r="H4571" s="7">
        <v>2375</v>
      </c>
      <c r="I4571" s="7">
        <v>178</v>
      </c>
      <c r="J4571" s="7">
        <v>444</v>
      </c>
      <c r="K4571" s="7" t="s">
        <v>18</v>
      </c>
      <c r="L4571" s="8">
        <v>39987.315405092595</v>
      </c>
      <c r="M4571" s="9" t="s">
        <v>19</v>
      </c>
      <c r="N4571" s="9" t="s">
        <v>20</v>
      </c>
      <c r="O4571" s="6" t="str">
        <f>HYPERLINK("https://pbs.twimg.com/profile_images/962471262747529216/Uo8lOkRJ_normal.jpg","View")</f>
        <v>View</v>
      </c>
      <c r="P4571" s="7"/>
    </row>
    <row r="4572" spans="1:16">
      <c r="A4572" s="3">
        <v>43923.158587962964</v>
      </c>
      <c r="B4572" s="4" t="str">
        <f>HYPERLINK("https://twitter.com/petrogustavo","@petrogustavo")</f>
        <v>@petrogustavo</v>
      </c>
      <c r="C4572" s="5" t="s">
        <v>16</v>
      </c>
      <c r="D4572" s="5" t="s">
        <v>4483</v>
      </c>
      <c r="E4572" s="6" t="str">
        <f>HYPERLINK("https://twitter.com/petrogustavo/status/1245475619401543681","1245475619401543681")</f>
        <v>1245475619401543681</v>
      </c>
      <c r="F4572" s="7" t="s">
        <v>17</v>
      </c>
      <c r="G4572" s="7">
        <v>3733060</v>
      </c>
      <c r="H4572" s="7">
        <v>2375</v>
      </c>
      <c r="I4572" s="7">
        <v>57</v>
      </c>
      <c r="J4572" s="7">
        <v>175</v>
      </c>
      <c r="K4572" s="7" t="s">
        <v>18</v>
      </c>
      <c r="L4572" s="8">
        <v>39987.315405092595</v>
      </c>
      <c r="M4572" s="9" t="s">
        <v>19</v>
      </c>
      <c r="N4572" s="9" t="s">
        <v>20</v>
      </c>
      <c r="O4572" s="6" t="str">
        <f>HYPERLINK("https://pbs.twimg.com/profile_images/962471262747529216/Uo8lOkRJ_normal.jpg","View")</f>
        <v>View</v>
      </c>
      <c r="P4572" s="7"/>
    </row>
    <row r="4573" spans="1:16">
      <c r="A4573" s="3">
        <v>43923.159814814819</v>
      </c>
      <c r="B4573" s="4" t="str">
        <f>HYPERLINK("https://twitter.com/petrogustavo","@petrogustavo")</f>
        <v>@petrogustavo</v>
      </c>
      <c r="C4573" s="5" t="s">
        <v>16</v>
      </c>
      <c r="D4573" s="5" t="s">
        <v>4484</v>
      </c>
      <c r="E4573" s="6" t="str">
        <f>HYPERLINK("https://twitter.com/petrogustavo/status/1245476064136245262","1245476064136245262")</f>
        <v>1245476064136245262</v>
      </c>
      <c r="F4573" s="7" t="s">
        <v>17</v>
      </c>
      <c r="G4573" s="7">
        <v>3733060</v>
      </c>
      <c r="H4573" s="7">
        <v>2375</v>
      </c>
      <c r="I4573" s="7">
        <v>43</v>
      </c>
      <c r="J4573" s="7">
        <v>84</v>
      </c>
      <c r="K4573" s="7" t="s">
        <v>18</v>
      </c>
      <c r="L4573" s="8">
        <v>39987.315405092595</v>
      </c>
      <c r="M4573" s="9" t="s">
        <v>19</v>
      </c>
      <c r="N4573" s="9" t="s">
        <v>20</v>
      </c>
      <c r="O4573" s="6" t="str">
        <f>HYPERLINK("https://pbs.twimg.com/profile_images/962471262747529216/Uo8lOkRJ_normal.jpg","View")</f>
        <v>View</v>
      </c>
      <c r="P4573" s="7"/>
    </row>
    <row r="4574" spans="1:16">
      <c r="A4574" s="3">
        <v>43923.173101851848</v>
      </c>
      <c r="B4574" s="4" t="str">
        <f>HYPERLINK("https://twitter.com/petrogustavo","@petrogustavo")</f>
        <v>@petrogustavo</v>
      </c>
      <c r="C4574" s="5" t="s">
        <v>16</v>
      </c>
      <c r="D4574" s="5" t="s">
        <v>4485</v>
      </c>
      <c r="E4574" s="6" t="str">
        <f>HYPERLINK("https://twitter.com/petrogustavo/status/1245480881575333890","1245480881575333890")</f>
        <v>1245480881575333890</v>
      </c>
      <c r="F4574" s="7" t="s">
        <v>17</v>
      </c>
      <c r="G4574" s="7">
        <v>3733139</v>
      </c>
      <c r="H4574" s="7">
        <v>2375</v>
      </c>
      <c r="I4574" s="7">
        <v>615</v>
      </c>
      <c r="J4574" s="7">
        <v>0</v>
      </c>
      <c r="K4574" s="7" t="s">
        <v>18</v>
      </c>
      <c r="L4574" s="8">
        <v>39987.315405092595</v>
      </c>
      <c r="M4574" s="9" t="s">
        <v>19</v>
      </c>
      <c r="N4574" s="9" t="s">
        <v>20</v>
      </c>
      <c r="O4574" s="6" t="str">
        <f>HYPERLINK("https://pbs.twimg.com/profile_images/962471262747529216/Uo8lOkRJ_normal.jpg","View")</f>
        <v>View</v>
      </c>
      <c r="P4574" s="7"/>
    </row>
    <row r="4575" spans="1:16">
      <c r="A4575" s="3">
        <v>43923.173761574071</v>
      </c>
      <c r="B4575" s="4" t="str">
        <f>HYPERLINK("https://twitter.com/petrogustavo","@petrogustavo")</f>
        <v>@petrogustavo</v>
      </c>
      <c r="C4575" s="5" t="s">
        <v>16</v>
      </c>
      <c r="D4575" s="5" t="s">
        <v>4486</v>
      </c>
      <c r="E4575" s="6" t="str">
        <f>HYPERLINK("https://twitter.com/petrogustavo/status/1245481120772259847","1245481120772259847")</f>
        <v>1245481120772259847</v>
      </c>
      <c r="F4575" s="7" t="s">
        <v>17</v>
      </c>
      <c r="G4575" s="7">
        <v>3733139</v>
      </c>
      <c r="H4575" s="7">
        <v>2375</v>
      </c>
      <c r="I4575" s="7">
        <v>2063</v>
      </c>
      <c r="J4575" s="7">
        <v>0</v>
      </c>
      <c r="K4575" s="7" t="s">
        <v>18</v>
      </c>
      <c r="L4575" s="8">
        <v>39987.315405092595</v>
      </c>
      <c r="M4575" s="9" t="s">
        <v>19</v>
      </c>
      <c r="N4575" s="9" t="s">
        <v>20</v>
      </c>
      <c r="O4575" s="6" t="str">
        <f>HYPERLINK("https://pbs.twimg.com/profile_images/962471262747529216/Uo8lOkRJ_normal.jpg","View")</f>
        <v>View</v>
      </c>
      <c r="P4575" s="7"/>
    </row>
    <row r="4576" spans="1:16">
      <c r="A4576" s="3">
        <v>43923.233634259261</v>
      </c>
      <c r="B4576" s="4" t="str">
        <f>HYPERLINK("https://twitter.com/petrogustavo","@petrogustavo")</f>
        <v>@petrogustavo</v>
      </c>
      <c r="C4576" s="5" t="s">
        <v>16</v>
      </c>
      <c r="D4576" s="5" t="s">
        <v>4487</v>
      </c>
      <c r="E4576" s="6" t="str">
        <f>HYPERLINK("https://twitter.com/petrogustavo/status/1245502817806307328","1245502817806307328")</f>
        <v>1245502817806307328</v>
      </c>
      <c r="F4576" s="7" t="s">
        <v>17</v>
      </c>
      <c r="G4576" s="7">
        <v>3733370</v>
      </c>
      <c r="H4576" s="7">
        <v>2375</v>
      </c>
      <c r="I4576" s="7">
        <v>540</v>
      </c>
      <c r="J4576" s="7">
        <v>1361</v>
      </c>
      <c r="K4576" s="7" t="s">
        <v>18</v>
      </c>
      <c r="L4576" s="8">
        <v>39987.315405092595</v>
      </c>
      <c r="M4576" s="9" t="s">
        <v>19</v>
      </c>
      <c r="N4576" s="9" t="s">
        <v>20</v>
      </c>
      <c r="O4576" s="6" t="str">
        <f>HYPERLINK("https://pbs.twimg.com/profile_images/962471262747529216/Uo8lOkRJ_normal.jpg","View")</f>
        <v>View</v>
      </c>
      <c r="P4576" s="7"/>
    </row>
    <row r="4577" spans="1:16">
      <c r="A4577" s="3">
        <v>43923.243055555555</v>
      </c>
      <c r="B4577" s="4" t="str">
        <f>HYPERLINK("https://twitter.com/petrogustavo","@petrogustavo")</f>
        <v>@petrogustavo</v>
      </c>
      <c r="C4577" s="5" t="s">
        <v>16</v>
      </c>
      <c r="D4577" s="5" t="s">
        <v>4488</v>
      </c>
      <c r="E4577" s="6" t="str">
        <f>HYPERLINK("https://twitter.com/petrogustavo/status/1245506231390941186","1245506231390941186")</f>
        <v>1245506231390941186</v>
      </c>
      <c r="F4577" s="7" t="s">
        <v>17</v>
      </c>
      <c r="G4577" s="7">
        <v>3733370</v>
      </c>
      <c r="H4577" s="7">
        <v>2375</v>
      </c>
      <c r="I4577" s="7">
        <v>87</v>
      </c>
      <c r="J4577" s="7">
        <v>151</v>
      </c>
      <c r="K4577" s="7" t="s">
        <v>18</v>
      </c>
      <c r="L4577" s="8">
        <v>39987.315405092595</v>
      </c>
      <c r="M4577" s="9" t="s">
        <v>19</v>
      </c>
      <c r="N4577" s="9" t="s">
        <v>20</v>
      </c>
      <c r="O4577" s="6" t="str">
        <f>HYPERLINK("https://pbs.twimg.com/profile_images/962471262747529216/Uo8lOkRJ_normal.jpg","View")</f>
        <v>View</v>
      </c>
      <c r="P4577" s="7"/>
    </row>
    <row r="4578" spans="1:16">
      <c r="A4578" s="3">
        <v>43923.244155092594</v>
      </c>
      <c r="B4578" s="4" t="str">
        <f>HYPERLINK("https://twitter.com/petrogustavo","@petrogustavo")</f>
        <v>@petrogustavo</v>
      </c>
      <c r="C4578" s="5" t="s">
        <v>16</v>
      </c>
      <c r="D4578" s="5" t="s">
        <v>4489</v>
      </c>
      <c r="E4578" s="6" t="str">
        <f>HYPERLINK("https://twitter.com/petrogustavo/status/1245506627660402690","1245506627660402690")</f>
        <v>1245506627660402690</v>
      </c>
      <c r="F4578" s="7" t="s">
        <v>17</v>
      </c>
      <c r="G4578" s="7">
        <v>3733370</v>
      </c>
      <c r="H4578" s="7">
        <v>2375</v>
      </c>
      <c r="I4578" s="7">
        <v>540</v>
      </c>
      <c r="J4578" s="7">
        <v>0</v>
      </c>
      <c r="K4578" s="7" t="s">
        <v>18</v>
      </c>
      <c r="L4578" s="8">
        <v>39987.315405092595</v>
      </c>
      <c r="M4578" s="9" t="s">
        <v>19</v>
      </c>
      <c r="N4578" s="9" t="s">
        <v>20</v>
      </c>
      <c r="O4578" s="6" t="str">
        <f>HYPERLINK("https://pbs.twimg.com/profile_images/962471262747529216/Uo8lOkRJ_normal.jpg","View")</f>
        <v>View</v>
      </c>
      <c r="P4578" s="7"/>
    </row>
    <row r="4579" spans="1:16">
      <c r="A4579" s="3">
        <v>43923.266759259262</v>
      </c>
      <c r="B4579" s="4" t="str">
        <f>HYPERLINK("https://twitter.com/petrogustavo","@petrogustavo")</f>
        <v>@petrogustavo</v>
      </c>
      <c r="C4579" s="5" t="s">
        <v>16</v>
      </c>
      <c r="D4579" s="5" t="s">
        <v>4490</v>
      </c>
      <c r="E4579" s="6" t="str">
        <f>HYPERLINK("https://twitter.com/petrogustavo/status/1245514822780887041","1245514822780887041")</f>
        <v>1245514822780887041</v>
      </c>
      <c r="F4579" s="7" t="s">
        <v>17</v>
      </c>
      <c r="G4579" s="7">
        <v>3733444</v>
      </c>
      <c r="H4579" s="7">
        <v>2375</v>
      </c>
      <c r="I4579" s="7">
        <v>113</v>
      </c>
      <c r="J4579" s="7">
        <v>174</v>
      </c>
      <c r="K4579" s="7" t="s">
        <v>18</v>
      </c>
      <c r="L4579" s="8">
        <v>39987.315405092595</v>
      </c>
      <c r="M4579" s="9" t="s">
        <v>19</v>
      </c>
      <c r="N4579" s="9" t="s">
        <v>20</v>
      </c>
      <c r="O4579" s="6" t="str">
        <f>HYPERLINK("https://pbs.twimg.com/profile_images/962471262747529216/Uo8lOkRJ_normal.jpg","View")</f>
        <v>View</v>
      </c>
      <c r="P4579" s="7"/>
    </row>
    <row r="4580" spans="1:16">
      <c r="A4580" s="3">
        <v>43923.291099537033</v>
      </c>
      <c r="B4580" s="4" t="str">
        <f>HYPERLINK("https://twitter.com/petrogustavo","@petrogustavo")</f>
        <v>@petrogustavo</v>
      </c>
      <c r="C4580" s="5" t="s">
        <v>16</v>
      </c>
      <c r="D4580" s="5" t="s">
        <v>4491</v>
      </c>
      <c r="E4580" s="6" t="str">
        <f>HYPERLINK("https://twitter.com/petrogustavo/status/1245523639430262789","1245523639430262789")</f>
        <v>1245523639430262789</v>
      </c>
      <c r="F4580" s="7" t="s">
        <v>17</v>
      </c>
      <c r="G4580" s="7">
        <v>3733513</v>
      </c>
      <c r="H4580" s="7">
        <v>2375</v>
      </c>
      <c r="I4580" s="7">
        <v>55</v>
      </c>
      <c r="J4580" s="7">
        <v>0</v>
      </c>
      <c r="K4580" s="7" t="s">
        <v>18</v>
      </c>
      <c r="L4580" s="8">
        <v>39987.315405092595</v>
      </c>
      <c r="M4580" s="9" t="s">
        <v>19</v>
      </c>
      <c r="N4580" s="9" t="s">
        <v>20</v>
      </c>
      <c r="O4580" s="6" t="str">
        <f>HYPERLINK("https://pbs.twimg.com/profile_images/962471262747529216/Uo8lOkRJ_normal.jpg","View")</f>
        <v>View</v>
      </c>
      <c r="P4580" s="7"/>
    </row>
    <row r="4581" spans="1:16">
      <c r="A4581" s="3">
        <v>43923.296967592592</v>
      </c>
      <c r="B4581" s="4" t="str">
        <f>HYPERLINK("https://twitter.com/petrogustavo","@petrogustavo")</f>
        <v>@petrogustavo</v>
      </c>
      <c r="C4581" s="5" t="s">
        <v>16</v>
      </c>
      <c r="D4581" s="5" t="s">
        <v>4492</v>
      </c>
      <c r="E4581" s="6" t="str">
        <f>HYPERLINK("https://twitter.com/petrogustavo/status/1245525767213256706","1245525767213256706")</f>
        <v>1245525767213256706</v>
      </c>
      <c r="F4581" s="7" t="s">
        <v>17</v>
      </c>
      <c r="G4581" s="7">
        <v>3733579</v>
      </c>
      <c r="H4581" s="7">
        <v>2375</v>
      </c>
      <c r="I4581" s="7">
        <v>76</v>
      </c>
      <c r="J4581" s="7">
        <v>0</v>
      </c>
      <c r="K4581" s="7" t="s">
        <v>18</v>
      </c>
      <c r="L4581" s="8">
        <v>39987.315405092595</v>
      </c>
      <c r="M4581" s="9" t="s">
        <v>19</v>
      </c>
      <c r="N4581" s="9" t="s">
        <v>20</v>
      </c>
      <c r="O4581" s="6" t="str">
        <f>HYPERLINK("https://pbs.twimg.com/profile_images/962471262747529216/Uo8lOkRJ_normal.jpg","View")</f>
        <v>View</v>
      </c>
      <c r="P4581" s="7"/>
    </row>
    <row r="4582" spans="1:16">
      <c r="A4582" s="3">
        <v>43923.304178240738</v>
      </c>
      <c r="B4582" s="4" t="str">
        <f>HYPERLINK("https://twitter.com/petrogustavo","@petrogustavo")</f>
        <v>@petrogustavo</v>
      </c>
      <c r="C4582" s="5" t="s">
        <v>16</v>
      </c>
      <c r="D4582" s="5" t="s">
        <v>4493</v>
      </c>
      <c r="E4582" s="6" t="str">
        <f>HYPERLINK("https://twitter.com/petrogustavo/status/1245528380465983489","1245528380465983489")</f>
        <v>1245528380465983489</v>
      </c>
      <c r="F4582" s="7" t="s">
        <v>17</v>
      </c>
      <c r="G4582" s="7">
        <v>3733579</v>
      </c>
      <c r="H4582" s="7">
        <v>2375</v>
      </c>
      <c r="I4582" s="7">
        <v>509</v>
      </c>
      <c r="J4582" s="7">
        <v>0</v>
      </c>
      <c r="K4582" s="7" t="s">
        <v>18</v>
      </c>
      <c r="L4582" s="8">
        <v>39987.315405092595</v>
      </c>
      <c r="M4582" s="9" t="s">
        <v>19</v>
      </c>
      <c r="N4582" s="9" t="s">
        <v>20</v>
      </c>
      <c r="O4582" s="6" t="str">
        <f>HYPERLINK("https://pbs.twimg.com/profile_images/962471262747529216/Uo8lOkRJ_normal.jpg","View")</f>
        <v>View</v>
      </c>
      <c r="P4582" s="7"/>
    </row>
    <row r="4583" spans="1:16">
      <c r="A4583" s="3">
        <v>43923.30532407407</v>
      </c>
      <c r="B4583" s="4" t="str">
        <f>HYPERLINK("https://twitter.com/petrogustavo","@petrogustavo")</f>
        <v>@petrogustavo</v>
      </c>
      <c r="C4583" s="5" t="s">
        <v>16</v>
      </c>
      <c r="D4583" s="5" t="s">
        <v>4494</v>
      </c>
      <c r="E4583" s="6" t="str">
        <f>HYPERLINK("https://twitter.com/petrogustavo/status/1245528796553494528","1245528796553494528")</f>
        <v>1245528796553494528</v>
      </c>
      <c r="F4583" s="7" t="s">
        <v>17</v>
      </c>
      <c r="G4583" s="7">
        <v>3733579</v>
      </c>
      <c r="H4583" s="7">
        <v>2375</v>
      </c>
      <c r="I4583" s="7">
        <v>25</v>
      </c>
      <c r="J4583" s="7">
        <v>0</v>
      </c>
      <c r="K4583" s="7" t="s">
        <v>18</v>
      </c>
      <c r="L4583" s="8">
        <v>39987.315405092595</v>
      </c>
      <c r="M4583" s="9" t="s">
        <v>19</v>
      </c>
      <c r="N4583" s="9" t="s">
        <v>20</v>
      </c>
      <c r="O4583" s="6" t="str">
        <f>HYPERLINK("https://pbs.twimg.com/profile_images/962471262747529216/Uo8lOkRJ_normal.jpg","View")</f>
        <v>View</v>
      </c>
      <c r="P4583" s="7"/>
    </row>
    <row r="4584" spans="1:16">
      <c r="A4584" s="3">
        <v>43923.306284722217</v>
      </c>
      <c r="B4584" s="4" t="str">
        <f>HYPERLINK("https://twitter.com/petrogustavo","@petrogustavo")</f>
        <v>@petrogustavo</v>
      </c>
      <c r="C4584" s="5" t="s">
        <v>16</v>
      </c>
      <c r="D4584" s="5" t="s">
        <v>4495</v>
      </c>
      <c r="E4584" s="6" t="str">
        <f>HYPERLINK("https://twitter.com/petrogustavo/status/1245529144336809987","1245529144336809987")</f>
        <v>1245529144336809987</v>
      </c>
      <c r="F4584" s="7" t="s">
        <v>17</v>
      </c>
      <c r="G4584" s="7">
        <v>3733579</v>
      </c>
      <c r="H4584" s="7">
        <v>2375</v>
      </c>
      <c r="I4584" s="7">
        <v>151</v>
      </c>
      <c r="J4584" s="7">
        <v>0</v>
      </c>
      <c r="K4584" s="7" t="s">
        <v>18</v>
      </c>
      <c r="L4584" s="8">
        <v>39987.315405092595</v>
      </c>
      <c r="M4584" s="9" t="s">
        <v>19</v>
      </c>
      <c r="N4584" s="9" t="s">
        <v>20</v>
      </c>
      <c r="O4584" s="6" t="str">
        <f>HYPERLINK("https://pbs.twimg.com/profile_images/962471262747529216/Uo8lOkRJ_normal.jpg","View")</f>
        <v>View</v>
      </c>
      <c r="P4584" s="7"/>
    </row>
    <row r="4585" spans="1:16">
      <c r="A4585" s="3">
        <v>43923.307847222226</v>
      </c>
      <c r="B4585" s="4" t="str">
        <f>HYPERLINK("https://twitter.com/petrogustavo","@petrogustavo")</f>
        <v>@petrogustavo</v>
      </c>
      <c r="C4585" s="5" t="s">
        <v>16</v>
      </c>
      <c r="D4585" s="5" t="s">
        <v>4496</v>
      </c>
      <c r="E4585" s="6" t="str">
        <f>HYPERLINK("https://twitter.com/petrogustavo/status/1245529710819500032","1245529710819500032")</f>
        <v>1245529710819500032</v>
      </c>
      <c r="F4585" s="7" t="s">
        <v>17</v>
      </c>
      <c r="G4585" s="7">
        <v>3733579</v>
      </c>
      <c r="H4585" s="7">
        <v>2375</v>
      </c>
      <c r="I4585" s="7">
        <v>63</v>
      </c>
      <c r="J4585" s="7">
        <v>0</v>
      </c>
      <c r="K4585" s="7" t="s">
        <v>18</v>
      </c>
      <c r="L4585" s="8">
        <v>39987.315405092595</v>
      </c>
      <c r="M4585" s="9" t="s">
        <v>19</v>
      </c>
      <c r="N4585" s="9" t="s">
        <v>20</v>
      </c>
      <c r="O4585" s="6" t="str">
        <f>HYPERLINK("https://pbs.twimg.com/profile_images/962471262747529216/Uo8lOkRJ_normal.jpg","View")</f>
        <v>View</v>
      </c>
      <c r="P4585" s="7"/>
    </row>
    <row r="4586" spans="1:16">
      <c r="A4586" s="3">
        <v>43923.313611111109</v>
      </c>
      <c r="B4586" s="4" t="str">
        <f>HYPERLINK("https://twitter.com/petrogustavo","@petrogustavo")</f>
        <v>@petrogustavo</v>
      </c>
      <c r="C4586" s="5" t="s">
        <v>16</v>
      </c>
      <c r="D4586" s="5" t="s">
        <v>4489</v>
      </c>
      <c r="E4586" s="6" t="str">
        <f>HYPERLINK("https://twitter.com/petrogustavo/status/1245531799549247488","1245531799549247488")</f>
        <v>1245531799549247488</v>
      </c>
      <c r="F4586" s="7" t="s">
        <v>17</v>
      </c>
      <c r="G4586" s="7">
        <v>3733579</v>
      </c>
      <c r="H4586" s="7">
        <v>2375</v>
      </c>
      <c r="I4586" s="7">
        <v>1610</v>
      </c>
      <c r="J4586" s="7">
        <v>0</v>
      </c>
      <c r="K4586" s="7" t="s">
        <v>18</v>
      </c>
      <c r="L4586" s="8">
        <v>39987.315405092595</v>
      </c>
      <c r="M4586" s="9" t="s">
        <v>19</v>
      </c>
      <c r="N4586" s="9" t="s">
        <v>20</v>
      </c>
      <c r="O4586" s="6" t="str">
        <f>HYPERLINK("https://pbs.twimg.com/profile_images/962471262747529216/Uo8lOkRJ_normal.jpg","View")</f>
        <v>View</v>
      </c>
      <c r="P4586" s="7"/>
    </row>
    <row r="4587" spans="1:16">
      <c r="A4587" s="3">
        <v>43923.316863425927</v>
      </c>
      <c r="B4587" s="4" t="str">
        <f>HYPERLINK("https://twitter.com/petrogustavo","@petrogustavo")</f>
        <v>@petrogustavo</v>
      </c>
      <c r="C4587" s="5" t="s">
        <v>16</v>
      </c>
      <c r="D4587" s="5" t="s">
        <v>4497</v>
      </c>
      <c r="E4587" s="6" t="str">
        <f>HYPERLINK("https://twitter.com/petrogustavo/status/1245532978828189699","1245532978828189699")</f>
        <v>1245532978828189699</v>
      </c>
      <c r="F4587" s="7" t="s">
        <v>17</v>
      </c>
      <c r="G4587" s="7">
        <v>3733659</v>
      </c>
      <c r="H4587" s="7">
        <v>2375</v>
      </c>
      <c r="I4587" s="7">
        <v>162</v>
      </c>
      <c r="J4587" s="7">
        <v>399</v>
      </c>
      <c r="K4587" s="7" t="s">
        <v>18</v>
      </c>
      <c r="L4587" s="8">
        <v>39987.315405092595</v>
      </c>
      <c r="M4587" s="9" t="s">
        <v>19</v>
      </c>
      <c r="N4587" s="9" t="s">
        <v>20</v>
      </c>
      <c r="O4587" s="6" t="str">
        <f>HYPERLINK("https://pbs.twimg.com/profile_images/962471262747529216/Uo8lOkRJ_normal.jpg","View")</f>
        <v>View</v>
      </c>
      <c r="P4587" s="7"/>
    </row>
    <row r="4588" spans="1:16">
      <c r="A4588" s="3">
        <v>43923.71365740741</v>
      </c>
      <c r="B4588" s="4" t="str">
        <f>HYPERLINK("https://twitter.com/petrogustavo","@petrogustavo")</f>
        <v>@petrogustavo</v>
      </c>
      <c r="C4588" s="5" t="s">
        <v>16</v>
      </c>
      <c r="D4588" s="5" t="s">
        <v>4498</v>
      </c>
      <c r="E4588" s="6" t="str">
        <f>HYPERLINK("https://twitter.com/petrogustavo/status/1245676773406322688","1245676773406322688")</f>
        <v>1245676773406322688</v>
      </c>
      <c r="F4588" s="7" t="s">
        <v>17</v>
      </c>
      <c r="G4588" s="7">
        <v>3734402</v>
      </c>
      <c r="H4588" s="7">
        <v>2375</v>
      </c>
      <c r="I4588" s="7">
        <v>118</v>
      </c>
      <c r="J4588" s="7">
        <v>140</v>
      </c>
      <c r="K4588" s="7" t="s">
        <v>18</v>
      </c>
      <c r="L4588" s="8">
        <v>39987.315405092595</v>
      </c>
      <c r="M4588" s="9" t="s">
        <v>19</v>
      </c>
      <c r="N4588" s="9" t="s">
        <v>20</v>
      </c>
      <c r="O4588" s="6" t="str">
        <f>HYPERLINK("https://pbs.twimg.com/profile_images/962471262747529216/Uo8lOkRJ_normal.jpg","View")</f>
        <v>View</v>
      </c>
      <c r="P4588" s="7"/>
    </row>
    <row r="4589" spans="1:16">
      <c r="A4589" s="3">
        <v>43923.720763888894</v>
      </c>
      <c r="B4589" s="4" t="str">
        <f>HYPERLINK("https://twitter.com/petrogustavo","@petrogustavo")</f>
        <v>@petrogustavo</v>
      </c>
      <c r="C4589" s="5" t="s">
        <v>16</v>
      </c>
      <c r="D4589" s="5" t="s">
        <v>4499</v>
      </c>
      <c r="E4589" s="6" t="str">
        <f>HYPERLINK("https://twitter.com/petrogustavo/status/1245679348138627073","1245679348138627073")</f>
        <v>1245679348138627073</v>
      </c>
      <c r="F4589" s="7" t="s">
        <v>17</v>
      </c>
      <c r="G4589" s="7">
        <v>3734402</v>
      </c>
      <c r="H4589" s="7">
        <v>2375</v>
      </c>
      <c r="I4589" s="7">
        <v>25</v>
      </c>
      <c r="J4589" s="7">
        <v>22</v>
      </c>
      <c r="K4589" s="7" t="s">
        <v>18</v>
      </c>
      <c r="L4589" s="8">
        <v>39987.315405092595</v>
      </c>
      <c r="M4589" s="9" t="s">
        <v>19</v>
      </c>
      <c r="N4589" s="9" t="s">
        <v>20</v>
      </c>
      <c r="O4589" s="6" t="str">
        <f>HYPERLINK("https://pbs.twimg.com/profile_images/962471262747529216/Uo8lOkRJ_normal.jpg","View")</f>
        <v>View</v>
      </c>
      <c r="P4589" s="7"/>
    </row>
    <row r="4590" spans="1:16">
      <c r="A4590" s="3">
        <v>43923.730243055557</v>
      </c>
      <c r="B4590" s="4" t="str">
        <f>HYPERLINK("https://twitter.com/petrogustavo","@petrogustavo")</f>
        <v>@petrogustavo</v>
      </c>
      <c r="C4590" s="5" t="s">
        <v>16</v>
      </c>
      <c r="D4590" s="5" t="s">
        <v>4500</v>
      </c>
      <c r="E4590" s="6" t="str">
        <f>HYPERLINK("https://twitter.com/petrogustavo/status/1245682780551426048","1245682780551426048")</f>
        <v>1245682780551426048</v>
      </c>
      <c r="F4590" s="7" t="s">
        <v>17</v>
      </c>
      <c r="G4590" s="7">
        <v>3734402</v>
      </c>
      <c r="H4590" s="7">
        <v>2375</v>
      </c>
      <c r="I4590" s="7">
        <v>0</v>
      </c>
      <c r="J4590" s="7">
        <v>0</v>
      </c>
      <c r="K4590" s="7" t="s">
        <v>18</v>
      </c>
      <c r="L4590" s="8">
        <v>39987.315405092595</v>
      </c>
      <c r="M4590" s="9" t="s">
        <v>19</v>
      </c>
      <c r="N4590" s="9" t="s">
        <v>20</v>
      </c>
      <c r="O4590" s="6" t="str">
        <f>HYPERLINK("https://pbs.twimg.com/profile_images/962471262747529216/Uo8lOkRJ_normal.jpg","View")</f>
        <v>View</v>
      </c>
      <c r="P4590" s="7"/>
    </row>
    <row r="4591" spans="1:16">
      <c r="A4591" s="3">
        <v>43923.739872685182</v>
      </c>
      <c r="B4591" s="4" t="str">
        <f>HYPERLINK("https://twitter.com/petrogustavo","@petrogustavo")</f>
        <v>@petrogustavo</v>
      </c>
      <c r="C4591" s="5" t="s">
        <v>16</v>
      </c>
      <c r="D4591" s="5" t="s">
        <v>4501</v>
      </c>
      <c r="E4591" s="6" t="str">
        <f>HYPERLINK("https://twitter.com/petrogustavo/status/1245686271864975360","1245686271864975360")</f>
        <v>1245686271864975360</v>
      </c>
      <c r="F4591" s="7" t="s">
        <v>17</v>
      </c>
      <c r="G4591" s="7">
        <v>3734453</v>
      </c>
      <c r="H4591" s="7">
        <v>2375</v>
      </c>
      <c r="I4591" s="7">
        <v>42</v>
      </c>
      <c r="J4591" s="7">
        <v>51</v>
      </c>
      <c r="K4591" s="7" t="s">
        <v>18</v>
      </c>
      <c r="L4591" s="8">
        <v>39987.315405092595</v>
      </c>
      <c r="M4591" s="9" t="s">
        <v>19</v>
      </c>
      <c r="N4591" s="9" t="s">
        <v>20</v>
      </c>
      <c r="O4591" s="6" t="str">
        <f>HYPERLINK("https://pbs.twimg.com/profile_images/962471262747529216/Uo8lOkRJ_normal.jpg","View")</f>
        <v>View</v>
      </c>
      <c r="P4591" s="7"/>
    </row>
    <row r="4592" spans="1:16">
      <c r="A4592" s="3">
        <v>43923.751863425925</v>
      </c>
      <c r="B4592" s="4" t="str">
        <f>HYPERLINK("https://twitter.com/petrogustavo","@petrogustavo")</f>
        <v>@petrogustavo</v>
      </c>
      <c r="C4592" s="5" t="s">
        <v>16</v>
      </c>
      <c r="D4592" s="5" t="s">
        <v>4502</v>
      </c>
      <c r="E4592" s="6" t="str">
        <f>HYPERLINK("https://twitter.com/petrogustavo/status/1245690615381331969","1245690615381331969")</f>
        <v>1245690615381331969</v>
      </c>
      <c r="F4592" s="7" t="s">
        <v>17</v>
      </c>
      <c r="G4592" s="7">
        <v>3734484</v>
      </c>
      <c r="H4592" s="7">
        <v>2375</v>
      </c>
      <c r="I4592" s="7">
        <v>188</v>
      </c>
      <c r="J4592" s="7">
        <v>318</v>
      </c>
      <c r="K4592" s="7" t="s">
        <v>18</v>
      </c>
      <c r="L4592" s="8">
        <v>39987.315405092595</v>
      </c>
      <c r="M4592" s="9" t="s">
        <v>19</v>
      </c>
      <c r="N4592" s="9" t="s">
        <v>20</v>
      </c>
      <c r="O4592" s="6" t="str">
        <f>HYPERLINK("https://pbs.twimg.com/profile_images/962471262747529216/Uo8lOkRJ_normal.jpg","View")</f>
        <v>View</v>
      </c>
      <c r="P4592" s="7"/>
    </row>
    <row r="4593" spans="1:16">
      <c r="A4593" s="3">
        <v>43923.760763888888</v>
      </c>
      <c r="B4593" s="4" t="str">
        <f>HYPERLINK("https://twitter.com/petrogustavo","@petrogustavo")</f>
        <v>@petrogustavo</v>
      </c>
      <c r="C4593" s="5" t="s">
        <v>16</v>
      </c>
      <c r="D4593" s="5" t="s">
        <v>4503</v>
      </c>
      <c r="E4593" s="6" t="str">
        <f>HYPERLINK("https://twitter.com/petrogustavo/status/1245693841988104192","1245693841988104192")</f>
        <v>1245693841988104192</v>
      </c>
      <c r="F4593" s="7" t="s">
        <v>17</v>
      </c>
      <c r="G4593" s="7">
        <v>3734484</v>
      </c>
      <c r="H4593" s="7">
        <v>2375</v>
      </c>
      <c r="I4593" s="7">
        <v>105</v>
      </c>
      <c r="J4593" s="7">
        <v>136</v>
      </c>
      <c r="K4593" s="7" t="s">
        <v>18</v>
      </c>
      <c r="L4593" s="8">
        <v>39987.315405092595</v>
      </c>
      <c r="M4593" s="9" t="s">
        <v>19</v>
      </c>
      <c r="N4593" s="9" t="s">
        <v>20</v>
      </c>
      <c r="O4593" s="6" t="str">
        <f>HYPERLINK("https://pbs.twimg.com/profile_images/962471262747529216/Uo8lOkRJ_normal.jpg","View")</f>
        <v>View</v>
      </c>
      <c r="P4593" s="7"/>
    </row>
    <row r="4594" spans="1:16">
      <c r="A4594" s="3">
        <v>43923.769178240742</v>
      </c>
      <c r="B4594" s="4" t="str">
        <f>HYPERLINK("https://twitter.com/petrogustavo","@petrogustavo")</f>
        <v>@petrogustavo</v>
      </c>
      <c r="C4594" s="5" t="s">
        <v>16</v>
      </c>
      <c r="D4594" s="5" t="s">
        <v>4504</v>
      </c>
      <c r="E4594" s="6" t="str">
        <f>HYPERLINK("https://twitter.com/petrogustavo/status/1245696890404028416","1245696890404028416")</f>
        <v>1245696890404028416</v>
      </c>
      <c r="F4594" s="7" t="s">
        <v>17</v>
      </c>
      <c r="G4594" s="7">
        <v>3734484</v>
      </c>
      <c r="H4594" s="7">
        <v>2375</v>
      </c>
      <c r="I4594" s="7">
        <v>25</v>
      </c>
      <c r="J4594" s="7">
        <v>43</v>
      </c>
      <c r="K4594" s="7" t="s">
        <v>18</v>
      </c>
      <c r="L4594" s="8">
        <v>39987.315405092595</v>
      </c>
      <c r="M4594" s="9" t="s">
        <v>19</v>
      </c>
      <c r="N4594" s="9" t="s">
        <v>20</v>
      </c>
      <c r="O4594" s="6" t="str">
        <f>HYPERLINK("https://pbs.twimg.com/profile_images/962471262747529216/Uo8lOkRJ_normal.jpg","View")</f>
        <v>View</v>
      </c>
      <c r="P4594" s="7"/>
    </row>
    <row r="4595" spans="1:16">
      <c r="A4595" s="3">
        <v>43923.786828703705</v>
      </c>
      <c r="B4595" s="4" t="str">
        <f>HYPERLINK("https://twitter.com/petrogustavo","@petrogustavo")</f>
        <v>@petrogustavo</v>
      </c>
      <c r="C4595" s="5" t="s">
        <v>16</v>
      </c>
      <c r="D4595" s="5" t="s">
        <v>4505</v>
      </c>
      <c r="E4595" s="6" t="str">
        <f>HYPERLINK("https://twitter.com/petrogustavo/status/1245703289737482241","1245703289737482241")</f>
        <v>1245703289737482241</v>
      </c>
      <c r="F4595" s="7" t="s">
        <v>17</v>
      </c>
      <c r="G4595" s="7">
        <v>3734536</v>
      </c>
      <c r="H4595" s="7">
        <v>2375</v>
      </c>
      <c r="I4595" s="7">
        <v>61</v>
      </c>
      <c r="J4595" s="7">
        <v>132</v>
      </c>
      <c r="K4595" s="7" t="s">
        <v>18</v>
      </c>
      <c r="L4595" s="8">
        <v>39987.315405092595</v>
      </c>
      <c r="M4595" s="9" t="s">
        <v>19</v>
      </c>
      <c r="N4595" s="9" t="s">
        <v>20</v>
      </c>
      <c r="O4595" s="6" t="str">
        <f>HYPERLINK("https://pbs.twimg.com/profile_images/962471262747529216/Uo8lOkRJ_normal.jpg","View")</f>
        <v>View</v>
      </c>
      <c r="P4595" s="7"/>
    </row>
    <row r="4596" spans="1:16">
      <c r="A4596" s="3">
        <v>43923.789178240739</v>
      </c>
      <c r="B4596" s="4" t="str">
        <f>HYPERLINK("https://twitter.com/petrogustavo","@petrogustavo")</f>
        <v>@petrogustavo</v>
      </c>
      <c r="C4596" s="5" t="s">
        <v>16</v>
      </c>
      <c r="D4596" s="5" t="s">
        <v>4506</v>
      </c>
      <c r="E4596" s="6" t="str">
        <f>HYPERLINK("https://twitter.com/petrogustavo/status/1245704138664685568","1245704138664685568")</f>
        <v>1245704138664685568</v>
      </c>
      <c r="F4596" s="7" t="s">
        <v>17</v>
      </c>
      <c r="G4596" s="7">
        <v>3734536</v>
      </c>
      <c r="H4596" s="7">
        <v>2375</v>
      </c>
      <c r="I4596" s="7">
        <v>388</v>
      </c>
      <c r="J4596" s="7">
        <v>0</v>
      </c>
      <c r="K4596" s="7" t="s">
        <v>18</v>
      </c>
      <c r="L4596" s="8">
        <v>39987.315405092595</v>
      </c>
      <c r="M4596" s="9" t="s">
        <v>19</v>
      </c>
      <c r="N4596" s="9" t="s">
        <v>20</v>
      </c>
      <c r="O4596" s="6" t="str">
        <f>HYPERLINK("https://pbs.twimg.com/profile_images/962471262747529216/Uo8lOkRJ_normal.jpg","View")</f>
        <v>View</v>
      </c>
      <c r="P4596" s="7"/>
    </row>
    <row r="4597" spans="1:16">
      <c r="A4597" s="3">
        <v>43923.791504629626</v>
      </c>
      <c r="B4597" s="4" t="str">
        <f>HYPERLINK("https://twitter.com/petrogustavo","@petrogustavo")</f>
        <v>@petrogustavo</v>
      </c>
      <c r="C4597" s="5" t="s">
        <v>16</v>
      </c>
      <c r="D4597" s="5" t="s">
        <v>4507</v>
      </c>
      <c r="E4597" s="6" t="str">
        <f>HYPERLINK("https://twitter.com/petrogustavo/status/1245704982424424453","1245704982424424453")</f>
        <v>1245704982424424453</v>
      </c>
      <c r="F4597" s="7" t="s">
        <v>17</v>
      </c>
      <c r="G4597" s="7">
        <v>3734536</v>
      </c>
      <c r="H4597" s="7">
        <v>2375</v>
      </c>
      <c r="I4597" s="7">
        <v>36</v>
      </c>
      <c r="J4597" s="7">
        <v>66</v>
      </c>
      <c r="K4597" s="7" t="s">
        <v>18</v>
      </c>
      <c r="L4597" s="8">
        <v>39987.315405092595</v>
      </c>
      <c r="M4597" s="9" t="s">
        <v>19</v>
      </c>
      <c r="N4597" s="9" t="s">
        <v>20</v>
      </c>
      <c r="O4597" s="6" t="str">
        <f>HYPERLINK("https://pbs.twimg.com/profile_images/962471262747529216/Uo8lOkRJ_normal.jpg","View")</f>
        <v>View</v>
      </c>
      <c r="P4597" s="7"/>
    </row>
    <row r="4598" spans="1:16">
      <c r="A4598" s="3">
        <v>43923.823807870373</v>
      </c>
      <c r="B4598" s="4" t="str">
        <f>HYPERLINK("https://twitter.com/petrogustavo","@petrogustavo")</f>
        <v>@petrogustavo</v>
      </c>
      <c r="C4598" s="5" t="s">
        <v>16</v>
      </c>
      <c r="D4598" s="5" t="s">
        <v>4508</v>
      </c>
      <c r="E4598" s="6" t="str">
        <f>HYPERLINK("https://twitter.com/petrogustavo/status/1245716687254675456","1245716687254675456")</f>
        <v>1245716687254675456</v>
      </c>
      <c r="F4598" s="7" t="s">
        <v>17</v>
      </c>
      <c r="G4598" s="7">
        <v>3734694</v>
      </c>
      <c r="H4598" s="7">
        <v>2376</v>
      </c>
      <c r="I4598" s="7">
        <v>204</v>
      </c>
      <c r="J4598" s="7">
        <v>480</v>
      </c>
      <c r="K4598" s="7" t="s">
        <v>18</v>
      </c>
      <c r="L4598" s="8">
        <v>39987.315405092595</v>
      </c>
      <c r="M4598" s="9" t="s">
        <v>19</v>
      </c>
      <c r="N4598" s="9" t="s">
        <v>20</v>
      </c>
      <c r="O4598" s="6" t="str">
        <f>HYPERLINK("https://pbs.twimg.com/profile_images/962471262747529216/Uo8lOkRJ_normal.jpg","View")</f>
        <v>View</v>
      </c>
      <c r="P4598" s="7"/>
    </row>
    <row r="4599" spans="1:16">
      <c r="A4599" s="3">
        <v>43923.857569444444</v>
      </c>
      <c r="B4599" s="4" t="str">
        <f>HYPERLINK("https://twitter.com/petrogustavo","@petrogustavo")</f>
        <v>@petrogustavo</v>
      </c>
      <c r="C4599" s="5" t="s">
        <v>16</v>
      </c>
      <c r="D4599" s="5" t="s">
        <v>4509</v>
      </c>
      <c r="E4599" s="6" t="str">
        <f>HYPERLINK("https://twitter.com/petrogustavo/status/1245728924233064449","1245728924233064449")</f>
        <v>1245728924233064449</v>
      </c>
      <c r="F4599" s="7" t="s">
        <v>17</v>
      </c>
      <c r="G4599" s="7">
        <v>3734834</v>
      </c>
      <c r="H4599" s="7">
        <v>2376</v>
      </c>
      <c r="I4599" s="7">
        <v>700</v>
      </c>
      <c r="J4599" s="7">
        <v>0</v>
      </c>
      <c r="K4599" s="7" t="s">
        <v>18</v>
      </c>
      <c r="L4599" s="8">
        <v>39987.315405092595</v>
      </c>
      <c r="M4599" s="9" t="s">
        <v>19</v>
      </c>
      <c r="N4599" s="9" t="s">
        <v>20</v>
      </c>
      <c r="O4599" s="6" t="str">
        <f>HYPERLINK("https://pbs.twimg.com/profile_images/962471262747529216/Uo8lOkRJ_normal.jpg","View")</f>
        <v>View</v>
      </c>
      <c r="P4599" s="7"/>
    </row>
    <row r="4600" spans="1:16">
      <c r="A4600" s="3">
        <v>43923.918599537035</v>
      </c>
      <c r="B4600" s="4" t="str">
        <f>HYPERLINK("https://twitter.com/petrogustavo","@petrogustavo")</f>
        <v>@petrogustavo</v>
      </c>
      <c r="C4600" s="5" t="s">
        <v>16</v>
      </c>
      <c r="D4600" s="5" t="s">
        <v>4510</v>
      </c>
      <c r="E4600" s="6" t="str">
        <f>HYPERLINK("https://twitter.com/petrogustavo/status/1245751040907137025","1245751040907137025")</f>
        <v>1245751040907137025</v>
      </c>
      <c r="F4600" s="7" t="s">
        <v>17</v>
      </c>
      <c r="G4600" s="7">
        <v>3734966</v>
      </c>
      <c r="H4600" s="7">
        <v>2376</v>
      </c>
      <c r="I4600" s="7">
        <v>0</v>
      </c>
      <c r="J4600" s="7">
        <v>2</v>
      </c>
      <c r="K4600" s="7" t="s">
        <v>18</v>
      </c>
      <c r="L4600" s="8">
        <v>39987.315405092595</v>
      </c>
      <c r="M4600" s="9" t="s">
        <v>19</v>
      </c>
      <c r="N4600" s="9" t="s">
        <v>20</v>
      </c>
      <c r="O4600" s="6" t="str">
        <f>HYPERLINK("https://pbs.twimg.com/profile_images/962471262747529216/Uo8lOkRJ_normal.jpg","View")</f>
        <v>View</v>
      </c>
      <c r="P4600" s="7"/>
    </row>
    <row r="4601" spans="1:16">
      <c r="A4601" s="3">
        <v>43923.927465277782</v>
      </c>
      <c r="B4601" s="4" t="str">
        <f>HYPERLINK("https://twitter.com/petrogustavo","@petrogustavo")</f>
        <v>@petrogustavo</v>
      </c>
      <c r="C4601" s="5" t="s">
        <v>16</v>
      </c>
      <c r="D4601" s="5" t="s">
        <v>4511</v>
      </c>
      <c r="E4601" s="6" t="str">
        <f>HYPERLINK("https://twitter.com/petrogustavo/status/1245754254477996033","1245754254477996033")</f>
        <v>1245754254477996033</v>
      </c>
      <c r="F4601" s="7" t="s">
        <v>17</v>
      </c>
      <c r="G4601" s="7">
        <v>3735020</v>
      </c>
      <c r="H4601" s="7">
        <v>2376</v>
      </c>
      <c r="I4601" s="7">
        <v>51</v>
      </c>
      <c r="J4601" s="7">
        <v>126</v>
      </c>
      <c r="K4601" s="7" t="s">
        <v>18</v>
      </c>
      <c r="L4601" s="8">
        <v>39987.315405092595</v>
      </c>
      <c r="M4601" s="9" t="s">
        <v>19</v>
      </c>
      <c r="N4601" s="9" t="s">
        <v>20</v>
      </c>
      <c r="O4601" s="6" t="str">
        <f>HYPERLINK("https://pbs.twimg.com/profile_images/962471262747529216/Uo8lOkRJ_normal.jpg","View")</f>
        <v>View</v>
      </c>
      <c r="P4601" s="7"/>
    </row>
    <row r="4602" spans="1:16">
      <c r="A4602" s="3">
        <v>43923.930787037039</v>
      </c>
      <c r="B4602" s="4" t="str">
        <f>HYPERLINK("https://twitter.com/petrogustavo","@petrogustavo")</f>
        <v>@petrogustavo</v>
      </c>
      <c r="C4602" s="5" t="s">
        <v>16</v>
      </c>
      <c r="D4602" s="5" t="s">
        <v>4512</v>
      </c>
      <c r="E4602" s="6" t="str">
        <f>HYPERLINK("https://twitter.com/petrogustavo/status/1245755454858432512","1245755454858432512")</f>
        <v>1245755454858432512</v>
      </c>
      <c r="F4602" s="7" t="s">
        <v>17</v>
      </c>
      <c r="G4602" s="7">
        <v>3735020</v>
      </c>
      <c r="H4602" s="7">
        <v>2376</v>
      </c>
      <c r="I4602" s="7">
        <v>34</v>
      </c>
      <c r="J4602" s="7">
        <v>80</v>
      </c>
      <c r="K4602" s="7" t="s">
        <v>18</v>
      </c>
      <c r="L4602" s="8">
        <v>39987.315405092595</v>
      </c>
      <c r="M4602" s="9" t="s">
        <v>19</v>
      </c>
      <c r="N4602" s="9" t="s">
        <v>20</v>
      </c>
      <c r="O4602" s="6" t="str">
        <f>HYPERLINK("https://pbs.twimg.com/profile_images/962471262747529216/Uo8lOkRJ_normal.jpg","View")</f>
        <v>View</v>
      </c>
      <c r="P4602" s="7"/>
    </row>
    <row r="4603" spans="1:16">
      <c r="A4603" s="3">
        <v>43923.93922453704</v>
      </c>
      <c r="B4603" s="4" t="str">
        <f>HYPERLINK("https://twitter.com/petrogustavo","@petrogustavo")</f>
        <v>@petrogustavo</v>
      </c>
      <c r="C4603" s="5" t="s">
        <v>16</v>
      </c>
      <c r="D4603" s="5" t="s">
        <v>4513</v>
      </c>
      <c r="E4603" s="6" t="str">
        <f>HYPERLINK("https://twitter.com/petrogustavo/status/1245758513034526720","1245758513034526720")</f>
        <v>1245758513034526720</v>
      </c>
      <c r="F4603" s="7" t="s">
        <v>17</v>
      </c>
      <c r="G4603" s="7">
        <v>3735020</v>
      </c>
      <c r="H4603" s="7">
        <v>2376</v>
      </c>
      <c r="I4603" s="7">
        <v>0</v>
      </c>
      <c r="J4603" s="7">
        <v>0</v>
      </c>
      <c r="K4603" s="7" t="s">
        <v>18</v>
      </c>
      <c r="L4603" s="8">
        <v>39987.315405092595</v>
      </c>
      <c r="M4603" s="9" t="s">
        <v>19</v>
      </c>
      <c r="N4603" s="9" t="s">
        <v>20</v>
      </c>
      <c r="O4603" s="6" t="str">
        <f>HYPERLINK("https://pbs.twimg.com/profile_images/962471262747529216/Uo8lOkRJ_normal.jpg","View")</f>
        <v>View</v>
      </c>
      <c r="P4603" s="7"/>
    </row>
    <row r="4604" spans="1:16">
      <c r="A4604" s="3">
        <v>43923.951898148152</v>
      </c>
      <c r="B4604" s="4" t="str">
        <f>HYPERLINK("https://twitter.com/petrogustavo","@petrogustavo")</f>
        <v>@petrogustavo</v>
      </c>
      <c r="C4604" s="5" t="s">
        <v>16</v>
      </c>
      <c r="D4604" s="5" t="s">
        <v>4514</v>
      </c>
      <c r="E4604" s="6" t="str">
        <f>HYPERLINK("https://twitter.com/petrogustavo/status/1245763106443313154","1245763106443313154")</f>
        <v>1245763106443313154</v>
      </c>
      <c r="F4604" s="7" t="s">
        <v>17</v>
      </c>
      <c r="G4604" s="7">
        <v>3735090</v>
      </c>
      <c r="H4604" s="7">
        <v>2376</v>
      </c>
      <c r="I4604" s="7">
        <v>33</v>
      </c>
      <c r="J4604" s="7">
        <v>78</v>
      </c>
      <c r="K4604" s="7" t="s">
        <v>18</v>
      </c>
      <c r="L4604" s="8">
        <v>39987.315405092595</v>
      </c>
      <c r="M4604" s="9" t="s">
        <v>19</v>
      </c>
      <c r="N4604" s="9" t="s">
        <v>20</v>
      </c>
      <c r="O4604" s="6" t="str">
        <f>HYPERLINK("https://pbs.twimg.com/profile_images/962471262747529216/Uo8lOkRJ_normal.jpg","View")</f>
        <v>View</v>
      </c>
      <c r="P4604" s="7"/>
    </row>
    <row r="4605" spans="1:16">
      <c r="A4605" s="3">
        <v>43923.998206018514</v>
      </c>
      <c r="B4605" s="4" t="str">
        <f>HYPERLINK("https://twitter.com/petrogustavo","@petrogustavo")</f>
        <v>@petrogustavo</v>
      </c>
      <c r="C4605" s="5" t="s">
        <v>16</v>
      </c>
      <c r="D4605" s="5" t="s">
        <v>4515</v>
      </c>
      <c r="E4605" s="6" t="str">
        <f>HYPERLINK("https://twitter.com/petrogustavo/status/1245779886641500161","1245779886641500161")</f>
        <v>1245779886641500161</v>
      </c>
      <c r="F4605" s="7" t="s">
        <v>17</v>
      </c>
      <c r="G4605" s="7">
        <v>3735228</v>
      </c>
      <c r="H4605" s="7">
        <v>2376</v>
      </c>
      <c r="I4605" s="7">
        <v>58</v>
      </c>
      <c r="J4605" s="7">
        <v>85</v>
      </c>
      <c r="K4605" s="7" t="s">
        <v>18</v>
      </c>
      <c r="L4605" s="8">
        <v>39987.315405092595</v>
      </c>
      <c r="M4605" s="9" t="s">
        <v>19</v>
      </c>
      <c r="N4605" s="9" t="s">
        <v>20</v>
      </c>
      <c r="O4605" s="6" t="str">
        <f>HYPERLINK("https://pbs.twimg.com/profile_images/962471262747529216/Uo8lOkRJ_normal.jpg","View")</f>
        <v>View</v>
      </c>
      <c r="P4605" s="7"/>
    </row>
    <row r="4606" spans="1:16">
      <c r="A4606" s="3">
        <v>43924.011018518519</v>
      </c>
      <c r="B4606" s="4" t="str">
        <f>HYPERLINK("https://twitter.com/petrogustavo","@petrogustavo")</f>
        <v>@petrogustavo</v>
      </c>
      <c r="C4606" s="5" t="s">
        <v>16</v>
      </c>
      <c r="D4606" s="5" t="s">
        <v>4516</v>
      </c>
      <c r="E4606" s="6" t="str">
        <f>HYPERLINK("https://twitter.com/petrogustavo/status/1245784531547951104","1245784531547951104")</f>
        <v>1245784531547951104</v>
      </c>
      <c r="F4606" s="7" t="s">
        <v>17</v>
      </c>
      <c r="G4606" s="7">
        <v>3735297</v>
      </c>
      <c r="H4606" s="7">
        <v>2376</v>
      </c>
      <c r="I4606" s="7">
        <v>37</v>
      </c>
      <c r="J4606" s="7">
        <v>79</v>
      </c>
      <c r="K4606" s="7" t="s">
        <v>18</v>
      </c>
      <c r="L4606" s="8">
        <v>39987.315405092595</v>
      </c>
      <c r="M4606" s="9" t="s">
        <v>19</v>
      </c>
      <c r="N4606" s="9" t="s">
        <v>20</v>
      </c>
      <c r="O4606" s="6" t="str">
        <f>HYPERLINK("https://pbs.twimg.com/profile_images/962471262747529216/Uo8lOkRJ_normal.jpg","View")</f>
        <v>View</v>
      </c>
      <c r="P4606" s="7"/>
    </row>
    <row r="4607" spans="1:16">
      <c r="A4607" s="3">
        <v>43924.032372685186</v>
      </c>
      <c r="B4607" s="4" t="str">
        <f>HYPERLINK("https://twitter.com/petrogustavo","@petrogustavo")</f>
        <v>@petrogustavo</v>
      </c>
      <c r="C4607" s="5" t="s">
        <v>16</v>
      </c>
      <c r="D4607" s="5" t="s">
        <v>4517</v>
      </c>
      <c r="E4607" s="6" t="str">
        <f>HYPERLINK("https://twitter.com/petrogustavo/status/1245792270827298817","1245792270827298817")</f>
        <v>1245792270827298817</v>
      </c>
      <c r="F4607" s="7" t="s">
        <v>17</v>
      </c>
      <c r="G4607" s="7">
        <v>3735369</v>
      </c>
      <c r="H4607" s="7">
        <v>2376</v>
      </c>
      <c r="I4607" s="7">
        <v>151</v>
      </c>
      <c r="J4607" s="7">
        <v>321</v>
      </c>
      <c r="K4607" s="7" t="s">
        <v>18</v>
      </c>
      <c r="L4607" s="8">
        <v>39987.315405092595</v>
      </c>
      <c r="M4607" s="9" t="s">
        <v>19</v>
      </c>
      <c r="N4607" s="9" t="s">
        <v>20</v>
      </c>
      <c r="O4607" s="6" t="str">
        <f>HYPERLINK("https://pbs.twimg.com/profile_images/962471262747529216/Uo8lOkRJ_normal.jpg","View")</f>
        <v>View</v>
      </c>
      <c r="P4607" s="7"/>
    </row>
    <row r="4608" spans="1:16">
      <c r="A4608" s="3">
        <v>43924.035532407404</v>
      </c>
      <c r="B4608" s="4" t="str">
        <f>HYPERLINK("https://twitter.com/petrogustavo","@petrogustavo")</f>
        <v>@petrogustavo</v>
      </c>
      <c r="C4608" s="5" t="s">
        <v>16</v>
      </c>
      <c r="D4608" s="5" t="s">
        <v>4518</v>
      </c>
      <c r="E4608" s="6" t="str">
        <f>HYPERLINK("https://twitter.com/petrogustavo/status/1245793414152667136","1245793414152667136")</f>
        <v>1245793414152667136</v>
      </c>
      <c r="F4608" s="7" t="s">
        <v>17</v>
      </c>
      <c r="G4608" s="7">
        <v>3735369</v>
      </c>
      <c r="H4608" s="7">
        <v>2376</v>
      </c>
      <c r="I4608" s="7">
        <v>36</v>
      </c>
      <c r="J4608" s="7">
        <v>67</v>
      </c>
      <c r="K4608" s="7" t="s">
        <v>18</v>
      </c>
      <c r="L4608" s="8">
        <v>39987.315405092595</v>
      </c>
      <c r="M4608" s="9" t="s">
        <v>19</v>
      </c>
      <c r="N4608" s="9" t="s">
        <v>20</v>
      </c>
      <c r="O4608" s="6" t="str">
        <f>HYPERLINK("https://pbs.twimg.com/profile_images/962471262747529216/Uo8lOkRJ_normal.jpg","View")</f>
        <v>View</v>
      </c>
      <c r="P4608" s="7"/>
    </row>
    <row r="4609" spans="1:16">
      <c r="A4609" s="3">
        <v>43924.043171296296</v>
      </c>
      <c r="B4609" s="4" t="str">
        <f>HYPERLINK("https://twitter.com/petrogustavo","@petrogustavo")</f>
        <v>@petrogustavo</v>
      </c>
      <c r="C4609" s="5" t="s">
        <v>16</v>
      </c>
      <c r="D4609" s="5" t="s">
        <v>4519</v>
      </c>
      <c r="E4609" s="6" t="str">
        <f>HYPERLINK("https://twitter.com/petrogustavo/status/1245796183320285184","1245796183320285184")</f>
        <v>1245796183320285184</v>
      </c>
      <c r="F4609" s="7" t="s">
        <v>17</v>
      </c>
      <c r="G4609" s="7">
        <v>3735369</v>
      </c>
      <c r="H4609" s="7">
        <v>2376</v>
      </c>
      <c r="I4609" s="7">
        <v>151</v>
      </c>
      <c r="J4609" s="7">
        <v>0</v>
      </c>
      <c r="K4609" s="7" t="s">
        <v>18</v>
      </c>
      <c r="L4609" s="8">
        <v>39987.315405092595</v>
      </c>
      <c r="M4609" s="9" t="s">
        <v>19</v>
      </c>
      <c r="N4609" s="9" t="s">
        <v>20</v>
      </c>
      <c r="O4609" s="6" t="str">
        <f>HYPERLINK("https://pbs.twimg.com/profile_images/962471262747529216/Uo8lOkRJ_normal.jpg","View")</f>
        <v>View</v>
      </c>
      <c r="P4609" s="7"/>
    </row>
    <row r="4610" spans="1:16">
      <c r="A4610" s="3">
        <v>43924.06459490741</v>
      </c>
      <c r="B4610" s="4" t="str">
        <f>HYPERLINK("https://twitter.com/petrogustavo","@petrogustavo")</f>
        <v>@petrogustavo</v>
      </c>
      <c r="C4610" s="5" t="s">
        <v>16</v>
      </c>
      <c r="D4610" s="5" t="s">
        <v>4520</v>
      </c>
      <c r="E4610" s="6" t="str">
        <f>HYPERLINK("https://twitter.com/petrogustavo/status/1245803948075876352","1245803948075876352")</f>
        <v>1245803948075876352</v>
      </c>
      <c r="F4610" s="7" t="s">
        <v>17</v>
      </c>
      <c r="G4610" s="7">
        <v>3735431</v>
      </c>
      <c r="H4610" s="7">
        <v>2376</v>
      </c>
      <c r="I4610" s="7">
        <v>459</v>
      </c>
      <c r="J4610" s="7">
        <v>0</v>
      </c>
      <c r="K4610" s="7" t="s">
        <v>18</v>
      </c>
      <c r="L4610" s="8">
        <v>39987.315405092595</v>
      </c>
      <c r="M4610" s="9" t="s">
        <v>19</v>
      </c>
      <c r="N4610" s="9" t="s">
        <v>20</v>
      </c>
      <c r="O4610" s="6" t="str">
        <f>HYPERLINK("https://pbs.twimg.com/profile_images/962471262747529216/Uo8lOkRJ_normal.jpg","View")</f>
        <v>View</v>
      </c>
      <c r="P4610" s="7"/>
    </row>
    <row r="4611" spans="1:16">
      <c r="A4611" s="3">
        <v>43924.076354166667</v>
      </c>
      <c r="B4611" s="4" t="str">
        <f>HYPERLINK("https://twitter.com/petrogustavo","@petrogustavo")</f>
        <v>@petrogustavo</v>
      </c>
      <c r="C4611" s="5" t="s">
        <v>16</v>
      </c>
      <c r="D4611" s="5" t="s">
        <v>4521</v>
      </c>
      <c r="E4611" s="6" t="str">
        <f>HYPERLINK("https://twitter.com/petrogustavo/status/1245808210012971011","1245808210012971011")</f>
        <v>1245808210012971011</v>
      </c>
      <c r="F4611" s="7" t="s">
        <v>17</v>
      </c>
      <c r="G4611" s="7">
        <v>3735479</v>
      </c>
      <c r="H4611" s="7">
        <v>2376</v>
      </c>
      <c r="I4611" s="7">
        <v>130</v>
      </c>
      <c r="J4611" s="7">
        <v>173</v>
      </c>
      <c r="K4611" s="7" t="s">
        <v>18</v>
      </c>
      <c r="L4611" s="8">
        <v>39987.315405092595</v>
      </c>
      <c r="M4611" s="9" t="s">
        <v>19</v>
      </c>
      <c r="N4611" s="9" t="s">
        <v>20</v>
      </c>
      <c r="O4611" s="6" t="str">
        <f>HYPERLINK("https://pbs.twimg.com/profile_images/962471262747529216/Uo8lOkRJ_normal.jpg","View")</f>
        <v>View</v>
      </c>
      <c r="P4611" s="7"/>
    </row>
    <row r="4612" spans="1:16">
      <c r="A4612" s="3">
        <v>43924.077094907407</v>
      </c>
      <c r="B4612" s="4" t="str">
        <f>HYPERLINK("https://twitter.com/petrogustavo","@petrogustavo")</f>
        <v>@petrogustavo</v>
      </c>
      <c r="C4612" s="5" t="s">
        <v>16</v>
      </c>
      <c r="D4612" s="5" t="s">
        <v>4522</v>
      </c>
      <c r="E4612" s="6" t="str">
        <f>HYPERLINK("https://twitter.com/petrogustavo/status/1245808477441798165","1245808477441798165")</f>
        <v>1245808477441798165</v>
      </c>
      <c r="F4612" s="7" t="s">
        <v>17</v>
      </c>
      <c r="G4612" s="7">
        <v>3735479</v>
      </c>
      <c r="H4612" s="7">
        <v>2376</v>
      </c>
      <c r="I4612" s="7">
        <v>355</v>
      </c>
      <c r="J4612" s="7">
        <v>0</v>
      </c>
      <c r="K4612" s="7" t="s">
        <v>18</v>
      </c>
      <c r="L4612" s="8">
        <v>39987.315405092595</v>
      </c>
      <c r="M4612" s="9" t="s">
        <v>19</v>
      </c>
      <c r="N4612" s="9" t="s">
        <v>20</v>
      </c>
      <c r="O4612" s="6" t="str">
        <f>HYPERLINK("https://pbs.twimg.com/profile_images/962471262747529216/Uo8lOkRJ_normal.jpg","View")</f>
        <v>View</v>
      </c>
      <c r="P4612" s="7"/>
    </row>
    <row r="4613" spans="1:16">
      <c r="A4613" s="3">
        <v>43924.079108796301</v>
      </c>
      <c r="B4613" s="4" t="str">
        <f>HYPERLINK("https://twitter.com/petrogustavo","@petrogustavo")</f>
        <v>@petrogustavo</v>
      </c>
      <c r="C4613" s="5" t="s">
        <v>16</v>
      </c>
      <c r="D4613" s="5" t="s">
        <v>4523</v>
      </c>
      <c r="E4613" s="6" t="str">
        <f>HYPERLINK("https://twitter.com/petrogustavo/status/1245809205489086466","1245809205489086466")</f>
        <v>1245809205489086466</v>
      </c>
      <c r="F4613" s="7" t="s">
        <v>17</v>
      </c>
      <c r="G4613" s="7">
        <v>3735479</v>
      </c>
      <c r="H4613" s="7">
        <v>2376</v>
      </c>
      <c r="I4613" s="7">
        <v>13</v>
      </c>
      <c r="J4613" s="7">
        <v>0</v>
      </c>
      <c r="K4613" s="7" t="s">
        <v>18</v>
      </c>
      <c r="L4613" s="8">
        <v>39987.315405092595</v>
      </c>
      <c r="M4613" s="9" t="s">
        <v>19</v>
      </c>
      <c r="N4613" s="9" t="s">
        <v>20</v>
      </c>
      <c r="O4613" s="6" t="str">
        <f>HYPERLINK("https://pbs.twimg.com/profile_images/962471262747529216/Uo8lOkRJ_normal.jpg","View")</f>
        <v>View</v>
      </c>
      <c r="P4613" s="7"/>
    </row>
    <row r="4614" spans="1:16">
      <c r="A4614" s="3">
        <v>43924.07975694444</v>
      </c>
      <c r="B4614" s="4" t="str">
        <f>HYPERLINK("https://twitter.com/petrogustavo","@petrogustavo")</f>
        <v>@petrogustavo</v>
      </c>
      <c r="C4614" s="5" t="s">
        <v>16</v>
      </c>
      <c r="D4614" s="5" t="s">
        <v>4524</v>
      </c>
      <c r="E4614" s="6" t="str">
        <f>HYPERLINK("https://twitter.com/petrogustavo/status/1245809442630840327","1245809442630840327")</f>
        <v>1245809442630840327</v>
      </c>
      <c r="F4614" s="7" t="s">
        <v>17</v>
      </c>
      <c r="G4614" s="7">
        <v>3735479</v>
      </c>
      <c r="H4614" s="7">
        <v>2376</v>
      </c>
      <c r="I4614" s="7">
        <v>130</v>
      </c>
      <c r="J4614" s="7">
        <v>0</v>
      </c>
      <c r="K4614" s="7" t="s">
        <v>18</v>
      </c>
      <c r="L4614" s="8">
        <v>39987.315405092595</v>
      </c>
      <c r="M4614" s="9" t="s">
        <v>19</v>
      </c>
      <c r="N4614" s="9" t="s">
        <v>20</v>
      </c>
      <c r="O4614" s="6" t="str">
        <f>HYPERLINK("https://pbs.twimg.com/profile_images/962471262747529216/Uo8lOkRJ_normal.jpg","View")</f>
        <v>View</v>
      </c>
      <c r="P4614" s="7"/>
    </row>
    <row r="4615" spans="1:16">
      <c r="A4615" s="3">
        <v>43924.080208333333</v>
      </c>
      <c r="B4615" s="4" t="str">
        <f>HYPERLINK("https://twitter.com/petrogustavo","@petrogustavo")</f>
        <v>@petrogustavo</v>
      </c>
      <c r="C4615" s="5" t="s">
        <v>16</v>
      </c>
      <c r="D4615" s="5" t="s">
        <v>4509</v>
      </c>
      <c r="E4615" s="6" t="str">
        <f>HYPERLINK("https://twitter.com/petrogustavo/status/1245809603465621523","1245809603465621523")</f>
        <v>1245809603465621523</v>
      </c>
      <c r="F4615" s="7" t="s">
        <v>17</v>
      </c>
      <c r="G4615" s="7">
        <v>3735479</v>
      </c>
      <c r="H4615" s="7">
        <v>2376</v>
      </c>
      <c r="I4615" s="7">
        <v>1024</v>
      </c>
      <c r="J4615" s="7">
        <v>0</v>
      </c>
      <c r="K4615" s="7" t="s">
        <v>18</v>
      </c>
      <c r="L4615" s="8">
        <v>39987.315405092595</v>
      </c>
      <c r="M4615" s="9" t="s">
        <v>19</v>
      </c>
      <c r="N4615" s="9" t="s">
        <v>20</v>
      </c>
      <c r="O4615" s="6" t="str">
        <f>HYPERLINK("https://pbs.twimg.com/profile_images/962471262747529216/Uo8lOkRJ_normal.jpg","View")</f>
        <v>View</v>
      </c>
      <c r="P4615" s="7"/>
    </row>
    <row r="4616" spans="1:16">
      <c r="A4616" s="3">
        <v>43924.138958333337</v>
      </c>
      <c r="B4616" s="4" t="str">
        <f>HYPERLINK("https://twitter.com/petrogustavo","@petrogustavo")</f>
        <v>@petrogustavo</v>
      </c>
      <c r="C4616" s="5" t="s">
        <v>16</v>
      </c>
      <c r="D4616" s="5" t="s">
        <v>4525</v>
      </c>
      <c r="E4616" s="6" t="str">
        <f>HYPERLINK("https://twitter.com/petrogustavo/status/1245830897032544256","1245830897032544256")</f>
        <v>1245830897032544256</v>
      </c>
      <c r="F4616" s="7" t="s">
        <v>17</v>
      </c>
      <c r="G4616" s="7">
        <v>3735553</v>
      </c>
      <c r="H4616" s="7">
        <v>2374</v>
      </c>
      <c r="I4616" s="7">
        <v>133</v>
      </c>
      <c r="J4616" s="7">
        <v>302</v>
      </c>
      <c r="K4616" s="7" t="s">
        <v>18</v>
      </c>
      <c r="L4616" s="8">
        <v>39987.315405092595</v>
      </c>
      <c r="M4616" s="9" t="s">
        <v>19</v>
      </c>
      <c r="N4616" s="9" t="s">
        <v>20</v>
      </c>
      <c r="O4616" s="6" t="str">
        <f>HYPERLINK("https://pbs.twimg.com/profile_images/962471262747529216/Uo8lOkRJ_normal.jpg","View")</f>
        <v>View</v>
      </c>
      <c r="P4616" s="7"/>
    </row>
    <row r="4617" spans="1:16">
      <c r="A4617" s="3">
        <v>43924.166956018518</v>
      </c>
      <c r="B4617" s="4" t="str">
        <f>HYPERLINK("https://twitter.com/petrogustavo","@petrogustavo")</f>
        <v>@petrogustavo</v>
      </c>
      <c r="C4617" s="5" t="s">
        <v>16</v>
      </c>
      <c r="D4617" s="5" t="s">
        <v>4526</v>
      </c>
      <c r="E4617" s="6" t="str">
        <f>HYPERLINK("https://twitter.com/petrogustavo/status/1245841042802388992","1245841042802388992")</f>
        <v>1245841042802388992</v>
      </c>
      <c r="F4617" s="7" t="s">
        <v>17</v>
      </c>
      <c r="G4617" s="7">
        <v>3735630</v>
      </c>
      <c r="H4617" s="7">
        <v>2374</v>
      </c>
      <c r="I4617" s="7">
        <v>15</v>
      </c>
      <c r="J4617" s="7">
        <v>30</v>
      </c>
      <c r="K4617" s="7" t="s">
        <v>18</v>
      </c>
      <c r="L4617" s="8">
        <v>39987.315405092595</v>
      </c>
      <c r="M4617" s="9" t="s">
        <v>19</v>
      </c>
      <c r="N4617" s="9" t="s">
        <v>20</v>
      </c>
      <c r="O4617" s="6" t="str">
        <f>HYPERLINK("https://pbs.twimg.com/profile_images/962471262747529216/Uo8lOkRJ_normal.jpg","View")</f>
        <v>View</v>
      </c>
      <c r="P4617" s="7"/>
    </row>
    <row r="4618" spans="1:16">
      <c r="A4618" s="3">
        <v>43924.168506944443</v>
      </c>
      <c r="B4618" s="4" t="str">
        <f>HYPERLINK("https://twitter.com/petrogustavo","@petrogustavo")</f>
        <v>@petrogustavo</v>
      </c>
      <c r="C4618" s="5" t="s">
        <v>16</v>
      </c>
      <c r="D4618" s="5" t="s">
        <v>4527</v>
      </c>
      <c r="E4618" s="6" t="str">
        <f>HYPERLINK("https://twitter.com/petrogustavo/status/1245841604159721474","1245841604159721474")</f>
        <v>1245841604159721474</v>
      </c>
      <c r="F4618" s="7" t="s">
        <v>17</v>
      </c>
      <c r="G4618" s="7">
        <v>3735630</v>
      </c>
      <c r="H4618" s="7">
        <v>2374</v>
      </c>
      <c r="I4618" s="7">
        <v>2</v>
      </c>
      <c r="J4618" s="7">
        <v>2</v>
      </c>
      <c r="K4618" s="7" t="s">
        <v>18</v>
      </c>
      <c r="L4618" s="8">
        <v>39987.315405092595</v>
      </c>
      <c r="M4618" s="9" t="s">
        <v>19</v>
      </c>
      <c r="N4618" s="9" t="s">
        <v>20</v>
      </c>
      <c r="O4618" s="6" t="str">
        <f>HYPERLINK("https://pbs.twimg.com/profile_images/962471262747529216/Uo8lOkRJ_normal.jpg","View")</f>
        <v>View</v>
      </c>
      <c r="P4618" s="7"/>
    </row>
    <row r="4619" spans="1:16">
      <c r="A4619" s="3">
        <v>43924.173009259262</v>
      </c>
      <c r="B4619" s="4" t="str">
        <f>HYPERLINK("https://twitter.com/petrogustavo","@petrogustavo")</f>
        <v>@petrogustavo</v>
      </c>
      <c r="C4619" s="5" t="s">
        <v>16</v>
      </c>
      <c r="D4619" s="5" t="s">
        <v>4528</v>
      </c>
      <c r="E4619" s="6" t="str">
        <f>HYPERLINK("https://twitter.com/petrogustavo/status/1245843233256726528","1245843233256726528")</f>
        <v>1245843233256726528</v>
      </c>
      <c r="F4619" s="7" t="s">
        <v>17</v>
      </c>
      <c r="G4619" s="7">
        <v>3735775</v>
      </c>
      <c r="H4619" s="7">
        <v>2375</v>
      </c>
      <c r="I4619" s="7">
        <v>127</v>
      </c>
      <c r="J4619" s="7">
        <v>326</v>
      </c>
      <c r="K4619" s="7" t="s">
        <v>18</v>
      </c>
      <c r="L4619" s="8">
        <v>39987.315405092595</v>
      </c>
      <c r="M4619" s="9" t="s">
        <v>19</v>
      </c>
      <c r="N4619" s="9" t="s">
        <v>20</v>
      </c>
      <c r="O4619" s="6" t="str">
        <f>HYPERLINK("https://pbs.twimg.com/profile_images/962471262747529216/Uo8lOkRJ_normal.jpg","View")</f>
        <v>View</v>
      </c>
      <c r="P4619" s="7"/>
    </row>
    <row r="4620" spans="1:16">
      <c r="A4620" s="3">
        <v>43924.17763888889</v>
      </c>
      <c r="B4620" s="4" t="str">
        <f>HYPERLINK("https://twitter.com/petrogustavo","@petrogustavo")</f>
        <v>@petrogustavo</v>
      </c>
      <c r="C4620" s="5" t="s">
        <v>16</v>
      </c>
      <c r="D4620" s="5" t="s">
        <v>4529</v>
      </c>
      <c r="E4620" s="6" t="str">
        <f>HYPERLINK("https://twitter.com/petrogustavo/status/1245844913935261696","1245844913935261696")</f>
        <v>1245844913935261696</v>
      </c>
      <c r="F4620" s="7" t="s">
        <v>17</v>
      </c>
      <c r="G4620" s="7">
        <v>3735775</v>
      </c>
      <c r="H4620" s="7">
        <v>2375</v>
      </c>
      <c r="I4620" s="7">
        <v>98</v>
      </c>
      <c r="J4620" s="7">
        <v>238</v>
      </c>
      <c r="K4620" s="7" t="s">
        <v>18</v>
      </c>
      <c r="L4620" s="8">
        <v>39987.315405092595</v>
      </c>
      <c r="M4620" s="9" t="s">
        <v>19</v>
      </c>
      <c r="N4620" s="9" t="s">
        <v>20</v>
      </c>
      <c r="O4620" s="6" t="str">
        <f>HYPERLINK("https://pbs.twimg.com/profile_images/962471262747529216/Uo8lOkRJ_normal.jpg","View")</f>
        <v>View</v>
      </c>
      <c r="P4620" s="7"/>
    </row>
    <row r="4621" spans="1:16">
      <c r="A4621" s="3">
        <v>43924.1793287037</v>
      </c>
      <c r="B4621" s="4" t="str">
        <f>HYPERLINK("https://twitter.com/petrogustavo","@petrogustavo")</f>
        <v>@petrogustavo</v>
      </c>
      <c r="C4621" s="5" t="s">
        <v>16</v>
      </c>
      <c r="D4621" s="5" t="s">
        <v>4530</v>
      </c>
      <c r="E4621" s="6" t="str">
        <f>HYPERLINK("https://twitter.com/petrogustavo/status/1245845523539599363","1245845523539599363")</f>
        <v>1245845523539599363</v>
      </c>
      <c r="F4621" s="7" t="s">
        <v>17</v>
      </c>
      <c r="G4621" s="7">
        <v>3735775</v>
      </c>
      <c r="H4621" s="7">
        <v>2375</v>
      </c>
      <c r="I4621" s="7">
        <v>30</v>
      </c>
      <c r="J4621" s="7">
        <v>64</v>
      </c>
      <c r="K4621" s="7" t="s">
        <v>18</v>
      </c>
      <c r="L4621" s="8">
        <v>39987.315405092595</v>
      </c>
      <c r="M4621" s="9" t="s">
        <v>19</v>
      </c>
      <c r="N4621" s="9" t="s">
        <v>20</v>
      </c>
      <c r="O4621" s="6" t="str">
        <f>HYPERLINK("https://pbs.twimg.com/profile_images/962471262747529216/Uo8lOkRJ_normal.jpg","View")</f>
        <v>View</v>
      </c>
      <c r="P4621" s="7"/>
    </row>
    <row r="4622" spans="1:16">
      <c r="A4622" s="3">
        <v>43924.179872685185</v>
      </c>
      <c r="B4622" s="4" t="str">
        <f>HYPERLINK("https://twitter.com/petrogustavo","@petrogustavo")</f>
        <v>@petrogustavo</v>
      </c>
      <c r="C4622" s="5" t="s">
        <v>16</v>
      </c>
      <c r="D4622" s="5" t="s">
        <v>4531</v>
      </c>
      <c r="E4622" s="6" t="str">
        <f>HYPERLINK("https://twitter.com/petrogustavo/status/1245845722173505538","1245845722173505538")</f>
        <v>1245845722173505538</v>
      </c>
      <c r="F4622" s="7" t="s">
        <v>17</v>
      </c>
      <c r="G4622" s="7">
        <v>3735775</v>
      </c>
      <c r="H4622" s="7">
        <v>2375</v>
      </c>
      <c r="I4622" s="7">
        <v>127</v>
      </c>
      <c r="J4622" s="7">
        <v>0</v>
      </c>
      <c r="K4622" s="7" t="s">
        <v>18</v>
      </c>
      <c r="L4622" s="8">
        <v>39987.315405092595</v>
      </c>
      <c r="M4622" s="9" t="s">
        <v>19</v>
      </c>
      <c r="N4622" s="9" t="s">
        <v>20</v>
      </c>
      <c r="O4622" s="6" t="str">
        <f>HYPERLINK("https://pbs.twimg.com/profile_images/962471262747529216/Uo8lOkRJ_normal.jpg","View")</f>
        <v>View</v>
      </c>
      <c r="P4622" s="7"/>
    </row>
    <row r="4623" spans="1:16">
      <c r="A4623" s="3">
        <v>43924.183229166665</v>
      </c>
      <c r="B4623" s="4" t="str">
        <f>HYPERLINK("https://twitter.com/petrogustavo","@petrogustavo")</f>
        <v>@petrogustavo</v>
      </c>
      <c r="C4623" s="5" t="s">
        <v>16</v>
      </c>
      <c r="D4623" s="5" t="s">
        <v>4532</v>
      </c>
      <c r="E4623" s="6" t="str">
        <f>HYPERLINK("https://twitter.com/petrogustavo/status/1245846940019052544","1245846940019052544")</f>
        <v>1245846940019052544</v>
      </c>
      <c r="F4623" s="7" t="s">
        <v>17</v>
      </c>
      <c r="G4623" s="7">
        <v>3735775</v>
      </c>
      <c r="H4623" s="7">
        <v>2375</v>
      </c>
      <c r="I4623" s="7">
        <v>65</v>
      </c>
      <c r="J4623" s="7">
        <v>116</v>
      </c>
      <c r="K4623" s="7" t="s">
        <v>18</v>
      </c>
      <c r="L4623" s="8">
        <v>39987.315405092595</v>
      </c>
      <c r="M4623" s="9" t="s">
        <v>19</v>
      </c>
      <c r="N4623" s="9" t="s">
        <v>20</v>
      </c>
      <c r="O4623" s="6" t="str">
        <f>HYPERLINK("https://pbs.twimg.com/profile_images/962471262747529216/Uo8lOkRJ_normal.jpg","View")</f>
        <v>View</v>
      </c>
      <c r="P4623" s="7"/>
    </row>
    <row r="4624" spans="1:16">
      <c r="A4624" s="3">
        <v>43924.241493055553</v>
      </c>
      <c r="B4624" s="4" t="str">
        <f>HYPERLINK("https://twitter.com/petrogustavo","@petrogustavo")</f>
        <v>@petrogustavo</v>
      </c>
      <c r="C4624" s="5" t="s">
        <v>16</v>
      </c>
      <c r="D4624" s="5" t="s">
        <v>4533</v>
      </c>
      <c r="E4624" s="6" t="str">
        <f>HYPERLINK("https://twitter.com/petrogustavo/status/1245868053511819264","1245868053511819264")</f>
        <v>1245868053511819264</v>
      </c>
      <c r="F4624" s="7" t="s">
        <v>17</v>
      </c>
      <c r="G4624" s="7">
        <v>3735853</v>
      </c>
      <c r="H4624" s="7">
        <v>2374</v>
      </c>
      <c r="I4624" s="7">
        <v>175</v>
      </c>
      <c r="J4624" s="7">
        <v>459</v>
      </c>
      <c r="K4624" s="7" t="s">
        <v>18</v>
      </c>
      <c r="L4624" s="8">
        <v>39987.315405092595</v>
      </c>
      <c r="M4624" s="9" t="s">
        <v>19</v>
      </c>
      <c r="N4624" s="9" t="s">
        <v>20</v>
      </c>
      <c r="O4624" s="6" t="str">
        <f>HYPERLINK("https://pbs.twimg.com/profile_images/962471262747529216/Uo8lOkRJ_normal.jpg","View")</f>
        <v>View</v>
      </c>
      <c r="P4624" s="7"/>
    </row>
    <row r="4625" spans="1:16">
      <c r="A4625" s="3">
        <v>43924.243900462963</v>
      </c>
      <c r="B4625" s="4" t="str">
        <f>HYPERLINK("https://twitter.com/petrogustavo","@petrogustavo")</f>
        <v>@petrogustavo</v>
      </c>
      <c r="C4625" s="5" t="s">
        <v>16</v>
      </c>
      <c r="D4625" s="5" t="s">
        <v>4534</v>
      </c>
      <c r="E4625" s="6" t="str">
        <f>HYPERLINK("https://twitter.com/petrogustavo/status/1245868924865900547","1245868924865900547")</f>
        <v>1245868924865900547</v>
      </c>
      <c r="F4625" s="7" t="s">
        <v>17</v>
      </c>
      <c r="G4625" s="7">
        <v>3735853</v>
      </c>
      <c r="H4625" s="7">
        <v>2374</v>
      </c>
      <c r="I4625" s="7">
        <v>867</v>
      </c>
      <c r="J4625" s="7">
        <v>0</v>
      </c>
      <c r="K4625" s="7" t="s">
        <v>18</v>
      </c>
      <c r="L4625" s="8">
        <v>39987.315405092595</v>
      </c>
      <c r="M4625" s="9" t="s">
        <v>19</v>
      </c>
      <c r="N4625" s="9" t="s">
        <v>20</v>
      </c>
      <c r="O4625" s="6" t="str">
        <f>HYPERLINK("https://pbs.twimg.com/profile_images/962471262747529216/Uo8lOkRJ_normal.jpg","View")</f>
        <v>View</v>
      </c>
      <c r="P4625" s="7"/>
    </row>
    <row r="4626" spans="1:16">
      <c r="A4626" s="3">
        <v>43924.247928240744</v>
      </c>
      <c r="B4626" s="4" t="str">
        <f>HYPERLINK("https://twitter.com/petrogustavo","@petrogustavo")</f>
        <v>@petrogustavo</v>
      </c>
      <c r="C4626" s="5" t="s">
        <v>16</v>
      </c>
      <c r="D4626" s="5" t="s">
        <v>4535</v>
      </c>
      <c r="E4626" s="6" t="str">
        <f>HYPERLINK("https://twitter.com/petrogustavo/status/1245870383678418947","1245870383678418947")</f>
        <v>1245870383678418947</v>
      </c>
      <c r="F4626" s="7" t="s">
        <v>17</v>
      </c>
      <c r="G4626" s="7">
        <v>3735853</v>
      </c>
      <c r="H4626" s="7">
        <v>2374</v>
      </c>
      <c r="I4626" s="7">
        <v>42</v>
      </c>
      <c r="J4626" s="7">
        <v>81</v>
      </c>
      <c r="K4626" s="7" t="s">
        <v>18</v>
      </c>
      <c r="L4626" s="8">
        <v>39987.315405092595</v>
      </c>
      <c r="M4626" s="9" t="s">
        <v>19</v>
      </c>
      <c r="N4626" s="9" t="s">
        <v>20</v>
      </c>
      <c r="O4626" s="6" t="str">
        <f>HYPERLINK("https://pbs.twimg.com/profile_images/962471262747529216/Uo8lOkRJ_normal.jpg","View")</f>
        <v>View</v>
      </c>
      <c r="P4626" s="7"/>
    </row>
    <row r="4627" spans="1:16">
      <c r="A4627" s="3">
        <v>43924.261377314819</v>
      </c>
      <c r="B4627" s="4" t="str">
        <f>HYPERLINK("https://twitter.com/petrogustavo","@petrogustavo")</f>
        <v>@petrogustavo</v>
      </c>
      <c r="C4627" s="5" t="s">
        <v>16</v>
      </c>
      <c r="D4627" s="5" t="s">
        <v>4536</v>
      </c>
      <c r="E4627" s="6" t="str">
        <f>HYPERLINK("https://twitter.com/petrogustavo/status/1245875257896026112","1245875257896026112")</f>
        <v>1245875257896026112</v>
      </c>
      <c r="F4627" s="7" t="s">
        <v>17</v>
      </c>
      <c r="G4627" s="7">
        <v>3735932</v>
      </c>
      <c r="H4627" s="7">
        <v>2374</v>
      </c>
      <c r="I4627" s="7">
        <v>86</v>
      </c>
      <c r="J4627" s="7">
        <v>161</v>
      </c>
      <c r="K4627" s="7" t="s">
        <v>18</v>
      </c>
      <c r="L4627" s="8">
        <v>39987.315405092595</v>
      </c>
      <c r="M4627" s="9" t="s">
        <v>19</v>
      </c>
      <c r="N4627" s="9" t="s">
        <v>20</v>
      </c>
      <c r="O4627" s="6" t="str">
        <f>HYPERLINK("https://pbs.twimg.com/profile_images/962471262747529216/Uo8lOkRJ_normal.jpg","View")</f>
        <v>View</v>
      </c>
      <c r="P4627" s="7"/>
    </row>
    <row r="4628" spans="1:16">
      <c r="A4628" s="3">
        <v>43924.262094907404</v>
      </c>
      <c r="B4628" s="4" t="str">
        <f>HYPERLINK("https://twitter.com/petrogustavo","@petrogustavo")</f>
        <v>@petrogustavo</v>
      </c>
      <c r="C4628" s="5" t="s">
        <v>16</v>
      </c>
      <c r="D4628" s="5" t="s">
        <v>4537</v>
      </c>
      <c r="E4628" s="6" t="str">
        <f>HYPERLINK("https://twitter.com/petrogustavo/status/1245875518471364612","1245875518471364612")</f>
        <v>1245875518471364612</v>
      </c>
      <c r="F4628" s="7" t="s">
        <v>17</v>
      </c>
      <c r="G4628" s="7">
        <v>3735932</v>
      </c>
      <c r="H4628" s="7">
        <v>2374</v>
      </c>
      <c r="I4628" s="7">
        <v>93</v>
      </c>
      <c r="J4628" s="7">
        <v>182</v>
      </c>
      <c r="K4628" s="7" t="s">
        <v>18</v>
      </c>
      <c r="L4628" s="8">
        <v>39987.315405092595</v>
      </c>
      <c r="M4628" s="9" t="s">
        <v>19</v>
      </c>
      <c r="N4628" s="9" t="s">
        <v>20</v>
      </c>
      <c r="O4628" s="6" t="str">
        <f>HYPERLINK("https://pbs.twimg.com/profile_images/962471262747529216/Uo8lOkRJ_normal.jpg","View")</f>
        <v>View</v>
      </c>
      <c r="P4628" s="7"/>
    </row>
    <row r="4629" spans="1:16">
      <c r="A4629" s="3">
        <v>43924.266597222224</v>
      </c>
      <c r="B4629" s="4" t="str">
        <f>HYPERLINK("https://twitter.com/petrogustavo","@petrogustavo")</f>
        <v>@petrogustavo</v>
      </c>
      <c r="C4629" s="5" t="s">
        <v>16</v>
      </c>
      <c r="D4629" s="5" t="s">
        <v>4538</v>
      </c>
      <c r="E4629" s="6" t="str">
        <f>HYPERLINK("https://twitter.com/petrogustavo/status/1245877149506187266","1245877149506187266")</f>
        <v>1245877149506187266</v>
      </c>
      <c r="F4629" s="7" t="s">
        <v>17</v>
      </c>
      <c r="G4629" s="7">
        <v>3735932</v>
      </c>
      <c r="H4629" s="7">
        <v>2374</v>
      </c>
      <c r="I4629" s="7">
        <v>137</v>
      </c>
      <c r="J4629" s="7">
        <v>237</v>
      </c>
      <c r="K4629" s="7" t="s">
        <v>18</v>
      </c>
      <c r="L4629" s="8">
        <v>39987.315405092595</v>
      </c>
      <c r="M4629" s="9" t="s">
        <v>19</v>
      </c>
      <c r="N4629" s="9" t="s">
        <v>20</v>
      </c>
      <c r="O4629" s="6" t="str">
        <f>HYPERLINK("https://pbs.twimg.com/profile_images/962471262747529216/Uo8lOkRJ_normal.jpg","View")</f>
        <v>View</v>
      </c>
      <c r="P4629" s="7"/>
    </row>
    <row r="4630" spans="1:16">
      <c r="A4630" s="3">
        <v>43924.273761574077</v>
      </c>
      <c r="B4630" s="4" t="str">
        <f>HYPERLINK("https://twitter.com/petrogustavo","@petrogustavo")</f>
        <v>@petrogustavo</v>
      </c>
      <c r="C4630" s="5" t="s">
        <v>16</v>
      </c>
      <c r="D4630" s="5" t="s">
        <v>4539</v>
      </c>
      <c r="E4630" s="6" t="str">
        <f>HYPERLINK("https://twitter.com/petrogustavo/status/1245879745822240769","1245879745822240769")</f>
        <v>1245879745822240769</v>
      </c>
      <c r="F4630" s="7" t="s">
        <v>17</v>
      </c>
      <c r="G4630" s="7">
        <v>3735992</v>
      </c>
      <c r="H4630" s="7">
        <v>2374</v>
      </c>
      <c r="I4630" s="7">
        <v>338</v>
      </c>
      <c r="J4630" s="7">
        <v>794</v>
      </c>
      <c r="K4630" s="7" t="s">
        <v>18</v>
      </c>
      <c r="L4630" s="8">
        <v>39987.315405092595</v>
      </c>
      <c r="M4630" s="9" t="s">
        <v>19</v>
      </c>
      <c r="N4630" s="9" t="s">
        <v>20</v>
      </c>
      <c r="O4630" s="6" t="str">
        <f>HYPERLINK("https://pbs.twimg.com/profile_images/962471262747529216/Uo8lOkRJ_normal.jpg","View")</f>
        <v>View</v>
      </c>
      <c r="P4630" s="7"/>
    </row>
    <row r="4631" spans="1:16">
      <c r="A4631" s="3">
        <v>43924.283553240741</v>
      </c>
      <c r="B4631" s="4" t="str">
        <f>HYPERLINK("https://twitter.com/petrogustavo","@petrogustavo")</f>
        <v>@petrogustavo</v>
      </c>
      <c r="C4631" s="5" t="s">
        <v>16</v>
      </c>
      <c r="D4631" s="5" t="s">
        <v>4540</v>
      </c>
      <c r="E4631" s="6" t="str">
        <f>HYPERLINK("https://twitter.com/petrogustavo/status/1245883295113641988","1245883295113641988")</f>
        <v>1245883295113641988</v>
      </c>
      <c r="F4631" s="7" t="s">
        <v>17</v>
      </c>
      <c r="G4631" s="7">
        <v>3735992</v>
      </c>
      <c r="H4631" s="7">
        <v>2374</v>
      </c>
      <c r="I4631" s="7">
        <v>279</v>
      </c>
      <c r="J4631" s="7">
        <v>0</v>
      </c>
      <c r="K4631" s="7" t="s">
        <v>18</v>
      </c>
      <c r="L4631" s="8">
        <v>39987.315405092595</v>
      </c>
      <c r="M4631" s="9" t="s">
        <v>19</v>
      </c>
      <c r="N4631" s="9" t="s">
        <v>20</v>
      </c>
      <c r="O4631" s="6" t="str">
        <f>HYPERLINK("https://pbs.twimg.com/profile_images/962471262747529216/Uo8lOkRJ_normal.jpg","View")</f>
        <v>View</v>
      </c>
      <c r="P4631" s="7"/>
    </row>
    <row r="4632" spans="1:16">
      <c r="A4632" s="3">
        <v>43924.292962962965</v>
      </c>
      <c r="B4632" s="4" t="str">
        <f>HYPERLINK("https://twitter.com/petrogustavo","@petrogustavo")</f>
        <v>@petrogustavo</v>
      </c>
      <c r="C4632" s="5" t="s">
        <v>16</v>
      </c>
      <c r="D4632" s="5" t="s">
        <v>4541</v>
      </c>
      <c r="E4632" s="6" t="str">
        <f>HYPERLINK("https://twitter.com/petrogustavo/status/1245886703233048577","1245886703233048577")</f>
        <v>1245886703233048577</v>
      </c>
      <c r="F4632" s="7" t="s">
        <v>17</v>
      </c>
      <c r="G4632" s="7">
        <v>3735992</v>
      </c>
      <c r="H4632" s="7">
        <v>2374</v>
      </c>
      <c r="I4632" s="7">
        <v>1</v>
      </c>
      <c r="J4632" s="7">
        <v>1</v>
      </c>
      <c r="K4632" s="7" t="s">
        <v>18</v>
      </c>
      <c r="L4632" s="8">
        <v>39987.315405092595</v>
      </c>
      <c r="M4632" s="9" t="s">
        <v>19</v>
      </c>
      <c r="N4632" s="9" t="s">
        <v>20</v>
      </c>
      <c r="O4632" s="6" t="str">
        <f>HYPERLINK("https://pbs.twimg.com/profile_images/962471262747529216/Uo8lOkRJ_normal.jpg","View")</f>
        <v>View</v>
      </c>
      <c r="P4632" s="7"/>
    </row>
    <row r="4633" spans="1:16">
      <c r="A4633" s="3">
        <v>43924.297951388886</v>
      </c>
      <c r="B4633" s="4" t="str">
        <f>HYPERLINK("https://twitter.com/petrogustavo","@petrogustavo")</f>
        <v>@petrogustavo</v>
      </c>
      <c r="C4633" s="5" t="s">
        <v>16</v>
      </c>
      <c r="D4633" s="5" t="s">
        <v>4542</v>
      </c>
      <c r="E4633" s="6" t="str">
        <f>HYPERLINK("https://twitter.com/petrogustavo/status/1245888510382542850","1245888510382542850")</f>
        <v>1245888510382542850</v>
      </c>
      <c r="F4633" s="7" t="s">
        <v>17</v>
      </c>
      <c r="G4633" s="7">
        <v>3736162</v>
      </c>
      <c r="H4633" s="7">
        <v>2375</v>
      </c>
      <c r="I4633" s="7">
        <v>60</v>
      </c>
      <c r="J4633" s="7">
        <v>128</v>
      </c>
      <c r="K4633" s="7" t="s">
        <v>18</v>
      </c>
      <c r="L4633" s="8">
        <v>39987.315405092595</v>
      </c>
      <c r="M4633" s="9" t="s">
        <v>19</v>
      </c>
      <c r="N4633" s="9" t="s">
        <v>20</v>
      </c>
      <c r="O4633" s="6" t="str">
        <f>HYPERLINK("https://pbs.twimg.com/profile_images/962471262747529216/Uo8lOkRJ_normal.jpg","View")</f>
        <v>View</v>
      </c>
      <c r="P4633" s="7"/>
    </row>
    <row r="4634" spans="1:16">
      <c r="A4634" s="3">
        <v>43924.300856481481</v>
      </c>
      <c r="B4634" s="4" t="str">
        <f>HYPERLINK("https://twitter.com/petrogustavo","@petrogustavo")</f>
        <v>@petrogustavo</v>
      </c>
      <c r="C4634" s="5" t="s">
        <v>16</v>
      </c>
      <c r="D4634" s="5" t="s">
        <v>4543</v>
      </c>
      <c r="E4634" s="6" t="str">
        <f>HYPERLINK("https://twitter.com/petrogustavo/status/1245889566801907716","1245889566801907716")</f>
        <v>1245889566801907716</v>
      </c>
      <c r="F4634" s="7" t="s">
        <v>17</v>
      </c>
      <c r="G4634" s="7">
        <v>3736162</v>
      </c>
      <c r="H4634" s="7">
        <v>2375</v>
      </c>
      <c r="I4634" s="7">
        <v>203</v>
      </c>
      <c r="J4634" s="7">
        <v>691</v>
      </c>
      <c r="K4634" s="7" t="s">
        <v>18</v>
      </c>
      <c r="L4634" s="8">
        <v>39987.315405092595</v>
      </c>
      <c r="M4634" s="9" t="s">
        <v>19</v>
      </c>
      <c r="N4634" s="9" t="s">
        <v>20</v>
      </c>
      <c r="O4634" s="6" t="str">
        <f>HYPERLINK("https://pbs.twimg.com/profile_images/962471262747529216/Uo8lOkRJ_normal.jpg","View")</f>
        <v>View</v>
      </c>
      <c r="P4634" s="7"/>
    </row>
    <row r="4635" spans="1:16">
      <c r="A4635" s="3">
        <v>43924.30505787037</v>
      </c>
      <c r="B4635" s="4" t="str">
        <f>HYPERLINK("https://twitter.com/petrogustavo","@petrogustavo")</f>
        <v>@petrogustavo</v>
      </c>
      <c r="C4635" s="5" t="s">
        <v>16</v>
      </c>
      <c r="D4635" s="5" t="s">
        <v>4544</v>
      </c>
      <c r="E4635" s="6" t="str">
        <f>HYPERLINK("https://twitter.com/petrogustavo/status/1245891089216782336","1245891089216782336")</f>
        <v>1245891089216782336</v>
      </c>
      <c r="F4635" s="7" t="s">
        <v>17</v>
      </c>
      <c r="G4635" s="7">
        <v>3736162</v>
      </c>
      <c r="H4635" s="7">
        <v>2375</v>
      </c>
      <c r="I4635" s="7">
        <v>74</v>
      </c>
      <c r="J4635" s="7">
        <v>140</v>
      </c>
      <c r="K4635" s="7" t="s">
        <v>18</v>
      </c>
      <c r="L4635" s="8">
        <v>39987.315405092595</v>
      </c>
      <c r="M4635" s="9" t="s">
        <v>19</v>
      </c>
      <c r="N4635" s="9" t="s">
        <v>20</v>
      </c>
      <c r="O4635" s="6" t="str">
        <f>HYPERLINK("https://pbs.twimg.com/profile_images/962471262747529216/Uo8lOkRJ_normal.jpg","View")</f>
        <v>View</v>
      </c>
      <c r="P4635" s="7"/>
    </row>
    <row r="4636" spans="1:16">
      <c r="A4636" s="3">
        <v>43924.307673611111</v>
      </c>
      <c r="B4636" s="4" t="str">
        <f>HYPERLINK("https://twitter.com/petrogustavo","@petrogustavo")</f>
        <v>@petrogustavo</v>
      </c>
      <c r="C4636" s="5" t="s">
        <v>16</v>
      </c>
      <c r="D4636" s="5" t="s">
        <v>4545</v>
      </c>
      <c r="E4636" s="6" t="str">
        <f>HYPERLINK("https://twitter.com/petrogustavo/status/1245892035040739328","1245892035040739328")</f>
        <v>1245892035040739328</v>
      </c>
      <c r="F4636" s="7" t="s">
        <v>17</v>
      </c>
      <c r="G4636" s="7">
        <v>3736162</v>
      </c>
      <c r="H4636" s="7">
        <v>2375</v>
      </c>
      <c r="I4636" s="7">
        <v>86</v>
      </c>
      <c r="J4636" s="7">
        <v>237</v>
      </c>
      <c r="K4636" s="7" t="s">
        <v>18</v>
      </c>
      <c r="L4636" s="8">
        <v>39987.315405092595</v>
      </c>
      <c r="M4636" s="9" t="s">
        <v>19</v>
      </c>
      <c r="N4636" s="9" t="s">
        <v>20</v>
      </c>
      <c r="O4636" s="6" t="str">
        <f>HYPERLINK("https://pbs.twimg.com/profile_images/962471262747529216/Uo8lOkRJ_normal.jpg","View")</f>
        <v>View</v>
      </c>
      <c r="P4636" s="7"/>
    </row>
    <row r="4637" spans="1:16">
      <c r="A4637" s="3">
        <v>43924.311296296291</v>
      </c>
      <c r="B4637" s="4" t="str">
        <f>HYPERLINK("https://twitter.com/petrogustavo","@petrogustavo")</f>
        <v>@petrogustavo</v>
      </c>
      <c r="C4637" s="5" t="s">
        <v>16</v>
      </c>
      <c r="D4637" s="5" t="s">
        <v>4546</v>
      </c>
      <c r="E4637" s="6" t="str">
        <f>HYPERLINK("https://twitter.com/petrogustavo/status/1245893349573373952","1245893349573373952")</f>
        <v>1245893349573373952</v>
      </c>
      <c r="F4637" s="7" t="s">
        <v>17</v>
      </c>
      <c r="G4637" s="7">
        <v>3736162</v>
      </c>
      <c r="H4637" s="7">
        <v>2375</v>
      </c>
      <c r="I4637" s="7">
        <v>19</v>
      </c>
      <c r="J4637" s="7">
        <v>51</v>
      </c>
      <c r="K4637" s="7" t="s">
        <v>18</v>
      </c>
      <c r="L4637" s="8">
        <v>39987.315405092595</v>
      </c>
      <c r="M4637" s="9" t="s">
        <v>19</v>
      </c>
      <c r="N4637" s="9" t="s">
        <v>20</v>
      </c>
      <c r="O4637" s="6" t="str">
        <f>HYPERLINK("https://pbs.twimg.com/profile_images/962471262747529216/Uo8lOkRJ_normal.jpg","View")</f>
        <v>View</v>
      </c>
      <c r="P4637" s="7"/>
    </row>
    <row r="4638" spans="1:16">
      <c r="A4638" s="3">
        <v>43924.331817129627</v>
      </c>
      <c r="B4638" s="4" t="str">
        <f>HYPERLINK("https://twitter.com/petrogustavo","@petrogustavo")</f>
        <v>@petrogustavo</v>
      </c>
      <c r="C4638" s="5" t="s">
        <v>16</v>
      </c>
      <c r="D4638" s="5" t="s">
        <v>4547</v>
      </c>
      <c r="E4638" s="6" t="str">
        <f>HYPERLINK("https://twitter.com/petrogustavo/status/1245900786648993792","1245900786648993792")</f>
        <v>1245900786648993792</v>
      </c>
      <c r="F4638" s="7" t="s">
        <v>17</v>
      </c>
      <c r="G4638" s="7">
        <v>3736226</v>
      </c>
      <c r="H4638" s="7">
        <v>2375</v>
      </c>
      <c r="I4638" s="7">
        <v>60</v>
      </c>
      <c r="J4638" s="7">
        <v>125</v>
      </c>
      <c r="K4638" s="7" t="s">
        <v>18</v>
      </c>
      <c r="L4638" s="8">
        <v>39987.315405092595</v>
      </c>
      <c r="M4638" s="9" t="s">
        <v>19</v>
      </c>
      <c r="N4638" s="9" t="s">
        <v>20</v>
      </c>
      <c r="O4638" s="6" t="str">
        <f>HYPERLINK("https://pbs.twimg.com/profile_images/962471262747529216/Uo8lOkRJ_normal.jpg","View")</f>
        <v>View</v>
      </c>
      <c r="P4638" s="7"/>
    </row>
    <row r="4639" spans="1:16">
      <c r="A4639" s="3">
        <v>43924.345763888894</v>
      </c>
      <c r="B4639" s="4" t="str">
        <f>HYPERLINK("https://twitter.com/petrogustavo","@petrogustavo")</f>
        <v>@petrogustavo</v>
      </c>
      <c r="C4639" s="5" t="s">
        <v>16</v>
      </c>
      <c r="D4639" s="5" t="s">
        <v>4548</v>
      </c>
      <c r="E4639" s="6" t="str">
        <f>HYPERLINK("https://twitter.com/petrogustavo/status/1245905839963201536","1245905839963201536")</f>
        <v>1245905839963201536</v>
      </c>
      <c r="F4639" s="7" t="s">
        <v>17</v>
      </c>
      <c r="G4639" s="7">
        <v>3736277</v>
      </c>
      <c r="H4639" s="7">
        <v>2374</v>
      </c>
      <c r="I4639" s="7">
        <v>61</v>
      </c>
      <c r="J4639" s="7">
        <v>144</v>
      </c>
      <c r="K4639" s="7" t="s">
        <v>18</v>
      </c>
      <c r="L4639" s="8">
        <v>39987.315405092595</v>
      </c>
      <c r="M4639" s="9" t="s">
        <v>19</v>
      </c>
      <c r="N4639" s="9" t="s">
        <v>20</v>
      </c>
      <c r="O4639" s="6" t="str">
        <f>HYPERLINK("https://pbs.twimg.com/profile_images/962471262747529216/Uo8lOkRJ_normal.jpg","View")</f>
        <v>View</v>
      </c>
      <c r="P4639" s="7"/>
    </row>
    <row r="4640" spans="1:16">
      <c r="A4640" s="3">
        <v>43924.352986111116</v>
      </c>
      <c r="B4640" s="4" t="str">
        <f>HYPERLINK("https://twitter.com/petrogustavo","@petrogustavo")</f>
        <v>@petrogustavo</v>
      </c>
      <c r="C4640" s="5" t="s">
        <v>16</v>
      </c>
      <c r="D4640" s="5" t="s">
        <v>4549</v>
      </c>
      <c r="E4640" s="6" t="str">
        <f>HYPERLINK("https://twitter.com/petrogustavo/status/1245908455552147457","1245908455552147457")</f>
        <v>1245908455552147457</v>
      </c>
      <c r="F4640" s="7" t="s">
        <v>17</v>
      </c>
      <c r="G4640" s="7">
        <v>3736277</v>
      </c>
      <c r="H4640" s="7">
        <v>2374</v>
      </c>
      <c r="I4640" s="7">
        <v>246</v>
      </c>
      <c r="J4640" s="7">
        <v>0</v>
      </c>
      <c r="K4640" s="7" t="s">
        <v>18</v>
      </c>
      <c r="L4640" s="8">
        <v>39987.315405092595</v>
      </c>
      <c r="M4640" s="9" t="s">
        <v>19</v>
      </c>
      <c r="N4640" s="9" t="s">
        <v>20</v>
      </c>
      <c r="O4640" s="6" t="str">
        <f>HYPERLINK("https://pbs.twimg.com/profile_images/962471262747529216/Uo8lOkRJ_normal.jpg","View")</f>
        <v>View</v>
      </c>
      <c r="P4640" s="7"/>
    </row>
    <row r="4641" spans="1:16">
      <c r="A4641" s="3">
        <v>43924.728090277778</v>
      </c>
      <c r="B4641" s="4" t="str">
        <f>HYPERLINK("https://twitter.com/petrogustavo","@petrogustavo")</f>
        <v>@petrogustavo</v>
      </c>
      <c r="C4641" s="5" t="s">
        <v>16</v>
      </c>
      <c r="D4641" s="5" t="s">
        <v>4550</v>
      </c>
      <c r="E4641" s="6" t="str">
        <f>HYPERLINK("https://twitter.com/petrogustavo/status/1246044389274763265","1246044389274763265")</f>
        <v>1246044389274763265</v>
      </c>
      <c r="F4641" s="7" t="s">
        <v>17</v>
      </c>
      <c r="G4641" s="7">
        <v>3736834</v>
      </c>
      <c r="H4641" s="7">
        <v>2373</v>
      </c>
      <c r="I4641" s="7">
        <v>35</v>
      </c>
      <c r="J4641" s="7">
        <v>72</v>
      </c>
      <c r="K4641" s="7" t="s">
        <v>18</v>
      </c>
      <c r="L4641" s="8">
        <v>39987.315405092595</v>
      </c>
      <c r="M4641" s="9" t="s">
        <v>19</v>
      </c>
      <c r="N4641" s="9" t="s">
        <v>20</v>
      </c>
      <c r="O4641" s="6" t="str">
        <f>HYPERLINK("https://pbs.twimg.com/profile_images/962471262747529216/Uo8lOkRJ_normal.jpg","View")</f>
        <v>View</v>
      </c>
      <c r="P4641" s="7"/>
    </row>
    <row r="4642" spans="1:16">
      <c r="A4642" s="3">
        <v>43924.737199074079</v>
      </c>
      <c r="B4642" s="4" t="str">
        <f>HYPERLINK("https://twitter.com/petrogustavo","@petrogustavo")</f>
        <v>@petrogustavo</v>
      </c>
      <c r="C4642" s="5" t="s">
        <v>16</v>
      </c>
      <c r="D4642" s="5" t="s">
        <v>4551</v>
      </c>
      <c r="E4642" s="6" t="str">
        <f>HYPERLINK("https://twitter.com/petrogustavo/status/1246047689332187139","1246047689332187139")</f>
        <v>1246047689332187139</v>
      </c>
      <c r="F4642" s="7" t="s">
        <v>17</v>
      </c>
      <c r="G4642" s="7">
        <v>3736867</v>
      </c>
      <c r="H4642" s="7">
        <v>2373</v>
      </c>
      <c r="I4642" s="7">
        <v>113</v>
      </c>
      <c r="J4642" s="7">
        <v>226</v>
      </c>
      <c r="K4642" s="7" t="s">
        <v>18</v>
      </c>
      <c r="L4642" s="8">
        <v>39987.315405092595</v>
      </c>
      <c r="M4642" s="9" t="s">
        <v>19</v>
      </c>
      <c r="N4642" s="9" t="s">
        <v>20</v>
      </c>
      <c r="O4642" s="6" t="str">
        <f>HYPERLINK("https://pbs.twimg.com/profile_images/962471262747529216/Uo8lOkRJ_normal.jpg","View")</f>
        <v>View</v>
      </c>
      <c r="P4642" s="7"/>
    </row>
    <row r="4643" spans="1:16">
      <c r="A4643" s="3">
        <v>43924.742465277777</v>
      </c>
      <c r="B4643" s="4" t="str">
        <f>HYPERLINK("https://twitter.com/petrogustavo","@petrogustavo")</f>
        <v>@petrogustavo</v>
      </c>
      <c r="C4643" s="5" t="s">
        <v>16</v>
      </c>
      <c r="D4643" s="5" t="s">
        <v>4552</v>
      </c>
      <c r="E4643" s="6" t="str">
        <f>HYPERLINK("https://twitter.com/petrogustavo/status/1246049598805815296","1246049598805815296")</f>
        <v>1246049598805815296</v>
      </c>
      <c r="F4643" s="7" t="s">
        <v>17</v>
      </c>
      <c r="G4643" s="7">
        <v>3736867</v>
      </c>
      <c r="H4643" s="7">
        <v>2373</v>
      </c>
      <c r="I4643" s="7">
        <v>191</v>
      </c>
      <c r="J4643" s="7">
        <v>516</v>
      </c>
      <c r="K4643" s="7" t="s">
        <v>18</v>
      </c>
      <c r="L4643" s="8">
        <v>39987.315405092595</v>
      </c>
      <c r="M4643" s="9" t="s">
        <v>19</v>
      </c>
      <c r="N4643" s="9" t="s">
        <v>20</v>
      </c>
      <c r="O4643" s="6" t="str">
        <f>HYPERLINK("https://pbs.twimg.com/profile_images/962471262747529216/Uo8lOkRJ_normal.jpg","View")</f>
        <v>View</v>
      </c>
      <c r="P4643" s="7"/>
    </row>
    <row r="4644" spans="1:16">
      <c r="A4644" s="3">
        <v>43924.753449074073</v>
      </c>
      <c r="B4644" s="4" t="str">
        <f>HYPERLINK("https://twitter.com/petrogustavo","@petrogustavo")</f>
        <v>@petrogustavo</v>
      </c>
      <c r="C4644" s="5" t="s">
        <v>16</v>
      </c>
      <c r="D4644" s="5" t="s">
        <v>4553</v>
      </c>
      <c r="E4644" s="6" t="str">
        <f>HYPERLINK("https://twitter.com/petrogustavo/status/1246053579758190593","1246053579758190593")</f>
        <v>1246053579758190593</v>
      </c>
      <c r="F4644" s="7" t="s">
        <v>17</v>
      </c>
      <c r="G4644" s="7">
        <v>3736911</v>
      </c>
      <c r="H4644" s="7">
        <v>2374</v>
      </c>
      <c r="I4644" s="7">
        <v>140</v>
      </c>
      <c r="J4644" s="7">
        <v>264</v>
      </c>
      <c r="K4644" s="7" t="s">
        <v>18</v>
      </c>
      <c r="L4644" s="8">
        <v>39987.315405092595</v>
      </c>
      <c r="M4644" s="9" t="s">
        <v>19</v>
      </c>
      <c r="N4644" s="9" t="s">
        <v>20</v>
      </c>
      <c r="O4644" s="6" t="str">
        <f>HYPERLINK("https://pbs.twimg.com/profile_images/962471262747529216/Uo8lOkRJ_normal.jpg","View")</f>
        <v>View</v>
      </c>
      <c r="P4644" s="7"/>
    </row>
    <row r="4645" spans="1:16">
      <c r="A4645" s="3">
        <v>43924.767789351856</v>
      </c>
      <c r="B4645" s="4" t="str">
        <f>HYPERLINK("https://twitter.com/petrogustavo","@petrogustavo")</f>
        <v>@petrogustavo</v>
      </c>
      <c r="C4645" s="5" t="s">
        <v>16</v>
      </c>
      <c r="D4645" s="5" t="s">
        <v>4554</v>
      </c>
      <c r="E4645" s="6" t="str">
        <f>HYPERLINK("https://twitter.com/petrogustavo/status/1246058777125834756","1246058777125834756")</f>
        <v>1246058777125834756</v>
      </c>
      <c r="F4645" s="7" t="s">
        <v>17</v>
      </c>
      <c r="G4645" s="7">
        <v>3736911</v>
      </c>
      <c r="H4645" s="7">
        <v>2374</v>
      </c>
      <c r="I4645" s="7">
        <v>573</v>
      </c>
      <c r="J4645" s="7">
        <v>0</v>
      </c>
      <c r="K4645" s="7" t="s">
        <v>18</v>
      </c>
      <c r="L4645" s="8">
        <v>39987.315405092595</v>
      </c>
      <c r="M4645" s="9" t="s">
        <v>19</v>
      </c>
      <c r="N4645" s="9" t="s">
        <v>20</v>
      </c>
      <c r="O4645" s="6" t="str">
        <f>HYPERLINK("https://pbs.twimg.com/profile_images/962471262747529216/Uo8lOkRJ_normal.jpg","View")</f>
        <v>View</v>
      </c>
      <c r="P4645" s="7"/>
    </row>
    <row r="4646" spans="1:16">
      <c r="A4646" s="3">
        <v>43924.771689814814</v>
      </c>
      <c r="B4646" s="4" t="str">
        <f>HYPERLINK("https://twitter.com/petrogustavo","@petrogustavo")</f>
        <v>@petrogustavo</v>
      </c>
      <c r="C4646" s="5" t="s">
        <v>16</v>
      </c>
      <c r="D4646" s="5" t="s">
        <v>4555</v>
      </c>
      <c r="E4646" s="6" t="str">
        <f>HYPERLINK("https://twitter.com/petrogustavo/status/1246060187645083651","1246060187645083651")</f>
        <v>1246060187645083651</v>
      </c>
      <c r="F4646" s="7" t="s">
        <v>17</v>
      </c>
      <c r="G4646" s="7">
        <v>3736911</v>
      </c>
      <c r="H4646" s="7">
        <v>2374</v>
      </c>
      <c r="I4646" s="7">
        <v>2</v>
      </c>
      <c r="J4646" s="7">
        <v>6</v>
      </c>
      <c r="K4646" s="7" t="s">
        <v>18</v>
      </c>
      <c r="L4646" s="8">
        <v>39987.315405092595</v>
      </c>
      <c r="M4646" s="9" t="s">
        <v>19</v>
      </c>
      <c r="N4646" s="9" t="s">
        <v>20</v>
      </c>
      <c r="O4646" s="6" t="str">
        <f>HYPERLINK("https://pbs.twimg.com/profile_images/962471262747529216/Uo8lOkRJ_normal.jpg","View")</f>
        <v>View</v>
      </c>
      <c r="P4646" s="7"/>
    </row>
    <row r="4647" spans="1:16">
      <c r="A4647" s="3">
        <v>43924.789953703701</v>
      </c>
      <c r="B4647" s="4" t="str">
        <f>HYPERLINK("https://twitter.com/petrogustavo","@petrogustavo")</f>
        <v>@petrogustavo</v>
      </c>
      <c r="C4647" s="5" t="s">
        <v>16</v>
      </c>
      <c r="D4647" s="5" t="s">
        <v>4556</v>
      </c>
      <c r="E4647" s="6" t="str">
        <f>HYPERLINK("https://twitter.com/petrogustavo/status/1246066808425070592","1246066808425070592")</f>
        <v>1246066808425070592</v>
      </c>
      <c r="F4647" s="7" t="s">
        <v>17</v>
      </c>
      <c r="G4647" s="7">
        <v>3736932</v>
      </c>
      <c r="H4647" s="7">
        <v>2374</v>
      </c>
      <c r="I4647" s="7">
        <v>779</v>
      </c>
      <c r="J4647" s="7">
        <v>0</v>
      </c>
      <c r="K4647" s="7" t="s">
        <v>18</v>
      </c>
      <c r="L4647" s="8">
        <v>39987.315405092595</v>
      </c>
      <c r="M4647" s="9" t="s">
        <v>19</v>
      </c>
      <c r="N4647" s="9" t="s">
        <v>20</v>
      </c>
      <c r="O4647" s="6" t="str">
        <f>HYPERLINK("https://pbs.twimg.com/profile_images/962471262747529216/Uo8lOkRJ_normal.jpg","View")</f>
        <v>View</v>
      </c>
      <c r="P4647" s="7"/>
    </row>
    <row r="4648" spans="1:16">
      <c r="A4648" s="3">
        <v>43924.792453703703</v>
      </c>
      <c r="B4648" s="4" t="str">
        <f>HYPERLINK("https://twitter.com/petrogustavo","@petrogustavo")</f>
        <v>@petrogustavo</v>
      </c>
      <c r="C4648" s="5" t="s">
        <v>16</v>
      </c>
      <c r="D4648" s="5" t="s">
        <v>4557</v>
      </c>
      <c r="E4648" s="6" t="str">
        <f>HYPERLINK("https://twitter.com/petrogustavo/status/1246067715237806090","1246067715237806090")</f>
        <v>1246067715237806090</v>
      </c>
      <c r="F4648" s="7" t="s">
        <v>17</v>
      </c>
      <c r="G4648" s="7">
        <v>3736932</v>
      </c>
      <c r="H4648" s="7">
        <v>2374</v>
      </c>
      <c r="I4648" s="7">
        <v>1406</v>
      </c>
      <c r="J4648" s="7">
        <v>0</v>
      </c>
      <c r="K4648" s="7" t="s">
        <v>18</v>
      </c>
      <c r="L4648" s="8">
        <v>39987.315405092595</v>
      </c>
      <c r="M4648" s="9" t="s">
        <v>19</v>
      </c>
      <c r="N4648" s="9" t="s">
        <v>20</v>
      </c>
      <c r="O4648" s="6" t="str">
        <f>HYPERLINK("https://pbs.twimg.com/profile_images/962471262747529216/Uo8lOkRJ_normal.jpg","View")</f>
        <v>View</v>
      </c>
      <c r="P4648" s="7"/>
    </row>
    <row r="4649" spans="1:16">
      <c r="A4649" s="3">
        <v>43924.798310185186</v>
      </c>
      <c r="B4649" s="4" t="str">
        <f>HYPERLINK("https://twitter.com/petrogustavo","@petrogustavo")</f>
        <v>@petrogustavo</v>
      </c>
      <c r="C4649" s="5" t="s">
        <v>16</v>
      </c>
      <c r="D4649" s="5" t="s">
        <v>4558</v>
      </c>
      <c r="E4649" s="6" t="str">
        <f>HYPERLINK("https://twitter.com/petrogustavo/status/1246069836356022273","1246069836356022273")</f>
        <v>1246069836356022273</v>
      </c>
      <c r="F4649" s="7" t="s">
        <v>17</v>
      </c>
      <c r="G4649" s="7">
        <v>3736896</v>
      </c>
      <c r="H4649" s="7">
        <v>2374</v>
      </c>
      <c r="I4649" s="7">
        <v>85</v>
      </c>
      <c r="J4649" s="7">
        <v>224</v>
      </c>
      <c r="K4649" s="7" t="s">
        <v>18</v>
      </c>
      <c r="L4649" s="8">
        <v>39987.315405092595</v>
      </c>
      <c r="M4649" s="9" t="s">
        <v>19</v>
      </c>
      <c r="N4649" s="9" t="s">
        <v>20</v>
      </c>
      <c r="O4649" s="6" t="str">
        <f>HYPERLINK("https://pbs.twimg.com/profile_images/962471262747529216/Uo8lOkRJ_normal.jpg","View")</f>
        <v>View</v>
      </c>
      <c r="P4649" s="7"/>
    </row>
    <row r="4650" spans="1:16">
      <c r="A4650" s="3">
        <v>43924.798449074078</v>
      </c>
      <c r="B4650" s="4" t="str">
        <f>HYPERLINK("https://twitter.com/petrogustavo","@petrogustavo")</f>
        <v>@petrogustavo</v>
      </c>
      <c r="C4650" s="5" t="s">
        <v>16</v>
      </c>
      <c r="D4650" s="5" t="s">
        <v>4557</v>
      </c>
      <c r="E4650" s="6" t="str">
        <f>HYPERLINK("https://twitter.com/petrogustavo/status/1246069888705163268","1246069888705163268")</f>
        <v>1246069888705163268</v>
      </c>
      <c r="F4650" s="7" t="s">
        <v>17</v>
      </c>
      <c r="G4650" s="7">
        <v>3736896</v>
      </c>
      <c r="H4650" s="7">
        <v>2374</v>
      </c>
      <c r="I4650" s="7">
        <v>1429</v>
      </c>
      <c r="J4650" s="7">
        <v>0</v>
      </c>
      <c r="K4650" s="7" t="s">
        <v>18</v>
      </c>
      <c r="L4650" s="8">
        <v>39987.315405092595</v>
      </c>
      <c r="M4650" s="9" t="s">
        <v>19</v>
      </c>
      <c r="N4650" s="9" t="s">
        <v>20</v>
      </c>
      <c r="O4650" s="6" t="str">
        <f>HYPERLINK("https://pbs.twimg.com/profile_images/962471262747529216/Uo8lOkRJ_normal.jpg","View")</f>
        <v>View</v>
      </c>
      <c r="P4650" s="7"/>
    </row>
    <row r="4651" spans="1:16">
      <c r="A4651" s="3">
        <v>43924.801655092597</v>
      </c>
      <c r="B4651" s="4" t="str">
        <f>HYPERLINK("https://twitter.com/petrogustavo","@petrogustavo")</f>
        <v>@petrogustavo</v>
      </c>
      <c r="C4651" s="5" t="s">
        <v>16</v>
      </c>
      <c r="D4651" s="5" t="s">
        <v>4534</v>
      </c>
      <c r="E4651" s="6" t="str">
        <f>HYPERLINK("https://twitter.com/petrogustavo/status/1246071048979636229","1246071048979636229")</f>
        <v>1246071048979636229</v>
      </c>
      <c r="F4651" s="7" t="s">
        <v>17</v>
      </c>
      <c r="G4651" s="7">
        <v>3736896</v>
      </c>
      <c r="H4651" s="7">
        <v>2374</v>
      </c>
      <c r="I4651" s="7">
        <v>1405</v>
      </c>
      <c r="J4651" s="7">
        <v>0</v>
      </c>
      <c r="K4651" s="7" t="s">
        <v>18</v>
      </c>
      <c r="L4651" s="8">
        <v>39987.315405092595</v>
      </c>
      <c r="M4651" s="9" t="s">
        <v>19</v>
      </c>
      <c r="N4651" s="9" t="s">
        <v>20</v>
      </c>
      <c r="O4651" s="6" t="str">
        <f>HYPERLINK("https://pbs.twimg.com/profile_images/962471262747529216/Uo8lOkRJ_normal.jpg","View")</f>
        <v>View</v>
      </c>
      <c r="P4651" s="7"/>
    </row>
    <row r="4652" spans="1:16">
      <c r="A4652" s="3">
        <v>43924.862893518519</v>
      </c>
      <c r="B4652" s="4" t="str">
        <f>HYPERLINK("https://twitter.com/petrogustavo","@petrogustavo")</f>
        <v>@petrogustavo</v>
      </c>
      <c r="C4652" s="5" t="s">
        <v>16</v>
      </c>
      <c r="D4652" s="5" t="s">
        <v>4559</v>
      </c>
      <c r="E4652" s="6" t="str">
        <f>HYPERLINK("https://twitter.com/petrogustavo/status/1246093241264545792","1246093241264545792")</f>
        <v>1246093241264545792</v>
      </c>
      <c r="F4652" s="7" t="s">
        <v>17</v>
      </c>
      <c r="G4652" s="7">
        <v>3737174</v>
      </c>
      <c r="H4652" s="7">
        <v>2374</v>
      </c>
      <c r="I4652" s="7">
        <v>97</v>
      </c>
      <c r="J4652" s="7">
        <v>147</v>
      </c>
      <c r="K4652" s="7" t="s">
        <v>18</v>
      </c>
      <c r="L4652" s="8">
        <v>39987.315405092595</v>
      </c>
      <c r="M4652" s="9" t="s">
        <v>19</v>
      </c>
      <c r="N4652" s="9" t="s">
        <v>20</v>
      </c>
      <c r="O4652" s="6" t="str">
        <f>HYPERLINK("https://pbs.twimg.com/profile_images/962471262747529216/Uo8lOkRJ_normal.jpg","View")</f>
        <v>View</v>
      </c>
      <c r="P4652" s="7"/>
    </row>
    <row r="4653" spans="1:16">
      <c r="A4653" s="3">
        <v>43924.864560185189</v>
      </c>
      <c r="B4653" s="4" t="str">
        <f>HYPERLINK("https://twitter.com/petrogustavo","@petrogustavo")</f>
        <v>@petrogustavo</v>
      </c>
      <c r="C4653" s="5" t="s">
        <v>16</v>
      </c>
      <c r="D4653" s="5" t="s">
        <v>4560</v>
      </c>
      <c r="E4653" s="6" t="str">
        <f>HYPERLINK("https://twitter.com/petrogustavo/status/1246093842975260672","1246093842975260672")</f>
        <v>1246093842975260672</v>
      </c>
      <c r="F4653" s="7" t="s">
        <v>17</v>
      </c>
      <c r="G4653" s="7">
        <v>3737174</v>
      </c>
      <c r="H4653" s="7">
        <v>2374</v>
      </c>
      <c r="I4653" s="7">
        <v>75</v>
      </c>
      <c r="J4653" s="7">
        <v>174</v>
      </c>
      <c r="K4653" s="7" t="s">
        <v>18</v>
      </c>
      <c r="L4653" s="8">
        <v>39987.315405092595</v>
      </c>
      <c r="M4653" s="9" t="s">
        <v>19</v>
      </c>
      <c r="N4653" s="9" t="s">
        <v>20</v>
      </c>
      <c r="O4653" s="6" t="str">
        <f>HYPERLINK("https://pbs.twimg.com/profile_images/962471262747529216/Uo8lOkRJ_normal.jpg","View")</f>
        <v>View</v>
      </c>
      <c r="P4653" s="7"/>
    </row>
    <row r="4654" spans="1:16">
      <c r="A4654" s="3">
        <v>43924.870381944449</v>
      </c>
      <c r="B4654" s="4" t="str">
        <f>HYPERLINK("https://twitter.com/petrogustavo","@petrogustavo")</f>
        <v>@petrogustavo</v>
      </c>
      <c r="C4654" s="5" t="s">
        <v>16</v>
      </c>
      <c r="D4654" s="5" t="s">
        <v>4561</v>
      </c>
      <c r="E4654" s="6" t="str">
        <f>HYPERLINK("https://twitter.com/petrogustavo/status/1246095953389592577","1246095953389592577")</f>
        <v>1246095953389592577</v>
      </c>
      <c r="F4654" s="7" t="s">
        <v>17</v>
      </c>
      <c r="G4654" s="7">
        <v>3737174</v>
      </c>
      <c r="H4654" s="7">
        <v>2374</v>
      </c>
      <c r="I4654" s="7">
        <v>77</v>
      </c>
      <c r="J4654" s="7">
        <v>143</v>
      </c>
      <c r="K4654" s="7" t="s">
        <v>18</v>
      </c>
      <c r="L4654" s="8">
        <v>39987.315405092595</v>
      </c>
      <c r="M4654" s="9" t="s">
        <v>19</v>
      </c>
      <c r="N4654" s="9" t="s">
        <v>20</v>
      </c>
      <c r="O4654" s="6" t="str">
        <f>HYPERLINK("https://pbs.twimg.com/profile_images/962471262747529216/Uo8lOkRJ_normal.jpg","View")</f>
        <v>View</v>
      </c>
      <c r="P4654" s="7"/>
    </row>
    <row r="4655" spans="1:16">
      <c r="A4655" s="3">
        <v>43924.914502314816</v>
      </c>
      <c r="B4655" s="4" t="str">
        <f>HYPERLINK("https://twitter.com/petrogustavo","@petrogustavo")</f>
        <v>@petrogustavo</v>
      </c>
      <c r="C4655" s="5" t="s">
        <v>16</v>
      </c>
      <c r="D4655" s="5" t="s">
        <v>4562</v>
      </c>
      <c r="E4655" s="6" t="str">
        <f>HYPERLINK("https://twitter.com/petrogustavo/status/1246111944119128070","1246111944119128070")</f>
        <v>1246111944119128070</v>
      </c>
      <c r="F4655" s="7" t="s">
        <v>17</v>
      </c>
      <c r="G4655" s="7">
        <v>3737281</v>
      </c>
      <c r="H4655" s="7">
        <v>2374</v>
      </c>
      <c r="I4655" s="7">
        <v>50</v>
      </c>
      <c r="J4655" s="7">
        <v>82</v>
      </c>
      <c r="K4655" s="7" t="s">
        <v>18</v>
      </c>
      <c r="L4655" s="8">
        <v>39987.315405092595</v>
      </c>
      <c r="M4655" s="9" t="s">
        <v>19</v>
      </c>
      <c r="N4655" s="9" t="s">
        <v>20</v>
      </c>
      <c r="O4655" s="6" t="str">
        <f>HYPERLINK("https://pbs.twimg.com/profile_images/962471262747529216/Uo8lOkRJ_normal.jpg","View")</f>
        <v>View</v>
      </c>
      <c r="P4655" s="7"/>
    </row>
    <row r="4656" spans="1:16">
      <c r="A4656" s="3">
        <v>43924.91914351852</v>
      </c>
      <c r="B4656" s="4" t="str">
        <f>HYPERLINK("https://twitter.com/petrogustavo","@petrogustavo")</f>
        <v>@petrogustavo</v>
      </c>
      <c r="C4656" s="5" t="s">
        <v>16</v>
      </c>
      <c r="D4656" s="5" t="s">
        <v>4563</v>
      </c>
      <c r="E4656" s="6" t="str">
        <f>HYPERLINK("https://twitter.com/petrogustavo/status/1246113623073869824","1246113623073869824")</f>
        <v>1246113623073869824</v>
      </c>
      <c r="F4656" s="7" t="s">
        <v>17</v>
      </c>
      <c r="G4656" s="7">
        <v>3737327</v>
      </c>
      <c r="H4656" s="7">
        <v>2374</v>
      </c>
      <c r="I4656" s="7">
        <v>74</v>
      </c>
      <c r="J4656" s="7">
        <v>163</v>
      </c>
      <c r="K4656" s="7" t="s">
        <v>18</v>
      </c>
      <c r="L4656" s="8">
        <v>39987.315405092595</v>
      </c>
      <c r="M4656" s="9" t="s">
        <v>19</v>
      </c>
      <c r="N4656" s="9" t="s">
        <v>20</v>
      </c>
      <c r="O4656" s="6" t="str">
        <f>HYPERLINK("https://pbs.twimg.com/profile_images/962471262747529216/Uo8lOkRJ_normal.jpg","View")</f>
        <v>View</v>
      </c>
      <c r="P4656" s="7"/>
    </row>
    <row r="4657" spans="1:16">
      <c r="A4657" s="3">
        <v>43924.925138888888</v>
      </c>
      <c r="B4657" s="4" t="str">
        <f>HYPERLINK("https://twitter.com/petrogustavo","@petrogustavo")</f>
        <v>@petrogustavo</v>
      </c>
      <c r="C4657" s="5" t="s">
        <v>16</v>
      </c>
      <c r="D4657" s="5" t="s">
        <v>4564</v>
      </c>
      <c r="E4657" s="6" t="str">
        <f>HYPERLINK("https://twitter.com/petrogustavo/status/1246115797359104005","1246115797359104005")</f>
        <v>1246115797359104005</v>
      </c>
      <c r="F4657" s="7" t="s">
        <v>17</v>
      </c>
      <c r="G4657" s="7">
        <v>3737327</v>
      </c>
      <c r="H4657" s="7">
        <v>2374</v>
      </c>
      <c r="I4657" s="7">
        <v>844</v>
      </c>
      <c r="J4657" s="7">
        <v>0</v>
      </c>
      <c r="K4657" s="7" t="s">
        <v>18</v>
      </c>
      <c r="L4657" s="8">
        <v>39987.315405092595</v>
      </c>
      <c r="M4657" s="9" t="s">
        <v>19</v>
      </c>
      <c r="N4657" s="9" t="s">
        <v>20</v>
      </c>
      <c r="O4657" s="6" t="str">
        <f>HYPERLINK("https://pbs.twimg.com/profile_images/962471262747529216/Uo8lOkRJ_normal.jpg","View")</f>
        <v>View</v>
      </c>
      <c r="P4657" s="7"/>
    </row>
    <row r="4658" spans="1:16">
      <c r="A4658" s="3">
        <v>43924.930891203709</v>
      </c>
      <c r="B4658" s="4" t="str">
        <f>HYPERLINK("https://twitter.com/petrogustavo","@petrogustavo")</f>
        <v>@petrogustavo</v>
      </c>
      <c r="C4658" s="5" t="s">
        <v>16</v>
      </c>
      <c r="D4658" s="5" t="s">
        <v>4565</v>
      </c>
      <c r="E4658" s="6" t="str">
        <f>HYPERLINK("https://twitter.com/petrogustavo/status/1246117882561474562","1246117882561474562")</f>
        <v>1246117882561474562</v>
      </c>
      <c r="F4658" s="7" t="s">
        <v>17</v>
      </c>
      <c r="G4658" s="7">
        <v>3737327</v>
      </c>
      <c r="H4658" s="7">
        <v>2374</v>
      </c>
      <c r="I4658" s="7">
        <v>121</v>
      </c>
      <c r="J4658" s="7">
        <v>272</v>
      </c>
      <c r="K4658" s="7" t="s">
        <v>18</v>
      </c>
      <c r="L4658" s="8">
        <v>39987.315405092595</v>
      </c>
      <c r="M4658" s="9" t="s">
        <v>19</v>
      </c>
      <c r="N4658" s="9" t="s">
        <v>20</v>
      </c>
      <c r="O4658" s="6" t="str">
        <f>HYPERLINK("https://pbs.twimg.com/profile_images/962471262747529216/Uo8lOkRJ_normal.jpg","View")</f>
        <v>View</v>
      </c>
      <c r="P4658" s="7"/>
    </row>
    <row r="4659" spans="1:16">
      <c r="A4659" s="3">
        <v>43924.951655092591</v>
      </c>
      <c r="B4659" s="4" t="str">
        <f>HYPERLINK("https://twitter.com/petrogustavo","@petrogustavo")</f>
        <v>@petrogustavo</v>
      </c>
      <c r="C4659" s="5" t="s">
        <v>16</v>
      </c>
      <c r="D4659" s="5" t="s">
        <v>4566</v>
      </c>
      <c r="E4659" s="6" t="str">
        <f>HYPERLINK("https://twitter.com/petrogustavo/status/1246125407121874949","1246125407121874949")</f>
        <v>1246125407121874949</v>
      </c>
      <c r="F4659" s="7" t="s">
        <v>17</v>
      </c>
      <c r="G4659" s="7">
        <v>3737359</v>
      </c>
      <c r="H4659" s="7">
        <v>2374</v>
      </c>
      <c r="I4659" s="7">
        <v>113</v>
      </c>
      <c r="J4659" s="7">
        <v>331</v>
      </c>
      <c r="K4659" s="7" t="s">
        <v>18</v>
      </c>
      <c r="L4659" s="8">
        <v>39987.315405092595</v>
      </c>
      <c r="M4659" s="9" t="s">
        <v>19</v>
      </c>
      <c r="N4659" s="9" t="s">
        <v>20</v>
      </c>
      <c r="O4659" s="6" t="str">
        <f>HYPERLINK("https://pbs.twimg.com/profile_images/962471262747529216/Uo8lOkRJ_normal.jpg","View")</f>
        <v>View</v>
      </c>
      <c r="P4659" s="7"/>
    </row>
    <row r="4660" spans="1:16">
      <c r="A4660" s="3">
        <v>43925.163217592592</v>
      </c>
      <c r="B4660" s="4" t="str">
        <f>HYPERLINK("https://twitter.com/petrogustavo","@petrogustavo")</f>
        <v>@petrogustavo</v>
      </c>
      <c r="C4660" s="5" t="s">
        <v>16</v>
      </c>
      <c r="D4660" s="5" t="s">
        <v>4567</v>
      </c>
      <c r="E4660" s="6" t="str">
        <f>HYPERLINK("https://twitter.com/petrogustavo/status/1246202075324846082","1246202075324846082")</f>
        <v>1246202075324846082</v>
      </c>
      <c r="F4660" s="7" t="s">
        <v>17</v>
      </c>
      <c r="G4660" s="7">
        <v>3737861</v>
      </c>
      <c r="H4660" s="7">
        <v>2375</v>
      </c>
      <c r="I4660" s="7">
        <v>78</v>
      </c>
      <c r="J4660" s="7">
        <v>0</v>
      </c>
      <c r="K4660" s="7" t="s">
        <v>18</v>
      </c>
      <c r="L4660" s="8">
        <v>39987.315405092595</v>
      </c>
      <c r="M4660" s="9" t="s">
        <v>19</v>
      </c>
      <c r="N4660" s="9" t="s">
        <v>20</v>
      </c>
      <c r="O4660" s="6" t="str">
        <f>HYPERLINK("https://pbs.twimg.com/profile_images/962471262747529216/Uo8lOkRJ_normal.jpg","View")</f>
        <v>View</v>
      </c>
      <c r="P4660" s="7"/>
    </row>
    <row r="4661" spans="1:16">
      <c r="A4661" s="3">
        <v>43925.213055555556</v>
      </c>
      <c r="B4661" s="4" t="str">
        <f>HYPERLINK("https://twitter.com/petrogustavo","@petrogustavo")</f>
        <v>@petrogustavo</v>
      </c>
      <c r="C4661" s="5" t="s">
        <v>16</v>
      </c>
      <c r="D4661" s="5" t="s">
        <v>4549</v>
      </c>
      <c r="E4661" s="6" t="str">
        <f>HYPERLINK("https://twitter.com/petrogustavo/status/1246220136358522881","1246220136358522881")</f>
        <v>1246220136358522881</v>
      </c>
      <c r="F4661" s="7" t="s">
        <v>17</v>
      </c>
      <c r="G4661" s="7">
        <v>3737984</v>
      </c>
      <c r="H4661" s="7">
        <v>2375</v>
      </c>
      <c r="I4661" s="7">
        <v>1251</v>
      </c>
      <c r="J4661" s="7">
        <v>0</v>
      </c>
      <c r="K4661" s="7" t="s">
        <v>18</v>
      </c>
      <c r="L4661" s="8">
        <v>39987.315405092595</v>
      </c>
      <c r="M4661" s="9" t="s">
        <v>19</v>
      </c>
      <c r="N4661" s="9" t="s">
        <v>20</v>
      </c>
      <c r="O4661" s="6" t="str">
        <f>HYPERLINK("https://pbs.twimg.com/profile_images/962471262747529216/Uo8lOkRJ_normal.jpg","View")</f>
        <v>View</v>
      </c>
      <c r="P4661" s="7"/>
    </row>
    <row r="4662" spans="1:16">
      <c r="A4662" s="3">
        <v>43925.215231481481</v>
      </c>
      <c r="B4662" s="4" t="str">
        <f>HYPERLINK("https://twitter.com/petrogustavo","@petrogustavo")</f>
        <v>@petrogustavo</v>
      </c>
      <c r="C4662" s="5" t="s">
        <v>16</v>
      </c>
      <c r="D4662" s="5" t="s">
        <v>4568</v>
      </c>
      <c r="E4662" s="6" t="str">
        <f>HYPERLINK("https://twitter.com/petrogustavo/status/1246220924715536384","1246220924715536384")</f>
        <v>1246220924715536384</v>
      </c>
      <c r="F4662" s="7" t="s">
        <v>17</v>
      </c>
      <c r="G4662" s="7">
        <v>3737984</v>
      </c>
      <c r="H4662" s="7">
        <v>2375</v>
      </c>
      <c r="I4662" s="7">
        <v>166</v>
      </c>
      <c r="J4662" s="7">
        <v>351</v>
      </c>
      <c r="K4662" s="7" t="s">
        <v>18</v>
      </c>
      <c r="L4662" s="8">
        <v>39987.315405092595</v>
      </c>
      <c r="M4662" s="9" t="s">
        <v>19</v>
      </c>
      <c r="N4662" s="9" t="s">
        <v>20</v>
      </c>
      <c r="O4662" s="6" t="str">
        <f>HYPERLINK("https://pbs.twimg.com/profile_images/962471262747529216/Uo8lOkRJ_normal.jpg","View")</f>
        <v>View</v>
      </c>
      <c r="P4662" s="7"/>
    </row>
    <row r="4663" spans="1:16">
      <c r="A4663" s="3">
        <v>43925.260277777779</v>
      </c>
      <c r="B4663" s="4" t="str">
        <f>HYPERLINK("https://twitter.com/petrogustavo","@petrogustavo")</f>
        <v>@petrogustavo</v>
      </c>
      <c r="C4663" s="5" t="s">
        <v>16</v>
      </c>
      <c r="D4663" s="5" t="s">
        <v>4569</v>
      </c>
      <c r="E4663" s="6" t="str">
        <f>HYPERLINK("https://twitter.com/petrogustavo/status/1246237247982141440","1246237247982141440")</f>
        <v>1246237247982141440</v>
      </c>
      <c r="F4663" s="7" t="s">
        <v>17</v>
      </c>
      <c r="G4663" s="7">
        <v>3738005</v>
      </c>
      <c r="H4663" s="7">
        <v>2376</v>
      </c>
      <c r="I4663" s="7">
        <v>24</v>
      </c>
      <c r="J4663" s="7">
        <v>0</v>
      </c>
      <c r="K4663" s="7" t="s">
        <v>18</v>
      </c>
      <c r="L4663" s="8">
        <v>39987.315405092595</v>
      </c>
      <c r="M4663" s="9" t="s">
        <v>19</v>
      </c>
      <c r="N4663" s="9" t="s">
        <v>20</v>
      </c>
      <c r="O4663" s="6" t="str">
        <f>HYPERLINK("https://pbs.twimg.com/profile_images/962471262747529216/Uo8lOkRJ_normal.jpg","View")</f>
        <v>View</v>
      </c>
      <c r="P4663" s="7"/>
    </row>
    <row r="4664" spans="1:16">
      <c r="A4664" s="3">
        <v>43925.271203703705</v>
      </c>
      <c r="B4664" s="4" t="str">
        <f>HYPERLINK("https://twitter.com/petrogustavo","@petrogustavo")</f>
        <v>@petrogustavo</v>
      </c>
      <c r="C4664" s="5" t="s">
        <v>16</v>
      </c>
      <c r="D4664" s="5" t="s">
        <v>4570</v>
      </c>
      <c r="E4664" s="6" t="str">
        <f>HYPERLINK("https://twitter.com/petrogustavo/status/1246241206822199297","1246241206822199297")</f>
        <v>1246241206822199297</v>
      </c>
      <c r="F4664" s="7" t="s">
        <v>17</v>
      </c>
      <c r="G4664" s="7">
        <v>3738005</v>
      </c>
      <c r="H4664" s="7">
        <v>2376</v>
      </c>
      <c r="I4664" s="7">
        <v>90</v>
      </c>
      <c r="J4664" s="7">
        <v>190</v>
      </c>
      <c r="K4664" s="7" t="s">
        <v>18</v>
      </c>
      <c r="L4664" s="8">
        <v>39987.315405092595</v>
      </c>
      <c r="M4664" s="9" t="s">
        <v>19</v>
      </c>
      <c r="N4664" s="9" t="s">
        <v>20</v>
      </c>
      <c r="O4664" s="6" t="str">
        <f>HYPERLINK("https://pbs.twimg.com/profile_images/962471262747529216/Uo8lOkRJ_normal.jpg","View")</f>
        <v>View</v>
      </c>
      <c r="P4664" s="7"/>
    </row>
    <row r="4665" spans="1:16">
      <c r="A4665" s="3">
        <v>43925.276469907403</v>
      </c>
      <c r="B4665" s="4" t="str">
        <f>HYPERLINK("https://twitter.com/petrogustavo","@petrogustavo")</f>
        <v>@petrogustavo</v>
      </c>
      <c r="C4665" s="5" t="s">
        <v>16</v>
      </c>
      <c r="D4665" s="5" t="s">
        <v>4571</v>
      </c>
      <c r="E4665" s="6" t="str">
        <f>HYPERLINK("https://twitter.com/petrogustavo/status/1246243115943550977","1246243115943550977")</f>
        <v>1246243115943550977</v>
      </c>
      <c r="F4665" s="7" t="s">
        <v>17</v>
      </c>
      <c r="G4665" s="7">
        <v>3738149</v>
      </c>
      <c r="H4665" s="7">
        <v>2376</v>
      </c>
      <c r="I4665" s="7">
        <v>180</v>
      </c>
      <c r="J4665" s="7">
        <v>263</v>
      </c>
      <c r="K4665" s="7" t="s">
        <v>18</v>
      </c>
      <c r="L4665" s="8">
        <v>39987.315405092595</v>
      </c>
      <c r="M4665" s="9" t="s">
        <v>19</v>
      </c>
      <c r="N4665" s="9" t="s">
        <v>20</v>
      </c>
      <c r="O4665" s="6" t="str">
        <f>HYPERLINK("https://pbs.twimg.com/profile_images/962471262747529216/Uo8lOkRJ_normal.jpg","View")</f>
        <v>View</v>
      </c>
      <c r="P4665" s="7"/>
    </row>
    <row r="4666" spans="1:16">
      <c r="A4666" s="3">
        <v>43925.290659722217</v>
      </c>
      <c r="B4666" s="4" t="str">
        <f>HYPERLINK("https://twitter.com/petrogustavo","@petrogustavo")</f>
        <v>@petrogustavo</v>
      </c>
      <c r="C4666" s="5" t="s">
        <v>16</v>
      </c>
      <c r="D4666" s="5" t="s">
        <v>4572</v>
      </c>
      <c r="E4666" s="6" t="str">
        <f>HYPERLINK("https://twitter.com/petrogustavo/status/1246248256306401283","1246248256306401283")</f>
        <v>1246248256306401283</v>
      </c>
      <c r="F4666" s="7" t="s">
        <v>17</v>
      </c>
      <c r="G4666" s="7">
        <v>3738149</v>
      </c>
      <c r="H4666" s="7">
        <v>2376</v>
      </c>
      <c r="I4666" s="7">
        <v>588</v>
      </c>
      <c r="J4666" s="7">
        <v>0</v>
      </c>
      <c r="K4666" s="7" t="s">
        <v>18</v>
      </c>
      <c r="L4666" s="8">
        <v>39987.315405092595</v>
      </c>
      <c r="M4666" s="9" t="s">
        <v>19</v>
      </c>
      <c r="N4666" s="9" t="s">
        <v>20</v>
      </c>
      <c r="O4666" s="6" t="str">
        <f>HYPERLINK("https://pbs.twimg.com/profile_images/962471262747529216/Uo8lOkRJ_normal.jpg","View")</f>
        <v>View</v>
      </c>
      <c r="P4666" s="7"/>
    </row>
    <row r="4667" spans="1:16">
      <c r="A4667" s="3">
        <v>43925.294560185182</v>
      </c>
      <c r="B4667" s="4" t="str">
        <f>HYPERLINK("https://twitter.com/petrogustavo","@petrogustavo")</f>
        <v>@petrogustavo</v>
      </c>
      <c r="C4667" s="5" t="s">
        <v>16</v>
      </c>
      <c r="D4667" s="5" t="s">
        <v>4573</v>
      </c>
      <c r="E4667" s="6" t="str">
        <f>HYPERLINK("https://twitter.com/petrogustavo/status/1246249670885728258","1246249670885728258")</f>
        <v>1246249670885728258</v>
      </c>
      <c r="F4667" s="7" t="s">
        <v>17</v>
      </c>
      <c r="G4667" s="7">
        <v>3738215</v>
      </c>
      <c r="H4667" s="7">
        <v>2376</v>
      </c>
      <c r="I4667" s="7">
        <v>52</v>
      </c>
      <c r="J4667" s="7">
        <v>0</v>
      </c>
      <c r="K4667" s="7" t="s">
        <v>18</v>
      </c>
      <c r="L4667" s="8">
        <v>39987.315405092595</v>
      </c>
      <c r="M4667" s="9" t="s">
        <v>19</v>
      </c>
      <c r="N4667" s="9" t="s">
        <v>20</v>
      </c>
      <c r="O4667" s="6" t="str">
        <f>HYPERLINK("https://pbs.twimg.com/profile_images/962471262747529216/Uo8lOkRJ_normal.jpg","View")</f>
        <v>View</v>
      </c>
      <c r="P4667" s="7"/>
    </row>
    <row r="4668" spans="1:16">
      <c r="A4668" s="3">
        <v>43925.295763888891</v>
      </c>
      <c r="B4668" s="4" t="str">
        <f>HYPERLINK("https://twitter.com/petrogustavo","@petrogustavo")</f>
        <v>@petrogustavo</v>
      </c>
      <c r="C4668" s="5" t="s">
        <v>16</v>
      </c>
      <c r="D4668" s="5" t="s">
        <v>4574</v>
      </c>
      <c r="E4668" s="6" t="str">
        <f>HYPERLINK("https://twitter.com/petrogustavo/status/1246250108666236929","1246250108666236929")</f>
        <v>1246250108666236929</v>
      </c>
      <c r="F4668" s="7" t="s">
        <v>17</v>
      </c>
      <c r="G4668" s="7">
        <v>3738215</v>
      </c>
      <c r="H4668" s="7">
        <v>2376</v>
      </c>
      <c r="I4668" s="7">
        <v>53</v>
      </c>
      <c r="J4668" s="7">
        <v>0</v>
      </c>
      <c r="K4668" s="7" t="s">
        <v>18</v>
      </c>
      <c r="L4668" s="8">
        <v>39987.315405092595</v>
      </c>
      <c r="M4668" s="9" t="s">
        <v>19</v>
      </c>
      <c r="N4668" s="9" t="s">
        <v>20</v>
      </c>
      <c r="O4668" s="6" t="str">
        <f>HYPERLINK("https://pbs.twimg.com/profile_images/962471262747529216/Uo8lOkRJ_normal.jpg","View")</f>
        <v>View</v>
      </c>
      <c r="P4668" s="7"/>
    </row>
    <row r="4669" spans="1:16">
      <c r="A4669" s="3">
        <v>43925.30096064815</v>
      </c>
      <c r="B4669" s="4" t="str">
        <f>HYPERLINK("https://twitter.com/petrogustavo","@petrogustavo")</f>
        <v>@petrogustavo</v>
      </c>
      <c r="C4669" s="5" t="s">
        <v>16</v>
      </c>
      <c r="D4669" s="5" t="s">
        <v>4575</v>
      </c>
      <c r="E4669" s="6" t="str">
        <f>HYPERLINK("https://twitter.com/petrogustavo/status/1246251989731889152","1246251989731889152")</f>
        <v>1246251989731889152</v>
      </c>
      <c r="F4669" s="7" t="s">
        <v>17</v>
      </c>
      <c r="G4669" s="7">
        <v>3738215</v>
      </c>
      <c r="H4669" s="7">
        <v>2376</v>
      </c>
      <c r="I4669" s="7">
        <v>493</v>
      </c>
      <c r="J4669" s="7">
        <v>1093</v>
      </c>
      <c r="K4669" s="7" t="s">
        <v>18</v>
      </c>
      <c r="L4669" s="8">
        <v>39987.315405092595</v>
      </c>
      <c r="M4669" s="9" t="s">
        <v>19</v>
      </c>
      <c r="N4669" s="9" t="s">
        <v>20</v>
      </c>
      <c r="O4669" s="6" t="str">
        <f>HYPERLINK("https://pbs.twimg.com/profile_images/962471262747529216/Uo8lOkRJ_normal.jpg","View")</f>
        <v>View</v>
      </c>
      <c r="P4669" s="7"/>
    </row>
    <row r="4670" spans="1:16">
      <c r="A4670" s="3">
        <v>43925.304629629631</v>
      </c>
      <c r="B4670" s="4" t="str">
        <f>HYPERLINK("https://twitter.com/petrogustavo","@petrogustavo")</f>
        <v>@petrogustavo</v>
      </c>
      <c r="C4670" s="5" t="s">
        <v>16</v>
      </c>
      <c r="D4670" s="5" t="s">
        <v>4576</v>
      </c>
      <c r="E4670" s="6" t="str">
        <f>HYPERLINK("https://twitter.com/petrogustavo/status/1246253322258038784","1246253322258038784")</f>
        <v>1246253322258038784</v>
      </c>
      <c r="F4670" s="7" t="s">
        <v>17</v>
      </c>
      <c r="G4670" s="7">
        <v>3738215</v>
      </c>
      <c r="H4670" s="7">
        <v>2376</v>
      </c>
      <c r="I4670" s="7">
        <v>294</v>
      </c>
      <c r="J4670" s="7">
        <v>382</v>
      </c>
      <c r="K4670" s="7" t="s">
        <v>18</v>
      </c>
      <c r="L4670" s="8">
        <v>39987.315405092595</v>
      </c>
      <c r="M4670" s="9" t="s">
        <v>19</v>
      </c>
      <c r="N4670" s="9" t="s">
        <v>20</v>
      </c>
      <c r="O4670" s="6" t="str">
        <f>HYPERLINK("https://pbs.twimg.com/profile_images/962471262747529216/Uo8lOkRJ_normal.jpg","View")</f>
        <v>View</v>
      </c>
      <c r="P4670" s="7"/>
    </row>
    <row r="4671" spans="1:16">
      <c r="A4671" s="3">
        <v>43925.311168981483</v>
      </c>
      <c r="B4671" s="4" t="str">
        <f>HYPERLINK("https://twitter.com/petrogustavo","@petrogustavo")</f>
        <v>@petrogustavo</v>
      </c>
      <c r="C4671" s="5" t="s">
        <v>16</v>
      </c>
      <c r="D4671" s="5" t="s">
        <v>4577</v>
      </c>
      <c r="E4671" s="6" t="str">
        <f>HYPERLINK("https://twitter.com/petrogustavo/status/1246255688969486338","1246255688969486338")</f>
        <v>1246255688969486338</v>
      </c>
      <c r="F4671" s="7" t="s">
        <v>17</v>
      </c>
      <c r="G4671" s="7">
        <v>3738215</v>
      </c>
      <c r="H4671" s="7">
        <v>2376</v>
      </c>
      <c r="I4671" s="7">
        <v>18</v>
      </c>
      <c r="J4671" s="7">
        <v>0</v>
      </c>
      <c r="K4671" s="7" t="s">
        <v>18</v>
      </c>
      <c r="L4671" s="8">
        <v>39987.315405092595</v>
      </c>
      <c r="M4671" s="9" t="s">
        <v>19</v>
      </c>
      <c r="N4671" s="9" t="s">
        <v>20</v>
      </c>
      <c r="O4671" s="6" t="str">
        <f>HYPERLINK("https://pbs.twimg.com/profile_images/962471262747529216/Uo8lOkRJ_normal.jpg","View")</f>
        <v>View</v>
      </c>
      <c r="P4671" s="7"/>
    </row>
    <row r="4672" spans="1:16">
      <c r="A4672" s="3">
        <v>43925.313298611116</v>
      </c>
      <c r="B4672" s="4" t="str">
        <f>HYPERLINK("https://twitter.com/petrogustavo","@petrogustavo")</f>
        <v>@petrogustavo</v>
      </c>
      <c r="C4672" s="5" t="s">
        <v>16</v>
      </c>
      <c r="D4672" s="5" t="s">
        <v>4578</v>
      </c>
      <c r="E4672" s="6" t="str">
        <f>HYPERLINK("https://twitter.com/petrogustavo/status/1246256463506542592","1246256463506542592")</f>
        <v>1246256463506542592</v>
      </c>
      <c r="F4672" s="7" t="s">
        <v>17</v>
      </c>
      <c r="G4672" s="7">
        <v>3738215</v>
      </c>
      <c r="H4672" s="7">
        <v>2376</v>
      </c>
      <c r="I4672" s="7">
        <v>493</v>
      </c>
      <c r="J4672" s="7">
        <v>0</v>
      </c>
      <c r="K4672" s="7" t="s">
        <v>18</v>
      </c>
      <c r="L4672" s="8">
        <v>39987.315405092595</v>
      </c>
      <c r="M4672" s="9" t="s">
        <v>19</v>
      </c>
      <c r="N4672" s="9" t="s">
        <v>20</v>
      </c>
      <c r="O4672" s="6" t="str">
        <f>HYPERLINK("https://pbs.twimg.com/profile_images/962471262747529216/Uo8lOkRJ_normal.jpg","View")</f>
        <v>View</v>
      </c>
      <c r="P4672" s="7"/>
    </row>
    <row r="4673" spans="1:16">
      <c r="A4673" s="3">
        <v>43925.31486111111</v>
      </c>
      <c r="B4673" s="4" t="str">
        <f>HYPERLINK("https://twitter.com/petrogustavo","@petrogustavo")</f>
        <v>@petrogustavo</v>
      </c>
      <c r="C4673" s="5" t="s">
        <v>16</v>
      </c>
      <c r="D4673" s="5" t="s">
        <v>4579</v>
      </c>
      <c r="E4673" s="6" t="str">
        <f>HYPERLINK("https://twitter.com/petrogustavo/status/1246257027858550789","1246257027858550789")</f>
        <v>1246257027858550789</v>
      </c>
      <c r="F4673" s="7" t="s">
        <v>17</v>
      </c>
      <c r="G4673" s="7">
        <v>3738209</v>
      </c>
      <c r="H4673" s="7">
        <v>2376</v>
      </c>
      <c r="I4673" s="7">
        <v>724</v>
      </c>
      <c r="J4673" s="7">
        <v>1046</v>
      </c>
      <c r="K4673" s="7" t="s">
        <v>18</v>
      </c>
      <c r="L4673" s="8">
        <v>39987.315405092595</v>
      </c>
      <c r="M4673" s="9" t="s">
        <v>19</v>
      </c>
      <c r="N4673" s="9" t="s">
        <v>20</v>
      </c>
      <c r="O4673" s="6" t="str">
        <f>HYPERLINK("https://pbs.twimg.com/profile_images/962471262747529216/Uo8lOkRJ_normal.jpg","View")</f>
        <v>View</v>
      </c>
      <c r="P4673" s="7"/>
    </row>
    <row r="4674" spans="1:16">
      <c r="A4674" s="3">
        <v>43925.317696759259</v>
      </c>
      <c r="B4674" s="4" t="str">
        <f>HYPERLINK("https://twitter.com/petrogustavo","@petrogustavo")</f>
        <v>@petrogustavo</v>
      </c>
      <c r="C4674" s="5" t="s">
        <v>16</v>
      </c>
      <c r="D4674" s="5" t="s">
        <v>4580</v>
      </c>
      <c r="E4674" s="6" t="str">
        <f>HYPERLINK("https://twitter.com/petrogustavo/status/1246258054586404865","1246258054586404865")</f>
        <v>1246258054586404865</v>
      </c>
      <c r="F4674" s="7" t="s">
        <v>17</v>
      </c>
      <c r="G4674" s="7">
        <v>3738209</v>
      </c>
      <c r="H4674" s="7">
        <v>2376</v>
      </c>
      <c r="I4674" s="7">
        <v>34</v>
      </c>
      <c r="J4674" s="7">
        <v>0</v>
      </c>
      <c r="K4674" s="7" t="s">
        <v>18</v>
      </c>
      <c r="L4674" s="8">
        <v>39987.315405092595</v>
      </c>
      <c r="M4674" s="9" t="s">
        <v>19</v>
      </c>
      <c r="N4674" s="9" t="s">
        <v>20</v>
      </c>
      <c r="O4674" s="6" t="str">
        <f>HYPERLINK("https://pbs.twimg.com/profile_images/962471262747529216/Uo8lOkRJ_normal.jpg","View")</f>
        <v>View</v>
      </c>
      <c r="P4674" s="7"/>
    </row>
    <row r="4675" spans="1:16">
      <c r="A4675" s="3">
        <v>43925.318287037036</v>
      </c>
      <c r="B4675" s="4" t="str">
        <f>HYPERLINK("https://twitter.com/petrogustavo","@petrogustavo")</f>
        <v>@petrogustavo</v>
      </c>
      <c r="C4675" s="5" t="s">
        <v>16</v>
      </c>
      <c r="D4675" s="5" t="s">
        <v>4581</v>
      </c>
      <c r="E4675" s="6" t="str">
        <f>HYPERLINK("https://twitter.com/petrogustavo/status/1246258271683522560","1246258271683522560")</f>
        <v>1246258271683522560</v>
      </c>
      <c r="F4675" s="7" t="s">
        <v>17</v>
      </c>
      <c r="G4675" s="7">
        <v>3738209</v>
      </c>
      <c r="H4675" s="7">
        <v>2376</v>
      </c>
      <c r="I4675" s="7">
        <v>70</v>
      </c>
      <c r="J4675" s="7">
        <v>0</v>
      </c>
      <c r="K4675" s="7" t="s">
        <v>18</v>
      </c>
      <c r="L4675" s="8">
        <v>39987.315405092595</v>
      </c>
      <c r="M4675" s="9" t="s">
        <v>19</v>
      </c>
      <c r="N4675" s="9" t="s">
        <v>20</v>
      </c>
      <c r="O4675" s="6" t="str">
        <f>HYPERLINK("https://pbs.twimg.com/profile_images/962471262747529216/Uo8lOkRJ_normal.jpg","View")</f>
        <v>View</v>
      </c>
      <c r="P4675" s="7"/>
    </row>
    <row r="4676" spans="1:16">
      <c r="A4676" s="3">
        <v>43925.320347222223</v>
      </c>
      <c r="B4676" s="4" t="str">
        <f>HYPERLINK("https://twitter.com/petrogustavo","@petrogustavo")</f>
        <v>@petrogustavo</v>
      </c>
      <c r="C4676" s="5" t="s">
        <v>16</v>
      </c>
      <c r="D4676" s="5" t="s">
        <v>4582</v>
      </c>
      <c r="E4676" s="6" t="str">
        <f>HYPERLINK("https://twitter.com/petrogustavo/status/1246259017938329600","1246259017938329600")</f>
        <v>1246259017938329600</v>
      </c>
      <c r="F4676" s="7" t="s">
        <v>17</v>
      </c>
      <c r="G4676" s="7">
        <v>3738209</v>
      </c>
      <c r="H4676" s="7">
        <v>2376</v>
      </c>
      <c r="I4676" s="7">
        <v>77</v>
      </c>
      <c r="J4676" s="7">
        <v>0</v>
      </c>
      <c r="K4676" s="7" t="s">
        <v>18</v>
      </c>
      <c r="L4676" s="8">
        <v>39987.315405092595</v>
      </c>
      <c r="M4676" s="9" t="s">
        <v>19</v>
      </c>
      <c r="N4676" s="9" t="s">
        <v>20</v>
      </c>
      <c r="O4676" s="6" t="str">
        <f>HYPERLINK("https://pbs.twimg.com/profile_images/962471262747529216/Uo8lOkRJ_normal.jpg","View")</f>
        <v>View</v>
      </c>
      <c r="P4676" s="7"/>
    </row>
    <row r="4677" spans="1:16">
      <c r="A4677" s="3">
        <v>43925.328078703707</v>
      </c>
      <c r="B4677" s="4" t="str">
        <f>HYPERLINK("https://twitter.com/petrogustavo","@petrogustavo")</f>
        <v>@petrogustavo</v>
      </c>
      <c r="C4677" s="5" t="s">
        <v>16</v>
      </c>
      <c r="D4677" s="5" t="s">
        <v>4583</v>
      </c>
      <c r="E4677" s="6" t="str">
        <f>HYPERLINK("https://twitter.com/petrogustavo/status/1246261819494236162","1246261819494236162")</f>
        <v>1246261819494236162</v>
      </c>
      <c r="F4677" s="7" t="s">
        <v>17</v>
      </c>
      <c r="G4677" s="7">
        <v>3738209</v>
      </c>
      <c r="H4677" s="7">
        <v>2376</v>
      </c>
      <c r="I4677" s="7">
        <v>175</v>
      </c>
      <c r="J4677" s="7">
        <v>0</v>
      </c>
      <c r="K4677" s="7" t="s">
        <v>18</v>
      </c>
      <c r="L4677" s="8">
        <v>39987.315405092595</v>
      </c>
      <c r="M4677" s="9" t="s">
        <v>19</v>
      </c>
      <c r="N4677" s="9" t="s">
        <v>20</v>
      </c>
      <c r="O4677" s="6" t="str">
        <f>HYPERLINK("https://pbs.twimg.com/profile_images/962471262747529216/Uo8lOkRJ_normal.jpg","View")</f>
        <v>View</v>
      </c>
      <c r="P4677" s="7"/>
    </row>
    <row r="4678" spans="1:16">
      <c r="A4678" s="3">
        <v>43925.328842592593</v>
      </c>
      <c r="B4678" s="4" t="str">
        <f>HYPERLINK("https://twitter.com/petrogustavo","@petrogustavo")</f>
        <v>@petrogustavo</v>
      </c>
      <c r="C4678" s="5" t="s">
        <v>16</v>
      </c>
      <c r="D4678" s="5" t="s">
        <v>4584</v>
      </c>
      <c r="E4678" s="6" t="str">
        <f>HYPERLINK("https://twitter.com/petrogustavo/status/1246262095051730949","1246262095051730949")</f>
        <v>1246262095051730949</v>
      </c>
      <c r="F4678" s="7" t="s">
        <v>17</v>
      </c>
      <c r="G4678" s="7">
        <v>3738209</v>
      </c>
      <c r="H4678" s="7">
        <v>2376</v>
      </c>
      <c r="I4678" s="7">
        <v>80</v>
      </c>
      <c r="J4678" s="7">
        <v>0</v>
      </c>
      <c r="K4678" s="7" t="s">
        <v>18</v>
      </c>
      <c r="L4678" s="8">
        <v>39987.315405092595</v>
      </c>
      <c r="M4678" s="9" t="s">
        <v>19</v>
      </c>
      <c r="N4678" s="9" t="s">
        <v>20</v>
      </c>
      <c r="O4678" s="6" t="str">
        <f>HYPERLINK("https://pbs.twimg.com/profile_images/962471262747529216/Uo8lOkRJ_normal.jpg","View")</f>
        <v>View</v>
      </c>
      <c r="P4678" s="7"/>
    </row>
    <row r="4679" spans="1:16">
      <c r="A4679" s="3">
        <v>43925.334097222221</v>
      </c>
      <c r="B4679" s="4" t="str">
        <f>HYPERLINK("https://twitter.com/petrogustavo","@petrogustavo")</f>
        <v>@petrogustavo</v>
      </c>
      <c r="C4679" s="5" t="s">
        <v>16</v>
      </c>
      <c r="D4679" s="5" t="s">
        <v>4585</v>
      </c>
      <c r="E4679" s="6" t="str">
        <f>HYPERLINK("https://twitter.com/petrogustavo/status/1246263997759971335","1246263997759971335")</f>
        <v>1246263997759971335</v>
      </c>
      <c r="F4679" s="7" t="s">
        <v>17</v>
      </c>
      <c r="G4679" s="7">
        <v>3738209</v>
      </c>
      <c r="H4679" s="7">
        <v>2376</v>
      </c>
      <c r="I4679" s="7">
        <v>36</v>
      </c>
      <c r="J4679" s="7">
        <v>0</v>
      </c>
      <c r="K4679" s="7" t="s">
        <v>18</v>
      </c>
      <c r="L4679" s="8">
        <v>39987.315405092595</v>
      </c>
      <c r="M4679" s="9" t="s">
        <v>19</v>
      </c>
      <c r="N4679" s="9" t="s">
        <v>20</v>
      </c>
      <c r="O4679" s="6" t="str">
        <f>HYPERLINK("https://pbs.twimg.com/profile_images/962471262747529216/Uo8lOkRJ_normal.jpg","View")</f>
        <v>View</v>
      </c>
      <c r="P4679" s="7"/>
    </row>
    <row r="4680" spans="1:16">
      <c r="A4680" s="3">
        <v>43925.339074074072</v>
      </c>
      <c r="B4680" s="4" t="str">
        <f>HYPERLINK("https://twitter.com/petrogustavo","@petrogustavo")</f>
        <v>@petrogustavo</v>
      </c>
      <c r="C4680" s="5" t="s">
        <v>16</v>
      </c>
      <c r="D4680" s="5" t="s">
        <v>4586</v>
      </c>
      <c r="E4680" s="6" t="str">
        <f>HYPERLINK("https://twitter.com/petrogustavo/status/1246265802342498305","1246265802342498305")</f>
        <v>1246265802342498305</v>
      </c>
      <c r="F4680" s="7" t="s">
        <v>17</v>
      </c>
      <c r="G4680" s="7">
        <v>3738364</v>
      </c>
      <c r="H4680" s="7">
        <v>2376</v>
      </c>
      <c r="I4680" s="7">
        <v>827</v>
      </c>
      <c r="J4680" s="7">
        <v>0</v>
      </c>
      <c r="K4680" s="7" t="s">
        <v>18</v>
      </c>
      <c r="L4680" s="8">
        <v>39987.315405092595</v>
      </c>
      <c r="M4680" s="9" t="s">
        <v>19</v>
      </c>
      <c r="N4680" s="9" t="s">
        <v>20</v>
      </c>
      <c r="O4680" s="6" t="str">
        <f>HYPERLINK("https://pbs.twimg.com/profile_images/962471262747529216/Uo8lOkRJ_normal.jpg","View")</f>
        <v>View</v>
      </c>
      <c r="P4680" s="7"/>
    </row>
    <row r="4681" spans="1:16">
      <c r="A4681" s="3">
        <v>43925.33997685185</v>
      </c>
      <c r="B4681" s="4" t="str">
        <f>HYPERLINK("https://twitter.com/petrogustavo","@petrogustavo")</f>
        <v>@petrogustavo</v>
      </c>
      <c r="C4681" s="5" t="s">
        <v>16</v>
      </c>
      <c r="D4681" s="5" t="s">
        <v>4587</v>
      </c>
      <c r="E4681" s="6" t="str">
        <f>HYPERLINK("https://twitter.com/petrogustavo/status/1246266129141637120","1246266129141637120")</f>
        <v>1246266129141637120</v>
      </c>
      <c r="F4681" s="7" t="s">
        <v>17</v>
      </c>
      <c r="G4681" s="7">
        <v>3738364</v>
      </c>
      <c r="H4681" s="7">
        <v>2376</v>
      </c>
      <c r="I4681" s="7">
        <v>88</v>
      </c>
      <c r="J4681" s="7">
        <v>0</v>
      </c>
      <c r="K4681" s="7" t="s">
        <v>18</v>
      </c>
      <c r="L4681" s="8">
        <v>39987.315405092595</v>
      </c>
      <c r="M4681" s="9" t="s">
        <v>19</v>
      </c>
      <c r="N4681" s="9" t="s">
        <v>20</v>
      </c>
      <c r="O4681" s="6" t="str">
        <f>HYPERLINK("https://pbs.twimg.com/profile_images/962471262747529216/Uo8lOkRJ_normal.jpg","View")</f>
        <v>View</v>
      </c>
      <c r="P4681" s="7"/>
    </row>
    <row r="4682" spans="1:16">
      <c r="A4682" s="3">
        <v>43925.342083333337</v>
      </c>
      <c r="B4682" s="4" t="str">
        <f>HYPERLINK("https://twitter.com/petrogustavo","@petrogustavo")</f>
        <v>@petrogustavo</v>
      </c>
      <c r="C4682" s="5" t="s">
        <v>16</v>
      </c>
      <c r="D4682" s="5" t="s">
        <v>4588</v>
      </c>
      <c r="E4682" s="6" t="str">
        <f>HYPERLINK("https://twitter.com/petrogustavo/status/1246266892630794241","1246266892630794241")</f>
        <v>1246266892630794241</v>
      </c>
      <c r="F4682" s="7" t="s">
        <v>17</v>
      </c>
      <c r="G4682" s="7">
        <v>3738364</v>
      </c>
      <c r="H4682" s="7">
        <v>2376</v>
      </c>
      <c r="I4682" s="7">
        <v>344</v>
      </c>
      <c r="J4682" s="7">
        <v>0</v>
      </c>
      <c r="K4682" s="7" t="s">
        <v>18</v>
      </c>
      <c r="L4682" s="8">
        <v>39987.315405092595</v>
      </c>
      <c r="M4682" s="9" t="s">
        <v>19</v>
      </c>
      <c r="N4682" s="9" t="s">
        <v>20</v>
      </c>
      <c r="O4682" s="6" t="str">
        <f>HYPERLINK("https://pbs.twimg.com/profile_images/962471262747529216/Uo8lOkRJ_normal.jpg","View")</f>
        <v>View</v>
      </c>
      <c r="P4682" s="7"/>
    </row>
    <row r="4683" spans="1:16">
      <c r="A4683" s="3">
        <v>43925.347384259258</v>
      </c>
      <c r="B4683" s="4" t="str">
        <f>HYPERLINK("https://twitter.com/petrogustavo","@petrogustavo")</f>
        <v>@petrogustavo</v>
      </c>
      <c r="C4683" s="5" t="s">
        <v>16</v>
      </c>
      <c r="D4683" s="5" t="s">
        <v>4589</v>
      </c>
      <c r="E4683" s="6" t="str">
        <f>HYPERLINK("https://twitter.com/petrogustavo/status/1246268814435680262","1246268814435680262")</f>
        <v>1246268814435680262</v>
      </c>
      <c r="F4683" s="7" t="s">
        <v>17</v>
      </c>
      <c r="G4683" s="7">
        <v>3738364</v>
      </c>
      <c r="H4683" s="7">
        <v>2376</v>
      </c>
      <c r="I4683" s="7">
        <v>646</v>
      </c>
      <c r="J4683" s="7">
        <v>0</v>
      </c>
      <c r="K4683" s="7" t="s">
        <v>18</v>
      </c>
      <c r="L4683" s="8">
        <v>39987.315405092595</v>
      </c>
      <c r="M4683" s="9" t="s">
        <v>19</v>
      </c>
      <c r="N4683" s="9" t="s">
        <v>20</v>
      </c>
      <c r="O4683" s="6" t="str">
        <f>HYPERLINK("https://pbs.twimg.com/profile_images/962471262747529216/Uo8lOkRJ_normal.jpg","View")</f>
        <v>View</v>
      </c>
      <c r="P4683" s="7"/>
    </row>
    <row r="4684" spans="1:16">
      <c r="A4684" s="3">
        <v>43925.347858796296</v>
      </c>
      <c r="B4684" s="4" t="str">
        <f>HYPERLINK("https://twitter.com/petrogustavo","@petrogustavo")</f>
        <v>@petrogustavo</v>
      </c>
      <c r="C4684" s="5" t="s">
        <v>16</v>
      </c>
      <c r="D4684" s="5" t="s">
        <v>4590</v>
      </c>
      <c r="E4684" s="6" t="str">
        <f>HYPERLINK("https://twitter.com/petrogustavo/status/1246268986691592197","1246268986691592197")</f>
        <v>1246268986691592197</v>
      </c>
      <c r="F4684" s="7" t="s">
        <v>17</v>
      </c>
      <c r="G4684" s="7">
        <v>3738364</v>
      </c>
      <c r="H4684" s="7">
        <v>2376</v>
      </c>
      <c r="I4684" s="7">
        <v>106</v>
      </c>
      <c r="J4684" s="7">
        <v>0</v>
      </c>
      <c r="K4684" s="7" t="s">
        <v>18</v>
      </c>
      <c r="L4684" s="8">
        <v>39987.315405092595</v>
      </c>
      <c r="M4684" s="9" t="s">
        <v>19</v>
      </c>
      <c r="N4684" s="9" t="s">
        <v>20</v>
      </c>
      <c r="O4684" s="6" t="str">
        <f>HYPERLINK("https://pbs.twimg.com/profile_images/962471262747529216/Uo8lOkRJ_normal.jpg","View")</f>
        <v>View</v>
      </c>
      <c r="P4684" s="7"/>
    </row>
    <row r="4685" spans="1:16">
      <c r="A4685" s="3">
        <v>43925.353078703702</v>
      </c>
      <c r="B4685" s="4" t="str">
        <f>HYPERLINK("https://twitter.com/petrogustavo","@petrogustavo")</f>
        <v>@petrogustavo</v>
      </c>
      <c r="C4685" s="5" t="s">
        <v>16</v>
      </c>
      <c r="D4685" s="5" t="s">
        <v>4591</v>
      </c>
      <c r="E4685" s="6" t="str">
        <f>HYPERLINK("https://twitter.com/petrogustavo/status/1246270878930911239","1246270878930911239")</f>
        <v>1246270878930911239</v>
      </c>
      <c r="F4685" s="7" t="s">
        <v>17</v>
      </c>
      <c r="G4685" s="7">
        <v>3738364</v>
      </c>
      <c r="H4685" s="7">
        <v>2376</v>
      </c>
      <c r="I4685" s="7">
        <v>83</v>
      </c>
      <c r="J4685" s="7">
        <v>217</v>
      </c>
      <c r="K4685" s="7" t="s">
        <v>18</v>
      </c>
      <c r="L4685" s="8">
        <v>39987.315405092595</v>
      </c>
      <c r="M4685" s="9" t="s">
        <v>19</v>
      </c>
      <c r="N4685" s="9" t="s">
        <v>20</v>
      </c>
      <c r="O4685" s="6" t="str">
        <f>HYPERLINK("https://pbs.twimg.com/profile_images/962471262747529216/Uo8lOkRJ_normal.jpg","View")</f>
        <v>View</v>
      </c>
      <c r="P4685" s="7"/>
    </row>
    <row r="4686" spans="1:16">
      <c r="A4686" s="3">
        <v>43925.357592592598</v>
      </c>
      <c r="B4686" s="4" t="str">
        <f>HYPERLINK("https://twitter.com/petrogustavo","@petrogustavo")</f>
        <v>@petrogustavo</v>
      </c>
      <c r="C4686" s="5" t="s">
        <v>16</v>
      </c>
      <c r="D4686" s="5" t="s">
        <v>4588</v>
      </c>
      <c r="E4686" s="6" t="str">
        <f>HYPERLINK("https://twitter.com/petrogustavo/status/1246272515565125634","1246272515565125634")</f>
        <v>1246272515565125634</v>
      </c>
      <c r="F4686" s="7" t="s">
        <v>17</v>
      </c>
      <c r="G4686" s="7">
        <v>3738437</v>
      </c>
      <c r="H4686" s="7">
        <v>2376</v>
      </c>
      <c r="I4686" s="7">
        <v>392</v>
      </c>
      <c r="J4686" s="7">
        <v>0</v>
      </c>
      <c r="K4686" s="7" t="s">
        <v>18</v>
      </c>
      <c r="L4686" s="8">
        <v>39987.315405092595</v>
      </c>
      <c r="M4686" s="9" t="s">
        <v>19</v>
      </c>
      <c r="N4686" s="9" t="s">
        <v>20</v>
      </c>
      <c r="O4686" s="6" t="str">
        <f>HYPERLINK("https://pbs.twimg.com/profile_images/962471262747529216/Uo8lOkRJ_normal.jpg","View")</f>
        <v>View</v>
      </c>
      <c r="P4686" s="7"/>
    </row>
    <row r="4687" spans="1:16">
      <c r="A4687" s="3">
        <v>43925.808622685188</v>
      </c>
      <c r="B4687" s="4" t="str">
        <f>HYPERLINK("https://twitter.com/petrogustavo","@petrogustavo")</f>
        <v>@petrogustavo</v>
      </c>
      <c r="C4687" s="5" t="s">
        <v>16</v>
      </c>
      <c r="D4687" s="5" t="s">
        <v>4592</v>
      </c>
      <c r="E4687" s="6" t="str">
        <f>HYPERLINK("https://twitter.com/petrogustavo/status/1246435962906972170","1246435962906972170")</f>
        <v>1246435962906972170</v>
      </c>
      <c r="F4687" s="7" t="s">
        <v>17</v>
      </c>
      <c r="G4687" s="7">
        <v>3739153</v>
      </c>
      <c r="H4687" s="7">
        <v>2376</v>
      </c>
      <c r="I4687" s="7">
        <v>43</v>
      </c>
      <c r="J4687" s="7">
        <v>135</v>
      </c>
      <c r="K4687" s="7" t="s">
        <v>18</v>
      </c>
      <c r="L4687" s="8">
        <v>39987.315405092595</v>
      </c>
      <c r="M4687" s="9" t="s">
        <v>19</v>
      </c>
      <c r="N4687" s="9" t="s">
        <v>20</v>
      </c>
      <c r="O4687" s="6" t="str">
        <f>HYPERLINK("https://pbs.twimg.com/profile_images/962471262747529216/Uo8lOkRJ_normal.jpg","View")</f>
        <v>View</v>
      </c>
      <c r="P4687" s="7"/>
    </row>
    <row r="4688" spans="1:16">
      <c r="A4688" s="3">
        <v>43925.810833333337</v>
      </c>
      <c r="B4688" s="4" t="str">
        <f>HYPERLINK("https://twitter.com/petrogustavo","@petrogustavo")</f>
        <v>@petrogustavo</v>
      </c>
      <c r="C4688" s="5" t="s">
        <v>16</v>
      </c>
      <c r="D4688" s="5" t="s">
        <v>4593</v>
      </c>
      <c r="E4688" s="6" t="str">
        <f>HYPERLINK("https://twitter.com/petrogustavo/status/1246436763746304006","1246436763746304006")</f>
        <v>1246436763746304006</v>
      </c>
      <c r="F4688" s="7" t="s">
        <v>17</v>
      </c>
      <c r="G4688" s="7">
        <v>3739153</v>
      </c>
      <c r="H4688" s="7">
        <v>2376</v>
      </c>
      <c r="I4688" s="7">
        <v>3750</v>
      </c>
      <c r="J4688" s="7">
        <v>0</v>
      </c>
      <c r="K4688" s="7" t="s">
        <v>18</v>
      </c>
      <c r="L4688" s="8">
        <v>39987.315405092595</v>
      </c>
      <c r="M4688" s="9" t="s">
        <v>19</v>
      </c>
      <c r="N4688" s="9" t="s">
        <v>20</v>
      </c>
      <c r="O4688" s="6" t="str">
        <f>HYPERLINK("https://pbs.twimg.com/profile_images/962471262747529216/Uo8lOkRJ_normal.jpg","View")</f>
        <v>View</v>
      </c>
      <c r="P4688" s="7"/>
    </row>
    <row r="4689" spans="1:16">
      <c r="A4689" s="3">
        <v>43925.81631944445</v>
      </c>
      <c r="B4689" s="4" t="str">
        <f>HYPERLINK("https://twitter.com/petrogustavo","@petrogustavo")</f>
        <v>@petrogustavo</v>
      </c>
      <c r="C4689" s="5" t="s">
        <v>16</v>
      </c>
      <c r="D4689" s="5" t="s">
        <v>4594</v>
      </c>
      <c r="E4689" s="6" t="str">
        <f>HYPERLINK("https://twitter.com/petrogustavo/status/1246438752509210625","1246438752509210625")</f>
        <v>1246438752509210625</v>
      </c>
      <c r="F4689" s="7" t="s">
        <v>17</v>
      </c>
      <c r="G4689" s="7">
        <v>3739197</v>
      </c>
      <c r="H4689" s="7">
        <v>2376</v>
      </c>
      <c r="I4689" s="7">
        <v>107</v>
      </c>
      <c r="J4689" s="7">
        <v>191</v>
      </c>
      <c r="K4689" s="7" t="s">
        <v>18</v>
      </c>
      <c r="L4689" s="8">
        <v>39987.315405092595</v>
      </c>
      <c r="M4689" s="9" t="s">
        <v>19</v>
      </c>
      <c r="N4689" s="9" t="s">
        <v>20</v>
      </c>
      <c r="O4689" s="6" t="str">
        <f>HYPERLINK("https://pbs.twimg.com/profile_images/962471262747529216/Uo8lOkRJ_normal.jpg","View")</f>
        <v>View</v>
      </c>
      <c r="P4689" s="7"/>
    </row>
    <row r="4690" spans="1:16">
      <c r="A4690" s="3">
        <v>43925.818773148145</v>
      </c>
      <c r="B4690" s="4" t="str">
        <f>HYPERLINK("https://twitter.com/petrogustavo","@petrogustavo")</f>
        <v>@petrogustavo</v>
      </c>
      <c r="C4690" s="5" t="s">
        <v>16</v>
      </c>
      <c r="D4690" s="5" t="s">
        <v>4595</v>
      </c>
      <c r="E4690" s="6" t="str">
        <f>HYPERLINK("https://twitter.com/petrogustavo/status/1246439639591813122","1246439639591813122")</f>
        <v>1246439639591813122</v>
      </c>
      <c r="F4690" s="7" t="s">
        <v>17</v>
      </c>
      <c r="G4690" s="7">
        <v>3739197</v>
      </c>
      <c r="H4690" s="7">
        <v>2376</v>
      </c>
      <c r="I4690" s="7">
        <v>54</v>
      </c>
      <c r="J4690" s="7">
        <v>0</v>
      </c>
      <c r="K4690" s="7" t="s">
        <v>18</v>
      </c>
      <c r="L4690" s="8">
        <v>39987.315405092595</v>
      </c>
      <c r="M4690" s="9" t="s">
        <v>19</v>
      </c>
      <c r="N4690" s="9" t="s">
        <v>20</v>
      </c>
      <c r="O4690" s="6" t="str">
        <f>HYPERLINK("https://pbs.twimg.com/profile_images/962471262747529216/Uo8lOkRJ_normal.jpg","View")</f>
        <v>View</v>
      </c>
      <c r="P4690" s="7"/>
    </row>
    <row r="4691" spans="1:16">
      <c r="A4691" s="3">
        <v>43925.819004629629</v>
      </c>
      <c r="B4691" s="4" t="str">
        <f>HYPERLINK("https://twitter.com/petrogustavo","@petrogustavo")</f>
        <v>@petrogustavo</v>
      </c>
      <c r="C4691" s="5" t="s">
        <v>16</v>
      </c>
      <c r="D4691" s="5" t="s">
        <v>4596</v>
      </c>
      <c r="E4691" s="6" t="str">
        <f>HYPERLINK("https://twitter.com/petrogustavo/status/1246439723230429187","1246439723230429187")</f>
        <v>1246439723230429187</v>
      </c>
      <c r="F4691" s="7" t="s">
        <v>17</v>
      </c>
      <c r="G4691" s="7">
        <v>3739197</v>
      </c>
      <c r="H4691" s="7">
        <v>2376</v>
      </c>
      <c r="I4691" s="7">
        <v>12</v>
      </c>
      <c r="J4691" s="7">
        <v>0</v>
      </c>
      <c r="K4691" s="7" t="s">
        <v>18</v>
      </c>
      <c r="L4691" s="8">
        <v>39987.315405092595</v>
      </c>
      <c r="M4691" s="9" t="s">
        <v>19</v>
      </c>
      <c r="N4691" s="9" t="s">
        <v>20</v>
      </c>
      <c r="O4691" s="6" t="str">
        <f>HYPERLINK("https://pbs.twimg.com/profile_images/962471262747529216/Uo8lOkRJ_normal.jpg","View")</f>
        <v>View</v>
      </c>
      <c r="P4691" s="7"/>
    </row>
    <row r="4692" spans="1:16">
      <c r="A4692" s="3">
        <v>43925.820034722223</v>
      </c>
      <c r="B4692" s="4" t="str">
        <f>HYPERLINK("https://twitter.com/petrogustavo","@petrogustavo")</f>
        <v>@petrogustavo</v>
      </c>
      <c r="C4692" s="5" t="s">
        <v>16</v>
      </c>
      <c r="D4692" s="5" t="s">
        <v>4597</v>
      </c>
      <c r="E4692" s="6" t="str">
        <f>HYPERLINK("https://twitter.com/petrogustavo/status/1246440096318005252","1246440096318005252")</f>
        <v>1246440096318005252</v>
      </c>
      <c r="F4692" s="7" t="s">
        <v>17</v>
      </c>
      <c r="G4692" s="7">
        <v>3739197</v>
      </c>
      <c r="H4692" s="7">
        <v>2376</v>
      </c>
      <c r="I4692" s="7">
        <v>165</v>
      </c>
      <c r="J4692" s="7">
        <v>0</v>
      </c>
      <c r="K4692" s="7" t="s">
        <v>18</v>
      </c>
      <c r="L4692" s="8">
        <v>39987.315405092595</v>
      </c>
      <c r="M4692" s="9" t="s">
        <v>19</v>
      </c>
      <c r="N4692" s="9" t="s">
        <v>20</v>
      </c>
      <c r="O4692" s="6" t="str">
        <f>HYPERLINK("https://pbs.twimg.com/profile_images/962471262747529216/Uo8lOkRJ_normal.jpg","View")</f>
        <v>View</v>
      </c>
      <c r="P4692" s="7"/>
    </row>
    <row r="4693" spans="1:16">
      <c r="A4693" s="3">
        <v>43925.820856481485</v>
      </c>
      <c r="B4693" s="4" t="str">
        <f>HYPERLINK("https://twitter.com/petrogustavo","@petrogustavo")</f>
        <v>@petrogustavo</v>
      </c>
      <c r="C4693" s="5" t="s">
        <v>16</v>
      </c>
      <c r="D4693" s="5" t="s">
        <v>4598</v>
      </c>
      <c r="E4693" s="6" t="str">
        <f>HYPERLINK("https://twitter.com/petrogustavo/status/1246440395485167616","1246440395485167616")</f>
        <v>1246440395485167616</v>
      </c>
      <c r="F4693" s="7" t="s">
        <v>17</v>
      </c>
      <c r="G4693" s="7">
        <v>3739197</v>
      </c>
      <c r="H4693" s="7">
        <v>2376</v>
      </c>
      <c r="I4693" s="7">
        <v>365</v>
      </c>
      <c r="J4693" s="7">
        <v>0</v>
      </c>
      <c r="K4693" s="7" t="s">
        <v>18</v>
      </c>
      <c r="L4693" s="8">
        <v>39987.315405092595</v>
      </c>
      <c r="M4693" s="9" t="s">
        <v>19</v>
      </c>
      <c r="N4693" s="9" t="s">
        <v>20</v>
      </c>
      <c r="O4693" s="6" t="str">
        <f>HYPERLINK("https://pbs.twimg.com/profile_images/962471262747529216/Uo8lOkRJ_normal.jpg","View")</f>
        <v>View</v>
      </c>
      <c r="P4693" s="7"/>
    </row>
    <row r="4694" spans="1:16">
      <c r="A4694" s="3">
        <v>43925.822743055556</v>
      </c>
      <c r="B4694" s="4" t="str">
        <f>HYPERLINK("https://twitter.com/petrogustavo","@petrogustavo")</f>
        <v>@petrogustavo</v>
      </c>
      <c r="C4694" s="5" t="s">
        <v>16</v>
      </c>
      <c r="D4694" s="5" t="s">
        <v>4599</v>
      </c>
      <c r="E4694" s="6" t="str">
        <f>HYPERLINK("https://twitter.com/petrogustavo/status/1246441079249031168","1246441079249031168")</f>
        <v>1246441079249031168</v>
      </c>
      <c r="F4694" s="7" t="s">
        <v>17</v>
      </c>
      <c r="G4694" s="7">
        <v>3739197</v>
      </c>
      <c r="H4694" s="7">
        <v>2376</v>
      </c>
      <c r="I4694" s="7">
        <v>986</v>
      </c>
      <c r="J4694" s="7">
        <v>0</v>
      </c>
      <c r="K4694" s="7" t="s">
        <v>18</v>
      </c>
      <c r="L4694" s="8">
        <v>39987.315405092595</v>
      </c>
      <c r="M4694" s="9" t="s">
        <v>19</v>
      </c>
      <c r="N4694" s="9" t="s">
        <v>20</v>
      </c>
      <c r="O4694" s="6" t="str">
        <f>HYPERLINK("https://pbs.twimg.com/profile_images/962471262747529216/Uo8lOkRJ_normal.jpg","View")</f>
        <v>View</v>
      </c>
      <c r="P4694" s="7"/>
    </row>
    <row r="4695" spans="1:16">
      <c r="A4695" s="3">
        <v>43925.823657407411</v>
      </c>
      <c r="B4695" s="4" t="str">
        <f>HYPERLINK("https://twitter.com/petrogustavo","@petrogustavo")</f>
        <v>@petrogustavo</v>
      </c>
      <c r="C4695" s="5" t="s">
        <v>16</v>
      </c>
      <c r="D4695" s="5" t="s">
        <v>4600</v>
      </c>
      <c r="E4695" s="6" t="str">
        <f>HYPERLINK("https://twitter.com/petrogustavo/status/1246441411735695360","1246441411735695360")</f>
        <v>1246441411735695360</v>
      </c>
      <c r="F4695" s="7" t="s">
        <v>17</v>
      </c>
      <c r="G4695" s="7">
        <v>3739197</v>
      </c>
      <c r="H4695" s="7">
        <v>2376</v>
      </c>
      <c r="I4695" s="7">
        <v>98</v>
      </c>
      <c r="J4695" s="7">
        <v>0</v>
      </c>
      <c r="K4695" s="7" t="s">
        <v>18</v>
      </c>
      <c r="L4695" s="8">
        <v>39987.315405092595</v>
      </c>
      <c r="M4695" s="9" t="s">
        <v>19</v>
      </c>
      <c r="N4695" s="9" t="s">
        <v>20</v>
      </c>
      <c r="O4695" s="6" t="str">
        <f>HYPERLINK("https://pbs.twimg.com/profile_images/962471262747529216/Uo8lOkRJ_normal.jpg","View")</f>
        <v>View</v>
      </c>
      <c r="P4695" s="7"/>
    </row>
    <row r="4696" spans="1:16">
      <c r="A4696" s="3">
        <v>43925.824247685188</v>
      </c>
      <c r="B4696" s="4" t="str">
        <f>HYPERLINK("https://twitter.com/petrogustavo","@petrogustavo")</f>
        <v>@petrogustavo</v>
      </c>
      <c r="C4696" s="5" t="s">
        <v>16</v>
      </c>
      <c r="D4696" s="5" t="s">
        <v>4601</v>
      </c>
      <c r="E4696" s="6" t="str">
        <f>HYPERLINK("https://twitter.com/petrogustavo/status/1246441623740964865","1246441623740964865")</f>
        <v>1246441623740964865</v>
      </c>
      <c r="F4696" s="7" t="s">
        <v>17</v>
      </c>
      <c r="G4696" s="7">
        <v>3739197</v>
      </c>
      <c r="H4696" s="7">
        <v>2376</v>
      </c>
      <c r="I4696" s="7">
        <v>1084</v>
      </c>
      <c r="J4696" s="7">
        <v>0</v>
      </c>
      <c r="K4696" s="7" t="s">
        <v>18</v>
      </c>
      <c r="L4696" s="8">
        <v>39987.315405092595</v>
      </c>
      <c r="M4696" s="9" t="s">
        <v>19</v>
      </c>
      <c r="N4696" s="9" t="s">
        <v>20</v>
      </c>
      <c r="O4696" s="6" t="str">
        <f>HYPERLINK("https://pbs.twimg.com/profile_images/962471262747529216/Uo8lOkRJ_normal.jpg","View")</f>
        <v>View</v>
      </c>
      <c r="P4696" s="7"/>
    </row>
    <row r="4697" spans="1:16">
      <c r="A4697" s="3">
        <v>43925.824710648143</v>
      </c>
      <c r="B4697" s="4" t="str">
        <f>HYPERLINK("https://twitter.com/petrogustavo","@petrogustavo")</f>
        <v>@petrogustavo</v>
      </c>
      <c r="C4697" s="5" t="s">
        <v>16</v>
      </c>
      <c r="D4697" s="5" t="s">
        <v>4602</v>
      </c>
      <c r="E4697" s="6" t="str">
        <f>HYPERLINK("https://twitter.com/petrogustavo/status/1246441790691069952","1246441790691069952")</f>
        <v>1246441790691069952</v>
      </c>
      <c r="F4697" s="7" t="s">
        <v>17</v>
      </c>
      <c r="G4697" s="7">
        <v>3739197</v>
      </c>
      <c r="H4697" s="7">
        <v>2376</v>
      </c>
      <c r="I4697" s="7">
        <v>1620</v>
      </c>
      <c r="J4697" s="7">
        <v>0</v>
      </c>
      <c r="K4697" s="7" t="s">
        <v>18</v>
      </c>
      <c r="L4697" s="8">
        <v>39987.315405092595</v>
      </c>
      <c r="M4697" s="9" t="s">
        <v>19</v>
      </c>
      <c r="N4697" s="9" t="s">
        <v>20</v>
      </c>
      <c r="O4697" s="6" t="str">
        <f>HYPERLINK("https://pbs.twimg.com/profile_images/962471262747529216/Uo8lOkRJ_normal.jpg","View")</f>
        <v>View</v>
      </c>
      <c r="P4697" s="7"/>
    </row>
    <row r="4698" spans="1:16">
      <c r="A4698" s="3">
        <v>43925.82775462963</v>
      </c>
      <c r="B4698" s="4" t="str">
        <f>HYPERLINK("https://twitter.com/petrogustavo","@petrogustavo")</f>
        <v>@petrogustavo</v>
      </c>
      <c r="C4698" s="5" t="s">
        <v>16</v>
      </c>
      <c r="D4698" s="5" t="s">
        <v>4603</v>
      </c>
      <c r="E4698" s="6" t="str">
        <f>HYPERLINK("https://twitter.com/petrogustavo/status/1246442893486837762","1246442893486837762")</f>
        <v>1246442893486837762</v>
      </c>
      <c r="F4698" s="7" t="s">
        <v>17</v>
      </c>
      <c r="G4698" s="7">
        <v>3739197</v>
      </c>
      <c r="H4698" s="7">
        <v>2376</v>
      </c>
      <c r="I4698" s="7">
        <v>63</v>
      </c>
      <c r="J4698" s="7">
        <v>0</v>
      </c>
      <c r="K4698" s="7" t="s">
        <v>18</v>
      </c>
      <c r="L4698" s="8">
        <v>39987.315405092595</v>
      </c>
      <c r="M4698" s="9" t="s">
        <v>19</v>
      </c>
      <c r="N4698" s="9" t="s">
        <v>20</v>
      </c>
      <c r="O4698" s="6" t="str">
        <f>HYPERLINK("https://pbs.twimg.com/profile_images/962471262747529216/Uo8lOkRJ_normal.jpg","View")</f>
        <v>View</v>
      </c>
      <c r="P4698" s="7"/>
    </row>
    <row r="4699" spans="1:16">
      <c r="A4699" s="3">
        <v>43925.832604166666</v>
      </c>
      <c r="B4699" s="4" t="str">
        <f>HYPERLINK("https://twitter.com/petrogustavo","@petrogustavo")</f>
        <v>@petrogustavo</v>
      </c>
      <c r="C4699" s="5" t="s">
        <v>16</v>
      </c>
      <c r="D4699" s="5" t="s">
        <v>4604</v>
      </c>
      <c r="E4699" s="6" t="str">
        <f>HYPERLINK("https://twitter.com/petrogustavo/status/1246444651176808448","1246444651176808448")</f>
        <v>1246444651176808448</v>
      </c>
      <c r="F4699" s="7" t="s">
        <v>17</v>
      </c>
      <c r="G4699" s="7">
        <v>3739197</v>
      </c>
      <c r="H4699" s="7">
        <v>2376</v>
      </c>
      <c r="I4699" s="7">
        <v>40</v>
      </c>
      <c r="J4699" s="7">
        <v>79</v>
      </c>
      <c r="K4699" s="7" t="s">
        <v>18</v>
      </c>
      <c r="L4699" s="8">
        <v>39987.315405092595</v>
      </c>
      <c r="M4699" s="9" t="s">
        <v>19</v>
      </c>
      <c r="N4699" s="9" t="s">
        <v>20</v>
      </c>
      <c r="O4699" s="6" t="str">
        <f>HYPERLINK("https://pbs.twimg.com/profile_images/962471262747529216/Uo8lOkRJ_normal.jpg","View")</f>
        <v>View</v>
      </c>
      <c r="P4699" s="7"/>
    </row>
    <row r="4700" spans="1:16">
      <c r="A4700" s="3">
        <v>43925.845763888894</v>
      </c>
      <c r="B4700" s="4" t="str">
        <f>HYPERLINK("https://twitter.com/petrogustavo","@petrogustavo")</f>
        <v>@petrogustavo</v>
      </c>
      <c r="C4700" s="5" t="s">
        <v>16</v>
      </c>
      <c r="D4700" s="5" t="s">
        <v>4605</v>
      </c>
      <c r="E4700" s="6" t="str">
        <f>HYPERLINK("https://twitter.com/petrogustavo/status/1246449421644152833","1246449421644152833")</f>
        <v>1246449421644152833</v>
      </c>
      <c r="F4700" s="7" t="s">
        <v>17</v>
      </c>
      <c r="G4700" s="7">
        <v>3739257</v>
      </c>
      <c r="H4700" s="7">
        <v>2376</v>
      </c>
      <c r="I4700" s="7">
        <v>1159</v>
      </c>
      <c r="J4700" s="7">
        <v>0</v>
      </c>
      <c r="K4700" s="7" t="s">
        <v>18</v>
      </c>
      <c r="L4700" s="8">
        <v>39987.315405092595</v>
      </c>
      <c r="M4700" s="9" t="s">
        <v>19</v>
      </c>
      <c r="N4700" s="9" t="s">
        <v>20</v>
      </c>
      <c r="O4700" s="6" t="str">
        <f>HYPERLINK("https://pbs.twimg.com/profile_images/962471262747529216/Uo8lOkRJ_normal.jpg","View")</f>
        <v>View</v>
      </c>
      <c r="P4700" s="7"/>
    </row>
    <row r="4701" spans="1:16">
      <c r="A4701" s="3">
        <v>43925.850775462968</v>
      </c>
      <c r="B4701" s="4" t="str">
        <f>HYPERLINK("https://twitter.com/petrogustavo","@petrogustavo")</f>
        <v>@petrogustavo</v>
      </c>
      <c r="C4701" s="5" t="s">
        <v>16</v>
      </c>
      <c r="D4701" s="5" t="s">
        <v>4606</v>
      </c>
      <c r="E4701" s="6" t="str">
        <f>HYPERLINK("https://twitter.com/petrogustavo/status/1246451236934746123","1246451236934746123")</f>
        <v>1246451236934746123</v>
      </c>
      <c r="F4701" s="7" t="s">
        <v>17</v>
      </c>
      <c r="G4701" s="7">
        <v>3739257</v>
      </c>
      <c r="H4701" s="7">
        <v>2376</v>
      </c>
      <c r="I4701" s="7">
        <v>34</v>
      </c>
      <c r="J4701" s="7">
        <v>108</v>
      </c>
      <c r="K4701" s="7" t="s">
        <v>18</v>
      </c>
      <c r="L4701" s="8">
        <v>39987.315405092595</v>
      </c>
      <c r="M4701" s="9" t="s">
        <v>19</v>
      </c>
      <c r="N4701" s="9" t="s">
        <v>20</v>
      </c>
      <c r="O4701" s="6" t="str">
        <f>HYPERLINK("https://pbs.twimg.com/profile_images/962471262747529216/Uo8lOkRJ_normal.jpg","View")</f>
        <v>View</v>
      </c>
      <c r="P4701" s="7"/>
    </row>
    <row r="4702" spans="1:16">
      <c r="A4702" s="3">
        <v>43925.863611111112</v>
      </c>
      <c r="B4702" s="4" t="str">
        <f>HYPERLINK("https://twitter.com/petrogustavo","@petrogustavo")</f>
        <v>@petrogustavo</v>
      </c>
      <c r="C4702" s="5" t="s">
        <v>16</v>
      </c>
      <c r="D4702" s="5" t="s">
        <v>4607</v>
      </c>
      <c r="E4702" s="6" t="str">
        <f>HYPERLINK("https://twitter.com/petrogustavo/status/1246455889273466880","1246455889273466880")</f>
        <v>1246455889273466880</v>
      </c>
      <c r="F4702" s="7" t="s">
        <v>17</v>
      </c>
      <c r="G4702" s="7">
        <v>3739337</v>
      </c>
      <c r="H4702" s="7">
        <v>2376</v>
      </c>
      <c r="I4702" s="7">
        <v>199</v>
      </c>
      <c r="J4702" s="7">
        <v>399</v>
      </c>
      <c r="K4702" s="7" t="s">
        <v>18</v>
      </c>
      <c r="L4702" s="8">
        <v>39987.315405092595</v>
      </c>
      <c r="M4702" s="9" t="s">
        <v>19</v>
      </c>
      <c r="N4702" s="9" t="s">
        <v>20</v>
      </c>
      <c r="O4702" s="6" t="str">
        <f>HYPERLINK("https://pbs.twimg.com/profile_images/962471262747529216/Uo8lOkRJ_normal.jpg","View")</f>
        <v>View</v>
      </c>
      <c r="P4702" s="7"/>
    </row>
    <row r="4703" spans="1:16">
      <c r="A4703" s="3">
        <v>43925.877592592587</v>
      </c>
      <c r="B4703" s="4" t="str">
        <f>HYPERLINK("https://twitter.com/petrogustavo","@petrogustavo")</f>
        <v>@petrogustavo</v>
      </c>
      <c r="C4703" s="5" t="s">
        <v>16</v>
      </c>
      <c r="D4703" s="5" t="s">
        <v>4608</v>
      </c>
      <c r="E4703" s="6" t="str">
        <f>HYPERLINK("https://twitter.com/petrogustavo/status/1246460953945915399","1246460953945915399")</f>
        <v>1246460953945915399</v>
      </c>
      <c r="F4703" s="7" t="s">
        <v>17</v>
      </c>
      <c r="G4703" s="7">
        <v>3739410</v>
      </c>
      <c r="H4703" s="7">
        <v>2376</v>
      </c>
      <c r="I4703" s="7">
        <v>63</v>
      </c>
      <c r="J4703" s="7">
        <v>0</v>
      </c>
      <c r="K4703" s="7" t="s">
        <v>18</v>
      </c>
      <c r="L4703" s="8">
        <v>39987.315405092595</v>
      </c>
      <c r="M4703" s="9" t="s">
        <v>19</v>
      </c>
      <c r="N4703" s="9" t="s">
        <v>20</v>
      </c>
      <c r="O4703" s="6" t="str">
        <f>HYPERLINK("https://pbs.twimg.com/profile_images/962471262747529216/Uo8lOkRJ_normal.jpg","View")</f>
        <v>View</v>
      </c>
      <c r="P4703" s="7"/>
    </row>
    <row r="4704" spans="1:16">
      <c r="A4704" s="3">
        <v>43925.880370370374</v>
      </c>
      <c r="B4704" s="4" t="str">
        <f>HYPERLINK("https://twitter.com/petrogustavo","@petrogustavo")</f>
        <v>@petrogustavo</v>
      </c>
      <c r="C4704" s="5" t="s">
        <v>16</v>
      </c>
      <c r="D4704" s="5" t="s">
        <v>4609</v>
      </c>
      <c r="E4704" s="6" t="str">
        <f>HYPERLINK("https://twitter.com/petrogustavo/status/1246461962751488001","1246461962751488001")</f>
        <v>1246461962751488001</v>
      </c>
      <c r="F4704" s="7" t="s">
        <v>17</v>
      </c>
      <c r="G4704" s="7">
        <v>3739410</v>
      </c>
      <c r="H4704" s="7">
        <v>2376</v>
      </c>
      <c r="I4704" s="7">
        <v>178</v>
      </c>
      <c r="J4704" s="7">
        <v>430</v>
      </c>
      <c r="K4704" s="7" t="s">
        <v>18</v>
      </c>
      <c r="L4704" s="8">
        <v>39987.315405092595</v>
      </c>
      <c r="M4704" s="9" t="s">
        <v>19</v>
      </c>
      <c r="N4704" s="9" t="s">
        <v>20</v>
      </c>
      <c r="O4704" s="6" t="str">
        <f>HYPERLINK("https://pbs.twimg.com/profile_images/962471262747529216/Uo8lOkRJ_normal.jpg","View")</f>
        <v>View</v>
      </c>
      <c r="P4704" s="7"/>
    </row>
    <row r="4705" spans="1:16">
      <c r="A4705" s="3">
        <v>43925.883888888886</v>
      </c>
      <c r="B4705" s="4" t="str">
        <f>HYPERLINK("https://twitter.com/petrogustavo","@petrogustavo")</f>
        <v>@petrogustavo</v>
      </c>
      <c r="C4705" s="5" t="s">
        <v>16</v>
      </c>
      <c r="D4705" s="5" t="s">
        <v>4610</v>
      </c>
      <c r="E4705" s="6" t="str">
        <f>HYPERLINK("https://twitter.com/petrogustavo/status/1246463238054629377","1246463238054629377")</f>
        <v>1246463238054629377</v>
      </c>
      <c r="F4705" s="7" t="s">
        <v>17</v>
      </c>
      <c r="G4705" s="7">
        <v>3739410</v>
      </c>
      <c r="H4705" s="7">
        <v>2376</v>
      </c>
      <c r="I4705" s="7">
        <v>305</v>
      </c>
      <c r="J4705" s="7">
        <v>0</v>
      </c>
      <c r="K4705" s="7" t="s">
        <v>18</v>
      </c>
      <c r="L4705" s="8">
        <v>39987.315405092595</v>
      </c>
      <c r="M4705" s="9" t="s">
        <v>19</v>
      </c>
      <c r="N4705" s="9" t="s">
        <v>20</v>
      </c>
      <c r="O4705" s="6" t="str">
        <f>HYPERLINK("https://pbs.twimg.com/profile_images/962471262747529216/Uo8lOkRJ_normal.jpg","View")</f>
        <v>View</v>
      </c>
      <c r="P4705" s="7"/>
    </row>
    <row r="4706" spans="1:16">
      <c r="A4706" s="3">
        <v>43925.893275462964</v>
      </c>
      <c r="B4706" s="4" t="str">
        <f>HYPERLINK("https://twitter.com/petrogustavo","@petrogustavo")</f>
        <v>@petrogustavo</v>
      </c>
      <c r="C4706" s="5" t="s">
        <v>16</v>
      </c>
      <c r="D4706" s="5" t="s">
        <v>4611</v>
      </c>
      <c r="E4706" s="6" t="str">
        <f>HYPERLINK("https://twitter.com/petrogustavo/status/1246466639350169600","1246466639350169600")</f>
        <v>1246466639350169600</v>
      </c>
      <c r="F4706" s="7" t="s">
        <v>17</v>
      </c>
      <c r="G4706" s="7">
        <v>3739410</v>
      </c>
      <c r="H4706" s="7">
        <v>2376</v>
      </c>
      <c r="I4706" s="7">
        <v>125</v>
      </c>
      <c r="J4706" s="7">
        <v>188</v>
      </c>
      <c r="K4706" s="7" t="s">
        <v>18</v>
      </c>
      <c r="L4706" s="8">
        <v>39987.315405092595</v>
      </c>
      <c r="M4706" s="9" t="s">
        <v>19</v>
      </c>
      <c r="N4706" s="9" t="s">
        <v>20</v>
      </c>
      <c r="O4706" s="6" t="str">
        <f>HYPERLINK("https://pbs.twimg.com/profile_images/962471262747529216/Uo8lOkRJ_normal.jpg","View")</f>
        <v>View</v>
      </c>
      <c r="P4706" s="7"/>
    </row>
    <row r="4707" spans="1:16">
      <c r="A4707" s="3">
        <v>43925.901666666672</v>
      </c>
      <c r="B4707" s="4" t="str">
        <f>HYPERLINK("https://twitter.com/petrogustavo","@petrogustavo")</f>
        <v>@petrogustavo</v>
      </c>
      <c r="C4707" s="5" t="s">
        <v>16</v>
      </c>
      <c r="D4707" s="5" t="s">
        <v>4612</v>
      </c>
      <c r="E4707" s="6" t="str">
        <f>HYPERLINK("https://twitter.com/petrogustavo/status/1246469678706429952","1246469678706429952")</f>
        <v>1246469678706429952</v>
      </c>
      <c r="F4707" s="7" t="s">
        <v>17</v>
      </c>
      <c r="G4707" s="7">
        <v>3739461</v>
      </c>
      <c r="H4707" s="7">
        <v>2375</v>
      </c>
      <c r="I4707" s="7">
        <v>32</v>
      </c>
      <c r="J4707" s="7">
        <v>95</v>
      </c>
      <c r="K4707" s="7" t="s">
        <v>18</v>
      </c>
      <c r="L4707" s="8">
        <v>39987.315405092595</v>
      </c>
      <c r="M4707" s="9" t="s">
        <v>19</v>
      </c>
      <c r="N4707" s="9" t="s">
        <v>20</v>
      </c>
      <c r="O4707" s="6" t="str">
        <f>HYPERLINK("https://pbs.twimg.com/profile_images/962471262747529216/Uo8lOkRJ_normal.jpg","View")</f>
        <v>View</v>
      </c>
      <c r="P4707" s="7"/>
    </row>
    <row r="4708" spans="1:16">
      <c r="A4708" s="3">
        <v>43925.90289351852</v>
      </c>
      <c r="B4708" s="4" t="str">
        <f>HYPERLINK("https://twitter.com/petrogustavo","@petrogustavo")</f>
        <v>@petrogustavo</v>
      </c>
      <c r="C4708" s="5" t="s">
        <v>16</v>
      </c>
      <c r="D4708" s="5" t="s">
        <v>4613</v>
      </c>
      <c r="E4708" s="6" t="str">
        <f>HYPERLINK("https://twitter.com/petrogustavo/status/1246470125273874432","1246470125273874432")</f>
        <v>1246470125273874432</v>
      </c>
      <c r="F4708" s="7" t="s">
        <v>17</v>
      </c>
      <c r="G4708" s="7">
        <v>3739461</v>
      </c>
      <c r="H4708" s="7">
        <v>2375</v>
      </c>
      <c r="I4708" s="7">
        <v>1549</v>
      </c>
      <c r="J4708" s="7">
        <v>0</v>
      </c>
      <c r="K4708" s="7" t="s">
        <v>18</v>
      </c>
      <c r="L4708" s="8">
        <v>39987.315405092595</v>
      </c>
      <c r="M4708" s="9" t="s">
        <v>19</v>
      </c>
      <c r="N4708" s="9" t="s">
        <v>20</v>
      </c>
      <c r="O4708" s="6" t="str">
        <f>HYPERLINK("https://pbs.twimg.com/profile_images/962471262747529216/Uo8lOkRJ_normal.jpg","View")</f>
        <v>View</v>
      </c>
      <c r="P4708" s="7"/>
    </row>
    <row r="4709" spans="1:16">
      <c r="A4709" s="3">
        <v>43925.916087962964</v>
      </c>
      <c r="B4709" s="4" t="str">
        <f>HYPERLINK("https://twitter.com/petrogustavo","@petrogustavo")</f>
        <v>@petrogustavo</v>
      </c>
      <c r="C4709" s="5" t="s">
        <v>16</v>
      </c>
      <c r="D4709" s="5" t="s">
        <v>4614</v>
      </c>
      <c r="E4709" s="6" t="str">
        <f>HYPERLINK("https://twitter.com/petrogustavo/status/1246474905836756994","1246474905836756994")</f>
        <v>1246474905836756994</v>
      </c>
      <c r="F4709" s="7" t="s">
        <v>17</v>
      </c>
      <c r="G4709" s="7">
        <v>3739461</v>
      </c>
      <c r="H4709" s="7">
        <v>2375</v>
      </c>
      <c r="I4709" s="7">
        <v>34</v>
      </c>
      <c r="J4709" s="7">
        <v>66</v>
      </c>
      <c r="K4709" s="7" t="s">
        <v>18</v>
      </c>
      <c r="L4709" s="8">
        <v>39987.315405092595</v>
      </c>
      <c r="M4709" s="9" t="s">
        <v>19</v>
      </c>
      <c r="N4709" s="9" t="s">
        <v>20</v>
      </c>
      <c r="O4709" s="6" t="str">
        <f>HYPERLINK("https://pbs.twimg.com/profile_images/962471262747529216/Uo8lOkRJ_normal.jpg","View")</f>
        <v>View</v>
      </c>
      <c r="P4709" s="7"/>
    </row>
    <row r="4710" spans="1:16">
      <c r="A4710" s="3">
        <v>43925.931701388894</v>
      </c>
      <c r="B4710" s="4" t="str">
        <f>HYPERLINK("https://twitter.com/petrogustavo","@petrogustavo")</f>
        <v>@petrogustavo</v>
      </c>
      <c r="C4710" s="5" t="s">
        <v>16</v>
      </c>
      <c r="D4710" s="5" t="s">
        <v>4615</v>
      </c>
      <c r="E4710" s="6" t="str">
        <f>HYPERLINK("https://twitter.com/petrogustavo/status/1246480562161946624","1246480562161946624")</f>
        <v>1246480562161946624</v>
      </c>
      <c r="F4710" s="7" t="s">
        <v>17</v>
      </c>
      <c r="G4710" s="7">
        <v>3739512</v>
      </c>
      <c r="H4710" s="7">
        <v>2375</v>
      </c>
      <c r="I4710" s="7">
        <v>104</v>
      </c>
      <c r="J4710" s="7">
        <v>220</v>
      </c>
      <c r="K4710" s="7" t="s">
        <v>18</v>
      </c>
      <c r="L4710" s="8">
        <v>39987.315405092595</v>
      </c>
      <c r="M4710" s="9" t="s">
        <v>19</v>
      </c>
      <c r="N4710" s="9" t="s">
        <v>20</v>
      </c>
      <c r="O4710" s="6" t="str">
        <f>HYPERLINK("https://pbs.twimg.com/profile_images/962471262747529216/Uo8lOkRJ_normal.jpg","View")</f>
        <v>View</v>
      </c>
      <c r="P4710" s="7"/>
    </row>
    <row r="4711" spans="1:16">
      <c r="A4711" s="3">
        <v>43925.937164351853</v>
      </c>
      <c r="B4711" s="4" t="str">
        <f>HYPERLINK("https://twitter.com/petrogustavo","@petrogustavo")</f>
        <v>@petrogustavo</v>
      </c>
      <c r="C4711" s="5" t="s">
        <v>16</v>
      </c>
      <c r="D4711" s="5" t="s">
        <v>4616</v>
      </c>
      <c r="E4711" s="6" t="str">
        <f>HYPERLINK("https://twitter.com/petrogustavo/status/1246482544675127297","1246482544675127297")</f>
        <v>1246482544675127297</v>
      </c>
      <c r="F4711" s="7" t="s">
        <v>17</v>
      </c>
      <c r="G4711" s="7">
        <v>3739512</v>
      </c>
      <c r="H4711" s="7">
        <v>2375</v>
      </c>
      <c r="I4711" s="7">
        <v>81</v>
      </c>
      <c r="J4711" s="7">
        <v>140</v>
      </c>
      <c r="K4711" s="7" t="s">
        <v>18</v>
      </c>
      <c r="L4711" s="8">
        <v>39987.315405092595</v>
      </c>
      <c r="M4711" s="9" t="s">
        <v>19</v>
      </c>
      <c r="N4711" s="9" t="s">
        <v>20</v>
      </c>
      <c r="O4711" s="6" t="str">
        <f>HYPERLINK("https://pbs.twimg.com/profile_images/962471262747529216/Uo8lOkRJ_normal.jpg","View")</f>
        <v>View</v>
      </c>
      <c r="P4711" s="7"/>
    </row>
    <row r="4712" spans="1:16">
      <c r="A4712" s="3">
        <v>43925.941261574073</v>
      </c>
      <c r="B4712" s="4" t="str">
        <f>HYPERLINK("https://twitter.com/petrogustavo","@petrogustavo")</f>
        <v>@petrogustavo</v>
      </c>
      <c r="C4712" s="5" t="s">
        <v>16</v>
      </c>
      <c r="D4712" s="5" t="s">
        <v>4617</v>
      </c>
      <c r="E4712" s="6" t="str">
        <f>HYPERLINK("https://twitter.com/petrogustavo/status/1246484029483999233","1246484029483999233")</f>
        <v>1246484029483999233</v>
      </c>
      <c r="F4712" s="7" t="s">
        <v>17</v>
      </c>
      <c r="G4712" s="7">
        <v>3739563</v>
      </c>
      <c r="H4712" s="7">
        <v>2375</v>
      </c>
      <c r="I4712" s="7">
        <v>92</v>
      </c>
      <c r="J4712" s="7">
        <v>0</v>
      </c>
      <c r="K4712" s="7" t="s">
        <v>18</v>
      </c>
      <c r="L4712" s="8">
        <v>39987.315405092595</v>
      </c>
      <c r="M4712" s="9" t="s">
        <v>19</v>
      </c>
      <c r="N4712" s="9" t="s">
        <v>20</v>
      </c>
      <c r="O4712" s="6" t="str">
        <f>HYPERLINK("https://pbs.twimg.com/profile_images/962471262747529216/Uo8lOkRJ_normal.jpg","View")</f>
        <v>View</v>
      </c>
      <c r="P4712" s="7"/>
    </row>
    <row r="4713" spans="1:16">
      <c r="A4713" s="3">
        <v>43925.941736111112</v>
      </c>
      <c r="B4713" s="4" t="str">
        <f>HYPERLINK("https://twitter.com/petrogustavo","@petrogustavo")</f>
        <v>@petrogustavo</v>
      </c>
      <c r="C4713" s="5" t="s">
        <v>16</v>
      </c>
      <c r="D4713" s="5" t="s">
        <v>4618</v>
      </c>
      <c r="E4713" s="6" t="str">
        <f>HYPERLINK("https://twitter.com/petrogustavo/status/1246484199353221125","1246484199353221125")</f>
        <v>1246484199353221125</v>
      </c>
      <c r="F4713" s="7" t="s">
        <v>17</v>
      </c>
      <c r="G4713" s="7">
        <v>3739563</v>
      </c>
      <c r="H4713" s="7">
        <v>2375</v>
      </c>
      <c r="I4713" s="7">
        <v>517</v>
      </c>
      <c r="J4713" s="7">
        <v>0</v>
      </c>
      <c r="K4713" s="7" t="s">
        <v>18</v>
      </c>
      <c r="L4713" s="8">
        <v>39987.315405092595</v>
      </c>
      <c r="M4713" s="9" t="s">
        <v>19</v>
      </c>
      <c r="N4713" s="9" t="s">
        <v>20</v>
      </c>
      <c r="O4713" s="6" t="str">
        <f>HYPERLINK("https://pbs.twimg.com/profile_images/962471262747529216/Uo8lOkRJ_normal.jpg","View")</f>
        <v>View</v>
      </c>
      <c r="P4713" s="7"/>
    </row>
    <row r="4714" spans="1:16">
      <c r="A4714" s="3">
        <v>43925.943645833337</v>
      </c>
      <c r="B4714" s="4" t="str">
        <f>HYPERLINK("https://twitter.com/petrogustavo","@petrogustavo")</f>
        <v>@petrogustavo</v>
      </c>
      <c r="C4714" s="5" t="s">
        <v>16</v>
      </c>
      <c r="D4714" s="5" t="s">
        <v>4619</v>
      </c>
      <c r="E4714" s="6" t="str">
        <f>HYPERLINK("https://twitter.com/petrogustavo/status/1246484890931146752","1246484890931146752")</f>
        <v>1246484890931146752</v>
      </c>
      <c r="F4714" s="7" t="s">
        <v>17</v>
      </c>
      <c r="G4714" s="7">
        <v>3739563</v>
      </c>
      <c r="H4714" s="7">
        <v>2375</v>
      </c>
      <c r="I4714" s="7">
        <v>690</v>
      </c>
      <c r="J4714" s="7">
        <v>0</v>
      </c>
      <c r="K4714" s="7" t="s">
        <v>18</v>
      </c>
      <c r="L4714" s="8">
        <v>39987.315405092595</v>
      </c>
      <c r="M4714" s="9" t="s">
        <v>19</v>
      </c>
      <c r="N4714" s="9" t="s">
        <v>20</v>
      </c>
      <c r="O4714" s="6" t="str">
        <f>HYPERLINK("https://pbs.twimg.com/profile_images/962471262747529216/Uo8lOkRJ_normal.jpg","View")</f>
        <v>View</v>
      </c>
      <c r="P4714" s="7"/>
    </row>
    <row r="4715" spans="1:16">
      <c r="A4715" s="3">
        <v>43925.950358796297</v>
      </c>
      <c r="B4715" s="4" t="str">
        <f>HYPERLINK("https://twitter.com/petrogustavo","@petrogustavo")</f>
        <v>@petrogustavo</v>
      </c>
      <c r="C4715" s="5" t="s">
        <v>16</v>
      </c>
      <c r="D4715" s="5" t="s">
        <v>4620</v>
      </c>
      <c r="E4715" s="6" t="str">
        <f>HYPERLINK("https://twitter.com/petrogustavo/status/1246487325607157760","1246487325607157760")</f>
        <v>1246487325607157760</v>
      </c>
      <c r="F4715" s="7" t="s">
        <v>17</v>
      </c>
      <c r="G4715" s="7">
        <v>3739563</v>
      </c>
      <c r="H4715" s="7">
        <v>2375</v>
      </c>
      <c r="I4715" s="7">
        <v>124</v>
      </c>
      <c r="J4715" s="7">
        <v>283</v>
      </c>
      <c r="K4715" s="7" t="s">
        <v>18</v>
      </c>
      <c r="L4715" s="8">
        <v>39987.315405092595</v>
      </c>
      <c r="M4715" s="9" t="s">
        <v>19</v>
      </c>
      <c r="N4715" s="9" t="s">
        <v>20</v>
      </c>
      <c r="O4715" s="6" t="str">
        <f>HYPERLINK("https://pbs.twimg.com/profile_images/962471262747529216/Uo8lOkRJ_normal.jpg","View")</f>
        <v>View</v>
      </c>
      <c r="P4715" s="7"/>
    </row>
    <row r="4716" spans="1:16">
      <c r="A4716" s="3">
        <v>43925.979641203703</v>
      </c>
      <c r="B4716" s="4" t="str">
        <f>HYPERLINK("https://twitter.com/petrogustavo","@petrogustavo")</f>
        <v>@petrogustavo</v>
      </c>
      <c r="C4716" s="5" t="s">
        <v>16</v>
      </c>
      <c r="D4716" s="5" t="s">
        <v>4621</v>
      </c>
      <c r="E4716" s="6" t="str">
        <f>HYPERLINK("https://twitter.com/petrogustavo/status/1246497935124201472","1246497935124201472")</f>
        <v>1246497935124201472</v>
      </c>
      <c r="F4716" s="7" t="s">
        <v>17</v>
      </c>
      <c r="G4716" s="7">
        <v>3739628</v>
      </c>
      <c r="H4716" s="7">
        <v>2375</v>
      </c>
      <c r="I4716" s="7">
        <v>16</v>
      </c>
      <c r="J4716" s="7">
        <v>33</v>
      </c>
      <c r="K4716" s="7" t="s">
        <v>18</v>
      </c>
      <c r="L4716" s="8">
        <v>39987.315405092595</v>
      </c>
      <c r="M4716" s="9" t="s">
        <v>19</v>
      </c>
      <c r="N4716" s="9" t="s">
        <v>20</v>
      </c>
      <c r="O4716" s="6" t="str">
        <f>HYPERLINK("https://pbs.twimg.com/profile_images/962471262747529216/Uo8lOkRJ_normal.jpg","View")</f>
        <v>View</v>
      </c>
      <c r="P4716" s="7"/>
    </row>
    <row r="4717" spans="1:16">
      <c r="A4717" s="3">
        <v>43925.982835648145</v>
      </c>
      <c r="B4717" s="4" t="str">
        <f>HYPERLINK("https://twitter.com/petrogustavo","@petrogustavo")</f>
        <v>@petrogustavo</v>
      </c>
      <c r="C4717" s="5" t="s">
        <v>16</v>
      </c>
      <c r="D4717" s="5" t="s">
        <v>4622</v>
      </c>
      <c r="E4717" s="6" t="str">
        <f>HYPERLINK("https://twitter.com/petrogustavo/status/1246499094782148609","1246499094782148609")</f>
        <v>1246499094782148609</v>
      </c>
      <c r="F4717" s="7" t="s">
        <v>17</v>
      </c>
      <c r="G4717" s="7">
        <v>3739672</v>
      </c>
      <c r="H4717" s="7">
        <v>2375</v>
      </c>
      <c r="I4717" s="7">
        <v>62</v>
      </c>
      <c r="J4717" s="7">
        <v>89</v>
      </c>
      <c r="K4717" s="7" t="s">
        <v>18</v>
      </c>
      <c r="L4717" s="8">
        <v>39987.315405092595</v>
      </c>
      <c r="M4717" s="9" t="s">
        <v>19</v>
      </c>
      <c r="N4717" s="9" t="s">
        <v>20</v>
      </c>
      <c r="O4717" s="6" t="str">
        <f>HYPERLINK("https://pbs.twimg.com/profile_images/962471262747529216/Uo8lOkRJ_normal.jpg","View")</f>
        <v>View</v>
      </c>
      <c r="P4717" s="7"/>
    </row>
    <row r="4718" spans="1:16">
      <c r="A4718" s="3">
        <v>43925.988692129627</v>
      </c>
      <c r="B4718" s="4" t="str">
        <f>HYPERLINK("https://twitter.com/petrogustavo","@petrogustavo")</f>
        <v>@petrogustavo</v>
      </c>
      <c r="C4718" s="5" t="s">
        <v>16</v>
      </c>
      <c r="D4718" s="5" t="s">
        <v>4623</v>
      </c>
      <c r="E4718" s="6" t="str">
        <f>HYPERLINK("https://twitter.com/petrogustavo/status/1246501214436589570","1246501214436589570")</f>
        <v>1246501214436589570</v>
      </c>
      <c r="F4718" s="7" t="s">
        <v>17</v>
      </c>
      <c r="G4718" s="7">
        <v>3739672</v>
      </c>
      <c r="H4718" s="7">
        <v>2375</v>
      </c>
      <c r="I4718" s="7">
        <v>299</v>
      </c>
      <c r="J4718" s="7">
        <v>799</v>
      </c>
      <c r="K4718" s="7" t="s">
        <v>18</v>
      </c>
      <c r="L4718" s="8">
        <v>39987.315405092595</v>
      </c>
      <c r="M4718" s="9" t="s">
        <v>19</v>
      </c>
      <c r="N4718" s="9" t="s">
        <v>20</v>
      </c>
      <c r="O4718" s="6" t="str">
        <f>HYPERLINK("https://pbs.twimg.com/profile_images/962471262747529216/Uo8lOkRJ_normal.jpg","View")</f>
        <v>View</v>
      </c>
      <c r="P4718" s="7"/>
    </row>
    <row r="4719" spans="1:16">
      <c r="A4719" s="3">
        <v>43925.989780092597</v>
      </c>
      <c r="B4719" s="4" t="str">
        <f>HYPERLINK("https://twitter.com/petrogustavo","@petrogustavo")</f>
        <v>@petrogustavo</v>
      </c>
      <c r="C4719" s="5" t="s">
        <v>16</v>
      </c>
      <c r="D4719" s="5" t="s">
        <v>4624</v>
      </c>
      <c r="E4719" s="6" t="str">
        <f>HYPERLINK("https://twitter.com/petrogustavo/status/1246501611037282304","1246501611037282304")</f>
        <v>1246501611037282304</v>
      </c>
      <c r="F4719" s="7" t="s">
        <v>17</v>
      </c>
      <c r="G4719" s="7">
        <v>3739672</v>
      </c>
      <c r="H4719" s="7">
        <v>2375</v>
      </c>
      <c r="I4719" s="7">
        <v>56</v>
      </c>
      <c r="J4719" s="7">
        <v>0</v>
      </c>
      <c r="K4719" s="7" t="s">
        <v>18</v>
      </c>
      <c r="L4719" s="8">
        <v>39987.315405092595</v>
      </c>
      <c r="M4719" s="9" t="s">
        <v>19</v>
      </c>
      <c r="N4719" s="9" t="s">
        <v>20</v>
      </c>
      <c r="O4719" s="6" t="str">
        <f>HYPERLINK("https://pbs.twimg.com/profile_images/962471262747529216/Uo8lOkRJ_normal.jpg","View")</f>
        <v>View</v>
      </c>
      <c r="P4719" s="7"/>
    </row>
    <row r="4720" spans="1:16">
      <c r="A4720" s="3">
        <v>43925.997870370367</v>
      </c>
      <c r="B4720" s="4" t="str">
        <f>HYPERLINK("https://twitter.com/petrogustavo","@petrogustavo")</f>
        <v>@petrogustavo</v>
      </c>
      <c r="C4720" s="5" t="s">
        <v>16</v>
      </c>
      <c r="D4720" s="5" t="s">
        <v>4625</v>
      </c>
      <c r="E4720" s="6" t="str">
        <f>HYPERLINK("https://twitter.com/petrogustavo/status/1246504543812071425","1246504543812071425")</f>
        <v>1246504543812071425</v>
      </c>
      <c r="F4720" s="7" t="s">
        <v>17</v>
      </c>
      <c r="G4720" s="7">
        <v>3739672</v>
      </c>
      <c r="H4720" s="7">
        <v>2375</v>
      </c>
      <c r="I4720" s="7">
        <v>38</v>
      </c>
      <c r="J4720" s="7">
        <v>59</v>
      </c>
      <c r="K4720" s="7" t="s">
        <v>18</v>
      </c>
      <c r="L4720" s="8">
        <v>39987.315405092595</v>
      </c>
      <c r="M4720" s="9" t="s">
        <v>19</v>
      </c>
      <c r="N4720" s="9" t="s">
        <v>20</v>
      </c>
      <c r="O4720" s="6" t="str">
        <f>HYPERLINK("https://pbs.twimg.com/profile_images/962471262747529216/Uo8lOkRJ_normal.jpg","View")</f>
        <v>View</v>
      </c>
      <c r="P4720" s="7"/>
    </row>
    <row r="4721" spans="1:16">
      <c r="A4721" s="3">
        <v>43926.0159837963</v>
      </c>
      <c r="B4721" s="4" t="str">
        <f>HYPERLINK("https://twitter.com/petrogustavo","@petrogustavo")</f>
        <v>@petrogustavo</v>
      </c>
      <c r="C4721" s="5" t="s">
        <v>16</v>
      </c>
      <c r="D4721" s="5" t="s">
        <v>4626</v>
      </c>
      <c r="E4721" s="6" t="str">
        <f>HYPERLINK("https://twitter.com/petrogustavo/status/1246511104513191936","1246511104513191936")</f>
        <v>1246511104513191936</v>
      </c>
      <c r="F4721" s="7" t="s">
        <v>17</v>
      </c>
      <c r="G4721" s="7">
        <v>3739738</v>
      </c>
      <c r="H4721" s="7">
        <v>2375</v>
      </c>
      <c r="I4721" s="7">
        <v>119</v>
      </c>
      <c r="J4721" s="7">
        <v>191</v>
      </c>
      <c r="K4721" s="7" t="s">
        <v>18</v>
      </c>
      <c r="L4721" s="8">
        <v>39987.315405092595</v>
      </c>
      <c r="M4721" s="9" t="s">
        <v>19</v>
      </c>
      <c r="N4721" s="9" t="s">
        <v>20</v>
      </c>
      <c r="O4721" s="6" t="str">
        <f>HYPERLINK("https://pbs.twimg.com/profile_images/962471262747529216/Uo8lOkRJ_normal.jpg","View")</f>
        <v>View</v>
      </c>
      <c r="P4721" s="7"/>
    </row>
    <row r="4722" spans="1:16">
      <c r="A4722" s="3">
        <v>43926.061076388884</v>
      </c>
      <c r="B4722" s="4" t="str">
        <f>HYPERLINK("https://twitter.com/petrogustavo","@petrogustavo")</f>
        <v>@petrogustavo</v>
      </c>
      <c r="C4722" s="5" t="s">
        <v>16</v>
      </c>
      <c r="D4722" s="5" t="s">
        <v>4627</v>
      </c>
      <c r="E4722" s="6" t="str">
        <f>HYPERLINK("https://twitter.com/petrogustavo/status/1246527448608583681","1246527448608583681")</f>
        <v>1246527448608583681</v>
      </c>
      <c r="F4722" s="7" t="s">
        <v>21</v>
      </c>
      <c r="G4722" s="7">
        <v>3739853</v>
      </c>
      <c r="H4722" s="7">
        <v>2375</v>
      </c>
      <c r="I4722" s="7">
        <v>37</v>
      </c>
      <c r="J4722" s="7">
        <v>68</v>
      </c>
      <c r="K4722" s="7" t="s">
        <v>18</v>
      </c>
      <c r="L4722" s="8">
        <v>39987.315405092595</v>
      </c>
      <c r="M4722" s="9" t="s">
        <v>19</v>
      </c>
      <c r="N4722" s="9" t="s">
        <v>20</v>
      </c>
      <c r="O4722" s="6" t="str">
        <f>HYPERLINK("https://pbs.twimg.com/profile_images/962471262747529216/Uo8lOkRJ_normal.jpg","View")</f>
        <v>View</v>
      </c>
      <c r="P4722" s="7"/>
    </row>
    <row r="4723" spans="1:16">
      <c r="A4723" s="3">
        <v>43926.085474537038</v>
      </c>
      <c r="B4723" s="4" t="str">
        <f>HYPERLINK("https://twitter.com/petrogustavo","@petrogustavo")</f>
        <v>@petrogustavo</v>
      </c>
      <c r="C4723" s="5" t="s">
        <v>16</v>
      </c>
      <c r="D4723" s="5" t="s">
        <v>4628</v>
      </c>
      <c r="E4723" s="6" t="str">
        <f>HYPERLINK("https://twitter.com/petrogustavo/status/1246536287731044352","1246536287731044352")</f>
        <v>1246536287731044352</v>
      </c>
      <c r="F4723" s="7" t="s">
        <v>17</v>
      </c>
      <c r="G4723" s="7">
        <v>3739882</v>
      </c>
      <c r="H4723" s="7">
        <v>2375</v>
      </c>
      <c r="I4723" s="7">
        <v>0</v>
      </c>
      <c r="J4723" s="7">
        <v>0</v>
      </c>
      <c r="K4723" s="7" t="s">
        <v>18</v>
      </c>
      <c r="L4723" s="8">
        <v>39987.315405092595</v>
      </c>
      <c r="M4723" s="9" t="s">
        <v>19</v>
      </c>
      <c r="N4723" s="9" t="s">
        <v>20</v>
      </c>
      <c r="O4723" s="6" t="str">
        <f>HYPERLINK("https://pbs.twimg.com/profile_images/962471262747529216/Uo8lOkRJ_normal.jpg","View")</f>
        <v>View</v>
      </c>
      <c r="P4723" s="7"/>
    </row>
    <row r="4724" spans="1:16">
      <c r="A4724" s="3">
        <v>43926.091238425928</v>
      </c>
      <c r="B4724" s="4" t="str">
        <f>HYPERLINK("https://twitter.com/petrogustavo","@petrogustavo")</f>
        <v>@petrogustavo</v>
      </c>
      <c r="C4724" s="5" t="s">
        <v>16</v>
      </c>
      <c r="D4724" s="5" t="s">
        <v>4629</v>
      </c>
      <c r="E4724" s="6" t="str">
        <f>HYPERLINK("https://twitter.com/petrogustavo/status/1246538378096644097","1246538378096644097")</f>
        <v>1246538378096644097</v>
      </c>
      <c r="F4724" s="7" t="s">
        <v>17</v>
      </c>
      <c r="G4724" s="7">
        <v>3739989</v>
      </c>
      <c r="H4724" s="7">
        <v>2375</v>
      </c>
      <c r="I4724" s="7">
        <v>263</v>
      </c>
      <c r="J4724" s="7">
        <v>653</v>
      </c>
      <c r="K4724" s="7" t="s">
        <v>18</v>
      </c>
      <c r="L4724" s="8">
        <v>39987.315405092595</v>
      </c>
      <c r="M4724" s="9" t="s">
        <v>19</v>
      </c>
      <c r="N4724" s="9" t="s">
        <v>20</v>
      </c>
      <c r="O4724" s="6" t="str">
        <f>HYPERLINK("https://pbs.twimg.com/profile_images/962471262747529216/Uo8lOkRJ_normal.jpg","View")</f>
        <v>View</v>
      </c>
      <c r="P4724" s="7"/>
    </row>
    <row r="4725" spans="1:16">
      <c r="A4725" s="3">
        <v>43926.119849537034</v>
      </c>
      <c r="B4725" s="4" t="str">
        <f>HYPERLINK("https://twitter.com/petrogustavo","@petrogustavo")</f>
        <v>@petrogustavo</v>
      </c>
      <c r="C4725" s="5" t="s">
        <v>16</v>
      </c>
      <c r="D4725" s="5" t="s">
        <v>4630</v>
      </c>
      <c r="E4725" s="6" t="str">
        <f>HYPERLINK("https://twitter.com/petrogustavo/status/1246548744172118024","1246548744172118024")</f>
        <v>1246548744172118024</v>
      </c>
      <c r="F4725" s="7" t="s">
        <v>17</v>
      </c>
      <c r="G4725" s="7">
        <v>3739989</v>
      </c>
      <c r="H4725" s="7">
        <v>2375</v>
      </c>
      <c r="I4725" s="7">
        <v>167</v>
      </c>
      <c r="J4725" s="7">
        <v>0</v>
      </c>
      <c r="K4725" s="7" t="s">
        <v>18</v>
      </c>
      <c r="L4725" s="8">
        <v>39987.315405092595</v>
      </c>
      <c r="M4725" s="9" t="s">
        <v>19</v>
      </c>
      <c r="N4725" s="9" t="s">
        <v>20</v>
      </c>
      <c r="O4725" s="6" t="str">
        <f>HYPERLINK("https://pbs.twimg.com/profile_images/962471262747529216/Uo8lOkRJ_normal.jpg","View")</f>
        <v>View</v>
      </c>
      <c r="P4725" s="7"/>
    </row>
    <row r="4726" spans="1:16">
      <c r="A4726" s="3">
        <v>43926.135567129633</v>
      </c>
      <c r="B4726" s="4" t="str">
        <f>HYPERLINK("https://twitter.com/petrogustavo","@petrogustavo")</f>
        <v>@petrogustavo</v>
      </c>
      <c r="C4726" s="5" t="s">
        <v>16</v>
      </c>
      <c r="D4726" s="5" t="s">
        <v>4631</v>
      </c>
      <c r="E4726" s="6" t="str">
        <f>HYPERLINK("https://twitter.com/petrogustavo/status/1246554443342131200","1246554443342131200")</f>
        <v>1246554443342131200</v>
      </c>
      <c r="F4726" s="7" t="s">
        <v>17</v>
      </c>
      <c r="G4726" s="7">
        <v>3740022</v>
      </c>
      <c r="H4726" s="7">
        <v>2375</v>
      </c>
      <c r="I4726" s="7">
        <v>135</v>
      </c>
      <c r="J4726" s="7">
        <v>335</v>
      </c>
      <c r="K4726" s="7" t="s">
        <v>18</v>
      </c>
      <c r="L4726" s="8">
        <v>39987.315405092595</v>
      </c>
      <c r="M4726" s="9" t="s">
        <v>19</v>
      </c>
      <c r="N4726" s="9" t="s">
        <v>20</v>
      </c>
      <c r="O4726" s="6" t="str">
        <f>HYPERLINK("https://pbs.twimg.com/profile_images/962471262747529216/Uo8lOkRJ_normal.jpg","View")</f>
        <v>View</v>
      </c>
      <c r="P4726" s="7"/>
    </row>
    <row r="4727" spans="1:16">
      <c r="A4727" s="3">
        <v>43926.145671296297</v>
      </c>
      <c r="B4727" s="4" t="str">
        <f>HYPERLINK("https://twitter.com/petrogustavo","@petrogustavo")</f>
        <v>@petrogustavo</v>
      </c>
      <c r="C4727" s="5" t="s">
        <v>16</v>
      </c>
      <c r="D4727" s="5" t="s">
        <v>4632</v>
      </c>
      <c r="E4727" s="6" t="str">
        <f>HYPERLINK("https://twitter.com/petrogustavo/status/1246558101874061312","1246558101874061312")</f>
        <v>1246558101874061312</v>
      </c>
      <c r="F4727" s="7" t="s">
        <v>17</v>
      </c>
      <c r="G4727" s="7">
        <v>3740022</v>
      </c>
      <c r="H4727" s="7">
        <v>2375</v>
      </c>
      <c r="I4727" s="7">
        <v>26</v>
      </c>
      <c r="J4727" s="7">
        <v>42</v>
      </c>
      <c r="K4727" s="7" t="s">
        <v>18</v>
      </c>
      <c r="L4727" s="8">
        <v>39987.315405092595</v>
      </c>
      <c r="M4727" s="9" t="s">
        <v>19</v>
      </c>
      <c r="N4727" s="9" t="s">
        <v>20</v>
      </c>
      <c r="O4727" s="6" t="str">
        <f>HYPERLINK("https://pbs.twimg.com/profile_images/962471262747529216/Uo8lOkRJ_normal.jpg","View")</f>
        <v>View</v>
      </c>
      <c r="P4727" s="7"/>
    </row>
    <row r="4728" spans="1:16">
      <c r="A4728" s="3">
        <v>43926.224224537036</v>
      </c>
      <c r="B4728" s="4" t="str">
        <f>HYPERLINK("https://twitter.com/petrogustavo","@petrogustavo")</f>
        <v>@petrogustavo</v>
      </c>
      <c r="C4728" s="5" t="s">
        <v>16</v>
      </c>
      <c r="D4728" s="5" t="s">
        <v>4633</v>
      </c>
      <c r="E4728" s="6" t="str">
        <f>HYPERLINK("https://twitter.com/petrogustavo/status/1246586572058828800","1246586572058828800")</f>
        <v>1246586572058828800</v>
      </c>
      <c r="F4728" s="7" t="s">
        <v>17</v>
      </c>
      <c r="G4728" s="7">
        <v>3740173</v>
      </c>
      <c r="H4728" s="7">
        <v>2375</v>
      </c>
      <c r="I4728" s="7">
        <v>567</v>
      </c>
      <c r="J4728" s="7">
        <v>0</v>
      </c>
      <c r="K4728" s="7" t="s">
        <v>18</v>
      </c>
      <c r="L4728" s="8">
        <v>39987.315405092595</v>
      </c>
      <c r="M4728" s="9" t="s">
        <v>19</v>
      </c>
      <c r="N4728" s="9" t="s">
        <v>20</v>
      </c>
      <c r="O4728" s="6" t="str">
        <f>HYPERLINK("https://pbs.twimg.com/profile_images/962471262747529216/Uo8lOkRJ_normal.jpg","View")</f>
        <v>View</v>
      </c>
      <c r="P4728" s="7"/>
    </row>
    <row r="4729" spans="1:16">
      <c r="A4729" s="3">
        <v>43926.244652777779</v>
      </c>
      <c r="B4729" s="4" t="str">
        <f>HYPERLINK("https://twitter.com/petrogustavo","@petrogustavo")</f>
        <v>@petrogustavo</v>
      </c>
      <c r="C4729" s="5" t="s">
        <v>16</v>
      </c>
      <c r="D4729" s="5" t="s">
        <v>4634</v>
      </c>
      <c r="E4729" s="6" t="str">
        <f>HYPERLINK("https://twitter.com/petrogustavo/status/1246593973566742529","1246593973566742529")</f>
        <v>1246593973566742529</v>
      </c>
      <c r="F4729" s="7" t="s">
        <v>17</v>
      </c>
      <c r="G4729" s="7">
        <v>3740241</v>
      </c>
      <c r="H4729" s="7">
        <v>2375</v>
      </c>
      <c r="I4729" s="7">
        <v>109</v>
      </c>
      <c r="J4729" s="7">
        <v>272</v>
      </c>
      <c r="K4729" s="7" t="s">
        <v>18</v>
      </c>
      <c r="L4729" s="8">
        <v>39987.315405092595</v>
      </c>
      <c r="M4729" s="9" t="s">
        <v>19</v>
      </c>
      <c r="N4729" s="9" t="s">
        <v>20</v>
      </c>
      <c r="O4729" s="6" t="str">
        <f>HYPERLINK("https://pbs.twimg.com/profile_images/962471262747529216/Uo8lOkRJ_normal.jpg","View")</f>
        <v>View</v>
      </c>
      <c r="P4729" s="7"/>
    </row>
    <row r="4730" spans="1:16">
      <c r="A4730" s="3">
        <v>43926.279722222222</v>
      </c>
      <c r="B4730" s="4" t="str">
        <f>HYPERLINK("https://twitter.com/petrogustavo","@petrogustavo")</f>
        <v>@petrogustavo</v>
      </c>
      <c r="C4730" s="5" t="s">
        <v>16</v>
      </c>
      <c r="D4730" s="5" t="s">
        <v>4635</v>
      </c>
      <c r="E4730" s="6" t="str">
        <f>HYPERLINK("https://twitter.com/petrogustavo/status/1246606682354077696","1246606682354077696")</f>
        <v>1246606682354077696</v>
      </c>
      <c r="F4730" s="7" t="s">
        <v>17</v>
      </c>
      <c r="G4730" s="7">
        <v>3740353</v>
      </c>
      <c r="H4730" s="7">
        <v>2375</v>
      </c>
      <c r="I4730" s="7">
        <v>635</v>
      </c>
      <c r="J4730" s="7">
        <v>0</v>
      </c>
      <c r="K4730" s="7" t="s">
        <v>18</v>
      </c>
      <c r="L4730" s="8">
        <v>39987.315405092595</v>
      </c>
      <c r="M4730" s="9" t="s">
        <v>19</v>
      </c>
      <c r="N4730" s="9" t="s">
        <v>20</v>
      </c>
      <c r="O4730" s="6" t="str">
        <f>HYPERLINK("https://pbs.twimg.com/profile_images/962471262747529216/Uo8lOkRJ_normal.jpg","View")</f>
        <v>View</v>
      </c>
      <c r="P4730" s="7"/>
    </row>
    <row r="4731" spans="1:16">
      <c r="A4731" s="3">
        <v>43926.288587962961</v>
      </c>
      <c r="B4731" s="4" t="str">
        <f>HYPERLINK("https://twitter.com/petrogustavo","@petrogustavo")</f>
        <v>@petrogustavo</v>
      </c>
      <c r="C4731" s="5" t="s">
        <v>16</v>
      </c>
      <c r="D4731" s="5" t="s">
        <v>4636</v>
      </c>
      <c r="E4731" s="6" t="str">
        <f>HYPERLINK("https://twitter.com/petrogustavo/status/1246609896814055429","1246609896814055429")</f>
        <v>1246609896814055429</v>
      </c>
      <c r="F4731" s="7" t="s">
        <v>17</v>
      </c>
      <c r="G4731" s="7">
        <v>3740353</v>
      </c>
      <c r="H4731" s="7">
        <v>2375</v>
      </c>
      <c r="I4731" s="7">
        <v>29</v>
      </c>
      <c r="J4731" s="7">
        <v>0</v>
      </c>
      <c r="K4731" s="7" t="s">
        <v>18</v>
      </c>
      <c r="L4731" s="8">
        <v>39987.315405092595</v>
      </c>
      <c r="M4731" s="9" t="s">
        <v>19</v>
      </c>
      <c r="N4731" s="9" t="s">
        <v>20</v>
      </c>
      <c r="O4731" s="6" t="str">
        <f>HYPERLINK("https://pbs.twimg.com/profile_images/962471262747529216/Uo8lOkRJ_normal.jpg","View")</f>
        <v>View</v>
      </c>
      <c r="P4731" s="7"/>
    </row>
    <row r="4732" spans="1:16">
      <c r="A4732" s="3">
        <v>43926.317071759258</v>
      </c>
      <c r="B4732" s="4" t="str">
        <f>HYPERLINK("https://twitter.com/petrogustavo","@petrogustavo")</f>
        <v>@petrogustavo</v>
      </c>
      <c r="C4732" s="5" t="s">
        <v>16</v>
      </c>
      <c r="D4732" s="5" t="s">
        <v>4637</v>
      </c>
      <c r="E4732" s="6" t="str">
        <f>HYPERLINK("https://twitter.com/petrogustavo/status/1246620218052489216","1246620218052489216")</f>
        <v>1246620218052489216</v>
      </c>
      <c r="F4732" s="7" t="s">
        <v>17</v>
      </c>
      <c r="G4732" s="7">
        <v>3740464</v>
      </c>
      <c r="H4732" s="7">
        <v>2375</v>
      </c>
      <c r="I4732" s="7">
        <v>131</v>
      </c>
      <c r="J4732" s="7">
        <v>337</v>
      </c>
      <c r="K4732" s="7" t="s">
        <v>18</v>
      </c>
      <c r="L4732" s="8">
        <v>39987.315405092595</v>
      </c>
      <c r="M4732" s="9" t="s">
        <v>19</v>
      </c>
      <c r="N4732" s="9" t="s">
        <v>20</v>
      </c>
      <c r="O4732" s="6" t="str">
        <f>HYPERLINK("https://pbs.twimg.com/profile_images/962471262747529216/Uo8lOkRJ_normal.jpg","View")</f>
        <v>View</v>
      </c>
      <c r="P4732" s="7"/>
    </row>
    <row r="4733" spans="1:16">
      <c r="A4733" s="3">
        <v>43926.322534722218</v>
      </c>
      <c r="B4733" s="4" t="str">
        <f>HYPERLINK("https://twitter.com/petrogustavo","@petrogustavo")</f>
        <v>@petrogustavo</v>
      </c>
      <c r="C4733" s="5" t="s">
        <v>16</v>
      </c>
      <c r="D4733" s="5" t="s">
        <v>4638</v>
      </c>
      <c r="E4733" s="6" t="str">
        <f>HYPERLINK("https://twitter.com/petrogustavo/status/1246622196325330949","1246622196325330949")</f>
        <v>1246622196325330949</v>
      </c>
      <c r="F4733" s="7" t="s">
        <v>17</v>
      </c>
      <c r="G4733" s="7">
        <v>3740464</v>
      </c>
      <c r="H4733" s="7">
        <v>2375</v>
      </c>
      <c r="I4733" s="7">
        <v>1994</v>
      </c>
      <c r="J4733" s="7">
        <v>0</v>
      </c>
      <c r="K4733" s="7" t="s">
        <v>18</v>
      </c>
      <c r="L4733" s="8">
        <v>39987.315405092595</v>
      </c>
      <c r="M4733" s="9" t="s">
        <v>19</v>
      </c>
      <c r="N4733" s="9" t="s">
        <v>20</v>
      </c>
      <c r="O4733" s="6" t="str">
        <f>HYPERLINK("https://pbs.twimg.com/profile_images/962471262747529216/Uo8lOkRJ_normal.jpg","View")</f>
        <v>View</v>
      </c>
      <c r="P4733" s="7"/>
    </row>
    <row r="4734" spans="1:16">
      <c r="A4734" s="3">
        <v>43926.32435185185</v>
      </c>
      <c r="B4734" s="4" t="str">
        <f>HYPERLINK("https://twitter.com/petrogustavo","@petrogustavo")</f>
        <v>@petrogustavo</v>
      </c>
      <c r="C4734" s="5" t="s">
        <v>16</v>
      </c>
      <c r="D4734" s="5" t="s">
        <v>4639</v>
      </c>
      <c r="E4734" s="6" t="str">
        <f>HYPERLINK("https://twitter.com/petrogustavo/status/1246622854692712448","1246622854692712448")</f>
        <v>1246622854692712448</v>
      </c>
      <c r="F4734" s="7" t="s">
        <v>17</v>
      </c>
      <c r="G4734" s="7">
        <v>3740464</v>
      </c>
      <c r="H4734" s="7">
        <v>2375</v>
      </c>
      <c r="I4734" s="7">
        <v>575</v>
      </c>
      <c r="J4734" s="7">
        <v>1295</v>
      </c>
      <c r="K4734" s="7" t="s">
        <v>18</v>
      </c>
      <c r="L4734" s="8">
        <v>39987.315405092595</v>
      </c>
      <c r="M4734" s="9" t="s">
        <v>19</v>
      </c>
      <c r="N4734" s="9" t="s">
        <v>20</v>
      </c>
      <c r="O4734" s="6" t="str">
        <f>HYPERLINK("https://pbs.twimg.com/profile_images/962471262747529216/Uo8lOkRJ_normal.jpg","View")</f>
        <v>View</v>
      </c>
      <c r="P4734" s="7"/>
    </row>
    <row r="4735" spans="1:16">
      <c r="A4735" s="3">
        <v>43926.332233796296</v>
      </c>
      <c r="B4735" s="4" t="str">
        <f>HYPERLINK("https://twitter.com/petrogustavo","@petrogustavo")</f>
        <v>@petrogustavo</v>
      </c>
      <c r="C4735" s="5" t="s">
        <v>16</v>
      </c>
      <c r="D4735" s="5" t="s">
        <v>4640</v>
      </c>
      <c r="E4735" s="6" t="str">
        <f>HYPERLINK("https://twitter.com/petrogustavo/status/1246625713295327234","1246625713295327234")</f>
        <v>1246625713295327234</v>
      </c>
      <c r="F4735" s="7" t="s">
        <v>17</v>
      </c>
      <c r="G4735" s="7">
        <v>3740464</v>
      </c>
      <c r="H4735" s="7">
        <v>2375</v>
      </c>
      <c r="I4735" s="7">
        <v>87</v>
      </c>
      <c r="J4735" s="7">
        <v>0</v>
      </c>
      <c r="K4735" s="7" t="s">
        <v>18</v>
      </c>
      <c r="L4735" s="8">
        <v>39987.315405092595</v>
      </c>
      <c r="M4735" s="9" t="s">
        <v>19</v>
      </c>
      <c r="N4735" s="9" t="s">
        <v>20</v>
      </c>
      <c r="O4735" s="6" t="str">
        <f>HYPERLINK("https://pbs.twimg.com/profile_images/962471262747529216/Uo8lOkRJ_normal.jpg","View")</f>
        <v>View</v>
      </c>
      <c r="P4735" s="7"/>
    </row>
    <row r="4736" spans="1:16">
      <c r="A4736" s="3">
        <v>43926.332465277781</v>
      </c>
      <c r="B4736" s="4" t="str">
        <f>HYPERLINK("https://twitter.com/petrogustavo","@petrogustavo")</f>
        <v>@petrogustavo</v>
      </c>
      <c r="C4736" s="5" t="s">
        <v>16</v>
      </c>
      <c r="D4736" s="5" t="s">
        <v>4641</v>
      </c>
      <c r="E4736" s="6" t="str">
        <f>HYPERLINK("https://twitter.com/petrogustavo/status/1246625794354483200","1246625794354483200")</f>
        <v>1246625794354483200</v>
      </c>
      <c r="F4736" s="7" t="s">
        <v>17</v>
      </c>
      <c r="G4736" s="7">
        <v>3740464</v>
      </c>
      <c r="H4736" s="7">
        <v>2375</v>
      </c>
      <c r="I4736" s="7">
        <v>575</v>
      </c>
      <c r="J4736" s="7">
        <v>0</v>
      </c>
      <c r="K4736" s="7" t="s">
        <v>18</v>
      </c>
      <c r="L4736" s="8">
        <v>39987.315405092595</v>
      </c>
      <c r="M4736" s="9" t="s">
        <v>19</v>
      </c>
      <c r="N4736" s="9" t="s">
        <v>20</v>
      </c>
      <c r="O4736" s="6" t="str">
        <f>HYPERLINK("https://pbs.twimg.com/profile_images/962471262747529216/Uo8lOkRJ_normal.jpg","View")</f>
        <v>View</v>
      </c>
      <c r="P4736" s="7"/>
    </row>
    <row r="4737" spans="1:16">
      <c r="A4737" s="3">
        <v>43926.352037037039</v>
      </c>
      <c r="B4737" s="4" t="str">
        <f>HYPERLINK("https://twitter.com/petrogustavo","@petrogustavo")</f>
        <v>@petrogustavo</v>
      </c>
      <c r="C4737" s="5" t="s">
        <v>16</v>
      </c>
      <c r="D4737" s="5" t="s">
        <v>4633</v>
      </c>
      <c r="E4737" s="6" t="str">
        <f>HYPERLINK("https://twitter.com/petrogustavo/status/1246632886389874691","1246632886389874691")</f>
        <v>1246632886389874691</v>
      </c>
      <c r="F4737" s="7" t="s">
        <v>17</v>
      </c>
      <c r="G4737" s="7">
        <v>3740526</v>
      </c>
      <c r="H4737" s="7">
        <v>2375</v>
      </c>
      <c r="I4737" s="7">
        <v>937</v>
      </c>
      <c r="J4737" s="7">
        <v>0</v>
      </c>
      <c r="K4737" s="7" t="s">
        <v>18</v>
      </c>
      <c r="L4737" s="8">
        <v>39987.315405092595</v>
      </c>
      <c r="M4737" s="9" t="s">
        <v>19</v>
      </c>
      <c r="N4737" s="9" t="s">
        <v>20</v>
      </c>
      <c r="O4737" s="6" t="str">
        <f>HYPERLINK("https://pbs.twimg.com/profile_images/962471262747529216/Uo8lOkRJ_normal.jpg","View")</f>
        <v>View</v>
      </c>
      <c r="P4737" s="7"/>
    </row>
    <row r="4738" spans="1:16">
      <c r="A4738" s="3">
        <v>43926.758576388893</v>
      </c>
      <c r="B4738" s="4" t="str">
        <f>HYPERLINK("https://twitter.com/petrogustavo","@petrogustavo")</f>
        <v>@petrogustavo</v>
      </c>
      <c r="C4738" s="5" t="s">
        <v>16</v>
      </c>
      <c r="D4738" s="5" t="s">
        <v>4642</v>
      </c>
      <c r="E4738" s="6" t="str">
        <f>HYPERLINK("https://twitter.com/petrogustavo/status/1246780214274936834","1246780214274936834")</f>
        <v>1246780214274936834</v>
      </c>
      <c r="F4738" s="7" t="s">
        <v>17</v>
      </c>
      <c r="G4738" s="7">
        <v>3741022</v>
      </c>
      <c r="H4738" s="7">
        <v>2375</v>
      </c>
      <c r="I4738" s="7">
        <v>78</v>
      </c>
      <c r="J4738" s="7">
        <v>185</v>
      </c>
      <c r="K4738" s="7" t="s">
        <v>18</v>
      </c>
      <c r="L4738" s="8">
        <v>39987.315405092595</v>
      </c>
      <c r="M4738" s="9" t="s">
        <v>19</v>
      </c>
      <c r="N4738" s="9" t="s">
        <v>20</v>
      </c>
      <c r="O4738" s="6" t="str">
        <f>HYPERLINK("https://pbs.twimg.com/profile_images/962471262747529216/Uo8lOkRJ_normal.jpg","View")</f>
        <v>View</v>
      </c>
      <c r="P4738" s="7"/>
    </row>
    <row r="4739" spans="1:16">
      <c r="A4739" s="3">
        <v>43926.769328703704</v>
      </c>
      <c r="B4739" s="4" t="str">
        <f>HYPERLINK("https://twitter.com/petrogustavo","@petrogustavo")</f>
        <v>@petrogustavo</v>
      </c>
      <c r="C4739" s="5" t="s">
        <v>16</v>
      </c>
      <c r="D4739" s="5" t="s">
        <v>4643</v>
      </c>
      <c r="E4739" s="6" t="str">
        <f>HYPERLINK("https://twitter.com/petrogustavo/status/1246784110858731521","1246784110858731521")</f>
        <v>1246784110858731521</v>
      </c>
      <c r="F4739" s="7" t="s">
        <v>17</v>
      </c>
      <c r="G4739" s="7">
        <v>3741022</v>
      </c>
      <c r="H4739" s="7">
        <v>2375</v>
      </c>
      <c r="I4739" s="7">
        <v>59</v>
      </c>
      <c r="J4739" s="7">
        <v>70</v>
      </c>
      <c r="K4739" s="7" t="s">
        <v>18</v>
      </c>
      <c r="L4739" s="8">
        <v>39987.315405092595</v>
      </c>
      <c r="M4739" s="9" t="s">
        <v>19</v>
      </c>
      <c r="N4739" s="9" t="s">
        <v>20</v>
      </c>
      <c r="O4739" s="6" t="str">
        <f>HYPERLINK("https://pbs.twimg.com/profile_images/962471262747529216/Uo8lOkRJ_normal.jpg","View")</f>
        <v>View</v>
      </c>
      <c r="P4739" s="7"/>
    </row>
    <row r="4740" spans="1:16">
      <c r="A4740" s="3">
        <v>43926.786562499998</v>
      </c>
      <c r="B4740" s="4" t="str">
        <f>HYPERLINK("https://twitter.com/petrogustavo","@petrogustavo")</f>
        <v>@petrogustavo</v>
      </c>
      <c r="C4740" s="5" t="s">
        <v>16</v>
      </c>
      <c r="D4740" s="5" t="s">
        <v>4644</v>
      </c>
      <c r="E4740" s="6" t="str">
        <f>HYPERLINK("https://twitter.com/petrogustavo/status/1246790355984547842","1246790355984547842")</f>
        <v>1246790355984547842</v>
      </c>
      <c r="F4740" s="7" t="s">
        <v>17</v>
      </c>
      <c r="G4740" s="7">
        <v>3741036</v>
      </c>
      <c r="H4740" s="7">
        <v>2375</v>
      </c>
      <c r="I4740" s="7">
        <v>138</v>
      </c>
      <c r="J4740" s="7">
        <v>338</v>
      </c>
      <c r="K4740" s="7" t="s">
        <v>18</v>
      </c>
      <c r="L4740" s="8">
        <v>39987.315405092595</v>
      </c>
      <c r="M4740" s="9" t="s">
        <v>19</v>
      </c>
      <c r="N4740" s="9" t="s">
        <v>20</v>
      </c>
      <c r="O4740" s="6" t="str">
        <f>HYPERLINK("https://pbs.twimg.com/profile_images/962471262747529216/Uo8lOkRJ_normal.jpg","View")</f>
        <v>View</v>
      </c>
      <c r="P4740" s="7"/>
    </row>
    <row r="4741" spans="1:16">
      <c r="A4741" s="3">
        <v>43926.79078703704</v>
      </c>
      <c r="B4741" s="4" t="str">
        <f>HYPERLINK("https://twitter.com/petrogustavo","@petrogustavo")</f>
        <v>@petrogustavo</v>
      </c>
      <c r="C4741" s="5" t="s">
        <v>16</v>
      </c>
      <c r="D4741" s="5" t="s">
        <v>4645</v>
      </c>
      <c r="E4741" s="6" t="str">
        <f>HYPERLINK("https://twitter.com/petrogustavo/status/1246791887073222657","1246791887073222657")</f>
        <v>1246791887073222657</v>
      </c>
      <c r="F4741" s="7" t="s">
        <v>17</v>
      </c>
      <c r="G4741" s="7">
        <v>3741036</v>
      </c>
      <c r="H4741" s="7">
        <v>2375</v>
      </c>
      <c r="I4741" s="7">
        <v>51</v>
      </c>
      <c r="J4741" s="7">
        <v>85</v>
      </c>
      <c r="K4741" s="7" t="s">
        <v>18</v>
      </c>
      <c r="L4741" s="8">
        <v>39987.315405092595</v>
      </c>
      <c r="M4741" s="9" t="s">
        <v>19</v>
      </c>
      <c r="N4741" s="9" t="s">
        <v>20</v>
      </c>
      <c r="O4741" s="6" t="str">
        <f>HYPERLINK("https://pbs.twimg.com/profile_images/962471262747529216/Uo8lOkRJ_normal.jpg","View")</f>
        <v>View</v>
      </c>
      <c r="P4741" s="7"/>
    </row>
    <row r="4742" spans="1:16">
      <c r="A4742" s="3">
        <v>43926.832627314812</v>
      </c>
      <c r="B4742" s="4" t="str">
        <f>HYPERLINK("https://twitter.com/petrogustavo","@petrogustavo")</f>
        <v>@petrogustavo</v>
      </c>
      <c r="C4742" s="5" t="s">
        <v>16</v>
      </c>
      <c r="D4742" s="5" t="s">
        <v>4646</v>
      </c>
      <c r="E4742" s="6" t="str">
        <f>HYPERLINK("https://twitter.com/petrogustavo/status/1246807048358113282","1246807048358113282")</f>
        <v>1246807048358113282</v>
      </c>
      <c r="F4742" s="7" t="s">
        <v>17</v>
      </c>
      <c r="G4742" s="7">
        <v>3741152</v>
      </c>
      <c r="H4742" s="7">
        <v>2375</v>
      </c>
      <c r="I4742" s="7">
        <v>66</v>
      </c>
      <c r="J4742" s="7">
        <v>119</v>
      </c>
      <c r="K4742" s="7" t="s">
        <v>18</v>
      </c>
      <c r="L4742" s="8">
        <v>39987.315405092595</v>
      </c>
      <c r="M4742" s="9" t="s">
        <v>19</v>
      </c>
      <c r="N4742" s="9" t="s">
        <v>20</v>
      </c>
      <c r="O4742" s="6" t="str">
        <f>HYPERLINK("https://pbs.twimg.com/profile_images/962471262747529216/Uo8lOkRJ_normal.jpg","View")</f>
        <v>View</v>
      </c>
      <c r="P4742" s="7"/>
    </row>
    <row r="4743" spans="1:16">
      <c r="A4743" s="3">
        <v>43926.842094907406</v>
      </c>
      <c r="B4743" s="4" t="str">
        <f>HYPERLINK("https://twitter.com/petrogustavo","@petrogustavo")</f>
        <v>@petrogustavo</v>
      </c>
      <c r="C4743" s="5" t="s">
        <v>16</v>
      </c>
      <c r="D4743" s="5" t="s">
        <v>4647</v>
      </c>
      <c r="E4743" s="6" t="str">
        <f>HYPERLINK("https://twitter.com/petrogustavo/status/1246810477356822529","1246810477356822529")</f>
        <v>1246810477356822529</v>
      </c>
      <c r="F4743" s="7" t="s">
        <v>17</v>
      </c>
      <c r="G4743" s="7">
        <v>3741223</v>
      </c>
      <c r="H4743" s="7">
        <v>2375</v>
      </c>
      <c r="I4743" s="7">
        <v>82</v>
      </c>
      <c r="J4743" s="7">
        <v>181</v>
      </c>
      <c r="K4743" s="7" t="s">
        <v>18</v>
      </c>
      <c r="L4743" s="8">
        <v>39987.315405092595</v>
      </c>
      <c r="M4743" s="9" t="s">
        <v>19</v>
      </c>
      <c r="N4743" s="9" t="s">
        <v>20</v>
      </c>
      <c r="O4743" s="6" t="str">
        <f>HYPERLINK("https://pbs.twimg.com/profile_images/962471262747529216/Uo8lOkRJ_normal.jpg","View")</f>
        <v>View</v>
      </c>
      <c r="P4743" s="7"/>
    </row>
    <row r="4744" spans="1:16">
      <c r="A4744" s="3">
        <v>43926.847326388888</v>
      </c>
      <c r="B4744" s="4" t="str">
        <f>HYPERLINK("https://twitter.com/petrogustavo","@petrogustavo")</f>
        <v>@petrogustavo</v>
      </c>
      <c r="C4744" s="5" t="s">
        <v>16</v>
      </c>
      <c r="D4744" s="5" t="s">
        <v>4648</v>
      </c>
      <c r="E4744" s="6" t="str">
        <f>HYPERLINK("https://twitter.com/petrogustavo/status/1246812374511824902","1246812374511824902")</f>
        <v>1246812374511824902</v>
      </c>
      <c r="F4744" s="7" t="s">
        <v>17</v>
      </c>
      <c r="G4744" s="7">
        <v>3741223</v>
      </c>
      <c r="H4744" s="7">
        <v>2375</v>
      </c>
      <c r="I4744" s="7">
        <v>120</v>
      </c>
      <c r="J4744" s="7">
        <v>0</v>
      </c>
      <c r="K4744" s="7" t="s">
        <v>18</v>
      </c>
      <c r="L4744" s="8">
        <v>39987.315405092595</v>
      </c>
      <c r="M4744" s="9" t="s">
        <v>19</v>
      </c>
      <c r="N4744" s="9" t="s">
        <v>20</v>
      </c>
      <c r="O4744" s="6" t="str">
        <f>HYPERLINK("https://pbs.twimg.com/profile_images/962471262747529216/Uo8lOkRJ_normal.jpg","View")</f>
        <v>View</v>
      </c>
      <c r="P4744" s="7"/>
    </row>
    <row r="4745" spans="1:16">
      <c r="A4745" s="3">
        <v>43926.851666666669</v>
      </c>
      <c r="B4745" s="4" t="str">
        <f>HYPERLINK("https://twitter.com/petrogustavo","@petrogustavo")</f>
        <v>@petrogustavo</v>
      </c>
      <c r="C4745" s="5" t="s">
        <v>16</v>
      </c>
      <c r="D4745" s="5" t="s">
        <v>4649</v>
      </c>
      <c r="E4745" s="6" t="str">
        <f>HYPERLINK("https://twitter.com/petrogustavo/status/1246813948969717760","1246813948969717760")</f>
        <v>1246813948969717760</v>
      </c>
      <c r="F4745" s="7" t="s">
        <v>17</v>
      </c>
      <c r="G4745" s="7">
        <v>3741223</v>
      </c>
      <c r="H4745" s="7">
        <v>2375</v>
      </c>
      <c r="I4745" s="7">
        <v>50</v>
      </c>
      <c r="J4745" s="7">
        <v>86</v>
      </c>
      <c r="K4745" s="7" t="s">
        <v>18</v>
      </c>
      <c r="L4745" s="8">
        <v>39987.315405092595</v>
      </c>
      <c r="M4745" s="9" t="s">
        <v>19</v>
      </c>
      <c r="N4745" s="9" t="s">
        <v>20</v>
      </c>
      <c r="O4745" s="6" t="str">
        <f>HYPERLINK("https://pbs.twimg.com/profile_images/962471262747529216/Uo8lOkRJ_normal.jpg","View")</f>
        <v>View</v>
      </c>
      <c r="P4745" s="7"/>
    </row>
    <row r="4746" spans="1:16">
      <c r="A4746" s="3">
        <v>43926.873020833329</v>
      </c>
      <c r="B4746" s="4" t="str">
        <f>HYPERLINK("https://twitter.com/petrogustavo","@petrogustavo")</f>
        <v>@petrogustavo</v>
      </c>
      <c r="C4746" s="5" t="s">
        <v>16</v>
      </c>
      <c r="D4746" s="5" t="s">
        <v>4650</v>
      </c>
      <c r="E4746" s="6" t="str">
        <f>HYPERLINK("https://twitter.com/petrogustavo/status/1246821688110612480","1246821688110612480")</f>
        <v>1246821688110612480</v>
      </c>
      <c r="F4746" s="7" t="s">
        <v>17</v>
      </c>
      <c r="G4746" s="7">
        <v>3741266</v>
      </c>
      <c r="H4746" s="7">
        <v>2375</v>
      </c>
      <c r="I4746" s="7">
        <v>111</v>
      </c>
      <c r="J4746" s="7">
        <v>173</v>
      </c>
      <c r="K4746" s="7" t="s">
        <v>18</v>
      </c>
      <c r="L4746" s="8">
        <v>39987.315405092595</v>
      </c>
      <c r="M4746" s="9" t="s">
        <v>19</v>
      </c>
      <c r="N4746" s="9" t="s">
        <v>20</v>
      </c>
      <c r="O4746" s="6" t="str">
        <f>HYPERLINK("https://pbs.twimg.com/profile_images/962471262747529216/Uo8lOkRJ_normal.jpg","View")</f>
        <v>View</v>
      </c>
      <c r="P4746" s="7"/>
    </row>
    <row r="4747" spans="1:16">
      <c r="A4747" s="3">
        <v>43926.877187499995</v>
      </c>
      <c r="B4747" s="4" t="str">
        <f>HYPERLINK("https://twitter.com/petrogustavo","@petrogustavo")</f>
        <v>@petrogustavo</v>
      </c>
      <c r="C4747" s="5" t="s">
        <v>16</v>
      </c>
      <c r="D4747" s="5" t="s">
        <v>4651</v>
      </c>
      <c r="E4747" s="6" t="str">
        <f>HYPERLINK("https://twitter.com/petrogustavo/status/1246823194662748160","1246823194662748160")</f>
        <v>1246823194662748160</v>
      </c>
      <c r="F4747" s="7" t="s">
        <v>17</v>
      </c>
      <c r="G4747" s="7">
        <v>3741320</v>
      </c>
      <c r="H4747" s="7">
        <v>2375</v>
      </c>
      <c r="I4747" s="7">
        <v>456</v>
      </c>
      <c r="J4747" s="7">
        <v>0</v>
      </c>
      <c r="K4747" s="7" t="s">
        <v>18</v>
      </c>
      <c r="L4747" s="8">
        <v>39987.315405092595</v>
      </c>
      <c r="M4747" s="9" t="s">
        <v>19</v>
      </c>
      <c r="N4747" s="9" t="s">
        <v>20</v>
      </c>
      <c r="O4747" s="6" t="str">
        <f>HYPERLINK("https://pbs.twimg.com/profile_images/962471262747529216/Uo8lOkRJ_normal.jpg","View")</f>
        <v>View</v>
      </c>
      <c r="P4747" s="7"/>
    </row>
    <row r="4748" spans="1:16">
      <c r="A4748" s="3">
        <v>43926.886273148149</v>
      </c>
      <c r="B4748" s="4" t="str">
        <f>HYPERLINK("https://twitter.com/petrogustavo","@petrogustavo")</f>
        <v>@petrogustavo</v>
      </c>
      <c r="C4748" s="5" t="s">
        <v>16</v>
      </c>
      <c r="D4748" s="5" t="s">
        <v>4652</v>
      </c>
      <c r="E4748" s="6" t="str">
        <f>HYPERLINK("https://twitter.com/petrogustavo/status/1246826489854734336","1246826489854734336")</f>
        <v>1246826489854734336</v>
      </c>
      <c r="F4748" s="7" t="s">
        <v>17</v>
      </c>
      <c r="G4748" s="7">
        <v>3741320</v>
      </c>
      <c r="H4748" s="7">
        <v>2375</v>
      </c>
      <c r="I4748" s="7">
        <v>131</v>
      </c>
      <c r="J4748" s="7">
        <v>244</v>
      </c>
      <c r="K4748" s="7" t="s">
        <v>18</v>
      </c>
      <c r="L4748" s="8">
        <v>39987.315405092595</v>
      </c>
      <c r="M4748" s="9" t="s">
        <v>19</v>
      </c>
      <c r="N4748" s="9" t="s">
        <v>20</v>
      </c>
      <c r="O4748" s="6" t="str">
        <f>HYPERLINK("https://pbs.twimg.com/profile_images/962471262747529216/Uo8lOkRJ_normal.jpg","View")</f>
        <v>View</v>
      </c>
      <c r="P4748" s="7"/>
    </row>
    <row r="4749" spans="1:16">
      <c r="A4749" s="3">
        <v>43926.8987037037</v>
      </c>
      <c r="B4749" s="4" t="str">
        <f>HYPERLINK("https://twitter.com/petrogustavo","@petrogustavo")</f>
        <v>@petrogustavo</v>
      </c>
      <c r="C4749" s="5" t="s">
        <v>16</v>
      </c>
      <c r="D4749" s="5" t="s">
        <v>4653</v>
      </c>
      <c r="E4749" s="6" t="str">
        <f>HYPERLINK("https://twitter.com/petrogustavo/status/1246830991907401733","1246830991907401733")</f>
        <v>1246830991907401733</v>
      </c>
      <c r="F4749" s="7" t="s">
        <v>17</v>
      </c>
      <c r="G4749" s="7">
        <v>3741396</v>
      </c>
      <c r="H4749" s="7">
        <v>2375</v>
      </c>
      <c r="I4749" s="7">
        <v>153</v>
      </c>
      <c r="J4749" s="7">
        <v>0</v>
      </c>
      <c r="K4749" s="7" t="s">
        <v>18</v>
      </c>
      <c r="L4749" s="8">
        <v>39987.315405092595</v>
      </c>
      <c r="M4749" s="9" t="s">
        <v>19</v>
      </c>
      <c r="N4749" s="9" t="s">
        <v>20</v>
      </c>
      <c r="O4749" s="6" t="str">
        <f>HYPERLINK("https://pbs.twimg.com/profile_images/962471262747529216/Uo8lOkRJ_normal.jpg","View")</f>
        <v>View</v>
      </c>
      <c r="P4749" s="7"/>
    </row>
    <row r="4750" spans="1:16">
      <c r="A4750" s="3">
        <v>43926.904317129629</v>
      </c>
      <c r="B4750" s="4" t="str">
        <f>HYPERLINK("https://twitter.com/petrogustavo","@petrogustavo")</f>
        <v>@petrogustavo</v>
      </c>
      <c r="C4750" s="5" t="s">
        <v>16</v>
      </c>
      <c r="D4750" s="5" t="s">
        <v>4654</v>
      </c>
      <c r="E4750" s="6" t="str">
        <f>HYPERLINK("https://twitter.com/petrogustavo/status/1246833027612893191","1246833027612893191")</f>
        <v>1246833027612893191</v>
      </c>
      <c r="F4750" s="7" t="s">
        <v>17</v>
      </c>
      <c r="G4750" s="7">
        <v>3741396</v>
      </c>
      <c r="H4750" s="7">
        <v>2375</v>
      </c>
      <c r="I4750" s="7">
        <v>29</v>
      </c>
      <c r="J4750" s="7">
        <v>107</v>
      </c>
      <c r="K4750" s="7" t="s">
        <v>18</v>
      </c>
      <c r="L4750" s="8">
        <v>39987.315405092595</v>
      </c>
      <c r="M4750" s="9" t="s">
        <v>19</v>
      </c>
      <c r="N4750" s="9" t="s">
        <v>20</v>
      </c>
      <c r="O4750" s="6" t="str">
        <f>HYPERLINK("https://pbs.twimg.com/profile_images/962471262747529216/Uo8lOkRJ_normal.jpg","View")</f>
        <v>View</v>
      </c>
      <c r="P4750" s="7"/>
    </row>
    <row r="4751" spans="1:16">
      <c r="A4751" s="3">
        <v>43926.922118055554</v>
      </c>
      <c r="B4751" s="4" t="str">
        <f>HYPERLINK("https://twitter.com/petrogustavo","@petrogustavo")</f>
        <v>@petrogustavo</v>
      </c>
      <c r="C4751" s="5" t="s">
        <v>16</v>
      </c>
      <c r="D4751" s="5" t="s">
        <v>4655</v>
      </c>
      <c r="E4751" s="6" t="str">
        <f>HYPERLINK("https://twitter.com/petrogustavo/status/1246839479056445441","1246839479056445441")</f>
        <v>1246839479056445441</v>
      </c>
      <c r="F4751" s="7" t="s">
        <v>17</v>
      </c>
      <c r="G4751" s="7">
        <v>3741453</v>
      </c>
      <c r="H4751" s="7">
        <v>2375</v>
      </c>
      <c r="I4751" s="7">
        <v>85</v>
      </c>
      <c r="J4751" s="7">
        <v>209</v>
      </c>
      <c r="K4751" s="7" t="s">
        <v>18</v>
      </c>
      <c r="L4751" s="8">
        <v>39987.315405092595</v>
      </c>
      <c r="M4751" s="9" t="s">
        <v>19</v>
      </c>
      <c r="N4751" s="9" t="s">
        <v>20</v>
      </c>
      <c r="O4751" s="6" t="str">
        <f>HYPERLINK("https://pbs.twimg.com/profile_images/962471262747529216/Uo8lOkRJ_normal.jpg","View")</f>
        <v>View</v>
      </c>
      <c r="P4751" s="7"/>
    </row>
    <row r="4752" spans="1:16">
      <c r="A4752" s="3">
        <v>43926.933206018519</v>
      </c>
      <c r="B4752" s="4" t="str">
        <f>HYPERLINK("https://twitter.com/petrogustavo","@petrogustavo")</f>
        <v>@petrogustavo</v>
      </c>
      <c r="C4752" s="5" t="s">
        <v>16</v>
      </c>
      <c r="D4752" s="5" t="s">
        <v>4656</v>
      </c>
      <c r="E4752" s="6" t="str">
        <f>HYPERLINK("https://twitter.com/petrogustavo/status/1246843497958846465","1246843497958846465")</f>
        <v>1246843497958846465</v>
      </c>
      <c r="F4752" s="7" t="s">
        <v>17</v>
      </c>
      <c r="G4752" s="7">
        <v>3741453</v>
      </c>
      <c r="H4752" s="7">
        <v>2375</v>
      </c>
      <c r="I4752" s="7">
        <v>68</v>
      </c>
      <c r="J4752" s="7">
        <v>158</v>
      </c>
      <c r="K4752" s="7" t="s">
        <v>18</v>
      </c>
      <c r="L4752" s="8">
        <v>39987.315405092595</v>
      </c>
      <c r="M4752" s="9" t="s">
        <v>19</v>
      </c>
      <c r="N4752" s="9" t="s">
        <v>20</v>
      </c>
      <c r="O4752" s="6" t="str">
        <f>HYPERLINK("https://pbs.twimg.com/profile_images/962471262747529216/Uo8lOkRJ_normal.jpg","View")</f>
        <v>View</v>
      </c>
      <c r="P4752" s="7"/>
    </row>
    <row r="4753" spans="1:16">
      <c r="A4753" s="3">
        <v>43926.942604166667</v>
      </c>
      <c r="B4753" s="4" t="str">
        <f>HYPERLINK("https://twitter.com/petrogustavo","@petrogustavo")</f>
        <v>@petrogustavo</v>
      </c>
      <c r="C4753" s="5" t="s">
        <v>16</v>
      </c>
      <c r="D4753" s="5" t="s">
        <v>4657</v>
      </c>
      <c r="E4753" s="6" t="str">
        <f>HYPERLINK("https://twitter.com/petrogustavo/status/1246846903217786884","1246846903217786884")</f>
        <v>1246846903217786884</v>
      </c>
      <c r="F4753" s="7" t="s">
        <v>17</v>
      </c>
      <c r="G4753" s="7">
        <v>3741490</v>
      </c>
      <c r="H4753" s="7">
        <v>2374</v>
      </c>
      <c r="I4753" s="7">
        <v>69</v>
      </c>
      <c r="J4753" s="7">
        <v>137</v>
      </c>
      <c r="K4753" s="7" t="s">
        <v>18</v>
      </c>
      <c r="L4753" s="8">
        <v>39987.315405092595</v>
      </c>
      <c r="M4753" s="9" t="s">
        <v>19</v>
      </c>
      <c r="N4753" s="9" t="s">
        <v>20</v>
      </c>
      <c r="O4753" s="6" t="str">
        <f>HYPERLINK("https://pbs.twimg.com/profile_images/962471262747529216/Uo8lOkRJ_normal.jpg","View")</f>
        <v>View</v>
      </c>
      <c r="P4753" s="7"/>
    </row>
    <row r="4754" spans="1:16">
      <c r="A4754" s="3">
        <v>43926.955011574071</v>
      </c>
      <c r="B4754" s="4" t="str">
        <f>HYPERLINK("https://twitter.com/petrogustavo","@petrogustavo")</f>
        <v>@petrogustavo</v>
      </c>
      <c r="C4754" s="5" t="s">
        <v>16</v>
      </c>
      <c r="D4754" s="5" t="s">
        <v>4658</v>
      </c>
      <c r="E4754" s="6" t="str">
        <f>HYPERLINK("https://twitter.com/petrogustavo/status/1246851400161779712","1246851400161779712")</f>
        <v>1246851400161779712</v>
      </c>
      <c r="F4754" s="7" t="s">
        <v>17</v>
      </c>
      <c r="G4754" s="7">
        <v>3741490</v>
      </c>
      <c r="H4754" s="7">
        <v>2374</v>
      </c>
      <c r="I4754" s="7">
        <v>40</v>
      </c>
      <c r="J4754" s="7">
        <v>109</v>
      </c>
      <c r="K4754" s="7" t="s">
        <v>18</v>
      </c>
      <c r="L4754" s="8">
        <v>39987.315405092595</v>
      </c>
      <c r="M4754" s="9" t="s">
        <v>19</v>
      </c>
      <c r="N4754" s="9" t="s">
        <v>20</v>
      </c>
      <c r="O4754" s="6" t="str">
        <f>HYPERLINK("https://pbs.twimg.com/profile_images/962471262747529216/Uo8lOkRJ_normal.jpg","View")</f>
        <v>View</v>
      </c>
      <c r="P4754" s="7"/>
    </row>
    <row r="4755" spans="1:16">
      <c r="A4755" s="3">
        <v>43926.956377314811</v>
      </c>
      <c r="B4755" s="4" t="str">
        <f>HYPERLINK("https://twitter.com/petrogustavo","@petrogustavo")</f>
        <v>@petrogustavo</v>
      </c>
      <c r="C4755" s="5" t="s">
        <v>16</v>
      </c>
      <c r="D4755" s="5" t="s">
        <v>4659</v>
      </c>
      <c r="E4755" s="6" t="str">
        <f>HYPERLINK("https://twitter.com/petrogustavo/status/1246851894649278466","1246851894649278466")</f>
        <v>1246851894649278466</v>
      </c>
      <c r="F4755" s="7" t="s">
        <v>17</v>
      </c>
      <c r="G4755" s="7">
        <v>3741490</v>
      </c>
      <c r="H4755" s="7">
        <v>2374</v>
      </c>
      <c r="I4755" s="7">
        <v>288</v>
      </c>
      <c r="J4755" s="7">
        <v>0</v>
      </c>
      <c r="K4755" s="7" t="s">
        <v>18</v>
      </c>
      <c r="L4755" s="8">
        <v>39987.315405092595</v>
      </c>
      <c r="M4755" s="9" t="s">
        <v>19</v>
      </c>
      <c r="N4755" s="9" t="s">
        <v>20</v>
      </c>
      <c r="O4755" s="6" t="str">
        <f>HYPERLINK("https://pbs.twimg.com/profile_images/962471262747529216/Uo8lOkRJ_normal.jpg","View")</f>
        <v>View</v>
      </c>
      <c r="P4755" s="7"/>
    </row>
    <row r="4756" spans="1:16">
      <c r="A4756" s="3">
        <v>43926.961134259254</v>
      </c>
      <c r="B4756" s="4" t="str">
        <f>HYPERLINK("https://twitter.com/petrogustavo","@petrogustavo")</f>
        <v>@petrogustavo</v>
      </c>
      <c r="C4756" s="5" t="s">
        <v>16</v>
      </c>
      <c r="D4756" s="5" t="s">
        <v>4660</v>
      </c>
      <c r="E4756" s="6" t="str">
        <f>HYPERLINK("https://twitter.com/petrogustavo/status/1246853617988046850","1246853617988046850")</f>
        <v>1246853617988046850</v>
      </c>
      <c r="F4756" s="7" t="s">
        <v>17</v>
      </c>
      <c r="G4756" s="7">
        <v>3741548</v>
      </c>
      <c r="H4756" s="7">
        <v>2374</v>
      </c>
      <c r="I4756" s="7">
        <v>147</v>
      </c>
      <c r="J4756" s="7">
        <v>283</v>
      </c>
      <c r="K4756" s="7" t="s">
        <v>18</v>
      </c>
      <c r="L4756" s="8">
        <v>39987.315405092595</v>
      </c>
      <c r="M4756" s="9" t="s">
        <v>19</v>
      </c>
      <c r="N4756" s="9" t="s">
        <v>20</v>
      </c>
      <c r="O4756" s="6" t="str">
        <f>HYPERLINK("https://pbs.twimg.com/profile_images/962471262747529216/Uo8lOkRJ_normal.jpg","View")</f>
        <v>View</v>
      </c>
      <c r="P4756" s="7"/>
    </row>
    <row r="4757" spans="1:16">
      <c r="A4757" s="3">
        <v>43926.963009259256</v>
      </c>
      <c r="B4757" s="4" t="str">
        <f>HYPERLINK("https://twitter.com/petrogustavo","@petrogustavo")</f>
        <v>@petrogustavo</v>
      </c>
      <c r="C4757" s="5" t="s">
        <v>16</v>
      </c>
      <c r="D4757" s="5" t="s">
        <v>4661</v>
      </c>
      <c r="E4757" s="6" t="str">
        <f>HYPERLINK("https://twitter.com/petrogustavo/status/1246854297918242817","1246854297918242817")</f>
        <v>1246854297918242817</v>
      </c>
      <c r="F4757" s="7" t="s">
        <v>17</v>
      </c>
      <c r="G4757" s="7">
        <v>3741548</v>
      </c>
      <c r="H4757" s="7">
        <v>2374</v>
      </c>
      <c r="I4757" s="7">
        <v>318</v>
      </c>
      <c r="J4757" s="7">
        <v>924</v>
      </c>
      <c r="K4757" s="7" t="s">
        <v>18</v>
      </c>
      <c r="L4757" s="8">
        <v>39987.315405092595</v>
      </c>
      <c r="M4757" s="9" t="s">
        <v>19</v>
      </c>
      <c r="N4757" s="9" t="s">
        <v>20</v>
      </c>
      <c r="O4757" s="6" t="str">
        <f>HYPERLINK("https://pbs.twimg.com/profile_images/962471262747529216/Uo8lOkRJ_normal.jpg","View")</f>
        <v>View</v>
      </c>
      <c r="P4757" s="7"/>
    </row>
    <row r="4758" spans="1:16">
      <c r="A4758" s="3">
        <v>43926.965844907405</v>
      </c>
      <c r="B4758" s="4" t="str">
        <f>HYPERLINK("https://twitter.com/petrogustavo","@petrogustavo")</f>
        <v>@petrogustavo</v>
      </c>
      <c r="C4758" s="5" t="s">
        <v>16</v>
      </c>
      <c r="D4758" s="5" t="s">
        <v>4662</v>
      </c>
      <c r="E4758" s="6" t="str">
        <f>HYPERLINK("https://twitter.com/petrogustavo/status/1246855324369391618","1246855324369391618")</f>
        <v>1246855324369391618</v>
      </c>
      <c r="F4758" s="7" t="s">
        <v>17</v>
      </c>
      <c r="G4758" s="7">
        <v>3741548</v>
      </c>
      <c r="H4758" s="7">
        <v>2374</v>
      </c>
      <c r="I4758" s="7">
        <v>176</v>
      </c>
      <c r="J4758" s="7">
        <v>298</v>
      </c>
      <c r="K4758" s="7" t="s">
        <v>18</v>
      </c>
      <c r="L4758" s="8">
        <v>39987.315405092595</v>
      </c>
      <c r="M4758" s="9" t="s">
        <v>19</v>
      </c>
      <c r="N4758" s="9" t="s">
        <v>20</v>
      </c>
      <c r="O4758" s="6" t="str">
        <f>HYPERLINK("https://pbs.twimg.com/profile_images/962471262747529216/Uo8lOkRJ_normal.jpg","View")</f>
        <v>View</v>
      </c>
      <c r="P4758" s="7"/>
    </row>
    <row r="4759" spans="1:16">
      <c r="A4759" s="3">
        <v>43926.983634259261</v>
      </c>
      <c r="B4759" s="4" t="str">
        <f>HYPERLINK("https://twitter.com/petrogustavo","@petrogustavo")</f>
        <v>@petrogustavo</v>
      </c>
      <c r="C4759" s="5" t="s">
        <v>16</v>
      </c>
      <c r="D4759" s="5" t="s">
        <v>4663</v>
      </c>
      <c r="E4759" s="6" t="str">
        <f>HYPERLINK("https://twitter.com/petrogustavo/status/1246861772302233600","1246861772302233600")</f>
        <v>1246861772302233600</v>
      </c>
      <c r="F4759" s="7" t="s">
        <v>17</v>
      </c>
      <c r="G4759" s="7">
        <v>3741597</v>
      </c>
      <c r="H4759" s="7">
        <v>2374</v>
      </c>
      <c r="I4759" s="7">
        <v>104</v>
      </c>
      <c r="J4759" s="7">
        <v>237</v>
      </c>
      <c r="K4759" s="7" t="s">
        <v>18</v>
      </c>
      <c r="L4759" s="8">
        <v>39987.315405092595</v>
      </c>
      <c r="M4759" s="9" t="s">
        <v>19</v>
      </c>
      <c r="N4759" s="9" t="s">
        <v>20</v>
      </c>
      <c r="O4759" s="6" t="str">
        <f>HYPERLINK("https://pbs.twimg.com/profile_images/962471262747529216/Uo8lOkRJ_normal.jpg","View")</f>
        <v>View</v>
      </c>
      <c r="P4759" s="7"/>
    </row>
    <row r="4760" spans="1:16">
      <c r="A4760" s="3">
        <v>43926.987349537041</v>
      </c>
      <c r="B4760" s="4" t="str">
        <f>HYPERLINK("https://twitter.com/petrogustavo","@petrogustavo")</f>
        <v>@petrogustavo</v>
      </c>
      <c r="C4760" s="5" t="s">
        <v>16</v>
      </c>
      <c r="D4760" s="5" t="s">
        <v>4664</v>
      </c>
      <c r="E4760" s="6" t="str">
        <f>HYPERLINK("https://twitter.com/petrogustavo/status/1246863118065643522","1246863118065643522")</f>
        <v>1246863118065643522</v>
      </c>
      <c r="F4760" s="7" t="s">
        <v>17</v>
      </c>
      <c r="G4760" s="7">
        <v>3741597</v>
      </c>
      <c r="H4760" s="7">
        <v>2374</v>
      </c>
      <c r="I4760" s="7">
        <v>378</v>
      </c>
      <c r="J4760" s="7">
        <v>1425</v>
      </c>
      <c r="K4760" s="7" t="s">
        <v>18</v>
      </c>
      <c r="L4760" s="8">
        <v>39987.315405092595</v>
      </c>
      <c r="M4760" s="9" t="s">
        <v>19</v>
      </c>
      <c r="N4760" s="9" t="s">
        <v>20</v>
      </c>
      <c r="O4760" s="6" t="str">
        <f>HYPERLINK("https://pbs.twimg.com/profile_images/962471262747529216/Uo8lOkRJ_normal.jpg","View")</f>
        <v>View</v>
      </c>
      <c r="P4760" s="7"/>
    </row>
    <row r="4761" spans="1:16">
      <c r="A4761" s="3">
        <v>43926.99627314815</v>
      </c>
      <c r="B4761" s="4" t="str">
        <f>HYPERLINK("https://twitter.com/petrogustavo","@petrogustavo")</f>
        <v>@petrogustavo</v>
      </c>
      <c r="C4761" s="5" t="s">
        <v>16</v>
      </c>
      <c r="D4761" s="5" t="s">
        <v>4665</v>
      </c>
      <c r="E4761" s="6" t="str">
        <f>HYPERLINK("https://twitter.com/petrogustavo/status/1246866351974727681","1246866351974727681")</f>
        <v>1246866351974727681</v>
      </c>
      <c r="F4761" s="7" t="s">
        <v>17</v>
      </c>
      <c r="G4761" s="7">
        <v>3741597</v>
      </c>
      <c r="H4761" s="7">
        <v>2374</v>
      </c>
      <c r="I4761" s="7">
        <v>87</v>
      </c>
      <c r="J4761" s="7">
        <v>322</v>
      </c>
      <c r="K4761" s="7" t="s">
        <v>18</v>
      </c>
      <c r="L4761" s="8">
        <v>39987.315405092595</v>
      </c>
      <c r="M4761" s="9" t="s">
        <v>19</v>
      </c>
      <c r="N4761" s="9" t="s">
        <v>20</v>
      </c>
      <c r="O4761" s="6" t="str">
        <f>HYPERLINK("https://pbs.twimg.com/profile_images/962471262747529216/Uo8lOkRJ_normal.jpg","View")</f>
        <v>View</v>
      </c>
      <c r="P4761" s="7"/>
    </row>
    <row r="4762" spans="1:16">
      <c r="A4762" s="3">
        <v>43927.003460648149</v>
      </c>
      <c r="B4762" s="4" t="str">
        <f>HYPERLINK("https://twitter.com/petrogustavo","@petrogustavo")</f>
        <v>@petrogustavo</v>
      </c>
      <c r="C4762" s="5" t="s">
        <v>16</v>
      </c>
      <c r="D4762" s="5" t="s">
        <v>4666</v>
      </c>
      <c r="E4762" s="6" t="str">
        <f>HYPERLINK("https://twitter.com/petrogustavo/status/1246868957996421121","1246868957996421121")</f>
        <v>1246868957996421121</v>
      </c>
      <c r="F4762" s="7" t="s">
        <v>17</v>
      </c>
      <c r="G4762" s="7">
        <v>3741652</v>
      </c>
      <c r="H4762" s="7">
        <v>2374</v>
      </c>
      <c r="I4762" s="7">
        <v>299</v>
      </c>
      <c r="J4762" s="7">
        <v>831</v>
      </c>
      <c r="K4762" s="7" t="s">
        <v>18</v>
      </c>
      <c r="L4762" s="8">
        <v>39987.315405092595</v>
      </c>
      <c r="M4762" s="9" t="s">
        <v>19</v>
      </c>
      <c r="N4762" s="9" t="s">
        <v>20</v>
      </c>
      <c r="O4762" s="6" t="str">
        <f>HYPERLINK("https://pbs.twimg.com/profile_images/962471262747529216/Uo8lOkRJ_normal.jpg","View")</f>
        <v>View</v>
      </c>
      <c r="P4762" s="7"/>
    </row>
    <row r="4763" spans="1:16">
      <c r="A4763" s="3">
        <v>43927.022592592592</v>
      </c>
      <c r="B4763" s="4" t="str">
        <f>HYPERLINK("https://twitter.com/petrogustavo","@petrogustavo")</f>
        <v>@petrogustavo</v>
      </c>
      <c r="C4763" s="5" t="s">
        <v>16</v>
      </c>
      <c r="D4763" s="5" t="s">
        <v>4667</v>
      </c>
      <c r="E4763" s="6" t="str">
        <f>HYPERLINK("https://twitter.com/petrogustavo/status/1246875889218002944","1246875889218002944")</f>
        <v>1246875889218002944</v>
      </c>
      <c r="F4763" s="7" t="s">
        <v>17</v>
      </c>
      <c r="G4763" s="7">
        <v>3741652</v>
      </c>
      <c r="H4763" s="7">
        <v>2374</v>
      </c>
      <c r="I4763" s="7">
        <v>1</v>
      </c>
      <c r="J4763" s="7">
        <v>4</v>
      </c>
      <c r="K4763" s="7" t="s">
        <v>18</v>
      </c>
      <c r="L4763" s="8">
        <v>39987.315405092595</v>
      </c>
      <c r="M4763" s="9" t="s">
        <v>19</v>
      </c>
      <c r="N4763" s="9" t="s">
        <v>20</v>
      </c>
      <c r="O4763" s="6" t="str">
        <f>HYPERLINK("https://pbs.twimg.com/profile_images/962471262747529216/Uo8lOkRJ_normal.jpg","View")</f>
        <v>View</v>
      </c>
      <c r="P4763" s="7"/>
    </row>
    <row r="4764" spans="1:16">
      <c r="A4764" s="3">
        <v>43927.071273148147</v>
      </c>
      <c r="B4764" s="4" t="str">
        <f>HYPERLINK("https://twitter.com/petrogustavo","@petrogustavo")</f>
        <v>@petrogustavo</v>
      </c>
      <c r="C4764" s="5" t="s">
        <v>16</v>
      </c>
      <c r="D4764" s="5" t="s">
        <v>4668</v>
      </c>
      <c r="E4764" s="6" t="str">
        <f>HYPERLINK("https://twitter.com/petrogustavo/status/1246893531169460227","1246893531169460227")</f>
        <v>1246893531169460227</v>
      </c>
      <c r="F4764" s="7" t="s">
        <v>17</v>
      </c>
      <c r="G4764" s="7">
        <v>3741790</v>
      </c>
      <c r="H4764" s="7">
        <v>2375</v>
      </c>
      <c r="I4764" s="7">
        <v>324</v>
      </c>
      <c r="J4764" s="7">
        <v>0</v>
      </c>
      <c r="K4764" s="7" t="s">
        <v>18</v>
      </c>
      <c r="L4764" s="8">
        <v>39987.315405092595</v>
      </c>
      <c r="M4764" s="9" t="s">
        <v>19</v>
      </c>
      <c r="N4764" s="9" t="s">
        <v>20</v>
      </c>
      <c r="O4764" s="6" t="str">
        <f>HYPERLINK("https://pbs.twimg.com/profile_images/962471262747529216/Uo8lOkRJ_normal.jpg","View")</f>
        <v>View</v>
      </c>
      <c r="P4764" s="7"/>
    </row>
    <row r="4765" spans="1:16">
      <c r="A4765" s="3">
        <v>43927.085324074069</v>
      </c>
      <c r="B4765" s="4" t="str">
        <f>HYPERLINK("https://twitter.com/petrogustavo","@petrogustavo")</f>
        <v>@petrogustavo</v>
      </c>
      <c r="C4765" s="5" t="s">
        <v>16</v>
      </c>
      <c r="D4765" s="5" t="s">
        <v>4669</v>
      </c>
      <c r="E4765" s="6" t="str">
        <f>HYPERLINK("https://twitter.com/petrogustavo/status/1246898622291226625","1246898622291226625")</f>
        <v>1246898622291226625</v>
      </c>
      <c r="F4765" s="7" t="s">
        <v>17</v>
      </c>
      <c r="G4765" s="7">
        <v>3741790</v>
      </c>
      <c r="H4765" s="7">
        <v>2375</v>
      </c>
      <c r="I4765" s="7">
        <v>0</v>
      </c>
      <c r="J4765" s="7">
        <v>0</v>
      </c>
      <c r="K4765" s="7" t="s">
        <v>18</v>
      </c>
      <c r="L4765" s="8">
        <v>39987.315405092595</v>
      </c>
      <c r="M4765" s="9" t="s">
        <v>19</v>
      </c>
      <c r="N4765" s="9" t="s">
        <v>20</v>
      </c>
      <c r="O4765" s="6" t="str">
        <f>HYPERLINK("https://pbs.twimg.com/profile_images/962471262747529216/Uo8lOkRJ_normal.jpg","View")</f>
        <v>View</v>
      </c>
      <c r="P4765" s="7"/>
    </row>
    <row r="4766" spans="1:16">
      <c r="A4766" s="3">
        <v>43927.088506944448</v>
      </c>
      <c r="B4766" s="4" t="str">
        <f>HYPERLINK("https://twitter.com/petrogustavo","@petrogustavo")</f>
        <v>@petrogustavo</v>
      </c>
      <c r="C4766" s="5" t="s">
        <v>16</v>
      </c>
      <c r="D4766" s="5" t="s">
        <v>4670</v>
      </c>
      <c r="E4766" s="6" t="str">
        <f>HYPERLINK("https://twitter.com/petrogustavo/status/1246899774151852033","1246899774151852033")</f>
        <v>1246899774151852033</v>
      </c>
      <c r="F4766" s="7" t="s">
        <v>17</v>
      </c>
      <c r="G4766" s="7">
        <v>3741823</v>
      </c>
      <c r="H4766" s="7">
        <v>2375</v>
      </c>
      <c r="I4766" s="7">
        <v>786</v>
      </c>
      <c r="J4766" s="7">
        <v>0</v>
      </c>
      <c r="K4766" s="7" t="s">
        <v>18</v>
      </c>
      <c r="L4766" s="8">
        <v>39987.315405092595</v>
      </c>
      <c r="M4766" s="9" t="s">
        <v>19</v>
      </c>
      <c r="N4766" s="9" t="s">
        <v>20</v>
      </c>
      <c r="O4766" s="6" t="str">
        <f>HYPERLINK("https://pbs.twimg.com/profile_images/962471262747529216/Uo8lOkRJ_normal.jpg","View")</f>
        <v>View</v>
      </c>
      <c r="P4766" s="7"/>
    </row>
    <row r="4767" spans="1:16">
      <c r="A4767" s="3">
        <v>43927.182881944449</v>
      </c>
      <c r="B4767" s="4" t="str">
        <f>HYPERLINK("https://twitter.com/petrogustavo","@petrogustavo")</f>
        <v>@petrogustavo</v>
      </c>
      <c r="C4767" s="5" t="s">
        <v>16</v>
      </c>
      <c r="D4767" s="5" t="s">
        <v>4671</v>
      </c>
      <c r="E4767" s="6" t="str">
        <f>HYPERLINK("https://twitter.com/petrogustavo/status/1246933977690234880","1246933977690234880")</f>
        <v>1246933977690234880</v>
      </c>
      <c r="F4767" s="7" t="s">
        <v>17</v>
      </c>
      <c r="G4767" s="7">
        <v>3742034</v>
      </c>
      <c r="H4767" s="7">
        <v>2376</v>
      </c>
      <c r="I4767" s="7">
        <v>31</v>
      </c>
      <c r="J4767" s="7">
        <v>88</v>
      </c>
      <c r="K4767" s="7" t="s">
        <v>18</v>
      </c>
      <c r="L4767" s="8">
        <v>39987.315405092595</v>
      </c>
      <c r="M4767" s="9" t="s">
        <v>19</v>
      </c>
      <c r="N4767" s="9" t="s">
        <v>20</v>
      </c>
      <c r="O4767" s="6" t="str">
        <f>HYPERLINK("https://pbs.twimg.com/profile_images/962471262747529216/Uo8lOkRJ_normal.jpg","View")</f>
        <v>View</v>
      </c>
      <c r="P4767" s="7"/>
    </row>
    <row r="4768" spans="1:16">
      <c r="A4768" s="3">
        <v>43927.186018518521</v>
      </c>
      <c r="B4768" s="4" t="str">
        <f>HYPERLINK("https://twitter.com/petrogustavo","@petrogustavo")</f>
        <v>@petrogustavo</v>
      </c>
      <c r="C4768" s="5" t="s">
        <v>16</v>
      </c>
      <c r="D4768" s="5" t="s">
        <v>4672</v>
      </c>
      <c r="E4768" s="6" t="str">
        <f>HYPERLINK("https://twitter.com/petrogustavo/status/1246935114917036034","1246935114917036034")</f>
        <v>1246935114917036034</v>
      </c>
      <c r="F4768" s="7" t="s">
        <v>17</v>
      </c>
      <c r="G4768" s="7">
        <v>3742034</v>
      </c>
      <c r="H4768" s="7">
        <v>2376</v>
      </c>
      <c r="I4768" s="7">
        <v>9</v>
      </c>
      <c r="J4768" s="7">
        <v>44</v>
      </c>
      <c r="K4768" s="7" t="s">
        <v>18</v>
      </c>
      <c r="L4768" s="8">
        <v>39987.315405092595</v>
      </c>
      <c r="M4768" s="9" t="s">
        <v>19</v>
      </c>
      <c r="N4768" s="9" t="s">
        <v>20</v>
      </c>
      <c r="O4768" s="6" t="str">
        <f>HYPERLINK("https://pbs.twimg.com/profile_images/962471262747529216/Uo8lOkRJ_normal.jpg","View")</f>
        <v>View</v>
      </c>
      <c r="P4768" s="7"/>
    </row>
    <row r="4769" spans="1:16">
      <c r="A4769" s="3">
        <v>43927.194247685184</v>
      </c>
      <c r="B4769" s="4" t="str">
        <f>HYPERLINK("https://twitter.com/petrogustavo","@petrogustavo")</f>
        <v>@petrogustavo</v>
      </c>
      <c r="C4769" s="5" t="s">
        <v>16</v>
      </c>
      <c r="D4769" s="5" t="s">
        <v>4673</v>
      </c>
      <c r="E4769" s="6" t="str">
        <f>HYPERLINK("https://twitter.com/petrogustavo/status/1246938093170688000","1246938093170688000")</f>
        <v>1246938093170688000</v>
      </c>
      <c r="F4769" s="7" t="s">
        <v>17</v>
      </c>
      <c r="G4769" s="7">
        <v>3742075</v>
      </c>
      <c r="H4769" s="7">
        <v>2376</v>
      </c>
      <c r="I4769" s="7">
        <v>1257</v>
      </c>
      <c r="J4769" s="7">
        <v>0</v>
      </c>
      <c r="K4769" s="7" t="s">
        <v>18</v>
      </c>
      <c r="L4769" s="8">
        <v>39987.315405092595</v>
      </c>
      <c r="M4769" s="9" t="s">
        <v>19</v>
      </c>
      <c r="N4769" s="9" t="s">
        <v>20</v>
      </c>
      <c r="O4769" s="6" t="str">
        <f>HYPERLINK("https://pbs.twimg.com/profile_images/962471262747529216/Uo8lOkRJ_normal.jpg","View")</f>
        <v>View</v>
      </c>
      <c r="P4769" s="7"/>
    </row>
    <row r="4770" spans="1:16">
      <c r="A4770" s="3">
        <v>43927.201516203699</v>
      </c>
      <c r="B4770" s="4" t="str">
        <f>HYPERLINK("https://twitter.com/petrogustavo","@petrogustavo")</f>
        <v>@petrogustavo</v>
      </c>
      <c r="C4770" s="5" t="s">
        <v>16</v>
      </c>
      <c r="D4770" s="5" t="s">
        <v>4674</v>
      </c>
      <c r="E4770" s="6" t="str">
        <f>HYPERLINK("https://twitter.com/petrogustavo/status/1246940729450127361","1246940729450127361")</f>
        <v>1246940729450127361</v>
      </c>
      <c r="F4770" s="7" t="s">
        <v>17</v>
      </c>
      <c r="G4770" s="7">
        <v>3742075</v>
      </c>
      <c r="H4770" s="7">
        <v>2376</v>
      </c>
      <c r="I4770" s="7">
        <v>156</v>
      </c>
      <c r="J4770" s="7">
        <v>456</v>
      </c>
      <c r="K4770" s="7" t="s">
        <v>18</v>
      </c>
      <c r="L4770" s="8">
        <v>39987.315405092595</v>
      </c>
      <c r="M4770" s="9" t="s">
        <v>19</v>
      </c>
      <c r="N4770" s="9" t="s">
        <v>20</v>
      </c>
      <c r="O4770" s="6" t="str">
        <f>HYPERLINK("https://pbs.twimg.com/profile_images/962471262747529216/Uo8lOkRJ_normal.jpg","View")</f>
        <v>View</v>
      </c>
      <c r="P4770" s="7"/>
    </row>
    <row r="4771" spans="1:16">
      <c r="A4771" s="3">
        <v>43927.209409722222</v>
      </c>
      <c r="B4771" s="4" t="str">
        <f>HYPERLINK("https://twitter.com/petrogustavo","@petrogustavo")</f>
        <v>@petrogustavo</v>
      </c>
      <c r="C4771" s="5" t="s">
        <v>16</v>
      </c>
      <c r="D4771" s="5" t="s">
        <v>4675</v>
      </c>
      <c r="E4771" s="6" t="str">
        <f>HYPERLINK("https://twitter.com/petrogustavo/status/1246943590384795653","1246943590384795653")</f>
        <v>1246943590384795653</v>
      </c>
      <c r="F4771" s="7" t="s">
        <v>17</v>
      </c>
      <c r="G4771" s="7">
        <v>3742075</v>
      </c>
      <c r="H4771" s="7">
        <v>2376</v>
      </c>
      <c r="I4771" s="7">
        <v>38</v>
      </c>
      <c r="J4771" s="7">
        <v>115</v>
      </c>
      <c r="K4771" s="7" t="s">
        <v>18</v>
      </c>
      <c r="L4771" s="8">
        <v>39987.315405092595</v>
      </c>
      <c r="M4771" s="9" t="s">
        <v>19</v>
      </c>
      <c r="N4771" s="9" t="s">
        <v>20</v>
      </c>
      <c r="O4771" s="6" t="str">
        <f>HYPERLINK("https://pbs.twimg.com/profile_images/962471262747529216/Uo8lOkRJ_normal.jpg","View")</f>
        <v>View</v>
      </c>
      <c r="P4771" s="7"/>
    </row>
    <row r="4772" spans="1:16">
      <c r="A4772" s="3">
        <v>43927.21465277778</v>
      </c>
      <c r="B4772" s="4" t="str">
        <f>HYPERLINK("https://twitter.com/petrogustavo","@petrogustavo")</f>
        <v>@petrogustavo</v>
      </c>
      <c r="C4772" s="5" t="s">
        <v>16</v>
      </c>
      <c r="D4772" s="5" t="s">
        <v>4676</v>
      </c>
      <c r="E4772" s="6" t="str">
        <f>HYPERLINK("https://twitter.com/petrogustavo/status/1246945489536286721","1246945489536286721")</f>
        <v>1246945489536286721</v>
      </c>
      <c r="F4772" s="7" t="s">
        <v>17</v>
      </c>
      <c r="G4772" s="7">
        <v>3742123</v>
      </c>
      <c r="H4772" s="7">
        <v>2376</v>
      </c>
      <c r="I4772" s="7">
        <v>253</v>
      </c>
      <c r="J4772" s="7">
        <v>704</v>
      </c>
      <c r="K4772" s="7" t="s">
        <v>18</v>
      </c>
      <c r="L4772" s="8">
        <v>39987.315405092595</v>
      </c>
      <c r="M4772" s="9" t="s">
        <v>19</v>
      </c>
      <c r="N4772" s="9" t="s">
        <v>20</v>
      </c>
      <c r="O4772" s="6" t="str">
        <f>HYPERLINK("https://pbs.twimg.com/profile_images/962471262747529216/Uo8lOkRJ_normal.jpg","View")</f>
        <v>View</v>
      </c>
      <c r="P4772" s="7"/>
    </row>
    <row r="4773" spans="1:16">
      <c r="A4773" s="3">
        <v>43927.220833333333</v>
      </c>
      <c r="B4773" s="4" t="str">
        <f>HYPERLINK("https://twitter.com/petrogustavo","@petrogustavo")</f>
        <v>@petrogustavo</v>
      </c>
      <c r="C4773" s="5" t="s">
        <v>16</v>
      </c>
      <c r="D4773" s="5" t="s">
        <v>4677</v>
      </c>
      <c r="E4773" s="6" t="str">
        <f>HYPERLINK("https://twitter.com/petrogustavo/status/1246947731219890176","1246947731219890176")</f>
        <v>1246947731219890176</v>
      </c>
      <c r="F4773" s="7" t="s">
        <v>17</v>
      </c>
      <c r="G4773" s="7">
        <v>3742123</v>
      </c>
      <c r="H4773" s="7">
        <v>2376</v>
      </c>
      <c r="I4773" s="7">
        <v>631</v>
      </c>
      <c r="J4773" s="7">
        <v>0</v>
      </c>
      <c r="K4773" s="7" t="s">
        <v>18</v>
      </c>
      <c r="L4773" s="8">
        <v>39987.315405092595</v>
      </c>
      <c r="M4773" s="9" t="s">
        <v>19</v>
      </c>
      <c r="N4773" s="9" t="s">
        <v>20</v>
      </c>
      <c r="O4773" s="6" t="str">
        <f>HYPERLINK("https://pbs.twimg.com/profile_images/962471262747529216/Uo8lOkRJ_normal.jpg","View")</f>
        <v>View</v>
      </c>
      <c r="P4773" s="7"/>
    </row>
    <row r="4774" spans="1:16">
      <c r="A4774" s="3">
        <v>43927.221909722226</v>
      </c>
      <c r="B4774" s="4" t="str">
        <f>HYPERLINK("https://twitter.com/petrogustavo","@petrogustavo")</f>
        <v>@petrogustavo</v>
      </c>
      <c r="C4774" s="5" t="s">
        <v>16</v>
      </c>
      <c r="D4774" s="5" t="s">
        <v>4678</v>
      </c>
      <c r="E4774" s="6" t="str">
        <f>HYPERLINK("https://twitter.com/petrogustavo/status/1246948119671160834","1246948119671160834")</f>
        <v>1246948119671160834</v>
      </c>
      <c r="F4774" s="7" t="s">
        <v>17</v>
      </c>
      <c r="G4774" s="7">
        <v>3742123</v>
      </c>
      <c r="H4774" s="7">
        <v>2376</v>
      </c>
      <c r="I4774" s="7">
        <v>476</v>
      </c>
      <c r="J4774" s="7">
        <v>0</v>
      </c>
      <c r="K4774" s="7" t="s">
        <v>18</v>
      </c>
      <c r="L4774" s="8">
        <v>39987.315405092595</v>
      </c>
      <c r="M4774" s="9" t="s">
        <v>19</v>
      </c>
      <c r="N4774" s="9" t="s">
        <v>20</v>
      </c>
      <c r="O4774" s="6" t="str">
        <f>HYPERLINK("https://pbs.twimg.com/profile_images/962471262747529216/Uo8lOkRJ_normal.jpg","View")</f>
        <v>View</v>
      </c>
      <c r="P4774" s="7"/>
    </row>
    <row r="4775" spans="1:16">
      <c r="A4775" s="3">
        <v>43927.225752314815</v>
      </c>
      <c r="B4775" s="4" t="str">
        <f>HYPERLINK("https://twitter.com/petrogustavo","@petrogustavo")</f>
        <v>@petrogustavo</v>
      </c>
      <c r="C4775" s="5" t="s">
        <v>16</v>
      </c>
      <c r="D4775" s="5" t="s">
        <v>4679</v>
      </c>
      <c r="E4775" s="6" t="str">
        <f>HYPERLINK("https://twitter.com/petrogustavo/status/1246949512884760576","1246949512884760576")</f>
        <v>1246949512884760576</v>
      </c>
      <c r="F4775" s="7" t="s">
        <v>17</v>
      </c>
      <c r="G4775" s="7">
        <v>3742123</v>
      </c>
      <c r="H4775" s="7">
        <v>2376</v>
      </c>
      <c r="I4775" s="7">
        <v>67</v>
      </c>
      <c r="J4775" s="7">
        <v>195</v>
      </c>
      <c r="K4775" s="7" t="s">
        <v>18</v>
      </c>
      <c r="L4775" s="8">
        <v>39987.315405092595</v>
      </c>
      <c r="M4775" s="9" t="s">
        <v>19</v>
      </c>
      <c r="N4775" s="9" t="s">
        <v>20</v>
      </c>
      <c r="O4775" s="6" t="str">
        <f>HYPERLINK("https://pbs.twimg.com/profile_images/962471262747529216/Uo8lOkRJ_normal.jpg","View")</f>
        <v>View</v>
      </c>
      <c r="P4775" s="7"/>
    </row>
    <row r="4776" spans="1:16">
      <c r="A4776" s="3">
        <v>43927.282002314816</v>
      </c>
      <c r="B4776" s="4" t="str">
        <f>HYPERLINK("https://twitter.com/petrogustavo","@petrogustavo")</f>
        <v>@petrogustavo</v>
      </c>
      <c r="C4776" s="5" t="s">
        <v>16</v>
      </c>
      <c r="D4776" s="5" t="s">
        <v>4680</v>
      </c>
      <c r="E4776" s="6" t="str">
        <f>HYPERLINK("https://twitter.com/petrogustavo/status/1246969896799477761","1246969896799477761")</f>
        <v>1246969896799477761</v>
      </c>
      <c r="F4776" s="7" t="s">
        <v>17</v>
      </c>
      <c r="G4776" s="7">
        <v>3742329</v>
      </c>
      <c r="H4776" s="7">
        <v>2377</v>
      </c>
      <c r="I4776" s="7">
        <v>1055</v>
      </c>
      <c r="J4776" s="7">
        <v>0</v>
      </c>
      <c r="K4776" s="7" t="s">
        <v>18</v>
      </c>
      <c r="L4776" s="8">
        <v>39987.315405092595</v>
      </c>
      <c r="M4776" s="9" t="s">
        <v>19</v>
      </c>
      <c r="N4776" s="9" t="s">
        <v>20</v>
      </c>
      <c r="O4776" s="6" t="str">
        <f>HYPERLINK("https://pbs.twimg.com/profile_images/962471262747529216/Uo8lOkRJ_normal.jpg","View")</f>
        <v>View</v>
      </c>
      <c r="P4776" s="7"/>
    </row>
    <row r="4777" spans="1:16">
      <c r="A4777" s="3">
        <v>43927.286516203705</v>
      </c>
      <c r="B4777" s="4" t="str">
        <f>HYPERLINK("https://twitter.com/petrogustavo","@petrogustavo")</f>
        <v>@petrogustavo</v>
      </c>
      <c r="C4777" s="5" t="s">
        <v>16</v>
      </c>
      <c r="D4777" s="5" t="s">
        <v>4681</v>
      </c>
      <c r="E4777" s="6" t="str">
        <f>HYPERLINK("https://twitter.com/petrogustavo/status/1246971530082496513","1246971530082496513")</f>
        <v>1246971530082496513</v>
      </c>
      <c r="F4777" s="7" t="s">
        <v>17</v>
      </c>
      <c r="G4777" s="7">
        <v>3742329</v>
      </c>
      <c r="H4777" s="7">
        <v>2377</v>
      </c>
      <c r="I4777" s="7">
        <v>101</v>
      </c>
      <c r="J4777" s="7">
        <v>254</v>
      </c>
      <c r="K4777" s="7" t="s">
        <v>18</v>
      </c>
      <c r="L4777" s="8">
        <v>39987.315405092595</v>
      </c>
      <c r="M4777" s="9" t="s">
        <v>19</v>
      </c>
      <c r="N4777" s="9" t="s">
        <v>20</v>
      </c>
      <c r="O4777" s="6" t="str">
        <f>HYPERLINK("https://pbs.twimg.com/profile_images/962471262747529216/Uo8lOkRJ_normal.jpg","View")</f>
        <v>View</v>
      </c>
      <c r="P4777" s="7"/>
    </row>
    <row r="4778" spans="1:16">
      <c r="A4778" s="3">
        <v>43927.292442129634</v>
      </c>
      <c r="B4778" s="4" t="str">
        <f>HYPERLINK("https://twitter.com/petrogustavo","@petrogustavo")</f>
        <v>@petrogustavo</v>
      </c>
      <c r="C4778" s="5" t="s">
        <v>16</v>
      </c>
      <c r="D4778" s="5" t="s">
        <v>4682</v>
      </c>
      <c r="E4778" s="6" t="str">
        <f>HYPERLINK("https://twitter.com/petrogustavo/status/1246973680896393217","1246973680896393217")</f>
        <v>1246973680896393217</v>
      </c>
      <c r="F4778" s="7" t="s">
        <v>17</v>
      </c>
      <c r="G4778" s="7">
        <v>3742329</v>
      </c>
      <c r="H4778" s="7">
        <v>2377</v>
      </c>
      <c r="I4778" s="7">
        <v>14</v>
      </c>
      <c r="J4778" s="7">
        <v>25</v>
      </c>
      <c r="K4778" s="7" t="s">
        <v>18</v>
      </c>
      <c r="L4778" s="8">
        <v>39987.315405092595</v>
      </c>
      <c r="M4778" s="9" t="s">
        <v>19</v>
      </c>
      <c r="N4778" s="9" t="s">
        <v>20</v>
      </c>
      <c r="O4778" s="6" t="str">
        <f>HYPERLINK("https://pbs.twimg.com/profile_images/962471262747529216/Uo8lOkRJ_normal.jpg","View")</f>
        <v>View</v>
      </c>
      <c r="P4778" s="7"/>
    </row>
    <row r="4779" spans="1:16">
      <c r="A4779" s="3">
        <v>43927.300486111111</v>
      </c>
      <c r="B4779" s="4" t="str">
        <f>HYPERLINK("https://twitter.com/petrogustavo","@petrogustavo")</f>
        <v>@petrogustavo</v>
      </c>
      <c r="C4779" s="5" t="s">
        <v>16</v>
      </c>
      <c r="D4779" s="5" t="s">
        <v>4683</v>
      </c>
      <c r="E4779" s="6" t="str">
        <f>HYPERLINK("https://twitter.com/petrogustavo/status/1246976596247969797","1246976596247969797")</f>
        <v>1246976596247969797</v>
      </c>
      <c r="F4779" s="7" t="s">
        <v>17</v>
      </c>
      <c r="G4779" s="7">
        <v>3742381</v>
      </c>
      <c r="H4779" s="7">
        <v>2377</v>
      </c>
      <c r="I4779" s="7">
        <v>414</v>
      </c>
      <c r="J4779" s="7">
        <v>929</v>
      </c>
      <c r="K4779" s="7" t="s">
        <v>18</v>
      </c>
      <c r="L4779" s="8">
        <v>39987.315405092595</v>
      </c>
      <c r="M4779" s="9" t="s">
        <v>19</v>
      </c>
      <c r="N4779" s="9" t="s">
        <v>20</v>
      </c>
      <c r="O4779" s="6" t="str">
        <f>HYPERLINK("https://pbs.twimg.com/profile_images/962471262747529216/Uo8lOkRJ_normal.jpg","View")</f>
        <v>View</v>
      </c>
      <c r="P4779" s="7"/>
    </row>
    <row r="4780" spans="1:16">
      <c r="A4780" s="3">
        <v>43927.310578703706</v>
      </c>
      <c r="B4780" s="4" t="str">
        <f>HYPERLINK("https://twitter.com/petrogustavo","@petrogustavo")</f>
        <v>@petrogustavo</v>
      </c>
      <c r="C4780" s="5" t="s">
        <v>16</v>
      </c>
      <c r="D4780" s="5" t="s">
        <v>4684</v>
      </c>
      <c r="E4780" s="6" t="str">
        <f>HYPERLINK("https://twitter.com/petrogustavo/status/1246980253865648128","1246980253865648128")</f>
        <v>1246980253865648128</v>
      </c>
      <c r="F4780" s="7" t="s">
        <v>17</v>
      </c>
      <c r="G4780" s="7">
        <v>3742381</v>
      </c>
      <c r="H4780" s="7">
        <v>2377</v>
      </c>
      <c r="I4780" s="7">
        <v>69</v>
      </c>
      <c r="J4780" s="7">
        <v>282</v>
      </c>
      <c r="K4780" s="7" t="s">
        <v>18</v>
      </c>
      <c r="L4780" s="8">
        <v>39987.315405092595</v>
      </c>
      <c r="M4780" s="9" t="s">
        <v>19</v>
      </c>
      <c r="N4780" s="9" t="s">
        <v>20</v>
      </c>
      <c r="O4780" s="6" t="str">
        <f>HYPERLINK("https://pbs.twimg.com/profile_images/962471262747529216/Uo8lOkRJ_normal.jpg","View")</f>
        <v>View</v>
      </c>
      <c r="P4780" s="7"/>
    </row>
    <row r="4781" spans="1:16">
      <c r="A4781" s="3">
        <v>43927.311331018514</v>
      </c>
      <c r="B4781" s="4" t="str">
        <f>HYPERLINK("https://twitter.com/petrogustavo","@petrogustavo")</f>
        <v>@petrogustavo</v>
      </c>
      <c r="C4781" s="5" t="s">
        <v>16</v>
      </c>
      <c r="D4781" s="5" t="s">
        <v>4685</v>
      </c>
      <c r="E4781" s="6" t="str">
        <f>HYPERLINK("https://twitter.com/petrogustavo/status/1246980526252216320","1246980526252216320")</f>
        <v>1246980526252216320</v>
      </c>
      <c r="F4781" s="7" t="s">
        <v>17</v>
      </c>
      <c r="G4781" s="7">
        <v>3742381</v>
      </c>
      <c r="H4781" s="7">
        <v>2377</v>
      </c>
      <c r="I4781" s="7">
        <v>414</v>
      </c>
      <c r="J4781" s="7">
        <v>0</v>
      </c>
      <c r="K4781" s="7" t="s">
        <v>18</v>
      </c>
      <c r="L4781" s="8">
        <v>39987.315405092595</v>
      </c>
      <c r="M4781" s="9" t="s">
        <v>19</v>
      </c>
      <c r="N4781" s="9" t="s">
        <v>20</v>
      </c>
      <c r="O4781" s="6" t="str">
        <f>HYPERLINK("https://pbs.twimg.com/profile_images/962471262747529216/Uo8lOkRJ_normal.jpg","View")</f>
        <v>View</v>
      </c>
      <c r="P4781" s="7"/>
    </row>
    <row r="4782" spans="1:16">
      <c r="A4782" s="3">
        <v>43927.312893518523</v>
      </c>
      <c r="B4782" s="4" t="str">
        <f>HYPERLINK("https://twitter.com/petrogustavo","@petrogustavo")</f>
        <v>@petrogustavo</v>
      </c>
      <c r="C4782" s="5" t="s">
        <v>16</v>
      </c>
      <c r="D4782" s="5" t="s">
        <v>4686</v>
      </c>
      <c r="E4782" s="6" t="str">
        <f>HYPERLINK("https://twitter.com/petrogustavo/status/1246981092424454145","1246981092424454145")</f>
        <v>1246981092424454145</v>
      </c>
      <c r="F4782" s="7" t="s">
        <v>17</v>
      </c>
      <c r="G4782" s="7">
        <v>3742381</v>
      </c>
      <c r="H4782" s="7">
        <v>2377</v>
      </c>
      <c r="I4782" s="7">
        <v>82</v>
      </c>
      <c r="J4782" s="7">
        <v>223</v>
      </c>
      <c r="K4782" s="7" t="s">
        <v>18</v>
      </c>
      <c r="L4782" s="8">
        <v>39987.315405092595</v>
      </c>
      <c r="M4782" s="9" t="s">
        <v>19</v>
      </c>
      <c r="N4782" s="9" t="s">
        <v>20</v>
      </c>
      <c r="O4782" s="6" t="str">
        <f>HYPERLINK("https://pbs.twimg.com/profile_images/962471262747529216/Uo8lOkRJ_normal.jpg","View")</f>
        <v>View</v>
      </c>
      <c r="P4782" s="7"/>
    </row>
    <row r="4783" spans="1:16">
      <c r="A4783" s="3">
        <v>43927.316504629634</v>
      </c>
      <c r="B4783" s="4" t="str">
        <f>HYPERLINK("https://twitter.com/petrogustavo","@petrogustavo")</f>
        <v>@petrogustavo</v>
      </c>
      <c r="C4783" s="5" t="s">
        <v>16</v>
      </c>
      <c r="D4783" s="5" t="s">
        <v>4687</v>
      </c>
      <c r="E4783" s="6" t="str">
        <f>HYPERLINK("https://twitter.com/petrogustavo/status/1246982401399623680","1246982401399623680")</f>
        <v>1246982401399623680</v>
      </c>
      <c r="F4783" s="7" t="s">
        <v>17</v>
      </c>
      <c r="G4783" s="7">
        <v>3742432</v>
      </c>
      <c r="H4783" s="7">
        <v>2377</v>
      </c>
      <c r="I4783" s="7">
        <v>279</v>
      </c>
      <c r="J4783" s="7">
        <v>432</v>
      </c>
      <c r="K4783" s="7" t="s">
        <v>18</v>
      </c>
      <c r="L4783" s="8">
        <v>39987.315405092595</v>
      </c>
      <c r="M4783" s="9" t="s">
        <v>19</v>
      </c>
      <c r="N4783" s="9" t="s">
        <v>20</v>
      </c>
      <c r="O4783" s="6" t="str">
        <f>HYPERLINK("https://pbs.twimg.com/profile_images/962471262747529216/Uo8lOkRJ_normal.jpg","View")</f>
        <v>View</v>
      </c>
      <c r="P4783" s="7"/>
    </row>
    <row r="4784" spans="1:16">
      <c r="A4784" s="3">
        <v>43927.318576388891</v>
      </c>
      <c r="B4784" s="4" t="str">
        <f>HYPERLINK("https://twitter.com/petrogustavo","@petrogustavo")</f>
        <v>@petrogustavo</v>
      </c>
      <c r="C4784" s="5" t="s">
        <v>16</v>
      </c>
      <c r="D4784" s="5" t="s">
        <v>4688</v>
      </c>
      <c r="E4784" s="6" t="str">
        <f>HYPERLINK("https://twitter.com/petrogustavo/status/1246983150586208256","1246983150586208256")</f>
        <v>1246983150586208256</v>
      </c>
      <c r="F4784" s="7" t="s">
        <v>17</v>
      </c>
      <c r="G4784" s="7">
        <v>3742432</v>
      </c>
      <c r="H4784" s="7">
        <v>2377</v>
      </c>
      <c r="I4784" s="7">
        <v>330</v>
      </c>
      <c r="J4784" s="7">
        <v>797</v>
      </c>
      <c r="K4784" s="7" t="s">
        <v>18</v>
      </c>
      <c r="L4784" s="8">
        <v>39987.315405092595</v>
      </c>
      <c r="M4784" s="9" t="s">
        <v>19</v>
      </c>
      <c r="N4784" s="9" t="s">
        <v>20</v>
      </c>
      <c r="O4784" s="6" t="str">
        <f>HYPERLINK("https://pbs.twimg.com/profile_images/962471262747529216/Uo8lOkRJ_normal.jpg","View")</f>
        <v>View</v>
      </c>
      <c r="P4784" s="7"/>
    </row>
    <row r="4785" spans="1:16">
      <c r="A4785" s="3">
        <v>43927.321018518516</v>
      </c>
      <c r="B4785" s="4" t="str">
        <f>HYPERLINK("https://twitter.com/petrogustavo","@petrogustavo")</f>
        <v>@petrogustavo</v>
      </c>
      <c r="C4785" s="5" t="s">
        <v>16</v>
      </c>
      <c r="D4785" s="5" t="s">
        <v>4689</v>
      </c>
      <c r="E4785" s="6" t="str">
        <f>HYPERLINK("https://twitter.com/petrogustavo/status/1246984034372247552","1246984034372247552")</f>
        <v>1246984034372247552</v>
      </c>
      <c r="F4785" s="7" t="s">
        <v>17</v>
      </c>
      <c r="G4785" s="7">
        <v>3742432</v>
      </c>
      <c r="H4785" s="7">
        <v>2377</v>
      </c>
      <c r="I4785" s="7">
        <v>37</v>
      </c>
      <c r="J4785" s="7">
        <v>0</v>
      </c>
      <c r="K4785" s="7" t="s">
        <v>18</v>
      </c>
      <c r="L4785" s="8">
        <v>39987.315405092595</v>
      </c>
      <c r="M4785" s="9" t="s">
        <v>19</v>
      </c>
      <c r="N4785" s="9" t="s">
        <v>20</v>
      </c>
      <c r="O4785" s="6" t="str">
        <f>HYPERLINK("https://pbs.twimg.com/profile_images/962471262747529216/Uo8lOkRJ_normal.jpg","View")</f>
        <v>View</v>
      </c>
      <c r="P4785" s="7"/>
    </row>
    <row r="4786" spans="1:16">
      <c r="A4786" s="3">
        <v>43927.32240740741</v>
      </c>
      <c r="B4786" s="4" t="str">
        <f>HYPERLINK("https://twitter.com/petrogustavo","@petrogustavo")</f>
        <v>@petrogustavo</v>
      </c>
      <c r="C4786" s="5" t="s">
        <v>16</v>
      </c>
      <c r="D4786" s="5" t="s">
        <v>4690</v>
      </c>
      <c r="E4786" s="6" t="str">
        <f>HYPERLINK("https://twitter.com/petrogustavo/status/1246984539907514369","1246984539907514369")</f>
        <v>1246984539907514369</v>
      </c>
      <c r="F4786" s="7" t="s">
        <v>17</v>
      </c>
      <c r="G4786" s="7">
        <v>3742432</v>
      </c>
      <c r="H4786" s="7">
        <v>2377</v>
      </c>
      <c r="I4786" s="7">
        <v>279</v>
      </c>
      <c r="J4786" s="7">
        <v>0</v>
      </c>
      <c r="K4786" s="7" t="s">
        <v>18</v>
      </c>
      <c r="L4786" s="8">
        <v>39987.315405092595</v>
      </c>
      <c r="M4786" s="9" t="s">
        <v>19</v>
      </c>
      <c r="N4786" s="9" t="s">
        <v>20</v>
      </c>
      <c r="O4786" s="6" t="str">
        <f>HYPERLINK("https://pbs.twimg.com/profile_images/962471262747529216/Uo8lOkRJ_normal.jpg","View")</f>
        <v>View</v>
      </c>
      <c r="P4786" s="7"/>
    </row>
    <row r="4787" spans="1:16">
      <c r="A4787" s="3">
        <v>43927.32849537037</v>
      </c>
      <c r="B4787" s="4" t="str">
        <f>HYPERLINK("https://twitter.com/petrogustavo","@petrogustavo")</f>
        <v>@petrogustavo</v>
      </c>
      <c r="C4787" s="5" t="s">
        <v>16</v>
      </c>
      <c r="D4787" s="5" t="s">
        <v>4691</v>
      </c>
      <c r="E4787" s="6" t="str">
        <f>HYPERLINK("https://twitter.com/petrogustavo/status/1246986745956139008","1246986745956139008")</f>
        <v>1246986745956139008</v>
      </c>
      <c r="F4787" s="7" t="s">
        <v>17</v>
      </c>
      <c r="G4787" s="7">
        <v>3742432</v>
      </c>
      <c r="H4787" s="7">
        <v>2377</v>
      </c>
      <c r="I4787" s="7">
        <v>752</v>
      </c>
      <c r="J4787" s="7">
        <v>0</v>
      </c>
      <c r="K4787" s="7" t="s">
        <v>18</v>
      </c>
      <c r="L4787" s="8">
        <v>39987.315405092595</v>
      </c>
      <c r="M4787" s="9" t="s">
        <v>19</v>
      </c>
      <c r="N4787" s="9" t="s">
        <v>20</v>
      </c>
      <c r="O4787" s="6" t="str">
        <f>HYPERLINK("https://pbs.twimg.com/profile_images/962471262747529216/Uo8lOkRJ_normal.jpg","View")</f>
        <v>View</v>
      </c>
      <c r="P4787" s="7"/>
    </row>
    <row r="4788" spans="1:16">
      <c r="A4788" s="3">
        <v>43927.333136574074</v>
      </c>
      <c r="B4788" s="4" t="str">
        <f>HYPERLINK("https://twitter.com/petrogustavo","@petrogustavo")</f>
        <v>@petrogustavo</v>
      </c>
      <c r="C4788" s="5" t="s">
        <v>16</v>
      </c>
      <c r="D4788" s="5" t="s">
        <v>4692</v>
      </c>
      <c r="E4788" s="6" t="str">
        <f>HYPERLINK("https://twitter.com/petrogustavo/status/1246988428140515328","1246988428140515328")</f>
        <v>1246988428140515328</v>
      </c>
      <c r="F4788" s="7" t="s">
        <v>17</v>
      </c>
      <c r="G4788" s="7">
        <v>3742432</v>
      </c>
      <c r="H4788" s="7">
        <v>2377</v>
      </c>
      <c r="I4788" s="7">
        <v>52</v>
      </c>
      <c r="J4788" s="7">
        <v>103</v>
      </c>
      <c r="K4788" s="7" t="s">
        <v>18</v>
      </c>
      <c r="L4788" s="8">
        <v>39987.315405092595</v>
      </c>
      <c r="M4788" s="9" t="s">
        <v>19</v>
      </c>
      <c r="N4788" s="9" t="s">
        <v>20</v>
      </c>
      <c r="O4788" s="6" t="str">
        <f>HYPERLINK("https://pbs.twimg.com/profile_images/962471262747529216/Uo8lOkRJ_normal.jpg","View")</f>
        <v>View</v>
      </c>
      <c r="P4788" s="7"/>
    </row>
    <row r="4789" spans="1:16">
      <c r="A4789" s="3">
        <v>43927.334317129629</v>
      </c>
      <c r="B4789" s="4" t="str">
        <f>HYPERLINK("https://twitter.com/petrogustavo","@petrogustavo")</f>
        <v>@petrogustavo</v>
      </c>
      <c r="C4789" s="5" t="s">
        <v>16</v>
      </c>
      <c r="D4789" s="5" t="s">
        <v>4693</v>
      </c>
      <c r="E4789" s="6" t="str">
        <f>HYPERLINK("https://twitter.com/petrogustavo/status/1246988856060186625","1246988856060186625")</f>
        <v>1246988856060186625</v>
      </c>
      <c r="F4789" s="7" t="s">
        <v>17</v>
      </c>
      <c r="G4789" s="7">
        <v>3742432</v>
      </c>
      <c r="H4789" s="7">
        <v>2377</v>
      </c>
      <c r="I4789" s="7">
        <v>674</v>
      </c>
      <c r="J4789" s="7">
        <v>0</v>
      </c>
      <c r="K4789" s="7" t="s">
        <v>18</v>
      </c>
      <c r="L4789" s="8">
        <v>39987.315405092595</v>
      </c>
      <c r="M4789" s="9" t="s">
        <v>19</v>
      </c>
      <c r="N4789" s="9" t="s">
        <v>20</v>
      </c>
      <c r="O4789" s="6" t="str">
        <f>HYPERLINK("https://pbs.twimg.com/profile_images/962471262747529216/Uo8lOkRJ_normal.jpg","View")</f>
        <v>View</v>
      </c>
      <c r="P4789" s="7"/>
    </row>
    <row r="4790" spans="1:16">
      <c r="A4790" s="3">
        <v>43927.339872685188</v>
      </c>
      <c r="B4790" s="4" t="str">
        <f>HYPERLINK("https://twitter.com/petrogustavo","@petrogustavo")</f>
        <v>@petrogustavo</v>
      </c>
      <c r="C4790" s="5" t="s">
        <v>16</v>
      </c>
      <c r="D4790" s="5" t="s">
        <v>4694</v>
      </c>
      <c r="E4790" s="6" t="str">
        <f>HYPERLINK("https://twitter.com/petrogustavo/status/1246990866482413570","1246990866482413570")</f>
        <v>1246990866482413570</v>
      </c>
      <c r="F4790" s="7" t="s">
        <v>17</v>
      </c>
      <c r="G4790" s="7">
        <v>3742486</v>
      </c>
      <c r="H4790" s="7">
        <v>2377</v>
      </c>
      <c r="I4790" s="7">
        <v>421</v>
      </c>
      <c r="J4790" s="7">
        <v>0</v>
      </c>
      <c r="K4790" s="7" t="s">
        <v>18</v>
      </c>
      <c r="L4790" s="8">
        <v>39987.315405092595</v>
      </c>
      <c r="M4790" s="9" t="s">
        <v>19</v>
      </c>
      <c r="N4790" s="9" t="s">
        <v>20</v>
      </c>
      <c r="O4790" s="6" t="str">
        <f>HYPERLINK("https://pbs.twimg.com/profile_images/962471262747529216/Uo8lOkRJ_normal.jpg","View")</f>
        <v>View</v>
      </c>
      <c r="P4790" s="7"/>
    </row>
    <row r="4791" spans="1:16">
      <c r="A4791" s="3">
        <v>43927.340219907404</v>
      </c>
      <c r="B4791" s="4" t="str">
        <f>HYPERLINK("https://twitter.com/petrogustavo","@petrogustavo")</f>
        <v>@petrogustavo</v>
      </c>
      <c r="C4791" s="5" t="s">
        <v>16</v>
      </c>
      <c r="D4791" s="5" t="s">
        <v>4678</v>
      </c>
      <c r="E4791" s="6" t="str">
        <f>HYPERLINK("https://twitter.com/petrogustavo/status/1246990992345047040","1246990992345047040")</f>
        <v>1246990992345047040</v>
      </c>
      <c r="F4791" s="7" t="s">
        <v>17</v>
      </c>
      <c r="G4791" s="7">
        <v>3742486</v>
      </c>
      <c r="H4791" s="7">
        <v>2377</v>
      </c>
      <c r="I4791" s="7">
        <v>1737</v>
      </c>
      <c r="J4791" s="7">
        <v>0</v>
      </c>
      <c r="K4791" s="7" t="s">
        <v>18</v>
      </c>
      <c r="L4791" s="8">
        <v>39987.315405092595</v>
      </c>
      <c r="M4791" s="9" t="s">
        <v>19</v>
      </c>
      <c r="N4791" s="9" t="s">
        <v>20</v>
      </c>
      <c r="O4791" s="6" t="str">
        <f>HYPERLINK("https://pbs.twimg.com/profile_images/962471262747529216/Uo8lOkRJ_normal.jpg","View")</f>
        <v>View</v>
      </c>
      <c r="P4791" s="7"/>
    </row>
    <row r="4792" spans="1:16">
      <c r="A4792" s="3">
        <v>43927.788726851853</v>
      </c>
      <c r="B4792" s="4" t="str">
        <f>HYPERLINK("https://twitter.com/petrogustavo","@petrogustavo")</f>
        <v>@petrogustavo</v>
      </c>
      <c r="C4792" s="5" t="s">
        <v>16</v>
      </c>
      <c r="D4792" s="5" t="s">
        <v>4695</v>
      </c>
      <c r="E4792" s="6" t="str">
        <f>HYPERLINK("https://twitter.com/petrogustavo/status/1247153528319041537","1247153528319041537")</f>
        <v>1247153528319041537</v>
      </c>
      <c r="F4792" s="7" t="s">
        <v>17</v>
      </c>
      <c r="G4792" s="7">
        <v>3743173</v>
      </c>
      <c r="H4792" s="7">
        <v>2377</v>
      </c>
      <c r="I4792" s="7">
        <v>4485</v>
      </c>
      <c r="J4792" s="7">
        <v>0</v>
      </c>
      <c r="K4792" s="7" t="s">
        <v>18</v>
      </c>
      <c r="L4792" s="8">
        <v>39987.315405092595</v>
      </c>
      <c r="M4792" s="9" t="s">
        <v>19</v>
      </c>
      <c r="N4792" s="9" t="s">
        <v>20</v>
      </c>
      <c r="O4792" s="6" t="str">
        <f>HYPERLINK("https://pbs.twimg.com/profile_images/962471262747529216/Uo8lOkRJ_normal.jpg","View")</f>
        <v>View</v>
      </c>
      <c r="P4792" s="7"/>
    </row>
    <row r="4793" spans="1:16">
      <c r="A4793" s="3">
        <v>43927.79005787037</v>
      </c>
      <c r="B4793" s="4" t="str">
        <f>HYPERLINK("https://twitter.com/petrogustavo","@petrogustavo")</f>
        <v>@petrogustavo</v>
      </c>
      <c r="C4793" s="5" t="s">
        <v>16</v>
      </c>
      <c r="D4793" s="5" t="s">
        <v>4696</v>
      </c>
      <c r="E4793" s="6" t="str">
        <f>HYPERLINK("https://twitter.com/petrogustavo/status/1247154010206769152","1247154010206769152")</f>
        <v>1247154010206769152</v>
      </c>
      <c r="F4793" s="7" t="s">
        <v>17</v>
      </c>
      <c r="G4793" s="7">
        <v>3743173</v>
      </c>
      <c r="H4793" s="7">
        <v>2377</v>
      </c>
      <c r="I4793" s="7">
        <v>57</v>
      </c>
      <c r="J4793" s="7">
        <v>98</v>
      </c>
      <c r="K4793" s="7" t="s">
        <v>18</v>
      </c>
      <c r="L4793" s="8">
        <v>39987.315405092595</v>
      </c>
      <c r="M4793" s="9" t="s">
        <v>19</v>
      </c>
      <c r="N4793" s="9" t="s">
        <v>20</v>
      </c>
      <c r="O4793" s="6" t="str">
        <f>HYPERLINK("https://pbs.twimg.com/profile_images/962471262747529216/Uo8lOkRJ_normal.jpg","View")</f>
        <v>View</v>
      </c>
      <c r="P4793" s="7"/>
    </row>
    <row r="4794" spans="1:16">
      <c r="A4794" s="3">
        <v>43927.791921296295</v>
      </c>
      <c r="B4794" s="4" t="str">
        <f>HYPERLINK("https://twitter.com/petrogustavo","@petrogustavo")</f>
        <v>@petrogustavo</v>
      </c>
      <c r="C4794" s="5" t="s">
        <v>16</v>
      </c>
      <c r="D4794" s="5" t="s">
        <v>4697</v>
      </c>
      <c r="E4794" s="6" t="str">
        <f>HYPERLINK("https://twitter.com/petrogustavo/status/1247154686718697472","1247154686718697472")</f>
        <v>1247154686718697472</v>
      </c>
      <c r="F4794" s="7" t="s">
        <v>17</v>
      </c>
      <c r="G4794" s="7">
        <v>3743173</v>
      </c>
      <c r="H4794" s="7">
        <v>2377</v>
      </c>
      <c r="I4794" s="7">
        <v>16</v>
      </c>
      <c r="J4794" s="7">
        <v>33</v>
      </c>
      <c r="K4794" s="7" t="s">
        <v>18</v>
      </c>
      <c r="L4794" s="8">
        <v>39987.315405092595</v>
      </c>
      <c r="M4794" s="9" t="s">
        <v>19</v>
      </c>
      <c r="N4794" s="9" t="s">
        <v>20</v>
      </c>
      <c r="O4794" s="6" t="str">
        <f>HYPERLINK("https://pbs.twimg.com/profile_images/962471262747529216/Uo8lOkRJ_normal.jpg","View")</f>
        <v>View</v>
      </c>
      <c r="P4794" s="7"/>
    </row>
    <row r="4795" spans="1:16">
      <c r="A4795" s="3">
        <v>43927.79487268519</v>
      </c>
      <c r="B4795" s="4" t="str">
        <f>HYPERLINK("https://twitter.com/petrogustavo","@petrogustavo")</f>
        <v>@petrogustavo</v>
      </c>
      <c r="C4795" s="5" t="s">
        <v>16</v>
      </c>
      <c r="D4795" s="5" t="s">
        <v>4698</v>
      </c>
      <c r="E4795" s="6" t="str">
        <f>HYPERLINK("https://twitter.com/petrogustavo/status/1247155755033047041","1247155755033047041")</f>
        <v>1247155755033047041</v>
      </c>
      <c r="F4795" s="7" t="s">
        <v>17</v>
      </c>
      <c r="G4795" s="7">
        <v>3743219</v>
      </c>
      <c r="H4795" s="7">
        <v>2377</v>
      </c>
      <c r="I4795" s="7">
        <v>598</v>
      </c>
      <c r="J4795" s="7">
        <v>1594</v>
      </c>
      <c r="K4795" s="7" t="s">
        <v>18</v>
      </c>
      <c r="L4795" s="8">
        <v>39987.315405092595</v>
      </c>
      <c r="M4795" s="9" t="s">
        <v>19</v>
      </c>
      <c r="N4795" s="9" t="s">
        <v>20</v>
      </c>
      <c r="O4795" s="6" t="str">
        <f>HYPERLINK("https://pbs.twimg.com/profile_images/962471262747529216/Uo8lOkRJ_normal.jpg","View")</f>
        <v>View</v>
      </c>
      <c r="P4795" s="7"/>
    </row>
    <row r="4796" spans="1:16">
      <c r="A4796" s="3">
        <v>43927.809872685189</v>
      </c>
      <c r="B4796" s="4" t="str">
        <f>HYPERLINK("https://twitter.com/petrogustavo","@petrogustavo")</f>
        <v>@petrogustavo</v>
      </c>
      <c r="C4796" s="5" t="s">
        <v>16</v>
      </c>
      <c r="D4796" s="5" t="s">
        <v>4699</v>
      </c>
      <c r="E4796" s="6" t="str">
        <f>HYPERLINK("https://twitter.com/petrogustavo/status/1247161188787433472","1247161188787433472")</f>
        <v>1247161188787433472</v>
      </c>
      <c r="F4796" s="7" t="s">
        <v>17</v>
      </c>
      <c r="G4796" s="7">
        <v>3743219</v>
      </c>
      <c r="H4796" s="7">
        <v>2377</v>
      </c>
      <c r="I4796" s="7">
        <v>39</v>
      </c>
      <c r="J4796" s="7">
        <v>88</v>
      </c>
      <c r="K4796" s="7" t="s">
        <v>18</v>
      </c>
      <c r="L4796" s="8">
        <v>39987.315405092595</v>
      </c>
      <c r="M4796" s="9" t="s">
        <v>19</v>
      </c>
      <c r="N4796" s="9" t="s">
        <v>20</v>
      </c>
      <c r="O4796" s="6" t="str">
        <f>HYPERLINK("https://pbs.twimg.com/profile_images/962471262747529216/Uo8lOkRJ_normal.jpg","View")</f>
        <v>View</v>
      </c>
      <c r="P4796" s="7"/>
    </row>
    <row r="4797" spans="1:16">
      <c r="A4797" s="3">
        <v>43927.810949074075</v>
      </c>
      <c r="B4797" s="4" t="str">
        <f>HYPERLINK("https://twitter.com/petrogustavo","@petrogustavo")</f>
        <v>@petrogustavo</v>
      </c>
      <c r="C4797" s="5" t="s">
        <v>16</v>
      </c>
      <c r="D4797" s="5" t="s">
        <v>4700</v>
      </c>
      <c r="E4797" s="6" t="str">
        <f>HYPERLINK("https://twitter.com/petrogustavo/status/1247161580682235911","1247161580682235911")</f>
        <v>1247161580682235911</v>
      </c>
      <c r="F4797" s="7" t="s">
        <v>17</v>
      </c>
      <c r="G4797" s="7">
        <v>3743219</v>
      </c>
      <c r="H4797" s="7">
        <v>2377</v>
      </c>
      <c r="I4797" s="7">
        <v>217</v>
      </c>
      <c r="J4797" s="7">
        <v>0</v>
      </c>
      <c r="K4797" s="7" t="s">
        <v>18</v>
      </c>
      <c r="L4797" s="8">
        <v>39987.315405092595</v>
      </c>
      <c r="M4797" s="9" t="s">
        <v>19</v>
      </c>
      <c r="N4797" s="9" t="s">
        <v>20</v>
      </c>
      <c r="O4797" s="6" t="str">
        <f>HYPERLINK("https://pbs.twimg.com/profile_images/962471262747529216/Uo8lOkRJ_normal.jpg","View")</f>
        <v>View</v>
      </c>
      <c r="P4797" s="7"/>
    </row>
    <row r="4798" spans="1:16">
      <c r="A4798" s="3">
        <v>43927.813935185186</v>
      </c>
      <c r="B4798" s="4" t="str">
        <f>HYPERLINK("https://twitter.com/petrogustavo","@petrogustavo")</f>
        <v>@petrogustavo</v>
      </c>
      <c r="C4798" s="5" t="s">
        <v>16</v>
      </c>
      <c r="D4798" s="5" t="s">
        <v>4701</v>
      </c>
      <c r="E4798" s="6" t="str">
        <f>HYPERLINK("https://twitter.com/petrogustavo/status/1247162660908445697","1247162660908445697")</f>
        <v>1247162660908445697</v>
      </c>
      <c r="F4798" s="7" t="s">
        <v>17</v>
      </c>
      <c r="G4798" s="7">
        <v>3743219</v>
      </c>
      <c r="H4798" s="7">
        <v>2377</v>
      </c>
      <c r="I4798" s="7">
        <v>87</v>
      </c>
      <c r="J4798" s="7">
        <v>0</v>
      </c>
      <c r="K4798" s="7" t="s">
        <v>18</v>
      </c>
      <c r="L4798" s="8">
        <v>39987.315405092595</v>
      </c>
      <c r="M4798" s="9" t="s">
        <v>19</v>
      </c>
      <c r="N4798" s="9" t="s">
        <v>20</v>
      </c>
      <c r="O4798" s="6" t="str">
        <f>HYPERLINK("https://pbs.twimg.com/profile_images/962471262747529216/Uo8lOkRJ_normal.jpg","View")</f>
        <v>View</v>
      </c>
      <c r="P4798" s="7"/>
    </row>
    <row r="4799" spans="1:16">
      <c r="A4799" s="3">
        <v>43927.815405092595</v>
      </c>
      <c r="B4799" s="4" t="str">
        <f>HYPERLINK("https://twitter.com/petrogustavo","@petrogustavo")</f>
        <v>@petrogustavo</v>
      </c>
      <c r="C4799" s="5" t="s">
        <v>16</v>
      </c>
      <c r="D4799" s="5" t="s">
        <v>4702</v>
      </c>
      <c r="E4799" s="6" t="str">
        <f>HYPERLINK("https://twitter.com/petrogustavo/status/1247163193304051717","1247163193304051717")</f>
        <v>1247163193304051717</v>
      </c>
      <c r="F4799" s="7" t="s">
        <v>17</v>
      </c>
      <c r="G4799" s="7">
        <v>3743267</v>
      </c>
      <c r="H4799" s="7">
        <v>2377</v>
      </c>
      <c r="I4799" s="7">
        <v>1023</v>
      </c>
      <c r="J4799" s="7">
        <v>0</v>
      </c>
      <c r="K4799" s="7" t="s">
        <v>18</v>
      </c>
      <c r="L4799" s="8">
        <v>39987.315405092595</v>
      </c>
      <c r="M4799" s="9" t="s">
        <v>19</v>
      </c>
      <c r="N4799" s="9" t="s">
        <v>20</v>
      </c>
      <c r="O4799" s="6" t="str">
        <f>HYPERLINK("https://pbs.twimg.com/profile_images/962471262747529216/Uo8lOkRJ_normal.jpg","View")</f>
        <v>View</v>
      </c>
      <c r="P4799" s="7"/>
    </row>
    <row r="4800" spans="1:16">
      <c r="A4800" s="3">
        <v>43927.87295138889</v>
      </c>
      <c r="B4800" s="4" t="str">
        <f>HYPERLINK("https://twitter.com/petrogustavo","@petrogustavo")</f>
        <v>@petrogustavo</v>
      </c>
      <c r="C4800" s="5" t="s">
        <v>16</v>
      </c>
      <c r="D4800" s="5" t="s">
        <v>4703</v>
      </c>
      <c r="E4800" s="6" t="str">
        <f>HYPERLINK("https://twitter.com/petrogustavo/status/1247184047262105603","1247184047262105603")</f>
        <v>1247184047262105603</v>
      </c>
      <c r="F4800" s="7" t="s">
        <v>17</v>
      </c>
      <c r="G4800" s="7">
        <v>3743415</v>
      </c>
      <c r="H4800" s="7">
        <v>2377</v>
      </c>
      <c r="I4800" s="7">
        <v>70</v>
      </c>
      <c r="J4800" s="7">
        <v>179</v>
      </c>
      <c r="K4800" s="7" t="s">
        <v>18</v>
      </c>
      <c r="L4800" s="8">
        <v>39987.315405092595</v>
      </c>
      <c r="M4800" s="9" t="s">
        <v>19</v>
      </c>
      <c r="N4800" s="9" t="s">
        <v>20</v>
      </c>
      <c r="O4800" s="6" t="str">
        <f>HYPERLINK("https://pbs.twimg.com/profile_images/962471262747529216/Uo8lOkRJ_normal.jpg","View")</f>
        <v>View</v>
      </c>
      <c r="P4800" s="7"/>
    </row>
    <row r="4801" spans="1:16">
      <c r="A4801" s="3">
        <v>43927.993472222224</v>
      </c>
      <c r="B4801" s="4" t="str">
        <f>HYPERLINK("https://twitter.com/petrogustavo","@petrogustavo")</f>
        <v>@petrogustavo</v>
      </c>
      <c r="C4801" s="5" t="s">
        <v>16</v>
      </c>
      <c r="D4801" s="5" t="s">
        <v>4704</v>
      </c>
      <c r="E4801" s="6" t="str">
        <f>HYPERLINK("https://twitter.com/petrogustavo/status/1247227722713030656","1247227722713030656")</f>
        <v>1247227722713030656</v>
      </c>
      <c r="F4801" s="7" t="s">
        <v>17</v>
      </c>
      <c r="G4801" s="7">
        <v>3743921</v>
      </c>
      <c r="H4801" s="7">
        <v>2377</v>
      </c>
      <c r="I4801" s="7">
        <v>109</v>
      </c>
      <c r="J4801" s="7">
        <v>390</v>
      </c>
      <c r="K4801" s="7" t="s">
        <v>18</v>
      </c>
      <c r="L4801" s="8">
        <v>39987.315405092595</v>
      </c>
      <c r="M4801" s="9" t="s">
        <v>19</v>
      </c>
      <c r="N4801" s="9" t="s">
        <v>20</v>
      </c>
      <c r="O4801" s="6" t="str">
        <f>HYPERLINK("https://pbs.twimg.com/profile_images/962471262747529216/Uo8lOkRJ_normal.jpg","View")</f>
        <v>View</v>
      </c>
      <c r="P4801" s="7"/>
    </row>
    <row r="4802" spans="1:16">
      <c r="A4802" s="3">
        <v>43927.993784722217</v>
      </c>
      <c r="B4802" s="4" t="str">
        <f>HYPERLINK("https://twitter.com/petrogustavo","@petrogustavo")</f>
        <v>@petrogustavo</v>
      </c>
      <c r="C4802" s="5" t="s">
        <v>16</v>
      </c>
      <c r="D4802" s="5" t="s">
        <v>4705</v>
      </c>
      <c r="E4802" s="6" t="str">
        <f>HYPERLINK("https://twitter.com/petrogustavo/status/1247227838832336906","1247227838832336906")</f>
        <v>1247227838832336906</v>
      </c>
      <c r="F4802" s="7" t="s">
        <v>17</v>
      </c>
      <c r="G4802" s="7">
        <v>3743921</v>
      </c>
      <c r="H4802" s="7">
        <v>2377</v>
      </c>
      <c r="I4802" s="7">
        <v>244</v>
      </c>
      <c r="J4802" s="7">
        <v>0</v>
      </c>
      <c r="K4802" s="7" t="s">
        <v>18</v>
      </c>
      <c r="L4802" s="8">
        <v>39987.315405092595</v>
      </c>
      <c r="M4802" s="9" t="s">
        <v>19</v>
      </c>
      <c r="N4802" s="9" t="s">
        <v>20</v>
      </c>
      <c r="O4802" s="6" t="str">
        <f>HYPERLINK("https://pbs.twimg.com/profile_images/962471262747529216/Uo8lOkRJ_normal.jpg","View")</f>
        <v>View</v>
      </c>
      <c r="P4802" s="7"/>
    </row>
    <row r="4803" spans="1:16">
      <c r="A4803" s="3">
        <v>43927.994085648148</v>
      </c>
      <c r="B4803" s="4" t="str">
        <f>HYPERLINK("https://twitter.com/petrogustavo","@petrogustavo")</f>
        <v>@petrogustavo</v>
      </c>
      <c r="C4803" s="5" t="s">
        <v>16</v>
      </c>
      <c r="D4803" s="5" t="s">
        <v>4706</v>
      </c>
      <c r="E4803" s="6" t="str">
        <f>HYPERLINK("https://twitter.com/petrogustavo/status/1247227947590639620","1247227947590639620")</f>
        <v>1247227947590639620</v>
      </c>
      <c r="F4803" s="7" t="s">
        <v>17</v>
      </c>
      <c r="G4803" s="7">
        <v>3743921</v>
      </c>
      <c r="H4803" s="7">
        <v>2377</v>
      </c>
      <c r="I4803" s="7">
        <v>61</v>
      </c>
      <c r="J4803" s="7">
        <v>0</v>
      </c>
      <c r="K4803" s="7" t="s">
        <v>18</v>
      </c>
      <c r="L4803" s="8">
        <v>39987.315405092595</v>
      </c>
      <c r="M4803" s="9" t="s">
        <v>19</v>
      </c>
      <c r="N4803" s="9" t="s">
        <v>20</v>
      </c>
      <c r="O4803" s="6" t="str">
        <f>HYPERLINK("https://pbs.twimg.com/profile_images/962471262747529216/Uo8lOkRJ_normal.jpg","View")</f>
        <v>View</v>
      </c>
      <c r="P4803" s="7"/>
    </row>
    <row r="4804" spans="1:16">
      <c r="A4804" s="3">
        <v>43927.996493055558</v>
      </c>
      <c r="B4804" s="4" t="str">
        <f>HYPERLINK("https://twitter.com/petrogustavo","@petrogustavo")</f>
        <v>@petrogustavo</v>
      </c>
      <c r="C4804" s="5" t="s">
        <v>16</v>
      </c>
      <c r="D4804" s="5" t="s">
        <v>4707</v>
      </c>
      <c r="E4804" s="6" t="str">
        <f>HYPERLINK("https://twitter.com/petrogustavo/status/1247228820504973312","1247228820504973312")</f>
        <v>1247228820504973312</v>
      </c>
      <c r="F4804" s="7" t="s">
        <v>17</v>
      </c>
      <c r="G4804" s="7">
        <v>3743921</v>
      </c>
      <c r="H4804" s="7">
        <v>2377</v>
      </c>
      <c r="I4804" s="7">
        <v>42</v>
      </c>
      <c r="J4804" s="7">
        <v>0</v>
      </c>
      <c r="K4804" s="7" t="s">
        <v>18</v>
      </c>
      <c r="L4804" s="8">
        <v>39987.315405092595</v>
      </c>
      <c r="M4804" s="9" t="s">
        <v>19</v>
      </c>
      <c r="N4804" s="9" t="s">
        <v>20</v>
      </c>
      <c r="O4804" s="6" t="str">
        <f>HYPERLINK("https://pbs.twimg.com/profile_images/962471262747529216/Uo8lOkRJ_normal.jpg","View")</f>
        <v>View</v>
      </c>
      <c r="P4804" s="7"/>
    </row>
    <row r="4805" spans="1:16">
      <c r="A4805" s="3">
        <v>43927.997615740736</v>
      </c>
      <c r="B4805" s="4" t="str">
        <f>HYPERLINK("https://twitter.com/petrogustavo","@petrogustavo")</f>
        <v>@petrogustavo</v>
      </c>
      <c r="C4805" s="5" t="s">
        <v>16</v>
      </c>
      <c r="D4805" s="5" t="s">
        <v>4708</v>
      </c>
      <c r="E4805" s="6" t="str">
        <f>HYPERLINK("https://twitter.com/petrogustavo/status/1247229224638914560","1247229224638914560")</f>
        <v>1247229224638914560</v>
      </c>
      <c r="F4805" s="7" t="s">
        <v>17</v>
      </c>
      <c r="G4805" s="7">
        <v>3743921</v>
      </c>
      <c r="H4805" s="7">
        <v>2377</v>
      </c>
      <c r="I4805" s="7">
        <v>108</v>
      </c>
      <c r="J4805" s="7">
        <v>0</v>
      </c>
      <c r="K4805" s="7" t="s">
        <v>18</v>
      </c>
      <c r="L4805" s="8">
        <v>39987.315405092595</v>
      </c>
      <c r="M4805" s="9" t="s">
        <v>19</v>
      </c>
      <c r="N4805" s="9" t="s">
        <v>20</v>
      </c>
      <c r="O4805" s="6" t="str">
        <f>HYPERLINK("https://pbs.twimg.com/profile_images/962471262747529216/Uo8lOkRJ_normal.jpg","View")</f>
        <v>View</v>
      </c>
      <c r="P4805" s="7"/>
    </row>
    <row r="4806" spans="1:16">
      <c r="A4806" s="3">
        <v>43927.998981481476</v>
      </c>
      <c r="B4806" s="4" t="str">
        <f>HYPERLINK("https://twitter.com/petrogustavo","@petrogustavo")</f>
        <v>@petrogustavo</v>
      </c>
      <c r="C4806" s="5" t="s">
        <v>16</v>
      </c>
      <c r="D4806" s="5" t="s">
        <v>4702</v>
      </c>
      <c r="E4806" s="6" t="str">
        <f>HYPERLINK("https://twitter.com/petrogustavo/status/1247229718841171970","1247229718841171970")</f>
        <v>1247229718841171970</v>
      </c>
      <c r="F4806" s="7" t="s">
        <v>17</v>
      </c>
      <c r="G4806" s="7">
        <v>3743921</v>
      </c>
      <c r="H4806" s="7">
        <v>2377</v>
      </c>
      <c r="I4806" s="7">
        <v>3337</v>
      </c>
      <c r="J4806" s="7">
        <v>0</v>
      </c>
      <c r="K4806" s="7" t="s">
        <v>18</v>
      </c>
      <c r="L4806" s="8">
        <v>39987.315405092595</v>
      </c>
      <c r="M4806" s="9" t="s">
        <v>19</v>
      </c>
      <c r="N4806" s="9" t="s">
        <v>20</v>
      </c>
      <c r="O4806" s="6" t="str">
        <f>HYPERLINK("https://pbs.twimg.com/profile_images/962471262747529216/Uo8lOkRJ_normal.jpg","View")</f>
        <v>View</v>
      </c>
      <c r="P4806" s="7"/>
    </row>
    <row r="4807" spans="1:16">
      <c r="A4807" s="3">
        <v>43928.054710648154</v>
      </c>
      <c r="B4807" s="4" t="str">
        <f>HYPERLINK("https://twitter.com/petrogustavo","@petrogustavo")</f>
        <v>@petrogustavo</v>
      </c>
      <c r="C4807" s="5" t="s">
        <v>16</v>
      </c>
      <c r="D4807" s="5" t="s">
        <v>4709</v>
      </c>
      <c r="E4807" s="6" t="str">
        <f>HYPERLINK("https://twitter.com/petrogustavo/status/1247249915056717827","1247249915056717827")</f>
        <v>1247249915056717827</v>
      </c>
      <c r="F4807" s="7" t="s">
        <v>17</v>
      </c>
      <c r="G4807" s="7">
        <v>3744188</v>
      </c>
      <c r="H4807" s="7">
        <v>2377</v>
      </c>
      <c r="I4807" s="7">
        <v>122</v>
      </c>
      <c r="J4807" s="7">
        <v>216</v>
      </c>
      <c r="K4807" s="7" t="s">
        <v>18</v>
      </c>
      <c r="L4807" s="8">
        <v>39987.315405092595</v>
      </c>
      <c r="M4807" s="9" t="s">
        <v>19</v>
      </c>
      <c r="N4807" s="9" t="s">
        <v>20</v>
      </c>
      <c r="O4807" s="6" t="str">
        <f>HYPERLINK("https://pbs.twimg.com/profile_images/962471262747529216/Uo8lOkRJ_normal.jpg","View")</f>
        <v>View</v>
      </c>
      <c r="P4807" s="7"/>
    </row>
    <row r="4808" spans="1:16">
      <c r="A4808" s="3">
        <v>43928.057118055556</v>
      </c>
      <c r="B4808" s="4" t="str">
        <f>HYPERLINK("https://twitter.com/petrogustavo","@petrogustavo")</f>
        <v>@petrogustavo</v>
      </c>
      <c r="C4808" s="5" t="s">
        <v>16</v>
      </c>
      <c r="D4808" s="5" t="s">
        <v>4710</v>
      </c>
      <c r="E4808" s="6" t="str">
        <f>HYPERLINK("https://twitter.com/petrogustavo/status/1247250790437261316","1247250790437261316")</f>
        <v>1247250790437261316</v>
      </c>
      <c r="F4808" s="7" t="s">
        <v>17</v>
      </c>
      <c r="G4808" s="7">
        <v>3744188</v>
      </c>
      <c r="H4808" s="7">
        <v>2377</v>
      </c>
      <c r="I4808" s="7">
        <v>255</v>
      </c>
      <c r="J4808" s="7">
        <v>542</v>
      </c>
      <c r="K4808" s="7" t="s">
        <v>18</v>
      </c>
      <c r="L4808" s="8">
        <v>39987.315405092595</v>
      </c>
      <c r="M4808" s="9" t="s">
        <v>19</v>
      </c>
      <c r="N4808" s="9" t="s">
        <v>20</v>
      </c>
      <c r="O4808" s="6" t="str">
        <f>HYPERLINK("https://pbs.twimg.com/profile_images/962471262747529216/Uo8lOkRJ_normal.jpg","View")</f>
        <v>View</v>
      </c>
      <c r="P4808" s="7"/>
    </row>
    <row r="4809" spans="1:16">
      <c r="A4809" s="3">
        <v>43928.060185185182</v>
      </c>
      <c r="B4809" s="4" t="str">
        <f>HYPERLINK("https://twitter.com/petrogustavo","@petrogustavo")</f>
        <v>@petrogustavo</v>
      </c>
      <c r="C4809" s="5" t="s">
        <v>16</v>
      </c>
      <c r="D4809" s="5" t="s">
        <v>4711</v>
      </c>
      <c r="E4809" s="6" t="str">
        <f>HYPERLINK("https://twitter.com/petrogustavo/status/1247251901101596680","1247251901101596680")</f>
        <v>1247251901101596680</v>
      </c>
      <c r="F4809" s="7" t="s">
        <v>17</v>
      </c>
      <c r="G4809" s="7">
        <v>3744188</v>
      </c>
      <c r="H4809" s="7">
        <v>2377</v>
      </c>
      <c r="I4809" s="7">
        <v>34</v>
      </c>
      <c r="J4809" s="7">
        <v>0</v>
      </c>
      <c r="K4809" s="7" t="s">
        <v>18</v>
      </c>
      <c r="L4809" s="8">
        <v>39987.315405092595</v>
      </c>
      <c r="M4809" s="9" t="s">
        <v>19</v>
      </c>
      <c r="N4809" s="9" t="s">
        <v>20</v>
      </c>
      <c r="O4809" s="6" t="str">
        <f>HYPERLINK("https://pbs.twimg.com/profile_images/962471262747529216/Uo8lOkRJ_normal.jpg","View")</f>
        <v>View</v>
      </c>
      <c r="P4809" s="7"/>
    </row>
    <row r="4810" spans="1:16">
      <c r="A4810" s="3">
        <v>43928.067777777775</v>
      </c>
      <c r="B4810" s="4" t="str">
        <f>HYPERLINK("https://twitter.com/petrogustavo","@petrogustavo")</f>
        <v>@petrogustavo</v>
      </c>
      <c r="C4810" s="5" t="s">
        <v>16</v>
      </c>
      <c r="D4810" s="5" t="s">
        <v>4712</v>
      </c>
      <c r="E4810" s="6" t="str">
        <f>HYPERLINK("https://twitter.com/petrogustavo/status/1247254650656604163","1247254650656604163")</f>
        <v>1247254650656604163</v>
      </c>
      <c r="F4810" s="7" t="s">
        <v>17</v>
      </c>
      <c r="G4810" s="7">
        <v>3744238</v>
      </c>
      <c r="H4810" s="7">
        <v>2377</v>
      </c>
      <c r="I4810" s="7">
        <v>52</v>
      </c>
      <c r="J4810" s="7">
        <v>77</v>
      </c>
      <c r="K4810" s="7" t="s">
        <v>18</v>
      </c>
      <c r="L4810" s="8">
        <v>39987.315405092595</v>
      </c>
      <c r="M4810" s="9" t="s">
        <v>19</v>
      </c>
      <c r="N4810" s="9" t="s">
        <v>20</v>
      </c>
      <c r="O4810" s="6" t="str">
        <f>HYPERLINK("https://pbs.twimg.com/profile_images/962471262747529216/Uo8lOkRJ_normal.jpg","View")</f>
        <v>View</v>
      </c>
      <c r="P4810" s="7"/>
    </row>
    <row r="4811" spans="1:16">
      <c r="A4811" s="3">
        <v>43928.070567129631</v>
      </c>
      <c r="B4811" s="4" t="str">
        <f>HYPERLINK("https://twitter.com/petrogustavo","@petrogustavo")</f>
        <v>@petrogustavo</v>
      </c>
      <c r="C4811" s="5" t="s">
        <v>16</v>
      </c>
      <c r="D4811" s="5" t="s">
        <v>4713</v>
      </c>
      <c r="E4811" s="6" t="str">
        <f>HYPERLINK("https://twitter.com/petrogustavo/status/1247255663140634625","1247255663140634625")</f>
        <v>1247255663140634625</v>
      </c>
      <c r="F4811" s="7" t="s">
        <v>17</v>
      </c>
      <c r="G4811" s="7">
        <v>3744238</v>
      </c>
      <c r="H4811" s="7">
        <v>2377</v>
      </c>
      <c r="I4811" s="7">
        <v>315</v>
      </c>
      <c r="J4811" s="7">
        <v>788</v>
      </c>
      <c r="K4811" s="7" t="s">
        <v>18</v>
      </c>
      <c r="L4811" s="8">
        <v>39987.315405092595</v>
      </c>
      <c r="M4811" s="9" t="s">
        <v>19</v>
      </c>
      <c r="N4811" s="9" t="s">
        <v>20</v>
      </c>
      <c r="O4811" s="6" t="str">
        <f>HYPERLINK("https://pbs.twimg.com/profile_images/962471262747529216/Uo8lOkRJ_normal.jpg","View")</f>
        <v>View</v>
      </c>
      <c r="P4811" s="7"/>
    </row>
    <row r="4812" spans="1:16">
      <c r="A4812" s="3">
        <v>43928.074097222227</v>
      </c>
      <c r="B4812" s="4" t="str">
        <f>HYPERLINK("https://twitter.com/petrogustavo","@petrogustavo")</f>
        <v>@petrogustavo</v>
      </c>
      <c r="C4812" s="5" t="s">
        <v>16</v>
      </c>
      <c r="D4812" s="5" t="s">
        <v>4714</v>
      </c>
      <c r="E4812" s="6" t="str">
        <f>HYPERLINK("https://twitter.com/petrogustavo/status/1247256943720267776","1247256943720267776")</f>
        <v>1247256943720267776</v>
      </c>
      <c r="F4812" s="7" t="s">
        <v>17</v>
      </c>
      <c r="G4812" s="7">
        <v>3744238</v>
      </c>
      <c r="H4812" s="7">
        <v>2377</v>
      </c>
      <c r="I4812" s="7">
        <v>86</v>
      </c>
      <c r="J4812" s="7">
        <v>137</v>
      </c>
      <c r="K4812" s="7" t="s">
        <v>18</v>
      </c>
      <c r="L4812" s="8">
        <v>39987.315405092595</v>
      </c>
      <c r="M4812" s="9" t="s">
        <v>19</v>
      </c>
      <c r="N4812" s="9" t="s">
        <v>20</v>
      </c>
      <c r="O4812" s="6" t="str">
        <f>HYPERLINK("https://pbs.twimg.com/profile_images/962471262747529216/Uo8lOkRJ_normal.jpg","View")</f>
        <v>View</v>
      </c>
      <c r="P4812" s="7"/>
    </row>
    <row r="4813" spans="1:16">
      <c r="A4813" s="3">
        <v>43928.081770833334</v>
      </c>
      <c r="B4813" s="4" t="str">
        <f>HYPERLINK("https://twitter.com/petrogustavo","@petrogustavo")</f>
        <v>@petrogustavo</v>
      </c>
      <c r="C4813" s="5" t="s">
        <v>16</v>
      </c>
      <c r="D4813" s="5" t="s">
        <v>4715</v>
      </c>
      <c r="E4813" s="6" t="str">
        <f>HYPERLINK("https://twitter.com/petrogustavo/status/1247259724019630083","1247259724019630083")</f>
        <v>1247259724019630083</v>
      </c>
      <c r="F4813" s="7" t="s">
        <v>17</v>
      </c>
      <c r="G4813" s="7">
        <v>3744238</v>
      </c>
      <c r="H4813" s="7">
        <v>2377</v>
      </c>
      <c r="I4813" s="7">
        <v>853</v>
      </c>
      <c r="J4813" s="7">
        <v>0</v>
      </c>
      <c r="K4813" s="7" t="s">
        <v>18</v>
      </c>
      <c r="L4813" s="8">
        <v>39987.315405092595</v>
      </c>
      <c r="M4813" s="9" t="s">
        <v>19</v>
      </c>
      <c r="N4813" s="9" t="s">
        <v>20</v>
      </c>
      <c r="O4813" s="6" t="str">
        <f>HYPERLINK("https://pbs.twimg.com/profile_images/962471262747529216/Uo8lOkRJ_normal.jpg","View")</f>
        <v>View</v>
      </c>
      <c r="P4813" s="7"/>
    </row>
    <row r="4814" spans="1:16">
      <c r="A4814" s="3">
        <v>43928.082280092596</v>
      </c>
      <c r="B4814" s="4" t="str">
        <f>HYPERLINK("https://twitter.com/petrogustavo","@petrogustavo")</f>
        <v>@petrogustavo</v>
      </c>
      <c r="C4814" s="5" t="s">
        <v>16</v>
      </c>
      <c r="D4814" s="5" t="s">
        <v>4716</v>
      </c>
      <c r="E4814" s="6" t="str">
        <f>HYPERLINK("https://twitter.com/petrogustavo/status/1247259906438299651","1247259906438299651")</f>
        <v>1247259906438299651</v>
      </c>
      <c r="F4814" s="7" t="s">
        <v>17</v>
      </c>
      <c r="G4814" s="7">
        <v>3744238</v>
      </c>
      <c r="H4814" s="7">
        <v>2377</v>
      </c>
      <c r="I4814" s="7">
        <v>34</v>
      </c>
      <c r="J4814" s="7">
        <v>135</v>
      </c>
      <c r="K4814" s="7" t="s">
        <v>18</v>
      </c>
      <c r="L4814" s="8">
        <v>39987.315405092595</v>
      </c>
      <c r="M4814" s="9" t="s">
        <v>19</v>
      </c>
      <c r="N4814" s="9" t="s">
        <v>20</v>
      </c>
      <c r="O4814" s="6" t="str">
        <f>HYPERLINK("https://pbs.twimg.com/profile_images/962471262747529216/Uo8lOkRJ_normal.jpg","View")</f>
        <v>View</v>
      </c>
      <c r="P4814" s="7"/>
    </row>
    <row r="4815" spans="1:16">
      <c r="A4815" s="3">
        <v>43928.083495370374</v>
      </c>
      <c r="B4815" s="4" t="str">
        <f>HYPERLINK("https://twitter.com/petrogustavo","@petrogustavo")</f>
        <v>@petrogustavo</v>
      </c>
      <c r="C4815" s="5" t="s">
        <v>16</v>
      </c>
      <c r="D4815" s="5" t="s">
        <v>4717</v>
      </c>
      <c r="E4815" s="6" t="str">
        <f>HYPERLINK("https://twitter.com/petrogustavo/status/1247260346366164993","1247260346366164993")</f>
        <v>1247260346366164993</v>
      </c>
      <c r="F4815" s="7" t="s">
        <v>17</v>
      </c>
      <c r="G4815" s="7">
        <v>3744238</v>
      </c>
      <c r="H4815" s="7">
        <v>2377</v>
      </c>
      <c r="I4815" s="7">
        <v>19</v>
      </c>
      <c r="J4815" s="7">
        <v>0</v>
      </c>
      <c r="K4815" s="7" t="s">
        <v>18</v>
      </c>
      <c r="L4815" s="8">
        <v>39987.315405092595</v>
      </c>
      <c r="M4815" s="9" t="s">
        <v>19</v>
      </c>
      <c r="N4815" s="9" t="s">
        <v>20</v>
      </c>
      <c r="O4815" s="6" t="str">
        <f>HYPERLINK("https://pbs.twimg.com/profile_images/962471262747529216/Uo8lOkRJ_normal.jpg","View")</f>
        <v>View</v>
      </c>
      <c r="P4815" s="7"/>
    </row>
    <row r="4816" spans="1:16">
      <c r="A4816" s="3">
        <v>43928.084027777775</v>
      </c>
      <c r="B4816" s="4" t="str">
        <f>HYPERLINK("https://twitter.com/petrogustavo","@petrogustavo")</f>
        <v>@petrogustavo</v>
      </c>
      <c r="C4816" s="5" t="s">
        <v>16</v>
      </c>
      <c r="D4816" s="5" t="s">
        <v>4718</v>
      </c>
      <c r="E4816" s="6" t="str">
        <f>HYPERLINK("https://twitter.com/petrogustavo/status/1247260539383959552","1247260539383959552")</f>
        <v>1247260539383959552</v>
      </c>
      <c r="F4816" s="7" t="s">
        <v>17</v>
      </c>
      <c r="G4816" s="7">
        <v>3744238</v>
      </c>
      <c r="H4816" s="7">
        <v>2377</v>
      </c>
      <c r="I4816" s="7">
        <v>158</v>
      </c>
      <c r="J4816" s="7">
        <v>0</v>
      </c>
      <c r="K4816" s="7" t="s">
        <v>18</v>
      </c>
      <c r="L4816" s="8">
        <v>39987.315405092595</v>
      </c>
      <c r="M4816" s="9" t="s">
        <v>19</v>
      </c>
      <c r="N4816" s="9" t="s">
        <v>20</v>
      </c>
      <c r="O4816" s="6" t="str">
        <f>HYPERLINK("https://pbs.twimg.com/profile_images/962471262747529216/Uo8lOkRJ_normal.jpg","View")</f>
        <v>View</v>
      </c>
      <c r="P4816" s="7"/>
    </row>
    <row r="4817" spans="1:16">
      <c r="A4817" s="3">
        <v>43928.087222222224</v>
      </c>
      <c r="B4817" s="4" t="str">
        <f>HYPERLINK("https://twitter.com/petrogustavo","@petrogustavo")</f>
        <v>@petrogustavo</v>
      </c>
      <c r="C4817" s="5" t="s">
        <v>16</v>
      </c>
      <c r="D4817" s="5" t="s">
        <v>4719</v>
      </c>
      <c r="E4817" s="6" t="str">
        <f>HYPERLINK("https://twitter.com/petrogustavo/status/1247261698312081408","1247261698312081408")</f>
        <v>1247261698312081408</v>
      </c>
      <c r="F4817" s="7" t="s">
        <v>17</v>
      </c>
      <c r="G4817" s="7">
        <v>3744317</v>
      </c>
      <c r="H4817" s="7">
        <v>2377</v>
      </c>
      <c r="I4817" s="7">
        <v>95</v>
      </c>
      <c r="J4817" s="7">
        <v>261</v>
      </c>
      <c r="K4817" s="7" t="s">
        <v>18</v>
      </c>
      <c r="L4817" s="8">
        <v>39987.315405092595</v>
      </c>
      <c r="M4817" s="9" t="s">
        <v>19</v>
      </c>
      <c r="N4817" s="9" t="s">
        <v>20</v>
      </c>
      <c r="O4817" s="6" t="str">
        <f>HYPERLINK("https://pbs.twimg.com/profile_images/962471262747529216/Uo8lOkRJ_normal.jpg","View")</f>
        <v>View</v>
      </c>
      <c r="P4817" s="7"/>
    </row>
    <row r="4818" spans="1:16">
      <c r="A4818" s="3">
        <v>43928.094074074077</v>
      </c>
      <c r="B4818" s="4" t="str">
        <f>HYPERLINK("https://twitter.com/petrogustavo","@petrogustavo")</f>
        <v>@petrogustavo</v>
      </c>
      <c r="C4818" s="5" t="s">
        <v>16</v>
      </c>
      <c r="D4818" s="5" t="s">
        <v>4720</v>
      </c>
      <c r="E4818" s="6" t="str">
        <f>HYPERLINK("https://twitter.com/petrogustavo/status/1247264182875164674","1247264182875164674")</f>
        <v>1247264182875164674</v>
      </c>
      <c r="F4818" s="7" t="s">
        <v>17</v>
      </c>
      <c r="G4818" s="7">
        <v>3744317</v>
      </c>
      <c r="H4818" s="7">
        <v>2377</v>
      </c>
      <c r="I4818" s="7">
        <v>171</v>
      </c>
      <c r="J4818" s="7">
        <v>446</v>
      </c>
      <c r="K4818" s="7" t="s">
        <v>18</v>
      </c>
      <c r="L4818" s="8">
        <v>39987.315405092595</v>
      </c>
      <c r="M4818" s="9" t="s">
        <v>19</v>
      </c>
      <c r="N4818" s="9" t="s">
        <v>20</v>
      </c>
      <c r="O4818" s="6" t="str">
        <f>HYPERLINK("https://pbs.twimg.com/profile_images/962471262747529216/Uo8lOkRJ_normal.jpg","View")</f>
        <v>View</v>
      </c>
      <c r="P4818" s="7"/>
    </row>
    <row r="4819" spans="1:16">
      <c r="A4819" s="3">
        <v>43928.098194444443</v>
      </c>
      <c r="B4819" s="4" t="str">
        <f>HYPERLINK("https://twitter.com/petrogustavo","@petrogustavo")</f>
        <v>@petrogustavo</v>
      </c>
      <c r="C4819" s="5" t="s">
        <v>16</v>
      </c>
      <c r="D4819" s="5" t="s">
        <v>4721</v>
      </c>
      <c r="E4819" s="6" t="str">
        <f>HYPERLINK("https://twitter.com/petrogustavo/status/1247265674399023104","1247265674399023104")</f>
        <v>1247265674399023104</v>
      </c>
      <c r="F4819" s="7" t="s">
        <v>17</v>
      </c>
      <c r="G4819" s="7">
        <v>3744317</v>
      </c>
      <c r="H4819" s="7">
        <v>2377</v>
      </c>
      <c r="I4819" s="7">
        <v>91</v>
      </c>
      <c r="J4819" s="7">
        <v>224</v>
      </c>
      <c r="K4819" s="7" t="s">
        <v>18</v>
      </c>
      <c r="L4819" s="8">
        <v>39987.315405092595</v>
      </c>
      <c r="M4819" s="9" t="s">
        <v>19</v>
      </c>
      <c r="N4819" s="9" t="s">
        <v>20</v>
      </c>
      <c r="O4819" s="6" t="str">
        <f>HYPERLINK("https://pbs.twimg.com/profile_images/962471262747529216/Uo8lOkRJ_normal.jpg","View")</f>
        <v>View</v>
      </c>
      <c r="P4819" s="7"/>
    </row>
    <row r="4820" spans="1:16">
      <c r="A4820" s="3">
        <v>43928.100972222222</v>
      </c>
      <c r="B4820" s="4" t="str">
        <f>HYPERLINK("https://twitter.com/petrogustavo","@petrogustavo")</f>
        <v>@petrogustavo</v>
      </c>
      <c r="C4820" s="5" t="s">
        <v>16</v>
      </c>
      <c r="D4820" s="5" t="s">
        <v>4722</v>
      </c>
      <c r="E4820" s="6" t="str">
        <f>HYPERLINK("https://twitter.com/petrogustavo/status/1247266680386080772","1247266680386080772")</f>
        <v>1247266680386080772</v>
      </c>
      <c r="F4820" s="7" t="s">
        <v>17</v>
      </c>
      <c r="G4820" s="7">
        <v>3744317</v>
      </c>
      <c r="H4820" s="7">
        <v>2377</v>
      </c>
      <c r="I4820" s="7">
        <v>52</v>
      </c>
      <c r="J4820" s="7">
        <v>119</v>
      </c>
      <c r="K4820" s="7" t="s">
        <v>18</v>
      </c>
      <c r="L4820" s="8">
        <v>39987.315405092595</v>
      </c>
      <c r="M4820" s="9" t="s">
        <v>19</v>
      </c>
      <c r="N4820" s="9" t="s">
        <v>20</v>
      </c>
      <c r="O4820" s="6" t="str">
        <f>HYPERLINK("https://pbs.twimg.com/profile_images/962471262747529216/Uo8lOkRJ_normal.jpg","View")</f>
        <v>View</v>
      </c>
      <c r="P4820" s="7"/>
    </row>
    <row r="4821" spans="1:16">
      <c r="A4821" s="3">
        <v>43928.103206018517</v>
      </c>
      <c r="B4821" s="4" t="str">
        <f>HYPERLINK("https://twitter.com/petrogustavo","@petrogustavo")</f>
        <v>@petrogustavo</v>
      </c>
      <c r="C4821" s="5" t="s">
        <v>16</v>
      </c>
      <c r="D4821" s="5" t="s">
        <v>4723</v>
      </c>
      <c r="E4821" s="6" t="str">
        <f>HYPERLINK("https://twitter.com/petrogustavo/status/1247267491887353857","1247267491887353857")</f>
        <v>1247267491887353857</v>
      </c>
      <c r="F4821" s="7" t="s">
        <v>17</v>
      </c>
      <c r="G4821" s="7">
        <v>3744317</v>
      </c>
      <c r="H4821" s="7">
        <v>2377</v>
      </c>
      <c r="I4821" s="7">
        <v>955</v>
      </c>
      <c r="J4821" s="7">
        <v>0</v>
      </c>
      <c r="K4821" s="7" t="s">
        <v>18</v>
      </c>
      <c r="L4821" s="8">
        <v>39987.315405092595</v>
      </c>
      <c r="M4821" s="9" t="s">
        <v>19</v>
      </c>
      <c r="N4821" s="9" t="s">
        <v>20</v>
      </c>
      <c r="O4821" s="6" t="str">
        <f>HYPERLINK("https://pbs.twimg.com/profile_images/962471262747529216/Uo8lOkRJ_normal.jpg","View")</f>
        <v>View</v>
      </c>
      <c r="P4821" s="7"/>
    </row>
    <row r="4822" spans="1:16">
      <c r="A4822" s="3">
        <v>43928.107488425929</v>
      </c>
      <c r="B4822" s="4" t="str">
        <f>HYPERLINK("https://twitter.com/petrogustavo","@petrogustavo")</f>
        <v>@petrogustavo</v>
      </c>
      <c r="C4822" s="5" t="s">
        <v>16</v>
      </c>
      <c r="D4822" s="5" t="s">
        <v>4724</v>
      </c>
      <c r="E4822" s="6" t="str">
        <f>HYPERLINK("https://twitter.com/petrogustavo/status/1247269044190928896","1247269044190928896")</f>
        <v>1247269044190928896</v>
      </c>
      <c r="F4822" s="7" t="s">
        <v>17</v>
      </c>
      <c r="G4822" s="7">
        <v>3744403</v>
      </c>
      <c r="H4822" s="7">
        <v>2377</v>
      </c>
      <c r="I4822" s="7">
        <v>266</v>
      </c>
      <c r="J4822" s="7">
        <v>479</v>
      </c>
      <c r="K4822" s="7" t="s">
        <v>18</v>
      </c>
      <c r="L4822" s="8">
        <v>39987.315405092595</v>
      </c>
      <c r="M4822" s="9" t="s">
        <v>19</v>
      </c>
      <c r="N4822" s="9" t="s">
        <v>20</v>
      </c>
      <c r="O4822" s="6" t="str">
        <f>HYPERLINK("https://pbs.twimg.com/profile_images/962471262747529216/Uo8lOkRJ_normal.jpg","View")</f>
        <v>View</v>
      </c>
      <c r="P4822" s="7"/>
    </row>
    <row r="4823" spans="1:16">
      <c r="A4823" s="3">
        <v>43928.161192129628</v>
      </c>
      <c r="B4823" s="4" t="str">
        <f>HYPERLINK("https://twitter.com/petrogustavo","@petrogustavo")</f>
        <v>@petrogustavo</v>
      </c>
      <c r="C4823" s="5" t="s">
        <v>16</v>
      </c>
      <c r="D4823" s="5" t="s">
        <v>4725</v>
      </c>
      <c r="E4823" s="6" t="str">
        <f>HYPERLINK("https://twitter.com/petrogustavo/status/1247288504549285889","1247288504549285889")</f>
        <v>1247288504549285889</v>
      </c>
      <c r="F4823" s="7" t="s">
        <v>32</v>
      </c>
      <c r="G4823" s="7">
        <v>3744587</v>
      </c>
      <c r="H4823" s="7">
        <v>2377</v>
      </c>
      <c r="I4823" s="7">
        <v>104</v>
      </c>
      <c r="J4823" s="7">
        <v>171</v>
      </c>
      <c r="K4823" s="7" t="s">
        <v>18</v>
      </c>
      <c r="L4823" s="8">
        <v>39987.315405092595</v>
      </c>
      <c r="M4823" s="9" t="s">
        <v>19</v>
      </c>
      <c r="N4823" s="9" t="s">
        <v>20</v>
      </c>
      <c r="O4823" s="6" t="str">
        <f>HYPERLINK("https://pbs.twimg.com/profile_images/962471262747529216/Uo8lOkRJ_normal.jpg","View")</f>
        <v>View</v>
      </c>
      <c r="P4823" s="7"/>
    </row>
    <row r="4824" spans="1:16">
      <c r="A4824" s="3">
        <v>43928.161412037036</v>
      </c>
      <c r="B4824" s="4" t="str">
        <f>HYPERLINK("https://twitter.com/petrogustavo","@petrogustavo")</f>
        <v>@petrogustavo</v>
      </c>
      <c r="C4824" s="5" t="s">
        <v>16</v>
      </c>
      <c r="D4824" s="5" t="s">
        <v>4726</v>
      </c>
      <c r="E4824" s="6" t="str">
        <f>HYPERLINK("https://twitter.com/petrogustavo/status/1247288584463319042","1247288584463319042")</f>
        <v>1247288584463319042</v>
      </c>
      <c r="F4824" s="7" t="s">
        <v>32</v>
      </c>
      <c r="G4824" s="7">
        <v>3744587</v>
      </c>
      <c r="H4824" s="7">
        <v>2377</v>
      </c>
      <c r="I4824" s="7">
        <v>61</v>
      </c>
      <c r="J4824" s="7">
        <v>0</v>
      </c>
      <c r="K4824" s="7" t="s">
        <v>18</v>
      </c>
      <c r="L4824" s="8">
        <v>39987.315405092595</v>
      </c>
      <c r="M4824" s="9" t="s">
        <v>19</v>
      </c>
      <c r="N4824" s="9" t="s">
        <v>20</v>
      </c>
      <c r="O4824" s="6" t="str">
        <f>HYPERLINK("https://pbs.twimg.com/profile_images/962471262747529216/Uo8lOkRJ_normal.jpg","View")</f>
        <v>View</v>
      </c>
      <c r="P4824" s="7"/>
    </row>
    <row r="4825" spans="1:16">
      <c r="A4825" s="3">
        <v>43928.165196759262</v>
      </c>
      <c r="B4825" s="4" t="str">
        <f>HYPERLINK("https://twitter.com/petrogustavo","@petrogustavo")</f>
        <v>@petrogustavo</v>
      </c>
      <c r="C4825" s="5" t="s">
        <v>16</v>
      </c>
      <c r="D4825" s="5" t="s">
        <v>4727</v>
      </c>
      <c r="E4825" s="6" t="str">
        <f>HYPERLINK("https://twitter.com/petrogustavo/status/1247289957267517452","1247289957267517452")</f>
        <v>1247289957267517452</v>
      </c>
      <c r="F4825" s="7" t="s">
        <v>32</v>
      </c>
      <c r="G4825" s="7">
        <v>3744587</v>
      </c>
      <c r="H4825" s="7">
        <v>2377</v>
      </c>
      <c r="I4825" s="7">
        <v>87</v>
      </c>
      <c r="J4825" s="7">
        <v>193</v>
      </c>
      <c r="K4825" s="7" t="s">
        <v>18</v>
      </c>
      <c r="L4825" s="8">
        <v>39987.315405092595</v>
      </c>
      <c r="M4825" s="9" t="s">
        <v>19</v>
      </c>
      <c r="N4825" s="9" t="s">
        <v>20</v>
      </c>
      <c r="O4825" s="6" t="str">
        <f>HYPERLINK("https://pbs.twimg.com/profile_images/962471262747529216/Uo8lOkRJ_normal.jpg","View")</f>
        <v>View</v>
      </c>
      <c r="P4825" s="7"/>
    </row>
    <row r="4826" spans="1:16">
      <c r="A4826" s="3">
        <v>43928.188414351855</v>
      </c>
      <c r="B4826" s="4" t="str">
        <f>HYPERLINK("https://twitter.com/petrogustavo","@petrogustavo")</f>
        <v>@petrogustavo</v>
      </c>
      <c r="C4826" s="5" t="s">
        <v>16</v>
      </c>
      <c r="D4826" s="5" t="s">
        <v>4728</v>
      </c>
      <c r="E4826" s="6" t="str">
        <f>HYPERLINK("https://twitter.com/petrogustavo/status/1247298366972837898","1247298366972837898")</f>
        <v>1247298366972837898</v>
      </c>
      <c r="F4826" s="7" t="s">
        <v>17</v>
      </c>
      <c r="G4826" s="7">
        <v>3744684</v>
      </c>
      <c r="H4826" s="7">
        <v>2377</v>
      </c>
      <c r="I4826" s="7">
        <v>38</v>
      </c>
      <c r="J4826" s="7">
        <v>119</v>
      </c>
      <c r="K4826" s="7" t="s">
        <v>18</v>
      </c>
      <c r="L4826" s="8">
        <v>39987.315405092595</v>
      </c>
      <c r="M4826" s="9" t="s">
        <v>19</v>
      </c>
      <c r="N4826" s="9" t="s">
        <v>20</v>
      </c>
      <c r="O4826" s="6" t="str">
        <f>HYPERLINK("https://pbs.twimg.com/profile_images/962471262747529216/Uo8lOkRJ_normal.jpg","View")</f>
        <v>View</v>
      </c>
      <c r="P4826" s="7"/>
    </row>
    <row r="4827" spans="1:16">
      <c r="A4827" s="3">
        <v>43928.191701388889</v>
      </c>
      <c r="B4827" s="4" t="str">
        <f>HYPERLINK("https://twitter.com/petrogustavo","@petrogustavo")</f>
        <v>@petrogustavo</v>
      </c>
      <c r="C4827" s="5" t="s">
        <v>16</v>
      </c>
      <c r="D4827" s="5" t="s">
        <v>4729</v>
      </c>
      <c r="E4827" s="6" t="str">
        <f>HYPERLINK("https://twitter.com/petrogustavo/status/1247299560956928011","1247299560956928011")</f>
        <v>1247299560956928011</v>
      </c>
      <c r="F4827" s="7" t="s">
        <v>17</v>
      </c>
      <c r="G4827" s="7">
        <v>3744815</v>
      </c>
      <c r="H4827" s="7">
        <v>2377</v>
      </c>
      <c r="I4827" s="7">
        <v>128</v>
      </c>
      <c r="J4827" s="7">
        <v>0</v>
      </c>
      <c r="K4827" s="7" t="s">
        <v>18</v>
      </c>
      <c r="L4827" s="8">
        <v>39987.315405092595</v>
      </c>
      <c r="M4827" s="9" t="s">
        <v>19</v>
      </c>
      <c r="N4827" s="9" t="s">
        <v>20</v>
      </c>
      <c r="O4827" s="6" t="str">
        <f>HYPERLINK("https://pbs.twimg.com/profile_images/962471262747529216/Uo8lOkRJ_normal.jpg","View")</f>
        <v>View</v>
      </c>
      <c r="P4827" s="7"/>
    </row>
    <row r="4828" spans="1:16">
      <c r="A4828" s="3">
        <v>43928.235960648148</v>
      </c>
      <c r="B4828" s="4" t="str">
        <f>HYPERLINK("https://twitter.com/petrogustavo","@petrogustavo")</f>
        <v>@petrogustavo</v>
      </c>
      <c r="C4828" s="5" t="s">
        <v>16</v>
      </c>
      <c r="D4828" s="5" t="s">
        <v>4730</v>
      </c>
      <c r="E4828" s="6" t="str">
        <f>HYPERLINK("https://twitter.com/petrogustavo/status/1247315597140135940","1247315597140135940")</f>
        <v>1247315597140135940</v>
      </c>
      <c r="F4828" s="7" t="s">
        <v>17</v>
      </c>
      <c r="G4828" s="7">
        <v>3745370</v>
      </c>
      <c r="H4828" s="7">
        <v>2377</v>
      </c>
      <c r="I4828" s="7">
        <v>296</v>
      </c>
      <c r="J4828" s="7">
        <v>1150</v>
      </c>
      <c r="K4828" s="7" t="s">
        <v>18</v>
      </c>
      <c r="L4828" s="8">
        <v>39987.315405092595</v>
      </c>
      <c r="M4828" s="9" t="s">
        <v>19</v>
      </c>
      <c r="N4828" s="9" t="s">
        <v>20</v>
      </c>
      <c r="O4828" s="6" t="str">
        <f>HYPERLINK("https://pbs.twimg.com/profile_images/962471262747529216/Uo8lOkRJ_normal.jpg","View")</f>
        <v>View</v>
      </c>
      <c r="P4828" s="7"/>
    </row>
    <row r="4829" spans="1:16">
      <c r="A4829" s="3">
        <v>43928.258287037039</v>
      </c>
      <c r="B4829" s="4" t="str">
        <f>HYPERLINK("https://twitter.com/petrogustavo","@petrogustavo")</f>
        <v>@petrogustavo</v>
      </c>
      <c r="C4829" s="5" t="s">
        <v>16</v>
      </c>
      <c r="D4829" s="5" t="s">
        <v>4731</v>
      </c>
      <c r="E4829" s="6" t="str">
        <f>HYPERLINK("https://twitter.com/petrogustavo/status/1247323689386946562","1247323689386946562")</f>
        <v>1247323689386946562</v>
      </c>
      <c r="F4829" s="7" t="s">
        <v>17</v>
      </c>
      <c r="G4829" s="7">
        <v>3745542</v>
      </c>
      <c r="H4829" s="7">
        <v>2376</v>
      </c>
      <c r="I4829" s="7">
        <v>155</v>
      </c>
      <c r="J4829" s="7">
        <v>418</v>
      </c>
      <c r="K4829" s="7" t="s">
        <v>18</v>
      </c>
      <c r="L4829" s="8">
        <v>39987.315405092595</v>
      </c>
      <c r="M4829" s="9" t="s">
        <v>19</v>
      </c>
      <c r="N4829" s="9" t="s">
        <v>20</v>
      </c>
      <c r="O4829" s="6" t="str">
        <f>HYPERLINK("https://pbs.twimg.com/profile_images/962471262747529216/Uo8lOkRJ_normal.jpg","View")</f>
        <v>View</v>
      </c>
      <c r="P4829" s="7"/>
    </row>
    <row r="4830" spans="1:16">
      <c r="A4830" s="3">
        <v>43928.265810185185</v>
      </c>
      <c r="B4830" s="4" t="str">
        <f>HYPERLINK("https://twitter.com/petrogustavo","@petrogustavo")</f>
        <v>@petrogustavo</v>
      </c>
      <c r="C4830" s="5" t="s">
        <v>16</v>
      </c>
      <c r="D4830" s="5" t="s">
        <v>4732</v>
      </c>
      <c r="E4830" s="6" t="str">
        <f>HYPERLINK("https://twitter.com/petrogustavo/status/1247326415156117505","1247326415156117505")</f>
        <v>1247326415156117505</v>
      </c>
      <c r="F4830" s="7" t="s">
        <v>17</v>
      </c>
      <c r="G4830" s="7">
        <v>3745542</v>
      </c>
      <c r="H4830" s="7">
        <v>2376</v>
      </c>
      <c r="I4830" s="7">
        <v>240</v>
      </c>
      <c r="J4830" s="7">
        <v>0</v>
      </c>
      <c r="K4830" s="7" t="s">
        <v>18</v>
      </c>
      <c r="L4830" s="8">
        <v>39987.315405092595</v>
      </c>
      <c r="M4830" s="9" t="s">
        <v>19</v>
      </c>
      <c r="N4830" s="9" t="s">
        <v>20</v>
      </c>
      <c r="O4830" s="6" t="str">
        <f>HYPERLINK("https://pbs.twimg.com/profile_images/962471262747529216/Uo8lOkRJ_normal.jpg","View")</f>
        <v>View</v>
      </c>
      <c r="P4830" s="7"/>
    </row>
    <row r="4831" spans="1:16">
      <c r="A4831" s="3">
        <v>43928.292476851857</v>
      </c>
      <c r="B4831" s="4" t="str">
        <f>HYPERLINK("https://twitter.com/petrogustavo","@petrogustavo")</f>
        <v>@petrogustavo</v>
      </c>
      <c r="C4831" s="5" t="s">
        <v>16</v>
      </c>
      <c r="D4831" s="5" t="s">
        <v>4733</v>
      </c>
      <c r="E4831" s="6" t="str">
        <f>HYPERLINK("https://twitter.com/petrogustavo/status/1247336079721730049","1247336079721730049")</f>
        <v>1247336079721730049</v>
      </c>
      <c r="F4831" s="7" t="s">
        <v>17</v>
      </c>
      <c r="G4831" s="7">
        <v>3745678</v>
      </c>
      <c r="H4831" s="7">
        <v>2377</v>
      </c>
      <c r="I4831" s="7">
        <v>269</v>
      </c>
      <c r="J4831" s="7">
        <v>0</v>
      </c>
      <c r="K4831" s="7" t="s">
        <v>18</v>
      </c>
      <c r="L4831" s="8">
        <v>39987.315405092595</v>
      </c>
      <c r="M4831" s="9" t="s">
        <v>19</v>
      </c>
      <c r="N4831" s="9" t="s">
        <v>20</v>
      </c>
      <c r="O4831" s="6" t="str">
        <f>HYPERLINK("https://pbs.twimg.com/profile_images/962471262747529216/Uo8lOkRJ_normal.jpg","View")</f>
        <v>View</v>
      </c>
      <c r="P4831" s="7"/>
    </row>
    <row r="4832" spans="1:16">
      <c r="A4832" s="3">
        <v>43928.294282407413</v>
      </c>
      <c r="B4832" s="4" t="str">
        <f>HYPERLINK("https://twitter.com/petrogustavo","@petrogustavo")</f>
        <v>@petrogustavo</v>
      </c>
      <c r="C4832" s="5" t="s">
        <v>16</v>
      </c>
      <c r="D4832" s="5" t="s">
        <v>4734</v>
      </c>
      <c r="E4832" s="6" t="str">
        <f>HYPERLINK("https://twitter.com/petrogustavo/status/1247336733353676803","1247336733353676803")</f>
        <v>1247336733353676803</v>
      </c>
      <c r="F4832" s="7" t="s">
        <v>17</v>
      </c>
      <c r="G4832" s="7">
        <v>3745801</v>
      </c>
      <c r="H4832" s="7">
        <v>2377</v>
      </c>
      <c r="I4832" s="7">
        <v>22</v>
      </c>
      <c r="J4832" s="7">
        <v>0</v>
      </c>
      <c r="K4832" s="7" t="s">
        <v>18</v>
      </c>
      <c r="L4832" s="8">
        <v>39987.315405092595</v>
      </c>
      <c r="M4832" s="9" t="s">
        <v>19</v>
      </c>
      <c r="N4832" s="9" t="s">
        <v>20</v>
      </c>
      <c r="O4832" s="6" t="str">
        <f>HYPERLINK("https://pbs.twimg.com/profile_images/962471262747529216/Uo8lOkRJ_normal.jpg","View")</f>
        <v>View</v>
      </c>
      <c r="P4832" s="7"/>
    </row>
    <row r="4833" spans="1:16">
      <c r="A4833" s="3">
        <v>43928.295972222222</v>
      </c>
      <c r="B4833" s="4" t="str">
        <f>HYPERLINK("https://twitter.com/petrogustavo","@petrogustavo")</f>
        <v>@petrogustavo</v>
      </c>
      <c r="C4833" s="5" t="s">
        <v>16</v>
      </c>
      <c r="D4833" s="5" t="s">
        <v>4735</v>
      </c>
      <c r="E4833" s="6" t="str">
        <f>HYPERLINK("https://twitter.com/petrogustavo/status/1247337347815034881","1247337347815034881")</f>
        <v>1247337347815034881</v>
      </c>
      <c r="F4833" s="7" t="s">
        <v>17</v>
      </c>
      <c r="G4833" s="7">
        <v>3745801</v>
      </c>
      <c r="H4833" s="7">
        <v>2377</v>
      </c>
      <c r="I4833" s="7">
        <v>104</v>
      </c>
      <c r="J4833" s="7">
        <v>357</v>
      </c>
      <c r="K4833" s="7" t="s">
        <v>18</v>
      </c>
      <c r="L4833" s="8">
        <v>39987.315405092595</v>
      </c>
      <c r="M4833" s="9" t="s">
        <v>19</v>
      </c>
      <c r="N4833" s="9" t="s">
        <v>20</v>
      </c>
      <c r="O4833" s="6" t="str">
        <f>HYPERLINK("https://pbs.twimg.com/profile_images/962471262747529216/Uo8lOkRJ_normal.jpg","View")</f>
        <v>View</v>
      </c>
      <c r="P4833" s="7"/>
    </row>
    <row r="4834" spans="1:16">
      <c r="A4834" s="3">
        <v>43928.304664351846</v>
      </c>
      <c r="B4834" s="4" t="str">
        <f>HYPERLINK("https://twitter.com/petrogustavo","@petrogustavo")</f>
        <v>@petrogustavo</v>
      </c>
      <c r="C4834" s="5" t="s">
        <v>16</v>
      </c>
      <c r="D4834" s="5" t="s">
        <v>4736</v>
      </c>
      <c r="E4834" s="6" t="str">
        <f>HYPERLINK("https://twitter.com/petrogustavo/status/1247340495849902080","1247340495849902080")</f>
        <v>1247340495849902080</v>
      </c>
      <c r="F4834" s="7" t="s">
        <v>17</v>
      </c>
      <c r="G4834" s="7">
        <v>3745801</v>
      </c>
      <c r="H4834" s="7">
        <v>2377</v>
      </c>
      <c r="I4834" s="7">
        <v>2065</v>
      </c>
      <c r="J4834" s="7">
        <v>0</v>
      </c>
      <c r="K4834" s="7" t="s">
        <v>18</v>
      </c>
      <c r="L4834" s="8">
        <v>39987.315405092595</v>
      </c>
      <c r="M4834" s="9" t="s">
        <v>19</v>
      </c>
      <c r="N4834" s="9" t="s">
        <v>20</v>
      </c>
      <c r="O4834" s="6" t="str">
        <f>HYPERLINK("https://pbs.twimg.com/profile_images/962471262747529216/Uo8lOkRJ_normal.jpg","View")</f>
        <v>View</v>
      </c>
      <c r="P4834" s="7"/>
    </row>
    <row r="4835" spans="1:16">
      <c r="A4835" s="3">
        <v>43928.311898148153</v>
      </c>
      <c r="B4835" s="4" t="str">
        <f>HYPERLINK("https://twitter.com/petrogustavo","@petrogustavo")</f>
        <v>@petrogustavo</v>
      </c>
      <c r="C4835" s="5" t="s">
        <v>16</v>
      </c>
      <c r="D4835" s="5" t="s">
        <v>4737</v>
      </c>
      <c r="E4835" s="6" t="str">
        <f>HYPERLINK("https://twitter.com/petrogustavo/status/1247343118426476547","1247343118426476547")</f>
        <v>1247343118426476547</v>
      </c>
      <c r="F4835" s="7" t="s">
        <v>17</v>
      </c>
      <c r="G4835" s="7">
        <v>3745801</v>
      </c>
      <c r="H4835" s="7">
        <v>2377</v>
      </c>
      <c r="I4835" s="7">
        <v>7</v>
      </c>
      <c r="J4835" s="7">
        <v>0</v>
      </c>
      <c r="K4835" s="7" t="s">
        <v>18</v>
      </c>
      <c r="L4835" s="8">
        <v>39987.315405092595</v>
      </c>
      <c r="M4835" s="9" t="s">
        <v>19</v>
      </c>
      <c r="N4835" s="9" t="s">
        <v>20</v>
      </c>
      <c r="O4835" s="6" t="str">
        <f>HYPERLINK("https://pbs.twimg.com/profile_images/962471262747529216/Uo8lOkRJ_normal.jpg","View")</f>
        <v>View</v>
      </c>
      <c r="P4835" s="7"/>
    </row>
    <row r="4836" spans="1:16">
      <c r="A4836" s="3">
        <v>43928.315752314811</v>
      </c>
      <c r="B4836" s="4" t="str">
        <f>HYPERLINK("https://twitter.com/petrogustavo","@petrogustavo")</f>
        <v>@petrogustavo</v>
      </c>
      <c r="C4836" s="5" t="s">
        <v>16</v>
      </c>
      <c r="D4836" s="5" t="s">
        <v>4738</v>
      </c>
      <c r="E4836" s="6" t="str">
        <f>HYPERLINK("https://twitter.com/petrogustavo/status/1247344513506578432","1247344513506578432")</f>
        <v>1247344513506578432</v>
      </c>
      <c r="F4836" s="7" t="s">
        <v>17</v>
      </c>
      <c r="G4836" s="7">
        <v>3745915</v>
      </c>
      <c r="H4836" s="7">
        <v>2377</v>
      </c>
      <c r="I4836" s="7">
        <v>132</v>
      </c>
      <c r="J4836" s="7">
        <v>0</v>
      </c>
      <c r="K4836" s="7" t="s">
        <v>18</v>
      </c>
      <c r="L4836" s="8">
        <v>39987.315405092595</v>
      </c>
      <c r="M4836" s="9" t="s">
        <v>19</v>
      </c>
      <c r="N4836" s="9" t="s">
        <v>20</v>
      </c>
      <c r="O4836" s="6" t="str">
        <f>HYPERLINK("https://pbs.twimg.com/profile_images/962471262747529216/Uo8lOkRJ_normal.jpg","View")</f>
        <v>View</v>
      </c>
      <c r="P4836" s="7"/>
    </row>
    <row r="4837" spans="1:16">
      <c r="A4837" s="3">
        <v>43928.322870370372</v>
      </c>
      <c r="B4837" s="4" t="str">
        <f>HYPERLINK("https://twitter.com/petrogustavo","@petrogustavo")</f>
        <v>@petrogustavo</v>
      </c>
      <c r="C4837" s="5" t="s">
        <v>16</v>
      </c>
      <c r="D4837" s="5" t="s">
        <v>4739</v>
      </c>
      <c r="E4837" s="6" t="str">
        <f>HYPERLINK("https://twitter.com/petrogustavo/status/1247347093754216449","1247347093754216449")</f>
        <v>1247347093754216449</v>
      </c>
      <c r="F4837" s="7" t="s">
        <v>17</v>
      </c>
      <c r="G4837" s="7">
        <v>3745915</v>
      </c>
      <c r="H4837" s="7">
        <v>2377</v>
      </c>
      <c r="I4837" s="7">
        <v>33</v>
      </c>
      <c r="J4837" s="7">
        <v>0</v>
      </c>
      <c r="K4837" s="7" t="s">
        <v>18</v>
      </c>
      <c r="L4837" s="8">
        <v>39987.315405092595</v>
      </c>
      <c r="M4837" s="9" t="s">
        <v>19</v>
      </c>
      <c r="N4837" s="9" t="s">
        <v>20</v>
      </c>
      <c r="O4837" s="6" t="str">
        <f>HYPERLINK("https://pbs.twimg.com/profile_images/962471262747529216/Uo8lOkRJ_normal.jpg","View")</f>
        <v>View</v>
      </c>
      <c r="P4837" s="7"/>
    </row>
    <row r="4838" spans="1:16">
      <c r="A4838" s="3">
        <v>43928.323425925926</v>
      </c>
      <c r="B4838" s="4" t="str">
        <f>HYPERLINK("https://twitter.com/petrogustavo","@petrogustavo")</f>
        <v>@petrogustavo</v>
      </c>
      <c r="C4838" s="5" t="s">
        <v>16</v>
      </c>
      <c r="D4838" s="5" t="s">
        <v>4740</v>
      </c>
      <c r="E4838" s="6" t="str">
        <f>HYPERLINK("https://twitter.com/petrogustavo/status/1247347293688397829","1247347293688397829")</f>
        <v>1247347293688397829</v>
      </c>
      <c r="F4838" s="7" t="s">
        <v>17</v>
      </c>
      <c r="G4838" s="7">
        <v>3745915</v>
      </c>
      <c r="H4838" s="7">
        <v>2377</v>
      </c>
      <c r="I4838" s="7">
        <v>140</v>
      </c>
      <c r="J4838" s="7">
        <v>0</v>
      </c>
      <c r="K4838" s="7" t="s">
        <v>18</v>
      </c>
      <c r="L4838" s="8">
        <v>39987.315405092595</v>
      </c>
      <c r="M4838" s="9" t="s">
        <v>19</v>
      </c>
      <c r="N4838" s="9" t="s">
        <v>20</v>
      </c>
      <c r="O4838" s="6" t="str">
        <f>HYPERLINK("https://pbs.twimg.com/profile_images/962471262747529216/Uo8lOkRJ_normal.jpg","View")</f>
        <v>View</v>
      </c>
      <c r="P4838" s="7"/>
    </row>
    <row r="4839" spans="1:16">
      <c r="A4839" s="3">
        <v>43928.334594907406</v>
      </c>
      <c r="B4839" s="4" t="str">
        <f>HYPERLINK("https://twitter.com/petrogustavo","@petrogustavo")</f>
        <v>@petrogustavo</v>
      </c>
      <c r="C4839" s="5" t="s">
        <v>16</v>
      </c>
      <c r="D4839" s="5" t="s">
        <v>4741</v>
      </c>
      <c r="E4839" s="6" t="str">
        <f>HYPERLINK("https://twitter.com/petrogustavo/status/1247351344798806017","1247351344798806017")</f>
        <v>1247351344798806017</v>
      </c>
      <c r="F4839" s="7" t="s">
        <v>17</v>
      </c>
      <c r="G4839" s="7">
        <v>3745915</v>
      </c>
      <c r="H4839" s="7">
        <v>2377</v>
      </c>
      <c r="I4839" s="7">
        <v>461</v>
      </c>
      <c r="J4839" s="7">
        <v>0</v>
      </c>
      <c r="K4839" s="7" t="s">
        <v>18</v>
      </c>
      <c r="L4839" s="8">
        <v>39987.315405092595</v>
      </c>
      <c r="M4839" s="9" t="s">
        <v>19</v>
      </c>
      <c r="N4839" s="9" t="s">
        <v>20</v>
      </c>
      <c r="O4839" s="6" t="str">
        <f>HYPERLINK("https://pbs.twimg.com/profile_images/962471262747529216/Uo8lOkRJ_normal.jpg","View")</f>
        <v>View</v>
      </c>
      <c r="P4839" s="7"/>
    </row>
    <row r="4840" spans="1:16">
      <c r="A4840" s="3">
        <v>43928.337071759262</v>
      </c>
      <c r="B4840" s="4" t="str">
        <f>HYPERLINK("https://twitter.com/petrogustavo","@petrogustavo")</f>
        <v>@petrogustavo</v>
      </c>
      <c r="C4840" s="5" t="s">
        <v>16</v>
      </c>
      <c r="D4840" s="5" t="s">
        <v>4742</v>
      </c>
      <c r="E4840" s="6" t="str">
        <f>HYPERLINK("https://twitter.com/petrogustavo/status/1247352240488185857","1247352240488185857")</f>
        <v>1247352240488185857</v>
      </c>
      <c r="F4840" s="7" t="s">
        <v>17</v>
      </c>
      <c r="G4840" s="7">
        <v>3745994</v>
      </c>
      <c r="H4840" s="7">
        <v>2377</v>
      </c>
      <c r="I4840" s="7">
        <v>30</v>
      </c>
      <c r="J4840" s="7">
        <v>0</v>
      </c>
      <c r="K4840" s="7" t="s">
        <v>18</v>
      </c>
      <c r="L4840" s="8">
        <v>39987.315405092595</v>
      </c>
      <c r="M4840" s="9" t="s">
        <v>19</v>
      </c>
      <c r="N4840" s="9" t="s">
        <v>20</v>
      </c>
      <c r="O4840" s="6" t="str">
        <f>HYPERLINK("https://pbs.twimg.com/profile_images/962471262747529216/Uo8lOkRJ_normal.jpg","View")</f>
        <v>View</v>
      </c>
      <c r="P4840" s="7"/>
    </row>
    <row r="4841" spans="1:16">
      <c r="A4841" s="3">
        <v>43928.338738425926</v>
      </c>
      <c r="B4841" s="4" t="str">
        <f>HYPERLINK("https://twitter.com/petrogustavo","@petrogustavo")</f>
        <v>@petrogustavo</v>
      </c>
      <c r="C4841" s="5" t="s">
        <v>16</v>
      </c>
      <c r="D4841" s="5" t="s">
        <v>4743</v>
      </c>
      <c r="E4841" s="6" t="str">
        <f>HYPERLINK("https://twitter.com/petrogustavo/status/1247352844090519555","1247352844090519555")</f>
        <v>1247352844090519555</v>
      </c>
      <c r="F4841" s="7" t="s">
        <v>17</v>
      </c>
      <c r="G4841" s="7">
        <v>3745994</v>
      </c>
      <c r="H4841" s="7">
        <v>2377</v>
      </c>
      <c r="I4841" s="7">
        <v>437</v>
      </c>
      <c r="J4841" s="7">
        <v>1266</v>
      </c>
      <c r="K4841" s="7" t="s">
        <v>18</v>
      </c>
      <c r="L4841" s="8">
        <v>39987.315405092595</v>
      </c>
      <c r="M4841" s="9" t="s">
        <v>19</v>
      </c>
      <c r="N4841" s="9" t="s">
        <v>20</v>
      </c>
      <c r="O4841" s="6" t="str">
        <f>HYPERLINK("https://pbs.twimg.com/profile_images/962471262747529216/Uo8lOkRJ_normal.jpg","View")</f>
        <v>View</v>
      </c>
      <c r="P4841" s="7"/>
    </row>
    <row r="4842" spans="1:16">
      <c r="A4842" s="3">
        <v>43928.34211805556</v>
      </c>
      <c r="B4842" s="4" t="str">
        <f>HYPERLINK("https://twitter.com/petrogustavo","@petrogustavo")</f>
        <v>@petrogustavo</v>
      </c>
      <c r="C4842" s="5" t="s">
        <v>16</v>
      </c>
      <c r="D4842" s="5" t="s">
        <v>4744</v>
      </c>
      <c r="E4842" s="6" t="str">
        <f>HYPERLINK("https://twitter.com/petrogustavo/status/1247354067619401739","1247354067619401739")</f>
        <v>1247354067619401739</v>
      </c>
      <c r="F4842" s="7" t="s">
        <v>17</v>
      </c>
      <c r="G4842" s="7">
        <v>3745994</v>
      </c>
      <c r="H4842" s="7">
        <v>2377</v>
      </c>
      <c r="I4842" s="7">
        <v>84</v>
      </c>
      <c r="J4842" s="7">
        <v>0</v>
      </c>
      <c r="K4842" s="7" t="s">
        <v>18</v>
      </c>
      <c r="L4842" s="8">
        <v>39987.315405092595</v>
      </c>
      <c r="M4842" s="9" t="s">
        <v>19</v>
      </c>
      <c r="N4842" s="9" t="s">
        <v>20</v>
      </c>
      <c r="O4842" s="6" t="str">
        <f>HYPERLINK("https://pbs.twimg.com/profile_images/962471262747529216/Uo8lOkRJ_normal.jpg","View")</f>
        <v>View</v>
      </c>
      <c r="P4842" s="7"/>
    </row>
    <row r="4843" spans="1:16">
      <c r="A4843" s="3">
        <v>43928.345983796295</v>
      </c>
      <c r="B4843" s="4" t="str">
        <f>HYPERLINK("https://twitter.com/petrogustavo","@petrogustavo")</f>
        <v>@petrogustavo</v>
      </c>
      <c r="C4843" s="5" t="s">
        <v>16</v>
      </c>
      <c r="D4843" s="5" t="s">
        <v>4745</v>
      </c>
      <c r="E4843" s="6" t="str">
        <f>HYPERLINK("https://twitter.com/petrogustavo/status/1247355468374257664","1247355468374257664")</f>
        <v>1247355468374257664</v>
      </c>
      <c r="F4843" s="7" t="s">
        <v>17</v>
      </c>
      <c r="G4843" s="7">
        <v>3745994</v>
      </c>
      <c r="H4843" s="7">
        <v>2377</v>
      </c>
      <c r="I4843" s="7">
        <v>71</v>
      </c>
      <c r="J4843" s="7">
        <v>194</v>
      </c>
      <c r="K4843" s="7" t="s">
        <v>18</v>
      </c>
      <c r="L4843" s="8">
        <v>39987.315405092595</v>
      </c>
      <c r="M4843" s="9" t="s">
        <v>19</v>
      </c>
      <c r="N4843" s="9" t="s">
        <v>20</v>
      </c>
      <c r="O4843" s="6" t="str">
        <f>HYPERLINK("https://pbs.twimg.com/profile_images/962471262747529216/Uo8lOkRJ_normal.jpg","View")</f>
        <v>View</v>
      </c>
      <c r="P4843" s="7"/>
    </row>
    <row r="4844" spans="1:16">
      <c r="A4844" s="3">
        <v>43928.349629629629</v>
      </c>
      <c r="B4844" s="4" t="str">
        <f>HYPERLINK("https://twitter.com/petrogustavo","@petrogustavo")</f>
        <v>@petrogustavo</v>
      </c>
      <c r="C4844" s="5" t="s">
        <v>16</v>
      </c>
      <c r="D4844" s="5" t="s">
        <v>4746</v>
      </c>
      <c r="E4844" s="6" t="str">
        <f>HYPERLINK("https://twitter.com/petrogustavo/status/1247356790972526592","1247356790972526592")</f>
        <v>1247356790972526592</v>
      </c>
      <c r="F4844" s="7" t="s">
        <v>17</v>
      </c>
      <c r="G4844" s="7">
        <v>3745994</v>
      </c>
      <c r="H4844" s="7">
        <v>2377</v>
      </c>
      <c r="I4844" s="7">
        <v>47</v>
      </c>
      <c r="J4844" s="7">
        <v>0</v>
      </c>
      <c r="K4844" s="7" t="s">
        <v>18</v>
      </c>
      <c r="L4844" s="8">
        <v>39987.315405092595</v>
      </c>
      <c r="M4844" s="9" t="s">
        <v>19</v>
      </c>
      <c r="N4844" s="9" t="s">
        <v>20</v>
      </c>
      <c r="O4844" s="6" t="str">
        <f>HYPERLINK("https://pbs.twimg.com/profile_images/962471262747529216/Uo8lOkRJ_normal.jpg","View")</f>
        <v>View</v>
      </c>
      <c r="P4844" s="7"/>
    </row>
    <row r="4845" spans="1:16">
      <c r="A4845" s="3">
        <v>43928.353043981479</v>
      </c>
      <c r="B4845" s="4" t="str">
        <f>HYPERLINK("https://twitter.com/petrogustavo","@petrogustavo")</f>
        <v>@petrogustavo</v>
      </c>
      <c r="C4845" s="5" t="s">
        <v>16</v>
      </c>
      <c r="D4845" s="5" t="s">
        <v>4747</v>
      </c>
      <c r="E4845" s="6" t="str">
        <f>HYPERLINK("https://twitter.com/petrogustavo/status/1247358027960856577","1247358027960856577")</f>
        <v>1247358027960856577</v>
      </c>
      <c r="F4845" s="7" t="s">
        <v>17</v>
      </c>
      <c r="G4845" s="7">
        <v>3745994</v>
      </c>
      <c r="H4845" s="7">
        <v>2377</v>
      </c>
      <c r="I4845" s="7">
        <v>437</v>
      </c>
      <c r="J4845" s="7">
        <v>0</v>
      </c>
      <c r="K4845" s="7" t="s">
        <v>18</v>
      </c>
      <c r="L4845" s="8">
        <v>39987.315405092595</v>
      </c>
      <c r="M4845" s="9" t="s">
        <v>19</v>
      </c>
      <c r="N4845" s="9" t="s">
        <v>20</v>
      </c>
      <c r="O4845" s="6" t="str">
        <f>HYPERLINK("https://pbs.twimg.com/profile_images/962471262747529216/Uo8lOkRJ_normal.jpg","View")</f>
        <v>View</v>
      </c>
      <c r="P4845" s="7"/>
    </row>
    <row r="4846" spans="1:16">
      <c r="A4846" s="3">
        <v>43928.357025462959</v>
      </c>
      <c r="B4846" s="4" t="str">
        <f>HYPERLINK("https://twitter.com/petrogustavo","@petrogustavo")</f>
        <v>@petrogustavo</v>
      </c>
      <c r="C4846" s="5" t="s">
        <v>16</v>
      </c>
      <c r="D4846" s="5" t="s">
        <v>4748</v>
      </c>
      <c r="E4846" s="6" t="str">
        <f>HYPERLINK("https://twitter.com/petrogustavo/status/1247359470876966912","1247359470876966912")</f>
        <v>1247359470876966912</v>
      </c>
      <c r="F4846" s="7" t="s">
        <v>17</v>
      </c>
      <c r="G4846" s="7">
        <v>3746078</v>
      </c>
      <c r="H4846" s="7">
        <v>2377</v>
      </c>
      <c r="I4846" s="7">
        <v>187</v>
      </c>
      <c r="J4846" s="7">
        <v>316</v>
      </c>
      <c r="K4846" s="7" t="s">
        <v>18</v>
      </c>
      <c r="L4846" s="8">
        <v>39987.315405092595</v>
      </c>
      <c r="M4846" s="9" t="s">
        <v>19</v>
      </c>
      <c r="N4846" s="9" t="s">
        <v>20</v>
      </c>
      <c r="O4846" s="6" t="str">
        <f>HYPERLINK("https://pbs.twimg.com/profile_images/962471262747529216/Uo8lOkRJ_normal.jpg","View")</f>
        <v>View</v>
      </c>
      <c r="P4846" s="7"/>
    </row>
    <row r="4847" spans="1:16">
      <c r="A4847" s="3">
        <v>43928.723576388889</v>
      </c>
      <c r="B4847" s="4" t="str">
        <f>HYPERLINK("https://twitter.com/petrogustavo","@petrogustavo")</f>
        <v>@petrogustavo</v>
      </c>
      <c r="C4847" s="5" t="s">
        <v>16</v>
      </c>
      <c r="D4847" s="5" t="s">
        <v>4749</v>
      </c>
      <c r="E4847" s="6" t="str">
        <f>HYPERLINK("https://twitter.com/petrogustavo/status/1247492303289290753","1247492303289290753")</f>
        <v>1247492303289290753</v>
      </c>
      <c r="F4847" s="7" t="s">
        <v>17</v>
      </c>
      <c r="G4847" s="7">
        <v>3746637</v>
      </c>
      <c r="H4847" s="7">
        <v>2378</v>
      </c>
      <c r="I4847" s="7">
        <v>24</v>
      </c>
      <c r="J4847" s="7">
        <v>41</v>
      </c>
      <c r="K4847" s="7" t="s">
        <v>18</v>
      </c>
      <c r="L4847" s="8">
        <v>39987.315405092595</v>
      </c>
      <c r="M4847" s="9" t="s">
        <v>19</v>
      </c>
      <c r="N4847" s="9" t="s">
        <v>20</v>
      </c>
      <c r="O4847" s="6" t="str">
        <f>HYPERLINK("https://pbs.twimg.com/profile_images/962471262747529216/Uo8lOkRJ_normal.jpg","View")</f>
        <v>View</v>
      </c>
      <c r="P4847" s="7"/>
    </row>
    <row r="4848" spans="1:16">
      <c r="A4848" s="3">
        <v>43928.724780092598</v>
      </c>
      <c r="B4848" s="4" t="str">
        <f>HYPERLINK("https://twitter.com/petrogustavo","@petrogustavo")</f>
        <v>@petrogustavo</v>
      </c>
      <c r="C4848" s="5" t="s">
        <v>16</v>
      </c>
      <c r="D4848" s="5" t="s">
        <v>4750</v>
      </c>
      <c r="E4848" s="6" t="str">
        <f>HYPERLINK("https://twitter.com/petrogustavo/status/1247492740218335234","1247492740218335234")</f>
        <v>1247492740218335234</v>
      </c>
      <c r="F4848" s="7" t="s">
        <v>17</v>
      </c>
      <c r="G4848" s="7">
        <v>3746637</v>
      </c>
      <c r="H4848" s="7">
        <v>2378</v>
      </c>
      <c r="I4848" s="7">
        <v>263</v>
      </c>
      <c r="J4848" s="7">
        <v>0</v>
      </c>
      <c r="K4848" s="7" t="s">
        <v>18</v>
      </c>
      <c r="L4848" s="8">
        <v>39987.315405092595</v>
      </c>
      <c r="M4848" s="9" t="s">
        <v>19</v>
      </c>
      <c r="N4848" s="9" t="s">
        <v>20</v>
      </c>
      <c r="O4848" s="6" t="str">
        <f>HYPERLINK("https://pbs.twimg.com/profile_images/962471262747529216/Uo8lOkRJ_normal.jpg","View")</f>
        <v>View</v>
      </c>
      <c r="P4848" s="7"/>
    </row>
    <row r="4849" spans="1:16">
      <c r="A4849" s="3">
        <v>43928.733761574069</v>
      </c>
      <c r="B4849" s="4" t="str">
        <f>HYPERLINK("https://twitter.com/petrogustavo","@petrogustavo")</f>
        <v>@petrogustavo</v>
      </c>
      <c r="C4849" s="5" t="s">
        <v>16</v>
      </c>
      <c r="D4849" s="5" t="s">
        <v>4751</v>
      </c>
      <c r="E4849" s="6" t="str">
        <f>HYPERLINK("https://twitter.com/petrogustavo/status/1247495995946139648","1247495995946139648")</f>
        <v>1247495995946139648</v>
      </c>
      <c r="F4849" s="7" t="s">
        <v>17</v>
      </c>
      <c r="G4849" s="7">
        <v>3746677</v>
      </c>
      <c r="H4849" s="7">
        <v>2378</v>
      </c>
      <c r="I4849" s="7">
        <v>73</v>
      </c>
      <c r="J4849" s="7">
        <v>186</v>
      </c>
      <c r="K4849" s="7" t="s">
        <v>18</v>
      </c>
      <c r="L4849" s="8">
        <v>39987.315405092595</v>
      </c>
      <c r="M4849" s="9" t="s">
        <v>19</v>
      </c>
      <c r="N4849" s="9" t="s">
        <v>20</v>
      </c>
      <c r="O4849" s="6" t="str">
        <f>HYPERLINK("https://pbs.twimg.com/profile_images/962471262747529216/Uo8lOkRJ_normal.jpg","View")</f>
        <v>View</v>
      </c>
      <c r="P4849" s="7"/>
    </row>
    <row r="4850" spans="1:16">
      <c r="A4850" s="3">
        <v>43928.73809027778</v>
      </c>
      <c r="B4850" s="4" t="str">
        <f>HYPERLINK("https://twitter.com/petrogustavo","@petrogustavo")</f>
        <v>@petrogustavo</v>
      </c>
      <c r="C4850" s="5" t="s">
        <v>16</v>
      </c>
      <c r="D4850" s="5" t="s">
        <v>4752</v>
      </c>
      <c r="E4850" s="6" t="str">
        <f>HYPERLINK("https://twitter.com/petrogustavo/status/1247497565328814081","1247497565328814081")</f>
        <v>1247497565328814081</v>
      </c>
      <c r="F4850" s="7" t="s">
        <v>17</v>
      </c>
      <c r="G4850" s="7">
        <v>3746677</v>
      </c>
      <c r="H4850" s="7">
        <v>2378</v>
      </c>
      <c r="I4850" s="7">
        <v>77</v>
      </c>
      <c r="J4850" s="7">
        <v>128</v>
      </c>
      <c r="K4850" s="7" t="s">
        <v>18</v>
      </c>
      <c r="L4850" s="8">
        <v>39987.315405092595</v>
      </c>
      <c r="M4850" s="9" t="s">
        <v>19</v>
      </c>
      <c r="N4850" s="9" t="s">
        <v>20</v>
      </c>
      <c r="O4850" s="6" t="str">
        <f>HYPERLINK("https://pbs.twimg.com/profile_images/962471262747529216/Uo8lOkRJ_normal.jpg","View")</f>
        <v>View</v>
      </c>
      <c r="P4850" s="7"/>
    </row>
    <row r="4851" spans="1:16">
      <c r="A4851" s="3">
        <v>43928.745092592595</v>
      </c>
      <c r="B4851" s="4" t="str">
        <f>HYPERLINK("https://twitter.com/petrogustavo","@petrogustavo")</f>
        <v>@petrogustavo</v>
      </c>
      <c r="C4851" s="5" t="s">
        <v>16</v>
      </c>
      <c r="D4851" s="5" t="s">
        <v>4753</v>
      </c>
      <c r="E4851" s="6" t="str">
        <f>HYPERLINK("https://twitter.com/petrogustavo/status/1247500104480763905","1247500104480763905")</f>
        <v>1247500104480763905</v>
      </c>
      <c r="F4851" s="7" t="s">
        <v>17</v>
      </c>
      <c r="G4851" s="7">
        <v>3746677</v>
      </c>
      <c r="H4851" s="7">
        <v>2378</v>
      </c>
      <c r="I4851" s="7">
        <v>636</v>
      </c>
      <c r="J4851" s="7">
        <v>0</v>
      </c>
      <c r="K4851" s="7" t="s">
        <v>18</v>
      </c>
      <c r="L4851" s="8">
        <v>39987.315405092595</v>
      </c>
      <c r="M4851" s="9" t="s">
        <v>19</v>
      </c>
      <c r="N4851" s="9" t="s">
        <v>20</v>
      </c>
      <c r="O4851" s="6" t="str">
        <f>HYPERLINK("https://pbs.twimg.com/profile_images/962471262747529216/Uo8lOkRJ_normal.jpg","View")</f>
        <v>View</v>
      </c>
      <c r="P4851" s="7"/>
    </row>
    <row r="4852" spans="1:16">
      <c r="A4852" s="3">
        <v>43928.760428240741</v>
      </c>
      <c r="B4852" s="4" t="str">
        <f>HYPERLINK("https://twitter.com/petrogustavo","@petrogustavo")</f>
        <v>@petrogustavo</v>
      </c>
      <c r="C4852" s="5" t="s">
        <v>16</v>
      </c>
      <c r="D4852" s="5" t="s">
        <v>4754</v>
      </c>
      <c r="E4852" s="6" t="str">
        <f>HYPERLINK("https://twitter.com/petrogustavo/status/1247505658511077379","1247505658511077379")</f>
        <v>1247505658511077379</v>
      </c>
      <c r="F4852" s="7" t="s">
        <v>17</v>
      </c>
      <c r="G4852" s="7">
        <v>3746740</v>
      </c>
      <c r="H4852" s="7">
        <v>2378</v>
      </c>
      <c r="I4852" s="7">
        <v>23</v>
      </c>
      <c r="J4852" s="7">
        <v>89</v>
      </c>
      <c r="K4852" s="7" t="s">
        <v>18</v>
      </c>
      <c r="L4852" s="8">
        <v>39987.315405092595</v>
      </c>
      <c r="M4852" s="9" t="s">
        <v>19</v>
      </c>
      <c r="N4852" s="9" t="s">
        <v>20</v>
      </c>
      <c r="O4852" s="6" t="str">
        <f>HYPERLINK("https://pbs.twimg.com/profile_images/962471262747529216/Uo8lOkRJ_normal.jpg","View")</f>
        <v>View</v>
      </c>
      <c r="P4852" s="7"/>
    </row>
    <row r="4853" spans="1:16">
      <c r="A4853" s="3">
        <v>43928.780624999999</v>
      </c>
      <c r="B4853" s="4" t="str">
        <f>HYPERLINK("https://twitter.com/petrogustavo","@petrogustavo")</f>
        <v>@petrogustavo</v>
      </c>
      <c r="C4853" s="5" t="s">
        <v>16</v>
      </c>
      <c r="D4853" s="5" t="s">
        <v>4755</v>
      </c>
      <c r="E4853" s="6" t="str">
        <f>HYPERLINK("https://twitter.com/petrogustavo/status/1247512979475750912","1247512979475750912")</f>
        <v>1247512979475750912</v>
      </c>
      <c r="F4853" s="7" t="s">
        <v>17</v>
      </c>
      <c r="G4853" s="7">
        <v>3746778</v>
      </c>
      <c r="H4853" s="7">
        <v>2378</v>
      </c>
      <c r="I4853" s="7">
        <v>178</v>
      </c>
      <c r="J4853" s="7">
        <v>542</v>
      </c>
      <c r="K4853" s="7" t="s">
        <v>18</v>
      </c>
      <c r="L4853" s="8">
        <v>39987.315405092595</v>
      </c>
      <c r="M4853" s="9" t="s">
        <v>19</v>
      </c>
      <c r="N4853" s="9" t="s">
        <v>20</v>
      </c>
      <c r="O4853" s="6" t="str">
        <f>HYPERLINK("https://pbs.twimg.com/profile_images/962471262747529216/Uo8lOkRJ_normal.jpg","View")</f>
        <v>View</v>
      </c>
      <c r="P4853" s="7"/>
    </row>
    <row r="4854" spans="1:16">
      <c r="A4854" s="3">
        <v>43928.79041666667</v>
      </c>
      <c r="B4854" s="4" t="str">
        <f>HYPERLINK("https://twitter.com/petrogustavo","@petrogustavo")</f>
        <v>@petrogustavo</v>
      </c>
      <c r="C4854" s="5" t="s">
        <v>16</v>
      </c>
      <c r="D4854" s="5" t="s">
        <v>4753</v>
      </c>
      <c r="E4854" s="6" t="str">
        <f>HYPERLINK("https://twitter.com/petrogustavo/status/1247516528007770112","1247516528007770112")</f>
        <v>1247516528007770112</v>
      </c>
      <c r="F4854" s="7" t="s">
        <v>17</v>
      </c>
      <c r="G4854" s="7">
        <v>3746778</v>
      </c>
      <c r="H4854" s="7">
        <v>2378</v>
      </c>
      <c r="I4854" s="7">
        <v>741</v>
      </c>
      <c r="J4854" s="7">
        <v>0</v>
      </c>
      <c r="K4854" s="7" t="s">
        <v>18</v>
      </c>
      <c r="L4854" s="8">
        <v>39987.315405092595</v>
      </c>
      <c r="M4854" s="9" t="s">
        <v>19</v>
      </c>
      <c r="N4854" s="9" t="s">
        <v>20</v>
      </c>
      <c r="O4854" s="6" t="str">
        <f>HYPERLINK("https://pbs.twimg.com/profile_images/962471262747529216/Uo8lOkRJ_normal.jpg","View")</f>
        <v>View</v>
      </c>
      <c r="P4854" s="7"/>
    </row>
    <row r="4855" spans="1:16">
      <c r="A4855" s="3">
        <v>43928.793749999997</v>
      </c>
      <c r="B4855" s="4" t="str">
        <f>HYPERLINK("https://twitter.com/petrogustavo","@petrogustavo")</f>
        <v>@petrogustavo</v>
      </c>
      <c r="C4855" s="5" t="s">
        <v>16</v>
      </c>
      <c r="D4855" s="5" t="s">
        <v>4756</v>
      </c>
      <c r="E4855" s="6" t="str">
        <f>HYPERLINK("https://twitter.com/petrogustavo/status/1247517735992446980","1247517735992446980")</f>
        <v>1247517735992446980</v>
      </c>
      <c r="F4855" s="7" t="s">
        <v>17</v>
      </c>
      <c r="G4855" s="7">
        <v>3746778</v>
      </c>
      <c r="H4855" s="7">
        <v>2378</v>
      </c>
      <c r="I4855" s="7">
        <v>0</v>
      </c>
      <c r="J4855" s="7">
        <v>0</v>
      </c>
      <c r="K4855" s="7" t="s">
        <v>18</v>
      </c>
      <c r="L4855" s="8">
        <v>39987.315405092595</v>
      </c>
      <c r="M4855" s="9" t="s">
        <v>19</v>
      </c>
      <c r="N4855" s="9" t="s">
        <v>20</v>
      </c>
      <c r="O4855" s="6" t="str">
        <f>HYPERLINK("https://pbs.twimg.com/profile_images/962471262747529216/Uo8lOkRJ_normal.jpg","View")</f>
        <v>View</v>
      </c>
      <c r="P4855" s="7"/>
    </row>
    <row r="4856" spans="1:16">
      <c r="A4856" s="3">
        <v>43928.799317129626</v>
      </c>
      <c r="B4856" s="4" t="str">
        <f>HYPERLINK("https://twitter.com/petrogustavo","@petrogustavo")</f>
        <v>@petrogustavo</v>
      </c>
      <c r="C4856" s="5" t="s">
        <v>16</v>
      </c>
      <c r="D4856" s="5" t="s">
        <v>4757</v>
      </c>
      <c r="E4856" s="6" t="str">
        <f>HYPERLINK("https://twitter.com/petrogustavo/status/1247519751473152000","1247519751473152000")</f>
        <v>1247519751473152000</v>
      </c>
      <c r="F4856" s="7" t="s">
        <v>17</v>
      </c>
      <c r="G4856" s="7">
        <v>3746734</v>
      </c>
      <c r="H4856" s="7">
        <v>2378</v>
      </c>
      <c r="I4856" s="7">
        <v>188</v>
      </c>
      <c r="J4856" s="7">
        <v>496</v>
      </c>
      <c r="K4856" s="7" t="s">
        <v>18</v>
      </c>
      <c r="L4856" s="8">
        <v>39987.315405092595</v>
      </c>
      <c r="M4856" s="9" t="s">
        <v>19</v>
      </c>
      <c r="N4856" s="9" t="s">
        <v>20</v>
      </c>
      <c r="O4856" s="6" t="str">
        <f>HYPERLINK("https://pbs.twimg.com/profile_images/962471262747529216/Uo8lOkRJ_normal.jpg","View")</f>
        <v>View</v>
      </c>
      <c r="P4856" s="7"/>
    </row>
    <row r="4857" spans="1:16">
      <c r="A4857" s="3">
        <v>43928.832534722227</v>
      </c>
      <c r="B4857" s="4" t="str">
        <f>HYPERLINK("https://twitter.com/petrogustavo","@petrogustavo")</f>
        <v>@petrogustavo</v>
      </c>
      <c r="C4857" s="5" t="s">
        <v>16</v>
      </c>
      <c r="D4857" s="5" t="s">
        <v>4758</v>
      </c>
      <c r="E4857" s="6" t="str">
        <f>HYPERLINK("https://twitter.com/petrogustavo/status/1247531791021273089","1247531791021273089")</f>
        <v>1247531791021273089</v>
      </c>
      <c r="F4857" s="7" t="s">
        <v>17</v>
      </c>
      <c r="G4857" s="7">
        <v>3746782</v>
      </c>
      <c r="H4857" s="7">
        <v>2378</v>
      </c>
      <c r="I4857" s="7">
        <v>316</v>
      </c>
      <c r="J4857" s="7">
        <v>0</v>
      </c>
      <c r="K4857" s="7" t="s">
        <v>18</v>
      </c>
      <c r="L4857" s="8">
        <v>39987.315405092595</v>
      </c>
      <c r="M4857" s="9" t="s">
        <v>19</v>
      </c>
      <c r="N4857" s="9" t="s">
        <v>20</v>
      </c>
      <c r="O4857" s="6" t="str">
        <f>HYPERLINK("https://pbs.twimg.com/profile_images/962471262747529216/Uo8lOkRJ_normal.jpg","View")</f>
        <v>View</v>
      </c>
      <c r="P4857" s="7"/>
    </row>
    <row r="4858" spans="1:16">
      <c r="A4858" s="3">
        <v>43928.842905092592</v>
      </c>
      <c r="B4858" s="4" t="str">
        <f>HYPERLINK("https://twitter.com/petrogustavo","@petrogustavo")</f>
        <v>@petrogustavo</v>
      </c>
      <c r="C4858" s="5" t="s">
        <v>16</v>
      </c>
      <c r="D4858" s="5" t="s">
        <v>4759</v>
      </c>
      <c r="E4858" s="6" t="str">
        <f>HYPERLINK("https://twitter.com/petrogustavo/status/1247535546852724738","1247535546852724738")</f>
        <v>1247535546852724738</v>
      </c>
      <c r="F4858" s="7" t="s">
        <v>17</v>
      </c>
      <c r="G4858" s="7">
        <v>3746857</v>
      </c>
      <c r="H4858" s="7">
        <v>2378</v>
      </c>
      <c r="I4858" s="7">
        <v>59</v>
      </c>
      <c r="J4858" s="7">
        <v>133</v>
      </c>
      <c r="K4858" s="7" t="s">
        <v>18</v>
      </c>
      <c r="L4858" s="8">
        <v>39987.315405092595</v>
      </c>
      <c r="M4858" s="9" t="s">
        <v>19</v>
      </c>
      <c r="N4858" s="9" t="s">
        <v>20</v>
      </c>
      <c r="O4858" s="6" t="str">
        <f>HYPERLINK("https://pbs.twimg.com/profile_images/962471262747529216/Uo8lOkRJ_normal.jpg","View")</f>
        <v>View</v>
      </c>
      <c r="P4858" s="7"/>
    </row>
    <row r="4859" spans="1:16">
      <c r="A4859" s="3">
        <v>43928.888587962967</v>
      </c>
      <c r="B4859" s="4" t="str">
        <f>HYPERLINK("https://twitter.com/petrogustavo","@petrogustavo")</f>
        <v>@petrogustavo</v>
      </c>
      <c r="C4859" s="5" t="s">
        <v>16</v>
      </c>
      <c r="D4859" s="5" t="s">
        <v>4758</v>
      </c>
      <c r="E4859" s="6" t="str">
        <f>HYPERLINK("https://twitter.com/petrogustavo/status/1247552102173413378","1247552102173413378")</f>
        <v>1247552102173413378</v>
      </c>
      <c r="F4859" s="7" t="s">
        <v>17</v>
      </c>
      <c r="G4859" s="7">
        <v>3747101</v>
      </c>
      <c r="H4859" s="7">
        <v>2378</v>
      </c>
      <c r="I4859" s="7">
        <v>618</v>
      </c>
      <c r="J4859" s="7">
        <v>0</v>
      </c>
      <c r="K4859" s="7" t="s">
        <v>18</v>
      </c>
      <c r="L4859" s="8">
        <v>39987.315405092595</v>
      </c>
      <c r="M4859" s="9" t="s">
        <v>19</v>
      </c>
      <c r="N4859" s="9" t="s">
        <v>20</v>
      </c>
      <c r="O4859" s="6" t="str">
        <f>HYPERLINK("https://pbs.twimg.com/profile_images/962471262747529216/Uo8lOkRJ_normal.jpg","View")</f>
        <v>View</v>
      </c>
      <c r="P4859" s="7"/>
    </row>
    <row r="4860" spans="1:16">
      <c r="A4860" s="3">
        <v>43928.893217592587</v>
      </c>
      <c r="B4860" s="4" t="str">
        <f>HYPERLINK("https://twitter.com/petrogustavo","@petrogustavo")</f>
        <v>@petrogustavo</v>
      </c>
      <c r="C4860" s="5" t="s">
        <v>16</v>
      </c>
      <c r="D4860" s="5" t="s">
        <v>4760</v>
      </c>
      <c r="E4860" s="6" t="str">
        <f>HYPERLINK("https://twitter.com/petrogustavo/status/1247553780071235584","1247553780071235584")</f>
        <v>1247553780071235584</v>
      </c>
      <c r="F4860" s="7" t="s">
        <v>17</v>
      </c>
      <c r="G4860" s="7">
        <v>3747101</v>
      </c>
      <c r="H4860" s="7">
        <v>2378</v>
      </c>
      <c r="I4860" s="7">
        <v>125</v>
      </c>
      <c r="J4860" s="7">
        <v>351</v>
      </c>
      <c r="K4860" s="7" t="s">
        <v>18</v>
      </c>
      <c r="L4860" s="8">
        <v>39987.315405092595</v>
      </c>
      <c r="M4860" s="9" t="s">
        <v>19</v>
      </c>
      <c r="N4860" s="9" t="s">
        <v>20</v>
      </c>
      <c r="O4860" s="6" t="str">
        <f>HYPERLINK("https://pbs.twimg.com/profile_images/962471262747529216/Uo8lOkRJ_normal.jpg","View")</f>
        <v>View</v>
      </c>
      <c r="P4860" s="7"/>
    </row>
    <row r="4861" spans="1:16">
      <c r="A4861" s="3">
        <v>43929.017800925925</v>
      </c>
      <c r="B4861" s="4" t="str">
        <f>HYPERLINK("https://twitter.com/petrogustavo","@petrogustavo")</f>
        <v>@petrogustavo</v>
      </c>
      <c r="C4861" s="5" t="s">
        <v>16</v>
      </c>
      <c r="D4861" s="5" t="s">
        <v>4761</v>
      </c>
      <c r="E4861" s="6" t="str">
        <f>HYPERLINK("https://twitter.com/petrogustavo/status/1247598927538540549","1247598927538540549")</f>
        <v>1247598927538540549</v>
      </c>
      <c r="F4861" s="7" t="s">
        <v>17</v>
      </c>
      <c r="G4861" s="7">
        <v>3747543</v>
      </c>
      <c r="H4861" s="7">
        <v>2378</v>
      </c>
      <c r="I4861" s="7">
        <v>151</v>
      </c>
      <c r="J4861" s="7">
        <v>422</v>
      </c>
      <c r="K4861" s="7" t="s">
        <v>18</v>
      </c>
      <c r="L4861" s="8">
        <v>39987.315405092595</v>
      </c>
      <c r="M4861" s="9" t="s">
        <v>19</v>
      </c>
      <c r="N4861" s="9" t="s">
        <v>20</v>
      </c>
      <c r="O4861" s="6" t="str">
        <f>HYPERLINK("https://pbs.twimg.com/profile_images/962471262747529216/Uo8lOkRJ_normal.jpg","View")</f>
        <v>View</v>
      </c>
      <c r="P4861" s="7"/>
    </row>
    <row r="4862" spans="1:16">
      <c r="A4862" s="3">
        <v>43929.02043981482</v>
      </c>
      <c r="B4862" s="4" t="str">
        <f>HYPERLINK("https://twitter.com/petrogustavo","@petrogustavo")</f>
        <v>@petrogustavo</v>
      </c>
      <c r="C4862" s="5" t="s">
        <v>16</v>
      </c>
      <c r="D4862" s="5" t="s">
        <v>4762</v>
      </c>
      <c r="E4862" s="6" t="str">
        <f>HYPERLINK("https://twitter.com/petrogustavo/status/1247599884502523904","1247599884502523904")</f>
        <v>1247599884502523904</v>
      </c>
      <c r="F4862" s="7" t="s">
        <v>17</v>
      </c>
      <c r="G4862" s="7">
        <v>3747543</v>
      </c>
      <c r="H4862" s="7">
        <v>2378</v>
      </c>
      <c r="I4862" s="7">
        <v>31</v>
      </c>
      <c r="J4862" s="7">
        <v>105</v>
      </c>
      <c r="K4862" s="7" t="s">
        <v>18</v>
      </c>
      <c r="L4862" s="8">
        <v>39987.315405092595</v>
      </c>
      <c r="M4862" s="9" t="s">
        <v>19</v>
      </c>
      <c r="N4862" s="9" t="s">
        <v>20</v>
      </c>
      <c r="O4862" s="6" t="str">
        <f>HYPERLINK("https://pbs.twimg.com/profile_images/962471262747529216/Uo8lOkRJ_normal.jpg","View")</f>
        <v>View</v>
      </c>
      <c r="P4862" s="7"/>
    </row>
    <row r="4863" spans="1:16">
      <c r="A4863" s="3">
        <v>43929.088692129633</v>
      </c>
      <c r="B4863" s="4" t="str">
        <f>HYPERLINK("https://twitter.com/petrogustavo","@petrogustavo")</f>
        <v>@petrogustavo</v>
      </c>
      <c r="C4863" s="5" t="s">
        <v>16</v>
      </c>
      <c r="D4863" s="5" t="s">
        <v>4763</v>
      </c>
      <c r="E4863" s="6" t="str">
        <f>HYPERLINK("https://twitter.com/petrogustavo/status/1247624619567218688","1247624619567218688")</f>
        <v>1247624619567218688</v>
      </c>
      <c r="F4863" s="7" t="s">
        <v>17</v>
      </c>
      <c r="G4863" s="7">
        <v>3747812</v>
      </c>
      <c r="H4863" s="7">
        <v>2378</v>
      </c>
      <c r="I4863" s="7">
        <v>41</v>
      </c>
      <c r="J4863" s="7">
        <v>0</v>
      </c>
      <c r="K4863" s="7" t="s">
        <v>18</v>
      </c>
      <c r="L4863" s="8">
        <v>39987.315405092595</v>
      </c>
      <c r="M4863" s="9" t="s">
        <v>19</v>
      </c>
      <c r="N4863" s="9" t="s">
        <v>20</v>
      </c>
      <c r="O4863" s="6" t="str">
        <f>HYPERLINK("https://pbs.twimg.com/profile_images/962471262747529216/Uo8lOkRJ_normal.jpg","View")</f>
        <v>View</v>
      </c>
      <c r="P4863" s="7"/>
    </row>
    <row r="4864" spans="1:16">
      <c r="A4864" s="3">
        <v>43929.091932870375</v>
      </c>
      <c r="B4864" s="4" t="str">
        <f>HYPERLINK("https://twitter.com/petrogustavo","@petrogustavo")</f>
        <v>@petrogustavo</v>
      </c>
      <c r="C4864" s="5" t="s">
        <v>16</v>
      </c>
      <c r="D4864" s="5" t="s">
        <v>4764</v>
      </c>
      <c r="E4864" s="6" t="str">
        <f>HYPERLINK("https://twitter.com/petrogustavo/status/1247625792240209924","1247625792240209924")</f>
        <v>1247625792240209924</v>
      </c>
      <c r="F4864" s="7" t="s">
        <v>17</v>
      </c>
      <c r="G4864" s="7">
        <v>3747812</v>
      </c>
      <c r="H4864" s="7">
        <v>2378</v>
      </c>
      <c r="I4864" s="7">
        <v>356</v>
      </c>
      <c r="J4864" s="7">
        <v>708</v>
      </c>
      <c r="K4864" s="7" t="s">
        <v>18</v>
      </c>
      <c r="L4864" s="8">
        <v>39987.315405092595</v>
      </c>
      <c r="M4864" s="9" t="s">
        <v>19</v>
      </c>
      <c r="N4864" s="9" t="s">
        <v>20</v>
      </c>
      <c r="O4864" s="6" t="str">
        <f>HYPERLINK("https://pbs.twimg.com/profile_images/962471262747529216/Uo8lOkRJ_normal.jpg","View")</f>
        <v>View</v>
      </c>
      <c r="P4864" s="7"/>
    </row>
    <row r="4865" spans="1:16">
      <c r="A4865" s="3">
        <v>43929.100046296298</v>
      </c>
      <c r="B4865" s="4" t="str">
        <f>HYPERLINK("https://twitter.com/petrogustavo","@petrogustavo")</f>
        <v>@petrogustavo</v>
      </c>
      <c r="C4865" s="5" t="s">
        <v>16</v>
      </c>
      <c r="D4865" s="5" t="s">
        <v>4765</v>
      </c>
      <c r="E4865" s="6" t="str">
        <f>HYPERLINK("https://twitter.com/petrogustavo/status/1247628731520352256","1247628731520352256")</f>
        <v>1247628731520352256</v>
      </c>
      <c r="F4865" s="7" t="s">
        <v>17</v>
      </c>
      <c r="G4865" s="7">
        <v>3747812</v>
      </c>
      <c r="H4865" s="7">
        <v>2378</v>
      </c>
      <c r="I4865" s="7">
        <v>4015</v>
      </c>
      <c r="J4865" s="7">
        <v>0</v>
      </c>
      <c r="K4865" s="7" t="s">
        <v>18</v>
      </c>
      <c r="L4865" s="8">
        <v>39987.315405092595</v>
      </c>
      <c r="M4865" s="9" t="s">
        <v>19</v>
      </c>
      <c r="N4865" s="9" t="s">
        <v>20</v>
      </c>
      <c r="O4865" s="6" t="str">
        <f>HYPERLINK("https://pbs.twimg.com/profile_images/962471262747529216/Uo8lOkRJ_normal.jpg","View")</f>
        <v>View</v>
      </c>
      <c r="P4865" s="7"/>
    </row>
    <row r="4866" spans="1:16">
      <c r="A4866" s="3">
        <v>43929.207060185188</v>
      </c>
      <c r="B4866" s="4" t="str">
        <f>HYPERLINK("https://twitter.com/petrogustavo","@petrogustavo")</f>
        <v>@petrogustavo</v>
      </c>
      <c r="C4866" s="5" t="s">
        <v>16</v>
      </c>
      <c r="D4866" s="5" t="s">
        <v>4766</v>
      </c>
      <c r="E4866" s="6" t="str">
        <f>HYPERLINK("https://twitter.com/petrogustavo/status/1247667515620286466","1247667515620286466")</f>
        <v>1247667515620286466</v>
      </c>
      <c r="F4866" s="7" t="s">
        <v>17</v>
      </c>
      <c r="G4866" s="7">
        <v>3748131</v>
      </c>
      <c r="H4866" s="7">
        <v>2378</v>
      </c>
      <c r="I4866" s="7">
        <v>222</v>
      </c>
      <c r="J4866" s="7">
        <v>0</v>
      </c>
      <c r="K4866" s="7" t="s">
        <v>18</v>
      </c>
      <c r="L4866" s="8">
        <v>39987.315405092595</v>
      </c>
      <c r="M4866" s="9" t="s">
        <v>19</v>
      </c>
      <c r="N4866" s="9" t="s">
        <v>20</v>
      </c>
      <c r="O4866" s="6" t="str">
        <f>HYPERLINK("https://pbs.twimg.com/profile_images/962471262747529216/Uo8lOkRJ_normal.jpg","View")</f>
        <v>View</v>
      </c>
      <c r="P4866" s="7"/>
    </row>
    <row r="4867" spans="1:16">
      <c r="A4867" s="3">
        <v>43929.209270833337</v>
      </c>
      <c r="B4867" s="4" t="str">
        <f>HYPERLINK("https://twitter.com/petrogustavo","@petrogustavo")</f>
        <v>@petrogustavo</v>
      </c>
      <c r="C4867" s="5" t="s">
        <v>16</v>
      </c>
      <c r="D4867" s="5" t="s">
        <v>4767</v>
      </c>
      <c r="E4867" s="6" t="str">
        <f>HYPERLINK("https://twitter.com/petrogustavo/status/1247668316929392641","1247668316929392641")</f>
        <v>1247668316929392641</v>
      </c>
      <c r="F4867" s="7" t="s">
        <v>17</v>
      </c>
      <c r="G4867" s="7">
        <v>3748131</v>
      </c>
      <c r="H4867" s="7">
        <v>2378</v>
      </c>
      <c r="I4867" s="7">
        <v>6</v>
      </c>
      <c r="J4867" s="7">
        <v>0</v>
      </c>
      <c r="K4867" s="7" t="s">
        <v>18</v>
      </c>
      <c r="L4867" s="8">
        <v>39987.315405092595</v>
      </c>
      <c r="M4867" s="9" t="s">
        <v>19</v>
      </c>
      <c r="N4867" s="9" t="s">
        <v>20</v>
      </c>
      <c r="O4867" s="6" t="str">
        <f>HYPERLINK("https://pbs.twimg.com/profile_images/962471262747529216/Uo8lOkRJ_normal.jpg","View")</f>
        <v>View</v>
      </c>
      <c r="P4867" s="7"/>
    </row>
    <row r="4868" spans="1:16">
      <c r="A4868" s="3">
        <v>43929.215520833328</v>
      </c>
      <c r="B4868" s="4" t="str">
        <f>HYPERLINK("https://twitter.com/petrogustavo","@petrogustavo")</f>
        <v>@petrogustavo</v>
      </c>
      <c r="C4868" s="5" t="s">
        <v>16</v>
      </c>
      <c r="D4868" s="5" t="s">
        <v>4768</v>
      </c>
      <c r="E4868" s="6" t="str">
        <f>HYPERLINK("https://twitter.com/petrogustavo/status/1247670580159152128","1247670580159152128")</f>
        <v>1247670580159152128</v>
      </c>
      <c r="F4868" s="7" t="s">
        <v>17</v>
      </c>
      <c r="G4868" s="7">
        <v>3748197</v>
      </c>
      <c r="H4868" s="7">
        <v>2378</v>
      </c>
      <c r="I4868" s="7">
        <v>315</v>
      </c>
      <c r="J4868" s="7">
        <v>0</v>
      </c>
      <c r="K4868" s="7" t="s">
        <v>18</v>
      </c>
      <c r="L4868" s="8">
        <v>39987.315405092595</v>
      </c>
      <c r="M4868" s="9" t="s">
        <v>19</v>
      </c>
      <c r="N4868" s="9" t="s">
        <v>20</v>
      </c>
      <c r="O4868" s="6" t="str">
        <f>HYPERLINK("https://pbs.twimg.com/profile_images/962471262747529216/Uo8lOkRJ_normal.jpg","View")</f>
        <v>View</v>
      </c>
      <c r="P4868" s="7"/>
    </row>
    <row r="4869" spans="1:16">
      <c r="A4869" s="3">
        <v>43929.222939814819</v>
      </c>
      <c r="B4869" s="4" t="str">
        <f>HYPERLINK("https://twitter.com/petrogustavo","@petrogustavo")</f>
        <v>@petrogustavo</v>
      </c>
      <c r="C4869" s="5" t="s">
        <v>16</v>
      </c>
      <c r="D4869" s="5" t="s">
        <v>4769</v>
      </c>
      <c r="E4869" s="6" t="str">
        <f>HYPERLINK("https://twitter.com/petrogustavo/status/1247673266438889472","1247673266438889472")</f>
        <v>1247673266438889472</v>
      </c>
      <c r="F4869" s="7" t="s">
        <v>17</v>
      </c>
      <c r="G4869" s="7">
        <v>3748197</v>
      </c>
      <c r="H4869" s="7">
        <v>2378</v>
      </c>
      <c r="I4869" s="7">
        <v>101</v>
      </c>
      <c r="J4869" s="7">
        <v>0</v>
      </c>
      <c r="K4869" s="7" t="s">
        <v>18</v>
      </c>
      <c r="L4869" s="8">
        <v>39987.315405092595</v>
      </c>
      <c r="M4869" s="9" t="s">
        <v>19</v>
      </c>
      <c r="N4869" s="9" t="s">
        <v>20</v>
      </c>
      <c r="O4869" s="6" t="str">
        <f>HYPERLINK("https://pbs.twimg.com/profile_images/962471262747529216/Uo8lOkRJ_normal.jpg","View")</f>
        <v>View</v>
      </c>
      <c r="P4869" s="7"/>
    </row>
    <row r="4870" spans="1:16">
      <c r="A4870" s="3">
        <v>43929.236574074079</v>
      </c>
      <c r="B4870" s="4" t="str">
        <f>HYPERLINK("https://twitter.com/petrogustavo","@petrogustavo")</f>
        <v>@petrogustavo</v>
      </c>
      <c r="C4870" s="5" t="s">
        <v>16</v>
      </c>
      <c r="D4870" s="5" t="s">
        <v>4770</v>
      </c>
      <c r="E4870" s="6" t="str">
        <f>HYPERLINK("https://twitter.com/petrogustavo/status/1247678207630983176","1247678207630983176")</f>
        <v>1247678207630983176</v>
      </c>
      <c r="F4870" s="7" t="s">
        <v>17</v>
      </c>
      <c r="G4870" s="7">
        <v>3748269</v>
      </c>
      <c r="H4870" s="7">
        <v>2378</v>
      </c>
      <c r="I4870" s="7">
        <v>46</v>
      </c>
      <c r="J4870" s="7">
        <v>0</v>
      </c>
      <c r="K4870" s="7" t="s">
        <v>18</v>
      </c>
      <c r="L4870" s="8">
        <v>39987.315405092595</v>
      </c>
      <c r="M4870" s="9" t="s">
        <v>19</v>
      </c>
      <c r="N4870" s="9" t="s">
        <v>20</v>
      </c>
      <c r="O4870" s="6" t="str">
        <f>HYPERLINK("https://pbs.twimg.com/profile_images/962471262747529216/Uo8lOkRJ_normal.jpg","View")</f>
        <v>View</v>
      </c>
      <c r="P4870" s="7"/>
    </row>
    <row r="4871" spans="1:16">
      <c r="A4871" s="3">
        <v>43929.241076388891</v>
      </c>
      <c r="B4871" s="4" t="str">
        <f>HYPERLINK("https://twitter.com/petrogustavo","@petrogustavo")</f>
        <v>@petrogustavo</v>
      </c>
      <c r="C4871" s="5" t="s">
        <v>16</v>
      </c>
      <c r="D4871" s="5" t="s">
        <v>4771</v>
      </c>
      <c r="E4871" s="6" t="str">
        <f>HYPERLINK("https://twitter.com/petrogustavo/status/1247679839504601090","1247679839504601090")</f>
        <v>1247679839504601090</v>
      </c>
      <c r="F4871" s="7" t="s">
        <v>17</v>
      </c>
      <c r="G4871" s="7">
        <v>3748269</v>
      </c>
      <c r="H4871" s="7">
        <v>2378</v>
      </c>
      <c r="I4871" s="7">
        <v>361</v>
      </c>
      <c r="J4871" s="7">
        <v>0</v>
      </c>
      <c r="K4871" s="7" t="s">
        <v>18</v>
      </c>
      <c r="L4871" s="8">
        <v>39987.315405092595</v>
      </c>
      <c r="M4871" s="9" t="s">
        <v>19</v>
      </c>
      <c r="N4871" s="9" t="s">
        <v>20</v>
      </c>
      <c r="O4871" s="6" t="str">
        <f>HYPERLINK("https://pbs.twimg.com/profile_images/962471262747529216/Uo8lOkRJ_normal.jpg","View")</f>
        <v>View</v>
      </c>
      <c r="P4871" s="7"/>
    </row>
    <row r="4872" spans="1:16">
      <c r="A4872" s="3">
        <v>43929.243692129632</v>
      </c>
      <c r="B4872" s="4" t="str">
        <f>HYPERLINK("https://twitter.com/petrogustavo","@petrogustavo")</f>
        <v>@petrogustavo</v>
      </c>
      <c r="C4872" s="5" t="s">
        <v>16</v>
      </c>
      <c r="D4872" s="5" t="s">
        <v>4772</v>
      </c>
      <c r="E4872" s="6" t="str">
        <f>HYPERLINK("https://twitter.com/petrogustavo/status/1247680790126878722","1247680790126878722")</f>
        <v>1247680790126878722</v>
      </c>
      <c r="F4872" s="7" t="s">
        <v>17</v>
      </c>
      <c r="G4872" s="7">
        <v>3748269</v>
      </c>
      <c r="H4872" s="7">
        <v>2378</v>
      </c>
      <c r="I4872" s="7">
        <v>2117</v>
      </c>
      <c r="J4872" s="7">
        <v>0</v>
      </c>
      <c r="K4872" s="7" t="s">
        <v>18</v>
      </c>
      <c r="L4872" s="8">
        <v>39987.315405092595</v>
      </c>
      <c r="M4872" s="9" t="s">
        <v>19</v>
      </c>
      <c r="N4872" s="9" t="s">
        <v>20</v>
      </c>
      <c r="O4872" s="6" t="str">
        <f>HYPERLINK("https://pbs.twimg.com/profile_images/962471262747529216/Uo8lOkRJ_normal.jpg","View")</f>
        <v>View</v>
      </c>
      <c r="P4872" s="7"/>
    </row>
    <row r="4873" spans="1:16">
      <c r="A4873" s="3">
        <v>43929.246539351851</v>
      </c>
      <c r="B4873" s="4" t="str">
        <f>HYPERLINK("https://twitter.com/petrogustavo","@petrogustavo")</f>
        <v>@petrogustavo</v>
      </c>
      <c r="C4873" s="5" t="s">
        <v>16</v>
      </c>
      <c r="D4873" s="5" t="s">
        <v>4773</v>
      </c>
      <c r="E4873" s="6" t="str">
        <f>HYPERLINK("https://twitter.com/petrogustavo/status/1247681819266502656","1247681819266502656")</f>
        <v>1247681819266502656</v>
      </c>
      <c r="F4873" s="7" t="s">
        <v>17</v>
      </c>
      <c r="G4873" s="7">
        <v>3748269</v>
      </c>
      <c r="H4873" s="7">
        <v>2378</v>
      </c>
      <c r="I4873" s="7">
        <v>735</v>
      </c>
      <c r="J4873" s="7">
        <v>0</v>
      </c>
      <c r="K4873" s="7" t="s">
        <v>18</v>
      </c>
      <c r="L4873" s="8">
        <v>39987.315405092595</v>
      </c>
      <c r="M4873" s="9" t="s">
        <v>19</v>
      </c>
      <c r="N4873" s="9" t="s">
        <v>20</v>
      </c>
      <c r="O4873" s="6" t="str">
        <f>HYPERLINK("https://pbs.twimg.com/profile_images/962471262747529216/Uo8lOkRJ_normal.jpg","View")</f>
        <v>View</v>
      </c>
      <c r="P4873" s="7"/>
    </row>
    <row r="4874" spans="1:16">
      <c r="A4874" s="3">
        <v>43929.2581712963</v>
      </c>
      <c r="B4874" s="4" t="str">
        <f>HYPERLINK("https://twitter.com/petrogustavo","@petrogustavo")</f>
        <v>@petrogustavo</v>
      </c>
      <c r="C4874" s="5" t="s">
        <v>16</v>
      </c>
      <c r="D4874" s="5" t="s">
        <v>4774</v>
      </c>
      <c r="E4874" s="6" t="str">
        <f>HYPERLINK("https://twitter.com/petrogustavo/status/1247686036702060550","1247686036702060550")</f>
        <v>1247686036702060550</v>
      </c>
      <c r="F4874" s="7" t="s">
        <v>17</v>
      </c>
      <c r="G4874" s="7">
        <v>3748291</v>
      </c>
      <c r="H4874" s="7">
        <v>2378</v>
      </c>
      <c r="I4874" s="7">
        <v>217</v>
      </c>
      <c r="J4874" s="7">
        <v>468</v>
      </c>
      <c r="K4874" s="7" t="s">
        <v>18</v>
      </c>
      <c r="L4874" s="8">
        <v>39987.315405092595</v>
      </c>
      <c r="M4874" s="9" t="s">
        <v>19</v>
      </c>
      <c r="N4874" s="9" t="s">
        <v>20</v>
      </c>
      <c r="O4874" s="6" t="str">
        <f>HYPERLINK("https://pbs.twimg.com/profile_images/962471262747529216/Uo8lOkRJ_normal.jpg","View")</f>
        <v>View</v>
      </c>
      <c r="P4874" s="7"/>
    </row>
    <row r="4875" spans="1:16">
      <c r="A4875" s="3">
        <v>43929.299120370371</v>
      </c>
      <c r="B4875" s="4" t="str">
        <f>HYPERLINK("https://twitter.com/petrogustavo","@petrogustavo")</f>
        <v>@petrogustavo</v>
      </c>
      <c r="C4875" s="5" t="s">
        <v>16</v>
      </c>
      <c r="D4875" s="5" t="s">
        <v>4775</v>
      </c>
      <c r="E4875" s="6" t="str">
        <f>HYPERLINK("https://twitter.com/petrogustavo/status/1247700876514545664","1247700876514545664")</f>
        <v>1247700876514545664</v>
      </c>
      <c r="F4875" s="7" t="s">
        <v>17</v>
      </c>
      <c r="G4875" s="7">
        <v>3748439</v>
      </c>
      <c r="H4875" s="7">
        <v>2378</v>
      </c>
      <c r="I4875" s="7">
        <v>98</v>
      </c>
      <c r="J4875" s="7">
        <v>206</v>
      </c>
      <c r="K4875" s="7" t="s">
        <v>18</v>
      </c>
      <c r="L4875" s="8">
        <v>39987.315405092595</v>
      </c>
      <c r="M4875" s="9" t="s">
        <v>19</v>
      </c>
      <c r="N4875" s="9" t="s">
        <v>20</v>
      </c>
      <c r="O4875" s="6" t="str">
        <f>HYPERLINK("https://pbs.twimg.com/profile_images/962471262747529216/Uo8lOkRJ_normal.jpg","View")</f>
        <v>View</v>
      </c>
      <c r="P4875" s="7"/>
    </row>
    <row r="4876" spans="1:16">
      <c r="A4876" s="3">
        <v>43929.302627314813</v>
      </c>
      <c r="B4876" s="4" t="str">
        <f>HYPERLINK("https://twitter.com/petrogustavo","@petrogustavo")</f>
        <v>@petrogustavo</v>
      </c>
      <c r="C4876" s="5" t="s">
        <v>16</v>
      </c>
      <c r="D4876" s="5" t="s">
        <v>4776</v>
      </c>
      <c r="E4876" s="6" t="str">
        <f>HYPERLINK("https://twitter.com/petrogustavo/status/1247702148160409602","1247702148160409602")</f>
        <v>1247702148160409602</v>
      </c>
      <c r="F4876" s="7" t="s">
        <v>17</v>
      </c>
      <c r="G4876" s="7">
        <v>3748439</v>
      </c>
      <c r="H4876" s="7">
        <v>2378</v>
      </c>
      <c r="I4876" s="7">
        <v>72</v>
      </c>
      <c r="J4876" s="7">
        <v>130</v>
      </c>
      <c r="K4876" s="7" t="s">
        <v>18</v>
      </c>
      <c r="L4876" s="8">
        <v>39987.315405092595</v>
      </c>
      <c r="M4876" s="9" t="s">
        <v>19</v>
      </c>
      <c r="N4876" s="9" t="s">
        <v>20</v>
      </c>
      <c r="O4876" s="6" t="str">
        <f>HYPERLINK("https://pbs.twimg.com/profile_images/962471262747529216/Uo8lOkRJ_normal.jpg","View")</f>
        <v>View</v>
      </c>
      <c r="P4876" s="7"/>
    </row>
    <row r="4877" spans="1:16">
      <c r="A4877" s="3">
        <v>43929.305092592593</v>
      </c>
      <c r="B4877" s="4" t="str">
        <f>HYPERLINK("https://twitter.com/petrogustavo","@petrogustavo")</f>
        <v>@petrogustavo</v>
      </c>
      <c r="C4877" s="5" t="s">
        <v>16</v>
      </c>
      <c r="D4877" s="5" t="s">
        <v>4777</v>
      </c>
      <c r="E4877" s="6" t="str">
        <f>HYPERLINK("https://twitter.com/petrogustavo/status/1247703040418877445","1247703040418877445")</f>
        <v>1247703040418877445</v>
      </c>
      <c r="F4877" s="7" t="s">
        <v>17</v>
      </c>
      <c r="G4877" s="7">
        <v>3748439</v>
      </c>
      <c r="H4877" s="7">
        <v>2378</v>
      </c>
      <c r="I4877" s="7">
        <v>171</v>
      </c>
      <c r="J4877" s="7">
        <v>294</v>
      </c>
      <c r="K4877" s="7" t="s">
        <v>18</v>
      </c>
      <c r="L4877" s="8">
        <v>39987.315405092595</v>
      </c>
      <c r="M4877" s="9" t="s">
        <v>19</v>
      </c>
      <c r="N4877" s="9" t="s">
        <v>20</v>
      </c>
      <c r="O4877" s="6" t="str">
        <f>HYPERLINK("https://pbs.twimg.com/profile_images/962471262747529216/Uo8lOkRJ_normal.jpg","View")</f>
        <v>View</v>
      </c>
      <c r="P4877" s="7"/>
    </row>
    <row r="4878" spans="1:16">
      <c r="A4878" s="3">
        <v>43929.308310185181</v>
      </c>
      <c r="B4878" s="4" t="str">
        <f>HYPERLINK("https://twitter.com/petrogustavo","@petrogustavo")</f>
        <v>@petrogustavo</v>
      </c>
      <c r="C4878" s="5" t="s">
        <v>16</v>
      </c>
      <c r="D4878" s="5" t="s">
        <v>4778</v>
      </c>
      <c r="E4878" s="6" t="str">
        <f>HYPERLINK("https://twitter.com/petrogustavo/status/1247704206783533062","1247704206783533062")</f>
        <v>1247704206783533062</v>
      </c>
      <c r="F4878" s="7" t="s">
        <v>17</v>
      </c>
      <c r="G4878" s="7">
        <v>3748439</v>
      </c>
      <c r="H4878" s="7">
        <v>2378</v>
      </c>
      <c r="I4878" s="7">
        <v>136</v>
      </c>
      <c r="J4878" s="7">
        <v>522</v>
      </c>
      <c r="K4878" s="7" t="s">
        <v>18</v>
      </c>
      <c r="L4878" s="8">
        <v>39987.315405092595</v>
      </c>
      <c r="M4878" s="9" t="s">
        <v>19</v>
      </c>
      <c r="N4878" s="9" t="s">
        <v>20</v>
      </c>
      <c r="O4878" s="6" t="str">
        <f>HYPERLINK("https://pbs.twimg.com/profile_images/962471262747529216/Uo8lOkRJ_normal.jpg","View")</f>
        <v>View</v>
      </c>
      <c r="P4878" s="7"/>
    </row>
    <row r="4879" spans="1:16">
      <c r="A4879" s="3">
        <v>43929.31459490741</v>
      </c>
      <c r="B4879" s="4" t="str">
        <f>HYPERLINK("https://twitter.com/petrogustavo","@petrogustavo")</f>
        <v>@petrogustavo</v>
      </c>
      <c r="C4879" s="5" t="s">
        <v>16</v>
      </c>
      <c r="D4879" s="5" t="s">
        <v>4779</v>
      </c>
      <c r="E4879" s="6" t="str">
        <f>HYPERLINK("https://twitter.com/petrogustavo/status/1247706484907139078","1247706484907139078")</f>
        <v>1247706484907139078</v>
      </c>
      <c r="F4879" s="7" t="s">
        <v>17</v>
      </c>
      <c r="G4879" s="7">
        <v>3748515</v>
      </c>
      <c r="H4879" s="7">
        <v>2378</v>
      </c>
      <c r="I4879" s="7">
        <v>322</v>
      </c>
      <c r="J4879" s="7">
        <v>0</v>
      </c>
      <c r="K4879" s="7" t="s">
        <v>18</v>
      </c>
      <c r="L4879" s="8">
        <v>39987.315405092595</v>
      </c>
      <c r="M4879" s="9" t="s">
        <v>19</v>
      </c>
      <c r="N4879" s="9" t="s">
        <v>20</v>
      </c>
      <c r="O4879" s="6" t="str">
        <f>HYPERLINK("https://pbs.twimg.com/profile_images/962471262747529216/Uo8lOkRJ_normal.jpg","View")</f>
        <v>View</v>
      </c>
      <c r="P4879" s="7"/>
    </row>
    <row r="4880" spans="1:16">
      <c r="A4880" s="3">
        <v>43929.320416666669</v>
      </c>
      <c r="B4880" s="4" t="str">
        <f>HYPERLINK("https://twitter.com/petrogustavo","@petrogustavo")</f>
        <v>@petrogustavo</v>
      </c>
      <c r="C4880" s="5" t="s">
        <v>16</v>
      </c>
      <c r="D4880" s="5" t="s">
        <v>4780</v>
      </c>
      <c r="E4880" s="6" t="str">
        <f>HYPERLINK("https://twitter.com/petrogustavo/status/1247708593350205447","1247708593350205447")</f>
        <v>1247708593350205447</v>
      </c>
      <c r="F4880" s="7" t="s">
        <v>17</v>
      </c>
      <c r="G4880" s="7">
        <v>3748515</v>
      </c>
      <c r="H4880" s="7">
        <v>2378</v>
      </c>
      <c r="I4880" s="7">
        <v>97</v>
      </c>
      <c r="J4880" s="7">
        <v>0</v>
      </c>
      <c r="K4880" s="7" t="s">
        <v>18</v>
      </c>
      <c r="L4880" s="8">
        <v>39987.315405092595</v>
      </c>
      <c r="M4880" s="9" t="s">
        <v>19</v>
      </c>
      <c r="N4880" s="9" t="s">
        <v>20</v>
      </c>
      <c r="O4880" s="6" t="str">
        <f>HYPERLINK("https://pbs.twimg.com/profile_images/962471262747529216/Uo8lOkRJ_normal.jpg","View")</f>
        <v>View</v>
      </c>
      <c r="P4880" s="7"/>
    </row>
    <row r="4881" spans="1:16">
      <c r="A4881" s="3">
        <v>43929.331875000003</v>
      </c>
      <c r="B4881" s="4" t="str">
        <f>HYPERLINK("https://twitter.com/petrogustavo","@petrogustavo")</f>
        <v>@petrogustavo</v>
      </c>
      <c r="C4881" s="5" t="s">
        <v>16</v>
      </c>
      <c r="D4881" s="5" t="s">
        <v>4781</v>
      </c>
      <c r="E4881" s="6" t="str">
        <f>HYPERLINK("https://twitter.com/petrogustavo/status/1247712746357080064","1247712746357080064")</f>
        <v>1247712746357080064</v>
      </c>
      <c r="F4881" s="7" t="s">
        <v>17</v>
      </c>
      <c r="G4881" s="7">
        <v>3748515</v>
      </c>
      <c r="H4881" s="7">
        <v>2378</v>
      </c>
      <c r="I4881" s="7">
        <v>88</v>
      </c>
      <c r="J4881" s="7">
        <v>0</v>
      </c>
      <c r="K4881" s="7" t="s">
        <v>18</v>
      </c>
      <c r="L4881" s="8">
        <v>39987.315405092595</v>
      </c>
      <c r="M4881" s="9" t="s">
        <v>19</v>
      </c>
      <c r="N4881" s="9" t="s">
        <v>20</v>
      </c>
      <c r="O4881" s="6" t="str">
        <f>HYPERLINK("https://pbs.twimg.com/profile_images/962471262747529216/Uo8lOkRJ_normal.jpg","View")</f>
        <v>View</v>
      </c>
      <c r="P4881" s="7"/>
    </row>
    <row r="4882" spans="1:16">
      <c r="A4882" s="3">
        <v>43929.335347222222</v>
      </c>
      <c r="B4882" s="4" t="str">
        <f>HYPERLINK("https://twitter.com/petrogustavo","@petrogustavo")</f>
        <v>@petrogustavo</v>
      </c>
      <c r="C4882" s="5" t="s">
        <v>16</v>
      </c>
      <c r="D4882" s="5" t="s">
        <v>4782</v>
      </c>
      <c r="E4882" s="6" t="str">
        <f>HYPERLINK("https://twitter.com/petrogustavo/status/1247714004086202368","1247714004086202368")</f>
        <v>1247714004086202368</v>
      </c>
      <c r="F4882" s="7" t="s">
        <v>17</v>
      </c>
      <c r="G4882" s="7">
        <v>3748515</v>
      </c>
      <c r="H4882" s="7">
        <v>2378</v>
      </c>
      <c r="I4882" s="7">
        <v>1</v>
      </c>
      <c r="J4882" s="7">
        <v>1</v>
      </c>
      <c r="K4882" s="7" t="s">
        <v>18</v>
      </c>
      <c r="L4882" s="8">
        <v>39987.315405092595</v>
      </c>
      <c r="M4882" s="9" t="s">
        <v>19</v>
      </c>
      <c r="N4882" s="9" t="s">
        <v>20</v>
      </c>
      <c r="O4882" s="6" t="str">
        <f>HYPERLINK("https://pbs.twimg.com/profile_images/962471262747529216/Uo8lOkRJ_normal.jpg","View")</f>
        <v>View</v>
      </c>
      <c r="P4882" s="7"/>
    </row>
    <row r="4883" spans="1:16">
      <c r="A4883" s="3">
        <v>43929.342476851853</v>
      </c>
      <c r="B4883" s="4" t="str">
        <f>HYPERLINK("https://twitter.com/petrogustavo","@petrogustavo")</f>
        <v>@petrogustavo</v>
      </c>
      <c r="C4883" s="5" t="s">
        <v>16</v>
      </c>
      <c r="D4883" s="5" t="s">
        <v>4779</v>
      </c>
      <c r="E4883" s="6" t="str">
        <f>HYPERLINK("https://twitter.com/petrogustavo/status/1247716586145886210","1247716586145886210")</f>
        <v>1247716586145886210</v>
      </c>
      <c r="F4883" s="7" t="s">
        <v>17</v>
      </c>
      <c r="G4883" s="7">
        <v>3748578</v>
      </c>
      <c r="H4883" s="7">
        <v>2378</v>
      </c>
      <c r="I4883" s="7">
        <v>450</v>
      </c>
      <c r="J4883" s="7">
        <v>0</v>
      </c>
      <c r="K4883" s="7" t="s">
        <v>18</v>
      </c>
      <c r="L4883" s="8">
        <v>39987.315405092595</v>
      </c>
      <c r="M4883" s="9" t="s">
        <v>19</v>
      </c>
      <c r="N4883" s="9" t="s">
        <v>20</v>
      </c>
      <c r="O4883" s="6" t="str">
        <f>HYPERLINK("https://pbs.twimg.com/profile_images/962471262747529216/Uo8lOkRJ_normal.jpg","View")</f>
        <v>View</v>
      </c>
      <c r="P4883" s="7"/>
    </row>
    <row r="4884" spans="1:16">
      <c r="A4884" s="3">
        <v>43929.726990740739</v>
      </c>
      <c r="B4884" s="4" t="str">
        <f>HYPERLINK("https://twitter.com/petrogustavo","@petrogustavo")</f>
        <v>@petrogustavo</v>
      </c>
      <c r="C4884" s="5" t="s">
        <v>16</v>
      </c>
      <c r="D4884" s="5" t="s">
        <v>4783</v>
      </c>
      <c r="E4884" s="6" t="str">
        <f>HYPERLINK("https://twitter.com/petrogustavo/status/1247855930739474438","1247855930739474438")</f>
        <v>1247855930739474438</v>
      </c>
      <c r="F4884" s="7" t="s">
        <v>17</v>
      </c>
      <c r="G4884" s="7">
        <v>3749051</v>
      </c>
      <c r="H4884" s="7">
        <v>2378</v>
      </c>
      <c r="I4884" s="7">
        <v>100</v>
      </c>
      <c r="J4884" s="7">
        <v>0</v>
      </c>
      <c r="K4884" s="7" t="s">
        <v>18</v>
      </c>
      <c r="L4884" s="8">
        <v>39987.315405092595</v>
      </c>
      <c r="M4884" s="9" t="s">
        <v>19</v>
      </c>
      <c r="N4884" s="9" t="s">
        <v>20</v>
      </c>
      <c r="O4884" s="6" t="str">
        <f>HYPERLINK("https://pbs.twimg.com/profile_images/962471262747529216/Uo8lOkRJ_normal.jpg","View")</f>
        <v>View</v>
      </c>
      <c r="P4884" s="7"/>
    </row>
    <row r="4885" spans="1:16">
      <c r="A4885" s="3">
        <v>43929.734768518523</v>
      </c>
      <c r="B4885" s="4" t="str">
        <f>HYPERLINK("https://twitter.com/petrogustavo","@petrogustavo")</f>
        <v>@petrogustavo</v>
      </c>
      <c r="C4885" s="5" t="s">
        <v>16</v>
      </c>
      <c r="D4885" s="5" t="s">
        <v>4784</v>
      </c>
      <c r="E4885" s="6" t="str">
        <f>HYPERLINK("https://twitter.com/petrogustavo/status/1247858750410706947","1247858750410706947")</f>
        <v>1247858750410706947</v>
      </c>
      <c r="F4885" s="7" t="s">
        <v>17</v>
      </c>
      <c r="G4885" s="7">
        <v>3749036</v>
      </c>
      <c r="H4885" s="7">
        <v>2378</v>
      </c>
      <c r="I4885" s="7">
        <v>72</v>
      </c>
      <c r="J4885" s="7">
        <v>127</v>
      </c>
      <c r="K4885" s="7" t="s">
        <v>18</v>
      </c>
      <c r="L4885" s="8">
        <v>39987.315405092595</v>
      </c>
      <c r="M4885" s="9" t="s">
        <v>19</v>
      </c>
      <c r="N4885" s="9" t="s">
        <v>20</v>
      </c>
      <c r="O4885" s="6" t="str">
        <f>HYPERLINK("https://pbs.twimg.com/profile_images/962471262747529216/Uo8lOkRJ_normal.jpg","View")</f>
        <v>View</v>
      </c>
      <c r="P4885" s="7"/>
    </row>
    <row r="4886" spans="1:16">
      <c r="A4886" s="3">
        <v>43929.739259259259</v>
      </c>
      <c r="B4886" s="4" t="str">
        <f>HYPERLINK("https://twitter.com/petrogustavo","@petrogustavo")</f>
        <v>@petrogustavo</v>
      </c>
      <c r="C4886" s="5" t="s">
        <v>16</v>
      </c>
      <c r="D4886" s="5" t="s">
        <v>4785</v>
      </c>
      <c r="E4886" s="6" t="str">
        <f>HYPERLINK("https://twitter.com/petrogustavo/status/1247860377293074440","1247860377293074440")</f>
        <v>1247860377293074440</v>
      </c>
      <c r="F4886" s="7" t="s">
        <v>17</v>
      </c>
      <c r="G4886" s="7">
        <v>3749036</v>
      </c>
      <c r="H4886" s="7">
        <v>2378</v>
      </c>
      <c r="I4886" s="7">
        <v>74</v>
      </c>
      <c r="J4886" s="7">
        <v>167</v>
      </c>
      <c r="K4886" s="7" t="s">
        <v>18</v>
      </c>
      <c r="L4886" s="8">
        <v>39987.315405092595</v>
      </c>
      <c r="M4886" s="9" t="s">
        <v>19</v>
      </c>
      <c r="N4886" s="9" t="s">
        <v>20</v>
      </c>
      <c r="O4886" s="6" t="str">
        <f>HYPERLINK("https://pbs.twimg.com/profile_images/962471262747529216/Uo8lOkRJ_normal.jpg","View")</f>
        <v>View</v>
      </c>
      <c r="P4886" s="7"/>
    </row>
    <row r="4887" spans="1:16">
      <c r="A4887" s="3">
        <v>43929.747129629628</v>
      </c>
      <c r="B4887" s="4" t="str">
        <f>HYPERLINK("https://twitter.com/petrogustavo","@petrogustavo")</f>
        <v>@petrogustavo</v>
      </c>
      <c r="C4887" s="5" t="s">
        <v>16</v>
      </c>
      <c r="D4887" s="5" t="s">
        <v>4786</v>
      </c>
      <c r="E4887" s="6" t="str">
        <f>HYPERLINK("https://twitter.com/petrogustavo/status/1247863227737874439","1247863227737874439")</f>
        <v>1247863227737874439</v>
      </c>
      <c r="F4887" s="7" t="s">
        <v>17</v>
      </c>
      <c r="G4887" s="7">
        <v>3749036</v>
      </c>
      <c r="H4887" s="7">
        <v>2378</v>
      </c>
      <c r="I4887" s="7">
        <v>60</v>
      </c>
      <c r="J4887" s="7">
        <v>98</v>
      </c>
      <c r="K4887" s="7" t="s">
        <v>18</v>
      </c>
      <c r="L4887" s="8">
        <v>39987.315405092595</v>
      </c>
      <c r="M4887" s="9" t="s">
        <v>19</v>
      </c>
      <c r="N4887" s="9" t="s">
        <v>20</v>
      </c>
      <c r="O4887" s="6" t="str">
        <f>HYPERLINK("https://pbs.twimg.com/profile_images/962471262747529216/Uo8lOkRJ_normal.jpg","View")</f>
        <v>View</v>
      </c>
      <c r="P4887" s="7"/>
    </row>
    <row r="4888" spans="1:16">
      <c r="A4888" s="3">
        <v>43929.7890625</v>
      </c>
      <c r="B4888" s="4" t="str">
        <f>HYPERLINK("https://twitter.com/petrogustavo","@petrogustavo")</f>
        <v>@petrogustavo</v>
      </c>
      <c r="C4888" s="5" t="s">
        <v>16</v>
      </c>
      <c r="D4888" s="5" t="s">
        <v>4787</v>
      </c>
      <c r="E4888" s="6" t="str">
        <f>HYPERLINK("https://twitter.com/petrogustavo/status/1247878425638928390","1247878425638928390")</f>
        <v>1247878425638928390</v>
      </c>
      <c r="F4888" s="7" t="s">
        <v>17</v>
      </c>
      <c r="G4888" s="7">
        <v>3749142</v>
      </c>
      <c r="H4888" s="7">
        <v>2377</v>
      </c>
      <c r="I4888" s="7">
        <v>41</v>
      </c>
      <c r="J4888" s="7">
        <v>98</v>
      </c>
      <c r="K4888" s="7" t="s">
        <v>18</v>
      </c>
      <c r="L4888" s="8">
        <v>39987.315405092595</v>
      </c>
      <c r="M4888" s="9" t="s">
        <v>19</v>
      </c>
      <c r="N4888" s="9" t="s">
        <v>20</v>
      </c>
      <c r="O4888" s="6" t="str">
        <f>HYPERLINK("https://pbs.twimg.com/profile_images/962471262747529216/Uo8lOkRJ_normal.jpg","View")</f>
        <v>View</v>
      </c>
      <c r="P4888" s="7"/>
    </row>
    <row r="4889" spans="1:16">
      <c r="A4889" s="3">
        <v>43929.794374999998</v>
      </c>
      <c r="B4889" s="4" t="str">
        <f>HYPERLINK("https://twitter.com/petrogustavo","@petrogustavo")</f>
        <v>@petrogustavo</v>
      </c>
      <c r="C4889" s="5" t="s">
        <v>16</v>
      </c>
      <c r="D4889" s="5" t="s">
        <v>4788</v>
      </c>
      <c r="E4889" s="6" t="str">
        <f>HYPERLINK("https://twitter.com/petrogustavo/status/1247880349163474955","1247880349163474955")</f>
        <v>1247880349163474955</v>
      </c>
      <c r="F4889" s="7" t="s">
        <v>17</v>
      </c>
      <c r="G4889" s="7">
        <v>3749086</v>
      </c>
      <c r="H4889" s="7">
        <v>2377</v>
      </c>
      <c r="I4889" s="7">
        <v>285</v>
      </c>
      <c r="J4889" s="7">
        <v>588</v>
      </c>
      <c r="K4889" s="7" t="s">
        <v>18</v>
      </c>
      <c r="L4889" s="8">
        <v>39987.315405092595</v>
      </c>
      <c r="M4889" s="9" t="s">
        <v>19</v>
      </c>
      <c r="N4889" s="9" t="s">
        <v>20</v>
      </c>
      <c r="O4889" s="6" t="str">
        <f>HYPERLINK("https://pbs.twimg.com/profile_images/962471262747529216/Uo8lOkRJ_normal.jpg","View")</f>
        <v>View</v>
      </c>
      <c r="P4889" s="7"/>
    </row>
    <row r="4890" spans="1:16">
      <c r="A4890" s="3">
        <v>43929.892002314809</v>
      </c>
      <c r="B4890" s="4" t="str">
        <f>HYPERLINK("https://twitter.com/petrogustavo","@petrogustavo")</f>
        <v>@petrogustavo</v>
      </c>
      <c r="C4890" s="5" t="s">
        <v>16</v>
      </c>
      <c r="D4890" s="5" t="s">
        <v>4789</v>
      </c>
      <c r="E4890" s="6" t="str">
        <f>HYPERLINK("https://twitter.com/petrogustavo/status/1247915728231112704","1247915728231112704")</f>
        <v>1247915728231112704</v>
      </c>
      <c r="F4890" s="7" t="s">
        <v>17</v>
      </c>
      <c r="G4890" s="7">
        <v>3749410</v>
      </c>
      <c r="H4890" s="7">
        <v>2377</v>
      </c>
      <c r="I4890" s="7">
        <v>49</v>
      </c>
      <c r="J4890" s="7">
        <v>95</v>
      </c>
      <c r="K4890" s="7" t="s">
        <v>18</v>
      </c>
      <c r="L4890" s="8">
        <v>39987.315405092595</v>
      </c>
      <c r="M4890" s="9" t="s">
        <v>19</v>
      </c>
      <c r="N4890" s="9" t="s">
        <v>20</v>
      </c>
      <c r="O4890" s="6" t="str">
        <f>HYPERLINK("https://pbs.twimg.com/profile_images/962471262747529216/Uo8lOkRJ_normal.jpg","View")</f>
        <v>View</v>
      </c>
      <c r="P4890" s="7"/>
    </row>
    <row r="4891" spans="1:16">
      <c r="A4891" s="3">
        <v>43929.901261574079</v>
      </c>
      <c r="B4891" s="4" t="str">
        <f>HYPERLINK("https://twitter.com/petrogustavo","@petrogustavo")</f>
        <v>@petrogustavo</v>
      </c>
      <c r="C4891" s="5" t="s">
        <v>16</v>
      </c>
      <c r="D4891" s="5" t="s">
        <v>4790</v>
      </c>
      <c r="E4891" s="6" t="str">
        <f>HYPERLINK("https://twitter.com/petrogustavo/status/1247919083619864577","1247919083619864577")</f>
        <v>1247919083619864577</v>
      </c>
      <c r="F4891" s="7" t="s">
        <v>17</v>
      </c>
      <c r="G4891" s="7">
        <v>3749445</v>
      </c>
      <c r="H4891" s="7">
        <v>2377</v>
      </c>
      <c r="I4891" s="7">
        <v>47</v>
      </c>
      <c r="J4891" s="7">
        <v>93</v>
      </c>
      <c r="K4891" s="7" t="s">
        <v>18</v>
      </c>
      <c r="L4891" s="8">
        <v>39987.315405092595</v>
      </c>
      <c r="M4891" s="9" t="s">
        <v>19</v>
      </c>
      <c r="N4891" s="9" t="s">
        <v>20</v>
      </c>
      <c r="O4891" s="6" t="str">
        <f>HYPERLINK("https://pbs.twimg.com/profile_images/962471262747529216/Uo8lOkRJ_normal.jpg","View")</f>
        <v>View</v>
      </c>
      <c r="P4891" s="7"/>
    </row>
    <row r="4892" spans="1:16">
      <c r="A4892" s="3">
        <v>43929.907083333332</v>
      </c>
      <c r="B4892" s="4" t="str">
        <f>HYPERLINK("https://twitter.com/petrogustavo","@petrogustavo")</f>
        <v>@petrogustavo</v>
      </c>
      <c r="C4892" s="5" t="s">
        <v>16</v>
      </c>
      <c r="D4892" s="5" t="s">
        <v>4791</v>
      </c>
      <c r="E4892" s="6" t="str">
        <f>HYPERLINK("https://twitter.com/petrogustavo/status/1247921194361393154","1247921194361393154")</f>
        <v>1247921194361393154</v>
      </c>
      <c r="F4892" s="7" t="s">
        <v>17</v>
      </c>
      <c r="G4892" s="7">
        <v>3749445</v>
      </c>
      <c r="H4892" s="7">
        <v>2377</v>
      </c>
      <c r="I4892" s="7">
        <v>18</v>
      </c>
      <c r="J4892" s="7">
        <v>48</v>
      </c>
      <c r="K4892" s="7" t="s">
        <v>18</v>
      </c>
      <c r="L4892" s="8">
        <v>39987.315405092595</v>
      </c>
      <c r="M4892" s="9" t="s">
        <v>19</v>
      </c>
      <c r="N4892" s="9" t="s">
        <v>20</v>
      </c>
      <c r="O4892" s="6" t="str">
        <f>HYPERLINK("https://pbs.twimg.com/profile_images/962471262747529216/Uo8lOkRJ_normal.jpg","View")</f>
        <v>View</v>
      </c>
      <c r="P4892" s="7"/>
    </row>
    <row r="4893" spans="1:16">
      <c r="A4893" s="3">
        <v>43929.910995370374</v>
      </c>
      <c r="B4893" s="4" t="str">
        <f>HYPERLINK("https://twitter.com/petrogustavo","@petrogustavo")</f>
        <v>@petrogustavo</v>
      </c>
      <c r="C4893" s="5" t="s">
        <v>16</v>
      </c>
      <c r="D4893" s="5" t="s">
        <v>4792</v>
      </c>
      <c r="E4893" s="6" t="str">
        <f>HYPERLINK("https://twitter.com/petrogustavo/status/1247922611755122688","1247922611755122688")</f>
        <v>1247922611755122688</v>
      </c>
      <c r="F4893" s="7" t="s">
        <v>17</v>
      </c>
      <c r="G4893" s="7">
        <v>3749445</v>
      </c>
      <c r="H4893" s="7">
        <v>2377</v>
      </c>
      <c r="I4893" s="7">
        <v>35</v>
      </c>
      <c r="J4893" s="7">
        <v>61</v>
      </c>
      <c r="K4893" s="7" t="s">
        <v>18</v>
      </c>
      <c r="L4893" s="8">
        <v>39987.315405092595</v>
      </c>
      <c r="M4893" s="9" t="s">
        <v>19</v>
      </c>
      <c r="N4893" s="9" t="s">
        <v>20</v>
      </c>
      <c r="O4893" s="6" t="str">
        <f>HYPERLINK("https://pbs.twimg.com/profile_images/962471262747529216/Uo8lOkRJ_normal.jpg","View")</f>
        <v>View</v>
      </c>
      <c r="P4893" s="7"/>
    </row>
    <row r="4894" spans="1:16">
      <c r="A4894" s="3">
        <v>43929.912986111114</v>
      </c>
      <c r="B4894" s="4" t="str">
        <f>HYPERLINK("https://twitter.com/petrogustavo","@petrogustavo")</f>
        <v>@petrogustavo</v>
      </c>
      <c r="C4894" s="5" t="s">
        <v>16</v>
      </c>
      <c r="D4894" s="5" t="s">
        <v>4793</v>
      </c>
      <c r="E4894" s="6" t="str">
        <f>HYPERLINK("https://twitter.com/petrogustavo/status/1247923331996712960","1247923331996712960")</f>
        <v>1247923331996712960</v>
      </c>
      <c r="F4894" s="7" t="s">
        <v>17</v>
      </c>
      <c r="G4894" s="7">
        <v>3749445</v>
      </c>
      <c r="H4894" s="7">
        <v>2377</v>
      </c>
      <c r="I4894" s="7">
        <v>20</v>
      </c>
      <c r="J4894" s="7">
        <v>42</v>
      </c>
      <c r="K4894" s="7" t="s">
        <v>18</v>
      </c>
      <c r="L4894" s="8">
        <v>39987.315405092595</v>
      </c>
      <c r="M4894" s="9" t="s">
        <v>19</v>
      </c>
      <c r="N4894" s="9" t="s">
        <v>20</v>
      </c>
      <c r="O4894" s="6" t="str">
        <f>HYPERLINK("https://pbs.twimg.com/profile_images/962471262747529216/Uo8lOkRJ_normal.jpg","View")</f>
        <v>View</v>
      </c>
      <c r="P4894" s="7"/>
    </row>
    <row r="4895" spans="1:16">
      <c r="A4895" s="3">
        <v>43929.915092592593</v>
      </c>
      <c r="B4895" s="4" t="str">
        <f>HYPERLINK("https://twitter.com/petrogustavo","@petrogustavo")</f>
        <v>@petrogustavo</v>
      </c>
      <c r="C4895" s="5" t="s">
        <v>16</v>
      </c>
      <c r="D4895" s="5" t="s">
        <v>4794</v>
      </c>
      <c r="E4895" s="6" t="str">
        <f>HYPERLINK("https://twitter.com/petrogustavo/status/1247924097746718720","1247924097746718720")</f>
        <v>1247924097746718720</v>
      </c>
      <c r="F4895" s="7" t="s">
        <v>17</v>
      </c>
      <c r="G4895" s="7">
        <v>3749445</v>
      </c>
      <c r="H4895" s="7">
        <v>2377</v>
      </c>
      <c r="I4895" s="7">
        <v>9</v>
      </c>
      <c r="J4895" s="7">
        <v>13</v>
      </c>
      <c r="K4895" s="7" t="s">
        <v>18</v>
      </c>
      <c r="L4895" s="8">
        <v>39987.315405092595</v>
      </c>
      <c r="M4895" s="9" t="s">
        <v>19</v>
      </c>
      <c r="N4895" s="9" t="s">
        <v>20</v>
      </c>
      <c r="O4895" s="6" t="str">
        <f>HYPERLINK("https://pbs.twimg.com/profile_images/962471262747529216/Uo8lOkRJ_normal.jpg","View")</f>
        <v>View</v>
      </c>
      <c r="P4895" s="7"/>
    </row>
    <row r="4896" spans="1:16">
      <c r="A4896" s="3">
        <v>43929.950312500005</v>
      </c>
      <c r="B4896" s="4" t="str">
        <f>HYPERLINK("https://twitter.com/petrogustavo","@petrogustavo")</f>
        <v>@petrogustavo</v>
      </c>
      <c r="C4896" s="5" t="s">
        <v>16</v>
      </c>
      <c r="D4896" s="5" t="s">
        <v>4795</v>
      </c>
      <c r="E4896" s="6" t="str">
        <f>HYPERLINK("https://twitter.com/petrogustavo/status/1247936860443291648","1247936860443291648")</f>
        <v>1247936860443291648</v>
      </c>
      <c r="F4896" s="7" t="s">
        <v>17</v>
      </c>
      <c r="G4896" s="7">
        <v>3749557</v>
      </c>
      <c r="H4896" s="7">
        <v>2378</v>
      </c>
      <c r="I4896" s="7">
        <v>67</v>
      </c>
      <c r="J4896" s="7">
        <v>0</v>
      </c>
      <c r="K4896" s="7" t="s">
        <v>18</v>
      </c>
      <c r="L4896" s="8">
        <v>39987.315405092595</v>
      </c>
      <c r="M4896" s="9" t="s">
        <v>19</v>
      </c>
      <c r="N4896" s="9" t="s">
        <v>20</v>
      </c>
      <c r="O4896" s="6" t="str">
        <f>HYPERLINK("https://pbs.twimg.com/profile_images/962471262747529216/Uo8lOkRJ_normal.jpg","View")</f>
        <v>View</v>
      </c>
      <c r="P4896" s="7"/>
    </row>
    <row r="4897" spans="1:16">
      <c r="A4897" s="3">
        <v>43929.950428240743</v>
      </c>
      <c r="B4897" s="4" t="str">
        <f>HYPERLINK("https://twitter.com/petrogustavo","@petrogustavo")</f>
        <v>@petrogustavo</v>
      </c>
      <c r="C4897" s="5" t="s">
        <v>16</v>
      </c>
      <c r="D4897" s="5" t="s">
        <v>4796</v>
      </c>
      <c r="E4897" s="6" t="str">
        <f>HYPERLINK("https://twitter.com/petrogustavo/status/1247936899601358853","1247936899601358853")</f>
        <v>1247936899601358853</v>
      </c>
      <c r="F4897" s="7" t="s">
        <v>17</v>
      </c>
      <c r="G4897" s="7">
        <v>3749557</v>
      </c>
      <c r="H4897" s="7">
        <v>2378</v>
      </c>
      <c r="I4897" s="7">
        <v>36</v>
      </c>
      <c r="J4897" s="7">
        <v>0</v>
      </c>
      <c r="K4897" s="7" t="s">
        <v>18</v>
      </c>
      <c r="L4897" s="8">
        <v>39987.315405092595</v>
      </c>
      <c r="M4897" s="9" t="s">
        <v>19</v>
      </c>
      <c r="N4897" s="9" t="s">
        <v>20</v>
      </c>
      <c r="O4897" s="6" t="str">
        <f>HYPERLINK("https://pbs.twimg.com/profile_images/962471262747529216/Uo8lOkRJ_normal.jpg","View")</f>
        <v>View</v>
      </c>
      <c r="P4897" s="7"/>
    </row>
    <row r="4898" spans="1:16">
      <c r="A4898" s="3">
        <v>43929.950902777782</v>
      </c>
      <c r="B4898" s="4" t="str">
        <f>HYPERLINK("https://twitter.com/petrogustavo","@petrogustavo")</f>
        <v>@petrogustavo</v>
      </c>
      <c r="C4898" s="5" t="s">
        <v>16</v>
      </c>
      <c r="D4898" s="5" t="s">
        <v>4797</v>
      </c>
      <c r="E4898" s="6" t="str">
        <f>HYPERLINK("https://twitter.com/petrogustavo/status/1247937072264105985","1247937072264105985")</f>
        <v>1247937072264105985</v>
      </c>
      <c r="F4898" s="7" t="s">
        <v>17</v>
      </c>
      <c r="G4898" s="7">
        <v>3749557</v>
      </c>
      <c r="H4898" s="7">
        <v>2378</v>
      </c>
      <c r="I4898" s="7">
        <v>58</v>
      </c>
      <c r="J4898" s="7">
        <v>0</v>
      </c>
      <c r="K4898" s="7" t="s">
        <v>18</v>
      </c>
      <c r="L4898" s="8">
        <v>39987.315405092595</v>
      </c>
      <c r="M4898" s="9" t="s">
        <v>19</v>
      </c>
      <c r="N4898" s="9" t="s">
        <v>20</v>
      </c>
      <c r="O4898" s="6" t="str">
        <f>HYPERLINK("https://pbs.twimg.com/profile_images/962471262747529216/Uo8lOkRJ_normal.jpg","View")</f>
        <v>View</v>
      </c>
      <c r="P4898" s="7"/>
    </row>
    <row r="4899" spans="1:16">
      <c r="A4899" s="3">
        <v>43929.951064814813</v>
      </c>
      <c r="B4899" s="4" t="str">
        <f>HYPERLINK("https://twitter.com/petrogustavo","@petrogustavo")</f>
        <v>@petrogustavo</v>
      </c>
      <c r="C4899" s="5" t="s">
        <v>16</v>
      </c>
      <c r="D4899" s="5" t="s">
        <v>4798</v>
      </c>
      <c r="E4899" s="6" t="str">
        <f>HYPERLINK("https://twitter.com/petrogustavo/status/1247937131697373194","1247937131697373194")</f>
        <v>1247937131697373194</v>
      </c>
      <c r="F4899" s="7" t="s">
        <v>17</v>
      </c>
      <c r="G4899" s="7">
        <v>3749557</v>
      </c>
      <c r="H4899" s="7">
        <v>2378</v>
      </c>
      <c r="I4899" s="7">
        <v>60</v>
      </c>
      <c r="J4899" s="7">
        <v>0</v>
      </c>
      <c r="K4899" s="7" t="s">
        <v>18</v>
      </c>
      <c r="L4899" s="8">
        <v>39987.315405092595</v>
      </c>
      <c r="M4899" s="9" t="s">
        <v>19</v>
      </c>
      <c r="N4899" s="9" t="s">
        <v>20</v>
      </c>
      <c r="O4899" s="6" t="str">
        <f>HYPERLINK("https://pbs.twimg.com/profile_images/962471262747529216/Uo8lOkRJ_normal.jpg","View")</f>
        <v>View</v>
      </c>
      <c r="P4899" s="7"/>
    </row>
    <row r="4900" spans="1:16">
      <c r="A4900" s="3">
        <v>43929.959224537037</v>
      </c>
      <c r="B4900" s="4" t="str">
        <f>HYPERLINK("https://twitter.com/petrogustavo","@petrogustavo")</f>
        <v>@petrogustavo</v>
      </c>
      <c r="C4900" s="5" t="s">
        <v>16</v>
      </c>
      <c r="D4900" s="5" t="s">
        <v>4799</v>
      </c>
      <c r="E4900" s="6" t="str">
        <f>HYPERLINK("https://twitter.com/petrogustavo/status/1247940089944117249","1247940089944117249")</f>
        <v>1247940089944117249</v>
      </c>
      <c r="F4900" s="7" t="s">
        <v>17</v>
      </c>
      <c r="G4900" s="7">
        <v>3749557</v>
      </c>
      <c r="H4900" s="7">
        <v>2378</v>
      </c>
      <c r="I4900" s="7">
        <v>60</v>
      </c>
      <c r="J4900" s="7">
        <v>0</v>
      </c>
      <c r="K4900" s="7" t="s">
        <v>18</v>
      </c>
      <c r="L4900" s="8">
        <v>39987.315405092595</v>
      </c>
      <c r="M4900" s="9" t="s">
        <v>19</v>
      </c>
      <c r="N4900" s="9" t="s">
        <v>20</v>
      </c>
      <c r="O4900" s="6" t="str">
        <f>HYPERLINK("https://pbs.twimg.com/profile_images/962471262747529216/Uo8lOkRJ_normal.jpg","View")</f>
        <v>View</v>
      </c>
      <c r="P4900" s="7"/>
    </row>
    <row r="4901" spans="1:16">
      <c r="A4901" s="3">
        <v>43929.959444444445</v>
      </c>
      <c r="B4901" s="4" t="str">
        <f>HYPERLINK("https://twitter.com/petrogustavo","@petrogustavo")</f>
        <v>@petrogustavo</v>
      </c>
      <c r="C4901" s="5" t="s">
        <v>16</v>
      </c>
      <c r="D4901" s="5" t="s">
        <v>4800</v>
      </c>
      <c r="E4901" s="6" t="str">
        <f>HYPERLINK("https://twitter.com/petrogustavo/status/1247940170411892737","1247940170411892737")</f>
        <v>1247940170411892737</v>
      </c>
      <c r="F4901" s="7" t="s">
        <v>17</v>
      </c>
      <c r="G4901" s="7">
        <v>3749557</v>
      </c>
      <c r="H4901" s="7">
        <v>2378</v>
      </c>
      <c r="I4901" s="7">
        <v>276</v>
      </c>
      <c r="J4901" s="7">
        <v>0</v>
      </c>
      <c r="K4901" s="7" t="s">
        <v>18</v>
      </c>
      <c r="L4901" s="8">
        <v>39987.315405092595</v>
      </c>
      <c r="M4901" s="9" t="s">
        <v>19</v>
      </c>
      <c r="N4901" s="9" t="s">
        <v>20</v>
      </c>
      <c r="O4901" s="6" t="str">
        <f>HYPERLINK("https://pbs.twimg.com/profile_images/962471262747529216/Uo8lOkRJ_normal.jpg","View")</f>
        <v>View</v>
      </c>
      <c r="P4901" s="7"/>
    </row>
    <row r="4902" spans="1:16">
      <c r="A4902" s="3">
        <v>43930.009548611109</v>
      </c>
      <c r="B4902" s="4" t="str">
        <f>HYPERLINK("https://twitter.com/petrogustavo","@petrogustavo")</f>
        <v>@petrogustavo</v>
      </c>
      <c r="C4902" s="5" t="s">
        <v>16</v>
      </c>
      <c r="D4902" s="5" t="s">
        <v>4801</v>
      </c>
      <c r="E4902" s="6" t="str">
        <f>HYPERLINK("https://twitter.com/petrogustavo/status/1247958325603549184","1247958325603549184")</f>
        <v>1247958325603549184</v>
      </c>
      <c r="F4902" s="7" t="s">
        <v>17</v>
      </c>
      <c r="G4902" s="7">
        <v>3749749</v>
      </c>
      <c r="H4902" s="7">
        <v>2379</v>
      </c>
      <c r="I4902" s="7">
        <v>460</v>
      </c>
      <c r="J4902" s="7">
        <v>0</v>
      </c>
      <c r="K4902" s="7" t="s">
        <v>18</v>
      </c>
      <c r="L4902" s="8">
        <v>39987.315405092595</v>
      </c>
      <c r="M4902" s="9" t="s">
        <v>19</v>
      </c>
      <c r="N4902" s="9" t="s">
        <v>20</v>
      </c>
      <c r="O4902" s="6" t="str">
        <f>HYPERLINK("https://pbs.twimg.com/profile_images/962471262747529216/Uo8lOkRJ_normal.jpg","View")</f>
        <v>View</v>
      </c>
      <c r="P4902" s="7"/>
    </row>
    <row r="4903" spans="1:16">
      <c r="A4903" s="3">
        <v>43930.011296296296</v>
      </c>
      <c r="B4903" s="4" t="str">
        <f>HYPERLINK("https://twitter.com/petrogustavo","@petrogustavo")</f>
        <v>@petrogustavo</v>
      </c>
      <c r="C4903" s="5" t="s">
        <v>16</v>
      </c>
      <c r="D4903" s="5" t="s">
        <v>4798</v>
      </c>
      <c r="E4903" s="6" t="str">
        <f>HYPERLINK("https://twitter.com/petrogustavo/status/1247958959769739271","1247958959769739271")</f>
        <v>1247958959769739271</v>
      </c>
      <c r="F4903" s="7" t="s">
        <v>17</v>
      </c>
      <c r="G4903" s="7">
        <v>3749749</v>
      </c>
      <c r="H4903" s="7">
        <v>2379</v>
      </c>
      <c r="I4903" s="7">
        <v>99</v>
      </c>
      <c r="J4903" s="7">
        <v>0</v>
      </c>
      <c r="K4903" s="7" t="s">
        <v>18</v>
      </c>
      <c r="L4903" s="8">
        <v>39987.315405092595</v>
      </c>
      <c r="M4903" s="9" t="s">
        <v>19</v>
      </c>
      <c r="N4903" s="9" t="s">
        <v>20</v>
      </c>
      <c r="O4903" s="6" t="str">
        <f>HYPERLINK("https://pbs.twimg.com/profile_images/962471262747529216/Uo8lOkRJ_normal.jpg","View")</f>
        <v>View</v>
      </c>
      <c r="P4903" s="7"/>
    </row>
    <row r="4904" spans="1:16">
      <c r="A4904" s="3">
        <v>43930.018067129626</v>
      </c>
      <c r="B4904" s="4" t="str">
        <f>HYPERLINK("https://twitter.com/petrogustavo","@petrogustavo")</f>
        <v>@petrogustavo</v>
      </c>
      <c r="C4904" s="5" t="s">
        <v>16</v>
      </c>
      <c r="D4904" s="5" t="s">
        <v>4795</v>
      </c>
      <c r="E4904" s="6" t="str">
        <f>HYPERLINK("https://twitter.com/petrogustavo/status/1247961412602822666","1247961412602822666")</f>
        <v>1247961412602822666</v>
      </c>
      <c r="F4904" s="7" t="s">
        <v>17</v>
      </c>
      <c r="G4904" s="7">
        <v>3749749</v>
      </c>
      <c r="H4904" s="7">
        <v>2379</v>
      </c>
      <c r="I4904" s="7">
        <v>88</v>
      </c>
      <c r="J4904" s="7">
        <v>0</v>
      </c>
      <c r="K4904" s="7" t="s">
        <v>18</v>
      </c>
      <c r="L4904" s="8">
        <v>39987.315405092595</v>
      </c>
      <c r="M4904" s="9" t="s">
        <v>19</v>
      </c>
      <c r="N4904" s="9" t="s">
        <v>20</v>
      </c>
      <c r="O4904" s="6" t="str">
        <f>HYPERLINK("https://pbs.twimg.com/profile_images/962471262747529216/Uo8lOkRJ_normal.jpg","View")</f>
        <v>View</v>
      </c>
      <c r="P4904" s="7"/>
    </row>
    <row r="4905" spans="1:16">
      <c r="A4905" s="3">
        <v>43930.049513888887</v>
      </c>
      <c r="B4905" s="4" t="str">
        <f>HYPERLINK("https://twitter.com/petrogustavo","@petrogustavo")</f>
        <v>@petrogustavo</v>
      </c>
      <c r="C4905" s="5" t="s">
        <v>16</v>
      </c>
      <c r="D4905" s="5" t="s">
        <v>4796</v>
      </c>
      <c r="E4905" s="6" t="str">
        <f>HYPERLINK("https://twitter.com/petrogustavo/status/1247972810573611008","1247972810573611008")</f>
        <v>1247972810573611008</v>
      </c>
      <c r="F4905" s="7" t="s">
        <v>17</v>
      </c>
      <c r="G4905" s="7">
        <v>3749886</v>
      </c>
      <c r="H4905" s="7">
        <v>2379</v>
      </c>
      <c r="I4905" s="7">
        <v>73</v>
      </c>
      <c r="J4905" s="7">
        <v>0</v>
      </c>
      <c r="K4905" s="7" t="s">
        <v>18</v>
      </c>
      <c r="L4905" s="8">
        <v>39987.315405092595</v>
      </c>
      <c r="M4905" s="9" t="s">
        <v>19</v>
      </c>
      <c r="N4905" s="9" t="s">
        <v>20</v>
      </c>
      <c r="O4905" s="6" t="str">
        <f>HYPERLINK("https://pbs.twimg.com/profile_images/962471262747529216/Uo8lOkRJ_normal.jpg","View")</f>
        <v>View</v>
      </c>
      <c r="P4905" s="7"/>
    </row>
    <row r="4906" spans="1:16">
      <c r="A4906" s="3">
        <v>43930.05914351852</v>
      </c>
      <c r="B4906" s="4" t="str">
        <f>HYPERLINK("https://twitter.com/petrogustavo","@petrogustavo")</f>
        <v>@petrogustavo</v>
      </c>
      <c r="C4906" s="5" t="s">
        <v>16</v>
      </c>
      <c r="D4906" s="5" t="s">
        <v>4802</v>
      </c>
      <c r="E4906" s="6" t="str">
        <f>HYPERLINK("https://twitter.com/petrogustavo/status/1247976300234637312","1247976300234637312")</f>
        <v>1247976300234637312</v>
      </c>
      <c r="F4906" s="7" t="s">
        <v>17</v>
      </c>
      <c r="G4906" s="7">
        <v>3749886</v>
      </c>
      <c r="H4906" s="7">
        <v>2379</v>
      </c>
      <c r="I4906" s="7">
        <v>67</v>
      </c>
      <c r="J4906" s="7">
        <v>130</v>
      </c>
      <c r="K4906" s="7" t="s">
        <v>18</v>
      </c>
      <c r="L4906" s="8">
        <v>39987.315405092595</v>
      </c>
      <c r="M4906" s="9" t="s">
        <v>19</v>
      </c>
      <c r="N4906" s="9" t="s">
        <v>20</v>
      </c>
      <c r="O4906" s="6" t="str">
        <f>HYPERLINK("https://pbs.twimg.com/profile_images/962471262747529216/Uo8lOkRJ_normal.jpg","View")</f>
        <v>View</v>
      </c>
      <c r="P4906" s="7"/>
    </row>
    <row r="4907" spans="1:16">
      <c r="A4907" s="3">
        <v>43930.161631944444</v>
      </c>
      <c r="B4907" s="4" t="str">
        <f>HYPERLINK("https://twitter.com/petrogustavo","@petrogustavo")</f>
        <v>@petrogustavo</v>
      </c>
      <c r="C4907" s="5" t="s">
        <v>16</v>
      </c>
      <c r="D4907" s="5" t="s">
        <v>4800</v>
      </c>
      <c r="E4907" s="6" t="str">
        <f>HYPERLINK("https://twitter.com/petrogustavo/status/1248013437738729472","1248013437738729472")</f>
        <v>1248013437738729472</v>
      </c>
      <c r="F4907" s="7" t="s">
        <v>17</v>
      </c>
      <c r="G4907" s="7">
        <v>3750137</v>
      </c>
      <c r="H4907" s="7">
        <v>2379</v>
      </c>
      <c r="I4907" s="7">
        <v>470</v>
      </c>
      <c r="J4907" s="7">
        <v>0</v>
      </c>
      <c r="K4907" s="7" t="s">
        <v>18</v>
      </c>
      <c r="L4907" s="8">
        <v>39987.315405092595</v>
      </c>
      <c r="M4907" s="9" t="s">
        <v>19</v>
      </c>
      <c r="N4907" s="9" t="s">
        <v>20</v>
      </c>
      <c r="O4907" s="6" t="str">
        <f>HYPERLINK("https://pbs.twimg.com/profile_images/962471262747529216/Uo8lOkRJ_normal.jpg","View")</f>
        <v>View</v>
      </c>
      <c r="P4907" s="7"/>
    </row>
    <row r="4908" spans="1:16">
      <c r="A4908" s="3">
        <v>43930.277245370366</v>
      </c>
      <c r="B4908" s="4" t="str">
        <f>HYPERLINK("https://twitter.com/petrogustavo","@petrogustavo")</f>
        <v>@petrogustavo</v>
      </c>
      <c r="C4908" s="5" t="s">
        <v>16</v>
      </c>
      <c r="D4908" s="5" t="s">
        <v>4803</v>
      </c>
      <c r="E4908" s="6" t="str">
        <f>HYPERLINK("https://twitter.com/petrogustavo/status/1248055337548201984","1248055337548201984")</f>
        <v>1248055337548201984</v>
      </c>
      <c r="F4908" s="7" t="s">
        <v>17</v>
      </c>
      <c r="G4908" s="7">
        <v>3750572</v>
      </c>
      <c r="H4908" s="7">
        <v>2380</v>
      </c>
      <c r="I4908" s="7">
        <v>227</v>
      </c>
      <c r="J4908" s="7">
        <v>844</v>
      </c>
      <c r="K4908" s="7" t="s">
        <v>18</v>
      </c>
      <c r="L4908" s="8">
        <v>39987.315405092595</v>
      </c>
      <c r="M4908" s="9" t="s">
        <v>19</v>
      </c>
      <c r="N4908" s="9" t="s">
        <v>20</v>
      </c>
      <c r="O4908" s="6" t="str">
        <f>HYPERLINK("https://pbs.twimg.com/profile_images/962471262747529216/Uo8lOkRJ_normal.jpg","View")</f>
        <v>View</v>
      </c>
      <c r="P4908" s="7"/>
    </row>
    <row r="4909" spans="1:16">
      <c r="A4909" s="3">
        <v>43930.323425925926</v>
      </c>
      <c r="B4909" s="4" t="str">
        <f>HYPERLINK("https://twitter.com/petrogustavo","@petrogustavo")</f>
        <v>@petrogustavo</v>
      </c>
      <c r="C4909" s="5" t="s">
        <v>16</v>
      </c>
      <c r="D4909" s="5" t="s">
        <v>4804</v>
      </c>
      <c r="E4909" s="6" t="str">
        <f>HYPERLINK("https://twitter.com/petrogustavo/status/1248072070803730432","1248072070803730432")</f>
        <v>1248072070803730432</v>
      </c>
      <c r="F4909" s="7" t="s">
        <v>17</v>
      </c>
      <c r="G4909" s="7">
        <v>3750755</v>
      </c>
      <c r="H4909" s="7">
        <v>2380</v>
      </c>
      <c r="I4909" s="7">
        <v>22</v>
      </c>
      <c r="J4909" s="7">
        <v>71</v>
      </c>
      <c r="K4909" s="7" t="s">
        <v>18</v>
      </c>
      <c r="L4909" s="8">
        <v>39987.315405092595</v>
      </c>
      <c r="M4909" s="9" t="s">
        <v>19</v>
      </c>
      <c r="N4909" s="9" t="s">
        <v>20</v>
      </c>
      <c r="O4909" s="6" t="str">
        <f>HYPERLINK("https://pbs.twimg.com/profile_images/962471262747529216/Uo8lOkRJ_normal.jpg","View")</f>
        <v>View</v>
      </c>
      <c r="P4909" s="7"/>
    </row>
    <row r="4910" spans="1:16">
      <c r="A4910" s="3">
        <v>43930.325023148151</v>
      </c>
      <c r="B4910" s="4" t="str">
        <f>HYPERLINK("https://twitter.com/petrogustavo","@petrogustavo")</f>
        <v>@petrogustavo</v>
      </c>
      <c r="C4910" s="5" t="s">
        <v>16</v>
      </c>
      <c r="D4910" s="5" t="s">
        <v>4805</v>
      </c>
      <c r="E4910" s="6" t="str">
        <f>HYPERLINK("https://twitter.com/petrogustavo/status/1248072648292274176","1248072648292274176")</f>
        <v>1248072648292274176</v>
      </c>
      <c r="F4910" s="7" t="s">
        <v>17</v>
      </c>
      <c r="G4910" s="7">
        <v>3750755</v>
      </c>
      <c r="H4910" s="7">
        <v>2380</v>
      </c>
      <c r="I4910" s="7">
        <v>35</v>
      </c>
      <c r="J4910" s="7">
        <v>106</v>
      </c>
      <c r="K4910" s="7" t="s">
        <v>18</v>
      </c>
      <c r="L4910" s="8">
        <v>39987.315405092595</v>
      </c>
      <c r="M4910" s="9" t="s">
        <v>19</v>
      </c>
      <c r="N4910" s="9" t="s">
        <v>20</v>
      </c>
      <c r="O4910" s="6" t="str">
        <f>HYPERLINK("https://pbs.twimg.com/profile_images/962471262747529216/Uo8lOkRJ_normal.jpg","View")</f>
        <v>View</v>
      </c>
      <c r="P4910" s="7"/>
    </row>
    <row r="4911" spans="1:16">
      <c r="A4911" s="3">
        <v>43930.327534722222</v>
      </c>
      <c r="B4911" s="4" t="str">
        <f>HYPERLINK("https://twitter.com/petrogustavo","@petrogustavo")</f>
        <v>@petrogustavo</v>
      </c>
      <c r="C4911" s="5" t="s">
        <v>16</v>
      </c>
      <c r="D4911" s="5" t="s">
        <v>4806</v>
      </c>
      <c r="E4911" s="6" t="str">
        <f>HYPERLINK("https://twitter.com/petrogustavo/status/1248073558649167875","1248073558649167875")</f>
        <v>1248073558649167875</v>
      </c>
      <c r="F4911" s="7" t="s">
        <v>17</v>
      </c>
      <c r="G4911" s="7">
        <v>3750755</v>
      </c>
      <c r="H4911" s="7">
        <v>2380</v>
      </c>
      <c r="I4911" s="7">
        <v>25</v>
      </c>
      <c r="J4911" s="7">
        <v>88</v>
      </c>
      <c r="K4911" s="7" t="s">
        <v>18</v>
      </c>
      <c r="L4911" s="8">
        <v>39987.315405092595</v>
      </c>
      <c r="M4911" s="9" t="s">
        <v>19</v>
      </c>
      <c r="N4911" s="9" t="s">
        <v>20</v>
      </c>
      <c r="O4911" s="6" t="str">
        <f>HYPERLINK("https://pbs.twimg.com/profile_images/962471262747529216/Uo8lOkRJ_normal.jpg","View")</f>
        <v>View</v>
      </c>
      <c r="P4911" s="7"/>
    </row>
    <row r="4912" spans="1:16">
      <c r="A4912" s="3">
        <v>43930.347395833334</v>
      </c>
      <c r="B4912" s="4" t="str">
        <f>HYPERLINK("https://twitter.com/petrogustavo","@petrogustavo")</f>
        <v>@petrogustavo</v>
      </c>
      <c r="C4912" s="5" t="s">
        <v>16</v>
      </c>
      <c r="D4912" s="5" t="s">
        <v>4807</v>
      </c>
      <c r="E4912" s="6" t="str">
        <f>HYPERLINK("https://twitter.com/petrogustavo/status/1248080758134247424","1248080758134247424")</f>
        <v>1248080758134247424</v>
      </c>
      <c r="F4912" s="7" t="s">
        <v>17</v>
      </c>
      <c r="G4912" s="7">
        <v>3750859</v>
      </c>
      <c r="H4912" s="7">
        <v>2380</v>
      </c>
      <c r="I4912" s="7">
        <v>285</v>
      </c>
      <c r="J4912" s="7">
        <v>0</v>
      </c>
      <c r="K4912" s="7" t="s">
        <v>18</v>
      </c>
      <c r="L4912" s="8">
        <v>39987.315405092595</v>
      </c>
      <c r="M4912" s="9" t="s">
        <v>19</v>
      </c>
      <c r="N4912" s="9" t="s">
        <v>20</v>
      </c>
      <c r="O4912" s="6" t="str">
        <f>HYPERLINK("https://pbs.twimg.com/profile_images/962471262747529216/Uo8lOkRJ_normal.jpg","View")</f>
        <v>View</v>
      </c>
      <c r="P4912" s="7"/>
    </row>
    <row r="4913" spans="1:16">
      <c r="A4913" s="3">
        <v>43930.348171296297</v>
      </c>
      <c r="B4913" s="4" t="str">
        <f>HYPERLINK("https://twitter.com/petrogustavo","@petrogustavo")</f>
        <v>@petrogustavo</v>
      </c>
      <c r="C4913" s="5" t="s">
        <v>16</v>
      </c>
      <c r="D4913" s="5" t="s">
        <v>4808</v>
      </c>
      <c r="E4913" s="6" t="str">
        <f>HYPERLINK("https://twitter.com/petrogustavo/status/1248081037114163204","1248081037114163204")</f>
        <v>1248081037114163204</v>
      </c>
      <c r="F4913" s="7" t="s">
        <v>17</v>
      </c>
      <c r="G4913" s="7">
        <v>3750859</v>
      </c>
      <c r="H4913" s="7">
        <v>2380</v>
      </c>
      <c r="I4913" s="7">
        <v>1650</v>
      </c>
      <c r="J4913" s="7">
        <v>0</v>
      </c>
      <c r="K4913" s="7" t="s">
        <v>18</v>
      </c>
      <c r="L4913" s="8">
        <v>39987.315405092595</v>
      </c>
      <c r="M4913" s="9" t="s">
        <v>19</v>
      </c>
      <c r="N4913" s="9" t="s">
        <v>20</v>
      </c>
      <c r="O4913" s="6" t="str">
        <f>HYPERLINK("https://pbs.twimg.com/profile_images/962471262747529216/Uo8lOkRJ_normal.jpg","View")</f>
        <v>View</v>
      </c>
      <c r="P4913" s="7"/>
    </row>
    <row r="4914" spans="1:16">
      <c r="A4914" s="3">
        <v>43930.349131944444</v>
      </c>
      <c r="B4914" s="4" t="str">
        <f>HYPERLINK("https://twitter.com/petrogustavo","@petrogustavo")</f>
        <v>@petrogustavo</v>
      </c>
      <c r="C4914" s="5" t="s">
        <v>16</v>
      </c>
      <c r="D4914" s="5" t="s">
        <v>4809</v>
      </c>
      <c r="E4914" s="6" t="str">
        <f>HYPERLINK("https://twitter.com/petrogustavo/status/1248081385799254016","1248081385799254016")</f>
        <v>1248081385799254016</v>
      </c>
      <c r="F4914" s="7" t="s">
        <v>17</v>
      </c>
      <c r="G4914" s="7">
        <v>3750859</v>
      </c>
      <c r="H4914" s="7">
        <v>2380</v>
      </c>
      <c r="I4914" s="7">
        <v>1228</v>
      </c>
      <c r="J4914" s="7">
        <v>0</v>
      </c>
      <c r="K4914" s="7" t="s">
        <v>18</v>
      </c>
      <c r="L4914" s="8">
        <v>39987.315405092595</v>
      </c>
      <c r="M4914" s="9" t="s">
        <v>19</v>
      </c>
      <c r="N4914" s="9" t="s">
        <v>20</v>
      </c>
      <c r="O4914" s="6" t="str">
        <f>HYPERLINK("https://pbs.twimg.com/profile_images/962471262747529216/Uo8lOkRJ_normal.jpg","View")</f>
        <v>View</v>
      </c>
      <c r="P4914" s="7"/>
    </row>
    <row r="4915" spans="1:16">
      <c r="A4915" s="3">
        <v>43930.350219907406</v>
      </c>
      <c r="B4915" s="4" t="str">
        <f>HYPERLINK("https://twitter.com/petrogustavo","@petrogustavo")</f>
        <v>@petrogustavo</v>
      </c>
      <c r="C4915" s="5" t="s">
        <v>16</v>
      </c>
      <c r="D4915" s="5" t="s">
        <v>4810</v>
      </c>
      <c r="E4915" s="6" t="str">
        <f>HYPERLINK("https://twitter.com/petrogustavo/status/1248081781707943937","1248081781707943937")</f>
        <v>1248081781707943937</v>
      </c>
      <c r="F4915" s="7" t="s">
        <v>17</v>
      </c>
      <c r="G4915" s="7">
        <v>3750859</v>
      </c>
      <c r="H4915" s="7">
        <v>2380</v>
      </c>
      <c r="I4915" s="7">
        <v>46</v>
      </c>
      <c r="J4915" s="7">
        <v>0</v>
      </c>
      <c r="K4915" s="7" t="s">
        <v>18</v>
      </c>
      <c r="L4915" s="8">
        <v>39987.315405092595</v>
      </c>
      <c r="M4915" s="9" t="s">
        <v>19</v>
      </c>
      <c r="N4915" s="9" t="s">
        <v>20</v>
      </c>
      <c r="O4915" s="6" t="str">
        <f>HYPERLINK("https://pbs.twimg.com/profile_images/962471262747529216/Uo8lOkRJ_normal.jpg","View")</f>
        <v>View</v>
      </c>
      <c r="P4915" s="7"/>
    </row>
    <row r="4916" spans="1:16">
      <c r="A4916" s="3">
        <v>43930.358055555553</v>
      </c>
      <c r="B4916" s="4" t="str">
        <f>HYPERLINK("https://twitter.com/petrogustavo","@petrogustavo")</f>
        <v>@petrogustavo</v>
      </c>
      <c r="C4916" s="5" t="s">
        <v>16</v>
      </c>
      <c r="D4916" s="5" t="s">
        <v>4811</v>
      </c>
      <c r="E4916" s="6" t="str">
        <f>HYPERLINK("https://twitter.com/petrogustavo/status/1248084620245172226","1248084620245172226")</f>
        <v>1248084620245172226</v>
      </c>
      <c r="F4916" s="7" t="s">
        <v>17</v>
      </c>
      <c r="G4916" s="7">
        <v>3750955</v>
      </c>
      <c r="H4916" s="7">
        <v>2380</v>
      </c>
      <c r="I4916" s="7">
        <v>365</v>
      </c>
      <c r="J4916" s="7">
        <v>0</v>
      </c>
      <c r="K4916" s="7" t="s">
        <v>18</v>
      </c>
      <c r="L4916" s="8">
        <v>39987.315405092595</v>
      </c>
      <c r="M4916" s="9" t="s">
        <v>19</v>
      </c>
      <c r="N4916" s="9" t="s">
        <v>20</v>
      </c>
      <c r="O4916" s="6" t="str">
        <f>HYPERLINK("https://pbs.twimg.com/profile_images/962471262747529216/Uo8lOkRJ_normal.jpg","View")</f>
        <v>View</v>
      </c>
      <c r="P4916" s="7"/>
    </row>
    <row r="4917" spans="1:16">
      <c r="A4917" s="3">
        <v>43930.365694444445</v>
      </c>
      <c r="B4917" s="4" t="str">
        <f>HYPERLINK("https://twitter.com/petrogustavo","@petrogustavo")</f>
        <v>@petrogustavo</v>
      </c>
      <c r="C4917" s="5" t="s">
        <v>16</v>
      </c>
      <c r="D4917" s="5" t="s">
        <v>4807</v>
      </c>
      <c r="E4917" s="6" t="str">
        <f>HYPERLINK("https://twitter.com/petrogustavo/status/1248087387261018113","1248087387261018113")</f>
        <v>1248087387261018113</v>
      </c>
      <c r="F4917" s="7" t="s">
        <v>17</v>
      </c>
      <c r="G4917" s="7">
        <v>3750955</v>
      </c>
      <c r="H4917" s="7">
        <v>2380</v>
      </c>
      <c r="I4917" s="7">
        <v>324</v>
      </c>
      <c r="J4917" s="7">
        <v>0</v>
      </c>
      <c r="K4917" s="7" t="s">
        <v>18</v>
      </c>
      <c r="L4917" s="8">
        <v>39987.315405092595</v>
      </c>
      <c r="M4917" s="9" t="s">
        <v>19</v>
      </c>
      <c r="N4917" s="9" t="s">
        <v>20</v>
      </c>
      <c r="O4917" s="6" t="str">
        <f>HYPERLINK("https://pbs.twimg.com/profile_images/962471262747529216/Uo8lOkRJ_normal.jpg","View")</f>
        <v>View</v>
      </c>
      <c r="P4917" s="7"/>
    </row>
    <row r="4918" spans="1:16">
      <c r="A4918" s="3">
        <v>43930.366099537037</v>
      </c>
      <c r="B4918" s="4" t="str">
        <f>HYPERLINK("https://twitter.com/petrogustavo","@petrogustavo")</f>
        <v>@petrogustavo</v>
      </c>
      <c r="C4918" s="5" t="s">
        <v>16</v>
      </c>
      <c r="D4918" s="5" t="s">
        <v>4812</v>
      </c>
      <c r="E4918" s="6" t="str">
        <f>HYPERLINK("https://twitter.com/petrogustavo/status/1248087533612929024","1248087533612929024")</f>
        <v>1248087533612929024</v>
      </c>
      <c r="F4918" s="7" t="s">
        <v>17</v>
      </c>
      <c r="G4918" s="7">
        <v>3750955</v>
      </c>
      <c r="H4918" s="7">
        <v>2380</v>
      </c>
      <c r="I4918" s="7">
        <v>606</v>
      </c>
      <c r="J4918" s="7">
        <v>0</v>
      </c>
      <c r="K4918" s="7" t="s">
        <v>18</v>
      </c>
      <c r="L4918" s="8">
        <v>39987.315405092595</v>
      </c>
      <c r="M4918" s="9" t="s">
        <v>19</v>
      </c>
      <c r="N4918" s="9" t="s">
        <v>20</v>
      </c>
      <c r="O4918" s="6" t="str">
        <f>HYPERLINK("https://pbs.twimg.com/profile_images/962471262747529216/Uo8lOkRJ_normal.jpg","View")</f>
        <v>View</v>
      </c>
      <c r="P4918" s="7"/>
    </row>
    <row r="4919" spans="1:16">
      <c r="A4919" s="3">
        <v>43930.708009259259</v>
      </c>
      <c r="B4919" s="4" t="str">
        <f>HYPERLINK("https://twitter.com/petrogustavo","@petrogustavo")</f>
        <v>@petrogustavo</v>
      </c>
      <c r="C4919" s="5" t="s">
        <v>16</v>
      </c>
      <c r="D4919" s="5" t="s">
        <v>4813</v>
      </c>
      <c r="E4919" s="6" t="str">
        <f>HYPERLINK("https://twitter.com/petrogustavo/status/1248211440646881282","1248211440646881282")</f>
        <v>1248211440646881282</v>
      </c>
      <c r="F4919" s="7" t="s">
        <v>17</v>
      </c>
      <c r="G4919" s="7">
        <v>3751631</v>
      </c>
      <c r="H4919" s="7">
        <v>2380</v>
      </c>
      <c r="I4919" s="7">
        <v>49</v>
      </c>
      <c r="J4919" s="7">
        <v>129</v>
      </c>
      <c r="K4919" s="7" t="s">
        <v>18</v>
      </c>
      <c r="L4919" s="8">
        <v>39987.315405092595</v>
      </c>
      <c r="M4919" s="9" t="s">
        <v>19</v>
      </c>
      <c r="N4919" s="9" t="s">
        <v>20</v>
      </c>
      <c r="O4919" s="6" t="str">
        <f>HYPERLINK("https://pbs.twimg.com/profile_images/962471262747529216/Uo8lOkRJ_normal.jpg","View")</f>
        <v>View</v>
      </c>
      <c r="P4919" s="7"/>
    </row>
    <row r="4920" spans="1:16">
      <c r="A4920" s="3">
        <v>43930.754594907412</v>
      </c>
      <c r="B4920" s="4" t="str">
        <f>HYPERLINK("https://twitter.com/petrogustavo","@petrogustavo")</f>
        <v>@petrogustavo</v>
      </c>
      <c r="C4920" s="5" t="s">
        <v>16</v>
      </c>
      <c r="D4920" s="5" t="s">
        <v>4814</v>
      </c>
      <c r="E4920" s="6" t="str">
        <f>HYPERLINK("https://twitter.com/petrogustavo/status/1248228323500662786","1248228323500662786")</f>
        <v>1248228323500662786</v>
      </c>
      <c r="F4920" s="7" t="s">
        <v>17</v>
      </c>
      <c r="G4920" s="7">
        <v>3751767</v>
      </c>
      <c r="H4920" s="7">
        <v>2383</v>
      </c>
      <c r="I4920" s="7">
        <v>436</v>
      </c>
      <c r="J4920" s="7">
        <v>0</v>
      </c>
      <c r="K4920" s="7" t="s">
        <v>18</v>
      </c>
      <c r="L4920" s="8">
        <v>39987.315405092595</v>
      </c>
      <c r="M4920" s="9" t="s">
        <v>19</v>
      </c>
      <c r="N4920" s="9" t="s">
        <v>20</v>
      </c>
      <c r="O4920" s="6" t="str">
        <f>HYPERLINK("https://pbs.twimg.com/profile_images/962471262747529216/Uo8lOkRJ_normal.jpg","View")</f>
        <v>View</v>
      </c>
      <c r="P4920" s="7"/>
    </row>
    <row r="4921" spans="1:16">
      <c r="A4921" s="3">
        <v>43930.754918981482</v>
      </c>
      <c r="B4921" s="4" t="str">
        <f>HYPERLINK("https://twitter.com/petrogustavo","@petrogustavo")</f>
        <v>@petrogustavo</v>
      </c>
      <c r="C4921" s="5" t="s">
        <v>16</v>
      </c>
      <c r="D4921" s="5" t="s">
        <v>4815</v>
      </c>
      <c r="E4921" s="6" t="str">
        <f>HYPERLINK("https://twitter.com/petrogustavo/status/1248228440093986816","1248228440093986816")</f>
        <v>1248228440093986816</v>
      </c>
      <c r="F4921" s="7" t="s">
        <v>17</v>
      </c>
      <c r="G4921" s="7">
        <v>3751767</v>
      </c>
      <c r="H4921" s="7">
        <v>2383</v>
      </c>
      <c r="I4921" s="7">
        <v>1104</v>
      </c>
      <c r="J4921" s="7">
        <v>0</v>
      </c>
      <c r="K4921" s="7" t="s">
        <v>18</v>
      </c>
      <c r="L4921" s="8">
        <v>39987.315405092595</v>
      </c>
      <c r="M4921" s="9" t="s">
        <v>19</v>
      </c>
      <c r="N4921" s="9" t="s">
        <v>20</v>
      </c>
      <c r="O4921" s="6" t="str">
        <f>HYPERLINK("https://pbs.twimg.com/profile_images/962471262747529216/Uo8lOkRJ_normal.jpg","View")</f>
        <v>View</v>
      </c>
      <c r="P4921" s="7"/>
    </row>
    <row r="4922" spans="1:16">
      <c r="A4922" s="3">
        <v>43930.798657407402</v>
      </c>
      <c r="B4922" s="4" t="str">
        <f>HYPERLINK("https://twitter.com/petrogustavo","@petrogustavo")</f>
        <v>@petrogustavo</v>
      </c>
      <c r="C4922" s="5" t="s">
        <v>16</v>
      </c>
      <c r="D4922" s="5" t="s">
        <v>4816</v>
      </c>
      <c r="E4922" s="6" t="str">
        <f>HYPERLINK("https://twitter.com/petrogustavo/status/1248244287566823424","1248244287566823424")</f>
        <v>1248244287566823424</v>
      </c>
      <c r="F4922" s="7" t="s">
        <v>17</v>
      </c>
      <c r="G4922" s="7">
        <v>3751928</v>
      </c>
      <c r="H4922" s="7">
        <v>2383</v>
      </c>
      <c r="I4922" s="7">
        <v>172</v>
      </c>
      <c r="J4922" s="7">
        <v>527</v>
      </c>
      <c r="K4922" s="7" t="s">
        <v>18</v>
      </c>
      <c r="L4922" s="8">
        <v>39987.315405092595</v>
      </c>
      <c r="M4922" s="9" t="s">
        <v>19</v>
      </c>
      <c r="N4922" s="9" t="s">
        <v>20</v>
      </c>
      <c r="O4922" s="6" t="str">
        <f>HYPERLINK("https://pbs.twimg.com/profile_images/962471262747529216/Uo8lOkRJ_normal.jpg","View")</f>
        <v>View</v>
      </c>
      <c r="P4922" s="7"/>
    </row>
    <row r="4923" spans="1:16">
      <c r="A4923" s="3">
        <v>43930.86482638889</v>
      </c>
      <c r="B4923" s="4" t="str">
        <f>HYPERLINK("https://twitter.com/petrogustavo","@petrogustavo")</f>
        <v>@petrogustavo</v>
      </c>
      <c r="C4923" s="5" t="s">
        <v>16</v>
      </c>
      <c r="D4923" s="5" t="s">
        <v>4815</v>
      </c>
      <c r="E4923" s="6" t="str">
        <f>HYPERLINK("https://twitter.com/petrogustavo/status/1248268268512690177","1248268268512690177")</f>
        <v>1248268268512690177</v>
      </c>
      <c r="F4923" s="7" t="s">
        <v>17</v>
      </c>
      <c r="G4923" s="7">
        <v>3752186</v>
      </c>
      <c r="H4923" s="7">
        <v>2383</v>
      </c>
      <c r="I4923" s="7">
        <v>3043</v>
      </c>
      <c r="J4923" s="7">
        <v>0</v>
      </c>
      <c r="K4923" s="7" t="s">
        <v>18</v>
      </c>
      <c r="L4923" s="8">
        <v>39987.315405092595</v>
      </c>
      <c r="M4923" s="9" t="s">
        <v>19</v>
      </c>
      <c r="N4923" s="9" t="s">
        <v>20</v>
      </c>
      <c r="O4923" s="6" t="str">
        <f>HYPERLINK("https://pbs.twimg.com/profile_images/962471262747529216/Uo8lOkRJ_normal.jpg","View")</f>
        <v>View</v>
      </c>
      <c r="P4923" s="7"/>
    </row>
    <row r="4924" spans="1:16">
      <c r="A4924" s="3">
        <v>43930.995601851857</v>
      </c>
      <c r="B4924" s="4" t="str">
        <f>HYPERLINK("https://twitter.com/petrogustavo","@petrogustavo")</f>
        <v>@petrogustavo</v>
      </c>
      <c r="C4924" s="5" t="s">
        <v>16</v>
      </c>
      <c r="D4924" s="5" t="s">
        <v>4817</v>
      </c>
      <c r="E4924" s="6" t="str">
        <f>HYPERLINK("https://twitter.com/petrogustavo/status/1248315657801863168","1248315657801863168")</f>
        <v>1248315657801863168</v>
      </c>
      <c r="F4924" s="7" t="s">
        <v>17</v>
      </c>
      <c r="G4924" s="7">
        <v>3752662</v>
      </c>
      <c r="H4924" s="7">
        <v>2382</v>
      </c>
      <c r="I4924" s="7">
        <v>123</v>
      </c>
      <c r="J4924" s="7">
        <v>0</v>
      </c>
      <c r="K4924" s="7" t="s">
        <v>18</v>
      </c>
      <c r="L4924" s="8">
        <v>39987.315405092595</v>
      </c>
      <c r="M4924" s="9" t="s">
        <v>19</v>
      </c>
      <c r="N4924" s="9" t="s">
        <v>20</v>
      </c>
      <c r="O4924" s="6" t="str">
        <f>HYPERLINK("https://pbs.twimg.com/profile_images/962471262747529216/Uo8lOkRJ_normal.jpg","View")</f>
        <v>View</v>
      </c>
      <c r="P4924" s="7"/>
    </row>
    <row r="4925" spans="1:16">
      <c r="A4925" s="3">
        <v>43930.995624999996</v>
      </c>
      <c r="B4925" s="4" t="str">
        <f>HYPERLINK("https://twitter.com/petrogustavo","@petrogustavo")</f>
        <v>@petrogustavo</v>
      </c>
      <c r="C4925" s="5" t="s">
        <v>16</v>
      </c>
      <c r="D4925" s="5" t="s">
        <v>4818</v>
      </c>
      <c r="E4925" s="6" t="str">
        <f>HYPERLINK("https://twitter.com/petrogustavo/status/1248315666018512900","1248315666018512900")</f>
        <v>1248315666018512900</v>
      </c>
      <c r="F4925" s="7" t="s">
        <v>17</v>
      </c>
      <c r="G4925" s="7">
        <v>3752662</v>
      </c>
      <c r="H4925" s="7">
        <v>2382</v>
      </c>
      <c r="I4925" s="7">
        <v>91</v>
      </c>
      <c r="J4925" s="7">
        <v>0</v>
      </c>
      <c r="K4925" s="7" t="s">
        <v>18</v>
      </c>
      <c r="L4925" s="8">
        <v>39987.315405092595</v>
      </c>
      <c r="M4925" s="9" t="s">
        <v>19</v>
      </c>
      <c r="N4925" s="9" t="s">
        <v>20</v>
      </c>
      <c r="O4925" s="6" t="str">
        <f>HYPERLINK("https://pbs.twimg.com/profile_images/962471262747529216/Uo8lOkRJ_normal.jpg","View")</f>
        <v>View</v>
      </c>
      <c r="P4925" s="7"/>
    </row>
    <row r="4926" spans="1:16">
      <c r="A4926" s="3">
        <v>43931.013587962967</v>
      </c>
      <c r="B4926" s="4" t="str">
        <f>HYPERLINK("https://twitter.com/petrogustavo","@petrogustavo")</f>
        <v>@petrogustavo</v>
      </c>
      <c r="C4926" s="5" t="s">
        <v>16</v>
      </c>
      <c r="D4926" s="5" t="s">
        <v>4819</v>
      </c>
      <c r="E4926" s="6" t="str">
        <f>HYPERLINK("https://twitter.com/petrogustavo/status/1248322178589868033","1248322178589868033")</f>
        <v>1248322178589868033</v>
      </c>
      <c r="F4926" s="7" t="s">
        <v>17</v>
      </c>
      <c r="G4926" s="7">
        <v>3752730</v>
      </c>
      <c r="H4926" s="7">
        <v>2382</v>
      </c>
      <c r="I4926" s="7">
        <v>119</v>
      </c>
      <c r="J4926" s="7">
        <v>0</v>
      </c>
      <c r="K4926" s="7" t="s">
        <v>18</v>
      </c>
      <c r="L4926" s="8">
        <v>39987.315405092595</v>
      </c>
      <c r="M4926" s="9" t="s">
        <v>19</v>
      </c>
      <c r="N4926" s="9" t="s">
        <v>20</v>
      </c>
      <c r="O4926" s="6" t="str">
        <f>HYPERLINK("https://pbs.twimg.com/profile_images/962471262747529216/Uo8lOkRJ_normal.jpg","View")</f>
        <v>View</v>
      </c>
      <c r="P4926" s="7"/>
    </row>
    <row r="4927" spans="1:16">
      <c r="A4927" s="3">
        <v>43931.016435185185</v>
      </c>
      <c r="B4927" s="4" t="str">
        <f>HYPERLINK("https://twitter.com/petrogustavo","@petrogustavo")</f>
        <v>@petrogustavo</v>
      </c>
      <c r="C4927" s="5" t="s">
        <v>16</v>
      </c>
      <c r="D4927" s="5" t="s">
        <v>4820</v>
      </c>
      <c r="E4927" s="6" t="str">
        <f>HYPERLINK("https://twitter.com/petrogustavo/status/1248323210044678144","1248323210044678144")</f>
        <v>1248323210044678144</v>
      </c>
      <c r="F4927" s="7" t="s">
        <v>17</v>
      </c>
      <c r="G4927" s="7">
        <v>3752730</v>
      </c>
      <c r="H4927" s="7">
        <v>2382</v>
      </c>
      <c r="I4927" s="7">
        <v>111</v>
      </c>
      <c r="J4927" s="7">
        <v>263</v>
      </c>
      <c r="K4927" s="7" t="s">
        <v>18</v>
      </c>
      <c r="L4927" s="8">
        <v>39987.315405092595</v>
      </c>
      <c r="M4927" s="9" t="s">
        <v>19</v>
      </c>
      <c r="N4927" s="9" t="s">
        <v>20</v>
      </c>
      <c r="O4927" s="6" t="str">
        <f>HYPERLINK("https://pbs.twimg.com/profile_images/962471262747529216/Uo8lOkRJ_normal.jpg","View")</f>
        <v>View</v>
      </c>
      <c r="P4927" s="7"/>
    </row>
    <row r="4928" spans="1:16">
      <c r="A4928" s="3">
        <v>43931.022812499999</v>
      </c>
      <c r="B4928" s="4" t="str">
        <f>HYPERLINK("https://twitter.com/petrogustavo","@petrogustavo")</f>
        <v>@petrogustavo</v>
      </c>
      <c r="C4928" s="5" t="s">
        <v>16</v>
      </c>
      <c r="D4928" s="5" t="s">
        <v>4821</v>
      </c>
      <c r="E4928" s="6" t="str">
        <f>HYPERLINK("https://twitter.com/petrogustavo/status/1248325520749723649","1248325520749723649")</f>
        <v>1248325520749723649</v>
      </c>
      <c r="F4928" s="7" t="s">
        <v>17</v>
      </c>
      <c r="G4928" s="7">
        <v>3752730</v>
      </c>
      <c r="H4928" s="7">
        <v>2382</v>
      </c>
      <c r="I4928" s="7">
        <v>4</v>
      </c>
      <c r="J4928" s="7">
        <v>0</v>
      </c>
      <c r="K4928" s="7" t="s">
        <v>18</v>
      </c>
      <c r="L4928" s="8">
        <v>39987.315405092595</v>
      </c>
      <c r="M4928" s="9" t="s">
        <v>19</v>
      </c>
      <c r="N4928" s="9" t="s">
        <v>20</v>
      </c>
      <c r="O4928" s="6" t="str">
        <f>HYPERLINK("https://pbs.twimg.com/profile_images/962471262747529216/Uo8lOkRJ_normal.jpg","View")</f>
        <v>View</v>
      </c>
      <c r="P4928" s="7"/>
    </row>
    <row r="4929" spans="1:16">
      <c r="A4929" s="3">
        <v>43931.025659722218</v>
      </c>
      <c r="B4929" s="4" t="str">
        <f>HYPERLINK("https://twitter.com/petrogustavo","@petrogustavo")</f>
        <v>@petrogustavo</v>
      </c>
      <c r="C4929" s="5" t="s">
        <v>16</v>
      </c>
      <c r="D4929" s="5" t="s">
        <v>4822</v>
      </c>
      <c r="E4929" s="6" t="str">
        <f>HYPERLINK("https://twitter.com/petrogustavo/status/1248326551181168641","1248326551181168641")</f>
        <v>1248326551181168641</v>
      </c>
      <c r="F4929" s="7" t="s">
        <v>17</v>
      </c>
      <c r="G4929" s="7">
        <v>3752794</v>
      </c>
      <c r="H4929" s="7">
        <v>2382</v>
      </c>
      <c r="I4929" s="7">
        <v>180</v>
      </c>
      <c r="J4929" s="7">
        <v>417</v>
      </c>
      <c r="K4929" s="7" t="s">
        <v>18</v>
      </c>
      <c r="L4929" s="8">
        <v>39987.315405092595</v>
      </c>
      <c r="M4929" s="9" t="s">
        <v>19</v>
      </c>
      <c r="N4929" s="9" t="s">
        <v>20</v>
      </c>
      <c r="O4929" s="6" t="str">
        <f>HYPERLINK("https://pbs.twimg.com/profile_images/962471262747529216/Uo8lOkRJ_normal.jpg","View")</f>
        <v>View</v>
      </c>
      <c r="P4929" s="7"/>
    </row>
    <row r="4930" spans="1:16">
      <c r="A4930" s="3">
        <v>43931.028587962966</v>
      </c>
      <c r="B4930" s="4" t="str">
        <f>HYPERLINK("https://twitter.com/petrogustavo","@petrogustavo")</f>
        <v>@petrogustavo</v>
      </c>
      <c r="C4930" s="5" t="s">
        <v>16</v>
      </c>
      <c r="D4930" s="5" t="s">
        <v>4823</v>
      </c>
      <c r="E4930" s="6" t="str">
        <f>HYPERLINK("https://twitter.com/petrogustavo/status/1248327612306505731","1248327612306505731")</f>
        <v>1248327612306505731</v>
      </c>
      <c r="F4930" s="7" t="s">
        <v>17</v>
      </c>
      <c r="G4930" s="7">
        <v>3752794</v>
      </c>
      <c r="H4930" s="7">
        <v>2382</v>
      </c>
      <c r="I4930" s="7">
        <v>63</v>
      </c>
      <c r="J4930" s="7">
        <v>0</v>
      </c>
      <c r="K4930" s="7" t="s">
        <v>18</v>
      </c>
      <c r="L4930" s="8">
        <v>39987.315405092595</v>
      </c>
      <c r="M4930" s="9" t="s">
        <v>19</v>
      </c>
      <c r="N4930" s="9" t="s">
        <v>20</v>
      </c>
      <c r="O4930" s="6" t="str">
        <f>HYPERLINK("https://pbs.twimg.com/profile_images/962471262747529216/Uo8lOkRJ_normal.jpg","View")</f>
        <v>View</v>
      </c>
      <c r="P4930" s="7"/>
    </row>
    <row r="4931" spans="1:16">
      <c r="A4931" s="3">
        <v>43931.030428240745</v>
      </c>
      <c r="B4931" s="4" t="str">
        <f>HYPERLINK("https://twitter.com/petrogustavo","@petrogustavo")</f>
        <v>@petrogustavo</v>
      </c>
      <c r="C4931" s="5" t="s">
        <v>16</v>
      </c>
      <c r="D4931" s="5" t="s">
        <v>4824</v>
      </c>
      <c r="E4931" s="6" t="str">
        <f>HYPERLINK("https://twitter.com/petrogustavo/status/1248328279834144768","1248328279834144768")</f>
        <v>1248328279834144768</v>
      </c>
      <c r="F4931" s="7" t="s">
        <v>17</v>
      </c>
      <c r="G4931" s="7">
        <v>3752794</v>
      </c>
      <c r="H4931" s="7">
        <v>2382</v>
      </c>
      <c r="I4931" s="7">
        <v>490</v>
      </c>
      <c r="J4931" s="7">
        <v>0</v>
      </c>
      <c r="K4931" s="7" t="s">
        <v>18</v>
      </c>
      <c r="L4931" s="8">
        <v>39987.315405092595</v>
      </c>
      <c r="M4931" s="9" t="s">
        <v>19</v>
      </c>
      <c r="N4931" s="9" t="s">
        <v>20</v>
      </c>
      <c r="O4931" s="6" t="str">
        <f>HYPERLINK("https://pbs.twimg.com/profile_images/962471262747529216/Uo8lOkRJ_normal.jpg","View")</f>
        <v>View</v>
      </c>
      <c r="P4931" s="7"/>
    </row>
    <row r="4932" spans="1:16">
      <c r="A4932" s="3">
        <v>43931.037673611107</v>
      </c>
      <c r="B4932" s="4" t="str">
        <f>HYPERLINK("https://twitter.com/petrogustavo","@petrogustavo")</f>
        <v>@petrogustavo</v>
      </c>
      <c r="C4932" s="5" t="s">
        <v>16</v>
      </c>
      <c r="D4932" s="5" t="s">
        <v>4825</v>
      </c>
      <c r="E4932" s="6" t="str">
        <f>HYPERLINK("https://twitter.com/petrogustavo/status/1248330906521210883","1248330906521210883")</f>
        <v>1248330906521210883</v>
      </c>
      <c r="F4932" s="7" t="s">
        <v>17</v>
      </c>
      <c r="G4932" s="7">
        <v>3752794</v>
      </c>
      <c r="H4932" s="7">
        <v>2382</v>
      </c>
      <c r="I4932" s="7">
        <v>70</v>
      </c>
      <c r="J4932" s="7">
        <v>0</v>
      </c>
      <c r="K4932" s="7" t="s">
        <v>18</v>
      </c>
      <c r="L4932" s="8">
        <v>39987.315405092595</v>
      </c>
      <c r="M4932" s="9" t="s">
        <v>19</v>
      </c>
      <c r="N4932" s="9" t="s">
        <v>20</v>
      </c>
      <c r="O4932" s="6" t="str">
        <f>HYPERLINK("https://pbs.twimg.com/profile_images/962471262747529216/Uo8lOkRJ_normal.jpg","View")</f>
        <v>View</v>
      </c>
      <c r="P4932" s="7"/>
    </row>
    <row r="4933" spans="1:16">
      <c r="A4933" s="3">
        <v>43931.045949074076</v>
      </c>
      <c r="B4933" s="4" t="str">
        <f>HYPERLINK("https://twitter.com/petrogustavo","@petrogustavo")</f>
        <v>@petrogustavo</v>
      </c>
      <c r="C4933" s="5" t="s">
        <v>16</v>
      </c>
      <c r="D4933" s="5" t="s">
        <v>4826</v>
      </c>
      <c r="E4933" s="6" t="str">
        <f>HYPERLINK("https://twitter.com/petrogustavo/status/1248333906165800963","1248333906165800963")</f>
        <v>1248333906165800963</v>
      </c>
      <c r="F4933" s="7" t="s">
        <v>17</v>
      </c>
      <c r="G4933" s="7">
        <v>3752827</v>
      </c>
      <c r="H4933" s="7">
        <v>2382</v>
      </c>
      <c r="I4933" s="7">
        <v>36</v>
      </c>
      <c r="J4933" s="7">
        <v>110</v>
      </c>
      <c r="K4933" s="7" t="s">
        <v>18</v>
      </c>
      <c r="L4933" s="8">
        <v>39987.315405092595</v>
      </c>
      <c r="M4933" s="9" t="s">
        <v>19</v>
      </c>
      <c r="N4933" s="9" t="s">
        <v>20</v>
      </c>
      <c r="O4933" s="6" t="str">
        <f>HYPERLINK("https://pbs.twimg.com/profile_images/962471262747529216/Uo8lOkRJ_normal.jpg","View")</f>
        <v>View</v>
      </c>
      <c r="P4933" s="7"/>
    </row>
    <row r="4934" spans="1:16">
      <c r="A4934" s="3">
        <v>43931.067465277782</v>
      </c>
      <c r="B4934" s="4" t="str">
        <f>HYPERLINK("https://twitter.com/petrogustavo","@petrogustavo")</f>
        <v>@petrogustavo</v>
      </c>
      <c r="C4934" s="5" t="s">
        <v>16</v>
      </c>
      <c r="D4934" s="5" t="s">
        <v>4827</v>
      </c>
      <c r="E4934" s="6" t="str">
        <f>HYPERLINK("https://twitter.com/petrogustavo/status/1248341702349381634","1248341702349381634")</f>
        <v>1248341702349381634</v>
      </c>
      <c r="F4934" s="7" t="s">
        <v>17</v>
      </c>
      <c r="G4934" s="7">
        <v>3752880</v>
      </c>
      <c r="H4934" s="7">
        <v>2384</v>
      </c>
      <c r="I4934" s="7">
        <v>184</v>
      </c>
      <c r="J4934" s="7">
        <v>422</v>
      </c>
      <c r="K4934" s="7" t="s">
        <v>18</v>
      </c>
      <c r="L4934" s="8">
        <v>39987.315405092595</v>
      </c>
      <c r="M4934" s="9" t="s">
        <v>19</v>
      </c>
      <c r="N4934" s="9" t="s">
        <v>20</v>
      </c>
      <c r="O4934" s="6" t="str">
        <f>HYPERLINK("https://pbs.twimg.com/profile_images/962471262747529216/Uo8lOkRJ_normal.jpg","View")</f>
        <v>View</v>
      </c>
      <c r="P4934" s="7"/>
    </row>
    <row r="4935" spans="1:16">
      <c r="A4935" s="3">
        <v>43931.075775462959</v>
      </c>
      <c r="B4935" s="4" t="str">
        <f>HYPERLINK("https://twitter.com/petrogustavo","@petrogustavo")</f>
        <v>@petrogustavo</v>
      </c>
      <c r="C4935" s="5" t="s">
        <v>16</v>
      </c>
      <c r="D4935" s="5" t="s">
        <v>4828</v>
      </c>
      <c r="E4935" s="6" t="str">
        <f>HYPERLINK("https://twitter.com/petrogustavo/status/1248344711988948994","1248344711988948994")</f>
        <v>1248344711988948994</v>
      </c>
      <c r="F4935" s="7" t="s">
        <v>17</v>
      </c>
      <c r="G4935" s="7">
        <v>3752880</v>
      </c>
      <c r="H4935" s="7">
        <v>2384</v>
      </c>
      <c r="I4935" s="7">
        <v>143</v>
      </c>
      <c r="J4935" s="7">
        <v>285</v>
      </c>
      <c r="K4935" s="7" t="s">
        <v>18</v>
      </c>
      <c r="L4935" s="8">
        <v>39987.315405092595</v>
      </c>
      <c r="M4935" s="9" t="s">
        <v>19</v>
      </c>
      <c r="N4935" s="9" t="s">
        <v>20</v>
      </c>
      <c r="O4935" s="6" t="str">
        <f>HYPERLINK("https://pbs.twimg.com/profile_images/962471262747529216/Uo8lOkRJ_normal.jpg","View")</f>
        <v>View</v>
      </c>
      <c r="P4935" s="7"/>
    </row>
    <row r="4936" spans="1:16">
      <c r="A4936" s="3">
        <v>43931.093148148153</v>
      </c>
      <c r="B4936" s="4" t="str">
        <f>HYPERLINK("https://twitter.com/petrogustavo","@petrogustavo")</f>
        <v>@petrogustavo</v>
      </c>
      <c r="C4936" s="5" t="s">
        <v>16</v>
      </c>
      <c r="D4936" s="5" t="s">
        <v>4829</v>
      </c>
      <c r="E4936" s="6" t="str">
        <f>HYPERLINK("https://twitter.com/petrogustavo/status/1248351007895097345","1248351007895097345")</f>
        <v>1248351007895097345</v>
      </c>
      <c r="F4936" s="7" t="s">
        <v>17</v>
      </c>
      <c r="G4936" s="7">
        <v>3752939</v>
      </c>
      <c r="H4936" s="7">
        <v>2384</v>
      </c>
      <c r="I4936" s="7">
        <v>49</v>
      </c>
      <c r="J4936" s="7">
        <v>112</v>
      </c>
      <c r="K4936" s="7" t="s">
        <v>18</v>
      </c>
      <c r="L4936" s="8">
        <v>39987.315405092595</v>
      </c>
      <c r="M4936" s="9" t="s">
        <v>19</v>
      </c>
      <c r="N4936" s="9" t="s">
        <v>20</v>
      </c>
      <c r="O4936" s="6" t="str">
        <f>HYPERLINK("https://pbs.twimg.com/profile_images/962471262747529216/Uo8lOkRJ_normal.jpg","View")</f>
        <v>View</v>
      </c>
      <c r="P4936" s="7"/>
    </row>
    <row r="4937" spans="1:16">
      <c r="A4937" s="3">
        <v>43931.09652777778</v>
      </c>
      <c r="B4937" s="4" t="str">
        <f>HYPERLINK("https://twitter.com/petrogustavo","@petrogustavo")</f>
        <v>@petrogustavo</v>
      </c>
      <c r="C4937" s="5" t="s">
        <v>16</v>
      </c>
      <c r="D4937" s="5" t="s">
        <v>4830</v>
      </c>
      <c r="E4937" s="6" t="str">
        <f>HYPERLINK("https://twitter.com/petrogustavo/status/1248352235219804162","1248352235219804162")</f>
        <v>1248352235219804162</v>
      </c>
      <c r="F4937" s="7" t="s">
        <v>17</v>
      </c>
      <c r="G4937" s="7">
        <v>3752939</v>
      </c>
      <c r="H4937" s="7">
        <v>2384</v>
      </c>
      <c r="I4937" s="7">
        <v>345</v>
      </c>
      <c r="J4937" s="7">
        <v>0</v>
      </c>
      <c r="K4937" s="7" t="s">
        <v>18</v>
      </c>
      <c r="L4937" s="8">
        <v>39987.315405092595</v>
      </c>
      <c r="M4937" s="9" t="s">
        <v>19</v>
      </c>
      <c r="N4937" s="9" t="s">
        <v>20</v>
      </c>
      <c r="O4937" s="6" t="str">
        <f>HYPERLINK("https://pbs.twimg.com/profile_images/962471262747529216/Uo8lOkRJ_normal.jpg","View")</f>
        <v>View</v>
      </c>
      <c r="P4937" s="7"/>
    </row>
    <row r="4938" spans="1:16">
      <c r="A4938" s="3">
        <v>43931.103101851855</v>
      </c>
      <c r="B4938" s="4" t="str">
        <f>HYPERLINK("https://twitter.com/petrogustavo","@petrogustavo")</f>
        <v>@petrogustavo</v>
      </c>
      <c r="C4938" s="5" t="s">
        <v>16</v>
      </c>
      <c r="D4938" s="5" t="s">
        <v>4831</v>
      </c>
      <c r="E4938" s="6" t="str">
        <f>HYPERLINK("https://twitter.com/petrogustavo/status/1248354616158433280","1248354616158433280")</f>
        <v>1248354616158433280</v>
      </c>
      <c r="F4938" s="7" t="s">
        <v>17</v>
      </c>
      <c r="G4938" s="7">
        <v>3752939</v>
      </c>
      <c r="H4938" s="7">
        <v>2384</v>
      </c>
      <c r="I4938" s="7">
        <v>124</v>
      </c>
      <c r="J4938" s="7">
        <v>0</v>
      </c>
      <c r="K4938" s="7" t="s">
        <v>18</v>
      </c>
      <c r="L4938" s="8">
        <v>39987.315405092595</v>
      </c>
      <c r="M4938" s="9" t="s">
        <v>19</v>
      </c>
      <c r="N4938" s="9" t="s">
        <v>20</v>
      </c>
      <c r="O4938" s="6" t="str">
        <f>HYPERLINK("https://pbs.twimg.com/profile_images/962471262747529216/Uo8lOkRJ_normal.jpg","View")</f>
        <v>View</v>
      </c>
      <c r="P4938" s="7"/>
    </row>
    <row r="4939" spans="1:16">
      <c r="A4939" s="3">
        <v>43931.110671296294</v>
      </c>
      <c r="B4939" s="4" t="str">
        <f>HYPERLINK("https://twitter.com/petrogustavo","@petrogustavo")</f>
        <v>@petrogustavo</v>
      </c>
      <c r="C4939" s="5" t="s">
        <v>16</v>
      </c>
      <c r="D4939" s="5" t="s">
        <v>4830</v>
      </c>
      <c r="E4939" s="6" t="str">
        <f>HYPERLINK("https://twitter.com/petrogustavo/status/1248357360520835073","1248357360520835073")</f>
        <v>1248357360520835073</v>
      </c>
      <c r="F4939" s="7" t="s">
        <v>17</v>
      </c>
      <c r="G4939" s="7">
        <v>3752984</v>
      </c>
      <c r="H4939" s="7">
        <v>2384</v>
      </c>
      <c r="I4939" s="7">
        <v>472</v>
      </c>
      <c r="J4939" s="7">
        <v>0</v>
      </c>
      <c r="K4939" s="7" t="s">
        <v>18</v>
      </c>
      <c r="L4939" s="8">
        <v>39987.315405092595</v>
      </c>
      <c r="M4939" s="9" t="s">
        <v>19</v>
      </c>
      <c r="N4939" s="9" t="s">
        <v>20</v>
      </c>
      <c r="O4939" s="6" t="str">
        <f>HYPERLINK("https://pbs.twimg.com/profile_images/962471262747529216/Uo8lOkRJ_normal.jpg","View")</f>
        <v>View</v>
      </c>
      <c r="P4939" s="7"/>
    </row>
    <row r="4940" spans="1:16">
      <c r="A4940" s="3">
        <v>43931.282847222217</v>
      </c>
      <c r="B4940" s="4" t="str">
        <f>HYPERLINK("https://twitter.com/petrogustavo","@petrogustavo")</f>
        <v>@petrogustavo</v>
      </c>
      <c r="C4940" s="5" t="s">
        <v>16</v>
      </c>
      <c r="D4940" s="5" t="s">
        <v>4832</v>
      </c>
      <c r="E4940" s="6" t="str">
        <f>HYPERLINK("https://twitter.com/petrogustavo/status/1248419752613011458","1248419752613011458")</f>
        <v>1248419752613011458</v>
      </c>
      <c r="F4940" s="7" t="s">
        <v>17</v>
      </c>
      <c r="G4940" s="7">
        <v>3753393</v>
      </c>
      <c r="H4940" s="7">
        <v>2384</v>
      </c>
      <c r="I4940" s="7">
        <v>117</v>
      </c>
      <c r="J4940" s="7">
        <v>435</v>
      </c>
      <c r="K4940" s="7" t="s">
        <v>18</v>
      </c>
      <c r="L4940" s="8">
        <v>39987.315405092595</v>
      </c>
      <c r="M4940" s="9" t="s">
        <v>19</v>
      </c>
      <c r="N4940" s="9" t="s">
        <v>20</v>
      </c>
      <c r="O4940" s="6" t="str">
        <f>HYPERLINK("https://pbs.twimg.com/profile_images/962471262747529216/Uo8lOkRJ_normal.jpg","View")</f>
        <v>View</v>
      </c>
      <c r="P4940" s="7"/>
    </row>
    <row r="4941" spans="1:16">
      <c r="A4941" s="3">
        <v>43931.297685185185</v>
      </c>
      <c r="B4941" s="4" t="str">
        <f>HYPERLINK("https://twitter.com/petrogustavo","@petrogustavo")</f>
        <v>@petrogustavo</v>
      </c>
      <c r="C4941" s="5" t="s">
        <v>16</v>
      </c>
      <c r="D4941" s="5" t="s">
        <v>4833</v>
      </c>
      <c r="E4941" s="6" t="str">
        <f>HYPERLINK("https://twitter.com/petrogustavo/status/1248425131480768514","1248425131480768514")</f>
        <v>1248425131480768514</v>
      </c>
      <c r="F4941" s="7" t="s">
        <v>17</v>
      </c>
      <c r="G4941" s="7">
        <v>3753331</v>
      </c>
      <c r="H4941" s="7">
        <v>2384</v>
      </c>
      <c r="I4941" s="7">
        <v>57</v>
      </c>
      <c r="J4941" s="7">
        <v>0</v>
      </c>
      <c r="K4941" s="7" t="s">
        <v>18</v>
      </c>
      <c r="L4941" s="8">
        <v>39987.315405092595</v>
      </c>
      <c r="M4941" s="9" t="s">
        <v>19</v>
      </c>
      <c r="N4941" s="9" t="s">
        <v>20</v>
      </c>
      <c r="O4941" s="6" t="str">
        <f>HYPERLINK("https://pbs.twimg.com/profile_images/962471262747529216/Uo8lOkRJ_normal.jpg","View")</f>
        <v>View</v>
      </c>
      <c r="P4941" s="7"/>
    </row>
    <row r="4942" spans="1:16">
      <c r="A4942" s="3">
        <v>43931.312476851846</v>
      </c>
      <c r="B4942" s="4" t="str">
        <f>HYPERLINK("https://twitter.com/petrogustavo","@petrogustavo")</f>
        <v>@petrogustavo</v>
      </c>
      <c r="C4942" s="5" t="s">
        <v>16</v>
      </c>
      <c r="D4942" s="5" t="s">
        <v>4834</v>
      </c>
      <c r="E4942" s="6" t="str">
        <f>HYPERLINK("https://twitter.com/petrogustavo/status/1248430491805437954","1248430491805437954")</f>
        <v>1248430491805437954</v>
      </c>
      <c r="F4942" s="7" t="s">
        <v>17</v>
      </c>
      <c r="G4942" s="7">
        <v>3753331</v>
      </c>
      <c r="H4942" s="7">
        <v>2384</v>
      </c>
      <c r="I4942" s="7">
        <v>12</v>
      </c>
      <c r="J4942" s="7">
        <v>0</v>
      </c>
      <c r="K4942" s="7" t="s">
        <v>18</v>
      </c>
      <c r="L4942" s="8">
        <v>39987.315405092595</v>
      </c>
      <c r="M4942" s="9" t="s">
        <v>19</v>
      </c>
      <c r="N4942" s="9" t="s">
        <v>20</v>
      </c>
      <c r="O4942" s="6" t="str">
        <f>HYPERLINK("https://pbs.twimg.com/profile_images/962471262747529216/Uo8lOkRJ_normal.jpg","View")</f>
        <v>View</v>
      </c>
      <c r="P4942" s="7"/>
    </row>
    <row r="4943" spans="1:16">
      <c r="A4943" s="3">
        <v>43931.330104166671</v>
      </c>
      <c r="B4943" s="4" t="str">
        <f>HYPERLINK("https://twitter.com/petrogustavo","@petrogustavo")</f>
        <v>@petrogustavo</v>
      </c>
      <c r="C4943" s="5" t="s">
        <v>16</v>
      </c>
      <c r="D4943" s="5" t="s">
        <v>4835</v>
      </c>
      <c r="E4943" s="6" t="str">
        <f>HYPERLINK("https://twitter.com/petrogustavo/status/1248436877268410369","1248436877268410369")</f>
        <v>1248436877268410369</v>
      </c>
      <c r="F4943" s="7" t="s">
        <v>17</v>
      </c>
      <c r="G4943" s="7">
        <v>3753515</v>
      </c>
      <c r="H4943" s="7">
        <v>2384</v>
      </c>
      <c r="I4943" s="7">
        <v>187</v>
      </c>
      <c r="J4943" s="7">
        <v>0</v>
      </c>
      <c r="K4943" s="7" t="s">
        <v>18</v>
      </c>
      <c r="L4943" s="8">
        <v>39987.315405092595</v>
      </c>
      <c r="M4943" s="9" t="s">
        <v>19</v>
      </c>
      <c r="N4943" s="9" t="s">
        <v>20</v>
      </c>
      <c r="O4943" s="6" t="str">
        <f>HYPERLINK("https://pbs.twimg.com/profile_images/962471262747529216/Uo8lOkRJ_normal.jpg","View")</f>
        <v>View</v>
      </c>
      <c r="P4943" s="7"/>
    </row>
    <row r="4944" spans="1:16">
      <c r="A4944" s="3">
        <v>43931.331053240741</v>
      </c>
      <c r="B4944" s="4" t="str">
        <f>HYPERLINK("https://twitter.com/petrogustavo","@petrogustavo")</f>
        <v>@petrogustavo</v>
      </c>
      <c r="C4944" s="5" t="s">
        <v>16</v>
      </c>
      <c r="D4944" s="5" t="s">
        <v>4836</v>
      </c>
      <c r="E4944" s="6" t="str">
        <f>HYPERLINK("https://twitter.com/petrogustavo/status/1248437222652641280","1248437222652641280")</f>
        <v>1248437222652641280</v>
      </c>
      <c r="F4944" s="7" t="s">
        <v>17</v>
      </c>
      <c r="G4944" s="7">
        <v>3753515</v>
      </c>
      <c r="H4944" s="7">
        <v>2384</v>
      </c>
      <c r="I4944" s="7">
        <v>50</v>
      </c>
      <c r="J4944" s="7">
        <v>0</v>
      </c>
      <c r="K4944" s="7" t="s">
        <v>18</v>
      </c>
      <c r="L4944" s="8">
        <v>39987.315405092595</v>
      </c>
      <c r="M4944" s="9" t="s">
        <v>19</v>
      </c>
      <c r="N4944" s="9" t="s">
        <v>20</v>
      </c>
      <c r="O4944" s="6" t="str">
        <f>HYPERLINK("https://pbs.twimg.com/profile_images/962471262747529216/Uo8lOkRJ_normal.jpg","View")</f>
        <v>View</v>
      </c>
      <c r="P4944" s="7"/>
    </row>
    <row r="4945" spans="1:16">
      <c r="A4945" s="3">
        <v>43931.333020833335</v>
      </c>
      <c r="B4945" s="4" t="str">
        <f>HYPERLINK("https://twitter.com/petrogustavo","@petrogustavo")</f>
        <v>@petrogustavo</v>
      </c>
      <c r="C4945" s="5" t="s">
        <v>16</v>
      </c>
      <c r="D4945" s="5" t="s">
        <v>4837</v>
      </c>
      <c r="E4945" s="6" t="str">
        <f>HYPERLINK("https://twitter.com/petrogustavo/status/1248437936686694405","1248437936686694405")</f>
        <v>1248437936686694405</v>
      </c>
      <c r="F4945" s="7" t="s">
        <v>17</v>
      </c>
      <c r="G4945" s="7">
        <v>3753515</v>
      </c>
      <c r="H4945" s="7">
        <v>2384</v>
      </c>
      <c r="I4945" s="7">
        <v>583</v>
      </c>
      <c r="J4945" s="7">
        <v>0</v>
      </c>
      <c r="K4945" s="7" t="s">
        <v>18</v>
      </c>
      <c r="L4945" s="8">
        <v>39987.315405092595</v>
      </c>
      <c r="M4945" s="9" t="s">
        <v>19</v>
      </c>
      <c r="N4945" s="9" t="s">
        <v>20</v>
      </c>
      <c r="O4945" s="6" t="str">
        <f>HYPERLINK("https://pbs.twimg.com/profile_images/962471262747529216/Uo8lOkRJ_normal.jpg","View")</f>
        <v>View</v>
      </c>
      <c r="P4945" s="7"/>
    </row>
    <row r="4946" spans="1:16">
      <c r="A4946" s="3">
        <v>43931.33357638889</v>
      </c>
      <c r="B4946" s="4" t="str">
        <f>HYPERLINK("https://twitter.com/petrogustavo","@petrogustavo")</f>
        <v>@petrogustavo</v>
      </c>
      <c r="C4946" s="5" t="s">
        <v>16</v>
      </c>
      <c r="D4946" s="5" t="s">
        <v>4838</v>
      </c>
      <c r="E4946" s="6" t="str">
        <f>HYPERLINK("https://twitter.com/petrogustavo/status/1248438136088166400","1248438136088166400")</f>
        <v>1248438136088166400</v>
      </c>
      <c r="F4946" s="7" t="s">
        <v>17</v>
      </c>
      <c r="G4946" s="7">
        <v>3753515</v>
      </c>
      <c r="H4946" s="7">
        <v>2384</v>
      </c>
      <c r="I4946" s="7">
        <v>33</v>
      </c>
      <c r="J4946" s="7">
        <v>0</v>
      </c>
      <c r="K4946" s="7" t="s">
        <v>18</v>
      </c>
      <c r="L4946" s="8">
        <v>39987.315405092595</v>
      </c>
      <c r="M4946" s="9" t="s">
        <v>19</v>
      </c>
      <c r="N4946" s="9" t="s">
        <v>20</v>
      </c>
      <c r="O4946" s="6" t="str">
        <f>HYPERLINK("https://pbs.twimg.com/profile_images/962471262747529216/Uo8lOkRJ_normal.jpg","View")</f>
        <v>View</v>
      </c>
      <c r="P4946" s="7"/>
    </row>
    <row r="4947" spans="1:16">
      <c r="A4947" s="3">
        <v>43931.338113425925</v>
      </c>
      <c r="B4947" s="4" t="str">
        <f>HYPERLINK("https://twitter.com/petrogustavo","@petrogustavo")</f>
        <v>@petrogustavo</v>
      </c>
      <c r="C4947" s="5" t="s">
        <v>16</v>
      </c>
      <c r="D4947" s="5" t="s">
        <v>4839</v>
      </c>
      <c r="E4947" s="6" t="str">
        <f>HYPERLINK("https://twitter.com/petrogustavo/status/1248439780335116289","1248439780335116289")</f>
        <v>1248439780335116289</v>
      </c>
      <c r="F4947" s="7" t="s">
        <v>17</v>
      </c>
      <c r="G4947" s="7">
        <v>3753577</v>
      </c>
      <c r="H4947" s="7">
        <v>2384</v>
      </c>
      <c r="I4947" s="7">
        <v>467</v>
      </c>
      <c r="J4947" s="7">
        <v>0</v>
      </c>
      <c r="K4947" s="7" t="s">
        <v>18</v>
      </c>
      <c r="L4947" s="8">
        <v>39987.315405092595</v>
      </c>
      <c r="M4947" s="9" t="s">
        <v>19</v>
      </c>
      <c r="N4947" s="9" t="s">
        <v>20</v>
      </c>
      <c r="O4947" s="6" t="str">
        <f>HYPERLINK("https://pbs.twimg.com/profile_images/962471262747529216/Uo8lOkRJ_normal.jpg","View")</f>
        <v>View</v>
      </c>
      <c r="P4947" s="7"/>
    </row>
    <row r="4948" spans="1:16">
      <c r="A4948" s="3">
        <v>43931.834027777775</v>
      </c>
      <c r="B4948" s="4" t="str">
        <f>HYPERLINK("https://twitter.com/petrogustavo","@petrogustavo")</f>
        <v>@petrogustavo</v>
      </c>
      <c r="C4948" s="5" t="s">
        <v>16</v>
      </c>
      <c r="D4948" s="5" t="s">
        <v>4840</v>
      </c>
      <c r="E4948" s="6" t="str">
        <f>HYPERLINK("https://twitter.com/petrogustavo/status/1248619495985311744","1248619495985311744")</f>
        <v>1248619495985311744</v>
      </c>
      <c r="F4948" s="7" t="s">
        <v>17</v>
      </c>
      <c r="G4948" s="7">
        <v>3754070</v>
      </c>
      <c r="H4948" s="7">
        <v>2384</v>
      </c>
      <c r="I4948" s="7">
        <v>17</v>
      </c>
      <c r="J4948" s="7">
        <v>45</v>
      </c>
      <c r="K4948" s="7" t="s">
        <v>18</v>
      </c>
      <c r="L4948" s="8">
        <v>39987.315405092595</v>
      </c>
      <c r="M4948" s="9" t="s">
        <v>19</v>
      </c>
      <c r="N4948" s="9" t="s">
        <v>20</v>
      </c>
      <c r="O4948" s="6" t="str">
        <f>HYPERLINK("https://pbs.twimg.com/profile_images/962471262747529216/Uo8lOkRJ_normal.jpg","View")</f>
        <v>View</v>
      </c>
      <c r="P4948" s="7"/>
    </row>
    <row r="4949" spans="1:16">
      <c r="A4949" s="3">
        <v>43931.856469907405</v>
      </c>
      <c r="B4949" s="4" t="str">
        <f>HYPERLINK("https://twitter.com/petrogustavo","@petrogustavo")</f>
        <v>@petrogustavo</v>
      </c>
      <c r="C4949" s="5" t="s">
        <v>16</v>
      </c>
      <c r="D4949" s="5" t="s">
        <v>4841</v>
      </c>
      <c r="E4949" s="6" t="str">
        <f>HYPERLINK("https://twitter.com/petrogustavo/status/1248627628233248769","1248627628233248769")</f>
        <v>1248627628233248769</v>
      </c>
      <c r="F4949" s="7" t="s">
        <v>17</v>
      </c>
      <c r="G4949" s="7">
        <v>3754280</v>
      </c>
      <c r="H4949" s="7">
        <v>2384</v>
      </c>
      <c r="I4949" s="7">
        <v>275</v>
      </c>
      <c r="J4949" s="7">
        <v>505</v>
      </c>
      <c r="K4949" s="7" t="s">
        <v>18</v>
      </c>
      <c r="L4949" s="8">
        <v>39987.315405092595</v>
      </c>
      <c r="M4949" s="9" t="s">
        <v>19</v>
      </c>
      <c r="N4949" s="9" t="s">
        <v>20</v>
      </c>
      <c r="O4949" s="6" t="str">
        <f>HYPERLINK("https://pbs.twimg.com/profile_images/962471262747529216/Uo8lOkRJ_normal.jpg","View")</f>
        <v>View</v>
      </c>
      <c r="P4949" s="7"/>
    </row>
    <row r="4950" spans="1:16">
      <c r="A4950" s="3">
        <v>43931.858344907407</v>
      </c>
      <c r="B4950" s="4" t="str">
        <f>HYPERLINK("https://twitter.com/petrogustavo","@petrogustavo")</f>
        <v>@petrogustavo</v>
      </c>
      <c r="C4950" s="5" t="s">
        <v>16</v>
      </c>
      <c r="D4950" s="5" t="s">
        <v>4842</v>
      </c>
      <c r="E4950" s="6" t="str">
        <f>HYPERLINK("https://twitter.com/petrogustavo/status/1248628306158612481","1248628306158612481")</f>
        <v>1248628306158612481</v>
      </c>
      <c r="F4950" s="7" t="s">
        <v>17</v>
      </c>
      <c r="G4950" s="7">
        <v>3754280</v>
      </c>
      <c r="H4950" s="7">
        <v>2384</v>
      </c>
      <c r="I4950" s="7">
        <v>337</v>
      </c>
      <c r="J4950" s="7">
        <v>714</v>
      </c>
      <c r="K4950" s="7" t="s">
        <v>18</v>
      </c>
      <c r="L4950" s="8">
        <v>39987.315405092595</v>
      </c>
      <c r="M4950" s="9" t="s">
        <v>19</v>
      </c>
      <c r="N4950" s="9" t="s">
        <v>20</v>
      </c>
      <c r="O4950" s="6" t="str">
        <f>HYPERLINK("https://pbs.twimg.com/profile_images/962471262747529216/Uo8lOkRJ_normal.jpg","View")</f>
        <v>View</v>
      </c>
      <c r="P4950" s="7"/>
    </row>
    <row r="4951" spans="1:16">
      <c r="A4951" s="3">
        <v>43932.008437500001</v>
      </c>
      <c r="B4951" s="4" t="str">
        <f>HYPERLINK("https://twitter.com/petrogustavo","@petrogustavo")</f>
        <v>@petrogustavo</v>
      </c>
      <c r="C4951" s="5" t="s">
        <v>16</v>
      </c>
      <c r="D4951" s="5" t="s">
        <v>4843</v>
      </c>
      <c r="E4951" s="6" t="str">
        <f>HYPERLINK("https://twitter.com/petrogustavo/status/1248682699713363968","1248682699713363968")</f>
        <v>1248682699713363968</v>
      </c>
      <c r="F4951" s="7" t="s">
        <v>21</v>
      </c>
      <c r="G4951" s="7">
        <v>3755054</v>
      </c>
      <c r="H4951" s="7">
        <v>2386</v>
      </c>
      <c r="I4951" s="7">
        <v>1968</v>
      </c>
      <c r="J4951" s="7">
        <v>6900</v>
      </c>
      <c r="K4951" s="7" t="s">
        <v>18</v>
      </c>
      <c r="L4951" s="8">
        <v>39987.315405092595</v>
      </c>
      <c r="M4951" s="9" t="s">
        <v>19</v>
      </c>
      <c r="N4951" s="9" t="s">
        <v>20</v>
      </c>
      <c r="O4951" s="6" t="str">
        <f>HYPERLINK("https://pbs.twimg.com/profile_images/962471262747529216/Uo8lOkRJ_normal.jpg","View")</f>
        <v>View</v>
      </c>
      <c r="P4951" s="7"/>
    </row>
    <row r="4952" spans="1:16">
      <c r="A4952" s="3">
        <v>43932.760891203703</v>
      </c>
      <c r="B4952" s="4" t="str">
        <f>HYPERLINK("https://twitter.com/petrogustavo","@petrogustavo")</f>
        <v>@petrogustavo</v>
      </c>
      <c r="C4952" s="5" t="s">
        <v>16</v>
      </c>
      <c r="D4952" s="5" t="s">
        <v>4844</v>
      </c>
      <c r="E4952" s="6" t="str">
        <f>HYPERLINK("https://twitter.com/petrogustavo/status/1248955380316753920","1248955380316753920")</f>
        <v>1248955380316753920</v>
      </c>
      <c r="F4952" s="7" t="s">
        <v>17</v>
      </c>
      <c r="G4952" s="7">
        <v>3760143</v>
      </c>
      <c r="H4952" s="7">
        <v>2387</v>
      </c>
      <c r="I4952" s="7">
        <v>412</v>
      </c>
      <c r="J4952" s="7">
        <v>2848</v>
      </c>
      <c r="K4952" s="7" t="s">
        <v>18</v>
      </c>
      <c r="L4952" s="8">
        <v>39987.315405092595</v>
      </c>
      <c r="M4952" s="9" t="s">
        <v>19</v>
      </c>
      <c r="N4952" s="9" t="s">
        <v>20</v>
      </c>
      <c r="O4952" s="6" t="str">
        <f>HYPERLINK("https://pbs.twimg.com/profile_images/962471262747529216/Uo8lOkRJ_normal.jpg","View")</f>
        <v>View</v>
      </c>
      <c r="P4952" s="7"/>
    </row>
    <row r="4953" spans="1:16">
      <c r="A4953" s="3">
        <v>43932.807615740741</v>
      </c>
      <c r="B4953" s="4" t="str">
        <f>HYPERLINK("https://twitter.com/petrogustavo","@petrogustavo")</f>
        <v>@petrogustavo</v>
      </c>
      <c r="C4953" s="5" t="s">
        <v>16</v>
      </c>
      <c r="D4953" s="5" t="s">
        <v>4845</v>
      </c>
      <c r="E4953" s="6" t="str">
        <f>HYPERLINK("https://twitter.com/petrogustavo/status/1248972310884880386","1248972310884880386")</f>
        <v>1248972310884880386</v>
      </c>
      <c r="F4953" s="7" t="s">
        <v>17</v>
      </c>
      <c r="G4953" s="7">
        <v>3760353</v>
      </c>
      <c r="H4953" s="7">
        <v>2387</v>
      </c>
      <c r="I4953" s="7">
        <v>91</v>
      </c>
      <c r="J4953" s="7">
        <v>254</v>
      </c>
      <c r="K4953" s="7" t="s">
        <v>18</v>
      </c>
      <c r="L4953" s="8">
        <v>39987.315405092595</v>
      </c>
      <c r="M4953" s="9" t="s">
        <v>19</v>
      </c>
      <c r="N4953" s="9" t="s">
        <v>20</v>
      </c>
      <c r="O4953" s="6" t="str">
        <f>HYPERLINK("https://pbs.twimg.com/profile_images/962471262747529216/Uo8lOkRJ_normal.jpg","View")</f>
        <v>View</v>
      </c>
      <c r="P4953" s="7"/>
    </row>
    <row r="4954" spans="1:16">
      <c r="A4954" s="3">
        <v>43932.807974537034</v>
      </c>
      <c r="B4954" s="4" t="str">
        <f>HYPERLINK("https://twitter.com/petrogustavo","@petrogustavo")</f>
        <v>@petrogustavo</v>
      </c>
      <c r="C4954" s="5" t="s">
        <v>16</v>
      </c>
      <c r="D4954" s="5" t="s">
        <v>4846</v>
      </c>
      <c r="E4954" s="6" t="str">
        <f>HYPERLINK("https://twitter.com/petrogustavo/status/1248972441499639808","1248972441499639808")</f>
        <v>1248972441499639808</v>
      </c>
      <c r="F4954" s="7" t="s">
        <v>17</v>
      </c>
      <c r="G4954" s="7">
        <v>3760353</v>
      </c>
      <c r="H4954" s="7">
        <v>2387</v>
      </c>
      <c r="I4954" s="7">
        <v>1747</v>
      </c>
      <c r="J4954" s="7">
        <v>0</v>
      </c>
      <c r="K4954" s="7" t="s">
        <v>18</v>
      </c>
      <c r="L4954" s="8">
        <v>39987.315405092595</v>
      </c>
      <c r="M4954" s="9" t="s">
        <v>19</v>
      </c>
      <c r="N4954" s="9" t="s">
        <v>20</v>
      </c>
      <c r="O4954" s="6" t="str">
        <f>HYPERLINK("https://pbs.twimg.com/profile_images/962471262747529216/Uo8lOkRJ_normal.jpg","View")</f>
        <v>View</v>
      </c>
      <c r="P4954" s="7"/>
    </row>
    <row r="4955" spans="1:16">
      <c r="A4955" s="3">
        <v>43932.808032407411</v>
      </c>
      <c r="B4955" s="4" t="str">
        <f>HYPERLINK("https://twitter.com/petrogustavo","@petrogustavo")</f>
        <v>@petrogustavo</v>
      </c>
      <c r="C4955" s="5" t="s">
        <v>16</v>
      </c>
      <c r="D4955" s="5" t="s">
        <v>4847</v>
      </c>
      <c r="E4955" s="6" t="str">
        <f>HYPERLINK("https://twitter.com/petrogustavo/status/1248972462576087042","1248972462576087042")</f>
        <v>1248972462576087042</v>
      </c>
      <c r="F4955" s="7" t="s">
        <v>17</v>
      </c>
      <c r="G4955" s="7">
        <v>3760353</v>
      </c>
      <c r="H4955" s="7">
        <v>2387</v>
      </c>
      <c r="I4955" s="7">
        <v>454</v>
      </c>
      <c r="J4955" s="7">
        <v>0</v>
      </c>
      <c r="K4955" s="7" t="s">
        <v>18</v>
      </c>
      <c r="L4955" s="8">
        <v>39987.315405092595</v>
      </c>
      <c r="M4955" s="9" t="s">
        <v>19</v>
      </c>
      <c r="N4955" s="9" t="s">
        <v>20</v>
      </c>
      <c r="O4955" s="6" t="str">
        <f>HYPERLINK("https://pbs.twimg.com/profile_images/962471262747529216/Uo8lOkRJ_normal.jpg","View")</f>
        <v>View</v>
      </c>
      <c r="P4955" s="7"/>
    </row>
    <row r="4956" spans="1:16">
      <c r="A4956" s="3">
        <v>43932.808090277773</v>
      </c>
      <c r="B4956" s="4" t="str">
        <f>HYPERLINK("https://twitter.com/petrogustavo","@petrogustavo")</f>
        <v>@petrogustavo</v>
      </c>
      <c r="C4956" s="5" t="s">
        <v>16</v>
      </c>
      <c r="D4956" s="5" t="s">
        <v>4848</v>
      </c>
      <c r="E4956" s="6" t="str">
        <f>HYPERLINK("https://twitter.com/petrogustavo/status/1248972485174976512","1248972485174976512")</f>
        <v>1248972485174976512</v>
      </c>
      <c r="F4956" s="7" t="s">
        <v>17</v>
      </c>
      <c r="G4956" s="7">
        <v>3760353</v>
      </c>
      <c r="H4956" s="7">
        <v>2387</v>
      </c>
      <c r="I4956" s="7">
        <v>368</v>
      </c>
      <c r="J4956" s="7">
        <v>0</v>
      </c>
      <c r="K4956" s="7" t="s">
        <v>18</v>
      </c>
      <c r="L4956" s="8">
        <v>39987.315405092595</v>
      </c>
      <c r="M4956" s="9" t="s">
        <v>19</v>
      </c>
      <c r="N4956" s="9" t="s">
        <v>20</v>
      </c>
      <c r="O4956" s="6" t="str">
        <f>HYPERLINK("https://pbs.twimg.com/profile_images/962471262747529216/Uo8lOkRJ_normal.jpg","View")</f>
        <v>View</v>
      </c>
      <c r="P4956" s="7"/>
    </row>
    <row r="4957" spans="1:16">
      <c r="A4957" s="3">
        <v>43932.822511574079</v>
      </c>
      <c r="B4957" s="4" t="str">
        <f>HYPERLINK("https://twitter.com/petrogustavo","@petrogustavo")</f>
        <v>@petrogustavo</v>
      </c>
      <c r="C4957" s="5" t="s">
        <v>16</v>
      </c>
      <c r="D4957" s="5" t="s">
        <v>4849</v>
      </c>
      <c r="E4957" s="6" t="str">
        <f>HYPERLINK("https://twitter.com/petrogustavo/status/1248977708299755520","1248977708299755520")</f>
        <v>1248977708299755520</v>
      </c>
      <c r="F4957" s="7" t="s">
        <v>17</v>
      </c>
      <c r="G4957" s="7">
        <v>3760435</v>
      </c>
      <c r="H4957" s="7">
        <v>2387</v>
      </c>
      <c r="I4957" s="7">
        <v>150</v>
      </c>
      <c r="J4957" s="7">
        <v>391</v>
      </c>
      <c r="K4957" s="7" t="s">
        <v>18</v>
      </c>
      <c r="L4957" s="8">
        <v>39987.315405092595</v>
      </c>
      <c r="M4957" s="9" t="s">
        <v>19</v>
      </c>
      <c r="N4957" s="9" t="s">
        <v>20</v>
      </c>
      <c r="O4957" s="6" t="str">
        <f>HYPERLINK("https://pbs.twimg.com/profile_images/962471262747529216/Uo8lOkRJ_normal.jpg","View")</f>
        <v>View</v>
      </c>
      <c r="P4957" s="7"/>
    </row>
    <row r="4958" spans="1:16">
      <c r="A4958" s="3">
        <v>43932.832696759258</v>
      </c>
      <c r="B4958" s="4" t="str">
        <f>HYPERLINK("https://twitter.com/petrogustavo","@petrogustavo")</f>
        <v>@petrogustavo</v>
      </c>
      <c r="C4958" s="5" t="s">
        <v>16</v>
      </c>
      <c r="D4958" s="5" t="s">
        <v>4850</v>
      </c>
      <c r="E4958" s="6" t="str">
        <f>HYPERLINK("https://twitter.com/petrogustavo/status/1248981399345954820","1248981399345954820")</f>
        <v>1248981399345954820</v>
      </c>
      <c r="F4958" s="7" t="s">
        <v>17</v>
      </c>
      <c r="G4958" s="7">
        <v>3760435</v>
      </c>
      <c r="H4958" s="7">
        <v>2387</v>
      </c>
      <c r="I4958" s="7">
        <v>219</v>
      </c>
      <c r="J4958" s="7">
        <v>0</v>
      </c>
      <c r="K4958" s="7" t="s">
        <v>18</v>
      </c>
      <c r="L4958" s="8">
        <v>39987.315405092595</v>
      </c>
      <c r="M4958" s="9" t="s">
        <v>19</v>
      </c>
      <c r="N4958" s="9" t="s">
        <v>20</v>
      </c>
      <c r="O4958" s="6" t="str">
        <f>HYPERLINK("https://pbs.twimg.com/profile_images/962471262747529216/Uo8lOkRJ_normal.jpg","View")</f>
        <v>View</v>
      </c>
      <c r="P4958" s="7"/>
    </row>
    <row r="4959" spans="1:16">
      <c r="A4959" s="3">
        <v>43932.844270833331</v>
      </c>
      <c r="B4959" s="4" t="str">
        <f>HYPERLINK("https://twitter.com/petrogustavo","@petrogustavo")</f>
        <v>@petrogustavo</v>
      </c>
      <c r="C4959" s="5" t="s">
        <v>16</v>
      </c>
      <c r="D4959" s="5" t="s">
        <v>4851</v>
      </c>
      <c r="E4959" s="6" t="str">
        <f>HYPERLINK("https://twitter.com/petrogustavo/status/1248985595956903936","1248985595956903936")</f>
        <v>1248985595956903936</v>
      </c>
      <c r="F4959" s="7" t="s">
        <v>17</v>
      </c>
      <c r="G4959" s="7">
        <v>3760552</v>
      </c>
      <c r="H4959" s="7">
        <v>2387</v>
      </c>
      <c r="I4959" s="7">
        <v>118</v>
      </c>
      <c r="J4959" s="7">
        <v>389</v>
      </c>
      <c r="K4959" s="7" t="s">
        <v>18</v>
      </c>
      <c r="L4959" s="8">
        <v>39987.315405092595</v>
      </c>
      <c r="M4959" s="9" t="s">
        <v>19</v>
      </c>
      <c r="N4959" s="9" t="s">
        <v>20</v>
      </c>
      <c r="O4959" s="6" t="str">
        <f>HYPERLINK("https://pbs.twimg.com/profile_images/962471262747529216/Uo8lOkRJ_normal.jpg","View")</f>
        <v>View</v>
      </c>
      <c r="P4959" s="7"/>
    </row>
    <row r="4960" spans="1:16">
      <c r="A4960" s="3">
        <v>43932.845405092594</v>
      </c>
      <c r="B4960" s="4" t="str">
        <f>HYPERLINK("https://twitter.com/petrogustavo","@petrogustavo")</f>
        <v>@petrogustavo</v>
      </c>
      <c r="C4960" s="5" t="s">
        <v>16</v>
      </c>
      <c r="D4960" s="5" t="s">
        <v>4852</v>
      </c>
      <c r="E4960" s="6" t="str">
        <f>HYPERLINK("https://twitter.com/petrogustavo/status/1248986004276621312","1248986004276621312")</f>
        <v>1248986004276621312</v>
      </c>
      <c r="F4960" s="7" t="s">
        <v>17</v>
      </c>
      <c r="G4960" s="7">
        <v>3760552</v>
      </c>
      <c r="H4960" s="7">
        <v>2387</v>
      </c>
      <c r="I4960" s="7">
        <v>173</v>
      </c>
      <c r="J4960" s="7">
        <v>868</v>
      </c>
      <c r="K4960" s="7" t="s">
        <v>18</v>
      </c>
      <c r="L4960" s="8">
        <v>39987.315405092595</v>
      </c>
      <c r="M4960" s="9" t="s">
        <v>19</v>
      </c>
      <c r="N4960" s="9" t="s">
        <v>20</v>
      </c>
      <c r="O4960" s="6" t="str">
        <f>HYPERLINK("https://pbs.twimg.com/profile_images/962471262747529216/Uo8lOkRJ_normal.jpg","View")</f>
        <v>View</v>
      </c>
      <c r="P4960" s="7"/>
    </row>
    <row r="4961" spans="1:16">
      <c r="A4961" s="3">
        <v>43932.874201388884</v>
      </c>
      <c r="B4961" s="4" t="str">
        <f>HYPERLINK("https://twitter.com/petrogustavo","@petrogustavo")</f>
        <v>@petrogustavo</v>
      </c>
      <c r="C4961" s="5" t="s">
        <v>16</v>
      </c>
      <c r="D4961" s="5" t="s">
        <v>4853</v>
      </c>
      <c r="E4961" s="6" t="str">
        <f>HYPERLINK("https://twitter.com/petrogustavo/status/1248996440178917376","1248996440178917376")</f>
        <v>1248996440178917376</v>
      </c>
      <c r="F4961" s="7" t="s">
        <v>21</v>
      </c>
      <c r="G4961" s="7">
        <v>3760658</v>
      </c>
      <c r="H4961" s="7">
        <v>2387</v>
      </c>
      <c r="I4961" s="7">
        <v>54</v>
      </c>
      <c r="J4961" s="7">
        <v>123</v>
      </c>
      <c r="K4961" s="7" t="s">
        <v>18</v>
      </c>
      <c r="L4961" s="8">
        <v>39987.315405092595</v>
      </c>
      <c r="M4961" s="9" t="s">
        <v>19</v>
      </c>
      <c r="N4961" s="9" t="s">
        <v>20</v>
      </c>
      <c r="O4961" s="6" t="str">
        <f>HYPERLINK("https://pbs.twimg.com/profile_images/962471262747529216/Uo8lOkRJ_normal.jpg","View")</f>
        <v>View</v>
      </c>
      <c r="P4961" s="7"/>
    </row>
    <row r="4962" spans="1:16">
      <c r="A4962" s="3">
        <v>43932.919270833328</v>
      </c>
      <c r="B4962" s="4" t="str">
        <f>HYPERLINK("https://twitter.com/petrogustavo","@petrogustavo")</f>
        <v>@petrogustavo</v>
      </c>
      <c r="C4962" s="5" t="s">
        <v>16</v>
      </c>
      <c r="D4962" s="5" t="s">
        <v>4854</v>
      </c>
      <c r="E4962" s="6" t="str">
        <f>HYPERLINK("https://twitter.com/petrogustavo/status/1249012771888529410","1249012771888529410")</f>
        <v>1249012771888529410</v>
      </c>
      <c r="F4962" s="7" t="s">
        <v>17</v>
      </c>
      <c r="G4962" s="7">
        <v>3761008</v>
      </c>
      <c r="H4962" s="7">
        <v>2387</v>
      </c>
      <c r="I4962" s="7">
        <v>1269</v>
      </c>
      <c r="J4962" s="7">
        <v>3273</v>
      </c>
      <c r="K4962" s="7" t="s">
        <v>18</v>
      </c>
      <c r="L4962" s="8">
        <v>39987.315405092595</v>
      </c>
      <c r="M4962" s="9" t="s">
        <v>19</v>
      </c>
      <c r="N4962" s="9" t="s">
        <v>20</v>
      </c>
      <c r="O4962" s="6" t="str">
        <f>HYPERLINK("https://pbs.twimg.com/profile_images/962471262747529216/Uo8lOkRJ_normal.jpg","View")</f>
        <v>View</v>
      </c>
      <c r="P4962" s="7"/>
    </row>
    <row r="4963" spans="1:16">
      <c r="A4963" s="3">
        <v>43932.94568287037</v>
      </c>
      <c r="B4963" s="4" t="str">
        <f>HYPERLINK("https://twitter.com/petrogustavo","@petrogustavo")</f>
        <v>@petrogustavo</v>
      </c>
      <c r="C4963" s="5" t="s">
        <v>16</v>
      </c>
      <c r="D4963" s="5" t="s">
        <v>4855</v>
      </c>
      <c r="E4963" s="6" t="str">
        <f>HYPERLINK("https://twitter.com/petrogustavo/status/1249022343353176065","1249022343353176065")</f>
        <v>1249022343353176065</v>
      </c>
      <c r="F4963" s="7" t="s">
        <v>17</v>
      </c>
      <c r="G4963" s="7">
        <v>3761098</v>
      </c>
      <c r="H4963" s="7">
        <v>2387</v>
      </c>
      <c r="I4963" s="7">
        <v>190</v>
      </c>
      <c r="J4963" s="7">
        <v>623</v>
      </c>
      <c r="K4963" s="7" t="s">
        <v>18</v>
      </c>
      <c r="L4963" s="8">
        <v>39987.315405092595</v>
      </c>
      <c r="M4963" s="9" t="s">
        <v>19</v>
      </c>
      <c r="N4963" s="9" t="s">
        <v>20</v>
      </c>
      <c r="O4963" s="6" t="str">
        <f>HYPERLINK("https://pbs.twimg.com/profile_images/962471262747529216/Uo8lOkRJ_normal.jpg","View")</f>
        <v>View</v>
      </c>
      <c r="P4963" s="7"/>
    </row>
    <row r="4964" spans="1:16">
      <c r="A4964" s="3">
        <v>43932.947939814811</v>
      </c>
      <c r="B4964" s="4" t="str">
        <f>HYPERLINK("https://twitter.com/petrogustavo","@petrogustavo")</f>
        <v>@petrogustavo</v>
      </c>
      <c r="C4964" s="5" t="s">
        <v>16</v>
      </c>
      <c r="D4964" s="5" t="s">
        <v>4856</v>
      </c>
      <c r="E4964" s="6" t="str">
        <f>HYPERLINK("https://twitter.com/petrogustavo/status/1249023162601349125","1249023162601349125")</f>
        <v>1249023162601349125</v>
      </c>
      <c r="F4964" s="7" t="s">
        <v>17</v>
      </c>
      <c r="G4964" s="7">
        <v>3761098</v>
      </c>
      <c r="H4964" s="7">
        <v>2387</v>
      </c>
      <c r="I4964" s="7">
        <v>131</v>
      </c>
      <c r="J4964" s="7">
        <v>378</v>
      </c>
      <c r="K4964" s="7" t="s">
        <v>18</v>
      </c>
      <c r="L4964" s="8">
        <v>39987.315405092595</v>
      </c>
      <c r="M4964" s="9" t="s">
        <v>19</v>
      </c>
      <c r="N4964" s="9" t="s">
        <v>20</v>
      </c>
      <c r="O4964" s="6" t="str">
        <f>HYPERLINK("https://pbs.twimg.com/profile_images/962471262747529216/Uo8lOkRJ_normal.jpg","View")</f>
        <v>View</v>
      </c>
      <c r="P4964" s="7"/>
    </row>
    <row r="4965" spans="1:16">
      <c r="A4965" s="3">
        <v>43933.077094907407</v>
      </c>
      <c r="B4965" s="4" t="str">
        <f>HYPERLINK("https://twitter.com/petrogustavo","@petrogustavo")</f>
        <v>@petrogustavo</v>
      </c>
      <c r="C4965" s="5" t="s">
        <v>16</v>
      </c>
      <c r="D4965" s="5" t="s">
        <v>4857</v>
      </c>
      <c r="E4965" s="6" t="str">
        <f>HYPERLINK("https://twitter.com/petrogustavo/status/1249069969058549760","1249069969058549760")</f>
        <v>1249069969058549760</v>
      </c>
      <c r="F4965" s="7" t="s">
        <v>17</v>
      </c>
      <c r="G4965" s="7">
        <v>3761659</v>
      </c>
      <c r="H4965" s="7">
        <v>2387</v>
      </c>
      <c r="I4965" s="7">
        <v>144</v>
      </c>
      <c r="J4965" s="7">
        <v>300</v>
      </c>
      <c r="K4965" s="7" t="s">
        <v>18</v>
      </c>
      <c r="L4965" s="8">
        <v>39987.315405092595</v>
      </c>
      <c r="M4965" s="9" t="s">
        <v>19</v>
      </c>
      <c r="N4965" s="9" t="s">
        <v>20</v>
      </c>
      <c r="O4965" s="6" t="str">
        <f>HYPERLINK("https://pbs.twimg.com/profile_images/962471262747529216/Uo8lOkRJ_normal.jpg","View")</f>
        <v>View</v>
      </c>
      <c r="P4965" s="7"/>
    </row>
    <row r="4966" spans="1:16">
      <c r="A4966" s="3">
        <v>43933.097777777773</v>
      </c>
      <c r="B4966" s="4" t="str">
        <f>HYPERLINK("https://twitter.com/petrogustavo","@petrogustavo")</f>
        <v>@petrogustavo</v>
      </c>
      <c r="C4966" s="5" t="s">
        <v>16</v>
      </c>
      <c r="D4966" s="5" t="s">
        <v>4858</v>
      </c>
      <c r="E4966" s="6" t="str">
        <f>HYPERLINK("https://twitter.com/petrogustavo/status/1249077464464330752","1249077464464330752")</f>
        <v>1249077464464330752</v>
      </c>
      <c r="F4966" s="7" t="s">
        <v>17</v>
      </c>
      <c r="G4966" s="7">
        <v>3761750</v>
      </c>
      <c r="H4966" s="7">
        <v>2387</v>
      </c>
      <c r="I4966" s="7">
        <v>4307</v>
      </c>
      <c r="J4966" s="7">
        <v>0</v>
      </c>
      <c r="K4966" s="7" t="s">
        <v>18</v>
      </c>
      <c r="L4966" s="8">
        <v>39987.315405092595</v>
      </c>
      <c r="M4966" s="9" t="s">
        <v>19</v>
      </c>
      <c r="N4966" s="9" t="s">
        <v>20</v>
      </c>
      <c r="O4966" s="6" t="str">
        <f>HYPERLINK("https://pbs.twimg.com/profile_images/962471262747529216/Uo8lOkRJ_normal.jpg","View")</f>
        <v>View</v>
      </c>
      <c r="P4966" s="7"/>
    </row>
    <row r="4967" spans="1:16">
      <c r="A4967" s="3">
        <v>43933.09784722222</v>
      </c>
      <c r="B4967" s="4" t="str">
        <f>HYPERLINK("https://twitter.com/petrogustavo","@petrogustavo")</f>
        <v>@petrogustavo</v>
      </c>
      <c r="C4967" s="5" t="s">
        <v>16</v>
      </c>
      <c r="D4967" s="5" t="s">
        <v>4859</v>
      </c>
      <c r="E4967" s="6" t="str">
        <f>HYPERLINK("https://twitter.com/petrogustavo/status/1249077486140313600","1249077486140313600")</f>
        <v>1249077486140313600</v>
      </c>
      <c r="F4967" s="7" t="s">
        <v>17</v>
      </c>
      <c r="G4967" s="7">
        <v>3761750</v>
      </c>
      <c r="H4967" s="7">
        <v>2387</v>
      </c>
      <c r="I4967" s="7">
        <v>3259</v>
      </c>
      <c r="J4967" s="7">
        <v>0</v>
      </c>
      <c r="K4967" s="7" t="s">
        <v>18</v>
      </c>
      <c r="L4967" s="8">
        <v>39987.315405092595</v>
      </c>
      <c r="M4967" s="9" t="s">
        <v>19</v>
      </c>
      <c r="N4967" s="9" t="s">
        <v>20</v>
      </c>
      <c r="O4967" s="6" t="str">
        <f>HYPERLINK("https://pbs.twimg.com/profile_images/962471262747529216/Uo8lOkRJ_normal.jpg","View")</f>
        <v>View</v>
      </c>
      <c r="P4967" s="7"/>
    </row>
    <row r="4968" spans="1:16">
      <c r="A4968" s="3">
        <v>43933.098298611112</v>
      </c>
      <c r="B4968" s="4" t="str">
        <f>HYPERLINK("https://twitter.com/petrogustavo","@petrogustavo")</f>
        <v>@petrogustavo</v>
      </c>
      <c r="C4968" s="5" t="s">
        <v>16</v>
      </c>
      <c r="D4968" s="5" t="s">
        <v>4860</v>
      </c>
      <c r="E4968" s="6" t="str">
        <f>HYPERLINK("https://twitter.com/petrogustavo/status/1249077650691407873","1249077650691407873")</f>
        <v>1249077650691407873</v>
      </c>
      <c r="F4968" s="7" t="s">
        <v>17</v>
      </c>
      <c r="G4968" s="7">
        <v>3761750</v>
      </c>
      <c r="H4968" s="7">
        <v>2387</v>
      </c>
      <c r="I4968" s="7">
        <v>60</v>
      </c>
      <c r="J4968" s="7">
        <v>0</v>
      </c>
      <c r="K4968" s="7" t="s">
        <v>18</v>
      </c>
      <c r="L4968" s="8">
        <v>39987.315405092595</v>
      </c>
      <c r="M4968" s="9" t="s">
        <v>19</v>
      </c>
      <c r="N4968" s="9" t="s">
        <v>20</v>
      </c>
      <c r="O4968" s="6" t="str">
        <f>HYPERLINK("https://pbs.twimg.com/profile_images/962471262747529216/Uo8lOkRJ_normal.jpg","View")</f>
        <v>View</v>
      </c>
      <c r="P4968" s="7"/>
    </row>
    <row r="4969" spans="1:16">
      <c r="A4969" s="3">
        <v>43933.207800925928</v>
      </c>
      <c r="B4969" s="4" t="str">
        <f>HYPERLINK("https://twitter.com/petrogustavo","@petrogustavo")</f>
        <v>@petrogustavo</v>
      </c>
      <c r="C4969" s="5" t="s">
        <v>16</v>
      </c>
      <c r="D4969" s="5" t="s">
        <v>4861</v>
      </c>
      <c r="E4969" s="6" t="str">
        <f>HYPERLINK("https://twitter.com/petrogustavo/status/1249117335019032576","1249117335019032576")</f>
        <v>1249117335019032576</v>
      </c>
      <c r="F4969" s="7" t="s">
        <v>17</v>
      </c>
      <c r="G4969" s="7">
        <v>3762084</v>
      </c>
      <c r="H4969" s="7">
        <v>2387</v>
      </c>
      <c r="I4969" s="7">
        <v>105</v>
      </c>
      <c r="J4969" s="7">
        <v>547</v>
      </c>
      <c r="K4969" s="7" t="s">
        <v>18</v>
      </c>
      <c r="L4969" s="8">
        <v>39987.315405092595</v>
      </c>
      <c r="M4969" s="9" t="s">
        <v>19</v>
      </c>
      <c r="N4969" s="9" t="s">
        <v>20</v>
      </c>
      <c r="O4969" s="6" t="str">
        <f>HYPERLINK("https://pbs.twimg.com/profile_images/962471262747529216/Uo8lOkRJ_normal.jpg","View")</f>
        <v>View</v>
      </c>
      <c r="P4969" s="7"/>
    </row>
    <row r="4970" spans="1:16">
      <c r="A4970" s="3">
        <v>43933.288159722222</v>
      </c>
      <c r="B4970" s="4" t="str">
        <f>HYPERLINK("https://twitter.com/petrogustavo","@petrogustavo")</f>
        <v>@petrogustavo</v>
      </c>
      <c r="C4970" s="5" t="s">
        <v>16</v>
      </c>
      <c r="D4970" s="5" t="s">
        <v>4862</v>
      </c>
      <c r="E4970" s="6" t="str">
        <f>HYPERLINK("https://twitter.com/petrogustavo/status/1249146454213636097","1249146454213636097")</f>
        <v>1249146454213636097</v>
      </c>
      <c r="F4970" s="7" t="s">
        <v>17</v>
      </c>
      <c r="G4970" s="7">
        <v>3762390</v>
      </c>
      <c r="H4970" s="7">
        <v>2388</v>
      </c>
      <c r="I4970" s="7">
        <v>441</v>
      </c>
      <c r="J4970" s="7">
        <v>1191</v>
      </c>
      <c r="K4970" s="7" t="s">
        <v>18</v>
      </c>
      <c r="L4970" s="8">
        <v>39987.315405092595</v>
      </c>
      <c r="M4970" s="9" t="s">
        <v>19</v>
      </c>
      <c r="N4970" s="9" t="s">
        <v>20</v>
      </c>
      <c r="O4970" s="6" t="str">
        <f>HYPERLINK("https://pbs.twimg.com/profile_images/962471262747529216/Uo8lOkRJ_normal.jpg","View")</f>
        <v>View</v>
      </c>
      <c r="P4970" s="7"/>
    </row>
    <row r="4971" spans="1:16">
      <c r="A4971" s="3">
        <v>43933.833969907406</v>
      </c>
      <c r="B4971" s="4" t="str">
        <f>HYPERLINK("https://twitter.com/petrogustavo","@petrogustavo")</f>
        <v>@petrogustavo</v>
      </c>
      <c r="C4971" s="5" t="s">
        <v>16</v>
      </c>
      <c r="D4971" s="5" t="s">
        <v>4863</v>
      </c>
      <c r="E4971" s="6" t="str">
        <f>HYPERLINK("https://twitter.com/petrogustavo/status/1249344248190828546","1249344248190828546")</f>
        <v>1249344248190828546</v>
      </c>
      <c r="F4971" s="7" t="s">
        <v>17</v>
      </c>
      <c r="G4971" s="7">
        <v>3763629</v>
      </c>
      <c r="H4971" s="7">
        <v>2388</v>
      </c>
      <c r="I4971" s="7">
        <v>3934</v>
      </c>
      <c r="J4971" s="7">
        <v>0</v>
      </c>
      <c r="K4971" s="7" t="s">
        <v>18</v>
      </c>
      <c r="L4971" s="8">
        <v>39987.315405092595</v>
      </c>
      <c r="M4971" s="9" t="s">
        <v>19</v>
      </c>
      <c r="N4971" s="9" t="s">
        <v>20</v>
      </c>
      <c r="O4971" s="6" t="str">
        <f>HYPERLINK("https://pbs.twimg.com/profile_images/962471262747529216/Uo8lOkRJ_normal.jpg","View")</f>
        <v>View</v>
      </c>
      <c r="P4971" s="7"/>
    </row>
    <row r="4972" spans="1:16">
      <c r="A4972" s="3">
        <v>43933.834386574075</v>
      </c>
      <c r="B4972" s="4" t="str">
        <f>HYPERLINK("https://twitter.com/petrogustavo","@petrogustavo")</f>
        <v>@petrogustavo</v>
      </c>
      <c r="C4972" s="5" t="s">
        <v>16</v>
      </c>
      <c r="D4972" s="5" t="s">
        <v>4864</v>
      </c>
      <c r="E4972" s="6" t="str">
        <f>HYPERLINK("https://twitter.com/petrogustavo/status/1249344399269601283","1249344399269601283")</f>
        <v>1249344399269601283</v>
      </c>
      <c r="F4972" s="7" t="s">
        <v>17</v>
      </c>
      <c r="G4972" s="7">
        <v>3763629</v>
      </c>
      <c r="H4972" s="7">
        <v>2388</v>
      </c>
      <c r="I4972" s="7">
        <v>459</v>
      </c>
      <c r="J4972" s="7">
        <v>0</v>
      </c>
      <c r="K4972" s="7" t="s">
        <v>18</v>
      </c>
      <c r="L4972" s="8">
        <v>39987.315405092595</v>
      </c>
      <c r="M4972" s="9" t="s">
        <v>19</v>
      </c>
      <c r="N4972" s="9" t="s">
        <v>20</v>
      </c>
      <c r="O4972" s="6" t="str">
        <f>HYPERLINK("https://pbs.twimg.com/profile_images/962471262747529216/Uo8lOkRJ_normal.jpg","View")</f>
        <v>View</v>
      </c>
      <c r="P4972" s="7"/>
    </row>
    <row r="4973" spans="1:16">
      <c r="A4973" s="3">
        <v>43933.834548611107</v>
      </c>
      <c r="B4973" s="4" t="str">
        <f>HYPERLINK("https://twitter.com/petrogustavo","@petrogustavo")</f>
        <v>@petrogustavo</v>
      </c>
      <c r="C4973" s="5" t="s">
        <v>16</v>
      </c>
      <c r="D4973" s="5" t="s">
        <v>4865</v>
      </c>
      <c r="E4973" s="6" t="str">
        <f>HYPERLINK("https://twitter.com/petrogustavo/status/1249344459130707971","1249344459130707971")</f>
        <v>1249344459130707971</v>
      </c>
      <c r="F4973" s="7" t="s">
        <v>17</v>
      </c>
      <c r="G4973" s="7">
        <v>3763629</v>
      </c>
      <c r="H4973" s="7">
        <v>2388</v>
      </c>
      <c r="I4973" s="7">
        <v>109</v>
      </c>
      <c r="J4973" s="7">
        <v>0</v>
      </c>
      <c r="K4973" s="7" t="s">
        <v>18</v>
      </c>
      <c r="L4973" s="8">
        <v>39987.315405092595</v>
      </c>
      <c r="M4973" s="9" t="s">
        <v>19</v>
      </c>
      <c r="N4973" s="9" t="s">
        <v>20</v>
      </c>
      <c r="O4973" s="6" t="str">
        <f>HYPERLINK("https://pbs.twimg.com/profile_images/962471262747529216/Uo8lOkRJ_normal.jpg","View")</f>
        <v>View</v>
      </c>
      <c r="P4973" s="7"/>
    </row>
    <row r="4974" spans="1:16">
      <c r="A4974" s="3">
        <v>43933.838009259256</v>
      </c>
      <c r="B4974" s="4" t="str">
        <f>HYPERLINK("https://twitter.com/petrogustavo","@petrogustavo")</f>
        <v>@petrogustavo</v>
      </c>
      <c r="C4974" s="5" t="s">
        <v>16</v>
      </c>
      <c r="D4974" s="5" t="s">
        <v>4866</v>
      </c>
      <c r="E4974" s="6" t="str">
        <f>HYPERLINK("https://twitter.com/petrogustavo/status/1249345713894494208","1249345713894494208")</f>
        <v>1249345713894494208</v>
      </c>
      <c r="F4974" s="7" t="s">
        <v>17</v>
      </c>
      <c r="G4974" s="7">
        <v>3763711</v>
      </c>
      <c r="H4974" s="7">
        <v>2388</v>
      </c>
      <c r="I4974" s="7">
        <v>170</v>
      </c>
      <c r="J4974" s="7">
        <v>390</v>
      </c>
      <c r="K4974" s="7" t="s">
        <v>18</v>
      </c>
      <c r="L4974" s="8">
        <v>39987.315405092595</v>
      </c>
      <c r="M4974" s="9" t="s">
        <v>19</v>
      </c>
      <c r="N4974" s="9" t="s">
        <v>20</v>
      </c>
      <c r="O4974" s="6" t="str">
        <f>HYPERLINK("https://pbs.twimg.com/profile_images/962471262747529216/Uo8lOkRJ_normal.jpg","View")</f>
        <v>View</v>
      </c>
      <c r="P4974" s="7"/>
    </row>
    <row r="4975" spans="1:16">
      <c r="A4975" s="3">
        <v>43933.851979166662</v>
      </c>
      <c r="B4975" s="4" t="str">
        <f>HYPERLINK("https://twitter.com/petrogustavo","@petrogustavo")</f>
        <v>@petrogustavo</v>
      </c>
      <c r="C4975" s="5" t="s">
        <v>16</v>
      </c>
      <c r="D4975" s="5" t="s">
        <v>4867</v>
      </c>
      <c r="E4975" s="6" t="str">
        <f>HYPERLINK("https://twitter.com/petrogustavo/status/1249350776486604801","1249350776486604801")</f>
        <v>1249350776486604801</v>
      </c>
      <c r="F4975" s="7" t="s">
        <v>17</v>
      </c>
      <c r="G4975" s="7">
        <v>3763711</v>
      </c>
      <c r="H4975" s="7">
        <v>2388</v>
      </c>
      <c r="I4975" s="7">
        <v>56</v>
      </c>
      <c r="J4975" s="7">
        <v>0</v>
      </c>
      <c r="K4975" s="7" t="s">
        <v>18</v>
      </c>
      <c r="L4975" s="8">
        <v>39987.315405092595</v>
      </c>
      <c r="M4975" s="9" t="s">
        <v>19</v>
      </c>
      <c r="N4975" s="9" t="s">
        <v>20</v>
      </c>
      <c r="O4975" s="6" t="str">
        <f>HYPERLINK("https://pbs.twimg.com/profile_images/962471262747529216/Uo8lOkRJ_normal.jpg","View")</f>
        <v>View</v>
      </c>
      <c r="P4975" s="7"/>
    </row>
    <row r="4976" spans="1:16">
      <c r="A4976" s="3">
        <v>43933.86854166667</v>
      </c>
      <c r="B4976" s="4" t="str">
        <f>HYPERLINK("https://twitter.com/petrogustavo","@petrogustavo")</f>
        <v>@petrogustavo</v>
      </c>
      <c r="C4976" s="5" t="s">
        <v>16</v>
      </c>
      <c r="D4976" s="5" t="s">
        <v>4868</v>
      </c>
      <c r="E4976" s="6" t="str">
        <f>HYPERLINK("https://twitter.com/petrogustavo/status/1249356776333590528","1249356776333590528")</f>
        <v>1249356776333590528</v>
      </c>
      <c r="F4976" s="7" t="s">
        <v>17</v>
      </c>
      <c r="G4976" s="7">
        <v>3763805</v>
      </c>
      <c r="H4976" s="7">
        <v>2389</v>
      </c>
      <c r="I4976" s="7">
        <v>131</v>
      </c>
      <c r="J4976" s="7">
        <v>307</v>
      </c>
      <c r="K4976" s="7" t="s">
        <v>18</v>
      </c>
      <c r="L4976" s="8">
        <v>39987.315405092595</v>
      </c>
      <c r="M4976" s="9" t="s">
        <v>19</v>
      </c>
      <c r="N4976" s="9" t="s">
        <v>20</v>
      </c>
      <c r="O4976" s="6" t="str">
        <f>HYPERLINK("https://pbs.twimg.com/profile_images/962471262747529216/Uo8lOkRJ_normal.jpg","View")</f>
        <v>View</v>
      </c>
      <c r="P4976" s="7"/>
    </row>
    <row r="4977" spans="1:16">
      <c r="A4977" s="3">
        <v>43933.876736111109</v>
      </c>
      <c r="B4977" s="4" t="str">
        <f>HYPERLINK("https://twitter.com/petrogustavo","@petrogustavo")</f>
        <v>@petrogustavo</v>
      </c>
      <c r="C4977" s="5" t="s">
        <v>16</v>
      </c>
      <c r="D4977" s="5" t="s">
        <v>4869</v>
      </c>
      <c r="E4977" s="6" t="str">
        <f>HYPERLINK("https://twitter.com/petrogustavo/status/1249359746467069953","1249359746467069953")</f>
        <v>1249359746467069953</v>
      </c>
      <c r="F4977" s="7" t="s">
        <v>17</v>
      </c>
      <c r="G4977" s="7">
        <v>3763805</v>
      </c>
      <c r="H4977" s="7">
        <v>2389</v>
      </c>
      <c r="I4977" s="7">
        <v>5</v>
      </c>
      <c r="J4977" s="7">
        <v>13</v>
      </c>
      <c r="K4977" s="7" t="s">
        <v>18</v>
      </c>
      <c r="L4977" s="8">
        <v>39987.315405092595</v>
      </c>
      <c r="M4977" s="9" t="s">
        <v>19</v>
      </c>
      <c r="N4977" s="9" t="s">
        <v>20</v>
      </c>
      <c r="O4977" s="6" t="str">
        <f>HYPERLINK("https://pbs.twimg.com/profile_images/962471262747529216/Uo8lOkRJ_normal.jpg","View")</f>
        <v>View</v>
      </c>
      <c r="P4977" s="7"/>
    </row>
    <row r="4978" spans="1:16">
      <c r="A4978" s="3">
        <v>43933.89130787037</v>
      </c>
      <c r="B4978" s="4" t="str">
        <f>HYPERLINK("https://twitter.com/petrogustavo","@petrogustavo")</f>
        <v>@petrogustavo</v>
      </c>
      <c r="C4978" s="5" t="s">
        <v>16</v>
      </c>
      <c r="D4978" s="5" t="s">
        <v>4870</v>
      </c>
      <c r="E4978" s="6" t="str">
        <f>HYPERLINK("https://twitter.com/petrogustavo/status/1249365029016797185","1249365029016797185")</f>
        <v>1249365029016797185</v>
      </c>
      <c r="F4978" s="7" t="s">
        <v>17</v>
      </c>
      <c r="G4978" s="7">
        <v>3763887</v>
      </c>
      <c r="H4978" s="7">
        <v>2389</v>
      </c>
      <c r="I4978" s="7">
        <v>351</v>
      </c>
      <c r="J4978" s="7">
        <v>0</v>
      </c>
      <c r="K4978" s="7" t="s">
        <v>18</v>
      </c>
      <c r="L4978" s="8">
        <v>39987.315405092595</v>
      </c>
      <c r="M4978" s="9" t="s">
        <v>19</v>
      </c>
      <c r="N4978" s="9" t="s">
        <v>20</v>
      </c>
      <c r="O4978" s="6" t="str">
        <f>HYPERLINK("https://pbs.twimg.com/profile_images/962471262747529216/Uo8lOkRJ_normal.jpg","View")</f>
        <v>View</v>
      </c>
      <c r="P4978" s="7"/>
    </row>
    <row r="4979" spans="1:16">
      <c r="A4979" s="3">
        <v>43933.987245370372</v>
      </c>
      <c r="B4979" s="4" t="str">
        <f>HYPERLINK("https://twitter.com/petrogustavo","@petrogustavo")</f>
        <v>@petrogustavo</v>
      </c>
      <c r="C4979" s="5" t="s">
        <v>16</v>
      </c>
      <c r="D4979" s="5" t="s">
        <v>4871</v>
      </c>
      <c r="E4979" s="6" t="str">
        <f>HYPERLINK("https://twitter.com/petrogustavo/status/1249399793174134786","1249399793174134786")</f>
        <v>1249399793174134786</v>
      </c>
      <c r="F4979" s="7" t="s">
        <v>17</v>
      </c>
      <c r="G4979" s="7">
        <v>3764276</v>
      </c>
      <c r="H4979" s="7">
        <v>2389</v>
      </c>
      <c r="I4979" s="7">
        <v>191</v>
      </c>
      <c r="J4979" s="7">
        <v>455</v>
      </c>
      <c r="K4979" s="7" t="s">
        <v>18</v>
      </c>
      <c r="L4979" s="8">
        <v>39987.315405092595</v>
      </c>
      <c r="M4979" s="9" t="s">
        <v>19</v>
      </c>
      <c r="N4979" s="9" t="s">
        <v>20</v>
      </c>
      <c r="O4979" s="6" t="str">
        <f>HYPERLINK("https://pbs.twimg.com/profile_images/962471262747529216/Uo8lOkRJ_normal.jpg","View")</f>
        <v>View</v>
      </c>
      <c r="P4979" s="7"/>
    </row>
    <row r="4980" spans="1:16">
      <c r="A4980" s="3">
        <v>43934.053124999999</v>
      </c>
      <c r="B4980" s="4" t="str">
        <f>HYPERLINK("https://twitter.com/petrogustavo","@petrogustavo")</f>
        <v>@petrogustavo</v>
      </c>
      <c r="C4980" s="5" t="s">
        <v>16</v>
      </c>
      <c r="D4980" s="5" t="s">
        <v>4872</v>
      </c>
      <c r="E4980" s="6" t="str">
        <f>HYPERLINK("https://twitter.com/petrogustavo/status/1249423668935036928","1249423668935036928")</f>
        <v>1249423668935036928</v>
      </c>
      <c r="F4980" s="7" t="s">
        <v>17</v>
      </c>
      <c r="G4980" s="7">
        <v>3764479</v>
      </c>
      <c r="H4980" s="7">
        <v>2390</v>
      </c>
      <c r="I4980" s="7">
        <v>89</v>
      </c>
      <c r="J4980" s="7">
        <v>0</v>
      </c>
      <c r="K4980" s="7" t="s">
        <v>18</v>
      </c>
      <c r="L4980" s="8">
        <v>39987.315405092595</v>
      </c>
      <c r="M4980" s="9" t="s">
        <v>19</v>
      </c>
      <c r="N4980" s="9" t="s">
        <v>20</v>
      </c>
      <c r="O4980" s="6" t="str">
        <f>HYPERLINK("https://pbs.twimg.com/profile_images/962471262747529216/Uo8lOkRJ_normal.jpg","View")</f>
        <v>View</v>
      </c>
      <c r="P4980" s="7"/>
    </row>
    <row r="4981" spans="1:16">
      <c r="A4981" s="3">
        <v>43934.054398148146</v>
      </c>
      <c r="B4981" s="4" t="str">
        <f>HYPERLINK("https://twitter.com/petrogustavo","@petrogustavo")</f>
        <v>@petrogustavo</v>
      </c>
      <c r="C4981" s="5" t="s">
        <v>16</v>
      </c>
      <c r="D4981" s="5" t="s">
        <v>4873</v>
      </c>
      <c r="E4981" s="6" t="str">
        <f>HYPERLINK("https://twitter.com/petrogustavo/status/1249424131667435520","1249424131667435520")</f>
        <v>1249424131667435520</v>
      </c>
      <c r="F4981" s="7" t="s">
        <v>17</v>
      </c>
      <c r="G4981" s="7">
        <v>3764479</v>
      </c>
      <c r="H4981" s="7">
        <v>2390</v>
      </c>
      <c r="I4981" s="7">
        <v>150</v>
      </c>
      <c r="J4981" s="7">
        <v>294</v>
      </c>
      <c r="K4981" s="7" t="s">
        <v>18</v>
      </c>
      <c r="L4981" s="8">
        <v>39987.315405092595</v>
      </c>
      <c r="M4981" s="9" t="s">
        <v>19</v>
      </c>
      <c r="N4981" s="9" t="s">
        <v>20</v>
      </c>
      <c r="O4981" s="6" t="str">
        <f>HYPERLINK("https://pbs.twimg.com/profile_images/962471262747529216/Uo8lOkRJ_normal.jpg","View")</f>
        <v>View</v>
      </c>
      <c r="P4981" s="7"/>
    </row>
    <row r="4982" spans="1:16">
      <c r="A4982" s="3">
        <v>43934.06251157407</v>
      </c>
      <c r="B4982" s="4" t="str">
        <f>HYPERLINK("https://twitter.com/petrogustavo","@petrogustavo")</f>
        <v>@petrogustavo</v>
      </c>
      <c r="C4982" s="5" t="s">
        <v>16</v>
      </c>
      <c r="D4982" s="5" t="s">
        <v>4874</v>
      </c>
      <c r="E4982" s="6" t="str">
        <f>HYPERLINK("https://twitter.com/petrogustavo/status/1249427069282299904","1249427069282299904")</f>
        <v>1249427069282299904</v>
      </c>
      <c r="F4982" s="7" t="s">
        <v>17</v>
      </c>
      <c r="G4982" s="7">
        <v>3764479</v>
      </c>
      <c r="H4982" s="7">
        <v>2390</v>
      </c>
      <c r="I4982" s="7">
        <v>21</v>
      </c>
      <c r="J4982" s="7">
        <v>79</v>
      </c>
      <c r="K4982" s="7" t="s">
        <v>18</v>
      </c>
      <c r="L4982" s="8">
        <v>39987.315405092595</v>
      </c>
      <c r="M4982" s="9" t="s">
        <v>19</v>
      </c>
      <c r="N4982" s="9" t="s">
        <v>20</v>
      </c>
      <c r="O4982" s="6" t="str">
        <f>HYPERLINK("https://pbs.twimg.com/profile_images/962471262747529216/Uo8lOkRJ_normal.jpg","View")</f>
        <v>View</v>
      </c>
      <c r="P4982" s="7"/>
    </row>
    <row r="4983" spans="1:16">
      <c r="A4983" s="3">
        <v>43934.217141203699</v>
      </c>
      <c r="B4983" s="4" t="str">
        <f>HYPERLINK("https://twitter.com/petrogustavo","@petrogustavo")</f>
        <v>@petrogustavo</v>
      </c>
      <c r="C4983" s="5" t="s">
        <v>16</v>
      </c>
      <c r="D4983" s="5" t="s">
        <v>4875</v>
      </c>
      <c r="E4983" s="6" t="str">
        <f>HYPERLINK("https://twitter.com/petrogustavo/status/1249483105322373120","1249483105322373120")</f>
        <v>1249483105322373120</v>
      </c>
      <c r="F4983" s="7" t="s">
        <v>17</v>
      </c>
      <c r="G4983" s="7">
        <v>3764963</v>
      </c>
      <c r="H4983" s="7">
        <v>2390</v>
      </c>
      <c r="I4983" s="7">
        <v>1884</v>
      </c>
      <c r="J4983" s="7">
        <v>0</v>
      </c>
      <c r="K4983" s="7" t="s">
        <v>18</v>
      </c>
      <c r="L4983" s="8">
        <v>39987.315405092595</v>
      </c>
      <c r="M4983" s="9" t="s">
        <v>19</v>
      </c>
      <c r="N4983" s="9" t="s">
        <v>20</v>
      </c>
      <c r="O4983" s="6" t="str">
        <f>HYPERLINK("https://pbs.twimg.com/profile_images/962471262747529216/Uo8lOkRJ_normal.jpg","View")</f>
        <v>View</v>
      </c>
      <c r="P4983" s="7"/>
    </row>
    <row r="4984" spans="1:16">
      <c r="A4984" s="3">
        <v>43934.221296296295</v>
      </c>
      <c r="B4984" s="4" t="str">
        <f>HYPERLINK("https://twitter.com/petrogustavo","@petrogustavo")</f>
        <v>@petrogustavo</v>
      </c>
      <c r="C4984" s="5" t="s">
        <v>16</v>
      </c>
      <c r="D4984" s="5" t="s">
        <v>4876</v>
      </c>
      <c r="E4984" s="6" t="str">
        <f>HYPERLINK("https://twitter.com/petrogustavo/status/1249484613862424576","1249484613862424576")</f>
        <v>1249484613862424576</v>
      </c>
      <c r="F4984" s="7" t="s">
        <v>17</v>
      </c>
      <c r="G4984" s="7">
        <v>3764963</v>
      </c>
      <c r="H4984" s="7">
        <v>2390</v>
      </c>
      <c r="I4984" s="7">
        <v>369</v>
      </c>
      <c r="J4984" s="7">
        <v>739</v>
      </c>
      <c r="K4984" s="7" t="s">
        <v>18</v>
      </c>
      <c r="L4984" s="8">
        <v>39987.315405092595</v>
      </c>
      <c r="M4984" s="9" t="s">
        <v>19</v>
      </c>
      <c r="N4984" s="9" t="s">
        <v>20</v>
      </c>
      <c r="O4984" s="6" t="str">
        <f>HYPERLINK("https://pbs.twimg.com/profile_images/962471262747529216/Uo8lOkRJ_normal.jpg","View")</f>
        <v>View</v>
      </c>
      <c r="P4984" s="7"/>
    </row>
    <row r="4985" spans="1:16">
      <c r="A4985" s="3">
        <v>43934.318414351852</v>
      </c>
      <c r="B4985" s="4" t="str">
        <f>HYPERLINK("https://twitter.com/petrogustavo","@petrogustavo")</f>
        <v>@petrogustavo</v>
      </c>
      <c r="C4985" s="5" t="s">
        <v>16</v>
      </c>
      <c r="D4985" s="5" t="s">
        <v>4877</v>
      </c>
      <c r="E4985" s="6" t="str">
        <f>HYPERLINK("https://twitter.com/petrogustavo/status/1249519805150965761","1249519805150965761")</f>
        <v>1249519805150965761</v>
      </c>
      <c r="F4985" s="7" t="s">
        <v>17</v>
      </c>
      <c r="G4985" s="7">
        <v>3765414</v>
      </c>
      <c r="H4985" s="7">
        <v>2390</v>
      </c>
      <c r="I4985" s="7">
        <v>1659</v>
      </c>
      <c r="J4985" s="7">
        <v>0</v>
      </c>
      <c r="K4985" s="7" t="s">
        <v>18</v>
      </c>
      <c r="L4985" s="8">
        <v>39987.315405092595</v>
      </c>
      <c r="M4985" s="9" t="s">
        <v>19</v>
      </c>
      <c r="N4985" s="9" t="s">
        <v>20</v>
      </c>
      <c r="O4985" s="6" t="str">
        <f>HYPERLINK("https://pbs.twimg.com/profile_images/962471262747529216/Uo8lOkRJ_normal.jpg","View")</f>
        <v>View</v>
      </c>
      <c r="P4985" s="7"/>
    </row>
    <row r="4986" spans="1:16">
      <c r="A4986" s="3">
        <v>43935.001192129625</v>
      </c>
      <c r="B4986" s="4" t="str">
        <f>HYPERLINK("https://twitter.com/petrogustavo","@petrogustavo")</f>
        <v>@petrogustavo</v>
      </c>
      <c r="C4986" s="5" t="s">
        <v>16</v>
      </c>
      <c r="D4986" s="5" t="s">
        <v>4878</v>
      </c>
      <c r="E4986" s="6" t="str">
        <f>HYPERLINK("https://twitter.com/petrogustavo/status/1249767237780676612","1249767237780676612")</f>
        <v>1249767237780676612</v>
      </c>
      <c r="F4986" s="7" t="s">
        <v>17</v>
      </c>
      <c r="G4986" s="7">
        <v>3767029</v>
      </c>
      <c r="H4986" s="7">
        <v>2390</v>
      </c>
      <c r="I4986" s="7">
        <v>81</v>
      </c>
      <c r="J4986" s="7">
        <v>0</v>
      </c>
      <c r="K4986" s="7" t="s">
        <v>18</v>
      </c>
      <c r="L4986" s="8">
        <v>39987.315405092595</v>
      </c>
      <c r="M4986" s="9" t="s">
        <v>19</v>
      </c>
      <c r="N4986" s="9" t="s">
        <v>20</v>
      </c>
      <c r="O4986" s="6" t="str">
        <f>HYPERLINK("https://pbs.twimg.com/profile_images/962471262747529216/Uo8lOkRJ_normal.jpg","View")</f>
        <v>View</v>
      </c>
      <c r="P4986" s="7"/>
    </row>
    <row r="4987" spans="1:16">
      <c r="A4987" s="3">
        <v>43935.196608796294</v>
      </c>
      <c r="B4987" s="4" t="str">
        <f>HYPERLINK("https://twitter.com/petrogustavo","@petrogustavo")</f>
        <v>@petrogustavo</v>
      </c>
      <c r="C4987" s="5" t="s">
        <v>16</v>
      </c>
      <c r="D4987" s="5" t="s">
        <v>4879</v>
      </c>
      <c r="E4987" s="6" t="str">
        <f>HYPERLINK("https://twitter.com/petrogustavo/status/1249838052761055236","1249838052761055236")</f>
        <v>1249838052761055236</v>
      </c>
      <c r="F4987" s="7" t="s">
        <v>17</v>
      </c>
      <c r="G4987" s="7">
        <v>3767680</v>
      </c>
      <c r="H4987" s="7">
        <v>2388</v>
      </c>
      <c r="I4987" s="7">
        <v>319</v>
      </c>
      <c r="J4987" s="7">
        <v>669</v>
      </c>
      <c r="K4987" s="7" t="s">
        <v>18</v>
      </c>
      <c r="L4987" s="8">
        <v>39987.315405092595</v>
      </c>
      <c r="M4987" s="9" t="s">
        <v>19</v>
      </c>
      <c r="N4987" s="9" t="s">
        <v>20</v>
      </c>
      <c r="O4987" s="6" t="str">
        <f>HYPERLINK("https://pbs.twimg.com/profile_images/962471262747529216/Uo8lOkRJ_normal.jpg","View")</f>
        <v>View</v>
      </c>
      <c r="P4987" s="7"/>
    </row>
    <row r="4988" spans="1:16">
      <c r="A4988" s="3">
        <v>43935.256851851853</v>
      </c>
      <c r="B4988" s="4" t="str">
        <f>HYPERLINK("https://twitter.com/petrogustavo","@petrogustavo")</f>
        <v>@petrogustavo</v>
      </c>
      <c r="C4988" s="5" t="s">
        <v>16</v>
      </c>
      <c r="D4988" s="5" t="s">
        <v>4880</v>
      </c>
      <c r="E4988" s="6" t="str">
        <f>HYPERLINK("https://twitter.com/petrogustavo/status/1249859883425546240","1249859883425546240")</f>
        <v>1249859883425546240</v>
      </c>
      <c r="F4988" s="7" t="s">
        <v>17</v>
      </c>
      <c r="G4988" s="7">
        <v>3767880</v>
      </c>
      <c r="H4988" s="7">
        <v>2388</v>
      </c>
      <c r="I4988" s="7">
        <v>791</v>
      </c>
      <c r="J4988" s="7">
        <v>0</v>
      </c>
      <c r="K4988" s="7" t="s">
        <v>18</v>
      </c>
      <c r="L4988" s="8">
        <v>39987.315405092595</v>
      </c>
      <c r="M4988" s="9" t="s">
        <v>19</v>
      </c>
      <c r="N4988" s="9" t="s">
        <v>20</v>
      </c>
      <c r="O4988" s="6" t="str">
        <f>HYPERLINK("https://pbs.twimg.com/profile_images/962471262747529216/Uo8lOkRJ_normal.jpg","View")</f>
        <v>View</v>
      </c>
      <c r="P4988" s="7"/>
    </row>
    <row r="4989" spans="1:16">
      <c r="A4989" s="3">
        <v>43935.290509259255</v>
      </c>
      <c r="B4989" s="4" t="str">
        <f>HYPERLINK("https://twitter.com/petrogustavo","@petrogustavo")</f>
        <v>@petrogustavo</v>
      </c>
      <c r="C4989" s="5" t="s">
        <v>16</v>
      </c>
      <c r="D4989" s="5" t="s">
        <v>4881</v>
      </c>
      <c r="E4989" s="6" t="str">
        <f>HYPERLINK("https://twitter.com/petrogustavo/status/1249872083741478912","1249872083741478912")</f>
        <v>1249872083741478912</v>
      </c>
      <c r="F4989" s="7" t="s">
        <v>17</v>
      </c>
      <c r="G4989" s="7">
        <v>3767946</v>
      </c>
      <c r="H4989" s="7">
        <v>2388</v>
      </c>
      <c r="I4989" s="7">
        <v>88</v>
      </c>
      <c r="J4989" s="7">
        <v>654</v>
      </c>
      <c r="K4989" s="7" t="s">
        <v>18</v>
      </c>
      <c r="L4989" s="8">
        <v>39987.315405092595</v>
      </c>
      <c r="M4989" s="9" t="s">
        <v>19</v>
      </c>
      <c r="N4989" s="9" t="s">
        <v>20</v>
      </c>
      <c r="O4989" s="6" t="str">
        <f>HYPERLINK("https://pbs.twimg.com/profile_images/962471262747529216/Uo8lOkRJ_normal.jpg","View")</f>
        <v>View</v>
      </c>
      <c r="P4989" s="7"/>
    </row>
    <row r="4990" spans="1:16">
      <c r="A4990" s="3">
        <v>43935.293136574073</v>
      </c>
      <c r="B4990" s="4" t="str">
        <f>HYPERLINK("https://twitter.com/petrogustavo","@petrogustavo")</f>
        <v>@petrogustavo</v>
      </c>
      <c r="C4990" s="5" t="s">
        <v>16</v>
      </c>
      <c r="D4990" s="5" t="s">
        <v>4882</v>
      </c>
      <c r="E4990" s="6" t="str">
        <f>HYPERLINK("https://twitter.com/petrogustavo/status/1249873035588513794","1249873035588513794")</f>
        <v>1249873035588513794</v>
      </c>
      <c r="F4990" s="7" t="s">
        <v>17</v>
      </c>
      <c r="G4990" s="7">
        <v>3767946</v>
      </c>
      <c r="H4990" s="7">
        <v>2388</v>
      </c>
      <c r="I4990" s="7">
        <v>11</v>
      </c>
      <c r="J4990" s="7">
        <v>47</v>
      </c>
      <c r="K4990" s="7" t="s">
        <v>18</v>
      </c>
      <c r="L4990" s="8">
        <v>39987.315405092595</v>
      </c>
      <c r="M4990" s="9" t="s">
        <v>19</v>
      </c>
      <c r="N4990" s="9" t="s">
        <v>20</v>
      </c>
      <c r="O4990" s="6" t="str">
        <f>HYPERLINK("https://pbs.twimg.com/profile_images/962471262747529216/Uo8lOkRJ_normal.jpg","View")</f>
        <v>View</v>
      </c>
      <c r="P4990" s="7"/>
    </row>
    <row r="4991" spans="1:16">
      <c r="A4991" s="3">
        <v>43935.295717592591</v>
      </c>
      <c r="B4991" s="4" t="str">
        <f>HYPERLINK("https://twitter.com/petrogustavo","@petrogustavo")</f>
        <v>@petrogustavo</v>
      </c>
      <c r="C4991" s="5" t="s">
        <v>16</v>
      </c>
      <c r="D4991" s="5" t="s">
        <v>4883</v>
      </c>
      <c r="E4991" s="6" t="str">
        <f>HYPERLINK("https://twitter.com/petrogustavo/status/1249873970951868422","1249873970951868422")</f>
        <v>1249873970951868422</v>
      </c>
      <c r="F4991" s="7" t="s">
        <v>17</v>
      </c>
      <c r="G4991" s="7">
        <v>3768016</v>
      </c>
      <c r="H4991" s="7">
        <v>2388</v>
      </c>
      <c r="I4991" s="7">
        <v>108</v>
      </c>
      <c r="J4991" s="7">
        <v>346</v>
      </c>
      <c r="K4991" s="7" t="s">
        <v>18</v>
      </c>
      <c r="L4991" s="8">
        <v>39987.315405092595</v>
      </c>
      <c r="M4991" s="9" t="s">
        <v>19</v>
      </c>
      <c r="N4991" s="9" t="s">
        <v>20</v>
      </c>
      <c r="O4991" s="6" t="str">
        <f>HYPERLINK("https://pbs.twimg.com/profile_images/962471262747529216/Uo8lOkRJ_normal.jpg","View")</f>
        <v>View</v>
      </c>
      <c r="P4991" s="7"/>
    </row>
    <row r="4992" spans="1:16">
      <c r="A4992" s="3">
        <v>43935.297164351854</v>
      </c>
      <c r="B4992" s="4" t="str">
        <f>HYPERLINK("https://twitter.com/petrogustavo","@petrogustavo")</f>
        <v>@petrogustavo</v>
      </c>
      <c r="C4992" s="5" t="s">
        <v>16</v>
      </c>
      <c r="D4992" s="5" t="s">
        <v>4884</v>
      </c>
      <c r="E4992" s="6" t="str">
        <f>HYPERLINK("https://twitter.com/petrogustavo/status/1249874492110798850","1249874492110798850")</f>
        <v>1249874492110798850</v>
      </c>
      <c r="F4992" s="7" t="s">
        <v>17</v>
      </c>
      <c r="G4992" s="7">
        <v>3768016</v>
      </c>
      <c r="H4992" s="7">
        <v>2388</v>
      </c>
      <c r="I4992" s="7">
        <v>111</v>
      </c>
      <c r="J4992" s="7">
        <v>324</v>
      </c>
      <c r="K4992" s="7" t="s">
        <v>18</v>
      </c>
      <c r="L4992" s="8">
        <v>39987.315405092595</v>
      </c>
      <c r="M4992" s="9" t="s">
        <v>19</v>
      </c>
      <c r="N4992" s="9" t="s">
        <v>20</v>
      </c>
      <c r="O4992" s="6" t="str">
        <f>HYPERLINK("https://pbs.twimg.com/profile_images/962471262747529216/Uo8lOkRJ_normal.jpg","View")</f>
        <v>View</v>
      </c>
      <c r="P4992" s="7"/>
    </row>
    <row r="4993" spans="1:16">
      <c r="A4993" s="3">
        <v>43935.766539351855</v>
      </c>
      <c r="B4993" s="4" t="str">
        <f>HYPERLINK("https://twitter.com/petrogustavo","@petrogustavo")</f>
        <v>@petrogustavo</v>
      </c>
      <c r="C4993" s="5" t="s">
        <v>16</v>
      </c>
      <c r="D4993" s="5" t="s">
        <v>4885</v>
      </c>
      <c r="E4993" s="6" t="str">
        <f>HYPERLINK("https://twitter.com/petrogustavo/status/1250044590083706880","1250044590083706880")</f>
        <v>1250044590083706880</v>
      </c>
      <c r="F4993" s="7" t="s">
        <v>17</v>
      </c>
      <c r="G4993" s="7">
        <v>3768734</v>
      </c>
      <c r="H4993" s="7">
        <v>2389</v>
      </c>
      <c r="I4993" s="7">
        <v>171</v>
      </c>
      <c r="J4993" s="7">
        <v>531</v>
      </c>
      <c r="K4993" s="7" t="s">
        <v>18</v>
      </c>
      <c r="L4993" s="8">
        <v>39987.315405092595</v>
      </c>
      <c r="M4993" s="9" t="s">
        <v>19</v>
      </c>
      <c r="N4993" s="9" t="s">
        <v>20</v>
      </c>
      <c r="O4993" s="6" t="str">
        <f>HYPERLINK("https://pbs.twimg.com/profile_images/962471262747529216/Uo8lOkRJ_normal.jpg","View")</f>
        <v>View</v>
      </c>
      <c r="P4993" s="7"/>
    </row>
    <row r="4994" spans="1:16">
      <c r="A4994" s="3">
        <v>43935.789571759262</v>
      </c>
      <c r="B4994" s="4" t="str">
        <f>HYPERLINK("https://twitter.com/petrogustavo","@petrogustavo")</f>
        <v>@petrogustavo</v>
      </c>
      <c r="C4994" s="5" t="s">
        <v>16</v>
      </c>
      <c r="D4994" s="5" t="s">
        <v>4886</v>
      </c>
      <c r="E4994" s="6" t="str">
        <f>HYPERLINK("https://twitter.com/petrogustavo/status/1250052937222586368","1250052937222586368")</f>
        <v>1250052937222586368</v>
      </c>
      <c r="F4994" s="7" t="s">
        <v>17</v>
      </c>
      <c r="G4994" s="7">
        <v>3768776</v>
      </c>
      <c r="H4994" s="7">
        <v>2389</v>
      </c>
      <c r="I4994" s="7">
        <v>57</v>
      </c>
      <c r="J4994" s="7">
        <v>135</v>
      </c>
      <c r="K4994" s="7" t="s">
        <v>18</v>
      </c>
      <c r="L4994" s="8">
        <v>39987.315405092595</v>
      </c>
      <c r="M4994" s="9" t="s">
        <v>19</v>
      </c>
      <c r="N4994" s="9" t="s">
        <v>20</v>
      </c>
      <c r="O4994" s="6" t="str">
        <f>HYPERLINK("https://pbs.twimg.com/profile_images/962471262747529216/Uo8lOkRJ_normal.jpg","View")</f>
        <v>View</v>
      </c>
      <c r="P4994" s="7"/>
    </row>
    <row r="4995" spans="1:16">
      <c r="A4995" s="3">
        <v>43935.793981481482</v>
      </c>
      <c r="B4995" s="4" t="str">
        <f>HYPERLINK("https://twitter.com/petrogustavo","@petrogustavo")</f>
        <v>@petrogustavo</v>
      </c>
      <c r="C4995" s="5" t="s">
        <v>16</v>
      </c>
      <c r="D4995" s="5" t="s">
        <v>4887</v>
      </c>
      <c r="E4995" s="6" t="str">
        <f>HYPERLINK("https://twitter.com/petrogustavo/status/1250054536284209153","1250054536284209153")</f>
        <v>1250054536284209153</v>
      </c>
      <c r="F4995" s="7" t="s">
        <v>17</v>
      </c>
      <c r="G4995" s="7">
        <v>3768845</v>
      </c>
      <c r="H4995" s="7">
        <v>2389</v>
      </c>
      <c r="I4995" s="7">
        <v>137</v>
      </c>
      <c r="J4995" s="7">
        <v>379</v>
      </c>
      <c r="K4995" s="7" t="s">
        <v>18</v>
      </c>
      <c r="L4995" s="8">
        <v>39987.315405092595</v>
      </c>
      <c r="M4995" s="9" t="s">
        <v>19</v>
      </c>
      <c r="N4995" s="9" t="s">
        <v>20</v>
      </c>
      <c r="O4995" s="6" t="str">
        <f>HYPERLINK("https://pbs.twimg.com/profile_images/962471262747529216/Uo8lOkRJ_normal.jpg","View")</f>
        <v>View</v>
      </c>
      <c r="P4995" s="7"/>
    </row>
    <row r="4996" spans="1:16">
      <c r="A4996" s="3">
        <v>43935.805648148147</v>
      </c>
      <c r="B4996" s="4" t="str">
        <f>HYPERLINK("https://twitter.com/petrogustavo","@petrogustavo")</f>
        <v>@petrogustavo</v>
      </c>
      <c r="C4996" s="5" t="s">
        <v>16</v>
      </c>
      <c r="D4996" s="5" t="s">
        <v>4888</v>
      </c>
      <c r="E4996" s="6" t="str">
        <f>HYPERLINK("https://twitter.com/petrogustavo/status/1250058763496718338","1250058763496718338")</f>
        <v>1250058763496718338</v>
      </c>
      <c r="F4996" s="7" t="s">
        <v>17</v>
      </c>
      <c r="G4996" s="7">
        <v>3768845</v>
      </c>
      <c r="H4996" s="7">
        <v>2389</v>
      </c>
      <c r="I4996" s="7">
        <v>104</v>
      </c>
      <c r="J4996" s="7">
        <v>201</v>
      </c>
      <c r="K4996" s="7" t="s">
        <v>18</v>
      </c>
      <c r="L4996" s="8">
        <v>39987.315405092595</v>
      </c>
      <c r="M4996" s="9" t="s">
        <v>19</v>
      </c>
      <c r="N4996" s="9" t="s">
        <v>20</v>
      </c>
      <c r="O4996" s="6" t="str">
        <f>HYPERLINK("https://pbs.twimg.com/profile_images/962471262747529216/Uo8lOkRJ_normal.jpg","View")</f>
        <v>View</v>
      </c>
      <c r="P4996" s="7"/>
    </row>
    <row r="4997" spans="1:16">
      <c r="A4997" s="3">
        <v>43935.812754629631</v>
      </c>
      <c r="B4997" s="4" t="str">
        <f>HYPERLINK("https://twitter.com/petrogustavo","@petrogustavo")</f>
        <v>@petrogustavo</v>
      </c>
      <c r="C4997" s="5" t="s">
        <v>16</v>
      </c>
      <c r="D4997" s="5" t="s">
        <v>4889</v>
      </c>
      <c r="E4997" s="6" t="str">
        <f>HYPERLINK("https://twitter.com/petrogustavo/status/1250061337255972865","1250061337255972865")</f>
        <v>1250061337255972865</v>
      </c>
      <c r="F4997" s="7" t="s">
        <v>17</v>
      </c>
      <c r="G4997" s="7">
        <v>3768845</v>
      </c>
      <c r="H4997" s="7">
        <v>2389</v>
      </c>
      <c r="I4997" s="7">
        <v>11</v>
      </c>
      <c r="J4997" s="7">
        <v>35</v>
      </c>
      <c r="K4997" s="7" t="s">
        <v>18</v>
      </c>
      <c r="L4997" s="8">
        <v>39987.315405092595</v>
      </c>
      <c r="M4997" s="9" t="s">
        <v>19</v>
      </c>
      <c r="N4997" s="9" t="s">
        <v>20</v>
      </c>
      <c r="O4997" s="6" t="str">
        <f>HYPERLINK("https://pbs.twimg.com/profile_images/962471262747529216/Uo8lOkRJ_normal.jpg","View")</f>
        <v>View</v>
      </c>
      <c r="P4997" s="7"/>
    </row>
    <row r="4998" spans="1:16">
      <c r="A4998" s="3">
        <v>43935.820162037038</v>
      </c>
      <c r="B4998" s="4" t="str">
        <f>HYPERLINK("https://twitter.com/petrogustavo","@petrogustavo")</f>
        <v>@petrogustavo</v>
      </c>
      <c r="C4998" s="5" t="s">
        <v>16</v>
      </c>
      <c r="D4998" s="5" t="s">
        <v>4890</v>
      </c>
      <c r="E4998" s="6" t="str">
        <f>HYPERLINK("https://twitter.com/petrogustavo/status/1250064022587805696","1250064022587805696")</f>
        <v>1250064022587805696</v>
      </c>
      <c r="F4998" s="7" t="s">
        <v>17</v>
      </c>
      <c r="G4998" s="7">
        <v>3768895</v>
      </c>
      <c r="H4998" s="7">
        <v>2389</v>
      </c>
      <c r="I4998" s="7">
        <v>906</v>
      </c>
      <c r="J4998" s="7">
        <v>0</v>
      </c>
      <c r="K4998" s="7" t="s">
        <v>18</v>
      </c>
      <c r="L4998" s="8">
        <v>39987.315405092595</v>
      </c>
      <c r="M4998" s="9" t="s">
        <v>19</v>
      </c>
      <c r="N4998" s="9" t="s">
        <v>20</v>
      </c>
      <c r="O4998" s="6" t="str">
        <f>HYPERLINK("https://pbs.twimg.com/profile_images/962471262747529216/Uo8lOkRJ_normal.jpg","View")</f>
        <v>View</v>
      </c>
      <c r="P4998" s="7"/>
    </row>
    <row r="4999" spans="1:16">
      <c r="A4999" s="3">
        <v>43935.829409722224</v>
      </c>
      <c r="B4999" s="4" t="str">
        <f>HYPERLINK("https://twitter.com/petrogustavo","@petrogustavo")</f>
        <v>@petrogustavo</v>
      </c>
      <c r="C4999" s="5" t="s">
        <v>16</v>
      </c>
      <c r="D4999" s="5" t="s">
        <v>4891</v>
      </c>
      <c r="E4999" s="6" t="str">
        <f>HYPERLINK("https://twitter.com/petrogustavo/status/1250067371517247497","1250067371517247497")</f>
        <v>1250067371517247497</v>
      </c>
      <c r="F4999" s="7" t="s">
        <v>32</v>
      </c>
      <c r="G4999" s="7">
        <v>3768895</v>
      </c>
      <c r="H4999" s="7">
        <v>2389</v>
      </c>
      <c r="I4999" s="7">
        <v>189</v>
      </c>
      <c r="J4999" s="7">
        <v>282</v>
      </c>
      <c r="K4999" s="7" t="s">
        <v>18</v>
      </c>
      <c r="L4999" s="8">
        <v>39987.315405092595</v>
      </c>
      <c r="M4999" s="9" t="s">
        <v>19</v>
      </c>
      <c r="N4999" s="9" t="s">
        <v>20</v>
      </c>
      <c r="O4999" s="6" t="str">
        <f>HYPERLINK("https://pbs.twimg.com/profile_images/962471262747529216/Uo8lOkRJ_normal.jpg","View")</f>
        <v>View</v>
      </c>
      <c r="P4999" s="7"/>
    </row>
    <row r="5000" spans="1:16">
      <c r="A5000" s="3">
        <v>43935.979837962965</v>
      </c>
      <c r="B5000" s="4" t="str">
        <f>HYPERLINK("https://twitter.com/petrogustavo","@petrogustavo")</f>
        <v>@petrogustavo</v>
      </c>
      <c r="C5000" s="5" t="s">
        <v>16</v>
      </c>
      <c r="D5000" s="5" t="s">
        <v>4892</v>
      </c>
      <c r="E5000" s="6" t="str">
        <f>HYPERLINK("https://twitter.com/petrogustavo/status/1250121887671353345","1250121887671353345")</f>
        <v>1250121887671353345</v>
      </c>
      <c r="F5000" s="7" t="s">
        <v>17</v>
      </c>
      <c r="G5000" s="7">
        <v>3769287</v>
      </c>
      <c r="H5000" s="7">
        <v>2389</v>
      </c>
      <c r="I5000" s="7">
        <v>11</v>
      </c>
      <c r="J5000" s="7">
        <v>0</v>
      </c>
      <c r="K5000" s="7" t="s">
        <v>18</v>
      </c>
      <c r="L5000" s="8">
        <v>39987.315405092595</v>
      </c>
      <c r="M5000" s="9" t="s">
        <v>19</v>
      </c>
      <c r="N5000" s="9" t="s">
        <v>20</v>
      </c>
      <c r="O5000" s="6" t="str">
        <f>HYPERLINK("https://pbs.twimg.com/profile_images/962471262747529216/Uo8lOkRJ_normal.jpg","View")</f>
        <v>View</v>
      </c>
      <c r="P5000" s="7"/>
    </row>
    <row r="5001" spans="1:16">
      <c r="A5001" s="3">
        <v>43935.981805555552</v>
      </c>
      <c r="B5001" s="4" t="str">
        <f>HYPERLINK("https://twitter.com/petrogustavo","@petrogustavo")</f>
        <v>@petrogustavo</v>
      </c>
      <c r="C5001" s="5" t="s">
        <v>16</v>
      </c>
      <c r="D5001" s="5" t="s">
        <v>4893</v>
      </c>
      <c r="E5001" s="6" t="str">
        <f>HYPERLINK("https://twitter.com/petrogustavo/status/1250122599272714241","1250122599272714241")</f>
        <v>1250122599272714241</v>
      </c>
      <c r="F5001" s="7" t="s">
        <v>17</v>
      </c>
      <c r="G5001" s="7">
        <v>3769355</v>
      </c>
      <c r="H5001" s="7">
        <v>2389</v>
      </c>
      <c r="I5001" s="7">
        <v>550</v>
      </c>
      <c r="J5001" s="7">
        <v>961</v>
      </c>
      <c r="K5001" s="7" t="s">
        <v>18</v>
      </c>
      <c r="L5001" s="8">
        <v>39987.315405092595</v>
      </c>
      <c r="M5001" s="9" t="s">
        <v>19</v>
      </c>
      <c r="N5001" s="9" t="s">
        <v>20</v>
      </c>
      <c r="O5001" s="6" t="str">
        <f>HYPERLINK("https://pbs.twimg.com/profile_images/962471262747529216/Uo8lOkRJ_normal.jpg","View")</f>
        <v>View</v>
      </c>
      <c r="P5001" s="7"/>
    </row>
    <row r="5002" spans="1:16">
      <c r="A5002" s="3">
        <v>43935.988437499997</v>
      </c>
      <c r="B5002" s="4" t="str">
        <f>HYPERLINK("https://twitter.com/petrogustavo","@petrogustavo")</f>
        <v>@petrogustavo</v>
      </c>
      <c r="C5002" s="5" t="s">
        <v>16</v>
      </c>
      <c r="D5002" s="5" t="s">
        <v>4894</v>
      </c>
      <c r="E5002" s="6" t="str">
        <f>HYPERLINK("https://twitter.com/petrogustavo/status/1250125003502346241","1250125003502346241")</f>
        <v>1250125003502346241</v>
      </c>
      <c r="F5002" s="7" t="s">
        <v>17</v>
      </c>
      <c r="G5002" s="7">
        <v>3769355</v>
      </c>
      <c r="H5002" s="7">
        <v>2389</v>
      </c>
      <c r="I5002" s="7">
        <v>176</v>
      </c>
      <c r="J5002" s="7">
        <v>0</v>
      </c>
      <c r="K5002" s="7" t="s">
        <v>18</v>
      </c>
      <c r="L5002" s="8">
        <v>39987.315405092595</v>
      </c>
      <c r="M5002" s="9" t="s">
        <v>19</v>
      </c>
      <c r="N5002" s="9" t="s">
        <v>20</v>
      </c>
      <c r="O5002" s="6" t="str">
        <f>HYPERLINK("https://pbs.twimg.com/profile_images/962471262747529216/Uo8lOkRJ_normal.jpg","View")</f>
        <v>View</v>
      </c>
      <c r="P5002" s="7"/>
    </row>
    <row r="5003" spans="1:16">
      <c r="A5003" s="3">
        <v>43935.995636574073</v>
      </c>
      <c r="B5003" s="4" t="str">
        <f>HYPERLINK("https://twitter.com/petrogustavo","@petrogustavo")</f>
        <v>@petrogustavo</v>
      </c>
      <c r="C5003" s="5" t="s">
        <v>16</v>
      </c>
      <c r="D5003" s="5" t="s">
        <v>4895</v>
      </c>
      <c r="E5003" s="6" t="str">
        <f>HYPERLINK("https://twitter.com/petrogustavo/status/1250127611684106251","1250127611684106251")</f>
        <v>1250127611684106251</v>
      </c>
      <c r="F5003" s="7" t="s">
        <v>17</v>
      </c>
      <c r="G5003" s="7">
        <v>3769355</v>
      </c>
      <c r="H5003" s="7">
        <v>2389</v>
      </c>
      <c r="I5003" s="7">
        <v>113</v>
      </c>
      <c r="J5003" s="7">
        <v>255</v>
      </c>
      <c r="K5003" s="7" t="s">
        <v>18</v>
      </c>
      <c r="L5003" s="8">
        <v>39987.315405092595</v>
      </c>
      <c r="M5003" s="9" t="s">
        <v>19</v>
      </c>
      <c r="N5003" s="9" t="s">
        <v>20</v>
      </c>
      <c r="O5003" s="6" t="str">
        <f>HYPERLINK("https://pbs.twimg.com/profile_images/962471262747529216/Uo8lOkRJ_normal.jpg","View")</f>
        <v>View</v>
      </c>
      <c r="P5003" s="7"/>
    </row>
    <row r="5004" spans="1:16">
      <c r="A5004" s="3">
        <v>43935.99627314815</v>
      </c>
      <c r="B5004" s="4" t="str">
        <f>HYPERLINK("https://twitter.com/petrogustavo","@petrogustavo")</f>
        <v>@petrogustavo</v>
      </c>
      <c r="C5004" s="5" t="s">
        <v>16</v>
      </c>
      <c r="D5004" s="5" t="s">
        <v>4896</v>
      </c>
      <c r="E5004" s="6" t="str">
        <f>HYPERLINK("https://twitter.com/petrogustavo/status/1250127843037675529","1250127843037675529")</f>
        <v>1250127843037675529</v>
      </c>
      <c r="F5004" s="7" t="s">
        <v>17</v>
      </c>
      <c r="G5004" s="7">
        <v>3769355</v>
      </c>
      <c r="H5004" s="7">
        <v>2389</v>
      </c>
      <c r="I5004" s="7">
        <v>260</v>
      </c>
      <c r="J5004" s="7">
        <v>0</v>
      </c>
      <c r="K5004" s="7" t="s">
        <v>18</v>
      </c>
      <c r="L5004" s="8">
        <v>39987.315405092595</v>
      </c>
      <c r="M5004" s="9" t="s">
        <v>19</v>
      </c>
      <c r="N5004" s="9" t="s">
        <v>20</v>
      </c>
      <c r="O5004" s="6" t="str">
        <f>HYPERLINK("https://pbs.twimg.com/profile_images/962471262747529216/Uo8lOkRJ_normal.jpg","View")</f>
        <v>View</v>
      </c>
      <c r="P5004" s="7"/>
    </row>
    <row r="5005" spans="1:16">
      <c r="A5005" s="3">
        <v>43935.998611111107</v>
      </c>
      <c r="B5005" s="4" t="str">
        <f>HYPERLINK("https://twitter.com/petrogustavo","@petrogustavo")</f>
        <v>@petrogustavo</v>
      </c>
      <c r="C5005" s="5" t="s">
        <v>16</v>
      </c>
      <c r="D5005" s="5" t="s">
        <v>4897</v>
      </c>
      <c r="E5005" s="6" t="str">
        <f>HYPERLINK("https://twitter.com/petrogustavo/status/1250128689741864968","1250128689741864968")</f>
        <v>1250128689741864968</v>
      </c>
      <c r="F5005" s="7" t="s">
        <v>17</v>
      </c>
      <c r="G5005" s="7">
        <v>3769355</v>
      </c>
      <c r="H5005" s="7">
        <v>2389</v>
      </c>
      <c r="I5005" s="7">
        <v>115</v>
      </c>
      <c r="J5005" s="7">
        <v>295</v>
      </c>
      <c r="K5005" s="7" t="s">
        <v>18</v>
      </c>
      <c r="L5005" s="8">
        <v>39987.315405092595</v>
      </c>
      <c r="M5005" s="9" t="s">
        <v>19</v>
      </c>
      <c r="N5005" s="9" t="s">
        <v>20</v>
      </c>
      <c r="O5005" s="6" t="str">
        <f>HYPERLINK("https://pbs.twimg.com/profile_images/962471262747529216/Uo8lOkRJ_normal.jpg","View")</f>
        <v>View</v>
      </c>
      <c r="P5005" s="7"/>
    </row>
    <row r="5006" spans="1:16">
      <c r="A5006" s="3">
        <v>43936.001979166671</v>
      </c>
      <c r="B5006" s="4" t="str">
        <f>HYPERLINK("https://twitter.com/petrogustavo","@petrogustavo")</f>
        <v>@petrogustavo</v>
      </c>
      <c r="C5006" s="5" t="s">
        <v>16</v>
      </c>
      <c r="D5006" s="5" t="s">
        <v>4898</v>
      </c>
      <c r="E5006" s="6" t="str">
        <f>HYPERLINK("https://twitter.com/petrogustavo/status/1250129909642661890","1250129909642661890")</f>
        <v>1250129909642661890</v>
      </c>
      <c r="F5006" s="7" t="s">
        <v>17</v>
      </c>
      <c r="G5006" s="7">
        <v>3769414</v>
      </c>
      <c r="H5006" s="7">
        <v>2389</v>
      </c>
      <c r="I5006" s="7">
        <v>621</v>
      </c>
      <c r="J5006" s="7">
        <v>0</v>
      </c>
      <c r="K5006" s="7" t="s">
        <v>18</v>
      </c>
      <c r="L5006" s="8">
        <v>39987.315405092595</v>
      </c>
      <c r="M5006" s="9" t="s">
        <v>19</v>
      </c>
      <c r="N5006" s="9" t="s">
        <v>20</v>
      </c>
      <c r="O5006" s="6" t="str">
        <f>HYPERLINK("https://pbs.twimg.com/profile_images/962471262747529216/Uo8lOkRJ_normal.jpg","View")</f>
        <v>View</v>
      </c>
      <c r="P5006" s="7"/>
    </row>
    <row r="5007" spans="1:16">
      <c r="A5007" s="3">
        <v>43936.003194444449</v>
      </c>
      <c r="B5007" s="4" t="str">
        <f>HYPERLINK("https://twitter.com/petrogustavo","@petrogustavo")</f>
        <v>@petrogustavo</v>
      </c>
      <c r="C5007" s="5" t="s">
        <v>16</v>
      </c>
      <c r="D5007" s="5" t="s">
        <v>4899</v>
      </c>
      <c r="E5007" s="6" t="str">
        <f>HYPERLINK("https://twitter.com/petrogustavo/status/1250130349516042242","1250130349516042242")</f>
        <v>1250130349516042242</v>
      </c>
      <c r="F5007" s="7" t="s">
        <v>17</v>
      </c>
      <c r="G5007" s="7">
        <v>3769414</v>
      </c>
      <c r="H5007" s="7">
        <v>2389</v>
      </c>
      <c r="I5007" s="7">
        <v>80</v>
      </c>
      <c r="J5007" s="7">
        <v>0</v>
      </c>
      <c r="K5007" s="7" t="s">
        <v>18</v>
      </c>
      <c r="L5007" s="8">
        <v>39987.315405092595</v>
      </c>
      <c r="M5007" s="9" t="s">
        <v>19</v>
      </c>
      <c r="N5007" s="9" t="s">
        <v>20</v>
      </c>
      <c r="O5007" s="6" t="str">
        <f>HYPERLINK("https://pbs.twimg.com/profile_images/962471262747529216/Uo8lOkRJ_normal.jpg","View")</f>
        <v>View</v>
      </c>
      <c r="P5007" s="7"/>
    </row>
    <row r="5008" spans="1:16">
      <c r="A5008" s="3">
        <v>43936.007650462961</v>
      </c>
      <c r="B5008" s="4" t="str">
        <f>HYPERLINK("https://twitter.com/petrogustavo","@petrogustavo")</f>
        <v>@petrogustavo</v>
      </c>
      <c r="C5008" s="5" t="s">
        <v>16</v>
      </c>
      <c r="D5008" s="5" t="s">
        <v>4900</v>
      </c>
      <c r="E5008" s="6" t="str">
        <f>HYPERLINK("https://twitter.com/petrogustavo/status/1250131966432882690","1250131966432882690")</f>
        <v>1250131966432882690</v>
      </c>
      <c r="F5008" s="7" t="s">
        <v>17</v>
      </c>
      <c r="G5008" s="7">
        <v>3769414</v>
      </c>
      <c r="H5008" s="7">
        <v>2389</v>
      </c>
      <c r="I5008" s="7">
        <v>69</v>
      </c>
      <c r="J5008" s="7">
        <v>0</v>
      </c>
      <c r="K5008" s="7" t="s">
        <v>18</v>
      </c>
      <c r="L5008" s="8">
        <v>39987.315405092595</v>
      </c>
      <c r="M5008" s="9" t="s">
        <v>19</v>
      </c>
      <c r="N5008" s="9" t="s">
        <v>20</v>
      </c>
      <c r="O5008" s="6" t="str">
        <f>HYPERLINK("https://pbs.twimg.com/profile_images/962471262747529216/Uo8lOkRJ_normal.jpg","View")</f>
        <v>View</v>
      </c>
      <c r="P5008" s="7"/>
    </row>
    <row r="5009" spans="1:16">
      <c r="A5009" s="3">
        <v>43936.007986111115</v>
      </c>
      <c r="B5009" s="4" t="str">
        <f>HYPERLINK("https://twitter.com/petrogustavo","@petrogustavo")</f>
        <v>@petrogustavo</v>
      </c>
      <c r="C5009" s="5" t="s">
        <v>16</v>
      </c>
      <c r="D5009" s="5" t="s">
        <v>4901</v>
      </c>
      <c r="E5009" s="6" t="str">
        <f>HYPERLINK("https://twitter.com/petrogustavo/status/1250132086066987009","1250132086066987009")</f>
        <v>1250132086066987009</v>
      </c>
      <c r="F5009" s="7" t="s">
        <v>17</v>
      </c>
      <c r="G5009" s="7">
        <v>3769414</v>
      </c>
      <c r="H5009" s="7">
        <v>2389</v>
      </c>
      <c r="I5009" s="7">
        <v>225</v>
      </c>
      <c r="J5009" s="7">
        <v>0</v>
      </c>
      <c r="K5009" s="7" t="s">
        <v>18</v>
      </c>
      <c r="L5009" s="8">
        <v>39987.315405092595</v>
      </c>
      <c r="M5009" s="9" t="s">
        <v>19</v>
      </c>
      <c r="N5009" s="9" t="s">
        <v>20</v>
      </c>
      <c r="O5009" s="6" t="str">
        <f>HYPERLINK("https://pbs.twimg.com/profile_images/962471262747529216/Uo8lOkRJ_normal.jpg","View")</f>
        <v>View</v>
      </c>
      <c r="P5009" s="7"/>
    </row>
    <row r="5010" spans="1:16">
      <c r="A5010" s="3">
        <v>43936.04724537037</v>
      </c>
      <c r="B5010" s="4" t="str">
        <f>HYPERLINK("https://twitter.com/petrogustavo","@petrogustavo")</f>
        <v>@petrogustavo</v>
      </c>
      <c r="C5010" s="5" t="s">
        <v>16</v>
      </c>
      <c r="D5010" s="5" t="s">
        <v>4902</v>
      </c>
      <c r="E5010" s="6" t="str">
        <f>HYPERLINK("https://twitter.com/petrogustavo/status/1250146314530234368","1250146314530234368")</f>
        <v>1250146314530234368</v>
      </c>
      <c r="F5010" s="7" t="s">
        <v>17</v>
      </c>
      <c r="G5010" s="7">
        <v>3769532</v>
      </c>
      <c r="H5010" s="7">
        <v>2389</v>
      </c>
      <c r="I5010" s="7">
        <v>84</v>
      </c>
      <c r="J5010" s="7">
        <v>183</v>
      </c>
      <c r="K5010" s="7" t="s">
        <v>18</v>
      </c>
      <c r="L5010" s="8">
        <v>39987.315405092595</v>
      </c>
      <c r="M5010" s="9" t="s">
        <v>19</v>
      </c>
      <c r="N5010" s="9" t="s">
        <v>20</v>
      </c>
      <c r="O5010" s="6" t="str">
        <f>HYPERLINK("https://pbs.twimg.com/profile_images/962471262747529216/Uo8lOkRJ_normal.jpg","View")</f>
        <v>View</v>
      </c>
      <c r="P5010" s="7"/>
    </row>
    <row r="5011" spans="1:16">
      <c r="A5011" s="3">
        <v>43936.048194444447</v>
      </c>
      <c r="B5011" s="4" t="str">
        <f>HYPERLINK("https://twitter.com/petrogustavo","@petrogustavo")</f>
        <v>@petrogustavo</v>
      </c>
      <c r="C5011" s="5" t="s">
        <v>16</v>
      </c>
      <c r="D5011" s="5" t="s">
        <v>4903</v>
      </c>
      <c r="E5011" s="6" t="str">
        <f>HYPERLINK("https://twitter.com/petrogustavo/status/1250146657657905152","1250146657657905152")</f>
        <v>1250146657657905152</v>
      </c>
      <c r="F5011" s="7" t="s">
        <v>17</v>
      </c>
      <c r="G5011" s="7">
        <v>3769532</v>
      </c>
      <c r="H5011" s="7">
        <v>2389</v>
      </c>
      <c r="I5011" s="7">
        <v>910</v>
      </c>
      <c r="J5011" s="7">
        <v>0</v>
      </c>
      <c r="K5011" s="7" t="s">
        <v>18</v>
      </c>
      <c r="L5011" s="8">
        <v>39987.315405092595</v>
      </c>
      <c r="M5011" s="9" t="s">
        <v>19</v>
      </c>
      <c r="N5011" s="9" t="s">
        <v>20</v>
      </c>
      <c r="O5011" s="6" t="str">
        <f>HYPERLINK("https://pbs.twimg.com/profile_images/962471262747529216/Uo8lOkRJ_normal.jpg","View")</f>
        <v>View</v>
      </c>
      <c r="P5011" s="7"/>
    </row>
    <row r="5012" spans="1:16">
      <c r="A5012" s="3">
        <v>43936.051932870367</v>
      </c>
      <c r="B5012" s="4" t="str">
        <f>HYPERLINK("https://twitter.com/petrogustavo","@petrogustavo")</f>
        <v>@petrogustavo</v>
      </c>
      <c r="C5012" s="5" t="s">
        <v>16</v>
      </c>
      <c r="D5012" s="5" t="s">
        <v>4904</v>
      </c>
      <c r="E5012" s="6" t="str">
        <f>HYPERLINK("https://twitter.com/petrogustavo/status/1250148011843432449","1250148011843432449")</f>
        <v>1250148011843432449</v>
      </c>
      <c r="F5012" s="7" t="s">
        <v>17</v>
      </c>
      <c r="G5012" s="7">
        <v>3769532</v>
      </c>
      <c r="H5012" s="7">
        <v>2389</v>
      </c>
      <c r="I5012" s="7">
        <v>12090</v>
      </c>
      <c r="J5012" s="7">
        <v>0</v>
      </c>
      <c r="K5012" s="7" t="s">
        <v>18</v>
      </c>
      <c r="L5012" s="8">
        <v>39987.315405092595</v>
      </c>
      <c r="M5012" s="9" t="s">
        <v>19</v>
      </c>
      <c r="N5012" s="9" t="s">
        <v>20</v>
      </c>
      <c r="O5012" s="6" t="str">
        <f>HYPERLINK("https://pbs.twimg.com/profile_images/962471262747529216/Uo8lOkRJ_normal.jpg","View")</f>
        <v>View</v>
      </c>
      <c r="P5012" s="7"/>
    </row>
    <row r="5013" spans="1:16">
      <c r="A5013" s="3">
        <v>43936.136226851857</v>
      </c>
      <c r="B5013" s="4" t="str">
        <f>HYPERLINK("https://twitter.com/petrogustavo","@petrogustavo")</f>
        <v>@petrogustavo</v>
      </c>
      <c r="C5013" s="5" t="s">
        <v>16</v>
      </c>
      <c r="D5013" s="5" t="s">
        <v>4905</v>
      </c>
      <c r="E5013" s="6" t="str">
        <f>HYPERLINK("https://twitter.com/petrogustavo/status/1250178557852213250","1250178557852213250")</f>
        <v>1250178557852213250</v>
      </c>
      <c r="F5013" s="7" t="s">
        <v>17</v>
      </c>
      <c r="G5013" s="7">
        <v>3769769</v>
      </c>
      <c r="H5013" s="7">
        <v>2389</v>
      </c>
      <c r="I5013" s="7">
        <v>92</v>
      </c>
      <c r="J5013" s="7">
        <v>209</v>
      </c>
      <c r="K5013" s="7" t="s">
        <v>18</v>
      </c>
      <c r="L5013" s="8">
        <v>39987.315405092595</v>
      </c>
      <c r="M5013" s="9" t="s">
        <v>19</v>
      </c>
      <c r="N5013" s="9" t="s">
        <v>20</v>
      </c>
      <c r="O5013" s="6" t="str">
        <f>HYPERLINK("https://pbs.twimg.com/profile_images/962471262747529216/Uo8lOkRJ_normal.jpg","View")</f>
        <v>View</v>
      </c>
      <c r="P5013" s="7"/>
    </row>
    <row r="5014" spans="1:16">
      <c r="A5014" s="3">
        <v>43936.189155092594</v>
      </c>
      <c r="B5014" s="4" t="str">
        <f>HYPERLINK("https://twitter.com/petrogustavo","@petrogustavo")</f>
        <v>@petrogustavo</v>
      </c>
      <c r="C5014" s="5" t="s">
        <v>16</v>
      </c>
      <c r="D5014" s="5" t="s">
        <v>4906</v>
      </c>
      <c r="E5014" s="6" t="str">
        <f>HYPERLINK("https://twitter.com/petrogustavo/status/1250197741264875525","1250197741264875525")</f>
        <v>1250197741264875525</v>
      </c>
      <c r="F5014" s="7" t="s">
        <v>17</v>
      </c>
      <c r="G5014" s="7">
        <v>3769890</v>
      </c>
      <c r="H5014" s="7">
        <v>2389</v>
      </c>
      <c r="I5014" s="7">
        <v>2377</v>
      </c>
      <c r="J5014" s="7">
        <v>0</v>
      </c>
      <c r="K5014" s="7" t="s">
        <v>18</v>
      </c>
      <c r="L5014" s="8">
        <v>39987.315405092595</v>
      </c>
      <c r="M5014" s="9" t="s">
        <v>19</v>
      </c>
      <c r="N5014" s="9" t="s">
        <v>20</v>
      </c>
      <c r="O5014" s="6" t="str">
        <f>HYPERLINK("https://pbs.twimg.com/profile_images/962471262747529216/Uo8lOkRJ_normal.jpg","View")</f>
        <v>View</v>
      </c>
      <c r="P5014" s="7"/>
    </row>
    <row r="5015" spans="1:16">
      <c r="A5015" s="3">
        <v>43936.213645833333</v>
      </c>
      <c r="B5015" s="4" t="str">
        <f>HYPERLINK("https://twitter.com/petrogustavo","@petrogustavo")</f>
        <v>@petrogustavo</v>
      </c>
      <c r="C5015" s="5" t="s">
        <v>16</v>
      </c>
      <c r="D5015" s="5" t="s">
        <v>4907</v>
      </c>
      <c r="E5015" s="6" t="str">
        <f>HYPERLINK("https://twitter.com/petrogustavo/status/1250206617150394368","1250206617150394368")</f>
        <v>1250206617150394368</v>
      </c>
      <c r="F5015" s="7" t="s">
        <v>17</v>
      </c>
      <c r="G5015" s="7">
        <v>3770013</v>
      </c>
      <c r="H5015" s="7">
        <v>2390</v>
      </c>
      <c r="I5015" s="7">
        <v>204</v>
      </c>
      <c r="J5015" s="7">
        <v>363</v>
      </c>
      <c r="K5015" s="7" t="s">
        <v>18</v>
      </c>
      <c r="L5015" s="8">
        <v>39987.315405092595</v>
      </c>
      <c r="M5015" s="9" t="s">
        <v>19</v>
      </c>
      <c r="N5015" s="9" t="s">
        <v>20</v>
      </c>
      <c r="O5015" s="6" t="str">
        <f>HYPERLINK("https://pbs.twimg.com/profile_images/962471262747529216/Uo8lOkRJ_normal.jpg","View")</f>
        <v>View</v>
      </c>
      <c r="P5015" s="7"/>
    </row>
    <row r="5016" spans="1:16">
      <c r="A5016" s="3">
        <v>43936.218993055554</v>
      </c>
      <c r="B5016" s="4" t="str">
        <f>HYPERLINK("https://twitter.com/petrogustavo","@petrogustavo")</f>
        <v>@petrogustavo</v>
      </c>
      <c r="C5016" s="5" t="s">
        <v>16</v>
      </c>
      <c r="D5016" s="5" t="s">
        <v>4908</v>
      </c>
      <c r="E5016" s="6" t="str">
        <f>HYPERLINK("https://twitter.com/petrogustavo/status/1250208553001979905","1250208553001979905")</f>
        <v>1250208553001979905</v>
      </c>
      <c r="F5016" s="7" t="s">
        <v>17</v>
      </c>
      <c r="G5016" s="7">
        <v>3770013</v>
      </c>
      <c r="H5016" s="7">
        <v>2390</v>
      </c>
      <c r="I5016" s="7">
        <v>251</v>
      </c>
      <c r="J5016" s="7">
        <v>524</v>
      </c>
      <c r="K5016" s="7" t="s">
        <v>18</v>
      </c>
      <c r="L5016" s="8">
        <v>39987.315405092595</v>
      </c>
      <c r="M5016" s="9" t="s">
        <v>19</v>
      </c>
      <c r="N5016" s="9" t="s">
        <v>20</v>
      </c>
      <c r="O5016" s="6" t="str">
        <f>HYPERLINK("https://pbs.twimg.com/profile_images/962471262747529216/Uo8lOkRJ_normal.jpg","View")</f>
        <v>View</v>
      </c>
      <c r="P5016" s="7"/>
    </row>
    <row r="5017" spans="1:16">
      <c r="A5017" s="3">
        <v>43936.244328703702</v>
      </c>
      <c r="B5017" s="4" t="str">
        <f>HYPERLINK("https://twitter.com/petrogustavo","@petrogustavo")</f>
        <v>@petrogustavo</v>
      </c>
      <c r="C5017" s="5" t="s">
        <v>16</v>
      </c>
      <c r="D5017" s="5" t="s">
        <v>4909</v>
      </c>
      <c r="E5017" s="6" t="str">
        <f>HYPERLINK("https://twitter.com/petrogustavo/status/1250217735038078976","1250217735038078976")</f>
        <v>1250217735038078976</v>
      </c>
      <c r="F5017" s="7" t="s">
        <v>17</v>
      </c>
      <c r="G5017" s="7">
        <v>3770071</v>
      </c>
      <c r="H5017" s="7">
        <v>2390</v>
      </c>
      <c r="I5017" s="7">
        <v>50</v>
      </c>
      <c r="J5017" s="7">
        <v>137</v>
      </c>
      <c r="K5017" s="7" t="s">
        <v>18</v>
      </c>
      <c r="L5017" s="8">
        <v>39987.315405092595</v>
      </c>
      <c r="M5017" s="9" t="s">
        <v>19</v>
      </c>
      <c r="N5017" s="9" t="s">
        <v>20</v>
      </c>
      <c r="O5017" s="6" t="str">
        <f>HYPERLINK("https://pbs.twimg.com/profile_images/962471262747529216/Uo8lOkRJ_normal.jpg","View")</f>
        <v>View</v>
      </c>
      <c r="P5017" s="7"/>
    </row>
    <row r="5018" spans="1:16">
      <c r="A5018" s="3">
        <v>43936.244525462964</v>
      </c>
      <c r="B5018" s="4" t="str">
        <f>HYPERLINK("https://twitter.com/petrogustavo","@petrogustavo")</f>
        <v>@petrogustavo</v>
      </c>
      <c r="C5018" s="5" t="s">
        <v>16</v>
      </c>
      <c r="D5018" s="5" t="s">
        <v>4910</v>
      </c>
      <c r="E5018" s="6" t="str">
        <f>HYPERLINK("https://twitter.com/petrogustavo/status/1250217806341300226","1250217806341300226")</f>
        <v>1250217806341300226</v>
      </c>
      <c r="F5018" s="7" t="s">
        <v>17</v>
      </c>
      <c r="G5018" s="7">
        <v>3770071</v>
      </c>
      <c r="H5018" s="7">
        <v>2390</v>
      </c>
      <c r="I5018" s="7">
        <v>508</v>
      </c>
      <c r="J5018" s="7">
        <v>0</v>
      </c>
      <c r="K5018" s="7" t="s">
        <v>18</v>
      </c>
      <c r="L5018" s="8">
        <v>39987.315405092595</v>
      </c>
      <c r="M5018" s="9" t="s">
        <v>19</v>
      </c>
      <c r="N5018" s="9" t="s">
        <v>20</v>
      </c>
      <c r="O5018" s="6" t="str">
        <f>HYPERLINK("https://pbs.twimg.com/profile_images/962471262747529216/Uo8lOkRJ_normal.jpg","View")</f>
        <v>View</v>
      </c>
      <c r="P5018" s="7"/>
    </row>
    <row r="5019" spans="1:16">
      <c r="A5019" s="3">
        <v>43936.272557870368</v>
      </c>
      <c r="B5019" s="4" t="str">
        <f>HYPERLINK("https://twitter.com/petrogustavo","@petrogustavo")</f>
        <v>@petrogustavo</v>
      </c>
      <c r="C5019" s="5" t="s">
        <v>16</v>
      </c>
      <c r="D5019" s="5" t="s">
        <v>4911</v>
      </c>
      <c r="E5019" s="6" t="str">
        <f>HYPERLINK("https://twitter.com/petrogustavo/status/1250227962596724736","1250227962596724736")</f>
        <v>1250227962596724736</v>
      </c>
      <c r="F5019" s="7" t="s">
        <v>17</v>
      </c>
      <c r="G5019" s="7">
        <v>3770202</v>
      </c>
      <c r="H5019" s="7">
        <v>2390</v>
      </c>
      <c r="I5019" s="7">
        <v>291</v>
      </c>
      <c r="J5019" s="7">
        <v>720</v>
      </c>
      <c r="K5019" s="7" t="s">
        <v>18</v>
      </c>
      <c r="L5019" s="8">
        <v>39987.315405092595</v>
      </c>
      <c r="M5019" s="9" t="s">
        <v>19</v>
      </c>
      <c r="N5019" s="9" t="s">
        <v>20</v>
      </c>
      <c r="O5019" s="6" t="str">
        <f>HYPERLINK("https://pbs.twimg.com/profile_images/962471262747529216/Uo8lOkRJ_normal.jpg","View")</f>
        <v>View</v>
      </c>
      <c r="P5019" s="7"/>
    </row>
    <row r="5020" spans="1:16">
      <c r="A5020" s="3">
        <v>43936.285601851851</v>
      </c>
      <c r="B5020" s="4" t="str">
        <f>HYPERLINK("https://twitter.com/petrogustavo","@petrogustavo")</f>
        <v>@petrogustavo</v>
      </c>
      <c r="C5020" s="5" t="s">
        <v>16</v>
      </c>
      <c r="D5020" s="5" t="s">
        <v>4912</v>
      </c>
      <c r="E5020" s="6" t="str">
        <f>HYPERLINK("https://twitter.com/petrogustavo/status/1250232692450504704","1250232692450504704")</f>
        <v>1250232692450504704</v>
      </c>
      <c r="F5020" s="7" t="s">
        <v>17</v>
      </c>
      <c r="G5020" s="7">
        <v>3770202</v>
      </c>
      <c r="H5020" s="7">
        <v>2390</v>
      </c>
      <c r="I5020" s="7">
        <v>141</v>
      </c>
      <c r="J5020" s="7">
        <v>243</v>
      </c>
      <c r="K5020" s="7" t="s">
        <v>18</v>
      </c>
      <c r="L5020" s="8">
        <v>39987.315405092595</v>
      </c>
      <c r="M5020" s="9" t="s">
        <v>19</v>
      </c>
      <c r="N5020" s="9" t="s">
        <v>20</v>
      </c>
      <c r="O5020" s="6" t="str">
        <f>HYPERLINK("https://pbs.twimg.com/profile_images/962471262747529216/Uo8lOkRJ_normal.jpg","View")</f>
        <v>View</v>
      </c>
      <c r="P5020" s="7"/>
    </row>
    <row r="5021" spans="1:16">
      <c r="A5021" s="3">
        <v>43936.321724537032</v>
      </c>
      <c r="B5021" s="4" t="str">
        <f>HYPERLINK("https://twitter.com/petrogustavo","@petrogustavo")</f>
        <v>@petrogustavo</v>
      </c>
      <c r="C5021" s="5" t="s">
        <v>16</v>
      </c>
      <c r="D5021" s="5" t="s">
        <v>4913</v>
      </c>
      <c r="E5021" s="6" t="str">
        <f>HYPERLINK("https://twitter.com/petrogustavo/status/1250245783602909190","1250245783602909190")</f>
        <v>1250245783602909190</v>
      </c>
      <c r="F5021" s="7" t="s">
        <v>32</v>
      </c>
      <c r="G5021" s="7">
        <v>3770339</v>
      </c>
      <c r="H5021" s="7">
        <v>2390</v>
      </c>
      <c r="I5021" s="7">
        <v>50</v>
      </c>
      <c r="J5021" s="7">
        <v>0</v>
      </c>
      <c r="K5021" s="7" t="s">
        <v>18</v>
      </c>
      <c r="L5021" s="8">
        <v>39987.315405092595</v>
      </c>
      <c r="M5021" s="9" t="s">
        <v>19</v>
      </c>
      <c r="N5021" s="9" t="s">
        <v>20</v>
      </c>
      <c r="O5021" s="6" t="str">
        <f>HYPERLINK("https://pbs.twimg.com/profile_images/962471262747529216/Uo8lOkRJ_normal.jpg","View")</f>
        <v>View</v>
      </c>
      <c r="P5021" s="7"/>
    </row>
    <row r="5022" spans="1:16">
      <c r="A5022" s="3">
        <v>43936.323263888888</v>
      </c>
      <c r="B5022" s="4" t="str">
        <f>HYPERLINK("https://twitter.com/petrogustavo","@petrogustavo")</f>
        <v>@petrogustavo</v>
      </c>
      <c r="C5022" s="5" t="s">
        <v>16</v>
      </c>
      <c r="D5022" s="5" t="s">
        <v>4914</v>
      </c>
      <c r="E5022" s="6" t="str">
        <f>HYPERLINK("https://twitter.com/petrogustavo/status/1250246341168640007","1250246341168640007")</f>
        <v>1250246341168640007</v>
      </c>
      <c r="F5022" s="7" t="s">
        <v>32</v>
      </c>
      <c r="G5022" s="7">
        <v>3770339</v>
      </c>
      <c r="H5022" s="7">
        <v>2390</v>
      </c>
      <c r="I5022" s="7">
        <v>87</v>
      </c>
      <c r="J5022" s="7">
        <v>258</v>
      </c>
      <c r="K5022" s="7" t="s">
        <v>18</v>
      </c>
      <c r="L5022" s="8">
        <v>39987.315405092595</v>
      </c>
      <c r="M5022" s="9" t="s">
        <v>19</v>
      </c>
      <c r="N5022" s="9" t="s">
        <v>20</v>
      </c>
      <c r="O5022" s="6" t="str">
        <f>HYPERLINK("https://pbs.twimg.com/profile_images/962471262747529216/Uo8lOkRJ_normal.jpg","View")</f>
        <v>View</v>
      </c>
      <c r="P5022" s="7"/>
    </row>
    <row r="5023" spans="1:16">
      <c r="A5023" s="3">
        <v>43936.323923611111</v>
      </c>
      <c r="B5023" s="4" t="str">
        <f>HYPERLINK("https://twitter.com/petrogustavo","@petrogustavo")</f>
        <v>@petrogustavo</v>
      </c>
      <c r="C5023" s="5" t="s">
        <v>16</v>
      </c>
      <c r="D5023" s="5" t="s">
        <v>4915</v>
      </c>
      <c r="E5023" s="6" t="str">
        <f>HYPERLINK("https://twitter.com/petrogustavo/status/1250246577433849869","1250246577433849869")</f>
        <v>1250246577433849869</v>
      </c>
      <c r="F5023" s="7" t="s">
        <v>32</v>
      </c>
      <c r="G5023" s="7">
        <v>3770339</v>
      </c>
      <c r="H5023" s="7">
        <v>2390</v>
      </c>
      <c r="I5023" s="7">
        <v>83</v>
      </c>
      <c r="J5023" s="7">
        <v>0</v>
      </c>
      <c r="K5023" s="7" t="s">
        <v>18</v>
      </c>
      <c r="L5023" s="8">
        <v>39987.315405092595</v>
      </c>
      <c r="M5023" s="9" t="s">
        <v>19</v>
      </c>
      <c r="N5023" s="9" t="s">
        <v>20</v>
      </c>
      <c r="O5023" s="6" t="str">
        <f>HYPERLINK("https://pbs.twimg.com/profile_images/962471262747529216/Uo8lOkRJ_normal.jpg","View")</f>
        <v>View</v>
      </c>
      <c r="P5023" s="7"/>
    </row>
    <row r="5024" spans="1:16">
      <c r="A5024" s="3">
        <v>43936.324166666665</v>
      </c>
      <c r="B5024" s="4" t="str">
        <f>HYPERLINK("https://twitter.com/petrogustavo","@petrogustavo")</f>
        <v>@petrogustavo</v>
      </c>
      <c r="C5024" s="5" t="s">
        <v>16</v>
      </c>
      <c r="D5024" s="5" t="s">
        <v>4916</v>
      </c>
      <c r="E5024" s="6" t="str">
        <f>HYPERLINK("https://twitter.com/petrogustavo/status/1250246665782603777","1250246665782603777")</f>
        <v>1250246665782603777</v>
      </c>
      <c r="F5024" s="7" t="s">
        <v>32</v>
      </c>
      <c r="G5024" s="7">
        <v>3770339</v>
      </c>
      <c r="H5024" s="7">
        <v>2390</v>
      </c>
      <c r="I5024" s="7">
        <v>284</v>
      </c>
      <c r="J5024" s="7">
        <v>0</v>
      </c>
      <c r="K5024" s="7" t="s">
        <v>18</v>
      </c>
      <c r="L5024" s="8">
        <v>39987.315405092595</v>
      </c>
      <c r="M5024" s="9" t="s">
        <v>19</v>
      </c>
      <c r="N5024" s="9" t="s">
        <v>20</v>
      </c>
      <c r="O5024" s="6" t="str">
        <f>HYPERLINK("https://pbs.twimg.com/profile_images/962471262747529216/Uo8lOkRJ_normal.jpg","View")</f>
        <v>View</v>
      </c>
      <c r="P5024" s="7"/>
    </row>
    <row r="5025" spans="1:16">
      <c r="A5025" s="3">
        <v>43936.326458333337</v>
      </c>
      <c r="B5025" s="4" t="str">
        <f>HYPERLINK("https://twitter.com/petrogustavo","@petrogustavo")</f>
        <v>@petrogustavo</v>
      </c>
      <c r="C5025" s="5" t="s">
        <v>16</v>
      </c>
      <c r="D5025" s="5" t="s">
        <v>4917</v>
      </c>
      <c r="E5025" s="6" t="str">
        <f>HYPERLINK("https://twitter.com/petrogustavo/status/1250247498444214273","1250247498444214273")</f>
        <v>1250247498444214273</v>
      </c>
      <c r="F5025" s="7" t="s">
        <v>32</v>
      </c>
      <c r="G5025" s="7">
        <v>3770339</v>
      </c>
      <c r="H5025" s="7">
        <v>2390</v>
      </c>
      <c r="I5025" s="7">
        <v>249</v>
      </c>
      <c r="J5025" s="7">
        <v>0</v>
      </c>
      <c r="K5025" s="7" t="s">
        <v>18</v>
      </c>
      <c r="L5025" s="8">
        <v>39987.315405092595</v>
      </c>
      <c r="M5025" s="9" t="s">
        <v>19</v>
      </c>
      <c r="N5025" s="9" t="s">
        <v>20</v>
      </c>
      <c r="O5025" s="6" t="str">
        <f>HYPERLINK("https://pbs.twimg.com/profile_images/962471262747529216/Uo8lOkRJ_normal.jpg","View")</f>
        <v>View</v>
      </c>
      <c r="P5025" s="7"/>
    </row>
    <row r="5026" spans="1:16">
      <c r="A5026" s="3">
        <v>43936.331145833334</v>
      </c>
      <c r="B5026" s="4" t="str">
        <f>HYPERLINK("https://twitter.com/petrogustavo","@petrogustavo")</f>
        <v>@petrogustavo</v>
      </c>
      <c r="C5026" s="5" t="s">
        <v>16</v>
      </c>
      <c r="D5026" s="5" t="s">
        <v>4910</v>
      </c>
      <c r="E5026" s="6" t="str">
        <f>HYPERLINK("https://twitter.com/petrogustavo/status/1250249197099593730","1250249197099593730")</f>
        <v>1250249197099593730</v>
      </c>
      <c r="F5026" s="7" t="s">
        <v>32</v>
      </c>
      <c r="G5026" s="7">
        <v>3770339</v>
      </c>
      <c r="H5026" s="7">
        <v>2390</v>
      </c>
      <c r="I5026" s="7">
        <v>1083</v>
      </c>
      <c r="J5026" s="7">
        <v>0</v>
      </c>
      <c r="K5026" s="7" t="s">
        <v>18</v>
      </c>
      <c r="L5026" s="8">
        <v>39987.315405092595</v>
      </c>
      <c r="M5026" s="9" t="s">
        <v>19</v>
      </c>
      <c r="N5026" s="9" t="s">
        <v>20</v>
      </c>
      <c r="O5026" s="6" t="str">
        <f>HYPERLINK("https://pbs.twimg.com/profile_images/962471262747529216/Uo8lOkRJ_normal.jpg","View")</f>
        <v>View</v>
      </c>
      <c r="P5026" s="7"/>
    </row>
    <row r="5027" spans="1:16">
      <c r="A5027" s="3">
        <v>43936.33148148148</v>
      </c>
      <c r="B5027" s="4" t="str">
        <f>HYPERLINK("https://twitter.com/petrogustavo","@petrogustavo")</f>
        <v>@petrogustavo</v>
      </c>
      <c r="C5027" s="5" t="s">
        <v>16</v>
      </c>
      <c r="D5027" s="5" t="s">
        <v>4918</v>
      </c>
      <c r="E5027" s="6" t="str">
        <f>HYPERLINK("https://twitter.com/petrogustavo/status/1250249319074140161","1250249319074140161")</f>
        <v>1250249319074140161</v>
      </c>
      <c r="F5027" s="7" t="s">
        <v>32</v>
      </c>
      <c r="G5027" s="7">
        <v>3770339</v>
      </c>
      <c r="H5027" s="7">
        <v>2390</v>
      </c>
      <c r="I5027" s="7">
        <v>511</v>
      </c>
      <c r="J5027" s="7">
        <v>0</v>
      </c>
      <c r="K5027" s="7" t="s">
        <v>18</v>
      </c>
      <c r="L5027" s="8">
        <v>39987.315405092595</v>
      </c>
      <c r="M5027" s="9" t="s">
        <v>19</v>
      </c>
      <c r="N5027" s="9" t="s">
        <v>20</v>
      </c>
      <c r="O5027" s="6" t="str">
        <f>HYPERLINK("https://pbs.twimg.com/profile_images/962471262747529216/Uo8lOkRJ_normal.jpg","View")</f>
        <v>View</v>
      </c>
      <c r="P5027" s="7"/>
    </row>
    <row r="5028" spans="1:16">
      <c r="A5028" s="3">
        <v>43936.731840277775</v>
      </c>
      <c r="B5028" s="4" t="str">
        <f>HYPERLINK("https://twitter.com/petrogustavo","@petrogustavo")</f>
        <v>@petrogustavo</v>
      </c>
      <c r="C5028" s="5" t="s">
        <v>16</v>
      </c>
      <c r="D5028" s="5" t="s">
        <v>4919</v>
      </c>
      <c r="E5028" s="6" t="str">
        <f>HYPERLINK("https://twitter.com/petrogustavo/status/1250394403811799041","1250394403811799041")</f>
        <v>1250394403811799041</v>
      </c>
      <c r="F5028" s="7" t="s">
        <v>17</v>
      </c>
      <c r="G5028" s="7">
        <v>3771039</v>
      </c>
      <c r="H5028" s="7">
        <v>2390</v>
      </c>
      <c r="I5028" s="7">
        <v>72</v>
      </c>
      <c r="J5028" s="7">
        <v>0</v>
      </c>
      <c r="K5028" s="7" t="s">
        <v>18</v>
      </c>
      <c r="L5028" s="8">
        <v>39987.315405092595</v>
      </c>
      <c r="M5028" s="9" t="s">
        <v>19</v>
      </c>
      <c r="N5028" s="9" t="s">
        <v>20</v>
      </c>
      <c r="O5028" s="6" t="str">
        <f>HYPERLINK("https://pbs.twimg.com/profile_images/962471262747529216/Uo8lOkRJ_normal.jpg","View")</f>
        <v>View</v>
      </c>
      <c r="P5028" s="7"/>
    </row>
    <row r="5029" spans="1:16">
      <c r="A5029" s="3">
        <v>43936.735277777778</v>
      </c>
      <c r="B5029" s="4" t="str">
        <f>HYPERLINK("https://twitter.com/petrogustavo","@petrogustavo")</f>
        <v>@petrogustavo</v>
      </c>
      <c r="C5029" s="5" t="s">
        <v>16</v>
      </c>
      <c r="D5029" s="5" t="s">
        <v>4920</v>
      </c>
      <c r="E5029" s="6" t="str">
        <f>HYPERLINK("https://twitter.com/petrogustavo/status/1250395648815497217","1250395648815497217")</f>
        <v>1250395648815497217</v>
      </c>
      <c r="F5029" s="7" t="s">
        <v>17</v>
      </c>
      <c r="G5029" s="7">
        <v>3771039</v>
      </c>
      <c r="H5029" s="7">
        <v>2390</v>
      </c>
      <c r="I5029" s="7">
        <v>1141</v>
      </c>
      <c r="J5029" s="7">
        <v>0</v>
      </c>
      <c r="K5029" s="7" t="s">
        <v>18</v>
      </c>
      <c r="L5029" s="8">
        <v>39987.315405092595</v>
      </c>
      <c r="M5029" s="9" t="s">
        <v>19</v>
      </c>
      <c r="N5029" s="9" t="s">
        <v>20</v>
      </c>
      <c r="O5029" s="6" t="str">
        <f>HYPERLINK("https://pbs.twimg.com/profile_images/962471262747529216/Uo8lOkRJ_normal.jpg","View")</f>
        <v>View</v>
      </c>
      <c r="P5029" s="7"/>
    </row>
    <row r="5030" spans="1:16">
      <c r="A5030" s="3">
        <v>43936.736851851849</v>
      </c>
      <c r="B5030" s="4" t="str">
        <f>HYPERLINK("https://twitter.com/petrogustavo","@petrogustavo")</f>
        <v>@petrogustavo</v>
      </c>
      <c r="C5030" s="5" t="s">
        <v>16</v>
      </c>
      <c r="D5030" s="5" t="s">
        <v>4921</v>
      </c>
      <c r="E5030" s="6" t="str">
        <f>HYPERLINK("https://twitter.com/petrogustavo/status/1250396218276143104","1250396218276143104")</f>
        <v>1250396218276143104</v>
      </c>
      <c r="F5030" s="7" t="s">
        <v>17</v>
      </c>
      <c r="G5030" s="7">
        <v>3771039</v>
      </c>
      <c r="H5030" s="7">
        <v>2390</v>
      </c>
      <c r="I5030" s="7">
        <v>205</v>
      </c>
      <c r="J5030" s="7">
        <v>0</v>
      </c>
      <c r="K5030" s="7" t="s">
        <v>18</v>
      </c>
      <c r="L5030" s="8">
        <v>39987.315405092595</v>
      </c>
      <c r="M5030" s="9" t="s">
        <v>19</v>
      </c>
      <c r="N5030" s="9" t="s">
        <v>20</v>
      </c>
      <c r="O5030" s="6" t="str">
        <f>HYPERLINK("https://pbs.twimg.com/profile_images/962471262747529216/Uo8lOkRJ_normal.jpg","View")</f>
        <v>View</v>
      </c>
      <c r="P5030" s="7"/>
    </row>
    <row r="5031" spans="1:16">
      <c r="A5031" s="3">
        <v>43936.771458333329</v>
      </c>
      <c r="B5031" s="4" t="str">
        <f>HYPERLINK("https://twitter.com/petrogustavo","@petrogustavo")</f>
        <v>@petrogustavo</v>
      </c>
      <c r="C5031" s="5" t="s">
        <v>16</v>
      </c>
      <c r="D5031" s="5" t="s">
        <v>4922</v>
      </c>
      <c r="E5031" s="6" t="str">
        <f>HYPERLINK("https://twitter.com/petrogustavo/status/1250408759584841736","1250408759584841736")</f>
        <v>1250408759584841736</v>
      </c>
      <c r="F5031" s="7" t="s">
        <v>17</v>
      </c>
      <c r="G5031" s="7">
        <v>3771071</v>
      </c>
      <c r="H5031" s="7">
        <v>2390</v>
      </c>
      <c r="I5031" s="7">
        <v>9</v>
      </c>
      <c r="J5031" s="7">
        <v>18</v>
      </c>
      <c r="K5031" s="7" t="s">
        <v>18</v>
      </c>
      <c r="L5031" s="8">
        <v>39987.315405092595</v>
      </c>
      <c r="M5031" s="9" t="s">
        <v>19</v>
      </c>
      <c r="N5031" s="9" t="s">
        <v>20</v>
      </c>
      <c r="O5031" s="6" t="str">
        <f>HYPERLINK("https://pbs.twimg.com/profile_images/962471262747529216/Uo8lOkRJ_normal.jpg","View")</f>
        <v>View</v>
      </c>
      <c r="P5031" s="7"/>
    </row>
    <row r="5032" spans="1:16">
      <c r="A5032" s="3">
        <v>43936.77238425926</v>
      </c>
      <c r="B5032" s="4" t="str">
        <f>HYPERLINK("https://twitter.com/petrogustavo","@petrogustavo")</f>
        <v>@petrogustavo</v>
      </c>
      <c r="C5032" s="5" t="s">
        <v>16</v>
      </c>
      <c r="D5032" s="5" t="s">
        <v>4918</v>
      </c>
      <c r="E5032" s="6" t="str">
        <f>HYPERLINK("https://twitter.com/petrogustavo/status/1250409096697782273","1250409096697782273")</f>
        <v>1250409096697782273</v>
      </c>
      <c r="F5032" s="7" t="s">
        <v>17</v>
      </c>
      <c r="G5032" s="7">
        <v>3771071</v>
      </c>
      <c r="H5032" s="7">
        <v>2390</v>
      </c>
      <c r="I5032" s="7">
        <v>815</v>
      </c>
      <c r="J5032" s="7">
        <v>0</v>
      </c>
      <c r="K5032" s="7" t="s">
        <v>18</v>
      </c>
      <c r="L5032" s="8">
        <v>39987.315405092595</v>
      </c>
      <c r="M5032" s="9" t="s">
        <v>19</v>
      </c>
      <c r="N5032" s="9" t="s">
        <v>20</v>
      </c>
      <c r="O5032" s="6" t="str">
        <f>HYPERLINK("https://pbs.twimg.com/profile_images/962471262747529216/Uo8lOkRJ_normal.jpg","View")</f>
        <v>View</v>
      </c>
      <c r="P5032" s="7"/>
    </row>
    <row r="5033" spans="1:16">
      <c r="A5033" s="3">
        <v>43936.786782407406</v>
      </c>
      <c r="B5033" s="4" t="str">
        <f>HYPERLINK("https://twitter.com/petrogustavo","@petrogustavo")</f>
        <v>@petrogustavo</v>
      </c>
      <c r="C5033" s="5" t="s">
        <v>16</v>
      </c>
      <c r="D5033" s="5" t="s">
        <v>4923</v>
      </c>
      <c r="E5033" s="6" t="str">
        <f>HYPERLINK("https://twitter.com/petrogustavo/status/1250414312847364099","1250414312847364099")</f>
        <v>1250414312847364099</v>
      </c>
      <c r="F5033" s="7" t="s">
        <v>17</v>
      </c>
      <c r="G5033" s="7">
        <v>3771135</v>
      </c>
      <c r="H5033" s="7">
        <v>2390</v>
      </c>
      <c r="I5033" s="7">
        <v>59</v>
      </c>
      <c r="J5033" s="7">
        <v>0</v>
      </c>
      <c r="K5033" s="7" t="s">
        <v>18</v>
      </c>
      <c r="L5033" s="8">
        <v>39987.315405092595</v>
      </c>
      <c r="M5033" s="9" t="s">
        <v>19</v>
      </c>
      <c r="N5033" s="9" t="s">
        <v>20</v>
      </c>
      <c r="O5033" s="6" t="str">
        <f>HYPERLINK("https://pbs.twimg.com/profile_images/962471262747529216/Uo8lOkRJ_normal.jpg","View")</f>
        <v>View</v>
      </c>
      <c r="P5033" s="7"/>
    </row>
    <row r="5034" spans="1:16">
      <c r="A5034" s="3">
        <v>43936.789236111115</v>
      </c>
      <c r="B5034" s="4" t="str">
        <f>HYPERLINK("https://twitter.com/petrogustavo","@petrogustavo")</f>
        <v>@petrogustavo</v>
      </c>
      <c r="C5034" s="5" t="s">
        <v>16</v>
      </c>
      <c r="D5034" s="5" t="s">
        <v>4924</v>
      </c>
      <c r="E5034" s="6" t="str">
        <f>HYPERLINK("https://twitter.com/petrogustavo/status/1250415201515642885","1250415201515642885")</f>
        <v>1250415201515642885</v>
      </c>
      <c r="F5034" s="7" t="s">
        <v>17</v>
      </c>
      <c r="G5034" s="7">
        <v>3771135</v>
      </c>
      <c r="H5034" s="7">
        <v>2390</v>
      </c>
      <c r="I5034" s="7">
        <v>56</v>
      </c>
      <c r="J5034" s="7">
        <v>0</v>
      </c>
      <c r="K5034" s="7" t="s">
        <v>18</v>
      </c>
      <c r="L5034" s="8">
        <v>39987.315405092595</v>
      </c>
      <c r="M5034" s="9" t="s">
        <v>19</v>
      </c>
      <c r="N5034" s="9" t="s">
        <v>20</v>
      </c>
      <c r="O5034" s="6" t="str">
        <f>HYPERLINK("https://pbs.twimg.com/profile_images/962471262747529216/Uo8lOkRJ_normal.jpg","View")</f>
        <v>View</v>
      </c>
      <c r="P5034" s="7"/>
    </row>
    <row r="5035" spans="1:16">
      <c r="A5035" s="3">
        <v>43936.790520833332</v>
      </c>
      <c r="B5035" s="4" t="str">
        <f>HYPERLINK("https://twitter.com/petrogustavo","@petrogustavo")</f>
        <v>@petrogustavo</v>
      </c>
      <c r="C5035" s="5" t="s">
        <v>16</v>
      </c>
      <c r="D5035" s="5" t="s">
        <v>4925</v>
      </c>
      <c r="E5035" s="6" t="str">
        <f>HYPERLINK("https://twitter.com/petrogustavo/status/1250415668626722816","1250415668626722816")</f>
        <v>1250415668626722816</v>
      </c>
      <c r="F5035" s="7" t="s">
        <v>17</v>
      </c>
      <c r="G5035" s="7">
        <v>3771135</v>
      </c>
      <c r="H5035" s="7">
        <v>2390</v>
      </c>
      <c r="I5035" s="7">
        <v>213</v>
      </c>
      <c r="J5035" s="7">
        <v>0</v>
      </c>
      <c r="K5035" s="7" t="s">
        <v>18</v>
      </c>
      <c r="L5035" s="8">
        <v>39987.315405092595</v>
      </c>
      <c r="M5035" s="9" t="s">
        <v>19</v>
      </c>
      <c r="N5035" s="9" t="s">
        <v>20</v>
      </c>
      <c r="O5035" s="6" t="str">
        <f>HYPERLINK("https://pbs.twimg.com/profile_images/962471262747529216/Uo8lOkRJ_normal.jpg","View")</f>
        <v>View</v>
      </c>
      <c r="P5035" s="7"/>
    </row>
    <row r="5036" spans="1:16">
      <c r="A5036" s="3">
        <v>43936.79111111111</v>
      </c>
      <c r="B5036" s="4" t="str">
        <f>HYPERLINK("https://twitter.com/petrogustavo","@petrogustavo")</f>
        <v>@petrogustavo</v>
      </c>
      <c r="C5036" s="5" t="s">
        <v>16</v>
      </c>
      <c r="D5036" s="5" t="s">
        <v>4926</v>
      </c>
      <c r="E5036" s="6" t="str">
        <f>HYPERLINK("https://twitter.com/petrogustavo/status/1250415879998730241","1250415879998730241")</f>
        <v>1250415879998730241</v>
      </c>
      <c r="F5036" s="7" t="s">
        <v>17</v>
      </c>
      <c r="G5036" s="7">
        <v>3771135</v>
      </c>
      <c r="H5036" s="7">
        <v>2390</v>
      </c>
      <c r="I5036" s="7">
        <v>1090</v>
      </c>
      <c r="J5036" s="7">
        <v>0</v>
      </c>
      <c r="K5036" s="7" t="s">
        <v>18</v>
      </c>
      <c r="L5036" s="8">
        <v>39987.315405092595</v>
      </c>
      <c r="M5036" s="9" t="s">
        <v>19</v>
      </c>
      <c r="N5036" s="9" t="s">
        <v>20</v>
      </c>
      <c r="O5036" s="6" t="str">
        <f>HYPERLINK("https://pbs.twimg.com/profile_images/962471262747529216/Uo8lOkRJ_normal.jpg","View")</f>
        <v>View</v>
      </c>
      <c r="P5036" s="7"/>
    </row>
    <row r="5037" spans="1:16">
      <c r="A5037" s="3">
        <v>43936.794618055559</v>
      </c>
      <c r="B5037" s="4" t="str">
        <f>HYPERLINK("https://twitter.com/petrogustavo","@petrogustavo")</f>
        <v>@petrogustavo</v>
      </c>
      <c r="C5037" s="5" t="s">
        <v>16</v>
      </c>
      <c r="D5037" s="5" t="s">
        <v>4927</v>
      </c>
      <c r="E5037" s="6" t="str">
        <f>HYPERLINK("https://twitter.com/petrogustavo/status/1250417152248578048","1250417152248578048")</f>
        <v>1250417152248578048</v>
      </c>
      <c r="F5037" s="7" t="s">
        <v>21</v>
      </c>
      <c r="G5037" s="7">
        <v>3771076</v>
      </c>
      <c r="H5037" s="7">
        <v>2391</v>
      </c>
      <c r="I5037" s="7">
        <v>110</v>
      </c>
      <c r="J5037" s="7">
        <v>273</v>
      </c>
      <c r="K5037" s="7" t="s">
        <v>18</v>
      </c>
      <c r="L5037" s="8">
        <v>39987.315405092595</v>
      </c>
      <c r="M5037" s="9" t="s">
        <v>19</v>
      </c>
      <c r="N5037" s="9" t="s">
        <v>20</v>
      </c>
      <c r="O5037" s="6" t="str">
        <f>HYPERLINK("https://pbs.twimg.com/profile_images/962471262747529216/Uo8lOkRJ_normal.jpg","View")</f>
        <v>View</v>
      </c>
      <c r="P5037" s="7"/>
    </row>
    <row r="5038" spans="1:16">
      <c r="A5038" s="3">
        <v>43937.008414351847</v>
      </c>
      <c r="B5038" s="4" t="str">
        <f>HYPERLINK("https://twitter.com/petrogustavo","@petrogustavo")</f>
        <v>@petrogustavo</v>
      </c>
      <c r="C5038" s="5" t="s">
        <v>16</v>
      </c>
      <c r="D5038" s="5" t="s">
        <v>4928</v>
      </c>
      <c r="E5038" s="6" t="str">
        <f>HYPERLINK("https://twitter.com/petrogustavo/status/1250494629260255234","1250494629260255234")</f>
        <v>1250494629260255234</v>
      </c>
      <c r="F5038" s="7" t="s">
        <v>17</v>
      </c>
      <c r="G5038" s="7">
        <v>3771755</v>
      </c>
      <c r="H5038" s="7">
        <v>2390</v>
      </c>
      <c r="I5038" s="7">
        <v>417</v>
      </c>
      <c r="J5038" s="7">
        <v>0</v>
      </c>
      <c r="K5038" s="7" t="s">
        <v>18</v>
      </c>
      <c r="L5038" s="8">
        <v>39987.315405092595</v>
      </c>
      <c r="M5038" s="9" t="s">
        <v>19</v>
      </c>
      <c r="N5038" s="9" t="s">
        <v>20</v>
      </c>
      <c r="O5038" s="6" t="str">
        <f>HYPERLINK("https://pbs.twimg.com/profile_images/962471262747529216/Uo8lOkRJ_normal.jpg","View")</f>
        <v>View</v>
      </c>
      <c r="P5038" s="7"/>
    </row>
    <row r="5039" spans="1:16">
      <c r="A5039" s="3">
        <v>43937.011458333334</v>
      </c>
      <c r="B5039" s="4" t="str">
        <f>HYPERLINK("https://twitter.com/petrogustavo","@petrogustavo")</f>
        <v>@petrogustavo</v>
      </c>
      <c r="C5039" s="5" t="s">
        <v>16</v>
      </c>
      <c r="D5039" s="5" t="s">
        <v>4929</v>
      </c>
      <c r="E5039" s="6" t="str">
        <f>HYPERLINK("https://twitter.com/petrogustavo/status/1250495733561729024","1250495733561729024")</f>
        <v>1250495733561729024</v>
      </c>
      <c r="F5039" s="7" t="s">
        <v>17</v>
      </c>
      <c r="G5039" s="7">
        <v>3771755</v>
      </c>
      <c r="H5039" s="7">
        <v>2390</v>
      </c>
      <c r="I5039" s="7">
        <v>22</v>
      </c>
      <c r="J5039" s="7">
        <v>0</v>
      </c>
      <c r="K5039" s="7" t="s">
        <v>18</v>
      </c>
      <c r="L5039" s="8">
        <v>39987.315405092595</v>
      </c>
      <c r="M5039" s="9" t="s">
        <v>19</v>
      </c>
      <c r="N5039" s="9" t="s">
        <v>20</v>
      </c>
      <c r="O5039" s="6" t="str">
        <f>HYPERLINK("https://pbs.twimg.com/profile_images/962471262747529216/Uo8lOkRJ_normal.jpg","View")</f>
        <v>View</v>
      </c>
      <c r="P5039" s="7"/>
    </row>
    <row r="5040" spans="1:16">
      <c r="A5040" s="3">
        <v>43937.066238425927</v>
      </c>
      <c r="B5040" s="4" t="str">
        <f>HYPERLINK("https://twitter.com/petrogustavo","@petrogustavo")</f>
        <v>@petrogustavo</v>
      </c>
      <c r="C5040" s="5" t="s">
        <v>16</v>
      </c>
      <c r="D5040" s="5" t="s">
        <v>4930</v>
      </c>
      <c r="E5040" s="6" t="str">
        <f>HYPERLINK("https://twitter.com/petrogustavo/status/1250515583201955840","1250515583201955840")</f>
        <v>1250515583201955840</v>
      </c>
      <c r="F5040" s="7" t="s">
        <v>17</v>
      </c>
      <c r="G5040" s="7">
        <v>3771914</v>
      </c>
      <c r="H5040" s="7">
        <v>2390</v>
      </c>
      <c r="I5040" s="7">
        <v>132</v>
      </c>
      <c r="J5040" s="7">
        <v>350</v>
      </c>
      <c r="K5040" s="7" t="s">
        <v>18</v>
      </c>
      <c r="L5040" s="8">
        <v>39987.315405092595</v>
      </c>
      <c r="M5040" s="9" t="s">
        <v>19</v>
      </c>
      <c r="N5040" s="9" t="s">
        <v>20</v>
      </c>
      <c r="O5040" s="6" t="str">
        <f>HYPERLINK("https://pbs.twimg.com/profile_images/962471262747529216/Uo8lOkRJ_normal.jpg","View")</f>
        <v>View</v>
      </c>
      <c r="P5040" s="7"/>
    </row>
    <row r="5041" spans="1:16">
      <c r="A5041" s="3">
        <v>43937.16333333333</v>
      </c>
      <c r="B5041" s="4" t="str">
        <f>HYPERLINK("https://twitter.com/petrogustavo","@petrogustavo")</f>
        <v>@petrogustavo</v>
      </c>
      <c r="C5041" s="5" t="s">
        <v>16</v>
      </c>
      <c r="D5041" s="5" t="s">
        <v>4931</v>
      </c>
      <c r="E5041" s="6" t="str">
        <f>HYPERLINK("https://twitter.com/petrogustavo/status/1250550768811282434","1250550768811282434")</f>
        <v>1250550768811282434</v>
      </c>
      <c r="F5041" s="7" t="s">
        <v>17</v>
      </c>
      <c r="G5041" s="7">
        <v>3772098</v>
      </c>
      <c r="H5041" s="7">
        <v>2391</v>
      </c>
      <c r="I5041" s="7">
        <v>558</v>
      </c>
      <c r="J5041" s="7">
        <v>0</v>
      </c>
      <c r="K5041" s="7" t="s">
        <v>18</v>
      </c>
      <c r="L5041" s="8">
        <v>39987.315405092595</v>
      </c>
      <c r="M5041" s="9" t="s">
        <v>19</v>
      </c>
      <c r="N5041" s="9" t="s">
        <v>20</v>
      </c>
      <c r="O5041" s="6" t="str">
        <f>HYPERLINK("https://pbs.twimg.com/profile_images/962471262747529216/Uo8lOkRJ_normal.jpg","View")</f>
        <v>View</v>
      </c>
      <c r="P5041" s="7"/>
    </row>
    <row r="5042" spans="1:16">
      <c r="A5042" s="3">
        <v>43937.29277777778</v>
      </c>
      <c r="B5042" s="4" t="str">
        <f>HYPERLINK("https://twitter.com/petrogustavo","@petrogustavo")</f>
        <v>@petrogustavo</v>
      </c>
      <c r="C5042" s="5" t="s">
        <v>16</v>
      </c>
      <c r="D5042" s="5" t="s">
        <v>4932</v>
      </c>
      <c r="E5042" s="6" t="str">
        <f>HYPERLINK("https://twitter.com/petrogustavo/status/1250597679303966721","1250597679303966721")</f>
        <v>1250597679303966721</v>
      </c>
      <c r="F5042" s="7" t="s">
        <v>17</v>
      </c>
      <c r="G5042" s="7">
        <v>3772445</v>
      </c>
      <c r="H5042" s="7">
        <v>2391</v>
      </c>
      <c r="I5042" s="7">
        <v>11</v>
      </c>
      <c r="J5042" s="7">
        <v>47</v>
      </c>
      <c r="K5042" s="7" t="s">
        <v>18</v>
      </c>
      <c r="L5042" s="8">
        <v>39987.315405092595</v>
      </c>
      <c r="M5042" s="9" t="s">
        <v>19</v>
      </c>
      <c r="N5042" s="9" t="s">
        <v>20</v>
      </c>
      <c r="O5042" s="6" t="str">
        <f>HYPERLINK("https://pbs.twimg.com/profile_images/962471262747529216/Uo8lOkRJ_normal.jpg","View")</f>
        <v>View</v>
      </c>
      <c r="P5042" s="7"/>
    </row>
    <row r="5043" spans="1:16">
      <c r="A5043" s="3">
        <v>43937.342430555553</v>
      </c>
      <c r="B5043" s="4" t="str">
        <f>HYPERLINK("https://twitter.com/petrogustavo","@petrogustavo")</f>
        <v>@petrogustavo</v>
      </c>
      <c r="C5043" s="5" t="s">
        <v>16</v>
      </c>
      <c r="D5043" s="5" t="s">
        <v>4933</v>
      </c>
      <c r="E5043" s="6" t="str">
        <f>HYPERLINK("https://twitter.com/petrogustavo/status/1250615671693680645","1250615671693680645")</f>
        <v>1250615671693680645</v>
      </c>
      <c r="F5043" s="7" t="s">
        <v>17</v>
      </c>
      <c r="G5043" s="7">
        <v>3772626</v>
      </c>
      <c r="H5043" s="7">
        <v>2391</v>
      </c>
      <c r="I5043" s="7">
        <v>156</v>
      </c>
      <c r="J5043" s="7">
        <v>337</v>
      </c>
      <c r="K5043" s="7" t="s">
        <v>18</v>
      </c>
      <c r="L5043" s="8">
        <v>39987.315405092595</v>
      </c>
      <c r="M5043" s="9" t="s">
        <v>19</v>
      </c>
      <c r="N5043" s="9" t="s">
        <v>20</v>
      </c>
      <c r="O5043" s="6" t="str">
        <f>HYPERLINK("https://pbs.twimg.com/profile_images/962471262747529216/Uo8lOkRJ_normal.jpg","View")</f>
        <v>View</v>
      </c>
      <c r="P5043" s="7"/>
    </row>
    <row r="5044" spans="1:16">
      <c r="A5044" s="3">
        <v>43937.348229166666</v>
      </c>
      <c r="B5044" s="4" t="str">
        <f>HYPERLINK("https://twitter.com/petrogustavo","@petrogustavo")</f>
        <v>@petrogustavo</v>
      </c>
      <c r="C5044" s="5" t="s">
        <v>16</v>
      </c>
      <c r="D5044" s="5" t="s">
        <v>4934</v>
      </c>
      <c r="E5044" s="6" t="str">
        <f>HYPERLINK("https://twitter.com/petrogustavo/status/1250617775602663426","1250617775602663426")</f>
        <v>1250617775602663426</v>
      </c>
      <c r="F5044" s="7" t="s">
        <v>17</v>
      </c>
      <c r="G5044" s="7">
        <v>3772626</v>
      </c>
      <c r="H5044" s="7">
        <v>2391</v>
      </c>
      <c r="I5044" s="7">
        <v>140</v>
      </c>
      <c r="J5044" s="7">
        <v>316</v>
      </c>
      <c r="K5044" s="7" t="s">
        <v>18</v>
      </c>
      <c r="L5044" s="8">
        <v>39987.315405092595</v>
      </c>
      <c r="M5044" s="9" t="s">
        <v>19</v>
      </c>
      <c r="N5044" s="9" t="s">
        <v>20</v>
      </c>
      <c r="O5044" s="6" t="str">
        <f>HYPERLINK("https://pbs.twimg.com/profile_images/962471262747529216/Uo8lOkRJ_normal.jpg","View")</f>
        <v>View</v>
      </c>
      <c r="P5044" s="7"/>
    </row>
    <row r="5045" spans="1:16">
      <c r="A5045" s="3">
        <v>43937.35292824074</v>
      </c>
      <c r="B5045" s="4" t="str">
        <f>HYPERLINK("https://twitter.com/petrogustavo","@petrogustavo")</f>
        <v>@petrogustavo</v>
      </c>
      <c r="C5045" s="5" t="s">
        <v>16</v>
      </c>
      <c r="D5045" s="5" t="s">
        <v>4935</v>
      </c>
      <c r="E5045" s="6" t="str">
        <f>HYPERLINK("https://twitter.com/petrogustavo/status/1250619479475851265","1250619479475851265")</f>
        <v>1250619479475851265</v>
      </c>
      <c r="F5045" s="7" t="s">
        <v>17</v>
      </c>
      <c r="G5045" s="7">
        <v>3772626</v>
      </c>
      <c r="H5045" s="7">
        <v>2391</v>
      </c>
      <c r="I5045" s="7">
        <v>73</v>
      </c>
      <c r="J5045" s="7">
        <v>157</v>
      </c>
      <c r="K5045" s="7" t="s">
        <v>18</v>
      </c>
      <c r="L5045" s="8">
        <v>39987.315405092595</v>
      </c>
      <c r="M5045" s="9" t="s">
        <v>19</v>
      </c>
      <c r="N5045" s="9" t="s">
        <v>20</v>
      </c>
      <c r="O5045" s="6" t="str">
        <f>HYPERLINK("https://pbs.twimg.com/profile_images/962471262747529216/Uo8lOkRJ_normal.jpg","View")</f>
        <v>View</v>
      </c>
      <c r="P5045" s="7"/>
    </row>
    <row r="5046" spans="1:16">
      <c r="A5046" s="3">
        <v>43937.357476851852</v>
      </c>
      <c r="B5046" s="4" t="str">
        <f>HYPERLINK("https://twitter.com/petrogustavo","@petrogustavo")</f>
        <v>@petrogustavo</v>
      </c>
      <c r="C5046" s="5" t="s">
        <v>16</v>
      </c>
      <c r="D5046" s="5" t="s">
        <v>4936</v>
      </c>
      <c r="E5046" s="6" t="str">
        <f>HYPERLINK("https://twitter.com/petrogustavo/status/1250621127010979841","1250621127010979841")</f>
        <v>1250621127010979841</v>
      </c>
      <c r="F5046" s="7" t="s">
        <v>32</v>
      </c>
      <c r="G5046" s="7">
        <v>3772686</v>
      </c>
      <c r="H5046" s="7">
        <v>2391</v>
      </c>
      <c r="I5046" s="7">
        <v>210</v>
      </c>
      <c r="J5046" s="7">
        <v>419</v>
      </c>
      <c r="K5046" s="7" t="s">
        <v>18</v>
      </c>
      <c r="L5046" s="8">
        <v>39987.315405092595</v>
      </c>
      <c r="M5046" s="9" t="s">
        <v>19</v>
      </c>
      <c r="N5046" s="9" t="s">
        <v>20</v>
      </c>
      <c r="O5046" s="6" t="str">
        <f>HYPERLINK("https://pbs.twimg.com/profile_images/962471262747529216/Uo8lOkRJ_normal.jpg","View")</f>
        <v>View</v>
      </c>
      <c r="P5046" s="7"/>
    </row>
    <row r="5047" spans="1:16">
      <c r="A5047" s="3">
        <v>43937.368159722224</v>
      </c>
      <c r="B5047" s="4" t="str">
        <f>HYPERLINK("https://twitter.com/petrogustavo","@petrogustavo")</f>
        <v>@petrogustavo</v>
      </c>
      <c r="C5047" s="5" t="s">
        <v>16</v>
      </c>
      <c r="D5047" s="5" t="s">
        <v>4937</v>
      </c>
      <c r="E5047" s="6" t="str">
        <f>HYPERLINK("https://twitter.com/petrogustavo/status/1250624998403903489","1250624998403903489")</f>
        <v>1250624998403903489</v>
      </c>
      <c r="F5047" s="7" t="s">
        <v>17</v>
      </c>
      <c r="G5047" s="7">
        <v>3772686</v>
      </c>
      <c r="H5047" s="7">
        <v>2391</v>
      </c>
      <c r="I5047" s="7">
        <v>397</v>
      </c>
      <c r="J5047" s="7">
        <v>885</v>
      </c>
      <c r="K5047" s="7" t="s">
        <v>18</v>
      </c>
      <c r="L5047" s="8">
        <v>39987.315405092595</v>
      </c>
      <c r="M5047" s="9" t="s">
        <v>19</v>
      </c>
      <c r="N5047" s="9" t="s">
        <v>20</v>
      </c>
      <c r="O5047" s="6" t="str">
        <f>HYPERLINK("https://pbs.twimg.com/profile_images/962471262747529216/Uo8lOkRJ_normal.jpg","View")</f>
        <v>View</v>
      </c>
      <c r="P5047" s="7"/>
    </row>
    <row r="5048" spans="1:16">
      <c r="A5048" s="3">
        <v>43937.368888888886</v>
      </c>
      <c r="B5048" s="4" t="str">
        <f>HYPERLINK("https://twitter.com/petrogustavo","@petrogustavo")</f>
        <v>@petrogustavo</v>
      </c>
      <c r="C5048" s="5" t="s">
        <v>16</v>
      </c>
      <c r="D5048" s="5" t="s">
        <v>4938</v>
      </c>
      <c r="E5048" s="6" t="str">
        <f>HYPERLINK("https://twitter.com/petrogustavo/status/1250625261336498177","1250625261336498177")</f>
        <v>1250625261336498177</v>
      </c>
      <c r="F5048" s="7" t="s">
        <v>17</v>
      </c>
      <c r="G5048" s="7">
        <v>3772686</v>
      </c>
      <c r="H5048" s="7">
        <v>2391</v>
      </c>
      <c r="I5048" s="7">
        <v>210</v>
      </c>
      <c r="J5048" s="7">
        <v>0</v>
      </c>
      <c r="K5048" s="7" t="s">
        <v>18</v>
      </c>
      <c r="L5048" s="8">
        <v>39987.315405092595</v>
      </c>
      <c r="M5048" s="9" t="s">
        <v>19</v>
      </c>
      <c r="N5048" s="9" t="s">
        <v>20</v>
      </c>
      <c r="O5048" s="6" t="str">
        <f>HYPERLINK("https://pbs.twimg.com/profile_images/962471262747529216/Uo8lOkRJ_normal.jpg","View")</f>
        <v>View</v>
      </c>
      <c r="P5048" s="7"/>
    </row>
    <row r="5049" spans="1:16">
      <c r="A5049" s="3">
        <v>43937.381215277783</v>
      </c>
      <c r="B5049" s="4" t="str">
        <f>HYPERLINK("https://twitter.com/petrogustavo","@petrogustavo")</f>
        <v>@petrogustavo</v>
      </c>
      <c r="C5049" s="5" t="s">
        <v>16</v>
      </c>
      <c r="D5049" s="5" t="s">
        <v>4939</v>
      </c>
      <c r="E5049" s="6" t="str">
        <f>HYPERLINK("https://twitter.com/petrogustavo/status/1250629727896907776","1250629727896907776")</f>
        <v>1250629727896907776</v>
      </c>
      <c r="F5049" s="7" t="s">
        <v>17</v>
      </c>
      <c r="G5049" s="7">
        <v>3772752</v>
      </c>
      <c r="H5049" s="7">
        <v>2391</v>
      </c>
      <c r="I5049" s="7">
        <v>860</v>
      </c>
      <c r="J5049" s="7">
        <v>0</v>
      </c>
      <c r="K5049" s="7" t="s">
        <v>18</v>
      </c>
      <c r="L5049" s="8">
        <v>39987.315405092595</v>
      </c>
      <c r="M5049" s="9" t="s">
        <v>19</v>
      </c>
      <c r="N5049" s="9" t="s">
        <v>20</v>
      </c>
      <c r="O5049" s="6" t="str">
        <f>HYPERLINK("https://pbs.twimg.com/profile_images/962471262747529216/Uo8lOkRJ_normal.jpg","View")</f>
        <v>View</v>
      </c>
      <c r="P5049" s="7"/>
    </row>
    <row r="5050" spans="1:16">
      <c r="A5050" s="3">
        <v>43937.714189814811</v>
      </c>
      <c r="B5050" s="4" t="str">
        <f>HYPERLINK("https://twitter.com/petrogustavo","@petrogustavo")</f>
        <v>@petrogustavo</v>
      </c>
      <c r="C5050" s="5" t="s">
        <v>16</v>
      </c>
      <c r="D5050" s="5" t="s">
        <v>4939</v>
      </c>
      <c r="E5050" s="6" t="str">
        <f>HYPERLINK("https://twitter.com/petrogustavo/status/1250750394449514496","1250750394449514496")</f>
        <v>1250750394449514496</v>
      </c>
      <c r="F5050" s="7" t="s">
        <v>17</v>
      </c>
      <c r="G5050" s="7">
        <v>3773129</v>
      </c>
      <c r="H5050" s="7">
        <v>2392</v>
      </c>
      <c r="I5050" s="7">
        <v>2076</v>
      </c>
      <c r="J5050" s="7">
        <v>0</v>
      </c>
      <c r="K5050" s="7" t="s">
        <v>18</v>
      </c>
      <c r="L5050" s="8">
        <v>39987.315405092595</v>
      </c>
      <c r="M5050" s="9" t="s">
        <v>19</v>
      </c>
      <c r="N5050" s="9" t="s">
        <v>20</v>
      </c>
      <c r="O5050" s="6" t="str">
        <f>HYPERLINK("https://pbs.twimg.com/profile_images/962471262747529216/Uo8lOkRJ_normal.jpg","View")</f>
        <v>View</v>
      </c>
      <c r="P5050" s="7"/>
    </row>
    <row r="5051" spans="1:16">
      <c r="A5051" s="3">
        <v>43937.719780092593</v>
      </c>
      <c r="B5051" s="4" t="str">
        <f>HYPERLINK("https://twitter.com/petrogustavo","@petrogustavo")</f>
        <v>@petrogustavo</v>
      </c>
      <c r="C5051" s="5" t="s">
        <v>16</v>
      </c>
      <c r="D5051" s="5" t="s">
        <v>4940</v>
      </c>
      <c r="E5051" s="6" t="str">
        <f>HYPERLINK("https://twitter.com/petrogustavo/status/1250752422080917504","1250752422080917504")</f>
        <v>1250752422080917504</v>
      </c>
      <c r="F5051" s="7" t="s">
        <v>17</v>
      </c>
      <c r="G5051" s="7">
        <v>3773129</v>
      </c>
      <c r="H5051" s="7">
        <v>2392</v>
      </c>
      <c r="I5051" s="7">
        <v>70</v>
      </c>
      <c r="J5051" s="7">
        <v>133</v>
      </c>
      <c r="K5051" s="7" t="s">
        <v>18</v>
      </c>
      <c r="L5051" s="8">
        <v>39987.315405092595</v>
      </c>
      <c r="M5051" s="9" t="s">
        <v>19</v>
      </c>
      <c r="N5051" s="9" t="s">
        <v>20</v>
      </c>
      <c r="O5051" s="6" t="str">
        <f>HYPERLINK("https://pbs.twimg.com/profile_images/962471262747529216/Uo8lOkRJ_normal.jpg","View")</f>
        <v>View</v>
      </c>
      <c r="P5051" s="7"/>
    </row>
    <row r="5052" spans="1:16">
      <c r="A5052" s="3">
        <v>43937.721180555556</v>
      </c>
      <c r="B5052" s="4" t="str">
        <f>HYPERLINK("https://twitter.com/petrogustavo","@petrogustavo")</f>
        <v>@petrogustavo</v>
      </c>
      <c r="C5052" s="5" t="s">
        <v>16</v>
      </c>
      <c r="D5052" s="5" t="s">
        <v>4941</v>
      </c>
      <c r="E5052" s="6" t="str">
        <f>HYPERLINK("https://twitter.com/petrogustavo/status/1250752929499398146","1250752929499398146")</f>
        <v>1250752929499398146</v>
      </c>
      <c r="F5052" s="7" t="s">
        <v>17</v>
      </c>
      <c r="G5052" s="7">
        <v>3773129</v>
      </c>
      <c r="H5052" s="7">
        <v>2392</v>
      </c>
      <c r="I5052" s="7">
        <v>105</v>
      </c>
      <c r="J5052" s="7">
        <v>203</v>
      </c>
      <c r="K5052" s="7" t="s">
        <v>18</v>
      </c>
      <c r="L5052" s="8">
        <v>39987.315405092595</v>
      </c>
      <c r="M5052" s="9" t="s">
        <v>19</v>
      </c>
      <c r="N5052" s="9" t="s">
        <v>20</v>
      </c>
      <c r="O5052" s="6" t="str">
        <f>HYPERLINK("https://pbs.twimg.com/profile_images/962471262747529216/Uo8lOkRJ_normal.jpg","View")</f>
        <v>View</v>
      </c>
      <c r="P5052" s="7"/>
    </row>
    <row r="5053" spans="1:16">
      <c r="A5053" s="3">
        <v>43937.726782407408</v>
      </c>
      <c r="B5053" s="4" t="str">
        <f>HYPERLINK("https://twitter.com/petrogustavo","@petrogustavo")</f>
        <v>@petrogustavo</v>
      </c>
      <c r="C5053" s="5" t="s">
        <v>16</v>
      </c>
      <c r="D5053" s="5" t="s">
        <v>4942</v>
      </c>
      <c r="E5053" s="6" t="str">
        <f>HYPERLINK("https://twitter.com/petrogustavo/status/1250754956757434369","1250754956757434369")</f>
        <v>1250754956757434369</v>
      </c>
      <c r="F5053" s="7" t="s">
        <v>17</v>
      </c>
      <c r="G5053" s="7">
        <v>3773129</v>
      </c>
      <c r="H5053" s="7">
        <v>2392</v>
      </c>
      <c r="I5053" s="7">
        <v>70</v>
      </c>
      <c r="J5053" s="7">
        <v>127</v>
      </c>
      <c r="K5053" s="7" t="s">
        <v>18</v>
      </c>
      <c r="L5053" s="8">
        <v>39987.315405092595</v>
      </c>
      <c r="M5053" s="9" t="s">
        <v>19</v>
      </c>
      <c r="N5053" s="9" t="s">
        <v>20</v>
      </c>
      <c r="O5053" s="6" t="str">
        <f>HYPERLINK("https://pbs.twimg.com/profile_images/962471262747529216/Uo8lOkRJ_normal.jpg","View")</f>
        <v>View</v>
      </c>
      <c r="P5053" s="7"/>
    </row>
    <row r="5054" spans="1:16">
      <c r="A5054" s="3">
        <v>43937.728217592594</v>
      </c>
      <c r="B5054" s="4" t="str">
        <f>HYPERLINK("https://twitter.com/petrogustavo","@petrogustavo")</f>
        <v>@petrogustavo</v>
      </c>
      <c r="C5054" s="5" t="s">
        <v>16</v>
      </c>
      <c r="D5054" s="5" t="s">
        <v>4943</v>
      </c>
      <c r="E5054" s="6" t="str">
        <f>HYPERLINK("https://twitter.com/petrogustavo/status/1250755476364681216","1250755476364681216")</f>
        <v>1250755476364681216</v>
      </c>
      <c r="F5054" s="7" t="s">
        <v>17</v>
      </c>
      <c r="G5054" s="7">
        <v>3773129</v>
      </c>
      <c r="H5054" s="7">
        <v>2392</v>
      </c>
      <c r="I5054" s="7">
        <v>25</v>
      </c>
      <c r="J5054" s="7">
        <v>55</v>
      </c>
      <c r="K5054" s="7" t="s">
        <v>18</v>
      </c>
      <c r="L5054" s="8">
        <v>39987.315405092595</v>
      </c>
      <c r="M5054" s="9" t="s">
        <v>19</v>
      </c>
      <c r="N5054" s="9" t="s">
        <v>20</v>
      </c>
      <c r="O5054" s="6" t="str">
        <f>HYPERLINK("https://pbs.twimg.com/profile_images/962471262747529216/Uo8lOkRJ_normal.jpg","View")</f>
        <v>View</v>
      </c>
      <c r="P5054" s="7"/>
    </row>
    <row r="5055" spans="1:16">
      <c r="A5055" s="3">
        <v>43937.729837962965</v>
      </c>
      <c r="B5055" s="4" t="str">
        <f>HYPERLINK("https://twitter.com/petrogustavo","@petrogustavo")</f>
        <v>@petrogustavo</v>
      </c>
      <c r="C5055" s="5" t="s">
        <v>16</v>
      </c>
      <c r="D5055" s="5" t="s">
        <v>4944</v>
      </c>
      <c r="E5055" s="6" t="str">
        <f>HYPERLINK("https://twitter.com/petrogustavo/status/1250756065882497025","1250756065882497025")</f>
        <v>1250756065882497025</v>
      </c>
      <c r="F5055" s="7" t="s">
        <v>17</v>
      </c>
      <c r="G5055" s="7">
        <v>3773129</v>
      </c>
      <c r="H5055" s="7">
        <v>2392</v>
      </c>
      <c r="I5055" s="7">
        <v>18</v>
      </c>
      <c r="J5055" s="7">
        <v>26</v>
      </c>
      <c r="K5055" s="7" t="s">
        <v>18</v>
      </c>
      <c r="L5055" s="8">
        <v>39987.315405092595</v>
      </c>
      <c r="M5055" s="9" t="s">
        <v>19</v>
      </c>
      <c r="N5055" s="9" t="s">
        <v>20</v>
      </c>
      <c r="O5055" s="6" t="str">
        <f>HYPERLINK("https://pbs.twimg.com/profile_images/962471262747529216/Uo8lOkRJ_normal.jpg","View")</f>
        <v>View</v>
      </c>
      <c r="P5055" s="7"/>
    </row>
    <row r="5056" spans="1:16">
      <c r="A5056" s="3">
        <v>43937.739282407405</v>
      </c>
      <c r="B5056" s="4" t="str">
        <f>HYPERLINK("https://twitter.com/petrogustavo","@petrogustavo")</f>
        <v>@petrogustavo</v>
      </c>
      <c r="C5056" s="5" t="s">
        <v>16</v>
      </c>
      <c r="D5056" s="5" t="s">
        <v>4945</v>
      </c>
      <c r="E5056" s="6" t="str">
        <f>HYPERLINK("https://twitter.com/petrogustavo/status/1250759489218805761","1250759489218805761")</f>
        <v>1250759489218805761</v>
      </c>
      <c r="F5056" s="7" t="s">
        <v>17</v>
      </c>
      <c r="G5056" s="7">
        <v>3773173</v>
      </c>
      <c r="H5056" s="7">
        <v>2392</v>
      </c>
      <c r="I5056" s="7">
        <v>82</v>
      </c>
      <c r="J5056" s="7">
        <v>0</v>
      </c>
      <c r="K5056" s="7" t="s">
        <v>18</v>
      </c>
      <c r="L5056" s="8">
        <v>39987.315405092595</v>
      </c>
      <c r="M5056" s="9" t="s">
        <v>19</v>
      </c>
      <c r="N5056" s="9" t="s">
        <v>20</v>
      </c>
      <c r="O5056" s="6" t="str">
        <f>HYPERLINK("https://pbs.twimg.com/profile_images/962471262747529216/Uo8lOkRJ_normal.jpg","View")</f>
        <v>View</v>
      </c>
      <c r="P5056" s="7"/>
    </row>
    <row r="5057" spans="1:16">
      <c r="A5057" s="3">
        <v>43937.741307870368</v>
      </c>
      <c r="B5057" s="4" t="str">
        <f>HYPERLINK("https://twitter.com/petrogustavo","@petrogustavo")</f>
        <v>@petrogustavo</v>
      </c>
      <c r="C5057" s="5" t="s">
        <v>16</v>
      </c>
      <c r="D5057" s="5" t="s">
        <v>4946</v>
      </c>
      <c r="E5057" s="6" t="str">
        <f>HYPERLINK("https://twitter.com/petrogustavo/status/1250760221569495040","1250760221569495040")</f>
        <v>1250760221569495040</v>
      </c>
      <c r="F5057" s="7" t="s">
        <v>17</v>
      </c>
      <c r="G5057" s="7">
        <v>3773173</v>
      </c>
      <c r="H5057" s="7">
        <v>2392</v>
      </c>
      <c r="I5057" s="7">
        <v>145</v>
      </c>
      <c r="J5057" s="7">
        <v>272</v>
      </c>
      <c r="K5057" s="7" t="s">
        <v>18</v>
      </c>
      <c r="L5057" s="8">
        <v>39987.315405092595</v>
      </c>
      <c r="M5057" s="9" t="s">
        <v>19</v>
      </c>
      <c r="N5057" s="9" t="s">
        <v>20</v>
      </c>
      <c r="O5057" s="6" t="str">
        <f>HYPERLINK("https://pbs.twimg.com/profile_images/962471262747529216/Uo8lOkRJ_normal.jpg","View")</f>
        <v>View</v>
      </c>
      <c r="P5057" s="7"/>
    </row>
    <row r="5058" spans="1:16">
      <c r="A5058" s="3">
        <v>43937.756666666668</v>
      </c>
      <c r="B5058" s="4" t="str">
        <f>HYPERLINK("https://twitter.com/petrogustavo","@petrogustavo")</f>
        <v>@petrogustavo</v>
      </c>
      <c r="C5058" s="5" t="s">
        <v>16</v>
      </c>
      <c r="D5058" s="5" t="s">
        <v>4947</v>
      </c>
      <c r="E5058" s="6" t="str">
        <f>HYPERLINK("https://twitter.com/petrogustavo/status/1250765788308480001","1250765788308480001")</f>
        <v>1250765788308480001</v>
      </c>
      <c r="F5058" s="7" t="s">
        <v>17</v>
      </c>
      <c r="G5058" s="7">
        <v>3773230</v>
      </c>
      <c r="H5058" s="7">
        <v>2392</v>
      </c>
      <c r="I5058" s="7">
        <v>152</v>
      </c>
      <c r="J5058" s="7">
        <v>200</v>
      </c>
      <c r="K5058" s="7" t="s">
        <v>18</v>
      </c>
      <c r="L5058" s="8">
        <v>39987.315405092595</v>
      </c>
      <c r="M5058" s="9" t="s">
        <v>19</v>
      </c>
      <c r="N5058" s="9" t="s">
        <v>20</v>
      </c>
      <c r="O5058" s="6" t="str">
        <f>HYPERLINK("https://pbs.twimg.com/profile_images/962471262747529216/Uo8lOkRJ_normal.jpg","View")</f>
        <v>View</v>
      </c>
      <c r="P5058" s="7"/>
    </row>
    <row r="5059" spans="1:16">
      <c r="A5059" s="3">
        <v>43937.75717592593</v>
      </c>
      <c r="B5059" s="4" t="str">
        <f>HYPERLINK("https://twitter.com/petrogustavo","@petrogustavo")</f>
        <v>@petrogustavo</v>
      </c>
      <c r="C5059" s="5" t="s">
        <v>16</v>
      </c>
      <c r="D5059" s="5" t="s">
        <v>4948</v>
      </c>
      <c r="E5059" s="6" t="str">
        <f>HYPERLINK("https://twitter.com/petrogustavo/status/1250765972572639232","1250765972572639232")</f>
        <v>1250765972572639232</v>
      </c>
      <c r="F5059" s="7" t="s">
        <v>17</v>
      </c>
      <c r="G5059" s="7">
        <v>3773230</v>
      </c>
      <c r="H5059" s="7">
        <v>2392</v>
      </c>
      <c r="I5059" s="7">
        <v>163</v>
      </c>
      <c r="J5059" s="7">
        <v>0</v>
      </c>
      <c r="K5059" s="7" t="s">
        <v>18</v>
      </c>
      <c r="L5059" s="8">
        <v>39987.315405092595</v>
      </c>
      <c r="M5059" s="9" t="s">
        <v>19</v>
      </c>
      <c r="N5059" s="9" t="s">
        <v>20</v>
      </c>
      <c r="O5059" s="6" t="str">
        <f>HYPERLINK("https://pbs.twimg.com/profile_images/962471262747529216/Uo8lOkRJ_normal.jpg","View")</f>
        <v>View</v>
      </c>
      <c r="P5059" s="7"/>
    </row>
    <row r="5060" spans="1:16">
      <c r="A5060" s="3">
        <v>43937.763217592597</v>
      </c>
      <c r="B5060" s="4" t="str">
        <f>HYPERLINK("https://twitter.com/petrogustavo","@petrogustavo")</f>
        <v>@petrogustavo</v>
      </c>
      <c r="C5060" s="5" t="s">
        <v>16</v>
      </c>
      <c r="D5060" s="5" t="s">
        <v>4949</v>
      </c>
      <c r="E5060" s="6" t="str">
        <f>HYPERLINK("https://twitter.com/petrogustavo/status/1250768160850169857","1250768160850169857")</f>
        <v>1250768160850169857</v>
      </c>
      <c r="F5060" s="7" t="s">
        <v>17</v>
      </c>
      <c r="G5060" s="7">
        <v>3773230</v>
      </c>
      <c r="H5060" s="7">
        <v>2392</v>
      </c>
      <c r="I5060" s="7">
        <v>82</v>
      </c>
      <c r="J5060" s="7">
        <v>0</v>
      </c>
      <c r="K5060" s="7" t="s">
        <v>18</v>
      </c>
      <c r="L5060" s="8">
        <v>39987.315405092595</v>
      </c>
      <c r="M5060" s="9" t="s">
        <v>19</v>
      </c>
      <c r="N5060" s="9" t="s">
        <v>20</v>
      </c>
      <c r="O5060" s="6" t="str">
        <f>HYPERLINK("https://pbs.twimg.com/profile_images/962471262747529216/Uo8lOkRJ_normal.jpg","View")</f>
        <v>View</v>
      </c>
      <c r="P5060" s="7"/>
    </row>
    <row r="5061" spans="1:16">
      <c r="A5061" s="3">
        <v>43937.836747685185</v>
      </c>
      <c r="B5061" s="4" t="str">
        <f>HYPERLINK("https://twitter.com/petrogustavo","@petrogustavo")</f>
        <v>@petrogustavo</v>
      </c>
      <c r="C5061" s="5" t="s">
        <v>16</v>
      </c>
      <c r="D5061" s="5" t="s">
        <v>4948</v>
      </c>
      <c r="E5061" s="6" t="str">
        <f>HYPERLINK("https://twitter.com/petrogustavo/status/1250794808005844993","1250794808005844993")</f>
        <v>1250794808005844993</v>
      </c>
      <c r="F5061" s="7" t="s">
        <v>17</v>
      </c>
      <c r="G5061" s="7">
        <v>3773488</v>
      </c>
      <c r="H5061" s="7">
        <v>2392</v>
      </c>
      <c r="I5061" s="7">
        <v>342</v>
      </c>
      <c r="J5061" s="7">
        <v>0</v>
      </c>
      <c r="K5061" s="7" t="s">
        <v>18</v>
      </c>
      <c r="L5061" s="8">
        <v>39987.315405092595</v>
      </c>
      <c r="M5061" s="9" t="s">
        <v>19</v>
      </c>
      <c r="N5061" s="9" t="s">
        <v>20</v>
      </c>
      <c r="O5061" s="6" t="str">
        <f>HYPERLINK("https://pbs.twimg.com/profile_images/962471262747529216/Uo8lOkRJ_normal.jpg","View")</f>
        <v>View</v>
      </c>
      <c r="P5061" s="7"/>
    </row>
    <row r="5062" spans="1:16">
      <c r="A5062" s="3">
        <v>43937.849618055552</v>
      </c>
      <c r="B5062" s="4" t="str">
        <f>HYPERLINK("https://twitter.com/petrogustavo","@petrogustavo")</f>
        <v>@petrogustavo</v>
      </c>
      <c r="C5062" s="5" t="s">
        <v>16</v>
      </c>
      <c r="D5062" s="5" t="s">
        <v>4950</v>
      </c>
      <c r="E5062" s="6" t="str">
        <f>HYPERLINK("https://twitter.com/petrogustavo/status/1250799470754881538","1250799470754881538")</f>
        <v>1250799470754881538</v>
      </c>
      <c r="F5062" s="7" t="s">
        <v>21</v>
      </c>
      <c r="G5062" s="7">
        <v>3773488</v>
      </c>
      <c r="H5062" s="7">
        <v>2392</v>
      </c>
      <c r="I5062" s="7">
        <v>80</v>
      </c>
      <c r="J5062" s="7">
        <v>162</v>
      </c>
      <c r="K5062" s="7" t="s">
        <v>18</v>
      </c>
      <c r="L5062" s="8">
        <v>39987.315405092595</v>
      </c>
      <c r="M5062" s="9" t="s">
        <v>19</v>
      </c>
      <c r="N5062" s="9" t="s">
        <v>20</v>
      </c>
      <c r="O5062" s="6" t="str">
        <f>HYPERLINK("https://pbs.twimg.com/profile_images/962471262747529216/Uo8lOkRJ_normal.jpg","View")</f>
        <v>View</v>
      </c>
      <c r="P5062" s="7"/>
    </row>
    <row r="5063" spans="1:16">
      <c r="A5063" s="3">
        <v>43937.954050925924</v>
      </c>
      <c r="B5063" s="4" t="str">
        <f>HYPERLINK("https://twitter.com/petrogustavo","@petrogustavo")</f>
        <v>@petrogustavo</v>
      </c>
      <c r="C5063" s="5" t="s">
        <v>16</v>
      </c>
      <c r="D5063" s="5" t="s">
        <v>4951</v>
      </c>
      <c r="E5063" s="6" t="str">
        <f>HYPERLINK("https://twitter.com/petrogustavo/status/1250837316735729667","1250837316735729667")</f>
        <v>1250837316735729667</v>
      </c>
      <c r="F5063" s="7" t="s">
        <v>17</v>
      </c>
      <c r="G5063" s="7">
        <v>3773809</v>
      </c>
      <c r="H5063" s="7">
        <v>2392</v>
      </c>
      <c r="I5063" s="7">
        <v>408</v>
      </c>
      <c r="J5063" s="7">
        <v>0</v>
      </c>
      <c r="K5063" s="7" t="s">
        <v>18</v>
      </c>
      <c r="L5063" s="8">
        <v>39987.315405092595</v>
      </c>
      <c r="M5063" s="9" t="s">
        <v>19</v>
      </c>
      <c r="N5063" s="9" t="s">
        <v>20</v>
      </c>
      <c r="O5063" s="6" t="str">
        <f>HYPERLINK("https://pbs.twimg.com/profile_images/962471262747529216/Uo8lOkRJ_normal.jpg","View")</f>
        <v>View</v>
      </c>
      <c r="P5063" s="7"/>
    </row>
    <row r="5064" spans="1:16">
      <c r="A5064" s="3">
        <v>43937.989699074074</v>
      </c>
      <c r="B5064" s="4" t="str">
        <f>HYPERLINK("https://twitter.com/petrogustavo","@petrogustavo")</f>
        <v>@petrogustavo</v>
      </c>
      <c r="C5064" s="5" t="s">
        <v>16</v>
      </c>
      <c r="D5064" s="5" t="s">
        <v>4952</v>
      </c>
      <c r="E5064" s="6" t="str">
        <f>HYPERLINK("https://twitter.com/petrogustavo/status/1250850234911076354","1250850234911076354")</f>
        <v>1250850234911076354</v>
      </c>
      <c r="F5064" s="7" t="s">
        <v>17</v>
      </c>
      <c r="G5064" s="7">
        <v>3773973</v>
      </c>
      <c r="H5064" s="7">
        <v>2392</v>
      </c>
      <c r="I5064" s="7">
        <v>307</v>
      </c>
      <c r="J5064" s="7">
        <v>838</v>
      </c>
      <c r="K5064" s="7" t="s">
        <v>18</v>
      </c>
      <c r="L5064" s="8">
        <v>39987.315405092595</v>
      </c>
      <c r="M5064" s="9" t="s">
        <v>19</v>
      </c>
      <c r="N5064" s="9" t="s">
        <v>20</v>
      </c>
      <c r="O5064" s="6" t="str">
        <f>HYPERLINK("https://pbs.twimg.com/profile_images/962471262747529216/Uo8lOkRJ_normal.jpg","View")</f>
        <v>View</v>
      </c>
      <c r="P5064" s="7"/>
    </row>
    <row r="5065" spans="1:16">
      <c r="A5065" s="3">
        <v>43938.054259259261</v>
      </c>
      <c r="B5065" s="4" t="str">
        <f>HYPERLINK("https://twitter.com/petrogustavo","@petrogustavo")</f>
        <v>@petrogustavo</v>
      </c>
      <c r="C5065" s="5" t="s">
        <v>16</v>
      </c>
      <c r="D5065" s="5" t="s">
        <v>4953</v>
      </c>
      <c r="E5065" s="6" t="str">
        <f>HYPERLINK("https://twitter.com/petrogustavo/status/1250873630956945408","1250873630956945408")</f>
        <v>1250873630956945408</v>
      </c>
      <c r="F5065" s="7" t="s">
        <v>17</v>
      </c>
      <c r="G5065" s="7">
        <v>3774148</v>
      </c>
      <c r="H5065" s="7">
        <v>2392</v>
      </c>
      <c r="I5065" s="7">
        <v>532</v>
      </c>
      <c r="J5065" s="7">
        <v>0</v>
      </c>
      <c r="K5065" s="7" t="s">
        <v>18</v>
      </c>
      <c r="L5065" s="8">
        <v>39987.315405092595</v>
      </c>
      <c r="M5065" s="9" t="s">
        <v>19</v>
      </c>
      <c r="N5065" s="9" t="s">
        <v>20</v>
      </c>
      <c r="O5065" s="6" t="str">
        <f>HYPERLINK("https://pbs.twimg.com/profile_images/962471262747529216/Uo8lOkRJ_normal.jpg","View")</f>
        <v>View</v>
      </c>
      <c r="P5065" s="7"/>
    </row>
    <row r="5066" spans="1:16">
      <c r="A5066" s="3">
        <v>43938.127175925925</v>
      </c>
      <c r="B5066" s="4" t="str">
        <f>HYPERLINK("https://twitter.com/petrogustavo","@petrogustavo")</f>
        <v>@petrogustavo</v>
      </c>
      <c r="C5066" s="5" t="s">
        <v>16</v>
      </c>
      <c r="D5066" s="5" t="s">
        <v>4954</v>
      </c>
      <c r="E5066" s="6" t="str">
        <f>HYPERLINK("https://twitter.com/petrogustavo/status/1250900053922910208","1250900053922910208")</f>
        <v>1250900053922910208</v>
      </c>
      <c r="F5066" s="7" t="s">
        <v>32</v>
      </c>
      <c r="G5066" s="7">
        <v>3774417</v>
      </c>
      <c r="H5066" s="7">
        <v>2392</v>
      </c>
      <c r="I5066" s="7">
        <v>282</v>
      </c>
      <c r="J5066" s="7">
        <v>0</v>
      </c>
      <c r="K5066" s="7" t="s">
        <v>18</v>
      </c>
      <c r="L5066" s="8">
        <v>39987.315405092595</v>
      </c>
      <c r="M5066" s="9" t="s">
        <v>19</v>
      </c>
      <c r="N5066" s="9" t="s">
        <v>20</v>
      </c>
      <c r="O5066" s="6" t="str">
        <f>HYPERLINK("https://pbs.twimg.com/profile_images/962471262747529216/Uo8lOkRJ_normal.jpg","View")</f>
        <v>View</v>
      </c>
      <c r="P5066" s="7"/>
    </row>
    <row r="5067" spans="1:16">
      <c r="A5067" s="3">
        <v>43938.132719907408</v>
      </c>
      <c r="B5067" s="4" t="str">
        <f>HYPERLINK("https://twitter.com/petrogustavo","@petrogustavo")</f>
        <v>@petrogustavo</v>
      </c>
      <c r="C5067" s="5" t="s">
        <v>16</v>
      </c>
      <c r="D5067" s="5" t="s">
        <v>4955</v>
      </c>
      <c r="E5067" s="6" t="str">
        <f>HYPERLINK("https://twitter.com/petrogustavo/status/1250902066173796354","1250902066173796354")</f>
        <v>1250902066173796354</v>
      </c>
      <c r="F5067" s="7" t="s">
        <v>17</v>
      </c>
      <c r="G5067" s="7">
        <v>3774417</v>
      </c>
      <c r="H5067" s="7">
        <v>2392</v>
      </c>
      <c r="I5067" s="7">
        <v>368</v>
      </c>
      <c r="J5067" s="7">
        <v>0</v>
      </c>
      <c r="K5067" s="7" t="s">
        <v>18</v>
      </c>
      <c r="L5067" s="8">
        <v>39987.315405092595</v>
      </c>
      <c r="M5067" s="9" t="s">
        <v>19</v>
      </c>
      <c r="N5067" s="9" t="s">
        <v>20</v>
      </c>
      <c r="O5067" s="6" t="str">
        <f>HYPERLINK("https://pbs.twimg.com/profile_images/962471262747529216/Uo8lOkRJ_normal.jpg","View")</f>
        <v>View</v>
      </c>
      <c r="P5067" s="7"/>
    </row>
    <row r="5068" spans="1:16">
      <c r="A5068" s="3">
        <v>43938.18614583333</v>
      </c>
      <c r="B5068" s="4" t="str">
        <f>HYPERLINK("https://twitter.com/petrogustavo","@petrogustavo")</f>
        <v>@petrogustavo</v>
      </c>
      <c r="C5068" s="5" t="s">
        <v>16</v>
      </c>
      <c r="D5068" s="5" t="s">
        <v>4951</v>
      </c>
      <c r="E5068" s="6" t="str">
        <f>HYPERLINK("https://twitter.com/petrogustavo/status/1250921423893299201","1250921423893299201")</f>
        <v>1250921423893299201</v>
      </c>
      <c r="F5068" s="7" t="s">
        <v>17</v>
      </c>
      <c r="G5068" s="7">
        <v>3774526</v>
      </c>
      <c r="H5068" s="7">
        <v>2392</v>
      </c>
      <c r="I5068" s="7">
        <v>731</v>
      </c>
      <c r="J5068" s="7">
        <v>0</v>
      </c>
      <c r="K5068" s="7" t="s">
        <v>18</v>
      </c>
      <c r="L5068" s="8">
        <v>39987.315405092595</v>
      </c>
      <c r="M5068" s="9" t="s">
        <v>19</v>
      </c>
      <c r="N5068" s="9" t="s">
        <v>20</v>
      </c>
      <c r="O5068" s="6" t="str">
        <f>HYPERLINK("https://pbs.twimg.com/profile_images/962471262747529216/Uo8lOkRJ_normal.jpg","View")</f>
        <v>View</v>
      </c>
      <c r="P5068" s="7"/>
    </row>
    <row r="5069" spans="1:16">
      <c r="A5069" s="3">
        <v>43938.195081018523</v>
      </c>
      <c r="B5069" s="4" t="str">
        <f>HYPERLINK("https://twitter.com/petrogustavo","@petrogustavo")</f>
        <v>@petrogustavo</v>
      </c>
      <c r="C5069" s="5" t="s">
        <v>16</v>
      </c>
      <c r="D5069" s="5" t="s">
        <v>4956</v>
      </c>
      <c r="E5069" s="6" t="str">
        <f>HYPERLINK("https://twitter.com/petrogustavo/status/1250924664039387138","1250924664039387138")</f>
        <v>1250924664039387138</v>
      </c>
      <c r="F5069" s="7" t="s">
        <v>17</v>
      </c>
      <c r="G5069" s="7">
        <v>3774582</v>
      </c>
      <c r="H5069" s="7">
        <v>2392</v>
      </c>
      <c r="I5069" s="7">
        <v>105</v>
      </c>
      <c r="J5069" s="7">
        <v>0</v>
      </c>
      <c r="K5069" s="7" t="s">
        <v>18</v>
      </c>
      <c r="L5069" s="8">
        <v>39987.315405092595</v>
      </c>
      <c r="M5069" s="9" t="s">
        <v>19</v>
      </c>
      <c r="N5069" s="9" t="s">
        <v>20</v>
      </c>
      <c r="O5069" s="6" t="str">
        <f>HYPERLINK("https://pbs.twimg.com/profile_images/962471262747529216/Uo8lOkRJ_normal.jpg","View")</f>
        <v>View</v>
      </c>
      <c r="P5069" s="7"/>
    </row>
    <row r="5070" spans="1:16">
      <c r="A5070" s="3">
        <v>43938.207858796297</v>
      </c>
      <c r="B5070" s="4" t="str">
        <f>HYPERLINK("https://twitter.com/petrogustavo","@petrogustavo")</f>
        <v>@petrogustavo</v>
      </c>
      <c r="C5070" s="5" t="s">
        <v>16</v>
      </c>
      <c r="D5070" s="5" t="s">
        <v>4957</v>
      </c>
      <c r="E5070" s="6" t="str">
        <f>HYPERLINK("https://twitter.com/petrogustavo/status/1250929292793597960","1250929292793597960")</f>
        <v>1250929292793597960</v>
      </c>
      <c r="F5070" s="7" t="s">
        <v>17</v>
      </c>
      <c r="G5070" s="7">
        <v>3774582</v>
      </c>
      <c r="H5070" s="7">
        <v>2392</v>
      </c>
      <c r="I5070" s="7">
        <v>36</v>
      </c>
      <c r="J5070" s="7">
        <v>71</v>
      </c>
      <c r="K5070" s="7" t="s">
        <v>18</v>
      </c>
      <c r="L5070" s="8">
        <v>39987.315405092595</v>
      </c>
      <c r="M5070" s="9" t="s">
        <v>19</v>
      </c>
      <c r="N5070" s="9" t="s">
        <v>20</v>
      </c>
      <c r="O5070" s="6" t="str">
        <f>HYPERLINK("https://pbs.twimg.com/profile_images/962471262747529216/Uo8lOkRJ_normal.jpg","View")</f>
        <v>View</v>
      </c>
      <c r="P5070" s="7"/>
    </row>
    <row r="5071" spans="1:16">
      <c r="A5071" s="3">
        <v>43938.211006944446</v>
      </c>
      <c r="B5071" s="4" t="str">
        <f>HYPERLINK("https://twitter.com/petrogustavo","@petrogustavo")</f>
        <v>@petrogustavo</v>
      </c>
      <c r="C5071" s="5" t="s">
        <v>16</v>
      </c>
      <c r="D5071" s="5" t="s">
        <v>4958</v>
      </c>
      <c r="E5071" s="6" t="str">
        <f>HYPERLINK("https://twitter.com/petrogustavo/status/1250930433510039558","1250930433510039558")</f>
        <v>1250930433510039558</v>
      </c>
      <c r="F5071" s="7" t="s">
        <v>17</v>
      </c>
      <c r="G5071" s="7">
        <v>3774641</v>
      </c>
      <c r="H5071" s="7">
        <v>2392</v>
      </c>
      <c r="I5071" s="7">
        <v>216</v>
      </c>
      <c r="J5071" s="7">
        <v>402</v>
      </c>
      <c r="K5071" s="7" t="s">
        <v>18</v>
      </c>
      <c r="L5071" s="8">
        <v>39987.315405092595</v>
      </c>
      <c r="M5071" s="9" t="s">
        <v>19</v>
      </c>
      <c r="N5071" s="9" t="s">
        <v>20</v>
      </c>
      <c r="O5071" s="6" t="str">
        <f>HYPERLINK("https://pbs.twimg.com/profile_images/962471262747529216/Uo8lOkRJ_normal.jpg","View")</f>
        <v>View</v>
      </c>
      <c r="P5071" s="7"/>
    </row>
    <row r="5072" spans="1:16">
      <c r="A5072" s="3">
        <v>43938.21329861111</v>
      </c>
      <c r="B5072" s="4" t="str">
        <f>HYPERLINK("https://twitter.com/petrogustavo","@petrogustavo")</f>
        <v>@petrogustavo</v>
      </c>
      <c r="C5072" s="5" t="s">
        <v>16</v>
      </c>
      <c r="D5072" s="5" t="s">
        <v>4959</v>
      </c>
      <c r="E5072" s="6" t="str">
        <f>HYPERLINK("https://twitter.com/petrogustavo/status/1250931266796630016","1250931266796630016")</f>
        <v>1250931266796630016</v>
      </c>
      <c r="F5072" s="7" t="s">
        <v>17</v>
      </c>
      <c r="G5072" s="7">
        <v>3774641</v>
      </c>
      <c r="H5072" s="7">
        <v>2392</v>
      </c>
      <c r="I5072" s="7">
        <v>271</v>
      </c>
      <c r="J5072" s="7">
        <v>787</v>
      </c>
      <c r="K5072" s="7" t="s">
        <v>18</v>
      </c>
      <c r="L5072" s="8">
        <v>39987.315405092595</v>
      </c>
      <c r="M5072" s="9" t="s">
        <v>19</v>
      </c>
      <c r="N5072" s="9" t="s">
        <v>20</v>
      </c>
      <c r="O5072" s="6" t="str">
        <f>HYPERLINK("https://pbs.twimg.com/profile_images/962471262747529216/Uo8lOkRJ_normal.jpg","View")</f>
        <v>View</v>
      </c>
      <c r="P5072" s="7"/>
    </row>
    <row r="5073" spans="1:16">
      <c r="A5073" s="3">
        <v>43938.233668981484</v>
      </c>
      <c r="B5073" s="4" t="str">
        <f>HYPERLINK("https://twitter.com/petrogustavo","@petrogustavo")</f>
        <v>@petrogustavo</v>
      </c>
      <c r="C5073" s="5" t="s">
        <v>16</v>
      </c>
      <c r="D5073" s="5" t="s">
        <v>4960</v>
      </c>
      <c r="E5073" s="6" t="str">
        <f>HYPERLINK("https://twitter.com/petrogustavo/status/1250938648855564288","1250938648855564288")</f>
        <v>1250938648855564288</v>
      </c>
      <c r="F5073" s="7" t="s">
        <v>21</v>
      </c>
      <c r="G5073" s="7">
        <v>3774721</v>
      </c>
      <c r="H5073" s="7">
        <v>2392</v>
      </c>
      <c r="I5073" s="7">
        <v>170</v>
      </c>
      <c r="J5073" s="7">
        <v>403</v>
      </c>
      <c r="K5073" s="7" t="s">
        <v>18</v>
      </c>
      <c r="L5073" s="8">
        <v>39987.315405092595</v>
      </c>
      <c r="M5073" s="9" t="s">
        <v>19</v>
      </c>
      <c r="N5073" s="9" t="s">
        <v>20</v>
      </c>
      <c r="O5073" s="6" t="str">
        <f>HYPERLINK("https://pbs.twimg.com/profile_images/962471262747529216/Uo8lOkRJ_normal.jpg","View")</f>
        <v>View</v>
      </c>
      <c r="P5073" s="7"/>
    </row>
    <row r="5074" spans="1:16">
      <c r="A5074" s="3">
        <v>43938.237071759257</v>
      </c>
      <c r="B5074" s="4" t="str">
        <f>HYPERLINK("https://twitter.com/petrogustavo","@petrogustavo")</f>
        <v>@petrogustavo</v>
      </c>
      <c r="C5074" s="5" t="s">
        <v>16</v>
      </c>
      <c r="D5074" s="5" t="s">
        <v>4961</v>
      </c>
      <c r="E5074" s="6" t="str">
        <f>HYPERLINK("https://twitter.com/petrogustavo/status/1250939879732719617","1250939879732719617")</f>
        <v>1250939879732719617</v>
      </c>
      <c r="F5074" s="7" t="s">
        <v>32</v>
      </c>
      <c r="G5074" s="7">
        <v>3774721</v>
      </c>
      <c r="H5074" s="7">
        <v>2392</v>
      </c>
      <c r="I5074" s="7">
        <v>906</v>
      </c>
      <c r="J5074" s="7">
        <v>0</v>
      </c>
      <c r="K5074" s="7" t="s">
        <v>18</v>
      </c>
      <c r="L5074" s="8">
        <v>39987.315405092595</v>
      </c>
      <c r="M5074" s="9" t="s">
        <v>19</v>
      </c>
      <c r="N5074" s="9" t="s">
        <v>20</v>
      </c>
      <c r="O5074" s="6" t="str">
        <f>HYPERLINK("https://pbs.twimg.com/profile_images/962471262747529216/Uo8lOkRJ_normal.jpg","View")</f>
        <v>View</v>
      </c>
      <c r="P5074" s="7"/>
    </row>
    <row r="5075" spans="1:16">
      <c r="A5075" s="3">
        <v>43938.241875</v>
      </c>
      <c r="B5075" s="4" t="str">
        <f>HYPERLINK("https://twitter.com/petrogustavo","@petrogustavo")</f>
        <v>@petrogustavo</v>
      </c>
      <c r="C5075" s="5" t="s">
        <v>16</v>
      </c>
      <c r="D5075" s="5" t="s">
        <v>4962</v>
      </c>
      <c r="E5075" s="6" t="str">
        <f>HYPERLINK("https://twitter.com/petrogustavo/status/1250941621681651713","1250941621681651713")</f>
        <v>1250941621681651713</v>
      </c>
      <c r="F5075" s="7" t="s">
        <v>32</v>
      </c>
      <c r="G5075" s="7">
        <v>3774721</v>
      </c>
      <c r="H5075" s="7">
        <v>2392</v>
      </c>
      <c r="I5075" s="7">
        <v>171</v>
      </c>
      <c r="J5075" s="7">
        <v>328</v>
      </c>
      <c r="K5075" s="7" t="s">
        <v>18</v>
      </c>
      <c r="L5075" s="8">
        <v>39987.315405092595</v>
      </c>
      <c r="M5075" s="9" t="s">
        <v>19</v>
      </c>
      <c r="N5075" s="9" t="s">
        <v>20</v>
      </c>
      <c r="O5075" s="6" t="str">
        <f>HYPERLINK("https://pbs.twimg.com/profile_images/962471262747529216/Uo8lOkRJ_normal.jpg","View")</f>
        <v>View</v>
      </c>
      <c r="P5075" s="7"/>
    </row>
    <row r="5076" spans="1:16">
      <c r="A5076" s="3">
        <v>43938.245138888888</v>
      </c>
      <c r="B5076" s="4" t="str">
        <f>HYPERLINK("https://twitter.com/petrogustavo","@petrogustavo")</f>
        <v>@petrogustavo</v>
      </c>
      <c r="C5076" s="5" t="s">
        <v>16</v>
      </c>
      <c r="D5076" s="5" t="s">
        <v>4963</v>
      </c>
      <c r="E5076" s="6" t="str">
        <f>HYPERLINK("https://twitter.com/petrogustavo/status/1250942801858215936","1250942801858215936")</f>
        <v>1250942801858215936</v>
      </c>
      <c r="F5076" s="7" t="s">
        <v>21</v>
      </c>
      <c r="G5076" s="7">
        <v>3774721</v>
      </c>
      <c r="H5076" s="7">
        <v>2392</v>
      </c>
      <c r="I5076" s="7">
        <v>101</v>
      </c>
      <c r="J5076" s="7">
        <v>199</v>
      </c>
      <c r="K5076" s="7" t="s">
        <v>18</v>
      </c>
      <c r="L5076" s="8">
        <v>39987.315405092595</v>
      </c>
      <c r="M5076" s="9" t="s">
        <v>19</v>
      </c>
      <c r="N5076" s="9" t="s">
        <v>20</v>
      </c>
      <c r="O5076" s="6" t="str">
        <f>HYPERLINK("https://pbs.twimg.com/profile_images/962471262747529216/Uo8lOkRJ_normal.jpg","View")</f>
        <v>View</v>
      </c>
      <c r="P5076" s="7"/>
    </row>
    <row r="5077" spans="1:16">
      <c r="A5077" s="3">
        <v>43938.25613425926</v>
      </c>
      <c r="B5077" s="4" t="str">
        <f>HYPERLINK("https://twitter.com/petrogustavo","@petrogustavo")</f>
        <v>@petrogustavo</v>
      </c>
      <c r="C5077" s="5" t="s">
        <v>16</v>
      </c>
      <c r="D5077" s="5" t="s">
        <v>4964</v>
      </c>
      <c r="E5077" s="6" t="str">
        <f>HYPERLINK("https://twitter.com/petrogustavo/status/1250946789550755842","1250946789550755842")</f>
        <v>1250946789550755842</v>
      </c>
      <c r="F5077" s="7" t="s">
        <v>32</v>
      </c>
      <c r="G5077" s="7">
        <v>3774769</v>
      </c>
      <c r="H5077" s="7">
        <v>2392</v>
      </c>
      <c r="I5077" s="7">
        <v>330</v>
      </c>
      <c r="J5077" s="7">
        <v>742</v>
      </c>
      <c r="K5077" s="7" t="s">
        <v>18</v>
      </c>
      <c r="L5077" s="8">
        <v>39987.315405092595</v>
      </c>
      <c r="M5077" s="9" t="s">
        <v>19</v>
      </c>
      <c r="N5077" s="9" t="s">
        <v>20</v>
      </c>
      <c r="O5077" s="6" t="str">
        <f>HYPERLINK("https://pbs.twimg.com/profile_images/962471262747529216/Uo8lOkRJ_normal.jpg","View")</f>
        <v>View</v>
      </c>
      <c r="P5077" s="7"/>
    </row>
    <row r="5078" spans="1:16">
      <c r="A5078" s="3">
        <v>43938.258414351847</v>
      </c>
      <c r="B5078" s="4" t="str">
        <f>HYPERLINK("https://twitter.com/petrogustavo","@petrogustavo")</f>
        <v>@petrogustavo</v>
      </c>
      <c r="C5078" s="5" t="s">
        <v>16</v>
      </c>
      <c r="D5078" s="5" t="s">
        <v>4965</v>
      </c>
      <c r="E5078" s="6" t="str">
        <f>HYPERLINK("https://twitter.com/petrogustavo/status/1250947613966454784","1250947613966454784")</f>
        <v>1250947613966454784</v>
      </c>
      <c r="F5078" s="7" t="s">
        <v>32</v>
      </c>
      <c r="G5078" s="7">
        <v>3774769</v>
      </c>
      <c r="H5078" s="7">
        <v>2392</v>
      </c>
      <c r="I5078" s="7">
        <v>410</v>
      </c>
      <c r="J5078" s="7">
        <v>923</v>
      </c>
      <c r="K5078" s="7" t="s">
        <v>18</v>
      </c>
      <c r="L5078" s="8">
        <v>39987.315405092595</v>
      </c>
      <c r="M5078" s="9" t="s">
        <v>19</v>
      </c>
      <c r="N5078" s="9" t="s">
        <v>20</v>
      </c>
      <c r="O5078" s="6" t="str">
        <f>HYPERLINK("https://pbs.twimg.com/profile_images/962471262747529216/Uo8lOkRJ_normal.jpg","View")</f>
        <v>View</v>
      </c>
      <c r="P5078" s="7"/>
    </row>
    <row r="5079" spans="1:16">
      <c r="A5079" s="3">
        <v>43938.276076388887</v>
      </c>
      <c r="B5079" s="4" t="str">
        <f>HYPERLINK("https://twitter.com/petrogustavo","@petrogustavo")</f>
        <v>@petrogustavo</v>
      </c>
      <c r="C5079" s="5" t="s">
        <v>16</v>
      </c>
      <c r="D5079" s="5" t="s">
        <v>4966</v>
      </c>
      <c r="E5079" s="6" t="str">
        <f>HYPERLINK("https://twitter.com/petrogustavo/status/1250954017116692480","1250954017116692480")</f>
        <v>1250954017116692480</v>
      </c>
      <c r="F5079" s="7" t="s">
        <v>17</v>
      </c>
      <c r="G5079" s="7">
        <v>3774846</v>
      </c>
      <c r="H5079" s="7">
        <v>2392</v>
      </c>
      <c r="I5079" s="7">
        <v>46</v>
      </c>
      <c r="J5079" s="7">
        <v>0</v>
      </c>
      <c r="K5079" s="7" t="s">
        <v>18</v>
      </c>
      <c r="L5079" s="8">
        <v>39987.315405092595</v>
      </c>
      <c r="M5079" s="9" t="s">
        <v>19</v>
      </c>
      <c r="N5079" s="9" t="s">
        <v>20</v>
      </c>
      <c r="O5079" s="6" t="str">
        <f>HYPERLINK("https://pbs.twimg.com/profile_images/962471262747529216/Uo8lOkRJ_normal.jpg","View")</f>
        <v>View</v>
      </c>
      <c r="P5079" s="7"/>
    </row>
    <row r="5080" spans="1:16">
      <c r="A5080" s="3">
        <v>43938.276886574073</v>
      </c>
      <c r="B5080" s="4" t="str">
        <f>HYPERLINK("https://twitter.com/petrogustavo","@petrogustavo")</f>
        <v>@petrogustavo</v>
      </c>
      <c r="C5080" s="5" t="s">
        <v>16</v>
      </c>
      <c r="D5080" s="5" t="s">
        <v>4939</v>
      </c>
      <c r="E5080" s="6" t="str">
        <f>HYPERLINK("https://twitter.com/petrogustavo/status/1250954308406972417","1250954308406972417")</f>
        <v>1250954308406972417</v>
      </c>
      <c r="F5080" s="7" t="s">
        <v>17</v>
      </c>
      <c r="G5080" s="7">
        <v>3774846</v>
      </c>
      <c r="H5080" s="7">
        <v>2392</v>
      </c>
      <c r="I5080" s="7">
        <v>3543</v>
      </c>
      <c r="J5080" s="7">
        <v>0</v>
      </c>
      <c r="K5080" s="7" t="s">
        <v>18</v>
      </c>
      <c r="L5080" s="8">
        <v>39987.315405092595</v>
      </c>
      <c r="M5080" s="9" t="s">
        <v>19</v>
      </c>
      <c r="N5080" s="9" t="s">
        <v>20</v>
      </c>
      <c r="O5080" s="6" t="str">
        <f>HYPERLINK("https://pbs.twimg.com/profile_images/962471262747529216/Uo8lOkRJ_normal.jpg","View")</f>
        <v>View</v>
      </c>
      <c r="P5080" s="7"/>
    </row>
    <row r="5081" spans="1:16">
      <c r="A5081" s="3">
        <v>43938.281770833331</v>
      </c>
      <c r="B5081" s="4" t="str">
        <f>HYPERLINK("https://twitter.com/petrogustavo","@petrogustavo")</f>
        <v>@petrogustavo</v>
      </c>
      <c r="C5081" s="5" t="s">
        <v>16</v>
      </c>
      <c r="D5081" s="5" t="s">
        <v>4967</v>
      </c>
      <c r="E5081" s="6" t="str">
        <f>HYPERLINK("https://twitter.com/petrogustavo/status/1250956079611162624","1250956079611162624")</f>
        <v>1250956079611162624</v>
      </c>
      <c r="F5081" s="7" t="s">
        <v>17</v>
      </c>
      <c r="G5081" s="7">
        <v>3774846</v>
      </c>
      <c r="H5081" s="7">
        <v>2392</v>
      </c>
      <c r="I5081" s="7">
        <v>338</v>
      </c>
      <c r="J5081" s="7">
        <v>0</v>
      </c>
      <c r="K5081" s="7" t="s">
        <v>18</v>
      </c>
      <c r="L5081" s="8">
        <v>39987.315405092595</v>
      </c>
      <c r="M5081" s="9" t="s">
        <v>19</v>
      </c>
      <c r="N5081" s="9" t="s">
        <v>20</v>
      </c>
      <c r="O5081" s="6" t="str">
        <f>HYPERLINK("https://pbs.twimg.com/profile_images/962471262747529216/Uo8lOkRJ_normal.jpg","View")</f>
        <v>View</v>
      </c>
      <c r="P5081" s="7"/>
    </row>
    <row r="5082" spans="1:16">
      <c r="A5082" s="3">
        <v>43938.286006944443</v>
      </c>
      <c r="B5082" s="4" t="str">
        <f>HYPERLINK("https://twitter.com/petrogustavo","@petrogustavo")</f>
        <v>@petrogustavo</v>
      </c>
      <c r="C5082" s="5" t="s">
        <v>16</v>
      </c>
      <c r="D5082" s="5" t="s">
        <v>4968</v>
      </c>
      <c r="E5082" s="6" t="str">
        <f>HYPERLINK("https://twitter.com/petrogustavo/status/1250957612490899456","1250957612490899456")</f>
        <v>1250957612490899456</v>
      </c>
      <c r="F5082" s="7" t="s">
        <v>17</v>
      </c>
      <c r="G5082" s="7">
        <v>3774846</v>
      </c>
      <c r="H5082" s="7">
        <v>2392</v>
      </c>
      <c r="I5082" s="7">
        <v>193</v>
      </c>
      <c r="J5082" s="7">
        <v>568</v>
      </c>
      <c r="K5082" s="7" t="s">
        <v>18</v>
      </c>
      <c r="L5082" s="8">
        <v>39987.315405092595</v>
      </c>
      <c r="M5082" s="9" t="s">
        <v>19</v>
      </c>
      <c r="N5082" s="9" t="s">
        <v>20</v>
      </c>
      <c r="O5082" s="6" t="str">
        <f>HYPERLINK("https://pbs.twimg.com/profile_images/962471262747529216/Uo8lOkRJ_normal.jpg","View")</f>
        <v>View</v>
      </c>
      <c r="P5082" s="7"/>
    </row>
    <row r="5083" spans="1:16">
      <c r="A5083" s="3">
        <v>43938.288888888885</v>
      </c>
      <c r="B5083" s="4" t="str">
        <f>HYPERLINK("https://twitter.com/petrogustavo","@petrogustavo")</f>
        <v>@petrogustavo</v>
      </c>
      <c r="C5083" s="5" t="s">
        <v>16</v>
      </c>
      <c r="D5083" s="5" t="s">
        <v>4969</v>
      </c>
      <c r="E5083" s="6" t="str">
        <f>HYPERLINK("https://twitter.com/petrogustavo/status/1250958659997270019","1250958659997270019")</f>
        <v>1250958659997270019</v>
      </c>
      <c r="F5083" s="7" t="s">
        <v>17</v>
      </c>
      <c r="G5083" s="7">
        <v>3774846</v>
      </c>
      <c r="H5083" s="7">
        <v>2392</v>
      </c>
      <c r="I5083" s="7">
        <v>76</v>
      </c>
      <c r="J5083" s="7">
        <v>184</v>
      </c>
      <c r="K5083" s="7" t="s">
        <v>18</v>
      </c>
      <c r="L5083" s="8">
        <v>39987.315405092595</v>
      </c>
      <c r="M5083" s="9" t="s">
        <v>19</v>
      </c>
      <c r="N5083" s="9" t="s">
        <v>20</v>
      </c>
      <c r="O5083" s="6" t="str">
        <f>HYPERLINK("https://pbs.twimg.com/profile_images/962471262747529216/Uo8lOkRJ_normal.jpg","View")</f>
        <v>View</v>
      </c>
      <c r="P5083" s="7"/>
    </row>
    <row r="5084" spans="1:16">
      <c r="A5084" s="3">
        <v>43938.315289351856</v>
      </c>
      <c r="B5084" s="4" t="str">
        <f>HYPERLINK("https://twitter.com/petrogustavo","@petrogustavo")</f>
        <v>@petrogustavo</v>
      </c>
      <c r="C5084" s="5" t="s">
        <v>16</v>
      </c>
      <c r="D5084" s="5" t="s">
        <v>4970</v>
      </c>
      <c r="E5084" s="6" t="str">
        <f>HYPERLINK("https://twitter.com/petrogustavo/status/1250968225438892032","1250968225438892032")</f>
        <v>1250968225438892032</v>
      </c>
      <c r="F5084" s="7" t="s">
        <v>17</v>
      </c>
      <c r="G5084" s="7">
        <v>3774977</v>
      </c>
      <c r="H5084" s="7">
        <v>2392</v>
      </c>
      <c r="I5084" s="7">
        <v>93</v>
      </c>
      <c r="J5084" s="7">
        <v>0</v>
      </c>
      <c r="K5084" s="7" t="s">
        <v>18</v>
      </c>
      <c r="L5084" s="8">
        <v>39987.315405092595</v>
      </c>
      <c r="M5084" s="9" t="s">
        <v>19</v>
      </c>
      <c r="N5084" s="9" t="s">
        <v>20</v>
      </c>
      <c r="O5084" s="6" t="str">
        <f>HYPERLINK("https://pbs.twimg.com/profile_images/962471262747529216/Uo8lOkRJ_normal.jpg","View")</f>
        <v>View</v>
      </c>
      <c r="P5084" s="7"/>
    </row>
    <row r="5085" spans="1:16">
      <c r="A5085" s="3">
        <v>43938.315578703703</v>
      </c>
      <c r="B5085" s="4" t="str">
        <f>HYPERLINK("https://twitter.com/petrogustavo","@petrogustavo")</f>
        <v>@petrogustavo</v>
      </c>
      <c r="C5085" s="5" t="s">
        <v>16</v>
      </c>
      <c r="D5085" s="5" t="s">
        <v>4971</v>
      </c>
      <c r="E5085" s="6" t="str">
        <f>HYPERLINK("https://twitter.com/petrogustavo/status/1250968331890438146","1250968331890438146")</f>
        <v>1250968331890438146</v>
      </c>
      <c r="F5085" s="7" t="s">
        <v>17</v>
      </c>
      <c r="G5085" s="7">
        <v>3774977</v>
      </c>
      <c r="H5085" s="7">
        <v>2392</v>
      </c>
      <c r="I5085" s="7">
        <v>79</v>
      </c>
      <c r="J5085" s="7">
        <v>0</v>
      </c>
      <c r="K5085" s="7" t="s">
        <v>18</v>
      </c>
      <c r="L5085" s="8">
        <v>39987.315405092595</v>
      </c>
      <c r="M5085" s="9" t="s">
        <v>19</v>
      </c>
      <c r="N5085" s="9" t="s">
        <v>20</v>
      </c>
      <c r="O5085" s="6" t="str">
        <f>HYPERLINK("https://pbs.twimg.com/profile_images/962471262747529216/Uo8lOkRJ_normal.jpg","View")</f>
        <v>View</v>
      </c>
      <c r="P5085" s="7"/>
    </row>
    <row r="5086" spans="1:16">
      <c r="A5086" s="3">
        <v>43938.325856481482</v>
      </c>
      <c r="B5086" s="4" t="str">
        <f>HYPERLINK("https://twitter.com/petrogustavo","@petrogustavo")</f>
        <v>@petrogustavo</v>
      </c>
      <c r="C5086" s="5" t="s">
        <v>16</v>
      </c>
      <c r="D5086" s="5" t="s">
        <v>4972</v>
      </c>
      <c r="E5086" s="6" t="str">
        <f>HYPERLINK("https://twitter.com/petrogustavo/status/1250972056251969539","1250972056251969539")</f>
        <v>1250972056251969539</v>
      </c>
      <c r="F5086" s="7" t="s">
        <v>17</v>
      </c>
      <c r="G5086" s="7">
        <v>3774977</v>
      </c>
      <c r="H5086" s="7">
        <v>2392</v>
      </c>
      <c r="I5086" s="7">
        <v>373</v>
      </c>
      <c r="J5086" s="7">
        <v>0</v>
      </c>
      <c r="K5086" s="7" t="s">
        <v>18</v>
      </c>
      <c r="L5086" s="8">
        <v>39987.315405092595</v>
      </c>
      <c r="M5086" s="9" t="s">
        <v>19</v>
      </c>
      <c r="N5086" s="9" t="s">
        <v>20</v>
      </c>
      <c r="O5086" s="6" t="str">
        <f>HYPERLINK("https://pbs.twimg.com/profile_images/962471262747529216/Uo8lOkRJ_normal.jpg","View")</f>
        <v>View</v>
      </c>
      <c r="P5086" s="7"/>
    </row>
    <row r="5087" spans="1:16">
      <c r="A5087" s="3">
        <v>43938.326967592591</v>
      </c>
      <c r="B5087" s="4" t="str">
        <f>HYPERLINK("https://twitter.com/petrogustavo","@petrogustavo")</f>
        <v>@petrogustavo</v>
      </c>
      <c r="C5087" s="5" t="s">
        <v>16</v>
      </c>
      <c r="D5087" s="5" t="s">
        <v>4973</v>
      </c>
      <c r="E5087" s="6" t="str">
        <f>HYPERLINK("https://twitter.com/petrogustavo/status/1250972456166227969","1250972456166227969")</f>
        <v>1250972456166227969</v>
      </c>
      <c r="F5087" s="7" t="s">
        <v>17</v>
      </c>
      <c r="G5087" s="7">
        <v>3774977</v>
      </c>
      <c r="H5087" s="7">
        <v>2392</v>
      </c>
      <c r="I5087" s="7">
        <v>608</v>
      </c>
      <c r="J5087" s="7">
        <v>0</v>
      </c>
      <c r="K5087" s="7" t="s">
        <v>18</v>
      </c>
      <c r="L5087" s="8">
        <v>39987.315405092595</v>
      </c>
      <c r="M5087" s="9" t="s">
        <v>19</v>
      </c>
      <c r="N5087" s="9" t="s">
        <v>20</v>
      </c>
      <c r="O5087" s="6" t="str">
        <f>HYPERLINK("https://pbs.twimg.com/profile_images/962471262747529216/Uo8lOkRJ_normal.jpg","View")</f>
        <v>View</v>
      </c>
      <c r="P5087" s="7"/>
    </row>
    <row r="5088" spans="1:16">
      <c r="A5088" s="3">
        <v>43938.333275462966</v>
      </c>
      <c r="B5088" s="4" t="str">
        <f>HYPERLINK("https://twitter.com/petrogustavo","@petrogustavo")</f>
        <v>@petrogustavo</v>
      </c>
      <c r="C5088" s="5" t="s">
        <v>16</v>
      </c>
      <c r="D5088" s="5" t="s">
        <v>4967</v>
      </c>
      <c r="E5088" s="6" t="str">
        <f>HYPERLINK("https://twitter.com/petrogustavo/status/1250974745077657601","1250974745077657601")</f>
        <v>1250974745077657601</v>
      </c>
      <c r="F5088" s="7" t="s">
        <v>17</v>
      </c>
      <c r="G5088" s="7">
        <v>3774977</v>
      </c>
      <c r="H5088" s="7">
        <v>2392</v>
      </c>
      <c r="I5088" s="7">
        <v>479</v>
      </c>
      <c r="J5088" s="7">
        <v>0</v>
      </c>
      <c r="K5088" s="7" t="s">
        <v>18</v>
      </c>
      <c r="L5088" s="8">
        <v>39987.315405092595</v>
      </c>
      <c r="M5088" s="9" t="s">
        <v>19</v>
      </c>
      <c r="N5088" s="9" t="s">
        <v>20</v>
      </c>
      <c r="O5088" s="6" t="str">
        <f>HYPERLINK("https://pbs.twimg.com/profile_images/962471262747529216/Uo8lOkRJ_normal.jpg","View")</f>
        <v>View</v>
      </c>
      <c r="P5088" s="7"/>
    </row>
    <row r="5089" spans="1:16">
      <c r="A5089" s="3">
        <v>43938.715856481482</v>
      </c>
      <c r="B5089" s="4" t="str">
        <f>HYPERLINK("https://twitter.com/petrogustavo","@petrogustavo")</f>
        <v>@petrogustavo</v>
      </c>
      <c r="C5089" s="5" t="s">
        <v>16</v>
      </c>
      <c r="D5089" s="5" t="s">
        <v>4974</v>
      </c>
      <c r="E5089" s="6" t="str">
        <f>HYPERLINK("https://twitter.com/petrogustavo/status/1251113384923316225","1251113384923316225")</f>
        <v>1251113384923316225</v>
      </c>
      <c r="F5089" s="7" t="s">
        <v>32</v>
      </c>
      <c r="G5089" s="7">
        <v>3775531</v>
      </c>
      <c r="H5089" s="7">
        <v>2392</v>
      </c>
      <c r="I5089" s="7">
        <v>196</v>
      </c>
      <c r="J5089" s="7">
        <v>0</v>
      </c>
      <c r="K5089" s="7" t="s">
        <v>18</v>
      </c>
      <c r="L5089" s="8">
        <v>39987.315405092595</v>
      </c>
      <c r="M5089" s="9" t="s">
        <v>19</v>
      </c>
      <c r="N5089" s="9" t="s">
        <v>20</v>
      </c>
      <c r="O5089" s="6" t="str">
        <f>HYPERLINK("https://pbs.twimg.com/profile_images/962471262747529216/Uo8lOkRJ_normal.jpg","View")</f>
        <v>View</v>
      </c>
      <c r="P5089" s="7"/>
    </row>
    <row r="5090" spans="1:16">
      <c r="A5090" s="3">
        <v>43938.71912037037</v>
      </c>
      <c r="B5090" s="4" t="str">
        <f>HYPERLINK("https://twitter.com/petrogustavo","@petrogustavo")</f>
        <v>@petrogustavo</v>
      </c>
      <c r="C5090" s="5" t="s">
        <v>16</v>
      </c>
      <c r="D5090" s="5" t="s">
        <v>4975</v>
      </c>
      <c r="E5090" s="6" t="str">
        <f>HYPERLINK("https://twitter.com/petrogustavo/status/1251114568396521473","1251114568396521473")</f>
        <v>1251114568396521473</v>
      </c>
      <c r="F5090" s="7" t="s">
        <v>32</v>
      </c>
      <c r="G5090" s="7">
        <v>3775531</v>
      </c>
      <c r="H5090" s="7">
        <v>2392</v>
      </c>
      <c r="I5090" s="7">
        <v>7</v>
      </c>
      <c r="J5090" s="7">
        <v>0</v>
      </c>
      <c r="K5090" s="7" t="s">
        <v>18</v>
      </c>
      <c r="L5090" s="8">
        <v>39987.315405092595</v>
      </c>
      <c r="M5090" s="9" t="s">
        <v>19</v>
      </c>
      <c r="N5090" s="9" t="s">
        <v>20</v>
      </c>
      <c r="O5090" s="6" t="str">
        <f>HYPERLINK("https://pbs.twimg.com/profile_images/962471262747529216/Uo8lOkRJ_normal.jpg","View")</f>
        <v>View</v>
      </c>
      <c r="P5090" s="7"/>
    </row>
    <row r="5091" spans="1:16">
      <c r="A5091" s="3">
        <v>43938.719490740739</v>
      </c>
      <c r="B5091" s="4" t="str">
        <f>HYPERLINK("https://twitter.com/petrogustavo","@petrogustavo")</f>
        <v>@petrogustavo</v>
      </c>
      <c r="C5091" s="5" t="s">
        <v>16</v>
      </c>
      <c r="D5091" s="5" t="s">
        <v>4976</v>
      </c>
      <c r="E5091" s="6" t="str">
        <f>HYPERLINK("https://twitter.com/petrogustavo/status/1251114703725760512","1251114703725760512")</f>
        <v>1251114703725760512</v>
      </c>
      <c r="F5091" s="7" t="s">
        <v>32</v>
      </c>
      <c r="G5091" s="7">
        <v>3775531</v>
      </c>
      <c r="H5091" s="7">
        <v>2392</v>
      </c>
      <c r="I5091" s="7">
        <v>95</v>
      </c>
      <c r="J5091" s="7">
        <v>0</v>
      </c>
      <c r="K5091" s="7" t="s">
        <v>18</v>
      </c>
      <c r="L5091" s="8">
        <v>39987.315405092595</v>
      </c>
      <c r="M5091" s="9" t="s">
        <v>19</v>
      </c>
      <c r="N5091" s="9" t="s">
        <v>20</v>
      </c>
      <c r="O5091" s="6" t="str">
        <f>HYPERLINK("https://pbs.twimg.com/profile_images/962471262747529216/Uo8lOkRJ_normal.jpg","View")</f>
        <v>View</v>
      </c>
      <c r="P5091" s="7"/>
    </row>
    <row r="5092" spans="1:16">
      <c r="A5092" s="3">
        <v>43938.734178240746</v>
      </c>
      <c r="B5092" s="4" t="str">
        <f>HYPERLINK("https://twitter.com/petrogustavo","@petrogustavo")</f>
        <v>@petrogustavo</v>
      </c>
      <c r="C5092" s="5" t="s">
        <v>16</v>
      </c>
      <c r="D5092" s="5" t="s">
        <v>4977</v>
      </c>
      <c r="E5092" s="6" t="str">
        <f>HYPERLINK("https://twitter.com/petrogustavo/status/1251120026901450754","1251120026901450754")</f>
        <v>1251120026901450754</v>
      </c>
      <c r="F5092" s="7" t="s">
        <v>32</v>
      </c>
      <c r="G5092" s="7">
        <v>3775572</v>
      </c>
      <c r="H5092" s="7">
        <v>2392</v>
      </c>
      <c r="I5092" s="7">
        <v>1104</v>
      </c>
      <c r="J5092" s="7">
        <v>0</v>
      </c>
      <c r="K5092" s="7" t="s">
        <v>18</v>
      </c>
      <c r="L5092" s="8">
        <v>39987.315405092595</v>
      </c>
      <c r="M5092" s="9" t="s">
        <v>19</v>
      </c>
      <c r="N5092" s="9" t="s">
        <v>20</v>
      </c>
      <c r="O5092" s="6" t="str">
        <f>HYPERLINK("https://pbs.twimg.com/profile_images/962471262747529216/Uo8lOkRJ_normal.jpg","View")</f>
        <v>View</v>
      </c>
      <c r="P5092" s="7"/>
    </row>
    <row r="5093" spans="1:16">
      <c r="A5093" s="3">
        <v>43938.734432870369</v>
      </c>
      <c r="B5093" s="4" t="str">
        <f>HYPERLINK("https://twitter.com/petrogustavo","@petrogustavo")</f>
        <v>@petrogustavo</v>
      </c>
      <c r="C5093" s="5" t="s">
        <v>16</v>
      </c>
      <c r="D5093" s="5" t="s">
        <v>4978</v>
      </c>
      <c r="E5093" s="6" t="str">
        <f>HYPERLINK("https://twitter.com/petrogustavo/status/1251120119893327874","1251120119893327874")</f>
        <v>1251120119893327874</v>
      </c>
      <c r="F5093" s="7" t="s">
        <v>32</v>
      </c>
      <c r="G5093" s="7">
        <v>3775572</v>
      </c>
      <c r="H5093" s="7">
        <v>2392</v>
      </c>
      <c r="I5093" s="7">
        <v>47</v>
      </c>
      <c r="J5093" s="7">
        <v>0</v>
      </c>
      <c r="K5093" s="7" t="s">
        <v>18</v>
      </c>
      <c r="L5093" s="8">
        <v>39987.315405092595</v>
      </c>
      <c r="M5093" s="9" t="s">
        <v>19</v>
      </c>
      <c r="N5093" s="9" t="s">
        <v>20</v>
      </c>
      <c r="O5093" s="6" t="str">
        <f>HYPERLINK("https://pbs.twimg.com/profile_images/962471262747529216/Uo8lOkRJ_normal.jpg","View")</f>
        <v>View</v>
      </c>
      <c r="P5093" s="7"/>
    </row>
    <row r="5094" spans="1:16">
      <c r="A5094" s="3">
        <v>43938.737789351857</v>
      </c>
      <c r="B5094" s="4" t="str">
        <f>HYPERLINK("https://twitter.com/petrogustavo","@petrogustavo")</f>
        <v>@petrogustavo</v>
      </c>
      <c r="C5094" s="5" t="s">
        <v>16</v>
      </c>
      <c r="D5094" s="5" t="s">
        <v>4979</v>
      </c>
      <c r="E5094" s="6" t="str">
        <f>HYPERLINK("https://twitter.com/petrogustavo/status/1251121332625997830","1251121332625997830")</f>
        <v>1251121332625997830</v>
      </c>
      <c r="F5094" s="7" t="s">
        <v>32</v>
      </c>
      <c r="G5094" s="7">
        <v>3775572</v>
      </c>
      <c r="H5094" s="7">
        <v>2392</v>
      </c>
      <c r="I5094" s="7">
        <v>103</v>
      </c>
      <c r="J5094" s="7">
        <v>198</v>
      </c>
      <c r="K5094" s="7" t="s">
        <v>18</v>
      </c>
      <c r="L5094" s="8">
        <v>39987.315405092595</v>
      </c>
      <c r="M5094" s="9" t="s">
        <v>19</v>
      </c>
      <c r="N5094" s="9" t="s">
        <v>20</v>
      </c>
      <c r="O5094" s="6" t="str">
        <f>HYPERLINK("https://pbs.twimg.com/profile_images/962471262747529216/Uo8lOkRJ_normal.jpg","View")</f>
        <v>View</v>
      </c>
      <c r="P5094" s="7"/>
    </row>
    <row r="5095" spans="1:16">
      <c r="A5095" s="3">
        <v>43938.740532407406</v>
      </c>
      <c r="B5095" s="4" t="str">
        <f>HYPERLINK("https://twitter.com/petrogustavo","@petrogustavo")</f>
        <v>@petrogustavo</v>
      </c>
      <c r="C5095" s="5" t="s">
        <v>16</v>
      </c>
      <c r="D5095" s="5" t="s">
        <v>4980</v>
      </c>
      <c r="E5095" s="6" t="str">
        <f>HYPERLINK("https://twitter.com/petrogustavo/status/1251122329897271296","1251122329897271296")</f>
        <v>1251122329897271296</v>
      </c>
      <c r="F5095" s="7" t="s">
        <v>32</v>
      </c>
      <c r="G5095" s="7">
        <v>3775572</v>
      </c>
      <c r="H5095" s="7">
        <v>2392</v>
      </c>
      <c r="I5095" s="7">
        <v>105</v>
      </c>
      <c r="J5095" s="7">
        <v>221</v>
      </c>
      <c r="K5095" s="7" t="s">
        <v>18</v>
      </c>
      <c r="L5095" s="8">
        <v>39987.315405092595</v>
      </c>
      <c r="M5095" s="9" t="s">
        <v>19</v>
      </c>
      <c r="N5095" s="9" t="s">
        <v>20</v>
      </c>
      <c r="O5095" s="6" t="str">
        <f>HYPERLINK("https://pbs.twimg.com/profile_images/962471262747529216/Uo8lOkRJ_normal.jpg","View")</f>
        <v>View</v>
      </c>
      <c r="P5095" s="7"/>
    </row>
    <row r="5096" spans="1:16">
      <c r="A5096" s="3">
        <v>43938.745694444442</v>
      </c>
      <c r="B5096" s="4" t="str">
        <f>HYPERLINK("https://twitter.com/petrogustavo","@petrogustavo")</f>
        <v>@petrogustavo</v>
      </c>
      <c r="C5096" s="5" t="s">
        <v>16</v>
      </c>
      <c r="D5096" s="5" t="s">
        <v>4981</v>
      </c>
      <c r="E5096" s="6" t="str">
        <f>HYPERLINK("https://twitter.com/petrogustavo/status/1251124197788704769","1251124197788704769")</f>
        <v>1251124197788704769</v>
      </c>
      <c r="F5096" s="7" t="s">
        <v>32</v>
      </c>
      <c r="G5096" s="7">
        <v>3775572</v>
      </c>
      <c r="H5096" s="7">
        <v>2392</v>
      </c>
      <c r="I5096" s="7">
        <v>119</v>
      </c>
      <c r="J5096" s="7">
        <v>258</v>
      </c>
      <c r="K5096" s="7" t="s">
        <v>18</v>
      </c>
      <c r="L5096" s="8">
        <v>39987.315405092595</v>
      </c>
      <c r="M5096" s="9" t="s">
        <v>19</v>
      </c>
      <c r="N5096" s="9" t="s">
        <v>20</v>
      </c>
      <c r="O5096" s="6" t="str">
        <f>HYPERLINK("https://pbs.twimg.com/profile_images/962471262747529216/Uo8lOkRJ_normal.jpg","View")</f>
        <v>View</v>
      </c>
      <c r="P5096" s="7"/>
    </row>
    <row r="5097" spans="1:16">
      <c r="A5097" s="3">
        <v>43938.75680555556</v>
      </c>
      <c r="B5097" s="4" t="str">
        <f>HYPERLINK("https://twitter.com/petrogustavo","@petrogustavo")</f>
        <v>@petrogustavo</v>
      </c>
      <c r="C5097" s="5" t="s">
        <v>16</v>
      </c>
      <c r="D5097" s="5" t="s">
        <v>4982</v>
      </c>
      <c r="E5097" s="6" t="str">
        <f>HYPERLINK("https://twitter.com/petrogustavo/status/1251128227587936263","1251128227587936263")</f>
        <v>1251128227587936263</v>
      </c>
      <c r="F5097" s="7" t="s">
        <v>32</v>
      </c>
      <c r="G5097" s="7">
        <v>3775632</v>
      </c>
      <c r="H5097" s="7">
        <v>2392</v>
      </c>
      <c r="I5097" s="7">
        <v>436</v>
      </c>
      <c r="J5097" s="7">
        <v>1087</v>
      </c>
      <c r="K5097" s="7" t="s">
        <v>18</v>
      </c>
      <c r="L5097" s="8">
        <v>39987.315405092595</v>
      </c>
      <c r="M5097" s="9" t="s">
        <v>19</v>
      </c>
      <c r="N5097" s="9" t="s">
        <v>20</v>
      </c>
      <c r="O5097" s="6" t="str">
        <f>HYPERLINK("https://pbs.twimg.com/profile_images/962471262747529216/Uo8lOkRJ_normal.jpg","View")</f>
        <v>View</v>
      </c>
      <c r="P5097" s="7"/>
    </row>
    <row r="5098" spans="1:16">
      <c r="A5098" s="3">
        <v>43938.794687500005</v>
      </c>
      <c r="B5098" s="4" t="str">
        <f>HYPERLINK("https://twitter.com/petrogustavo","@petrogustavo")</f>
        <v>@petrogustavo</v>
      </c>
      <c r="C5098" s="5" t="s">
        <v>16</v>
      </c>
      <c r="D5098" s="5" t="s">
        <v>4983</v>
      </c>
      <c r="E5098" s="6" t="str">
        <f>HYPERLINK("https://twitter.com/petrogustavo/status/1251141955372736513","1251141955372736513")</f>
        <v>1251141955372736513</v>
      </c>
      <c r="F5098" s="7" t="s">
        <v>17</v>
      </c>
      <c r="G5098" s="7">
        <v>3775614</v>
      </c>
      <c r="H5098" s="7">
        <v>2391</v>
      </c>
      <c r="I5098" s="7">
        <v>93</v>
      </c>
      <c r="J5098" s="7">
        <v>215</v>
      </c>
      <c r="K5098" s="7" t="s">
        <v>18</v>
      </c>
      <c r="L5098" s="8">
        <v>39987.315405092595</v>
      </c>
      <c r="M5098" s="9" t="s">
        <v>19</v>
      </c>
      <c r="N5098" s="9" t="s">
        <v>20</v>
      </c>
      <c r="O5098" s="6" t="str">
        <f>HYPERLINK("https://pbs.twimg.com/profile_images/962471262747529216/Uo8lOkRJ_normal.jpg","View")</f>
        <v>View</v>
      </c>
      <c r="P5098" s="7"/>
    </row>
    <row r="5099" spans="1:16">
      <c r="A5099" s="3">
        <v>43938.839988425927</v>
      </c>
      <c r="B5099" s="4" t="str">
        <f>HYPERLINK("https://twitter.com/petrogustavo","@petrogustavo")</f>
        <v>@petrogustavo</v>
      </c>
      <c r="C5099" s="5" t="s">
        <v>16</v>
      </c>
      <c r="D5099" s="5" t="s">
        <v>4984</v>
      </c>
      <c r="E5099" s="6" t="str">
        <f>HYPERLINK("https://twitter.com/petrogustavo/status/1251158371480137732","1251158371480137732")</f>
        <v>1251158371480137732</v>
      </c>
      <c r="F5099" s="7" t="s">
        <v>32</v>
      </c>
      <c r="G5099" s="7">
        <v>3775745</v>
      </c>
      <c r="H5099" s="7">
        <v>2391</v>
      </c>
      <c r="I5099" s="7">
        <v>511</v>
      </c>
      <c r="J5099" s="7">
        <v>0</v>
      </c>
      <c r="K5099" s="7" t="s">
        <v>18</v>
      </c>
      <c r="L5099" s="8">
        <v>39987.315405092595</v>
      </c>
      <c r="M5099" s="9" t="s">
        <v>19</v>
      </c>
      <c r="N5099" s="9" t="s">
        <v>20</v>
      </c>
      <c r="O5099" s="6" t="str">
        <f>HYPERLINK("https://pbs.twimg.com/profile_images/962471262747529216/Uo8lOkRJ_normal.jpg","View")</f>
        <v>View</v>
      </c>
      <c r="P5099" s="7"/>
    </row>
    <row r="5100" spans="1:16">
      <c r="A5100" s="3">
        <v>43938.841481481482</v>
      </c>
      <c r="B5100" s="4" t="str">
        <f>HYPERLINK("https://twitter.com/petrogustavo","@petrogustavo")</f>
        <v>@petrogustavo</v>
      </c>
      <c r="C5100" s="5" t="s">
        <v>16</v>
      </c>
      <c r="D5100" s="5" t="s">
        <v>4985</v>
      </c>
      <c r="E5100" s="6" t="str">
        <f>HYPERLINK("https://twitter.com/petrogustavo/status/1251158911823958023","1251158911823958023")</f>
        <v>1251158911823958023</v>
      </c>
      <c r="F5100" s="7" t="s">
        <v>32</v>
      </c>
      <c r="G5100" s="7">
        <v>3775745</v>
      </c>
      <c r="H5100" s="7">
        <v>2391</v>
      </c>
      <c r="I5100" s="7">
        <v>59</v>
      </c>
      <c r="J5100" s="7">
        <v>165</v>
      </c>
      <c r="K5100" s="7" t="s">
        <v>18</v>
      </c>
      <c r="L5100" s="8">
        <v>39987.315405092595</v>
      </c>
      <c r="M5100" s="9" t="s">
        <v>19</v>
      </c>
      <c r="N5100" s="9" t="s">
        <v>20</v>
      </c>
      <c r="O5100" s="6" t="str">
        <f>HYPERLINK("https://pbs.twimg.com/profile_images/962471262747529216/Uo8lOkRJ_normal.jpg","View")</f>
        <v>View</v>
      </c>
      <c r="P5100" s="7"/>
    </row>
    <row r="5101" spans="1:16">
      <c r="A5101" s="3">
        <v>43938.841979166667</v>
      </c>
      <c r="B5101" s="4" t="str">
        <f>HYPERLINK("https://twitter.com/petrogustavo","@petrogustavo")</f>
        <v>@petrogustavo</v>
      </c>
      <c r="C5101" s="5" t="s">
        <v>16</v>
      </c>
      <c r="D5101" s="5" t="s">
        <v>4986</v>
      </c>
      <c r="E5101" s="6" t="str">
        <f>HYPERLINK("https://twitter.com/petrogustavo/status/1251159093437362180","1251159093437362180")</f>
        <v>1251159093437362180</v>
      </c>
      <c r="F5101" s="7" t="s">
        <v>32</v>
      </c>
      <c r="G5101" s="7">
        <v>3775745</v>
      </c>
      <c r="H5101" s="7">
        <v>2391</v>
      </c>
      <c r="I5101" s="7">
        <v>248</v>
      </c>
      <c r="J5101" s="7">
        <v>0</v>
      </c>
      <c r="K5101" s="7" t="s">
        <v>18</v>
      </c>
      <c r="L5101" s="8">
        <v>39987.315405092595</v>
      </c>
      <c r="M5101" s="9" t="s">
        <v>19</v>
      </c>
      <c r="N5101" s="9" t="s">
        <v>20</v>
      </c>
      <c r="O5101" s="6" t="str">
        <f>HYPERLINK("https://pbs.twimg.com/profile_images/962471262747529216/Uo8lOkRJ_normal.jpg","View")</f>
        <v>View</v>
      </c>
      <c r="P5101" s="7"/>
    </row>
    <row r="5102" spans="1:16">
      <c r="A5102" s="3">
        <v>43938.846782407403</v>
      </c>
      <c r="B5102" s="4" t="str">
        <f>HYPERLINK("https://twitter.com/petrogustavo","@petrogustavo")</f>
        <v>@petrogustavo</v>
      </c>
      <c r="C5102" s="5" t="s">
        <v>16</v>
      </c>
      <c r="D5102" s="5" t="s">
        <v>4987</v>
      </c>
      <c r="E5102" s="6" t="str">
        <f>HYPERLINK("https://twitter.com/petrogustavo/status/1251160830499975168","1251160830499975168")</f>
        <v>1251160830499975168</v>
      </c>
      <c r="F5102" s="7" t="s">
        <v>32</v>
      </c>
      <c r="G5102" s="7">
        <v>3775745</v>
      </c>
      <c r="H5102" s="7">
        <v>2391</v>
      </c>
      <c r="I5102" s="7">
        <v>119</v>
      </c>
      <c r="J5102" s="7">
        <v>252</v>
      </c>
      <c r="K5102" s="7" t="s">
        <v>18</v>
      </c>
      <c r="L5102" s="8">
        <v>39987.315405092595</v>
      </c>
      <c r="M5102" s="9" t="s">
        <v>19</v>
      </c>
      <c r="N5102" s="9" t="s">
        <v>20</v>
      </c>
      <c r="O5102" s="6" t="str">
        <f>HYPERLINK("https://pbs.twimg.com/profile_images/962471262747529216/Uo8lOkRJ_normal.jpg","View")</f>
        <v>View</v>
      </c>
      <c r="P5102" s="7"/>
    </row>
    <row r="5103" spans="1:16">
      <c r="A5103" s="3">
        <v>43938.877025462964</v>
      </c>
      <c r="B5103" s="4" t="str">
        <f>HYPERLINK("https://twitter.com/petrogustavo","@petrogustavo")</f>
        <v>@petrogustavo</v>
      </c>
      <c r="C5103" s="5" t="s">
        <v>16</v>
      </c>
      <c r="D5103" s="5" t="s">
        <v>4988</v>
      </c>
      <c r="E5103" s="6" t="str">
        <f>HYPERLINK("https://twitter.com/petrogustavo/status/1251171793513185282","1251171793513185282")</f>
        <v>1251171793513185282</v>
      </c>
      <c r="F5103" s="7" t="s">
        <v>17</v>
      </c>
      <c r="G5103" s="7">
        <v>3775966</v>
      </c>
      <c r="H5103" s="7">
        <v>2392</v>
      </c>
      <c r="I5103" s="7">
        <v>123</v>
      </c>
      <c r="J5103" s="7">
        <v>0</v>
      </c>
      <c r="K5103" s="7" t="s">
        <v>18</v>
      </c>
      <c r="L5103" s="8">
        <v>39987.315405092595</v>
      </c>
      <c r="M5103" s="9" t="s">
        <v>19</v>
      </c>
      <c r="N5103" s="9" t="s">
        <v>20</v>
      </c>
      <c r="O5103" s="6" t="str">
        <f>HYPERLINK("https://pbs.twimg.com/profile_images/962471262747529216/Uo8lOkRJ_normal.jpg","View")</f>
        <v>View</v>
      </c>
      <c r="P5103" s="7"/>
    </row>
    <row r="5104" spans="1:16">
      <c r="A5104" s="3">
        <v>43938.88003472222</v>
      </c>
      <c r="B5104" s="4" t="str">
        <f>HYPERLINK("https://twitter.com/petrogustavo","@petrogustavo")</f>
        <v>@petrogustavo</v>
      </c>
      <c r="C5104" s="5" t="s">
        <v>16</v>
      </c>
      <c r="D5104" s="5" t="s">
        <v>4989</v>
      </c>
      <c r="E5104" s="6" t="str">
        <f>HYPERLINK("https://twitter.com/petrogustavo/status/1251172882857820166","1251172882857820166")</f>
        <v>1251172882857820166</v>
      </c>
      <c r="F5104" s="7" t="s">
        <v>17</v>
      </c>
      <c r="G5104" s="7">
        <v>3776000</v>
      </c>
      <c r="H5104" s="7">
        <v>2392</v>
      </c>
      <c r="I5104" s="7">
        <v>433</v>
      </c>
      <c r="J5104" s="7">
        <v>852</v>
      </c>
      <c r="K5104" s="7" t="s">
        <v>18</v>
      </c>
      <c r="L5104" s="8">
        <v>39987.315405092595</v>
      </c>
      <c r="M5104" s="9" t="s">
        <v>19</v>
      </c>
      <c r="N5104" s="9" t="s">
        <v>20</v>
      </c>
      <c r="O5104" s="6" t="str">
        <f>HYPERLINK("https://pbs.twimg.com/profile_images/962471262747529216/Uo8lOkRJ_normal.jpg","View")</f>
        <v>View</v>
      </c>
      <c r="P5104" s="7"/>
    </row>
    <row r="5105" spans="1:16">
      <c r="A5105" s="3">
        <v>43938.886655092589</v>
      </c>
      <c r="B5105" s="4" t="str">
        <f>HYPERLINK("https://twitter.com/petrogustavo","@petrogustavo")</f>
        <v>@petrogustavo</v>
      </c>
      <c r="C5105" s="5" t="s">
        <v>16</v>
      </c>
      <c r="D5105" s="5" t="s">
        <v>4990</v>
      </c>
      <c r="E5105" s="6" t="str">
        <f>HYPERLINK("https://twitter.com/petrogustavo/status/1251175283060768769","1251175283060768769")</f>
        <v>1251175283060768769</v>
      </c>
      <c r="F5105" s="7" t="s">
        <v>17</v>
      </c>
      <c r="G5105" s="7">
        <v>3776000</v>
      </c>
      <c r="H5105" s="7">
        <v>2392</v>
      </c>
      <c r="I5105" s="7">
        <v>44</v>
      </c>
      <c r="J5105" s="7">
        <v>0</v>
      </c>
      <c r="K5105" s="7" t="s">
        <v>18</v>
      </c>
      <c r="L5105" s="8">
        <v>39987.315405092595</v>
      </c>
      <c r="M5105" s="9" t="s">
        <v>19</v>
      </c>
      <c r="N5105" s="9" t="s">
        <v>20</v>
      </c>
      <c r="O5105" s="6" t="str">
        <f>HYPERLINK("https://pbs.twimg.com/profile_images/962471262747529216/Uo8lOkRJ_normal.jpg","View")</f>
        <v>View</v>
      </c>
      <c r="P5105" s="7"/>
    </row>
    <row r="5106" spans="1:16">
      <c r="A5106" s="3">
        <v>43938.888206018513</v>
      </c>
      <c r="B5106" s="4" t="str">
        <f>HYPERLINK("https://twitter.com/petrogustavo","@petrogustavo")</f>
        <v>@petrogustavo</v>
      </c>
      <c r="C5106" s="5" t="s">
        <v>16</v>
      </c>
      <c r="D5106" s="5" t="s">
        <v>4991</v>
      </c>
      <c r="E5106" s="6" t="str">
        <f>HYPERLINK("https://twitter.com/petrogustavo/status/1251175842270642178","1251175842270642178")</f>
        <v>1251175842270642178</v>
      </c>
      <c r="F5106" s="7" t="s">
        <v>17</v>
      </c>
      <c r="G5106" s="7">
        <v>3776000</v>
      </c>
      <c r="H5106" s="7">
        <v>2392</v>
      </c>
      <c r="I5106" s="7">
        <v>86</v>
      </c>
      <c r="J5106" s="7">
        <v>204</v>
      </c>
      <c r="K5106" s="7" t="s">
        <v>18</v>
      </c>
      <c r="L5106" s="8">
        <v>39987.315405092595</v>
      </c>
      <c r="M5106" s="9" t="s">
        <v>19</v>
      </c>
      <c r="N5106" s="9" t="s">
        <v>20</v>
      </c>
      <c r="O5106" s="6" t="str">
        <f>HYPERLINK("https://pbs.twimg.com/profile_images/962471262747529216/Uo8lOkRJ_normal.jpg","View")</f>
        <v>View</v>
      </c>
      <c r="P5106" s="7"/>
    </row>
    <row r="5107" spans="1:16">
      <c r="A5107" s="3">
        <v>43938.888703703706</v>
      </c>
      <c r="B5107" s="4" t="str">
        <f>HYPERLINK("https://twitter.com/petrogustavo","@petrogustavo")</f>
        <v>@petrogustavo</v>
      </c>
      <c r="C5107" s="5" t="s">
        <v>16</v>
      </c>
      <c r="D5107" s="5" t="s">
        <v>4992</v>
      </c>
      <c r="E5107" s="6" t="str">
        <f>HYPERLINK("https://twitter.com/petrogustavo/status/1251176024261484552","1251176024261484552")</f>
        <v>1251176024261484552</v>
      </c>
      <c r="F5107" s="7" t="s">
        <v>17</v>
      </c>
      <c r="G5107" s="7">
        <v>3776000</v>
      </c>
      <c r="H5107" s="7">
        <v>2392</v>
      </c>
      <c r="I5107" s="7">
        <v>433</v>
      </c>
      <c r="J5107" s="7">
        <v>0</v>
      </c>
      <c r="K5107" s="7" t="s">
        <v>18</v>
      </c>
      <c r="L5107" s="8">
        <v>39987.315405092595</v>
      </c>
      <c r="M5107" s="9" t="s">
        <v>19</v>
      </c>
      <c r="N5107" s="9" t="s">
        <v>20</v>
      </c>
      <c r="O5107" s="6" t="str">
        <f>HYPERLINK("https://pbs.twimg.com/profile_images/962471262747529216/Uo8lOkRJ_normal.jpg","View")</f>
        <v>View</v>
      </c>
      <c r="P5107" s="7"/>
    </row>
    <row r="5108" spans="1:16">
      <c r="A5108" s="3">
        <v>43938.968958333338</v>
      </c>
      <c r="B5108" s="4" t="str">
        <f>HYPERLINK("https://twitter.com/petrogustavo","@petrogustavo")</f>
        <v>@petrogustavo</v>
      </c>
      <c r="C5108" s="5" t="s">
        <v>16</v>
      </c>
      <c r="D5108" s="5" t="s">
        <v>4993</v>
      </c>
      <c r="E5108" s="6" t="str">
        <f>HYPERLINK("https://twitter.com/petrogustavo/status/1251205106529419266","1251205106529419266")</f>
        <v>1251205106529419266</v>
      </c>
      <c r="F5108" s="7" t="s">
        <v>17</v>
      </c>
      <c r="G5108" s="7">
        <v>3776261</v>
      </c>
      <c r="H5108" s="7">
        <v>2393</v>
      </c>
      <c r="I5108" s="7">
        <v>95</v>
      </c>
      <c r="J5108" s="7">
        <v>0</v>
      </c>
      <c r="K5108" s="7" t="s">
        <v>18</v>
      </c>
      <c r="L5108" s="8">
        <v>39987.315405092595</v>
      </c>
      <c r="M5108" s="9" t="s">
        <v>19</v>
      </c>
      <c r="N5108" s="9" t="s">
        <v>20</v>
      </c>
      <c r="O5108" s="6" t="str">
        <f>HYPERLINK("https://pbs.twimg.com/profile_images/962471262747529216/Uo8lOkRJ_normal.jpg","View")</f>
        <v>View</v>
      </c>
      <c r="P5108" s="7"/>
    </row>
    <row r="5109" spans="1:16">
      <c r="A5109" s="3">
        <v>43938.973587962959</v>
      </c>
      <c r="B5109" s="4" t="str">
        <f>HYPERLINK("https://twitter.com/petrogustavo","@petrogustavo")</f>
        <v>@petrogustavo</v>
      </c>
      <c r="C5109" s="5" t="s">
        <v>16</v>
      </c>
      <c r="D5109" s="5" t="s">
        <v>4994</v>
      </c>
      <c r="E5109" s="6" t="str">
        <f>HYPERLINK("https://twitter.com/petrogustavo/status/1251206783437242369","1251206783437242369")</f>
        <v>1251206783437242369</v>
      </c>
      <c r="F5109" s="7" t="s">
        <v>17</v>
      </c>
      <c r="G5109" s="7">
        <v>3776261</v>
      </c>
      <c r="H5109" s="7">
        <v>2393</v>
      </c>
      <c r="I5109" s="7">
        <v>136</v>
      </c>
      <c r="J5109" s="7">
        <v>291</v>
      </c>
      <c r="K5109" s="7" t="s">
        <v>18</v>
      </c>
      <c r="L5109" s="8">
        <v>39987.315405092595</v>
      </c>
      <c r="M5109" s="9" t="s">
        <v>19</v>
      </c>
      <c r="N5109" s="9" t="s">
        <v>20</v>
      </c>
      <c r="O5109" s="6" t="str">
        <f>HYPERLINK("https://pbs.twimg.com/profile_images/962471262747529216/Uo8lOkRJ_normal.jpg","View")</f>
        <v>View</v>
      </c>
      <c r="P5109" s="7"/>
    </row>
    <row r="5110" spans="1:16">
      <c r="A5110" s="3">
        <v>43938.974953703699</v>
      </c>
      <c r="B5110" s="4" t="str">
        <f>HYPERLINK("https://twitter.com/petrogustavo","@petrogustavo")</f>
        <v>@petrogustavo</v>
      </c>
      <c r="C5110" s="5" t="s">
        <v>16</v>
      </c>
      <c r="D5110" s="5" t="s">
        <v>4995</v>
      </c>
      <c r="E5110" s="6" t="str">
        <f>HYPERLINK("https://twitter.com/petrogustavo/status/1251207277966692352","1251207277966692352")</f>
        <v>1251207277966692352</v>
      </c>
      <c r="F5110" s="7" t="s">
        <v>17</v>
      </c>
      <c r="G5110" s="7">
        <v>3776261</v>
      </c>
      <c r="H5110" s="7">
        <v>2393</v>
      </c>
      <c r="I5110" s="7">
        <v>100</v>
      </c>
      <c r="J5110" s="7">
        <v>0</v>
      </c>
      <c r="K5110" s="7" t="s">
        <v>18</v>
      </c>
      <c r="L5110" s="8">
        <v>39987.315405092595</v>
      </c>
      <c r="M5110" s="9" t="s">
        <v>19</v>
      </c>
      <c r="N5110" s="9" t="s">
        <v>20</v>
      </c>
      <c r="O5110" s="6" t="str">
        <f>HYPERLINK("https://pbs.twimg.com/profile_images/962471262747529216/Uo8lOkRJ_normal.jpg","View")</f>
        <v>View</v>
      </c>
      <c r="P5110" s="7"/>
    </row>
    <row r="5111" spans="1:16">
      <c r="A5111" s="3">
        <v>43938.980717592596</v>
      </c>
      <c r="B5111" s="4" t="str">
        <f>HYPERLINK("https://twitter.com/petrogustavo","@petrogustavo")</f>
        <v>@petrogustavo</v>
      </c>
      <c r="C5111" s="5" t="s">
        <v>16</v>
      </c>
      <c r="D5111" s="5" t="s">
        <v>4996</v>
      </c>
      <c r="E5111" s="6" t="str">
        <f>HYPERLINK("https://twitter.com/petrogustavo/status/1251209369385123847","1251209369385123847")</f>
        <v>1251209369385123847</v>
      </c>
      <c r="F5111" s="7" t="s">
        <v>17</v>
      </c>
      <c r="G5111" s="7">
        <v>3776261</v>
      </c>
      <c r="H5111" s="7">
        <v>2393</v>
      </c>
      <c r="I5111" s="7">
        <v>7</v>
      </c>
      <c r="J5111" s="7">
        <v>14</v>
      </c>
      <c r="K5111" s="7" t="s">
        <v>18</v>
      </c>
      <c r="L5111" s="8">
        <v>39987.315405092595</v>
      </c>
      <c r="M5111" s="9" t="s">
        <v>19</v>
      </c>
      <c r="N5111" s="9" t="s">
        <v>20</v>
      </c>
      <c r="O5111" s="6" t="str">
        <f>HYPERLINK("https://pbs.twimg.com/profile_images/962471262747529216/Uo8lOkRJ_normal.jpg","View")</f>
        <v>View</v>
      </c>
      <c r="P5111" s="7"/>
    </row>
    <row r="5112" spans="1:16">
      <c r="A5112" s="3">
        <v>43938.992962962962</v>
      </c>
      <c r="B5112" s="4" t="str">
        <f>HYPERLINK("https://twitter.com/petrogustavo","@petrogustavo")</f>
        <v>@petrogustavo</v>
      </c>
      <c r="C5112" s="5" t="s">
        <v>16</v>
      </c>
      <c r="D5112" s="5" t="s">
        <v>4997</v>
      </c>
      <c r="E5112" s="6" t="str">
        <f>HYPERLINK("https://twitter.com/petrogustavo/status/1251213806296014848","1251213806296014848")</f>
        <v>1251213806296014848</v>
      </c>
      <c r="F5112" s="7" t="s">
        <v>17</v>
      </c>
      <c r="G5112" s="7">
        <v>3776350</v>
      </c>
      <c r="H5112" s="7">
        <v>2393</v>
      </c>
      <c r="I5112" s="7">
        <v>80</v>
      </c>
      <c r="J5112" s="7">
        <v>0</v>
      </c>
      <c r="K5112" s="7" t="s">
        <v>18</v>
      </c>
      <c r="L5112" s="8">
        <v>39987.315405092595</v>
      </c>
      <c r="M5112" s="9" t="s">
        <v>19</v>
      </c>
      <c r="N5112" s="9" t="s">
        <v>20</v>
      </c>
      <c r="O5112" s="6" t="str">
        <f>HYPERLINK("https://pbs.twimg.com/profile_images/962471262747529216/Uo8lOkRJ_normal.jpg","View")</f>
        <v>View</v>
      </c>
      <c r="P5112" s="7"/>
    </row>
    <row r="5113" spans="1:16">
      <c r="A5113" s="3">
        <v>43939.003495370373</v>
      </c>
      <c r="B5113" s="4" t="str">
        <f>HYPERLINK("https://twitter.com/petrogustavo","@petrogustavo")</f>
        <v>@petrogustavo</v>
      </c>
      <c r="C5113" s="5" t="s">
        <v>16</v>
      </c>
      <c r="D5113" s="5" t="s">
        <v>4998</v>
      </c>
      <c r="E5113" s="6" t="str">
        <f>HYPERLINK("https://twitter.com/petrogustavo/status/1251217623024635904","1251217623024635904")</f>
        <v>1251217623024635904</v>
      </c>
      <c r="F5113" s="7" t="s">
        <v>17</v>
      </c>
      <c r="G5113" s="7">
        <v>3776415</v>
      </c>
      <c r="H5113" s="7">
        <v>2393</v>
      </c>
      <c r="I5113" s="7">
        <v>69</v>
      </c>
      <c r="J5113" s="7">
        <v>178</v>
      </c>
      <c r="K5113" s="7" t="s">
        <v>18</v>
      </c>
      <c r="L5113" s="8">
        <v>39987.315405092595</v>
      </c>
      <c r="M5113" s="9" t="s">
        <v>19</v>
      </c>
      <c r="N5113" s="9" t="s">
        <v>20</v>
      </c>
      <c r="O5113" s="6" t="str">
        <f>HYPERLINK("https://pbs.twimg.com/profile_images/962471262747529216/Uo8lOkRJ_normal.jpg","View")</f>
        <v>View</v>
      </c>
      <c r="P5113" s="7"/>
    </row>
    <row r="5114" spans="1:16">
      <c r="A5114" s="3">
        <v>43939.004016203704</v>
      </c>
      <c r="B5114" s="4" t="str">
        <f>HYPERLINK("https://twitter.com/petrogustavo","@petrogustavo")</f>
        <v>@petrogustavo</v>
      </c>
      <c r="C5114" s="5" t="s">
        <v>16</v>
      </c>
      <c r="D5114" s="5" t="s">
        <v>4999</v>
      </c>
      <c r="E5114" s="6" t="str">
        <f>HYPERLINK("https://twitter.com/petrogustavo/status/1251217811164332032","1251217811164332032")</f>
        <v>1251217811164332032</v>
      </c>
      <c r="F5114" s="7" t="s">
        <v>17</v>
      </c>
      <c r="G5114" s="7">
        <v>3776415</v>
      </c>
      <c r="H5114" s="7">
        <v>2393</v>
      </c>
      <c r="I5114" s="7">
        <v>157</v>
      </c>
      <c r="J5114" s="7">
        <v>388</v>
      </c>
      <c r="K5114" s="7" t="s">
        <v>18</v>
      </c>
      <c r="L5114" s="8">
        <v>39987.315405092595</v>
      </c>
      <c r="M5114" s="9" t="s">
        <v>19</v>
      </c>
      <c r="N5114" s="9" t="s">
        <v>20</v>
      </c>
      <c r="O5114" s="6" t="str">
        <f>HYPERLINK("https://pbs.twimg.com/profile_images/962471262747529216/Uo8lOkRJ_normal.jpg","View")</f>
        <v>View</v>
      </c>
      <c r="P5114" s="7"/>
    </row>
    <row r="5115" spans="1:16">
      <c r="A5115" s="3">
        <v>43939.007002314815</v>
      </c>
      <c r="B5115" s="4" t="str">
        <f>HYPERLINK("https://twitter.com/petrogustavo","@petrogustavo")</f>
        <v>@petrogustavo</v>
      </c>
      <c r="C5115" s="5" t="s">
        <v>16</v>
      </c>
      <c r="D5115" s="5" t="s">
        <v>5000</v>
      </c>
      <c r="E5115" s="6" t="str">
        <f>HYPERLINK("https://twitter.com/petrogustavo/status/1251218894523678720","1251218894523678720")</f>
        <v>1251218894523678720</v>
      </c>
      <c r="F5115" s="7" t="s">
        <v>17</v>
      </c>
      <c r="G5115" s="7">
        <v>3776415</v>
      </c>
      <c r="H5115" s="7">
        <v>2393</v>
      </c>
      <c r="I5115" s="7">
        <v>324</v>
      </c>
      <c r="J5115" s="7">
        <v>0</v>
      </c>
      <c r="K5115" s="7" t="s">
        <v>18</v>
      </c>
      <c r="L5115" s="8">
        <v>39987.315405092595</v>
      </c>
      <c r="M5115" s="9" t="s">
        <v>19</v>
      </c>
      <c r="N5115" s="9" t="s">
        <v>20</v>
      </c>
      <c r="O5115" s="6" t="str">
        <f>HYPERLINK("https://pbs.twimg.com/profile_images/962471262747529216/Uo8lOkRJ_normal.jpg","View")</f>
        <v>View</v>
      </c>
      <c r="P5115" s="7"/>
    </row>
    <row r="5116" spans="1:16">
      <c r="A5116" s="3">
        <v>43939.010208333333</v>
      </c>
      <c r="B5116" s="4" t="str">
        <f>HYPERLINK("https://twitter.com/petrogustavo","@petrogustavo")</f>
        <v>@petrogustavo</v>
      </c>
      <c r="C5116" s="5" t="s">
        <v>16</v>
      </c>
      <c r="D5116" s="5" t="s">
        <v>5001</v>
      </c>
      <c r="E5116" s="6" t="str">
        <f>HYPERLINK("https://twitter.com/petrogustavo/status/1251220057398620163","1251220057398620163")</f>
        <v>1251220057398620163</v>
      </c>
      <c r="F5116" s="7" t="s">
        <v>17</v>
      </c>
      <c r="G5116" s="7">
        <v>3776415</v>
      </c>
      <c r="H5116" s="7">
        <v>2393</v>
      </c>
      <c r="I5116" s="7">
        <v>110</v>
      </c>
      <c r="J5116" s="7">
        <v>161</v>
      </c>
      <c r="K5116" s="7" t="s">
        <v>18</v>
      </c>
      <c r="L5116" s="8">
        <v>39987.315405092595</v>
      </c>
      <c r="M5116" s="9" t="s">
        <v>19</v>
      </c>
      <c r="N5116" s="9" t="s">
        <v>20</v>
      </c>
      <c r="O5116" s="6" t="str">
        <f>HYPERLINK("https://pbs.twimg.com/profile_images/962471262747529216/Uo8lOkRJ_normal.jpg","View")</f>
        <v>View</v>
      </c>
      <c r="P5116" s="7"/>
    </row>
    <row r="5117" spans="1:16">
      <c r="A5117" s="3">
        <v>43939.015428240746</v>
      </c>
      <c r="B5117" s="4" t="str">
        <f>HYPERLINK("https://twitter.com/petrogustavo","@petrogustavo")</f>
        <v>@petrogustavo</v>
      </c>
      <c r="C5117" s="5" t="s">
        <v>16</v>
      </c>
      <c r="D5117" s="5" t="s">
        <v>5002</v>
      </c>
      <c r="E5117" s="6" t="str">
        <f>HYPERLINK("https://twitter.com/petrogustavo/status/1251221949268844544","1251221949268844544")</f>
        <v>1251221949268844544</v>
      </c>
      <c r="F5117" s="7" t="s">
        <v>17</v>
      </c>
      <c r="G5117" s="7">
        <v>3776415</v>
      </c>
      <c r="H5117" s="7">
        <v>2393</v>
      </c>
      <c r="I5117" s="7">
        <v>193</v>
      </c>
      <c r="J5117" s="7">
        <v>0</v>
      </c>
      <c r="K5117" s="7" t="s">
        <v>18</v>
      </c>
      <c r="L5117" s="8">
        <v>39987.315405092595</v>
      </c>
      <c r="M5117" s="9" t="s">
        <v>19</v>
      </c>
      <c r="N5117" s="9" t="s">
        <v>20</v>
      </c>
      <c r="O5117" s="6" t="str">
        <f>HYPERLINK("https://pbs.twimg.com/profile_images/962471262747529216/Uo8lOkRJ_normal.jpg","View")</f>
        <v>View</v>
      </c>
      <c r="P5117" s="7"/>
    </row>
    <row r="5118" spans="1:16">
      <c r="A5118" s="3">
        <v>43939.015555555554</v>
      </c>
      <c r="B5118" s="4" t="str">
        <f>HYPERLINK("https://twitter.com/petrogustavo","@petrogustavo")</f>
        <v>@petrogustavo</v>
      </c>
      <c r="C5118" s="5" t="s">
        <v>16</v>
      </c>
      <c r="D5118" s="5" t="s">
        <v>4967</v>
      </c>
      <c r="E5118" s="6" t="str">
        <f>HYPERLINK("https://twitter.com/petrogustavo/status/1251221991908167682","1251221991908167682")</f>
        <v>1251221991908167682</v>
      </c>
      <c r="F5118" s="7" t="s">
        <v>17</v>
      </c>
      <c r="G5118" s="7">
        <v>3776415</v>
      </c>
      <c r="H5118" s="7">
        <v>2393</v>
      </c>
      <c r="I5118" s="7">
        <v>1452</v>
      </c>
      <c r="J5118" s="7">
        <v>0</v>
      </c>
      <c r="K5118" s="7" t="s">
        <v>18</v>
      </c>
      <c r="L5118" s="8">
        <v>39987.315405092595</v>
      </c>
      <c r="M5118" s="9" t="s">
        <v>19</v>
      </c>
      <c r="N5118" s="9" t="s">
        <v>20</v>
      </c>
      <c r="O5118" s="6" t="str">
        <f>HYPERLINK("https://pbs.twimg.com/profile_images/962471262747529216/Uo8lOkRJ_normal.jpg","View")</f>
        <v>View</v>
      </c>
      <c r="P5118" s="7"/>
    </row>
    <row r="5119" spans="1:16">
      <c r="A5119" s="3">
        <v>43939.093159722222</v>
      </c>
      <c r="B5119" s="4" t="str">
        <f>HYPERLINK("https://twitter.com/petrogustavo","@petrogustavo")</f>
        <v>@petrogustavo</v>
      </c>
      <c r="C5119" s="5" t="s">
        <v>16</v>
      </c>
      <c r="D5119" s="5" t="s">
        <v>5003</v>
      </c>
      <c r="E5119" s="6" t="str">
        <f>HYPERLINK("https://twitter.com/petrogustavo/status/1251250114808680451","1251250114808680451")</f>
        <v>1251250114808680451</v>
      </c>
      <c r="F5119" s="7" t="s">
        <v>17</v>
      </c>
      <c r="G5119" s="7">
        <v>3776672</v>
      </c>
      <c r="H5119" s="7">
        <v>2393</v>
      </c>
      <c r="I5119" s="7">
        <v>48</v>
      </c>
      <c r="J5119" s="7">
        <v>0</v>
      </c>
      <c r="K5119" s="7" t="s">
        <v>18</v>
      </c>
      <c r="L5119" s="8">
        <v>39987.315405092595</v>
      </c>
      <c r="M5119" s="9" t="s">
        <v>19</v>
      </c>
      <c r="N5119" s="9" t="s">
        <v>20</v>
      </c>
      <c r="O5119" s="6" t="str">
        <f>HYPERLINK("https://pbs.twimg.com/profile_images/962471262747529216/Uo8lOkRJ_normal.jpg","View")</f>
        <v>View</v>
      </c>
      <c r="P5119" s="7"/>
    </row>
    <row r="5120" spans="1:16">
      <c r="A5120" s="3">
        <v>43939.093287037038</v>
      </c>
      <c r="B5120" s="4" t="str">
        <f>HYPERLINK("https://twitter.com/petrogustavo","@petrogustavo")</f>
        <v>@petrogustavo</v>
      </c>
      <c r="C5120" s="5" t="s">
        <v>16</v>
      </c>
      <c r="D5120" s="5" t="s">
        <v>5004</v>
      </c>
      <c r="E5120" s="6" t="str">
        <f>HYPERLINK("https://twitter.com/petrogustavo/status/1251250161784938499","1251250161784938499")</f>
        <v>1251250161784938499</v>
      </c>
      <c r="F5120" s="7" t="s">
        <v>17</v>
      </c>
      <c r="G5120" s="7">
        <v>3776672</v>
      </c>
      <c r="H5120" s="7">
        <v>2393</v>
      </c>
      <c r="I5120" s="7">
        <v>67</v>
      </c>
      <c r="J5120" s="7">
        <v>0</v>
      </c>
      <c r="K5120" s="7" t="s">
        <v>18</v>
      </c>
      <c r="L5120" s="8">
        <v>39987.315405092595</v>
      </c>
      <c r="M5120" s="9" t="s">
        <v>19</v>
      </c>
      <c r="N5120" s="9" t="s">
        <v>20</v>
      </c>
      <c r="O5120" s="6" t="str">
        <f>HYPERLINK("https://pbs.twimg.com/profile_images/962471262747529216/Uo8lOkRJ_normal.jpg","View")</f>
        <v>View</v>
      </c>
      <c r="P5120" s="7"/>
    </row>
    <row r="5121" spans="1:16">
      <c r="A5121" s="3">
        <v>43939.093611111108</v>
      </c>
      <c r="B5121" s="4" t="str">
        <f>HYPERLINK("https://twitter.com/petrogustavo","@petrogustavo")</f>
        <v>@petrogustavo</v>
      </c>
      <c r="C5121" s="5" t="s">
        <v>16</v>
      </c>
      <c r="D5121" s="5" t="s">
        <v>5005</v>
      </c>
      <c r="E5121" s="6" t="str">
        <f>HYPERLINK("https://twitter.com/petrogustavo/status/1251250280471187461","1251250280471187461")</f>
        <v>1251250280471187461</v>
      </c>
      <c r="F5121" s="7" t="s">
        <v>17</v>
      </c>
      <c r="G5121" s="7">
        <v>3776672</v>
      </c>
      <c r="H5121" s="7">
        <v>2393</v>
      </c>
      <c r="I5121" s="7">
        <v>319</v>
      </c>
      <c r="J5121" s="7">
        <v>0</v>
      </c>
      <c r="K5121" s="7" t="s">
        <v>18</v>
      </c>
      <c r="L5121" s="8">
        <v>39987.315405092595</v>
      </c>
      <c r="M5121" s="9" t="s">
        <v>19</v>
      </c>
      <c r="N5121" s="9" t="s">
        <v>20</v>
      </c>
      <c r="O5121" s="6" t="str">
        <f>HYPERLINK("https://pbs.twimg.com/profile_images/962471262747529216/Uo8lOkRJ_normal.jpg","View")</f>
        <v>View</v>
      </c>
      <c r="P5121" s="7"/>
    </row>
    <row r="5122" spans="1:16">
      <c r="A5122" s="3">
        <v>43939.096030092594</v>
      </c>
      <c r="B5122" s="4" t="str">
        <f>HYPERLINK("https://twitter.com/petrogustavo","@petrogustavo")</f>
        <v>@petrogustavo</v>
      </c>
      <c r="C5122" s="5" t="s">
        <v>16</v>
      </c>
      <c r="D5122" s="5" t="s">
        <v>5006</v>
      </c>
      <c r="E5122" s="6" t="str">
        <f>HYPERLINK("https://twitter.com/petrogustavo/status/1251251155751055360","1251251155751055360")</f>
        <v>1251251155751055360</v>
      </c>
      <c r="F5122" s="7" t="s">
        <v>17</v>
      </c>
      <c r="G5122" s="7">
        <v>3776672</v>
      </c>
      <c r="H5122" s="7">
        <v>2393</v>
      </c>
      <c r="I5122" s="7">
        <v>84</v>
      </c>
      <c r="J5122" s="7">
        <v>0</v>
      </c>
      <c r="K5122" s="7" t="s">
        <v>18</v>
      </c>
      <c r="L5122" s="8">
        <v>39987.315405092595</v>
      </c>
      <c r="M5122" s="9" t="s">
        <v>19</v>
      </c>
      <c r="N5122" s="9" t="s">
        <v>20</v>
      </c>
      <c r="O5122" s="6" t="str">
        <f>HYPERLINK("https://pbs.twimg.com/profile_images/962471262747529216/Uo8lOkRJ_normal.jpg","View")</f>
        <v>View</v>
      </c>
      <c r="P5122" s="7"/>
    </row>
    <row r="5123" spans="1:16">
      <c r="A5123" s="3">
        <v>43939.103483796294</v>
      </c>
      <c r="B5123" s="4" t="str">
        <f>HYPERLINK("https://twitter.com/petrogustavo","@petrogustavo")</f>
        <v>@petrogustavo</v>
      </c>
      <c r="C5123" s="5" t="s">
        <v>16</v>
      </c>
      <c r="D5123" s="5" t="s">
        <v>5007</v>
      </c>
      <c r="E5123" s="6" t="str">
        <f>HYPERLINK("https://twitter.com/petrogustavo/status/1251253858438873095","1251253858438873095")</f>
        <v>1251253858438873095</v>
      </c>
      <c r="F5123" s="7" t="s">
        <v>17</v>
      </c>
      <c r="G5123" s="7">
        <v>3776672</v>
      </c>
      <c r="H5123" s="7">
        <v>2393</v>
      </c>
      <c r="I5123" s="7">
        <v>17</v>
      </c>
      <c r="J5123" s="7">
        <v>0</v>
      </c>
      <c r="K5123" s="7" t="s">
        <v>18</v>
      </c>
      <c r="L5123" s="8">
        <v>39987.315405092595</v>
      </c>
      <c r="M5123" s="9" t="s">
        <v>19</v>
      </c>
      <c r="N5123" s="9" t="s">
        <v>20</v>
      </c>
      <c r="O5123" s="6" t="str">
        <f>HYPERLINK("https://pbs.twimg.com/profile_images/962471262747529216/Uo8lOkRJ_normal.jpg","View")</f>
        <v>View</v>
      </c>
      <c r="P5123" s="7"/>
    </row>
    <row r="5124" spans="1:16">
      <c r="A5124" s="3">
        <v>43939.114479166667</v>
      </c>
      <c r="B5124" s="4" t="str">
        <f>HYPERLINK("https://twitter.com/petrogustavo","@petrogustavo")</f>
        <v>@petrogustavo</v>
      </c>
      <c r="C5124" s="5" t="s">
        <v>16</v>
      </c>
      <c r="D5124" s="5" t="s">
        <v>5008</v>
      </c>
      <c r="E5124" s="6" t="str">
        <f>HYPERLINK("https://twitter.com/petrogustavo/status/1251257842578972678","1251257842578972678")</f>
        <v>1251257842578972678</v>
      </c>
      <c r="F5124" s="7" t="s">
        <v>17</v>
      </c>
      <c r="G5124" s="7">
        <v>3776710</v>
      </c>
      <c r="H5124" s="7">
        <v>2393</v>
      </c>
      <c r="I5124" s="7">
        <v>153</v>
      </c>
      <c r="J5124" s="7">
        <v>298</v>
      </c>
      <c r="K5124" s="7" t="s">
        <v>18</v>
      </c>
      <c r="L5124" s="8">
        <v>39987.315405092595</v>
      </c>
      <c r="M5124" s="9" t="s">
        <v>19</v>
      </c>
      <c r="N5124" s="9" t="s">
        <v>20</v>
      </c>
      <c r="O5124" s="6" t="str">
        <f>HYPERLINK("https://pbs.twimg.com/profile_images/962471262747529216/Uo8lOkRJ_normal.jpg","View")</f>
        <v>View</v>
      </c>
      <c r="P5124" s="7"/>
    </row>
    <row r="5125" spans="1:16">
      <c r="A5125" s="3">
        <v>43939.116967592592</v>
      </c>
      <c r="B5125" s="4" t="str">
        <f>HYPERLINK("https://twitter.com/petrogustavo","@petrogustavo")</f>
        <v>@petrogustavo</v>
      </c>
      <c r="C5125" s="5" t="s">
        <v>16</v>
      </c>
      <c r="D5125" s="5" t="s">
        <v>5009</v>
      </c>
      <c r="E5125" s="6" t="str">
        <f>HYPERLINK("https://twitter.com/petrogustavo/status/1251258745172176897","1251258745172176897")</f>
        <v>1251258745172176897</v>
      </c>
      <c r="F5125" s="7" t="s">
        <v>17</v>
      </c>
      <c r="G5125" s="7">
        <v>3776710</v>
      </c>
      <c r="H5125" s="7">
        <v>2393</v>
      </c>
      <c r="I5125" s="7">
        <v>896</v>
      </c>
      <c r="J5125" s="7">
        <v>0</v>
      </c>
      <c r="K5125" s="7" t="s">
        <v>18</v>
      </c>
      <c r="L5125" s="8">
        <v>39987.315405092595</v>
      </c>
      <c r="M5125" s="9" t="s">
        <v>19</v>
      </c>
      <c r="N5125" s="9" t="s">
        <v>20</v>
      </c>
      <c r="O5125" s="6" t="str">
        <f>HYPERLINK("https://pbs.twimg.com/profile_images/962471262747529216/Uo8lOkRJ_normal.jpg","View")</f>
        <v>View</v>
      </c>
      <c r="P5125" s="7"/>
    </row>
    <row r="5126" spans="1:16">
      <c r="A5126" s="3">
        <v>43939.122696759259</v>
      </c>
      <c r="B5126" s="4" t="str">
        <f>HYPERLINK("https://twitter.com/petrogustavo","@petrogustavo")</f>
        <v>@petrogustavo</v>
      </c>
      <c r="C5126" s="5" t="s">
        <v>16</v>
      </c>
      <c r="D5126" s="5" t="s">
        <v>5010</v>
      </c>
      <c r="E5126" s="6" t="str">
        <f>HYPERLINK("https://twitter.com/petrogustavo/status/1251260819230294021","1251260819230294021")</f>
        <v>1251260819230294021</v>
      </c>
      <c r="F5126" s="7" t="s">
        <v>17</v>
      </c>
      <c r="G5126" s="7">
        <v>3776710</v>
      </c>
      <c r="H5126" s="7">
        <v>2393</v>
      </c>
      <c r="I5126" s="7">
        <v>29</v>
      </c>
      <c r="J5126" s="7">
        <v>0</v>
      </c>
      <c r="K5126" s="7" t="s">
        <v>18</v>
      </c>
      <c r="L5126" s="8">
        <v>39987.315405092595</v>
      </c>
      <c r="M5126" s="9" t="s">
        <v>19</v>
      </c>
      <c r="N5126" s="9" t="s">
        <v>20</v>
      </c>
      <c r="O5126" s="6" t="str">
        <f>HYPERLINK("https://pbs.twimg.com/profile_images/962471262747529216/Uo8lOkRJ_normal.jpg","View")</f>
        <v>View</v>
      </c>
      <c r="P5126" s="7"/>
    </row>
    <row r="5127" spans="1:16">
      <c r="A5127" s="3">
        <v>43939.124664351853</v>
      </c>
      <c r="B5127" s="4" t="str">
        <f>HYPERLINK("https://twitter.com/petrogustavo","@petrogustavo")</f>
        <v>@petrogustavo</v>
      </c>
      <c r="C5127" s="5" t="s">
        <v>16</v>
      </c>
      <c r="D5127" s="5" t="s">
        <v>5011</v>
      </c>
      <c r="E5127" s="6" t="str">
        <f>HYPERLINK("https://twitter.com/petrogustavo/status/1251261533163790336","1251261533163790336")</f>
        <v>1251261533163790336</v>
      </c>
      <c r="F5127" s="7" t="s">
        <v>17</v>
      </c>
      <c r="G5127" s="7">
        <v>3776710</v>
      </c>
      <c r="H5127" s="7">
        <v>2393</v>
      </c>
      <c r="I5127" s="7">
        <v>13</v>
      </c>
      <c r="J5127" s="7">
        <v>28</v>
      </c>
      <c r="K5127" s="7" t="s">
        <v>18</v>
      </c>
      <c r="L5127" s="8">
        <v>39987.315405092595</v>
      </c>
      <c r="M5127" s="9" t="s">
        <v>19</v>
      </c>
      <c r="N5127" s="9" t="s">
        <v>20</v>
      </c>
      <c r="O5127" s="6" t="str">
        <f>HYPERLINK("https://pbs.twimg.com/profile_images/962471262747529216/Uo8lOkRJ_normal.jpg","View")</f>
        <v>View</v>
      </c>
      <c r="P5127" s="7"/>
    </row>
    <row r="5128" spans="1:16">
      <c r="A5128" s="3">
        <v>43939.12672453704</v>
      </c>
      <c r="B5128" s="4" t="str">
        <f>HYPERLINK("https://twitter.com/petrogustavo","@petrogustavo")</f>
        <v>@petrogustavo</v>
      </c>
      <c r="C5128" s="5" t="s">
        <v>16</v>
      </c>
      <c r="D5128" s="5" t="s">
        <v>5012</v>
      </c>
      <c r="E5128" s="6" t="str">
        <f>HYPERLINK("https://twitter.com/petrogustavo/status/1251262280861470722","1251262280861470722")</f>
        <v>1251262280861470722</v>
      </c>
      <c r="F5128" s="7" t="s">
        <v>17</v>
      </c>
      <c r="G5128" s="7">
        <v>3776756</v>
      </c>
      <c r="H5128" s="7">
        <v>2393</v>
      </c>
      <c r="I5128" s="7">
        <v>134</v>
      </c>
      <c r="J5128" s="7">
        <v>215</v>
      </c>
      <c r="K5128" s="7" t="s">
        <v>18</v>
      </c>
      <c r="L5128" s="8">
        <v>39987.315405092595</v>
      </c>
      <c r="M5128" s="9" t="s">
        <v>19</v>
      </c>
      <c r="N5128" s="9" t="s">
        <v>20</v>
      </c>
      <c r="O5128" s="6" t="str">
        <f>HYPERLINK("https://pbs.twimg.com/profile_images/962471262747529216/Uo8lOkRJ_normal.jpg","View")</f>
        <v>View</v>
      </c>
      <c r="P5128" s="7"/>
    </row>
    <row r="5129" spans="1:16">
      <c r="A5129" s="3">
        <v>43939.128379629634</v>
      </c>
      <c r="B5129" s="4" t="str">
        <f>HYPERLINK("https://twitter.com/petrogustavo","@petrogustavo")</f>
        <v>@petrogustavo</v>
      </c>
      <c r="C5129" s="5" t="s">
        <v>16</v>
      </c>
      <c r="D5129" s="5" t="s">
        <v>5013</v>
      </c>
      <c r="E5129" s="6" t="str">
        <f>HYPERLINK("https://twitter.com/petrogustavo/status/1251262880143548422","1251262880143548422")</f>
        <v>1251262880143548422</v>
      </c>
      <c r="F5129" s="7" t="s">
        <v>17</v>
      </c>
      <c r="G5129" s="7">
        <v>3776756</v>
      </c>
      <c r="H5129" s="7">
        <v>2393</v>
      </c>
      <c r="I5129" s="7">
        <v>120</v>
      </c>
      <c r="J5129" s="7">
        <v>310</v>
      </c>
      <c r="K5129" s="7" t="s">
        <v>18</v>
      </c>
      <c r="L5129" s="8">
        <v>39987.315405092595</v>
      </c>
      <c r="M5129" s="9" t="s">
        <v>19</v>
      </c>
      <c r="N5129" s="9" t="s">
        <v>20</v>
      </c>
      <c r="O5129" s="6" t="str">
        <f>HYPERLINK("https://pbs.twimg.com/profile_images/962471262747529216/Uo8lOkRJ_normal.jpg","View")</f>
        <v>View</v>
      </c>
      <c r="P5129" s="7"/>
    </row>
    <row r="5130" spans="1:16">
      <c r="A5130" s="3">
        <v>43939.131874999999</v>
      </c>
      <c r="B5130" s="4" t="str">
        <f>HYPERLINK("https://twitter.com/petrogustavo","@petrogustavo")</f>
        <v>@petrogustavo</v>
      </c>
      <c r="C5130" s="5" t="s">
        <v>16</v>
      </c>
      <c r="D5130" s="5" t="s">
        <v>5014</v>
      </c>
      <c r="E5130" s="6" t="str">
        <f>HYPERLINK("https://twitter.com/petrogustavo/status/1251264145904861184","1251264145904861184")</f>
        <v>1251264145904861184</v>
      </c>
      <c r="F5130" s="7" t="s">
        <v>17</v>
      </c>
      <c r="G5130" s="7">
        <v>3776756</v>
      </c>
      <c r="H5130" s="7">
        <v>2393</v>
      </c>
      <c r="I5130" s="7">
        <v>44</v>
      </c>
      <c r="J5130" s="7">
        <v>102</v>
      </c>
      <c r="K5130" s="7" t="s">
        <v>18</v>
      </c>
      <c r="L5130" s="8">
        <v>39987.315405092595</v>
      </c>
      <c r="M5130" s="9" t="s">
        <v>19</v>
      </c>
      <c r="N5130" s="9" t="s">
        <v>20</v>
      </c>
      <c r="O5130" s="6" t="str">
        <f>HYPERLINK("https://pbs.twimg.com/profile_images/962471262747529216/Uo8lOkRJ_normal.jpg","View")</f>
        <v>View</v>
      </c>
      <c r="P5130" s="7"/>
    </row>
    <row r="5131" spans="1:16">
      <c r="A5131" s="3">
        <v>43939.132372685184</v>
      </c>
      <c r="B5131" s="4" t="str">
        <f>HYPERLINK("https://twitter.com/petrogustavo","@petrogustavo")</f>
        <v>@petrogustavo</v>
      </c>
      <c r="C5131" s="5" t="s">
        <v>16</v>
      </c>
      <c r="D5131" s="5" t="s">
        <v>5015</v>
      </c>
      <c r="E5131" s="6" t="str">
        <f>HYPERLINK("https://twitter.com/petrogustavo/status/1251264326524116992","1251264326524116992")</f>
        <v>1251264326524116992</v>
      </c>
      <c r="F5131" s="7" t="s">
        <v>17</v>
      </c>
      <c r="G5131" s="7">
        <v>3776756</v>
      </c>
      <c r="H5131" s="7">
        <v>2393</v>
      </c>
      <c r="I5131" s="7">
        <v>661</v>
      </c>
      <c r="J5131" s="7">
        <v>0</v>
      </c>
      <c r="K5131" s="7" t="s">
        <v>18</v>
      </c>
      <c r="L5131" s="8">
        <v>39987.315405092595</v>
      </c>
      <c r="M5131" s="9" t="s">
        <v>19</v>
      </c>
      <c r="N5131" s="9" t="s">
        <v>20</v>
      </c>
      <c r="O5131" s="6" t="str">
        <f>HYPERLINK("https://pbs.twimg.com/profile_images/962471262747529216/Uo8lOkRJ_normal.jpg","View")</f>
        <v>View</v>
      </c>
      <c r="P5131" s="7"/>
    </row>
    <row r="5132" spans="1:16">
      <c r="A5132" s="3">
        <v>43939.1328125</v>
      </c>
      <c r="B5132" s="4" t="str">
        <f>HYPERLINK("https://twitter.com/petrogustavo","@petrogustavo")</f>
        <v>@petrogustavo</v>
      </c>
      <c r="C5132" s="5" t="s">
        <v>16</v>
      </c>
      <c r="D5132" s="5" t="s">
        <v>5016</v>
      </c>
      <c r="E5132" s="6" t="str">
        <f>HYPERLINK("https://twitter.com/petrogustavo/status/1251264487296040964","1251264487296040964")</f>
        <v>1251264487296040964</v>
      </c>
      <c r="F5132" s="7" t="s">
        <v>17</v>
      </c>
      <c r="G5132" s="7">
        <v>3776756</v>
      </c>
      <c r="H5132" s="7">
        <v>2393</v>
      </c>
      <c r="I5132" s="7">
        <v>35</v>
      </c>
      <c r="J5132" s="7">
        <v>0</v>
      </c>
      <c r="K5132" s="7" t="s">
        <v>18</v>
      </c>
      <c r="L5132" s="8">
        <v>39987.315405092595</v>
      </c>
      <c r="M5132" s="9" t="s">
        <v>19</v>
      </c>
      <c r="N5132" s="9" t="s">
        <v>20</v>
      </c>
      <c r="O5132" s="6" t="str">
        <f>HYPERLINK("https://pbs.twimg.com/profile_images/962471262747529216/Uo8lOkRJ_normal.jpg","View")</f>
        <v>View</v>
      </c>
      <c r="P5132" s="7"/>
    </row>
    <row r="5133" spans="1:16">
      <c r="A5133" s="3">
        <v>43939.135497685187</v>
      </c>
      <c r="B5133" s="4" t="str">
        <f>HYPERLINK("https://twitter.com/petrogustavo","@petrogustavo")</f>
        <v>@petrogustavo</v>
      </c>
      <c r="C5133" s="5" t="s">
        <v>16</v>
      </c>
      <c r="D5133" s="5" t="s">
        <v>5017</v>
      </c>
      <c r="E5133" s="6" t="str">
        <f>HYPERLINK("https://twitter.com/petrogustavo/status/1251265457157550081","1251265457157550081")</f>
        <v>1251265457157550081</v>
      </c>
      <c r="F5133" s="7" t="s">
        <v>17</v>
      </c>
      <c r="G5133" s="7">
        <v>3776756</v>
      </c>
      <c r="H5133" s="7">
        <v>2393</v>
      </c>
      <c r="I5133" s="7">
        <v>219</v>
      </c>
      <c r="J5133" s="7">
        <v>584</v>
      </c>
      <c r="K5133" s="7" t="s">
        <v>18</v>
      </c>
      <c r="L5133" s="8">
        <v>39987.315405092595</v>
      </c>
      <c r="M5133" s="9" t="s">
        <v>19</v>
      </c>
      <c r="N5133" s="9" t="s">
        <v>20</v>
      </c>
      <c r="O5133" s="6" t="str">
        <f>HYPERLINK("https://pbs.twimg.com/profile_images/962471262747529216/Uo8lOkRJ_normal.jpg","View")</f>
        <v>View</v>
      </c>
      <c r="P5133" s="7"/>
    </row>
    <row r="5134" spans="1:16">
      <c r="A5134" s="3">
        <v>43939.136666666665</v>
      </c>
      <c r="B5134" s="4" t="str">
        <f>HYPERLINK("https://twitter.com/petrogustavo","@petrogustavo")</f>
        <v>@petrogustavo</v>
      </c>
      <c r="C5134" s="5" t="s">
        <v>16</v>
      </c>
      <c r="D5134" s="5" t="s">
        <v>5018</v>
      </c>
      <c r="E5134" s="6" t="str">
        <f>HYPERLINK("https://twitter.com/petrogustavo/status/1251265881428164614","1251265881428164614")</f>
        <v>1251265881428164614</v>
      </c>
      <c r="F5134" s="7" t="s">
        <v>17</v>
      </c>
      <c r="G5134" s="7">
        <v>3776756</v>
      </c>
      <c r="H5134" s="7">
        <v>2393</v>
      </c>
      <c r="I5134" s="7">
        <v>249</v>
      </c>
      <c r="J5134" s="7">
        <v>0</v>
      </c>
      <c r="K5134" s="7" t="s">
        <v>18</v>
      </c>
      <c r="L5134" s="8">
        <v>39987.315405092595</v>
      </c>
      <c r="M5134" s="9" t="s">
        <v>19</v>
      </c>
      <c r="N5134" s="9" t="s">
        <v>20</v>
      </c>
      <c r="O5134" s="6" t="str">
        <f>HYPERLINK("https://pbs.twimg.com/profile_images/962471262747529216/Uo8lOkRJ_normal.jpg","View")</f>
        <v>View</v>
      </c>
      <c r="P5134" s="7"/>
    </row>
    <row r="5135" spans="1:16">
      <c r="A5135" s="3">
        <v>43939.137488425928</v>
      </c>
      <c r="B5135" s="4" t="str">
        <f>HYPERLINK("https://twitter.com/petrogustavo","@petrogustavo")</f>
        <v>@petrogustavo</v>
      </c>
      <c r="C5135" s="5" t="s">
        <v>16</v>
      </c>
      <c r="D5135" s="5" t="s">
        <v>5019</v>
      </c>
      <c r="E5135" s="6" t="str">
        <f>HYPERLINK("https://twitter.com/petrogustavo/status/1251266181517979648","1251266181517979648")</f>
        <v>1251266181517979648</v>
      </c>
      <c r="F5135" s="7" t="s">
        <v>17</v>
      </c>
      <c r="G5135" s="7">
        <v>3776756</v>
      </c>
      <c r="H5135" s="7">
        <v>2393</v>
      </c>
      <c r="I5135" s="7">
        <v>296</v>
      </c>
      <c r="J5135" s="7">
        <v>0</v>
      </c>
      <c r="K5135" s="7" t="s">
        <v>18</v>
      </c>
      <c r="L5135" s="8">
        <v>39987.315405092595</v>
      </c>
      <c r="M5135" s="9" t="s">
        <v>19</v>
      </c>
      <c r="N5135" s="9" t="s">
        <v>20</v>
      </c>
      <c r="O5135" s="6" t="str">
        <f>HYPERLINK("https://pbs.twimg.com/profile_images/962471262747529216/Uo8lOkRJ_normal.jpg","View")</f>
        <v>View</v>
      </c>
      <c r="P5135" s="7"/>
    </row>
    <row r="5136" spans="1:16">
      <c r="A5136" s="3">
        <v>43939.137766203705</v>
      </c>
      <c r="B5136" s="4" t="str">
        <f>HYPERLINK("https://twitter.com/petrogustavo","@petrogustavo")</f>
        <v>@petrogustavo</v>
      </c>
      <c r="C5136" s="5" t="s">
        <v>16</v>
      </c>
      <c r="D5136" s="5" t="s">
        <v>5020</v>
      </c>
      <c r="E5136" s="6" t="str">
        <f>HYPERLINK("https://twitter.com/petrogustavo/status/1251266279853473793","1251266279853473793")</f>
        <v>1251266279853473793</v>
      </c>
      <c r="F5136" s="7" t="s">
        <v>17</v>
      </c>
      <c r="G5136" s="7">
        <v>3776756</v>
      </c>
      <c r="H5136" s="7">
        <v>2393</v>
      </c>
      <c r="I5136" s="7">
        <v>893</v>
      </c>
      <c r="J5136" s="7">
        <v>0</v>
      </c>
      <c r="K5136" s="7" t="s">
        <v>18</v>
      </c>
      <c r="L5136" s="8">
        <v>39987.315405092595</v>
      </c>
      <c r="M5136" s="9" t="s">
        <v>19</v>
      </c>
      <c r="N5136" s="9" t="s">
        <v>20</v>
      </c>
      <c r="O5136" s="6" t="str">
        <f>HYPERLINK("https://pbs.twimg.com/profile_images/962471262747529216/Uo8lOkRJ_normal.jpg","View")</f>
        <v>View</v>
      </c>
      <c r="P5136" s="7"/>
    </row>
    <row r="5137" spans="1:16">
      <c r="A5137" s="3">
        <v>43939.147372685184</v>
      </c>
      <c r="B5137" s="4" t="str">
        <f>HYPERLINK("https://twitter.com/petrogustavo","@petrogustavo")</f>
        <v>@petrogustavo</v>
      </c>
      <c r="C5137" s="5" t="s">
        <v>16</v>
      </c>
      <c r="D5137" s="5" t="s">
        <v>5021</v>
      </c>
      <c r="E5137" s="6" t="str">
        <f>HYPERLINK("https://twitter.com/petrogustavo/status/1251269762291830784","1251269762291830784")</f>
        <v>1251269762291830784</v>
      </c>
      <c r="F5137" s="7" t="s">
        <v>17</v>
      </c>
      <c r="G5137" s="7">
        <v>3776756</v>
      </c>
      <c r="H5137" s="7">
        <v>2393</v>
      </c>
      <c r="I5137" s="7">
        <v>0</v>
      </c>
      <c r="J5137" s="7">
        <v>0</v>
      </c>
      <c r="K5137" s="7" t="s">
        <v>18</v>
      </c>
      <c r="L5137" s="8">
        <v>39987.315405092595</v>
      </c>
      <c r="M5137" s="9" t="s">
        <v>19</v>
      </c>
      <c r="N5137" s="9" t="s">
        <v>20</v>
      </c>
      <c r="O5137" s="6" t="str">
        <f>HYPERLINK("https://pbs.twimg.com/profile_images/962471262747529216/Uo8lOkRJ_normal.jpg","View")</f>
        <v>View</v>
      </c>
      <c r="P5137" s="7"/>
    </row>
    <row r="5138" spans="1:16">
      <c r="A5138" s="3">
        <v>43939.147615740745</v>
      </c>
      <c r="B5138" s="4" t="str">
        <f>HYPERLINK("https://twitter.com/petrogustavo","@petrogustavo")</f>
        <v>@petrogustavo</v>
      </c>
      <c r="C5138" s="5" t="s">
        <v>16</v>
      </c>
      <c r="D5138" s="5" t="s">
        <v>5022</v>
      </c>
      <c r="E5138" s="6" t="str">
        <f>HYPERLINK("https://twitter.com/petrogustavo/status/1251269852192522240","1251269852192522240")</f>
        <v>1251269852192522240</v>
      </c>
      <c r="F5138" s="7" t="s">
        <v>17</v>
      </c>
      <c r="G5138" s="7">
        <v>3776814</v>
      </c>
      <c r="H5138" s="7">
        <v>2393</v>
      </c>
      <c r="I5138" s="7">
        <v>454</v>
      </c>
      <c r="J5138" s="7">
        <v>0</v>
      </c>
      <c r="K5138" s="7" t="s">
        <v>18</v>
      </c>
      <c r="L5138" s="8">
        <v>39987.315405092595</v>
      </c>
      <c r="M5138" s="9" t="s">
        <v>19</v>
      </c>
      <c r="N5138" s="9" t="s">
        <v>20</v>
      </c>
      <c r="O5138" s="6" t="str">
        <f>HYPERLINK("https://pbs.twimg.com/profile_images/962471262747529216/Uo8lOkRJ_normal.jpg","View")</f>
        <v>View</v>
      </c>
      <c r="P5138" s="7"/>
    </row>
    <row r="5139" spans="1:16">
      <c r="A5139" s="3">
        <v>43939.158194444448</v>
      </c>
      <c r="B5139" s="4" t="str">
        <f>HYPERLINK("https://twitter.com/petrogustavo","@petrogustavo")</f>
        <v>@petrogustavo</v>
      </c>
      <c r="C5139" s="5" t="s">
        <v>16</v>
      </c>
      <c r="D5139" s="5" t="s">
        <v>5023</v>
      </c>
      <c r="E5139" s="6" t="str">
        <f>HYPERLINK("https://twitter.com/petrogustavo/status/1251273685039828995","1251273685039828995")</f>
        <v>1251273685039828995</v>
      </c>
      <c r="F5139" s="7" t="s">
        <v>17</v>
      </c>
      <c r="G5139" s="7">
        <v>3776814</v>
      </c>
      <c r="H5139" s="7">
        <v>2393</v>
      </c>
      <c r="I5139" s="7">
        <v>177</v>
      </c>
      <c r="J5139" s="7">
        <v>463</v>
      </c>
      <c r="K5139" s="7" t="s">
        <v>18</v>
      </c>
      <c r="L5139" s="8">
        <v>39987.315405092595</v>
      </c>
      <c r="M5139" s="9" t="s">
        <v>19</v>
      </c>
      <c r="N5139" s="9" t="s">
        <v>20</v>
      </c>
      <c r="O5139" s="6" t="str">
        <f>HYPERLINK("https://pbs.twimg.com/profile_images/962471262747529216/Uo8lOkRJ_normal.jpg","View")</f>
        <v>View</v>
      </c>
      <c r="P5139" s="7"/>
    </row>
    <row r="5140" spans="1:16">
      <c r="A5140" s="3">
        <v>43939.159756944442</v>
      </c>
      <c r="B5140" s="4" t="str">
        <f>HYPERLINK("https://twitter.com/petrogustavo","@petrogustavo")</f>
        <v>@petrogustavo</v>
      </c>
      <c r="C5140" s="5" t="s">
        <v>16</v>
      </c>
      <c r="D5140" s="5" t="s">
        <v>5024</v>
      </c>
      <c r="E5140" s="6" t="str">
        <f>HYPERLINK("https://twitter.com/petrogustavo/status/1251274251811905543","1251274251811905543")</f>
        <v>1251274251811905543</v>
      </c>
      <c r="F5140" s="7" t="s">
        <v>17</v>
      </c>
      <c r="G5140" s="7">
        <v>3776814</v>
      </c>
      <c r="H5140" s="7">
        <v>2393</v>
      </c>
      <c r="I5140" s="7">
        <v>22</v>
      </c>
      <c r="J5140" s="7">
        <v>0</v>
      </c>
      <c r="K5140" s="7" t="s">
        <v>18</v>
      </c>
      <c r="L5140" s="8">
        <v>39987.315405092595</v>
      </c>
      <c r="M5140" s="9" t="s">
        <v>19</v>
      </c>
      <c r="N5140" s="9" t="s">
        <v>20</v>
      </c>
      <c r="O5140" s="6" t="str">
        <f>HYPERLINK("https://pbs.twimg.com/profile_images/962471262747529216/Uo8lOkRJ_normal.jpg","View")</f>
        <v>View</v>
      </c>
      <c r="P5140" s="7"/>
    </row>
    <row r="5141" spans="1:16">
      <c r="A5141" s="3">
        <v>43939.167916666665</v>
      </c>
      <c r="B5141" s="4" t="str">
        <f>HYPERLINK("https://twitter.com/petrogustavo","@petrogustavo")</f>
        <v>@petrogustavo</v>
      </c>
      <c r="C5141" s="5" t="s">
        <v>16</v>
      </c>
      <c r="D5141" s="5" t="s">
        <v>4967</v>
      </c>
      <c r="E5141" s="6" t="str">
        <f>HYPERLINK("https://twitter.com/petrogustavo/status/1251277206740967429","1251277206740967429")</f>
        <v>1251277206740967429</v>
      </c>
      <c r="F5141" s="7" t="s">
        <v>17</v>
      </c>
      <c r="G5141" s="7">
        <v>3776814</v>
      </c>
      <c r="H5141" s="7">
        <v>2393</v>
      </c>
      <c r="I5141" s="7">
        <v>1624</v>
      </c>
      <c r="J5141" s="7">
        <v>0</v>
      </c>
      <c r="K5141" s="7" t="s">
        <v>18</v>
      </c>
      <c r="L5141" s="8">
        <v>39987.315405092595</v>
      </c>
      <c r="M5141" s="9" t="s">
        <v>19</v>
      </c>
      <c r="N5141" s="9" t="s">
        <v>20</v>
      </c>
      <c r="O5141" s="6" t="str">
        <f>HYPERLINK("https://pbs.twimg.com/profile_images/962471262747529216/Uo8lOkRJ_normal.jpg","View")</f>
        <v>View</v>
      </c>
      <c r="P5141" s="7"/>
    </row>
    <row r="5142" spans="1:16">
      <c r="A5142" s="3">
        <v>43939.171331018515</v>
      </c>
      <c r="B5142" s="4" t="str">
        <f>HYPERLINK("https://twitter.com/petrogustavo","@petrogustavo")</f>
        <v>@petrogustavo</v>
      </c>
      <c r="C5142" s="5" t="s">
        <v>16</v>
      </c>
      <c r="D5142" s="5" t="s">
        <v>5025</v>
      </c>
      <c r="E5142" s="6" t="str">
        <f>HYPERLINK("https://twitter.com/petrogustavo/status/1251278443595141121","1251278443595141121")</f>
        <v>1251278443595141121</v>
      </c>
      <c r="F5142" s="7" t="s">
        <v>17</v>
      </c>
      <c r="G5142" s="7">
        <v>3776869</v>
      </c>
      <c r="H5142" s="7">
        <v>2393</v>
      </c>
      <c r="I5142" s="7">
        <v>58</v>
      </c>
      <c r="J5142" s="7">
        <v>196</v>
      </c>
      <c r="K5142" s="7" t="s">
        <v>18</v>
      </c>
      <c r="L5142" s="8">
        <v>39987.315405092595</v>
      </c>
      <c r="M5142" s="9" t="s">
        <v>19</v>
      </c>
      <c r="N5142" s="9" t="s">
        <v>20</v>
      </c>
      <c r="O5142" s="6" t="str">
        <f>HYPERLINK("https://pbs.twimg.com/profile_images/962471262747529216/Uo8lOkRJ_normal.jpg","View")</f>
        <v>View</v>
      </c>
      <c r="P5142" s="7"/>
    </row>
    <row r="5143" spans="1:16">
      <c r="A5143" s="3">
        <v>43939.178761574076</v>
      </c>
      <c r="B5143" s="4" t="str">
        <f>HYPERLINK("https://twitter.com/petrogustavo","@petrogustavo")</f>
        <v>@petrogustavo</v>
      </c>
      <c r="C5143" s="5" t="s">
        <v>16</v>
      </c>
      <c r="D5143" s="5" t="s">
        <v>5026</v>
      </c>
      <c r="E5143" s="6" t="str">
        <f>HYPERLINK("https://twitter.com/petrogustavo/status/1251281136388583427","1251281136388583427")</f>
        <v>1251281136388583427</v>
      </c>
      <c r="F5143" s="7" t="s">
        <v>17</v>
      </c>
      <c r="G5143" s="7">
        <v>3776869</v>
      </c>
      <c r="H5143" s="7">
        <v>2393</v>
      </c>
      <c r="I5143" s="7">
        <v>104</v>
      </c>
      <c r="J5143" s="7">
        <v>208</v>
      </c>
      <c r="K5143" s="7" t="s">
        <v>18</v>
      </c>
      <c r="L5143" s="8">
        <v>39987.315405092595</v>
      </c>
      <c r="M5143" s="9" t="s">
        <v>19</v>
      </c>
      <c r="N5143" s="9" t="s">
        <v>20</v>
      </c>
      <c r="O5143" s="6" t="str">
        <f>HYPERLINK("https://pbs.twimg.com/profile_images/962471262747529216/Uo8lOkRJ_normal.jpg","View")</f>
        <v>View</v>
      </c>
      <c r="P5143" s="7"/>
    </row>
    <row r="5144" spans="1:16">
      <c r="A5144" s="3">
        <v>43939.216550925921</v>
      </c>
      <c r="B5144" s="4" t="str">
        <f>HYPERLINK("https://twitter.com/petrogustavo","@petrogustavo")</f>
        <v>@petrogustavo</v>
      </c>
      <c r="C5144" s="5" t="s">
        <v>16</v>
      </c>
      <c r="D5144" s="5" t="s">
        <v>5027</v>
      </c>
      <c r="E5144" s="6" t="str">
        <f>HYPERLINK("https://twitter.com/petrogustavo/status/1251294833475493888","1251294833475493888")</f>
        <v>1251294833475493888</v>
      </c>
      <c r="F5144" s="7" t="s">
        <v>17</v>
      </c>
      <c r="G5144" s="7">
        <v>3776960</v>
      </c>
      <c r="H5144" s="7">
        <v>2393</v>
      </c>
      <c r="I5144" s="7">
        <v>97</v>
      </c>
      <c r="J5144" s="7">
        <v>0</v>
      </c>
      <c r="K5144" s="7" t="s">
        <v>18</v>
      </c>
      <c r="L5144" s="8">
        <v>39987.315405092595</v>
      </c>
      <c r="M5144" s="9" t="s">
        <v>19</v>
      </c>
      <c r="N5144" s="9" t="s">
        <v>20</v>
      </c>
      <c r="O5144" s="6" t="str">
        <f>HYPERLINK("https://pbs.twimg.com/profile_images/962471262747529216/Uo8lOkRJ_normal.jpg","View")</f>
        <v>View</v>
      </c>
      <c r="P5144" s="7"/>
    </row>
    <row r="5145" spans="1:16">
      <c r="A5145" s="3">
        <v>43939.216793981483</v>
      </c>
      <c r="B5145" s="4" t="str">
        <f>HYPERLINK("https://twitter.com/petrogustavo","@petrogustavo")</f>
        <v>@petrogustavo</v>
      </c>
      <c r="C5145" s="5" t="s">
        <v>16</v>
      </c>
      <c r="D5145" s="5" t="s">
        <v>5028</v>
      </c>
      <c r="E5145" s="6" t="str">
        <f>HYPERLINK("https://twitter.com/petrogustavo/status/1251294918498189317","1251294918498189317")</f>
        <v>1251294918498189317</v>
      </c>
      <c r="F5145" s="7" t="s">
        <v>17</v>
      </c>
      <c r="G5145" s="7">
        <v>3776960</v>
      </c>
      <c r="H5145" s="7">
        <v>2393</v>
      </c>
      <c r="I5145" s="7">
        <v>233</v>
      </c>
      <c r="J5145" s="7">
        <v>0</v>
      </c>
      <c r="K5145" s="7" t="s">
        <v>18</v>
      </c>
      <c r="L5145" s="8">
        <v>39987.315405092595</v>
      </c>
      <c r="M5145" s="9" t="s">
        <v>19</v>
      </c>
      <c r="N5145" s="9" t="s">
        <v>20</v>
      </c>
      <c r="O5145" s="6" t="str">
        <f>HYPERLINK("https://pbs.twimg.com/profile_images/962471262747529216/Uo8lOkRJ_normal.jpg","View")</f>
        <v>View</v>
      </c>
      <c r="P5145" s="7"/>
    </row>
    <row r="5146" spans="1:16">
      <c r="A5146" s="3">
        <v>43939.222280092596</v>
      </c>
      <c r="B5146" s="4" t="str">
        <f>HYPERLINK("https://twitter.com/petrogustavo","@petrogustavo")</f>
        <v>@petrogustavo</v>
      </c>
      <c r="C5146" s="5" t="s">
        <v>16</v>
      </c>
      <c r="D5146" s="5" t="s">
        <v>5022</v>
      </c>
      <c r="E5146" s="6" t="str">
        <f>HYPERLINK("https://twitter.com/petrogustavo/status/1251296907756011520","1251296907756011520")</f>
        <v>1251296907756011520</v>
      </c>
      <c r="F5146" s="7" t="s">
        <v>17</v>
      </c>
      <c r="G5146" s="7">
        <v>3776960</v>
      </c>
      <c r="H5146" s="7">
        <v>2393</v>
      </c>
      <c r="I5146" s="7">
        <v>937</v>
      </c>
      <c r="J5146" s="7">
        <v>0</v>
      </c>
      <c r="K5146" s="7" t="s">
        <v>18</v>
      </c>
      <c r="L5146" s="8">
        <v>39987.315405092595</v>
      </c>
      <c r="M5146" s="9" t="s">
        <v>19</v>
      </c>
      <c r="N5146" s="9" t="s">
        <v>20</v>
      </c>
      <c r="O5146" s="6" t="str">
        <f>HYPERLINK("https://pbs.twimg.com/profile_images/962471262747529216/Uo8lOkRJ_normal.jpg","View")</f>
        <v>View</v>
      </c>
      <c r="P5146" s="7"/>
    </row>
    <row r="5147" spans="1:16">
      <c r="A5147" s="3">
        <v>43939.282048611116</v>
      </c>
      <c r="B5147" s="4" t="str">
        <f>HYPERLINK("https://twitter.com/petrogustavo","@petrogustavo")</f>
        <v>@petrogustavo</v>
      </c>
      <c r="C5147" s="5" t="s">
        <v>16</v>
      </c>
      <c r="D5147" s="5" t="s">
        <v>5029</v>
      </c>
      <c r="E5147" s="6" t="str">
        <f>HYPERLINK("https://twitter.com/petrogustavo/status/1251318568886534146","1251318568886534146")</f>
        <v>1251318568886534146</v>
      </c>
      <c r="F5147" s="7" t="s">
        <v>17</v>
      </c>
      <c r="G5147" s="7">
        <v>3777141</v>
      </c>
      <c r="H5147" s="7">
        <v>2391</v>
      </c>
      <c r="I5147" s="7">
        <v>255</v>
      </c>
      <c r="J5147" s="7">
        <v>444</v>
      </c>
      <c r="K5147" s="7" t="s">
        <v>18</v>
      </c>
      <c r="L5147" s="8">
        <v>39987.315405092595</v>
      </c>
      <c r="M5147" s="9" t="s">
        <v>19</v>
      </c>
      <c r="N5147" s="9" t="s">
        <v>20</v>
      </c>
      <c r="O5147" s="6" t="str">
        <f>HYPERLINK("https://pbs.twimg.com/profile_images/962471262747529216/Uo8lOkRJ_normal.jpg","View")</f>
        <v>View</v>
      </c>
      <c r="P5147" s="7"/>
    </row>
    <row r="5148" spans="1:16">
      <c r="A5148" s="3">
        <v>43939.282789351855</v>
      </c>
      <c r="B5148" s="4" t="str">
        <f>HYPERLINK("https://twitter.com/petrogustavo","@petrogustavo")</f>
        <v>@petrogustavo</v>
      </c>
      <c r="C5148" s="5" t="s">
        <v>16</v>
      </c>
      <c r="D5148" s="5" t="s">
        <v>5030</v>
      </c>
      <c r="E5148" s="6" t="str">
        <f>HYPERLINK("https://twitter.com/petrogustavo/status/1251318835321475074","1251318835321475074")</f>
        <v>1251318835321475074</v>
      </c>
      <c r="F5148" s="7" t="s">
        <v>17</v>
      </c>
      <c r="G5148" s="7">
        <v>3777141</v>
      </c>
      <c r="H5148" s="7">
        <v>2391</v>
      </c>
      <c r="I5148" s="7">
        <v>390</v>
      </c>
      <c r="J5148" s="7">
        <v>0</v>
      </c>
      <c r="K5148" s="7" t="s">
        <v>18</v>
      </c>
      <c r="L5148" s="8">
        <v>39987.315405092595</v>
      </c>
      <c r="M5148" s="9" t="s">
        <v>19</v>
      </c>
      <c r="N5148" s="9" t="s">
        <v>20</v>
      </c>
      <c r="O5148" s="6" t="str">
        <f>HYPERLINK("https://pbs.twimg.com/profile_images/962471262747529216/Uo8lOkRJ_normal.jpg","View")</f>
        <v>View</v>
      </c>
      <c r="P5148" s="7"/>
    </row>
    <row r="5149" spans="1:16">
      <c r="A5149" s="3">
        <v>43939.297280092593</v>
      </c>
      <c r="B5149" s="4" t="str">
        <f>HYPERLINK("https://twitter.com/petrogustavo","@petrogustavo")</f>
        <v>@petrogustavo</v>
      </c>
      <c r="C5149" s="5" t="s">
        <v>16</v>
      </c>
      <c r="D5149" s="5" t="s">
        <v>5031</v>
      </c>
      <c r="E5149" s="6" t="str">
        <f>HYPERLINK("https://twitter.com/petrogustavo/status/1251324085684047875","1251324085684047875")</f>
        <v>1251324085684047875</v>
      </c>
      <c r="F5149" s="7" t="s">
        <v>17</v>
      </c>
      <c r="G5149" s="7">
        <v>3777201</v>
      </c>
      <c r="H5149" s="7">
        <v>2392</v>
      </c>
      <c r="I5149" s="7">
        <v>226</v>
      </c>
      <c r="J5149" s="7">
        <v>519</v>
      </c>
      <c r="K5149" s="7" t="s">
        <v>18</v>
      </c>
      <c r="L5149" s="8">
        <v>39987.315405092595</v>
      </c>
      <c r="M5149" s="9" t="s">
        <v>19</v>
      </c>
      <c r="N5149" s="9" t="s">
        <v>20</v>
      </c>
      <c r="O5149" s="6" t="str">
        <f>HYPERLINK("https://pbs.twimg.com/profile_images/962471262747529216/Uo8lOkRJ_normal.jpg","View")</f>
        <v>View</v>
      </c>
      <c r="P5149" s="7"/>
    </row>
    <row r="5150" spans="1:16">
      <c r="A5150" s="3">
        <v>43939.301504629635</v>
      </c>
      <c r="B5150" s="4" t="str">
        <f>HYPERLINK("https://twitter.com/petrogustavo","@petrogustavo")</f>
        <v>@petrogustavo</v>
      </c>
      <c r="C5150" s="5" t="s">
        <v>16</v>
      </c>
      <c r="D5150" s="5" t="s">
        <v>5032</v>
      </c>
      <c r="E5150" s="6" t="str">
        <f>HYPERLINK("https://twitter.com/petrogustavo/status/1251325617607450627","1251325617607450627")</f>
        <v>1251325617607450627</v>
      </c>
      <c r="F5150" s="7" t="s">
        <v>17</v>
      </c>
      <c r="G5150" s="7">
        <v>3777201</v>
      </c>
      <c r="H5150" s="7">
        <v>2392</v>
      </c>
      <c r="I5150" s="7">
        <v>133</v>
      </c>
      <c r="J5150" s="7">
        <v>213</v>
      </c>
      <c r="K5150" s="7" t="s">
        <v>18</v>
      </c>
      <c r="L5150" s="8">
        <v>39987.315405092595</v>
      </c>
      <c r="M5150" s="9" t="s">
        <v>19</v>
      </c>
      <c r="N5150" s="9" t="s">
        <v>20</v>
      </c>
      <c r="O5150" s="6" t="str">
        <f>HYPERLINK("https://pbs.twimg.com/profile_images/962471262747529216/Uo8lOkRJ_normal.jpg","View")</f>
        <v>View</v>
      </c>
      <c r="P5150" s="7"/>
    </row>
    <row r="5151" spans="1:16">
      <c r="A5151" s="3">
        <v>43939.303877314815</v>
      </c>
      <c r="B5151" s="4" t="str">
        <f>HYPERLINK("https://twitter.com/petrogustavo","@petrogustavo")</f>
        <v>@petrogustavo</v>
      </c>
      <c r="C5151" s="5" t="s">
        <v>16</v>
      </c>
      <c r="D5151" s="5" t="s">
        <v>5033</v>
      </c>
      <c r="E5151" s="6" t="str">
        <f>HYPERLINK("https://twitter.com/petrogustavo/status/1251326478446399490","1251326478446399490")</f>
        <v>1251326478446399490</v>
      </c>
      <c r="F5151" s="7" t="s">
        <v>17</v>
      </c>
      <c r="G5151" s="7">
        <v>3777201</v>
      </c>
      <c r="H5151" s="7">
        <v>2392</v>
      </c>
      <c r="I5151" s="7">
        <v>162</v>
      </c>
      <c r="J5151" s="7">
        <v>213</v>
      </c>
      <c r="K5151" s="7" t="s">
        <v>18</v>
      </c>
      <c r="L5151" s="8">
        <v>39987.315405092595</v>
      </c>
      <c r="M5151" s="9" t="s">
        <v>19</v>
      </c>
      <c r="N5151" s="9" t="s">
        <v>20</v>
      </c>
      <c r="O5151" s="6" t="str">
        <f>HYPERLINK("https://pbs.twimg.com/profile_images/962471262747529216/Uo8lOkRJ_normal.jpg","View")</f>
        <v>View</v>
      </c>
      <c r="P5151" s="7"/>
    </row>
    <row r="5152" spans="1:16">
      <c r="A5152" s="3">
        <v>43939.305810185186</v>
      </c>
      <c r="B5152" s="4" t="str">
        <f>HYPERLINK("https://twitter.com/petrogustavo","@petrogustavo")</f>
        <v>@petrogustavo</v>
      </c>
      <c r="C5152" s="5" t="s">
        <v>16</v>
      </c>
      <c r="D5152" s="5" t="s">
        <v>5034</v>
      </c>
      <c r="E5152" s="6" t="str">
        <f>HYPERLINK("https://twitter.com/petrogustavo/status/1251327177271975937","1251327177271975937")</f>
        <v>1251327177271975937</v>
      </c>
      <c r="F5152" s="7" t="s">
        <v>17</v>
      </c>
      <c r="G5152" s="7">
        <v>3777201</v>
      </c>
      <c r="H5152" s="7">
        <v>2392</v>
      </c>
      <c r="I5152" s="7">
        <v>39</v>
      </c>
      <c r="J5152" s="7">
        <v>0</v>
      </c>
      <c r="K5152" s="7" t="s">
        <v>18</v>
      </c>
      <c r="L5152" s="8">
        <v>39987.315405092595</v>
      </c>
      <c r="M5152" s="9" t="s">
        <v>19</v>
      </c>
      <c r="N5152" s="9" t="s">
        <v>20</v>
      </c>
      <c r="O5152" s="6" t="str">
        <f>HYPERLINK("https://pbs.twimg.com/profile_images/962471262747529216/Uo8lOkRJ_normal.jpg","View")</f>
        <v>View</v>
      </c>
      <c r="P5152" s="7"/>
    </row>
    <row r="5153" spans="1:16">
      <c r="A5153" s="3">
        <v>43939.305902777778</v>
      </c>
      <c r="B5153" s="4" t="str">
        <f>HYPERLINK("https://twitter.com/petrogustavo","@petrogustavo")</f>
        <v>@petrogustavo</v>
      </c>
      <c r="C5153" s="5" t="s">
        <v>16</v>
      </c>
      <c r="D5153" s="5" t="s">
        <v>5035</v>
      </c>
      <c r="E5153" s="6" t="str">
        <f>HYPERLINK("https://twitter.com/petrogustavo/status/1251327213301088260","1251327213301088260")</f>
        <v>1251327213301088260</v>
      </c>
      <c r="F5153" s="7" t="s">
        <v>17</v>
      </c>
      <c r="G5153" s="7">
        <v>3777201</v>
      </c>
      <c r="H5153" s="7">
        <v>2392</v>
      </c>
      <c r="I5153" s="7">
        <v>95</v>
      </c>
      <c r="J5153" s="7">
        <v>0</v>
      </c>
      <c r="K5153" s="7" t="s">
        <v>18</v>
      </c>
      <c r="L5153" s="8">
        <v>39987.315405092595</v>
      </c>
      <c r="M5153" s="9" t="s">
        <v>19</v>
      </c>
      <c r="N5153" s="9" t="s">
        <v>20</v>
      </c>
      <c r="O5153" s="6" t="str">
        <f>HYPERLINK("https://pbs.twimg.com/profile_images/962471262747529216/Uo8lOkRJ_normal.jpg","View")</f>
        <v>View</v>
      </c>
      <c r="P5153" s="7"/>
    </row>
    <row r="5154" spans="1:16">
      <c r="A5154" s="3">
        <v>43939.311030092591</v>
      </c>
      <c r="B5154" s="4" t="str">
        <f>HYPERLINK("https://twitter.com/petrogustavo","@petrogustavo")</f>
        <v>@petrogustavo</v>
      </c>
      <c r="C5154" s="5" t="s">
        <v>16</v>
      </c>
      <c r="D5154" s="5" t="s">
        <v>5036</v>
      </c>
      <c r="E5154" s="6" t="str">
        <f>HYPERLINK("https://twitter.com/petrogustavo/status/1251329071319076866","1251329071319076866")</f>
        <v>1251329071319076866</v>
      </c>
      <c r="F5154" s="7" t="s">
        <v>17</v>
      </c>
      <c r="G5154" s="7">
        <v>3777201</v>
      </c>
      <c r="H5154" s="7">
        <v>2392</v>
      </c>
      <c r="I5154" s="7">
        <v>80</v>
      </c>
      <c r="J5154" s="7">
        <v>127</v>
      </c>
      <c r="K5154" s="7" t="s">
        <v>18</v>
      </c>
      <c r="L5154" s="8">
        <v>39987.315405092595</v>
      </c>
      <c r="M5154" s="9" t="s">
        <v>19</v>
      </c>
      <c r="N5154" s="9" t="s">
        <v>20</v>
      </c>
      <c r="O5154" s="6" t="str">
        <f>HYPERLINK("https://pbs.twimg.com/profile_images/962471262747529216/Uo8lOkRJ_normal.jpg","View")</f>
        <v>View</v>
      </c>
      <c r="P5154" s="7"/>
    </row>
    <row r="5155" spans="1:16">
      <c r="A5155" s="3">
        <v>43939.323391203703</v>
      </c>
      <c r="B5155" s="4" t="str">
        <f>HYPERLINK("https://twitter.com/petrogustavo","@petrogustavo")</f>
        <v>@petrogustavo</v>
      </c>
      <c r="C5155" s="5" t="s">
        <v>16</v>
      </c>
      <c r="D5155" s="5" t="s">
        <v>5037</v>
      </c>
      <c r="E5155" s="6" t="str">
        <f>HYPERLINK("https://twitter.com/petrogustavo/status/1251333551439708163","1251333551439708163")</f>
        <v>1251333551439708163</v>
      </c>
      <c r="F5155" s="7" t="s">
        <v>17</v>
      </c>
      <c r="G5155" s="7">
        <v>3777262</v>
      </c>
      <c r="H5155" s="7">
        <v>2392</v>
      </c>
      <c r="I5155" s="7">
        <v>210</v>
      </c>
      <c r="J5155" s="7">
        <v>0</v>
      </c>
      <c r="K5155" s="7" t="s">
        <v>18</v>
      </c>
      <c r="L5155" s="8">
        <v>39987.315405092595</v>
      </c>
      <c r="M5155" s="9" t="s">
        <v>19</v>
      </c>
      <c r="N5155" s="9" t="s">
        <v>20</v>
      </c>
      <c r="O5155" s="6" t="str">
        <f>HYPERLINK("https://pbs.twimg.com/profile_images/962471262747529216/Uo8lOkRJ_normal.jpg","View")</f>
        <v>View</v>
      </c>
      <c r="P5155" s="7"/>
    </row>
    <row r="5156" spans="1:16">
      <c r="A5156" s="3">
        <v>43939.323576388888</v>
      </c>
      <c r="B5156" s="4" t="str">
        <f>HYPERLINK("https://twitter.com/petrogustavo","@petrogustavo")</f>
        <v>@petrogustavo</v>
      </c>
      <c r="C5156" s="5" t="s">
        <v>16</v>
      </c>
      <c r="D5156" s="5" t="s">
        <v>5038</v>
      </c>
      <c r="E5156" s="6" t="str">
        <f>HYPERLINK("https://twitter.com/petrogustavo/status/1251333616849780736","1251333616849780736")</f>
        <v>1251333616849780736</v>
      </c>
      <c r="F5156" s="7" t="s">
        <v>17</v>
      </c>
      <c r="G5156" s="7">
        <v>3777262</v>
      </c>
      <c r="H5156" s="7">
        <v>2392</v>
      </c>
      <c r="I5156" s="7">
        <v>350</v>
      </c>
      <c r="J5156" s="7">
        <v>0</v>
      </c>
      <c r="K5156" s="7" t="s">
        <v>18</v>
      </c>
      <c r="L5156" s="8">
        <v>39987.315405092595</v>
      </c>
      <c r="M5156" s="9" t="s">
        <v>19</v>
      </c>
      <c r="N5156" s="9" t="s">
        <v>20</v>
      </c>
      <c r="O5156" s="6" t="str">
        <f>HYPERLINK("https://pbs.twimg.com/profile_images/962471262747529216/Uo8lOkRJ_normal.jpg","View")</f>
        <v>View</v>
      </c>
      <c r="P5156" s="7"/>
    </row>
    <row r="5157" spans="1:16">
      <c r="A5157" s="3">
        <v>43939.748715277776</v>
      </c>
      <c r="B5157" s="4" t="str">
        <f>HYPERLINK("https://twitter.com/petrogustavo","@petrogustavo")</f>
        <v>@petrogustavo</v>
      </c>
      <c r="C5157" s="5" t="s">
        <v>16</v>
      </c>
      <c r="D5157" s="5" t="s">
        <v>5039</v>
      </c>
      <c r="E5157" s="6" t="str">
        <f>HYPERLINK("https://twitter.com/petrogustavo/status/1251487681483284480","1251487681483284480")</f>
        <v>1251487681483284480</v>
      </c>
      <c r="F5157" s="7" t="s">
        <v>17</v>
      </c>
      <c r="G5157" s="7">
        <v>3778312</v>
      </c>
      <c r="H5157" s="7">
        <v>2390</v>
      </c>
      <c r="I5157" s="7">
        <v>48</v>
      </c>
      <c r="J5157" s="7">
        <v>112</v>
      </c>
      <c r="K5157" s="7" t="s">
        <v>18</v>
      </c>
      <c r="L5157" s="8">
        <v>39987.315405092595</v>
      </c>
      <c r="M5157" s="9" t="s">
        <v>19</v>
      </c>
      <c r="N5157" s="9" t="s">
        <v>20</v>
      </c>
      <c r="O5157" s="6" t="str">
        <f>HYPERLINK("https://pbs.twimg.com/profile_images/962471262747529216/Uo8lOkRJ_normal.jpg","View")</f>
        <v>View</v>
      </c>
      <c r="P5157" s="7"/>
    </row>
    <row r="5158" spans="1:16">
      <c r="A5158" s="3">
        <v>43939.771099537036</v>
      </c>
      <c r="B5158" s="4" t="str">
        <f>HYPERLINK("https://twitter.com/petrogustavo","@petrogustavo")</f>
        <v>@petrogustavo</v>
      </c>
      <c r="C5158" s="5" t="s">
        <v>16</v>
      </c>
      <c r="D5158" s="5" t="s">
        <v>5040</v>
      </c>
      <c r="E5158" s="6" t="str">
        <f>HYPERLINK("https://twitter.com/petrogustavo/status/1251495795494465537","1251495795494465537")</f>
        <v>1251495795494465537</v>
      </c>
      <c r="F5158" s="7" t="s">
        <v>17</v>
      </c>
      <c r="G5158" s="7">
        <v>3778371</v>
      </c>
      <c r="H5158" s="7">
        <v>2390</v>
      </c>
      <c r="I5158" s="7">
        <v>28</v>
      </c>
      <c r="J5158" s="7">
        <v>49</v>
      </c>
      <c r="K5158" s="7" t="s">
        <v>18</v>
      </c>
      <c r="L5158" s="8">
        <v>39987.315405092595</v>
      </c>
      <c r="M5158" s="9" t="s">
        <v>19</v>
      </c>
      <c r="N5158" s="9" t="s">
        <v>20</v>
      </c>
      <c r="O5158" s="6" t="str">
        <f>HYPERLINK("https://pbs.twimg.com/profile_images/962471262747529216/Uo8lOkRJ_normal.jpg","View")</f>
        <v>View</v>
      </c>
      <c r="P5158" s="7"/>
    </row>
    <row r="5159" spans="1:16">
      <c r="A5159" s="3">
        <v>43939.809259259258</v>
      </c>
      <c r="B5159" s="4" t="str">
        <f>HYPERLINK("https://twitter.com/petrogustavo","@petrogustavo")</f>
        <v>@petrogustavo</v>
      </c>
      <c r="C5159" s="5" t="s">
        <v>16</v>
      </c>
      <c r="D5159" s="5" t="s">
        <v>5041</v>
      </c>
      <c r="E5159" s="6" t="str">
        <f>HYPERLINK("https://twitter.com/petrogustavo/status/1251509622294315009","1251509622294315009")</f>
        <v>1251509622294315009</v>
      </c>
      <c r="F5159" s="7" t="s">
        <v>17</v>
      </c>
      <c r="G5159" s="7">
        <v>3778512</v>
      </c>
      <c r="H5159" s="7">
        <v>2390</v>
      </c>
      <c r="I5159" s="7">
        <v>27</v>
      </c>
      <c r="J5159" s="7">
        <v>76</v>
      </c>
      <c r="K5159" s="7" t="s">
        <v>18</v>
      </c>
      <c r="L5159" s="8">
        <v>39987.315405092595</v>
      </c>
      <c r="M5159" s="9" t="s">
        <v>19</v>
      </c>
      <c r="N5159" s="9" t="s">
        <v>20</v>
      </c>
      <c r="O5159" s="6" t="str">
        <f>HYPERLINK("https://pbs.twimg.com/profile_images/962471262747529216/Uo8lOkRJ_normal.jpg","View")</f>
        <v>View</v>
      </c>
      <c r="P5159" s="7"/>
    </row>
    <row r="5160" spans="1:16">
      <c r="A5160" s="3">
        <v>43939.81045138889</v>
      </c>
      <c r="B5160" s="4" t="str">
        <f>HYPERLINK("https://twitter.com/petrogustavo","@petrogustavo")</f>
        <v>@petrogustavo</v>
      </c>
      <c r="C5160" s="5" t="s">
        <v>16</v>
      </c>
      <c r="D5160" s="5" t="s">
        <v>5042</v>
      </c>
      <c r="E5160" s="6" t="str">
        <f>HYPERLINK("https://twitter.com/petrogustavo/status/1251510055494705152","1251510055494705152")</f>
        <v>1251510055494705152</v>
      </c>
      <c r="F5160" s="7" t="s">
        <v>17</v>
      </c>
      <c r="G5160" s="7">
        <v>3778512</v>
      </c>
      <c r="H5160" s="7">
        <v>2390</v>
      </c>
      <c r="I5160" s="7">
        <v>591</v>
      </c>
      <c r="J5160" s="7">
        <v>0</v>
      </c>
      <c r="K5160" s="7" t="s">
        <v>18</v>
      </c>
      <c r="L5160" s="8">
        <v>39987.315405092595</v>
      </c>
      <c r="M5160" s="9" t="s">
        <v>19</v>
      </c>
      <c r="N5160" s="9" t="s">
        <v>20</v>
      </c>
      <c r="O5160" s="6" t="str">
        <f>HYPERLINK("https://pbs.twimg.com/profile_images/962471262747529216/Uo8lOkRJ_normal.jpg","View")</f>
        <v>View</v>
      </c>
      <c r="P5160" s="7"/>
    </row>
    <row r="5161" spans="1:16">
      <c r="A5161" s="3">
        <v>43939.820717592593</v>
      </c>
      <c r="B5161" s="4" t="str">
        <f>HYPERLINK("https://twitter.com/petrogustavo","@petrogustavo")</f>
        <v>@petrogustavo</v>
      </c>
      <c r="C5161" s="5" t="s">
        <v>16</v>
      </c>
      <c r="D5161" s="5" t="s">
        <v>5043</v>
      </c>
      <c r="E5161" s="6" t="str">
        <f>HYPERLINK("https://twitter.com/petrogustavo/status/1251513773568995330","1251513773568995330")</f>
        <v>1251513773568995330</v>
      </c>
      <c r="F5161" s="7" t="s">
        <v>17</v>
      </c>
      <c r="G5161" s="7">
        <v>3778614</v>
      </c>
      <c r="H5161" s="7">
        <v>2390</v>
      </c>
      <c r="I5161" s="7">
        <v>107</v>
      </c>
      <c r="J5161" s="7">
        <v>0</v>
      </c>
      <c r="K5161" s="7" t="s">
        <v>18</v>
      </c>
      <c r="L5161" s="8">
        <v>39987.315405092595</v>
      </c>
      <c r="M5161" s="9" t="s">
        <v>19</v>
      </c>
      <c r="N5161" s="9" t="s">
        <v>20</v>
      </c>
      <c r="O5161" s="6" t="str">
        <f>HYPERLINK("https://pbs.twimg.com/profile_images/962471262747529216/Uo8lOkRJ_normal.jpg","View")</f>
        <v>View</v>
      </c>
      <c r="P5161" s="7"/>
    </row>
    <row r="5162" spans="1:16">
      <c r="A5162" s="3">
        <v>43939.828414351854</v>
      </c>
      <c r="B5162" s="4" t="str">
        <f>HYPERLINK("https://twitter.com/petrogustavo","@petrogustavo")</f>
        <v>@petrogustavo</v>
      </c>
      <c r="C5162" s="5" t="s">
        <v>16</v>
      </c>
      <c r="D5162" s="5" t="s">
        <v>5044</v>
      </c>
      <c r="E5162" s="6" t="str">
        <f>HYPERLINK("https://twitter.com/petrogustavo/status/1251516563712282626","1251516563712282626")</f>
        <v>1251516563712282626</v>
      </c>
      <c r="F5162" s="7" t="s">
        <v>17</v>
      </c>
      <c r="G5162" s="7">
        <v>3778614</v>
      </c>
      <c r="H5162" s="7">
        <v>2390</v>
      </c>
      <c r="I5162" s="7">
        <v>82</v>
      </c>
      <c r="J5162" s="7">
        <v>150</v>
      </c>
      <c r="K5162" s="7" t="s">
        <v>18</v>
      </c>
      <c r="L5162" s="8">
        <v>39987.315405092595</v>
      </c>
      <c r="M5162" s="9" t="s">
        <v>19</v>
      </c>
      <c r="N5162" s="9" t="s">
        <v>20</v>
      </c>
      <c r="O5162" s="6" t="str">
        <f>HYPERLINK("https://pbs.twimg.com/profile_images/962471262747529216/Uo8lOkRJ_normal.jpg","View")</f>
        <v>View</v>
      </c>
      <c r="P5162" s="7"/>
    </row>
    <row r="5163" spans="1:16">
      <c r="A5163" s="3">
        <v>43939.831886574073</v>
      </c>
      <c r="B5163" s="4" t="str">
        <f>HYPERLINK("https://twitter.com/petrogustavo","@petrogustavo")</f>
        <v>@petrogustavo</v>
      </c>
      <c r="C5163" s="5" t="s">
        <v>16</v>
      </c>
      <c r="D5163" s="5" t="s">
        <v>5045</v>
      </c>
      <c r="E5163" s="6" t="str">
        <f>HYPERLINK("https://twitter.com/petrogustavo/status/1251517823614156801","1251517823614156801")</f>
        <v>1251517823614156801</v>
      </c>
      <c r="F5163" s="7" t="s">
        <v>17</v>
      </c>
      <c r="G5163" s="7">
        <v>3778614</v>
      </c>
      <c r="H5163" s="7">
        <v>2390</v>
      </c>
      <c r="I5163" s="7">
        <v>101</v>
      </c>
      <c r="J5163" s="7">
        <v>230</v>
      </c>
      <c r="K5163" s="7" t="s">
        <v>18</v>
      </c>
      <c r="L5163" s="8">
        <v>39987.315405092595</v>
      </c>
      <c r="M5163" s="9" t="s">
        <v>19</v>
      </c>
      <c r="N5163" s="9" t="s">
        <v>20</v>
      </c>
      <c r="O5163" s="6" t="str">
        <f>HYPERLINK("https://pbs.twimg.com/profile_images/962471262747529216/Uo8lOkRJ_normal.jpg","View")</f>
        <v>View</v>
      </c>
      <c r="P5163" s="7"/>
    </row>
    <row r="5164" spans="1:16">
      <c r="A5164" s="3">
        <v>43939.833738425921</v>
      </c>
      <c r="B5164" s="4" t="str">
        <f>HYPERLINK("https://twitter.com/petrogustavo","@petrogustavo")</f>
        <v>@petrogustavo</v>
      </c>
      <c r="C5164" s="5" t="s">
        <v>16</v>
      </c>
      <c r="D5164" s="5" t="s">
        <v>5046</v>
      </c>
      <c r="E5164" s="6" t="str">
        <f>HYPERLINK("https://twitter.com/petrogustavo/status/1251518492534353920","1251518492534353920")</f>
        <v>1251518492534353920</v>
      </c>
      <c r="F5164" s="7" t="s">
        <v>17</v>
      </c>
      <c r="G5164" s="7">
        <v>3778614</v>
      </c>
      <c r="H5164" s="7">
        <v>2390</v>
      </c>
      <c r="I5164" s="7">
        <v>23</v>
      </c>
      <c r="J5164" s="7">
        <v>58</v>
      </c>
      <c r="K5164" s="7" t="s">
        <v>18</v>
      </c>
      <c r="L5164" s="8">
        <v>39987.315405092595</v>
      </c>
      <c r="M5164" s="9" t="s">
        <v>19</v>
      </c>
      <c r="N5164" s="9" t="s">
        <v>20</v>
      </c>
      <c r="O5164" s="6" t="str">
        <f>HYPERLINK("https://pbs.twimg.com/profile_images/962471262747529216/Uo8lOkRJ_normal.jpg","View")</f>
        <v>View</v>
      </c>
      <c r="P5164" s="7"/>
    </row>
    <row r="5165" spans="1:16">
      <c r="A5165" s="3">
        <v>43939.840381944443</v>
      </c>
      <c r="B5165" s="4" t="str">
        <f>HYPERLINK("https://twitter.com/petrogustavo","@petrogustavo")</f>
        <v>@petrogustavo</v>
      </c>
      <c r="C5165" s="5" t="s">
        <v>16</v>
      </c>
      <c r="D5165" s="5" t="s">
        <v>5047</v>
      </c>
      <c r="E5165" s="6" t="str">
        <f>HYPERLINK("https://twitter.com/petrogustavo/status/1251520901037907968","1251520901037907968")</f>
        <v>1251520901037907968</v>
      </c>
      <c r="F5165" s="7" t="s">
        <v>17</v>
      </c>
      <c r="G5165" s="7">
        <v>3778738</v>
      </c>
      <c r="H5165" s="7">
        <v>2390</v>
      </c>
      <c r="I5165" s="7">
        <v>953</v>
      </c>
      <c r="J5165" s="7">
        <v>0</v>
      </c>
      <c r="K5165" s="7" t="s">
        <v>18</v>
      </c>
      <c r="L5165" s="8">
        <v>39987.315405092595</v>
      </c>
      <c r="M5165" s="9" t="s">
        <v>19</v>
      </c>
      <c r="N5165" s="9" t="s">
        <v>20</v>
      </c>
      <c r="O5165" s="6" t="str">
        <f>HYPERLINK("https://pbs.twimg.com/profile_images/962471262747529216/Uo8lOkRJ_normal.jpg","View")</f>
        <v>View</v>
      </c>
      <c r="P5165" s="7"/>
    </row>
    <row r="5166" spans="1:16">
      <c r="A5166" s="3">
        <v>43939.850069444445</v>
      </c>
      <c r="B5166" s="4" t="str">
        <f>HYPERLINK("https://twitter.com/petrogustavo","@petrogustavo")</f>
        <v>@petrogustavo</v>
      </c>
      <c r="C5166" s="5" t="s">
        <v>16</v>
      </c>
      <c r="D5166" s="5" t="s">
        <v>5048</v>
      </c>
      <c r="E5166" s="6" t="str">
        <f>HYPERLINK("https://twitter.com/petrogustavo/status/1251524411502612481","1251524411502612481")</f>
        <v>1251524411502612481</v>
      </c>
      <c r="F5166" s="7" t="s">
        <v>17</v>
      </c>
      <c r="G5166" s="7">
        <v>3778738</v>
      </c>
      <c r="H5166" s="7">
        <v>2390</v>
      </c>
      <c r="I5166" s="7">
        <v>120</v>
      </c>
      <c r="J5166" s="7">
        <v>260</v>
      </c>
      <c r="K5166" s="7" t="s">
        <v>18</v>
      </c>
      <c r="L5166" s="8">
        <v>39987.315405092595</v>
      </c>
      <c r="M5166" s="9" t="s">
        <v>19</v>
      </c>
      <c r="N5166" s="9" t="s">
        <v>20</v>
      </c>
      <c r="O5166" s="6" t="str">
        <f>HYPERLINK("https://pbs.twimg.com/profile_images/962471262747529216/Uo8lOkRJ_normal.jpg","View")</f>
        <v>View</v>
      </c>
      <c r="P5166" s="7"/>
    </row>
    <row r="5167" spans="1:16">
      <c r="A5167" s="3">
        <v>43939.854189814811</v>
      </c>
      <c r="B5167" s="4" t="str">
        <f>HYPERLINK("https://twitter.com/petrogustavo","@petrogustavo")</f>
        <v>@petrogustavo</v>
      </c>
      <c r="C5167" s="5" t="s">
        <v>16</v>
      </c>
      <c r="D5167" s="5" t="s">
        <v>5049</v>
      </c>
      <c r="E5167" s="6" t="str">
        <f>HYPERLINK("https://twitter.com/petrogustavo/status/1251525904821628928","1251525904821628928")</f>
        <v>1251525904821628928</v>
      </c>
      <c r="F5167" s="7" t="s">
        <v>17</v>
      </c>
      <c r="G5167" s="7">
        <v>3778738</v>
      </c>
      <c r="H5167" s="7">
        <v>2390</v>
      </c>
      <c r="I5167" s="7">
        <v>704</v>
      </c>
      <c r="J5167" s="7">
        <v>0</v>
      </c>
      <c r="K5167" s="7" t="s">
        <v>18</v>
      </c>
      <c r="L5167" s="8">
        <v>39987.315405092595</v>
      </c>
      <c r="M5167" s="9" t="s">
        <v>19</v>
      </c>
      <c r="N5167" s="9" t="s">
        <v>20</v>
      </c>
      <c r="O5167" s="6" t="str">
        <f>HYPERLINK("https://pbs.twimg.com/profile_images/962471262747529216/Uo8lOkRJ_normal.jpg","View")</f>
        <v>View</v>
      </c>
      <c r="P5167" s="7"/>
    </row>
    <row r="5168" spans="1:16">
      <c r="A5168" s="3">
        <v>43939.854224537034</v>
      </c>
      <c r="B5168" s="4" t="str">
        <f>HYPERLINK("https://twitter.com/petrogustavo","@petrogustavo")</f>
        <v>@petrogustavo</v>
      </c>
      <c r="C5168" s="5" t="s">
        <v>16</v>
      </c>
      <c r="D5168" s="5" t="s">
        <v>5050</v>
      </c>
      <c r="E5168" s="6" t="str">
        <f>HYPERLINK("https://twitter.com/petrogustavo/status/1251525915961626624","1251525915961626624")</f>
        <v>1251525915961626624</v>
      </c>
      <c r="F5168" s="7" t="s">
        <v>17</v>
      </c>
      <c r="G5168" s="7">
        <v>3778738</v>
      </c>
      <c r="H5168" s="7">
        <v>2390</v>
      </c>
      <c r="I5168" s="7">
        <v>354</v>
      </c>
      <c r="J5168" s="7">
        <v>0</v>
      </c>
      <c r="K5168" s="7" t="s">
        <v>18</v>
      </c>
      <c r="L5168" s="8">
        <v>39987.315405092595</v>
      </c>
      <c r="M5168" s="9" t="s">
        <v>19</v>
      </c>
      <c r="N5168" s="9" t="s">
        <v>20</v>
      </c>
      <c r="O5168" s="6" t="str">
        <f>HYPERLINK("https://pbs.twimg.com/profile_images/962471262747529216/Uo8lOkRJ_normal.jpg","View")</f>
        <v>View</v>
      </c>
      <c r="P5168" s="7"/>
    </row>
    <row r="5169" spans="1:16">
      <c r="A5169" s="3">
        <v>43940.030312499999</v>
      </c>
      <c r="B5169" s="4" t="str">
        <f>HYPERLINK("https://twitter.com/petrogustavo","@petrogustavo")</f>
        <v>@petrogustavo</v>
      </c>
      <c r="C5169" s="5" t="s">
        <v>16</v>
      </c>
      <c r="D5169" s="5" t="s">
        <v>5051</v>
      </c>
      <c r="E5169" s="6" t="str">
        <f>HYPERLINK("https://twitter.com/petrogustavo/status/1251589730661281797","1251589730661281797")</f>
        <v>1251589730661281797</v>
      </c>
      <c r="F5169" s="7" t="s">
        <v>17</v>
      </c>
      <c r="G5169" s="7">
        <v>3780166</v>
      </c>
      <c r="H5169" s="7">
        <v>2391</v>
      </c>
      <c r="I5169" s="7">
        <v>405</v>
      </c>
      <c r="J5169" s="7">
        <v>0</v>
      </c>
      <c r="K5169" s="7" t="s">
        <v>18</v>
      </c>
      <c r="L5169" s="8">
        <v>39987.315405092595</v>
      </c>
      <c r="M5169" s="9" t="s">
        <v>19</v>
      </c>
      <c r="N5169" s="9" t="s">
        <v>20</v>
      </c>
      <c r="O5169" s="6" t="str">
        <f>HYPERLINK("https://pbs.twimg.com/profile_images/962471262747529216/Uo8lOkRJ_normal.jpg","View")</f>
        <v>View</v>
      </c>
      <c r="P5169" s="7"/>
    </row>
    <row r="5170" spans="1:16">
      <c r="A5170" s="3">
        <v>43940.035034722227</v>
      </c>
      <c r="B5170" s="4" t="str">
        <f>HYPERLINK("https://twitter.com/petrogustavo","@petrogustavo")</f>
        <v>@petrogustavo</v>
      </c>
      <c r="C5170" s="5" t="s">
        <v>16</v>
      </c>
      <c r="D5170" s="5" t="s">
        <v>5052</v>
      </c>
      <c r="E5170" s="6" t="str">
        <f>HYPERLINK("https://twitter.com/petrogustavo/status/1251591438837702656","1251591438837702656")</f>
        <v>1251591438837702656</v>
      </c>
      <c r="F5170" s="7" t="s">
        <v>17</v>
      </c>
      <c r="G5170" s="7">
        <v>3780166</v>
      </c>
      <c r="H5170" s="7">
        <v>2391</v>
      </c>
      <c r="I5170" s="7">
        <v>55</v>
      </c>
      <c r="J5170" s="7">
        <v>0</v>
      </c>
      <c r="K5170" s="7" t="s">
        <v>18</v>
      </c>
      <c r="L5170" s="8">
        <v>39987.315405092595</v>
      </c>
      <c r="M5170" s="9" t="s">
        <v>19</v>
      </c>
      <c r="N5170" s="9" t="s">
        <v>20</v>
      </c>
      <c r="O5170" s="6" t="str">
        <f>HYPERLINK("https://pbs.twimg.com/profile_images/962471262747529216/Uo8lOkRJ_normal.jpg","View")</f>
        <v>View</v>
      </c>
      <c r="P5170" s="7"/>
    </row>
    <row r="5171" spans="1:16">
      <c r="A5171" s="3">
        <v>43940.040717592594</v>
      </c>
      <c r="B5171" s="4" t="str">
        <f>HYPERLINK("https://twitter.com/petrogustavo","@petrogustavo")</f>
        <v>@petrogustavo</v>
      </c>
      <c r="C5171" s="5" t="s">
        <v>16</v>
      </c>
      <c r="D5171" s="5" t="s">
        <v>5053</v>
      </c>
      <c r="E5171" s="6" t="str">
        <f>HYPERLINK("https://twitter.com/petrogustavo/status/1251593501478989829","1251593501478989829")</f>
        <v>1251593501478989829</v>
      </c>
      <c r="F5171" s="7" t="s">
        <v>17</v>
      </c>
      <c r="G5171" s="7">
        <v>3780166</v>
      </c>
      <c r="H5171" s="7">
        <v>2391</v>
      </c>
      <c r="I5171" s="7">
        <v>49</v>
      </c>
      <c r="J5171" s="7">
        <v>124</v>
      </c>
      <c r="K5171" s="7" t="s">
        <v>18</v>
      </c>
      <c r="L5171" s="8">
        <v>39987.315405092595</v>
      </c>
      <c r="M5171" s="9" t="s">
        <v>19</v>
      </c>
      <c r="N5171" s="9" t="s">
        <v>20</v>
      </c>
      <c r="O5171" s="6" t="str">
        <f>HYPERLINK("https://pbs.twimg.com/profile_images/962471262747529216/Uo8lOkRJ_normal.jpg","View")</f>
        <v>View</v>
      </c>
      <c r="P5171" s="7"/>
    </row>
    <row r="5172" spans="1:16">
      <c r="A5172" s="3">
        <v>43940.04314814815</v>
      </c>
      <c r="B5172" s="4" t="str">
        <f>HYPERLINK("https://twitter.com/petrogustavo","@petrogustavo")</f>
        <v>@petrogustavo</v>
      </c>
      <c r="C5172" s="5" t="s">
        <v>16</v>
      </c>
      <c r="D5172" s="5" t="s">
        <v>5054</v>
      </c>
      <c r="E5172" s="6" t="str">
        <f>HYPERLINK("https://twitter.com/petrogustavo/status/1251594381028724738","1251594381028724738")</f>
        <v>1251594381028724738</v>
      </c>
      <c r="F5172" s="7" t="s">
        <v>17</v>
      </c>
      <c r="G5172" s="7">
        <v>3780166</v>
      </c>
      <c r="H5172" s="7">
        <v>2391</v>
      </c>
      <c r="I5172" s="7">
        <v>0</v>
      </c>
      <c r="J5172" s="7">
        <v>0</v>
      </c>
      <c r="K5172" s="7" t="s">
        <v>18</v>
      </c>
      <c r="L5172" s="8">
        <v>39987.315405092595</v>
      </c>
      <c r="M5172" s="9" t="s">
        <v>19</v>
      </c>
      <c r="N5172" s="9" t="s">
        <v>20</v>
      </c>
      <c r="O5172" s="6" t="str">
        <f>HYPERLINK("https://pbs.twimg.com/profile_images/962471262747529216/Uo8lOkRJ_normal.jpg","View")</f>
        <v>View</v>
      </c>
      <c r="P5172" s="7"/>
    </row>
    <row r="5173" spans="1:16">
      <c r="A5173" s="3">
        <v>43940.046666666662</v>
      </c>
      <c r="B5173" s="4" t="str">
        <f>HYPERLINK("https://twitter.com/petrogustavo","@petrogustavo")</f>
        <v>@petrogustavo</v>
      </c>
      <c r="C5173" s="5" t="s">
        <v>16</v>
      </c>
      <c r="D5173" s="5" t="s">
        <v>5055</v>
      </c>
      <c r="E5173" s="6" t="str">
        <f>HYPERLINK("https://twitter.com/petrogustavo/status/1251595656311066632","1251595656311066632")</f>
        <v>1251595656311066632</v>
      </c>
      <c r="F5173" s="7" t="s">
        <v>17</v>
      </c>
      <c r="G5173" s="7">
        <v>3780287</v>
      </c>
      <c r="H5173" s="7">
        <v>2391</v>
      </c>
      <c r="I5173" s="7">
        <v>228</v>
      </c>
      <c r="J5173" s="7">
        <v>306</v>
      </c>
      <c r="K5173" s="7" t="s">
        <v>18</v>
      </c>
      <c r="L5173" s="8">
        <v>39987.315405092595</v>
      </c>
      <c r="M5173" s="9" t="s">
        <v>19</v>
      </c>
      <c r="N5173" s="9" t="s">
        <v>20</v>
      </c>
      <c r="O5173" s="6" t="str">
        <f>HYPERLINK("https://pbs.twimg.com/profile_images/962471262747529216/Uo8lOkRJ_normal.jpg","View")</f>
        <v>View</v>
      </c>
      <c r="P5173" s="7"/>
    </row>
    <row r="5174" spans="1:16">
      <c r="A5174" s="3">
        <v>43940.055729166663</v>
      </c>
      <c r="B5174" s="4" t="str">
        <f>HYPERLINK("https://twitter.com/petrogustavo","@petrogustavo")</f>
        <v>@petrogustavo</v>
      </c>
      <c r="C5174" s="5" t="s">
        <v>16</v>
      </c>
      <c r="D5174" s="5" t="s">
        <v>5056</v>
      </c>
      <c r="E5174" s="6" t="str">
        <f>HYPERLINK("https://twitter.com/petrogustavo/status/1251598940593676289","1251598940593676289")</f>
        <v>1251598940593676289</v>
      </c>
      <c r="F5174" s="7" t="s">
        <v>17</v>
      </c>
      <c r="G5174" s="7">
        <v>3780287</v>
      </c>
      <c r="H5174" s="7">
        <v>2391</v>
      </c>
      <c r="I5174" s="7">
        <v>64</v>
      </c>
      <c r="J5174" s="7">
        <v>0</v>
      </c>
      <c r="K5174" s="7" t="s">
        <v>18</v>
      </c>
      <c r="L5174" s="8">
        <v>39987.315405092595</v>
      </c>
      <c r="M5174" s="9" t="s">
        <v>19</v>
      </c>
      <c r="N5174" s="9" t="s">
        <v>20</v>
      </c>
      <c r="O5174" s="6" t="str">
        <f>HYPERLINK("https://pbs.twimg.com/profile_images/962471262747529216/Uo8lOkRJ_normal.jpg","View")</f>
        <v>View</v>
      </c>
      <c r="P5174" s="7"/>
    </row>
    <row r="5175" spans="1:16">
      <c r="A5175" s="3">
        <v>43940.056863425925</v>
      </c>
      <c r="B5175" s="4" t="str">
        <f>HYPERLINK("https://twitter.com/petrogustavo","@petrogustavo")</f>
        <v>@petrogustavo</v>
      </c>
      <c r="C5175" s="5" t="s">
        <v>16</v>
      </c>
      <c r="D5175" s="5" t="s">
        <v>5057</v>
      </c>
      <c r="E5175" s="6" t="str">
        <f>HYPERLINK("https://twitter.com/petrogustavo/status/1251599349257318400","1251599349257318400")</f>
        <v>1251599349257318400</v>
      </c>
      <c r="F5175" s="7" t="s">
        <v>17</v>
      </c>
      <c r="G5175" s="7">
        <v>3780287</v>
      </c>
      <c r="H5175" s="7">
        <v>2391</v>
      </c>
      <c r="I5175" s="7">
        <v>1909</v>
      </c>
      <c r="J5175" s="7">
        <v>0</v>
      </c>
      <c r="K5175" s="7" t="s">
        <v>18</v>
      </c>
      <c r="L5175" s="8">
        <v>39987.315405092595</v>
      </c>
      <c r="M5175" s="9" t="s">
        <v>19</v>
      </c>
      <c r="N5175" s="9" t="s">
        <v>20</v>
      </c>
      <c r="O5175" s="6" t="str">
        <f>HYPERLINK("https://pbs.twimg.com/profile_images/962471262747529216/Uo8lOkRJ_normal.jpg","View")</f>
        <v>View</v>
      </c>
      <c r="P5175" s="7"/>
    </row>
    <row r="5176" spans="1:16">
      <c r="A5176" s="3">
        <v>43940.061562499999</v>
      </c>
      <c r="B5176" s="4" t="str">
        <f>HYPERLINK("https://twitter.com/petrogustavo","@petrogustavo")</f>
        <v>@petrogustavo</v>
      </c>
      <c r="C5176" s="5" t="s">
        <v>16</v>
      </c>
      <c r="D5176" s="5" t="s">
        <v>5058</v>
      </c>
      <c r="E5176" s="6" t="str">
        <f>HYPERLINK("https://twitter.com/petrogustavo/status/1251601055751770112","1251601055751770112")</f>
        <v>1251601055751770112</v>
      </c>
      <c r="F5176" s="7" t="s">
        <v>17</v>
      </c>
      <c r="G5176" s="7">
        <v>3780287</v>
      </c>
      <c r="H5176" s="7">
        <v>2391</v>
      </c>
      <c r="I5176" s="7">
        <v>1790</v>
      </c>
      <c r="J5176" s="7">
        <v>0</v>
      </c>
      <c r="K5176" s="7" t="s">
        <v>18</v>
      </c>
      <c r="L5176" s="8">
        <v>39987.315405092595</v>
      </c>
      <c r="M5176" s="9" t="s">
        <v>19</v>
      </c>
      <c r="N5176" s="9" t="s">
        <v>20</v>
      </c>
      <c r="O5176" s="6" t="str">
        <f>HYPERLINK("https://pbs.twimg.com/profile_images/962471262747529216/Uo8lOkRJ_normal.jpg","View")</f>
        <v>View</v>
      </c>
      <c r="P5176" s="7"/>
    </row>
    <row r="5177" spans="1:16">
      <c r="A5177" s="3">
        <v>43940.077499999999</v>
      </c>
      <c r="B5177" s="4" t="str">
        <f>HYPERLINK("https://twitter.com/petrogustavo","@petrogustavo")</f>
        <v>@petrogustavo</v>
      </c>
      <c r="C5177" s="5" t="s">
        <v>16</v>
      </c>
      <c r="D5177" s="5" t="s">
        <v>5059</v>
      </c>
      <c r="E5177" s="6" t="str">
        <f>HYPERLINK("https://twitter.com/petrogustavo/status/1251606831287472128","1251606831287472128")</f>
        <v>1251606831287472128</v>
      </c>
      <c r="F5177" s="7" t="s">
        <v>17</v>
      </c>
      <c r="G5177" s="7">
        <v>3780424</v>
      </c>
      <c r="H5177" s="7">
        <v>2391</v>
      </c>
      <c r="I5177" s="7">
        <v>49</v>
      </c>
      <c r="J5177" s="7">
        <v>133</v>
      </c>
      <c r="K5177" s="7" t="s">
        <v>18</v>
      </c>
      <c r="L5177" s="8">
        <v>39987.315405092595</v>
      </c>
      <c r="M5177" s="9" t="s">
        <v>19</v>
      </c>
      <c r="N5177" s="9" t="s">
        <v>20</v>
      </c>
      <c r="O5177" s="6" t="str">
        <f>HYPERLINK("https://pbs.twimg.com/profile_images/962471262747529216/Uo8lOkRJ_normal.jpg","View")</f>
        <v>View</v>
      </c>
      <c r="P5177" s="7"/>
    </row>
    <row r="5178" spans="1:16">
      <c r="A5178" s="3">
        <v>43940.079652777778</v>
      </c>
      <c r="B5178" s="4" t="str">
        <f>HYPERLINK("https://twitter.com/petrogustavo","@petrogustavo")</f>
        <v>@petrogustavo</v>
      </c>
      <c r="C5178" s="5" t="s">
        <v>16</v>
      </c>
      <c r="D5178" s="5" t="s">
        <v>5060</v>
      </c>
      <c r="E5178" s="6" t="str">
        <f>HYPERLINK("https://twitter.com/petrogustavo/status/1251607611545399296","1251607611545399296")</f>
        <v>1251607611545399296</v>
      </c>
      <c r="F5178" s="7" t="s">
        <v>17</v>
      </c>
      <c r="G5178" s="7">
        <v>3780424</v>
      </c>
      <c r="H5178" s="7">
        <v>2391</v>
      </c>
      <c r="I5178" s="7">
        <v>31</v>
      </c>
      <c r="J5178" s="7">
        <v>50</v>
      </c>
      <c r="K5178" s="7" t="s">
        <v>18</v>
      </c>
      <c r="L5178" s="8">
        <v>39987.315405092595</v>
      </c>
      <c r="M5178" s="9" t="s">
        <v>19</v>
      </c>
      <c r="N5178" s="9" t="s">
        <v>20</v>
      </c>
      <c r="O5178" s="6" t="str">
        <f>HYPERLINK("https://pbs.twimg.com/profile_images/962471262747529216/Uo8lOkRJ_normal.jpg","View")</f>
        <v>View</v>
      </c>
      <c r="P5178" s="7"/>
    </row>
    <row r="5179" spans="1:16">
      <c r="A5179" s="3">
        <v>43940.083379629628</v>
      </c>
      <c r="B5179" s="4" t="str">
        <f>HYPERLINK("https://twitter.com/petrogustavo","@petrogustavo")</f>
        <v>@petrogustavo</v>
      </c>
      <c r="C5179" s="5" t="s">
        <v>16</v>
      </c>
      <c r="D5179" s="5" t="s">
        <v>5061</v>
      </c>
      <c r="E5179" s="6" t="str">
        <f>HYPERLINK("https://twitter.com/petrogustavo/status/1251608959066177537","1251608959066177537")</f>
        <v>1251608959066177537</v>
      </c>
      <c r="F5179" s="7" t="s">
        <v>17</v>
      </c>
      <c r="G5179" s="7">
        <v>3780424</v>
      </c>
      <c r="H5179" s="7">
        <v>2391</v>
      </c>
      <c r="I5179" s="7">
        <v>709</v>
      </c>
      <c r="J5179" s="7">
        <v>0</v>
      </c>
      <c r="K5179" s="7" t="s">
        <v>18</v>
      </c>
      <c r="L5179" s="8">
        <v>39987.315405092595</v>
      </c>
      <c r="M5179" s="9" t="s">
        <v>19</v>
      </c>
      <c r="N5179" s="9" t="s">
        <v>20</v>
      </c>
      <c r="O5179" s="6" t="str">
        <f>HYPERLINK("https://pbs.twimg.com/profile_images/962471262747529216/Uo8lOkRJ_normal.jpg","View")</f>
        <v>View</v>
      </c>
      <c r="P5179" s="7"/>
    </row>
    <row r="5180" spans="1:16">
      <c r="A5180" s="3">
        <v>43940.091909722221</v>
      </c>
      <c r="B5180" s="4" t="str">
        <f>HYPERLINK("https://twitter.com/petrogustavo","@petrogustavo")</f>
        <v>@petrogustavo</v>
      </c>
      <c r="C5180" s="5" t="s">
        <v>16</v>
      </c>
      <c r="D5180" s="5" t="s">
        <v>5062</v>
      </c>
      <c r="E5180" s="6" t="str">
        <f>HYPERLINK("https://twitter.com/petrogustavo/status/1251612049903431680","1251612049903431680")</f>
        <v>1251612049903431680</v>
      </c>
      <c r="F5180" s="7" t="s">
        <v>17</v>
      </c>
      <c r="G5180" s="7">
        <v>3780591</v>
      </c>
      <c r="H5180" s="7">
        <v>2391</v>
      </c>
      <c r="I5180" s="7">
        <v>217</v>
      </c>
      <c r="J5180" s="7">
        <v>445</v>
      </c>
      <c r="K5180" s="7" t="s">
        <v>18</v>
      </c>
      <c r="L5180" s="8">
        <v>39987.315405092595</v>
      </c>
      <c r="M5180" s="9" t="s">
        <v>19</v>
      </c>
      <c r="N5180" s="9" t="s">
        <v>20</v>
      </c>
      <c r="O5180" s="6" t="str">
        <f>HYPERLINK("https://pbs.twimg.com/profile_images/962471262747529216/Uo8lOkRJ_normal.jpg","View")</f>
        <v>View</v>
      </c>
      <c r="P5180" s="7"/>
    </row>
    <row r="5181" spans="1:16">
      <c r="A5181" s="3">
        <v>43940.097141203703</v>
      </c>
      <c r="B5181" s="4" t="str">
        <f>HYPERLINK("https://twitter.com/petrogustavo","@petrogustavo")</f>
        <v>@petrogustavo</v>
      </c>
      <c r="C5181" s="5" t="s">
        <v>16</v>
      </c>
      <c r="D5181" s="5" t="s">
        <v>5063</v>
      </c>
      <c r="E5181" s="6" t="str">
        <f>HYPERLINK("https://twitter.com/petrogustavo/status/1251613947016478724","1251613947016478724")</f>
        <v>1251613947016478724</v>
      </c>
      <c r="F5181" s="7" t="s">
        <v>17</v>
      </c>
      <c r="G5181" s="7">
        <v>3780591</v>
      </c>
      <c r="H5181" s="7">
        <v>2391</v>
      </c>
      <c r="I5181" s="7">
        <v>1047</v>
      </c>
      <c r="J5181" s="7">
        <v>0</v>
      </c>
      <c r="K5181" s="7" t="s">
        <v>18</v>
      </c>
      <c r="L5181" s="8">
        <v>39987.315405092595</v>
      </c>
      <c r="M5181" s="9" t="s">
        <v>19</v>
      </c>
      <c r="N5181" s="9" t="s">
        <v>20</v>
      </c>
      <c r="O5181" s="6" t="str">
        <f>HYPERLINK("https://pbs.twimg.com/profile_images/962471262747529216/Uo8lOkRJ_normal.jpg","View")</f>
        <v>View</v>
      </c>
      <c r="P5181" s="7"/>
    </row>
    <row r="5182" spans="1:16">
      <c r="A5182" s="3">
        <v>43940.099988425922</v>
      </c>
      <c r="B5182" s="4" t="str">
        <f>HYPERLINK("https://twitter.com/petrogustavo","@petrogustavo")</f>
        <v>@petrogustavo</v>
      </c>
      <c r="C5182" s="5" t="s">
        <v>16</v>
      </c>
      <c r="D5182" s="5" t="s">
        <v>5064</v>
      </c>
      <c r="E5182" s="6" t="str">
        <f>HYPERLINK("https://twitter.com/petrogustavo/status/1251614978542575622","1251614978542575622")</f>
        <v>1251614978542575622</v>
      </c>
      <c r="F5182" s="7" t="s">
        <v>17</v>
      </c>
      <c r="G5182" s="7">
        <v>3780591</v>
      </c>
      <c r="H5182" s="7">
        <v>2391</v>
      </c>
      <c r="I5182" s="7">
        <v>145</v>
      </c>
      <c r="J5182" s="7">
        <v>379</v>
      </c>
      <c r="K5182" s="7" t="s">
        <v>18</v>
      </c>
      <c r="L5182" s="8">
        <v>39987.315405092595</v>
      </c>
      <c r="M5182" s="9" t="s">
        <v>19</v>
      </c>
      <c r="N5182" s="9" t="s">
        <v>20</v>
      </c>
      <c r="O5182" s="6" t="str">
        <f>HYPERLINK("https://pbs.twimg.com/profile_images/962471262747529216/Uo8lOkRJ_normal.jpg","View")</f>
        <v>View</v>
      </c>
      <c r="P5182" s="7"/>
    </row>
    <row r="5183" spans="1:16">
      <c r="A5183" s="3">
        <v>43940.110694444447</v>
      </c>
      <c r="B5183" s="4" t="str">
        <f>HYPERLINK("https://twitter.com/petrogustavo","@petrogustavo")</f>
        <v>@petrogustavo</v>
      </c>
      <c r="C5183" s="5" t="s">
        <v>16</v>
      </c>
      <c r="D5183" s="5" t="s">
        <v>5065</v>
      </c>
      <c r="E5183" s="6" t="str">
        <f>HYPERLINK("https://twitter.com/petrogustavo/status/1251618856692523010","1251618856692523010")</f>
        <v>1251618856692523010</v>
      </c>
      <c r="F5183" s="7" t="s">
        <v>17</v>
      </c>
      <c r="G5183" s="7">
        <v>3780724</v>
      </c>
      <c r="H5183" s="7">
        <v>2391</v>
      </c>
      <c r="I5183" s="7">
        <v>275</v>
      </c>
      <c r="J5183" s="7">
        <v>0</v>
      </c>
      <c r="K5183" s="7" t="s">
        <v>18</v>
      </c>
      <c r="L5183" s="8">
        <v>39987.315405092595</v>
      </c>
      <c r="M5183" s="9" t="s">
        <v>19</v>
      </c>
      <c r="N5183" s="9" t="s">
        <v>20</v>
      </c>
      <c r="O5183" s="6" t="str">
        <f>HYPERLINK("https://pbs.twimg.com/profile_images/962471262747529216/Uo8lOkRJ_normal.jpg","View")</f>
        <v>View</v>
      </c>
      <c r="P5183" s="7"/>
    </row>
    <row r="5184" spans="1:16">
      <c r="A5184" s="3">
        <v>43940.112743055557</v>
      </c>
      <c r="B5184" s="4" t="str">
        <f>HYPERLINK("https://twitter.com/petrogustavo","@petrogustavo")</f>
        <v>@petrogustavo</v>
      </c>
      <c r="C5184" s="5" t="s">
        <v>16</v>
      </c>
      <c r="D5184" s="5" t="s">
        <v>5066</v>
      </c>
      <c r="E5184" s="6" t="str">
        <f>HYPERLINK("https://twitter.com/petrogustavo/status/1251619599524732928","1251619599524732928")</f>
        <v>1251619599524732928</v>
      </c>
      <c r="F5184" s="7" t="s">
        <v>17</v>
      </c>
      <c r="G5184" s="7">
        <v>3780724</v>
      </c>
      <c r="H5184" s="7">
        <v>2391</v>
      </c>
      <c r="I5184" s="7">
        <v>83</v>
      </c>
      <c r="J5184" s="7">
        <v>167</v>
      </c>
      <c r="K5184" s="7" t="s">
        <v>18</v>
      </c>
      <c r="L5184" s="8">
        <v>39987.315405092595</v>
      </c>
      <c r="M5184" s="9" t="s">
        <v>19</v>
      </c>
      <c r="N5184" s="9" t="s">
        <v>20</v>
      </c>
      <c r="O5184" s="6" t="str">
        <f>HYPERLINK("https://pbs.twimg.com/profile_images/962471262747529216/Uo8lOkRJ_normal.jpg","View")</f>
        <v>View</v>
      </c>
      <c r="P5184" s="7"/>
    </row>
    <row r="5185" spans="1:16">
      <c r="A5185" s="3">
        <v>43940.228483796294</v>
      </c>
      <c r="B5185" s="4" t="str">
        <f>HYPERLINK("https://twitter.com/petrogustavo","@petrogustavo")</f>
        <v>@petrogustavo</v>
      </c>
      <c r="C5185" s="5" t="s">
        <v>16</v>
      </c>
      <c r="D5185" s="5" t="s">
        <v>5067</v>
      </c>
      <c r="E5185" s="6" t="str">
        <f>HYPERLINK("https://twitter.com/petrogustavo/status/1251661545517592581","1251661545517592581")</f>
        <v>1251661545517592581</v>
      </c>
      <c r="F5185" s="7" t="s">
        <v>17</v>
      </c>
      <c r="G5185" s="7">
        <v>3781290</v>
      </c>
      <c r="H5185" s="7">
        <v>2390</v>
      </c>
      <c r="I5185" s="7">
        <v>11</v>
      </c>
      <c r="J5185" s="7">
        <v>34</v>
      </c>
      <c r="K5185" s="7" t="s">
        <v>18</v>
      </c>
      <c r="L5185" s="8">
        <v>39987.315405092595</v>
      </c>
      <c r="M5185" s="9" t="s">
        <v>19</v>
      </c>
      <c r="N5185" s="9" t="s">
        <v>20</v>
      </c>
      <c r="O5185" s="6" t="str">
        <f>HYPERLINK("https://pbs.twimg.com/profile_images/962471262747529216/Uo8lOkRJ_normal.jpg","View")</f>
        <v>View</v>
      </c>
      <c r="P5185" s="7"/>
    </row>
    <row r="5186" spans="1:16">
      <c r="A5186" s="3">
        <v>43940.230474537035</v>
      </c>
      <c r="B5186" s="4" t="str">
        <f>HYPERLINK("https://twitter.com/petrogustavo","@petrogustavo")</f>
        <v>@petrogustavo</v>
      </c>
      <c r="C5186" s="5" t="s">
        <v>16</v>
      </c>
      <c r="D5186" s="5" t="s">
        <v>5068</v>
      </c>
      <c r="E5186" s="6" t="str">
        <f>HYPERLINK("https://twitter.com/petrogustavo/status/1251662265444716545","1251662265444716545")</f>
        <v>1251662265444716545</v>
      </c>
      <c r="F5186" s="7" t="s">
        <v>17</v>
      </c>
      <c r="G5186" s="7">
        <v>3781290</v>
      </c>
      <c r="H5186" s="7">
        <v>2390</v>
      </c>
      <c r="I5186" s="7">
        <v>2</v>
      </c>
      <c r="J5186" s="7">
        <v>1</v>
      </c>
      <c r="K5186" s="7" t="s">
        <v>18</v>
      </c>
      <c r="L5186" s="8">
        <v>39987.315405092595</v>
      </c>
      <c r="M5186" s="9" t="s">
        <v>19</v>
      </c>
      <c r="N5186" s="9" t="s">
        <v>20</v>
      </c>
      <c r="O5186" s="6" t="str">
        <f>HYPERLINK("https://pbs.twimg.com/profile_images/962471262747529216/Uo8lOkRJ_normal.jpg","View")</f>
        <v>View</v>
      </c>
      <c r="P5186" s="7"/>
    </row>
    <row r="5187" spans="1:16">
      <c r="A5187" s="3">
        <v>43940.230844907404</v>
      </c>
      <c r="B5187" s="4" t="str">
        <f>HYPERLINK("https://twitter.com/petrogustavo","@petrogustavo")</f>
        <v>@petrogustavo</v>
      </c>
      <c r="C5187" s="5" t="s">
        <v>16</v>
      </c>
      <c r="D5187" s="5" t="s">
        <v>5069</v>
      </c>
      <c r="E5187" s="6" t="str">
        <f>HYPERLINK("https://twitter.com/petrogustavo/status/1251662400077561859","1251662400077561859")</f>
        <v>1251662400077561859</v>
      </c>
      <c r="F5187" s="7" t="s">
        <v>17</v>
      </c>
      <c r="G5187" s="7">
        <v>3781406</v>
      </c>
      <c r="H5187" s="7">
        <v>2390</v>
      </c>
      <c r="I5187" s="7">
        <v>61</v>
      </c>
      <c r="J5187" s="7">
        <v>0</v>
      </c>
      <c r="K5187" s="7" t="s">
        <v>18</v>
      </c>
      <c r="L5187" s="8">
        <v>39987.315405092595</v>
      </c>
      <c r="M5187" s="9" t="s">
        <v>19</v>
      </c>
      <c r="N5187" s="9" t="s">
        <v>20</v>
      </c>
      <c r="O5187" s="6" t="str">
        <f>HYPERLINK("https://pbs.twimg.com/profile_images/962471262747529216/Uo8lOkRJ_normal.jpg","View")</f>
        <v>View</v>
      </c>
      <c r="P5187" s="7"/>
    </row>
    <row r="5188" spans="1:16">
      <c r="A5188" s="3">
        <v>43940.243958333333</v>
      </c>
      <c r="B5188" s="4" t="str">
        <f>HYPERLINK("https://twitter.com/petrogustavo","@petrogustavo")</f>
        <v>@petrogustavo</v>
      </c>
      <c r="C5188" s="5" t="s">
        <v>16</v>
      </c>
      <c r="D5188" s="5" t="s">
        <v>5070</v>
      </c>
      <c r="E5188" s="6" t="str">
        <f>HYPERLINK("https://twitter.com/petrogustavo/status/1251667151204777997","1251667151204777997")</f>
        <v>1251667151204777997</v>
      </c>
      <c r="F5188" s="7" t="s">
        <v>17</v>
      </c>
      <c r="G5188" s="7">
        <v>3781406</v>
      </c>
      <c r="H5188" s="7">
        <v>2390</v>
      </c>
      <c r="I5188" s="7">
        <v>101</v>
      </c>
      <c r="J5188" s="7">
        <v>294</v>
      </c>
      <c r="K5188" s="7" t="s">
        <v>18</v>
      </c>
      <c r="L5188" s="8">
        <v>39987.315405092595</v>
      </c>
      <c r="M5188" s="9" t="s">
        <v>19</v>
      </c>
      <c r="N5188" s="9" t="s">
        <v>20</v>
      </c>
      <c r="O5188" s="6" t="str">
        <f>HYPERLINK("https://pbs.twimg.com/profile_images/962471262747529216/Uo8lOkRJ_normal.jpg","View")</f>
        <v>View</v>
      </c>
      <c r="P5188" s="7"/>
    </row>
    <row r="5189" spans="1:16">
      <c r="A5189" s="3">
        <v>43940.248043981483</v>
      </c>
      <c r="B5189" s="4" t="str">
        <f>HYPERLINK("https://twitter.com/petrogustavo","@petrogustavo")</f>
        <v>@petrogustavo</v>
      </c>
      <c r="C5189" s="5" t="s">
        <v>16</v>
      </c>
      <c r="D5189" s="5" t="s">
        <v>5071</v>
      </c>
      <c r="E5189" s="6" t="str">
        <f>HYPERLINK("https://twitter.com/petrogustavo/status/1251668631227940865","1251668631227940865")</f>
        <v>1251668631227940865</v>
      </c>
      <c r="F5189" s="7" t="s">
        <v>17</v>
      </c>
      <c r="G5189" s="7">
        <v>3781406</v>
      </c>
      <c r="H5189" s="7">
        <v>2390</v>
      </c>
      <c r="I5189" s="7">
        <v>168</v>
      </c>
      <c r="J5189" s="7">
        <v>0</v>
      </c>
      <c r="K5189" s="7" t="s">
        <v>18</v>
      </c>
      <c r="L5189" s="8">
        <v>39987.315405092595</v>
      </c>
      <c r="M5189" s="9" t="s">
        <v>19</v>
      </c>
      <c r="N5189" s="9" t="s">
        <v>20</v>
      </c>
      <c r="O5189" s="6" t="str">
        <f>HYPERLINK("https://pbs.twimg.com/profile_images/962471262747529216/Uo8lOkRJ_normal.jpg","View")</f>
        <v>View</v>
      </c>
      <c r="P5189" s="7"/>
    </row>
    <row r="5190" spans="1:16">
      <c r="A5190" s="3">
        <v>43940.24936342593</v>
      </c>
      <c r="B5190" s="4" t="str">
        <f>HYPERLINK("https://twitter.com/petrogustavo","@petrogustavo")</f>
        <v>@petrogustavo</v>
      </c>
      <c r="C5190" s="5" t="s">
        <v>16</v>
      </c>
      <c r="D5190" s="5" t="s">
        <v>5072</v>
      </c>
      <c r="E5190" s="6" t="str">
        <f>HYPERLINK("https://twitter.com/petrogustavo/status/1251669109013647360","1251669109013647360")</f>
        <v>1251669109013647360</v>
      </c>
      <c r="F5190" s="7" t="s">
        <v>17</v>
      </c>
      <c r="G5190" s="7">
        <v>3781406</v>
      </c>
      <c r="H5190" s="7">
        <v>2390</v>
      </c>
      <c r="I5190" s="7">
        <v>39</v>
      </c>
      <c r="J5190" s="7">
        <v>0</v>
      </c>
      <c r="K5190" s="7" t="s">
        <v>18</v>
      </c>
      <c r="L5190" s="8">
        <v>39987.315405092595</v>
      </c>
      <c r="M5190" s="9" t="s">
        <v>19</v>
      </c>
      <c r="N5190" s="9" t="s">
        <v>20</v>
      </c>
      <c r="O5190" s="6" t="str">
        <f>HYPERLINK("https://pbs.twimg.com/profile_images/962471262747529216/Uo8lOkRJ_normal.jpg","View")</f>
        <v>View</v>
      </c>
      <c r="P5190" s="7"/>
    </row>
    <row r="5191" spans="1:16">
      <c r="A5191" s="3">
        <v>43940.251747685186</v>
      </c>
      <c r="B5191" s="4" t="str">
        <f>HYPERLINK("https://twitter.com/petrogustavo","@petrogustavo")</f>
        <v>@petrogustavo</v>
      </c>
      <c r="C5191" s="5" t="s">
        <v>16</v>
      </c>
      <c r="D5191" s="5" t="s">
        <v>5073</v>
      </c>
      <c r="E5191" s="6" t="str">
        <f>HYPERLINK("https://twitter.com/petrogustavo/status/1251669973568827394","1251669973568827394")</f>
        <v>1251669973568827394</v>
      </c>
      <c r="F5191" s="7" t="s">
        <v>17</v>
      </c>
      <c r="G5191" s="7">
        <v>3781406</v>
      </c>
      <c r="H5191" s="7">
        <v>2390</v>
      </c>
      <c r="I5191" s="7">
        <v>1</v>
      </c>
      <c r="J5191" s="7">
        <v>4</v>
      </c>
      <c r="K5191" s="7" t="s">
        <v>18</v>
      </c>
      <c r="L5191" s="8">
        <v>39987.315405092595</v>
      </c>
      <c r="M5191" s="9" t="s">
        <v>19</v>
      </c>
      <c r="N5191" s="9" t="s">
        <v>20</v>
      </c>
      <c r="O5191" s="6" t="str">
        <f>HYPERLINK("https://pbs.twimg.com/profile_images/962471262747529216/Uo8lOkRJ_normal.jpg","View")</f>
        <v>View</v>
      </c>
      <c r="P5191" s="7"/>
    </row>
    <row r="5192" spans="1:16">
      <c r="A5192" s="3">
        <v>43940.269699074073</v>
      </c>
      <c r="B5192" s="4" t="str">
        <f>HYPERLINK("https://twitter.com/petrogustavo","@petrogustavo")</f>
        <v>@petrogustavo</v>
      </c>
      <c r="C5192" s="5" t="s">
        <v>16</v>
      </c>
      <c r="D5192" s="5" t="s">
        <v>5074</v>
      </c>
      <c r="E5192" s="6" t="str">
        <f>HYPERLINK("https://twitter.com/petrogustavo/status/1251676481392201735","1251676481392201735")</f>
        <v>1251676481392201735</v>
      </c>
      <c r="F5192" s="7" t="s">
        <v>17</v>
      </c>
      <c r="G5192" s="7">
        <v>3781509</v>
      </c>
      <c r="H5192" s="7">
        <v>2390</v>
      </c>
      <c r="I5192" s="7">
        <v>34</v>
      </c>
      <c r="J5192" s="7">
        <v>57</v>
      </c>
      <c r="K5192" s="7" t="s">
        <v>18</v>
      </c>
      <c r="L5192" s="8">
        <v>39987.315405092595</v>
      </c>
      <c r="M5192" s="9" t="s">
        <v>19</v>
      </c>
      <c r="N5192" s="9" t="s">
        <v>20</v>
      </c>
      <c r="O5192" s="6" t="str">
        <f>HYPERLINK("https://pbs.twimg.com/profile_images/962471262747529216/Uo8lOkRJ_normal.jpg","View")</f>
        <v>View</v>
      </c>
      <c r="P5192" s="7"/>
    </row>
    <row r="5193" spans="1:16">
      <c r="A5193" s="3">
        <v>43940.311747685184</v>
      </c>
      <c r="B5193" s="4" t="str">
        <f>HYPERLINK("https://twitter.com/petrogustavo","@petrogustavo")</f>
        <v>@petrogustavo</v>
      </c>
      <c r="C5193" s="5" t="s">
        <v>16</v>
      </c>
      <c r="D5193" s="5" t="s">
        <v>5075</v>
      </c>
      <c r="E5193" s="6" t="str">
        <f>HYPERLINK("https://twitter.com/petrogustavo/status/1251691719629983744","1251691719629983744")</f>
        <v>1251691719629983744</v>
      </c>
      <c r="F5193" s="7" t="s">
        <v>17</v>
      </c>
      <c r="G5193" s="7">
        <v>3781742</v>
      </c>
      <c r="H5193" s="7">
        <v>2390</v>
      </c>
      <c r="I5193" s="7">
        <v>17</v>
      </c>
      <c r="J5193" s="7">
        <v>0</v>
      </c>
      <c r="K5193" s="7" t="s">
        <v>18</v>
      </c>
      <c r="L5193" s="8">
        <v>39987.315405092595</v>
      </c>
      <c r="M5193" s="9" t="s">
        <v>19</v>
      </c>
      <c r="N5193" s="9" t="s">
        <v>20</v>
      </c>
      <c r="O5193" s="6" t="str">
        <f>HYPERLINK("https://pbs.twimg.com/profile_images/962471262747529216/Uo8lOkRJ_normal.jpg","View")</f>
        <v>View</v>
      </c>
      <c r="P5193" s="7"/>
    </row>
    <row r="5194" spans="1:16">
      <c r="A5194" s="3">
        <v>43940.339722222227</v>
      </c>
      <c r="B5194" s="4" t="str">
        <f>HYPERLINK("https://twitter.com/petrogustavo","@petrogustavo")</f>
        <v>@petrogustavo</v>
      </c>
      <c r="C5194" s="5" t="s">
        <v>16</v>
      </c>
      <c r="D5194" s="5" t="s">
        <v>5076</v>
      </c>
      <c r="E5194" s="6" t="str">
        <f>HYPERLINK("https://twitter.com/petrogustavo/status/1251701855262060544","1251701855262060544")</f>
        <v>1251701855262060544</v>
      </c>
      <c r="F5194" s="7" t="s">
        <v>17</v>
      </c>
      <c r="G5194" s="7">
        <v>3782007</v>
      </c>
      <c r="H5194" s="7">
        <v>2390</v>
      </c>
      <c r="I5194" s="7">
        <v>367</v>
      </c>
      <c r="J5194" s="7">
        <v>1139</v>
      </c>
      <c r="K5194" s="7" t="s">
        <v>18</v>
      </c>
      <c r="L5194" s="8">
        <v>39987.315405092595</v>
      </c>
      <c r="M5194" s="9" t="s">
        <v>19</v>
      </c>
      <c r="N5194" s="9" t="s">
        <v>20</v>
      </c>
      <c r="O5194" s="6" t="str">
        <f>HYPERLINK("https://pbs.twimg.com/profile_images/962471262747529216/Uo8lOkRJ_normal.jpg","View")</f>
        <v>View</v>
      </c>
      <c r="P5194" s="7"/>
    </row>
    <row r="5195" spans="1:16">
      <c r="A5195" s="3">
        <v>43940.345173611116</v>
      </c>
      <c r="B5195" s="4" t="str">
        <f>HYPERLINK("https://twitter.com/petrogustavo","@petrogustavo")</f>
        <v>@petrogustavo</v>
      </c>
      <c r="C5195" s="5" t="s">
        <v>16</v>
      </c>
      <c r="D5195" s="5" t="s">
        <v>5077</v>
      </c>
      <c r="E5195" s="6" t="str">
        <f>HYPERLINK("https://twitter.com/petrogustavo/status/1251703832209391616","1251703832209391616")</f>
        <v>1251703832209391616</v>
      </c>
      <c r="F5195" s="7" t="s">
        <v>17</v>
      </c>
      <c r="G5195" s="7">
        <v>3782007</v>
      </c>
      <c r="H5195" s="7">
        <v>2390</v>
      </c>
      <c r="I5195" s="7">
        <v>22</v>
      </c>
      <c r="J5195" s="7">
        <v>0</v>
      </c>
      <c r="K5195" s="7" t="s">
        <v>18</v>
      </c>
      <c r="L5195" s="8">
        <v>39987.315405092595</v>
      </c>
      <c r="M5195" s="9" t="s">
        <v>19</v>
      </c>
      <c r="N5195" s="9" t="s">
        <v>20</v>
      </c>
      <c r="O5195" s="6" t="str">
        <f>HYPERLINK("https://pbs.twimg.com/profile_images/962471262747529216/Uo8lOkRJ_normal.jpg","View")</f>
        <v>View</v>
      </c>
      <c r="P5195" s="7"/>
    </row>
    <row r="5196" spans="1:16">
      <c r="A5196" s="3">
        <v>43940.346354166672</v>
      </c>
      <c r="B5196" s="4" t="str">
        <f>HYPERLINK("https://twitter.com/petrogustavo","@petrogustavo")</f>
        <v>@petrogustavo</v>
      </c>
      <c r="C5196" s="5" t="s">
        <v>16</v>
      </c>
      <c r="D5196" s="5" t="s">
        <v>5078</v>
      </c>
      <c r="E5196" s="6" t="str">
        <f>HYPERLINK("https://twitter.com/petrogustavo/status/1251704258057076737","1251704258057076737")</f>
        <v>1251704258057076737</v>
      </c>
      <c r="F5196" s="7" t="s">
        <v>17</v>
      </c>
      <c r="G5196" s="7">
        <v>3782007</v>
      </c>
      <c r="H5196" s="7">
        <v>2390</v>
      </c>
      <c r="I5196" s="7">
        <v>65</v>
      </c>
      <c r="J5196" s="7">
        <v>0</v>
      </c>
      <c r="K5196" s="7" t="s">
        <v>18</v>
      </c>
      <c r="L5196" s="8">
        <v>39987.315405092595</v>
      </c>
      <c r="M5196" s="9" t="s">
        <v>19</v>
      </c>
      <c r="N5196" s="9" t="s">
        <v>20</v>
      </c>
      <c r="O5196" s="6" t="str">
        <f>HYPERLINK("https://pbs.twimg.com/profile_images/962471262747529216/Uo8lOkRJ_normal.jpg","View")</f>
        <v>View</v>
      </c>
      <c r="P5196" s="7"/>
    </row>
    <row r="5197" spans="1:16">
      <c r="A5197" s="3">
        <v>43940.348773148144</v>
      </c>
      <c r="B5197" s="4" t="str">
        <f>HYPERLINK("https://twitter.com/petrogustavo","@petrogustavo")</f>
        <v>@petrogustavo</v>
      </c>
      <c r="C5197" s="5" t="s">
        <v>16</v>
      </c>
      <c r="D5197" s="5" t="s">
        <v>5079</v>
      </c>
      <c r="E5197" s="6" t="str">
        <f>HYPERLINK("https://twitter.com/petrogustavo/status/1251705133865541633","1251705133865541633")</f>
        <v>1251705133865541633</v>
      </c>
      <c r="F5197" s="7" t="s">
        <v>17</v>
      </c>
      <c r="G5197" s="7">
        <v>3782007</v>
      </c>
      <c r="H5197" s="7">
        <v>2390</v>
      </c>
      <c r="I5197" s="7">
        <v>113</v>
      </c>
      <c r="J5197" s="7">
        <v>0</v>
      </c>
      <c r="K5197" s="7" t="s">
        <v>18</v>
      </c>
      <c r="L5197" s="8">
        <v>39987.315405092595</v>
      </c>
      <c r="M5197" s="9" t="s">
        <v>19</v>
      </c>
      <c r="N5197" s="9" t="s">
        <v>20</v>
      </c>
      <c r="O5197" s="6" t="str">
        <f>HYPERLINK("https://pbs.twimg.com/profile_images/962471262747529216/Uo8lOkRJ_normal.jpg","View")</f>
        <v>View</v>
      </c>
      <c r="P5197" s="7"/>
    </row>
    <row r="5198" spans="1:16">
      <c r="A5198" s="3">
        <v>43940.350312499999</v>
      </c>
      <c r="B5198" s="4" t="str">
        <f>HYPERLINK("https://twitter.com/petrogustavo","@petrogustavo")</f>
        <v>@petrogustavo</v>
      </c>
      <c r="C5198" s="5" t="s">
        <v>16</v>
      </c>
      <c r="D5198" s="5" t="s">
        <v>5080</v>
      </c>
      <c r="E5198" s="6" t="str">
        <f>HYPERLINK("https://twitter.com/petrogustavo/status/1251705693272498176","1251705693272498176")</f>
        <v>1251705693272498176</v>
      </c>
      <c r="F5198" s="7" t="s">
        <v>17</v>
      </c>
      <c r="G5198" s="7">
        <v>3782007</v>
      </c>
      <c r="H5198" s="7">
        <v>2390</v>
      </c>
      <c r="I5198" s="7">
        <v>554</v>
      </c>
      <c r="J5198" s="7">
        <v>0</v>
      </c>
      <c r="K5198" s="7" t="s">
        <v>18</v>
      </c>
      <c r="L5198" s="8">
        <v>39987.315405092595</v>
      </c>
      <c r="M5198" s="9" t="s">
        <v>19</v>
      </c>
      <c r="N5198" s="9" t="s">
        <v>20</v>
      </c>
      <c r="O5198" s="6" t="str">
        <f>HYPERLINK("https://pbs.twimg.com/profile_images/962471262747529216/Uo8lOkRJ_normal.jpg","View")</f>
        <v>View</v>
      </c>
      <c r="P5198" s="7"/>
    </row>
    <row r="5199" spans="1:16">
      <c r="A5199" s="3">
        <v>43940.352789351848</v>
      </c>
      <c r="B5199" s="4" t="str">
        <f>HYPERLINK("https://twitter.com/petrogustavo","@petrogustavo")</f>
        <v>@petrogustavo</v>
      </c>
      <c r="C5199" s="5" t="s">
        <v>16</v>
      </c>
      <c r="D5199" s="5" t="s">
        <v>5081</v>
      </c>
      <c r="E5199" s="6" t="str">
        <f>HYPERLINK("https://twitter.com/petrogustavo/status/1251706590761271296","1251706590761271296")</f>
        <v>1251706590761271296</v>
      </c>
      <c r="F5199" s="7" t="s">
        <v>17</v>
      </c>
      <c r="G5199" s="7">
        <v>3782007</v>
      </c>
      <c r="H5199" s="7">
        <v>2390</v>
      </c>
      <c r="I5199" s="7">
        <v>238</v>
      </c>
      <c r="J5199" s="7">
        <v>0</v>
      </c>
      <c r="K5199" s="7" t="s">
        <v>18</v>
      </c>
      <c r="L5199" s="8">
        <v>39987.315405092595</v>
      </c>
      <c r="M5199" s="9" t="s">
        <v>19</v>
      </c>
      <c r="N5199" s="9" t="s">
        <v>20</v>
      </c>
      <c r="O5199" s="6" t="str">
        <f>HYPERLINK("https://pbs.twimg.com/profile_images/962471262747529216/Uo8lOkRJ_normal.jpg","View")</f>
        <v>View</v>
      </c>
      <c r="P5199" s="7"/>
    </row>
    <row r="5200" spans="1:16">
      <c r="A5200" s="3">
        <v>43940.353136574078</v>
      </c>
      <c r="B5200" s="4" t="str">
        <f>HYPERLINK("https://twitter.com/petrogustavo","@petrogustavo")</f>
        <v>@petrogustavo</v>
      </c>
      <c r="C5200" s="5" t="s">
        <v>16</v>
      </c>
      <c r="D5200" s="5" t="s">
        <v>5082</v>
      </c>
      <c r="E5200" s="6" t="str">
        <f>HYPERLINK("https://twitter.com/petrogustavo/status/1251706717697724422","1251706717697724422")</f>
        <v>1251706717697724422</v>
      </c>
      <c r="F5200" s="7" t="s">
        <v>17</v>
      </c>
      <c r="G5200" s="7">
        <v>3782007</v>
      </c>
      <c r="H5200" s="7">
        <v>2390</v>
      </c>
      <c r="I5200" s="7">
        <v>386</v>
      </c>
      <c r="J5200" s="7">
        <v>0</v>
      </c>
      <c r="K5200" s="7" t="s">
        <v>18</v>
      </c>
      <c r="L5200" s="8">
        <v>39987.315405092595</v>
      </c>
      <c r="M5200" s="9" t="s">
        <v>19</v>
      </c>
      <c r="N5200" s="9" t="s">
        <v>20</v>
      </c>
      <c r="O5200" s="6" t="str">
        <f>HYPERLINK("https://pbs.twimg.com/profile_images/962471262747529216/Uo8lOkRJ_normal.jpg","View")</f>
        <v>View</v>
      </c>
      <c r="P5200" s="7"/>
    </row>
    <row r="5201" spans="1:16">
      <c r="A5201" s="3">
        <v>43940.743101851855</v>
      </c>
      <c r="B5201" s="4" t="str">
        <f>HYPERLINK("https://twitter.com/petrogustavo","@petrogustavo")</f>
        <v>@petrogustavo</v>
      </c>
      <c r="C5201" s="5" t="s">
        <v>16</v>
      </c>
      <c r="D5201" s="5" t="s">
        <v>5083</v>
      </c>
      <c r="E5201" s="6" t="str">
        <f>HYPERLINK("https://twitter.com/petrogustavo/status/1251848036357201922","1251848036357201922")</f>
        <v>1251848036357201922</v>
      </c>
      <c r="F5201" s="7" t="s">
        <v>17</v>
      </c>
      <c r="G5201" s="7">
        <v>3782966</v>
      </c>
      <c r="H5201" s="7">
        <v>2390</v>
      </c>
      <c r="I5201" s="7">
        <v>94</v>
      </c>
      <c r="J5201" s="7">
        <v>218</v>
      </c>
      <c r="K5201" s="7" t="s">
        <v>18</v>
      </c>
      <c r="L5201" s="8">
        <v>39987.315405092595</v>
      </c>
      <c r="M5201" s="9" t="s">
        <v>19</v>
      </c>
      <c r="N5201" s="9" t="s">
        <v>20</v>
      </c>
      <c r="O5201" s="6" t="str">
        <f>HYPERLINK("https://pbs.twimg.com/profile_images/962471262747529216/Uo8lOkRJ_normal.jpg","View")</f>
        <v>View</v>
      </c>
      <c r="P5201" s="7"/>
    </row>
    <row r="5202" spans="1:16">
      <c r="A5202" s="3">
        <v>43940.745254629626</v>
      </c>
      <c r="B5202" s="4" t="str">
        <f>HYPERLINK("https://twitter.com/petrogustavo","@petrogustavo")</f>
        <v>@petrogustavo</v>
      </c>
      <c r="C5202" s="5" t="s">
        <v>16</v>
      </c>
      <c r="D5202" s="5" t="s">
        <v>5084</v>
      </c>
      <c r="E5202" s="6" t="str">
        <f>HYPERLINK("https://twitter.com/petrogustavo/status/1251848814874505221","1251848814874505221")</f>
        <v>1251848814874505221</v>
      </c>
      <c r="F5202" s="7" t="s">
        <v>17</v>
      </c>
      <c r="G5202" s="7">
        <v>3782966</v>
      </c>
      <c r="H5202" s="7">
        <v>2390</v>
      </c>
      <c r="I5202" s="7">
        <v>135</v>
      </c>
      <c r="J5202" s="7">
        <v>417</v>
      </c>
      <c r="K5202" s="7" t="s">
        <v>18</v>
      </c>
      <c r="L5202" s="8">
        <v>39987.315405092595</v>
      </c>
      <c r="M5202" s="9" t="s">
        <v>19</v>
      </c>
      <c r="N5202" s="9" t="s">
        <v>20</v>
      </c>
      <c r="O5202" s="6" t="str">
        <f>HYPERLINK("https://pbs.twimg.com/profile_images/962471262747529216/Uo8lOkRJ_normal.jpg","View")</f>
        <v>View</v>
      </c>
      <c r="P5202" s="7"/>
    </row>
    <row r="5203" spans="1:16">
      <c r="A5203" s="3">
        <v>43940.800810185188</v>
      </c>
      <c r="B5203" s="4" t="str">
        <f>HYPERLINK("https://twitter.com/petrogustavo","@petrogustavo")</f>
        <v>@petrogustavo</v>
      </c>
      <c r="C5203" s="5" t="s">
        <v>16</v>
      </c>
      <c r="D5203" s="5" t="s">
        <v>5085</v>
      </c>
      <c r="E5203" s="6" t="str">
        <f>HYPERLINK("https://twitter.com/petrogustavo/status/1251868946304765954","1251868946304765954")</f>
        <v>1251868946304765954</v>
      </c>
      <c r="F5203" s="7" t="s">
        <v>17</v>
      </c>
      <c r="G5203" s="7">
        <v>3783160</v>
      </c>
      <c r="H5203" s="7">
        <v>2390</v>
      </c>
      <c r="I5203" s="7">
        <v>44</v>
      </c>
      <c r="J5203" s="7">
        <v>128</v>
      </c>
      <c r="K5203" s="7" t="s">
        <v>18</v>
      </c>
      <c r="L5203" s="8">
        <v>39987.315405092595</v>
      </c>
      <c r="M5203" s="9" t="s">
        <v>19</v>
      </c>
      <c r="N5203" s="9" t="s">
        <v>20</v>
      </c>
      <c r="O5203" s="6" t="str">
        <f>HYPERLINK("https://pbs.twimg.com/profile_images/962471262747529216/Uo8lOkRJ_normal.jpg","View")</f>
        <v>View</v>
      </c>
      <c r="P5203" s="7"/>
    </row>
    <row r="5204" spans="1:16">
      <c r="A5204" s="3">
        <v>43940.80196759259</v>
      </c>
      <c r="B5204" s="4" t="str">
        <f>HYPERLINK("https://twitter.com/petrogustavo","@petrogustavo")</f>
        <v>@petrogustavo</v>
      </c>
      <c r="C5204" s="5" t="s">
        <v>16</v>
      </c>
      <c r="D5204" s="5" t="s">
        <v>5086</v>
      </c>
      <c r="E5204" s="6" t="str">
        <f>HYPERLINK("https://twitter.com/petrogustavo/status/1251869367618416642","1251869367618416642")</f>
        <v>1251869367618416642</v>
      </c>
      <c r="F5204" s="7" t="s">
        <v>17</v>
      </c>
      <c r="G5204" s="7">
        <v>3783160</v>
      </c>
      <c r="H5204" s="7">
        <v>2390</v>
      </c>
      <c r="I5204" s="7">
        <v>984</v>
      </c>
      <c r="J5204" s="7">
        <v>0</v>
      </c>
      <c r="K5204" s="7" t="s">
        <v>18</v>
      </c>
      <c r="L5204" s="8">
        <v>39987.315405092595</v>
      </c>
      <c r="M5204" s="9" t="s">
        <v>19</v>
      </c>
      <c r="N5204" s="9" t="s">
        <v>20</v>
      </c>
      <c r="O5204" s="6" t="str">
        <f>HYPERLINK("https://pbs.twimg.com/profile_images/962471262747529216/Uo8lOkRJ_normal.jpg","View")</f>
        <v>View</v>
      </c>
      <c r="P5204" s="7"/>
    </row>
    <row r="5205" spans="1:16">
      <c r="A5205" s="3">
        <v>43940.816377314812</v>
      </c>
      <c r="B5205" s="4" t="str">
        <f>HYPERLINK("https://twitter.com/petrogustavo","@petrogustavo")</f>
        <v>@petrogustavo</v>
      </c>
      <c r="C5205" s="5" t="s">
        <v>16</v>
      </c>
      <c r="D5205" s="5" t="s">
        <v>5087</v>
      </c>
      <c r="E5205" s="6" t="str">
        <f>HYPERLINK("https://twitter.com/petrogustavo/status/1251874590864936960","1251874590864936960")</f>
        <v>1251874590864936960</v>
      </c>
      <c r="F5205" s="7" t="s">
        <v>17</v>
      </c>
      <c r="G5205" s="7">
        <v>3783175</v>
      </c>
      <c r="H5205" s="7">
        <v>2391</v>
      </c>
      <c r="I5205" s="7">
        <v>92</v>
      </c>
      <c r="J5205" s="7">
        <v>204</v>
      </c>
      <c r="K5205" s="7" t="s">
        <v>18</v>
      </c>
      <c r="L5205" s="8">
        <v>39987.315405092595</v>
      </c>
      <c r="M5205" s="9" t="s">
        <v>19</v>
      </c>
      <c r="N5205" s="9" t="s">
        <v>20</v>
      </c>
      <c r="O5205" s="6" t="str">
        <f>HYPERLINK("https://pbs.twimg.com/profile_images/962471262747529216/Uo8lOkRJ_normal.jpg","View")</f>
        <v>View</v>
      </c>
      <c r="P5205" s="7"/>
    </row>
    <row r="5206" spans="1:16">
      <c r="A5206" s="3">
        <v>43940.820358796293</v>
      </c>
      <c r="B5206" s="4" t="str">
        <f>HYPERLINK("https://twitter.com/petrogustavo","@petrogustavo")</f>
        <v>@petrogustavo</v>
      </c>
      <c r="C5206" s="5" t="s">
        <v>16</v>
      </c>
      <c r="D5206" s="5" t="s">
        <v>5088</v>
      </c>
      <c r="E5206" s="6" t="str">
        <f>HYPERLINK("https://twitter.com/petrogustavo/status/1251876032363331584","1251876032363331584")</f>
        <v>1251876032363331584</v>
      </c>
      <c r="F5206" s="7" t="s">
        <v>17</v>
      </c>
      <c r="G5206" s="7">
        <v>3783175</v>
      </c>
      <c r="H5206" s="7">
        <v>2391</v>
      </c>
      <c r="I5206" s="7">
        <v>164</v>
      </c>
      <c r="J5206" s="7">
        <v>341</v>
      </c>
      <c r="K5206" s="7" t="s">
        <v>18</v>
      </c>
      <c r="L5206" s="8">
        <v>39987.315405092595</v>
      </c>
      <c r="M5206" s="9" t="s">
        <v>19</v>
      </c>
      <c r="N5206" s="9" t="s">
        <v>20</v>
      </c>
      <c r="O5206" s="6" t="str">
        <f>HYPERLINK("https://pbs.twimg.com/profile_images/962471262747529216/Uo8lOkRJ_normal.jpg","View")</f>
        <v>View</v>
      </c>
      <c r="P5206" s="7"/>
    </row>
    <row r="5207" spans="1:16">
      <c r="A5207" s="3">
        <v>43940.821701388893</v>
      </c>
      <c r="B5207" s="4" t="str">
        <f>HYPERLINK("https://twitter.com/petrogustavo","@petrogustavo")</f>
        <v>@petrogustavo</v>
      </c>
      <c r="C5207" s="5" t="s">
        <v>16</v>
      </c>
      <c r="D5207" s="5" t="s">
        <v>5089</v>
      </c>
      <c r="E5207" s="6" t="str">
        <f>HYPERLINK("https://twitter.com/petrogustavo/status/1251876517061197825","1251876517061197825")</f>
        <v>1251876517061197825</v>
      </c>
      <c r="F5207" s="7" t="s">
        <v>17</v>
      </c>
      <c r="G5207" s="7">
        <v>3783175</v>
      </c>
      <c r="H5207" s="7">
        <v>2391</v>
      </c>
      <c r="I5207" s="7">
        <v>248</v>
      </c>
      <c r="J5207" s="7">
        <v>1066</v>
      </c>
      <c r="K5207" s="7" t="s">
        <v>18</v>
      </c>
      <c r="L5207" s="8">
        <v>39987.315405092595</v>
      </c>
      <c r="M5207" s="9" t="s">
        <v>19</v>
      </c>
      <c r="N5207" s="9" t="s">
        <v>20</v>
      </c>
      <c r="O5207" s="6" t="str">
        <f>HYPERLINK("https://pbs.twimg.com/profile_images/962471262747529216/Uo8lOkRJ_normal.jpg","View")</f>
        <v>View</v>
      </c>
      <c r="P5207" s="7"/>
    </row>
    <row r="5208" spans="1:16">
      <c r="A5208" s="3">
        <v>43940.856469907405</v>
      </c>
      <c r="B5208" s="4" t="str">
        <f>HYPERLINK("https://twitter.com/petrogustavo","@petrogustavo")</f>
        <v>@petrogustavo</v>
      </c>
      <c r="C5208" s="5" t="s">
        <v>16</v>
      </c>
      <c r="D5208" s="5" t="s">
        <v>5090</v>
      </c>
      <c r="E5208" s="6" t="str">
        <f>HYPERLINK("https://twitter.com/petrogustavo/status/1251889117354512385","1251889117354512385")</f>
        <v>1251889117354512385</v>
      </c>
      <c r="F5208" s="7" t="s">
        <v>17</v>
      </c>
      <c r="G5208" s="7">
        <v>3783252</v>
      </c>
      <c r="H5208" s="7">
        <v>2391</v>
      </c>
      <c r="I5208" s="7">
        <v>1</v>
      </c>
      <c r="J5208" s="7">
        <v>0</v>
      </c>
      <c r="K5208" s="7" t="s">
        <v>18</v>
      </c>
      <c r="L5208" s="8">
        <v>39987.315405092595</v>
      </c>
      <c r="M5208" s="9" t="s">
        <v>19</v>
      </c>
      <c r="N5208" s="9" t="s">
        <v>20</v>
      </c>
      <c r="O5208" s="6" t="str">
        <f>HYPERLINK("https://pbs.twimg.com/profile_images/962471262747529216/Uo8lOkRJ_normal.jpg","View")</f>
        <v>View</v>
      </c>
      <c r="P5208" s="7"/>
    </row>
    <row r="5209" spans="1:16">
      <c r="A5209" s="3">
        <v>43940.862337962964</v>
      </c>
      <c r="B5209" s="4" t="str">
        <f>HYPERLINK("https://twitter.com/petrogustavo","@petrogustavo")</f>
        <v>@petrogustavo</v>
      </c>
      <c r="C5209" s="5" t="s">
        <v>16</v>
      </c>
      <c r="D5209" s="5" t="s">
        <v>5091</v>
      </c>
      <c r="E5209" s="6" t="str">
        <f>HYPERLINK("https://twitter.com/petrogustavo/status/1251891244000837633","1251891244000837633")</f>
        <v>1251891244000837633</v>
      </c>
      <c r="F5209" s="7" t="s">
        <v>17</v>
      </c>
      <c r="G5209" s="7">
        <v>3783347</v>
      </c>
      <c r="H5209" s="7">
        <v>2392</v>
      </c>
      <c r="I5209" s="7">
        <v>91</v>
      </c>
      <c r="J5209" s="7">
        <v>132</v>
      </c>
      <c r="K5209" s="7" t="s">
        <v>18</v>
      </c>
      <c r="L5209" s="8">
        <v>39987.315405092595</v>
      </c>
      <c r="M5209" s="9" t="s">
        <v>19</v>
      </c>
      <c r="N5209" s="9" t="s">
        <v>20</v>
      </c>
      <c r="O5209" s="6" t="str">
        <f>HYPERLINK("https://pbs.twimg.com/profile_images/962471262747529216/Uo8lOkRJ_normal.jpg","View")</f>
        <v>View</v>
      </c>
      <c r="P5209" s="7"/>
    </row>
    <row r="5210" spans="1:16">
      <c r="A5210" s="3">
        <v>43940.864016203705</v>
      </c>
      <c r="B5210" s="4" t="str">
        <f>HYPERLINK("https://twitter.com/petrogustavo","@petrogustavo")</f>
        <v>@petrogustavo</v>
      </c>
      <c r="C5210" s="5" t="s">
        <v>16</v>
      </c>
      <c r="D5210" s="5" t="s">
        <v>5092</v>
      </c>
      <c r="E5210" s="6" t="str">
        <f>HYPERLINK("https://twitter.com/petrogustavo/status/1251891852426579974","1251891852426579974")</f>
        <v>1251891852426579974</v>
      </c>
      <c r="F5210" s="7" t="s">
        <v>17</v>
      </c>
      <c r="G5210" s="7">
        <v>3783347</v>
      </c>
      <c r="H5210" s="7">
        <v>2392</v>
      </c>
      <c r="I5210" s="7">
        <v>49</v>
      </c>
      <c r="J5210" s="7">
        <v>0</v>
      </c>
      <c r="K5210" s="7" t="s">
        <v>18</v>
      </c>
      <c r="L5210" s="8">
        <v>39987.315405092595</v>
      </c>
      <c r="M5210" s="9" t="s">
        <v>19</v>
      </c>
      <c r="N5210" s="9" t="s">
        <v>20</v>
      </c>
      <c r="O5210" s="6" t="str">
        <f>HYPERLINK("https://pbs.twimg.com/profile_images/962471262747529216/Uo8lOkRJ_normal.jpg","View")</f>
        <v>View</v>
      </c>
      <c r="P5210" s="7"/>
    </row>
    <row r="5211" spans="1:16">
      <c r="A5211" s="3">
        <v>43940.864155092597</v>
      </c>
      <c r="B5211" s="4" t="str">
        <f>HYPERLINK("https://twitter.com/petrogustavo","@petrogustavo")</f>
        <v>@petrogustavo</v>
      </c>
      <c r="C5211" s="5" t="s">
        <v>16</v>
      </c>
      <c r="D5211" s="5" t="s">
        <v>5093</v>
      </c>
      <c r="E5211" s="6" t="str">
        <f>HYPERLINK("https://twitter.com/petrogustavo/status/1251891904347865089","1251891904347865089")</f>
        <v>1251891904347865089</v>
      </c>
      <c r="F5211" s="7" t="s">
        <v>17</v>
      </c>
      <c r="G5211" s="7">
        <v>3783347</v>
      </c>
      <c r="H5211" s="7">
        <v>2392</v>
      </c>
      <c r="I5211" s="7">
        <v>666</v>
      </c>
      <c r="J5211" s="7">
        <v>0</v>
      </c>
      <c r="K5211" s="7" t="s">
        <v>18</v>
      </c>
      <c r="L5211" s="8">
        <v>39987.315405092595</v>
      </c>
      <c r="M5211" s="9" t="s">
        <v>19</v>
      </c>
      <c r="N5211" s="9" t="s">
        <v>20</v>
      </c>
      <c r="O5211" s="6" t="str">
        <f>HYPERLINK("https://pbs.twimg.com/profile_images/962471262747529216/Uo8lOkRJ_normal.jpg","View")</f>
        <v>View</v>
      </c>
      <c r="P5211" s="7"/>
    </row>
    <row r="5212" spans="1:16">
      <c r="A5212" s="3">
        <v>43940.8668287037</v>
      </c>
      <c r="B5212" s="4" t="str">
        <f>HYPERLINK("https://twitter.com/petrogustavo","@petrogustavo")</f>
        <v>@petrogustavo</v>
      </c>
      <c r="C5212" s="5" t="s">
        <v>16</v>
      </c>
      <c r="D5212" s="5" t="s">
        <v>5094</v>
      </c>
      <c r="E5212" s="6" t="str">
        <f>HYPERLINK("https://twitter.com/petrogustavo/status/1251892872363769856","1251892872363769856")</f>
        <v>1251892872363769856</v>
      </c>
      <c r="F5212" s="7" t="s">
        <v>17</v>
      </c>
      <c r="G5212" s="7">
        <v>3783347</v>
      </c>
      <c r="H5212" s="7">
        <v>2392</v>
      </c>
      <c r="I5212" s="7">
        <v>699</v>
      </c>
      <c r="J5212" s="7">
        <v>0</v>
      </c>
      <c r="K5212" s="7" t="s">
        <v>18</v>
      </c>
      <c r="L5212" s="8">
        <v>39987.315405092595</v>
      </c>
      <c r="M5212" s="9" t="s">
        <v>19</v>
      </c>
      <c r="N5212" s="9" t="s">
        <v>20</v>
      </c>
      <c r="O5212" s="6" t="str">
        <f>HYPERLINK("https://pbs.twimg.com/profile_images/962471262747529216/Uo8lOkRJ_normal.jpg","View")</f>
        <v>View</v>
      </c>
      <c r="P5212" s="7"/>
    </row>
    <row r="5213" spans="1:16">
      <c r="A5213" s="3">
        <v>43940.866956018523</v>
      </c>
      <c r="B5213" s="4" t="str">
        <f>HYPERLINK("https://twitter.com/petrogustavo","@petrogustavo")</f>
        <v>@petrogustavo</v>
      </c>
      <c r="C5213" s="5" t="s">
        <v>16</v>
      </c>
      <c r="D5213" s="5" t="s">
        <v>5086</v>
      </c>
      <c r="E5213" s="6" t="str">
        <f>HYPERLINK("https://twitter.com/petrogustavo/status/1251892917632937985","1251892917632937985")</f>
        <v>1251892917632937985</v>
      </c>
      <c r="F5213" s="7" t="s">
        <v>17</v>
      </c>
      <c r="G5213" s="7">
        <v>3783347</v>
      </c>
      <c r="H5213" s="7">
        <v>2392</v>
      </c>
      <c r="I5213" s="7">
        <v>1720</v>
      </c>
      <c r="J5213" s="7">
        <v>0</v>
      </c>
      <c r="K5213" s="7" t="s">
        <v>18</v>
      </c>
      <c r="L5213" s="8">
        <v>39987.315405092595</v>
      </c>
      <c r="M5213" s="9" t="s">
        <v>19</v>
      </c>
      <c r="N5213" s="9" t="s">
        <v>20</v>
      </c>
      <c r="O5213" s="6" t="str">
        <f>HYPERLINK("https://pbs.twimg.com/profile_images/962471262747529216/Uo8lOkRJ_normal.jpg","View")</f>
        <v>View</v>
      </c>
      <c r="P5213" s="7"/>
    </row>
    <row r="5214" spans="1:16">
      <c r="A5214" s="3">
        <v>43940.872557870374</v>
      </c>
      <c r="B5214" s="4" t="str">
        <f>HYPERLINK("https://twitter.com/petrogustavo","@petrogustavo")</f>
        <v>@petrogustavo</v>
      </c>
      <c r="C5214" s="5" t="s">
        <v>16</v>
      </c>
      <c r="D5214" s="5" t="s">
        <v>5095</v>
      </c>
      <c r="E5214" s="6" t="str">
        <f>HYPERLINK("https://twitter.com/petrogustavo/status/1251894950452748293","1251894950452748293")</f>
        <v>1251894950452748293</v>
      </c>
      <c r="F5214" s="7" t="s">
        <v>17</v>
      </c>
      <c r="G5214" s="7">
        <v>3783347</v>
      </c>
      <c r="H5214" s="7">
        <v>2392</v>
      </c>
      <c r="I5214" s="7">
        <v>136</v>
      </c>
      <c r="J5214" s="7">
        <v>634</v>
      </c>
      <c r="K5214" s="7" t="s">
        <v>18</v>
      </c>
      <c r="L5214" s="8">
        <v>39987.315405092595</v>
      </c>
      <c r="M5214" s="9" t="s">
        <v>19</v>
      </c>
      <c r="N5214" s="9" t="s">
        <v>20</v>
      </c>
      <c r="O5214" s="6" t="str">
        <f>HYPERLINK("https://pbs.twimg.com/profile_images/962471262747529216/Uo8lOkRJ_normal.jpg","View")</f>
        <v>View</v>
      </c>
      <c r="P5214" s="7"/>
    </row>
    <row r="5215" spans="1:16">
      <c r="A5215" s="3">
        <v>43940.875983796301</v>
      </c>
      <c r="B5215" s="4" t="str">
        <f>HYPERLINK("https://twitter.com/petrogustavo","@petrogustavo")</f>
        <v>@petrogustavo</v>
      </c>
      <c r="C5215" s="5" t="s">
        <v>16</v>
      </c>
      <c r="D5215" s="5" t="s">
        <v>5096</v>
      </c>
      <c r="E5215" s="6" t="str">
        <f>HYPERLINK("https://twitter.com/petrogustavo/status/1251896191757037570","1251896191757037570")</f>
        <v>1251896191757037570</v>
      </c>
      <c r="F5215" s="7" t="s">
        <v>17</v>
      </c>
      <c r="G5215" s="7">
        <v>3783347</v>
      </c>
      <c r="H5215" s="7">
        <v>2392</v>
      </c>
      <c r="I5215" s="7">
        <v>12</v>
      </c>
      <c r="J5215" s="7">
        <v>0</v>
      </c>
      <c r="K5215" s="7" t="s">
        <v>18</v>
      </c>
      <c r="L5215" s="8">
        <v>39987.315405092595</v>
      </c>
      <c r="M5215" s="9" t="s">
        <v>19</v>
      </c>
      <c r="N5215" s="9" t="s">
        <v>20</v>
      </c>
      <c r="O5215" s="6" t="str">
        <f>HYPERLINK("https://pbs.twimg.com/profile_images/962471262747529216/Uo8lOkRJ_normal.jpg","View")</f>
        <v>View</v>
      </c>
      <c r="P5215" s="7"/>
    </row>
    <row r="5216" spans="1:16">
      <c r="A5216" s="3">
        <v>43940.878020833334</v>
      </c>
      <c r="B5216" s="4" t="str">
        <f>HYPERLINK("https://twitter.com/petrogustavo","@petrogustavo")</f>
        <v>@petrogustavo</v>
      </c>
      <c r="C5216" s="5" t="s">
        <v>16</v>
      </c>
      <c r="D5216" s="5" t="s">
        <v>5097</v>
      </c>
      <c r="E5216" s="6" t="str">
        <f>HYPERLINK("https://twitter.com/petrogustavo/status/1251896929753104387","1251896929753104387")</f>
        <v>1251896929753104387</v>
      </c>
      <c r="F5216" s="7" t="s">
        <v>17</v>
      </c>
      <c r="G5216" s="7">
        <v>3783455</v>
      </c>
      <c r="H5216" s="7">
        <v>2392</v>
      </c>
      <c r="I5216" s="7">
        <v>804</v>
      </c>
      <c r="J5216" s="7">
        <v>0</v>
      </c>
      <c r="K5216" s="7" t="s">
        <v>18</v>
      </c>
      <c r="L5216" s="8">
        <v>39987.315405092595</v>
      </c>
      <c r="M5216" s="9" t="s">
        <v>19</v>
      </c>
      <c r="N5216" s="9" t="s">
        <v>20</v>
      </c>
      <c r="O5216" s="6" t="str">
        <f>HYPERLINK("https://pbs.twimg.com/profile_images/962471262747529216/Uo8lOkRJ_normal.jpg","View")</f>
        <v>View</v>
      </c>
      <c r="P5216" s="7"/>
    </row>
    <row r="5217" spans="1:16">
      <c r="A5217" s="3">
        <v>43940.882777777777</v>
      </c>
      <c r="B5217" s="4" t="str">
        <f>HYPERLINK("https://twitter.com/petrogustavo","@petrogustavo")</f>
        <v>@petrogustavo</v>
      </c>
      <c r="C5217" s="5" t="s">
        <v>16</v>
      </c>
      <c r="D5217" s="5" t="s">
        <v>5098</v>
      </c>
      <c r="E5217" s="6" t="str">
        <f>HYPERLINK("https://twitter.com/petrogustavo/status/1251898651426852866","1251898651426852866")</f>
        <v>1251898651426852866</v>
      </c>
      <c r="F5217" s="7" t="s">
        <v>17</v>
      </c>
      <c r="G5217" s="7">
        <v>3783455</v>
      </c>
      <c r="H5217" s="7">
        <v>2392</v>
      </c>
      <c r="I5217" s="7">
        <v>59</v>
      </c>
      <c r="J5217" s="7">
        <v>0</v>
      </c>
      <c r="K5217" s="7" t="s">
        <v>18</v>
      </c>
      <c r="L5217" s="8">
        <v>39987.315405092595</v>
      </c>
      <c r="M5217" s="9" t="s">
        <v>19</v>
      </c>
      <c r="N5217" s="9" t="s">
        <v>20</v>
      </c>
      <c r="O5217" s="6" t="str">
        <f>HYPERLINK("https://pbs.twimg.com/profile_images/962471262747529216/Uo8lOkRJ_normal.jpg","View")</f>
        <v>View</v>
      </c>
      <c r="P5217" s="7"/>
    </row>
    <row r="5218" spans="1:16">
      <c r="A5218" s="3">
        <v>43940.884456018517</v>
      </c>
      <c r="B5218" s="4" t="str">
        <f>HYPERLINK("https://twitter.com/petrogustavo","@petrogustavo")</f>
        <v>@petrogustavo</v>
      </c>
      <c r="C5218" s="5" t="s">
        <v>16</v>
      </c>
      <c r="D5218" s="4" t="s">
        <v>5099</v>
      </c>
      <c r="E5218" s="6" t="str">
        <f>HYPERLINK("https://twitter.com/petrogustavo/status/1251899258334216192","1251899258334216192")</f>
        <v>1251899258334216192</v>
      </c>
      <c r="F5218" s="7" t="s">
        <v>17</v>
      </c>
      <c r="G5218" s="7">
        <v>3783455</v>
      </c>
      <c r="H5218" s="7">
        <v>2392</v>
      </c>
      <c r="I5218" s="7">
        <v>91</v>
      </c>
      <c r="J5218" s="7">
        <v>452</v>
      </c>
      <c r="K5218" s="7" t="s">
        <v>18</v>
      </c>
      <c r="L5218" s="8">
        <v>39987.315405092595</v>
      </c>
      <c r="M5218" s="9" t="s">
        <v>19</v>
      </c>
      <c r="N5218" s="9" t="s">
        <v>20</v>
      </c>
      <c r="O5218" s="6" t="str">
        <f>HYPERLINK("https://pbs.twimg.com/profile_images/962471262747529216/Uo8lOkRJ_normal.jpg","View")</f>
        <v>View</v>
      </c>
      <c r="P5218" s="7"/>
    </row>
    <row r="5219" spans="1:16">
      <c r="A5219" s="3">
        <v>43940.885659722218</v>
      </c>
      <c r="B5219" s="4" t="str">
        <f>HYPERLINK("https://twitter.com/petrogustavo","@petrogustavo")</f>
        <v>@petrogustavo</v>
      </c>
      <c r="C5219" s="5" t="s">
        <v>16</v>
      </c>
      <c r="D5219" s="5" t="s">
        <v>5100</v>
      </c>
      <c r="E5219" s="6" t="str">
        <f>HYPERLINK("https://twitter.com/petrogustavo/status/1251899695053639681","1251899695053639681")</f>
        <v>1251899695053639681</v>
      </c>
      <c r="F5219" s="7" t="s">
        <v>17</v>
      </c>
      <c r="G5219" s="7">
        <v>3783455</v>
      </c>
      <c r="H5219" s="7">
        <v>2392</v>
      </c>
      <c r="I5219" s="7">
        <v>500</v>
      </c>
      <c r="J5219" s="7">
        <v>0</v>
      </c>
      <c r="K5219" s="7" t="s">
        <v>18</v>
      </c>
      <c r="L5219" s="8">
        <v>39987.315405092595</v>
      </c>
      <c r="M5219" s="9" t="s">
        <v>19</v>
      </c>
      <c r="N5219" s="9" t="s">
        <v>20</v>
      </c>
      <c r="O5219" s="6" t="str">
        <f>HYPERLINK("https://pbs.twimg.com/profile_images/962471262747529216/Uo8lOkRJ_normal.jpg","View")</f>
        <v>View</v>
      </c>
      <c r="P5219" s="7"/>
    </row>
    <row r="5220" spans="1:16">
      <c r="A5220" s="3">
        <v>43940.894305555557</v>
      </c>
      <c r="B5220" s="4" t="str">
        <f>HYPERLINK("https://twitter.com/petrogustavo","@petrogustavo")</f>
        <v>@petrogustavo</v>
      </c>
      <c r="C5220" s="5" t="s">
        <v>16</v>
      </c>
      <c r="D5220" s="5" t="s">
        <v>5101</v>
      </c>
      <c r="E5220" s="6" t="str">
        <f>HYPERLINK("https://twitter.com/petrogustavo/status/1251902828936822784","1251902828936822784")</f>
        <v>1251902828936822784</v>
      </c>
      <c r="F5220" s="7" t="s">
        <v>17</v>
      </c>
      <c r="G5220" s="7">
        <v>3783455</v>
      </c>
      <c r="H5220" s="7">
        <v>2392</v>
      </c>
      <c r="I5220" s="7">
        <v>12</v>
      </c>
      <c r="J5220" s="7">
        <v>0</v>
      </c>
      <c r="K5220" s="7" t="s">
        <v>18</v>
      </c>
      <c r="L5220" s="8">
        <v>39987.315405092595</v>
      </c>
      <c r="M5220" s="9" t="s">
        <v>19</v>
      </c>
      <c r="N5220" s="9" t="s">
        <v>20</v>
      </c>
      <c r="O5220" s="6" t="str">
        <f>HYPERLINK("https://pbs.twimg.com/profile_images/962471262747529216/Uo8lOkRJ_normal.jpg","View")</f>
        <v>View</v>
      </c>
      <c r="P5220" s="7"/>
    </row>
    <row r="5221" spans="1:16">
      <c r="A5221" s="3">
        <v>43940.895034722227</v>
      </c>
      <c r="B5221" s="4" t="str">
        <f>HYPERLINK("https://twitter.com/petrogustavo","@petrogustavo")</f>
        <v>@petrogustavo</v>
      </c>
      <c r="C5221" s="5" t="s">
        <v>16</v>
      </c>
      <c r="D5221" s="5" t="s">
        <v>5102</v>
      </c>
      <c r="E5221" s="6" t="str">
        <f>HYPERLINK("https://twitter.com/petrogustavo/status/1251903095673696266","1251903095673696266")</f>
        <v>1251903095673696266</v>
      </c>
      <c r="F5221" s="7" t="s">
        <v>17</v>
      </c>
      <c r="G5221" s="7">
        <v>3783455</v>
      </c>
      <c r="H5221" s="7">
        <v>2392</v>
      </c>
      <c r="I5221" s="7">
        <v>54</v>
      </c>
      <c r="J5221" s="7">
        <v>0</v>
      </c>
      <c r="K5221" s="7" t="s">
        <v>18</v>
      </c>
      <c r="L5221" s="8">
        <v>39987.315405092595</v>
      </c>
      <c r="M5221" s="9" t="s">
        <v>19</v>
      </c>
      <c r="N5221" s="9" t="s">
        <v>20</v>
      </c>
      <c r="O5221" s="6" t="str">
        <f>HYPERLINK("https://pbs.twimg.com/profile_images/962471262747529216/Uo8lOkRJ_normal.jpg","View")</f>
        <v>View</v>
      </c>
      <c r="P5221" s="7"/>
    </row>
    <row r="5222" spans="1:16">
      <c r="A5222" s="3">
        <v>43940.897650462968</v>
      </c>
      <c r="B5222" s="4" t="str">
        <f>HYPERLINK("https://twitter.com/petrogustavo","@petrogustavo")</f>
        <v>@petrogustavo</v>
      </c>
      <c r="C5222" s="5" t="s">
        <v>16</v>
      </c>
      <c r="D5222" s="5" t="s">
        <v>5103</v>
      </c>
      <c r="E5222" s="6" t="str">
        <f>HYPERLINK("https://twitter.com/petrogustavo/status/1251904043120758785","1251904043120758785")</f>
        <v>1251904043120758785</v>
      </c>
      <c r="F5222" s="7" t="s">
        <v>17</v>
      </c>
      <c r="G5222" s="7">
        <v>3783455</v>
      </c>
      <c r="H5222" s="7">
        <v>2392</v>
      </c>
      <c r="I5222" s="7">
        <v>5</v>
      </c>
      <c r="J5222" s="7">
        <v>10</v>
      </c>
      <c r="K5222" s="7" t="s">
        <v>18</v>
      </c>
      <c r="L5222" s="8">
        <v>39987.315405092595</v>
      </c>
      <c r="M5222" s="9" t="s">
        <v>19</v>
      </c>
      <c r="N5222" s="9" t="s">
        <v>20</v>
      </c>
      <c r="O5222" s="6" t="str">
        <f>HYPERLINK("https://pbs.twimg.com/profile_images/962471262747529216/Uo8lOkRJ_normal.jpg","View")</f>
        <v>View</v>
      </c>
      <c r="P5222" s="7"/>
    </row>
    <row r="5223" spans="1:16">
      <c r="A5223" s="3">
        <v>43940.922754629632</v>
      </c>
      <c r="B5223" s="4" t="str">
        <f>HYPERLINK("https://twitter.com/petrogustavo","@petrogustavo")</f>
        <v>@petrogustavo</v>
      </c>
      <c r="C5223" s="5" t="s">
        <v>16</v>
      </c>
      <c r="D5223" s="5" t="s">
        <v>5104</v>
      </c>
      <c r="E5223" s="6" t="str">
        <f>HYPERLINK("https://twitter.com/petrogustavo/status/1251913138351607808","1251913138351607808")</f>
        <v>1251913138351607808</v>
      </c>
      <c r="F5223" s="7" t="s">
        <v>17</v>
      </c>
      <c r="G5223" s="7">
        <v>3783656</v>
      </c>
      <c r="H5223" s="7">
        <v>2390</v>
      </c>
      <c r="I5223" s="7">
        <v>363</v>
      </c>
      <c r="J5223" s="7">
        <v>1956</v>
      </c>
      <c r="K5223" s="7" t="s">
        <v>18</v>
      </c>
      <c r="L5223" s="8">
        <v>39987.315405092595</v>
      </c>
      <c r="M5223" s="9" t="s">
        <v>19</v>
      </c>
      <c r="N5223" s="9" t="s">
        <v>20</v>
      </c>
      <c r="O5223" s="6" t="str">
        <f>HYPERLINK("https://pbs.twimg.com/profile_images/962471262747529216/Uo8lOkRJ_normal.jpg","View")</f>
        <v>View</v>
      </c>
      <c r="P5223" s="7"/>
    </row>
    <row r="5224" spans="1:16">
      <c r="A5224" s="3">
        <v>43940.95177083333</v>
      </c>
      <c r="B5224" s="4" t="str">
        <f>HYPERLINK("https://twitter.com/petrogustavo","@petrogustavo")</f>
        <v>@petrogustavo</v>
      </c>
      <c r="C5224" s="5" t="s">
        <v>16</v>
      </c>
      <c r="D5224" s="5" t="s">
        <v>5086</v>
      </c>
      <c r="E5224" s="6" t="str">
        <f>HYPERLINK("https://twitter.com/petrogustavo/status/1251923653652090882","1251923653652090882")</f>
        <v>1251923653652090882</v>
      </c>
      <c r="F5224" s="7" t="s">
        <v>17</v>
      </c>
      <c r="G5224" s="7">
        <v>3783770</v>
      </c>
      <c r="H5224" s="7">
        <v>2390</v>
      </c>
      <c r="I5224" s="7">
        <v>2430</v>
      </c>
      <c r="J5224" s="7">
        <v>0</v>
      </c>
      <c r="K5224" s="7" t="s">
        <v>18</v>
      </c>
      <c r="L5224" s="8">
        <v>39987.315405092595</v>
      </c>
      <c r="M5224" s="9" t="s">
        <v>19</v>
      </c>
      <c r="N5224" s="9" t="s">
        <v>20</v>
      </c>
      <c r="O5224" s="6" t="str">
        <f>HYPERLINK("https://pbs.twimg.com/profile_images/962471262747529216/Uo8lOkRJ_normal.jpg","View")</f>
        <v>View</v>
      </c>
      <c r="P5224" s="7"/>
    </row>
    <row r="5225" spans="1:16">
      <c r="A5225" s="3">
        <v>43941.06251157407</v>
      </c>
      <c r="B5225" s="4" t="str">
        <f>HYPERLINK("https://twitter.com/petrogustavo","@petrogustavo")</f>
        <v>@petrogustavo</v>
      </c>
      <c r="C5225" s="5" t="s">
        <v>16</v>
      </c>
      <c r="D5225" s="5" t="s">
        <v>5105</v>
      </c>
      <c r="E5225" s="6" t="str">
        <f>HYPERLINK("https://twitter.com/petrogustavo/status/1251963783704129536","1251963783704129536")</f>
        <v>1251963783704129536</v>
      </c>
      <c r="F5225" s="7" t="s">
        <v>17</v>
      </c>
      <c r="G5225" s="7">
        <v>3784324</v>
      </c>
      <c r="H5225" s="7">
        <v>2390</v>
      </c>
      <c r="I5225" s="7">
        <v>42</v>
      </c>
      <c r="J5225" s="7">
        <v>0</v>
      </c>
      <c r="K5225" s="7" t="s">
        <v>18</v>
      </c>
      <c r="L5225" s="8">
        <v>39987.315405092595</v>
      </c>
      <c r="M5225" s="9" t="s">
        <v>19</v>
      </c>
      <c r="N5225" s="9" t="s">
        <v>20</v>
      </c>
      <c r="O5225" s="6" t="str">
        <f>HYPERLINK("https://pbs.twimg.com/profile_images/962471262747529216/Uo8lOkRJ_normal.jpg","View")</f>
        <v>View</v>
      </c>
      <c r="P5225" s="7"/>
    </row>
    <row r="5226" spans="1:16">
      <c r="A5226" s="3">
        <v>43941.069525462968</v>
      </c>
      <c r="B5226" s="4" t="str">
        <f>HYPERLINK("https://twitter.com/petrogustavo","@petrogustavo")</f>
        <v>@petrogustavo</v>
      </c>
      <c r="C5226" s="5" t="s">
        <v>16</v>
      </c>
      <c r="D5226" s="5" t="s">
        <v>5100</v>
      </c>
      <c r="E5226" s="6" t="str">
        <f>HYPERLINK("https://twitter.com/petrogustavo/status/1251966328157552641","1251966328157552641")</f>
        <v>1251966328157552641</v>
      </c>
      <c r="F5226" s="7" t="s">
        <v>17</v>
      </c>
      <c r="G5226" s="7">
        <v>3784324</v>
      </c>
      <c r="H5226" s="7">
        <v>2390</v>
      </c>
      <c r="I5226" s="7">
        <v>1857</v>
      </c>
      <c r="J5226" s="7">
        <v>0</v>
      </c>
      <c r="K5226" s="7" t="s">
        <v>18</v>
      </c>
      <c r="L5226" s="8">
        <v>39987.315405092595</v>
      </c>
      <c r="M5226" s="9" t="s">
        <v>19</v>
      </c>
      <c r="N5226" s="9" t="s">
        <v>20</v>
      </c>
      <c r="O5226" s="6" t="str">
        <f>HYPERLINK("https://pbs.twimg.com/profile_images/962471262747529216/Uo8lOkRJ_normal.jpg","View")</f>
        <v>View</v>
      </c>
      <c r="P5226" s="7"/>
    </row>
    <row r="5227" spans="1:16">
      <c r="A5227" s="3">
        <v>43941.072002314817</v>
      </c>
      <c r="B5227" s="4" t="str">
        <f>HYPERLINK("https://twitter.com/petrogustavo","@petrogustavo")</f>
        <v>@petrogustavo</v>
      </c>
      <c r="C5227" s="5" t="s">
        <v>16</v>
      </c>
      <c r="D5227" s="5" t="s">
        <v>5106</v>
      </c>
      <c r="E5227" s="6" t="str">
        <f>HYPERLINK("https://twitter.com/petrogustavo/status/1251967224916606976","1251967224916606976")</f>
        <v>1251967224916606976</v>
      </c>
      <c r="F5227" s="7" t="s">
        <v>17</v>
      </c>
      <c r="G5227" s="7">
        <v>3784324</v>
      </c>
      <c r="H5227" s="7">
        <v>2390</v>
      </c>
      <c r="I5227" s="7">
        <v>243</v>
      </c>
      <c r="J5227" s="7">
        <v>0</v>
      </c>
      <c r="K5227" s="7" t="s">
        <v>18</v>
      </c>
      <c r="L5227" s="8">
        <v>39987.315405092595</v>
      </c>
      <c r="M5227" s="9" t="s">
        <v>19</v>
      </c>
      <c r="N5227" s="9" t="s">
        <v>20</v>
      </c>
      <c r="O5227" s="6" t="str">
        <f>HYPERLINK("https://pbs.twimg.com/profile_images/962471262747529216/Uo8lOkRJ_normal.jpg","View")</f>
        <v>View</v>
      </c>
      <c r="P5227" s="7"/>
    </row>
    <row r="5228" spans="1:16">
      <c r="A5228" s="3">
        <v>43941.077534722222</v>
      </c>
      <c r="B5228" s="4" t="str">
        <f>HYPERLINK("https://twitter.com/petrogustavo","@petrogustavo")</f>
        <v>@petrogustavo</v>
      </c>
      <c r="C5228" s="5" t="s">
        <v>16</v>
      </c>
      <c r="D5228" s="5" t="s">
        <v>5107</v>
      </c>
      <c r="E5228" s="6" t="str">
        <f>HYPERLINK("https://twitter.com/petrogustavo/status/1251969228283969537","1251969228283969537")</f>
        <v>1251969228283969537</v>
      </c>
      <c r="F5228" s="7" t="s">
        <v>21</v>
      </c>
      <c r="G5228" s="7">
        <v>3784324</v>
      </c>
      <c r="H5228" s="7">
        <v>2390</v>
      </c>
      <c r="I5228" s="7">
        <v>150</v>
      </c>
      <c r="J5228" s="7">
        <v>530</v>
      </c>
      <c r="K5228" s="7" t="s">
        <v>18</v>
      </c>
      <c r="L5228" s="8">
        <v>39987.315405092595</v>
      </c>
      <c r="M5228" s="9" t="s">
        <v>19</v>
      </c>
      <c r="N5228" s="9" t="s">
        <v>20</v>
      </c>
      <c r="O5228" s="6" t="str">
        <f>HYPERLINK("https://pbs.twimg.com/profile_images/962471262747529216/Uo8lOkRJ_normal.jpg","View")</f>
        <v>View</v>
      </c>
      <c r="P5228" s="7"/>
    </row>
    <row r="5229" spans="1:16">
      <c r="A5229" s="3">
        <v>43941.244131944448</v>
      </c>
      <c r="B5229" s="4" t="str">
        <f>HYPERLINK("https://twitter.com/petrogustavo","@petrogustavo")</f>
        <v>@petrogustavo</v>
      </c>
      <c r="C5229" s="5" t="s">
        <v>16</v>
      </c>
      <c r="D5229" s="5" t="s">
        <v>5108</v>
      </c>
      <c r="E5229" s="6" t="str">
        <f>HYPERLINK("https://twitter.com/petrogustavo/status/1252029601007706117","1252029601007706117")</f>
        <v>1252029601007706117</v>
      </c>
      <c r="F5229" s="7" t="s">
        <v>17</v>
      </c>
      <c r="G5229" s="7">
        <v>3784957</v>
      </c>
      <c r="H5229" s="7">
        <v>2390</v>
      </c>
      <c r="I5229" s="7">
        <v>88</v>
      </c>
      <c r="J5229" s="7">
        <v>0</v>
      </c>
      <c r="K5229" s="7" t="s">
        <v>18</v>
      </c>
      <c r="L5229" s="8">
        <v>39987.315405092595</v>
      </c>
      <c r="M5229" s="9" t="s">
        <v>19</v>
      </c>
      <c r="N5229" s="9" t="s">
        <v>20</v>
      </c>
      <c r="O5229" s="6" t="str">
        <f>HYPERLINK("https://pbs.twimg.com/profile_images/962471262747529216/Uo8lOkRJ_normal.jpg","View")</f>
        <v>View</v>
      </c>
      <c r="P5229" s="7"/>
    </row>
    <row r="5230" spans="1:16">
      <c r="A5230" s="3">
        <v>43941.332476851851</v>
      </c>
      <c r="B5230" s="4" t="str">
        <f>HYPERLINK("https://twitter.com/petrogustavo","@petrogustavo")</f>
        <v>@petrogustavo</v>
      </c>
      <c r="C5230" s="5" t="s">
        <v>16</v>
      </c>
      <c r="D5230" s="5" t="s">
        <v>5109</v>
      </c>
      <c r="E5230" s="6" t="str">
        <f>HYPERLINK("https://twitter.com/petrogustavo/status/1252061619460476928","1252061619460476928")</f>
        <v>1252061619460476928</v>
      </c>
      <c r="F5230" s="7" t="s">
        <v>17</v>
      </c>
      <c r="G5230" s="7">
        <v>3785254</v>
      </c>
      <c r="H5230" s="7">
        <v>2390</v>
      </c>
      <c r="I5230" s="7">
        <v>190</v>
      </c>
      <c r="J5230" s="7">
        <v>0</v>
      </c>
      <c r="K5230" s="7" t="s">
        <v>18</v>
      </c>
      <c r="L5230" s="8">
        <v>39987.315405092595</v>
      </c>
      <c r="M5230" s="9" t="s">
        <v>19</v>
      </c>
      <c r="N5230" s="9" t="s">
        <v>20</v>
      </c>
      <c r="O5230" s="6" t="str">
        <f>HYPERLINK("https://pbs.twimg.com/profile_images/962471262747529216/Uo8lOkRJ_normal.jpg","View")</f>
        <v>View</v>
      </c>
      <c r="P5230" s="7"/>
    </row>
    <row r="5231" spans="1:16">
      <c r="A5231" s="3">
        <v>43941.336365740739</v>
      </c>
      <c r="B5231" s="4" t="str">
        <f>HYPERLINK("https://twitter.com/petrogustavo","@petrogustavo")</f>
        <v>@petrogustavo</v>
      </c>
      <c r="C5231" s="5" t="s">
        <v>16</v>
      </c>
      <c r="D5231" s="5" t="s">
        <v>5110</v>
      </c>
      <c r="E5231" s="6" t="str">
        <f>HYPERLINK("https://twitter.com/petrogustavo/status/1252063026167103495","1252063026167103495")</f>
        <v>1252063026167103495</v>
      </c>
      <c r="F5231" s="7" t="s">
        <v>17</v>
      </c>
      <c r="G5231" s="7">
        <v>3785354</v>
      </c>
      <c r="H5231" s="7">
        <v>2390</v>
      </c>
      <c r="I5231" s="7">
        <v>211</v>
      </c>
      <c r="J5231" s="7">
        <v>0</v>
      </c>
      <c r="K5231" s="7" t="s">
        <v>18</v>
      </c>
      <c r="L5231" s="8">
        <v>39987.315405092595</v>
      </c>
      <c r="M5231" s="9" t="s">
        <v>19</v>
      </c>
      <c r="N5231" s="9" t="s">
        <v>20</v>
      </c>
      <c r="O5231" s="6" t="str">
        <f>HYPERLINK("https://pbs.twimg.com/profile_images/962471262747529216/Uo8lOkRJ_normal.jpg","View")</f>
        <v>View</v>
      </c>
      <c r="P5231" s="7"/>
    </row>
    <row r="5232" spans="1:16">
      <c r="A5232" s="3">
        <v>43941.351388888885</v>
      </c>
      <c r="B5232" s="4" t="str">
        <f>HYPERLINK("https://twitter.com/petrogustavo","@petrogustavo")</f>
        <v>@petrogustavo</v>
      </c>
      <c r="C5232" s="5" t="s">
        <v>16</v>
      </c>
      <c r="D5232" s="5" t="s">
        <v>5111</v>
      </c>
      <c r="E5232" s="6" t="str">
        <f>HYPERLINK("https://twitter.com/petrogustavo/status/1252068470109409282","1252068470109409282")</f>
        <v>1252068470109409282</v>
      </c>
      <c r="F5232" s="7" t="s">
        <v>17</v>
      </c>
      <c r="G5232" s="7">
        <v>3785354</v>
      </c>
      <c r="H5232" s="7">
        <v>2390</v>
      </c>
      <c r="I5232" s="7">
        <v>97</v>
      </c>
      <c r="J5232" s="7">
        <v>340</v>
      </c>
      <c r="K5232" s="7" t="s">
        <v>18</v>
      </c>
      <c r="L5232" s="8">
        <v>39987.315405092595</v>
      </c>
      <c r="M5232" s="9" t="s">
        <v>19</v>
      </c>
      <c r="N5232" s="9" t="s">
        <v>20</v>
      </c>
      <c r="O5232" s="6" t="str">
        <f>HYPERLINK("https://pbs.twimg.com/profile_images/962471262747529216/Uo8lOkRJ_normal.jpg","View")</f>
        <v>View</v>
      </c>
      <c r="P5232" s="7"/>
    </row>
    <row r="5233" spans="1:16">
      <c r="A5233" s="3">
        <v>43941.360902777778</v>
      </c>
      <c r="B5233" s="4" t="str">
        <f>HYPERLINK("https://twitter.com/petrogustavo","@petrogustavo")</f>
        <v>@petrogustavo</v>
      </c>
      <c r="C5233" s="5" t="s">
        <v>16</v>
      </c>
      <c r="D5233" s="5" t="s">
        <v>5112</v>
      </c>
      <c r="E5233" s="6" t="str">
        <f>HYPERLINK("https://twitter.com/petrogustavo/status/1252071920562065410","1252071920562065410")</f>
        <v>1252071920562065410</v>
      </c>
      <c r="F5233" s="7" t="s">
        <v>17</v>
      </c>
      <c r="G5233" s="7">
        <v>3785427</v>
      </c>
      <c r="H5233" s="7">
        <v>2390</v>
      </c>
      <c r="I5233" s="7">
        <v>132</v>
      </c>
      <c r="J5233" s="7">
        <v>0</v>
      </c>
      <c r="K5233" s="7" t="s">
        <v>18</v>
      </c>
      <c r="L5233" s="8">
        <v>39987.315405092595</v>
      </c>
      <c r="M5233" s="9" t="s">
        <v>19</v>
      </c>
      <c r="N5233" s="9" t="s">
        <v>20</v>
      </c>
      <c r="O5233" s="6" t="str">
        <f>HYPERLINK("https://pbs.twimg.com/profile_images/962471262747529216/Uo8lOkRJ_normal.jpg","View")</f>
        <v>View</v>
      </c>
      <c r="P5233" s="7"/>
    </row>
    <row r="5234" spans="1:16">
      <c r="A5234" s="3">
        <v>43941.362037037034</v>
      </c>
      <c r="B5234" s="4" t="str">
        <f>HYPERLINK("https://twitter.com/petrogustavo","@petrogustavo")</f>
        <v>@petrogustavo</v>
      </c>
      <c r="C5234" s="5" t="s">
        <v>16</v>
      </c>
      <c r="D5234" s="5" t="s">
        <v>5113</v>
      </c>
      <c r="E5234" s="6" t="str">
        <f>HYPERLINK("https://twitter.com/petrogustavo/status/1252072330525904903","1252072330525904903")</f>
        <v>1252072330525904903</v>
      </c>
      <c r="F5234" s="7" t="s">
        <v>17</v>
      </c>
      <c r="G5234" s="7">
        <v>3785427</v>
      </c>
      <c r="H5234" s="7">
        <v>2390</v>
      </c>
      <c r="I5234" s="7">
        <v>264</v>
      </c>
      <c r="J5234" s="7">
        <v>0</v>
      </c>
      <c r="K5234" s="7" t="s">
        <v>18</v>
      </c>
      <c r="L5234" s="8">
        <v>39987.315405092595</v>
      </c>
      <c r="M5234" s="9" t="s">
        <v>19</v>
      </c>
      <c r="N5234" s="9" t="s">
        <v>20</v>
      </c>
      <c r="O5234" s="6" t="str">
        <f>HYPERLINK("https://pbs.twimg.com/profile_images/962471262747529216/Uo8lOkRJ_normal.jpg","View")</f>
        <v>View</v>
      </c>
      <c r="P5234" s="7"/>
    </row>
    <row r="5235" spans="1:16">
      <c r="A5235" s="3">
        <v>43941.363888888889</v>
      </c>
      <c r="B5235" s="4" t="str">
        <f>HYPERLINK("https://twitter.com/petrogustavo","@petrogustavo")</f>
        <v>@petrogustavo</v>
      </c>
      <c r="C5235" s="5" t="s">
        <v>16</v>
      </c>
      <c r="D5235" s="5" t="s">
        <v>5114</v>
      </c>
      <c r="E5235" s="6" t="str">
        <f>HYPERLINK("https://twitter.com/petrogustavo/status/1252073002021326852","1252073002021326852")</f>
        <v>1252073002021326852</v>
      </c>
      <c r="F5235" s="7" t="s">
        <v>17</v>
      </c>
      <c r="G5235" s="7">
        <v>3785427</v>
      </c>
      <c r="H5235" s="7">
        <v>2390</v>
      </c>
      <c r="I5235" s="7">
        <v>386</v>
      </c>
      <c r="J5235" s="7">
        <v>0</v>
      </c>
      <c r="K5235" s="7" t="s">
        <v>18</v>
      </c>
      <c r="L5235" s="8">
        <v>39987.315405092595</v>
      </c>
      <c r="M5235" s="9" t="s">
        <v>19</v>
      </c>
      <c r="N5235" s="9" t="s">
        <v>20</v>
      </c>
      <c r="O5235" s="6" t="str">
        <f>HYPERLINK("https://pbs.twimg.com/profile_images/962471262747529216/Uo8lOkRJ_normal.jpg","View")</f>
        <v>View</v>
      </c>
      <c r="P5235" s="7"/>
    </row>
    <row r="5236" spans="1:16">
      <c r="A5236" s="3">
        <v>43941.712129629625</v>
      </c>
      <c r="B5236" s="4" t="str">
        <f>HYPERLINK("https://twitter.com/petrogustavo","@petrogustavo")</f>
        <v>@petrogustavo</v>
      </c>
      <c r="C5236" s="5" t="s">
        <v>16</v>
      </c>
      <c r="D5236" s="5" t="s">
        <v>5115</v>
      </c>
      <c r="E5236" s="6" t="str">
        <f>HYPERLINK("https://twitter.com/petrogustavo/status/1252199198872817664","1252199198872817664")</f>
        <v>1252199198872817664</v>
      </c>
      <c r="F5236" s="7" t="s">
        <v>17</v>
      </c>
      <c r="G5236" s="7">
        <v>3785992</v>
      </c>
      <c r="H5236" s="7">
        <v>2390</v>
      </c>
      <c r="I5236" s="7">
        <v>484</v>
      </c>
      <c r="J5236" s="7">
        <v>0</v>
      </c>
      <c r="K5236" s="7" t="s">
        <v>18</v>
      </c>
      <c r="L5236" s="8">
        <v>39987.315405092595</v>
      </c>
      <c r="M5236" s="9" t="s">
        <v>19</v>
      </c>
      <c r="N5236" s="9" t="s">
        <v>20</v>
      </c>
      <c r="O5236" s="6" t="str">
        <f>HYPERLINK("https://pbs.twimg.com/profile_images/962471262747529216/Uo8lOkRJ_normal.jpg","View")</f>
        <v>View</v>
      </c>
      <c r="P5236" s="7"/>
    </row>
    <row r="5237" spans="1:16">
      <c r="A5237" s="3">
        <v>43941.712418981479</v>
      </c>
      <c r="B5237" s="4" t="str">
        <f>HYPERLINK("https://twitter.com/petrogustavo","@petrogustavo")</f>
        <v>@petrogustavo</v>
      </c>
      <c r="C5237" s="5" t="s">
        <v>16</v>
      </c>
      <c r="D5237" s="5" t="s">
        <v>5116</v>
      </c>
      <c r="E5237" s="6" t="str">
        <f>HYPERLINK("https://twitter.com/petrogustavo/status/1252199305588494336","1252199305588494336")</f>
        <v>1252199305588494336</v>
      </c>
      <c r="F5237" s="7" t="s">
        <v>17</v>
      </c>
      <c r="G5237" s="7">
        <v>3785992</v>
      </c>
      <c r="H5237" s="7">
        <v>2390</v>
      </c>
      <c r="I5237" s="7">
        <v>422</v>
      </c>
      <c r="J5237" s="7">
        <v>0</v>
      </c>
      <c r="K5237" s="7" t="s">
        <v>18</v>
      </c>
      <c r="L5237" s="8">
        <v>39987.315405092595</v>
      </c>
      <c r="M5237" s="9" t="s">
        <v>19</v>
      </c>
      <c r="N5237" s="9" t="s">
        <v>20</v>
      </c>
      <c r="O5237" s="6" t="str">
        <f>HYPERLINK("https://pbs.twimg.com/profile_images/962471262747529216/Uo8lOkRJ_normal.jpg","View")</f>
        <v>View</v>
      </c>
      <c r="P5237" s="7"/>
    </row>
    <row r="5238" spans="1:16">
      <c r="A5238" s="3">
        <v>43941.721238425926</v>
      </c>
      <c r="B5238" s="4" t="str">
        <f>HYPERLINK("https://twitter.com/petrogustavo","@petrogustavo")</f>
        <v>@petrogustavo</v>
      </c>
      <c r="C5238" s="5" t="s">
        <v>16</v>
      </c>
      <c r="D5238" s="5" t="s">
        <v>5117</v>
      </c>
      <c r="E5238" s="6" t="str">
        <f>HYPERLINK("https://twitter.com/petrogustavo/status/1252202499643236353","1252202499643236353")</f>
        <v>1252202499643236353</v>
      </c>
      <c r="F5238" s="7" t="s">
        <v>17</v>
      </c>
      <c r="G5238" s="7">
        <v>3785992</v>
      </c>
      <c r="H5238" s="7">
        <v>2390</v>
      </c>
      <c r="I5238" s="7">
        <v>48</v>
      </c>
      <c r="J5238" s="7">
        <v>84</v>
      </c>
      <c r="K5238" s="7" t="s">
        <v>18</v>
      </c>
      <c r="L5238" s="8">
        <v>39987.315405092595</v>
      </c>
      <c r="M5238" s="9" t="s">
        <v>19</v>
      </c>
      <c r="N5238" s="9" t="s">
        <v>20</v>
      </c>
      <c r="O5238" s="6" t="str">
        <f>HYPERLINK("https://pbs.twimg.com/profile_images/962471262747529216/Uo8lOkRJ_normal.jpg","View")</f>
        <v>View</v>
      </c>
      <c r="P5238" s="7"/>
    </row>
    <row r="5239" spans="1:16">
      <c r="A5239" s="3">
        <v>43941.724120370374</v>
      </c>
      <c r="B5239" s="4" t="str">
        <f>HYPERLINK("https://twitter.com/petrogustavo","@petrogustavo")</f>
        <v>@petrogustavo</v>
      </c>
      <c r="C5239" s="5" t="s">
        <v>16</v>
      </c>
      <c r="D5239" s="5" t="s">
        <v>5118</v>
      </c>
      <c r="E5239" s="6" t="str">
        <f>HYPERLINK("https://twitter.com/petrogustavo/status/1252203544633118721","1252203544633118721")</f>
        <v>1252203544633118721</v>
      </c>
      <c r="F5239" s="7" t="s">
        <v>17</v>
      </c>
      <c r="G5239" s="7">
        <v>3785992</v>
      </c>
      <c r="H5239" s="7">
        <v>2390</v>
      </c>
      <c r="I5239" s="7">
        <v>504</v>
      </c>
      <c r="J5239" s="7">
        <v>0</v>
      </c>
      <c r="K5239" s="7" t="s">
        <v>18</v>
      </c>
      <c r="L5239" s="8">
        <v>39987.315405092595</v>
      </c>
      <c r="M5239" s="9" t="s">
        <v>19</v>
      </c>
      <c r="N5239" s="9" t="s">
        <v>20</v>
      </c>
      <c r="O5239" s="6" t="str">
        <f>HYPERLINK("https://pbs.twimg.com/profile_images/962471262747529216/Uo8lOkRJ_normal.jpg","View")</f>
        <v>View</v>
      </c>
      <c r="P5239" s="7"/>
    </row>
    <row r="5240" spans="1:16">
      <c r="A5240" s="3">
        <v>43941.725995370369</v>
      </c>
      <c r="B5240" s="4" t="str">
        <f>HYPERLINK("https://twitter.com/petrogustavo","@petrogustavo")</f>
        <v>@petrogustavo</v>
      </c>
      <c r="C5240" s="5" t="s">
        <v>16</v>
      </c>
      <c r="D5240" s="5" t="s">
        <v>5119</v>
      </c>
      <c r="E5240" s="6" t="str">
        <f>HYPERLINK("https://twitter.com/petrogustavo/status/1252204222160023557","1252204222160023557")</f>
        <v>1252204222160023557</v>
      </c>
      <c r="F5240" s="7" t="s">
        <v>17</v>
      </c>
      <c r="G5240" s="7">
        <v>3785992</v>
      </c>
      <c r="H5240" s="7">
        <v>2390</v>
      </c>
      <c r="I5240" s="7">
        <v>44</v>
      </c>
      <c r="J5240" s="7">
        <v>136</v>
      </c>
      <c r="K5240" s="7" t="s">
        <v>18</v>
      </c>
      <c r="L5240" s="8">
        <v>39987.315405092595</v>
      </c>
      <c r="M5240" s="9" t="s">
        <v>19</v>
      </c>
      <c r="N5240" s="9" t="s">
        <v>20</v>
      </c>
      <c r="O5240" s="6" t="str">
        <f>HYPERLINK("https://pbs.twimg.com/profile_images/962471262747529216/Uo8lOkRJ_normal.jpg","View")</f>
        <v>View</v>
      </c>
      <c r="P5240" s="7"/>
    </row>
    <row r="5241" spans="1:16">
      <c r="A5241" s="3">
        <v>43941.728090277778</v>
      </c>
      <c r="B5241" s="4" t="str">
        <f>HYPERLINK("https://twitter.com/petrogustavo","@petrogustavo")</f>
        <v>@petrogustavo</v>
      </c>
      <c r="C5241" s="5" t="s">
        <v>16</v>
      </c>
      <c r="D5241" s="5" t="s">
        <v>5120</v>
      </c>
      <c r="E5241" s="6" t="str">
        <f>HYPERLINK("https://twitter.com/petrogustavo/status/1252204983120007168","1252204983120007168")</f>
        <v>1252204983120007168</v>
      </c>
      <c r="F5241" s="7" t="s">
        <v>17</v>
      </c>
      <c r="G5241" s="7">
        <v>3785992</v>
      </c>
      <c r="H5241" s="7">
        <v>2390</v>
      </c>
      <c r="I5241" s="7">
        <v>63</v>
      </c>
      <c r="J5241" s="7">
        <v>139</v>
      </c>
      <c r="K5241" s="7" t="s">
        <v>18</v>
      </c>
      <c r="L5241" s="8">
        <v>39987.315405092595</v>
      </c>
      <c r="M5241" s="9" t="s">
        <v>19</v>
      </c>
      <c r="N5241" s="9" t="s">
        <v>20</v>
      </c>
      <c r="O5241" s="6" t="str">
        <f>HYPERLINK("https://pbs.twimg.com/profile_images/962471262747529216/Uo8lOkRJ_normal.jpg","View")</f>
        <v>View</v>
      </c>
      <c r="P5241" s="7"/>
    </row>
    <row r="5242" spans="1:16">
      <c r="A5242" s="3">
        <v>43941.750659722224</v>
      </c>
      <c r="B5242" s="4" t="str">
        <f>HYPERLINK("https://twitter.com/petrogustavo","@petrogustavo")</f>
        <v>@petrogustavo</v>
      </c>
      <c r="C5242" s="5" t="s">
        <v>16</v>
      </c>
      <c r="D5242" s="5" t="s">
        <v>5121</v>
      </c>
      <c r="E5242" s="6" t="str">
        <f>HYPERLINK("https://twitter.com/petrogustavo/status/1252213162637737987","1252213162637737987")</f>
        <v>1252213162637737987</v>
      </c>
      <c r="F5242" s="7" t="s">
        <v>17</v>
      </c>
      <c r="G5242" s="7">
        <v>3786048</v>
      </c>
      <c r="H5242" s="7">
        <v>2390</v>
      </c>
      <c r="I5242" s="7">
        <v>9</v>
      </c>
      <c r="J5242" s="7">
        <v>26</v>
      </c>
      <c r="K5242" s="7" t="s">
        <v>18</v>
      </c>
      <c r="L5242" s="8">
        <v>39987.315405092595</v>
      </c>
      <c r="M5242" s="9" t="s">
        <v>19</v>
      </c>
      <c r="N5242" s="9" t="s">
        <v>20</v>
      </c>
      <c r="O5242" s="6" t="str">
        <f>HYPERLINK("https://pbs.twimg.com/profile_images/962471262747529216/Uo8lOkRJ_normal.jpg","View")</f>
        <v>View</v>
      </c>
      <c r="P5242" s="7"/>
    </row>
    <row r="5243" spans="1:16">
      <c r="A5243" s="3">
        <v>43941.756770833337</v>
      </c>
      <c r="B5243" s="4" t="str">
        <f>HYPERLINK("https://twitter.com/petrogustavo","@petrogustavo")</f>
        <v>@petrogustavo</v>
      </c>
      <c r="C5243" s="5" t="s">
        <v>16</v>
      </c>
      <c r="D5243" s="5" t="s">
        <v>5122</v>
      </c>
      <c r="E5243" s="6" t="str">
        <f>HYPERLINK("https://twitter.com/petrogustavo/status/1252215375774826497","1252215375774826497")</f>
        <v>1252215375774826497</v>
      </c>
      <c r="F5243" s="7" t="s">
        <v>17</v>
      </c>
      <c r="G5243" s="7">
        <v>3786101</v>
      </c>
      <c r="H5243" s="7">
        <v>2390</v>
      </c>
      <c r="I5243" s="7">
        <v>129</v>
      </c>
      <c r="J5243" s="7">
        <v>242</v>
      </c>
      <c r="K5243" s="7" t="s">
        <v>18</v>
      </c>
      <c r="L5243" s="8">
        <v>39987.315405092595</v>
      </c>
      <c r="M5243" s="9" t="s">
        <v>19</v>
      </c>
      <c r="N5243" s="9" t="s">
        <v>20</v>
      </c>
      <c r="O5243" s="6" t="str">
        <f>HYPERLINK("https://pbs.twimg.com/profile_images/962471262747529216/Uo8lOkRJ_normal.jpg","View")</f>
        <v>View</v>
      </c>
      <c r="P5243" s="7"/>
    </row>
    <row r="5244" spans="1:16">
      <c r="A5244" s="3">
        <v>43941.762280092589</v>
      </c>
      <c r="B5244" s="4" t="str">
        <f>HYPERLINK("https://twitter.com/petrogustavo","@petrogustavo")</f>
        <v>@petrogustavo</v>
      </c>
      <c r="C5244" s="5" t="s">
        <v>16</v>
      </c>
      <c r="D5244" s="5" t="s">
        <v>5123</v>
      </c>
      <c r="E5244" s="6" t="str">
        <f>HYPERLINK("https://twitter.com/petrogustavo/status/1252217375182684160","1252217375182684160")</f>
        <v>1252217375182684160</v>
      </c>
      <c r="F5244" s="7" t="s">
        <v>17</v>
      </c>
      <c r="G5244" s="7">
        <v>3786101</v>
      </c>
      <c r="H5244" s="7">
        <v>2390</v>
      </c>
      <c r="I5244" s="7">
        <v>195</v>
      </c>
      <c r="J5244" s="7">
        <v>531</v>
      </c>
      <c r="K5244" s="7" t="s">
        <v>18</v>
      </c>
      <c r="L5244" s="8">
        <v>39987.315405092595</v>
      </c>
      <c r="M5244" s="9" t="s">
        <v>19</v>
      </c>
      <c r="N5244" s="9" t="s">
        <v>20</v>
      </c>
      <c r="O5244" s="6" t="str">
        <f>HYPERLINK("https://pbs.twimg.com/profile_images/962471262747529216/Uo8lOkRJ_normal.jpg","View")</f>
        <v>View</v>
      </c>
      <c r="P5244" s="7"/>
    </row>
    <row r="5245" spans="1:16">
      <c r="A5245" s="3">
        <v>43941.768078703702</v>
      </c>
      <c r="B5245" s="4" t="str">
        <f>HYPERLINK("https://twitter.com/petrogustavo","@petrogustavo")</f>
        <v>@petrogustavo</v>
      </c>
      <c r="C5245" s="5" t="s">
        <v>16</v>
      </c>
      <c r="D5245" s="5" t="s">
        <v>5124</v>
      </c>
      <c r="E5245" s="6" t="str">
        <f>HYPERLINK("https://twitter.com/petrogustavo/status/1252219475711139840","1252219475711139840")</f>
        <v>1252219475711139840</v>
      </c>
      <c r="F5245" s="7" t="s">
        <v>17</v>
      </c>
      <c r="G5245" s="7">
        <v>3786101</v>
      </c>
      <c r="H5245" s="7">
        <v>2390</v>
      </c>
      <c r="I5245" s="7">
        <v>45</v>
      </c>
      <c r="J5245" s="7">
        <v>105</v>
      </c>
      <c r="K5245" s="7" t="s">
        <v>18</v>
      </c>
      <c r="L5245" s="8">
        <v>39987.315405092595</v>
      </c>
      <c r="M5245" s="9" t="s">
        <v>19</v>
      </c>
      <c r="N5245" s="9" t="s">
        <v>20</v>
      </c>
      <c r="O5245" s="6" t="str">
        <f>HYPERLINK("https://pbs.twimg.com/profile_images/962471262747529216/Uo8lOkRJ_normal.jpg","View")</f>
        <v>View</v>
      </c>
      <c r="P5245" s="7"/>
    </row>
    <row r="5246" spans="1:16">
      <c r="A5246" s="3">
        <v>43941.772164351853</v>
      </c>
      <c r="B5246" s="4" t="str">
        <f>HYPERLINK("https://twitter.com/petrogustavo","@petrogustavo")</f>
        <v>@petrogustavo</v>
      </c>
      <c r="C5246" s="5" t="s">
        <v>16</v>
      </c>
      <c r="D5246" s="5" t="s">
        <v>5125</v>
      </c>
      <c r="E5246" s="6" t="str">
        <f>HYPERLINK("https://twitter.com/petrogustavo/status/1252220956845707265","1252220956845707265")</f>
        <v>1252220956845707265</v>
      </c>
      <c r="F5246" s="7" t="s">
        <v>17</v>
      </c>
      <c r="G5246" s="7">
        <v>3786101</v>
      </c>
      <c r="H5246" s="7">
        <v>2390</v>
      </c>
      <c r="I5246" s="7">
        <v>816</v>
      </c>
      <c r="J5246" s="7">
        <v>0</v>
      </c>
      <c r="K5246" s="7" t="s">
        <v>18</v>
      </c>
      <c r="L5246" s="8">
        <v>39987.315405092595</v>
      </c>
      <c r="M5246" s="9" t="s">
        <v>19</v>
      </c>
      <c r="N5246" s="9" t="s">
        <v>20</v>
      </c>
      <c r="O5246" s="6" t="str">
        <f>HYPERLINK("https://pbs.twimg.com/profile_images/962471262747529216/Uo8lOkRJ_normal.jpg","View")</f>
        <v>View</v>
      </c>
      <c r="P5246" s="7"/>
    </row>
    <row r="5247" spans="1:16">
      <c r="A5247" s="3">
        <v>43941.775127314817</v>
      </c>
      <c r="B5247" s="4" t="str">
        <f>HYPERLINK("https://twitter.com/petrogustavo","@petrogustavo")</f>
        <v>@petrogustavo</v>
      </c>
      <c r="C5247" s="5" t="s">
        <v>16</v>
      </c>
      <c r="D5247" s="5" t="s">
        <v>5126</v>
      </c>
      <c r="E5247" s="6" t="str">
        <f>HYPERLINK("https://twitter.com/petrogustavo/status/1252222028142333954","1252222028142333954")</f>
        <v>1252222028142333954</v>
      </c>
      <c r="F5247" s="7" t="s">
        <v>17</v>
      </c>
      <c r="G5247" s="7">
        <v>3786162</v>
      </c>
      <c r="H5247" s="7">
        <v>2390</v>
      </c>
      <c r="I5247" s="7">
        <v>100</v>
      </c>
      <c r="J5247" s="7">
        <v>239</v>
      </c>
      <c r="K5247" s="7" t="s">
        <v>18</v>
      </c>
      <c r="L5247" s="8">
        <v>39987.315405092595</v>
      </c>
      <c r="M5247" s="9" t="s">
        <v>19</v>
      </c>
      <c r="N5247" s="9" t="s">
        <v>20</v>
      </c>
      <c r="O5247" s="6" t="str">
        <f>HYPERLINK("https://pbs.twimg.com/profile_images/962471262747529216/Uo8lOkRJ_normal.jpg","View")</f>
        <v>View</v>
      </c>
      <c r="P5247" s="7"/>
    </row>
    <row r="5248" spans="1:16">
      <c r="A5248" s="3">
        <v>43941.783854166672</v>
      </c>
      <c r="B5248" s="4" t="str">
        <f>HYPERLINK("https://twitter.com/petrogustavo","@petrogustavo")</f>
        <v>@petrogustavo</v>
      </c>
      <c r="C5248" s="5" t="s">
        <v>16</v>
      </c>
      <c r="D5248" s="5" t="s">
        <v>5127</v>
      </c>
      <c r="E5248" s="6" t="str">
        <f>HYPERLINK("https://twitter.com/petrogustavo/status/1252225192543358982","1252225192543358982")</f>
        <v>1252225192543358982</v>
      </c>
      <c r="F5248" s="7" t="s">
        <v>17</v>
      </c>
      <c r="G5248" s="7">
        <v>3786162</v>
      </c>
      <c r="H5248" s="7">
        <v>2390</v>
      </c>
      <c r="I5248" s="7">
        <v>162</v>
      </c>
      <c r="J5248" s="7">
        <v>408</v>
      </c>
      <c r="K5248" s="7" t="s">
        <v>18</v>
      </c>
      <c r="L5248" s="8">
        <v>39987.315405092595</v>
      </c>
      <c r="M5248" s="9" t="s">
        <v>19</v>
      </c>
      <c r="N5248" s="9" t="s">
        <v>20</v>
      </c>
      <c r="O5248" s="6" t="str">
        <f>HYPERLINK("https://pbs.twimg.com/profile_images/962471262747529216/Uo8lOkRJ_normal.jpg","View")</f>
        <v>View</v>
      </c>
      <c r="P5248" s="7"/>
    </row>
    <row r="5249" spans="1:16">
      <c r="A5249" s="3">
        <v>43941.794039351851</v>
      </c>
      <c r="B5249" s="4" t="str">
        <f>HYPERLINK("https://twitter.com/petrogustavo","@petrogustavo")</f>
        <v>@petrogustavo</v>
      </c>
      <c r="C5249" s="5" t="s">
        <v>16</v>
      </c>
      <c r="D5249" s="5" t="s">
        <v>5128</v>
      </c>
      <c r="E5249" s="6" t="str">
        <f>HYPERLINK("https://twitter.com/petrogustavo/status/1252228883199545347","1252228883199545347")</f>
        <v>1252228883199545347</v>
      </c>
      <c r="F5249" s="7" t="s">
        <v>17</v>
      </c>
      <c r="G5249" s="7">
        <v>3786108</v>
      </c>
      <c r="H5249" s="7">
        <v>2389</v>
      </c>
      <c r="I5249" s="7">
        <v>198</v>
      </c>
      <c r="J5249" s="7">
        <v>415</v>
      </c>
      <c r="K5249" s="7" t="s">
        <v>18</v>
      </c>
      <c r="L5249" s="8">
        <v>39987.315405092595</v>
      </c>
      <c r="M5249" s="9" t="s">
        <v>19</v>
      </c>
      <c r="N5249" s="9" t="s">
        <v>20</v>
      </c>
      <c r="O5249" s="6" t="str">
        <f>HYPERLINK("https://pbs.twimg.com/profile_images/962471262747529216/Uo8lOkRJ_normal.jpg","View")</f>
        <v>View</v>
      </c>
      <c r="P5249" s="7"/>
    </row>
    <row r="5250" spans="1:16">
      <c r="A5250" s="3">
        <v>43941.814907407403</v>
      </c>
      <c r="B5250" s="4" t="str">
        <f>HYPERLINK("https://twitter.com/petrogustavo","@petrogustavo")</f>
        <v>@petrogustavo</v>
      </c>
      <c r="C5250" s="5" t="s">
        <v>16</v>
      </c>
      <c r="D5250" s="5" t="s">
        <v>5129</v>
      </c>
      <c r="E5250" s="6" t="str">
        <f>HYPERLINK("https://twitter.com/petrogustavo/status/1252236445894336513","1252236445894336513")</f>
        <v>1252236445894336513</v>
      </c>
      <c r="F5250" s="7" t="s">
        <v>17</v>
      </c>
      <c r="G5250" s="7">
        <v>3786281</v>
      </c>
      <c r="H5250" s="7">
        <v>2390</v>
      </c>
      <c r="I5250" s="7">
        <v>126</v>
      </c>
      <c r="J5250" s="7">
        <v>353</v>
      </c>
      <c r="K5250" s="7" t="s">
        <v>18</v>
      </c>
      <c r="L5250" s="8">
        <v>39987.315405092595</v>
      </c>
      <c r="M5250" s="9" t="s">
        <v>19</v>
      </c>
      <c r="N5250" s="9" t="s">
        <v>20</v>
      </c>
      <c r="O5250" s="6" t="str">
        <f>HYPERLINK("https://pbs.twimg.com/profile_images/962471262747529216/Uo8lOkRJ_normal.jpg","View")</f>
        <v>View</v>
      </c>
      <c r="P5250" s="7"/>
    </row>
    <row r="5251" spans="1:16">
      <c r="A5251" s="3">
        <v>43941.819409722222</v>
      </c>
      <c r="B5251" s="4" t="str">
        <f>HYPERLINK("https://twitter.com/petrogustavo","@petrogustavo")</f>
        <v>@petrogustavo</v>
      </c>
      <c r="C5251" s="5" t="s">
        <v>16</v>
      </c>
      <c r="D5251" s="5" t="s">
        <v>5130</v>
      </c>
      <c r="E5251" s="6" t="str">
        <f>HYPERLINK("https://twitter.com/petrogustavo/status/1252238076195352576","1252238076195352576")</f>
        <v>1252238076195352576</v>
      </c>
      <c r="F5251" s="7" t="s">
        <v>17</v>
      </c>
      <c r="G5251" s="7">
        <v>3786281</v>
      </c>
      <c r="H5251" s="7">
        <v>2390</v>
      </c>
      <c r="I5251" s="7">
        <v>137</v>
      </c>
      <c r="J5251" s="7">
        <v>236</v>
      </c>
      <c r="K5251" s="7" t="s">
        <v>18</v>
      </c>
      <c r="L5251" s="8">
        <v>39987.315405092595</v>
      </c>
      <c r="M5251" s="9" t="s">
        <v>19</v>
      </c>
      <c r="N5251" s="9" t="s">
        <v>20</v>
      </c>
      <c r="O5251" s="6" t="str">
        <f>HYPERLINK("https://pbs.twimg.com/profile_images/962471262747529216/Uo8lOkRJ_normal.jpg","View")</f>
        <v>View</v>
      </c>
      <c r="P5251" s="7"/>
    </row>
    <row r="5252" spans="1:16">
      <c r="A5252" s="3">
        <v>43941.832071759258</v>
      </c>
      <c r="B5252" s="4" t="str">
        <f>HYPERLINK("https://twitter.com/petrogustavo","@petrogustavo")</f>
        <v>@petrogustavo</v>
      </c>
      <c r="C5252" s="5" t="s">
        <v>16</v>
      </c>
      <c r="D5252" s="5" t="s">
        <v>5131</v>
      </c>
      <c r="E5252" s="6" t="str">
        <f>HYPERLINK("https://twitter.com/petrogustavo/status/1252242664583565312","1252242664583565312")</f>
        <v>1252242664583565312</v>
      </c>
      <c r="F5252" s="7" t="s">
        <v>17</v>
      </c>
      <c r="G5252" s="7">
        <v>3786281</v>
      </c>
      <c r="H5252" s="7">
        <v>2390</v>
      </c>
      <c r="I5252" s="7">
        <v>301</v>
      </c>
      <c r="J5252" s="7">
        <v>0</v>
      </c>
      <c r="K5252" s="7" t="s">
        <v>18</v>
      </c>
      <c r="L5252" s="8">
        <v>39987.315405092595</v>
      </c>
      <c r="M5252" s="9" t="s">
        <v>19</v>
      </c>
      <c r="N5252" s="9" t="s">
        <v>20</v>
      </c>
      <c r="O5252" s="6" t="str">
        <f>HYPERLINK("https://pbs.twimg.com/profile_images/962471262747529216/Uo8lOkRJ_normal.jpg","View")</f>
        <v>View</v>
      </c>
      <c r="P5252" s="7"/>
    </row>
    <row r="5253" spans="1:16">
      <c r="A5253" s="3">
        <v>43941.835289351853</v>
      </c>
      <c r="B5253" s="4" t="str">
        <f>HYPERLINK("https://twitter.com/petrogustavo","@petrogustavo")</f>
        <v>@petrogustavo</v>
      </c>
      <c r="C5253" s="5" t="s">
        <v>16</v>
      </c>
      <c r="D5253" s="5" t="s">
        <v>5132</v>
      </c>
      <c r="E5253" s="6" t="str">
        <f>HYPERLINK("https://twitter.com/petrogustavo/status/1252243829769605122","1252243829769605122")</f>
        <v>1252243829769605122</v>
      </c>
      <c r="F5253" s="7" t="s">
        <v>17</v>
      </c>
      <c r="G5253" s="7">
        <v>3786281</v>
      </c>
      <c r="H5253" s="7">
        <v>2390</v>
      </c>
      <c r="I5253" s="7">
        <v>0</v>
      </c>
      <c r="J5253" s="7">
        <v>0</v>
      </c>
      <c r="K5253" s="7" t="s">
        <v>18</v>
      </c>
      <c r="L5253" s="8">
        <v>39987.315405092595</v>
      </c>
      <c r="M5253" s="9" t="s">
        <v>19</v>
      </c>
      <c r="N5253" s="9" t="s">
        <v>20</v>
      </c>
      <c r="O5253" s="6" t="str">
        <f>HYPERLINK("https://pbs.twimg.com/profile_images/962471262747529216/Uo8lOkRJ_normal.jpg","View")</f>
        <v>View</v>
      </c>
      <c r="P5253" s="7"/>
    </row>
    <row r="5254" spans="1:16">
      <c r="A5254" s="3">
        <v>43941.851840277777</v>
      </c>
      <c r="B5254" s="4" t="str">
        <f>HYPERLINK("https://twitter.com/petrogustavo","@petrogustavo")</f>
        <v>@petrogustavo</v>
      </c>
      <c r="C5254" s="5" t="s">
        <v>16</v>
      </c>
      <c r="D5254" s="5" t="s">
        <v>5133</v>
      </c>
      <c r="E5254" s="6" t="str">
        <f>HYPERLINK("https://twitter.com/petrogustavo/status/1252249830581248003","1252249830581248003")</f>
        <v>1252249830581248003</v>
      </c>
      <c r="F5254" s="7" t="s">
        <v>17</v>
      </c>
      <c r="G5254" s="7">
        <v>3786348</v>
      </c>
      <c r="H5254" s="7">
        <v>2390</v>
      </c>
      <c r="I5254" s="7">
        <v>5940</v>
      </c>
      <c r="J5254" s="7">
        <v>0</v>
      </c>
      <c r="K5254" s="7" t="s">
        <v>18</v>
      </c>
      <c r="L5254" s="8">
        <v>39987.315405092595</v>
      </c>
      <c r="M5254" s="9" t="s">
        <v>19</v>
      </c>
      <c r="N5254" s="9" t="s">
        <v>20</v>
      </c>
      <c r="O5254" s="6" t="str">
        <f>HYPERLINK("https://pbs.twimg.com/profile_images/962471262747529216/Uo8lOkRJ_normal.jpg","View")</f>
        <v>View</v>
      </c>
      <c r="P5254" s="7"/>
    </row>
    <row r="5255" spans="1:16">
      <c r="A5255" s="3">
        <v>43941.855370370366</v>
      </c>
      <c r="B5255" s="4" t="str">
        <f>HYPERLINK("https://twitter.com/petrogustavo","@petrogustavo")</f>
        <v>@petrogustavo</v>
      </c>
      <c r="C5255" s="5" t="s">
        <v>16</v>
      </c>
      <c r="D5255" s="5" t="s">
        <v>5134</v>
      </c>
      <c r="E5255" s="6" t="str">
        <f>HYPERLINK("https://twitter.com/petrogustavo/status/1252251107671375872","1252251107671375872")</f>
        <v>1252251107671375872</v>
      </c>
      <c r="F5255" s="7" t="s">
        <v>17</v>
      </c>
      <c r="G5255" s="7">
        <v>3786348</v>
      </c>
      <c r="H5255" s="7">
        <v>2390</v>
      </c>
      <c r="I5255" s="7">
        <v>9</v>
      </c>
      <c r="J5255" s="7">
        <v>15</v>
      </c>
      <c r="K5255" s="7" t="s">
        <v>18</v>
      </c>
      <c r="L5255" s="8">
        <v>39987.315405092595</v>
      </c>
      <c r="M5255" s="9" t="s">
        <v>19</v>
      </c>
      <c r="N5255" s="9" t="s">
        <v>20</v>
      </c>
      <c r="O5255" s="6" t="str">
        <f>HYPERLINK("https://pbs.twimg.com/profile_images/962471262747529216/Uo8lOkRJ_normal.jpg","View")</f>
        <v>View</v>
      </c>
      <c r="P5255" s="7"/>
    </row>
    <row r="5256" spans="1:16">
      <c r="A5256" s="3">
        <v>43941.8591087963</v>
      </c>
      <c r="B5256" s="4" t="str">
        <f>HYPERLINK("https://twitter.com/petrogustavo","@petrogustavo")</f>
        <v>@petrogustavo</v>
      </c>
      <c r="C5256" s="5" t="s">
        <v>16</v>
      </c>
      <c r="D5256" s="5" t="s">
        <v>5135</v>
      </c>
      <c r="E5256" s="6" t="str">
        <f>HYPERLINK("https://twitter.com/petrogustavo/status/1252252462507065349","1252252462507065349")</f>
        <v>1252252462507065349</v>
      </c>
      <c r="F5256" s="7" t="s">
        <v>17</v>
      </c>
      <c r="G5256" s="7">
        <v>3786406</v>
      </c>
      <c r="H5256" s="7">
        <v>2390</v>
      </c>
      <c r="I5256" s="7">
        <v>151</v>
      </c>
      <c r="J5256" s="7">
        <v>433</v>
      </c>
      <c r="K5256" s="7" t="s">
        <v>18</v>
      </c>
      <c r="L5256" s="8">
        <v>39987.315405092595</v>
      </c>
      <c r="M5256" s="9" t="s">
        <v>19</v>
      </c>
      <c r="N5256" s="9" t="s">
        <v>20</v>
      </c>
      <c r="O5256" s="6" t="str">
        <f>HYPERLINK("https://pbs.twimg.com/profile_images/962471262747529216/Uo8lOkRJ_normal.jpg","View")</f>
        <v>View</v>
      </c>
      <c r="P5256" s="7"/>
    </row>
    <row r="5257" spans="1:16">
      <c r="A5257" s="3">
        <v>43941.866608796292</v>
      </c>
      <c r="B5257" s="4" t="str">
        <f>HYPERLINK("https://twitter.com/petrogustavo","@petrogustavo")</f>
        <v>@petrogustavo</v>
      </c>
      <c r="C5257" s="5" t="s">
        <v>16</v>
      </c>
      <c r="D5257" s="5" t="s">
        <v>5136</v>
      </c>
      <c r="E5257" s="6" t="str">
        <f>HYPERLINK("https://twitter.com/petrogustavo/status/1252255181712101377","1252255181712101377")</f>
        <v>1252255181712101377</v>
      </c>
      <c r="F5257" s="7" t="s">
        <v>17</v>
      </c>
      <c r="G5257" s="7">
        <v>3786406</v>
      </c>
      <c r="H5257" s="7">
        <v>2390</v>
      </c>
      <c r="I5257" s="7">
        <v>86</v>
      </c>
      <c r="J5257" s="7">
        <v>225</v>
      </c>
      <c r="K5257" s="7" t="s">
        <v>18</v>
      </c>
      <c r="L5257" s="8">
        <v>39987.315405092595</v>
      </c>
      <c r="M5257" s="9" t="s">
        <v>19</v>
      </c>
      <c r="N5257" s="9" t="s">
        <v>20</v>
      </c>
      <c r="O5257" s="6" t="str">
        <f>HYPERLINK("https://pbs.twimg.com/profile_images/962471262747529216/Uo8lOkRJ_normal.jpg","View")</f>
        <v>View</v>
      </c>
      <c r="P5257" s="7"/>
    </row>
    <row r="5258" spans="1:16">
      <c r="A5258" s="3">
        <v>43941.86854166667</v>
      </c>
      <c r="B5258" s="4" t="str">
        <f>HYPERLINK("https://twitter.com/petrogustavo","@petrogustavo")</f>
        <v>@petrogustavo</v>
      </c>
      <c r="C5258" s="5" t="s">
        <v>16</v>
      </c>
      <c r="D5258" s="5" t="s">
        <v>5137</v>
      </c>
      <c r="E5258" s="6" t="str">
        <f>HYPERLINK("https://twitter.com/petrogustavo/status/1252255882156613635","1252255882156613635")</f>
        <v>1252255882156613635</v>
      </c>
      <c r="F5258" s="7" t="s">
        <v>17</v>
      </c>
      <c r="G5258" s="7">
        <v>3786406</v>
      </c>
      <c r="H5258" s="7">
        <v>2390</v>
      </c>
      <c r="I5258" s="7">
        <v>1654</v>
      </c>
      <c r="J5258" s="7">
        <v>0</v>
      </c>
      <c r="K5258" s="7" t="s">
        <v>18</v>
      </c>
      <c r="L5258" s="8">
        <v>39987.315405092595</v>
      </c>
      <c r="M5258" s="9" t="s">
        <v>19</v>
      </c>
      <c r="N5258" s="9" t="s">
        <v>20</v>
      </c>
      <c r="O5258" s="6" t="str">
        <f>HYPERLINK("https://pbs.twimg.com/profile_images/962471262747529216/Uo8lOkRJ_normal.jpg","View")</f>
        <v>View</v>
      </c>
      <c r="P5258" s="7"/>
    </row>
    <row r="5259" spans="1:16">
      <c r="A5259" s="3">
        <v>43941.895219907412</v>
      </c>
      <c r="B5259" s="4" t="str">
        <f>HYPERLINK("https://twitter.com/petrogustavo","@petrogustavo")</f>
        <v>@petrogustavo</v>
      </c>
      <c r="C5259" s="5" t="s">
        <v>16</v>
      </c>
      <c r="D5259" s="5" t="s">
        <v>5138</v>
      </c>
      <c r="E5259" s="6" t="str">
        <f>HYPERLINK("https://twitter.com/petrogustavo/status/1252265547221393410","1252265547221393410")</f>
        <v>1252265547221393410</v>
      </c>
      <c r="F5259" s="7" t="s">
        <v>17</v>
      </c>
      <c r="G5259" s="7">
        <v>3786475</v>
      </c>
      <c r="H5259" s="7">
        <v>2390</v>
      </c>
      <c r="I5259" s="7">
        <v>88</v>
      </c>
      <c r="J5259" s="7">
        <v>0</v>
      </c>
      <c r="K5259" s="7" t="s">
        <v>18</v>
      </c>
      <c r="L5259" s="8">
        <v>39987.315405092595</v>
      </c>
      <c r="M5259" s="9" t="s">
        <v>19</v>
      </c>
      <c r="N5259" s="9" t="s">
        <v>20</v>
      </c>
      <c r="O5259" s="6" t="str">
        <f>HYPERLINK("https://pbs.twimg.com/profile_images/962471262747529216/Uo8lOkRJ_normal.jpg","View")</f>
        <v>View</v>
      </c>
      <c r="P5259" s="7"/>
    </row>
    <row r="5260" spans="1:16">
      <c r="A5260" s="3">
        <v>43941.895787037036</v>
      </c>
      <c r="B5260" s="4" t="str">
        <f>HYPERLINK("https://twitter.com/petrogustavo","@petrogustavo")</f>
        <v>@petrogustavo</v>
      </c>
      <c r="C5260" s="5" t="s">
        <v>16</v>
      </c>
      <c r="D5260" s="5" t="s">
        <v>5139</v>
      </c>
      <c r="E5260" s="6" t="str">
        <f>HYPERLINK("https://twitter.com/petrogustavo/status/1252265753711173638","1252265753711173638")</f>
        <v>1252265753711173638</v>
      </c>
      <c r="F5260" s="7" t="s">
        <v>17</v>
      </c>
      <c r="G5260" s="7">
        <v>3786475</v>
      </c>
      <c r="H5260" s="7">
        <v>2390</v>
      </c>
      <c r="I5260" s="7">
        <v>14</v>
      </c>
      <c r="J5260" s="7">
        <v>0</v>
      </c>
      <c r="K5260" s="7" t="s">
        <v>18</v>
      </c>
      <c r="L5260" s="8">
        <v>39987.315405092595</v>
      </c>
      <c r="M5260" s="9" t="s">
        <v>19</v>
      </c>
      <c r="N5260" s="9" t="s">
        <v>20</v>
      </c>
      <c r="O5260" s="6" t="str">
        <f>HYPERLINK("https://pbs.twimg.com/profile_images/962471262747529216/Uo8lOkRJ_normal.jpg","View")</f>
        <v>View</v>
      </c>
      <c r="P5260" s="7"/>
    </row>
    <row r="5261" spans="1:16">
      <c r="A5261" s="3">
        <v>43941.896956018521</v>
      </c>
      <c r="B5261" s="4" t="str">
        <f>HYPERLINK("https://twitter.com/petrogustavo","@petrogustavo")</f>
        <v>@petrogustavo</v>
      </c>
      <c r="C5261" s="5" t="s">
        <v>16</v>
      </c>
      <c r="D5261" s="5" t="s">
        <v>5140</v>
      </c>
      <c r="E5261" s="6" t="str">
        <f>HYPERLINK("https://twitter.com/petrogustavo/status/1252266177260326912","1252266177260326912")</f>
        <v>1252266177260326912</v>
      </c>
      <c r="F5261" s="7" t="s">
        <v>17</v>
      </c>
      <c r="G5261" s="7">
        <v>3786475</v>
      </c>
      <c r="H5261" s="7">
        <v>2390</v>
      </c>
      <c r="I5261" s="7">
        <v>6</v>
      </c>
      <c r="J5261" s="7">
        <v>28</v>
      </c>
      <c r="K5261" s="7" t="s">
        <v>18</v>
      </c>
      <c r="L5261" s="8">
        <v>39987.315405092595</v>
      </c>
      <c r="M5261" s="9" t="s">
        <v>19</v>
      </c>
      <c r="N5261" s="9" t="s">
        <v>20</v>
      </c>
      <c r="O5261" s="6" t="str">
        <f>HYPERLINK("https://pbs.twimg.com/profile_images/962471262747529216/Uo8lOkRJ_normal.jpg","View")</f>
        <v>View</v>
      </c>
      <c r="P5261" s="7"/>
    </row>
    <row r="5262" spans="1:16">
      <c r="A5262" s="3">
        <v>43941.899224537032</v>
      </c>
      <c r="B5262" s="4" t="str">
        <f>HYPERLINK("https://twitter.com/petrogustavo","@petrogustavo")</f>
        <v>@petrogustavo</v>
      </c>
      <c r="C5262" s="5" t="s">
        <v>16</v>
      </c>
      <c r="D5262" s="5" t="s">
        <v>5141</v>
      </c>
      <c r="E5262" s="6" t="str">
        <f>HYPERLINK("https://twitter.com/petrogustavo/status/1252266999041925123","1252266999041925123")</f>
        <v>1252266999041925123</v>
      </c>
      <c r="F5262" s="7" t="s">
        <v>17</v>
      </c>
      <c r="G5262" s="7">
        <v>3786528</v>
      </c>
      <c r="H5262" s="7">
        <v>2390</v>
      </c>
      <c r="I5262" s="7">
        <v>62</v>
      </c>
      <c r="J5262" s="7">
        <v>0</v>
      </c>
      <c r="K5262" s="7" t="s">
        <v>18</v>
      </c>
      <c r="L5262" s="8">
        <v>39987.315405092595</v>
      </c>
      <c r="M5262" s="9" t="s">
        <v>19</v>
      </c>
      <c r="N5262" s="9" t="s">
        <v>20</v>
      </c>
      <c r="O5262" s="6" t="str">
        <f>HYPERLINK("https://pbs.twimg.com/profile_images/962471262747529216/Uo8lOkRJ_normal.jpg","View")</f>
        <v>View</v>
      </c>
      <c r="P5262" s="7"/>
    </row>
    <row r="5263" spans="1:16">
      <c r="A5263" s="3">
        <v>43941.902418981481</v>
      </c>
      <c r="B5263" s="4" t="str">
        <f>HYPERLINK("https://twitter.com/petrogustavo","@petrogustavo")</f>
        <v>@petrogustavo</v>
      </c>
      <c r="C5263" s="5" t="s">
        <v>16</v>
      </c>
      <c r="D5263" s="5" t="s">
        <v>5142</v>
      </c>
      <c r="E5263" s="6" t="str">
        <f>HYPERLINK("https://twitter.com/petrogustavo/status/1252268157844275202","1252268157844275202")</f>
        <v>1252268157844275202</v>
      </c>
      <c r="F5263" s="7" t="s">
        <v>17</v>
      </c>
      <c r="G5263" s="7">
        <v>3786528</v>
      </c>
      <c r="H5263" s="7">
        <v>2390</v>
      </c>
      <c r="I5263" s="7">
        <v>158</v>
      </c>
      <c r="J5263" s="7">
        <v>335</v>
      </c>
      <c r="K5263" s="7" t="s">
        <v>18</v>
      </c>
      <c r="L5263" s="8">
        <v>39987.315405092595</v>
      </c>
      <c r="M5263" s="9" t="s">
        <v>19</v>
      </c>
      <c r="N5263" s="9" t="s">
        <v>20</v>
      </c>
      <c r="O5263" s="6" t="str">
        <f>HYPERLINK("https://pbs.twimg.com/profile_images/962471262747529216/Uo8lOkRJ_normal.jpg","View")</f>
        <v>View</v>
      </c>
      <c r="P5263" s="7"/>
    </row>
    <row r="5264" spans="1:16">
      <c r="A5264" s="3">
        <v>43941.904861111107</v>
      </c>
      <c r="B5264" s="4" t="str">
        <f>HYPERLINK("https://twitter.com/petrogustavo","@petrogustavo")</f>
        <v>@petrogustavo</v>
      </c>
      <c r="C5264" s="5" t="s">
        <v>16</v>
      </c>
      <c r="D5264" s="5" t="s">
        <v>5143</v>
      </c>
      <c r="E5264" s="6" t="str">
        <f>HYPERLINK("https://twitter.com/petrogustavo/status/1252269042737590273","1252269042737590273")</f>
        <v>1252269042737590273</v>
      </c>
      <c r="F5264" s="7" t="s">
        <v>17</v>
      </c>
      <c r="G5264" s="7">
        <v>3786528</v>
      </c>
      <c r="H5264" s="7">
        <v>2390</v>
      </c>
      <c r="I5264" s="7">
        <v>250</v>
      </c>
      <c r="J5264" s="7">
        <v>613</v>
      </c>
      <c r="K5264" s="7" t="s">
        <v>18</v>
      </c>
      <c r="L5264" s="8">
        <v>39987.315405092595</v>
      </c>
      <c r="M5264" s="9" t="s">
        <v>19</v>
      </c>
      <c r="N5264" s="9" t="s">
        <v>20</v>
      </c>
      <c r="O5264" s="6" t="str">
        <f>HYPERLINK("https://pbs.twimg.com/profile_images/962471262747529216/Uo8lOkRJ_normal.jpg","View")</f>
        <v>View</v>
      </c>
      <c r="P5264" s="7"/>
    </row>
    <row r="5265" spans="1:16">
      <c r="A5265" s="3">
        <v>43941.956469907411</v>
      </c>
      <c r="B5265" s="4" t="str">
        <f>HYPERLINK("https://twitter.com/petrogustavo","@petrogustavo")</f>
        <v>@petrogustavo</v>
      </c>
      <c r="C5265" s="5" t="s">
        <v>16</v>
      </c>
      <c r="D5265" s="5" t="s">
        <v>5144</v>
      </c>
      <c r="E5265" s="6" t="str">
        <f>HYPERLINK("https://twitter.com/petrogustavo/status/1252287744526684162","1252287744526684162")</f>
        <v>1252287744526684162</v>
      </c>
      <c r="F5265" s="7" t="s">
        <v>17</v>
      </c>
      <c r="G5265" s="7">
        <v>3786686</v>
      </c>
      <c r="H5265" s="7">
        <v>2390</v>
      </c>
      <c r="I5265" s="7">
        <v>56</v>
      </c>
      <c r="J5265" s="7">
        <v>131</v>
      </c>
      <c r="K5265" s="7" t="s">
        <v>18</v>
      </c>
      <c r="L5265" s="8">
        <v>39987.315405092595</v>
      </c>
      <c r="M5265" s="9" t="s">
        <v>19</v>
      </c>
      <c r="N5265" s="9" t="s">
        <v>20</v>
      </c>
      <c r="O5265" s="6" t="str">
        <f>HYPERLINK("https://pbs.twimg.com/profile_images/962471262747529216/Uo8lOkRJ_normal.jpg","View")</f>
        <v>View</v>
      </c>
      <c r="P5265" s="7"/>
    </row>
    <row r="5266" spans="1:16">
      <c r="A5266" s="3">
        <v>43941.963240740741</v>
      </c>
      <c r="B5266" s="4" t="str">
        <f>HYPERLINK("https://twitter.com/petrogustavo","@petrogustavo")</f>
        <v>@petrogustavo</v>
      </c>
      <c r="C5266" s="5" t="s">
        <v>16</v>
      </c>
      <c r="D5266" s="5" t="s">
        <v>5145</v>
      </c>
      <c r="E5266" s="6" t="str">
        <f>HYPERLINK("https://twitter.com/petrogustavo/status/1252290200857911302","1252290200857911302")</f>
        <v>1252290200857911302</v>
      </c>
      <c r="F5266" s="7" t="s">
        <v>17</v>
      </c>
      <c r="G5266" s="7">
        <v>3786723</v>
      </c>
      <c r="H5266" s="7">
        <v>2390</v>
      </c>
      <c r="I5266" s="7">
        <v>364</v>
      </c>
      <c r="J5266" s="7">
        <v>793</v>
      </c>
      <c r="K5266" s="7" t="s">
        <v>18</v>
      </c>
      <c r="L5266" s="8">
        <v>39987.315405092595</v>
      </c>
      <c r="M5266" s="9" t="s">
        <v>19</v>
      </c>
      <c r="N5266" s="9" t="s">
        <v>20</v>
      </c>
      <c r="O5266" s="6" t="str">
        <f>HYPERLINK("https://pbs.twimg.com/profile_images/962471262747529216/Uo8lOkRJ_normal.jpg","View")</f>
        <v>View</v>
      </c>
      <c r="P5266" s="7"/>
    </row>
    <row r="5267" spans="1:16">
      <c r="A5267" s="3">
        <v>43941.97451388889</v>
      </c>
      <c r="B5267" s="4" t="str">
        <f>HYPERLINK("https://twitter.com/petrogustavo","@petrogustavo")</f>
        <v>@petrogustavo</v>
      </c>
      <c r="C5267" s="5" t="s">
        <v>16</v>
      </c>
      <c r="D5267" s="5" t="s">
        <v>5146</v>
      </c>
      <c r="E5267" s="6" t="str">
        <f>HYPERLINK("https://twitter.com/petrogustavo/status/1252294282855231492","1252294282855231492")</f>
        <v>1252294282855231492</v>
      </c>
      <c r="F5267" s="7" t="s">
        <v>17</v>
      </c>
      <c r="G5267" s="7">
        <v>3786723</v>
      </c>
      <c r="H5267" s="7">
        <v>2390</v>
      </c>
      <c r="I5267" s="7">
        <v>109</v>
      </c>
      <c r="J5267" s="7">
        <v>273</v>
      </c>
      <c r="K5267" s="7" t="s">
        <v>18</v>
      </c>
      <c r="L5267" s="8">
        <v>39987.315405092595</v>
      </c>
      <c r="M5267" s="9" t="s">
        <v>19</v>
      </c>
      <c r="N5267" s="9" t="s">
        <v>20</v>
      </c>
      <c r="O5267" s="6" t="str">
        <f>HYPERLINK("https://pbs.twimg.com/profile_images/962471262747529216/Uo8lOkRJ_normal.jpg","View")</f>
        <v>View</v>
      </c>
      <c r="P5267" s="7"/>
    </row>
    <row r="5268" spans="1:16">
      <c r="A5268" s="3">
        <v>43941.976307870369</v>
      </c>
      <c r="B5268" s="4" t="str">
        <f>HYPERLINK("https://twitter.com/petrogustavo","@petrogustavo")</f>
        <v>@petrogustavo</v>
      </c>
      <c r="C5268" s="5" t="s">
        <v>16</v>
      </c>
      <c r="D5268" s="5" t="s">
        <v>5147</v>
      </c>
      <c r="E5268" s="6" t="str">
        <f>HYPERLINK("https://twitter.com/petrogustavo/status/1252294936281694210","1252294936281694210")</f>
        <v>1252294936281694210</v>
      </c>
      <c r="F5268" s="7" t="s">
        <v>17</v>
      </c>
      <c r="G5268" s="7">
        <v>3786723</v>
      </c>
      <c r="H5268" s="7">
        <v>2390</v>
      </c>
      <c r="I5268" s="7">
        <v>97</v>
      </c>
      <c r="J5268" s="7">
        <v>298</v>
      </c>
      <c r="K5268" s="7" t="s">
        <v>18</v>
      </c>
      <c r="L5268" s="8">
        <v>39987.315405092595</v>
      </c>
      <c r="M5268" s="9" t="s">
        <v>19</v>
      </c>
      <c r="N5268" s="9" t="s">
        <v>20</v>
      </c>
      <c r="O5268" s="6" t="str">
        <f>HYPERLINK("https://pbs.twimg.com/profile_images/962471262747529216/Uo8lOkRJ_normal.jpg","View")</f>
        <v>View</v>
      </c>
      <c r="P5268" s="7"/>
    </row>
    <row r="5269" spans="1:16">
      <c r="A5269" s="3">
        <v>43942.007696759261</v>
      </c>
      <c r="B5269" s="4" t="str">
        <f>HYPERLINK("https://twitter.com/petrogustavo","@petrogustavo")</f>
        <v>@petrogustavo</v>
      </c>
      <c r="C5269" s="5" t="s">
        <v>16</v>
      </c>
      <c r="D5269" s="5" t="s">
        <v>5148</v>
      </c>
      <c r="E5269" s="6" t="str">
        <f>HYPERLINK("https://twitter.com/petrogustavo/status/1252306307178278912","1252306307178278912")</f>
        <v>1252306307178278912</v>
      </c>
      <c r="F5269" s="7" t="s">
        <v>17</v>
      </c>
      <c r="G5269" s="7">
        <v>3786765</v>
      </c>
      <c r="H5269" s="7">
        <v>2389</v>
      </c>
      <c r="I5269" s="7">
        <v>204</v>
      </c>
      <c r="J5269" s="7">
        <v>0</v>
      </c>
      <c r="K5269" s="7" t="s">
        <v>18</v>
      </c>
      <c r="L5269" s="8">
        <v>39987.315405092595</v>
      </c>
      <c r="M5269" s="9" t="s">
        <v>19</v>
      </c>
      <c r="N5269" s="9" t="s">
        <v>20</v>
      </c>
      <c r="O5269" s="6" t="str">
        <f>HYPERLINK("https://pbs.twimg.com/profile_images/962471262747529216/Uo8lOkRJ_normal.jpg","View")</f>
        <v>View</v>
      </c>
      <c r="P5269" s="7"/>
    </row>
    <row r="5270" spans="1:16">
      <c r="A5270" s="3">
        <v>43942.008368055554</v>
      </c>
      <c r="B5270" s="4" t="str">
        <f>HYPERLINK("https://twitter.com/petrogustavo","@petrogustavo")</f>
        <v>@petrogustavo</v>
      </c>
      <c r="C5270" s="5" t="s">
        <v>16</v>
      </c>
      <c r="D5270" s="5" t="s">
        <v>5149</v>
      </c>
      <c r="E5270" s="6" t="str">
        <f>HYPERLINK("https://twitter.com/petrogustavo/status/1252306553211928577","1252306553211928577")</f>
        <v>1252306553211928577</v>
      </c>
      <c r="F5270" s="7" t="s">
        <v>17</v>
      </c>
      <c r="G5270" s="7">
        <v>3786765</v>
      </c>
      <c r="H5270" s="7">
        <v>2389</v>
      </c>
      <c r="I5270" s="7">
        <v>569</v>
      </c>
      <c r="J5270" s="7">
        <v>1464</v>
      </c>
      <c r="K5270" s="7" t="s">
        <v>18</v>
      </c>
      <c r="L5270" s="8">
        <v>39987.315405092595</v>
      </c>
      <c r="M5270" s="9" t="s">
        <v>19</v>
      </c>
      <c r="N5270" s="9" t="s">
        <v>20</v>
      </c>
      <c r="O5270" s="6" t="str">
        <f>HYPERLINK("https://pbs.twimg.com/profile_images/962471262747529216/Uo8lOkRJ_normal.jpg","View")</f>
        <v>View</v>
      </c>
      <c r="P5270" s="7"/>
    </row>
    <row r="5271" spans="1:16">
      <c r="A5271" s="3">
        <v>43942.008680555555</v>
      </c>
      <c r="B5271" s="4" t="str">
        <f>HYPERLINK("https://twitter.com/petrogustavo","@petrogustavo")</f>
        <v>@petrogustavo</v>
      </c>
      <c r="C5271" s="5" t="s">
        <v>16</v>
      </c>
      <c r="D5271" s="5" t="s">
        <v>5150</v>
      </c>
      <c r="E5271" s="6" t="str">
        <f>HYPERLINK("https://twitter.com/petrogustavo/status/1252306665036283909","1252306665036283909")</f>
        <v>1252306665036283909</v>
      </c>
      <c r="F5271" s="7" t="s">
        <v>17</v>
      </c>
      <c r="G5271" s="7">
        <v>3786765</v>
      </c>
      <c r="H5271" s="7">
        <v>2389</v>
      </c>
      <c r="I5271" s="7">
        <v>34</v>
      </c>
      <c r="J5271" s="7">
        <v>0</v>
      </c>
      <c r="K5271" s="7" t="s">
        <v>18</v>
      </c>
      <c r="L5271" s="8">
        <v>39987.315405092595</v>
      </c>
      <c r="M5271" s="9" t="s">
        <v>19</v>
      </c>
      <c r="N5271" s="9" t="s">
        <v>20</v>
      </c>
      <c r="O5271" s="6" t="str">
        <f>HYPERLINK("https://pbs.twimg.com/profile_images/962471262747529216/Uo8lOkRJ_normal.jpg","View")</f>
        <v>View</v>
      </c>
      <c r="P5271" s="7"/>
    </row>
    <row r="5272" spans="1:16">
      <c r="A5272" s="3">
        <v>43942.010636574079</v>
      </c>
      <c r="B5272" s="4" t="str">
        <f>HYPERLINK("https://twitter.com/petrogustavo","@petrogustavo")</f>
        <v>@petrogustavo</v>
      </c>
      <c r="C5272" s="5" t="s">
        <v>16</v>
      </c>
      <c r="D5272" s="5" t="s">
        <v>5151</v>
      </c>
      <c r="E5272" s="6" t="str">
        <f>HYPERLINK("https://twitter.com/petrogustavo/status/1252307374188236800","1252307374188236800")</f>
        <v>1252307374188236800</v>
      </c>
      <c r="F5272" s="7" t="s">
        <v>17</v>
      </c>
      <c r="G5272" s="7">
        <v>3786765</v>
      </c>
      <c r="H5272" s="7">
        <v>2389</v>
      </c>
      <c r="I5272" s="7">
        <v>138</v>
      </c>
      <c r="J5272" s="7">
        <v>397</v>
      </c>
      <c r="K5272" s="7" t="s">
        <v>18</v>
      </c>
      <c r="L5272" s="8">
        <v>39987.315405092595</v>
      </c>
      <c r="M5272" s="9" t="s">
        <v>19</v>
      </c>
      <c r="N5272" s="9" t="s">
        <v>20</v>
      </c>
      <c r="O5272" s="6" t="str">
        <f>HYPERLINK("https://pbs.twimg.com/profile_images/962471262747529216/Uo8lOkRJ_normal.jpg","View")</f>
        <v>View</v>
      </c>
      <c r="P5272" s="7"/>
    </row>
    <row r="5273" spans="1:16">
      <c r="A5273" s="3">
        <v>43942.010937500003</v>
      </c>
      <c r="B5273" s="4" t="str">
        <f>HYPERLINK("https://twitter.com/petrogustavo","@petrogustavo")</f>
        <v>@petrogustavo</v>
      </c>
      <c r="C5273" s="5" t="s">
        <v>16</v>
      </c>
      <c r="D5273" s="5" t="s">
        <v>5152</v>
      </c>
      <c r="E5273" s="6" t="str">
        <f>HYPERLINK("https://twitter.com/petrogustavo/status/1252307484225736704","1252307484225736704")</f>
        <v>1252307484225736704</v>
      </c>
      <c r="F5273" s="7" t="s">
        <v>17</v>
      </c>
      <c r="G5273" s="7">
        <v>3786765</v>
      </c>
      <c r="H5273" s="7">
        <v>2389</v>
      </c>
      <c r="I5273" s="7">
        <v>491</v>
      </c>
      <c r="J5273" s="7">
        <v>0</v>
      </c>
      <c r="K5273" s="7" t="s">
        <v>18</v>
      </c>
      <c r="L5273" s="8">
        <v>39987.315405092595</v>
      </c>
      <c r="M5273" s="9" t="s">
        <v>19</v>
      </c>
      <c r="N5273" s="9" t="s">
        <v>20</v>
      </c>
      <c r="O5273" s="6" t="str">
        <f>HYPERLINK("https://pbs.twimg.com/profile_images/962471262747529216/Uo8lOkRJ_normal.jpg","View")</f>
        <v>View</v>
      </c>
      <c r="P5273" s="7"/>
    </row>
    <row r="5274" spans="1:16">
      <c r="A5274" s="3">
        <v>43942.191747685181</v>
      </c>
      <c r="B5274" s="4" t="str">
        <f>HYPERLINK("https://twitter.com/petrogustavo","@petrogustavo")</f>
        <v>@petrogustavo</v>
      </c>
      <c r="C5274" s="5" t="s">
        <v>16</v>
      </c>
      <c r="D5274" s="5" t="s">
        <v>5153</v>
      </c>
      <c r="E5274" s="6" t="str">
        <f>HYPERLINK("https://twitter.com/petrogustavo/status/1252373008787750912","1252373008787750912")</f>
        <v>1252373008787750912</v>
      </c>
      <c r="F5274" s="7" t="s">
        <v>17</v>
      </c>
      <c r="G5274" s="7">
        <v>3787353</v>
      </c>
      <c r="H5274" s="7">
        <v>2389</v>
      </c>
      <c r="I5274" s="7">
        <v>116</v>
      </c>
      <c r="J5274" s="7">
        <v>0</v>
      </c>
      <c r="K5274" s="7" t="s">
        <v>18</v>
      </c>
      <c r="L5274" s="8">
        <v>39987.315405092595</v>
      </c>
      <c r="M5274" s="9" t="s">
        <v>19</v>
      </c>
      <c r="N5274" s="9" t="s">
        <v>20</v>
      </c>
      <c r="O5274" s="6" t="str">
        <f>HYPERLINK("https://pbs.twimg.com/profile_images/962471262747529216/Uo8lOkRJ_normal.jpg","View")</f>
        <v>View</v>
      </c>
      <c r="P5274" s="7"/>
    </row>
    <row r="5275" spans="1:16">
      <c r="A5275" s="3">
        <v>43942.197337962964</v>
      </c>
      <c r="B5275" s="4" t="str">
        <f>HYPERLINK("https://twitter.com/petrogustavo","@petrogustavo")</f>
        <v>@petrogustavo</v>
      </c>
      <c r="C5275" s="5" t="s">
        <v>16</v>
      </c>
      <c r="D5275" s="5" t="s">
        <v>5154</v>
      </c>
      <c r="E5275" s="6" t="str">
        <f>HYPERLINK("https://twitter.com/petrogustavo/status/1252375034259050497","1252375034259050497")</f>
        <v>1252375034259050497</v>
      </c>
      <c r="F5275" s="7" t="s">
        <v>17</v>
      </c>
      <c r="G5275" s="7">
        <v>3787353</v>
      </c>
      <c r="H5275" s="7">
        <v>2389</v>
      </c>
      <c r="I5275" s="7">
        <v>68</v>
      </c>
      <c r="J5275" s="7">
        <v>0</v>
      </c>
      <c r="K5275" s="7" t="s">
        <v>18</v>
      </c>
      <c r="L5275" s="8">
        <v>39987.315405092595</v>
      </c>
      <c r="M5275" s="9" t="s">
        <v>19</v>
      </c>
      <c r="N5275" s="9" t="s">
        <v>20</v>
      </c>
      <c r="O5275" s="6" t="str">
        <f>HYPERLINK("https://pbs.twimg.com/profile_images/962471262747529216/Uo8lOkRJ_normal.jpg","View")</f>
        <v>View</v>
      </c>
      <c r="P5275" s="7"/>
    </row>
    <row r="5276" spans="1:16">
      <c r="A5276" s="3">
        <v>43942.199918981481</v>
      </c>
      <c r="B5276" s="4" t="str">
        <f>HYPERLINK("https://twitter.com/petrogustavo","@petrogustavo")</f>
        <v>@petrogustavo</v>
      </c>
      <c r="C5276" s="5" t="s">
        <v>16</v>
      </c>
      <c r="D5276" s="5" t="s">
        <v>5155</v>
      </c>
      <c r="E5276" s="6" t="str">
        <f>HYPERLINK("https://twitter.com/petrogustavo/status/1252375968166973440","1252375968166973440")</f>
        <v>1252375968166973440</v>
      </c>
      <c r="F5276" s="7" t="s">
        <v>17</v>
      </c>
      <c r="G5276" s="7">
        <v>3787353</v>
      </c>
      <c r="H5276" s="7">
        <v>2389</v>
      </c>
      <c r="I5276" s="7">
        <v>107</v>
      </c>
      <c r="J5276" s="7">
        <v>396</v>
      </c>
      <c r="K5276" s="7" t="s">
        <v>18</v>
      </c>
      <c r="L5276" s="8">
        <v>39987.315405092595</v>
      </c>
      <c r="M5276" s="9" t="s">
        <v>19</v>
      </c>
      <c r="N5276" s="9" t="s">
        <v>20</v>
      </c>
      <c r="O5276" s="6" t="str">
        <f>HYPERLINK("https://pbs.twimg.com/profile_images/962471262747529216/Uo8lOkRJ_normal.jpg","View")</f>
        <v>View</v>
      </c>
      <c r="P5276" s="7"/>
    </row>
    <row r="5277" spans="1:16">
      <c r="A5277" s="3">
        <v>43942.204259259262</v>
      </c>
      <c r="B5277" s="4" t="str">
        <f>HYPERLINK("https://twitter.com/petrogustavo","@petrogustavo")</f>
        <v>@petrogustavo</v>
      </c>
      <c r="C5277" s="5" t="s">
        <v>16</v>
      </c>
      <c r="D5277" s="5" t="s">
        <v>5156</v>
      </c>
      <c r="E5277" s="6" t="str">
        <f>HYPERLINK("https://twitter.com/petrogustavo/status/1252377541664313356","1252377541664313356")</f>
        <v>1252377541664313356</v>
      </c>
      <c r="F5277" s="7" t="s">
        <v>17</v>
      </c>
      <c r="G5277" s="7">
        <v>3787353</v>
      </c>
      <c r="H5277" s="7">
        <v>2389</v>
      </c>
      <c r="I5277" s="7">
        <v>110</v>
      </c>
      <c r="J5277" s="7">
        <v>263</v>
      </c>
      <c r="K5277" s="7" t="s">
        <v>18</v>
      </c>
      <c r="L5277" s="8">
        <v>39987.315405092595</v>
      </c>
      <c r="M5277" s="9" t="s">
        <v>19</v>
      </c>
      <c r="N5277" s="9" t="s">
        <v>20</v>
      </c>
      <c r="O5277" s="6" t="str">
        <f>HYPERLINK("https://pbs.twimg.com/profile_images/962471262747529216/Uo8lOkRJ_normal.jpg","View")</f>
        <v>View</v>
      </c>
      <c r="P5277" s="7"/>
    </row>
    <row r="5278" spans="1:16">
      <c r="A5278" s="3">
        <v>43942.20820601852</v>
      </c>
      <c r="B5278" s="4" t="str">
        <f>HYPERLINK("https://twitter.com/petrogustavo","@petrogustavo")</f>
        <v>@petrogustavo</v>
      </c>
      <c r="C5278" s="5" t="s">
        <v>16</v>
      </c>
      <c r="D5278" s="5" t="s">
        <v>5157</v>
      </c>
      <c r="E5278" s="6" t="str">
        <f>HYPERLINK("https://twitter.com/petrogustavo/status/1252378971456409602","1252378971456409602")</f>
        <v>1252378971456409602</v>
      </c>
      <c r="F5278" s="7" t="s">
        <v>17</v>
      </c>
      <c r="G5278" s="7">
        <v>3787353</v>
      </c>
      <c r="H5278" s="7">
        <v>2389</v>
      </c>
      <c r="I5278" s="7">
        <v>16</v>
      </c>
      <c r="J5278" s="7">
        <v>32</v>
      </c>
      <c r="K5278" s="7" t="s">
        <v>18</v>
      </c>
      <c r="L5278" s="8">
        <v>39987.315405092595</v>
      </c>
      <c r="M5278" s="9" t="s">
        <v>19</v>
      </c>
      <c r="N5278" s="9" t="s">
        <v>20</v>
      </c>
      <c r="O5278" s="6" t="str">
        <f>HYPERLINK("https://pbs.twimg.com/profile_images/962471262747529216/Uo8lOkRJ_normal.jpg","View")</f>
        <v>View</v>
      </c>
      <c r="P5278" s="7"/>
    </row>
    <row r="5279" spans="1:16">
      <c r="A5279" s="3">
        <v>43942.226898148147</v>
      </c>
      <c r="B5279" s="4" t="str">
        <f>HYPERLINK("https://twitter.com/petrogustavo","@petrogustavo")</f>
        <v>@petrogustavo</v>
      </c>
      <c r="C5279" s="5" t="s">
        <v>16</v>
      </c>
      <c r="D5279" s="5" t="s">
        <v>5158</v>
      </c>
      <c r="E5279" s="6" t="str">
        <f>HYPERLINK("https://twitter.com/petrogustavo/status/1252385744011722765","1252385744011722765")</f>
        <v>1252385744011722765</v>
      </c>
      <c r="F5279" s="7" t="s">
        <v>17</v>
      </c>
      <c r="G5279" s="7">
        <v>3787477</v>
      </c>
      <c r="H5279" s="7">
        <v>2389</v>
      </c>
      <c r="I5279" s="7">
        <v>4</v>
      </c>
      <c r="J5279" s="7">
        <v>18</v>
      </c>
      <c r="K5279" s="7" t="s">
        <v>18</v>
      </c>
      <c r="L5279" s="8">
        <v>39987.315405092595</v>
      </c>
      <c r="M5279" s="9" t="s">
        <v>19</v>
      </c>
      <c r="N5279" s="9" t="s">
        <v>20</v>
      </c>
      <c r="O5279" s="6" t="str">
        <f>HYPERLINK("https://pbs.twimg.com/profile_images/962471262747529216/Uo8lOkRJ_normal.jpg","View")</f>
        <v>View</v>
      </c>
      <c r="P5279" s="7"/>
    </row>
    <row r="5280" spans="1:16">
      <c r="A5280" s="3">
        <v>43942.242615740739</v>
      </c>
      <c r="B5280" s="4" t="str">
        <f>HYPERLINK("https://twitter.com/petrogustavo","@petrogustavo")</f>
        <v>@petrogustavo</v>
      </c>
      <c r="C5280" s="5" t="s">
        <v>16</v>
      </c>
      <c r="D5280" s="5" t="s">
        <v>5159</v>
      </c>
      <c r="E5280" s="6" t="str">
        <f>HYPERLINK("https://twitter.com/petrogustavo/status/1252391439591329800","1252391439591329800")</f>
        <v>1252391439591329800</v>
      </c>
      <c r="F5280" s="7" t="s">
        <v>17</v>
      </c>
      <c r="G5280" s="7">
        <v>3787589</v>
      </c>
      <c r="H5280" s="7">
        <v>2389</v>
      </c>
      <c r="I5280" s="7">
        <v>30</v>
      </c>
      <c r="J5280" s="7">
        <v>108</v>
      </c>
      <c r="K5280" s="7" t="s">
        <v>18</v>
      </c>
      <c r="L5280" s="8">
        <v>39987.315405092595</v>
      </c>
      <c r="M5280" s="9" t="s">
        <v>19</v>
      </c>
      <c r="N5280" s="9" t="s">
        <v>20</v>
      </c>
      <c r="O5280" s="6" t="str">
        <f>HYPERLINK("https://pbs.twimg.com/profile_images/962471262747529216/Uo8lOkRJ_normal.jpg","View")</f>
        <v>View</v>
      </c>
      <c r="P5280" s="7"/>
    </row>
    <row r="5281" spans="1:16">
      <c r="A5281" s="3">
        <v>43942.245706018519</v>
      </c>
      <c r="B5281" s="4" t="str">
        <f>HYPERLINK("https://twitter.com/petrogustavo","@petrogustavo")</f>
        <v>@petrogustavo</v>
      </c>
      <c r="C5281" s="5" t="s">
        <v>16</v>
      </c>
      <c r="D5281" s="5" t="s">
        <v>5160</v>
      </c>
      <c r="E5281" s="6" t="str">
        <f>HYPERLINK("https://twitter.com/petrogustavo/status/1252392560389062658","1252392560389062658")</f>
        <v>1252392560389062658</v>
      </c>
      <c r="F5281" s="7" t="s">
        <v>17</v>
      </c>
      <c r="G5281" s="7">
        <v>3787589</v>
      </c>
      <c r="H5281" s="7">
        <v>2389</v>
      </c>
      <c r="I5281" s="7">
        <v>19</v>
      </c>
      <c r="J5281" s="7">
        <v>74</v>
      </c>
      <c r="K5281" s="7" t="s">
        <v>18</v>
      </c>
      <c r="L5281" s="8">
        <v>39987.315405092595</v>
      </c>
      <c r="M5281" s="9" t="s">
        <v>19</v>
      </c>
      <c r="N5281" s="9" t="s">
        <v>20</v>
      </c>
      <c r="O5281" s="6" t="str">
        <f>HYPERLINK("https://pbs.twimg.com/profile_images/962471262747529216/Uo8lOkRJ_normal.jpg","View")</f>
        <v>View</v>
      </c>
      <c r="P5281" s="7"/>
    </row>
    <row r="5282" spans="1:16">
      <c r="A5282" s="3">
        <v>43942.255289351851</v>
      </c>
      <c r="B5282" s="4" t="str">
        <f>HYPERLINK("https://twitter.com/petrogustavo","@petrogustavo")</f>
        <v>@petrogustavo</v>
      </c>
      <c r="C5282" s="5" t="s">
        <v>16</v>
      </c>
      <c r="D5282" s="5" t="s">
        <v>5161</v>
      </c>
      <c r="E5282" s="6" t="str">
        <f>HYPERLINK("https://twitter.com/petrogustavo/status/1252396032924585986","1252396032924585986")</f>
        <v>1252396032924585986</v>
      </c>
      <c r="F5282" s="7" t="s">
        <v>17</v>
      </c>
      <c r="G5282" s="7">
        <v>3787689</v>
      </c>
      <c r="H5282" s="7">
        <v>2389</v>
      </c>
      <c r="I5282" s="7">
        <v>53</v>
      </c>
      <c r="J5282" s="7">
        <v>149</v>
      </c>
      <c r="K5282" s="7" t="s">
        <v>18</v>
      </c>
      <c r="L5282" s="8">
        <v>39987.315405092595</v>
      </c>
      <c r="M5282" s="9" t="s">
        <v>19</v>
      </c>
      <c r="N5282" s="9" t="s">
        <v>20</v>
      </c>
      <c r="O5282" s="6" t="str">
        <f>HYPERLINK("https://pbs.twimg.com/profile_images/962471262747529216/Uo8lOkRJ_normal.jpg","View")</f>
        <v>View</v>
      </c>
      <c r="P5282" s="7"/>
    </row>
    <row r="5283" spans="1:16">
      <c r="A5283" s="3">
        <v>43942.257534722223</v>
      </c>
      <c r="B5283" s="4" t="str">
        <f>HYPERLINK("https://twitter.com/petrogustavo","@petrogustavo")</f>
        <v>@petrogustavo</v>
      </c>
      <c r="C5283" s="5" t="s">
        <v>16</v>
      </c>
      <c r="D5283" s="5" t="s">
        <v>5162</v>
      </c>
      <c r="E5283" s="6" t="str">
        <f>HYPERLINK("https://twitter.com/petrogustavo/status/1252396848838356999","1252396848838356999")</f>
        <v>1252396848838356999</v>
      </c>
      <c r="F5283" s="7" t="s">
        <v>17</v>
      </c>
      <c r="G5283" s="7">
        <v>3787689</v>
      </c>
      <c r="H5283" s="7">
        <v>2389</v>
      </c>
      <c r="I5283" s="7">
        <v>40</v>
      </c>
      <c r="J5283" s="7">
        <v>120</v>
      </c>
      <c r="K5283" s="7" t="s">
        <v>18</v>
      </c>
      <c r="L5283" s="8">
        <v>39987.315405092595</v>
      </c>
      <c r="M5283" s="9" t="s">
        <v>19</v>
      </c>
      <c r="N5283" s="9" t="s">
        <v>20</v>
      </c>
      <c r="O5283" s="6" t="str">
        <f>HYPERLINK("https://pbs.twimg.com/profile_images/962471262747529216/Uo8lOkRJ_normal.jpg","View")</f>
        <v>View</v>
      </c>
      <c r="P5283" s="7"/>
    </row>
    <row r="5284" spans="1:16">
      <c r="A5284" s="3">
        <v>43942.274259259255</v>
      </c>
      <c r="B5284" s="4" t="str">
        <f>HYPERLINK("https://twitter.com/petrogustavo","@petrogustavo")</f>
        <v>@petrogustavo</v>
      </c>
      <c r="C5284" s="5" t="s">
        <v>16</v>
      </c>
      <c r="D5284" s="5" t="s">
        <v>5163</v>
      </c>
      <c r="E5284" s="6" t="str">
        <f>HYPERLINK("https://twitter.com/petrogustavo/status/1252402907850305537","1252402907850305537")</f>
        <v>1252402907850305537</v>
      </c>
      <c r="F5284" s="7" t="s">
        <v>17</v>
      </c>
      <c r="G5284" s="7">
        <v>3787772</v>
      </c>
      <c r="H5284" s="7">
        <v>2389</v>
      </c>
      <c r="I5284" s="7">
        <v>77</v>
      </c>
      <c r="J5284" s="7">
        <v>0</v>
      </c>
      <c r="K5284" s="7" t="s">
        <v>18</v>
      </c>
      <c r="L5284" s="8">
        <v>39987.315405092595</v>
      </c>
      <c r="M5284" s="9" t="s">
        <v>19</v>
      </c>
      <c r="N5284" s="9" t="s">
        <v>20</v>
      </c>
      <c r="O5284" s="6" t="str">
        <f>HYPERLINK("https://pbs.twimg.com/profile_images/962471262747529216/Uo8lOkRJ_normal.jpg","View")</f>
        <v>View</v>
      </c>
      <c r="P5284" s="7"/>
    </row>
    <row r="5285" spans="1:16">
      <c r="A5285" s="3">
        <v>43942.293229166666</v>
      </c>
      <c r="B5285" s="4" t="str">
        <f>HYPERLINK("https://twitter.com/petrogustavo","@petrogustavo")</f>
        <v>@petrogustavo</v>
      </c>
      <c r="C5285" s="5" t="s">
        <v>16</v>
      </c>
      <c r="D5285" s="5" t="s">
        <v>5164</v>
      </c>
      <c r="E5285" s="6" t="str">
        <f>HYPERLINK("https://twitter.com/petrogustavo/status/1252409781739851783","1252409781739851783")</f>
        <v>1252409781739851783</v>
      </c>
      <c r="F5285" s="7" t="s">
        <v>17</v>
      </c>
      <c r="G5285" s="7">
        <v>3787772</v>
      </c>
      <c r="H5285" s="7">
        <v>2389</v>
      </c>
      <c r="I5285" s="7">
        <v>23</v>
      </c>
      <c r="J5285" s="7">
        <v>0</v>
      </c>
      <c r="K5285" s="7" t="s">
        <v>18</v>
      </c>
      <c r="L5285" s="8">
        <v>39987.315405092595</v>
      </c>
      <c r="M5285" s="9" t="s">
        <v>19</v>
      </c>
      <c r="N5285" s="9" t="s">
        <v>20</v>
      </c>
      <c r="O5285" s="6" t="str">
        <f>HYPERLINK("https://pbs.twimg.com/profile_images/962471262747529216/Uo8lOkRJ_normal.jpg","View")</f>
        <v>View</v>
      </c>
      <c r="P5285" s="7"/>
    </row>
    <row r="5286" spans="1:16">
      <c r="A5286" s="3">
        <v>43942.309664351851</v>
      </c>
      <c r="B5286" s="4" t="str">
        <f>HYPERLINK("https://twitter.com/petrogustavo","@petrogustavo")</f>
        <v>@petrogustavo</v>
      </c>
      <c r="C5286" s="5" t="s">
        <v>16</v>
      </c>
      <c r="D5286" s="5" t="s">
        <v>5165</v>
      </c>
      <c r="E5286" s="6" t="str">
        <f>HYPERLINK("https://twitter.com/petrogustavo/status/1252415740503707649","1252415740503707649")</f>
        <v>1252415740503707649</v>
      </c>
      <c r="F5286" s="7" t="s">
        <v>21</v>
      </c>
      <c r="G5286" s="7">
        <v>3787844</v>
      </c>
      <c r="H5286" s="7">
        <v>2389</v>
      </c>
      <c r="I5286" s="7">
        <v>80</v>
      </c>
      <c r="J5286" s="7">
        <v>183</v>
      </c>
      <c r="K5286" s="7" t="s">
        <v>18</v>
      </c>
      <c r="L5286" s="8">
        <v>39987.315405092595</v>
      </c>
      <c r="M5286" s="9" t="s">
        <v>19</v>
      </c>
      <c r="N5286" s="9" t="s">
        <v>20</v>
      </c>
      <c r="O5286" s="6" t="str">
        <f>HYPERLINK("https://pbs.twimg.com/profile_images/962471262747529216/Uo8lOkRJ_normal.jpg","View")</f>
        <v>View</v>
      </c>
      <c r="P5286" s="7"/>
    </row>
    <row r="5287" spans="1:16">
      <c r="A5287" s="3">
        <v>43942.781053240746</v>
      </c>
      <c r="B5287" s="4" t="str">
        <f>HYPERLINK("https://twitter.com/petrogustavo","@petrogustavo")</f>
        <v>@petrogustavo</v>
      </c>
      <c r="C5287" s="5" t="s">
        <v>16</v>
      </c>
      <c r="D5287" s="5" t="s">
        <v>5166</v>
      </c>
      <c r="E5287" s="6" t="str">
        <f>HYPERLINK("https://twitter.com/petrogustavo/status/1252586565441855489","1252586565441855489")</f>
        <v>1252586565441855489</v>
      </c>
      <c r="F5287" s="7" t="s">
        <v>17</v>
      </c>
      <c r="G5287" s="7">
        <v>3788772</v>
      </c>
      <c r="H5287" s="7">
        <v>2390</v>
      </c>
      <c r="I5287" s="7">
        <v>74</v>
      </c>
      <c r="J5287" s="7">
        <v>140</v>
      </c>
      <c r="K5287" s="7" t="s">
        <v>18</v>
      </c>
      <c r="L5287" s="8">
        <v>39987.315405092595</v>
      </c>
      <c r="M5287" s="9" t="s">
        <v>19</v>
      </c>
      <c r="N5287" s="9" t="s">
        <v>20</v>
      </c>
      <c r="O5287" s="6" t="str">
        <f>HYPERLINK("https://pbs.twimg.com/profile_images/962471262747529216/Uo8lOkRJ_normal.jpg","View")</f>
        <v>View</v>
      </c>
      <c r="P5287" s="7"/>
    </row>
    <row r="5288" spans="1:16">
      <c r="A5288" s="3">
        <v>43942.786041666666</v>
      </c>
      <c r="B5288" s="4" t="str">
        <f>HYPERLINK("https://twitter.com/petrogustavo","@petrogustavo")</f>
        <v>@petrogustavo</v>
      </c>
      <c r="C5288" s="5" t="s">
        <v>16</v>
      </c>
      <c r="D5288" s="5" t="s">
        <v>5167</v>
      </c>
      <c r="E5288" s="6" t="str">
        <f>HYPERLINK("https://twitter.com/petrogustavo/status/1252588373451161602","1252588373451161602")</f>
        <v>1252588373451161602</v>
      </c>
      <c r="F5288" s="7" t="s">
        <v>17</v>
      </c>
      <c r="G5288" s="7">
        <v>3788772</v>
      </c>
      <c r="H5288" s="7">
        <v>2390</v>
      </c>
      <c r="I5288" s="7">
        <v>52</v>
      </c>
      <c r="J5288" s="7">
        <v>167</v>
      </c>
      <c r="K5288" s="7" t="s">
        <v>18</v>
      </c>
      <c r="L5288" s="8">
        <v>39987.315405092595</v>
      </c>
      <c r="M5288" s="9" t="s">
        <v>19</v>
      </c>
      <c r="N5288" s="9" t="s">
        <v>20</v>
      </c>
      <c r="O5288" s="6" t="str">
        <f>HYPERLINK("https://pbs.twimg.com/profile_images/962471262747529216/Uo8lOkRJ_normal.jpg","View")</f>
        <v>View</v>
      </c>
      <c r="P5288" s="7"/>
    </row>
    <row r="5289" spans="1:16">
      <c r="A5289" s="3">
        <v>43942.786215277782</v>
      </c>
      <c r="B5289" s="4" t="str">
        <f>HYPERLINK("https://twitter.com/petrogustavo","@petrogustavo")</f>
        <v>@petrogustavo</v>
      </c>
      <c r="C5289" s="5" t="s">
        <v>16</v>
      </c>
      <c r="D5289" s="5" t="s">
        <v>5168</v>
      </c>
      <c r="E5289" s="6" t="str">
        <f>HYPERLINK("https://twitter.com/petrogustavo/status/1252588436730662912","1252588436730662912")</f>
        <v>1252588436730662912</v>
      </c>
      <c r="F5289" s="7" t="s">
        <v>17</v>
      </c>
      <c r="G5289" s="7">
        <v>3788772</v>
      </c>
      <c r="H5289" s="7">
        <v>2390</v>
      </c>
      <c r="I5289" s="7">
        <v>156</v>
      </c>
      <c r="J5289" s="7">
        <v>0</v>
      </c>
      <c r="K5289" s="7" t="s">
        <v>18</v>
      </c>
      <c r="L5289" s="8">
        <v>39987.315405092595</v>
      </c>
      <c r="M5289" s="9" t="s">
        <v>19</v>
      </c>
      <c r="N5289" s="9" t="s">
        <v>20</v>
      </c>
      <c r="O5289" s="6" t="str">
        <f>HYPERLINK("https://pbs.twimg.com/profile_images/962471262747529216/Uo8lOkRJ_normal.jpg","View")</f>
        <v>View</v>
      </c>
      <c r="P5289" s="7"/>
    </row>
    <row r="5290" spans="1:16">
      <c r="A5290" s="3">
        <v>43942.793842592597</v>
      </c>
      <c r="B5290" s="4" t="str">
        <f>HYPERLINK("https://twitter.com/petrogustavo","@petrogustavo")</f>
        <v>@petrogustavo</v>
      </c>
      <c r="C5290" s="5" t="s">
        <v>16</v>
      </c>
      <c r="D5290" s="5" t="s">
        <v>5169</v>
      </c>
      <c r="E5290" s="6" t="str">
        <f>HYPERLINK("https://twitter.com/petrogustavo/status/1252591200902819841","1252591200902819841")</f>
        <v>1252591200902819841</v>
      </c>
      <c r="F5290" s="7" t="s">
        <v>17</v>
      </c>
      <c r="G5290" s="7">
        <v>3788845</v>
      </c>
      <c r="H5290" s="7">
        <v>2390</v>
      </c>
      <c r="I5290" s="7">
        <v>82</v>
      </c>
      <c r="J5290" s="7">
        <v>0</v>
      </c>
      <c r="K5290" s="7" t="s">
        <v>18</v>
      </c>
      <c r="L5290" s="8">
        <v>39987.315405092595</v>
      </c>
      <c r="M5290" s="9" t="s">
        <v>19</v>
      </c>
      <c r="N5290" s="9" t="s">
        <v>20</v>
      </c>
      <c r="O5290" s="6" t="str">
        <f>HYPERLINK("https://pbs.twimg.com/profile_images/962471262747529216/Uo8lOkRJ_normal.jpg","View")</f>
        <v>View</v>
      </c>
      <c r="P5290" s="7"/>
    </row>
    <row r="5291" spans="1:16">
      <c r="A5291" s="3">
        <v>43942.799027777779</v>
      </c>
      <c r="B5291" s="4" t="str">
        <f>HYPERLINK("https://twitter.com/petrogustavo","@petrogustavo")</f>
        <v>@petrogustavo</v>
      </c>
      <c r="C5291" s="5" t="s">
        <v>16</v>
      </c>
      <c r="D5291" s="5" t="s">
        <v>5170</v>
      </c>
      <c r="E5291" s="6" t="str">
        <f>HYPERLINK("https://twitter.com/petrogustavo/status/1252593078130655232","1252593078130655232")</f>
        <v>1252593078130655232</v>
      </c>
      <c r="F5291" s="7" t="s">
        <v>17</v>
      </c>
      <c r="G5291" s="7">
        <v>3788845</v>
      </c>
      <c r="H5291" s="7">
        <v>2390</v>
      </c>
      <c r="I5291" s="7">
        <v>115</v>
      </c>
      <c r="J5291" s="7">
        <v>0</v>
      </c>
      <c r="K5291" s="7" t="s">
        <v>18</v>
      </c>
      <c r="L5291" s="8">
        <v>39987.315405092595</v>
      </c>
      <c r="M5291" s="9" t="s">
        <v>19</v>
      </c>
      <c r="N5291" s="9" t="s">
        <v>20</v>
      </c>
      <c r="O5291" s="6" t="str">
        <f>HYPERLINK("https://pbs.twimg.com/profile_images/962471262747529216/Uo8lOkRJ_normal.jpg","View")</f>
        <v>View</v>
      </c>
      <c r="P5291" s="7"/>
    </row>
    <row r="5292" spans="1:16">
      <c r="A5292" s="3">
        <v>43942.803773148145</v>
      </c>
      <c r="B5292" s="4" t="str">
        <f>HYPERLINK("https://twitter.com/petrogustavo","@petrogustavo")</f>
        <v>@petrogustavo</v>
      </c>
      <c r="C5292" s="5" t="s">
        <v>16</v>
      </c>
      <c r="D5292" s="5" t="s">
        <v>5171</v>
      </c>
      <c r="E5292" s="6" t="str">
        <f>HYPERLINK("https://twitter.com/petrogustavo/status/1252594796553801728","1252594796553801728")</f>
        <v>1252594796553801728</v>
      </c>
      <c r="F5292" s="7" t="s">
        <v>17</v>
      </c>
      <c r="G5292" s="7">
        <v>3788845</v>
      </c>
      <c r="H5292" s="7">
        <v>2390</v>
      </c>
      <c r="I5292" s="7">
        <v>821</v>
      </c>
      <c r="J5292" s="7">
        <v>0</v>
      </c>
      <c r="K5292" s="7" t="s">
        <v>18</v>
      </c>
      <c r="L5292" s="8">
        <v>39987.315405092595</v>
      </c>
      <c r="M5292" s="9" t="s">
        <v>19</v>
      </c>
      <c r="N5292" s="9" t="s">
        <v>20</v>
      </c>
      <c r="O5292" s="6" t="str">
        <f>HYPERLINK("https://pbs.twimg.com/profile_images/962471262747529216/Uo8lOkRJ_normal.jpg","View")</f>
        <v>View</v>
      </c>
      <c r="P5292" s="7"/>
    </row>
    <row r="5293" spans="1:16">
      <c r="A5293" s="3">
        <v>43942.803877314815</v>
      </c>
      <c r="B5293" s="4" t="str">
        <f>HYPERLINK("https://twitter.com/petrogustavo","@petrogustavo")</f>
        <v>@petrogustavo</v>
      </c>
      <c r="C5293" s="5" t="s">
        <v>16</v>
      </c>
      <c r="D5293" s="5" t="s">
        <v>5172</v>
      </c>
      <c r="E5293" s="6" t="str">
        <f>HYPERLINK("https://twitter.com/petrogustavo/status/1252594834881249280","1252594834881249280")</f>
        <v>1252594834881249280</v>
      </c>
      <c r="F5293" s="7" t="s">
        <v>17</v>
      </c>
      <c r="G5293" s="7">
        <v>3788845</v>
      </c>
      <c r="H5293" s="7">
        <v>2390</v>
      </c>
      <c r="I5293" s="7">
        <v>757</v>
      </c>
      <c r="J5293" s="7">
        <v>0</v>
      </c>
      <c r="K5293" s="7" t="s">
        <v>18</v>
      </c>
      <c r="L5293" s="8">
        <v>39987.315405092595</v>
      </c>
      <c r="M5293" s="9" t="s">
        <v>19</v>
      </c>
      <c r="N5293" s="9" t="s">
        <v>20</v>
      </c>
      <c r="O5293" s="6" t="str">
        <f>HYPERLINK("https://pbs.twimg.com/profile_images/962471262747529216/Uo8lOkRJ_normal.jpg","View")</f>
        <v>View</v>
      </c>
      <c r="P5293" s="7"/>
    </row>
    <row r="5294" spans="1:16">
      <c r="A5294" s="3">
        <v>43942.820636574077</v>
      </c>
      <c r="B5294" s="4" t="str">
        <f>HYPERLINK("https://twitter.com/petrogustavo","@petrogustavo")</f>
        <v>@petrogustavo</v>
      </c>
      <c r="C5294" s="5" t="s">
        <v>16</v>
      </c>
      <c r="D5294" s="5" t="s">
        <v>5173</v>
      </c>
      <c r="E5294" s="6" t="str">
        <f>HYPERLINK("https://twitter.com/petrogustavo/status/1252600907344359424","1252600907344359424")</f>
        <v>1252600907344359424</v>
      </c>
      <c r="F5294" s="7" t="s">
        <v>17</v>
      </c>
      <c r="G5294" s="7">
        <v>3788930</v>
      </c>
      <c r="H5294" s="7">
        <v>2390</v>
      </c>
      <c r="I5294" s="7">
        <v>50</v>
      </c>
      <c r="J5294" s="7">
        <v>0</v>
      </c>
      <c r="K5294" s="7" t="s">
        <v>18</v>
      </c>
      <c r="L5294" s="8">
        <v>39987.315405092595</v>
      </c>
      <c r="M5294" s="9" t="s">
        <v>19</v>
      </c>
      <c r="N5294" s="9" t="s">
        <v>20</v>
      </c>
      <c r="O5294" s="6" t="str">
        <f>HYPERLINK("https://pbs.twimg.com/profile_images/962471262747529216/Uo8lOkRJ_normal.jpg","View")</f>
        <v>View</v>
      </c>
      <c r="P5294" s="7"/>
    </row>
    <row r="5295" spans="1:16">
      <c r="A5295" s="3">
        <v>43942.837812500002</v>
      </c>
      <c r="B5295" s="4" t="str">
        <f>HYPERLINK("https://twitter.com/petrogustavo","@petrogustavo")</f>
        <v>@petrogustavo</v>
      </c>
      <c r="C5295" s="5" t="s">
        <v>16</v>
      </c>
      <c r="D5295" s="5" t="s">
        <v>5171</v>
      </c>
      <c r="E5295" s="6" t="str">
        <f>HYPERLINK("https://twitter.com/petrogustavo/status/1252607133922799619","1252607133922799619")</f>
        <v>1252607133922799619</v>
      </c>
      <c r="F5295" s="7" t="s">
        <v>17</v>
      </c>
      <c r="G5295" s="7">
        <v>3788976</v>
      </c>
      <c r="H5295" s="7">
        <v>2390</v>
      </c>
      <c r="I5295" s="7">
        <v>862</v>
      </c>
      <c r="J5295" s="7">
        <v>0</v>
      </c>
      <c r="K5295" s="7" t="s">
        <v>18</v>
      </c>
      <c r="L5295" s="8">
        <v>39987.315405092595</v>
      </c>
      <c r="M5295" s="9" t="s">
        <v>19</v>
      </c>
      <c r="N5295" s="9" t="s">
        <v>20</v>
      </c>
      <c r="O5295" s="6" t="str">
        <f>HYPERLINK("https://pbs.twimg.com/profile_images/962471262747529216/Uo8lOkRJ_normal.jpg","View")</f>
        <v>View</v>
      </c>
      <c r="P5295" s="7"/>
    </row>
    <row r="5296" spans="1:16">
      <c r="A5296" s="3">
        <v>43942.83793981481</v>
      </c>
      <c r="B5296" s="4" t="str">
        <f>HYPERLINK("https://twitter.com/petrogustavo","@petrogustavo")</f>
        <v>@petrogustavo</v>
      </c>
      <c r="C5296" s="5" t="s">
        <v>16</v>
      </c>
      <c r="D5296" s="5" t="s">
        <v>5172</v>
      </c>
      <c r="E5296" s="6" t="str">
        <f>HYPERLINK("https://twitter.com/petrogustavo/status/1252607177979764736","1252607177979764736")</f>
        <v>1252607177979764736</v>
      </c>
      <c r="F5296" s="7" t="s">
        <v>17</v>
      </c>
      <c r="G5296" s="7">
        <v>3788976</v>
      </c>
      <c r="H5296" s="7">
        <v>2390</v>
      </c>
      <c r="I5296" s="7">
        <v>813</v>
      </c>
      <c r="J5296" s="7">
        <v>0</v>
      </c>
      <c r="K5296" s="7" t="s">
        <v>18</v>
      </c>
      <c r="L5296" s="8">
        <v>39987.315405092595</v>
      </c>
      <c r="M5296" s="9" t="s">
        <v>19</v>
      </c>
      <c r="N5296" s="9" t="s">
        <v>20</v>
      </c>
      <c r="O5296" s="6" t="str">
        <f>HYPERLINK("https://pbs.twimg.com/profile_images/962471262747529216/Uo8lOkRJ_normal.jpg","View")</f>
        <v>View</v>
      </c>
      <c r="P5296" s="7"/>
    </row>
    <row r="5297" spans="1:16">
      <c r="A5297" s="3">
        <v>43942.94699074074</v>
      </c>
      <c r="B5297" s="4" t="str">
        <f>HYPERLINK("https://twitter.com/petrogustavo","@petrogustavo")</f>
        <v>@petrogustavo</v>
      </c>
      <c r="C5297" s="5" t="s">
        <v>16</v>
      </c>
      <c r="D5297" s="5" t="s">
        <v>5174</v>
      </c>
      <c r="E5297" s="6" t="str">
        <f>HYPERLINK("https://twitter.com/petrogustavo/status/1252646696242294786","1252646696242294786")</f>
        <v>1252646696242294786</v>
      </c>
      <c r="F5297" s="7" t="s">
        <v>17</v>
      </c>
      <c r="G5297" s="7">
        <v>3789335</v>
      </c>
      <c r="H5297" s="7">
        <v>2390</v>
      </c>
      <c r="I5297" s="7">
        <v>303</v>
      </c>
      <c r="J5297" s="7">
        <v>797</v>
      </c>
      <c r="K5297" s="7" t="s">
        <v>18</v>
      </c>
      <c r="L5297" s="8">
        <v>39987.315405092595</v>
      </c>
      <c r="M5297" s="9" t="s">
        <v>19</v>
      </c>
      <c r="N5297" s="9" t="s">
        <v>20</v>
      </c>
      <c r="O5297" s="6" t="str">
        <f>HYPERLINK("https://pbs.twimg.com/profile_images/962471262747529216/Uo8lOkRJ_normal.jpg","View")</f>
        <v>View</v>
      </c>
      <c r="P5297" s="7"/>
    </row>
    <row r="5298" spans="1:16">
      <c r="A5298" s="3">
        <v>43943.324062500003</v>
      </c>
      <c r="B5298" s="4" t="str">
        <f>HYPERLINK("https://twitter.com/petrogustavo","@petrogustavo")</f>
        <v>@petrogustavo</v>
      </c>
      <c r="C5298" s="5" t="s">
        <v>16</v>
      </c>
      <c r="D5298" s="5" t="s">
        <v>5175</v>
      </c>
      <c r="E5298" s="6" t="str">
        <f>HYPERLINK("https://twitter.com/petrogustavo/status/1252783342895972357","1252783342895972357")</f>
        <v>1252783342895972357</v>
      </c>
      <c r="F5298" s="7" t="s">
        <v>17</v>
      </c>
      <c r="G5298" s="7">
        <v>3790510</v>
      </c>
      <c r="H5298" s="7">
        <v>2389</v>
      </c>
      <c r="I5298" s="7">
        <v>185</v>
      </c>
      <c r="J5298" s="7">
        <v>487</v>
      </c>
      <c r="K5298" s="7" t="s">
        <v>18</v>
      </c>
      <c r="L5298" s="8">
        <v>39987.315405092595</v>
      </c>
      <c r="M5298" s="9" t="s">
        <v>19</v>
      </c>
      <c r="N5298" s="9" t="s">
        <v>20</v>
      </c>
      <c r="O5298" s="6" t="str">
        <f>HYPERLINK("https://pbs.twimg.com/profile_images/962471262747529216/Uo8lOkRJ_normal.jpg","View")</f>
        <v>View</v>
      </c>
      <c r="P5298" s="7"/>
    </row>
    <row r="5299" spans="1:16">
      <c r="A5299" s="3">
        <v>43943.718611111108</v>
      </c>
      <c r="B5299" s="4" t="str">
        <f>HYPERLINK("https://twitter.com/petrogustavo","@petrogustavo")</f>
        <v>@petrogustavo</v>
      </c>
      <c r="C5299" s="5" t="s">
        <v>16</v>
      </c>
      <c r="D5299" s="5" t="s">
        <v>5176</v>
      </c>
      <c r="E5299" s="6" t="str">
        <f>HYPERLINK("https://twitter.com/petrogustavo/status/1252926325851111424","1252926325851111424")</f>
        <v>1252926325851111424</v>
      </c>
      <c r="F5299" s="7" t="s">
        <v>21</v>
      </c>
      <c r="G5299" s="7">
        <v>3791146</v>
      </c>
      <c r="H5299" s="7">
        <v>2388</v>
      </c>
      <c r="I5299" s="7">
        <v>114</v>
      </c>
      <c r="J5299" s="7">
        <v>238</v>
      </c>
      <c r="K5299" s="7" t="s">
        <v>18</v>
      </c>
      <c r="L5299" s="8">
        <v>39987.315405092595</v>
      </c>
      <c r="M5299" s="9" t="s">
        <v>19</v>
      </c>
      <c r="N5299" s="9" t="s">
        <v>20</v>
      </c>
      <c r="O5299" s="6" t="str">
        <f>HYPERLINK("https://pbs.twimg.com/profile_images/962471262747529216/Uo8lOkRJ_normal.jpg","View")</f>
        <v>View</v>
      </c>
      <c r="P5299" s="7"/>
    </row>
    <row r="5300" spans="1:16">
      <c r="A5300" s="3">
        <v>43943.727893518517</v>
      </c>
      <c r="B5300" s="4" t="str">
        <f>HYPERLINK("https://twitter.com/petrogustavo","@petrogustavo")</f>
        <v>@petrogustavo</v>
      </c>
      <c r="C5300" s="5" t="s">
        <v>16</v>
      </c>
      <c r="D5300" s="5" t="s">
        <v>5177</v>
      </c>
      <c r="E5300" s="6" t="str">
        <f>HYPERLINK("https://twitter.com/petrogustavo/status/1252929688089042945","1252929688089042945")</f>
        <v>1252929688089042945</v>
      </c>
      <c r="F5300" s="7" t="s">
        <v>32</v>
      </c>
      <c r="G5300" s="7">
        <v>3791146</v>
      </c>
      <c r="H5300" s="7">
        <v>2388</v>
      </c>
      <c r="I5300" s="7">
        <v>192</v>
      </c>
      <c r="J5300" s="7">
        <v>0</v>
      </c>
      <c r="K5300" s="7" t="s">
        <v>18</v>
      </c>
      <c r="L5300" s="8">
        <v>39987.315405092595</v>
      </c>
      <c r="M5300" s="9" t="s">
        <v>19</v>
      </c>
      <c r="N5300" s="9" t="s">
        <v>20</v>
      </c>
      <c r="O5300" s="6" t="str">
        <f>HYPERLINK("https://pbs.twimg.com/profile_images/962471262747529216/Uo8lOkRJ_normal.jpg","View")</f>
        <v>View</v>
      </c>
      <c r="P5300" s="7"/>
    </row>
    <row r="5301" spans="1:16">
      <c r="A5301" s="3">
        <v>43943.728159722217</v>
      </c>
      <c r="B5301" s="4" t="str">
        <f>HYPERLINK("https://twitter.com/petrogustavo","@petrogustavo")</f>
        <v>@petrogustavo</v>
      </c>
      <c r="C5301" s="5" t="s">
        <v>16</v>
      </c>
      <c r="D5301" s="5" t="s">
        <v>5178</v>
      </c>
      <c r="E5301" s="6" t="str">
        <f>HYPERLINK("https://twitter.com/petrogustavo/status/1252929786030276608","1252929786030276608")</f>
        <v>1252929786030276608</v>
      </c>
      <c r="F5301" s="7" t="s">
        <v>32</v>
      </c>
      <c r="G5301" s="7">
        <v>3791146</v>
      </c>
      <c r="H5301" s="7">
        <v>2388</v>
      </c>
      <c r="I5301" s="7">
        <v>1045</v>
      </c>
      <c r="J5301" s="7">
        <v>0</v>
      </c>
      <c r="K5301" s="7" t="s">
        <v>18</v>
      </c>
      <c r="L5301" s="8">
        <v>39987.315405092595</v>
      </c>
      <c r="M5301" s="9" t="s">
        <v>19</v>
      </c>
      <c r="N5301" s="9" t="s">
        <v>20</v>
      </c>
      <c r="O5301" s="6" t="str">
        <f>HYPERLINK("https://pbs.twimg.com/profile_images/962471262747529216/Uo8lOkRJ_normal.jpg","View")</f>
        <v>View</v>
      </c>
      <c r="P5301" s="7"/>
    </row>
    <row r="5302" spans="1:16">
      <c r="A5302" s="3">
        <v>43943.72819444444</v>
      </c>
      <c r="B5302" s="4" t="str">
        <f>HYPERLINK("https://twitter.com/petrogustavo","@petrogustavo")</f>
        <v>@petrogustavo</v>
      </c>
      <c r="C5302" s="5" t="s">
        <v>16</v>
      </c>
      <c r="D5302" s="5" t="s">
        <v>5179</v>
      </c>
      <c r="E5302" s="6" t="str">
        <f>HYPERLINK("https://twitter.com/petrogustavo/status/1252929798743240705","1252929798743240705")</f>
        <v>1252929798743240705</v>
      </c>
      <c r="F5302" s="7" t="s">
        <v>32</v>
      </c>
      <c r="G5302" s="7">
        <v>3791146</v>
      </c>
      <c r="H5302" s="7">
        <v>2388</v>
      </c>
      <c r="I5302" s="7">
        <v>114</v>
      </c>
      <c r="J5302" s="7">
        <v>0</v>
      </c>
      <c r="K5302" s="7" t="s">
        <v>18</v>
      </c>
      <c r="L5302" s="8">
        <v>39987.315405092595</v>
      </c>
      <c r="M5302" s="9" t="s">
        <v>19</v>
      </c>
      <c r="N5302" s="9" t="s">
        <v>20</v>
      </c>
      <c r="O5302" s="6" t="str">
        <f>HYPERLINK("https://pbs.twimg.com/profile_images/962471262747529216/Uo8lOkRJ_normal.jpg","View")</f>
        <v>View</v>
      </c>
      <c r="P5302" s="7"/>
    </row>
    <row r="5303" spans="1:16">
      <c r="A5303" s="3">
        <v>43943.809583333335</v>
      </c>
      <c r="B5303" s="4" t="str">
        <f>HYPERLINK("https://twitter.com/petrogustavo","@petrogustavo")</f>
        <v>@petrogustavo</v>
      </c>
      <c r="C5303" s="5" t="s">
        <v>16</v>
      </c>
      <c r="D5303" s="5" t="s">
        <v>5180</v>
      </c>
      <c r="E5303" s="6" t="str">
        <f>HYPERLINK("https://twitter.com/petrogustavo/status/1252959289427329024","1252959289427329024")</f>
        <v>1252959289427329024</v>
      </c>
      <c r="F5303" s="7" t="s">
        <v>17</v>
      </c>
      <c r="G5303" s="7">
        <v>3791380</v>
      </c>
      <c r="H5303" s="7">
        <v>2389</v>
      </c>
      <c r="I5303" s="7">
        <v>108</v>
      </c>
      <c r="J5303" s="7">
        <v>355</v>
      </c>
      <c r="K5303" s="7" t="s">
        <v>18</v>
      </c>
      <c r="L5303" s="8">
        <v>39987.315405092595</v>
      </c>
      <c r="M5303" s="9" t="s">
        <v>19</v>
      </c>
      <c r="N5303" s="9" t="s">
        <v>20</v>
      </c>
      <c r="O5303" s="6" t="str">
        <f>HYPERLINK("https://pbs.twimg.com/profile_images/962471262747529216/Uo8lOkRJ_normal.jpg","View")</f>
        <v>View</v>
      </c>
      <c r="P5303" s="7"/>
    </row>
    <row r="5304" spans="1:16">
      <c r="A5304" s="3">
        <v>43943.852789351848</v>
      </c>
      <c r="B5304" s="4" t="str">
        <f>HYPERLINK("https://twitter.com/petrogustavo","@petrogustavo")</f>
        <v>@petrogustavo</v>
      </c>
      <c r="C5304" s="5" t="s">
        <v>16</v>
      </c>
      <c r="D5304" s="5" t="s">
        <v>5181</v>
      </c>
      <c r="E5304" s="6" t="str">
        <f>HYPERLINK("https://twitter.com/petrogustavo/status/1252974949733740546","1252974949733740546")</f>
        <v>1252974949733740546</v>
      </c>
      <c r="F5304" s="7" t="s">
        <v>17</v>
      </c>
      <c r="G5304" s="7">
        <v>3791514</v>
      </c>
      <c r="H5304" s="7">
        <v>2389</v>
      </c>
      <c r="I5304" s="7">
        <v>112</v>
      </c>
      <c r="J5304" s="7">
        <v>356</v>
      </c>
      <c r="K5304" s="7" t="s">
        <v>18</v>
      </c>
      <c r="L5304" s="8">
        <v>39987.315405092595</v>
      </c>
      <c r="M5304" s="9" t="s">
        <v>19</v>
      </c>
      <c r="N5304" s="9" t="s">
        <v>20</v>
      </c>
      <c r="O5304" s="6" t="str">
        <f>HYPERLINK("https://pbs.twimg.com/profile_images/962471262747529216/Uo8lOkRJ_normal.jpg","View")</f>
        <v>View</v>
      </c>
      <c r="P5304" s="7"/>
    </row>
    <row r="5305" spans="1:16">
      <c r="A5305" s="3">
        <v>43943.917569444442</v>
      </c>
      <c r="B5305" s="4" t="str">
        <f>HYPERLINK("https://twitter.com/petrogustavo","@petrogustavo")</f>
        <v>@petrogustavo</v>
      </c>
      <c r="C5305" s="5" t="s">
        <v>16</v>
      </c>
      <c r="D5305" s="5" t="s">
        <v>5182</v>
      </c>
      <c r="E5305" s="6" t="str">
        <f>HYPERLINK("https://twitter.com/petrogustavo/status/1252998423692926976","1252998423692926976")</f>
        <v>1252998423692926976</v>
      </c>
      <c r="F5305" s="7" t="s">
        <v>17</v>
      </c>
      <c r="G5305" s="7">
        <v>3791723</v>
      </c>
      <c r="H5305" s="7">
        <v>2389</v>
      </c>
      <c r="I5305" s="7">
        <v>14</v>
      </c>
      <c r="J5305" s="7">
        <v>25</v>
      </c>
      <c r="K5305" s="7" t="s">
        <v>18</v>
      </c>
      <c r="L5305" s="8">
        <v>39987.315405092595</v>
      </c>
      <c r="M5305" s="9" t="s">
        <v>19</v>
      </c>
      <c r="N5305" s="9" t="s">
        <v>20</v>
      </c>
      <c r="O5305" s="6" t="str">
        <f>HYPERLINK("https://pbs.twimg.com/profile_images/962471262747529216/Uo8lOkRJ_normal.jpg","View")</f>
        <v>View</v>
      </c>
      <c r="P5305" s="7"/>
    </row>
    <row r="5306" spans="1:16">
      <c r="A5306" s="3">
        <v>43943.949166666665</v>
      </c>
      <c r="B5306" s="4" t="str">
        <f>HYPERLINK("https://twitter.com/petrogustavo","@petrogustavo")</f>
        <v>@petrogustavo</v>
      </c>
      <c r="C5306" s="5" t="s">
        <v>16</v>
      </c>
      <c r="D5306" s="5" t="s">
        <v>5183</v>
      </c>
      <c r="E5306" s="6" t="str">
        <f>HYPERLINK("https://twitter.com/petrogustavo/status/1253009876416180227","1253009876416180227")</f>
        <v>1253009876416180227</v>
      </c>
      <c r="F5306" s="7" t="s">
        <v>17</v>
      </c>
      <c r="G5306" s="7">
        <v>3791862</v>
      </c>
      <c r="H5306" s="7">
        <v>2390</v>
      </c>
      <c r="I5306" s="7">
        <v>224</v>
      </c>
      <c r="J5306" s="7">
        <v>0</v>
      </c>
      <c r="K5306" s="7" t="s">
        <v>18</v>
      </c>
      <c r="L5306" s="8">
        <v>39987.315405092595</v>
      </c>
      <c r="M5306" s="9" t="s">
        <v>19</v>
      </c>
      <c r="N5306" s="9" t="s">
        <v>20</v>
      </c>
      <c r="O5306" s="6" t="str">
        <f>HYPERLINK("https://pbs.twimg.com/profile_images/962471262747529216/Uo8lOkRJ_normal.jpg","View")</f>
        <v>View</v>
      </c>
      <c r="P5306" s="7"/>
    </row>
    <row r="5307" spans="1:16">
      <c r="A5307" s="3">
        <v>43943.949953703705</v>
      </c>
      <c r="B5307" s="4" t="str">
        <f>HYPERLINK("https://twitter.com/petrogustavo","@petrogustavo")</f>
        <v>@petrogustavo</v>
      </c>
      <c r="C5307" s="5" t="s">
        <v>16</v>
      </c>
      <c r="D5307" s="5" t="s">
        <v>5184</v>
      </c>
      <c r="E5307" s="6" t="str">
        <f>HYPERLINK("https://twitter.com/petrogustavo/status/1253010160324415488","1253010160324415488")</f>
        <v>1253010160324415488</v>
      </c>
      <c r="F5307" s="7" t="s">
        <v>17</v>
      </c>
      <c r="G5307" s="7">
        <v>3791862</v>
      </c>
      <c r="H5307" s="7">
        <v>2390</v>
      </c>
      <c r="I5307" s="7">
        <v>23</v>
      </c>
      <c r="J5307" s="7">
        <v>0</v>
      </c>
      <c r="K5307" s="7" t="s">
        <v>18</v>
      </c>
      <c r="L5307" s="8">
        <v>39987.315405092595</v>
      </c>
      <c r="M5307" s="9" t="s">
        <v>19</v>
      </c>
      <c r="N5307" s="9" t="s">
        <v>20</v>
      </c>
      <c r="O5307" s="6" t="str">
        <f>HYPERLINK("https://pbs.twimg.com/profile_images/962471262747529216/Uo8lOkRJ_normal.jpg","View")</f>
        <v>View</v>
      </c>
      <c r="P5307" s="7"/>
    </row>
    <row r="5308" spans="1:16">
      <c r="A5308" s="3">
        <v>43943.949976851851</v>
      </c>
      <c r="B5308" s="4" t="str">
        <f>HYPERLINK("https://twitter.com/petrogustavo","@petrogustavo")</f>
        <v>@petrogustavo</v>
      </c>
      <c r="C5308" s="5" t="s">
        <v>16</v>
      </c>
      <c r="D5308" s="5" t="s">
        <v>5185</v>
      </c>
      <c r="E5308" s="6" t="str">
        <f>HYPERLINK("https://twitter.com/petrogustavo/status/1253010167727304712","1253010167727304712")</f>
        <v>1253010167727304712</v>
      </c>
      <c r="F5308" s="7" t="s">
        <v>17</v>
      </c>
      <c r="G5308" s="7">
        <v>3791862</v>
      </c>
      <c r="H5308" s="7">
        <v>2390</v>
      </c>
      <c r="I5308" s="7">
        <v>87</v>
      </c>
      <c r="J5308" s="7">
        <v>0</v>
      </c>
      <c r="K5308" s="7" t="s">
        <v>18</v>
      </c>
      <c r="L5308" s="8">
        <v>39987.315405092595</v>
      </c>
      <c r="M5308" s="9" t="s">
        <v>19</v>
      </c>
      <c r="N5308" s="9" t="s">
        <v>20</v>
      </c>
      <c r="O5308" s="6" t="str">
        <f>HYPERLINK("https://pbs.twimg.com/profile_images/962471262747529216/Uo8lOkRJ_normal.jpg","View")</f>
        <v>View</v>
      </c>
      <c r="P5308" s="7"/>
    </row>
    <row r="5309" spans="1:16">
      <c r="A5309" s="3">
        <v>43943.95103009259</v>
      </c>
      <c r="B5309" s="4" t="str">
        <f>HYPERLINK("https://twitter.com/petrogustavo","@petrogustavo")</f>
        <v>@petrogustavo</v>
      </c>
      <c r="C5309" s="5" t="s">
        <v>16</v>
      </c>
      <c r="D5309" s="5" t="s">
        <v>5186</v>
      </c>
      <c r="E5309" s="6" t="str">
        <f>HYPERLINK("https://twitter.com/petrogustavo/status/1253010548532412418","1253010548532412418")</f>
        <v>1253010548532412418</v>
      </c>
      <c r="F5309" s="7" t="s">
        <v>17</v>
      </c>
      <c r="G5309" s="7">
        <v>3791862</v>
      </c>
      <c r="H5309" s="7">
        <v>2390</v>
      </c>
      <c r="I5309" s="7">
        <v>27</v>
      </c>
      <c r="J5309" s="7">
        <v>0</v>
      </c>
      <c r="K5309" s="7" t="s">
        <v>18</v>
      </c>
      <c r="L5309" s="8">
        <v>39987.315405092595</v>
      </c>
      <c r="M5309" s="9" t="s">
        <v>19</v>
      </c>
      <c r="N5309" s="9" t="s">
        <v>20</v>
      </c>
      <c r="O5309" s="6" t="str">
        <f>HYPERLINK("https://pbs.twimg.com/profile_images/962471262747529216/Uo8lOkRJ_normal.jpg","View")</f>
        <v>View</v>
      </c>
      <c r="P5309" s="7"/>
    </row>
    <row r="5310" spans="1:16">
      <c r="A5310" s="3">
        <v>43944.064305555556</v>
      </c>
      <c r="B5310" s="4" t="str">
        <f>HYPERLINK("https://twitter.com/petrogustavo","@petrogustavo")</f>
        <v>@petrogustavo</v>
      </c>
      <c r="C5310" s="5" t="s">
        <v>16</v>
      </c>
      <c r="D5310" s="5" t="s">
        <v>5187</v>
      </c>
      <c r="E5310" s="6" t="str">
        <f>HYPERLINK("https://twitter.com/petrogustavo/status/1253051599326515204","1253051599326515204")</f>
        <v>1253051599326515204</v>
      </c>
      <c r="F5310" s="7" t="s">
        <v>17</v>
      </c>
      <c r="G5310" s="7">
        <v>3792230</v>
      </c>
      <c r="H5310" s="7">
        <v>2389</v>
      </c>
      <c r="I5310" s="7">
        <v>2151</v>
      </c>
      <c r="J5310" s="7">
        <v>0</v>
      </c>
      <c r="K5310" s="7" t="s">
        <v>18</v>
      </c>
      <c r="L5310" s="8">
        <v>39987.315405092595</v>
      </c>
      <c r="M5310" s="9" t="s">
        <v>19</v>
      </c>
      <c r="N5310" s="9" t="s">
        <v>20</v>
      </c>
      <c r="O5310" s="6" t="str">
        <f>HYPERLINK("https://pbs.twimg.com/profile_images/962471262747529216/Uo8lOkRJ_normal.jpg","View")</f>
        <v>View</v>
      </c>
      <c r="P5310" s="7"/>
    </row>
    <row r="5311" spans="1:16">
      <c r="A5311" s="3">
        <v>43944.064375000002</v>
      </c>
      <c r="B5311" s="4" t="str">
        <f>HYPERLINK("https://twitter.com/petrogustavo","@petrogustavo")</f>
        <v>@petrogustavo</v>
      </c>
      <c r="C5311" s="5" t="s">
        <v>16</v>
      </c>
      <c r="D5311" s="5" t="s">
        <v>5188</v>
      </c>
      <c r="E5311" s="6" t="str">
        <f>HYPERLINK("https://twitter.com/petrogustavo/status/1253051624173588487","1253051624173588487")</f>
        <v>1253051624173588487</v>
      </c>
      <c r="F5311" s="7" t="s">
        <v>17</v>
      </c>
      <c r="G5311" s="7">
        <v>3792230</v>
      </c>
      <c r="H5311" s="7">
        <v>2389</v>
      </c>
      <c r="I5311" s="7">
        <v>1306</v>
      </c>
      <c r="J5311" s="7">
        <v>0</v>
      </c>
      <c r="K5311" s="7" t="s">
        <v>18</v>
      </c>
      <c r="L5311" s="8">
        <v>39987.315405092595</v>
      </c>
      <c r="M5311" s="9" t="s">
        <v>19</v>
      </c>
      <c r="N5311" s="9" t="s">
        <v>20</v>
      </c>
      <c r="O5311" s="6" t="str">
        <f>HYPERLINK("https://pbs.twimg.com/profile_images/962471262747529216/Uo8lOkRJ_normal.jpg","View")</f>
        <v>View</v>
      </c>
      <c r="P5311" s="7"/>
    </row>
    <row r="5312" spans="1:16">
      <c r="A5312" s="3">
        <v>43944.11519675926</v>
      </c>
      <c r="B5312" s="4" t="str">
        <f>HYPERLINK("https://twitter.com/petrogustavo","@petrogustavo")</f>
        <v>@petrogustavo</v>
      </c>
      <c r="C5312" s="5" t="s">
        <v>16</v>
      </c>
      <c r="D5312" s="5" t="s">
        <v>5189</v>
      </c>
      <c r="E5312" s="6" t="str">
        <f>HYPERLINK("https://twitter.com/petrogustavo/status/1253070041110712331","1253070041110712331")</f>
        <v>1253070041110712331</v>
      </c>
      <c r="F5312" s="7" t="s">
        <v>17</v>
      </c>
      <c r="G5312" s="7">
        <v>3792429</v>
      </c>
      <c r="H5312" s="7">
        <v>2390</v>
      </c>
      <c r="I5312" s="7">
        <v>52</v>
      </c>
      <c r="J5312" s="7">
        <v>0</v>
      </c>
      <c r="K5312" s="7" t="s">
        <v>18</v>
      </c>
      <c r="L5312" s="8">
        <v>39987.315405092595</v>
      </c>
      <c r="M5312" s="9" t="s">
        <v>19</v>
      </c>
      <c r="N5312" s="9" t="s">
        <v>20</v>
      </c>
      <c r="O5312" s="6" t="str">
        <f>HYPERLINK("https://pbs.twimg.com/profile_images/962471262747529216/Uo8lOkRJ_normal.jpg","View")</f>
        <v>View</v>
      </c>
      <c r="P5312" s="7"/>
    </row>
    <row r="5313" spans="1:16">
      <c r="A5313" s="3">
        <v>43944.184027777781</v>
      </c>
      <c r="B5313" s="4" t="str">
        <f>HYPERLINK("https://twitter.com/petrogustavo","@petrogustavo")</f>
        <v>@petrogustavo</v>
      </c>
      <c r="C5313" s="5" t="s">
        <v>16</v>
      </c>
      <c r="D5313" s="5" t="s">
        <v>5190</v>
      </c>
      <c r="E5313" s="6" t="str">
        <f>HYPERLINK("https://twitter.com/petrogustavo/status/1253094983168593921","1253094983168593921")</f>
        <v>1253094983168593921</v>
      </c>
      <c r="F5313" s="7" t="s">
        <v>17</v>
      </c>
      <c r="G5313" s="7">
        <v>3792663</v>
      </c>
      <c r="H5313" s="7">
        <v>2390</v>
      </c>
      <c r="I5313" s="7">
        <v>115</v>
      </c>
      <c r="J5313" s="7">
        <v>0</v>
      </c>
      <c r="K5313" s="7" t="s">
        <v>18</v>
      </c>
      <c r="L5313" s="8">
        <v>39987.315405092595</v>
      </c>
      <c r="M5313" s="9" t="s">
        <v>19</v>
      </c>
      <c r="N5313" s="9" t="s">
        <v>20</v>
      </c>
      <c r="O5313" s="6" t="str">
        <f>HYPERLINK("https://pbs.twimg.com/profile_images/962471262747529216/Uo8lOkRJ_normal.jpg","View")</f>
        <v>View</v>
      </c>
      <c r="P5313" s="7"/>
    </row>
    <row r="5314" spans="1:16">
      <c r="A5314" s="3">
        <v>43944.185532407406</v>
      </c>
      <c r="B5314" s="4" t="str">
        <f>HYPERLINK("https://twitter.com/petrogustavo","@petrogustavo")</f>
        <v>@petrogustavo</v>
      </c>
      <c r="C5314" s="5" t="s">
        <v>16</v>
      </c>
      <c r="D5314" s="5" t="s">
        <v>5191</v>
      </c>
      <c r="E5314" s="6" t="str">
        <f>HYPERLINK("https://twitter.com/petrogustavo/status/1253095530865012739","1253095530865012739")</f>
        <v>1253095530865012739</v>
      </c>
      <c r="F5314" s="7" t="s">
        <v>17</v>
      </c>
      <c r="G5314" s="7">
        <v>3792663</v>
      </c>
      <c r="H5314" s="7">
        <v>2390</v>
      </c>
      <c r="I5314" s="7">
        <v>15</v>
      </c>
      <c r="J5314" s="7">
        <v>0</v>
      </c>
      <c r="K5314" s="7" t="s">
        <v>18</v>
      </c>
      <c r="L5314" s="8">
        <v>39987.315405092595</v>
      </c>
      <c r="M5314" s="9" t="s">
        <v>19</v>
      </c>
      <c r="N5314" s="9" t="s">
        <v>20</v>
      </c>
      <c r="O5314" s="6" t="str">
        <f>HYPERLINK("https://pbs.twimg.com/profile_images/962471262747529216/Uo8lOkRJ_normal.jpg","View")</f>
        <v>View</v>
      </c>
      <c r="P5314" s="7"/>
    </row>
    <row r="5315" spans="1:16">
      <c r="A5315" s="3">
        <v>43944.299907407403</v>
      </c>
      <c r="B5315" s="4" t="str">
        <f>HYPERLINK("https://twitter.com/petrogustavo","@petrogustavo")</f>
        <v>@petrogustavo</v>
      </c>
      <c r="C5315" s="5" t="s">
        <v>16</v>
      </c>
      <c r="D5315" s="5" t="s">
        <v>5192</v>
      </c>
      <c r="E5315" s="6" t="str">
        <f>HYPERLINK("https://twitter.com/petrogustavo/status/1253136977899257856","1253136977899257856")</f>
        <v>1253136977899257856</v>
      </c>
      <c r="F5315" s="7" t="s">
        <v>32</v>
      </c>
      <c r="G5315" s="7">
        <v>3793076</v>
      </c>
      <c r="H5315" s="7">
        <v>2390</v>
      </c>
      <c r="I5315" s="7">
        <v>240</v>
      </c>
      <c r="J5315" s="7">
        <v>0</v>
      </c>
      <c r="K5315" s="7" t="s">
        <v>18</v>
      </c>
      <c r="L5315" s="8">
        <v>39987.315405092595</v>
      </c>
      <c r="M5315" s="9" t="s">
        <v>19</v>
      </c>
      <c r="N5315" s="9" t="s">
        <v>20</v>
      </c>
      <c r="O5315" s="6" t="str">
        <f>HYPERLINK("https://pbs.twimg.com/profile_images/962471262747529216/Uo8lOkRJ_normal.jpg","View")</f>
        <v>View</v>
      </c>
      <c r="P5315" s="7"/>
    </row>
    <row r="5316" spans="1:16">
      <c r="A5316" s="3">
        <v>43944.302465277782</v>
      </c>
      <c r="B5316" s="4" t="str">
        <f>HYPERLINK("https://twitter.com/petrogustavo","@petrogustavo")</f>
        <v>@petrogustavo</v>
      </c>
      <c r="C5316" s="5" t="s">
        <v>16</v>
      </c>
      <c r="D5316" s="5" t="s">
        <v>5193</v>
      </c>
      <c r="E5316" s="6" t="str">
        <f>HYPERLINK("https://twitter.com/petrogustavo/status/1253137906635624454","1253137906635624454")</f>
        <v>1253137906635624454</v>
      </c>
      <c r="F5316" s="7" t="s">
        <v>32</v>
      </c>
      <c r="G5316" s="7">
        <v>3793076</v>
      </c>
      <c r="H5316" s="7">
        <v>2390</v>
      </c>
      <c r="I5316" s="7">
        <v>393</v>
      </c>
      <c r="J5316" s="7">
        <v>1263</v>
      </c>
      <c r="K5316" s="7" t="s">
        <v>18</v>
      </c>
      <c r="L5316" s="8">
        <v>39987.315405092595</v>
      </c>
      <c r="M5316" s="9" t="s">
        <v>19</v>
      </c>
      <c r="N5316" s="9" t="s">
        <v>20</v>
      </c>
      <c r="O5316" s="6" t="str">
        <f>HYPERLINK("https://pbs.twimg.com/profile_images/962471262747529216/Uo8lOkRJ_normal.jpg","View")</f>
        <v>View</v>
      </c>
      <c r="P5316" s="7"/>
    </row>
    <row r="5317" spans="1:16">
      <c r="A5317" s="3">
        <v>43944.346967592588</v>
      </c>
      <c r="B5317" s="4" t="str">
        <f>HYPERLINK("https://twitter.com/petrogustavo","@petrogustavo")</f>
        <v>@petrogustavo</v>
      </c>
      <c r="C5317" s="5" t="s">
        <v>16</v>
      </c>
      <c r="D5317" s="5" t="s">
        <v>5194</v>
      </c>
      <c r="E5317" s="6" t="str">
        <f>HYPERLINK("https://twitter.com/petrogustavo/status/1253154034095185922","1253154034095185922")</f>
        <v>1253154034095185922</v>
      </c>
      <c r="F5317" s="7" t="s">
        <v>21</v>
      </c>
      <c r="G5317" s="7">
        <v>3793208</v>
      </c>
      <c r="H5317" s="7">
        <v>2390</v>
      </c>
      <c r="I5317" s="7">
        <v>252</v>
      </c>
      <c r="J5317" s="7">
        <v>1322</v>
      </c>
      <c r="K5317" s="7" t="s">
        <v>18</v>
      </c>
      <c r="L5317" s="8">
        <v>39987.315405092595</v>
      </c>
      <c r="M5317" s="9" t="s">
        <v>19</v>
      </c>
      <c r="N5317" s="9" t="s">
        <v>20</v>
      </c>
      <c r="O5317" s="6" t="str">
        <f>HYPERLINK("https://pbs.twimg.com/profile_images/962471262747529216/Uo8lOkRJ_normal.jpg","View")</f>
        <v>View</v>
      </c>
      <c r="P5317" s="7"/>
    </row>
    <row r="5318" spans="1:16">
      <c r="A5318" s="3">
        <v>43944.718645833331</v>
      </c>
      <c r="B5318" s="4" t="str">
        <f>HYPERLINK("https://twitter.com/petrogustavo","@petrogustavo")</f>
        <v>@petrogustavo</v>
      </c>
      <c r="C5318" s="5" t="s">
        <v>16</v>
      </c>
      <c r="D5318" s="5" t="s">
        <v>5195</v>
      </c>
      <c r="E5318" s="6" t="str">
        <f>HYPERLINK("https://twitter.com/petrogustavo/status/1253288724475064320","1253288724475064320")</f>
        <v>1253288724475064320</v>
      </c>
      <c r="F5318" s="7" t="s">
        <v>32</v>
      </c>
      <c r="G5318" s="7">
        <v>3793784</v>
      </c>
      <c r="H5318" s="7">
        <v>2389</v>
      </c>
      <c r="I5318" s="7">
        <v>1846</v>
      </c>
      <c r="J5318" s="7">
        <v>0</v>
      </c>
      <c r="K5318" s="7" t="s">
        <v>18</v>
      </c>
      <c r="L5318" s="8">
        <v>39987.315405092595</v>
      </c>
      <c r="M5318" s="9" t="s">
        <v>19</v>
      </c>
      <c r="N5318" s="9" t="s">
        <v>20</v>
      </c>
      <c r="O5318" s="6" t="str">
        <f>HYPERLINK("https://pbs.twimg.com/profile_images/962471262747529216/Uo8lOkRJ_normal.jpg","View")</f>
        <v>View</v>
      </c>
      <c r="P5318" s="7"/>
    </row>
    <row r="5319" spans="1:16">
      <c r="A5319" s="3">
        <v>43944.757106481484</v>
      </c>
      <c r="B5319" s="4" t="str">
        <f>HYPERLINK("https://twitter.com/petrogustavo","@petrogustavo")</f>
        <v>@petrogustavo</v>
      </c>
      <c r="C5319" s="5" t="s">
        <v>16</v>
      </c>
      <c r="D5319" s="5" t="s">
        <v>5196</v>
      </c>
      <c r="E5319" s="6" t="str">
        <f>HYPERLINK("https://twitter.com/petrogustavo/status/1253302663309131776","1253302663309131776")</f>
        <v>1253302663309131776</v>
      </c>
      <c r="F5319" s="7" t="s">
        <v>17</v>
      </c>
      <c r="G5319" s="7">
        <v>3793870</v>
      </c>
      <c r="H5319" s="7">
        <v>2389</v>
      </c>
      <c r="I5319" s="7">
        <v>162</v>
      </c>
      <c r="J5319" s="7">
        <v>726</v>
      </c>
      <c r="K5319" s="7" t="s">
        <v>18</v>
      </c>
      <c r="L5319" s="8">
        <v>39987.315405092595</v>
      </c>
      <c r="M5319" s="9" t="s">
        <v>19</v>
      </c>
      <c r="N5319" s="9" t="s">
        <v>20</v>
      </c>
      <c r="O5319" s="6" t="str">
        <f>HYPERLINK("https://pbs.twimg.com/profile_images/962471262747529216/Uo8lOkRJ_normal.jpg","View")</f>
        <v>View</v>
      </c>
      <c r="P5319" s="7"/>
    </row>
    <row r="5320" spans="1:16">
      <c r="A5320" s="3">
        <v>43944.760011574079</v>
      </c>
      <c r="B5320" s="4" t="str">
        <f>HYPERLINK("https://twitter.com/petrogustavo","@petrogustavo")</f>
        <v>@petrogustavo</v>
      </c>
      <c r="C5320" s="5" t="s">
        <v>16</v>
      </c>
      <c r="D5320" s="5" t="s">
        <v>5197</v>
      </c>
      <c r="E5320" s="6" t="str">
        <f>HYPERLINK("https://twitter.com/petrogustavo/status/1253303715181793282","1253303715181793282")</f>
        <v>1253303715181793282</v>
      </c>
      <c r="F5320" s="7" t="s">
        <v>17</v>
      </c>
      <c r="G5320" s="7">
        <v>3793870</v>
      </c>
      <c r="H5320" s="7">
        <v>2389</v>
      </c>
      <c r="I5320" s="7">
        <v>93</v>
      </c>
      <c r="J5320" s="7">
        <v>297</v>
      </c>
      <c r="K5320" s="7" t="s">
        <v>18</v>
      </c>
      <c r="L5320" s="8">
        <v>39987.315405092595</v>
      </c>
      <c r="M5320" s="9" t="s">
        <v>19</v>
      </c>
      <c r="N5320" s="9" t="s">
        <v>20</v>
      </c>
      <c r="O5320" s="6" t="str">
        <f>HYPERLINK("https://pbs.twimg.com/profile_images/962471262747529216/Uo8lOkRJ_normal.jpg","View")</f>
        <v>View</v>
      </c>
      <c r="P5320" s="7"/>
    </row>
    <row r="5321" spans="1:16">
      <c r="A5321" s="3">
        <v>43944.768506944441</v>
      </c>
      <c r="B5321" s="4" t="str">
        <f>HYPERLINK("https://twitter.com/petrogustavo","@petrogustavo")</f>
        <v>@petrogustavo</v>
      </c>
      <c r="C5321" s="5" t="s">
        <v>16</v>
      </c>
      <c r="D5321" s="5" t="s">
        <v>5198</v>
      </c>
      <c r="E5321" s="6" t="str">
        <f>HYPERLINK("https://twitter.com/petrogustavo/status/1253306791808679937","1253306791808679937")</f>
        <v>1253306791808679937</v>
      </c>
      <c r="F5321" s="7" t="s">
        <v>17</v>
      </c>
      <c r="G5321" s="7">
        <v>3793870</v>
      </c>
      <c r="H5321" s="7">
        <v>2389</v>
      </c>
      <c r="I5321" s="7">
        <v>162</v>
      </c>
      <c r="J5321" s="7">
        <v>0</v>
      </c>
      <c r="K5321" s="7" t="s">
        <v>18</v>
      </c>
      <c r="L5321" s="8">
        <v>39987.315405092595</v>
      </c>
      <c r="M5321" s="9" t="s">
        <v>19</v>
      </c>
      <c r="N5321" s="9" t="s">
        <v>20</v>
      </c>
      <c r="O5321" s="6" t="str">
        <f>HYPERLINK("https://pbs.twimg.com/profile_images/962471262747529216/Uo8lOkRJ_normal.jpg","View")</f>
        <v>View</v>
      </c>
      <c r="P5321" s="7"/>
    </row>
    <row r="5322" spans="1:16">
      <c r="A5322" s="3">
        <v>43944.776747685188</v>
      </c>
      <c r="B5322" s="4" t="str">
        <f>HYPERLINK("https://twitter.com/petrogustavo","@petrogustavo")</f>
        <v>@petrogustavo</v>
      </c>
      <c r="C5322" s="5" t="s">
        <v>16</v>
      </c>
      <c r="D5322" s="5" t="s">
        <v>5199</v>
      </c>
      <c r="E5322" s="6" t="str">
        <f>HYPERLINK("https://twitter.com/petrogustavo/status/1253309779604385792","1253309779604385792")</f>
        <v>1253309779604385792</v>
      </c>
      <c r="F5322" s="7" t="s">
        <v>17</v>
      </c>
      <c r="G5322" s="7">
        <v>3793937</v>
      </c>
      <c r="H5322" s="7">
        <v>2389</v>
      </c>
      <c r="I5322" s="7">
        <v>166</v>
      </c>
      <c r="J5322" s="7">
        <v>0</v>
      </c>
      <c r="K5322" s="7" t="s">
        <v>18</v>
      </c>
      <c r="L5322" s="8">
        <v>39987.315405092595</v>
      </c>
      <c r="M5322" s="9" t="s">
        <v>19</v>
      </c>
      <c r="N5322" s="9" t="s">
        <v>20</v>
      </c>
      <c r="O5322" s="6" t="str">
        <f>HYPERLINK("https://pbs.twimg.com/profile_images/962471262747529216/Uo8lOkRJ_normal.jpg","View")</f>
        <v>View</v>
      </c>
      <c r="P5322" s="7"/>
    </row>
    <row r="5323" spans="1:16">
      <c r="A5323" s="3">
        <v>43944.7808912037</v>
      </c>
      <c r="B5323" s="4" t="str">
        <f>HYPERLINK("https://twitter.com/petrogustavo","@petrogustavo")</f>
        <v>@petrogustavo</v>
      </c>
      <c r="C5323" s="5" t="s">
        <v>16</v>
      </c>
      <c r="D5323" s="5" t="s">
        <v>5200</v>
      </c>
      <c r="E5323" s="6" t="str">
        <f>HYPERLINK("https://twitter.com/petrogustavo/status/1253311282549329921","1253311282549329921")</f>
        <v>1253311282549329921</v>
      </c>
      <c r="F5323" s="7" t="s">
        <v>17</v>
      </c>
      <c r="G5323" s="7">
        <v>3793937</v>
      </c>
      <c r="H5323" s="7">
        <v>2389</v>
      </c>
      <c r="I5323" s="7">
        <v>42</v>
      </c>
      <c r="J5323" s="7">
        <v>193</v>
      </c>
      <c r="K5323" s="7" t="s">
        <v>18</v>
      </c>
      <c r="L5323" s="8">
        <v>39987.315405092595</v>
      </c>
      <c r="M5323" s="9" t="s">
        <v>19</v>
      </c>
      <c r="N5323" s="9" t="s">
        <v>20</v>
      </c>
      <c r="O5323" s="6" t="str">
        <f>HYPERLINK("https://pbs.twimg.com/profile_images/962471262747529216/Uo8lOkRJ_normal.jpg","View")</f>
        <v>View</v>
      </c>
      <c r="P5323" s="7"/>
    </row>
    <row r="5324" spans="1:16">
      <c r="A5324" s="3">
        <v>43944.785115740742</v>
      </c>
      <c r="B5324" s="4" t="str">
        <f>HYPERLINK("https://twitter.com/petrogustavo","@petrogustavo")</f>
        <v>@petrogustavo</v>
      </c>
      <c r="C5324" s="5" t="s">
        <v>16</v>
      </c>
      <c r="D5324" s="5" t="s">
        <v>5198</v>
      </c>
      <c r="E5324" s="6" t="str">
        <f>HYPERLINK("https://twitter.com/petrogustavo/status/1253312812287434755","1253312812287434755")</f>
        <v>1253312812287434755</v>
      </c>
      <c r="F5324" s="7" t="s">
        <v>17</v>
      </c>
      <c r="G5324" s="7">
        <v>3793937</v>
      </c>
      <c r="H5324" s="7">
        <v>2389</v>
      </c>
      <c r="I5324" s="7">
        <v>294</v>
      </c>
      <c r="J5324" s="7">
        <v>0</v>
      </c>
      <c r="K5324" s="7" t="s">
        <v>18</v>
      </c>
      <c r="L5324" s="8">
        <v>39987.315405092595</v>
      </c>
      <c r="M5324" s="9" t="s">
        <v>19</v>
      </c>
      <c r="N5324" s="9" t="s">
        <v>20</v>
      </c>
      <c r="O5324" s="6" t="str">
        <f>HYPERLINK("https://pbs.twimg.com/profile_images/962471262747529216/Uo8lOkRJ_normal.jpg","View")</f>
        <v>View</v>
      </c>
      <c r="P5324" s="7"/>
    </row>
    <row r="5325" spans="1:16">
      <c r="A5325" s="3">
        <v>43944.795162037037</v>
      </c>
      <c r="B5325" s="4" t="str">
        <f>HYPERLINK("https://twitter.com/petrogustavo","@petrogustavo")</f>
        <v>@petrogustavo</v>
      </c>
      <c r="C5325" s="5" t="s">
        <v>16</v>
      </c>
      <c r="D5325" s="5" t="s">
        <v>5201</v>
      </c>
      <c r="E5325" s="6" t="str">
        <f>HYPERLINK("https://twitter.com/petrogustavo/status/1253316450938306562","1253316450938306562")</f>
        <v>1253316450938306562</v>
      </c>
      <c r="F5325" s="7" t="s">
        <v>17</v>
      </c>
      <c r="G5325" s="7">
        <v>3794004</v>
      </c>
      <c r="H5325" s="7">
        <v>2389</v>
      </c>
      <c r="I5325" s="7">
        <v>81</v>
      </c>
      <c r="J5325" s="7">
        <v>315</v>
      </c>
      <c r="K5325" s="7" t="s">
        <v>18</v>
      </c>
      <c r="L5325" s="8">
        <v>39987.315405092595</v>
      </c>
      <c r="M5325" s="9" t="s">
        <v>19</v>
      </c>
      <c r="N5325" s="9" t="s">
        <v>20</v>
      </c>
      <c r="O5325" s="6" t="str">
        <f>HYPERLINK("https://pbs.twimg.com/profile_images/962471262747529216/Uo8lOkRJ_normal.jpg","View")</f>
        <v>View</v>
      </c>
      <c r="P5325" s="7"/>
    </row>
    <row r="5326" spans="1:16">
      <c r="A5326" s="3">
        <v>43944.79859953704</v>
      </c>
      <c r="B5326" s="4" t="str">
        <f>HYPERLINK("https://twitter.com/petrogustavo","@petrogustavo")</f>
        <v>@petrogustavo</v>
      </c>
      <c r="C5326" s="5" t="s">
        <v>16</v>
      </c>
      <c r="D5326" s="5" t="s">
        <v>5198</v>
      </c>
      <c r="E5326" s="6" t="str">
        <f>HYPERLINK("https://twitter.com/petrogustavo/status/1253317700522106880","1253317700522106880")</f>
        <v>1253317700522106880</v>
      </c>
      <c r="F5326" s="7" t="s">
        <v>17</v>
      </c>
      <c r="G5326" s="7">
        <v>3794004</v>
      </c>
      <c r="H5326" s="7">
        <v>2389</v>
      </c>
      <c r="I5326" s="7">
        <v>402</v>
      </c>
      <c r="J5326" s="7">
        <v>0</v>
      </c>
      <c r="K5326" s="7" t="s">
        <v>18</v>
      </c>
      <c r="L5326" s="8">
        <v>39987.315405092595</v>
      </c>
      <c r="M5326" s="9" t="s">
        <v>19</v>
      </c>
      <c r="N5326" s="9" t="s">
        <v>20</v>
      </c>
      <c r="O5326" s="6" t="str">
        <f>HYPERLINK("https://pbs.twimg.com/profile_images/962471262747529216/Uo8lOkRJ_normal.jpg","View")</f>
        <v>View</v>
      </c>
      <c r="P5326" s="7"/>
    </row>
    <row r="5327" spans="1:16">
      <c r="A5327" s="3">
        <v>43944.86215277778</v>
      </c>
      <c r="B5327" s="4" t="str">
        <f>HYPERLINK("https://twitter.com/petrogustavo","@petrogustavo")</f>
        <v>@petrogustavo</v>
      </c>
      <c r="C5327" s="5" t="s">
        <v>16</v>
      </c>
      <c r="D5327" s="5" t="s">
        <v>5198</v>
      </c>
      <c r="E5327" s="6" t="str">
        <f>HYPERLINK("https://twitter.com/petrogustavo/status/1253340731068088320","1253340731068088320")</f>
        <v>1253340731068088320</v>
      </c>
      <c r="F5327" s="7" t="s">
        <v>17</v>
      </c>
      <c r="G5327" s="7">
        <v>3794234</v>
      </c>
      <c r="H5327" s="7">
        <v>2390</v>
      </c>
      <c r="I5327" s="7">
        <v>607</v>
      </c>
      <c r="J5327" s="7">
        <v>0</v>
      </c>
      <c r="K5327" s="7" t="s">
        <v>18</v>
      </c>
      <c r="L5327" s="8">
        <v>39987.315405092595</v>
      </c>
      <c r="M5327" s="9" t="s">
        <v>19</v>
      </c>
      <c r="N5327" s="9" t="s">
        <v>20</v>
      </c>
      <c r="O5327" s="6" t="str">
        <f>HYPERLINK("https://pbs.twimg.com/profile_images/962471262747529216/Uo8lOkRJ_normal.jpg","View")</f>
        <v>View</v>
      </c>
      <c r="P5327" s="7"/>
    </row>
    <row r="5328" spans="1:16">
      <c r="A5328" s="3">
        <v>43944.874780092592</v>
      </c>
      <c r="B5328" s="4" t="str">
        <f>HYPERLINK("https://twitter.com/petrogustavo","@petrogustavo")</f>
        <v>@petrogustavo</v>
      </c>
      <c r="C5328" s="5" t="s">
        <v>16</v>
      </c>
      <c r="D5328" s="5" t="s">
        <v>5202</v>
      </c>
      <c r="E5328" s="6" t="str">
        <f>HYPERLINK("https://twitter.com/petrogustavo/status/1253345303589249026","1253345303589249026")</f>
        <v>1253345303589249026</v>
      </c>
      <c r="F5328" s="7" t="s">
        <v>17</v>
      </c>
      <c r="G5328" s="7">
        <v>3794234</v>
      </c>
      <c r="H5328" s="7">
        <v>2390</v>
      </c>
      <c r="I5328" s="7">
        <v>20</v>
      </c>
      <c r="J5328" s="7">
        <v>0</v>
      </c>
      <c r="K5328" s="7" t="s">
        <v>18</v>
      </c>
      <c r="L5328" s="8">
        <v>39987.315405092595</v>
      </c>
      <c r="M5328" s="9" t="s">
        <v>19</v>
      </c>
      <c r="N5328" s="9" t="s">
        <v>20</v>
      </c>
      <c r="O5328" s="6" t="str">
        <f>HYPERLINK("https://pbs.twimg.com/profile_images/962471262747529216/Uo8lOkRJ_normal.jpg","View")</f>
        <v>View</v>
      </c>
      <c r="P5328" s="7"/>
    </row>
    <row r="5329" spans="1:16">
      <c r="A5329" s="3">
        <v>43944.900995370372</v>
      </c>
      <c r="B5329" s="4" t="str">
        <f>HYPERLINK("https://twitter.com/petrogustavo","@petrogustavo")</f>
        <v>@petrogustavo</v>
      </c>
      <c r="C5329" s="5" t="s">
        <v>16</v>
      </c>
      <c r="D5329" s="5" t="s">
        <v>5203</v>
      </c>
      <c r="E5329" s="6" t="str">
        <f>HYPERLINK("https://twitter.com/petrogustavo/status/1253354807588421634","1253354807588421634")</f>
        <v>1253354807588421634</v>
      </c>
      <c r="F5329" s="7" t="s">
        <v>17</v>
      </c>
      <c r="G5329" s="7">
        <v>3794361</v>
      </c>
      <c r="H5329" s="7">
        <v>2390</v>
      </c>
      <c r="I5329" s="7">
        <v>535</v>
      </c>
      <c r="J5329" s="7">
        <v>0</v>
      </c>
      <c r="K5329" s="7" t="s">
        <v>18</v>
      </c>
      <c r="L5329" s="8">
        <v>39987.315405092595</v>
      </c>
      <c r="M5329" s="9" t="s">
        <v>19</v>
      </c>
      <c r="N5329" s="9" t="s">
        <v>20</v>
      </c>
      <c r="O5329" s="6" t="str">
        <f>HYPERLINK("https://pbs.twimg.com/profile_images/962471262747529216/Uo8lOkRJ_normal.jpg","View")</f>
        <v>View</v>
      </c>
      <c r="P5329" s="7"/>
    </row>
    <row r="5330" spans="1:16">
      <c r="A5330" s="3">
        <v>43944.905115740738</v>
      </c>
      <c r="B5330" s="4" t="str">
        <f>HYPERLINK("https://twitter.com/petrogustavo","@petrogustavo")</f>
        <v>@petrogustavo</v>
      </c>
      <c r="C5330" s="5" t="s">
        <v>16</v>
      </c>
      <c r="D5330" s="5" t="s">
        <v>5204</v>
      </c>
      <c r="E5330" s="6" t="str">
        <f>HYPERLINK("https://twitter.com/petrogustavo/status/1253356296767778816","1253356296767778816")</f>
        <v>1253356296767778816</v>
      </c>
      <c r="F5330" s="7" t="s">
        <v>17</v>
      </c>
      <c r="G5330" s="7">
        <v>3794361</v>
      </c>
      <c r="H5330" s="7">
        <v>2390</v>
      </c>
      <c r="I5330" s="7">
        <v>220</v>
      </c>
      <c r="J5330" s="7">
        <v>827</v>
      </c>
      <c r="K5330" s="7" t="s">
        <v>18</v>
      </c>
      <c r="L5330" s="8">
        <v>39987.315405092595</v>
      </c>
      <c r="M5330" s="9" t="s">
        <v>19</v>
      </c>
      <c r="N5330" s="9" t="s">
        <v>20</v>
      </c>
      <c r="O5330" s="6" t="str">
        <f>HYPERLINK("https://pbs.twimg.com/profile_images/962471262747529216/Uo8lOkRJ_normal.jpg","View")</f>
        <v>View</v>
      </c>
      <c r="P5330" s="7"/>
    </row>
    <row r="5331" spans="1:16">
      <c r="A5331" s="3">
        <v>43944.99962962963</v>
      </c>
      <c r="B5331" s="4" t="str">
        <f>HYPERLINK("https://twitter.com/petrogustavo","@petrogustavo")</f>
        <v>@petrogustavo</v>
      </c>
      <c r="C5331" s="5" t="s">
        <v>16</v>
      </c>
      <c r="D5331" s="5" t="s">
        <v>5205</v>
      </c>
      <c r="E5331" s="6" t="str">
        <f>HYPERLINK("https://twitter.com/petrogustavo/status/1253390550331535368","1253390550331535368")</f>
        <v>1253390550331535368</v>
      </c>
      <c r="F5331" s="7" t="s">
        <v>17</v>
      </c>
      <c r="G5331" s="7">
        <v>3794601</v>
      </c>
      <c r="H5331" s="7">
        <v>2390</v>
      </c>
      <c r="I5331" s="7">
        <v>50</v>
      </c>
      <c r="J5331" s="7">
        <v>103</v>
      </c>
      <c r="K5331" s="7" t="s">
        <v>18</v>
      </c>
      <c r="L5331" s="8">
        <v>39987.315405092595</v>
      </c>
      <c r="M5331" s="9" t="s">
        <v>19</v>
      </c>
      <c r="N5331" s="9" t="s">
        <v>20</v>
      </c>
      <c r="O5331" s="6" t="str">
        <f>HYPERLINK("https://pbs.twimg.com/profile_images/962471262747529216/Uo8lOkRJ_normal.jpg","View")</f>
        <v>View</v>
      </c>
      <c r="P5331" s="7"/>
    </row>
    <row r="5332" spans="1:16">
      <c r="A5332" s="3">
        <v>43945.024930555555</v>
      </c>
      <c r="B5332" s="4" t="str">
        <f>HYPERLINK("https://twitter.com/petrogustavo","@petrogustavo")</f>
        <v>@petrogustavo</v>
      </c>
      <c r="C5332" s="5" t="s">
        <v>16</v>
      </c>
      <c r="D5332" s="5" t="s">
        <v>5206</v>
      </c>
      <c r="E5332" s="6" t="str">
        <f>HYPERLINK("https://twitter.com/petrogustavo/status/1253399720132780032","1253399720132780032")</f>
        <v>1253399720132780032</v>
      </c>
      <c r="F5332" s="7" t="s">
        <v>17</v>
      </c>
      <c r="G5332" s="7">
        <v>3794735</v>
      </c>
      <c r="H5332" s="7">
        <v>2390</v>
      </c>
      <c r="I5332" s="7">
        <v>12</v>
      </c>
      <c r="J5332" s="7">
        <v>0</v>
      </c>
      <c r="K5332" s="7" t="s">
        <v>18</v>
      </c>
      <c r="L5332" s="8">
        <v>39987.315405092595</v>
      </c>
      <c r="M5332" s="9" t="s">
        <v>19</v>
      </c>
      <c r="N5332" s="9" t="s">
        <v>20</v>
      </c>
      <c r="O5332" s="6" t="str">
        <f>HYPERLINK("https://pbs.twimg.com/profile_images/962471262747529216/Uo8lOkRJ_normal.jpg","View")</f>
        <v>View</v>
      </c>
      <c r="P5332" s="7"/>
    </row>
    <row r="5333" spans="1:16">
      <c r="A5333" s="3">
        <v>43945.029513888891</v>
      </c>
      <c r="B5333" s="4" t="str">
        <f>HYPERLINK("https://twitter.com/petrogustavo","@petrogustavo")</f>
        <v>@petrogustavo</v>
      </c>
      <c r="C5333" s="5" t="s">
        <v>16</v>
      </c>
      <c r="D5333" s="5" t="s">
        <v>5207</v>
      </c>
      <c r="E5333" s="6" t="str">
        <f>HYPERLINK("https://twitter.com/petrogustavo/status/1253401378560659456","1253401378560659456")</f>
        <v>1253401378560659456</v>
      </c>
      <c r="F5333" s="7" t="s">
        <v>17</v>
      </c>
      <c r="G5333" s="7">
        <v>3794735</v>
      </c>
      <c r="H5333" s="7">
        <v>2390</v>
      </c>
      <c r="I5333" s="7">
        <v>51</v>
      </c>
      <c r="J5333" s="7">
        <v>0</v>
      </c>
      <c r="K5333" s="7" t="s">
        <v>18</v>
      </c>
      <c r="L5333" s="8">
        <v>39987.315405092595</v>
      </c>
      <c r="M5333" s="9" t="s">
        <v>19</v>
      </c>
      <c r="N5333" s="9" t="s">
        <v>20</v>
      </c>
      <c r="O5333" s="6" t="str">
        <f>HYPERLINK("https://pbs.twimg.com/profile_images/962471262747529216/Uo8lOkRJ_normal.jpg","View")</f>
        <v>View</v>
      </c>
      <c r="P5333" s="7"/>
    </row>
    <row r="5334" spans="1:16">
      <c r="A5334" s="3">
        <v>43945.030069444445</v>
      </c>
      <c r="B5334" s="4" t="str">
        <f>HYPERLINK("https://twitter.com/petrogustavo","@petrogustavo")</f>
        <v>@petrogustavo</v>
      </c>
      <c r="C5334" s="5" t="s">
        <v>16</v>
      </c>
      <c r="D5334" s="5" t="s">
        <v>5208</v>
      </c>
      <c r="E5334" s="6" t="str">
        <f>HYPERLINK("https://twitter.com/petrogustavo/status/1253401582022144002","1253401582022144002")</f>
        <v>1253401582022144002</v>
      </c>
      <c r="F5334" s="7" t="s">
        <v>17</v>
      </c>
      <c r="G5334" s="7">
        <v>3794735</v>
      </c>
      <c r="H5334" s="7">
        <v>2390</v>
      </c>
      <c r="I5334" s="7">
        <v>40</v>
      </c>
      <c r="J5334" s="7">
        <v>0</v>
      </c>
      <c r="K5334" s="7" t="s">
        <v>18</v>
      </c>
      <c r="L5334" s="8">
        <v>39987.315405092595</v>
      </c>
      <c r="M5334" s="9" t="s">
        <v>19</v>
      </c>
      <c r="N5334" s="9" t="s">
        <v>20</v>
      </c>
      <c r="O5334" s="6" t="str">
        <f>HYPERLINK("https://pbs.twimg.com/profile_images/962471262747529216/Uo8lOkRJ_normal.jpg","View")</f>
        <v>View</v>
      </c>
      <c r="P5334" s="7"/>
    </row>
    <row r="5335" spans="1:16">
      <c r="A5335" s="3">
        <v>43945.072881944448</v>
      </c>
      <c r="B5335" s="4" t="str">
        <f>HYPERLINK("https://twitter.com/petrogustavo","@petrogustavo")</f>
        <v>@petrogustavo</v>
      </c>
      <c r="C5335" s="5" t="s">
        <v>16</v>
      </c>
      <c r="D5335" s="5" t="s">
        <v>5209</v>
      </c>
      <c r="E5335" s="6" t="str">
        <f>HYPERLINK("https://twitter.com/petrogustavo/status/1253417093199876099","1253417093199876099")</f>
        <v>1253417093199876099</v>
      </c>
      <c r="F5335" s="7" t="s">
        <v>17</v>
      </c>
      <c r="G5335" s="7">
        <v>3794866</v>
      </c>
      <c r="H5335" s="7">
        <v>2390</v>
      </c>
      <c r="I5335" s="7">
        <v>282</v>
      </c>
      <c r="J5335" s="7">
        <v>1224</v>
      </c>
      <c r="K5335" s="7" t="s">
        <v>18</v>
      </c>
      <c r="L5335" s="8">
        <v>39987.315405092595</v>
      </c>
      <c r="M5335" s="9" t="s">
        <v>19</v>
      </c>
      <c r="N5335" s="9" t="s">
        <v>20</v>
      </c>
      <c r="O5335" s="6" t="str">
        <f>HYPERLINK("https://pbs.twimg.com/profile_images/962471262747529216/Uo8lOkRJ_normal.jpg","View")</f>
        <v>View</v>
      </c>
      <c r="P5335" s="7"/>
    </row>
    <row r="5336" spans="1:16">
      <c r="A5336" s="3">
        <v>43945.316006944442</v>
      </c>
      <c r="B5336" s="4" t="str">
        <f>HYPERLINK("https://twitter.com/petrogustavo","@petrogustavo")</f>
        <v>@petrogustavo</v>
      </c>
      <c r="C5336" s="5" t="s">
        <v>16</v>
      </c>
      <c r="D5336" s="5" t="s">
        <v>5210</v>
      </c>
      <c r="E5336" s="6" t="str">
        <f>HYPERLINK("https://twitter.com/petrogustavo/status/1253505202172428293","1253505202172428293")</f>
        <v>1253505202172428293</v>
      </c>
      <c r="F5336" s="7" t="s">
        <v>21</v>
      </c>
      <c r="G5336" s="7">
        <v>3795545</v>
      </c>
      <c r="H5336" s="7">
        <v>2389</v>
      </c>
      <c r="I5336" s="7">
        <v>239</v>
      </c>
      <c r="J5336" s="7">
        <v>600</v>
      </c>
      <c r="K5336" s="7" t="s">
        <v>18</v>
      </c>
      <c r="L5336" s="8">
        <v>39987.315405092595</v>
      </c>
      <c r="M5336" s="9" t="s">
        <v>19</v>
      </c>
      <c r="N5336" s="9" t="s">
        <v>20</v>
      </c>
      <c r="O5336" s="6" t="str">
        <f>HYPERLINK("https://pbs.twimg.com/profile_images/962471262747529216/Uo8lOkRJ_normal.jpg","View")</f>
        <v>View</v>
      </c>
      <c r="P5336" s="7"/>
    </row>
    <row r="5337" spans="1:16">
      <c r="A5337" s="3">
        <v>43945.318171296298</v>
      </c>
      <c r="B5337" s="4" t="str">
        <f>HYPERLINK("https://twitter.com/petrogustavo","@petrogustavo")</f>
        <v>@petrogustavo</v>
      </c>
      <c r="C5337" s="5" t="s">
        <v>16</v>
      </c>
      <c r="D5337" s="5" t="s">
        <v>5211</v>
      </c>
      <c r="E5337" s="6" t="str">
        <f>HYPERLINK("https://twitter.com/petrogustavo/status/1253505986037350400","1253505986037350400")</f>
        <v>1253505986037350400</v>
      </c>
      <c r="F5337" s="7" t="s">
        <v>21</v>
      </c>
      <c r="G5337" s="7">
        <v>3795545</v>
      </c>
      <c r="H5337" s="7">
        <v>2389</v>
      </c>
      <c r="I5337" s="7">
        <v>296</v>
      </c>
      <c r="J5337" s="7">
        <v>686</v>
      </c>
      <c r="K5337" s="7" t="s">
        <v>18</v>
      </c>
      <c r="L5337" s="8">
        <v>39987.315405092595</v>
      </c>
      <c r="M5337" s="9" t="s">
        <v>19</v>
      </c>
      <c r="N5337" s="9" t="s">
        <v>20</v>
      </c>
      <c r="O5337" s="6" t="str">
        <f>HYPERLINK("https://pbs.twimg.com/profile_images/962471262747529216/Uo8lOkRJ_normal.jpg","View")</f>
        <v>View</v>
      </c>
      <c r="P5337" s="7"/>
    </row>
    <row r="5338" spans="1:16">
      <c r="A5338" s="3">
        <v>43945.318356481483</v>
      </c>
      <c r="B5338" s="4" t="str">
        <f>HYPERLINK("https://twitter.com/petrogustavo","@petrogustavo")</f>
        <v>@petrogustavo</v>
      </c>
      <c r="C5338" s="5" t="s">
        <v>16</v>
      </c>
      <c r="D5338" s="5" t="s">
        <v>5212</v>
      </c>
      <c r="E5338" s="6" t="str">
        <f>HYPERLINK("https://twitter.com/petrogustavo/status/1253506054031376385","1253506054031376385")</f>
        <v>1253506054031376385</v>
      </c>
      <c r="F5338" s="7" t="s">
        <v>32</v>
      </c>
      <c r="G5338" s="7">
        <v>3795545</v>
      </c>
      <c r="H5338" s="7">
        <v>2389</v>
      </c>
      <c r="I5338" s="7">
        <v>239</v>
      </c>
      <c r="J5338" s="7">
        <v>0</v>
      </c>
      <c r="K5338" s="7" t="s">
        <v>18</v>
      </c>
      <c r="L5338" s="8">
        <v>39987.315405092595</v>
      </c>
      <c r="M5338" s="9" t="s">
        <v>19</v>
      </c>
      <c r="N5338" s="9" t="s">
        <v>20</v>
      </c>
      <c r="O5338" s="6" t="str">
        <f>HYPERLINK("https://pbs.twimg.com/profile_images/962471262747529216/Uo8lOkRJ_normal.jpg","View")</f>
        <v>View</v>
      </c>
      <c r="P5338" s="7"/>
    </row>
    <row r="5339" spans="1:16">
      <c r="A5339" s="3">
        <v>43945.708680555559</v>
      </c>
      <c r="B5339" s="4" t="str">
        <f>HYPERLINK("https://twitter.com/petrogustavo","@petrogustavo")</f>
        <v>@petrogustavo</v>
      </c>
      <c r="C5339" s="5" t="s">
        <v>16</v>
      </c>
      <c r="D5339" s="5" t="s">
        <v>5213</v>
      </c>
      <c r="E5339" s="6" t="str">
        <f>HYPERLINK("https://twitter.com/petrogustavo/status/1253647500260622338","1253647500260622338")</f>
        <v>1253647500260622338</v>
      </c>
      <c r="F5339" s="7" t="s">
        <v>17</v>
      </c>
      <c r="G5339" s="7">
        <v>3796082</v>
      </c>
      <c r="H5339" s="7">
        <v>2389</v>
      </c>
      <c r="I5339" s="7">
        <v>19</v>
      </c>
      <c r="J5339" s="7">
        <v>31</v>
      </c>
      <c r="K5339" s="7" t="s">
        <v>18</v>
      </c>
      <c r="L5339" s="8">
        <v>39987.315405092595</v>
      </c>
      <c r="M5339" s="9" t="s">
        <v>19</v>
      </c>
      <c r="N5339" s="9" t="s">
        <v>20</v>
      </c>
      <c r="O5339" s="6" t="str">
        <f>HYPERLINK("https://pbs.twimg.com/profile_images/962471262747529216/Uo8lOkRJ_normal.jpg","View")</f>
        <v>View</v>
      </c>
      <c r="P5339" s="7"/>
    </row>
    <row r="5340" spans="1:16">
      <c r="A5340" s="3">
        <v>43945.721145833333</v>
      </c>
      <c r="B5340" s="4" t="str">
        <f>HYPERLINK("https://twitter.com/petrogustavo","@petrogustavo")</f>
        <v>@petrogustavo</v>
      </c>
      <c r="C5340" s="5" t="s">
        <v>16</v>
      </c>
      <c r="D5340" s="5" t="s">
        <v>5214</v>
      </c>
      <c r="E5340" s="6" t="str">
        <f>HYPERLINK("https://twitter.com/petrogustavo/status/1253652019807752192","1253652019807752192")</f>
        <v>1253652019807752192</v>
      </c>
      <c r="F5340" s="7" t="s">
        <v>17</v>
      </c>
      <c r="G5340" s="7">
        <v>3796098</v>
      </c>
      <c r="H5340" s="7">
        <v>2390</v>
      </c>
      <c r="I5340" s="7">
        <v>84</v>
      </c>
      <c r="J5340" s="7">
        <v>194</v>
      </c>
      <c r="K5340" s="7" t="s">
        <v>18</v>
      </c>
      <c r="L5340" s="8">
        <v>39987.315405092595</v>
      </c>
      <c r="M5340" s="9" t="s">
        <v>19</v>
      </c>
      <c r="N5340" s="9" t="s">
        <v>20</v>
      </c>
      <c r="O5340" s="6" t="str">
        <f>HYPERLINK("https://pbs.twimg.com/profile_images/962471262747529216/Uo8lOkRJ_normal.jpg","View")</f>
        <v>View</v>
      </c>
      <c r="P5340" s="7"/>
    </row>
    <row r="5341" spans="1:16">
      <c r="A5341" s="3">
        <v>43945.78638888889</v>
      </c>
      <c r="B5341" s="4" t="str">
        <f>HYPERLINK("https://twitter.com/petrogustavo","@petrogustavo")</f>
        <v>@petrogustavo</v>
      </c>
      <c r="C5341" s="5" t="s">
        <v>16</v>
      </c>
      <c r="D5341" s="5" t="s">
        <v>5215</v>
      </c>
      <c r="E5341" s="6" t="str">
        <f>HYPERLINK("https://twitter.com/petrogustavo/status/1253675663086825476","1253675663086825476")</f>
        <v>1253675663086825476</v>
      </c>
      <c r="F5341" s="7" t="s">
        <v>17</v>
      </c>
      <c r="G5341" s="7">
        <v>3796243</v>
      </c>
      <c r="H5341" s="7">
        <v>2390</v>
      </c>
      <c r="I5341" s="7">
        <v>524</v>
      </c>
      <c r="J5341" s="7">
        <v>0</v>
      </c>
      <c r="K5341" s="7" t="s">
        <v>18</v>
      </c>
      <c r="L5341" s="8">
        <v>39987.315405092595</v>
      </c>
      <c r="M5341" s="9" t="s">
        <v>19</v>
      </c>
      <c r="N5341" s="9" t="s">
        <v>20</v>
      </c>
      <c r="O5341" s="6" t="str">
        <f>HYPERLINK("https://pbs.twimg.com/profile_images/962471262747529216/Uo8lOkRJ_normal.jpg","View")</f>
        <v>View</v>
      </c>
      <c r="P5341" s="7"/>
    </row>
    <row r="5342" spans="1:16">
      <c r="A5342" s="3">
        <v>43945.898113425923</v>
      </c>
      <c r="B5342" s="4" t="str">
        <f>HYPERLINK("https://twitter.com/petrogustavo","@petrogustavo")</f>
        <v>@petrogustavo</v>
      </c>
      <c r="C5342" s="5" t="s">
        <v>16</v>
      </c>
      <c r="D5342" s="5" t="s">
        <v>5216</v>
      </c>
      <c r="E5342" s="6" t="str">
        <f>HYPERLINK("https://twitter.com/petrogustavo/status/1253716150636163074","1253716150636163074")</f>
        <v>1253716150636163074</v>
      </c>
      <c r="F5342" s="7" t="s">
        <v>17</v>
      </c>
      <c r="G5342" s="7">
        <v>3796570</v>
      </c>
      <c r="H5342" s="7">
        <v>2390</v>
      </c>
      <c r="I5342" s="7">
        <v>78</v>
      </c>
      <c r="J5342" s="7">
        <v>0</v>
      </c>
      <c r="K5342" s="7" t="s">
        <v>18</v>
      </c>
      <c r="L5342" s="8">
        <v>39987.315405092595</v>
      </c>
      <c r="M5342" s="9" t="s">
        <v>19</v>
      </c>
      <c r="N5342" s="9" t="s">
        <v>20</v>
      </c>
      <c r="O5342" s="6" t="str">
        <f>HYPERLINK("https://pbs.twimg.com/profile_images/962471262747529216/Uo8lOkRJ_normal.jpg","View")</f>
        <v>View</v>
      </c>
      <c r="P5342" s="7"/>
    </row>
    <row r="5343" spans="1:16">
      <c r="A5343" s="3">
        <v>43945.900914351849</v>
      </c>
      <c r="B5343" s="4" t="str">
        <f>HYPERLINK("https://twitter.com/petrogustavo","@petrogustavo")</f>
        <v>@petrogustavo</v>
      </c>
      <c r="C5343" s="5" t="s">
        <v>16</v>
      </c>
      <c r="D5343" s="5" t="s">
        <v>5215</v>
      </c>
      <c r="E5343" s="6" t="str">
        <f>HYPERLINK("https://twitter.com/petrogustavo/status/1253717163820691457","1253717163820691457")</f>
        <v>1253717163820691457</v>
      </c>
      <c r="F5343" s="7" t="s">
        <v>17</v>
      </c>
      <c r="G5343" s="7">
        <v>3796570</v>
      </c>
      <c r="H5343" s="7">
        <v>2390</v>
      </c>
      <c r="I5343" s="7">
        <v>1061</v>
      </c>
      <c r="J5343" s="7">
        <v>0</v>
      </c>
      <c r="K5343" s="7" t="s">
        <v>18</v>
      </c>
      <c r="L5343" s="8">
        <v>39987.315405092595</v>
      </c>
      <c r="M5343" s="9" t="s">
        <v>19</v>
      </c>
      <c r="N5343" s="9" t="s">
        <v>20</v>
      </c>
      <c r="O5343" s="6" t="str">
        <f>HYPERLINK("https://pbs.twimg.com/profile_images/962471262747529216/Uo8lOkRJ_normal.jpg","View")</f>
        <v>View</v>
      </c>
      <c r="P5343" s="7"/>
    </row>
    <row r="5344" spans="1:16">
      <c r="A5344" s="3">
        <v>43945.978067129632</v>
      </c>
      <c r="B5344" s="4" t="str">
        <f>HYPERLINK("https://twitter.com/petrogustavo","@petrogustavo")</f>
        <v>@petrogustavo</v>
      </c>
      <c r="C5344" s="5" t="s">
        <v>16</v>
      </c>
      <c r="D5344" s="5" t="s">
        <v>5217</v>
      </c>
      <c r="E5344" s="6" t="str">
        <f>HYPERLINK("https://twitter.com/petrogustavo/status/1253745122539438083","1253745122539438083")</f>
        <v>1253745122539438083</v>
      </c>
      <c r="F5344" s="7" t="s">
        <v>17</v>
      </c>
      <c r="G5344" s="7">
        <v>3796713</v>
      </c>
      <c r="H5344" s="7">
        <v>2390</v>
      </c>
      <c r="I5344" s="7">
        <v>100</v>
      </c>
      <c r="J5344" s="7">
        <v>118</v>
      </c>
      <c r="K5344" s="7" t="s">
        <v>18</v>
      </c>
      <c r="L5344" s="8">
        <v>39987.315405092595</v>
      </c>
      <c r="M5344" s="9" t="s">
        <v>19</v>
      </c>
      <c r="N5344" s="9" t="s">
        <v>20</v>
      </c>
      <c r="O5344" s="6" t="str">
        <f>HYPERLINK("https://pbs.twimg.com/profile_images/962471262747529216/Uo8lOkRJ_normal.jpg","View")</f>
        <v>View</v>
      </c>
      <c r="P5344" s="7"/>
    </row>
    <row r="5345" spans="1:16">
      <c r="A5345" s="3">
        <v>43946.061886574069</v>
      </c>
      <c r="B5345" s="4" t="str">
        <f>HYPERLINK("https://twitter.com/petrogustavo","@petrogustavo")</f>
        <v>@petrogustavo</v>
      </c>
      <c r="C5345" s="5" t="s">
        <v>16</v>
      </c>
      <c r="D5345" s="5" t="s">
        <v>5212</v>
      </c>
      <c r="E5345" s="6" t="str">
        <f>HYPERLINK("https://twitter.com/petrogustavo/status/1253775497487679488","1253775497487679488")</f>
        <v>1253775497487679488</v>
      </c>
      <c r="F5345" s="7" t="s">
        <v>17</v>
      </c>
      <c r="G5345" s="7">
        <v>3796919</v>
      </c>
      <c r="H5345" s="7">
        <v>2390</v>
      </c>
      <c r="I5345" s="7">
        <v>1137</v>
      </c>
      <c r="J5345" s="7">
        <v>0</v>
      </c>
      <c r="K5345" s="7" t="s">
        <v>18</v>
      </c>
      <c r="L5345" s="8">
        <v>39987.315405092595</v>
      </c>
      <c r="M5345" s="9" t="s">
        <v>19</v>
      </c>
      <c r="N5345" s="9" t="s">
        <v>20</v>
      </c>
      <c r="O5345" s="6" t="str">
        <f>HYPERLINK("https://pbs.twimg.com/profile_images/962471262747529216/Uo8lOkRJ_normal.jpg","View")</f>
        <v>View</v>
      </c>
      <c r="P5345" s="7"/>
    </row>
    <row r="5346" spans="1:16">
      <c r="A5346" s="3">
        <v>43946.064317129625</v>
      </c>
      <c r="B5346" s="4" t="str">
        <f>HYPERLINK("https://twitter.com/petrogustavo","@petrogustavo")</f>
        <v>@petrogustavo</v>
      </c>
      <c r="C5346" s="5" t="s">
        <v>16</v>
      </c>
      <c r="D5346" s="5" t="s">
        <v>5218</v>
      </c>
      <c r="E5346" s="6" t="str">
        <f>HYPERLINK("https://twitter.com/petrogustavo/status/1253776380279566338","1253776380279566338")</f>
        <v>1253776380279566338</v>
      </c>
      <c r="F5346" s="7" t="s">
        <v>17</v>
      </c>
      <c r="G5346" s="7">
        <v>3796919</v>
      </c>
      <c r="H5346" s="7">
        <v>2390</v>
      </c>
      <c r="I5346" s="7">
        <v>107</v>
      </c>
      <c r="J5346" s="7">
        <v>0</v>
      </c>
      <c r="K5346" s="7" t="s">
        <v>18</v>
      </c>
      <c r="L5346" s="8">
        <v>39987.315405092595</v>
      </c>
      <c r="M5346" s="9" t="s">
        <v>19</v>
      </c>
      <c r="N5346" s="9" t="s">
        <v>20</v>
      </c>
      <c r="O5346" s="6" t="str">
        <f>HYPERLINK("https://pbs.twimg.com/profile_images/962471262747529216/Uo8lOkRJ_normal.jpg","View")</f>
        <v>View</v>
      </c>
      <c r="P5346" s="7"/>
    </row>
    <row r="5347" spans="1:16">
      <c r="A5347" s="3">
        <v>43946.128599537042</v>
      </c>
      <c r="B5347" s="4" t="str">
        <f>HYPERLINK("https://twitter.com/petrogustavo","@petrogustavo")</f>
        <v>@petrogustavo</v>
      </c>
      <c r="C5347" s="5" t="s">
        <v>16</v>
      </c>
      <c r="D5347" s="5" t="s">
        <v>5212</v>
      </c>
      <c r="E5347" s="6" t="str">
        <f>HYPERLINK("https://twitter.com/petrogustavo/status/1253799676215808001","1253799676215808001")</f>
        <v>1253799676215808001</v>
      </c>
      <c r="F5347" s="7" t="s">
        <v>17</v>
      </c>
      <c r="G5347" s="7">
        <v>3797105</v>
      </c>
      <c r="H5347" s="7">
        <v>2390</v>
      </c>
      <c r="I5347" s="7">
        <v>1197</v>
      </c>
      <c r="J5347" s="7">
        <v>0</v>
      </c>
      <c r="K5347" s="7" t="s">
        <v>18</v>
      </c>
      <c r="L5347" s="8">
        <v>39987.315405092595</v>
      </c>
      <c r="M5347" s="9" t="s">
        <v>19</v>
      </c>
      <c r="N5347" s="9" t="s">
        <v>20</v>
      </c>
      <c r="O5347" s="6" t="str">
        <f>HYPERLINK("https://pbs.twimg.com/profile_images/962471262747529216/Uo8lOkRJ_normal.jpg","View")</f>
        <v>View</v>
      </c>
      <c r="P5347" s="7"/>
    </row>
    <row r="5348" spans="1:16">
      <c r="A5348" s="3">
        <v>43946.36215277778</v>
      </c>
      <c r="B5348" s="4" t="str">
        <f>HYPERLINK("https://twitter.com/petrogustavo","@petrogustavo")</f>
        <v>@petrogustavo</v>
      </c>
      <c r="C5348" s="5" t="s">
        <v>16</v>
      </c>
      <c r="D5348" s="5" t="s">
        <v>5219</v>
      </c>
      <c r="E5348" s="6" t="str">
        <f>HYPERLINK("https://twitter.com/petrogustavo/status/1253884309607452672","1253884309607452672")</f>
        <v>1253884309607452672</v>
      </c>
      <c r="F5348" s="7" t="s">
        <v>17</v>
      </c>
      <c r="G5348" s="7">
        <v>3797677</v>
      </c>
      <c r="H5348" s="7">
        <v>2390</v>
      </c>
      <c r="I5348" s="7">
        <v>219</v>
      </c>
      <c r="J5348" s="7">
        <v>0</v>
      </c>
      <c r="K5348" s="7" t="s">
        <v>18</v>
      </c>
      <c r="L5348" s="8">
        <v>39987.315405092595</v>
      </c>
      <c r="M5348" s="9" t="s">
        <v>19</v>
      </c>
      <c r="N5348" s="9" t="s">
        <v>20</v>
      </c>
      <c r="O5348" s="6" t="str">
        <f>HYPERLINK("https://pbs.twimg.com/profile_images/962471262747529216/Uo8lOkRJ_normal.jpg","View")</f>
        <v>View</v>
      </c>
      <c r="P5348" s="7"/>
    </row>
    <row r="5349" spans="1:16">
      <c r="A5349" s="3">
        <v>43946.36513888889</v>
      </c>
      <c r="B5349" s="4" t="str">
        <f>HYPERLINK("https://twitter.com/petrogustavo","@petrogustavo")</f>
        <v>@petrogustavo</v>
      </c>
      <c r="C5349" s="5" t="s">
        <v>16</v>
      </c>
      <c r="D5349" s="5" t="s">
        <v>5220</v>
      </c>
      <c r="E5349" s="6" t="str">
        <f>HYPERLINK("https://twitter.com/petrogustavo/status/1253885391326806017","1253885391326806017")</f>
        <v>1253885391326806017</v>
      </c>
      <c r="F5349" s="7" t="s">
        <v>17</v>
      </c>
      <c r="G5349" s="7">
        <v>3797677</v>
      </c>
      <c r="H5349" s="7">
        <v>2390</v>
      </c>
      <c r="I5349" s="7">
        <v>1976</v>
      </c>
      <c r="J5349" s="7">
        <v>0</v>
      </c>
      <c r="K5349" s="7" t="s">
        <v>18</v>
      </c>
      <c r="L5349" s="8">
        <v>39987.315405092595</v>
      </c>
      <c r="M5349" s="9" t="s">
        <v>19</v>
      </c>
      <c r="N5349" s="9" t="s">
        <v>20</v>
      </c>
      <c r="O5349" s="6" t="str">
        <f>HYPERLINK("https://pbs.twimg.com/profile_images/962471262747529216/Uo8lOkRJ_normal.jpg","View")</f>
        <v>View</v>
      </c>
      <c r="P5349" s="7"/>
    </row>
    <row r="5350" spans="1:16">
      <c r="A5350" s="3">
        <v>43946.729467592595</v>
      </c>
      <c r="B5350" s="4" t="str">
        <f>HYPERLINK("https://twitter.com/petrogustavo","@petrogustavo")</f>
        <v>@petrogustavo</v>
      </c>
      <c r="C5350" s="5" t="s">
        <v>16</v>
      </c>
      <c r="D5350" s="5" t="s">
        <v>5221</v>
      </c>
      <c r="E5350" s="6" t="str">
        <f>HYPERLINK("https://twitter.com/petrogustavo/status/1254017423478525952","1254017423478525952")</f>
        <v>1254017423478525952</v>
      </c>
      <c r="F5350" s="7" t="s">
        <v>17</v>
      </c>
      <c r="G5350" s="7">
        <v>3798045</v>
      </c>
      <c r="H5350" s="7">
        <v>2390</v>
      </c>
      <c r="I5350" s="7">
        <v>15</v>
      </c>
      <c r="J5350" s="7">
        <v>20</v>
      </c>
      <c r="K5350" s="7" t="s">
        <v>18</v>
      </c>
      <c r="L5350" s="8">
        <v>39987.315405092595</v>
      </c>
      <c r="M5350" s="9" t="s">
        <v>19</v>
      </c>
      <c r="N5350" s="9" t="s">
        <v>20</v>
      </c>
      <c r="O5350" s="6" t="str">
        <f>HYPERLINK("https://pbs.twimg.com/profile_images/962471262747529216/Uo8lOkRJ_normal.jpg","View")</f>
        <v>View</v>
      </c>
      <c r="P5350" s="7"/>
    </row>
    <row r="5351" spans="1:16">
      <c r="A5351" s="3">
        <v>43946.787685185191</v>
      </c>
      <c r="B5351" s="4" t="str">
        <f>HYPERLINK("https://twitter.com/petrogustavo","@petrogustavo")</f>
        <v>@petrogustavo</v>
      </c>
      <c r="C5351" s="5" t="s">
        <v>16</v>
      </c>
      <c r="D5351" s="5" t="s">
        <v>5222</v>
      </c>
      <c r="E5351" s="6" t="str">
        <f>HYPERLINK("https://twitter.com/petrogustavo/status/1254038520664072192","1254038520664072192")</f>
        <v>1254038520664072192</v>
      </c>
      <c r="F5351" s="7" t="s">
        <v>17</v>
      </c>
      <c r="G5351" s="7">
        <v>3798142</v>
      </c>
      <c r="H5351" s="7">
        <v>2392</v>
      </c>
      <c r="I5351" s="7">
        <v>517</v>
      </c>
      <c r="J5351" s="7">
        <v>0</v>
      </c>
      <c r="K5351" s="7" t="s">
        <v>18</v>
      </c>
      <c r="L5351" s="8">
        <v>39987.315405092595</v>
      </c>
      <c r="M5351" s="9" t="s">
        <v>19</v>
      </c>
      <c r="N5351" s="9" t="s">
        <v>20</v>
      </c>
      <c r="O5351" s="6" t="str">
        <f>HYPERLINK("https://pbs.twimg.com/profile_images/962471262747529216/Uo8lOkRJ_normal.jpg","View")</f>
        <v>View</v>
      </c>
      <c r="P5351" s="7"/>
    </row>
    <row r="5352" spans="1:16">
      <c r="A5352" s="3">
        <v>43946.791747685187</v>
      </c>
      <c r="B5352" s="4" t="str">
        <f>HYPERLINK("https://twitter.com/petrogustavo","@petrogustavo")</f>
        <v>@petrogustavo</v>
      </c>
      <c r="C5352" s="5" t="s">
        <v>16</v>
      </c>
      <c r="D5352" s="5" t="s">
        <v>5223</v>
      </c>
      <c r="E5352" s="6" t="str">
        <f>HYPERLINK("https://twitter.com/petrogustavo/status/1254039991983972352","1254039991983972352")</f>
        <v>1254039991983972352</v>
      </c>
      <c r="F5352" s="7" t="s">
        <v>17</v>
      </c>
      <c r="G5352" s="7">
        <v>3798142</v>
      </c>
      <c r="H5352" s="7">
        <v>2392</v>
      </c>
      <c r="I5352" s="7">
        <v>17</v>
      </c>
      <c r="J5352" s="7">
        <v>53</v>
      </c>
      <c r="K5352" s="7" t="s">
        <v>18</v>
      </c>
      <c r="L5352" s="8">
        <v>39987.315405092595</v>
      </c>
      <c r="M5352" s="9" t="s">
        <v>19</v>
      </c>
      <c r="N5352" s="9" t="s">
        <v>20</v>
      </c>
      <c r="O5352" s="6" t="str">
        <f>HYPERLINK("https://pbs.twimg.com/profile_images/962471262747529216/Uo8lOkRJ_normal.jpg","View")</f>
        <v>View</v>
      </c>
      <c r="P5352" s="7"/>
    </row>
    <row r="5353" spans="1:16">
      <c r="A5353" s="3">
        <v>43946.808657407411</v>
      </c>
      <c r="B5353" s="4" t="str">
        <f>HYPERLINK("https://twitter.com/petrogustavo","@petrogustavo")</f>
        <v>@petrogustavo</v>
      </c>
      <c r="C5353" s="5" t="s">
        <v>16</v>
      </c>
      <c r="D5353" s="5" t="s">
        <v>5224</v>
      </c>
      <c r="E5353" s="6" t="str">
        <f>HYPERLINK("https://twitter.com/petrogustavo/status/1254046117324566530","1254046117324566530")</f>
        <v>1254046117324566530</v>
      </c>
      <c r="F5353" s="7" t="s">
        <v>17</v>
      </c>
      <c r="G5353" s="7">
        <v>3798195</v>
      </c>
      <c r="H5353" s="7">
        <v>2392</v>
      </c>
      <c r="I5353" s="7">
        <v>84</v>
      </c>
      <c r="J5353" s="7">
        <v>159</v>
      </c>
      <c r="K5353" s="7" t="s">
        <v>18</v>
      </c>
      <c r="L5353" s="8">
        <v>39987.315405092595</v>
      </c>
      <c r="M5353" s="9" t="s">
        <v>19</v>
      </c>
      <c r="N5353" s="9" t="s">
        <v>20</v>
      </c>
      <c r="O5353" s="6" t="str">
        <f>HYPERLINK("https://pbs.twimg.com/profile_images/962471262747529216/Uo8lOkRJ_normal.jpg","View")</f>
        <v>View</v>
      </c>
      <c r="P5353" s="7"/>
    </row>
    <row r="5354" spans="1:16">
      <c r="A5354" s="3">
        <v>43946.893414351856</v>
      </c>
      <c r="B5354" s="4" t="str">
        <f>HYPERLINK("https://twitter.com/petrogustavo","@petrogustavo")</f>
        <v>@petrogustavo</v>
      </c>
      <c r="C5354" s="5" t="s">
        <v>16</v>
      </c>
      <c r="D5354" s="5" t="s">
        <v>5225</v>
      </c>
      <c r="E5354" s="6" t="str">
        <f>HYPERLINK("https://twitter.com/petrogustavo/status/1254076833861185550","1254076833861185550")</f>
        <v>1254076833861185550</v>
      </c>
      <c r="F5354" s="7" t="s">
        <v>17</v>
      </c>
      <c r="G5354" s="7">
        <v>3798399</v>
      </c>
      <c r="H5354" s="7">
        <v>2392</v>
      </c>
      <c r="I5354" s="7">
        <v>34</v>
      </c>
      <c r="J5354" s="7">
        <v>0</v>
      </c>
      <c r="K5354" s="7" t="s">
        <v>18</v>
      </c>
      <c r="L5354" s="8">
        <v>39987.315405092595</v>
      </c>
      <c r="M5354" s="9" t="s">
        <v>19</v>
      </c>
      <c r="N5354" s="9" t="s">
        <v>20</v>
      </c>
      <c r="O5354" s="6" t="str">
        <f>HYPERLINK("https://pbs.twimg.com/profile_images/962471262747529216/Uo8lOkRJ_normal.jpg","View")</f>
        <v>View</v>
      </c>
      <c r="P5354" s="7"/>
    </row>
    <row r="5355" spans="1:16">
      <c r="A5355" s="3">
        <v>43946.896956018521</v>
      </c>
      <c r="B5355" s="4" t="str">
        <f>HYPERLINK("https://twitter.com/petrogustavo","@petrogustavo")</f>
        <v>@petrogustavo</v>
      </c>
      <c r="C5355" s="5" t="s">
        <v>16</v>
      </c>
      <c r="D5355" s="5" t="s">
        <v>5226</v>
      </c>
      <c r="E5355" s="6" t="str">
        <f>HYPERLINK("https://twitter.com/petrogustavo/status/1254078117926354950","1254078117926354950")</f>
        <v>1254078117926354950</v>
      </c>
      <c r="F5355" s="7" t="s">
        <v>17</v>
      </c>
      <c r="G5355" s="7">
        <v>3798399</v>
      </c>
      <c r="H5355" s="7">
        <v>2392</v>
      </c>
      <c r="I5355" s="7">
        <v>544</v>
      </c>
      <c r="J5355" s="7">
        <v>0</v>
      </c>
      <c r="K5355" s="7" t="s">
        <v>18</v>
      </c>
      <c r="L5355" s="8">
        <v>39987.315405092595</v>
      </c>
      <c r="M5355" s="9" t="s">
        <v>19</v>
      </c>
      <c r="N5355" s="9" t="s">
        <v>20</v>
      </c>
      <c r="O5355" s="6" t="str">
        <f>HYPERLINK("https://pbs.twimg.com/profile_images/962471262747529216/Uo8lOkRJ_normal.jpg","View")</f>
        <v>View</v>
      </c>
      <c r="P5355" s="7"/>
    </row>
    <row r="5356" spans="1:16">
      <c r="A5356" s="3">
        <v>43946.901331018518</v>
      </c>
      <c r="B5356" s="4" t="str">
        <f>HYPERLINK("https://twitter.com/petrogustavo","@petrogustavo")</f>
        <v>@petrogustavo</v>
      </c>
      <c r="C5356" s="5" t="s">
        <v>16</v>
      </c>
      <c r="D5356" s="5" t="s">
        <v>5227</v>
      </c>
      <c r="E5356" s="6" t="str">
        <f>HYPERLINK("https://twitter.com/petrogustavo/status/1254079703545188352","1254079703545188352")</f>
        <v>1254079703545188352</v>
      </c>
      <c r="F5356" s="7" t="s">
        <v>17</v>
      </c>
      <c r="G5356" s="7">
        <v>3798456</v>
      </c>
      <c r="H5356" s="7">
        <v>2392</v>
      </c>
      <c r="I5356" s="7">
        <v>128</v>
      </c>
      <c r="J5356" s="7">
        <v>265</v>
      </c>
      <c r="K5356" s="7" t="s">
        <v>18</v>
      </c>
      <c r="L5356" s="8">
        <v>39987.315405092595</v>
      </c>
      <c r="M5356" s="9" t="s">
        <v>19</v>
      </c>
      <c r="N5356" s="9" t="s">
        <v>20</v>
      </c>
      <c r="O5356" s="6" t="str">
        <f>HYPERLINK("https://pbs.twimg.com/profile_images/962471262747529216/Uo8lOkRJ_normal.jpg","View")</f>
        <v>View</v>
      </c>
      <c r="P5356" s="7"/>
    </row>
    <row r="5357" spans="1:16">
      <c r="A5357" s="3">
        <v>43946.905173611114</v>
      </c>
      <c r="B5357" s="4" t="str">
        <f>HYPERLINK("https://twitter.com/petrogustavo","@petrogustavo")</f>
        <v>@petrogustavo</v>
      </c>
      <c r="C5357" s="5" t="s">
        <v>16</v>
      </c>
      <c r="D5357" s="5" t="s">
        <v>5228</v>
      </c>
      <c r="E5357" s="6" t="str">
        <f>HYPERLINK("https://twitter.com/petrogustavo/status/1254081096335179780","1254081096335179780")</f>
        <v>1254081096335179780</v>
      </c>
      <c r="F5357" s="7" t="s">
        <v>17</v>
      </c>
      <c r="G5357" s="7">
        <v>3798456</v>
      </c>
      <c r="H5357" s="7">
        <v>2392</v>
      </c>
      <c r="I5357" s="7">
        <v>112</v>
      </c>
      <c r="J5357" s="7">
        <v>271</v>
      </c>
      <c r="K5357" s="7" t="s">
        <v>18</v>
      </c>
      <c r="L5357" s="8">
        <v>39987.315405092595</v>
      </c>
      <c r="M5357" s="9" t="s">
        <v>19</v>
      </c>
      <c r="N5357" s="9" t="s">
        <v>20</v>
      </c>
      <c r="O5357" s="6" t="str">
        <f>HYPERLINK("https://pbs.twimg.com/profile_images/962471262747529216/Uo8lOkRJ_normal.jpg","View")</f>
        <v>View</v>
      </c>
      <c r="P5357" s="7"/>
    </row>
    <row r="5358" spans="1:16">
      <c r="A5358" s="3">
        <v>43946.924710648149</v>
      </c>
      <c r="B5358" s="4" t="str">
        <f>HYPERLINK("https://twitter.com/petrogustavo","@petrogustavo")</f>
        <v>@petrogustavo</v>
      </c>
      <c r="C5358" s="5" t="s">
        <v>16</v>
      </c>
      <c r="D5358" s="5" t="s">
        <v>5229</v>
      </c>
      <c r="E5358" s="6" t="str">
        <f>HYPERLINK("https://twitter.com/petrogustavo/status/1254088176332832776","1254088176332832776")</f>
        <v>1254088176332832776</v>
      </c>
      <c r="F5358" s="7" t="s">
        <v>17</v>
      </c>
      <c r="G5358" s="7">
        <v>3798477</v>
      </c>
      <c r="H5358" s="7">
        <v>2392</v>
      </c>
      <c r="I5358" s="7">
        <v>83</v>
      </c>
      <c r="J5358" s="7">
        <v>160</v>
      </c>
      <c r="K5358" s="7" t="s">
        <v>18</v>
      </c>
      <c r="L5358" s="8">
        <v>39987.315405092595</v>
      </c>
      <c r="M5358" s="9" t="s">
        <v>19</v>
      </c>
      <c r="N5358" s="9" t="s">
        <v>20</v>
      </c>
      <c r="O5358" s="6" t="str">
        <f>HYPERLINK("https://pbs.twimg.com/profile_images/962471262747529216/Uo8lOkRJ_normal.jpg","View")</f>
        <v>View</v>
      </c>
      <c r="P5358" s="7"/>
    </row>
    <row r="5359" spans="1:16">
      <c r="A5359" s="3">
        <v>43946.925925925927</v>
      </c>
      <c r="B5359" s="4" t="str">
        <f>HYPERLINK("https://twitter.com/petrogustavo","@petrogustavo")</f>
        <v>@petrogustavo</v>
      </c>
      <c r="C5359" s="5" t="s">
        <v>16</v>
      </c>
      <c r="D5359" s="5" t="s">
        <v>5230</v>
      </c>
      <c r="E5359" s="6" t="str">
        <f>HYPERLINK("https://twitter.com/petrogustavo/status/1254088616235728903","1254088616235728903")</f>
        <v>1254088616235728903</v>
      </c>
      <c r="F5359" s="7" t="s">
        <v>17</v>
      </c>
      <c r="G5359" s="7">
        <v>3798477</v>
      </c>
      <c r="H5359" s="7">
        <v>2392</v>
      </c>
      <c r="I5359" s="7">
        <v>343</v>
      </c>
      <c r="J5359" s="7">
        <v>0</v>
      </c>
      <c r="K5359" s="7" t="s">
        <v>18</v>
      </c>
      <c r="L5359" s="8">
        <v>39987.315405092595</v>
      </c>
      <c r="M5359" s="9" t="s">
        <v>19</v>
      </c>
      <c r="N5359" s="9" t="s">
        <v>20</v>
      </c>
      <c r="O5359" s="6" t="str">
        <f>HYPERLINK("https://pbs.twimg.com/profile_images/962471262747529216/Uo8lOkRJ_normal.jpg","View")</f>
        <v>View</v>
      </c>
      <c r="P5359" s="7"/>
    </row>
    <row r="5360" spans="1:16">
      <c r="A5360" s="3">
        <v>43946.926585648151</v>
      </c>
      <c r="B5360" s="4" t="str">
        <f>HYPERLINK("https://twitter.com/petrogustavo","@petrogustavo")</f>
        <v>@petrogustavo</v>
      </c>
      <c r="C5360" s="5" t="s">
        <v>16</v>
      </c>
      <c r="D5360" s="5" t="s">
        <v>5231</v>
      </c>
      <c r="E5360" s="6" t="str">
        <f>HYPERLINK("https://twitter.com/petrogustavo/status/1254088853519990784","1254088853519990784")</f>
        <v>1254088853519990784</v>
      </c>
      <c r="F5360" s="7" t="s">
        <v>17</v>
      </c>
      <c r="G5360" s="7">
        <v>3798477</v>
      </c>
      <c r="H5360" s="7">
        <v>2392</v>
      </c>
      <c r="I5360" s="7">
        <v>83</v>
      </c>
      <c r="J5360" s="7">
        <v>0</v>
      </c>
      <c r="K5360" s="7" t="s">
        <v>18</v>
      </c>
      <c r="L5360" s="8">
        <v>39987.315405092595</v>
      </c>
      <c r="M5360" s="9" t="s">
        <v>19</v>
      </c>
      <c r="N5360" s="9" t="s">
        <v>20</v>
      </c>
      <c r="O5360" s="6" t="str">
        <f>HYPERLINK("https://pbs.twimg.com/profile_images/962471262747529216/Uo8lOkRJ_normal.jpg","View")</f>
        <v>View</v>
      </c>
      <c r="P5360" s="7"/>
    </row>
    <row r="5361" spans="1:16">
      <c r="A5361" s="3">
        <v>43946.943773148145</v>
      </c>
      <c r="B5361" s="4" t="str">
        <f>HYPERLINK("https://twitter.com/petrogustavo","@petrogustavo")</f>
        <v>@petrogustavo</v>
      </c>
      <c r="C5361" s="5" t="s">
        <v>16</v>
      </c>
      <c r="D5361" s="5" t="s">
        <v>5232</v>
      </c>
      <c r="E5361" s="6" t="str">
        <f>HYPERLINK("https://twitter.com/petrogustavo/status/1254095085098217474","1254095085098217474")</f>
        <v>1254095085098217474</v>
      </c>
      <c r="F5361" s="7" t="s">
        <v>17</v>
      </c>
      <c r="G5361" s="7">
        <v>3798518</v>
      </c>
      <c r="H5361" s="7">
        <v>2392</v>
      </c>
      <c r="I5361" s="7">
        <v>110</v>
      </c>
      <c r="J5361" s="7">
        <v>0</v>
      </c>
      <c r="K5361" s="7" t="s">
        <v>18</v>
      </c>
      <c r="L5361" s="8">
        <v>39987.315405092595</v>
      </c>
      <c r="M5361" s="9" t="s">
        <v>19</v>
      </c>
      <c r="N5361" s="9" t="s">
        <v>20</v>
      </c>
      <c r="O5361" s="6" t="str">
        <f>HYPERLINK("https://pbs.twimg.com/profile_images/962471262747529216/Uo8lOkRJ_normal.jpg","View")</f>
        <v>View</v>
      </c>
      <c r="P5361" s="7"/>
    </row>
    <row r="5362" spans="1:16">
      <c r="A5362" s="3">
        <v>43946.944270833337</v>
      </c>
      <c r="B5362" s="4" t="str">
        <f>HYPERLINK("https://twitter.com/petrogustavo","@petrogustavo")</f>
        <v>@petrogustavo</v>
      </c>
      <c r="C5362" s="5" t="s">
        <v>16</v>
      </c>
      <c r="D5362" s="5" t="s">
        <v>5233</v>
      </c>
      <c r="E5362" s="6" t="str">
        <f>HYPERLINK("https://twitter.com/petrogustavo/status/1254095262148108289","1254095262148108289")</f>
        <v>1254095262148108289</v>
      </c>
      <c r="F5362" s="7" t="s">
        <v>17</v>
      </c>
      <c r="G5362" s="7">
        <v>3798518</v>
      </c>
      <c r="H5362" s="7">
        <v>2392</v>
      </c>
      <c r="I5362" s="7">
        <v>110</v>
      </c>
      <c r="J5362" s="7">
        <v>0</v>
      </c>
      <c r="K5362" s="7" t="s">
        <v>18</v>
      </c>
      <c r="L5362" s="8">
        <v>39987.315405092595</v>
      </c>
      <c r="M5362" s="9" t="s">
        <v>19</v>
      </c>
      <c r="N5362" s="9" t="s">
        <v>20</v>
      </c>
      <c r="O5362" s="6" t="str">
        <f>HYPERLINK("https://pbs.twimg.com/profile_images/962471262747529216/Uo8lOkRJ_normal.jpg","View")</f>
        <v>View</v>
      </c>
      <c r="P5362" s="7"/>
    </row>
    <row r="5363" spans="1:16">
      <c r="A5363" s="3">
        <v>43946.945474537039</v>
      </c>
      <c r="B5363" s="4" t="str">
        <f>HYPERLINK("https://twitter.com/petrogustavo","@petrogustavo")</f>
        <v>@petrogustavo</v>
      </c>
      <c r="C5363" s="5" t="s">
        <v>16</v>
      </c>
      <c r="D5363" s="5" t="s">
        <v>5222</v>
      </c>
      <c r="E5363" s="6" t="str">
        <f>HYPERLINK("https://twitter.com/petrogustavo/status/1254095701878935552","1254095701878935552")</f>
        <v>1254095701878935552</v>
      </c>
      <c r="F5363" s="7" t="s">
        <v>17</v>
      </c>
      <c r="G5363" s="7">
        <v>3798518</v>
      </c>
      <c r="H5363" s="7">
        <v>2392</v>
      </c>
      <c r="I5363" s="7">
        <v>1298</v>
      </c>
      <c r="J5363" s="7">
        <v>0</v>
      </c>
      <c r="K5363" s="7" t="s">
        <v>18</v>
      </c>
      <c r="L5363" s="8">
        <v>39987.315405092595</v>
      </c>
      <c r="M5363" s="9" t="s">
        <v>19</v>
      </c>
      <c r="N5363" s="9" t="s">
        <v>20</v>
      </c>
      <c r="O5363" s="6" t="str">
        <f>HYPERLINK("https://pbs.twimg.com/profile_images/962471262747529216/Uo8lOkRJ_normal.jpg","View")</f>
        <v>View</v>
      </c>
      <c r="P5363" s="7"/>
    </row>
    <row r="5364" spans="1:16">
      <c r="A5364" s="3">
        <v>43946.945601851854</v>
      </c>
      <c r="B5364" s="4" t="str">
        <f>HYPERLINK("https://twitter.com/petrogustavo","@petrogustavo")</f>
        <v>@petrogustavo</v>
      </c>
      <c r="C5364" s="5" t="s">
        <v>16</v>
      </c>
      <c r="D5364" s="5" t="s">
        <v>5234</v>
      </c>
      <c r="E5364" s="6" t="str">
        <f>HYPERLINK("https://twitter.com/petrogustavo/status/1254095745818464256","1254095745818464256")</f>
        <v>1254095745818464256</v>
      </c>
      <c r="F5364" s="7" t="s">
        <v>17</v>
      </c>
      <c r="G5364" s="7">
        <v>3798518</v>
      </c>
      <c r="H5364" s="7">
        <v>2392</v>
      </c>
      <c r="I5364" s="7">
        <v>453</v>
      </c>
      <c r="J5364" s="7">
        <v>0</v>
      </c>
      <c r="K5364" s="7" t="s">
        <v>18</v>
      </c>
      <c r="L5364" s="8">
        <v>39987.315405092595</v>
      </c>
      <c r="M5364" s="9" t="s">
        <v>19</v>
      </c>
      <c r="N5364" s="9" t="s">
        <v>20</v>
      </c>
      <c r="O5364" s="6" t="str">
        <f>HYPERLINK("https://pbs.twimg.com/profile_images/962471262747529216/Uo8lOkRJ_normal.jpg","View")</f>
        <v>View</v>
      </c>
      <c r="P5364" s="7"/>
    </row>
    <row r="5365" spans="1:16">
      <c r="A5365" s="3">
        <v>43946.945717592593</v>
      </c>
      <c r="B5365" s="4" t="str">
        <f>HYPERLINK("https://twitter.com/petrogustavo","@petrogustavo")</f>
        <v>@petrogustavo</v>
      </c>
      <c r="C5365" s="5" t="s">
        <v>16</v>
      </c>
      <c r="D5365" s="5" t="s">
        <v>5235</v>
      </c>
      <c r="E5365" s="6" t="str">
        <f>HYPERLINK("https://twitter.com/petrogustavo/status/1254095787170189313","1254095787170189313")</f>
        <v>1254095787170189313</v>
      </c>
      <c r="F5365" s="7" t="s">
        <v>17</v>
      </c>
      <c r="G5365" s="7">
        <v>3798518</v>
      </c>
      <c r="H5365" s="7">
        <v>2392</v>
      </c>
      <c r="I5365" s="7">
        <v>235</v>
      </c>
      <c r="J5365" s="7">
        <v>0</v>
      </c>
      <c r="K5365" s="7" t="s">
        <v>18</v>
      </c>
      <c r="L5365" s="8">
        <v>39987.315405092595</v>
      </c>
      <c r="M5365" s="9" t="s">
        <v>19</v>
      </c>
      <c r="N5365" s="9" t="s">
        <v>20</v>
      </c>
      <c r="O5365" s="6" t="str">
        <f>HYPERLINK("https://pbs.twimg.com/profile_images/962471262747529216/Uo8lOkRJ_normal.jpg","View")</f>
        <v>View</v>
      </c>
      <c r="P5365" s="7"/>
    </row>
    <row r="5366" spans="1:16">
      <c r="A5366" s="3">
        <v>43946.945763888885</v>
      </c>
      <c r="B5366" s="4" t="str">
        <f>HYPERLINK("https://twitter.com/petrogustavo","@petrogustavo")</f>
        <v>@petrogustavo</v>
      </c>
      <c r="C5366" s="5" t="s">
        <v>16</v>
      </c>
      <c r="D5366" s="5" t="s">
        <v>5236</v>
      </c>
      <c r="E5366" s="6" t="str">
        <f>HYPERLINK("https://twitter.com/petrogustavo/status/1254095804995899393","1254095804995899393")</f>
        <v>1254095804995899393</v>
      </c>
      <c r="F5366" s="7" t="s">
        <v>17</v>
      </c>
      <c r="G5366" s="7">
        <v>3798518</v>
      </c>
      <c r="H5366" s="7">
        <v>2392</v>
      </c>
      <c r="I5366" s="7">
        <v>246</v>
      </c>
      <c r="J5366" s="7">
        <v>0</v>
      </c>
      <c r="K5366" s="7" t="s">
        <v>18</v>
      </c>
      <c r="L5366" s="8">
        <v>39987.315405092595</v>
      </c>
      <c r="M5366" s="9" t="s">
        <v>19</v>
      </c>
      <c r="N5366" s="9" t="s">
        <v>20</v>
      </c>
      <c r="O5366" s="6" t="str">
        <f>HYPERLINK("https://pbs.twimg.com/profile_images/962471262747529216/Uo8lOkRJ_normal.jpg","View")</f>
        <v>View</v>
      </c>
      <c r="P5366" s="7"/>
    </row>
    <row r="5367" spans="1:16">
      <c r="A5367" s="3">
        <v>43946.946018518516</v>
      </c>
      <c r="B5367" s="4" t="str">
        <f>HYPERLINK("https://twitter.com/petrogustavo","@petrogustavo")</f>
        <v>@petrogustavo</v>
      </c>
      <c r="C5367" s="5" t="s">
        <v>16</v>
      </c>
      <c r="D5367" s="5" t="s">
        <v>5226</v>
      </c>
      <c r="E5367" s="6" t="str">
        <f>HYPERLINK("https://twitter.com/petrogustavo/status/1254095897098665984","1254095897098665984")</f>
        <v>1254095897098665984</v>
      </c>
      <c r="F5367" s="7" t="s">
        <v>17</v>
      </c>
      <c r="G5367" s="7">
        <v>3798518</v>
      </c>
      <c r="H5367" s="7">
        <v>2392</v>
      </c>
      <c r="I5367" s="7">
        <v>746</v>
      </c>
      <c r="J5367" s="7">
        <v>0</v>
      </c>
      <c r="K5367" s="7" t="s">
        <v>18</v>
      </c>
      <c r="L5367" s="8">
        <v>39987.315405092595</v>
      </c>
      <c r="M5367" s="9" t="s">
        <v>19</v>
      </c>
      <c r="N5367" s="9" t="s">
        <v>20</v>
      </c>
      <c r="O5367" s="6" t="str">
        <f>HYPERLINK("https://pbs.twimg.com/profile_images/962471262747529216/Uo8lOkRJ_normal.jpg","View")</f>
        <v>View</v>
      </c>
      <c r="P5367" s="7"/>
    </row>
    <row r="5368" spans="1:16">
      <c r="A5368" s="3">
        <v>43947.122118055559</v>
      </c>
      <c r="B5368" s="4" t="str">
        <f>HYPERLINK("https://twitter.com/petrogustavo","@petrogustavo")</f>
        <v>@petrogustavo</v>
      </c>
      <c r="C5368" s="5" t="s">
        <v>16</v>
      </c>
      <c r="D5368" s="5" t="s">
        <v>5237</v>
      </c>
      <c r="E5368" s="6" t="str">
        <f>HYPERLINK("https://twitter.com/petrogustavo/status/1254159713975119875","1254159713975119875")</f>
        <v>1254159713975119875</v>
      </c>
      <c r="F5368" s="7" t="s">
        <v>21</v>
      </c>
      <c r="G5368" s="7">
        <v>3798888</v>
      </c>
      <c r="H5368" s="7">
        <v>2392</v>
      </c>
      <c r="I5368" s="7">
        <v>53</v>
      </c>
      <c r="J5368" s="7">
        <v>128</v>
      </c>
      <c r="K5368" s="7" t="s">
        <v>18</v>
      </c>
      <c r="L5368" s="8">
        <v>39987.315405092595</v>
      </c>
      <c r="M5368" s="9" t="s">
        <v>19</v>
      </c>
      <c r="N5368" s="9" t="s">
        <v>20</v>
      </c>
      <c r="O5368" s="6" t="str">
        <f>HYPERLINK("https://pbs.twimg.com/profile_images/962471262747529216/Uo8lOkRJ_normal.jpg","View")</f>
        <v>View</v>
      </c>
      <c r="P5368" s="7"/>
    </row>
    <row r="5369" spans="1:16">
      <c r="A5369" s="3">
        <v>43947.225451388891</v>
      </c>
      <c r="B5369" s="4" t="str">
        <f>HYPERLINK("https://twitter.com/petrogustavo","@petrogustavo")</f>
        <v>@petrogustavo</v>
      </c>
      <c r="C5369" s="5" t="s">
        <v>16</v>
      </c>
      <c r="D5369" s="5" t="s">
        <v>5238</v>
      </c>
      <c r="E5369" s="6" t="str">
        <f>HYPERLINK("https://twitter.com/petrogustavo/status/1254197159332925441","1254197159332925441")</f>
        <v>1254197159332925441</v>
      </c>
      <c r="F5369" s="7" t="s">
        <v>17</v>
      </c>
      <c r="G5369" s="7">
        <v>3799130</v>
      </c>
      <c r="H5369" s="7">
        <v>2392</v>
      </c>
      <c r="I5369" s="7">
        <v>50</v>
      </c>
      <c r="J5369" s="7">
        <v>0</v>
      </c>
      <c r="K5369" s="7" t="s">
        <v>18</v>
      </c>
      <c r="L5369" s="8">
        <v>39987.315405092595</v>
      </c>
      <c r="M5369" s="9" t="s">
        <v>19</v>
      </c>
      <c r="N5369" s="9" t="s">
        <v>20</v>
      </c>
      <c r="O5369" s="6" t="str">
        <f>HYPERLINK("https://pbs.twimg.com/profile_images/962471262747529216/Uo8lOkRJ_normal.jpg","View")</f>
        <v>View</v>
      </c>
      <c r="P5369" s="7"/>
    </row>
    <row r="5370" spans="1:16">
      <c r="A5370" s="3">
        <v>43947.240763888884</v>
      </c>
      <c r="B5370" s="4" t="str">
        <f>HYPERLINK("https://twitter.com/petrogustavo","@petrogustavo")</f>
        <v>@petrogustavo</v>
      </c>
      <c r="C5370" s="5" t="s">
        <v>16</v>
      </c>
      <c r="D5370" s="5" t="s">
        <v>5239</v>
      </c>
      <c r="E5370" s="6" t="str">
        <f>HYPERLINK("https://twitter.com/petrogustavo/status/1254202709386895367","1254202709386895367")</f>
        <v>1254202709386895367</v>
      </c>
      <c r="F5370" s="7" t="s">
        <v>17</v>
      </c>
      <c r="G5370" s="7">
        <v>3799143</v>
      </c>
      <c r="H5370" s="7">
        <v>2392</v>
      </c>
      <c r="I5370" s="7">
        <v>133</v>
      </c>
      <c r="J5370" s="7">
        <v>312</v>
      </c>
      <c r="K5370" s="7" t="s">
        <v>18</v>
      </c>
      <c r="L5370" s="8">
        <v>39987.315405092595</v>
      </c>
      <c r="M5370" s="9" t="s">
        <v>19</v>
      </c>
      <c r="N5370" s="9" t="s">
        <v>20</v>
      </c>
      <c r="O5370" s="6" t="str">
        <f>HYPERLINK("https://pbs.twimg.com/profile_images/962471262747529216/Uo8lOkRJ_normal.jpg","View")</f>
        <v>View</v>
      </c>
      <c r="P5370" s="7"/>
    </row>
    <row r="5371" spans="1:16">
      <c r="A5371" s="3">
        <v>43947.244513888887</v>
      </c>
      <c r="B5371" s="4" t="str">
        <f>HYPERLINK("https://twitter.com/petrogustavo","@petrogustavo")</f>
        <v>@petrogustavo</v>
      </c>
      <c r="C5371" s="5" t="s">
        <v>16</v>
      </c>
      <c r="D5371" s="5" t="s">
        <v>5240</v>
      </c>
      <c r="E5371" s="6" t="str">
        <f>HYPERLINK("https://twitter.com/petrogustavo/status/1254204066776993796","1254204066776993796")</f>
        <v>1254204066776993796</v>
      </c>
      <c r="F5371" s="7" t="s">
        <v>17</v>
      </c>
      <c r="G5371" s="7">
        <v>3799143</v>
      </c>
      <c r="H5371" s="7">
        <v>2392</v>
      </c>
      <c r="I5371" s="7">
        <v>56</v>
      </c>
      <c r="J5371" s="7">
        <v>135</v>
      </c>
      <c r="K5371" s="7" t="s">
        <v>18</v>
      </c>
      <c r="L5371" s="8">
        <v>39987.315405092595</v>
      </c>
      <c r="M5371" s="9" t="s">
        <v>19</v>
      </c>
      <c r="N5371" s="9" t="s">
        <v>20</v>
      </c>
      <c r="O5371" s="6" t="str">
        <f>HYPERLINK("https://pbs.twimg.com/profile_images/962471262747529216/Uo8lOkRJ_normal.jpg","View")</f>
        <v>View</v>
      </c>
      <c r="P5371" s="7"/>
    </row>
    <row r="5372" spans="1:16">
      <c r="A5372" s="3">
        <v>43947.24800925926</v>
      </c>
      <c r="B5372" s="4" t="str">
        <f>HYPERLINK("https://twitter.com/petrogustavo","@petrogustavo")</f>
        <v>@petrogustavo</v>
      </c>
      <c r="C5372" s="5" t="s">
        <v>16</v>
      </c>
      <c r="D5372" s="5" t="s">
        <v>5241</v>
      </c>
      <c r="E5372" s="6" t="str">
        <f>HYPERLINK("https://twitter.com/petrogustavo/status/1254205334643671042","1254205334643671042")</f>
        <v>1254205334643671042</v>
      </c>
      <c r="F5372" s="7" t="s">
        <v>17</v>
      </c>
      <c r="G5372" s="7">
        <v>3799143</v>
      </c>
      <c r="H5372" s="7">
        <v>2392</v>
      </c>
      <c r="I5372" s="7">
        <v>39</v>
      </c>
      <c r="J5372" s="7">
        <v>129</v>
      </c>
      <c r="K5372" s="7" t="s">
        <v>18</v>
      </c>
      <c r="L5372" s="8">
        <v>39987.315405092595</v>
      </c>
      <c r="M5372" s="9" t="s">
        <v>19</v>
      </c>
      <c r="N5372" s="9" t="s">
        <v>20</v>
      </c>
      <c r="O5372" s="6" t="str">
        <f>HYPERLINK("https://pbs.twimg.com/profile_images/962471262747529216/Uo8lOkRJ_normal.jpg","View")</f>
        <v>View</v>
      </c>
      <c r="P5372" s="7"/>
    </row>
    <row r="5373" spans="1:16">
      <c r="A5373" s="3">
        <v>43947.250150462962</v>
      </c>
      <c r="B5373" s="4" t="str">
        <f>HYPERLINK("https://twitter.com/petrogustavo","@petrogustavo")</f>
        <v>@petrogustavo</v>
      </c>
      <c r="C5373" s="5" t="s">
        <v>16</v>
      </c>
      <c r="D5373" s="5" t="s">
        <v>5242</v>
      </c>
      <c r="E5373" s="6" t="str">
        <f>HYPERLINK("https://twitter.com/petrogustavo/status/1254206112213106689","1254206112213106689")</f>
        <v>1254206112213106689</v>
      </c>
      <c r="F5373" s="7" t="s">
        <v>17</v>
      </c>
      <c r="G5373" s="7">
        <v>3799143</v>
      </c>
      <c r="H5373" s="7">
        <v>2392</v>
      </c>
      <c r="I5373" s="7">
        <v>15</v>
      </c>
      <c r="J5373" s="7">
        <v>45</v>
      </c>
      <c r="K5373" s="7" t="s">
        <v>18</v>
      </c>
      <c r="L5373" s="8">
        <v>39987.315405092595</v>
      </c>
      <c r="M5373" s="9" t="s">
        <v>19</v>
      </c>
      <c r="N5373" s="9" t="s">
        <v>20</v>
      </c>
      <c r="O5373" s="6" t="str">
        <f>HYPERLINK("https://pbs.twimg.com/profile_images/962471262747529216/Uo8lOkRJ_normal.jpg","View")</f>
        <v>View</v>
      </c>
      <c r="P5373" s="7"/>
    </row>
    <row r="5374" spans="1:16">
      <c r="A5374" s="3">
        <v>43947.250254629631</v>
      </c>
      <c r="B5374" s="4" t="str">
        <f>HYPERLINK("https://twitter.com/petrogustavo","@petrogustavo")</f>
        <v>@petrogustavo</v>
      </c>
      <c r="C5374" s="5" t="s">
        <v>16</v>
      </c>
      <c r="D5374" s="5" t="s">
        <v>5243</v>
      </c>
      <c r="E5374" s="6" t="str">
        <f>HYPERLINK("https://twitter.com/petrogustavo/status/1254206146690404357","1254206146690404357")</f>
        <v>1254206146690404357</v>
      </c>
      <c r="F5374" s="7" t="s">
        <v>17</v>
      </c>
      <c r="G5374" s="7">
        <v>3799143</v>
      </c>
      <c r="H5374" s="7">
        <v>2392</v>
      </c>
      <c r="I5374" s="7">
        <v>133</v>
      </c>
      <c r="J5374" s="7">
        <v>0</v>
      </c>
      <c r="K5374" s="7" t="s">
        <v>18</v>
      </c>
      <c r="L5374" s="8">
        <v>39987.315405092595</v>
      </c>
      <c r="M5374" s="9" t="s">
        <v>19</v>
      </c>
      <c r="N5374" s="9" t="s">
        <v>20</v>
      </c>
      <c r="O5374" s="6" t="str">
        <f>HYPERLINK("https://pbs.twimg.com/profile_images/962471262747529216/Uo8lOkRJ_normal.jpg","View")</f>
        <v>View</v>
      </c>
      <c r="P5374" s="7"/>
    </row>
    <row r="5375" spans="1:16">
      <c r="A5375" s="3">
        <v>43947.296064814815</v>
      </c>
      <c r="B5375" s="4" t="str">
        <f>HYPERLINK("https://twitter.com/petrogustavo","@petrogustavo")</f>
        <v>@petrogustavo</v>
      </c>
      <c r="C5375" s="5" t="s">
        <v>16</v>
      </c>
      <c r="D5375" s="5" t="s">
        <v>5244</v>
      </c>
      <c r="E5375" s="6" t="str">
        <f>HYPERLINK("https://twitter.com/petrogustavo/status/1254222747795951617","1254222747795951617")</f>
        <v>1254222747795951617</v>
      </c>
      <c r="F5375" s="7" t="s">
        <v>17</v>
      </c>
      <c r="G5375" s="7">
        <v>3799299</v>
      </c>
      <c r="H5375" s="7">
        <v>2392</v>
      </c>
      <c r="I5375" s="7">
        <v>154</v>
      </c>
      <c r="J5375" s="7">
        <v>526</v>
      </c>
      <c r="K5375" s="7" t="s">
        <v>18</v>
      </c>
      <c r="L5375" s="8">
        <v>39987.315405092595</v>
      </c>
      <c r="M5375" s="9" t="s">
        <v>19</v>
      </c>
      <c r="N5375" s="9" t="s">
        <v>20</v>
      </c>
      <c r="O5375" s="6" t="str">
        <f>HYPERLINK("https://pbs.twimg.com/profile_images/962471262747529216/Uo8lOkRJ_normal.jpg","View")</f>
        <v>View</v>
      </c>
      <c r="P5375" s="7"/>
    </row>
    <row r="5376" spans="1:16">
      <c r="A5376" s="3">
        <v>43947.323124999995</v>
      </c>
      <c r="B5376" s="4" t="str">
        <f>HYPERLINK("https://twitter.com/petrogustavo","@petrogustavo")</f>
        <v>@petrogustavo</v>
      </c>
      <c r="C5376" s="5" t="s">
        <v>16</v>
      </c>
      <c r="D5376" s="5" t="s">
        <v>5245</v>
      </c>
      <c r="E5376" s="6" t="str">
        <f>HYPERLINK("https://twitter.com/petrogustavo/status/1254232556091949056","1254232556091949056")</f>
        <v>1254232556091949056</v>
      </c>
      <c r="F5376" s="7" t="s">
        <v>17</v>
      </c>
      <c r="G5376" s="7">
        <v>3799351</v>
      </c>
      <c r="H5376" s="7">
        <v>2392</v>
      </c>
      <c r="I5376" s="7">
        <v>67</v>
      </c>
      <c r="J5376" s="7">
        <v>165</v>
      </c>
      <c r="K5376" s="7" t="s">
        <v>18</v>
      </c>
      <c r="L5376" s="8">
        <v>39987.315405092595</v>
      </c>
      <c r="M5376" s="9" t="s">
        <v>19</v>
      </c>
      <c r="N5376" s="9" t="s">
        <v>20</v>
      </c>
      <c r="O5376" s="6" t="str">
        <f>HYPERLINK("https://pbs.twimg.com/profile_images/962471262747529216/Uo8lOkRJ_normal.jpg","View")</f>
        <v>View</v>
      </c>
      <c r="P5376" s="7"/>
    </row>
    <row r="5377" spans="1:16">
      <c r="A5377" s="3">
        <v>43947.32439814815</v>
      </c>
      <c r="B5377" s="4" t="str">
        <f>HYPERLINK("https://twitter.com/petrogustavo","@petrogustavo")</f>
        <v>@petrogustavo</v>
      </c>
      <c r="C5377" s="5" t="s">
        <v>16</v>
      </c>
      <c r="D5377" s="5" t="s">
        <v>5243</v>
      </c>
      <c r="E5377" s="6" t="str">
        <f>HYPERLINK("https://twitter.com/petrogustavo/status/1254233015544360960","1254233015544360960")</f>
        <v>1254233015544360960</v>
      </c>
      <c r="F5377" s="7" t="s">
        <v>17</v>
      </c>
      <c r="G5377" s="7">
        <v>3799351</v>
      </c>
      <c r="H5377" s="7">
        <v>2392</v>
      </c>
      <c r="I5377" s="7">
        <v>480</v>
      </c>
      <c r="J5377" s="7">
        <v>0</v>
      </c>
      <c r="K5377" s="7" t="s">
        <v>18</v>
      </c>
      <c r="L5377" s="8">
        <v>39987.315405092595</v>
      </c>
      <c r="M5377" s="9" t="s">
        <v>19</v>
      </c>
      <c r="N5377" s="9" t="s">
        <v>20</v>
      </c>
      <c r="O5377" s="6" t="str">
        <f>HYPERLINK("https://pbs.twimg.com/profile_images/962471262747529216/Uo8lOkRJ_normal.jpg","View")</f>
        <v>View</v>
      </c>
      <c r="P5377" s="7"/>
    </row>
    <row r="5378" spans="1:16">
      <c r="A5378" s="3">
        <v>43947.324525462958</v>
      </c>
      <c r="B5378" s="4" t="str">
        <f>HYPERLINK("https://twitter.com/petrogustavo","@petrogustavo")</f>
        <v>@petrogustavo</v>
      </c>
      <c r="C5378" s="5" t="s">
        <v>16</v>
      </c>
      <c r="D5378" s="5" t="s">
        <v>5246</v>
      </c>
      <c r="E5378" s="6" t="str">
        <f>HYPERLINK("https://twitter.com/petrogustavo/status/1254233065460768770","1254233065460768770")</f>
        <v>1254233065460768770</v>
      </c>
      <c r="F5378" s="7" t="s">
        <v>17</v>
      </c>
      <c r="G5378" s="7">
        <v>3799351</v>
      </c>
      <c r="H5378" s="7">
        <v>2392</v>
      </c>
      <c r="I5378" s="7">
        <v>67</v>
      </c>
      <c r="J5378" s="7">
        <v>0</v>
      </c>
      <c r="K5378" s="7" t="s">
        <v>18</v>
      </c>
      <c r="L5378" s="8">
        <v>39987.315405092595</v>
      </c>
      <c r="M5378" s="9" t="s">
        <v>19</v>
      </c>
      <c r="N5378" s="9" t="s">
        <v>20</v>
      </c>
      <c r="O5378" s="6" t="str">
        <f>HYPERLINK("https://pbs.twimg.com/profile_images/962471262747529216/Uo8lOkRJ_normal.jpg","View")</f>
        <v>View</v>
      </c>
      <c r="P5378" s="7"/>
    </row>
    <row r="5379" spans="1:16">
      <c r="A5379" s="3">
        <v>43947.732928240745</v>
      </c>
      <c r="B5379" s="4" t="str">
        <f>HYPERLINK("https://twitter.com/petrogustavo","@petrogustavo")</f>
        <v>@petrogustavo</v>
      </c>
      <c r="C5379" s="5" t="s">
        <v>16</v>
      </c>
      <c r="D5379" s="5" t="s">
        <v>5246</v>
      </c>
      <c r="E5379" s="6" t="str">
        <f>HYPERLINK("https://twitter.com/petrogustavo/status/1254381064484802560","1254381064484802560")</f>
        <v>1254381064484802560</v>
      </c>
      <c r="F5379" s="7" t="s">
        <v>17</v>
      </c>
      <c r="G5379" s="7">
        <v>3799762</v>
      </c>
      <c r="H5379" s="7">
        <v>2393</v>
      </c>
      <c r="I5379" s="7">
        <v>273</v>
      </c>
      <c r="J5379" s="7">
        <v>0</v>
      </c>
      <c r="K5379" s="7" t="s">
        <v>18</v>
      </c>
      <c r="L5379" s="8">
        <v>39987.315405092595</v>
      </c>
      <c r="M5379" s="9" t="s">
        <v>19</v>
      </c>
      <c r="N5379" s="9" t="s">
        <v>20</v>
      </c>
      <c r="O5379" s="6" t="str">
        <f>HYPERLINK("https://pbs.twimg.com/profile_images/962471262747529216/Uo8lOkRJ_normal.jpg","View")</f>
        <v>View</v>
      </c>
      <c r="P5379" s="7"/>
    </row>
    <row r="5380" spans="1:16">
      <c r="A5380" s="3">
        <v>43947.736805555556</v>
      </c>
      <c r="B5380" s="4" t="str">
        <f>HYPERLINK("https://twitter.com/petrogustavo","@petrogustavo")</f>
        <v>@petrogustavo</v>
      </c>
      <c r="C5380" s="5" t="s">
        <v>16</v>
      </c>
      <c r="D5380" s="5" t="s">
        <v>5247</v>
      </c>
      <c r="E5380" s="6" t="str">
        <f>HYPERLINK("https://twitter.com/petrogustavo/status/1254382469404598272","1254382469404598272")</f>
        <v>1254382469404598272</v>
      </c>
      <c r="F5380" s="7" t="s">
        <v>17</v>
      </c>
      <c r="G5380" s="7">
        <v>3799762</v>
      </c>
      <c r="H5380" s="7">
        <v>2393</v>
      </c>
      <c r="I5380" s="7">
        <v>86</v>
      </c>
      <c r="J5380" s="7">
        <v>197</v>
      </c>
      <c r="K5380" s="7" t="s">
        <v>18</v>
      </c>
      <c r="L5380" s="8">
        <v>39987.315405092595</v>
      </c>
      <c r="M5380" s="9" t="s">
        <v>19</v>
      </c>
      <c r="N5380" s="9" t="s">
        <v>20</v>
      </c>
      <c r="O5380" s="6" t="str">
        <f>HYPERLINK("https://pbs.twimg.com/profile_images/962471262747529216/Uo8lOkRJ_normal.jpg","View")</f>
        <v>View</v>
      </c>
      <c r="P5380" s="7"/>
    </row>
    <row r="5381" spans="1:16">
      <c r="A5381" s="3">
        <v>43947.738773148143</v>
      </c>
      <c r="B5381" s="4" t="str">
        <f>HYPERLINK("https://twitter.com/petrogustavo","@petrogustavo")</f>
        <v>@petrogustavo</v>
      </c>
      <c r="C5381" s="5" t="s">
        <v>16</v>
      </c>
      <c r="D5381" s="5" t="s">
        <v>5248</v>
      </c>
      <c r="E5381" s="6" t="str">
        <f>HYPERLINK("https://twitter.com/petrogustavo/status/1254383180599132161","1254383180599132161")</f>
        <v>1254383180599132161</v>
      </c>
      <c r="F5381" s="7" t="s">
        <v>17</v>
      </c>
      <c r="G5381" s="7">
        <v>3799762</v>
      </c>
      <c r="H5381" s="7">
        <v>2393</v>
      </c>
      <c r="I5381" s="7">
        <v>32</v>
      </c>
      <c r="J5381" s="7">
        <v>0</v>
      </c>
      <c r="K5381" s="7" t="s">
        <v>18</v>
      </c>
      <c r="L5381" s="8">
        <v>39987.315405092595</v>
      </c>
      <c r="M5381" s="9" t="s">
        <v>19</v>
      </c>
      <c r="N5381" s="9" t="s">
        <v>20</v>
      </c>
      <c r="O5381" s="6" t="str">
        <f>HYPERLINK("https://pbs.twimg.com/profile_images/962471262747529216/Uo8lOkRJ_normal.jpg","View")</f>
        <v>View</v>
      </c>
      <c r="P5381" s="7"/>
    </row>
    <row r="5382" spans="1:16">
      <c r="A5382" s="3">
        <v>43947.746238425927</v>
      </c>
      <c r="B5382" s="4" t="str">
        <f>HYPERLINK("https://twitter.com/petrogustavo","@petrogustavo")</f>
        <v>@petrogustavo</v>
      </c>
      <c r="C5382" s="5" t="s">
        <v>16</v>
      </c>
      <c r="D5382" s="5" t="s">
        <v>5243</v>
      </c>
      <c r="E5382" s="6" t="str">
        <f>HYPERLINK("https://twitter.com/petrogustavo/status/1254385886873206784","1254385886873206784")</f>
        <v>1254385886873206784</v>
      </c>
      <c r="F5382" s="7" t="s">
        <v>17</v>
      </c>
      <c r="G5382" s="7">
        <v>3799762</v>
      </c>
      <c r="H5382" s="7">
        <v>2393</v>
      </c>
      <c r="I5382" s="7">
        <v>782</v>
      </c>
      <c r="J5382" s="7">
        <v>0</v>
      </c>
      <c r="K5382" s="7" t="s">
        <v>18</v>
      </c>
      <c r="L5382" s="8">
        <v>39987.315405092595</v>
      </c>
      <c r="M5382" s="9" t="s">
        <v>19</v>
      </c>
      <c r="N5382" s="9" t="s">
        <v>20</v>
      </c>
      <c r="O5382" s="6" t="str">
        <f>HYPERLINK("https://pbs.twimg.com/profile_images/962471262747529216/Uo8lOkRJ_normal.jpg","View")</f>
        <v>View</v>
      </c>
      <c r="P5382" s="7"/>
    </row>
    <row r="5383" spans="1:16">
      <c r="A5383" s="3">
        <v>43947.746631944443</v>
      </c>
      <c r="B5383" s="4" t="str">
        <f>HYPERLINK("https://twitter.com/petrogustavo","@petrogustavo")</f>
        <v>@petrogustavo</v>
      </c>
      <c r="C5383" s="5" t="s">
        <v>16</v>
      </c>
      <c r="D5383" s="5" t="s">
        <v>5249</v>
      </c>
      <c r="E5383" s="6" t="str">
        <f>HYPERLINK("https://twitter.com/petrogustavo/status/1254386029236301824","1254386029236301824")</f>
        <v>1254386029236301824</v>
      </c>
      <c r="F5383" s="7" t="s">
        <v>17</v>
      </c>
      <c r="G5383" s="7">
        <v>3799762</v>
      </c>
      <c r="H5383" s="7">
        <v>2393</v>
      </c>
      <c r="I5383" s="7">
        <v>9</v>
      </c>
      <c r="J5383" s="7">
        <v>0</v>
      </c>
      <c r="K5383" s="7" t="s">
        <v>18</v>
      </c>
      <c r="L5383" s="8">
        <v>39987.315405092595</v>
      </c>
      <c r="M5383" s="9" t="s">
        <v>19</v>
      </c>
      <c r="N5383" s="9" t="s">
        <v>20</v>
      </c>
      <c r="O5383" s="6" t="str">
        <f>HYPERLINK("https://pbs.twimg.com/profile_images/962471262747529216/Uo8lOkRJ_normal.jpg","View")</f>
        <v>View</v>
      </c>
      <c r="P5383" s="7"/>
    </row>
    <row r="5384" spans="1:16">
      <c r="A5384" s="3">
        <v>43947.763969907406</v>
      </c>
      <c r="B5384" s="4" t="str">
        <f>HYPERLINK("https://twitter.com/petrogustavo","@petrogustavo")</f>
        <v>@petrogustavo</v>
      </c>
      <c r="C5384" s="5" t="s">
        <v>16</v>
      </c>
      <c r="D5384" s="5" t="s">
        <v>5250</v>
      </c>
      <c r="E5384" s="6" t="str">
        <f>HYPERLINK("https://twitter.com/petrogustavo/status/1254392314845421571","1254392314845421571")</f>
        <v>1254392314845421571</v>
      </c>
      <c r="F5384" s="7" t="s">
        <v>17</v>
      </c>
      <c r="G5384" s="7">
        <v>3799800</v>
      </c>
      <c r="H5384" s="7">
        <v>2393</v>
      </c>
      <c r="I5384" s="7">
        <v>103</v>
      </c>
      <c r="J5384" s="7">
        <v>170</v>
      </c>
      <c r="K5384" s="7" t="s">
        <v>18</v>
      </c>
      <c r="L5384" s="8">
        <v>39987.315405092595</v>
      </c>
      <c r="M5384" s="9" t="s">
        <v>19</v>
      </c>
      <c r="N5384" s="9" t="s">
        <v>20</v>
      </c>
      <c r="O5384" s="6" t="str">
        <f>HYPERLINK("https://pbs.twimg.com/profile_images/962471262747529216/Uo8lOkRJ_normal.jpg","View")</f>
        <v>View</v>
      </c>
      <c r="P5384" s="7"/>
    </row>
    <row r="5385" spans="1:16">
      <c r="A5385" s="3">
        <v>43947.775937500002</v>
      </c>
      <c r="B5385" s="4" t="str">
        <f>HYPERLINK("https://twitter.com/petrogustavo","@petrogustavo")</f>
        <v>@petrogustavo</v>
      </c>
      <c r="C5385" s="5" t="s">
        <v>16</v>
      </c>
      <c r="D5385" s="5" t="s">
        <v>5251</v>
      </c>
      <c r="E5385" s="6" t="str">
        <f>HYPERLINK("https://twitter.com/petrogustavo/status/1254396651332083713","1254396651332083713")</f>
        <v>1254396651332083713</v>
      </c>
      <c r="F5385" s="7" t="s">
        <v>17</v>
      </c>
      <c r="G5385" s="7">
        <v>3799824</v>
      </c>
      <c r="H5385" s="7">
        <v>2393</v>
      </c>
      <c r="I5385" s="7">
        <v>144</v>
      </c>
      <c r="J5385" s="7">
        <v>0</v>
      </c>
      <c r="K5385" s="7" t="s">
        <v>18</v>
      </c>
      <c r="L5385" s="8">
        <v>39987.315405092595</v>
      </c>
      <c r="M5385" s="9" t="s">
        <v>19</v>
      </c>
      <c r="N5385" s="9" t="s">
        <v>20</v>
      </c>
      <c r="O5385" s="6" t="str">
        <f>HYPERLINK("https://pbs.twimg.com/profile_images/962471262747529216/Uo8lOkRJ_normal.jpg","View")</f>
        <v>View</v>
      </c>
      <c r="P5385" s="7"/>
    </row>
    <row r="5386" spans="1:16">
      <c r="A5386" s="3">
        <v>43947.780046296291</v>
      </c>
      <c r="B5386" s="4" t="str">
        <f>HYPERLINK("https://twitter.com/petrogustavo","@petrogustavo")</f>
        <v>@petrogustavo</v>
      </c>
      <c r="C5386" s="5" t="s">
        <v>16</v>
      </c>
      <c r="D5386" s="5" t="s">
        <v>5252</v>
      </c>
      <c r="E5386" s="6" t="str">
        <f>HYPERLINK("https://twitter.com/petrogustavo/status/1254398139974508544","1254398139974508544")</f>
        <v>1254398139974508544</v>
      </c>
      <c r="F5386" s="7" t="s">
        <v>17</v>
      </c>
      <c r="G5386" s="7">
        <v>3799824</v>
      </c>
      <c r="H5386" s="7">
        <v>2393</v>
      </c>
      <c r="I5386" s="7">
        <v>72</v>
      </c>
      <c r="J5386" s="7">
        <v>194</v>
      </c>
      <c r="K5386" s="7" t="s">
        <v>18</v>
      </c>
      <c r="L5386" s="8">
        <v>39987.315405092595</v>
      </c>
      <c r="M5386" s="9" t="s">
        <v>19</v>
      </c>
      <c r="N5386" s="9" t="s">
        <v>20</v>
      </c>
      <c r="O5386" s="6" t="str">
        <f>HYPERLINK("https://pbs.twimg.com/profile_images/962471262747529216/Uo8lOkRJ_normal.jpg","View")</f>
        <v>View</v>
      </c>
      <c r="P5386" s="7"/>
    </row>
    <row r="5387" spans="1:16">
      <c r="A5387" s="3">
        <v>43947.780428240745</v>
      </c>
      <c r="B5387" s="4" t="str">
        <f>HYPERLINK("https://twitter.com/petrogustavo","@petrogustavo")</f>
        <v>@petrogustavo</v>
      </c>
      <c r="C5387" s="5" t="s">
        <v>16</v>
      </c>
      <c r="D5387" s="5" t="s">
        <v>5253</v>
      </c>
      <c r="E5387" s="6" t="str">
        <f>HYPERLINK("https://twitter.com/petrogustavo/status/1254398277254025217","1254398277254025217")</f>
        <v>1254398277254025217</v>
      </c>
      <c r="F5387" s="7" t="s">
        <v>17</v>
      </c>
      <c r="G5387" s="7">
        <v>3799824</v>
      </c>
      <c r="H5387" s="7">
        <v>2393</v>
      </c>
      <c r="I5387" s="7">
        <v>27</v>
      </c>
      <c r="J5387" s="7">
        <v>0</v>
      </c>
      <c r="K5387" s="7" t="s">
        <v>18</v>
      </c>
      <c r="L5387" s="8">
        <v>39987.315405092595</v>
      </c>
      <c r="M5387" s="9" t="s">
        <v>19</v>
      </c>
      <c r="N5387" s="9" t="s">
        <v>20</v>
      </c>
      <c r="O5387" s="6" t="str">
        <f>HYPERLINK("https://pbs.twimg.com/profile_images/962471262747529216/Uo8lOkRJ_normal.jpg","View")</f>
        <v>View</v>
      </c>
      <c r="P5387" s="7"/>
    </row>
    <row r="5388" spans="1:16">
      <c r="A5388" s="3">
        <v>43947.787083333329</v>
      </c>
      <c r="B5388" s="4" t="str">
        <f>HYPERLINK("https://twitter.com/petrogustavo","@petrogustavo")</f>
        <v>@petrogustavo</v>
      </c>
      <c r="C5388" s="5" t="s">
        <v>16</v>
      </c>
      <c r="D5388" s="5" t="s">
        <v>5254</v>
      </c>
      <c r="E5388" s="6" t="str">
        <f>HYPERLINK("https://twitter.com/petrogustavo/status/1254400686848163841","1254400686848163841")</f>
        <v>1254400686848163841</v>
      </c>
      <c r="F5388" s="7" t="s">
        <v>17</v>
      </c>
      <c r="G5388" s="7">
        <v>3799824</v>
      </c>
      <c r="H5388" s="7">
        <v>2393</v>
      </c>
      <c r="I5388" s="7">
        <v>44</v>
      </c>
      <c r="J5388" s="7">
        <v>65</v>
      </c>
      <c r="K5388" s="7" t="s">
        <v>18</v>
      </c>
      <c r="L5388" s="8">
        <v>39987.315405092595</v>
      </c>
      <c r="M5388" s="9" t="s">
        <v>19</v>
      </c>
      <c r="N5388" s="9" t="s">
        <v>20</v>
      </c>
      <c r="O5388" s="6" t="str">
        <f>HYPERLINK("https://pbs.twimg.com/profile_images/962471262747529216/Uo8lOkRJ_normal.jpg","View")</f>
        <v>View</v>
      </c>
      <c r="P5388" s="7"/>
    </row>
    <row r="5389" spans="1:16">
      <c r="A5389" s="3">
        <v>43947.789016203707</v>
      </c>
      <c r="B5389" s="4" t="str">
        <f>HYPERLINK("https://twitter.com/petrogustavo","@petrogustavo")</f>
        <v>@petrogustavo</v>
      </c>
      <c r="C5389" s="5" t="s">
        <v>16</v>
      </c>
      <c r="D5389" s="5" t="s">
        <v>5255</v>
      </c>
      <c r="E5389" s="6" t="str">
        <f>HYPERLINK("https://twitter.com/petrogustavo/status/1254401389595447298","1254401389595447298")</f>
        <v>1254401389595447298</v>
      </c>
      <c r="F5389" s="7" t="s">
        <v>17</v>
      </c>
      <c r="G5389" s="7">
        <v>3799824</v>
      </c>
      <c r="H5389" s="7">
        <v>2393</v>
      </c>
      <c r="I5389" s="7">
        <v>76</v>
      </c>
      <c r="J5389" s="7">
        <v>196</v>
      </c>
      <c r="K5389" s="7" t="s">
        <v>18</v>
      </c>
      <c r="L5389" s="8">
        <v>39987.315405092595</v>
      </c>
      <c r="M5389" s="9" t="s">
        <v>19</v>
      </c>
      <c r="N5389" s="9" t="s">
        <v>20</v>
      </c>
      <c r="O5389" s="6" t="str">
        <f>HYPERLINK("https://pbs.twimg.com/profile_images/962471262747529216/Uo8lOkRJ_normal.jpg","View")</f>
        <v>View</v>
      </c>
      <c r="P5389" s="7"/>
    </row>
    <row r="5390" spans="1:16">
      <c r="A5390" s="3">
        <v>43947.826168981483</v>
      </c>
      <c r="B5390" s="4" t="str">
        <f>HYPERLINK("https://twitter.com/petrogustavo","@petrogustavo")</f>
        <v>@petrogustavo</v>
      </c>
      <c r="C5390" s="5" t="s">
        <v>16</v>
      </c>
      <c r="D5390" s="5" t="s">
        <v>5256</v>
      </c>
      <c r="E5390" s="6" t="str">
        <f>HYPERLINK("https://twitter.com/petrogustavo/status/1254414853525168128","1254414853525168128")</f>
        <v>1254414853525168128</v>
      </c>
      <c r="F5390" s="7" t="s">
        <v>17</v>
      </c>
      <c r="G5390" s="7">
        <v>3799921</v>
      </c>
      <c r="H5390" s="7">
        <v>2393</v>
      </c>
      <c r="I5390" s="7">
        <v>68</v>
      </c>
      <c r="J5390" s="7">
        <v>164</v>
      </c>
      <c r="K5390" s="7" t="s">
        <v>18</v>
      </c>
      <c r="L5390" s="8">
        <v>39987.315405092595</v>
      </c>
      <c r="M5390" s="9" t="s">
        <v>19</v>
      </c>
      <c r="N5390" s="9" t="s">
        <v>20</v>
      </c>
      <c r="O5390" s="6" t="str">
        <f>HYPERLINK("https://pbs.twimg.com/profile_images/962471262747529216/Uo8lOkRJ_normal.jpg","View")</f>
        <v>View</v>
      </c>
      <c r="P5390" s="7"/>
    </row>
    <row r="5391" spans="1:16">
      <c r="A5391" s="3">
        <v>43947.830682870372</v>
      </c>
      <c r="B5391" s="4" t="str">
        <f>HYPERLINK("https://twitter.com/petrogustavo","@petrogustavo")</f>
        <v>@petrogustavo</v>
      </c>
      <c r="C5391" s="5" t="s">
        <v>16</v>
      </c>
      <c r="D5391" s="5" t="s">
        <v>5257</v>
      </c>
      <c r="E5391" s="6" t="str">
        <f>HYPERLINK("https://twitter.com/petrogustavo/status/1254416488406167559","1254416488406167559")</f>
        <v>1254416488406167559</v>
      </c>
      <c r="F5391" s="7" t="s">
        <v>17</v>
      </c>
      <c r="G5391" s="7">
        <v>3799921</v>
      </c>
      <c r="H5391" s="7">
        <v>2393</v>
      </c>
      <c r="I5391" s="7">
        <v>132</v>
      </c>
      <c r="J5391" s="7">
        <v>0</v>
      </c>
      <c r="K5391" s="7" t="s">
        <v>18</v>
      </c>
      <c r="L5391" s="8">
        <v>39987.315405092595</v>
      </c>
      <c r="M5391" s="9" t="s">
        <v>19</v>
      </c>
      <c r="N5391" s="9" t="s">
        <v>20</v>
      </c>
      <c r="O5391" s="6" t="str">
        <f>HYPERLINK("https://pbs.twimg.com/profile_images/962471262747529216/Uo8lOkRJ_normal.jpg","View")</f>
        <v>View</v>
      </c>
      <c r="P5391" s="7"/>
    </row>
    <row r="5392" spans="1:16">
      <c r="A5392" s="3">
        <v>43947.835393518515</v>
      </c>
      <c r="B5392" s="4" t="str">
        <f>HYPERLINK("https://twitter.com/petrogustavo","@petrogustavo")</f>
        <v>@petrogustavo</v>
      </c>
      <c r="C5392" s="5" t="s">
        <v>16</v>
      </c>
      <c r="D5392" s="5" t="s">
        <v>5258</v>
      </c>
      <c r="E5392" s="6" t="str">
        <f>HYPERLINK("https://twitter.com/petrogustavo/status/1254418193986269191","1254418193986269191")</f>
        <v>1254418193986269191</v>
      </c>
      <c r="F5392" s="7" t="s">
        <v>17</v>
      </c>
      <c r="G5392" s="7">
        <v>3799963</v>
      </c>
      <c r="H5392" s="7">
        <v>2393</v>
      </c>
      <c r="I5392" s="7">
        <v>26</v>
      </c>
      <c r="J5392" s="7">
        <v>0</v>
      </c>
      <c r="K5392" s="7" t="s">
        <v>18</v>
      </c>
      <c r="L5392" s="8">
        <v>39987.315405092595</v>
      </c>
      <c r="M5392" s="9" t="s">
        <v>19</v>
      </c>
      <c r="N5392" s="9" t="s">
        <v>20</v>
      </c>
      <c r="O5392" s="6" t="str">
        <f>HYPERLINK("https://pbs.twimg.com/profile_images/962471262747529216/Uo8lOkRJ_normal.jpg","View")</f>
        <v>View</v>
      </c>
      <c r="P5392" s="7"/>
    </row>
    <row r="5393" spans="1:16">
      <c r="A5393" s="3">
        <v>43947.841180555552</v>
      </c>
      <c r="B5393" s="4" t="str">
        <f>HYPERLINK("https://twitter.com/petrogustavo","@petrogustavo")</f>
        <v>@petrogustavo</v>
      </c>
      <c r="C5393" s="5" t="s">
        <v>16</v>
      </c>
      <c r="D5393" s="5" t="s">
        <v>5259</v>
      </c>
      <c r="E5393" s="6" t="str">
        <f>HYPERLINK("https://twitter.com/petrogustavo/status/1254420294883782656","1254420294883782656")</f>
        <v>1254420294883782656</v>
      </c>
      <c r="F5393" s="7" t="s">
        <v>17</v>
      </c>
      <c r="G5393" s="7">
        <v>3799963</v>
      </c>
      <c r="H5393" s="7">
        <v>2393</v>
      </c>
      <c r="I5393" s="7">
        <v>98</v>
      </c>
      <c r="J5393" s="7">
        <v>202</v>
      </c>
      <c r="K5393" s="7" t="s">
        <v>18</v>
      </c>
      <c r="L5393" s="8">
        <v>39987.315405092595</v>
      </c>
      <c r="M5393" s="9" t="s">
        <v>19</v>
      </c>
      <c r="N5393" s="9" t="s">
        <v>20</v>
      </c>
      <c r="O5393" s="6" t="str">
        <f>HYPERLINK("https://pbs.twimg.com/profile_images/962471262747529216/Uo8lOkRJ_normal.jpg","View")</f>
        <v>View</v>
      </c>
      <c r="P5393" s="7"/>
    </row>
    <row r="5394" spans="1:16">
      <c r="A5394" s="3">
        <v>43947.844849537039</v>
      </c>
      <c r="B5394" s="4" t="str">
        <f>HYPERLINK("https://twitter.com/petrogustavo","@petrogustavo")</f>
        <v>@petrogustavo</v>
      </c>
      <c r="C5394" s="5" t="s">
        <v>16</v>
      </c>
      <c r="D5394" s="5" t="s">
        <v>5260</v>
      </c>
      <c r="E5394" s="6" t="str">
        <f>HYPERLINK("https://twitter.com/petrogustavo/status/1254421623450619904","1254421623450619904")</f>
        <v>1254421623450619904</v>
      </c>
      <c r="F5394" s="7" t="s">
        <v>17</v>
      </c>
      <c r="G5394" s="7">
        <v>3799963</v>
      </c>
      <c r="H5394" s="7">
        <v>2393</v>
      </c>
      <c r="I5394" s="7">
        <v>123</v>
      </c>
      <c r="J5394" s="7">
        <v>358</v>
      </c>
      <c r="K5394" s="7" t="s">
        <v>18</v>
      </c>
      <c r="L5394" s="8">
        <v>39987.315405092595</v>
      </c>
      <c r="M5394" s="9" t="s">
        <v>19</v>
      </c>
      <c r="N5394" s="9" t="s">
        <v>20</v>
      </c>
      <c r="O5394" s="6" t="str">
        <f>HYPERLINK("https://pbs.twimg.com/profile_images/962471262747529216/Uo8lOkRJ_normal.jpg","View")</f>
        <v>View</v>
      </c>
      <c r="P5394" s="7"/>
    </row>
    <row r="5395" spans="1:16">
      <c r="A5395" s="3">
        <v>43947.852060185185</v>
      </c>
      <c r="B5395" s="4" t="str">
        <f>HYPERLINK("https://twitter.com/petrogustavo","@petrogustavo")</f>
        <v>@petrogustavo</v>
      </c>
      <c r="C5395" s="5" t="s">
        <v>16</v>
      </c>
      <c r="D5395" s="5" t="s">
        <v>5261</v>
      </c>
      <c r="E5395" s="6" t="str">
        <f>HYPERLINK("https://twitter.com/petrogustavo/status/1254424235197464577","1254424235197464577")</f>
        <v>1254424235197464577</v>
      </c>
      <c r="F5395" s="7" t="s">
        <v>17</v>
      </c>
      <c r="G5395" s="7">
        <v>3799963</v>
      </c>
      <c r="H5395" s="7">
        <v>2393</v>
      </c>
      <c r="I5395" s="7">
        <v>41</v>
      </c>
      <c r="J5395" s="7">
        <v>0</v>
      </c>
      <c r="K5395" s="7" t="s">
        <v>18</v>
      </c>
      <c r="L5395" s="8">
        <v>39987.315405092595</v>
      </c>
      <c r="M5395" s="9" t="s">
        <v>19</v>
      </c>
      <c r="N5395" s="9" t="s">
        <v>20</v>
      </c>
      <c r="O5395" s="6" t="str">
        <f>HYPERLINK("https://pbs.twimg.com/profile_images/962471262747529216/Uo8lOkRJ_normal.jpg","View")</f>
        <v>View</v>
      </c>
      <c r="P5395" s="7"/>
    </row>
    <row r="5396" spans="1:16">
      <c r="A5396" s="3">
        <v>43947.852210648147</v>
      </c>
      <c r="B5396" s="4" t="str">
        <f>HYPERLINK("https://twitter.com/petrogustavo","@petrogustavo")</f>
        <v>@petrogustavo</v>
      </c>
      <c r="C5396" s="5" t="s">
        <v>16</v>
      </c>
      <c r="D5396" s="5" t="s">
        <v>5262</v>
      </c>
      <c r="E5396" s="6" t="str">
        <f>HYPERLINK("https://twitter.com/petrogustavo/status/1254424288318443525","1254424288318443525")</f>
        <v>1254424288318443525</v>
      </c>
      <c r="F5396" s="7" t="s">
        <v>17</v>
      </c>
      <c r="G5396" s="7">
        <v>3799963</v>
      </c>
      <c r="H5396" s="7">
        <v>2393</v>
      </c>
      <c r="I5396" s="7">
        <v>123</v>
      </c>
      <c r="J5396" s="7">
        <v>0</v>
      </c>
      <c r="K5396" s="7" t="s">
        <v>18</v>
      </c>
      <c r="L5396" s="8">
        <v>39987.315405092595</v>
      </c>
      <c r="M5396" s="9" t="s">
        <v>19</v>
      </c>
      <c r="N5396" s="9" t="s">
        <v>20</v>
      </c>
      <c r="O5396" s="6" t="str">
        <f>HYPERLINK("https://pbs.twimg.com/profile_images/962471262747529216/Uo8lOkRJ_normal.jpg","View")</f>
        <v>View</v>
      </c>
      <c r="P5396" s="7"/>
    </row>
    <row r="5397" spans="1:16">
      <c r="A5397" s="3">
        <v>43947.857233796298</v>
      </c>
      <c r="B5397" s="4" t="str">
        <f>HYPERLINK("https://twitter.com/petrogustavo","@petrogustavo")</f>
        <v>@petrogustavo</v>
      </c>
      <c r="C5397" s="5" t="s">
        <v>16</v>
      </c>
      <c r="D5397" s="5" t="s">
        <v>5263</v>
      </c>
      <c r="E5397" s="6" t="str">
        <f>HYPERLINK("https://twitter.com/petrogustavo/status/1254426108822523906","1254426108822523906")</f>
        <v>1254426108822523906</v>
      </c>
      <c r="F5397" s="7" t="s">
        <v>17</v>
      </c>
      <c r="G5397" s="7">
        <v>3800004</v>
      </c>
      <c r="H5397" s="7">
        <v>2393</v>
      </c>
      <c r="I5397" s="7">
        <v>176</v>
      </c>
      <c r="J5397" s="7">
        <v>512</v>
      </c>
      <c r="K5397" s="7" t="s">
        <v>18</v>
      </c>
      <c r="L5397" s="8">
        <v>39987.315405092595</v>
      </c>
      <c r="M5397" s="9" t="s">
        <v>19</v>
      </c>
      <c r="N5397" s="9" t="s">
        <v>20</v>
      </c>
      <c r="O5397" s="6" t="str">
        <f>HYPERLINK("https://pbs.twimg.com/profile_images/962471262747529216/Uo8lOkRJ_normal.jpg","View")</f>
        <v>View</v>
      </c>
      <c r="P5397" s="7"/>
    </row>
    <row r="5398" spans="1:16">
      <c r="A5398" s="3">
        <v>43947.857962962968</v>
      </c>
      <c r="B5398" s="4" t="str">
        <f>HYPERLINK("https://twitter.com/petrogustavo","@petrogustavo")</f>
        <v>@petrogustavo</v>
      </c>
      <c r="C5398" s="5" t="s">
        <v>16</v>
      </c>
      <c r="D5398" s="5" t="s">
        <v>5264</v>
      </c>
      <c r="E5398" s="6" t="str">
        <f>HYPERLINK("https://twitter.com/petrogustavo/status/1254426376318472203","1254426376318472203")</f>
        <v>1254426376318472203</v>
      </c>
      <c r="F5398" s="7" t="s">
        <v>17</v>
      </c>
      <c r="G5398" s="7">
        <v>3800004</v>
      </c>
      <c r="H5398" s="7">
        <v>2393</v>
      </c>
      <c r="I5398" s="7">
        <v>104</v>
      </c>
      <c r="J5398" s="7">
        <v>0</v>
      </c>
      <c r="K5398" s="7" t="s">
        <v>18</v>
      </c>
      <c r="L5398" s="8">
        <v>39987.315405092595</v>
      </c>
      <c r="M5398" s="9" t="s">
        <v>19</v>
      </c>
      <c r="N5398" s="9" t="s">
        <v>20</v>
      </c>
      <c r="O5398" s="6" t="str">
        <f>HYPERLINK("https://pbs.twimg.com/profile_images/962471262747529216/Uo8lOkRJ_normal.jpg","View")</f>
        <v>View</v>
      </c>
      <c r="P5398" s="7"/>
    </row>
    <row r="5399" spans="1:16">
      <c r="A5399" s="3">
        <v>43947.860891203702</v>
      </c>
      <c r="B5399" s="4" t="str">
        <f>HYPERLINK("https://twitter.com/petrogustavo","@petrogustavo")</f>
        <v>@petrogustavo</v>
      </c>
      <c r="C5399" s="5" t="s">
        <v>16</v>
      </c>
      <c r="D5399" s="5" t="s">
        <v>5265</v>
      </c>
      <c r="E5399" s="6" t="str">
        <f>HYPERLINK("https://twitter.com/petrogustavo/status/1254427435527024640","1254427435527024640")</f>
        <v>1254427435527024640</v>
      </c>
      <c r="F5399" s="7" t="s">
        <v>17</v>
      </c>
      <c r="G5399" s="7">
        <v>3800004</v>
      </c>
      <c r="H5399" s="7">
        <v>2393</v>
      </c>
      <c r="I5399" s="7">
        <v>282</v>
      </c>
      <c r="J5399" s="7">
        <v>0</v>
      </c>
      <c r="K5399" s="7" t="s">
        <v>18</v>
      </c>
      <c r="L5399" s="8">
        <v>39987.315405092595</v>
      </c>
      <c r="M5399" s="9" t="s">
        <v>19</v>
      </c>
      <c r="N5399" s="9" t="s">
        <v>20</v>
      </c>
      <c r="O5399" s="6" t="str">
        <f>HYPERLINK("https://pbs.twimg.com/profile_images/962471262747529216/Uo8lOkRJ_normal.jpg","View")</f>
        <v>View</v>
      </c>
      <c r="P5399" s="7"/>
    </row>
    <row r="5400" spans="1:16">
      <c r="A5400" s="3">
        <v>43947.861157407402</v>
      </c>
      <c r="B5400" s="4" t="str">
        <f>HYPERLINK("https://twitter.com/petrogustavo","@petrogustavo")</f>
        <v>@petrogustavo</v>
      </c>
      <c r="C5400" s="5" t="s">
        <v>16</v>
      </c>
      <c r="D5400" s="5" t="s">
        <v>5266</v>
      </c>
      <c r="E5400" s="6" t="str">
        <f>HYPERLINK("https://twitter.com/petrogustavo/status/1254427530301526016","1254427530301526016")</f>
        <v>1254427530301526016</v>
      </c>
      <c r="F5400" s="7" t="s">
        <v>17</v>
      </c>
      <c r="G5400" s="7">
        <v>3800004</v>
      </c>
      <c r="H5400" s="7">
        <v>2393</v>
      </c>
      <c r="I5400" s="7">
        <v>50</v>
      </c>
      <c r="J5400" s="7">
        <v>0</v>
      </c>
      <c r="K5400" s="7" t="s">
        <v>18</v>
      </c>
      <c r="L5400" s="8">
        <v>39987.315405092595</v>
      </c>
      <c r="M5400" s="9" t="s">
        <v>19</v>
      </c>
      <c r="N5400" s="9" t="s">
        <v>20</v>
      </c>
      <c r="O5400" s="6" t="str">
        <f>HYPERLINK("https://pbs.twimg.com/profile_images/962471262747529216/Uo8lOkRJ_normal.jpg","View")</f>
        <v>View</v>
      </c>
      <c r="P5400" s="7"/>
    </row>
    <row r="5401" spans="1:16">
      <c r="A5401" s="3">
        <v>43947.861712962964</v>
      </c>
      <c r="B5401" s="4" t="str">
        <f>HYPERLINK("https://twitter.com/petrogustavo","@petrogustavo")</f>
        <v>@petrogustavo</v>
      </c>
      <c r="C5401" s="5" t="s">
        <v>16</v>
      </c>
      <c r="D5401" s="5" t="s">
        <v>5267</v>
      </c>
      <c r="E5401" s="6" t="str">
        <f>HYPERLINK("https://twitter.com/petrogustavo/status/1254427733221953542","1254427733221953542")</f>
        <v>1254427733221953542</v>
      </c>
      <c r="F5401" s="7" t="s">
        <v>17</v>
      </c>
      <c r="G5401" s="7">
        <v>3800004</v>
      </c>
      <c r="H5401" s="7">
        <v>2393</v>
      </c>
      <c r="I5401" s="7">
        <v>31</v>
      </c>
      <c r="J5401" s="7">
        <v>0</v>
      </c>
      <c r="K5401" s="7" t="s">
        <v>18</v>
      </c>
      <c r="L5401" s="8">
        <v>39987.315405092595</v>
      </c>
      <c r="M5401" s="9" t="s">
        <v>19</v>
      </c>
      <c r="N5401" s="9" t="s">
        <v>20</v>
      </c>
      <c r="O5401" s="6" t="str">
        <f>HYPERLINK("https://pbs.twimg.com/profile_images/962471262747529216/Uo8lOkRJ_normal.jpg","View")</f>
        <v>View</v>
      </c>
      <c r="P5401" s="7"/>
    </row>
    <row r="5402" spans="1:16">
      <c r="A5402" s="3">
        <v>43947.868032407408</v>
      </c>
      <c r="B5402" s="4" t="str">
        <f>HYPERLINK("https://twitter.com/petrogustavo","@petrogustavo")</f>
        <v>@petrogustavo</v>
      </c>
      <c r="C5402" s="5" t="s">
        <v>16</v>
      </c>
      <c r="D5402" s="5" t="s">
        <v>5268</v>
      </c>
      <c r="E5402" s="6" t="str">
        <f>HYPERLINK("https://twitter.com/petrogustavo/status/1254430022347231234","1254430022347231234")</f>
        <v>1254430022347231234</v>
      </c>
      <c r="F5402" s="7" t="s">
        <v>17</v>
      </c>
      <c r="G5402" s="7">
        <v>3800004</v>
      </c>
      <c r="H5402" s="7">
        <v>2393</v>
      </c>
      <c r="I5402" s="7">
        <v>128</v>
      </c>
      <c r="J5402" s="7">
        <v>307</v>
      </c>
      <c r="K5402" s="7" t="s">
        <v>18</v>
      </c>
      <c r="L5402" s="8">
        <v>39987.315405092595</v>
      </c>
      <c r="M5402" s="9" t="s">
        <v>19</v>
      </c>
      <c r="N5402" s="9" t="s">
        <v>20</v>
      </c>
      <c r="O5402" s="6" t="str">
        <f>HYPERLINK("https://pbs.twimg.com/profile_images/962471262747529216/Uo8lOkRJ_normal.jpg","View")</f>
        <v>View</v>
      </c>
      <c r="P5402" s="7"/>
    </row>
    <row r="5403" spans="1:16">
      <c r="A5403" s="3">
        <v>43947.907337962963</v>
      </c>
      <c r="B5403" s="4" t="str">
        <f>HYPERLINK("https://twitter.com/petrogustavo","@petrogustavo")</f>
        <v>@petrogustavo</v>
      </c>
      <c r="C5403" s="5" t="s">
        <v>16</v>
      </c>
      <c r="D5403" s="5" t="s">
        <v>5269</v>
      </c>
      <c r="E5403" s="6" t="str">
        <f>HYPERLINK("https://twitter.com/petrogustavo/status/1254444269202530305","1254444269202530305")</f>
        <v>1254444269202530305</v>
      </c>
      <c r="F5403" s="7" t="s">
        <v>17</v>
      </c>
      <c r="G5403" s="7">
        <v>3800096</v>
      </c>
      <c r="H5403" s="7">
        <v>2394</v>
      </c>
      <c r="I5403" s="7">
        <v>66</v>
      </c>
      <c r="J5403" s="7">
        <v>144</v>
      </c>
      <c r="K5403" s="7" t="s">
        <v>18</v>
      </c>
      <c r="L5403" s="8">
        <v>39987.315405092595</v>
      </c>
      <c r="M5403" s="9" t="s">
        <v>19</v>
      </c>
      <c r="N5403" s="9" t="s">
        <v>20</v>
      </c>
      <c r="O5403" s="6" t="str">
        <f>HYPERLINK("https://pbs.twimg.com/profile_images/962471262747529216/Uo8lOkRJ_normal.jpg","View")</f>
        <v>View</v>
      </c>
      <c r="P5403" s="7"/>
    </row>
    <row r="5404" spans="1:16">
      <c r="A5404" s="3">
        <v>43947.910555555558</v>
      </c>
      <c r="B5404" s="4" t="str">
        <f>HYPERLINK("https://twitter.com/petrogustavo","@petrogustavo")</f>
        <v>@petrogustavo</v>
      </c>
      <c r="C5404" s="5" t="s">
        <v>16</v>
      </c>
      <c r="D5404" s="5" t="s">
        <v>5270</v>
      </c>
      <c r="E5404" s="6" t="str">
        <f>HYPERLINK("https://twitter.com/petrogustavo/status/1254445435110010880","1254445435110010880")</f>
        <v>1254445435110010880</v>
      </c>
      <c r="F5404" s="7" t="s">
        <v>17</v>
      </c>
      <c r="G5404" s="7">
        <v>3800096</v>
      </c>
      <c r="H5404" s="7">
        <v>2394</v>
      </c>
      <c r="I5404" s="7">
        <v>42</v>
      </c>
      <c r="J5404" s="7">
        <v>0</v>
      </c>
      <c r="K5404" s="7" t="s">
        <v>18</v>
      </c>
      <c r="L5404" s="8">
        <v>39987.315405092595</v>
      </c>
      <c r="M5404" s="9" t="s">
        <v>19</v>
      </c>
      <c r="N5404" s="9" t="s">
        <v>20</v>
      </c>
      <c r="O5404" s="6" t="str">
        <f>HYPERLINK("https://pbs.twimg.com/profile_images/962471262747529216/Uo8lOkRJ_normal.jpg","View")</f>
        <v>View</v>
      </c>
      <c r="P5404" s="7"/>
    </row>
    <row r="5405" spans="1:16">
      <c r="A5405" s="3">
        <v>43947.918113425927</v>
      </c>
      <c r="B5405" s="4" t="str">
        <f>HYPERLINK("https://twitter.com/petrogustavo","@petrogustavo")</f>
        <v>@petrogustavo</v>
      </c>
      <c r="C5405" s="5" t="s">
        <v>16</v>
      </c>
      <c r="D5405" s="5" t="s">
        <v>5271</v>
      </c>
      <c r="E5405" s="6" t="str">
        <f>HYPERLINK("https://twitter.com/petrogustavo/status/1254448170844729345","1254448170844729345")</f>
        <v>1254448170844729345</v>
      </c>
      <c r="F5405" s="7" t="s">
        <v>17</v>
      </c>
      <c r="G5405" s="7">
        <v>3800096</v>
      </c>
      <c r="H5405" s="7">
        <v>2394</v>
      </c>
      <c r="I5405" s="7">
        <v>7</v>
      </c>
      <c r="J5405" s="7">
        <v>35</v>
      </c>
      <c r="K5405" s="7" t="s">
        <v>18</v>
      </c>
      <c r="L5405" s="8">
        <v>39987.315405092595</v>
      </c>
      <c r="M5405" s="9" t="s">
        <v>19</v>
      </c>
      <c r="N5405" s="9" t="s">
        <v>20</v>
      </c>
      <c r="O5405" s="6" t="str">
        <f>HYPERLINK("https://pbs.twimg.com/profile_images/962471262747529216/Uo8lOkRJ_normal.jpg","View")</f>
        <v>View</v>
      </c>
      <c r="P5405" s="7"/>
    </row>
    <row r="5406" spans="1:16">
      <c r="A5406" s="3">
        <v>43948.083090277782</v>
      </c>
      <c r="B5406" s="4" t="str">
        <f>HYPERLINK("https://twitter.com/petrogustavo","@petrogustavo")</f>
        <v>@petrogustavo</v>
      </c>
      <c r="C5406" s="5" t="s">
        <v>16</v>
      </c>
      <c r="D5406" s="5" t="s">
        <v>5272</v>
      </c>
      <c r="E5406" s="6" t="str">
        <f>HYPERLINK("https://twitter.com/petrogustavo/status/1254507956789555205","1254507956789555205")</f>
        <v>1254507956789555205</v>
      </c>
      <c r="F5406" s="7" t="s">
        <v>17</v>
      </c>
      <c r="G5406" s="7">
        <v>3800456</v>
      </c>
      <c r="H5406" s="7">
        <v>2394</v>
      </c>
      <c r="I5406" s="7">
        <v>20</v>
      </c>
      <c r="J5406" s="7">
        <v>53</v>
      </c>
      <c r="K5406" s="7" t="s">
        <v>18</v>
      </c>
      <c r="L5406" s="8">
        <v>39987.315405092595</v>
      </c>
      <c r="M5406" s="9" t="s">
        <v>19</v>
      </c>
      <c r="N5406" s="9" t="s">
        <v>20</v>
      </c>
      <c r="O5406" s="6" t="str">
        <f>HYPERLINK("https://pbs.twimg.com/profile_images/962471262747529216/Uo8lOkRJ_normal.jpg","View")</f>
        <v>View</v>
      </c>
      <c r="P5406" s="7"/>
    </row>
    <row r="5407" spans="1:16">
      <c r="A5407" s="3">
        <v>43948.102766203709</v>
      </c>
      <c r="B5407" s="4" t="str">
        <f>HYPERLINK("https://twitter.com/petrogustavo","@petrogustavo")</f>
        <v>@petrogustavo</v>
      </c>
      <c r="C5407" s="5" t="s">
        <v>16</v>
      </c>
      <c r="D5407" s="5" t="s">
        <v>5273</v>
      </c>
      <c r="E5407" s="6" t="str">
        <f>HYPERLINK("https://twitter.com/petrogustavo/status/1254515089648111618","1254515089648111618")</f>
        <v>1254515089648111618</v>
      </c>
      <c r="F5407" s="7" t="s">
        <v>17</v>
      </c>
      <c r="G5407" s="7">
        <v>3800476</v>
      </c>
      <c r="H5407" s="7">
        <v>2394</v>
      </c>
      <c r="I5407" s="7">
        <v>15</v>
      </c>
      <c r="J5407" s="7">
        <v>0</v>
      </c>
      <c r="K5407" s="7" t="s">
        <v>18</v>
      </c>
      <c r="L5407" s="8">
        <v>39987.315405092595</v>
      </c>
      <c r="M5407" s="9" t="s">
        <v>19</v>
      </c>
      <c r="N5407" s="9" t="s">
        <v>20</v>
      </c>
      <c r="O5407" s="6" t="str">
        <f>HYPERLINK("https://pbs.twimg.com/profile_images/962471262747529216/Uo8lOkRJ_normal.jpg","View")</f>
        <v>View</v>
      </c>
      <c r="P5407" s="7"/>
    </row>
    <row r="5408" spans="1:16">
      <c r="A5408" s="3">
        <v>43948.118692129632</v>
      </c>
      <c r="B5408" s="4" t="str">
        <f>HYPERLINK("https://twitter.com/petrogustavo","@petrogustavo")</f>
        <v>@petrogustavo</v>
      </c>
      <c r="C5408" s="5" t="s">
        <v>16</v>
      </c>
      <c r="D5408" s="5" t="s">
        <v>5274</v>
      </c>
      <c r="E5408" s="6" t="str">
        <f>HYPERLINK("https://twitter.com/petrogustavo/status/1254520859424952320","1254520859424952320")</f>
        <v>1254520859424952320</v>
      </c>
      <c r="F5408" s="7" t="s">
        <v>17</v>
      </c>
      <c r="G5408" s="7">
        <v>3800516</v>
      </c>
      <c r="H5408" s="7">
        <v>2394</v>
      </c>
      <c r="I5408" s="7">
        <v>70</v>
      </c>
      <c r="J5408" s="7">
        <v>155</v>
      </c>
      <c r="K5408" s="7" t="s">
        <v>18</v>
      </c>
      <c r="L5408" s="8">
        <v>39987.315405092595</v>
      </c>
      <c r="M5408" s="9" t="s">
        <v>19</v>
      </c>
      <c r="N5408" s="9" t="s">
        <v>20</v>
      </c>
      <c r="O5408" s="6" t="str">
        <f>HYPERLINK("https://pbs.twimg.com/profile_images/962471262747529216/Uo8lOkRJ_normal.jpg","View")</f>
        <v>View</v>
      </c>
      <c r="P5408" s="7"/>
    </row>
    <row r="5409" spans="1:16">
      <c r="A5409" s="3">
        <v>43948.120833333334</v>
      </c>
      <c r="B5409" s="4" t="str">
        <f>HYPERLINK("https://twitter.com/petrogustavo","@petrogustavo")</f>
        <v>@petrogustavo</v>
      </c>
      <c r="C5409" s="5" t="s">
        <v>16</v>
      </c>
      <c r="D5409" s="5" t="s">
        <v>5275</v>
      </c>
      <c r="E5409" s="6" t="str">
        <f>HYPERLINK("https://twitter.com/petrogustavo/status/1254521634553200640","1254521634553200640")</f>
        <v>1254521634553200640</v>
      </c>
      <c r="F5409" s="7" t="s">
        <v>17</v>
      </c>
      <c r="G5409" s="7">
        <v>3800516</v>
      </c>
      <c r="H5409" s="7">
        <v>2394</v>
      </c>
      <c r="I5409" s="7">
        <v>29</v>
      </c>
      <c r="J5409" s="7">
        <v>0</v>
      </c>
      <c r="K5409" s="7" t="s">
        <v>18</v>
      </c>
      <c r="L5409" s="8">
        <v>39987.315405092595</v>
      </c>
      <c r="M5409" s="9" t="s">
        <v>19</v>
      </c>
      <c r="N5409" s="9" t="s">
        <v>20</v>
      </c>
      <c r="O5409" s="6" t="str">
        <f>HYPERLINK("https://pbs.twimg.com/profile_images/962471262747529216/Uo8lOkRJ_normal.jpg","View")</f>
        <v>View</v>
      </c>
      <c r="P5409" s="7"/>
    </row>
    <row r="5410" spans="1:16">
      <c r="A5410" s="3">
        <v>43948.121053240742</v>
      </c>
      <c r="B5410" s="4" t="str">
        <f>HYPERLINK("https://twitter.com/petrogustavo","@petrogustavo")</f>
        <v>@petrogustavo</v>
      </c>
      <c r="C5410" s="5" t="s">
        <v>16</v>
      </c>
      <c r="D5410" s="5" t="s">
        <v>5276</v>
      </c>
      <c r="E5410" s="6" t="str">
        <f>HYPERLINK("https://twitter.com/petrogustavo/status/1254521715817943041","1254521715817943041")</f>
        <v>1254521715817943041</v>
      </c>
      <c r="F5410" s="7" t="s">
        <v>17</v>
      </c>
      <c r="G5410" s="7">
        <v>3800516</v>
      </c>
      <c r="H5410" s="7">
        <v>2394</v>
      </c>
      <c r="I5410" s="7">
        <v>70</v>
      </c>
      <c r="J5410" s="7">
        <v>0</v>
      </c>
      <c r="K5410" s="7" t="s">
        <v>18</v>
      </c>
      <c r="L5410" s="8">
        <v>39987.315405092595</v>
      </c>
      <c r="M5410" s="9" t="s">
        <v>19</v>
      </c>
      <c r="N5410" s="9" t="s">
        <v>20</v>
      </c>
      <c r="O5410" s="6" t="str">
        <f>HYPERLINK("https://pbs.twimg.com/profile_images/962471262747529216/Uo8lOkRJ_normal.jpg","View")</f>
        <v>View</v>
      </c>
      <c r="P5410" s="7"/>
    </row>
    <row r="5411" spans="1:16">
      <c r="A5411" s="3">
        <v>43948.150509259256</v>
      </c>
      <c r="B5411" s="4" t="str">
        <f>HYPERLINK("https://twitter.com/petrogustavo","@petrogustavo")</f>
        <v>@petrogustavo</v>
      </c>
      <c r="C5411" s="5" t="s">
        <v>16</v>
      </c>
      <c r="D5411" s="5" t="s">
        <v>5277</v>
      </c>
      <c r="E5411" s="6" t="str">
        <f>HYPERLINK("https://twitter.com/petrogustavo/status/1254532388694249474","1254532388694249474")</f>
        <v>1254532388694249474</v>
      </c>
      <c r="F5411" s="7" t="s">
        <v>17</v>
      </c>
      <c r="G5411" s="7">
        <v>3800615</v>
      </c>
      <c r="H5411" s="7">
        <v>2394</v>
      </c>
      <c r="I5411" s="7">
        <v>1225</v>
      </c>
      <c r="J5411" s="7">
        <v>0</v>
      </c>
      <c r="K5411" s="7" t="s">
        <v>18</v>
      </c>
      <c r="L5411" s="8">
        <v>39987.315405092595</v>
      </c>
      <c r="M5411" s="9" t="s">
        <v>19</v>
      </c>
      <c r="N5411" s="9" t="s">
        <v>20</v>
      </c>
      <c r="O5411" s="6" t="str">
        <f>HYPERLINK("https://pbs.twimg.com/profile_images/962471262747529216/Uo8lOkRJ_normal.jpg","View")</f>
        <v>View</v>
      </c>
      <c r="P5411" s="7"/>
    </row>
    <row r="5412" spans="1:16">
      <c r="A5412" s="3">
        <v>43948.214236111111</v>
      </c>
      <c r="B5412" s="4" t="str">
        <f>HYPERLINK("https://twitter.com/petrogustavo","@petrogustavo")</f>
        <v>@petrogustavo</v>
      </c>
      <c r="C5412" s="5" t="s">
        <v>16</v>
      </c>
      <c r="D5412" s="5" t="s">
        <v>5277</v>
      </c>
      <c r="E5412" s="6" t="str">
        <f>HYPERLINK("https://twitter.com/petrogustavo/status/1254555483316408323","1254555483316408323")</f>
        <v>1254555483316408323</v>
      </c>
      <c r="F5412" s="7" t="s">
        <v>17</v>
      </c>
      <c r="G5412" s="7">
        <v>3800756</v>
      </c>
      <c r="H5412" s="7">
        <v>2394</v>
      </c>
      <c r="I5412" s="7">
        <v>1383</v>
      </c>
      <c r="J5412" s="7">
        <v>0</v>
      </c>
      <c r="K5412" s="7" t="s">
        <v>18</v>
      </c>
      <c r="L5412" s="8">
        <v>39987.315405092595</v>
      </c>
      <c r="M5412" s="9" t="s">
        <v>19</v>
      </c>
      <c r="N5412" s="9" t="s">
        <v>20</v>
      </c>
      <c r="O5412" s="6" t="str">
        <f>HYPERLINK("https://pbs.twimg.com/profile_images/962471262747529216/Uo8lOkRJ_normal.jpg","View")</f>
        <v>View</v>
      </c>
      <c r="P5412" s="7"/>
    </row>
    <row r="5413" spans="1:16">
      <c r="A5413" s="3">
        <v>43948.275752314818</v>
      </c>
      <c r="B5413" s="4" t="str">
        <f>HYPERLINK("https://twitter.com/petrogustavo","@petrogustavo")</f>
        <v>@petrogustavo</v>
      </c>
      <c r="C5413" s="5" t="s">
        <v>16</v>
      </c>
      <c r="D5413" s="5" t="s">
        <v>5278</v>
      </c>
      <c r="E5413" s="6" t="str">
        <f>HYPERLINK("https://twitter.com/petrogustavo/status/1254577776885223425","1254577776885223425")</f>
        <v>1254577776885223425</v>
      </c>
      <c r="F5413" s="7" t="s">
        <v>17</v>
      </c>
      <c r="G5413" s="7">
        <v>3800916</v>
      </c>
      <c r="H5413" s="7">
        <v>2394</v>
      </c>
      <c r="I5413" s="7">
        <v>208</v>
      </c>
      <c r="J5413" s="7">
        <v>855</v>
      </c>
      <c r="K5413" s="7" t="s">
        <v>18</v>
      </c>
      <c r="L5413" s="8">
        <v>39987.315405092595</v>
      </c>
      <c r="M5413" s="9" t="s">
        <v>19</v>
      </c>
      <c r="N5413" s="9" t="s">
        <v>20</v>
      </c>
      <c r="O5413" s="6" t="str">
        <f>HYPERLINK("https://pbs.twimg.com/profile_images/962471262747529216/Uo8lOkRJ_normal.jpg","View")</f>
        <v>View</v>
      </c>
      <c r="P5413" s="7"/>
    </row>
    <row r="5414" spans="1:16">
      <c r="A5414" s="3">
        <v>43948.278564814813</v>
      </c>
      <c r="B5414" s="4" t="str">
        <f>HYPERLINK("https://twitter.com/petrogustavo","@petrogustavo")</f>
        <v>@petrogustavo</v>
      </c>
      <c r="C5414" s="5" t="s">
        <v>16</v>
      </c>
      <c r="D5414" s="5" t="s">
        <v>5277</v>
      </c>
      <c r="E5414" s="6" t="str">
        <f>HYPERLINK("https://twitter.com/petrogustavo/status/1254578797329952768","1254578797329952768")</f>
        <v>1254578797329952768</v>
      </c>
      <c r="F5414" s="7" t="s">
        <v>17</v>
      </c>
      <c r="G5414" s="7">
        <v>3800916</v>
      </c>
      <c r="H5414" s="7">
        <v>2394</v>
      </c>
      <c r="I5414" s="7">
        <v>1518</v>
      </c>
      <c r="J5414" s="7">
        <v>0</v>
      </c>
      <c r="K5414" s="7" t="s">
        <v>18</v>
      </c>
      <c r="L5414" s="8">
        <v>39987.315405092595</v>
      </c>
      <c r="M5414" s="9" t="s">
        <v>19</v>
      </c>
      <c r="N5414" s="9" t="s">
        <v>20</v>
      </c>
      <c r="O5414" s="6" t="str">
        <f>HYPERLINK("https://pbs.twimg.com/profile_images/962471262747529216/Uo8lOkRJ_normal.jpg","View")</f>
        <v>View</v>
      </c>
      <c r="P5414" s="7"/>
    </row>
    <row r="5415" spans="1:16">
      <c r="A5415" s="3">
        <v>43948.702650462961</v>
      </c>
      <c r="B5415" s="4" t="str">
        <f>HYPERLINK("https://twitter.com/petrogustavo","@petrogustavo")</f>
        <v>@petrogustavo</v>
      </c>
      <c r="C5415" s="5" t="s">
        <v>16</v>
      </c>
      <c r="D5415" s="4" t="s">
        <v>5279</v>
      </c>
      <c r="E5415" s="6" t="str">
        <f>HYPERLINK("https://twitter.com/petrogustavo/status/1254732478092324866","1254732478092324866")</f>
        <v>1254732478092324866</v>
      </c>
      <c r="F5415" s="7" t="s">
        <v>17</v>
      </c>
      <c r="G5415" s="7">
        <v>3801438</v>
      </c>
      <c r="H5415" s="7">
        <v>2394</v>
      </c>
      <c r="I5415" s="7">
        <v>20</v>
      </c>
      <c r="J5415" s="7">
        <v>45</v>
      </c>
      <c r="K5415" s="7" t="s">
        <v>18</v>
      </c>
      <c r="L5415" s="8">
        <v>39987.315405092595</v>
      </c>
      <c r="M5415" s="9" t="s">
        <v>19</v>
      </c>
      <c r="N5415" s="9" t="s">
        <v>20</v>
      </c>
      <c r="O5415" s="6" t="str">
        <f>HYPERLINK("https://pbs.twimg.com/profile_images/962471262747529216/Uo8lOkRJ_normal.jpg","View")</f>
        <v>View</v>
      </c>
      <c r="P5415" s="7"/>
    </row>
    <row r="5416" spans="1:16">
      <c r="A5416" s="3">
        <v>43948.713321759264</v>
      </c>
      <c r="B5416" s="4" t="str">
        <f>HYPERLINK("https://twitter.com/petrogustavo","@petrogustavo")</f>
        <v>@petrogustavo</v>
      </c>
      <c r="C5416" s="5" t="s">
        <v>16</v>
      </c>
      <c r="D5416" s="5" t="s">
        <v>5280</v>
      </c>
      <c r="E5416" s="6" t="str">
        <f>HYPERLINK("https://twitter.com/petrogustavo/status/1254736347341950978","1254736347341950978")</f>
        <v>1254736347341950978</v>
      </c>
      <c r="F5416" s="7" t="s">
        <v>17</v>
      </c>
      <c r="G5416" s="7">
        <v>3801466</v>
      </c>
      <c r="H5416" s="7">
        <v>2394</v>
      </c>
      <c r="I5416" s="7">
        <v>61</v>
      </c>
      <c r="J5416" s="7">
        <v>125</v>
      </c>
      <c r="K5416" s="7" t="s">
        <v>18</v>
      </c>
      <c r="L5416" s="8">
        <v>39987.315405092595</v>
      </c>
      <c r="M5416" s="9" t="s">
        <v>19</v>
      </c>
      <c r="N5416" s="9" t="s">
        <v>20</v>
      </c>
      <c r="O5416" s="6" t="str">
        <f>HYPERLINK("https://pbs.twimg.com/profile_images/962471262747529216/Uo8lOkRJ_normal.jpg","View")</f>
        <v>View</v>
      </c>
      <c r="P5416" s="7"/>
    </row>
    <row r="5417" spans="1:16">
      <c r="A5417" s="3">
        <v>43948.719791666663</v>
      </c>
      <c r="B5417" s="4" t="str">
        <f>HYPERLINK("https://twitter.com/petrogustavo","@petrogustavo")</f>
        <v>@petrogustavo</v>
      </c>
      <c r="C5417" s="5" t="s">
        <v>16</v>
      </c>
      <c r="D5417" s="5" t="s">
        <v>5281</v>
      </c>
      <c r="E5417" s="6" t="str">
        <f>HYPERLINK("https://twitter.com/petrogustavo/status/1254738689378455552","1254738689378455552")</f>
        <v>1254738689378455552</v>
      </c>
      <c r="F5417" s="7" t="s">
        <v>17</v>
      </c>
      <c r="G5417" s="7">
        <v>3801466</v>
      </c>
      <c r="H5417" s="7">
        <v>2394</v>
      </c>
      <c r="I5417" s="7">
        <v>45</v>
      </c>
      <c r="J5417" s="7">
        <v>0</v>
      </c>
      <c r="K5417" s="7" t="s">
        <v>18</v>
      </c>
      <c r="L5417" s="8">
        <v>39987.315405092595</v>
      </c>
      <c r="M5417" s="9" t="s">
        <v>19</v>
      </c>
      <c r="N5417" s="9" t="s">
        <v>20</v>
      </c>
      <c r="O5417" s="6" t="str">
        <f>HYPERLINK("https://pbs.twimg.com/profile_images/962471262747529216/Uo8lOkRJ_normal.jpg","View")</f>
        <v>View</v>
      </c>
      <c r="P5417" s="7"/>
    </row>
    <row r="5418" spans="1:16">
      <c r="A5418" s="3">
        <v>43948.728969907403</v>
      </c>
      <c r="B5418" s="4" t="str">
        <f>HYPERLINK("https://twitter.com/petrogustavo","@petrogustavo")</f>
        <v>@petrogustavo</v>
      </c>
      <c r="C5418" s="5" t="s">
        <v>16</v>
      </c>
      <c r="D5418" s="5" t="s">
        <v>5282</v>
      </c>
      <c r="E5418" s="6" t="str">
        <f>HYPERLINK("https://twitter.com/petrogustavo/status/1254742015604068352","1254742015604068352")</f>
        <v>1254742015604068352</v>
      </c>
      <c r="F5418" s="7" t="s">
        <v>17</v>
      </c>
      <c r="G5418" s="7">
        <v>3801466</v>
      </c>
      <c r="H5418" s="7">
        <v>2394</v>
      </c>
      <c r="I5418" s="7">
        <v>122</v>
      </c>
      <c r="J5418" s="7">
        <v>313</v>
      </c>
      <c r="K5418" s="7" t="s">
        <v>18</v>
      </c>
      <c r="L5418" s="8">
        <v>39987.315405092595</v>
      </c>
      <c r="M5418" s="9" t="s">
        <v>19</v>
      </c>
      <c r="N5418" s="9" t="s">
        <v>20</v>
      </c>
      <c r="O5418" s="6" t="str">
        <f>HYPERLINK("https://pbs.twimg.com/profile_images/962471262747529216/Uo8lOkRJ_normal.jpg","View")</f>
        <v>View</v>
      </c>
      <c r="P5418" s="7"/>
    </row>
    <row r="5419" spans="1:16">
      <c r="A5419" s="3">
        <v>43948.731967592597</v>
      </c>
      <c r="B5419" s="4" t="str">
        <f>HYPERLINK("https://twitter.com/petrogustavo","@petrogustavo")</f>
        <v>@petrogustavo</v>
      </c>
      <c r="C5419" s="5" t="s">
        <v>16</v>
      </c>
      <c r="D5419" s="5" t="s">
        <v>5283</v>
      </c>
      <c r="E5419" s="6" t="str">
        <f>HYPERLINK("https://twitter.com/petrogustavo/status/1254743103094784001","1254743103094784001")</f>
        <v>1254743103094784001</v>
      </c>
      <c r="F5419" s="7" t="s">
        <v>17</v>
      </c>
      <c r="G5419" s="7">
        <v>3801497</v>
      </c>
      <c r="H5419" s="7">
        <v>2394</v>
      </c>
      <c r="I5419" s="7">
        <v>85</v>
      </c>
      <c r="J5419" s="7">
        <v>294</v>
      </c>
      <c r="K5419" s="7" t="s">
        <v>18</v>
      </c>
      <c r="L5419" s="8">
        <v>39987.315405092595</v>
      </c>
      <c r="M5419" s="9" t="s">
        <v>19</v>
      </c>
      <c r="N5419" s="9" t="s">
        <v>20</v>
      </c>
      <c r="O5419" s="6" t="str">
        <f>HYPERLINK("https://pbs.twimg.com/profile_images/962471262747529216/Uo8lOkRJ_normal.jpg","View")</f>
        <v>View</v>
      </c>
      <c r="P5419" s="7"/>
    </row>
    <row r="5420" spans="1:16">
      <c r="A5420" s="3">
        <v>43948.732233796298</v>
      </c>
      <c r="B5420" s="4" t="str">
        <f>HYPERLINK("https://twitter.com/petrogustavo","@petrogustavo")</f>
        <v>@petrogustavo</v>
      </c>
      <c r="C5420" s="5" t="s">
        <v>16</v>
      </c>
      <c r="D5420" s="5" t="s">
        <v>5284</v>
      </c>
      <c r="E5420" s="6" t="str">
        <f>HYPERLINK("https://twitter.com/petrogustavo/status/1254743201589735425","1254743201589735425")</f>
        <v>1254743201589735425</v>
      </c>
      <c r="F5420" s="7" t="s">
        <v>17</v>
      </c>
      <c r="G5420" s="7">
        <v>3801497</v>
      </c>
      <c r="H5420" s="7">
        <v>2394</v>
      </c>
      <c r="I5420" s="7">
        <v>859</v>
      </c>
      <c r="J5420" s="7">
        <v>0</v>
      </c>
      <c r="K5420" s="7" t="s">
        <v>18</v>
      </c>
      <c r="L5420" s="8">
        <v>39987.315405092595</v>
      </c>
      <c r="M5420" s="9" t="s">
        <v>19</v>
      </c>
      <c r="N5420" s="9" t="s">
        <v>20</v>
      </c>
      <c r="O5420" s="6" t="str">
        <f>HYPERLINK("https://pbs.twimg.com/profile_images/962471262747529216/Uo8lOkRJ_normal.jpg","View")</f>
        <v>View</v>
      </c>
      <c r="P5420" s="7"/>
    </row>
    <row r="5421" spans="1:16">
      <c r="A5421" s="3">
        <v>43948.783692129626</v>
      </c>
      <c r="B5421" s="4" t="str">
        <f>HYPERLINK("https://twitter.com/petrogustavo","@petrogustavo")</f>
        <v>@petrogustavo</v>
      </c>
      <c r="C5421" s="5" t="s">
        <v>16</v>
      </c>
      <c r="D5421" s="5" t="s">
        <v>5285</v>
      </c>
      <c r="E5421" s="6" t="str">
        <f>HYPERLINK("https://twitter.com/petrogustavo/status/1254761848047570946","1254761848047570946")</f>
        <v>1254761848047570946</v>
      </c>
      <c r="F5421" s="7" t="s">
        <v>17</v>
      </c>
      <c r="G5421" s="7">
        <v>3801617</v>
      </c>
      <c r="H5421" s="7">
        <v>2394</v>
      </c>
      <c r="I5421" s="7">
        <v>20</v>
      </c>
      <c r="J5421" s="7">
        <v>0</v>
      </c>
      <c r="K5421" s="7" t="s">
        <v>18</v>
      </c>
      <c r="L5421" s="8">
        <v>39987.315405092595</v>
      </c>
      <c r="M5421" s="9" t="s">
        <v>19</v>
      </c>
      <c r="N5421" s="9" t="s">
        <v>20</v>
      </c>
      <c r="O5421" s="6" t="str">
        <f>HYPERLINK("https://pbs.twimg.com/profile_images/962471262747529216/Uo8lOkRJ_normal.jpg","View")</f>
        <v>View</v>
      </c>
      <c r="P5421" s="7"/>
    </row>
    <row r="5422" spans="1:16">
      <c r="A5422" s="3">
        <v>43948.784201388888</v>
      </c>
      <c r="B5422" s="4" t="str">
        <f>HYPERLINK("https://twitter.com/petrogustavo","@petrogustavo")</f>
        <v>@petrogustavo</v>
      </c>
      <c r="C5422" s="5" t="s">
        <v>16</v>
      </c>
      <c r="D5422" s="5" t="s">
        <v>5286</v>
      </c>
      <c r="E5422" s="6" t="str">
        <f>HYPERLINK("https://twitter.com/petrogustavo/status/1254762030621511681","1254762030621511681")</f>
        <v>1254762030621511681</v>
      </c>
      <c r="F5422" s="7" t="s">
        <v>17</v>
      </c>
      <c r="G5422" s="7">
        <v>3801617</v>
      </c>
      <c r="H5422" s="7">
        <v>2394</v>
      </c>
      <c r="I5422" s="7">
        <v>59</v>
      </c>
      <c r="J5422" s="7">
        <v>0</v>
      </c>
      <c r="K5422" s="7" t="s">
        <v>18</v>
      </c>
      <c r="L5422" s="8">
        <v>39987.315405092595</v>
      </c>
      <c r="M5422" s="9" t="s">
        <v>19</v>
      </c>
      <c r="N5422" s="9" t="s">
        <v>20</v>
      </c>
      <c r="O5422" s="6" t="str">
        <f>HYPERLINK("https://pbs.twimg.com/profile_images/962471262747529216/Uo8lOkRJ_normal.jpg","View")</f>
        <v>View</v>
      </c>
      <c r="P5422" s="7"/>
    </row>
    <row r="5423" spans="1:16">
      <c r="A5423" s="3">
        <v>43948.785995370374</v>
      </c>
      <c r="B5423" s="4" t="str">
        <f>HYPERLINK("https://twitter.com/petrogustavo","@petrogustavo")</f>
        <v>@petrogustavo</v>
      </c>
      <c r="C5423" s="5" t="s">
        <v>16</v>
      </c>
      <c r="D5423" s="5" t="s">
        <v>5287</v>
      </c>
      <c r="E5423" s="6" t="str">
        <f>HYPERLINK("https://twitter.com/petrogustavo/status/1254762683280195597","1254762683280195597")</f>
        <v>1254762683280195597</v>
      </c>
      <c r="F5423" s="7" t="s">
        <v>17</v>
      </c>
      <c r="G5423" s="7">
        <v>3801617</v>
      </c>
      <c r="H5423" s="7">
        <v>2394</v>
      </c>
      <c r="I5423" s="7">
        <v>135</v>
      </c>
      <c r="J5423" s="7">
        <v>0</v>
      </c>
      <c r="K5423" s="7" t="s">
        <v>18</v>
      </c>
      <c r="L5423" s="8">
        <v>39987.315405092595</v>
      </c>
      <c r="M5423" s="9" t="s">
        <v>19</v>
      </c>
      <c r="N5423" s="9" t="s">
        <v>20</v>
      </c>
      <c r="O5423" s="6" t="str">
        <f>HYPERLINK("https://pbs.twimg.com/profile_images/962471262747529216/Uo8lOkRJ_normal.jpg","View")</f>
        <v>View</v>
      </c>
      <c r="P5423" s="7"/>
    </row>
    <row r="5424" spans="1:16">
      <c r="A5424" s="3">
        <v>43948.786921296298</v>
      </c>
      <c r="B5424" s="4" t="str">
        <f>HYPERLINK("https://twitter.com/petrogustavo","@petrogustavo")</f>
        <v>@petrogustavo</v>
      </c>
      <c r="C5424" s="5" t="s">
        <v>16</v>
      </c>
      <c r="D5424" s="5" t="s">
        <v>5288</v>
      </c>
      <c r="E5424" s="6" t="str">
        <f>HYPERLINK("https://twitter.com/petrogustavo/status/1254763017063018500","1254763017063018500")</f>
        <v>1254763017063018500</v>
      </c>
      <c r="F5424" s="7" t="s">
        <v>17</v>
      </c>
      <c r="G5424" s="7">
        <v>3801617</v>
      </c>
      <c r="H5424" s="7">
        <v>2394</v>
      </c>
      <c r="I5424" s="7">
        <v>65</v>
      </c>
      <c r="J5424" s="7">
        <v>0</v>
      </c>
      <c r="K5424" s="7" t="s">
        <v>18</v>
      </c>
      <c r="L5424" s="8">
        <v>39987.315405092595</v>
      </c>
      <c r="M5424" s="9" t="s">
        <v>19</v>
      </c>
      <c r="N5424" s="9" t="s">
        <v>20</v>
      </c>
      <c r="O5424" s="6" t="str">
        <f>HYPERLINK("https://pbs.twimg.com/profile_images/962471262747529216/Uo8lOkRJ_normal.jpg","View")</f>
        <v>View</v>
      </c>
      <c r="P5424" s="7"/>
    </row>
    <row r="5425" spans="1:16">
      <c r="A5425" s="3">
        <v>43948.78701388889</v>
      </c>
      <c r="B5425" s="4" t="str">
        <f>HYPERLINK("https://twitter.com/petrogustavo","@petrogustavo")</f>
        <v>@petrogustavo</v>
      </c>
      <c r="C5425" s="5" t="s">
        <v>16</v>
      </c>
      <c r="D5425" s="5" t="s">
        <v>5289</v>
      </c>
      <c r="E5425" s="6" t="str">
        <f>HYPERLINK("https://twitter.com/petrogustavo/status/1254763053205213186","1254763053205213186")</f>
        <v>1254763053205213186</v>
      </c>
      <c r="F5425" s="7" t="s">
        <v>17</v>
      </c>
      <c r="G5425" s="7">
        <v>3801617</v>
      </c>
      <c r="H5425" s="7">
        <v>2394</v>
      </c>
      <c r="I5425" s="7">
        <v>15</v>
      </c>
      <c r="J5425" s="7">
        <v>0</v>
      </c>
      <c r="K5425" s="7" t="s">
        <v>18</v>
      </c>
      <c r="L5425" s="8">
        <v>39987.315405092595</v>
      </c>
      <c r="M5425" s="9" t="s">
        <v>19</v>
      </c>
      <c r="N5425" s="9" t="s">
        <v>20</v>
      </c>
      <c r="O5425" s="6" t="str">
        <f>HYPERLINK("https://pbs.twimg.com/profile_images/962471262747529216/Uo8lOkRJ_normal.jpg","View")</f>
        <v>View</v>
      </c>
      <c r="P5425" s="7"/>
    </row>
    <row r="5426" spans="1:16">
      <c r="A5426" s="3">
        <v>43948.788518518515</v>
      </c>
      <c r="B5426" s="4" t="str">
        <f>HYPERLINK("https://twitter.com/petrogustavo","@petrogustavo")</f>
        <v>@petrogustavo</v>
      </c>
      <c r="C5426" s="5" t="s">
        <v>16</v>
      </c>
      <c r="D5426" s="5" t="s">
        <v>5290</v>
      </c>
      <c r="E5426" s="6" t="str">
        <f>HYPERLINK("https://twitter.com/petrogustavo/status/1254763594685661189","1254763594685661189")</f>
        <v>1254763594685661189</v>
      </c>
      <c r="F5426" s="7" t="s">
        <v>17</v>
      </c>
      <c r="G5426" s="7">
        <v>3801617</v>
      </c>
      <c r="H5426" s="7">
        <v>2394</v>
      </c>
      <c r="I5426" s="7">
        <v>23</v>
      </c>
      <c r="J5426" s="7">
        <v>0</v>
      </c>
      <c r="K5426" s="7" t="s">
        <v>18</v>
      </c>
      <c r="L5426" s="8">
        <v>39987.315405092595</v>
      </c>
      <c r="M5426" s="9" t="s">
        <v>19</v>
      </c>
      <c r="N5426" s="9" t="s">
        <v>20</v>
      </c>
      <c r="O5426" s="6" t="str">
        <f>HYPERLINK("https://pbs.twimg.com/profile_images/962471262747529216/Uo8lOkRJ_normal.jpg","View")</f>
        <v>View</v>
      </c>
      <c r="P5426" s="7"/>
    </row>
    <row r="5427" spans="1:16">
      <c r="A5427" s="3">
        <v>43948.788518518515</v>
      </c>
      <c r="B5427" s="4" t="str">
        <f>HYPERLINK("https://twitter.com/petrogustavo","@petrogustavo")</f>
        <v>@petrogustavo</v>
      </c>
      <c r="C5427" s="5" t="s">
        <v>16</v>
      </c>
      <c r="D5427" s="5" t="s">
        <v>5291</v>
      </c>
      <c r="E5427" s="6" t="str">
        <f>HYPERLINK("https://twitter.com/petrogustavo/status/1254763596489256960","1254763596489256960")</f>
        <v>1254763596489256960</v>
      </c>
      <c r="F5427" s="7" t="s">
        <v>17</v>
      </c>
      <c r="G5427" s="7">
        <v>3801617</v>
      </c>
      <c r="H5427" s="7">
        <v>2394</v>
      </c>
      <c r="I5427" s="7">
        <v>51</v>
      </c>
      <c r="J5427" s="7">
        <v>0</v>
      </c>
      <c r="K5427" s="7" t="s">
        <v>18</v>
      </c>
      <c r="L5427" s="8">
        <v>39987.315405092595</v>
      </c>
      <c r="M5427" s="9" t="s">
        <v>19</v>
      </c>
      <c r="N5427" s="9" t="s">
        <v>20</v>
      </c>
      <c r="O5427" s="6" t="str">
        <f>HYPERLINK("https://pbs.twimg.com/profile_images/962471262747529216/Uo8lOkRJ_normal.jpg","View")</f>
        <v>View</v>
      </c>
      <c r="P5427" s="7"/>
    </row>
    <row r="5428" spans="1:16">
      <c r="A5428" s="3">
        <v>43948.788946759261</v>
      </c>
      <c r="B5428" s="4" t="str">
        <f>HYPERLINK("https://twitter.com/petrogustavo","@petrogustavo")</f>
        <v>@petrogustavo</v>
      </c>
      <c r="C5428" s="5" t="s">
        <v>16</v>
      </c>
      <c r="D5428" s="5" t="s">
        <v>5292</v>
      </c>
      <c r="E5428" s="6" t="str">
        <f>HYPERLINK("https://twitter.com/petrogustavo/status/1254763753687543809","1254763753687543809")</f>
        <v>1254763753687543809</v>
      </c>
      <c r="F5428" s="7" t="s">
        <v>17</v>
      </c>
      <c r="G5428" s="7">
        <v>3801617</v>
      </c>
      <c r="H5428" s="7">
        <v>2394</v>
      </c>
      <c r="I5428" s="7">
        <v>44</v>
      </c>
      <c r="J5428" s="7">
        <v>0</v>
      </c>
      <c r="K5428" s="7" t="s">
        <v>18</v>
      </c>
      <c r="L5428" s="8">
        <v>39987.315405092595</v>
      </c>
      <c r="M5428" s="9" t="s">
        <v>19</v>
      </c>
      <c r="N5428" s="9" t="s">
        <v>20</v>
      </c>
      <c r="O5428" s="6" t="str">
        <f>HYPERLINK("https://pbs.twimg.com/profile_images/962471262747529216/Uo8lOkRJ_normal.jpg","View")</f>
        <v>View</v>
      </c>
      <c r="P5428" s="7"/>
    </row>
    <row r="5429" spans="1:16">
      <c r="A5429" s="3">
        <v>43948.78943287037</v>
      </c>
      <c r="B5429" s="4" t="str">
        <f>HYPERLINK("https://twitter.com/petrogustavo","@petrogustavo")</f>
        <v>@petrogustavo</v>
      </c>
      <c r="C5429" s="5" t="s">
        <v>16</v>
      </c>
      <c r="D5429" s="5" t="s">
        <v>5293</v>
      </c>
      <c r="E5429" s="6" t="str">
        <f>HYPERLINK("https://twitter.com/petrogustavo/status/1254763928124559362","1254763928124559362")</f>
        <v>1254763928124559362</v>
      </c>
      <c r="F5429" s="7" t="s">
        <v>17</v>
      </c>
      <c r="G5429" s="7">
        <v>3801617</v>
      </c>
      <c r="H5429" s="7">
        <v>2394</v>
      </c>
      <c r="I5429" s="7">
        <v>19</v>
      </c>
      <c r="J5429" s="7">
        <v>0</v>
      </c>
      <c r="K5429" s="7" t="s">
        <v>18</v>
      </c>
      <c r="L5429" s="8">
        <v>39987.315405092595</v>
      </c>
      <c r="M5429" s="9" t="s">
        <v>19</v>
      </c>
      <c r="N5429" s="9" t="s">
        <v>20</v>
      </c>
      <c r="O5429" s="6" t="str">
        <f>HYPERLINK("https://pbs.twimg.com/profile_images/962471262747529216/Uo8lOkRJ_normal.jpg","View")</f>
        <v>View</v>
      </c>
      <c r="P5429" s="7"/>
    </row>
    <row r="5430" spans="1:16">
      <c r="A5430" s="3">
        <v>43948.789641203708</v>
      </c>
      <c r="B5430" s="4" t="str">
        <f>HYPERLINK("https://twitter.com/petrogustavo","@petrogustavo")</f>
        <v>@petrogustavo</v>
      </c>
      <c r="C5430" s="5" t="s">
        <v>16</v>
      </c>
      <c r="D5430" s="5" t="s">
        <v>5294</v>
      </c>
      <c r="E5430" s="6" t="str">
        <f>HYPERLINK("https://twitter.com/petrogustavo/status/1254764004762738692","1254764004762738692")</f>
        <v>1254764004762738692</v>
      </c>
      <c r="F5430" s="7" t="s">
        <v>17</v>
      </c>
      <c r="G5430" s="7">
        <v>3801617</v>
      </c>
      <c r="H5430" s="7">
        <v>2394</v>
      </c>
      <c r="I5430" s="7">
        <v>37</v>
      </c>
      <c r="J5430" s="7">
        <v>0</v>
      </c>
      <c r="K5430" s="7" t="s">
        <v>18</v>
      </c>
      <c r="L5430" s="8">
        <v>39987.315405092595</v>
      </c>
      <c r="M5430" s="9" t="s">
        <v>19</v>
      </c>
      <c r="N5430" s="9" t="s">
        <v>20</v>
      </c>
      <c r="O5430" s="6" t="str">
        <f>HYPERLINK("https://pbs.twimg.com/profile_images/962471262747529216/Uo8lOkRJ_normal.jpg","View")</f>
        <v>View</v>
      </c>
      <c r="P5430" s="7"/>
    </row>
    <row r="5431" spans="1:16">
      <c r="A5431" s="3">
        <v>43948.78969907407</v>
      </c>
      <c r="B5431" s="4" t="str">
        <f>HYPERLINK("https://twitter.com/petrogustavo","@petrogustavo")</f>
        <v>@petrogustavo</v>
      </c>
      <c r="C5431" s="5" t="s">
        <v>16</v>
      </c>
      <c r="D5431" s="5" t="s">
        <v>5295</v>
      </c>
      <c r="E5431" s="6" t="str">
        <f>HYPERLINK("https://twitter.com/petrogustavo/status/1254764025134514176","1254764025134514176")</f>
        <v>1254764025134514176</v>
      </c>
      <c r="F5431" s="7" t="s">
        <v>17</v>
      </c>
      <c r="G5431" s="7">
        <v>3801617</v>
      </c>
      <c r="H5431" s="7">
        <v>2394</v>
      </c>
      <c r="I5431" s="7">
        <v>15</v>
      </c>
      <c r="J5431" s="7">
        <v>0</v>
      </c>
      <c r="K5431" s="7" t="s">
        <v>18</v>
      </c>
      <c r="L5431" s="8">
        <v>39987.315405092595</v>
      </c>
      <c r="M5431" s="9" t="s">
        <v>19</v>
      </c>
      <c r="N5431" s="9" t="s">
        <v>20</v>
      </c>
      <c r="O5431" s="6" t="str">
        <f>HYPERLINK("https://pbs.twimg.com/profile_images/962471262747529216/Uo8lOkRJ_normal.jpg","View")</f>
        <v>View</v>
      </c>
      <c r="P5431" s="7"/>
    </row>
    <row r="5432" spans="1:16">
      <c r="A5432" s="3">
        <v>43948.789837962962</v>
      </c>
      <c r="B5432" s="4" t="str">
        <f>HYPERLINK("https://twitter.com/petrogustavo","@petrogustavo")</f>
        <v>@petrogustavo</v>
      </c>
      <c r="C5432" s="5" t="s">
        <v>16</v>
      </c>
      <c r="D5432" s="5" t="s">
        <v>5296</v>
      </c>
      <c r="E5432" s="6" t="str">
        <f>HYPERLINK("https://twitter.com/petrogustavo/status/1254764073117515777","1254764073117515777")</f>
        <v>1254764073117515777</v>
      </c>
      <c r="F5432" s="7" t="s">
        <v>17</v>
      </c>
      <c r="G5432" s="7">
        <v>3801617</v>
      </c>
      <c r="H5432" s="7">
        <v>2394</v>
      </c>
      <c r="I5432" s="7">
        <v>45</v>
      </c>
      <c r="J5432" s="7">
        <v>0</v>
      </c>
      <c r="K5432" s="7" t="s">
        <v>18</v>
      </c>
      <c r="L5432" s="8">
        <v>39987.315405092595</v>
      </c>
      <c r="M5432" s="9" t="s">
        <v>19</v>
      </c>
      <c r="N5432" s="9" t="s">
        <v>20</v>
      </c>
      <c r="O5432" s="6" t="str">
        <f>HYPERLINK("https://pbs.twimg.com/profile_images/962471262747529216/Uo8lOkRJ_normal.jpg","View")</f>
        <v>View</v>
      </c>
      <c r="P5432" s="7"/>
    </row>
    <row r="5433" spans="1:16">
      <c r="A5433" s="3">
        <v>43948.789930555555</v>
      </c>
      <c r="B5433" s="4" t="str">
        <f>HYPERLINK("https://twitter.com/petrogustavo","@petrogustavo")</f>
        <v>@petrogustavo</v>
      </c>
      <c r="C5433" s="5" t="s">
        <v>16</v>
      </c>
      <c r="D5433" s="5" t="s">
        <v>5297</v>
      </c>
      <c r="E5433" s="6" t="str">
        <f>HYPERLINK("https://twitter.com/petrogustavo/status/1254764108404023296","1254764108404023296")</f>
        <v>1254764108404023296</v>
      </c>
      <c r="F5433" s="7" t="s">
        <v>17</v>
      </c>
      <c r="G5433" s="7">
        <v>3801617</v>
      </c>
      <c r="H5433" s="7">
        <v>2394</v>
      </c>
      <c r="I5433" s="7">
        <v>45</v>
      </c>
      <c r="J5433" s="7">
        <v>0</v>
      </c>
      <c r="K5433" s="7" t="s">
        <v>18</v>
      </c>
      <c r="L5433" s="8">
        <v>39987.315405092595</v>
      </c>
      <c r="M5433" s="9" t="s">
        <v>19</v>
      </c>
      <c r="N5433" s="9" t="s">
        <v>20</v>
      </c>
      <c r="O5433" s="6" t="str">
        <f>HYPERLINK("https://pbs.twimg.com/profile_images/962471262747529216/Uo8lOkRJ_normal.jpg","View")</f>
        <v>View</v>
      </c>
      <c r="P5433" s="7"/>
    </row>
    <row r="5434" spans="1:16">
      <c r="A5434" s="3">
        <v>43948.790046296301</v>
      </c>
      <c r="B5434" s="4" t="str">
        <f>HYPERLINK("https://twitter.com/petrogustavo","@petrogustavo")</f>
        <v>@petrogustavo</v>
      </c>
      <c r="C5434" s="5" t="s">
        <v>16</v>
      </c>
      <c r="D5434" s="5" t="s">
        <v>5298</v>
      </c>
      <c r="E5434" s="6" t="str">
        <f>HYPERLINK("https://twitter.com/petrogustavo/status/1254764152368689153","1254764152368689153")</f>
        <v>1254764152368689153</v>
      </c>
      <c r="F5434" s="7" t="s">
        <v>17</v>
      </c>
      <c r="G5434" s="7">
        <v>3801617</v>
      </c>
      <c r="H5434" s="7">
        <v>2394</v>
      </c>
      <c r="I5434" s="7">
        <v>20</v>
      </c>
      <c r="J5434" s="7">
        <v>0</v>
      </c>
      <c r="K5434" s="7" t="s">
        <v>18</v>
      </c>
      <c r="L5434" s="8">
        <v>39987.315405092595</v>
      </c>
      <c r="M5434" s="9" t="s">
        <v>19</v>
      </c>
      <c r="N5434" s="9" t="s">
        <v>20</v>
      </c>
      <c r="O5434" s="6" t="str">
        <f>HYPERLINK("https://pbs.twimg.com/profile_images/962471262747529216/Uo8lOkRJ_normal.jpg","View")</f>
        <v>View</v>
      </c>
      <c r="P5434" s="7"/>
    </row>
    <row r="5435" spans="1:16">
      <c r="A5435" s="3">
        <v>43948.791874999995</v>
      </c>
      <c r="B5435" s="4" t="str">
        <f>HYPERLINK("https://twitter.com/petrogustavo","@petrogustavo")</f>
        <v>@petrogustavo</v>
      </c>
      <c r="C5435" s="5" t="s">
        <v>16</v>
      </c>
      <c r="D5435" s="5" t="s">
        <v>5299</v>
      </c>
      <c r="E5435" s="6" t="str">
        <f>HYPERLINK("https://twitter.com/petrogustavo/status/1254764811314814978","1254764811314814978")</f>
        <v>1254764811314814978</v>
      </c>
      <c r="F5435" s="7" t="s">
        <v>17</v>
      </c>
      <c r="G5435" s="7">
        <v>3801617</v>
      </c>
      <c r="H5435" s="7">
        <v>2394</v>
      </c>
      <c r="I5435" s="7">
        <v>40</v>
      </c>
      <c r="J5435" s="7">
        <v>81</v>
      </c>
      <c r="K5435" s="7" t="s">
        <v>18</v>
      </c>
      <c r="L5435" s="8">
        <v>39987.315405092595</v>
      </c>
      <c r="M5435" s="9" t="s">
        <v>19</v>
      </c>
      <c r="N5435" s="9" t="s">
        <v>20</v>
      </c>
      <c r="O5435" s="6" t="str">
        <f>HYPERLINK("https://pbs.twimg.com/profile_images/962471262747529216/Uo8lOkRJ_normal.jpg","View")</f>
        <v>View</v>
      </c>
      <c r="P5435" s="7"/>
    </row>
    <row r="5436" spans="1:16">
      <c r="A5436" s="3">
        <v>43948.875208333338</v>
      </c>
      <c r="B5436" s="4" t="str">
        <f>HYPERLINK("https://twitter.com/petrogustavo","@petrogustavo")</f>
        <v>@petrogustavo</v>
      </c>
      <c r="C5436" s="5" t="s">
        <v>16</v>
      </c>
      <c r="D5436" s="5" t="s">
        <v>5300</v>
      </c>
      <c r="E5436" s="6" t="str">
        <f>HYPERLINK("https://twitter.com/petrogustavo/status/1254795014057660416","1254795014057660416")</f>
        <v>1254795014057660416</v>
      </c>
      <c r="F5436" s="7" t="s">
        <v>17</v>
      </c>
      <c r="G5436" s="7">
        <v>3801856</v>
      </c>
      <c r="H5436" s="7">
        <v>2394</v>
      </c>
      <c r="I5436" s="7">
        <v>21</v>
      </c>
      <c r="J5436" s="7">
        <v>47</v>
      </c>
      <c r="K5436" s="7" t="s">
        <v>18</v>
      </c>
      <c r="L5436" s="8">
        <v>39987.315405092595</v>
      </c>
      <c r="M5436" s="9" t="s">
        <v>19</v>
      </c>
      <c r="N5436" s="9" t="s">
        <v>20</v>
      </c>
      <c r="O5436" s="6" t="str">
        <f>HYPERLINK("https://pbs.twimg.com/profile_images/962471262747529216/Uo8lOkRJ_normal.jpg","View")</f>
        <v>View</v>
      </c>
      <c r="P5436" s="7"/>
    </row>
    <row r="5437" spans="1:16">
      <c r="A5437" s="3">
        <v>43948.890416666662</v>
      </c>
      <c r="B5437" s="4" t="str">
        <f>HYPERLINK("https://twitter.com/petrogustavo","@petrogustavo")</f>
        <v>@petrogustavo</v>
      </c>
      <c r="C5437" s="5" t="s">
        <v>16</v>
      </c>
      <c r="D5437" s="5" t="s">
        <v>5301</v>
      </c>
      <c r="E5437" s="6" t="str">
        <f>HYPERLINK("https://twitter.com/petrogustavo/status/1254800524261679106","1254800524261679106")</f>
        <v>1254800524261679106</v>
      </c>
      <c r="F5437" s="7" t="s">
        <v>17</v>
      </c>
      <c r="G5437" s="7">
        <v>3801922</v>
      </c>
      <c r="H5437" s="7">
        <v>2394</v>
      </c>
      <c r="I5437" s="7">
        <v>19</v>
      </c>
      <c r="J5437" s="7">
        <v>0</v>
      </c>
      <c r="K5437" s="7" t="s">
        <v>18</v>
      </c>
      <c r="L5437" s="8">
        <v>39987.315405092595</v>
      </c>
      <c r="M5437" s="9" t="s">
        <v>19</v>
      </c>
      <c r="N5437" s="9" t="s">
        <v>20</v>
      </c>
      <c r="O5437" s="6" t="str">
        <f>HYPERLINK("https://pbs.twimg.com/profile_images/962471262747529216/Uo8lOkRJ_normal.jpg","View")</f>
        <v>View</v>
      </c>
      <c r="P5437" s="7"/>
    </row>
    <row r="5438" spans="1:16">
      <c r="A5438" s="3">
        <v>43948.894571759258</v>
      </c>
      <c r="B5438" s="4" t="str">
        <f>HYPERLINK("https://twitter.com/petrogustavo","@petrogustavo")</f>
        <v>@petrogustavo</v>
      </c>
      <c r="C5438" s="5" t="s">
        <v>16</v>
      </c>
      <c r="D5438" s="5" t="s">
        <v>5302</v>
      </c>
      <c r="E5438" s="6" t="str">
        <f>HYPERLINK("https://twitter.com/petrogustavo/status/1254802030511742976","1254802030511742976")</f>
        <v>1254802030511742976</v>
      </c>
      <c r="F5438" s="7" t="s">
        <v>17</v>
      </c>
      <c r="G5438" s="7">
        <v>3801922</v>
      </c>
      <c r="H5438" s="7">
        <v>2394</v>
      </c>
      <c r="I5438" s="7">
        <v>22</v>
      </c>
      <c r="J5438" s="7">
        <v>57</v>
      </c>
      <c r="K5438" s="7" t="s">
        <v>18</v>
      </c>
      <c r="L5438" s="8">
        <v>39987.315405092595</v>
      </c>
      <c r="M5438" s="9" t="s">
        <v>19</v>
      </c>
      <c r="N5438" s="9" t="s">
        <v>20</v>
      </c>
      <c r="O5438" s="6" t="str">
        <f>HYPERLINK("https://pbs.twimg.com/profile_images/962471262747529216/Uo8lOkRJ_normal.jpg","View")</f>
        <v>View</v>
      </c>
      <c r="P5438" s="7"/>
    </row>
    <row r="5439" spans="1:16">
      <c r="A5439" s="3">
        <v>43948.897291666668</v>
      </c>
      <c r="B5439" s="4" t="str">
        <f>HYPERLINK("https://twitter.com/petrogustavo","@petrogustavo")</f>
        <v>@petrogustavo</v>
      </c>
      <c r="C5439" s="5" t="s">
        <v>16</v>
      </c>
      <c r="D5439" s="5" t="s">
        <v>5303</v>
      </c>
      <c r="E5439" s="6" t="str">
        <f>HYPERLINK("https://twitter.com/petrogustavo/status/1254803013887197185","1254803013887197185")</f>
        <v>1254803013887197185</v>
      </c>
      <c r="F5439" s="7" t="s">
        <v>17</v>
      </c>
      <c r="G5439" s="7">
        <v>3801922</v>
      </c>
      <c r="H5439" s="7">
        <v>2394</v>
      </c>
      <c r="I5439" s="7">
        <v>308</v>
      </c>
      <c r="J5439" s="7">
        <v>0</v>
      </c>
      <c r="K5439" s="7" t="s">
        <v>18</v>
      </c>
      <c r="L5439" s="8">
        <v>39987.315405092595</v>
      </c>
      <c r="M5439" s="9" t="s">
        <v>19</v>
      </c>
      <c r="N5439" s="9" t="s">
        <v>20</v>
      </c>
      <c r="O5439" s="6" t="str">
        <f>HYPERLINK("https://pbs.twimg.com/profile_images/962471262747529216/Uo8lOkRJ_normal.jpg","View")</f>
        <v>View</v>
      </c>
      <c r="P5439" s="7"/>
    </row>
    <row r="5440" spans="1:16">
      <c r="A5440" s="3">
        <v>43948.903715277775</v>
      </c>
      <c r="B5440" s="4" t="str">
        <f>HYPERLINK("https://twitter.com/petrogustavo","@petrogustavo")</f>
        <v>@petrogustavo</v>
      </c>
      <c r="C5440" s="5" t="s">
        <v>16</v>
      </c>
      <c r="D5440" s="5" t="s">
        <v>5304</v>
      </c>
      <c r="E5440" s="6" t="str">
        <f>HYPERLINK("https://twitter.com/petrogustavo/status/1254805344368418819","1254805344368418819")</f>
        <v>1254805344368418819</v>
      </c>
      <c r="F5440" s="7" t="s">
        <v>17</v>
      </c>
      <c r="G5440" s="7">
        <v>3801998</v>
      </c>
      <c r="H5440" s="7">
        <v>2394</v>
      </c>
      <c r="I5440" s="7">
        <v>137</v>
      </c>
      <c r="J5440" s="7">
        <v>351</v>
      </c>
      <c r="K5440" s="7" t="s">
        <v>18</v>
      </c>
      <c r="L5440" s="8">
        <v>39987.315405092595</v>
      </c>
      <c r="M5440" s="9" t="s">
        <v>19</v>
      </c>
      <c r="N5440" s="9" t="s">
        <v>20</v>
      </c>
      <c r="O5440" s="6" t="str">
        <f>HYPERLINK("https://pbs.twimg.com/profile_images/962471262747529216/Uo8lOkRJ_normal.jpg","View")</f>
        <v>View</v>
      </c>
      <c r="P5440" s="7"/>
    </row>
    <row r="5441" spans="1:16">
      <c r="A5441" s="3">
        <v>43948.903854166667</v>
      </c>
      <c r="B5441" s="4" t="str">
        <f>HYPERLINK("https://twitter.com/petrogustavo","@petrogustavo")</f>
        <v>@petrogustavo</v>
      </c>
      <c r="C5441" s="5" t="s">
        <v>16</v>
      </c>
      <c r="D5441" s="5" t="s">
        <v>5305</v>
      </c>
      <c r="E5441" s="6" t="str">
        <f>HYPERLINK("https://twitter.com/petrogustavo/status/1254805393886318597","1254805393886318597")</f>
        <v>1254805393886318597</v>
      </c>
      <c r="F5441" s="7" t="s">
        <v>17</v>
      </c>
      <c r="G5441" s="7">
        <v>3801998</v>
      </c>
      <c r="H5441" s="7">
        <v>2394</v>
      </c>
      <c r="I5441" s="7">
        <v>90</v>
      </c>
      <c r="J5441" s="7">
        <v>0</v>
      </c>
      <c r="K5441" s="7" t="s">
        <v>18</v>
      </c>
      <c r="L5441" s="8">
        <v>39987.315405092595</v>
      </c>
      <c r="M5441" s="9" t="s">
        <v>19</v>
      </c>
      <c r="N5441" s="9" t="s">
        <v>20</v>
      </c>
      <c r="O5441" s="6" t="str">
        <f>HYPERLINK("https://pbs.twimg.com/profile_images/962471262747529216/Uo8lOkRJ_normal.jpg","View")</f>
        <v>View</v>
      </c>
      <c r="P5441" s="7"/>
    </row>
    <row r="5442" spans="1:16">
      <c r="A5442" s="3">
        <v>43948.973356481481</v>
      </c>
      <c r="B5442" s="4" t="str">
        <f>HYPERLINK("https://twitter.com/petrogustavo","@petrogustavo")</f>
        <v>@petrogustavo</v>
      </c>
      <c r="C5442" s="5" t="s">
        <v>16</v>
      </c>
      <c r="D5442" s="5" t="s">
        <v>5306</v>
      </c>
      <c r="E5442" s="6" t="str">
        <f>HYPERLINK("https://twitter.com/petrogustavo/status/1254830580132392961","1254830580132392961")</f>
        <v>1254830580132392961</v>
      </c>
      <c r="F5442" s="7" t="s">
        <v>17</v>
      </c>
      <c r="G5442" s="7">
        <v>3802196</v>
      </c>
      <c r="H5442" s="7">
        <v>2394</v>
      </c>
      <c r="I5442" s="7">
        <v>28</v>
      </c>
      <c r="J5442" s="7">
        <v>0</v>
      </c>
      <c r="K5442" s="7" t="s">
        <v>18</v>
      </c>
      <c r="L5442" s="8">
        <v>39987.315405092595</v>
      </c>
      <c r="M5442" s="9" t="s">
        <v>19</v>
      </c>
      <c r="N5442" s="9" t="s">
        <v>20</v>
      </c>
      <c r="O5442" s="6" t="str">
        <f>HYPERLINK("https://pbs.twimg.com/profile_images/962471262747529216/Uo8lOkRJ_normal.jpg","View")</f>
        <v>View</v>
      </c>
      <c r="P5442" s="7"/>
    </row>
    <row r="5443" spans="1:16">
      <c r="A5443" s="3">
        <v>43948.977187500001</v>
      </c>
      <c r="B5443" s="4" t="str">
        <f>HYPERLINK("https://twitter.com/petrogustavo","@petrogustavo")</f>
        <v>@petrogustavo</v>
      </c>
      <c r="C5443" s="5" t="s">
        <v>16</v>
      </c>
      <c r="D5443" s="5" t="s">
        <v>5307</v>
      </c>
      <c r="E5443" s="6" t="str">
        <f>HYPERLINK("https://twitter.com/petrogustavo/status/1254831969365626880","1254831969365626880")</f>
        <v>1254831969365626880</v>
      </c>
      <c r="F5443" s="7" t="s">
        <v>17</v>
      </c>
      <c r="G5443" s="7">
        <v>3802196</v>
      </c>
      <c r="H5443" s="7">
        <v>2394</v>
      </c>
      <c r="I5443" s="7">
        <v>39</v>
      </c>
      <c r="J5443" s="7">
        <v>133</v>
      </c>
      <c r="K5443" s="7" t="s">
        <v>18</v>
      </c>
      <c r="L5443" s="8">
        <v>39987.315405092595</v>
      </c>
      <c r="M5443" s="9" t="s">
        <v>19</v>
      </c>
      <c r="N5443" s="9" t="s">
        <v>20</v>
      </c>
      <c r="O5443" s="6" t="str">
        <f>HYPERLINK("https://pbs.twimg.com/profile_images/962471262747529216/Uo8lOkRJ_normal.jpg","View")</f>
        <v>View</v>
      </c>
      <c r="P5443" s="7"/>
    </row>
    <row r="5444" spans="1:16">
      <c r="A5444" s="3">
        <v>43949.040289351848</v>
      </c>
      <c r="B5444" s="4" t="str">
        <f>HYPERLINK("https://twitter.com/petrogustavo","@petrogustavo")</f>
        <v>@petrogustavo</v>
      </c>
      <c r="C5444" s="5" t="s">
        <v>16</v>
      </c>
      <c r="D5444" s="5" t="s">
        <v>5308</v>
      </c>
      <c r="E5444" s="6" t="str">
        <f>HYPERLINK("https://twitter.com/petrogustavo/status/1254854835171557376","1254854835171557376")</f>
        <v>1254854835171557376</v>
      </c>
      <c r="F5444" s="7" t="s">
        <v>17</v>
      </c>
      <c r="G5444" s="7">
        <v>3802377</v>
      </c>
      <c r="H5444" s="7">
        <v>2394</v>
      </c>
      <c r="I5444" s="7">
        <v>39</v>
      </c>
      <c r="J5444" s="7">
        <v>0</v>
      </c>
      <c r="K5444" s="7" t="s">
        <v>18</v>
      </c>
      <c r="L5444" s="8">
        <v>39987.315405092595</v>
      </c>
      <c r="M5444" s="9" t="s">
        <v>19</v>
      </c>
      <c r="N5444" s="9" t="s">
        <v>20</v>
      </c>
      <c r="O5444" s="6" t="str">
        <f>HYPERLINK("https://pbs.twimg.com/profile_images/962471262747529216/Uo8lOkRJ_normal.jpg","View")</f>
        <v>View</v>
      </c>
      <c r="P5444" s="7"/>
    </row>
    <row r="5445" spans="1:16">
      <c r="A5445" s="3">
        <v>43949.040775462963</v>
      </c>
      <c r="B5445" s="4" t="str">
        <f>HYPERLINK("https://twitter.com/petrogustavo","@petrogustavo")</f>
        <v>@petrogustavo</v>
      </c>
      <c r="C5445" s="5" t="s">
        <v>16</v>
      </c>
      <c r="D5445" s="5" t="s">
        <v>5309</v>
      </c>
      <c r="E5445" s="6" t="str">
        <f>HYPERLINK("https://twitter.com/petrogustavo/status/1254855011605110785","1254855011605110785")</f>
        <v>1254855011605110785</v>
      </c>
      <c r="F5445" s="7" t="s">
        <v>17</v>
      </c>
      <c r="G5445" s="7">
        <v>3802377</v>
      </c>
      <c r="H5445" s="7">
        <v>2394</v>
      </c>
      <c r="I5445" s="7">
        <v>458</v>
      </c>
      <c r="J5445" s="7">
        <v>0</v>
      </c>
      <c r="K5445" s="7" t="s">
        <v>18</v>
      </c>
      <c r="L5445" s="8">
        <v>39987.315405092595</v>
      </c>
      <c r="M5445" s="9" t="s">
        <v>19</v>
      </c>
      <c r="N5445" s="9" t="s">
        <v>20</v>
      </c>
      <c r="O5445" s="6" t="str">
        <f>HYPERLINK("https://pbs.twimg.com/profile_images/962471262747529216/Uo8lOkRJ_normal.jpg","View")</f>
        <v>View</v>
      </c>
      <c r="P5445" s="7"/>
    </row>
    <row r="5446" spans="1:16">
      <c r="A5446" s="3">
        <v>43949.063171296293</v>
      </c>
      <c r="B5446" s="4" t="str">
        <f>HYPERLINK("https://twitter.com/petrogustavo","@petrogustavo")</f>
        <v>@petrogustavo</v>
      </c>
      <c r="C5446" s="5" t="s">
        <v>16</v>
      </c>
      <c r="D5446" s="5" t="s">
        <v>5310</v>
      </c>
      <c r="E5446" s="6" t="str">
        <f>HYPERLINK("https://twitter.com/petrogustavo/status/1254863126358405125","1254863126358405125")</f>
        <v>1254863126358405125</v>
      </c>
      <c r="F5446" s="7" t="s">
        <v>17</v>
      </c>
      <c r="G5446" s="7">
        <v>3802446</v>
      </c>
      <c r="H5446" s="7">
        <v>2394</v>
      </c>
      <c r="I5446" s="7">
        <v>244</v>
      </c>
      <c r="J5446" s="7">
        <v>0</v>
      </c>
      <c r="K5446" s="7" t="s">
        <v>18</v>
      </c>
      <c r="L5446" s="8">
        <v>39987.315405092595</v>
      </c>
      <c r="M5446" s="9" t="s">
        <v>19</v>
      </c>
      <c r="N5446" s="9" t="s">
        <v>20</v>
      </c>
      <c r="O5446" s="6" t="str">
        <f>HYPERLINK("https://pbs.twimg.com/profile_images/962471262747529216/Uo8lOkRJ_normal.jpg","View")</f>
        <v>View</v>
      </c>
      <c r="P5446" s="7"/>
    </row>
    <row r="5447" spans="1:16">
      <c r="A5447" s="3">
        <v>43949.098622685182</v>
      </c>
      <c r="B5447" s="4" t="str">
        <f>HYPERLINK("https://twitter.com/petrogustavo","@petrogustavo")</f>
        <v>@petrogustavo</v>
      </c>
      <c r="C5447" s="5" t="s">
        <v>16</v>
      </c>
      <c r="D5447" s="5" t="s">
        <v>5311</v>
      </c>
      <c r="E5447" s="6" t="str">
        <f>HYPERLINK("https://twitter.com/petrogustavo/status/1254875973423693826","1254875973423693826")</f>
        <v>1254875973423693826</v>
      </c>
      <c r="F5447" s="7" t="s">
        <v>17</v>
      </c>
      <c r="G5447" s="7">
        <v>3802557</v>
      </c>
      <c r="H5447" s="7">
        <v>2394</v>
      </c>
      <c r="I5447" s="7">
        <v>34</v>
      </c>
      <c r="J5447" s="7">
        <v>80</v>
      </c>
      <c r="K5447" s="7" t="s">
        <v>18</v>
      </c>
      <c r="L5447" s="8">
        <v>39987.315405092595</v>
      </c>
      <c r="M5447" s="9" t="s">
        <v>19</v>
      </c>
      <c r="N5447" s="9" t="s">
        <v>20</v>
      </c>
      <c r="O5447" s="6" t="str">
        <f>HYPERLINK("https://pbs.twimg.com/profile_images/962471262747529216/Uo8lOkRJ_normal.jpg","View")</f>
        <v>View</v>
      </c>
      <c r="P5447" s="7"/>
    </row>
    <row r="5448" spans="1:16">
      <c r="A5448" s="3">
        <v>43949.100381944445</v>
      </c>
      <c r="B5448" s="4" t="str">
        <f>HYPERLINK("https://twitter.com/petrogustavo","@petrogustavo")</f>
        <v>@petrogustavo</v>
      </c>
      <c r="C5448" s="5" t="s">
        <v>16</v>
      </c>
      <c r="D5448" s="5" t="s">
        <v>5312</v>
      </c>
      <c r="E5448" s="6" t="str">
        <f>HYPERLINK("https://twitter.com/petrogustavo/status/1254876613759643649","1254876613759643649")</f>
        <v>1254876613759643649</v>
      </c>
      <c r="F5448" s="7" t="s">
        <v>17</v>
      </c>
      <c r="G5448" s="7">
        <v>3802557</v>
      </c>
      <c r="H5448" s="7">
        <v>2394</v>
      </c>
      <c r="I5448" s="7">
        <v>12</v>
      </c>
      <c r="J5448" s="7">
        <v>0</v>
      </c>
      <c r="K5448" s="7" t="s">
        <v>18</v>
      </c>
      <c r="L5448" s="8">
        <v>39987.315405092595</v>
      </c>
      <c r="M5448" s="9" t="s">
        <v>19</v>
      </c>
      <c r="N5448" s="9" t="s">
        <v>20</v>
      </c>
      <c r="O5448" s="6" t="str">
        <f>HYPERLINK("https://pbs.twimg.com/profile_images/962471262747529216/Uo8lOkRJ_normal.jpg","View")</f>
        <v>View</v>
      </c>
      <c r="P5448" s="7"/>
    </row>
    <row r="5449" spans="1:16">
      <c r="A5449" s="3">
        <v>43949.752905092595</v>
      </c>
      <c r="B5449" s="4" t="str">
        <f>HYPERLINK("https://twitter.com/petrogustavo","@petrogustavo")</f>
        <v>@petrogustavo</v>
      </c>
      <c r="C5449" s="5" t="s">
        <v>16</v>
      </c>
      <c r="D5449" s="5" t="s">
        <v>5313</v>
      </c>
      <c r="E5449" s="6" t="str">
        <f>HYPERLINK("https://twitter.com/petrogustavo/status/1255113076761903105","1255113076761903105")</f>
        <v>1255113076761903105</v>
      </c>
      <c r="F5449" s="7" t="s">
        <v>17</v>
      </c>
      <c r="G5449" s="7">
        <v>3803892</v>
      </c>
      <c r="H5449" s="7">
        <v>2393</v>
      </c>
      <c r="I5449" s="7">
        <v>241</v>
      </c>
      <c r="J5449" s="7">
        <v>570</v>
      </c>
      <c r="K5449" s="7" t="s">
        <v>18</v>
      </c>
      <c r="L5449" s="8">
        <v>39987.315405092595</v>
      </c>
      <c r="M5449" s="9" t="s">
        <v>19</v>
      </c>
      <c r="N5449" s="9" t="s">
        <v>20</v>
      </c>
      <c r="O5449" s="6" t="str">
        <f>HYPERLINK("https://pbs.twimg.com/profile_images/962471262747529216/Uo8lOkRJ_normal.jpg","View")</f>
        <v>View</v>
      </c>
      <c r="P5449" s="7"/>
    </row>
    <row r="5450" spans="1:16">
      <c r="A5450" s="3">
        <v>43949.766724537039</v>
      </c>
      <c r="B5450" s="4" t="str">
        <f>HYPERLINK("https://twitter.com/petrogustavo","@petrogustavo")</f>
        <v>@petrogustavo</v>
      </c>
      <c r="C5450" s="5" t="s">
        <v>16</v>
      </c>
      <c r="D5450" s="5" t="s">
        <v>5314</v>
      </c>
      <c r="E5450" s="6" t="str">
        <f>HYPERLINK("https://twitter.com/petrogustavo/status/1255118087172562945","1255118087172562945")</f>
        <v>1255118087172562945</v>
      </c>
      <c r="F5450" s="7" t="s">
        <v>17</v>
      </c>
      <c r="G5450" s="7">
        <v>3803892</v>
      </c>
      <c r="H5450" s="7">
        <v>2393</v>
      </c>
      <c r="I5450" s="7">
        <v>25</v>
      </c>
      <c r="J5450" s="7">
        <v>93</v>
      </c>
      <c r="K5450" s="7" t="s">
        <v>18</v>
      </c>
      <c r="L5450" s="8">
        <v>39987.315405092595</v>
      </c>
      <c r="M5450" s="9" t="s">
        <v>19</v>
      </c>
      <c r="N5450" s="9" t="s">
        <v>20</v>
      </c>
      <c r="O5450" s="6" t="str">
        <f>HYPERLINK("https://pbs.twimg.com/profile_images/962471262747529216/Uo8lOkRJ_normal.jpg","View")</f>
        <v>View</v>
      </c>
      <c r="P5450" s="7"/>
    </row>
    <row r="5451" spans="1:16">
      <c r="A5451" s="3">
        <v>43949.769027777773</v>
      </c>
      <c r="B5451" s="4" t="str">
        <f>HYPERLINK("https://twitter.com/petrogustavo","@petrogustavo")</f>
        <v>@petrogustavo</v>
      </c>
      <c r="C5451" s="5" t="s">
        <v>16</v>
      </c>
      <c r="D5451" s="5" t="s">
        <v>5315</v>
      </c>
      <c r="E5451" s="6" t="str">
        <f>HYPERLINK("https://twitter.com/petrogustavo/status/1255118920756932608","1255118920756932608")</f>
        <v>1255118920756932608</v>
      </c>
      <c r="F5451" s="7" t="s">
        <v>17</v>
      </c>
      <c r="G5451" s="7">
        <v>3803892</v>
      </c>
      <c r="H5451" s="7">
        <v>2393</v>
      </c>
      <c r="I5451" s="7">
        <v>36</v>
      </c>
      <c r="J5451" s="7">
        <v>0</v>
      </c>
      <c r="K5451" s="7" t="s">
        <v>18</v>
      </c>
      <c r="L5451" s="8">
        <v>39987.315405092595</v>
      </c>
      <c r="M5451" s="9" t="s">
        <v>19</v>
      </c>
      <c r="N5451" s="9" t="s">
        <v>20</v>
      </c>
      <c r="O5451" s="6" t="str">
        <f>HYPERLINK("https://pbs.twimg.com/profile_images/962471262747529216/Uo8lOkRJ_normal.jpg","View")</f>
        <v>View</v>
      </c>
      <c r="P5451" s="7"/>
    </row>
    <row r="5452" spans="1:16">
      <c r="A5452" s="3">
        <v>43949.769224537042</v>
      </c>
      <c r="B5452" s="4" t="str">
        <f>HYPERLINK("https://twitter.com/petrogustavo","@petrogustavo")</f>
        <v>@petrogustavo</v>
      </c>
      <c r="C5452" s="5" t="s">
        <v>16</v>
      </c>
      <c r="D5452" s="5" t="s">
        <v>5316</v>
      </c>
      <c r="E5452" s="6" t="str">
        <f>HYPERLINK("https://twitter.com/petrogustavo/status/1255118992211169280","1255118992211169280")</f>
        <v>1255118992211169280</v>
      </c>
      <c r="F5452" s="7" t="s">
        <v>17</v>
      </c>
      <c r="G5452" s="7">
        <v>3803892</v>
      </c>
      <c r="H5452" s="7">
        <v>2393</v>
      </c>
      <c r="I5452" s="7">
        <v>25</v>
      </c>
      <c r="J5452" s="7">
        <v>0</v>
      </c>
      <c r="K5452" s="7" t="s">
        <v>18</v>
      </c>
      <c r="L5452" s="8">
        <v>39987.315405092595</v>
      </c>
      <c r="M5452" s="9" t="s">
        <v>19</v>
      </c>
      <c r="N5452" s="9" t="s">
        <v>20</v>
      </c>
      <c r="O5452" s="6" t="str">
        <f>HYPERLINK("https://pbs.twimg.com/profile_images/962471262747529216/Uo8lOkRJ_normal.jpg","View")</f>
        <v>View</v>
      </c>
      <c r="P5452" s="7"/>
    </row>
    <row r="5453" spans="1:16">
      <c r="A5453" s="3">
        <v>43949.794652777782</v>
      </c>
      <c r="B5453" s="4" t="str">
        <f>HYPERLINK("https://twitter.com/petrogustavo","@petrogustavo")</f>
        <v>@petrogustavo</v>
      </c>
      <c r="C5453" s="5" t="s">
        <v>16</v>
      </c>
      <c r="D5453" s="5" t="s">
        <v>5317</v>
      </c>
      <c r="E5453" s="6" t="str">
        <f>HYPERLINK("https://twitter.com/petrogustavo/status/1255128207897972738","1255128207897972738")</f>
        <v>1255128207897972738</v>
      </c>
      <c r="F5453" s="7" t="s">
        <v>17</v>
      </c>
      <c r="G5453" s="7">
        <v>3804048</v>
      </c>
      <c r="H5453" s="7">
        <v>2393</v>
      </c>
      <c r="I5453" s="7">
        <v>176</v>
      </c>
      <c r="J5453" s="7">
        <v>327</v>
      </c>
      <c r="K5453" s="7" t="s">
        <v>18</v>
      </c>
      <c r="L5453" s="8">
        <v>39987.315405092595</v>
      </c>
      <c r="M5453" s="9" t="s">
        <v>19</v>
      </c>
      <c r="N5453" s="9" t="s">
        <v>20</v>
      </c>
      <c r="O5453" s="6" t="str">
        <f>HYPERLINK("https://pbs.twimg.com/profile_images/962471262747529216/Uo8lOkRJ_normal.jpg","View")</f>
        <v>View</v>
      </c>
      <c r="P5453" s="7"/>
    </row>
    <row r="5454" spans="1:16">
      <c r="A5454" s="3">
        <v>43949.826018518521</v>
      </c>
      <c r="B5454" s="4" t="str">
        <f>HYPERLINK("https://twitter.com/petrogustavo","@petrogustavo")</f>
        <v>@petrogustavo</v>
      </c>
      <c r="C5454" s="5" t="s">
        <v>16</v>
      </c>
      <c r="D5454" s="5" t="s">
        <v>5318</v>
      </c>
      <c r="E5454" s="6" t="str">
        <f>HYPERLINK("https://twitter.com/petrogustavo/status/1255139574277263361","1255139574277263361")</f>
        <v>1255139574277263361</v>
      </c>
      <c r="F5454" s="7" t="s">
        <v>17</v>
      </c>
      <c r="G5454" s="7">
        <v>3804133</v>
      </c>
      <c r="H5454" s="7">
        <v>2394</v>
      </c>
      <c r="I5454" s="7">
        <v>5392</v>
      </c>
      <c r="J5454" s="7">
        <v>0</v>
      </c>
      <c r="K5454" s="7" t="s">
        <v>18</v>
      </c>
      <c r="L5454" s="8">
        <v>39987.315405092595</v>
      </c>
      <c r="M5454" s="9" t="s">
        <v>19</v>
      </c>
      <c r="N5454" s="9" t="s">
        <v>20</v>
      </c>
      <c r="O5454" s="6" t="str">
        <f>HYPERLINK("https://pbs.twimg.com/profile_images/962471262747529216/Uo8lOkRJ_normal.jpg","View")</f>
        <v>View</v>
      </c>
      <c r="P5454" s="7"/>
    </row>
    <row r="5455" spans="1:16">
      <c r="A5455" s="3">
        <v>43949.828993055555</v>
      </c>
      <c r="B5455" s="4" t="str">
        <f>HYPERLINK("https://twitter.com/petrogustavo","@petrogustavo")</f>
        <v>@petrogustavo</v>
      </c>
      <c r="C5455" s="5" t="s">
        <v>16</v>
      </c>
      <c r="D5455" s="5" t="s">
        <v>5319</v>
      </c>
      <c r="E5455" s="6" t="str">
        <f>HYPERLINK("https://twitter.com/petrogustavo/status/1255140653853360129","1255140653853360129")</f>
        <v>1255140653853360129</v>
      </c>
      <c r="F5455" s="7" t="s">
        <v>17</v>
      </c>
      <c r="G5455" s="7">
        <v>3804133</v>
      </c>
      <c r="H5455" s="7">
        <v>2394</v>
      </c>
      <c r="I5455" s="7">
        <v>12</v>
      </c>
      <c r="J5455" s="7">
        <v>0</v>
      </c>
      <c r="K5455" s="7" t="s">
        <v>18</v>
      </c>
      <c r="L5455" s="8">
        <v>39987.315405092595</v>
      </c>
      <c r="M5455" s="9" t="s">
        <v>19</v>
      </c>
      <c r="N5455" s="9" t="s">
        <v>20</v>
      </c>
      <c r="O5455" s="6" t="str">
        <f>HYPERLINK("https://pbs.twimg.com/profile_images/962471262747529216/Uo8lOkRJ_normal.jpg","View")</f>
        <v>View</v>
      </c>
      <c r="P5455" s="7"/>
    </row>
    <row r="5456" spans="1:16">
      <c r="A5456" s="3">
        <v>43949.830381944441</v>
      </c>
      <c r="B5456" s="4" t="str">
        <f>HYPERLINK("https://twitter.com/petrogustavo","@petrogustavo")</f>
        <v>@petrogustavo</v>
      </c>
      <c r="C5456" s="5" t="s">
        <v>16</v>
      </c>
      <c r="D5456" s="5" t="s">
        <v>5320</v>
      </c>
      <c r="E5456" s="6" t="str">
        <f>HYPERLINK("https://twitter.com/petrogustavo/status/1255141155597021195","1255141155597021195")</f>
        <v>1255141155597021195</v>
      </c>
      <c r="F5456" s="7" t="s">
        <v>17</v>
      </c>
      <c r="G5456" s="7">
        <v>3804133</v>
      </c>
      <c r="H5456" s="7">
        <v>2394</v>
      </c>
      <c r="I5456" s="7">
        <v>422</v>
      </c>
      <c r="J5456" s="7">
        <v>0</v>
      </c>
      <c r="K5456" s="7" t="s">
        <v>18</v>
      </c>
      <c r="L5456" s="8">
        <v>39987.315405092595</v>
      </c>
      <c r="M5456" s="9" t="s">
        <v>19</v>
      </c>
      <c r="N5456" s="9" t="s">
        <v>20</v>
      </c>
      <c r="O5456" s="6" t="str">
        <f>HYPERLINK("https://pbs.twimg.com/profile_images/962471262747529216/Uo8lOkRJ_normal.jpg","View")</f>
        <v>View</v>
      </c>
      <c r="P5456" s="7"/>
    </row>
    <row r="5457" spans="1:16">
      <c r="A5457" s="3">
        <v>43949.831134259264</v>
      </c>
      <c r="B5457" s="4" t="str">
        <f>HYPERLINK("https://twitter.com/petrogustavo","@petrogustavo")</f>
        <v>@petrogustavo</v>
      </c>
      <c r="C5457" s="5" t="s">
        <v>16</v>
      </c>
      <c r="D5457" s="5" t="s">
        <v>5321</v>
      </c>
      <c r="E5457" s="6" t="str">
        <f>HYPERLINK("https://twitter.com/petrogustavo/status/1255141426687381505","1255141426687381505")</f>
        <v>1255141426687381505</v>
      </c>
      <c r="F5457" s="7" t="s">
        <v>17</v>
      </c>
      <c r="G5457" s="7">
        <v>3804133</v>
      </c>
      <c r="H5457" s="7">
        <v>2394</v>
      </c>
      <c r="I5457" s="7">
        <v>24</v>
      </c>
      <c r="J5457" s="7">
        <v>0</v>
      </c>
      <c r="K5457" s="7" t="s">
        <v>18</v>
      </c>
      <c r="L5457" s="8">
        <v>39987.315405092595</v>
      </c>
      <c r="M5457" s="9" t="s">
        <v>19</v>
      </c>
      <c r="N5457" s="9" t="s">
        <v>20</v>
      </c>
      <c r="O5457" s="6" t="str">
        <f>HYPERLINK("https://pbs.twimg.com/profile_images/962471262747529216/Uo8lOkRJ_normal.jpg","View")</f>
        <v>View</v>
      </c>
      <c r="P5457" s="7"/>
    </row>
    <row r="5458" spans="1:16">
      <c r="A5458" s="3">
        <v>43949.835520833338</v>
      </c>
      <c r="B5458" s="4" t="str">
        <f>HYPERLINK("https://twitter.com/petrogustavo","@petrogustavo")</f>
        <v>@petrogustavo</v>
      </c>
      <c r="C5458" s="5" t="s">
        <v>16</v>
      </c>
      <c r="D5458" s="5" t="s">
        <v>5322</v>
      </c>
      <c r="E5458" s="6" t="str">
        <f>HYPERLINK("https://twitter.com/petrogustavo/status/1255143019159797766","1255143019159797766")</f>
        <v>1255143019159797766</v>
      </c>
      <c r="F5458" s="7" t="s">
        <v>17</v>
      </c>
      <c r="G5458" s="7">
        <v>3804221</v>
      </c>
      <c r="H5458" s="7">
        <v>2394</v>
      </c>
      <c r="I5458" s="7">
        <v>119</v>
      </c>
      <c r="J5458" s="7">
        <v>258</v>
      </c>
      <c r="K5458" s="7" t="s">
        <v>18</v>
      </c>
      <c r="L5458" s="8">
        <v>39987.315405092595</v>
      </c>
      <c r="M5458" s="9" t="s">
        <v>19</v>
      </c>
      <c r="N5458" s="9" t="s">
        <v>20</v>
      </c>
      <c r="O5458" s="6" t="str">
        <f>HYPERLINK("https://pbs.twimg.com/profile_images/962471262747529216/Uo8lOkRJ_normal.jpg","View")</f>
        <v>View</v>
      </c>
      <c r="P5458" s="7"/>
    </row>
    <row r="5459" spans="1:16">
      <c r="A5459" s="3">
        <v>43949.837997685187</v>
      </c>
      <c r="B5459" s="4" t="str">
        <f>HYPERLINK("https://twitter.com/petrogustavo","@petrogustavo")</f>
        <v>@petrogustavo</v>
      </c>
      <c r="C5459" s="5" t="s">
        <v>16</v>
      </c>
      <c r="D5459" s="5" t="s">
        <v>5323</v>
      </c>
      <c r="E5459" s="6" t="str">
        <f>HYPERLINK("https://twitter.com/petrogustavo/status/1255143914698244099","1255143914698244099")</f>
        <v>1255143914698244099</v>
      </c>
      <c r="F5459" s="7" t="s">
        <v>17</v>
      </c>
      <c r="G5459" s="7">
        <v>3804221</v>
      </c>
      <c r="H5459" s="7">
        <v>2394</v>
      </c>
      <c r="I5459" s="7">
        <v>383</v>
      </c>
      <c r="J5459" s="7">
        <v>0</v>
      </c>
      <c r="K5459" s="7" t="s">
        <v>18</v>
      </c>
      <c r="L5459" s="8">
        <v>39987.315405092595</v>
      </c>
      <c r="M5459" s="9" t="s">
        <v>19</v>
      </c>
      <c r="N5459" s="9" t="s">
        <v>20</v>
      </c>
      <c r="O5459" s="6" t="str">
        <f>HYPERLINK("https://pbs.twimg.com/profile_images/962471262747529216/Uo8lOkRJ_normal.jpg","View")</f>
        <v>View</v>
      </c>
      <c r="P5459" s="7"/>
    </row>
    <row r="5460" spans="1:16">
      <c r="A5460" s="3">
        <v>43949.891782407409</v>
      </c>
      <c r="B5460" s="4" t="str">
        <f>HYPERLINK("https://twitter.com/petrogustavo","@petrogustavo")</f>
        <v>@petrogustavo</v>
      </c>
      <c r="C5460" s="5" t="s">
        <v>16</v>
      </c>
      <c r="D5460" s="5" t="s">
        <v>5324</v>
      </c>
      <c r="E5460" s="6" t="str">
        <f>HYPERLINK("https://twitter.com/petrogustavo/status/1255163407201964034","1255163407201964034")</f>
        <v>1255163407201964034</v>
      </c>
      <c r="F5460" s="7" t="s">
        <v>32</v>
      </c>
      <c r="G5460" s="7">
        <v>3804477</v>
      </c>
      <c r="H5460" s="7">
        <v>2394</v>
      </c>
      <c r="I5460" s="7">
        <v>143</v>
      </c>
      <c r="J5460" s="7">
        <v>411</v>
      </c>
      <c r="K5460" s="7" t="s">
        <v>18</v>
      </c>
      <c r="L5460" s="8">
        <v>39987.315405092595</v>
      </c>
      <c r="M5460" s="9" t="s">
        <v>19</v>
      </c>
      <c r="N5460" s="9" t="s">
        <v>20</v>
      </c>
      <c r="O5460" s="6" t="str">
        <f>HYPERLINK("https://pbs.twimg.com/profile_images/962471262747529216/Uo8lOkRJ_normal.jpg","View")</f>
        <v>View</v>
      </c>
      <c r="P5460" s="7"/>
    </row>
    <row r="5461" spans="1:16">
      <c r="A5461" s="3">
        <v>43950.089594907404</v>
      </c>
      <c r="B5461" s="4" t="str">
        <f>HYPERLINK("https://twitter.com/petrogustavo","@petrogustavo")</f>
        <v>@petrogustavo</v>
      </c>
      <c r="C5461" s="5" t="s">
        <v>16</v>
      </c>
      <c r="D5461" s="5" t="s">
        <v>5325</v>
      </c>
      <c r="E5461" s="6" t="str">
        <f>HYPERLINK("https://twitter.com/petrogustavo/status/1255235091833511939","1255235091833511939")</f>
        <v>1255235091833511939</v>
      </c>
      <c r="F5461" s="7" t="s">
        <v>17</v>
      </c>
      <c r="G5461" s="7">
        <v>3805624</v>
      </c>
      <c r="H5461" s="7">
        <v>2394</v>
      </c>
      <c r="I5461" s="7">
        <v>236</v>
      </c>
      <c r="J5461" s="7">
        <v>616</v>
      </c>
      <c r="K5461" s="7" t="s">
        <v>18</v>
      </c>
      <c r="L5461" s="8">
        <v>39987.315405092595</v>
      </c>
      <c r="M5461" s="9" t="s">
        <v>19</v>
      </c>
      <c r="N5461" s="9" t="s">
        <v>20</v>
      </c>
      <c r="O5461" s="6" t="str">
        <f>HYPERLINK("https://pbs.twimg.com/profile_images/962471262747529216/Uo8lOkRJ_normal.jpg","View")</f>
        <v>View</v>
      </c>
      <c r="P5461" s="7"/>
    </row>
    <row r="5462" spans="1:16">
      <c r="A5462" s="3">
        <v>43950.160034722227</v>
      </c>
      <c r="B5462" s="4" t="str">
        <f>HYPERLINK("https://twitter.com/petrogustavo","@petrogustavo")</f>
        <v>@petrogustavo</v>
      </c>
      <c r="C5462" s="5" t="s">
        <v>16</v>
      </c>
      <c r="D5462" s="5" t="s">
        <v>5326</v>
      </c>
      <c r="E5462" s="6" t="str">
        <f>HYPERLINK("https://twitter.com/petrogustavo/status/1255260616379502593","1255260616379502593")</f>
        <v>1255260616379502593</v>
      </c>
      <c r="F5462" s="7" t="s">
        <v>17</v>
      </c>
      <c r="G5462" s="7">
        <v>3805780</v>
      </c>
      <c r="H5462" s="7">
        <v>2394</v>
      </c>
      <c r="I5462" s="7">
        <v>261</v>
      </c>
      <c r="J5462" s="7">
        <v>0</v>
      </c>
      <c r="K5462" s="7" t="s">
        <v>18</v>
      </c>
      <c r="L5462" s="8">
        <v>39987.315405092595</v>
      </c>
      <c r="M5462" s="9" t="s">
        <v>19</v>
      </c>
      <c r="N5462" s="9" t="s">
        <v>20</v>
      </c>
      <c r="O5462" s="6" t="str">
        <f>HYPERLINK("https://pbs.twimg.com/profile_images/962471262747529216/Uo8lOkRJ_normal.jpg","View")</f>
        <v>View</v>
      </c>
      <c r="P5462" s="7"/>
    </row>
    <row r="5463" spans="1:16">
      <c r="A5463" s="3">
        <v>43950.160092592589</v>
      </c>
      <c r="B5463" s="4" t="str">
        <f>HYPERLINK("https://twitter.com/petrogustavo","@petrogustavo")</f>
        <v>@petrogustavo</v>
      </c>
      <c r="C5463" s="5" t="s">
        <v>16</v>
      </c>
      <c r="D5463" s="5" t="s">
        <v>5327</v>
      </c>
      <c r="E5463" s="6" t="str">
        <f>HYPERLINK("https://twitter.com/petrogustavo/status/1255260638844260355","1255260638844260355")</f>
        <v>1255260638844260355</v>
      </c>
      <c r="F5463" s="7" t="s">
        <v>17</v>
      </c>
      <c r="G5463" s="7">
        <v>3805780</v>
      </c>
      <c r="H5463" s="7">
        <v>2394</v>
      </c>
      <c r="I5463" s="7">
        <v>65</v>
      </c>
      <c r="J5463" s="7">
        <v>0</v>
      </c>
      <c r="K5463" s="7" t="s">
        <v>18</v>
      </c>
      <c r="L5463" s="8">
        <v>39987.315405092595</v>
      </c>
      <c r="M5463" s="9" t="s">
        <v>19</v>
      </c>
      <c r="N5463" s="9" t="s">
        <v>20</v>
      </c>
      <c r="O5463" s="6" t="str">
        <f>HYPERLINK("https://pbs.twimg.com/profile_images/962471262747529216/Uo8lOkRJ_normal.jpg","View")</f>
        <v>View</v>
      </c>
      <c r="P5463" s="7"/>
    </row>
    <row r="5464" spans="1:16">
      <c r="A5464" s="3">
        <v>43950.160162037035</v>
      </c>
      <c r="B5464" s="4" t="str">
        <f>HYPERLINK("https://twitter.com/petrogustavo","@petrogustavo")</f>
        <v>@petrogustavo</v>
      </c>
      <c r="C5464" s="5" t="s">
        <v>16</v>
      </c>
      <c r="D5464" s="5" t="s">
        <v>5328</v>
      </c>
      <c r="E5464" s="6" t="str">
        <f>HYPERLINK("https://twitter.com/petrogustavo/status/1255260664693743617","1255260664693743617")</f>
        <v>1255260664693743617</v>
      </c>
      <c r="F5464" s="7" t="s">
        <v>17</v>
      </c>
      <c r="G5464" s="7">
        <v>3805780</v>
      </c>
      <c r="H5464" s="7">
        <v>2394</v>
      </c>
      <c r="I5464" s="7">
        <v>42</v>
      </c>
      <c r="J5464" s="7">
        <v>0</v>
      </c>
      <c r="K5464" s="7" t="s">
        <v>18</v>
      </c>
      <c r="L5464" s="8">
        <v>39987.315405092595</v>
      </c>
      <c r="M5464" s="9" t="s">
        <v>19</v>
      </c>
      <c r="N5464" s="9" t="s">
        <v>20</v>
      </c>
      <c r="O5464" s="6" t="str">
        <f>HYPERLINK("https://pbs.twimg.com/profile_images/962471262747529216/Uo8lOkRJ_normal.jpg","View")</f>
        <v>View</v>
      </c>
      <c r="P5464" s="7"/>
    </row>
    <row r="5465" spans="1:16">
      <c r="A5465" s="3">
        <v>43950.160590277781</v>
      </c>
      <c r="B5465" s="4" t="str">
        <f>HYPERLINK("https://twitter.com/petrogustavo","@petrogustavo")</f>
        <v>@petrogustavo</v>
      </c>
      <c r="C5465" s="5" t="s">
        <v>16</v>
      </c>
      <c r="D5465" s="5" t="s">
        <v>5329</v>
      </c>
      <c r="E5465" s="6" t="str">
        <f>HYPERLINK("https://twitter.com/petrogustavo/status/1255260818402410496","1255260818402410496")</f>
        <v>1255260818402410496</v>
      </c>
      <c r="F5465" s="7" t="s">
        <v>17</v>
      </c>
      <c r="G5465" s="7">
        <v>3805780</v>
      </c>
      <c r="H5465" s="7">
        <v>2394</v>
      </c>
      <c r="I5465" s="7">
        <v>63</v>
      </c>
      <c r="J5465" s="7">
        <v>0</v>
      </c>
      <c r="K5465" s="7" t="s">
        <v>18</v>
      </c>
      <c r="L5465" s="8">
        <v>39987.315405092595</v>
      </c>
      <c r="M5465" s="9" t="s">
        <v>19</v>
      </c>
      <c r="N5465" s="9" t="s">
        <v>20</v>
      </c>
      <c r="O5465" s="6" t="str">
        <f>HYPERLINK("https://pbs.twimg.com/profile_images/962471262747529216/Uo8lOkRJ_normal.jpg","View")</f>
        <v>View</v>
      </c>
      <c r="P5465" s="7"/>
    </row>
    <row r="5466" spans="1:16">
      <c r="A5466" s="3">
        <v>43950.162256944444</v>
      </c>
      <c r="B5466" s="4" t="str">
        <f>HYPERLINK("https://twitter.com/petrogustavo","@petrogustavo")</f>
        <v>@petrogustavo</v>
      </c>
      <c r="C5466" s="5" t="s">
        <v>16</v>
      </c>
      <c r="D5466" s="5" t="s">
        <v>5330</v>
      </c>
      <c r="E5466" s="6" t="str">
        <f>HYPERLINK("https://twitter.com/petrogustavo/status/1255261423376179201","1255261423376179201")</f>
        <v>1255261423376179201</v>
      </c>
      <c r="F5466" s="7" t="s">
        <v>17</v>
      </c>
      <c r="G5466" s="7">
        <v>3805780</v>
      </c>
      <c r="H5466" s="7">
        <v>2394</v>
      </c>
      <c r="I5466" s="7">
        <v>69</v>
      </c>
      <c r="J5466" s="7">
        <v>180</v>
      </c>
      <c r="K5466" s="7" t="s">
        <v>18</v>
      </c>
      <c r="L5466" s="8">
        <v>39987.315405092595</v>
      </c>
      <c r="M5466" s="9" t="s">
        <v>19</v>
      </c>
      <c r="N5466" s="9" t="s">
        <v>20</v>
      </c>
      <c r="O5466" s="6" t="str">
        <f>HYPERLINK("https://pbs.twimg.com/profile_images/962471262747529216/Uo8lOkRJ_normal.jpg","View")</f>
        <v>View</v>
      </c>
      <c r="P5466" s="7"/>
    </row>
    <row r="5467" spans="1:16">
      <c r="A5467" s="3">
        <v>43950.276377314818</v>
      </c>
      <c r="B5467" s="4" t="str">
        <f>HYPERLINK("https://twitter.com/petrogustavo","@petrogustavo")</f>
        <v>@petrogustavo</v>
      </c>
      <c r="C5467" s="5" t="s">
        <v>16</v>
      </c>
      <c r="D5467" s="5" t="s">
        <v>5331</v>
      </c>
      <c r="E5467" s="6" t="str">
        <f>HYPERLINK("https://twitter.com/petrogustavo/status/1255302780715229184","1255302780715229184")</f>
        <v>1255302780715229184</v>
      </c>
      <c r="F5467" s="7" t="s">
        <v>17</v>
      </c>
      <c r="G5467" s="7">
        <v>3805957</v>
      </c>
      <c r="H5467" s="7">
        <v>2394</v>
      </c>
      <c r="I5467" s="7">
        <v>15</v>
      </c>
      <c r="J5467" s="7">
        <v>0</v>
      </c>
      <c r="K5467" s="7" t="s">
        <v>18</v>
      </c>
      <c r="L5467" s="8">
        <v>39987.315405092595</v>
      </c>
      <c r="M5467" s="9" t="s">
        <v>19</v>
      </c>
      <c r="N5467" s="9" t="s">
        <v>20</v>
      </c>
      <c r="O5467" s="6" t="str">
        <f>HYPERLINK("https://pbs.twimg.com/profile_images/962471262747529216/Uo8lOkRJ_normal.jpg","View")</f>
        <v>View</v>
      </c>
      <c r="P5467" s="7"/>
    </row>
    <row r="5468" spans="1:16">
      <c r="A5468" s="3">
        <v>43950.276550925926</v>
      </c>
      <c r="B5468" s="4" t="str">
        <f>HYPERLINK("https://twitter.com/petrogustavo","@petrogustavo")</f>
        <v>@petrogustavo</v>
      </c>
      <c r="C5468" s="5" t="s">
        <v>16</v>
      </c>
      <c r="D5468" s="5" t="s">
        <v>5332</v>
      </c>
      <c r="E5468" s="6" t="str">
        <f>HYPERLINK("https://twitter.com/petrogustavo/status/1255302842874814467","1255302842874814467")</f>
        <v>1255302842874814467</v>
      </c>
      <c r="F5468" s="7" t="s">
        <v>17</v>
      </c>
      <c r="G5468" s="7">
        <v>3805957</v>
      </c>
      <c r="H5468" s="7">
        <v>2394</v>
      </c>
      <c r="I5468" s="7">
        <v>9</v>
      </c>
      <c r="J5468" s="7">
        <v>0</v>
      </c>
      <c r="K5468" s="7" t="s">
        <v>18</v>
      </c>
      <c r="L5468" s="8">
        <v>39987.315405092595</v>
      </c>
      <c r="M5468" s="9" t="s">
        <v>19</v>
      </c>
      <c r="N5468" s="9" t="s">
        <v>20</v>
      </c>
      <c r="O5468" s="6" t="str">
        <f>HYPERLINK("https://pbs.twimg.com/profile_images/962471262747529216/Uo8lOkRJ_normal.jpg","View")</f>
        <v>View</v>
      </c>
      <c r="P5468" s="7"/>
    </row>
    <row r="5469" spans="1:16">
      <c r="A5469" s="3">
        <v>43950.276666666672</v>
      </c>
      <c r="B5469" s="4" t="str">
        <f>HYPERLINK("https://twitter.com/petrogustavo","@petrogustavo")</f>
        <v>@petrogustavo</v>
      </c>
      <c r="C5469" s="5" t="s">
        <v>16</v>
      </c>
      <c r="D5469" s="5" t="s">
        <v>5333</v>
      </c>
      <c r="E5469" s="6" t="str">
        <f>HYPERLINK("https://twitter.com/petrogustavo/status/1255302882926170113","1255302882926170113")</f>
        <v>1255302882926170113</v>
      </c>
      <c r="F5469" s="7" t="s">
        <v>17</v>
      </c>
      <c r="G5469" s="7">
        <v>3805957</v>
      </c>
      <c r="H5469" s="7">
        <v>2394</v>
      </c>
      <c r="I5469" s="7">
        <v>78</v>
      </c>
      <c r="J5469" s="7">
        <v>0</v>
      </c>
      <c r="K5469" s="7" t="s">
        <v>18</v>
      </c>
      <c r="L5469" s="8">
        <v>39987.315405092595</v>
      </c>
      <c r="M5469" s="9" t="s">
        <v>19</v>
      </c>
      <c r="N5469" s="9" t="s">
        <v>20</v>
      </c>
      <c r="O5469" s="6" t="str">
        <f>HYPERLINK("https://pbs.twimg.com/profile_images/962471262747529216/Uo8lOkRJ_normal.jpg","View")</f>
        <v>View</v>
      </c>
      <c r="P5469" s="7"/>
    </row>
    <row r="5470" spans="1:16">
      <c r="A5470" s="3">
        <v>43950.276817129634</v>
      </c>
      <c r="B5470" s="4" t="str">
        <f>HYPERLINK("https://twitter.com/petrogustavo","@petrogustavo")</f>
        <v>@petrogustavo</v>
      </c>
      <c r="C5470" s="5" t="s">
        <v>16</v>
      </c>
      <c r="D5470" s="5" t="s">
        <v>5334</v>
      </c>
      <c r="E5470" s="6" t="str">
        <f>HYPERLINK("https://twitter.com/petrogustavo/status/1255302936781099008","1255302936781099008")</f>
        <v>1255302936781099008</v>
      </c>
      <c r="F5470" s="7" t="s">
        <v>17</v>
      </c>
      <c r="G5470" s="7">
        <v>3805957</v>
      </c>
      <c r="H5470" s="7">
        <v>2394</v>
      </c>
      <c r="I5470" s="7">
        <v>122</v>
      </c>
      <c r="J5470" s="7">
        <v>0</v>
      </c>
      <c r="K5470" s="7" t="s">
        <v>18</v>
      </c>
      <c r="L5470" s="8">
        <v>39987.315405092595</v>
      </c>
      <c r="M5470" s="9" t="s">
        <v>19</v>
      </c>
      <c r="N5470" s="9" t="s">
        <v>20</v>
      </c>
      <c r="O5470" s="6" t="str">
        <f>HYPERLINK("https://pbs.twimg.com/profile_images/962471262747529216/Uo8lOkRJ_normal.jpg","View")</f>
        <v>View</v>
      </c>
      <c r="P5470" s="7"/>
    </row>
    <row r="5471" spans="1:16">
      <c r="A5471" s="3">
        <v>43950.276909722219</v>
      </c>
      <c r="B5471" s="4" t="str">
        <f>HYPERLINK("https://twitter.com/petrogustavo","@petrogustavo")</f>
        <v>@petrogustavo</v>
      </c>
      <c r="C5471" s="5" t="s">
        <v>16</v>
      </c>
      <c r="D5471" s="5" t="s">
        <v>5335</v>
      </c>
      <c r="E5471" s="6" t="str">
        <f>HYPERLINK("https://twitter.com/petrogustavo/status/1255302970629148673","1255302970629148673")</f>
        <v>1255302970629148673</v>
      </c>
      <c r="F5471" s="7" t="s">
        <v>17</v>
      </c>
      <c r="G5471" s="7">
        <v>3805957</v>
      </c>
      <c r="H5471" s="7">
        <v>2394</v>
      </c>
      <c r="I5471" s="7">
        <v>35</v>
      </c>
      <c r="J5471" s="7">
        <v>0</v>
      </c>
      <c r="K5471" s="7" t="s">
        <v>18</v>
      </c>
      <c r="L5471" s="8">
        <v>39987.315405092595</v>
      </c>
      <c r="M5471" s="9" t="s">
        <v>19</v>
      </c>
      <c r="N5471" s="9" t="s">
        <v>20</v>
      </c>
      <c r="O5471" s="6" t="str">
        <f>HYPERLINK("https://pbs.twimg.com/profile_images/962471262747529216/Uo8lOkRJ_normal.jpg","View")</f>
        <v>View</v>
      </c>
      <c r="P5471" s="7"/>
    </row>
    <row r="5472" spans="1:16">
      <c r="A5472" s="3">
        <v>43950.276967592596</v>
      </c>
      <c r="B5472" s="4" t="str">
        <f>HYPERLINK("https://twitter.com/petrogustavo","@petrogustavo")</f>
        <v>@petrogustavo</v>
      </c>
      <c r="C5472" s="5" t="s">
        <v>16</v>
      </c>
      <c r="D5472" s="5" t="s">
        <v>5336</v>
      </c>
      <c r="E5472" s="6" t="str">
        <f>HYPERLINK("https://twitter.com/petrogustavo/status/1255302990967308289","1255302990967308289")</f>
        <v>1255302990967308289</v>
      </c>
      <c r="F5472" s="7" t="s">
        <v>17</v>
      </c>
      <c r="G5472" s="7">
        <v>3805957</v>
      </c>
      <c r="H5472" s="7">
        <v>2394</v>
      </c>
      <c r="I5472" s="7">
        <v>513</v>
      </c>
      <c r="J5472" s="7">
        <v>0</v>
      </c>
      <c r="K5472" s="7" t="s">
        <v>18</v>
      </c>
      <c r="L5472" s="8">
        <v>39987.315405092595</v>
      </c>
      <c r="M5472" s="9" t="s">
        <v>19</v>
      </c>
      <c r="N5472" s="9" t="s">
        <v>20</v>
      </c>
      <c r="O5472" s="6" t="str">
        <f>HYPERLINK("https://pbs.twimg.com/profile_images/962471262747529216/Uo8lOkRJ_normal.jpg","View")</f>
        <v>View</v>
      </c>
      <c r="P5472" s="7"/>
    </row>
    <row r="5473" spans="1:16">
      <c r="A5473" s="3">
        <v>43950.300428240742</v>
      </c>
      <c r="B5473" s="4" t="str">
        <f>HYPERLINK("https://twitter.com/petrogustavo","@petrogustavo")</f>
        <v>@petrogustavo</v>
      </c>
      <c r="C5473" s="5" t="s">
        <v>16</v>
      </c>
      <c r="D5473" s="5" t="s">
        <v>5337</v>
      </c>
      <c r="E5473" s="6" t="str">
        <f>HYPERLINK("https://twitter.com/petrogustavo/status/1255311494021025796","1255311494021025796")</f>
        <v>1255311494021025796</v>
      </c>
      <c r="F5473" s="7" t="s">
        <v>17</v>
      </c>
      <c r="G5473" s="7">
        <v>3806019</v>
      </c>
      <c r="H5473" s="7">
        <v>2394</v>
      </c>
      <c r="I5473" s="7">
        <v>16</v>
      </c>
      <c r="J5473" s="7">
        <v>0</v>
      </c>
      <c r="K5473" s="7" t="s">
        <v>18</v>
      </c>
      <c r="L5473" s="8">
        <v>39987.315405092595</v>
      </c>
      <c r="M5473" s="9" t="s">
        <v>19</v>
      </c>
      <c r="N5473" s="9" t="s">
        <v>20</v>
      </c>
      <c r="O5473" s="6" t="str">
        <f>HYPERLINK("https://pbs.twimg.com/profile_images/962471262747529216/Uo8lOkRJ_normal.jpg","View")</f>
        <v>View</v>
      </c>
      <c r="P5473" s="7"/>
    </row>
    <row r="5474" spans="1:16">
      <c r="A5474" s="3">
        <v>43950.304768518516</v>
      </c>
      <c r="B5474" s="4" t="str">
        <f>HYPERLINK("https://twitter.com/petrogustavo","@petrogustavo")</f>
        <v>@petrogustavo</v>
      </c>
      <c r="C5474" s="5" t="s">
        <v>16</v>
      </c>
      <c r="D5474" s="5" t="s">
        <v>5338</v>
      </c>
      <c r="E5474" s="6" t="str">
        <f>HYPERLINK("https://twitter.com/petrogustavo/status/1255313066109083649","1255313066109083649")</f>
        <v>1255313066109083649</v>
      </c>
      <c r="F5474" s="7" t="s">
        <v>17</v>
      </c>
      <c r="G5474" s="7">
        <v>3806019</v>
      </c>
      <c r="H5474" s="7">
        <v>2394</v>
      </c>
      <c r="I5474" s="7">
        <v>92</v>
      </c>
      <c r="J5474" s="7">
        <v>0</v>
      </c>
      <c r="K5474" s="7" t="s">
        <v>18</v>
      </c>
      <c r="L5474" s="8">
        <v>39987.315405092595</v>
      </c>
      <c r="M5474" s="9" t="s">
        <v>19</v>
      </c>
      <c r="N5474" s="9" t="s">
        <v>20</v>
      </c>
      <c r="O5474" s="6" t="str">
        <f>HYPERLINK("https://pbs.twimg.com/profile_images/962471262747529216/Uo8lOkRJ_normal.jpg","View")</f>
        <v>View</v>
      </c>
      <c r="P5474" s="7"/>
    </row>
    <row r="5475" spans="1:16">
      <c r="A5475" s="3">
        <v>43950.309050925927</v>
      </c>
      <c r="B5475" s="4" t="str">
        <f>HYPERLINK("https://twitter.com/petrogustavo","@petrogustavo")</f>
        <v>@petrogustavo</v>
      </c>
      <c r="C5475" s="5" t="s">
        <v>16</v>
      </c>
      <c r="D5475" s="5" t="s">
        <v>5339</v>
      </c>
      <c r="E5475" s="6" t="str">
        <f>HYPERLINK("https://twitter.com/petrogustavo/status/1255314619704492032","1255314619704492032")</f>
        <v>1255314619704492032</v>
      </c>
      <c r="F5475" s="7" t="s">
        <v>17</v>
      </c>
      <c r="G5475" s="7">
        <v>3806019</v>
      </c>
      <c r="H5475" s="7">
        <v>2394</v>
      </c>
      <c r="I5475" s="7">
        <v>26</v>
      </c>
      <c r="J5475" s="7">
        <v>64</v>
      </c>
      <c r="K5475" s="7" t="s">
        <v>18</v>
      </c>
      <c r="L5475" s="8">
        <v>39987.315405092595</v>
      </c>
      <c r="M5475" s="9" t="s">
        <v>19</v>
      </c>
      <c r="N5475" s="9" t="s">
        <v>20</v>
      </c>
      <c r="O5475" s="6" t="str">
        <f>HYPERLINK("https://pbs.twimg.com/profile_images/962471262747529216/Uo8lOkRJ_normal.jpg","View")</f>
        <v>View</v>
      </c>
      <c r="P5475" s="7"/>
    </row>
    <row r="5476" spans="1:16">
      <c r="A5476" s="3">
        <v>43950.312118055561</v>
      </c>
      <c r="B5476" s="4" t="str">
        <f>HYPERLINK("https://twitter.com/petrogustavo","@petrogustavo")</f>
        <v>@petrogustavo</v>
      </c>
      <c r="C5476" s="5" t="s">
        <v>16</v>
      </c>
      <c r="D5476" s="5" t="s">
        <v>5340</v>
      </c>
      <c r="E5476" s="6" t="str">
        <f>HYPERLINK("https://twitter.com/petrogustavo/status/1255315732386254848","1255315732386254848")</f>
        <v>1255315732386254848</v>
      </c>
      <c r="F5476" s="7" t="s">
        <v>17</v>
      </c>
      <c r="G5476" s="7">
        <v>3806019</v>
      </c>
      <c r="H5476" s="7">
        <v>2394</v>
      </c>
      <c r="I5476" s="7">
        <v>70</v>
      </c>
      <c r="J5476" s="7">
        <v>0</v>
      </c>
      <c r="K5476" s="7" t="s">
        <v>18</v>
      </c>
      <c r="L5476" s="8">
        <v>39987.315405092595</v>
      </c>
      <c r="M5476" s="9" t="s">
        <v>19</v>
      </c>
      <c r="N5476" s="9" t="s">
        <v>20</v>
      </c>
      <c r="O5476" s="6" t="str">
        <f>HYPERLINK("https://pbs.twimg.com/profile_images/962471262747529216/Uo8lOkRJ_normal.jpg","View")</f>
        <v>View</v>
      </c>
      <c r="P5476" s="7"/>
    </row>
    <row r="5477" spans="1:16">
      <c r="A5477" s="3">
        <v>43950.317673611113</v>
      </c>
      <c r="B5477" s="4" t="str">
        <f>HYPERLINK("https://twitter.com/petrogustavo","@petrogustavo")</f>
        <v>@petrogustavo</v>
      </c>
      <c r="C5477" s="5" t="s">
        <v>16</v>
      </c>
      <c r="D5477" s="5" t="s">
        <v>5341</v>
      </c>
      <c r="E5477" s="6" t="str">
        <f>HYPERLINK("https://twitter.com/petrogustavo/status/1255317744842571776","1255317744842571776")</f>
        <v>1255317744842571776</v>
      </c>
      <c r="F5477" s="7" t="s">
        <v>17</v>
      </c>
      <c r="G5477" s="7">
        <v>3806095</v>
      </c>
      <c r="H5477" s="7">
        <v>2394</v>
      </c>
      <c r="I5477" s="7">
        <v>98</v>
      </c>
      <c r="J5477" s="7">
        <v>0</v>
      </c>
      <c r="K5477" s="7" t="s">
        <v>18</v>
      </c>
      <c r="L5477" s="8">
        <v>39987.315405092595</v>
      </c>
      <c r="M5477" s="9" t="s">
        <v>19</v>
      </c>
      <c r="N5477" s="9" t="s">
        <v>20</v>
      </c>
      <c r="O5477" s="6" t="str">
        <f>HYPERLINK("https://pbs.twimg.com/profile_images/962471262747529216/Uo8lOkRJ_normal.jpg","View")</f>
        <v>View</v>
      </c>
      <c r="P5477" s="7"/>
    </row>
    <row r="5478" spans="1:16">
      <c r="A5478" s="3">
        <v>43950.323148148149</v>
      </c>
      <c r="B5478" s="4" t="str">
        <f>HYPERLINK("https://twitter.com/petrogustavo","@petrogustavo")</f>
        <v>@petrogustavo</v>
      </c>
      <c r="C5478" s="5" t="s">
        <v>16</v>
      </c>
      <c r="D5478" s="5" t="s">
        <v>5342</v>
      </c>
      <c r="E5478" s="6" t="str">
        <f>HYPERLINK("https://twitter.com/petrogustavo/status/1255319726424809473","1255319726424809473")</f>
        <v>1255319726424809473</v>
      </c>
      <c r="F5478" s="7" t="s">
        <v>17</v>
      </c>
      <c r="G5478" s="7">
        <v>3806095</v>
      </c>
      <c r="H5478" s="7">
        <v>2394</v>
      </c>
      <c r="I5478" s="7">
        <v>303</v>
      </c>
      <c r="J5478" s="7">
        <v>759</v>
      </c>
      <c r="K5478" s="7" t="s">
        <v>18</v>
      </c>
      <c r="L5478" s="8">
        <v>39987.315405092595</v>
      </c>
      <c r="M5478" s="9" t="s">
        <v>19</v>
      </c>
      <c r="N5478" s="9" t="s">
        <v>20</v>
      </c>
      <c r="O5478" s="6" t="str">
        <f>HYPERLINK("https://pbs.twimg.com/profile_images/962471262747529216/Uo8lOkRJ_normal.jpg","View")</f>
        <v>View</v>
      </c>
      <c r="P5478" s="7"/>
    </row>
    <row r="5479" spans="1:16">
      <c r="A5479" s="3">
        <v>43950.326782407406</v>
      </c>
      <c r="B5479" s="4" t="str">
        <f>HYPERLINK("https://twitter.com/petrogustavo","@petrogustavo")</f>
        <v>@petrogustavo</v>
      </c>
      <c r="C5479" s="5" t="s">
        <v>16</v>
      </c>
      <c r="D5479" s="5" t="s">
        <v>5343</v>
      </c>
      <c r="E5479" s="6" t="str">
        <f>HYPERLINK("https://twitter.com/petrogustavo/status/1255321045181046785","1255321045181046785")</f>
        <v>1255321045181046785</v>
      </c>
      <c r="F5479" s="7" t="s">
        <v>17</v>
      </c>
      <c r="G5479" s="7">
        <v>3806095</v>
      </c>
      <c r="H5479" s="7">
        <v>2394</v>
      </c>
      <c r="I5479" s="7">
        <v>35</v>
      </c>
      <c r="J5479" s="7">
        <v>63</v>
      </c>
      <c r="K5479" s="7" t="s">
        <v>18</v>
      </c>
      <c r="L5479" s="8">
        <v>39987.315405092595</v>
      </c>
      <c r="M5479" s="9" t="s">
        <v>19</v>
      </c>
      <c r="N5479" s="9" t="s">
        <v>20</v>
      </c>
      <c r="O5479" s="6" t="str">
        <f>HYPERLINK("https://pbs.twimg.com/profile_images/962471262747529216/Uo8lOkRJ_normal.jpg","View")</f>
        <v>View</v>
      </c>
      <c r="P5479" s="7"/>
    </row>
    <row r="5480" spans="1:16">
      <c r="A5480" s="3">
        <v>43950.327789351853</v>
      </c>
      <c r="B5480" s="4" t="str">
        <f>HYPERLINK("https://twitter.com/petrogustavo","@petrogustavo")</f>
        <v>@petrogustavo</v>
      </c>
      <c r="C5480" s="5" t="s">
        <v>16</v>
      </c>
      <c r="D5480" s="5" t="s">
        <v>5344</v>
      </c>
      <c r="E5480" s="6" t="str">
        <f>HYPERLINK("https://twitter.com/petrogustavo/status/1255321410039427074","1255321410039427074")</f>
        <v>1255321410039427074</v>
      </c>
      <c r="F5480" s="7" t="s">
        <v>17</v>
      </c>
      <c r="G5480" s="7">
        <v>3806095</v>
      </c>
      <c r="H5480" s="7">
        <v>2394</v>
      </c>
      <c r="I5480" s="7">
        <v>22</v>
      </c>
      <c r="J5480" s="7">
        <v>0</v>
      </c>
      <c r="K5480" s="7" t="s">
        <v>18</v>
      </c>
      <c r="L5480" s="8">
        <v>39987.315405092595</v>
      </c>
      <c r="M5480" s="9" t="s">
        <v>19</v>
      </c>
      <c r="N5480" s="9" t="s">
        <v>20</v>
      </c>
      <c r="O5480" s="6" t="str">
        <f>HYPERLINK("https://pbs.twimg.com/profile_images/962471262747529216/Uo8lOkRJ_normal.jpg","View")</f>
        <v>View</v>
      </c>
      <c r="P5480" s="7"/>
    </row>
    <row r="5481" spans="1:16">
      <c r="A5481" s="3">
        <v>43950.328217592592</v>
      </c>
      <c r="B5481" s="4" t="str">
        <f>HYPERLINK("https://twitter.com/petrogustavo","@petrogustavo")</f>
        <v>@petrogustavo</v>
      </c>
      <c r="C5481" s="5" t="s">
        <v>16</v>
      </c>
      <c r="D5481" s="5" t="s">
        <v>5345</v>
      </c>
      <c r="E5481" s="6" t="str">
        <f>HYPERLINK("https://twitter.com/petrogustavo/status/1255321566524694528","1255321566524694528")</f>
        <v>1255321566524694528</v>
      </c>
      <c r="F5481" s="7" t="s">
        <v>17</v>
      </c>
      <c r="G5481" s="7">
        <v>3806095</v>
      </c>
      <c r="H5481" s="7">
        <v>2394</v>
      </c>
      <c r="I5481" s="7">
        <v>50</v>
      </c>
      <c r="J5481" s="7">
        <v>0</v>
      </c>
      <c r="K5481" s="7" t="s">
        <v>18</v>
      </c>
      <c r="L5481" s="8">
        <v>39987.315405092595</v>
      </c>
      <c r="M5481" s="9" t="s">
        <v>19</v>
      </c>
      <c r="N5481" s="9" t="s">
        <v>20</v>
      </c>
      <c r="O5481" s="6" t="str">
        <f>HYPERLINK("https://pbs.twimg.com/profile_images/962471262747529216/Uo8lOkRJ_normal.jpg","View")</f>
        <v>View</v>
      </c>
      <c r="P5481" s="7"/>
    </row>
    <row r="5482" spans="1:16">
      <c r="A5482" s="3">
        <v>43950.342893518522</v>
      </c>
      <c r="B5482" s="4" t="str">
        <f>HYPERLINK("https://twitter.com/petrogustavo","@petrogustavo")</f>
        <v>@petrogustavo</v>
      </c>
      <c r="C5482" s="5" t="s">
        <v>16</v>
      </c>
      <c r="D5482" s="5" t="s">
        <v>5346</v>
      </c>
      <c r="E5482" s="6" t="str">
        <f>HYPERLINK("https://twitter.com/petrogustavo/status/1255326883107024896","1255326883107024896")</f>
        <v>1255326883107024896</v>
      </c>
      <c r="F5482" s="7" t="s">
        <v>17</v>
      </c>
      <c r="G5482" s="7">
        <v>3806148</v>
      </c>
      <c r="H5482" s="7">
        <v>2395</v>
      </c>
      <c r="I5482" s="7">
        <v>15</v>
      </c>
      <c r="J5482" s="7">
        <v>27</v>
      </c>
      <c r="K5482" s="7" t="s">
        <v>18</v>
      </c>
      <c r="L5482" s="8">
        <v>39987.315405092595</v>
      </c>
      <c r="M5482" s="9" t="s">
        <v>19</v>
      </c>
      <c r="N5482" s="9" t="s">
        <v>20</v>
      </c>
      <c r="O5482" s="6" t="str">
        <f>HYPERLINK("https://pbs.twimg.com/profile_images/962471262747529216/Uo8lOkRJ_normal.jpg","View")</f>
        <v>View</v>
      </c>
      <c r="P5482" s="7"/>
    </row>
    <row r="5483" spans="1:16">
      <c r="A5483" s="3">
        <v>43950.344641203701</v>
      </c>
      <c r="B5483" s="4" t="str">
        <f>HYPERLINK("https://twitter.com/petrogustavo","@petrogustavo")</f>
        <v>@petrogustavo</v>
      </c>
      <c r="C5483" s="5" t="s">
        <v>16</v>
      </c>
      <c r="D5483" s="5" t="s">
        <v>5347</v>
      </c>
      <c r="E5483" s="6" t="str">
        <f>HYPERLINK("https://twitter.com/petrogustavo/status/1255327517222875139","1255327517222875139")</f>
        <v>1255327517222875139</v>
      </c>
      <c r="F5483" s="7" t="s">
        <v>17</v>
      </c>
      <c r="G5483" s="7">
        <v>3806148</v>
      </c>
      <c r="H5483" s="7">
        <v>2395</v>
      </c>
      <c r="I5483" s="7">
        <v>111</v>
      </c>
      <c r="J5483" s="7">
        <v>0</v>
      </c>
      <c r="K5483" s="7" t="s">
        <v>18</v>
      </c>
      <c r="L5483" s="8">
        <v>39987.315405092595</v>
      </c>
      <c r="M5483" s="9" t="s">
        <v>19</v>
      </c>
      <c r="N5483" s="9" t="s">
        <v>20</v>
      </c>
      <c r="O5483" s="6" t="str">
        <f>HYPERLINK("https://pbs.twimg.com/profile_images/962471262747529216/Uo8lOkRJ_normal.jpg","View")</f>
        <v>View</v>
      </c>
      <c r="P5483" s="7"/>
    </row>
    <row r="5484" spans="1:16">
      <c r="A5484" s="3">
        <v>43950.346770833334</v>
      </c>
      <c r="B5484" s="4" t="str">
        <f>HYPERLINK("https://twitter.com/petrogustavo","@petrogustavo")</f>
        <v>@petrogustavo</v>
      </c>
      <c r="C5484" s="5" t="s">
        <v>16</v>
      </c>
      <c r="D5484" s="5" t="s">
        <v>5348</v>
      </c>
      <c r="E5484" s="6" t="str">
        <f>HYPERLINK("https://twitter.com/petrogustavo/status/1255328287318032385","1255328287318032385")</f>
        <v>1255328287318032385</v>
      </c>
      <c r="F5484" s="7" t="s">
        <v>17</v>
      </c>
      <c r="G5484" s="7">
        <v>3806148</v>
      </c>
      <c r="H5484" s="7">
        <v>2395</v>
      </c>
      <c r="I5484" s="7">
        <v>589</v>
      </c>
      <c r="J5484" s="7">
        <v>0</v>
      </c>
      <c r="K5484" s="7" t="s">
        <v>18</v>
      </c>
      <c r="L5484" s="8">
        <v>39987.315405092595</v>
      </c>
      <c r="M5484" s="9" t="s">
        <v>19</v>
      </c>
      <c r="N5484" s="9" t="s">
        <v>20</v>
      </c>
      <c r="O5484" s="6" t="str">
        <f>HYPERLINK("https://pbs.twimg.com/profile_images/962471262747529216/Uo8lOkRJ_normal.jpg","View")</f>
        <v>View</v>
      </c>
      <c r="P5484" s="7"/>
    </row>
    <row r="5485" spans="1:16">
      <c r="A5485" s="3">
        <v>43950.7653125</v>
      </c>
      <c r="B5485" s="4" t="str">
        <f>HYPERLINK("https://twitter.com/petrogustavo","@petrogustavo")</f>
        <v>@petrogustavo</v>
      </c>
      <c r="C5485" s="5" t="s">
        <v>16</v>
      </c>
      <c r="D5485" s="5" t="s">
        <v>5349</v>
      </c>
      <c r="E5485" s="6" t="str">
        <f>HYPERLINK("https://twitter.com/petrogustavo/status/1255479963513430017","1255479963513430017")</f>
        <v>1255479963513430017</v>
      </c>
      <c r="F5485" s="7" t="s">
        <v>17</v>
      </c>
      <c r="G5485" s="7">
        <v>3806636</v>
      </c>
      <c r="H5485" s="7">
        <v>2396</v>
      </c>
      <c r="I5485" s="7">
        <v>82</v>
      </c>
      <c r="J5485" s="7">
        <v>0</v>
      </c>
      <c r="K5485" s="7" t="s">
        <v>18</v>
      </c>
      <c r="L5485" s="8">
        <v>39987.315405092595</v>
      </c>
      <c r="M5485" s="9" t="s">
        <v>19</v>
      </c>
      <c r="N5485" s="9" t="s">
        <v>20</v>
      </c>
      <c r="O5485" s="6" t="str">
        <f>HYPERLINK("https://pbs.twimg.com/profile_images/962471262747529216/Uo8lOkRJ_normal.jpg","View")</f>
        <v>View</v>
      </c>
      <c r="P5485" s="7"/>
    </row>
    <row r="5486" spans="1:16">
      <c r="A5486" s="3">
        <v>43950.804178240738</v>
      </c>
      <c r="B5486" s="4" t="str">
        <f>HYPERLINK("https://twitter.com/petrogustavo","@petrogustavo")</f>
        <v>@petrogustavo</v>
      </c>
      <c r="C5486" s="5" t="s">
        <v>16</v>
      </c>
      <c r="D5486" s="5" t="s">
        <v>5350</v>
      </c>
      <c r="E5486" s="6" t="str">
        <f>HYPERLINK("https://twitter.com/petrogustavo/status/1255494047801753600","1255494047801753600")</f>
        <v>1255494047801753600</v>
      </c>
      <c r="F5486" s="7" t="s">
        <v>17</v>
      </c>
      <c r="G5486" s="7">
        <v>3806721</v>
      </c>
      <c r="H5486" s="7">
        <v>2396</v>
      </c>
      <c r="I5486" s="7">
        <v>9</v>
      </c>
      <c r="J5486" s="7">
        <v>0</v>
      </c>
      <c r="K5486" s="7" t="s">
        <v>18</v>
      </c>
      <c r="L5486" s="8">
        <v>39987.315405092595</v>
      </c>
      <c r="M5486" s="9" t="s">
        <v>19</v>
      </c>
      <c r="N5486" s="9" t="s">
        <v>20</v>
      </c>
      <c r="O5486" s="6" t="str">
        <f>HYPERLINK("https://pbs.twimg.com/profile_images/962471262747529216/Uo8lOkRJ_normal.jpg","View")</f>
        <v>View</v>
      </c>
      <c r="P5486" s="7"/>
    </row>
    <row r="5487" spans="1:16">
      <c r="A5487" s="3">
        <v>43950.807430555556</v>
      </c>
      <c r="B5487" s="4" t="str">
        <f>HYPERLINK("https://twitter.com/petrogustavo","@petrogustavo")</f>
        <v>@petrogustavo</v>
      </c>
      <c r="C5487" s="5" t="s">
        <v>16</v>
      </c>
      <c r="D5487" s="5" t="s">
        <v>5351</v>
      </c>
      <c r="E5487" s="6" t="str">
        <f>HYPERLINK("https://twitter.com/petrogustavo/status/1255495224777900033","1255495224777900033")</f>
        <v>1255495224777900033</v>
      </c>
      <c r="F5487" s="7" t="s">
        <v>17</v>
      </c>
      <c r="G5487" s="7">
        <v>3806721</v>
      </c>
      <c r="H5487" s="7">
        <v>2396</v>
      </c>
      <c r="I5487" s="7">
        <v>22</v>
      </c>
      <c r="J5487" s="7">
        <v>51</v>
      </c>
      <c r="K5487" s="7" t="s">
        <v>18</v>
      </c>
      <c r="L5487" s="8">
        <v>39987.315405092595</v>
      </c>
      <c r="M5487" s="9" t="s">
        <v>19</v>
      </c>
      <c r="N5487" s="9" t="s">
        <v>20</v>
      </c>
      <c r="O5487" s="6" t="str">
        <f>HYPERLINK("https://pbs.twimg.com/profile_images/962471262747529216/Uo8lOkRJ_normal.jpg","View")</f>
        <v>View</v>
      </c>
      <c r="P5487" s="7"/>
    </row>
    <row r="5488" spans="1:16">
      <c r="A5488" s="3">
        <v>43950.810092592597</v>
      </c>
      <c r="B5488" s="4" t="str">
        <f>HYPERLINK("https://twitter.com/petrogustavo","@petrogustavo")</f>
        <v>@petrogustavo</v>
      </c>
      <c r="C5488" s="5" t="s">
        <v>16</v>
      </c>
      <c r="D5488" s="5" t="s">
        <v>5352</v>
      </c>
      <c r="E5488" s="6" t="str">
        <f>HYPERLINK("https://twitter.com/petrogustavo/status/1255496188679380994","1255496188679380994")</f>
        <v>1255496188679380994</v>
      </c>
      <c r="F5488" s="7" t="s">
        <v>17</v>
      </c>
      <c r="G5488" s="7">
        <v>3806721</v>
      </c>
      <c r="H5488" s="7">
        <v>2396</v>
      </c>
      <c r="I5488" s="7">
        <v>29</v>
      </c>
      <c r="J5488" s="7">
        <v>70</v>
      </c>
      <c r="K5488" s="7" t="s">
        <v>18</v>
      </c>
      <c r="L5488" s="8">
        <v>39987.315405092595</v>
      </c>
      <c r="M5488" s="9" t="s">
        <v>19</v>
      </c>
      <c r="N5488" s="9" t="s">
        <v>20</v>
      </c>
      <c r="O5488" s="6" t="str">
        <f>HYPERLINK("https://pbs.twimg.com/profile_images/962471262747529216/Uo8lOkRJ_normal.jpg","View")</f>
        <v>View</v>
      </c>
      <c r="P5488" s="7"/>
    </row>
    <row r="5489" spans="1:16">
      <c r="A5489" s="3">
        <v>43950.815081018518</v>
      </c>
      <c r="B5489" s="4" t="str">
        <f>HYPERLINK("https://twitter.com/petrogustavo","@petrogustavo")</f>
        <v>@petrogustavo</v>
      </c>
      <c r="C5489" s="5" t="s">
        <v>16</v>
      </c>
      <c r="D5489" s="5" t="s">
        <v>5353</v>
      </c>
      <c r="E5489" s="6" t="str">
        <f>HYPERLINK("https://twitter.com/petrogustavo/status/1255497997980438528","1255497997980438528")</f>
        <v>1255497997980438528</v>
      </c>
      <c r="F5489" s="7" t="s">
        <v>17</v>
      </c>
      <c r="G5489" s="7">
        <v>3806763</v>
      </c>
      <c r="H5489" s="7">
        <v>2396</v>
      </c>
      <c r="I5489" s="7">
        <v>108</v>
      </c>
      <c r="J5489" s="7">
        <v>229</v>
      </c>
      <c r="K5489" s="7" t="s">
        <v>18</v>
      </c>
      <c r="L5489" s="8">
        <v>39987.315405092595</v>
      </c>
      <c r="M5489" s="9" t="s">
        <v>19</v>
      </c>
      <c r="N5489" s="9" t="s">
        <v>20</v>
      </c>
      <c r="O5489" s="6" t="str">
        <f>HYPERLINK("https://pbs.twimg.com/profile_images/962471262747529216/Uo8lOkRJ_normal.jpg","View")</f>
        <v>View</v>
      </c>
      <c r="P5489" s="7"/>
    </row>
    <row r="5490" spans="1:16">
      <c r="A5490" s="3">
        <v>43950.834062499998</v>
      </c>
      <c r="B5490" s="4" t="str">
        <f>HYPERLINK("https://twitter.com/petrogustavo","@petrogustavo")</f>
        <v>@petrogustavo</v>
      </c>
      <c r="C5490" s="5" t="s">
        <v>16</v>
      </c>
      <c r="D5490" s="5" t="s">
        <v>5354</v>
      </c>
      <c r="E5490" s="6" t="str">
        <f>HYPERLINK("https://twitter.com/petrogustavo/status/1255504875670077440","1255504875670077440")</f>
        <v>1255504875670077440</v>
      </c>
      <c r="F5490" s="7" t="s">
        <v>17</v>
      </c>
      <c r="G5490" s="7">
        <v>3806763</v>
      </c>
      <c r="H5490" s="7">
        <v>2396</v>
      </c>
      <c r="I5490" s="7">
        <v>10</v>
      </c>
      <c r="J5490" s="7">
        <v>0</v>
      </c>
      <c r="K5490" s="7" t="s">
        <v>18</v>
      </c>
      <c r="L5490" s="8">
        <v>39987.315405092595</v>
      </c>
      <c r="M5490" s="9" t="s">
        <v>19</v>
      </c>
      <c r="N5490" s="9" t="s">
        <v>20</v>
      </c>
      <c r="O5490" s="6" t="str">
        <f>HYPERLINK("https://pbs.twimg.com/profile_images/962471262747529216/Uo8lOkRJ_normal.jpg","View")</f>
        <v>View</v>
      </c>
      <c r="P5490" s="7"/>
    </row>
    <row r="5491" spans="1:16">
      <c r="A5491" s="3">
        <v>43950.834282407406</v>
      </c>
      <c r="B5491" s="4" t="str">
        <f>HYPERLINK("https://twitter.com/petrogustavo","@petrogustavo")</f>
        <v>@petrogustavo</v>
      </c>
      <c r="C5491" s="5" t="s">
        <v>16</v>
      </c>
      <c r="D5491" s="5" t="s">
        <v>5355</v>
      </c>
      <c r="E5491" s="6" t="str">
        <f>HYPERLINK("https://twitter.com/petrogustavo/status/1255504958352474112","1255504958352474112")</f>
        <v>1255504958352474112</v>
      </c>
      <c r="F5491" s="7" t="s">
        <v>17</v>
      </c>
      <c r="G5491" s="7">
        <v>3806763</v>
      </c>
      <c r="H5491" s="7">
        <v>2396</v>
      </c>
      <c r="I5491" s="7">
        <v>7</v>
      </c>
      <c r="J5491" s="7">
        <v>0</v>
      </c>
      <c r="K5491" s="7" t="s">
        <v>18</v>
      </c>
      <c r="L5491" s="8">
        <v>39987.315405092595</v>
      </c>
      <c r="M5491" s="9" t="s">
        <v>19</v>
      </c>
      <c r="N5491" s="9" t="s">
        <v>20</v>
      </c>
      <c r="O5491" s="6" t="str">
        <f>HYPERLINK("https://pbs.twimg.com/profile_images/962471262747529216/Uo8lOkRJ_normal.jpg","View")</f>
        <v>View</v>
      </c>
      <c r="P5491" s="7"/>
    </row>
    <row r="5492" spans="1:16">
      <c r="A5492" s="3">
        <v>43950.836724537032</v>
      </c>
      <c r="B5492" s="4" t="str">
        <f>HYPERLINK("https://twitter.com/petrogustavo","@petrogustavo")</f>
        <v>@petrogustavo</v>
      </c>
      <c r="C5492" s="5" t="s">
        <v>16</v>
      </c>
      <c r="D5492" s="5" t="s">
        <v>5356</v>
      </c>
      <c r="E5492" s="6" t="str">
        <f>HYPERLINK("https://twitter.com/petrogustavo/status/1255505840020295680","1255505840020295680")</f>
        <v>1255505840020295680</v>
      </c>
      <c r="F5492" s="7" t="s">
        <v>17</v>
      </c>
      <c r="G5492" s="7">
        <v>3806813</v>
      </c>
      <c r="H5492" s="7">
        <v>2396</v>
      </c>
      <c r="I5492" s="7">
        <v>171</v>
      </c>
      <c r="J5492" s="7">
        <v>417</v>
      </c>
      <c r="K5492" s="7" t="s">
        <v>18</v>
      </c>
      <c r="L5492" s="8">
        <v>39987.315405092595</v>
      </c>
      <c r="M5492" s="9" t="s">
        <v>19</v>
      </c>
      <c r="N5492" s="9" t="s">
        <v>20</v>
      </c>
      <c r="O5492" s="6" t="str">
        <f>HYPERLINK("https://pbs.twimg.com/profile_images/962471262747529216/Uo8lOkRJ_normal.jpg","View")</f>
        <v>View</v>
      </c>
      <c r="P5492" s="7"/>
    </row>
    <row r="5493" spans="1:16">
      <c r="A5493" s="3">
        <v>43950.840416666666</v>
      </c>
      <c r="B5493" s="4" t="str">
        <f>HYPERLINK("https://twitter.com/petrogustavo","@petrogustavo")</f>
        <v>@petrogustavo</v>
      </c>
      <c r="C5493" s="5" t="s">
        <v>16</v>
      </c>
      <c r="D5493" s="5" t="s">
        <v>5357</v>
      </c>
      <c r="E5493" s="6" t="str">
        <f>HYPERLINK("https://twitter.com/petrogustavo/status/1255507177747480578","1255507177747480578")</f>
        <v>1255507177747480578</v>
      </c>
      <c r="F5493" s="7" t="s">
        <v>17</v>
      </c>
      <c r="G5493" s="7">
        <v>3806813</v>
      </c>
      <c r="H5493" s="7">
        <v>2396</v>
      </c>
      <c r="I5493" s="7">
        <v>223</v>
      </c>
      <c r="J5493" s="7">
        <v>0</v>
      </c>
      <c r="K5493" s="7" t="s">
        <v>18</v>
      </c>
      <c r="L5493" s="8">
        <v>39987.315405092595</v>
      </c>
      <c r="M5493" s="9" t="s">
        <v>19</v>
      </c>
      <c r="N5493" s="9" t="s">
        <v>20</v>
      </c>
      <c r="O5493" s="6" t="str">
        <f>HYPERLINK("https://pbs.twimg.com/profile_images/962471262747529216/Uo8lOkRJ_normal.jpg","View")</f>
        <v>View</v>
      </c>
      <c r="P5493" s="7"/>
    </row>
    <row r="5494" spans="1:16">
      <c r="A5494" s="3">
        <v>43950.851111111115</v>
      </c>
      <c r="B5494" s="4" t="str">
        <f>HYPERLINK("https://twitter.com/petrogustavo","@petrogustavo")</f>
        <v>@petrogustavo</v>
      </c>
      <c r="C5494" s="5" t="s">
        <v>16</v>
      </c>
      <c r="D5494" s="5" t="s">
        <v>5358</v>
      </c>
      <c r="E5494" s="6" t="str">
        <f>HYPERLINK("https://twitter.com/petrogustavo/status/1255511054815281161","1255511054815281161")</f>
        <v>1255511054815281161</v>
      </c>
      <c r="F5494" s="7" t="s">
        <v>17</v>
      </c>
      <c r="G5494" s="7">
        <v>3806813</v>
      </c>
      <c r="H5494" s="7">
        <v>2396</v>
      </c>
      <c r="I5494" s="7">
        <v>28</v>
      </c>
      <c r="J5494" s="7">
        <v>75</v>
      </c>
      <c r="K5494" s="7" t="s">
        <v>18</v>
      </c>
      <c r="L5494" s="8">
        <v>39987.315405092595</v>
      </c>
      <c r="M5494" s="9" t="s">
        <v>19</v>
      </c>
      <c r="N5494" s="9" t="s">
        <v>20</v>
      </c>
      <c r="O5494" s="6" t="str">
        <f>HYPERLINK("https://pbs.twimg.com/profile_images/962471262747529216/Uo8lOkRJ_normal.jpg","View")</f>
        <v>View</v>
      </c>
      <c r="P5494" s="7"/>
    </row>
    <row r="5495" spans="1:16">
      <c r="A5495" s="3">
        <v>43950.852442129632</v>
      </c>
      <c r="B5495" s="4" t="str">
        <f>HYPERLINK("https://twitter.com/petrogustavo","@petrogustavo")</f>
        <v>@petrogustavo</v>
      </c>
      <c r="C5495" s="5" t="s">
        <v>16</v>
      </c>
      <c r="D5495" s="5" t="s">
        <v>5359</v>
      </c>
      <c r="E5495" s="6" t="str">
        <f>HYPERLINK("https://twitter.com/petrogustavo/status/1255511537340559361","1255511537340559361")</f>
        <v>1255511537340559361</v>
      </c>
      <c r="F5495" s="7" t="s">
        <v>17</v>
      </c>
      <c r="G5495" s="7">
        <v>3806813</v>
      </c>
      <c r="H5495" s="7">
        <v>2396</v>
      </c>
      <c r="I5495" s="7">
        <v>14</v>
      </c>
      <c r="J5495" s="7">
        <v>0</v>
      </c>
      <c r="K5495" s="7" t="s">
        <v>18</v>
      </c>
      <c r="L5495" s="8">
        <v>39987.315405092595</v>
      </c>
      <c r="M5495" s="9" t="s">
        <v>19</v>
      </c>
      <c r="N5495" s="9" t="s">
        <v>20</v>
      </c>
      <c r="O5495" s="6" t="str">
        <f>HYPERLINK("https://pbs.twimg.com/profile_images/962471262747529216/Uo8lOkRJ_normal.jpg","View")</f>
        <v>View</v>
      </c>
      <c r="P5495" s="7"/>
    </row>
    <row r="5496" spans="1:16">
      <c r="A5496" s="3">
        <v>43950.858460648145</v>
      </c>
      <c r="B5496" s="4" t="str">
        <f>HYPERLINK("https://twitter.com/petrogustavo","@petrogustavo")</f>
        <v>@petrogustavo</v>
      </c>
      <c r="C5496" s="5" t="s">
        <v>16</v>
      </c>
      <c r="D5496" s="5" t="s">
        <v>5360</v>
      </c>
      <c r="E5496" s="6" t="str">
        <f>HYPERLINK("https://twitter.com/petrogustavo/status/1255513717334249472","1255513717334249472")</f>
        <v>1255513717334249472</v>
      </c>
      <c r="F5496" s="7" t="s">
        <v>17</v>
      </c>
      <c r="G5496" s="7">
        <v>3806860</v>
      </c>
      <c r="H5496" s="7">
        <v>2396</v>
      </c>
      <c r="I5496" s="7">
        <v>55</v>
      </c>
      <c r="J5496" s="7">
        <v>126</v>
      </c>
      <c r="K5496" s="7" t="s">
        <v>18</v>
      </c>
      <c r="L5496" s="8">
        <v>39987.315405092595</v>
      </c>
      <c r="M5496" s="9" t="s">
        <v>19</v>
      </c>
      <c r="N5496" s="9" t="s">
        <v>20</v>
      </c>
      <c r="O5496" s="6" t="str">
        <f>HYPERLINK("https://pbs.twimg.com/profile_images/962471262747529216/Uo8lOkRJ_normal.jpg","View")</f>
        <v>View</v>
      </c>
      <c r="P5496" s="7"/>
    </row>
    <row r="5497" spans="1:16">
      <c r="A5497" s="3">
        <v>43950.861712962964</v>
      </c>
      <c r="B5497" s="4" t="str">
        <f>HYPERLINK("https://twitter.com/petrogustavo","@petrogustavo")</f>
        <v>@petrogustavo</v>
      </c>
      <c r="C5497" s="5" t="s">
        <v>16</v>
      </c>
      <c r="D5497" s="5" t="s">
        <v>5361</v>
      </c>
      <c r="E5497" s="6" t="str">
        <f>HYPERLINK("https://twitter.com/petrogustavo/status/1255514898257321984","1255514898257321984")</f>
        <v>1255514898257321984</v>
      </c>
      <c r="F5497" s="7" t="s">
        <v>17</v>
      </c>
      <c r="G5497" s="7">
        <v>3806860</v>
      </c>
      <c r="H5497" s="7">
        <v>2396</v>
      </c>
      <c r="I5497" s="7">
        <v>30</v>
      </c>
      <c r="J5497" s="7">
        <v>74</v>
      </c>
      <c r="K5497" s="7" t="s">
        <v>18</v>
      </c>
      <c r="L5497" s="8">
        <v>39987.315405092595</v>
      </c>
      <c r="M5497" s="9" t="s">
        <v>19</v>
      </c>
      <c r="N5497" s="9" t="s">
        <v>20</v>
      </c>
      <c r="O5497" s="6" t="str">
        <f>HYPERLINK("https://pbs.twimg.com/profile_images/962471262747529216/Uo8lOkRJ_normal.jpg","View")</f>
        <v>View</v>
      </c>
      <c r="P5497" s="7"/>
    </row>
    <row r="5498" spans="1:16">
      <c r="A5498" s="3">
        <v>43950.863842592589</v>
      </c>
      <c r="B5498" s="4" t="str">
        <f>HYPERLINK("https://twitter.com/petrogustavo","@petrogustavo")</f>
        <v>@petrogustavo</v>
      </c>
      <c r="C5498" s="5" t="s">
        <v>16</v>
      </c>
      <c r="D5498" s="5" t="s">
        <v>5362</v>
      </c>
      <c r="E5498" s="6" t="str">
        <f>HYPERLINK("https://twitter.com/petrogustavo/status/1255515669115912193","1255515669115912193")</f>
        <v>1255515669115912193</v>
      </c>
      <c r="F5498" s="7" t="s">
        <v>17</v>
      </c>
      <c r="G5498" s="7">
        <v>3806860</v>
      </c>
      <c r="H5498" s="7">
        <v>2396</v>
      </c>
      <c r="I5498" s="7">
        <v>381</v>
      </c>
      <c r="J5498" s="7">
        <v>1415</v>
      </c>
      <c r="K5498" s="7" t="s">
        <v>18</v>
      </c>
      <c r="L5498" s="8">
        <v>39987.315405092595</v>
      </c>
      <c r="M5498" s="9" t="s">
        <v>19</v>
      </c>
      <c r="N5498" s="9" t="s">
        <v>20</v>
      </c>
      <c r="O5498" s="6" t="str">
        <f>HYPERLINK("https://pbs.twimg.com/profile_images/962471262747529216/Uo8lOkRJ_normal.jpg","View")</f>
        <v>View</v>
      </c>
      <c r="P5498" s="7"/>
    </row>
    <row r="5499" spans="1:16">
      <c r="A5499" s="3">
        <v>43950.866018518514</v>
      </c>
      <c r="B5499" s="4" t="str">
        <f>HYPERLINK("https://twitter.com/petrogustavo","@petrogustavo")</f>
        <v>@petrogustavo</v>
      </c>
      <c r="C5499" s="5" t="s">
        <v>16</v>
      </c>
      <c r="D5499" s="5" t="s">
        <v>5363</v>
      </c>
      <c r="E5499" s="6" t="str">
        <f>HYPERLINK("https://twitter.com/petrogustavo/status/1255516457091375104","1255516457091375104")</f>
        <v>1255516457091375104</v>
      </c>
      <c r="F5499" s="7" t="s">
        <v>17</v>
      </c>
      <c r="G5499" s="7">
        <v>3806860</v>
      </c>
      <c r="H5499" s="7">
        <v>2396</v>
      </c>
      <c r="I5499" s="7">
        <v>72</v>
      </c>
      <c r="J5499" s="7">
        <v>209</v>
      </c>
      <c r="K5499" s="7" t="s">
        <v>18</v>
      </c>
      <c r="L5499" s="8">
        <v>39987.315405092595</v>
      </c>
      <c r="M5499" s="9" t="s">
        <v>19</v>
      </c>
      <c r="N5499" s="9" t="s">
        <v>20</v>
      </c>
      <c r="O5499" s="6" t="str">
        <f>HYPERLINK("https://pbs.twimg.com/profile_images/962471262747529216/Uo8lOkRJ_normal.jpg","View")</f>
        <v>View</v>
      </c>
      <c r="P5499" s="7"/>
    </row>
    <row r="5500" spans="1:16">
      <c r="A5500" s="3">
        <v>43950.868379629625</v>
      </c>
      <c r="B5500" s="4" t="str">
        <f>HYPERLINK("https://twitter.com/petrogustavo","@petrogustavo")</f>
        <v>@petrogustavo</v>
      </c>
      <c r="C5500" s="5" t="s">
        <v>16</v>
      </c>
      <c r="D5500" s="5" t="s">
        <v>5364</v>
      </c>
      <c r="E5500" s="6" t="str">
        <f>HYPERLINK("https://twitter.com/petrogustavo/status/1255517314918879234","1255517314918879234")</f>
        <v>1255517314918879234</v>
      </c>
      <c r="F5500" s="7" t="s">
        <v>17</v>
      </c>
      <c r="G5500" s="7">
        <v>3806860</v>
      </c>
      <c r="H5500" s="7">
        <v>2396</v>
      </c>
      <c r="I5500" s="7">
        <v>38</v>
      </c>
      <c r="J5500" s="7">
        <v>116</v>
      </c>
      <c r="K5500" s="7" t="s">
        <v>18</v>
      </c>
      <c r="L5500" s="8">
        <v>39987.315405092595</v>
      </c>
      <c r="M5500" s="9" t="s">
        <v>19</v>
      </c>
      <c r="N5500" s="9" t="s">
        <v>20</v>
      </c>
      <c r="O5500" s="6" t="str">
        <f>HYPERLINK("https://pbs.twimg.com/profile_images/962471262747529216/Uo8lOkRJ_normal.jpg","View")</f>
        <v>View</v>
      </c>
      <c r="P5500" s="7"/>
    </row>
    <row r="5501" spans="1:16">
      <c r="A5501" s="3">
        <v>43950.871585648143</v>
      </c>
      <c r="B5501" s="4" t="str">
        <f>HYPERLINK("https://twitter.com/petrogustavo","@petrogustavo")</f>
        <v>@petrogustavo</v>
      </c>
      <c r="C5501" s="5" t="s">
        <v>16</v>
      </c>
      <c r="D5501" s="5" t="s">
        <v>5365</v>
      </c>
      <c r="E5501" s="6" t="str">
        <f>HYPERLINK("https://twitter.com/petrogustavo/status/1255518476992643075","1255518476992643075")</f>
        <v>1255518476992643075</v>
      </c>
      <c r="F5501" s="7" t="s">
        <v>17</v>
      </c>
      <c r="G5501" s="7">
        <v>3806860</v>
      </c>
      <c r="H5501" s="7">
        <v>2396</v>
      </c>
      <c r="I5501" s="7">
        <v>39</v>
      </c>
      <c r="J5501" s="7">
        <v>95</v>
      </c>
      <c r="K5501" s="7" t="s">
        <v>18</v>
      </c>
      <c r="L5501" s="8">
        <v>39987.315405092595</v>
      </c>
      <c r="M5501" s="9" t="s">
        <v>19</v>
      </c>
      <c r="N5501" s="9" t="s">
        <v>20</v>
      </c>
      <c r="O5501" s="6" t="str">
        <f>HYPERLINK("https://pbs.twimg.com/profile_images/962471262747529216/Uo8lOkRJ_normal.jpg","View")</f>
        <v>View</v>
      </c>
      <c r="P5501" s="7"/>
    </row>
    <row r="5502" spans="1:16">
      <c r="A5502" s="3">
        <v>43950.871759259258</v>
      </c>
      <c r="B5502" s="4" t="str">
        <f>HYPERLINK("https://twitter.com/petrogustavo","@petrogustavo")</f>
        <v>@petrogustavo</v>
      </c>
      <c r="C5502" s="5" t="s">
        <v>16</v>
      </c>
      <c r="D5502" s="5" t="s">
        <v>5366</v>
      </c>
      <c r="E5502" s="6" t="str">
        <f>HYPERLINK("https://twitter.com/petrogustavo/status/1255518538506305538","1255518538506305538")</f>
        <v>1255518538506305538</v>
      </c>
      <c r="F5502" s="7" t="s">
        <v>17</v>
      </c>
      <c r="G5502" s="7">
        <v>3806860</v>
      </c>
      <c r="H5502" s="7">
        <v>2396</v>
      </c>
      <c r="I5502" s="7">
        <v>72</v>
      </c>
      <c r="J5502" s="7">
        <v>0</v>
      </c>
      <c r="K5502" s="7" t="s">
        <v>18</v>
      </c>
      <c r="L5502" s="8">
        <v>39987.315405092595</v>
      </c>
      <c r="M5502" s="9" t="s">
        <v>19</v>
      </c>
      <c r="N5502" s="9" t="s">
        <v>20</v>
      </c>
      <c r="O5502" s="6" t="str">
        <f>HYPERLINK("https://pbs.twimg.com/profile_images/962471262747529216/Uo8lOkRJ_normal.jpg","View")</f>
        <v>View</v>
      </c>
      <c r="P5502" s="7"/>
    </row>
    <row r="5503" spans="1:16">
      <c r="A5503" s="3">
        <v>43950.871967592597</v>
      </c>
      <c r="B5503" s="4" t="str">
        <f>HYPERLINK("https://twitter.com/petrogustavo","@petrogustavo")</f>
        <v>@petrogustavo</v>
      </c>
      <c r="C5503" s="5" t="s">
        <v>16</v>
      </c>
      <c r="D5503" s="5" t="s">
        <v>5367</v>
      </c>
      <c r="E5503" s="6" t="str">
        <f>HYPERLINK("https://twitter.com/petrogustavo/status/1255518612858843137","1255518612858843137")</f>
        <v>1255518612858843137</v>
      </c>
      <c r="F5503" s="7" t="s">
        <v>17</v>
      </c>
      <c r="G5503" s="7">
        <v>3806860</v>
      </c>
      <c r="H5503" s="7">
        <v>2396</v>
      </c>
      <c r="I5503" s="7">
        <v>381</v>
      </c>
      <c r="J5503" s="7">
        <v>0</v>
      </c>
      <c r="K5503" s="7" t="s">
        <v>18</v>
      </c>
      <c r="L5503" s="8">
        <v>39987.315405092595</v>
      </c>
      <c r="M5503" s="9" t="s">
        <v>19</v>
      </c>
      <c r="N5503" s="9" t="s">
        <v>20</v>
      </c>
      <c r="O5503" s="6" t="str">
        <f>HYPERLINK("https://pbs.twimg.com/profile_images/962471262747529216/Uo8lOkRJ_normal.jpg","View")</f>
        <v>View</v>
      </c>
      <c r="P5503" s="7"/>
    </row>
    <row r="5504" spans="1:16">
      <c r="A5504" s="3">
        <v>43950.882407407407</v>
      </c>
      <c r="B5504" s="4" t="str">
        <f>HYPERLINK("https://twitter.com/petrogustavo","@petrogustavo")</f>
        <v>@petrogustavo</v>
      </c>
      <c r="C5504" s="5" t="s">
        <v>16</v>
      </c>
      <c r="D5504" s="5" t="s">
        <v>5368</v>
      </c>
      <c r="E5504" s="6" t="str">
        <f>HYPERLINK("https://twitter.com/petrogustavo/status/1255522395135369216","1255522395135369216")</f>
        <v>1255522395135369216</v>
      </c>
      <c r="F5504" s="7" t="s">
        <v>17</v>
      </c>
      <c r="G5504" s="7">
        <v>3806906</v>
      </c>
      <c r="H5504" s="7">
        <v>2396</v>
      </c>
      <c r="I5504" s="7">
        <v>101</v>
      </c>
      <c r="J5504" s="7">
        <v>394</v>
      </c>
      <c r="K5504" s="7" t="s">
        <v>18</v>
      </c>
      <c r="L5504" s="8">
        <v>39987.315405092595</v>
      </c>
      <c r="M5504" s="9" t="s">
        <v>19</v>
      </c>
      <c r="N5504" s="9" t="s">
        <v>20</v>
      </c>
      <c r="O5504" s="6" t="str">
        <f>HYPERLINK("https://pbs.twimg.com/profile_images/962471262747529216/Uo8lOkRJ_normal.jpg","View")</f>
        <v>View</v>
      </c>
      <c r="P5504" s="7"/>
    </row>
    <row r="5505" spans="1:16">
      <c r="A5505" s="3">
        <v>43950.884641203702</v>
      </c>
      <c r="B5505" s="4" t="str">
        <f>HYPERLINK("https://twitter.com/petrogustavo","@petrogustavo")</f>
        <v>@petrogustavo</v>
      </c>
      <c r="C5505" s="5" t="s">
        <v>16</v>
      </c>
      <c r="D5505" s="5" t="s">
        <v>5369</v>
      </c>
      <c r="E5505" s="6" t="str">
        <f>HYPERLINK("https://twitter.com/petrogustavo/status/1255523204199862274","1255523204199862274")</f>
        <v>1255523204199862274</v>
      </c>
      <c r="F5505" s="7" t="s">
        <v>17</v>
      </c>
      <c r="G5505" s="7">
        <v>3806906</v>
      </c>
      <c r="H5505" s="7">
        <v>2396</v>
      </c>
      <c r="I5505" s="7">
        <v>46</v>
      </c>
      <c r="J5505" s="7">
        <v>168</v>
      </c>
      <c r="K5505" s="7" t="s">
        <v>18</v>
      </c>
      <c r="L5505" s="8">
        <v>39987.315405092595</v>
      </c>
      <c r="M5505" s="9" t="s">
        <v>19</v>
      </c>
      <c r="N5505" s="9" t="s">
        <v>20</v>
      </c>
      <c r="O5505" s="6" t="str">
        <f>HYPERLINK("https://pbs.twimg.com/profile_images/962471262747529216/Uo8lOkRJ_normal.jpg","View")</f>
        <v>View</v>
      </c>
      <c r="P5505" s="7"/>
    </row>
    <row r="5506" spans="1:16">
      <c r="A5506" s="3">
        <v>43950.887199074074</v>
      </c>
      <c r="B5506" s="4" t="str">
        <f>HYPERLINK("https://twitter.com/petrogustavo","@petrogustavo")</f>
        <v>@petrogustavo</v>
      </c>
      <c r="C5506" s="5" t="s">
        <v>16</v>
      </c>
      <c r="D5506" s="5" t="s">
        <v>5370</v>
      </c>
      <c r="E5506" s="6" t="str">
        <f>HYPERLINK("https://twitter.com/petrogustavo/status/1255524135020769281","1255524135020769281")</f>
        <v>1255524135020769281</v>
      </c>
      <c r="F5506" s="7" t="s">
        <v>17</v>
      </c>
      <c r="G5506" s="7">
        <v>3806906</v>
      </c>
      <c r="H5506" s="7">
        <v>2396</v>
      </c>
      <c r="I5506" s="7">
        <v>43</v>
      </c>
      <c r="J5506" s="7">
        <v>117</v>
      </c>
      <c r="K5506" s="7" t="s">
        <v>18</v>
      </c>
      <c r="L5506" s="8">
        <v>39987.315405092595</v>
      </c>
      <c r="M5506" s="9" t="s">
        <v>19</v>
      </c>
      <c r="N5506" s="9" t="s">
        <v>20</v>
      </c>
      <c r="O5506" s="6" t="str">
        <f>HYPERLINK("https://pbs.twimg.com/profile_images/962471262747529216/Uo8lOkRJ_normal.jpg","View")</f>
        <v>View</v>
      </c>
      <c r="P5506" s="7"/>
    </row>
    <row r="5507" spans="1:16">
      <c r="A5507" s="3">
        <v>43950.913159722222</v>
      </c>
      <c r="B5507" s="4" t="str">
        <f>HYPERLINK("https://twitter.com/petrogustavo","@petrogustavo")</f>
        <v>@petrogustavo</v>
      </c>
      <c r="C5507" s="5" t="s">
        <v>16</v>
      </c>
      <c r="D5507" s="5" t="s">
        <v>5371</v>
      </c>
      <c r="E5507" s="6" t="str">
        <f>HYPERLINK("https://twitter.com/petrogustavo/status/1255533540810395650","1255533540810395650")</f>
        <v>1255533540810395650</v>
      </c>
      <c r="F5507" s="7" t="s">
        <v>32</v>
      </c>
      <c r="G5507" s="7">
        <v>3806940</v>
      </c>
      <c r="H5507" s="7">
        <v>2396</v>
      </c>
      <c r="I5507" s="7">
        <v>35</v>
      </c>
      <c r="J5507" s="7">
        <v>117</v>
      </c>
      <c r="K5507" s="7" t="s">
        <v>18</v>
      </c>
      <c r="L5507" s="8">
        <v>39987.315405092595</v>
      </c>
      <c r="M5507" s="9" t="s">
        <v>19</v>
      </c>
      <c r="N5507" s="9" t="s">
        <v>20</v>
      </c>
      <c r="O5507" s="6" t="str">
        <f>HYPERLINK("https://pbs.twimg.com/profile_images/962471262747529216/Uo8lOkRJ_normal.jpg","View")</f>
        <v>View</v>
      </c>
      <c r="P5507" s="7"/>
    </row>
    <row r="5508" spans="1:16">
      <c r="A5508" s="3">
        <v>43950.913541666669</v>
      </c>
      <c r="B5508" s="4" t="str">
        <f>HYPERLINK("https://twitter.com/petrogustavo","@petrogustavo")</f>
        <v>@petrogustavo</v>
      </c>
      <c r="C5508" s="5" t="s">
        <v>16</v>
      </c>
      <c r="D5508" s="5" t="s">
        <v>5372</v>
      </c>
      <c r="E5508" s="6" t="str">
        <f>HYPERLINK("https://twitter.com/petrogustavo/status/1255533678568095744","1255533678568095744")</f>
        <v>1255533678568095744</v>
      </c>
      <c r="F5508" s="7" t="s">
        <v>32</v>
      </c>
      <c r="G5508" s="7">
        <v>3806940</v>
      </c>
      <c r="H5508" s="7">
        <v>2396</v>
      </c>
      <c r="I5508" s="7">
        <v>185</v>
      </c>
      <c r="J5508" s="7">
        <v>0</v>
      </c>
      <c r="K5508" s="7" t="s">
        <v>18</v>
      </c>
      <c r="L5508" s="8">
        <v>39987.315405092595</v>
      </c>
      <c r="M5508" s="9" t="s">
        <v>19</v>
      </c>
      <c r="N5508" s="9" t="s">
        <v>20</v>
      </c>
      <c r="O5508" s="6" t="str">
        <f>HYPERLINK("https://pbs.twimg.com/profile_images/962471262747529216/Uo8lOkRJ_normal.jpg","View")</f>
        <v>View</v>
      </c>
      <c r="P5508" s="7"/>
    </row>
    <row r="5509" spans="1:16">
      <c r="A5509" s="3">
        <v>43950.918437500004</v>
      </c>
      <c r="B5509" s="4" t="str">
        <f>HYPERLINK("https://twitter.com/petrogustavo","@petrogustavo")</f>
        <v>@petrogustavo</v>
      </c>
      <c r="C5509" s="5" t="s">
        <v>16</v>
      </c>
      <c r="D5509" s="5" t="s">
        <v>5373</v>
      </c>
      <c r="E5509" s="6" t="str">
        <f>HYPERLINK("https://twitter.com/petrogustavo/status/1255535455241633792","1255535455241633792")</f>
        <v>1255535455241633792</v>
      </c>
      <c r="F5509" s="7" t="s">
        <v>17</v>
      </c>
      <c r="G5509" s="7">
        <v>3806940</v>
      </c>
      <c r="H5509" s="7">
        <v>2396</v>
      </c>
      <c r="I5509" s="7">
        <v>0</v>
      </c>
      <c r="J5509" s="7">
        <v>0</v>
      </c>
      <c r="K5509" s="7" t="s">
        <v>18</v>
      </c>
      <c r="L5509" s="8">
        <v>39987.315405092595</v>
      </c>
      <c r="M5509" s="9" t="s">
        <v>19</v>
      </c>
      <c r="N5509" s="9" t="s">
        <v>20</v>
      </c>
      <c r="O5509" s="6" t="str">
        <f>HYPERLINK("https://pbs.twimg.com/profile_images/962471262747529216/Uo8lOkRJ_normal.jpg","View")</f>
        <v>View</v>
      </c>
      <c r="P5509" s="7"/>
    </row>
    <row r="5510" spans="1:16">
      <c r="A5510" s="3">
        <v>43951.060752314814</v>
      </c>
      <c r="B5510" s="4" t="str">
        <f>HYPERLINK("https://twitter.com/petrogustavo","@petrogustavo")</f>
        <v>@petrogustavo</v>
      </c>
      <c r="C5510" s="5" t="s">
        <v>16</v>
      </c>
      <c r="D5510" s="5" t="s">
        <v>5374</v>
      </c>
      <c r="E5510" s="6" t="str">
        <f>HYPERLINK("https://twitter.com/petrogustavo/status/1255587028709883904","1255587028709883904")</f>
        <v>1255587028709883904</v>
      </c>
      <c r="F5510" s="7" t="s">
        <v>17</v>
      </c>
      <c r="G5510" s="7">
        <v>3807349</v>
      </c>
      <c r="H5510" s="7">
        <v>2396</v>
      </c>
      <c r="I5510" s="7">
        <v>38</v>
      </c>
      <c r="J5510" s="7">
        <v>0</v>
      </c>
      <c r="K5510" s="7" t="s">
        <v>18</v>
      </c>
      <c r="L5510" s="8">
        <v>39987.315405092595</v>
      </c>
      <c r="M5510" s="9" t="s">
        <v>19</v>
      </c>
      <c r="N5510" s="9" t="s">
        <v>20</v>
      </c>
      <c r="O5510" s="6" t="str">
        <f>HYPERLINK("https://pbs.twimg.com/profile_images/962471262747529216/Uo8lOkRJ_normal.jpg","View")</f>
        <v>View</v>
      </c>
      <c r="P5510" s="7"/>
    </row>
    <row r="5511" spans="1:16">
      <c r="A5511" s="3">
        <v>43951.061782407407</v>
      </c>
      <c r="B5511" s="4" t="str">
        <f>HYPERLINK("https://twitter.com/petrogustavo","@petrogustavo")</f>
        <v>@petrogustavo</v>
      </c>
      <c r="C5511" s="5" t="s">
        <v>16</v>
      </c>
      <c r="D5511" s="5" t="s">
        <v>5375</v>
      </c>
      <c r="E5511" s="6" t="str">
        <f>HYPERLINK("https://twitter.com/petrogustavo/status/1255587398307713028","1255587398307713028")</f>
        <v>1255587398307713028</v>
      </c>
      <c r="F5511" s="7" t="s">
        <v>17</v>
      </c>
      <c r="G5511" s="7">
        <v>3807349</v>
      </c>
      <c r="H5511" s="7">
        <v>2396</v>
      </c>
      <c r="I5511" s="7">
        <v>430</v>
      </c>
      <c r="J5511" s="7">
        <v>0</v>
      </c>
      <c r="K5511" s="7" t="s">
        <v>18</v>
      </c>
      <c r="L5511" s="8">
        <v>39987.315405092595</v>
      </c>
      <c r="M5511" s="9" t="s">
        <v>19</v>
      </c>
      <c r="N5511" s="9" t="s">
        <v>20</v>
      </c>
      <c r="O5511" s="6" t="str">
        <f>HYPERLINK("https://pbs.twimg.com/profile_images/962471262747529216/Uo8lOkRJ_normal.jpg","View")</f>
        <v>View</v>
      </c>
      <c r="P5511" s="7"/>
    </row>
    <row r="5512" spans="1:16">
      <c r="A5512" s="3">
        <v>43951.0621875</v>
      </c>
      <c r="B5512" s="4" t="str">
        <f>HYPERLINK("https://twitter.com/petrogustavo","@petrogustavo")</f>
        <v>@petrogustavo</v>
      </c>
      <c r="C5512" s="5" t="s">
        <v>16</v>
      </c>
      <c r="D5512" s="5" t="s">
        <v>5376</v>
      </c>
      <c r="E5512" s="6" t="str">
        <f>HYPERLINK("https://twitter.com/petrogustavo/status/1255587546152816640","1255587546152816640")</f>
        <v>1255587546152816640</v>
      </c>
      <c r="F5512" s="7" t="s">
        <v>17</v>
      </c>
      <c r="G5512" s="7">
        <v>3807349</v>
      </c>
      <c r="H5512" s="7">
        <v>2396</v>
      </c>
      <c r="I5512" s="7">
        <v>56</v>
      </c>
      <c r="J5512" s="7">
        <v>0</v>
      </c>
      <c r="K5512" s="7" t="s">
        <v>18</v>
      </c>
      <c r="L5512" s="8">
        <v>39987.315405092595</v>
      </c>
      <c r="M5512" s="9" t="s">
        <v>19</v>
      </c>
      <c r="N5512" s="9" t="s">
        <v>20</v>
      </c>
      <c r="O5512" s="6" t="str">
        <f>HYPERLINK("https://pbs.twimg.com/profile_images/962471262747529216/Uo8lOkRJ_normal.jpg","View")</f>
        <v>View</v>
      </c>
      <c r="P5512" s="7"/>
    </row>
    <row r="5513" spans="1:16">
      <c r="A5513" s="3">
        <v>43951.065717592588</v>
      </c>
      <c r="B5513" s="4" t="str">
        <f>HYPERLINK("https://twitter.com/petrogustavo","@petrogustavo")</f>
        <v>@petrogustavo</v>
      </c>
      <c r="C5513" s="5" t="s">
        <v>16</v>
      </c>
      <c r="D5513" s="5" t="s">
        <v>5377</v>
      </c>
      <c r="E5513" s="6" t="str">
        <f>HYPERLINK("https://twitter.com/petrogustavo/status/1255588828133408770","1255588828133408770")</f>
        <v>1255588828133408770</v>
      </c>
      <c r="F5513" s="7" t="s">
        <v>17</v>
      </c>
      <c r="G5513" s="7">
        <v>3807380</v>
      </c>
      <c r="H5513" s="7">
        <v>2397</v>
      </c>
      <c r="I5513" s="7">
        <v>383</v>
      </c>
      <c r="J5513" s="7">
        <v>0</v>
      </c>
      <c r="K5513" s="7" t="s">
        <v>18</v>
      </c>
      <c r="L5513" s="8">
        <v>39987.315405092595</v>
      </c>
      <c r="M5513" s="9" t="s">
        <v>19</v>
      </c>
      <c r="N5513" s="9" t="s">
        <v>20</v>
      </c>
      <c r="O5513" s="6" t="str">
        <f>HYPERLINK("https://pbs.twimg.com/profile_images/962471262747529216/Uo8lOkRJ_normal.jpg","View")</f>
        <v>View</v>
      </c>
      <c r="P5513" s="7"/>
    </row>
    <row r="5514" spans="1:16">
      <c r="A5514" s="3">
        <v>43951.070868055554</v>
      </c>
      <c r="B5514" s="4" t="str">
        <f>HYPERLINK("https://twitter.com/petrogustavo","@petrogustavo")</f>
        <v>@petrogustavo</v>
      </c>
      <c r="C5514" s="5" t="s">
        <v>16</v>
      </c>
      <c r="D5514" s="5" t="s">
        <v>5378</v>
      </c>
      <c r="E5514" s="6" t="str">
        <f>HYPERLINK("https://twitter.com/petrogustavo/status/1255590693751394306","1255590693751394306")</f>
        <v>1255590693751394306</v>
      </c>
      <c r="F5514" s="7" t="s">
        <v>17</v>
      </c>
      <c r="G5514" s="7">
        <v>3807380</v>
      </c>
      <c r="H5514" s="7">
        <v>2397</v>
      </c>
      <c r="I5514" s="7">
        <v>127</v>
      </c>
      <c r="J5514" s="7">
        <v>252</v>
      </c>
      <c r="K5514" s="7" t="s">
        <v>18</v>
      </c>
      <c r="L5514" s="8">
        <v>39987.315405092595</v>
      </c>
      <c r="M5514" s="9" t="s">
        <v>19</v>
      </c>
      <c r="N5514" s="9" t="s">
        <v>20</v>
      </c>
      <c r="O5514" s="6" t="str">
        <f>HYPERLINK("https://pbs.twimg.com/profile_images/962471262747529216/Uo8lOkRJ_normal.jpg","View")</f>
        <v>View</v>
      </c>
      <c r="P5514" s="7"/>
    </row>
    <row r="5515" spans="1:16">
      <c r="A5515" s="3">
        <v>43951.071759259255</v>
      </c>
      <c r="B5515" s="4" t="str">
        <f>HYPERLINK("https://twitter.com/petrogustavo","@petrogustavo")</f>
        <v>@petrogustavo</v>
      </c>
      <c r="C5515" s="5" t="s">
        <v>16</v>
      </c>
      <c r="D5515" s="5" t="s">
        <v>5379</v>
      </c>
      <c r="E5515" s="6" t="str">
        <f>HYPERLINK("https://twitter.com/petrogustavo/status/1255591016142450693","1255591016142450693")</f>
        <v>1255591016142450693</v>
      </c>
      <c r="F5515" s="7" t="s">
        <v>17</v>
      </c>
      <c r="G5515" s="7">
        <v>3807380</v>
      </c>
      <c r="H5515" s="7">
        <v>2397</v>
      </c>
      <c r="I5515" s="7">
        <v>168</v>
      </c>
      <c r="J5515" s="7">
        <v>0</v>
      </c>
      <c r="K5515" s="7" t="s">
        <v>18</v>
      </c>
      <c r="L5515" s="8">
        <v>39987.315405092595</v>
      </c>
      <c r="M5515" s="9" t="s">
        <v>19</v>
      </c>
      <c r="N5515" s="9" t="s">
        <v>20</v>
      </c>
      <c r="O5515" s="6" t="str">
        <f>HYPERLINK("https://pbs.twimg.com/profile_images/962471262747529216/Uo8lOkRJ_normal.jpg","View")</f>
        <v>View</v>
      </c>
      <c r="P5515" s="7"/>
    </row>
    <row r="5516" spans="1:16">
      <c r="A5516" s="3">
        <v>43951.077499999999</v>
      </c>
      <c r="B5516" s="4" t="str">
        <f>HYPERLINK("https://twitter.com/petrogustavo","@petrogustavo")</f>
        <v>@petrogustavo</v>
      </c>
      <c r="C5516" s="5" t="s">
        <v>16</v>
      </c>
      <c r="D5516" s="5" t="s">
        <v>5380</v>
      </c>
      <c r="E5516" s="6" t="str">
        <f>HYPERLINK("https://twitter.com/petrogustavo/status/1255593097247043585","1255593097247043585")</f>
        <v>1255593097247043585</v>
      </c>
      <c r="F5516" s="7" t="s">
        <v>17</v>
      </c>
      <c r="G5516" s="7">
        <v>3807380</v>
      </c>
      <c r="H5516" s="7">
        <v>2397</v>
      </c>
      <c r="I5516" s="7">
        <v>97</v>
      </c>
      <c r="J5516" s="7">
        <v>253</v>
      </c>
      <c r="K5516" s="7" t="s">
        <v>18</v>
      </c>
      <c r="L5516" s="8">
        <v>39987.315405092595</v>
      </c>
      <c r="M5516" s="9" t="s">
        <v>19</v>
      </c>
      <c r="N5516" s="9" t="s">
        <v>20</v>
      </c>
      <c r="O5516" s="6" t="str">
        <f>HYPERLINK("https://pbs.twimg.com/profile_images/962471262747529216/Uo8lOkRJ_normal.jpg","View")</f>
        <v>View</v>
      </c>
      <c r="P5516" s="7"/>
    </row>
    <row r="5517" spans="1:16">
      <c r="A5517" s="3">
        <v>43951.089374999996</v>
      </c>
      <c r="B5517" s="4" t="str">
        <f>HYPERLINK("https://twitter.com/petrogustavo","@petrogustavo")</f>
        <v>@petrogustavo</v>
      </c>
      <c r="C5517" s="5" t="s">
        <v>16</v>
      </c>
      <c r="D5517" s="5" t="s">
        <v>5381</v>
      </c>
      <c r="E5517" s="6" t="str">
        <f>HYPERLINK("https://twitter.com/petrogustavo/status/1255597398455455746","1255597398455455746")</f>
        <v>1255597398455455746</v>
      </c>
      <c r="F5517" s="7" t="s">
        <v>17</v>
      </c>
      <c r="G5517" s="7">
        <v>3807441</v>
      </c>
      <c r="H5517" s="7">
        <v>2397</v>
      </c>
      <c r="I5517" s="7">
        <v>2182</v>
      </c>
      <c r="J5517" s="7">
        <v>0</v>
      </c>
      <c r="K5517" s="7" t="s">
        <v>18</v>
      </c>
      <c r="L5517" s="8">
        <v>39987.315405092595</v>
      </c>
      <c r="M5517" s="9" t="s">
        <v>19</v>
      </c>
      <c r="N5517" s="9" t="s">
        <v>20</v>
      </c>
      <c r="O5517" s="6" t="str">
        <f>HYPERLINK("https://pbs.twimg.com/profile_images/962471262747529216/Uo8lOkRJ_normal.jpg","View")</f>
        <v>View</v>
      </c>
      <c r="P5517" s="7"/>
    </row>
    <row r="5518" spans="1:16">
      <c r="A5518" s="3">
        <v>43951.089432870373</v>
      </c>
      <c r="B5518" s="4" t="str">
        <f>HYPERLINK("https://twitter.com/petrogustavo","@petrogustavo")</f>
        <v>@petrogustavo</v>
      </c>
      <c r="C5518" s="5" t="s">
        <v>16</v>
      </c>
      <c r="D5518" s="5" t="s">
        <v>5382</v>
      </c>
      <c r="E5518" s="6" t="str">
        <f>HYPERLINK("https://twitter.com/petrogustavo/status/1255597420844429312","1255597420844429312")</f>
        <v>1255597420844429312</v>
      </c>
      <c r="F5518" s="7" t="s">
        <v>17</v>
      </c>
      <c r="G5518" s="7">
        <v>3807441</v>
      </c>
      <c r="H5518" s="7">
        <v>2397</v>
      </c>
      <c r="I5518" s="7">
        <v>254</v>
      </c>
      <c r="J5518" s="7">
        <v>0</v>
      </c>
      <c r="K5518" s="7" t="s">
        <v>18</v>
      </c>
      <c r="L5518" s="8">
        <v>39987.315405092595</v>
      </c>
      <c r="M5518" s="9" t="s">
        <v>19</v>
      </c>
      <c r="N5518" s="9" t="s">
        <v>20</v>
      </c>
      <c r="O5518" s="6" t="str">
        <f>HYPERLINK("https://pbs.twimg.com/profile_images/962471262747529216/Uo8lOkRJ_normal.jpg","View")</f>
        <v>View</v>
      </c>
      <c r="P5518" s="7"/>
    </row>
    <row r="5519" spans="1:16">
      <c r="A5519" s="3">
        <v>43951.092962962968</v>
      </c>
      <c r="B5519" s="4" t="str">
        <f>HYPERLINK("https://twitter.com/petrogustavo","@petrogustavo")</f>
        <v>@petrogustavo</v>
      </c>
      <c r="C5519" s="5" t="s">
        <v>16</v>
      </c>
      <c r="D5519" s="5" t="s">
        <v>5383</v>
      </c>
      <c r="E5519" s="6" t="str">
        <f>HYPERLINK("https://twitter.com/petrogustavo/status/1255598699708911616","1255598699708911616")</f>
        <v>1255598699708911616</v>
      </c>
      <c r="F5519" s="7" t="s">
        <v>17</v>
      </c>
      <c r="G5519" s="7">
        <v>3807441</v>
      </c>
      <c r="H5519" s="7">
        <v>2397</v>
      </c>
      <c r="I5519" s="7">
        <v>328</v>
      </c>
      <c r="J5519" s="7">
        <v>992</v>
      </c>
      <c r="K5519" s="7" t="s">
        <v>18</v>
      </c>
      <c r="L5519" s="8">
        <v>39987.315405092595</v>
      </c>
      <c r="M5519" s="9" t="s">
        <v>19</v>
      </c>
      <c r="N5519" s="9" t="s">
        <v>20</v>
      </c>
      <c r="O5519" s="6" t="str">
        <f>HYPERLINK("https://pbs.twimg.com/profile_images/962471262747529216/Uo8lOkRJ_normal.jpg","View")</f>
        <v>View</v>
      </c>
      <c r="P5519" s="7"/>
    </row>
    <row r="5520" spans="1:16">
      <c r="A5520" s="3">
        <v>43951.093645833331</v>
      </c>
      <c r="B5520" s="4" t="str">
        <f>HYPERLINK("https://twitter.com/petrogustavo","@petrogustavo")</f>
        <v>@petrogustavo</v>
      </c>
      <c r="C5520" s="5" t="s">
        <v>16</v>
      </c>
      <c r="D5520" s="5" t="s">
        <v>5372</v>
      </c>
      <c r="E5520" s="6" t="str">
        <f>HYPERLINK("https://twitter.com/petrogustavo/status/1255598945474162688","1255598945474162688")</f>
        <v>1255598945474162688</v>
      </c>
      <c r="F5520" s="7" t="s">
        <v>17</v>
      </c>
      <c r="G5520" s="7">
        <v>3807441</v>
      </c>
      <c r="H5520" s="7">
        <v>2397</v>
      </c>
      <c r="I5520" s="7">
        <v>613</v>
      </c>
      <c r="J5520" s="7">
        <v>0</v>
      </c>
      <c r="K5520" s="7" t="s">
        <v>18</v>
      </c>
      <c r="L5520" s="8">
        <v>39987.315405092595</v>
      </c>
      <c r="M5520" s="9" t="s">
        <v>19</v>
      </c>
      <c r="N5520" s="9" t="s">
        <v>20</v>
      </c>
      <c r="O5520" s="6" t="str">
        <f>HYPERLINK("https://pbs.twimg.com/profile_images/962471262747529216/Uo8lOkRJ_normal.jpg","View")</f>
        <v>View</v>
      </c>
      <c r="P5520" s="7"/>
    </row>
    <row r="5521" spans="1:16">
      <c r="A5521" s="3">
        <v>43951.111458333333</v>
      </c>
      <c r="B5521" s="4" t="str">
        <f>HYPERLINK("https://twitter.com/petrogustavo","@petrogustavo")</f>
        <v>@petrogustavo</v>
      </c>
      <c r="C5521" s="5" t="s">
        <v>16</v>
      </c>
      <c r="D5521" s="5" t="s">
        <v>5384</v>
      </c>
      <c r="E5521" s="6" t="str">
        <f>HYPERLINK("https://twitter.com/petrogustavo/status/1255605402135343106","1255605402135343106")</f>
        <v>1255605402135343106</v>
      </c>
      <c r="F5521" s="7" t="s">
        <v>32</v>
      </c>
      <c r="G5521" s="7">
        <v>3807501</v>
      </c>
      <c r="H5521" s="7">
        <v>2399</v>
      </c>
      <c r="I5521" s="7">
        <v>112</v>
      </c>
      <c r="J5521" s="7">
        <v>203</v>
      </c>
      <c r="K5521" s="7" t="s">
        <v>18</v>
      </c>
      <c r="L5521" s="8">
        <v>39987.315405092595</v>
      </c>
      <c r="M5521" s="9" t="s">
        <v>19</v>
      </c>
      <c r="N5521" s="9" t="s">
        <v>20</v>
      </c>
      <c r="O5521" s="6" t="str">
        <f>HYPERLINK("https://pbs.twimg.com/profile_images/962471262747529216/Uo8lOkRJ_normal.jpg","View")</f>
        <v>View</v>
      </c>
      <c r="P5521" s="7"/>
    </row>
    <row r="5522" spans="1:16">
      <c r="A5522" s="3">
        <v>43951.115057870367</v>
      </c>
      <c r="B5522" s="4" t="str">
        <f>HYPERLINK("https://twitter.com/petrogustavo","@petrogustavo")</f>
        <v>@petrogustavo</v>
      </c>
      <c r="C5522" s="5" t="s">
        <v>16</v>
      </c>
      <c r="D5522" s="5" t="s">
        <v>5385</v>
      </c>
      <c r="E5522" s="6" t="str">
        <f>HYPERLINK("https://twitter.com/petrogustavo/status/1255606704802275333","1255606704802275333")</f>
        <v>1255606704802275333</v>
      </c>
      <c r="F5522" s="7" t="s">
        <v>17</v>
      </c>
      <c r="G5522" s="7">
        <v>3807501</v>
      </c>
      <c r="H5522" s="7">
        <v>2399</v>
      </c>
      <c r="I5522" s="7">
        <v>16</v>
      </c>
      <c r="J5522" s="7">
        <v>41</v>
      </c>
      <c r="K5522" s="7" t="s">
        <v>18</v>
      </c>
      <c r="L5522" s="8">
        <v>39987.315405092595</v>
      </c>
      <c r="M5522" s="9" t="s">
        <v>19</v>
      </c>
      <c r="N5522" s="9" t="s">
        <v>20</v>
      </c>
      <c r="O5522" s="6" t="str">
        <f>HYPERLINK("https://pbs.twimg.com/profile_images/962471262747529216/Uo8lOkRJ_normal.jpg","View")</f>
        <v>View</v>
      </c>
      <c r="P5522" s="7"/>
    </row>
    <row r="5523" spans="1:16">
      <c r="A5523" s="3">
        <v>43951.124398148153</v>
      </c>
      <c r="B5523" s="4" t="str">
        <f>HYPERLINK("https://twitter.com/petrogustavo","@petrogustavo")</f>
        <v>@petrogustavo</v>
      </c>
      <c r="C5523" s="5" t="s">
        <v>16</v>
      </c>
      <c r="D5523" s="5" t="s">
        <v>5386</v>
      </c>
      <c r="E5523" s="6" t="str">
        <f>HYPERLINK("https://twitter.com/petrogustavo/status/1255610089442029569","1255610089442029569")</f>
        <v>1255610089442029569</v>
      </c>
      <c r="F5523" s="7" t="s">
        <v>17</v>
      </c>
      <c r="G5523" s="7">
        <v>3807501</v>
      </c>
      <c r="H5523" s="7">
        <v>2399</v>
      </c>
      <c r="I5523" s="7">
        <v>20</v>
      </c>
      <c r="J5523" s="7">
        <v>45</v>
      </c>
      <c r="K5523" s="7" t="s">
        <v>18</v>
      </c>
      <c r="L5523" s="8">
        <v>39987.315405092595</v>
      </c>
      <c r="M5523" s="9" t="s">
        <v>19</v>
      </c>
      <c r="N5523" s="9" t="s">
        <v>20</v>
      </c>
      <c r="O5523" s="6" t="str">
        <f>HYPERLINK("https://pbs.twimg.com/profile_images/962471262747529216/Uo8lOkRJ_normal.jpg","View")</f>
        <v>View</v>
      </c>
      <c r="P5523" s="7"/>
    </row>
    <row r="5524" spans="1:16">
      <c r="A5524" s="3">
        <v>43951.126643518517</v>
      </c>
      <c r="B5524" s="4" t="str">
        <f>HYPERLINK("https://twitter.com/petrogustavo","@petrogustavo")</f>
        <v>@petrogustavo</v>
      </c>
      <c r="C5524" s="5" t="s">
        <v>16</v>
      </c>
      <c r="D5524" s="5" t="s">
        <v>5387</v>
      </c>
      <c r="E5524" s="6" t="str">
        <f>HYPERLINK("https://twitter.com/petrogustavo/status/1255610904265330688","1255610904265330688")</f>
        <v>1255610904265330688</v>
      </c>
      <c r="F5524" s="7" t="s">
        <v>17</v>
      </c>
      <c r="G5524" s="7">
        <v>3807501</v>
      </c>
      <c r="H5524" s="7">
        <v>2399</v>
      </c>
      <c r="I5524" s="7">
        <v>112</v>
      </c>
      <c r="J5524" s="7">
        <v>0</v>
      </c>
      <c r="K5524" s="7" t="s">
        <v>18</v>
      </c>
      <c r="L5524" s="8">
        <v>39987.315405092595</v>
      </c>
      <c r="M5524" s="9" t="s">
        <v>19</v>
      </c>
      <c r="N5524" s="9" t="s">
        <v>20</v>
      </c>
      <c r="O5524" s="6" t="str">
        <f>HYPERLINK("https://pbs.twimg.com/profile_images/962471262747529216/Uo8lOkRJ_normal.jpg","View")</f>
        <v>View</v>
      </c>
      <c r="P5524" s="7"/>
    </row>
    <row r="5525" spans="1:16">
      <c r="A5525" s="3">
        <v>43951.189085648148</v>
      </c>
      <c r="B5525" s="4" t="str">
        <f>HYPERLINK("https://twitter.com/petrogustavo","@petrogustavo")</f>
        <v>@petrogustavo</v>
      </c>
      <c r="C5525" s="5" t="s">
        <v>16</v>
      </c>
      <c r="D5525" s="5" t="s">
        <v>5388</v>
      </c>
      <c r="E5525" s="6" t="str">
        <f>HYPERLINK("https://twitter.com/petrogustavo/status/1255633531126067200","1255633531126067200")</f>
        <v>1255633531126067200</v>
      </c>
      <c r="F5525" s="7" t="s">
        <v>17</v>
      </c>
      <c r="G5525" s="7">
        <v>3807680</v>
      </c>
      <c r="H5525" s="7">
        <v>2399</v>
      </c>
      <c r="I5525" s="7">
        <v>656</v>
      </c>
      <c r="J5525" s="7">
        <v>0</v>
      </c>
      <c r="K5525" s="7" t="s">
        <v>18</v>
      </c>
      <c r="L5525" s="8">
        <v>39987.315405092595</v>
      </c>
      <c r="M5525" s="9" t="s">
        <v>19</v>
      </c>
      <c r="N5525" s="9" t="s">
        <v>20</v>
      </c>
      <c r="O5525" s="6" t="str">
        <f>HYPERLINK("https://pbs.twimg.com/profile_images/962471262747529216/Uo8lOkRJ_normal.jpg","View")</f>
        <v>View</v>
      </c>
      <c r="P5525" s="7"/>
    </row>
    <row r="5526" spans="1:16">
      <c r="A5526" s="3">
        <v>43951.189687499995</v>
      </c>
      <c r="B5526" s="4" t="str">
        <f>HYPERLINK("https://twitter.com/petrogustavo","@petrogustavo")</f>
        <v>@petrogustavo</v>
      </c>
      <c r="C5526" s="5" t="s">
        <v>16</v>
      </c>
      <c r="D5526" s="5" t="s">
        <v>5389</v>
      </c>
      <c r="E5526" s="6" t="str">
        <f>HYPERLINK("https://twitter.com/petrogustavo/status/1255633750668558343","1255633750668558343")</f>
        <v>1255633750668558343</v>
      </c>
      <c r="F5526" s="7" t="s">
        <v>17</v>
      </c>
      <c r="G5526" s="7">
        <v>3807737</v>
      </c>
      <c r="H5526" s="7">
        <v>2399</v>
      </c>
      <c r="I5526" s="7">
        <v>92</v>
      </c>
      <c r="J5526" s="7">
        <v>0</v>
      </c>
      <c r="K5526" s="7" t="s">
        <v>18</v>
      </c>
      <c r="L5526" s="8">
        <v>39987.315405092595</v>
      </c>
      <c r="M5526" s="9" t="s">
        <v>19</v>
      </c>
      <c r="N5526" s="9" t="s">
        <v>20</v>
      </c>
      <c r="O5526" s="6" t="str">
        <f>HYPERLINK("https://pbs.twimg.com/profile_images/962471262747529216/Uo8lOkRJ_normal.jpg","View")</f>
        <v>View</v>
      </c>
      <c r="P5526" s="7"/>
    </row>
    <row r="5527" spans="1:16">
      <c r="A5527" s="3">
        <v>43951.197685185187</v>
      </c>
      <c r="B5527" s="4" t="str">
        <f>HYPERLINK("https://twitter.com/petrogustavo","@petrogustavo")</f>
        <v>@petrogustavo</v>
      </c>
      <c r="C5527" s="5" t="s">
        <v>16</v>
      </c>
      <c r="D5527" s="5" t="s">
        <v>5390</v>
      </c>
      <c r="E5527" s="6" t="str">
        <f>HYPERLINK("https://twitter.com/petrogustavo/status/1255636650027294720","1255636650027294720")</f>
        <v>1255636650027294720</v>
      </c>
      <c r="F5527" s="7" t="s">
        <v>17</v>
      </c>
      <c r="G5527" s="7">
        <v>3807737</v>
      </c>
      <c r="H5527" s="7">
        <v>2399</v>
      </c>
      <c r="I5527" s="7">
        <v>232</v>
      </c>
      <c r="J5527" s="7">
        <v>0</v>
      </c>
      <c r="K5527" s="7" t="s">
        <v>18</v>
      </c>
      <c r="L5527" s="8">
        <v>39987.315405092595</v>
      </c>
      <c r="M5527" s="9" t="s">
        <v>19</v>
      </c>
      <c r="N5527" s="9" t="s">
        <v>20</v>
      </c>
      <c r="O5527" s="6" t="str">
        <f>HYPERLINK("https://pbs.twimg.com/profile_images/962471262747529216/Uo8lOkRJ_normal.jpg","View")</f>
        <v>View</v>
      </c>
      <c r="P5527" s="7"/>
    </row>
    <row r="5528" spans="1:16">
      <c r="A5528" s="3">
        <v>43951.199166666665</v>
      </c>
      <c r="B5528" s="4" t="str">
        <f>HYPERLINK("https://twitter.com/petrogustavo","@petrogustavo")</f>
        <v>@petrogustavo</v>
      </c>
      <c r="C5528" s="5" t="s">
        <v>16</v>
      </c>
      <c r="D5528" s="5" t="s">
        <v>5391</v>
      </c>
      <c r="E5528" s="6" t="str">
        <f>HYPERLINK("https://twitter.com/petrogustavo/status/1255637186566934528","1255637186566934528")</f>
        <v>1255637186566934528</v>
      </c>
      <c r="F5528" s="7" t="s">
        <v>17</v>
      </c>
      <c r="G5528" s="7">
        <v>3807737</v>
      </c>
      <c r="H5528" s="7">
        <v>2399</v>
      </c>
      <c r="I5528" s="7">
        <v>46</v>
      </c>
      <c r="J5528" s="7">
        <v>0</v>
      </c>
      <c r="K5528" s="7" t="s">
        <v>18</v>
      </c>
      <c r="L5528" s="8">
        <v>39987.315405092595</v>
      </c>
      <c r="M5528" s="9" t="s">
        <v>19</v>
      </c>
      <c r="N5528" s="9" t="s">
        <v>20</v>
      </c>
      <c r="O5528" s="6" t="str">
        <f>HYPERLINK("https://pbs.twimg.com/profile_images/962471262747529216/Uo8lOkRJ_normal.jpg","View")</f>
        <v>View</v>
      </c>
      <c r="P5528" s="7"/>
    </row>
    <row r="5529" spans="1:16">
      <c r="A5529" s="3">
        <v>43951.214722222227</v>
      </c>
      <c r="B5529" s="4" t="str">
        <f>HYPERLINK("https://twitter.com/petrogustavo","@petrogustavo")</f>
        <v>@petrogustavo</v>
      </c>
      <c r="C5529" s="5" t="s">
        <v>16</v>
      </c>
      <c r="D5529" s="5" t="s">
        <v>5392</v>
      </c>
      <c r="E5529" s="6" t="str">
        <f>HYPERLINK("https://twitter.com/petrogustavo/status/1255642825020116992","1255642825020116992")</f>
        <v>1255642825020116992</v>
      </c>
      <c r="F5529" s="7" t="s">
        <v>17</v>
      </c>
      <c r="G5529" s="7">
        <v>3807792</v>
      </c>
      <c r="H5529" s="7">
        <v>2399</v>
      </c>
      <c r="I5529" s="7">
        <v>71</v>
      </c>
      <c r="J5529" s="7">
        <v>0</v>
      </c>
      <c r="K5529" s="7" t="s">
        <v>18</v>
      </c>
      <c r="L5529" s="8">
        <v>39987.315405092595</v>
      </c>
      <c r="M5529" s="9" t="s">
        <v>19</v>
      </c>
      <c r="N5529" s="9" t="s">
        <v>20</v>
      </c>
      <c r="O5529" s="6" t="str">
        <f>HYPERLINK("https://pbs.twimg.com/profile_images/962471262747529216/Uo8lOkRJ_normal.jpg","View")</f>
        <v>View</v>
      </c>
      <c r="P5529" s="7"/>
    </row>
    <row r="5530" spans="1:16">
      <c r="A5530" s="3">
        <v>43951.245092592595</v>
      </c>
      <c r="B5530" s="4" t="str">
        <f>HYPERLINK("https://twitter.com/petrogustavo","@petrogustavo")</f>
        <v>@petrogustavo</v>
      </c>
      <c r="C5530" s="5" t="s">
        <v>16</v>
      </c>
      <c r="D5530" s="5" t="s">
        <v>5393</v>
      </c>
      <c r="E5530" s="6" t="str">
        <f>HYPERLINK("https://twitter.com/petrogustavo/status/1255653829770649600","1255653829770649600")</f>
        <v>1255653829770649600</v>
      </c>
      <c r="F5530" s="7" t="s">
        <v>17</v>
      </c>
      <c r="G5530" s="7">
        <v>3807840</v>
      </c>
      <c r="H5530" s="7">
        <v>2399</v>
      </c>
      <c r="I5530" s="7">
        <v>60</v>
      </c>
      <c r="J5530" s="7">
        <v>0</v>
      </c>
      <c r="K5530" s="7" t="s">
        <v>18</v>
      </c>
      <c r="L5530" s="8">
        <v>39987.315405092595</v>
      </c>
      <c r="M5530" s="9" t="s">
        <v>19</v>
      </c>
      <c r="N5530" s="9" t="s">
        <v>20</v>
      </c>
      <c r="O5530" s="6" t="str">
        <f>HYPERLINK("https://pbs.twimg.com/profile_images/962471262747529216/Uo8lOkRJ_normal.jpg","View")</f>
        <v>View</v>
      </c>
      <c r="P5530" s="7"/>
    </row>
    <row r="5531" spans="1:16">
      <c r="A5531" s="3">
        <v>43951.251666666663</v>
      </c>
      <c r="B5531" s="4" t="str">
        <f>HYPERLINK("https://twitter.com/petrogustavo","@petrogustavo")</f>
        <v>@petrogustavo</v>
      </c>
      <c r="C5531" s="5" t="s">
        <v>16</v>
      </c>
      <c r="D5531" s="5" t="s">
        <v>5394</v>
      </c>
      <c r="E5531" s="6" t="str">
        <f>HYPERLINK("https://twitter.com/petrogustavo/status/1255656211795632129","1255656211795632129")</f>
        <v>1255656211795632129</v>
      </c>
      <c r="F5531" s="7" t="s">
        <v>17</v>
      </c>
      <c r="G5531" s="7">
        <v>3807903</v>
      </c>
      <c r="H5531" s="7">
        <v>2399</v>
      </c>
      <c r="I5531" s="7">
        <v>230</v>
      </c>
      <c r="J5531" s="7">
        <v>537</v>
      </c>
      <c r="K5531" s="7" t="s">
        <v>18</v>
      </c>
      <c r="L5531" s="8">
        <v>39987.315405092595</v>
      </c>
      <c r="M5531" s="9" t="s">
        <v>19</v>
      </c>
      <c r="N5531" s="9" t="s">
        <v>20</v>
      </c>
      <c r="O5531" s="6" t="str">
        <f>HYPERLINK("https://pbs.twimg.com/profile_images/962471262747529216/Uo8lOkRJ_normal.jpg","View")</f>
        <v>View</v>
      </c>
      <c r="P5531" s="7"/>
    </row>
    <row r="5532" spans="1:16">
      <c r="A5532" s="3">
        <v>43951.277974537035</v>
      </c>
      <c r="B5532" s="4" t="str">
        <f>HYPERLINK("https://twitter.com/petrogustavo","@petrogustavo")</f>
        <v>@petrogustavo</v>
      </c>
      <c r="C5532" s="5" t="s">
        <v>16</v>
      </c>
      <c r="D5532" s="5" t="s">
        <v>5395</v>
      </c>
      <c r="E5532" s="6" t="str">
        <f>HYPERLINK("https://twitter.com/petrogustavo/status/1255665745654095872","1255665745654095872")</f>
        <v>1255665745654095872</v>
      </c>
      <c r="F5532" s="7" t="s">
        <v>17</v>
      </c>
      <c r="G5532" s="7">
        <v>3807966</v>
      </c>
      <c r="H5532" s="7">
        <v>2399</v>
      </c>
      <c r="I5532" s="7">
        <v>30</v>
      </c>
      <c r="J5532" s="7">
        <v>0</v>
      </c>
      <c r="K5532" s="7" t="s">
        <v>18</v>
      </c>
      <c r="L5532" s="8">
        <v>39987.315405092595</v>
      </c>
      <c r="M5532" s="9" t="s">
        <v>19</v>
      </c>
      <c r="N5532" s="9" t="s">
        <v>20</v>
      </c>
      <c r="O5532" s="6" t="str">
        <f>HYPERLINK("https://pbs.twimg.com/profile_images/962471262747529216/Uo8lOkRJ_normal.jpg","View")</f>
        <v>View</v>
      </c>
      <c r="P5532" s="7"/>
    </row>
    <row r="5533" spans="1:16">
      <c r="A5533" s="3">
        <v>43951.278067129635</v>
      </c>
      <c r="B5533" s="4" t="str">
        <f>HYPERLINK("https://twitter.com/petrogustavo","@petrogustavo")</f>
        <v>@petrogustavo</v>
      </c>
      <c r="C5533" s="5" t="s">
        <v>16</v>
      </c>
      <c r="D5533" s="5" t="s">
        <v>5396</v>
      </c>
      <c r="E5533" s="6" t="str">
        <f>HYPERLINK("https://twitter.com/petrogustavo/status/1255665780408176642","1255665780408176642")</f>
        <v>1255665780408176642</v>
      </c>
      <c r="F5533" s="7" t="s">
        <v>17</v>
      </c>
      <c r="G5533" s="7">
        <v>3807966</v>
      </c>
      <c r="H5533" s="7">
        <v>2399</v>
      </c>
      <c r="I5533" s="7">
        <v>27</v>
      </c>
      <c r="J5533" s="7">
        <v>0</v>
      </c>
      <c r="K5533" s="7" t="s">
        <v>18</v>
      </c>
      <c r="L5533" s="8">
        <v>39987.315405092595</v>
      </c>
      <c r="M5533" s="9" t="s">
        <v>19</v>
      </c>
      <c r="N5533" s="9" t="s">
        <v>20</v>
      </c>
      <c r="O5533" s="6" t="str">
        <f>HYPERLINK("https://pbs.twimg.com/profile_images/962471262747529216/Uo8lOkRJ_normal.jpg","View")</f>
        <v>View</v>
      </c>
      <c r="P5533" s="7"/>
    </row>
    <row r="5534" spans="1:16">
      <c r="A5534" s="3">
        <v>43951.278344907405</v>
      </c>
      <c r="B5534" s="4" t="str">
        <f>HYPERLINK("https://twitter.com/petrogustavo","@petrogustavo")</f>
        <v>@petrogustavo</v>
      </c>
      <c r="C5534" s="5" t="s">
        <v>16</v>
      </c>
      <c r="D5534" s="5" t="s">
        <v>5397</v>
      </c>
      <c r="E5534" s="6" t="str">
        <f>HYPERLINK("https://twitter.com/petrogustavo/status/1255665879167221760","1255665879167221760")</f>
        <v>1255665879167221760</v>
      </c>
      <c r="F5534" s="7" t="s">
        <v>17</v>
      </c>
      <c r="G5534" s="7">
        <v>3807966</v>
      </c>
      <c r="H5534" s="7">
        <v>2399</v>
      </c>
      <c r="I5534" s="7">
        <v>33</v>
      </c>
      <c r="J5534" s="7">
        <v>0</v>
      </c>
      <c r="K5534" s="7" t="s">
        <v>18</v>
      </c>
      <c r="L5534" s="8">
        <v>39987.315405092595</v>
      </c>
      <c r="M5534" s="9" t="s">
        <v>19</v>
      </c>
      <c r="N5534" s="9" t="s">
        <v>20</v>
      </c>
      <c r="O5534" s="6" t="str">
        <f>HYPERLINK("https://pbs.twimg.com/profile_images/962471262747529216/Uo8lOkRJ_normal.jpg","View")</f>
        <v>View</v>
      </c>
      <c r="P5534" s="7"/>
    </row>
    <row r="5535" spans="1:16">
      <c r="A5535" s="3">
        <v>43951.283067129625</v>
      </c>
      <c r="B5535" s="4" t="str">
        <f>HYPERLINK("https://twitter.com/petrogustavo","@petrogustavo")</f>
        <v>@petrogustavo</v>
      </c>
      <c r="C5535" s="5" t="s">
        <v>16</v>
      </c>
      <c r="D5535" s="5" t="s">
        <v>5398</v>
      </c>
      <c r="E5535" s="6" t="str">
        <f>HYPERLINK("https://twitter.com/petrogustavo/status/1255667589826707458","1255667589826707458")</f>
        <v>1255667589826707458</v>
      </c>
      <c r="F5535" s="7" t="s">
        <v>17</v>
      </c>
      <c r="G5535" s="7">
        <v>3807966</v>
      </c>
      <c r="H5535" s="7">
        <v>2399</v>
      </c>
      <c r="I5535" s="7">
        <v>94</v>
      </c>
      <c r="J5535" s="7">
        <v>255</v>
      </c>
      <c r="K5535" s="7" t="s">
        <v>18</v>
      </c>
      <c r="L5535" s="8">
        <v>39987.315405092595</v>
      </c>
      <c r="M5535" s="9" t="s">
        <v>19</v>
      </c>
      <c r="N5535" s="9" t="s">
        <v>20</v>
      </c>
      <c r="O5535" s="6" t="str">
        <f>HYPERLINK("https://pbs.twimg.com/profile_images/962471262747529216/Uo8lOkRJ_normal.jpg","View")</f>
        <v>View</v>
      </c>
      <c r="P5535" s="7"/>
    </row>
    <row r="5536" spans="1:16">
      <c r="A5536" s="3">
        <v>43951.305983796294</v>
      </c>
      <c r="B5536" s="4" t="str">
        <f>HYPERLINK("https://twitter.com/petrogustavo","@petrogustavo")</f>
        <v>@petrogustavo</v>
      </c>
      <c r="C5536" s="5" t="s">
        <v>16</v>
      </c>
      <c r="D5536" s="5" t="s">
        <v>5399</v>
      </c>
      <c r="E5536" s="6" t="str">
        <f>HYPERLINK("https://twitter.com/petrogustavo/status/1255675893990768641","1255675893990768641")</f>
        <v>1255675893990768641</v>
      </c>
      <c r="F5536" s="7" t="s">
        <v>17</v>
      </c>
      <c r="G5536" s="7">
        <v>3808020</v>
      </c>
      <c r="H5536" s="7">
        <v>2399</v>
      </c>
      <c r="I5536" s="7">
        <v>74</v>
      </c>
      <c r="J5536" s="7">
        <v>198</v>
      </c>
      <c r="K5536" s="7" t="s">
        <v>18</v>
      </c>
      <c r="L5536" s="8">
        <v>39987.315405092595</v>
      </c>
      <c r="M5536" s="9" t="s">
        <v>19</v>
      </c>
      <c r="N5536" s="9" t="s">
        <v>20</v>
      </c>
      <c r="O5536" s="6" t="str">
        <f>HYPERLINK("https://pbs.twimg.com/profile_images/962471262747529216/Uo8lOkRJ_normal.jpg","View")</f>
        <v>View</v>
      </c>
      <c r="P5536" s="7"/>
    </row>
    <row r="5537" spans="1:16">
      <c r="A5537" s="3">
        <v>43951.307372685187</v>
      </c>
      <c r="B5537" s="4" t="str">
        <f>HYPERLINK("https://twitter.com/petrogustavo","@petrogustavo")</f>
        <v>@petrogustavo</v>
      </c>
      <c r="C5537" s="5" t="s">
        <v>16</v>
      </c>
      <c r="D5537" s="5" t="s">
        <v>5400</v>
      </c>
      <c r="E5537" s="6" t="str">
        <f>HYPERLINK("https://twitter.com/petrogustavo/status/1255676397957283841","1255676397957283841")</f>
        <v>1255676397957283841</v>
      </c>
      <c r="F5537" s="7" t="s">
        <v>17</v>
      </c>
      <c r="G5537" s="7">
        <v>3808020</v>
      </c>
      <c r="H5537" s="7">
        <v>2399</v>
      </c>
      <c r="I5537" s="7">
        <v>19</v>
      </c>
      <c r="J5537" s="7">
        <v>78</v>
      </c>
      <c r="K5537" s="7" t="s">
        <v>18</v>
      </c>
      <c r="L5537" s="8">
        <v>39987.315405092595</v>
      </c>
      <c r="M5537" s="9" t="s">
        <v>19</v>
      </c>
      <c r="N5537" s="9" t="s">
        <v>20</v>
      </c>
      <c r="O5537" s="6" t="str">
        <f>HYPERLINK("https://pbs.twimg.com/profile_images/962471262747529216/Uo8lOkRJ_normal.jpg","View")</f>
        <v>View</v>
      </c>
      <c r="P5537" s="7"/>
    </row>
    <row r="5538" spans="1:16">
      <c r="A5538" s="3">
        <v>43951.702152777776</v>
      </c>
      <c r="B5538" s="4" t="str">
        <f>HYPERLINK("https://twitter.com/petrogustavo","@petrogustavo")</f>
        <v>@petrogustavo</v>
      </c>
      <c r="C5538" s="5" t="s">
        <v>16</v>
      </c>
      <c r="D5538" s="5" t="s">
        <v>5401</v>
      </c>
      <c r="E5538" s="6" t="str">
        <f>HYPERLINK("https://twitter.com/petrogustavo/status/1255819463783583747","1255819463783583747")</f>
        <v>1255819463783583747</v>
      </c>
      <c r="F5538" s="7" t="s">
        <v>17</v>
      </c>
      <c r="G5538" s="7">
        <v>3808481</v>
      </c>
      <c r="H5538" s="7">
        <v>2399</v>
      </c>
      <c r="I5538" s="7">
        <v>109</v>
      </c>
      <c r="J5538" s="7">
        <v>164</v>
      </c>
      <c r="K5538" s="7" t="s">
        <v>18</v>
      </c>
      <c r="L5538" s="8">
        <v>39987.315405092595</v>
      </c>
      <c r="M5538" s="9" t="s">
        <v>19</v>
      </c>
      <c r="N5538" s="9" t="s">
        <v>20</v>
      </c>
      <c r="O5538" s="6" t="str">
        <f>HYPERLINK("https://pbs.twimg.com/profile_images/962471262747529216/Uo8lOkRJ_normal.jpg","View")</f>
        <v>View</v>
      </c>
      <c r="P5538" s="7"/>
    </row>
    <row r="5539" spans="1:16">
      <c r="A5539" s="3">
        <v>43951.728055555555</v>
      </c>
      <c r="B5539" s="4" t="str">
        <f>HYPERLINK("https://twitter.com/petrogustavo","@petrogustavo")</f>
        <v>@petrogustavo</v>
      </c>
      <c r="C5539" s="5" t="s">
        <v>16</v>
      </c>
      <c r="D5539" s="5" t="s">
        <v>5402</v>
      </c>
      <c r="E5539" s="6" t="str">
        <f>HYPERLINK("https://twitter.com/petrogustavo/status/1255828849826443272","1255828849826443272")</f>
        <v>1255828849826443272</v>
      </c>
      <c r="F5539" s="7" t="s">
        <v>17</v>
      </c>
      <c r="G5539" s="7">
        <v>3808526</v>
      </c>
      <c r="H5539" s="7">
        <v>2399</v>
      </c>
      <c r="I5539" s="7">
        <v>25</v>
      </c>
      <c r="J5539" s="7">
        <v>44</v>
      </c>
      <c r="K5539" s="7" t="s">
        <v>18</v>
      </c>
      <c r="L5539" s="8">
        <v>39987.315405092595</v>
      </c>
      <c r="M5539" s="9" t="s">
        <v>19</v>
      </c>
      <c r="N5539" s="9" t="s">
        <v>20</v>
      </c>
      <c r="O5539" s="6" t="str">
        <f>HYPERLINK("https://pbs.twimg.com/profile_images/962471262747529216/Uo8lOkRJ_normal.jpg","View")</f>
        <v>View</v>
      </c>
      <c r="P5539" s="7"/>
    </row>
    <row r="5540" spans="1:16">
      <c r="A5540" s="3">
        <v>43951.730312500003</v>
      </c>
      <c r="B5540" s="4" t="str">
        <f>HYPERLINK("https://twitter.com/petrogustavo","@petrogustavo")</f>
        <v>@petrogustavo</v>
      </c>
      <c r="C5540" s="5" t="s">
        <v>16</v>
      </c>
      <c r="D5540" s="5" t="s">
        <v>5403</v>
      </c>
      <c r="E5540" s="6" t="str">
        <f>HYPERLINK("https://twitter.com/petrogustavo/status/1255829665991753729","1255829665991753729")</f>
        <v>1255829665991753729</v>
      </c>
      <c r="F5540" s="7" t="s">
        <v>17</v>
      </c>
      <c r="G5540" s="7">
        <v>3808526</v>
      </c>
      <c r="H5540" s="7">
        <v>2399</v>
      </c>
      <c r="I5540" s="7">
        <v>8</v>
      </c>
      <c r="J5540" s="7">
        <v>8</v>
      </c>
      <c r="K5540" s="7" t="s">
        <v>18</v>
      </c>
      <c r="L5540" s="8">
        <v>39987.315405092595</v>
      </c>
      <c r="M5540" s="9" t="s">
        <v>19</v>
      </c>
      <c r="N5540" s="9" t="s">
        <v>20</v>
      </c>
      <c r="O5540" s="6" t="str">
        <f>HYPERLINK("https://pbs.twimg.com/profile_images/962471262747529216/Uo8lOkRJ_normal.jpg","View")</f>
        <v>View</v>
      </c>
      <c r="P5540" s="7"/>
    </row>
    <row r="5541" spans="1:16">
      <c r="A5541" s="3">
        <v>43951.739479166667</v>
      </c>
      <c r="B5541" s="4" t="str">
        <f>HYPERLINK("https://twitter.com/petrogustavo","@petrogustavo")</f>
        <v>@petrogustavo</v>
      </c>
      <c r="C5541" s="5" t="s">
        <v>16</v>
      </c>
      <c r="D5541" s="5" t="s">
        <v>5382</v>
      </c>
      <c r="E5541" s="6" t="str">
        <f>HYPERLINK("https://twitter.com/petrogustavo/status/1255832988476223494","1255832988476223494")</f>
        <v>1255832988476223494</v>
      </c>
      <c r="F5541" s="7" t="s">
        <v>17</v>
      </c>
      <c r="G5541" s="7">
        <v>3808568</v>
      </c>
      <c r="H5541" s="7">
        <v>2399</v>
      </c>
      <c r="I5541" s="7">
        <v>1215</v>
      </c>
      <c r="J5541" s="7">
        <v>0</v>
      </c>
      <c r="K5541" s="7" t="s">
        <v>18</v>
      </c>
      <c r="L5541" s="8">
        <v>39987.315405092595</v>
      </c>
      <c r="M5541" s="9" t="s">
        <v>19</v>
      </c>
      <c r="N5541" s="9" t="s">
        <v>20</v>
      </c>
      <c r="O5541" s="6" t="str">
        <f>HYPERLINK("https://pbs.twimg.com/profile_images/962471262747529216/Uo8lOkRJ_normal.jpg","View")</f>
        <v>View</v>
      </c>
      <c r="P5541" s="7"/>
    </row>
    <row r="5542" spans="1:16">
      <c r="A5542" s="3">
        <v>43951.845289351855</v>
      </c>
      <c r="B5542" s="4" t="str">
        <f>HYPERLINK("https://twitter.com/petrogustavo","@petrogustavo")</f>
        <v>@petrogustavo</v>
      </c>
      <c r="C5542" s="5" t="s">
        <v>16</v>
      </c>
      <c r="D5542" s="5" t="s">
        <v>5404</v>
      </c>
      <c r="E5542" s="6" t="str">
        <f>HYPERLINK("https://twitter.com/petrogustavo/status/1255871332480401411","1255871332480401411")</f>
        <v>1255871332480401411</v>
      </c>
      <c r="F5542" s="7" t="s">
        <v>17</v>
      </c>
      <c r="G5542" s="7">
        <v>3808813</v>
      </c>
      <c r="H5542" s="7">
        <v>2399</v>
      </c>
      <c r="I5542" s="7">
        <v>171</v>
      </c>
      <c r="J5542" s="7">
        <v>0</v>
      </c>
      <c r="K5542" s="7" t="s">
        <v>18</v>
      </c>
      <c r="L5542" s="8">
        <v>39987.315405092595</v>
      </c>
      <c r="M5542" s="9" t="s">
        <v>19</v>
      </c>
      <c r="N5542" s="9" t="s">
        <v>20</v>
      </c>
      <c r="O5542" s="6" t="str">
        <f>HYPERLINK("https://pbs.twimg.com/profile_images/962471262747529216/Uo8lOkRJ_normal.jpg","View")</f>
        <v>View</v>
      </c>
      <c r="P5542" s="7"/>
    </row>
    <row r="5543" spans="1:16">
      <c r="A5543" s="3">
        <v>43951.84679398148</v>
      </c>
      <c r="B5543" s="4" t="str">
        <f>HYPERLINK("https://twitter.com/petrogustavo","@petrogustavo")</f>
        <v>@petrogustavo</v>
      </c>
      <c r="C5543" s="5" t="s">
        <v>16</v>
      </c>
      <c r="D5543" s="5" t="s">
        <v>5405</v>
      </c>
      <c r="E5543" s="6" t="str">
        <f>HYPERLINK("https://twitter.com/petrogustavo/status/1255871880373964801","1255871880373964801")</f>
        <v>1255871880373964801</v>
      </c>
      <c r="F5543" s="7" t="s">
        <v>17</v>
      </c>
      <c r="G5543" s="7">
        <v>3808813</v>
      </c>
      <c r="H5543" s="7">
        <v>2399</v>
      </c>
      <c r="I5543" s="7">
        <v>36</v>
      </c>
      <c r="J5543" s="7">
        <v>0</v>
      </c>
      <c r="K5543" s="7" t="s">
        <v>18</v>
      </c>
      <c r="L5543" s="8">
        <v>39987.315405092595</v>
      </c>
      <c r="M5543" s="9" t="s">
        <v>19</v>
      </c>
      <c r="N5543" s="9" t="s">
        <v>20</v>
      </c>
      <c r="O5543" s="6" t="str">
        <f>HYPERLINK("https://pbs.twimg.com/profile_images/962471262747529216/Uo8lOkRJ_normal.jpg","View")</f>
        <v>View</v>
      </c>
      <c r="P5543" s="7"/>
    </row>
    <row r="5544" spans="1:16">
      <c r="A5544" s="3">
        <v>43951.856388888889</v>
      </c>
      <c r="B5544" s="4" t="str">
        <f>HYPERLINK("https://twitter.com/petrogustavo","@petrogustavo")</f>
        <v>@petrogustavo</v>
      </c>
      <c r="C5544" s="5" t="s">
        <v>16</v>
      </c>
      <c r="D5544" s="5" t="s">
        <v>5406</v>
      </c>
      <c r="E5544" s="6" t="str">
        <f>HYPERLINK("https://twitter.com/petrogustavo/status/1255875357124763652","1255875357124763652")</f>
        <v>1255875357124763652</v>
      </c>
      <c r="F5544" s="7" t="s">
        <v>21</v>
      </c>
      <c r="G5544" s="7">
        <v>3808861</v>
      </c>
      <c r="H5544" s="7">
        <v>2399</v>
      </c>
      <c r="I5544" s="7">
        <v>139</v>
      </c>
      <c r="J5544" s="7">
        <v>310</v>
      </c>
      <c r="K5544" s="7" t="s">
        <v>18</v>
      </c>
      <c r="L5544" s="8">
        <v>39987.315405092595</v>
      </c>
      <c r="M5544" s="9" t="s">
        <v>19</v>
      </c>
      <c r="N5544" s="9" t="s">
        <v>20</v>
      </c>
      <c r="O5544" s="6" t="str">
        <f>HYPERLINK("https://pbs.twimg.com/profile_images/962471262747529216/Uo8lOkRJ_normal.jpg","View")</f>
        <v>View</v>
      </c>
      <c r="P5544" s="7"/>
    </row>
    <row r="5545" spans="1:16">
      <c r="A5545" s="3">
        <v>43951.859201388885</v>
      </c>
      <c r="B5545" s="4" t="str">
        <f>HYPERLINK("https://twitter.com/petrogustavo","@petrogustavo")</f>
        <v>@petrogustavo</v>
      </c>
      <c r="C5545" s="5" t="s">
        <v>16</v>
      </c>
      <c r="D5545" s="5" t="s">
        <v>5407</v>
      </c>
      <c r="E5545" s="6" t="str">
        <f>HYPERLINK("https://twitter.com/petrogustavo/status/1255876375510159362","1255876375510159362")</f>
        <v>1255876375510159362</v>
      </c>
      <c r="F5545" s="7" t="s">
        <v>21</v>
      </c>
      <c r="G5545" s="7">
        <v>3808861</v>
      </c>
      <c r="H5545" s="7">
        <v>2399</v>
      </c>
      <c r="I5545" s="7">
        <v>68</v>
      </c>
      <c r="J5545" s="7">
        <v>173</v>
      </c>
      <c r="K5545" s="7" t="s">
        <v>18</v>
      </c>
      <c r="L5545" s="8">
        <v>39987.315405092595</v>
      </c>
      <c r="M5545" s="9" t="s">
        <v>19</v>
      </c>
      <c r="N5545" s="9" t="s">
        <v>20</v>
      </c>
      <c r="O5545" s="6" t="str">
        <f>HYPERLINK("https://pbs.twimg.com/profile_images/962471262747529216/Uo8lOkRJ_normal.jpg","View")</f>
        <v>View</v>
      </c>
      <c r="P5545" s="7"/>
    </row>
    <row r="5546" spans="1:16">
      <c r="A5546" s="3">
        <v>43951.932754629626</v>
      </c>
      <c r="B5546" s="4" t="str">
        <f>HYPERLINK("https://twitter.com/petrogustavo","@petrogustavo")</f>
        <v>@petrogustavo</v>
      </c>
      <c r="C5546" s="5" t="s">
        <v>16</v>
      </c>
      <c r="D5546" s="5" t="s">
        <v>5408</v>
      </c>
      <c r="E5546" s="6" t="str">
        <f>HYPERLINK("https://twitter.com/petrogustavo/status/1255903030412795908","1255903030412795908")</f>
        <v>1255903030412795908</v>
      </c>
      <c r="F5546" s="7" t="s">
        <v>17</v>
      </c>
      <c r="G5546" s="7">
        <v>3808952</v>
      </c>
      <c r="H5546" s="7">
        <v>2399</v>
      </c>
      <c r="I5546" s="7">
        <v>10</v>
      </c>
      <c r="J5546" s="7">
        <v>0</v>
      </c>
      <c r="K5546" s="7" t="s">
        <v>18</v>
      </c>
      <c r="L5546" s="8">
        <v>39987.315405092595</v>
      </c>
      <c r="M5546" s="9" t="s">
        <v>19</v>
      </c>
      <c r="N5546" s="9" t="s">
        <v>20</v>
      </c>
      <c r="O5546" s="6" t="str">
        <f>HYPERLINK("https://pbs.twimg.com/profile_images/962471262747529216/Uo8lOkRJ_normal.jpg","View")</f>
        <v>View</v>
      </c>
      <c r="P5546" s="7"/>
    </row>
    <row r="5547" spans="1:16">
      <c r="A5547" s="3">
        <v>43951.933472222227</v>
      </c>
      <c r="B5547" s="4" t="str">
        <f>HYPERLINK("https://twitter.com/petrogustavo","@petrogustavo")</f>
        <v>@petrogustavo</v>
      </c>
      <c r="C5547" s="5" t="s">
        <v>16</v>
      </c>
      <c r="D5547" s="5" t="s">
        <v>5409</v>
      </c>
      <c r="E5547" s="6" t="str">
        <f>HYPERLINK("https://twitter.com/petrogustavo/status/1255903288354054144","1255903288354054144")</f>
        <v>1255903288354054144</v>
      </c>
      <c r="F5547" s="7" t="s">
        <v>17</v>
      </c>
      <c r="G5547" s="7">
        <v>3808952</v>
      </c>
      <c r="H5547" s="7">
        <v>2399</v>
      </c>
      <c r="I5547" s="7">
        <v>259</v>
      </c>
      <c r="J5547" s="7">
        <v>0</v>
      </c>
      <c r="K5547" s="7" t="s">
        <v>18</v>
      </c>
      <c r="L5547" s="8">
        <v>39987.315405092595</v>
      </c>
      <c r="M5547" s="9" t="s">
        <v>19</v>
      </c>
      <c r="N5547" s="9" t="s">
        <v>20</v>
      </c>
      <c r="O5547" s="6" t="str">
        <f>HYPERLINK("https://pbs.twimg.com/profile_images/962471262747529216/Uo8lOkRJ_normal.jpg","View")</f>
        <v>View</v>
      </c>
      <c r="P5547" s="7"/>
    </row>
    <row r="5548" spans="1:16">
      <c r="A5548" s="3">
        <v>43951.937071759261</v>
      </c>
      <c r="B5548" s="4" t="str">
        <f>HYPERLINK("https://twitter.com/petrogustavo","@petrogustavo")</f>
        <v>@petrogustavo</v>
      </c>
      <c r="C5548" s="5" t="s">
        <v>16</v>
      </c>
      <c r="D5548" s="5" t="s">
        <v>5410</v>
      </c>
      <c r="E5548" s="6" t="str">
        <f>HYPERLINK("https://twitter.com/petrogustavo/status/1255904592543481856","1255904592543481856")</f>
        <v>1255904592543481856</v>
      </c>
      <c r="F5548" s="7" t="s">
        <v>17</v>
      </c>
      <c r="G5548" s="7">
        <v>3808952</v>
      </c>
      <c r="H5548" s="7">
        <v>2399</v>
      </c>
      <c r="I5548" s="7">
        <v>176</v>
      </c>
      <c r="J5548" s="7">
        <v>0</v>
      </c>
      <c r="K5548" s="7" t="s">
        <v>18</v>
      </c>
      <c r="L5548" s="8">
        <v>39987.315405092595</v>
      </c>
      <c r="M5548" s="9" t="s">
        <v>19</v>
      </c>
      <c r="N5548" s="9" t="s">
        <v>20</v>
      </c>
      <c r="O5548" s="6" t="str">
        <f>HYPERLINK("https://pbs.twimg.com/profile_images/962471262747529216/Uo8lOkRJ_normal.jpg","View")</f>
        <v>View</v>
      </c>
      <c r="P5548" s="7"/>
    </row>
    <row r="5549" spans="1:16">
      <c r="A5549" s="3">
        <v>43951.9371412037</v>
      </c>
      <c r="B5549" s="4" t="str">
        <f>HYPERLINK("https://twitter.com/petrogustavo","@petrogustavo")</f>
        <v>@petrogustavo</v>
      </c>
      <c r="C5549" s="5" t="s">
        <v>16</v>
      </c>
      <c r="D5549" s="5" t="s">
        <v>5411</v>
      </c>
      <c r="E5549" s="6" t="str">
        <f>HYPERLINK("https://twitter.com/petrogustavo/status/1255904618015571968","1255904618015571968")</f>
        <v>1255904618015571968</v>
      </c>
      <c r="F5549" s="7" t="s">
        <v>17</v>
      </c>
      <c r="G5549" s="7">
        <v>3808952</v>
      </c>
      <c r="H5549" s="7">
        <v>2399</v>
      </c>
      <c r="I5549" s="7">
        <v>363</v>
      </c>
      <c r="J5549" s="7">
        <v>0</v>
      </c>
      <c r="K5549" s="7" t="s">
        <v>18</v>
      </c>
      <c r="L5549" s="8">
        <v>39987.315405092595</v>
      </c>
      <c r="M5549" s="9" t="s">
        <v>19</v>
      </c>
      <c r="N5549" s="9" t="s">
        <v>20</v>
      </c>
      <c r="O5549" s="6" t="str">
        <f>HYPERLINK("https://pbs.twimg.com/profile_images/962471262747529216/Uo8lOkRJ_normal.jpg","View")</f>
        <v>View</v>
      </c>
      <c r="P5549" s="7"/>
    </row>
    <row r="5550" spans="1:16">
      <c r="A5550" s="3">
        <v>43951.954328703709</v>
      </c>
      <c r="B5550" s="4" t="str">
        <f>HYPERLINK("https://twitter.com/petrogustavo","@petrogustavo")</f>
        <v>@petrogustavo</v>
      </c>
      <c r="C5550" s="5" t="s">
        <v>16</v>
      </c>
      <c r="D5550" s="5" t="s">
        <v>5412</v>
      </c>
      <c r="E5550" s="6" t="str">
        <f>HYPERLINK("https://twitter.com/petrogustavo/status/1255910847186120706","1255910847186120706")</f>
        <v>1255910847186120706</v>
      </c>
      <c r="F5550" s="7" t="s">
        <v>17</v>
      </c>
      <c r="G5550" s="7">
        <v>3809008</v>
      </c>
      <c r="H5550" s="7">
        <v>2399</v>
      </c>
      <c r="I5550" s="7">
        <v>84</v>
      </c>
      <c r="J5550" s="7">
        <v>0</v>
      </c>
      <c r="K5550" s="7" t="s">
        <v>18</v>
      </c>
      <c r="L5550" s="8">
        <v>39987.315405092595</v>
      </c>
      <c r="M5550" s="9" t="s">
        <v>19</v>
      </c>
      <c r="N5550" s="9" t="s">
        <v>20</v>
      </c>
      <c r="O5550" s="6" t="str">
        <f>HYPERLINK("https://pbs.twimg.com/profile_images/962471262747529216/Uo8lOkRJ_normal.jpg","View")</f>
        <v>View</v>
      </c>
      <c r="P5550" s="7"/>
    </row>
    <row r="5551" spans="1:16">
      <c r="A5551" s="3">
        <v>43951.966643518521</v>
      </c>
      <c r="B5551" s="4" t="str">
        <f>HYPERLINK("https://twitter.com/petrogustavo","@petrogustavo")</f>
        <v>@petrogustavo</v>
      </c>
      <c r="C5551" s="5" t="s">
        <v>16</v>
      </c>
      <c r="D5551" s="5" t="s">
        <v>5413</v>
      </c>
      <c r="E5551" s="6" t="str">
        <f>HYPERLINK("https://twitter.com/petrogustavo/status/1255915309262872578","1255915309262872578")</f>
        <v>1255915309262872578</v>
      </c>
      <c r="F5551" s="7" t="s">
        <v>17</v>
      </c>
      <c r="G5551" s="7">
        <v>3809049</v>
      </c>
      <c r="H5551" s="7">
        <v>2399</v>
      </c>
      <c r="I5551" s="7">
        <v>111</v>
      </c>
      <c r="J5551" s="7">
        <v>282</v>
      </c>
      <c r="K5551" s="7" t="s">
        <v>18</v>
      </c>
      <c r="L5551" s="8">
        <v>39987.315405092595</v>
      </c>
      <c r="M5551" s="9" t="s">
        <v>19</v>
      </c>
      <c r="N5551" s="9" t="s">
        <v>20</v>
      </c>
      <c r="O5551" s="6" t="str">
        <f>HYPERLINK("https://pbs.twimg.com/profile_images/962471262747529216/Uo8lOkRJ_normal.jpg","View")</f>
        <v>View</v>
      </c>
      <c r="P5551" s="7"/>
    </row>
    <row r="5552" spans="1:16">
      <c r="A5552" s="3">
        <v>43951.982118055559</v>
      </c>
      <c r="B5552" s="4" t="str">
        <f>HYPERLINK("https://twitter.com/petrogustavo","@petrogustavo")</f>
        <v>@petrogustavo</v>
      </c>
      <c r="C5552" s="5" t="s">
        <v>16</v>
      </c>
      <c r="D5552" s="5" t="s">
        <v>5411</v>
      </c>
      <c r="E5552" s="6" t="str">
        <f>HYPERLINK("https://twitter.com/petrogustavo/status/1255920917382905857","1255920917382905857")</f>
        <v>1255920917382905857</v>
      </c>
      <c r="F5552" s="7" t="s">
        <v>17</v>
      </c>
      <c r="G5552" s="7">
        <v>3809086</v>
      </c>
      <c r="H5552" s="7">
        <v>2399</v>
      </c>
      <c r="I5552" s="7">
        <v>486</v>
      </c>
      <c r="J5552" s="7">
        <v>0</v>
      </c>
      <c r="K5552" s="7" t="s">
        <v>18</v>
      </c>
      <c r="L5552" s="8">
        <v>39987.315405092595</v>
      </c>
      <c r="M5552" s="9" t="s">
        <v>19</v>
      </c>
      <c r="N5552" s="9" t="s">
        <v>20</v>
      </c>
      <c r="O5552" s="6" t="str">
        <f>HYPERLINK("https://pbs.twimg.com/profile_images/962471262747529216/Uo8lOkRJ_normal.jpg","View")</f>
        <v>View</v>
      </c>
      <c r="P5552" s="7"/>
    </row>
    <row r="5553" spans="1:16">
      <c r="A5553" s="3">
        <v>43951.997581018513</v>
      </c>
      <c r="B5553" s="4" t="str">
        <f>HYPERLINK("https://twitter.com/petrogustavo","@petrogustavo")</f>
        <v>@petrogustavo</v>
      </c>
      <c r="C5553" s="5" t="s">
        <v>16</v>
      </c>
      <c r="D5553" s="5" t="s">
        <v>5414</v>
      </c>
      <c r="E5553" s="6" t="str">
        <f>HYPERLINK("https://twitter.com/petrogustavo/status/1255926520398450689","1255926520398450689")</f>
        <v>1255926520398450689</v>
      </c>
      <c r="F5553" s="7" t="s">
        <v>17</v>
      </c>
      <c r="G5553" s="7">
        <v>3809086</v>
      </c>
      <c r="H5553" s="7">
        <v>2399</v>
      </c>
      <c r="I5553" s="7">
        <v>32</v>
      </c>
      <c r="J5553" s="7">
        <v>61</v>
      </c>
      <c r="K5553" s="7" t="s">
        <v>18</v>
      </c>
      <c r="L5553" s="8">
        <v>39987.315405092595</v>
      </c>
      <c r="M5553" s="9" t="s">
        <v>19</v>
      </c>
      <c r="N5553" s="9" t="s">
        <v>20</v>
      </c>
      <c r="O5553" s="6" t="str">
        <f>HYPERLINK("https://pbs.twimg.com/profile_images/962471262747529216/Uo8lOkRJ_normal.jpg","View")</f>
        <v>View</v>
      </c>
      <c r="P5553" s="7"/>
    </row>
    <row r="5554" spans="1:16">
      <c r="A5554" s="3">
        <v>43952.017175925925</v>
      </c>
      <c r="B5554" s="4" t="str">
        <f>HYPERLINK("https://twitter.com/petrogustavo","@petrogustavo")</f>
        <v>@petrogustavo</v>
      </c>
      <c r="C5554" s="5" t="s">
        <v>16</v>
      </c>
      <c r="D5554" s="5" t="s">
        <v>5411</v>
      </c>
      <c r="E5554" s="6" t="str">
        <f>HYPERLINK("https://twitter.com/petrogustavo/status/1255933620923125761","1255933620923125761")</f>
        <v>1255933620923125761</v>
      </c>
      <c r="F5554" s="7" t="s">
        <v>17</v>
      </c>
      <c r="G5554" s="7">
        <v>3809122</v>
      </c>
      <c r="H5554" s="7">
        <v>2399</v>
      </c>
      <c r="I5554" s="7">
        <v>525</v>
      </c>
      <c r="J5554" s="7">
        <v>0</v>
      </c>
      <c r="K5554" s="7" t="s">
        <v>18</v>
      </c>
      <c r="L5554" s="8">
        <v>39987.315405092595</v>
      </c>
      <c r="M5554" s="9" t="s">
        <v>19</v>
      </c>
      <c r="N5554" s="9" t="s">
        <v>20</v>
      </c>
      <c r="O5554" s="6" t="str">
        <f>HYPERLINK("https://pbs.twimg.com/profile_images/962471262747529216/Uo8lOkRJ_normal.jpg","View")</f>
        <v>View</v>
      </c>
      <c r="P5554" s="7"/>
    </row>
    <row r="5555" spans="1:16">
      <c r="A5555" s="3">
        <v>43952.176875000005</v>
      </c>
      <c r="B5555" s="4" t="str">
        <f>HYPERLINK("https://twitter.com/petrogustavo","@petrogustavo")</f>
        <v>@petrogustavo</v>
      </c>
      <c r="C5555" s="5" t="s">
        <v>16</v>
      </c>
      <c r="D5555" s="5" t="s">
        <v>5415</v>
      </c>
      <c r="E5555" s="6" t="str">
        <f>HYPERLINK("https://twitter.com/petrogustavo/status/1255991494776950785","1255991494776950785")</f>
        <v>1255991494776950785</v>
      </c>
      <c r="F5555" s="7" t="s">
        <v>17</v>
      </c>
      <c r="G5555" s="7">
        <v>3809384</v>
      </c>
      <c r="H5555" s="7">
        <v>2400</v>
      </c>
      <c r="I5555" s="7">
        <v>37</v>
      </c>
      <c r="J5555" s="7">
        <v>85</v>
      </c>
      <c r="K5555" s="7" t="s">
        <v>18</v>
      </c>
      <c r="L5555" s="8">
        <v>39987.315405092595</v>
      </c>
      <c r="M5555" s="9" t="s">
        <v>19</v>
      </c>
      <c r="N5555" s="9" t="s">
        <v>20</v>
      </c>
      <c r="O5555" s="6" t="str">
        <f>HYPERLINK("https://pbs.twimg.com/profile_images/962471262747529216/Uo8lOkRJ_normal.jpg","View")</f>
        <v>View</v>
      </c>
      <c r="P5555" s="7"/>
    </row>
    <row r="5556" spans="1:16">
      <c r="A5556" s="3">
        <v>43952.183148148149</v>
      </c>
      <c r="B5556" s="4" t="str">
        <f>HYPERLINK("https://twitter.com/petrogustavo","@petrogustavo")</f>
        <v>@petrogustavo</v>
      </c>
      <c r="C5556" s="5" t="s">
        <v>16</v>
      </c>
      <c r="D5556" s="5" t="s">
        <v>5416</v>
      </c>
      <c r="E5556" s="6" t="str">
        <f>HYPERLINK("https://twitter.com/petrogustavo/status/1255993769306009601","1255993769306009601")</f>
        <v>1255993769306009601</v>
      </c>
      <c r="F5556" s="7" t="s">
        <v>17</v>
      </c>
      <c r="G5556" s="7">
        <v>3809384</v>
      </c>
      <c r="H5556" s="7">
        <v>2400</v>
      </c>
      <c r="I5556" s="7">
        <v>58</v>
      </c>
      <c r="J5556" s="7">
        <v>123</v>
      </c>
      <c r="K5556" s="7" t="s">
        <v>18</v>
      </c>
      <c r="L5556" s="8">
        <v>39987.315405092595</v>
      </c>
      <c r="M5556" s="9" t="s">
        <v>19</v>
      </c>
      <c r="N5556" s="9" t="s">
        <v>20</v>
      </c>
      <c r="O5556" s="6" t="str">
        <f>HYPERLINK("https://pbs.twimg.com/profile_images/962471262747529216/Uo8lOkRJ_normal.jpg","View")</f>
        <v>View</v>
      </c>
      <c r="P5556" s="7"/>
    </row>
    <row r="5557" spans="1:16">
      <c r="A5557" s="3">
        <v>43952.191388888888</v>
      </c>
      <c r="B5557" s="4" t="str">
        <f>HYPERLINK("https://twitter.com/petrogustavo","@petrogustavo")</f>
        <v>@petrogustavo</v>
      </c>
      <c r="C5557" s="5" t="s">
        <v>16</v>
      </c>
      <c r="D5557" s="5" t="s">
        <v>5417</v>
      </c>
      <c r="E5557" s="6" t="str">
        <f>HYPERLINK("https://twitter.com/petrogustavo/status/1255996756640387077","1255996756640387077")</f>
        <v>1255996756640387077</v>
      </c>
      <c r="F5557" s="7" t="s">
        <v>17</v>
      </c>
      <c r="G5557" s="7">
        <v>3809419</v>
      </c>
      <c r="H5557" s="7">
        <v>2400</v>
      </c>
      <c r="I5557" s="7">
        <v>75</v>
      </c>
      <c r="J5557" s="7">
        <v>0</v>
      </c>
      <c r="K5557" s="7" t="s">
        <v>18</v>
      </c>
      <c r="L5557" s="8">
        <v>39987.315405092595</v>
      </c>
      <c r="M5557" s="9" t="s">
        <v>19</v>
      </c>
      <c r="N5557" s="9" t="s">
        <v>20</v>
      </c>
      <c r="O5557" s="6" t="str">
        <f>HYPERLINK("https://pbs.twimg.com/profile_images/962471262747529216/Uo8lOkRJ_normal.jpg","View")</f>
        <v>View</v>
      </c>
      <c r="P5557" s="7"/>
    </row>
    <row r="5558" spans="1:16">
      <c r="A5558" s="3">
        <v>43952.192256944443</v>
      </c>
      <c r="B5558" s="4" t="str">
        <f>HYPERLINK("https://twitter.com/petrogustavo","@petrogustavo")</f>
        <v>@petrogustavo</v>
      </c>
      <c r="C5558" s="5" t="s">
        <v>16</v>
      </c>
      <c r="D5558" s="5" t="s">
        <v>5418</v>
      </c>
      <c r="E5558" s="6" t="str">
        <f>HYPERLINK("https://twitter.com/petrogustavo/status/1255997070223212544","1255997070223212544")</f>
        <v>1255997070223212544</v>
      </c>
      <c r="F5558" s="7" t="s">
        <v>17</v>
      </c>
      <c r="G5558" s="7">
        <v>3809419</v>
      </c>
      <c r="H5558" s="7">
        <v>2400</v>
      </c>
      <c r="I5558" s="7">
        <v>127</v>
      </c>
      <c r="J5558" s="7">
        <v>0</v>
      </c>
      <c r="K5558" s="7" t="s">
        <v>18</v>
      </c>
      <c r="L5558" s="8">
        <v>39987.315405092595</v>
      </c>
      <c r="M5558" s="9" t="s">
        <v>19</v>
      </c>
      <c r="N5558" s="9" t="s">
        <v>20</v>
      </c>
      <c r="O5558" s="6" t="str">
        <f>HYPERLINK("https://pbs.twimg.com/profile_images/962471262747529216/Uo8lOkRJ_normal.jpg","View")</f>
        <v>View</v>
      </c>
      <c r="P5558" s="7"/>
    </row>
    <row r="5559" spans="1:16">
      <c r="A5559" s="3">
        <v>43952.192361111112</v>
      </c>
      <c r="B5559" s="4" t="str">
        <f>HYPERLINK("https://twitter.com/petrogustavo","@petrogustavo")</f>
        <v>@petrogustavo</v>
      </c>
      <c r="C5559" s="5" t="s">
        <v>16</v>
      </c>
      <c r="D5559" s="5" t="s">
        <v>5411</v>
      </c>
      <c r="E5559" s="6" t="str">
        <f>HYPERLINK("https://twitter.com/petrogustavo/status/1255997108836016128","1255997108836016128")</f>
        <v>1255997108836016128</v>
      </c>
      <c r="F5559" s="7" t="s">
        <v>17</v>
      </c>
      <c r="G5559" s="7">
        <v>3809419</v>
      </c>
      <c r="H5559" s="7">
        <v>2400</v>
      </c>
      <c r="I5559" s="7">
        <v>746</v>
      </c>
      <c r="J5559" s="7">
        <v>0</v>
      </c>
      <c r="K5559" s="7" t="s">
        <v>18</v>
      </c>
      <c r="L5559" s="8">
        <v>39987.315405092595</v>
      </c>
      <c r="M5559" s="9" t="s">
        <v>19</v>
      </c>
      <c r="N5559" s="9" t="s">
        <v>20</v>
      </c>
      <c r="O5559" s="6" t="str">
        <f>HYPERLINK("https://pbs.twimg.com/profile_images/962471262747529216/Uo8lOkRJ_normal.jpg","View")</f>
        <v>View</v>
      </c>
      <c r="P5559" s="7"/>
    </row>
    <row r="5560" spans="1:16">
      <c r="A5560" s="3">
        <v>43952.229837962965</v>
      </c>
      <c r="B5560" s="4" t="str">
        <f>HYPERLINK("https://twitter.com/petrogustavo","@petrogustavo")</f>
        <v>@petrogustavo</v>
      </c>
      <c r="C5560" s="5" t="s">
        <v>16</v>
      </c>
      <c r="D5560" s="5" t="s">
        <v>5419</v>
      </c>
      <c r="E5560" s="6" t="str">
        <f>HYPERLINK("https://twitter.com/petrogustavo/status/1256010689216417796","1256010689216417796")</f>
        <v>1256010689216417796</v>
      </c>
      <c r="F5560" s="7" t="s">
        <v>17</v>
      </c>
      <c r="G5560" s="7">
        <v>3809469</v>
      </c>
      <c r="H5560" s="7">
        <v>2400</v>
      </c>
      <c r="I5560" s="7">
        <v>26</v>
      </c>
      <c r="J5560" s="7">
        <v>69</v>
      </c>
      <c r="K5560" s="7" t="s">
        <v>18</v>
      </c>
      <c r="L5560" s="8">
        <v>39987.315405092595</v>
      </c>
      <c r="M5560" s="9" t="s">
        <v>19</v>
      </c>
      <c r="N5560" s="9" t="s">
        <v>20</v>
      </c>
      <c r="O5560" s="6" t="str">
        <f>HYPERLINK("https://pbs.twimg.com/profile_images/962471262747529216/Uo8lOkRJ_normal.jpg","View")</f>
        <v>View</v>
      </c>
      <c r="P5560" s="7"/>
    </row>
    <row r="5561" spans="1:16">
      <c r="A5561" s="3">
        <v>43952.23165509259</v>
      </c>
      <c r="B5561" s="4" t="str">
        <f>HYPERLINK("https://twitter.com/petrogustavo","@petrogustavo")</f>
        <v>@petrogustavo</v>
      </c>
      <c r="C5561" s="5" t="s">
        <v>16</v>
      </c>
      <c r="D5561" s="5" t="s">
        <v>5420</v>
      </c>
      <c r="E5561" s="6" t="str">
        <f>HYPERLINK("https://twitter.com/petrogustavo/status/1256011349248933890","1256011349248933890")</f>
        <v>1256011349248933890</v>
      </c>
      <c r="F5561" s="7" t="s">
        <v>17</v>
      </c>
      <c r="G5561" s="7">
        <v>3809508</v>
      </c>
      <c r="H5561" s="7">
        <v>2400</v>
      </c>
      <c r="I5561" s="7">
        <v>202</v>
      </c>
      <c r="J5561" s="7">
        <v>0</v>
      </c>
      <c r="K5561" s="7" t="s">
        <v>18</v>
      </c>
      <c r="L5561" s="8">
        <v>39987.315405092595</v>
      </c>
      <c r="M5561" s="9" t="s">
        <v>19</v>
      </c>
      <c r="N5561" s="9" t="s">
        <v>20</v>
      </c>
      <c r="O5561" s="6" t="str">
        <f>HYPERLINK("https://pbs.twimg.com/profile_images/962471262747529216/Uo8lOkRJ_normal.jpg","View")</f>
        <v>View</v>
      </c>
      <c r="P5561" s="7"/>
    </row>
    <row r="5562" spans="1:16">
      <c r="A5562" s="3">
        <v>43952.236284722225</v>
      </c>
      <c r="B5562" s="4" t="str">
        <f>HYPERLINK("https://twitter.com/petrogustavo","@petrogustavo")</f>
        <v>@petrogustavo</v>
      </c>
      <c r="C5562" s="5" t="s">
        <v>16</v>
      </c>
      <c r="D5562" s="5" t="s">
        <v>5421</v>
      </c>
      <c r="E5562" s="6" t="str">
        <f>HYPERLINK("https://twitter.com/petrogustavo/status/1256013026454536194","1256013026454536194")</f>
        <v>1256013026454536194</v>
      </c>
      <c r="F5562" s="7" t="s">
        <v>17</v>
      </c>
      <c r="G5562" s="7">
        <v>3809508</v>
      </c>
      <c r="H5562" s="7">
        <v>2400</v>
      </c>
      <c r="I5562" s="7">
        <v>121</v>
      </c>
      <c r="J5562" s="7">
        <v>0</v>
      </c>
      <c r="K5562" s="7" t="s">
        <v>18</v>
      </c>
      <c r="L5562" s="8">
        <v>39987.315405092595</v>
      </c>
      <c r="M5562" s="9" t="s">
        <v>19</v>
      </c>
      <c r="N5562" s="9" t="s">
        <v>20</v>
      </c>
      <c r="O5562" s="6" t="str">
        <f>HYPERLINK("https://pbs.twimg.com/profile_images/962471262747529216/Uo8lOkRJ_normal.jpg","View")</f>
        <v>View</v>
      </c>
      <c r="P5562" s="7"/>
    </row>
    <row r="5563" spans="1:16">
      <c r="A5563" s="3">
        <v>43952.236539351856</v>
      </c>
      <c r="B5563" s="4" t="str">
        <f>HYPERLINK("https://twitter.com/petrogustavo","@petrogustavo")</f>
        <v>@petrogustavo</v>
      </c>
      <c r="C5563" s="5" t="s">
        <v>16</v>
      </c>
      <c r="D5563" s="5" t="s">
        <v>5422</v>
      </c>
      <c r="E5563" s="6" t="str">
        <f>HYPERLINK("https://twitter.com/petrogustavo/status/1256013118444109827","1256013118444109827")</f>
        <v>1256013118444109827</v>
      </c>
      <c r="F5563" s="7" t="s">
        <v>17</v>
      </c>
      <c r="G5563" s="7">
        <v>3809508</v>
      </c>
      <c r="H5563" s="7">
        <v>2400</v>
      </c>
      <c r="I5563" s="7">
        <v>191</v>
      </c>
      <c r="J5563" s="7">
        <v>0</v>
      </c>
      <c r="K5563" s="7" t="s">
        <v>18</v>
      </c>
      <c r="L5563" s="8">
        <v>39987.315405092595</v>
      </c>
      <c r="M5563" s="9" t="s">
        <v>19</v>
      </c>
      <c r="N5563" s="9" t="s">
        <v>20</v>
      </c>
      <c r="O5563" s="6" t="str">
        <f>HYPERLINK("https://pbs.twimg.com/profile_images/962471262747529216/Uo8lOkRJ_normal.jpg","View")</f>
        <v>View</v>
      </c>
      <c r="P5563" s="7"/>
    </row>
    <row r="5564" spans="1:16">
      <c r="A5564" s="3">
        <v>43952.236747685187</v>
      </c>
      <c r="B5564" s="4" t="str">
        <f>HYPERLINK("https://twitter.com/petrogustavo","@petrogustavo")</f>
        <v>@petrogustavo</v>
      </c>
      <c r="C5564" s="5" t="s">
        <v>16</v>
      </c>
      <c r="D5564" s="5" t="s">
        <v>5411</v>
      </c>
      <c r="E5564" s="6" t="str">
        <f>HYPERLINK("https://twitter.com/petrogustavo/status/1256013194017021959","1256013194017021959")</f>
        <v>1256013194017021959</v>
      </c>
      <c r="F5564" s="7" t="s">
        <v>17</v>
      </c>
      <c r="G5564" s="7">
        <v>3809508</v>
      </c>
      <c r="H5564" s="7">
        <v>2400</v>
      </c>
      <c r="I5564" s="7">
        <v>795</v>
      </c>
      <c r="J5564" s="7">
        <v>0</v>
      </c>
      <c r="K5564" s="7" t="s">
        <v>18</v>
      </c>
      <c r="L5564" s="8">
        <v>39987.315405092595</v>
      </c>
      <c r="M5564" s="9" t="s">
        <v>19</v>
      </c>
      <c r="N5564" s="9" t="s">
        <v>20</v>
      </c>
      <c r="O5564" s="6" t="str">
        <f>HYPERLINK("https://pbs.twimg.com/profile_images/962471262747529216/Uo8lOkRJ_normal.jpg","View")</f>
        <v>View</v>
      </c>
      <c r="P5564" s="7"/>
    </row>
    <row r="5565" spans="1:16">
      <c r="A5565" s="3">
        <v>43952.241701388892</v>
      </c>
      <c r="B5565" s="4" t="str">
        <f>HYPERLINK("https://twitter.com/petrogustavo","@petrogustavo")</f>
        <v>@petrogustavo</v>
      </c>
      <c r="C5565" s="5" t="s">
        <v>16</v>
      </c>
      <c r="D5565" s="5" t="s">
        <v>5423</v>
      </c>
      <c r="E5565" s="6" t="str">
        <f>HYPERLINK("https://twitter.com/petrogustavo/status/1256014987639828482","1256014987639828482")</f>
        <v>1256014987639828482</v>
      </c>
      <c r="F5565" s="7" t="s">
        <v>17</v>
      </c>
      <c r="G5565" s="7">
        <v>3809508</v>
      </c>
      <c r="H5565" s="7">
        <v>2400</v>
      </c>
      <c r="I5565" s="7">
        <v>114</v>
      </c>
      <c r="J5565" s="7">
        <v>218</v>
      </c>
      <c r="K5565" s="7" t="s">
        <v>18</v>
      </c>
      <c r="L5565" s="8">
        <v>39987.315405092595</v>
      </c>
      <c r="M5565" s="9" t="s">
        <v>19</v>
      </c>
      <c r="N5565" s="9" t="s">
        <v>20</v>
      </c>
      <c r="O5565" s="6" t="str">
        <f>HYPERLINK("https://pbs.twimg.com/profile_images/962471262747529216/Uo8lOkRJ_normal.jpg","View")</f>
        <v>View</v>
      </c>
      <c r="P5565" s="7"/>
    </row>
    <row r="5566" spans="1:16">
      <c r="A5566" s="3">
        <v>43952.248553240745</v>
      </c>
      <c r="B5566" s="4" t="str">
        <f>HYPERLINK("https://twitter.com/petrogustavo","@petrogustavo")</f>
        <v>@petrogustavo</v>
      </c>
      <c r="C5566" s="5" t="s">
        <v>16</v>
      </c>
      <c r="D5566" s="5" t="s">
        <v>5424</v>
      </c>
      <c r="E5566" s="6" t="str">
        <f>HYPERLINK("https://twitter.com/petrogustavo/status/1256017472437846016","1256017472437846016")</f>
        <v>1256017472437846016</v>
      </c>
      <c r="F5566" s="7" t="s">
        <v>17</v>
      </c>
      <c r="G5566" s="7">
        <v>3809508</v>
      </c>
      <c r="H5566" s="7">
        <v>2400</v>
      </c>
      <c r="I5566" s="7">
        <v>13</v>
      </c>
      <c r="J5566" s="7">
        <v>0</v>
      </c>
      <c r="K5566" s="7" t="s">
        <v>18</v>
      </c>
      <c r="L5566" s="8">
        <v>39987.315405092595</v>
      </c>
      <c r="M5566" s="9" t="s">
        <v>19</v>
      </c>
      <c r="N5566" s="9" t="s">
        <v>20</v>
      </c>
      <c r="O5566" s="6" t="str">
        <f>HYPERLINK("https://pbs.twimg.com/profile_images/962471262747529216/Uo8lOkRJ_normal.jpg","View")</f>
        <v>View</v>
      </c>
      <c r="P5566" s="7"/>
    </row>
    <row r="5567" spans="1:16">
      <c r="A5567" s="3">
        <v>43952.30086805555</v>
      </c>
      <c r="B5567" s="4" t="str">
        <f>HYPERLINK("https://twitter.com/petrogustavo","@petrogustavo")</f>
        <v>@petrogustavo</v>
      </c>
      <c r="C5567" s="5" t="s">
        <v>16</v>
      </c>
      <c r="D5567" s="5" t="s">
        <v>5425</v>
      </c>
      <c r="E5567" s="6" t="str">
        <f>HYPERLINK("https://twitter.com/petrogustavo/status/1256036429857161216","1256036429857161216")</f>
        <v>1256036429857161216</v>
      </c>
      <c r="F5567" s="7" t="s">
        <v>17</v>
      </c>
      <c r="G5567" s="7">
        <v>3809627</v>
      </c>
      <c r="H5567" s="7">
        <v>2400</v>
      </c>
      <c r="I5567" s="7">
        <v>514</v>
      </c>
      <c r="J5567" s="7">
        <v>0</v>
      </c>
      <c r="K5567" s="7" t="s">
        <v>18</v>
      </c>
      <c r="L5567" s="8">
        <v>39987.315405092595</v>
      </c>
      <c r="M5567" s="9" t="s">
        <v>19</v>
      </c>
      <c r="N5567" s="9" t="s">
        <v>20</v>
      </c>
      <c r="O5567" s="6" t="str">
        <f>HYPERLINK("https://pbs.twimg.com/profile_images/962471262747529216/Uo8lOkRJ_normal.jpg","View")</f>
        <v>View</v>
      </c>
      <c r="P5567" s="7"/>
    </row>
    <row r="5568" spans="1:16">
      <c r="A5568" s="3">
        <v>43952.301307870366</v>
      </c>
      <c r="B5568" s="4" t="str">
        <f>HYPERLINK("https://twitter.com/petrogustavo","@petrogustavo")</f>
        <v>@petrogustavo</v>
      </c>
      <c r="C5568" s="5" t="s">
        <v>16</v>
      </c>
      <c r="D5568" s="5" t="s">
        <v>5426</v>
      </c>
      <c r="E5568" s="6" t="str">
        <f>HYPERLINK("https://twitter.com/petrogustavo/status/1256036588410286080","1256036588410286080")</f>
        <v>1256036588410286080</v>
      </c>
      <c r="F5568" s="7" t="s">
        <v>17</v>
      </c>
      <c r="G5568" s="7">
        <v>3809627</v>
      </c>
      <c r="H5568" s="7">
        <v>2400</v>
      </c>
      <c r="I5568" s="7">
        <v>201</v>
      </c>
      <c r="J5568" s="7">
        <v>0</v>
      </c>
      <c r="K5568" s="7" t="s">
        <v>18</v>
      </c>
      <c r="L5568" s="8">
        <v>39987.315405092595</v>
      </c>
      <c r="M5568" s="9" t="s">
        <v>19</v>
      </c>
      <c r="N5568" s="9" t="s">
        <v>20</v>
      </c>
      <c r="O5568" s="6" t="str">
        <f>HYPERLINK("https://pbs.twimg.com/profile_images/962471262747529216/Uo8lOkRJ_normal.jpg","View")</f>
        <v>View</v>
      </c>
      <c r="P5568" s="7"/>
    </row>
    <row r="5569" spans="1:16">
      <c r="A5569" s="3">
        <v>43952.308333333334</v>
      </c>
      <c r="B5569" s="4" t="str">
        <f>HYPERLINK("https://twitter.com/petrogustavo","@petrogustavo")</f>
        <v>@petrogustavo</v>
      </c>
      <c r="C5569" s="5" t="s">
        <v>16</v>
      </c>
      <c r="D5569" s="5" t="s">
        <v>5427</v>
      </c>
      <c r="E5569" s="6" t="str">
        <f>HYPERLINK("https://twitter.com/petrogustavo/status/1256039136164708365","1256039136164708365")</f>
        <v>1256039136164708365</v>
      </c>
      <c r="F5569" s="7" t="s">
        <v>17</v>
      </c>
      <c r="G5569" s="7">
        <v>3809627</v>
      </c>
      <c r="H5569" s="7">
        <v>2400</v>
      </c>
      <c r="I5569" s="7">
        <v>63</v>
      </c>
      <c r="J5569" s="7">
        <v>138</v>
      </c>
      <c r="K5569" s="7" t="s">
        <v>18</v>
      </c>
      <c r="L5569" s="8">
        <v>39987.315405092595</v>
      </c>
      <c r="M5569" s="9" t="s">
        <v>19</v>
      </c>
      <c r="N5569" s="9" t="s">
        <v>20</v>
      </c>
      <c r="O5569" s="6" t="str">
        <f>HYPERLINK("https://pbs.twimg.com/profile_images/962471262747529216/Uo8lOkRJ_normal.jpg","View")</f>
        <v>View</v>
      </c>
      <c r="P5569" s="7"/>
    </row>
    <row r="5570" spans="1:16">
      <c r="A5570" s="3">
        <v>43952.312951388885</v>
      </c>
      <c r="B5570" s="4" t="str">
        <f>HYPERLINK("https://twitter.com/petrogustavo","@petrogustavo")</f>
        <v>@petrogustavo</v>
      </c>
      <c r="C5570" s="5" t="s">
        <v>16</v>
      </c>
      <c r="D5570" s="5" t="s">
        <v>5428</v>
      </c>
      <c r="E5570" s="6" t="str">
        <f>HYPERLINK("https://twitter.com/petrogustavo/status/1256040809734057989","1256040809734057989")</f>
        <v>1256040809734057989</v>
      </c>
      <c r="F5570" s="7" t="s">
        <v>17</v>
      </c>
      <c r="G5570" s="7">
        <v>3809627</v>
      </c>
      <c r="H5570" s="7">
        <v>2400</v>
      </c>
      <c r="I5570" s="7">
        <v>8</v>
      </c>
      <c r="J5570" s="7">
        <v>17</v>
      </c>
      <c r="K5570" s="7" t="s">
        <v>18</v>
      </c>
      <c r="L5570" s="8">
        <v>39987.315405092595</v>
      </c>
      <c r="M5570" s="9" t="s">
        <v>19</v>
      </c>
      <c r="N5570" s="9" t="s">
        <v>20</v>
      </c>
      <c r="O5570" s="6" t="str">
        <f>HYPERLINK("https://pbs.twimg.com/profile_images/962471262747529216/Uo8lOkRJ_normal.jpg","View")</f>
        <v>View</v>
      </c>
      <c r="P5570" s="7"/>
    </row>
    <row r="5571" spans="1:16">
      <c r="A5571" s="3">
        <v>43952.313414351855</v>
      </c>
      <c r="B5571" s="4" t="str">
        <f>HYPERLINK("https://twitter.com/petrogustavo","@petrogustavo")</f>
        <v>@petrogustavo</v>
      </c>
      <c r="C5571" s="5" t="s">
        <v>16</v>
      </c>
      <c r="D5571" s="5" t="s">
        <v>5429</v>
      </c>
      <c r="E5571" s="6" t="str">
        <f>HYPERLINK("https://twitter.com/petrogustavo/status/1256040974687571970","1256040974687571970")</f>
        <v>1256040974687571970</v>
      </c>
      <c r="F5571" s="7" t="s">
        <v>17</v>
      </c>
      <c r="G5571" s="7">
        <v>3809627</v>
      </c>
      <c r="H5571" s="7">
        <v>2400</v>
      </c>
      <c r="I5571" s="7">
        <v>460</v>
      </c>
      <c r="J5571" s="7">
        <v>0</v>
      </c>
      <c r="K5571" s="7" t="s">
        <v>18</v>
      </c>
      <c r="L5571" s="8">
        <v>39987.315405092595</v>
      </c>
      <c r="M5571" s="9" t="s">
        <v>19</v>
      </c>
      <c r="N5571" s="9" t="s">
        <v>20</v>
      </c>
      <c r="O5571" s="6" t="str">
        <f>HYPERLINK("https://pbs.twimg.com/profile_images/962471262747529216/Uo8lOkRJ_normal.jpg","View")</f>
        <v>View</v>
      </c>
      <c r="P5571" s="7"/>
    </row>
    <row r="5572" spans="1:16">
      <c r="A5572" s="3">
        <v>43952.324976851851</v>
      </c>
      <c r="B5572" s="4" t="str">
        <f>HYPERLINK("https://twitter.com/petrogustavo","@petrogustavo")</f>
        <v>@petrogustavo</v>
      </c>
      <c r="C5572" s="5" t="s">
        <v>16</v>
      </c>
      <c r="D5572" s="5" t="s">
        <v>5430</v>
      </c>
      <c r="E5572" s="6" t="str">
        <f>HYPERLINK("https://twitter.com/petrogustavo/status/1256045165917155328","1256045165917155328")</f>
        <v>1256045165917155328</v>
      </c>
      <c r="F5572" s="7" t="s">
        <v>17</v>
      </c>
      <c r="G5572" s="7">
        <v>3809669</v>
      </c>
      <c r="H5572" s="7">
        <v>2401</v>
      </c>
      <c r="I5572" s="7">
        <v>798</v>
      </c>
      <c r="J5572" s="7">
        <v>0</v>
      </c>
      <c r="K5572" s="7" t="s">
        <v>18</v>
      </c>
      <c r="L5572" s="8">
        <v>39987.315405092595</v>
      </c>
      <c r="M5572" s="9" t="s">
        <v>19</v>
      </c>
      <c r="N5572" s="9" t="s">
        <v>20</v>
      </c>
      <c r="O5572" s="6" t="str">
        <f>HYPERLINK("https://pbs.twimg.com/profile_images/962471262747529216/Uo8lOkRJ_normal.jpg","View")</f>
        <v>View</v>
      </c>
      <c r="P5572" s="7"/>
    </row>
    <row r="5573" spans="1:16">
      <c r="A5573" s="3">
        <v>43952.32508101852</v>
      </c>
      <c r="B5573" s="4" t="str">
        <f>HYPERLINK("https://twitter.com/petrogustavo","@petrogustavo")</f>
        <v>@petrogustavo</v>
      </c>
      <c r="C5573" s="5" t="s">
        <v>16</v>
      </c>
      <c r="D5573" s="5" t="s">
        <v>5411</v>
      </c>
      <c r="E5573" s="6" t="str">
        <f>HYPERLINK("https://twitter.com/petrogustavo/status/1256045206132178944","1256045206132178944")</f>
        <v>1256045206132178944</v>
      </c>
      <c r="F5573" s="7" t="s">
        <v>17</v>
      </c>
      <c r="G5573" s="7">
        <v>3809669</v>
      </c>
      <c r="H5573" s="7">
        <v>2401</v>
      </c>
      <c r="I5573" s="7">
        <v>879</v>
      </c>
      <c r="J5573" s="7">
        <v>0</v>
      </c>
      <c r="K5573" s="7" t="s">
        <v>18</v>
      </c>
      <c r="L5573" s="8">
        <v>39987.315405092595</v>
      </c>
      <c r="M5573" s="9" t="s">
        <v>19</v>
      </c>
      <c r="N5573" s="9" t="s">
        <v>20</v>
      </c>
      <c r="O5573" s="6" t="str">
        <f>HYPERLINK("https://pbs.twimg.com/profile_images/962471262747529216/Uo8lOkRJ_normal.jpg","View")</f>
        <v>View</v>
      </c>
      <c r="P5573" s="7"/>
    </row>
    <row r="5574" spans="1:16">
      <c r="A5574" s="3">
        <v>43952.682662037041</v>
      </c>
      <c r="B5574" s="4" t="str">
        <f>HYPERLINK("https://twitter.com/petrogustavo","@petrogustavo")</f>
        <v>@petrogustavo</v>
      </c>
      <c r="C5574" s="5" t="s">
        <v>16</v>
      </c>
      <c r="D5574" s="5" t="s">
        <v>5431</v>
      </c>
      <c r="E5574" s="6" t="str">
        <f>HYPERLINK("https://twitter.com/petrogustavo/status/1256174785509429250","1256174785509429250")</f>
        <v>1256174785509429250</v>
      </c>
      <c r="F5574" s="7" t="s">
        <v>32</v>
      </c>
      <c r="G5574" s="7">
        <v>3809991</v>
      </c>
      <c r="H5574" s="7">
        <v>2401</v>
      </c>
      <c r="I5574" s="7">
        <v>86</v>
      </c>
      <c r="J5574" s="7">
        <v>0</v>
      </c>
      <c r="K5574" s="7" t="s">
        <v>18</v>
      </c>
      <c r="L5574" s="8">
        <v>39987.315405092595</v>
      </c>
      <c r="M5574" s="9" t="s">
        <v>19</v>
      </c>
      <c r="N5574" s="9" t="s">
        <v>20</v>
      </c>
      <c r="O5574" s="6" t="str">
        <f>HYPERLINK("https://pbs.twimg.com/profile_images/962471262747529216/Uo8lOkRJ_normal.jpg","View")</f>
        <v>View</v>
      </c>
      <c r="P5574" s="7"/>
    </row>
    <row r="5575" spans="1:16">
      <c r="A5575" s="3">
        <v>43952.683067129634</v>
      </c>
      <c r="B5575" s="4" t="str">
        <f>HYPERLINK("https://twitter.com/petrogustavo","@petrogustavo")</f>
        <v>@petrogustavo</v>
      </c>
      <c r="C5575" s="5" t="s">
        <v>16</v>
      </c>
      <c r="D5575" s="5" t="s">
        <v>5432</v>
      </c>
      <c r="E5575" s="6" t="str">
        <f>HYPERLINK("https://twitter.com/petrogustavo/status/1256174935162138624","1256174935162138624")</f>
        <v>1256174935162138624</v>
      </c>
      <c r="F5575" s="7" t="s">
        <v>32</v>
      </c>
      <c r="G5575" s="7">
        <v>3809991</v>
      </c>
      <c r="H5575" s="7">
        <v>2401</v>
      </c>
      <c r="I5575" s="7">
        <v>62</v>
      </c>
      <c r="J5575" s="7">
        <v>0</v>
      </c>
      <c r="K5575" s="7" t="s">
        <v>18</v>
      </c>
      <c r="L5575" s="8">
        <v>39987.315405092595</v>
      </c>
      <c r="M5575" s="9" t="s">
        <v>19</v>
      </c>
      <c r="N5575" s="9" t="s">
        <v>20</v>
      </c>
      <c r="O5575" s="6" t="str">
        <f>HYPERLINK("https://pbs.twimg.com/profile_images/962471262747529216/Uo8lOkRJ_normal.jpg","View")</f>
        <v>View</v>
      </c>
      <c r="P5575" s="7"/>
    </row>
    <row r="5576" spans="1:16">
      <c r="A5576" s="3">
        <v>43952.684374999997</v>
      </c>
      <c r="B5576" s="4" t="str">
        <f>HYPERLINK("https://twitter.com/petrogustavo","@petrogustavo")</f>
        <v>@petrogustavo</v>
      </c>
      <c r="C5576" s="5" t="s">
        <v>16</v>
      </c>
      <c r="D5576" s="5" t="s">
        <v>5433</v>
      </c>
      <c r="E5576" s="6" t="str">
        <f>HYPERLINK("https://twitter.com/petrogustavo/status/1256175408606740480","1256175408606740480")</f>
        <v>1256175408606740480</v>
      </c>
      <c r="F5576" s="7" t="s">
        <v>32</v>
      </c>
      <c r="G5576" s="7">
        <v>3809991</v>
      </c>
      <c r="H5576" s="7">
        <v>2401</v>
      </c>
      <c r="I5576" s="7">
        <v>15</v>
      </c>
      <c r="J5576" s="7">
        <v>0</v>
      </c>
      <c r="K5576" s="7" t="s">
        <v>18</v>
      </c>
      <c r="L5576" s="8">
        <v>39987.315405092595</v>
      </c>
      <c r="M5576" s="9" t="s">
        <v>19</v>
      </c>
      <c r="N5576" s="9" t="s">
        <v>20</v>
      </c>
      <c r="O5576" s="6" t="str">
        <f>HYPERLINK("https://pbs.twimg.com/profile_images/962471262747529216/Uo8lOkRJ_normal.jpg","View")</f>
        <v>View</v>
      </c>
      <c r="P5576" s="7"/>
    </row>
    <row r="5577" spans="1:16">
      <c r="A5577" s="3">
        <v>43952.757939814815</v>
      </c>
      <c r="B5577" s="4" t="str">
        <f>HYPERLINK("https://twitter.com/petrogustavo","@petrogustavo")</f>
        <v>@petrogustavo</v>
      </c>
      <c r="C5577" s="5" t="s">
        <v>16</v>
      </c>
      <c r="D5577" s="5" t="s">
        <v>5434</v>
      </c>
      <c r="E5577" s="6" t="str">
        <f>HYPERLINK("https://twitter.com/petrogustavo/status/1256202067552677889","1256202067552677889")</f>
        <v>1256202067552677889</v>
      </c>
      <c r="F5577" s="7" t="s">
        <v>17</v>
      </c>
      <c r="G5577" s="7">
        <v>3810080</v>
      </c>
      <c r="H5577" s="7">
        <v>2401</v>
      </c>
      <c r="I5577" s="7">
        <v>540</v>
      </c>
      <c r="J5577" s="7">
        <v>0</v>
      </c>
      <c r="K5577" s="7" t="s">
        <v>18</v>
      </c>
      <c r="L5577" s="8">
        <v>39987.315405092595</v>
      </c>
      <c r="M5577" s="9" t="s">
        <v>19</v>
      </c>
      <c r="N5577" s="9" t="s">
        <v>20</v>
      </c>
      <c r="O5577" s="6" t="str">
        <f>HYPERLINK("https://pbs.twimg.com/profile_images/962471262747529216/Uo8lOkRJ_normal.jpg","View")</f>
        <v>View</v>
      </c>
      <c r="P5577" s="7"/>
    </row>
    <row r="5578" spans="1:16">
      <c r="A5578" s="3">
        <v>43952.830138888894</v>
      </c>
      <c r="B5578" s="4" t="str">
        <f>HYPERLINK("https://twitter.com/petrogustavo","@petrogustavo")</f>
        <v>@petrogustavo</v>
      </c>
      <c r="C5578" s="5" t="s">
        <v>16</v>
      </c>
      <c r="D5578" s="5" t="s">
        <v>5435</v>
      </c>
      <c r="E5578" s="6" t="str">
        <f>HYPERLINK("https://twitter.com/petrogustavo/status/1256228231595859968","1256228231595859968")</f>
        <v>1256228231595859968</v>
      </c>
      <c r="F5578" s="7" t="s">
        <v>21</v>
      </c>
      <c r="G5578" s="7">
        <v>3810206</v>
      </c>
      <c r="H5578" s="7">
        <v>2401</v>
      </c>
      <c r="I5578" s="7">
        <v>107</v>
      </c>
      <c r="J5578" s="7">
        <v>320</v>
      </c>
      <c r="K5578" s="7" t="s">
        <v>18</v>
      </c>
      <c r="L5578" s="8">
        <v>39987.315405092595</v>
      </c>
      <c r="M5578" s="9" t="s">
        <v>19</v>
      </c>
      <c r="N5578" s="9" t="s">
        <v>20</v>
      </c>
      <c r="O5578" s="6" t="str">
        <f>HYPERLINK("https://pbs.twimg.com/profile_images/962471262747529216/Uo8lOkRJ_normal.jpg","View")</f>
        <v>View</v>
      </c>
      <c r="P5578" s="7"/>
    </row>
    <row r="5579" spans="1:16">
      <c r="A5579" s="3">
        <v>43952.917847222227</v>
      </c>
      <c r="B5579" s="4" t="str">
        <f>HYPERLINK("https://twitter.com/petrogustavo","@petrogustavo")</f>
        <v>@petrogustavo</v>
      </c>
      <c r="C5579" s="5" t="s">
        <v>16</v>
      </c>
      <c r="D5579" s="5" t="s">
        <v>5436</v>
      </c>
      <c r="E5579" s="6" t="str">
        <f>HYPERLINK("https://twitter.com/petrogustavo/status/1256260015977107456","1256260015977107456")</f>
        <v>1256260015977107456</v>
      </c>
      <c r="F5579" s="7" t="s">
        <v>17</v>
      </c>
      <c r="G5579" s="7">
        <v>3810379</v>
      </c>
      <c r="H5579" s="7">
        <v>2401</v>
      </c>
      <c r="I5579" s="7">
        <v>1056</v>
      </c>
      <c r="J5579" s="7">
        <v>0</v>
      </c>
      <c r="K5579" s="7" t="s">
        <v>18</v>
      </c>
      <c r="L5579" s="8">
        <v>39987.315405092595</v>
      </c>
      <c r="M5579" s="9" t="s">
        <v>19</v>
      </c>
      <c r="N5579" s="9" t="s">
        <v>20</v>
      </c>
      <c r="O5579" s="6" t="str">
        <f>HYPERLINK("https://pbs.twimg.com/profile_images/962471262747529216/Uo8lOkRJ_normal.jpg","View")</f>
        <v>View</v>
      </c>
      <c r="P5579" s="7"/>
    </row>
    <row r="5580" spans="1:16">
      <c r="A5580" s="3">
        <v>43953.078368055554</v>
      </c>
      <c r="B5580" s="4" t="str">
        <f>HYPERLINK("https://twitter.com/petrogustavo","@petrogustavo")</f>
        <v>@petrogustavo</v>
      </c>
      <c r="C5580" s="5" t="s">
        <v>16</v>
      </c>
      <c r="D5580" s="5" t="s">
        <v>5436</v>
      </c>
      <c r="E5580" s="6" t="str">
        <f>HYPERLINK("https://twitter.com/petrogustavo/status/1256318186389032961","1256318186389032961")</f>
        <v>1256318186389032961</v>
      </c>
      <c r="F5580" s="7" t="s">
        <v>17</v>
      </c>
      <c r="G5580" s="7">
        <v>3810691</v>
      </c>
      <c r="H5580" s="7">
        <v>2401</v>
      </c>
      <c r="I5580" s="7">
        <v>1903</v>
      </c>
      <c r="J5580" s="7">
        <v>0</v>
      </c>
      <c r="K5580" s="7" t="s">
        <v>18</v>
      </c>
      <c r="L5580" s="8">
        <v>39987.315405092595</v>
      </c>
      <c r="M5580" s="9" t="s">
        <v>19</v>
      </c>
      <c r="N5580" s="9" t="s">
        <v>20</v>
      </c>
      <c r="O5580" s="6" t="str">
        <f>HYPERLINK("https://pbs.twimg.com/profile_images/962471262747529216/Uo8lOkRJ_normal.jpg","View")</f>
        <v>View</v>
      </c>
      <c r="P5580" s="7"/>
    </row>
    <row r="5581" spans="1:16">
      <c r="A5581" s="3">
        <v>43953.108495370368</v>
      </c>
      <c r="B5581" s="4" t="str">
        <f>HYPERLINK("https://twitter.com/petrogustavo","@petrogustavo")</f>
        <v>@petrogustavo</v>
      </c>
      <c r="C5581" s="5" t="s">
        <v>16</v>
      </c>
      <c r="D5581" s="5" t="s">
        <v>5437</v>
      </c>
      <c r="E5581" s="6" t="str">
        <f>HYPERLINK("https://twitter.com/petrogustavo/status/1256329104518856705","1256329104518856705")</f>
        <v>1256329104518856705</v>
      </c>
      <c r="F5581" s="7" t="s">
        <v>17</v>
      </c>
      <c r="G5581" s="7">
        <v>3810781</v>
      </c>
      <c r="H5581" s="7">
        <v>2401</v>
      </c>
      <c r="I5581" s="7">
        <v>133</v>
      </c>
      <c r="J5581" s="7">
        <v>0</v>
      </c>
      <c r="K5581" s="7" t="s">
        <v>18</v>
      </c>
      <c r="L5581" s="8">
        <v>39987.315405092595</v>
      </c>
      <c r="M5581" s="9" t="s">
        <v>19</v>
      </c>
      <c r="N5581" s="9" t="s">
        <v>20</v>
      </c>
      <c r="O5581" s="6" t="str">
        <f>HYPERLINK("https://pbs.twimg.com/profile_images/962471262747529216/Uo8lOkRJ_normal.jpg","View")</f>
        <v>View</v>
      </c>
      <c r="P5581" s="7"/>
    </row>
    <row r="5582" spans="1:16">
      <c r="A5582" s="3">
        <v>43953.111689814818</v>
      </c>
      <c r="B5582" s="4" t="str">
        <f>HYPERLINK("https://twitter.com/petrogustavo","@petrogustavo")</f>
        <v>@petrogustavo</v>
      </c>
      <c r="C5582" s="5" t="s">
        <v>16</v>
      </c>
      <c r="D5582" s="5" t="s">
        <v>5438</v>
      </c>
      <c r="E5582" s="6" t="str">
        <f>HYPERLINK("https://twitter.com/petrogustavo/status/1256330259755970561","1256330259755970561")</f>
        <v>1256330259755970561</v>
      </c>
      <c r="F5582" s="7" t="s">
        <v>17</v>
      </c>
      <c r="G5582" s="7">
        <v>3810781</v>
      </c>
      <c r="H5582" s="7">
        <v>2401</v>
      </c>
      <c r="I5582" s="7">
        <v>171</v>
      </c>
      <c r="J5582" s="7">
        <v>0</v>
      </c>
      <c r="K5582" s="7" t="s">
        <v>18</v>
      </c>
      <c r="L5582" s="8">
        <v>39987.315405092595</v>
      </c>
      <c r="M5582" s="9" t="s">
        <v>19</v>
      </c>
      <c r="N5582" s="9" t="s">
        <v>20</v>
      </c>
      <c r="O5582" s="6" t="str">
        <f>HYPERLINK("https://pbs.twimg.com/profile_images/962471262747529216/Uo8lOkRJ_normal.jpg","View")</f>
        <v>View</v>
      </c>
      <c r="P5582" s="7"/>
    </row>
    <row r="5583" spans="1:16">
      <c r="A5583" s="3">
        <v>43953.117037037038</v>
      </c>
      <c r="B5583" s="4" t="str">
        <f>HYPERLINK("https://twitter.com/petrogustavo","@petrogustavo")</f>
        <v>@petrogustavo</v>
      </c>
      <c r="C5583" s="5" t="s">
        <v>16</v>
      </c>
      <c r="D5583" s="5" t="s">
        <v>5439</v>
      </c>
      <c r="E5583" s="6" t="str">
        <f>HYPERLINK("https://twitter.com/petrogustavo/status/1256332200556916737","1256332200556916737")</f>
        <v>1256332200556916737</v>
      </c>
      <c r="F5583" s="7" t="s">
        <v>17</v>
      </c>
      <c r="G5583" s="7">
        <v>3810781</v>
      </c>
      <c r="H5583" s="7">
        <v>2401</v>
      </c>
      <c r="I5583" s="7">
        <v>124</v>
      </c>
      <c r="J5583" s="7">
        <v>213</v>
      </c>
      <c r="K5583" s="7" t="s">
        <v>18</v>
      </c>
      <c r="L5583" s="8">
        <v>39987.315405092595</v>
      </c>
      <c r="M5583" s="9" t="s">
        <v>19</v>
      </c>
      <c r="N5583" s="9" t="s">
        <v>20</v>
      </c>
      <c r="O5583" s="6" t="str">
        <f>HYPERLINK("https://pbs.twimg.com/profile_images/962471262747529216/Uo8lOkRJ_normal.jpg","View")</f>
        <v>View</v>
      </c>
      <c r="P5583" s="7"/>
    </row>
    <row r="5584" spans="1:16">
      <c r="A5584" s="3">
        <v>43953.137476851851</v>
      </c>
      <c r="B5584" s="4" t="str">
        <f>HYPERLINK("https://twitter.com/petrogustavo","@petrogustavo")</f>
        <v>@petrogustavo</v>
      </c>
      <c r="C5584" s="5" t="s">
        <v>16</v>
      </c>
      <c r="D5584" s="5" t="s">
        <v>5436</v>
      </c>
      <c r="E5584" s="6" t="str">
        <f>HYPERLINK("https://twitter.com/petrogustavo/status/1256339606577967105","1256339606577967105")</f>
        <v>1256339606577967105</v>
      </c>
      <c r="F5584" s="7" t="s">
        <v>17</v>
      </c>
      <c r="G5584" s="7">
        <v>3810815</v>
      </c>
      <c r="H5584" s="7">
        <v>2401</v>
      </c>
      <c r="I5584" s="7">
        <v>2098</v>
      </c>
      <c r="J5584" s="7">
        <v>0</v>
      </c>
      <c r="K5584" s="7" t="s">
        <v>18</v>
      </c>
      <c r="L5584" s="8">
        <v>39987.315405092595</v>
      </c>
      <c r="M5584" s="9" t="s">
        <v>19</v>
      </c>
      <c r="N5584" s="9" t="s">
        <v>20</v>
      </c>
      <c r="O5584" s="6" t="str">
        <f>HYPERLINK("https://pbs.twimg.com/profile_images/962471262747529216/Uo8lOkRJ_normal.jpg","View")</f>
        <v>View</v>
      </c>
      <c r="P5584" s="7"/>
    </row>
    <row r="5585" spans="1:16">
      <c r="A5585" s="3">
        <v>43953.170787037037</v>
      </c>
      <c r="B5585" s="4" t="str">
        <f>HYPERLINK("https://twitter.com/petrogustavo","@petrogustavo")</f>
        <v>@petrogustavo</v>
      </c>
      <c r="C5585" s="5" t="s">
        <v>16</v>
      </c>
      <c r="D5585" s="5" t="s">
        <v>5440</v>
      </c>
      <c r="E5585" s="6" t="str">
        <f>HYPERLINK("https://twitter.com/petrogustavo/status/1256351676371546114","1256351676371546114")</f>
        <v>1256351676371546114</v>
      </c>
      <c r="F5585" s="7" t="s">
        <v>17</v>
      </c>
      <c r="G5585" s="7">
        <v>3810853</v>
      </c>
      <c r="H5585" s="7">
        <v>2401</v>
      </c>
      <c r="I5585" s="7">
        <v>125</v>
      </c>
      <c r="J5585" s="7">
        <v>319</v>
      </c>
      <c r="K5585" s="7" t="s">
        <v>18</v>
      </c>
      <c r="L5585" s="8">
        <v>39987.315405092595</v>
      </c>
      <c r="M5585" s="9" t="s">
        <v>19</v>
      </c>
      <c r="N5585" s="9" t="s">
        <v>20</v>
      </c>
      <c r="O5585" s="6" t="str">
        <f>HYPERLINK("https://pbs.twimg.com/profile_images/962471262747529216/Uo8lOkRJ_normal.jpg","View")</f>
        <v>View</v>
      </c>
      <c r="P5585" s="7"/>
    </row>
    <row r="5586" spans="1:16">
      <c r="A5586" s="3">
        <v>43953.230821759258</v>
      </c>
      <c r="B5586" s="4" t="str">
        <f>HYPERLINK("https://twitter.com/petrogustavo","@petrogustavo")</f>
        <v>@petrogustavo</v>
      </c>
      <c r="C5586" s="5" t="s">
        <v>16</v>
      </c>
      <c r="D5586" s="5" t="s">
        <v>5441</v>
      </c>
      <c r="E5586" s="6" t="str">
        <f>HYPERLINK("https://twitter.com/petrogustavo/status/1256373435317575680","1256373435317575680")</f>
        <v>1256373435317575680</v>
      </c>
      <c r="F5586" s="7" t="s">
        <v>17</v>
      </c>
      <c r="G5586" s="7">
        <v>3810928</v>
      </c>
      <c r="H5586" s="7">
        <v>2401</v>
      </c>
      <c r="I5586" s="7">
        <v>2</v>
      </c>
      <c r="J5586" s="7">
        <v>4</v>
      </c>
      <c r="K5586" s="7" t="s">
        <v>18</v>
      </c>
      <c r="L5586" s="8">
        <v>39987.315405092595</v>
      </c>
      <c r="M5586" s="9" t="s">
        <v>19</v>
      </c>
      <c r="N5586" s="9" t="s">
        <v>20</v>
      </c>
      <c r="O5586" s="6" t="str">
        <f>HYPERLINK("https://pbs.twimg.com/profile_images/962471262747529216/Uo8lOkRJ_normal.jpg","View")</f>
        <v>View</v>
      </c>
      <c r="P5586" s="7"/>
    </row>
    <row r="5587" spans="1:16">
      <c r="A5587" s="3">
        <v>43953.23538194444</v>
      </c>
      <c r="B5587" s="4" t="str">
        <f>HYPERLINK("https://twitter.com/petrogustavo","@petrogustavo")</f>
        <v>@petrogustavo</v>
      </c>
      <c r="C5587" s="5" t="s">
        <v>16</v>
      </c>
      <c r="D5587" s="5" t="s">
        <v>5442</v>
      </c>
      <c r="E5587" s="6" t="str">
        <f>HYPERLINK("https://twitter.com/petrogustavo/status/1256375084803149824","1256375084803149824")</f>
        <v>1256375084803149824</v>
      </c>
      <c r="F5587" s="7" t="s">
        <v>17</v>
      </c>
      <c r="G5587" s="7">
        <v>3810976</v>
      </c>
      <c r="H5587" s="7">
        <v>2401</v>
      </c>
      <c r="I5587" s="7">
        <v>229</v>
      </c>
      <c r="J5587" s="7">
        <v>372</v>
      </c>
      <c r="K5587" s="7" t="s">
        <v>18</v>
      </c>
      <c r="L5587" s="8">
        <v>39987.315405092595</v>
      </c>
      <c r="M5587" s="9" t="s">
        <v>19</v>
      </c>
      <c r="N5587" s="9" t="s">
        <v>20</v>
      </c>
      <c r="O5587" s="6" t="str">
        <f>HYPERLINK("https://pbs.twimg.com/profile_images/962471262747529216/Uo8lOkRJ_normal.jpg","View")</f>
        <v>View</v>
      </c>
      <c r="P5587" s="7"/>
    </row>
    <row r="5588" spans="1:16">
      <c r="A5588" s="3">
        <v>43953.740914351853</v>
      </c>
      <c r="B5588" s="4" t="str">
        <f>HYPERLINK("https://twitter.com/petrogustavo","@petrogustavo")</f>
        <v>@petrogustavo</v>
      </c>
      <c r="C5588" s="5" t="s">
        <v>16</v>
      </c>
      <c r="D5588" s="5" t="s">
        <v>5443</v>
      </c>
      <c r="E5588" s="6" t="str">
        <f>HYPERLINK("https://twitter.com/petrogustavo/status/1256558285030862848","1256558285030862848")</f>
        <v>1256558285030862848</v>
      </c>
      <c r="F5588" s="7" t="s">
        <v>17</v>
      </c>
      <c r="G5588" s="7">
        <v>3811541</v>
      </c>
      <c r="H5588" s="7">
        <v>2401</v>
      </c>
      <c r="I5588" s="7">
        <v>135</v>
      </c>
      <c r="J5588" s="7">
        <v>267</v>
      </c>
      <c r="K5588" s="7" t="s">
        <v>18</v>
      </c>
      <c r="L5588" s="8">
        <v>39987.315405092595</v>
      </c>
      <c r="M5588" s="9" t="s">
        <v>19</v>
      </c>
      <c r="N5588" s="9" t="s">
        <v>20</v>
      </c>
      <c r="O5588" s="6" t="str">
        <f>HYPERLINK("https://pbs.twimg.com/profile_images/962471262747529216/Uo8lOkRJ_normal.jpg","View")</f>
        <v>View</v>
      </c>
      <c r="P5588" s="7"/>
    </row>
    <row r="5589" spans="1:16">
      <c r="A5589" s="3">
        <v>43953.743159722224</v>
      </c>
      <c r="B5589" s="4" t="str">
        <f>HYPERLINK("https://twitter.com/petrogustavo","@petrogustavo")</f>
        <v>@petrogustavo</v>
      </c>
      <c r="C5589" s="5" t="s">
        <v>16</v>
      </c>
      <c r="D5589" s="5" t="s">
        <v>5444</v>
      </c>
      <c r="E5589" s="6" t="str">
        <f>HYPERLINK("https://twitter.com/petrogustavo/status/1256559097857675266","1256559097857675266")</f>
        <v>1256559097857675266</v>
      </c>
      <c r="F5589" s="7" t="s">
        <v>17</v>
      </c>
      <c r="G5589" s="7">
        <v>3811541</v>
      </c>
      <c r="H5589" s="7">
        <v>2401</v>
      </c>
      <c r="I5589" s="7">
        <v>54</v>
      </c>
      <c r="J5589" s="7">
        <v>140</v>
      </c>
      <c r="K5589" s="7" t="s">
        <v>18</v>
      </c>
      <c r="L5589" s="8">
        <v>39987.315405092595</v>
      </c>
      <c r="M5589" s="9" t="s">
        <v>19</v>
      </c>
      <c r="N5589" s="9" t="s">
        <v>20</v>
      </c>
      <c r="O5589" s="6" t="str">
        <f>HYPERLINK("https://pbs.twimg.com/profile_images/962471262747529216/Uo8lOkRJ_normal.jpg","View")</f>
        <v>View</v>
      </c>
      <c r="P5589" s="7"/>
    </row>
    <row r="5590" spans="1:16">
      <c r="A5590" s="3">
        <v>43953.750381944439</v>
      </c>
      <c r="B5590" s="4" t="str">
        <f>HYPERLINK("https://twitter.com/petrogustavo","@petrogustavo")</f>
        <v>@petrogustavo</v>
      </c>
      <c r="C5590" s="5" t="s">
        <v>16</v>
      </c>
      <c r="D5590" s="5" t="s">
        <v>5445</v>
      </c>
      <c r="E5590" s="6" t="str">
        <f>HYPERLINK("https://twitter.com/petrogustavo/status/1256561715891888128","1256561715891888128")</f>
        <v>1256561715891888128</v>
      </c>
      <c r="F5590" s="7" t="s">
        <v>17</v>
      </c>
      <c r="G5590" s="7">
        <v>3811541</v>
      </c>
      <c r="H5590" s="7">
        <v>2401</v>
      </c>
      <c r="I5590" s="7">
        <v>1</v>
      </c>
      <c r="J5590" s="7">
        <v>7</v>
      </c>
      <c r="K5590" s="7" t="s">
        <v>18</v>
      </c>
      <c r="L5590" s="8">
        <v>39987.315405092595</v>
      </c>
      <c r="M5590" s="9" t="s">
        <v>19</v>
      </c>
      <c r="N5590" s="9" t="s">
        <v>20</v>
      </c>
      <c r="O5590" s="6" t="str">
        <f>HYPERLINK("https://pbs.twimg.com/profile_images/962471262747529216/Uo8lOkRJ_normal.jpg","View")</f>
        <v>View</v>
      </c>
      <c r="P5590" s="7"/>
    </row>
    <row r="5591" spans="1:16">
      <c r="A5591" s="3">
        <v>43953.755046296297</v>
      </c>
      <c r="B5591" s="4" t="str">
        <f>HYPERLINK("https://twitter.com/petrogustavo","@petrogustavo")</f>
        <v>@petrogustavo</v>
      </c>
      <c r="C5591" s="5" t="s">
        <v>16</v>
      </c>
      <c r="D5591" s="5" t="s">
        <v>5446</v>
      </c>
      <c r="E5591" s="6" t="str">
        <f>HYPERLINK("https://twitter.com/petrogustavo/status/1256563404166369280","1256563404166369280")</f>
        <v>1256563404166369280</v>
      </c>
      <c r="F5591" s="7" t="s">
        <v>17</v>
      </c>
      <c r="G5591" s="7">
        <v>3811570</v>
      </c>
      <c r="H5591" s="7">
        <v>2403</v>
      </c>
      <c r="I5591" s="7">
        <v>59</v>
      </c>
      <c r="J5591" s="7">
        <v>158</v>
      </c>
      <c r="K5591" s="7" t="s">
        <v>18</v>
      </c>
      <c r="L5591" s="8">
        <v>39987.315405092595</v>
      </c>
      <c r="M5591" s="9" t="s">
        <v>19</v>
      </c>
      <c r="N5591" s="9" t="s">
        <v>20</v>
      </c>
      <c r="O5591" s="6" t="str">
        <f>HYPERLINK("https://pbs.twimg.com/profile_images/962471262747529216/Uo8lOkRJ_normal.jpg","View")</f>
        <v>View</v>
      </c>
      <c r="P5591" s="7"/>
    </row>
    <row r="5592" spans="1:16">
      <c r="A5592" s="3">
        <v>43953.785532407404</v>
      </c>
      <c r="B5592" s="4" t="str">
        <f>HYPERLINK("https://twitter.com/petrogustavo","@petrogustavo")</f>
        <v>@petrogustavo</v>
      </c>
      <c r="C5592" s="5" t="s">
        <v>16</v>
      </c>
      <c r="D5592" s="5" t="s">
        <v>5447</v>
      </c>
      <c r="E5592" s="6" t="str">
        <f>HYPERLINK("https://twitter.com/petrogustavo/status/1256574455712755715","1256574455712755715")</f>
        <v>1256574455712755715</v>
      </c>
      <c r="F5592" s="7" t="s">
        <v>17</v>
      </c>
      <c r="G5592" s="7">
        <v>3811601</v>
      </c>
      <c r="H5592" s="7">
        <v>2403</v>
      </c>
      <c r="I5592" s="7">
        <v>34</v>
      </c>
      <c r="J5592" s="7">
        <v>91</v>
      </c>
      <c r="K5592" s="7" t="s">
        <v>18</v>
      </c>
      <c r="L5592" s="8">
        <v>39987.315405092595</v>
      </c>
      <c r="M5592" s="9" t="s">
        <v>19</v>
      </c>
      <c r="N5592" s="9" t="s">
        <v>20</v>
      </c>
      <c r="O5592" s="6" t="str">
        <f>HYPERLINK("https://pbs.twimg.com/profile_images/962471262747529216/Uo8lOkRJ_normal.jpg","View")</f>
        <v>View</v>
      </c>
      <c r="P5592" s="7"/>
    </row>
    <row r="5593" spans="1:16">
      <c r="A5593" s="3">
        <v>43953.840636574074</v>
      </c>
      <c r="B5593" s="4" t="str">
        <f>HYPERLINK("https://twitter.com/petrogustavo","@petrogustavo")</f>
        <v>@petrogustavo</v>
      </c>
      <c r="C5593" s="5" t="s">
        <v>16</v>
      </c>
      <c r="D5593" s="5" t="s">
        <v>5448</v>
      </c>
      <c r="E5593" s="6" t="str">
        <f>HYPERLINK("https://twitter.com/petrogustavo/status/1256594421665140738","1256594421665140738")</f>
        <v>1256594421665140738</v>
      </c>
      <c r="F5593" s="7" t="s">
        <v>17</v>
      </c>
      <c r="G5593" s="7">
        <v>3811722</v>
      </c>
      <c r="H5593" s="7">
        <v>2403</v>
      </c>
      <c r="I5593" s="7">
        <v>807</v>
      </c>
      <c r="J5593" s="7">
        <v>0</v>
      </c>
      <c r="K5593" s="7" t="s">
        <v>18</v>
      </c>
      <c r="L5593" s="8">
        <v>39987.315405092595</v>
      </c>
      <c r="M5593" s="9" t="s">
        <v>19</v>
      </c>
      <c r="N5593" s="9" t="s">
        <v>20</v>
      </c>
      <c r="O5593" s="6" t="str">
        <f>HYPERLINK("https://pbs.twimg.com/profile_images/962471262747529216/Uo8lOkRJ_normal.jpg","View")</f>
        <v>View</v>
      </c>
      <c r="P5593" s="7"/>
    </row>
    <row r="5594" spans="1:16">
      <c r="A5594" s="3">
        <v>43953.985358796301</v>
      </c>
      <c r="B5594" s="4" t="str">
        <f>HYPERLINK("https://twitter.com/petrogustavo","@petrogustavo")</f>
        <v>@petrogustavo</v>
      </c>
      <c r="C5594" s="5" t="s">
        <v>16</v>
      </c>
      <c r="D5594" s="5" t="s">
        <v>5448</v>
      </c>
      <c r="E5594" s="6" t="str">
        <f>HYPERLINK("https://twitter.com/petrogustavo/status/1256646870388150278","1256646870388150278")</f>
        <v>1256646870388150278</v>
      </c>
      <c r="F5594" s="7" t="s">
        <v>17</v>
      </c>
      <c r="G5594" s="7">
        <v>3811989</v>
      </c>
      <c r="H5594" s="7">
        <v>2403</v>
      </c>
      <c r="I5594" s="7">
        <v>1324</v>
      </c>
      <c r="J5594" s="7">
        <v>0</v>
      </c>
      <c r="K5594" s="7" t="s">
        <v>18</v>
      </c>
      <c r="L5594" s="8">
        <v>39987.315405092595</v>
      </c>
      <c r="M5594" s="9" t="s">
        <v>19</v>
      </c>
      <c r="N5594" s="9" t="s">
        <v>20</v>
      </c>
      <c r="O5594" s="6" t="str">
        <f>HYPERLINK("https://pbs.twimg.com/profile_images/962471262747529216/Uo8lOkRJ_normal.jpg","View")</f>
        <v>View</v>
      </c>
      <c r="P5594" s="7"/>
    </row>
    <row r="5595" spans="1:16">
      <c r="A5595" s="3">
        <v>43953.999432870369</v>
      </c>
      <c r="B5595" s="4" t="str">
        <f>HYPERLINK("https://twitter.com/petrogustavo","@petrogustavo")</f>
        <v>@petrogustavo</v>
      </c>
      <c r="C5595" s="5" t="s">
        <v>16</v>
      </c>
      <c r="D5595" s="5" t="s">
        <v>5449</v>
      </c>
      <c r="E5595" s="6" t="str">
        <f>HYPERLINK("https://twitter.com/petrogustavo/status/1256651968317186059","1256651968317186059")</f>
        <v>1256651968317186059</v>
      </c>
      <c r="F5595" s="7" t="s">
        <v>17</v>
      </c>
      <c r="G5595" s="7">
        <v>3811989</v>
      </c>
      <c r="H5595" s="7">
        <v>2403</v>
      </c>
      <c r="I5595" s="7">
        <v>32</v>
      </c>
      <c r="J5595" s="7">
        <v>44</v>
      </c>
      <c r="K5595" s="7" t="s">
        <v>18</v>
      </c>
      <c r="L5595" s="8">
        <v>39987.315405092595</v>
      </c>
      <c r="M5595" s="9" t="s">
        <v>19</v>
      </c>
      <c r="N5595" s="9" t="s">
        <v>20</v>
      </c>
      <c r="O5595" s="6" t="str">
        <f>HYPERLINK("https://pbs.twimg.com/profile_images/962471262747529216/Uo8lOkRJ_normal.jpg","View")</f>
        <v>View</v>
      </c>
      <c r="P5595" s="7"/>
    </row>
    <row r="5596" spans="1:16">
      <c r="A5596" s="3">
        <v>43954.017222222217</v>
      </c>
      <c r="B5596" s="4" t="str">
        <f>HYPERLINK("https://twitter.com/petrogustavo","@petrogustavo")</f>
        <v>@petrogustavo</v>
      </c>
      <c r="C5596" s="5" t="s">
        <v>16</v>
      </c>
      <c r="D5596" s="5" t="s">
        <v>5450</v>
      </c>
      <c r="E5596" s="6" t="str">
        <f>HYPERLINK("https://twitter.com/petrogustavo/status/1256658416531116034","1256658416531116034")</f>
        <v>1256658416531116034</v>
      </c>
      <c r="F5596" s="7" t="s">
        <v>17</v>
      </c>
      <c r="G5596" s="7">
        <v>3812034</v>
      </c>
      <c r="H5596" s="7">
        <v>2403</v>
      </c>
      <c r="I5596" s="7">
        <v>71</v>
      </c>
      <c r="J5596" s="7">
        <v>170</v>
      </c>
      <c r="K5596" s="7" t="s">
        <v>18</v>
      </c>
      <c r="L5596" s="8">
        <v>39987.315405092595</v>
      </c>
      <c r="M5596" s="9" t="s">
        <v>19</v>
      </c>
      <c r="N5596" s="9" t="s">
        <v>20</v>
      </c>
      <c r="O5596" s="6" t="str">
        <f>HYPERLINK("https://pbs.twimg.com/profile_images/962471262747529216/Uo8lOkRJ_normal.jpg","View")</f>
        <v>View</v>
      </c>
      <c r="P5596" s="7"/>
    </row>
    <row r="5597" spans="1:16">
      <c r="A5597" s="3">
        <v>43954.024583333332</v>
      </c>
      <c r="B5597" s="4" t="str">
        <f>HYPERLINK("https://twitter.com/petrogustavo","@petrogustavo")</f>
        <v>@petrogustavo</v>
      </c>
      <c r="C5597" s="5" t="s">
        <v>16</v>
      </c>
      <c r="D5597" s="5" t="s">
        <v>5451</v>
      </c>
      <c r="E5597" s="6" t="str">
        <f>HYPERLINK("https://twitter.com/petrogustavo/status/1256661084972503042","1256661084972503042")</f>
        <v>1256661084972503042</v>
      </c>
      <c r="F5597" s="7" t="s">
        <v>17</v>
      </c>
      <c r="G5597" s="7">
        <v>3812067</v>
      </c>
      <c r="H5597" s="7">
        <v>2403</v>
      </c>
      <c r="I5597" s="7">
        <v>125</v>
      </c>
      <c r="J5597" s="7">
        <v>235</v>
      </c>
      <c r="K5597" s="7" t="s">
        <v>18</v>
      </c>
      <c r="L5597" s="8">
        <v>39987.315405092595</v>
      </c>
      <c r="M5597" s="9" t="s">
        <v>19</v>
      </c>
      <c r="N5597" s="9" t="s">
        <v>20</v>
      </c>
      <c r="O5597" s="6" t="str">
        <f>HYPERLINK("https://pbs.twimg.com/profile_images/962471262747529216/Uo8lOkRJ_normal.jpg","View")</f>
        <v>View</v>
      </c>
      <c r="P5597" s="7"/>
    </row>
    <row r="5598" spans="1:16">
      <c r="A5598" s="3">
        <v>43954.027361111112</v>
      </c>
      <c r="B5598" s="4" t="str">
        <f>HYPERLINK("https://twitter.com/petrogustavo","@petrogustavo")</f>
        <v>@petrogustavo</v>
      </c>
      <c r="C5598" s="5" t="s">
        <v>16</v>
      </c>
      <c r="D5598" s="5" t="s">
        <v>5452</v>
      </c>
      <c r="E5598" s="6" t="str">
        <f>HYPERLINK("https://twitter.com/petrogustavo/status/1256662088224735233","1256662088224735233")</f>
        <v>1256662088224735233</v>
      </c>
      <c r="F5598" s="7" t="s">
        <v>17</v>
      </c>
      <c r="G5598" s="7">
        <v>3812067</v>
      </c>
      <c r="H5598" s="7">
        <v>2403</v>
      </c>
      <c r="I5598" s="7">
        <v>81</v>
      </c>
      <c r="J5598" s="7">
        <v>145</v>
      </c>
      <c r="K5598" s="7" t="s">
        <v>18</v>
      </c>
      <c r="L5598" s="8">
        <v>39987.315405092595</v>
      </c>
      <c r="M5598" s="9" t="s">
        <v>19</v>
      </c>
      <c r="N5598" s="9" t="s">
        <v>20</v>
      </c>
      <c r="O5598" s="6" t="str">
        <f>HYPERLINK("https://pbs.twimg.com/profile_images/962471262747529216/Uo8lOkRJ_normal.jpg","View")</f>
        <v>View</v>
      </c>
      <c r="P5598" s="7"/>
    </row>
    <row r="5599" spans="1:16">
      <c r="A5599" s="3">
        <v>43954.036817129629</v>
      </c>
      <c r="B5599" s="4" t="str">
        <f>HYPERLINK("https://twitter.com/petrogustavo","@petrogustavo")</f>
        <v>@petrogustavo</v>
      </c>
      <c r="C5599" s="5" t="s">
        <v>16</v>
      </c>
      <c r="D5599" s="5" t="s">
        <v>5453</v>
      </c>
      <c r="E5599" s="6" t="str">
        <f>HYPERLINK("https://twitter.com/petrogustavo/status/1256665517953335296","1256665517953335296")</f>
        <v>1256665517953335296</v>
      </c>
      <c r="F5599" s="7" t="s">
        <v>17</v>
      </c>
      <c r="G5599" s="7">
        <v>3812067</v>
      </c>
      <c r="H5599" s="7">
        <v>2403</v>
      </c>
      <c r="I5599" s="7">
        <v>42</v>
      </c>
      <c r="J5599" s="7">
        <v>75</v>
      </c>
      <c r="K5599" s="7" t="s">
        <v>18</v>
      </c>
      <c r="L5599" s="8">
        <v>39987.315405092595</v>
      </c>
      <c r="M5599" s="9" t="s">
        <v>19</v>
      </c>
      <c r="N5599" s="9" t="s">
        <v>20</v>
      </c>
      <c r="O5599" s="6" t="str">
        <f>HYPERLINK("https://pbs.twimg.com/profile_images/962471262747529216/Uo8lOkRJ_normal.jpg","View")</f>
        <v>View</v>
      </c>
      <c r="P5599" s="7"/>
    </row>
    <row r="5600" spans="1:16">
      <c r="A5600" s="3">
        <v>43954.049062499995</v>
      </c>
      <c r="B5600" s="4" t="str">
        <f>HYPERLINK("https://twitter.com/petrogustavo","@petrogustavo")</f>
        <v>@petrogustavo</v>
      </c>
      <c r="C5600" s="5" t="s">
        <v>16</v>
      </c>
      <c r="D5600" s="5" t="s">
        <v>5454</v>
      </c>
      <c r="E5600" s="6" t="str">
        <f>HYPERLINK("https://twitter.com/petrogustavo/status/1256669955958939649","1256669955958939649")</f>
        <v>1256669955958939649</v>
      </c>
      <c r="F5600" s="7" t="s">
        <v>17</v>
      </c>
      <c r="G5600" s="7">
        <v>3812105</v>
      </c>
      <c r="H5600" s="7">
        <v>2403</v>
      </c>
      <c r="I5600" s="7">
        <v>173</v>
      </c>
      <c r="J5600" s="7">
        <v>309</v>
      </c>
      <c r="K5600" s="7" t="s">
        <v>18</v>
      </c>
      <c r="L5600" s="8">
        <v>39987.315405092595</v>
      </c>
      <c r="M5600" s="9" t="s">
        <v>19</v>
      </c>
      <c r="N5600" s="9" t="s">
        <v>20</v>
      </c>
      <c r="O5600" s="6" t="str">
        <f>HYPERLINK("https://pbs.twimg.com/profile_images/962471262747529216/Uo8lOkRJ_normal.jpg","View")</f>
        <v>View</v>
      </c>
      <c r="P5600" s="7"/>
    </row>
    <row r="5601" spans="1:16">
      <c r="A5601" s="3">
        <v>43954.105821759258</v>
      </c>
      <c r="B5601" s="4" t="str">
        <f>HYPERLINK("https://twitter.com/petrogustavo","@petrogustavo")</f>
        <v>@petrogustavo</v>
      </c>
      <c r="C5601" s="5" t="s">
        <v>16</v>
      </c>
      <c r="D5601" s="5" t="s">
        <v>5455</v>
      </c>
      <c r="E5601" s="6" t="str">
        <f>HYPERLINK("https://twitter.com/petrogustavo/status/1256690522086871045","1256690522086871045")</f>
        <v>1256690522086871045</v>
      </c>
      <c r="F5601" s="7" t="s">
        <v>17</v>
      </c>
      <c r="G5601" s="7">
        <v>3812189</v>
      </c>
      <c r="H5601" s="7">
        <v>2403</v>
      </c>
      <c r="I5601" s="7">
        <v>3</v>
      </c>
      <c r="J5601" s="7">
        <v>3</v>
      </c>
      <c r="K5601" s="7" t="s">
        <v>18</v>
      </c>
      <c r="L5601" s="8">
        <v>39987.315405092595</v>
      </c>
      <c r="M5601" s="9" t="s">
        <v>19</v>
      </c>
      <c r="N5601" s="9" t="s">
        <v>20</v>
      </c>
      <c r="O5601" s="6" t="str">
        <f>HYPERLINK("https://pbs.twimg.com/profile_images/962471262747529216/Uo8lOkRJ_normal.jpg","View")</f>
        <v>View</v>
      </c>
      <c r="P5601" s="7"/>
    </row>
    <row r="5602" spans="1:16">
      <c r="A5602" s="3">
        <v>43954.121504629627</v>
      </c>
      <c r="B5602" s="4" t="str">
        <f>HYPERLINK("https://twitter.com/petrogustavo","@petrogustavo")</f>
        <v>@petrogustavo</v>
      </c>
      <c r="C5602" s="5" t="s">
        <v>16</v>
      </c>
      <c r="D5602" s="5" t="s">
        <v>5456</v>
      </c>
      <c r="E5602" s="6" t="str">
        <f>HYPERLINK("https://twitter.com/petrogustavo/status/1256696207470145544","1256696207470145544")</f>
        <v>1256696207470145544</v>
      </c>
      <c r="F5602" s="7" t="s">
        <v>17</v>
      </c>
      <c r="G5602" s="7">
        <v>3812226</v>
      </c>
      <c r="H5602" s="7">
        <v>2403</v>
      </c>
      <c r="I5602" s="7">
        <v>31</v>
      </c>
      <c r="J5602" s="7">
        <v>59</v>
      </c>
      <c r="K5602" s="7" t="s">
        <v>18</v>
      </c>
      <c r="L5602" s="8">
        <v>39987.315405092595</v>
      </c>
      <c r="M5602" s="9" t="s">
        <v>19</v>
      </c>
      <c r="N5602" s="9" t="s">
        <v>20</v>
      </c>
      <c r="O5602" s="6" t="str">
        <f>HYPERLINK("https://pbs.twimg.com/profile_images/962471262747529216/Uo8lOkRJ_normal.jpg","View")</f>
        <v>View</v>
      </c>
      <c r="P5602" s="7"/>
    </row>
    <row r="5603" spans="1:16">
      <c r="A5603" s="3">
        <v>43954.257743055554</v>
      </c>
      <c r="B5603" s="4" t="str">
        <f>HYPERLINK("https://twitter.com/petrogustavo","@petrogustavo")</f>
        <v>@petrogustavo</v>
      </c>
      <c r="C5603" s="5" t="s">
        <v>16</v>
      </c>
      <c r="D5603" s="5" t="s">
        <v>5457</v>
      </c>
      <c r="E5603" s="6" t="str">
        <f>HYPERLINK("https://twitter.com/petrogustavo/status/1256745575552294919","1256745575552294919")</f>
        <v>1256745575552294919</v>
      </c>
      <c r="F5603" s="7" t="s">
        <v>17</v>
      </c>
      <c r="G5603" s="7">
        <v>3812507</v>
      </c>
      <c r="H5603" s="7">
        <v>2403</v>
      </c>
      <c r="I5603" s="7">
        <v>294</v>
      </c>
      <c r="J5603" s="7">
        <v>0</v>
      </c>
      <c r="K5603" s="7" t="s">
        <v>18</v>
      </c>
      <c r="L5603" s="8">
        <v>39987.315405092595</v>
      </c>
      <c r="M5603" s="9" t="s">
        <v>19</v>
      </c>
      <c r="N5603" s="9" t="s">
        <v>20</v>
      </c>
      <c r="O5603" s="6" t="str">
        <f>HYPERLINK("https://pbs.twimg.com/profile_images/962471262747529216/Uo8lOkRJ_normal.jpg","View")</f>
        <v>View</v>
      </c>
      <c r="P5603" s="7"/>
    </row>
    <row r="5604" spans="1:16">
      <c r="A5604" s="3">
        <v>43954.738773148143</v>
      </c>
      <c r="B5604" s="4" t="str">
        <f>HYPERLINK("https://twitter.com/petrogustavo","@petrogustavo")</f>
        <v>@petrogustavo</v>
      </c>
      <c r="C5604" s="5" t="s">
        <v>16</v>
      </c>
      <c r="D5604" s="5" t="s">
        <v>5458</v>
      </c>
      <c r="E5604" s="6" t="str">
        <f>HYPERLINK("https://twitter.com/petrogustavo/status/1256919897478762497","1256919897478762497")</f>
        <v>1256919897478762497</v>
      </c>
      <c r="F5604" s="7" t="s">
        <v>17</v>
      </c>
      <c r="G5604" s="7">
        <v>3813030</v>
      </c>
      <c r="H5604" s="7">
        <v>2403</v>
      </c>
      <c r="I5604" s="7">
        <v>71</v>
      </c>
      <c r="J5604" s="7">
        <v>114</v>
      </c>
      <c r="K5604" s="7" t="s">
        <v>18</v>
      </c>
      <c r="L5604" s="8">
        <v>39987.315405092595</v>
      </c>
      <c r="M5604" s="9" t="s">
        <v>19</v>
      </c>
      <c r="N5604" s="9" t="s">
        <v>20</v>
      </c>
      <c r="O5604" s="6" t="str">
        <f>HYPERLINK("https://pbs.twimg.com/profile_images/962471262747529216/Uo8lOkRJ_normal.jpg","View")</f>
        <v>View</v>
      </c>
      <c r="P5604" s="7"/>
    </row>
    <row r="5605" spans="1:16">
      <c r="A5605" s="3">
        <v>43954.742164351846</v>
      </c>
      <c r="B5605" s="4" t="str">
        <f>HYPERLINK("https://twitter.com/petrogustavo","@petrogustavo")</f>
        <v>@petrogustavo</v>
      </c>
      <c r="C5605" s="5" t="s">
        <v>16</v>
      </c>
      <c r="D5605" s="5" t="s">
        <v>5459</v>
      </c>
      <c r="E5605" s="6" t="str">
        <f>HYPERLINK("https://twitter.com/petrogustavo/status/1256921124170084352","1256921124170084352")</f>
        <v>1256921124170084352</v>
      </c>
      <c r="F5605" s="7" t="s">
        <v>17</v>
      </c>
      <c r="G5605" s="7">
        <v>3813030</v>
      </c>
      <c r="H5605" s="7">
        <v>2403</v>
      </c>
      <c r="I5605" s="7">
        <v>13</v>
      </c>
      <c r="J5605" s="7">
        <v>48</v>
      </c>
      <c r="K5605" s="7" t="s">
        <v>18</v>
      </c>
      <c r="L5605" s="8">
        <v>39987.315405092595</v>
      </c>
      <c r="M5605" s="9" t="s">
        <v>19</v>
      </c>
      <c r="N5605" s="9" t="s">
        <v>20</v>
      </c>
      <c r="O5605" s="6" t="str">
        <f>HYPERLINK("https://pbs.twimg.com/profile_images/962471262747529216/Uo8lOkRJ_normal.jpg","View")</f>
        <v>View</v>
      </c>
      <c r="P5605" s="7"/>
    </row>
    <row r="5606" spans="1:16">
      <c r="A5606" s="3">
        <v>43954.746458333335</v>
      </c>
      <c r="B5606" s="4" t="str">
        <f>HYPERLINK("https://twitter.com/petrogustavo","@petrogustavo")</f>
        <v>@petrogustavo</v>
      </c>
      <c r="C5606" s="5" t="s">
        <v>16</v>
      </c>
      <c r="D5606" s="5" t="s">
        <v>5460</v>
      </c>
      <c r="E5606" s="6" t="str">
        <f>HYPERLINK("https://twitter.com/petrogustavo/status/1256922682194616320","1256922682194616320")</f>
        <v>1256922682194616320</v>
      </c>
      <c r="F5606" s="7" t="s">
        <v>17</v>
      </c>
      <c r="G5606" s="7">
        <v>3813030</v>
      </c>
      <c r="H5606" s="7">
        <v>2403</v>
      </c>
      <c r="I5606" s="7">
        <v>166</v>
      </c>
      <c r="J5606" s="7">
        <v>0</v>
      </c>
      <c r="K5606" s="7" t="s">
        <v>18</v>
      </c>
      <c r="L5606" s="8">
        <v>39987.315405092595</v>
      </c>
      <c r="M5606" s="9" t="s">
        <v>19</v>
      </c>
      <c r="N5606" s="9" t="s">
        <v>20</v>
      </c>
      <c r="O5606" s="6" t="str">
        <f>HYPERLINK("https://pbs.twimg.com/profile_images/962471262747529216/Uo8lOkRJ_normal.jpg","View")</f>
        <v>View</v>
      </c>
      <c r="P5606" s="7"/>
    </row>
    <row r="5607" spans="1:16">
      <c r="A5607" s="3">
        <v>43954.749039351853</v>
      </c>
      <c r="B5607" s="4" t="str">
        <f>HYPERLINK("https://twitter.com/petrogustavo","@petrogustavo")</f>
        <v>@petrogustavo</v>
      </c>
      <c r="C5607" s="5" t="s">
        <v>16</v>
      </c>
      <c r="D5607" s="5" t="s">
        <v>5461</v>
      </c>
      <c r="E5607" s="6" t="str">
        <f>HYPERLINK("https://twitter.com/petrogustavo/status/1256923616794607616","1256923616794607616")</f>
        <v>1256923616794607616</v>
      </c>
      <c r="F5607" s="7" t="s">
        <v>17</v>
      </c>
      <c r="G5607" s="7">
        <v>3813030</v>
      </c>
      <c r="H5607" s="7">
        <v>2403</v>
      </c>
      <c r="I5607" s="7">
        <v>71</v>
      </c>
      <c r="J5607" s="7">
        <v>0</v>
      </c>
      <c r="K5607" s="7" t="s">
        <v>18</v>
      </c>
      <c r="L5607" s="8">
        <v>39987.315405092595</v>
      </c>
      <c r="M5607" s="9" t="s">
        <v>19</v>
      </c>
      <c r="N5607" s="9" t="s">
        <v>20</v>
      </c>
      <c r="O5607" s="6" t="str">
        <f>HYPERLINK("https://pbs.twimg.com/profile_images/962471262747529216/Uo8lOkRJ_normal.jpg","View")</f>
        <v>View</v>
      </c>
      <c r="P5607" s="7"/>
    </row>
    <row r="5608" spans="1:16">
      <c r="A5608" s="3">
        <v>43954.759050925924</v>
      </c>
      <c r="B5608" s="4" t="str">
        <f>HYPERLINK("https://twitter.com/petrogustavo","@petrogustavo")</f>
        <v>@petrogustavo</v>
      </c>
      <c r="C5608" s="5" t="s">
        <v>16</v>
      </c>
      <c r="D5608" s="5" t="s">
        <v>5462</v>
      </c>
      <c r="E5608" s="6" t="str">
        <f>HYPERLINK("https://twitter.com/petrogustavo/status/1256927243265282050","1256927243265282050")</f>
        <v>1256927243265282050</v>
      </c>
      <c r="F5608" s="7" t="s">
        <v>17</v>
      </c>
      <c r="G5608" s="7">
        <v>3813062</v>
      </c>
      <c r="H5608" s="7">
        <v>2403</v>
      </c>
      <c r="I5608" s="7">
        <v>252</v>
      </c>
      <c r="J5608" s="7">
        <v>0</v>
      </c>
      <c r="K5608" s="7" t="s">
        <v>18</v>
      </c>
      <c r="L5608" s="8">
        <v>39987.315405092595</v>
      </c>
      <c r="M5608" s="9" t="s">
        <v>19</v>
      </c>
      <c r="N5608" s="9" t="s">
        <v>20</v>
      </c>
      <c r="O5608" s="6" t="str">
        <f>HYPERLINK("https://pbs.twimg.com/profile_images/962471262747529216/Uo8lOkRJ_normal.jpg","View")</f>
        <v>View</v>
      </c>
      <c r="P5608" s="7"/>
    </row>
    <row r="5609" spans="1:16">
      <c r="A5609" s="3">
        <v>43954.759479166663</v>
      </c>
      <c r="B5609" s="4" t="str">
        <f>HYPERLINK("https://twitter.com/petrogustavo","@petrogustavo")</f>
        <v>@petrogustavo</v>
      </c>
      <c r="C5609" s="5" t="s">
        <v>16</v>
      </c>
      <c r="D5609" s="5" t="s">
        <v>5463</v>
      </c>
      <c r="E5609" s="6" t="str">
        <f>HYPERLINK("https://twitter.com/petrogustavo/status/1256927401801658368","1256927401801658368")</f>
        <v>1256927401801658368</v>
      </c>
      <c r="F5609" s="7" t="s">
        <v>17</v>
      </c>
      <c r="G5609" s="7">
        <v>3813062</v>
      </c>
      <c r="H5609" s="7">
        <v>2403</v>
      </c>
      <c r="I5609" s="7">
        <v>98</v>
      </c>
      <c r="J5609" s="7">
        <v>0</v>
      </c>
      <c r="K5609" s="7" t="s">
        <v>18</v>
      </c>
      <c r="L5609" s="8">
        <v>39987.315405092595</v>
      </c>
      <c r="M5609" s="9" t="s">
        <v>19</v>
      </c>
      <c r="N5609" s="9" t="s">
        <v>20</v>
      </c>
      <c r="O5609" s="6" t="str">
        <f>HYPERLINK("https://pbs.twimg.com/profile_images/962471262747529216/Uo8lOkRJ_normal.jpg","View")</f>
        <v>View</v>
      </c>
      <c r="P5609" s="7"/>
    </row>
    <row r="5610" spans="1:16">
      <c r="A5610" s="3">
        <v>43954.759699074071</v>
      </c>
      <c r="B5610" s="4" t="str">
        <f>HYPERLINK("https://twitter.com/petrogustavo","@petrogustavo")</f>
        <v>@petrogustavo</v>
      </c>
      <c r="C5610" s="5" t="s">
        <v>16</v>
      </c>
      <c r="D5610" s="5" t="s">
        <v>5464</v>
      </c>
      <c r="E5610" s="6" t="str">
        <f>HYPERLINK("https://twitter.com/petrogustavo/status/1256927480688128001","1256927480688128001")</f>
        <v>1256927480688128001</v>
      </c>
      <c r="F5610" s="7" t="s">
        <v>17</v>
      </c>
      <c r="G5610" s="7">
        <v>3813062</v>
      </c>
      <c r="H5610" s="7">
        <v>2403</v>
      </c>
      <c r="I5610" s="7">
        <v>14</v>
      </c>
      <c r="J5610" s="7">
        <v>0</v>
      </c>
      <c r="K5610" s="7" t="s">
        <v>18</v>
      </c>
      <c r="L5610" s="8">
        <v>39987.315405092595</v>
      </c>
      <c r="M5610" s="9" t="s">
        <v>19</v>
      </c>
      <c r="N5610" s="9" t="s">
        <v>20</v>
      </c>
      <c r="O5610" s="6" t="str">
        <f>HYPERLINK("https://pbs.twimg.com/profile_images/962471262747529216/Uo8lOkRJ_normal.jpg","View")</f>
        <v>View</v>
      </c>
      <c r="P5610" s="7"/>
    </row>
    <row r="5611" spans="1:16">
      <c r="A5611" s="3">
        <v>43954.75990740741</v>
      </c>
      <c r="B5611" s="4" t="str">
        <f>HYPERLINK("https://twitter.com/petrogustavo","@petrogustavo")</f>
        <v>@petrogustavo</v>
      </c>
      <c r="C5611" s="5" t="s">
        <v>16</v>
      </c>
      <c r="D5611" s="5" t="s">
        <v>5461</v>
      </c>
      <c r="E5611" s="6" t="str">
        <f>HYPERLINK("https://twitter.com/petrogustavo/status/1256927557477416961","1256927557477416961")</f>
        <v>1256927557477416961</v>
      </c>
      <c r="F5611" s="7" t="s">
        <v>17</v>
      </c>
      <c r="G5611" s="7">
        <v>3813062</v>
      </c>
      <c r="H5611" s="7">
        <v>2403</v>
      </c>
      <c r="I5611" s="7">
        <v>175</v>
      </c>
      <c r="J5611" s="7">
        <v>0</v>
      </c>
      <c r="K5611" s="7" t="s">
        <v>18</v>
      </c>
      <c r="L5611" s="8">
        <v>39987.315405092595</v>
      </c>
      <c r="M5611" s="9" t="s">
        <v>19</v>
      </c>
      <c r="N5611" s="9" t="s">
        <v>20</v>
      </c>
      <c r="O5611" s="6" t="str">
        <f>HYPERLINK("https://pbs.twimg.com/profile_images/962471262747529216/Uo8lOkRJ_normal.jpg","View")</f>
        <v>View</v>
      </c>
      <c r="P5611" s="7"/>
    </row>
    <row r="5612" spans="1:16">
      <c r="A5612" s="3">
        <v>43954.777048611111</v>
      </c>
      <c r="B5612" s="4" t="str">
        <f>HYPERLINK("https://twitter.com/petrogustavo","@petrogustavo")</f>
        <v>@petrogustavo</v>
      </c>
      <c r="C5612" s="5" t="s">
        <v>16</v>
      </c>
      <c r="D5612" s="5" t="s">
        <v>5465</v>
      </c>
      <c r="E5612" s="6" t="str">
        <f>HYPERLINK("https://twitter.com/petrogustavo/status/1256933766670450690","1256933766670450690")</f>
        <v>1256933766670450690</v>
      </c>
      <c r="F5612" s="7" t="s">
        <v>17</v>
      </c>
      <c r="G5612" s="7">
        <v>3813091</v>
      </c>
      <c r="H5612" s="7">
        <v>2403</v>
      </c>
      <c r="I5612" s="7">
        <v>1941</v>
      </c>
      <c r="J5612" s="7">
        <v>0</v>
      </c>
      <c r="K5612" s="7" t="s">
        <v>18</v>
      </c>
      <c r="L5612" s="8">
        <v>39987.315405092595</v>
      </c>
      <c r="M5612" s="9" t="s">
        <v>19</v>
      </c>
      <c r="N5612" s="9" t="s">
        <v>20</v>
      </c>
      <c r="O5612" s="6" t="str">
        <f>HYPERLINK("https://pbs.twimg.com/profile_images/962471262747529216/Uo8lOkRJ_normal.jpg","View")</f>
        <v>View</v>
      </c>
      <c r="P5612" s="7"/>
    </row>
    <row r="5613" spans="1:16">
      <c r="A5613" s="3">
        <v>43954.786516203705</v>
      </c>
      <c r="B5613" s="4" t="str">
        <f>HYPERLINK("https://twitter.com/petrogustavo","@petrogustavo")</f>
        <v>@petrogustavo</v>
      </c>
      <c r="C5613" s="5" t="s">
        <v>16</v>
      </c>
      <c r="D5613" s="5" t="s">
        <v>5466</v>
      </c>
      <c r="E5613" s="6" t="str">
        <f>HYPERLINK("https://twitter.com/petrogustavo/status/1256937198127112192","1256937198127112192")</f>
        <v>1256937198127112192</v>
      </c>
      <c r="F5613" s="7" t="s">
        <v>17</v>
      </c>
      <c r="G5613" s="7">
        <v>3813091</v>
      </c>
      <c r="H5613" s="7">
        <v>2403</v>
      </c>
      <c r="I5613" s="7">
        <v>35</v>
      </c>
      <c r="J5613" s="7">
        <v>65</v>
      </c>
      <c r="K5613" s="7" t="s">
        <v>18</v>
      </c>
      <c r="L5613" s="8">
        <v>39987.315405092595</v>
      </c>
      <c r="M5613" s="9" t="s">
        <v>19</v>
      </c>
      <c r="N5613" s="9" t="s">
        <v>20</v>
      </c>
      <c r="O5613" s="6" t="str">
        <f>HYPERLINK("https://pbs.twimg.com/profile_images/962471262747529216/Uo8lOkRJ_normal.jpg","View")</f>
        <v>View</v>
      </c>
      <c r="P5613" s="7"/>
    </row>
    <row r="5614" spans="1:16">
      <c r="A5614" s="3">
        <v>43954.797025462962</v>
      </c>
      <c r="B5614" s="4" t="str">
        <f>HYPERLINK("https://twitter.com/petrogustavo","@petrogustavo")</f>
        <v>@petrogustavo</v>
      </c>
      <c r="C5614" s="5" t="s">
        <v>16</v>
      </c>
      <c r="D5614" s="5" t="s">
        <v>5461</v>
      </c>
      <c r="E5614" s="6" t="str">
        <f>HYPERLINK("https://twitter.com/petrogustavo/status/1256941007754625026","1256941007754625026")</f>
        <v>1256941007754625026</v>
      </c>
      <c r="F5614" s="7" t="s">
        <v>17</v>
      </c>
      <c r="G5614" s="7">
        <v>3813134</v>
      </c>
      <c r="H5614" s="7">
        <v>2403</v>
      </c>
      <c r="I5614" s="7">
        <v>340</v>
      </c>
      <c r="J5614" s="7">
        <v>0</v>
      </c>
      <c r="K5614" s="7" t="s">
        <v>18</v>
      </c>
      <c r="L5614" s="8">
        <v>39987.315405092595</v>
      </c>
      <c r="M5614" s="9" t="s">
        <v>19</v>
      </c>
      <c r="N5614" s="9" t="s">
        <v>20</v>
      </c>
      <c r="O5614" s="6" t="str">
        <f>HYPERLINK("https://pbs.twimg.com/profile_images/962471262747529216/Uo8lOkRJ_normal.jpg","View")</f>
        <v>View</v>
      </c>
      <c r="P5614" s="7"/>
    </row>
    <row r="5615" spans="1:16">
      <c r="A5615" s="3">
        <v>43954.842337962968</v>
      </c>
      <c r="B5615" s="4" t="str">
        <f>HYPERLINK("https://twitter.com/petrogustavo","@petrogustavo")</f>
        <v>@petrogustavo</v>
      </c>
      <c r="C5615" s="5" t="s">
        <v>16</v>
      </c>
      <c r="D5615" s="5" t="s">
        <v>5461</v>
      </c>
      <c r="E5615" s="6" t="str">
        <f>HYPERLINK("https://twitter.com/petrogustavo/status/1256957426626158599","1256957426626158599")</f>
        <v>1256957426626158599</v>
      </c>
      <c r="F5615" s="7" t="s">
        <v>17</v>
      </c>
      <c r="G5615" s="7">
        <v>3813207</v>
      </c>
      <c r="H5615" s="7">
        <v>2403</v>
      </c>
      <c r="I5615" s="7">
        <v>511</v>
      </c>
      <c r="J5615" s="7">
        <v>0</v>
      </c>
      <c r="K5615" s="7" t="s">
        <v>18</v>
      </c>
      <c r="L5615" s="8">
        <v>39987.315405092595</v>
      </c>
      <c r="M5615" s="9" t="s">
        <v>19</v>
      </c>
      <c r="N5615" s="9" t="s">
        <v>20</v>
      </c>
      <c r="O5615" s="6" t="str">
        <f>HYPERLINK("https://pbs.twimg.com/profile_images/962471262747529216/Uo8lOkRJ_normal.jpg","View")</f>
        <v>View</v>
      </c>
      <c r="P5615" s="7"/>
    </row>
    <row r="5616" spans="1:16">
      <c r="A5616" s="3">
        <v>43954.900243055556</v>
      </c>
      <c r="B5616" s="4" t="str">
        <f>HYPERLINK("https://twitter.com/petrogustavo","@petrogustavo")</f>
        <v>@petrogustavo</v>
      </c>
      <c r="C5616" s="5" t="s">
        <v>16</v>
      </c>
      <c r="D5616" s="5" t="s">
        <v>5461</v>
      </c>
      <c r="E5616" s="6" t="str">
        <f>HYPERLINK("https://twitter.com/petrogustavo/status/1256978411974651904","1256978411974651904")</f>
        <v>1256978411974651904</v>
      </c>
      <c r="F5616" s="7" t="s">
        <v>17</v>
      </c>
      <c r="G5616" s="7">
        <v>3813327</v>
      </c>
      <c r="H5616" s="7">
        <v>2403</v>
      </c>
      <c r="I5616" s="7">
        <v>691</v>
      </c>
      <c r="J5616" s="7">
        <v>0</v>
      </c>
      <c r="K5616" s="7" t="s">
        <v>18</v>
      </c>
      <c r="L5616" s="8">
        <v>39987.315405092595</v>
      </c>
      <c r="M5616" s="9" t="s">
        <v>19</v>
      </c>
      <c r="N5616" s="9" t="s">
        <v>20</v>
      </c>
      <c r="O5616" s="6" t="str">
        <f>HYPERLINK("https://pbs.twimg.com/profile_images/962471262747529216/Uo8lOkRJ_normal.jpg","View")</f>
        <v>View</v>
      </c>
      <c r="P5616" s="7"/>
    </row>
    <row r="5617" spans="1:16">
      <c r="A5617" s="3">
        <v>43955.044039351851</v>
      </c>
      <c r="B5617" s="4" t="str">
        <f>HYPERLINK("https://twitter.com/petrogustavo","@petrogustavo")</f>
        <v>@petrogustavo</v>
      </c>
      <c r="C5617" s="5" t="s">
        <v>16</v>
      </c>
      <c r="D5617" s="5" t="s">
        <v>5467</v>
      </c>
      <c r="E5617" s="6" t="str">
        <f>HYPERLINK("https://twitter.com/petrogustavo/status/1257030523572101121","1257030523572101121")</f>
        <v>1257030523572101121</v>
      </c>
      <c r="F5617" s="7" t="s">
        <v>17</v>
      </c>
      <c r="G5617" s="7">
        <v>3813612</v>
      </c>
      <c r="H5617" s="7">
        <v>2402</v>
      </c>
      <c r="I5617" s="7">
        <v>206</v>
      </c>
      <c r="J5617" s="7">
        <v>456</v>
      </c>
      <c r="K5617" s="7" t="s">
        <v>18</v>
      </c>
      <c r="L5617" s="8">
        <v>39987.315405092595</v>
      </c>
      <c r="M5617" s="9" t="s">
        <v>19</v>
      </c>
      <c r="N5617" s="9" t="s">
        <v>20</v>
      </c>
      <c r="O5617" s="6" t="str">
        <f>HYPERLINK("https://pbs.twimg.com/profile_images/962471262747529216/Uo8lOkRJ_normal.jpg","View")</f>
        <v>View</v>
      </c>
      <c r="P5617" s="7"/>
    </row>
    <row r="5618" spans="1:16">
      <c r="A5618" s="3">
        <v>43955.047164351854</v>
      </c>
      <c r="B5618" s="4" t="str">
        <f>HYPERLINK("https://twitter.com/petrogustavo","@petrogustavo")</f>
        <v>@petrogustavo</v>
      </c>
      <c r="C5618" s="5" t="s">
        <v>16</v>
      </c>
      <c r="D5618" s="5" t="s">
        <v>5468</v>
      </c>
      <c r="E5618" s="6" t="str">
        <f>HYPERLINK("https://twitter.com/petrogustavo/status/1257031652775268357","1257031652775268357")</f>
        <v>1257031652775268357</v>
      </c>
      <c r="F5618" s="7" t="s">
        <v>17</v>
      </c>
      <c r="G5618" s="7">
        <v>3813612</v>
      </c>
      <c r="H5618" s="7">
        <v>2402</v>
      </c>
      <c r="I5618" s="7">
        <v>72</v>
      </c>
      <c r="J5618" s="7">
        <v>158</v>
      </c>
      <c r="K5618" s="7" t="s">
        <v>18</v>
      </c>
      <c r="L5618" s="8">
        <v>39987.315405092595</v>
      </c>
      <c r="M5618" s="9" t="s">
        <v>19</v>
      </c>
      <c r="N5618" s="9" t="s">
        <v>20</v>
      </c>
      <c r="O5618" s="6" t="str">
        <f>HYPERLINK("https://pbs.twimg.com/profile_images/962471262747529216/Uo8lOkRJ_normal.jpg","View")</f>
        <v>View</v>
      </c>
      <c r="P5618" s="7"/>
    </row>
    <row r="5619" spans="1:16">
      <c r="A5619" s="3">
        <v>43955.047372685185</v>
      </c>
      <c r="B5619" s="4" t="str">
        <f>HYPERLINK("https://twitter.com/petrogustavo","@petrogustavo")</f>
        <v>@petrogustavo</v>
      </c>
      <c r="C5619" s="5" t="s">
        <v>16</v>
      </c>
      <c r="D5619" s="5" t="s">
        <v>5469</v>
      </c>
      <c r="E5619" s="6" t="str">
        <f>HYPERLINK("https://twitter.com/petrogustavo/status/1257031728465616898","1257031728465616898")</f>
        <v>1257031728465616898</v>
      </c>
      <c r="F5619" s="7" t="s">
        <v>17</v>
      </c>
      <c r="G5619" s="7">
        <v>3813612</v>
      </c>
      <c r="H5619" s="7">
        <v>2402</v>
      </c>
      <c r="I5619" s="7">
        <v>206</v>
      </c>
      <c r="J5619" s="7">
        <v>0</v>
      </c>
      <c r="K5619" s="7" t="s">
        <v>18</v>
      </c>
      <c r="L5619" s="8">
        <v>39987.315405092595</v>
      </c>
      <c r="M5619" s="9" t="s">
        <v>19</v>
      </c>
      <c r="N5619" s="9" t="s">
        <v>20</v>
      </c>
      <c r="O5619" s="6" t="str">
        <f>HYPERLINK("https://pbs.twimg.com/profile_images/962471262747529216/Uo8lOkRJ_normal.jpg","View")</f>
        <v>View</v>
      </c>
      <c r="P5619" s="7"/>
    </row>
    <row r="5620" spans="1:16">
      <c r="A5620" s="3">
        <v>43955.050821759258</v>
      </c>
      <c r="B5620" s="4" t="str">
        <f>HYPERLINK("https://twitter.com/petrogustavo","@petrogustavo")</f>
        <v>@petrogustavo</v>
      </c>
      <c r="C5620" s="5" t="s">
        <v>16</v>
      </c>
      <c r="D5620" s="5" t="s">
        <v>5470</v>
      </c>
      <c r="E5620" s="6" t="str">
        <f>HYPERLINK("https://twitter.com/petrogustavo/status/1257032979207069696","1257032979207069696")</f>
        <v>1257032979207069696</v>
      </c>
      <c r="F5620" s="7" t="s">
        <v>17</v>
      </c>
      <c r="G5620" s="7">
        <v>3813612</v>
      </c>
      <c r="H5620" s="7">
        <v>2402</v>
      </c>
      <c r="I5620" s="7">
        <v>326</v>
      </c>
      <c r="J5620" s="7">
        <v>0</v>
      </c>
      <c r="K5620" s="7" t="s">
        <v>18</v>
      </c>
      <c r="L5620" s="8">
        <v>39987.315405092595</v>
      </c>
      <c r="M5620" s="9" t="s">
        <v>19</v>
      </c>
      <c r="N5620" s="9" t="s">
        <v>20</v>
      </c>
      <c r="O5620" s="6" t="str">
        <f>HYPERLINK("https://pbs.twimg.com/profile_images/962471262747529216/Uo8lOkRJ_normal.jpg","View")</f>
        <v>View</v>
      </c>
      <c r="P5620" s="7"/>
    </row>
    <row r="5621" spans="1:16">
      <c r="A5621" s="3">
        <v>43955.162893518514</v>
      </c>
      <c r="B5621" s="4" t="str">
        <f>HYPERLINK("https://twitter.com/petrogustavo","@petrogustavo")</f>
        <v>@petrogustavo</v>
      </c>
      <c r="C5621" s="5" t="s">
        <v>16</v>
      </c>
      <c r="D5621" s="5" t="s">
        <v>5461</v>
      </c>
      <c r="E5621" s="6" t="str">
        <f>HYPERLINK("https://twitter.com/petrogustavo/status/1257073591662895104","1257073591662895104")</f>
        <v>1257073591662895104</v>
      </c>
      <c r="F5621" s="7" t="s">
        <v>17</v>
      </c>
      <c r="G5621" s="7">
        <v>3813801</v>
      </c>
      <c r="H5621" s="7">
        <v>2402</v>
      </c>
      <c r="I5621" s="7">
        <v>1055</v>
      </c>
      <c r="J5621" s="7">
        <v>0</v>
      </c>
      <c r="K5621" s="7" t="s">
        <v>18</v>
      </c>
      <c r="L5621" s="8">
        <v>39987.315405092595</v>
      </c>
      <c r="M5621" s="9" t="s">
        <v>19</v>
      </c>
      <c r="N5621" s="9" t="s">
        <v>20</v>
      </c>
      <c r="O5621" s="6" t="str">
        <f>HYPERLINK("https://pbs.twimg.com/profile_images/962471262747529216/Uo8lOkRJ_normal.jpg","View")</f>
        <v>View</v>
      </c>
      <c r="P5621" s="7"/>
    </row>
    <row r="5622" spans="1:16">
      <c r="A5622" s="3">
        <v>43955.696585648147</v>
      </c>
      <c r="B5622" s="4" t="str">
        <f>HYPERLINK("https://twitter.com/petrogustavo","@petrogustavo")</f>
        <v>@petrogustavo</v>
      </c>
      <c r="C5622" s="5" t="s">
        <v>16</v>
      </c>
      <c r="D5622" s="5" t="s">
        <v>5471</v>
      </c>
      <c r="E5622" s="6" t="str">
        <f>HYPERLINK("https://twitter.com/petrogustavo/status/1257266997366345728","1257266997366345728")</f>
        <v>1257266997366345728</v>
      </c>
      <c r="F5622" s="7" t="s">
        <v>17</v>
      </c>
      <c r="G5622" s="7">
        <v>3814496</v>
      </c>
      <c r="H5622" s="7">
        <v>2402</v>
      </c>
      <c r="I5622" s="7">
        <v>57</v>
      </c>
      <c r="J5622" s="7">
        <v>120</v>
      </c>
      <c r="K5622" s="7" t="s">
        <v>18</v>
      </c>
      <c r="L5622" s="8">
        <v>39987.315405092595</v>
      </c>
      <c r="M5622" s="9" t="s">
        <v>19</v>
      </c>
      <c r="N5622" s="9" t="s">
        <v>20</v>
      </c>
      <c r="O5622" s="6" t="str">
        <f>HYPERLINK("https://pbs.twimg.com/profile_images/962471262747529216/Uo8lOkRJ_normal.jpg","View")</f>
        <v>View</v>
      </c>
      <c r="P5622" s="7"/>
    </row>
    <row r="5623" spans="1:16">
      <c r="A5623" s="3">
        <v>43955.908807870372</v>
      </c>
      <c r="B5623" s="4" t="str">
        <f>HYPERLINK("https://twitter.com/petrogustavo","@petrogustavo")</f>
        <v>@petrogustavo</v>
      </c>
      <c r="C5623" s="5" t="s">
        <v>16</v>
      </c>
      <c r="D5623" s="5" t="s">
        <v>5472</v>
      </c>
      <c r="E5623" s="6" t="str">
        <f>HYPERLINK("https://twitter.com/petrogustavo/status/1257343901456883714","1257343901456883714")</f>
        <v>1257343901456883714</v>
      </c>
      <c r="F5623" s="7" t="s">
        <v>17</v>
      </c>
      <c r="G5623" s="7">
        <v>3814842</v>
      </c>
      <c r="H5623" s="7">
        <v>2402</v>
      </c>
      <c r="I5623" s="7">
        <v>125</v>
      </c>
      <c r="J5623" s="7">
        <v>275</v>
      </c>
      <c r="K5623" s="7" t="s">
        <v>18</v>
      </c>
      <c r="L5623" s="8">
        <v>39987.315405092595</v>
      </c>
      <c r="M5623" s="9" t="s">
        <v>19</v>
      </c>
      <c r="N5623" s="9" t="s">
        <v>20</v>
      </c>
      <c r="O5623" s="6" t="str">
        <f>HYPERLINK("https://pbs.twimg.com/profile_images/962471262747529216/Uo8lOkRJ_normal.jpg","View")</f>
        <v>View</v>
      </c>
      <c r="P5623" s="7"/>
    </row>
    <row r="5624" spans="1:16">
      <c r="A5624" s="3">
        <v>43955.922106481477</v>
      </c>
      <c r="B5624" s="4" t="str">
        <f>HYPERLINK("https://twitter.com/petrogustavo","@petrogustavo")</f>
        <v>@petrogustavo</v>
      </c>
      <c r="C5624" s="5" t="s">
        <v>16</v>
      </c>
      <c r="D5624" s="5" t="s">
        <v>5473</v>
      </c>
      <c r="E5624" s="6" t="str">
        <f>HYPERLINK("https://twitter.com/petrogustavo/status/1257348721584607232","1257348721584607232")</f>
        <v>1257348721584607232</v>
      </c>
      <c r="F5624" s="7" t="s">
        <v>21</v>
      </c>
      <c r="G5624" s="7">
        <v>3814880</v>
      </c>
      <c r="H5624" s="7">
        <v>2402</v>
      </c>
      <c r="I5624" s="7">
        <v>80</v>
      </c>
      <c r="J5624" s="7">
        <v>164</v>
      </c>
      <c r="K5624" s="7" t="s">
        <v>18</v>
      </c>
      <c r="L5624" s="8">
        <v>39987.315405092595</v>
      </c>
      <c r="M5624" s="9" t="s">
        <v>19</v>
      </c>
      <c r="N5624" s="9" t="s">
        <v>20</v>
      </c>
      <c r="O5624" s="6" t="str">
        <f>HYPERLINK("https://pbs.twimg.com/profile_images/962471262747529216/Uo8lOkRJ_normal.jpg","View")</f>
        <v>View</v>
      </c>
      <c r="P5624" s="7"/>
    </row>
    <row r="5625" spans="1:16">
      <c r="A5625" s="3">
        <v>43955.944861111115</v>
      </c>
      <c r="B5625" s="4" t="str">
        <f>HYPERLINK("https://twitter.com/petrogustavo","@petrogustavo")</f>
        <v>@petrogustavo</v>
      </c>
      <c r="C5625" s="5" t="s">
        <v>16</v>
      </c>
      <c r="D5625" s="5" t="s">
        <v>5474</v>
      </c>
      <c r="E5625" s="6" t="str">
        <f>HYPERLINK("https://twitter.com/petrogustavo/status/1257356967624007682","1257356967624007682")</f>
        <v>1257356967624007682</v>
      </c>
      <c r="F5625" s="7" t="s">
        <v>32</v>
      </c>
      <c r="G5625" s="7">
        <v>3814911</v>
      </c>
      <c r="H5625" s="7">
        <v>2402</v>
      </c>
      <c r="I5625" s="7">
        <v>63</v>
      </c>
      <c r="J5625" s="7">
        <v>0</v>
      </c>
      <c r="K5625" s="7" t="s">
        <v>18</v>
      </c>
      <c r="L5625" s="8">
        <v>39987.315405092595</v>
      </c>
      <c r="M5625" s="9" t="s">
        <v>19</v>
      </c>
      <c r="N5625" s="9" t="s">
        <v>20</v>
      </c>
      <c r="O5625" s="6" t="str">
        <f>HYPERLINK("https://pbs.twimg.com/profile_images/962471262747529216/Uo8lOkRJ_normal.jpg","View")</f>
        <v>View</v>
      </c>
      <c r="P5625" s="7"/>
    </row>
    <row r="5626" spans="1:16">
      <c r="A5626" s="3">
        <v>43955.946597222224</v>
      </c>
      <c r="B5626" s="4" t="str">
        <f>HYPERLINK("https://twitter.com/petrogustavo","@petrogustavo")</f>
        <v>@petrogustavo</v>
      </c>
      <c r="C5626" s="5" t="s">
        <v>16</v>
      </c>
      <c r="D5626" s="5" t="s">
        <v>5475</v>
      </c>
      <c r="E5626" s="6" t="str">
        <f>HYPERLINK("https://twitter.com/petrogustavo/status/1257357599344857089","1257357599344857089")</f>
        <v>1257357599344857089</v>
      </c>
      <c r="F5626" s="7" t="s">
        <v>32</v>
      </c>
      <c r="G5626" s="7">
        <v>3814911</v>
      </c>
      <c r="H5626" s="7">
        <v>2402</v>
      </c>
      <c r="I5626" s="7">
        <v>41</v>
      </c>
      <c r="J5626" s="7">
        <v>0</v>
      </c>
      <c r="K5626" s="7" t="s">
        <v>18</v>
      </c>
      <c r="L5626" s="8">
        <v>39987.315405092595</v>
      </c>
      <c r="M5626" s="9" t="s">
        <v>19</v>
      </c>
      <c r="N5626" s="9" t="s">
        <v>20</v>
      </c>
      <c r="O5626" s="6" t="str">
        <f>HYPERLINK("https://pbs.twimg.com/profile_images/962471262747529216/Uo8lOkRJ_normal.jpg","View")</f>
        <v>View</v>
      </c>
      <c r="P5626" s="7"/>
    </row>
    <row r="5627" spans="1:16">
      <c r="A5627" s="3">
        <v>43955.947326388894</v>
      </c>
      <c r="B5627" s="4" t="str">
        <f>HYPERLINK("https://twitter.com/petrogustavo","@petrogustavo")</f>
        <v>@petrogustavo</v>
      </c>
      <c r="C5627" s="5" t="s">
        <v>16</v>
      </c>
      <c r="D5627" s="5" t="s">
        <v>5476</v>
      </c>
      <c r="E5627" s="6" t="str">
        <f>HYPERLINK("https://twitter.com/petrogustavo/status/1257357862709407749","1257357862709407749")</f>
        <v>1257357862709407749</v>
      </c>
      <c r="F5627" s="7" t="s">
        <v>17</v>
      </c>
      <c r="G5627" s="7">
        <v>3814911</v>
      </c>
      <c r="H5627" s="7">
        <v>2402</v>
      </c>
      <c r="I5627" s="7">
        <v>140</v>
      </c>
      <c r="J5627" s="7">
        <v>0</v>
      </c>
      <c r="K5627" s="7" t="s">
        <v>18</v>
      </c>
      <c r="L5627" s="8">
        <v>39987.315405092595</v>
      </c>
      <c r="M5627" s="9" t="s">
        <v>19</v>
      </c>
      <c r="N5627" s="9" t="s">
        <v>20</v>
      </c>
      <c r="O5627" s="6" t="str">
        <f>HYPERLINK("https://pbs.twimg.com/profile_images/962471262747529216/Uo8lOkRJ_normal.jpg","View")</f>
        <v>View</v>
      </c>
      <c r="P5627" s="7"/>
    </row>
    <row r="5628" spans="1:16">
      <c r="A5628" s="3">
        <v>43956.012256944443</v>
      </c>
      <c r="B5628" s="4" t="str">
        <f>HYPERLINK("https://twitter.com/petrogustavo","@petrogustavo")</f>
        <v>@petrogustavo</v>
      </c>
      <c r="C5628" s="5" t="s">
        <v>16</v>
      </c>
      <c r="D5628" s="5" t="s">
        <v>5477</v>
      </c>
      <c r="E5628" s="6" t="str">
        <f>HYPERLINK("https://twitter.com/petrogustavo/status/1257381390594736128","1257381390594736128")</f>
        <v>1257381390594736128</v>
      </c>
      <c r="F5628" s="7" t="s">
        <v>17</v>
      </c>
      <c r="G5628" s="7">
        <v>3815047</v>
      </c>
      <c r="H5628" s="7">
        <v>2402</v>
      </c>
      <c r="I5628" s="7">
        <v>1126</v>
      </c>
      <c r="J5628" s="7">
        <v>0</v>
      </c>
      <c r="K5628" s="7" t="s">
        <v>18</v>
      </c>
      <c r="L5628" s="8">
        <v>39987.315405092595</v>
      </c>
      <c r="M5628" s="9" t="s">
        <v>19</v>
      </c>
      <c r="N5628" s="9" t="s">
        <v>20</v>
      </c>
      <c r="O5628" s="6" t="str">
        <f>HYPERLINK("https://pbs.twimg.com/profile_images/962471262747529216/Uo8lOkRJ_normal.jpg","View")</f>
        <v>View</v>
      </c>
      <c r="P5628" s="7"/>
    </row>
    <row r="5629" spans="1:16">
      <c r="A5629" s="3">
        <v>43956.013055555552</v>
      </c>
      <c r="B5629" s="4" t="str">
        <f>HYPERLINK("https://twitter.com/petrogustavo","@petrogustavo")</f>
        <v>@petrogustavo</v>
      </c>
      <c r="C5629" s="5" t="s">
        <v>16</v>
      </c>
      <c r="D5629" s="5" t="s">
        <v>5478</v>
      </c>
      <c r="E5629" s="6" t="str">
        <f>HYPERLINK("https://twitter.com/petrogustavo/status/1257381681520140293","1257381681520140293")</f>
        <v>1257381681520140293</v>
      </c>
      <c r="F5629" s="7" t="s">
        <v>17</v>
      </c>
      <c r="G5629" s="7">
        <v>3815047</v>
      </c>
      <c r="H5629" s="7">
        <v>2402</v>
      </c>
      <c r="I5629" s="7">
        <v>108</v>
      </c>
      <c r="J5629" s="7">
        <v>0</v>
      </c>
      <c r="K5629" s="7" t="s">
        <v>18</v>
      </c>
      <c r="L5629" s="8">
        <v>39987.315405092595</v>
      </c>
      <c r="M5629" s="9" t="s">
        <v>19</v>
      </c>
      <c r="N5629" s="9" t="s">
        <v>20</v>
      </c>
      <c r="O5629" s="6" t="str">
        <f>HYPERLINK("https://pbs.twimg.com/profile_images/962471262747529216/Uo8lOkRJ_normal.jpg","View")</f>
        <v>View</v>
      </c>
      <c r="P5629" s="7"/>
    </row>
    <row r="5630" spans="1:16">
      <c r="A5630" s="3">
        <v>43956.026770833334</v>
      </c>
      <c r="B5630" s="4" t="str">
        <f>HYPERLINK("https://twitter.com/petrogustavo","@petrogustavo")</f>
        <v>@petrogustavo</v>
      </c>
      <c r="C5630" s="5" t="s">
        <v>16</v>
      </c>
      <c r="D5630" s="5" t="s">
        <v>5479</v>
      </c>
      <c r="E5630" s="6" t="str">
        <f>HYPERLINK("https://twitter.com/petrogustavo/status/1257386650440777735","1257386650440777735")</f>
        <v>1257386650440777735</v>
      </c>
      <c r="F5630" s="7" t="s">
        <v>17</v>
      </c>
      <c r="G5630" s="7">
        <v>3815070</v>
      </c>
      <c r="H5630" s="7">
        <v>2402</v>
      </c>
      <c r="I5630" s="7">
        <v>53</v>
      </c>
      <c r="J5630" s="7">
        <v>0</v>
      </c>
      <c r="K5630" s="7" t="s">
        <v>18</v>
      </c>
      <c r="L5630" s="8">
        <v>39987.315405092595</v>
      </c>
      <c r="M5630" s="9" t="s">
        <v>19</v>
      </c>
      <c r="N5630" s="9" t="s">
        <v>20</v>
      </c>
      <c r="O5630" s="6" t="str">
        <f>HYPERLINK("https://pbs.twimg.com/profile_images/962471262747529216/Uo8lOkRJ_normal.jpg","View")</f>
        <v>View</v>
      </c>
      <c r="P5630" s="7"/>
    </row>
    <row r="5631" spans="1:16">
      <c r="A5631" s="3">
        <v>43956.032314814816</v>
      </c>
      <c r="B5631" s="4" t="str">
        <f>HYPERLINK("https://twitter.com/petrogustavo","@petrogustavo")</f>
        <v>@petrogustavo</v>
      </c>
      <c r="C5631" s="5" t="s">
        <v>16</v>
      </c>
      <c r="D5631" s="5" t="s">
        <v>5480</v>
      </c>
      <c r="E5631" s="6" t="str">
        <f>HYPERLINK("https://twitter.com/petrogustavo/status/1257388661127118850","1257388661127118850")</f>
        <v>1257388661127118850</v>
      </c>
      <c r="F5631" s="7" t="s">
        <v>17</v>
      </c>
      <c r="G5631" s="7">
        <v>3815070</v>
      </c>
      <c r="H5631" s="7">
        <v>2402</v>
      </c>
      <c r="I5631" s="7">
        <v>150</v>
      </c>
      <c r="J5631" s="7">
        <v>402</v>
      </c>
      <c r="K5631" s="7" t="s">
        <v>18</v>
      </c>
      <c r="L5631" s="8">
        <v>39987.315405092595</v>
      </c>
      <c r="M5631" s="9" t="s">
        <v>19</v>
      </c>
      <c r="N5631" s="9" t="s">
        <v>20</v>
      </c>
      <c r="O5631" s="6" t="str">
        <f>HYPERLINK("https://pbs.twimg.com/profile_images/962471262747529216/Uo8lOkRJ_normal.jpg","View")</f>
        <v>View</v>
      </c>
      <c r="P5631" s="7"/>
    </row>
    <row r="5632" spans="1:16">
      <c r="A5632" s="3">
        <v>43956.036377314813</v>
      </c>
      <c r="B5632" s="4" t="str">
        <f>HYPERLINK("https://twitter.com/petrogustavo","@petrogustavo")</f>
        <v>@petrogustavo</v>
      </c>
      <c r="C5632" s="5" t="s">
        <v>16</v>
      </c>
      <c r="D5632" s="5" t="s">
        <v>5481</v>
      </c>
      <c r="E5632" s="6" t="str">
        <f>HYPERLINK("https://twitter.com/petrogustavo/status/1257390133646692354","1257390133646692354")</f>
        <v>1257390133646692354</v>
      </c>
      <c r="F5632" s="7" t="s">
        <v>17</v>
      </c>
      <c r="G5632" s="7">
        <v>3815070</v>
      </c>
      <c r="H5632" s="7">
        <v>2402</v>
      </c>
      <c r="I5632" s="7">
        <v>6</v>
      </c>
      <c r="J5632" s="7">
        <v>0</v>
      </c>
      <c r="K5632" s="7" t="s">
        <v>18</v>
      </c>
      <c r="L5632" s="8">
        <v>39987.315405092595</v>
      </c>
      <c r="M5632" s="9" t="s">
        <v>19</v>
      </c>
      <c r="N5632" s="9" t="s">
        <v>20</v>
      </c>
      <c r="O5632" s="6" t="str">
        <f>HYPERLINK("https://pbs.twimg.com/profile_images/962471262747529216/Uo8lOkRJ_normal.jpg","View")</f>
        <v>View</v>
      </c>
      <c r="P5632" s="7"/>
    </row>
    <row r="5633" spans="1:16">
      <c r="A5633" s="3">
        <v>43956.037025462967</v>
      </c>
      <c r="B5633" s="4" t="str">
        <f>HYPERLINK("https://twitter.com/petrogustavo","@petrogustavo")</f>
        <v>@petrogustavo</v>
      </c>
      <c r="C5633" s="5" t="s">
        <v>16</v>
      </c>
      <c r="D5633" s="5" t="s">
        <v>5482</v>
      </c>
      <c r="E5633" s="6" t="str">
        <f>HYPERLINK("https://twitter.com/petrogustavo/status/1257390366636081153","1257390366636081153")</f>
        <v>1257390366636081153</v>
      </c>
      <c r="F5633" s="7" t="s">
        <v>17</v>
      </c>
      <c r="G5633" s="7">
        <v>3815070</v>
      </c>
      <c r="H5633" s="7">
        <v>2402</v>
      </c>
      <c r="I5633" s="7">
        <v>343</v>
      </c>
      <c r="J5633" s="7">
        <v>0</v>
      </c>
      <c r="K5633" s="7" t="s">
        <v>18</v>
      </c>
      <c r="L5633" s="8">
        <v>39987.315405092595</v>
      </c>
      <c r="M5633" s="9" t="s">
        <v>19</v>
      </c>
      <c r="N5633" s="9" t="s">
        <v>20</v>
      </c>
      <c r="O5633" s="6" t="str">
        <f>HYPERLINK("https://pbs.twimg.com/profile_images/962471262747529216/Uo8lOkRJ_normal.jpg","View")</f>
        <v>View</v>
      </c>
      <c r="P5633" s="7"/>
    </row>
    <row r="5634" spans="1:16">
      <c r="A5634" s="3">
        <v>43956.037627314814</v>
      </c>
      <c r="B5634" s="4" t="str">
        <f>HYPERLINK("https://twitter.com/petrogustavo","@petrogustavo")</f>
        <v>@petrogustavo</v>
      </c>
      <c r="C5634" s="5" t="s">
        <v>16</v>
      </c>
      <c r="D5634" s="5" t="s">
        <v>5483</v>
      </c>
      <c r="E5634" s="6" t="str">
        <f>HYPERLINK("https://twitter.com/petrogustavo/status/1257390587113877504","1257390587113877504")</f>
        <v>1257390587113877504</v>
      </c>
      <c r="F5634" s="7" t="s">
        <v>17</v>
      </c>
      <c r="G5634" s="7">
        <v>3815070</v>
      </c>
      <c r="H5634" s="7">
        <v>2402</v>
      </c>
      <c r="I5634" s="7">
        <v>426</v>
      </c>
      <c r="J5634" s="7">
        <v>0</v>
      </c>
      <c r="K5634" s="7" t="s">
        <v>18</v>
      </c>
      <c r="L5634" s="8">
        <v>39987.315405092595</v>
      </c>
      <c r="M5634" s="9" t="s">
        <v>19</v>
      </c>
      <c r="N5634" s="9" t="s">
        <v>20</v>
      </c>
      <c r="O5634" s="6" t="str">
        <f>HYPERLINK("https://pbs.twimg.com/profile_images/962471262747529216/Uo8lOkRJ_normal.jpg","View")</f>
        <v>View</v>
      </c>
      <c r="P5634" s="7"/>
    </row>
    <row r="5635" spans="1:16">
      <c r="A5635" s="3">
        <v>43956.041192129633</v>
      </c>
      <c r="B5635" s="4" t="str">
        <f>HYPERLINK("https://twitter.com/petrogustavo","@petrogustavo")</f>
        <v>@petrogustavo</v>
      </c>
      <c r="C5635" s="5" t="s">
        <v>16</v>
      </c>
      <c r="D5635" s="5" t="s">
        <v>5484</v>
      </c>
      <c r="E5635" s="6" t="str">
        <f>HYPERLINK("https://twitter.com/petrogustavo/status/1257391877785104387","1257391877785104387")</f>
        <v>1257391877785104387</v>
      </c>
      <c r="F5635" s="7" t="s">
        <v>17</v>
      </c>
      <c r="G5635" s="7">
        <v>3815070</v>
      </c>
      <c r="H5635" s="7">
        <v>2402</v>
      </c>
      <c r="I5635" s="7">
        <v>38</v>
      </c>
      <c r="J5635" s="7">
        <v>61</v>
      </c>
      <c r="K5635" s="7" t="s">
        <v>18</v>
      </c>
      <c r="L5635" s="8">
        <v>39987.315405092595</v>
      </c>
      <c r="M5635" s="9" t="s">
        <v>19</v>
      </c>
      <c r="N5635" s="9" t="s">
        <v>20</v>
      </c>
      <c r="O5635" s="6" t="str">
        <f>HYPERLINK("https://pbs.twimg.com/profile_images/962471262747529216/Uo8lOkRJ_normal.jpg","View")</f>
        <v>View</v>
      </c>
      <c r="P5635" s="7"/>
    </row>
    <row r="5636" spans="1:16">
      <c r="A5636" s="3">
        <v>43956.112615740742</v>
      </c>
      <c r="B5636" s="4" t="str">
        <f>HYPERLINK("https://twitter.com/petrogustavo","@petrogustavo")</f>
        <v>@petrogustavo</v>
      </c>
      <c r="C5636" s="5" t="s">
        <v>16</v>
      </c>
      <c r="D5636" s="5" t="s">
        <v>5476</v>
      </c>
      <c r="E5636" s="6" t="str">
        <f>HYPERLINK("https://twitter.com/petrogustavo/status/1257417762667933704","1257417762667933704")</f>
        <v>1257417762667933704</v>
      </c>
      <c r="F5636" s="7" t="s">
        <v>17</v>
      </c>
      <c r="G5636" s="7">
        <v>3815260</v>
      </c>
      <c r="H5636" s="7">
        <v>2401</v>
      </c>
      <c r="I5636" s="7">
        <v>334</v>
      </c>
      <c r="J5636" s="7">
        <v>0</v>
      </c>
      <c r="K5636" s="7" t="s">
        <v>18</v>
      </c>
      <c r="L5636" s="8">
        <v>39987.315405092595</v>
      </c>
      <c r="M5636" s="9" t="s">
        <v>19</v>
      </c>
      <c r="N5636" s="9" t="s">
        <v>20</v>
      </c>
      <c r="O5636" s="6" t="str">
        <f>HYPERLINK("https://pbs.twimg.com/profile_images/962471262747529216/Uo8lOkRJ_normal.jpg","View")</f>
        <v>View</v>
      </c>
      <c r="P5636" s="7"/>
    </row>
    <row r="5637" spans="1:16">
      <c r="A5637" s="3">
        <v>43956.131562499999</v>
      </c>
      <c r="B5637" s="4" t="str">
        <f>HYPERLINK("https://twitter.com/petrogustavo","@petrogustavo")</f>
        <v>@petrogustavo</v>
      </c>
      <c r="C5637" s="5" t="s">
        <v>16</v>
      </c>
      <c r="D5637" s="5" t="s">
        <v>5485</v>
      </c>
      <c r="E5637" s="6" t="str">
        <f>HYPERLINK("https://twitter.com/petrogustavo/status/1257424626063417349","1257424626063417349")</f>
        <v>1257424626063417349</v>
      </c>
      <c r="F5637" s="7" t="s">
        <v>32</v>
      </c>
      <c r="G5637" s="7">
        <v>3815304</v>
      </c>
      <c r="H5637" s="7">
        <v>2401</v>
      </c>
      <c r="I5637" s="7">
        <v>77</v>
      </c>
      <c r="J5637" s="7">
        <v>159</v>
      </c>
      <c r="K5637" s="7" t="s">
        <v>18</v>
      </c>
      <c r="L5637" s="8">
        <v>39987.315405092595</v>
      </c>
      <c r="M5637" s="9" t="s">
        <v>19</v>
      </c>
      <c r="N5637" s="9" t="s">
        <v>20</v>
      </c>
      <c r="O5637" s="6" t="str">
        <f>HYPERLINK("https://pbs.twimg.com/profile_images/962471262747529216/Uo8lOkRJ_normal.jpg","View")</f>
        <v>View</v>
      </c>
      <c r="P5637" s="7"/>
    </row>
    <row r="5638" spans="1:16">
      <c r="A5638" s="3">
        <v>43956.132094907407</v>
      </c>
      <c r="B5638" s="4" t="str">
        <f>HYPERLINK("https://twitter.com/petrogustavo","@petrogustavo")</f>
        <v>@petrogustavo</v>
      </c>
      <c r="C5638" s="5" t="s">
        <v>16</v>
      </c>
      <c r="D5638" s="5" t="s">
        <v>5486</v>
      </c>
      <c r="E5638" s="6" t="str">
        <f>HYPERLINK("https://twitter.com/petrogustavo/status/1257424821497061382","1257424821497061382")</f>
        <v>1257424821497061382</v>
      </c>
      <c r="F5638" s="7" t="s">
        <v>32</v>
      </c>
      <c r="G5638" s="7">
        <v>3815304</v>
      </c>
      <c r="H5638" s="7">
        <v>2401</v>
      </c>
      <c r="I5638" s="7">
        <v>44</v>
      </c>
      <c r="J5638" s="7">
        <v>73</v>
      </c>
      <c r="K5638" s="7" t="s">
        <v>18</v>
      </c>
      <c r="L5638" s="8">
        <v>39987.315405092595</v>
      </c>
      <c r="M5638" s="9" t="s">
        <v>19</v>
      </c>
      <c r="N5638" s="9" t="s">
        <v>20</v>
      </c>
      <c r="O5638" s="6" t="str">
        <f>HYPERLINK("https://pbs.twimg.com/profile_images/962471262747529216/Uo8lOkRJ_normal.jpg","View")</f>
        <v>View</v>
      </c>
      <c r="P5638" s="7"/>
    </row>
    <row r="5639" spans="1:16">
      <c r="A5639" s="3">
        <v>43956.134375000001</v>
      </c>
      <c r="B5639" s="4" t="str">
        <f>HYPERLINK("https://twitter.com/petrogustavo","@petrogustavo")</f>
        <v>@petrogustavo</v>
      </c>
      <c r="C5639" s="5" t="s">
        <v>16</v>
      </c>
      <c r="D5639" s="5" t="s">
        <v>5487</v>
      </c>
      <c r="E5639" s="6" t="str">
        <f>HYPERLINK("https://twitter.com/petrogustavo/status/1257425646277533701","1257425646277533701")</f>
        <v>1257425646277533701</v>
      </c>
      <c r="F5639" s="7" t="s">
        <v>32</v>
      </c>
      <c r="G5639" s="7">
        <v>3815304</v>
      </c>
      <c r="H5639" s="7">
        <v>2401</v>
      </c>
      <c r="I5639" s="7">
        <v>77</v>
      </c>
      <c r="J5639" s="7">
        <v>0</v>
      </c>
      <c r="K5639" s="7" t="s">
        <v>18</v>
      </c>
      <c r="L5639" s="8">
        <v>39987.315405092595</v>
      </c>
      <c r="M5639" s="9" t="s">
        <v>19</v>
      </c>
      <c r="N5639" s="9" t="s">
        <v>20</v>
      </c>
      <c r="O5639" s="6" t="str">
        <f>HYPERLINK("https://pbs.twimg.com/profile_images/962471262747529216/Uo8lOkRJ_normal.jpg","View")</f>
        <v>View</v>
      </c>
      <c r="P5639" s="7"/>
    </row>
    <row r="5640" spans="1:16">
      <c r="A5640" s="3">
        <v>43956.251145833332</v>
      </c>
      <c r="B5640" s="4" t="str">
        <f>HYPERLINK("https://twitter.com/petrogustavo","@petrogustavo")</f>
        <v>@petrogustavo</v>
      </c>
      <c r="C5640" s="5" t="s">
        <v>16</v>
      </c>
      <c r="D5640" s="5" t="s">
        <v>5488</v>
      </c>
      <c r="E5640" s="6" t="str">
        <f>HYPERLINK("https://twitter.com/petrogustavo/status/1257467960236654593","1257467960236654593")</f>
        <v>1257467960236654593</v>
      </c>
      <c r="F5640" s="7" t="s">
        <v>17</v>
      </c>
      <c r="G5640" s="7">
        <v>3815527</v>
      </c>
      <c r="H5640" s="7">
        <v>2401</v>
      </c>
      <c r="I5640" s="7">
        <v>11</v>
      </c>
      <c r="J5640" s="7">
        <v>28</v>
      </c>
      <c r="K5640" s="7" t="s">
        <v>18</v>
      </c>
      <c r="L5640" s="8">
        <v>39987.315405092595</v>
      </c>
      <c r="M5640" s="9" t="s">
        <v>19</v>
      </c>
      <c r="N5640" s="9" t="s">
        <v>20</v>
      </c>
      <c r="O5640" s="6" t="str">
        <f>HYPERLINK("https://pbs.twimg.com/profile_images/962471262747529216/Uo8lOkRJ_normal.jpg","View")</f>
        <v>View</v>
      </c>
      <c r="P5640" s="7"/>
    </row>
    <row r="5641" spans="1:16">
      <c r="A5641" s="3">
        <v>43956.253032407403</v>
      </c>
      <c r="B5641" s="4" t="str">
        <f>HYPERLINK("https://twitter.com/petrogustavo","@petrogustavo")</f>
        <v>@petrogustavo</v>
      </c>
      <c r="C5641" s="5" t="s">
        <v>16</v>
      </c>
      <c r="D5641" s="5" t="s">
        <v>5489</v>
      </c>
      <c r="E5641" s="6" t="str">
        <f>HYPERLINK("https://twitter.com/petrogustavo/status/1257468645304946690","1257468645304946690")</f>
        <v>1257468645304946690</v>
      </c>
      <c r="F5641" s="7" t="s">
        <v>17</v>
      </c>
      <c r="G5641" s="7">
        <v>3815535</v>
      </c>
      <c r="H5641" s="7">
        <v>2401</v>
      </c>
      <c r="I5641" s="7">
        <v>112</v>
      </c>
      <c r="J5641" s="7">
        <v>283</v>
      </c>
      <c r="K5641" s="7" t="s">
        <v>18</v>
      </c>
      <c r="L5641" s="8">
        <v>39987.315405092595</v>
      </c>
      <c r="M5641" s="9" t="s">
        <v>19</v>
      </c>
      <c r="N5641" s="9" t="s">
        <v>20</v>
      </c>
      <c r="O5641" s="6" t="str">
        <f>HYPERLINK("https://pbs.twimg.com/profile_images/962471262747529216/Uo8lOkRJ_normal.jpg","View")</f>
        <v>View</v>
      </c>
      <c r="P5641" s="7"/>
    </row>
    <row r="5642" spans="1:16">
      <c r="A5642" s="3">
        <v>43956.255162037036</v>
      </c>
      <c r="B5642" s="4" t="str">
        <f>HYPERLINK("https://twitter.com/petrogustavo","@petrogustavo")</f>
        <v>@petrogustavo</v>
      </c>
      <c r="C5642" s="5" t="s">
        <v>16</v>
      </c>
      <c r="D5642" s="5" t="s">
        <v>5490</v>
      </c>
      <c r="E5642" s="6" t="str">
        <f>HYPERLINK("https://twitter.com/petrogustavo/status/1257469415882440704","1257469415882440704")</f>
        <v>1257469415882440704</v>
      </c>
      <c r="F5642" s="7" t="s">
        <v>17</v>
      </c>
      <c r="G5642" s="7">
        <v>3815535</v>
      </c>
      <c r="H5642" s="7">
        <v>2401</v>
      </c>
      <c r="I5642" s="7">
        <v>162</v>
      </c>
      <c r="J5642" s="7">
        <v>0</v>
      </c>
      <c r="K5642" s="7" t="s">
        <v>18</v>
      </c>
      <c r="L5642" s="8">
        <v>39987.315405092595</v>
      </c>
      <c r="M5642" s="9" t="s">
        <v>19</v>
      </c>
      <c r="N5642" s="9" t="s">
        <v>20</v>
      </c>
      <c r="O5642" s="6" t="str">
        <f>HYPERLINK("https://pbs.twimg.com/profile_images/962471262747529216/Uo8lOkRJ_normal.jpg","View")</f>
        <v>View</v>
      </c>
      <c r="P5642" s="7"/>
    </row>
    <row r="5643" spans="1:16">
      <c r="A5643" s="3">
        <v>43956.255254629628</v>
      </c>
      <c r="B5643" s="4" t="str">
        <f>HYPERLINK("https://twitter.com/petrogustavo","@petrogustavo")</f>
        <v>@petrogustavo</v>
      </c>
      <c r="C5643" s="5" t="s">
        <v>16</v>
      </c>
      <c r="D5643" s="5" t="s">
        <v>5487</v>
      </c>
      <c r="E5643" s="6" t="str">
        <f>HYPERLINK("https://twitter.com/petrogustavo/status/1257469451039113216","1257469451039113216")</f>
        <v>1257469451039113216</v>
      </c>
      <c r="F5643" s="7" t="s">
        <v>17</v>
      </c>
      <c r="G5643" s="7">
        <v>3815535</v>
      </c>
      <c r="H5643" s="7">
        <v>2401</v>
      </c>
      <c r="I5643" s="7">
        <v>311</v>
      </c>
      <c r="J5643" s="7">
        <v>0</v>
      </c>
      <c r="K5643" s="7" t="s">
        <v>18</v>
      </c>
      <c r="L5643" s="8">
        <v>39987.315405092595</v>
      </c>
      <c r="M5643" s="9" t="s">
        <v>19</v>
      </c>
      <c r="N5643" s="9" t="s">
        <v>20</v>
      </c>
      <c r="O5643" s="6" t="str">
        <f>HYPERLINK("https://pbs.twimg.com/profile_images/962471262747529216/Uo8lOkRJ_normal.jpg","View")</f>
        <v>View</v>
      </c>
      <c r="P5643" s="7"/>
    </row>
    <row r="5644" spans="1:16">
      <c r="A5644" s="3">
        <v>43956.325717592597</v>
      </c>
      <c r="B5644" s="4" t="str">
        <f>HYPERLINK("https://twitter.com/petrogustavo","@petrogustavo")</f>
        <v>@petrogustavo</v>
      </c>
      <c r="C5644" s="5" t="s">
        <v>16</v>
      </c>
      <c r="D5644" s="5" t="s">
        <v>5476</v>
      </c>
      <c r="E5644" s="6" t="str">
        <f>HYPERLINK("https://twitter.com/petrogustavo/status/1257494985022361600","1257494985022361600")</f>
        <v>1257494985022361600</v>
      </c>
      <c r="F5644" s="7" t="s">
        <v>17</v>
      </c>
      <c r="G5644" s="7">
        <v>3815695</v>
      </c>
      <c r="H5644" s="7">
        <v>2401</v>
      </c>
      <c r="I5644" s="7">
        <v>452</v>
      </c>
      <c r="J5644" s="7">
        <v>0</v>
      </c>
      <c r="K5644" s="7" t="s">
        <v>18</v>
      </c>
      <c r="L5644" s="8">
        <v>39987.315405092595</v>
      </c>
      <c r="M5644" s="9" t="s">
        <v>19</v>
      </c>
      <c r="N5644" s="9" t="s">
        <v>20</v>
      </c>
      <c r="O5644" s="6" t="str">
        <f>HYPERLINK("https://pbs.twimg.com/profile_images/962471262747529216/Uo8lOkRJ_normal.jpg","View")</f>
        <v>View</v>
      </c>
      <c r="P5644" s="7"/>
    </row>
    <row r="5645" spans="1:16">
      <c r="A5645" s="3">
        <v>43956.722812499997</v>
      </c>
      <c r="B5645" s="4" t="str">
        <f>HYPERLINK("https://twitter.com/petrogustavo","@petrogustavo")</f>
        <v>@petrogustavo</v>
      </c>
      <c r="C5645" s="5" t="s">
        <v>16</v>
      </c>
      <c r="D5645" s="5" t="s">
        <v>5483</v>
      </c>
      <c r="E5645" s="6" t="str">
        <f>HYPERLINK("https://twitter.com/petrogustavo/status/1257638887096279040","1257638887096279040")</f>
        <v>1257638887096279040</v>
      </c>
      <c r="F5645" s="7" t="s">
        <v>17</v>
      </c>
      <c r="G5645" s="7">
        <v>3816000</v>
      </c>
      <c r="H5645" s="7">
        <v>2401</v>
      </c>
      <c r="I5645" s="7">
        <v>654</v>
      </c>
      <c r="J5645" s="7">
        <v>0</v>
      </c>
      <c r="K5645" s="7" t="s">
        <v>18</v>
      </c>
      <c r="L5645" s="8">
        <v>39987.315405092595</v>
      </c>
      <c r="M5645" s="9" t="s">
        <v>19</v>
      </c>
      <c r="N5645" s="9" t="s">
        <v>20</v>
      </c>
      <c r="O5645" s="6" t="str">
        <f>HYPERLINK("https://pbs.twimg.com/profile_images/962471262747529216/Uo8lOkRJ_normal.jpg","View")</f>
        <v>View</v>
      </c>
      <c r="P5645" s="7"/>
    </row>
    <row r="5646" spans="1:16">
      <c r="A5646" s="3">
        <v>43956.733668981484</v>
      </c>
      <c r="B5646" s="4" t="str">
        <f>HYPERLINK("https://twitter.com/petrogustavo","@petrogustavo")</f>
        <v>@petrogustavo</v>
      </c>
      <c r="C5646" s="5" t="s">
        <v>16</v>
      </c>
      <c r="D5646" s="5" t="s">
        <v>5491</v>
      </c>
      <c r="E5646" s="6" t="str">
        <f>HYPERLINK("https://twitter.com/petrogustavo/status/1257642824134209537","1257642824134209537")</f>
        <v>1257642824134209537</v>
      </c>
      <c r="F5646" s="7" t="s">
        <v>17</v>
      </c>
      <c r="G5646" s="7">
        <v>3816000</v>
      </c>
      <c r="H5646" s="7">
        <v>2401</v>
      </c>
      <c r="I5646" s="7">
        <v>133</v>
      </c>
      <c r="J5646" s="7">
        <v>223</v>
      </c>
      <c r="K5646" s="7" t="s">
        <v>18</v>
      </c>
      <c r="L5646" s="8">
        <v>39987.315405092595</v>
      </c>
      <c r="M5646" s="9" t="s">
        <v>19</v>
      </c>
      <c r="N5646" s="9" t="s">
        <v>20</v>
      </c>
      <c r="O5646" s="6" t="str">
        <f>HYPERLINK("https://pbs.twimg.com/profile_images/962471262747529216/Uo8lOkRJ_normal.jpg","View")</f>
        <v>View</v>
      </c>
      <c r="P5646" s="7"/>
    </row>
    <row r="5647" spans="1:16">
      <c r="A5647" s="3">
        <v>43956.73846064815</v>
      </c>
      <c r="B5647" s="4" t="str">
        <f>HYPERLINK("https://twitter.com/petrogustavo","@petrogustavo")</f>
        <v>@petrogustavo</v>
      </c>
      <c r="C5647" s="5" t="s">
        <v>16</v>
      </c>
      <c r="D5647" s="5" t="s">
        <v>5492</v>
      </c>
      <c r="E5647" s="6" t="str">
        <f>HYPERLINK("https://twitter.com/petrogustavo/status/1257644561268117506","1257644561268117506")</f>
        <v>1257644561268117506</v>
      </c>
      <c r="F5647" s="7" t="s">
        <v>17</v>
      </c>
      <c r="G5647" s="7">
        <v>3816000</v>
      </c>
      <c r="H5647" s="7">
        <v>2401</v>
      </c>
      <c r="I5647" s="7">
        <v>40</v>
      </c>
      <c r="J5647" s="7">
        <v>76</v>
      </c>
      <c r="K5647" s="7" t="s">
        <v>18</v>
      </c>
      <c r="L5647" s="8">
        <v>39987.315405092595</v>
      </c>
      <c r="M5647" s="9" t="s">
        <v>19</v>
      </c>
      <c r="N5647" s="9" t="s">
        <v>20</v>
      </c>
      <c r="O5647" s="6" t="str">
        <f>HYPERLINK("https://pbs.twimg.com/profile_images/962471262747529216/Uo8lOkRJ_normal.jpg","View")</f>
        <v>View</v>
      </c>
      <c r="P5647" s="7"/>
    </row>
    <row r="5648" spans="1:16">
      <c r="A5648" s="3">
        <v>43956.741296296299</v>
      </c>
      <c r="B5648" s="4" t="str">
        <f>HYPERLINK("https://twitter.com/petrogustavo","@petrogustavo")</f>
        <v>@petrogustavo</v>
      </c>
      <c r="C5648" s="5" t="s">
        <v>16</v>
      </c>
      <c r="D5648" s="5" t="s">
        <v>5493</v>
      </c>
      <c r="E5648" s="6" t="str">
        <f>HYPERLINK("https://twitter.com/petrogustavo/status/1257645588142870529","1257645588142870529")</f>
        <v>1257645588142870529</v>
      </c>
      <c r="F5648" s="7" t="s">
        <v>17</v>
      </c>
      <c r="G5648" s="7">
        <v>3816000</v>
      </c>
      <c r="H5648" s="7">
        <v>2401</v>
      </c>
      <c r="I5648" s="7">
        <v>26</v>
      </c>
      <c r="J5648" s="7">
        <v>65</v>
      </c>
      <c r="K5648" s="7" t="s">
        <v>18</v>
      </c>
      <c r="L5648" s="8">
        <v>39987.315405092595</v>
      </c>
      <c r="M5648" s="9" t="s">
        <v>19</v>
      </c>
      <c r="N5648" s="9" t="s">
        <v>20</v>
      </c>
      <c r="O5648" s="6" t="str">
        <f>HYPERLINK("https://pbs.twimg.com/profile_images/962471262747529216/Uo8lOkRJ_normal.jpg","View")</f>
        <v>View</v>
      </c>
      <c r="P5648" s="7"/>
    </row>
    <row r="5649" spans="1:16">
      <c r="A5649" s="3">
        <v>43956.744143518517</v>
      </c>
      <c r="B5649" s="4" t="str">
        <f>HYPERLINK("https://twitter.com/petrogustavo","@petrogustavo")</f>
        <v>@petrogustavo</v>
      </c>
      <c r="C5649" s="5" t="s">
        <v>16</v>
      </c>
      <c r="D5649" s="5" t="s">
        <v>5494</v>
      </c>
      <c r="E5649" s="6" t="str">
        <f>HYPERLINK("https://twitter.com/petrogustavo/status/1257646617638952960","1257646617638952960")</f>
        <v>1257646617638952960</v>
      </c>
      <c r="F5649" s="7" t="s">
        <v>17</v>
      </c>
      <c r="G5649" s="7">
        <v>3816000</v>
      </c>
      <c r="H5649" s="7">
        <v>2401</v>
      </c>
      <c r="I5649" s="7">
        <v>16</v>
      </c>
      <c r="J5649" s="7">
        <v>26</v>
      </c>
      <c r="K5649" s="7" t="s">
        <v>18</v>
      </c>
      <c r="L5649" s="8">
        <v>39987.315405092595</v>
      </c>
      <c r="M5649" s="9" t="s">
        <v>19</v>
      </c>
      <c r="N5649" s="9" t="s">
        <v>20</v>
      </c>
      <c r="O5649" s="6" t="str">
        <f>HYPERLINK("https://pbs.twimg.com/profile_images/962471262747529216/Uo8lOkRJ_normal.jpg","View")</f>
        <v>View</v>
      </c>
      <c r="P5649" s="7"/>
    </row>
    <row r="5650" spans="1:16">
      <c r="A5650" s="3">
        <v>43956.745856481481</v>
      </c>
      <c r="B5650" s="4" t="str">
        <f>HYPERLINK("https://twitter.com/petrogustavo","@petrogustavo")</f>
        <v>@petrogustavo</v>
      </c>
      <c r="C5650" s="5" t="s">
        <v>16</v>
      </c>
      <c r="D5650" s="5" t="s">
        <v>5495</v>
      </c>
      <c r="E5650" s="6" t="str">
        <f>HYPERLINK("https://twitter.com/petrogustavo/status/1257647240446910464","1257647240446910464")</f>
        <v>1257647240446910464</v>
      </c>
      <c r="F5650" s="7" t="s">
        <v>17</v>
      </c>
      <c r="G5650" s="7">
        <v>3816000</v>
      </c>
      <c r="H5650" s="7">
        <v>2401</v>
      </c>
      <c r="I5650" s="7">
        <v>12</v>
      </c>
      <c r="J5650" s="7">
        <v>36</v>
      </c>
      <c r="K5650" s="7" t="s">
        <v>18</v>
      </c>
      <c r="L5650" s="8">
        <v>39987.315405092595</v>
      </c>
      <c r="M5650" s="9" t="s">
        <v>19</v>
      </c>
      <c r="N5650" s="9" t="s">
        <v>20</v>
      </c>
      <c r="O5650" s="6" t="str">
        <f>HYPERLINK("https://pbs.twimg.com/profile_images/962471262747529216/Uo8lOkRJ_normal.jpg","View")</f>
        <v>View</v>
      </c>
      <c r="P5650" s="7"/>
    </row>
    <row r="5651" spans="1:16">
      <c r="A5651" s="3">
        <v>43956.747627314813</v>
      </c>
      <c r="B5651" s="4" t="str">
        <f>HYPERLINK("https://twitter.com/petrogustavo","@petrogustavo")</f>
        <v>@petrogustavo</v>
      </c>
      <c r="C5651" s="5" t="s">
        <v>16</v>
      </c>
      <c r="D5651" s="5" t="s">
        <v>5496</v>
      </c>
      <c r="E5651" s="6" t="str">
        <f>HYPERLINK("https://twitter.com/petrogustavo/status/1257647882993315842","1257647882993315842")</f>
        <v>1257647882993315842</v>
      </c>
      <c r="F5651" s="7" t="s">
        <v>17</v>
      </c>
      <c r="G5651" s="7">
        <v>3816000</v>
      </c>
      <c r="H5651" s="7">
        <v>2401</v>
      </c>
      <c r="I5651" s="7">
        <v>13</v>
      </c>
      <c r="J5651" s="7">
        <v>35</v>
      </c>
      <c r="K5651" s="7" t="s">
        <v>18</v>
      </c>
      <c r="L5651" s="8">
        <v>39987.315405092595</v>
      </c>
      <c r="M5651" s="9" t="s">
        <v>19</v>
      </c>
      <c r="N5651" s="9" t="s">
        <v>20</v>
      </c>
      <c r="O5651" s="6" t="str">
        <f>HYPERLINK("https://pbs.twimg.com/profile_images/962471262747529216/Uo8lOkRJ_normal.jpg","View")</f>
        <v>View</v>
      </c>
      <c r="P5651" s="7"/>
    </row>
    <row r="5652" spans="1:16">
      <c r="A5652" s="3">
        <v>43956.806886574079</v>
      </c>
      <c r="B5652" s="4" t="str">
        <f>HYPERLINK("https://twitter.com/petrogustavo","@petrogustavo")</f>
        <v>@petrogustavo</v>
      </c>
      <c r="C5652" s="5" t="s">
        <v>16</v>
      </c>
      <c r="D5652" s="5" t="s">
        <v>5497</v>
      </c>
      <c r="E5652" s="6" t="str">
        <f>HYPERLINK("https://twitter.com/petrogustavo/status/1257669356575694848","1257669356575694848")</f>
        <v>1257669356575694848</v>
      </c>
      <c r="F5652" s="7" t="s">
        <v>17</v>
      </c>
      <c r="G5652" s="7">
        <v>3816114</v>
      </c>
      <c r="H5652" s="7">
        <v>2401</v>
      </c>
      <c r="I5652" s="7">
        <v>71</v>
      </c>
      <c r="J5652" s="7">
        <v>137</v>
      </c>
      <c r="K5652" s="7" t="s">
        <v>18</v>
      </c>
      <c r="L5652" s="8">
        <v>39987.315405092595</v>
      </c>
      <c r="M5652" s="9" t="s">
        <v>19</v>
      </c>
      <c r="N5652" s="9" t="s">
        <v>20</v>
      </c>
      <c r="O5652" s="6" t="str">
        <f>HYPERLINK("https://pbs.twimg.com/profile_images/962471262747529216/Uo8lOkRJ_normal.jpg","View")</f>
        <v>View</v>
      </c>
      <c r="P5652" s="7"/>
    </row>
    <row r="5653" spans="1:16">
      <c r="A5653" s="3">
        <v>43956.814120370371</v>
      </c>
      <c r="B5653" s="4" t="str">
        <f>HYPERLINK("https://twitter.com/petrogustavo","@petrogustavo")</f>
        <v>@petrogustavo</v>
      </c>
      <c r="C5653" s="5" t="s">
        <v>16</v>
      </c>
      <c r="D5653" s="5" t="s">
        <v>5498</v>
      </c>
      <c r="E5653" s="6" t="str">
        <f>HYPERLINK("https://twitter.com/petrogustavo/status/1257671978439380992","1257671978439380992")</f>
        <v>1257671978439380992</v>
      </c>
      <c r="F5653" s="7" t="s">
        <v>17</v>
      </c>
      <c r="G5653" s="7">
        <v>3816114</v>
      </c>
      <c r="H5653" s="7">
        <v>2401</v>
      </c>
      <c r="I5653" s="7">
        <v>108</v>
      </c>
      <c r="J5653" s="7">
        <v>0</v>
      </c>
      <c r="K5653" s="7" t="s">
        <v>18</v>
      </c>
      <c r="L5653" s="8">
        <v>39987.315405092595</v>
      </c>
      <c r="M5653" s="9" t="s">
        <v>19</v>
      </c>
      <c r="N5653" s="9" t="s">
        <v>20</v>
      </c>
      <c r="O5653" s="6" t="str">
        <f>HYPERLINK("https://pbs.twimg.com/profile_images/962471262747529216/Uo8lOkRJ_normal.jpg","View")</f>
        <v>View</v>
      </c>
      <c r="P5653" s="7"/>
    </row>
    <row r="5654" spans="1:16">
      <c r="A5654" s="3">
        <v>43956.814421296294</v>
      </c>
      <c r="B5654" s="4" t="str">
        <f>HYPERLINK("https://twitter.com/petrogustavo","@petrogustavo")</f>
        <v>@petrogustavo</v>
      </c>
      <c r="C5654" s="5" t="s">
        <v>16</v>
      </c>
      <c r="D5654" s="5" t="s">
        <v>5499</v>
      </c>
      <c r="E5654" s="6" t="str">
        <f>HYPERLINK("https://twitter.com/petrogustavo/status/1257672087243718658","1257672087243718658")</f>
        <v>1257672087243718658</v>
      </c>
      <c r="F5654" s="7" t="s">
        <v>17</v>
      </c>
      <c r="G5654" s="7">
        <v>3816114</v>
      </c>
      <c r="H5654" s="7">
        <v>2401</v>
      </c>
      <c r="I5654" s="7">
        <v>71</v>
      </c>
      <c r="J5654" s="7">
        <v>0</v>
      </c>
      <c r="K5654" s="7" t="s">
        <v>18</v>
      </c>
      <c r="L5654" s="8">
        <v>39987.315405092595</v>
      </c>
      <c r="M5654" s="9" t="s">
        <v>19</v>
      </c>
      <c r="N5654" s="9" t="s">
        <v>20</v>
      </c>
      <c r="O5654" s="6" t="str">
        <f>HYPERLINK("https://pbs.twimg.com/profile_images/962471262747529216/Uo8lOkRJ_normal.jpg","View")</f>
        <v>View</v>
      </c>
      <c r="P5654" s="7"/>
    </row>
    <row r="5655" spans="1:16">
      <c r="A5655" s="3">
        <v>43956.822962962964</v>
      </c>
      <c r="B5655" s="4" t="str">
        <f>HYPERLINK("https://twitter.com/petrogustavo","@petrogustavo")</f>
        <v>@petrogustavo</v>
      </c>
      <c r="C5655" s="5" t="s">
        <v>16</v>
      </c>
      <c r="D5655" s="5" t="s">
        <v>5500</v>
      </c>
      <c r="E5655" s="6" t="str">
        <f>HYPERLINK("https://twitter.com/petrogustavo/status/1257675181755113472","1257675181755113472")</f>
        <v>1257675181755113472</v>
      </c>
      <c r="F5655" s="7" t="s">
        <v>17</v>
      </c>
      <c r="G5655" s="7">
        <v>3816120</v>
      </c>
      <c r="H5655" s="7">
        <v>2401</v>
      </c>
      <c r="I5655" s="7">
        <v>264</v>
      </c>
      <c r="J5655" s="7">
        <v>0</v>
      </c>
      <c r="K5655" s="7" t="s">
        <v>18</v>
      </c>
      <c r="L5655" s="8">
        <v>39987.315405092595</v>
      </c>
      <c r="M5655" s="9" t="s">
        <v>19</v>
      </c>
      <c r="N5655" s="9" t="s">
        <v>20</v>
      </c>
      <c r="O5655" s="6" t="str">
        <f>HYPERLINK("https://pbs.twimg.com/profile_images/962471262747529216/Uo8lOkRJ_normal.jpg","View")</f>
        <v>View</v>
      </c>
      <c r="P5655" s="7"/>
    </row>
    <row r="5656" spans="1:16">
      <c r="A5656" s="3">
        <v>43956.8283912037</v>
      </c>
      <c r="B5656" s="4" t="str">
        <f>HYPERLINK("https://twitter.com/petrogustavo","@petrogustavo")</f>
        <v>@petrogustavo</v>
      </c>
      <c r="C5656" s="5" t="s">
        <v>16</v>
      </c>
      <c r="D5656" s="5" t="s">
        <v>5501</v>
      </c>
      <c r="E5656" s="6" t="str">
        <f>HYPERLINK("https://twitter.com/petrogustavo/status/1257677147499610115","1257677147499610115")</f>
        <v>1257677147499610115</v>
      </c>
      <c r="F5656" s="7" t="s">
        <v>17</v>
      </c>
      <c r="G5656" s="7">
        <v>3816120</v>
      </c>
      <c r="H5656" s="7">
        <v>2401</v>
      </c>
      <c r="I5656" s="7">
        <v>22</v>
      </c>
      <c r="J5656" s="7">
        <v>53</v>
      </c>
      <c r="K5656" s="7" t="s">
        <v>18</v>
      </c>
      <c r="L5656" s="8">
        <v>39987.315405092595</v>
      </c>
      <c r="M5656" s="9" t="s">
        <v>19</v>
      </c>
      <c r="N5656" s="9" t="s">
        <v>20</v>
      </c>
      <c r="O5656" s="6" t="str">
        <f>HYPERLINK("https://pbs.twimg.com/profile_images/962471262747529216/Uo8lOkRJ_normal.jpg","View")</f>
        <v>View</v>
      </c>
      <c r="P5656" s="7"/>
    </row>
    <row r="5657" spans="1:16">
      <c r="A5657" s="3">
        <v>43956.830740740741</v>
      </c>
      <c r="B5657" s="4" t="str">
        <f>HYPERLINK("https://twitter.com/petrogustavo","@petrogustavo")</f>
        <v>@petrogustavo</v>
      </c>
      <c r="C5657" s="5" t="s">
        <v>16</v>
      </c>
      <c r="D5657" s="5" t="s">
        <v>5502</v>
      </c>
      <c r="E5657" s="6" t="str">
        <f>HYPERLINK("https://twitter.com/petrogustavo/status/1257678001883484160","1257678001883484160")</f>
        <v>1257678001883484160</v>
      </c>
      <c r="F5657" s="7" t="s">
        <v>17</v>
      </c>
      <c r="G5657" s="7">
        <v>3816120</v>
      </c>
      <c r="H5657" s="7">
        <v>2401</v>
      </c>
      <c r="I5657" s="7">
        <v>55</v>
      </c>
      <c r="J5657" s="7">
        <v>178</v>
      </c>
      <c r="K5657" s="7" t="s">
        <v>18</v>
      </c>
      <c r="L5657" s="8">
        <v>39987.315405092595</v>
      </c>
      <c r="M5657" s="9" t="s">
        <v>19</v>
      </c>
      <c r="N5657" s="9" t="s">
        <v>20</v>
      </c>
      <c r="O5657" s="6" t="str">
        <f>HYPERLINK("https://pbs.twimg.com/profile_images/962471262747529216/Uo8lOkRJ_normal.jpg","View")</f>
        <v>View</v>
      </c>
      <c r="P5657" s="7"/>
    </row>
    <row r="5658" spans="1:16">
      <c r="A5658" s="3">
        <v>43956.833564814813</v>
      </c>
      <c r="B5658" s="4" t="str">
        <f>HYPERLINK("https://twitter.com/petrogustavo","@petrogustavo")</f>
        <v>@petrogustavo</v>
      </c>
      <c r="C5658" s="5" t="s">
        <v>16</v>
      </c>
      <c r="D5658" s="5" t="s">
        <v>5503</v>
      </c>
      <c r="E5658" s="6" t="str">
        <f>HYPERLINK("https://twitter.com/petrogustavo/status/1257679024341553155","1257679024341553155")</f>
        <v>1257679024341553155</v>
      </c>
      <c r="F5658" s="7" t="s">
        <v>17</v>
      </c>
      <c r="G5658" s="7">
        <v>3816120</v>
      </c>
      <c r="H5658" s="7">
        <v>2401</v>
      </c>
      <c r="I5658" s="7">
        <v>805</v>
      </c>
      <c r="J5658" s="7">
        <v>0</v>
      </c>
      <c r="K5658" s="7" t="s">
        <v>18</v>
      </c>
      <c r="L5658" s="8">
        <v>39987.315405092595</v>
      </c>
      <c r="M5658" s="9" t="s">
        <v>19</v>
      </c>
      <c r="N5658" s="9" t="s">
        <v>20</v>
      </c>
      <c r="O5658" s="6" t="str">
        <f>HYPERLINK("https://pbs.twimg.com/profile_images/962471262747529216/Uo8lOkRJ_normal.jpg","View")</f>
        <v>View</v>
      </c>
      <c r="P5658" s="7"/>
    </row>
    <row r="5659" spans="1:16">
      <c r="A5659" s="3">
        <v>43956.833703703705</v>
      </c>
      <c r="B5659" s="4" t="str">
        <f>HYPERLINK("https://twitter.com/petrogustavo","@petrogustavo")</f>
        <v>@petrogustavo</v>
      </c>
      <c r="C5659" s="5" t="s">
        <v>16</v>
      </c>
      <c r="D5659" s="5" t="s">
        <v>5504</v>
      </c>
      <c r="E5659" s="6" t="str">
        <f>HYPERLINK("https://twitter.com/petrogustavo/status/1257679076258709507","1257679076258709507")</f>
        <v>1257679076258709507</v>
      </c>
      <c r="F5659" s="7" t="s">
        <v>17</v>
      </c>
      <c r="G5659" s="7">
        <v>3816120</v>
      </c>
      <c r="H5659" s="7">
        <v>2401</v>
      </c>
      <c r="I5659" s="7">
        <v>11</v>
      </c>
      <c r="J5659" s="7">
        <v>0</v>
      </c>
      <c r="K5659" s="7" t="s">
        <v>18</v>
      </c>
      <c r="L5659" s="8">
        <v>39987.315405092595</v>
      </c>
      <c r="M5659" s="9" t="s">
        <v>19</v>
      </c>
      <c r="N5659" s="9" t="s">
        <v>20</v>
      </c>
      <c r="O5659" s="6" t="str">
        <f>HYPERLINK("https://pbs.twimg.com/profile_images/962471262747529216/Uo8lOkRJ_normal.jpg","View")</f>
        <v>View</v>
      </c>
      <c r="P5659" s="7"/>
    </row>
    <row r="5660" spans="1:16">
      <c r="A5660" s="3">
        <v>43956.840717592597</v>
      </c>
      <c r="B5660" s="4" t="str">
        <f>HYPERLINK("https://twitter.com/petrogustavo","@petrogustavo")</f>
        <v>@petrogustavo</v>
      </c>
      <c r="C5660" s="5" t="s">
        <v>16</v>
      </c>
      <c r="D5660" s="5" t="s">
        <v>5505</v>
      </c>
      <c r="E5660" s="6" t="str">
        <f>HYPERLINK("https://twitter.com/petrogustavo/status/1257681614370471936","1257681614370471936")</f>
        <v>1257681614370471936</v>
      </c>
      <c r="F5660" s="7" t="s">
        <v>17</v>
      </c>
      <c r="G5660" s="7">
        <v>3816164</v>
      </c>
      <c r="H5660" s="7">
        <v>2401</v>
      </c>
      <c r="I5660" s="7">
        <v>64</v>
      </c>
      <c r="J5660" s="7">
        <v>152</v>
      </c>
      <c r="K5660" s="7" t="s">
        <v>18</v>
      </c>
      <c r="L5660" s="8">
        <v>39987.315405092595</v>
      </c>
      <c r="M5660" s="9" t="s">
        <v>19</v>
      </c>
      <c r="N5660" s="9" t="s">
        <v>20</v>
      </c>
      <c r="O5660" s="6" t="str">
        <f>HYPERLINK("https://pbs.twimg.com/profile_images/962471262747529216/Uo8lOkRJ_normal.jpg","View")</f>
        <v>View</v>
      </c>
      <c r="P5660" s="7"/>
    </row>
    <row r="5661" spans="1:16">
      <c r="A5661" s="3">
        <v>43956.842337962968</v>
      </c>
      <c r="B5661" s="4" t="str">
        <f>HYPERLINK("https://twitter.com/petrogustavo","@petrogustavo")</f>
        <v>@petrogustavo</v>
      </c>
      <c r="C5661" s="5" t="s">
        <v>16</v>
      </c>
      <c r="D5661" s="5" t="s">
        <v>5506</v>
      </c>
      <c r="E5661" s="6" t="str">
        <f>HYPERLINK("https://twitter.com/petrogustavo/status/1257682202080526336","1257682202080526336")</f>
        <v>1257682202080526336</v>
      </c>
      <c r="F5661" s="7" t="s">
        <v>17</v>
      </c>
      <c r="G5661" s="7">
        <v>3816164</v>
      </c>
      <c r="H5661" s="7">
        <v>2401</v>
      </c>
      <c r="I5661" s="7">
        <v>52</v>
      </c>
      <c r="J5661" s="7">
        <v>96</v>
      </c>
      <c r="K5661" s="7" t="s">
        <v>18</v>
      </c>
      <c r="L5661" s="8">
        <v>39987.315405092595</v>
      </c>
      <c r="M5661" s="9" t="s">
        <v>19</v>
      </c>
      <c r="N5661" s="9" t="s">
        <v>20</v>
      </c>
      <c r="O5661" s="6" t="str">
        <f>HYPERLINK("https://pbs.twimg.com/profile_images/962471262747529216/Uo8lOkRJ_normal.jpg","View")</f>
        <v>View</v>
      </c>
      <c r="P5661" s="7"/>
    </row>
    <row r="5662" spans="1:16">
      <c r="A5662" s="3">
        <v>43956.925613425927</v>
      </c>
      <c r="B5662" s="4" t="str">
        <f>HYPERLINK("https://twitter.com/petrogustavo","@petrogustavo")</f>
        <v>@petrogustavo</v>
      </c>
      <c r="C5662" s="5" t="s">
        <v>16</v>
      </c>
      <c r="D5662" s="5" t="s">
        <v>5507</v>
      </c>
      <c r="E5662" s="6" t="str">
        <f>HYPERLINK("https://twitter.com/petrogustavo/status/1257712379674198022","1257712379674198022")</f>
        <v>1257712379674198022</v>
      </c>
      <c r="F5662" s="7" t="s">
        <v>17</v>
      </c>
      <c r="G5662" s="7">
        <v>3816291</v>
      </c>
      <c r="H5662" s="7">
        <v>2401</v>
      </c>
      <c r="I5662" s="7">
        <v>541</v>
      </c>
      <c r="J5662" s="7">
        <v>0</v>
      </c>
      <c r="K5662" s="7" t="s">
        <v>18</v>
      </c>
      <c r="L5662" s="8">
        <v>39987.315405092595</v>
      </c>
      <c r="M5662" s="9" t="s">
        <v>19</v>
      </c>
      <c r="N5662" s="9" t="s">
        <v>20</v>
      </c>
      <c r="O5662" s="6" t="str">
        <f>HYPERLINK("https://pbs.twimg.com/profile_images/962471262747529216/Uo8lOkRJ_normal.jpg","View")</f>
        <v>View</v>
      </c>
      <c r="P5662" s="7"/>
    </row>
    <row r="5663" spans="1:16">
      <c r="A5663" s="3">
        <v>43956.930266203708</v>
      </c>
      <c r="B5663" s="4" t="str">
        <f>HYPERLINK("https://twitter.com/petrogustavo","@petrogustavo")</f>
        <v>@petrogustavo</v>
      </c>
      <c r="C5663" s="5" t="s">
        <v>16</v>
      </c>
      <c r="D5663" s="5" t="s">
        <v>5508</v>
      </c>
      <c r="E5663" s="6" t="str">
        <f>HYPERLINK("https://twitter.com/petrogustavo/status/1257714066472214529","1257714066472214529")</f>
        <v>1257714066472214529</v>
      </c>
      <c r="F5663" s="7" t="s">
        <v>17</v>
      </c>
      <c r="G5663" s="7">
        <v>3816291</v>
      </c>
      <c r="H5663" s="7">
        <v>2401</v>
      </c>
      <c r="I5663" s="7">
        <v>50</v>
      </c>
      <c r="J5663" s="7">
        <v>107</v>
      </c>
      <c r="K5663" s="7" t="s">
        <v>18</v>
      </c>
      <c r="L5663" s="8">
        <v>39987.315405092595</v>
      </c>
      <c r="M5663" s="9" t="s">
        <v>19</v>
      </c>
      <c r="N5663" s="9" t="s">
        <v>20</v>
      </c>
      <c r="O5663" s="6" t="str">
        <f>HYPERLINK("https://pbs.twimg.com/profile_images/962471262747529216/Uo8lOkRJ_normal.jpg","View")</f>
        <v>View</v>
      </c>
      <c r="P5663" s="7"/>
    </row>
    <row r="5664" spans="1:16">
      <c r="A5664" s="3">
        <v>43956.93372685185</v>
      </c>
      <c r="B5664" s="4" t="str">
        <f>HYPERLINK("https://twitter.com/petrogustavo","@petrogustavo")</f>
        <v>@petrogustavo</v>
      </c>
      <c r="C5664" s="5" t="s">
        <v>16</v>
      </c>
      <c r="D5664" s="5" t="s">
        <v>5509</v>
      </c>
      <c r="E5664" s="6" t="str">
        <f>HYPERLINK("https://twitter.com/petrogustavo/status/1257715319608614912","1257715319608614912")</f>
        <v>1257715319608614912</v>
      </c>
      <c r="F5664" s="7" t="s">
        <v>17</v>
      </c>
      <c r="G5664" s="7">
        <v>3816291</v>
      </c>
      <c r="H5664" s="7">
        <v>2401</v>
      </c>
      <c r="I5664" s="7">
        <v>10</v>
      </c>
      <c r="J5664" s="7">
        <v>25</v>
      </c>
      <c r="K5664" s="7" t="s">
        <v>18</v>
      </c>
      <c r="L5664" s="8">
        <v>39987.315405092595</v>
      </c>
      <c r="M5664" s="9" t="s">
        <v>19</v>
      </c>
      <c r="N5664" s="9" t="s">
        <v>20</v>
      </c>
      <c r="O5664" s="6" t="str">
        <f>HYPERLINK("https://pbs.twimg.com/profile_images/962471262747529216/Uo8lOkRJ_normal.jpg","View")</f>
        <v>View</v>
      </c>
      <c r="P5664" s="7"/>
    </row>
    <row r="5665" spans="1:16">
      <c r="A5665" s="3">
        <v>43956.961145833338</v>
      </c>
      <c r="B5665" s="4" t="str">
        <f>HYPERLINK("https://twitter.com/petrogustavo","@petrogustavo")</f>
        <v>@petrogustavo</v>
      </c>
      <c r="C5665" s="5" t="s">
        <v>16</v>
      </c>
      <c r="D5665" s="5" t="s">
        <v>5510</v>
      </c>
      <c r="E5665" s="6" t="str">
        <f>HYPERLINK("https://twitter.com/petrogustavo/status/1257725258708275201","1257725258708275201")</f>
        <v>1257725258708275201</v>
      </c>
      <c r="F5665" s="7" t="s">
        <v>17</v>
      </c>
      <c r="G5665" s="7">
        <v>3816378</v>
      </c>
      <c r="H5665" s="7">
        <v>2401</v>
      </c>
      <c r="I5665" s="7">
        <v>21</v>
      </c>
      <c r="J5665" s="7">
        <v>63</v>
      </c>
      <c r="K5665" s="7" t="s">
        <v>18</v>
      </c>
      <c r="L5665" s="8">
        <v>39987.315405092595</v>
      </c>
      <c r="M5665" s="9" t="s">
        <v>19</v>
      </c>
      <c r="N5665" s="9" t="s">
        <v>20</v>
      </c>
      <c r="O5665" s="6" t="str">
        <f>HYPERLINK("https://pbs.twimg.com/profile_images/962471262747529216/Uo8lOkRJ_normal.jpg","View")</f>
        <v>View</v>
      </c>
      <c r="P5665" s="7"/>
    </row>
    <row r="5666" spans="1:16">
      <c r="A5666" s="3">
        <v>43957.038483796292</v>
      </c>
      <c r="B5666" s="4" t="str">
        <f>HYPERLINK("https://twitter.com/petrogustavo","@petrogustavo")</f>
        <v>@petrogustavo</v>
      </c>
      <c r="C5666" s="5" t="s">
        <v>16</v>
      </c>
      <c r="D5666" s="5" t="s">
        <v>5511</v>
      </c>
      <c r="E5666" s="6" t="str">
        <f>HYPERLINK("https://twitter.com/petrogustavo/status/1257753283181129729","1257753283181129729")</f>
        <v>1257753283181129729</v>
      </c>
      <c r="F5666" s="7" t="s">
        <v>17</v>
      </c>
      <c r="G5666" s="7">
        <v>3816481</v>
      </c>
      <c r="H5666" s="7">
        <v>2401</v>
      </c>
      <c r="I5666" s="7">
        <v>58</v>
      </c>
      <c r="J5666" s="7">
        <v>0</v>
      </c>
      <c r="K5666" s="7" t="s">
        <v>18</v>
      </c>
      <c r="L5666" s="8">
        <v>39987.315405092595</v>
      </c>
      <c r="M5666" s="9" t="s">
        <v>19</v>
      </c>
      <c r="N5666" s="9" t="s">
        <v>20</v>
      </c>
      <c r="O5666" s="6" t="str">
        <f>HYPERLINK("https://pbs.twimg.com/profile_images/962471262747529216/Uo8lOkRJ_normal.jpg","View")</f>
        <v>View</v>
      </c>
      <c r="P5666" s="7"/>
    </row>
    <row r="5667" spans="1:16">
      <c r="A5667" s="3">
        <v>43957.046331018515</v>
      </c>
      <c r="B5667" s="4" t="str">
        <f>HYPERLINK("https://twitter.com/petrogustavo","@petrogustavo")</f>
        <v>@petrogustavo</v>
      </c>
      <c r="C5667" s="5" t="s">
        <v>16</v>
      </c>
      <c r="D5667" s="5" t="s">
        <v>5512</v>
      </c>
      <c r="E5667" s="6" t="str">
        <f>HYPERLINK("https://twitter.com/petrogustavo/status/1257756128097812486","1257756128097812486")</f>
        <v>1257756128097812486</v>
      </c>
      <c r="F5667" s="7" t="s">
        <v>17</v>
      </c>
      <c r="G5667" s="7">
        <v>3816511</v>
      </c>
      <c r="H5667" s="7">
        <v>2401</v>
      </c>
      <c r="I5667" s="7">
        <v>111</v>
      </c>
      <c r="J5667" s="7">
        <v>297</v>
      </c>
      <c r="K5667" s="7" t="s">
        <v>18</v>
      </c>
      <c r="L5667" s="8">
        <v>39987.315405092595</v>
      </c>
      <c r="M5667" s="9" t="s">
        <v>19</v>
      </c>
      <c r="N5667" s="9" t="s">
        <v>20</v>
      </c>
      <c r="O5667" s="6" t="str">
        <f>HYPERLINK("https://pbs.twimg.com/profile_images/962471262747529216/Uo8lOkRJ_normal.jpg","View")</f>
        <v>View</v>
      </c>
      <c r="P5667" s="7"/>
    </row>
    <row r="5668" spans="1:16">
      <c r="A5668" s="3">
        <v>43957.048888888894</v>
      </c>
      <c r="B5668" s="4" t="str">
        <f>HYPERLINK("https://twitter.com/petrogustavo","@petrogustavo")</f>
        <v>@petrogustavo</v>
      </c>
      <c r="C5668" s="5" t="s">
        <v>16</v>
      </c>
      <c r="D5668" s="5" t="s">
        <v>5513</v>
      </c>
      <c r="E5668" s="6" t="str">
        <f>HYPERLINK("https://twitter.com/petrogustavo/status/1257757055366070272","1257757055366070272")</f>
        <v>1257757055366070272</v>
      </c>
      <c r="F5668" s="7" t="s">
        <v>17</v>
      </c>
      <c r="G5668" s="7">
        <v>3816511</v>
      </c>
      <c r="H5668" s="7">
        <v>2401</v>
      </c>
      <c r="I5668" s="7">
        <v>11</v>
      </c>
      <c r="J5668" s="7">
        <v>0</v>
      </c>
      <c r="K5668" s="7" t="s">
        <v>18</v>
      </c>
      <c r="L5668" s="8">
        <v>39987.315405092595</v>
      </c>
      <c r="M5668" s="9" t="s">
        <v>19</v>
      </c>
      <c r="N5668" s="9" t="s">
        <v>20</v>
      </c>
      <c r="O5668" s="6" t="str">
        <f>HYPERLINK("https://pbs.twimg.com/profile_images/962471262747529216/Uo8lOkRJ_normal.jpg","View")</f>
        <v>View</v>
      </c>
      <c r="P5668" s="7"/>
    </row>
    <row r="5669" spans="1:16">
      <c r="A5669" s="3">
        <v>43957.052500000005</v>
      </c>
      <c r="B5669" s="4" t="str">
        <f>HYPERLINK("https://twitter.com/petrogustavo","@petrogustavo")</f>
        <v>@petrogustavo</v>
      </c>
      <c r="C5669" s="5" t="s">
        <v>16</v>
      </c>
      <c r="D5669" s="5" t="s">
        <v>5514</v>
      </c>
      <c r="E5669" s="6" t="str">
        <f>HYPERLINK("https://twitter.com/petrogustavo/status/1257758362021830658","1257758362021830658")</f>
        <v>1257758362021830658</v>
      </c>
      <c r="F5669" s="7" t="s">
        <v>17</v>
      </c>
      <c r="G5669" s="7">
        <v>3816511</v>
      </c>
      <c r="H5669" s="7">
        <v>2401</v>
      </c>
      <c r="I5669" s="7">
        <v>21</v>
      </c>
      <c r="J5669" s="7">
        <v>86</v>
      </c>
      <c r="K5669" s="7" t="s">
        <v>18</v>
      </c>
      <c r="L5669" s="8">
        <v>39987.315405092595</v>
      </c>
      <c r="M5669" s="9" t="s">
        <v>19</v>
      </c>
      <c r="N5669" s="9" t="s">
        <v>20</v>
      </c>
      <c r="O5669" s="6" t="str">
        <f>HYPERLINK("https://pbs.twimg.com/profile_images/962471262747529216/Uo8lOkRJ_normal.jpg","View")</f>
        <v>View</v>
      </c>
      <c r="P5669" s="7"/>
    </row>
    <row r="5670" spans="1:16">
      <c r="A5670" s="3">
        <v>43957.07104166667</v>
      </c>
      <c r="B5670" s="4" t="str">
        <f>HYPERLINK("https://twitter.com/petrogustavo","@petrogustavo")</f>
        <v>@petrogustavo</v>
      </c>
      <c r="C5670" s="5" t="s">
        <v>16</v>
      </c>
      <c r="D5670" s="5" t="s">
        <v>5515</v>
      </c>
      <c r="E5670" s="6" t="str">
        <f>HYPERLINK("https://twitter.com/petrogustavo/status/1257765081582092293","1257765081582092293")</f>
        <v>1257765081582092293</v>
      </c>
      <c r="F5670" s="7" t="s">
        <v>17</v>
      </c>
      <c r="G5670" s="7">
        <v>3816550</v>
      </c>
      <c r="H5670" s="7">
        <v>2401</v>
      </c>
      <c r="I5670" s="7">
        <v>151</v>
      </c>
      <c r="J5670" s="7">
        <v>0</v>
      </c>
      <c r="K5670" s="7" t="s">
        <v>18</v>
      </c>
      <c r="L5670" s="8">
        <v>39987.315405092595</v>
      </c>
      <c r="M5670" s="9" t="s">
        <v>19</v>
      </c>
      <c r="N5670" s="9" t="s">
        <v>20</v>
      </c>
      <c r="O5670" s="6" t="str">
        <f>HYPERLINK("https://pbs.twimg.com/profile_images/962471262747529216/Uo8lOkRJ_normal.jpg","View")</f>
        <v>View</v>
      </c>
      <c r="P5670" s="7"/>
    </row>
    <row r="5671" spans="1:16">
      <c r="A5671" s="3">
        <v>43957.097418981481</v>
      </c>
      <c r="B5671" s="4" t="str">
        <f>HYPERLINK("https://twitter.com/petrogustavo","@petrogustavo")</f>
        <v>@petrogustavo</v>
      </c>
      <c r="C5671" s="5" t="s">
        <v>16</v>
      </c>
      <c r="D5671" s="5" t="s">
        <v>5516</v>
      </c>
      <c r="E5671" s="6" t="str">
        <f>HYPERLINK("https://twitter.com/petrogustavo/status/1257774643290746885","1257774643290746885")</f>
        <v>1257774643290746885</v>
      </c>
      <c r="F5671" s="7" t="s">
        <v>32</v>
      </c>
      <c r="G5671" s="7">
        <v>3816593</v>
      </c>
      <c r="H5671" s="7">
        <v>2401</v>
      </c>
      <c r="I5671" s="7">
        <v>41</v>
      </c>
      <c r="J5671" s="7">
        <v>83</v>
      </c>
      <c r="K5671" s="7" t="s">
        <v>18</v>
      </c>
      <c r="L5671" s="8">
        <v>39987.315405092595</v>
      </c>
      <c r="M5671" s="9" t="s">
        <v>19</v>
      </c>
      <c r="N5671" s="9" t="s">
        <v>20</v>
      </c>
      <c r="O5671" s="6" t="str">
        <f>HYPERLINK("https://pbs.twimg.com/profile_images/962471262747529216/Uo8lOkRJ_normal.jpg","View")</f>
        <v>View</v>
      </c>
      <c r="P5671" s="7"/>
    </row>
    <row r="5672" spans="1:16">
      <c r="A5672" s="3">
        <v>43957.153587962966</v>
      </c>
      <c r="B5672" s="4" t="str">
        <f>HYPERLINK("https://twitter.com/petrogustavo","@petrogustavo")</f>
        <v>@petrogustavo</v>
      </c>
      <c r="C5672" s="5" t="s">
        <v>16</v>
      </c>
      <c r="D5672" s="5" t="s">
        <v>5517</v>
      </c>
      <c r="E5672" s="6" t="str">
        <f>HYPERLINK("https://twitter.com/petrogustavo/status/1257794997086228480","1257794997086228480")</f>
        <v>1257794997086228480</v>
      </c>
      <c r="F5672" s="7" t="s">
        <v>32</v>
      </c>
      <c r="G5672" s="7">
        <v>3816671</v>
      </c>
      <c r="H5672" s="7">
        <v>2400</v>
      </c>
      <c r="I5672" s="7">
        <v>163</v>
      </c>
      <c r="J5672" s="7">
        <v>1014</v>
      </c>
      <c r="K5672" s="7" t="s">
        <v>18</v>
      </c>
      <c r="L5672" s="8">
        <v>39987.315405092595</v>
      </c>
      <c r="M5672" s="9" t="s">
        <v>19</v>
      </c>
      <c r="N5672" s="9" t="s">
        <v>20</v>
      </c>
      <c r="O5672" s="6" t="str">
        <f>HYPERLINK("https://pbs.twimg.com/profile_images/962471262747529216/Uo8lOkRJ_normal.jpg","View")</f>
        <v>View</v>
      </c>
      <c r="P5672" s="7"/>
    </row>
    <row r="5673" spans="1:16">
      <c r="A5673" s="3">
        <v>43957.156550925924</v>
      </c>
      <c r="B5673" s="4" t="str">
        <f>HYPERLINK("https://twitter.com/petrogustavo","@petrogustavo")</f>
        <v>@petrogustavo</v>
      </c>
      <c r="C5673" s="5" t="s">
        <v>16</v>
      </c>
      <c r="D5673" s="5" t="s">
        <v>5518</v>
      </c>
      <c r="E5673" s="6" t="str">
        <f>HYPERLINK("https://twitter.com/petrogustavo/status/1257796071524306951","1257796071524306951")</f>
        <v>1257796071524306951</v>
      </c>
      <c r="F5673" s="7" t="s">
        <v>32</v>
      </c>
      <c r="G5673" s="7">
        <v>3816671</v>
      </c>
      <c r="H5673" s="7">
        <v>2400</v>
      </c>
      <c r="I5673" s="7">
        <v>50</v>
      </c>
      <c r="J5673" s="7">
        <v>92</v>
      </c>
      <c r="K5673" s="7" t="s">
        <v>18</v>
      </c>
      <c r="L5673" s="8">
        <v>39987.315405092595</v>
      </c>
      <c r="M5673" s="9" t="s">
        <v>19</v>
      </c>
      <c r="N5673" s="9" t="s">
        <v>20</v>
      </c>
      <c r="O5673" s="6" t="str">
        <f>HYPERLINK("https://pbs.twimg.com/profile_images/962471262747529216/Uo8lOkRJ_normal.jpg","View")</f>
        <v>View</v>
      </c>
      <c r="P5673" s="7"/>
    </row>
    <row r="5674" spans="1:16">
      <c r="A5674" s="3">
        <v>43957.255381944444</v>
      </c>
      <c r="B5674" s="4" t="str">
        <f>HYPERLINK("https://twitter.com/petrogustavo","@petrogustavo")</f>
        <v>@petrogustavo</v>
      </c>
      <c r="C5674" s="5" t="s">
        <v>16</v>
      </c>
      <c r="D5674" s="5" t="s">
        <v>5519</v>
      </c>
      <c r="E5674" s="6" t="str">
        <f>HYPERLINK("https://twitter.com/petrogustavo/status/1257831884261818368","1257831884261818368")</f>
        <v>1257831884261818368</v>
      </c>
      <c r="F5674" s="7" t="s">
        <v>17</v>
      </c>
      <c r="G5674" s="7">
        <v>3816892</v>
      </c>
      <c r="H5674" s="7">
        <v>2400</v>
      </c>
      <c r="I5674" s="7">
        <v>129</v>
      </c>
      <c r="J5674" s="7">
        <v>292</v>
      </c>
      <c r="K5674" s="7" t="s">
        <v>18</v>
      </c>
      <c r="L5674" s="8">
        <v>39987.315405092595</v>
      </c>
      <c r="M5674" s="9" t="s">
        <v>19</v>
      </c>
      <c r="N5674" s="9" t="s">
        <v>20</v>
      </c>
      <c r="O5674" s="6" t="str">
        <f>HYPERLINK("https://pbs.twimg.com/profile_images/962471262747529216/Uo8lOkRJ_normal.jpg","View")</f>
        <v>View</v>
      </c>
      <c r="P5674" s="7"/>
    </row>
    <row r="5675" spans="1:16">
      <c r="A5675" s="3">
        <v>43957.696701388893</v>
      </c>
      <c r="B5675" s="4" t="str">
        <f>HYPERLINK("https://twitter.com/petrogustavo","@petrogustavo")</f>
        <v>@petrogustavo</v>
      </c>
      <c r="C5675" s="5" t="s">
        <v>16</v>
      </c>
      <c r="D5675" s="5" t="s">
        <v>5520</v>
      </c>
      <c r="E5675" s="6" t="str">
        <f>HYPERLINK("https://twitter.com/petrogustavo/status/1257991815707443201","1257991815707443201")</f>
        <v>1257991815707443201</v>
      </c>
      <c r="F5675" s="7" t="s">
        <v>17</v>
      </c>
      <c r="G5675" s="7">
        <v>3817416</v>
      </c>
      <c r="H5675" s="7">
        <v>2400</v>
      </c>
      <c r="I5675" s="7">
        <v>314</v>
      </c>
      <c r="J5675" s="7">
        <v>0</v>
      </c>
      <c r="K5675" s="7" t="s">
        <v>18</v>
      </c>
      <c r="L5675" s="8">
        <v>39987.315405092595</v>
      </c>
      <c r="M5675" s="9" t="s">
        <v>19</v>
      </c>
      <c r="N5675" s="9" t="s">
        <v>20</v>
      </c>
      <c r="O5675" s="6" t="str">
        <f>HYPERLINK("https://pbs.twimg.com/profile_images/962471262747529216/Uo8lOkRJ_normal.jpg","View")</f>
        <v>View</v>
      </c>
      <c r="P5675" s="7"/>
    </row>
    <row r="5676" spans="1:16">
      <c r="A5676" s="3">
        <v>43957.698819444442</v>
      </c>
      <c r="B5676" s="4" t="str">
        <f>HYPERLINK("https://twitter.com/petrogustavo","@petrogustavo")</f>
        <v>@petrogustavo</v>
      </c>
      <c r="C5676" s="5" t="s">
        <v>16</v>
      </c>
      <c r="D5676" s="5" t="s">
        <v>5521</v>
      </c>
      <c r="E5676" s="6" t="str">
        <f>HYPERLINK("https://twitter.com/petrogustavo/status/1257992582052839425","1257992582052839425")</f>
        <v>1257992582052839425</v>
      </c>
      <c r="F5676" s="7" t="s">
        <v>17</v>
      </c>
      <c r="G5676" s="7">
        <v>3817416</v>
      </c>
      <c r="H5676" s="7">
        <v>2400</v>
      </c>
      <c r="I5676" s="7">
        <v>109</v>
      </c>
      <c r="J5676" s="7">
        <v>300</v>
      </c>
      <c r="K5676" s="7" t="s">
        <v>18</v>
      </c>
      <c r="L5676" s="8">
        <v>39987.315405092595</v>
      </c>
      <c r="M5676" s="9" t="s">
        <v>19</v>
      </c>
      <c r="N5676" s="9" t="s">
        <v>20</v>
      </c>
      <c r="O5676" s="6" t="str">
        <f>HYPERLINK("https://pbs.twimg.com/profile_images/962471262747529216/Uo8lOkRJ_normal.jpg","View")</f>
        <v>View</v>
      </c>
      <c r="P5676" s="7"/>
    </row>
    <row r="5677" spans="1:16">
      <c r="A5677" s="3">
        <v>43957.733657407407</v>
      </c>
      <c r="B5677" s="4" t="str">
        <f>HYPERLINK("https://twitter.com/petrogustavo","@petrogustavo")</f>
        <v>@petrogustavo</v>
      </c>
      <c r="C5677" s="5" t="s">
        <v>16</v>
      </c>
      <c r="D5677" s="5" t="s">
        <v>5522</v>
      </c>
      <c r="E5677" s="6" t="str">
        <f>HYPERLINK("https://twitter.com/petrogustavo/status/1258005206991802368","1258005206991802368")</f>
        <v>1258005206991802368</v>
      </c>
      <c r="F5677" s="7" t="s">
        <v>17</v>
      </c>
      <c r="G5677" s="7">
        <v>3817473</v>
      </c>
      <c r="H5677" s="7">
        <v>2400</v>
      </c>
      <c r="I5677" s="7">
        <v>21</v>
      </c>
      <c r="J5677" s="7">
        <v>0</v>
      </c>
      <c r="K5677" s="7" t="s">
        <v>18</v>
      </c>
      <c r="L5677" s="8">
        <v>39987.315405092595</v>
      </c>
      <c r="M5677" s="9" t="s">
        <v>19</v>
      </c>
      <c r="N5677" s="9" t="s">
        <v>20</v>
      </c>
      <c r="O5677" s="6" t="str">
        <f>HYPERLINK("https://pbs.twimg.com/profile_images/962471262747529216/Uo8lOkRJ_normal.jpg","View")</f>
        <v>View</v>
      </c>
      <c r="P5677" s="7"/>
    </row>
    <row r="5678" spans="1:16">
      <c r="A5678" s="3">
        <v>43957.737199074079</v>
      </c>
      <c r="B5678" s="4" t="str">
        <f>HYPERLINK("https://twitter.com/petrogustavo","@petrogustavo")</f>
        <v>@petrogustavo</v>
      </c>
      <c r="C5678" s="5" t="s">
        <v>16</v>
      </c>
      <c r="D5678" s="5" t="s">
        <v>5523</v>
      </c>
      <c r="E5678" s="6" t="str">
        <f>HYPERLINK("https://twitter.com/petrogustavo/status/1258006489702322176","1258006489702322176")</f>
        <v>1258006489702322176</v>
      </c>
      <c r="F5678" s="7" t="s">
        <v>17</v>
      </c>
      <c r="G5678" s="7">
        <v>3817473</v>
      </c>
      <c r="H5678" s="7">
        <v>2400</v>
      </c>
      <c r="I5678" s="7">
        <v>309</v>
      </c>
      <c r="J5678" s="7">
        <v>0</v>
      </c>
      <c r="K5678" s="7" t="s">
        <v>18</v>
      </c>
      <c r="L5678" s="8">
        <v>39987.315405092595</v>
      </c>
      <c r="M5678" s="9" t="s">
        <v>19</v>
      </c>
      <c r="N5678" s="9" t="s">
        <v>20</v>
      </c>
      <c r="O5678" s="6" t="str">
        <f>HYPERLINK("https://pbs.twimg.com/profile_images/962471262747529216/Uo8lOkRJ_normal.jpg","View")</f>
        <v>View</v>
      </c>
      <c r="P5678" s="7"/>
    </row>
    <row r="5679" spans="1:16">
      <c r="A5679" s="3">
        <v>43957.738692129627</v>
      </c>
      <c r="B5679" s="4" t="str">
        <f>HYPERLINK("https://twitter.com/petrogustavo","@petrogustavo")</f>
        <v>@petrogustavo</v>
      </c>
      <c r="C5679" s="5" t="s">
        <v>16</v>
      </c>
      <c r="D5679" s="5" t="s">
        <v>5524</v>
      </c>
      <c r="E5679" s="6" t="str">
        <f>HYPERLINK("https://twitter.com/petrogustavo/status/1258007031165923329","1258007031165923329")</f>
        <v>1258007031165923329</v>
      </c>
      <c r="F5679" s="7" t="s">
        <v>17</v>
      </c>
      <c r="G5679" s="7">
        <v>3817473</v>
      </c>
      <c r="H5679" s="7">
        <v>2400</v>
      </c>
      <c r="I5679" s="7">
        <v>388</v>
      </c>
      <c r="J5679" s="7">
        <v>0</v>
      </c>
      <c r="K5679" s="7" t="s">
        <v>18</v>
      </c>
      <c r="L5679" s="8">
        <v>39987.315405092595</v>
      </c>
      <c r="M5679" s="9" t="s">
        <v>19</v>
      </c>
      <c r="N5679" s="9" t="s">
        <v>20</v>
      </c>
      <c r="O5679" s="6" t="str">
        <f>HYPERLINK("https://pbs.twimg.com/profile_images/962471262747529216/Uo8lOkRJ_normal.jpg","View")</f>
        <v>View</v>
      </c>
      <c r="P5679" s="7"/>
    </row>
    <row r="5680" spans="1:16">
      <c r="A5680" s="3">
        <v>43957.749328703707</v>
      </c>
      <c r="B5680" s="4" t="str">
        <f>HYPERLINK("https://twitter.com/petrogustavo","@petrogustavo")</f>
        <v>@petrogustavo</v>
      </c>
      <c r="C5680" s="5" t="s">
        <v>16</v>
      </c>
      <c r="D5680" s="5" t="s">
        <v>5525</v>
      </c>
      <c r="E5680" s="6" t="str">
        <f>HYPERLINK("https://twitter.com/petrogustavo/status/1258010886893178882","1258010886893178882")</f>
        <v>1258010886893178882</v>
      </c>
      <c r="F5680" s="7" t="s">
        <v>17</v>
      </c>
      <c r="G5680" s="7">
        <v>3817473</v>
      </c>
      <c r="H5680" s="7">
        <v>2400</v>
      </c>
      <c r="I5680" s="7">
        <v>184</v>
      </c>
      <c r="J5680" s="7">
        <v>0</v>
      </c>
      <c r="K5680" s="7" t="s">
        <v>18</v>
      </c>
      <c r="L5680" s="8">
        <v>39987.315405092595</v>
      </c>
      <c r="M5680" s="9" t="s">
        <v>19</v>
      </c>
      <c r="N5680" s="9" t="s">
        <v>20</v>
      </c>
      <c r="O5680" s="6" t="str">
        <f>HYPERLINK("https://pbs.twimg.com/profile_images/962471262747529216/Uo8lOkRJ_normal.jpg","View")</f>
        <v>View</v>
      </c>
      <c r="P5680" s="7"/>
    </row>
    <row r="5681" spans="1:16">
      <c r="A5681" s="3">
        <v>43957.751226851848</v>
      </c>
      <c r="B5681" s="4" t="str">
        <f>HYPERLINK("https://twitter.com/petrogustavo","@petrogustavo")</f>
        <v>@petrogustavo</v>
      </c>
      <c r="C5681" s="5" t="s">
        <v>16</v>
      </c>
      <c r="D5681" s="5" t="s">
        <v>5526</v>
      </c>
      <c r="E5681" s="6" t="str">
        <f>HYPERLINK("https://twitter.com/petrogustavo/status/1258011572628336642","1258011572628336642")</f>
        <v>1258011572628336642</v>
      </c>
      <c r="F5681" s="7" t="s">
        <v>17</v>
      </c>
      <c r="G5681" s="7">
        <v>3817473</v>
      </c>
      <c r="H5681" s="7">
        <v>2400</v>
      </c>
      <c r="I5681" s="7">
        <v>7</v>
      </c>
      <c r="J5681" s="7">
        <v>19</v>
      </c>
      <c r="K5681" s="7" t="s">
        <v>18</v>
      </c>
      <c r="L5681" s="8">
        <v>39987.315405092595</v>
      </c>
      <c r="M5681" s="9" t="s">
        <v>19</v>
      </c>
      <c r="N5681" s="9" t="s">
        <v>20</v>
      </c>
      <c r="O5681" s="6" t="str">
        <f>HYPERLINK("https://pbs.twimg.com/profile_images/962471262747529216/Uo8lOkRJ_normal.jpg","View")</f>
        <v>View</v>
      </c>
      <c r="P5681" s="7"/>
    </row>
    <row r="5682" spans="1:16">
      <c r="A5682" s="3">
        <v>43957.754074074073</v>
      </c>
      <c r="B5682" s="4" t="str">
        <f>HYPERLINK("https://twitter.com/petrogustavo","@petrogustavo")</f>
        <v>@petrogustavo</v>
      </c>
      <c r="C5682" s="5" t="s">
        <v>16</v>
      </c>
      <c r="D5682" s="5" t="s">
        <v>5527</v>
      </c>
      <c r="E5682" s="6" t="str">
        <f>HYPERLINK("https://twitter.com/petrogustavo/status/1258012603651104768","1258012603651104768")</f>
        <v>1258012603651104768</v>
      </c>
      <c r="F5682" s="7" t="s">
        <v>17</v>
      </c>
      <c r="G5682" s="7">
        <v>3817518</v>
      </c>
      <c r="H5682" s="7">
        <v>2400</v>
      </c>
      <c r="I5682" s="7">
        <v>72</v>
      </c>
      <c r="J5682" s="7">
        <v>185</v>
      </c>
      <c r="K5682" s="7" t="s">
        <v>18</v>
      </c>
      <c r="L5682" s="8">
        <v>39987.315405092595</v>
      </c>
      <c r="M5682" s="9" t="s">
        <v>19</v>
      </c>
      <c r="N5682" s="9" t="s">
        <v>20</v>
      </c>
      <c r="O5682" s="6" t="str">
        <f>HYPERLINK("https://pbs.twimg.com/profile_images/962471262747529216/Uo8lOkRJ_normal.jpg","View")</f>
        <v>View</v>
      </c>
      <c r="P5682" s="7"/>
    </row>
    <row r="5683" spans="1:16">
      <c r="A5683" s="3">
        <v>43957.754467592589</v>
      </c>
      <c r="B5683" s="4" t="str">
        <f>HYPERLINK("https://twitter.com/petrogustavo","@petrogustavo")</f>
        <v>@petrogustavo</v>
      </c>
      <c r="C5683" s="5" t="s">
        <v>16</v>
      </c>
      <c r="D5683" s="5" t="s">
        <v>5528</v>
      </c>
      <c r="E5683" s="6" t="str">
        <f>HYPERLINK("https://twitter.com/petrogustavo/status/1258012746412630016","1258012746412630016")</f>
        <v>1258012746412630016</v>
      </c>
      <c r="F5683" s="7" t="s">
        <v>17</v>
      </c>
      <c r="G5683" s="7">
        <v>3817518</v>
      </c>
      <c r="H5683" s="7">
        <v>2400</v>
      </c>
      <c r="I5683" s="7">
        <v>565</v>
      </c>
      <c r="J5683" s="7">
        <v>0</v>
      </c>
      <c r="K5683" s="7" t="s">
        <v>18</v>
      </c>
      <c r="L5683" s="8">
        <v>39987.315405092595</v>
      </c>
      <c r="M5683" s="9" t="s">
        <v>19</v>
      </c>
      <c r="N5683" s="9" t="s">
        <v>20</v>
      </c>
      <c r="O5683" s="6" t="str">
        <f>HYPERLINK("https://pbs.twimg.com/profile_images/962471262747529216/Uo8lOkRJ_normal.jpg","View")</f>
        <v>View</v>
      </c>
      <c r="P5683" s="7"/>
    </row>
    <row r="5684" spans="1:16">
      <c r="A5684" s="3">
        <v>43957.772152777776</v>
      </c>
      <c r="B5684" s="4" t="str">
        <f>HYPERLINK("https://twitter.com/petrogustavo","@petrogustavo")</f>
        <v>@petrogustavo</v>
      </c>
      <c r="C5684" s="5" t="s">
        <v>16</v>
      </c>
      <c r="D5684" s="5" t="s">
        <v>5529</v>
      </c>
      <c r="E5684" s="6" t="str">
        <f>HYPERLINK("https://twitter.com/petrogustavo/status/1258019158643654656","1258019158643654656")</f>
        <v>1258019158643654656</v>
      </c>
      <c r="F5684" s="7" t="s">
        <v>17</v>
      </c>
      <c r="G5684" s="7">
        <v>3817518</v>
      </c>
      <c r="H5684" s="7">
        <v>2400</v>
      </c>
      <c r="I5684" s="7">
        <v>49</v>
      </c>
      <c r="J5684" s="7">
        <v>0</v>
      </c>
      <c r="K5684" s="7" t="s">
        <v>18</v>
      </c>
      <c r="L5684" s="8">
        <v>39987.315405092595</v>
      </c>
      <c r="M5684" s="9" t="s">
        <v>19</v>
      </c>
      <c r="N5684" s="9" t="s">
        <v>20</v>
      </c>
      <c r="O5684" s="6" t="str">
        <f>HYPERLINK("https://pbs.twimg.com/profile_images/962471262747529216/Uo8lOkRJ_normal.jpg","View")</f>
        <v>View</v>
      </c>
      <c r="P5684" s="7"/>
    </row>
    <row r="5685" spans="1:16">
      <c r="A5685" s="3">
        <v>43957.778275462959</v>
      </c>
      <c r="B5685" s="4" t="str">
        <f>HYPERLINK("https://twitter.com/petrogustavo","@petrogustavo")</f>
        <v>@petrogustavo</v>
      </c>
      <c r="C5685" s="5" t="s">
        <v>16</v>
      </c>
      <c r="D5685" s="5" t="s">
        <v>5530</v>
      </c>
      <c r="E5685" s="6" t="str">
        <f>HYPERLINK("https://twitter.com/petrogustavo/status/1258021376402825216","1258021376402825216")</f>
        <v>1258021376402825216</v>
      </c>
      <c r="F5685" s="7" t="s">
        <v>17</v>
      </c>
      <c r="G5685" s="7">
        <v>3817568</v>
      </c>
      <c r="H5685" s="7">
        <v>2400</v>
      </c>
      <c r="I5685" s="7">
        <v>137</v>
      </c>
      <c r="J5685" s="7">
        <v>338</v>
      </c>
      <c r="K5685" s="7" t="s">
        <v>18</v>
      </c>
      <c r="L5685" s="8">
        <v>39987.315405092595</v>
      </c>
      <c r="M5685" s="9" t="s">
        <v>19</v>
      </c>
      <c r="N5685" s="9" t="s">
        <v>20</v>
      </c>
      <c r="O5685" s="6" t="str">
        <f>HYPERLINK("https://pbs.twimg.com/profile_images/962471262747529216/Uo8lOkRJ_normal.jpg","View")</f>
        <v>View</v>
      </c>
      <c r="P5685" s="7"/>
    </row>
    <row r="5686" spans="1:16">
      <c r="A5686" s="3">
        <v>43957.797199074077</v>
      </c>
      <c r="B5686" s="4" t="str">
        <f>HYPERLINK("https://twitter.com/petrogustavo","@petrogustavo")</f>
        <v>@petrogustavo</v>
      </c>
      <c r="C5686" s="5" t="s">
        <v>16</v>
      </c>
      <c r="D5686" s="5" t="s">
        <v>5531</v>
      </c>
      <c r="E5686" s="6" t="str">
        <f>HYPERLINK("https://twitter.com/petrogustavo/status/1258028235046223874","1258028235046223874")</f>
        <v>1258028235046223874</v>
      </c>
      <c r="F5686" s="7" t="s">
        <v>17</v>
      </c>
      <c r="G5686" s="7">
        <v>3817605</v>
      </c>
      <c r="H5686" s="7">
        <v>2400</v>
      </c>
      <c r="I5686" s="7">
        <v>94</v>
      </c>
      <c r="J5686" s="7">
        <v>106</v>
      </c>
      <c r="K5686" s="7" t="s">
        <v>18</v>
      </c>
      <c r="L5686" s="8">
        <v>39987.315405092595</v>
      </c>
      <c r="M5686" s="9" t="s">
        <v>19</v>
      </c>
      <c r="N5686" s="9" t="s">
        <v>20</v>
      </c>
      <c r="O5686" s="6" t="str">
        <f>HYPERLINK("https://pbs.twimg.com/profile_images/962471262747529216/Uo8lOkRJ_normal.jpg","View")</f>
        <v>View</v>
      </c>
      <c r="P5686" s="7"/>
    </row>
    <row r="5687" spans="1:16">
      <c r="A5687" s="3">
        <v>43957.835405092592</v>
      </c>
      <c r="B5687" s="4" t="str">
        <f>HYPERLINK("https://twitter.com/petrogustavo","@petrogustavo")</f>
        <v>@petrogustavo</v>
      </c>
      <c r="C5687" s="5" t="s">
        <v>16</v>
      </c>
      <c r="D5687" s="5" t="s">
        <v>5532</v>
      </c>
      <c r="E5687" s="6" t="str">
        <f>HYPERLINK("https://twitter.com/petrogustavo/status/1258042076882706437","1258042076882706437")</f>
        <v>1258042076882706437</v>
      </c>
      <c r="F5687" s="7" t="s">
        <v>17</v>
      </c>
      <c r="G5687" s="7">
        <v>3817636</v>
      </c>
      <c r="H5687" s="7">
        <v>2400</v>
      </c>
      <c r="I5687" s="7">
        <v>712</v>
      </c>
      <c r="J5687" s="7">
        <v>0</v>
      </c>
      <c r="K5687" s="7" t="s">
        <v>18</v>
      </c>
      <c r="L5687" s="8">
        <v>39987.315405092595</v>
      </c>
      <c r="M5687" s="9" t="s">
        <v>19</v>
      </c>
      <c r="N5687" s="9" t="s">
        <v>20</v>
      </c>
      <c r="O5687" s="6" t="str">
        <f>HYPERLINK("https://pbs.twimg.com/profile_images/962471262747529216/Uo8lOkRJ_normal.jpg","View")</f>
        <v>View</v>
      </c>
      <c r="P5687" s="7"/>
    </row>
    <row r="5688" spans="1:16">
      <c r="A5688" s="3">
        <v>43957.835787037038</v>
      </c>
      <c r="B5688" s="4" t="str">
        <f>HYPERLINK("https://twitter.com/petrogustavo","@petrogustavo")</f>
        <v>@petrogustavo</v>
      </c>
      <c r="C5688" s="5" t="s">
        <v>16</v>
      </c>
      <c r="D5688" s="5" t="s">
        <v>5524</v>
      </c>
      <c r="E5688" s="6" t="str">
        <f>HYPERLINK("https://twitter.com/petrogustavo/status/1258042219149365252","1258042219149365252")</f>
        <v>1258042219149365252</v>
      </c>
      <c r="F5688" s="7" t="s">
        <v>17</v>
      </c>
      <c r="G5688" s="7">
        <v>3817675</v>
      </c>
      <c r="H5688" s="7">
        <v>2400</v>
      </c>
      <c r="I5688" s="7">
        <v>976</v>
      </c>
      <c r="J5688" s="7">
        <v>0</v>
      </c>
      <c r="K5688" s="7" t="s">
        <v>18</v>
      </c>
      <c r="L5688" s="8">
        <v>39987.315405092595</v>
      </c>
      <c r="M5688" s="9" t="s">
        <v>19</v>
      </c>
      <c r="N5688" s="9" t="s">
        <v>20</v>
      </c>
      <c r="O5688" s="6" t="str">
        <f>HYPERLINK("https://pbs.twimg.com/profile_images/962471262747529216/Uo8lOkRJ_normal.jpg","View")</f>
        <v>View</v>
      </c>
      <c r="P5688" s="7"/>
    </row>
    <row r="5689" spans="1:16">
      <c r="A5689" s="3">
        <v>43957.991875</v>
      </c>
      <c r="B5689" s="4" t="str">
        <f>HYPERLINK("https://twitter.com/petrogustavo","@petrogustavo")</f>
        <v>@petrogustavo</v>
      </c>
      <c r="C5689" s="5" t="s">
        <v>16</v>
      </c>
      <c r="D5689" s="5" t="s">
        <v>5533</v>
      </c>
      <c r="E5689" s="6" t="str">
        <f>HYPERLINK("https://twitter.com/petrogustavo/status/1258098782459355136","1258098782459355136")</f>
        <v>1258098782459355136</v>
      </c>
      <c r="F5689" s="7" t="s">
        <v>17</v>
      </c>
      <c r="G5689" s="7">
        <v>3817914</v>
      </c>
      <c r="H5689" s="7">
        <v>2400</v>
      </c>
      <c r="I5689" s="7">
        <v>86</v>
      </c>
      <c r="J5689" s="7">
        <v>146</v>
      </c>
      <c r="K5689" s="7" t="s">
        <v>18</v>
      </c>
      <c r="L5689" s="8">
        <v>39987.315405092595</v>
      </c>
      <c r="M5689" s="9" t="s">
        <v>19</v>
      </c>
      <c r="N5689" s="9" t="s">
        <v>20</v>
      </c>
      <c r="O5689" s="6" t="str">
        <f>HYPERLINK("https://pbs.twimg.com/profile_images/962471262747529216/Uo8lOkRJ_normal.jpg","View")</f>
        <v>View</v>
      </c>
      <c r="P5689" s="7"/>
    </row>
    <row r="5690" spans="1:16">
      <c r="A5690" s="3">
        <v>43958.010937500003</v>
      </c>
      <c r="B5690" s="4" t="str">
        <f>HYPERLINK("https://twitter.com/petrogustavo","@petrogustavo")</f>
        <v>@petrogustavo</v>
      </c>
      <c r="C5690" s="5" t="s">
        <v>16</v>
      </c>
      <c r="D5690" s="5" t="s">
        <v>5534</v>
      </c>
      <c r="E5690" s="6" t="str">
        <f>HYPERLINK("https://twitter.com/petrogustavo/status/1258105687806181376","1258105687806181376")</f>
        <v>1258105687806181376</v>
      </c>
      <c r="F5690" s="7" t="s">
        <v>17</v>
      </c>
      <c r="G5690" s="7">
        <v>3817977</v>
      </c>
      <c r="H5690" s="7">
        <v>2400</v>
      </c>
      <c r="I5690" s="7">
        <v>54</v>
      </c>
      <c r="J5690" s="7">
        <v>147</v>
      </c>
      <c r="K5690" s="7" t="s">
        <v>18</v>
      </c>
      <c r="L5690" s="8">
        <v>39987.315405092595</v>
      </c>
      <c r="M5690" s="9" t="s">
        <v>19</v>
      </c>
      <c r="N5690" s="9" t="s">
        <v>20</v>
      </c>
      <c r="O5690" s="6" t="str">
        <f>HYPERLINK("https://pbs.twimg.com/profile_images/962471262747529216/Uo8lOkRJ_normal.jpg","View")</f>
        <v>View</v>
      </c>
      <c r="P5690" s="7"/>
    </row>
    <row r="5691" spans="1:16">
      <c r="A5691" s="3">
        <v>43958.221805555557</v>
      </c>
      <c r="B5691" s="4" t="str">
        <f>HYPERLINK("https://twitter.com/petrogustavo","@petrogustavo")</f>
        <v>@petrogustavo</v>
      </c>
      <c r="C5691" s="5" t="s">
        <v>16</v>
      </c>
      <c r="D5691" s="5" t="s">
        <v>5535</v>
      </c>
      <c r="E5691" s="6" t="str">
        <f>HYPERLINK("https://twitter.com/petrogustavo/status/1258182106691383297","1258182106691383297")</f>
        <v>1258182106691383297</v>
      </c>
      <c r="F5691" s="7" t="s">
        <v>17</v>
      </c>
      <c r="G5691" s="7">
        <v>3818287</v>
      </c>
      <c r="H5691" s="7">
        <v>2400</v>
      </c>
      <c r="I5691" s="7">
        <v>55</v>
      </c>
      <c r="J5691" s="7">
        <v>0</v>
      </c>
      <c r="K5691" s="7" t="s">
        <v>18</v>
      </c>
      <c r="L5691" s="8">
        <v>39987.315405092595</v>
      </c>
      <c r="M5691" s="9" t="s">
        <v>19</v>
      </c>
      <c r="N5691" s="9" t="s">
        <v>20</v>
      </c>
      <c r="O5691" s="6" t="str">
        <f>HYPERLINK("https://pbs.twimg.com/profile_images/962471262747529216/Uo8lOkRJ_normal.jpg","View")</f>
        <v>View</v>
      </c>
      <c r="P5691" s="7"/>
    </row>
    <row r="5692" spans="1:16">
      <c r="A5692" s="3">
        <v>43958.224641203706</v>
      </c>
      <c r="B5692" s="4" t="str">
        <f>HYPERLINK("https://twitter.com/petrogustavo","@petrogustavo")</f>
        <v>@petrogustavo</v>
      </c>
      <c r="C5692" s="5" t="s">
        <v>16</v>
      </c>
      <c r="D5692" s="5" t="s">
        <v>5536</v>
      </c>
      <c r="E5692" s="6" t="str">
        <f>HYPERLINK("https://twitter.com/petrogustavo/status/1258183133800824834","1258183133800824834")</f>
        <v>1258183133800824834</v>
      </c>
      <c r="F5692" s="7" t="s">
        <v>17</v>
      </c>
      <c r="G5692" s="7">
        <v>3818287</v>
      </c>
      <c r="H5692" s="7">
        <v>2400</v>
      </c>
      <c r="I5692" s="7">
        <v>21</v>
      </c>
      <c r="J5692" s="7">
        <v>0</v>
      </c>
      <c r="K5692" s="7" t="s">
        <v>18</v>
      </c>
      <c r="L5692" s="8">
        <v>39987.315405092595</v>
      </c>
      <c r="M5692" s="9" t="s">
        <v>19</v>
      </c>
      <c r="N5692" s="9" t="s">
        <v>20</v>
      </c>
      <c r="O5692" s="6" t="str">
        <f>HYPERLINK("https://pbs.twimg.com/profile_images/962471262747529216/Uo8lOkRJ_normal.jpg","View")</f>
        <v>View</v>
      </c>
      <c r="P5692" s="7"/>
    </row>
    <row r="5693" spans="1:16">
      <c r="A5693" s="3">
        <v>43958.226284722223</v>
      </c>
      <c r="B5693" s="4" t="str">
        <f>HYPERLINK("https://twitter.com/petrogustavo","@petrogustavo")</f>
        <v>@petrogustavo</v>
      </c>
      <c r="C5693" s="5" t="s">
        <v>16</v>
      </c>
      <c r="D5693" s="5" t="s">
        <v>5537</v>
      </c>
      <c r="E5693" s="6" t="str">
        <f>HYPERLINK("https://twitter.com/petrogustavo/status/1258183729530449930","1258183729530449930")</f>
        <v>1258183729530449930</v>
      </c>
      <c r="F5693" s="7" t="s">
        <v>17</v>
      </c>
      <c r="G5693" s="7">
        <v>3818287</v>
      </c>
      <c r="H5693" s="7">
        <v>2400</v>
      </c>
      <c r="I5693" s="7">
        <v>99</v>
      </c>
      <c r="J5693" s="7">
        <v>0</v>
      </c>
      <c r="K5693" s="7" t="s">
        <v>18</v>
      </c>
      <c r="L5693" s="8">
        <v>39987.315405092595</v>
      </c>
      <c r="M5693" s="9" t="s">
        <v>19</v>
      </c>
      <c r="N5693" s="9" t="s">
        <v>20</v>
      </c>
      <c r="O5693" s="6" t="str">
        <f>HYPERLINK("https://pbs.twimg.com/profile_images/962471262747529216/Uo8lOkRJ_normal.jpg","View")</f>
        <v>View</v>
      </c>
      <c r="P5693" s="7"/>
    </row>
    <row r="5694" spans="1:16">
      <c r="A5694" s="3">
        <v>43958.229409722218</v>
      </c>
      <c r="B5694" s="4" t="str">
        <f>HYPERLINK("https://twitter.com/petrogustavo","@petrogustavo")</f>
        <v>@petrogustavo</v>
      </c>
      <c r="C5694" s="5" t="s">
        <v>16</v>
      </c>
      <c r="D5694" s="5" t="s">
        <v>5538</v>
      </c>
      <c r="E5694" s="6" t="str">
        <f>HYPERLINK("https://twitter.com/petrogustavo/status/1258184860776181760","1258184860776181760")</f>
        <v>1258184860776181760</v>
      </c>
      <c r="F5694" s="7" t="s">
        <v>17</v>
      </c>
      <c r="G5694" s="7">
        <v>3818287</v>
      </c>
      <c r="H5694" s="7">
        <v>2400</v>
      </c>
      <c r="I5694" s="7">
        <v>7</v>
      </c>
      <c r="J5694" s="7">
        <v>0</v>
      </c>
      <c r="K5694" s="7" t="s">
        <v>18</v>
      </c>
      <c r="L5694" s="8">
        <v>39987.315405092595</v>
      </c>
      <c r="M5694" s="9" t="s">
        <v>19</v>
      </c>
      <c r="N5694" s="9" t="s">
        <v>20</v>
      </c>
      <c r="O5694" s="6" t="str">
        <f>HYPERLINK("https://pbs.twimg.com/profile_images/962471262747529216/Uo8lOkRJ_normal.jpg","View")</f>
        <v>View</v>
      </c>
      <c r="P5694" s="7"/>
    </row>
    <row r="5695" spans="1:16">
      <c r="A5695" s="3">
        <v>43958.261689814812</v>
      </c>
      <c r="B5695" s="4" t="str">
        <f>HYPERLINK("https://twitter.com/petrogustavo","@petrogustavo")</f>
        <v>@petrogustavo</v>
      </c>
      <c r="C5695" s="5" t="s">
        <v>16</v>
      </c>
      <c r="D5695" s="5" t="s">
        <v>5539</v>
      </c>
      <c r="E5695" s="6" t="str">
        <f>HYPERLINK("https://twitter.com/petrogustavo/status/1258196559906422786","1258196559906422786")</f>
        <v>1258196559906422786</v>
      </c>
      <c r="F5695" s="7" t="s">
        <v>17</v>
      </c>
      <c r="G5695" s="7">
        <v>3818377</v>
      </c>
      <c r="H5695" s="7">
        <v>2400</v>
      </c>
      <c r="I5695" s="7">
        <v>12</v>
      </c>
      <c r="J5695" s="7">
        <v>0</v>
      </c>
      <c r="K5695" s="7" t="s">
        <v>18</v>
      </c>
      <c r="L5695" s="8">
        <v>39987.315405092595</v>
      </c>
      <c r="M5695" s="9" t="s">
        <v>19</v>
      </c>
      <c r="N5695" s="9" t="s">
        <v>20</v>
      </c>
      <c r="O5695" s="6" t="str">
        <f>HYPERLINK("https://pbs.twimg.com/profile_images/962471262747529216/Uo8lOkRJ_normal.jpg","View")</f>
        <v>View</v>
      </c>
      <c r="P5695" s="7"/>
    </row>
    <row r="5696" spans="1:16">
      <c r="A5696" s="3">
        <v>43958.263194444444</v>
      </c>
      <c r="B5696" s="4" t="str">
        <f>HYPERLINK("https://twitter.com/petrogustavo","@petrogustavo")</f>
        <v>@petrogustavo</v>
      </c>
      <c r="C5696" s="5" t="s">
        <v>16</v>
      </c>
      <c r="D5696" s="5" t="s">
        <v>5540</v>
      </c>
      <c r="E5696" s="6" t="str">
        <f>HYPERLINK("https://twitter.com/petrogustavo/status/1258197104519983105","1258197104519983105")</f>
        <v>1258197104519983105</v>
      </c>
      <c r="F5696" s="7" t="s">
        <v>17</v>
      </c>
      <c r="G5696" s="7">
        <v>3818377</v>
      </c>
      <c r="H5696" s="7">
        <v>2400</v>
      </c>
      <c r="I5696" s="7">
        <v>379</v>
      </c>
      <c r="J5696" s="7">
        <v>0</v>
      </c>
      <c r="K5696" s="7" t="s">
        <v>18</v>
      </c>
      <c r="L5696" s="8">
        <v>39987.315405092595</v>
      </c>
      <c r="M5696" s="9" t="s">
        <v>19</v>
      </c>
      <c r="N5696" s="9" t="s">
        <v>20</v>
      </c>
      <c r="O5696" s="6" t="str">
        <f>HYPERLINK("https://pbs.twimg.com/profile_images/962471262747529216/Uo8lOkRJ_normal.jpg","View")</f>
        <v>View</v>
      </c>
      <c r="P5696" s="7"/>
    </row>
    <row r="5697" spans="1:16">
      <c r="A5697" s="3">
        <v>43958.265671296293</v>
      </c>
      <c r="B5697" s="4" t="str">
        <f>HYPERLINK("https://twitter.com/petrogustavo","@petrogustavo")</f>
        <v>@petrogustavo</v>
      </c>
      <c r="C5697" s="5" t="s">
        <v>16</v>
      </c>
      <c r="D5697" s="5" t="s">
        <v>5541</v>
      </c>
      <c r="E5697" s="6" t="str">
        <f>HYPERLINK("https://twitter.com/petrogustavo/status/1258198003640414208","1258198003640414208")</f>
        <v>1258198003640414208</v>
      </c>
      <c r="F5697" s="7" t="s">
        <v>17</v>
      </c>
      <c r="G5697" s="7">
        <v>3818377</v>
      </c>
      <c r="H5697" s="7">
        <v>2400</v>
      </c>
      <c r="I5697" s="7">
        <v>566</v>
      </c>
      <c r="J5697" s="7">
        <v>0</v>
      </c>
      <c r="K5697" s="7" t="s">
        <v>18</v>
      </c>
      <c r="L5697" s="8">
        <v>39987.315405092595</v>
      </c>
      <c r="M5697" s="9" t="s">
        <v>19</v>
      </c>
      <c r="N5697" s="9" t="s">
        <v>20</v>
      </c>
      <c r="O5697" s="6" t="str">
        <f>HYPERLINK("https://pbs.twimg.com/profile_images/962471262747529216/Uo8lOkRJ_normal.jpg","View")</f>
        <v>View</v>
      </c>
      <c r="P5697" s="7"/>
    </row>
    <row r="5698" spans="1:16">
      <c r="A5698" s="3">
        <v>43958.266712962963</v>
      </c>
      <c r="B5698" s="4" t="str">
        <f>HYPERLINK("https://twitter.com/petrogustavo","@petrogustavo")</f>
        <v>@petrogustavo</v>
      </c>
      <c r="C5698" s="5" t="s">
        <v>16</v>
      </c>
      <c r="D5698" s="5" t="s">
        <v>5542</v>
      </c>
      <c r="E5698" s="6" t="str">
        <f>HYPERLINK("https://twitter.com/petrogustavo/status/1258198378707595267","1258198378707595267")</f>
        <v>1258198378707595267</v>
      </c>
      <c r="F5698" s="7" t="s">
        <v>17</v>
      </c>
      <c r="G5698" s="7">
        <v>3818377</v>
      </c>
      <c r="H5698" s="7">
        <v>2400</v>
      </c>
      <c r="I5698" s="7">
        <v>43</v>
      </c>
      <c r="J5698" s="7">
        <v>0</v>
      </c>
      <c r="K5698" s="7" t="s">
        <v>18</v>
      </c>
      <c r="L5698" s="8">
        <v>39987.315405092595</v>
      </c>
      <c r="M5698" s="9" t="s">
        <v>19</v>
      </c>
      <c r="N5698" s="9" t="s">
        <v>20</v>
      </c>
      <c r="O5698" s="6" t="str">
        <f>HYPERLINK("https://pbs.twimg.com/profile_images/962471262747529216/Uo8lOkRJ_normal.jpg","View")</f>
        <v>View</v>
      </c>
      <c r="P5698" s="7"/>
    </row>
    <row r="5699" spans="1:16">
      <c r="A5699" s="3">
        <v>43958.268518518518</v>
      </c>
      <c r="B5699" s="4" t="str">
        <f>HYPERLINK("https://twitter.com/petrogustavo","@petrogustavo")</f>
        <v>@petrogustavo</v>
      </c>
      <c r="C5699" s="5" t="s">
        <v>16</v>
      </c>
      <c r="D5699" s="5" t="s">
        <v>5543</v>
      </c>
      <c r="E5699" s="6" t="str">
        <f>HYPERLINK("https://twitter.com/petrogustavo/status/1258199032226250757","1258199032226250757")</f>
        <v>1258199032226250757</v>
      </c>
      <c r="F5699" s="7" t="s">
        <v>17</v>
      </c>
      <c r="G5699" s="7">
        <v>3818377</v>
      </c>
      <c r="H5699" s="7">
        <v>2400</v>
      </c>
      <c r="I5699" s="7">
        <v>91</v>
      </c>
      <c r="J5699" s="7">
        <v>225</v>
      </c>
      <c r="K5699" s="7" t="s">
        <v>18</v>
      </c>
      <c r="L5699" s="8">
        <v>39987.315405092595</v>
      </c>
      <c r="M5699" s="9" t="s">
        <v>19</v>
      </c>
      <c r="N5699" s="9" t="s">
        <v>20</v>
      </c>
      <c r="O5699" s="6" t="str">
        <f>HYPERLINK("https://pbs.twimg.com/profile_images/962471262747529216/Uo8lOkRJ_normal.jpg","View")</f>
        <v>View</v>
      </c>
      <c r="P5699" s="7"/>
    </row>
    <row r="5700" spans="1:16">
      <c r="A5700" s="3">
        <v>43958.271979166668</v>
      </c>
      <c r="B5700" s="4" t="str">
        <f>HYPERLINK("https://twitter.com/petrogustavo","@petrogustavo")</f>
        <v>@petrogustavo</v>
      </c>
      <c r="C5700" s="5" t="s">
        <v>16</v>
      </c>
      <c r="D5700" s="5" t="s">
        <v>5544</v>
      </c>
      <c r="E5700" s="6" t="str">
        <f>HYPERLINK("https://twitter.com/petrogustavo/status/1258200289456410626","1258200289456410626")</f>
        <v>1258200289456410626</v>
      </c>
      <c r="F5700" s="7" t="s">
        <v>17</v>
      </c>
      <c r="G5700" s="7">
        <v>3818377</v>
      </c>
      <c r="H5700" s="7">
        <v>2400</v>
      </c>
      <c r="I5700" s="7">
        <v>24</v>
      </c>
      <c r="J5700" s="7">
        <v>0</v>
      </c>
      <c r="K5700" s="7" t="s">
        <v>18</v>
      </c>
      <c r="L5700" s="8">
        <v>39987.315405092595</v>
      </c>
      <c r="M5700" s="9" t="s">
        <v>19</v>
      </c>
      <c r="N5700" s="9" t="s">
        <v>20</v>
      </c>
      <c r="O5700" s="6" t="str">
        <f>HYPERLINK("https://pbs.twimg.com/profile_images/962471262747529216/Uo8lOkRJ_normal.jpg","View")</f>
        <v>View</v>
      </c>
      <c r="P5700" s="7"/>
    </row>
    <row r="5701" spans="1:16">
      <c r="A5701" s="3">
        <v>43958.291226851856</v>
      </c>
      <c r="B5701" s="4" t="str">
        <f>HYPERLINK("https://twitter.com/petrogustavo","@petrogustavo")</f>
        <v>@petrogustavo</v>
      </c>
      <c r="C5701" s="5" t="s">
        <v>16</v>
      </c>
      <c r="D5701" s="5" t="s">
        <v>5545</v>
      </c>
      <c r="E5701" s="6" t="str">
        <f>HYPERLINK("https://twitter.com/petrogustavo/status/1258207264785133568","1258207264785133568")</f>
        <v>1258207264785133568</v>
      </c>
      <c r="F5701" s="7" t="s">
        <v>17</v>
      </c>
      <c r="G5701" s="7">
        <v>3818431</v>
      </c>
      <c r="H5701" s="7">
        <v>2401</v>
      </c>
      <c r="I5701" s="7">
        <v>298</v>
      </c>
      <c r="J5701" s="7">
        <v>0</v>
      </c>
      <c r="K5701" s="7" t="s">
        <v>18</v>
      </c>
      <c r="L5701" s="8">
        <v>39987.315405092595</v>
      </c>
      <c r="M5701" s="9" t="s">
        <v>19</v>
      </c>
      <c r="N5701" s="9" t="s">
        <v>20</v>
      </c>
      <c r="O5701" s="6" t="str">
        <f>HYPERLINK("https://pbs.twimg.com/profile_images/962471262747529216/Uo8lOkRJ_normal.jpg","View")</f>
        <v>View</v>
      </c>
      <c r="P5701" s="7"/>
    </row>
    <row r="5702" spans="1:16">
      <c r="A5702" s="3">
        <v>43958.322511574079</v>
      </c>
      <c r="B5702" s="4" t="str">
        <f>HYPERLINK("https://twitter.com/petrogustavo","@petrogustavo")</f>
        <v>@petrogustavo</v>
      </c>
      <c r="C5702" s="5" t="s">
        <v>16</v>
      </c>
      <c r="D5702" s="5" t="s">
        <v>5546</v>
      </c>
      <c r="E5702" s="6" t="str">
        <f>HYPERLINK("https://twitter.com/petrogustavo/status/1258218599031939072","1258218599031939072")</f>
        <v>1258218599031939072</v>
      </c>
      <c r="F5702" s="7" t="s">
        <v>32</v>
      </c>
      <c r="G5702" s="7">
        <v>3818455</v>
      </c>
      <c r="H5702" s="7">
        <v>2401</v>
      </c>
      <c r="I5702" s="7">
        <v>342</v>
      </c>
      <c r="J5702" s="7">
        <v>0</v>
      </c>
      <c r="K5702" s="7" t="s">
        <v>18</v>
      </c>
      <c r="L5702" s="8">
        <v>39987.315405092595</v>
      </c>
      <c r="M5702" s="9" t="s">
        <v>19</v>
      </c>
      <c r="N5702" s="9" t="s">
        <v>20</v>
      </c>
      <c r="O5702" s="6" t="str">
        <f>HYPERLINK("https://pbs.twimg.com/profile_images/962471262747529216/Uo8lOkRJ_normal.jpg","View")</f>
        <v>View</v>
      </c>
      <c r="P5702" s="7"/>
    </row>
    <row r="5703" spans="1:16">
      <c r="A5703" s="3">
        <v>43958.840833333335</v>
      </c>
      <c r="B5703" s="4" t="str">
        <f>HYPERLINK("https://twitter.com/petrogustavo","@petrogustavo")</f>
        <v>@petrogustavo</v>
      </c>
      <c r="C5703" s="5" t="s">
        <v>16</v>
      </c>
      <c r="D5703" s="5" t="s">
        <v>5547</v>
      </c>
      <c r="E5703" s="6" t="str">
        <f>HYPERLINK("https://twitter.com/petrogustavo/status/1258406435114942465","1258406435114942465")</f>
        <v>1258406435114942465</v>
      </c>
      <c r="F5703" s="7" t="s">
        <v>17</v>
      </c>
      <c r="G5703" s="7">
        <v>3819039</v>
      </c>
      <c r="H5703" s="7">
        <v>2401</v>
      </c>
      <c r="I5703" s="7">
        <v>43</v>
      </c>
      <c r="J5703" s="7">
        <v>0</v>
      </c>
      <c r="K5703" s="7" t="s">
        <v>18</v>
      </c>
      <c r="L5703" s="8">
        <v>39987.315405092595</v>
      </c>
      <c r="M5703" s="9" t="s">
        <v>19</v>
      </c>
      <c r="N5703" s="9" t="s">
        <v>20</v>
      </c>
      <c r="O5703" s="6" t="str">
        <f>HYPERLINK("https://pbs.twimg.com/profile_images/962471262747529216/Uo8lOkRJ_normal.jpg","View")</f>
        <v>View</v>
      </c>
      <c r="P5703" s="7"/>
    </row>
    <row r="5704" spans="1:16">
      <c r="A5704" s="3">
        <v>43958.944120370375</v>
      </c>
      <c r="B5704" s="4" t="str">
        <f>HYPERLINK("https://twitter.com/petrogustavo","@petrogustavo")</f>
        <v>@petrogustavo</v>
      </c>
      <c r="C5704" s="5" t="s">
        <v>16</v>
      </c>
      <c r="D5704" s="5" t="s">
        <v>5548</v>
      </c>
      <c r="E5704" s="6" t="str">
        <f>HYPERLINK("https://twitter.com/petrogustavo/status/1258443865285103620","1258443865285103620")</f>
        <v>1258443865285103620</v>
      </c>
      <c r="F5704" s="7" t="s">
        <v>17</v>
      </c>
      <c r="G5704" s="7">
        <v>3819169</v>
      </c>
      <c r="H5704" s="7">
        <v>2401</v>
      </c>
      <c r="I5704" s="7">
        <v>210</v>
      </c>
      <c r="J5704" s="7">
        <v>412</v>
      </c>
      <c r="K5704" s="7" t="s">
        <v>18</v>
      </c>
      <c r="L5704" s="8">
        <v>39987.315405092595</v>
      </c>
      <c r="M5704" s="9" t="s">
        <v>19</v>
      </c>
      <c r="N5704" s="9" t="s">
        <v>20</v>
      </c>
      <c r="O5704" s="6" t="str">
        <f>HYPERLINK("https://pbs.twimg.com/profile_images/962471262747529216/Uo8lOkRJ_normal.jpg","View")</f>
        <v>View</v>
      </c>
      <c r="P5704" s="7"/>
    </row>
    <row r="5705" spans="1:16">
      <c r="A5705" s="3">
        <v>43958.981550925921</v>
      </c>
      <c r="B5705" s="4" t="str">
        <f>HYPERLINK("https://twitter.com/petrogustavo","@petrogustavo")</f>
        <v>@petrogustavo</v>
      </c>
      <c r="C5705" s="5" t="s">
        <v>16</v>
      </c>
      <c r="D5705" s="5" t="s">
        <v>5549</v>
      </c>
      <c r="E5705" s="6" t="str">
        <f>HYPERLINK("https://twitter.com/petrogustavo/status/1258457429215453185","1258457429215453185")</f>
        <v>1258457429215453185</v>
      </c>
      <c r="F5705" s="7" t="s">
        <v>17</v>
      </c>
      <c r="G5705" s="7">
        <v>3819272</v>
      </c>
      <c r="H5705" s="7">
        <v>2401</v>
      </c>
      <c r="I5705" s="7">
        <v>90</v>
      </c>
      <c r="J5705" s="7">
        <v>0</v>
      </c>
      <c r="K5705" s="7" t="s">
        <v>18</v>
      </c>
      <c r="L5705" s="8">
        <v>39987.315405092595</v>
      </c>
      <c r="M5705" s="9" t="s">
        <v>19</v>
      </c>
      <c r="N5705" s="9" t="s">
        <v>20</v>
      </c>
      <c r="O5705" s="6" t="str">
        <f>HYPERLINK("https://pbs.twimg.com/profile_images/962471262747529216/Uo8lOkRJ_normal.jpg","View")</f>
        <v>View</v>
      </c>
      <c r="P5705" s="7"/>
    </row>
    <row r="5706" spans="1:16">
      <c r="A5706" s="3">
        <v>43958.982962962968</v>
      </c>
      <c r="B5706" s="4" t="str">
        <f>HYPERLINK("https://twitter.com/petrogustavo","@petrogustavo")</f>
        <v>@petrogustavo</v>
      </c>
      <c r="C5706" s="5" t="s">
        <v>16</v>
      </c>
      <c r="D5706" s="5" t="s">
        <v>5550</v>
      </c>
      <c r="E5706" s="6" t="str">
        <f>HYPERLINK("https://twitter.com/petrogustavo/status/1258457939976863744","1258457939976863744")</f>
        <v>1258457939976863744</v>
      </c>
      <c r="F5706" s="7" t="s">
        <v>17</v>
      </c>
      <c r="G5706" s="7">
        <v>3819272</v>
      </c>
      <c r="H5706" s="7">
        <v>2401</v>
      </c>
      <c r="I5706" s="7">
        <v>20</v>
      </c>
      <c r="J5706" s="7">
        <v>0</v>
      </c>
      <c r="K5706" s="7" t="s">
        <v>18</v>
      </c>
      <c r="L5706" s="8">
        <v>39987.315405092595</v>
      </c>
      <c r="M5706" s="9" t="s">
        <v>19</v>
      </c>
      <c r="N5706" s="9" t="s">
        <v>20</v>
      </c>
      <c r="O5706" s="6" t="str">
        <f>HYPERLINK("https://pbs.twimg.com/profile_images/962471262747529216/Uo8lOkRJ_normal.jpg","View")</f>
        <v>View</v>
      </c>
      <c r="P5706" s="7"/>
    </row>
    <row r="5707" spans="1:16">
      <c r="A5707" s="3">
        <v>43958.98505787037</v>
      </c>
      <c r="B5707" s="4" t="str">
        <f>HYPERLINK("https://twitter.com/petrogustavo","@petrogustavo")</f>
        <v>@petrogustavo</v>
      </c>
      <c r="C5707" s="5" t="s">
        <v>16</v>
      </c>
      <c r="D5707" s="5" t="s">
        <v>5551</v>
      </c>
      <c r="E5707" s="6" t="str">
        <f>HYPERLINK("https://twitter.com/petrogustavo/status/1258458697610690560","1258458697610690560")</f>
        <v>1258458697610690560</v>
      </c>
      <c r="F5707" s="7" t="s">
        <v>17</v>
      </c>
      <c r="G5707" s="7">
        <v>3819272</v>
      </c>
      <c r="H5707" s="7">
        <v>2401</v>
      </c>
      <c r="I5707" s="7">
        <v>171</v>
      </c>
      <c r="J5707" s="7">
        <v>0</v>
      </c>
      <c r="K5707" s="7" t="s">
        <v>18</v>
      </c>
      <c r="L5707" s="8">
        <v>39987.315405092595</v>
      </c>
      <c r="M5707" s="9" t="s">
        <v>19</v>
      </c>
      <c r="N5707" s="9" t="s">
        <v>20</v>
      </c>
      <c r="O5707" s="6" t="str">
        <f>HYPERLINK("https://pbs.twimg.com/profile_images/962471262747529216/Uo8lOkRJ_normal.jpg","View")</f>
        <v>View</v>
      </c>
      <c r="P5707" s="7"/>
    </row>
    <row r="5708" spans="1:16">
      <c r="A5708" s="3">
        <v>43958.996608796297</v>
      </c>
      <c r="B5708" s="4" t="str">
        <f>HYPERLINK("https://twitter.com/petrogustavo","@petrogustavo")</f>
        <v>@petrogustavo</v>
      </c>
      <c r="C5708" s="5" t="s">
        <v>16</v>
      </c>
      <c r="D5708" s="5" t="s">
        <v>5552</v>
      </c>
      <c r="E5708" s="6" t="str">
        <f>HYPERLINK("https://twitter.com/petrogustavo/status/1258462886709604357","1258462886709604357")</f>
        <v>1258462886709604357</v>
      </c>
      <c r="F5708" s="7" t="s">
        <v>17</v>
      </c>
      <c r="G5708" s="7">
        <v>3819272</v>
      </c>
      <c r="H5708" s="7">
        <v>2401</v>
      </c>
      <c r="I5708" s="7">
        <v>94</v>
      </c>
      <c r="J5708" s="7">
        <v>0</v>
      </c>
      <c r="K5708" s="7" t="s">
        <v>18</v>
      </c>
      <c r="L5708" s="8">
        <v>39987.315405092595</v>
      </c>
      <c r="M5708" s="9" t="s">
        <v>19</v>
      </c>
      <c r="N5708" s="9" t="s">
        <v>20</v>
      </c>
      <c r="O5708" s="6" t="str">
        <f>HYPERLINK("https://pbs.twimg.com/profile_images/962471262747529216/Uo8lOkRJ_normal.jpg","View")</f>
        <v>View</v>
      </c>
      <c r="P5708" s="7"/>
    </row>
    <row r="5709" spans="1:16">
      <c r="A5709" s="3">
        <v>43959.129444444443</v>
      </c>
      <c r="B5709" s="4" t="str">
        <f>HYPERLINK("https://twitter.com/petrogustavo","@petrogustavo")</f>
        <v>@petrogustavo</v>
      </c>
      <c r="C5709" s="5" t="s">
        <v>16</v>
      </c>
      <c r="D5709" s="5" t="s">
        <v>5553</v>
      </c>
      <c r="E5709" s="6" t="str">
        <f>HYPERLINK("https://twitter.com/petrogustavo/status/1258511022194716673","1258511022194716673")</f>
        <v>1258511022194716673</v>
      </c>
      <c r="F5709" s="7" t="s">
        <v>17</v>
      </c>
      <c r="G5709" s="7">
        <v>3819542</v>
      </c>
      <c r="H5709" s="7">
        <v>2401</v>
      </c>
      <c r="I5709" s="7">
        <v>186</v>
      </c>
      <c r="J5709" s="7">
        <v>0</v>
      </c>
      <c r="K5709" s="7" t="s">
        <v>18</v>
      </c>
      <c r="L5709" s="8">
        <v>39987.315405092595</v>
      </c>
      <c r="M5709" s="9" t="s">
        <v>19</v>
      </c>
      <c r="N5709" s="9" t="s">
        <v>20</v>
      </c>
      <c r="O5709" s="6" t="str">
        <f>HYPERLINK("https://pbs.twimg.com/profile_images/962471262747529216/Uo8lOkRJ_normal.jpg","View")</f>
        <v>View</v>
      </c>
      <c r="P5709" s="7"/>
    </row>
    <row r="5710" spans="1:16">
      <c r="A5710" s="3">
        <v>43959.311296296291</v>
      </c>
      <c r="B5710" s="4" t="str">
        <f>HYPERLINK("https://twitter.com/petrogustavo","@petrogustavo")</f>
        <v>@petrogustavo</v>
      </c>
      <c r="C5710" s="5" t="s">
        <v>16</v>
      </c>
      <c r="D5710" s="5" t="s">
        <v>5554</v>
      </c>
      <c r="E5710" s="6" t="str">
        <f>HYPERLINK("https://twitter.com/petrogustavo/status/1258576925347512320","1258576925347512320")</f>
        <v>1258576925347512320</v>
      </c>
      <c r="F5710" s="7" t="s">
        <v>17</v>
      </c>
      <c r="G5710" s="7">
        <v>3819889</v>
      </c>
      <c r="H5710" s="7">
        <v>2401</v>
      </c>
      <c r="I5710" s="7">
        <v>1071</v>
      </c>
      <c r="J5710" s="7">
        <v>0</v>
      </c>
      <c r="K5710" s="7" t="s">
        <v>18</v>
      </c>
      <c r="L5710" s="8">
        <v>39987.315405092595</v>
      </c>
      <c r="M5710" s="9" t="s">
        <v>19</v>
      </c>
      <c r="N5710" s="9" t="s">
        <v>20</v>
      </c>
      <c r="O5710" s="6" t="str">
        <f>HYPERLINK("https://pbs.twimg.com/profile_images/962471262747529216/Uo8lOkRJ_normal.jpg","View")</f>
        <v>View</v>
      </c>
      <c r="P5710" s="7"/>
    </row>
    <row r="5711" spans="1:16">
      <c r="A5711" s="3">
        <v>43959.864594907413</v>
      </c>
      <c r="B5711" s="4" t="str">
        <f>HYPERLINK("https://twitter.com/petrogustavo","@petrogustavo")</f>
        <v>@petrogustavo</v>
      </c>
      <c r="C5711" s="5" t="s">
        <v>16</v>
      </c>
      <c r="D5711" s="5" t="s">
        <v>5555</v>
      </c>
      <c r="E5711" s="6" t="str">
        <f>HYPERLINK("https://twitter.com/petrogustavo/status/1258777430384431104","1258777430384431104")</f>
        <v>1258777430384431104</v>
      </c>
      <c r="F5711" s="7" t="s">
        <v>17</v>
      </c>
      <c r="G5711" s="7">
        <v>3820511</v>
      </c>
      <c r="H5711" s="7">
        <v>2401</v>
      </c>
      <c r="I5711" s="7">
        <v>2284</v>
      </c>
      <c r="J5711" s="7">
        <v>0</v>
      </c>
      <c r="K5711" s="7" t="s">
        <v>18</v>
      </c>
      <c r="L5711" s="8">
        <v>39987.315405092595</v>
      </c>
      <c r="M5711" s="9" t="s">
        <v>19</v>
      </c>
      <c r="N5711" s="9" t="s">
        <v>20</v>
      </c>
      <c r="O5711" s="6" t="str">
        <f>HYPERLINK("https://pbs.twimg.com/profile_images/962471262747529216/Uo8lOkRJ_normal.jpg","View")</f>
        <v>View</v>
      </c>
      <c r="P5711" s="7"/>
    </row>
    <row r="5712" spans="1:16">
      <c r="A5712" s="3">
        <v>43959.866215277776</v>
      </c>
      <c r="B5712" s="4" t="str">
        <f>HYPERLINK("https://twitter.com/petrogustavo","@petrogustavo")</f>
        <v>@petrogustavo</v>
      </c>
      <c r="C5712" s="5" t="s">
        <v>16</v>
      </c>
      <c r="D5712" s="5" t="s">
        <v>5556</v>
      </c>
      <c r="E5712" s="6" t="str">
        <f>HYPERLINK("https://twitter.com/petrogustavo/status/1258778018874568706","1258778018874568706")</f>
        <v>1258778018874568706</v>
      </c>
      <c r="F5712" s="7" t="s">
        <v>17</v>
      </c>
      <c r="G5712" s="7">
        <v>3820511</v>
      </c>
      <c r="H5712" s="7">
        <v>2401</v>
      </c>
      <c r="I5712" s="7">
        <v>117</v>
      </c>
      <c r="J5712" s="7">
        <v>294</v>
      </c>
      <c r="K5712" s="7" t="s">
        <v>18</v>
      </c>
      <c r="L5712" s="8">
        <v>39987.315405092595</v>
      </c>
      <c r="M5712" s="9" t="s">
        <v>19</v>
      </c>
      <c r="N5712" s="9" t="s">
        <v>20</v>
      </c>
      <c r="O5712" s="6" t="str">
        <f>HYPERLINK("https://pbs.twimg.com/profile_images/962471262747529216/Uo8lOkRJ_normal.jpg","View")</f>
        <v>View</v>
      </c>
      <c r="P5712" s="7"/>
    </row>
    <row r="5713" spans="1:16">
      <c r="A5713" s="3">
        <v>43959.884756944448</v>
      </c>
      <c r="B5713" s="4" t="str">
        <f>HYPERLINK("https://twitter.com/petrogustavo","@petrogustavo")</f>
        <v>@petrogustavo</v>
      </c>
      <c r="C5713" s="5" t="s">
        <v>16</v>
      </c>
      <c r="D5713" s="5" t="s">
        <v>5557</v>
      </c>
      <c r="E5713" s="6" t="str">
        <f>HYPERLINK("https://twitter.com/petrogustavo/status/1258784740183851008","1258784740183851008")</f>
        <v>1258784740183851008</v>
      </c>
      <c r="F5713" s="7" t="s">
        <v>17</v>
      </c>
      <c r="G5713" s="7">
        <v>3820548</v>
      </c>
      <c r="H5713" s="7">
        <v>2401</v>
      </c>
      <c r="I5713" s="7">
        <v>7340</v>
      </c>
      <c r="J5713" s="7">
        <v>0</v>
      </c>
      <c r="K5713" s="7" t="s">
        <v>18</v>
      </c>
      <c r="L5713" s="8">
        <v>39987.315405092595</v>
      </c>
      <c r="M5713" s="9" t="s">
        <v>19</v>
      </c>
      <c r="N5713" s="9" t="s">
        <v>20</v>
      </c>
      <c r="O5713" s="6" t="str">
        <f>HYPERLINK("https://pbs.twimg.com/profile_images/962471262747529216/Uo8lOkRJ_normal.jpg","View")</f>
        <v>View</v>
      </c>
      <c r="P5713" s="7"/>
    </row>
    <row r="5714" spans="1:16">
      <c r="A5714" s="3">
        <v>43959.886064814811</v>
      </c>
      <c r="B5714" s="4" t="str">
        <f>HYPERLINK("https://twitter.com/petrogustavo","@petrogustavo")</f>
        <v>@petrogustavo</v>
      </c>
      <c r="C5714" s="5" t="s">
        <v>16</v>
      </c>
      <c r="D5714" s="5" t="s">
        <v>5558</v>
      </c>
      <c r="E5714" s="6" t="str">
        <f>HYPERLINK("https://twitter.com/petrogustavo/status/1258785214094102533","1258785214094102533")</f>
        <v>1258785214094102533</v>
      </c>
      <c r="F5714" s="7" t="s">
        <v>17</v>
      </c>
      <c r="G5714" s="7">
        <v>3820548</v>
      </c>
      <c r="H5714" s="7">
        <v>2401</v>
      </c>
      <c r="I5714" s="7">
        <v>144</v>
      </c>
      <c r="J5714" s="7">
        <v>0</v>
      </c>
      <c r="K5714" s="7" t="s">
        <v>18</v>
      </c>
      <c r="L5714" s="8">
        <v>39987.315405092595</v>
      </c>
      <c r="M5714" s="9" t="s">
        <v>19</v>
      </c>
      <c r="N5714" s="9" t="s">
        <v>20</v>
      </c>
      <c r="O5714" s="6" t="str">
        <f>HYPERLINK("https://pbs.twimg.com/profile_images/962471262747529216/Uo8lOkRJ_normal.jpg","View")</f>
        <v>View</v>
      </c>
      <c r="P5714" s="7"/>
    </row>
    <row r="5715" spans="1:16">
      <c r="A5715" s="3">
        <v>43959.88795138889</v>
      </c>
      <c r="B5715" s="4" t="str">
        <f>HYPERLINK("https://twitter.com/petrogustavo","@petrogustavo")</f>
        <v>@petrogustavo</v>
      </c>
      <c r="C5715" s="5" t="s">
        <v>16</v>
      </c>
      <c r="D5715" s="5" t="s">
        <v>5559</v>
      </c>
      <c r="E5715" s="6" t="str">
        <f>HYPERLINK("https://twitter.com/petrogustavo/status/1258785896830287876","1258785896830287876")</f>
        <v>1258785896830287876</v>
      </c>
      <c r="F5715" s="7" t="s">
        <v>17</v>
      </c>
      <c r="G5715" s="7">
        <v>3820548</v>
      </c>
      <c r="H5715" s="7">
        <v>2401</v>
      </c>
      <c r="I5715" s="7">
        <v>158</v>
      </c>
      <c r="J5715" s="7">
        <v>0</v>
      </c>
      <c r="K5715" s="7" t="s">
        <v>18</v>
      </c>
      <c r="L5715" s="8">
        <v>39987.315405092595</v>
      </c>
      <c r="M5715" s="9" t="s">
        <v>19</v>
      </c>
      <c r="N5715" s="9" t="s">
        <v>20</v>
      </c>
      <c r="O5715" s="6" t="str">
        <f>HYPERLINK("https://pbs.twimg.com/profile_images/962471262747529216/Uo8lOkRJ_normal.jpg","View")</f>
        <v>View</v>
      </c>
      <c r="P5715" s="7"/>
    </row>
    <row r="5716" spans="1:16">
      <c r="A5716" s="3">
        <v>43959.888240740736</v>
      </c>
      <c r="B5716" s="4" t="str">
        <f>HYPERLINK("https://twitter.com/petrogustavo","@petrogustavo")</f>
        <v>@petrogustavo</v>
      </c>
      <c r="C5716" s="5" t="s">
        <v>16</v>
      </c>
      <c r="D5716" s="5" t="s">
        <v>5553</v>
      </c>
      <c r="E5716" s="6" t="str">
        <f>HYPERLINK("https://twitter.com/petrogustavo/status/1258786001981452289","1258786001981452289")</f>
        <v>1258786001981452289</v>
      </c>
      <c r="F5716" s="7" t="s">
        <v>17</v>
      </c>
      <c r="G5716" s="7">
        <v>3820548</v>
      </c>
      <c r="H5716" s="7">
        <v>2401</v>
      </c>
      <c r="I5716" s="7">
        <v>539</v>
      </c>
      <c r="J5716" s="7">
        <v>0</v>
      </c>
      <c r="K5716" s="7" t="s">
        <v>18</v>
      </c>
      <c r="L5716" s="8">
        <v>39987.315405092595</v>
      </c>
      <c r="M5716" s="9" t="s">
        <v>19</v>
      </c>
      <c r="N5716" s="9" t="s">
        <v>20</v>
      </c>
      <c r="O5716" s="6" t="str">
        <f>HYPERLINK("https://pbs.twimg.com/profile_images/962471262747529216/Uo8lOkRJ_normal.jpg","View")</f>
        <v>View</v>
      </c>
      <c r="P5716" s="7"/>
    </row>
    <row r="5717" spans="1:16">
      <c r="A5717" s="3">
        <v>43959.889120370368</v>
      </c>
      <c r="B5717" s="4" t="str">
        <f>HYPERLINK("https://twitter.com/petrogustavo","@petrogustavo")</f>
        <v>@petrogustavo</v>
      </c>
      <c r="C5717" s="5" t="s">
        <v>16</v>
      </c>
      <c r="D5717" s="5" t="s">
        <v>5560</v>
      </c>
      <c r="E5717" s="6" t="str">
        <f>HYPERLINK("https://twitter.com/petrogustavo/status/1258786319884603394","1258786319884603394")</f>
        <v>1258786319884603394</v>
      </c>
      <c r="F5717" s="7" t="s">
        <v>32</v>
      </c>
      <c r="G5717" s="7">
        <v>3820548</v>
      </c>
      <c r="H5717" s="7">
        <v>2401</v>
      </c>
      <c r="I5717" s="7">
        <v>168</v>
      </c>
      <c r="J5717" s="7">
        <v>0</v>
      </c>
      <c r="K5717" s="7" t="s">
        <v>18</v>
      </c>
      <c r="L5717" s="8">
        <v>39987.315405092595</v>
      </c>
      <c r="M5717" s="9" t="s">
        <v>19</v>
      </c>
      <c r="N5717" s="9" t="s">
        <v>20</v>
      </c>
      <c r="O5717" s="6" t="str">
        <f>HYPERLINK("https://pbs.twimg.com/profile_images/962471262747529216/Uo8lOkRJ_normal.jpg","View")</f>
        <v>View</v>
      </c>
      <c r="P5717" s="7"/>
    </row>
    <row r="5718" spans="1:16">
      <c r="A5718" s="3">
        <v>43959.889872685184</v>
      </c>
      <c r="B5718" s="4" t="str">
        <f>HYPERLINK("https://twitter.com/petrogustavo","@petrogustavo")</f>
        <v>@petrogustavo</v>
      </c>
      <c r="C5718" s="5" t="s">
        <v>16</v>
      </c>
      <c r="D5718" s="5" t="s">
        <v>5561</v>
      </c>
      <c r="E5718" s="6" t="str">
        <f>HYPERLINK("https://twitter.com/petrogustavo/status/1258786593827106816","1258786593827106816")</f>
        <v>1258786593827106816</v>
      </c>
      <c r="F5718" s="7" t="s">
        <v>32</v>
      </c>
      <c r="G5718" s="7">
        <v>3820548</v>
      </c>
      <c r="H5718" s="7">
        <v>2401</v>
      </c>
      <c r="I5718" s="7">
        <v>27</v>
      </c>
      <c r="J5718" s="7">
        <v>0</v>
      </c>
      <c r="K5718" s="7" t="s">
        <v>18</v>
      </c>
      <c r="L5718" s="8">
        <v>39987.315405092595</v>
      </c>
      <c r="M5718" s="9" t="s">
        <v>19</v>
      </c>
      <c r="N5718" s="9" t="s">
        <v>20</v>
      </c>
      <c r="O5718" s="6" t="str">
        <f>HYPERLINK("https://pbs.twimg.com/profile_images/962471262747529216/Uo8lOkRJ_normal.jpg","View")</f>
        <v>View</v>
      </c>
      <c r="P5718" s="7"/>
    </row>
    <row r="5719" spans="1:16">
      <c r="A5719" s="3">
        <v>43959.890659722223</v>
      </c>
      <c r="B5719" s="4" t="str">
        <f>HYPERLINK("https://twitter.com/petrogustavo","@petrogustavo")</f>
        <v>@petrogustavo</v>
      </c>
      <c r="C5719" s="5" t="s">
        <v>16</v>
      </c>
      <c r="D5719" s="5" t="s">
        <v>5562</v>
      </c>
      <c r="E5719" s="6" t="str">
        <f>HYPERLINK("https://twitter.com/petrogustavo/status/1258786879014604803","1258786879014604803")</f>
        <v>1258786879014604803</v>
      </c>
      <c r="F5719" s="7" t="s">
        <v>32</v>
      </c>
      <c r="G5719" s="7">
        <v>3820548</v>
      </c>
      <c r="H5719" s="7">
        <v>2401</v>
      </c>
      <c r="I5719" s="7">
        <v>149</v>
      </c>
      <c r="J5719" s="7">
        <v>0</v>
      </c>
      <c r="K5719" s="7" t="s">
        <v>18</v>
      </c>
      <c r="L5719" s="8">
        <v>39987.315405092595</v>
      </c>
      <c r="M5719" s="9" t="s">
        <v>19</v>
      </c>
      <c r="N5719" s="9" t="s">
        <v>20</v>
      </c>
      <c r="O5719" s="6" t="str">
        <f>HYPERLINK("https://pbs.twimg.com/profile_images/962471262747529216/Uo8lOkRJ_normal.jpg","View")</f>
        <v>View</v>
      </c>
      <c r="P5719" s="7"/>
    </row>
    <row r="5720" spans="1:16">
      <c r="A5720" s="3">
        <v>43959.8909837963</v>
      </c>
      <c r="B5720" s="4" t="str">
        <f>HYPERLINK("https://twitter.com/petrogustavo","@petrogustavo")</f>
        <v>@petrogustavo</v>
      </c>
      <c r="C5720" s="5" t="s">
        <v>16</v>
      </c>
      <c r="D5720" s="5" t="s">
        <v>5563</v>
      </c>
      <c r="E5720" s="6" t="str">
        <f>HYPERLINK("https://twitter.com/petrogustavo/status/1258786997092659208","1258786997092659208")</f>
        <v>1258786997092659208</v>
      </c>
      <c r="F5720" s="7" t="s">
        <v>32</v>
      </c>
      <c r="G5720" s="7">
        <v>3820548</v>
      </c>
      <c r="H5720" s="7">
        <v>2401</v>
      </c>
      <c r="I5720" s="7">
        <v>627</v>
      </c>
      <c r="J5720" s="7">
        <v>0</v>
      </c>
      <c r="K5720" s="7" t="s">
        <v>18</v>
      </c>
      <c r="L5720" s="8">
        <v>39987.315405092595</v>
      </c>
      <c r="M5720" s="9" t="s">
        <v>19</v>
      </c>
      <c r="N5720" s="9" t="s">
        <v>20</v>
      </c>
      <c r="O5720" s="6" t="str">
        <f>HYPERLINK("https://pbs.twimg.com/profile_images/962471262747529216/Uo8lOkRJ_normal.jpg","View")</f>
        <v>View</v>
      </c>
      <c r="P5720" s="7"/>
    </row>
    <row r="5721" spans="1:16">
      <c r="A5721" s="3">
        <v>43959.897048611107</v>
      </c>
      <c r="B5721" s="4" t="str">
        <f>HYPERLINK("https://twitter.com/petrogustavo","@petrogustavo")</f>
        <v>@petrogustavo</v>
      </c>
      <c r="C5721" s="5" t="s">
        <v>16</v>
      </c>
      <c r="D5721" s="5" t="s">
        <v>5564</v>
      </c>
      <c r="E5721" s="6" t="str">
        <f>HYPERLINK("https://twitter.com/petrogustavo/status/1258789192915718150","1258789192915718150")</f>
        <v>1258789192915718150</v>
      </c>
      <c r="F5721" s="7" t="s">
        <v>17</v>
      </c>
      <c r="G5721" s="7">
        <v>3820548</v>
      </c>
      <c r="H5721" s="7">
        <v>2401</v>
      </c>
      <c r="I5721" s="7">
        <v>707</v>
      </c>
      <c r="J5721" s="7">
        <v>0</v>
      </c>
      <c r="K5721" s="7" t="s">
        <v>18</v>
      </c>
      <c r="L5721" s="8">
        <v>39987.315405092595</v>
      </c>
      <c r="M5721" s="9" t="s">
        <v>19</v>
      </c>
      <c r="N5721" s="9" t="s">
        <v>20</v>
      </c>
      <c r="O5721" s="6" t="str">
        <f>HYPERLINK("https://pbs.twimg.com/profile_images/962471262747529216/Uo8lOkRJ_normal.jpg","View")</f>
        <v>View</v>
      </c>
      <c r="P5721" s="7"/>
    </row>
    <row r="5722" spans="1:16">
      <c r="A5722" s="3">
        <v>43959.897662037038</v>
      </c>
      <c r="B5722" s="4" t="str">
        <f>HYPERLINK("https://twitter.com/petrogustavo","@petrogustavo")</f>
        <v>@petrogustavo</v>
      </c>
      <c r="C5722" s="5" t="s">
        <v>16</v>
      </c>
      <c r="D5722" s="5" t="s">
        <v>5565</v>
      </c>
      <c r="E5722" s="6" t="str">
        <f>HYPERLINK("https://twitter.com/petrogustavo/status/1258789415209574401","1258789415209574401")</f>
        <v>1258789415209574401</v>
      </c>
      <c r="F5722" s="7" t="s">
        <v>17</v>
      </c>
      <c r="G5722" s="7">
        <v>3820548</v>
      </c>
      <c r="H5722" s="7">
        <v>2401</v>
      </c>
      <c r="I5722" s="7">
        <v>26</v>
      </c>
      <c r="J5722" s="7">
        <v>0</v>
      </c>
      <c r="K5722" s="7" t="s">
        <v>18</v>
      </c>
      <c r="L5722" s="8">
        <v>39987.315405092595</v>
      </c>
      <c r="M5722" s="9" t="s">
        <v>19</v>
      </c>
      <c r="N5722" s="9" t="s">
        <v>20</v>
      </c>
      <c r="O5722" s="6" t="str">
        <f>HYPERLINK("https://pbs.twimg.com/profile_images/962471262747529216/Uo8lOkRJ_normal.jpg","View")</f>
        <v>View</v>
      </c>
      <c r="P5722" s="7"/>
    </row>
    <row r="5723" spans="1:16">
      <c r="A5723" s="3">
        <v>43959.903726851851</v>
      </c>
      <c r="B5723" s="4" t="str">
        <f>HYPERLINK("https://twitter.com/petrogustavo","@petrogustavo")</f>
        <v>@petrogustavo</v>
      </c>
      <c r="C5723" s="5" t="s">
        <v>16</v>
      </c>
      <c r="D5723" s="5" t="s">
        <v>5566</v>
      </c>
      <c r="E5723" s="6" t="str">
        <f>HYPERLINK("https://twitter.com/petrogustavo/status/1258791615126216706","1258791615126216706")</f>
        <v>1258791615126216706</v>
      </c>
      <c r="F5723" s="7" t="s">
        <v>32</v>
      </c>
      <c r="G5723" s="7">
        <v>3820589</v>
      </c>
      <c r="H5723" s="7">
        <v>2402</v>
      </c>
      <c r="I5723" s="7">
        <v>348</v>
      </c>
      <c r="J5723" s="7">
        <v>0</v>
      </c>
      <c r="K5723" s="7" t="s">
        <v>18</v>
      </c>
      <c r="L5723" s="8">
        <v>39987.315405092595</v>
      </c>
      <c r="M5723" s="9" t="s">
        <v>19</v>
      </c>
      <c r="N5723" s="9" t="s">
        <v>20</v>
      </c>
      <c r="O5723" s="6" t="str">
        <f>HYPERLINK("https://pbs.twimg.com/profile_images/962471262747529216/Uo8lOkRJ_normal.jpg","View")</f>
        <v>View</v>
      </c>
      <c r="P5723" s="7"/>
    </row>
    <row r="5724" spans="1:16">
      <c r="A5724" s="3">
        <v>43959.911550925928</v>
      </c>
      <c r="B5724" s="4" t="str">
        <f>HYPERLINK("https://twitter.com/petrogustavo","@petrogustavo")</f>
        <v>@petrogustavo</v>
      </c>
      <c r="C5724" s="5" t="s">
        <v>16</v>
      </c>
      <c r="D5724" s="5" t="s">
        <v>5567</v>
      </c>
      <c r="E5724" s="6" t="str">
        <f>HYPERLINK("https://twitter.com/petrogustavo/status/1258794448588353536","1258794448588353536")</f>
        <v>1258794448588353536</v>
      </c>
      <c r="F5724" s="7" t="s">
        <v>17</v>
      </c>
      <c r="G5724" s="7">
        <v>3820589</v>
      </c>
      <c r="H5724" s="7">
        <v>2402</v>
      </c>
      <c r="I5724" s="7">
        <v>235</v>
      </c>
      <c r="J5724" s="7">
        <v>578</v>
      </c>
      <c r="K5724" s="7" t="s">
        <v>18</v>
      </c>
      <c r="L5724" s="8">
        <v>39987.315405092595</v>
      </c>
      <c r="M5724" s="9" t="s">
        <v>19</v>
      </c>
      <c r="N5724" s="9" t="s">
        <v>20</v>
      </c>
      <c r="O5724" s="6" t="str">
        <f>HYPERLINK("https://pbs.twimg.com/profile_images/962471262747529216/Uo8lOkRJ_normal.jpg","View")</f>
        <v>View</v>
      </c>
      <c r="P5724" s="7"/>
    </row>
    <row r="5725" spans="1:16">
      <c r="A5725" s="3">
        <v>43960.051192129627</v>
      </c>
      <c r="B5725" s="4" t="str">
        <f>HYPERLINK("https://twitter.com/petrogustavo","@petrogustavo")</f>
        <v>@petrogustavo</v>
      </c>
      <c r="C5725" s="5" t="s">
        <v>16</v>
      </c>
      <c r="D5725" s="5" t="s">
        <v>5568</v>
      </c>
      <c r="E5725" s="6" t="str">
        <f>HYPERLINK("https://twitter.com/petrogustavo/status/1258845054325665794","1258845054325665794")</f>
        <v>1258845054325665794</v>
      </c>
      <c r="F5725" s="7" t="s">
        <v>17</v>
      </c>
      <c r="G5725" s="7">
        <v>3820872</v>
      </c>
      <c r="H5725" s="7">
        <v>2402</v>
      </c>
      <c r="I5725" s="7">
        <v>42</v>
      </c>
      <c r="J5725" s="7">
        <v>0</v>
      </c>
      <c r="K5725" s="7" t="s">
        <v>18</v>
      </c>
      <c r="L5725" s="8">
        <v>39987.315405092595</v>
      </c>
      <c r="M5725" s="9" t="s">
        <v>19</v>
      </c>
      <c r="N5725" s="9" t="s">
        <v>20</v>
      </c>
      <c r="O5725" s="6" t="str">
        <f>HYPERLINK("https://pbs.twimg.com/profile_images/962471262747529216/Uo8lOkRJ_normal.jpg","View")</f>
        <v>View</v>
      </c>
      <c r="P5725" s="7"/>
    </row>
    <row r="5726" spans="1:16">
      <c r="A5726" s="3">
        <v>43960.055833333332</v>
      </c>
      <c r="B5726" s="4" t="str">
        <f>HYPERLINK("https://twitter.com/petrogustavo","@petrogustavo")</f>
        <v>@petrogustavo</v>
      </c>
      <c r="C5726" s="5" t="s">
        <v>16</v>
      </c>
      <c r="D5726" s="5" t="s">
        <v>5569</v>
      </c>
      <c r="E5726" s="6" t="str">
        <f>HYPERLINK("https://twitter.com/petrogustavo/status/1258846735461474306","1258846735461474306")</f>
        <v>1258846735461474306</v>
      </c>
      <c r="F5726" s="7" t="s">
        <v>17</v>
      </c>
      <c r="G5726" s="7">
        <v>3820872</v>
      </c>
      <c r="H5726" s="7">
        <v>2402</v>
      </c>
      <c r="I5726" s="7">
        <v>909</v>
      </c>
      <c r="J5726" s="7">
        <v>0</v>
      </c>
      <c r="K5726" s="7" t="s">
        <v>18</v>
      </c>
      <c r="L5726" s="8">
        <v>39987.315405092595</v>
      </c>
      <c r="M5726" s="9" t="s">
        <v>19</v>
      </c>
      <c r="N5726" s="9" t="s">
        <v>20</v>
      </c>
      <c r="O5726" s="6" t="str">
        <f>HYPERLINK("https://pbs.twimg.com/profile_images/962471262747529216/Uo8lOkRJ_normal.jpg","View")</f>
        <v>View</v>
      </c>
      <c r="P5726" s="7"/>
    </row>
    <row r="5727" spans="1:16">
      <c r="A5727" s="3">
        <v>43960.064756944441</v>
      </c>
      <c r="B5727" s="4" t="str">
        <f>HYPERLINK("https://twitter.com/petrogustavo","@petrogustavo")</f>
        <v>@petrogustavo</v>
      </c>
      <c r="C5727" s="5" t="s">
        <v>16</v>
      </c>
      <c r="D5727" s="5" t="s">
        <v>5570</v>
      </c>
      <c r="E5727" s="6" t="str">
        <f>HYPERLINK("https://twitter.com/petrogustavo/status/1258849967445245954","1258849967445245954")</f>
        <v>1258849967445245954</v>
      </c>
      <c r="F5727" s="7" t="s">
        <v>17</v>
      </c>
      <c r="G5727" s="7">
        <v>3820918</v>
      </c>
      <c r="H5727" s="7">
        <v>2402</v>
      </c>
      <c r="I5727" s="7">
        <v>236</v>
      </c>
      <c r="J5727" s="7">
        <v>500</v>
      </c>
      <c r="K5727" s="7" t="s">
        <v>18</v>
      </c>
      <c r="L5727" s="8">
        <v>39987.315405092595</v>
      </c>
      <c r="M5727" s="9" t="s">
        <v>19</v>
      </c>
      <c r="N5727" s="9" t="s">
        <v>20</v>
      </c>
      <c r="O5727" s="6" t="str">
        <f>HYPERLINK("https://pbs.twimg.com/profile_images/962471262747529216/Uo8lOkRJ_normal.jpg","View")</f>
        <v>View</v>
      </c>
      <c r="P5727" s="7"/>
    </row>
    <row r="5728" spans="1:16">
      <c r="A5728" s="3">
        <v>43960.195891203708</v>
      </c>
      <c r="B5728" s="4" t="str">
        <f>HYPERLINK("https://twitter.com/petrogustavo","@petrogustavo")</f>
        <v>@petrogustavo</v>
      </c>
      <c r="C5728" s="5" t="s">
        <v>16</v>
      </c>
      <c r="D5728" s="5" t="s">
        <v>5571</v>
      </c>
      <c r="E5728" s="6" t="str">
        <f>HYPERLINK("https://twitter.com/petrogustavo/status/1258897491124203520","1258897491124203520")</f>
        <v>1258897491124203520</v>
      </c>
      <c r="F5728" s="7" t="s">
        <v>17</v>
      </c>
      <c r="G5728" s="7">
        <v>3821138</v>
      </c>
      <c r="H5728" s="7">
        <v>2402</v>
      </c>
      <c r="I5728" s="7">
        <v>43</v>
      </c>
      <c r="J5728" s="7">
        <v>89</v>
      </c>
      <c r="K5728" s="7" t="s">
        <v>18</v>
      </c>
      <c r="L5728" s="8">
        <v>39987.315405092595</v>
      </c>
      <c r="M5728" s="9" t="s">
        <v>19</v>
      </c>
      <c r="N5728" s="9" t="s">
        <v>20</v>
      </c>
      <c r="O5728" s="6" t="str">
        <f>HYPERLINK("https://pbs.twimg.com/profile_images/962471262747529216/Uo8lOkRJ_normal.jpg","View")</f>
        <v>View</v>
      </c>
      <c r="P5728" s="7"/>
    </row>
    <row r="5729" spans="1:16">
      <c r="A5729" s="3">
        <v>43960.196180555555</v>
      </c>
      <c r="B5729" s="4" t="str">
        <f>HYPERLINK("https://twitter.com/petrogustavo","@petrogustavo")</f>
        <v>@petrogustavo</v>
      </c>
      <c r="C5729" s="5" t="s">
        <v>16</v>
      </c>
      <c r="D5729" s="5" t="s">
        <v>5572</v>
      </c>
      <c r="E5729" s="6" t="str">
        <f>HYPERLINK("https://twitter.com/petrogustavo/status/1258897594773843969","1258897594773843969")</f>
        <v>1258897594773843969</v>
      </c>
      <c r="F5729" s="7" t="s">
        <v>17</v>
      </c>
      <c r="G5729" s="7">
        <v>3821138</v>
      </c>
      <c r="H5729" s="7">
        <v>2402</v>
      </c>
      <c r="I5729" s="7">
        <v>15</v>
      </c>
      <c r="J5729" s="7">
        <v>0</v>
      </c>
      <c r="K5729" s="7" t="s">
        <v>18</v>
      </c>
      <c r="L5729" s="8">
        <v>39987.315405092595</v>
      </c>
      <c r="M5729" s="9" t="s">
        <v>19</v>
      </c>
      <c r="N5729" s="9" t="s">
        <v>20</v>
      </c>
      <c r="O5729" s="6" t="str">
        <f>HYPERLINK("https://pbs.twimg.com/profile_images/962471262747529216/Uo8lOkRJ_normal.jpg","View")</f>
        <v>View</v>
      </c>
      <c r="P5729" s="7"/>
    </row>
    <row r="5730" spans="1:16">
      <c r="A5730" s="3">
        <v>43960.197094907402</v>
      </c>
      <c r="B5730" s="4" t="str">
        <f>HYPERLINK("https://twitter.com/petrogustavo","@petrogustavo")</f>
        <v>@petrogustavo</v>
      </c>
      <c r="C5730" s="5" t="s">
        <v>16</v>
      </c>
      <c r="D5730" s="5" t="s">
        <v>5573</v>
      </c>
      <c r="E5730" s="6" t="str">
        <f>HYPERLINK("https://twitter.com/petrogustavo/status/1258897926551633920","1258897926551633920")</f>
        <v>1258897926551633920</v>
      </c>
      <c r="F5730" s="7" t="s">
        <v>17</v>
      </c>
      <c r="G5730" s="7">
        <v>3821138</v>
      </c>
      <c r="H5730" s="7">
        <v>2402</v>
      </c>
      <c r="I5730" s="7">
        <v>289</v>
      </c>
      <c r="J5730" s="7">
        <v>0</v>
      </c>
      <c r="K5730" s="7" t="s">
        <v>18</v>
      </c>
      <c r="L5730" s="8">
        <v>39987.315405092595</v>
      </c>
      <c r="M5730" s="9" t="s">
        <v>19</v>
      </c>
      <c r="N5730" s="9" t="s">
        <v>20</v>
      </c>
      <c r="O5730" s="6" t="str">
        <f>HYPERLINK("https://pbs.twimg.com/profile_images/962471262747529216/Uo8lOkRJ_normal.jpg","View")</f>
        <v>View</v>
      </c>
      <c r="P5730" s="7"/>
    </row>
    <row r="5731" spans="1:16">
      <c r="A5731" s="3">
        <v>43960.202731481477</v>
      </c>
      <c r="B5731" s="4" t="str">
        <f>HYPERLINK("https://twitter.com/petrogustavo","@petrogustavo")</f>
        <v>@petrogustavo</v>
      </c>
      <c r="C5731" s="5" t="s">
        <v>16</v>
      </c>
      <c r="D5731" s="5" t="s">
        <v>5574</v>
      </c>
      <c r="E5731" s="6" t="str">
        <f>HYPERLINK("https://twitter.com/petrogustavo/status/1258899967374131202","1258899967374131202")</f>
        <v>1258899967374131202</v>
      </c>
      <c r="F5731" s="7" t="s">
        <v>17</v>
      </c>
      <c r="G5731" s="7">
        <v>3821138</v>
      </c>
      <c r="H5731" s="7">
        <v>2402</v>
      </c>
      <c r="I5731" s="7">
        <v>86</v>
      </c>
      <c r="J5731" s="7">
        <v>121</v>
      </c>
      <c r="K5731" s="7" t="s">
        <v>18</v>
      </c>
      <c r="L5731" s="8">
        <v>39987.315405092595</v>
      </c>
      <c r="M5731" s="9" t="s">
        <v>19</v>
      </c>
      <c r="N5731" s="9" t="s">
        <v>20</v>
      </c>
      <c r="O5731" s="6" t="str">
        <f>HYPERLINK("https://pbs.twimg.com/profile_images/962471262747529216/Uo8lOkRJ_normal.jpg","View")</f>
        <v>View</v>
      </c>
      <c r="P5731" s="7"/>
    </row>
    <row r="5732" spans="1:16">
      <c r="A5732" s="3">
        <v>43960.21</v>
      </c>
      <c r="B5732" s="4" t="str">
        <f>HYPERLINK("https://twitter.com/petrogustavo","@petrogustavo")</f>
        <v>@petrogustavo</v>
      </c>
      <c r="C5732" s="5" t="s">
        <v>16</v>
      </c>
      <c r="D5732" s="5" t="s">
        <v>5575</v>
      </c>
      <c r="E5732" s="6" t="str">
        <f>HYPERLINK("https://twitter.com/petrogustavo/status/1258902601480970243","1258902601480970243")</f>
        <v>1258902601480970243</v>
      </c>
      <c r="F5732" s="7" t="s">
        <v>17</v>
      </c>
      <c r="G5732" s="7">
        <v>3821138</v>
      </c>
      <c r="H5732" s="7">
        <v>2402</v>
      </c>
      <c r="I5732" s="7">
        <v>15</v>
      </c>
      <c r="J5732" s="7">
        <v>28</v>
      </c>
      <c r="K5732" s="7" t="s">
        <v>18</v>
      </c>
      <c r="L5732" s="8">
        <v>39987.315405092595</v>
      </c>
      <c r="M5732" s="9" t="s">
        <v>19</v>
      </c>
      <c r="N5732" s="9" t="s">
        <v>20</v>
      </c>
      <c r="O5732" s="6" t="str">
        <f>HYPERLINK("https://pbs.twimg.com/profile_images/962471262747529216/Uo8lOkRJ_normal.jpg","View")</f>
        <v>View</v>
      </c>
      <c r="P5732" s="7"/>
    </row>
    <row r="5733" spans="1:16">
      <c r="A5733" s="3">
        <v>43960.285879629635</v>
      </c>
      <c r="B5733" s="4" t="str">
        <f>HYPERLINK("https://twitter.com/petrogustavo","@petrogustavo")</f>
        <v>@petrogustavo</v>
      </c>
      <c r="C5733" s="5" t="s">
        <v>16</v>
      </c>
      <c r="D5733" s="5" t="s">
        <v>5576</v>
      </c>
      <c r="E5733" s="6" t="str">
        <f>HYPERLINK("https://twitter.com/petrogustavo/status/1258930102966026248","1258930102966026248")</f>
        <v>1258930102966026248</v>
      </c>
      <c r="F5733" s="7" t="s">
        <v>17</v>
      </c>
      <c r="G5733" s="7">
        <v>3821318</v>
      </c>
      <c r="H5733" s="7">
        <v>2402</v>
      </c>
      <c r="I5733" s="7">
        <v>34</v>
      </c>
      <c r="J5733" s="7">
        <v>0</v>
      </c>
      <c r="K5733" s="7" t="s">
        <v>18</v>
      </c>
      <c r="L5733" s="8">
        <v>39987.315405092595</v>
      </c>
      <c r="M5733" s="9" t="s">
        <v>19</v>
      </c>
      <c r="N5733" s="9" t="s">
        <v>20</v>
      </c>
      <c r="O5733" s="6" t="str">
        <f>HYPERLINK("https://pbs.twimg.com/profile_images/962471262747529216/Uo8lOkRJ_normal.jpg","View")</f>
        <v>View</v>
      </c>
      <c r="P5733" s="7"/>
    </row>
    <row r="5734" spans="1:16">
      <c r="A5734" s="3">
        <v>43960.898645833338</v>
      </c>
      <c r="B5734" s="4" t="str">
        <f>HYPERLINK("https://twitter.com/petrogustavo","@petrogustavo")</f>
        <v>@petrogustavo</v>
      </c>
      <c r="C5734" s="5" t="s">
        <v>16</v>
      </c>
      <c r="D5734" s="5" t="s">
        <v>5577</v>
      </c>
      <c r="E5734" s="6" t="str">
        <f>HYPERLINK("https://twitter.com/petrogustavo/status/1259152160291532800","1259152160291532800")</f>
        <v>1259152160291532800</v>
      </c>
      <c r="F5734" s="7" t="s">
        <v>17</v>
      </c>
      <c r="G5734" s="7">
        <v>3822026</v>
      </c>
      <c r="H5734" s="7">
        <v>2402</v>
      </c>
      <c r="I5734" s="7">
        <v>21</v>
      </c>
      <c r="J5734" s="7">
        <v>0</v>
      </c>
      <c r="K5734" s="7" t="s">
        <v>18</v>
      </c>
      <c r="L5734" s="8">
        <v>39987.315405092595</v>
      </c>
      <c r="M5734" s="9" t="s">
        <v>19</v>
      </c>
      <c r="N5734" s="9" t="s">
        <v>20</v>
      </c>
      <c r="O5734" s="6" t="str">
        <f>HYPERLINK("https://pbs.twimg.com/profile_images/962471262747529216/Uo8lOkRJ_normal.jpg","View")</f>
        <v>View</v>
      </c>
      <c r="P5734" s="7"/>
    </row>
    <row r="5735" spans="1:16">
      <c r="A5735" s="3">
        <v>43960.900092592594</v>
      </c>
      <c r="B5735" s="4" t="str">
        <f>HYPERLINK("https://twitter.com/petrogustavo","@petrogustavo")</f>
        <v>@petrogustavo</v>
      </c>
      <c r="C5735" s="5" t="s">
        <v>16</v>
      </c>
      <c r="D5735" s="5" t="s">
        <v>5578</v>
      </c>
      <c r="E5735" s="6" t="str">
        <f>HYPERLINK("https://twitter.com/petrogustavo/status/1259152684218757123","1259152684218757123")</f>
        <v>1259152684218757123</v>
      </c>
      <c r="F5735" s="7" t="s">
        <v>17</v>
      </c>
      <c r="G5735" s="7">
        <v>3822026</v>
      </c>
      <c r="H5735" s="7">
        <v>2402</v>
      </c>
      <c r="I5735" s="7">
        <v>46</v>
      </c>
      <c r="J5735" s="7">
        <v>139</v>
      </c>
      <c r="K5735" s="7" t="s">
        <v>18</v>
      </c>
      <c r="L5735" s="8">
        <v>39987.315405092595</v>
      </c>
      <c r="M5735" s="9" t="s">
        <v>19</v>
      </c>
      <c r="N5735" s="9" t="s">
        <v>20</v>
      </c>
      <c r="O5735" s="6" t="str">
        <f>HYPERLINK("https://pbs.twimg.com/profile_images/962471262747529216/Uo8lOkRJ_normal.jpg","View")</f>
        <v>View</v>
      </c>
      <c r="P5735" s="7"/>
    </row>
    <row r="5736" spans="1:16">
      <c r="A5736" s="3">
        <v>43960.905740740738</v>
      </c>
      <c r="B5736" s="4" t="str">
        <f>HYPERLINK("https://twitter.com/petrogustavo","@petrogustavo")</f>
        <v>@petrogustavo</v>
      </c>
      <c r="C5736" s="5" t="s">
        <v>16</v>
      </c>
      <c r="D5736" s="5" t="s">
        <v>5579</v>
      </c>
      <c r="E5736" s="6" t="str">
        <f>HYPERLINK("https://twitter.com/petrogustavo/status/1259154730401628168","1259154730401628168")</f>
        <v>1259154730401628168</v>
      </c>
      <c r="F5736" s="7" t="s">
        <v>17</v>
      </c>
      <c r="G5736" s="7">
        <v>3822026</v>
      </c>
      <c r="H5736" s="7">
        <v>2402</v>
      </c>
      <c r="I5736" s="7">
        <v>48</v>
      </c>
      <c r="J5736" s="7">
        <v>124</v>
      </c>
      <c r="K5736" s="7" t="s">
        <v>18</v>
      </c>
      <c r="L5736" s="8">
        <v>39987.315405092595</v>
      </c>
      <c r="M5736" s="9" t="s">
        <v>19</v>
      </c>
      <c r="N5736" s="9" t="s">
        <v>20</v>
      </c>
      <c r="O5736" s="6" t="str">
        <f>HYPERLINK("https://pbs.twimg.com/profile_images/962471262747529216/Uo8lOkRJ_normal.jpg","View")</f>
        <v>View</v>
      </c>
      <c r="P5736" s="7"/>
    </row>
    <row r="5737" spans="1:16">
      <c r="A5737" s="3">
        <v>43960.909062499995</v>
      </c>
      <c r="B5737" s="4" t="str">
        <f>HYPERLINK("https://twitter.com/petrogustavo","@petrogustavo")</f>
        <v>@petrogustavo</v>
      </c>
      <c r="C5737" s="5" t="s">
        <v>16</v>
      </c>
      <c r="D5737" s="5" t="s">
        <v>5580</v>
      </c>
      <c r="E5737" s="6" t="str">
        <f>HYPERLINK("https://twitter.com/petrogustavo/status/1259155936893112321","1259155936893112321")</f>
        <v>1259155936893112321</v>
      </c>
      <c r="F5737" s="7" t="s">
        <v>17</v>
      </c>
      <c r="G5737" s="7">
        <v>3822026</v>
      </c>
      <c r="H5737" s="7">
        <v>2402</v>
      </c>
      <c r="I5737" s="7">
        <v>79</v>
      </c>
      <c r="J5737" s="7">
        <v>169</v>
      </c>
      <c r="K5737" s="7" t="s">
        <v>18</v>
      </c>
      <c r="L5737" s="8">
        <v>39987.315405092595</v>
      </c>
      <c r="M5737" s="9" t="s">
        <v>19</v>
      </c>
      <c r="N5737" s="9" t="s">
        <v>20</v>
      </c>
      <c r="O5737" s="6" t="str">
        <f>HYPERLINK("https://pbs.twimg.com/profile_images/962471262747529216/Uo8lOkRJ_normal.jpg","View")</f>
        <v>View</v>
      </c>
      <c r="P5737" s="7"/>
    </row>
    <row r="5738" spans="1:16">
      <c r="A5738" s="3">
        <v>43960.911307870367</v>
      </c>
      <c r="B5738" s="4" t="str">
        <f>HYPERLINK("https://twitter.com/petrogustavo","@petrogustavo")</f>
        <v>@petrogustavo</v>
      </c>
      <c r="C5738" s="5" t="s">
        <v>16</v>
      </c>
      <c r="D5738" s="5" t="s">
        <v>5581</v>
      </c>
      <c r="E5738" s="6" t="str">
        <f>HYPERLINK("https://twitter.com/petrogustavo/status/1259156747652157444","1259156747652157444")</f>
        <v>1259156747652157444</v>
      </c>
      <c r="F5738" s="7" t="s">
        <v>17</v>
      </c>
      <c r="G5738" s="7">
        <v>3822026</v>
      </c>
      <c r="H5738" s="7">
        <v>2402</v>
      </c>
      <c r="I5738" s="7">
        <v>198</v>
      </c>
      <c r="J5738" s="7">
        <v>528</v>
      </c>
      <c r="K5738" s="7" t="s">
        <v>18</v>
      </c>
      <c r="L5738" s="8">
        <v>39987.315405092595</v>
      </c>
      <c r="M5738" s="9" t="s">
        <v>19</v>
      </c>
      <c r="N5738" s="9" t="s">
        <v>20</v>
      </c>
      <c r="O5738" s="6" t="str">
        <f>HYPERLINK("https://pbs.twimg.com/profile_images/962471262747529216/Uo8lOkRJ_normal.jpg","View")</f>
        <v>View</v>
      </c>
      <c r="P5738" s="7"/>
    </row>
    <row r="5739" spans="1:16">
      <c r="A5739" s="3">
        <v>43960.933888888889</v>
      </c>
      <c r="B5739" s="4" t="str">
        <f>HYPERLINK("https://twitter.com/petrogustavo","@petrogustavo")</f>
        <v>@petrogustavo</v>
      </c>
      <c r="C5739" s="5" t="s">
        <v>16</v>
      </c>
      <c r="D5739" s="5" t="s">
        <v>5582</v>
      </c>
      <c r="E5739" s="6" t="str">
        <f>HYPERLINK("https://twitter.com/petrogustavo/status/1259164932085604359","1259164932085604359")</f>
        <v>1259164932085604359</v>
      </c>
      <c r="F5739" s="7" t="s">
        <v>32</v>
      </c>
      <c r="G5739" s="7">
        <v>3822050</v>
      </c>
      <c r="H5739" s="7">
        <v>2402</v>
      </c>
      <c r="I5739" s="7">
        <v>95</v>
      </c>
      <c r="J5739" s="7">
        <v>184</v>
      </c>
      <c r="K5739" s="7" t="s">
        <v>18</v>
      </c>
      <c r="L5739" s="8">
        <v>39987.315405092595</v>
      </c>
      <c r="M5739" s="9" t="s">
        <v>19</v>
      </c>
      <c r="N5739" s="9" t="s">
        <v>20</v>
      </c>
      <c r="O5739" s="6" t="str">
        <f>HYPERLINK("https://pbs.twimg.com/profile_images/962471262747529216/Uo8lOkRJ_normal.jpg","View")</f>
        <v>View</v>
      </c>
      <c r="P5739" s="7"/>
    </row>
    <row r="5740" spans="1:16">
      <c r="A5740" s="3">
        <v>43961.218032407407</v>
      </c>
      <c r="B5740" s="4" t="str">
        <f>HYPERLINK("https://twitter.com/petrogustavo","@petrogustavo")</f>
        <v>@petrogustavo</v>
      </c>
      <c r="C5740" s="5" t="s">
        <v>16</v>
      </c>
      <c r="D5740" s="5" t="s">
        <v>5583</v>
      </c>
      <c r="E5740" s="6" t="str">
        <f>HYPERLINK("https://twitter.com/petrogustavo/status/1259267901703536640","1259267901703536640")</f>
        <v>1259267901703536640</v>
      </c>
      <c r="F5740" s="7" t="s">
        <v>32</v>
      </c>
      <c r="G5740" s="7">
        <v>3822414</v>
      </c>
      <c r="H5740" s="7">
        <v>2402</v>
      </c>
      <c r="I5740" s="7">
        <v>1623</v>
      </c>
      <c r="J5740" s="7">
        <v>0</v>
      </c>
      <c r="K5740" s="7" t="s">
        <v>18</v>
      </c>
      <c r="L5740" s="8">
        <v>39987.315405092595</v>
      </c>
      <c r="M5740" s="9" t="s">
        <v>19</v>
      </c>
      <c r="N5740" s="9" t="s">
        <v>20</v>
      </c>
      <c r="O5740" s="6" t="str">
        <f>HYPERLINK("https://pbs.twimg.com/profile_images/962471262747529216/Uo8lOkRJ_normal.jpg","View")</f>
        <v>View</v>
      </c>
      <c r="P5740" s="7"/>
    </row>
    <row r="5741" spans="1:16">
      <c r="A5741" s="3">
        <v>43961.291967592595</v>
      </c>
      <c r="B5741" s="4" t="str">
        <f>HYPERLINK("https://twitter.com/petrogustavo","@petrogustavo")</f>
        <v>@petrogustavo</v>
      </c>
      <c r="C5741" s="5" t="s">
        <v>16</v>
      </c>
      <c r="D5741" s="5" t="s">
        <v>5584</v>
      </c>
      <c r="E5741" s="6" t="str">
        <f>HYPERLINK("https://twitter.com/petrogustavo/status/1259294694246428673","1259294694246428673")</f>
        <v>1259294694246428673</v>
      </c>
      <c r="F5741" s="7" t="s">
        <v>21</v>
      </c>
      <c r="G5741" s="7">
        <v>3822501</v>
      </c>
      <c r="H5741" s="7">
        <v>2402</v>
      </c>
      <c r="I5741" s="7">
        <v>16</v>
      </c>
      <c r="J5741" s="7">
        <v>50</v>
      </c>
      <c r="K5741" s="7" t="s">
        <v>18</v>
      </c>
      <c r="L5741" s="8">
        <v>39987.315405092595</v>
      </c>
      <c r="M5741" s="9" t="s">
        <v>19</v>
      </c>
      <c r="N5741" s="9" t="s">
        <v>20</v>
      </c>
      <c r="O5741" s="6" t="str">
        <f>HYPERLINK("https://pbs.twimg.com/profile_images/962471262747529216/Uo8lOkRJ_normal.jpg","View")</f>
        <v>View</v>
      </c>
      <c r="P5741" s="7"/>
    </row>
    <row r="5742" spans="1:16">
      <c r="A5742" s="3">
        <v>43961.294178240743</v>
      </c>
      <c r="B5742" s="4" t="str">
        <f>HYPERLINK("https://twitter.com/petrogustavo","@petrogustavo")</f>
        <v>@petrogustavo</v>
      </c>
      <c r="C5742" s="5" t="s">
        <v>16</v>
      </c>
      <c r="D5742" s="5" t="s">
        <v>5585</v>
      </c>
      <c r="E5742" s="6" t="str">
        <f>HYPERLINK("https://twitter.com/petrogustavo/status/1259295497791176704","1259295497791176704")</f>
        <v>1259295497791176704</v>
      </c>
      <c r="F5742" s="7" t="s">
        <v>32</v>
      </c>
      <c r="G5742" s="7">
        <v>3822515</v>
      </c>
      <c r="H5742" s="7">
        <v>2402</v>
      </c>
      <c r="I5742" s="7">
        <v>450</v>
      </c>
      <c r="J5742" s="7">
        <v>0</v>
      </c>
      <c r="K5742" s="7" t="s">
        <v>18</v>
      </c>
      <c r="L5742" s="8">
        <v>39987.315405092595</v>
      </c>
      <c r="M5742" s="9" t="s">
        <v>19</v>
      </c>
      <c r="N5742" s="9" t="s">
        <v>20</v>
      </c>
      <c r="O5742" s="6" t="str">
        <f>HYPERLINK("https://pbs.twimg.com/profile_images/962471262747529216/Uo8lOkRJ_normal.jpg","View")</f>
        <v>View</v>
      </c>
      <c r="P5742" s="7"/>
    </row>
    <row r="5743" spans="1:16">
      <c r="A5743" s="3">
        <v>43961.294652777782</v>
      </c>
      <c r="B5743" s="4" t="str">
        <f>HYPERLINK("https://twitter.com/petrogustavo","@petrogustavo")</f>
        <v>@petrogustavo</v>
      </c>
      <c r="C5743" s="5" t="s">
        <v>16</v>
      </c>
      <c r="D5743" s="5" t="s">
        <v>5586</v>
      </c>
      <c r="E5743" s="6" t="str">
        <f>HYPERLINK("https://twitter.com/petrogustavo/status/1259295666205011972","1259295666205011972")</f>
        <v>1259295666205011972</v>
      </c>
      <c r="F5743" s="7" t="s">
        <v>32</v>
      </c>
      <c r="G5743" s="7">
        <v>3822515</v>
      </c>
      <c r="H5743" s="7">
        <v>2402</v>
      </c>
      <c r="I5743" s="7">
        <v>119</v>
      </c>
      <c r="J5743" s="7">
        <v>0</v>
      </c>
      <c r="K5743" s="7" t="s">
        <v>18</v>
      </c>
      <c r="L5743" s="8">
        <v>39987.315405092595</v>
      </c>
      <c r="M5743" s="9" t="s">
        <v>19</v>
      </c>
      <c r="N5743" s="9" t="s">
        <v>20</v>
      </c>
      <c r="O5743" s="6" t="str">
        <f>HYPERLINK("https://pbs.twimg.com/profile_images/962471262747529216/Uo8lOkRJ_normal.jpg","View")</f>
        <v>View</v>
      </c>
      <c r="P5743" s="7"/>
    </row>
    <row r="5744" spans="1:16">
      <c r="A5744" s="3">
        <v>43961.783171296294</v>
      </c>
      <c r="B5744" s="4" t="str">
        <f>HYPERLINK("https://twitter.com/petrogustavo","@petrogustavo")</f>
        <v>@petrogustavo</v>
      </c>
      <c r="C5744" s="5" t="s">
        <v>16</v>
      </c>
      <c r="D5744" s="5" t="s">
        <v>5586</v>
      </c>
      <c r="E5744" s="6" t="str">
        <f>HYPERLINK("https://twitter.com/petrogustavo/status/1259472700361322499","1259472700361322499")</f>
        <v>1259472700361322499</v>
      </c>
      <c r="F5744" s="7" t="s">
        <v>17</v>
      </c>
      <c r="G5744" s="7">
        <v>3822869</v>
      </c>
      <c r="H5744" s="7">
        <v>2402</v>
      </c>
      <c r="I5744" s="7">
        <v>577</v>
      </c>
      <c r="J5744" s="7">
        <v>0</v>
      </c>
      <c r="K5744" s="7" t="s">
        <v>18</v>
      </c>
      <c r="L5744" s="8">
        <v>39987.315405092595</v>
      </c>
      <c r="M5744" s="9" t="s">
        <v>19</v>
      </c>
      <c r="N5744" s="9" t="s">
        <v>20</v>
      </c>
      <c r="O5744" s="6" t="str">
        <f>HYPERLINK("https://pbs.twimg.com/profile_images/962471262747529216/Uo8lOkRJ_normal.jpg","View")</f>
        <v>View</v>
      </c>
      <c r="P5744" s="7"/>
    </row>
    <row r="5745" spans="1:16">
      <c r="A5745" s="3">
        <v>43961.848391203705</v>
      </c>
      <c r="B5745" s="4" t="str">
        <f>HYPERLINK("https://twitter.com/petrogustavo","@petrogustavo")</f>
        <v>@petrogustavo</v>
      </c>
      <c r="C5745" s="5" t="s">
        <v>16</v>
      </c>
      <c r="D5745" s="5" t="s">
        <v>5587</v>
      </c>
      <c r="E5745" s="6" t="str">
        <f>HYPERLINK("https://twitter.com/petrogustavo/status/1259496334819831808","1259496334819831808")</f>
        <v>1259496334819831808</v>
      </c>
      <c r="F5745" s="7" t="s">
        <v>32</v>
      </c>
      <c r="G5745" s="7">
        <v>3822912</v>
      </c>
      <c r="H5745" s="7">
        <v>2402</v>
      </c>
      <c r="I5745" s="7">
        <v>60</v>
      </c>
      <c r="J5745" s="7">
        <v>131</v>
      </c>
      <c r="K5745" s="7" t="s">
        <v>18</v>
      </c>
      <c r="L5745" s="8">
        <v>39987.315405092595</v>
      </c>
      <c r="M5745" s="9" t="s">
        <v>19</v>
      </c>
      <c r="N5745" s="9" t="s">
        <v>20</v>
      </c>
      <c r="O5745" s="6" t="str">
        <f>HYPERLINK("https://pbs.twimg.com/profile_images/962471262747529216/Uo8lOkRJ_normal.jpg","View")</f>
        <v>View</v>
      </c>
      <c r="P5745" s="7"/>
    </row>
    <row r="5746" spans="1:16">
      <c r="A5746" s="3">
        <v>43961.85055555556</v>
      </c>
      <c r="B5746" s="4" t="str">
        <f>HYPERLINK("https://twitter.com/petrogustavo","@petrogustavo")</f>
        <v>@petrogustavo</v>
      </c>
      <c r="C5746" s="5" t="s">
        <v>16</v>
      </c>
      <c r="D5746" s="5" t="s">
        <v>5588</v>
      </c>
      <c r="E5746" s="6" t="str">
        <f>HYPERLINK("https://twitter.com/petrogustavo/status/1259497122325565444","1259497122325565444")</f>
        <v>1259497122325565444</v>
      </c>
      <c r="F5746" s="7" t="s">
        <v>32</v>
      </c>
      <c r="G5746" s="7">
        <v>3822912</v>
      </c>
      <c r="H5746" s="7">
        <v>2402</v>
      </c>
      <c r="I5746" s="7">
        <v>78</v>
      </c>
      <c r="J5746" s="7">
        <v>0</v>
      </c>
      <c r="K5746" s="7" t="s">
        <v>18</v>
      </c>
      <c r="L5746" s="8">
        <v>39987.315405092595</v>
      </c>
      <c r="M5746" s="9" t="s">
        <v>19</v>
      </c>
      <c r="N5746" s="9" t="s">
        <v>20</v>
      </c>
      <c r="O5746" s="6" t="str">
        <f>HYPERLINK("https://pbs.twimg.com/profile_images/962471262747529216/Uo8lOkRJ_normal.jpg","View")</f>
        <v>View</v>
      </c>
      <c r="P5746" s="7"/>
    </row>
    <row r="5747" spans="1:16">
      <c r="A5747" s="3">
        <v>43961.853055555555</v>
      </c>
      <c r="B5747" s="4" t="str">
        <f>HYPERLINK("https://twitter.com/petrogustavo","@petrogustavo")</f>
        <v>@petrogustavo</v>
      </c>
      <c r="C5747" s="5" t="s">
        <v>16</v>
      </c>
      <c r="D5747" s="5" t="s">
        <v>5589</v>
      </c>
      <c r="E5747" s="6" t="str">
        <f>HYPERLINK("https://twitter.com/petrogustavo/status/1259498025023668225","1259498025023668225")</f>
        <v>1259498025023668225</v>
      </c>
      <c r="F5747" s="7" t="s">
        <v>32</v>
      </c>
      <c r="G5747" s="7">
        <v>3822912</v>
      </c>
      <c r="H5747" s="7">
        <v>2402</v>
      </c>
      <c r="I5747" s="7">
        <v>75</v>
      </c>
      <c r="J5747" s="7">
        <v>174</v>
      </c>
      <c r="K5747" s="7" t="s">
        <v>18</v>
      </c>
      <c r="L5747" s="8">
        <v>39987.315405092595</v>
      </c>
      <c r="M5747" s="9" t="s">
        <v>19</v>
      </c>
      <c r="N5747" s="9" t="s">
        <v>20</v>
      </c>
      <c r="O5747" s="6" t="str">
        <f>HYPERLINK("https://pbs.twimg.com/profile_images/962471262747529216/Uo8lOkRJ_normal.jpg","View")</f>
        <v>View</v>
      </c>
      <c r="P5747" s="7"/>
    </row>
    <row r="5748" spans="1:16">
      <c r="A5748" s="3">
        <v>43961.85565972222</v>
      </c>
      <c r="B5748" s="4" t="str">
        <f>HYPERLINK("https://twitter.com/petrogustavo","@petrogustavo")</f>
        <v>@petrogustavo</v>
      </c>
      <c r="C5748" s="5" t="s">
        <v>16</v>
      </c>
      <c r="D5748" s="5" t="s">
        <v>5590</v>
      </c>
      <c r="E5748" s="6" t="str">
        <f>HYPERLINK("https://twitter.com/petrogustavo/status/1259498969471819777","1259498969471819777")</f>
        <v>1259498969471819777</v>
      </c>
      <c r="F5748" s="7" t="s">
        <v>17</v>
      </c>
      <c r="G5748" s="7">
        <v>3822912</v>
      </c>
      <c r="H5748" s="7">
        <v>2402</v>
      </c>
      <c r="I5748" s="7">
        <v>0</v>
      </c>
      <c r="J5748" s="7">
        <v>0</v>
      </c>
      <c r="K5748" s="7" t="s">
        <v>18</v>
      </c>
      <c r="L5748" s="8">
        <v>39987.315405092595</v>
      </c>
      <c r="M5748" s="9" t="s">
        <v>19</v>
      </c>
      <c r="N5748" s="9" t="s">
        <v>20</v>
      </c>
      <c r="O5748" s="6" t="str">
        <f>HYPERLINK("https://pbs.twimg.com/profile_images/962471262747529216/Uo8lOkRJ_normal.jpg","View")</f>
        <v>View</v>
      </c>
      <c r="P5748" s="7"/>
    </row>
    <row r="5749" spans="1:16">
      <c r="A5749" s="3">
        <v>43962.073379629626</v>
      </c>
      <c r="B5749" s="4" t="str">
        <f>HYPERLINK("https://twitter.com/petrogustavo","@petrogustavo")</f>
        <v>@petrogustavo</v>
      </c>
      <c r="C5749" s="5" t="s">
        <v>16</v>
      </c>
      <c r="D5749" s="5" t="s">
        <v>5591</v>
      </c>
      <c r="E5749" s="6" t="str">
        <f>HYPERLINK("https://twitter.com/petrogustavo/status/1259577870424453121","1259577870424453121")</f>
        <v>1259577870424453121</v>
      </c>
      <c r="F5749" s="7" t="s">
        <v>17</v>
      </c>
      <c r="G5749" s="7">
        <v>3823131</v>
      </c>
      <c r="H5749" s="7">
        <v>2402</v>
      </c>
      <c r="I5749" s="7">
        <v>32</v>
      </c>
      <c r="J5749" s="7">
        <v>90</v>
      </c>
      <c r="K5749" s="7" t="s">
        <v>18</v>
      </c>
      <c r="L5749" s="8">
        <v>39987.315405092595</v>
      </c>
      <c r="M5749" s="9" t="s">
        <v>19</v>
      </c>
      <c r="N5749" s="9" t="s">
        <v>20</v>
      </c>
      <c r="O5749" s="6" t="str">
        <f>HYPERLINK("https://pbs.twimg.com/profile_images/962471262747529216/Uo8lOkRJ_normal.jpg","View")</f>
        <v>View</v>
      </c>
      <c r="P5749" s="7"/>
    </row>
    <row r="5750" spans="1:16">
      <c r="A5750" s="3">
        <v>43962.142384259263</v>
      </c>
      <c r="B5750" s="4" t="str">
        <f>HYPERLINK("https://twitter.com/petrogustavo","@petrogustavo")</f>
        <v>@petrogustavo</v>
      </c>
      <c r="C5750" s="5" t="s">
        <v>16</v>
      </c>
      <c r="D5750" s="5" t="s">
        <v>5592</v>
      </c>
      <c r="E5750" s="6" t="str">
        <f>HYPERLINK("https://twitter.com/petrogustavo/status/1259602876244135940","1259602876244135940")</f>
        <v>1259602876244135940</v>
      </c>
      <c r="F5750" s="7" t="s">
        <v>17</v>
      </c>
      <c r="G5750" s="7">
        <v>3823205</v>
      </c>
      <c r="H5750" s="7">
        <v>2402</v>
      </c>
      <c r="I5750" s="7">
        <v>92</v>
      </c>
      <c r="J5750" s="7">
        <v>0</v>
      </c>
      <c r="K5750" s="7" t="s">
        <v>18</v>
      </c>
      <c r="L5750" s="8">
        <v>39987.315405092595</v>
      </c>
      <c r="M5750" s="9" t="s">
        <v>19</v>
      </c>
      <c r="N5750" s="9" t="s">
        <v>20</v>
      </c>
      <c r="O5750" s="6" t="str">
        <f>HYPERLINK("https://pbs.twimg.com/profile_images/962471262747529216/Uo8lOkRJ_normal.jpg","View")</f>
        <v>View</v>
      </c>
      <c r="P5750" s="7"/>
    </row>
    <row r="5751" spans="1:16">
      <c r="A5751" s="3">
        <v>43962.176562499997</v>
      </c>
      <c r="B5751" s="4" t="str">
        <f>HYPERLINK("https://twitter.com/petrogustavo","@petrogustavo")</f>
        <v>@petrogustavo</v>
      </c>
      <c r="C5751" s="5" t="s">
        <v>16</v>
      </c>
      <c r="D5751" s="5" t="s">
        <v>5593</v>
      </c>
      <c r="E5751" s="6" t="str">
        <f>HYPERLINK("https://twitter.com/petrogustavo/status/1259615262418051072","1259615262418051072")</f>
        <v>1259615262418051072</v>
      </c>
      <c r="F5751" s="7" t="s">
        <v>17</v>
      </c>
      <c r="G5751" s="7">
        <v>3823243</v>
      </c>
      <c r="H5751" s="7">
        <v>2402</v>
      </c>
      <c r="I5751" s="7">
        <v>136</v>
      </c>
      <c r="J5751" s="7">
        <v>0</v>
      </c>
      <c r="K5751" s="7" t="s">
        <v>18</v>
      </c>
      <c r="L5751" s="8">
        <v>39987.315405092595</v>
      </c>
      <c r="M5751" s="9" t="s">
        <v>19</v>
      </c>
      <c r="N5751" s="9" t="s">
        <v>20</v>
      </c>
      <c r="O5751" s="6" t="str">
        <f>HYPERLINK("https://pbs.twimg.com/profile_images/962471262747529216/Uo8lOkRJ_normal.jpg","View")</f>
        <v>View</v>
      </c>
      <c r="P5751" s="7"/>
    </row>
    <row r="5752" spans="1:16">
      <c r="A5752" s="3">
        <v>43962.230844907404</v>
      </c>
      <c r="B5752" s="4" t="str">
        <f>HYPERLINK("https://twitter.com/petrogustavo","@petrogustavo")</f>
        <v>@petrogustavo</v>
      </c>
      <c r="C5752" s="5" t="s">
        <v>16</v>
      </c>
      <c r="D5752" s="5" t="s">
        <v>5594</v>
      </c>
      <c r="E5752" s="6" t="str">
        <f>HYPERLINK("https://twitter.com/petrogustavo/status/1259634931887734785","1259634931887734785")</f>
        <v>1259634931887734785</v>
      </c>
      <c r="F5752" s="7" t="s">
        <v>17</v>
      </c>
      <c r="G5752" s="7">
        <v>3823326</v>
      </c>
      <c r="H5752" s="7">
        <v>2402</v>
      </c>
      <c r="I5752" s="7">
        <v>71</v>
      </c>
      <c r="J5752" s="7">
        <v>143</v>
      </c>
      <c r="K5752" s="7" t="s">
        <v>18</v>
      </c>
      <c r="L5752" s="8">
        <v>39987.315405092595</v>
      </c>
      <c r="M5752" s="9" t="s">
        <v>19</v>
      </c>
      <c r="N5752" s="9" t="s">
        <v>20</v>
      </c>
      <c r="O5752" s="6" t="str">
        <f>HYPERLINK("https://pbs.twimg.com/profile_images/962471262747529216/Uo8lOkRJ_normal.jpg","View")</f>
        <v>View</v>
      </c>
      <c r="P5752" s="7"/>
    </row>
    <row r="5753" spans="1:16">
      <c r="A5753" s="3">
        <v>43962.238356481481</v>
      </c>
      <c r="B5753" s="4" t="str">
        <f>HYPERLINK("https://twitter.com/petrogustavo","@petrogustavo")</f>
        <v>@petrogustavo</v>
      </c>
      <c r="C5753" s="5" t="s">
        <v>16</v>
      </c>
      <c r="D5753" s="5" t="s">
        <v>5595</v>
      </c>
      <c r="E5753" s="6" t="str">
        <f>HYPERLINK("https://twitter.com/petrogustavo/status/1259637655131783169","1259637655131783169")</f>
        <v>1259637655131783169</v>
      </c>
      <c r="F5753" s="7" t="s">
        <v>17</v>
      </c>
      <c r="G5753" s="7">
        <v>3823326</v>
      </c>
      <c r="H5753" s="7">
        <v>2402</v>
      </c>
      <c r="I5753" s="7">
        <v>76</v>
      </c>
      <c r="J5753" s="7">
        <v>0</v>
      </c>
      <c r="K5753" s="7" t="s">
        <v>18</v>
      </c>
      <c r="L5753" s="8">
        <v>39987.315405092595</v>
      </c>
      <c r="M5753" s="9" t="s">
        <v>19</v>
      </c>
      <c r="N5753" s="9" t="s">
        <v>20</v>
      </c>
      <c r="O5753" s="6" t="str">
        <f>HYPERLINK("https://pbs.twimg.com/profile_images/962471262747529216/Uo8lOkRJ_normal.jpg","View")</f>
        <v>View</v>
      </c>
      <c r="P5753" s="7"/>
    </row>
    <row r="5754" spans="1:16">
      <c r="A5754" s="3">
        <v>43962.241770833338</v>
      </c>
      <c r="B5754" s="4" t="str">
        <f>HYPERLINK("https://twitter.com/petrogustavo","@petrogustavo")</f>
        <v>@petrogustavo</v>
      </c>
      <c r="C5754" s="5" t="s">
        <v>16</v>
      </c>
      <c r="D5754" s="5" t="s">
        <v>5596</v>
      </c>
      <c r="E5754" s="6" t="str">
        <f>HYPERLINK("https://twitter.com/petrogustavo/status/1259638890522120197","1259638890522120197")</f>
        <v>1259638890522120197</v>
      </c>
      <c r="F5754" s="7" t="s">
        <v>17</v>
      </c>
      <c r="G5754" s="7">
        <v>3823326</v>
      </c>
      <c r="H5754" s="7">
        <v>2402</v>
      </c>
      <c r="I5754" s="7">
        <v>55</v>
      </c>
      <c r="J5754" s="7">
        <v>111</v>
      </c>
      <c r="K5754" s="7" t="s">
        <v>18</v>
      </c>
      <c r="L5754" s="8">
        <v>39987.315405092595</v>
      </c>
      <c r="M5754" s="9" t="s">
        <v>19</v>
      </c>
      <c r="N5754" s="9" t="s">
        <v>20</v>
      </c>
      <c r="O5754" s="6" t="str">
        <f>HYPERLINK("https://pbs.twimg.com/profile_images/962471262747529216/Uo8lOkRJ_normal.jpg","View")</f>
        <v>View</v>
      </c>
      <c r="P5754" s="7"/>
    </row>
    <row r="5755" spans="1:16">
      <c r="A5755" s="3">
        <v>43962.329398148147</v>
      </c>
      <c r="B5755" s="4" t="str">
        <f>HYPERLINK("https://twitter.com/petrogustavo","@petrogustavo")</f>
        <v>@petrogustavo</v>
      </c>
      <c r="C5755" s="5" t="s">
        <v>16</v>
      </c>
      <c r="D5755" s="5" t="s">
        <v>5586</v>
      </c>
      <c r="E5755" s="6" t="str">
        <f>HYPERLINK("https://twitter.com/petrogustavo/status/1259670645950029827","1259670645950029827")</f>
        <v>1259670645950029827</v>
      </c>
      <c r="F5755" s="7" t="s">
        <v>17</v>
      </c>
      <c r="G5755" s="7">
        <v>3823429</v>
      </c>
      <c r="H5755" s="7">
        <v>2402</v>
      </c>
      <c r="I5755" s="7">
        <v>776</v>
      </c>
      <c r="J5755" s="7">
        <v>0</v>
      </c>
      <c r="K5755" s="7" t="s">
        <v>18</v>
      </c>
      <c r="L5755" s="8">
        <v>39987.315405092595</v>
      </c>
      <c r="M5755" s="9" t="s">
        <v>19</v>
      </c>
      <c r="N5755" s="9" t="s">
        <v>20</v>
      </c>
      <c r="O5755" s="6" t="str">
        <f>HYPERLINK("https://pbs.twimg.com/profile_images/962471262747529216/Uo8lOkRJ_normal.jpg","View")</f>
        <v>View</v>
      </c>
      <c r="P5755" s="7"/>
    </row>
    <row r="5756" spans="1:16">
      <c r="A5756" s="3">
        <v>43962.691944444443</v>
      </c>
      <c r="B5756" s="4" t="str">
        <f>HYPERLINK("https://twitter.com/petrogustavo","@petrogustavo")</f>
        <v>@petrogustavo</v>
      </c>
      <c r="C5756" s="5" t="s">
        <v>16</v>
      </c>
      <c r="D5756" s="5" t="s">
        <v>5597</v>
      </c>
      <c r="E5756" s="6" t="str">
        <f>HYPERLINK("https://twitter.com/petrogustavo/status/1259802030551465984","1259802030551465984")</f>
        <v>1259802030551465984</v>
      </c>
      <c r="F5756" s="7" t="s">
        <v>17</v>
      </c>
      <c r="G5756" s="7">
        <v>3823577</v>
      </c>
      <c r="H5756" s="7">
        <v>2402</v>
      </c>
      <c r="I5756" s="7">
        <v>204</v>
      </c>
      <c r="J5756" s="7">
        <v>370</v>
      </c>
      <c r="K5756" s="7" t="s">
        <v>18</v>
      </c>
      <c r="L5756" s="8">
        <v>39987.315405092595</v>
      </c>
      <c r="M5756" s="9" t="s">
        <v>19</v>
      </c>
      <c r="N5756" s="9" t="s">
        <v>20</v>
      </c>
      <c r="O5756" s="6" t="str">
        <f>HYPERLINK("https://pbs.twimg.com/profile_images/962471262747529216/Uo8lOkRJ_normal.jpg","View")</f>
        <v>View</v>
      </c>
      <c r="P5756" s="7"/>
    </row>
    <row r="5757" spans="1:16">
      <c r="A5757" s="3">
        <v>43962.726122685184</v>
      </c>
      <c r="B5757" s="4" t="str">
        <f>HYPERLINK("https://twitter.com/petrogustavo","@petrogustavo")</f>
        <v>@petrogustavo</v>
      </c>
      <c r="C5757" s="5" t="s">
        <v>16</v>
      </c>
      <c r="D5757" s="5" t="s">
        <v>5598</v>
      </c>
      <c r="E5757" s="6" t="str">
        <f>HYPERLINK("https://twitter.com/petrogustavo/status/1259814416465440768","1259814416465440768")</f>
        <v>1259814416465440768</v>
      </c>
      <c r="F5757" s="7" t="s">
        <v>17</v>
      </c>
      <c r="G5757" s="7">
        <v>3823581</v>
      </c>
      <c r="H5757" s="7">
        <v>2402</v>
      </c>
      <c r="I5757" s="7">
        <v>24</v>
      </c>
      <c r="J5757" s="7">
        <v>45</v>
      </c>
      <c r="K5757" s="7" t="s">
        <v>18</v>
      </c>
      <c r="L5757" s="8">
        <v>39987.315405092595</v>
      </c>
      <c r="M5757" s="9" t="s">
        <v>19</v>
      </c>
      <c r="N5757" s="9" t="s">
        <v>20</v>
      </c>
      <c r="O5757" s="6" t="str">
        <f>HYPERLINK("https://pbs.twimg.com/profile_images/962471262747529216/Uo8lOkRJ_normal.jpg","View")</f>
        <v>View</v>
      </c>
      <c r="P5757" s="7"/>
    </row>
    <row r="5758" spans="1:16">
      <c r="A5758" s="3">
        <v>43962.772141203706</v>
      </c>
      <c r="B5758" s="4" t="str">
        <f>HYPERLINK("https://twitter.com/petrogustavo","@petrogustavo")</f>
        <v>@petrogustavo</v>
      </c>
      <c r="C5758" s="5" t="s">
        <v>16</v>
      </c>
      <c r="D5758" s="5" t="s">
        <v>5599</v>
      </c>
      <c r="E5758" s="6" t="str">
        <f>HYPERLINK("https://twitter.com/petrogustavo/status/1259831090400944128","1259831090400944128")</f>
        <v>1259831090400944128</v>
      </c>
      <c r="F5758" s="7" t="s">
        <v>17</v>
      </c>
      <c r="G5758" s="7">
        <v>3823637</v>
      </c>
      <c r="H5758" s="7">
        <v>2404</v>
      </c>
      <c r="I5758" s="7">
        <v>9</v>
      </c>
      <c r="J5758" s="7">
        <v>29</v>
      </c>
      <c r="K5758" s="7" t="s">
        <v>18</v>
      </c>
      <c r="L5758" s="8">
        <v>39987.315405092595</v>
      </c>
      <c r="M5758" s="9" t="s">
        <v>19</v>
      </c>
      <c r="N5758" s="9" t="s">
        <v>20</v>
      </c>
      <c r="O5758" s="6" t="str">
        <f>HYPERLINK("https://pbs.twimg.com/profile_images/962471262747529216/Uo8lOkRJ_normal.jpg","View")</f>
        <v>View</v>
      </c>
      <c r="P5758" s="7"/>
    </row>
    <row r="5759" spans="1:16">
      <c r="A5759" s="3">
        <v>43962.828634259262</v>
      </c>
      <c r="B5759" s="4" t="str">
        <f>HYPERLINK("https://twitter.com/petrogustavo","@petrogustavo")</f>
        <v>@petrogustavo</v>
      </c>
      <c r="C5759" s="5" t="s">
        <v>16</v>
      </c>
      <c r="D5759" s="5" t="s">
        <v>5600</v>
      </c>
      <c r="E5759" s="6" t="str">
        <f>HYPERLINK("https://twitter.com/petrogustavo/status/1259851563318816772","1259851563318816772")</f>
        <v>1259851563318816772</v>
      </c>
      <c r="F5759" s="7" t="s">
        <v>17</v>
      </c>
      <c r="G5759" s="7">
        <v>3823716</v>
      </c>
      <c r="H5759" s="7">
        <v>2404</v>
      </c>
      <c r="I5759" s="7">
        <v>14</v>
      </c>
      <c r="J5759" s="7">
        <v>0</v>
      </c>
      <c r="K5759" s="7" t="s">
        <v>18</v>
      </c>
      <c r="L5759" s="8">
        <v>39987.315405092595</v>
      </c>
      <c r="M5759" s="9" t="s">
        <v>19</v>
      </c>
      <c r="N5759" s="9" t="s">
        <v>20</v>
      </c>
      <c r="O5759" s="6" t="str">
        <f>HYPERLINK("https://pbs.twimg.com/profile_images/962471262747529216/Uo8lOkRJ_normal.jpg","View")</f>
        <v>View</v>
      </c>
      <c r="P5759" s="7"/>
    </row>
    <row r="5760" spans="1:16">
      <c r="A5760" s="3">
        <v>43962.88280092593</v>
      </c>
      <c r="B5760" s="4" t="str">
        <f>HYPERLINK("https://twitter.com/petrogustavo","@petrogustavo")</f>
        <v>@petrogustavo</v>
      </c>
      <c r="C5760" s="5" t="s">
        <v>16</v>
      </c>
      <c r="D5760" s="5" t="s">
        <v>5601</v>
      </c>
      <c r="E5760" s="6" t="str">
        <f>HYPERLINK("https://twitter.com/petrogustavo/status/1259871193697595393","1259871193697595393")</f>
        <v>1259871193697595393</v>
      </c>
      <c r="F5760" s="7" t="s">
        <v>17</v>
      </c>
      <c r="G5760" s="7">
        <v>3823767</v>
      </c>
      <c r="H5760" s="7">
        <v>2404</v>
      </c>
      <c r="I5760" s="7">
        <v>428</v>
      </c>
      <c r="J5760" s="7">
        <v>0</v>
      </c>
      <c r="K5760" s="7" t="s">
        <v>18</v>
      </c>
      <c r="L5760" s="8">
        <v>39987.315405092595</v>
      </c>
      <c r="M5760" s="9" t="s">
        <v>19</v>
      </c>
      <c r="N5760" s="9" t="s">
        <v>20</v>
      </c>
      <c r="O5760" s="6" t="str">
        <f>HYPERLINK("https://pbs.twimg.com/profile_images/962471262747529216/Uo8lOkRJ_normal.jpg","View")</f>
        <v>View</v>
      </c>
      <c r="P5760" s="7"/>
    </row>
    <row r="5761" spans="1:16">
      <c r="A5761" s="3">
        <v>43962.897766203707</v>
      </c>
      <c r="B5761" s="4" t="str">
        <f>HYPERLINK("https://twitter.com/petrogustavo","@petrogustavo")</f>
        <v>@petrogustavo</v>
      </c>
      <c r="C5761" s="5" t="s">
        <v>16</v>
      </c>
      <c r="D5761" s="5" t="s">
        <v>5602</v>
      </c>
      <c r="E5761" s="6" t="str">
        <f>HYPERLINK("https://twitter.com/petrogustavo/status/1259876615351422976","1259876615351422976")</f>
        <v>1259876615351422976</v>
      </c>
      <c r="F5761" s="7" t="s">
        <v>17</v>
      </c>
      <c r="G5761" s="7">
        <v>3823767</v>
      </c>
      <c r="H5761" s="7">
        <v>2404</v>
      </c>
      <c r="I5761" s="7">
        <v>0</v>
      </c>
      <c r="J5761" s="7">
        <v>0</v>
      </c>
      <c r="K5761" s="7" t="s">
        <v>18</v>
      </c>
      <c r="L5761" s="8">
        <v>39987.315405092595</v>
      </c>
      <c r="M5761" s="9" t="s">
        <v>19</v>
      </c>
      <c r="N5761" s="9" t="s">
        <v>20</v>
      </c>
      <c r="O5761" s="6" t="str">
        <f>HYPERLINK("https://pbs.twimg.com/profile_images/962471262747529216/Uo8lOkRJ_normal.jpg","View")</f>
        <v>View</v>
      </c>
      <c r="P5761" s="7"/>
    </row>
    <row r="5762" spans="1:16">
      <c r="A5762" s="3">
        <v>43962.908136574071</v>
      </c>
      <c r="B5762" s="4" t="str">
        <f>HYPERLINK("https://twitter.com/petrogustavo","@petrogustavo")</f>
        <v>@petrogustavo</v>
      </c>
      <c r="C5762" s="5" t="s">
        <v>16</v>
      </c>
      <c r="D5762" s="5" t="s">
        <v>5603</v>
      </c>
      <c r="E5762" s="6" t="str">
        <f>HYPERLINK("https://twitter.com/petrogustavo/status/1259880375674953729","1259880375674953729")</f>
        <v>1259880375674953729</v>
      </c>
      <c r="F5762" s="7" t="s">
        <v>17</v>
      </c>
      <c r="G5762" s="7">
        <v>3823807</v>
      </c>
      <c r="H5762" s="7">
        <v>2404</v>
      </c>
      <c r="I5762" s="7">
        <v>145</v>
      </c>
      <c r="J5762" s="7">
        <v>300</v>
      </c>
      <c r="K5762" s="7" t="s">
        <v>18</v>
      </c>
      <c r="L5762" s="8">
        <v>39987.315405092595</v>
      </c>
      <c r="M5762" s="9" t="s">
        <v>19</v>
      </c>
      <c r="N5762" s="9" t="s">
        <v>20</v>
      </c>
      <c r="O5762" s="6" t="str">
        <f>HYPERLINK("https://pbs.twimg.com/profile_images/962471262747529216/Uo8lOkRJ_normal.jpg","View")</f>
        <v>View</v>
      </c>
      <c r="P5762" s="7"/>
    </row>
    <row r="5763" spans="1:16">
      <c r="A5763" s="3">
        <v>43962.908310185187</v>
      </c>
      <c r="B5763" s="4" t="str">
        <f>HYPERLINK("https://twitter.com/petrogustavo","@petrogustavo")</f>
        <v>@petrogustavo</v>
      </c>
      <c r="C5763" s="5" t="s">
        <v>16</v>
      </c>
      <c r="D5763" s="5" t="s">
        <v>5604</v>
      </c>
      <c r="E5763" s="6" t="str">
        <f>HYPERLINK("https://twitter.com/petrogustavo/status/1259880436878237697","1259880436878237697")</f>
        <v>1259880436878237697</v>
      </c>
      <c r="F5763" s="7" t="s">
        <v>17</v>
      </c>
      <c r="G5763" s="7">
        <v>3823807</v>
      </c>
      <c r="H5763" s="7">
        <v>2404</v>
      </c>
      <c r="I5763" s="7">
        <v>84</v>
      </c>
      <c r="J5763" s="7">
        <v>0</v>
      </c>
      <c r="K5763" s="7" t="s">
        <v>18</v>
      </c>
      <c r="L5763" s="8">
        <v>39987.315405092595</v>
      </c>
      <c r="M5763" s="9" t="s">
        <v>19</v>
      </c>
      <c r="N5763" s="9" t="s">
        <v>20</v>
      </c>
      <c r="O5763" s="6" t="str">
        <f>HYPERLINK("https://pbs.twimg.com/profile_images/962471262747529216/Uo8lOkRJ_normal.jpg","View")</f>
        <v>View</v>
      </c>
      <c r="P5763" s="7"/>
    </row>
    <row r="5764" spans="1:16">
      <c r="A5764" s="3">
        <v>43962.923657407402</v>
      </c>
      <c r="B5764" s="4" t="str">
        <f>HYPERLINK("https://twitter.com/petrogustavo","@petrogustavo")</f>
        <v>@petrogustavo</v>
      </c>
      <c r="C5764" s="5" t="s">
        <v>16</v>
      </c>
      <c r="D5764" s="5" t="s">
        <v>5605</v>
      </c>
      <c r="E5764" s="6" t="str">
        <f>HYPERLINK("https://twitter.com/petrogustavo/status/1259885999934574603","1259885999934574603")</f>
        <v>1259885999934574603</v>
      </c>
      <c r="F5764" s="7" t="s">
        <v>17</v>
      </c>
      <c r="G5764" s="7">
        <v>3823829</v>
      </c>
      <c r="H5764" s="7">
        <v>2405</v>
      </c>
      <c r="I5764" s="7">
        <v>72</v>
      </c>
      <c r="J5764" s="7">
        <v>154</v>
      </c>
      <c r="K5764" s="7" t="s">
        <v>18</v>
      </c>
      <c r="L5764" s="8">
        <v>39987.315405092595</v>
      </c>
      <c r="M5764" s="9" t="s">
        <v>19</v>
      </c>
      <c r="N5764" s="9" t="s">
        <v>20</v>
      </c>
      <c r="O5764" s="6" t="str">
        <f>HYPERLINK("https://pbs.twimg.com/profile_images/962471262747529216/Uo8lOkRJ_normal.jpg","View")</f>
        <v>View</v>
      </c>
      <c r="P5764" s="7"/>
    </row>
    <row r="5765" spans="1:16">
      <c r="A5765" s="3">
        <v>43962.940023148149</v>
      </c>
      <c r="B5765" s="4" t="str">
        <f>HYPERLINK("https://twitter.com/petrogustavo","@petrogustavo")</f>
        <v>@petrogustavo</v>
      </c>
      <c r="C5765" s="5" t="s">
        <v>16</v>
      </c>
      <c r="D5765" s="5" t="s">
        <v>5606</v>
      </c>
      <c r="E5765" s="6" t="str">
        <f>HYPERLINK("https://twitter.com/petrogustavo/status/1259891930802110466","1259891930802110466")</f>
        <v>1259891930802110466</v>
      </c>
      <c r="F5765" s="7" t="s">
        <v>17</v>
      </c>
      <c r="G5765" s="7">
        <v>3823862</v>
      </c>
      <c r="H5765" s="7">
        <v>2406</v>
      </c>
      <c r="I5765" s="7">
        <v>199</v>
      </c>
      <c r="J5765" s="7">
        <v>513</v>
      </c>
      <c r="K5765" s="7" t="s">
        <v>18</v>
      </c>
      <c r="L5765" s="8">
        <v>39987.315405092595</v>
      </c>
      <c r="M5765" s="9" t="s">
        <v>19</v>
      </c>
      <c r="N5765" s="9" t="s">
        <v>20</v>
      </c>
      <c r="O5765" s="6" t="str">
        <f>HYPERLINK("https://pbs.twimg.com/profile_images/962471262747529216/Uo8lOkRJ_normal.jpg","View")</f>
        <v>View</v>
      </c>
      <c r="P5765" s="7"/>
    </row>
    <row r="5766" spans="1:16">
      <c r="A5766" s="3">
        <v>43962.943275462967</v>
      </c>
      <c r="B5766" s="4" t="str">
        <f>HYPERLINK("https://twitter.com/petrogustavo","@petrogustavo")</f>
        <v>@petrogustavo</v>
      </c>
      <c r="C5766" s="5" t="s">
        <v>16</v>
      </c>
      <c r="D5766" s="5" t="s">
        <v>5607</v>
      </c>
      <c r="E5766" s="6" t="str">
        <f>HYPERLINK("https://twitter.com/petrogustavo/status/1259893109196013571","1259893109196013571")</f>
        <v>1259893109196013571</v>
      </c>
      <c r="F5766" s="7" t="s">
        <v>17</v>
      </c>
      <c r="G5766" s="7">
        <v>3823862</v>
      </c>
      <c r="H5766" s="7">
        <v>2406</v>
      </c>
      <c r="I5766" s="7">
        <v>34</v>
      </c>
      <c r="J5766" s="7">
        <v>0</v>
      </c>
      <c r="K5766" s="7" t="s">
        <v>18</v>
      </c>
      <c r="L5766" s="8">
        <v>39987.315405092595</v>
      </c>
      <c r="M5766" s="9" t="s">
        <v>19</v>
      </c>
      <c r="N5766" s="9" t="s">
        <v>20</v>
      </c>
      <c r="O5766" s="6" t="str">
        <f>HYPERLINK("https://pbs.twimg.com/profile_images/962471262747529216/Uo8lOkRJ_normal.jpg","View")</f>
        <v>View</v>
      </c>
      <c r="P5766" s="7"/>
    </row>
    <row r="5767" spans="1:16">
      <c r="A5767" s="3">
        <v>43962.951921296291</v>
      </c>
      <c r="B5767" s="4" t="str">
        <f>HYPERLINK("https://twitter.com/petrogustavo","@petrogustavo")</f>
        <v>@petrogustavo</v>
      </c>
      <c r="C5767" s="5" t="s">
        <v>16</v>
      </c>
      <c r="D5767" s="5" t="s">
        <v>5608</v>
      </c>
      <c r="E5767" s="6" t="str">
        <f>HYPERLINK("https://twitter.com/petrogustavo/status/1259896240029999105","1259896240029999105")</f>
        <v>1259896240029999105</v>
      </c>
      <c r="F5767" s="7" t="s">
        <v>17</v>
      </c>
      <c r="G5767" s="7">
        <v>3823862</v>
      </c>
      <c r="H5767" s="7">
        <v>2406</v>
      </c>
      <c r="I5767" s="7">
        <v>51</v>
      </c>
      <c r="J5767" s="7">
        <v>127</v>
      </c>
      <c r="K5767" s="7" t="s">
        <v>18</v>
      </c>
      <c r="L5767" s="8">
        <v>39987.315405092595</v>
      </c>
      <c r="M5767" s="9" t="s">
        <v>19</v>
      </c>
      <c r="N5767" s="9" t="s">
        <v>20</v>
      </c>
      <c r="O5767" s="6" t="str">
        <f>HYPERLINK("https://pbs.twimg.com/profile_images/962471262747529216/Uo8lOkRJ_normal.jpg","View")</f>
        <v>View</v>
      </c>
      <c r="P5767" s="7"/>
    </row>
    <row r="5768" spans="1:16">
      <c r="A5768" s="3">
        <v>43962.953356481477</v>
      </c>
      <c r="B5768" s="4" t="str">
        <f>HYPERLINK("https://twitter.com/petrogustavo","@petrogustavo")</f>
        <v>@petrogustavo</v>
      </c>
      <c r="C5768" s="5" t="s">
        <v>16</v>
      </c>
      <c r="D5768" s="5" t="s">
        <v>5609</v>
      </c>
      <c r="E5768" s="6" t="str">
        <f>HYPERLINK("https://twitter.com/petrogustavo/status/1259896761591742465","1259896761591742465")</f>
        <v>1259896761591742465</v>
      </c>
      <c r="F5768" s="7" t="s">
        <v>17</v>
      </c>
      <c r="G5768" s="7">
        <v>3823862</v>
      </c>
      <c r="H5768" s="7">
        <v>2406</v>
      </c>
      <c r="I5768" s="7">
        <v>119</v>
      </c>
      <c r="J5768" s="7">
        <v>0</v>
      </c>
      <c r="K5768" s="7" t="s">
        <v>18</v>
      </c>
      <c r="L5768" s="8">
        <v>39987.315405092595</v>
      </c>
      <c r="M5768" s="9" t="s">
        <v>19</v>
      </c>
      <c r="N5768" s="9" t="s">
        <v>20</v>
      </c>
      <c r="O5768" s="6" t="str">
        <f>HYPERLINK("https://pbs.twimg.com/profile_images/962471262747529216/Uo8lOkRJ_normal.jpg","View")</f>
        <v>View</v>
      </c>
      <c r="P5768" s="7"/>
    </row>
    <row r="5769" spans="1:16">
      <c r="A5769" s="3">
        <v>43963.068819444445</v>
      </c>
      <c r="B5769" s="4" t="str">
        <f>HYPERLINK("https://twitter.com/petrogustavo","@petrogustavo")</f>
        <v>@petrogustavo</v>
      </c>
      <c r="C5769" s="5" t="s">
        <v>16</v>
      </c>
      <c r="D5769" s="5" t="s">
        <v>5610</v>
      </c>
      <c r="E5769" s="6" t="str">
        <f>HYPERLINK("https://twitter.com/petrogustavo/status/1259938603590918146","1259938603590918146")</f>
        <v>1259938603590918146</v>
      </c>
      <c r="F5769" s="7" t="s">
        <v>17</v>
      </c>
      <c r="G5769" s="7">
        <v>3824058</v>
      </c>
      <c r="H5769" s="7">
        <v>2406</v>
      </c>
      <c r="I5769" s="7">
        <v>61</v>
      </c>
      <c r="J5769" s="7">
        <v>125</v>
      </c>
      <c r="K5769" s="7" t="s">
        <v>18</v>
      </c>
      <c r="L5769" s="8">
        <v>39987.315405092595</v>
      </c>
      <c r="M5769" s="9" t="s">
        <v>19</v>
      </c>
      <c r="N5769" s="9" t="s">
        <v>20</v>
      </c>
      <c r="O5769" s="6" t="str">
        <f>HYPERLINK("https://pbs.twimg.com/profile_images/962471262747529216/Uo8lOkRJ_normal.jpg","View")</f>
        <v>View</v>
      </c>
      <c r="P5769" s="7"/>
    </row>
    <row r="5770" spans="1:16">
      <c r="A5770" s="3">
        <v>43963.071354166663</v>
      </c>
      <c r="B5770" s="4" t="str">
        <f>HYPERLINK("https://twitter.com/petrogustavo","@petrogustavo")</f>
        <v>@petrogustavo</v>
      </c>
      <c r="C5770" s="5" t="s">
        <v>16</v>
      </c>
      <c r="D5770" s="5" t="s">
        <v>5611</v>
      </c>
      <c r="E5770" s="6" t="str">
        <f>HYPERLINK("https://twitter.com/petrogustavo/status/1259939524869861377","1259939524869861377")</f>
        <v>1259939524869861377</v>
      </c>
      <c r="F5770" s="7" t="s">
        <v>17</v>
      </c>
      <c r="G5770" s="7">
        <v>3824058</v>
      </c>
      <c r="H5770" s="7">
        <v>2406</v>
      </c>
      <c r="I5770" s="7">
        <v>50</v>
      </c>
      <c r="J5770" s="7">
        <v>109</v>
      </c>
      <c r="K5770" s="7" t="s">
        <v>18</v>
      </c>
      <c r="L5770" s="8">
        <v>39987.315405092595</v>
      </c>
      <c r="M5770" s="9" t="s">
        <v>19</v>
      </c>
      <c r="N5770" s="9" t="s">
        <v>20</v>
      </c>
      <c r="O5770" s="6" t="str">
        <f>HYPERLINK("https://pbs.twimg.com/profile_images/962471262747529216/Uo8lOkRJ_normal.jpg","View")</f>
        <v>View</v>
      </c>
      <c r="P5770" s="7"/>
    </row>
    <row r="5771" spans="1:16">
      <c r="A5771" s="3">
        <v>43963.081377314811</v>
      </c>
      <c r="B5771" s="4" t="str">
        <f>HYPERLINK("https://twitter.com/petrogustavo","@petrogustavo")</f>
        <v>@petrogustavo</v>
      </c>
      <c r="C5771" s="5" t="s">
        <v>16</v>
      </c>
      <c r="D5771" s="5" t="s">
        <v>5612</v>
      </c>
      <c r="E5771" s="6" t="str">
        <f>HYPERLINK("https://twitter.com/petrogustavo/status/1259943156956696576","1259943156956696576")</f>
        <v>1259943156956696576</v>
      </c>
      <c r="F5771" s="7" t="s">
        <v>17</v>
      </c>
      <c r="G5771" s="7">
        <v>3824058</v>
      </c>
      <c r="H5771" s="7">
        <v>2406</v>
      </c>
      <c r="I5771" s="7">
        <v>970</v>
      </c>
      <c r="J5771" s="7">
        <v>0</v>
      </c>
      <c r="K5771" s="7" t="s">
        <v>18</v>
      </c>
      <c r="L5771" s="8">
        <v>39987.315405092595</v>
      </c>
      <c r="M5771" s="9" t="s">
        <v>19</v>
      </c>
      <c r="N5771" s="9" t="s">
        <v>20</v>
      </c>
      <c r="O5771" s="6" t="str">
        <f>HYPERLINK("https://pbs.twimg.com/profile_images/962471262747529216/Uo8lOkRJ_normal.jpg","View")</f>
        <v>View</v>
      </c>
      <c r="P5771" s="7"/>
    </row>
    <row r="5772" spans="1:16">
      <c r="A5772" s="3">
        <v>43963.217199074075</v>
      </c>
      <c r="B5772" s="4" t="str">
        <f>HYPERLINK("https://twitter.com/petrogustavo","@petrogustavo")</f>
        <v>@petrogustavo</v>
      </c>
      <c r="C5772" s="5" t="s">
        <v>16</v>
      </c>
      <c r="D5772" s="5" t="s">
        <v>5613</v>
      </c>
      <c r="E5772" s="6" t="str">
        <f>HYPERLINK("https://twitter.com/petrogustavo/status/1259992373918150656","1259992373918150656")</f>
        <v>1259992373918150656</v>
      </c>
      <c r="F5772" s="7" t="s">
        <v>32</v>
      </c>
      <c r="G5772" s="7">
        <v>3824291</v>
      </c>
      <c r="H5772" s="7">
        <v>2405</v>
      </c>
      <c r="I5772" s="7">
        <v>121</v>
      </c>
      <c r="J5772" s="7">
        <v>0</v>
      </c>
      <c r="K5772" s="7" t="s">
        <v>18</v>
      </c>
      <c r="L5772" s="8">
        <v>39987.315405092595</v>
      </c>
      <c r="M5772" s="9" t="s">
        <v>19</v>
      </c>
      <c r="N5772" s="9" t="s">
        <v>20</v>
      </c>
      <c r="O5772" s="6" t="str">
        <f>HYPERLINK("https://pbs.twimg.com/profile_images/962471262747529216/Uo8lOkRJ_normal.jpg","View")</f>
        <v>View</v>
      </c>
      <c r="P5772" s="7"/>
    </row>
    <row r="5773" spans="1:16">
      <c r="A5773" s="3">
        <v>43963.217824074076</v>
      </c>
      <c r="B5773" s="4" t="str">
        <f>HYPERLINK("https://twitter.com/petrogustavo","@petrogustavo")</f>
        <v>@petrogustavo</v>
      </c>
      <c r="C5773" s="5" t="s">
        <v>16</v>
      </c>
      <c r="D5773" s="5" t="s">
        <v>5614</v>
      </c>
      <c r="E5773" s="6" t="str">
        <f>HYPERLINK("https://twitter.com/petrogustavo/status/1259992602104954880","1259992602104954880")</f>
        <v>1259992602104954880</v>
      </c>
      <c r="F5773" s="7" t="s">
        <v>32</v>
      </c>
      <c r="G5773" s="7">
        <v>3824291</v>
      </c>
      <c r="H5773" s="7">
        <v>2405</v>
      </c>
      <c r="I5773" s="7">
        <v>51</v>
      </c>
      <c r="J5773" s="7">
        <v>0</v>
      </c>
      <c r="K5773" s="7" t="s">
        <v>18</v>
      </c>
      <c r="L5773" s="8">
        <v>39987.315405092595</v>
      </c>
      <c r="M5773" s="9" t="s">
        <v>19</v>
      </c>
      <c r="N5773" s="9" t="s">
        <v>20</v>
      </c>
      <c r="O5773" s="6" t="str">
        <f>HYPERLINK("https://pbs.twimg.com/profile_images/962471262747529216/Uo8lOkRJ_normal.jpg","View")</f>
        <v>View</v>
      </c>
      <c r="P5773" s="7"/>
    </row>
    <row r="5774" spans="1:16">
      <c r="A5774" s="3">
        <v>43963.217962962968</v>
      </c>
      <c r="B5774" s="4" t="str">
        <f>HYPERLINK("https://twitter.com/petrogustavo","@petrogustavo")</f>
        <v>@petrogustavo</v>
      </c>
      <c r="C5774" s="5" t="s">
        <v>16</v>
      </c>
      <c r="D5774" s="5" t="s">
        <v>5615</v>
      </c>
      <c r="E5774" s="6" t="str">
        <f>HYPERLINK("https://twitter.com/petrogustavo/status/1259992651165818880","1259992651165818880")</f>
        <v>1259992651165818880</v>
      </c>
      <c r="F5774" s="7" t="s">
        <v>32</v>
      </c>
      <c r="G5774" s="7">
        <v>3824291</v>
      </c>
      <c r="H5774" s="7">
        <v>2405</v>
      </c>
      <c r="I5774" s="7">
        <v>1306</v>
      </c>
      <c r="J5774" s="7">
        <v>0</v>
      </c>
      <c r="K5774" s="7" t="s">
        <v>18</v>
      </c>
      <c r="L5774" s="8">
        <v>39987.315405092595</v>
      </c>
      <c r="M5774" s="9" t="s">
        <v>19</v>
      </c>
      <c r="N5774" s="9" t="s">
        <v>20</v>
      </c>
      <c r="O5774" s="6" t="str">
        <f>HYPERLINK("https://pbs.twimg.com/profile_images/962471262747529216/Uo8lOkRJ_normal.jpg","View")</f>
        <v>View</v>
      </c>
      <c r="P5774" s="7"/>
    </row>
    <row r="5775" spans="1:16">
      <c r="A5775" s="3">
        <v>43963.219837962963</v>
      </c>
      <c r="B5775" s="4" t="str">
        <f>HYPERLINK("https://twitter.com/petrogustavo","@petrogustavo")</f>
        <v>@petrogustavo</v>
      </c>
      <c r="C5775" s="5" t="s">
        <v>16</v>
      </c>
      <c r="D5775" s="5" t="s">
        <v>5616</v>
      </c>
      <c r="E5775" s="6" t="str">
        <f>HYPERLINK("https://twitter.com/petrogustavo/status/1259993333394477056","1259993333394477056")</f>
        <v>1259993333394477056</v>
      </c>
      <c r="F5775" s="7" t="s">
        <v>32</v>
      </c>
      <c r="G5775" s="7">
        <v>3824291</v>
      </c>
      <c r="H5775" s="7">
        <v>2405</v>
      </c>
      <c r="I5775" s="7">
        <v>49</v>
      </c>
      <c r="J5775" s="7">
        <v>87</v>
      </c>
      <c r="K5775" s="7" t="s">
        <v>18</v>
      </c>
      <c r="L5775" s="8">
        <v>39987.315405092595</v>
      </c>
      <c r="M5775" s="9" t="s">
        <v>19</v>
      </c>
      <c r="N5775" s="9" t="s">
        <v>20</v>
      </c>
      <c r="O5775" s="6" t="str">
        <f>HYPERLINK("https://pbs.twimg.com/profile_images/962471262747529216/Uo8lOkRJ_normal.jpg","View")</f>
        <v>View</v>
      </c>
      <c r="P5775" s="7"/>
    </row>
    <row r="5776" spans="1:16">
      <c r="A5776" s="3">
        <v>43963.220393518517</v>
      </c>
      <c r="B5776" s="4" t="str">
        <f>HYPERLINK("https://twitter.com/petrogustavo","@petrogustavo")</f>
        <v>@petrogustavo</v>
      </c>
      <c r="C5776" s="5" t="s">
        <v>16</v>
      </c>
      <c r="D5776" s="5" t="s">
        <v>5617</v>
      </c>
      <c r="E5776" s="6" t="str">
        <f>HYPERLINK("https://twitter.com/petrogustavo/status/1259993531629932545","1259993531629932545")</f>
        <v>1259993531629932545</v>
      </c>
      <c r="F5776" s="7" t="s">
        <v>32</v>
      </c>
      <c r="G5776" s="7">
        <v>3824291</v>
      </c>
      <c r="H5776" s="7">
        <v>2405</v>
      </c>
      <c r="I5776" s="7">
        <v>72</v>
      </c>
      <c r="J5776" s="7">
        <v>0</v>
      </c>
      <c r="K5776" s="7" t="s">
        <v>18</v>
      </c>
      <c r="L5776" s="8">
        <v>39987.315405092595</v>
      </c>
      <c r="M5776" s="9" t="s">
        <v>19</v>
      </c>
      <c r="N5776" s="9" t="s">
        <v>20</v>
      </c>
      <c r="O5776" s="6" t="str">
        <f>HYPERLINK("https://pbs.twimg.com/profile_images/962471262747529216/Uo8lOkRJ_normal.jpg","View")</f>
        <v>View</v>
      </c>
      <c r="P5776" s="7"/>
    </row>
    <row r="5777" spans="1:16">
      <c r="A5777" s="3">
        <v>43963.221076388887</v>
      </c>
      <c r="B5777" s="4" t="str">
        <f>HYPERLINK("https://twitter.com/petrogustavo","@petrogustavo")</f>
        <v>@petrogustavo</v>
      </c>
      <c r="C5777" s="5" t="s">
        <v>16</v>
      </c>
      <c r="D5777" s="5" t="s">
        <v>5618</v>
      </c>
      <c r="E5777" s="6" t="str">
        <f>HYPERLINK("https://twitter.com/petrogustavo/status/1259993782378024960","1259993782378024960")</f>
        <v>1259993782378024960</v>
      </c>
      <c r="F5777" s="7" t="s">
        <v>32</v>
      </c>
      <c r="G5777" s="7">
        <v>3824291</v>
      </c>
      <c r="H5777" s="7">
        <v>2405</v>
      </c>
      <c r="I5777" s="7">
        <v>53</v>
      </c>
      <c r="J5777" s="7">
        <v>0</v>
      </c>
      <c r="K5777" s="7" t="s">
        <v>18</v>
      </c>
      <c r="L5777" s="8">
        <v>39987.315405092595</v>
      </c>
      <c r="M5777" s="9" t="s">
        <v>19</v>
      </c>
      <c r="N5777" s="9" t="s">
        <v>20</v>
      </c>
      <c r="O5777" s="6" t="str">
        <f>HYPERLINK("https://pbs.twimg.com/profile_images/962471262747529216/Uo8lOkRJ_normal.jpg","View")</f>
        <v>View</v>
      </c>
      <c r="P5777" s="7"/>
    </row>
    <row r="5778" spans="1:16">
      <c r="A5778" s="3">
        <v>43963.221493055556</v>
      </c>
      <c r="B5778" s="4" t="str">
        <f>HYPERLINK("https://twitter.com/petrogustavo","@petrogustavo")</f>
        <v>@petrogustavo</v>
      </c>
      <c r="C5778" s="5" t="s">
        <v>16</v>
      </c>
      <c r="D5778" s="5" t="s">
        <v>5619</v>
      </c>
      <c r="E5778" s="6" t="str">
        <f>HYPERLINK("https://twitter.com/petrogustavo/status/1259993930206232582","1259993930206232582")</f>
        <v>1259993930206232582</v>
      </c>
      <c r="F5778" s="7" t="s">
        <v>32</v>
      </c>
      <c r="G5778" s="7">
        <v>3824291</v>
      </c>
      <c r="H5778" s="7">
        <v>2405</v>
      </c>
      <c r="I5778" s="7">
        <v>32</v>
      </c>
      <c r="J5778" s="7">
        <v>0</v>
      </c>
      <c r="K5778" s="7" t="s">
        <v>18</v>
      </c>
      <c r="L5778" s="8">
        <v>39987.315405092595</v>
      </c>
      <c r="M5778" s="9" t="s">
        <v>19</v>
      </c>
      <c r="N5778" s="9" t="s">
        <v>20</v>
      </c>
      <c r="O5778" s="6" t="str">
        <f>HYPERLINK("https://pbs.twimg.com/profile_images/962471262747529216/Uo8lOkRJ_normal.jpg","View")</f>
        <v>View</v>
      </c>
      <c r="P5778" s="7"/>
    </row>
    <row r="5779" spans="1:16">
      <c r="A5779" s="3">
        <v>43963.221724537041</v>
      </c>
      <c r="B5779" s="4" t="str">
        <f>HYPERLINK("https://twitter.com/petrogustavo","@petrogustavo")</f>
        <v>@petrogustavo</v>
      </c>
      <c r="C5779" s="5" t="s">
        <v>16</v>
      </c>
      <c r="D5779" s="5" t="s">
        <v>5620</v>
      </c>
      <c r="E5779" s="6" t="str">
        <f>HYPERLINK("https://twitter.com/petrogustavo/status/1259994014675341316","1259994014675341316")</f>
        <v>1259994014675341316</v>
      </c>
      <c r="F5779" s="7" t="s">
        <v>32</v>
      </c>
      <c r="G5779" s="7">
        <v>3824291</v>
      </c>
      <c r="H5779" s="7">
        <v>2405</v>
      </c>
      <c r="I5779" s="7">
        <v>27</v>
      </c>
      <c r="J5779" s="7">
        <v>0</v>
      </c>
      <c r="K5779" s="7" t="s">
        <v>18</v>
      </c>
      <c r="L5779" s="8">
        <v>39987.315405092595</v>
      </c>
      <c r="M5779" s="9" t="s">
        <v>19</v>
      </c>
      <c r="N5779" s="9" t="s">
        <v>20</v>
      </c>
      <c r="O5779" s="6" t="str">
        <f>HYPERLINK("https://pbs.twimg.com/profile_images/962471262747529216/Uo8lOkRJ_normal.jpg","View")</f>
        <v>View</v>
      </c>
      <c r="P5779" s="7"/>
    </row>
    <row r="5780" spans="1:16">
      <c r="A5780" s="3">
        <v>43963.223819444444</v>
      </c>
      <c r="B5780" s="4" t="str">
        <f>HYPERLINK("https://twitter.com/petrogustavo","@petrogustavo")</f>
        <v>@petrogustavo</v>
      </c>
      <c r="C5780" s="5" t="s">
        <v>16</v>
      </c>
      <c r="D5780" s="5" t="s">
        <v>5621</v>
      </c>
      <c r="E5780" s="6" t="str">
        <f>HYPERLINK("https://twitter.com/petrogustavo/status/1259994775245160451","1259994775245160451")</f>
        <v>1259994775245160451</v>
      </c>
      <c r="F5780" s="7" t="s">
        <v>32</v>
      </c>
      <c r="G5780" s="7">
        <v>3824291</v>
      </c>
      <c r="H5780" s="7">
        <v>2405</v>
      </c>
      <c r="I5780" s="7">
        <v>59</v>
      </c>
      <c r="J5780" s="7">
        <v>107</v>
      </c>
      <c r="K5780" s="7" t="s">
        <v>18</v>
      </c>
      <c r="L5780" s="8">
        <v>39987.315405092595</v>
      </c>
      <c r="M5780" s="9" t="s">
        <v>19</v>
      </c>
      <c r="N5780" s="9" t="s">
        <v>20</v>
      </c>
      <c r="O5780" s="6" t="str">
        <f>HYPERLINK("https://pbs.twimg.com/profile_images/962471262747529216/Uo8lOkRJ_normal.jpg","View")</f>
        <v>View</v>
      </c>
      <c r="P5780" s="7"/>
    </row>
    <row r="5781" spans="1:16">
      <c r="A5781" s="3">
        <v>43963.25844907407</v>
      </c>
      <c r="B5781" s="4" t="str">
        <f>HYPERLINK("https://twitter.com/petrogustavo","@petrogustavo")</f>
        <v>@petrogustavo</v>
      </c>
      <c r="C5781" s="5" t="s">
        <v>16</v>
      </c>
      <c r="D5781" s="5" t="s">
        <v>5622</v>
      </c>
      <c r="E5781" s="6" t="str">
        <f>HYPERLINK("https://twitter.com/petrogustavo/status/1260007323608596481","1260007323608596481")</f>
        <v>1260007323608596481</v>
      </c>
      <c r="F5781" s="7" t="s">
        <v>17</v>
      </c>
      <c r="G5781" s="7">
        <v>3824371</v>
      </c>
      <c r="H5781" s="7">
        <v>2405</v>
      </c>
      <c r="I5781" s="7">
        <v>375</v>
      </c>
      <c r="J5781" s="7">
        <v>0</v>
      </c>
      <c r="K5781" s="7" t="s">
        <v>18</v>
      </c>
      <c r="L5781" s="8">
        <v>39987.315405092595</v>
      </c>
      <c r="M5781" s="9" t="s">
        <v>19</v>
      </c>
      <c r="N5781" s="9" t="s">
        <v>20</v>
      </c>
      <c r="O5781" s="6" t="str">
        <f>HYPERLINK("https://pbs.twimg.com/profile_images/962471262747529216/Uo8lOkRJ_normal.jpg","View")</f>
        <v>View</v>
      </c>
      <c r="P5781" s="7"/>
    </row>
    <row r="5782" spans="1:16">
      <c r="A5782" s="3">
        <v>43963.314108796301</v>
      </c>
      <c r="B5782" s="4" t="str">
        <f>HYPERLINK("https://twitter.com/petrogustavo","@petrogustavo")</f>
        <v>@petrogustavo</v>
      </c>
      <c r="C5782" s="5" t="s">
        <v>16</v>
      </c>
      <c r="D5782" s="5" t="s">
        <v>5623</v>
      </c>
      <c r="E5782" s="6" t="str">
        <f>HYPERLINK("https://twitter.com/petrogustavo/status/1260027495597764608","1260027495597764608")</f>
        <v>1260027495597764608</v>
      </c>
      <c r="F5782" s="7" t="s">
        <v>17</v>
      </c>
      <c r="G5782" s="7">
        <v>3824439</v>
      </c>
      <c r="H5782" s="7">
        <v>2405</v>
      </c>
      <c r="I5782" s="7">
        <v>9</v>
      </c>
      <c r="J5782" s="7">
        <v>40</v>
      </c>
      <c r="K5782" s="7" t="s">
        <v>18</v>
      </c>
      <c r="L5782" s="8">
        <v>39987.315405092595</v>
      </c>
      <c r="M5782" s="9" t="s">
        <v>19</v>
      </c>
      <c r="N5782" s="9" t="s">
        <v>20</v>
      </c>
      <c r="O5782" s="6" t="str">
        <f>HYPERLINK("https://pbs.twimg.com/profile_images/962471262747529216/Uo8lOkRJ_normal.jpg","View")</f>
        <v>View</v>
      </c>
      <c r="P5782" s="7"/>
    </row>
    <row r="5783" spans="1:16">
      <c r="A5783" s="3">
        <v>43963.322349537033</v>
      </c>
      <c r="B5783" s="4" t="str">
        <f>HYPERLINK("https://twitter.com/petrogustavo","@petrogustavo")</f>
        <v>@petrogustavo</v>
      </c>
      <c r="C5783" s="5" t="s">
        <v>16</v>
      </c>
      <c r="D5783" s="5" t="s">
        <v>5624</v>
      </c>
      <c r="E5783" s="6" t="str">
        <f>HYPERLINK("https://twitter.com/petrogustavo/status/1260030481891901442","1260030481891901442")</f>
        <v>1260030481891901442</v>
      </c>
      <c r="F5783" s="7" t="s">
        <v>21</v>
      </c>
      <c r="G5783" s="7">
        <v>3824458</v>
      </c>
      <c r="H5783" s="7">
        <v>2406</v>
      </c>
      <c r="I5783" s="7">
        <v>77</v>
      </c>
      <c r="J5783" s="7">
        <v>208</v>
      </c>
      <c r="K5783" s="7" t="s">
        <v>18</v>
      </c>
      <c r="L5783" s="8">
        <v>39987.315405092595</v>
      </c>
      <c r="M5783" s="9" t="s">
        <v>19</v>
      </c>
      <c r="N5783" s="9" t="s">
        <v>20</v>
      </c>
      <c r="O5783" s="6" t="str">
        <f>HYPERLINK("https://pbs.twimg.com/profile_images/962471262747529216/Uo8lOkRJ_normal.jpg","View")</f>
        <v>View</v>
      </c>
      <c r="P5783" s="7"/>
    </row>
    <row r="5784" spans="1:16">
      <c r="A5784" s="3">
        <v>43963.770509259259</v>
      </c>
      <c r="B5784" s="4" t="str">
        <f>HYPERLINK("https://twitter.com/petrogustavo","@petrogustavo")</f>
        <v>@petrogustavo</v>
      </c>
      <c r="C5784" s="5" t="s">
        <v>16</v>
      </c>
      <c r="D5784" s="5" t="s">
        <v>5625</v>
      </c>
      <c r="E5784" s="6" t="str">
        <f>HYPERLINK("https://twitter.com/petrogustavo/status/1260192886404022273","1260192886404022273")</f>
        <v>1260192886404022273</v>
      </c>
      <c r="F5784" s="7" t="s">
        <v>17</v>
      </c>
      <c r="G5784" s="7">
        <v>3824815</v>
      </c>
      <c r="H5784" s="7">
        <v>2404</v>
      </c>
      <c r="I5784" s="7">
        <v>34</v>
      </c>
      <c r="J5784" s="7">
        <v>105</v>
      </c>
      <c r="K5784" s="7" t="s">
        <v>18</v>
      </c>
      <c r="L5784" s="8">
        <v>39987.315405092595</v>
      </c>
      <c r="M5784" s="9" t="s">
        <v>19</v>
      </c>
      <c r="N5784" s="9" t="s">
        <v>20</v>
      </c>
      <c r="O5784" s="6" t="str">
        <f>HYPERLINK("https://pbs.twimg.com/profile_images/962471262747529216/Uo8lOkRJ_normal.jpg","View")</f>
        <v>View</v>
      </c>
      <c r="P5784" s="7"/>
    </row>
    <row r="5785" spans="1:16">
      <c r="A5785" s="3">
        <v>43963.813587962963</v>
      </c>
      <c r="B5785" s="4" t="str">
        <f>HYPERLINK("https://twitter.com/petrogustavo","@petrogustavo")</f>
        <v>@petrogustavo</v>
      </c>
      <c r="C5785" s="5" t="s">
        <v>16</v>
      </c>
      <c r="D5785" s="5" t="s">
        <v>5626</v>
      </c>
      <c r="E5785" s="6" t="str">
        <f>HYPERLINK("https://twitter.com/petrogustavo/status/1260208497637163009","1260208497637163009")</f>
        <v>1260208497637163009</v>
      </c>
      <c r="F5785" s="7" t="s">
        <v>17</v>
      </c>
      <c r="G5785" s="7">
        <v>3824905</v>
      </c>
      <c r="H5785" s="7">
        <v>2404</v>
      </c>
      <c r="I5785" s="7">
        <v>10</v>
      </c>
      <c r="J5785" s="7">
        <v>0</v>
      </c>
      <c r="K5785" s="7" t="s">
        <v>18</v>
      </c>
      <c r="L5785" s="8">
        <v>39987.315405092595</v>
      </c>
      <c r="M5785" s="9" t="s">
        <v>19</v>
      </c>
      <c r="N5785" s="9" t="s">
        <v>20</v>
      </c>
      <c r="O5785" s="6" t="str">
        <f>HYPERLINK("https://pbs.twimg.com/profile_images/962471262747529216/Uo8lOkRJ_normal.jpg","View")</f>
        <v>View</v>
      </c>
      <c r="P5785" s="7"/>
    </row>
    <row r="5786" spans="1:16">
      <c r="A5786" s="3">
        <v>43963.813877314809</v>
      </c>
      <c r="B5786" s="4" t="str">
        <f>HYPERLINK("https://twitter.com/petrogustavo","@petrogustavo")</f>
        <v>@petrogustavo</v>
      </c>
      <c r="C5786" s="5" t="s">
        <v>16</v>
      </c>
      <c r="D5786" s="5" t="s">
        <v>5627</v>
      </c>
      <c r="E5786" s="6" t="str">
        <f>HYPERLINK("https://twitter.com/petrogustavo/status/1260208604189253633","1260208604189253633")</f>
        <v>1260208604189253633</v>
      </c>
      <c r="F5786" s="7" t="s">
        <v>17</v>
      </c>
      <c r="G5786" s="7">
        <v>3824905</v>
      </c>
      <c r="H5786" s="7">
        <v>2404</v>
      </c>
      <c r="I5786" s="7">
        <v>41</v>
      </c>
      <c r="J5786" s="7">
        <v>0</v>
      </c>
      <c r="K5786" s="7" t="s">
        <v>18</v>
      </c>
      <c r="L5786" s="8">
        <v>39987.315405092595</v>
      </c>
      <c r="M5786" s="9" t="s">
        <v>19</v>
      </c>
      <c r="N5786" s="9" t="s">
        <v>20</v>
      </c>
      <c r="O5786" s="6" t="str">
        <f>HYPERLINK("https://pbs.twimg.com/profile_images/962471262747529216/Uo8lOkRJ_normal.jpg","View")</f>
        <v>View</v>
      </c>
      <c r="P5786" s="7"/>
    </row>
    <row r="5787" spans="1:16">
      <c r="A5787" s="3">
        <v>43963.817812499998</v>
      </c>
      <c r="B5787" s="4" t="str">
        <f>HYPERLINK("https://twitter.com/petrogustavo","@petrogustavo")</f>
        <v>@petrogustavo</v>
      </c>
      <c r="C5787" s="5" t="s">
        <v>16</v>
      </c>
      <c r="D5787" s="5" t="s">
        <v>5628</v>
      </c>
      <c r="E5787" s="6" t="str">
        <f>HYPERLINK("https://twitter.com/petrogustavo/status/1260210031288561664","1260210031288561664")</f>
        <v>1260210031288561664</v>
      </c>
      <c r="F5787" s="7" t="s">
        <v>17</v>
      </c>
      <c r="G5787" s="7">
        <v>3824925</v>
      </c>
      <c r="H5787" s="7">
        <v>2404</v>
      </c>
      <c r="I5787" s="7">
        <v>78</v>
      </c>
      <c r="J5787" s="7">
        <v>187</v>
      </c>
      <c r="K5787" s="7" t="s">
        <v>18</v>
      </c>
      <c r="L5787" s="8">
        <v>39987.315405092595</v>
      </c>
      <c r="M5787" s="9" t="s">
        <v>19</v>
      </c>
      <c r="N5787" s="9" t="s">
        <v>20</v>
      </c>
      <c r="O5787" s="6" t="str">
        <f>HYPERLINK("https://pbs.twimg.com/profile_images/962471262747529216/Uo8lOkRJ_normal.jpg","View")</f>
        <v>View</v>
      </c>
      <c r="P5787" s="7"/>
    </row>
    <row r="5788" spans="1:16">
      <c r="A5788" s="3">
        <v>43963.818009259259</v>
      </c>
      <c r="B5788" s="4" t="str">
        <f>HYPERLINK("https://twitter.com/petrogustavo","@petrogustavo")</f>
        <v>@petrogustavo</v>
      </c>
      <c r="C5788" s="5" t="s">
        <v>16</v>
      </c>
      <c r="D5788" s="5" t="s">
        <v>5629</v>
      </c>
      <c r="E5788" s="6" t="str">
        <f>HYPERLINK("https://twitter.com/petrogustavo/status/1260210101618696192","1260210101618696192")</f>
        <v>1260210101618696192</v>
      </c>
      <c r="F5788" s="7" t="s">
        <v>17</v>
      </c>
      <c r="G5788" s="7">
        <v>3824925</v>
      </c>
      <c r="H5788" s="7">
        <v>2404</v>
      </c>
      <c r="I5788" s="7">
        <v>88</v>
      </c>
      <c r="J5788" s="7">
        <v>0</v>
      </c>
      <c r="K5788" s="7" t="s">
        <v>18</v>
      </c>
      <c r="L5788" s="8">
        <v>39987.315405092595</v>
      </c>
      <c r="M5788" s="9" t="s">
        <v>19</v>
      </c>
      <c r="N5788" s="9" t="s">
        <v>20</v>
      </c>
      <c r="O5788" s="6" t="str">
        <f>HYPERLINK("https://pbs.twimg.com/profile_images/962471262747529216/Uo8lOkRJ_normal.jpg","View")</f>
        <v>View</v>
      </c>
      <c r="P5788" s="7"/>
    </row>
    <row r="5789" spans="1:16">
      <c r="A5789" s="3">
        <v>43963.823958333334</v>
      </c>
      <c r="B5789" s="4" t="str">
        <f>HYPERLINK("https://twitter.com/petrogustavo","@petrogustavo")</f>
        <v>@petrogustavo</v>
      </c>
      <c r="C5789" s="5" t="s">
        <v>16</v>
      </c>
      <c r="D5789" s="5" t="s">
        <v>5630</v>
      </c>
      <c r="E5789" s="6" t="str">
        <f>HYPERLINK("https://twitter.com/petrogustavo/status/1260212257243496448","1260212257243496448")</f>
        <v>1260212257243496448</v>
      </c>
      <c r="F5789" s="7" t="s">
        <v>17</v>
      </c>
      <c r="G5789" s="7">
        <v>3824925</v>
      </c>
      <c r="H5789" s="7">
        <v>2404</v>
      </c>
      <c r="I5789" s="7">
        <v>1089</v>
      </c>
      <c r="J5789" s="7">
        <v>0</v>
      </c>
      <c r="K5789" s="7" t="s">
        <v>18</v>
      </c>
      <c r="L5789" s="8">
        <v>39987.315405092595</v>
      </c>
      <c r="M5789" s="9" t="s">
        <v>19</v>
      </c>
      <c r="N5789" s="9" t="s">
        <v>20</v>
      </c>
      <c r="O5789" s="6" t="str">
        <f>HYPERLINK("https://pbs.twimg.com/profile_images/962471262747529216/Uo8lOkRJ_normal.jpg","View")</f>
        <v>View</v>
      </c>
      <c r="P5789" s="7"/>
    </row>
    <row r="5790" spans="1:16">
      <c r="A5790" s="3">
        <v>43963.824537037042</v>
      </c>
      <c r="B5790" s="4" t="str">
        <f>HYPERLINK("https://twitter.com/petrogustavo","@petrogustavo")</f>
        <v>@petrogustavo</v>
      </c>
      <c r="C5790" s="5" t="s">
        <v>16</v>
      </c>
      <c r="D5790" s="5" t="s">
        <v>5631</v>
      </c>
      <c r="E5790" s="6" t="str">
        <f>HYPERLINK("https://twitter.com/petrogustavo/status/1260212469190066177","1260212469190066177")</f>
        <v>1260212469190066177</v>
      </c>
      <c r="F5790" s="7" t="s">
        <v>17</v>
      </c>
      <c r="G5790" s="7">
        <v>3824925</v>
      </c>
      <c r="H5790" s="7">
        <v>2404</v>
      </c>
      <c r="I5790" s="7">
        <v>20</v>
      </c>
      <c r="J5790" s="7">
        <v>0</v>
      </c>
      <c r="K5790" s="7" t="s">
        <v>18</v>
      </c>
      <c r="L5790" s="8">
        <v>39987.315405092595</v>
      </c>
      <c r="M5790" s="9" t="s">
        <v>19</v>
      </c>
      <c r="N5790" s="9" t="s">
        <v>20</v>
      </c>
      <c r="O5790" s="6" t="str">
        <f>HYPERLINK("https://pbs.twimg.com/profile_images/962471262747529216/Uo8lOkRJ_normal.jpg","View")</f>
        <v>View</v>
      </c>
      <c r="P5790" s="7"/>
    </row>
    <row r="5791" spans="1:16">
      <c r="A5791" s="3">
        <v>43963.825902777782</v>
      </c>
      <c r="B5791" s="4" t="str">
        <f>HYPERLINK("https://twitter.com/petrogustavo","@petrogustavo")</f>
        <v>@petrogustavo</v>
      </c>
      <c r="C5791" s="5" t="s">
        <v>16</v>
      </c>
      <c r="D5791" s="5" t="s">
        <v>5632</v>
      </c>
      <c r="E5791" s="6" t="str">
        <f>HYPERLINK("https://twitter.com/petrogustavo/status/1260212960670162949","1260212960670162949")</f>
        <v>1260212960670162949</v>
      </c>
      <c r="F5791" s="7" t="s">
        <v>17</v>
      </c>
      <c r="G5791" s="7">
        <v>3824925</v>
      </c>
      <c r="H5791" s="7">
        <v>2404</v>
      </c>
      <c r="I5791" s="7">
        <v>57</v>
      </c>
      <c r="J5791" s="7">
        <v>149</v>
      </c>
      <c r="K5791" s="7" t="s">
        <v>18</v>
      </c>
      <c r="L5791" s="8">
        <v>39987.315405092595</v>
      </c>
      <c r="M5791" s="9" t="s">
        <v>19</v>
      </c>
      <c r="N5791" s="9" t="s">
        <v>20</v>
      </c>
      <c r="O5791" s="6" t="str">
        <f>HYPERLINK("https://pbs.twimg.com/profile_images/962471262747529216/Uo8lOkRJ_normal.jpg","View")</f>
        <v>View</v>
      </c>
      <c r="P5791" s="7"/>
    </row>
    <row r="5792" spans="1:16">
      <c r="A5792" s="3">
        <v>43963.871458333335</v>
      </c>
      <c r="B5792" s="4" t="str">
        <f>HYPERLINK("https://twitter.com/petrogustavo","@petrogustavo")</f>
        <v>@petrogustavo</v>
      </c>
      <c r="C5792" s="5" t="s">
        <v>16</v>
      </c>
      <c r="D5792" s="5" t="s">
        <v>5633</v>
      </c>
      <c r="E5792" s="6" t="str">
        <f>HYPERLINK("https://twitter.com/petrogustavo/status/1260229470738354176","1260229470738354176")</f>
        <v>1260229470738354176</v>
      </c>
      <c r="F5792" s="7" t="s">
        <v>32</v>
      </c>
      <c r="G5792" s="7">
        <v>3825015</v>
      </c>
      <c r="H5792" s="7">
        <v>2404</v>
      </c>
      <c r="I5792" s="7">
        <v>985</v>
      </c>
      <c r="J5792" s="7">
        <v>0</v>
      </c>
      <c r="K5792" s="7" t="s">
        <v>18</v>
      </c>
      <c r="L5792" s="8">
        <v>39987.315405092595</v>
      </c>
      <c r="M5792" s="9" t="s">
        <v>19</v>
      </c>
      <c r="N5792" s="9" t="s">
        <v>20</v>
      </c>
      <c r="O5792" s="6" t="str">
        <f>HYPERLINK("https://pbs.twimg.com/profile_images/962471262747529216/Uo8lOkRJ_normal.jpg","View")</f>
        <v>View</v>
      </c>
      <c r="P5792" s="7"/>
    </row>
    <row r="5793" spans="1:16">
      <c r="A5793" s="3">
        <v>43964.070185185185</v>
      </c>
      <c r="B5793" s="4" t="str">
        <f>HYPERLINK("https://twitter.com/petrogustavo","@petrogustavo")</f>
        <v>@petrogustavo</v>
      </c>
      <c r="C5793" s="5" t="s">
        <v>16</v>
      </c>
      <c r="D5793" s="5" t="s">
        <v>5634</v>
      </c>
      <c r="E5793" s="6" t="str">
        <f>HYPERLINK("https://twitter.com/petrogustavo/status/1260301489341423617","1260301489341423617")</f>
        <v>1260301489341423617</v>
      </c>
      <c r="F5793" s="7" t="s">
        <v>17</v>
      </c>
      <c r="G5793" s="7">
        <v>3825356</v>
      </c>
      <c r="H5793" s="7">
        <v>2404</v>
      </c>
      <c r="I5793" s="7">
        <v>199</v>
      </c>
      <c r="J5793" s="7">
        <v>432</v>
      </c>
      <c r="K5793" s="7" t="s">
        <v>18</v>
      </c>
      <c r="L5793" s="8">
        <v>39987.315405092595</v>
      </c>
      <c r="M5793" s="9" t="s">
        <v>19</v>
      </c>
      <c r="N5793" s="9" t="s">
        <v>20</v>
      </c>
      <c r="O5793" s="6" t="str">
        <f>HYPERLINK("https://pbs.twimg.com/profile_images/962471262747529216/Uo8lOkRJ_normal.jpg","View")</f>
        <v>View</v>
      </c>
      <c r="P5793" s="7"/>
    </row>
    <row r="5794" spans="1:16">
      <c r="A5794" s="3">
        <v>43964.09101851852</v>
      </c>
      <c r="B5794" s="4" t="str">
        <f>HYPERLINK("https://twitter.com/petrogustavo","@petrogustavo")</f>
        <v>@petrogustavo</v>
      </c>
      <c r="C5794" s="5" t="s">
        <v>16</v>
      </c>
      <c r="D5794" s="5" t="s">
        <v>5635</v>
      </c>
      <c r="E5794" s="6" t="str">
        <f>HYPERLINK("https://twitter.com/petrogustavo/status/1260309035984830467","1260309035984830467")</f>
        <v>1260309035984830467</v>
      </c>
      <c r="F5794" s="7" t="s">
        <v>32</v>
      </c>
      <c r="G5794" s="7">
        <v>3825389</v>
      </c>
      <c r="H5794" s="7">
        <v>2404</v>
      </c>
      <c r="I5794" s="7">
        <v>224</v>
      </c>
      <c r="J5794" s="7">
        <v>424</v>
      </c>
      <c r="K5794" s="7" t="s">
        <v>18</v>
      </c>
      <c r="L5794" s="8">
        <v>39987.315405092595</v>
      </c>
      <c r="M5794" s="9" t="s">
        <v>19</v>
      </c>
      <c r="N5794" s="9" t="s">
        <v>20</v>
      </c>
      <c r="O5794" s="6" t="str">
        <f>HYPERLINK("https://pbs.twimg.com/profile_images/962471262747529216/Uo8lOkRJ_normal.jpg","View")</f>
        <v>View</v>
      </c>
      <c r="P5794" s="7"/>
    </row>
    <row r="5795" spans="1:16">
      <c r="A5795" s="3">
        <v>43964.099120370374</v>
      </c>
      <c r="B5795" s="4" t="str">
        <f>HYPERLINK("https://twitter.com/petrogustavo","@petrogustavo")</f>
        <v>@petrogustavo</v>
      </c>
      <c r="C5795" s="5" t="s">
        <v>16</v>
      </c>
      <c r="D5795" s="5" t="s">
        <v>5636</v>
      </c>
      <c r="E5795" s="6" t="str">
        <f>HYPERLINK("https://twitter.com/petrogustavo/status/1260311970986819593","1260311970986819593")</f>
        <v>1260311970986819593</v>
      </c>
      <c r="F5795" s="7" t="s">
        <v>17</v>
      </c>
      <c r="G5795" s="7">
        <v>3825389</v>
      </c>
      <c r="H5795" s="7">
        <v>2404</v>
      </c>
      <c r="I5795" s="7">
        <v>62</v>
      </c>
      <c r="J5795" s="7">
        <v>158</v>
      </c>
      <c r="K5795" s="7" t="s">
        <v>18</v>
      </c>
      <c r="L5795" s="8">
        <v>39987.315405092595</v>
      </c>
      <c r="M5795" s="9" t="s">
        <v>19</v>
      </c>
      <c r="N5795" s="9" t="s">
        <v>20</v>
      </c>
      <c r="O5795" s="6" t="str">
        <f>HYPERLINK("https://pbs.twimg.com/profile_images/962471262747529216/Uo8lOkRJ_normal.jpg","View")</f>
        <v>View</v>
      </c>
      <c r="P5795" s="7"/>
    </row>
    <row r="5796" spans="1:16">
      <c r="A5796" s="3">
        <v>43964.124513888892</v>
      </c>
      <c r="B5796" s="4" t="str">
        <f>HYPERLINK("https://twitter.com/petrogustavo","@petrogustavo")</f>
        <v>@petrogustavo</v>
      </c>
      <c r="C5796" s="5" t="s">
        <v>16</v>
      </c>
      <c r="D5796" s="5" t="s">
        <v>5637</v>
      </c>
      <c r="E5796" s="6" t="str">
        <f>HYPERLINK("https://twitter.com/petrogustavo/status/1260321174074077190","1260321174074077190")</f>
        <v>1260321174074077190</v>
      </c>
      <c r="F5796" s="7" t="s">
        <v>17</v>
      </c>
      <c r="G5796" s="7">
        <v>3825401</v>
      </c>
      <c r="H5796" s="7">
        <v>2404</v>
      </c>
      <c r="I5796" s="7">
        <v>32</v>
      </c>
      <c r="J5796" s="7">
        <v>57</v>
      </c>
      <c r="K5796" s="7" t="s">
        <v>18</v>
      </c>
      <c r="L5796" s="8">
        <v>39987.315405092595</v>
      </c>
      <c r="M5796" s="9" t="s">
        <v>19</v>
      </c>
      <c r="N5796" s="9" t="s">
        <v>20</v>
      </c>
      <c r="O5796" s="6" t="str">
        <f>HYPERLINK("https://pbs.twimg.com/profile_images/962471262747529216/Uo8lOkRJ_normal.jpg","View")</f>
        <v>View</v>
      </c>
      <c r="P5796" s="7"/>
    </row>
    <row r="5797" spans="1:16">
      <c r="A5797" s="3">
        <v>43964.273946759262</v>
      </c>
      <c r="B5797" s="4" t="str">
        <f>HYPERLINK("https://twitter.com/petrogustavo","@petrogustavo")</f>
        <v>@petrogustavo</v>
      </c>
      <c r="C5797" s="5" t="s">
        <v>16</v>
      </c>
      <c r="D5797" s="5" t="s">
        <v>5638</v>
      </c>
      <c r="E5797" s="6" t="str">
        <f>HYPERLINK("https://twitter.com/petrogustavo/status/1260375326477123585","1260375326477123585")</f>
        <v>1260375326477123585</v>
      </c>
      <c r="F5797" s="7" t="s">
        <v>17</v>
      </c>
      <c r="G5797" s="7">
        <v>3825660</v>
      </c>
      <c r="H5797" s="7">
        <v>2404</v>
      </c>
      <c r="I5797" s="7">
        <v>184</v>
      </c>
      <c r="J5797" s="7">
        <v>471</v>
      </c>
      <c r="K5797" s="7" t="s">
        <v>18</v>
      </c>
      <c r="L5797" s="8">
        <v>39987.315405092595</v>
      </c>
      <c r="M5797" s="9" t="s">
        <v>19</v>
      </c>
      <c r="N5797" s="9" t="s">
        <v>20</v>
      </c>
      <c r="O5797" s="6" t="str">
        <f>HYPERLINK("https://pbs.twimg.com/profile_images/962471262747529216/Uo8lOkRJ_normal.jpg","View")</f>
        <v>View</v>
      </c>
      <c r="P5797" s="7"/>
    </row>
    <row r="5798" spans="1:16">
      <c r="A5798" s="3">
        <v>43964.278182870374</v>
      </c>
      <c r="B5798" s="4" t="str">
        <f>HYPERLINK("https://twitter.com/petrogustavo","@petrogustavo")</f>
        <v>@petrogustavo</v>
      </c>
      <c r="C5798" s="5" t="s">
        <v>16</v>
      </c>
      <c r="D5798" s="5" t="s">
        <v>5639</v>
      </c>
      <c r="E5798" s="6" t="str">
        <f>HYPERLINK("https://twitter.com/petrogustavo/status/1260376861223288835","1260376861223288835")</f>
        <v>1260376861223288835</v>
      </c>
      <c r="F5798" s="7" t="s">
        <v>17</v>
      </c>
      <c r="G5798" s="7">
        <v>3825660</v>
      </c>
      <c r="H5798" s="7">
        <v>2404</v>
      </c>
      <c r="I5798" s="7">
        <v>501</v>
      </c>
      <c r="J5798" s="7">
        <v>0</v>
      </c>
      <c r="K5798" s="7" t="s">
        <v>18</v>
      </c>
      <c r="L5798" s="8">
        <v>39987.315405092595</v>
      </c>
      <c r="M5798" s="9" t="s">
        <v>19</v>
      </c>
      <c r="N5798" s="9" t="s">
        <v>20</v>
      </c>
      <c r="O5798" s="6" t="str">
        <f>HYPERLINK("https://pbs.twimg.com/profile_images/962471262747529216/Uo8lOkRJ_normal.jpg","View")</f>
        <v>View</v>
      </c>
      <c r="P5798" s="7"/>
    </row>
    <row r="5799" spans="1:16">
      <c r="A5799" s="3">
        <v>43964.278368055559</v>
      </c>
      <c r="B5799" s="4" t="str">
        <f>HYPERLINK("https://twitter.com/petrogustavo","@petrogustavo")</f>
        <v>@petrogustavo</v>
      </c>
      <c r="C5799" s="5" t="s">
        <v>16</v>
      </c>
      <c r="D5799" s="5" t="s">
        <v>5640</v>
      </c>
      <c r="E5799" s="6" t="str">
        <f>HYPERLINK("https://twitter.com/petrogustavo/status/1260376929829629959","1260376929829629959")</f>
        <v>1260376929829629959</v>
      </c>
      <c r="F5799" s="7" t="s">
        <v>17</v>
      </c>
      <c r="G5799" s="7">
        <v>3825660</v>
      </c>
      <c r="H5799" s="7">
        <v>2404</v>
      </c>
      <c r="I5799" s="7">
        <v>100</v>
      </c>
      <c r="J5799" s="7">
        <v>0</v>
      </c>
      <c r="K5799" s="7" t="s">
        <v>18</v>
      </c>
      <c r="L5799" s="8">
        <v>39987.315405092595</v>
      </c>
      <c r="M5799" s="9" t="s">
        <v>19</v>
      </c>
      <c r="N5799" s="9" t="s">
        <v>20</v>
      </c>
      <c r="O5799" s="6" t="str">
        <f>HYPERLINK("https://pbs.twimg.com/profile_images/962471262747529216/Uo8lOkRJ_normal.jpg","View")</f>
        <v>View</v>
      </c>
      <c r="P5799" s="7"/>
    </row>
    <row r="5800" spans="1:16">
      <c r="A5800" s="3">
        <v>43964.281273148154</v>
      </c>
      <c r="B5800" s="4" t="str">
        <f>HYPERLINK("https://twitter.com/petrogustavo","@petrogustavo")</f>
        <v>@petrogustavo</v>
      </c>
      <c r="C5800" s="5" t="s">
        <v>16</v>
      </c>
      <c r="D5800" s="5" t="s">
        <v>5641</v>
      </c>
      <c r="E5800" s="6" t="str">
        <f>HYPERLINK("https://twitter.com/petrogustavo/status/1260377983212281858","1260377983212281858")</f>
        <v>1260377983212281858</v>
      </c>
      <c r="F5800" s="7" t="s">
        <v>17</v>
      </c>
      <c r="G5800" s="7">
        <v>3825660</v>
      </c>
      <c r="H5800" s="7">
        <v>2404</v>
      </c>
      <c r="I5800" s="7">
        <v>184</v>
      </c>
      <c r="J5800" s="7">
        <v>0</v>
      </c>
      <c r="K5800" s="7" t="s">
        <v>18</v>
      </c>
      <c r="L5800" s="8">
        <v>39987.315405092595</v>
      </c>
      <c r="M5800" s="9" t="s">
        <v>19</v>
      </c>
      <c r="N5800" s="9" t="s">
        <v>20</v>
      </c>
      <c r="O5800" s="6" t="str">
        <f>HYPERLINK("https://pbs.twimg.com/profile_images/962471262747529216/Uo8lOkRJ_normal.jpg","View")</f>
        <v>View</v>
      </c>
      <c r="P5800" s="7"/>
    </row>
    <row r="5801" spans="1:16">
      <c r="A5801" s="3">
        <v>43964.28837962963</v>
      </c>
      <c r="B5801" s="4" t="str">
        <f>HYPERLINK("https://twitter.com/petrogustavo","@petrogustavo")</f>
        <v>@petrogustavo</v>
      </c>
      <c r="C5801" s="5" t="s">
        <v>16</v>
      </c>
      <c r="D5801" s="5" t="s">
        <v>5642</v>
      </c>
      <c r="E5801" s="6" t="str">
        <f>HYPERLINK("https://twitter.com/petrogustavo/status/1260380559458676736","1260380559458676736")</f>
        <v>1260380559458676736</v>
      </c>
      <c r="F5801" s="7" t="s">
        <v>17</v>
      </c>
      <c r="G5801" s="7">
        <v>3825660</v>
      </c>
      <c r="H5801" s="7">
        <v>2404</v>
      </c>
      <c r="I5801" s="7">
        <v>397</v>
      </c>
      <c r="J5801" s="7">
        <v>0</v>
      </c>
      <c r="K5801" s="7" t="s">
        <v>18</v>
      </c>
      <c r="L5801" s="8">
        <v>39987.315405092595</v>
      </c>
      <c r="M5801" s="9" t="s">
        <v>19</v>
      </c>
      <c r="N5801" s="9" t="s">
        <v>20</v>
      </c>
      <c r="O5801" s="6" t="str">
        <f>HYPERLINK("https://pbs.twimg.com/profile_images/962471262747529216/Uo8lOkRJ_normal.jpg","View")</f>
        <v>View</v>
      </c>
      <c r="P5801" s="7"/>
    </row>
    <row r="5802" spans="1:16">
      <c r="A5802" s="3">
        <v>43964.289375</v>
      </c>
      <c r="B5802" s="4" t="str">
        <f>HYPERLINK("https://twitter.com/petrogustavo","@petrogustavo")</f>
        <v>@petrogustavo</v>
      </c>
      <c r="C5802" s="5" t="s">
        <v>16</v>
      </c>
      <c r="D5802" s="5" t="s">
        <v>5643</v>
      </c>
      <c r="E5802" s="6" t="str">
        <f>HYPERLINK("https://twitter.com/petrogustavo/status/1260380917052424194","1260380917052424194")</f>
        <v>1260380917052424194</v>
      </c>
      <c r="F5802" s="7" t="s">
        <v>17</v>
      </c>
      <c r="G5802" s="7">
        <v>3825660</v>
      </c>
      <c r="H5802" s="7">
        <v>2404</v>
      </c>
      <c r="I5802" s="7">
        <v>21</v>
      </c>
      <c r="J5802" s="7">
        <v>0</v>
      </c>
      <c r="K5802" s="7" t="s">
        <v>18</v>
      </c>
      <c r="L5802" s="8">
        <v>39987.315405092595</v>
      </c>
      <c r="M5802" s="9" t="s">
        <v>19</v>
      </c>
      <c r="N5802" s="9" t="s">
        <v>20</v>
      </c>
      <c r="O5802" s="6" t="str">
        <f>HYPERLINK("https://pbs.twimg.com/profile_images/962471262747529216/Uo8lOkRJ_normal.jpg","View")</f>
        <v>View</v>
      </c>
      <c r="P5802" s="7"/>
    </row>
    <row r="5803" spans="1:16">
      <c r="A5803" s="3">
        <v>43964.73574074074</v>
      </c>
      <c r="B5803" s="4" t="str">
        <f>HYPERLINK("https://twitter.com/petrogustavo","@petrogustavo")</f>
        <v>@petrogustavo</v>
      </c>
      <c r="C5803" s="5" t="s">
        <v>16</v>
      </c>
      <c r="D5803" s="5" t="s">
        <v>5644</v>
      </c>
      <c r="E5803" s="6" t="str">
        <f>HYPERLINK("https://twitter.com/petrogustavo/status/1260542677294161920","1260542677294161920")</f>
        <v>1260542677294161920</v>
      </c>
      <c r="F5803" s="7" t="s">
        <v>17</v>
      </c>
      <c r="G5803" s="7">
        <v>3825953</v>
      </c>
      <c r="H5803" s="7">
        <v>2402</v>
      </c>
      <c r="I5803" s="7">
        <v>206</v>
      </c>
      <c r="J5803" s="7">
        <v>413</v>
      </c>
      <c r="K5803" s="7" t="s">
        <v>18</v>
      </c>
      <c r="L5803" s="8">
        <v>39987.315405092595</v>
      </c>
      <c r="M5803" s="9" t="s">
        <v>19</v>
      </c>
      <c r="N5803" s="9" t="s">
        <v>20</v>
      </c>
      <c r="O5803" s="6" t="str">
        <f>HYPERLINK("https://pbs.twimg.com/profile_images/962471262747529216/Uo8lOkRJ_normal.jpg","View")</f>
        <v>View</v>
      </c>
      <c r="P5803" s="7"/>
    </row>
    <row r="5804" spans="1:16">
      <c r="A5804" s="3">
        <v>43964.745335648149</v>
      </c>
      <c r="B5804" s="4" t="str">
        <f>HYPERLINK("https://twitter.com/petrogustavo","@petrogustavo")</f>
        <v>@petrogustavo</v>
      </c>
      <c r="C5804" s="5" t="s">
        <v>16</v>
      </c>
      <c r="D5804" s="5" t="s">
        <v>5645</v>
      </c>
      <c r="E5804" s="6" t="str">
        <f>HYPERLINK("https://twitter.com/petrogustavo/status/1260546153550094336","1260546153550094336")</f>
        <v>1260546153550094336</v>
      </c>
      <c r="F5804" s="7" t="s">
        <v>17</v>
      </c>
      <c r="G5804" s="7">
        <v>3825953</v>
      </c>
      <c r="H5804" s="7">
        <v>2402</v>
      </c>
      <c r="I5804" s="7">
        <v>19</v>
      </c>
      <c r="J5804" s="7">
        <v>0</v>
      </c>
      <c r="K5804" s="7" t="s">
        <v>18</v>
      </c>
      <c r="L5804" s="8">
        <v>39987.315405092595</v>
      </c>
      <c r="M5804" s="9" t="s">
        <v>19</v>
      </c>
      <c r="N5804" s="9" t="s">
        <v>20</v>
      </c>
      <c r="O5804" s="6" t="str">
        <f>HYPERLINK("https://pbs.twimg.com/profile_images/962471262747529216/Uo8lOkRJ_normal.jpg","View")</f>
        <v>View</v>
      </c>
      <c r="P5804" s="7"/>
    </row>
    <row r="5805" spans="1:16">
      <c r="A5805" s="3">
        <v>43964.760196759264</v>
      </c>
      <c r="B5805" s="4" t="str">
        <f>HYPERLINK("https://twitter.com/petrogustavo","@petrogustavo")</f>
        <v>@petrogustavo</v>
      </c>
      <c r="C5805" s="5" t="s">
        <v>16</v>
      </c>
      <c r="D5805" s="5" t="s">
        <v>5646</v>
      </c>
      <c r="E5805" s="6" t="str">
        <f>HYPERLINK("https://twitter.com/petrogustavo/status/1260551537157386241","1260551537157386241")</f>
        <v>1260551537157386241</v>
      </c>
      <c r="F5805" s="7" t="s">
        <v>17</v>
      </c>
      <c r="G5805" s="7">
        <v>3825976</v>
      </c>
      <c r="H5805" s="7">
        <v>2402</v>
      </c>
      <c r="I5805" s="7">
        <v>162</v>
      </c>
      <c r="J5805" s="7">
        <v>0</v>
      </c>
      <c r="K5805" s="7" t="s">
        <v>18</v>
      </c>
      <c r="L5805" s="8">
        <v>39987.315405092595</v>
      </c>
      <c r="M5805" s="9" t="s">
        <v>19</v>
      </c>
      <c r="N5805" s="9" t="s">
        <v>20</v>
      </c>
      <c r="O5805" s="6" t="str">
        <f>HYPERLINK("https://pbs.twimg.com/profile_images/962471262747529216/Uo8lOkRJ_normal.jpg","View")</f>
        <v>View</v>
      </c>
      <c r="P5805" s="7"/>
    </row>
    <row r="5806" spans="1:16">
      <c r="A5806" s="3">
        <v>43964.762777777782</v>
      </c>
      <c r="B5806" s="4" t="str">
        <f>HYPERLINK("https://twitter.com/petrogustavo","@petrogustavo")</f>
        <v>@petrogustavo</v>
      </c>
      <c r="C5806" s="5" t="s">
        <v>16</v>
      </c>
      <c r="D5806" s="5" t="s">
        <v>5647</v>
      </c>
      <c r="E5806" s="6" t="str">
        <f>HYPERLINK("https://twitter.com/petrogustavo/status/1260552474173345799","1260552474173345799")</f>
        <v>1260552474173345799</v>
      </c>
      <c r="F5806" s="7" t="s">
        <v>17</v>
      </c>
      <c r="G5806" s="7">
        <v>3825976</v>
      </c>
      <c r="H5806" s="7">
        <v>2402</v>
      </c>
      <c r="I5806" s="7">
        <v>179</v>
      </c>
      <c r="J5806" s="7">
        <v>489</v>
      </c>
      <c r="K5806" s="7" t="s">
        <v>18</v>
      </c>
      <c r="L5806" s="8">
        <v>39987.315405092595</v>
      </c>
      <c r="M5806" s="9" t="s">
        <v>19</v>
      </c>
      <c r="N5806" s="9" t="s">
        <v>20</v>
      </c>
      <c r="O5806" s="6" t="str">
        <f>HYPERLINK("https://pbs.twimg.com/profile_images/962471262747529216/Uo8lOkRJ_normal.jpg","View")</f>
        <v>View</v>
      </c>
      <c r="P5806" s="7"/>
    </row>
    <row r="5807" spans="1:16">
      <c r="A5807" s="3">
        <v>43964.765925925924</v>
      </c>
      <c r="B5807" s="4" t="str">
        <f>HYPERLINK("https://twitter.com/petrogustavo","@petrogustavo")</f>
        <v>@petrogustavo</v>
      </c>
      <c r="C5807" s="5" t="s">
        <v>16</v>
      </c>
      <c r="D5807" s="5" t="s">
        <v>5648</v>
      </c>
      <c r="E5807" s="6" t="str">
        <f>HYPERLINK("https://twitter.com/petrogustavo/status/1260553617196625921","1260553617196625921")</f>
        <v>1260553617196625921</v>
      </c>
      <c r="F5807" s="7" t="s">
        <v>17</v>
      </c>
      <c r="G5807" s="7">
        <v>3825976</v>
      </c>
      <c r="H5807" s="7">
        <v>2402</v>
      </c>
      <c r="I5807" s="7">
        <v>217</v>
      </c>
      <c r="J5807" s="7">
        <v>0</v>
      </c>
      <c r="K5807" s="7" t="s">
        <v>18</v>
      </c>
      <c r="L5807" s="8">
        <v>39987.315405092595</v>
      </c>
      <c r="M5807" s="9" t="s">
        <v>19</v>
      </c>
      <c r="N5807" s="9" t="s">
        <v>20</v>
      </c>
      <c r="O5807" s="6" t="str">
        <f>HYPERLINK("https://pbs.twimg.com/profile_images/962471262747529216/Uo8lOkRJ_normal.jpg","View")</f>
        <v>View</v>
      </c>
      <c r="P5807" s="7"/>
    </row>
    <row r="5808" spans="1:16">
      <c r="A5808" s="3">
        <v>43964.76972222222</v>
      </c>
      <c r="B5808" s="4" t="str">
        <f>HYPERLINK("https://twitter.com/petrogustavo","@petrogustavo")</f>
        <v>@petrogustavo</v>
      </c>
      <c r="C5808" s="5" t="s">
        <v>16</v>
      </c>
      <c r="D5808" s="5" t="s">
        <v>5649</v>
      </c>
      <c r="E5808" s="6" t="str">
        <f>HYPERLINK("https://twitter.com/petrogustavo/status/1260554992257294338","1260554992257294338")</f>
        <v>1260554992257294338</v>
      </c>
      <c r="F5808" s="7" t="s">
        <v>17</v>
      </c>
      <c r="G5808" s="7">
        <v>3825976</v>
      </c>
      <c r="H5808" s="7">
        <v>2402</v>
      </c>
      <c r="I5808" s="7">
        <v>2381</v>
      </c>
      <c r="J5808" s="7">
        <v>0</v>
      </c>
      <c r="K5808" s="7" t="s">
        <v>18</v>
      </c>
      <c r="L5808" s="8">
        <v>39987.315405092595</v>
      </c>
      <c r="M5808" s="9" t="s">
        <v>19</v>
      </c>
      <c r="N5808" s="9" t="s">
        <v>20</v>
      </c>
      <c r="O5808" s="6" t="str">
        <f>HYPERLINK("https://pbs.twimg.com/profile_images/962471262747529216/Uo8lOkRJ_normal.jpg","View")</f>
        <v>View</v>
      </c>
      <c r="P5808" s="7"/>
    </row>
    <row r="5809" spans="1:16">
      <c r="A5809" s="3">
        <v>43964.773252314815</v>
      </c>
      <c r="B5809" s="4" t="str">
        <f>HYPERLINK("https://twitter.com/petrogustavo","@petrogustavo")</f>
        <v>@petrogustavo</v>
      </c>
      <c r="C5809" s="5" t="s">
        <v>16</v>
      </c>
      <c r="D5809" s="5" t="s">
        <v>5650</v>
      </c>
      <c r="E5809" s="6" t="str">
        <f>HYPERLINK("https://twitter.com/petrogustavo/status/1260556271213821952","1260556271213821952")</f>
        <v>1260556271213821952</v>
      </c>
      <c r="F5809" s="7" t="s">
        <v>17</v>
      </c>
      <c r="G5809" s="7">
        <v>3826001</v>
      </c>
      <c r="H5809" s="7">
        <v>2402</v>
      </c>
      <c r="I5809" s="7">
        <v>251</v>
      </c>
      <c r="J5809" s="7">
        <v>469</v>
      </c>
      <c r="K5809" s="7" t="s">
        <v>18</v>
      </c>
      <c r="L5809" s="8">
        <v>39987.315405092595</v>
      </c>
      <c r="M5809" s="9" t="s">
        <v>19</v>
      </c>
      <c r="N5809" s="9" t="s">
        <v>20</v>
      </c>
      <c r="O5809" s="6" t="str">
        <f>HYPERLINK("https://pbs.twimg.com/profile_images/962471262747529216/Uo8lOkRJ_normal.jpg","View")</f>
        <v>View</v>
      </c>
      <c r="P5809" s="7"/>
    </row>
    <row r="5810" spans="1:16">
      <c r="A5810" s="3">
        <v>43964.830775462964</v>
      </c>
      <c r="B5810" s="4" t="str">
        <f>HYPERLINK("https://twitter.com/petrogustavo","@petrogustavo")</f>
        <v>@petrogustavo</v>
      </c>
      <c r="C5810" s="5" t="s">
        <v>16</v>
      </c>
      <c r="D5810" s="5" t="s">
        <v>5651</v>
      </c>
      <c r="E5810" s="6" t="str">
        <f>HYPERLINK("https://twitter.com/petrogustavo/status/1260577117575819265","1260577117575819265")</f>
        <v>1260577117575819265</v>
      </c>
      <c r="F5810" s="7" t="s">
        <v>17</v>
      </c>
      <c r="G5810" s="7">
        <v>3826047</v>
      </c>
      <c r="H5810" s="7">
        <v>2402</v>
      </c>
      <c r="I5810" s="7">
        <v>73</v>
      </c>
      <c r="J5810" s="7">
        <v>115</v>
      </c>
      <c r="K5810" s="7" t="s">
        <v>18</v>
      </c>
      <c r="L5810" s="8">
        <v>39987.315405092595</v>
      </c>
      <c r="M5810" s="9" t="s">
        <v>19</v>
      </c>
      <c r="N5810" s="9" t="s">
        <v>20</v>
      </c>
      <c r="O5810" s="6" t="str">
        <f>HYPERLINK("https://pbs.twimg.com/profile_images/962471262747529216/Uo8lOkRJ_normal.jpg","View")</f>
        <v>View</v>
      </c>
      <c r="P5810" s="7"/>
    </row>
    <row r="5811" spans="1:16">
      <c r="A5811" s="3">
        <v>43964.851307870369</v>
      </c>
      <c r="B5811" s="4" t="str">
        <f>HYPERLINK("https://twitter.com/petrogustavo","@petrogustavo")</f>
        <v>@petrogustavo</v>
      </c>
      <c r="C5811" s="5" t="s">
        <v>16</v>
      </c>
      <c r="D5811" s="5" t="s">
        <v>5652</v>
      </c>
      <c r="E5811" s="6" t="str">
        <f>HYPERLINK("https://twitter.com/petrogustavo/status/1260584558443012097","1260584558443012097")</f>
        <v>1260584558443012097</v>
      </c>
      <c r="F5811" s="7" t="s">
        <v>17</v>
      </c>
      <c r="G5811" s="7">
        <v>3826081</v>
      </c>
      <c r="H5811" s="7">
        <v>2402</v>
      </c>
      <c r="I5811" s="7">
        <v>30</v>
      </c>
      <c r="J5811" s="7">
        <v>53</v>
      </c>
      <c r="K5811" s="7" t="s">
        <v>18</v>
      </c>
      <c r="L5811" s="8">
        <v>39987.315405092595</v>
      </c>
      <c r="M5811" s="9" t="s">
        <v>19</v>
      </c>
      <c r="N5811" s="9" t="s">
        <v>20</v>
      </c>
      <c r="O5811" s="6" t="str">
        <f>HYPERLINK("https://pbs.twimg.com/profile_images/962471262747529216/Uo8lOkRJ_normal.jpg","View")</f>
        <v>View</v>
      </c>
      <c r="P5811" s="7"/>
    </row>
    <row r="5812" spans="1:16">
      <c r="A5812" s="3">
        <v>43965.025740740741</v>
      </c>
      <c r="B5812" s="4" t="str">
        <f>HYPERLINK("https://twitter.com/petrogustavo","@petrogustavo")</f>
        <v>@petrogustavo</v>
      </c>
      <c r="C5812" s="5" t="s">
        <v>16</v>
      </c>
      <c r="D5812" s="5" t="s">
        <v>5653</v>
      </c>
      <c r="E5812" s="6" t="str">
        <f>HYPERLINK("https://twitter.com/petrogustavo/status/1260647768969736193","1260647768969736193")</f>
        <v>1260647768969736193</v>
      </c>
      <c r="F5812" s="7" t="s">
        <v>32</v>
      </c>
      <c r="G5812" s="7">
        <v>3826362</v>
      </c>
      <c r="H5812" s="7">
        <v>2403</v>
      </c>
      <c r="I5812" s="7">
        <v>209</v>
      </c>
      <c r="J5812" s="7">
        <v>504</v>
      </c>
      <c r="K5812" s="7" t="s">
        <v>18</v>
      </c>
      <c r="L5812" s="8">
        <v>39987.315405092595</v>
      </c>
      <c r="M5812" s="9" t="s">
        <v>19</v>
      </c>
      <c r="N5812" s="9" t="s">
        <v>20</v>
      </c>
      <c r="O5812" s="6" t="str">
        <f>HYPERLINK("https://pbs.twimg.com/profile_images/962471262747529216/Uo8lOkRJ_normal.jpg","View")</f>
        <v>View</v>
      </c>
      <c r="P5812" s="7"/>
    </row>
    <row r="5813" spans="1:16">
      <c r="A5813" s="3">
        <v>43965.032222222224</v>
      </c>
      <c r="B5813" s="4" t="str">
        <f>HYPERLINK("https://twitter.com/petrogustavo","@petrogustavo")</f>
        <v>@petrogustavo</v>
      </c>
      <c r="C5813" s="5" t="s">
        <v>16</v>
      </c>
      <c r="D5813" s="5" t="s">
        <v>5654</v>
      </c>
      <c r="E5813" s="6" t="str">
        <f>HYPERLINK("https://twitter.com/petrogustavo/status/1260650119700967424","1260650119700967424")</f>
        <v>1260650119700967424</v>
      </c>
      <c r="F5813" s="7" t="s">
        <v>32</v>
      </c>
      <c r="G5813" s="7">
        <v>3826362</v>
      </c>
      <c r="H5813" s="7">
        <v>2403</v>
      </c>
      <c r="I5813" s="7">
        <v>43</v>
      </c>
      <c r="J5813" s="7">
        <v>120</v>
      </c>
      <c r="K5813" s="7" t="s">
        <v>18</v>
      </c>
      <c r="L5813" s="8">
        <v>39987.315405092595</v>
      </c>
      <c r="M5813" s="9" t="s">
        <v>19</v>
      </c>
      <c r="N5813" s="9" t="s">
        <v>20</v>
      </c>
      <c r="O5813" s="6" t="str">
        <f>HYPERLINK("https://pbs.twimg.com/profile_images/962471262747529216/Uo8lOkRJ_normal.jpg","View")</f>
        <v>View</v>
      </c>
      <c r="P5813" s="7"/>
    </row>
    <row r="5814" spans="1:16">
      <c r="A5814" s="3">
        <v>43965.03969907407</v>
      </c>
      <c r="B5814" s="4" t="str">
        <f>HYPERLINK("https://twitter.com/petrogustavo","@petrogustavo")</f>
        <v>@petrogustavo</v>
      </c>
      <c r="C5814" s="5" t="s">
        <v>16</v>
      </c>
      <c r="D5814" s="5" t="s">
        <v>5655</v>
      </c>
      <c r="E5814" s="6" t="str">
        <f>HYPERLINK("https://twitter.com/petrogustavo/status/1260652826692186114","1260652826692186114")</f>
        <v>1260652826692186114</v>
      </c>
      <c r="F5814" s="7" t="s">
        <v>32</v>
      </c>
      <c r="G5814" s="7">
        <v>3826362</v>
      </c>
      <c r="H5814" s="7">
        <v>2403</v>
      </c>
      <c r="I5814" s="7">
        <v>72</v>
      </c>
      <c r="J5814" s="7">
        <v>251</v>
      </c>
      <c r="K5814" s="7" t="s">
        <v>18</v>
      </c>
      <c r="L5814" s="8">
        <v>39987.315405092595</v>
      </c>
      <c r="M5814" s="9" t="s">
        <v>19</v>
      </c>
      <c r="N5814" s="9" t="s">
        <v>20</v>
      </c>
      <c r="O5814" s="6" t="str">
        <f>HYPERLINK("https://pbs.twimg.com/profile_images/962471262747529216/Uo8lOkRJ_normal.jpg","View")</f>
        <v>View</v>
      </c>
      <c r="P5814" s="7"/>
    </row>
    <row r="5815" spans="1:16">
      <c r="A5815" s="3">
        <v>43965.079074074078</v>
      </c>
      <c r="B5815" s="4" t="str">
        <f>HYPERLINK("https://twitter.com/petrogustavo","@petrogustavo")</f>
        <v>@petrogustavo</v>
      </c>
      <c r="C5815" s="5" t="s">
        <v>16</v>
      </c>
      <c r="D5815" s="5" t="s">
        <v>5656</v>
      </c>
      <c r="E5815" s="6" t="str">
        <f>HYPERLINK("https://twitter.com/petrogustavo/status/1260667094695391234","1260667094695391234")</f>
        <v>1260667094695391234</v>
      </c>
      <c r="F5815" s="7" t="s">
        <v>17</v>
      </c>
      <c r="G5815" s="7">
        <v>3826398</v>
      </c>
      <c r="H5815" s="7">
        <v>2403</v>
      </c>
      <c r="I5815" s="7">
        <v>997</v>
      </c>
      <c r="J5815" s="7">
        <v>0</v>
      </c>
      <c r="K5815" s="7" t="s">
        <v>18</v>
      </c>
      <c r="L5815" s="8">
        <v>39987.315405092595</v>
      </c>
      <c r="M5815" s="9" t="s">
        <v>19</v>
      </c>
      <c r="N5815" s="9" t="s">
        <v>20</v>
      </c>
      <c r="O5815" s="6" t="str">
        <f>HYPERLINK("https://pbs.twimg.com/profile_images/962471262747529216/Uo8lOkRJ_normal.jpg","View")</f>
        <v>View</v>
      </c>
      <c r="P5815" s="7"/>
    </row>
    <row r="5816" spans="1:16">
      <c r="A5816" s="3">
        <v>43965.083564814813</v>
      </c>
      <c r="B5816" s="4" t="str">
        <f>HYPERLINK("https://twitter.com/petrogustavo","@petrogustavo")</f>
        <v>@petrogustavo</v>
      </c>
      <c r="C5816" s="5" t="s">
        <v>16</v>
      </c>
      <c r="D5816" s="5" t="s">
        <v>5657</v>
      </c>
      <c r="E5816" s="6" t="str">
        <f>HYPERLINK("https://twitter.com/petrogustavo/status/1260668723423260672","1260668723423260672")</f>
        <v>1260668723423260672</v>
      </c>
      <c r="F5816" s="7" t="s">
        <v>17</v>
      </c>
      <c r="G5816" s="7">
        <v>3826398</v>
      </c>
      <c r="H5816" s="7">
        <v>2403</v>
      </c>
      <c r="I5816" s="7">
        <v>71</v>
      </c>
      <c r="J5816" s="7">
        <v>170</v>
      </c>
      <c r="K5816" s="7" t="s">
        <v>18</v>
      </c>
      <c r="L5816" s="8">
        <v>39987.315405092595</v>
      </c>
      <c r="M5816" s="9" t="s">
        <v>19</v>
      </c>
      <c r="N5816" s="9" t="s">
        <v>20</v>
      </c>
      <c r="O5816" s="6" t="str">
        <f>HYPERLINK("https://pbs.twimg.com/profile_images/962471262747529216/Uo8lOkRJ_normal.jpg","View")</f>
        <v>View</v>
      </c>
      <c r="P5816" s="7"/>
    </row>
    <row r="5817" spans="1:16">
      <c r="A5817" s="3">
        <v>43965.254479166666</v>
      </c>
      <c r="B5817" s="4" t="str">
        <f>HYPERLINK("https://twitter.com/petrogustavo","@petrogustavo")</f>
        <v>@petrogustavo</v>
      </c>
      <c r="C5817" s="5" t="s">
        <v>16</v>
      </c>
      <c r="D5817" s="5" t="s">
        <v>5658</v>
      </c>
      <c r="E5817" s="6" t="str">
        <f>HYPERLINK("https://twitter.com/petrogustavo/status/1260730661201219584","1260730661201219584")</f>
        <v>1260730661201219584</v>
      </c>
      <c r="F5817" s="7" t="s">
        <v>17</v>
      </c>
      <c r="G5817" s="7">
        <v>3826677</v>
      </c>
      <c r="H5817" s="7">
        <v>2405</v>
      </c>
      <c r="I5817" s="7">
        <v>113</v>
      </c>
      <c r="J5817" s="7">
        <v>286</v>
      </c>
      <c r="K5817" s="7" t="s">
        <v>18</v>
      </c>
      <c r="L5817" s="8">
        <v>39987.315405092595</v>
      </c>
      <c r="M5817" s="9" t="s">
        <v>19</v>
      </c>
      <c r="N5817" s="9" t="s">
        <v>20</v>
      </c>
      <c r="O5817" s="6" t="str">
        <f>HYPERLINK("https://pbs.twimg.com/profile_images/962471262747529216/Uo8lOkRJ_normal.jpg","View")</f>
        <v>View</v>
      </c>
      <c r="P5817" s="7"/>
    </row>
    <row r="5818" spans="1:16">
      <c r="A5818" s="3">
        <v>43965.262002314819</v>
      </c>
      <c r="B5818" s="4" t="str">
        <f>HYPERLINK("https://twitter.com/petrogustavo","@petrogustavo")</f>
        <v>@petrogustavo</v>
      </c>
      <c r="C5818" s="5" t="s">
        <v>16</v>
      </c>
      <c r="D5818" s="5" t="s">
        <v>5659</v>
      </c>
      <c r="E5818" s="6" t="str">
        <f>HYPERLINK("https://twitter.com/petrogustavo/status/1260733387351953411","1260733387351953411")</f>
        <v>1260733387351953411</v>
      </c>
      <c r="F5818" s="7" t="s">
        <v>17</v>
      </c>
      <c r="G5818" s="7">
        <v>3826677</v>
      </c>
      <c r="H5818" s="7">
        <v>2405</v>
      </c>
      <c r="I5818" s="7">
        <v>629</v>
      </c>
      <c r="J5818" s="7">
        <v>0</v>
      </c>
      <c r="K5818" s="7" t="s">
        <v>18</v>
      </c>
      <c r="L5818" s="8">
        <v>39987.315405092595</v>
      </c>
      <c r="M5818" s="9" t="s">
        <v>19</v>
      </c>
      <c r="N5818" s="9" t="s">
        <v>20</v>
      </c>
      <c r="O5818" s="6" t="str">
        <f>HYPERLINK("https://pbs.twimg.com/profile_images/962471262747529216/Uo8lOkRJ_normal.jpg","View")</f>
        <v>View</v>
      </c>
      <c r="P5818" s="7"/>
    </row>
    <row r="5819" spans="1:16">
      <c r="A5819" s="3">
        <v>43965.263402777782</v>
      </c>
      <c r="B5819" s="4" t="str">
        <f>HYPERLINK("https://twitter.com/petrogustavo","@petrogustavo")</f>
        <v>@petrogustavo</v>
      </c>
      <c r="C5819" s="5" t="s">
        <v>16</v>
      </c>
      <c r="D5819" s="5" t="s">
        <v>5660</v>
      </c>
      <c r="E5819" s="6" t="str">
        <f>HYPERLINK("https://twitter.com/petrogustavo/status/1260733895181512705","1260733895181512705")</f>
        <v>1260733895181512705</v>
      </c>
      <c r="F5819" s="7" t="s">
        <v>17</v>
      </c>
      <c r="G5819" s="7">
        <v>3826677</v>
      </c>
      <c r="H5819" s="7">
        <v>2405</v>
      </c>
      <c r="I5819" s="7">
        <v>349</v>
      </c>
      <c r="J5819" s="7">
        <v>0</v>
      </c>
      <c r="K5819" s="7" t="s">
        <v>18</v>
      </c>
      <c r="L5819" s="8">
        <v>39987.315405092595</v>
      </c>
      <c r="M5819" s="9" t="s">
        <v>19</v>
      </c>
      <c r="N5819" s="9" t="s">
        <v>20</v>
      </c>
      <c r="O5819" s="6" t="str">
        <f>HYPERLINK("https://pbs.twimg.com/profile_images/962471262747529216/Uo8lOkRJ_normal.jpg","View")</f>
        <v>View</v>
      </c>
      <c r="P5819" s="7"/>
    </row>
    <row r="5820" spans="1:16">
      <c r="A5820" s="3">
        <v>43965.266909722224</v>
      </c>
      <c r="B5820" s="4" t="str">
        <f>HYPERLINK("https://twitter.com/petrogustavo","@petrogustavo")</f>
        <v>@petrogustavo</v>
      </c>
      <c r="C5820" s="5" t="s">
        <v>16</v>
      </c>
      <c r="D5820" s="5" t="s">
        <v>5661</v>
      </c>
      <c r="E5820" s="6" t="str">
        <f>HYPERLINK("https://twitter.com/petrogustavo/status/1260735165975990272","1260735165975990272")</f>
        <v>1260735165975990272</v>
      </c>
      <c r="F5820" s="7" t="s">
        <v>17</v>
      </c>
      <c r="G5820" s="7">
        <v>3826677</v>
      </c>
      <c r="H5820" s="7">
        <v>2405</v>
      </c>
      <c r="I5820" s="7">
        <v>4264</v>
      </c>
      <c r="J5820" s="7">
        <v>0</v>
      </c>
      <c r="K5820" s="7" t="s">
        <v>18</v>
      </c>
      <c r="L5820" s="8">
        <v>39987.315405092595</v>
      </c>
      <c r="M5820" s="9" t="s">
        <v>19</v>
      </c>
      <c r="N5820" s="9" t="s">
        <v>20</v>
      </c>
      <c r="O5820" s="6" t="str">
        <f>HYPERLINK("https://pbs.twimg.com/profile_images/962471262747529216/Uo8lOkRJ_normal.jpg","View")</f>
        <v>View</v>
      </c>
      <c r="P5820" s="7"/>
    </row>
    <row r="5821" spans="1:16">
      <c r="A5821" s="3">
        <v>43965.26944444445</v>
      </c>
      <c r="B5821" s="4" t="str">
        <f>HYPERLINK("https://twitter.com/petrogustavo","@petrogustavo")</f>
        <v>@petrogustavo</v>
      </c>
      <c r="C5821" s="5" t="s">
        <v>16</v>
      </c>
      <c r="D5821" s="5" t="s">
        <v>5662</v>
      </c>
      <c r="E5821" s="6" t="str">
        <f>HYPERLINK("https://twitter.com/petrogustavo/status/1260736082733301763","1260736082733301763")</f>
        <v>1260736082733301763</v>
      </c>
      <c r="F5821" s="7" t="s">
        <v>17</v>
      </c>
      <c r="G5821" s="7">
        <v>3826677</v>
      </c>
      <c r="H5821" s="7">
        <v>2405</v>
      </c>
      <c r="I5821" s="7">
        <v>1031</v>
      </c>
      <c r="J5821" s="7">
        <v>0</v>
      </c>
      <c r="K5821" s="7" t="s">
        <v>18</v>
      </c>
      <c r="L5821" s="8">
        <v>39987.315405092595</v>
      </c>
      <c r="M5821" s="9" t="s">
        <v>19</v>
      </c>
      <c r="N5821" s="9" t="s">
        <v>20</v>
      </c>
      <c r="O5821" s="6" t="str">
        <f>HYPERLINK("https://pbs.twimg.com/profile_images/962471262747529216/Uo8lOkRJ_normal.jpg","View")</f>
        <v>View</v>
      </c>
      <c r="P5821" s="7"/>
    </row>
    <row r="5822" spans="1:16">
      <c r="A5822" s="3">
        <v>43965.2731712963</v>
      </c>
      <c r="B5822" s="4" t="str">
        <f>HYPERLINK("https://twitter.com/petrogustavo","@petrogustavo")</f>
        <v>@petrogustavo</v>
      </c>
      <c r="C5822" s="5" t="s">
        <v>16</v>
      </c>
      <c r="D5822" s="5" t="s">
        <v>5663</v>
      </c>
      <c r="E5822" s="6" t="str">
        <f>HYPERLINK("https://twitter.com/petrogustavo/status/1260737435144683521","1260737435144683521")</f>
        <v>1260737435144683521</v>
      </c>
      <c r="F5822" s="7" t="s">
        <v>17</v>
      </c>
      <c r="G5822" s="7">
        <v>3826713</v>
      </c>
      <c r="H5822" s="7">
        <v>2405</v>
      </c>
      <c r="I5822" s="7">
        <v>114</v>
      </c>
      <c r="J5822" s="7">
        <v>0</v>
      </c>
      <c r="K5822" s="7" t="s">
        <v>18</v>
      </c>
      <c r="L5822" s="8">
        <v>39987.315405092595</v>
      </c>
      <c r="M5822" s="9" t="s">
        <v>19</v>
      </c>
      <c r="N5822" s="9" t="s">
        <v>20</v>
      </c>
      <c r="O5822" s="6" t="str">
        <f>HYPERLINK("https://pbs.twimg.com/profile_images/962471262747529216/Uo8lOkRJ_normal.jpg","View")</f>
        <v>View</v>
      </c>
      <c r="P5822" s="7"/>
    </row>
    <row r="5823" spans="1:16">
      <c r="A5823" s="3">
        <v>43965.275624999995</v>
      </c>
      <c r="B5823" s="4" t="str">
        <f>HYPERLINK("https://twitter.com/petrogustavo","@petrogustavo")</f>
        <v>@petrogustavo</v>
      </c>
      <c r="C5823" s="5" t="s">
        <v>16</v>
      </c>
      <c r="D5823" s="5" t="s">
        <v>5664</v>
      </c>
      <c r="E5823" s="6" t="str">
        <f>HYPERLINK("https://twitter.com/petrogustavo/status/1260738323229937664","1260738323229937664")</f>
        <v>1260738323229937664</v>
      </c>
      <c r="F5823" s="7" t="s">
        <v>17</v>
      </c>
      <c r="G5823" s="7">
        <v>3826713</v>
      </c>
      <c r="H5823" s="7">
        <v>2405</v>
      </c>
      <c r="I5823" s="7">
        <v>219</v>
      </c>
      <c r="J5823" s="7">
        <v>0</v>
      </c>
      <c r="K5823" s="7" t="s">
        <v>18</v>
      </c>
      <c r="L5823" s="8">
        <v>39987.315405092595</v>
      </c>
      <c r="M5823" s="9" t="s">
        <v>19</v>
      </c>
      <c r="N5823" s="9" t="s">
        <v>20</v>
      </c>
      <c r="O5823" s="6" t="str">
        <f>HYPERLINK("https://pbs.twimg.com/profile_images/962471262747529216/Uo8lOkRJ_normal.jpg","View")</f>
        <v>View</v>
      </c>
      <c r="P5823" s="7"/>
    </row>
    <row r="5824" spans="1:16">
      <c r="A5824" s="3">
        <v>43965.275810185187</v>
      </c>
      <c r="B5824" s="4" t="str">
        <f>HYPERLINK("https://twitter.com/petrogustavo","@petrogustavo")</f>
        <v>@petrogustavo</v>
      </c>
      <c r="C5824" s="5" t="s">
        <v>16</v>
      </c>
      <c r="D5824" s="5" t="s">
        <v>5665</v>
      </c>
      <c r="E5824" s="6" t="str">
        <f>HYPERLINK("https://twitter.com/petrogustavo/status/1260738392679165953","1260738392679165953")</f>
        <v>1260738392679165953</v>
      </c>
      <c r="F5824" s="7" t="s">
        <v>17</v>
      </c>
      <c r="G5824" s="7">
        <v>3826713</v>
      </c>
      <c r="H5824" s="7">
        <v>2405</v>
      </c>
      <c r="I5824" s="7">
        <v>186</v>
      </c>
      <c r="J5824" s="7">
        <v>0</v>
      </c>
      <c r="K5824" s="7" t="s">
        <v>18</v>
      </c>
      <c r="L5824" s="8">
        <v>39987.315405092595</v>
      </c>
      <c r="M5824" s="9" t="s">
        <v>19</v>
      </c>
      <c r="N5824" s="9" t="s">
        <v>20</v>
      </c>
      <c r="O5824" s="6" t="str">
        <f>HYPERLINK("https://pbs.twimg.com/profile_images/962471262747529216/Uo8lOkRJ_normal.jpg","View")</f>
        <v>View</v>
      </c>
      <c r="P5824" s="7"/>
    </row>
    <row r="5825" spans="1:16">
      <c r="A5825" s="3">
        <v>43965.275856481487</v>
      </c>
      <c r="B5825" s="4" t="str">
        <f>HYPERLINK("https://twitter.com/petrogustavo","@petrogustavo")</f>
        <v>@petrogustavo</v>
      </c>
      <c r="C5825" s="5" t="s">
        <v>16</v>
      </c>
      <c r="D5825" s="5" t="s">
        <v>5666</v>
      </c>
      <c r="E5825" s="6" t="str">
        <f>HYPERLINK("https://twitter.com/petrogustavo/status/1260738407405322241","1260738407405322241")</f>
        <v>1260738407405322241</v>
      </c>
      <c r="F5825" s="7" t="s">
        <v>17</v>
      </c>
      <c r="G5825" s="7">
        <v>3826713</v>
      </c>
      <c r="H5825" s="7">
        <v>2405</v>
      </c>
      <c r="I5825" s="7">
        <v>1913</v>
      </c>
      <c r="J5825" s="7">
        <v>0</v>
      </c>
      <c r="K5825" s="7" t="s">
        <v>18</v>
      </c>
      <c r="L5825" s="8">
        <v>39987.315405092595</v>
      </c>
      <c r="M5825" s="9" t="s">
        <v>19</v>
      </c>
      <c r="N5825" s="9" t="s">
        <v>20</v>
      </c>
      <c r="O5825" s="6" t="str">
        <f>HYPERLINK("https://pbs.twimg.com/profile_images/962471262747529216/Uo8lOkRJ_normal.jpg","View")</f>
        <v>View</v>
      </c>
      <c r="P5825" s="7"/>
    </row>
    <row r="5826" spans="1:16">
      <c r="A5826" s="3">
        <v>43965.368495370371</v>
      </c>
      <c r="B5826" s="4" t="str">
        <f>HYPERLINK("https://twitter.com/petrogustavo","@petrogustavo")</f>
        <v>@petrogustavo</v>
      </c>
      <c r="C5826" s="5" t="s">
        <v>16</v>
      </c>
      <c r="D5826" s="5" t="s">
        <v>5667</v>
      </c>
      <c r="E5826" s="6" t="str">
        <f>HYPERLINK("https://twitter.com/petrogustavo/status/1260771978073554944","1260771978073554944")</f>
        <v>1260771978073554944</v>
      </c>
      <c r="F5826" s="7" t="s">
        <v>17</v>
      </c>
      <c r="G5826" s="7">
        <v>3826855</v>
      </c>
      <c r="H5826" s="7">
        <v>2404</v>
      </c>
      <c r="I5826" s="7">
        <v>73</v>
      </c>
      <c r="J5826" s="7">
        <v>0</v>
      </c>
      <c r="K5826" s="7" t="s">
        <v>18</v>
      </c>
      <c r="L5826" s="8">
        <v>39987.315405092595</v>
      </c>
      <c r="M5826" s="9" t="s">
        <v>19</v>
      </c>
      <c r="N5826" s="9" t="s">
        <v>20</v>
      </c>
      <c r="O5826" s="6" t="str">
        <f>HYPERLINK("https://pbs.twimg.com/profile_images/962471262747529216/Uo8lOkRJ_normal.jpg","View")</f>
        <v>View</v>
      </c>
      <c r="P5826" s="7"/>
    </row>
    <row r="5827" spans="1:16">
      <c r="A5827" s="3">
        <v>43965.383402777778</v>
      </c>
      <c r="B5827" s="4" t="str">
        <f>HYPERLINK("https://twitter.com/petrogustavo","@petrogustavo")</f>
        <v>@petrogustavo</v>
      </c>
      <c r="C5827" s="5" t="s">
        <v>16</v>
      </c>
      <c r="D5827" s="5" t="s">
        <v>5668</v>
      </c>
      <c r="E5827" s="6" t="str">
        <f>HYPERLINK("https://twitter.com/petrogustavo/status/1260777379342974981","1260777379342974981")</f>
        <v>1260777379342974981</v>
      </c>
      <c r="F5827" s="7" t="s">
        <v>17</v>
      </c>
      <c r="G5827" s="7">
        <v>3826883</v>
      </c>
      <c r="H5827" s="7">
        <v>2404</v>
      </c>
      <c r="I5827" s="7">
        <v>19</v>
      </c>
      <c r="J5827" s="7">
        <v>0</v>
      </c>
      <c r="K5827" s="7" t="s">
        <v>18</v>
      </c>
      <c r="L5827" s="8">
        <v>39987.315405092595</v>
      </c>
      <c r="M5827" s="9" t="s">
        <v>19</v>
      </c>
      <c r="N5827" s="9" t="s">
        <v>20</v>
      </c>
      <c r="O5827" s="6" t="str">
        <f>HYPERLINK("https://pbs.twimg.com/profile_images/962471262747529216/Uo8lOkRJ_normal.jpg","View")</f>
        <v>View</v>
      </c>
      <c r="P5827" s="7"/>
    </row>
    <row r="5828" spans="1:16">
      <c r="A5828" s="3">
        <v>43965.390393518523</v>
      </c>
      <c r="B5828" s="4" t="str">
        <f>HYPERLINK("https://twitter.com/petrogustavo","@petrogustavo")</f>
        <v>@petrogustavo</v>
      </c>
      <c r="C5828" s="5" t="s">
        <v>16</v>
      </c>
      <c r="D5828" s="5" t="s">
        <v>5669</v>
      </c>
      <c r="E5828" s="6" t="str">
        <f>HYPERLINK("https://twitter.com/petrogustavo/status/1260779914099331072","1260779914099331072")</f>
        <v>1260779914099331072</v>
      </c>
      <c r="F5828" s="7" t="s">
        <v>17</v>
      </c>
      <c r="G5828" s="7">
        <v>3826883</v>
      </c>
      <c r="H5828" s="7">
        <v>2404</v>
      </c>
      <c r="I5828" s="7">
        <v>34</v>
      </c>
      <c r="J5828" s="7">
        <v>93</v>
      </c>
      <c r="K5828" s="7" t="s">
        <v>18</v>
      </c>
      <c r="L5828" s="8">
        <v>39987.315405092595</v>
      </c>
      <c r="M5828" s="9" t="s">
        <v>19</v>
      </c>
      <c r="N5828" s="9" t="s">
        <v>20</v>
      </c>
      <c r="O5828" s="6" t="str">
        <f>HYPERLINK("https://pbs.twimg.com/profile_images/962471262747529216/Uo8lOkRJ_normal.jpg","View")</f>
        <v>View</v>
      </c>
      <c r="P5828" s="7"/>
    </row>
    <row r="5829" spans="1:16">
      <c r="A5829" s="3">
        <v>43965.392812499995</v>
      </c>
      <c r="B5829" s="4" t="str">
        <f>HYPERLINK("https://twitter.com/petrogustavo","@petrogustavo")</f>
        <v>@petrogustavo</v>
      </c>
      <c r="C5829" s="5" t="s">
        <v>16</v>
      </c>
      <c r="D5829" s="5" t="s">
        <v>5670</v>
      </c>
      <c r="E5829" s="6" t="str">
        <f>HYPERLINK("https://twitter.com/petrogustavo/status/1260780790897618944","1260780790897618944")</f>
        <v>1260780790897618944</v>
      </c>
      <c r="F5829" s="7" t="s">
        <v>17</v>
      </c>
      <c r="G5829" s="7">
        <v>3826883</v>
      </c>
      <c r="H5829" s="7">
        <v>2404</v>
      </c>
      <c r="I5829" s="7">
        <v>12</v>
      </c>
      <c r="J5829" s="7">
        <v>0</v>
      </c>
      <c r="K5829" s="7" t="s">
        <v>18</v>
      </c>
      <c r="L5829" s="8">
        <v>39987.315405092595</v>
      </c>
      <c r="M5829" s="9" t="s">
        <v>19</v>
      </c>
      <c r="N5829" s="9" t="s">
        <v>20</v>
      </c>
      <c r="O5829" s="6" t="str">
        <f>HYPERLINK("https://pbs.twimg.com/profile_images/962471262747529216/Uo8lOkRJ_normal.jpg","View")</f>
        <v>View</v>
      </c>
      <c r="P5829" s="7"/>
    </row>
    <row r="5830" spans="1:16">
      <c r="A5830" s="3">
        <v>43965.723854166667</v>
      </c>
      <c r="B5830" s="4" t="str">
        <f>HYPERLINK("https://twitter.com/petrogustavo","@petrogustavo")</f>
        <v>@petrogustavo</v>
      </c>
      <c r="C5830" s="5" t="s">
        <v>16</v>
      </c>
      <c r="D5830" s="5" t="s">
        <v>5671</v>
      </c>
      <c r="E5830" s="6" t="str">
        <f>HYPERLINK("https://twitter.com/petrogustavo/status/1260900755529236481","1260900755529236481")</f>
        <v>1260900755529236481</v>
      </c>
      <c r="F5830" s="7" t="s">
        <v>17</v>
      </c>
      <c r="G5830" s="7">
        <v>3827026</v>
      </c>
      <c r="H5830" s="7">
        <v>2405</v>
      </c>
      <c r="I5830" s="7">
        <v>73</v>
      </c>
      <c r="J5830" s="7">
        <v>101</v>
      </c>
      <c r="K5830" s="7" t="s">
        <v>18</v>
      </c>
      <c r="L5830" s="8">
        <v>39987.315405092595</v>
      </c>
      <c r="M5830" s="9" t="s">
        <v>19</v>
      </c>
      <c r="N5830" s="9" t="s">
        <v>20</v>
      </c>
      <c r="O5830" s="6" t="str">
        <f>HYPERLINK("https://pbs.twimg.com/profile_images/962471262747529216/Uo8lOkRJ_normal.jpg","View")</f>
        <v>View</v>
      </c>
      <c r="P5830" s="7"/>
    </row>
    <row r="5831" spans="1:16">
      <c r="A5831" s="3">
        <v>43965.733668981484</v>
      </c>
      <c r="B5831" s="4" t="str">
        <f>HYPERLINK("https://twitter.com/petrogustavo","@petrogustavo")</f>
        <v>@petrogustavo</v>
      </c>
      <c r="C5831" s="5" t="s">
        <v>16</v>
      </c>
      <c r="D5831" s="5" t="s">
        <v>5670</v>
      </c>
      <c r="E5831" s="6" t="str">
        <f>HYPERLINK("https://twitter.com/petrogustavo/status/1260904314568151040","1260904314568151040")</f>
        <v>1260904314568151040</v>
      </c>
      <c r="F5831" s="7" t="s">
        <v>17</v>
      </c>
      <c r="G5831" s="7">
        <v>3827048</v>
      </c>
      <c r="H5831" s="7">
        <v>2405</v>
      </c>
      <c r="I5831" s="7">
        <v>64</v>
      </c>
      <c r="J5831" s="7">
        <v>0</v>
      </c>
      <c r="K5831" s="7" t="s">
        <v>18</v>
      </c>
      <c r="L5831" s="8">
        <v>39987.315405092595</v>
      </c>
      <c r="M5831" s="9" t="s">
        <v>19</v>
      </c>
      <c r="N5831" s="9" t="s">
        <v>20</v>
      </c>
      <c r="O5831" s="6" t="str">
        <f>HYPERLINK("https://pbs.twimg.com/profile_images/962471262747529216/Uo8lOkRJ_normal.jpg","View")</f>
        <v>View</v>
      </c>
      <c r="P5831" s="7"/>
    </row>
    <row r="5832" spans="1:16">
      <c r="A5832" s="3">
        <v>43965.742719907408</v>
      </c>
      <c r="B5832" s="4" t="str">
        <f>HYPERLINK("https://twitter.com/petrogustavo","@petrogustavo")</f>
        <v>@petrogustavo</v>
      </c>
      <c r="C5832" s="5" t="s">
        <v>16</v>
      </c>
      <c r="D5832" s="5" t="s">
        <v>5672</v>
      </c>
      <c r="E5832" s="6" t="str">
        <f>HYPERLINK("https://twitter.com/petrogustavo/status/1260907592693567489","1260907592693567489")</f>
        <v>1260907592693567489</v>
      </c>
      <c r="F5832" s="7" t="s">
        <v>17</v>
      </c>
      <c r="G5832" s="7">
        <v>3827048</v>
      </c>
      <c r="H5832" s="7">
        <v>2405</v>
      </c>
      <c r="I5832" s="7">
        <v>156</v>
      </c>
      <c r="J5832" s="7">
        <v>536</v>
      </c>
      <c r="K5832" s="7" t="s">
        <v>18</v>
      </c>
      <c r="L5832" s="8">
        <v>39987.315405092595</v>
      </c>
      <c r="M5832" s="9" t="s">
        <v>19</v>
      </c>
      <c r="N5832" s="9" t="s">
        <v>20</v>
      </c>
      <c r="O5832" s="6" t="str">
        <f>HYPERLINK("https://pbs.twimg.com/profile_images/962471262747529216/Uo8lOkRJ_normal.jpg","View")</f>
        <v>View</v>
      </c>
      <c r="P5832" s="7"/>
    </row>
    <row r="5833" spans="1:16">
      <c r="A5833" s="3">
        <v>43965.745497685188</v>
      </c>
      <c r="B5833" s="4" t="str">
        <f>HYPERLINK("https://twitter.com/petrogustavo","@petrogustavo")</f>
        <v>@petrogustavo</v>
      </c>
      <c r="C5833" s="5" t="s">
        <v>16</v>
      </c>
      <c r="D5833" s="5" t="s">
        <v>5673</v>
      </c>
      <c r="E5833" s="6" t="str">
        <f>HYPERLINK("https://twitter.com/petrogustavo/status/1260908600438001664","1260908600438001664")</f>
        <v>1260908600438001664</v>
      </c>
      <c r="F5833" s="7" t="s">
        <v>17</v>
      </c>
      <c r="G5833" s="7">
        <v>3827048</v>
      </c>
      <c r="H5833" s="7">
        <v>2405</v>
      </c>
      <c r="I5833" s="7">
        <v>37</v>
      </c>
      <c r="J5833" s="7">
        <v>96</v>
      </c>
      <c r="K5833" s="7" t="s">
        <v>18</v>
      </c>
      <c r="L5833" s="8">
        <v>39987.315405092595</v>
      </c>
      <c r="M5833" s="9" t="s">
        <v>19</v>
      </c>
      <c r="N5833" s="9" t="s">
        <v>20</v>
      </c>
      <c r="O5833" s="6" t="str">
        <f>HYPERLINK("https://pbs.twimg.com/profile_images/962471262747529216/Uo8lOkRJ_normal.jpg","View")</f>
        <v>View</v>
      </c>
      <c r="P5833" s="7"/>
    </row>
    <row r="5834" spans="1:16">
      <c r="A5834" s="3">
        <v>43965.751412037032</v>
      </c>
      <c r="B5834" s="4" t="str">
        <f>HYPERLINK("https://twitter.com/petrogustavo","@petrogustavo")</f>
        <v>@petrogustavo</v>
      </c>
      <c r="C5834" s="5" t="s">
        <v>16</v>
      </c>
      <c r="D5834" s="5" t="s">
        <v>5674</v>
      </c>
      <c r="E5834" s="6" t="str">
        <f>HYPERLINK("https://twitter.com/petrogustavo/status/1260910744981422083","1260910744981422083")</f>
        <v>1260910744981422083</v>
      </c>
      <c r="F5834" s="7" t="s">
        <v>17</v>
      </c>
      <c r="G5834" s="7">
        <v>3827048</v>
      </c>
      <c r="H5834" s="7">
        <v>2405</v>
      </c>
      <c r="I5834" s="7">
        <v>0</v>
      </c>
      <c r="J5834" s="7">
        <v>1</v>
      </c>
      <c r="K5834" s="7" t="s">
        <v>18</v>
      </c>
      <c r="L5834" s="8">
        <v>39987.315405092595</v>
      </c>
      <c r="M5834" s="9" t="s">
        <v>19</v>
      </c>
      <c r="N5834" s="9" t="s">
        <v>20</v>
      </c>
      <c r="O5834" s="6" t="str">
        <f>HYPERLINK("https://pbs.twimg.com/profile_images/962471262747529216/Uo8lOkRJ_normal.jpg","View")</f>
        <v>View</v>
      </c>
      <c r="P5834" s="7"/>
    </row>
    <row r="5835" spans="1:16">
      <c r="A5835" s="3">
        <v>43965.989004629635</v>
      </c>
      <c r="B5835" s="4" t="str">
        <f>HYPERLINK("https://twitter.com/petrogustavo","@petrogustavo")</f>
        <v>@petrogustavo</v>
      </c>
      <c r="C5835" s="5" t="s">
        <v>16</v>
      </c>
      <c r="D5835" s="5" t="s">
        <v>5675</v>
      </c>
      <c r="E5835" s="6" t="str">
        <f>HYPERLINK("https://twitter.com/petrogustavo/status/1260996844655652867","1260996844655652867")</f>
        <v>1260996844655652867</v>
      </c>
      <c r="F5835" s="7" t="s">
        <v>32</v>
      </c>
      <c r="G5835" s="7">
        <v>3827435</v>
      </c>
      <c r="H5835" s="7">
        <v>2405</v>
      </c>
      <c r="I5835" s="7">
        <v>24</v>
      </c>
      <c r="J5835" s="7">
        <v>0</v>
      </c>
      <c r="K5835" s="7" t="s">
        <v>18</v>
      </c>
      <c r="L5835" s="8">
        <v>39987.315405092595</v>
      </c>
      <c r="M5835" s="9" t="s">
        <v>19</v>
      </c>
      <c r="N5835" s="9" t="s">
        <v>20</v>
      </c>
      <c r="O5835" s="6" t="str">
        <f>HYPERLINK("https://pbs.twimg.com/profile_images/962471262747529216/Uo8lOkRJ_normal.jpg","View")</f>
        <v>View</v>
      </c>
      <c r="P5835" s="7"/>
    </row>
    <row r="5836" spans="1:16">
      <c r="A5836" s="3">
        <v>43965.989398148144</v>
      </c>
      <c r="B5836" s="4" t="str">
        <f>HYPERLINK("https://twitter.com/petrogustavo","@petrogustavo")</f>
        <v>@petrogustavo</v>
      </c>
      <c r="C5836" s="5" t="s">
        <v>16</v>
      </c>
      <c r="D5836" s="5" t="s">
        <v>5676</v>
      </c>
      <c r="E5836" s="6" t="str">
        <f>HYPERLINK("https://twitter.com/petrogustavo/status/1260996985202659331","1260996985202659331")</f>
        <v>1260996985202659331</v>
      </c>
      <c r="F5836" s="7" t="s">
        <v>32</v>
      </c>
      <c r="G5836" s="7">
        <v>3827435</v>
      </c>
      <c r="H5836" s="7">
        <v>2405</v>
      </c>
      <c r="I5836" s="7">
        <v>14</v>
      </c>
      <c r="J5836" s="7">
        <v>0</v>
      </c>
      <c r="K5836" s="7" t="s">
        <v>18</v>
      </c>
      <c r="L5836" s="8">
        <v>39987.315405092595</v>
      </c>
      <c r="M5836" s="9" t="s">
        <v>19</v>
      </c>
      <c r="N5836" s="9" t="s">
        <v>20</v>
      </c>
      <c r="O5836" s="6" t="str">
        <f>HYPERLINK("https://pbs.twimg.com/profile_images/962471262747529216/Uo8lOkRJ_normal.jpg","View")</f>
        <v>View</v>
      </c>
      <c r="P5836" s="7"/>
    </row>
    <row r="5837" spans="1:16">
      <c r="A5837" s="3">
        <v>43965.989583333328</v>
      </c>
      <c r="B5837" s="4" t="str">
        <f>HYPERLINK("https://twitter.com/petrogustavo","@petrogustavo")</f>
        <v>@petrogustavo</v>
      </c>
      <c r="C5837" s="5" t="s">
        <v>16</v>
      </c>
      <c r="D5837" s="5" t="s">
        <v>5677</v>
      </c>
      <c r="E5837" s="6" t="str">
        <f>HYPERLINK("https://twitter.com/petrogustavo/status/1260997051900407812","1260997051900407812")</f>
        <v>1260997051900407812</v>
      </c>
      <c r="F5837" s="7" t="s">
        <v>32</v>
      </c>
      <c r="G5837" s="7">
        <v>3827435</v>
      </c>
      <c r="H5837" s="7">
        <v>2405</v>
      </c>
      <c r="I5837" s="7">
        <v>42</v>
      </c>
      <c r="J5837" s="7">
        <v>0</v>
      </c>
      <c r="K5837" s="7" t="s">
        <v>18</v>
      </c>
      <c r="L5837" s="8">
        <v>39987.315405092595</v>
      </c>
      <c r="M5837" s="9" t="s">
        <v>19</v>
      </c>
      <c r="N5837" s="9" t="s">
        <v>20</v>
      </c>
      <c r="O5837" s="6" t="str">
        <f>HYPERLINK("https://pbs.twimg.com/profile_images/962471262747529216/Uo8lOkRJ_normal.jpg","View")</f>
        <v>View</v>
      </c>
      <c r="P5837" s="7"/>
    </row>
    <row r="5838" spans="1:16">
      <c r="A5838" s="3">
        <v>43965.990428240737</v>
      </c>
      <c r="B5838" s="4" t="str">
        <f>HYPERLINK("https://twitter.com/petrogustavo","@petrogustavo")</f>
        <v>@petrogustavo</v>
      </c>
      <c r="C5838" s="5" t="s">
        <v>16</v>
      </c>
      <c r="D5838" s="5" t="s">
        <v>5678</v>
      </c>
      <c r="E5838" s="6" t="str">
        <f>HYPERLINK("https://twitter.com/petrogustavo/status/1260997360920002560","1260997360920002560")</f>
        <v>1260997360920002560</v>
      </c>
      <c r="F5838" s="7" t="s">
        <v>32</v>
      </c>
      <c r="G5838" s="7">
        <v>3827435</v>
      </c>
      <c r="H5838" s="7">
        <v>2405</v>
      </c>
      <c r="I5838" s="7">
        <v>202</v>
      </c>
      <c r="J5838" s="7">
        <v>0</v>
      </c>
      <c r="K5838" s="7" t="s">
        <v>18</v>
      </c>
      <c r="L5838" s="8">
        <v>39987.315405092595</v>
      </c>
      <c r="M5838" s="9" t="s">
        <v>19</v>
      </c>
      <c r="N5838" s="9" t="s">
        <v>20</v>
      </c>
      <c r="O5838" s="6" t="str">
        <f>HYPERLINK("https://pbs.twimg.com/profile_images/962471262747529216/Uo8lOkRJ_normal.jpg","View")</f>
        <v>View</v>
      </c>
      <c r="P5838" s="7"/>
    </row>
    <row r="5839" spans="1:16">
      <c r="A5839" s="3">
        <v>43965.993761574078</v>
      </c>
      <c r="B5839" s="4" t="str">
        <f>HYPERLINK("https://twitter.com/petrogustavo","@petrogustavo")</f>
        <v>@petrogustavo</v>
      </c>
      <c r="C5839" s="5" t="s">
        <v>16</v>
      </c>
      <c r="D5839" s="5" t="s">
        <v>5679</v>
      </c>
      <c r="E5839" s="6" t="str">
        <f>HYPERLINK("https://twitter.com/petrogustavo/status/1260998566526554117","1260998566526554117")</f>
        <v>1260998566526554117</v>
      </c>
      <c r="F5839" s="7" t="s">
        <v>32</v>
      </c>
      <c r="G5839" s="7">
        <v>3827435</v>
      </c>
      <c r="H5839" s="7">
        <v>2405</v>
      </c>
      <c r="I5839" s="7">
        <v>58</v>
      </c>
      <c r="J5839" s="7">
        <v>0</v>
      </c>
      <c r="K5839" s="7" t="s">
        <v>18</v>
      </c>
      <c r="L5839" s="8">
        <v>39987.315405092595</v>
      </c>
      <c r="M5839" s="9" t="s">
        <v>19</v>
      </c>
      <c r="N5839" s="9" t="s">
        <v>20</v>
      </c>
      <c r="O5839" s="6" t="str">
        <f>HYPERLINK("https://pbs.twimg.com/profile_images/962471262747529216/Uo8lOkRJ_normal.jpg","View")</f>
        <v>View</v>
      </c>
      <c r="P5839" s="7"/>
    </row>
    <row r="5840" spans="1:16">
      <c r="A5840" s="3">
        <v>43965.999432870369</v>
      </c>
      <c r="B5840" s="4" t="str">
        <f>HYPERLINK("https://twitter.com/petrogustavo","@petrogustavo")</f>
        <v>@petrogustavo</v>
      </c>
      <c r="C5840" s="5" t="s">
        <v>16</v>
      </c>
      <c r="D5840" s="5" t="s">
        <v>5680</v>
      </c>
      <c r="E5840" s="6" t="str">
        <f>HYPERLINK("https://twitter.com/petrogustavo/status/1261000622649872384","1261000622649872384")</f>
        <v>1261000622649872384</v>
      </c>
      <c r="F5840" s="7" t="s">
        <v>32</v>
      </c>
      <c r="G5840" s="7">
        <v>3827435</v>
      </c>
      <c r="H5840" s="7">
        <v>2405</v>
      </c>
      <c r="I5840" s="7">
        <v>17</v>
      </c>
      <c r="J5840" s="7">
        <v>34</v>
      </c>
      <c r="K5840" s="7" t="s">
        <v>18</v>
      </c>
      <c r="L5840" s="8">
        <v>39987.315405092595</v>
      </c>
      <c r="M5840" s="9" t="s">
        <v>19</v>
      </c>
      <c r="N5840" s="9" t="s">
        <v>20</v>
      </c>
      <c r="O5840" s="6" t="str">
        <f>HYPERLINK("https://pbs.twimg.com/profile_images/962471262747529216/Uo8lOkRJ_normal.jpg","View")</f>
        <v>View</v>
      </c>
      <c r="P5840" s="7"/>
    </row>
    <row r="5841" spans="1:16">
      <c r="A5841" s="3">
        <v>43966.002511574072</v>
      </c>
      <c r="B5841" s="4" t="str">
        <f>HYPERLINK("https://twitter.com/petrogustavo","@petrogustavo")</f>
        <v>@petrogustavo</v>
      </c>
      <c r="C5841" s="5" t="s">
        <v>16</v>
      </c>
      <c r="D5841" s="5" t="s">
        <v>5681</v>
      </c>
      <c r="E5841" s="6" t="str">
        <f>HYPERLINK("https://twitter.com/petrogustavo/status/1261001737114202113","1261001737114202113")</f>
        <v>1261001737114202113</v>
      </c>
      <c r="F5841" s="7" t="s">
        <v>32</v>
      </c>
      <c r="G5841" s="7">
        <v>3827472</v>
      </c>
      <c r="H5841" s="7">
        <v>2405</v>
      </c>
      <c r="I5841" s="7">
        <v>160</v>
      </c>
      <c r="J5841" s="7">
        <v>390</v>
      </c>
      <c r="K5841" s="7" t="s">
        <v>18</v>
      </c>
      <c r="L5841" s="8">
        <v>39987.315405092595</v>
      </c>
      <c r="M5841" s="9" t="s">
        <v>19</v>
      </c>
      <c r="N5841" s="9" t="s">
        <v>20</v>
      </c>
      <c r="O5841" s="6" t="str">
        <f>HYPERLINK("https://pbs.twimg.com/profile_images/962471262747529216/Uo8lOkRJ_normal.jpg","View")</f>
        <v>View</v>
      </c>
      <c r="P5841" s="7"/>
    </row>
    <row r="5842" spans="1:16">
      <c r="A5842" s="3">
        <v>43966.017708333333</v>
      </c>
      <c r="B5842" s="4" t="str">
        <f>HYPERLINK("https://twitter.com/petrogustavo","@petrogustavo")</f>
        <v>@petrogustavo</v>
      </c>
      <c r="C5842" s="5" t="s">
        <v>16</v>
      </c>
      <c r="D5842" s="5" t="s">
        <v>5682</v>
      </c>
      <c r="E5842" s="6" t="str">
        <f>HYPERLINK("https://twitter.com/petrogustavo/status/1261007245086777347","1261007245086777347")</f>
        <v>1261007245086777347</v>
      </c>
      <c r="F5842" s="7" t="s">
        <v>32</v>
      </c>
      <c r="G5842" s="7">
        <v>3827472</v>
      </c>
      <c r="H5842" s="7">
        <v>2405</v>
      </c>
      <c r="I5842" s="7">
        <v>27</v>
      </c>
      <c r="J5842" s="7">
        <v>67</v>
      </c>
      <c r="K5842" s="7" t="s">
        <v>18</v>
      </c>
      <c r="L5842" s="8">
        <v>39987.315405092595</v>
      </c>
      <c r="M5842" s="9" t="s">
        <v>19</v>
      </c>
      <c r="N5842" s="9" t="s">
        <v>20</v>
      </c>
      <c r="O5842" s="6" t="str">
        <f>HYPERLINK("https://pbs.twimg.com/profile_images/962471262747529216/Uo8lOkRJ_normal.jpg","View")</f>
        <v>View</v>
      </c>
      <c r="P5842" s="7"/>
    </row>
    <row r="5843" spans="1:16">
      <c r="A5843" s="3">
        <v>43966.021666666667</v>
      </c>
      <c r="B5843" s="4" t="str">
        <f>HYPERLINK("https://twitter.com/petrogustavo","@petrogustavo")</f>
        <v>@petrogustavo</v>
      </c>
      <c r="C5843" s="5" t="s">
        <v>16</v>
      </c>
      <c r="D5843" s="5" t="s">
        <v>5683</v>
      </c>
      <c r="E5843" s="6" t="str">
        <f>HYPERLINK("https://twitter.com/petrogustavo/status/1261008680952225793","1261008680952225793")</f>
        <v>1261008680952225793</v>
      </c>
      <c r="F5843" s="7" t="s">
        <v>32</v>
      </c>
      <c r="G5843" s="7">
        <v>3827472</v>
      </c>
      <c r="H5843" s="7">
        <v>2405</v>
      </c>
      <c r="I5843" s="7">
        <v>9</v>
      </c>
      <c r="J5843" s="7">
        <v>31</v>
      </c>
      <c r="K5843" s="7" t="s">
        <v>18</v>
      </c>
      <c r="L5843" s="8">
        <v>39987.315405092595</v>
      </c>
      <c r="M5843" s="9" t="s">
        <v>19</v>
      </c>
      <c r="N5843" s="9" t="s">
        <v>20</v>
      </c>
      <c r="O5843" s="6" t="str">
        <f>HYPERLINK("https://pbs.twimg.com/profile_images/962471262747529216/Uo8lOkRJ_normal.jpg","View")</f>
        <v>View</v>
      </c>
      <c r="P5843" s="7"/>
    </row>
    <row r="5844" spans="1:16">
      <c r="A5844" s="3">
        <v>43966.2497337963</v>
      </c>
      <c r="B5844" s="4" t="str">
        <f>HYPERLINK("https://twitter.com/petrogustavo","@petrogustavo")</f>
        <v>@petrogustavo</v>
      </c>
      <c r="C5844" s="5" t="s">
        <v>16</v>
      </c>
      <c r="D5844" s="5" t="s">
        <v>5684</v>
      </c>
      <c r="E5844" s="6" t="str">
        <f>HYPERLINK("https://twitter.com/petrogustavo/status/1261091330119303175","1261091330119303175")</f>
        <v>1261091330119303175</v>
      </c>
      <c r="F5844" s="7" t="s">
        <v>21</v>
      </c>
      <c r="G5844" s="7">
        <v>3827800</v>
      </c>
      <c r="H5844" s="7">
        <v>2406</v>
      </c>
      <c r="I5844" s="7">
        <v>31</v>
      </c>
      <c r="J5844" s="7">
        <v>59</v>
      </c>
      <c r="K5844" s="7" t="s">
        <v>18</v>
      </c>
      <c r="L5844" s="8">
        <v>39987.315405092595</v>
      </c>
      <c r="M5844" s="9" t="s">
        <v>19</v>
      </c>
      <c r="N5844" s="9" t="s">
        <v>20</v>
      </c>
      <c r="O5844" s="6" t="str">
        <f>HYPERLINK("https://pbs.twimg.com/profile_images/962471262747529216/Uo8lOkRJ_normal.jpg","View")</f>
        <v>View</v>
      </c>
      <c r="P5844" s="7"/>
    </row>
    <row r="5845" spans="1:16">
      <c r="A5845" s="3">
        <v>43966.702685185184</v>
      </c>
      <c r="B5845" s="4" t="str">
        <f>HYPERLINK("https://twitter.com/petrogustavo","@petrogustavo")</f>
        <v>@petrogustavo</v>
      </c>
      <c r="C5845" s="5" t="s">
        <v>16</v>
      </c>
      <c r="D5845" s="5" t="s">
        <v>5685</v>
      </c>
      <c r="E5845" s="6" t="str">
        <f>HYPERLINK("https://twitter.com/petrogustavo/status/1261255474831384576","1261255474831384576")</f>
        <v>1261255474831384576</v>
      </c>
      <c r="F5845" s="7" t="s">
        <v>17</v>
      </c>
      <c r="G5845" s="7">
        <v>3828185</v>
      </c>
      <c r="H5845" s="7">
        <v>2407</v>
      </c>
      <c r="I5845" s="7">
        <v>761</v>
      </c>
      <c r="J5845" s="7">
        <v>0</v>
      </c>
      <c r="K5845" s="7" t="s">
        <v>18</v>
      </c>
      <c r="L5845" s="8">
        <v>39987.315405092595</v>
      </c>
      <c r="M5845" s="9" t="s">
        <v>19</v>
      </c>
      <c r="N5845" s="9" t="s">
        <v>20</v>
      </c>
      <c r="O5845" s="6" t="str">
        <f>HYPERLINK("https://pbs.twimg.com/profile_images/962471262747529216/Uo8lOkRJ_normal.jpg","View")</f>
        <v>View</v>
      </c>
      <c r="P5845" s="7"/>
    </row>
    <row r="5846" spans="1:16">
      <c r="A5846" s="3">
        <v>43966.794907407406</v>
      </c>
      <c r="B5846" s="4" t="str">
        <f>HYPERLINK("https://twitter.com/petrogustavo","@petrogustavo")</f>
        <v>@petrogustavo</v>
      </c>
      <c r="C5846" s="5" t="s">
        <v>16</v>
      </c>
      <c r="D5846" s="5" t="s">
        <v>5686</v>
      </c>
      <c r="E5846" s="6" t="str">
        <f>HYPERLINK("https://twitter.com/petrogustavo/status/1261288895670554624","1261288895670554624")</f>
        <v>1261288895670554624</v>
      </c>
      <c r="F5846" s="7" t="s">
        <v>32</v>
      </c>
      <c r="G5846" s="7">
        <v>3828293</v>
      </c>
      <c r="H5846" s="7">
        <v>2407</v>
      </c>
      <c r="I5846" s="7">
        <v>357</v>
      </c>
      <c r="J5846" s="7">
        <v>996</v>
      </c>
      <c r="K5846" s="7" t="s">
        <v>18</v>
      </c>
      <c r="L5846" s="8">
        <v>39987.315405092595</v>
      </c>
      <c r="M5846" s="9" t="s">
        <v>19</v>
      </c>
      <c r="N5846" s="9" t="s">
        <v>20</v>
      </c>
      <c r="O5846" s="6" t="str">
        <f>HYPERLINK("https://pbs.twimg.com/profile_images/962471262747529216/Uo8lOkRJ_normal.jpg","View")</f>
        <v>View</v>
      </c>
      <c r="P5846" s="7"/>
    </row>
    <row r="5847" spans="1:16">
      <c r="A5847" s="3">
        <v>43966.813703703709</v>
      </c>
      <c r="B5847" s="4" t="str">
        <f>HYPERLINK("https://twitter.com/petrogustavo","@petrogustavo")</f>
        <v>@petrogustavo</v>
      </c>
      <c r="C5847" s="5" t="s">
        <v>16</v>
      </c>
      <c r="D5847" s="5" t="s">
        <v>5687</v>
      </c>
      <c r="E5847" s="6" t="str">
        <f>HYPERLINK("https://twitter.com/petrogustavo/status/1261295705571950592","1261295705571950592")</f>
        <v>1261295705571950592</v>
      </c>
      <c r="F5847" s="7" t="s">
        <v>32</v>
      </c>
      <c r="G5847" s="7">
        <v>3828293</v>
      </c>
      <c r="H5847" s="7">
        <v>2407</v>
      </c>
      <c r="I5847" s="7">
        <v>45</v>
      </c>
      <c r="J5847" s="7">
        <v>0</v>
      </c>
      <c r="K5847" s="7" t="s">
        <v>18</v>
      </c>
      <c r="L5847" s="8">
        <v>39987.315405092595</v>
      </c>
      <c r="M5847" s="9" t="s">
        <v>19</v>
      </c>
      <c r="N5847" s="9" t="s">
        <v>20</v>
      </c>
      <c r="O5847" s="6" t="str">
        <f>HYPERLINK("https://pbs.twimg.com/profile_images/962471262747529216/Uo8lOkRJ_normal.jpg","View")</f>
        <v>View</v>
      </c>
      <c r="P5847" s="7"/>
    </row>
    <row r="5848" spans="1:16">
      <c r="A5848" s="3">
        <v>43966.833715277782</v>
      </c>
      <c r="B5848" s="4" t="str">
        <f>HYPERLINK("https://twitter.com/petrogustavo","@petrogustavo")</f>
        <v>@petrogustavo</v>
      </c>
      <c r="C5848" s="5" t="s">
        <v>16</v>
      </c>
      <c r="D5848" s="5" t="s">
        <v>5688</v>
      </c>
      <c r="E5848" s="6" t="str">
        <f>HYPERLINK("https://twitter.com/petrogustavo/status/1261302956068081666","1261302956068081666")</f>
        <v>1261302956068081666</v>
      </c>
      <c r="F5848" s="7" t="s">
        <v>32</v>
      </c>
      <c r="G5848" s="7">
        <v>3828312</v>
      </c>
      <c r="H5848" s="7">
        <v>2407</v>
      </c>
      <c r="I5848" s="7">
        <v>24</v>
      </c>
      <c r="J5848" s="7">
        <v>88</v>
      </c>
      <c r="K5848" s="7" t="s">
        <v>18</v>
      </c>
      <c r="L5848" s="8">
        <v>39987.315405092595</v>
      </c>
      <c r="M5848" s="9" t="s">
        <v>19</v>
      </c>
      <c r="N5848" s="9" t="s">
        <v>20</v>
      </c>
      <c r="O5848" s="6" t="str">
        <f>HYPERLINK("https://pbs.twimg.com/profile_images/962471262747529216/Uo8lOkRJ_normal.jpg","View")</f>
        <v>View</v>
      </c>
      <c r="P5848" s="7"/>
    </row>
    <row r="5849" spans="1:16">
      <c r="A5849" s="3">
        <v>43966.834537037037</v>
      </c>
      <c r="B5849" s="4" t="str">
        <f>HYPERLINK("https://twitter.com/petrogustavo","@petrogustavo")</f>
        <v>@petrogustavo</v>
      </c>
      <c r="C5849" s="5" t="s">
        <v>16</v>
      </c>
      <c r="D5849" s="5" t="s">
        <v>5685</v>
      </c>
      <c r="E5849" s="6" t="str">
        <f>HYPERLINK("https://twitter.com/petrogustavo/status/1261303253180055554","1261303253180055554")</f>
        <v>1261303253180055554</v>
      </c>
      <c r="F5849" s="7" t="s">
        <v>32</v>
      </c>
      <c r="G5849" s="7">
        <v>3828312</v>
      </c>
      <c r="H5849" s="7">
        <v>2407</v>
      </c>
      <c r="I5849" s="7">
        <v>857</v>
      </c>
      <c r="J5849" s="7">
        <v>0</v>
      </c>
      <c r="K5849" s="7" t="s">
        <v>18</v>
      </c>
      <c r="L5849" s="8">
        <v>39987.315405092595</v>
      </c>
      <c r="M5849" s="9" t="s">
        <v>19</v>
      </c>
      <c r="N5849" s="9" t="s">
        <v>20</v>
      </c>
      <c r="O5849" s="6" t="str">
        <f>HYPERLINK("https://pbs.twimg.com/profile_images/962471262747529216/Uo8lOkRJ_normal.jpg","View")</f>
        <v>View</v>
      </c>
      <c r="P5849" s="7"/>
    </row>
    <row r="5850" spans="1:16">
      <c r="A5850" s="3">
        <v>43966.908009259263</v>
      </c>
      <c r="B5850" s="4" t="str">
        <f>HYPERLINK("https://twitter.com/petrogustavo","@petrogustavo")</f>
        <v>@petrogustavo</v>
      </c>
      <c r="C5850" s="5" t="s">
        <v>16</v>
      </c>
      <c r="D5850" s="5" t="s">
        <v>5685</v>
      </c>
      <c r="E5850" s="6" t="str">
        <f>HYPERLINK("https://twitter.com/petrogustavo/status/1261329880706437120","1261329880706437120")</f>
        <v>1261329880706437120</v>
      </c>
      <c r="F5850" s="7" t="s">
        <v>17</v>
      </c>
      <c r="G5850" s="7">
        <v>3828424</v>
      </c>
      <c r="H5850" s="7">
        <v>2407</v>
      </c>
      <c r="I5850" s="7">
        <v>922</v>
      </c>
      <c r="J5850" s="7">
        <v>0</v>
      </c>
      <c r="K5850" s="7" t="s">
        <v>18</v>
      </c>
      <c r="L5850" s="8">
        <v>39987.315405092595</v>
      </c>
      <c r="M5850" s="9" t="s">
        <v>19</v>
      </c>
      <c r="N5850" s="9" t="s">
        <v>20</v>
      </c>
      <c r="O5850" s="6" t="str">
        <f>HYPERLINK("https://pbs.twimg.com/profile_images/962471262747529216/Uo8lOkRJ_normal.jpg","View")</f>
        <v>View</v>
      </c>
      <c r="P5850" s="7"/>
    </row>
    <row r="5851" spans="1:16">
      <c r="A5851" s="3">
        <v>43966.919664351852</v>
      </c>
      <c r="B5851" s="4" t="str">
        <f>HYPERLINK("https://twitter.com/petrogustavo","@petrogustavo")</f>
        <v>@petrogustavo</v>
      </c>
      <c r="C5851" s="5" t="s">
        <v>16</v>
      </c>
      <c r="D5851" s="5" t="s">
        <v>5689</v>
      </c>
      <c r="E5851" s="6" t="str">
        <f>HYPERLINK("https://twitter.com/petrogustavo/status/1261334102336249859","1261334102336249859")</f>
        <v>1261334102336249859</v>
      </c>
      <c r="F5851" s="7" t="s">
        <v>17</v>
      </c>
      <c r="G5851" s="7">
        <v>3828456</v>
      </c>
      <c r="H5851" s="7">
        <v>2407</v>
      </c>
      <c r="I5851" s="7">
        <v>82</v>
      </c>
      <c r="J5851" s="7">
        <v>199</v>
      </c>
      <c r="K5851" s="7" t="s">
        <v>18</v>
      </c>
      <c r="L5851" s="8">
        <v>39987.315405092595</v>
      </c>
      <c r="M5851" s="9" t="s">
        <v>19</v>
      </c>
      <c r="N5851" s="9" t="s">
        <v>20</v>
      </c>
      <c r="O5851" s="6" t="str">
        <f>HYPERLINK("https://pbs.twimg.com/profile_images/962471262747529216/Uo8lOkRJ_normal.jpg","View")</f>
        <v>View</v>
      </c>
      <c r="P5851" s="7"/>
    </row>
    <row r="5852" spans="1:16">
      <c r="A5852" s="3">
        <v>43966.988171296296</v>
      </c>
      <c r="B5852" s="4" t="str">
        <f>HYPERLINK("https://twitter.com/petrogustavo","@petrogustavo")</f>
        <v>@petrogustavo</v>
      </c>
      <c r="C5852" s="5" t="s">
        <v>16</v>
      </c>
      <c r="D5852" s="5" t="s">
        <v>5690</v>
      </c>
      <c r="E5852" s="6" t="str">
        <f>HYPERLINK("https://twitter.com/petrogustavo/status/1261358929239404544","1261358929239404544")</f>
        <v>1261358929239404544</v>
      </c>
      <c r="F5852" s="7" t="s">
        <v>17</v>
      </c>
      <c r="G5852" s="7">
        <v>3828528</v>
      </c>
      <c r="H5852" s="7">
        <v>2407</v>
      </c>
      <c r="I5852" s="7">
        <v>27</v>
      </c>
      <c r="J5852" s="7">
        <v>0</v>
      </c>
      <c r="K5852" s="7" t="s">
        <v>18</v>
      </c>
      <c r="L5852" s="8">
        <v>39987.315405092595</v>
      </c>
      <c r="M5852" s="9" t="s">
        <v>19</v>
      </c>
      <c r="N5852" s="9" t="s">
        <v>20</v>
      </c>
      <c r="O5852" s="6" t="str">
        <f>HYPERLINK("https://pbs.twimg.com/profile_images/962471262747529216/Uo8lOkRJ_normal.jpg","View")</f>
        <v>View</v>
      </c>
      <c r="P5852" s="7"/>
    </row>
    <row r="5853" spans="1:16">
      <c r="A5853" s="3">
        <v>43966.989432870367</v>
      </c>
      <c r="B5853" s="4" t="str">
        <f>HYPERLINK("https://twitter.com/petrogustavo","@petrogustavo")</f>
        <v>@petrogustavo</v>
      </c>
      <c r="C5853" s="5" t="s">
        <v>16</v>
      </c>
      <c r="D5853" s="5" t="s">
        <v>5691</v>
      </c>
      <c r="E5853" s="6" t="str">
        <f>HYPERLINK("https://twitter.com/petrogustavo/status/1261359389014925312","1261359389014925312")</f>
        <v>1261359389014925312</v>
      </c>
      <c r="F5853" s="7" t="s">
        <v>17</v>
      </c>
      <c r="G5853" s="7">
        <v>3828528</v>
      </c>
      <c r="H5853" s="7">
        <v>2407</v>
      </c>
      <c r="I5853" s="7">
        <v>33</v>
      </c>
      <c r="J5853" s="7">
        <v>0</v>
      </c>
      <c r="K5853" s="7" t="s">
        <v>18</v>
      </c>
      <c r="L5853" s="8">
        <v>39987.315405092595</v>
      </c>
      <c r="M5853" s="9" t="s">
        <v>19</v>
      </c>
      <c r="N5853" s="9" t="s">
        <v>20</v>
      </c>
      <c r="O5853" s="6" t="str">
        <f>HYPERLINK("https://pbs.twimg.com/profile_images/962471262747529216/Uo8lOkRJ_normal.jpg","View")</f>
        <v>View</v>
      </c>
      <c r="P5853" s="7"/>
    </row>
    <row r="5854" spans="1:16">
      <c r="A5854" s="3">
        <v>43966.989884259259</v>
      </c>
      <c r="B5854" s="4" t="str">
        <f>HYPERLINK("https://twitter.com/petrogustavo","@petrogustavo")</f>
        <v>@petrogustavo</v>
      </c>
      <c r="C5854" s="5" t="s">
        <v>16</v>
      </c>
      <c r="D5854" s="5" t="s">
        <v>5692</v>
      </c>
      <c r="E5854" s="6" t="str">
        <f>HYPERLINK("https://twitter.com/petrogustavo/status/1261359552085348352","1261359552085348352")</f>
        <v>1261359552085348352</v>
      </c>
      <c r="F5854" s="7" t="s">
        <v>17</v>
      </c>
      <c r="G5854" s="7">
        <v>3828528</v>
      </c>
      <c r="H5854" s="7">
        <v>2407</v>
      </c>
      <c r="I5854" s="7">
        <v>29</v>
      </c>
      <c r="J5854" s="7">
        <v>0</v>
      </c>
      <c r="K5854" s="7" t="s">
        <v>18</v>
      </c>
      <c r="L5854" s="8">
        <v>39987.315405092595</v>
      </c>
      <c r="M5854" s="9" t="s">
        <v>19</v>
      </c>
      <c r="N5854" s="9" t="s">
        <v>20</v>
      </c>
      <c r="O5854" s="6" t="str">
        <f>HYPERLINK("https://pbs.twimg.com/profile_images/962471262747529216/Uo8lOkRJ_normal.jpg","View")</f>
        <v>View</v>
      </c>
      <c r="P5854" s="7"/>
    </row>
    <row r="5855" spans="1:16">
      <c r="A5855" s="3">
        <v>43966.990069444444</v>
      </c>
      <c r="B5855" s="4" t="str">
        <f>HYPERLINK("https://twitter.com/petrogustavo","@petrogustavo")</f>
        <v>@petrogustavo</v>
      </c>
      <c r="C5855" s="5" t="s">
        <v>16</v>
      </c>
      <c r="D5855" s="5" t="s">
        <v>5693</v>
      </c>
      <c r="E5855" s="6" t="str">
        <f>HYPERLINK("https://twitter.com/petrogustavo/status/1261359616438362112","1261359616438362112")</f>
        <v>1261359616438362112</v>
      </c>
      <c r="F5855" s="7" t="s">
        <v>17</v>
      </c>
      <c r="G5855" s="7">
        <v>3828528</v>
      </c>
      <c r="H5855" s="7">
        <v>2407</v>
      </c>
      <c r="I5855" s="7">
        <v>29</v>
      </c>
      <c r="J5855" s="7">
        <v>0</v>
      </c>
      <c r="K5855" s="7" t="s">
        <v>18</v>
      </c>
      <c r="L5855" s="8">
        <v>39987.315405092595</v>
      </c>
      <c r="M5855" s="9" t="s">
        <v>19</v>
      </c>
      <c r="N5855" s="9" t="s">
        <v>20</v>
      </c>
      <c r="O5855" s="6" t="str">
        <f>HYPERLINK("https://pbs.twimg.com/profile_images/962471262747529216/Uo8lOkRJ_normal.jpg","View")</f>
        <v>View</v>
      </c>
      <c r="P5855" s="7"/>
    </row>
    <row r="5856" spans="1:16">
      <c r="A5856" s="3">
        <v>43966.99055555556</v>
      </c>
      <c r="B5856" s="4" t="str">
        <f>HYPERLINK("https://twitter.com/petrogustavo","@petrogustavo")</f>
        <v>@petrogustavo</v>
      </c>
      <c r="C5856" s="5" t="s">
        <v>16</v>
      </c>
      <c r="D5856" s="5" t="s">
        <v>5694</v>
      </c>
      <c r="E5856" s="6" t="str">
        <f>HYPERLINK("https://twitter.com/petrogustavo/status/1261359793383628800","1261359793383628800")</f>
        <v>1261359793383628800</v>
      </c>
      <c r="F5856" s="7" t="s">
        <v>17</v>
      </c>
      <c r="G5856" s="7">
        <v>3828528</v>
      </c>
      <c r="H5856" s="7">
        <v>2407</v>
      </c>
      <c r="I5856" s="7">
        <v>25</v>
      </c>
      <c r="J5856" s="7">
        <v>0</v>
      </c>
      <c r="K5856" s="7" t="s">
        <v>18</v>
      </c>
      <c r="L5856" s="8">
        <v>39987.315405092595</v>
      </c>
      <c r="M5856" s="9" t="s">
        <v>19</v>
      </c>
      <c r="N5856" s="9" t="s">
        <v>20</v>
      </c>
      <c r="O5856" s="6" t="str">
        <f>HYPERLINK("https://pbs.twimg.com/profile_images/962471262747529216/Uo8lOkRJ_normal.jpg","View")</f>
        <v>View</v>
      </c>
      <c r="P5856" s="7"/>
    </row>
    <row r="5857" spans="1:16">
      <c r="A5857" s="3">
        <v>43966.990856481483</v>
      </c>
      <c r="B5857" s="4" t="str">
        <f>HYPERLINK("https://twitter.com/petrogustavo","@petrogustavo")</f>
        <v>@petrogustavo</v>
      </c>
      <c r="C5857" s="5" t="s">
        <v>16</v>
      </c>
      <c r="D5857" s="5" t="s">
        <v>5695</v>
      </c>
      <c r="E5857" s="6" t="str">
        <f>HYPERLINK("https://twitter.com/petrogustavo/status/1261359901600874497","1261359901600874497")</f>
        <v>1261359901600874497</v>
      </c>
      <c r="F5857" s="7" t="s">
        <v>17</v>
      </c>
      <c r="G5857" s="7">
        <v>3828528</v>
      </c>
      <c r="H5857" s="7">
        <v>2407</v>
      </c>
      <c r="I5857" s="7">
        <v>27</v>
      </c>
      <c r="J5857" s="7">
        <v>0</v>
      </c>
      <c r="K5857" s="7" t="s">
        <v>18</v>
      </c>
      <c r="L5857" s="8">
        <v>39987.315405092595</v>
      </c>
      <c r="M5857" s="9" t="s">
        <v>19</v>
      </c>
      <c r="N5857" s="9" t="s">
        <v>20</v>
      </c>
      <c r="O5857" s="6" t="str">
        <f>HYPERLINK("https://pbs.twimg.com/profile_images/962471262747529216/Uo8lOkRJ_normal.jpg","View")</f>
        <v>View</v>
      </c>
      <c r="P5857" s="7"/>
    </row>
    <row r="5858" spans="1:16">
      <c r="A5858" s="3">
        <v>43966.991331018522</v>
      </c>
      <c r="B5858" s="4" t="str">
        <f>HYPERLINK("https://twitter.com/petrogustavo","@petrogustavo")</f>
        <v>@petrogustavo</v>
      </c>
      <c r="C5858" s="5" t="s">
        <v>16</v>
      </c>
      <c r="D5858" s="5" t="s">
        <v>5696</v>
      </c>
      <c r="E5858" s="6" t="str">
        <f>HYPERLINK("https://twitter.com/petrogustavo/status/1261360076113117184","1261360076113117184")</f>
        <v>1261360076113117184</v>
      </c>
      <c r="F5858" s="7" t="s">
        <v>17</v>
      </c>
      <c r="G5858" s="7">
        <v>3828528</v>
      </c>
      <c r="H5858" s="7">
        <v>2407</v>
      </c>
      <c r="I5858" s="7">
        <v>30</v>
      </c>
      <c r="J5858" s="7">
        <v>0</v>
      </c>
      <c r="K5858" s="7" t="s">
        <v>18</v>
      </c>
      <c r="L5858" s="8">
        <v>39987.315405092595</v>
      </c>
      <c r="M5858" s="9" t="s">
        <v>19</v>
      </c>
      <c r="N5858" s="9" t="s">
        <v>20</v>
      </c>
      <c r="O5858" s="6" t="str">
        <f>HYPERLINK("https://pbs.twimg.com/profile_images/962471262747529216/Uo8lOkRJ_normal.jpg","View")</f>
        <v>View</v>
      </c>
      <c r="P5858" s="7"/>
    </row>
    <row r="5859" spans="1:16">
      <c r="A5859" s="3">
        <v>43966.992476851854</v>
      </c>
      <c r="B5859" s="4" t="str">
        <f>HYPERLINK("https://twitter.com/petrogustavo","@petrogustavo")</f>
        <v>@petrogustavo</v>
      </c>
      <c r="C5859" s="5" t="s">
        <v>16</v>
      </c>
      <c r="D5859" s="5" t="s">
        <v>5697</v>
      </c>
      <c r="E5859" s="6" t="str">
        <f>HYPERLINK("https://twitter.com/petrogustavo/status/1261360492074827781","1261360492074827781")</f>
        <v>1261360492074827781</v>
      </c>
      <c r="F5859" s="7" t="s">
        <v>17</v>
      </c>
      <c r="G5859" s="7">
        <v>3828528</v>
      </c>
      <c r="H5859" s="7">
        <v>2407</v>
      </c>
      <c r="I5859" s="7">
        <v>29</v>
      </c>
      <c r="J5859" s="7">
        <v>0</v>
      </c>
      <c r="K5859" s="7" t="s">
        <v>18</v>
      </c>
      <c r="L5859" s="8">
        <v>39987.315405092595</v>
      </c>
      <c r="M5859" s="9" t="s">
        <v>19</v>
      </c>
      <c r="N5859" s="9" t="s">
        <v>20</v>
      </c>
      <c r="O5859" s="6" t="str">
        <f>HYPERLINK("https://pbs.twimg.com/profile_images/962471262747529216/Uo8lOkRJ_normal.jpg","View")</f>
        <v>View</v>
      </c>
      <c r="P5859" s="7"/>
    </row>
    <row r="5860" spans="1:16">
      <c r="A5860" s="3">
        <v>43966.994050925925</v>
      </c>
      <c r="B5860" s="4" t="str">
        <f>HYPERLINK("https://twitter.com/petrogustavo","@petrogustavo")</f>
        <v>@petrogustavo</v>
      </c>
      <c r="C5860" s="5" t="s">
        <v>16</v>
      </c>
      <c r="D5860" s="5" t="s">
        <v>5698</v>
      </c>
      <c r="E5860" s="6" t="str">
        <f>HYPERLINK("https://twitter.com/petrogustavo/status/1261361061627904001","1261361061627904001")</f>
        <v>1261361061627904001</v>
      </c>
      <c r="F5860" s="7" t="s">
        <v>17</v>
      </c>
      <c r="G5860" s="7">
        <v>3828528</v>
      </c>
      <c r="H5860" s="7">
        <v>2407</v>
      </c>
      <c r="I5860" s="7">
        <v>11</v>
      </c>
      <c r="J5860" s="7">
        <v>0</v>
      </c>
      <c r="K5860" s="7" t="s">
        <v>18</v>
      </c>
      <c r="L5860" s="8">
        <v>39987.315405092595</v>
      </c>
      <c r="M5860" s="9" t="s">
        <v>19</v>
      </c>
      <c r="N5860" s="9" t="s">
        <v>20</v>
      </c>
      <c r="O5860" s="6" t="str">
        <f>HYPERLINK("https://pbs.twimg.com/profile_images/962471262747529216/Uo8lOkRJ_normal.jpg","View")</f>
        <v>View</v>
      </c>
      <c r="P5860" s="7"/>
    </row>
    <row r="5861" spans="1:16">
      <c r="A5861" s="3">
        <v>43966.995138888888</v>
      </c>
      <c r="B5861" s="4" t="str">
        <f>HYPERLINK("https://twitter.com/petrogustavo","@petrogustavo")</f>
        <v>@petrogustavo</v>
      </c>
      <c r="C5861" s="5" t="s">
        <v>16</v>
      </c>
      <c r="D5861" s="5" t="s">
        <v>5699</v>
      </c>
      <c r="E5861" s="6" t="str">
        <f>HYPERLINK("https://twitter.com/petrogustavo/status/1261361454743240704","1261361454743240704")</f>
        <v>1261361454743240704</v>
      </c>
      <c r="F5861" s="7" t="s">
        <v>17</v>
      </c>
      <c r="G5861" s="7">
        <v>3828528</v>
      </c>
      <c r="H5861" s="7">
        <v>2407</v>
      </c>
      <c r="I5861" s="7">
        <v>20</v>
      </c>
      <c r="J5861" s="7">
        <v>0</v>
      </c>
      <c r="K5861" s="7" t="s">
        <v>18</v>
      </c>
      <c r="L5861" s="8">
        <v>39987.315405092595</v>
      </c>
      <c r="M5861" s="9" t="s">
        <v>19</v>
      </c>
      <c r="N5861" s="9" t="s">
        <v>20</v>
      </c>
      <c r="O5861" s="6" t="str">
        <f>HYPERLINK("https://pbs.twimg.com/profile_images/962471262747529216/Uo8lOkRJ_normal.jpg","View")</f>
        <v>View</v>
      </c>
      <c r="P5861" s="7"/>
    </row>
    <row r="5862" spans="1:16">
      <c r="A5862" s="3">
        <v>43966.995381944449</v>
      </c>
      <c r="B5862" s="4" t="str">
        <f>HYPERLINK("https://twitter.com/petrogustavo","@petrogustavo")</f>
        <v>@petrogustavo</v>
      </c>
      <c r="C5862" s="5" t="s">
        <v>16</v>
      </c>
      <c r="D5862" s="5" t="s">
        <v>5700</v>
      </c>
      <c r="E5862" s="6" t="str">
        <f>HYPERLINK("https://twitter.com/petrogustavo/status/1261361543544856579","1261361543544856579")</f>
        <v>1261361543544856579</v>
      </c>
      <c r="F5862" s="7" t="s">
        <v>17</v>
      </c>
      <c r="G5862" s="7">
        <v>3828528</v>
      </c>
      <c r="H5862" s="7">
        <v>2407</v>
      </c>
      <c r="I5862" s="7">
        <v>14</v>
      </c>
      <c r="J5862" s="7">
        <v>0</v>
      </c>
      <c r="K5862" s="7" t="s">
        <v>18</v>
      </c>
      <c r="L5862" s="8">
        <v>39987.315405092595</v>
      </c>
      <c r="M5862" s="9" t="s">
        <v>19</v>
      </c>
      <c r="N5862" s="9" t="s">
        <v>20</v>
      </c>
      <c r="O5862" s="6" t="str">
        <f>HYPERLINK("https://pbs.twimg.com/profile_images/962471262747529216/Uo8lOkRJ_normal.jpg","View")</f>
        <v>View</v>
      </c>
      <c r="P5862" s="7"/>
    </row>
    <row r="5863" spans="1:16">
      <c r="A5863" s="3">
        <v>43966.995497685188</v>
      </c>
      <c r="B5863" s="4" t="str">
        <f>HYPERLINK("https://twitter.com/petrogustavo","@petrogustavo")</f>
        <v>@petrogustavo</v>
      </c>
      <c r="C5863" s="5" t="s">
        <v>16</v>
      </c>
      <c r="D5863" s="5" t="s">
        <v>5701</v>
      </c>
      <c r="E5863" s="6" t="str">
        <f>HYPERLINK("https://twitter.com/petrogustavo/status/1261361587123826689","1261361587123826689")</f>
        <v>1261361587123826689</v>
      </c>
      <c r="F5863" s="7" t="s">
        <v>17</v>
      </c>
      <c r="G5863" s="7">
        <v>3828528</v>
      </c>
      <c r="H5863" s="7">
        <v>2407</v>
      </c>
      <c r="I5863" s="7">
        <v>16</v>
      </c>
      <c r="J5863" s="7">
        <v>0</v>
      </c>
      <c r="K5863" s="7" t="s">
        <v>18</v>
      </c>
      <c r="L5863" s="8">
        <v>39987.315405092595</v>
      </c>
      <c r="M5863" s="9" t="s">
        <v>19</v>
      </c>
      <c r="N5863" s="9" t="s">
        <v>20</v>
      </c>
      <c r="O5863" s="6" t="str">
        <f>HYPERLINK("https://pbs.twimg.com/profile_images/962471262747529216/Uo8lOkRJ_normal.jpg","View")</f>
        <v>View</v>
      </c>
      <c r="P5863" s="7"/>
    </row>
    <row r="5864" spans="1:16">
      <c r="A5864" s="3">
        <v>43966.995613425926</v>
      </c>
      <c r="B5864" s="4" t="str">
        <f>HYPERLINK("https://twitter.com/petrogustavo","@petrogustavo")</f>
        <v>@petrogustavo</v>
      </c>
      <c r="C5864" s="5" t="s">
        <v>16</v>
      </c>
      <c r="D5864" s="5" t="s">
        <v>5702</v>
      </c>
      <c r="E5864" s="6" t="str">
        <f>HYPERLINK("https://twitter.com/petrogustavo/status/1261361626533560320","1261361626533560320")</f>
        <v>1261361626533560320</v>
      </c>
      <c r="F5864" s="7" t="s">
        <v>17</v>
      </c>
      <c r="G5864" s="7">
        <v>3828528</v>
      </c>
      <c r="H5864" s="7">
        <v>2407</v>
      </c>
      <c r="I5864" s="7">
        <v>14</v>
      </c>
      <c r="J5864" s="7">
        <v>0</v>
      </c>
      <c r="K5864" s="7" t="s">
        <v>18</v>
      </c>
      <c r="L5864" s="8">
        <v>39987.315405092595</v>
      </c>
      <c r="M5864" s="9" t="s">
        <v>19</v>
      </c>
      <c r="N5864" s="9" t="s">
        <v>20</v>
      </c>
      <c r="O5864" s="6" t="str">
        <f>HYPERLINK("https://pbs.twimg.com/profile_images/962471262747529216/Uo8lOkRJ_normal.jpg","View")</f>
        <v>View</v>
      </c>
      <c r="P5864" s="7"/>
    </row>
    <row r="5865" spans="1:16">
      <c r="A5865" s="3">
        <v>43966.998240740737</v>
      </c>
      <c r="B5865" s="4" t="str">
        <f>HYPERLINK("https://twitter.com/petrogustavo","@petrogustavo")</f>
        <v>@petrogustavo</v>
      </c>
      <c r="C5865" s="5" t="s">
        <v>16</v>
      </c>
      <c r="D5865" s="5" t="s">
        <v>5703</v>
      </c>
      <c r="E5865" s="6" t="str">
        <f>HYPERLINK("https://twitter.com/petrogustavo/status/1261362578673958912","1261362578673958912")</f>
        <v>1261362578673958912</v>
      </c>
      <c r="F5865" s="7" t="s">
        <v>17</v>
      </c>
      <c r="G5865" s="7">
        <v>3828528</v>
      </c>
      <c r="H5865" s="7">
        <v>2407</v>
      </c>
      <c r="I5865" s="7">
        <v>26</v>
      </c>
      <c r="J5865" s="7">
        <v>0</v>
      </c>
      <c r="K5865" s="7" t="s">
        <v>18</v>
      </c>
      <c r="L5865" s="8">
        <v>39987.315405092595</v>
      </c>
      <c r="M5865" s="9" t="s">
        <v>19</v>
      </c>
      <c r="N5865" s="9" t="s">
        <v>20</v>
      </c>
      <c r="O5865" s="6" t="str">
        <f>HYPERLINK("https://pbs.twimg.com/profile_images/962471262747529216/Uo8lOkRJ_normal.jpg","View")</f>
        <v>View</v>
      </c>
      <c r="P5865" s="7"/>
    </row>
    <row r="5866" spans="1:16">
      <c r="A5866" s="3">
        <v>43966.999328703707</v>
      </c>
      <c r="B5866" s="4" t="str">
        <f>HYPERLINK("https://twitter.com/petrogustavo","@petrogustavo")</f>
        <v>@petrogustavo</v>
      </c>
      <c r="C5866" s="5" t="s">
        <v>16</v>
      </c>
      <c r="D5866" s="5" t="s">
        <v>5704</v>
      </c>
      <c r="E5866" s="6" t="str">
        <f>HYPERLINK("https://twitter.com/petrogustavo/status/1261362973844668417","1261362973844668417")</f>
        <v>1261362973844668417</v>
      </c>
      <c r="F5866" s="7" t="s">
        <v>17</v>
      </c>
      <c r="G5866" s="7">
        <v>3828528</v>
      </c>
      <c r="H5866" s="7">
        <v>2407</v>
      </c>
      <c r="I5866" s="7">
        <v>11</v>
      </c>
      <c r="J5866" s="7">
        <v>0</v>
      </c>
      <c r="K5866" s="7" t="s">
        <v>18</v>
      </c>
      <c r="L5866" s="8">
        <v>39987.315405092595</v>
      </c>
      <c r="M5866" s="9" t="s">
        <v>19</v>
      </c>
      <c r="N5866" s="9" t="s">
        <v>20</v>
      </c>
      <c r="O5866" s="6" t="str">
        <f>HYPERLINK("https://pbs.twimg.com/profile_images/962471262747529216/Uo8lOkRJ_normal.jpg","View")</f>
        <v>View</v>
      </c>
      <c r="P5866" s="7"/>
    </row>
    <row r="5867" spans="1:16">
      <c r="A5867" s="3">
        <v>43967.001238425924</v>
      </c>
      <c r="B5867" s="4" t="str">
        <f>HYPERLINK("https://twitter.com/petrogustavo","@petrogustavo")</f>
        <v>@petrogustavo</v>
      </c>
      <c r="C5867" s="5" t="s">
        <v>16</v>
      </c>
      <c r="D5867" s="5" t="s">
        <v>5705</v>
      </c>
      <c r="E5867" s="6" t="str">
        <f>HYPERLINK("https://twitter.com/petrogustavo/status/1261363663535050754","1261363663535050754")</f>
        <v>1261363663535050754</v>
      </c>
      <c r="F5867" s="7" t="s">
        <v>17</v>
      </c>
      <c r="G5867" s="7">
        <v>3828528</v>
      </c>
      <c r="H5867" s="7">
        <v>2407</v>
      </c>
      <c r="I5867" s="7">
        <v>12</v>
      </c>
      <c r="J5867" s="7">
        <v>0</v>
      </c>
      <c r="K5867" s="7" t="s">
        <v>18</v>
      </c>
      <c r="L5867" s="8">
        <v>39987.315405092595</v>
      </c>
      <c r="M5867" s="9" t="s">
        <v>19</v>
      </c>
      <c r="N5867" s="9" t="s">
        <v>20</v>
      </c>
      <c r="O5867" s="6" t="str">
        <f>HYPERLINK("https://pbs.twimg.com/profile_images/962471262747529216/Uo8lOkRJ_normal.jpg","View")</f>
        <v>View</v>
      </c>
      <c r="P5867" s="7"/>
    </row>
    <row r="5868" spans="1:16">
      <c r="A5868" s="3">
        <v>43967.012222222227</v>
      </c>
      <c r="B5868" s="4" t="str">
        <f>HYPERLINK("https://twitter.com/petrogustavo","@petrogustavo")</f>
        <v>@petrogustavo</v>
      </c>
      <c r="C5868" s="5" t="s">
        <v>16</v>
      </c>
      <c r="D5868" s="5" t="s">
        <v>5706</v>
      </c>
      <c r="E5868" s="6" t="str">
        <f>HYPERLINK("https://twitter.com/petrogustavo/status/1261367646005723137","1261367646005723137")</f>
        <v>1261367646005723137</v>
      </c>
      <c r="F5868" s="7" t="s">
        <v>17</v>
      </c>
      <c r="G5868" s="7">
        <v>3828563</v>
      </c>
      <c r="H5868" s="7">
        <v>2407</v>
      </c>
      <c r="I5868" s="7">
        <v>34</v>
      </c>
      <c r="J5868" s="7">
        <v>0</v>
      </c>
      <c r="K5868" s="7" t="s">
        <v>18</v>
      </c>
      <c r="L5868" s="8">
        <v>39987.315405092595</v>
      </c>
      <c r="M5868" s="9" t="s">
        <v>19</v>
      </c>
      <c r="N5868" s="9" t="s">
        <v>20</v>
      </c>
      <c r="O5868" s="6" t="str">
        <f>HYPERLINK("https://pbs.twimg.com/profile_images/962471262747529216/Uo8lOkRJ_normal.jpg","View")</f>
        <v>View</v>
      </c>
      <c r="P5868" s="7"/>
    </row>
    <row r="5869" spans="1:16">
      <c r="A5869" s="3">
        <v>43967.012638888889</v>
      </c>
      <c r="B5869" s="4" t="str">
        <f>HYPERLINK("https://twitter.com/petrogustavo","@petrogustavo")</f>
        <v>@petrogustavo</v>
      </c>
      <c r="C5869" s="5" t="s">
        <v>16</v>
      </c>
      <c r="D5869" s="5" t="s">
        <v>5707</v>
      </c>
      <c r="E5869" s="6" t="str">
        <f>HYPERLINK("https://twitter.com/petrogustavo/status/1261367794949595137","1261367794949595137")</f>
        <v>1261367794949595137</v>
      </c>
      <c r="F5869" s="7" t="s">
        <v>17</v>
      </c>
      <c r="G5869" s="7">
        <v>3828563</v>
      </c>
      <c r="H5869" s="7">
        <v>2407</v>
      </c>
      <c r="I5869" s="7">
        <v>49</v>
      </c>
      <c r="J5869" s="7">
        <v>0</v>
      </c>
      <c r="K5869" s="7" t="s">
        <v>18</v>
      </c>
      <c r="L5869" s="8">
        <v>39987.315405092595</v>
      </c>
      <c r="M5869" s="9" t="s">
        <v>19</v>
      </c>
      <c r="N5869" s="9" t="s">
        <v>20</v>
      </c>
      <c r="O5869" s="6" t="str">
        <f>HYPERLINK("https://pbs.twimg.com/profile_images/962471262747529216/Uo8lOkRJ_normal.jpg","View")</f>
        <v>View</v>
      </c>
      <c r="P5869" s="7"/>
    </row>
    <row r="5870" spans="1:16">
      <c r="A5870" s="3">
        <v>43967.013738425929</v>
      </c>
      <c r="B5870" s="4" t="str">
        <f>HYPERLINK("https://twitter.com/petrogustavo","@petrogustavo")</f>
        <v>@petrogustavo</v>
      </c>
      <c r="C5870" s="5" t="s">
        <v>16</v>
      </c>
      <c r="D5870" s="5" t="s">
        <v>5708</v>
      </c>
      <c r="E5870" s="6" t="str">
        <f>HYPERLINK("https://twitter.com/petrogustavo/status/1261368196168368129","1261368196168368129")</f>
        <v>1261368196168368129</v>
      </c>
      <c r="F5870" s="7" t="s">
        <v>17</v>
      </c>
      <c r="G5870" s="7">
        <v>3828563</v>
      </c>
      <c r="H5870" s="7">
        <v>2407</v>
      </c>
      <c r="I5870" s="7">
        <v>29</v>
      </c>
      <c r="J5870" s="7">
        <v>0</v>
      </c>
      <c r="K5870" s="7" t="s">
        <v>18</v>
      </c>
      <c r="L5870" s="8">
        <v>39987.315405092595</v>
      </c>
      <c r="M5870" s="9" t="s">
        <v>19</v>
      </c>
      <c r="N5870" s="9" t="s">
        <v>20</v>
      </c>
      <c r="O5870" s="6" t="str">
        <f>HYPERLINK("https://pbs.twimg.com/profile_images/962471262747529216/Uo8lOkRJ_normal.jpg","View")</f>
        <v>View</v>
      </c>
      <c r="P5870" s="7"/>
    </row>
    <row r="5871" spans="1:16">
      <c r="A5871" s="3">
        <v>43967.014085648145</v>
      </c>
      <c r="B5871" s="4" t="str">
        <f>HYPERLINK("https://twitter.com/petrogustavo","@petrogustavo")</f>
        <v>@petrogustavo</v>
      </c>
      <c r="C5871" s="5" t="s">
        <v>16</v>
      </c>
      <c r="D5871" s="5" t="s">
        <v>5709</v>
      </c>
      <c r="E5871" s="6" t="str">
        <f>HYPERLINK("https://twitter.com/petrogustavo/status/1261368320365912067","1261368320365912067")</f>
        <v>1261368320365912067</v>
      </c>
      <c r="F5871" s="7" t="s">
        <v>17</v>
      </c>
      <c r="G5871" s="7">
        <v>3828563</v>
      </c>
      <c r="H5871" s="7">
        <v>2407</v>
      </c>
      <c r="I5871" s="7">
        <v>32</v>
      </c>
      <c r="J5871" s="7">
        <v>0</v>
      </c>
      <c r="K5871" s="7" t="s">
        <v>18</v>
      </c>
      <c r="L5871" s="8">
        <v>39987.315405092595</v>
      </c>
      <c r="M5871" s="9" t="s">
        <v>19</v>
      </c>
      <c r="N5871" s="9" t="s">
        <v>20</v>
      </c>
      <c r="O5871" s="6" t="str">
        <f>HYPERLINK("https://pbs.twimg.com/profile_images/962471262747529216/Uo8lOkRJ_normal.jpg","View")</f>
        <v>View</v>
      </c>
      <c r="P5871" s="7"/>
    </row>
    <row r="5872" spans="1:16">
      <c r="A5872" s="3">
        <v>43967.015798611115</v>
      </c>
      <c r="B5872" s="4" t="str">
        <f>HYPERLINK("https://twitter.com/petrogustavo","@petrogustavo")</f>
        <v>@petrogustavo</v>
      </c>
      <c r="C5872" s="5" t="s">
        <v>16</v>
      </c>
      <c r="D5872" s="5" t="s">
        <v>5710</v>
      </c>
      <c r="E5872" s="6" t="str">
        <f>HYPERLINK("https://twitter.com/petrogustavo/status/1261368941420609536","1261368941420609536")</f>
        <v>1261368941420609536</v>
      </c>
      <c r="F5872" s="7" t="s">
        <v>17</v>
      </c>
      <c r="G5872" s="7">
        <v>3828563</v>
      </c>
      <c r="H5872" s="7">
        <v>2407</v>
      </c>
      <c r="I5872" s="7">
        <v>20</v>
      </c>
      <c r="J5872" s="7">
        <v>0</v>
      </c>
      <c r="K5872" s="7" t="s">
        <v>18</v>
      </c>
      <c r="L5872" s="8">
        <v>39987.315405092595</v>
      </c>
      <c r="M5872" s="9" t="s">
        <v>19</v>
      </c>
      <c r="N5872" s="9" t="s">
        <v>20</v>
      </c>
      <c r="O5872" s="6" t="str">
        <f>HYPERLINK("https://pbs.twimg.com/profile_images/962471262747529216/Uo8lOkRJ_normal.jpg","View")</f>
        <v>View</v>
      </c>
      <c r="P5872" s="7"/>
    </row>
    <row r="5873" spans="1:16">
      <c r="A5873" s="3">
        <v>43967.016053240739</v>
      </c>
      <c r="B5873" s="4" t="str">
        <f>HYPERLINK("https://twitter.com/petrogustavo","@petrogustavo")</f>
        <v>@petrogustavo</v>
      </c>
      <c r="C5873" s="5" t="s">
        <v>16</v>
      </c>
      <c r="D5873" s="5" t="s">
        <v>5711</v>
      </c>
      <c r="E5873" s="6" t="str">
        <f>HYPERLINK("https://twitter.com/petrogustavo/status/1261369034462945286","1261369034462945286")</f>
        <v>1261369034462945286</v>
      </c>
      <c r="F5873" s="7" t="s">
        <v>17</v>
      </c>
      <c r="G5873" s="7">
        <v>3828563</v>
      </c>
      <c r="H5873" s="7">
        <v>2407</v>
      </c>
      <c r="I5873" s="7">
        <v>14</v>
      </c>
      <c r="J5873" s="7">
        <v>0</v>
      </c>
      <c r="K5873" s="7" t="s">
        <v>18</v>
      </c>
      <c r="L5873" s="8">
        <v>39987.315405092595</v>
      </c>
      <c r="M5873" s="9" t="s">
        <v>19</v>
      </c>
      <c r="N5873" s="9" t="s">
        <v>20</v>
      </c>
      <c r="O5873" s="6" t="str">
        <f>HYPERLINK("https://pbs.twimg.com/profile_images/962471262747529216/Uo8lOkRJ_normal.jpg","View")</f>
        <v>View</v>
      </c>
      <c r="P5873" s="7"/>
    </row>
    <row r="5874" spans="1:16">
      <c r="A5874" s="3">
        <v>43967.01662037037</v>
      </c>
      <c r="B5874" s="4" t="str">
        <f>HYPERLINK("https://twitter.com/petrogustavo","@petrogustavo")</f>
        <v>@petrogustavo</v>
      </c>
      <c r="C5874" s="5" t="s">
        <v>16</v>
      </c>
      <c r="D5874" s="5" t="s">
        <v>5712</v>
      </c>
      <c r="E5874" s="6" t="str">
        <f>HYPERLINK("https://twitter.com/petrogustavo/status/1261369241363722249","1261369241363722249")</f>
        <v>1261369241363722249</v>
      </c>
      <c r="F5874" s="7" t="s">
        <v>17</v>
      </c>
      <c r="G5874" s="7">
        <v>3828563</v>
      </c>
      <c r="H5874" s="7">
        <v>2407</v>
      </c>
      <c r="I5874" s="7">
        <v>182</v>
      </c>
      <c r="J5874" s="7">
        <v>0</v>
      </c>
      <c r="K5874" s="7" t="s">
        <v>18</v>
      </c>
      <c r="L5874" s="8">
        <v>39987.315405092595</v>
      </c>
      <c r="M5874" s="9" t="s">
        <v>19</v>
      </c>
      <c r="N5874" s="9" t="s">
        <v>20</v>
      </c>
      <c r="O5874" s="6" t="str">
        <f>HYPERLINK("https://pbs.twimg.com/profile_images/962471262747529216/Uo8lOkRJ_normal.jpg","View")</f>
        <v>View</v>
      </c>
      <c r="P5874" s="7"/>
    </row>
    <row r="5875" spans="1:16">
      <c r="A5875" s="3">
        <v>43967.016724537039</v>
      </c>
      <c r="B5875" s="4" t="str">
        <f>HYPERLINK("https://twitter.com/petrogustavo","@petrogustavo")</f>
        <v>@petrogustavo</v>
      </c>
      <c r="C5875" s="5" t="s">
        <v>16</v>
      </c>
      <c r="D5875" s="5" t="s">
        <v>5713</v>
      </c>
      <c r="E5875" s="6" t="str">
        <f>HYPERLINK("https://twitter.com/petrogustavo/status/1261369279468810240","1261369279468810240")</f>
        <v>1261369279468810240</v>
      </c>
      <c r="F5875" s="7" t="s">
        <v>17</v>
      </c>
      <c r="G5875" s="7">
        <v>3828563</v>
      </c>
      <c r="H5875" s="7">
        <v>2407</v>
      </c>
      <c r="I5875" s="7">
        <v>20</v>
      </c>
      <c r="J5875" s="7">
        <v>0</v>
      </c>
      <c r="K5875" s="7" t="s">
        <v>18</v>
      </c>
      <c r="L5875" s="8">
        <v>39987.315405092595</v>
      </c>
      <c r="M5875" s="9" t="s">
        <v>19</v>
      </c>
      <c r="N5875" s="9" t="s">
        <v>20</v>
      </c>
      <c r="O5875" s="6" t="str">
        <f>HYPERLINK("https://pbs.twimg.com/profile_images/962471262747529216/Uo8lOkRJ_normal.jpg","View")</f>
        <v>View</v>
      </c>
      <c r="P5875" s="7"/>
    </row>
    <row r="5876" spans="1:16">
      <c r="A5876" s="3">
        <v>43967.017511574071</v>
      </c>
      <c r="B5876" s="4" t="str">
        <f>HYPERLINK("https://twitter.com/petrogustavo","@petrogustavo")</f>
        <v>@petrogustavo</v>
      </c>
      <c r="C5876" s="5" t="s">
        <v>16</v>
      </c>
      <c r="D5876" s="5" t="s">
        <v>5714</v>
      </c>
      <c r="E5876" s="6" t="str">
        <f>HYPERLINK("https://twitter.com/petrogustavo/status/1261369564014579712","1261369564014579712")</f>
        <v>1261369564014579712</v>
      </c>
      <c r="F5876" s="7" t="s">
        <v>17</v>
      </c>
      <c r="G5876" s="7">
        <v>3828563</v>
      </c>
      <c r="H5876" s="7">
        <v>2407</v>
      </c>
      <c r="I5876" s="7">
        <v>9</v>
      </c>
      <c r="J5876" s="7">
        <v>0</v>
      </c>
      <c r="K5876" s="7" t="s">
        <v>18</v>
      </c>
      <c r="L5876" s="8">
        <v>39987.315405092595</v>
      </c>
      <c r="M5876" s="9" t="s">
        <v>19</v>
      </c>
      <c r="N5876" s="9" t="s">
        <v>20</v>
      </c>
      <c r="O5876" s="6" t="str">
        <f>HYPERLINK("https://pbs.twimg.com/profile_images/962471262747529216/Uo8lOkRJ_normal.jpg","View")</f>
        <v>View</v>
      </c>
      <c r="P5876" s="7"/>
    </row>
    <row r="5877" spans="1:16">
      <c r="A5877" s="3">
        <v>43967.019386574073</v>
      </c>
      <c r="B5877" s="4" t="str">
        <f>HYPERLINK("https://twitter.com/petrogustavo","@petrogustavo")</f>
        <v>@petrogustavo</v>
      </c>
      <c r="C5877" s="5" t="s">
        <v>16</v>
      </c>
      <c r="D5877" s="5" t="s">
        <v>5715</v>
      </c>
      <c r="E5877" s="6" t="str">
        <f>HYPERLINK("https://twitter.com/petrogustavo/status/1261370240275034115","1261370240275034115")</f>
        <v>1261370240275034115</v>
      </c>
      <c r="F5877" s="7" t="s">
        <v>17</v>
      </c>
      <c r="G5877" s="7">
        <v>3828563</v>
      </c>
      <c r="H5877" s="7">
        <v>2407</v>
      </c>
      <c r="I5877" s="7">
        <v>10</v>
      </c>
      <c r="J5877" s="7">
        <v>0</v>
      </c>
      <c r="K5877" s="7" t="s">
        <v>18</v>
      </c>
      <c r="L5877" s="8">
        <v>39987.315405092595</v>
      </c>
      <c r="M5877" s="9" t="s">
        <v>19</v>
      </c>
      <c r="N5877" s="9" t="s">
        <v>20</v>
      </c>
      <c r="O5877" s="6" t="str">
        <f>HYPERLINK("https://pbs.twimg.com/profile_images/962471262747529216/Uo8lOkRJ_normal.jpg","View")</f>
        <v>View</v>
      </c>
      <c r="P5877" s="7"/>
    </row>
    <row r="5878" spans="1:16">
      <c r="A5878" s="3">
        <v>43967.019687499997</v>
      </c>
      <c r="B5878" s="4" t="str">
        <f>HYPERLINK("https://twitter.com/petrogustavo","@petrogustavo")</f>
        <v>@petrogustavo</v>
      </c>
      <c r="C5878" s="5" t="s">
        <v>16</v>
      </c>
      <c r="D5878" s="5" t="s">
        <v>5716</v>
      </c>
      <c r="E5878" s="6" t="str">
        <f>HYPERLINK("https://twitter.com/petrogustavo/status/1261370353026084867","1261370353026084867")</f>
        <v>1261370353026084867</v>
      </c>
      <c r="F5878" s="7" t="s">
        <v>17</v>
      </c>
      <c r="G5878" s="7">
        <v>3828563</v>
      </c>
      <c r="H5878" s="7">
        <v>2407</v>
      </c>
      <c r="I5878" s="7">
        <v>15</v>
      </c>
      <c r="J5878" s="7">
        <v>0</v>
      </c>
      <c r="K5878" s="7" t="s">
        <v>18</v>
      </c>
      <c r="L5878" s="8">
        <v>39987.315405092595</v>
      </c>
      <c r="M5878" s="9" t="s">
        <v>19</v>
      </c>
      <c r="N5878" s="9" t="s">
        <v>20</v>
      </c>
      <c r="O5878" s="6" t="str">
        <f>HYPERLINK("https://pbs.twimg.com/profile_images/962471262747529216/Uo8lOkRJ_normal.jpg","View")</f>
        <v>View</v>
      </c>
      <c r="P5878" s="7"/>
    </row>
    <row r="5879" spans="1:16">
      <c r="A5879" s="3">
        <v>43967.020740740743</v>
      </c>
      <c r="B5879" s="4" t="str">
        <f>HYPERLINK("https://twitter.com/petrogustavo","@petrogustavo")</f>
        <v>@petrogustavo</v>
      </c>
      <c r="C5879" s="5" t="s">
        <v>16</v>
      </c>
      <c r="D5879" s="5" t="s">
        <v>5717</v>
      </c>
      <c r="E5879" s="6" t="str">
        <f>HYPERLINK("https://twitter.com/petrogustavo/status/1261370734561112065","1261370734561112065")</f>
        <v>1261370734561112065</v>
      </c>
      <c r="F5879" s="7" t="s">
        <v>21</v>
      </c>
      <c r="G5879" s="7">
        <v>3828563</v>
      </c>
      <c r="H5879" s="7">
        <v>2407</v>
      </c>
      <c r="I5879" s="7">
        <v>17</v>
      </c>
      <c r="J5879" s="7">
        <v>35</v>
      </c>
      <c r="K5879" s="7" t="s">
        <v>18</v>
      </c>
      <c r="L5879" s="8">
        <v>39987.315405092595</v>
      </c>
      <c r="M5879" s="9" t="s">
        <v>19</v>
      </c>
      <c r="N5879" s="9" t="s">
        <v>20</v>
      </c>
      <c r="O5879" s="6" t="str">
        <f>HYPERLINK("https://pbs.twimg.com/profile_images/962471262747529216/Uo8lOkRJ_normal.jpg","View")</f>
        <v>View</v>
      </c>
      <c r="P5879" s="7"/>
    </row>
    <row r="5880" spans="1:16">
      <c r="A5880" s="3">
        <v>43967.039942129632</v>
      </c>
      <c r="B5880" s="4" t="str">
        <f>HYPERLINK("https://twitter.com/petrogustavo","@petrogustavo")</f>
        <v>@petrogustavo</v>
      </c>
      <c r="C5880" s="5" t="s">
        <v>16</v>
      </c>
      <c r="D5880" s="5" t="s">
        <v>5718</v>
      </c>
      <c r="E5880" s="6" t="str">
        <f>HYPERLINK("https://twitter.com/petrogustavo/status/1261377690747252736","1261377690747252736")</f>
        <v>1261377690747252736</v>
      </c>
      <c r="F5880" s="7" t="s">
        <v>32</v>
      </c>
      <c r="G5880" s="7">
        <v>3828587</v>
      </c>
      <c r="H5880" s="7">
        <v>2407</v>
      </c>
      <c r="I5880" s="7">
        <v>10</v>
      </c>
      <c r="J5880" s="7">
        <v>0</v>
      </c>
      <c r="K5880" s="7" t="s">
        <v>18</v>
      </c>
      <c r="L5880" s="8">
        <v>39987.315405092595</v>
      </c>
      <c r="M5880" s="9" t="s">
        <v>19</v>
      </c>
      <c r="N5880" s="9" t="s">
        <v>20</v>
      </c>
      <c r="O5880" s="6" t="str">
        <f>HYPERLINK("https://pbs.twimg.com/profile_images/962471262747529216/Uo8lOkRJ_normal.jpg","View")</f>
        <v>View</v>
      </c>
      <c r="P5880" s="7"/>
    </row>
    <row r="5881" spans="1:16">
      <c r="A5881" s="3">
        <v>43967.040312500001</v>
      </c>
      <c r="B5881" s="4" t="str">
        <f>HYPERLINK("https://twitter.com/petrogustavo","@petrogustavo")</f>
        <v>@petrogustavo</v>
      </c>
      <c r="C5881" s="5" t="s">
        <v>16</v>
      </c>
      <c r="D5881" s="5" t="s">
        <v>5719</v>
      </c>
      <c r="E5881" s="6" t="str">
        <f>HYPERLINK("https://twitter.com/petrogustavo/status/1261377826873376769","1261377826873376769")</f>
        <v>1261377826873376769</v>
      </c>
      <c r="F5881" s="7" t="s">
        <v>32</v>
      </c>
      <c r="G5881" s="7">
        <v>3828587</v>
      </c>
      <c r="H5881" s="7">
        <v>2407</v>
      </c>
      <c r="I5881" s="7">
        <v>38</v>
      </c>
      <c r="J5881" s="7">
        <v>0</v>
      </c>
      <c r="K5881" s="7" t="s">
        <v>18</v>
      </c>
      <c r="L5881" s="8">
        <v>39987.315405092595</v>
      </c>
      <c r="M5881" s="9" t="s">
        <v>19</v>
      </c>
      <c r="N5881" s="9" t="s">
        <v>20</v>
      </c>
      <c r="O5881" s="6" t="str">
        <f>HYPERLINK("https://pbs.twimg.com/profile_images/962471262747529216/Uo8lOkRJ_normal.jpg","View")</f>
        <v>View</v>
      </c>
      <c r="P5881" s="7"/>
    </row>
    <row r="5882" spans="1:16">
      <c r="A5882" s="3">
        <v>43967.040671296301</v>
      </c>
      <c r="B5882" s="4" t="str">
        <f>HYPERLINK("https://twitter.com/petrogustavo","@petrogustavo")</f>
        <v>@petrogustavo</v>
      </c>
      <c r="C5882" s="5" t="s">
        <v>16</v>
      </c>
      <c r="D5882" s="5" t="s">
        <v>5720</v>
      </c>
      <c r="E5882" s="6" t="str">
        <f>HYPERLINK("https://twitter.com/petrogustavo/status/1261377955810340864","1261377955810340864")</f>
        <v>1261377955810340864</v>
      </c>
      <c r="F5882" s="7" t="s">
        <v>32</v>
      </c>
      <c r="G5882" s="7">
        <v>3828587</v>
      </c>
      <c r="H5882" s="7">
        <v>2407</v>
      </c>
      <c r="I5882" s="7">
        <v>10</v>
      </c>
      <c r="J5882" s="7">
        <v>0</v>
      </c>
      <c r="K5882" s="7" t="s">
        <v>18</v>
      </c>
      <c r="L5882" s="8">
        <v>39987.315405092595</v>
      </c>
      <c r="M5882" s="9" t="s">
        <v>19</v>
      </c>
      <c r="N5882" s="9" t="s">
        <v>20</v>
      </c>
      <c r="O5882" s="6" t="str">
        <f>HYPERLINK("https://pbs.twimg.com/profile_images/962471262747529216/Uo8lOkRJ_normal.jpg","View")</f>
        <v>View</v>
      </c>
      <c r="P5882" s="7"/>
    </row>
    <row r="5883" spans="1:16">
      <c r="A5883" s="3">
        <v>43967.047743055555</v>
      </c>
      <c r="B5883" s="4" t="str">
        <f>HYPERLINK("https://twitter.com/petrogustavo","@petrogustavo")</f>
        <v>@petrogustavo</v>
      </c>
      <c r="C5883" s="5" t="s">
        <v>16</v>
      </c>
      <c r="D5883" s="5" t="s">
        <v>5721</v>
      </c>
      <c r="E5883" s="6" t="str">
        <f>HYPERLINK("https://twitter.com/petrogustavo/status/1261380516411871232","1261380516411871232")</f>
        <v>1261380516411871232</v>
      </c>
      <c r="F5883" s="7" t="s">
        <v>32</v>
      </c>
      <c r="G5883" s="7">
        <v>3828630</v>
      </c>
      <c r="H5883" s="7">
        <v>2407</v>
      </c>
      <c r="I5883" s="7">
        <v>26</v>
      </c>
      <c r="J5883" s="7">
        <v>0</v>
      </c>
      <c r="K5883" s="7" t="s">
        <v>18</v>
      </c>
      <c r="L5883" s="8">
        <v>39987.315405092595</v>
      </c>
      <c r="M5883" s="9" t="s">
        <v>19</v>
      </c>
      <c r="N5883" s="9" t="s">
        <v>20</v>
      </c>
      <c r="O5883" s="6" t="str">
        <f>HYPERLINK("https://pbs.twimg.com/profile_images/962471262747529216/Uo8lOkRJ_normal.jpg","View")</f>
        <v>View</v>
      </c>
      <c r="P5883" s="7"/>
    </row>
    <row r="5884" spans="1:16">
      <c r="A5884" s="3">
        <v>43967.047962962963</v>
      </c>
      <c r="B5884" s="4" t="str">
        <f>HYPERLINK("https://twitter.com/petrogustavo","@petrogustavo")</f>
        <v>@petrogustavo</v>
      </c>
      <c r="C5884" s="5" t="s">
        <v>16</v>
      </c>
      <c r="D5884" s="5" t="s">
        <v>5722</v>
      </c>
      <c r="E5884" s="6" t="str">
        <f>HYPERLINK("https://twitter.com/petrogustavo/status/1261380598595112961","1261380598595112961")</f>
        <v>1261380598595112961</v>
      </c>
      <c r="F5884" s="7" t="s">
        <v>32</v>
      </c>
      <c r="G5884" s="7">
        <v>3828630</v>
      </c>
      <c r="H5884" s="7">
        <v>2407</v>
      </c>
      <c r="I5884" s="7">
        <v>161</v>
      </c>
      <c r="J5884" s="7">
        <v>0</v>
      </c>
      <c r="K5884" s="7" t="s">
        <v>18</v>
      </c>
      <c r="L5884" s="8">
        <v>39987.315405092595</v>
      </c>
      <c r="M5884" s="9" t="s">
        <v>19</v>
      </c>
      <c r="N5884" s="9" t="s">
        <v>20</v>
      </c>
      <c r="O5884" s="6" t="str">
        <f>HYPERLINK("https://pbs.twimg.com/profile_images/962471262747529216/Uo8lOkRJ_normal.jpg","View")</f>
        <v>View</v>
      </c>
      <c r="P5884" s="7"/>
    </row>
    <row r="5885" spans="1:16">
      <c r="A5885" s="3">
        <v>43967.384131944447</v>
      </c>
      <c r="B5885" s="4" t="str">
        <f>HYPERLINK("https://twitter.com/petrogustavo","@petrogustavo")</f>
        <v>@petrogustavo</v>
      </c>
      <c r="C5885" s="5" t="s">
        <v>16</v>
      </c>
      <c r="D5885" s="5" t="s">
        <v>5722</v>
      </c>
      <c r="E5885" s="6" t="str">
        <f>HYPERLINK("https://twitter.com/petrogustavo/status/1261502423174176769","1261502423174176769")</f>
        <v>1261502423174176769</v>
      </c>
      <c r="F5885" s="7" t="s">
        <v>17</v>
      </c>
      <c r="G5885" s="7">
        <v>3829082</v>
      </c>
      <c r="H5885" s="7">
        <v>2406</v>
      </c>
      <c r="I5885" s="7">
        <v>582</v>
      </c>
      <c r="J5885" s="7">
        <v>0</v>
      </c>
      <c r="K5885" s="7" t="s">
        <v>18</v>
      </c>
      <c r="L5885" s="8">
        <v>39987.315405092595</v>
      </c>
      <c r="M5885" s="9" t="s">
        <v>19</v>
      </c>
      <c r="N5885" s="9" t="s">
        <v>20</v>
      </c>
      <c r="O5885" s="6" t="str">
        <f>HYPERLINK("https://pbs.twimg.com/profile_images/962471262747529216/Uo8lOkRJ_normal.jpg","View")</f>
        <v>View</v>
      </c>
      <c r="P5885" s="7"/>
    </row>
    <row r="5886" spans="1:16">
      <c r="A5886" s="3">
        <v>43967.811249999999</v>
      </c>
      <c r="B5886" s="4" t="str">
        <f>HYPERLINK("https://twitter.com/petrogustavo","@petrogustavo")</f>
        <v>@petrogustavo</v>
      </c>
      <c r="C5886" s="5" t="s">
        <v>16</v>
      </c>
      <c r="D5886" s="5" t="s">
        <v>5723</v>
      </c>
      <c r="E5886" s="6" t="str">
        <f>HYPERLINK("https://twitter.com/petrogustavo/status/1261657202739347457","1261657202739347457")</f>
        <v>1261657202739347457</v>
      </c>
      <c r="F5886" s="7" t="s">
        <v>17</v>
      </c>
      <c r="G5886" s="7">
        <v>3829347</v>
      </c>
      <c r="H5886" s="7">
        <v>2405</v>
      </c>
      <c r="I5886" s="7">
        <v>12</v>
      </c>
      <c r="J5886" s="7">
        <v>0</v>
      </c>
      <c r="K5886" s="7" t="s">
        <v>18</v>
      </c>
      <c r="L5886" s="8">
        <v>39987.315405092595</v>
      </c>
      <c r="M5886" s="9" t="s">
        <v>19</v>
      </c>
      <c r="N5886" s="9" t="s">
        <v>20</v>
      </c>
      <c r="O5886" s="6" t="str">
        <f>HYPERLINK("https://pbs.twimg.com/profile_images/962471262747529216/Uo8lOkRJ_normal.jpg","View")</f>
        <v>View</v>
      </c>
      <c r="P5886" s="7"/>
    </row>
    <row r="5887" spans="1:16">
      <c r="A5887" s="3">
        <v>43967.821643518517</v>
      </c>
      <c r="B5887" s="4" t="str">
        <f>HYPERLINK("https://twitter.com/petrogustavo","@petrogustavo")</f>
        <v>@petrogustavo</v>
      </c>
      <c r="C5887" s="5" t="s">
        <v>16</v>
      </c>
      <c r="D5887" s="5" t="s">
        <v>5724</v>
      </c>
      <c r="E5887" s="6" t="str">
        <f>HYPERLINK("https://twitter.com/petrogustavo/status/1261660970398691329","1261660970398691329")</f>
        <v>1261660970398691329</v>
      </c>
      <c r="F5887" s="7" t="s">
        <v>17</v>
      </c>
      <c r="G5887" s="7">
        <v>3829368</v>
      </c>
      <c r="H5887" s="7">
        <v>2405</v>
      </c>
      <c r="I5887" s="7">
        <v>90</v>
      </c>
      <c r="J5887" s="7">
        <v>227</v>
      </c>
      <c r="K5887" s="7" t="s">
        <v>18</v>
      </c>
      <c r="L5887" s="8">
        <v>39987.315405092595</v>
      </c>
      <c r="M5887" s="9" t="s">
        <v>19</v>
      </c>
      <c r="N5887" s="9" t="s">
        <v>20</v>
      </c>
      <c r="O5887" s="6" t="str">
        <f>HYPERLINK("https://pbs.twimg.com/profile_images/962471262747529216/Uo8lOkRJ_normal.jpg","View")</f>
        <v>View</v>
      </c>
      <c r="P5887" s="7"/>
    </row>
    <row r="5888" spans="1:16">
      <c r="A5888" s="3">
        <v>43967.836018518516</v>
      </c>
      <c r="B5888" s="4" t="str">
        <f>HYPERLINK("https://twitter.com/petrogustavo","@petrogustavo")</f>
        <v>@petrogustavo</v>
      </c>
      <c r="C5888" s="5" t="s">
        <v>16</v>
      </c>
      <c r="D5888" s="5" t="s">
        <v>5725</v>
      </c>
      <c r="E5888" s="6" t="str">
        <f>HYPERLINK("https://twitter.com/petrogustavo/status/1261666181695635456","1261666181695635456")</f>
        <v>1261666181695635456</v>
      </c>
      <c r="F5888" s="7" t="s">
        <v>17</v>
      </c>
      <c r="G5888" s="7">
        <v>3829392</v>
      </c>
      <c r="H5888" s="7">
        <v>2406</v>
      </c>
      <c r="I5888" s="7">
        <v>41</v>
      </c>
      <c r="J5888" s="7">
        <v>133</v>
      </c>
      <c r="K5888" s="7" t="s">
        <v>18</v>
      </c>
      <c r="L5888" s="8">
        <v>39987.315405092595</v>
      </c>
      <c r="M5888" s="9" t="s">
        <v>19</v>
      </c>
      <c r="N5888" s="9" t="s">
        <v>20</v>
      </c>
      <c r="O5888" s="6" t="str">
        <f>HYPERLINK("https://pbs.twimg.com/profile_images/962471262747529216/Uo8lOkRJ_normal.jpg","View")</f>
        <v>View</v>
      </c>
      <c r="P5888" s="7"/>
    </row>
    <row r="5889" spans="1:16">
      <c r="A5889" s="3">
        <v>43967.841354166667</v>
      </c>
      <c r="B5889" s="4" t="str">
        <f>HYPERLINK("https://twitter.com/petrogustavo","@petrogustavo")</f>
        <v>@petrogustavo</v>
      </c>
      <c r="C5889" s="5" t="s">
        <v>16</v>
      </c>
      <c r="D5889" s="5" t="s">
        <v>5726</v>
      </c>
      <c r="E5889" s="6" t="str">
        <f>HYPERLINK("https://twitter.com/petrogustavo/status/1261668114103746561","1261668114103746561")</f>
        <v>1261668114103746561</v>
      </c>
      <c r="F5889" s="7" t="s">
        <v>17</v>
      </c>
      <c r="G5889" s="7">
        <v>3829392</v>
      </c>
      <c r="H5889" s="7">
        <v>2406</v>
      </c>
      <c r="I5889" s="7">
        <v>40</v>
      </c>
      <c r="J5889" s="7">
        <v>105</v>
      </c>
      <c r="K5889" s="7" t="s">
        <v>18</v>
      </c>
      <c r="L5889" s="8">
        <v>39987.315405092595</v>
      </c>
      <c r="M5889" s="9" t="s">
        <v>19</v>
      </c>
      <c r="N5889" s="9" t="s">
        <v>20</v>
      </c>
      <c r="O5889" s="6" t="str">
        <f>HYPERLINK("https://pbs.twimg.com/profile_images/962471262747529216/Uo8lOkRJ_normal.jpg","View")</f>
        <v>View</v>
      </c>
      <c r="P5889" s="7"/>
    </row>
    <row r="5890" spans="1:16">
      <c r="A5890" s="3">
        <v>43967.843726851846</v>
      </c>
      <c r="B5890" s="4" t="str">
        <f>HYPERLINK("https://twitter.com/petrogustavo","@petrogustavo")</f>
        <v>@petrogustavo</v>
      </c>
      <c r="C5890" s="5" t="s">
        <v>16</v>
      </c>
      <c r="D5890" s="5" t="s">
        <v>5727</v>
      </c>
      <c r="E5890" s="6" t="str">
        <f>HYPERLINK("https://twitter.com/petrogustavo/status/1261668973936021507","1261668973936021507")</f>
        <v>1261668973936021507</v>
      </c>
      <c r="F5890" s="7" t="s">
        <v>17</v>
      </c>
      <c r="G5890" s="7">
        <v>3829392</v>
      </c>
      <c r="H5890" s="7">
        <v>2406</v>
      </c>
      <c r="I5890" s="7">
        <v>57</v>
      </c>
      <c r="J5890" s="7">
        <v>131</v>
      </c>
      <c r="K5890" s="7" t="s">
        <v>18</v>
      </c>
      <c r="L5890" s="8">
        <v>39987.315405092595</v>
      </c>
      <c r="M5890" s="9" t="s">
        <v>19</v>
      </c>
      <c r="N5890" s="9" t="s">
        <v>20</v>
      </c>
      <c r="O5890" s="6" t="str">
        <f>HYPERLINK("https://pbs.twimg.com/profile_images/962471262747529216/Uo8lOkRJ_normal.jpg","View")</f>
        <v>View</v>
      </c>
      <c r="P5890" s="7"/>
    </row>
    <row r="5891" spans="1:16">
      <c r="A5891" s="3">
        <v>43967.849282407406</v>
      </c>
      <c r="B5891" s="4" t="str">
        <f>HYPERLINK("https://twitter.com/petrogustavo","@petrogustavo")</f>
        <v>@petrogustavo</v>
      </c>
      <c r="C5891" s="5" t="s">
        <v>16</v>
      </c>
      <c r="D5891" s="5" t="s">
        <v>5728</v>
      </c>
      <c r="E5891" s="6" t="str">
        <f>HYPERLINK("https://twitter.com/petrogustavo/status/1261670986509963266","1261670986509963266")</f>
        <v>1261670986509963266</v>
      </c>
      <c r="F5891" s="7" t="s">
        <v>17</v>
      </c>
      <c r="G5891" s="7">
        <v>3829392</v>
      </c>
      <c r="H5891" s="7">
        <v>2406</v>
      </c>
      <c r="I5891" s="7">
        <v>87</v>
      </c>
      <c r="J5891" s="7">
        <v>239</v>
      </c>
      <c r="K5891" s="7" t="s">
        <v>18</v>
      </c>
      <c r="L5891" s="8">
        <v>39987.315405092595</v>
      </c>
      <c r="M5891" s="9" t="s">
        <v>19</v>
      </c>
      <c r="N5891" s="9" t="s">
        <v>20</v>
      </c>
      <c r="O5891" s="6" t="str">
        <f>HYPERLINK("https://pbs.twimg.com/profile_images/962471262747529216/Uo8lOkRJ_normal.jpg","View")</f>
        <v>View</v>
      </c>
      <c r="P5891" s="7"/>
    </row>
    <row r="5892" spans="1:16">
      <c r="A5892" s="3">
        <v>43967.861921296295</v>
      </c>
      <c r="B5892" s="4" t="str">
        <f>HYPERLINK("https://twitter.com/petrogustavo","@petrogustavo")</f>
        <v>@petrogustavo</v>
      </c>
      <c r="C5892" s="5" t="s">
        <v>16</v>
      </c>
      <c r="D5892" s="5" t="s">
        <v>5729</v>
      </c>
      <c r="E5892" s="6" t="str">
        <f>HYPERLINK("https://twitter.com/petrogustavo/status/1261675564441767940","1261675564441767940")</f>
        <v>1261675564441767940</v>
      </c>
      <c r="F5892" s="7" t="s">
        <v>17</v>
      </c>
      <c r="G5892" s="7">
        <v>3829416</v>
      </c>
      <c r="H5892" s="7">
        <v>2406</v>
      </c>
      <c r="I5892" s="7">
        <v>169</v>
      </c>
      <c r="J5892" s="7">
        <v>552</v>
      </c>
      <c r="K5892" s="7" t="s">
        <v>18</v>
      </c>
      <c r="L5892" s="8">
        <v>39987.315405092595</v>
      </c>
      <c r="M5892" s="9" t="s">
        <v>19</v>
      </c>
      <c r="N5892" s="9" t="s">
        <v>20</v>
      </c>
      <c r="O5892" s="6" t="str">
        <f>HYPERLINK("https://pbs.twimg.com/profile_images/962471262747529216/Uo8lOkRJ_normal.jpg","View")</f>
        <v>View</v>
      </c>
      <c r="P5892" s="7"/>
    </row>
    <row r="5893" spans="1:16">
      <c r="A5893" s="3">
        <v>43967.875277777777</v>
      </c>
      <c r="B5893" s="4" t="str">
        <f>HYPERLINK("https://twitter.com/petrogustavo","@petrogustavo")</f>
        <v>@petrogustavo</v>
      </c>
      <c r="C5893" s="5" t="s">
        <v>16</v>
      </c>
      <c r="D5893" s="5" t="s">
        <v>5730</v>
      </c>
      <c r="E5893" s="6" t="str">
        <f>HYPERLINK("https://twitter.com/petrogustavo/status/1261680406178541568","1261680406178541568")</f>
        <v>1261680406178541568</v>
      </c>
      <c r="F5893" s="7" t="s">
        <v>17</v>
      </c>
      <c r="G5893" s="7">
        <v>3829416</v>
      </c>
      <c r="H5893" s="7">
        <v>2406</v>
      </c>
      <c r="I5893" s="7">
        <v>22</v>
      </c>
      <c r="J5893" s="7">
        <v>0</v>
      </c>
      <c r="K5893" s="7" t="s">
        <v>18</v>
      </c>
      <c r="L5893" s="8">
        <v>39987.315405092595</v>
      </c>
      <c r="M5893" s="9" t="s">
        <v>19</v>
      </c>
      <c r="N5893" s="9" t="s">
        <v>20</v>
      </c>
      <c r="O5893" s="6" t="str">
        <f>HYPERLINK("https://pbs.twimg.com/profile_images/962471262747529216/Uo8lOkRJ_normal.jpg","View")</f>
        <v>View</v>
      </c>
      <c r="P5893" s="7"/>
    </row>
    <row r="5894" spans="1:16">
      <c r="A5894" s="3">
        <v>43967.877662037034</v>
      </c>
      <c r="B5894" s="4" t="str">
        <f>HYPERLINK("https://twitter.com/petrogustavo","@petrogustavo")</f>
        <v>@petrogustavo</v>
      </c>
      <c r="C5894" s="5" t="s">
        <v>16</v>
      </c>
      <c r="D5894" s="5" t="s">
        <v>5731</v>
      </c>
      <c r="E5894" s="6" t="str">
        <f>HYPERLINK("https://twitter.com/petrogustavo/status/1261681268913328136","1261681268913328136")</f>
        <v>1261681268913328136</v>
      </c>
      <c r="F5894" s="7" t="s">
        <v>17</v>
      </c>
      <c r="G5894" s="7">
        <v>3829444</v>
      </c>
      <c r="H5894" s="7">
        <v>2407</v>
      </c>
      <c r="I5894" s="7">
        <v>18</v>
      </c>
      <c r="J5894" s="7">
        <v>0</v>
      </c>
      <c r="K5894" s="7" t="s">
        <v>18</v>
      </c>
      <c r="L5894" s="8">
        <v>39987.315405092595</v>
      </c>
      <c r="M5894" s="9" t="s">
        <v>19</v>
      </c>
      <c r="N5894" s="9" t="s">
        <v>20</v>
      </c>
      <c r="O5894" s="6" t="str">
        <f>HYPERLINK("https://pbs.twimg.com/profile_images/962471262747529216/Uo8lOkRJ_normal.jpg","View")</f>
        <v>View</v>
      </c>
      <c r="P5894" s="7"/>
    </row>
    <row r="5895" spans="1:16">
      <c r="A5895" s="3">
        <v>43967.884525462963</v>
      </c>
      <c r="B5895" s="4" t="str">
        <f>HYPERLINK("https://twitter.com/petrogustavo","@petrogustavo")</f>
        <v>@petrogustavo</v>
      </c>
      <c r="C5895" s="5" t="s">
        <v>16</v>
      </c>
      <c r="D5895" s="5" t="s">
        <v>5732</v>
      </c>
      <c r="E5895" s="6" t="str">
        <f>HYPERLINK("https://twitter.com/petrogustavo/status/1261683756810764293","1261683756810764293")</f>
        <v>1261683756810764293</v>
      </c>
      <c r="F5895" s="7" t="s">
        <v>17</v>
      </c>
      <c r="G5895" s="7">
        <v>3829444</v>
      </c>
      <c r="H5895" s="7">
        <v>2407</v>
      </c>
      <c r="I5895" s="7">
        <v>61</v>
      </c>
      <c r="J5895" s="7">
        <v>125</v>
      </c>
      <c r="K5895" s="7" t="s">
        <v>18</v>
      </c>
      <c r="L5895" s="8">
        <v>39987.315405092595</v>
      </c>
      <c r="M5895" s="9" t="s">
        <v>19</v>
      </c>
      <c r="N5895" s="9" t="s">
        <v>20</v>
      </c>
      <c r="O5895" s="6" t="str">
        <f>HYPERLINK("https://pbs.twimg.com/profile_images/962471262747529216/Uo8lOkRJ_normal.jpg","View")</f>
        <v>View</v>
      </c>
      <c r="P5895" s="7"/>
    </row>
    <row r="5896" spans="1:16">
      <c r="A5896" s="3">
        <v>43967.886701388888</v>
      </c>
      <c r="B5896" s="4" t="str">
        <f>HYPERLINK("https://twitter.com/petrogustavo","@petrogustavo")</f>
        <v>@petrogustavo</v>
      </c>
      <c r="C5896" s="5" t="s">
        <v>16</v>
      </c>
      <c r="D5896" s="5" t="s">
        <v>5733</v>
      </c>
      <c r="E5896" s="6" t="str">
        <f>HYPERLINK("https://twitter.com/petrogustavo/status/1261684548095574019","1261684548095574019")</f>
        <v>1261684548095574019</v>
      </c>
      <c r="F5896" s="7" t="s">
        <v>17</v>
      </c>
      <c r="G5896" s="7">
        <v>3829444</v>
      </c>
      <c r="H5896" s="7">
        <v>2407</v>
      </c>
      <c r="I5896" s="7">
        <v>9120</v>
      </c>
      <c r="J5896" s="7">
        <v>0</v>
      </c>
      <c r="K5896" s="7" t="s">
        <v>18</v>
      </c>
      <c r="L5896" s="8">
        <v>39987.315405092595</v>
      </c>
      <c r="M5896" s="9" t="s">
        <v>19</v>
      </c>
      <c r="N5896" s="9" t="s">
        <v>20</v>
      </c>
      <c r="O5896" s="6" t="str">
        <f>HYPERLINK("https://pbs.twimg.com/profile_images/962471262747529216/Uo8lOkRJ_normal.jpg","View")</f>
        <v>View</v>
      </c>
      <c r="P5896" s="7"/>
    </row>
    <row r="5897" spans="1:16">
      <c r="A5897" s="3">
        <v>43967.888599537036</v>
      </c>
      <c r="B5897" s="4" t="str">
        <f>HYPERLINK("https://twitter.com/petrogustavo","@petrogustavo")</f>
        <v>@petrogustavo</v>
      </c>
      <c r="C5897" s="5" t="s">
        <v>16</v>
      </c>
      <c r="D5897" s="5" t="s">
        <v>5734</v>
      </c>
      <c r="E5897" s="6" t="str">
        <f>HYPERLINK("https://twitter.com/petrogustavo/status/1261685232819978241","1261685232819978241")</f>
        <v>1261685232819978241</v>
      </c>
      <c r="F5897" s="7" t="s">
        <v>17</v>
      </c>
      <c r="G5897" s="7">
        <v>3829444</v>
      </c>
      <c r="H5897" s="7">
        <v>2407</v>
      </c>
      <c r="I5897" s="7">
        <v>42</v>
      </c>
      <c r="J5897" s="7">
        <v>0</v>
      </c>
      <c r="K5897" s="7" t="s">
        <v>18</v>
      </c>
      <c r="L5897" s="8">
        <v>39987.315405092595</v>
      </c>
      <c r="M5897" s="9" t="s">
        <v>19</v>
      </c>
      <c r="N5897" s="9" t="s">
        <v>20</v>
      </c>
      <c r="O5897" s="6" t="str">
        <f>HYPERLINK("https://pbs.twimg.com/profile_images/962471262747529216/Uo8lOkRJ_normal.jpg","View")</f>
        <v>View</v>
      </c>
      <c r="P5897" s="7"/>
    </row>
    <row r="5898" spans="1:16">
      <c r="A5898" s="3">
        <v>43967.893067129626</v>
      </c>
      <c r="B5898" s="4" t="str">
        <f>HYPERLINK("https://twitter.com/petrogustavo","@petrogustavo")</f>
        <v>@petrogustavo</v>
      </c>
      <c r="C5898" s="5" t="s">
        <v>16</v>
      </c>
      <c r="D5898" s="5" t="s">
        <v>5735</v>
      </c>
      <c r="E5898" s="6" t="str">
        <f>HYPERLINK("https://twitter.com/petrogustavo/status/1261686853440241674","1261686853440241674")</f>
        <v>1261686853440241674</v>
      </c>
      <c r="F5898" s="7" t="s">
        <v>17</v>
      </c>
      <c r="G5898" s="7">
        <v>3829444</v>
      </c>
      <c r="H5898" s="7">
        <v>2407</v>
      </c>
      <c r="I5898" s="7">
        <v>13</v>
      </c>
      <c r="J5898" s="7">
        <v>33</v>
      </c>
      <c r="K5898" s="7" t="s">
        <v>18</v>
      </c>
      <c r="L5898" s="8">
        <v>39987.315405092595</v>
      </c>
      <c r="M5898" s="9" t="s">
        <v>19</v>
      </c>
      <c r="N5898" s="9" t="s">
        <v>20</v>
      </c>
      <c r="O5898" s="6" t="str">
        <f>HYPERLINK("https://pbs.twimg.com/profile_images/962471262747529216/Uo8lOkRJ_normal.jpg","View")</f>
        <v>View</v>
      </c>
      <c r="P5898" s="7"/>
    </row>
    <row r="5899" spans="1:16">
      <c r="A5899" s="3">
        <v>43967.896145833336</v>
      </c>
      <c r="B5899" s="4" t="str">
        <f>HYPERLINK("https://twitter.com/petrogustavo","@petrogustavo")</f>
        <v>@petrogustavo</v>
      </c>
      <c r="C5899" s="5" t="s">
        <v>16</v>
      </c>
      <c r="D5899" s="5" t="s">
        <v>5736</v>
      </c>
      <c r="E5899" s="6" t="str">
        <f>HYPERLINK("https://twitter.com/petrogustavo/status/1261687968038821891","1261687968038821891")</f>
        <v>1261687968038821891</v>
      </c>
      <c r="F5899" s="7" t="s">
        <v>17</v>
      </c>
      <c r="G5899" s="7">
        <v>3829444</v>
      </c>
      <c r="H5899" s="7">
        <v>2407</v>
      </c>
      <c r="I5899" s="7">
        <v>3587</v>
      </c>
      <c r="J5899" s="7">
        <v>0</v>
      </c>
      <c r="K5899" s="7" t="s">
        <v>18</v>
      </c>
      <c r="L5899" s="8">
        <v>39987.315405092595</v>
      </c>
      <c r="M5899" s="9" t="s">
        <v>19</v>
      </c>
      <c r="N5899" s="9" t="s">
        <v>20</v>
      </c>
      <c r="O5899" s="6" t="str">
        <f>HYPERLINK("https://pbs.twimg.com/profile_images/962471262747529216/Uo8lOkRJ_normal.jpg","View")</f>
        <v>View</v>
      </c>
      <c r="P5899" s="7"/>
    </row>
    <row r="5900" spans="1:16">
      <c r="A5900" s="3">
        <v>43967.896585648152</v>
      </c>
      <c r="B5900" s="4" t="str">
        <f>HYPERLINK("https://twitter.com/petrogustavo","@petrogustavo")</f>
        <v>@petrogustavo</v>
      </c>
      <c r="C5900" s="5" t="s">
        <v>16</v>
      </c>
      <c r="D5900" s="5" t="s">
        <v>5737</v>
      </c>
      <c r="E5900" s="6" t="str">
        <f>HYPERLINK("https://twitter.com/petrogustavo/status/1261688128907206657","1261688128907206657")</f>
        <v>1261688128907206657</v>
      </c>
      <c r="F5900" s="7" t="s">
        <v>17</v>
      </c>
      <c r="G5900" s="7">
        <v>3829444</v>
      </c>
      <c r="H5900" s="7">
        <v>2407</v>
      </c>
      <c r="I5900" s="7">
        <v>13</v>
      </c>
      <c r="J5900" s="7">
        <v>0</v>
      </c>
      <c r="K5900" s="7" t="s">
        <v>18</v>
      </c>
      <c r="L5900" s="8">
        <v>39987.315405092595</v>
      </c>
      <c r="M5900" s="9" t="s">
        <v>19</v>
      </c>
      <c r="N5900" s="9" t="s">
        <v>20</v>
      </c>
      <c r="O5900" s="6" t="str">
        <f>HYPERLINK("https://pbs.twimg.com/profile_images/962471262747529216/Uo8lOkRJ_normal.jpg","View")</f>
        <v>View</v>
      </c>
      <c r="P5900" s="7"/>
    </row>
    <row r="5901" spans="1:16">
      <c r="A5901" s="3">
        <v>43967.901412037041</v>
      </c>
      <c r="B5901" s="4" t="str">
        <f>HYPERLINK("https://twitter.com/petrogustavo","@petrogustavo")</f>
        <v>@petrogustavo</v>
      </c>
      <c r="C5901" s="5" t="s">
        <v>16</v>
      </c>
      <c r="D5901" s="5" t="s">
        <v>5738</v>
      </c>
      <c r="E5901" s="6" t="str">
        <f>HYPERLINK("https://twitter.com/petrogustavo/status/1261689878804340741","1261689878804340741")</f>
        <v>1261689878804340741</v>
      </c>
      <c r="F5901" s="7" t="s">
        <v>17</v>
      </c>
      <c r="G5901" s="7">
        <v>3829469</v>
      </c>
      <c r="H5901" s="7">
        <v>2407</v>
      </c>
      <c r="I5901" s="7">
        <v>78</v>
      </c>
      <c r="J5901" s="7">
        <v>162</v>
      </c>
      <c r="K5901" s="7" t="s">
        <v>18</v>
      </c>
      <c r="L5901" s="8">
        <v>39987.315405092595</v>
      </c>
      <c r="M5901" s="9" t="s">
        <v>19</v>
      </c>
      <c r="N5901" s="9" t="s">
        <v>20</v>
      </c>
      <c r="O5901" s="6" t="str">
        <f>HYPERLINK("https://pbs.twimg.com/profile_images/962471262747529216/Uo8lOkRJ_normal.jpg","View")</f>
        <v>View</v>
      </c>
      <c r="P5901" s="7"/>
    </row>
    <row r="5902" spans="1:16">
      <c r="A5902" s="3">
        <v>43967.908020833333</v>
      </c>
      <c r="B5902" s="4" t="str">
        <f>HYPERLINK("https://twitter.com/petrogustavo","@petrogustavo")</f>
        <v>@petrogustavo</v>
      </c>
      <c r="C5902" s="5" t="s">
        <v>16</v>
      </c>
      <c r="D5902" s="5" t="s">
        <v>5739</v>
      </c>
      <c r="E5902" s="6" t="str">
        <f>HYPERLINK("https://twitter.com/petrogustavo/status/1261692270493007872","1261692270493007872")</f>
        <v>1261692270493007872</v>
      </c>
      <c r="F5902" s="7" t="s">
        <v>17</v>
      </c>
      <c r="G5902" s="7">
        <v>3829469</v>
      </c>
      <c r="H5902" s="7">
        <v>2407</v>
      </c>
      <c r="I5902" s="7">
        <v>15</v>
      </c>
      <c r="J5902" s="7">
        <v>0</v>
      </c>
      <c r="K5902" s="7" t="s">
        <v>18</v>
      </c>
      <c r="L5902" s="8">
        <v>39987.315405092595</v>
      </c>
      <c r="M5902" s="9" t="s">
        <v>19</v>
      </c>
      <c r="N5902" s="9" t="s">
        <v>20</v>
      </c>
      <c r="O5902" s="6" t="str">
        <f>HYPERLINK("https://pbs.twimg.com/profile_images/962471262747529216/Uo8lOkRJ_normal.jpg","View")</f>
        <v>View</v>
      </c>
      <c r="P5902" s="7"/>
    </row>
    <row r="5903" spans="1:16">
      <c r="A5903" s="3">
        <v>43967.918020833335</v>
      </c>
      <c r="B5903" s="4" t="str">
        <f>HYPERLINK("https://twitter.com/petrogustavo","@petrogustavo")</f>
        <v>@petrogustavo</v>
      </c>
      <c r="C5903" s="5" t="s">
        <v>16</v>
      </c>
      <c r="D5903" s="5" t="s">
        <v>5740</v>
      </c>
      <c r="E5903" s="6" t="str">
        <f>HYPERLINK("https://twitter.com/petrogustavo/status/1261695897123110912","1261695897123110912")</f>
        <v>1261695897123110912</v>
      </c>
      <c r="F5903" s="7" t="s">
        <v>17</v>
      </c>
      <c r="G5903" s="7">
        <v>3829469</v>
      </c>
      <c r="H5903" s="7">
        <v>2407</v>
      </c>
      <c r="I5903" s="7">
        <v>0</v>
      </c>
      <c r="J5903" s="7">
        <v>1</v>
      </c>
      <c r="K5903" s="7" t="s">
        <v>18</v>
      </c>
      <c r="L5903" s="8">
        <v>39987.315405092595</v>
      </c>
      <c r="M5903" s="9" t="s">
        <v>19</v>
      </c>
      <c r="N5903" s="9" t="s">
        <v>20</v>
      </c>
      <c r="O5903" s="6" t="str">
        <f>HYPERLINK("https://pbs.twimg.com/profile_images/962471262747529216/Uo8lOkRJ_normal.jpg","View")</f>
        <v>View</v>
      </c>
      <c r="P5903" s="7"/>
    </row>
    <row r="5904" spans="1:16">
      <c r="A5904" s="3">
        <v>43967.929097222222</v>
      </c>
      <c r="B5904" s="4" t="str">
        <f>HYPERLINK("https://twitter.com/petrogustavo","@petrogustavo")</f>
        <v>@petrogustavo</v>
      </c>
      <c r="C5904" s="5" t="s">
        <v>16</v>
      </c>
      <c r="D5904" s="5" t="s">
        <v>5741</v>
      </c>
      <c r="E5904" s="6" t="str">
        <f>HYPERLINK("https://twitter.com/petrogustavo/status/1261699909050302465","1261699909050302465")</f>
        <v>1261699909050302465</v>
      </c>
      <c r="F5904" s="7" t="s">
        <v>17</v>
      </c>
      <c r="G5904" s="7">
        <v>3829499</v>
      </c>
      <c r="H5904" s="7">
        <v>2407</v>
      </c>
      <c r="I5904" s="7">
        <v>13</v>
      </c>
      <c r="J5904" s="7">
        <v>0</v>
      </c>
      <c r="K5904" s="7" t="s">
        <v>18</v>
      </c>
      <c r="L5904" s="8">
        <v>39987.315405092595</v>
      </c>
      <c r="M5904" s="9" t="s">
        <v>19</v>
      </c>
      <c r="N5904" s="9" t="s">
        <v>20</v>
      </c>
      <c r="O5904" s="6" t="str">
        <f>HYPERLINK("https://pbs.twimg.com/profile_images/962471262747529216/Uo8lOkRJ_normal.jpg","View")</f>
        <v>View</v>
      </c>
      <c r="P5904" s="7"/>
    </row>
    <row r="5905" spans="1:16">
      <c r="A5905" s="3">
        <v>43967.930081018523</v>
      </c>
      <c r="B5905" s="4" t="str">
        <f>HYPERLINK("https://twitter.com/petrogustavo","@petrogustavo")</f>
        <v>@petrogustavo</v>
      </c>
      <c r="C5905" s="5" t="s">
        <v>16</v>
      </c>
      <c r="D5905" s="5" t="s">
        <v>5742</v>
      </c>
      <c r="E5905" s="6" t="str">
        <f>HYPERLINK("https://twitter.com/petrogustavo/status/1261700268250599432","1261700268250599432")</f>
        <v>1261700268250599432</v>
      </c>
      <c r="F5905" s="7" t="s">
        <v>32</v>
      </c>
      <c r="G5905" s="7">
        <v>3829499</v>
      </c>
      <c r="H5905" s="7">
        <v>2407</v>
      </c>
      <c r="I5905" s="7">
        <v>155</v>
      </c>
      <c r="J5905" s="7">
        <v>0</v>
      </c>
      <c r="K5905" s="7" t="s">
        <v>18</v>
      </c>
      <c r="L5905" s="8">
        <v>39987.315405092595</v>
      </c>
      <c r="M5905" s="9" t="s">
        <v>19</v>
      </c>
      <c r="N5905" s="9" t="s">
        <v>20</v>
      </c>
      <c r="O5905" s="6" t="str">
        <f>HYPERLINK("https://pbs.twimg.com/profile_images/962471262747529216/Uo8lOkRJ_normal.jpg","View")</f>
        <v>View</v>
      </c>
      <c r="P5905" s="7"/>
    </row>
    <row r="5906" spans="1:16">
      <c r="A5906" s="3">
        <v>43967.933194444442</v>
      </c>
      <c r="B5906" s="4" t="str">
        <f>HYPERLINK("https://twitter.com/petrogustavo","@petrogustavo")</f>
        <v>@petrogustavo</v>
      </c>
      <c r="C5906" s="5" t="s">
        <v>16</v>
      </c>
      <c r="D5906" s="5" t="s">
        <v>5743</v>
      </c>
      <c r="E5906" s="6" t="str">
        <f>HYPERLINK("https://twitter.com/petrogustavo/status/1261701396954562560","1261701396954562560")</f>
        <v>1261701396954562560</v>
      </c>
      <c r="F5906" s="7" t="s">
        <v>32</v>
      </c>
      <c r="G5906" s="7">
        <v>3829499</v>
      </c>
      <c r="H5906" s="7">
        <v>2407</v>
      </c>
      <c r="I5906" s="7">
        <v>248</v>
      </c>
      <c r="J5906" s="7">
        <v>0</v>
      </c>
      <c r="K5906" s="7" t="s">
        <v>18</v>
      </c>
      <c r="L5906" s="8">
        <v>39987.315405092595</v>
      </c>
      <c r="M5906" s="9" t="s">
        <v>19</v>
      </c>
      <c r="N5906" s="9" t="s">
        <v>20</v>
      </c>
      <c r="O5906" s="6" t="str">
        <f>HYPERLINK("https://pbs.twimg.com/profile_images/962471262747529216/Uo8lOkRJ_normal.jpg","View")</f>
        <v>View</v>
      </c>
      <c r="P5906" s="7"/>
    </row>
    <row r="5907" spans="1:16">
      <c r="A5907" s="3">
        <v>43967.938576388886</v>
      </c>
      <c r="B5907" s="4" t="str">
        <f>HYPERLINK("https://twitter.com/petrogustavo","@petrogustavo")</f>
        <v>@petrogustavo</v>
      </c>
      <c r="C5907" s="5" t="s">
        <v>16</v>
      </c>
      <c r="D5907" s="5" t="s">
        <v>5744</v>
      </c>
      <c r="E5907" s="6" t="str">
        <f>HYPERLINK("https://twitter.com/petrogustavo/status/1261703347226230784","1261703347226230784")</f>
        <v>1261703347226230784</v>
      </c>
      <c r="F5907" s="7" t="s">
        <v>17</v>
      </c>
      <c r="G5907" s="7">
        <v>3829499</v>
      </c>
      <c r="H5907" s="7">
        <v>2407</v>
      </c>
      <c r="I5907" s="7">
        <v>3</v>
      </c>
      <c r="J5907" s="7">
        <v>5</v>
      </c>
      <c r="K5907" s="7" t="s">
        <v>18</v>
      </c>
      <c r="L5907" s="8">
        <v>39987.315405092595</v>
      </c>
      <c r="M5907" s="9" t="s">
        <v>19</v>
      </c>
      <c r="N5907" s="9" t="s">
        <v>20</v>
      </c>
      <c r="O5907" s="6" t="str">
        <f>HYPERLINK("https://pbs.twimg.com/profile_images/962471262747529216/Uo8lOkRJ_normal.jpg","View")</f>
        <v>View</v>
      </c>
      <c r="P5907" s="7"/>
    </row>
    <row r="5908" spans="1:16">
      <c r="A5908" s="3">
        <v>43967.968842592592</v>
      </c>
      <c r="B5908" s="4" t="str">
        <f>HYPERLINK("https://twitter.com/petrogustavo","@petrogustavo")</f>
        <v>@petrogustavo</v>
      </c>
      <c r="C5908" s="5" t="s">
        <v>16</v>
      </c>
      <c r="D5908" s="5" t="s">
        <v>5745</v>
      </c>
      <c r="E5908" s="6" t="str">
        <f>HYPERLINK("https://twitter.com/petrogustavo/status/1261714312046968832","1261714312046968832")</f>
        <v>1261714312046968832</v>
      </c>
      <c r="F5908" s="7" t="s">
        <v>17</v>
      </c>
      <c r="G5908" s="7">
        <v>3829574</v>
      </c>
      <c r="H5908" s="7">
        <v>2407</v>
      </c>
      <c r="I5908" s="7">
        <v>98</v>
      </c>
      <c r="J5908" s="7">
        <v>208</v>
      </c>
      <c r="K5908" s="7" t="s">
        <v>18</v>
      </c>
      <c r="L5908" s="8">
        <v>39987.315405092595</v>
      </c>
      <c r="M5908" s="9" t="s">
        <v>19</v>
      </c>
      <c r="N5908" s="9" t="s">
        <v>20</v>
      </c>
      <c r="O5908" s="6" t="str">
        <f>HYPERLINK("https://pbs.twimg.com/profile_images/962471262747529216/Uo8lOkRJ_normal.jpg","View")</f>
        <v>View</v>
      </c>
      <c r="P5908" s="7"/>
    </row>
    <row r="5909" spans="1:16">
      <c r="A5909" s="3">
        <v>43968.356064814812</v>
      </c>
      <c r="B5909" s="4" t="str">
        <f>HYPERLINK("https://twitter.com/petrogustavo","@petrogustavo")</f>
        <v>@petrogustavo</v>
      </c>
      <c r="C5909" s="5" t="s">
        <v>16</v>
      </c>
      <c r="D5909" s="5" t="s">
        <v>5746</v>
      </c>
      <c r="E5909" s="6" t="str">
        <f>HYPERLINK("https://twitter.com/petrogustavo/status/1261854637226971136","1261854637226971136")</f>
        <v>1261854637226971136</v>
      </c>
      <c r="F5909" s="7" t="s">
        <v>17</v>
      </c>
      <c r="G5909" s="7">
        <v>3830048</v>
      </c>
      <c r="H5909" s="7">
        <v>2407</v>
      </c>
      <c r="I5909" s="7">
        <v>40</v>
      </c>
      <c r="J5909" s="7">
        <v>0</v>
      </c>
      <c r="K5909" s="7" t="s">
        <v>18</v>
      </c>
      <c r="L5909" s="8">
        <v>39987.315405092595</v>
      </c>
      <c r="M5909" s="9" t="s">
        <v>19</v>
      </c>
      <c r="N5909" s="9" t="s">
        <v>20</v>
      </c>
      <c r="O5909" s="6" t="str">
        <f>HYPERLINK("https://pbs.twimg.com/profile_images/962471262747529216/Uo8lOkRJ_normal.jpg","View")</f>
        <v>View</v>
      </c>
      <c r="P5909" s="7"/>
    </row>
    <row r="5910" spans="1:16">
      <c r="A5910" s="3">
        <v>43968.3671875</v>
      </c>
      <c r="B5910" s="4" t="str">
        <f>HYPERLINK("https://twitter.com/petrogustavo","@petrogustavo")</f>
        <v>@petrogustavo</v>
      </c>
      <c r="C5910" s="5" t="s">
        <v>16</v>
      </c>
      <c r="D5910" s="5" t="s">
        <v>5747</v>
      </c>
      <c r="E5910" s="6" t="str">
        <f>HYPERLINK("https://twitter.com/petrogustavo/status/1261858668548587520","1261858668548587520")</f>
        <v>1261858668548587520</v>
      </c>
      <c r="F5910" s="7" t="s">
        <v>17</v>
      </c>
      <c r="G5910" s="7">
        <v>3830048</v>
      </c>
      <c r="H5910" s="7">
        <v>2407</v>
      </c>
      <c r="I5910" s="7">
        <v>127</v>
      </c>
      <c r="J5910" s="7">
        <v>393</v>
      </c>
      <c r="K5910" s="7" t="s">
        <v>18</v>
      </c>
      <c r="L5910" s="8">
        <v>39987.315405092595</v>
      </c>
      <c r="M5910" s="9" t="s">
        <v>19</v>
      </c>
      <c r="N5910" s="9" t="s">
        <v>20</v>
      </c>
      <c r="O5910" s="6" t="str">
        <f>HYPERLINK("https://pbs.twimg.com/profile_images/962471262747529216/Uo8lOkRJ_normal.jpg","View")</f>
        <v>View</v>
      </c>
      <c r="P5910" s="7"/>
    </row>
    <row r="5911" spans="1:16">
      <c r="A5911" s="3">
        <v>43968.761817129634</v>
      </c>
      <c r="B5911" s="4" t="str">
        <f>HYPERLINK("https://twitter.com/petrogustavo","@petrogustavo")</f>
        <v>@petrogustavo</v>
      </c>
      <c r="C5911" s="5" t="s">
        <v>16</v>
      </c>
      <c r="D5911" s="5" t="s">
        <v>5748</v>
      </c>
      <c r="E5911" s="6" t="str">
        <f>HYPERLINK("https://twitter.com/petrogustavo/status/1262001676791107584","1262001676791107584")</f>
        <v>1262001676791107584</v>
      </c>
      <c r="F5911" s="7" t="s">
        <v>21</v>
      </c>
      <c r="G5911" s="7">
        <v>3830145</v>
      </c>
      <c r="H5911" s="7">
        <v>2407</v>
      </c>
      <c r="I5911" s="7">
        <v>86</v>
      </c>
      <c r="J5911" s="7">
        <v>157</v>
      </c>
      <c r="K5911" s="7" t="s">
        <v>18</v>
      </c>
      <c r="L5911" s="8">
        <v>39987.315405092595</v>
      </c>
      <c r="M5911" s="9" t="s">
        <v>19</v>
      </c>
      <c r="N5911" s="9" t="s">
        <v>20</v>
      </c>
      <c r="O5911" s="6" t="str">
        <f>HYPERLINK("https://pbs.twimg.com/profile_images/962471262747529216/Uo8lOkRJ_normal.jpg","View")</f>
        <v>View</v>
      </c>
      <c r="P5911" s="7"/>
    </row>
    <row r="5912" spans="1:16">
      <c r="A5912" s="3">
        <v>43968.870254629626</v>
      </c>
      <c r="B5912" s="4" t="str">
        <f>HYPERLINK("https://twitter.com/petrogustavo","@petrogustavo")</f>
        <v>@petrogustavo</v>
      </c>
      <c r="C5912" s="5" t="s">
        <v>16</v>
      </c>
      <c r="D5912" s="5" t="s">
        <v>5749</v>
      </c>
      <c r="E5912" s="6" t="str">
        <f>HYPERLINK("https://twitter.com/petrogustavo/status/1262040975834255366","1262040975834255366")</f>
        <v>1262040975834255366</v>
      </c>
      <c r="F5912" s="7" t="s">
        <v>17</v>
      </c>
      <c r="G5912" s="7">
        <v>3830269</v>
      </c>
      <c r="H5912" s="7">
        <v>2407</v>
      </c>
      <c r="I5912" s="7">
        <v>67</v>
      </c>
      <c r="J5912" s="7">
        <v>127</v>
      </c>
      <c r="K5912" s="7" t="s">
        <v>18</v>
      </c>
      <c r="L5912" s="8">
        <v>39987.315405092595</v>
      </c>
      <c r="M5912" s="9" t="s">
        <v>19</v>
      </c>
      <c r="N5912" s="9" t="s">
        <v>20</v>
      </c>
      <c r="O5912" s="6" t="str">
        <f>HYPERLINK("https://pbs.twimg.com/profile_images/962471262747529216/Uo8lOkRJ_normal.jpg","View")</f>
        <v>View</v>
      </c>
      <c r="P5912" s="7"/>
    </row>
    <row r="5913" spans="1:16">
      <c r="A5913" s="3">
        <v>43968.908541666664</v>
      </c>
      <c r="B5913" s="4" t="str">
        <f>HYPERLINK("https://twitter.com/petrogustavo","@petrogustavo")</f>
        <v>@petrogustavo</v>
      </c>
      <c r="C5913" s="5" t="s">
        <v>16</v>
      </c>
      <c r="D5913" s="5" t="s">
        <v>5750</v>
      </c>
      <c r="E5913" s="6" t="str">
        <f>HYPERLINK("https://twitter.com/petrogustavo/status/1262054849056780290","1262054849056780290")</f>
        <v>1262054849056780290</v>
      </c>
      <c r="F5913" s="7" t="s">
        <v>17</v>
      </c>
      <c r="G5913" s="7">
        <v>3830316</v>
      </c>
      <c r="H5913" s="7">
        <v>2408</v>
      </c>
      <c r="I5913" s="7">
        <v>75</v>
      </c>
      <c r="J5913" s="7">
        <v>181</v>
      </c>
      <c r="K5913" s="7" t="s">
        <v>18</v>
      </c>
      <c r="L5913" s="8">
        <v>39987.315405092595</v>
      </c>
      <c r="M5913" s="9" t="s">
        <v>19</v>
      </c>
      <c r="N5913" s="9" t="s">
        <v>20</v>
      </c>
      <c r="O5913" s="6" t="str">
        <f>HYPERLINK("https://pbs.twimg.com/profile_images/962471262747529216/Uo8lOkRJ_normal.jpg","View")</f>
        <v>View</v>
      </c>
      <c r="P5913" s="7"/>
    </row>
    <row r="5914" spans="1:16">
      <c r="A5914" s="3">
        <v>43968.942754629628</v>
      </c>
      <c r="B5914" s="4" t="str">
        <f>HYPERLINK("https://twitter.com/petrogustavo","@petrogustavo")</f>
        <v>@petrogustavo</v>
      </c>
      <c r="C5914" s="5" t="s">
        <v>16</v>
      </c>
      <c r="D5914" s="5" t="s">
        <v>5751</v>
      </c>
      <c r="E5914" s="6" t="str">
        <f>HYPERLINK("https://twitter.com/petrogustavo/status/1262067246723215361","1262067246723215361")</f>
        <v>1262067246723215361</v>
      </c>
      <c r="F5914" s="7" t="s">
        <v>17</v>
      </c>
      <c r="G5914" s="7">
        <v>3830386</v>
      </c>
      <c r="H5914" s="7">
        <v>2408</v>
      </c>
      <c r="I5914" s="7">
        <v>873</v>
      </c>
      <c r="J5914" s="7">
        <v>0</v>
      </c>
      <c r="K5914" s="7" t="s">
        <v>18</v>
      </c>
      <c r="L5914" s="8">
        <v>39987.315405092595</v>
      </c>
      <c r="M5914" s="9" t="s">
        <v>19</v>
      </c>
      <c r="N5914" s="9" t="s">
        <v>20</v>
      </c>
      <c r="O5914" s="6" t="str">
        <f>HYPERLINK("https://pbs.twimg.com/profile_images/962471262747529216/Uo8lOkRJ_normal.jpg","View")</f>
        <v>View</v>
      </c>
      <c r="P5914" s="7"/>
    </row>
    <row r="5915" spans="1:16">
      <c r="A5915" s="3">
        <v>43969.138437500005</v>
      </c>
      <c r="B5915" s="4" t="str">
        <f>HYPERLINK("https://twitter.com/petrogustavo","@petrogustavo")</f>
        <v>@petrogustavo</v>
      </c>
      <c r="C5915" s="5" t="s">
        <v>16</v>
      </c>
      <c r="D5915" s="5" t="s">
        <v>5752</v>
      </c>
      <c r="E5915" s="6" t="str">
        <f>HYPERLINK("https://twitter.com/petrogustavo/status/1262138160076722179","1262138160076722179")</f>
        <v>1262138160076722179</v>
      </c>
      <c r="F5915" s="7" t="s">
        <v>17</v>
      </c>
      <c r="G5915" s="7">
        <v>3830581</v>
      </c>
      <c r="H5915" s="7">
        <v>2408</v>
      </c>
      <c r="I5915" s="7">
        <v>79</v>
      </c>
      <c r="J5915" s="7">
        <v>130</v>
      </c>
      <c r="K5915" s="7" t="s">
        <v>18</v>
      </c>
      <c r="L5915" s="8">
        <v>39987.315405092595</v>
      </c>
      <c r="M5915" s="9" t="s">
        <v>19</v>
      </c>
      <c r="N5915" s="9" t="s">
        <v>20</v>
      </c>
      <c r="O5915" s="6" t="str">
        <f>HYPERLINK("https://pbs.twimg.com/profile_images/962471262747529216/Uo8lOkRJ_normal.jpg","View")</f>
        <v>View</v>
      </c>
      <c r="P5915" s="7"/>
    </row>
    <row r="5916" spans="1:16">
      <c r="A5916" s="3">
        <v>43969.142685185187</v>
      </c>
      <c r="B5916" s="4" t="str">
        <f>HYPERLINK("https://twitter.com/petrogustavo","@petrogustavo")</f>
        <v>@petrogustavo</v>
      </c>
      <c r="C5916" s="5" t="s">
        <v>16</v>
      </c>
      <c r="D5916" s="5" t="s">
        <v>5753</v>
      </c>
      <c r="E5916" s="6" t="str">
        <f>HYPERLINK("https://twitter.com/petrogustavo/status/1262139699512082432","1262139699512082432")</f>
        <v>1262139699512082432</v>
      </c>
      <c r="F5916" s="7" t="s">
        <v>17</v>
      </c>
      <c r="G5916" s="7">
        <v>3830581</v>
      </c>
      <c r="H5916" s="7">
        <v>2408</v>
      </c>
      <c r="I5916" s="7">
        <v>26</v>
      </c>
      <c r="J5916" s="7">
        <v>58</v>
      </c>
      <c r="K5916" s="7" t="s">
        <v>18</v>
      </c>
      <c r="L5916" s="8">
        <v>39987.315405092595</v>
      </c>
      <c r="M5916" s="9" t="s">
        <v>19</v>
      </c>
      <c r="N5916" s="9" t="s">
        <v>20</v>
      </c>
      <c r="O5916" s="6" t="str">
        <f>HYPERLINK("https://pbs.twimg.com/profile_images/962471262747529216/Uo8lOkRJ_normal.jpg","View")</f>
        <v>View</v>
      </c>
      <c r="P5916" s="7"/>
    </row>
    <row r="5917" spans="1:16">
      <c r="A5917" s="3">
        <v>43969.171273148153</v>
      </c>
      <c r="B5917" s="4" t="str">
        <f>HYPERLINK("https://twitter.com/petrogustavo","@petrogustavo")</f>
        <v>@petrogustavo</v>
      </c>
      <c r="C5917" s="5" t="s">
        <v>16</v>
      </c>
      <c r="D5917" s="5" t="s">
        <v>5754</v>
      </c>
      <c r="E5917" s="6" t="str">
        <f>HYPERLINK("https://twitter.com/petrogustavo/status/1262150060776751108","1262150060776751108")</f>
        <v>1262150060776751108</v>
      </c>
      <c r="F5917" s="7" t="s">
        <v>17</v>
      </c>
      <c r="G5917" s="7">
        <v>3830647</v>
      </c>
      <c r="H5917" s="7">
        <v>2408</v>
      </c>
      <c r="I5917" s="7">
        <v>167</v>
      </c>
      <c r="J5917" s="7">
        <v>396</v>
      </c>
      <c r="K5917" s="7" t="s">
        <v>18</v>
      </c>
      <c r="L5917" s="8">
        <v>39987.315405092595</v>
      </c>
      <c r="M5917" s="9" t="s">
        <v>19</v>
      </c>
      <c r="N5917" s="9" t="s">
        <v>20</v>
      </c>
      <c r="O5917" s="6" t="str">
        <f>HYPERLINK("https://pbs.twimg.com/profile_images/962471262747529216/Uo8lOkRJ_normal.jpg","View")</f>
        <v>View</v>
      </c>
      <c r="P5917" s="7"/>
    </row>
    <row r="5918" spans="1:16">
      <c r="A5918" s="3">
        <v>43969.261759259258</v>
      </c>
      <c r="B5918" s="4" t="str">
        <f>HYPERLINK("https://twitter.com/petrogustavo","@petrogustavo")</f>
        <v>@petrogustavo</v>
      </c>
      <c r="C5918" s="5" t="s">
        <v>16</v>
      </c>
      <c r="D5918" s="5" t="s">
        <v>5755</v>
      </c>
      <c r="E5918" s="6" t="str">
        <f>HYPERLINK("https://twitter.com/petrogustavo/status/1262182850109091840","1262182850109091840")</f>
        <v>1262182850109091840</v>
      </c>
      <c r="F5918" s="7" t="s">
        <v>17</v>
      </c>
      <c r="G5918" s="7">
        <v>3830760</v>
      </c>
      <c r="H5918" s="7">
        <v>2408</v>
      </c>
      <c r="I5918" s="7">
        <v>296</v>
      </c>
      <c r="J5918" s="7">
        <v>842</v>
      </c>
      <c r="K5918" s="7" t="s">
        <v>18</v>
      </c>
      <c r="L5918" s="8">
        <v>39987.315405092595</v>
      </c>
      <c r="M5918" s="9" t="s">
        <v>19</v>
      </c>
      <c r="N5918" s="9" t="s">
        <v>20</v>
      </c>
      <c r="O5918" s="6" t="str">
        <f>HYPERLINK("https://pbs.twimg.com/profile_images/962471262747529216/Uo8lOkRJ_normal.jpg","View")</f>
        <v>View</v>
      </c>
      <c r="P5918" s="7"/>
    </row>
    <row r="5919" spans="1:16">
      <c r="A5919" s="3">
        <v>43969.278935185182</v>
      </c>
      <c r="B5919" s="4" t="str">
        <f>HYPERLINK("https://twitter.com/petrogustavo","@petrogustavo")</f>
        <v>@petrogustavo</v>
      </c>
      <c r="C5919" s="5" t="s">
        <v>16</v>
      </c>
      <c r="D5919" s="5" t="s">
        <v>5756</v>
      </c>
      <c r="E5919" s="6" t="str">
        <f>HYPERLINK("https://twitter.com/petrogustavo/status/1262189076674904064","1262189076674904064")</f>
        <v>1262189076674904064</v>
      </c>
      <c r="F5919" s="7" t="s">
        <v>17</v>
      </c>
      <c r="G5919" s="7">
        <v>3830794</v>
      </c>
      <c r="H5919" s="7">
        <v>2408</v>
      </c>
      <c r="I5919" s="7">
        <v>630</v>
      </c>
      <c r="J5919" s="7">
        <v>0</v>
      </c>
      <c r="K5919" s="7" t="s">
        <v>18</v>
      </c>
      <c r="L5919" s="8">
        <v>39987.315405092595</v>
      </c>
      <c r="M5919" s="9" t="s">
        <v>19</v>
      </c>
      <c r="N5919" s="9" t="s">
        <v>20</v>
      </c>
      <c r="O5919" s="6" t="str">
        <f>HYPERLINK("https://pbs.twimg.com/profile_images/962471262747529216/Uo8lOkRJ_normal.jpg","View")</f>
        <v>View</v>
      </c>
      <c r="P5919" s="7"/>
    </row>
    <row r="5920" spans="1:16">
      <c r="A5920" s="3">
        <v>43969.761516203704</v>
      </c>
      <c r="B5920" s="4" t="str">
        <f>HYPERLINK("https://twitter.com/petrogustavo","@petrogustavo")</f>
        <v>@petrogustavo</v>
      </c>
      <c r="C5920" s="5" t="s">
        <v>16</v>
      </c>
      <c r="D5920" s="5" t="s">
        <v>5757</v>
      </c>
      <c r="E5920" s="6" t="str">
        <f>HYPERLINK("https://twitter.com/petrogustavo/status/1262363957316276224","1262363957316276224")</f>
        <v>1262363957316276224</v>
      </c>
      <c r="F5920" s="7" t="s">
        <v>17</v>
      </c>
      <c r="G5920" s="7">
        <v>3831160</v>
      </c>
      <c r="H5920" s="7">
        <v>2406</v>
      </c>
      <c r="I5920" s="7">
        <v>91</v>
      </c>
      <c r="J5920" s="7">
        <v>221</v>
      </c>
      <c r="K5920" s="7" t="s">
        <v>18</v>
      </c>
      <c r="L5920" s="8">
        <v>39987.315405092595</v>
      </c>
      <c r="M5920" s="9" t="s">
        <v>19</v>
      </c>
      <c r="N5920" s="9" t="s">
        <v>20</v>
      </c>
      <c r="O5920" s="6" t="str">
        <f>HYPERLINK("https://pbs.twimg.com/profile_images/962471262747529216/Uo8lOkRJ_normal.jpg","View")</f>
        <v>View</v>
      </c>
      <c r="P5920" s="7"/>
    </row>
    <row r="5921" spans="1:16">
      <c r="A5921" s="3">
        <v>43969.778321759259</v>
      </c>
      <c r="B5921" s="4" t="str">
        <f>HYPERLINK("https://twitter.com/petrogustavo","@petrogustavo")</f>
        <v>@petrogustavo</v>
      </c>
      <c r="C5921" s="5" t="s">
        <v>16</v>
      </c>
      <c r="D5921" s="5" t="s">
        <v>5758</v>
      </c>
      <c r="E5921" s="6" t="str">
        <f>HYPERLINK("https://twitter.com/petrogustavo/status/1262370046103470080","1262370046103470080")</f>
        <v>1262370046103470080</v>
      </c>
      <c r="F5921" s="7" t="s">
        <v>17</v>
      </c>
      <c r="G5921" s="7">
        <v>3831189</v>
      </c>
      <c r="H5921" s="7">
        <v>2407</v>
      </c>
      <c r="I5921" s="7">
        <v>187</v>
      </c>
      <c r="J5921" s="7">
        <v>367</v>
      </c>
      <c r="K5921" s="7" t="s">
        <v>18</v>
      </c>
      <c r="L5921" s="8">
        <v>39987.315405092595</v>
      </c>
      <c r="M5921" s="9" t="s">
        <v>19</v>
      </c>
      <c r="N5921" s="9" t="s">
        <v>20</v>
      </c>
      <c r="O5921" s="6" t="str">
        <f>HYPERLINK("https://pbs.twimg.com/profile_images/962471262747529216/Uo8lOkRJ_normal.jpg","View")</f>
        <v>View</v>
      </c>
      <c r="P5921" s="7"/>
    </row>
    <row r="5922" spans="1:16">
      <c r="A5922" s="3">
        <v>43969.91034722222</v>
      </c>
      <c r="B5922" s="4" t="str">
        <f>HYPERLINK("https://twitter.com/petrogustavo","@petrogustavo")</f>
        <v>@petrogustavo</v>
      </c>
      <c r="C5922" s="5" t="s">
        <v>16</v>
      </c>
      <c r="D5922" s="5" t="s">
        <v>5759</v>
      </c>
      <c r="E5922" s="6" t="str">
        <f>HYPERLINK("https://twitter.com/petrogustavo/status/1262417891946872837","1262417891946872837")</f>
        <v>1262417891946872837</v>
      </c>
      <c r="F5922" s="7" t="s">
        <v>17</v>
      </c>
      <c r="G5922" s="7">
        <v>3831374</v>
      </c>
      <c r="H5922" s="7">
        <v>2407</v>
      </c>
      <c r="I5922" s="7">
        <v>40</v>
      </c>
      <c r="J5922" s="7">
        <v>117</v>
      </c>
      <c r="K5922" s="7" t="s">
        <v>18</v>
      </c>
      <c r="L5922" s="8">
        <v>39987.315405092595</v>
      </c>
      <c r="M5922" s="9" t="s">
        <v>19</v>
      </c>
      <c r="N5922" s="9" t="s">
        <v>20</v>
      </c>
      <c r="O5922" s="6" t="str">
        <f>HYPERLINK("https://pbs.twimg.com/profile_images/962471262747529216/Uo8lOkRJ_normal.jpg","View")</f>
        <v>View</v>
      </c>
      <c r="P5922" s="7"/>
    </row>
    <row r="5923" spans="1:16">
      <c r="A5923" s="3">
        <v>43969.912233796298</v>
      </c>
      <c r="B5923" s="4" t="str">
        <f>HYPERLINK("https://twitter.com/petrogustavo","@petrogustavo")</f>
        <v>@petrogustavo</v>
      </c>
      <c r="C5923" s="5" t="s">
        <v>16</v>
      </c>
      <c r="D5923" s="5" t="s">
        <v>5760</v>
      </c>
      <c r="E5923" s="6" t="str">
        <f>HYPERLINK("https://twitter.com/petrogustavo/status/1262418573416333320","1262418573416333320")</f>
        <v>1262418573416333320</v>
      </c>
      <c r="F5923" s="7" t="s">
        <v>17</v>
      </c>
      <c r="G5923" s="7">
        <v>3831374</v>
      </c>
      <c r="H5923" s="7">
        <v>2407</v>
      </c>
      <c r="I5923" s="7">
        <v>17</v>
      </c>
      <c r="J5923" s="7">
        <v>63</v>
      </c>
      <c r="K5923" s="7" t="s">
        <v>18</v>
      </c>
      <c r="L5923" s="8">
        <v>39987.315405092595</v>
      </c>
      <c r="M5923" s="9" t="s">
        <v>19</v>
      </c>
      <c r="N5923" s="9" t="s">
        <v>20</v>
      </c>
      <c r="O5923" s="6" t="str">
        <f>HYPERLINK("https://pbs.twimg.com/profile_images/962471262747529216/Uo8lOkRJ_normal.jpg","View")</f>
        <v>View</v>
      </c>
      <c r="P5923" s="7"/>
    </row>
    <row r="5924" spans="1:16">
      <c r="A5924" s="3">
        <v>43969.928923611107</v>
      </c>
      <c r="B5924" s="4" t="str">
        <f>HYPERLINK("https://twitter.com/petrogustavo","@petrogustavo")</f>
        <v>@petrogustavo</v>
      </c>
      <c r="C5924" s="5" t="s">
        <v>16</v>
      </c>
      <c r="D5924" s="5" t="s">
        <v>5761</v>
      </c>
      <c r="E5924" s="6" t="str">
        <f>HYPERLINK("https://twitter.com/petrogustavo/status/1262424624513593344","1262424624513593344")</f>
        <v>1262424624513593344</v>
      </c>
      <c r="F5924" s="7" t="s">
        <v>17</v>
      </c>
      <c r="G5924" s="7">
        <v>3831427</v>
      </c>
      <c r="H5924" s="7">
        <v>2407</v>
      </c>
      <c r="I5924" s="7">
        <v>188</v>
      </c>
      <c r="J5924" s="7">
        <v>255</v>
      </c>
      <c r="K5924" s="7" t="s">
        <v>18</v>
      </c>
      <c r="L5924" s="8">
        <v>39987.315405092595</v>
      </c>
      <c r="M5924" s="9" t="s">
        <v>19</v>
      </c>
      <c r="N5924" s="9" t="s">
        <v>20</v>
      </c>
      <c r="O5924" s="6" t="str">
        <f>HYPERLINK("https://pbs.twimg.com/profile_images/962471262747529216/Uo8lOkRJ_normal.jpg","View")</f>
        <v>View</v>
      </c>
      <c r="P5924" s="7"/>
    </row>
    <row r="5925" spans="1:16">
      <c r="A5925" s="3">
        <v>43969.951597222222</v>
      </c>
      <c r="B5925" s="4" t="str">
        <f>HYPERLINK("https://twitter.com/petrogustavo","@petrogustavo")</f>
        <v>@petrogustavo</v>
      </c>
      <c r="C5925" s="5" t="s">
        <v>16</v>
      </c>
      <c r="D5925" s="5" t="s">
        <v>5762</v>
      </c>
      <c r="E5925" s="6" t="str">
        <f>HYPERLINK("https://twitter.com/petrogustavo/status/1262432839859126274","1262432839859126274")</f>
        <v>1262432839859126274</v>
      </c>
      <c r="F5925" s="7" t="s">
        <v>17</v>
      </c>
      <c r="G5925" s="7">
        <v>3831467</v>
      </c>
      <c r="H5925" s="7">
        <v>2407</v>
      </c>
      <c r="I5925" s="7">
        <v>57</v>
      </c>
      <c r="J5925" s="7">
        <v>114</v>
      </c>
      <c r="K5925" s="7" t="s">
        <v>18</v>
      </c>
      <c r="L5925" s="8">
        <v>39987.315405092595</v>
      </c>
      <c r="M5925" s="9" t="s">
        <v>19</v>
      </c>
      <c r="N5925" s="9" t="s">
        <v>20</v>
      </c>
      <c r="O5925" s="6" t="str">
        <f>HYPERLINK("https://pbs.twimg.com/profile_images/962471262747529216/Uo8lOkRJ_normal.jpg","View")</f>
        <v>View</v>
      </c>
      <c r="P5925" s="7"/>
    </row>
    <row r="5926" spans="1:16">
      <c r="A5926" s="3">
        <v>43969.97378472222</v>
      </c>
      <c r="B5926" s="4" t="str">
        <f>HYPERLINK("https://twitter.com/petrogustavo","@petrogustavo")</f>
        <v>@petrogustavo</v>
      </c>
      <c r="C5926" s="5" t="s">
        <v>16</v>
      </c>
      <c r="D5926" s="5" t="s">
        <v>5763</v>
      </c>
      <c r="E5926" s="6" t="str">
        <f>HYPERLINK("https://twitter.com/petrogustavo/status/1262440881866620928","1262440881866620928")</f>
        <v>1262440881866620928</v>
      </c>
      <c r="F5926" s="7" t="s">
        <v>17</v>
      </c>
      <c r="G5926" s="7">
        <v>3831505</v>
      </c>
      <c r="H5926" s="7">
        <v>2407</v>
      </c>
      <c r="I5926" s="7">
        <v>84</v>
      </c>
      <c r="J5926" s="7">
        <v>215</v>
      </c>
      <c r="K5926" s="7" t="s">
        <v>18</v>
      </c>
      <c r="L5926" s="8">
        <v>39987.315405092595</v>
      </c>
      <c r="M5926" s="9" t="s">
        <v>19</v>
      </c>
      <c r="N5926" s="9" t="s">
        <v>20</v>
      </c>
      <c r="O5926" s="6" t="str">
        <f>HYPERLINK("https://pbs.twimg.com/profile_images/962471262747529216/Uo8lOkRJ_normal.jpg","View")</f>
        <v>View</v>
      </c>
      <c r="P5926" s="7"/>
    </row>
    <row r="5927" spans="1:16">
      <c r="A5927" s="3">
        <v>43970.090995370367</v>
      </c>
      <c r="B5927" s="4" t="str">
        <f>HYPERLINK("https://twitter.com/petrogustavo","@petrogustavo")</f>
        <v>@petrogustavo</v>
      </c>
      <c r="C5927" s="5" t="s">
        <v>16</v>
      </c>
      <c r="D5927" s="5" t="s">
        <v>5764</v>
      </c>
      <c r="E5927" s="6" t="str">
        <f>HYPERLINK("https://twitter.com/petrogustavo/status/1262483353963552771","1262483353963552771")</f>
        <v>1262483353963552771</v>
      </c>
      <c r="F5927" s="7" t="s">
        <v>17</v>
      </c>
      <c r="G5927" s="7">
        <v>3831679</v>
      </c>
      <c r="H5927" s="7">
        <v>2407</v>
      </c>
      <c r="I5927" s="7">
        <v>1272</v>
      </c>
      <c r="J5927" s="7">
        <v>0</v>
      </c>
      <c r="K5927" s="7" t="s">
        <v>18</v>
      </c>
      <c r="L5927" s="8">
        <v>39987.315405092595</v>
      </c>
      <c r="M5927" s="9" t="s">
        <v>19</v>
      </c>
      <c r="N5927" s="9" t="s">
        <v>20</v>
      </c>
      <c r="O5927" s="6" t="str">
        <f>HYPERLINK("https://pbs.twimg.com/profile_images/962471262747529216/Uo8lOkRJ_normal.jpg","View")</f>
        <v>View</v>
      </c>
      <c r="P5927" s="7"/>
    </row>
    <row r="5928" spans="1:16">
      <c r="A5928" s="3">
        <v>43970.093599537038</v>
      </c>
      <c r="B5928" s="4" t="str">
        <f>HYPERLINK("https://twitter.com/petrogustavo","@petrogustavo")</f>
        <v>@petrogustavo</v>
      </c>
      <c r="C5928" s="5" t="s">
        <v>16</v>
      </c>
      <c r="D5928" s="5" t="s">
        <v>5765</v>
      </c>
      <c r="E5928" s="6" t="str">
        <f>HYPERLINK("https://twitter.com/petrogustavo/status/1262484301205123072","1262484301205123072")</f>
        <v>1262484301205123072</v>
      </c>
      <c r="F5928" s="7" t="s">
        <v>17</v>
      </c>
      <c r="G5928" s="7">
        <v>3831679</v>
      </c>
      <c r="H5928" s="7">
        <v>2407</v>
      </c>
      <c r="I5928" s="7">
        <v>96</v>
      </c>
      <c r="J5928" s="7">
        <v>191</v>
      </c>
      <c r="K5928" s="7" t="s">
        <v>18</v>
      </c>
      <c r="L5928" s="8">
        <v>39987.315405092595</v>
      </c>
      <c r="M5928" s="9" t="s">
        <v>19</v>
      </c>
      <c r="N5928" s="9" t="s">
        <v>20</v>
      </c>
      <c r="O5928" s="6" t="str">
        <f>HYPERLINK("https://pbs.twimg.com/profile_images/962471262747529216/Uo8lOkRJ_normal.jpg","View")</f>
        <v>View</v>
      </c>
      <c r="P5928" s="7"/>
    </row>
    <row r="5929" spans="1:16">
      <c r="A5929" s="3">
        <v>43970.300983796296</v>
      </c>
      <c r="B5929" s="4" t="str">
        <f>HYPERLINK("https://twitter.com/petrogustavo","@petrogustavo")</f>
        <v>@petrogustavo</v>
      </c>
      <c r="C5929" s="5" t="s">
        <v>16</v>
      </c>
      <c r="D5929" s="5" t="s">
        <v>5766</v>
      </c>
      <c r="E5929" s="6" t="str">
        <f>HYPERLINK("https://twitter.com/petrogustavo/status/1262559451334279171","1262559451334279171")</f>
        <v>1262559451334279171</v>
      </c>
      <c r="F5929" s="7" t="s">
        <v>17</v>
      </c>
      <c r="G5929" s="7">
        <v>3832003</v>
      </c>
      <c r="H5929" s="7">
        <v>2408</v>
      </c>
      <c r="I5929" s="7">
        <v>2387</v>
      </c>
      <c r="J5929" s="7">
        <v>0</v>
      </c>
      <c r="K5929" s="7" t="s">
        <v>18</v>
      </c>
      <c r="L5929" s="8">
        <v>39987.315405092595</v>
      </c>
      <c r="M5929" s="9" t="s">
        <v>19</v>
      </c>
      <c r="N5929" s="9" t="s">
        <v>20</v>
      </c>
      <c r="O5929" s="6" t="str">
        <f>HYPERLINK("https://pbs.twimg.com/profile_images/962471262747529216/Uo8lOkRJ_normal.jpg","View")</f>
        <v>View</v>
      </c>
      <c r="P5929" s="7"/>
    </row>
    <row r="5930" spans="1:16">
      <c r="A5930" s="3">
        <v>43970.369351851856</v>
      </c>
      <c r="B5930" s="4" t="str">
        <f>HYPERLINK("https://twitter.com/petrogustavo","@petrogustavo")</f>
        <v>@petrogustavo</v>
      </c>
      <c r="C5930" s="5" t="s">
        <v>16</v>
      </c>
      <c r="D5930" s="5" t="s">
        <v>5767</v>
      </c>
      <c r="E5930" s="6" t="str">
        <f>HYPERLINK("https://twitter.com/petrogustavo/status/1262584229189373960","1262584229189373960")</f>
        <v>1262584229189373960</v>
      </c>
      <c r="F5930" s="7" t="s">
        <v>17</v>
      </c>
      <c r="G5930" s="7">
        <v>3832078</v>
      </c>
      <c r="H5930" s="7">
        <v>2409</v>
      </c>
      <c r="I5930" s="7">
        <v>156</v>
      </c>
      <c r="J5930" s="7">
        <v>621</v>
      </c>
      <c r="K5930" s="7" t="s">
        <v>18</v>
      </c>
      <c r="L5930" s="8">
        <v>39987.315405092595</v>
      </c>
      <c r="M5930" s="9" t="s">
        <v>19</v>
      </c>
      <c r="N5930" s="9" t="s">
        <v>20</v>
      </c>
      <c r="O5930" s="6" t="str">
        <f>HYPERLINK("https://pbs.twimg.com/profile_images/962471262747529216/Uo8lOkRJ_normal.jpg","View")</f>
        <v>View</v>
      </c>
      <c r="P5930" s="7"/>
    </row>
    <row r="5931" spans="1:16">
      <c r="A5931" s="3">
        <v>43970.374895833331</v>
      </c>
      <c r="B5931" s="4" t="str">
        <f>HYPERLINK("https://twitter.com/petrogustavo","@petrogustavo")</f>
        <v>@petrogustavo</v>
      </c>
      <c r="C5931" s="5" t="s">
        <v>16</v>
      </c>
      <c r="D5931" s="5" t="s">
        <v>5768</v>
      </c>
      <c r="E5931" s="6" t="str">
        <f>HYPERLINK("https://twitter.com/petrogustavo/status/1262586237128409088","1262586237128409088")</f>
        <v>1262586237128409088</v>
      </c>
      <c r="F5931" s="7" t="s">
        <v>17</v>
      </c>
      <c r="G5931" s="7">
        <v>3832078</v>
      </c>
      <c r="H5931" s="7">
        <v>2409</v>
      </c>
      <c r="I5931" s="7">
        <v>24</v>
      </c>
      <c r="J5931" s="7">
        <v>55</v>
      </c>
      <c r="K5931" s="7" t="s">
        <v>18</v>
      </c>
      <c r="L5931" s="8">
        <v>39987.315405092595</v>
      </c>
      <c r="M5931" s="9" t="s">
        <v>19</v>
      </c>
      <c r="N5931" s="9" t="s">
        <v>20</v>
      </c>
      <c r="O5931" s="6" t="str">
        <f>HYPERLINK("https://pbs.twimg.com/profile_images/962471262747529216/Uo8lOkRJ_normal.jpg","View")</f>
        <v>View</v>
      </c>
      <c r="P5931" s="7"/>
    </row>
    <row r="5932" spans="1:16">
      <c r="A5932" s="3">
        <v>43970.385185185187</v>
      </c>
      <c r="B5932" s="4" t="str">
        <f>HYPERLINK("https://twitter.com/petrogustavo","@petrogustavo")</f>
        <v>@petrogustavo</v>
      </c>
      <c r="C5932" s="5" t="s">
        <v>16</v>
      </c>
      <c r="D5932" s="5" t="s">
        <v>5769</v>
      </c>
      <c r="E5932" s="6" t="str">
        <f>HYPERLINK("https://twitter.com/petrogustavo/status/1262589967806730240","1262589967806730240")</f>
        <v>1262589967806730240</v>
      </c>
      <c r="F5932" s="7" t="s">
        <v>17</v>
      </c>
      <c r="G5932" s="7">
        <v>3832114</v>
      </c>
      <c r="H5932" s="7">
        <v>2409</v>
      </c>
      <c r="I5932" s="7">
        <v>89</v>
      </c>
      <c r="J5932" s="7">
        <v>303</v>
      </c>
      <c r="K5932" s="7" t="s">
        <v>18</v>
      </c>
      <c r="L5932" s="8">
        <v>39987.315405092595</v>
      </c>
      <c r="M5932" s="9" t="s">
        <v>19</v>
      </c>
      <c r="N5932" s="9" t="s">
        <v>20</v>
      </c>
      <c r="O5932" s="6" t="str">
        <f>HYPERLINK("https://pbs.twimg.com/profile_images/962471262747529216/Uo8lOkRJ_normal.jpg","View")</f>
        <v>View</v>
      </c>
      <c r="P5932" s="7"/>
    </row>
    <row r="5933" spans="1:16">
      <c r="A5933" s="3">
        <v>43970.387523148151</v>
      </c>
      <c r="B5933" s="4" t="str">
        <f>HYPERLINK("https://twitter.com/petrogustavo","@petrogustavo")</f>
        <v>@petrogustavo</v>
      </c>
      <c r="C5933" s="5" t="s">
        <v>16</v>
      </c>
      <c r="D5933" s="5" t="s">
        <v>5770</v>
      </c>
      <c r="E5933" s="6" t="str">
        <f>HYPERLINK("https://twitter.com/petrogustavo/status/1262590814028541952","1262590814028541952")</f>
        <v>1262590814028541952</v>
      </c>
      <c r="F5933" s="7" t="s">
        <v>17</v>
      </c>
      <c r="G5933" s="7">
        <v>3832114</v>
      </c>
      <c r="H5933" s="7">
        <v>2409</v>
      </c>
      <c r="I5933" s="7">
        <v>31</v>
      </c>
      <c r="J5933" s="7">
        <v>119</v>
      </c>
      <c r="K5933" s="7" t="s">
        <v>18</v>
      </c>
      <c r="L5933" s="8">
        <v>39987.315405092595</v>
      </c>
      <c r="M5933" s="9" t="s">
        <v>19</v>
      </c>
      <c r="N5933" s="9" t="s">
        <v>20</v>
      </c>
      <c r="O5933" s="6" t="str">
        <f>HYPERLINK("https://pbs.twimg.com/profile_images/962471262747529216/Uo8lOkRJ_normal.jpg","View")</f>
        <v>View</v>
      </c>
      <c r="P5933" s="7"/>
    </row>
    <row r="5934" spans="1:16">
      <c r="A5934" s="3">
        <v>43970.388726851852</v>
      </c>
      <c r="B5934" s="4" t="str">
        <f>HYPERLINK("https://twitter.com/petrogustavo","@petrogustavo")</f>
        <v>@petrogustavo</v>
      </c>
      <c r="C5934" s="5" t="s">
        <v>16</v>
      </c>
      <c r="D5934" s="5" t="s">
        <v>5771</v>
      </c>
      <c r="E5934" s="6" t="str">
        <f>HYPERLINK("https://twitter.com/petrogustavo/status/1262591250299052032","1262591250299052032")</f>
        <v>1262591250299052032</v>
      </c>
      <c r="F5934" s="7" t="s">
        <v>17</v>
      </c>
      <c r="G5934" s="7">
        <v>3832114</v>
      </c>
      <c r="H5934" s="7">
        <v>2409</v>
      </c>
      <c r="I5934" s="7">
        <v>30</v>
      </c>
      <c r="J5934" s="7">
        <v>139</v>
      </c>
      <c r="K5934" s="7" t="s">
        <v>18</v>
      </c>
      <c r="L5934" s="8">
        <v>39987.315405092595</v>
      </c>
      <c r="M5934" s="9" t="s">
        <v>19</v>
      </c>
      <c r="N5934" s="9" t="s">
        <v>20</v>
      </c>
      <c r="O5934" s="6" t="str">
        <f>HYPERLINK("https://pbs.twimg.com/profile_images/962471262747529216/Uo8lOkRJ_normal.jpg","View")</f>
        <v>View</v>
      </c>
      <c r="P5934" s="7"/>
    </row>
    <row r="5935" spans="1:16">
      <c r="A5935" s="3">
        <v>43970.389675925922</v>
      </c>
      <c r="B5935" s="4" t="str">
        <f>HYPERLINK("https://twitter.com/petrogustavo","@petrogustavo")</f>
        <v>@petrogustavo</v>
      </c>
      <c r="C5935" s="5" t="s">
        <v>16</v>
      </c>
      <c r="D5935" s="5" t="s">
        <v>5772</v>
      </c>
      <c r="E5935" s="6" t="str">
        <f>HYPERLINK("https://twitter.com/petrogustavo/status/1262591593896448002","1262591593896448002")</f>
        <v>1262591593896448002</v>
      </c>
      <c r="F5935" s="7" t="s">
        <v>17</v>
      </c>
      <c r="G5935" s="7">
        <v>3832114</v>
      </c>
      <c r="H5935" s="7">
        <v>2409</v>
      </c>
      <c r="I5935" s="7">
        <v>38</v>
      </c>
      <c r="J5935" s="7">
        <v>157</v>
      </c>
      <c r="K5935" s="7" t="s">
        <v>18</v>
      </c>
      <c r="L5935" s="8">
        <v>39987.315405092595</v>
      </c>
      <c r="M5935" s="9" t="s">
        <v>19</v>
      </c>
      <c r="N5935" s="9" t="s">
        <v>20</v>
      </c>
      <c r="O5935" s="6" t="str">
        <f>HYPERLINK("https://pbs.twimg.com/profile_images/962471262747529216/Uo8lOkRJ_normal.jpg","View")</f>
        <v>View</v>
      </c>
      <c r="P5935" s="7"/>
    </row>
    <row r="5936" spans="1:16">
      <c r="A5936" s="3">
        <v>43970.389907407407</v>
      </c>
      <c r="B5936" s="4" t="str">
        <f>HYPERLINK("https://twitter.com/petrogustavo","@petrogustavo")</f>
        <v>@petrogustavo</v>
      </c>
      <c r="C5936" s="5" t="s">
        <v>16</v>
      </c>
      <c r="D5936" s="5" t="s">
        <v>5773</v>
      </c>
      <c r="E5936" s="6" t="str">
        <f>HYPERLINK("https://twitter.com/petrogustavo/status/1262591677807591426","1262591677807591426")</f>
        <v>1262591677807591426</v>
      </c>
      <c r="F5936" s="7" t="s">
        <v>17</v>
      </c>
      <c r="G5936" s="7">
        <v>3832114</v>
      </c>
      <c r="H5936" s="7">
        <v>2409</v>
      </c>
      <c r="I5936" s="7">
        <v>369</v>
      </c>
      <c r="J5936" s="7">
        <v>0</v>
      </c>
      <c r="K5936" s="7" t="s">
        <v>18</v>
      </c>
      <c r="L5936" s="8">
        <v>39987.315405092595</v>
      </c>
      <c r="M5936" s="9" t="s">
        <v>19</v>
      </c>
      <c r="N5936" s="9" t="s">
        <v>20</v>
      </c>
      <c r="O5936" s="6" t="str">
        <f>HYPERLINK("https://pbs.twimg.com/profile_images/962471262747529216/Uo8lOkRJ_normal.jpg","View")</f>
        <v>View</v>
      </c>
      <c r="P5936" s="7"/>
    </row>
    <row r="5937" spans="1:16">
      <c r="A5937" s="3">
        <v>43970.874155092592</v>
      </c>
      <c r="B5937" s="4" t="str">
        <f>HYPERLINK("https://twitter.com/petrogustavo","@petrogustavo")</f>
        <v>@petrogustavo</v>
      </c>
      <c r="C5937" s="5" t="s">
        <v>16</v>
      </c>
      <c r="D5937" s="5" t="s">
        <v>5774</v>
      </c>
      <c r="E5937" s="6" t="str">
        <f>HYPERLINK("https://twitter.com/petrogustavo/status/1262767161623314432","1262767161623314432")</f>
        <v>1262767161623314432</v>
      </c>
      <c r="F5937" s="7" t="s">
        <v>17</v>
      </c>
      <c r="G5937" s="7">
        <v>3832372</v>
      </c>
      <c r="H5937" s="7">
        <v>2410</v>
      </c>
      <c r="I5937" s="7">
        <v>109</v>
      </c>
      <c r="J5937" s="7">
        <v>0</v>
      </c>
      <c r="K5937" s="7" t="s">
        <v>18</v>
      </c>
      <c r="L5937" s="8">
        <v>39987.315405092595</v>
      </c>
      <c r="M5937" s="9" t="s">
        <v>19</v>
      </c>
      <c r="N5937" s="9" t="s">
        <v>20</v>
      </c>
      <c r="O5937" s="6" t="str">
        <f>HYPERLINK("https://pbs.twimg.com/profile_images/962471262747529216/Uo8lOkRJ_normal.jpg","View")</f>
        <v>View</v>
      </c>
      <c r="P5937" s="7"/>
    </row>
    <row r="5938" spans="1:16">
      <c r="A5938" s="3">
        <v>43970.881192129629</v>
      </c>
      <c r="B5938" s="4" t="str">
        <f>HYPERLINK("https://twitter.com/petrogustavo","@petrogustavo")</f>
        <v>@petrogustavo</v>
      </c>
      <c r="C5938" s="5" t="s">
        <v>16</v>
      </c>
      <c r="D5938" s="5" t="s">
        <v>5775</v>
      </c>
      <c r="E5938" s="6" t="str">
        <f>HYPERLINK("https://twitter.com/petrogustavo/status/1262769712464871431","1262769712464871431")</f>
        <v>1262769712464871431</v>
      </c>
      <c r="F5938" s="7" t="s">
        <v>17</v>
      </c>
      <c r="G5938" s="7">
        <v>3832393</v>
      </c>
      <c r="H5938" s="7">
        <v>2410</v>
      </c>
      <c r="I5938" s="7">
        <v>161</v>
      </c>
      <c r="J5938" s="7">
        <v>380</v>
      </c>
      <c r="K5938" s="7" t="s">
        <v>18</v>
      </c>
      <c r="L5938" s="8">
        <v>39987.315405092595</v>
      </c>
      <c r="M5938" s="9" t="s">
        <v>19</v>
      </c>
      <c r="N5938" s="9" t="s">
        <v>20</v>
      </c>
      <c r="O5938" s="6" t="str">
        <f>HYPERLINK("https://pbs.twimg.com/profile_images/962471262747529216/Uo8lOkRJ_normal.jpg","View")</f>
        <v>View</v>
      </c>
      <c r="P5938" s="7"/>
    </row>
    <row r="5939" spans="1:16">
      <c r="A5939" s="3">
        <v>43970.894456018519</v>
      </c>
      <c r="B5939" s="4" t="str">
        <f>HYPERLINK("https://twitter.com/petrogustavo","@petrogustavo")</f>
        <v>@petrogustavo</v>
      </c>
      <c r="C5939" s="5" t="s">
        <v>16</v>
      </c>
      <c r="D5939" s="5" t="s">
        <v>5776</v>
      </c>
      <c r="E5939" s="6" t="str">
        <f>HYPERLINK("https://twitter.com/petrogustavo/status/1262774519158181889","1262774519158181889")</f>
        <v>1262774519158181889</v>
      </c>
      <c r="F5939" s="7" t="s">
        <v>21</v>
      </c>
      <c r="G5939" s="7">
        <v>3832393</v>
      </c>
      <c r="H5939" s="7">
        <v>2410</v>
      </c>
      <c r="I5939" s="7">
        <v>62</v>
      </c>
      <c r="J5939" s="7">
        <v>146</v>
      </c>
      <c r="K5939" s="7" t="s">
        <v>18</v>
      </c>
      <c r="L5939" s="8">
        <v>39987.315405092595</v>
      </c>
      <c r="M5939" s="9" t="s">
        <v>19</v>
      </c>
      <c r="N5939" s="9" t="s">
        <v>20</v>
      </c>
      <c r="O5939" s="6" t="str">
        <f>HYPERLINK("https://pbs.twimg.com/profile_images/962471262747529216/Uo8lOkRJ_normal.jpg","View")</f>
        <v>View</v>
      </c>
      <c r="P5939" s="7"/>
    </row>
    <row r="5940" spans="1:16">
      <c r="A5940" s="3">
        <v>43970.923831018517</v>
      </c>
      <c r="B5940" s="4" t="str">
        <f>HYPERLINK("https://twitter.com/petrogustavo","@petrogustavo")</f>
        <v>@petrogustavo</v>
      </c>
      <c r="C5940" s="5" t="s">
        <v>16</v>
      </c>
      <c r="D5940" s="5" t="s">
        <v>5777</v>
      </c>
      <c r="E5940" s="6" t="str">
        <f>HYPERLINK("https://twitter.com/petrogustavo/status/1262785164557586432","1262785164557586432")</f>
        <v>1262785164557586432</v>
      </c>
      <c r="F5940" s="7" t="s">
        <v>17</v>
      </c>
      <c r="G5940" s="7">
        <v>3832462</v>
      </c>
      <c r="H5940" s="7">
        <v>2411</v>
      </c>
      <c r="I5940" s="7">
        <v>119</v>
      </c>
      <c r="J5940" s="7">
        <v>209</v>
      </c>
      <c r="K5940" s="7" t="s">
        <v>18</v>
      </c>
      <c r="L5940" s="8">
        <v>39987.315405092595</v>
      </c>
      <c r="M5940" s="9" t="s">
        <v>19</v>
      </c>
      <c r="N5940" s="9" t="s">
        <v>20</v>
      </c>
      <c r="O5940" s="6" t="str">
        <f>HYPERLINK("https://pbs.twimg.com/profile_images/962471262747529216/Uo8lOkRJ_normal.jpg","View")</f>
        <v>View</v>
      </c>
      <c r="P5940" s="7"/>
    </row>
    <row r="5941" spans="1:16">
      <c r="A5941" s="3">
        <v>43970.941608796296</v>
      </c>
      <c r="B5941" s="4" t="str">
        <f>HYPERLINK("https://twitter.com/petrogustavo","@petrogustavo")</f>
        <v>@petrogustavo</v>
      </c>
      <c r="C5941" s="5" t="s">
        <v>16</v>
      </c>
      <c r="D5941" s="5" t="s">
        <v>5778</v>
      </c>
      <c r="E5941" s="6" t="str">
        <f>HYPERLINK("https://twitter.com/petrogustavo/status/1262791609441288193","1262791609441288193")</f>
        <v>1262791609441288193</v>
      </c>
      <c r="F5941" s="7" t="s">
        <v>17</v>
      </c>
      <c r="G5941" s="7">
        <v>3832507</v>
      </c>
      <c r="H5941" s="7">
        <v>2412</v>
      </c>
      <c r="I5941" s="7">
        <v>537</v>
      </c>
      <c r="J5941" s="7">
        <v>0</v>
      </c>
      <c r="K5941" s="7" t="s">
        <v>18</v>
      </c>
      <c r="L5941" s="8">
        <v>39987.315405092595</v>
      </c>
      <c r="M5941" s="9" t="s">
        <v>19</v>
      </c>
      <c r="N5941" s="9" t="s">
        <v>20</v>
      </c>
      <c r="O5941" s="6" t="str">
        <f>HYPERLINK("https://pbs.twimg.com/profile_images/962471262747529216/Uo8lOkRJ_normal.jpg","View")</f>
        <v>View</v>
      </c>
      <c r="P5941" s="7"/>
    </row>
    <row r="5942" spans="1:16">
      <c r="A5942" s="3">
        <v>43970.946863425925</v>
      </c>
      <c r="B5942" s="4" t="str">
        <f>HYPERLINK("https://twitter.com/petrogustavo","@petrogustavo")</f>
        <v>@petrogustavo</v>
      </c>
      <c r="C5942" s="5" t="s">
        <v>16</v>
      </c>
      <c r="D5942" s="5" t="s">
        <v>5779</v>
      </c>
      <c r="E5942" s="6" t="str">
        <f>HYPERLINK("https://twitter.com/petrogustavo/status/1262793511902023680","1262793511902023680")</f>
        <v>1262793511902023680</v>
      </c>
      <c r="F5942" s="7" t="s">
        <v>17</v>
      </c>
      <c r="G5942" s="7">
        <v>3832507</v>
      </c>
      <c r="H5942" s="7">
        <v>2412</v>
      </c>
      <c r="I5942" s="7">
        <v>34</v>
      </c>
      <c r="J5942" s="7">
        <v>0</v>
      </c>
      <c r="K5942" s="7" t="s">
        <v>18</v>
      </c>
      <c r="L5942" s="8">
        <v>39987.315405092595</v>
      </c>
      <c r="M5942" s="9" t="s">
        <v>19</v>
      </c>
      <c r="N5942" s="9" t="s">
        <v>20</v>
      </c>
      <c r="O5942" s="6" t="str">
        <f>HYPERLINK("https://pbs.twimg.com/profile_images/962471262747529216/Uo8lOkRJ_normal.jpg","View")</f>
        <v>View</v>
      </c>
      <c r="P5942" s="7"/>
    </row>
    <row r="5943" spans="1:16">
      <c r="A5943" s="3">
        <v>43971.021840277783</v>
      </c>
      <c r="B5943" s="4" t="str">
        <f>HYPERLINK("https://twitter.com/petrogustavo","@petrogustavo")</f>
        <v>@petrogustavo</v>
      </c>
      <c r="C5943" s="5" t="s">
        <v>16</v>
      </c>
      <c r="D5943" s="5" t="s">
        <v>5780</v>
      </c>
      <c r="E5943" s="6" t="str">
        <f>HYPERLINK("https://twitter.com/petrogustavo/status/1262820680778866688","1262820680778866688")</f>
        <v>1262820680778866688</v>
      </c>
      <c r="F5943" s="7" t="s">
        <v>17</v>
      </c>
      <c r="G5943" s="7">
        <v>3832629</v>
      </c>
      <c r="H5943" s="7">
        <v>2412</v>
      </c>
      <c r="I5943" s="7">
        <v>5</v>
      </c>
      <c r="J5943" s="7">
        <v>10</v>
      </c>
      <c r="K5943" s="7" t="s">
        <v>18</v>
      </c>
      <c r="L5943" s="8">
        <v>39987.315405092595</v>
      </c>
      <c r="M5943" s="9" t="s">
        <v>19</v>
      </c>
      <c r="N5943" s="9" t="s">
        <v>20</v>
      </c>
      <c r="O5943" s="6" t="str">
        <f>HYPERLINK("https://pbs.twimg.com/profile_images/962471262747529216/Uo8lOkRJ_normal.jpg","View")</f>
        <v>View</v>
      </c>
      <c r="P5943" s="7"/>
    </row>
    <row r="5944" spans="1:16">
      <c r="A5944" s="3">
        <v>43971.029166666667</v>
      </c>
      <c r="B5944" s="4" t="str">
        <f>HYPERLINK("https://twitter.com/petrogustavo","@petrogustavo")</f>
        <v>@petrogustavo</v>
      </c>
      <c r="C5944" s="5" t="s">
        <v>16</v>
      </c>
      <c r="D5944" s="5" t="s">
        <v>5781</v>
      </c>
      <c r="E5944" s="6" t="str">
        <f>HYPERLINK("https://twitter.com/petrogustavo/status/1262823339514617861","1262823339514617861")</f>
        <v>1262823339514617861</v>
      </c>
      <c r="F5944" s="7" t="s">
        <v>17</v>
      </c>
      <c r="G5944" s="7">
        <v>3832653</v>
      </c>
      <c r="H5944" s="7">
        <v>2412</v>
      </c>
      <c r="I5944" s="7">
        <v>28</v>
      </c>
      <c r="J5944" s="7">
        <v>65</v>
      </c>
      <c r="K5944" s="7" t="s">
        <v>18</v>
      </c>
      <c r="L5944" s="8">
        <v>39987.315405092595</v>
      </c>
      <c r="M5944" s="9" t="s">
        <v>19</v>
      </c>
      <c r="N5944" s="9" t="s">
        <v>20</v>
      </c>
      <c r="O5944" s="6" t="str">
        <f>HYPERLINK("https://pbs.twimg.com/profile_images/962471262747529216/Uo8lOkRJ_normal.jpg","View")</f>
        <v>View</v>
      </c>
      <c r="P5944" s="7"/>
    </row>
    <row r="5945" spans="1:16">
      <c r="A5945" s="3">
        <v>43971.104953703703</v>
      </c>
      <c r="B5945" s="4" t="str">
        <f>HYPERLINK("https://twitter.com/petrogustavo","@petrogustavo")</f>
        <v>@petrogustavo</v>
      </c>
      <c r="C5945" s="5" t="s">
        <v>16</v>
      </c>
      <c r="D5945" s="5" t="s">
        <v>5778</v>
      </c>
      <c r="E5945" s="6" t="str">
        <f>HYPERLINK("https://twitter.com/petrogustavo/status/1262850803477499906","1262850803477499906")</f>
        <v>1262850803477499906</v>
      </c>
      <c r="F5945" s="7" t="s">
        <v>17</v>
      </c>
      <c r="G5945" s="7">
        <v>3832745</v>
      </c>
      <c r="H5945" s="7">
        <v>2412</v>
      </c>
      <c r="I5945" s="7">
        <v>1075</v>
      </c>
      <c r="J5945" s="7">
        <v>0</v>
      </c>
      <c r="K5945" s="7" t="s">
        <v>18</v>
      </c>
      <c r="L5945" s="8">
        <v>39987.315405092595</v>
      </c>
      <c r="M5945" s="9" t="s">
        <v>19</v>
      </c>
      <c r="N5945" s="9" t="s">
        <v>20</v>
      </c>
      <c r="O5945" s="6" t="str">
        <f>HYPERLINK("https://pbs.twimg.com/profile_images/962471262747529216/Uo8lOkRJ_normal.jpg","View")</f>
        <v>View</v>
      </c>
      <c r="P5945" s="7"/>
    </row>
    <row r="5946" spans="1:16">
      <c r="A5946" s="3">
        <v>43971.144560185188</v>
      </c>
      <c r="B5946" s="4" t="str">
        <f>HYPERLINK("https://twitter.com/petrogustavo","@petrogustavo")</f>
        <v>@petrogustavo</v>
      </c>
      <c r="C5946" s="5" t="s">
        <v>16</v>
      </c>
      <c r="D5946" s="5" t="s">
        <v>5782</v>
      </c>
      <c r="E5946" s="6" t="str">
        <f>HYPERLINK("https://twitter.com/petrogustavo/status/1262865155530067970","1262865155530067970")</f>
        <v>1262865155530067970</v>
      </c>
      <c r="F5946" s="7" t="s">
        <v>17</v>
      </c>
      <c r="G5946" s="7">
        <v>3832787</v>
      </c>
      <c r="H5946" s="7">
        <v>2412</v>
      </c>
      <c r="I5946" s="7">
        <v>23</v>
      </c>
      <c r="J5946" s="7">
        <v>55</v>
      </c>
      <c r="K5946" s="7" t="s">
        <v>18</v>
      </c>
      <c r="L5946" s="8">
        <v>39987.315405092595</v>
      </c>
      <c r="M5946" s="9" t="s">
        <v>19</v>
      </c>
      <c r="N5946" s="9" t="s">
        <v>20</v>
      </c>
      <c r="O5946" s="6" t="str">
        <f>HYPERLINK("https://pbs.twimg.com/profile_images/962471262747529216/Uo8lOkRJ_normal.jpg","View")</f>
        <v>View</v>
      </c>
      <c r="P5946" s="7"/>
    </row>
    <row r="5947" spans="1:16">
      <c r="A5947" s="3">
        <v>43971.22929398148</v>
      </c>
      <c r="B5947" s="4" t="str">
        <f>HYPERLINK("https://twitter.com/petrogustavo","@petrogustavo")</f>
        <v>@petrogustavo</v>
      </c>
      <c r="C5947" s="5" t="s">
        <v>16</v>
      </c>
      <c r="D5947" s="5" t="s">
        <v>5783</v>
      </c>
      <c r="E5947" s="6" t="str">
        <f>HYPERLINK("https://twitter.com/petrogustavo/status/1262895859416662018","1262895859416662018")</f>
        <v>1262895859416662018</v>
      </c>
      <c r="F5947" s="7" t="s">
        <v>17</v>
      </c>
      <c r="G5947" s="7">
        <v>3832904</v>
      </c>
      <c r="H5947" s="7">
        <v>2412</v>
      </c>
      <c r="I5947" s="7">
        <v>86</v>
      </c>
      <c r="J5947" s="7">
        <v>306</v>
      </c>
      <c r="K5947" s="7" t="s">
        <v>18</v>
      </c>
      <c r="L5947" s="8">
        <v>39987.315405092595</v>
      </c>
      <c r="M5947" s="9" t="s">
        <v>19</v>
      </c>
      <c r="N5947" s="9" t="s">
        <v>20</v>
      </c>
      <c r="O5947" s="6" t="str">
        <f>HYPERLINK("https://pbs.twimg.com/profile_images/962471262747529216/Uo8lOkRJ_normal.jpg","View")</f>
        <v>View</v>
      </c>
      <c r="P5947" s="7"/>
    </row>
    <row r="5948" spans="1:16">
      <c r="A5948" s="3">
        <v>43971.231435185182</v>
      </c>
      <c r="B5948" s="4" t="str">
        <f>HYPERLINK("https://twitter.com/petrogustavo","@petrogustavo")</f>
        <v>@petrogustavo</v>
      </c>
      <c r="C5948" s="5" t="s">
        <v>16</v>
      </c>
      <c r="D5948" s="5" t="s">
        <v>5784</v>
      </c>
      <c r="E5948" s="6" t="str">
        <f>HYPERLINK("https://twitter.com/petrogustavo/status/1262896638366035969","1262896638366035969")</f>
        <v>1262896638366035969</v>
      </c>
      <c r="F5948" s="7" t="s">
        <v>17</v>
      </c>
      <c r="G5948" s="7">
        <v>3832946</v>
      </c>
      <c r="H5948" s="7">
        <v>2412</v>
      </c>
      <c r="I5948" s="7">
        <v>253</v>
      </c>
      <c r="J5948" s="7">
        <v>830</v>
      </c>
      <c r="K5948" s="7" t="s">
        <v>18</v>
      </c>
      <c r="L5948" s="8">
        <v>39987.315405092595</v>
      </c>
      <c r="M5948" s="9" t="s">
        <v>19</v>
      </c>
      <c r="N5948" s="9" t="s">
        <v>20</v>
      </c>
      <c r="O5948" s="6" t="str">
        <f>HYPERLINK("https://pbs.twimg.com/profile_images/962471262747529216/Uo8lOkRJ_normal.jpg","View")</f>
        <v>View</v>
      </c>
      <c r="P5948" s="7"/>
    </row>
    <row r="5949" spans="1:16">
      <c r="A5949" s="3">
        <v>43971.287534722222</v>
      </c>
      <c r="B5949" s="4" t="str">
        <f>HYPERLINK("https://twitter.com/petrogustavo","@petrogustavo")</f>
        <v>@petrogustavo</v>
      </c>
      <c r="C5949" s="5" t="s">
        <v>16</v>
      </c>
      <c r="D5949" s="5" t="s">
        <v>5785</v>
      </c>
      <c r="E5949" s="6" t="str">
        <f>HYPERLINK("https://twitter.com/petrogustavo/status/1262916967830302721","1262916967830302721")</f>
        <v>1262916967830302721</v>
      </c>
      <c r="F5949" s="7" t="s">
        <v>17</v>
      </c>
      <c r="G5949" s="7">
        <v>3833024</v>
      </c>
      <c r="H5949" s="7">
        <v>2412</v>
      </c>
      <c r="I5949" s="7">
        <v>80</v>
      </c>
      <c r="J5949" s="7">
        <v>236</v>
      </c>
      <c r="K5949" s="7" t="s">
        <v>18</v>
      </c>
      <c r="L5949" s="8">
        <v>39987.315405092595</v>
      </c>
      <c r="M5949" s="9" t="s">
        <v>19</v>
      </c>
      <c r="N5949" s="9" t="s">
        <v>20</v>
      </c>
      <c r="O5949" s="6" t="str">
        <f>HYPERLINK("https://pbs.twimg.com/profile_images/962471262747529216/Uo8lOkRJ_normal.jpg","View")</f>
        <v>View</v>
      </c>
      <c r="P5949" s="7"/>
    </row>
    <row r="5950" spans="1:16">
      <c r="A5950" s="3">
        <v>43971.29724537037</v>
      </c>
      <c r="B5950" s="4" t="str">
        <f>HYPERLINK("https://twitter.com/petrogustavo","@petrogustavo")</f>
        <v>@petrogustavo</v>
      </c>
      <c r="C5950" s="5" t="s">
        <v>16</v>
      </c>
      <c r="D5950" s="5" t="s">
        <v>5786</v>
      </c>
      <c r="E5950" s="6" t="str">
        <f>HYPERLINK("https://twitter.com/petrogustavo/status/1262920488227045384","1262920488227045384")</f>
        <v>1262920488227045384</v>
      </c>
      <c r="F5950" s="7" t="s">
        <v>17</v>
      </c>
      <c r="G5950" s="7">
        <v>3833071</v>
      </c>
      <c r="H5950" s="7">
        <v>2412</v>
      </c>
      <c r="I5950" s="7">
        <v>114</v>
      </c>
      <c r="J5950" s="7">
        <v>178</v>
      </c>
      <c r="K5950" s="7" t="s">
        <v>18</v>
      </c>
      <c r="L5950" s="8">
        <v>39987.315405092595</v>
      </c>
      <c r="M5950" s="9" t="s">
        <v>19</v>
      </c>
      <c r="N5950" s="9" t="s">
        <v>20</v>
      </c>
      <c r="O5950" s="6" t="str">
        <f>HYPERLINK("https://pbs.twimg.com/profile_images/962471262747529216/Uo8lOkRJ_normal.jpg","View")</f>
        <v>View</v>
      </c>
      <c r="P5950" s="7"/>
    </row>
    <row r="5951" spans="1:16">
      <c r="A5951" s="3">
        <v>43971.307569444441</v>
      </c>
      <c r="B5951" s="4" t="str">
        <f>HYPERLINK("https://twitter.com/petrogustavo","@petrogustavo")</f>
        <v>@petrogustavo</v>
      </c>
      <c r="C5951" s="5" t="s">
        <v>16</v>
      </c>
      <c r="D5951" s="5" t="s">
        <v>5787</v>
      </c>
      <c r="E5951" s="6" t="str">
        <f>HYPERLINK("https://twitter.com/petrogustavo/status/1262924227168161796","1262924227168161796")</f>
        <v>1262924227168161796</v>
      </c>
      <c r="F5951" s="7" t="s">
        <v>17</v>
      </c>
      <c r="G5951" s="7">
        <v>3833071</v>
      </c>
      <c r="H5951" s="7">
        <v>2412</v>
      </c>
      <c r="I5951" s="7">
        <v>172</v>
      </c>
      <c r="J5951" s="7">
        <v>0</v>
      </c>
      <c r="K5951" s="7" t="s">
        <v>18</v>
      </c>
      <c r="L5951" s="8">
        <v>39987.315405092595</v>
      </c>
      <c r="M5951" s="9" t="s">
        <v>19</v>
      </c>
      <c r="N5951" s="9" t="s">
        <v>20</v>
      </c>
      <c r="O5951" s="6" t="str">
        <f>HYPERLINK("https://pbs.twimg.com/profile_images/962471262747529216/Uo8lOkRJ_normal.jpg","View")</f>
        <v>View</v>
      </c>
      <c r="P5951" s="7"/>
    </row>
    <row r="5952" spans="1:16">
      <c r="A5952" s="3">
        <v>43971.313518518524</v>
      </c>
      <c r="B5952" s="4" t="str">
        <f>HYPERLINK("https://twitter.com/petrogustavo","@petrogustavo")</f>
        <v>@petrogustavo</v>
      </c>
      <c r="C5952" s="5" t="s">
        <v>16</v>
      </c>
      <c r="D5952" s="5" t="s">
        <v>5788</v>
      </c>
      <c r="E5952" s="6" t="str">
        <f>HYPERLINK("https://twitter.com/petrogustavo/status/1262926384701333504","1262926384701333504")</f>
        <v>1262926384701333504</v>
      </c>
      <c r="F5952" s="7" t="s">
        <v>17</v>
      </c>
      <c r="G5952" s="7">
        <v>3833071</v>
      </c>
      <c r="H5952" s="7">
        <v>2412</v>
      </c>
      <c r="I5952" s="7">
        <v>51</v>
      </c>
      <c r="J5952" s="7">
        <v>0</v>
      </c>
      <c r="K5952" s="7" t="s">
        <v>18</v>
      </c>
      <c r="L5952" s="8">
        <v>39987.315405092595</v>
      </c>
      <c r="M5952" s="9" t="s">
        <v>19</v>
      </c>
      <c r="N5952" s="9" t="s">
        <v>20</v>
      </c>
      <c r="O5952" s="6" t="str">
        <f>HYPERLINK("https://pbs.twimg.com/profile_images/962471262747529216/Uo8lOkRJ_normal.jpg","View")</f>
        <v>View</v>
      </c>
      <c r="P5952" s="7"/>
    </row>
    <row r="5953" spans="1:16">
      <c r="A5953" s="3">
        <v>43971.315949074073</v>
      </c>
      <c r="B5953" s="4" t="str">
        <f>HYPERLINK("https://twitter.com/petrogustavo","@petrogustavo")</f>
        <v>@petrogustavo</v>
      </c>
      <c r="C5953" s="5" t="s">
        <v>16</v>
      </c>
      <c r="D5953" s="5" t="s">
        <v>5789</v>
      </c>
      <c r="E5953" s="6" t="str">
        <f>HYPERLINK("https://twitter.com/petrogustavo/status/1262927263600914432","1262927263600914432")</f>
        <v>1262927263600914432</v>
      </c>
      <c r="F5953" s="7" t="s">
        <v>17</v>
      </c>
      <c r="G5953" s="7">
        <v>3833111</v>
      </c>
      <c r="H5953" s="7">
        <v>2412</v>
      </c>
      <c r="I5953" s="7">
        <v>144</v>
      </c>
      <c r="J5953" s="7">
        <v>266</v>
      </c>
      <c r="K5953" s="7" t="s">
        <v>18</v>
      </c>
      <c r="L5953" s="8">
        <v>39987.315405092595</v>
      </c>
      <c r="M5953" s="9" t="s">
        <v>19</v>
      </c>
      <c r="N5953" s="9" t="s">
        <v>20</v>
      </c>
      <c r="O5953" s="6" t="str">
        <f>HYPERLINK("https://pbs.twimg.com/profile_images/962471262747529216/Uo8lOkRJ_normal.jpg","View")</f>
        <v>View</v>
      </c>
      <c r="P5953" s="7"/>
    </row>
    <row r="5954" spans="1:16">
      <c r="A5954" s="3">
        <v>43971.332418981481</v>
      </c>
      <c r="B5954" s="4" t="str">
        <f>HYPERLINK("https://twitter.com/petrogustavo","@petrogustavo")</f>
        <v>@petrogustavo</v>
      </c>
      <c r="C5954" s="5" t="s">
        <v>16</v>
      </c>
      <c r="D5954" s="5" t="s">
        <v>5790</v>
      </c>
      <c r="E5954" s="6" t="str">
        <f>HYPERLINK("https://twitter.com/petrogustavo/status/1262933234645680128","1262933234645680128")</f>
        <v>1262933234645680128</v>
      </c>
      <c r="F5954" s="7" t="s">
        <v>17</v>
      </c>
      <c r="G5954" s="7">
        <v>3833111</v>
      </c>
      <c r="H5954" s="7">
        <v>2412</v>
      </c>
      <c r="I5954" s="7">
        <v>154</v>
      </c>
      <c r="J5954" s="7">
        <v>0</v>
      </c>
      <c r="K5954" s="7" t="s">
        <v>18</v>
      </c>
      <c r="L5954" s="8">
        <v>39987.315405092595</v>
      </c>
      <c r="M5954" s="9" t="s">
        <v>19</v>
      </c>
      <c r="N5954" s="9" t="s">
        <v>20</v>
      </c>
      <c r="O5954" s="6" t="str">
        <f>HYPERLINK("https://pbs.twimg.com/profile_images/962471262747529216/Uo8lOkRJ_normal.jpg","View")</f>
        <v>View</v>
      </c>
      <c r="P5954" s="7"/>
    </row>
    <row r="5955" spans="1:16">
      <c r="A5955" s="3">
        <v>43971.333981481483</v>
      </c>
      <c r="B5955" s="4" t="str">
        <f>HYPERLINK("https://twitter.com/petrogustavo","@petrogustavo")</f>
        <v>@petrogustavo</v>
      </c>
      <c r="C5955" s="5" t="s">
        <v>16</v>
      </c>
      <c r="D5955" s="5" t="s">
        <v>5791</v>
      </c>
      <c r="E5955" s="6" t="str">
        <f>HYPERLINK("https://twitter.com/petrogustavo/status/1262933799878483973","1262933799878483973")</f>
        <v>1262933799878483973</v>
      </c>
      <c r="F5955" s="7" t="s">
        <v>17</v>
      </c>
      <c r="G5955" s="7">
        <v>3833111</v>
      </c>
      <c r="H5955" s="7">
        <v>2412</v>
      </c>
      <c r="I5955" s="7">
        <v>8</v>
      </c>
      <c r="J5955" s="7">
        <v>0</v>
      </c>
      <c r="K5955" s="7" t="s">
        <v>18</v>
      </c>
      <c r="L5955" s="8">
        <v>39987.315405092595</v>
      </c>
      <c r="M5955" s="9" t="s">
        <v>19</v>
      </c>
      <c r="N5955" s="9" t="s">
        <v>20</v>
      </c>
      <c r="O5955" s="6" t="str">
        <f>HYPERLINK("https://pbs.twimg.com/profile_images/962471262747529216/Uo8lOkRJ_normal.jpg","View")</f>
        <v>View</v>
      </c>
      <c r="P5955" s="7"/>
    </row>
    <row r="5956" spans="1:16">
      <c r="A5956" s="3">
        <v>43971.342476851853</v>
      </c>
      <c r="B5956" s="4" t="str">
        <f>HYPERLINK("https://twitter.com/petrogustavo","@petrogustavo")</f>
        <v>@petrogustavo</v>
      </c>
      <c r="C5956" s="5" t="s">
        <v>16</v>
      </c>
      <c r="D5956" s="5" t="s">
        <v>5792</v>
      </c>
      <c r="E5956" s="6" t="str">
        <f>HYPERLINK("https://twitter.com/petrogustavo/status/1262936878757576704","1262936878757576704")</f>
        <v>1262936878757576704</v>
      </c>
      <c r="F5956" s="7" t="s">
        <v>17</v>
      </c>
      <c r="G5956" s="7">
        <v>3833166</v>
      </c>
      <c r="H5956" s="7">
        <v>2412</v>
      </c>
      <c r="I5956" s="7">
        <v>240</v>
      </c>
      <c r="J5956" s="7">
        <v>0</v>
      </c>
      <c r="K5956" s="7" t="s">
        <v>18</v>
      </c>
      <c r="L5956" s="8">
        <v>39987.315405092595</v>
      </c>
      <c r="M5956" s="9" t="s">
        <v>19</v>
      </c>
      <c r="N5956" s="9" t="s">
        <v>20</v>
      </c>
      <c r="O5956" s="6" t="str">
        <f>HYPERLINK("https://pbs.twimg.com/profile_images/962471262747529216/Uo8lOkRJ_normal.jpg","View")</f>
        <v>View</v>
      </c>
      <c r="P5956" s="7"/>
    </row>
    <row r="5957" spans="1:16">
      <c r="A5957" s="3">
        <v>43971.342604166668</v>
      </c>
      <c r="B5957" s="4" t="str">
        <f>HYPERLINK("https://twitter.com/petrogustavo","@petrogustavo")</f>
        <v>@petrogustavo</v>
      </c>
      <c r="C5957" s="5" t="s">
        <v>16</v>
      </c>
      <c r="D5957" s="5" t="s">
        <v>5778</v>
      </c>
      <c r="E5957" s="6" t="str">
        <f>HYPERLINK("https://twitter.com/petrogustavo/status/1262936923800289287","1262936923800289287")</f>
        <v>1262936923800289287</v>
      </c>
      <c r="F5957" s="7" t="s">
        <v>17</v>
      </c>
      <c r="G5957" s="7">
        <v>3833166</v>
      </c>
      <c r="H5957" s="7">
        <v>2412</v>
      </c>
      <c r="I5957" s="7">
        <v>1596</v>
      </c>
      <c r="J5957" s="7">
        <v>0</v>
      </c>
      <c r="K5957" s="7" t="s">
        <v>18</v>
      </c>
      <c r="L5957" s="8">
        <v>39987.315405092595</v>
      </c>
      <c r="M5957" s="9" t="s">
        <v>19</v>
      </c>
      <c r="N5957" s="9" t="s">
        <v>20</v>
      </c>
      <c r="O5957" s="6" t="str">
        <f>HYPERLINK("https://pbs.twimg.com/profile_images/962471262747529216/Uo8lOkRJ_normal.jpg","View")</f>
        <v>View</v>
      </c>
      <c r="P5957" s="7"/>
    </row>
    <row r="5958" spans="1:16">
      <c r="A5958" s="3">
        <v>43971.747071759259</v>
      </c>
      <c r="B5958" s="4" t="str">
        <f>HYPERLINK("https://twitter.com/petrogustavo","@petrogustavo")</f>
        <v>@petrogustavo</v>
      </c>
      <c r="C5958" s="5" t="s">
        <v>16</v>
      </c>
      <c r="D5958" s="5" t="s">
        <v>5793</v>
      </c>
      <c r="E5958" s="6" t="str">
        <f>HYPERLINK("https://twitter.com/petrogustavo/status/1263083496735735809","1263083496735735809")</f>
        <v>1263083496735735809</v>
      </c>
      <c r="F5958" s="7" t="s">
        <v>17</v>
      </c>
      <c r="G5958" s="7">
        <v>3833402</v>
      </c>
      <c r="H5958" s="7">
        <v>2412</v>
      </c>
      <c r="I5958" s="7">
        <v>17</v>
      </c>
      <c r="J5958" s="7">
        <v>0</v>
      </c>
      <c r="K5958" s="7" t="s">
        <v>18</v>
      </c>
      <c r="L5958" s="8">
        <v>39987.315405092595</v>
      </c>
      <c r="M5958" s="9" t="s">
        <v>19</v>
      </c>
      <c r="N5958" s="9" t="s">
        <v>20</v>
      </c>
      <c r="O5958" s="6" t="str">
        <f>HYPERLINK("https://pbs.twimg.com/profile_images/962471262747529216/Uo8lOkRJ_normal.jpg","View")</f>
        <v>View</v>
      </c>
      <c r="P5958" s="7"/>
    </row>
    <row r="5959" spans="1:16">
      <c r="A5959" s="3">
        <v>43971.747893518521</v>
      </c>
      <c r="B5959" s="4" t="str">
        <f>HYPERLINK("https://twitter.com/petrogustavo","@petrogustavo")</f>
        <v>@petrogustavo</v>
      </c>
      <c r="C5959" s="5" t="s">
        <v>16</v>
      </c>
      <c r="D5959" s="5" t="s">
        <v>5794</v>
      </c>
      <c r="E5959" s="6" t="str">
        <f>HYPERLINK("https://twitter.com/petrogustavo/status/1263083795730837506","1263083795730837506")</f>
        <v>1263083795730837506</v>
      </c>
      <c r="F5959" s="7" t="s">
        <v>17</v>
      </c>
      <c r="G5959" s="7">
        <v>3833402</v>
      </c>
      <c r="H5959" s="7">
        <v>2412</v>
      </c>
      <c r="I5959" s="7">
        <v>655</v>
      </c>
      <c r="J5959" s="7">
        <v>0</v>
      </c>
      <c r="K5959" s="7" t="s">
        <v>18</v>
      </c>
      <c r="L5959" s="8">
        <v>39987.315405092595</v>
      </c>
      <c r="M5959" s="9" t="s">
        <v>19</v>
      </c>
      <c r="N5959" s="9" t="s">
        <v>20</v>
      </c>
      <c r="O5959" s="6" t="str">
        <f>HYPERLINK("https://pbs.twimg.com/profile_images/962471262747529216/Uo8lOkRJ_normal.jpg","View")</f>
        <v>View</v>
      </c>
      <c r="P5959" s="7"/>
    </row>
    <row r="5960" spans="1:16">
      <c r="A5960" s="3">
        <v>43971.75273148148</v>
      </c>
      <c r="B5960" s="4" t="str">
        <f>HYPERLINK("https://twitter.com/petrogustavo","@petrogustavo")</f>
        <v>@petrogustavo</v>
      </c>
      <c r="C5960" s="5" t="s">
        <v>16</v>
      </c>
      <c r="D5960" s="5" t="s">
        <v>5795</v>
      </c>
      <c r="E5960" s="6" t="str">
        <f>HYPERLINK("https://twitter.com/petrogustavo/status/1263085548505309184","1263085548505309184")</f>
        <v>1263085548505309184</v>
      </c>
      <c r="F5960" s="7" t="s">
        <v>17</v>
      </c>
      <c r="G5960" s="7">
        <v>3833433</v>
      </c>
      <c r="H5960" s="7">
        <v>2412</v>
      </c>
      <c r="I5960" s="7">
        <v>165</v>
      </c>
      <c r="J5960" s="7">
        <v>448</v>
      </c>
      <c r="K5960" s="7" t="s">
        <v>18</v>
      </c>
      <c r="L5960" s="8">
        <v>39987.315405092595</v>
      </c>
      <c r="M5960" s="9" t="s">
        <v>19</v>
      </c>
      <c r="N5960" s="9" t="s">
        <v>20</v>
      </c>
      <c r="O5960" s="6" t="str">
        <f>HYPERLINK("https://pbs.twimg.com/profile_images/962471262747529216/Uo8lOkRJ_normal.jpg","View")</f>
        <v>View</v>
      </c>
      <c r="P5960" s="7"/>
    </row>
    <row r="5961" spans="1:16">
      <c r="A5961" s="3">
        <v>43971.759201388893</v>
      </c>
      <c r="B5961" s="4" t="str">
        <f>HYPERLINK("https://twitter.com/petrogustavo","@petrogustavo")</f>
        <v>@petrogustavo</v>
      </c>
      <c r="C5961" s="5" t="s">
        <v>16</v>
      </c>
      <c r="D5961" s="5" t="s">
        <v>5796</v>
      </c>
      <c r="E5961" s="6" t="str">
        <f>HYPERLINK("https://twitter.com/petrogustavo/status/1263087893909770242","1263087893909770242")</f>
        <v>1263087893909770242</v>
      </c>
      <c r="F5961" s="7" t="s">
        <v>17</v>
      </c>
      <c r="G5961" s="7">
        <v>3833433</v>
      </c>
      <c r="H5961" s="7">
        <v>2412</v>
      </c>
      <c r="I5961" s="7">
        <v>167</v>
      </c>
      <c r="J5961" s="7">
        <v>396</v>
      </c>
      <c r="K5961" s="7" t="s">
        <v>18</v>
      </c>
      <c r="L5961" s="8">
        <v>39987.315405092595</v>
      </c>
      <c r="M5961" s="9" t="s">
        <v>19</v>
      </c>
      <c r="N5961" s="9" t="s">
        <v>20</v>
      </c>
      <c r="O5961" s="6" t="str">
        <f>HYPERLINK("https://pbs.twimg.com/profile_images/962471262747529216/Uo8lOkRJ_normal.jpg","View")</f>
        <v>View</v>
      </c>
      <c r="P5961" s="7"/>
    </row>
    <row r="5962" spans="1:16">
      <c r="A5962" s="3">
        <v>43971.76226851852</v>
      </c>
      <c r="B5962" s="4" t="str">
        <f>HYPERLINK("https://twitter.com/petrogustavo","@petrogustavo")</f>
        <v>@petrogustavo</v>
      </c>
      <c r="C5962" s="5" t="s">
        <v>16</v>
      </c>
      <c r="D5962" s="5" t="s">
        <v>5797</v>
      </c>
      <c r="E5962" s="6" t="str">
        <f>HYPERLINK("https://twitter.com/petrogustavo/status/1263089003194208256","1263089003194208256")</f>
        <v>1263089003194208256</v>
      </c>
      <c r="F5962" s="7" t="s">
        <v>17</v>
      </c>
      <c r="G5962" s="7">
        <v>3833433</v>
      </c>
      <c r="H5962" s="7">
        <v>2412</v>
      </c>
      <c r="I5962" s="7">
        <v>51</v>
      </c>
      <c r="J5962" s="7">
        <v>142</v>
      </c>
      <c r="K5962" s="7" t="s">
        <v>18</v>
      </c>
      <c r="L5962" s="8">
        <v>39987.315405092595</v>
      </c>
      <c r="M5962" s="9" t="s">
        <v>19</v>
      </c>
      <c r="N5962" s="9" t="s">
        <v>20</v>
      </c>
      <c r="O5962" s="6" t="str">
        <f>HYPERLINK("https://pbs.twimg.com/profile_images/962471262747529216/Uo8lOkRJ_normal.jpg","View")</f>
        <v>View</v>
      </c>
      <c r="P5962" s="7"/>
    </row>
    <row r="5963" spans="1:16">
      <c r="A5963" s="3">
        <v>43971.799675925926</v>
      </c>
      <c r="B5963" s="4" t="str">
        <f>HYPERLINK("https://twitter.com/petrogustavo","@petrogustavo")</f>
        <v>@petrogustavo</v>
      </c>
      <c r="C5963" s="5" t="s">
        <v>16</v>
      </c>
      <c r="D5963" s="5" t="s">
        <v>5798</v>
      </c>
      <c r="E5963" s="6" t="str">
        <f>HYPERLINK("https://twitter.com/petrogustavo/status/1263102562028228609","1263102562028228609")</f>
        <v>1263102562028228609</v>
      </c>
      <c r="F5963" s="7" t="s">
        <v>17</v>
      </c>
      <c r="G5963" s="7">
        <v>3833498</v>
      </c>
      <c r="H5963" s="7">
        <v>2412</v>
      </c>
      <c r="I5963" s="7">
        <v>125</v>
      </c>
      <c r="J5963" s="7">
        <v>0</v>
      </c>
      <c r="K5963" s="7" t="s">
        <v>18</v>
      </c>
      <c r="L5963" s="8">
        <v>39987.315405092595</v>
      </c>
      <c r="M5963" s="9" t="s">
        <v>19</v>
      </c>
      <c r="N5963" s="9" t="s">
        <v>20</v>
      </c>
      <c r="O5963" s="6" t="str">
        <f>HYPERLINK("https://pbs.twimg.com/profile_images/962471262747529216/Uo8lOkRJ_normal.jpg","View")</f>
        <v>View</v>
      </c>
      <c r="P5963" s="7"/>
    </row>
    <row r="5964" spans="1:16">
      <c r="A5964" s="3">
        <v>43971.812071759261</v>
      </c>
      <c r="B5964" s="4" t="str">
        <f>HYPERLINK("https://twitter.com/petrogustavo","@petrogustavo")</f>
        <v>@petrogustavo</v>
      </c>
      <c r="C5964" s="5" t="s">
        <v>16</v>
      </c>
      <c r="D5964" s="5" t="s">
        <v>5799</v>
      </c>
      <c r="E5964" s="6" t="str">
        <f>HYPERLINK("https://twitter.com/petrogustavo/status/1263107051808370691","1263107051808370691")</f>
        <v>1263107051808370691</v>
      </c>
      <c r="F5964" s="7" t="s">
        <v>17</v>
      </c>
      <c r="G5964" s="7">
        <v>3833498</v>
      </c>
      <c r="H5964" s="7">
        <v>2412</v>
      </c>
      <c r="I5964" s="7">
        <v>935</v>
      </c>
      <c r="J5964" s="7">
        <v>0</v>
      </c>
      <c r="K5964" s="7" t="s">
        <v>18</v>
      </c>
      <c r="L5964" s="8">
        <v>39987.315405092595</v>
      </c>
      <c r="M5964" s="9" t="s">
        <v>19</v>
      </c>
      <c r="N5964" s="9" t="s">
        <v>20</v>
      </c>
      <c r="O5964" s="6" t="str">
        <f>HYPERLINK("https://pbs.twimg.com/profile_images/962471262747529216/Uo8lOkRJ_normal.jpg","View")</f>
        <v>View</v>
      </c>
      <c r="P5964" s="7"/>
    </row>
    <row r="5965" spans="1:16">
      <c r="A5965" s="3">
        <v>43971.951562499999</v>
      </c>
      <c r="B5965" s="4" t="str">
        <f>HYPERLINK("https://twitter.com/petrogustavo","@petrogustavo")</f>
        <v>@petrogustavo</v>
      </c>
      <c r="C5965" s="5" t="s">
        <v>16</v>
      </c>
      <c r="D5965" s="5" t="s">
        <v>5800</v>
      </c>
      <c r="E5965" s="6" t="str">
        <f>HYPERLINK("https://twitter.com/petrogustavo/status/1263157603963633665","1263157603963633665")</f>
        <v>1263157603963633665</v>
      </c>
      <c r="F5965" s="7" t="s">
        <v>17</v>
      </c>
      <c r="G5965" s="7">
        <v>3833694</v>
      </c>
      <c r="H5965" s="7">
        <v>2412</v>
      </c>
      <c r="I5965" s="7">
        <v>52</v>
      </c>
      <c r="J5965" s="7">
        <v>212</v>
      </c>
      <c r="K5965" s="7" t="s">
        <v>18</v>
      </c>
      <c r="L5965" s="8">
        <v>39987.315405092595</v>
      </c>
      <c r="M5965" s="9" t="s">
        <v>19</v>
      </c>
      <c r="N5965" s="9" t="s">
        <v>20</v>
      </c>
      <c r="O5965" s="6" t="str">
        <f>HYPERLINK("https://pbs.twimg.com/profile_images/962471262747529216/Uo8lOkRJ_normal.jpg","View")</f>
        <v>View</v>
      </c>
      <c r="P5965" s="7"/>
    </row>
    <row r="5966" spans="1:16">
      <c r="A5966" s="3">
        <v>43971.964155092588</v>
      </c>
      <c r="B5966" s="4" t="str">
        <f>HYPERLINK("https://twitter.com/petrogustavo","@petrogustavo")</f>
        <v>@petrogustavo</v>
      </c>
      <c r="C5966" s="5" t="s">
        <v>16</v>
      </c>
      <c r="D5966" s="5" t="s">
        <v>5801</v>
      </c>
      <c r="E5966" s="6" t="str">
        <f>HYPERLINK("https://twitter.com/petrogustavo/status/1263162166200410112","1263162166200410112")</f>
        <v>1263162166200410112</v>
      </c>
      <c r="F5966" s="7" t="s">
        <v>17</v>
      </c>
      <c r="G5966" s="7">
        <v>3833713</v>
      </c>
      <c r="H5966" s="7">
        <v>2412</v>
      </c>
      <c r="I5966" s="7">
        <v>55</v>
      </c>
      <c r="J5966" s="7">
        <v>190</v>
      </c>
      <c r="K5966" s="7" t="s">
        <v>18</v>
      </c>
      <c r="L5966" s="8">
        <v>39987.315405092595</v>
      </c>
      <c r="M5966" s="9" t="s">
        <v>19</v>
      </c>
      <c r="N5966" s="9" t="s">
        <v>20</v>
      </c>
      <c r="O5966" s="6" t="str">
        <f>HYPERLINK("https://pbs.twimg.com/profile_images/962471262747529216/Uo8lOkRJ_normal.jpg","View")</f>
        <v>View</v>
      </c>
      <c r="P5966" s="7"/>
    </row>
    <row r="5967" spans="1:16">
      <c r="A5967" s="3">
        <v>43972.046354166669</v>
      </c>
      <c r="B5967" s="4" t="str">
        <f>HYPERLINK("https://twitter.com/petrogustavo","@petrogustavo")</f>
        <v>@petrogustavo</v>
      </c>
      <c r="C5967" s="5" t="s">
        <v>16</v>
      </c>
      <c r="D5967" s="5" t="s">
        <v>5802</v>
      </c>
      <c r="E5967" s="6" t="str">
        <f>HYPERLINK("https://twitter.com/petrogustavo/status/1263191953623191554","1263191953623191554")</f>
        <v>1263191953623191554</v>
      </c>
      <c r="F5967" s="7" t="s">
        <v>17</v>
      </c>
      <c r="G5967" s="7">
        <v>3833831</v>
      </c>
      <c r="H5967" s="7">
        <v>2412</v>
      </c>
      <c r="I5967" s="7">
        <v>73</v>
      </c>
      <c r="J5967" s="7">
        <v>176</v>
      </c>
      <c r="K5967" s="7" t="s">
        <v>18</v>
      </c>
      <c r="L5967" s="8">
        <v>39987.315405092595</v>
      </c>
      <c r="M5967" s="9" t="s">
        <v>19</v>
      </c>
      <c r="N5967" s="9" t="s">
        <v>20</v>
      </c>
      <c r="O5967" s="6" t="str">
        <f>HYPERLINK("https://pbs.twimg.com/profile_images/962471262747529216/Uo8lOkRJ_normal.jpg","View")</f>
        <v>View</v>
      </c>
      <c r="P5967" s="7"/>
    </row>
    <row r="5968" spans="1:16">
      <c r="A5968" s="3">
        <v>43972.05368055556</v>
      </c>
      <c r="B5968" s="4" t="str">
        <f>HYPERLINK("https://twitter.com/petrogustavo","@petrogustavo")</f>
        <v>@petrogustavo</v>
      </c>
      <c r="C5968" s="5" t="s">
        <v>16</v>
      </c>
      <c r="D5968" s="5" t="s">
        <v>5803</v>
      </c>
      <c r="E5968" s="6" t="str">
        <f>HYPERLINK("https://twitter.com/petrogustavo/status/1263194608231747585","1263194608231747585")</f>
        <v>1263194608231747585</v>
      </c>
      <c r="F5968" s="7" t="s">
        <v>17</v>
      </c>
      <c r="G5968" s="7">
        <v>3833831</v>
      </c>
      <c r="H5968" s="7">
        <v>2412</v>
      </c>
      <c r="I5968" s="7">
        <v>837</v>
      </c>
      <c r="J5968" s="7">
        <v>0</v>
      </c>
      <c r="K5968" s="7" t="s">
        <v>18</v>
      </c>
      <c r="L5968" s="8">
        <v>39987.315405092595</v>
      </c>
      <c r="M5968" s="9" t="s">
        <v>19</v>
      </c>
      <c r="N5968" s="9" t="s">
        <v>20</v>
      </c>
      <c r="O5968" s="6" t="str">
        <f>HYPERLINK("https://pbs.twimg.com/profile_images/962471262747529216/Uo8lOkRJ_normal.jpg","View")</f>
        <v>View</v>
      </c>
      <c r="P5968" s="7"/>
    </row>
    <row r="5969" spans="1:16">
      <c r="A5969" s="3">
        <v>43972.055856481486</v>
      </c>
      <c r="B5969" s="4" t="str">
        <f>HYPERLINK("https://twitter.com/petrogustavo","@petrogustavo")</f>
        <v>@petrogustavo</v>
      </c>
      <c r="C5969" s="5" t="s">
        <v>16</v>
      </c>
      <c r="D5969" s="5" t="s">
        <v>5804</v>
      </c>
      <c r="E5969" s="6" t="str">
        <f>HYPERLINK("https://twitter.com/petrogustavo/status/1263195397700321281","1263195397700321281")</f>
        <v>1263195397700321281</v>
      </c>
      <c r="F5969" s="7" t="s">
        <v>17</v>
      </c>
      <c r="G5969" s="7">
        <v>3833831</v>
      </c>
      <c r="H5969" s="7">
        <v>2412</v>
      </c>
      <c r="I5969" s="7">
        <v>30</v>
      </c>
      <c r="J5969" s="7">
        <v>83</v>
      </c>
      <c r="K5969" s="7" t="s">
        <v>18</v>
      </c>
      <c r="L5969" s="8">
        <v>39987.315405092595</v>
      </c>
      <c r="M5969" s="9" t="s">
        <v>19</v>
      </c>
      <c r="N5969" s="9" t="s">
        <v>20</v>
      </c>
      <c r="O5969" s="6" t="str">
        <f>HYPERLINK("https://pbs.twimg.com/profile_images/962471262747529216/Uo8lOkRJ_normal.jpg","View")</f>
        <v>View</v>
      </c>
      <c r="P5969" s="7"/>
    </row>
    <row r="5970" spans="1:16">
      <c r="A5970" s="3">
        <v>43972.071481481486</v>
      </c>
      <c r="B5970" s="4" t="str">
        <f>HYPERLINK("https://twitter.com/petrogustavo","@petrogustavo")</f>
        <v>@petrogustavo</v>
      </c>
      <c r="C5970" s="5" t="s">
        <v>16</v>
      </c>
      <c r="D5970" s="5" t="s">
        <v>5805</v>
      </c>
      <c r="E5970" s="6" t="str">
        <f>HYPERLINK("https://twitter.com/petrogustavo/status/1263201058547027970","1263201058547027970")</f>
        <v>1263201058547027970</v>
      </c>
      <c r="F5970" s="7" t="s">
        <v>17</v>
      </c>
      <c r="G5970" s="7">
        <v>3833866</v>
      </c>
      <c r="H5970" s="7">
        <v>2412</v>
      </c>
      <c r="I5970" s="7">
        <v>97</v>
      </c>
      <c r="J5970" s="7">
        <v>255</v>
      </c>
      <c r="K5970" s="7" t="s">
        <v>18</v>
      </c>
      <c r="L5970" s="8">
        <v>39987.315405092595</v>
      </c>
      <c r="M5970" s="9" t="s">
        <v>19</v>
      </c>
      <c r="N5970" s="9" t="s">
        <v>20</v>
      </c>
      <c r="O5970" s="6" t="str">
        <f>HYPERLINK("https://pbs.twimg.com/profile_images/962471262747529216/Uo8lOkRJ_normal.jpg","View")</f>
        <v>View</v>
      </c>
      <c r="P5970" s="7"/>
    </row>
    <row r="5971" spans="1:16">
      <c r="A5971" s="3">
        <v>43972.09710648148</v>
      </c>
      <c r="B5971" s="4" t="str">
        <f>HYPERLINK("https://twitter.com/petrogustavo","@petrogustavo")</f>
        <v>@petrogustavo</v>
      </c>
      <c r="C5971" s="5" t="s">
        <v>16</v>
      </c>
      <c r="D5971" s="5" t="s">
        <v>5806</v>
      </c>
      <c r="E5971" s="6" t="str">
        <f>HYPERLINK("https://twitter.com/petrogustavo/status/1263210345855954950","1263210345855954950")</f>
        <v>1263210345855954950</v>
      </c>
      <c r="F5971" s="7" t="s">
        <v>17</v>
      </c>
      <c r="G5971" s="7">
        <v>3833870</v>
      </c>
      <c r="H5971" s="7">
        <v>2412</v>
      </c>
      <c r="I5971" s="7">
        <v>51</v>
      </c>
      <c r="J5971" s="7">
        <v>112</v>
      </c>
      <c r="K5971" s="7" t="s">
        <v>18</v>
      </c>
      <c r="L5971" s="8">
        <v>39987.315405092595</v>
      </c>
      <c r="M5971" s="9" t="s">
        <v>19</v>
      </c>
      <c r="N5971" s="9" t="s">
        <v>20</v>
      </c>
      <c r="O5971" s="6" t="str">
        <f>HYPERLINK("https://pbs.twimg.com/profile_images/962471262747529216/Uo8lOkRJ_normal.jpg","View")</f>
        <v>View</v>
      </c>
      <c r="P5971" s="7"/>
    </row>
    <row r="5972" spans="1:16">
      <c r="A5972" s="3">
        <v>43972.099710648152</v>
      </c>
      <c r="B5972" s="4" t="str">
        <f>HYPERLINK("https://twitter.com/petrogustavo","@petrogustavo")</f>
        <v>@petrogustavo</v>
      </c>
      <c r="C5972" s="5" t="s">
        <v>16</v>
      </c>
      <c r="D5972" s="5" t="s">
        <v>5807</v>
      </c>
      <c r="E5972" s="6" t="str">
        <f>HYPERLINK("https://twitter.com/petrogustavo/status/1263211290887106561","1263211290887106561")</f>
        <v>1263211290887106561</v>
      </c>
      <c r="F5972" s="7" t="s">
        <v>17</v>
      </c>
      <c r="G5972" s="7">
        <v>3833870</v>
      </c>
      <c r="H5972" s="7">
        <v>2412</v>
      </c>
      <c r="I5972" s="7">
        <v>27</v>
      </c>
      <c r="J5972" s="7">
        <v>56</v>
      </c>
      <c r="K5972" s="7" t="s">
        <v>18</v>
      </c>
      <c r="L5972" s="8">
        <v>39987.315405092595</v>
      </c>
      <c r="M5972" s="9" t="s">
        <v>19</v>
      </c>
      <c r="N5972" s="9" t="s">
        <v>20</v>
      </c>
      <c r="O5972" s="6" t="str">
        <f>HYPERLINK("https://pbs.twimg.com/profile_images/962471262747529216/Uo8lOkRJ_normal.jpg","View")</f>
        <v>View</v>
      </c>
      <c r="P5972" s="7"/>
    </row>
    <row r="5973" spans="1:16">
      <c r="A5973" s="3">
        <v>43972.15043981481</v>
      </c>
      <c r="B5973" s="4" t="str">
        <f>HYPERLINK("https://twitter.com/petrogustavo","@petrogustavo")</f>
        <v>@petrogustavo</v>
      </c>
      <c r="C5973" s="5" t="s">
        <v>16</v>
      </c>
      <c r="D5973" s="5" t="s">
        <v>5808</v>
      </c>
      <c r="E5973" s="6" t="str">
        <f>HYPERLINK("https://twitter.com/petrogustavo/status/1263229673166835712","1263229673166835712")</f>
        <v>1263229673166835712</v>
      </c>
      <c r="F5973" s="7" t="s">
        <v>32</v>
      </c>
      <c r="G5973" s="7">
        <v>3833941</v>
      </c>
      <c r="H5973" s="7">
        <v>2412</v>
      </c>
      <c r="I5973" s="7">
        <v>215</v>
      </c>
      <c r="J5973" s="7">
        <v>0</v>
      </c>
      <c r="K5973" s="7" t="s">
        <v>18</v>
      </c>
      <c r="L5973" s="8">
        <v>39987.315405092595</v>
      </c>
      <c r="M5973" s="9" t="s">
        <v>19</v>
      </c>
      <c r="N5973" s="9" t="s">
        <v>20</v>
      </c>
      <c r="O5973" s="6" t="str">
        <f>HYPERLINK("https://pbs.twimg.com/profile_images/962471262747529216/Uo8lOkRJ_normal.jpg","View")</f>
        <v>View</v>
      </c>
      <c r="P5973" s="7"/>
    </row>
    <row r="5974" spans="1:16">
      <c r="A5974" s="3">
        <v>43972.154374999998</v>
      </c>
      <c r="B5974" s="4" t="str">
        <f>HYPERLINK("https://twitter.com/petrogustavo","@petrogustavo")</f>
        <v>@petrogustavo</v>
      </c>
      <c r="C5974" s="5" t="s">
        <v>16</v>
      </c>
      <c r="D5974" s="5" t="s">
        <v>5809</v>
      </c>
      <c r="E5974" s="6" t="str">
        <f>HYPERLINK("https://twitter.com/petrogustavo/status/1263231101679648768","1263231101679648768")</f>
        <v>1263231101679648768</v>
      </c>
      <c r="F5974" s="7" t="s">
        <v>21</v>
      </c>
      <c r="G5974" s="7">
        <v>3833941</v>
      </c>
      <c r="H5974" s="7">
        <v>2412</v>
      </c>
      <c r="I5974" s="7">
        <v>64</v>
      </c>
      <c r="J5974" s="7">
        <v>121</v>
      </c>
      <c r="K5974" s="7" t="s">
        <v>18</v>
      </c>
      <c r="L5974" s="8">
        <v>39987.315405092595</v>
      </c>
      <c r="M5974" s="9" t="s">
        <v>19</v>
      </c>
      <c r="N5974" s="9" t="s">
        <v>20</v>
      </c>
      <c r="O5974" s="6" t="str">
        <f>HYPERLINK("https://pbs.twimg.com/profile_images/962471262747529216/Uo8lOkRJ_normal.jpg","View")</f>
        <v>View</v>
      </c>
      <c r="P5974" s="7"/>
    </row>
    <row r="5975" spans="1:16">
      <c r="A5975" s="3">
        <v>43972.155266203699</v>
      </c>
      <c r="B5975" s="4" t="str">
        <f>HYPERLINK("https://twitter.com/petrogustavo","@petrogustavo")</f>
        <v>@petrogustavo</v>
      </c>
      <c r="C5975" s="5" t="s">
        <v>16</v>
      </c>
      <c r="D5975" s="5" t="s">
        <v>5810</v>
      </c>
      <c r="E5975" s="6" t="str">
        <f>HYPERLINK("https://twitter.com/petrogustavo/status/1263231424552931330","1263231424552931330")</f>
        <v>1263231424552931330</v>
      </c>
      <c r="F5975" s="7" t="s">
        <v>21</v>
      </c>
      <c r="G5975" s="7">
        <v>3833941</v>
      </c>
      <c r="H5975" s="7">
        <v>2412</v>
      </c>
      <c r="I5975" s="7">
        <v>73</v>
      </c>
      <c r="J5975" s="7">
        <v>158</v>
      </c>
      <c r="K5975" s="7" t="s">
        <v>18</v>
      </c>
      <c r="L5975" s="8">
        <v>39987.315405092595</v>
      </c>
      <c r="M5975" s="9" t="s">
        <v>19</v>
      </c>
      <c r="N5975" s="9" t="s">
        <v>20</v>
      </c>
      <c r="O5975" s="6" t="str">
        <f>HYPERLINK("https://pbs.twimg.com/profile_images/962471262747529216/Uo8lOkRJ_normal.jpg","View")</f>
        <v>View</v>
      </c>
      <c r="P5975" s="7"/>
    </row>
    <row r="5976" spans="1:16">
      <c r="A5976" s="3">
        <v>43972.213391203702</v>
      </c>
      <c r="B5976" s="4" t="str">
        <f>HYPERLINK("https://twitter.com/petrogustavo","@petrogustavo")</f>
        <v>@petrogustavo</v>
      </c>
      <c r="C5976" s="5" t="s">
        <v>16</v>
      </c>
      <c r="D5976" s="5" t="s">
        <v>5811</v>
      </c>
      <c r="E5976" s="6" t="str">
        <f>HYPERLINK("https://twitter.com/petrogustavo/status/1263252487563358210","1263252487563358210")</f>
        <v>1263252487563358210</v>
      </c>
      <c r="F5976" s="7" t="s">
        <v>17</v>
      </c>
      <c r="G5976" s="7">
        <v>3834025</v>
      </c>
      <c r="H5976" s="7">
        <v>2412</v>
      </c>
      <c r="I5976" s="7">
        <v>145</v>
      </c>
      <c r="J5976" s="7">
        <v>0</v>
      </c>
      <c r="K5976" s="7" t="s">
        <v>18</v>
      </c>
      <c r="L5976" s="8">
        <v>39987.315405092595</v>
      </c>
      <c r="M5976" s="9" t="s">
        <v>19</v>
      </c>
      <c r="N5976" s="9" t="s">
        <v>20</v>
      </c>
      <c r="O5976" s="6" t="str">
        <f>HYPERLINK("https://pbs.twimg.com/profile_images/962471262747529216/Uo8lOkRJ_normal.jpg","View")</f>
        <v>View</v>
      </c>
      <c r="P5976" s="7"/>
    </row>
    <row r="5977" spans="1:16">
      <c r="A5977" s="3">
        <v>43972.293287037042</v>
      </c>
      <c r="B5977" s="4" t="str">
        <f>HYPERLINK("https://twitter.com/petrogustavo","@petrogustavo")</f>
        <v>@petrogustavo</v>
      </c>
      <c r="C5977" s="5" t="s">
        <v>16</v>
      </c>
      <c r="D5977" s="5" t="s">
        <v>5812</v>
      </c>
      <c r="E5977" s="6" t="str">
        <f>HYPERLINK("https://twitter.com/petrogustavo/status/1263281437735780357","1263281437735780357")</f>
        <v>1263281437735780357</v>
      </c>
      <c r="F5977" s="7" t="s">
        <v>17</v>
      </c>
      <c r="G5977" s="7">
        <v>3834113</v>
      </c>
      <c r="H5977" s="7">
        <v>2412</v>
      </c>
      <c r="I5977" s="7">
        <v>15</v>
      </c>
      <c r="J5977" s="7">
        <v>30</v>
      </c>
      <c r="K5977" s="7" t="s">
        <v>18</v>
      </c>
      <c r="L5977" s="8">
        <v>39987.315405092595</v>
      </c>
      <c r="M5977" s="9" t="s">
        <v>19</v>
      </c>
      <c r="N5977" s="9" t="s">
        <v>20</v>
      </c>
      <c r="O5977" s="6" t="str">
        <f>HYPERLINK("https://pbs.twimg.com/profile_images/962471262747529216/Uo8lOkRJ_normal.jpg","View")</f>
        <v>View</v>
      </c>
      <c r="P5977" s="7"/>
    </row>
    <row r="5978" spans="1:16">
      <c r="A5978" s="3">
        <v>43972.344490740739</v>
      </c>
      <c r="B5978" s="4" t="str">
        <f>HYPERLINK("https://twitter.com/petrogustavo","@petrogustavo")</f>
        <v>@petrogustavo</v>
      </c>
      <c r="C5978" s="5" t="s">
        <v>16</v>
      </c>
      <c r="D5978" s="5" t="s">
        <v>5813</v>
      </c>
      <c r="E5978" s="6" t="str">
        <f>HYPERLINK("https://twitter.com/petrogustavo/status/1263299993621970944","1263299993621970944")</f>
        <v>1263299993621970944</v>
      </c>
      <c r="F5978" s="7" t="s">
        <v>17</v>
      </c>
      <c r="G5978" s="7">
        <v>3834242</v>
      </c>
      <c r="H5978" s="7">
        <v>2412</v>
      </c>
      <c r="I5978" s="7">
        <v>201</v>
      </c>
      <c r="J5978" s="7">
        <v>0</v>
      </c>
      <c r="K5978" s="7" t="s">
        <v>18</v>
      </c>
      <c r="L5978" s="8">
        <v>39987.315405092595</v>
      </c>
      <c r="M5978" s="9" t="s">
        <v>19</v>
      </c>
      <c r="N5978" s="9" t="s">
        <v>20</v>
      </c>
      <c r="O5978" s="6" t="str">
        <f>HYPERLINK("https://pbs.twimg.com/profile_images/962471262747529216/Uo8lOkRJ_normal.jpg","View")</f>
        <v>View</v>
      </c>
      <c r="P5978" s="7"/>
    </row>
    <row r="5979" spans="1:16">
      <c r="A5979" s="3">
        <v>43972.369884259257</v>
      </c>
      <c r="B5979" s="4" t="str">
        <f>HYPERLINK("https://twitter.com/petrogustavo","@petrogustavo")</f>
        <v>@petrogustavo</v>
      </c>
      <c r="C5979" s="5" t="s">
        <v>16</v>
      </c>
      <c r="D5979" s="5" t="s">
        <v>5814</v>
      </c>
      <c r="E5979" s="6" t="str">
        <f>HYPERLINK("https://twitter.com/petrogustavo/status/1263309196575072268","1263309196575072268")</f>
        <v>1263309196575072268</v>
      </c>
      <c r="F5979" s="7" t="s">
        <v>21</v>
      </c>
      <c r="G5979" s="7">
        <v>3834278</v>
      </c>
      <c r="H5979" s="7">
        <v>2412</v>
      </c>
      <c r="I5979" s="7">
        <v>62</v>
      </c>
      <c r="J5979" s="7">
        <v>144</v>
      </c>
      <c r="K5979" s="7" t="s">
        <v>18</v>
      </c>
      <c r="L5979" s="8">
        <v>39987.315405092595</v>
      </c>
      <c r="M5979" s="9" t="s">
        <v>19</v>
      </c>
      <c r="N5979" s="9" t="s">
        <v>20</v>
      </c>
      <c r="O5979" s="6" t="str">
        <f>HYPERLINK("https://pbs.twimg.com/profile_images/962471262747529216/Uo8lOkRJ_normal.jpg","View")</f>
        <v>View</v>
      </c>
      <c r="P5979" s="7"/>
    </row>
    <row r="5980" spans="1:16">
      <c r="A5980" s="3">
        <v>43972.716921296298</v>
      </c>
      <c r="B5980" s="4" t="str">
        <f>HYPERLINK("https://twitter.com/petrogustavo","@petrogustavo")</f>
        <v>@petrogustavo</v>
      </c>
      <c r="C5980" s="5" t="s">
        <v>16</v>
      </c>
      <c r="D5980" s="5" t="s">
        <v>5815</v>
      </c>
      <c r="E5980" s="6" t="str">
        <f>HYPERLINK("https://twitter.com/petrogustavo/status/1263434960817569792","1263434960817569792")</f>
        <v>1263434960817569792</v>
      </c>
      <c r="F5980" s="7" t="s">
        <v>17</v>
      </c>
      <c r="G5980" s="7">
        <v>3834434</v>
      </c>
      <c r="H5980" s="7">
        <v>2412</v>
      </c>
      <c r="I5980" s="7">
        <v>415</v>
      </c>
      <c r="J5980" s="7">
        <v>0</v>
      </c>
      <c r="K5980" s="7" t="s">
        <v>18</v>
      </c>
      <c r="L5980" s="8">
        <v>39987.315405092595</v>
      </c>
      <c r="M5980" s="9" t="s">
        <v>19</v>
      </c>
      <c r="N5980" s="9" t="s">
        <v>20</v>
      </c>
      <c r="O5980" s="6" t="str">
        <f>HYPERLINK("https://pbs.twimg.com/profile_images/962471262747529216/Uo8lOkRJ_normal.jpg","View")</f>
        <v>View</v>
      </c>
      <c r="P5980" s="7"/>
    </row>
    <row r="5981" spans="1:16">
      <c r="A5981" s="3">
        <v>43972.735266203701</v>
      </c>
      <c r="B5981" s="4" t="str">
        <f>HYPERLINK("https://twitter.com/petrogustavo","@petrogustavo")</f>
        <v>@petrogustavo</v>
      </c>
      <c r="C5981" s="5" t="s">
        <v>16</v>
      </c>
      <c r="D5981" s="5" t="s">
        <v>5816</v>
      </c>
      <c r="E5981" s="6" t="str">
        <f>HYPERLINK("https://twitter.com/petrogustavo/status/1263441606742589440","1263441606742589440")</f>
        <v>1263441606742589440</v>
      </c>
      <c r="F5981" s="7" t="s">
        <v>17</v>
      </c>
      <c r="G5981" s="7">
        <v>3834438</v>
      </c>
      <c r="H5981" s="7">
        <v>2412</v>
      </c>
      <c r="I5981" s="7">
        <v>250</v>
      </c>
      <c r="J5981" s="7">
        <v>400</v>
      </c>
      <c r="K5981" s="7" t="s">
        <v>18</v>
      </c>
      <c r="L5981" s="8">
        <v>39987.315405092595</v>
      </c>
      <c r="M5981" s="9" t="s">
        <v>19</v>
      </c>
      <c r="N5981" s="9" t="s">
        <v>20</v>
      </c>
      <c r="O5981" s="6" t="str">
        <f>HYPERLINK("https://pbs.twimg.com/profile_images/962471262747529216/Uo8lOkRJ_normal.jpg","View")</f>
        <v>View</v>
      </c>
      <c r="P5981" s="7"/>
    </row>
    <row r="5982" spans="1:16">
      <c r="A5982" s="3">
        <v>43972.776134259257</v>
      </c>
      <c r="B5982" s="4" t="str">
        <f>HYPERLINK("https://twitter.com/petrogustavo","@petrogustavo")</f>
        <v>@petrogustavo</v>
      </c>
      <c r="C5982" s="5" t="s">
        <v>16</v>
      </c>
      <c r="D5982" s="5" t="s">
        <v>5817</v>
      </c>
      <c r="E5982" s="6" t="str">
        <f>HYPERLINK("https://twitter.com/petrogustavo/status/1263456419556229121","1263456419556229121")</f>
        <v>1263456419556229121</v>
      </c>
      <c r="F5982" s="7" t="s">
        <v>17</v>
      </c>
      <c r="G5982" s="7">
        <v>3834511</v>
      </c>
      <c r="H5982" s="7">
        <v>2412</v>
      </c>
      <c r="I5982" s="7">
        <v>115</v>
      </c>
      <c r="J5982" s="7">
        <v>258</v>
      </c>
      <c r="K5982" s="7" t="s">
        <v>18</v>
      </c>
      <c r="L5982" s="8">
        <v>39987.315405092595</v>
      </c>
      <c r="M5982" s="9" t="s">
        <v>19</v>
      </c>
      <c r="N5982" s="9" t="s">
        <v>20</v>
      </c>
      <c r="O5982" s="6" t="str">
        <f>HYPERLINK("https://pbs.twimg.com/profile_images/962471262747529216/Uo8lOkRJ_normal.jpg","View")</f>
        <v>View</v>
      </c>
      <c r="P5982" s="7"/>
    </row>
    <row r="5983" spans="1:16">
      <c r="A5983" s="3">
        <v>43972.787881944445</v>
      </c>
      <c r="B5983" s="4" t="str">
        <f>HYPERLINK("https://twitter.com/petrogustavo","@petrogustavo")</f>
        <v>@petrogustavo</v>
      </c>
      <c r="C5983" s="5" t="s">
        <v>16</v>
      </c>
      <c r="D5983" s="5" t="s">
        <v>5818</v>
      </c>
      <c r="E5983" s="6" t="str">
        <f>HYPERLINK("https://twitter.com/petrogustavo/status/1263460675579457536","1263460675579457536")</f>
        <v>1263460675579457536</v>
      </c>
      <c r="F5983" s="7" t="s">
        <v>32</v>
      </c>
      <c r="G5983" s="7">
        <v>3834511</v>
      </c>
      <c r="H5983" s="7">
        <v>2412</v>
      </c>
      <c r="I5983" s="7">
        <v>835</v>
      </c>
      <c r="J5983" s="7">
        <v>0</v>
      </c>
      <c r="K5983" s="7" t="s">
        <v>18</v>
      </c>
      <c r="L5983" s="8">
        <v>39987.315405092595</v>
      </c>
      <c r="M5983" s="9" t="s">
        <v>19</v>
      </c>
      <c r="N5983" s="9" t="s">
        <v>20</v>
      </c>
      <c r="O5983" s="6" t="str">
        <f>HYPERLINK("https://pbs.twimg.com/profile_images/962471262747529216/Uo8lOkRJ_normal.jpg","View")</f>
        <v>View</v>
      </c>
      <c r="P5983" s="7"/>
    </row>
    <row r="5984" spans="1:16">
      <c r="A5984" s="3">
        <v>43972.800937499997</v>
      </c>
      <c r="B5984" s="4" t="str">
        <f>HYPERLINK("https://twitter.com/petrogustavo","@petrogustavo")</f>
        <v>@petrogustavo</v>
      </c>
      <c r="C5984" s="5" t="s">
        <v>16</v>
      </c>
      <c r="D5984" s="5" t="s">
        <v>5819</v>
      </c>
      <c r="E5984" s="6" t="str">
        <f>HYPERLINK("https://twitter.com/petrogustavo/status/1263465404858499072","1263465404858499072")</f>
        <v>1263465404858499072</v>
      </c>
      <c r="F5984" s="7" t="s">
        <v>17</v>
      </c>
      <c r="G5984" s="7">
        <v>3834535</v>
      </c>
      <c r="H5984" s="7">
        <v>2412</v>
      </c>
      <c r="I5984" s="7">
        <v>463</v>
      </c>
      <c r="J5984" s="7">
        <v>0</v>
      </c>
      <c r="K5984" s="7" t="s">
        <v>18</v>
      </c>
      <c r="L5984" s="8">
        <v>39987.315405092595</v>
      </c>
      <c r="M5984" s="9" t="s">
        <v>19</v>
      </c>
      <c r="N5984" s="9" t="s">
        <v>20</v>
      </c>
      <c r="O5984" s="6" t="str">
        <f>HYPERLINK("https://pbs.twimg.com/profile_images/962471262747529216/Uo8lOkRJ_normal.jpg","View")</f>
        <v>View</v>
      </c>
      <c r="P5984" s="7"/>
    </row>
    <row r="5985" spans="1:16">
      <c r="A5985" s="3">
        <v>43972.80097222222</v>
      </c>
      <c r="B5985" s="4" t="str">
        <f>HYPERLINK("https://twitter.com/petrogustavo","@petrogustavo")</f>
        <v>@petrogustavo</v>
      </c>
      <c r="C5985" s="5" t="s">
        <v>16</v>
      </c>
      <c r="D5985" s="5" t="s">
        <v>5820</v>
      </c>
      <c r="E5985" s="6" t="str">
        <f>HYPERLINK("https://twitter.com/petrogustavo/status/1263465419916148737","1263465419916148737")</f>
        <v>1263465419916148737</v>
      </c>
      <c r="F5985" s="7" t="s">
        <v>17</v>
      </c>
      <c r="G5985" s="7">
        <v>3834535</v>
      </c>
      <c r="H5985" s="7">
        <v>2412</v>
      </c>
      <c r="I5985" s="7">
        <v>329</v>
      </c>
      <c r="J5985" s="7">
        <v>0</v>
      </c>
      <c r="K5985" s="7" t="s">
        <v>18</v>
      </c>
      <c r="L5985" s="8">
        <v>39987.315405092595</v>
      </c>
      <c r="M5985" s="9" t="s">
        <v>19</v>
      </c>
      <c r="N5985" s="9" t="s">
        <v>20</v>
      </c>
      <c r="O5985" s="6" t="str">
        <f>HYPERLINK("https://pbs.twimg.com/profile_images/962471262747529216/Uo8lOkRJ_normal.jpg","View")</f>
        <v>View</v>
      </c>
      <c r="P5985" s="7"/>
    </row>
    <row r="5986" spans="1:16">
      <c r="A5986" s="3">
        <v>43972.801064814819</v>
      </c>
      <c r="B5986" s="4" t="str">
        <f>HYPERLINK("https://twitter.com/petrogustavo","@petrogustavo")</f>
        <v>@petrogustavo</v>
      </c>
      <c r="C5986" s="5" t="s">
        <v>16</v>
      </c>
      <c r="D5986" s="5" t="s">
        <v>5815</v>
      </c>
      <c r="E5986" s="6" t="str">
        <f>HYPERLINK("https://twitter.com/petrogustavo/status/1263465451381837826","1263465451381837826")</f>
        <v>1263465451381837826</v>
      </c>
      <c r="F5986" s="7" t="s">
        <v>17</v>
      </c>
      <c r="G5986" s="7">
        <v>3834535</v>
      </c>
      <c r="H5986" s="7">
        <v>2412</v>
      </c>
      <c r="I5986" s="7">
        <v>531</v>
      </c>
      <c r="J5986" s="7">
        <v>0</v>
      </c>
      <c r="K5986" s="7" t="s">
        <v>18</v>
      </c>
      <c r="L5986" s="8">
        <v>39987.315405092595</v>
      </c>
      <c r="M5986" s="9" t="s">
        <v>19</v>
      </c>
      <c r="N5986" s="9" t="s">
        <v>20</v>
      </c>
      <c r="O5986" s="6" t="str">
        <f>HYPERLINK("https://pbs.twimg.com/profile_images/962471262747529216/Uo8lOkRJ_normal.jpg","View")</f>
        <v>View</v>
      </c>
      <c r="P5986" s="7"/>
    </row>
    <row r="5987" spans="1:16">
      <c r="A5987" s="3">
        <v>43972.886087962965</v>
      </c>
      <c r="B5987" s="4" t="str">
        <f>HYPERLINK("https://twitter.com/petrogustavo","@petrogustavo")</f>
        <v>@petrogustavo</v>
      </c>
      <c r="C5987" s="5" t="s">
        <v>16</v>
      </c>
      <c r="D5987" s="5" t="s">
        <v>5815</v>
      </c>
      <c r="E5987" s="6" t="str">
        <f>HYPERLINK("https://twitter.com/petrogustavo/status/1263496262814519298","1263496262814519298")</f>
        <v>1263496262814519298</v>
      </c>
      <c r="F5987" s="7" t="s">
        <v>17</v>
      </c>
      <c r="G5987" s="7">
        <v>3834639</v>
      </c>
      <c r="H5987" s="7">
        <v>2412</v>
      </c>
      <c r="I5987" s="7">
        <v>588</v>
      </c>
      <c r="J5987" s="7">
        <v>0</v>
      </c>
      <c r="K5987" s="7" t="s">
        <v>18</v>
      </c>
      <c r="L5987" s="8">
        <v>39987.315405092595</v>
      </c>
      <c r="M5987" s="9" t="s">
        <v>19</v>
      </c>
      <c r="N5987" s="9" t="s">
        <v>20</v>
      </c>
      <c r="O5987" s="6" t="str">
        <f>HYPERLINK("https://pbs.twimg.com/profile_images/962471262747529216/Uo8lOkRJ_normal.jpg","View")</f>
        <v>View</v>
      </c>
      <c r="P5987" s="7"/>
    </row>
    <row r="5988" spans="1:16">
      <c r="A5988" s="3">
        <v>43973.10392361111</v>
      </c>
      <c r="B5988" s="4" t="str">
        <f>HYPERLINK("https://twitter.com/petrogustavo","@petrogustavo")</f>
        <v>@petrogustavo</v>
      </c>
      <c r="C5988" s="5" t="s">
        <v>16</v>
      </c>
      <c r="D5988" s="5" t="s">
        <v>5821</v>
      </c>
      <c r="E5988" s="6" t="str">
        <f>HYPERLINK("https://twitter.com/petrogustavo/status/1263575202887348224","1263575202887348224")</f>
        <v>1263575202887348224</v>
      </c>
      <c r="F5988" s="7" t="s">
        <v>17</v>
      </c>
      <c r="G5988" s="7">
        <v>3834917</v>
      </c>
      <c r="H5988" s="7">
        <v>2412</v>
      </c>
      <c r="I5988" s="7">
        <v>13</v>
      </c>
      <c r="J5988" s="7">
        <v>33</v>
      </c>
      <c r="K5988" s="7" t="s">
        <v>18</v>
      </c>
      <c r="L5988" s="8">
        <v>39987.315405092595</v>
      </c>
      <c r="M5988" s="9" t="s">
        <v>19</v>
      </c>
      <c r="N5988" s="9" t="s">
        <v>20</v>
      </c>
      <c r="O5988" s="6" t="str">
        <f>HYPERLINK("https://pbs.twimg.com/profile_images/962471262747529216/Uo8lOkRJ_normal.jpg","View")</f>
        <v>View</v>
      </c>
      <c r="P5988" s="7"/>
    </row>
    <row r="5989" spans="1:16">
      <c r="A5989" s="3">
        <v>43973.106435185182</v>
      </c>
      <c r="B5989" s="4" t="str">
        <f>HYPERLINK("https://twitter.com/petrogustavo","@petrogustavo")</f>
        <v>@petrogustavo</v>
      </c>
      <c r="C5989" s="5" t="s">
        <v>16</v>
      </c>
      <c r="D5989" s="5" t="s">
        <v>5822</v>
      </c>
      <c r="E5989" s="6" t="str">
        <f>HYPERLINK("https://twitter.com/petrogustavo/status/1263576114968104962","1263576114968104962")</f>
        <v>1263576114968104962</v>
      </c>
      <c r="F5989" s="7" t="s">
        <v>17</v>
      </c>
      <c r="G5989" s="7">
        <v>3834928</v>
      </c>
      <c r="H5989" s="7">
        <v>2412</v>
      </c>
      <c r="I5989" s="7">
        <v>348</v>
      </c>
      <c r="J5989" s="7">
        <v>866</v>
      </c>
      <c r="K5989" s="7" t="s">
        <v>18</v>
      </c>
      <c r="L5989" s="8">
        <v>39987.315405092595</v>
      </c>
      <c r="M5989" s="9" t="s">
        <v>19</v>
      </c>
      <c r="N5989" s="9" t="s">
        <v>20</v>
      </c>
      <c r="O5989" s="6" t="str">
        <f>HYPERLINK("https://pbs.twimg.com/profile_images/962471262747529216/Uo8lOkRJ_normal.jpg","View")</f>
        <v>View</v>
      </c>
      <c r="P5989" s="7"/>
    </row>
    <row r="5990" spans="1:16">
      <c r="A5990" s="3">
        <v>43973.190532407403</v>
      </c>
      <c r="B5990" s="4" t="str">
        <f>HYPERLINK("https://twitter.com/petrogustavo","@petrogustavo")</f>
        <v>@petrogustavo</v>
      </c>
      <c r="C5990" s="5" t="s">
        <v>16</v>
      </c>
      <c r="D5990" s="5" t="s">
        <v>5823</v>
      </c>
      <c r="E5990" s="6" t="str">
        <f>HYPERLINK("https://twitter.com/petrogustavo/status/1263606592462864386","1263606592462864386")</f>
        <v>1263606592462864386</v>
      </c>
      <c r="F5990" s="7" t="s">
        <v>17</v>
      </c>
      <c r="G5990" s="7">
        <v>3835044</v>
      </c>
      <c r="H5990" s="7">
        <v>2412</v>
      </c>
      <c r="I5990" s="7">
        <v>175</v>
      </c>
      <c r="J5990" s="7">
        <v>334</v>
      </c>
      <c r="K5990" s="7" t="s">
        <v>18</v>
      </c>
      <c r="L5990" s="8">
        <v>39987.315405092595</v>
      </c>
      <c r="M5990" s="9" t="s">
        <v>19</v>
      </c>
      <c r="N5990" s="9" t="s">
        <v>20</v>
      </c>
      <c r="O5990" s="6" t="str">
        <f>HYPERLINK("https://pbs.twimg.com/profile_images/962471262747529216/Uo8lOkRJ_normal.jpg","View")</f>
        <v>View</v>
      </c>
      <c r="P5990" s="7"/>
    </row>
    <row r="5991" spans="1:16">
      <c r="A5991" s="3">
        <v>43973.202268518522</v>
      </c>
      <c r="B5991" s="4" t="str">
        <f>HYPERLINK("https://twitter.com/petrogustavo","@petrogustavo")</f>
        <v>@petrogustavo</v>
      </c>
      <c r="C5991" s="5" t="s">
        <v>16</v>
      </c>
      <c r="D5991" s="5" t="s">
        <v>5824</v>
      </c>
      <c r="E5991" s="6" t="str">
        <f>HYPERLINK("https://twitter.com/petrogustavo/status/1263610843410968583","1263610843410968583")</f>
        <v>1263610843410968583</v>
      </c>
      <c r="F5991" s="7" t="s">
        <v>17</v>
      </c>
      <c r="G5991" s="7">
        <v>3835044</v>
      </c>
      <c r="H5991" s="7">
        <v>2412</v>
      </c>
      <c r="I5991" s="7">
        <v>120</v>
      </c>
      <c r="J5991" s="7">
        <v>270</v>
      </c>
      <c r="K5991" s="7" t="s">
        <v>18</v>
      </c>
      <c r="L5991" s="8">
        <v>39987.315405092595</v>
      </c>
      <c r="M5991" s="9" t="s">
        <v>19</v>
      </c>
      <c r="N5991" s="9" t="s">
        <v>20</v>
      </c>
      <c r="O5991" s="6" t="str">
        <f>HYPERLINK("https://pbs.twimg.com/profile_images/962471262747529216/Uo8lOkRJ_normal.jpg","View")</f>
        <v>View</v>
      </c>
      <c r="P5991" s="7"/>
    </row>
    <row r="5992" spans="1:16">
      <c r="A5992" s="3">
        <v>43973.205740740741</v>
      </c>
      <c r="B5992" s="4" t="str">
        <f>HYPERLINK("https://twitter.com/petrogustavo","@petrogustavo")</f>
        <v>@petrogustavo</v>
      </c>
      <c r="C5992" s="5" t="s">
        <v>16</v>
      </c>
      <c r="D5992" s="5" t="s">
        <v>5825</v>
      </c>
      <c r="E5992" s="6" t="str">
        <f>HYPERLINK("https://twitter.com/petrogustavo/status/1263612101202976775","1263612101202976775")</f>
        <v>1263612101202976775</v>
      </c>
      <c r="F5992" s="7" t="s">
        <v>17</v>
      </c>
      <c r="G5992" s="7">
        <v>3835044</v>
      </c>
      <c r="H5992" s="7">
        <v>2412</v>
      </c>
      <c r="I5992" s="7">
        <v>151</v>
      </c>
      <c r="J5992" s="7">
        <v>334</v>
      </c>
      <c r="K5992" s="7" t="s">
        <v>18</v>
      </c>
      <c r="L5992" s="8">
        <v>39987.315405092595</v>
      </c>
      <c r="M5992" s="9" t="s">
        <v>19</v>
      </c>
      <c r="N5992" s="9" t="s">
        <v>20</v>
      </c>
      <c r="O5992" s="6" t="str">
        <f>HYPERLINK("https://pbs.twimg.com/profile_images/962471262747529216/Uo8lOkRJ_normal.jpg","View")</f>
        <v>View</v>
      </c>
      <c r="P5992" s="7"/>
    </row>
    <row r="5993" spans="1:16">
      <c r="A5993" s="3">
        <v>43973.219398148147</v>
      </c>
      <c r="B5993" s="4" t="str">
        <f>HYPERLINK("https://twitter.com/petrogustavo","@petrogustavo")</f>
        <v>@petrogustavo</v>
      </c>
      <c r="C5993" s="5" t="s">
        <v>16</v>
      </c>
      <c r="D5993" s="5" t="s">
        <v>5826</v>
      </c>
      <c r="E5993" s="6" t="str">
        <f>HYPERLINK("https://twitter.com/petrogustavo/status/1263617051156938758","1263617051156938758")</f>
        <v>1263617051156938758</v>
      </c>
      <c r="F5993" s="7" t="s">
        <v>17</v>
      </c>
      <c r="G5993" s="7">
        <v>3835081</v>
      </c>
      <c r="H5993" s="7">
        <v>2412</v>
      </c>
      <c r="I5993" s="7">
        <v>287</v>
      </c>
      <c r="J5993" s="7">
        <v>711</v>
      </c>
      <c r="K5993" s="7" t="s">
        <v>18</v>
      </c>
      <c r="L5993" s="8">
        <v>39987.315405092595</v>
      </c>
      <c r="M5993" s="9" t="s">
        <v>19</v>
      </c>
      <c r="N5993" s="9" t="s">
        <v>20</v>
      </c>
      <c r="O5993" s="6" t="str">
        <f>HYPERLINK("https://pbs.twimg.com/profile_images/962471262747529216/Uo8lOkRJ_normal.jpg","View")</f>
        <v>View</v>
      </c>
      <c r="P5993" s="7"/>
    </row>
    <row r="5994" spans="1:16">
      <c r="A5994" s="3">
        <v>43973.22383101852</v>
      </c>
      <c r="B5994" s="4" t="str">
        <f>HYPERLINK("https://twitter.com/petrogustavo","@petrogustavo")</f>
        <v>@petrogustavo</v>
      </c>
      <c r="C5994" s="5" t="s">
        <v>16</v>
      </c>
      <c r="D5994" s="5" t="s">
        <v>5827</v>
      </c>
      <c r="E5994" s="6" t="str">
        <f>HYPERLINK("https://twitter.com/petrogustavo/status/1263618659093745664","1263618659093745664")</f>
        <v>1263618659093745664</v>
      </c>
      <c r="F5994" s="7" t="s">
        <v>17</v>
      </c>
      <c r="G5994" s="7">
        <v>3835081</v>
      </c>
      <c r="H5994" s="7">
        <v>2412</v>
      </c>
      <c r="I5994" s="7">
        <v>75</v>
      </c>
      <c r="J5994" s="7">
        <v>134</v>
      </c>
      <c r="K5994" s="7" t="s">
        <v>18</v>
      </c>
      <c r="L5994" s="8">
        <v>39987.315405092595</v>
      </c>
      <c r="M5994" s="9" t="s">
        <v>19</v>
      </c>
      <c r="N5994" s="9" t="s">
        <v>20</v>
      </c>
      <c r="O5994" s="6" t="str">
        <f>HYPERLINK("https://pbs.twimg.com/profile_images/962471262747529216/Uo8lOkRJ_normal.jpg","View")</f>
        <v>View</v>
      </c>
      <c r="P5994" s="7"/>
    </row>
    <row r="5995" spans="1:16">
      <c r="A5995" s="3">
        <v>43973.241863425923</v>
      </c>
      <c r="B5995" s="4" t="str">
        <f>HYPERLINK("https://twitter.com/petrogustavo","@petrogustavo")</f>
        <v>@petrogustavo</v>
      </c>
      <c r="C5995" s="5" t="s">
        <v>16</v>
      </c>
      <c r="D5995" s="5" t="s">
        <v>5828</v>
      </c>
      <c r="E5995" s="6" t="str">
        <f>HYPERLINK("https://twitter.com/petrogustavo/status/1263625190933778432","1263625190933778432")</f>
        <v>1263625190933778432</v>
      </c>
      <c r="F5995" s="7" t="s">
        <v>17</v>
      </c>
      <c r="G5995" s="7">
        <v>3835123</v>
      </c>
      <c r="H5995" s="7">
        <v>2412</v>
      </c>
      <c r="I5995" s="7">
        <v>597</v>
      </c>
      <c r="J5995" s="7">
        <v>0</v>
      </c>
      <c r="K5995" s="7" t="s">
        <v>18</v>
      </c>
      <c r="L5995" s="8">
        <v>39987.315405092595</v>
      </c>
      <c r="M5995" s="9" t="s">
        <v>19</v>
      </c>
      <c r="N5995" s="9" t="s">
        <v>20</v>
      </c>
      <c r="O5995" s="6" t="str">
        <f>HYPERLINK("https://pbs.twimg.com/profile_images/962471262747529216/Uo8lOkRJ_normal.jpg","View")</f>
        <v>View</v>
      </c>
      <c r="P5995" s="7"/>
    </row>
    <row r="5996" spans="1:16">
      <c r="A5996" s="3">
        <v>43973.241979166662</v>
      </c>
      <c r="B5996" s="4" t="str">
        <f>HYPERLINK("https://twitter.com/petrogustavo","@petrogustavo")</f>
        <v>@petrogustavo</v>
      </c>
      <c r="C5996" s="5" t="s">
        <v>16</v>
      </c>
      <c r="D5996" s="5" t="s">
        <v>5815</v>
      </c>
      <c r="E5996" s="6" t="str">
        <f>HYPERLINK("https://twitter.com/petrogustavo/status/1263625233107431424","1263625233107431424")</f>
        <v>1263625233107431424</v>
      </c>
      <c r="F5996" s="7" t="s">
        <v>17</v>
      </c>
      <c r="G5996" s="7">
        <v>3835123</v>
      </c>
      <c r="H5996" s="7">
        <v>2412</v>
      </c>
      <c r="I5996" s="7">
        <v>752</v>
      </c>
      <c r="J5996" s="7">
        <v>0</v>
      </c>
      <c r="K5996" s="7" t="s">
        <v>18</v>
      </c>
      <c r="L5996" s="8">
        <v>39987.315405092595</v>
      </c>
      <c r="M5996" s="9" t="s">
        <v>19</v>
      </c>
      <c r="N5996" s="9" t="s">
        <v>20</v>
      </c>
      <c r="O5996" s="6" t="str">
        <f>HYPERLINK("https://pbs.twimg.com/profile_images/962471262747529216/Uo8lOkRJ_normal.jpg","View")</f>
        <v>View</v>
      </c>
      <c r="P5996" s="7"/>
    </row>
    <row r="5997" spans="1:16">
      <c r="A5997" s="3">
        <v>43973.733576388884</v>
      </c>
      <c r="B5997" s="4" t="str">
        <f>HYPERLINK("https://twitter.com/petrogustavo","@petrogustavo")</f>
        <v>@petrogustavo</v>
      </c>
      <c r="C5997" s="5" t="s">
        <v>16</v>
      </c>
      <c r="D5997" s="5" t="s">
        <v>5829</v>
      </c>
      <c r="E5997" s="6" t="str">
        <f>HYPERLINK("https://twitter.com/petrogustavo/status/1263803383418413056","1263803383418413056")</f>
        <v>1263803383418413056</v>
      </c>
      <c r="F5997" s="7" t="s">
        <v>17</v>
      </c>
      <c r="G5997" s="7">
        <v>3835604</v>
      </c>
      <c r="H5997" s="7">
        <v>2412</v>
      </c>
      <c r="I5997" s="7">
        <v>131</v>
      </c>
      <c r="J5997" s="7">
        <v>365</v>
      </c>
      <c r="K5997" s="7" t="s">
        <v>18</v>
      </c>
      <c r="L5997" s="8">
        <v>39987.315405092595</v>
      </c>
      <c r="M5997" s="9" t="s">
        <v>19</v>
      </c>
      <c r="N5997" s="9" t="s">
        <v>20</v>
      </c>
      <c r="O5997" s="6" t="str">
        <f>HYPERLINK("https://pbs.twimg.com/profile_images/962471262747529216/Uo8lOkRJ_normal.jpg","View")</f>
        <v>View</v>
      </c>
      <c r="P5997" s="7"/>
    </row>
    <row r="5998" spans="1:16">
      <c r="A5998" s="3">
        <v>43973.745243055557</v>
      </c>
      <c r="B5998" s="4" t="str">
        <f>HYPERLINK("https://twitter.com/petrogustavo","@petrogustavo")</f>
        <v>@petrogustavo</v>
      </c>
      <c r="C5998" s="5" t="s">
        <v>16</v>
      </c>
      <c r="D5998" s="5" t="s">
        <v>5830</v>
      </c>
      <c r="E5998" s="6" t="str">
        <f>HYPERLINK("https://twitter.com/petrogustavo/status/1263807612891664384","1263807612891664384")</f>
        <v>1263807612891664384</v>
      </c>
      <c r="F5998" s="7" t="s">
        <v>17</v>
      </c>
      <c r="G5998" s="7">
        <v>3835604</v>
      </c>
      <c r="H5998" s="7">
        <v>2412</v>
      </c>
      <c r="I5998" s="7">
        <v>147</v>
      </c>
      <c r="J5998" s="7">
        <v>431</v>
      </c>
      <c r="K5998" s="7" t="s">
        <v>18</v>
      </c>
      <c r="L5998" s="8">
        <v>39987.315405092595</v>
      </c>
      <c r="M5998" s="9" t="s">
        <v>19</v>
      </c>
      <c r="N5998" s="9" t="s">
        <v>20</v>
      </c>
      <c r="O5998" s="6" t="str">
        <f>HYPERLINK("https://pbs.twimg.com/profile_images/962471262747529216/Uo8lOkRJ_normal.jpg","View")</f>
        <v>View</v>
      </c>
      <c r="P5998" s="7"/>
    </row>
    <row r="5999" spans="1:16">
      <c r="A5999" s="3">
        <v>43973.750844907408</v>
      </c>
      <c r="B5999" s="4" t="str">
        <f>HYPERLINK("https://twitter.com/petrogustavo","@petrogustavo")</f>
        <v>@petrogustavo</v>
      </c>
      <c r="C5999" s="5" t="s">
        <v>16</v>
      </c>
      <c r="D5999" s="5" t="s">
        <v>5831</v>
      </c>
      <c r="E5999" s="6" t="str">
        <f>HYPERLINK("https://twitter.com/petrogustavo/status/1263809640548175874","1263809640548175874")</f>
        <v>1263809640548175874</v>
      </c>
      <c r="F5999" s="7" t="s">
        <v>17</v>
      </c>
      <c r="G5999" s="7">
        <v>3835604</v>
      </c>
      <c r="H5999" s="7">
        <v>2412</v>
      </c>
      <c r="I5999" s="7">
        <v>20</v>
      </c>
      <c r="J5999" s="7">
        <v>44</v>
      </c>
      <c r="K5999" s="7" t="s">
        <v>18</v>
      </c>
      <c r="L5999" s="8">
        <v>39987.315405092595</v>
      </c>
      <c r="M5999" s="9" t="s">
        <v>19</v>
      </c>
      <c r="N5999" s="9" t="s">
        <v>20</v>
      </c>
      <c r="O5999" s="6" t="str">
        <f>HYPERLINK("https://pbs.twimg.com/profile_images/962471262747529216/Uo8lOkRJ_normal.jpg","View")</f>
        <v>View</v>
      </c>
      <c r="P5999" s="7"/>
    </row>
    <row r="6000" spans="1:16">
      <c r="A6000" s="3">
        <v>43973.762372685189</v>
      </c>
      <c r="B6000" s="4" t="str">
        <f>HYPERLINK("https://twitter.com/petrogustavo","@petrogustavo")</f>
        <v>@petrogustavo</v>
      </c>
      <c r="C6000" s="5" t="s">
        <v>16</v>
      </c>
      <c r="D6000" s="5" t="s">
        <v>5832</v>
      </c>
      <c r="E6000" s="6" t="str">
        <f>HYPERLINK("https://twitter.com/petrogustavo/status/1263813817630363650","1263813817630363650")</f>
        <v>1263813817630363650</v>
      </c>
      <c r="F6000" s="7" t="s">
        <v>17</v>
      </c>
      <c r="G6000" s="7">
        <v>3835639</v>
      </c>
      <c r="H6000" s="7">
        <v>2413</v>
      </c>
      <c r="I6000" s="7">
        <v>90</v>
      </c>
      <c r="J6000" s="7">
        <v>190</v>
      </c>
      <c r="K6000" s="7" t="s">
        <v>18</v>
      </c>
      <c r="L6000" s="8">
        <v>39987.315405092595</v>
      </c>
      <c r="M6000" s="9" t="s">
        <v>19</v>
      </c>
      <c r="N6000" s="9" t="s">
        <v>20</v>
      </c>
      <c r="O6000" s="6" t="str">
        <f>HYPERLINK("https://pbs.twimg.com/profile_images/962471262747529216/Uo8lOkRJ_normal.jpg","View")</f>
        <v>View</v>
      </c>
      <c r="P6000" s="7"/>
    </row>
    <row r="6001" spans="1:16">
      <c r="A6001" s="3">
        <v>43973.77444444444</v>
      </c>
      <c r="B6001" s="4" t="str">
        <f>HYPERLINK("https://twitter.com/petrogustavo","@petrogustavo")</f>
        <v>@petrogustavo</v>
      </c>
      <c r="C6001" s="5" t="s">
        <v>16</v>
      </c>
      <c r="D6001" s="5" t="s">
        <v>5833</v>
      </c>
      <c r="E6001" s="6" t="str">
        <f>HYPERLINK("https://twitter.com/petrogustavo/status/1263818191102513152","1263818191102513152")</f>
        <v>1263818191102513152</v>
      </c>
      <c r="F6001" s="7" t="s">
        <v>17</v>
      </c>
      <c r="G6001" s="7">
        <v>3835671</v>
      </c>
      <c r="H6001" s="7">
        <v>2413</v>
      </c>
      <c r="I6001" s="7">
        <v>72</v>
      </c>
      <c r="J6001" s="7">
        <v>223</v>
      </c>
      <c r="K6001" s="7" t="s">
        <v>18</v>
      </c>
      <c r="L6001" s="8">
        <v>39987.315405092595</v>
      </c>
      <c r="M6001" s="9" t="s">
        <v>19</v>
      </c>
      <c r="N6001" s="9" t="s">
        <v>20</v>
      </c>
      <c r="O6001" s="6" t="str">
        <f>HYPERLINK("https://pbs.twimg.com/profile_images/962471262747529216/Uo8lOkRJ_normal.jpg","View")</f>
        <v>View</v>
      </c>
      <c r="P6001" s="7"/>
    </row>
    <row r="6002" spans="1:16">
      <c r="A6002" s="3">
        <v>43973.850289351853</v>
      </c>
      <c r="B6002" s="4" t="str">
        <f>HYPERLINK("https://twitter.com/petrogustavo","@petrogustavo")</f>
        <v>@petrogustavo</v>
      </c>
      <c r="C6002" s="5" t="s">
        <v>16</v>
      </c>
      <c r="D6002" s="5" t="s">
        <v>5834</v>
      </c>
      <c r="E6002" s="6" t="str">
        <f>HYPERLINK("https://twitter.com/petrogustavo/status/1263845676699574274","1263845676699574274")</f>
        <v>1263845676699574274</v>
      </c>
      <c r="F6002" s="7" t="s">
        <v>17</v>
      </c>
      <c r="G6002" s="7">
        <v>3835773</v>
      </c>
      <c r="H6002" s="7">
        <v>2413</v>
      </c>
      <c r="I6002" s="7">
        <v>123</v>
      </c>
      <c r="J6002" s="7">
        <v>291</v>
      </c>
      <c r="K6002" s="7" t="s">
        <v>18</v>
      </c>
      <c r="L6002" s="8">
        <v>39987.315405092595</v>
      </c>
      <c r="M6002" s="9" t="s">
        <v>19</v>
      </c>
      <c r="N6002" s="9" t="s">
        <v>20</v>
      </c>
      <c r="O6002" s="6" t="str">
        <f>HYPERLINK("https://pbs.twimg.com/profile_images/962471262747529216/Uo8lOkRJ_normal.jpg","View")</f>
        <v>View</v>
      </c>
      <c r="P6002" s="7"/>
    </row>
    <row r="6003" spans="1:16">
      <c r="A6003" s="3">
        <v>43973.863182870366</v>
      </c>
      <c r="B6003" s="4" t="str">
        <f>HYPERLINK("https://twitter.com/petrogustavo","@petrogustavo")</f>
        <v>@petrogustavo</v>
      </c>
      <c r="C6003" s="5" t="s">
        <v>16</v>
      </c>
      <c r="D6003" s="5" t="s">
        <v>5835</v>
      </c>
      <c r="E6003" s="6" t="str">
        <f>HYPERLINK("https://twitter.com/petrogustavo/status/1263850351716978690","1263850351716978690")</f>
        <v>1263850351716978690</v>
      </c>
      <c r="F6003" s="7" t="s">
        <v>17</v>
      </c>
      <c r="G6003" s="7">
        <v>3835814</v>
      </c>
      <c r="H6003" s="7">
        <v>2413</v>
      </c>
      <c r="I6003" s="7">
        <v>152</v>
      </c>
      <c r="J6003" s="7">
        <v>422</v>
      </c>
      <c r="K6003" s="7" t="s">
        <v>18</v>
      </c>
      <c r="L6003" s="8">
        <v>39987.315405092595</v>
      </c>
      <c r="M6003" s="9" t="s">
        <v>19</v>
      </c>
      <c r="N6003" s="9" t="s">
        <v>20</v>
      </c>
      <c r="O6003" s="6" t="str">
        <f>HYPERLINK("https://pbs.twimg.com/profile_images/962471262747529216/Uo8lOkRJ_normal.jpg","View")</f>
        <v>View</v>
      </c>
      <c r="P6003" s="7"/>
    </row>
    <row r="6004" spans="1:16">
      <c r="A6004" s="3">
        <v>43973.879664351851</v>
      </c>
      <c r="B6004" s="4" t="str">
        <f>HYPERLINK("https://twitter.com/petrogustavo","@petrogustavo")</f>
        <v>@petrogustavo</v>
      </c>
      <c r="C6004" s="5" t="s">
        <v>16</v>
      </c>
      <c r="D6004" s="5" t="s">
        <v>5836</v>
      </c>
      <c r="E6004" s="6" t="str">
        <f>HYPERLINK("https://twitter.com/petrogustavo/status/1263856324120543232","1263856324120543232")</f>
        <v>1263856324120543232</v>
      </c>
      <c r="F6004" s="7" t="s">
        <v>17</v>
      </c>
      <c r="G6004" s="7">
        <v>3835864</v>
      </c>
      <c r="H6004" s="7">
        <v>2413</v>
      </c>
      <c r="I6004" s="7">
        <v>1036</v>
      </c>
      <c r="J6004" s="7">
        <v>0</v>
      </c>
      <c r="K6004" s="7" t="s">
        <v>18</v>
      </c>
      <c r="L6004" s="8">
        <v>39987.315405092595</v>
      </c>
      <c r="M6004" s="9" t="s">
        <v>19</v>
      </c>
      <c r="N6004" s="9" t="s">
        <v>20</v>
      </c>
      <c r="O6004" s="6" t="str">
        <f>HYPERLINK("https://pbs.twimg.com/profile_images/962471262747529216/Uo8lOkRJ_normal.jpg","View")</f>
        <v>View</v>
      </c>
      <c r="P6004" s="7"/>
    </row>
    <row r="6005" spans="1:16">
      <c r="A6005" s="3">
        <v>43973.896944444445</v>
      </c>
      <c r="B6005" s="4" t="str">
        <f>HYPERLINK("https://twitter.com/petrogustavo","@petrogustavo")</f>
        <v>@petrogustavo</v>
      </c>
      <c r="C6005" s="5" t="s">
        <v>16</v>
      </c>
      <c r="D6005" s="5" t="s">
        <v>5837</v>
      </c>
      <c r="E6005" s="6" t="str">
        <f>HYPERLINK("https://twitter.com/petrogustavo/status/1263862584849117192","1263862584849117192")</f>
        <v>1263862584849117192</v>
      </c>
      <c r="F6005" s="7" t="s">
        <v>21</v>
      </c>
      <c r="G6005" s="7">
        <v>3835864</v>
      </c>
      <c r="H6005" s="7">
        <v>2413</v>
      </c>
      <c r="I6005" s="7">
        <v>13</v>
      </c>
      <c r="J6005" s="7">
        <v>25</v>
      </c>
      <c r="K6005" s="7" t="s">
        <v>18</v>
      </c>
      <c r="L6005" s="8">
        <v>39987.315405092595</v>
      </c>
      <c r="M6005" s="9" t="s">
        <v>19</v>
      </c>
      <c r="N6005" s="9" t="s">
        <v>20</v>
      </c>
      <c r="O6005" s="6" t="str">
        <f>HYPERLINK("https://pbs.twimg.com/profile_images/962471262747529216/Uo8lOkRJ_normal.jpg","View")</f>
        <v>View</v>
      </c>
      <c r="P6005" s="7"/>
    </row>
    <row r="6006" spans="1:16">
      <c r="A6006" s="3">
        <v>43974.097303240742</v>
      </c>
      <c r="B6006" s="4" t="str">
        <f>HYPERLINK("https://twitter.com/petrogustavo","@petrogustavo")</f>
        <v>@petrogustavo</v>
      </c>
      <c r="C6006" s="5" t="s">
        <v>16</v>
      </c>
      <c r="D6006" s="5" t="s">
        <v>5838</v>
      </c>
      <c r="E6006" s="6" t="str">
        <f>HYPERLINK("https://twitter.com/petrogustavo/status/1263935194626699265","1263935194626699265")</f>
        <v>1263935194626699265</v>
      </c>
      <c r="F6006" s="7" t="s">
        <v>32</v>
      </c>
      <c r="G6006" s="7">
        <v>3836261</v>
      </c>
      <c r="H6006" s="7">
        <v>2413</v>
      </c>
      <c r="I6006" s="7">
        <v>59</v>
      </c>
      <c r="J6006" s="7">
        <v>133</v>
      </c>
      <c r="K6006" s="7" t="s">
        <v>18</v>
      </c>
      <c r="L6006" s="8">
        <v>39987.315405092595</v>
      </c>
      <c r="M6006" s="9" t="s">
        <v>19</v>
      </c>
      <c r="N6006" s="9" t="s">
        <v>20</v>
      </c>
      <c r="O6006" s="6" t="str">
        <f>HYPERLINK("https://pbs.twimg.com/profile_images/962471262747529216/Uo8lOkRJ_normal.jpg","View")</f>
        <v>View</v>
      </c>
      <c r="P6006" s="7"/>
    </row>
    <row r="6007" spans="1:16">
      <c r="A6007" s="3">
        <v>43974.098599537036</v>
      </c>
      <c r="B6007" s="4" t="str">
        <f>HYPERLINK("https://twitter.com/petrogustavo","@petrogustavo")</f>
        <v>@petrogustavo</v>
      </c>
      <c r="C6007" s="5" t="s">
        <v>16</v>
      </c>
      <c r="D6007" s="5" t="s">
        <v>5839</v>
      </c>
      <c r="E6007" s="6" t="str">
        <f>HYPERLINK("https://twitter.com/petrogustavo/status/1263935664703356928","1263935664703356928")</f>
        <v>1263935664703356928</v>
      </c>
      <c r="F6007" s="7" t="s">
        <v>32</v>
      </c>
      <c r="G6007" s="7">
        <v>3836261</v>
      </c>
      <c r="H6007" s="7">
        <v>2413</v>
      </c>
      <c r="I6007" s="7">
        <v>93</v>
      </c>
      <c r="J6007" s="7">
        <v>265</v>
      </c>
      <c r="K6007" s="7" t="s">
        <v>18</v>
      </c>
      <c r="L6007" s="8">
        <v>39987.315405092595</v>
      </c>
      <c r="M6007" s="9" t="s">
        <v>19</v>
      </c>
      <c r="N6007" s="9" t="s">
        <v>20</v>
      </c>
      <c r="O6007" s="6" t="str">
        <f>HYPERLINK("https://pbs.twimg.com/profile_images/962471262747529216/Uo8lOkRJ_normal.jpg","View")</f>
        <v>View</v>
      </c>
      <c r="P6007" s="7"/>
    </row>
    <row r="6008" spans="1:16">
      <c r="A6008" s="3">
        <v>43974.101747685185</v>
      </c>
      <c r="B6008" s="4" t="str">
        <f>HYPERLINK("https://twitter.com/petrogustavo","@petrogustavo")</f>
        <v>@petrogustavo</v>
      </c>
      <c r="C6008" s="5" t="s">
        <v>16</v>
      </c>
      <c r="D6008" s="5" t="s">
        <v>5840</v>
      </c>
      <c r="E6008" s="6" t="str">
        <f>HYPERLINK("https://twitter.com/petrogustavo/status/1263936803230355458","1263936803230355458")</f>
        <v>1263936803230355458</v>
      </c>
      <c r="F6008" s="7" t="s">
        <v>32</v>
      </c>
      <c r="G6008" s="7">
        <v>3836261</v>
      </c>
      <c r="H6008" s="7">
        <v>2413</v>
      </c>
      <c r="I6008" s="7">
        <v>37</v>
      </c>
      <c r="J6008" s="7">
        <v>96</v>
      </c>
      <c r="K6008" s="7" t="s">
        <v>18</v>
      </c>
      <c r="L6008" s="8">
        <v>39987.315405092595</v>
      </c>
      <c r="M6008" s="9" t="s">
        <v>19</v>
      </c>
      <c r="N6008" s="9" t="s">
        <v>20</v>
      </c>
      <c r="O6008" s="6" t="str">
        <f>HYPERLINK("https://pbs.twimg.com/profile_images/962471262747529216/Uo8lOkRJ_normal.jpg","View")</f>
        <v>View</v>
      </c>
      <c r="P6008" s="7"/>
    </row>
    <row r="6009" spans="1:16">
      <c r="A6009" s="3">
        <v>43974.109444444446</v>
      </c>
      <c r="B6009" s="4" t="str">
        <f>HYPERLINK("https://twitter.com/petrogustavo","@petrogustavo")</f>
        <v>@petrogustavo</v>
      </c>
      <c r="C6009" s="5" t="s">
        <v>16</v>
      </c>
      <c r="D6009" s="5" t="s">
        <v>5841</v>
      </c>
      <c r="E6009" s="6" t="str">
        <f>HYPERLINK("https://twitter.com/petrogustavo/status/1263939592157384704","1263939592157384704")</f>
        <v>1263939592157384704</v>
      </c>
      <c r="F6009" s="7" t="s">
        <v>21</v>
      </c>
      <c r="G6009" s="7">
        <v>3836296</v>
      </c>
      <c r="H6009" s="7">
        <v>2413</v>
      </c>
      <c r="I6009" s="7">
        <v>272</v>
      </c>
      <c r="J6009" s="7">
        <v>603</v>
      </c>
      <c r="K6009" s="7" t="s">
        <v>18</v>
      </c>
      <c r="L6009" s="8">
        <v>39987.315405092595</v>
      </c>
      <c r="M6009" s="9" t="s">
        <v>19</v>
      </c>
      <c r="N6009" s="9" t="s">
        <v>20</v>
      </c>
      <c r="O6009" s="6" t="str">
        <f>HYPERLINK("https://pbs.twimg.com/profile_images/962471262747529216/Uo8lOkRJ_normal.jpg","View")</f>
        <v>View</v>
      </c>
      <c r="P6009" s="7"/>
    </row>
    <row r="6010" spans="1:16">
      <c r="A6010" s="3">
        <v>43974.161006944443</v>
      </c>
      <c r="B6010" s="4" t="str">
        <f>HYPERLINK("https://twitter.com/petrogustavo","@petrogustavo")</f>
        <v>@petrogustavo</v>
      </c>
      <c r="C6010" s="5" t="s">
        <v>16</v>
      </c>
      <c r="D6010" s="5" t="s">
        <v>5842</v>
      </c>
      <c r="E6010" s="6" t="str">
        <f>HYPERLINK("https://twitter.com/petrogustavo/status/1263958280361127943","1263958280361127943")</f>
        <v>1263958280361127943</v>
      </c>
      <c r="F6010" s="7" t="s">
        <v>32</v>
      </c>
      <c r="G6010" s="7">
        <v>3836368</v>
      </c>
      <c r="H6010" s="7">
        <v>2413</v>
      </c>
      <c r="I6010" s="7">
        <v>66</v>
      </c>
      <c r="J6010" s="7">
        <v>137</v>
      </c>
      <c r="K6010" s="7" t="s">
        <v>18</v>
      </c>
      <c r="L6010" s="8">
        <v>39987.315405092595</v>
      </c>
      <c r="M6010" s="9" t="s">
        <v>19</v>
      </c>
      <c r="N6010" s="9" t="s">
        <v>20</v>
      </c>
      <c r="O6010" s="6" t="str">
        <f>HYPERLINK("https://pbs.twimg.com/profile_images/962471262747529216/Uo8lOkRJ_normal.jpg","View")</f>
        <v>View</v>
      </c>
      <c r="P6010" s="7"/>
    </row>
    <row r="6011" spans="1:16">
      <c r="A6011" s="3">
        <v>43974.176863425921</v>
      </c>
      <c r="B6011" s="4" t="str">
        <f>HYPERLINK("https://twitter.com/petrogustavo","@petrogustavo")</f>
        <v>@petrogustavo</v>
      </c>
      <c r="C6011" s="5" t="s">
        <v>16</v>
      </c>
      <c r="D6011" s="5" t="s">
        <v>5843</v>
      </c>
      <c r="E6011" s="6" t="str">
        <f>HYPERLINK("https://twitter.com/petrogustavo/status/1263964023927816192","1263964023927816192")</f>
        <v>1263964023927816192</v>
      </c>
      <c r="F6011" s="7" t="s">
        <v>17</v>
      </c>
      <c r="G6011" s="7">
        <v>3836417</v>
      </c>
      <c r="H6011" s="7">
        <v>2413</v>
      </c>
      <c r="I6011" s="7">
        <v>68</v>
      </c>
      <c r="J6011" s="7">
        <v>120</v>
      </c>
      <c r="K6011" s="7" t="s">
        <v>18</v>
      </c>
      <c r="L6011" s="8">
        <v>39987.315405092595</v>
      </c>
      <c r="M6011" s="9" t="s">
        <v>19</v>
      </c>
      <c r="N6011" s="9" t="s">
        <v>20</v>
      </c>
      <c r="O6011" s="6" t="str">
        <f>HYPERLINK("https://pbs.twimg.com/profile_images/962471262747529216/Uo8lOkRJ_normal.jpg","View")</f>
        <v>View</v>
      </c>
      <c r="P6011" s="7"/>
    </row>
    <row r="6012" spans="1:16">
      <c r="A6012" s="3">
        <v>43974.176979166667</v>
      </c>
      <c r="B6012" s="4" t="str">
        <f>HYPERLINK("https://twitter.com/petrogustavo","@petrogustavo")</f>
        <v>@petrogustavo</v>
      </c>
      <c r="C6012" s="5" t="s">
        <v>16</v>
      </c>
      <c r="D6012" s="5" t="s">
        <v>5844</v>
      </c>
      <c r="E6012" s="6" t="str">
        <f>HYPERLINK("https://twitter.com/petrogustavo/status/1263964066063757313","1263964066063757313")</f>
        <v>1263964066063757313</v>
      </c>
      <c r="F6012" s="7" t="s">
        <v>17</v>
      </c>
      <c r="G6012" s="7">
        <v>3836417</v>
      </c>
      <c r="H6012" s="7">
        <v>2413</v>
      </c>
      <c r="I6012" s="7">
        <v>844</v>
      </c>
      <c r="J6012" s="7">
        <v>0</v>
      </c>
      <c r="K6012" s="7" t="s">
        <v>18</v>
      </c>
      <c r="L6012" s="8">
        <v>39987.315405092595</v>
      </c>
      <c r="M6012" s="9" t="s">
        <v>19</v>
      </c>
      <c r="N6012" s="9" t="s">
        <v>20</v>
      </c>
      <c r="O6012" s="6" t="str">
        <f>HYPERLINK("https://pbs.twimg.com/profile_images/962471262747529216/Uo8lOkRJ_normal.jpg","View")</f>
        <v>View</v>
      </c>
      <c r="P6012" s="7"/>
    </row>
    <row r="6013" spans="1:16">
      <c r="A6013" s="3">
        <v>43974.275740740741</v>
      </c>
      <c r="B6013" s="4" t="str">
        <f>HYPERLINK("https://twitter.com/petrogustavo","@petrogustavo")</f>
        <v>@petrogustavo</v>
      </c>
      <c r="C6013" s="5" t="s">
        <v>16</v>
      </c>
      <c r="D6013" s="5" t="s">
        <v>5845</v>
      </c>
      <c r="E6013" s="6" t="str">
        <f>HYPERLINK("https://twitter.com/petrogustavo/status/1263999858362417152","1263999858362417152")</f>
        <v>1263999858362417152</v>
      </c>
      <c r="F6013" s="7" t="s">
        <v>17</v>
      </c>
      <c r="G6013" s="7">
        <v>3836828</v>
      </c>
      <c r="H6013" s="7">
        <v>2415</v>
      </c>
      <c r="I6013" s="7">
        <v>191</v>
      </c>
      <c r="J6013" s="7">
        <v>524</v>
      </c>
      <c r="K6013" s="7" t="s">
        <v>18</v>
      </c>
      <c r="L6013" s="8">
        <v>39987.315405092595</v>
      </c>
      <c r="M6013" s="9" t="s">
        <v>19</v>
      </c>
      <c r="N6013" s="9" t="s">
        <v>20</v>
      </c>
      <c r="O6013" s="6" t="str">
        <f>HYPERLINK("https://pbs.twimg.com/profile_images/962471262747529216/Uo8lOkRJ_normal.jpg","View")</f>
        <v>View</v>
      </c>
      <c r="P6013" s="7"/>
    </row>
    <row r="6014" spans="1:16">
      <c r="A6014" s="3">
        <v>43974.292256944449</v>
      </c>
      <c r="B6014" s="4" t="str">
        <f>HYPERLINK("https://twitter.com/petrogustavo","@petrogustavo")</f>
        <v>@petrogustavo</v>
      </c>
      <c r="C6014" s="5" t="s">
        <v>16</v>
      </c>
      <c r="D6014" s="5" t="s">
        <v>5846</v>
      </c>
      <c r="E6014" s="6" t="str">
        <f>HYPERLINK("https://twitter.com/petrogustavo/status/1264005841050578945","1264005841050578945")</f>
        <v>1264005841050578945</v>
      </c>
      <c r="F6014" s="7" t="s">
        <v>17</v>
      </c>
      <c r="G6014" s="7">
        <v>3836828</v>
      </c>
      <c r="H6014" s="7">
        <v>2415</v>
      </c>
      <c r="I6014" s="7">
        <v>14</v>
      </c>
      <c r="J6014" s="7">
        <v>65</v>
      </c>
      <c r="K6014" s="7" t="s">
        <v>18</v>
      </c>
      <c r="L6014" s="8">
        <v>39987.315405092595</v>
      </c>
      <c r="M6014" s="9" t="s">
        <v>19</v>
      </c>
      <c r="N6014" s="9" t="s">
        <v>20</v>
      </c>
      <c r="O6014" s="6" t="str">
        <f>HYPERLINK("https://pbs.twimg.com/profile_images/962471262747529216/Uo8lOkRJ_normal.jpg","View")</f>
        <v>View</v>
      </c>
      <c r="P6014" s="7"/>
    </row>
    <row r="6015" spans="1:16">
      <c r="A6015" s="3">
        <v>43974.316030092596</v>
      </c>
      <c r="B6015" s="4" t="str">
        <f>HYPERLINK("https://twitter.com/petrogustavo","@petrogustavo")</f>
        <v>@petrogustavo</v>
      </c>
      <c r="C6015" s="5" t="s">
        <v>16</v>
      </c>
      <c r="D6015" s="5" t="s">
        <v>5847</v>
      </c>
      <c r="E6015" s="6" t="str">
        <f>HYPERLINK("https://twitter.com/petrogustavo/status/1264014456830545920","1264014456830545920")</f>
        <v>1264014456830545920</v>
      </c>
      <c r="F6015" s="7" t="s">
        <v>32</v>
      </c>
      <c r="G6015" s="7">
        <v>3837061</v>
      </c>
      <c r="H6015" s="7">
        <v>2414</v>
      </c>
      <c r="I6015" s="7">
        <v>351</v>
      </c>
      <c r="J6015" s="7">
        <v>0</v>
      </c>
      <c r="K6015" s="7" t="s">
        <v>18</v>
      </c>
      <c r="L6015" s="8">
        <v>39987.315405092595</v>
      </c>
      <c r="M6015" s="9" t="s">
        <v>19</v>
      </c>
      <c r="N6015" s="9" t="s">
        <v>20</v>
      </c>
      <c r="O6015" s="6" t="str">
        <f>HYPERLINK("https://pbs.twimg.com/profile_images/962471262747529216/Uo8lOkRJ_normal.jpg","View")</f>
        <v>View</v>
      </c>
      <c r="P6015" s="7"/>
    </row>
    <row r="6016" spans="1:16">
      <c r="A6016" s="3">
        <v>43974.320902777778</v>
      </c>
      <c r="B6016" s="4" t="str">
        <f>HYPERLINK("https://twitter.com/petrogustavo","@petrogustavo")</f>
        <v>@petrogustavo</v>
      </c>
      <c r="C6016" s="5" t="s">
        <v>16</v>
      </c>
      <c r="D6016" s="5" t="s">
        <v>5848</v>
      </c>
      <c r="E6016" s="6" t="str">
        <f>HYPERLINK("https://twitter.com/petrogustavo/status/1264016224968675330","1264016224968675330")</f>
        <v>1264016224968675330</v>
      </c>
      <c r="F6016" s="7" t="s">
        <v>32</v>
      </c>
      <c r="G6016" s="7">
        <v>3837061</v>
      </c>
      <c r="H6016" s="7">
        <v>2414</v>
      </c>
      <c r="I6016" s="7">
        <v>753</v>
      </c>
      <c r="J6016" s="7">
        <v>2485</v>
      </c>
      <c r="K6016" s="7" t="s">
        <v>18</v>
      </c>
      <c r="L6016" s="8">
        <v>39987.315405092595</v>
      </c>
      <c r="M6016" s="9" t="s">
        <v>19</v>
      </c>
      <c r="N6016" s="9" t="s">
        <v>20</v>
      </c>
      <c r="O6016" s="6" t="str">
        <f>HYPERLINK("https://pbs.twimg.com/profile_images/962471262747529216/Uo8lOkRJ_normal.jpg","View")</f>
        <v>View</v>
      </c>
      <c r="P6016" s="7"/>
    </row>
    <row r="6017" spans="1:16">
      <c r="A6017" s="3">
        <v>43974.334108796298</v>
      </c>
      <c r="B6017" s="4" t="str">
        <f>HYPERLINK("https://twitter.com/petrogustavo","@petrogustavo")</f>
        <v>@petrogustavo</v>
      </c>
      <c r="C6017" s="5" t="s">
        <v>16</v>
      </c>
      <c r="D6017" s="5" t="s">
        <v>5849</v>
      </c>
      <c r="E6017" s="6" t="str">
        <f>HYPERLINK("https://twitter.com/petrogustavo/status/1264021007196545029","1264021007196545029")</f>
        <v>1264021007196545029</v>
      </c>
      <c r="F6017" s="7" t="s">
        <v>17</v>
      </c>
      <c r="G6017" s="7">
        <v>3837061</v>
      </c>
      <c r="H6017" s="7">
        <v>2414</v>
      </c>
      <c r="I6017" s="7">
        <v>38</v>
      </c>
      <c r="J6017" s="7">
        <v>91</v>
      </c>
      <c r="K6017" s="7" t="s">
        <v>18</v>
      </c>
      <c r="L6017" s="8">
        <v>39987.315405092595</v>
      </c>
      <c r="M6017" s="9" t="s">
        <v>19</v>
      </c>
      <c r="N6017" s="9" t="s">
        <v>20</v>
      </c>
      <c r="O6017" s="6" t="str">
        <f>HYPERLINK("https://pbs.twimg.com/profile_images/962471262747529216/Uo8lOkRJ_normal.jpg","View")</f>
        <v>View</v>
      </c>
      <c r="P6017" s="7"/>
    </row>
    <row r="6018" spans="1:16">
      <c r="A6018" s="3">
        <v>43974.731041666666</v>
      </c>
      <c r="B6018" s="4" t="str">
        <f>HYPERLINK("https://twitter.com/petrogustavo","@petrogustavo")</f>
        <v>@petrogustavo</v>
      </c>
      <c r="C6018" s="5" t="s">
        <v>16</v>
      </c>
      <c r="D6018" s="5" t="s">
        <v>5850</v>
      </c>
      <c r="E6018" s="6" t="str">
        <f>HYPERLINK("https://twitter.com/petrogustavo/status/1264164850604937216","1264164850604937216")</f>
        <v>1264164850604937216</v>
      </c>
      <c r="F6018" s="7" t="s">
        <v>17</v>
      </c>
      <c r="G6018" s="7">
        <v>3837729</v>
      </c>
      <c r="H6018" s="7">
        <v>2414</v>
      </c>
      <c r="I6018" s="7">
        <v>383</v>
      </c>
      <c r="J6018" s="7">
        <v>1313</v>
      </c>
      <c r="K6018" s="7" t="s">
        <v>18</v>
      </c>
      <c r="L6018" s="8">
        <v>39987.315405092595</v>
      </c>
      <c r="M6018" s="9" t="s">
        <v>19</v>
      </c>
      <c r="N6018" s="9" t="s">
        <v>20</v>
      </c>
      <c r="O6018" s="6" t="str">
        <f>HYPERLINK("https://pbs.twimg.com/profile_images/962471262747529216/Uo8lOkRJ_normal.jpg","View")</f>
        <v>View</v>
      </c>
      <c r="P6018" s="7"/>
    </row>
    <row r="6019" spans="1:16">
      <c r="A6019" s="3">
        <v>43974.754050925927</v>
      </c>
      <c r="B6019" s="4" t="str">
        <f>HYPERLINK("https://twitter.com/petrogustavo","@petrogustavo")</f>
        <v>@petrogustavo</v>
      </c>
      <c r="C6019" s="5" t="s">
        <v>16</v>
      </c>
      <c r="D6019" s="5" t="s">
        <v>5851</v>
      </c>
      <c r="E6019" s="6" t="str">
        <f>HYPERLINK("https://twitter.com/petrogustavo/status/1264173189585948672","1264173189585948672")</f>
        <v>1264173189585948672</v>
      </c>
      <c r="F6019" s="7" t="s">
        <v>17</v>
      </c>
      <c r="G6019" s="7">
        <v>3837780</v>
      </c>
      <c r="H6019" s="7">
        <v>2414</v>
      </c>
      <c r="I6019" s="7">
        <v>83</v>
      </c>
      <c r="J6019" s="7">
        <v>163</v>
      </c>
      <c r="K6019" s="7" t="s">
        <v>18</v>
      </c>
      <c r="L6019" s="8">
        <v>39987.315405092595</v>
      </c>
      <c r="M6019" s="9" t="s">
        <v>19</v>
      </c>
      <c r="N6019" s="9" t="s">
        <v>20</v>
      </c>
      <c r="O6019" s="6" t="str">
        <f>HYPERLINK("https://pbs.twimg.com/profile_images/962471262747529216/Uo8lOkRJ_normal.jpg","View")</f>
        <v>View</v>
      </c>
      <c r="P6019" s="7"/>
    </row>
    <row r="6020" spans="1:16">
      <c r="A6020" s="3">
        <v>43974.770127314812</v>
      </c>
      <c r="B6020" s="4" t="str">
        <f>HYPERLINK("https://twitter.com/petrogustavo","@petrogustavo")</f>
        <v>@petrogustavo</v>
      </c>
      <c r="C6020" s="5" t="s">
        <v>16</v>
      </c>
      <c r="D6020" s="5" t="s">
        <v>5852</v>
      </c>
      <c r="E6020" s="6" t="str">
        <f>HYPERLINK("https://twitter.com/petrogustavo/status/1264179016350793729","1264179016350793729")</f>
        <v>1264179016350793729</v>
      </c>
      <c r="F6020" s="7" t="s">
        <v>17</v>
      </c>
      <c r="G6020" s="7">
        <v>3837780</v>
      </c>
      <c r="H6020" s="7">
        <v>2414</v>
      </c>
      <c r="I6020" s="7">
        <v>37</v>
      </c>
      <c r="J6020" s="7">
        <v>94</v>
      </c>
      <c r="K6020" s="7" t="s">
        <v>18</v>
      </c>
      <c r="L6020" s="8">
        <v>39987.315405092595</v>
      </c>
      <c r="M6020" s="9" t="s">
        <v>19</v>
      </c>
      <c r="N6020" s="9" t="s">
        <v>20</v>
      </c>
      <c r="O6020" s="6" t="str">
        <f>HYPERLINK("https://pbs.twimg.com/profile_images/962471262747529216/Uo8lOkRJ_normal.jpg","View")</f>
        <v>View</v>
      </c>
      <c r="P6020" s="7"/>
    </row>
    <row r="6021" spans="1:16">
      <c r="A6021" s="3">
        <v>43974.773854166662</v>
      </c>
      <c r="B6021" s="4" t="str">
        <f>HYPERLINK("https://twitter.com/petrogustavo","@petrogustavo")</f>
        <v>@petrogustavo</v>
      </c>
      <c r="C6021" s="5" t="s">
        <v>16</v>
      </c>
      <c r="D6021" s="5" t="s">
        <v>5853</v>
      </c>
      <c r="E6021" s="6" t="str">
        <f>HYPERLINK("https://twitter.com/petrogustavo/status/1264180365763194881","1264180365763194881")</f>
        <v>1264180365763194881</v>
      </c>
      <c r="F6021" s="7" t="s">
        <v>17</v>
      </c>
      <c r="G6021" s="7">
        <v>3837817</v>
      </c>
      <c r="H6021" s="7">
        <v>2414</v>
      </c>
      <c r="I6021" s="7">
        <v>126</v>
      </c>
      <c r="J6021" s="7">
        <v>178</v>
      </c>
      <c r="K6021" s="7" t="s">
        <v>18</v>
      </c>
      <c r="L6021" s="8">
        <v>39987.315405092595</v>
      </c>
      <c r="M6021" s="9" t="s">
        <v>19</v>
      </c>
      <c r="N6021" s="9" t="s">
        <v>20</v>
      </c>
      <c r="O6021" s="6" t="str">
        <f>HYPERLINK("https://pbs.twimg.com/profile_images/962471262747529216/Uo8lOkRJ_normal.jpg","View")</f>
        <v>View</v>
      </c>
      <c r="P6021" s="7"/>
    </row>
    <row r="6022" spans="1:16">
      <c r="A6022" s="3">
        <v>43974.777974537035</v>
      </c>
      <c r="B6022" s="4" t="str">
        <f>HYPERLINK("https://twitter.com/petrogustavo","@petrogustavo")</f>
        <v>@petrogustavo</v>
      </c>
      <c r="C6022" s="5" t="s">
        <v>16</v>
      </c>
      <c r="D6022" s="5" t="s">
        <v>5854</v>
      </c>
      <c r="E6022" s="6" t="str">
        <f>HYPERLINK("https://twitter.com/petrogustavo/status/1264181860030205953","1264181860030205953")</f>
        <v>1264181860030205953</v>
      </c>
      <c r="F6022" s="7" t="s">
        <v>17</v>
      </c>
      <c r="G6022" s="7">
        <v>3837817</v>
      </c>
      <c r="H6022" s="7">
        <v>2414</v>
      </c>
      <c r="I6022" s="7">
        <v>1009</v>
      </c>
      <c r="J6022" s="7">
        <v>0</v>
      </c>
      <c r="K6022" s="7" t="s">
        <v>18</v>
      </c>
      <c r="L6022" s="8">
        <v>39987.315405092595</v>
      </c>
      <c r="M6022" s="9" t="s">
        <v>19</v>
      </c>
      <c r="N6022" s="9" t="s">
        <v>20</v>
      </c>
      <c r="O6022" s="6" t="str">
        <f>HYPERLINK("https://pbs.twimg.com/profile_images/962471262747529216/Uo8lOkRJ_normal.jpg","View")</f>
        <v>View</v>
      </c>
      <c r="P6022" s="7"/>
    </row>
    <row r="6023" spans="1:16">
      <c r="A6023" s="3">
        <v>43974.827407407407</v>
      </c>
      <c r="B6023" s="4" t="str">
        <f>HYPERLINK("https://twitter.com/petrogustavo","@petrogustavo")</f>
        <v>@petrogustavo</v>
      </c>
      <c r="C6023" s="5" t="s">
        <v>16</v>
      </c>
      <c r="D6023" s="5" t="s">
        <v>5855</v>
      </c>
      <c r="E6023" s="6" t="str">
        <f>HYPERLINK("https://twitter.com/petrogustavo/status/1264199772782637056","1264199772782637056")</f>
        <v>1264199772782637056</v>
      </c>
      <c r="F6023" s="7" t="s">
        <v>17</v>
      </c>
      <c r="G6023" s="7">
        <v>3837913</v>
      </c>
      <c r="H6023" s="7">
        <v>2414</v>
      </c>
      <c r="I6023" s="7">
        <v>79</v>
      </c>
      <c r="J6023" s="7">
        <v>273</v>
      </c>
      <c r="K6023" s="7" t="s">
        <v>18</v>
      </c>
      <c r="L6023" s="8">
        <v>39987.315405092595</v>
      </c>
      <c r="M6023" s="9" t="s">
        <v>19</v>
      </c>
      <c r="N6023" s="9" t="s">
        <v>20</v>
      </c>
      <c r="O6023" s="6" t="str">
        <f>HYPERLINK("https://pbs.twimg.com/profile_images/962471262747529216/Uo8lOkRJ_normal.jpg","View")</f>
        <v>View</v>
      </c>
      <c r="P6023" s="7"/>
    </row>
    <row r="6024" spans="1:16">
      <c r="A6024" s="3">
        <v>43974.897546296299</v>
      </c>
      <c r="B6024" s="4" t="str">
        <f>HYPERLINK("https://twitter.com/petrogustavo","@petrogustavo")</f>
        <v>@petrogustavo</v>
      </c>
      <c r="C6024" s="5" t="s">
        <v>16</v>
      </c>
      <c r="D6024" s="5" t="s">
        <v>5856</v>
      </c>
      <c r="E6024" s="6" t="str">
        <f>HYPERLINK("https://twitter.com/petrogustavo/status/1264225191598731264","1264225191598731264")</f>
        <v>1264225191598731264</v>
      </c>
      <c r="F6024" s="7" t="s">
        <v>17</v>
      </c>
      <c r="G6024" s="7">
        <v>3838107</v>
      </c>
      <c r="H6024" s="7">
        <v>2414</v>
      </c>
      <c r="I6024" s="7">
        <v>1</v>
      </c>
      <c r="J6024" s="7">
        <v>6</v>
      </c>
      <c r="K6024" s="7" t="s">
        <v>18</v>
      </c>
      <c r="L6024" s="8">
        <v>39987.315405092595</v>
      </c>
      <c r="M6024" s="9" t="s">
        <v>19</v>
      </c>
      <c r="N6024" s="9" t="s">
        <v>20</v>
      </c>
      <c r="O6024" s="6" t="str">
        <f>HYPERLINK("https://pbs.twimg.com/profile_images/962471262747529216/Uo8lOkRJ_normal.jpg","View")</f>
        <v>View</v>
      </c>
      <c r="P6024" s="7"/>
    </row>
    <row r="6025" spans="1:16">
      <c r="A6025" s="3">
        <v>43974.903981481482</v>
      </c>
      <c r="B6025" s="4" t="str">
        <f>HYPERLINK("https://twitter.com/petrogustavo","@petrogustavo")</f>
        <v>@petrogustavo</v>
      </c>
      <c r="C6025" s="5" t="s">
        <v>16</v>
      </c>
      <c r="D6025" s="5" t="s">
        <v>5857</v>
      </c>
      <c r="E6025" s="6" t="str">
        <f>HYPERLINK("https://twitter.com/petrogustavo/status/1264227524785115137","1264227524785115137")</f>
        <v>1264227524785115137</v>
      </c>
      <c r="F6025" s="7" t="s">
        <v>17</v>
      </c>
      <c r="G6025" s="7">
        <v>3838148</v>
      </c>
      <c r="H6025" s="7">
        <v>2414</v>
      </c>
      <c r="I6025" s="7">
        <v>52</v>
      </c>
      <c r="J6025" s="7">
        <v>191</v>
      </c>
      <c r="K6025" s="7" t="s">
        <v>18</v>
      </c>
      <c r="L6025" s="8">
        <v>39987.315405092595</v>
      </c>
      <c r="M6025" s="9" t="s">
        <v>19</v>
      </c>
      <c r="N6025" s="9" t="s">
        <v>20</v>
      </c>
      <c r="O6025" s="6" t="str">
        <f>HYPERLINK("https://pbs.twimg.com/profile_images/962471262747529216/Uo8lOkRJ_normal.jpg","View")</f>
        <v>View</v>
      </c>
      <c r="P6025" s="7"/>
    </row>
    <row r="6026" spans="1:16">
      <c r="A6026" s="3">
        <v>43974.905706018515</v>
      </c>
      <c r="B6026" s="4" t="str">
        <f>HYPERLINK("https://twitter.com/petrogustavo","@petrogustavo")</f>
        <v>@petrogustavo</v>
      </c>
      <c r="C6026" s="5" t="s">
        <v>16</v>
      </c>
      <c r="D6026" s="5" t="s">
        <v>5844</v>
      </c>
      <c r="E6026" s="6" t="str">
        <f>HYPERLINK("https://twitter.com/petrogustavo/status/1264228147853242372","1264228147853242372")</f>
        <v>1264228147853242372</v>
      </c>
      <c r="F6026" s="7" t="s">
        <v>17</v>
      </c>
      <c r="G6026" s="7">
        <v>3838148</v>
      </c>
      <c r="H6026" s="7">
        <v>2414</v>
      </c>
      <c r="I6026" s="7">
        <v>6157</v>
      </c>
      <c r="J6026" s="7">
        <v>0</v>
      </c>
      <c r="K6026" s="7" t="s">
        <v>18</v>
      </c>
      <c r="L6026" s="8">
        <v>39987.315405092595</v>
      </c>
      <c r="M6026" s="9" t="s">
        <v>19</v>
      </c>
      <c r="N6026" s="9" t="s">
        <v>20</v>
      </c>
      <c r="O6026" s="6" t="str">
        <f>HYPERLINK("https://pbs.twimg.com/profile_images/962471262747529216/Uo8lOkRJ_normal.jpg","View")</f>
        <v>View</v>
      </c>
      <c r="P6026" s="7"/>
    </row>
    <row r="6027" spans="1:16">
      <c r="A6027" s="3">
        <v>43975.089953703704</v>
      </c>
      <c r="B6027" s="4" t="str">
        <f>HYPERLINK("https://twitter.com/petrogustavo","@petrogustavo")</f>
        <v>@petrogustavo</v>
      </c>
      <c r="C6027" s="5" t="s">
        <v>16</v>
      </c>
      <c r="D6027" s="5" t="s">
        <v>5858</v>
      </c>
      <c r="E6027" s="6" t="str">
        <f>HYPERLINK("https://twitter.com/petrogustavo/status/1264294917196709894","1264294917196709894")</f>
        <v>1264294917196709894</v>
      </c>
      <c r="F6027" s="7" t="s">
        <v>17</v>
      </c>
      <c r="G6027" s="7">
        <v>3838561</v>
      </c>
      <c r="H6027" s="7">
        <v>2414</v>
      </c>
      <c r="I6027" s="7">
        <v>70</v>
      </c>
      <c r="J6027" s="7">
        <v>194</v>
      </c>
      <c r="K6027" s="7" t="s">
        <v>18</v>
      </c>
      <c r="L6027" s="8">
        <v>39987.315405092595</v>
      </c>
      <c r="M6027" s="9" t="s">
        <v>19</v>
      </c>
      <c r="N6027" s="9" t="s">
        <v>20</v>
      </c>
      <c r="O6027" s="6" t="str">
        <f>HYPERLINK("https://pbs.twimg.com/profile_images/962471262747529216/Uo8lOkRJ_normal.jpg","View")</f>
        <v>View</v>
      </c>
      <c r="P6027" s="7"/>
    </row>
    <row r="6028" spans="1:16">
      <c r="A6028" s="3">
        <v>43975.113356481481</v>
      </c>
      <c r="B6028" s="4" t="str">
        <f>HYPERLINK("https://twitter.com/petrogustavo","@petrogustavo")</f>
        <v>@petrogustavo</v>
      </c>
      <c r="C6028" s="5" t="s">
        <v>16</v>
      </c>
      <c r="D6028" s="5" t="s">
        <v>5859</v>
      </c>
      <c r="E6028" s="6" t="str">
        <f>HYPERLINK("https://twitter.com/petrogustavo/status/1264303397345337344","1264303397345337344")</f>
        <v>1264303397345337344</v>
      </c>
      <c r="F6028" s="7" t="s">
        <v>17</v>
      </c>
      <c r="G6028" s="7">
        <v>3838602</v>
      </c>
      <c r="H6028" s="7">
        <v>2414</v>
      </c>
      <c r="I6028" s="7">
        <v>28</v>
      </c>
      <c r="J6028" s="7">
        <v>0</v>
      </c>
      <c r="K6028" s="7" t="s">
        <v>18</v>
      </c>
      <c r="L6028" s="8">
        <v>39987.315405092595</v>
      </c>
      <c r="M6028" s="9" t="s">
        <v>19</v>
      </c>
      <c r="N6028" s="9" t="s">
        <v>20</v>
      </c>
      <c r="O6028" s="6" t="str">
        <f>HYPERLINK("https://pbs.twimg.com/profile_images/962471262747529216/Uo8lOkRJ_normal.jpg","View")</f>
        <v>View</v>
      </c>
      <c r="P6028" s="7"/>
    </row>
    <row r="6029" spans="1:16">
      <c r="A6029" s="3">
        <v>43975.117418981477</v>
      </c>
      <c r="B6029" s="4" t="str">
        <f>HYPERLINK("https://twitter.com/petrogustavo","@petrogustavo")</f>
        <v>@petrogustavo</v>
      </c>
      <c r="C6029" s="5" t="s">
        <v>16</v>
      </c>
      <c r="D6029" s="5" t="s">
        <v>5860</v>
      </c>
      <c r="E6029" s="6" t="str">
        <f>HYPERLINK("https://twitter.com/petrogustavo/status/1264304871093698561","1264304871093698561")</f>
        <v>1264304871093698561</v>
      </c>
      <c r="F6029" s="7" t="s">
        <v>17</v>
      </c>
      <c r="G6029" s="7">
        <v>3838602</v>
      </c>
      <c r="H6029" s="7">
        <v>2414</v>
      </c>
      <c r="I6029" s="7">
        <v>110</v>
      </c>
      <c r="J6029" s="7">
        <v>0</v>
      </c>
      <c r="K6029" s="7" t="s">
        <v>18</v>
      </c>
      <c r="L6029" s="8">
        <v>39987.315405092595</v>
      </c>
      <c r="M6029" s="9" t="s">
        <v>19</v>
      </c>
      <c r="N6029" s="9" t="s">
        <v>20</v>
      </c>
      <c r="O6029" s="6" t="str">
        <f>HYPERLINK("https://pbs.twimg.com/profile_images/962471262747529216/Uo8lOkRJ_normal.jpg","View")</f>
        <v>View</v>
      </c>
      <c r="P6029" s="7"/>
    </row>
    <row r="6030" spans="1:16">
      <c r="A6030" s="3">
        <v>43975.126747685186</v>
      </c>
      <c r="B6030" s="4" t="str">
        <f>HYPERLINK("https://twitter.com/petrogustavo","@petrogustavo")</f>
        <v>@petrogustavo</v>
      </c>
      <c r="C6030" s="5" t="s">
        <v>16</v>
      </c>
      <c r="D6030" s="5" t="s">
        <v>5861</v>
      </c>
      <c r="E6030" s="6" t="str">
        <f>HYPERLINK("https://twitter.com/petrogustavo/status/1264308252059340800","1264308252059340800")</f>
        <v>1264308252059340800</v>
      </c>
      <c r="F6030" s="7" t="s">
        <v>17</v>
      </c>
      <c r="G6030" s="7">
        <v>3838602</v>
      </c>
      <c r="H6030" s="7">
        <v>2414</v>
      </c>
      <c r="I6030" s="7">
        <v>7</v>
      </c>
      <c r="J6030" s="7">
        <v>19</v>
      </c>
      <c r="K6030" s="7" t="s">
        <v>18</v>
      </c>
      <c r="L6030" s="8">
        <v>39987.315405092595</v>
      </c>
      <c r="M6030" s="9" t="s">
        <v>19</v>
      </c>
      <c r="N6030" s="9" t="s">
        <v>20</v>
      </c>
      <c r="O6030" s="6" t="str">
        <f>HYPERLINK("https://pbs.twimg.com/profile_images/962471262747529216/Uo8lOkRJ_normal.jpg","View")</f>
        <v>View</v>
      </c>
      <c r="P6030" s="7"/>
    </row>
    <row r="6031" spans="1:16">
      <c r="A6031" s="3">
        <v>43975.129108796296</v>
      </c>
      <c r="B6031" s="4" t="str">
        <f>HYPERLINK("https://twitter.com/petrogustavo","@petrogustavo")</f>
        <v>@petrogustavo</v>
      </c>
      <c r="C6031" s="5" t="s">
        <v>16</v>
      </c>
      <c r="D6031" s="5" t="s">
        <v>5862</v>
      </c>
      <c r="E6031" s="6" t="str">
        <f>HYPERLINK("https://twitter.com/petrogustavo/status/1264309108796243968","1264309108796243968")</f>
        <v>1264309108796243968</v>
      </c>
      <c r="F6031" s="7" t="s">
        <v>17</v>
      </c>
      <c r="G6031" s="7">
        <v>3838636</v>
      </c>
      <c r="H6031" s="7">
        <v>2414</v>
      </c>
      <c r="I6031" s="7">
        <v>1656</v>
      </c>
      <c r="J6031" s="7">
        <v>0</v>
      </c>
      <c r="K6031" s="7" t="s">
        <v>18</v>
      </c>
      <c r="L6031" s="8">
        <v>39987.315405092595</v>
      </c>
      <c r="M6031" s="9" t="s">
        <v>19</v>
      </c>
      <c r="N6031" s="9" t="s">
        <v>20</v>
      </c>
      <c r="O6031" s="6" t="str">
        <f>HYPERLINK("https://pbs.twimg.com/profile_images/962471262747529216/Uo8lOkRJ_normal.jpg","View")</f>
        <v>View</v>
      </c>
      <c r="P6031" s="7"/>
    </row>
    <row r="6032" spans="1:16">
      <c r="A6032" s="3">
        <v>43975.137858796297</v>
      </c>
      <c r="B6032" s="4" t="str">
        <f>HYPERLINK("https://twitter.com/petrogustavo","@petrogustavo")</f>
        <v>@petrogustavo</v>
      </c>
      <c r="C6032" s="5" t="s">
        <v>16</v>
      </c>
      <c r="D6032" s="5" t="s">
        <v>5860</v>
      </c>
      <c r="E6032" s="6" t="str">
        <f>HYPERLINK("https://twitter.com/petrogustavo/status/1264312277567668228","1264312277567668228")</f>
        <v>1264312277567668228</v>
      </c>
      <c r="F6032" s="7" t="s">
        <v>17</v>
      </c>
      <c r="G6032" s="7">
        <v>3838636</v>
      </c>
      <c r="H6032" s="7">
        <v>2414</v>
      </c>
      <c r="I6032" s="7">
        <v>138</v>
      </c>
      <c r="J6032" s="7">
        <v>0</v>
      </c>
      <c r="K6032" s="7" t="s">
        <v>18</v>
      </c>
      <c r="L6032" s="8">
        <v>39987.315405092595</v>
      </c>
      <c r="M6032" s="9" t="s">
        <v>19</v>
      </c>
      <c r="N6032" s="9" t="s">
        <v>20</v>
      </c>
      <c r="O6032" s="6" t="str">
        <f>HYPERLINK("https://pbs.twimg.com/profile_images/962471262747529216/Uo8lOkRJ_normal.jpg","View")</f>
        <v>View</v>
      </c>
      <c r="P6032" s="7"/>
    </row>
    <row r="6033" spans="1:16">
      <c r="A6033" s="3">
        <v>43975.141168981485</v>
      </c>
      <c r="B6033" s="4" t="str">
        <f>HYPERLINK("https://twitter.com/petrogustavo","@petrogustavo")</f>
        <v>@petrogustavo</v>
      </c>
      <c r="C6033" s="5" t="s">
        <v>16</v>
      </c>
      <c r="D6033" s="5" t="s">
        <v>5863</v>
      </c>
      <c r="E6033" s="6" t="str">
        <f>HYPERLINK("https://twitter.com/petrogustavo/status/1264313478690603014","1264313478690603014")</f>
        <v>1264313478690603014</v>
      </c>
      <c r="F6033" s="7" t="s">
        <v>17</v>
      </c>
      <c r="G6033" s="7">
        <v>3838636</v>
      </c>
      <c r="H6033" s="7">
        <v>2414</v>
      </c>
      <c r="I6033" s="7">
        <v>38</v>
      </c>
      <c r="J6033" s="7">
        <v>111</v>
      </c>
      <c r="K6033" s="7" t="s">
        <v>18</v>
      </c>
      <c r="L6033" s="8">
        <v>39987.315405092595</v>
      </c>
      <c r="M6033" s="9" t="s">
        <v>19</v>
      </c>
      <c r="N6033" s="9" t="s">
        <v>20</v>
      </c>
      <c r="O6033" s="6" t="str">
        <f>HYPERLINK("https://pbs.twimg.com/profile_images/962471262747529216/Uo8lOkRJ_normal.jpg","View")</f>
        <v>View</v>
      </c>
      <c r="P6033" s="7"/>
    </row>
    <row r="6034" spans="1:16">
      <c r="A6034" s="3">
        <v>43975.206990740742</v>
      </c>
      <c r="B6034" s="4" t="str">
        <f>HYPERLINK("https://twitter.com/petrogustavo","@petrogustavo")</f>
        <v>@petrogustavo</v>
      </c>
      <c r="C6034" s="5" t="s">
        <v>16</v>
      </c>
      <c r="D6034" s="5" t="s">
        <v>5864</v>
      </c>
      <c r="E6034" s="6" t="str">
        <f>HYPERLINK("https://twitter.com/petrogustavo/status/1264337329520545792","1264337329520545792")</f>
        <v>1264337329520545792</v>
      </c>
      <c r="F6034" s="7" t="s">
        <v>17</v>
      </c>
      <c r="G6034" s="7">
        <v>3838742</v>
      </c>
      <c r="H6034" s="7">
        <v>2414</v>
      </c>
      <c r="I6034" s="7">
        <v>15</v>
      </c>
      <c r="J6034" s="7">
        <v>59</v>
      </c>
      <c r="K6034" s="7" t="s">
        <v>18</v>
      </c>
      <c r="L6034" s="8">
        <v>39987.315405092595</v>
      </c>
      <c r="M6034" s="9" t="s">
        <v>19</v>
      </c>
      <c r="N6034" s="9" t="s">
        <v>20</v>
      </c>
      <c r="O6034" s="6" t="str">
        <f>HYPERLINK("https://pbs.twimg.com/profile_images/962471262747529216/Uo8lOkRJ_normal.jpg","View")</f>
        <v>View</v>
      </c>
      <c r="P6034" s="7"/>
    </row>
    <row r="6035" spans="1:16">
      <c r="A6035" s="3">
        <v>43975.243275462963</v>
      </c>
      <c r="B6035" s="4" t="str">
        <f>HYPERLINK("https://twitter.com/petrogustavo","@petrogustavo")</f>
        <v>@petrogustavo</v>
      </c>
      <c r="C6035" s="5" t="s">
        <v>16</v>
      </c>
      <c r="D6035" s="5" t="s">
        <v>5865</v>
      </c>
      <c r="E6035" s="6" t="str">
        <f>HYPERLINK("https://twitter.com/petrogustavo/status/1264350480857260034","1264350480857260034")</f>
        <v>1264350480857260034</v>
      </c>
      <c r="F6035" s="7" t="s">
        <v>17</v>
      </c>
      <c r="G6035" s="7">
        <v>3838830</v>
      </c>
      <c r="H6035" s="7">
        <v>2414</v>
      </c>
      <c r="I6035" s="7">
        <v>30</v>
      </c>
      <c r="J6035" s="7">
        <v>69</v>
      </c>
      <c r="K6035" s="7" t="s">
        <v>18</v>
      </c>
      <c r="L6035" s="8">
        <v>39987.315405092595</v>
      </c>
      <c r="M6035" s="9" t="s">
        <v>19</v>
      </c>
      <c r="N6035" s="9" t="s">
        <v>20</v>
      </c>
      <c r="O6035" s="6" t="str">
        <f>HYPERLINK("https://pbs.twimg.com/profile_images/962471262747529216/Uo8lOkRJ_normal.jpg","View")</f>
        <v>View</v>
      </c>
      <c r="P6035" s="7"/>
    </row>
    <row r="6036" spans="1:16">
      <c r="A6036" s="3">
        <v>43975.249490740738</v>
      </c>
      <c r="B6036" s="4" t="str">
        <f>HYPERLINK("https://twitter.com/petrogustavo","@petrogustavo")</f>
        <v>@petrogustavo</v>
      </c>
      <c r="C6036" s="5" t="s">
        <v>16</v>
      </c>
      <c r="D6036" s="5" t="s">
        <v>5866</v>
      </c>
      <c r="E6036" s="6" t="str">
        <f>HYPERLINK("https://twitter.com/petrogustavo/status/1264352733185925121","1264352733185925121")</f>
        <v>1264352733185925121</v>
      </c>
      <c r="F6036" s="7" t="s">
        <v>17</v>
      </c>
      <c r="G6036" s="7">
        <v>3838830</v>
      </c>
      <c r="H6036" s="7">
        <v>2414</v>
      </c>
      <c r="I6036" s="7">
        <v>21</v>
      </c>
      <c r="J6036" s="7">
        <v>62</v>
      </c>
      <c r="K6036" s="7" t="s">
        <v>18</v>
      </c>
      <c r="L6036" s="8">
        <v>39987.315405092595</v>
      </c>
      <c r="M6036" s="9" t="s">
        <v>19</v>
      </c>
      <c r="N6036" s="9" t="s">
        <v>20</v>
      </c>
      <c r="O6036" s="6" t="str">
        <f>HYPERLINK("https://pbs.twimg.com/profile_images/962471262747529216/Uo8lOkRJ_normal.jpg","View")</f>
        <v>View</v>
      </c>
      <c r="P6036" s="7"/>
    </row>
    <row r="6037" spans="1:16">
      <c r="A6037" s="3">
        <v>43975.264293981483</v>
      </c>
      <c r="B6037" s="4" t="str">
        <f>HYPERLINK("https://twitter.com/petrogustavo","@petrogustavo")</f>
        <v>@petrogustavo</v>
      </c>
      <c r="C6037" s="5" t="s">
        <v>16</v>
      </c>
      <c r="D6037" s="5" t="s">
        <v>5867</v>
      </c>
      <c r="E6037" s="6" t="str">
        <f>HYPERLINK("https://twitter.com/petrogustavo/status/1264358096513708041","1264358096513708041")</f>
        <v>1264358096513708041</v>
      </c>
      <c r="F6037" s="7" t="s">
        <v>17</v>
      </c>
      <c r="G6037" s="7">
        <v>3838874</v>
      </c>
      <c r="H6037" s="7">
        <v>2414</v>
      </c>
      <c r="I6037" s="7">
        <v>51</v>
      </c>
      <c r="J6037" s="7">
        <v>113</v>
      </c>
      <c r="K6037" s="7" t="s">
        <v>18</v>
      </c>
      <c r="L6037" s="8">
        <v>39987.315405092595</v>
      </c>
      <c r="M6037" s="9" t="s">
        <v>19</v>
      </c>
      <c r="N6037" s="9" t="s">
        <v>20</v>
      </c>
      <c r="O6037" s="6" t="str">
        <f>HYPERLINK("https://pbs.twimg.com/profile_images/962471262747529216/Uo8lOkRJ_normal.jpg","View")</f>
        <v>View</v>
      </c>
      <c r="P6037" s="7"/>
    </row>
    <row r="6038" spans="1:16">
      <c r="A6038" s="3">
        <v>43975.723252314812</v>
      </c>
      <c r="B6038" s="4" t="str">
        <f>HYPERLINK("https://twitter.com/petrogustavo","@petrogustavo")</f>
        <v>@petrogustavo</v>
      </c>
      <c r="C6038" s="5" t="s">
        <v>16</v>
      </c>
      <c r="D6038" s="5" t="s">
        <v>5868</v>
      </c>
      <c r="E6038" s="6" t="str">
        <f>HYPERLINK("https://twitter.com/petrogustavo/status/1264524416353996800","1264524416353996800")</f>
        <v>1264524416353996800</v>
      </c>
      <c r="F6038" s="7" t="s">
        <v>17</v>
      </c>
      <c r="G6038" s="7">
        <v>3839263</v>
      </c>
      <c r="H6038" s="7">
        <v>2413</v>
      </c>
      <c r="I6038" s="7">
        <v>225</v>
      </c>
      <c r="J6038" s="7">
        <v>0</v>
      </c>
      <c r="K6038" s="7" t="s">
        <v>18</v>
      </c>
      <c r="L6038" s="8">
        <v>39987.315405092595</v>
      </c>
      <c r="M6038" s="9" t="s">
        <v>19</v>
      </c>
      <c r="N6038" s="9" t="s">
        <v>20</v>
      </c>
      <c r="O6038" s="6" t="str">
        <f>HYPERLINK("https://pbs.twimg.com/profile_images/962471262747529216/Uo8lOkRJ_normal.jpg","View")</f>
        <v>View</v>
      </c>
      <c r="P6038" s="7"/>
    </row>
    <row r="6039" spans="1:16">
      <c r="A6039" s="3">
        <v>43975.723414351851</v>
      </c>
      <c r="B6039" s="4" t="str">
        <f>HYPERLINK("https://twitter.com/petrogustavo","@petrogustavo")</f>
        <v>@petrogustavo</v>
      </c>
      <c r="C6039" s="5" t="s">
        <v>16</v>
      </c>
      <c r="D6039" s="5" t="s">
        <v>5869</v>
      </c>
      <c r="E6039" s="6" t="str">
        <f>HYPERLINK("https://twitter.com/petrogustavo/status/1264524476236148737","1264524476236148737")</f>
        <v>1264524476236148737</v>
      </c>
      <c r="F6039" s="7" t="s">
        <v>17</v>
      </c>
      <c r="G6039" s="7">
        <v>3839263</v>
      </c>
      <c r="H6039" s="7">
        <v>2413</v>
      </c>
      <c r="I6039" s="7">
        <v>71</v>
      </c>
      <c r="J6039" s="7">
        <v>0</v>
      </c>
      <c r="K6039" s="7" t="s">
        <v>18</v>
      </c>
      <c r="L6039" s="8">
        <v>39987.315405092595</v>
      </c>
      <c r="M6039" s="9" t="s">
        <v>19</v>
      </c>
      <c r="N6039" s="9" t="s">
        <v>20</v>
      </c>
      <c r="O6039" s="6" t="str">
        <f>HYPERLINK("https://pbs.twimg.com/profile_images/962471262747529216/Uo8lOkRJ_normal.jpg","View")</f>
        <v>View</v>
      </c>
      <c r="P6039" s="7"/>
    </row>
    <row r="6040" spans="1:16">
      <c r="A6040" s="3">
        <v>43975.723530092597</v>
      </c>
      <c r="B6040" s="4" t="str">
        <f>HYPERLINK("https://twitter.com/petrogustavo","@petrogustavo")</f>
        <v>@petrogustavo</v>
      </c>
      <c r="C6040" s="5" t="s">
        <v>16</v>
      </c>
      <c r="D6040" s="5" t="s">
        <v>5870</v>
      </c>
      <c r="E6040" s="6" t="str">
        <f>HYPERLINK("https://twitter.com/petrogustavo/status/1264524519416438791","1264524519416438791")</f>
        <v>1264524519416438791</v>
      </c>
      <c r="F6040" s="7" t="s">
        <v>17</v>
      </c>
      <c r="G6040" s="7">
        <v>3839263</v>
      </c>
      <c r="H6040" s="7">
        <v>2413</v>
      </c>
      <c r="I6040" s="7">
        <v>24</v>
      </c>
      <c r="J6040" s="7">
        <v>0</v>
      </c>
      <c r="K6040" s="7" t="s">
        <v>18</v>
      </c>
      <c r="L6040" s="8">
        <v>39987.315405092595</v>
      </c>
      <c r="M6040" s="9" t="s">
        <v>19</v>
      </c>
      <c r="N6040" s="9" t="s">
        <v>20</v>
      </c>
      <c r="O6040" s="6" t="str">
        <f>HYPERLINK("https://pbs.twimg.com/profile_images/962471262747529216/Uo8lOkRJ_normal.jpg","View")</f>
        <v>View</v>
      </c>
      <c r="P6040" s="7"/>
    </row>
    <row r="6041" spans="1:16">
      <c r="A6041" s="3">
        <v>43975.805023148147</v>
      </c>
      <c r="B6041" s="4" t="str">
        <f>HYPERLINK("https://twitter.com/petrogustavo","@petrogustavo")</f>
        <v>@petrogustavo</v>
      </c>
      <c r="C6041" s="5" t="s">
        <v>16</v>
      </c>
      <c r="D6041" s="5" t="s">
        <v>5871</v>
      </c>
      <c r="E6041" s="6" t="str">
        <f>HYPERLINK("https://twitter.com/petrogustavo/status/1264554052152688640","1264554052152688640")</f>
        <v>1264554052152688640</v>
      </c>
      <c r="F6041" s="7" t="s">
        <v>32</v>
      </c>
      <c r="G6041" s="7">
        <v>3839356</v>
      </c>
      <c r="H6041" s="7">
        <v>2413</v>
      </c>
      <c r="I6041" s="7">
        <v>115</v>
      </c>
      <c r="J6041" s="7">
        <v>267</v>
      </c>
      <c r="K6041" s="7" t="s">
        <v>18</v>
      </c>
      <c r="L6041" s="8">
        <v>39987.315405092595</v>
      </c>
      <c r="M6041" s="9" t="s">
        <v>19</v>
      </c>
      <c r="N6041" s="9" t="s">
        <v>20</v>
      </c>
      <c r="O6041" s="6" t="str">
        <f>HYPERLINK("https://pbs.twimg.com/profile_images/962471262747529216/Uo8lOkRJ_normal.jpg","View")</f>
        <v>View</v>
      </c>
      <c r="P6041" s="7"/>
    </row>
    <row r="6042" spans="1:16">
      <c r="A6042" s="3">
        <v>43975.812592592592</v>
      </c>
      <c r="B6042" s="4" t="str">
        <f>HYPERLINK("https://twitter.com/petrogustavo","@petrogustavo")</f>
        <v>@petrogustavo</v>
      </c>
      <c r="C6042" s="5" t="s">
        <v>16</v>
      </c>
      <c r="D6042" s="5" t="s">
        <v>5872</v>
      </c>
      <c r="E6042" s="6" t="str">
        <f>HYPERLINK("https://twitter.com/petrogustavo/status/1264556791259631616","1264556791259631616")</f>
        <v>1264556791259631616</v>
      </c>
      <c r="F6042" s="7" t="s">
        <v>32</v>
      </c>
      <c r="G6042" s="7">
        <v>3839356</v>
      </c>
      <c r="H6042" s="7">
        <v>2413</v>
      </c>
      <c r="I6042" s="7">
        <v>16</v>
      </c>
      <c r="J6042" s="7">
        <v>49</v>
      </c>
      <c r="K6042" s="7" t="s">
        <v>18</v>
      </c>
      <c r="L6042" s="8">
        <v>39987.315405092595</v>
      </c>
      <c r="M6042" s="9" t="s">
        <v>19</v>
      </c>
      <c r="N6042" s="9" t="s">
        <v>20</v>
      </c>
      <c r="O6042" s="6" t="str">
        <f>HYPERLINK("https://pbs.twimg.com/profile_images/962471262747529216/Uo8lOkRJ_normal.jpg","View")</f>
        <v>View</v>
      </c>
      <c r="P6042" s="7"/>
    </row>
    <row r="6043" spans="1:16">
      <c r="A6043" s="3">
        <v>43975.812974537039</v>
      </c>
      <c r="B6043" s="4" t="str">
        <f>HYPERLINK("https://twitter.com/petrogustavo","@petrogustavo")</f>
        <v>@petrogustavo</v>
      </c>
      <c r="C6043" s="5" t="s">
        <v>16</v>
      </c>
      <c r="D6043" s="5" t="s">
        <v>5873</v>
      </c>
      <c r="E6043" s="6" t="str">
        <f>HYPERLINK("https://twitter.com/petrogustavo/status/1264556933295595521","1264556933295595521")</f>
        <v>1264556933295595521</v>
      </c>
      <c r="F6043" s="7" t="s">
        <v>32</v>
      </c>
      <c r="G6043" s="7">
        <v>3839356</v>
      </c>
      <c r="H6043" s="7">
        <v>2413</v>
      </c>
      <c r="I6043" s="7">
        <v>221</v>
      </c>
      <c r="J6043" s="7">
        <v>0</v>
      </c>
      <c r="K6043" s="7" t="s">
        <v>18</v>
      </c>
      <c r="L6043" s="8">
        <v>39987.315405092595</v>
      </c>
      <c r="M6043" s="9" t="s">
        <v>19</v>
      </c>
      <c r="N6043" s="9" t="s">
        <v>20</v>
      </c>
      <c r="O6043" s="6" t="str">
        <f>HYPERLINK("https://pbs.twimg.com/profile_images/962471262747529216/Uo8lOkRJ_normal.jpg","View")</f>
        <v>View</v>
      </c>
      <c r="P6043" s="7"/>
    </row>
    <row r="6044" spans="1:16">
      <c r="A6044" s="3">
        <v>43975.813750000001</v>
      </c>
      <c r="B6044" s="4" t="str">
        <f>HYPERLINK("https://twitter.com/petrogustavo","@petrogustavo")</f>
        <v>@petrogustavo</v>
      </c>
      <c r="C6044" s="5" t="s">
        <v>16</v>
      </c>
      <c r="D6044" s="5" t="s">
        <v>5874</v>
      </c>
      <c r="E6044" s="6" t="str">
        <f>HYPERLINK("https://twitter.com/petrogustavo/status/1264557210853617674","1264557210853617674")</f>
        <v>1264557210853617674</v>
      </c>
      <c r="F6044" s="7" t="s">
        <v>32</v>
      </c>
      <c r="G6044" s="7">
        <v>3839356</v>
      </c>
      <c r="H6044" s="7">
        <v>2413</v>
      </c>
      <c r="I6044" s="7">
        <v>143</v>
      </c>
      <c r="J6044" s="7">
        <v>0</v>
      </c>
      <c r="K6044" s="7" t="s">
        <v>18</v>
      </c>
      <c r="L6044" s="8">
        <v>39987.315405092595</v>
      </c>
      <c r="M6044" s="9" t="s">
        <v>19</v>
      </c>
      <c r="N6044" s="9" t="s">
        <v>20</v>
      </c>
      <c r="O6044" s="6" t="str">
        <f>HYPERLINK("https://pbs.twimg.com/profile_images/962471262747529216/Uo8lOkRJ_normal.jpg","View")</f>
        <v>View</v>
      </c>
      <c r="P6044" s="7"/>
    </row>
    <row r="6045" spans="1:16">
      <c r="A6045" s="3">
        <v>43975.813877314809</v>
      </c>
      <c r="B6045" s="4" t="str">
        <f>HYPERLINK("https://twitter.com/petrogustavo","@petrogustavo")</f>
        <v>@petrogustavo</v>
      </c>
      <c r="C6045" s="5" t="s">
        <v>16</v>
      </c>
      <c r="D6045" s="5" t="s">
        <v>5875</v>
      </c>
      <c r="E6045" s="6" t="str">
        <f>HYPERLINK("https://twitter.com/petrogustavo/status/1264557259591426053","1264557259591426053")</f>
        <v>1264557259591426053</v>
      </c>
      <c r="F6045" s="7" t="s">
        <v>32</v>
      </c>
      <c r="G6045" s="7">
        <v>3839356</v>
      </c>
      <c r="H6045" s="7">
        <v>2413</v>
      </c>
      <c r="I6045" s="7">
        <v>55</v>
      </c>
      <c r="J6045" s="7">
        <v>0</v>
      </c>
      <c r="K6045" s="7" t="s">
        <v>18</v>
      </c>
      <c r="L6045" s="8">
        <v>39987.315405092595</v>
      </c>
      <c r="M6045" s="9" t="s">
        <v>19</v>
      </c>
      <c r="N6045" s="9" t="s">
        <v>20</v>
      </c>
      <c r="O6045" s="6" t="str">
        <f>HYPERLINK("https://pbs.twimg.com/profile_images/962471262747529216/Uo8lOkRJ_normal.jpg","View")</f>
        <v>View</v>
      </c>
      <c r="P6045" s="7"/>
    </row>
    <row r="6046" spans="1:16">
      <c r="A6046" s="3">
        <v>43975.813993055555</v>
      </c>
      <c r="B6046" s="4" t="str">
        <f>HYPERLINK("https://twitter.com/petrogustavo","@petrogustavo")</f>
        <v>@petrogustavo</v>
      </c>
      <c r="C6046" s="5" t="s">
        <v>16</v>
      </c>
      <c r="D6046" s="5" t="s">
        <v>5876</v>
      </c>
      <c r="E6046" s="6" t="str">
        <f>HYPERLINK("https://twitter.com/petrogustavo/status/1264557302633332736","1264557302633332736")</f>
        <v>1264557302633332736</v>
      </c>
      <c r="F6046" s="7" t="s">
        <v>32</v>
      </c>
      <c r="G6046" s="7">
        <v>3839356</v>
      </c>
      <c r="H6046" s="7">
        <v>2413</v>
      </c>
      <c r="I6046" s="7">
        <v>14</v>
      </c>
      <c r="J6046" s="7">
        <v>0</v>
      </c>
      <c r="K6046" s="7" t="s">
        <v>18</v>
      </c>
      <c r="L6046" s="8">
        <v>39987.315405092595</v>
      </c>
      <c r="M6046" s="9" t="s">
        <v>19</v>
      </c>
      <c r="N6046" s="9" t="s">
        <v>20</v>
      </c>
      <c r="O6046" s="6" t="str">
        <f>HYPERLINK("https://pbs.twimg.com/profile_images/962471262747529216/Uo8lOkRJ_normal.jpg","View")</f>
        <v>View</v>
      </c>
      <c r="P6046" s="7"/>
    </row>
    <row r="6047" spans="1:16">
      <c r="A6047" s="3">
        <v>43975.814988425926</v>
      </c>
      <c r="B6047" s="4" t="str">
        <f>HYPERLINK("https://twitter.com/petrogustavo","@petrogustavo")</f>
        <v>@petrogustavo</v>
      </c>
      <c r="C6047" s="5" t="s">
        <v>16</v>
      </c>
      <c r="D6047" s="5" t="s">
        <v>5877</v>
      </c>
      <c r="E6047" s="6" t="str">
        <f>HYPERLINK("https://twitter.com/petrogustavo/status/1264557662601175046","1264557662601175046")</f>
        <v>1264557662601175046</v>
      </c>
      <c r="F6047" s="7" t="s">
        <v>32</v>
      </c>
      <c r="G6047" s="7">
        <v>3839381</v>
      </c>
      <c r="H6047" s="7">
        <v>2413</v>
      </c>
      <c r="I6047" s="7">
        <v>157</v>
      </c>
      <c r="J6047" s="7">
        <v>0</v>
      </c>
      <c r="K6047" s="7" t="s">
        <v>18</v>
      </c>
      <c r="L6047" s="8">
        <v>39987.315405092595</v>
      </c>
      <c r="M6047" s="9" t="s">
        <v>19</v>
      </c>
      <c r="N6047" s="9" t="s">
        <v>20</v>
      </c>
      <c r="O6047" s="6" t="str">
        <f>HYPERLINK("https://pbs.twimg.com/profile_images/962471262747529216/Uo8lOkRJ_normal.jpg","View")</f>
        <v>View</v>
      </c>
      <c r="P6047" s="7"/>
    </row>
    <row r="6048" spans="1:16">
      <c r="A6048" s="3">
        <v>43975.824722222227</v>
      </c>
      <c r="B6048" s="4" t="str">
        <f>HYPERLINK("https://twitter.com/petrogustavo","@petrogustavo")</f>
        <v>@petrogustavo</v>
      </c>
      <c r="C6048" s="5" t="s">
        <v>16</v>
      </c>
      <c r="D6048" s="5" t="s">
        <v>5878</v>
      </c>
      <c r="E6048" s="6" t="str">
        <f>HYPERLINK("https://twitter.com/petrogustavo/status/1264561189675286531","1264561189675286531")</f>
        <v>1264561189675286531</v>
      </c>
      <c r="F6048" s="7" t="s">
        <v>32</v>
      </c>
      <c r="G6048" s="7">
        <v>3839381</v>
      </c>
      <c r="H6048" s="7">
        <v>2413</v>
      </c>
      <c r="I6048" s="7">
        <v>328</v>
      </c>
      <c r="J6048" s="7">
        <v>0</v>
      </c>
      <c r="K6048" s="7" t="s">
        <v>18</v>
      </c>
      <c r="L6048" s="8">
        <v>39987.315405092595</v>
      </c>
      <c r="M6048" s="9" t="s">
        <v>19</v>
      </c>
      <c r="N6048" s="9" t="s">
        <v>20</v>
      </c>
      <c r="O6048" s="6" t="str">
        <f>HYPERLINK("https://pbs.twimg.com/profile_images/962471262747529216/Uo8lOkRJ_normal.jpg","View")</f>
        <v>View</v>
      </c>
      <c r="P6048" s="7"/>
    </row>
    <row r="6049" spans="1:16">
      <c r="A6049" s="3">
        <v>43975.824849537035</v>
      </c>
      <c r="B6049" s="4" t="str">
        <f>HYPERLINK("https://twitter.com/petrogustavo","@petrogustavo")</f>
        <v>@petrogustavo</v>
      </c>
      <c r="C6049" s="5" t="s">
        <v>16</v>
      </c>
      <c r="D6049" s="5" t="s">
        <v>5879</v>
      </c>
      <c r="E6049" s="6" t="str">
        <f>HYPERLINK("https://twitter.com/petrogustavo/status/1264561233325367298","1264561233325367298")</f>
        <v>1264561233325367298</v>
      </c>
      <c r="F6049" s="7" t="s">
        <v>32</v>
      </c>
      <c r="G6049" s="7">
        <v>3839381</v>
      </c>
      <c r="H6049" s="7">
        <v>2413</v>
      </c>
      <c r="I6049" s="7">
        <v>220</v>
      </c>
      <c r="J6049" s="7">
        <v>0</v>
      </c>
      <c r="K6049" s="7" t="s">
        <v>18</v>
      </c>
      <c r="L6049" s="8">
        <v>39987.315405092595</v>
      </c>
      <c r="M6049" s="9" t="s">
        <v>19</v>
      </c>
      <c r="N6049" s="9" t="s">
        <v>20</v>
      </c>
      <c r="O6049" s="6" t="str">
        <f>HYPERLINK("https://pbs.twimg.com/profile_images/962471262747529216/Uo8lOkRJ_normal.jpg","View")</f>
        <v>View</v>
      </c>
      <c r="P6049" s="7"/>
    </row>
    <row r="6050" spans="1:16">
      <c r="A6050" s="3">
        <v>43975.82607638889</v>
      </c>
      <c r="B6050" s="4" t="str">
        <f>HYPERLINK("https://twitter.com/petrogustavo","@petrogustavo")</f>
        <v>@petrogustavo</v>
      </c>
      <c r="C6050" s="5" t="s">
        <v>16</v>
      </c>
      <c r="D6050" s="5" t="s">
        <v>5880</v>
      </c>
      <c r="E6050" s="6" t="str">
        <f>HYPERLINK("https://twitter.com/petrogustavo/status/1264561679502802944","1264561679502802944")</f>
        <v>1264561679502802944</v>
      </c>
      <c r="F6050" s="7" t="s">
        <v>32</v>
      </c>
      <c r="G6050" s="7">
        <v>3839381</v>
      </c>
      <c r="H6050" s="7">
        <v>2413</v>
      </c>
      <c r="I6050" s="7">
        <v>47</v>
      </c>
      <c r="J6050" s="7">
        <v>115</v>
      </c>
      <c r="K6050" s="7" t="s">
        <v>18</v>
      </c>
      <c r="L6050" s="8">
        <v>39987.315405092595</v>
      </c>
      <c r="M6050" s="9" t="s">
        <v>19</v>
      </c>
      <c r="N6050" s="9" t="s">
        <v>20</v>
      </c>
      <c r="O6050" s="6" t="str">
        <f>HYPERLINK("https://pbs.twimg.com/profile_images/962471262747529216/Uo8lOkRJ_normal.jpg","View")</f>
        <v>View</v>
      </c>
      <c r="P6050" s="7"/>
    </row>
    <row r="6051" spans="1:16">
      <c r="A6051" s="3">
        <v>43975.828321759254</v>
      </c>
      <c r="B6051" s="4" t="str">
        <f>HYPERLINK("https://twitter.com/petrogustavo","@petrogustavo")</f>
        <v>@petrogustavo</v>
      </c>
      <c r="C6051" s="5" t="s">
        <v>16</v>
      </c>
      <c r="D6051" s="5" t="s">
        <v>5881</v>
      </c>
      <c r="E6051" s="6" t="str">
        <f>HYPERLINK("https://twitter.com/petrogustavo/status/1264562493495619584","1264562493495619584")</f>
        <v>1264562493495619584</v>
      </c>
      <c r="F6051" s="7" t="s">
        <v>32</v>
      </c>
      <c r="G6051" s="7">
        <v>3839381</v>
      </c>
      <c r="H6051" s="7">
        <v>2413</v>
      </c>
      <c r="I6051" s="7">
        <v>78</v>
      </c>
      <c r="J6051" s="7">
        <v>159</v>
      </c>
      <c r="K6051" s="7" t="s">
        <v>18</v>
      </c>
      <c r="L6051" s="8">
        <v>39987.315405092595</v>
      </c>
      <c r="M6051" s="9" t="s">
        <v>19</v>
      </c>
      <c r="N6051" s="9" t="s">
        <v>20</v>
      </c>
      <c r="O6051" s="6" t="str">
        <f>HYPERLINK("https://pbs.twimg.com/profile_images/962471262747529216/Uo8lOkRJ_normal.jpg","View")</f>
        <v>View</v>
      </c>
      <c r="P6051" s="7"/>
    </row>
    <row r="6052" spans="1:16">
      <c r="A6052" s="3">
        <v>43975.832777777774</v>
      </c>
      <c r="B6052" s="4" t="str">
        <f>HYPERLINK("https://twitter.com/petrogustavo","@petrogustavo")</f>
        <v>@petrogustavo</v>
      </c>
      <c r="C6052" s="5" t="s">
        <v>16</v>
      </c>
      <c r="D6052" s="5" t="s">
        <v>5882</v>
      </c>
      <c r="E6052" s="6" t="str">
        <f>HYPERLINK("https://twitter.com/petrogustavo/status/1264564106885029889","1264564106885029889")</f>
        <v>1264564106885029889</v>
      </c>
      <c r="F6052" s="7" t="s">
        <v>32</v>
      </c>
      <c r="G6052" s="7">
        <v>3839381</v>
      </c>
      <c r="H6052" s="7">
        <v>2413</v>
      </c>
      <c r="I6052" s="7">
        <v>10</v>
      </c>
      <c r="J6052" s="7">
        <v>29</v>
      </c>
      <c r="K6052" s="7" t="s">
        <v>18</v>
      </c>
      <c r="L6052" s="8">
        <v>39987.315405092595</v>
      </c>
      <c r="M6052" s="9" t="s">
        <v>19</v>
      </c>
      <c r="N6052" s="9" t="s">
        <v>20</v>
      </c>
      <c r="O6052" s="6" t="str">
        <f>HYPERLINK("https://pbs.twimg.com/profile_images/962471262747529216/Uo8lOkRJ_normal.jpg","View")</f>
        <v>View</v>
      </c>
      <c r="P6052" s="7"/>
    </row>
    <row r="6053" spans="1:16">
      <c r="A6053" s="3">
        <v>43975.836458333331</v>
      </c>
      <c r="B6053" s="4" t="str">
        <f>HYPERLINK("https://twitter.com/petrogustavo","@petrogustavo")</f>
        <v>@petrogustavo</v>
      </c>
      <c r="C6053" s="5" t="s">
        <v>16</v>
      </c>
      <c r="D6053" s="5" t="s">
        <v>5883</v>
      </c>
      <c r="E6053" s="6" t="str">
        <f>HYPERLINK("https://twitter.com/petrogustavo/status/1264565441529360384","1264565441529360384")</f>
        <v>1264565441529360384</v>
      </c>
      <c r="F6053" s="7" t="s">
        <v>32</v>
      </c>
      <c r="G6053" s="7">
        <v>3839410</v>
      </c>
      <c r="H6053" s="7">
        <v>2413</v>
      </c>
      <c r="I6053" s="7">
        <v>203</v>
      </c>
      <c r="J6053" s="7">
        <v>0</v>
      </c>
      <c r="K6053" s="7" t="s">
        <v>18</v>
      </c>
      <c r="L6053" s="8">
        <v>39987.315405092595</v>
      </c>
      <c r="M6053" s="9" t="s">
        <v>19</v>
      </c>
      <c r="N6053" s="9" t="s">
        <v>20</v>
      </c>
      <c r="O6053" s="6" t="str">
        <f>HYPERLINK("https://pbs.twimg.com/profile_images/962471262747529216/Uo8lOkRJ_normal.jpg","View")</f>
        <v>View</v>
      </c>
      <c r="P6053" s="7"/>
    </row>
    <row r="6054" spans="1:16">
      <c r="A6054" s="3">
        <v>43975.837581018517</v>
      </c>
      <c r="B6054" s="4" t="str">
        <f>HYPERLINK("https://twitter.com/petrogustavo","@petrogustavo")</f>
        <v>@petrogustavo</v>
      </c>
      <c r="C6054" s="5" t="s">
        <v>16</v>
      </c>
      <c r="D6054" s="5" t="s">
        <v>5884</v>
      </c>
      <c r="E6054" s="6" t="str">
        <f>HYPERLINK("https://twitter.com/petrogustavo/status/1264565847546310658","1264565847546310658")</f>
        <v>1264565847546310658</v>
      </c>
      <c r="F6054" s="7" t="s">
        <v>32</v>
      </c>
      <c r="G6054" s="7">
        <v>3839410</v>
      </c>
      <c r="H6054" s="7">
        <v>2413</v>
      </c>
      <c r="I6054" s="7">
        <v>312</v>
      </c>
      <c r="J6054" s="7">
        <v>0</v>
      </c>
      <c r="K6054" s="7" t="s">
        <v>18</v>
      </c>
      <c r="L6054" s="8">
        <v>39987.315405092595</v>
      </c>
      <c r="M6054" s="9" t="s">
        <v>19</v>
      </c>
      <c r="N6054" s="9" t="s">
        <v>20</v>
      </c>
      <c r="O6054" s="6" t="str">
        <f>HYPERLINK("https://pbs.twimg.com/profile_images/962471262747529216/Uo8lOkRJ_normal.jpg","View")</f>
        <v>View</v>
      </c>
      <c r="P6054" s="7"/>
    </row>
    <row r="6055" spans="1:16">
      <c r="A6055" s="3">
        <v>43975.974328703705</v>
      </c>
      <c r="B6055" s="4" t="str">
        <f>HYPERLINK("https://twitter.com/petrogustavo","@petrogustavo")</f>
        <v>@petrogustavo</v>
      </c>
      <c r="C6055" s="5" t="s">
        <v>16</v>
      </c>
      <c r="D6055" s="5" t="s">
        <v>5885</v>
      </c>
      <c r="E6055" s="6" t="str">
        <f>HYPERLINK("https://twitter.com/petrogustavo/status/1264615403684270080","1264615403684270080")</f>
        <v>1264615403684270080</v>
      </c>
      <c r="F6055" s="7" t="s">
        <v>17</v>
      </c>
      <c r="G6055" s="7">
        <v>3839615</v>
      </c>
      <c r="H6055" s="7">
        <v>2413</v>
      </c>
      <c r="I6055" s="7">
        <v>70</v>
      </c>
      <c r="J6055" s="7">
        <v>166</v>
      </c>
      <c r="K6055" s="7" t="s">
        <v>18</v>
      </c>
      <c r="L6055" s="8">
        <v>39987.315405092595</v>
      </c>
      <c r="M6055" s="9" t="s">
        <v>19</v>
      </c>
      <c r="N6055" s="9" t="s">
        <v>20</v>
      </c>
      <c r="O6055" s="6" t="str">
        <f>HYPERLINK("https://pbs.twimg.com/profile_images/962471262747529216/Uo8lOkRJ_normal.jpg","View")</f>
        <v>View</v>
      </c>
      <c r="P6055" s="7"/>
    </row>
    <row r="6056" spans="1:16">
      <c r="A6056" s="3">
        <v>43975.981608796297</v>
      </c>
      <c r="B6056" s="4" t="str">
        <f>HYPERLINK("https://twitter.com/petrogustavo","@petrogustavo")</f>
        <v>@petrogustavo</v>
      </c>
      <c r="C6056" s="5" t="s">
        <v>16</v>
      </c>
      <c r="D6056" s="5" t="s">
        <v>5886</v>
      </c>
      <c r="E6056" s="6" t="str">
        <f>HYPERLINK("https://twitter.com/petrogustavo/status/1264618041184186368","1264618041184186368")</f>
        <v>1264618041184186368</v>
      </c>
      <c r="F6056" s="7" t="s">
        <v>17</v>
      </c>
      <c r="G6056" s="7">
        <v>3839652</v>
      </c>
      <c r="H6056" s="7">
        <v>2413</v>
      </c>
      <c r="I6056" s="7">
        <v>108</v>
      </c>
      <c r="J6056" s="7">
        <v>212</v>
      </c>
      <c r="K6056" s="7" t="s">
        <v>18</v>
      </c>
      <c r="L6056" s="8">
        <v>39987.315405092595</v>
      </c>
      <c r="M6056" s="9" t="s">
        <v>19</v>
      </c>
      <c r="N6056" s="9" t="s">
        <v>20</v>
      </c>
      <c r="O6056" s="6" t="str">
        <f>HYPERLINK("https://pbs.twimg.com/profile_images/962471262747529216/Uo8lOkRJ_normal.jpg","View")</f>
        <v>View</v>
      </c>
      <c r="P6056" s="7"/>
    </row>
    <row r="6057" spans="1:16">
      <c r="A6057" s="3">
        <v>43975.985023148147</v>
      </c>
      <c r="B6057" s="4" t="str">
        <f>HYPERLINK("https://twitter.com/petrogustavo","@petrogustavo")</f>
        <v>@petrogustavo</v>
      </c>
      <c r="C6057" s="5" t="s">
        <v>16</v>
      </c>
      <c r="D6057" s="5" t="s">
        <v>5887</v>
      </c>
      <c r="E6057" s="6" t="str">
        <f>HYPERLINK("https://twitter.com/petrogustavo/status/1264619278034186240","1264619278034186240")</f>
        <v>1264619278034186240</v>
      </c>
      <c r="F6057" s="7" t="s">
        <v>17</v>
      </c>
      <c r="G6057" s="7">
        <v>3839652</v>
      </c>
      <c r="H6057" s="7">
        <v>2413</v>
      </c>
      <c r="I6057" s="7">
        <v>306</v>
      </c>
      <c r="J6057" s="7">
        <v>680</v>
      </c>
      <c r="K6057" s="7" t="s">
        <v>18</v>
      </c>
      <c r="L6057" s="8">
        <v>39987.315405092595</v>
      </c>
      <c r="M6057" s="9" t="s">
        <v>19</v>
      </c>
      <c r="N6057" s="9" t="s">
        <v>20</v>
      </c>
      <c r="O6057" s="6" t="str">
        <f>HYPERLINK("https://pbs.twimg.com/profile_images/962471262747529216/Uo8lOkRJ_normal.jpg","View")</f>
        <v>View</v>
      </c>
      <c r="P6057" s="7"/>
    </row>
    <row r="6058" spans="1:16">
      <c r="A6058" s="3">
        <v>43975.985972222217</v>
      </c>
      <c r="B6058" s="4" t="str">
        <f>HYPERLINK("https://twitter.com/petrogustavo","@petrogustavo")</f>
        <v>@petrogustavo</v>
      </c>
      <c r="C6058" s="5" t="s">
        <v>16</v>
      </c>
      <c r="D6058" s="5" t="s">
        <v>5888</v>
      </c>
      <c r="E6058" s="6" t="str">
        <f>HYPERLINK("https://twitter.com/petrogustavo/status/1264619622562770944","1264619622562770944")</f>
        <v>1264619622562770944</v>
      </c>
      <c r="F6058" s="7" t="s">
        <v>17</v>
      </c>
      <c r="G6058" s="7">
        <v>3839652</v>
      </c>
      <c r="H6058" s="7">
        <v>2413</v>
      </c>
      <c r="I6058" s="7">
        <v>169</v>
      </c>
      <c r="J6058" s="7">
        <v>0</v>
      </c>
      <c r="K6058" s="7" t="s">
        <v>18</v>
      </c>
      <c r="L6058" s="8">
        <v>39987.315405092595</v>
      </c>
      <c r="M6058" s="9" t="s">
        <v>19</v>
      </c>
      <c r="N6058" s="9" t="s">
        <v>20</v>
      </c>
      <c r="O6058" s="6" t="str">
        <f>HYPERLINK("https://pbs.twimg.com/profile_images/962471262747529216/Uo8lOkRJ_normal.jpg","View")</f>
        <v>View</v>
      </c>
      <c r="P6058" s="7"/>
    </row>
    <row r="6059" spans="1:16">
      <c r="A6059" s="3">
        <v>43975.995324074072</v>
      </c>
      <c r="B6059" s="4" t="str">
        <f>HYPERLINK("https://twitter.com/petrogustavo","@petrogustavo")</f>
        <v>@petrogustavo</v>
      </c>
      <c r="C6059" s="5" t="s">
        <v>16</v>
      </c>
      <c r="D6059" s="5" t="s">
        <v>5889</v>
      </c>
      <c r="E6059" s="6" t="str">
        <f>HYPERLINK("https://twitter.com/petrogustavo/status/1264623014878068737","1264623014878068737")</f>
        <v>1264623014878068737</v>
      </c>
      <c r="F6059" s="7" t="s">
        <v>17</v>
      </c>
      <c r="G6059" s="7">
        <v>3839652</v>
      </c>
      <c r="H6059" s="7">
        <v>2413</v>
      </c>
      <c r="I6059" s="7">
        <v>20</v>
      </c>
      <c r="J6059" s="7">
        <v>60</v>
      </c>
      <c r="K6059" s="7" t="s">
        <v>18</v>
      </c>
      <c r="L6059" s="8">
        <v>39987.315405092595</v>
      </c>
      <c r="M6059" s="9" t="s">
        <v>19</v>
      </c>
      <c r="N6059" s="9" t="s">
        <v>20</v>
      </c>
      <c r="O6059" s="6" t="str">
        <f>HYPERLINK("https://pbs.twimg.com/profile_images/962471262747529216/Uo8lOkRJ_normal.jpg","View")</f>
        <v>View</v>
      </c>
      <c r="P6059" s="7"/>
    </row>
    <row r="6060" spans="1:16">
      <c r="A6060" s="3">
        <v>43976.219270833331</v>
      </c>
      <c r="B6060" s="4" t="str">
        <f>HYPERLINK("https://twitter.com/petrogustavo","@petrogustavo")</f>
        <v>@petrogustavo</v>
      </c>
      <c r="C6060" s="5" t="s">
        <v>16</v>
      </c>
      <c r="D6060" s="5" t="s">
        <v>5890</v>
      </c>
      <c r="E6060" s="6" t="str">
        <f>HYPERLINK("https://twitter.com/petrogustavo/status/1264704169417625600","1264704169417625600")</f>
        <v>1264704169417625600</v>
      </c>
      <c r="F6060" s="7" t="s">
        <v>32</v>
      </c>
      <c r="G6060" s="7">
        <v>3839982</v>
      </c>
      <c r="H6060" s="7">
        <v>2413</v>
      </c>
      <c r="I6060" s="7">
        <v>323</v>
      </c>
      <c r="J6060" s="7">
        <v>0</v>
      </c>
      <c r="K6060" s="7" t="s">
        <v>18</v>
      </c>
      <c r="L6060" s="8">
        <v>39987.315405092595</v>
      </c>
      <c r="M6060" s="9" t="s">
        <v>19</v>
      </c>
      <c r="N6060" s="9" t="s">
        <v>20</v>
      </c>
      <c r="O6060" s="6" t="str">
        <f>HYPERLINK("https://pbs.twimg.com/profile_images/962471262747529216/Uo8lOkRJ_normal.jpg","View")</f>
        <v>View</v>
      </c>
      <c r="P6060" s="7"/>
    </row>
    <row r="6061" spans="1:16">
      <c r="A6061" s="3">
        <v>43976.219652777778</v>
      </c>
      <c r="B6061" s="4" t="str">
        <f>HYPERLINK("https://twitter.com/petrogustavo","@petrogustavo")</f>
        <v>@petrogustavo</v>
      </c>
      <c r="C6061" s="5" t="s">
        <v>16</v>
      </c>
      <c r="D6061" s="5" t="s">
        <v>5891</v>
      </c>
      <c r="E6061" s="6" t="str">
        <f>HYPERLINK("https://twitter.com/petrogustavo/status/1264704308706258959","1264704308706258959")</f>
        <v>1264704308706258959</v>
      </c>
      <c r="F6061" s="7" t="s">
        <v>32</v>
      </c>
      <c r="G6061" s="7">
        <v>3839982</v>
      </c>
      <c r="H6061" s="7">
        <v>2413</v>
      </c>
      <c r="I6061" s="7">
        <v>42</v>
      </c>
      <c r="J6061" s="7">
        <v>0</v>
      </c>
      <c r="K6061" s="7" t="s">
        <v>18</v>
      </c>
      <c r="L6061" s="8">
        <v>39987.315405092595</v>
      </c>
      <c r="M6061" s="9" t="s">
        <v>19</v>
      </c>
      <c r="N6061" s="9" t="s">
        <v>20</v>
      </c>
      <c r="O6061" s="6" t="str">
        <f>HYPERLINK("https://pbs.twimg.com/profile_images/962471262747529216/Uo8lOkRJ_normal.jpg","View")</f>
        <v>View</v>
      </c>
      <c r="P6061" s="7"/>
    </row>
    <row r="6062" spans="1:16">
      <c r="A6062" s="3">
        <v>43976.220486111109</v>
      </c>
      <c r="B6062" s="4" t="str">
        <f>HYPERLINK("https://twitter.com/petrogustavo","@petrogustavo")</f>
        <v>@petrogustavo</v>
      </c>
      <c r="C6062" s="5" t="s">
        <v>16</v>
      </c>
      <c r="D6062" s="5" t="s">
        <v>5892</v>
      </c>
      <c r="E6062" s="6" t="str">
        <f>HYPERLINK("https://twitter.com/petrogustavo/status/1264704610201145344","1264704610201145344")</f>
        <v>1264704610201145344</v>
      </c>
      <c r="F6062" s="7" t="s">
        <v>32</v>
      </c>
      <c r="G6062" s="7">
        <v>3839982</v>
      </c>
      <c r="H6062" s="7">
        <v>2413</v>
      </c>
      <c r="I6062" s="7">
        <v>37</v>
      </c>
      <c r="J6062" s="7">
        <v>0</v>
      </c>
      <c r="K6062" s="7" t="s">
        <v>18</v>
      </c>
      <c r="L6062" s="8">
        <v>39987.315405092595</v>
      </c>
      <c r="M6062" s="9" t="s">
        <v>19</v>
      </c>
      <c r="N6062" s="9" t="s">
        <v>20</v>
      </c>
      <c r="O6062" s="6" t="str">
        <f>HYPERLINK("https://pbs.twimg.com/profile_images/962471262747529216/Uo8lOkRJ_normal.jpg","View")</f>
        <v>View</v>
      </c>
      <c r="P6062" s="7"/>
    </row>
    <row r="6063" spans="1:16">
      <c r="A6063" s="3">
        <v>43976.223020833335</v>
      </c>
      <c r="B6063" s="4" t="str">
        <f>HYPERLINK("https://twitter.com/petrogustavo","@petrogustavo")</f>
        <v>@petrogustavo</v>
      </c>
      <c r="C6063" s="5" t="s">
        <v>16</v>
      </c>
      <c r="D6063" s="5" t="s">
        <v>5893</v>
      </c>
      <c r="E6063" s="6" t="str">
        <f>HYPERLINK("https://twitter.com/petrogustavo/status/1264705525796818945","1264705525796818945")</f>
        <v>1264705525796818945</v>
      </c>
      <c r="F6063" s="7" t="s">
        <v>32</v>
      </c>
      <c r="G6063" s="7">
        <v>3839982</v>
      </c>
      <c r="H6063" s="7">
        <v>2413</v>
      </c>
      <c r="I6063" s="7">
        <v>40</v>
      </c>
      <c r="J6063" s="7">
        <v>0</v>
      </c>
      <c r="K6063" s="7" t="s">
        <v>18</v>
      </c>
      <c r="L6063" s="8">
        <v>39987.315405092595</v>
      </c>
      <c r="M6063" s="9" t="s">
        <v>19</v>
      </c>
      <c r="N6063" s="9" t="s">
        <v>20</v>
      </c>
      <c r="O6063" s="6" t="str">
        <f>HYPERLINK("https://pbs.twimg.com/profile_images/962471262747529216/Uo8lOkRJ_normal.jpg","View")</f>
        <v>View</v>
      </c>
      <c r="P6063" s="7"/>
    </row>
    <row r="6064" spans="1:16">
      <c r="A6064" s="3">
        <v>43976.224039351851</v>
      </c>
      <c r="B6064" s="4" t="str">
        <f>HYPERLINK("https://twitter.com/petrogustavo","@petrogustavo")</f>
        <v>@petrogustavo</v>
      </c>
      <c r="C6064" s="5" t="s">
        <v>16</v>
      </c>
      <c r="D6064" s="5" t="s">
        <v>5894</v>
      </c>
      <c r="E6064" s="6" t="str">
        <f>HYPERLINK("https://twitter.com/petrogustavo/status/1264705896048885760","1264705896048885760")</f>
        <v>1264705896048885760</v>
      </c>
      <c r="F6064" s="7" t="s">
        <v>32</v>
      </c>
      <c r="G6064" s="7">
        <v>3839982</v>
      </c>
      <c r="H6064" s="7">
        <v>2413</v>
      </c>
      <c r="I6064" s="7">
        <v>106</v>
      </c>
      <c r="J6064" s="7">
        <v>299</v>
      </c>
      <c r="K6064" s="7" t="s">
        <v>18</v>
      </c>
      <c r="L6064" s="8">
        <v>39987.315405092595</v>
      </c>
      <c r="M6064" s="9" t="s">
        <v>19</v>
      </c>
      <c r="N6064" s="9" t="s">
        <v>20</v>
      </c>
      <c r="O6064" s="6" t="str">
        <f>HYPERLINK("https://pbs.twimg.com/profile_images/962471262747529216/Uo8lOkRJ_normal.jpg","View")</f>
        <v>View</v>
      </c>
      <c r="P6064" s="7"/>
    </row>
    <row r="6065" spans="1:16">
      <c r="A6065" s="3">
        <v>43976.692789351851</v>
      </c>
      <c r="B6065" s="4" t="str">
        <f>HYPERLINK("https://twitter.com/petrogustavo","@petrogustavo")</f>
        <v>@petrogustavo</v>
      </c>
      <c r="C6065" s="5" t="s">
        <v>16</v>
      </c>
      <c r="D6065" s="5" t="s">
        <v>5895</v>
      </c>
      <c r="E6065" s="6" t="str">
        <f>HYPERLINK("https://twitter.com/petrogustavo/status/1264875767231586304","1264875767231586304")</f>
        <v>1264875767231586304</v>
      </c>
      <c r="F6065" s="7" t="s">
        <v>17</v>
      </c>
      <c r="G6065" s="7">
        <v>3840304</v>
      </c>
      <c r="H6065" s="7">
        <v>2413</v>
      </c>
      <c r="I6065" s="7">
        <v>25</v>
      </c>
      <c r="J6065" s="7">
        <v>87</v>
      </c>
      <c r="K6065" s="7" t="s">
        <v>18</v>
      </c>
      <c r="L6065" s="8">
        <v>39987.315405092595</v>
      </c>
      <c r="M6065" s="9" t="s">
        <v>19</v>
      </c>
      <c r="N6065" s="9" t="s">
        <v>20</v>
      </c>
      <c r="O6065" s="6" t="str">
        <f>HYPERLINK("https://pbs.twimg.com/profile_images/962471262747529216/Uo8lOkRJ_normal.jpg","View")</f>
        <v>View</v>
      </c>
      <c r="P6065" s="7"/>
    </row>
    <row r="6066" spans="1:16">
      <c r="A6066" s="3">
        <v>43976.692997685182</v>
      </c>
      <c r="B6066" s="4" t="str">
        <f>HYPERLINK("https://twitter.com/petrogustavo","@petrogustavo")</f>
        <v>@petrogustavo</v>
      </c>
      <c r="C6066" s="5" t="s">
        <v>16</v>
      </c>
      <c r="D6066" s="5" t="s">
        <v>5844</v>
      </c>
      <c r="E6066" s="6" t="str">
        <f>HYPERLINK("https://twitter.com/petrogustavo/status/1264875841722482691","1264875841722482691")</f>
        <v>1264875841722482691</v>
      </c>
      <c r="F6066" s="7" t="s">
        <v>17</v>
      </c>
      <c r="G6066" s="7">
        <v>3840304</v>
      </c>
      <c r="H6066" s="7">
        <v>2413</v>
      </c>
      <c r="I6066" s="7">
        <v>8111</v>
      </c>
      <c r="J6066" s="7">
        <v>0</v>
      </c>
      <c r="K6066" s="7" t="s">
        <v>18</v>
      </c>
      <c r="L6066" s="8">
        <v>39987.315405092595</v>
      </c>
      <c r="M6066" s="9" t="s">
        <v>19</v>
      </c>
      <c r="N6066" s="9" t="s">
        <v>20</v>
      </c>
      <c r="O6066" s="6" t="str">
        <f>HYPERLINK("https://pbs.twimg.com/profile_images/962471262747529216/Uo8lOkRJ_normal.jpg","View")</f>
        <v>View</v>
      </c>
      <c r="P6066" s="7"/>
    </row>
    <row r="6067" spans="1:16">
      <c r="A6067" s="3">
        <v>43976.759745370371</v>
      </c>
      <c r="B6067" s="4" t="str">
        <f>HYPERLINK("https://twitter.com/petrogustavo","@petrogustavo")</f>
        <v>@petrogustavo</v>
      </c>
      <c r="C6067" s="5" t="s">
        <v>16</v>
      </c>
      <c r="D6067" s="5" t="s">
        <v>5896</v>
      </c>
      <c r="E6067" s="6" t="str">
        <f>HYPERLINK("https://twitter.com/petrogustavo/status/1264900030776913920","1264900030776913920")</f>
        <v>1264900030776913920</v>
      </c>
      <c r="F6067" s="7" t="s">
        <v>17</v>
      </c>
      <c r="G6067" s="7">
        <v>3840341</v>
      </c>
      <c r="H6067" s="7">
        <v>2413</v>
      </c>
      <c r="I6067" s="7">
        <v>94</v>
      </c>
      <c r="J6067" s="7">
        <v>193</v>
      </c>
      <c r="K6067" s="7" t="s">
        <v>18</v>
      </c>
      <c r="L6067" s="8">
        <v>39987.315405092595</v>
      </c>
      <c r="M6067" s="9" t="s">
        <v>19</v>
      </c>
      <c r="N6067" s="9" t="s">
        <v>20</v>
      </c>
      <c r="O6067" s="6" t="str">
        <f>HYPERLINK("https://pbs.twimg.com/profile_images/962471262747529216/Uo8lOkRJ_normal.jpg","View")</f>
        <v>View</v>
      </c>
      <c r="P6067" s="7"/>
    </row>
    <row r="6068" spans="1:16">
      <c r="A6068" s="3">
        <v>43976.780034722222</v>
      </c>
      <c r="B6068" s="4" t="str">
        <f>HYPERLINK("https://twitter.com/petrogustavo","@petrogustavo")</f>
        <v>@petrogustavo</v>
      </c>
      <c r="C6068" s="5" t="s">
        <v>16</v>
      </c>
      <c r="D6068" s="5" t="s">
        <v>5897</v>
      </c>
      <c r="E6068" s="6" t="str">
        <f>HYPERLINK("https://twitter.com/petrogustavo/status/1264907383949623297","1264907383949623297")</f>
        <v>1264907383949623297</v>
      </c>
      <c r="F6068" s="7" t="s">
        <v>17</v>
      </c>
      <c r="G6068" s="7">
        <v>3840372</v>
      </c>
      <c r="H6068" s="7">
        <v>2413</v>
      </c>
      <c r="I6068" s="7">
        <v>3272</v>
      </c>
      <c r="J6068" s="7">
        <v>0</v>
      </c>
      <c r="K6068" s="7" t="s">
        <v>18</v>
      </c>
      <c r="L6068" s="8">
        <v>39987.315405092595</v>
      </c>
      <c r="M6068" s="9" t="s">
        <v>19</v>
      </c>
      <c r="N6068" s="9" t="s">
        <v>20</v>
      </c>
      <c r="O6068" s="6" t="str">
        <f>HYPERLINK("https://pbs.twimg.com/profile_images/962471262747529216/Uo8lOkRJ_normal.jpg","View")</f>
        <v>View</v>
      </c>
      <c r="P6068" s="7"/>
    </row>
    <row r="6069" spans="1:16">
      <c r="A6069" s="3">
        <v>43976.785798611112</v>
      </c>
      <c r="B6069" s="4" t="str">
        <f>HYPERLINK("https://twitter.com/petrogustavo","@petrogustavo")</f>
        <v>@petrogustavo</v>
      </c>
      <c r="C6069" s="5" t="s">
        <v>16</v>
      </c>
      <c r="D6069" s="5" t="s">
        <v>5898</v>
      </c>
      <c r="E6069" s="6" t="str">
        <f>HYPERLINK("https://twitter.com/petrogustavo/status/1264909469475110912","1264909469475110912")</f>
        <v>1264909469475110912</v>
      </c>
      <c r="F6069" s="7" t="s">
        <v>17</v>
      </c>
      <c r="G6069" s="7">
        <v>3840372</v>
      </c>
      <c r="H6069" s="7">
        <v>2413</v>
      </c>
      <c r="I6069" s="7">
        <v>120</v>
      </c>
      <c r="J6069" s="7">
        <v>277</v>
      </c>
      <c r="K6069" s="7" t="s">
        <v>18</v>
      </c>
      <c r="L6069" s="8">
        <v>39987.315405092595</v>
      </c>
      <c r="M6069" s="9" t="s">
        <v>19</v>
      </c>
      <c r="N6069" s="9" t="s">
        <v>20</v>
      </c>
      <c r="O6069" s="6" t="str">
        <f>HYPERLINK("https://pbs.twimg.com/profile_images/962471262747529216/Uo8lOkRJ_normal.jpg","View")</f>
        <v>View</v>
      </c>
      <c r="P6069" s="7"/>
    </row>
    <row r="6070" spans="1:16">
      <c r="A6070" s="3">
        <v>43976.787743055553</v>
      </c>
      <c r="B6070" s="4" t="str">
        <f>HYPERLINK("https://twitter.com/petrogustavo","@petrogustavo")</f>
        <v>@petrogustavo</v>
      </c>
      <c r="C6070" s="5" t="s">
        <v>16</v>
      </c>
      <c r="D6070" s="5" t="s">
        <v>5899</v>
      </c>
      <c r="E6070" s="6" t="str">
        <f>HYPERLINK("https://twitter.com/petrogustavo/status/1264910176420859904","1264910176420859904")</f>
        <v>1264910176420859904</v>
      </c>
      <c r="F6070" s="7" t="s">
        <v>17</v>
      </c>
      <c r="G6070" s="7">
        <v>3840372</v>
      </c>
      <c r="H6070" s="7">
        <v>2413</v>
      </c>
      <c r="I6070" s="7">
        <v>42</v>
      </c>
      <c r="J6070" s="7">
        <v>122</v>
      </c>
      <c r="K6070" s="7" t="s">
        <v>18</v>
      </c>
      <c r="L6070" s="8">
        <v>39987.315405092595</v>
      </c>
      <c r="M6070" s="9" t="s">
        <v>19</v>
      </c>
      <c r="N6070" s="9" t="s">
        <v>20</v>
      </c>
      <c r="O6070" s="6" t="str">
        <f>HYPERLINK("https://pbs.twimg.com/profile_images/962471262747529216/Uo8lOkRJ_normal.jpg","View")</f>
        <v>View</v>
      </c>
      <c r="P6070" s="7"/>
    </row>
    <row r="6071" spans="1:16">
      <c r="A6071" s="3">
        <v>43976.793124999997</v>
      </c>
      <c r="B6071" s="4" t="str">
        <f>HYPERLINK("https://twitter.com/petrogustavo","@petrogustavo")</f>
        <v>@petrogustavo</v>
      </c>
      <c r="C6071" s="5" t="s">
        <v>16</v>
      </c>
      <c r="D6071" s="5" t="s">
        <v>5900</v>
      </c>
      <c r="E6071" s="6" t="str">
        <f>HYPERLINK("https://twitter.com/petrogustavo/status/1264912125471928320","1264912125471928320")</f>
        <v>1264912125471928320</v>
      </c>
      <c r="F6071" s="7" t="s">
        <v>17</v>
      </c>
      <c r="G6071" s="7">
        <v>3840372</v>
      </c>
      <c r="H6071" s="7">
        <v>2413</v>
      </c>
      <c r="I6071" s="7">
        <v>10</v>
      </c>
      <c r="J6071" s="7">
        <v>22</v>
      </c>
      <c r="K6071" s="7" t="s">
        <v>18</v>
      </c>
      <c r="L6071" s="8">
        <v>39987.315405092595</v>
      </c>
      <c r="M6071" s="9" t="s">
        <v>19</v>
      </c>
      <c r="N6071" s="9" t="s">
        <v>20</v>
      </c>
      <c r="O6071" s="6" t="str">
        <f>HYPERLINK("https://pbs.twimg.com/profile_images/962471262747529216/Uo8lOkRJ_normal.jpg","View")</f>
        <v>View</v>
      </c>
      <c r="P6071" s="7"/>
    </row>
    <row r="6072" spans="1:16">
      <c r="A6072" s="3">
        <v>43976.798055555555</v>
      </c>
      <c r="B6072" s="4" t="str">
        <f>HYPERLINK("https://twitter.com/petrogustavo","@petrogustavo")</f>
        <v>@petrogustavo</v>
      </c>
      <c r="C6072" s="5" t="s">
        <v>16</v>
      </c>
      <c r="D6072" s="5" t="s">
        <v>5901</v>
      </c>
      <c r="E6072" s="6" t="str">
        <f>HYPERLINK("https://twitter.com/petrogustavo/status/1264913914380333056","1264913914380333056")</f>
        <v>1264913914380333056</v>
      </c>
      <c r="F6072" s="7" t="s">
        <v>17</v>
      </c>
      <c r="G6072" s="7">
        <v>3840403</v>
      </c>
      <c r="H6072" s="7">
        <v>2413</v>
      </c>
      <c r="I6072" s="7">
        <v>70</v>
      </c>
      <c r="J6072" s="7">
        <v>202</v>
      </c>
      <c r="K6072" s="7" t="s">
        <v>18</v>
      </c>
      <c r="L6072" s="8">
        <v>39987.315405092595</v>
      </c>
      <c r="M6072" s="9" t="s">
        <v>19</v>
      </c>
      <c r="N6072" s="9" t="s">
        <v>20</v>
      </c>
      <c r="O6072" s="6" t="str">
        <f>HYPERLINK("https://pbs.twimg.com/profile_images/962471262747529216/Uo8lOkRJ_normal.jpg","View")</f>
        <v>View</v>
      </c>
      <c r="P6072" s="7"/>
    </row>
    <row r="6073" spans="1:16">
      <c r="A6073" s="3">
        <v>43976.799502314811</v>
      </c>
      <c r="B6073" s="4" t="str">
        <f>HYPERLINK("https://twitter.com/petrogustavo","@petrogustavo")</f>
        <v>@petrogustavo</v>
      </c>
      <c r="C6073" s="5" t="s">
        <v>16</v>
      </c>
      <c r="D6073" s="5" t="s">
        <v>5902</v>
      </c>
      <c r="E6073" s="6" t="str">
        <f>HYPERLINK("https://twitter.com/petrogustavo/status/1264914437942755328","1264914437942755328")</f>
        <v>1264914437942755328</v>
      </c>
      <c r="F6073" s="7" t="s">
        <v>17</v>
      </c>
      <c r="G6073" s="7">
        <v>3840403</v>
      </c>
      <c r="H6073" s="7">
        <v>2413</v>
      </c>
      <c r="I6073" s="7">
        <v>56</v>
      </c>
      <c r="J6073" s="7">
        <v>181</v>
      </c>
      <c r="K6073" s="7" t="s">
        <v>18</v>
      </c>
      <c r="L6073" s="8">
        <v>39987.315405092595</v>
      </c>
      <c r="M6073" s="9" t="s">
        <v>19</v>
      </c>
      <c r="N6073" s="9" t="s">
        <v>20</v>
      </c>
      <c r="O6073" s="6" t="str">
        <f>HYPERLINK("https://pbs.twimg.com/profile_images/962471262747529216/Uo8lOkRJ_normal.jpg","View")</f>
        <v>View</v>
      </c>
      <c r="P6073" s="7"/>
    </row>
    <row r="6074" spans="1:16">
      <c r="A6074" s="3">
        <v>43976.825358796297</v>
      </c>
      <c r="B6074" s="4" t="str">
        <f>HYPERLINK("https://twitter.com/petrogustavo","@petrogustavo")</f>
        <v>@petrogustavo</v>
      </c>
      <c r="C6074" s="5" t="s">
        <v>16</v>
      </c>
      <c r="D6074" s="5" t="s">
        <v>5903</v>
      </c>
      <c r="E6074" s="6" t="str">
        <f>HYPERLINK("https://twitter.com/petrogustavo/status/1264923805883019265","1264923805883019265")</f>
        <v>1264923805883019265</v>
      </c>
      <c r="F6074" s="7" t="s">
        <v>17</v>
      </c>
      <c r="G6074" s="7">
        <v>3840435</v>
      </c>
      <c r="H6074" s="7">
        <v>2412</v>
      </c>
      <c r="I6074" s="7">
        <v>1456</v>
      </c>
      <c r="J6074" s="7">
        <v>0</v>
      </c>
      <c r="K6074" s="7" t="s">
        <v>18</v>
      </c>
      <c r="L6074" s="8">
        <v>39987.315405092595</v>
      </c>
      <c r="M6074" s="9" t="s">
        <v>19</v>
      </c>
      <c r="N6074" s="9" t="s">
        <v>20</v>
      </c>
      <c r="O6074" s="6" t="str">
        <f>HYPERLINK("https://pbs.twimg.com/profile_images/962471262747529216/Uo8lOkRJ_normal.jpg","View")</f>
        <v>View</v>
      </c>
      <c r="P6074" s="7"/>
    </row>
    <row r="6075" spans="1:16">
      <c r="A6075" s="3">
        <v>43976.834791666668</v>
      </c>
      <c r="B6075" s="4" t="str">
        <f>HYPERLINK("https://twitter.com/petrogustavo","@petrogustavo")</f>
        <v>@petrogustavo</v>
      </c>
      <c r="C6075" s="5" t="s">
        <v>16</v>
      </c>
      <c r="D6075" s="5" t="s">
        <v>5904</v>
      </c>
      <c r="E6075" s="6" t="str">
        <f>HYPERLINK("https://twitter.com/petrogustavo/status/1264927227805937664","1264927227805937664")</f>
        <v>1264927227805937664</v>
      </c>
      <c r="F6075" s="7" t="s">
        <v>17</v>
      </c>
      <c r="G6075" s="7">
        <v>3840435</v>
      </c>
      <c r="H6075" s="7">
        <v>2412</v>
      </c>
      <c r="I6075" s="7">
        <v>0</v>
      </c>
      <c r="J6075" s="7">
        <v>0</v>
      </c>
      <c r="K6075" s="7" t="s">
        <v>18</v>
      </c>
      <c r="L6075" s="8">
        <v>39987.315405092595</v>
      </c>
      <c r="M6075" s="9" t="s">
        <v>19</v>
      </c>
      <c r="N6075" s="9" t="s">
        <v>20</v>
      </c>
      <c r="O6075" s="6" t="str">
        <f>HYPERLINK("https://pbs.twimg.com/profile_images/962471262747529216/Uo8lOkRJ_normal.jpg","View")</f>
        <v>View</v>
      </c>
      <c r="P6075" s="7"/>
    </row>
    <row r="6076" spans="1:16">
      <c r="A6076" s="3">
        <v>43976.835312499999</v>
      </c>
      <c r="B6076" s="4" t="str">
        <f>HYPERLINK("https://twitter.com/petrogustavo","@petrogustavo")</f>
        <v>@petrogustavo</v>
      </c>
      <c r="C6076" s="5" t="s">
        <v>16</v>
      </c>
      <c r="D6076" s="5" t="s">
        <v>5844</v>
      </c>
      <c r="E6076" s="6" t="str">
        <f>HYPERLINK("https://twitter.com/petrogustavo/status/1264927413995266049","1264927413995266049")</f>
        <v>1264927413995266049</v>
      </c>
      <c r="F6076" s="7" t="s">
        <v>17</v>
      </c>
      <c r="G6076" s="7">
        <v>3840463</v>
      </c>
      <c r="H6076" s="7">
        <v>2412</v>
      </c>
      <c r="I6076" s="7">
        <v>8185</v>
      </c>
      <c r="J6076" s="7">
        <v>0</v>
      </c>
      <c r="K6076" s="7" t="s">
        <v>18</v>
      </c>
      <c r="L6076" s="8">
        <v>39987.315405092595</v>
      </c>
      <c r="M6076" s="9" t="s">
        <v>19</v>
      </c>
      <c r="N6076" s="9" t="s">
        <v>20</v>
      </c>
      <c r="O6076" s="6" t="str">
        <f>HYPERLINK("https://pbs.twimg.com/profile_images/962471262747529216/Uo8lOkRJ_normal.jpg","View")</f>
        <v>View</v>
      </c>
      <c r="P6076" s="7"/>
    </row>
    <row r="6077" spans="1:16">
      <c r="A6077" s="3">
        <v>43977.256782407407</v>
      </c>
      <c r="B6077" s="4" t="str">
        <f>HYPERLINK("https://twitter.com/petrogustavo","@petrogustavo")</f>
        <v>@petrogustavo</v>
      </c>
      <c r="C6077" s="5" t="s">
        <v>16</v>
      </c>
      <c r="D6077" s="5" t="s">
        <v>5905</v>
      </c>
      <c r="E6077" s="6" t="str">
        <f>HYPERLINK("https://twitter.com/petrogustavo/status/1265080150519054338","1265080150519054338")</f>
        <v>1265080150519054338</v>
      </c>
      <c r="F6077" s="7" t="s">
        <v>32</v>
      </c>
      <c r="G6077" s="7">
        <v>3841005</v>
      </c>
      <c r="H6077" s="7">
        <v>2412</v>
      </c>
      <c r="I6077" s="7">
        <v>684</v>
      </c>
      <c r="J6077" s="7">
        <v>2906</v>
      </c>
      <c r="K6077" s="7" t="s">
        <v>18</v>
      </c>
      <c r="L6077" s="8">
        <v>39987.315405092595</v>
      </c>
      <c r="M6077" s="9" t="s">
        <v>19</v>
      </c>
      <c r="N6077" s="9" t="s">
        <v>20</v>
      </c>
      <c r="O6077" s="6" t="str">
        <f>HYPERLINK("https://pbs.twimg.com/profile_images/962471262747529216/Uo8lOkRJ_normal.jpg","View")</f>
        <v>View</v>
      </c>
      <c r="P6077" s="7"/>
    </row>
    <row r="6078" spans="1:16">
      <c r="A6078" s="3">
        <v>43977.29996527778</v>
      </c>
      <c r="B6078" s="4" t="str">
        <f>HYPERLINK("https://twitter.com/petrogustavo","@petrogustavo")</f>
        <v>@petrogustavo</v>
      </c>
      <c r="C6078" s="5" t="s">
        <v>16</v>
      </c>
      <c r="D6078" s="5" t="s">
        <v>5906</v>
      </c>
      <c r="E6078" s="6" t="str">
        <f>HYPERLINK("https://twitter.com/petrogustavo/status/1265095800562032650","1265095800562032650")</f>
        <v>1265095800562032650</v>
      </c>
      <c r="F6078" s="7" t="s">
        <v>17</v>
      </c>
      <c r="G6078" s="7">
        <v>3841096</v>
      </c>
      <c r="H6078" s="7">
        <v>2412</v>
      </c>
      <c r="I6078" s="7">
        <v>114</v>
      </c>
      <c r="J6078" s="7">
        <v>745</v>
      </c>
      <c r="K6078" s="7" t="s">
        <v>18</v>
      </c>
      <c r="L6078" s="8">
        <v>39987.315405092595</v>
      </c>
      <c r="M6078" s="9" t="s">
        <v>19</v>
      </c>
      <c r="N6078" s="9" t="s">
        <v>20</v>
      </c>
      <c r="O6078" s="6" t="str">
        <f>HYPERLINK("https://pbs.twimg.com/profile_images/962471262747529216/Uo8lOkRJ_normal.jpg","View")</f>
        <v>View</v>
      </c>
      <c r="P6078" s="7"/>
    </row>
    <row r="6079" spans="1:16">
      <c r="A6079" s="3">
        <v>43977.739837962959</v>
      </c>
      <c r="B6079" s="4" t="str">
        <f>HYPERLINK("https://twitter.com/petrogustavo","@petrogustavo")</f>
        <v>@petrogustavo</v>
      </c>
      <c r="C6079" s="5" t="s">
        <v>16</v>
      </c>
      <c r="D6079" s="5" t="s">
        <v>5907</v>
      </c>
      <c r="E6079" s="6" t="str">
        <f>HYPERLINK("https://twitter.com/petrogustavo/status/1265255204536147968","1265255204536147968")</f>
        <v>1265255204536147968</v>
      </c>
      <c r="F6079" s="7" t="s">
        <v>17</v>
      </c>
      <c r="G6079" s="7">
        <v>3841565</v>
      </c>
      <c r="H6079" s="7">
        <v>2412</v>
      </c>
      <c r="I6079" s="7">
        <v>168</v>
      </c>
      <c r="J6079" s="7">
        <v>0</v>
      </c>
      <c r="K6079" s="7" t="s">
        <v>18</v>
      </c>
      <c r="L6079" s="8">
        <v>39987.315405092595</v>
      </c>
      <c r="M6079" s="9" t="s">
        <v>19</v>
      </c>
      <c r="N6079" s="9" t="s">
        <v>20</v>
      </c>
      <c r="O6079" s="6" t="str">
        <f>HYPERLINK("https://pbs.twimg.com/profile_images/962471262747529216/Uo8lOkRJ_normal.jpg","View")</f>
        <v>View</v>
      </c>
      <c r="P6079" s="7"/>
    </row>
    <row r="6080" spans="1:16">
      <c r="A6080" s="3">
        <v>43977.75</v>
      </c>
      <c r="B6080" s="4" t="str">
        <f>HYPERLINK("https://twitter.com/petrogustavo","@petrogustavo")</f>
        <v>@petrogustavo</v>
      </c>
      <c r="C6080" s="5" t="s">
        <v>16</v>
      </c>
      <c r="D6080" s="5" t="s">
        <v>5908</v>
      </c>
      <c r="E6080" s="6" t="str">
        <f>HYPERLINK("https://twitter.com/petrogustavo/status/1265258885088194562","1265258885088194562")</f>
        <v>1265258885088194562</v>
      </c>
      <c r="F6080" s="7" t="s">
        <v>17</v>
      </c>
      <c r="G6080" s="7">
        <v>3841565</v>
      </c>
      <c r="H6080" s="7">
        <v>2412</v>
      </c>
      <c r="I6080" s="7">
        <v>346</v>
      </c>
      <c r="J6080" s="7">
        <v>0</v>
      </c>
      <c r="K6080" s="7" t="s">
        <v>18</v>
      </c>
      <c r="L6080" s="8">
        <v>39987.315405092595</v>
      </c>
      <c r="M6080" s="9" t="s">
        <v>19</v>
      </c>
      <c r="N6080" s="9" t="s">
        <v>20</v>
      </c>
      <c r="O6080" s="6" t="str">
        <f>HYPERLINK("https://pbs.twimg.com/profile_images/962471262747529216/Uo8lOkRJ_normal.jpg","View")</f>
        <v>View</v>
      </c>
      <c r="P6080" s="7"/>
    </row>
    <row r="6081" spans="1:16">
      <c r="A6081" s="3">
        <v>43977.783599537041</v>
      </c>
      <c r="B6081" s="4" t="str">
        <f>HYPERLINK("https://twitter.com/petrogustavo","@petrogustavo")</f>
        <v>@petrogustavo</v>
      </c>
      <c r="C6081" s="5" t="s">
        <v>16</v>
      </c>
      <c r="D6081" s="5" t="s">
        <v>5909</v>
      </c>
      <c r="E6081" s="6" t="str">
        <f>HYPERLINK("https://twitter.com/petrogustavo/status/1265271064290037760","1265271064290037760")</f>
        <v>1265271064290037760</v>
      </c>
      <c r="F6081" s="7" t="s">
        <v>17</v>
      </c>
      <c r="G6081" s="7">
        <v>3841643</v>
      </c>
      <c r="H6081" s="7">
        <v>2412</v>
      </c>
      <c r="I6081" s="7">
        <v>10</v>
      </c>
      <c r="J6081" s="7">
        <v>0</v>
      </c>
      <c r="K6081" s="7" t="s">
        <v>18</v>
      </c>
      <c r="L6081" s="8">
        <v>39987.315405092595</v>
      </c>
      <c r="M6081" s="9" t="s">
        <v>19</v>
      </c>
      <c r="N6081" s="9" t="s">
        <v>20</v>
      </c>
      <c r="O6081" s="6" t="str">
        <f>HYPERLINK("https://pbs.twimg.com/profile_images/962471262747529216/Uo8lOkRJ_normal.jpg","View")</f>
        <v>View</v>
      </c>
      <c r="P6081" s="7"/>
    </row>
    <row r="6082" spans="1:16">
      <c r="A6082" s="3">
        <v>43977.839050925926</v>
      </c>
      <c r="B6082" s="4" t="str">
        <f>HYPERLINK("https://twitter.com/petrogustavo","@petrogustavo")</f>
        <v>@petrogustavo</v>
      </c>
      <c r="C6082" s="5" t="s">
        <v>16</v>
      </c>
      <c r="D6082" s="5" t="s">
        <v>5910</v>
      </c>
      <c r="E6082" s="6" t="str">
        <f>HYPERLINK("https://twitter.com/petrogustavo/status/1265291156755230720","1265291156755230720")</f>
        <v>1265291156755230720</v>
      </c>
      <c r="F6082" s="7" t="s">
        <v>17</v>
      </c>
      <c r="G6082" s="7">
        <v>3841739</v>
      </c>
      <c r="H6082" s="7">
        <v>2412</v>
      </c>
      <c r="I6082" s="7">
        <v>398</v>
      </c>
      <c r="J6082" s="7">
        <v>1349</v>
      </c>
      <c r="K6082" s="7" t="s">
        <v>18</v>
      </c>
      <c r="L6082" s="8">
        <v>39987.315405092595</v>
      </c>
      <c r="M6082" s="9" t="s">
        <v>19</v>
      </c>
      <c r="N6082" s="9" t="s">
        <v>20</v>
      </c>
      <c r="O6082" s="6" t="str">
        <f>HYPERLINK("https://pbs.twimg.com/profile_images/962471262747529216/Uo8lOkRJ_normal.jpg","View")</f>
        <v>View</v>
      </c>
      <c r="P6082" s="7"/>
    </row>
    <row r="6083" spans="1:16">
      <c r="A6083" s="3">
        <v>43977.910925925928</v>
      </c>
      <c r="B6083" s="4" t="str">
        <f>HYPERLINK("https://twitter.com/petrogustavo","@petrogustavo")</f>
        <v>@petrogustavo</v>
      </c>
      <c r="C6083" s="5" t="s">
        <v>16</v>
      </c>
      <c r="D6083" s="5" t="s">
        <v>5911</v>
      </c>
      <c r="E6083" s="6" t="str">
        <f>HYPERLINK("https://twitter.com/petrogustavo/status/1265317204993736706","1265317204993736706")</f>
        <v>1265317204993736706</v>
      </c>
      <c r="F6083" s="7" t="s">
        <v>32</v>
      </c>
      <c r="G6083" s="7">
        <v>3841853</v>
      </c>
      <c r="H6083" s="7">
        <v>2412</v>
      </c>
      <c r="I6083" s="7">
        <v>451</v>
      </c>
      <c r="J6083" s="7">
        <v>1025</v>
      </c>
      <c r="K6083" s="7" t="s">
        <v>18</v>
      </c>
      <c r="L6083" s="8">
        <v>39987.315405092595</v>
      </c>
      <c r="M6083" s="9" t="s">
        <v>19</v>
      </c>
      <c r="N6083" s="9" t="s">
        <v>20</v>
      </c>
      <c r="O6083" s="6" t="str">
        <f>HYPERLINK("https://pbs.twimg.com/profile_images/962471262747529216/Uo8lOkRJ_normal.jpg","View")</f>
        <v>View</v>
      </c>
      <c r="P6083" s="7"/>
    </row>
    <row r="6084" spans="1:16">
      <c r="A6084" s="3">
        <v>43977.913344907407</v>
      </c>
      <c r="B6084" s="4" t="str">
        <f>HYPERLINK("https://twitter.com/petrogustavo","@petrogustavo")</f>
        <v>@petrogustavo</v>
      </c>
      <c r="C6084" s="5" t="s">
        <v>16</v>
      </c>
      <c r="D6084" s="5" t="s">
        <v>5912</v>
      </c>
      <c r="E6084" s="6" t="str">
        <f>HYPERLINK("https://twitter.com/petrogustavo/status/1265318080101613569","1265318080101613569")</f>
        <v>1265318080101613569</v>
      </c>
      <c r="F6084" s="7" t="s">
        <v>17</v>
      </c>
      <c r="G6084" s="7">
        <v>3841853</v>
      </c>
      <c r="H6084" s="7">
        <v>2412</v>
      </c>
      <c r="I6084" s="7">
        <v>216</v>
      </c>
      <c r="J6084" s="7">
        <v>691</v>
      </c>
      <c r="K6084" s="7" t="s">
        <v>18</v>
      </c>
      <c r="L6084" s="8">
        <v>39987.315405092595</v>
      </c>
      <c r="M6084" s="9" t="s">
        <v>19</v>
      </c>
      <c r="N6084" s="9" t="s">
        <v>20</v>
      </c>
      <c r="O6084" s="6" t="str">
        <f>HYPERLINK("https://pbs.twimg.com/profile_images/962471262747529216/Uo8lOkRJ_normal.jpg","View")</f>
        <v>View</v>
      </c>
      <c r="P6084" s="7"/>
    </row>
    <row r="6085" spans="1:16">
      <c r="A6085" s="3">
        <v>43977.963136574079</v>
      </c>
      <c r="B6085" s="4" t="str">
        <f>HYPERLINK("https://twitter.com/petrogustavo","@petrogustavo")</f>
        <v>@petrogustavo</v>
      </c>
      <c r="C6085" s="5" t="s">
        <v>16</v>
      </c>
      <c r="D6085" s="5" t="s">
        <v>5913</v>
      </c>
      <c r="E6085" s="6" t="str">
        <f>HYPERLINK("https://twitter.com/petrogustavo/status/1265336123821363200","1265336123821363200")</f>
        <v>1265336123821363200</v>
      </c>
      <c r="F6085" s="7" t="s">
        <v>32</v>
      </c>
      <c r="G6085" s="7">
        <v>3841986</v>
      </c>
      <c r="H6085" s="7">
        <v>2412</v>
      </c>
      <c r="I6085" s="7">
        <v>697</v>
      </c>
      <c r="J6085" s="7">
        <v>1438</v>
      </c>
      <c r="K6085" s="7" t="s">
        <v>18</v>
      </c>
      <c r="L6085" s="8">
        <v>39987.315405092595</v>
      </c>
      <c r="M6085" s="9" t="s">
        <v>19</v>
      </c>
      <c r="N6085" s="9" t="s">
        <v>20</v>
      </c>
      <c r="O6085" s="6" t="str">
        <f>HYPERLINK("https://pbs.twimg.com/profile_images/962471262747529216/Uo8lOkRJ_normal.jpg","View")</f>
        <v>View</v>
      </c>
      <c r="P6085" s="7"/>
    </row>
    <row r="6086" spans="1:16">
      <c r="A6086" s="3">
        <v>43978.012789351851</v>
      </c>
      <c r="B6086" s="4" t="str">
        <f>HYPERLINK("https://twitter.com/petrogustavo","@petrogustavo")</f>
        <v>@petrogustavo</v>
      </c>
      <c r="C6086" s="5" t="s">
        <v>16</v>
      </c>
      <c r="D6086" s="5" t="s">
        <v>5914</v>
      </c>
      <c r="E6086" s="6" t="str">
        <f>HYPERLINK("https://twitter.com/petrogustavo/status/1265354116462673921","1265354116462673921")</f>
        <v>1265354116462673921</v>
      </c>
      <c r="F6086" s="7" t="s">
        <v>17</v>
      </c>
      <c r="G6086" s="7">
        <v>3842088</v>
      </c>
      <c r="H6086" s="7">
        <v>2412</v>
      </c>
      <c r="I6086" s="7">
        <v>2760</v>
      </c>
      <c r="J6086" s="7">
        <v>0</v>
      </c>
      <c r="K6086" s="7" t="s">
        <v>18</v>
      </c>
      <c r="L6086" s="8">
        <v>39987.315405092595</v>
      </c>
      <c r="M6086" s="9" t="s">
        <v>19</v>
      </c>
      <c r="N6086" s="9" t="s">
        <v>20</v>
      </c>
      <c r="O6086" s="6" t="str">
        <f>HYPERLINK("https://pbs.twimg.com/profile_images/962471262747529216/Uo8lOkRJ_normal.jpg","View")</f>
        <v>View</v>
      </c>
      <c r="P6086" s="7"/>
    </row>
    <row r="6087" spans="1:16">
      <c r="A6087" s="3">
        <v>43978.150347222225</v>
      </c>
      <c r="B6087" s="4" t="str">
        <f>HYPERLINK("https://twitter.com/petrogustavo","@petrogustavo")</f>
        <v>@petrogustavo</v>
      </c>
      <c r="C6087" s="5" t="s">
        <v>16</v>
      </c>
      <c r="D6087" s="5" t="s">
        <v>5915</v>
      </c>
      <c r="E6087" s="6" t="str">
        <f>HYPERLINK("https://twitter.com/petrogustavo/status/1265403968567619585","1265403968567619585")</f>
        <v>1265403968567619585</v>
      </c>
      <c r="F6087" s="7" t="s">
        <v>32</v>
      </c>
      <c r="G6087" s="7">
        <v>3842322</v>
      </c>
      <c r="H6087" s="7">
        <v>2412</v>
      </c>
      <c r="I6087" s="7">
        <v>1205</v>
      </c>
      <c r="J6087" s="7">
        <v>0</v>
      </c>
      <c r="K6087" s="7" t="s">
        <v>18</v>
      </c>
      <c r="L6087" s="8">
        <v>39987.315405092595</v>
      </c>
      <c r="M6087" s="9" t="s">
        <v>19</v>
      </c>
      <c r="N6087" s="9" t="s">
        <v>20</v>
      </c>
      <c r="O6087" s="6" t="str">
        <f>HYPERLINK("https://pbs.twimg.com/profile_images/962471262747529216/Uo8lOkRJ_normal.jpg","View")</f>
        <v>View</v>
      </c>
      <c r="P6087" s="7"/>
    </row>
    <row r="6088" spans="1:16">
      <c r="A6088" s="3">
        <v>43978.152037037042</v>
      </c>
      <c r="B6088" s="4" t="str">
        <f>HYPERLINK("https://twitter.com/petrogustavo","@petrogustavo")</f>
        <v>@petrogustavo</v>
      </c>
      <c r="C6088" s="5" t="s">
        <v>16</v>
      </c>
      <c r="D6088" s="5" t="s">
        <v>5916</v>
      </c>
      <c r="E6088" s="6" t="str">
        <f>HYPERLINK("https://twitter.com/petrogustavo/status/1265404578176131072","1265404578176131072")</f>
        <v>1265404578176131072</v>
      </c>
      <c r="F6088" s="7" t="s">
        <v>32</v>
      </c>
      <c r="G6088" s="7">
        <v>3842322</v>
      </c>
      <c r="H6088" s="7">
        <v>2412</v>
      </c>
      <c r="I6088" s="7">
        <v>74</v>
      </c>
      <c r="J6088" s="7">
        <v>0</v>
      </c>
      <c r="K6088" s="7" t="s">
        <v>18</v>
      </c>
      <c r="L6088" s="8">
        <v>39987.315405092595</v>
      </c>
      <c r="M6088" s="9" t="s">
        <v>19</v>
      </c>
      <c r="N6088" s="9" t="s">
        <v>20</v>
      </c>
      <c r="O6088" s="6" t="str">
        <f>HYPERLINK("https://pbs.twimg.com/profile_images/962471262747529216/Uo8lOkRJ_normal.jpg","View")</f>
        <v>View</v>
      </c>
      <c r="P6088" s="7"/>
    </row>
    <row r="6089" spans="1:16">
      <c r="A6089" s="3">
        <v>43978.15243055555</v>
      </c>
      <c r="B6089" s="4" t="str">
        <f>HYPERLINK("https://twitter.com/petrogustavo","@petrogustavo")</f>
        <v>@petrogustavo</v>
      </c>
      <c r="C6089" s="5" t="s">
        <v>16</v>
      </c>
      <c r="D6089" s="5" t="s">
        <v>5917</v>
      </c>
      <c r="E6089" s="6" t="str">
        <f>HYPERLINK("https://twitter.com/petrogustavo/status/1265404723676545024","1265404723676545024")</f>
        <v>1265404723676545024</v>
      </c>
      <c r="F6089" s="7" t="s">
        <v>32</v>
      </c>
      <c r="G6089" s="7">
        <v>3842322</v>
      </c>
      <c r="H6089" s="7">
        <v>2412</v>
      </c>
      <c r="I6089" s="7">
        <v>108</v>
      </c>
      <c r="J6089" s="7">
        <v>0</v>
      </c>
      <c r="K6089" s="7" t="s">
        <v>18</v>
      </c>
      <c r="L6089" s="8">
        <v>39987.315405092595</v>
      </c>
      <c r="M6089" s="9" t="s">
        <v>19</v>
      </c>
      <c r="N6089" s="9" t="s">
        <v>20</v>
      </c>
      <c r="O6089" s="6" t="str">
        <f>HYPERLINK("https://pbs.twimg.com/profile_images/962471262747529216/Uo8lOkRJ_normal.jpg","View")</f>
        <v>View</v>
      </c>
      <c r="P6089" s="7"/>
    </row>
    <row r="6090" spans="1:16">
      <c r="A6090" s="3">
        <v>43978.154803240745</v>
      </c>
      <c r="B6090" s="4" t="str">
        <f>HYPERLINK("https://twitter.com/petrogustavo","@petrogustavo")</f>
        <v>@petrogustavo</v>
      </c>
      <c r="C6090" s="5" t="s">
        <v>16</v>
      </c>
      <c r="D6090" s="5" t="s">
        <v>5918</v>
      </c>
      <c r="E6090" s="6" t="str">
        <f>HYPERLINK("https://twitter.com/petrogustavo/status/1265405581051015172","1265405581051015172")</f>
        <v>1265405581051015172</v>
      </c>
      <c r="F6090" s="7" t="s">
        <v>32</v>
      </c>
      <c r="G6090" s="7">
        <v>3842322</v>
      </c>
      <c r="H6090" s="7">
        <v>2412</v>
      </c>
      <c r="I6090" s="7">
        <v>209</v>
      </c>
      <c r="J6090" s="7">
        <v>0</v>
      </c>
      <c r="K6090" s="7" t="s">
        <v>18</v>
      </c>
      <c r="L6090" s="8">
        <v>39987.315405092595</v>
      </c>
      <c r="M6090" s="9" t="s">
        <v>19</v>
      </c>
      <c r="N6090" s="9" t="s">
        <v>20</v>
      </c>
      <c r="O6090" s="6" t="str">
        <f>HYPERLINK("https://pbs.twimg.com/profile_images/962471262747529216/Uo8lOkRJ_normal.jpg","View")</f>
        <v>View</v>
      </c>
      <c r="P6090" s="7"/>
    </row>
    <row r="6091" spans="1:16">
      <c r="A6091" s="3">
        <v>43978.157094907408</v>
      </c>
      <c r="B6091" s="4" t="str">
        <f>HYPERLINK("https://twitter.com/petrogustavo","@petrogustavo")</f>
        <v>@petrogustavo</v>
      </c>
      <c r="C6091" s="5" t="s">
        <v>16</v>
      </c>
      <c r="D6091" s="5" t="s">
        <v>5919</v>
      </c>
      <c r="E6091" s="6" t="str">
        <f>HYPERLINK("https://twitter.com/petrogustavo/status/1265406412034801664","1265406412034801664")</f>
        <v>1265406412034801664</v>
      </c>
      <c r="F6091" s="7" t="s">
        <v>32</v>
      </c>
      <c r="G6091" s="7">
        <v>3842322</v>
      </c>
      <c r="H6091" s="7">
        <v>2412</v>
      </c>
      <c r="I6091" s="7">
        <v>220</v>
      </c>
      <c r="J6091" s="7">
        <v>445</v>
      </c>
      <c r="K6091" s="7" t="s">
        <v>18</v>
      </c>
      <c r="L6091" s="8">
        <v>39987.315405092595</v>
      </c>
      <c r="M6091" s="9" t="s">
        <v>19</v>
      </c>
      <c r="N6091" s="9" t="s">
        <v>20</v>
      </c>
      <c r="O6091" s="6" t="str">
        <f>HYPERLINK("https://pbs.twimg.com/profile_images/962471262747529216/Uo8lOkRJ_normal.jpg","View")</f>
        <v>View</v>
      </c>
      <c r="P6091" s="7"/>
    </row>
    <row r="6092" spans="1:16">
      <c r="A6092" s="3">
        <v>43978.231412037036</v>
      </c>
      <c r="B6092" s="4" t="str">
        <f>HYPERLINK("https://twitter.com/petrogustavo","@petrogustavo")</f>
        <v>@petrogustavo</v>
      </c>
      <c r="C6092" s="5" t="s">
        <v>16</v>
      </c>
      <c r="D6092" s="5" t="s">
        <v>5914</v>
      </c>
      <c r="E6092" s="6" t="str">
        <f>HYPERLINK("https://twitter.com/petrogustavo/status/1265433344843689986","1265433344843689986")</f>
        <v>1265433344843689986</v>
      </c>
      <c r="F6092" s="7" t="s">
        <v>17</v>
      </c>
      <c r="G6092" s="7">
        <v>3842481</v>
      </c>
      <c r="H6092" s="7">
        <v>2412</v>
      </c>
      <c r="I6092" s="7">
        <v>4394</v>
      </c>
      <c r="J6092" s="7">
        <v>0</v>
      </c>
      <c r="K6092" s="7" t="s">
        <v>18</v>
      </c>
      <c r="L6092" s="8">
        <v>39987.315405092595</v>
      </c>
      <c r="M6092" s="9" t="s">
        <v>19</v>
      </c>
      <c r="N6092" s="9" t="s">
        <v>20</v>
      </c>
      <c r="O6092" s="6" t="str">
        <f>HYPERLINK("https://pbs.twimg.com/profile_images/962471262747529216/Uo8lOkRJ_normal.jpg","View")</f>
        <v>View</v>
      </c>
      <c r="P6092" s="7"/>
    </row>
    <row r="6093" spans="1:16">
      <c r="A6093" s="3">
        <v>43978.23537037037</v>
      </c>
      <c r="B6093" s="4" t="str">
        <f>HYPERLINK("https://twitter.com/petrogustavo","@petrogustavo")</f>
        <v>@petrogustavo</v>
      </c>
      <c r="C6093" s="5" t="s">
        <v>16</v>
      </c>
      <c r="D6093" s="5" t="s">
        <v>5920</v>
      </c>
      <c r="E6093" s="6" t="str">
        <f>HYPERLINK("https://twitter.com/petrogustavo/status/1265434777815048192","1265434777815048192")</f>
        <v>1265434777815048192</v>
      </c>
      <c r="F6093" s="7" t="s">
        <v>17</v>
      </c>
      <c r="G6093" s="7">
        <v>3842481</v>
      </c>
      <c r="H6093" s="7">
        <v>2412</v>
      </c>
      <c r="I6093" s="7">
        <v>95</v>
      </c>
      <c r="J6093" s="7">
        <v>0</v>
      </c>
      <c r="K6093" s="7" t="s">
        <v>18</v>
      </c>
      <c r="L6093" s="8">
        <v>39987.315405092595</v>
      </c>
      <c r="M6093" s="9" t="s">
        <v>19</v>
      </c>
      <c r="N6093" s="9" t="s">
        <v>20</v>
      </c>
      <c r="O6093" s="6" t="str">
        <f>HYPERLINK("https://pbs.twimg.com/profile_images/962471262747529216/Uo8lOkRJ_normal.jpg","View")</f>
        <v>View</v>
      </c>
      <c r="P6093" s="7"/>
    </row>
    <row r="6094" spans="1:16">
      <c r="A6094" s="3">
        <v>43978.243414351848</v>
      </c>
      <c r="B6094" s="4" t="str">
        <f>HYPERLINK("https://twitter.com/petrogustavo","@petrogustavo")</f>
        <v>@petrogustavo</v>
      </c>
      <c r="C6094" s="5" t="s">
        <v>16</v>
      </c>
      <c r="D6094" s="5" t="s">
        <v>5921</v>
      </c>
      <c r="E6094" s="6" t="str">
        <f>HYPERLINK("https://twitter.com/petrogustavo/status/1265437693070184448","1265437693070184448")</f>
        <v>1265437693070184448</v>
      </c>
      <c r="F6094" s="7" t="s">
        <v>17</v>
      </c>
      <c r="G6094" s="7">
        <v>3842481</v>
      </c>
      <c r="H6094" s="7">
        <v>2412</v>
      </c>
      <c r="I6094" s="7">
        <v>66</v>
      </c>
      <c r="J6094" s="7">
        <v>0</v>
      </c>
      <c r="K6094" s="7" t="s">
        <v>18</v>
      </c>
      <c r="L6094" s="8">
        <v>39987.315405092595</v>
      </c>
      <c r="M6094" s="9" t="s">
        <v>19</v>
      </c>
      <c r="N6094" s="9" t="s">
        <v>20</v>
      </c>
      <c r="O6094" s="6" t="str">
        <f>HYPERLINK("https://pbs.twimg.com/profile_images/962471262747529216/Uo8lOkRJ_normal.jpg","View")</f>
        <v>View</v>
      </c>
      <c r="P6094" s="7"/>
    </row>
    <row r="6095" spans="1:16">
      <c r="A6095" s="3">
        <v>43978.267731481479</v>
      </c>
      <c r="B6095" s="4" t="str">
        <f>HYPERLINK("https://twitter.com/petrogustavo","@petrogustavo")</f>
        <v>@petrogustavo</v>
      </c>
      <c r="C6095" s="5" t="s">
        <v>16</v>
      </c>
      <c r="D6095" s="5" t="s">
        <v>5922</v>
      </c>
      <c r="E6095" s="6" t="str">
        <f>HYPERLINK("https://twitter.com/petrogustavo/status/1265446506053632001","1265446506053632001")</f>
        <v>1265446506053632001</v>
      </c>
      <c r="F6095" s="7" t="s">
        <v>17</v>
      </c>
      <c r="G6095" s="7">
        <v>3842532</v>
      </c>
      <c r="H6095" s="7">
        <v>2412</v>
      </c>
      <c r="I6095" s="7">
        <v>24</v>
      </c>
      <c r="J6095" s="7">
        <v>92</v>
      </c>
      <c r="K6095" s="7" t="s">
        <v>18</v>
      </c>
      <c r="L6095" s="8">
        <v>39987.315405092595</v>
      </c>
      <c r="M6095" s="9" t="s">
        <v>19</v>
      </c>
      <c r="N6095" s="9" t="s">
        <v>20</v>
      </c>
      <c r="O6095" s="6" t="str">
        <f>HYPERLINK("https://pbs.twimg.com/profile_images/962471262747529216/Uo8lOkRJ_normal.jpg","View")</f>
        <v>View</v>
      </c>
      <c r="P6095" s="7"/>
    </row>
    <row r="6096" spans="1:16">
      <c r="A6096" s="3">
        <v>43978.272141203706</v>
      </c>
      <c r="B6096" s="4" t="str">
        <f>HYPERLINK("https://twitter.com/petrogustavo","@petrogustavo")</f>
        <v>@petrogustavo</v>
      </c>
      <c r="C6096" s="5" t="s">
        <v>16</v>
      </c>
      <c r="D6096" s="5" t="s">
        <v>5923</v>
      </c>
      <c r="E6096" s="6" t="str">
        <f>HYPERLINK("https://twitter.com/petrogustavo/status/1265448105253711873","1265448105253711873")</f>
        <v>1265448105253711873</v>
      </c>
      <c r="F6096" s="7" t="s">
        <v>17</v>
      </c>
      <c r="G6096" s="7">
        <v>3842532</v>
      </c>
      <c r="H6096" s="7">
        <v>2412</v>
      </c>
      <c r="I6096" s="7">
        <v>374</v>
      </c>
      <c r="J6096" s="7">
        <v>0</v>
      </c>
      <c r="K6096" s="7" t="s">
        <v>18</v>
      </c>
      <c r="L6096" s="8">
        <v>39987.315405092595</v>
      </c>
      <c r="M6096" s="9" t="s">
        <v>19</v>
      </c>
      <c r="N6096" s="9" t="s">
        <v>20</v>
      </c>
      <c r="O6096" s="6" t="str">
        <f>HYPERLINK("https://pbs.twimg.com/profile_images/962471262747529216/Uo8lOkRJ_normal.jpg","View")</f>
        <v>View</v>
      </c>
      <c r="P6096" s="7"/>
    </row>
    <row r="6097" spans="1:16">
      <c r="A6097" s="3">
        <v>43978.278506944444</v>
      </c>
      <c r="B6097" s="4" t="str">
        <f>HYPERLINK("https://twitter.com/petrogustavo","@petrogustavo")</f>
        <v>@petrogustavo</v>
      </c>
      <c r="C6097" s="5" t="s">
        <v>16</v>
      </c>
      <c r="D6097" s="5" t="s">
        <v>5924</v>
      </c>
      <c r="E6097" s="6" t="str">
        <f>HYPERLINK("https://twitter.com/petrogustavo/status/1265450412649467905","1265450412649467905")</f>
        <v>1265450412649467905</v>
      </c>
      <c r="F6097" s="7" t="s">
        <v>17</v>
      </c>
      <c r="G6097" s="7">
        <v>3842561</v>
      </c>
      <c r="H6097" s="7">
        <v>2412</v>
      </c>
      <c r="I6097" s="7">
        <v>146</v>
      </c>
      <c r="J6097" s="7">
        <v>362</v>
      </c>
      <c r="K6097" s="7" t="s">
        <v>18</v>
      </c>
      <c r="L6097" s="8">
        <v>39987.315405092595</v>
      </c>
      <c r="M6097" s="9" t="s">
        <v>19</v>
      </c>
      <c r="N6097" s="9" t="s">
        <v>20</v>
      </c>
      <c r="O6097" s="6" t="str">
        <f>HYPERLINK("https://pbs.twimg.com/profile_images/962471262747529216/Uo8lOkRJ_normal.jpg","View")</f>
        <v>View</v>
      </c>
      <c r="P6097" s="7"/>
    </row>
    <row r="6098" spans="1:16">
      <c r="A6098" s="3">
        <v>43978.286643518513</v>
      </c>
      <c r="B6098" s="4" t="str">
        <f>HYPERLINK("https://twitter.com/petrogustavo","@petrogustavo")</f>
        <v>@petrogustavo</v>
      </c>
      <c r="C6098" s="5" t="s">
        <v>16</v>
      </c>
      <c r="D6098" s="5" t="s">
        <v>5925</v>
      </c>
      <c r="E6098" s="6" t="str">
        <f>HYPERLINK("https://twitter.com/petrogustavo/status/1265453361278652416","1265453361278652416")</f>
        <v>1265453361278652416</v>
      </c>
      <c r="F6098" s="7" t="s">
        <v>17</v>
      </c>
      <c r="G6098" s="7">
        <v>3842561</v>
      </c>
      <c r="H6098" s="7">
        <v>2412</v>
      </c>
      <c r="I6098" s="7">
        <v>66</v>
      </c>
      <c r="J6098" s="7">
        <v>0</v>
      </c>
      <c r="K6098" s="7" t="s">
        <v>18</v>
      </c>
      <c r="L6098" s="8">
        <v>39987.315405092595</v>
      </c>
      <c r="M6098" s="9" t="s">
        <v>19</v>
      </c>
      <c r="N6098" s="9" t="s">
        <v>20</v>
      </c>
      <c r="O6098" s="6" t="str">
        <f>HYPERLINK("https://pbs.twimg.com/profile_images/962471262747529216/Uo8lOkRJ_normal.jpg","View")</f>
        <v>View</v>
      </c>
      <c r="P6098" s="7"/>
    </row>
    <row r="6099" spans="1:16">
      <c r="A6099" s="3">
        <v>43978.290439814809</v>
      </c>
      <c r="B6099" s="4" t="str">
        <f>HYPERLINK("https://twitter.com/petrogustavo","@petrogustavo")</f>
        <v>@petrogustavo</v>
      </c>
      <c r="C6099" s="5" t="s">
        <v>16</v>
      </c>
      <c r="D6099" s="5" t="s">
        <v>5926</v>
      </c>
      <c r="E6099" s="6" t="str">
        <f>HYPERLINK("https://twitter.com/petrogustavo/status/1265454733151670275","1265454733151670275")</f>
        <v>1265454733151670275</v>
      </c>
      <c r="F6099" s="7" t="s">
        <v>17</v>
      </c>
      <c r="G6099" s="7">
        <v>3842561</v>
      </c>
      <c r="H6099" s="7">
        <v>2412</v>
      </c>
      <c r="I6099" s="7">
        <v>79</v>
      </c>
      <c r="J6099" s="7">
        <v>0</v>
      </c>
      <c r="K6099" s="7" t="s">
        <v>18</v>
      </c>
      <c r="L6099" s="8">
        <v>39987.315405092595</v>
      </c>
      <c r="M6099" s="9" t="s">
        <v>19</v>
      </c>
      <c r="N6099" s="9" t="s">
        <v>20</v>
      </c>
      <c r="O6099" s="6" t="str">
        <f>HYPERLINK("https://pbs.twimg.com/profile_images/962471262747529216/Uo8lOkRJ_normal.jpg","View")</f>
        <v>View</v>
      </c>
      <c r="P6099" s="7"/>
    </row>
    <row r="6100" spans="1:16">
      <c r="A6100" s="3">
        <v>43978.295671296291</v>
      </c>
      <c r="B6100" s="4" t="str">
        <f>HYPERLINK("https://twitter.com/petrogustavo","@petrogustavo")</f>
        <v>@petrogustavo</v>
      </c>
      <c r="C6100" s="5" t="s">
        <v>16</v>
      </c>
      <c r="D6100" s="5" t="s">
        <v>5927</v>
      </c>
      <c r="E6100" s="6" t="str">
        <f>HYPERLINK("https://twitter.com/petrogustavo/status/1265456632714145794","1265456632714145794")</f>
        <v>1265456632714145794</v>
      </c>
      <c r="F6100" s="7" t="s">
        <v>17</v>
      </c>
      <c r="G6100" s="7">
        <v>3842617</v>
      </c>
      <c r="H6100" s="7">
        <v>2412</v>
      </c>
      <c r="I6100" s="7">
        <v>159</v>
      </c>
      <c r="J6100" s="7">
        <v>276</v>
      </c>
      <c r="K6100" s="7" t="s">
        <v>18</v>
      </c>
      <c r="L6100" s="8">
        <v>39987.315405092595</v>
      </c>
      <c r="M6100" s="9" t="s">
        <v>19</v>
      </c>
      <c r="N6100" s="9" t="s">
        <v>20</v>
      </c>
      <c r="O6100" s="6" t="str">
        <f>HYPERLINK("https://pbs.twimg.com/profile_images/962471262747529216/Uo8lOkRJ_normal.jpg","View")</f>
        <v>View</v>
      </c>
      <c r="P6100" s="7"/>
    </row>
    <row r="6101" spans="1:16">
      <c r="A6101" s="3">
        <v>43978.298935185187</v>
      </c>
      <c r="B6101" s="4" t="str">
        <f>HYPERLINK("https://twitter.com/petrogustavo","@petrogustavo")</f>
        <v>@petrogustavo</v>
      </c>
      <c r="C6101" s="5" t="s">
        <v>16</v>
      </c>
      <c r="D6101" s="5" t="s">
        <v>5928</v>
      </c>
      <c r="E6101" s="6" t="str">
        <f>HYPERLINK("https://twitter.com/petrogustavo/status/1265457811871412225","1265457811871412225")</f>
        <v>1265457811871412225</v>
      </c>
      <c r="F6101" s="7" t="s">
        <v>17</v>
      </c>
      <c r="G6101" s="7">
        <v>3842617</v>
      </c>
      <c r="H6101" s="7">
        <v>2412</v>
      </c>
      <c r="I6101" s="7">
        <v>20</v>
      </c>
      <c r="J6101" s="7">
        <v>0</v>
      </c>
      <c r="K6101" s="7" t="s">
        <v>18</v>
      </c>
      <c r="L6101" s="8">
        <v>39987.315405092595</v>
      </c>
      <c r="M6101" s="9" t="s">
        <v>19</v>
      </c>
      <c r="N6101" s="9" t="s">
        <v>20</v>
      </c>
      <c r="O6101" s="6" t="str">
        <f>HYPERLINK("https://pbs.twimg.com/profile_images/962471262747529216/Uo8lOkRJ_normal.jpg","View")</f>
        <v>View</v>
      </c>
      <c r="P6101" s="7"/>
    </row>
    <row r="6102" spans="1:16">
      <c r="A6102" s="3">
        <v>43978.303854166668</v>
      </c>
      <c r="B6102" s="4" t="str">
        <f>HYPERLINK("https://twitter.com/petrogustavo","@petrogustavo")</f>
        <v>@petrogustavo</v>
      </c>
      <c r="C6102" s="5" t="s">
        <v>16</v>
      </c>
      <c r="D6102" s="5" t="s">
        <v>5929</v>
      </c>
      <c r="E6102" s="6" t="str">
        <f>HYPERLINK("https://twitter.com/petrogustavo/status/1265459595645984770","1265459595645984770")</f>
        <v>1265459595645984770</v>
      </c>
      <c r="F6102" s="7" t="s">
        <v>17</v>
      </c>
      <c r="G6102" s="7">
        <v>3842617</v>
      </c>
      <c r="H6102" s="7">
        <v>2412</v>
      </c>
      <c r="I6102" s="7">
        <v>211</v>
      </c>
      <c r="J6102" s="7">
        <v>0</v>
      </c>
      <c r="K6102" s="7" t="s">
        <v>18</v>
      </c>
      <c r="L6102" s="8">
        <v>39987.315405092595</v>
      </c>
      <c r="M6102" s="9" t="s">
        <v>19</v>
      </c>
      <c r="N6102" s="9" t="s">
        <v>20</v>
      </c>
      <c r="O6102" s="6" t="str">
        <f>HYPERLINK("https://pbs.twimg.com/profile_images/962471262747529216/Uo8lOkRJ_normal.jpg","View")</f>
        <v>View</v>
      </c>
      <c r="P6102" s="7"/>
    </row>
    <row r="6103" spans="1:16">
      <c r="A6103" s="3">
        <v>43978.305115740739</v>
      </c>
      <c r="B6103" s="4" t="str">
        <f>HYPERLINK("https://twitter.com/petrogustavo","@petrogustavo")</f>
        <v>@petrogustavo</v>
      </c>
      <c r="C6103" s="5" t="s">
        <v>16</v>
      </c>
      <c r="D6103" s="5" t="s">
        <v>5930</v>
      </c>
      <c r="E6103" s="6" t="str">
        <f>HYPERLINK("https://twitter.com/petrogustavo/status/1265460053001277440","1265460053001277440")</f>
        <v>1265460053001277440</v>
      </c>
      <c r="F6103" s="7" t="s">
        <v>17</v>
      </c>
      <c r="G6103" s="7">
        <v>3842617</v>
      </c>
      <c r="H6103" s="7">
        <v>2412</v>
      </c>
      <c r="I6103" s="7">
        <v>159</v>
      </c>
      <c r="J6103" s="7">
        <v>0</v>
      </c>
      <c r="K6103" s="7" t="s">
        <v>18</v>
      </c>
      <c r="L6103" s="8">
        <v>39987.315405092595</v>
      </c>
      <c r="M6103" s="9" t="s">
        <v>19</v>
      </c>
      <c r="N6103" s="9" t="s">
        <v>20</v>
      </c>
      <c r="O6103" s="6" t="str">
        <f>HYPERLINK("https://pbs.twimg.com/profile_images/962471262747529216/Uo8lOkRJ_normal.jpg","View")</f>
        <v>View</v>
      </c>
      <c r="P6103" s="7"/>
    </row>
    <row r="6104" spans="1:16">
      <c r="A6104" s="3">
        <v>43978.310682870375</v>
      </c>
      <c r="B6104" s="4" t="str">
        <f>HYPERLINK("https://twitter.com/petrogustavo","@petrogustavo")</f>
        <v>@petrogustavo</v>
      </c>
      <c r="C6104" s="5" t="s">
        <v>16</v>
      </c>
      <c r="D6104" s="5" t="s">
        <v>5931</v>
      </c>
      <c r="E6104" s="6" t="str">
        <f>HYPERLINK("https://twitter.com/petrogustavo/status/1265462069748473858","1265462069748473858")</f>
        <v>1265462069748473858</v>
      </c>
      <c r="F6104" s="7" t="s">
        <v>17</v>
      </c>
      <c r="G6104" s="7">
        <v>3842617</v>
      </c>
      <c r="H6104" s="7">
        <v>2412</v>
      </c>
      <c r="I6104" s="7">
        <v>53</v>
      </c>
      <c r="J6104" s="7">
        <v>122</v>
      </c>
      <c r="K6104" s="7" t="s">
        <v>18</v>
      </c>
      <c r="L6104" s="8">
        <v>39987.315405092595</v>
      </c>
      <c r="M6104" s="9" t="s">
        <v>19</v>
      </c>
      <c r="N6104" s="9" t="s">
        <v>20</v>
      </c>
      <c r="O6104" s="6" t="str">
        <f>HYPERLINK("https://pbs.twimg.com/profile_images/962471262747529216/Uo8lOkRJ_normal.jpg","View")</f>
        <v>View</v>
      </c>
      <c r="P6104" s="7"/>
    </row>
    <row r="6105" spans="1:16">
      <c r="A6105" s="3">
        <v>43978.348460648151</v>
      </c>
      <c r="B6105" s="4" t="str">
        <f>HYPERLINK("https://twitter.com/petrogustavo","@petrogustavo")</f>
        <v>@petrogustavo</v>
      </c>
      <c r="C6105" s="5" t="s">
        <v>16</v>
      </c>
      <c r="D6105" s="5" t="s">
        <v>5932</v>
      </c>
      <c r="E6105" s="6" t="str">
        <f>HYPERLINK("https://twitter.com/petrogustavo/status/1265475761391181826","1265475761391181826")</f>
        <v>1265475761391181826</v>
      </c>
      <c r="F6105" s="7" t="s">
        <v>21</v>
      </c>
      <c r="G6105" s="7">
        <v>3842710</v>
      </c>
      <c r="H6105" s="7">
        <v>2412</v>
      </c>
      <c r="I6105" s="7">
        <v>66</v>
      </c>
      <c r="J6105" s="7">
        <v>178</v>
      </c>
      <c r="K6105" s="7" t="s">
        <v>18</v>
      </c>
      <c r="L6105" s="8">
        <v>39987.315405092595</v>
      </c>
      <c r="M6105" s="9" t="s">
        <v>19</v>
      </c>
      <c r="N6105" s="9" t="s">
        <v>20</v>
      </c>
      <c r="O6105" s="6" t="str">
        <f>HYPERLINK("https://pbs.twimg.com/profile_images/962471262747529216/Uo8lOkRJ_normal.jpg","View")</f>
        <v>View</v>
      </c>
      <c r="P6105" s="7"/>
    </row>
    <row r="6106" spans="1:16">
      <c r="A6106" s="3">
        <v>43978.787361111114</v>
      </c>
      <c r="B6106" s="4" t="str">
        <f>HYPERLINK("https://twitter.com/petrogustavo","@petrogustavo")</f>
        <v>@petrogustavo</v>
      </c>
      <c r="C6106" s="5" t="s">
        <v>16</v>
      </c>
      <c r="D6106" s="5" t="s">
        <v>5933</v>
      </c>
      <c r="E6106" s="6" t="str">
        <f>HYPERLINK("https://twitter.com/petrogustavo/status/1265634813291225088","1265634813291225088")</f>
        <v>1265634813291225088</v>
      </c>
      <c r="F6106" s="7" t="s">
        <v>32</v>
      </c>
      <c r="G6106" s="7">
        <v>3843040</v>
      </c>
      <c r="H6106" s="7">
        <v>2412</v>
      </c>
      <c r="I6106" s="7">
        <v>795</v>
      </c>
      <c r="J6106" s="7">
        <v>0</v>
      </c>
      <c r="K6106" s="7" t="s">
        <v>18</v>
      </c>
      <c r="L6106" s="8">
        <v>39987.315405092595</v>
      </c>
      <c r="M6106" s="9" t="s">
        <v>19</v>
      </c>
      <c r="N6106" s="9" t="s">
        <v>20</v>
      </c>
      <c r="O6106" s="6" t="str">
        <f>HYPERLINK("https://pbs.twimg.com/profile_images/962471262747529216/Uo8lOkRJ_normal.jpg","View")</f>
        <v>View</v>
      </c>
      <c r="P6106" s="7"/>
    </row>
    <row r="6107" spans="1:16">
      <c r="A6107" s="3">
        <v>43978.79184027778</v>
      </c>
      <c r="B6107" s="4" t="str">
        <f>HYPERLINK("https://twitter.com/petrogustavo","@petrogustavo")</f>
        <v>@petrogustavo</v>
      </c>
      <c r="C6107" s="5" t="s">
        <v>16</v>
      </c>
      <c r="D6107" s="5" t="s">
        <v>5934</v>
      </c>
      <c r="E6107" s="6" t="str">
        <f>HYPERLINK("https://twitter.com/petrogustavo/status/1265636435924787200","1265636435924787200")</f>
        <v>1265636435924787200</v>
      </c>
      <c r="F6107" s="7" t="s">
        <v>32</v>
      </c>
      <c r="G6107" s="7">
        <v>3843040</v>
      </c>
      <c r="H6107" s="7">
        <v>2412</v>
      </c>
      <c r="I6107" s="7">
        <v>21</v>
      </c>
      <c r="J6107" s="7">
        <v>54</v>
      </c>
      <c r="K6107" s="7" t="s">
        <v>18</v>
      </c>
      <c r="L6107" s="8">
        <v>39987.315405092595</v>
      </c>
      <c r="M6107" s="9" t="s">
        <v>19</v>
      </c>
      <c r="N6107" s="9" t="s">
        <v>20</v>
      </c>
      <c r="O6107" s="6" t="str">
        <f>HYPERLINK("https://pbs.twimg.com/profile_images/962471262747529216/Uo8lOkRJ_normal.jpg","View")</f>
        <v>View</v>
      </c>
      <c r="P6107" s="7"/>
    </row>
    <row r="6108" spans="1:16">
      <c r="A6108" s="3">
        <v>43978.821122685185</v>
      </c>
      <c r="B6108" s="4" t="str">
        <f>HYPERLINK("https://twitter.com/petrogustavo","@petrogustavo")</f>
        <v>@petrogustavo</v>
      </c>
      <c r="C6108" s="5" t="s">
        <v>16</v>
      </c>
      <c r="D6108" s="5" t="s">
        <v>5935</v>
      </c>
      <c r="E6108" s="6" t="str">
        <f>HYPERLINK("https://twitter.com/petrogustavo/status/1265647048143056896","1265647048143056896")</f>
        <v>1265647048143056896</v>
      </c>
      <c r="F6108" s="7" t="s">
        <v>32</v>
      </c>
      <c r="G6108" s="7">
        <v>3843083</v>
      </c>
      <c r="H6108" s="7">
        <v>2412</v>
      </c>
      <c r="I6108" s="7">
        <v>106</v>
      </c>
      <c r="J6108" s="7">
        <v>210</v>
      </c>
      <c r="K6108" s="7" t="s">
        <v>18</v>
      </c>
      <c r="L6108" s="8">
        <v>39987.315405092595</v>
      </c>
      <c r="M6108" s="9" t="s">
        <v>19</v>
      </c>
      <c r="N6108" s="9" t="s">
        <v>20</v>
      </c>
      <c r="O6108" s="6" t="str">
        <f>HYPERLINK("https://pbs.twimg.com/profile_images/962471262747529216/Uo8lOkRJ_normal.jpg","View")</f>
        <v>View</v>
      </c>
      <c r="P6108" s="7"/>
    </row>
    <row r="6109" spans="1:16">
      <c r="A6109" s="3">
        <v>43978.890706018516</v>
      </c>
      <c r="B6109" s="4" t="str">
        <f>HYPERLINK("https://twitter.com/petrogustavo","@petrogustavo")</f>
        <v>@petrogustavo</v>
      </c>
      <c r="C6109" s="5" t="s">
        <v>16</v>
      </c>
      <c r="D6109" s="5" t="s">
        <v>5936</v>
      </c>
      <c r="E6109" s="6" t="str">
        <f>HYPERLINK("https://twitter.com/petrogustavo/status/1265672266060365829","1265672266060365829")</f>
        <v>1265672266060365829</v>
      </c>
      <c r="F6109" s="7" t="s">
        <v>32</v>
      </c>
      <c r="G6109" s="7">
        <v>3843195</v>
      </c>
      <c r="H6109" s="7">
        <v>2412</v>
      </c>
      <c r="I6109" s="7">
        <v>46</v>
      </c>
      <c r="J6109" s="7">
        <v>133</v>
      </c>
      <c r="K6109" s="7" t="s">
        <v>18</v>
      </c>
      <c r="L6109" s="8">
        <v>39987.315405092595</v>
      </c>
      <c r="M6109" s="9" t="s">
        <v>19</v>
      </c>
      <c r="N6109" s="9" t="s">
        <v>20</v>
      </c>
      <c r="O6109" s="6" t="str">
        <f>HYPERLINK("https://pbs.twimg.com/profile_images/962471262747529216/Uo8lOkRJ_normal.jpg","View")</f>
        <v>View</v>
      </c>
      <c r="P6109" s="7"/>
    </row>
    <row r="6110" spans="1:16">
      <c r="A6110" s="3">
        <v>43978.898275462961</v>
      </c>
      <c r="B6110" s="4" t="str">
        <f>HYPERLINK("https://twitter.com/petrogustavo","@petrogustavo")</f>
        <v>@petrogustavo</v>
      </c>
      <c r="C6110" s="5" t="s">
        <v>16</v>
      </c>
      <c r="D6110" s="5" t="s">
        <v>5937</v>
      </c>
      <c r="E6110" s="6" t="str">
        <f>HYPERLINK("https://twitter.com/petrogustavo/status/1265675007486824450","1265675007486824450")</f>
        <v>1265675007486824450</v>
      </c>
      <c r="F6110" s="7" t="s">
        <v>32</v>
      </c>
      <c r="G6110" s="7">
        <v>3843239</v>
      </c>
      <c r="H6110" s="7">
        <v>2412</v>
      </c>
      <c r="I6110" s="7">
        <v>103</v>
      </c>
      <c r="J6110" s="7">
        <v>316</v>
      </c>
      <c r="K6110" s="7" t="s">
        <v>18</v>
      </c>
      <c r="L6110" s="8">
        <v>39987.315405092595</v>
      </c>
      <c r="M6110" s="9" t="s">
        <v>19</v>
      </c>
      <c r="N6110" s="9" t="s">
        <v>20</v>
      </c>
      <c r="O6110" s="6" t="str">
        <f>HYPERLINK("https://pbs.twimg.com/profile_images/962471262747529216/Uo8lOkRJ_normal.jpg","View")</f>
        <v>View</v>
      </c>
      <c r="P6110" s="7"/>
    </row>
    <row r="6111" spans="1:16">
      <c r="A6111" s="3">
        <v>43979.054131944446</v>
      </c>
      <c r="B6111" s="4" t="str">
        <f>HYPERLINK("https://twitter.com/petrogustavo","@petrogustavo")</f>
        <v>@petrogustavo</v>
      </c>
      <c r="C6111" s="5" t="s">
        <v>16</v>
      </c>
      <c r="D6111" s="5" t="s">
        <v>5938</v>
      </c>
      <c r="E6111" s="6" t="str">
        <f>HYPERLINK("https://twitter.com/petrogustavo/status/1265731488005476352","1265731488005476352")</f>
        <v>1265731488005476352</v>
      </c>
      <c r="F6111" s="7" t="s">
        <v>32</v>
      </c>
      <c r="G6111" s="7">
        <v>3843442</v>
      </c>
      <c r="H6111" s="7">
        <v>2412</v>
      </c>
      <c r="I6111" s="7">
        <v>85</v>
      </c>
      <c r="J6111" s="7">
        <v>0</v>
      </c>
      <c r="K6111" s="7" t="s">
        <v>18</v>
      </c>
      <c r="L6111" s="8">
        <v>39987.315405092595</v>
      </c>
      <c r="M6111" s="9" t="s">
        <v>19</v>
      </c>
      <c r="N6111" s="9" t="s">
        <v>20</v>
      </c>
      <c r="O6111" s="6" t="str">
        <f>HYPERLINK("https://pbs.twimg.com/profile_images/962471262747529216/Uo8lOkRJ_normal.jpg","View")</f>
        <v>View</v>
      </c>
      <c r="P6111" s="7"/>
    </row>
    <row r="6112" spans="1:16">
      <c r="A6112" s="3">
        <v>43979.054212962961</v>
      </c>
      <c r="B6112" s="4" t="str">
        <f>HYPERLINK("https://twitter.com/petrogustavo","@petrogustavo")</f>
        <v>@petrogustavo</v>
      </c>
      <c r="C6112" s="5" t="s">
        <v>16</v>
      </c>
      <c r="D6112" s="5" t="s">
        <v>5939</v>
      </c>
      <c r="E6112" s="6" t="str">
        <f>HYPERLINK("https://twitter.com/petrogustavo/status/1265731517843718145","1265731517843718145")</f>
        <v>1265731517843718145</v>
      </c>
      <c r="F6112" s="7" t="s">
        <v>32</v>
      </c>
      <c r="G6112" s="7">
        <v>3843442</v>
      </c>
      <c r="H6112" s="7">
        <v>2412</v>
      </c>
      <c r="I6112" s="7">
        <v>88</v>
      </c>
      <c r="J6112" s="7">
        <v>0</v>
      </c>
      <c r="K6112" s="7" t="s">
        <v>18</v>
      </c>
      <c r="L6112" s="8">
        <v>39987.315405092595</v>
      </c>
      <c r="M6112" s="9" t="s">
        <v>19</v>
      </c>
      <c r="N6112" s="9" t="s">
        <v>20</v>
      </c>
      <c r="O6112" s="6" t="str">
        <f>HYPERLINK("https://pbs.twimg.com/profile_images/962471262747529216/Uo8lOkRJ_normal.jpg","View")</f>
        <v>View</v>
      </c>
      <c r="P6112" s="7"/>
    </row>
    <row r="6113" spans="1:16">
      <c r="A6113" s="3">
        <v>43979.056018518517</v>
      </c>
      <c r="B6113" s="4" t="str">
        <f>HYPERLINK("https://twitter.com/petrogustavo","@petrogustavo")</f>
        <v>@petrogustavo</v>
      </c>
      <c r="C6113" s="5" t="s">
        <v>16</v>
      </c>
      <c r="D6113" s="5" t="s">
        <v>5940</v>
      </c>
      <c r="E6113" s="6" t="str">
        <f>HYPERLINK("https://twitter.com/petrogustavo/status/1265732173442793472","1265732173442793472")</f>
        <v>1265732173442793472</v>
      </c>
      <c r="F6113" s="7" t="s">
        <v>32</v>
      </c>
      <c r="G6113" s="7">
        <v>3843442</v>
      </c>
      <c r="H6113" s="7">
        <v>2412</v>
      </c>
      <c r="I6113" s="7">
        <v>86</v>
      </c>
      <c r="J6113" s="7">
        <v>0</v>
      </c>
      <c r="K6113" s="7" t="s">
        <v>18</v>
      </c>
      <c r="L6113" s="8">
        <v>39987.315405092595</v>
      </c>
      <c r="M6113" s="9" t="s">
        <v>19</v>
      </c>
      <c r="N6113" s="9" t="s">
        <v>20</v>
      </c>
      <c r="O6113" s="6" t="str">
        <f>HYPERLINK("https://pbs.twimg.com/profile_images/962471262747529216/Uo8lOkRJ_normal.jpg","View")</f>
        <v>View</v>
      </c>
      <c r="P6113" s="7"/>
    </row>
    <row r="6114" spans="1:16">
      <c r="A6114" s="3">
        <v>43979.056180555555</v>
      </c>
      <c r="B6114" s="4" t="str">
        <f>HYPERLINK("https://twitter.com/petrogustavo","@petrogustavo")</f>
        <v>@petrogustavo</v>
      </c>
      <c r="C6114" s="5" t="s">
        <v>16</v>
      </c>
      <c r="D6114" s="5" t="s">
        <v>5941</v>
      </c>
      <c r="E6114" s="6" t="str">
        <f>HYPERLINK("https://twitter.com/petrogustavo/status/1265732228656566274","1265732228656566274")</f>
        <v>1265732228656566274</v>
      </c>
      <c r="F6114" s="7" t="s">
        <v>32</v>
      </c>
      <c r="G6114" s="7">
        <v>3843442</v>
      </c>
      <c r="H6114" s="7">
        <v>2412</v>
      </c>
      <c r="I6114" s="7">
        <v>28</v>
      </c>
      <c r="J6114" s="7">
        <v>0</v>
      </c>
      <c r="K6114" s="7" t="s">
        <v>18</v>
      </c>
      <c r="L6114" s="8">
        <v>39987.315405092595</v>
      </c>
      <c r="M6114" s="9" t="s">
        <v>19</v>
      </c>
      <c r="N6114" s="9" t="s">
        <v>20</v>
      </c>
      <c r="O6114" s="6" t="str">
        <f>HYPERLINK("https://pbs.twimg.com/profile_images/962471262747529216/Uo8lOkRJ_normal.jpg","View")</f>
        <v>View</v>
      </c>
      <c r="P6114" s="7"/>
    </row>
    <row r="6115" spans="1:16">
      <c r="A6115" s="3">
        <v>43979.060104166667</v>
      </c>
      <c r="B6115" s="4" t="str">
        <f>HYPERLINK("https://twitter.com/petrogustavo","@petrogustavo")</f>
        <v>@petrogustavo</v>
      </c>
      <c r="C6115" s="5" t="s">
        <v>16</v>
      </c>
      <c r="D6115" s="5" t="s">
        <v>5942</v>
      </c>
      <c r="E6115" s="6" t="str">
        <f>HYPERLINK("https://twitter.com/petrogustavo/status/1265733653071568897","1265733653071568897")</f>
        <v>1265733653071568897</v>
      </c>
      <c r="F6115" s="7" t="s">
        <v>32</v>
      </c>
      <c r="G6115" s="7">
        <v>3843442</v>
      </c>
      <c r="H6115" s="7">
        <v>2412</v>
      </c>
      <c r="I6115" s="7">
        <v>156</v>
      </c>
      <c r="J6115" s="7">
        <v>424</v>
      </c>
      <c r="K6115" s="7" t="s">
        <v>18</v>
      </c>
      <c r="L6115" s="8">
        <v>39987.315405092595</v>
      </c>
      <c r="M6115" s="9" t="s">
        <v>19</v>
      </c>
      <c r="N6115" s="9" t="s">
        <v>20</v>
      </c>
      <c r="O6115" s="6" t="str">
        <f>HYPERLINK("https://pbs.twimg.com/profile_images/962471262747529216/Uo8lOkRJ_normal.jpg","View")</f>
        <v>View</v>
      </c>
      <c r="P6115" s="7"/>
    </row>
    <row r="6116" spans="1:16">
      <c r="A6116" s="3">
        <v>43979.062025462961</v>
      </c>
      <c r="B6116" s="4" t="str">
        <f>HYPERLINK("https://twitter.com/petrogustavo","@petrogustavo")</f>
        <v>@petrogustavo</v>
      </c>
      <c r="C6116" s="5" t="s">
        <v>16</v>
      </c>
      <c r="D6116" s="5" t="s">
        <v>5943</v>
      </c>
      <c r="E6116" s="6" t="str">
        <f>HYPERLINK("https://twitter.com/petrogustavo/status/1265734348076134402","1265734348076134402")</f>
        <v>1265734348076134402</v>
      </c>
      <c r="F6116" s="7" t="s">
        <v>32</v>
      </c>
      <c r="G6116" s="7">
        <v>3843442</v>
      </c>
      <c r="H6116" s="7">
        <v>2412</v>
      </c>
      <c r="I6116" s="7">
        <v>45</v>
      </c>
      <c r="J6116" s="7">
        <v>0</v>
      </c>
      <c r="K6116" s="7" t="s">
        <v>18</v>
      </c>
      <c r="L6116" s="8">
        <v>39987.315405092595</v>
      </c>
      <c r="M6116" s="9" t="s">
        <v>19</v>
      </c>
      <c r="N6116" s="9" t="s">
        <v>20</v>
      </c>
      <c r="O6116" s="6" t="str">
        <f>HYPERLINK("https://pbs.twimg.com/profile_images/962471262747529216/Uo8lOkRJ_normal.jpg","View")</f>
        <v>View</v>
      </c>
      <c r="P6116" s="7"/>
    </row>
    <row r="6117" spans="1:16">
      <c r="A6117" s="3">
        <v>43979.062453703707</v>
      </c>
      <c r="B6117" s="4" t="str">
        <f>HYPERLINK("https://twitter.com/petrogustavo","@petrogustavo")</f>
        <v>@petrogustavo</v>
      </c>
      <c r="C6117" s="5" t="s">
        <v>16</v>
      </c>
      <c r="D6117" s="5" t="s">
        <v>5944</v>
      </c>
      <c r="E6117" s="6" t="str">
        <f>HYPERLINK("https://twitter.com/petrogustavo/status/1265734502468517891","1265734502468517891")</f>
        <v>1265734502468517891</v>
      </c>
      <c r="F6117" s="7" t="s">
        <v>32</v>
      </c>
      <c r="G6117" s="7">
        <v>3843442</v>
      </c>
      <c r="H6117" s="7">
        <v>2412</v>
      </c>
      <c r="I6117" s="7">
        <v>1125</v>
      </c>
      <c r="J6117" s="7">
        <v>0</v>
      </c>
      <c r="K6117" s="7" t="s">
        <v>18</v>
      </c>
      <c r="L6117" s="8">
        <v>39987.315405092595</v>
      </c>
      <c r="M6117" s="9" t="s">
        <v>19</v>
      </c>
      <c r="N6117" s="9" t="s">
        <v>20</v>
      </c>
      <c r="O6117" s="6" t="str">
        <f>HYPERLINK("https://pbs.twimg.com/profile_images/962471262747529216/Uo8lOkRJ_normal.jpg","View")</f>
        <v>View</v>
      </c>
      <c r="P6117" s="7"/>
    </row>
    <row r="6118" spans="1:16">
      <c r="A6118" s="3">
        <v>43979.067615740743</v>
      </c>
      <c r="B6118" s="4" t="str">
        <f>HYPERLINK("https://twitter.com/petrogustavo","@petrogustavo")</f>
        <v>@petrogustavo</v>
      </c>
      <c r="C6118" s="5" t="s">
        <v>16</v>
      </c>
      <c r="D6118" s="5" t="s">
        <v>5945</v>
      </c>
      <c r="E6118" s="6" t="str">
        <f>HYPERLINK("https://twitter.com/petrogustavo/status/1265736375682453504","1265736375682453504")</f>
        <v>1265736375682453504</v>
      </c>
      <c r="F6118" s="7" t="s">
        <v>32</v>
      </c>
      <c r="G6118" s="7">
        <v>3843470</v>
      </c>
      <c r="H6118" s="7">
        <v>2412</v>
      </c>
      <c r="I6118" s="7">
        <v>74</v>
      </c>
      <c r="J6118" s="7">
        <v>187</v>
      </c>
      <c r="K6118" s="7" t="s">
        <v>18</v>
      </c>
      <c r="L6118" s="8">
        <v>39987.315405092595</v>
      </c>
      <c r="M6118" s="9" t="s">
        <v>19</v>
      </c>
      <c r="N6118" s="9" t="s">
        <v>20</v>
      </c>
      <c r="O6118" s="6" t="str">
        <f>HYPERLINK("https://pbs.twimg.com/profile_images/962471262747529216/Uo8lOkRJ_normal.jpg","View")</f>
        <v>View</v>
      </c>
      <c r="P6118" s="7"/>
    </row>
    <row r="6119" spans="1:16">
      <c r="A6119" s="3">
        <v>43979.069444444445</v>
      </c>
      <c r="B6119" s="4" t="str">
        <f>HYPERLINK("https://twitter.com/petrogustavo","@petrogustavo")</f>
        <v>@petrogustavo</v>
      </c>
      <c r="C6119" s="5" t="s">
        <v>16</v>
      </c>
      <c r="D6119" s="5" t="s">
        <v>5946</v>
      </c>
      <c r="E6119" s="6" t="str">
        <f>HYPERLINK("https://twitter.com/petrogustavo/status/1265737037015064578","1265737037015064578")</f>
        <v>1265737037015064578</v>
      </c>
      <c r="F6119" s="7" t="s">
        <v>32</v>
      </c>
      <c r="G6119" s="7">
        <v>3843470</v>
      </c>
      <c r="H6119" s="7">
        <v>2412</v>
      </c>
      <c r="I6119" s="7">
        <v>282</v>
      </c>
      <c r="J6119" s="7">
        <v>773</v>
      </c>
      <c r="K6119" s="7" t="s">
        <v>18</v>
      </c>
      <c r="L6119" s="8">
        <v>39987.315405092595</v>
      </c>
      <c r="M6119" s="9" t="s">
        <v>19</v>
      </c>
      <c r="N6119" s="9" t="s">
        <v>20</v>
      </c>
      <c r="O6119" s="6" t="str">
        <f>HYPERLINK("https://pbs.twimg.com/profile_images/962471262747529216/Uo8lOkRJ_normal.jpg","View")</f>
        <v>View</v>
      </c>
      <c r="P6119" s="7"/>
    </row>
    <row r="6120" spans="1:16">
      <c r="A6120" s="3">
        <v>43979.077314814815</v>
      </c>
      <c r="B6120" s="4" t="str">
        <f>HYPERLINK("https://twitter.com/petrogustavo","@petrogustavo")</f>
        <v>@petrogustavo</v>
      </c>
      <c r="C6120" s="5" t="s">
        <v>16</v>
      </c>
      <c r="D6120" s="5" t="s">
        <v>5947</v>
      </c>
      <c r="E6120" s="6" t="str">
        <f>HYPERLINK("https://twitter.com/petrogustavo/status/1265739889091514373","1265739889091514373")</f>
        <v>1265739889091514373</v>
      </c>
      <c r="F6120" s="7" t="s">
        <v>32</v>
      </c>
      <c r="G6120" s="7">
        <v>3843470</v>
      </c>
      <c r="H6120" s="7">
        <v>2412</v>
      </c>
      <c r="I6120" s="7">
        <v>41</v>
      </c>
      <c r="J6120" s="7">
        <v>106</v>
      </c>
      <c r="K6120" s="7" t="s">
        <v>18</v>
      </c>
      <c r="L6120" s="8">
        <v>39987.315405092595</v>
      </c>
      <c r="M6120" s="9" t="s">
        <v>19</v>
      </c>
      <c r="N6120" s="9" t="s">
        <v>20</v>
      </c>
      <c r="O6120" s="6" t="str">
        <f>HYPERLINK("https://pbs.twimg.com/profile_images/962471262747529216/Uo8lOkRJ_normal.jpg","View")</f>
        <v>View</v>
      </c>
      <c r="P6120" s="7"/>
    </row>
    <row r="6121" spans="1:16">
      <c r="A6121" s="3">
        <v>43979.078449074077</v>
      </c>
      <c r="B6121" s="4" t="str">
        <f>HYPERLINK("https://twitter.com/petrogustavo","@petrogustavo")</f>
        <v>@petrogustavo</v>
      </c>
      <c r="C6121" s="5" t="s">
        <v>16</v>
      </c>
      <c r="D6121" s="5" t="s">
        <v>5948</v>
      </c>
      <c r="E6121" s="6" t="str">
        <f>HYPERLINK("https://twitter.com/petrogustavo/status/1265740298518515713","1265740298518515713")</f>
        <v>1265740298518515713</v>
      </c>
      <c r="F6121" s="7" t="s">
        <v>32</v>
      </c>
      <c r="G6121" s="7">
        <v>3843470</v>
      </c>
      <c r="H6121" s="7">
        <v>2412</v>
      </c>
      <c r="I6121" s="7">
        <v>282</v>
      </c>
      <c r="J6121" s="7">
        <v>0</v>
      </c>
      <c r="K6121" s="7" t="s">
        <v>18</v>
      </c>
      <c r="L6121" s="8">
        <v>39987.315405092595</v>
      </c>
      <c r="M6121" s="9" t="s">
        <v>19</v>
      </c>
      <c r="N6121" s="9" t="s">
        <v>20</v>
      </c>
      <c r="O6121" s="6" t="str">
        <f>HYPERLINK("https://pbs.twimg.com/profile_images/962471262747529216/Uo8lOkRJ_normal.jpg","View")</f>
        <v>View</v>
      </c>
      <c r="P6121" s="7"/>
    </row>
    <row r="6122" spans="1:16">
      <c r="A6122" s="3">
        <v>43979.081006944441</v>
      </c>
      <c r="B6122" s="4" t="str">
        <f>HYPERLINK("https://twitter.com/petrogustavo","@petrogustavo")</f>
        <v>@petrogustavo</v>
      </c>
      <c r="C6122" s="5" t="s">
        <v>16</v>
      </c>
      <c r="D6122" s="5" t="s">
        <v>5949</v>
      </c>
      <c r="E6122" s="6" t="str">
        <f>HYPERLINK("https://twitter.com/petrogustavo/status/1265741228634705920","1265741228634705920")</f>
        <v>1265741228634705920</v>
      </c>
      <c r="F6122" s="7" t="s">
        <v>32</v>
      </c>
      <c r="G6122" s="7">
        <v>3843470</v>
      </c>
      <c r="H6122" s="7">
        <v>2412</v>
      </c>
      <c r="I6122" s="7">
        <v>684</v>
      </c>
      <c r="J6122" s="7">
        <v>0</v>
      </c>
      <c r="K6122" s="7" t="s">
        <v>18</v>
      </c>
      <c r="L6122" s="8">
        <v>39987.315405092595</v>
      </c>
      <c r="M6122" s="9" t="s">
        <v>19</v>
      </c>
      <c r="N6122" s="9" t="s">
        <v>20</v>
      </c>
      <c r="O6122" s="6" t="str">
        <f>HYPERLINK("https://pbs.twimg.com/profile_images/962471262747529216/Uo8lOkRJ_normal.jpg","View")</f>
        <v>View</v>
      </c>
      <c r="P6122" s="7"/>
    </row>
    <row r="6123" spans="1:16">
      <c r="A6123" s="3">
        <v>43979.087916666671</v>
      </c>
      <c r="B6123" s="4" t="str">
        <f>HYPERLINK("https://twitter.com/petrogustavo","@petrogustavo")</f>
        <v>@petrogustavo</v>
      </c>
      <c r="C6123" s="5" t="s">
        <v>16</v>
      </c>
      <c r="D6123" s="5" t="s">
        <v>5950</v>
      </c>
      <c r="E6123" s="6" t="str">
        <f>HYPERLINK("https://twitter.com/petrogustavo/status/1265743732093210632","1265743732093210632")</f>
        <v>1265743732093210632</v>
      </c>
      <c r="F6123" s="7" t="s">
        <v>32</v>
      </c>
      <c r="G6123" s="7">
        <v>3843511</v>
      </c>
      <c r="H6123" s="7">
        <v>2412</v>
      </c>
      <c r="I6123" s="7">
        <v>68</v>
      </c>
      <c r="J6123" s="7">
        <v>0</v>
      </c>
      <c r="K6123" s="7" t="s">
        <v>18</v>
      </c>
      <c r="L6123" s="8">
        <v>39987.315405092595</v>
      </c>
      <c r="M6123" s="9" t="s">
        <v>19</v>
      </c>
      <c r="N6123" s="9" t="s">
        <v>20</v>
      </c>
      <c r="O6123" s="6" t="str">
        <f>HYPERLINK("https://pbs.twimg.com/profile_images/962471262747529216/Uo8lOkRJ_normal.jpg","View")</f>
        <v>View</v>
      </c>
      <c r="P6123" s="7"/>
    </row>
    <row r="6124" spans="1:16">
      <c r="A6124" s="3">
        <v>43979.090057870373</v>
      </c>
      <c r="B6124" s="4" t="str">
        <f>HYPERLINK("https://twitter.com/petrogustavo","@petrogustavo")</f>
        <v>@petrogustavo</v>
      </c>
      <c r="C6124" s="5" t="s">
        <v>16</v>
      </c>
      <c r="D6124" s="5" t="s">
        <v>5951</v>
      </c>
      <c r="E6124" s="6" t="str">
        <f>HYPERLINK("https://twitter.com/petrogustavo/status/1265744505753554950","1265744505753554950")</f>
        <v>1265744505753554950</v>
      </c>
      <c r="F6124" s="7" t="s">
        <v>32</v>
      </c>
      <c r="G6124" s="7">
        <v>3843511</v>
      </c>
      <c r="H6124" s="7">
        <v>2412</v>
      </c>
      <c r="I6124" s="7">
        <v>136</v>
      </c>
      <c r="J6124" s="7">
        <v>213</v>
      </c>
      <c r="K6124" s="7" t="s">
        <v>18</v>
      </c>
      <c r="L6124" s="8">
        <v>39987.315405092595</v>
      </c>
      <c r="M6124" s="9" t="s">
        <v>19</v>
      </c>
      <c r="N6124" s="9" t="s">
        <v>20</v>
      </c>
      <c r="O6124" s="6" t="str">
        <f>HYPERLINK("https://pbs.twimg.com/profile_images/962471262747529216/Uo8lOkRJ_normal.jpg","View")</f>
        <v>View</v>
      </c>
      <c r="P6124" s="7"/>
    </row>
    <row r="6125" spans="1:16">
      <c r="A6125" s="3">
        <v>43979.19259259259</v>
      </c>
      <c r="B6125" s="4" t="str">
        <f>HYPERLINK("https://twitter.com/petrogustavo","@petrogustavo")</f>
        <v>@petrogustavo</v>
      </c>
      <c r="C6125" s="5" t="s">
        <v>16</v>
      </c>
      <c r="D6125" s="5" t="s">
        <v>5952</v>
      </c>
      <c r="E6125" s="6" t="str">
        <f>HYPERLINK("https://twitter.com/petrogustavo/status/1265781665479172099","1265781665479172099")</f>
        <v>1265781665479172099</v>
      </c>
      <c r="F6125" s="7" t="s">
        <v>17</v>
      </c>
      <c r="G6125" s="7">
        <v>3843663</v>
      </c>
      <c r="H6125" s="7">
        <v>2412</v>
      </c>
      <c r="I6125" s="7">
        <v>126</v>
      </c>
      <c r="J6125" s="7">
        <v>0</v>
      </c>
      <c r="K6125" s="7" t="s">
        <v>18</v>
      </c>
      <c r="L6125" s="8">
        <v>39987.315405092595</v>
      </c>
      <c r="M6125" s="9" t="s">
        <v>19</v>
      </c>
      <c r="N6125" s="9" t="s">
        <v>20</v>
      </c>
      <c r="O6125" s="6" t="str">
        <f>HYPERLINK("https://pbs.twimg.com/profile_images/962471262747529216/Uo8lOkRJ_normal.jpg","View")</f>
        <v>View</v>
      </c>
      <c r="P6125" s="7"/>
    </row>
    <row r="6126" spans="1:16">
      <c r="A6126" s="3">
        <v>43979.195798611108</v>
      </c>
      <c r="B6126" s="4" t="str">
        <f>HYPERLINK("https://twitter.com/petrogustavo","@petrogustavo")</f>
        <v>@petrogustavo</v>
      </c>
      <c r="C6126" s="5" t="s">
        <v>16</v>
      </c>
      <c r="D6126" s="5" t="s">
        <v>5953</v>
      </c>
      <c r="E6126" s="6" t="str">
        <f>HYPERLINK("https://twitter.com/petrogustavo/status/1265782826751930368","1265782826751930368")</f>
        <v>1265782826751930368</v>
      </c>
      <c r="F6126" s="7" t="s">
        <v>17</v>
      </c>
      <c r="G6126" s="7">
        <v>3843663</v>
      </c>
      <c r="H6126" s="7">
        <v>2412</v>
      </c>
      <c r="I6126" s="7">
        <v>104</v>
      </c>
      <c r="J6126" s="7">
        <v>0</v>
      </c>
      <c r="K6126" s="7" t="s">
        <v>18</v>
      </c>
      <c r="L6126" s="8">
        <v>39987.315405092595</v>
      </c>
      <c r="M6126" s="9" t="s">
        <v>19</v>
      </c>
      <c r="N6126" s="9" t="s">
        <v>20</v>
      </c>
      <c r="O6126" s="6" t="str">
        <f>HYPERLINK("https://pbs.twimg.com/profile_images/962471262747529216/Uo8lOkRJ_normal.jpg","View")</f>
        <v>View</v>
      </c>
      <c r="P6126" s="7"/>
    </row>
    <row r="6127" spans="1:16">
      <c r="A6127" s="3">
        <v>43979.246157407411</v>
      </c>
      <c r="B6127" s="4" t="str">
        <f>HYPERLINK("https://twitter.com/petrogustavo","@petrogustavo")</f>
        <v>@petrogustavo</v>
      </c>
      <c r="C6127" s="5" t="s">
        <v>16</v>
      </c>
      <c r="D6127" s="5" t="s">
        <v>5954</v>
      </c>
      <c r="E6127" s="6" t="str">
        <f>HYPERLINK("https://twitter.com/petrogustavo/status/1265801073459068928","1265801073459068928")</f>
        <v>1265801073459068928</v>
      </c>
      <c r="F6127" s="7" t="s">
        <v>21</v>
      </c>
      <c r="G6127" s="7">
        <v>3843739</v>
      </c>
      <c r="H6127" s="7">
        <v>2412</v>
      </c>
      <c r="I6127" s="7">
        <v>57</v>
      </c>
      <c r="J6127" s="7">
        <v>130</v>
      </c>
      <c r="K6127" s="7" t="s">
        <v>18</v>
      </c>
      <c r="L6127" s="8">
        <v>39987.315405092595</v>
      </c>
      <c r="M6127" s="9" t="s">
        <v>19</v>
      </c>
      <c r="N6127" s="9" t="s">
        <v>20</v>
      </c>
      <c r="O6127" s="6" t="str">
        <f>HYPERLINK("https://pbs.twimg.com/profile_images/962471262747529216/Uo8lOkRJ_normal.jpg","View")</f>
        <v>View</v>
      </c>
      <c r="P6127" s="7"/>
    </row>
    <row r="6128" spans="1:16">
      <c r="A6128" s="3">
        <v>43979.26862268518</v>
      </c>
      <c r="B6128" s="4" t="str">
        <f>HYPERLINK("https://twitter.com/petrogustavo","@petrogustavo")</f>
        <v>@petrogustavo</v>
      </c>
      <c r="C6128" s="5" t="s">
        <v>16</v>
      </c>
      <c r="D6128" s="5" t="s">
        <v>5955</v>
      </c>
      <c r="E6128" s="6" t="str">
        <f>HYPERLINK("https://twitter.com/petrogustavo/status/1265809215559479296","1265809215559479296")</f>
        <v>1265809215559479296</v>
      </c>
      <c r="F6128" s="7" t="s">
        <v>32</v>
      </c>
      <c r="G6128" s="7">
        <v>3843773</v>
      </c>
      <c r="H6128" s="7">
        <v>2412</v>
      </c>
      <c r="I6128" s="7">
        <v>145</v>
      </c>
      <c r="J6128" s="7">
        <v>0</v>
      </c>
      <c r="K6128" s="7" t="s">
        <v>18</v>
      </c>
      <c r="L6128" s="8">
        <v>39987.315405092595</v>
      </c>
      <c r="M6128" s="9" t="s">
        <v>19</v>
      </c>
      <c r="N6128" s="9" t="s">
        <v>20</v>
      </c>
      <c r="O6128" s="6" t="str">
        <f>HYPERLINK("https://pbs.twimg.com/profile_images/962471262747529216/Uo8lOkRJ_normal.jpg","View")</f>
        <v>View</v>
      </c>
      <c r="P6128" s="7"/>
    </row>
    <row r="6129" spans="1:16">
      <c r="A6129" s="3">
        <v>43979.270983796298</v>
      </c>
      <c r="B6129" s="4" t="str">
        <f>HYPERLINK("https://twitter.com/petrogustavo","@petrogustavo")</f>
        <v>@petrogustavo</v>
      </c>
      <c r="C6129" s="5" t="s">
        <v>16</v>
      </c>
      <c r="D6129" s="5" t="s">
        <v>5956</v>
      </c>
      <c r="E6129" s="6" t="str">
        <f>HYPERLINK("https://twitter.com/petrogustavo/status/1265810070413156355","1265810070413156355")</f>
        <v>1265810070413156355</v>
      </c>
      <c r="F6129" s="7" t="s">
        <v>32</v>
      </c>
      <c r="G6129" s="7">
        <v>3843773</v>
      </c>
      <c r="H6129" s="7">
        <v>2412</v>
      </c>
      <c r="I6129" s="7">
        <v>55</v>
      </c>
      <c r="J6129" s="7">
        <v>105</v>
      </c>
      <c r="K6129" s="7" t="s">
        <v>18</v>
      </c>
      <c r="L6129" s="8">
        <v>39987.315405092595</v>
      </c>
      <c r="M6129" s="9" t="s">
        <v>19</v>
      </c>
      <c r="N6129" s="9" t="s">
        <v>20</v>
      </c>
      <c r="O6129" s="6" t="str">
        <f>HYPERLINK("https://pbs.twimg.com/profile_images/962471262747529216/Uo8lOkRJ_normal.jpg","View")</f>
        <v>View</v>
      </c>
      <c r="P6129" s="7"/>
    </row>
    <row r="6130" spans="1:16">
      <c r="A6130" s="3">
        <v>43979.297627314816</v>
      </c>
      <c r="B6130" s="4" t="str">
        <f>HYPERLINK("https://twitter.com/petrogustavo","@petrogustavo")</f>
        <v>@petrogustavo</v>
      </c>
      <c r="C6130" s="5" t="s">
        <v>16</v>
      </c>
      <c r="D6130" s="5" t="s">
        <v>5957</v>
      </c>
      <c r="E6130" s="6" t="str">
        <f>HYPERLINK("https://twitter.com/petrogustavo/status/1265819727030554628","1265819727030554628")</f>
        <v>1265819727030554628</v>
      </c>
      <c r="F6130" s="7" t="s">
        <v>32</v>
      </c>
      <c r="G6130" s="7">
        <v>3843827</v>
      </c>
      <c r="H6130" s="7">
        <v>2412</v>
      </c>
      <c r="I6130" s="7">
        <v>302</v>
      </c>
      <c r="J6130" s="7">
        <v>0</v>
      </c>
      <c r="K6130" s="7" t="s">
        <v>18</v>
      </c>
      <c r="L6130" s="8">
        <v>39987.315405092595</v>
      </c>
      <c r="M6130" s="9" t="s">
        <v>19</v>
      </c>
      <c r="N6130" s="9" t="s">
        <v>20</v>
      </c>
      <c r="O6130" s="6" t="str">
        <f>HYPERLINK("https://pbs.twimg.com/profile_images/962471262747529216/Uo8lOkRJ_normal.jpg","View")</f>
        <v>View</v>
      </c>
      <c r="P6130" s="7"/>
    </row>
    <row r="6131" spans="1:16">
      <c r="A6131" s="3">
        <v>43979.76725694444</v>
      </c>
      <c r="B6131" s="4" t="str">
        <f>HYPERLINK("https://twitter.com/petrogustavo","@petrogustavo")</f>
        <v>@petrogustavo</v>
      </c>
      <c r="C6131" s="5" t="s">
        <v>16</v>
      </c>
      <c r="D6131" s="5" t="s">
        <v>5958</v>
      </c>
      <c r="E6131" s="6" t="str">
        <f>HYPERLINK("https://twitter.com/petrogustavo/status/1265989915197792257","1265989915197792257")</f>
        <v>1265989915197792257</v>
      </c>
      <c r="F6131" s="7" t="s">
        <v>32</v>
      </c>
      <c r="G6131" s="7">
        <v>3844155</v>
      </c>
      <c r="H6131" s="7">
        <v>2412</v>
      </c>
      <c r="I6131" s="7">
        <v>135</v>
      </c>
      <c r="J6131" s="7">
        <v>330</v>
      </c>
      <c r="K6131" s="7" t="s">
        <v>18</v>
      </c>
      <c r="L6131" s="8">
        <v>39987.315405092595</v>
      </c>
      <c r="M6131" s="9" t="s">
        <v>19</v>
      </c>
      <c r="N6131" s="9" t="s">
        <v>20</v>
      </c>
      <c r="O6131" s="6" t="str">
        <f>HYPERLINK("https://pbs.twimg.com/profile_images/962471262747529216/Uo8lOkRJ_normal.jpg","View")</f>
        <v>View</v>
      </c>
      <c r="P6131" s="7"/>
    </row>
    <row r="6132" spans="1:16">
      <c r="A6132" s="3">
        <v>43979.772997685184</v>
      </c>
      <c r="B6132" s="4" t="str">
        <f>HYPERLINK("https://twitter.com/petrogustavo","@petrogustavo")</f>
        <v>@petrogustavo</v>
      </c>
      <c r="C6132" s="5" t="s">
        <v>16</v>
      </c>
      <c r="D6132" s="5" t="s">
        <v>5959</v>
      </c>
      <c r="E6132" s="6" t="str">
        <f>HYPERLINK("https://twitter.com/petrogustavo/status/1265991997044686848","1265991997044686848")</f>
        <v>1265991997044686848</v>
      </c>
      <c r="F6132" s="7" t="s">
        <v>32</v>
      </c>
      <c r="G6132" s="7">
        <v>3844155</v>
      </c>
      <c r="H6132" s="7">
        <v>2412</v>
      </c>
      <c r="I6132" s="7">
        <v>0</v>
      </c>
      <c r="J6132" s="7">
        <v>0</v>
      </c>
      <c r="K6132" s="7" t="s">
        <v>18</v>
      </c>
      <c r="L6132" s="8">
        <v>39987.315405092595</v>
      </c>
      <c r="M6132" s="9" t="s">
        <v>19</v>
      </c>
      <c r="N6132" s="9" t="s">
        <v>20</v>
      </c>
      <c r="O6132" s="6" t="str">
        <f>HYPERLINK("https://pbs.twimg.com/profile_images/962471262747529216/Uo8lOkRJ_normal.jpg","View")</f>
        <v>View</v>
      </c>
      <c r="P6132" s="7"/>
    </row>
    <row r="6133" spans="1:16">
      <c r="A6133" s="3">
        <v>43979.774155092593</v>
      </c>
      <c r="B6133" s="4" t="str">
        <f>HYPERLINK("https://twitter.com/petrogustavo","@petrogustavo")</f>
        <v>@petrogustavo</v>
      </c>
      <c r="C6133" s="5" t="s">
        <v>16</v>
      </c>
      <c r="D6133" s="5" t="s">
        <v>5960</v>
      </c>
      <c r="E6133" s="6" t="str">
        <f>HYPERLINK("https://twitter.com/petrogustavo/status/1265992416101883906","1265992416101883906")</f>
        <v>1265992416101883906</v>
      </c>
      <c r="F6133" s="7" t="s">
        <v>32</v>
      </c>
      <c r="G6133" s="7">
        <v>3844182</v>
      </c>
      <c r="H6133" s="7">
        <v>2412</v>
      </c>
      <c r="I6133" s="7">
        <v>123</v>
      </c>
      <c r="J6133" s="7">
        <v>0</v>
      </c>
      <c r="K6133" s="7" t="s">
        <v>18</v>
      </c>
      <c r="L6133" s="8">
        <v>39987.315405092595</v>
      </c>
      <c r="M6133" s="9" t="s">
        <v>19</v>
      </c>
      <c r="N6133" s="9" t="s">
        <v>20</v>
      </c>
      <c r="O6133" s="6" t="str">
        <f>HYPERLINK("https://pbs.twimg.com/profile_images/962471262747529216/Uo8lOkRJ_normal.jpg","View")</f>
        <v>View</v>
      </c>
      <c r="P6133" s="7"/>
    </row>
    <row r="6134" spans="1:16">
      <c r="A6134" s="3">
        <v>43979.77553240741</v>
      </c>
      <c r="B6134" s="4" t="str">
        <f>HYPERLINK("https://twitter.com/petrogustavo","@petrogustavo")</f>
        <v>@petrogustavo</v>
      </c>
      <c r="C6134" s="5" t="s">
        <v>16</v>
      </c>
      <c r="D6134" s="5" t="s">
        <v>5961</v>
      </c>
      <c r="E6134" s="6" t="str">
        <f>HYPERLINK("https://twitter.com/petrogustavo/status/1265992913500155905","1265992913500155905")</f>
        <v>1265992913500155905</v>
      </c>
      <c r="F6134" s="7" t="s">
        <v>32</v>
      </c>
      <c r="G6134" s="7">
        <v>3844182</v>
      </c>
      <c r="H6134" s="7">
        <v>2412</v>
      </c>
      <c r="I6134" s="7">
        <v>156</v>
      </c>
      <c r="J6134" s="7">
        <v>0</v>
      </c>
      <c r="K6134" s="7" t="s">
        <v>18</v>
      </c>
      <c r="L6134" s="8">
        <v>39987.315405092595</v>
      </c>
      <c r="M6134" s="9" t="s">
        <v>19</v>
      </c>
      <c r="N6134" s="9" t="s">
        <v>20</v>
      </c>
      <c r="O6134" s="6" t="str">
        <f>HYPERLINK("https://pbs.twimg.com/profile_images/962471262747529216/Uo8lOkRJ_normal.jpg","View")</f>
        <v>View</v>
      </c>
      <c r="P6134" s="7"/>
    </row>
    <row r="6135" spans="1:16">
      <c r="A6135" s="3">
        <v>43979.775567129633</v>
      </c>
      <c r="B6135" s="4" t="str">
        <f>HYPERLINK("https://twitter.com/petrogustavo","@petrogustavo")</f>
        <v>@petrogustavo</v>
      </c>
      <c r="C6135" s="5" t="s">
        <v>16</v>
      </c>
      <c r="D6135" s="5" t="s">
        <v>5962</v>
      </c>
      <c r="E6135" s="6" t="str">
        <f>HYPERLINK("https://twitter.com/petrogustavo/status/1265992926938763265","1265992926938763265")</f>
        <v>1265992926938763265</v>
      </c>
      <c r="F6135" s="7" t="s">
        <v>32</v>
      </c>
      <c r="G6135" s="7">
        <v>3844182</v>
      </c>
      <c r="H6135" s="7">
        <v>2412</v>
      </c>
      <c r="I6135" s="7">
        <v>487</v>
      </c>
      <c r="J6135" s="7">
        <v>0</v>
      </c>
      <c r="K6135" s="7" t="s">
        <v>18</v>
      </c>
      <c r="L6135" s="8">
        <v>39987.315405092595</v>
      </c>
      <c r="M6135" s="9" t="s">
        <v>19</v>
      </c>
      <c r="N6135" s="9" t="s">
        <v>20</v>
      </c>
      <c r="O6135" s="6" t="str">
        <f>HYPERLINK("https://pbs.twimg.com/profile_images/962471262747529216/Uo8lOkRJ_normal.jpg","View")</f>
        <v>View</v>
      </c>
      <c r="P6135" s="7"/>
    </row>
    <row r="6136" spans="1:16">
      <c r="A6136" s="3">
        <v>43979.926469907412</v>
      </c>
      <c r="B6136" s="4" t="str">
        <f>HYPERLINK("https://twitter.com/petrogustavo","@petrogustavo")</f>
        <v>@petrogustavo</v>
      </c>
      <c r="C6136" s="5" t="s">
        <v>16</v>
      </c>
      <c r="D6136" s="5" t="s">
        <v>5963</v>
      </c>
      <c r="E6136" s="6" t="str">
        <f>HYPERLINK("https://twitter.com/petrogustavo/status/1266047611825512449","1266047611825512449")</f>
        <v>1266047611825512449</v>
      </c>
      <c r="F6136" s="7" t="s">
        <v>17</v>
      </c>
      <c r="G6136" s="7">
        <v>3844412</v>
      </c>
      <c r="H6136" s="7">
        <v>2413</v>
      </c>
      <c r="I6136" s="7">
        <v>230</v>
      </c>
      <c r="J6136" s="7">
        <v>786</v>
      </c>
      <c r="K6136" s="7" t="s">
        <v>18</v>
      </c>
      <c r="L6136" s="8">
        <v>39987.315405092595</v>
      </c>
      <c r="M6136" s="9" t="s">
        <v>19</v>
      </c>
      <c r="N6136" s="9" t="s">
        <v>20</v>
      </c>
      <c r="O6136" s="6" t="str">
        <f>HYPERLINK("https://pbs.twimg.com/profile_images/962471262747529216/Uo8lOkRJ_normal.jpg","View")</f>
        <v>View</v>
      </c>
      <c r="P6136" s="7"/>
    </row>
    <row r="6137" spans="1:16">
      <c r="A6137" s="3">
        <v>43979.976678240739</v>
      </c>
      <c r="B6137" s="4" t="str">
        <f>HYPERLINK("https://twitter.com/petrogustavo","@petrogustavo")</f>
        <v>@petrogustavo</v>
      </c>
      <c r="C6137" s="5" t="s">
        <v>16</v>
      </c>
      <c r="D6137" s="5" t="s">
        <v>5964</v>
      </c>
      <c r="E6137" s="6" t="str">
        <f>HYPERLINK("https://twitter.com/petrogustavo/status/1266065807819276288","1266065807819276288")</f>
        <v>1266065807819276288</v>
      </c>
      <c r="F6137" s="7" t="s">
        <v>17</v>
      </c>
      <c r="G6137" s="7">
        <v>3844489</v>
      </c>
      <c r="H6137" s="7">
        <v>2413</v>
      </c>
      <c r="I6137" s="7">
        <v>46</v>
      </c>
      <c r="J6137" s="7">
        <v>177</v>
      </c>
      <c r="K6137" s="7" t="s">
        <v>18</v>
      </c>
      <c r="L6137" s="8">
        <v>39987.315405092595</v>
      </c>
      <c r="M6137" s="9" t="s">
        <v>19</v>
      </c>
      <c r="N6137" s="9" t="s">
        <v>20</v>
      </c>
      <c r="O6137" s="6" t="str">
        <f>HYPERLINK("https://pbs.twimg.com/profile_images/962471262747529216/Uo8lOkRJ_normal.jpg","View")</f>
        <v>View</v>
      </c>
      <c r="P6137" s="7"/>
    </row>
    <row r="6138" spans="1:16">
      <c r="A6138" s="3">
        <v>43979.982731481483</v>
      </c>
      <c r="B6138" s="4" t="str">
        <f>HYPERLINK("https://twitter.com/petrogustavo","@petrogustavo")</f>
        <v>@petrogustavo</v>
      </c>
      <c r="C6138" s="5" t="s">
        <v>16</v>
      </c>
      <c r="D6138" s="5" t="s">
        <v>5965</v>
      </c>
      <c r="E6138" s="6" t="str">
        <f>HYPERLINK("https://twitter.com/petrogustavo/status/1266068002073690112","1266068002073690112")</f>
        <v>1266068002073690112</v>
      </c>
      <c r="F6138" s="7" t="s">
        <v>17</v>
      </c>
      <c r="G6138" s="7">
        <v>3844492</v>
      </c>
      <c r="H6138" s="7">
        <v>2413</v>
      </c>
      <c r="I6138" s="7">
        <v>168</v>
      </c>
      <c r="J6138" s="7">
        <v>526</v>
      </c>
      <c r="K6138" s="7" t="s">
        <v>18</v>
      </c>
      <c r="L6138" s="8">
        <v>39987.315405092595</v>
      </c>
      <c r="M6138" s="9" t="s">
        <v>19</v>
      </c>
      <c r="N6138" s="9" t="s">
        <v>20</v>
      </c>
      <c r="O6138" s="6" t="str">
        <f>HYPERLINK("https://pbs.twimg.com/profile_images/962471262747529216/Uo8lOkRJ_normal.jpg","View")</f>
        <v>View</v>
      </c>
      <c r="P6138" s="7"/>
    </row>
    <row r="6139" spans="1:16">
      <c r="A6139" s="3">
        <v>43980.141064814816</v>
      </c>
      <c r="B6139" s="4" t="str">
        <f>HYPERLINK("https://twitter.com/petrogustavo","@petrogustavo")</f>
        <v>@petrogustavo</v>
      </c>
      <c r="C6139" s="5" t="s">
        <v>16</v>
      </c>
      <c r="D6139" s="5" t="s">
        <v>5966</v>
      </c>
      <c r="E6139" s="6" t="str">
        <f>HYPERLINK("https://twitter.com/petrogustavo/status/1266125377396772870","1266125377396772870")</f>
        <v>1266125377396772870</v>
      </c>
      <c r="F6139" s="7" t="s">
        <v>17</v>
      </c>
      <c r="G6139" s="7">
        <v>3844695</v>
      </c>
      <c r="H6139" s="7">
        <v>2413</v>
      </c>
      <c r="I6139" s="7">
        <v>119</v>
      </c>
      <c r="J6139" s="7">
        <v>268</v>
      </c>
      <c r="K6139" s="7" t="s">
        <v>18</v>
      </c>
      <c r="L6139" s="8">
        <v>39987.315405092595</v>
      </c>
      <c r="M6139" s="9" t="s">
        <v>19</v>
      </c>
      <c r="N6139" s="9" t="s">
        <v>20</v>
      </c>
      <c r="O6139" s="6" t="str">
        <f>HYPERLINK("https://pbs.twimg.com/profile_images/962471262747529216/Uo8lOkRJ_normal.jpg","View")</f>
        <v>View</v>
      </c>
      <c r="P6139" s="7"/>
    </row>
    <row r="6140" spans="1:16">
      <c r="A6140" s="3">
        <v>43980.142951388887</v>
      </c>
      <c r="B6140" s="4" t="str">
        <f>HYPERLINK("https://twitter.com/petrogustavo","@petrogustavo")</f>
        <v>@petrogustavo</v>
      </c>
      <c r="C6140" s="5" t="s">
        <v>16</v>
      </c>
      <c r="D6140" s="5" t="s">
        <v>5967</v>
      </c>
      <c r="E6140" s="6" t="str">
        <f>HYPERLINK("https://twitter.com/petrogustavo/status/1266126061798076417","1266126061798076417")</f>
        <v>1266126061798076417</v>
      </c>
      <c r="F6140" s="7" t="s">
        <v>17</v>
      </c>
      <c r="G6140" s="7">
        <v>3844695</v>
      </c>
      <c r="H6140" s="7">
        <v>2413</v>
      </c>
      <c r="I6140" s="7">
        <v>177</v>
      </c>
      <c r="J6140" s="7">
        <v>527</v>
      </c>
      <c r="K6140" s="7" t="s">
        <v>18</v>
      </c>
      <c r="L6140" s="8">
        <v>39987.315405092595</v>
      </c>
      <c r="M6140" s="9" t="s">
        <v>19</v>
      </c>
      <c r="N6140" s="9" t="s">
        <v>20</v>
      </c>
      <c r="O6140" s="6" t="str">
        <f>HYPERLINK("https://pbs.twimg.com/profile_images/962471262747529216/Uo8lOkRJ_normal.jpg","View")</f>
        <v>View</v>
      </c>
      <c r="P6140" s="7"/>
    </row>
    <row r="6141" spans="1:16">
      <c r="A6141" s="3">
        <v>43980.347557870366</v>
      </c>
      <c r="B6141" s="4" t="str">
        <f>HYPERLINK("https://twitter.com/petrogustavo","@petrogustavo")</f>
        <v>@petrogustavo</v>
      </c>
      <c r="C6141" s="5" t="s">
        <v>16</v>
      </c>
      <c r="D6141" s="5" t="s">
        <v>5968</v>
      </c>
      <c r="E6141" s="6" t="str">
        <f>HYPERLINK("https://twitter.com/petrogustavo/status/1266200208809099270","1266200208809099270")</f>
        <v>1266200208809099270</v>
      </c>
      <c r="F6141" s="7" t="s">
        <v>32</v>
      </c>
      <c r="G6141" s="7">
        <v>3845023</v>
      </c>
      <c r="H6141" s="7">
        <v>2413</v>
      </c>
      <c r="I6141" s="7">
        <v>148</v>
      </c>
      <c r="J6141" s="7">
        <v>300</v>
      </c>
      <c r="K6141" s="7" t="s">
        <v>18</v>
      </c>
      <c r="L6141" s="8">
        <v>39987.315405092595</v>
      </c>
      <c r="M6141" s="9" t="s">
        <v>19</v>
      </c>
      <c r="N6141" s="9" t="s">
        <v>20</v>
      </c>
      <c r="O6141" s="6" t="str">
        <f>HYPERLINK("https://pbs.twimg.com/profile_images/962471262747529216/Uo8lOkRJ_normal.jpg","View")</f>
        <v>View</v>
      </c>
      <c r="P6141" s="7"/>
    </row>
    <row r="6142" spans="1:16">
      <c r="A6142" s="3">
        <v>43980.357974537037</v>
      </c>
      <c r="B6142" s="4" t="str">
        <f>HYPERLINK("https://twitter.com/petrogustavo","@petrogustavo")</f>
        <v>@petrogustavo</v>
      </c>
      <c r="C6142" s="5" t="s">
        <v>16</v>
      </c>
      <c r="D6142" s="5" t="s">
        <v>5969</v>
      </c>
      <c r="E6142" s="6" t="str">
        <f>HYPERLINK("https://twitter.com/petrogustavo/status/1266203986501218304","1266203986501218304")</f>
        <v>1266203986501218304</v>
      </c>
      <c r="F6142" s="7" t="s">
        <v>21</v>
      </c>
      <c r="G6142" s="7">
        <v>3845026</v>
      </c>
      <c r="H6142" s="7">
        <v>2413</v>
      </c>
      <c r="I6142" s="7">
        <v>123</v>
      </c>
      <c r="J6142" s="7">
        <v>363</v>
      </c>
      <c r="K6142" s="7" t="s">
        <v>18</v>
      </c>
      <c r="L6142" s="8">
        <v>39987.315405092595</v>
      </c>
      <c r="M6142" s="9" t="s">
        <v>19</v>
      </c>
      <c r="N6142" s="9" t="s">
        <v>20</v>
      </c>
      <c r="O6142" s="6" t="str">
        <f>HYPERLINK("https://pbs.twimg.com/profile_images/962471262747529216/Uo8lOkRJ_normal.jpg","View")</f>
        <v>View</v>
      </c>
      <c r="P6142" s="7"/>
    </row>
    <row r="6143" spans="1:16">
      <c r="A6143" s="3">
        <v>43980.784988425927</v>
      </c>
      <c r="B6143" s="4" t="str">
        <f>HYPERLINK("https://twitter.com/petrogustavo","@petrogustavo")</f>
        <v>@petrogustavo</v>
      </c>
      <c r="C6143" s="5" t="s">
        <v>16</v>
      </c>
      <c r="D6143" s="5" t="s">
        <v>5970</v>
      </c>
      <c r="E6143" s="6" t="str">
        <f>HYPERLINK("https://twitter.com/petrogustavo/status/1266358730704203777","1266358730704203777")</f>
        <v>1266358730704203777</v>
      </c>
      <c r="F6143" s="7" t="s">
        <v>17</v>
      </c>
      <c r="G6143" s="7">
        <v>3845340</v>
      </c>
      <c r="H6143" s="7">
        <v>2413</v>
      </c>
      <c r="I6143" s="7">
        <v>83</v>
      </c>
      <c r="J6143" s="7">
        <v>0</v>
      </c>
      <c r="K6143" s="7" t="s">
        <v>18</v>
      </c>
      <c r="L6143" s="8">
        <v>39987.315405092595</v>
      </c>
      <c r="M6143" s="9" t="s">
        <v>19</v>
      </c>
      <c r="N6143" s="9" t="s">
        <v>20</v>
      </c>
      <c r="O6143" s="6" t="str">
        <f>HYPERLINK("https://pbs.twimg.com/profile_images/962471262747529216/Uo8lOkRJ_normal.jpg","View")</f>
        <v>View</v>
      </c>
      <c r="P6143" s="7"/>
    </row>
    <row r="6144" spans="1:16">
      <c r="A6144" s="3">
        <v>43980.787997685184</v>
      </c>
      <c r="B6144" s="4" t="str">
        <f>HYPERLINK("https://twitter.com/petrogustavo","@petrogustavo")</f>
        <v>@petrogustavo</v>
      </c>
      <c r="C6144" s="5" t="s">
        <v>16</v>
      </c>
      <c r="D6144" s="5" t="s">
        <v>5971</v>
      </c>
      <c r="E6144" s="6" t="str">
        <f>HYPERLINK("https://twitter.com/petrogustavo/status/1266359819889344514","1266359819889344514")</f>
        <v>1266359819889344514</v>
      </c>
      <c r="F6144" s="7" t="s">
        <v>17</v>
      </c>
      <c r="G6144" s="7">
        <v>3845340</v>
      </c>
      <c r="H6144" s="7">
        <v>2413</v>
      </c>
      <c r="I6144" s="7">
        <v>75</v>
      </c>
      <c r="J6144" s="7">
        <v>243</v>
      </c>
      <c r="K6144" s="7" t="s">
        <v>18</v>
      </c>
      <c r="L6144" s="8">
        <v>39987.315405092595</v>
      </c>
      <c r="M6144" s="9" t="s">
        <v>19</v>
      </c>
      <c r="N6144" s="9" t="s">
        <v>20</v>
      </c>
      <c r="O6144" s="6" t="str">
        <f>HYPERLINK("https://pbs.twimg.com/profile_images/962471262747529216/Uo8lOkRJ_normal.jpg","View")</f>
        <v>View</v>
      </c>
      <c r="P6144" s="7"/>
    </row>
    <row r="6145" spans="1:16">
      <c r="A6145" s="3">
        <v>43980.796597222223</v>
      </c>
      <c r="B6145" s="4" t="str">
        <f>HYPERLINK("https://twitter.com/petrogustavo","@petrogustavo")</f>
        <v>@petrogustavo</v>
      </c>
      <c r="C6145" s="5" t="s">
        <v>16</v>
      </c>
      <c r="D6145" s="5" t="s">
        <v>5972</v>
      </c>
      <c r="E6145" s="6" t="str">
        <f>HYPERLINK("https://twitter.com/petrogustavo/status/1266362934734675969","1266362934734675969")</f>
        <v>1266362934734675969</v>
      </c>
      <c r="F6145" s="7" t="s">
        <v>17</v>
      </c>
      <c r="G6145" s="7">
        <v>3845362</v>
      </c>
      <c r="H6145" s="7">
        <v>2413</v>
      </c>
      <c r="I6145" s="7">
        <v>48</v>
      </c>
      <c r="J6145" s="7">
        <v>0</v>
      </c>
      <c r="K6145" s="7" t="s">
        <v>18</v>
      </c>
      <c r="L6145" s="8">
        <v>39987.315405092595</v>
      </c>
      <c r="M6145" s="9" t="s">
        <v>19</v>
      </c>
      <c r="N6145" s="9" t="s">
        <v>20</v>
      </c>
      <c r="O6145" s="6" t="str">
        <f>HYPERLINK("https://pbs.twimg.com/profile_images/962471262747529216/Uo8lOkRJ_normal.jpg","View")</f>
        <v>View</v>
      </c>
      <c r="P6145" s="7"/>
    </row>
    <row r="6146" spans="1:16">
      <c r="A6146" s="3">
        <v>43980.796979166669</v>
      </c>
      <c r="B6146" s="4" t="str">
        <f>HYPERLINK("https://twitter.com/petrogustavo","@petrogustavo")</f>
        <v>@petrogustavo</v>
      </c>
      <c r="C6146" s="5" t="s">
        <v>16</v>
      </c>
      <c r="D6146" s="5" t="s">
        <v>5973</v>
      </c>
      <c r="E6146" s="6" t="str">
        <f>HYPERLINK("https://twitter.com/petrogustavo/status/1266363076443402241","1266363076443402241")</f>
        <v>1266363076443402241</v>
      </c>
      <c r="F6146" s="7" t="s">
        <v>17</v>
      </c>
      <c r="G6146" s="7">
        <v>3845362</v>
      </c>
      <c r="H6146" s="7">
        <v>2413</v>
      </c>
      <c r="I6146" s="7">
        <v>364</v>
      </c>
      <c r="J6146" s="7">
        <v>0</v>
      </c>
      <c r="K6146" s="7" t="s">
        <v>18</v>
      </c>
      <c r="L6146" s="8">
        <v>39987.315405092595</v>
      </c>
      <c r="M6146" s="9" t="s">
        <v>19</v>
      </c>
      <c r="N6146" s="9" t="s">
        <v>20</v>
      </c>
      <c r="O6146" s="6" t="str">
        <f>HYPERLINK("https://pbs.twimg.com/profile_images/962471262747529216/Uo8lOkRJ_normal.jpg","View")</f>
        <v>View</v>
      </c>
      <c r="P6146" s="7"/>
    </row>
    <row r="6147" spans="1:16">
      <c r="A6147" s="3">
        <v>43980.864664351851</v>
      </c>
      <c r="B6147" s="4" t="str">
        <f>HYPERLINK("https://twitter.com/petrogustavo","@petrogustavo")</f>
        <v>@petrogustavo</v>
      </c>
      <c r="C6147" s="5" t="s">
        <v>16</v>
      </c>
      <c r="D6147" s="5" t="s">
        <v>5974</v>
      </c>
      <c r="E6147" s="6" t="str">
        <f>HYPERLINK("https://twitter.com/petrogustavo/status/1266387602225143808","1266387602225143808")</f>
        <v>1266387602225143808</v>
      </c>
      <c r="F6147" s="7" t="s">
        <v>17</v>
      </c>
      <c r="G6147" s="7">
        <v>3845471</v>
      </c>
      <c r="H6147" s="7">
        <v>2413</v>
      </c>
      <c r="I6147" s="7">
        <v>114</v>
      </c>
      <c r="J6147" s="7">
        <v>194</v>
      </c>
      <c r="K6147" s="7" t="s">
        <v>18</v>
      </c>
      <c r="L6147" s="8">
        <v>39987.315405092595</v>
      </c>
      <c r="M6147" s="9" t="s">
        <v>19</v>
      </c>
      <c r="N6147" s="9" t="s">
        <v>20</v>
      </c>
      <c r="O6147" s="6" t="str">
        <f>HYPERLINK("https://pbs.twimg.com/profile_images/962471262747529216/Uo8lOkRJ_normal.jpg","View")</f>
        <v>View</v>
      </c>
      <c r="P6147" s="7"/>
    </row>
    <row r="6148" spans="1:16">
      <c r="A6148" s="3">
        <v>43980.876932870371</v>
      </c>
      <c r="B6148" s="4" t="str">
        <f>HYPERLINK("https://twitter.com/petrogustavo","@petrogustavo")</f>
        <v>@petrogustavo</v>
      </c>
      <c r="C6148" s="5" t="s">
        <v>16</v>
      </c>
      <c r="D6148" s="5" t="s">
        <v>5975</v>
      </c>
      <c r="E6148" s="6" t="str">
        <f>HYPERLINK("https://twitter.com/petrogustavo/status/1266392050641051649","1266392050641051649")</f>
        <v>1266392050641051649</v>
      </c>
      <c r="F6148" s="7" t="s">
        <v>17</v>
      </c>
      <c r="G6148" s="7">
        <v>3845471</v>
      </c>
      <c r="H6148" s="7">
        <v>2413</v>
      </c>
      <c r="I6148" s="7">
        <v>0</v>
      </c>
      <c r="J6148" s="7">
        <v>1</v>
      </c>
      <c r="K6148" s="7" t="s">
        <v>18</v>
      </c>
      <c r="L6148" s="8">
        <v>39987.315405092595</v>
      </c>
      <c r="M6148" s="9" t="s">
        <v>19</v>
      </c>
      <c r="N6148" s="9" t="s">
        <v>20</v>
      </c>
      <c r="O6148" s="6" t="str">
        <f>HYPERLINK("https://pbs.twimg.com/profile_images/962471262747529216/Uo8lOkRJ_normal.jpg","View")</f>
        <v>View</v>
      </c>
      <c r="P6148" s="7"/>
    </row>
    <row r="6149" spans="1:16">
      <c r="A6149" s="3">
        <v>43980.896493055552</v>
      </c>
      <c r="B6149" s="4" t="str">
        <f>HYPERLINK("https://twitter.com/petrogustavo","@petrogustavo")</f>
        <v>@petrogustavo</v>
      </c>
      <c r="C6149" s="5" t="s">
        <v>16</v>
      </c>
      <c r="D6149" s="5" t="s">
        <v>5976</v>
      </c>
      <c r="E6149" s="6" t="str">
        <f>HYPERLINK("https://twitter.com/petrogustavo/status/1266399135776768003","1266399135776768003")</f>
        <v>1266399135776768003</v>
      </c>
      <c r="F6149" s="7" t="s">
        <v>32</v>
      </c>
      <c r="G6149" s="7">
        <v>3845515</v>
      </c>
      <c r="H6149" s="7">
        <v>2413</v>
      </c>
      <c r="I6149" s="7">
        <v>23</v>
      </c>
      <c r="J6149" s="7">
        <v>48</v>
      </c>
      <c r="K6149" s="7" t="s">
        <v>18</v>
      </c>
      <c r="L6149" s="8">
        <v>39987.315405092595</v>
      </c>
      <c r="M6149" s="9" t="s">
        <v>19</v>
      </c>
      <c r="N6149" s="9" t="s">
        <v>20</v>
      </c>
      <c r="O6149" s="6" t="str">
        <f>HYPERLINK("https://pbs.twimg.com/profile_images/962471262747529216/Uo8lOkRJ_normal.jpg","View")</f>
        <v>View</v>
      </c>
      <c r="P6149" s="7"/>
    </row>
    <row r="6150" spans="1:16">
      <c r="A6150" s="3">
        <v>43980.928541666668</v>
      </c>
      <c r="B6150" s="4" t="str">
        <f>HYPERLINK("https://twitter.com/petrogustavo","@petrogustavo")</f>
        <v>@petrogustavo</v>
      </c>
      <c r="C6150" s="5" t="s">
        <v>16</v>
      </c>
      <c r="D6150" s="5" t="s">
        <v>5977</v>
      </c>
      <c r="E6150" s="6" t="str">
        <f>HYPERLINK("https://twitter.com/petrogustavo/status/1266410752958771200","1266410752958771200")</f>
        <v>1266410752958771200</v>
      </c>
      <c r="F6150" s="7" t="s">
        <v>17</v>
      </c>
      <c r="G6150" s="7">
        <v>3845577</v>
      </c>
      <c r="H6150" s="7">
        <v>2413</v>
      </c>
      <c r="I6150" s="7">
        <v>91</v>
      </c>
      <c r="J6150" s="7">
        <v>243</v>
      </c>
      <c r="K6150" s="7" t="s">
        <v>18</v>
      </c>
      <c r="L6150" s="8">
        <v>39987.315405092595</v>
      </c>
      <c r="M6150" s="9" t="s">
        <v>19</v>
      </c>
      <c r="N6150" s="9" t="s">
        <v>20</v>
      </c>
      <c r="O6150" s="6" t="str">
        <f>HYPERLINK("https://pbs.twimg.com/profile_images/962471262747529216/Uo8lOkRJ_normal.jpg","View")</f>
        <v>View</v>
      </c>
      <c r="P6150" s="7"/>
    </row>
    <row r="6151" spans="1:16">
      <c r="A6151" s="3">
        <v>43980.981863425928</v>
      </c>
      <c r="B6151" s="4" t="str">
        <f>HYPERLINK("https://twitter.com/petrogustavo","@petrogustavo")</f>
        <v>@petrogustavo</v>
      </c>
      <c r="C6151" s="5" t="s">
        <v>16</v>
      </c>
      <c r="D6151" s="5" t="s">
        <v>5978</v>
      </c>
      <c r="E6151" s="6" t="str">
        <f>HYPERLINK("https://twitter.com/petrogustavo/status/1266430073521016832","1266430073521016832")</f>
        <v>1266430073521016832</v>
      </c>
      <c r="F6151" s="7" t="s">
        <v>32</v>
      </c>
      <c r="G6151" s="7">
        <v>3845646</v>
      </c>
      <c r="H6151" s="7">
        <v>2413</v>
      </c>
      <c r="I6151" s="7">
        <v>50</v>
      </c>
      <c r="J6151" s="7">
        <v>160</v>
      </c>
      <c r="K6151" s="7" t="s">
        <v>18</v>
      </c>
      <c r="L6151" s="8">
        <v>39987.315405092595</v>
      </c>
      <c r="M6151" s="9" t="s">
        <v>19</v>
      </c>
      <c r="N6151" s="9" t="s">
        <v>20</v>
      </c>
      <c r="O6151" s="6" t="str">
        <f>HYPERLINK("https://pbs.twimg.com/profile_images/962471262747529216/Uo8lOkRJ_normal.jpg","View")</f>
        <v>View</v>
      </c>
      <c r="P6151" s="7"/>
    </row>
    <row r="6152" spans="1:16">
      <c r="A6152" s="3">
        <v>43980.998553240745</v>
      </c>
      <c r="B6152" s="4" t="str">
        <f>HYPERLINK("https://twitter.com/petrogustavo","@petrogustavo")</f>
        <v>@petrogustavo</v>
      </c>
      <c r="C6152" s="5" t="s">
        <v>16</v>
      </c>
      <c r="D6152" s="5" t="s">
        <v>5979</v>
      </c>
      <c r="E6152" s="6" t="str">
        <f>HYPERLINK("https://twitter.com/petrogustavo/status/1266436123007553543","1266436123007553543")</f>
        <v>1266436123007553543</v>
      </c>
      <c r="F6152" s="7" t="s">
        <v>32</v>
      </c>
      <c r="G6152" s="7">
        <v>3845646</v>
      </c>
      <c r="H6152" s="7">
        <v>2413</v>
      </c>
      <c r="I6152" s="7">
        <v>32</v>
      </c>
      <c r="J6152" s="7">
        <v>0</v>
      </c>
      <c r="K6152" s="7" t="s">
        <v>18</v>
      </c>
      <c r="L6152" s="8">
        <v>39987.315405092595</v>
      </c>
      <c r="M6152" s="9" t="s">
        <v>19</v>
      </c>
      <c r="N6152" s="9" t="s">
        <v>20</v>
      </c>
      <c r="O6152" s="6" t="str">
        <f>HYPERLINK("https://pbs.twimg.com/profile_images/962471262747529216/Uo8lOkRJ_normal.jpg","View")</f>
        <v>View</v>
      </c>
      <c r="P6152" s="7"/>
    </row>
    <row r="6153" spans="1:16">
      <c r="A6153" s="3">
        <v>43981.016250000001</v>
      </c>
      <c r="B6153" s="4" t="str">
        <f>HYPERLINK("https://twitter.com/petrogustavo","@petrogustavo")</f>
        <v>@petrogustavo</v>
      </c>
      <c r="C6153" s="5" t="s">
        <v>16</v>
      </c>
      <c r="D6153" s="5" t="s">
        <v>5980</v>
      </c>
      <c r="E6153" s="6" t="str">
        <f>HYPERLINK("https://twitter.com/petrogustavo/status/1266442537448935425","1266442537448935425")</f>
        <v>1266442537448935425</v>
      </c>
      <c r="F6153" s="7" t="s">
        <v>21</v>
      </c>
      <c r="G6153" s="7">
        <v>3845703</v>
      </c>
      <c r="H6153" s="7">
        <v>2413</v>
      </c>
      <c r="I6153" s="7">
        <v>55</v>
      </c>
      <c r="J6153" s="7">
        <v>154</v>
      </c>
      <c r="K6153" s="7" t="s">
        <v>18</v>
      </c>
      <c r="L6153" s="8">
        <v>39987.315405092595</v>
      </c>
      <c r="M6153" s="9" t="s">
        <v>19</v>
      </c>
      <c r="N6153" s="9" t="s">
        <v>20</v>
      </c>
      <c r="O6153" s="6" t="str">
        <f>HYPERLINK("https://pbs.twimg.com/profile_images/962471262747529216/Uo8lOkRJ_normal.jpg","View")</f>
        <v>View</v>
      </c>
      <c r="P6153" s="7"/>
    </row>
    <row r="6154" spans="1:16">
      <c r="A6154" s="3">
        <v>43981.031655092593</v>
      </c>
      <c r="B6154" s="4" t="str">
        <f>HYPERLINK("https://twitter.com/petrogustavo","@petrogustavo")</f>
        <v>@petrogustavo</v>
      </c>
      <c r="C6154" s="5" t="s">
        <v>16</v>
      </c>
      <c r="D6154" s="5" t="s">
        <v>5981</v>
      </c>
      <c r="E6154" s="6" t="str">
        <f>HYPERLINK("https://twitter.com/petrogustavo/status/1266448116695302144","1266448116695302144")</f>
        <v>1266448116695302144</v>
      </c>
      <c r="F6154" s="7" t="s">
        <v>17</v>
      </c>
      <c r="G6154" s="7">
        <v>3845723</v>
      </c>
      <c r="H6154" s="7">
        <v>2413</v>
      </c>
      <c r="I6154" s="7">
        <v>1164</v>
      </c>
      <c r="J6154" s="7">
        <v>0</v>
      </c>
      <c r="K6154" s="7" t="s">
        <v>18</v>
      </c>
      <c r="L6154" s="8">
        <v>39987.315405092595</v>
      </c>
      <c r="M6154" s="9" t="s">
        <v>19</v>
      </c>
      <c r="N6154" s="9" t="s">
        <v>20</v>
      </c>
      <c r="O6154" s="6" t="str">
        <f>HYPERLINK("https://pbs.twimg.com/profile_images/962471262747529216/Uo8lOkRJ_normal.jpg","View")</f>
        <v>View</v>
      </c>
      <c r="P6154" s="7"/>
    </row>
    <row r="6155" spans="1:16">
      <c r="A6155" s="3">
        <v>43981.032395833332</v>
      </c>
      <c r="B6155" s="4" t="str">
        <f>HYPERLINK("https://twitter.com/petrogustavo","@petrogustavo")</f>
        <v>@petrogustavo</v>
      </c>
      <c r="C6155" s="5" t="s">
        <v>16</v>
      </c>
      <c r="D6155" s="5" t="s">
        <v>5982</v>
      </c>
      <c r="E6155" s="6" t="str">
        <f>HYPERLINK("https://twitter.com/petrogustavo/status/1266448388440145920","1266448388440145920")</f>
        <v>1266448388440145920</v>
      </c>
      <c r="F6155" s="7" t="s">
        <v>17</v>
      </c>
      <c r="G6155" s="7">
        <v>3845723</v>
      </c>
      <c r="H6155" s="7">
        <v>2413</v>
      </c>
      <c r="I6155" s="7">
        <v>135</v>
      </c>
      <c r="J6155" s="7">
        <v>0</v>
      </c>
      <c r="K6155" s="7" t="s">
        <v>18</v>
      </c>
      <c r="L6155" s="8">
        <v>39987.315405092595</v>
      </c>
      <c r="M6155" s="9" t="s">
        <v>19</v>
      </c>
      <c r="N6155" s="9" t="s">
        <v>20</v>
      </c>
      <c r="O6155" s="6" t="str">
        <f>HYPERLINK("https://pbs.twimg.com/profile_images/962471262747529216/Uo8lOkRJ_normal.jpg","View")</f>
        <v>View</v>
      </c>
      <c r="P6155" s="7"/>
    </row>
    <row r="6156" spans="1:16">
      <c r="A6156" s="3">
        <v>43981.068229166667</v>
      </c>
      <c r="B6156" s="4" t="str">
        <f>HYPERLINK("https://twitter.com/petrogustavo","@petrogustavo")</f>
        <v>@petrogustavo</v>
      </c>
      <c r="C6156" s="5" t="s">
        <v>16</v>
      </c>
      <c r="D6156" s="5" t="s">
        <v>5983</v>
      </c>
      <c r="E6156" s="6" t="str">
        <f>HYPERLINK("https://twitter.com/petrogustavo/status/1266461370624757760","1266461370624757760")</f>
        <v>1266461370624757760</v>
      </c>
      <c r="F6156" s="7" t="s">
        <v>32</v>
      </c>
      <c r="G6156" s="7">
        <v>3845764</v>
      </c>
      <c r="H6156" s="7">
        <v>2413</v>
      </c>
      <c r="I6156" s="7">
        <v>215</v>
      </c>
      <c r="J6156" s="7">
        <v>385</v>
      </c>
      <c r="K6156" s="7" t="s">
        <v>18</v>
      </c>
      <c r="L6156" s="8">
        <v>39987.315405092595</v>
      </c>
      <c r="M6156" s="9" t="s">
        <v>19</v>
      </c>
      <c r="N6156" s="9" t="s">
        <v>20</v>
      </c>
      <c r="O6156" s="6" t="str">
        <f>HYPERLINK("https://pbs.twimg.com/profile_images/962471262747529216/Uo8lOkRJ_normal.jpg","View")</f>
        <v>View</v>
      </c>
      <c r="P6156" s="7"/>
    </row>
    <row r="6157" spans="1:16">
      <c r="A6157" s="3">
        <v>43981.07</v>
      </c>
      <c r="B6157" s="4" t="str">
        <f>HYPERLINK("https://twitter.com/petrogustavo","@petrogustavo")</f>
        <v>@petrogustavo</v>
      </c>
      <c r="C6157" s="5" t="s">
        <v>16</v>
      </c>
      <c r="D6157" s="5" t="s">
        <v>5984</v>
      </c>
      <c r="E6157" s="6" t="str">
        <f>HYPERLINK("https://twitter.com/petrogustavo/status/1266462012911095816","1266462012911095816")</f>
        <v>1266462012911095816</v>
      </c>
      <c r="F6157" s="7" t="s">
        <v>32</v>
      </c>
      <c r="G6157" s="7">
        <v>3845764</v>
      </c>
      <c r="H6157" s="7">
        <v>2413</v>
      </c>
      <c r="I6157" s="7">
        <v>94</v>
      </c>
      <c r="J6157" s="7">
        <v>191</v>
      </c>
      <c r="K6157" s="7" t="s">
        <v>18</v>
      </c>
      <c r="L6157" s="8">
        <v>39987.315405092595</v>
      </c>
      <c r="M6157" s="9" t="s">
        <v>19</v>
      </c>
      <c r="N6157" s="9" t="s">
        <v>20</v>
      </c>
      <c r="O6157" s="6" t="str">
        <f>HYPERLINK("https://pbs.twimg.com/profile_images/962471262747529216/Uo8lOkRJ_normal.jpg","View")</f>
        <v>View</v>
      </c>
      <c r="P6157" s="7"/>
    </row>
    <row r="6158" spans="1:16">
      <c r="A6158" s="3">
        <v>43981.070358796293</v>
      </c>
      <c r="B6158" s="4" t="str">
        <f>HYPERLINK("https://twitter.com/petrogustavo","@petrogustavo")</f>
        <v>@petrogustavo</v>
      </c>
      <c r="C6158" s="5" t="s">
        <v>16</v>
      </c>
      <c r="D6158" s="5" t="s">
        <v>5985</v>
      </c>
      <c r="E6158" s="6" t="str">
        <f>HYPERLINK("https://twitter.com/petrogustavo/status/1266462145040048129","1266462145040048129")</f>
        <v>1266462145040048129</v>
      </c>
      <c r="F6158" s="7" t="s">
        <v>32</v>
      </c>
      <c r="G6158" s="7">
        <v>3845764</v>
      </c>
      <c r="H6158" s="7">
        <v>2413</v>
      </c>
      <c r="I6158" s="7">
        <v>215</v>
      </c>
      <c r="J6158" s="7">
        <v>0</v>
      </c>
      <c r="K6158" s="7" t="s">
        <v>18</v>
      </c>
      <c r="L6158" s="8">
        <v>39987.315405092595</v>
      </c>
      <c r="M6158" s="9" t="s">
        <v>19</v>
      </c>
      <c r="N6158" s="9" t="s">
        <v>20</v>
      </c>
      <c r="O6158" s="6" t="str">
        <f>HYPERLINK("https://pbs.twimg.com/profile_images/962471262747529216/Uo8lOkRJ_normal.jpg","View")</f>
        <v>View</v>
      </c>
      <c r="P6158" s="7"/>
    </row>
    <row r="6159" spans="1:16">
      <c r="A6159" s="3">
        <v>43981.070497685185</v>
      </c>
      <c r="B6159" s="4" t="str">
        <f>HYPERLINK("https://twitter.com/petrogustavo","@petrogustavo")</f>
        <v>@petrogustavo</v>
      </c>
      <c r="C6159" s="5" t="s">
        <v>16</v>
      </c>
      <c r="D6159" s="5" t="s">
        <v>5982</v>
      </c>
      <c r="E6159" s="6" t="str">
        <f>HYPERLINK("https://twitter.com/petrogustavo/status/1266462194687815680","1266462194687815680")</f>
        <v>1266462194687815680</v>
      </c>
      <c r="F6159" s="7" t="s">
        <v>32</v>
      </c>
      <c r="G6159" s="7">
        <v>3845764</v>
      </c>
      <c r="H6159" s="7">
        <v>2413</v>
      </c>
      <c r="I6159" s="7">
        <v>242</v>
      </c>
      <c r="J6159" s="7">
        <v>0</v>
      </c>
      <c r="K6159" s="7" t="s">
        <v>18</v>
      </c>
      <c r="L6159" s="8">
        <v>39987.315405092595</v>
      </c>
      <c r="M6159" s="9" t="s">
        <v>19</v>
      </c>
      <c r="N6159" s="9" t="s">
        <v>20</v>
      </c>
      <c r="O6159" s="6" t="str">
        <f>HYPERLINK("https://pbs.twimg.com/profile_images/962471262747529216/Uo8lOkRJ_normal.jpg","View")</f>
        <v>View</v>
      </c>
      <c r="P6159" s="7"/>
    </row>
    <row r="6160" spans="1:16">
      <c r="A6160" s="3">
        <v>43981.195011574076</v>
      </c>
      <c r="B6160" s="4" t="str">
        <f>HYPERLINK("https://twitter.com/petrogustavo","@petrogustavo")</f>
        <v>@petrogustavo</v>
      </c>
      <c r="C6160" s="5" t="s">
        <v>16</v>
      </c>
      <c r="D6160" s="5" t="s">
        <v>5986</v>
      </c>
      <c r="E6160" s="6" t="str">
        <f>HYPERLINK("https://twitter.com/petrogustavo/status/1266507317241094147","1266507317241094147")</f>
        <v>1266507317241094147</v>
      </c>
      <c r="F6160" s="7" t="s">
        <v>32</v>
      </c>
      <c r="G6160" s="7">
        <v>3845924</v>
      </c>
      <c r="H6160" s="7">
        <v>2413</v>
      </c>
      <c r="I6160" s="7">
        <v>104</v>
      </c>
      <c r="J6160" s="7">
        <v>270</v>
      </c>
      <c r="K6160" s="7" t="s">
        <v>18</v>
      </c>
      <c r="L6160" s="8">
        <v>39987.315405092595</v>
      </c>
      <c r="M6160" s="9" t="s">
        <v>19</v>
      </c>
      <c r="N6160" s="9" t="s">
        <v>20</v>
      </c>
      <c r="O6160" s="6" t="str">
        <f>HYPERLINK("https://pbs.twimg.com/profile_images/962471262747529216/Uo8lOkRJ_normal.jpg","View")</f>
        <v>View</v>
      </c>
      <c r="P6160" s="7"/>
    </row>
    <row r="6161" spans="1:16">
      <c r="A6161" s="3">
        <v>43981.224594907406</v>
      </c>
      <c r="B6161" s="4" t="str">
        <f>HYPERLINK("https://twitter.com/petrogustavo","@petrogustavo")</f>
        <v>@petrogustavo</v>
      </c>
      <c r="C6161" s="5" t="s">
        <v>16</v>
      </c>
      <c r="D6161" s="5" t="s">
        <v>5987</v>
      </c>
      <c r="E6161" s="6" t="str">
        <f>HYPERLINK("https://twitter.com/petrogustavo/status/1266518035344560129","1266518035344560129")</f>
        <v>1266518035344560129</v>
      </c>
      <c r="F6161" s="7" t="s">
        <v>17</v>
      </c>
      <c r="G6161" s="7">
        <v>3845968</v>
      </c>
      <c r="H6161" s="7">
        <v>2413</v>
      </c>
      <c r="I6161" s="7">
        <v>35</v>
      </c>
      <c r="J6161" s="7">
        <v>70</v>
      </c>
      <c r="K6161" s="7" t="s">
        <v>18</v>
      </c>
      <c r="L6161" s="8">
        <v>39987.315405092595</v>
      </c>
      <c r="M6161" s="9" t="s">
        <v>19</v>
      </c>
      <c r="N6161" s="9" t="s">
        <v>20</v>
      </c>
      <c r="O6161" s="6" t="str">
        <f>HYPERLINK("https://pbs.twimg.com/profile_images/962471262747529216/Uo8lOkRJ_normal.jpg","View")</f>
        <v>View</v>
      </c>
      <c r="P6161" s="7"/>
    </row>
    <row r="6162" spans="1:16">
      <c r="A6162" s="3">
        <v>43981.226979166662</v>
      </c>
      <c r="B6162" s="4" t="str">
        <f>HYPERLINK("https://twitter.com/petrogustavo","@petrogustavo")</f>
        <v>@petrogustavo</v>
      </c>
      <c r="C6162" s="5" t="s">
        <v>16</v>
      </c>
      <c r="D6162" s="5" t="s">
        <v>5988</v>
      </c>
      <c r="E6162" s="6" t="str">
        <f>HYPERLINK("https://twitter.com/petrogustavo/status/1266518899702595586","1266518899702595586")</f>
        <v>1266518899702595586</v>
      </c>
      <c r="F6162" s="7" t="s">
        <v>17</v>
      </c>
      <c r="G6162" s="7">
        <v>3845968</v>
      </c>
      <c r="H6162" s="7">
        <v>2413</v>
      </c>
      <c r="I6162" s="7">
        <v>15</v>
      </c>
      <c r="J6162" s="7">
        <v>40</v>
      </c>
      <c r="K6162" s="7" t="s">
        <v>18</v>
      </c>
      <c r="L6162" s="8">
        <v>39987.315405092595</v>
      </c>
      <c r="M6162" s="9" t="s">
        <v>19</v>
      </c>
      <c r="N6162" s="9" t="s">
        <v>20</v>
      </c>
      <c r="O6162" s="6" t="str">
        <f>HYPERLINK("https://pbs.twimg.com/profile_images/962471262747529216/Uo8lOkRJ_normal.jpg","View")</f>
        <v>View</v>
      </c>
      <c r="P6162" s="7"/>
    </row>
    <row r="6163" spans="1:16">
      <c r="A6163" s="3">
        <v>43981.233541666668</v>
      </c>
      <c r="B6163" s="4" t="str">
        <f>HYPERLINK("https://twitter.com/petrogustavo","@petrogustavo")</f>
        <v>@petrogustavo</v>
      </c>
      <c r="C6163" s="5" t="s">
        <v>16</v>
      </c>
      <c r="D6163" s="5" t="s">
        <v>5989</v>
      </c>
      <c r="E6163" s="6" t="str">
        <f>HYPERLINK("https://twitter.com/petrogustavo/status/1266521278250352641","1266521278250352641")</f>
        <v>1266521278250352641</v>
      </c>
      <c r="F6163" s="7" t="s">
        <v>17</v>
      </c>
      <c r="G6163" s="7">
        <v>3845978</v>
      </c>
      <c r="H6163" s="7">
        <v>2413</v>
      </c>
      <c r="I6163" s="7">
        <v>36</v>
      </c>
      <c r="J6163" s="7">
        <v>98</v>
      </c>
      <c r="K6163" s="7" t="s">
        <v>18</v>
      </c>
      <c r="L6163" s="8">
        <v>39987.315405092595</v>
      </c>
      <c r="M6163" s="9" t="s">
        <v>19</v>
      </c>
      <c r="N6163" s="9" t="s">
        <v>20</v>
      </c>
      <c r="O6163" s="6" t="str">
        <f>HYPERLINK("https://pbs.twimg.com/profile_images/962471262747529216/Uo8lOkRJ_normal.jpg","View")</f>
        <v>View</v>
      </c>
      <c r="P6163" s="7"/>
    </row>
    <row r="6164" spans="1:16">
      <c r="A6164" s="3">
        <v>43981.245706018519</v>
      </c>
      <c r="B6164" s="4" t="str">
        <f>HYPERLINK("https://twitter.com/petrogustavo","@petrogustavo")</f>
        <v>@petrogustavo</v>
      </c>
      <c r="C6164" s="5" t="s">
        <v>16</v>
      </c>
      <c r="D6164" s="5" t="s">
        <v>5990</v>
      </c>
      <c r="E6164" s="6" t="str">
        <f>HYPERLINK("https://twitter.com/petrogustavo/status/1266525686057054209","1266525686057054209")</f>
        <v>1266525686057054209</v>
      </c>
      <c r="F6164" s="7" t="s">
        <v>17</v>
      </c>
      <c r="G6164" s="7">
        <v>3845978</v>
      </c>
      <c r="H6164" s="7">
        <v>2413</v>
      </c>
      <c r="I6164" s="7">
        <v>29</v>
      </c>
      <c r="J6164" s="7">
        <v>81</v>
      </c>
      <c r="K6164" s="7" t="s">
        <v>18</v>
      </c>
      <c r="L6164" s="8">
        <v>39987.315405092595</v>
      </c>
      <c r="M6164" s="9" t="s">
        <v>19</v>
      </c>
      <c r="N6164" s="9" t="s">
        <v>20</v>
      </c>
      <c r="O6164" s="6" t="str">
        <f>HYPERLINK("https://pbs.twimg.com/profile_images/962471262747529216/Uo8lOkRJ_normal.jpg","View")</f>
        <v>View</v>
      </c>
      <c r="P6164" s="7"/>
    </row>
    <row r="6165" spans="1:16">
      <c r="A6165" s="3">
        <v>43981.247210648144</v>
      </c>
      <c r="B6165" s="4" t="str">
        <f>HYPERLINK("https://twitter.com/petrogustavo","@petrogustavo")</f>
        <v>@petrogustavo</v>
      </c>
      <c r="C6165" s="5" t="s">
        <v>16</v>
      </c>
      <c r="D6165" s="5" t="s">
        <v>5991</v>
      </c>
      <c r="E6165" s="6" t="str">
        <f>HYPERLINK("https://twitter.com/petrogustavo/status/1266526231333388290","1266526231333388290")</f>
        <v>1266526231333388290</v>
      </c>
      <c r="F6165" s="7" t="s">
        <v>17</v>
      </c>
      <c r="G6165" s="7">
        <v>3845978</v>
      </c>
      <c r="H6165" s="7">
        <v>2413</v>
      </c>
      <c r="I6165" s="7">
        <v>18</v>
      </c>
      <c r="J6165" s="7">
        <v>52</v>
      </c>
      <c r="K6165" s="7" t="s">
        <v>18</v>
      </c>
      <c r="L6165" s="8">
        <v>39987.315405092595</v>
      </c>
      <c r="M6165" s="9" t="s">
        <v>19</v>
      </c>
      <c r="N6165" s="9" t="s">
        <v>20</v>
      </c>
      <c r="O6165" s="6" t="str">
        <f>HYPERLINK("https://pbs.twimg.com/profile_images/962471262747529216/Uo8lOkRJ_normal.jpg","View")</f>
        <v>View</v>
      </c>
      <c r="P6165" s="7"/>
    </row>
    <row r="6166" spans="1:16">
      <c r="A6166" s="3">
        <v>43981.795162037037</v>
      </c>
      <c r="B6166" s="4" t="str">
        <f>HYPERLINK("https://twitter.com/petrogustavo","@petrogustavo")</f>
        <v>@petrogustavo</v>
      </c>
      <c r="C6166" s="5" t="s">
        <v>16</v>
      </c>
      <c r="D6166" s="5" t="s">
        <v>5992</v>
      </c>
      <c r="E6166" s="6" t="str">
        <f>HYPERLINK("https://twitter.com/petrogustavo/status/1266724802406088704","1266724802406088704")</f>
        <v>1266724802406088704</v>
      </c>
      <c r="F6166" s="7" t="s">
        <v>17</v>
      </c>
      <c r="G6166" s="7">
        <v>3846579</v>
      </c>
      <c r="H6166" s="7">
        <v>2413</v>
      </c>
      <c r="I6166" s="7">
        <v>250</v>
      </c>
      <c r="J6166" s="7">
        <v>616</v>
      </c>
      <c r="K6166" s="7" t="s">
        <v>18</v>
      </c>
      <c r="L6166" s="8">
        <v>39987.315405092595</v>
      </c>
      <c r="M6166" s="9" t="s">
        <v>19</v>
      </c>
      <c r="N6166" s="9" t="s">
        <v>20</v>
      </c>
      <c r="O6166" s="6" t="str">
        <f>HYPERLINK("https://pbs.twimg.com/profile_images/962471262747529216/Uo8lOkRJ_normal.jpg","View")</f>
        <v>View</v>
      </c>
      <c r="P6166" s="7"/>
    </row>
    <row r="6167" spans="1:16">
      <c r="A6167" s="3">
        <v>43981.797754629632</v>
      </c>
      <c r="B6167" s="4" t="str">
        <f>HYPERLINK("https://twitter.com/petrogustavo","@petrogustavo")</f>
        <v>@petrogustavo</v>
      </c>
      <c r="C6167" s="5" t="s">
        <v>16</v>
      </c>
      <c r="D6167" s="5" t="s">
        <v>5993</v>
      </c>
      <c r="E6167" s="6" t="str">
        <f>HYPERLINK("https://twitter.com/petrogustavo/status/1266725743242993664","1266725743242993664")</f>
        <v>1266725743242993664</v>
      </c>
      <c r="F6167" s="7" t="s">
        <v>17</v>
      </c>
      <c r="G6167" s="7">
        <v>3846579</v>
      </c>
      <c r="H6167" s="7">
        <v>2413</v>
      </c>
      <c r="I6167" s="7">
        <v>218</v>
      </c>
      <c r="J6167" s="7">
        <v>389</v>
      </c>
      <c r="K6167" s="7" t="s">
        <v>18</v>
      </c>
      <c r="L6167" s="8">
        <v>39987.315405092595</v>
      </c>
      <c r="M6167" s="9" t="s">
        <v>19</v>
      </c>
      <c r="N6167" s="9" t="s">
        <v>20</v>
      </c>
      <c r="O6167" s="6" t="str">
        <f>HYPERLINK("https://pbs.twimg.com/profile_images/962471262747529216/Uo8lOkRJ_normal.jpg","View")</f>
        <v>View</v>
      </c>
      <c r="P6167" s="7"/>
    </row>
    <row r="6168" spans="1:16">
      <c r="A6168" s="3">
        <v>43981.805659722224</v>
      </c>
      <c r="B6168" s="4" t="str">
        <f>HYPERLINK("https://twitter.com/petrogustavo","@petrogustavo")</f>
        <v>@petrogustavo</v>
      </c>
      <c r="C6168" s="5" t="s">
        <v>16</v>
      </c>
      <c r="D6168" s="5" t="s">
        <v>5994</v>
      </c>
      <c r="E6168" s="6" t="str">
        <f>HYPERLINK("https://twitter.com/petrogustavo/status/1266728606769831940","1266728606769831940")</f>
        <v>1266728606769831940</v>
      </c>
      <c r="F6168" s="7" t="s">
        <v>17</v>
      </c>
      <c r="G6168" s="7">
        <v>3846579</v>
      </c>
      <c r="H6168" s="7">
        <v>2413</v>
      </c>
      <c r="I6168" s="7">
        <v>162</v>
      </c>
      <c r="J6168" s="7">
        <v>495</v>
      </c>
      <c r="K6168" s="7" t="s">
        <v>18</v>
      </c>
      <c r="L6168" s="8">
        <v>39987.315405092595</v>
      </c>
      <c r="M6168" s="9" t="s">
        <v>19</v>
      </c>
      <c r="N6168" s="9" t="s">
        <v>20</v>
      </c>
      <c r="O6168" s="6" t="str">
        <f>HYPERLINK("https://pbs.twimg.com/profile_images/962471262747529216/Uo8lOkRJ_normal.jpg","View")</f>
        <v>View</v>
      </c>
      <c r="P6168" s="7"/>
    </row>
    <row r="6169" spans="1:16">
      <c r="A6169" s="3">
        <v>43981.80804398148</v>
      </c>
      <c r="B6169" s="4" t="str">
        <f>HYPERLINK("https://twitter.com/petrogustavo","@petrogustavo")</f>
        <v>@petrogustavo</v>
      </c>
      <c r="C6169" s="5" t="s">
        <v>16</v>
      </c>
      <c r="D6169" s="5" t="s">
        <v>5995</v>
      </c>
      <c r="E6169" s="6" t="str">
        <f>HYPERLINK("https://twitter.com/petrogustavo/status/1266729474013478912","1266729474013478912")</f>
        <v>1266729474013478912</v>
      </c>
      <c r="F6169" s="7" t="s">
        <v>17</v>
      </c>
      <c r="G6169" s="7">
        <v>3846579</v>
      </c>
      <c r="H6169" s="7">
        <v>2413</v>
      </c>
      <c r="I6169" s="7">
        <v>85</v>
      </c>
      <c r="J6169" s="7">
        <v>213</v>
      </c>
      <c r="K6169" s="7" t="s">
        <v>18</v>
      </c>
      <c r="L6169" s="8">
        <v>39987.315405092595</v>
      </c>
      <c r="M6169" s="9" t="s">
        <v>19</v>
      </c>
      <c r="N6169" s="9" t="s">
        <v>20</v>
      </c>
      <c r="O6169" s="6" t="str">
        <f>HYPERLINK("https://pbs.twimg.com/profile_images/962471262747529216/Uo8lOkRJ_normal.jpg","View")</f>
        <v>View</v>
      </c>
      <c r="P6169" s="7"/>
    </row>
    <row r="6170" spans="1:16">
      <c r="A6170" s="3">
        <v>43981.815034722225</v>
      </c>
      <c r="B6170" s="4" t="str">
        <f>HYPERLINK("https://twitter.com/petrogustavo","@petrogustavo")</f>
        <v>@petrogustavo</v>
      </c>
      <c r="C6170" s="5" t="s">
        <v>16</v>
      </c>
      <c r="D6170" s="5" t="s">
        <v>5996</v>
      </c>
      <c r="E6170" s="6" t="str">
        <f>HYPERLINK("https://twitter.com/petrogustavo/status/1266732005603127297","1266732005603127297")</f>
        <v>1266732005603127297</v>
      </c>
      <c r="F6170" s="7" t="s">
        <v>17</v>
      </c>
      <c r="G6170" s="7">
        <v>3846618</v>
      </c>
      <c r="H6170" s="7">
        <v>2413</v>
      </c>
      <c r="I6170" s="7">
        <v>438</v>
      </c>
      <c r="J6170" s="7">
        <v>0</v>
      </c>
      <c r="K6170" s="7" t="s">
        <v>18</v>
      </c>
      <c r="L6170" s="8">
        <v>39987.315405092595</v>
      </c>
      <c r="M6170" s="9" t="s">
        <v>19</v>
      </c>
      <c r="N6170" s="9" t="s">
        <v>20</v>
      </c>
      <c r="O6170" s="6" t="str">
        <f>HYPERLINK("https://pbs.twimg.com/profile_images/962471262747529216/Uo8lOkRJ_normal.jpg","View")</f>
        <v>View</v>
      </c>
      <c r="P6170" s="7"/>
    </row>
    <row r="6171" spans="1:16">
      <c r="A6171" s="3">
        <v>43981.815069444448</v>
      </c>
      <c r="B6171" s="4" t="str">
        <f>HYPERLINK("https://twitter.com/petrogustavo","@petrogustavo")</f>
        <v>@petrogustavo</v>
      </c>
      <c r="C6171" s="5" t="s">
        <v>16</v>
      </c>
      <c r="D6171" s="5" t="s">
        <v>5997</v>
      </c>
      <c r="E6171" s="6" t="str">
        <f>HYPERLINK("https://twitter.com/petrogustavo/status/1266732018324439040","1266732018324439040")</f>
        <v>1266732018324439040</v>
      </c>
      <c r="F6171" s="7" t="s">
        <v>17</v>
      </c>
      <c r="G6171" s="7">
        <v>3846618</v>
      </c>
      <c r="H6171" s="7">
        <v>2413</v>
      </c>
      <c r="I6171" s="7">
        <v>85</v>
      </c>
      <c r="J6171" s="7">
        <v>0</v>
      </c>
      <c r="K6171" s="7" t="s">
        <v>18</v>
      </c>
      <c r="L6171" s="8">
        <v>39987.315405092595</v>
      </c>
      <c r="M6171" s="9" t="s">
        <v>19</v>
      </c>
      <c r="N6171" s="9" t="s">
        <v>20</v>
      </c>
      <c r="O6171" s="6" t="str">
        <f>HYPERLINK("https://pbs.twimg.com/profile_images/962471262747529216/Uo8lOkRJ_normal.jpg","View")</f>
        <v>View</v>
      </c>
      <c r="P6171" s="7"/>
    </row>
    <row r="6172" spans="1:16">
      <c r="A6172" s="3">
        <v>43981.815115740741</v>
      </c>
      <c r="B6172" s="4" t="str">
        <f>HYPERLINK("https://twitter.com/petrogustavo","@petrogustavo")</f>
        <v>@petrogustavo</v>
      </c>
      <c r="C6172" s="5" t="s">
        <v>16</v>
      </c>
      <c r="D6172" s="5" t="s">
        <v>5998</v>
      </c>
      <c r="E6172" s="6" t="str">
        <f>HYPERLINK("https://twitter.com/petrogustavo/status/1266732035315466240","1266732035315466240")</f>
        <v>1266732035315466240</v>
      </c>
      <c r="F6172" s="7" t="s">
        <v>17</v>
      </c>
      <c r="G6172" s="7">
        <v>3846618</v>
      </c>
      <c r="H6172" s="7">
        <v>2413</v>
      </c>
      <c r="I6172" s="7">
        <v>76</v>
      </c>
      <c r="J6172" s="7">
        <v>0</v>
      </c>
      <c r="K6172" s="7" t="s">
        <v>18</v>
      </c>
      <c r="L6172" s="8">
        <v>39987.315405092595</v>
      </c>
      <c r="M6172" s="9" t="s">
        <v>19</v>
      </c>
      <c r="N6172" s="9" t="s">
        <v>20</v>
      </c>
      <c r="O6172" s="6" t="str">
        <f>HYPERLINK("https://pbs.twimg.com/profile_images/962471262747529216/Uo8lOkRJ_normal.jpg","View")</f>
        <v>View</v>
      </c>
      <c r="P6172" s="7"/>
    </row>
    <row r="6173" spans="1:16">
      <c r="A6173" s="3">
        <v>43981.818425925929</v>
      </c>
      <c r="B6173" s="4" t="str">
        <f>HYPERLINK("https://twitter.com/petrogustavo","@petrogustavo")</f>
        <v>@petrogustavo</v>
      </c>
      <c r="C6173" s="5" t="s">
        <v>16</v>
      </c>
      <c r="D6173" s="5" t="s">
        <v>5999</v>
      </c>
      <c r="E6173" s="6" t="str">
        <f>HYPERLINK("https://twitter.com/petrogustavo/status/1266733232705413120","1266733232705413120")</f>
        <v>1266733232705413120</v>
      </c>
      <c r="F6173" s="7" t="s">
        <v>17</v>
      </c>
      <c r="G6173" s="7">
        <v>3846618</v>
      </c>
      <c r="H6173" s="7">
        <v>2413</v>
      </c>
      <c r="I6173" s="7">
        <v>208</v>
      </c>
      <c r="J6173" s="7">
        <v>514</v>
      </c>
      <c r="K6173" s="7" t="s">
        <v>18</v>
      </c>
      <c r="L6173" s="8">
        <v>39987.315405092595</v>
      </c>
      <c r="M6173" s="9" t="s">
        <v>19</v>
      </c>
      <c r="N6173" s="9" t="s">
        <v>20</v>
      </c>
      <c r="O6173" s="6" t="str">
        <f>HYPERLINK("https://pbs.twimg.com/profile_images/962471262747529216/Uo8lOkRJ_normal.jpg","View")</f>
        <v>View</v>
      </c>
      <c r="P6173" s="7"/>
    </row>
    <row r="6174" spans="1:16">
      <c r="A6174" s="3">
        <v>43981.820636574077</v>
      </c>
      <c r="B6174" s="4" t="str">
        <f>HYPERLINK("https://twitter.com/petrogustavo","@petrogustavo")</f>
        <v>@petrogustavo</v>
      </c>
      <c r="C6174" s="5" t="s">
        <v>16</v>
      </c>
      <c r="D6174" s="5" t="s">
        <v>6000</v>
      </c>
      <c r="E6174" s="6" t="str">
        <f>HYPERLINK("https://twitter.com/petrogustavo/status/1266734036086644742","1266734036086644742")</f>
        <v>1266734036086644742</v>
      </c>
      <c r="F6174" s="7" t="s">
        <v>17</v>
      </c>
      <c r="G6174" s="7">
        <v>3846618</v>
      </c>
      <c r="H6174" s="7">
        <v>2413</v>
      </c>
      <c r="I6174" s="7">
        <v>95</v>
      </c>
      <c r="J6174" s="7">
        <v>189</v>
      </c>
      <c r="K6174" s="7" t="s">
        <v>18</v>
      </c>
      <c r="L6174" s="8">
        <v>39987.315405092595</v>
      </c>
      <c r="M6174" s="9" t="s">
        <v>19</v>
      </c>
      <c r="N6174" s="9" t="s">
        <v>20</v>
      </c>
      <c r="O6174" s="6" t="str">
        <f>HYPERLINK("https://pbs.twimg.com/profile_images/962471262747529216/Uo8lOkRJ_normal.jpg","View")</f>
        <v>View</v>
      </c>
      <c r="P6174" s="7"/>
    </row>
    <row r="6175" spans="1:16">
      <c r="A6175" s="3">
        <v>43981.84207175926</v>
      </c>
      <c r="B6175" s="4" t="str">
        <f>HYPERLINK("https://twitter.com/petrogustavo","@petrogustavo")</f>
        <v>@petrogustavo</v>
      </c>
      <c r="C6175" s="5" t="s">
        <v>16</v>
      </c>
      <c r="D6175" s="5" t="s">
        <v>6001</v>
      </c>
      <c r="E6175" s="6" t="str">
        <f>HYPERLINK("https://twitter.com/petrogustavo/status/1266741802587099137","1266741802587099137")</f>
        <v>1266741802587099137</v>
      </c>
      <c r="F6175" s="7" t="s">
        <v>17</v>
      </c>
      <c r="G6175" s="7">
        <v>3846616</v>
      </c>
      <c r="H6175" s="7">
        <v>2413</v>
      </c>
      <c r="I6175" s="7">
        <v>271</v>
      </c>
      <c r="J6175" s="7">
        <v>490</v>
      </c>
      <c r="K6175" s="7" t="s">
        <v>18</v>
      </c>
      <c r="L6175" s="8">
        <v>39987.315405092595</v>
      </c>
      <c r="M6175" s="9" t="s">
        <v>19</v>
      </c>
      <c r="N6175" s="9" t="s">
        <v>20</v>
      </c>
      <c r="O6175" s="6" t="str">
        <f>HYPERLINK("https://pbs.twimg.com/profile_images/962471262747529216/Uo8lOkRJ_normal.jpg","View")</f>
        <v>View</v>
      </c>
      <c r="P6175" s="7"/>
    </row>
    <row r="6176" spans="1:16">
      <c r="A6176" s="3">
        <v>43981.888206018513</v>
      </c>
      <c r="B6176" s="4" t="str">
        <f>HYPERLINK("https://twitter.com/petrogustavo","@petrogustavo")</f>
        <v>@petrogustavo</v>
      </c>
      <c r="C6176" s="5" t="s">
        <v>16</v>
      </c>
      <c r="D6176" s="5" t="s">
        <v>6002</v>
      </c>
      <c r="E6176" s="6" t="str">
        <f>HYPERLINK("https://twitter.com/petrogustavo/status/1266758521133109248","1266758521133109248")</f>
        <v>1266758521133109248</v>
      </c>
      <c r="F6176" s="7" t="s">
        <v>17</v>
      </c>
      <c r="G6176" s="7">
        <v>3846700</v>
      </c>
      <c r="H6176" s="7">
        <v>2413</v>
      </c>
      <c r="I6176" s="7">
        <v>106</v>
      </c>
      <c r="J6176" s="7">
        <v>414</v>
      </c>
      <c r="K6176" s="7" t="s">
        <v>18</v>
      </c>
      <c r="L6176" s="8">
        <v>39987.315405092595</v>
      </c>
      <c r="M6176" s="9" t="s">
        <v>19</v>
      </c>
      <c r="N6176" s="9" t="s">
        <v>20</v>
      </c>
      <c r="O6176" s="6" t="str">
        <f>HYPERLINK("https://pbs.twimg.com/profile_images/962471262747529216/Uo8lOkRJ_normal.jpg","View")</f>
        <v>View</v>
      </c>
      <c r="P6176" s="7"/>
    </row>
    <row r="6177" spans="1:16">
      <c r="A6177" s="3">
        <v>43981.904131944444</v>
      </c>
      <c r="B6177" s="4" t="str">
        <f>HYPERLINK("https://twitter.com/petrogustavo","@petrogustavo")</f>
        <v>@petrogustavo</v>
      </c>
      <c r="C6177" s="5" t="s">
        <v>16</v>
      </c>
      <c r="D6177" s="5" t="s">
        <v>6003</v>
      </c>
      <c r="E6177" s="6" t="str">
        <f>HYPERLINK("https://twitter.com/petrogustavo/status/1266764295154647042","1266764295154647042")</f>
        <v>1266764295154647042</v>
      </c>
      <c r="F6177" s="7" t="s">
        <v>17</v>
      </c>
      <c r="G6177" s="7">
        <v>3846750</v>
      </c>
      <c r="H6177" s="7">
        <v>2413</v>
      </c>
      <c r="I6177" s="7">
        <v>81</v>
      </c>
      <c r="J6177" s="7">
        <v>151</v>
      </c>
      <c r="K6177" s="7" t="s">
        <v>18</v>
      </c>
      <c r="L6177" s="8">
        <v>39987.315405092595</v>
      </c>
      <c r="M6177" s="9" t="s">
        <v>19</v>
      </c>
      <c r="N6177" s="9" t="s">
        <v>20</v>
      </c>
      <c r="O6177" s="6" t="str">
        <f>HYPERLINK("https://pbs.twimg.com/profile_images/962471262747529216/Uo8lOkRJ_normal.jpg","View")</f>
        <v>View</v>
      </c>
      <c r="P6177" s="7"/>
    </row>
    <row r="6178" spans="1:16">
      <c r="A6178" s="3">
        <v>43981.904467592598</v>
      </c>
      <c r="B6178" s="4" t="str">
        <f>HYPERLINK("https://twitter.com/petrogustavo","@petrogustavo")</f>
        <v>@petrogustavo</v>
      </c>
      <c r="C6178" s="5" t="s">
        <v>16</v>
      </c>
      <c r="D6178" s="5" t="s">
        <v>6004</v>
      </c>
      <c r="E6178" s="6" t="str">
        <f>HYPERLINK("https://twitter.com/petrogustavo/status/1266764414344138752","1266764414344138752")</f>
        <v>1266764414344138752</v>
      </c>
      <c r="F6178" s="7" t="s">
        <v>17</v>
      </c>
      <c r="G6178" s="7">
        <v>3846750</v>
      </c>
      <c r="H6178" s="7">
        <v>2413</v>
      </c>
      <c r="I6178" s="7">
        <v>802</v>
      </c>
      <c r="J6178" s="7">
        <v>0</v>
      </c>
      <c r="K6178" s="7" t="s">
        <v>18</v>
      </c>
      <c r="L6178" s="8">
        <v>39987.315405092595</v>
      </c>
      <c r="M6178" s="9" t="s">
        <v>19</v>
      </c>
      <c r="N6178" s="9" t="s">
        <v>20</v>
      </c>
      <c r="O6178" s="6" t="str">
        <f>HYPERLINK("https://pbs.twimg.com/profile_images/962471262747529216/Uo8lOkRJ_normal.jpg","View")</f>
        <v>View</v>
      </c>
      <c r="P6178" s="7"/>
    </row>
    <row r="6179" spans="1:16">
      <c r="A6179" s="3">
        <v>43981.908136574071</v>
      </c>
      <c r="B6179" s="4" t="str">
        <f>HYPERLINK("https://twitter.com/petrogustavo","@petrogustavo")</f>
        <v>@petrogustavo</v>
      </c>
      <c r="C6179" s="5" t="s">
        <v>16</v>
      </c>
      <c r="D6179" s="5" t="s">
        <v>6005</v>
      </c>
      <c r="E6179" s="6" t="str">
        <f>HYPERLINK("https://twitter.com/petrogustavo/status/1266765744936816647","1266765744936816647")</f>
        <v>1266765744936816647</v>
      </c>
      <c r="F6179" s="7" t="s">
        <v>17</v>
      </c>
      <c r="G6179" s="7">
        <v>3846750</v>
      </c>
      <c r="H6179" s="7">
        <v>2413</v>
      </c>
      <c r="I6179" s="7">
        <v>36</v>
      </c>
      <c r="J6179" s="7">
        <v>89</v>
      </c>
      <c r="K6179" s="7" t="s">
        <v>18</v>
      </c>
      <c r="L6179" s="8">
        <v>39987.315405092595</v>
      </c>
      <c r="M6179" s="9" t="s">
        <v>19</v>
      </c>
      <c r="N6179" s="9" t="s">
        <v>20</v>
      </c>
      <c r="O6179" s="6" t="str">
        <f>HYPERLINK("https://pbs.twimg.com/profile_images/962471262747529216/Uo8lOkRJ_normal.jpg","View")</f>
        <v>View</v>
      </c>
      <c r="P6179" s="7"/>
    </row>
    <row r="6180" spans="1:16">
      <c r="A6180" s="3">
        <v>43981.975335648152</v>
      </c>
      <c r="B6180" s="4" t="str">
        <f>HYPERLINK("https://twitter.com/petrogustavo","@petrogustavo")</f>
        <v>@petrogustavo</v>
      </c>
      <c r="C6180" s="5" t="s">
        <v>16</v>
      </c>
      <c r="D6180" s="5" t="s">
        <v>6006</v>
      </c>
      <c r="E6180" s="6" t="str">
        <f>HYPERLINK("https://twitter.com/petrogustavo/status/1266790094565978112","1266790094565978112")</f>
        <v>1266790094565978112</v>
      </c>
      <c r="F6180" s="7" t="s">
        <v>17</v>
      </c>
      <c r="G6180" s="7">
        <v>3846821</v>
      </c>
      <c r="H6180" s="7">
        <v>2413</v>
      </c>
      <c r="I6180" s="7">
        <v>2675</v>
      </c>
      <c r="J6180" s="7">
        <v>0</v>
      </c>
      <c r="K6180" s="7" t="s">
        <v>18</v>
      </c>
      <c r="L6180" s="8">
        <v>39987.315405092595</v>
      </c>
      <c r="M6180" s="9" t="s">
        <v>19</v>
      </c>
      <c r="N6180" s="9" t="s">
        <v>20</v>
      </c>
      <c r="O6180" s="6" t="str">
        <f>HYPERLINK("https://pbs.twimg.com/profile_images/962471262747529216/Uo8lOkRJ_normal.jpg","View")</f>
        <v>View</v>
      </c>
      <c r="P6180" s="7"/>
    </row>
    <row r="6181" spans="1:16">
      <c r="A6181" s="3">
        <v>43981.977847222224</v>
      </c>
      <c r="B6181" s="4" t="str">
        <f>HYPERLINK("https://twitter.com/petrogustavo","@petrogustavo")</f>
        <v>@petrogustavo</v>
      </c>
      <c r="C6181" s="5" t="s">
        <v>16</v>
      </c>
      <c r="D6181" s="5" t="s">
        <v>6007</v>
      </c>
      <c r="E6181" s="6" t="str">
        <f>HYPERLINK("https://twitter.com/petrogustavo/status/1266791005564686342","1266791005564686342")</f>
        <v>1266791005564686342</v>
      </c>
      <c r="F6181" s="7" t="s">
        <v>17</v>
      </c>
      <c r="G6181" s="7">
        <v>3846821</v>
      </c>
      <c r="H6181" s="7">
        <v>2413</v>
      </c>
      <c r="I6181" s="7">
        <v>47</v>
      </c>
      <c r="J6181" s="7">
        <v>101</v>
      </c>
      <c r="K6181" s="7" t="s">
        <v>18</v>
      </c>
      <c r="L6181" s="8">
        <v>39987.315405092595</v>
      </c>
      <c r="M6181" s="9" t="s">
        <v>19</v>
      </c>
      <c r="N6181" s="9" t="s">
        <v>20</v>
      </c>
      <c r="O6181" s="6" t="str">
        <f>HYPERLINK("https://pbs.twimg.com/profile_images/962471262747529216/Uo8lOkRJ_normal.jpg","View")</f>
        <v>View</v>
      </c>
      <c r="P6181" s="7"/>
    </row>
    <row r="6182" spans="1:16">
      <c r="A6182" s="3">
        <v>43981.982164351852</v>
      </c>
      <c r="B6182" s="4" t="str">
        <f>HYPERLINK("https://twitter.com/petrogustavo","@petrogustavo")</f>
        <v>@petrogustavo</v>
      </c>
      <c r="C6182" s="5" t="s">
        <v>16</v>
      </c>
      <c r="D6182" s="5" t="s">
        <v>6008</v>
      </c>
      <c r="E6182" s="6" t="str">
        <f>HYPERLINK("https://twitter.com/petrogustavo/status/1266792572963487745","1266792572963487745")</f>
        <v>1266792572963487745</v>
      </c>
      <c r="F6182" s="7" t="s">
        <v>17</v>
      </c>
      <c r="G6182" s="7">
        <v>3846840</v>
      </c>
      <c r="H6182" s="7">
        <v>2413</v>
      </c>
      <c r="I6182" s="7">
        <v>53</v>
      </c>
      <c r="J6182" s="7">
        <v>130</v>
      </c>
      <c r="K6182" s="7" t="s">
        <v>18</v>
      </c>
      <c r="L6182" s="8">
        <v>39987.315405092595</v>
      </c>
      <c r="M6182" s="9" t="s">
        <v>19</v>
      </c>
      <c r="N6182" s="9" t="s">
        <v>20</v>
      </c>
      <c r="O6182" s="6" t="str">
        <f>HYPERLINK("https://pbs.twimg.com/profile_images/962471262747529216/Uo8lOkRJ_normal.jpg","View")</f>
        <v>View</v>
      </c>
      <c r="P6182" s="7"/>
    </row>
    <row r="6183" spans="1:16">
      <c r="A6183" s="3">
        <v>43981.98637731481</v>
      </c>
      <c r="B6183" s="4" t="str">
        <f>HYPERLINK("https://twitter.com/petrogustavo","@petrogustavo")</f>
        <v>@petrogustavo</v>
      </c>
      <c r="C6183" s="5" t="s">
        <v>16</v>
      </c>
      <c r="D6183" s="5" t="s">
        <v>6009</v>
      </c>
      <c r="E6183" s="6" t="str">
        <f>HYPERLINK("https://twitter.com/petrogustavo/status/1266794097148338182","1266794097148338182")</f>
        <v>1266794097148338182</v>
      </c>
      <c r="F6183" s="7" t="s">
        <v>17</v>
      </c>
      <c r="G6183" s="7">
        <v>3846840</v>
      </c>
      <c r="H6183" s="7">
        <v>2413</v>
      </c>
      <c r="I6183" s="7">
        <v>149</v>
      </c>
      <c r="J6183" s="7">
        <v>415</v>
      </c>
      <c r="K6183" s="7" t="s">
        <v>18</v>
      </c>
      <c r="L6183" s="8">
        <v>39987.315405092595</v>
      </c>
      <c r="M6183" s="9" t="s">
        <v>19</v>
      </c>
      <c r="N6183" s="9" t="s">
        <v>20</v>
      </c>
      <c r="O6183" s="6" t="str">
        <f>HYPERLINK("https://pbs.twimg.com/profile_images/962471262747529216/Uo8lOkRJ_normal.jpg","View")</f>
        <v>View</v>
      </c>
      <c r="P6183" s="7"/>
    </row>
    <row r="6184" spans="1:16">
      <c r="A6184" s="3">
        <v>43981.990636574075</v>
      </c>
      <c r="B6184" s="4" t="str">
        <f>HYPERLINK("https://twitter.com/petrogustavo","@petrogustavo")</f>
        <v>@petrogustavo</v>
      </c>
      <c r="C6184" s="5" t="s">
        <v>16</v>
      </c>
      <c r="D6184" s="5" t="s">
        <v>6010</v>
      </c>
      <c r="E6184" s="6" t="str">
        <f>HYPERLINK("https://twitter.com/petrogustavo/status/1266795642254512129","1266795642254512129")</f>
        <v>1266795642254512129</v>
      </c>
      <c r="F6184" s="7" t="s">
        <v>17</v>
      </c>
      <c r="G6184" s="7">
        <v>3846840</v>
      </c>
      <c r="H6184" s="7">
        <v>2413</v>
      </c>
      <c r="I6184" s="7">
        <v>44</v>
      </c>
      <c r="J6184" s="7">
        <v>108</v>
      </c>
      <c r="K6184" s="7" t="s">
        <v>18</v>
      </c>
      <c r="L6184" s="8">
        <v>39987.315405092595</v>
      </c>
      <c r="M6184" s="9" t="s">
        <v>19</v>
      </c>
      <c r="N6184" s="9" t="s">
        <v>20</v>
      </c>
      <c r="O6184" s="6" t="str">
        <f>HYPERLINK("https://pbs.twimg.com/profile_images/962471262747529216/Uo8lOkRJ_normal.jpg","View")</f>
        <v>View</v>
      </c>
      <c r="P6184" s="7"/>
    </row>
    <row r="6185" spans="1:16">
      <c r="A6185" s="3">
        <v>43981.990891203706</v>
      </c>
      <c r="B6185" s="4" t="str">
        <f>HYPERLINK("https://twitter.com/petrogustavo","@petrogustavo")</f>
        <v>@petrogustavo</v>
      </c>
      <c r="C6185" s="5" t="s">
        <v>16</v>
      </c>
      <c r="D6185" s="5" t="s">
        <v>6011</v>
      </c>
      <c r="E6185" s="6" t="str">
        <f>HYPERLINK("https://twitter.com/petrogustavo/status/1266795732612366340","1266795732612366340")</f>
        <v>1266795732612366340</v>
      </c>
      <c r="F6185" s="7" t="s">
        <v>17</v>
      </c>
      <c r="G6185" s="7">
        <v>3846840</v>
      </c>
      <c r="H6185" s="7">
        <v>2413</v>
      </c>
      <c r="I6185" s="7">
        <v>149</v>
      </c>
      <c r="J6185" s="7">
        <v>0</v>
      </c>
      <c r="K6185" s="7" t="s">
        <v>18</v>
      </c>
      <c r="L6185" s="8">
        <v>39987.315405092595</v>
      </c>
      <c r="M6185" s="9" t="s">
        <v>19</v>
      </c>
      <c r="N6185" s="9" t="s">
        <v>20</v>
      </c>
      <c r="O6185" s="6" t="str">
        <f>HYPERLINK("https://pbs.twimg.com/profile_images/962471262747529216/Uo8lOkRJ_normal.jpg","View")</f>
        <v>View</v>
      </c>
      <c r="P6185" s="7"/>
    </row>
    <row r="6186" spans="1:16">
      <c r="A6186" s="3">
        <v>43982.025416666671</v>
      </c>
      <c r="B6186" s="4" t="str">
        <f>HYPERLINK("https://twitter.com/petrogustavo","@petrogustavo")</f>
        <v>@petrogustavo</v>
      </c>
      <c r="C6186" s="5" t="s">
        <v>16</v>
      </c>
      <c r="D6186" s="5" t="s">
        <v>6012</v>
      </c>
      <c r="E6186" s="6" t="str">
        <f>HYPERLINK("https://twitter.com/petrogustavo/status/1266808245609541636","1266808245609541636")</f>
        <v>1266808245609541636</v>
      </c>
      <c r="F6186" s="7" t="s">
        <v>17</v>
      </c>
      <c r="G6186" s="7">
        <v>3846900</v>
      </c>
      <c r="H6186" s="7">
        <v>2413</v>
      </c>
      <c r="I6186" s="7">
        <v>307</v>
      </c>
      <c r="J6186" s="7">
        <v>0</v>
      </c>
      <c r="K6186" s="7" t="s">
        <v>18</v>
      </c>
      <c r="L6186" s="8">
        <v>39987.315405092595</v>
      </c>
      <c r="M6186" s="9" t="s">
        <v>19</v>
      </c>
      <c r="N6186" s="9" t="s">
        <v>20</v>
      </c>
      <c r="O6186" s="6" t="str">
        <f>HYPERLINK("https://pbs.twimg.com/profile_images/962471262747529216/Uo8lOkRJ_normal.jpg","View")</f>
        <v>View</v>
      </c>
      <c r="P6186" s="7"/>
    </row>
    <row r="6187" spans="1:16">
      <c r="A6187" s="3">
        <v>43982.027905092589</v>
      </c>
      <c r="B6187" s="4" t="str">
        <f>HYPERLINK("https://twitter.com/petrogustavo","@petrogustavo")</f>
        <v>@petrogustavo</v>
      </c>
      <c r="C6187" s="5" t="s">
        <v>16</v>
      </c>
      <c r="D6187" s="5" t="s">
        <v>6013</v>
      </c>
      <c r="E6187" s="6" t="str">
        <f>HYPERLINK("https://twitter.com/petrogustavo/status/1266809146088853506","1266809146088853506")</f>
        <v>1266809146088853506</v>
      </c>
      <c r="F6187" s="7" t="s">
        <v>17</v>
      </c>
      <c r="G6187" s="7">
        <v>3846900</v>
      </c>
      <c r="H6187" s="7">
        <v>2413</v>
      </c>
      <c r="I6187" s="7">
        <v>204</v>
      </c>
      <c r="J6187" s="7">
        <v>566</v>
      </c>
      <c r="K6187" s="7" t="s">
        <v>18</v>
      </c>
      <c r="L6187" s="8">
        <v>39987.315405092595</v>
      </c>
      <c r="M6187" s="9" t="s">
        <v>19</v>
      </c>
      <c r="N6187" s="9" t="s">
        <v>20</v>
      </c>
      <c r="O6187" s="6" t="str">
        <f>HYPERLINK("https://pbs.twimg.com/profile_images/962471262747529216/Uo8lOkRJ_normal.jpg","View")</f>
        <v>View</v>
      </c>
      <c r="P6187" s="7"/>
    </row>
    <row r="6188" spans="1:16">
      <c r="A6188" s="3">
        <v>43982.042141203703</v>
      </c>
      <c r="B6188" s="4" t="str">
        <f>HYPERLINK("https://twitter.com/petrogustavo","@petrogustavo")</f>
        <v>@petrogustavo</v>
      </c>
      <c r="C6188" s="5" t="s">
        <v>16</v>
      </c>
      <c r="D6188" s="5" t="s">
        <v>6014</v>
      </c>
      <c r="E6188" s="6" t="str">
        <f>HYPERLINK("https://twitter.com/petrogustavo/status/1266814304575270912","1266814304575270912")</f>
        <v>1266814304575270912</v>
      </c>
      <c r="F6188" s="7" t="s">
        <v>17</v>
      </c>
      <c r="G6188" s="7">
        <v>3846900</v>
      </c>
      <c r="H6188" s="7">
        <v>2413</v>
      </c>
      <c r="I6188" s="7">
        <v>18</v>
      </c>
      <c r="J6188" s="7">
        <v>40</v>
      </c>
      <c r="K6188" s="7" t="s">
        <v>18</v>
      </c>
      <c r="L6188" s="8">
        <v>39987.315405092595</v>
      </c>
      <c r="M6188" s="9" t="s">
        <v>19</v>
      </c>
      <c r="N6188" s="9" t="s">
        <v>20</v>
      </c>
      <c r="O6188" s="6" t="str">
        <f>HYPERLINK("https://pbs.twimg.com/profile_images/962471262747529216/Uo8lOkRJ_normal.jpg","View")</f>
        <v>View</v>
      </c>
      <c r="P6188" s="7"/>
    </row>
    <row r="6189" spans="1:16">
      <c r="A6189" s="3">
        <v>43982.043819444443</v>
      </c>
      <c r="B6189" s="4" t="str">
        <f>HYPERLINK("https://twitter.com/petrogustavo","@petrogustavo")</f>
        <v>@petrogustavo</v>
      </c>
      <c r="C6189" s="5" t="s">
        <v>16</v>
      </c>
      <c r="D6189" s="5" t="s">
        <v>6015</v>
      </c>
      <c r="E6189" s="6" t="str">
        <f>HYPERLINK("https://twitter.com/petrogustavo/status/1266814914666127360","1266814914666127360")</f>
        <v>1266814914666127360</v>
      </c>
      <c r="F6189" s="7" t="s">
        <v>17</v>
      </c>
      <c r="G6189" s="7">
        <v>3846900</v>
      </c>
      <c r="H6189" s="7">
        <v>2413</v>
      </c>
      <c r="I6189" s="7">
        <v>0</v>
      </c>
      <c r="J6189" s="7">
        <v>0</v>
      </c>
      <c r="K6189" s="7" t="s">
        <v>18</v>
      </c>
      <c r="L6189" s="8">
        <v>39987.315405092595</v>
      </c>
      <c r="M6189" s="9" t="s">
        <v>19</v>
      </c>
      <c r="N6189" s="9" t="s">
        <v>20</v>
      </c>
      <c r="O6189" s="6" t="str">
        <f>HYPERLINK("https://pbs.twimg.com/profile_images/962471262747529216/Uo8lOkRJ_normal.jpg","View")</f>
        <v>View</v>
      </c>
      <c r="P6189" s="7"/>
    </row>
    <row r="6190" spans="1:16">
      <c r="A6190" s="3">
        <v>43982.04515046296</v>
      </c>
      <c r="B6190" s="4" t="str">
        <f>HYPERLINK("https://twitter.com/petrogustavo","@petrogustavo")</f>
        <v>@petrogustavo</v>
      </c>
      <c r="C6190" s="5" t="s">
        <v>16</v>
      </c>
      <c r="D6190" s="5" t="s">
        <v>6016</v>
      </c>
      <c r="E6190" s="6" t="str">
        <f>HYPERLINK("https://twitter.com/petrogustavo/status/1266815397669502981","1266815397669502981")</f>
        <v>1266815397669502981</v>
      </c>
      <c r="F6190" s="7" t="s">
        <v>17</v>
      </c>
      <c r="G6190" s="7">
        <v>3846932</v>
      </c>
      <c r="H6190" s="7">
        <v>2413</v>
      </c>
      <c r="I6190" s="7">
        <v>50</v>
      </c>
      <c r="J6190" s="7">
        <v>153</v>
      </c>
      <c r="K6190" s="7" t="s">
        <v>18</v>
      </c>
      <c r="L6190" s="8">
        <v>39987.315405092595</v>
      </c>
      <c r="M6190" s="9" t="s">
        <v>19</v>
      </c>
      <c r="N6190" s="9" t="s">
        <v>20</v>
      </c>
      <c r="O6190" s="6" t="str">
        <f>HYPERLINK("https://pbs.twimg.com/profile_images/962471262747529216/Uo8lOkRJ_normal.jpg","View")</f>
        <v>View</v>
      </c>
      <c r="P6190" s="7"/>
    </row>
    <row r="6191" spans="1:16">
      <c r="A6191" s="3">
        <v>43982.046782407408</v>
      </c>
      <c r="B6191" s="4" t="str">
        <f>HYPERLINK("https://twitter.com/petrogustavo","@petrogustavo")</f>
        <v>@petrogustavo</v>
      </c>
      <c r="C6191" s="5" t="s">
        <v>16</v>
      </c>
      <c r="D6191" s="5" t="s">
        <v>6017</v>
      </c>
      <c r="E6191" s="6" t="str">
        <f>HYPERLINK("https://twitter.com/petrogustavo/status/1266815988365963264","1266815988365963264")</f>
        <v>1266815988365963264</v>
      </c>
      <c r="F6191" s="7" t="s">
        <v>17</v>
      </c>
      <c r="G6191" s="7">
        <v>3846932</v>
      </c>
      <c r="H6191" s="7">
        <v>2413</v>
      </c>
      <c r="I6191" s="7">
        <v>43</v>
      </c>
      <c r="J6191" s="7">
        <v>158</v>
      </c>
      <c r="K6191" s="7" t="s">
        <v>18</v>
      </c>
      <c r="L6191" s="8">
        <v>39987.315405092595</v>
      </c>
      <c r="M6191" s="9" t="s">
        <v>19</v>
      </c>
      <c r="N6191" s="9" t="s">
        <v>20</v>
      </c>
      <c r="O6191" s="6" t="str">
        <f>HYPERLINK("https://pbs.twimg.com/profile_images/962471262747529216/Uo8lOkRJ_normal.jpg","View")</f>
        <v>View</v>
      </c>
      <c r="P6191" s="7"/>
    </row>
    <row r="6192" spans="1:16">
      <c r="A6192" s="3">
        <v>43982.06386574074</v>
      </c>
      <c r="B6192" s="4" t="str">
        <f>HYPERLINK("https://twitter.com/petrogustavo","@petrogustavo")</f>
        <v>@petrogustavo</v>
      </c>
      <c r="C6192" s="5" t="s">
        <v>16</v>
      </c>
      <c r="D6192" s="5" t="s">
        <v>6018</v>
      </c>
      <c r="E6192" s="6" t="str">
        <f>HYPERLINK("https://twitter.com/petrogustavo/status/1266822178672185348","1266822178672185348")</f>
        <v>1266822178672185348</v>
      </c>
      <c r="F6192" s="7" t="s">
        <v>17</v>
      </c>
      <c r="G6192" s="7">
        <v>3846932</v>
      </c>
      <c r="H6192" s="7">
        <v>2413</v>
      </c>
      <c r="I6192" s="7">
        <v>352</v>
      </c>
      <c r="J6192" s="7">
        <v>0</v>
      </c>
      <c r="K6192" s="7" t="s">
        <v>18</v>
      </c>
      <c r="L6192" s="8">
        <v>39987.315405092595</v>
      </c>
      <c r="M6192" s="9" t="s">
        <v>19</v>
      </c>
      <c r="N6192" s="9" t="s">
        <v>20</v>
      </c>
      <c r="O6192" s="6" t="str">
        <f>HYPERLINK("https://pbs.twimg.com/profile_images/962471262747529216/Uo8lOkRJ_normal.jpg","View")</f>
        <v>View</v>
      </c>
      <c r="P6192" s="7"/>
    </row>
    <row r="6193" spans="1:16">
      <c r="A6193" s="3">
        <v>43982.069490740745</v>
      </c>
      <c r="B6193" s="4" t="str">
        <f>HYPERLINK("https://twitter.com/petrogustavo","@petrogustavo")</f>
        <v>@petrogustavo</v>
      </c>
      <c r="C6193" s="5" t="s">
        <v>16</v>
      </c>
      <c r="D6193" s="5" t="s">
        <v>6019</v>
      </c>
      <c r="E6193" s="6" t="str">
        <f>HYPERLINK("https://twitter.com/petrogustavo/status/1266824218131513344","1266824218131513344")</f>
        <v>1266824218131513344</v>
      </c>
      <c r="F6193" s="7" t="s">
        <v>17</v>
      </c>
      <c r="G6193" s="7">
        <v>3846948</v>
      </c>
      <c r="H6193" s="7">
        <v>2413</v>
      </c>
      <c r="I6193" s="7">
        <v>51</v>
      </c>
      <c r="J6193" s="7">
        <v>175</v>
      </c>
      <c r="K6193" s="7" t="s">
        <v>18</v>
      </c>
      <c r="L6193" s="8">
        <v>39987.315405092595</v>
      </c>
      <c r="M6193" s="9" t="s">
        <v>19</v>
      </c>
      <c r="N6193" s="9" t="s">
        <v>20</v>
      </c>
      <c r="O6193" s="6" t="str">
        <f>HYPERLINK("https://pbs.twimg.com/profile_images/962471262747529216/Uo8lOkRJ_normal.jpg","View")</f>
        <v>View</v>
      </c>
      <c r="P6193" s="7"/>
    </row>
    <row r="6194" spans="1:16">
      <c r="A6194" s="3">
        <v>43982.08017361111</v>
      </c>
      <c r="B6194" s="4" t="str">
        <f>HYPERLINK("https://twitter.com/petrogustavo","@petrogustavo")</f>
        <v>@petrogustavo</v>
      </c>
      <c r="C6194" s="5" t="s">
        <v>16</v>
      </c>
      <c r="D6194" s="5" t="s">
        <v>6020</v>
      </c>
      <c r="E6194" s="6" t="str">
        <f>HYPERLINK("https://twitter.com/petrogustavo/status/1266828088861700098","1266828088861700098")</f>
        <v>1266828088861700098</v>
      </c>
      <c r="F6194" s="7" t="s">
        <v>17</v>
      </c>
      <c r="G6194" s="7">
        <v>3846948</v>
      </c>
      <c r="H6194" s="7">
        <v>2413</v>
      </c>
      <c r="I6194" s="7">
        <v>37</v>
      </c>
      <c r="J6194" s="7">
        <v>0</v>
      </c>
      <c r="K6194" s="7" t="s">
        <v>18</v>
      </c>
      <c r="L6194" s="8">
        <v>39987.315405092595</v>
      </c>
      <c r="M6194" s="9" t="s">
        <v>19</v>
      </c>
      <c r="N6194" s="9" t="s">
        <v>20</v>
      </c>
      <c r="O6194" s="6" t="str">
        <f>HYPERLINK("https://pbs.twimg.com/profile_images/962471262747529216/Uo8lOkRJ_normal.jpg","View")</f>
        <v>View</v>
      </c>
      <c r="P6194" s="7"/>
    </row>
    <row r="6195" spans="1:16">
      <c r="A6195" s="3">
        <v>43982.174756944441</v>
      </c>
      <c r="B6195" s="4" t="str">
        <f>HYPERLINK("https://twitter.com/petrogustavo","@petrogustavo")</f>
        <v>@petrogustavo</v>
      </c>
      <c r="C6195" s="5" t="s">
        <v>16</v>
      </c>
      <c r="D6195" s="5" t="s">
        <v>6018</v>
      </c>
      <c r="E6195" s="6" t="str">
        <f>HYPERLINK("https://twitter.com/petrogustavo/status/1266862365796163585","1266862365796163585")</f>
        <v>1266862365796163585</v>
      </c>
      <c r="F6195" s="7" t="s">
        <v>17</v>
      </c>
      <c r="G6195" s="7">
        <v>3847060</v>
      </c>
      <c r="H6195" s="7">
        <v>2413</v>
      </c>
      <c r="I6195" s="7">
        <v>926</v>
      </c>
      <c r="J6195" s="7">
        <v>0</v>
      </c>
      <c r="K6195" s="7" t="s">
        <v>18</v>
      </c>
      <c r="L6195" s="8">
        <v>39987.315405092595</v>
      </c>
      <c r="M6195" s="9" t="s">
        <v>19</v>
      </c>
      <c r="N6195" s="9" t="s">
        <v>20</v>
      </c>
      <c r="O6195" s="6" t="str">
        <f>HYPERLINK("https://pbs.twimg.com/profile_images/962471262747529216/Uo8lOkRJ_normal.jpg","View")</f>
        <v>View</v>
      </c>
      <c r="P6195" s="7"/>
    </row>
    <row r="6196" spans="1:16">
      <c r="A6196" s="3">
        <v>43982.197013888886</v>
      </c>
      <c r="B6196" s="4" t="str">
        <f>HYPERLINK("https://twitter.com/petrogustavo","@petrogustavo")</f>
        <v>@petrogustavo</v>
      </c>
      <c r="C6196" s="5" t="s">
        <v>16</v>
      </c>
      <c r="D6196" s="5" t="s">
        <v>6021</v>
      </c>
      <c r="E6196" s="6" t="str">
        <f>HYPERLINK("https://twitter.com/petrogustavo/status/1266870429630771205","1266870429630771205")</f>
        <v>1266870429630771205</v>
      </c>
      <c r="F6196" s="7" t="s">
        <v>17</v>
      </c>
      <c r="G6196" s="7">
        <v>3847096</v>
      </c>
      <c r="H6196" s="7">
        <v>2413</v>
      </c>
      <c r="I6196" s="7">
        <v>108</v>
      </c>
      <c r="J6196" s="7">
        <v>200</v>
      </c>
      <c r="K6196" s="7" t="s">
        <v>18</v>
      </c>
      <c r="L6196" s="8">
        <v>39987.315405092595</v>
      </c>
      <c r="M6196" s="9" t="s">
        <v>19</v>
      </c>
      <c r="N6196" s="9" t="s">
        <v>20</v>
      </c>
      <c r="O6196" s="6" t="str">
        <f>HYPERLINK("https://pbs.twimg.com/profile_images/962471262747529216/Uo8lOkRJ_normal.jpg","View")</f>
        <v>View</v>
      </c>
      <c r="P6196" s="7"/>
    </row>
    <row r="6197" spans="1:16">
      <c r="A6197" s="3">
        <v>43982.206064814818</v>
      </c>
      <c r="B6197" s="4" t="str">
        <f>HYPERLINK("https://twitter.com/petrogustavo","@petrogustavo")</f>
        <v>@petrogustavo</v>
      </c>
      <c r="C6197" s="5" t="s">
        <v>16</v>
      </c>
      <c r="D6197" s="5" t="s">
        <v>6022</v>
      </c>
      <c r="E6197" s="6" t="str">
        <f>HYPERLINK("https://twitter.com/petrogustavo/status/1266873710277001216","1266873710277001216")</f>
        <v>1266873710277001216</v>
      </c>
      <c r="F6197" s="7" t="s">
        <v>17</v>
      </c>
      <c r="G6197" s="7">
        <v>3847096</v>
      </c>
      <c r="H6197" s="7">
        <v>2413</v>
      </c>
      <c r="I6197" s="7">
        <v>108</v>
      </c>
      <c r="J6197" s="7">
        <v>0</v>
      </c>
      <c r="K6197" s="7" t="s">
        <v>18</v>
      </c>
      <c r="L6197" s="8">
        <v>39987.315405092595</v>
      </c>
      <c r="M6197" s="9" t="s">
        <v>19</v>
      </c>
      <c r="N6197" s="9" t="s">
        <v>20</v>
      </c>
      <c r="O6197" s="6" t="str">
        <f>HYPERLINK("https://pbs.twimg.com/profile_images/962471262747529216/Uo8lOkRJ_normal.jpg","View")</f>
        <v>View</v>
      </c>
      <c r="P6197" s="7"/>
    </row>
    <row r="6198" spans="1:16">
      <c r="A6198" s="3">
        <v>43982.212685185186</v>
      </c>
      <c r="B6198" s="4" t="str">
        <f>HYPERLINK("https://twitter.com/petrogustavo","@petrogustavo")</f>
        <v>@petrogustavo</v>
      </c>
      <c r="C6198" s="5" t="s">
        <v>16</v>
      </c>
      <c r="D6198" s="5" t="s">
        <v>6023</v>
      </c>
      <c r="E6198" s="6" t="str">
        <f>HYPERLINK("https://twitter.com/petrogustavo/status/1266876109544730629","1266876109544730629")</f>
        <v>1266876109544730629</v>
      </c>
      <c r="F6198" s="7" t="s">
        <v>17</v>
      </c>
      <c r="G6198" s="7">
        <v>3847076</v>
      </c>
      <c r="H6198" s="7">
        <v>2413</v>
      </c>
      <c r="I6198" s="7">
        <v>39</v>
      </c>
      <c r="J6198" s="7">
        <v>0</v>
      </c>
      <c r="K6198" s="7" t="s">
        <v>18</v>
      </c>
      <c r="L6198" s="8">
        <v>39987.315405092595</v>
      </c>
      <c r="M6198" s="9" t="s">
        <v>19</v>
      </c>
      <c r="N6198" s="9" t="s">
        <v>20</v>
      </c>
      <c r="O6198" s="6" t="str">
        <f>HYPERLINK("https://pbs.twimg.com/profile_images/962471262747529216/Uo8lOkRJ_normal.jpg","View")</f>
        <v>View</v>
      </c>
      <c r="P6198" s="7"/>
    </row>
    <row r="6199" spans="1:16">
      <c r="A6199" s="3">
        <v>43982.219849537039</v>
      </c>
      <c r="B6199" s="4" t="str">
        <f>HYPERLINK("https://twitter.com/petrogustavo","@petrogustavo")</f>
        <v>@petrogustavo</v>
      </c>
      <c r="C6199" s="5" t="s">
        <v>16</v>
      </c>
      <c r="D6199" s="5" t="s">
        <v>6024</v>
      </c>
      <c r="E6199" s="6" t="str">
        <f>HYPERLINK("https://twitter.com/petrogustavo/status/1266878706502504452","1266878706502504452")</f>
        <v>1266878706502504452</v>
      </c>
      <c r="F6199" s="7" t="s">
        <v>17</v>
      </c>
      <c r="G6199" s="7">
        <v>3847076</v>
      </c>
      <c r="H6199" s="7">
        <v>2413</v>
      </c>
      <c r="I6199" s="7">
        <v>161</v>
      </c>
      <c r="J6199" s="7">
        <v>371</v>
      </c>
      <c r="K6199" s="7" t="s">
        <v>18</v>
      </c>
      <c r="L6199" s="8">
        <v>39987.315405092595</v>
      </c>
      <c r="M6199" s="9" t="s">
        <v>19</v>
      </c>
      <c r="N6199" s="9" t="s">
        <v>20</v>
      </c>
      <c r="O6199" s="6" t="str">
        <f>HYPERLINK("https://pbs.twimg.com/profile_images/962471262747529216/Uo8lOkRJ_normal.jpg","View")</f>
        <v>View</v>
      </c>
      <c r="P6199" s="7"/>
    </row>
    <row r="6200" spans="1:16">
      <c r="A6200" s="3">
        <v>43982.221273148149</v>
      </c>
      <c r="B6200" s="4" t="str">
        <f>HYPERLINK("https://twitter.com/petrogustavo","@petrogustavo")</f>
        <v>@petrogustavo</v>
      </c>
      <c r="C6200" s="5" t="s">
        <v>16</v>
      </c>
      <c r="D6200" s="5" t="s">
        <v>6025</v>
      </c>
      <c r="E6200" s="6" t="str">
        <f>HYPERLINK("https://twitter.com/petrogustavo/status/1266879222213197827","1266879222213197827")</f>
        <v>1266879222213197827</v>
      </c>
      <c r="F6200" s="7" t="s">
        <v>17</v>
      </c>
      <c r="G6200" s="7">
        <v>3847076</v>
      </c>
      <c r="H6200" s="7">
        <v>2413</v>
      </c>
      <c r="I6200" s="7">
        <v>45</v>
      </c>
      <c r="J6200" s="7">
        <v>118</v>
      </c>
      <c r="K6200" s="7" t="s">
        <v>18</v>
      </c>
      <c r="L6200" s="8">
        <v>39987.315405092595</v>
      </c>
      <c r="M6200" s="9" t="s">
        <v>19</v>
      </c>
      <c r="N6200" s="9" t="s">
        <v>20</v>
      </c>
      <c r="O6200" s="6" t="str">
        <f>HYPERLINK("https://pbs.twimg.com/profile_images/962471262747529216/Uo8lOkRJ_normal.jpg","View")</f>
        <v>View</v>
      </c>
      <c r="P6200" s="7"/>
    </row>
    <row r="6201" spans="1:16">
      <c r="A6201" s="3">
        <v>43982.222372685181</v>
      </c>
      <c r="B6201" s="4" t="str">
        <f>HYPERLINK("https://twitter.com/petrogustavo","@petrogustavo")</f>
        <v>@petrogustavo</v>
      </c>
      <c r="C6201" s="5" t="s">
        <v>16</v>
      </c>
      <c r="D6201" s="5" t="s">
        <v>6026</v>
      </c>
      <c r="E6201" s="6" t="str">
        <f>HYPERLINK("https://twitter.com/petrogustavo/status/1266879619203915776","1266879619203915776")</f>
        <v>1266879619203915776</v>
      </c>
      <c r="F6201" s="7" t="s">
        <v>17</v>
      </c>
      <c r="G6201" s="7">
        <v>3847076</v>
      </c>
      <c r="H6201" s="7">
        <v>2413</v>
      </c>
      <c r="I6201" s="7">
        <v>108</v>
      </c>
      <c r="J6201" s="7">
        <v>183</v>
      </c>
      <c r="K6201" s="7" t="s">
        <v>18</v>
      </c>
      <c r="L6201" s="8">
        <v>39987.315405092595</v>
      </c>
      <c r="M6201" s="9" t="s">
        <v>19</v>
      </c>
      <c r="N6201" s="9" t="s">
        <v>20</v>
      </c>
      <c r="O6201" s="6" t="str">
        <f>HYPERLINK("https://pbs.twimg.com/profile_images/962471262747529216/Uo8lOkRJ_normal.jpg","View")</f>
        <v>View</v>
      </c>
      <c r="P6201" s="7"/>
    </row>
    <row r="6202" spans="1:16">
      <c r="A6202" s="3">
        <v>43982.226805555554</v>
      </c>
      <c r="B6202" s="4" t="str">
        <f>HYPERLINK("https://twitter.com/petrogustavo","@petrogustavo")</f>
        <v>@petrogustavo</v>
      </c>
      <c r="C6202" s="5" t="s">
        <v>16</v>
      </c>
      <c r="D6202" s="5" t="s">
        <v>6027</v>
      </c>
      <c r="E6202" s="6" t="str">
        <f>HYPERLINK("https://twitter.com/petrogustavo/status/1266881227698700290","1266881227698700290")</f>
        <v>1266881227698700290</v>
      </c>
      <c r="F6202" s="7" t="s">
        <v>17</v>
      </c>
      <c r="G6202" s="7">
        <v>3847076</v>
      </c>
      <c r="H6202" s="7">
        <v>2413</v>
      </c>
      <c r="I6202" s="7">
        <v>18</v>
      </c>
      <c r="J6202" s="7">
        <v>0</v>
      </c>
      <c r="K6202" s="7" t="s">
        <v>18</v>
      </c>
      <c r="L6202" s="8">
        <v>39987.315405092595</v>
      </c>
      <c r="M6202" s="9" t="s">
        <v>19</v>
      </c>
      <c r="N6202" s="9" t="s">
        <v>20</v>
      </c>
      <c r="O6202" s="6" t="str">
        <f>HYPERLINK("https://pbs.twimg.com/profile_images/962471262747529216/Uo8lOkRJ_normal.jpg","View")</f>
        <v>View</v>
      </c>
      <c r="P6202" s="7"/>
    </row>
    <row r="6203" spans="1:16">
      <c r="A6203" s="3">
        <v>43982.227407407408</v>
      </c>
      <c r="B6203" s="4" t="str">
        <f>HYPERLINK("https://twitter.com/petrogustavo","@petrogustavo")</f>
        <v>@petrogustavo</v>
      </c>
      <c r="C6203" s="5" t="s">
        <v>16</v>
      </c>
      <c r="D6203" s="5" t="s">
        <v>6028</v>
      </c>
      <c r="E6203" s="6" t="str">
        <f>HYPERLINK("https://twitter.com/petrogustavo/status/1266881442656800768","1266881442656800768")</f>
        <v>1266881442656800768</v>
      </c>
      <c r="F6203" s="7" t="s">
        <v>17</v>
      </c>
      <c r="G6203" s="7">
        <v>3847076</v>
      </c>
      <c r="H6203" s="7">
        <v>2413</v>
      </c>
      <c r="I6203" s="7">
        <v>42</v>
      </c>
      <c r="J6203" s="7">
        <v>102</v>
      </c>
      <c r="K6203" s="7" t="s">
        <v>18</v>
      </c>
      <c r="L6203" s="8">
        <v>39987.315405092595</v>
      </c>
      <c r="M6203" s="9" t="s">
        <v>19</v>
      </c>
      <c r="N6203" s="9" t="s">
        <v>20</v>
      </c>
      <c r="O6203" s="6" t="str">
        <f>HYPERLINK("https://pbs.twimg.com/profile_images/962471262747529216/Uo8lOkRJ_normal.jpg","View")</f>
        <v>View</v>
      </c>
      <c r="P6203" s="7"/>
    </row>
    <row r="6204" spans="1:16">
      <c r="A6204" s="3">
        <v>43982.242280092592</v>
      </c>
      <c r="B6204" s="4" t="str">
        <f>HYPERLINK("https://twitter.com/petrogustavo","@petrogustavo")</f>
        <v>@petrogustavo</v>
      </c>
      <c r="C6204" s="5" t="s">
        <v>16</v>
      </c>
      <c r="D6204" s="5" t="s">
        <v>6029</v>
      </c>
      <c r="E6204" s="6" t="str">
        <f>HYPERLINK("https://twitter.com/petrogustavo/status/1266886834963038208","1266886834963038208")</f>
        <v>1266886834963038208</v>
      </c>
      <c r="F6204" s="7" t="s">
        <v>17</v>
      </c>
      <c r="G6204" s="7">
        <v>3847102</v>
      </c>
      <c r="H6204" s="7">
        <v>2413</v>
      </c>
      <c r="I6204" s="7">
        <v>25</v>
      </c>
      <c r="J6204" s="7">
        <v>0</v>
      </c>
      <c r="K6204" s="7" t="s">
        <v>18</v>
      </c>
      <c r="L6204" s="8">
        <v>39987.315405092595</v>
      </c>
      <c r="M6204" s="9" t="s">
        <v>19</v>
      </c>
      <c r="N6204" s="9" t="s">
        <v>20</v>
      </c>
      <c r="O6204" s="6" t="str">
        <f>HYPERLINK("https://pbs.twimg.com/profile_images/962471262747529216/Uo8lOkRJ_normal.jpg","View")</f>
        <v>View</v>
      </c>
      <c r="P6204" s="7"/>
    </row>
    <row r="6205" spans="1:16">
      <c r="A6205" s="3">
        <v>43982.24354166667</v>
      </c>
      <c r="B6205" s="4" t="str">
        <f>HYPERLINK("https://twitter.com/petrogustavo","@petrogustavo")</f>
        <v>@petrogustavo</v>
      </c>
      <c r="C6205" s="5" t="s">
        <v>16</v>
      </c>
      <c r="D6205" s="5" t="s">
        <v>6030</v>
      </c>
      <c r="E6205" s="6" t="str">
        <f>HYPERLINK("https://twitter.com/petrogustavo/status/1266887293043986433","1266887293043986433")</f>
        <v>1266887293043986433</v>
      </c>
      <c r="F6205" s="7" t="s">
        <v>17</v>
      </c>
      <c r="G6205" s="7">
        <v>3847102</v>
      </c>
      <c r="H6205" s="7">
        <v>2413</v>
      </c>
      <c r="I6205" s="7">
        <v>94</v>
      </c>
      <c r="J6205" s="7">
        <v>206</v>
      </c>
      <c r="K6205" s="7" t="s">
        <v>18</v>
      </c>
      <c r="L6205" s="8">
        <v>39987.315405092595</v>
      </c>
      <c r="M6205" s="9" t="s">
        <v>19</v>
      </c>
      <c r="N6205" s="9" t="s">
        <v>20</v>
      </c>
      <c r="O6205" s="6" t="str">
        <f>HYPERLINK("https://pbs.twimg.com/profile_images/962471262747529216/Uo8lOkRJ_normal.jpg","View")</f>
        <v>View</v>
      </c>
      <c r="P6205" s="7"/>
    </row>
    <row r="6206" spans="1:16">
      <c r="A6206" s="3">
        <v>43982.261087962965</v>
      </c>
      <c r="B6206" s="4" t="str">
        <f>HYPERLINK("https://twitter.com/petrogustavo","@petrogustavo")</f>
        <v>@petrogustavo</v>
      </c>
      <c r="C6206" s="5" t="s">
        <v>16</v>
      </c>
      <c r="D6206" s="5" t="s">
        <v>6031</v>
      </c>
      <c r="E6206" s="6" t="str">
        <f>HYPERLINK("https://twitter.com/petrogustavo/status/1266893648337211392","1266893648337211392")</f>
        <v>1266893648337211392</v>
      </c>
      <c r="F6206" s="7" t="s">
        <v>17</v>
      </c>
      <c r="G6206" s="7">
        <v>3847143</v>
      </c>
      <c r="H6206" s="7">
        <v>2413</v>
      </c>
      <c r="I6206" s="7">
        <v>117</v>
      </c>
      <c r="J6206" s="7">
        <v>243</v>
      </c>
      <c r="K6206" s="7" t="s">
        <v>18</v>
      </c>
      <c r="L6206" s="8">
        <v>39987.315405092595</v>
      </c>
      <c r="M6206" s="9" t="s">
        <v>19</v>
      </c>
      <c r="N6206" s="9" t="s">
        <v>20</v>
      </c>
      <c r="O6206" s="6" t="str">
        <f>HYPERLINK("https://pbs.twimg.com/profile_images/962471262747529216/Uo8lOkRJ_normal.jpg","View")</f>
        <v>View</v>
      </c>
      <c r="P6206" s="7"/>
    </row>
    <row r="6207" spans="1:16">
      <c r="A6207" s="3">
        <v>43982.262349537035</v>
      </c>
      <c r="B6207" s="4" t="str">
        <f>HYPERLINK("https://twitter.com/petrogustavo","@petrogustavo")</f>
        <v>@petrogustavo</v>
      </c>
      <c r="C6207" s="5" t="s">
        <v>16</v>
      </c>
      <c r="D6207" s="5" t="s">
        <v>6032</v>
      </c>
      <c r="E6207" s="6" t="str">
        <f>HYPERLINK("https://twitter.com/petrogustavo/status/1266894108750209029","1266894108750209029")</f>
        <v>1266894108750209029</v>
      </c>
      <c r="F6207" s="7" t="s">
        <v>17</v>
      </c>
      <c r="G6207" s="7">
        <v>3847143</v>
      </c>
      <c r="H6207" s="7">
        <v>2413</v>
      </c>
      <c r="I6207" s="7">
        <v>107</v>
      </c>
      <c r="J6207" s="7">
        <v>244</v>
      </c>
      <c r="K6207" s="7" t="s">
        <v>18</v>
      </c>
      <c r="L6207" s="8">
        <v>39987.315405092595</v>
      </c>
      <c r="M6207" s="9" t="s">
        <v>19</v>
      </c>
      <c r="N6207" s="9" t="s">
        <v>20</v>
      </c>
      <c r="O6207" s="6" t="str">
        <f>HYPERLINK("https://pbs.twimg.com/profile_images/962471262747529216/Uo8lOkRJ_normal.jpg","View")</f>
        <v>View</v>
      </c>
      <c r="P6207" s="7"/>
    </row>
    <row r="6208" spans="1:16">
      <c r="A6208" s="3">
        <v>43982.263541666667</v>
      </c>
      <c r="B6208" s="4" t="str">
        <f>HYPERLINK("https://twitter.com/petrogustavo","@petrogustavo")</f>
        <v>@petrogustavo</v>
      </c>
      <c r="C6208" s="5" t="s">
        <v>16</v>
      </c>
      <c r="D6208" s="5" t="s">
        <v>6033</v>
      </c>
      <c r="E6208" s="6" t="str">
        <f>HYPERLINK("https://twitter.com/petrogustavo/status/1266894539404513282","1266894539404513282")</f>
        <v>1266894539404513282</v>
      </c>
      <c r="F6208" s="7" t="s">
        <v>17</v>
      </c>
      <c r="G6208" s="7">
        <v>3847143</v>
      </c>
      <c r="H6208" s="7">
        <v>2413</v>
      </c>
      <c r="I6208" s="7">
        <v>385</v>
      </c>
      <c r="J6208" s="7">
        <v>0</v>
      </c>
      <c r="K6208" s="7" t="s">
        <v>18</v>
      </c>
      <c r="L6208" s="8">
        <v>39987.315405092595</v>
      </c>
      <c r="M6208" s="9" t="s">
        <v>19</v>
      </c>
      <c r="N6208" s="9" t="s">
        <v>20</v>
      </c>
      <c r="O6208" s="6" t="str">
        <f>HYPERLINK("https://pbs.twimg.com/profile_images/962471262747529216/Uo8lOkRJ_normal.jpg","View")</f>
        <v>View</v>
      </c>
      <c r="P6208" s="7"/>
    </row>
    <row r="6209" spans="1:16">
      <c r="A6209" s="3">
        <v>43982.268020833333</v>
      </c>
      <c r="B6209" s="4" t="str">
        <f>HYPERLINK("https://twitter.com/petrogustavo","@petrogustavo")</f>
        <v>@petrogustavo</v>
      </c>
      <c r="C6209" s="5" t="s">
        <v>16</v>
      </c>
      <c r="D6209" s="5" t="s">
        <v>6034</v>
      </c>
      <c r="E6209" s="6" t="str">
        <f>HYPERLINK("https://twitter.com/petrogustavo/status/1266896161186684928","1266896161186684928")</f>
        <v>1266896161186684928</v>
      </c>
      <c r="F6209" s="7" t="s">
        <v>17</v>
      </c>
      <c r="G6209" s="7">
        <v>3847143</v>
      </c>
      <c r="H6209" s="7">
        <v>2413</v>
      </c>
      <c r="I6209" s="7">
        <v>80</v>
      </c>
      <c r="J6209" s="7">
        <v>124</v>
      </c>
      <c r="K6209" s="7" t="s">
        <v>18</v>
      </c>
      <c r="L6209" s="8">
        <v>39987.315405092595</v>
      </c>
      <c r="M6209" s="9" t="s">
        <v>19</v>
      </c>
      <c r="N6209" s="9" t="s">
        <v>20</v>
      </c>
      <c r="O6209" s="6" t="str">
        <f>HYPERLINK("https://pbs.twimg.com/profile_images/962471262747529216/Uo8lOkRJ_normal.jpg","View")</f>
        <v>View</v>
      </c>
      <c r="P6209" s="7"/>
    </row>
    <row r="6210" spans="1:16">
      <c r="A6210" s="3">
        <v>43982.323136574079</v>
      </c>
      <c r="B6210" s="4" t="str">
        <f>HYPERLINK("https://twitter.com/petrogustavo","@petrogustavo")</f>
        <v>@petrogustavo</v>
      </c>
      <c r="C6210" s="5" t="s">
        <v>16</v>
      </c>
      <c r="D6210" s="5" t="s">
        <v>6035</v>
      </c>
      <c r="E6210" s="6" t="str">
        <f>HYPERLINK("https://twitter.com/petrogustavo/status/1266916134659543042","1266916134659543042")</f>
        <v>1266916134659543042</v>
      </c>
      <c r="F6210" s="7" t="s">
        <v>32</v>
      </c>
      <c r="G6210" s="7">
        <v>3847221</v>
      </c>
      <c r="H6210" s="7">
        <v>2413</v>
      </c>
      <c r="I6210" s="7">
        <v>748</v>
      </c>
      <c r="J6210" s="7">
        <v>0</v>
      </c>
      <c r="K6210" s="7" t="s">
        <v>18</v>
      </c>
      <c r="L6210" s="8">
        <v>39987.315405092595</v>
      </c>
      <c r="M6210" s="9" t="s">
        <v>19</v>
      </c>
      <c r="N6210" s="9" t="s">
        <v>20</v>
      </c>
      <c r="O6210" s="6" t="str">
        <f>HYPERLINK("https://pbs.twimg.com/profile_images/962471262747529216/Uo8lOkRJ_normal.jpg","View")</f>
        <v>View</v>
      </c>
      <c r="P6210" s="7"/>
    </row>
    <row r="6211" spans="1:16">
      <c r="A6211" s="3">
        <v>43982.753148148149</v>
      </c>
      <c r="B6211" s="4" t="str">
        <f>HYPERLINK("https://twitter.com/petrogustavo","@petrogustavo")</f>
        <v>@petrogustavo</v>
      </c>
      <c r="C6211" s="5" t="s">
        <v>16</v>
      </c>
      <c r="D6211" s="5" t="s">
        <v>6036</v>
      </c>
      <c r="E6211" s="6" t="str">
        <f>HYPERLINK("https://twitter.com/petrogustavo/status/1267071966504259585","1267071966504259585")</f>
        <v>1267071966504259585</v>
      </c>
      <c r="F6211" s="7" t="s">
        <v>17</v>
      </c>
      <c r="G6211" s="7">
        <v>3847479</v>
      </c>
      <c r="H6211" s="7">
        <v>2413</v>
      </c>
      <c r="I6211" s="7">
        <v>158</v>
      </c>
      <c r="J6211" s="7">
        <v>341</v>
      </c>
      <c r="K6211" s="7" t="s">
        <v>18</v>
      </c>
      <c r="L6211" s="8">
        <v>39987.315405092595</v>
      </c>
      <c r="M6211" s="9" t="s">
        <v>19</v>
      </c>
      <c r="N6211" s="9" t="s">
        <v>20</v>
      </c>
      <c r="O6211" s="6" t="str">
        <f>HYPERLINK("https://pbs.twimg.com/profile_images/962471262747529216/Uo8lOkRJ_normal.jpg","View")</f>
        <v>View</v>
      </c>
      <c r="P6211" s="7"/>
    </row>
    <row r="6212" spans="1:16">
      <c r="A6212" s="3">
        <v>43982.760162037041</v>
      </c>
      <c r="B6212" s="4" t="str">
        <f>HYPERLINK("https://twitter.com/petrogustavo","@petrogustavo")</f>
        <v>@petrogustavo</v>
      </c>
      <c r="C6212" s="5" t="s">
        <v>16</v>
      </c>
      <c r="D6212" s="5" t="s">
        <v>6037</v>
      </c>
      <c r="E6212" s="6" t="str">
        <f>HYPERLINK("https://twitter.com/petrogustavo/status/1267074508969705472","1267074508969705472")</f>
        <v>1267074508969705472</v>
      </c>
      <c r="F6212" s="7" t="s">
        <v>17</v>
      </c>
      <c r="G6212" s="7">
        <v>3847479</v>
      </c>
      <c r="H6212" s="7">
        <v>2413</v>
      </c>
      <c r="I6212" s="7">
        <v>36</v>
      </c>
      <c r="J6212" s="7">
        <v>0</v>
      </c>
      <c r="K6212" s="7" t="s">
        <v>18</v>
      </c>
      <c r="L6212" s="8">
        <v>39987.315405092595</v>
      </c>
      <c r="M6212" s="9" t="s">
        <v>19</v>
      </c>
      <c r="N6212" s="9" t="s">
        <v>20</v>
      </c>
      <c r="O6212" s="6" t="str">
        <f>HYPERLINK("https://pbs.twimg.com/profile_images/962471262747529216/Uo8lOkRJ_normal.jpg","View")</f>
        <v>View</v>
      </c>
      <c r="P6212" s="7"/>
    </row>
    <row r="6213" spans="1:16">
      <c r="A6213" s="3">
        <v>43982.762766203705</v>
      </c>
      <c r="B6213" s="4" t="str">
        <f>HYPERLINK("https://twitter.com/petrogustavo","@petrogustavo")</f>
        <v>@petrogustavo</v>
      </c>
      <c r="C6213" s="5" t="s">
        <v>16</v>
      </c>
      <c r="D6213" s="5" t="s">
        <v>6038</v>
      </c>
      <c r="E6213" s="6" t="str">
        <f>HYPERLINK("https://twitter.com/petrogustavo/status/1267075450821586944","1267075450821586944")</f>
        <v>1267075450821586944</v>
      </c>
      <c r="F6213" s="7" t="s">
        <v>17</v>
      </c>
      <c r="G6213" s="7">
        <v>3847479</v>
      </c>
      <c r="H6213" s="7">
        <v>2413</v>
      </c>
      <c r="I6213" s="7">
        <v>189</v>
      </c>
      <c r="J6213" s="7">
        <v>0</v>
      </c>
      <c r="K6213" s="7" t="s">
        <v>18</v>
      </c>
      <c r="L6213" s="8">
        <v>39987.315405092595</v>
      </c>
      <c r="M6213" s="9" t="s">
        <v>19</v>
      </c>
      <c r="N6213" s="9" t="s">
        <v>20</v>
      </c>
      <c r="O6213" s="6" t="str">
        <f>HYPERLINK("https://pbs.twimg.com/profile_images/962471262747529216/Uo8lOkRJ_normal.jpg","View")</f>
        <v>View</v>
      </c>
      <c r="P6213" s="7"/>
    </row>
    <row r="6214" spans="1:16">
      <c r="A6214" s="3">
        <v>43982.763472222221</v>
      </c>
      <c r="B6214" s="4" t="str">
        <f>HYPERLINK("https://twitter.com/petrogustavo","@petrogustavo")</f>
        <v>@petrogustavo</v>
      </c>
      <c r="C6214" s="5" t="s">
        <v>16</v>
      </c>
      <c r="D6214" s="5" t="s">
        <v>6039</v>
      </c>
      <c r="E6214" s="6" t="str">
        <f>HYPERLINK("https://twitter.com/petrogustavo/status/1267075705877168130","1267075705877168130")</f>
        <v>1267075705877168130</v>
      </c>
      <c r="F6214" s="7" t="s">
        <v>17</v>
      </c>
      <c r="G6214" s="7">
        <v>3847479</v>
      </c>
      <c r="H6214" s="7">
        <v>2413</v>
      </c>
      <c r="I6214" s="7">
        <v>91</v>
      </c>
      <c r="J6214" s="7">
        <v>0</v>
      </c>
      <c r="K6214" s="7" t="s">
        <v>18</v>
      </c>
      <c r="L6214" s="8">
        <v>39987.315405092595</v>
      </c>
      <c r="M6214" s="9" t="s">
        <v>19</v>
      </c>
      <c r="N6214" s="9" t="s">
        <v>20</v>
      </c>
      <c r="O6214" s="6" t="str">
        <f>HYPERLINK("https://pbs.twimg.com/profile_images/962471262747529216/Uo8lOkRJ_normal.jpg","View")</f>
        <v>View</v>
      </c>
      <c r="P6214" s="7"/>
    </row>
    <row r="6215" spans="1:16">
      <c r="A6215" s="3">
        <v>43982.766516203701</v>
      </c>
      <c r="B6215" s="4" t="str">
        <f>HYPERLINK("https://twitter.com/petrogustavo","@petrogustavo")</f>
        <v>@petrogustavo</v>
      </c>
      <c r="C6215" s="5" t="s">
        <v>16</v>
      </c>
      <c r="D6215" s="5" t="s">
        <v>6040</v>
      </c>
      <c r="E6215" s="6" t="str">
        <f>HYPERLINK("https://twitter.com/petrogustavo/status/1267076812590415873","1267076812590415873")</f>
        <v>1267076812590415873</v>
      </c>
      <c r="F6215" s="7" t="s">
        <v>17</v>
      </c>
      <c r="G6215" s="7">
        <v>3847479</v>
      </c>
      <c r="H6215" s="7">
        <v>2413</v>
      </c>
      <c r="I6215" s="7">
        <v>19</v>
      </c>
      <c r="J6215" s="7">
        <v>0</v>
      </c>
      <c r="K6215" s="7" t="s">
        <v>18</v>
      </c>
      <c r="L6215" s="8">
        <v>39987.315405092595</v>
      </c>
      <c r="M6215" s="9" t="s">
        <v>19</v>
      </c>
      <c r="N6215" s="9" t="s">
        <v>20</v>
      </c>
      <c r="O6215" s="6" t="str">
        <f>HYPERLINK("https://pbs.twimg.com/profile_images/962471262747529216/Uo8lOkRJ_normal.jpg","View")</f>
        <v>View</v>
      </c>
      <c r="P6215" s="7"/>
    </row>
    <row r="6216" spans="1:16">
      <c r="A6216" s="3">
        <v>43982.768009259264</v>
      </c>
      <c r="B6216" s="4" t="str">
        <f>HYPERLINK("https://twitter.com/petrogustavo","@petrogustavo")</f>
        <v>@petrogustavo</v>
      </c>
      <c r="C6216" s="5" t="s">
        <v>16</v>
      </c>
      <c r="D6216" s="5" t="s">
        <v>6041</v>
      </c>
      <c r="E6216" s="6" t="str">
        <f>HYPERLINK("https://twitter.com/petrogustavo/status/1267077349918605312","1267077349918605312")</f>
        <v>1267077349918605312</v>
      </c>
      <c r="F6216" s="7" t="s">
        <v>17</v>
      </c>
      <c r="G6216" s="7">
        <v>3847479</v>
      </c>
      <c r="H6216" s="7">
        <v>2413</v>
      </c>
      <c r="I6216" s="7">
        <v>65</v>
      </c>
      <c r="J6216" s="7">
        <v>206</v>
      </c>
      <c r="K6216" s="7" t="s">
        <v>18</v>
      </c>
      <c r="L6216" s="8">
        <v>39987.315405092595</v>
      </c>
      <c r="M6216" s="9" t="s">
        <v>19</v>
      </c>
      <c r="N6216" s="9" t="s">
        <v>20</v>
      </c>
      <c r="O6216" s="6" t="str">
        <f>HYPERLINK("https://pbs.twimg.com/profile_images/962471262747529216/Uo8lOkRJ_normal.jpg","View")</f>
        <v>View</v>
      </c>
      <c r="P6216" s="7"/>
    </row>
    <row r="6217" spans="1:16">
      <c r="A6217" s="3">
        <v>43982.769965277781</v>
      </c>
      <c r="B6217" s="4" t="str">
        <f>HYPERLINK("https://twitter.com/petrogustavo","@petrogustavo")</f>
        <v>@petrogustavo</v>
      </c>
      <c r="C6217" s="5" t="s">
        <v>16</v>
      </c>
      <c r="D6217" s="5" t="s">
        <v>6042</v>
      </c>
      <c r="E6217" s="6" t="str">
        <f>HYPERLINK("https://twitter.com/petrogustavo/status/1267078060198768642","1267078060198768642")</f>
        <v>1267078060198768642</v>
      </c>
      <c r="F6217" s="7" t="s">
        <v>17</v>
      </c>
      <c r="G6217" s="7">
        <v>3847479</v>
      </c>
      <c r="H6217" s="7">
        <v>2413</v>
      </c>
      <c r="I6217" s="7">
        <v>663</v>
      </c>
      <c r="J6217" s="7">
        <v>0</v>
      </c>
      <c r="K6217" s="7" t="s">
        <v>18</v>
      </c>
      <c r="L6217" s="8">
        <v>39987.315405092595</v>
      </c>
      <c r="M6217" s="9" t="s">
        <v>19</v>
      </c>
      <c r="N6217" s="9" t="s">
        <v>20</v>
      </c>
      <c r="O6217" s="6" t="str">
        <f>HYPERLINK("https://pbs.twimg.com/profile_images/962471262747529216/Uo8lOkRJ_normal.jpg","View")</f>
        <v>View</v>
      </c>
      <c r="P6217" s="7"/>
    </row>
    <row r="6218" spans="1:16">
      <c r="A6218" s="3">
        <v>43982.770162037035</v>
      </c>
      <c r="B6218" s="4" t="str">
        <f>HYPERLINK("https://twitter.com/petrogustavo","@petrogustavo")</f>
        <v>@petrogustavo</v>
      </c>
      <c r="C6218" s="5" t="s">
        <v>16</v>
      </c>
      <c r="D6218" s="5" t="s">
        <v>6043</v>
      </c>
      <c r="E6218" s="6" t="str">
        <f>HYPERLINK("https://twitter.com/petrogustavo/status/1267078131527155712","1267078131527155712")</f>
        <v>1267078131527155712</v>
      </c>
      <c r="F6218" s="7" t="s">
        <v>17</v>
      </c>
      <c r="G6218" s="7">
        <v>3847479</v>
      </c>
      <c r="H6218" s="7">
        <v>2413</v>
      </c>
      <c r="I6218" s="7">
        <v>23</v>
      </c>
      <c r="J6218" s="7">
        <v>0</v>
      </c>
      <c r="K6218" s="7" t="s">
        <v>18</v>
      </c>
      <c r="L6218" s="8">
        <v>39987.315405092595</v>
      </c>
      <c r="M6218" s="9" t="s">
        <v>19</v>
      </c>
      <c r="N6218" s="9" t="s">
        <v>20</v>
      </c>
      <c r="O6218" s="6" t="str">
        <f>HYPERLINK("https://pbs.twimg.com/profile_images/962471262747529216/Uo8lOkRJ_normal.jpg","View")</f>
        <v>View</v>
      </c>
      <c r="P6218" s="7"/>
    </row>
    <row r="6219" spans="1:16">
      <c r="A6219" s="3">
        <v>43982.770578703705</v>
      </c>
      <c r="B6219" s="4" t="str">
        <f>HYPERLINK("https://twitter.com/petrogustavo","@petrogustavo")</f>
        <v>@petrogustavo</v>
      </c>
      <c r="C6219" s="5" t="s">
        <v>16</v>
      </c>
      <c r="D6219" s="5" t="s">
        <v>6044</v>
      </c>
      <c r="E6219" s="6" t="str">
        <f>HYPERLINK("https://twitter.com/petrogustavo/status/1267078283184783361","1267078283184783361")</f>
        <v>1267078283184783361</v>
      </c>
      <c r="F6219" s="7" t="s">
        <v>17</v>
      </c>
      <c r="G6219" s="7">
        <v>3847479</v>
      </c>
      <c r="H6219" s="7">
        <v>2413</v>
      </c>
      <c r="I6219" s="7">
        <v>84</v>
      </c>
      <c r="J6219" s="7">
        <v>0</v>
      </c>
      <c r="K6219" s="7" t="s">
        <v>18</v>
      </c>
      <c r="L6219" s="8">
        <v>39987.315405092595</v>
      </c>
      <c r="M6219" s="9" t="s">
        <v>19</v>
      </c>
      <c r="N6219" s="9" t="s">
        <v>20</v>
      </c>
      <c r="O6219" s="6" t="str">
        <f>HYPERLINK("https://pbs.twimg.com/profile_images/962471262747529216/Uo8lOkRJ_normal.jpg","View")</f>
        <v>View</v>
      </c>
      <c r="P6219" s="7"/>
    </row>
    <row r="6220" spans="1:16">
      <c r="A6220" s="3">
        <v>43982.771979166668</v>
      </c>
      <c r="B6220" s="4" t="str">
        <f>HYPERLINK("https://twitter.com/petrogustavo","@petrogustavo")</f>
        <v>@petrogustavo</v>
      </c>
      <c r="C6220" s="5" t="s">
        <v>16</v>
      </c>
      <c r="D6220" s="5" t="s">
        <v>6045</v>
      </c>
      <c r="E6220" s="6" t="str">
        <f>HYPERLINK("https://twitter.com/petrogustavo/status/1267078788774604801","1267078788774604801")</f>
        <v>1267078788774604801</v>
      </c>
      <c r="F6220" s="7" t="s">
        <v>17</v>
      </c>
      <c r="G6220" s="7">
        <v>3847479</v>
      </c>
      <c r="H6220" s="7">
        <v>2413</v>
      </c>
      <c r="I6220" s="7">
        <v>6</v>
      </c>
      <c r="J6220" s="7">
        <v>9</v>
      </c>
      <c r="K6220" s="7" t="s">
        <v>18</v>
      </c>
      <c r="L6220" s="8">
        <v>39987.315405092595</v>
      </c>
      <c r="M6220" s="9" t="s">
        <v>19</v>
      </c>
      <c r="N6220" s="9" t="s">
        <v>20</v>
      </c>
      <c r="O6220" s="6" t="str">
        <f>HYPERLINK("https://pbs.twimg.com/profile_images/962471262747529216/Uo8lOkRJ_normal.jpg","View")</f>
        <v>View</v>
      </c>
      <c r="P6220" s="7"/>
    </row>
    <row r="6221" spans="1:16">
      <c r="A6221" s="3">
        <v>43982.773564814815</v>
      </c>
      <c r="B6221" s="4" t="str">
        <f>HYPERLINK("https://twitter.com/petrogustavo","@petrogustavo")</f>
        <v>@petrogustavo</v>
      </c>
      <c r="C6221" s="5" t="s">
        <v>16</v>
      </c>
      <c r="D6221" s="5" t="s">
        <v>6046</v>
      </c>
      <c r="E6221" s="6" t="str">
        <f>HYPERLINK("https://twitter.com/petrogustavo/status/1267079366242193408","1267079366242193408")</f>
        <v>1267079366242193408</v>
      </c>
      <c r="F6221" s="7" t="s">
        <v>17</v>
      </c>
      <c r="G6221" s="7">
        <v>3847493</v>
      </c>
      <c r="H6221" s="7">
        <v>2414</v>
      </c>
      <c r="I6221" s="7">
        <v>128</v>
      </c>
      <c r="J6221" s="7">
        <v>200</v>
      </c>
      <c r="K6221" s="7" t="s">
        <v>18</v>
      </c>
      <c r="L6221" s="8">
        <v>39987.315405092595</v>
      </c>
      <c r="M6221" s="9" t="s">
        <v>19</v>
      </c>
      <c r="N6221" s="9" t="s">
        <v>20</v>
      </c>
      <c r="O6221" s="6" t="str">
        <f>HYPERLINK("https://pbs.twimg.com/profile_images/962471262747529216/Uo8lOkRJ_normal.jpg","View")</f>
        <v>View</v>
      </c>
      <c r="P6221" s="7"/>
    </row>
    <row r="6222" spans="1:16">
      <c r="A6222" s="3">
        <v>43982.774965277778</v>
      </c>
      <c r="B6222" s="4" t="str">
        <f>HYPERLINK("https://twitter.com/petrogustavo","@petrogustavo")</f>
        <v>@petrogustavo</v>
      </c>
      <c r="C6222" s="5" t="s">
        <v>16</v>
      </c>
      <c r="D6222" s="5" t="s">
        <v>6047</v>
      </c>
      <c r="E6222" s="6" t="str">
        <f>HYPERLINK("https://twitter.com/petrogustavo/status/1267079870938562561","1267079870938562561")</f>
        <v>1267079870938562561</v>
      </c>
      <c r="F6222" s="7" t="s">
        <v>17</v>
      </c>
      <c r="G6222" s="7">
        <v>3847493</v>
      </c>
      <c r="H6222" s="7">
        <v>2414</v>
      </c>
      <c r="I6222" s="7">
        <v>54</v>
      </c>
      <c r="J6222" s="7">
        <v>0</v>
      </c>
      <c r="K6222" s="7" t="s">
        <v>18</v>
      </c>
      <c r="L6222" s="8">
        <v>39987.315405092595</v>
      </c>
      <c r="M6222" s="9" t="s">
        <v>19</v>
      </c>
      <c r="N6222" s="9" t="s">
        <v>20</v>
      </c>
      <c r="O6222" s="6" t="str">
        <f>HYPERLINK("https://pbs.twimg.com/profile_images/962471262747529216/Uo8lOkRJ_normal.jpg","View")</f>
        <v>View</v>
      </c>
      <c r="P6222" s="7"/>
    </row>
    <row r="6223" spans="1:16">
      <c r="A6223" s="3">
        <v>43982.782106481478</v>
      </c>
      <c r="B6223" s="4" t="str">
        <f>HYPERLINK("https://twitter.com/petrogustavo","@petrogustavo")</f>
        <v>@petrogustavo</v>
      </c>
      <c r="C6223" s="5" t="s">
        <v>16</v>
      </c>
      <c r="D6223" s="5" t="s">
        <v>6048</v>
      </c>
      <c r="E6223" s="6" t="str">
        <f>HYPERLINK("https://twitter.com/petrogustavo/status/1267082459813986304","1267082459813986304")</f>
        <v>1267082459813986304</v>
      </c>
      <c r="F6223" s="7" t="s">
        <v>17</v>
      </c>
      <c r="G6223" s="7">
        <v>3847493</v>
      </c>
      <c r="H6223" s="7">
        <v>2414</v>
      </c>
      <c r="I6223" s="7">
        <v>10</v>
      </c>
      <c r="J6223" s="7">
        <v>0</v>
      </c>
      <c r="K6223" s="7" t="s">
        <v>18</v>
      </c>
      <c r="L6223" s="8">
        <v>39987.315405092595</v>
      </c>
      <c r="M6223" s="9" t="s">
        <v>19</v>
      </c>
      <c r="N6223" s="9" t="s">
        <v>20</v>
      </c>
      <c r="O6223" s="6" t="str">
        <f>HYPERLINK("https://pbs.twimg.com/profile_images/962471262747529216/Uo8lOkRJ_normal.jpg","View")</f>
        <v>View</v>
      </c>
      <c r="P6223" s="7"/>
    </row>
    <row r="6224" spans="1:16">
      <c r="A6224" s="3">
        <v>43982.782233796301</v>
      </c>
      <c r="B6224" s="4" t="str">
        <f>HYPERLINK("https://twitter.com/petrogustavo","@petrogustavo")</f>
        <v>@petrogustavo</v>
      </c>
      <c r="C6224" s="5" t="s">
        <v>16</v>
      </c>
      <c r="D6224" s="5" t="s">
        <v>6049</v>
      </c>
      <c r="E6224" s="6" t="str">
        <f>HYPERLINK("https://twitter.com/petrogustavo/status/1267082507046080513","1267082507046080513")</f>
        <v>1267082507046080513</v>
      </c>
      <c r="F6224" s="7" t="s">
        <v>17</v>
      </c>
      <c r="G6224" s="7">
        <v>3847493</v>
      </c>
      <c r="H6224" s="7">
        <v>2414</v>
      </c>
      <c r="I6224" s="7">
        <v>39</v>
      </c>
      <c r="J6224" s="7">
        <v>0</v>
      </c>
      <c r="K6224" s="7" t="s">
        <v>18</v>
      </c>
      <c r="L6224" s="8">
        <v>39987.315405092595</v>
      </c>
      <c r="M6224" s="9" t="s">
        <v>19</v>
      </c>
      <c r="N6224" s="9" t="s">
        <v>20</v>
      </c>
      <c r="O6224" s="6" t="str">
        <f>HYPERLINK("https://pbs.twimg.com/profile_images/962471262747529216/Uo8lOkRJ_normal.jpg","View")</f>
        <v>View</v>
      </c>
      <c r="P6224" s="7"/>
    </row>
    <row r="6225" spans="1:16">
      <c r="A6225" s="3">
        <v>43982.784548611111</v>
      </c>
      <c r="B6225" s="4" t="str">
        <f>HYPERLINK("https://twitter.com/petrogustavo","@petrogustavo")</f>
        <v>@petrogustavo</v>
      </c>
      <c r="C6225" s="5" t="s">
        <v>16</v>
      </c>
      <c r="D6225" s="5" t="s">
        <v>6050</v>
      </c>
      <c r="E6225" s="6" t="str">
        <f>HYPERLINK("https://twitter.com/petrogustavo/status/1267083346728890370","1267083346728890370")</f>
        <v>1267083346728890370</v>
      </c>
      <c r="F6225" s="7" t="s">
        <v>17</v>
      </c>
      <c r="G6225" s="7">
        <v>3847493</v>
      </c>
      <c r="H6225" s="7">
        <v>2414</v>
      </c>
      <c r="I6225" s="7">
        <v>60</v>
      </c>
      <c r="J6225" s="7">
        <v>130</v>
      </c>
      <c r="K6225" s="7" t="s">
        <v>18</v>
      </c>
      <c r="L6225" s="8">
        <v>39987.315405092595</v>
      </c>
      <c r="M6225" s="9" t="s">
        <v>19</v>
      </c>
      <c r="N6225" s="9" t="s">
        <v>20</v>
      </c>
      <c r="O6225" s="6" t="str">
        <f>HYPERLINK("https://pbs.twimg.com/profile_images/962471262747529216/Uo8lOkRJ_normal.jpg","View")</f>
        <v>View</v>
      </c>
      <c r="P6225" s="7"/>
    </row>
    <row r="6226" spans="1:16">
      <c r="A6226" s="3">
        <v>43982.786400462966</v>
      </c>
      <c r="B6226" s="4" t="str">
        <f>HYPERLINK("https://twitter.com/petrogustavo","@petrogustavo")</f>
        <v>@petrogustavo</v>
      </c>
      <c r="C6226" s="5" t="s">
        <v>16</v>
      </c>
      <c r="D6226" s="5" t="s">
        <v>6051</v>
      </c>
      <c r="E6226" s="6" t="str">
        <f>HYPERLINK("https://twitter.com/petrogustavo/status/1267084015636488192","1267084015636488192")</f>
        <v>1267084015636488192</v>
      </c>
      <c r="F6226" s="7" t="s">
        <v>17</v>
      </c>
      <c r="G6226" s="7">
        <v>3847493</v>
      </c>
      <c r="H6226" s="7">
        <v>2414</v>
      </c>
      <c r="I6226" s="7">
        <v>29614</v>
      </c>
      <c r="J6226" s="7">
        <v>0</v>
      </c>
      <c r="K6226" s="7" t="s">
        <v>18</v>
      </c>
      <c r="L6226" s="8">
        <v>39987.315405092595</v>
      </c>
      <c r="M6226" s="9" t="s">
        <v>19</v>
      </c>
      <c r="N6226" s="9" t="s">
        <v>20</v>
      </c>
      <c r="O6226" s="6" t="str">
        <f>HYPERLINK("https://pbs.twimg.com/profile_images/962471262747529216/Uo8lOkRJ_normal.jpg","View")</f>
        <v>View</v>
      </c>
      <c r="P6226" s="7"/>
    </row>
    <row r="6227" spans="1:16">
      <c r="A6227" s="3">
        <v>43982.788263888884</v>
      </c>
      <c r="B6227" s="4" t="str">
        <f>HYPERLINK("https://twitter.com/petrogustavo","@petrogustavo")</f>
        <v>@petrogustavo</v>
      </c>
      <c r="C6227" s="5" t="s">
        <v>16</v>
      </c>
      <c r="D6227" s="5" t="s">
        <v>6052</v>
      </c>
      <c r="E6227" s="6" t="str">
        <f>HYPERLINK("https://twitter.com/petrogustavo/status/1267084691468881923","1267084691468881923")</f>
        <v>1267084691468881923</v>
      </c>
      <c r="F6227" s="7" t="s">
        <v>17</v>
      </c>
      <c r="G6227" s="7">
        <v>3847493</v>
      </c>
      <c r="H6227" s="7">
        <v>2414</v>
      </c>
      <c r="I6227" s="7">
        <v>66</v>
      </c>
      <c r="J6227" s="7">
        <v>170</v>
      </c>
      <c r="K6227" s="7" t="s">
        <v>18</v>
      </c>
      <c r="L6227" s="8">
        <v>39987.315405092595</v>
      </c>
      <c r="M6227" s="9" t="s">
        <v>19</v>
      </c>
      <c r="N6227" s="9" t="s">
        <v>20</v>
      </c>
      <c r="O6227" s="6" t="str">
        <f>HYPERLINK("https://pbs.twimg.com/profile_images/962471262747529216/Uo8lOkRJ_normal.jpg","View")</f>
        <v>View</v>
      </c>
      <c r="P6227" s="7"/>
    </row>
    <row r="6228" spans="1:16">
      <c r="A6228" s="3">
        <v>43982.79215277778</v>
      </c>
      <c r="B6228" s="4" t="str">
        <f>HYPERLINK("https://twitter.com/petrogustavo","@petrogustavo")</f>
        <v>@petrogustavo</v>
      </c>
      <c r="C6228" s="5" t="s">
        <v>16</v>
      </c>
      <c r="D6228" s="5" t="s">
        <v>6053</v>
      </c>
      <c r="E6228" s="6" t="str">
        <f>HYPERLINK("https://twitter.com/petrogustavo/status/1267086099530362883","1267086099530362883")</f>
        <v>1267086099530362883</v>
      </c>
      <c r="F6228" s="7" t="s">
        <v>17</v>
      </c>
      <c r="G6228" s="7">
        <v>3847493</v>
      </c>
      <c r="H6228" s="7">
        <v>2414</v>
      </c>
      <c r="I6228" s="7">
        <v>3</v>
      </c>
      <c r="J6228" s="7">
        <v>12</v>
      </c>
      <c r="K6228" s="7" t="s">
        <v>18</v>
      </c>
      <c r="L6228" s="8">
        <v>39987.315405092595</v>
      </c>
      <c r="M6228" s="9" t="s">
        <v>19</v>
      </c>
      <c r="N6228" s="9" t="s">
        <v>20</v>
      </c>
      <c r="O6228" s="6" t="str">
        <f>HYPERLINK("https://pbs.twimg.com/profile_images/962471262747529216/Uo8lOkRJ_normal.jpg","View")</f>
        <v>View</v>
      </c>
      <c r="P6228" s="7"/>
    </row>
    <row r="6229" spans="1:16">
      <c r="A6229" s="3">
        <v>43982.800300925926</v>
      </c>
      <c r="B6229" s="4" t="str">
        <f>HYPERLINK("https://twitter.com/petrogustavo","@petrogustavo")</f>
        <v>@petrogustavo</v>
      </c>
      <c r="C6229" s="5" t="s">
        <v>16</v>
      </c>
      <c r="D6229" s="5" t="s">
        <v>6054</v>
      </c>
      <c r="E6229" s="6" t="str">
        <f>HYPERLINK("https://twitter.com/petrogustavo/status/1267089053662556160","1267089053662556160")</f>
        <v>1267089053662556160</v>
      </c>
      <c r="F6229" s="7" t="s">
        <v>17</v>
      </c>
      <c r="G6229" s="7">
        <v>3847524</v>
      </c>
      <c r="H6229" s="7">
        <v>2414</v>
      </c>
      <c r="I6229" s="7">
        <v>93</v>
      </c>
      <c r="J6229" s="7">
        <v>138</v>
      </c>
      <c r="K6229" s="7" t="s">
        <v>18</v>
      </c>
      <c r="L6229" s="8">
        <v>39987.315405092595</v>
      </c>
      <c r="M6229" s="9" t="s">
        <v>19</v>
      </c>
      <c r="N6229" s="9" t="s">
        <v>20</v>
      </c>
      <c r="O6229" s="6" t="str">
        <f>HYPERLINK("https://pbs.twimg.com/profile_images/962471262747529216/Uo8lOkRJ_normal.jpg","View")</f>
        <v>View</v>
      </c>
      <c r="P6229" s="7"/>
    </row>
    <row r="6230" spans="1:16">
      <c r="A6230" s="3">
        <v>43982.803472222222</v>
      </c>
      <c r="B6230" s="4" t="str">
        <f>HYPERLINK("https://twitter.com/petrogustavo","@petrogustavo")</f>
        <v>@petrogustavo</v>
      </c>
      <c r="C6230" s="5" t="s">
        <v>16</v>
      </c>
      <c r="D6230" s="5" t="s">
        <v>6055</v>
      </c>
      <c r="E6230" s="6" t="str">
        <f>HYPERLINK("https://twitter.com/petrogustavo/status/1267090203094777859","1267090203094777859")</f>
        <v>1267090203094777859</v>
      </c>
      <c r="F6230" s="7" t="s">
        <v>17</v>
      </c>
      <c r="G6230" s="7">
        <v>3847524</v>
      </c>
      <c r="H6230" s="7">
        <v>2414</v>
      </c>
      <c r="I6230" s="7">
        <v>365</v>
      </c>
      <c r="J6230" s="7">
        <v>0</v>
      </c>
      <c r="K6230" s="7" t="s">
        <v>18</v>
      </c>
      <c r="L6230" s="8">
        <v>39987.315405092595</v>
      </c>
      <c r="M6230" s="9" t="s">
        <v>19</v>
      </c>
      <c r="N6230" s="9" t="s">
        <v>20</v>
      </c>
      <c r="O6230" s="6" t="str">
        <f>HYPERLINK("https://pbs.twimg.com/profile_images/962471262747529216/Uo8lOkRJ_normal.jpg","View")</f>
        <v>View</v>
      </c>
      <c r="P6230" s="7"/>
    </row>
    <row r="6231" spans="1:16">
      <c r="A6231" s="3">
        <v>43982.86100694444</v>
      </c>
      <c r="B6231" s="4" t="str">
        <f>HYPERLINK("https://twitter.com/petrogustavo","@petrogustavo")</f>
        <v>@petrogustavo</v>
      </c>
      <c r="C6231" s="5" t="s">
        <v>16</v>
      </c>
      <c r="D6231" s="5" t="s">
        <v>6056</v>
      </c>
      <c r="E6231" s="6" t="str">
        <f>HYPERLINK("https://twitter.com/petrogustavo/status/1267111052921143297","1267111052921143297")</f>
        <v>1267111052921143297</v>
      </c>
      <c r="F6231" s="7" t="s">
        <v>32</v>
      </c>
      <c r="G6231" s="7">
        <v>3847639</v>
      </c>
      <c r="H6231" s="7">
        <v>2415</v>
      </c>
      <c r="I6231" s="7">
        <v>821</v>
      </c>
      <c r="J6231" s="7">
        <v>0</v>
      </c>
      <c r="K6231" s="7" t="s">
        <v>18</v>
      </c>
      <c r="L6231" s="8">
        <v>39987.315405092595</v>
      </c>
      <c r="M6231" s="9" t="s">
        <v>19</v>
      </c>
      <c r="N6231" s="9" t="s">
        <v>20</v>
      </c>
      <c r="O6231" s="6" t="str">
        <f>HYPERLINK("https://pbs.twimg.com/profile_images/962471262747529216/Uo8lOkRJ_normal.jpg","View")</f>
        <v>View</v>
      </c>
      <c r="P6231" s="7"/>
    </row>
    <row r="6232" spans="1:16">
      <c r="A6232" s="3">
        <v>43982.993275462963</v>
      </c>
      <c r="B6232" s="4" t="str">
        <f>HYPERLINK("https://twitter.com/petrogustavo","@petrogustavo")</f>
        <v>@petrogustavo</v>
      </c>
      <c r="C6232" s="5" t="s">
        <v>16</v>
      </c>
      <c r="D6232" s="5" t="s">
        <v>6057</v>
      </c>
      <c r="E6232" s="6" t="str">
        <f>HYPERLINK("https://twitter.com/petrogustavo/status/1267158985855176709","1267158985855176709")</f>
        <v>1267158985855176709</v>
      </c>
      <c r="F6232" s="7" t="s">
        <v>32</v>
      </c>
      <c r="G6232" s="7">
        <v>3848014</v>
      </c>
      <c r="H6232" s="7">
        <v>2415</v>
      </c>
      <c r="I6232" s="7">
        <v>52</v>
      </c>
      <c r="J6232" s="7">
        <v>0</v>
      </c>
      <c r="K6232" s="7" t="s">
        <v>18</v>
      </c>
      <c r="L6232" s="8">
        <v>39987.315405092595</v>
      </c>
      <c r="M6232" s="9" t="s">
        <v>19</v>
      </c>
      <c r="N6232" s="9" t="s">
        <v>20</v>
      </c>
      <c r="O6232" s="6" t="str">
        <f>HYPERLINK("https://pbs.twimg.com/profile_images/962471262747529216/Uo8lOkRJ_normal.jpg","View")</f>
        <v>View</v>
      </c>
      <c r="P6232" s="7"/>
    </row>
    <row r="6233" spans="1:16">
      <c r="A6233" s="3">
        <v>43982.993472222224</v>
      </c>
      <c r="B6233" s="4" t="str">
        <f>HYPERLINK("https://twitter.com/petrogustavo","@petrogustavo")</f>
        <v>@petrogustavo</v>
      </c>
      <c r="C6233" s="5" t="s">
        <v>16</v>
      </c>
      <c r="D6233" s="5" t="s">
        <v>6058</v>
      </c>
      <c r="E6233" s="6" t="str">
        <f>HYPERLINK("https://twitter.com/petrogustavo/status/1267159055203786753","1267159055203786753")</f>
        <v>1267159055203786753</v>
      </c>
      <c r="F6233" s="7" t="s">
        <v>32</v>
      </c>
      <c r="G6233" s="7">
        <v>3848014</v>
      </c>
      <c r="H6233" s="7">
        <v>2415</v>
      </c>
      <c r="I6233" s="7">
        <v>498</v>
      </c>
      <c r="J6233" s="7">
        <v>0</v>
      </c>
      <c r="K6233" s="7" t="s">
        <v>18</v>
      </c>
      <c r="L6233" s="8">
        <v>39987.315405092595</v>
      </c>
      <c r="M6233" s="9" t="s">
        <v>19</v>
      </c>
      <c r="N6233" s="9" t="s">
        <v>20</v>
      </c>
      <c r="O6233" s="6" t="str">
        <f>HYPERLINK("https://pbs.twimg.com/profile_images/962471262747529216/Uo8lOkRJ_normal.jpg","View")</f>
        <v>View</v>
      </c>
      <c r="P6233" s="7"/>
    </row>
    <row r="6234" spans="1:16">
      <c r="A6234" s="3">
        <v>43982.994166666671</v>
      </c>
      <c r="B6234" s="4" t="str">
        <f>HYPERLINK("https://twitter.com/petrogustavo","@petrogustavo")</f>
        <v>@petrogustavo</v>
      </c>
      <c r="C6234" s="5" t="s">
        <v>16</v>
      </c>
      <c r="D6234" s="5" t="s">
        <v>6059</v>
      </c>
      <c r="E6234" s="6" t="str">
        <f>HYPERLINK("https://twitter.com/petrogustavo/status/1267159307017236487","1267159307017236487")</f>
        <v>1267159307017236487</v>
      </c>
      <c r="F6234" s="7" t="s">
        <v>32</v>
      </c>
      <c r="G6234" s="7">
        <v>3848014</v>
      </c>
      <c r="H6234" s="7">
        <v>2415</v>
      </c>
      <c r="I6234" s="7">
        <v>25</v>
      </c>
      <c r="J6234" s="7">
        <v>0</v>
      </c>
      <c r="K6234" s="7" t="s">
        <v>18</v>
      </c>
      <c r="L6234" s="8">
        <v>39987.315405092595</v>
      </c>
      <c r="M6234" s="9" t="s">
        <v>19</v>
      </c>
      <c r="N6234" s="9" t="s">
        <v>20</v>
      </c>
      <c r="O6234" s="6" t="str">
        <f>HYPERLINK("https://pbs.twimg.com/profile_images/962471262747529216/Uo8lOkRJ_normal.jpg","View")</f>
        <v>View</v>
      </c>
      <c r="P6234" s="7"/>
    </row>
    <row r="6235" spans="1:16">
      <c r="A6235" s="3">
        <v>43982.994791666672</v>
      </c>
      <c r="B6235" s="4" t="str">
        <f>HYPERLINK("https://twitter.com/petrogustavo","@petrogustavo")</f>
        <v>@petrogustavo</v>
      </c>
      <c r="C6235" s="5" t="s">
        <v>16</v>
      </c>
      <c r="D6235" s="5" t="s">
        <v>6060</v>
      </c>
      <c r="E6235" s="6" t="str">
        <f>HYPERLINK("https://twitter.com/petrogustavo/status/1267159533530632193","1267159533530632193")</f>
        <v>1267159533530632193</v>
      </c>
      <c r="F6235" s="7" t="s">
        <v>32</v>
      </c>
      <c r="G6235" s="7">
        <v>3848014</v>
      </c>
      <c r="H6235" s="7">
        <v>2415</v>
      </c>
      <c r="I6235" s="7">
        <v>586</v>
      </c>
      <c r="J6235" s="7">
        <v>0</v>
      </c>
      <c r="K6235" s="7" t="s">
        <v>18</v>
      </c>
      <c r="L6235" s="8">
        <v>39987.315405092595</v>
      </c>
      <c r="M6235" s="9" t="s">
        <v>19</v>
      </c>
      <c r="N6235" s="9" t="s">
        <v>20</v>
      </c>
      <c r="O6235" s="6" t="str">
        <f>HYPERLINK("https://pbs.twimg.com/profile_images/962471262747529216/Uo8lOkRJ_normal.jpg","View")</f>
        <v>View</v>
      </c>
      <c r="P6235" s="7"/>
    </row>
    <row r="6236" spans="1:16">
      <c r="A6236" s="3">
        <v>43982.994999999995</v>
      </c>
      <c r="B6236" s="4" t="str">
        <f>HYPERLINK("https://twitter.com/petrogustavo","@petrogustavo")</f>
        <v>@petrogustavo</v>
      </c>
      <c r="C6236" s="5" t="s">
        <v>16</v>
      </c>
      <c r="D6236" s="5" t="s">
        <v>6061</v>
      </c>
      <c r="E6236" s="6" t="str">
        <f>HYPERLINK("https://twitter.com/petrogustavo/status/1267159611154534401","1267159611154534401")</f>
        <v>1267159611154534401</v>
      </c>
      <c r="F6236" s="7" t="s">
        <v>32</v>
      </c>
      <c r="G6236" s="7">
        <v>3848014</v>
      </c>
      <c r="H6236" s="7">
        <v>2415</v>
      </c>
      <c r="I6236" s="7">
        <v>64</v>
      </c>
      <c r="J6236" s="7">
        <v>0</v>
      </c>
      <c r="K6236" s="7" t="s">
        <v>18</v>
      </c>
      <c r="L6236" s="8">
        <v>39987.315405092595</v>
      </c>
      <c r="M6236" s="9" t="s">
        <v>19</v>
      </c>
      <c r="N6236" s="9" t="s">
        <v>20</v>
      </c>
      <c r="O6236" s="6" t="str">
        <f>HYPERLINK("https://pbs.twimg.com/profile_images/962471262747529216/Uo8lOkRJ_normal.jpg","View")</f>
        <v>View</v>
      </c>
      <c r="P6236" s="7"/>
    </row>
    <row r="6237" spans="1:16">
      <c r="A6237" s="3">
        <v>43982.996261574073</v>
      </c>
      <c r="B6237" s="4" t="str">
        <f>HYPERLINK("https://twitter.com/petrogustavo","@petrogustavo")</f>
        <v>@petrogustavo</v>
      </c>
      <c r="C6237" s="5" t="s">
        <v>16</v>
      </c>
      <c r="D6237" s="5" t="s">
        <v>6062</v>
      </c>
      <c r="E6237" s="6" t="str">
        <f>HYPERLINK("https://twitter.com/petrogustavo/status/1267160067796881409","1267160067796881409")</f>
        <v>1267160067796881409</v>
      </c>
      <c r="F6237" s="7" t="s">
        <v>32</v>
      </c>
      <c r="G6237" s="7">
        <v>3848014</v>
      </c>
      <c r="H6237" s="7">
        <v>2415</v>
      </c>
      <c r="I6237" s="7">
        <v>74</v>
      </c>
      <c r="J6237" s="7">
        <v>214</v>
      </c>
      <c r="K6237" s="7" t="s">
        <v>18</v>
      </c>
      <c r="L6237" s="8">
        <v>39987.315405092595</v>
      </c>
      <c r="M6237" s="9" t="s">
        <v>19</v>
      </c>
      <c r="N6237" s="9" t="s">
        <v>20</v>
      </c>
      <c r="O6237" s="6" t="str">
        <f>HYPERLINK("https://pbs.twimg.com/profile_images/962471262747529216/Uo8lOkRJ_normal.jpg","View")</f>
        <v>View</v>
      </c>
      <c r="P6237" s="7"/>
    </row>
    <row r="6238" spans="1:16">
      <c r="A6238" s="3">
        <v>43983.193171296298</v>
      </c>
      <c r="B6238" s="4" t="str">
        <f>HYPERLINK("https://twitter.com/petrogustavo","@petrogustavo")</f>
        <v>@petrogustavo</v>
      </c>
      <c r="C6238" s="5" t="s">
        <v>16</v>
      </c>
      <c r="D6238" s="5" t="s">
        <v>6063</v>
      </c>
      <c r="E6238" s="6" t="str">
        <f>HYPERLINK("https://twitter.com/petrogustavo/status/1267231423817187329","1267231423817187329")</f>
        <v>1267231423817187329</v>
      </c>
      <c r="F6238" s="7" t="s">
        <v>32</v>
      </c>
      <c r="G6238" s="7">
        <v>3848699</v>
      </c>
      <c r="H6238" s="7">
        <v>2415</v>
      </c>
      <c r="I6238" s="7">
        <v>74</v>
      </c>
      <c r="J6238" s="7">
        <v>0</v>
      </c>
      <c r="K6238" s="7" t="s">
        <v>18</v>
      </c>
      <c r="L6238" s="8">
        <v>39987.315405092595</v>
      </c>
      <c r="M6238" s="9" t="s">
        <v>19</v>
      </c>
      <c r="N6238" s="9" t="s">
        <v>20</v>
      </c>
      <c r="O6238" s="6" t="str">
        <f>HYPERLINK("https://pbs.twimg.com/profile_images/962471262747529216/Uo8lOkRJ_normal.jpg","View")</f>
        <v>View</v>
      </c>
      <c r="P6238" s="7"/>
    </row>
    <row r="6239" spans="1:16">
      <c r="A6239" s="3">
        <v>43983.19530092593</v>
      </c>
      <c r="B6239" s="4" t="str">
        <f>HYPERLINK("https://twitter.com/petrogustavo","@petrogustavo")</f>
        <v>@petrogustavo</v>
      </c>
      <c r="C6239" s="5" t="s">
        <v>16</v>
      </c>
      <c r="D6239" s="5" t="s">
        <v>6064</v>
      </c>
      <c r="E6239" s="6" t="str">
        <f>HYPERLINK("https://twitter.com/petrogustavo/status/1267232196978507776","1267232196978507776")</f>
        <v>1267232196978507776</v>
      </c>
      <c r="F6239" s="7" t="s">
        <v>32</v>
      </c>
      <c r="G6239" s="7">
        <v>3848699</v>
      </c>
      <c r="H6239" s="7">
        <v>2415</v>
      </c>
      <c r="I6239" s="7">
        <v>34505</v>
      </c>
      <c r="J6239" s="7">
        <v>0</v>
      </c>
      <c r="K6239" s="7" t="s">
        <v>18</v>
      </c>
      <c r="L6239" s="8">
        <v>39987.315405092595</v>
      </c>
      <c r="M6239" s="9" t="s">
        <v>19</v>
      </c>
      <c r="N6239" s="9" t="s">
        <v>20</v>
      </c>
      <c r="O6239" s="6" t="str">
        <f>HYPERLINK("https://pbs.twimg.com/profile_images/962471262747529216/Uo8lOkRJ_normal.jpg","View")</f>
        <v>View</v>
      </c>
      <c r="P6239" s="7"/>
    </row>
    <row r="6240" spans="1:16">
      <c r="A6240" s="3">
        <v>43983.195763888885</v>
      </c>
      <c r="B6240" s="4" t="str">
        <f>HYPERLINK("https://twitter.com/petrogustavo","@petrogustavo")</f>
        <v>@petrogustavo</v>
      </c>
      <c r="C6240" s="5" t="s">
        <v>16</v>
      </c>
      <c r="D6240" s="5" t="s">
        <v>6065</v>
      </c>
      <c r="E6240" s="6" t="str">
        <f>HYPERLINK("https://twitter.com/petrogustavo/status/1267232363215536135","1267232363215536135")</f>
        <v>1267232363215536135</v>
      </c>
      <c r="F6240" s="7" t="s">
        <v>32</v>
      </c>
      <c r="G6240" s="7">
        <v>3848699</v>
      </c>
      <c r="H6240" s="7">
        <v>2415</v>
      </c>
      <c r="I6240" s="7">
        <v>3629</v>
      </c>
      <c r="J6240" s="7">
        <v>0</v>
      </c>
      <c r="K6240" s="7" t="s">
        <v>18</v>
      </c>
      <c r="L6240" s="8">
        <v>39987.315405092595</v>
      </c>
      <c r="M6240" s="9" t="s">
        <v>19</v>
      </c>
      <c r="N6240" s="9" t="s">
        <v>20</v>
      </c>
      <c r="O6240" s="6" t="str">
        <f>HYPERLINK("https://pbs.twimg.com/profile_images/962471262747529216/Uo8lOkRJ_normal.jpg","View")</f>
        <v>View</v>
      </c>
      <c r="P6240" s="7"/>
    </row>
    <row r="6241" spans="1:16">
      <c r="A6241" s="3">
        <v>43983.205347222218</v>
      </c>
      <c r="B6241" s="4" t="str">
        <f>HYPERLINK("https://twitter.com/petrogustavo","@petrogustavo")</f>
        <v>@petrogustavo</v>
      </c>
      <c r="C6241" s="5" t="s">
        <v>16</v>
      </c>
      <c r="D6241" s="5" t="s">
        <v>6066</v>
      </c>
      <c r="E6241" s="6" t="str">
        <f>HYPERLINK("https://twitter.com/petrogustavo/status/1267235838435491840","1267235838435491840")</f>
        <v>1267235838435491840</v>
      </c>
      <c r="F6241" s="7" t="s">
        <v>32</v>
      </c>
      <c r="G6241" s="7">
        <v>3848699</v>
      </c>
      <c r="H6241" s="7">
        <v>2415</v>
      </c>
      <c r="I6241" s="7">
        <v>767</v>
      </c>
      <c r="J6241" s="7">
        <v>0</v>
      </c>
      <c r="K6241" s="7" t="s">
        <v>18</v>
      </c>
      <c r="L6241" s="8">
        <v>39987.315405092595</v>
      </c>
      <c r="M6241" s="9" t="s">
        <v>19</v>
      </c>
      <c r="N6241" s="9" t="s">
        <v>20</v>
      </c>
      <c r="O6241" s="6" t="str">
        <f>HYPERLINK("https://pbs.twimg.com/profile_images/962471262747529216/Uo8lOkRJ_normal.jpg","View")</f>
        <v>View</v>
      </c>
      <c r="P6241" s="7"/>
    </row>
    <row r="6242" spans="1:16">
      <c r="A6242" s="3">
        <v>43983.211319444439</v>
      </c>
      <c r="B6242" s="4" t="str">
        <f>HYPERLINK("https://twitter.com/petrogustavo","@petrogustavo")</f>
        <v>@petrogustavo</v>
      </c>
      <c r="C6242" s="5" t="s">
        <v>16</v>
      </c>
      <c r="D6242" s="5" t="s">
        <v>6067</v>
      </c>
      <c r="E6242" s="6" t="str">
        <f>HYPERLINK("https://twitter.com/petrogustavo/status/1267238001782018049","1267238001782018049")</f>
        <v>1267238001782018049</v>
      </c>
      <c r="F6242" s="7" t="s">
        <v>32</v>
      </c>
      <c r="G6242" s="7">
        <v>3848783</v>
      </c>
      <c r="H6242" s="7">
        <v>2415</v>
      </c>
      <c r="I6242" s="7">
        <v>36</v>
      </c>
      <c r="J6242" s="7">
        <v>0</v>
      </c>
      <c r="K6242" s="7" t="s">
        <v>18</v>
      </c>
      <c r="L6242" s="8">
        <v>39987.315405092595</v>
      </c>
      <c r="M6242" s="9" t="s">
        <v>19</v>
      </c>
      <c r="N6242" s="9" t="s">
        <v>20</v>
      </c>
      <c r="O6242" s="6" t="str">
        <f>HYPERLINK("https://pbs.twimg.com/profile_images/962471262747529216/Uo8lOkRJ_normal.jpg","View")</f>
        <v>View</v>
      </c>
      <c r="P6242" s="7"/>
    </row>
    <row r="6243" spans="1:16">
      <c r="A6243" s="3">
        <v>43983.217164351852</v>
      </c>
      <c r="B6243" s="4" t="str">
        <f>HYPERLINK("https://twitter.com/petrogustavo","@petrogustavo")</f>
        <v>@petrogustavo</v>
      </c>
      <c r="C6243" s="5" t="s">
        <v>16</v>
      </c>
      <c r="D6243" s="5" t="s">
        <v>6068</v>
      </c>
      <c r="E6243" s="6" t="str">
        <f>HYPERLINK("https://twitter.com/petrogustavo/status/1267240119330836481","1267240119330836481")</f>
        <v>1267240119330836481</v>
      </c>
      <c r="F6243" s="7" t="s">
        <v>32</v>
      </c>
      <c r="G6243" s="7">
        <v>3848783</v>
      </c>
      <c r="H6243" s="7">
        <v>2415</v>
      </c>
      <c r="I6243" s="7">
        <v>198</v>
      </c>
      <c r="J6243" s="7">
        <v>0</v>
      </c>
      <c r="K6243" s="7" t="s">
        <v>18</v>
      </c>
      <c r="L6243" s="8">
        <v>39987.315405092595</v>
      </c>
      <c r="M6243" s="9" t="s">
        <v>19</v>
      </c>
      <c r="N6243" s="9" t="s">
        <v>20</v>
      </c>
      <c r="O6243" s="6" t="str">
        <f>HYPERLINK("https://pbs.twimg.com/profile_images/962471262747529216/Uo8lOkRJ_normal.jpg","View")</f>
        <v>View</v>
      </c>
      <c r="P6243" s="7"/>
    </row>
    <row r="6244" spans="1:16">
      <c r="A6244" s="3">
        <v>43983.217476851853</v>
      </c>
      <c r="B6244" s="4" t="str">
        <f>HYPERLINK("https://twitter.com/petrogustavo","@petrogustavo")</f>
        <v>@petrogustavo</v>
      </c>
      <c r="C6244" s="5" t="s">
        <v>16</v>
      </c>
      <c r="D6244" s="5" t="s">
        <v>6069</v>
      </c>
      <c r="E6244" s="6" t="str">
        <f>HYPERLINK("https://twitter.com/petrogustavo/status/1267240234577772545","1267240234577772545")</f>
        <v>1267240234577772545</v>
      </c>
      <c r="F6244" s="7" t="s">
        <v>32</v>
      </c>
      <c r="G6244" s="7">
        <v>3848783</v>
      </c>
      <c r="H6244" s="7">
        <v>2415</v>
      </c>
      <c r="I6244" s="7">
        <v>2419</v>
      </c>
      <c r="J6244" s="7">
        <v>0</v>
      </c>
      <c r="K6244" s="7" t="s">
        <v>18</v>
      </c>
      <c r="L6244" s="8">
        <v>39987.315405092595</v>
      </c>
      <c r="M6244" s="9" t="s">
        <v>19</v>
      </c>
      <c r="N6244" s="9" t="s">
        <v>20</v>
      </c>
      <c r="O6244" s="6" t="str">
        <f>HYPERLINK("https://pbs.twimg.com/profile_images/962471262747529216/Uo8lOkRJ_normal.jpg","View")</f>
        <v>View</v>
      </c>
      <c r="P6244" s="7"/>
    </row>
    <row r="6245" spans="1:16">
      <c r="A6245" s="3">
        <v>43983.224780092598</v>
      </c>
      <c r="B6245" s="4" t="str">
        <f>HYPERLINK("https://twitter.com/petrogustavo","@petrogustavo")</f>
        <v>@petrogustavo</v>
      </c>
      <c r="C6245" s="5" t="s">
        <v>16</v>
      </c>
      <c r="D6245" s="5" t="s">
        <v>6070</v>
      </c>
      <c r="E6245" s="6" t="str">
        <f>HYPERLINK("https://twitter.com/petrogustavo/status/1267242879463886849","1267242879463886849")</f>
        <v>1267242879463886849</v>
      </c>
      <c r="F6245" s="7" t="s">
        <v>32</v>
      </c>
      <c r="G6245" s="7">
        <v>3848783</v>
      </c>
      <c r="H6245" s="7">
        <v>2415</v>
      </c>
      <c r="I6245" s="7">
        <v>15</v>
      </c>
      <c r="J6245" s="7">
        <v>0</v>
      </c>
      <c r="K6245" s="7" t="s">
        <v>18</v>
      </c>
      <c r="L6245" s="8">
        <v>39987.315405092595</v>
      </c>
      <c r="M6245" s="9" t="s">
        <v>19</v>
      </c>
      <c r="N6245" s="9" t="s">
        <v>20</v>
      </c>
      <c r="O6245" s="6" t="str">
        <f>HYPERLINK("https://pbs.twimg.com/profile_images/962471262747529216/Uo8lOkRJ_normal.jpg","View")</f>
        <v>View</v>
      </c>
      <c r="P6245" s="7"/>
    </row>
    <row r="6246" spans="1:16">
      <c r="A6246" s="3">
        <v>43983.228356481486</v>
      </c>
      <c r="B6246" s="4" t="str">
        <f>HYPERLINK("https://twitter.com/petrogustavo","@petrogustavo")</f>
        <v>@petrogustavo</v>
      </c>
      <c r="C6246" s="5" t="s">
        <v>16</v>
      </c>
      <c r="D6246" s="5" t="s">
        <v>6071</v>
      </c>
      <c r="E6246" s="6" t="str">
        <f>HYPERLINK("https://twitter.com/petrogustavo/status/1267244175726202881","1267244175726202881")</f>
        <v>1267244175726202881</v>
      </c>
      <c r="F6246" s="7" t="s">
        <v>32</v>
      </c>
      <c r="G6246" s="7">
        <v>3848783</v>
      </c>
      <c r="H6246" s="7">
        <v>2415</v>
      </c>
      <c r="I6246" s="7">
        <v>33</v>
      </c>
      <c r="J6246" s="7">
        <v>98</v>
      </c>
      <c r="K6246" s="7" t="s">
        <v>18</v>
      </c>
      <c r="L6246" s="8">
        <v>39987.315405092595</v>
      </c>
      <c r="M6246" s="9" t="s">
        <v>19</v>
      </c>
      <c r="N6246" s="9" t="s">
        <v>20</v>
      </c>
      <c r="O6246" s="6" t="str">
        <f>HYPERLINK("https://pbs.twimg.com/profile_images/962471262747529216/Uo8lOkRJ_normal.jpg","View")</f>
        <v>View</v>
      </c>
      <c r="P6246" s="7"/>
    </row>
    <row r="6247" spans="1:16">
      <c r="A6247" s="3">
        <v>43983.230254629627</v>
      </c>
      <c r="B6247" s="4" t="str">
        <f>HYPERLINK("https://twitter.com/petrogustavo","@petrogustavo")</f>
        <v>@petrogustavo</v>
      </c>
      <c r="C6247" s="5" t="s">
        <v>16</v>
      </c>
      <c r="D6247" s="5" t="s">
        <v>6072</v>
      </c>
      <c r="E6247" s="6" t="str">
        <f>HYPERLINK("https://twitter.com/petrogustavo/status/1267244863789174784","1267244863789174784")</f>
        <v>1267244863789174784</v>
      </c>
      <c r="F6247" s="7" t="s">
        <v>32</v>
      </c>
      <c r="G6247" s="7">
        <v>3848783</v>
      </c>
      <c r="H6247" s="7">
        <v>2415</v>
      </c>
      <c r="I6247" s="7">
        <v>160</v>
      </c>
      <c r="J6247" s="7">
        <v>0</v>
      </c>
      <c r="K6247" s="7" t="s">
        <v>18</v>
      </c>
      <c r="L6247" s="8">
        <v>39987.315405092595</v>
      </c>
      <c r="M6247" s="9" t="s">
        <v>19</v>
      </c>
      <c r="N6247" s="9" t="s">
        <v>20</v>
      </c>
      <c r="O6247" s="6" t="str">
        <f>HYPERLINK("https://pbs.twimg.com/profile_images/962471262747529216/Uo8lOkRJ_normal.jpg","View")</f>
        <v>View</v>
      </c>
      <c r="P6247" s="7"/>
    </row>
    <row r="6248" spans="1:16">
      <c r="A6248" s="3">
        <v>43983.230983796297</v>
      </c>
      <c r="B6248" s="4" t="str">
        <f>HYPERLINK("https://twitter.com/petrogustavo","@petrogustavo")</f>
        <v>@petrogustavo</v>
      </c>
      <c r="C6248" s="5" t="s">
        <v>16</v>
      </c>
      <c r="D6248" s="5" t="s">
        <v>6073</v>
      </c>
      <c r="E6248" s="6" t="str">
        <f>HYPERLINK("https://twitter.com/petrogustavo/status/1267245127950532614","1267245127950532614")</f>
        <v>1267245127950532614</v>
      </c>
      <c r="F6248" s="7" t="s">
        <v>32</v>
      </c>
      <c r="G6248" s="7">
        <v>3848783</v>
      </c>
      <c r="H6248" s="7">
        <v>2415</v>
      </c>
      <c r="I6248" s="7">
        <v>13307</v>
      </c>
      <c r="J6248" s="7">
        <v>0</v>
      </c>
      <c r="K6248" s="7" t="s">
        <v>18</v>
      </c>
      <c r="L6248" s="8">
        <v>39987.315405092595</v>
      </c>
      <c r="M6248" s="9" t="s">
        <v>19</v>
      </c>
      <c r="N6248" s="9" t="s">
        <v>20</v>
      </c>
      <c r="O6248" s="6" t="str">
        <f>HYPERLINK("https://pbs.twimg.com/profile_images/962471262747529216/Uo8lOkRJ_normal.jpg","View")</f>
        <v>View</v>
      </c>
      <c r="P6248" s="7"/>
    </row>
    <row r="6249" spans="1:16">
      <c r="A6249" s="3">
        <v>43983.239224537036</v>
      </c>
      <c r="B6249" s="4" t="str">
        <f>HYPERLINK("https://twitter.com/petrogustavo","@petrogustavo")</f>
        <v>@petrogustavo</v>
      </c>
      <c r="C6249" s="5" t="s">
        <v>16</v>
      </c>
      <c r="D6249" s="5" t="s">
        <v>6074</v>
      </c>
      <c r="E6249" s="6" t="str">
        <f>HYPERLINK("https://twitter.com/petrogustavo/status/1267248114672504832","1267248114672504832")</f>
        <v>1267248114672504832</v>
      </c>
      <c r="F6249" s="7" t="s">
        <v>32</v>
      </c>
      <c r="G6249" s="7">
        <v>3848865</v>
      </c>
      <c r="H6249" s="7">
        <v>2414</v>
      </c>
      <c r="I6249" s="7">
        <v>64</v>
      </c>
      <c r="J6249" s="7">
        <v>145</v>
      </c>
      <c r="K6249" s="7" t="s">
        <v>18</v>
      </c>
      <c r="L6249" s="8">
        <v>39987.315405092595</v>
      </c>
      <c r="M6249" s="9" t="s">
        <v>19</v>
      </c>
      <c r="N6249" s="9" t="s">
        <v>20</v>
      </c>
      <c r="O6249" s="6" t="str">
        <f>HYPERLINK("https://pbs.twimg.com/profile_images/962471262747529216/Uo8lOkRJ_normal.jpg","View")</f>
        <v>View</v>
      </c>
      <c r="P6249" s="7"/>
    </row>
    <row r="6250" spans="1:16">
      <c r="A6250" s="3">
        <v>43983.296736111108</v>
      </c>
      <c r="B6250" s="4" t="str">
        <f>HYPERLINK("https://twitter.com/petrogustavo","@petrogustavo")</f>
        <v>@petrogustavo</v>
      </c>
      <c r="C6250" s="5" t="s">
        <v>16</v>
      </c>
      <c r="D6250" s="5" t="s">
        <v>6075</v>
      </c>
      <c r="E6250" s="6" t="str">
        <f>HYPERLINK("https://twitter.com/petrogustavo/status/1267268955007221760","1267268955007221760")</f>
        <v>1267268955007221760</v>
      </c>
      <c r="F6250" s="7" t="s">
        <v>32</v>
      </c>
      <c r="G6250" s="7">
        <v>3849162</v>
      </c>
      <c r="H6250" s="7">
        <v>2414</v>
      </c>
      <c r="I6250" s="7">
        <v>356</v>
      </c>
      <c r="J6250" s="7">
        <v>0</v>
      </c>
      <c r="K6250" s="7" t="s">
        <v>18</v>
      </c>
      <c r="L6250" s="8">
        <v>39987.315405092595</v>
      </c>
      <c r="M6250" s="9" t="s">
        <v>19</v>
      </c>
      <c r="N6250" s="9" t="s">
        <v>20</v>
      </c>
      <c r="O6250" s="6" t="str">
        <f>HYPERLINK("https://pbs.twimg.com/profile_images/962471262747529216/Uo8lOkRJ_normal.jpg","View")</f>
        <v>View</v>
      </c>
      <c r="P6250" s="7"/>
    </row>
    <row r="6251" spans="1:16">
      <c r="A6251" s="3">
        <v>43983.297349537039</v>
      </c>
      <c r="B6251" s="4" t="str">
        <f>HYPERLINK("https://twitter.com/petrogustavo","@petrogustavo")</f>
        <v>@petrogustavo</v>
      </c>
      <c r="C6251" s="5" t="s">
        <v>16</v>
      </c>
      <c r="D6251" s="5" t="s">
        <v>6076</v>
      </c>
      <c r="E6251" s="6" t="str">
        <f>HYPERLINK("https://twitter.com/petrogustavo/status/1267269177703911424","1267269177703911424")</f>
        <v>1267269177703911424</v>
      </c>
      <c r="F6251" s="7" t="s">
        <v>32</v>
      </c>
      <c r="G6251" s="7">
        <v>3849162</v>
      </c>
      <c r="H6251" s="7">
        <v>2414</v>
      </c>
      <c r="I6251" s="7">
        <v>528</v>
      </c>
      <c r="J6251" s="7">
        <v>0</v>
      </c>
      <c r="K6251" s="7" t="s">
        <v>18</v>
      </c>
      <c r="L6251" s="8">
        <v>39987.315405092595</v>
      </c>
      <c r="M6251" s="9" t="s">
        <v>19</v>
      </c>
      <c r="N6251" s="9" t="s">
        <v>20</v>
      </c>
      <c r="O6251" s="6" t="str">
        <f>HYPERLINK("https://pbs.twimg.com/profile_images/962471262747529216/Uo8lOkRJ_normal.jpg","View")</f>
        <v>View</v>
      </c>
      <c r="P6251" s="7"/>
    </row>
    <row r="6252" spans="1:16">
      <c r="A6252" s="3">
        <v>43983.298692129625</v>
      </c>
      <c r="B6252" s="4" t="str">
        <f>HYPERLINK("https://twitter.com/petrogustavo","@petrogustavo")</f>
        <v>@petrogustavo</v>
      </c>
      <c r="C6252" s="5" t="s">
        <v>16</v>
      </c>
      <c r="D6252" s="5" t="s">
        <v>6077</v>
      </c>
      <c r="E6252" s="6" t="str">
        <f>HYPERLINK("https://twitter.com/petrogustavo/status/1267269663022624770","1267269663022624770")</f>
        <v>1267269663022624770</v>
      </c>
      <c r="F6252" s="7" t="s">
        <v>32</v>
      </c>
      <c r="G6252" s="7">
        <v>3849162</v>
      </c>
      <c r="H6252" s="7">
        <v>2414</v>
      </c>
      <c r="I6252" s="7">
        <v>143</v>
      </c>
      <c r="J6252" s="7">
        <v>0</v>
      </c>
      <c r="K6252" s="7" t="s">
        <v>18</v>
      </c>
      <c r="L6252" s="8">
        <v>39987.315405092595</v>
      </c>
      <c r="M6252" s="9" t="s">
        <v>19</v>
      </c>
      <c r="N6252" s="9" t="s">
        <v>20</v>
      </c>
      <c r="O6252" s="6" t="str">
        <f>HYPERLINK("https://pbs.twimg.com/profile_images/962471262747529216/Uo8lOkRJ_normal.jpg","View")</f>
        <v>View</v>
      </c>
      <c r="P6252" s="7"/>
    </row>
    <row r="6253" spans="1:16">
      <c r="A6253" s="3">
        <v>43983.299039351856</v>
      </c>
      <c r="B6253" s="4" t="str">
        <f>HYPERLINK("https://twitter.com/petrogustavo","@petrogustavo")</f>
        <v>@petrogustavo</v>
      </c>
      <c r="C6253" s="5" t="s">
        <v>16</v>
      </c>
      <c r="D6253" s="5" t="s">
        <v>6078</v>
      </c>
      <c r="E6253" s="6" t="str">
        <f>HYPERLINK("https://twitter.com/petrogustavo/status/1267269789023682560","1267269789023682560")</f>
        <v>1267269789023682560</v>
      </c>
      <c r="F6253" s="7" t="s">
        <v>32</v>
      </c>
      <c r="G6253" s="7">
        <v>3849162</v>
      </c>
      <c r="H6253" s="7">
        <v>2414</v>
      </c>
      <c r="I6253" s="7">
        <v>67</v>
      </c>
      <c r="J6253" s="7">
        <v>0</v>
      </c>
      <c r="K6253" s="7" t="s">
        <v>18</v>
      </c>
      <c r="L6253" s="8">
        <v>39987.315405092595</v>
      </c>
      <c r="M6253" s="9" t="s">
        <v>19</v>
      </c>
      <c r="N6253" s="9" t="s">
        <v>20</v>
      </c>
      <c r="O6253" s="6" t="str">
        <f>HYPERLINK("https://pbs.twimg.com/profile_images/962471262747529216/Uo8lOkRJ_normal.jpg","View")</f>
        <v>View</v>
      </c>
      <c r="P6253" s="7"/>
    </row>
    <row r="6254" spans="1:16">
      <c r="A6254" s="3">
        <v>43983.300300925926</v>
      </c>
      <c r="B6254" s="4" t="str">
        <f>HYPERLINK("https://twitter.com/petrogustavo","@petrogustavo")</f>
        <v>@petrogustavo</v>
      </c>
      <c r="C6254" s="5" t="s">
        <v>16</v>
      </c>
      <c r="D6254" s="5" t="s">
        <v>6079</v>
      </c>
      <c r="E6254" s="6" t="str">
        <f>HYPERLINK("https://twitter.com/petrogustavo/status/1267270249994498049","1267270249994498049")</f>
        <v>1267270249994498049</v>
      </c>
      <c r="F6254" s="7" t="s">
        <v>32</v>
      </c>
      <c r="G6254" s="7">
        <v>3849162</v>
      </c>
      <c r="H6254" s="7">
        <v>2414</v>
      </c>
      <c r="I6254" s="7">
        <v>7428</v>
      </c>
      <c r="J6254" s="7">
        <v>0</v>
      </c>
      <c r="K6254" s="7" t="s">
        <v>18</v>
      </c>
      <c r="L6254" s="8">
        <v>39987.315405092595</v>
      </c>
      <c r="M6254" s="9" t="s">
        <v>19</v>
      </c>
      <c r="N6254" s="9" t="s">
        <v>20</v>
      </c>
      <c r="O6254" s="6" t="str">
        <f>HYPERLINK("https://pbs.twimg.com/profile_images/962471262747529216/Uo8lOkRJ_normal.jpg","View")</f>
        <v>View</v>
      </c>
      <c r="P6254" s="7"/>
    </row>
    <row r="6255" spans="1:16">
      <c r="A6255" s="3">
        <v>43983.303229166668</v>
      </c>
      <c r="B6255" s="4" t="str">
        <f>HYPERLINK("https://twitter.com/petrogustavo","@petrogustavo")</f>
        <v>@petrogustavo</v>
      </c>
      <c r="C6255" s="5" t="s">
        <v>16</v>
      </c>
      <c r="D6255" s="5" t="s">
        <v>6080</v>
      </c>
      <c r="E6255" s="6" t="str">
        <f>HYPERLINK("https://twitter.com/petrogustavo/status/1267271309421096964","1267271309421096964")</f>
        <v>1267271309421096964</v>
      </c>
      <c r="F6255" s="7" t="s">
        <v>32</v>
      </c>
      <c r="G6255" s="7">
        <v>3849162</v>
      </c>
      <c r="H6255" s="7">
        <v>2414</v>
      </c>
      <c r="I6255" s="7">
        <v>118</v>
      </c>
      <c r="J6255" s="7">
        <v>0</v>
      </c>
      <c r="K6255" s="7" t="s">
        <v>18</v>
      </c>
      <c r="L6255" s="8">
        <v>39987.315405092595</v>
      </c>
      <c r="M6255" s="9" t="s">
        <v>19</v>
      </c>
      <c r="N6255" s="9" t="s">
        <v>20</v>
      </c>
      <c r="O6255" s="6" t="str">
        <f>HYPERLINK("https://pbs.twimg.com/profile_images/962471262747529216/Uo8lOkRJ_normal.jpg","View")</f>
        <v>View</v>
      </c>
      <c r="P6255" s="7"/>
    </row>
    <row r="6256" spans="1:16">
      <c r="A6256" s="3">
        <v>43983.303807870368</v>
      </c>
      <c r="B6256" s="4" t="str">
        <f>HYPERLINK("https://twitter.com/petrogustavo","@petrogustavo")</f>
        <v>@petrogustavo</v>
      </c>
      <c r="C6256" s="5" t="s">
        <v>16</v>
      </c>
      <c r="D6256" s="5" t="s">
        <v>6081</v>
      </c>
      <c r="E6256" s="6" t="str">
        <f>HYPERLINK("https://twitter.com/petrogustavo/status/1267271520306561024","1267271520306561024")</f>
        <v>1267271520306561024</v>
      </c>
      <c r="F6256" s="7" t="s">
        <v>32</v>
      </c>
      <c r="G6256" s="7">
        <v>3849162</v>
      </c>
      <c r="H6256" s="7">
        <v>2414</v>
      </c>
      <c r="I6256" s="7">
        <v>76</v>
      </c>
      <c r="J6256" s="7">
        <v>0</v>
      </c>
      <c r="K6256" s="7" t="s">
        <v>18</v>
      </c>
      <c r="L6256" s="8">
        <v>39987.315405092595</v>
      </c>
      <c r="M6256" s="9" t="s">
        <v>19</v>
      </c>
      <c r="N6256" s="9" t="s">
        <v>20</v>
      </c>
      <c r="O6256" s="6" t="str">
        <f>HYPERLINK("https://pbs.twimg.com/profile_images/962471262747529216/Uo8lOkRJ_normal.jpg","View")</f>
        <v>View</v>
      </c>
      <c r="P6256" s="7"/>
    </row>
    <row r="6257" spans="1:16">
      <c r="A6257" s="3">
        <v>43983.30505787037</v>
      </c>
      <c r="B6257" s="4" t="str">
        <f>HYPERLINK("https://twitter.com/petrogustavo","@petrogustavo")</f>
        <v>@petrogustavo</v>
      </c>
      <c r="C6257" s="5" t="s">
        <v>16</v>
      </c>
      <c r="D6257" s="5" t="s">
        <v>6082</v>
      </c>
      <c r="E6257" s="6" t="str">
        <f>HYPERLINK("https://twitter.com/petrogustavo/status/1267271973782147073","1267271973782147073")</f>
        <v>1267271973782147073</v>
      </c>
      <c r="F6257" s="7" t="s">
        <v>32</v>
      </c>
      <c r="G6257" s="7">
        <v>3849162</v>
      </c>
      <c r="H6257" s="7">
        <v>2414</v>
      </c>
      <c r="I6257" s="7">
        <v>178</v>
      </c>
      <c r="J6257" s="7">
        <v>0</v>
      </c>
      <c r="K6257" s="7" t="s">
        <v>18</v>
      </c>
      <c r="L6257" s="8">
        <v>39987.315405092595</v>
      </c>
      <c r="M6257" s="9" t="s">
        <v>19</v>
      </c>
      <c r="N6257" s="9" t="s">
        <v>20</v>
      </c>
      <c r="O6257" s="6" t="str">
        <f>HYPERLINK("https://pbs.twimg.com/profile_images/962471262747529216/Uo8lOkRJ_normal.jpg","View")</f>
        <v>View</v>
      </c>
      <c r="P6257" s="7"/>
    </row>
    <row r="6258" spans="1:16">
      <c r="A6258" s="3">
        <v>43983.314444444448</v>
      </c>
      <c r="B6258" s="4" t="str">
        <f>HYPERLINK("https://twitter.com/petrogustavo","@petrogustavo")</f>
        <v>@petrogustavo</v>
      </c>
      <c r="C6258" s="5" t="s">
        <v>16</v>
      </c>
      <c r="D6258" s="5" t="s">
        <v>6083</v>
      </c>
      <c r="E6258" s="6" t="str">
        <f>HYPERLINK("https://twitter.com/petrogustavo/status/1267275371860426753","1267275371860426753")</f>
        <v>1267275371860426753</v>
      </c>
      <c r="F6258" s="7" t="s">
        <v>32</v>
      </c>
      <c r="G6258" s="7">
        <v>3849162</v>
      </c>
      <c r="H6258" s="7">
        <v>2414</v>
      </c>
      <c r="I6258" s="7">
        <v>1</v>
      </c>
      <c r="J6258" s="7">
        <v>3</v>
      </c>
      <c r="K6258" s="7" t="s">
        <v>18</v>
      </c>
      <c r="L6258" s="8">
        <v>39987.315405092595</v>
      </c>
      <c r="M6258" s="9" t="s">
        <v>19</v>
      </c>
      <c r="N6258" s="9" t="s">
        <v>20</v>
      </c>
      <c r="O6258" s="6" t="str">
        <f>HYPERLINK("https://pbs.twimg.com/profile_images/962471262747529216/Uo8lOkRJ_normal.jpg","View")</f>
        <v>View</v>
      </c>
      <c r="P6258" s="7"/>
    </row>
    <row r="6259" spans="1:16">
      <c r="A6259" s="3">
        <v>43983.763587962967</v>
      </c>
      <c r="B6259" s="4" t="str">
        <f>HYPERLINK("https://twitter.com/petrogustavo","@petrogustavo")</f>
        <v>@petrogustavo</v>
      </c>
      <c r="C6259" s="5" t="s">
        <v>16</v>
      </c>
      <c r="D6259" s="5" t="s">
        <v>6084</v>
      </c>
      <c r="E6259" s="6" t="str">
        <f>HYPERLINK("https://twitter.com/petrogustavo/status/1267438139397885952","1267438139397885952")</f>
        <v>1267438139397885952</v>
      </c>
      <c r="F6259" s="7" t="s">
        <v>17</v>
      </c>
      <c r="G6259" s="7">
        <v>3851825</v>
      </c>
      <c r="H6259" s="7">
        <v>2415</v>
      </c>
      <c r="I6259" s="7">
        <v>126</v>
      </c>
      <c r="J6259" s="7">
        <v>462</v>
      </c>
      <c r="K6259" s="7" t="s">
        <v>18</v>
      </c>
      <c r="L6259" s="8">
        <v>39987.315405092595</v>
      </c>
      <c r="M6259" s="9" t="s">
        <v>19</v>
      </c>
      <c r="N6259" s="9" t="s">
        <v>20</v>
      </c>
      <c r="O6259" s="6" t="str">
        <f>HYPERLINK("https://pbs.twimg.com/profile_images/962471262747529216/Uo8lOkRJ_normal.jpg","View")</f>
        <v>View</v>
      </c>
      <c r="P6259" s="7"/>
    </row>
    <row r="6260" spans="1:16">
      <c r="A6260" s="3">
        <v>43983.765902777777</v>
      </c>
      <c r="B6260" s="4" t="str">
        <f>HYPERLINK("https://twitter.com/petrogustavo","@petrogustavo")</f>
        <v>@petrogustavo</v>
      </c>
      <c r="C6260" s="5" t="s">
        <v>16</v>
      </c>
      <c r="D6260" s="5" t="s">
        <v>6085</v>
      </c>
      <c r="E6260" s="6" t="str">
        <f>HYPERLINK("https://twitter.com/petrogustavo/status/1267438974987046918","1267438974987046918")</f>
        <v>1267438974987046918</v>
      </c>
      <c r="F6260" s="7" t="s">
        <v>17</v>
      </c>
      <c r="G6260" s="7">
        <v>3851825</v>
      </c>
      <c r="H6260" s="7">
        <v>2415</v>
      </c>
      <c r="I6260" s="7">
        <v>92</v>
      </c>
      <c r="J6260" s="7">
        <v>287</v>
      </c>
      <c r="K6260" s="7" t="s">
        <v>18</v>
      </c>
      <c r="L6260" s="8">
        <v>39987.315405092595</v>
      </c>
      <c r="M6260" s="9" t="s">
        <v>19</v>
      </c>
      <c r="N6260" s="9" t="s">
        <v>20</v>
      </c>
      <c r="O6260" s="6" t="str">
        <f>HYPERLINK("https://pbs.twimg.com/profile_images/962471262747529216/Uo8lOkRJ_normal.jpg","View")</f>
        <v>View</v>
      </c>
      <c r="P6260" s="7"/>
    </row>
    <row r="6261" spans="1:16">
      <c r="A6261" s="3">
        <v>43983.772997685184</v>
      </c>
      <c r="B6261" s="4" t="str">
        <f>HYPERLINK("https://twitter.com/petrogustavo","@petrogustavo")</f>
        <v>@petrogustavo</v>
      </c>
      <c r="C6261" s="5" t="s">
        <v>16</v>
      </c>
      <c r="D6261" s="5" t="s">
        <v>6086</v>
      </c>
      <c r="E6261" s="6" t="str">
        <f>HYPERLINK("https://twitter.com/petrogustavo/status/1267441547542441985","1267441547542441985")</f>
        <v>1267441547542441985</v>
      </c>
      <c r="F6261" s="7" t="s">
        <v>17</v>
      </c>
      <c r="G6261" s="7">
        <v>3851825</v>
      </c>
      <c r="H6261" s="7">
        <v>2415</v>
      </c>
      <c r="I6261" s="7">
        <v>7658</v>
      </c>
      <c r="J6261" s="7">
        <v>0</v>
      </c>
      <c r="K6261" s="7" t="s">
        <v>18</v>
      </c>
      <c r="L6261" s="8">
        <v>39987.315405092595</v>
      </c>
      <c r="M6261" s="9" t="s">
        <v>19</v>
      </c>
      <c r="N6261" s="9" t="s">
        <v>20</v>
      </c>
      <c r="O6261" s="6" t="str">
        <f>HYPERLINK("https://pbs.twimg.com/profile_images/962471262747529216/Uo8lOkRJ_normal.jpg","View")</f>
        <v>View</v>
      </c>
      <c r="P6261" s="7"/>
    </row>
    <row r="6262" spans="1:16">
      <c r="A6262" s="3">
        <v>43983.776817129634</v>
      </c>
      <c r="B6262" s="4" t="str">
        <f>HYPERLINK("https://twitter.com/petrogustavo","@petrogustavo")</f>
        <v>@petrogustavo</v>
      </c>
      <c r="C6262" s="5" t="s">
        <v>16</v>
      </c>
      <c r="D6262" s="5" t="s">
        <v>6087</v>
      </c>
      <c r="E6262" s="6" t="str">
        <f>HYPERLINK("https://twitter.com/petrogustavo/status/1267442933185294337","1267442933185294337")</f>
        <v>1267442933185294337</v>
      </c>
      <c r="F6262" s="7" t="s">
        <v>17</v>
      </c>
      <c r="G6262" s="7">
        <v>3852063</v>
      </c>
      <c r="H6262" s="7">
        <v>2415</v>
      </c>
      <c r="I6262" s="7">
        <v>324</v>
      </c>
      <c r="J6262" s="7">
        <v>1149</v>
      </c>
      <c r="K6262" s="7" t="s">
        <v>18</v>
      </c>
      <c r="L6262" s="8">
        <v>39987.315405092595</v>
      </c>
      <c r="M6262" s="9" t="s">
        <v>19</v>
      </c>
      <c r="N6262" s="9" t="s">
        <v>20</v>
      </c>
      <c r="O6262" s="6" t="str">
        <f>HYPERLINK("https://pbs.twimg.com/profile_images/962471262747529216/Uo8lOkRJ_normal.jpg","View")</f>
        <v>View</v>
      </c>
      <c r="P6262" s="7"/>
    </row>
    <row r="6263" spans="1:16">
      <c r="A6263" s="3">
        <v>43983.777268518519</v>
      </c>
      <c r="B6263" s="4" t="str">
        <f>HYPERLINK("https://twitter.com/petrogustavo","@petrogustavo")</f>
        <v>@petrogustavo</v>
      </c>
      <c r="C6263" s="5" t="s">
        <v>16</v>
      </c>
      <c r="D6263" s="5" t="s">
        <v>6088</v>
      </c>
      <c r="E6263" s="6" t="str">
        <f>HYPERLINK("https://twitter.com/petrogustavo/status/1267443095114661894","1267443095114661894")</f>
        <v>1267443095114661894</v>
      </c>
      <c r="F6263" s="7" t="s">
        <v>17</v>
      </c>
      <c r="G6263" s="7">
        <v>3852063</v>
      </c>
      <c r="H6263" s="7">
        <v>2415</v>
      </c>
      <c r="I6263" s="7">
        <v>139</v>
      </c>
      <c r="J6263" s="7">
        <v>0</v>
      </c>
      <c r="K6263" s="7" t="s">
        <v>18</v>
      </c>
      <c r="L6263" s="8">
        <v>39987.315405092595</v>
      </c>
      <c r="M6263" s="9" t="s">
        <v>19</v>
      </c>
      <c r="N6263" s="9" t="s">
        <v>20</v>
      </c>
      <c r="O6263" s="6" t="str">
        <f>HYPERLINK("https://pbs.twimg.com/profile_images/962471262747529216/Uo8lOkRJ_normal.jpg","View")</f>
        <v>View</v>
      </c>
      <c r="P6263" s="7"/>
    </row>
    <row r="6264" spans="1:16">
      <c r="A6264" s="3">
        <v>43983.778668981482</v>
      </c>
      <c r="B6264" s="4" t="str">
        <f>HYPERLINK("https://twitter.com/petrogustavo","@petrogustavo")</f>
        <v>@petrogustavo</v>
      </c>
      <c r="C6264" s="5" t="s">
        <v>16</v>
      </c>
      <c r="D6264" s="5" t="s">
        <v>6089</v>
      </c>
      <c r="E6264" s="6" t="str">
        <f>HYPERLINK("https://twitter.com/petrogustavo/status/1267443603997147136","1267443603997147136")</f>
        <v>1267443603997147136</v>
      </c>
      <c r="F6264" s="7" t="s">
        <v>17</v>
      </c>
      <c r="G6264" s="7">
        <v>3852063</v>
      </c>
      <c r="H6264" s="7">
        <v>2415</v>
      </c>
      <c r="I6264" s="7">
        <v>53</v>
      </c>
      <c r="J6264" s="7">
        <v>138</v>
      </c>
      <c r="K6264" s="7" t="s">
        <v>18</v>
      </c>
      <c r="L6264" s="8">
        <v>39987.315405092595</v>
      </c>
      <c r="M6264" s="9" t="s">
        <v>19</v>
      </c>
      <c r="N6264" s="9" t="s">
        <v>20</v>
      </c>
      <c r="O6264" s="6" t="str">
        <f>HYPERLINK("https://pbs.twimg.com/profile_images/962471262747529216/Uo8lOkRJ_normal.jpg","View")</f>
        <v>View</v>
      </c>
      <c r="P6264" s="7"/>
    </row>
    <row r="6265" spans="1:16">
      <c r="A6265" s="3">
        <v>43983.779965277776</v>
      </c>
      <c r="B6265" s="4" t="str">
        <f>HYPERLINK("https://twitter.com/petrogustavo","@petrogustavo")</f>
        <v>@petrogustavo</v>
      </c>
      <c r="C6265" s="5" t="s">
        <v>16</v>
      </c>
      <c r="D6265" s="5" t="s">
        <v>6090</v>
      </c>
      <c r="E6265" s="6" t="str">
        <f>HYPERLINK("https://twitter.com/petrogustavo/status/1267444073092337667","1267444073092337667")</f>
        <v>1267444073092337667</v>
      </c>
      <c r="F6265" s="7" t="s">
        <v>17</v>
      </c>
      <c r="G6265" s="7">
        <v>3852063</v>
      </c>
      <c r="H6265" s="7">
        <v>2415</v>
      </c>
      <c r="I6265" s="7">
        <v>205</v>
      </c>
      <c r="J6265" s="7">
        <v>609</v>
      </c>
      <c r="K6265" s="7" t="s">
        <v>18</v>
      </c>
      <c r="L6265" s="8">
        <v>39987.315405092595</v>
      </c>
      <c r="M6265" s="9" t="s">
        <v>19</v>
      </c>
      <c r="N6265" s="9" t="s">
        <v>20</v>
      </c>
      <c r="O6265" s="6" t="str">
        <f>HYPERLINK("https://pbs.twimg.com/profile_images/962471262747529216/Uo8lOkRJ_normal.jpg","View")</f>
        <v>View</v>
      </c>
      <c r="P6265" s="7"/>
    </row>
    <row r="6266" spans="1:16">
      <c r="A6266" s="3">
        <v>43983.782500000001</v>
      </c>
      <c r="B6266" s="4" t="str">
        <f>HYPERLINK("https://twitter.com/petrogustavo","@petrogustavo")</f>
        <v>@petrogustavo</v>
      </c>
      <c r="C6266" s="5" t="s">
        <v>16</v>
      </c>
      <c r="D6266" s="5" t="s">
        <v>6091</v>
      </c>
      <c r="E6266" s="6" t="str">
        <f>HYPERLINK("https://twitter.com/petrogustavo/status/1267444992341147653","1267444992341147653")</f>
        <v>1267444992341147653</v>
      </c>
      <c r="F6266" s="7" t="s">
        <v>17</v>
      </c>
      <c r="G6266" s="7">
        <v>3852063</v>
      </c>
      <c r="H6266" s="7">
        <v>2415</v>
      </c>
      <c r="I6266" s="7">
        <v>95</v>
      </c>
      <c r="J6266" s="7">
        <v>297</v>
      </c>
      <c r="K6266" s="7" t="s">
        <v>18</v>
      </c>
      <c r="L6266" s="8">
        <v>39987.315405092595</v>
      </c>
      <c r="M6266" s="9" t="s">
        <v>19</v>
      </c>
      <c r="N6266" s="9" t="s">
        <v>20</v>
      </c>
      <c r="O6266" s="6" t="str">
        <f>HYPERLINK("https://pbs.twimg.com/profile_images/962471262747529216/Uo8lOkRJ_normal.jpg","View")</f>
        <v>View</v>
      </c>
      <c r="P6266" s="7"/>
    </row>
    <row r="6267" spans="1:16">
      <c r="A6267" s="3">
        <v>43983.789259259254</v>
      </c>
      <c r="B6267" s="4" t="str">
        <f>HYPERLINK("https://twitter.com/petrogustavo","@petrogustavo")</f>
        <v>@petrogustavo</v>
      </c>
      <c r="C6267" s="5" t="s">
        <v>16</v>
      </c>
      <c r="D6267" s="5" t="s">
        <v>6092</v>
      </c>
      <c r="E6267" s="6" t="str">
        <f>HYPERLINK("https://twitter.com/petrogustavo/status/1267447441932062721","1267447441932062721")</f>
        <v>1267447441932062721</v>
      </c>
      <c r="F6267" s="7" t="s">
        <v>17</v>
      </c>
      <c r="G6267" s="7">
        <v>3852063</v>
      </c>
      <c r="H6267" s="7">
        <v>2415</v>
      </c>
      <c r="I6267" s="7">
        <v>43</v>
      </c>
      <c r="J6267" s="7">
        <v>125</v>
      </c>
      <c r="K6267" s="7" t="s">
        <v>18</v>
      </c>
      <c r="L6267" s="8">
        <v>39987.315405092595</v>
      </c>
      <c r="M6267" s="9" t="s">
        <v>19</v>
      </c>
      <c r="N6267" s="9" t="s">
        <v>20</v>
      </c>
      <c r="O6267" s="6" t="str">
        <f>HYPERLINK("https://pbs.twimg.com/profile_images/962471262747529216/Uo8lOkRJ_normal.jpg","View")</f>
        <v>View</v>
      </c>
      <c r="P6267" s="7"/>
    </row>
    <row r="6268" spans="1:16">
      <c r="A6268" s="3">
        <v>43983.790937500002</v>
      </c>
      <c r="B6268" s="4" t="str">
        <f>HYPERLINK("https://twitter.com/petrogustavo","@petrogustavo")</f>
        <v>@petrogustavo</v>
      </c>
      <c r="C6268" s="5" t="s">
        <v>16</v>
      </c>
      <c r="D6268" s="5" t="s">
        <v>6093</v>
      </c>
      <c r="E6268" s="6" t="str">
        <f>HYPERLINK("https://twitter.com/petrogustavo/status/1267448049539977218","1267448049539977218")</f>
        <v>1267448049539977218</v>
      </c>
      <c r="F6268" s="7" t="s">
        <v>17</v>
      </c>
      <c r="G6268" s="7">
        <v>3852063</v>
      </c>
      <c r="H6268" s="7">
        <v>2415</v>
      </c>
      <c r="I6268" s="7">
        <v>35</v>
      </c>
      <c r="J6268" s="7">
        <v>115</v>
      </c>
      <c r="K6268" s="7" t="s">
        <v>18</v>
      </c>
      <c r="L6268" s="8">
        <v>39987.315405092595</v>
      </c>
      <c r="M6268" s="9" t="s">
        <v>19</v>
      </c>
      <c r="N6268" s="9" t="s">
        <v>20</v>
      </c>
      <c r="O6268" s="6" t="str">
        <f>HYPERLINK("https://pbs.twimg.com/profile_images/962471262747529216/Uo8lOkRJ_normal.jpg","View")</f>
        <v>View</v>
      </c>
      <c r="P6268" s="7"/>
    </row>
    <row r="6269" spans="1:16">
      <c r="A6269" s="3">
        <v>43983.79277777778</v>
      </c>
      <c r="B6269" s="4" t="str">
        <f>HYPERLINK("https://twitter.com/petrogustavo","@petrogustavo")</f>
        <v>@petrogustavo</v>
      </c>
      <c r="C6269" s="5" t="s">
        <v>16</v>
      </c>
      <c r="D6269" s="5" t="s">
        <v>6094</v>
      </c>
      <c r="E6269" s="6" t="str">
        <f>HYPERLINK("https://twitter.com/petrogustavo/status/1267448715930935298","1267448715930935298")</f>
        <v>1267448715930935298</v>
      </c>
      <c r="F6269" s="7" t="s">
        <v>17</v>
      </c>
      <c r="G6269" s="7">
        <v>3852063</v>
      </c>
      <c r="H6269" s="7">
        <v>2415</v>
      </c>
      <c r="I6269" s="7">
        <v>14</v>
      </c>
      <c r="J6269" s="7">
        <v>56</v>
      </c>
      <c r="K6269" s="7" t="s">
        <v>18</v>
      </c>
      <c r="L6269" s="8">
        <v>39987.315405092595</v>
      </c>
      <c r="M6269" s="9" t="s">
        <v>19</v>
      </c>
      <c r="N6269" s="9" t="s">
        <v>20</v>
      </c>
      <c r="O6269" s="6" t="str">
        <f>HYPERLINK("https://pbs.twimg.com/profile_images/962471262747529216/Uo8lOkRJ_normal.jpg","View")</f>
        <v>View</v>
      </c>
      <c r="P6269" s="7"/>
    </row>
    <row r="6270" spans="1:16">
      <c r="A6270" s="3">
        <v>43983.797175925924</v>
      </c>
      <c r="B6270" s="4" t="str">
        <f>HYPERLINK("https://twitter.com/petrogustavo","@petrogustavo")</f>
        <v>@petrogustavo</v>
      </c>
      <c r="C6270" s="5" t="s">
        <v>16</v>
      </c>
      <c r="D6270" s="5" t="s">
        <v>6095</v>
      </c>
      <c r="E6270" s="6" t="str">
        <f>HYPERLINK("https://twitter.com/petrogustavo/status/1267450307505729536","1267450307505729536")</f>
        <v>1267450307505729536</v>
      </c>
      <c r="F6270" s="7" t="s">
        <v>17</v>
      </c>
      <c r="G6270" s="7">
        <v>3852310</v>
      </c>
      <c r="H6270" s="7">
        <v>2415</v>
      </c>
      <c r="I6270" s="7">
        <v>137</v>
      </c>
      <c r="J6270" s="7">
        <v>461</v>
      </c>
      <c r="K6270" s="7" t="s">
        <v>18</v>
      </c>
      <c r="L6270" s="8">
        <v>39987.315405092595</v>
      </c>
      <c r="M6270" s="9" t="s">
        <v>19</v>
      </c>
      <c r="N6270" s="9" t="s">
        <v>20</v>
      </c>
      <c r="O6270" s="6" t="str">
        <f>HYPERLINK("https://pbs.twimg.com/profile_images/962471262747529216/Uo8lOkRJ_normal.jpg","View")</f>
        <v>View</v>
      </c>
      <c r="P6270" s="7"/>
    </row>
    <row r="6271" spans="1:16">
      <c r="A6271" s="3">
        <v>43983.798437500001</v>
      </c>
      <c r="B6271" s="4" t="str">
        <f>HYPERLINK("https://twitter.com/petrogustavo","@petrogustavo")</f>
        <v>@petrogustavo</v>
      </c>
      <c r="C6271" s="5" t="s">
        <v>16</v>
      </c>
      <c r="D6271" s="5" t="s">
        <v>6096</v>
      </c>
      <c r="E6271" s="6" t="str">
        <f>HYPERLINK("https://twitter.com/petrogustavo/status/1267450768120037377","1267450768120037377")</f>
        <v>1267450768120037377</v>
      </c>
      <c r="F6271" s="7" t="s">
        <v>17</v>
      </c>
      <c r="G6271" s="7">
        <v>3852310</v>
      </c>
      <c r="H6271" s="7">
        <v>2415</v>
      </c>
      <c r="I6271" s="7">
        <v>74</v>
      </c>
      <c r="J6271" s="7">
        <v>305</v>
      </c>
      <c r="K6271" s="7" t="s">
        <v>18</v>
      </c>
      <c r="L6271" s="8">
        <v>39987.315405092595</v>
      </c>
      <c r="M6271" s="9" t="s">
        <v>19</v>
      </c>
      <c r="N6271" s="9" t="s">
        <v>20</v>
      </c>
      <c r="O6271" s="6" t="str">
        <f>HYPERLINK("https://pbs.twimg.com/profile_images/962471262747529216/Uo8lOkRJ_normal.jpg","View")</f>
        <v>View</v>
      </c>
      <c r="P6271" s="7"/>
    </row>
    <row r="6272" spans="1:16">
      <c r="A6272" s="3">
        <v>43983.80164351852</v>
      </c>
      <c r="B6272" s="4" t="str">
        <f>HYPERLINK("https://twitter.com/petrogustavo","@petrogustavo")</f>
        <v>@petrogustavo</v>
      </c>
      <c r="C6272" s="5" t="s">
        <v>16</v>
      </c>
      <c r="D6272" s="5" t="s">
        <v>6097</v>
      </c>
      <c r="E6272" s="6" t="str">
        <f>HYPERLINK("https://twitter.com/petrogustavo/status/1267451926632939521","1267451926632939521")</f>
        <v>1267451926632939521</v>
      </c>
      <c r="F6272" s="7" t="s">
        <v>17</v>
      </c>
      <c r="G6272" s="7">
        <v>3852310</v>
      </c>
      <c r="H6272" s="7">
        <v>2415</v>
      </c>
      <c r="I6272" s="7">
        <v>16</v>
      </c>
      <c r="J6272" s="7">
        <v>0</v>
      </c>
      <c r="K6272" s="7" t="s">
        <v>18</v>
      </c>
      <c r="L6272" s="8">
        <v>39987.315405092595</v>
      </c>
      <c r="M6272" s="9" t="s">
        <v>19</v>
      </c>
      <c r="N6272" s="9" t="s">
        <v>20</v>
      </c>
      <c r="O6272" s="6" t="str">
        <f>HYPERLINK("https://pbs.twimg.com/profile_images/962471262747529216/Uo8lOkRJ_normal.jpg","View")</f>
        <v>View</v>
      </c>
      <c r="P6272" s="7"/>
    </row>
    <row r="6273" spans="1:16">
      <c r="A6273" s="3">
        <v>43983.805127314816</v>
      </c>
      <c r="B6273" s="4" t="str">
        <f>HYPERLINK("https://twitter.com/petrogustavo","@petrogustavo")</f>
        <v>@petrogustavo</v>
      </c>
      <c r="C6273" s="5" t="s">
        <v>16</v>
      </c>
      <c r="D6273" s="5" t="s">
        <v>6098</v>
      </c>
      <c r="E6273" s="6" t="str">
        <f>HYPERLINK("https://twitter.com/petrogustavo/status/1267453188900339713","1267453188900339713")</f>
        <v>1267453188900339713</v>
      </c>
      <c r="F6273" s="7" t="s">
        <v>17</v>
      </c>
      <c r="G6273" s="7">
        <v>3852310</v>
      </c>
      <c r="H6273" s="7">
        <v>2415</v>
      </c>
      <c r="I6273" s="7">
        <v>101</v>
      </c>
      <c r="J6273" s="7">
        <v>215</v>
      </c>
      <c r="K6273" s="7" t="s">
        <v>18</v>
      </c>
      <c r="L6273" s="8">
        <v>39987.315405092595</v>
      </c>
      <c r="M6273" s="9" t="s">
        <v>19</v>
      </c>
      <c r="N6273" s="9" t="s">
        <v>20</v>
      </c>
      <c r="O6273" s="6" t="str">
        <f>HYPERLINK("https://pbs.twimg.com/profile_images/962471262747529216/Uo8lOkRJ_normal.jpg","View")</f>
        <v>View</v>
      </c>
      <c r="P6273" s="7"/>
    </row>
    <row r="6274" spans="1:16">
      <c r="A6274" s="3">
        <v>43983.808807870373</v>
      </c>
      <c r="B6274" s="4" t="str">
        <f>HYPERLINK("https://twitter.com/petrogustavo","@petrogustavo")</f>
        <v>@petrogustavo</v>
      </c>
      <c r="C6274" s="5" t="s">
        <v>16</v>
      </c>
      <c r="D6274" s="5" t="s">
        <v>6099</v>
      </c>
      <c r="E6274" s="6" t="str">
        <f>HYPERLINK("https://twitter.com/petrogustavo/status/1267454522772856837","1267454522772856837")</f>
        <v>1267454522772856837</v>
      </c>
      <c r="F6274" s="7" t="s">
        <v>17</v>
      </c>
      <c r="G6274" s="7">
        <v>3852310</v>
      </c>
      <c r="H6274" s="7">
        <v>2415</v>
      </c>
      <c r="I6274" s="7">
        <v>288</v>
      </c>
      <c r="J6274" s="7">
        <v>0</v>
      </c>
      <c r="K6274" s="7" t="s">
        <v>18</v>
      </c>
      <c r="L6274" s="8">
        <v>39987.315405092595</v>
      </c>
      <c r="M6274" s="9" t="s">
        <v>19</v>
      </c>
      <c r="N6274" s="9" t="s">
        <v>20</v>
      </c>
      <c r="O6274" s="6" t="str">
        <f>HYPERLINK("https://pbs.twimg.com/profile_images/962471262747529216/Uo8lOkRJ_normal.jpg","View")</f>
        <v>View</v>
      </c>
      <c r="P6274" s="7"/>
    </row>
    <row r="6275" spans="1:16">
      <c r="A6275" s="3">
        <v>43983.808946759258</v>
      </c>
      <c r="B6275" s="4" t="str">
        <f>HYPERLINK("https://twitter.com/petrogustavo","@petrogustavo")</f>
        <v>@petrogustavo</v>
      </c>
      <c r="C6275" s="5" t="s">
        <v>16</v>
      </c>
      <c r="D6275" s="5" t="s">
        <v>6100</v>
      </c>
      <c r="E6275" s="6" t="str">
        <f>HYPERLINK("https://twitter.com/petrogustavo/status/1267454573607817218","1267454573607817218")</f>
        <v>1267454573607817218</v>
      </c>
      <c r="F6275" s="7" t="s">
        <v>17</v>
      </c>
      <c r="G6275" s="7">
        <v>3852310</v>
      </c>
      <c r="H6275" s="7">
        <v>2415</v>
      </c>
      <c r="I6275" s="7">
        <v>378</v>
      </c>
      <c r="J6275" s="7">
        <v>0</v>
      </c>
      <c r="K6275" s="7" t="s">
        <v>18</v>
      </c>
      <c r="L6275" s="8">
        <v>39987.315405092595</v>
      </c>
      <c r="M6275" s="9" t="s">
        <v>19</v>
      </c>
      <c r="N6275" s="9" t="s">
        <v>20</v>
      </c>
      <c r="O6275" s="6" t="str">
        <f>HYPERLINK("https://pbs.twimg.com/profile_images/962471262747529216/Uo8lOkRJ_normal.jpg","View")</f>
        <v>View</v>
      </c>
      <c r="P6275" s="7"/>
    </row>
    <row r="6276" spans="1:16">
      <c r="A6276" s="3">
        <v>43983.809108796297</v>
      </c>
      <c r="B6276" s="4" t="str">
        <f>HYPERLINK("https://twitter.com/petrogustavo","@petrogustavo")</f>
        <v>@petrogustavo</v>
      </c>
      <c r="C6276" s="5" t="s">
        <v>16</v>
      </c>
      <c r="D6276" s="5" t="s">
        <v>6101</v>
      </c>
      <c r="E6276" s="6" t="str">
        <f>HYPERLINK("https://twitter.com/petrogustavo/status/1267454633510875136","1267454633510875136")</f>
        <v>1267454633510875136</v>
      </c>
      <c r="F6276" s="7" t="s">
        <v>17</v>
      </c>
      <c r="G6276" s="7">
        <v>3852310</v>
      </c>
      <c r="H6276" s="7">
        <v>2415</v>
      </c>
      <c r="I6276" s="7">
        <v>297</v>
      </c>
      <c r="J6276" s="7">
        <v>0</v>
      </c>
      <c r="K6276" s="7" t="s">
        <v>18</v>
      </c>
      <c r="L6276" s="8">
        <v>39987.315405092595</v>
      </c>
      <c r="M6276" s="9" t="s">
        <v>19</v>
      </c>
      <c r="N6276" s="9" t="s">
        <v>20</v>
      </c>
      <c r="O6276" s="6" t="str">
        <f>HYPERLINK("https://pbs.twimg.com/profile_images/962471262747529216/Uo8lOkRJ_normal.jpg","View")</f>
        <v>View</v>
      </c>
      <c r="P6276" s="7"/>
    </row>
    <row r="6277" spans="1:16">
      <c r="A6277" s="3">
        <v>43983.815011574072</v>
      </c>
      <c r="B6277" s="4" t="str">
        <f>HYPERLINK("https://twitter.com/petrogustavo","@petrogustavo")</f>
        <v>@petrogustavo</v>
      </c>
      <c r="C6277" s="5" t="s">
        <v>16</v>
      </c>
      <c r="D6277" s="5" t="s">
        <v>6102</v>
      </c>
      <c r="E6277" s="6" t="str">
        <f>HYPERLINK("https://twitter.com/petrogustavo/status/1267456773826523136","1267456773826523136")</f>
        <v>1267456773826523136</v>
      </c>
      <c r="F6277" s="7" t="s">
        <v>17</v>
      </c>
      <c r="G6277" s="7">
        <v>3853081</v>
      </c>
      <c r="H6277" s="7">
        <v>2415</v>
      </c>
      <c r="I6277" s="7">
        <v>80</v>
      </c>
      <c r="J6277" s="7">
        <v>258</v>
      </c>
      <c r="K6277" s="7" t="s">
        <v>18</v>
      </c>
      <c r="L6277" s="8">
        <v>39987.315405092595</v>
      </c>
      <c r="M6277" s="9" t="s">
        <v>19</v>
      </c>
      <c r="N6277" s="9" t="s">
        <v>20</v>
      </c>
      <c r="O6277" s="6" t="str">
        <f>HYPERLINK("https://pbs.twimg.com/profile_images/962471262747529216/Uo8lOkRJ_normal.jpg","View")</f>
        <v>View</v>
      </c>
      <c r="P6277" s="7"/>
    </row>
    <row r="6278" spans="1:16">
      <c r="A6278" s="3">
        <v>43983.820752314816</v>
      </c>
      <c r="B6278" s="4" t="str">
        <f>HYPERLINK("https://twitter.com/petrogustavo","@petrogustavo")</f>
        <v>@petrogustavo</v>
      </c>
      <c r="C6278" s="5" t="s">
        <v>16</v>
      </c>
      <c r="D6278" s="5" t="s">
        <v>6103</v>
      </c>
      <c r="E6278" s="6" t="str">
        <f>HYPERLINK("https://twitter.com/petrogustavo/status/1267458854201315329","1267458854201315329")</f>
        <v>1267458854201315329</v>
      </c>
      <c r="F6278" s="7" t="s">
        <v>17</v>
      </c>
      <c r="G6278" s="7">
        <v>3853081</v>
      </c>
      <c r="H6278" s="7">
        <v>2415</v>
      </c>
      <c r="I6278" s="7">
        <v>115</v>
      </c>
      <c r="J6278" s="7">
        <v>326</v>
      </c>
      <c r="K6278" s="7" t="s">
        <v>18</v>
      </c>
      <c r="L6278" s="8">
        <v>39987.315405092595</v>
      </c>
      <c r="M6278" s="9" t="s">
        <v>19</v>
      </c>
      <c r="N6278" s="9" t="s">
        <v>20</v>
      </c>
      <c r="O6278" s="6" t="str">
        <f>HYPERLINK("https://pbs.twimg.com/profile_images/962471262747529216/Uo8lOkRJ_normal.jpg","View")</f>
        <v>View</v>
      </c>
      <c r="P6278" s="7"/>
    </row>
    <row r="6279" spans="1:16">
      <c r="A6279" s="3">
        <v>43983.829247685186</v>
      </c>
      <c r="B6279" s="4" t="str">
        <f>HYPERLINK("https://twitter.com/petrogustavo","@petrogustavo")</f>
        <v>@petrogustavo</v>
      </c>
      <c r="C6279" s="5" t="s">
        <v>16</v>
      </c>
      <c r="D6279" s="5" t="s">
        <v>6104</v>
      </c>
      <c r="E6279" s="6" t="str">
        <f>HYPERLINK("https://twitter.com/petrogustavo/status/1267461933143412740","1267461933143412740")</f>
        <v>1267461933143412740</v>
      </c>
      <c r="F6279" s="7" t="s">
        <v>17</v>
      </c>
      <c r="G6279" s="7">
        <v>3853081</v>
      </c>
      <c r="H6279" s="7">
        <v>2415</v>
      </c>
      <c r="I6279" s="7">
        <v>186</v>
      </c>
      <c r="J6279" s="7">
        <v>486</v>
      </c>
      <c r="K6279" s="7" t="s">
        <v>18</v>
      </c>
      <c r="L6279" s="8">
        <v>39987.315405092595</v>
      </c>
      <c r="M6279" s="9" t="s">
        <v>19</v>
      </c>
      <c r="N6279" s="9" t="s">
        <v>20</v>
      </c>
      <c r="O6279" s="6" t="str">
        <f>HYPERLINK("https://pbs.twimg.com/profile_images/962471262747529216/Uo8lOkRJ_normal.jpg","View")</f>
        <v>View</v>
      </c>
      <c r="P6279" s="7"/>
    </row>
    <row r="6280" spans="1:16">
      <c r="A6280" s="3">
        <v>43983.833414351851</v>
      </c>
      <c r="B6280" s="4" t="str">
        <f>HYPERLINK("https://twitter.com/petrogustavo","@petrogustavo")</f>
        <v>@petrogustavo</v>
      </c>
      <c r="C6280" s="5" t="s">
        <v>16</v>
      </c>
      <c r="D6280" s="5" t="s">
        <v>6105</v>
      </c>
      <c r="E6280" s="6" t="str">
        <f>HYPERLINK("https://twitter.com/petrogustavo/status/1267463442434326530","1267463442434326530")</f>
        <v>1267463442434326530</v>
      </c>
      <c r="F6280" s="7" t="s">
        <v>17</v>
      </c>
      <c r="G6280" s="7">
        <v>3853081</v>
      </c>
      <c r="H6280" s="7">
        <v>2415</v>
      </c>
      <c r="I6280" s="7">
        <v>104</v>
      </c>
      <c r="J6280" s="7">
        <v>0</v>
      </c>
      <c r="K6280" s="7" t="s">
        <v>18</v>
      </c>
      <c r="L6280" s="8">
        <v>39987.315405092595</v>
      </c>
      <c r="M6280" s="9" t="s">
        <v>19</v>
      </c>
      <c r="N6280" s="9" t="s">
        <v>20</v>
      </c>
      <c r="O6280" s="6" t="str">
        <f>HYPERLINK("https://pbs.twimg.com/profile_images/962471262747529216/Uo8lOkRJ_normal.jpg","View")</f>
        <v>View</v>
      </c>
      <c r="P6280" s="7"/>
    </row>
    <row r="6281" spans="1:16">
      <c r="A6281" s="3">
        <v>43983.83458333333</v>
      </c>
      <c r="B6281" s="4" t="str">
        <f>HYPERLINK("https://twitter.com/petrogustavo","@petrogustavo")</f>
        <v>@petrogustavo</v>
      </c>
      <c r="C6281" s="5" t="s">
        <v>16</v>
      </c>
      <c r="D6281" s="5" t="s">
        <v>6106</v>
      </c>
      <c r="E6281" s="6" t="str">
        <f>HYPERLINK("https://twitter.com/petrogustavo/status/1267463867032092672","1267463867032092672")</f>
        <v>1267463867032092672</v>
      </c>
      <c r="F6281" s="7" t="s">
        <v>17</v>
      </c>
      <c r="G6281" s="7">
        <v>3853081</v>
      </c>
      <c r="H6281" s="7">
        <v>2415</v>
      </c>
      <c r="I6281" s="7">
        <v>19</v>
      </c>
      <c r="J6281" s="7">
        <v>0</v>
      </c>
      <c r="K6281" s="7" t="s">
        <v>18</v>
      </c>
      <c r="L6281" s="8">
        <v>39987.315405092595</v>
      </c>
      <c r="M6281" s="9" t="s">
        <v>19</v>
      </c>
      <c r="N6281" s="9" t="s">
        <v>20</v>
      </c>
      <c r="O6281" s="6" t="str">
        <f>HYPERLINK("https://pbs.twimg.com/profile_images/962471262747529216/Uo8lOkRJ_normal.jpg","View")</f>
        <v>View</v>
      </c>
      <c r="P6281" s="7"/>
    </row>
    <row r="6282" spans="1:16">
      <c r="A6282" s="3">
        <v>43983.835520833338</v>
      </c>
      <c r="B6282" s="4" t="str">
        <f>HYPERLINK("https://twitter.com/petrogustavo","@petrogustavo")</f>
        <v>@petrogustavo</v>
      </c>
      <c r="C6282" s="5" t="s">
        <v>16</v>
      </c>
      <c r="D6282" s="5" t="s">
        <v>6101</v>
      </c>
      <c r="E6282" s="6" t="str">
        <f>HYPERLINK("https://twitter.com/petrogustavo/status/1267464203243270146","1267464203243270146")</f>
        <v>1267464203243270146</v>
      </c>
      <c r="F6282" s="7" t="s">
        <v>17</v>
      </c>
      <c r="G6282" s="7">
        <v>3853081</v>
      </c>
      <c r="H6282" s="7">
        <v>2415</v>
      </c>
      <c r="I6282" s="7">
        <v>417</v>
      </c>
      <c r="J6282" s="7">
        <v>0</v>
      </c>
      <c r="K6282" s="7" t="s">
        <v>18</v>
      </c>
      <c r="L6282" s="8">
        <v>39987.315405092595</v>
      </c>
      <c r="M6282" s="9" t="s">
        <v>19</v>
      </c>
      <c r="N6282" s="9" t="s">
        <v>20</v>
      </c>
      <c r="O6282" s="6" t="str">
        <f>HYPERLINK("https://pbs.twimg.com/profile_images/962471262747529216/Uo8lOkRJ_normal.jpg","View")</f>
        <v>View</v>
      </c>
      <c r="P6282" s="7"/>
    </row>
    <row r="6283" spans="1:16">
      <c r="A6283" s="3">
        <v>43983.838368055556</v>
      </c>
      <c r="B6283" s="4" t="str">
        <f>HYPERLINK("https://twitter.com/petrogustavo","@petrogustavo")</f>
        <v>@petrogustavo</v>
      </c>
      <c r="C6283" s="5" t="s">
        <v>16</v>
      </c>
      <c r="D6283" s="5" t="s">
        <v>6107</v>
      </c>
      <c r="E6283" s="6" t="str">
        <f>HYPERLINK("https://twitter.com/petrogustavo/status/1267465238309474305","1267465238309474305")</f>
        <v>1267465238309474305</v>
      </c>
      <c r="F6283" s="7" t="s">
        <v>17</v>
      </c>
      <c r="G6283" s="7">
        <v>3853081</v>
      </c>
      <c r="H6283" s="7">
        <v>2415</v>
      </c>
      <c r="I6283" s="7">
        <v>1008</v>
      </c>
      <c r="J6283" s="7">
        <v>0</v>
      </c>
      <c r="K6283" s="7" t="s">
        <v>18</v>
      </c>
      <c r="L6283" s="8">
        <v>39987.315405092595</v>
      </c>
      <c r="M6283" s="9" t="s">
        <v>19</v>
      </c>
      <c r="N6283" s="9" t="s">
        <v>20</v>
      </c>
      <c r="O6283" s="6" t="str">
        <f>HYPERLINK("https://pbs.twimg.com/profile_images/962471262747529216/Uo8lOkRJ_normal.jpg","View")</f>
        <v>View</v>
      </c>
      <c r="P6283" s="7"/>
    </row>
    <row r="6284" spans="1:16">
      <c r="A6284" s="3">
        <v>43983.839270833334</v>
      </c>
      <c r="B6284" s="4" t="str">
        <f>HYPERLINK("https://twitter.com/petrogustavo","@petrogustavo")</f>
        <v>@petrogustavo</v>
      </c>
      <c r="C6284" s="5" t="s">
        <v>16</v>
      </c>
      <c r="D6284" s="5" t="s">
        <v>6078</v>
      </c>
      <c r="E6284" s="6" t="str">
        <f>HYPERLINK("https://twitter.com/petrogustavo/status/1267465564567613447","1267465564567613447")</f>
        <v>1267465564567613447</v>
      </c>
      <c r="F6284" s="7" t="s">
        <v>17</v>
      </c>
      <c r="G6284" s="7">
        <v>3853081</v>
      </c>
      <c r="H6284" s="7">
        <v>2415</v>
      </c>
      <c r="I6284" s="7">
        <v>382</v>
      </c>
      <c r="J6284" s="7">
        <v>0</v>
      </c>
      <c r="K6284" s="7" t="s">
        <v>18</v>
      </c>
      <c r="L6284" s="8">
        <v>39987.315405092595</v>
      </c>
      <c r="M6284" s="9" t="s">
        <v>19</v>
      </c>
      <c r="N6284" s="9" t="s">
        <v>20</v>
      </c>
      <c r="O6284" s="6" t="str">
        <f>HYPERLINK("https://pbs.twimg.com/profile_images/962471262747529216/Uo8lOkRJ_normal.jpg","View")</f>
        <v>View</v>
      </c>
      <c r="P6284" s="7"/>
    </row>
    <row r="6285" spans="1:16">
      <c r="A6285" s="3">
        <v>43983.840787037036</v>
      </c>
      <c r="B6285" s="4" t="str">
        <f>HYPERLINK("https://twitter.com/petrogustavo","@petrogustavo")</f>
        <v>@petrogustavo</v>
      </c>
      <c r="C6285" s="5" t="s">
        <v>16</v>
      </c>
      <c r="D6285" s="5" t="s">
        <v>6108</v>
      </c>
      <c r="E6285" s="6" t="str">
        <f>HYPERLINK("https://twitter.com/petrogustavo/status/1267466112293363713","1267466112293363713")</f>
        <v>1267466112293363713</v>
      </c>
      <c r="F6285" s="7" t="s">
        <v>17</v>
      </c>
      <c r="G6285" s="7">
        <v>3853081</v>
      </c>
      <c r="H6285" s="7">
        <v>2415</v>
      </c>
      <c r="I6285" s="7">
        <v>36</v>
      </c>
      <c r="J6285" s="7">
        <v>0</v>
      </c>
      <c r="K6285" s="7" t="s">
        <v>18</v>
      </c>
      <c r="L6285" s="8">
        <v>39987.315405092595</v>
      </c>
      <c r="M6285" s="9" t="s">
        <v>19</v>
      </c>
      <c r="N6285" s="9" t="s">
        <v>20</v>
      </c>
      <c r="O6285" s="6" t="str">
        <f>HYPERLINK("https://pbs.twimg.com/profile_images/962471262747529216/Uo8lOkRJ_normal.jpg","View")</f>
        <v>View</v>
      </c>
      <c r="P6285" s="7"/>
    </row>
    <row r="6286" spans="1:16">
      <c r="A6286" s="3">
        <v>43983.847094907411</v>
      </c>
      <c r="B6286" s="4" t="str">
        <f>HYPERLINK("https://twitter.com/petrogustavo","@petrogustavo")</f>
        <v>@petrogustavo</v>
      </c>
      <c r="C6286" s="5" t="s">
        <v>16</v>
      </c>
      <c r="D6286" s="5" t="s">
        <v>6109</v>
      </c>
      <c r="E6286" s="6" t="str">
        <f>HYPERLINK("https://twitter.com/petrogustavo/status/1267468398503563265","1267468398503563265")</f>
        <v>1267468398503563265</v>
      </c>
      <c r="F6286" s="7" t="s">
        <v>17</v>
      </c>
      <c r="G6286" s="7">
        <v>3853081</v>
      </c>
      <c r="H6286" s="7">
        <v>2415</v>
      </c>
      <c r="I6286" s="7">
        <v>29</v>
      </c>
      <c r="J6286" s="7">
        <v>123</v>
      </c>
      <c r="K6286" s="7" t="s">
        <v>18</v>
      </c>
      <c r="L6286" s="8">
        <v>39987.315405092595</v>
      </c>
      <c r="M6286" s="9" t="s">
        <v>19</v>
      </c>
      <c r="N6286" s="9" t="s">
        <v>20</v>
      </c>
      <c r="O6286" s="6" t="str">
        <f>HYPERLINK("https://pbs.twimg.com/profile_images/962471262747529216/Uo8lOkRJ_normal.jpg","View")</f>
        <v>View</v>
      </c>
      <c r="P6286" s="7"/>
    </row>
    <row r="6287" spans="1:16">
      <c r="A6287" s="3">
        <v>43983.848495370374</v>
      </c>
      <c r="B6287" s="4" t="str">
        <f>HYPERLINK("https://twitter.com/petrogustavo","@petrogustavo")</f>
        <v>@petrogustavo</v>
      </c>
      <c r="C6287" s="5" t="s">
        <v>16</v>
      </c>
      <c r="D6287" s="5" t="s">
        <v>6110</v>
      </c>
      <c r="E6287" s="6" t="str">
        <f>HYPERLINK("https://twitter.com/petrogustavo/status/1267468908400951301","1267468908400951301")</f>
        <v>1267468908400951301</v>
      </c>
      <c r="F6287" s="7" t="s">
        <v>17</v>
      </c>
      <c r="G6287" s="7">
        <v>3853081</v>
      </c>
      <c r="H6287" s="7">
        <v>2415</v>
      </c>
      <c r="I6287" s="7">
        <v>15</v>
      </c>
      <c r="J6287" s="7">
        <v>72</v>
      </c>
      <c r="K6287" s="7" t="s">
        <v>18</v>
      </c>
      <c r="L6287" s="8">
        <v>39987.315405092595</v>
      </c>
      <c r="M6287" s="9" t="s">
        <v>19</v>
      </c>
      <c r="N6287" s="9" t="s">
        <v>20</v>
      </c>
      <c r="O6287" s="6" t="str">
        <f>HYPERLINK("https://pbs.twimg.com/profile_images/962471262747529216/Uo8lOkRJ_normal.jpg","View")</f>
        <v>View</v>
      </c>
      <c r="P6287" s="7"/>
    </row>
    <row r="6288" spans="1:16">
      <c r="A6288" s="3">
        <v>43983.910509259258</v>
      </c>
      <c r="B6288" s="4" t="str">
        <f>HYPERLINK("https://twitter.com/petrogustavo","@petrogustavo")</f>
        <v>@petrogustavo</v>
      </c>
      <c r="C6288" s="5" t="s">
        <v>16</v>
      </c>
      <c r="D6288" s="5" t="s">
        <v>6111</v>
      </c>
      <c r="E6288" s="6" t="str">
        <f>HYPERLINK("https://twitter.com/petrogustavo/status/1267491381557297158","1267491381557297158")</f>
        <v>1267491381557297158</v>
      </c>
      <c r="F6288" s="7" t="s">
        <v>17</v>
      </c>
      <c r="G6288" s="7">
        <v>3854481</v>
      </c>
      <c r="H6288" s="7">
        <v>2415</v>
      </c>
      <c r="I6288" s="7">
        <v>20</v>
      </c>
      <c r="J6288" s="7">
        <v>0</v>
      </c>
      <c r="K6288" s="7" t="s">
        <v>18</v>
      </c>
      <c r="L6288" s="8">
        <v>39987.315405092595</v>
      </c>
      <c r="M6288" s="9" t="s">
        <v>19</v>
      </c>
      <c r="N6288" s="9" t="s">
        <v>20</v>
      </c>
      <c r="O6288" s="6" t="str">
        <f>HYPERLINK("https://pbs.twimg.com/profile_images/962471262747529216/Uo8lOkRJ_normal.jpg","View")</f>
        <v>View</v>
      </c>
      <c r="P6288" s="7"/>
    </row>
    <row r="6289" spans="1:16">
      <c r="A6289" s="3">
        <v>43983.911053240736</v>
      </c>
      <c r="B6289" s="4" t="str">
        <f>HYPERLINK("https://twitter.com/petrogustavo","@petrogustavo")</f>
        <v>@petrogustavo</v>
      </c>
      <c r="C6289" s="5" t="s">
        <v>16</v>
      </c>
      <c r="D6289" s="5" t="s">
        <v>6101</v>
      </c>
      <c r="E6289" s="6" t="str">
        <f>HYPERLINK("https://twitter.com/petrogustavo/status/1267491576701476865","1267491576701476865")</f>
        <v>1267491576701476865</v>
      </c>
      <c r="F6289" s="7" t="s">
        <v>17</v>
      </c>
      <c r="G6289" s="7">
        <v>3854481</v>
      </c>
      <c r="H6289" s="7">
        <v>2415</v>
      </c>
      <c r="I6289" s="7">
        <v>533</v>
      </c>
      <c r="J6289" s="7">
        <v>0</v>
      </c>
      <c r="K6289" s="7" t="s">
        <v>18</v>
      </c>
      <c r="L6289" s="8">
        <v>39987.315405092595</v>
      </c>
      <c r="M6289" s="9" t="s">
        <v>19</v>
      </c>
      <c r="N6289" s="9" t="s">
        <v>20</v>
      </c>
      <c r="O6289" s="6" t="str">
        <f>HYPERLINK("https://pbs.twimg.com/profile_images/962471262747529216/Uo8lOkRJ_normal.jpg","View")</f>
        <v>View</v>
      </c>
      <c r="P6289" s="7"/>
    </row>
    <row r="6290" spans="1:16">
      <c r="A6290" s="3">
        <v>43983.944699074069</v>
      </c>
      <c r="B6290" s="4" t="str">
        <f>HYPERLINK("https://twitter.com/petrogustavo","@petrogustavo")</f>
        <v>@petrogustavo</v>
      </c>
      <c r="C6290" s="5" t="s">
        <v>16</v>
      </c>
      <c r="D6290" s="5" t="s">
        <v>6112</v>
      </c>
      <c r="E6290" s="6" t="str">
        <f>HYPERLINK("https://twitter.com/petrogustavo/status/1267503768138121223","1267503768138121223")</f>
        <v>1267503768138121223</v>
      </c>
      <c r="F6290" s="7" t="s">
        <v>17</v>
      </c>
      <c r="G6290" s="7">
        <v>3855439</v>
      </c>
      <c r="H6290" s="7">
        <v>2415</v>
      </c>
      <c r="I6290" s="7">
        <v>343</v>
      </c>
      <c r="J6290" s="7">
        <v>1142</v>
      </c>
      <c r="K6290" s="7" t="s">
        <v>18</v>
      </c>
      <c r="L6290" s="8">
        <v>39987.315405092595</v>
      </c>
      <c r="M6290" s="9" t="s">
        <v>19</v>
      </c>
      <c r="N6290" s="9" t="s">
        <v>20</v>
      </c>
      <c r="O6290" s="6" t="str">
        <f>HYPERLINK("https://pbs.twimg.com/profile_images/962471262747529216/Uo8lOkRJ_normal.jpg","View")</f>
        <v>View</v>
      </c>
      <c r="P6290" s="7"/>
    </row>
    <row r="6291" spans="1:16">
      <c r="A6291" s="3">
        <v>43983.94809027778</v>
      </c>
      <c r="B6291" s="4" t="str">
        <f>HYPERLINK("https://twitter.com/petrogustavo","@petrogustavo")</f>
        <v>@petrogustavo</v>
      </c>
      <c r="C6291" s="5" t="s">
        <v>16</v>
      </c>
      <c r="D6291" s="5" t="s">
        <v>6113</v>
      </c>
      <c r="E6291" s="6" t="str">
        <f>HYPERLINK("https://twitter.com/petrogustavo/status/1267504998281289729","1267504998281289729")</f>
        <v>1267504998281289729</v>
      </c>
      <c r="F6291" s="7" t="s">
        <v>17</v>
      </c>
      <c r="G6291" s="7">
        <v>3855439</v>
      </c>
      <c r="H6291" s="7">
        <v>2415</v>
      </c>
      <c r="I6291" s="7">
        <v>150</v>
      </c>
      <c r="J6291" s="7">
        <v>633</v>
      </c>
      <c r="K6291" s="7" t="s">
        <v>18</v>
      </c>
      <c r="L6291" s="8">
        <v>39987.315405092595</v>
      </c>
      <c r="M6291" s="9" t="s">
        <v>19</v>
      </c>
      <c r="N6291" s="9" t="s">
        <v>20</v>
      </c>
      <c r="O6291" s="6" t="str">
        <f>HYPERLINK("https://pbs.twimg.com/profile_images/962471262747529216/Uo8lOkRJ_normal.jpg","View")</f>
        <v>View</v>
      </c>
      <c r="P6291" s="7"/>
    </row>
    <row r="6292" spans="1:16">
      <c r="A6292" s="3">
        <v>43983.949675925927</v>
      </c>
      <c r="B6292" s="4" t="str">
        <f>HYPERLINK("https://twitter.com/petrogustavo","@petrogustavo")</f>
        <v>@petrogustavo</v>
      </c>
      <c r="C6292" s="5" t="s">
        <v>16</v>
      </c>
      <c r="D6292" s="5" t="s">
        <v>6114</v>
      </c>
      <c r="E6292" s="6" t="str">
        <f>HYPERLINK("https://twitter.com/petrogustavo/status/1267505573710499840","1267505573710499840")</f>
        <v>1267505573710499840</v>
      </c>
      <c r="F6292" s="7" t="s">
        <v>17</v>
      </c>
      <c r="G6292" s="7">
        <v>3855439</v>
      </c>
      <c r="H6292" s="7">
        <v>2415</v>
      </c>
      <c r="I6292" s="7">
        <v>34</v>
      </c>
      <c r="J6292" s="7">
        <v>127</v>
      </c>
      <c r="K6292" s="7" t="s">
        <v>18</v>
      </c>
      <c r="L6292" s="8">
        <v>39987.315405092595</v>
      </c>
      <c r="M6292" s="9" t="s">
        <v>19</v>
      </c>
      <c r="N6292" s="9" t="s">
        <v>20</v>
      </c>
      <c r="O6292" s="6" t="str">
        <f>HYPERLINK("https://pbs.twimg.com/profile_images/962471262747529216/Uo8lOkRJ_normal.jpg","View")</f>
        <v>View</v>
      </c>
      <c r="P6292" s="7"/>
    </row>
    <row r="6293" spans="1:16">
      <c r="A6293" s="3">
        <v>43983.951273148152</v>
      </c>
      <c r="B6293" s="4" t="str">
        <f>HYPERLINK("https://twitter.com/petrogustavo","@petrogustavo")</f>
        <v>@petrogustavo</v>
      </c>
      <c r="C6293" s="5" t="s">
        <v>16</v>
      </c>
      <c r="D6293" s="5" t="s">
        <v>6115</v>
      </c>
      <c r="E6293" s="6" t="str">
        <f>HYPERLINK("https://twitter.com/petrogustavo/status/1267506153287823361","1267506153287823361")</f>
        <v>1267506153287823361</v>
      </c>
      <c r="F6293" s="7" t="s">
        <v>17</v>
      </c>
      <c r="G6293" s="7">
        <v>3855439</v>
      </c>
      <c r="H6293" s="7">
        <v>2415</v>
      </c>
      <c r="I6293" s="7">
        <v>17</v>
      </c>
      <c r="J6293" s="7">
        <v>88</v>
      </c>
      <c r="K6293" s="7" t="s">
        <v>18</v>
      </c>
      <c r="L6293" s="8">
        <v>39987.315405092595</v>
      </c>
      <c r="M6293" s="9" t="s">
        <v>19</v>
      </c>
      <c r="N6293" s="9" t="s">
        <v>20</v>
      </c>
      <c r="O6293" s="6" t="str">
        <f>HYPERLINK("https://pbs.twimg.com/profile_images/962471262747529216/Uo8lOkRJ_normal.jpg","View")</f>
        <v>View</v>
      </c>
      <c r="P6293" s="7"/>
    </row>
    <row r="6294" spans="1:16">
      <c r="A6294" s="3">
        <v>43983.952557870369</v>
      </c>
      <c r="B6294" s="4" t="str">
        <f>HYPERLINK("https://twitter.com/petrogustavo","@petrogustavo")</f>
        <v>@petrogustavo</v>
      </c>
      <c r="C6294" s="5" t="s">
        <v>16</v>
      </c>
      <c r="D6294" s="5" t="s">
        <v>6116</v>
      </c>
      <c r="E6294" s="6" t="str">
        <f>HYPERLINK("https://twitter.com/petrogustavo/status/1267506616515035139","1267506616515035139")</f>
        <v>1267506616515035139</v>
      </c>
      <c r="F6294" s="7" t="s">
        <v>17</v>
      </c>
      <c r="G6294" s="7">
        <v>3855439</v>
      </c>
      <c r="H6294" s="7">
        <v>2415</v>
      </c>
      <c r="I6294" s="7">
        <v>26</v>
      </c>
      <c r="J6294" s="7">
        <v>110</v>
      </c>
      <c r="K6294" s="7" t="s">
        <v>18</v>
      </c>
      <c r="L6294" s="8">
        <v>39987.315405092595</v>
      </c>
      <c r="M6294" s="9" t="s">
        <v>19</v>
      </c>
      <c r="N6294" s="9" t="s">
        <v>20</v>
      </c>
      <c r="O6294" s="6" t="str">
        <f>HYPERLINK("https://pbs.twimg.com/profile_images/962471262747529216/Uo8lOkRJ_normal.jpg","View")</f>
        <v>View</v>
      </c>
      <c r="P6294" s="7"/>
    </row>
    <row r="6295" spans="1:16">
      <c r="A6295" s="3">
        <v>43984.110115740739</v>
      </c>
      <c r="B6295" s="4" t="str">
        <f>HYPERLINK("https://twitter.com/petrogustavo","@petrogustavo")</f>
        <v>@petrogustavo</v>
      </c>
      <c r="C6295" s="5" t="s">
        <v>16</v>
      </c>
      <c r="D6295" s="5" t="s">
        <v>6117</v>
      </c>
      <c r="E6295" s="6" t="str">
        <f>HYPERLINK("https://twitter.com/petrogustavo/status/1267563716805103617","1267563716805103617")</f>
        <v>1267563716805103617</v>
      </c>
      <c r="F6295" s="7" t="s">
        <v>32</v>
      </c>
      <c r="G6295" s="7">
        <v>3858414</v>
      </c>
      <c r="H6295" s="7">
        <v>2415</v>
      </c>
      <c r="I6295" s="7">
        <v>264</v>
      </c>
      <c r="J6295" s="7">
        <v>544</v>
      </c>
      <c r="K6295" s="7" t="s">
        <v>18</v>
      </c>
      <c r="L6295" s="8">
        <v>39987.315405092595</v>
      </c>
      <c r="M6295" s="9" t="s">
        <v>19</v>
      </c>
      <c r="N6295" s="9" t="s">
        <v>20</v>
      </c>
      <c r="O6295" s="6" t="str">
        <f>HYPERLINK("https://pbs.twimg.com/profile_images/962471262747529216/Uo8lOkRJ_normal.jpg","View")</f>
        <v>View</v>
      </c>
      <c r="P6295" s="7"/>
    </row>
    <row r="6296" spans="1:16">
      <c r="A6296" s="3">
        <v>43984.123356481483</v>
      </c>
      <c r="B6296" s="4" t="str">
        <f>HYPERLINK("https://twitter.com/petrogustavo","@petrogustavo")</f>
        <v>@petrogustavo</v>
      </c>
      <c r="C6296" s="5" t="s">
        <v>16</v>
      </c>
      <c r="D6296" s="5" t="s">
        <v>6118</v>
      </c>
      <c r="E6296" s="6" t="str">
        <f>HYPERLINK("https://twitter.com/petrogustavo/status/1267568514589753345","1267568514589753345")</f>
        <v>1267568514589753345</v>
      </c>
      <c r="F6296" s="7" t="s">
        <v>32</v>
      </c>
      <c r="G6296" s="7">
        <v>3858414</v>
      </c>
      <c r="H6296" s="7">
        <v>2415</v>
      </c>
      <c r="I6296" s="7">
        <v>17</v>
      </c>
      <c r="J6296" s="7">
        <v>0</v>
      </c>
      <c r="K6296" s="7" t="s">
        <v>18</v>
      </c>
      <c r="L6296" s="8">
        <v>39987.315405092595</v>
      </c>
      <c r="M6296" s="9" t="s">
        <v>19</v>
      </c>
      <c r="N6296" s="9" t="s">
        <v>20</v>
      </c>
      <c r="O6296" s="6" t="str">
        <f>HYPERLINK("https://pbs.twimg.com/profile_images/962471262747529216/Uo8lOkRJ_normal.jpg","View")</f>
        <v>View</v>
      </c>
      <c r="P6296" s="7"/>
    </row>
    <row r="6297" spans="1:16">
      <c r="A6297" s="3">
        <v>43984.123715277776</v>
      </c>
      <c r="B6297" s="4" t="str">
        <f>HYPERLINK("https://twitter.com/petrogustavo","@petrogustavo")</f>
        <v>@petrogustavo</v>
      </c>
      <c r="C6297" s="5" t="s">
        <v>16</v>
      </c>
      <c r="D6297" s="5" t="s">
        <v>6119</v>
      </c>
      <c r="E6297" s="6" t="str">
        <f>HYPERLINK("https://twitter.com/petrogustavo/status/1267568644013404166","1267568644013404166")</f>
        <v>1267568644013404166</v>
      </c>
      <c r="F6297" s="7" t="s">
        <v>32</v>
      </c>
      <c r="G6297" s="7">
        <v>3858414</v>
      </c>
      <c r="H6297" s="7">
        <v>2415</v>
      </c>
      <c r="I6297" s="7">
        <v>90</v>
      </c>
      <c r="J6297" s="7">
        <v>0</v>
      </c>
      <c r="K6297" s="7" t="s">
        <v>18</v>
      </c>
      <c r="L6297" s="8">
        <v>39987.315405092595</v>
      </c>
      <c r="M6297" s="9" t="s">
        <v>19</v>
      </c>
      <c r="N6297" s="9" t="s">
        <v>20</v>
      </c>
      <c r="O6297" s="6" t="str">
        <f>HYPERLINK("https://pbs.twimg.com/profile_images/962471262747529216/Uo8lOkRJ_normal.jpg","View")</f>
        <v>View</v>
      </c>
      <c r="P6297" s="7"/>
    </row>
    <row r="6298" spans="1:16">
      <c r="A6298" s="3">
        <v>43984.124178240745</v>
      </c>
      <c r="B6298" s="4" t="str">
        <f>HYPERLINK("https://twitter.com/petrogustavo","@petrogustavo")</f>
        <v>@petrogustavo</v>
      </c>
      <c r="C6298" s="5" t="s">
        <v>16</v>
      </c>
      <c r="D6298" s="5" t="s">
        <v>6120</v>
      </c>
      <c r="E6298" s="6" t="str">
        <f>HYPERLINK("https://twitter.com/petrogustavo/status/1267568810057502727","1267568810057502727")</f>
        <v>1267568810057502727</v>
      </c>
      <c r="F6298" s="7" t="s">
        <v>32</v>
      </c>
      <c r="G6298" s="7">
        <v>3858414</v>
      </c>
      <c r="H6298" s="7">
        <v>2415</v>
      </c>
      <c r="I6298" s="7">
        <v>68</v>
      </c>
      <c r="J6298" s="7">
        <v>0</v>
      </c>
      <c r="K6298" s="7" t="s">
        <v>18</v>
      </c>
      <c r="L6298" s="8">
        <v>39987.315405092595</v>
      </c>
      <c r="M6298" s="9" t="s">
        <v>19</v>
      </c>
      <c r="N6298" s="9" t="s">
        <v>20</v>
      </c>
      <c r="O6298" s="6" t="str">
        <f>HYPERLINK("https://pbs.twimg.com/profile_images/962471262747529216/Uo8lOkRJ_normal.jpg","View")</f>
        <v>View</v>
      </c>
      <c r="P6298" s="7"/>
    </row>
    <row r="6299" spans="1:16">
      <c r="A6299" s="3">
        <v>43984.125833333332</v>
      </c>
      <c r="B6299" s="4" t="str">
        <f>HYPERLINK("https://twitter.com/petrogustavo","@petrogustavo")</f>
        <v>@petrogustavo</v>
      </c>
      <c r="C6299" s="5" t="s">
        <v>16</v>
      </c>
      <c r="D6299" s="5" t="s">
        <v>6121</v>
      </c>
      <c r="E6299" s="6" t="str">
        <f>HYPERLINK("https://twitter.com/petrogustavo/status/1267569409364819981","1267569409364819981")</f>
        <v>1267569409364819981</v>
      </c>
      <c r="F6299" s="7" t="s">
        <v>32</v>
      </c>
      <c r="G6299" s="7">
        <v>3858414</v>
      </c>
      <c r="H6299" s="7">
        <v>2415</v>
      </c>
      <c r="I6299" s="7">
        <v>2963</v>
      </c>
      <c r="J6299" s="7">
        <v>0</v>
      </c>
      <c r="K6299" s="7" t="s">
        <v>18</v>
      </c>
      <c r="L6299" s="8">
        <v>39987.315405092595</v>
      </c>
      <c r="M6299" s="9" t="s">
        <v>19</v>
      </c>
      <c r="N6299" s="9" t="s">
        <v>20</v>
      </c>
      <c r="O6299" s="6" t="str">
        <f>HYPERLINK("https://pbs.twimg.com/profile_images/962471262747529216/Uo8lOkRJ_normal.jpg","View")</f>
        <v>View</v>
      </c>
      <c r="P6299" s="7"/>
    </row>
    <row r="6300" spans="1:16">
      <c r="A6300" s="3">
        <v>43984.128935185188</v>
      </c>
      <c r="B6300" s="4" t="str">
        <f>HYPERLINK("https://twitter.com/petrogustavo","@petrogustavo")</f>
        <v>@petrogustavo</v>
      </c>
      <c r="C6300" s="5" t="s">
        <v>16</v>
      </c>
      <c r="D6300" s="5" t="s">
        <v>6122</v>
      </c>
      <c r="E6300" s="6" t="str">
        <f>HYPERLINK("https://twitter.com/petrogustavo/status/1267570534033829891","1267570534033829891")</f>
        <v>1267570534033829891</v>
      </c>
      <c r="F6300" s="7" t="s">
        <v>32</v>
      </c>
      <c r="G6300" s="7">
        <v>3858780</v>
      </c>
      <c r="H6300" s="7">
        <v>2415</v>
      </c>
      <c r="I6300" s="7">
        <v>228</v>
      </c>
      <c r="J6300" s="7">
        <v>0</v>
      </c>
      <c r="K6300" s="7" t="s">
        <v>18</v>
      </c>
      <c r="L6300" s="8">
        <v>39987.315405092595</v>
      </c>
      <c r="M6300" s="9" t="s">
        <v>19</v>
      </c>
      <c r="N6300" s="9" t="s">
        <v>20</v>
      </c>
      <c r="O6300" s="6" t="str">
        <f>HYPERLINK("https://pbs.twimg.com/profile_images/962471262747529216/Uo8lOkRJ_normal.jpg","View")</f>
        <v>View</v>
      </c>
      <c r="P6300" s="7"/>
    </row>
    <row r="6301" spans="1:16">
      <c r="A6301" s="3">
        <v>43984.133090277777</v>
      </c>
      <c r="B6301" s="4" t="str">
        <f>HYPERLINK("https://twitter.com/petrogustavo","@petrogustavo")</f>
        <v>@petrogustavo</v>
      </c>
      <c r="C6301" s="5" t="s">
        <v>16</v>
      </c>
      <c r="D6301" s="5" t="s">
        <v>6123</v>
      </c>
      <c r="E6301" s="6" t="str">
        <f>HYPERLINK("https://twitter.com/petrogustavo/status/1267572041575796737","1267572041575796737")</f>
        <v>1267572041575796737</v>
      </c>
      <c r="F6301" s="7" t="s">
        <v>32</v>
      </c>
      <c r="G6301" s="7">
        <v>3858780</v>
      </c>
      <c r="H6301" s="7">
        <v>2415</v>
      </c>
      <c r="I6301" s="7">
        <v>483</v>
      </c>
      <c r="J6301" s="7">
        <v>0</v>
      </c>
      <c r="K6301" s="7" t="s">
        <v>18</v>
      </c>
      <c r="L6301" s="8">
        <v>39987.315405092595</v>
      </c>
      <c r="M6301" s="9" t="s">
        <v>19</v>
      </c>
      <c r="N6301" s="9" t="s">
        <v>20</v>
      </c>
      <c r="O6301" s="6" t="str">
        <f>HYPERLINK("https://pbs.twimg.com/profile_images/962471262747529216/Uo8lOkRJ_normal.jpg","View")</f>
        <v>View</v>
      </c>
      <c r="P6301" s="7"/>
    </row>
    <row r="6302" spans="1:16">
      <c r="A6302" s="3">
        <v>43984.189074074078</v>
      </c>
      <c r="B6302" s="4" t="str">
        <f>HYPERLINK("https://twitter.com/petrogustavo","@petrogustavo")</f>
        <v>@petrogustavo</v>
      </c>
      <c r="C6302" s="5" t="s">
        <v>16</v>
      </c>
      <c r="D6302" s="5" t="s">
        <v>6124</v>
      </c>
      <c r="E6302" s="6" t="str">
        <f>HYPERLINK("https://twitter.com/petrogustavo/status/1267592327570259968","1267592327570259968")</f>
        <v>1267592327570259968</v>
      </c>
      <c r="F6302" s="7" t="s">
        <v>17</v>
      </c>
      <c r="G6302" s="7">
        <v>3859417</v>
      </c>
      <c r="H6302" s="7">
        <v>2415</v>
      </c>
      <c r="I6302" s="7">
        <v>3</v>
      </c>
      <c r="J6302" s="7">
        <v>10</v>
      </c>
      <c r="K6302" s="7" t="s">
        <v>18</v>
      </c>
      <c r="L6302" s="8">
        <v>39987.315405092595</v>
      </c>
      <c r="M6302" s="9" t="s">
        <v>19</v>
      </c>
      <c r="N6302" s="9" t="s">
        <v>20</v>
      </c>
      <c r="O6302" s="6" t="str">
        <f>HYPERLINK("https://pbs.twimg.com/profile_images/962471262747529216/Uo8lOkRJ_normal.jpg","View")</f>
        <v>View</v>
      </c>
      <c r="P6302" s="7"/>
    </row>
    <row r="6303" spans="1:16">
      <c r="A6303" s="3">
        <v>43984.235162037032</v>
      </c>
      <c r="B6303" s="4" t="str">
        <f>HYPERLINK("https://twitter.com/petrogustavo","@petrogustavo")</f>
        <v>@petrogustavo</v>
      </c>
      <c r="C6303" s="5" t="s">
        <v>16</v>
      </c>
      <c r="D6303" s="5" t="s">
        <v>6125</v>
      </c>
      <c r="E6303" s="6" t="str">
        <f>HYPERLINK("https://twitter.com/petrogustavo/status/1267609031688048641","1267609031688048641")</f>
        <v>1267609031688048641</v>
      </c>
      <c r="F6303" s="7" t="s">
        <v>17</v>
      </c>
      <c r="G6303" s="7">
        <v>3860345</v>
      </c>
      <c r="H6303" s="7">
        <v>2415</v>
      </c>
      <c r="I6303" s="7">
        <v>354</v>
      </c>
      <c r="J6303" s="7">
        <v>0</v>
      </c>
      <c r="K6303" s="7" t="s">
        <v>18</v>
      </c>
      <c r="L6303" s="8">
        <v>39987.315405092595</v>
      </c>
      <c r="M6303" s="9" t="s">
        <v>19</v>
      </c>
      <c r="N6303" s="9" t="s">
        <v>20</v>
      </c>
      <c r="O6303" s="6" t="str">
        <f>HYPERLINK("https://pbs.twimg.com/profile_images/962471262747529216/Uo8lOkRJ_normal.jpg","View")</f>
        <v>View</v>
      </c>
      <c r="P6303" s="7"/>
    </row>
    <row r="6304" spans="1:16">
      <c r="A6304" s="3">
        <v>43984.235509259262</v>
      </c>
      <c r="B6304" s="4" t="str">
        <f>HYPERLINK("https://twitter.com/petrogustavo","@petrogustavo")</f>
        <v>@petrogustavo</v>
      </c>
      <c r="C6304" s="5" t="s">
        <v>16</v>
      </c>
      <c r="D6304" s="5" t="s">
        <v>6126</v>
      </c>
      <c r="E6304" s="6" t="str">
        <f>HYPERLINK("https://twitter.com/petrogustavo/status/1267609157999476738","1267609157999476738")</f>
        <v>1267609157999476738</v>
      </c>
      <c r="F6304" s="7" t="s">
        <v>17</v>
      </c>
      <c r="G6304" s="7">
        <v>3860345</v>
      </c>
      <c r="H6304" s="7">
        <v>2415</v>
      </c>
      <c r="I6304" s="7">
        <v>213</v>
      </c>
      <c r="J6304" s="7">
        <v>0</v>
      </c>
      <c r="K6304" s="7" t="s">
        <v>18</v>
      </c>
      <c r="L6304" s="8">
        <v>39987.315405092595</v>
      </c>
      <c r="M6304" s="9" t="s">
        <v>19</v>
      </c>
      <c r="N6304" s="9" t="s">
        <v>20</v>
      </c>
      <c r="O6304" s="6" t="str">
        <f>HYPERLINK("https://pbs.twimg.com/profile_images/962471262747529216/Uo8lOkRJ_normal.jpg","View")</f>
        <v>View</v>
      </c>
      <c r="P6304" s="7"/>
    </row>
    <row r="6305" spans="1:16">
      <c r="A6305" s="3">
        <v>43984.270844907413</v>
      </c>
      <c r="B6305" s="4" t="str">
        <f>HYPERLINK("https://twitter.com/petrogustavo","@petrogustavo")</f>
        <v>@petrogustavo</v>
      </c>
      <c r="C6305" s="5" t="s">
        <v>16</v>
      </c>
      <c r="D6305" s="5" t="s">
        <v>6127</v>
      </c>
      <c r="E6305" s="6" t="str">
        <f>HYPERLINK("https://twitter.com/petrogustavo/status/1267621962098016257","1267621962098016257")</f>
        <v>1267621962098016257</v>
      </c>
      <c r="F6305" s="7" t="s">
        <v>17</v>
      </c>
      <c r="G6305" s="7">
        <v>3860642</v>
      </c>
      <c r="H6305" s="7">
        <v>2415</v>
      </c>
      <c r="I6305" s="7">
        <v>1306</v>
      </c>
      <c r="J6305" s="7">
        <v>0</v>
      </c>
      <c r="K6305" s="7" t="s">
        <v>18</v>
      </c>
      <c r="L6305" s="8">
        <v>39987.315405092595</v>
      </c>
      <c r="M6305" s="9" t="s">
        <v>19</v>
      </c>
      <c r="N6305" s="9" t="s">
        <v>20</v>
      </c>
      <c r="O6305" s="6" t="str">
        <f>HYPERLINK("https://pbs.twimg.com/profile_images/962471262747529216/Uo8lOkRJ_normal.jpg","View")</f>
        <v>View</v>
      </c>
      <c r="P6305" s="7"/>
    </row>
    <row r="6306" spans="1:16">
      <c r="A6306" s="3">
        <v>43984.274398148147</v>
      </c>
      <c r="B6306" s="4" t="str">
        <f>HYPERLINK("https://twitter.com/petrogustavo","@petrogustavo")</f>
        <v>@petrogustavo</v>
      </c>
      <c r="C6306" s="5" t="s">
        <v>16</v>
      </c>
      <c r="D6306" s="5" t="s">
        <v>6128</v>
      </c>
      <c r="E6306" s="6" t="str">
        <f>HYPERLINK("https://twitter.com/petrogustavo/status/1267623249107726337","1267623249107726337")</f>
        <v>1267623249107726337</v>
      </c>
      <c r="F6306" s="7" t="s">
        <v>17</v>
      </c>
      <c r="G6306" s="7">
        <v>3860990</v>
      </c>
      <c r="H6306" s="7">
        <v>2415</v>
      </c>
      <c r="I6306" s="7">
        <v>307</v>
      </c>
      <c r="J6306" s="7">
        <v>585</v>
      </c>
      <c r="K6306" s="7" t="s">
        <v>18</v>
      </c>
      <c r="L6306" s="8">
        <v>39987.315405092595</v>
      </c>
      <c r="M6306" s="9" t="s">
        <v>19</v>
      </c>
      <c r="N6306" s="9" t="s">
        <v>20</v>
      </c>
      <c r="O6306" s="6" t="str">
        <f>HYPERLINK("https://pbs.twimg.com/profile_images/962471262747529216/Uo8lOkRJ_normal.jpg","View")</f>
        <v>View</v>
      </c>
      <c r="P6306" s="7"/>
    </row>
    <row r="6307" spans="1:16">
      <c r="A6307" s="3">
        <v>43984.277013888888</v>
      </c>
      <c r="B6307" s="4" t="str">
        <f>HYPERLINK("https://twitter.com/petrogustavo","@petrogustavo")</f>
        <v>@petrogustavo</v>
      </c>
      <c r="C6307" s="5" t="s">
        <v>16</v>
      </c>
      <c r="D6307" s="5" t="s">
        <v>6129</v>
      </c>
      <c r="E6307" s="6" t="str">
        <f>HYPERLINK("https://twitter.com/petrogustavo/status/1267624197242736641","1267624197242736641")</f>
        <v>1267624197242736641</v>
      </c>
      <c r="F6307" s="7" t="s">
        <v>17</v>
      </c>
      <c r="G6307" s="7">
        <v>3860990</v>
      </c>
      <c r="H6307" s="7">
        <v>2415</v>
      </c>
      <c r="I6307" s="7">
        <v>515</v>
      </c>
      <c r="J6307" s="7">
        <v>0</v>
      </c>
      <c r="K6307" s="7" t="s">
        <v>18</v>
      </c>
      <c r="L6307" s="8">
        <v>39987.315405092595</v>
      </c>
      <c r="M6307" s="9" t="s">
        <v>19</v>
      </c>
      <c r="N6307" s="9" t="s">
        <v>20</v>
      </c>
      <c r="O6307" s="6" t="str">
        <f>HYPERLINK("https://pbs.twimg.com/profile_images/962471262747529216/Uo8lOkRJ_normal.jpg","View")</f>
        <v>View</v>
      </c>
      <c r="P6307" s="7"/>
    </row>
    <row r="6308" spans="1:16">
      <c r="A6308" s="3">
        <v>43984.277337962965</v>
      </c>
      <c r="B6308" s="4" t="str">
        <f>HYPERLINK("https://twitter.com/petrogustavo","@petrogustavo")</f>
        <v>@petrogustavo</v>
      </c>
      <c r="C6308" s="5" t="s">
        <v>16</v>
      </c>
      <c r="D6308" s="5" t="s">
        <v>6130</v>
      </c>
      <c r="E6308" s="6" t="str">
        <f>HYPERLINK("https://twitter.com/petrogustavo/status/1267624315660500995","1267624315660500995")</f>
        <v>1267624315660500995</v>
      </c>
      <c r="F6308" s="7" t="s">
        <v>17</v>
      </c>
      <c r="G6308" s="7">
        <v>3860990</v>
      </c>
      <c r="H6308" s="7">
        <v>2415</v>
      </c>
      <c r="I6308" s="7">
        <v>313</v>
      </c>
      <c r="J6308" s="7">
        <v>0</v>
      </c>
      <c r="K6308" s="7" t="s">
        <v>18</v>
      </c>
      <c r="L6308" s="8">
        <v>39987.315405092595</v>
      </c>
      <c r="M6308" s="9" t="s">
        <v>19</v>
      </c>
      <c r="N6308" s="9" t="s">
        <v>20</v>
      </c>
      <c r="O6308" s="6" t="str">
        <f>HYPERLINK("https://pbs.twimg.com/profile_images/962471262747529216/Uo8lOkRJ_normal.jpg","View")</f>
        <v>View</v>
      </c>
      <c r="P6308" s="7"/>
    </row>
    <row r="6309" spans="1:16">
      <c r="A6309" s="3">
        <v>43984.28024305556</v>
      </c>
      <c r="B6309" s="4" t="str">
        <f>HYPERLINK("https://twitter.com/petrogustavo","@petrogustavo")</f>
        <v>@petrogustavo</v>
      </c>
      <c r="C6309" s="5" t="s">
        <v>16</v>
      </c>
      <c r="D6309" s="5" t="s">
        <v>6131</v>
      </c>
      <c r="E6309" s="6" t="str">
        <f>HYPERLINK("https://twitter.com/petrogustavo/status/1267625367680024582","1267625367680024582")</f>
        <v>1267625367680024582</v>
      </c>
      <c r="F6309" s="7" t="s">
        <v>17</v>
      </c>
      <c r="G6309" s="7">
        <v>3860990</v>
      </c>
      <c r="H6309" s="7">
        <v>2415</v>
      </c>
      <c r="I6309" s="7">
        <v>57</v>
      </c>
      <c r="J6309" s="7">
        <v>152</v>
      </c>
      <c r="K6309" s="7" t="s">
        <v>18</v>
      </c>
      <c r="L6309" s="8">
        <v>39987.315405092595</v>
      </c>
      <c r="M6309" s="9" t="s">
        <v>19</v>
      </c>
      <c r="N6309" s="9" t="s">
        <v>20</v>
      </c>
      <c r="O6309" s="6" t="str">
        <f>HYPERLINK("https://pbs.twimg.com/profile_images/962471262747529216/Uo8lOkRJ_normal.jpg","View")</f>
        <v>View</v>
      </c>
      <c r="P6309" s="7"/>
    </row>
    <row r="6310" spans="1:16">
      <c r="A6310" s="3">
        <v>43984.283206018517</v>
      </c>
      <c r="B6310" s="4" t="str">
        <f>HYPERLINK("https://twitter.com/petrogustavo","@petrogustavo")</f>
        <v>@petrogustavo</v>
      </c>
      <c r="C6310" s="5" t="s">
        <v>16</v>
      </c>
      <c r="D6310" s="5" t="s">
        <v>6132</v>
      </c>
      <c r="E6310" s="6" t="str">
        <f>HYPERLINK("https://twitter.com/petrogustavo/status/1267626439609929729","1267626439609929729")</f>
        <v>1267626439609929729</v>
      </c>
      <c r="F6310" s="7" t="s">
        <v>17</v>
      </c>
      <c r="G6310" s="7">
        <v>3860990</v>
      </c>
      <c r="H6310" s="7">
        <v>2415</v>
      </c>
      <c r="I6310" s="7">
        <v>106</v>
      </c>
      <c r="J6310" s="7">
        <v>262</v>
      </c>
      <c r="K6310" s="7" t="s">
        <v>18</v>
      </c>
      <c r="L6310" s="8">
        <v>39987.315405092595</v>
      </c>
      <c r="M6310" s="9" t="s">
        <v>19</v>
      </c>
      <c r="N6310" s="9" t="s">
        <v>20</v>
      </c>
      <c r="O6310" s="6" t="str">
        <f>HYPERLINK("https://pbs.twimg.com/profile_images/962471262747529216/Uo8lOkRJ_normal.jpg","View")</f>
        <v>View</v>
      </c>
      <c r="P6310" s="7"/>
    </row>
    <row r="6311" spans="1:16">
      <c r="A6311" s="3">
        <v>43984.286226851851</v>
      </c>
      <c r="B6311" s="4" t="str">
        <f>HYPERLINK("https://twitter.com/petrogustavo","@petrogustavo")</f>
        <v>@petrogustavo</v>
      </c>
      <c r="C6311" s="5" t="s">
        <v>16</v>
      </c>
      <c r="D6311" s="5" t="s">
        <v>6133</v>
      </c>
      <c r="E6311" s="6" t="str">
        <f>HYPERLINK("https://twitter.com/petrogustavo/status/1267627535183024128","1267627535183024128")</f>
        <v>1267627535183024128</v>
      </c>
      <c r="F6311" s="7" t="s">
        <v>17</v>
      </c>
      <c r="G6311" s="7">
        <v>3860990</v>
      </c>
      <c r="H6311" s="7">
        <v>2415</v>
      </c>
      <c r="I6311" s="7">
        <v>307</v>
      </c>
      <c r="J6311" s="7">
        <v>0</v>
      </c>
      <c r="K6311" s="7" t="s">
        <v>18</v>
      </c>
      <c r="L6311" s="8">
        <v>39987.315405092595</v>
      </c>
      <c r="M6311" s="9" t="s">
        <v>19</v>
      </c>
      <c r="N6311" s="9" t="s">
        <v>20</v>
      </c>
      <c r="O6311" s="6" t="str">
        <f>HYPERLINK("https://pbs.twimg.com/profile_images/962471262747529216/Uo8lOkRJ_normal.jpg","View")</f>
        <v>View</v>
      </c>
      <c r="P6311" s="7"/>
    </row>
    <row r="6312" spans="1:16">
      <c r="A6312" s="3">
        <v>43984.327233796299</v>
      </c>
      <c r="B6312" s="4" t="str">
        <f>HYPERLINK("https://twitter.com/petrogustavo","@petrogustavo")</f>
        <v>@petrogustavo</v>
      </c>
      <c r="C6312" s="5" t="s">
        <v>16</v>
      </c>
      <c r="D6312" s="5" t="s">
        <v>6123</v>
      </c>
      <c r="E6312" s="6" t="str">
        <f>HYPERLINK("https://twitter.com/petrogustavo/status/1267642394230640640","1267642394230640640")</f>
        <v>1267642394230640640</v>
      </c>
      <c r="F6312" s="7" t="s">
        <v>17</v>
      </c>
      <c r="G6312" s="7">
        <v>3861605</v>
      </c>
      <c r="H6312" s="7">
        <v>2415</v>
      </c>
      <c r="I6312" s="7">
        <v>1492</v>
      </c>
      <c r="J6312" s="7">
        <v>0</v>
      </c>
      <c r="K6312" s="7" t="s">
        <v>18</v>
      </c>
      <c r="L6312" s="8">
        <v>39987.315405092595</v>
      </c>
      <c r="M6312" s="9" t="s">
        <v>19</v>
      </c>
      <c r="N6312" s="9" t="s">
        <v>20</v>
      </c>
      <c r="O6312" s="6" t="str">
        <f>HYPERLINK("https://pbs.twimg.com/profile_images/962471262747529216/Uo8lOkRJ_normal.jpg","View")</f>
        <v>View</v>
      </c>
      <c r="P6312" s="7"/>
    </row>
    <row r="6313" spans="1:16">
      <c r="A6313" s="3">
        <v>43984.327638888892</v>
      </c>
      <c r="B6313" s="4" t="str">
        <f>HYPERLINK("https://twitter.com/petrogustavo","@petrogustavo")</f>
        <v>@petrogustavo</v>
      </c>
      <c r="C6313" s="5" t="s">
        <v>16</v>
      </c>
      <c r="D6313" s="5" t="s">
        <v>6134</v>
      </c>
      <c r="E6313" s="6" t="str">
        <f>HYPERLINK("https://twitter.com/petrogustavo/status/1267642543900155904","1267642543900155904")</f>
        <v>1267642543900155904</v>
      </c>
      <c r="F6313" s="7" t="s">
        <v>17</v>
      </c>
      <c r="G6313" s="7">
        <v>3861605</v>
      </c>
      <c r="H6313" s="7">
        <v>2415</v>
      </c>
      <c r="I6313" s="7">
        <v>1038</v>
      </c>
      <c r="J6313" s="7">
        <v>0</v>
      </c>
      <c r="K6313" s="7" t="s">
        <v>18</v>
      </c>
      <c r="L6313" s="8">
        <v>39987.315405092595</v>
      </c>
      <c r="M6313" s="9" t="s">
        <v>19</v>
      </c>
      <c r="N6313" s="9" t="s">
        <v>20</v>
      </c>
      <c r="O6313" s="6" t="str">
        <f>HYPERLINK("https://pbs.twimg.com/profile_images/962471262747529216/Uo8lOkRJ_normal.jpg","View")</f>
        <v>View</v>
      </c>
      <c r="P6313" s="7"/>
    </row>
    <row r="6314" spans="1:16">
      <c r="A6314" s="3">
        <v>43984.360069444447</v>
      </c>
      <c r="B6314" s="4" t="str">
        <f>HYPERLINK("https://twitter.com/petrogustavo","@petrogustavo")</f>
        <v>@petrogustavo</v>
      </c>
      <c r="C6314" s="5" t="s">
        <v>16</v>
      </c>
      <c r="D6314" s="5" t="s">
        <v>6135</v>
      </c>
      <c r="E6314" s="6" t="str">
        <f>HYPERLINK("https://twitter.com/petrogustavo/status/1267654295866019841","1267654295866019841")</f>
        <v>1267654295866019841</v>
      </c>
      <c r="F6314" s="7" t="s">
        <v>17</v>
      </c>
      <c r="G6314" s="7">
        <v>3862172</v>
      </c>
      <c r="H6314" s="7">
        <v>2415</v>
      </c>
      <c r="I6314" s="7">
        <v>41</v>
      </c>
      <c r="J6314" s="7">
        <v>0</v>
      </c>
      <c r="K6314" s="7" t="s">
        <v>18</v>
      </c>
      <c r="L6314" s="8">
        <v>39987.315405092595</v>
      </c>
      <c r="M6314" s="9" t="s">
        <v>19</v>
      </c>
      <c r="N6314" s="9" t="s">
        <v>20</v>
      </c>
      <c r="O6314" s="6" t="str">
        <f>HYPERLINK("https://pbs.twimg.com/profile_images/962471262747529216/Uo8lOkRJ_normal.jpg","View")</f>
        <v>View</v>
      </c>
      <c r="P6314" s="7"/>
    </row>
    <row r="6315" spans="1:16">
      <c r="A6315" s="3">
        <v>43984.364074074074</v>
      </c>
      <c r="B6315" s="4" t="str">
        <f>HYPERLINK("https://twitter.com/petrogustavo","@petrogustavo")</f>
        <v>@petrogustavo</v>
      </c>
      <c r="C6315" s="5" t="s">
        <v>16</v>
      </c>
      <c r="D6315" s="5" t="s">
        <v>6136</v>
      </c>
      <c r="E6315" s="6" t="str">
        <f>HYPERLINK("https://twitter.com/petrogustavo/status/1267655748399611906","1267655748399611906")</f>
        <v>1267655748399611906</v>
      </c>
      <c r="F6315" s="7" t="s">
        <v>17</v>
      </c>
      <c r="G6315" s="7">
        <v>3862172</v>
      </c>
      <c r="H6315" s="7">
        <v>2415</v>
      </c>
      <c r="I6315" s="7">
        <v>149</v>
      </c>
      <c r="J6315" s="7">
        <v>380</v>
      </c>
      <c r="K6315" s="7" t="s">
        <v>18</v>
      </c>
      <c r="L6315" s="8">
        <v>39987.315405092595</v>
      </c>
      <c r="M6315" s="9" t="s">
        <v>19</v>
      </c>
      <c r="N6315" s="9" t="s">
        <v>20</v>
      </c>
      <c r="O6315" s="6" t="str">
        <f>HYPERLINK("https://pbs.twimg.com/profile_images/962471262747529216/Uo8lOkRJ_normal.jpg","View")</f>
        <v>View</v>
      </c>
      <c r="P6315" s="7"/>
    </row>
    <row r="6316" spans="1:16">
      <c r="A6316" s="3">
        <v>43984.366238425922</v>
      </c>
      <c r="B6316" s="4" t="str">
        <f>HYPERLINK("https://twitter.com/petrogustavo","@petrogustavo")</f>
        <v>@petrogustavo</v>
      </c>
      <c r="C6316" s="5" t="s">
        <v>16</v>
      </c>
      <c r="D6316" s="5" t="s">
        <v>6137</v>
      </c>
      <c r="E6316" s="6" t="str">
        <f>HYPERLINK("https://twitter.com/petrogustavo/status/1267656530230497287","1267656530230497287")</f>
        <v>1267656530230497287</v>
      </c>
      <c r="F6316" s="7" t="s">
        <v>17</v>
      </c>
      <c r="G6316" s="7">
        <v>3862172</v>
      </c>
      <c r="H6316" s="7">
        <v>2415</v>
      </c>
      <c r="I6316" s="7">
        <v>148</v>
      </c>
      <c r="J6316" s="7">
        <v>387</v>
      </c>
      <c r="K6316" s="7" t="s">
        <v>18</v>
      </c>
      <c r="L6316" s="8">
        <v>39987.315405092595</v>
      </c>
      <c r="M6316" s="9" t="s">
        <v>19</v>
      </c>
      <c r="N6316" s="9" t="s">
        <v>20</v>
      </c>
      <c r="O6316" s="6" t="str">
        <f>HYPERLINK("https://pbs.twimg.com/profile_images/962471262747529216/Uo8lOkRJ_normal.jpg","View")</f>
        <v>View</v>
      </c>
      <c r="P6316" s="7"/>
    </row>
    <row r="6317" spans="1:16">
      <c r="A6317" s="3">
        <v>43984.367152777777</v>
      </c>
      <c r="B6317" s="4" t="str">
        <f>HYPERLINK("https://twitter.com/petrogustavo","@petrogustavo")</f>
        <v>@petrogustavo</v>
      </c>
      <c r="C6317" s="5" t="s">
        <v>16</v>
      </c>
      <c r="D6317" s="5" t="s">
        <v>6138</v>
      </c>
      <c r="E6317" s="6" t="str">
        <f>HYPERLINK("https://twitter.com/petrogustavo/status/1267656864059310083","1267656864059310083")</f>
        <v>1267656864059310083</v>
      </c>
      <c r="F6317" s="7" t="s">
        <v>17</v>
      </c>
      <c r="G6317" s="7">
        <v>3862172</v>
      </c>
      <c r="H6317" s="7">
        <v>2415</v>
      </c>
      <c r="I6317" s="7">
        <v>196</v>
      </c>
      <c r="J6317" s="7">
        <v>0</v>
      </c>
      <c r="K6317" s="7" t="s">
        <v>18</v>
      </c>
      <c r="L6317" s="8">
        <v>39987.315405092595</v>
      </c>
      <c r="M6317" s="9" t="s">
        <v>19</v>
      </c>
      <c r="N6317" s="9" t="s">
        <v>20</v>
      </c>
      <c r="O6317" s="6" t="str">
        <f>HYPERLINK("https://pbs.twimg.com/profile_images/962471262747529216/Uo8lOkRJ_normal.jpg","View")</f>
        <v>View</v>
      </c>
      <c r="P6317" s="7"/>
    </row>
    <row r="6318" spans="1:16">
      <c r="A6318" s="3">
        <v>43984.36818287037</v>
      </c>
      <c r="B6318" s="4" t="str">
        <f>HYPERLINK("https://twitter.com/petrogustavo","@petrogustavo")</f>
        <v>@petrogustavo</v>
      </c>
      <c r="C6318" s="5" t="s">
        <v>16</v>
      </c>
      <c r="D6318" s="5" t="s">
        <v>6139</v>
      </c>
      <c r="E6318" s="6" t="str">
        <f>HYPERLINK("https://twitter.com/petrogustavo/status/1267657237008388097","1267657237008388097")</f>
        <v>1267657237008388097</v>
      </c>
      <c r="F6318" s="7" t="s">
        <v>17</v>
      </c>
      <c r="G6318" s="7">
        <v>3862172</v>
      </c>
      <c r="H6318" s="7">
        <v>2415</v>
      </c>
      <c r="I6318" s="7">
        <v>149</v>
      </c>
      <c r="J6318" s="7">
        <v>0</v>
      </c>
      <c r="K6318" s="7" t="s">
        <v>18</v>
      </c>
      <c r="L6318" s="8">
        <v>39987.315405092595</v>
      </c>
      <c r="M6318" s="9" t="s">
        <v>19</v>
      </c>
      <c r="N6318" s="9" t="s">
        <v>20</v>
      </c>
      <c r="O6318" s="6" t="str">
        <f>HYPERLINK("https://pbs.twimg.com/profile_images/962471262747529216/Uo8lOkRJ_normal.jpg","View")</f>
        <v>View</v>
      </c>
      <c r="P6318" s="7"/>
    </row>
    <row r="6319" spans="1:16">
      <c r="A6319" s="3">
        <v>43984.368298611109</v>
      </c>
      <c r="B6319" s="4" t="str">
        <f>HYPERLINK("https://twitter.com/petrogustavo","@petrogustavo")</f>
        <v>@petrogustavo</v>
      </c>
      <c r="C6319" s="5" t="s">
        <v>16</v>
      </c>
      <c r="D6319" s="5" t="s">
        <v>6140</v>
      </c>
      <c r="E6319" s="6" t="str">
        <f>HYPERLINK("https://twitter.com/petrogustavo/status/1267657279203147778","1267657279203147778")</f>
        <v>1267657279203147778</v>
      </c>
      <c r="F6319" s="7" t="s">
        <v>17</v>
      </c>
      <c r="G6319" s="7">
        <v>3862172</v>
      </c>
      <c r="H6319" s="7">
        <v>2415</v>
      </c>
      <c r="I6319" s="7">
        <v>148</v>
      </c>
      <c r="J6319" s="7">
        <v>0</v>
      </c>
      <c r="K6319" s="7" t="s">
        <v>18</v>
      </c>
      <c r="L6319" s="8">
        <v>39987.315405092595</v>
      </c>
      <c r="M6319" s="9" t="s">
        <v>19</v>
      </c>
      <c r="N6319" s="9" t="s">
        <v>20</v>
      </c>
      <c r="O6319" s="6" t="str">
        <f>HYPERLINK("https://pbs.twimg.com/profile_images/962471262747529216/Uo8lOkRJ_normal.jpg","View")</f>
        <v>View</v>
      </c>
      <c r="P6319" s="7"/>
    </row>
    <row r="6320" spans="1:16">
      <c r="A6320" s="3">
        <v>43984.799976851849</v>
      </c>
      <c r="B6320" s="4" t="str">
        <f>HYPERLINK("https://twitter.com/petrogustavo","@petrogustavo")</f>
        <v>@petrogustavo</v>
      </c>
      <c r="C6320" s="5" t="s">
        <v>16</v>
      </c>
      <c r="D6320" s="5" t="s">
        <v>6141</v>
      </c>
      <c r="E6320" s="6" t="str">
        <f>HYPERLINK("https://twitter.com/petrogustavo/status/1267813710262755332","1267813710262755332")</f>
        <v>1267813710262755332</v>
      </c>
      <c r="F6320" s="7" t="s">
        <v>17</v>
      </c>
      <c r="G6320" s="7">
        <v>3864210</v>
      </c>
      <c r="H6320" s="7">
        <v>2415</v>
      </c>
      <c r="I6320" s="7">
        <v>64</v>
      </c>
      <c r="J6320" s="7">
        <v>163</v>
      </c>
      <c r="K6320" s="7" t="s">
        <v>18</v>
      </c>
      <c r="L6320" s="8">
        <v>39987.315405092595</v>
      </c>
      <c r="M6320" s="9" t="s">
        <v>19</v>
      </c>
      <c r="N6320" s="9" t="s">
        <v>20</v>
      </c>
      <c r="O6320" s="6" t="str">
        <f>HYPERLINK("https://pbs.twimg.com/profile_images/962471262747529216/Uo8lOkRJ_normal.jpg","View")</f>
        <v>View</v>
      </c>
      <c r="P6320" s="7"/>
    </row>
    <row r="6321" spans="1:16">
      <c r="A6321" s="3">
        <v>43984.801712962959</v>
      </c>
      <c r="B6321" s="4" t="str">
        <f>HYPERLINK("https://twitter.com/petrogustavo","@petrogustavo")</f>
        <v>@petrogustavo</v>
      </c>
      <c r="C6321" s="5" t="s">
        <v>16</v>
      </c>
      <c r="D6321" s="5" t="s">
        <v>6142</v>
      </c>
      <c r="E6321" s="6" t="str">
        <f>HYPERLINK("https://twitter.com/petrogustavo/status/1267814341211852803","1267814341211852803")</f>
        <v>1267814341211852803</v>
      </c>
      <c r="F6321" s="7" t="s">
        <v>17</v>
      </c>
      <c r="G6321" s="7">
        <v>3864210</v>
      </c>
      <c r="H6321" s="7">
        <v>2415</v>
      </c>
      <c r="I6321" s="7">
        <v>36</v>
      </c>
      <c r="J6321" s="7">
        <v>130</v>
      </c>
      <c r="K6321" s="7" t="s">
        <v>18</v>
      </c>
      <c r="L6321" s="8">
        <v>39987.315405092595</v>
      </c>
      <c r="M6321" s="9" t="s">
        <v>19</v>
      </c>
      <c r="N6321" s="9" t="s">
        <v>20</v>
      </c>
      <c r="O6321" s="6" t="str">
        <f>HYPERLINK("https://pbs.twimg.com/profile_images/962471262747529216/Uo8lOkRJ_normal.jpg","View")</f>
        <v>View</v>
      </c>
      <c r="P6321" s="7"/>
    </row>
    <row r="6322" spans="1:16">
      <c r="A6322" s="3">
        <v>43984.804074074069</v>
      </c>
      <c r="B6322" s="4" t="str">
        <f>HYPERLINK("https://twitter.com/petrogustavo","@petrogustavo")</f>
        <v>@petrogustavo</v>
      </c>
      <c r="C6322" s="5" t="s">
        <v>16</v>
      </c>
      <c r="D6322" s="5" t="s">
        <v>6143</v>
      </c>
      <c r="E6322" s="6" t="str">
        <f>HYPERLINK("https://twitter.com/petrogustavo/status/1267815197340622850","1267815197340622850")</f>
        <v>1267815197340622850</v>
      </c>
      <c r="F6322" s="7" t="s">
        <v>17</v>
      </c>
      <c r="G6322" s="7">
        <v>3864210</v>
      </c>
      <c r="H6322" s="7">
        <v>2415</v>
      </c>
      <c r="I6322" s="7">
        <v>88</v>
      </c>
      <c r="J6322" s="7">
        <v>253</v>
      </c>
      <c r="K6322" s="7" t="s">
        <v>18</v>
      </c>
      <c r="L6322" s="8">
        <v>39987.315405092595</v>
      </c>
      <c r="M6322" s="9" t="s">
        <v>19</v>
      </c>
      <c r="N6322" s="9" t="s">
        <v>20</v>
      </c>
      <c r="O6322" s="6" t="str">
        <f>HYPERLINK("https://pbs.twimg.com/profile_images/962471262747529216/Uo8lOkRJ_normal.jpg","View")</f>
        <v>View</v>
      </c>
      <c r="P6322" s="7"/>
    </row>
    <row r="6323" spans="1:16">
      <c r="A6323" s="3">
        <v>43984.812060185184</v>
      </c>
      <c r="B6323" s="4" t="str">
        <f>HYPERLINK("https://twitter.com/petrogustavo","@petrogustavo")</f>
        <v>@petrogustavo</v>
      </c>
      <c r="C6323" s="5" t="s">
        <v>16</v>
      </c>
      <c r="D6323" s="5" t="s">
        <v>6144</v>
      </c>
      <c r="E6323" s="6" t="str">
        <f>HYPERLINK("https://twitter.com/petrogustavo/status/1267818089199964169","1267818089199964169")</f>
        <v>1267818089199964169</v>
      </c>
      <c r="F6323" s="7" t="s">
        <v>17</v>
      </c>
      <c r="G6323" s="7">
        <v>3864210</v>
      </c>
      <c r="H6323" s="7">
        <v>2415</v>
      </c>
      <c r="I6323" s="7">
        <v>15</v>
      </c>
      <c r="J6323" s="7">
        <v>51</v>
      </c>
      <c r="K6323" s="7" t="s">
        <v>18</v>
      </c>
      <c r="L6323" s="8">
        <v>39987.315405092595</v>
      </c>
      <c r="M6323" s="9" t="s">
        <v>19</v>
      </c>
      <c r="N6323" s="9" t="s">
        <v>20</v>
      </c>
      <c r="O6323" s="6" t="str">
        <f>HYPERLINK("https://pbs.twimg.com/profile_images/962471262747529216/Uo8lOkRJ_normal.jpg","View")</f>
        <v>View</v>
      </c>
      <c r="P6323" s="7"/>
    </row>
    <row r="6324" spans="1:16">
      <c r="A6324" s="3">
        <v>43984.813055555554</v>
      </c>
      <c r="B6324" s="4" t="str">
        <f>HYPERLINK("https://twitter.com/petrogustavo","@petrogustavo")</f>
        <v>@petrogustavo</v>
      </c>
      <c r="C6324" s="5" t="s">
        <v>16</v>
      </c>
      <c r="D6324" s="5" t="s">
        <v>6145</v>
      </c>
      <c r="E6324" s="6" t="str">
        <f>HYPERLINK("https://twitter.com/petrogustavo/status/1267818450350518274","1267818450350518274")</f>
        <v>1267818450350518274</v>
      </c>
      <c r="F6324" s="7" t="s">
        <v>17</v>
      </c>
      <c r="G6324" s="7">
        <v>3864210</v>
      </c>
      <c r="H6324" s="7">
        <v>2415</v>
      </c>
      <c r="I6324" s="7">
        <v>6</v>
      </c>
      <c r="J6324" s="7">
        <v>16</v>
      </c>
      <c r="K6324" s="7" t="s">
        <v>18</v>
      </c>
      <c r="L6324" s="8">
        <v>39987.315405092595</v>
      </c>
      <c r="M6324" s="9" t="s">
        <v>19</v>
      </c>
      <c r="N6324" s="9" t="s">
        <v>20</v>
      </c>
      <c r="O6324" s="6" t="str">
        <f>HYPERLINK("https://pbs.twimg.com/profile_images/962471262747529216/Uo8lOkRJ_normal.jpg","View")</f>
        <v>View</v>
      </c>
      <c r="P6324" s="7"/>
    </row>
    <row r="6325" spans="1:16">
      <c r="A6325" s="3">
        <v>43984.813275462962</v>
      </c>
      <c r="B6325" s="4" t="str">
        <f>HYPERLINK("https://twitter.com/petrogustavo","@petrogustavo")</f>
        <v>@petrogustavo</v>
      </c>
      <c r="C6325" s="5" t="s">
        <v>16</v>
      </c>
      <c r="D6325" s="5" t="s">
        <v>6146</v>
      </c>
      <c r="E6325" s="6" t="str">
        <f>HYPERLINK("https://twitter.com/petrogustavo/status/1267818530512109579","1267818530512109579")</f>
        <v>1267818530512109579</v>
      </c>
      <c r="F6325" s="7" t="s">
        <v>17</v>
      </c>
      <c r="G6325" s="7">
        <v>3864210</v>
      </c>
      <c r="H6325" s="7">
        <v>2415</v>
      </c>
      <c r="I6325" s="7">
        <v>64</v>
      </c>
      <c r="J6325" s="7">
        <v>0</v>
      </c>
      <c r="K6325" s="7" t="s">
        <v>18</v>
      </c>
      <c r="L6325" s="8">
        <v>39987.315405092595</v>
      </c>
      <c r="M6325" s="9" t="s">
        <v>19</v>
      </c>
      <c r="N6325" s="9" t="s">
        <v>20</v>
      </c>
      <c r="O6325" s="6" t="str">
        <f>HYPERLINK("https://pbs.twimg.com/profile_images/962471262747529216/Uo8lOkRJ_normal.jpg","View")</f>
        <v>View</v>
      </c>
      <c r="P6325" s="7"/>
    </row>
    <row r="6326" spans="1:16">
      <c r="A6326" s="3">
        <v>43984.818460648152</v>
      </c>
      <c r="B6326" s="4" t="str">
        <f>HYPERLINK("https://twitter.com/petrogustavo","@petrogustavo")</f>
        <v>@petrogustavo</v>
      </c>
      <c r="C6326" s="5" t="s">
        <v>16</v>
      </c>
      <c r="D6326" s="5" t="s">
        <v>6147</v>
      </c>
      <c r="E6326" s="6" t="str">
        <f>HYPERLINK("https://twitter.com/petrogustavo/status/1267820409992306697","1267820409992306697")</f>
        <v>1267820409992306697</v>
      </c>
      <c r="F6326" s="7" t="s">
        <v>17</v>
      </c>
      <c r="G6326" s="7">
        <v>3864333</v>
      </c>
      <c r="H6326" s="7">
        <v>2415</v>
      </c>
      <c r="I6326" s="7">
        <v>7143</v>
      </c>
      <c r="J6326" s="7">
        <v>0</v>
      </c>
      <c r="K6326" s="7" t="s">
        <v>18</v>
      </c>
      <c r="L6326" s="8">
        <v>39987.315405092595</v>
      </c>
      <c r="M6326" s="9" t="s">
        <v>19</v>
      </c>
      <c r="N6326" s="9" t="s">
        <v>20</v>
      </c>
      <c r="O6326" s="6" t="str">
        <f>HYPERLINK("https://pbs.twimg.com/profile_images/962471262747529216/Uo8lOkRJ_normal.jpg","View")</f>
        <v>View</v>
      </c>
      <c r="P6326" s="7"/>
    </row>
    <row r="6327" spans="1:16">
      <c r="A6327" s="3">
        <v>43984.821203703701</v>
      </c>
      <c r="B6327" s="4" t="str">
        <f>HYPERLINK("https://twitter.com/petrogustavo","@petrogustavo")</f>
        <v>@petrogustavo</v>
      </c>
      <c r="C6327" s="5" t="s">
        <v>16</v>
      </c>
      <c r="D6327" s="5" t="s">
        <v>6148</v>
      </c>
      <c r="E6327" s="6" t="str">
        <f>HYPERLINK("https://twitter.com/petrogustavo/status/1267821403035729920","1267821403035729920")</f>
        <v>1267821403035729920</v>
      </c>
      <c r="F6327" s="7" t="s">
        <v>17</v>
      </c>
      <c r="G6327" s="7">
        <v>3864333</v>
      </c>
      <c r="H6327" s="7">
        <v>2415</v>
      </c>
      <c r="I6327" s="7">
        <v>12</v>
      </c>
      <c r="J6327" s="7">
        <v>55</v>
      </c>
      <c r="K6327" s="7" t="s">
        <v>18</v>
      </c>
      <c r="L6327" s="8">
        <v>39987.315405092595</v>
      </c>
      <c r="M6327" s="9" t="s">
        <v>19</v>
      </c>
      <c r="N6327" s="9" t="s">
        <v>20</v>
      </c>
      <c r="O6327" s="6" t="str">
        <f>HYPERLINK("https://pbs.twimg.com/profile_images/962471262747529216/Uo8lOkRJ_normal.jpg","View")</f>
        <v>View</v>
      </c>
      <c r="P6327" s="7"/>
    </row>
    <row r="6328" spans="1:16">
      <c r="A6328" s="3">
        <v>43984.822569444441</v>
      </c>
      <c r="B6328" s="4" t="str">
        <f>HYPERLINK("https://twitter.com/petrogustavo","@petrogustavo")</f>
        <v>@petrogustavo</v>
      </c>
      <c r="C6328" s="5" t="s">
        <v>16</v>
      </c>
      <c r="D6328" s="5" t="s">
        <v>6149</v>
      </c>
      <c r="E6328" s="6" t="str">
        <f>HYPERLINK("https://twitter.com/petrogustavo/status/1267821897913270273","1267821897913270273")</f>
        <v>1267821897913270273</v>
      </c>
      <c r="F6328" s="7" t="s">
        <v>17</v>
      </c>
      <c r="G6328" s="7">
        <v>3864333</v>
      </c>
      <c r="H6328" s="7">
        <v>2415</v>
      </c>
      <c r="I6328" s="7">
        <v>39</v>
      </c>
      <c r="J6328" s="7">
        <v>144</v>
      </c>
      <c r="K6328" s="7" t="s">
        <v>18</v>
      </c>
      <c r="L6328" s="8">
        <v>39987.315405092595</v>
      </c>
      <c r="M6328" s="9" t="s">
        <v>19</v>
      </c>
      <c r="N6328" s="9" t="s">
        <v>20</v>
      </c>
      <c r="O6328" s="6" t="str">
        <f>HYPERLINK("https://pbs.twimg.com/profile_images/962471262747529216/Uo8lOkRJ_normal.jpg","View")</f>
        <v>View</v>
      </c>
      <c r="P6328" s="7"/>
    </row>
    <row r="6329" spans="1:16">
      <c r="A6329" s="3">
        <v>43984.825891203705</v>
      </c>
      <c r="B6329" s="4" t="str">
        <f>HYPERLINK("https://twitter.com/petrogustavo","@petrogustavo")</f>
        <v>@petrogustavo</v>
      </c>
      <c r="C6329" s="5" t="s">
        <v>16</v>
      </c>
      <c r="D6329" s="5" t="s">
        <v>6150</v>
      </c>
      <c r="E6329" s="6" t="str">
        <f>HYPERLINK("https://twitter.com/petrogustavo/status/1267823104195088384","1267823104195088384")</f>
        <v>1267823104195088384</v>
      </c>
      <c r="F6329" s="7" t="s">
        <v>17</v>
      </c>
      <c r="G6329" s="7">
        <v>3864333</v>
      </c>
      <c r="H6329" s="7">
        <v>2415</v>
      </c>
      <c r="I6329" s="7">
        <v>36</v>
      </c>
      <c r="J6329" s="7">
        <v>138</v>
      </c>
      <c r="K6329" s="7" t="s">
        <v>18</v>
      </c>
      <c r="L6329" s="8">
        <v>39987.315405092595</v>
      </c>
      <c r="M6329" s="9" t="s">
        <v>19</v>
      </c>
      <c r="N6329" s="9" t="s">
        <v>20</v>
      </c>
      <c r="O6329" s="6" t="str">
        <f>HYPERLINK("https://pbs.twimg.com/profile_images/962471262747529216/Uo8lOkRJ_normal.jpg","View")</f>
        <v>View</v>
      </c>
      <c r="P6329" s="7"/>
    </row>
    <row r="6330" spans="1:16">
      <c r="A6330" s="3">
        <v>43984.843506944446</v>
      </c>
      <c r="B6330" s="4" t="str">
        <f>HYPERLINK("https://twitter.com/petrogustavo","@petrogustavo")</f>
        <v>@petrogustavo</v>
      </c>
      <c r="C6330" s="5" t="s">
        <v>16</v>
      </c>
      <c r="D6330" s="5" t="s">
        <v>6151</v>
      </c>
      <c r="E6330" s="6" t="str">
        <f>HYPERLINK("https://twitter.com/petrogustavo/status/1267829488496209920","1267829488496209920")</f>
        <v>1267829488496209920</v>
      </c>
      <c r="F6330" s="7" t="s">
        <v>17</v>
      </c>
      <c r="G6330" s="7">
        <v>3864480</v>
      </c>
      <c r="H6330" s="7">
        <v>2415</v>
      </c>
      <c r="I6330" s="7">
        <v>1767</v>
      </c>
      <c r="J6330" s="7">
        <v>0</v>
      </c>
      <c r="K6330" s="7" t="s">
        <v>18</v>
      </c>
      <c r="L6330" s="8">
        <v>39987.315405092595</v>
      </c>
      <c r="M6330" s="9" t="s">
        <v>19</v>
      </c>
      <c r="N6330" s="9" t="s">
        <v>20</v>
      </c>
      <c r="O6330" s="6" t="str">
        <f>HYPERLINK("https://pbs.twimg.com/profile_images/962471262747529216/Uo8lOkRJ_normal.jpg","View")</f>
        <v>View</v>
      </c>
      <c r="P6330" s="7"/>
    </row>
    <row r="6331" spans="1:16">
      <c r="A6331" s="3">
        <v>43984.843854166669</v>
      </c>
      <c r="B6331" s="4" t="str">
        <f>HYPERLINK("https://twitter.com/petrogustavo","@petrogustavo")</f>
        <v>@petrogustavo</v>
      </c>
      <c r="C6331" s="5" t="s">
        <v>16</v>
      </c>
      <c r="D6331" s="5" t="s">
        <v>6152</v>
      </c>
      <c r="E6331" s="6" t="str">
        <f>HYPERLINK("https://twitter.com/petrogustavo/status/1267829612832153610","1267829612832153610")</f>
        <v>1267829612832153610</v>
      </c>
      <c r="F6331" s="7" t="s">
        <v>17</v>
      </c>
      <c r="G6331" s="7">
        <v>3864480</v>
      </c>
      <c r="H6331" s="7">
        <v>2415</v>
      </c>
      <c r="I6331" s="7">
        <v>21</v>
      </c>
      <c r="J6331" s="7">
        <v>0</v>
      </c>
      <c r="K6331" s="7" t="s">
        <v>18</v>
      </c>
      <c r="L6331" s="8">
        <v>39987.315405092595</v>
      </c>
      <c r="M6331" s="9" t="s">
        <v>19</v>
      </c>
      <c r="N6331" s="9" t="s">
        <v>20</v>
      </c>
      <c r="O6331" s="6" t="str">
        <f>HYPERLINK("https://pbs.twimg.com/profile_images/962471262747529216/Uo8lOkRJ_normal.jpg","View")</f>
        <v>View</v>
      </c>
      <c r="P6331" s="7"/>
    </row>
    <row r="6332" spans="1:16">
      <c r="A6332" s="3">
        <v>43984.844675925924</v>
      </c>
      <c r="B6332" s="4" t="str">
        <f>HYPERLINK("https://twitter.com/petrogustavo","@petrogustavo")</f>
        <v>@petrogustavo</v>
      </c>
      <c r="C6332" s="5" t="s">
        <v>16</v>
      </c>
      <c r="D6332" s="5" t="s">
        <v>6153</v>
      </c>
      <c r="E6332" s="6" t="str">
        <f>HYPERLINK("https://twitter.com/petrogustavo/status/1267829911101689865","1267829911101689865")</f>
        <v>1267829911101689865</v>
      </c>
      <c r="F6332" s="7" t="s">
        <v>17</v>
      </c>
      <c r="G6332" s="7">
        <v>3864480</v>
      </c>
      <c r="H6332" s="7">
        <v>2415</v>
      </c>
      <c r="I6332" s="7">
        <v>546</v>
      </c>
      <c r="J6332" s="7">
        <v>0</v>
      </c>
      <c r="K6332" s="7" t="s">
        <v>18</v>
      </c>
      <c r="L6332" s="8">
        <v>39987.315405092595</v>
      </c>
      <c r="M6332" s="9" t="s">
        <v>19</v>
      </c>
      <c r="N6332" s="9" t="s">
        <v>20</v>
      </c>
      <c r="O6332" s="6" t="str">
        <f>HYPERLINK("https://pbs.twimg.com/profile_images/962471262747529216/Uo8lOkRJ_normal.jpg","View")</f>
        <v>View</v>
      </c>
      <c r="P6332" s="7"/>
    </row>
    <row r="6333" spans="1:16">
      <c r="A6333" s="3">
        <v>43984.847118055557</v>
      </c>
      <c r="B6333" s="4" t="str">
        <f>HYPERLINK("https://twitter.com/petrogustavo","@petrogustavo")</f>
        <v>@petrogustavo</v>
      </c>
      <c r="C6333" s="5" t="s">
        <v>16</v>
      </c>
      <c r="D6333" s="5" t="s">
        <v>6154</v>
      </c>
      <c r="E6333" s="6" t="str">
        <f>HYPERLINK("https://twitter.com/petrogustavo/status/1267830794254462977","1267830794254462977")</f>
        <v>1267830794254462977</v>
      </c>
      <c r="F6333" s="7" t="s">
        <v>17</v>
      </c>
      <c r="G6333" s="7">
        <v>3864480</v>
      </c>
      <c r="H6333" s="7">
        <v>2415</v>
      </c>
      <c r="I6333" s="7">
        <v>52</v>
      </c>
      <c r="J6333" s="7">
        <v>138</v>
      </c>
      <c r="K6333" s="7" t="s">
        <v>18</v>
      </c>
      <c r="L6333" s="8">
        <v>39987.315405092595</v>
      </c>
      <c r="M6333" s="9" t="s">
        <v>19</v>
      </c>
      <c r="N6333" s="9" t="s">
        <v>20</v>
      </c>
      <c r="O6333" s="6" t="str">
        <f>HYPERLINK("https://pbs.twimg.com/profile_images/962471262747529216/Uo8lOkRJ_normal.jpg","View")</f>
        <v>View</v>
      </c>
      <c r="P6333" s="7"/>
    </row>
    <row r="6334" spans="1:16">
      <c r="A6334" s="3">
        <v>43984.849421296298</v>
      </c>
      <c r="B6334" s="4" t="str">
        <f>HYPERLINK("https://twitter.com/petrogustavo","@petrogustavo")</f>
        <v>@petrogustavo</v>
      </c>
      <c r="C6334" s="5" t="s">
        <v>16</v>
      </c>
      <c r="D6334" s="5" t="s">
        <v>6155</v>
      </c>
      <c r="E6334" s="6" t="str">
        <f>HYPERLINK("https://twitter.com/petrogustavo/status/1267831631760568320","1267831631760568320")</f>
        <v>1267831631760568320</v>
      </c>
      <c r="F6334" s="7" t="s">
        <v>17</v>
      </c>
      <c r="G6334" s="7">
        <v>3864480</v>
      </c>
      <c r="H6334" s="7">
        <v>2415</v>
      </c>
      <c r="I6334" s="7">
        <v>74</v>
      </c>
      <c r="J6334" s="7">
        <v>160</v>
      </c>
      <c r="K6334" s="7" t="s">
        <v>18</v>
      </c>
      <c r="L6334" s="8">
        <v>39987.315405092595</v>
      </c>
      <c r="M6334" s="9" t="s">
        <v>19</v>
      </c>
      <c r="N6334" s="9" t="s">
        <v>20</v>
      </c>
      <c r="O6334" s="6" t="str">
        <f>HYPERLINK("https://pbs.twimg.com/profile_images/962471262747529216/Uo8lOkRJ_normal.jpg","View")</f>
        <v>View</v>
      </c>
      <c r="P6334" s="7"/>
    </row>
    <row r="6335" spans="1:16">
      <c r="A6335" s="3">
        <v>43984.849745370375</v>
      </c>
      <c r="B6335" s="4" t="str">
        <f>HYPERLINK("https://twitter.com/petrogustavo","@petrogustavo")</f>
        <v>@petrogustavo</v>
      </c>
      <c r="C6335" s="5" t="s">
        <v>16</v>
      </c>
      <c r="D6335" s="5" t="s">
        <v>6156</v>
      </c>
      <c r="E6335" s="6" t="str">
        <f>HYPERLINK("https://twitter.com/petrogustavo/status/1267831749243023360","1267831749243023360")</f>
        <v>1267831749243023360</v>
      </c>
      <c r="F6335" s="7" t="s">
        <v>17</v>
      </c>
      <c r="G6335" s="7">
        <v>3864480</v>
      </c>
      <c r="H6335" s="7">
        <v>2415</v>
      </c>
      <c r="I6335" s="7">
        <v>12</v>
      </c>
      <c r="J6335" s="7">
        <v>0</v>
      </c>
      <c r="K6335" s="7" t="s">
        <v>18</v>
      </c>
      <c r="L6335" s="8">
        <v>39987.315405092595</v>
      </c>
      <c r="M6335" s="9" t="s">
        <v>19</v>
      </c>
      <c r="N6335" s="9" t="s">
        <v>20</v>
      </c>
      <c r="O6335" s="6" t="str">
        <f>HYPERLINK("https://pbs.twimg.com/profile_images/962471262747529216/Uo8lOkRJ_normal.jpg","View")</f>
        <v>View</v>
      </c>
      <c r="P6335" s="7"/>
    </row>
    <row r="6336" spans="1:16">
      <c r="A6336" s="3">
        <v>43984.880104166667</v>
      </c>
      <c r="B6336" s="4" t="str">
        <f>HYPERLINK("https://twitter.com/petrogustavo","@petrogustavo")</f>
        <v>@petrogustavo</v>
      </c>
      <c r="C6336" s="5" t="s">
        <v>16</v>
      </c>
      <c r="D6336" s="5" t="s">
        <v>6157</v>
      </c>
      <c r="E6336" s="6" t="str">
        <f>HYPERLINK("https://twitter.com/petrogustavo/status/1267842747337146369","1267842747337146369")</f>
        <v>1267842747337146369</v>
      </c>
      <c r="F6336" s="7" t="s">
        <v>17</v>
      </c>
      <c r="G6336" s="7">
        <v>3864802</v>
      </c>
      <c r="H6336" s="7">
        <v>2415</v>
      </c>
      <c r="I6336" s="7">
        <v>28</v>
      </c>
      <c r="J6336" s="7">
        <v>81</v>
      </c>
      <c r="K6336" s="7" t="s">
        <v>18</v>
      </c>
      <c r="L6336" s="8">
        <v>39987.315405092595</v>
      </c>
      <c r="M6336" s="9" t="s">
        <v>19</v>
      </c>
      <c r="N6336" s="9" t="s">
        <v>20</v>
      </c>
      <c r="O6336" s="6" t="str">
        <f>HYPERLINK("https://pbs.twimg.com/profile_images/962471262747529216/Uo8lOkRJ_normal.jpg","View")</f>
        <v>View</v>
      </c>
      <c r="P6336" s="7"/>
    </row>
    <row r="6337" spans="1:16">
      <c r="A6337" s="3">
        <v>43984.888321759259</v>
      </c>
      <c r="B6337" s="4" t="str">
        <f>HYPERLINK("https://twitter.com/petrogustavo","@petrogustavo")</f>
        <v>@petrogustavo</v>
      </c>
      <c r="C6337" s="5" t="s">
        <v>16</v>
      </c>
      <c r="D6337" s="5" t="s">
        <v>6158</v>
      </c>
      <c r="E6337" s="6" t="str">
        <f>HYPERLINK("https://twitter.com/petrogustavo/status/1267845728795267077","1267845728795267077")</f>
        <v>1267845728795267077</v>
      </c>
      <c r="F6337" s="7" t="s">
        <v>17</v>
      </c>
      <c r="G6337" s="7">
        <v>3864802</v>
      </c>
      <c r="H6337" s="7">
        <v>2415</v>
      </c>
      <c r="I6337" s="7">
        <v>26</v>
      </c>
      <c r="J6337" s="7">
        <v>99</v>
      </c>
      <c r="K6337" s="7" t="s">
        <v>18</v>
      </c>
      <c r="L6337" s="8">
        <v>39987.315405092595</v>
      </c>
      <c r="M6337" s="9" t="s">
        <v>19</v>
      </c>
      <c r="N6337" s="9" t="s">
        <v>20</v>
      </c>
      <c r="O6337" s="6" t="str">
        <f>HYPERLINK("https://pbs.twimg.com/profile_images/962471262747529216/Uo8lOkRJ_normal.jpg","View")</f>
        <v>View</v>
      </c>
      <c r="P6337" s="7"/>
    </row>
    <row r="6338" spans="1:16">
      <c r="A6338" s="3">
        <v>43984.904143518521</v>
      </c>
      <c r="B6338" s="4" t="str">
        <f>HYPERLINK("https://twitter.com/petrogustavo","@petrogustavo")</f>
        <v>@petrogustavo</v>
      </c>
      <c r="C6338" s="5" t="s">
        <v>16</v>
      </c>
      <c r="D6338" s="5" t="s">
        <v>6159</v>
      </c>
      <c r="E6338" s="6" t="str">
        <f>HYPERLINK("https://twitter.com/petrogustavo/status/1267851462849310721","1267851462849310721")</f>
        <v>1267851462849310721</v>
      </c>
      <c r="F6338" s="7" t="s">
        <v>17</v>
      </c>
      <c r="G6338" s="7">
        <v>3864989</v>
      </c>
      <c r="H6338" s="7">
        <v>2415</v>
      </c>
      <c r="I6338" s="7">
        <v>25</v>
      </c>
      <c r="J6338" s="7">
        <v>85</v>
      </c>
      <c r="K6338" s="7" t="s">
        <v>18</v>
      </c>
      <c r="L6338" s="8">
        <v>39987.315405092595</v>
      </c>
      <c r="M6338" s="9" t="s">
        <v>19</v>
      </c>
      <c r="N6338" s="9" t="s">
        <v>20</v>
      </c>
      <c r="O6338" s="6" t="str">
        <f>HYPERLINK("https://pbs.twimg.com/profile_images/962471262747529216/Uo8lOkRJ_normal.jpg","View")</f>
        <v>View</v>
      </c>
      <c r="P6338" s="7"/>
    </row>
    <row r="6339" spans="1:16">
      <c r="A6339" s="3">
        <v>43984.944525462968</v>
      </c>
      <c r="B6339" s="4" t="str">
        <f>HYPERLINK("https://twitter.com/petrogustavo","@petrogustavo")</f>
        <v>@petrogustavo</v>
      </c>
      <c r="C6339" s="5" t="s">
        <v>16</v>
      </c>
      <c r="D6339" s="5" t="s">
        <v>6160</v>
      </c>
      <c r="E6339" s="6" t="str">
        <f>HYPERLINK("https://twitter.com/petrogustavo/status/1267866093726687232","1267866093726687232")</f>
        <v>1267866093726687232</v>
      </c>
      <c r="F6339" s="7" t="s">
        <v>32</v>
      </c>
      <c r="G6339" s="7">
        <v>3865293</v>
      </c>
      <c r="H6339" s="7">
        <v>2415</v>
      </c>
      <c r="I6339" s="7">
        <v>1439</v>
      </c>
      <c r="J6339" s="7">
        <v>0</v>
      </c>
      <c r="K6339" s="7" t="s">
        <v>18</v>
      </c>
      <c r="L6339" s="8">
        <v>39987.315405092595</v>
      </c>
      <c r="M6339" s="9" t="s">
        <v>19</v>
      </c>
      <c r="N6339" s="9" t="s">
        <v>20</v>
      </c>
      <c r="O6339" s="6" t="str">
        <f>HYPERLINK("https://pbs.twimg.com/profile_images/962471262747529216/Uo8lOkRJ_normal.jpg","View")</f>
        <v>View</v>
      </c>
      <c r="P6339" s="7"/>
    </row>
    <row r="6340" spans="1:16">
      <c r="A6340" s="3">
        <v>43984.947141203702</v>
      </c>
      <c r="B6340" s="4" t="str">
        <f>HYPERLINK("https://twitter.com/petrogustavo","@petrogustavo")</f>
        <v>@petrogustavo</v>
      </c>
      <c r="C6340" s="5" t="s">
        <v>16</v>
      </c>
      <c r="D6340" s="5" t="s">
        <v>6161</v>
      </c>
      <c r="E6340" s="6" t="str">
        <f>HYPERLINK("https://twitter.com/petrogustavo/status/1267867042448883715","1267867042448883715")</f>
        <v>1267867042448883715</v>
      </c>
      <c r="F6340" s="7" t="s">
        <v>32</v>
      </c>
      <c r="G6340" s="7">
        <v>3865293</v>
      </c>
      <c r="H6340" s="7">
        <v>2415</v>
      </c>
      <c r="I6340" s="7">
        <v>2916</v>
      </c>
      <c r="J6340" s="7">
        <v>0</v>
      </c>
      <c r="K6340" s="7" t="s">
        <v>18</v>
      </c>
      <c r="L6340" s="8">
        <v>39987.315405092595</v>
      </c>
      <c r="M6340" s="9" t="s">
        <v>19</v>
      </c>
      <c r="N6340" s="9" t="s">
        <v>20</v>
      </c>
      <c r="O6340" s="6" t="str">
        <f>HYPERLINK("https://pbs.twimg.com/profile_images/962471262747529216/Uo8lOkRJ_normal.jpg","View")</f>
        <v>View</v>
      </c>
      <c r="P6340" s="7"/>
    </row>
    <row r="6341" spans="1:16">
      <c r="A6341" s="3">
        <v>43984.949201388888</v>
      </c>
      <c r="B6341" s="4" t="str">
        <f>HYPERLINK("https://twitter.com/petrogustavo","@petrogustavo")</f>
        <v>@petrogustavo</v>
      </c>
      <c r="C6341" s="5" t="s">
        <v>16</v>
      </c>
      <c r="D6341" s="5" t="s">
        <v>6146</v>
      </c>
      <c r="E6341" s="6" t="str">
        <f>HYPERLINK("https://twitter.com/petrogustavo/status/1267867787776741376","1267867787776741376")</f>
        <v>1267867787776741376</v>
      </c>
      <c r="F6341" s="7" t="s">
        <v>32</v>
      </c>
      <c r="G6341" s="7">
        <v>3865293</v>
      </c>
      <c r="H6341" s="7">
        <v>2415</v>
      </c>
      <c r="I6341" s="7">
        <v>201</v>
      </c>
      <c r="J6341" s="7">
        <v>0</v>
      </c>
      <c r="K6341" s="7" t="s">
        <v>18</v>
      </c>
      <c r="L6341" s="8">
        <v>39987.315405092595</v>
      </c>
      <c r="M6341" s="9" t="s">
        <v>19</v>
      </c>
      <c r="N6341" s="9" t="s">
        <v>20</v>
      </c>
      <c r="O6341" s="6" t="str">
        <f>HYPERLINK("https://pbs.twimg.com/profile_images/962471262747529216/Uo8lOkRJ_normal.jpg","View")</f>
        <v>View</v>
      </c>
      <c r="P6341" s="7"/>
    </row>
    <row r="6342" spans="1:16">
      <c r="A6342" s="3">
        <v>43985.079293981486</v>
      </c>
      <c r="B6342" s="4" t="str">
        <f>HYPERLINK("https://twitter.com/petrogustavo","@petrogustavo")</f>
        <v>@petrogustavo</v>
      </c>
      <c r="C6342" s="5" t="s">
        <v>16</v>
      </c>
      <c r="D6342" s="5" t="s">
        <v>6162</v>
      </c>
      <c r="E6342" s="6" t="str">
        <f>HYPERLINK("https://twitter.com/petrogustavo/status/1267914933716557826","1267914933716557826")</f>
        <v>1267914933716557826</v>
      </c>
      <c r="F6342" s="7" t="s">
        <v>32</v>
      </c>
      <c r="G6342" s="7">
        <v>3866047</v>
      </c>
      <c r="H6342" s="7">
        <v>2416</v>
      </c>
      <c r="I6342" s="7">
        <v>2244</v>
      </c>
      <c r="J6342" s="7">
        <v>0</v>
      </c>
      <c r="K6342" s="7" t="s">
        <v>18</v>
      </c>
      <c r="L6342" s="8">
        <v>39987.315405092595</v>
      </c>
      <c r="M6342" s="9" t="s">
        <v>19</v>
      </c>
      <c r="N6342" s="9" t="s">
        <v>20</v>
      </c>
      <c r="O6342" s="6" t="str">
        <f>HYPERLINK("https://pbs.twimg.com/profile_images/962471262747529216/Uo8lOkRJ_normal.jpg","View")</f>
        <v>View</v>
      </c>
      <c r="P6342" s="7"/>
    </row>
    <row r="6343" spans="1:16">
      <c r="A6343" s="3">
        <v>43985.090185185181</v>
      </c>
      <c r="B6343" s="4" t="str">
        <f>HYPERLINK("https://twitter.com/petrogustavo","@petrogustavo")</f>
        <v>@petrogustavo</v>
      </c>
      <c r="C6343" s="5" t="s">
        <v>16</v>
      </c>
      <c r="D6343" s="5" t="s">
        <v>6163</v>
      </c>
      <c r="E6343" s="6" t="str">
        <f>HYPERLINK("https://twitter.com/petrogustavo/status/1267918878480510978","1267918878480510978")</f>
        <v>1267918878480510978</v>
      </c>
      <c r="F6343" s="7" t="s">
        <v>32</v>
      </c>
      <c r="G6343" s="7">
        <v>3866162</v>
      </c>
      <c r="H6343" s="7">
        <v>2418</v>
      </c>
      <c r="I6343" s="7">
        <v>350</v>
      </c>
      <c r="J6343" s="7">
        <v>1042</v>
      </c>
      <c r="K6343" s="7" t="s">
        <v>18</v>
      </c>
      <c r="L6343" s="8">
        <v>39987.315405092595</v>
      </c>
      <c r="M6343" s="9" t="s">
        <v>19</v>
      </c>
      <c r="N6343" s="9" t="s">
        <v>20</v>
      </c>
      <c r="O6343" s="6" t="str">
        <f>HYPERLINK("https://pbs.twimg.com/profile_images/962471262747529216/Uo8lOkRJ_normal.jpg","View")</f>
        <v>View</v>
      </c>
      <c r="P6343" s="7"/>
    </row>
    <row r="6344" spans="1:16">
      <c r="A6344" s="3">
        <v>43985.095567129625</v>
      </c>
      <c r="B6344" s="4" t="str">
        <f>HYPERLINK("https://twitter.com/petrogustavo","@petrogustavo")</f>
        <v>@petrogustavo</v>
      </c>
      <c r="C6344" s="5" t="s">
        <v>16</v>
      </c>
      <c r="D6344" s="5" t="s">
        <v>6164</v>
      </c>
      <c r="E6344" s="6" t="str">
        <f>HYPERLINK("https://twitter.com/petrogustavo/status/1267920829129654273","1267920829129654273")</f>
        <v>1267920829129654273</v>
      </c>
      <c r="F6344" s="7" t="s">
        <v>32</v>
      </c>
      <c r="G6344" s="7">
        <v>3866162</v>
      </c>
      <c r="H6344" s="7">
        <v>2418</v>
      </c>
      <c r="I6344" s="7">
        <v>18</v>
      </c>
      <c r="J6344" s="7">
        <v>0</v>
      </c>
      <c r="K6344" s="7" t="s">
        <v>18</v>
      </c>
      <c r="L6344" s="8">
        <v>39987.315405092595</v>
      </c>
      <c r="M6344" s="9" t="s">
        <v>19</v>
      </c>
      <c r="N6344" s="9" t="s">
        <v>20</v>
      </c>
      <c r="O6344" s="6" t="str">
        <f>HYPERLINK("https://pbs.twimg.com/profile_images/962471262747529216/Uo8lOkRJ_normal.jpg","View")</f>
        <v>View</v>
      </c>
      <c r="P6344" s="7"/>
    </row>
    <row r="6345" spans="1:16">
      <c r="A6345" s="3">
        <v>43985.273668981477</v>
      </c>
      <c r="B6345" s="4" t="str">
        <f>HYPERLINK("https://twitter.com/petrogustavo","@petrogustavo")</f>
        <v>@petrogustavo</v>
      </c>
      <c r="C6345" s="5" t="s">
        <v>16</v>
      </c>
      <c r="D6345" s="5" t="s">
        <v>6165</v>
      </c>
      <c r="E6345" s="6" t="str">
        <f>HYPERLINK("https://twitter.com/petrogustavo/status/1267985371473891331","1267985371473891331")</f>
        <v>1267985371473891331</v>
      </c>
      <c r="F6345" s="7" t="s">
        <v>17</v>
      </c>
      <c r="G6345" s="7">
        <v>3866382</v>
      </c>
      <c r="H6345" s="7">
        <v>2418</v>
      </c>
      <c r="I6345" s="7">
        <v>75</v>
      </c>
      <c r="J6345" s="7">
        <v>220</v>
      </c>
      <c r="K6345" s="7" t="s">
        <v>18</v>
      </c>
      <c r="L6345" s="8">
        <v>39987.315405092595</v>
      </c>
      <c r="M6345" s="9" t="s">
        <v>19</v>
      </c>
      <c r="N6345" s="9" t="s">
        <v>20</v>
      </c>
      <c r="O6345" s="6" t="str">
        <f>HYPERLINK("https://pbs.twimg.com/profile_images/962471262747529216/Uo8lOkRJ_normal.jpg","View")</f>
        <v>View</v>
      </c>
      <c r="P6345" s="7"/>
    </row>
    <row r="6346" spans="1:16">
      <c r="A6346" s="3">
        <v>43985.816446759258</v>
      </c>
      <c r="B6346" s="4" t="str">
        <f>HYPERLINK("https://twitter.com/petrogustavo","@petrogustavo")</f>
        <v>@petrogustavo</v>
      </c>
      <c r="C6346" s="5" t="s">
        <v>16</v>
      </c>
      <c r="D6346" s="5" t="s">
        <v>6166</v>
      </c>
      <c r="E6346" s="6" t="str">
        <f>HYPERLINK("https://twitter.com/petrogustavo/status/1268182068749623303","1268182068749623303")</f>
        <v>1268182068749623303</v>
      </c>
      <c r="F6346" s="7" t="s">
        <v>17</v>
      </c>
      <c r="G6346" s="7">
        <v>3867833</v>
      </c>
      <c r="H6346" s="7">
        <v>2417</v>
      </c>
      <c r="I6346" s="7">
        <v>42</v>
      </c>
      <c r="J6346" s="7">
        <v>119</v>
      </c>
      <c r="K6346" s="7" t="s">
        <v>18</v>
      </c>
      <c r="L6346" s="8">
        <v>39987.315405092595</v>
      </c>
      <c r="M6346" s="9" t="s">
        <v>19</v>
      </c>
      <c r="N6346" s="9" t="s">
        <v>20</v>
      </c>
      <c r="O6346" s="6" t="str">
        <f>HYPERLINK("https://pbs.twimg.com/profile_images/962471262747529216/Uo8lOkRJ_normal.jpg","View")</f>
        <v>View</v>
      </c>
      <c r="P6346" s="7"/>
    </row>
    <row r="6347" spans="1:16">
      <c r="A6347" s="3">
        <v>43985.818344907406</v>
      </c>
      <c r="B6347" s="4" t="str">
        <f>HYPERLINK("https://twitter.com/petrogustavo","@petrogustavo")</f>
        <v>@petrogustavo</v>
      </c>
      <c r="C6347" s="5" t="s">
        <v>16</v>
      </c>
      <c r="D6347" s="5" t="s">
        <v>6167</v>
      </c>
      <c r="E6347" s="6" t="str">
        <f>HYPERLINK("https://twitter.com/petrogustavo/status/1268182756120551424","1268182756120551424")</f>
        <v>1268182756120551424</v>
      </c>
      <c r="F6347" s="7" t="s">
        <v>17</v>
      </c>
      <c r="G6347" s="7">
        <v>3867833</v>
      </c>
      <c r="H6347" s="7">
        <v>2417</v>
      </c>
      <c r="I6347" s="7">
        <v>2733</v>
      </c>
      <c r="J6347" s="7">
        <v>0</v>
      </c>
      <c r="K6347" s="7" t="s">
        <v>18</v>
      </c>
      <c r="L6347" s="8">
        <v>39987.315405092595</v>
      </c>
      <c r="M6347" s="9" t="s">
        <v>19</v>
      </c>
      <c r="N6347" s="9" t="s">
        <v>20</v>
      </c>
      <c r="O6347" s="6" t="str">
        <f>HYPERLINK("https://pbs.twimg.com/profile_images/962471262747529216/Uo8lOkRJ_normal.jpg","View")</f>
        <v>View</v>
      </c>
      <c r="P6347" s="7"/>
    </row>
    <row r="6348" spans="1:16">
      <c r="A6348" s="3">
        <v>43985.82304398148</v>
      </c>
      <c r="B6348" s="4" t="str">
        <f>HYPERLINK("https://twitter.com/petrogustavo","@petrogustavo")</f>
        <v>@petrogustavo</v>
      </c>
      <c r="C6348" s="5" t="s">
        <v>16</v>
      </c>
      <c r="D6348" s="5" t="s">
        <v>6168</v>
      </c>
      <c r="E6348" s="6" t="str">
        <f>HYPERLINK("https://twitter.com/petrogustavo/status/1268184459326763012","1268184459326763012")</f>
        <v>1268184459326763012</v>
      </c>
      <c r="F6348" s="7" t="s">
        <v>17</v>
      </c>
      <c r="G6348" s="7">
        <v>3867833</v>
      </c>
      <c r="H6348" s="7">
        <v>2417</v>
      </c>
      <c r="I6348" s="7">
        <v>85</v>
      </c>
      <c r="J6348" s="7">
        <v>322</v>
      </c>
      <c r="K6348" s="7" t="s">
        <v>18</v>
      </c>
      <c r="L6348" s="8">
        <v>39987.315405092595</v>
      </c>
      <c r="M6348" s="9" t="s">
        <v>19</v>
      </c>
      <c r="N6348" s="9" t="s">
        <v>20</v>
      </c>
      <c r="O6348" s="6" t="str">
        <f>HYPERLINK("https://pbs.twimg.com/profile_images/962471262747529216/Uo8lOkRJ_normal.jpg","View")</f>
        <v>View</v>
      </c>
      <c r="P6348" s="7"/>
    </row>
    <row r="6349" spans="1:16">
      <c r="A6349" s="3">
        <v>43985.835162037038</v>
      </c>
      <c r="B6349" s="4" t="str">
        <f>HYPERLINK("https://twitter.com/petrogustavo","@petrogustavo")</f>
        <v>@petrogustavo</v>
      </c>
      <c r="C6349" s="5" t="s">
        <v>16</v>
      </c>
      <c r="D6349" s="5" t="s">
        <v>6169</v>
      </c>
      <c r="E6349" s="6" t="str">
        <f>HYPERLINK("https://twitter.com/petrogustavo/status/1268188850859499521","1268188850859499521")</f>
        <v>1268188850859499521</v>
      </c>
      <c r="F6349" s="7" t="s">
        <v>17</v>
      </c>
      <c r="G6349" s="7">
        <v>3867833</v>
      </c>
      <c r="H6349" s="7">
        <v>2417</v>
      </c>
      <c r="I6349" s="7">
        <v>1</v>
      </c>
      <c r="J6349" s="7">
        <v>6</v>
      </c>
      <c r="K6349" s="7" t="s">
        <v>18</v>
      </c>
      <c r="L6349" s="8">
        <v>39987.315405092595</v>
      </c>
      <c r="M6349" s="9" t="s">
        <v>19</v>
      </c>
      <c r="N6349" s="9" t="s">
        <v>20</v>
      </c>
      <c r="O6349" s="6" t="str">
        <f>HYPERLINK("https://pbs.twimg.com/profile_images/962471262747529216/Uo8lOkRJ_normal.jpg","View")</f>
        <v>View</v>
      </c>
      <c r="P6349" s="7"/>
    </row>
    <row r="6350" spans="1:16">
      <c r="A6350" s="3">
        <v>43985.83902777778</v>
      </c>
      <c r="B6350" s="4" t="str">
        <f>HYPERLINK("https://twitter.com/petrogustavo","@petrogustavo")</f>
        <v>@petrogustavo</v>
      </c>
      <c r="C6350" s="5" t="s">
        <v>16</v>
      </c>
      <c r="D6350" s="5" t="s">
        <v>6170</v>
      </c>
      <c r="E6350" s="6" t="str">
        <f>HYPERLINK("https://twitter.com/petrogustavo/status/1268190253308928002","1268190253308928002")</f>
        <v>1268190253308928002</v>
      </c>
      <c r="F6350" s="7" t="s">
        <v>17</v>
      </c>
      <c r="G6350" s="7">
        <v>3867757</v>
      </c>
      <c r="H6350" s="7">
        <v>2417</v>
      </c>
      <c r="I6350" s="7">
        <v>166</v>
      </c>
      <c r="J6350" s="7">
        <v>417</v>
      </c>
      <c r="K6350" s="7" t="s">
        <v>18</v>
      </c>
      <c r="L6350" s="8">
        <v>39987.315405092595</v>
      </c>
      <c r="M6350" s="9" t="s">
        <v>19</v>
      </c>
      <c r="N6350" s="9" t="s">
        <v>20</v>
      </c>
      <c r="O6350" s="6" t="str">
        <f>HYPERLINK("https://pbs.twimg.com/profile_images/962471262747529216/Uo8lOkRJ_normal.jpg","View")</f>
        <v>View</v>
      </c>
      <c r="P6350" s="7"/>
    </row>
    <row r="6351" spans="1:16">
      <c r="A6351" s="3">
        <v>43985.841180555552</v>
      </c>
      <c r="B6351" s="4" t="str">
        <f>HYPERLINK("https://twitter.com/petrogustavo","@petrogustavo")</f>
        <v>@petrogustavo</v>
      </c>
      <c r="C6351" s="5" t="s">
        <v>16</v>
      </c>
      <c r="D6351" s="5" t="s">
        <v>6171</v>
      </c>
      <c r="E6351" s="6" t="str">
        <f>HYPERLINK("https://twitter.com/petrogustavo/status/1268191030442110976","1268191030442110976")</f>
        <v>1268191030442110976</v>
      </c>
      <c r="F6351" s="7" t="s">
        <v>17</v>
      </c>
      <c r="G6351" s="7">
        <v>3867757</v>
      </c>
      <c r="H6351" s="7">
        <v>2417</v>
      </c>
      <c r="I6351" s="7">
        <v>299</v>
      </c>
      <c r="J6351" s="7">
        <v>900</v>
      </c>
      <c r="K6351" s="7" t="s">
        <v>18</v>
      </c>
      <c r="L6351" s="8">
        <v>39987.315405092595</v>
      </c>
      <c r="M6351" s="9" t="s">
        <v>19</v>
      </c>
      <c r="N6351" s="9" t="s">
        <v>20</v>
      </c>
      <c r="O6351" s="6" t="str">
        <f>HYPERLINK("https://pbs.twimg.com/profile_images/962471262747529216/Uo8lOkRJ_normal.jpg","View")</f>
        <v>View</v>
      </c>
      <c r="P6351" s="7"/>
    </row>
    <row r="6352" spans="1:16">
      <c r="A6352" s="3">
        <v>43985.842650462961</v>
      </c>
      <c r="B6352" s="4" t="str">
        <f>HYPERLINK("https://twitter.com/petrogustavo","@petrogustavo")</f>
        <v>@petrogustavo</v>
      </c>
      <c r="C6352" s="5" t="s">
        <v>16</v>
      </c>
      <c r="D6352" s="5" t="s">
        <v>6172</v>
      </c>
      <c r="E6352" s="6" t="str">
        <f>HYPERLINK("https://twitter.com/petrogustavo/status/1268191565991874566","1268191565991874566")</f>
        <v>1268191565991874566</v>
      </c>
      <c r="F6352" s="7" t="s">
        <v>17</v>
      </c>
      <c r="G6352" s="7">
        <v>3867757</v>
      </c>
      <c r="H6352" s="7">
        <v>2417</v>
      </c>
      <c r="I6352" s="7">
        <v>38</v>
      </c>
      <c r="J6352" s="7">
        <v>127</v>
      </c>
      <c r="K6352" s="7" t="s">
        <v>18</v>
      </c>
      <c r="L6352" s="8">
        <v>39987.315405092595</v>
      </c>
      <c r="M6352" s="9" t="s">
        <v>19</v>
      </c>
      <c r="N6352" s="9" t="s">
        <v>20</v>
      </c>
      <c r="O6352" s="6" t="str">
        <f>HYPERLINK("https://pbs.twimg.com/profile_images/962471262747529216/Uo8lOkRJ_normal.jpg","View")</f>
        <v>View</v>
      </c>
      <c r="P6352" s="7"/>
    </row>
    <row r="6353" spans="1:16">
      <c r="A6353" s="3">
        <v>43985.847291666665</v>
      </c>
      <c r="B6353" s="4" t="str">
        <f>HYPERLINK("https://twitter.com/petrogustavo","@petrogustavo")</f>
        <v>@petrogustavo</v>
      </c>
      <c r="C6353" s="5" t="s">
        <v>16</v>
      </c>
      <c r="D6353" s="5" t="s">
        <v>6173</v>
      </c>
      <c r="E6353" s="6" t="str">
        <f>HYPERLINK("https://twitter.com/petrogustavo/status/1268193247979061248","1268193247979061248")</f>
        <v>1268193247979061248</v>
      </c>
      <c r="F6353" s="7" t="s">
        <v>17</v>
      </c>
      <c r="G6353" s="7">
        <v>3867757</v>
      </c>
      <c r="H6353" s="7">
        <v>2417</v>
      </c>
      <c r="I6353" s="7">
        <v>39</v>
      </c>
      <c r="J6353" s="7">
        <v>129</v>
      </c>
      <c r="K6353" s="7" t="s">
        <v>18</v>
      </c>
      <c r="L6353" s="8">
        <v>39987.315405092595</v>
      </c>
      <c r="M6353" s="9" t="s">
        <v>19</v>
      </c>
      <c r="N6353" s="9" t="s">
        <v>20</v>
      </c>
      <c r="O6353" s="6" t="str">
        <f>HYPERLINK("https://pbs.twimg.com/profile_images/962471262747529216/Uo8lOkRJ_normal.jpg","View")</f>
        <v>View</v>
      </c>
      <c r="P6353" s="7"/>
    </row>
    <row r="6354" spans="1:16">
      <c r="A6354" s="3">
        <v>43985.849375000005</v>
      </c>
      <c r="B6354" s="4" t="str">
        <f>HYPERLINK("https://twitter.com/petrogustavo","@petrogustavo")</f>
        <v>@petrogustavo</v>
      </c>
      <c r="C6354" s="5" t="s">
        <v>16</v>
      </c>
      <c r="D6354" s="5" t="s">
        <v>6174</v>
      </c>
      <c r="E6354" s="6" t="str">
        <f>HYPERLINK("https://twitter.com/petrogustavo/status/1268194003138289671","1268194003138289671")</f>
        <v>1268194003138289671</v>
      </c>
      <c r="F6354" s="7" t="s">
        <v>17</v>
      </c>
      <c r="G6354" s="7">
        <v>3867757</v>
      </c>
      <c r="H6354" s="7">
        <v>2417</v>
      </c>
      <c r="I6354" s="7">
        <v>16</v>
      </c>
      <c r="J6354" s="7">
        <v>57</v>
      </c>
      <c r="K6354" s="7" t="s">
        <v>18</v>
      </c>
      <c r="L6354" s="8">
        <v>39987.315405092595</v>
      </c>
      <c r="M6354" s="9" t="s">
        <v>19</v>
      </c>
      <c r="N6354" s="9" t="s">
        <v>20</v>
      </c>
      <c r="O6354" s="6" t="str">
        <f>HYPERLINK("https://pbs.twimg.com/profile_images/962471262747529216/Uo8lOkRJ_normal.jpg","View")</f>
        <v>View</v>
      </c>
      <c r="P6354" s="7"/>
    </row>
    <row r="6355" spans="1:16">
      <c r="A6355" s="3">
        <v>43985.852905092594</v>
      </c>
      <c r="B6355" s="4" t="str">
        <f>HYPERLINK("https://twitter.com/petrogustavo","@petrogustavo")</f>
        <v>@petrogustavo</v>
      </c>
      <c r="C6355" s="5" t="s">
        <v>16</v>
      </c>
      <c r="D6355" s="5" t="s">
        <v>6175</v>
      </c>
      <c r="E6355" s="6" t="str">
        <f>HYPERLINK("https://twitter.com/petrogustavo/status/1268195280320696324","1268195280320696324")</f>
        <v>1268195280320696324</v>
      </c>
      <c r="F6355" s="7" t="s">
        <v>17</v>
      </c>
      <c r="G6355" s="7">
        <v>3867757</v>
      </c>
      <c r="H6355" s="7">
        <v>2417</v>
      </c>
      <c r="I6355" s="7">
        <v>16</v>
      </c>
      <c r="J6355" s="7">
        <v>49</v>
      </c>
      <c r="K6355" s="7" t="s">
        <v>18</v>
      </c>
      <c r="L6355" s="8">
        <v>39987.315405092595</v>
      </c>
      <c r="M6355" s="9" t="s">
        <v>19</v>
      </c>
      <c r="N6355" s="9" t="s">
        <v>20</v>
      </c>
      <c r="O6355" s="6" t="str">
        <f>HYPERLINK("https://pbs.twimg.com/profile_images/962471262747529216/Uo8lOkRJ_normal.jpg","View")</f>
        <v>View</v>
      </c>
      <c r="P6355" s="7"/>
    </row>
    <row r="6356" spans="1:16">
      <c r="A6356" s="3">
        <v>43985.865648148145</v>
      </c>
      <c r="B6356" s="4" t="str">
        <f>HYPERLINK("https://twitter.com/petrogustavo","@petrogustavo")</f>
        <v>@petrogustavo</v>
      </c>
      <c r="C6356" s="5" t="s">
        <v>16</v>
      </c>
      <c r="D6356" s="5" t="s">
        <v>6176</v>
      </c>
      <c r="E6356" s="6" t="str">
        <f>HYPERLINK("https://twitter.com/petrogustavo/status/1268199898509455362","1268199898509455362")</f>
        <v>1268199898509455362</v>
      </c>
      <c r="F6356" s="7" t="s">
        <v>17</v>
      </c>
      <c r="G6356" s="7">
        <v>3867847</v>
      </c>
      <c r="H6356" s="7">
        <v>2417</v>
      </c>
      <c r="I6356" s="7">
        <v>50</v>
      </c>
      <c r="J6356" s="7">
        <v>251</v>
      </c>
      <c r="K6356" s="7" t="s">
        <v>18</v>
      </c>
      <c r="L6356" s="8">
        <v>39987.315405092595</v>
      </c>
      <c r="M6356" s="9" t="s">
        <v>19</v>
      </c>
      <c r="N6356" s="9" t="s">
        <v>20</v>
      </c>
      <c r="O6356" s="6" t="str">
        <f>HYPERLINK("https://pbs.twimg.com/profile_images/962471262747529216/Uo8lOkRJ_normal.jpg","View")</f>
        <v>View</v>
      </c>
      <c r="P6356" s="7"/>
    </row>
    <row r="6357" spans="1:16">
      <c r="A6357" s="3">
        <v>43985.869039351848</v>
      </c>
      <c r="B6357" s="4" t="str">
        <f>HYPERLINK("https://twitter.com/petrogustavo","@petrogustavo")</f>
        <v>@petrogustavo</v>
      </c>
      <c r="C6357" s="5" t="s">
        <v>16</v>
      </c>
      <c r="D6357" s="5" t="s">
        <v>6177</v>
      </c>
      <c r="E6357" s="6" t="str">
        <f>HYPERLINK("https://twitter.com/petrogustavo/status/1268201126094086144","1268201126094086144")</f>
        <v>1268201126094086144</v>
      </c>
      <c r="F6357" s="7" t="s">
        <v>17</v>
      </c>
      <c r="G6357" s="7">
        <v>3867847</v>
      </c>
      <c r="H6357" s="7">
        <v>2417</v>
      </c>
      <c r="I6357" s="7">
        <v>23</v>
      </c>
      <c r="J6357" s="7">
        <v>76</v>
      </c>
      <c r="K6357" s="7" t="s">
        <v>18</v>
      </c>
      <c r="L6357" s="8">
        <v>39987.315405092595</v>
      </c>
      <c r="M6357" s="9" t="s">
        <v>19</v>
      </c>
      <c r="N6357" s="9" t="s">
        <v>20</v>
      </c>
      <c r="O6357" s="6" t="str">
        <f>HYPERLINK("https://pbs.twimg.com/profile_images/962471262747529216/Uo8lOkRJ_normal.jpg","View")</f>
        <v>View</v>
      </c>
      <c r="P6357" s="7"/>
    </row>
    <row r="6358" spans="1:16">
      <c r="A6358" s="3">
        <v>43986.248692129629</v>
      </c>
      <c r="B6358" s="4" t="str">
        <f>HYPERLINK("https://twitter.com/petrogustavo","@petrogustavo")</f>
        <v>@petrogustavo</v>
      </c>
      <c r="C6358" s="5" t="s">
        <v>16</v>
      </c>
      <c r="D6358" s="5" t="s">
        <v>6178</v>
      </c>
      <c r="E6358" s="6" t="str">
        <f>HYPERLINK("https://twitter.com/petrogustavo/status/1268338707842686976","1268338707842686976")</f>
        <v>1268338707842686976</v>
      </c>
      <c r="F6358" s="7" t="s">
        <v>32</v>
      </c>
      <c r="G6358" s="7">
        <v>3869196</v>
      </c>
      <c r="H6358" s="7">
        <v>2417</v>
      </c>
      <c r="I6358" s="7">
        <v>34</v>
      </c>
      <c r="J6358" s="7">
        <v>76</v>
      </c>
      <c r="K6358" s="7" t="s">
        <v>18</v>
      </c>
      <c r="L6358" s="8">
        <v>39987.315405092595</v>
      </c>
      <c r="M6358" s="9" t="s">
        <v>19</v>
      </c>
      <c r="N6358" s="9" t="s">
        <v>20</v>
      </c>
      <c r="O6358" s="6" t="str">
        <f>HYPERLINK("https://pbs.twimg.com/profile_images/962471262747529216/Uo8lOkRJ_normal.jpg","View")</f>
        <v>View</v>
      </c>
      <c r="P6358" s="7"/>
    </row>
    <row r="6359" spans="1:16">
      <c r="A6359" s="3">
        <v>43986.361550925925</v>
      </c>
      <c r="B6359" s="4" t="str">
        <f>HYPERLINK("https://twitter.com/petrogustavo","@petrogustavo")</f>
        <v>@petrogustavo</v>
      </c>
      <c r="C6359" s="5" t="s">
        <v>16</v>
      </c>
      <c r="D6359" s="5" t="s">
        <v>6179</v>
      </c>
      <c r="E6359" s="6" t="str">
        <f>HYPERLINK("https://twitter.com/petrogustavo/status/1268379606412865536","1268379606412865536")</f>
        <v>1268379606412865536</v>
      </c>
      <c r="F6359" s="7" t="s">
        <v>32</v>
      </c>
      <c r="G6359" s="7">
        <v>3869593</v>
      </c>
      <c r="H6359" s="7">
        <v>2417</v>
      </c>
      <c r="I6359" s="7">
        <v>607</v>
      </c>
      <c r="J6359" s="7">
        <v>0</v>
      </c>
      <c r="K6359" s="7" t="s">
        <v>18</v>
      </c>
      <c r="L6359" s="8">
        <v>39987.315405092595</v>
      </c>
      <c r="M6359" s="9" t="s">
        <v>19</v>
      </c>
      <c r="N6359" s="9" t="s">
        <v>20</v>
      </c>
      <c r="O6359" s="6" t="str">
        <f>HYPERLINK("https://pbs.twimg.com/profile_images/962471262747529216/Uo8lOkRJ_normal.jpg","View")</f>
        <v>View</v>
      </c>
      <c r="P6359" s="7"/>
    </row>
    <row r="6360" spans="1:16">
      <c r="A6360" s="3">
        <v>43986.36215277778</v>
      </c>
      <c r="B6360" s="4" t="str">
        <f>HYPERLINK("https://twitter.com/petrogustavo","@petrogustavo")</f>
        <v>@petrogustavo</v>
      </c>
      <c r="C6360" s="5" t="s">
        <v>16</v>
      </c>
      <c r="D6360" s="5" t="s">
        <v>6180</v>
      </c>
      <c r="E6360" s="6" t="str">
        <f>HYPERLINK("https://twitter.com/petrogustavo/status/1268379825758183426","1268379825758183426")</f>
        <v>1268379825758183426</v>
      </c>
      <c r="F6360" s="7" t="s">
        <v>32</v>
      </c>
      <c r="G6360" s="7">
        <v>3869593</v>
      </c>
      <c r="H6360" s="7">
        <v>2417</v>
      </c>
      <c r="I6360" s="7">
        <v>40</v>
      </c>
      <c r="J6360" s="7">
        <v>0</v>
      </c>
      <c r="K6360" s="7" t="s">
        <v>18</v>
      </c>
      <c r="L6360" s="8">
        <v>39987.315405092595</v>
      </c>
      <c r="M6360" s="9" t="s">
        <v>19</v>
      </c>
      <c r="N6360" s="9" t="s">
        <v>20</v>
      </c>
      <c r="O6360" s="6" t="str">
        <f>HYPERLINK("https://pbs.twimg.com/profile_images/962471262747529216/Uo8lOkRJ_normal.jpg","View")</f>
        <v>View</v>
      </c>
      <c r="P6360" s="7"/>
    </row>
    <row r="6361" spans="1:16">
      <c r="A6361" s="3">
        <v>43986.362685185188</v>
      </c>
      <c r="B6361" s="4" t="str">
        <f>HYPERLINK("https://twitter.com/petrogustavo","@petrogustavo")</f>
        <v>@petrogustavo</v>
      </c>
      <c r="C6361" s="5" t="s">
        <v>16</v>
      </c>
      <c r="D6361" s="5" t="s">
        <v>6181</v>
      </c>
      <c r="E6361" s="6" t="str">
        <f>HYPERLINK("https://twitter.com/petrogustavo/status/1268380017500852224","1268380017500852224")</f>
        <v>1268380017500852224</v>
      </c>
      <c r="F6361" s="7" t="s">
        <v>32</v>
      </c>
      <c r="G6361" s="7">
        <v>3869593</v>
      </c>
      <c r="H6361" s="7">
        <v>2417</v>
      </c>
      <c r="I6361" s="7">
        <v>217</v>
      </c>
      <c r="J6361" s="7">
        <v>0</v>
      </c>
      <c r="K6361" s="7" t="s">
        <v>18</v>
      </c>
      <c r="L6361" s="8">
        <v>39987.315405092595</v>
      </c>
      <c r="M6361" s="9" t="s">
        <v>19</v>
      </c>
      <c r="N6361" s="9" t="s">
        <v>20</v>
      </c>
      <c r="O6361" s="6" t="str">
        <f>HYPERLINK("https://pbs.twimg.com/profile_images/962471262747529216/Uo8lOkRJ_normal.jpg","View")</f>
        <v>View</v>
      </c>
      <c r="P6361" s="7"/>
    </row>
    <row r="6362" spans="1:16">
      <c r="A6362" s="3">
        <v>43986.362847222219</v>
      </c>
      <c r="B6362" s="4" t="str">
        <f>HYPERLINK("https://twitter.com/petrogustavo","@petrogustavo")</f>
        <v>@petrogustavo</v>
      </c>
      <c r="C6362" s="5" t="s">
        <v>16</v>
      </c>
      <c r="D6362" s="5" t="s">
        <v>6182</v>
      </c>
      <c r="E6362" s="6" t="str">
        <f>HYPERLINK("https://twitter.com/petrogustavo/status/1268380075956805633","1268380075956805633")</f>
        <v>1268380075956805633</v>
      </c>
      <c r="F6362" s="7" t="s">
        <v>32</v>
      </c>
      <c r="G6362" s="7">
        <v>3869593</v>
      </c>
      <c r="H6362" s="7">
        <v>2417</v>
      </c>
      <c r="I6362" s="7">
        <v>33</v>
      </c>
      <c r="J6362" s="7">
        <v>0</v>
      </c>
      <c r="K6362" s="7" t="s">
        <v>18</v>
      </c>
      <c r="L6362" s="8">
        <v>39987.315405092595</v>
      </c>
      <c r="M6362" s="9" t="s">
        <v>19</v>
      </c>
      <c r="N6362" s="9" t="s">
        <v>20</v>
      </c>
      <c r="O6362" s="6" t="str">
        <f>HYPERLINK("https://pbs.twimg.com/profile_images/962471262747529216/Uo8lOkRJ_normal.jpg","View")</f>
        <v>View</v>
      </c>
      <c r="P6362" s="7"/>
    </row>
    <row r="6363" spans="1:16">
      <c r="A6363" s="3">
        <v>43986.363576388889</v>
      </c>
      <c r="B6363" s="4" t="str">
        <f>HYPERLINK("https://twitter.com/petrogustavo","@petrogustavo")</f>
        <v>@petrogustavo</v>
      </c>
      <c r="C6363" s="5" t="s">
        <v>16</v>
      </c>
      <c r="D6363" s="5" t="s">
        <v>6183</v>
      </c>
      <c r="E6363" s="6" t="str">
        <f>HYPERLINK("https://twitter.com/petrogustavo/status/1268380340143509504","1268380340143509504")</f>
        <v>1268380340143509504</v>
      </c>
      <c r="F6363" s="7" t="s">
        <v>32</v>
      </c>
      <c r="G6363" s="7">
        <v>3869593</v>
      </c>
      <c r="H6363" s="7">
        <v>2417</v>
      </c>
      <c r="I6363" s="7">
        <v>146</v>
      </c>
      <c r="J6363" s="7">
        <v>0</v>
      </c>
      <c r="K6363" s="7" t="s">
        <v>18</v>
      </c>
      <c r="L6363" s="8">
        <v>39987.315405092595</v>
      </c>
      <c r="M6363" s="9" t="s">
        <v>19</v>
      </c>
      <c r="N6363" s="9" t="s">
        <v>20</v>
      </c>
      <c r="O6363" s="6" t="str">
        <f>HYPERLINK("https://pbs.twimg.com/profile_images/962471262747529216/Uo8lOkRJ_normal.jpg","View")</f>
        <v>View</v>
      </c>
      <c r="P6363" s="7"/>
    </row>
    <row r="6364" spans="1:16">
      <c r="A6364" s="3">
        <v>43986.376550925925</v>
      </c>
      <c r="B6364" s="4" t="str">
        <f>HYPERLINK("https://twitter.com/petrogustavo","@petrogustavo")</f>
        <v>@petrogustavo</v>
      </c>
      <c r="C6364" s="5" t="s">
        <v>16</v>
      </c>
      <c r="D6364" s="5" t="s">
        <v>6184</v>
      </c>
      <c r="E6364" s="6" t="str">
        <f>HYPERLINK("https://twitter.com/petrogustavo/status/1268385044500021248","1268385044500021248")</f>
        <v>1268385044500021248</v>
      </c>
      <c r="F6364" s="7" t="s">
        <v>32</v>
      </c>
      <c r="G6364" s="7">
        <v>3869593</v>
      </c>
      <c r="H6364" s="7">
        <v>2417</v>
      </c>
      <c r="I6364" s="7">
        <v>20</v>
      </c>
      <c r="J6364" s="7">
        <v>0</v>
      </c>
      <c r="K6364" s="7" t="s">
        <v>18</v>
      </c>
      <c r="L6364" s="8">
        <v>39987.315405092595</v>
      </c>
      <c r="M6364" s="9" t="s">
        <v>19</v>
      </c>
      <c r="N6364" s="9" t="s">
        <v>20</v>
      </c>
      <c r="O6364" s="6" t="str">
        <f>HYPERLINK("https://pbs.twimg.com/profile_images/962471262747529216/Uo8lOkRJ_normal.jpg","View")</f>
        <v>View</v>
      </c>
      <c r="P6364" s="7"/>
    </row>
    <row r="6365" spans="1:16">
      <c r="A6365" s="3">
        <v>43986.376932870371</v>
      </c>
      <c r="B6365" s="4" t="str">
        <f>HYPERLINK("https://twitter.com/petrogustavo","@petrogustavo")</f>
        <v>@petrogustavo</v>
      </c>
      <c r="C6365" s="5" t="s">
        <v>16</v>
      </c>
      <c r="D6365" s="5" t="s">
        <v>6185</v>
      </c>
      <c r="E6365" s="6" t="str">
        <f>HYPERLINK("https://twitter.com/petrogustavo/status/1268385182773587970","1268385182773587970")</f>
        <v>1268385182773587970</v>
      </c>
      <c r="F6365" s="7" t="s">
        <v>32</v>
      </c>
      <c r="G6365" s="7">
        <v>3869593</v>
      </c>
      <c r="H6365" s="7">
        <v>2417</v>
      </c>
      <c r="I6365" s="7">
        <v>22</v>
      </c>
      <c r="J6365" s="7">
        <v>0</v>
      </c>
      <c r="K6365" s="7" t="s">
        <v>18</v>
      </c>
      <c r="L6365" s="8">
        <v>39987.315405092595</v>
      </c>
      <c r="M6365" s="9" t="s">
        <v>19</v>
      </c>
      <c r="N6365" s="9" t="s">
        <v>20</v>
      </c>
      <c r="O6365" s="6" t="str">
        <f>HYPERLINK("https://pbs.twimg.com/profile_images/962471262747529216/Uo8lOkRJ_normal.jpg","View")</f>
        <v>View</v>
      </c>
      <c r="P6365" s="7"/>
    </row>
    <row r="6366" spans="1:16">
      <c r="A6366" s="3">
        <v>43986.37709490741</v>
      </c>
      <c r="B6366" s="4" t="str">
        <f>HYPERLINK("https://twitter.com/petrogustavo","@petrogustavo")</f>
        <v>@petrogustavo</v>
      </c>
      <c r="C6366" s="5" t="s">
        <v>16</v>
      </c>
      <c r="D6366" s="5" t="s">
        <v>6186</v>
      </c>
      <c r="E6366" s="6" t="str">
        <f>HYPERLINK("https://twitter.com/petrogustavo/status/1268385242047557633","1268385242047557633")</f>
        <v>1268385242047557633</v>
      </c>
      <c r="F6366" s="7" t="s">
        <v>32</v>
      </c>
      <c r="G6366" s="7">
        <v>3869593</v>
      </c>
      <c r="H6366" s="7">
        <v>2417</v>
      </c>
      <c r="I6366" s="7">
        <v>166</v>
      </c>
      <c r="J6366" s="7">
        <v>0</v>
      </c>
      <c r="K6366" s="7" t="s">
        <v>18</v>
      </c>
      <c r="L6366" s="8">
        <v>39987.315405092595</v>
      </c>
      <c r="M6366" s="9" t="s">
        <v>19</v>
      </c>
      <c r="N6366" s="9" t="s">
        <v>20</v>
      </c>
      <c r="O6366" s="6" t="str">
        <f>HYPERLINK("https://pbs.twimg.com/profile_images/962471262747529216/Uo8lOkRJ_normal.jpg","View")</f>
        <v>View</v>
      </c>
      <c r="P6366" s="7"/>
    </row>
    <row r="6367" spans="1:16">
      <c r="A6367" s="3">
        <v>43986.377488425926</v>
      </c>
      <c r="B6367" s="4" t="str">
        <f>HYPERLINK("https://twitter.com/petrogustavo","@petrogustavo")</f>
        <v>@petrogustavo</v>
      </c>
      <c r="C6367" s="5" t="s">
        <v>16</v>
      </c>
      <c r="D6367" s="5" t="s">
        <v>6187</v>
      </c>
      <c r="E6367" s="6" t="str">
        <f>HYPERLINK("https://twitter.com/petrogustavo/status/1268385385270427648","1268385385270427648")</f>
        <v>1268385385270427648</v>
      </c>
      <c r="F6367" s="7" t="s">
        <v>32</v>
      </c>
      <c r="G6367" s="7">
        <v>3869662</v>
      </c>
      <c r="H6367" s="7">
        <v>2417</v>
      </c>
      <c r="I6367" s="7">
        <v>591</v>
      </c>
      <c r="J6367" s="7">
        <v>0</v>
      </c>
      <c r="K6367" s="7" t="s">
        <v>18</v>
      </c>
      <c r="L6367" s="8">
        <v>39987.315405092595</v>
      </c>
      <c r="M6367" s="9" t="s">
        <v>19</v>
      </c>
      <c r="N6367" s="9" t="s">
        <v>20</v>
      </c>
      <c r="O6367" s="6" t="str">
        <f>HYPERLINK("https://pbs.twimg.com/profile_images/962471262747529216/Uo8lOkRJ_normal.jpg","View")</f>
        <v>View</v>
      </c>
      <c r="P6367" s="7"/>
    </row>
    <row r="6368" spans="1:16">
      <c r="A6368" s="3">
        <v>43986.380046296297</v>
      </c>
      <c r="B6368" s="4" t="str">
        <f>HYPERLINK("https://twitter.com/petrogustavo","@petrogustavo")</f>
        <v>@petrogustavo</v>
      </c>
      <c r="C6368" s="5" t="s">
        <v>16</v>
      </c>
      <c r="D6368" s="5" t="s">
        <v>6188</v>
      </c>
      <c r="E6368" s="6" t="str">
        <f>HYPERLINK("https://twitter.com/petrogustavo/status/1268386310793936897","1268386310793936897")</f>
        <v>1268386310793936897</v>
      </c>
      <c r="F6368" s="7" t="s">
        <v>32</v>
      </c>
      <c r="G6368" s="7">
        <v>3869662</v>
      </c>
      <c r="H6368" s="7">
        <v>2417</v>
      </c>
      <c r="I6368" s="7">
        <v>718</v>
      </c>
      <c r="J6368" s="7">
        <v>0</v>
      </c>
      <c r="K6368" s="7" t="s">
        <v>18</v>
      </c>
      <c r="L6368" s="8">
        <v>39987.315405092595</v>
      </c>
      <c r="M6368" s="9" t="s">
        <v>19</v>
      </c>
      <c r="N6368" s="9" t="s">
        <v>20</v>
      </c>
      <c r="O6368" s="6" t="str">
        <f>HYPERLINK("https://pbs.twimg.com/profile_images/962471262747529216/Uo8lOkRJ_normal.jpg","View")</f>
        <v>View</v>
      </c>
      <c r="P6368" s="7"/>
    </row>
    <row r="6369" spans="1:16">
      <c r="A6369" s="3">
        <v>43986.380925925929</v>
      </c>
      <c r="B6369" s="4" t="str">
        <f>HYPERLINK("https://twitter.com/petrogustavo","@petrogustavo")</f>
        <v>@petrogustavo</v>
      </c>
      <c r="C6369" s="5" t="s">
        <v>16</v>
      </c>
      <c r="D6369" s="5" t="s">
        <v>6189</v>
      </c>
      <c r="E6369" s="6" t="str">
        <f>HYPERLINK("https://twitter.com/petrogustavo/status/1268386628214697985","1268386628214697985")</f>
        <v>1268386628214697985</v>
      </c>
      <c r="F6369" s="7" t="s">
        <v>32</v>
      </c>
      <c r="G6369" s="7">
        <v>3869662</v>
      </c>
      <c r="H6369" s="7">
        <v>2417</v>
      </c>
      <c r="I6369" s="7">
        <v>335</v>
      </c>
      <c r="J6369" s="7">
        <v>0</v>
      </c>
      <c r="K6369" s="7" t="s">
        <v>18</v>
      </c>
      <c r="L6369" s="8">
        <v>39987.315405092595</v>
      </c>
      <c r="M6369" s="9" t="s">
        <v>19</v>
      </c>
      <c r="N6369" s="9" t="s">
        <v>20</v>
      </c>
      <c r="O6369" s="6" t="str">
        <f>HYPERLINK("https://pbs.twimg.com/profile_images/962471262747529216/Uo8lOkRJ_normal.jpg","View")</f>
        <v>View</v>
      </c>
      <c r="P6369" s="7"/>
    </row>
    <row r="6370" spans="1:16">
      <c r="A6370" s="3">
        <v>43986.773113425923</v>
      </c>
      <c r="B6370" s="4" t="str">
        <f>HYPERLINK("https://twitter.com/petrogustavo","@petrogustavo")</f>
        <v>@petrogustavo</v>
      </c>
      <c r="C6370" s="5" t="s">
        <v>16</v>
      </c>
      <c r="D6370" s="5" t="s">
        <v>6190</v>
      </c>
      <c r="E6370" s="6" t="str">
        <f>HYPERLINK("https://twitter.com/petrogustavo/status/1268528753153622018","1268528753153622018")</f>
        <v>1268528753153622018</v>
      </c>
      <c r="F6370" s="7" t="s">
        <v>17</v>
      </c>
      <c r="G6370" s="7">
        <v>3870099</v>
      </c>
      <c r="H6370" s="7">
        <v>2417</v>
      </c>
      <c r="I6370" s="7">
        <v>221</v>
      </c>
      <c r="J6370" s="7">
        <v>538</v>
      </c>
      <c r="K6370" s="7" t="s">
        <v>18</v>
      </c>
      <c r="L6370" s="8">
        <v>39987.315405092595</v>
      </c>
      <c r="M6370" s="9" t="s">
        <v>19</v>
      </c>
      <c r="N6370" s="9" t="s">
        <v>20</v>
      </c>
      <c r="O6370" s="6" t="str">
        <f>HYPERLINK("https://pbs.twimg.com/profile_images/962471262747529216/Uo8lOkRJ_normal.jpg","View")</f>
        <v>View</v>
      </c>
      <c r="P6370" s="7"/>
    </row>
    <row r="6371" spans="1:16">
      <c r="A6371" s="3">
        <v>43986.781898148147</v>
      </c>
      <c r="B6371" s="4" t="str">
        <f>HYPERLINK("https://twitter.com/petrogustavo","@petrogustavo")</f>
        <v>@petrogustavo</v>
      </c>
      <c r="C6371" s="5" t="s">
        <v>16</v>
      </c>
      <c r="D6371" s="5" t="s">
        <v>6191</v>
      </c>
      <c r="E6371" s="6" t="str">
        <f>HYPERLINK("https://twitter.com/petrogustavo/status/1268531937351794690","1268531937351794690")</f>
        <v>1268531937351794690</v>
      </c>
      <c r="F6371" s="7" t="s">
        <v>17</v>
      </c>
      <c r="G6371" s="7">
        <v>3870099</v>
      </c>
      <c r="H6371" s="7">
        <v>2417</v>
      </c>
      <c r="I6371" s="7">
        <v>124</v>
      </c>
      <c r="J6371" s="7">
        <v>290</v>
      </c>
      <c r="K6371" s="7" t="s">
        <v>18</v>
      </c>
      <c r="L6371" s="8">
        <v>39987.315405092595</v>
      </c>
      <c r="M6371" s="9" t="s">
        <v>19</v>
      </c>
      <c r="N6371" s="9" t="s">
        <v>20</v>
      </c>
      <c r="O6371" s="6" t="str">
        <f>HYPERLINK("https://pbs.twimg.com/profile_images/962471262747529216/Uo8lOkRJ_normal.jpg","View")</f>
        <v>View</v>
      </c>
      <c r="P6371" s="7"/>
    </row>
    <row r="6372" spans="1:16">
      <c r="A6372" s="3">
        <v>43986.787534722222</v>
      </c>
      <c r="B6372" s="4" t="str">
        <f>HYPERLINK("https://twitter.com/petrogustavo","@petrogustavo")</f>
        <v>@petrogustavo</v>
      </c>
      <c r="C6372" s="5" t="s">
        <v>16</v>
      </c>
      <c r="D6372" s="5" t="s">
        <v>6192</v>
      </c>
      <c r="E6372" s="6" t="str">
        <f>HYPERLINK("https://twitter.com/petrogustavo/status/1268533980728565762","1268533980728565762")</f>
        <v>1268533980728565762</v>
      </c>
      <c r="F6372" s="7" t="s">
        <v>17</v>
      </c>
      <c r="G6372" s="7">
        <v>3870099</v>
      </c>
      <c r="H6372" s="7">
        <v>2417</v>
      </c>
      <c r="I6372" s="7">
        <v>46</v>
      </c>
      <c r="J6372" s="7">
        <v>0</v>
      </c>
      <c r="K6372" s="7" t="s">
        <v>18</v>
      </c>
      <c r="L6372" s="8">
        <v>39987.315405092595</v>
      </c>
      <c r="M6372" s="9" t="s">
        <v>19</v>
      </c>
      <c r="N6372" s="9" t="s">
        <v>20</v>
      </c>
      <c r="O6372" s="6" t="str">
        <f>HYPERLINK("https://pbs.twimg.com/profile_images/962471262747529216/Uo8lOkRJ_normal.jpg","View")</f>
        <v>View</v>
      </c>
      <c r="P6372" s="7"/>
    </row>
    <row r="6373" spans="1:16">
      <c r="A6373" s="3">
        <v>43986.787546296298</v>
      </c>
      <c r="B6373" s="4" t="str">
        <f>HYPERLINK("https://twitter.com/petrogustavo","@petrogustavo")</f>
        <v>@petrogustavo</v>
      </c>
      <c r="C6373" s="5" t="s">
        <v>16</v>
      </c>
      <c r="D6373" s="5" t="s">
        <v>6193</v>
      </c>
      <c r="E6373" s="6" t="str">
        <f>HYPERLINK("https://twitter.com/petrogustavo/status/1268533981219348480","1268533981219348480")</f>
        <v>1268533981219348480</v>
      </c>
      <c r="F6373" s="7" t="s">
        <v>17</v>
      </c>
      <c r="G6373" s="7">
        <v>3870099</v>
      </c>
      <c r="H6373" s="7">
        <v>2417</v>
      </c>
      <c r="I6373" s="7">
        <v>27</v>
      </c>
      <c r="J6373" s="7">
        <v>50</v>
      </c>
      <c r="K6373" s="7" t="s">
        <v>18</v>
      </c>
      <c r="L6373" s="8">
        <v>39987.315405092595</v>
      </c>
      <c r="M6373" s="9" t="s">
        <v>19</v>
      </c>
      <c r="N6373" s="9" t="s">
        <v>20</v>
      </c>
      <c r="O6373" s="6" t="str">
        <f>HYPERLINK("https://pbs.twimg.com/profile_images/962471262747529216/Uo8lOkRJ_normal.jpg","View")</f>
        <v>View</v>
      </c>
      <c r="P6373" s="7"/>
    </row>
    <row r="6374" spans="1:16">
      <c r="A6374" s="3">
        <v>43986.789004629631</v>
      </c>
      <c r="B6374" s="4" t="str">
        <f>HYPERLINK("https://twitter.com/petrogustavo","@petrogustavo")</f>
        <v>@petrogustavo</v>
      </c>
      <c r="C6374" s="5" t="s">
        <v>16</v>
      </c>
      <c r="D6374" s="5" t="s">
        <v>6194</v>
      </c>
      <c r="E6374" s="6" t="str">
        <f>HYPERLINK("https://twitter.com/petrogustavo/status/1268534512662839298","1268534512662839298")</f>
        <v>1268534512662839298</v>
      </c>
      <c r="F6374" s="7" t="s">
        <v>17</v>
      </c>
      <c r="G6374" s="7">
        <v>3870099</v>
      </c>
      <c r="H6374" s="7">
        <v>2417</v>
      </c>
      <c r="I6374" s="7">
        <v>44</v>
      </c>
      <c r="J6374" s="7">
        <v>121</v>
      </c>
      <c r="K6374" s="7" t="s">
        <v>18</v>
      </c>
      <c r="L6374" s="8">
        <v>39987.315405092595</v>
      </c>
      <c r="M6374" s="9" t="s">
        <v>19</v>
      </c>
      <c r="N6374" s="9" t="s">
        <v>20</v>
      </c>
      <c r="O6374" s="6" t="str">
        <f>HYPERLINK("https://pbs.twimg.com/profile_images/962471262747529216/Uo8lOkRJ_normal.jpg","View")</f>
        <v>View</v>
      </c>
      <c r="P6374" s="7"/>
    </row>
    <row r="6375" spans="1:16">
      <c r="A6375" s="3">
        <v>43986.805185185185</v>
      </c>
      <c r="B6375" s="4" t="str">
        <f>HYPERLINK("https://twitter.com/petrogustavo","@petrogustavo")</f>
        <v>@petrogustavo</v>
      </c>
      <c r="C6375" s="5" t="s">
        <v>16</v>
      </c>
      <c r="D6375" s="5" t="s">
        <v>6195</v>
      </c>
      <c r="E6375" s="6" t="str">
        <f>HYPERLINK("https://twitter.com/petrogustavo/status/1268540377360932866","1268540377360932866")</f>
        <v>1268540377360932866</v>
      </c>
      <c r="F6375" s="7" t="s">
        <v>21</v>
      </c>
      <c r="G6375" s="7">
        <v>3870158</v>
      </c>
      <c r="H6375" s="7">
        <v>2417</v>
      </c>
      <c r="I6375" s="7">
        <v>71</v>
      </c>
      <c r="J6375" s="7">
        <v>133</v>
      </c>
      <c r="K6375" s="7" t="s">
        <v>18</v>
      </c>
      <c r="L6375" s="8">
        <v>39987.315405092595</v>
      </c>
      <c r="M6375" s="9" t="s">
        <v>19</v>
      </c>
      <c r="N6375" s="9" t="s">
        <v>20</v>
      </c>
      <c r="O6375" s="6" t="str">
        <f>HYPERLINK("https://pbs.twimg.com/profile_images/962471262747529216/Uo8lOkRJ_normal.jpg","View")</f>
        <v>View</v>
      </c>
      <c r="P6375" s="7"/>
    </row>
    <row r="6376" spans="1:16">
      <c r="A6376" s="3">
        <v>43986.831284722226</v>
      </c>
      <c r="B6376" s="4" t="str">
        <f>HYPERLINK("https://twitter.com/petrogustavo","@petrogustavo")</f>
        <v>@petrogustavo</v>
      </c>
      <c r="C6376" s="5" t="s">
        <v>16</v>
      </c>
      <c r="D6376" s="5" t="s">
        <v>6196</v>
      </c>
      <c r="E6376" s="6" t="str">
        <f>HYPERLINK("https://twitter.com/petrogustavo/status/1268549834384031747","1268549834384031747")</f>
        <v>1268549834384031747</v>
      </c>
      <c r="F6376" s="7" t="s">
        <v>32</v>
      </c>
      <c r="G6376" s="7">
        <v>3870188</v>
      </c>
      <c r="H6376" s="7">
        <v>2417</v>
      </c>
      <c r="I6376" s="7">
        <v>53</v>
      </c>
      <c r="J6376" s="7">
        <v>147</v>
      </c>
      <c r="K6376" s="7" t="s">
        <v>18</v>
      </c>
      <c r="L6376" s="8">
        <v>39987.315405092595</v>
      </c>
      <c r="M6376" s="9" t="s">
        <v>19</v>
      </c>
      <c r="N6376" s="9" t="s">
        <v>20</v>
      </c>
      <c r="O6376" s="6" t="str">
        <f>HYPERLINK("https://pbs.twimg.com/profile_images/962471262747529216/Uo8lOkRJ_normal.jpg","View")</f>
        <v>View</v>
      </c>
      <c r="P6376" s="7"/>
    </row>
    <row r="6377" spans="1:16">
      <c r="A6377" s="3">
        <v>43986.843275462961</v>
      </c>
      <c r="B6377" s="4" t="str">
        <f>HYPERLINK("https://twitter.com/petrogustavo","@petrogustavo")</f>
        <v>@petrogustavo</v>
      </c>
      <c r="C6377" s="5" t="s">
        <v>16</v>
      </c>
      <c r="D6377" s="5" t="s">
        <v>6197</v>
      </c>
      <c r="E6377" s="6" t="str">
        <f>HYPERLINK("https://twitter.com/petrogustavo/status/1268554177388650496","1268554177388650496")</f>
        <v>1268554177388650496</v>
      </c>
      <c r="F6377" s="7" t="s">
        <v>17</v>
      </c>
      <c r="G6377" s="7">
        <v>3870237</v>
      </c>
      <c r="H6377" s="7">
        <v>2417</v>
      </c>
      <c r="I6377" s="7">
        <v>199</v>
      </c>
      <c r="J6377" s="7">
        <v>0</v>
      </c>
      <c r="K6377" s="7" t="s">
        <v>18</v>
      </c>
      <c r="L6377" s="8">
        <v>39987.315405092595</v>
      </c>
      <c r="M6377" s="9" t="s">
        <v>19</v>
      </c>
      <c r="N6377" s="9" t="s">
        <v>20</v>
      </c>
      <c r="O6377" s="6" t="str">
        <f>HYPERLINK("https://pbs.twimg.com/profile_images/962471262747529216/Uo8lOkRJ_normal.jpg","View")</f>
        <v>View</v>
      </c>
      <c r="P6377" s="7"/>
    </row>
    <row r="6378" spans="1:16">
      <c r="A6378" s="3">
        <v>43986.846539351856</v>
      </c>
      <c r="B6378" s="4" t="str">
        <f>HYPERLINK("https://twitter.com/petrogustavo","@petrogustavo")</f>
        <v>@petrogustavo</v>
      </c>
      <c r="C6378" s="5" t="s">
        <v>16</v>
      </c>
      <c r="D6378" s="5" t="s">
        <v>6198</v>
      </c>
      <c r="E6378" s="6" t="str">
        <f>HYPERLINK("https://twitter.com/petrogustavo/status/1268555360765464578","1268555360765464578")</f>
        <v>1268555360765464578</v>
      </c>
      <c r="F6378" s="7" t="s">
        <v>17</v>
      </c>
      <c r="G6378" s="7">
        <v>3870237</v>
      </c>
      <c r="H6378" s="7">
        <v>2417</v>
      </c>
      <c r="I6378" s="7">
        <v>37</v>
      </c>
      <c r="J6378" s="7">
        <v>0</v>
      </c>
      <c r="K6378" s="7" t="s">
        <v>18</v>
      </c>
      <c r="L6378" s="8">
        <v>39987.315405092595</v>
      </c>
      <c r="M6378" s="9" t="s">
        <v>19</v>
      </c>
      <c r="N6378" s="9" t="s">
        <v>20</v>
      </c>
      <c r="O6378" s="6" t="str">
        <f>HYPERLINK("https://pbs.twimg.com/profile_images/962471262747529216/Uo8lOkRJ_normal.jpg","View")</f>
        <v>View</v>
      </c>
      <c r="P6378" s="7"/>
    </row>
    <row r="6379" spans="1:16">
      <c r="A6379" s="3">
        <v>43986.855798611112</v>
      </c>
      <c r="B6379" s="4" t="str">
        <f>HYPERLINK("https://twitter.com/petrogustavo","@petrogustavo")</f>
        <v>@petrogustavo</v>
      </c>
      <c r="C6379" s="5" t="s">
        <v>16</v>
      </c>
      <c r="D6379" s="5" t="s">
        <v>6199</v>
      </c>
      <c r="E6379" s="6" t="str">
        <f>HYPERLINK("https://twitter.com/petrogustavo/status/1268558718888804361","1268558718888804361")</f>
        <v>1268558718888804361</v>
      </c>
      <c r="F6379" s="7" t="s">
        <v>17</v>
      </c>
      <c r="G6379" s="7">
        <v>3870309</v>
      </c>
      <c r="H6379" s="7">
        <v>2417</v>
      </c>
      <c r="I6379" s="7">
        <v>81</v>
      </c>
      <c r="J6379" s="7">
        <v>235</v>
      </c>
      <c r="K6379" s="7" t="s">
        <v>18</v>
      </c>
      <c r="L6379" s="8">
        <v>39987.315405092595</v>
      </c>
      <c r="M6379" s="9" t="s">
        <v>19</v>
      </c>
      <c r="N6379" s="9" t="s">
        <v>20</v>
      </c>
      <c r="O6379" s="6" t="str">
        <f>HYPERLINK("https://pbs.twimg.com/profile_images/962471262747529216/Uo8lOkRJ_normal.jpg","View")</f>
        <v>View</v>
      </c>
      <c r="P6379" s="7"/>
    </row>
    <row r="6380" spans="1:16">
      <c r="A6380" s="3">
        <v>43986.872361111113</v>
      </c>
      <c r="B6380" s="4" t="str">
        <f>HYPERLINK("https://twitter.com/petrogustavo","@petrogustavo")</f>
        <v>@petrogustavo</v>
      </c>
      <c r="C6380" s="5" t="s">
        <v>16</v>
      </c>
      <c r="D6380" s="5" t="s">
        <v>6197</v>
      </c>
      <c r="E6380" s="6" t="str">
        <f>HYPERLINK("https://twitter.com/petrogustavo/status/1268564717737476098","1268564717737476098")</f>
        <v>1268564717737476098</v>
      </c>
      <c r="F6380" s="7" t="s">
        <v>17</v>
      </c>
      <c r="G6380" s="7">
        <v>3870309</v>
      </c>
      <c r="H6380" s="7">
        <v>2417</v>
      </c>
      <c r="I6380" s="7">
        <v>236</v>
      </c>
      <c r="J6380" s="7">
        <v>0</v>
      </c>
      <c r="K6380" s="7" t="s">
        <v>18</v>
      </c>
      <c r="L6380" s="8">
        <v>39987.315405092595</v>
      </c>
      <c r="M6380" s="9" t="s">
        <v>19</v>
      </c>
      <c r="N6380" s="9" t="s">
        <v>20</v>
      </c>
      <c r="O6380" s="6" t="str">
        <f>HYPERLINK("https://pbs.twimg.com/profile_images/962471262747529216/Uo8lOkRJ_normal.jpg","View")</f>
        <v>View</v>
      </c>
      <c r="P6380" s="7"/>
    </row>
    <row r="6381" spans="1:16">
      <c r="A6381" s="3">
        <v>43987.022974537038</v>
      </c>
      <c r="B6381" s="4" t="str">
        <f>HYPERLINK("https://twitter.com/petrogustavo","@petrogustavo")</f>
        <v>@petrogustavo</v>
      </c>
      <c r="C6381" s="5" t="s">
        <v>16</v>
      </c>
      <c r="D6381" s="5" t="s">
        <v>6200</v>
      </c>
      <c r="E6381" s="6" t="str">
        <f>HYPERLINK("https://twitter.com/petrogustavo/status/1268619299767214082","1268619299767214082")</f>
        <v>1268619299767214082</v>
      </c>
      <c r="F6381" s="7" t="s">
        <v>32</v>
      </c>
      <c r="G6381" s="7">
        <v>3870652</v>
      </c>
      <c r="H6381" s="7">
        <v>2417</v>
      </c>
      <c r="I6381" s="7">
        <v>69</v>
      </c>
      <c r="J6381" s="7">
        <v>0</v>
      </c>
      <c r="K6381" s="7" t="s">
        <v>18</v>
      </c>
      <c r="L6381" s="8">
        <v>39987.315405092595</v>
      </c>
      <c r="M6381" s="9" t="s">
        <v>19</v>
      </c>
      <c r="N6381" s="9" t="s">
        <v>20</v>
      </c>
      <c r="O6381" s="6" t="str">
        <f>HYPERLINK("https://pbs.twimg.com/profile_images/962471262747529216/Uo8lOkRJ_normal.jpg","View")</f>
        <v>View</v>
      </c>
      <c r="P6381" s="7"/>
    </row>
    <row r="6382" spans="1:16">
      <c r="A6382" s="3">
        <v>43987.024456018524</v>
      </c>
      <c r="B6382" s="4" t="str">
        <f>HYPERLINK("https://twitter.com/petrogustavo","@petrogustavo")</f>
        <v>@petrogustavo</v>
      </c>
      <c r="C6382" s="5" t="s">
        <v>16</v>
      </c>
      <c r="D6382" s="5" t="s">
        <v>6201</v>
      </c>
      <c r="E6382" s="6" t="str">
        <f>HYPERLINK("https://twitter.com/petrogustavo/status/1268619838219358208","1268619838219358208")</f>
        <v>1268619838219358208</v>
      </c>
      <c r="F6382" s="7" t="s">
        <v>32</v>
      </c>
      <c r="G6382" s="7">
        <v>3870705</v>
      </c>
      <c r="H6382" s="7">
        <v>2417</v>
      </c>
      <c r="I6382" s="7">
        <v>80</v>
      </c>
      <c r="J6382" s="7">
        <v>238</v>
      </c>
      <c r="K6382" s="7" t="s">
        <v>18</v>
      </c>
      <c r="L6382" s="8">
        <v>39987.315405092595</v>
      </c>
      <c r="M6382" s="9" t="s">
        <v>19</v>
      </c>
      <c r="N6382" s="9" t="s">
        <v>20</v>
      </c>
      <c r="O6382" s="6" t="str">
        <f>HYPERLINK("https://pbs.twimg.com/profile_images/962471262747529216/Uo8lOkRJ_normal.jpg","View")</f>
        <v>View</v>
      </c>
      <c r="P6382" s="7"/>
    </row>
    <row r="6383" spans="1:16">
      <c r="A6383" s="3">
        <v>43987.026770833334</v>
      </c>
      <c r="B6383" s="4" t="str">
        <f>HYPERLINK("https://twitter.com/petrogustavo","@petrogustavo")</f>
        <v>@petrogustavo</v>
      </c>
      <c r="C6383" s="5" t="s">
        <v>16</v>
      </c>
      <c r="D6383" s="5" t="s">
        <v>6202</v>
      </c>
      <c r="E6383" s="6" t="str">
        <f>HYPERLINK("https://twitter.com/petrogustavo/status/1268620674307747840","1268620674307747840")</f>
        <v>1268620674307747840</v>
      </c>
      <c r="F6383" s="7" t="s">
        <v>21</v>
      </c>
      <c r="G6383" s="7">
        <v>3870705</v>
      </c>
      <c r="H6383" s="7">
        <v>2417</v>
      </c>
      <c r="I6383" s="7">
        <v>89</v>
      </c>
      <c r="J6383" s="7">
        <v>200</v>
      </c>
      <c r="K6383" s="7" t="s">
        <v>18</v>
      </c>
      <c r="L6383" s="8">
        <v>39987.315405092595</v>
      </c>
      <c r="M6383" s="9" t="s">
        <v>19</v>
      </c>
      <c r="N6383" s="9" t="s">
        <v>20</v>
      </c>
      <c r="O6383" s="6" t="str">
        <f>HYPERLINK("https://pbs.twimg.com/profile_images/962471262747529216/Uo8lOkRJ_normal.jpg","View")</f>
        <v>View</v>
      </c>
      <c r="P6383" s="7"/>
    </row>
    <row r="6384" spans="1:16">
      <c r="A6384" s="3">
        <v>43987.072476851856</v>
      </c>
      <c r="B6384" s="4" t="str">
        <f>HYPERLINK("https://twitter.com/petrogustavo","@petrogustavo")</f>
        <v>@petrogustavo</v>
      </c>
      <c r="C6384" s="5" t="s">
        <v>16</v>
      </c>
      <c r="D6384" s="5" t="s">
        <v>6204</v>
      </c>
      <c r="E6384" s="6" t="str">
        <f>HYPERLINK("https://twitter.com/petrogustavo/status/1268637239413821441","1268637239413821441")</f>
        <v>1268637239413821441</v>
      </c>
      <c r="F6384" s="7" t="s">
        <v>32</v>
      </c>
      <c r="G6384" s="7">
        <v>3870758</v>
      </c>
      <c r="H6384" s="7">
        <v>2417</v>
      </c>
      <c r="I6384" s="7">
        <v>231</v>
      </c>
      <c r="J6384" s="7">
        <v>425</v>
      </c>
      <c r="K6384" s="7" t="s">
        <v>18</v>
      </c>
      <c r="L6384" s="8">
        <v>39987.315405092595</v>
      </c>
      <c r="M6384" s="9" t="s">
        <v>19</v>
      </c>
      <c r="N6384" s="9" t="s">
        <v>20</v>
      </c>
      <c r="O6384" s="6" t="str">
        <f>HYPERLINK("https://pbs.twimg.com/profile_images/962471262747529216/Uo8lOkRJ_normal.jpg","View")</f>
        <v>View</v>
      </c>
      <c r="P6384" s="7"/>
    </row>
    <row r="6385" spans="1:16">
      <c r="A6385" s="3">
        <v>43987.085532407407</v>
      </c>
      <c r="B6385" s="4" t="str">
        <f>HYPERLINK("https://twitter.com/petrogustavo","@petrogustavo")</f>
        <v>@petrogustavo</v>
      </c>
      <c r="C6385" s="5" t="s">
        <v>16</v>
      </c>
      <c r="D6385" s="5" t="s">
        <v>6203</v>
      </c>
      <c r="E6385" s="6" t="str">
        <f>HYPERLINK("https://twitter.com/petrogustavo/status/1268641969187753984","1268641969187753984")</f>
        <v>1268641969187753984</v>
      </c>
      <c r="F6385" s="7" t="s">
        <v>32</v>
      </c>
      <c r="G6385" s="7">
        <v>3870758</v>
      </c>
      <c r="H6385" s="7">
        <v>2417</v>
      </c>
      <c r="I6385" s="7">
        <v>228</v>
      </c>
      <c r="J6385" s="7">
        <v>0</v>
      </c>
      <c r="K6385" s="7" t="s">
        <v>18</v>
      </c>
      <c r="L6385" s="8">
        <v>39987.315405092595</v>
      </c>
      <c r="M6385" s="9" t="s">
        <v>19</v>
      </c>
      <c r="N6385" s="9" t="s">
        <v>20</v>
      </c>
      <c r="O6385" s="6" t="str">
        <f>HYPERLINK("https://pbs.twimg.com/profile_images/962471262747529216/Uo8lOkRJ_normal.jpg","View")</f>
        <v>View</v>
      </c>
      <c r="P6385" s="7"/>
    </row>
    <row r="6386" spans="1:16">
      <c r="A6386" s="3">
        <v>43987.118472222224</v>
      </c>
      <c r="B6386" s="4" t="str">
        <f>HYPERLINK("https://twitter.com/petrogustavo","@petrogustavo")</f>
        <v>@petrogustavo</v>
      </c>
      <c r="C6386" s="5" t="s">
        <v>16</v>
      </c>
      <c r="D6386" s="5" t="s">
        <v>6205</v>
      </c>
      <c r="E6386" s="6" t="str">
        <f>HYPERLINK("https://twitter.com/petrogustavo/status/1268653908374835200","1268653908374835200")</f>
        <v>1268653908374835200</v>
      </c>
      <c r="F6386" s="7" t="s">
        <v>17</v>
      </c>
      <c r="G6386" s="7">
        <v>3870856</v>
      </c>
      <c r="H6386" s="7">
        <v>2417</v>
      </c>
      <c r="I6386" s="7">
        <v>42</v>
      </c>
      <c r="J6386" s="7">
        <v>99</v>
      </c>
      <c r="K6386" s="7" t="s">
        <v>18</v>
      </c>
      <c r="L6386" s="8">
        <v>39987.315405092595</v>
      </c>
      <c r="M6386" s="9" t="s">
        <v>19</v>
      </c>
      <c r="N6386" s="9" t="s">
        <v>20</v>
      </c>
      <c r="O6386" s="6" t="str">
        <f>HYPERLINK("https://pbs.twimg.com/profile_images/962471262747529216/Uo8lOkRJ_normal.jpg","View")</f>
        <v>View</v>
      </c>
      <c r="P6386" s="7"/>
    </row>
    <row r="6387" spans="1:16">
      <c r="A6387" s="3">
        <v>43987.125069444446</v>
      </c>
      <c r="B6387" s="4" t="str">
        <f>HYPERLINK("https://twitter.com/petrogustavo","@petrogustavo")</f>
        <v>@petrogustavo</v>
      </c>
      <c r="C6387" s="5" t="s">
        <v>16</v>
      </c>
      <c r="D6387" s="5" t="s">
        <v>6206</v>
      </c>
      <c r="E6387" s="6" t="str">
        <f>HYPERLINK("https://twitter.com/petrogustavo/status/1268656298033381377","1268656298033381377")</f>
        <v>1268656298033381377</v>
      </c>
      <c r="F6387" s="7" t="s">
        <v>17</v>
      </c>
      <c r="G6387" s="7">
        <v>3870856</v>
      </c>
      <c r="H6387" s="7">
        <v>2417</v>
      </c>
      <c r="I6387" s="7">
        <v>224</v>
      </c>
      <c r="J6387" s="7">
        <v>0</v>
      </c>
      <c r="K6387" s="7" t="s">
        <v>18</v>
      </c>
      <c r="L6387" s="8">
        <v>39987.315405092595</v>
      </c>
      <c r="M6387" s="9" t="s">
        <v>19</v>
      </c>
      <c r="N6387" s="9" t="s">
        <v>20</v>
      </c>
      <c r="O6387" s="6" t="str">
        <f>HYPERLINK("https://pbs.twimg.com/profile_images/962471262747529216/Uo8lOkRJ_normal.jpg","View")</f>
        <v>View</v>
      </c>
      <c r="P6387" s="7"/>
    </row>
    <row r="6388" spans="1:16">
      <c r="A6388" s="3">
        <v>43987.150902777779</v>
      </c>
      <c r="B6388" s="4" t="str">
        <f>HYPERLINK("https://twitter.com/petrogustavo","@petrogustavo")</f>
        <v>@petrogustavo</v>
      </c>
      <c r="C6388" s="5" t="s">
        <v>16</v>
      </c>
      <c r="D6388" s="5" t="s">
        <v>6207</v>
      </c>
      <c r="E6388" s="6" t="str">
        <f>HYPERLINK("https://twitter.com/petrogustavo/status/1268665659279511558","1268665659279511558")</f>
        <v>1268665659279511558</v>
      </c>
      <c r="F6388" s="7" t="s">
        <v>17</v>
      </c>
      <c r="G6388" s="7">
        <v>3870939</v>
      </c>
      <c r="H6388" s="7">
        <v>2417</v>
      </c>
      <c r="I6388" s="7">
        <v>63</v>
      </c>
      <c r="J6388" s="7">
        <v>0</v>
      </c>
      <c r="K6388" s="7" t="s">
        <v>18</v>
      </c>
      <c r="L6388" s="8">
        <v>39987.315405092595</v>
      </c>
      <c r="M6388" s="9" t="s">
        <v>19</v>
      </c>
      <c r="N6388" s="9" t="s">
        <v>20</v>
      </c>
      <c r="O6388" s="6" t="str">
        <f>HYPERLINK("https://pbs.twimg.com/profile_images/962471262747529216/Uo8lOkRJ_normal.jpg","View")</f>
        <v>View</v>
      </c>
      <c r="P6388" s="7"/>
    </row>
    <row r="6389" spans="1:16">
      <c r="A6389" s="3">
        <v>43987.212476851855</v>
      </c>
      <c r="B6389" s="4" t="str">
        <f>HYPERLINK("https://twitter.com/petrogustavo","@petrogustavo")</f>
        <v>@petrogustavo</v>
      </c>
      <c r="C6389" s="5" t="s">
        <v>16</v>
      </c>
      <c r="D6389" s="5" t="s">
        <v>6208</v>
      </c>
      <c r="E6389" s="6" t="str">
        <f>HYPERLINK("https://twitter.com/petrogustavo/status/1268687971252928513","1268687971252928513")</f>
        <v>1268687971252928513</v>
      </c>
      <c r="F6389" s="7" t="s">
        <v>17</v>
      </c>
      <c r="G6389" s="7">
        <v>3871044</v>
      </c>
      <c r="H6389" s="7">
        <v>2417</v>
      </c>
      <c r="I6389" s="7">
        <v>227</v>
      </c>
      <c r="J6389" s="7">
        <v>396</v>
      </c>
      <c r="K6389" s="7" t="s">
        <v>18</v>
      </c>
      <c r="L6389" s="8">
        <v>39987.315405092595</v>
      </c>
      <c r="M6389" s="9" t="s">
        <v>19</v>
      </c>
      <c r="N6389" s="9" t="s">
        <v>20</v>
      </c>
      <c r="O6389" s="6" t="str">
        <f>HYPERLINK("https://pbs.twimg.com/profile_images/962471262747529216/Uo8lOkRJ_normal.jpg","View")</f>
        <v>View</v>
      </c>
      <c r="P6389" s="7"/>
    </row>
    <row r="6390" spans="1:16">
      <c r="A6390" s="3">
        <v>43987.314513888894</v>
      </c>
      <c r="B6390" s="4" t="str">
        <f>HYPERLINK("https://twitter.com/petrogustavo","@petrogustavo")</f>
        <v>@petrogustavo</v>
      </c>
      <c r="C6390" s="5" t="s">
        <v>16</v>
      </c>
      <c r="D6390" s="5" t="s">
        <v>6209</v>
      </c>
      <c r="E6390" s="6" t="str">
        <f>HYPERLINK("https://twitter.com/petrogustavo/status/1268724950384414721","1268724950384414721")</f>
        <v>1268724950384414721</v>
      </c>
      <c r="F6390" s="7" t="s">
        <v>17</v>
      </c>
      <c r="G6390" s="7">
        <v>3871264</v>
      </c>
      <c r="H6390" s="7">
        <v>2417</v>
      </c>
      <c r="I6390" s="7">
        <v>180</v>
      </c>
      <c r="J6390" s="7">
        <v>0</v>
      </c>
      <c r="K6390" s="7" t="s">
        <v>18</v>
      </c>
      <c r="L6390" s="8">
        <v>39987.315405092595</v>
      </c>
      <c r="M6390" s="9" t="s">
        <v>19</v>
      </c>
      <c r="N6390" s="9" t="s">
        <v>20</v>
      </c>
      <c r="O6390" s="6" t="str">
        <f>HYPERLINK("https://pbs.twimg.com/profile_images/962471262747529216/Uo8lOkRJ_normal.jpg","View")</f>
        <v>View</v>
      </c>
      <c r="P6390" s="7"/>
    </row>
    <row r="6391" spans="1:16">
      <c r="A6391" s="3">
        <v>43987.31659722222</v>
      </c>
      <c r="B6391" s="4" t="str">
        <f>HYPERLINK("https://twitter.com/petrogustavo","@petrogustavo")</f>
        <v>@petrogustavo</v>
      </c>
      <c r="C6391" s="5" t="s">
        <v>16</v>
      </c>
      <c r="D6391" s="5" t="s">
        <v>6203</v>
      </c>
      <c r="E6391" s="6" t="str">
        <f>HYPERLINK("https://twitter.com/petrogustavo/status/1268725706604888064","1268725706604888064")</f>
        <v>1268725706604888064</v>
      </c>
      <c r="F6391" s="7" t="s">
        <v>17</v>
      </c>
      <c r="G6391" s="7">
        <v>3871264</v>
      </c>
      <c r="H6391" s="7">
        <v>2417</v>
      </c>
      <c r="I6391" s="7">
        <v>619</v>
      </c>
      <c r="J6391" s="7">
        <v>0</v>
      </c>
      <c r="K6391" s="7" t="s">
        <v>18</v>
      </c>
      <c r="L6391" s="8">
        <v>39987.315405092595</v>
      </c>
      <c r="M6391" s="9" t="s">
        <v>19</v>
      </c>
      <c r="N6391" s="9" t="s">
        <v>20</v>
      </c>
      <c r="O6391" s="6" t="str">
        <f>HYPERLINK("https://pbs.twimg.com/profile_images/962471262747529216/Uo8lOkRJ_normal.jpg","View")</f>
        <v>View</v>
      </c>
      <c r="P6391" s="7"/>
    </row>
    <row r="6392" spans="1:16">
      <c r="A6392" s="3">
        <v>43987.732812499999</v>
      </c>
      <c r="B6392" s="4" t="str">
        <f>HYPERLINK("https://twitter.com/petrogustavo","@petrogustavo")</f>
        <v>@petrogustavo</v>
      </c>
      <c r="C6392" s="5" t="s">
        <v>16</v>
      </c>
      <c r="D6392" s="5" t="s">
        <v>6210</v>
      </c>
      <c r="E6392" s="6" t="str">
        <f>HYPERLINK("https://twitter.com/petrogustavo/status/1268876535152414720","1268876535152414720")</f>
        <v>1268876535152414720</v>
      </c>
      <c r="F6392" s="7" t="s">
        <v>17</v>
      </c>
      <c r="G6392" s="7">
        <v>3871702</v>
      </c>
      <c r="H6392" s="7">
        <v>2417</v>
      </c>
      <c r="I6392" s="7">
        <v>85</v>
      </c>
      <c r="J6392" s="7">
        <v>279</v>
      </c>
      <c r="K6392" s="7" t="s">
        <v>18</v>
      </c>
      <c r="L6392" s="8">
        <v>39987.315405092595</v>
      </c>
      <c r="M6392" s="9" t="s">
        <v>19</v>
      </c>
      <c r="N6392" s="9" t="s">
        <v>20</v>
      </c>
      <c r="O6392" s="6" t="str">
        <f>HYPERLINK("https://pbs.twimg.com/profile_images/962471262747529216/Uo8lOkRJ_normal.jpg","View")</f>
        <v>View</v>
      </c>
      <c r="P6392" s="7"/>
    </row>
    <row r="6393" spans="1:16">
      <c r="A6393" s="3">
        <v>43987.734675925924</v>
      </c>
      <c r="B6393" s="4" t="str">
        <f>HYPERLINK("https://twitter.com/petrogustavo","@petrogustavo")</f>
        <v>@petrogustavo</v>
      </c>
      <c r="C6393" s="5" t="s">
        <v>16</v>
      </c>
      <c r="D6393" s="5" t="s">
        <v>6211</v>
      </c>
      <c r="E6393" s="6" t="str">
        <f>HYPERLINK("https://twitter.com/petrogustavo/status/1268877212989693953","1268877212989693953")</f>
        <v>1268877212989693953</v>
      </c>
      <c r="F6393" s="7" t="s">
        <v>17</v>
      </c>
      <c r="G6393" s="7">
        <v>3871702</v>
      </c>
      <c r="H6393" s="7">
        <v>2417</v>
      </c>
      <c r="I6393" s="7">
        <v>32</v>
      </c>
      <c r="J6393" s="7">
        <v>79</v>
      </c>
      <c r="K6393" s="7" t="s">
        <v>18</v>
      </c>
      <c r="L6393" s="8">
        <v>39987.315405092595</v>
      </c>
      <c r="M6393" s="9" t="s">
        <v>19</v>
      </c>
      <c r="N6393" s="9" t="s">
        <v>20</v>
      </c>
      <c r="O6393" s="6" t="str">
        <f>HYPERLINK("https://pbs.twimg.com/profile_images/962471262747529216/Uo8lOkRJ_normal.jpg","View")</f>
        <v>View</v>
      </c>
      <c r="P6393" s="7"/>
    </row>
    <row r="6394" spans="1:16">
      <c r="A6394" s="3">
        <v>43987.736342592594</v>
      </c>
      <c r="B6394" s="4" t="str">
        <f>HYPERLINK("https://twitter.com/petrogustavo","@petrogustavo")</f>
        <v>@petrogustavo</v>
      </c>
      <c r="C6394" s="5" t="s">
        <v>16</v>
      </c>
      <c r="D6394" s="5" t="s">
        <v>6212</v>
      </c>
      <c r="E6394" s="6" t="str">
        <f>HYPERLINK("https://twitter.com/petrogustavo/status/1268877814197030913","1268877814197030913")</f>
        <v>1268877814197030913</v>
      </c>
      <c r="F6394" s="7" t="s">
        <v>17</v>
      </c>
      <c r="G6394" s="7">
        <v>3871702</v>
      </c>
      <c r="H6394" s="7">
        <v>2417</v>
      </c>
      <c r="I6394" s="7">
        <v>15</v>
      </c>
      <c r="J6394" s="7">
        <v>60</v>
      </c>
      <c r="K6394" s="7" t="s">
        <v>18</v>
      </c>
      <c r="L6394" s="8">
        <v>39987.315405092595</v>
      </c>
      <c r="M6394" s="9" t="s">
        <v>19</v>
      </c>
      <c r="N6394" s="9" t="s">
        <v>20</v>
      </c>
      <c r="O6394" s="6" t="str">
        <f>HYPERLINK("https://pbs.twimg.com/profile_images/962471262747529216/Uo8lOkRJ_normal.jpg","View")</f>
        <v>View</v>
      </c>
      <c r="P6394" s="7"/>
    </row>
    <row r="6395" spans="1:16">
      <c r="A6395" s="3">
        <v>43987.738125000003</v>
      </c>
      <c r="B6395" s="4" t="str">
        <f>HYPERLINK("https://twitter.com/petrogustavo","@petrogustavo")</f>
        <v>@petrogustavo</v>
      </c>
      <c r="C6395" s="5" t="s">
        <v>16</v>
      </c>
      <c r="D6395" s="5" t="s">
        <v>6213</v>
      </c>
      <c r="E6395" s="6" t="str">
        <f>HYPERLINK("https://twitter.com/petrogustavo/status/1268878462321922049","1268878462321922049")</f>
        <v>1268878462321922049</v>
      </c>
      <c r="F6395" s="7" t="s">
        <v>17</v>
      </c>
      <c r="G6395" s="7">
        <v>3871702</v>
      </c>
      <c r="H6395" s="7">
        <v>2417</v>
      </c>
      <c r="I6395" s="7">
        <v>13</v>
      </c>
      <c r="J6395" s="7">
        <v>39</v>
      </c>
      <c r="K6395" s="7" t="s">
        <v>18</v>
      </c>
      <c r="L6395" s="8">
        <v>39987.315405092595</v>
      </c>
      <c r="M6395" s="9" t="s">
        <v>19</v>
      </c>
      <c r="N6395" s="9" t="s">
        <v>20</v>
      </c>
      <c r="O6395" s="6" t="str">
        <f>HYPERLINK("https://pbs.twimg.com/profile_images/962471262747529216/Uo8lOkRJ_normal.jpg","View")</f>
        <v>View</v>
      </c>
      <c r="P6395" s="7"/>
    </row>
    <row r="6396" spans="1:16">
      <c r="A6396" s="3">
        <v>43987.739872685182</v>
      </c>
      <c r="B6396" s="4" t="str">
        <f>HYPERLINK("https://twitter.com/petrogustavo","@petrogustavo")</f>
        <v>@petrogustavo</v>
      </c>
      <c r="C6396" s="5" t="s">
        <v>16</v>
      </c>
      <c r="D6396" s="5" t="s">
        <v>6214</v>
      </c>
      <c r="E6396" s="6" t="str">
        <f>HYPERLINK("https://twitter.com/petrogustavo/status/1268879092952248322","1268879092952248322")</f>
        <v>1268879092952248322</v>
      </c>
      <c r="F6396" s="7" t="s">
        <v>17</v>
      </c>
      <c r="G6396" s="7">
        <v>3871702</v>
      </c>
      <c r="H6396" s="7">
        <v>2417</v>
      </c>
      <c r="I6396" s="7">
        <v>23</v>
      </c>
      <c r="J6396" s="7">
        <v>58</v>
      </c>
      <c r="K6396" s="7" t="s">
        <v>18</v>
      </c>
      <c r="L6396" s="8">
        <v>39987.315405092595</v>
      </c>
      <c r="M6396" s="9" t="s">
        <v>19</v>
      </c>
      <c r="N6396" s="9" t="s">
        <v>20</v>
      </c>
      <c r="O6396" s="6" t="str">
        <f>HYPERLINK("https://pbs.twimg.com/profile_images/962471262747529216/Uo8lOkRJ_normal.jpg","View")</f>
        <v>View</v>
      </c>
      <c r="P6396" s="7"/>
    </row>
    <row r="6397" spans="1:16">
      <c r="A6397" s="3">
        <v>43987.741481481484</v>
      </c>
      <c r="B6397" s="4" t="str">
        <f>HYPERLINK("https://twitter.com/petrogustavo","@petrogustavo")</f>
        <v>@petrogustavo</v>
      </c>
      <c r="C6397" s="5" t="s">
        <v>16</v>
      </c>
      <c r="D6397" s="5" t="s">
        <v>6215</v>
      </c>
      <c r="E6397" s="6" t="str">
        <f>HYPERLINK("https://twitter.com/petrogustavo/status/1268879678883889152","1268879678883889152")</f>
        <v>1268879678883889152</v>
      </c>
      <c r="F6397" s="7" t="s">
        <v>17</v>
      </c>
      <c r="G6397" s="7">
        <v>3871702</v>
      </c>
      <c r="H6397" s="7">
        <v>2417</v>
      </c>
      <c r="I6397" s="7">
        <v>17</v>
      </c>
      <c r="J6397" s="7">
        <v>53</v>
      </c>
      <c r="K6397" s="7" t="s">
        <v>18</v>
      </c>
      <c r="L6397" s="8">
        <v>39987.315405092595</v>
      </c>
      <c r="M6397" s="9" t="s">
        <v>19</v>
      </c>
      <c r="N6397" s="9" t="s">
        <v>20</v>
      </c>
      <c r="O6397" s="6" t="str">
        <f>HYPERLINK("https://pbs.twimg.com/profile_images/962471262747529216/Uo8lOkRJ_normal.jpg","View")</f>
        <v>View</v>
      </c>
      <c r="P6397" s="7"/>
    </row>
    <row r="6398" spans="1:16">
      <c r="A6398" s="3">
        <v>43987.775590277779</v>
      </c>
      <c r="B6398" s="4" t="str">
        <f>HYPERLINK("https://twitter.com/petrogustavo","@petrogustavo")</f>
        <v>@petrogustavo</v>
      </c>
      <c r="C6398" s="5" t="s">
        <v>16</v>
      </c>
      <c r="D6398" s="5" t="s">
        <v>6216</v>
      </c>
      <c r="E6398" s="6" t="str">
        <f>HYPERLINK("https://twitter.com/petrogustavo/status/1268892038633787402","1268892038633787402")</f>
        <v>1268892038633787402</v>
      </c>
      <c r="F6398" s="7" t="s">
        <v>17</v>
      </c>
      <c r="G6398" s="7">
        <v>3871770</v>
      </c>
      <c r="H6398" s="7">
        <v>2417</v>
      </c>
      <c r="I6398" s="7">
        <v>339</v>
      </c>
      <c r="J6398" s="7">
        <v>696</v>
      </c>
      <c r="K6398" s="7" t="s">
        <v>18</v>
      </c>
      <c r="L6398" s="8">
        <v>39987.315405092595</v>
      </c>
      <c r="M6398" s="9" t="s">
        <v>19</v>
      </c>
      <c r="N6398" s="9" t="s">
        <v>20</v>
      </c>
      <c r="O6398" s="6" t="str">
        <f>HYPERLINK("https://pbs.twimg.com/profile_images/962471262747529216/Uo8lOkRJ_normal.jpg","View")</f>
        <v>View</v>
      </c>
      <c r="P6398" s="7"/>
    </row>
    <row r="6399" spans="1:16">
      <c r="A6399" s="3">
        <v>43987.834178240737</v>
      </c>
      <c r="B6399" s="4" t="str">
        <f>HYPERLINK("https://twitter.com/petrogustavo","@petrogustavo")</f>
        <v>@petrogustavo</v>
      </c>
      <c r="C6399" s="5" t="s">
        <v>16</v>
      </c>
      <c r="D6399" s="5" t="s">
        <v>6217</v>
      </c>
      <c r="E6399" s="6" t="str">
        <f>HYPERLINK("https://twitter.com/petrogustavo/status/1268913269382709248","1268913269382709248")</f>
        <v>1268913269382709248</v>
      </c>
      <c r="F6399" s="7" t="s">
        <v>17</v>
      </c>
      <c r="G6399" s="7">
        <v>3871853</v>
      </c>
      <c r="H6399" s="7">
        <v>2417</v>
      </c>
      <c r="I6399" s="7">
        <v>277</v>
      </c>
      <c r="J6399" s="7">
        <v>0</v>
      </c>
      <c r="K6399" s="7" t="s">
        <v>18</v>
      </c>
      <c r="L6399" s="8">
        <v>39987.315405092595</v>
      </c>
      <c r="M6399" s="9" t="s">
        <v>19</v>
      </c>
      <c r="N6399" s="9" t="s">
        <v>20</v>
      </c>
      <c r="O6399" s="6" t="str">
        <f>HYPERLINK("https://pbs.twimg.com/profile_images/962471262747529216/Uo8lOkRJ_normal.jpg","View")</f>
        <v>View</v>
      </c>
      <c r="P6399" s="7"/>
    </row>
    <row r="6400" spans="1:16">
      <c r="A6400" s="3">
        <v>43987.959502314814</v>
      </c>
      <c r="B6400" s="4" t="str">
        <f>HYPERLINK("https://twitter.com/petrogustavo","@petrogustavo")</f>
        <v>@petrogustavo</v>
      </c>
      <c r="C6400" s="5" t="s">
        <v>16</v>
      </c>
      <c r="D6400" s="5" t="s">
        <v>6218</v>
      </c>
      <c r="E6400" s="6" t="str">
        <f>HYPERLINK("https://twitter.com/petrogustavo/status/1268958686686449666","1268958686686449666")</f>
        <v>1268958686686449666</v>
      </c>
      <c r="F6400" s="7" t="s">
        <v>21</v>
      </c>
      <c r="G6400" s="7">
        <v>3872088</v>
      </c>
      <c r="H6400" s="7">
        <v>2417</v>
      </c>
      <c r="I6400" s="7">
        <v>31</v>
      </c>
      <c r="J6400" s="7">
        <v>43</v>
      </c>
      <c r="K6400" s="7" t="s">
        <v>18</v>
      </c>
      <c r="L6400" s="8">
        <v>39987.315405092595</v>
      </c>
      <c r="M6400" s="9" t="s">
        <v>19</v>
      </c>
      <c r="N6400" s="9" t="s">
        <v>20</v>
      </c>
      <c r="O6400" s="6" t="str">
        <f>HYPERLINK("https://pbs.twimg.com/profile_images/962471262747529216/Uo8lOkRJ_normal.jpg","View")</f>
        <v>View</v>
      </c>
      <c r="P6400" s="7"/>
    </row>
    <row r="6401" spans="1:16">
      <c r="A6401" s="3">
        <v>43987.960277777776</v>
      </c>
      <c r="B6401" s="4" t="str">
        <f>HYPERLINK("https://twitter.com/petrogustavo","@petrogustavo")</f>
        <v>@petrogustavo</v>
      </c>
      <c r="C6401" s="5" t="s">
        <v>16</v>
      </c>
      <c r="D6401" s="5" t="s">
        <v>6219</v>
      </c>
      <c r="E6401" s="6" t="str">
        <f>HYPERLINK("https://twitter.com/petrogustavo/status/1268958965850943488","1268958965850943488")</f>
        <v>1268958965850943488</v>
      </c>
      <c r="F6401" s="7" t="s">
        <v>21</v>
      </c>
      <c r="G6401" s="7">
        <v>3872088</v>
      </c>
      <c r="H6401" s="7">
        <v>2417</v>
      </c>
      <c r="I6401" s="7">
        <v>4</v>
      </c>
      <c r="J6401" s="7">
        <v>3</v>
      </c>
      <c r="K6401" s="7" t="s">
        <v>18</v>
      </c>
      <c r="L6401" s="8">
        <v>39987.315405092595</v>
      </c>
      <c r="M6401" s="9" t="s">
        <v>19</v>
      </c>
      <c r="N6401" s="9" t="s">
        <v>20</v>
      </c>
      <c r="O6401" s="6" t="str">
        <f>HYPERLINK("https://pbs.twimg.com/profile_images/962471262747529216/Uo8lOkRJ_normal.jpg","View")</f>
        <v>View</v>
      </c>
      <c r="P6401" s="7"/>
    </row>
    <row r="6402" spans="1:16">
      <c r="A6402" s="3">
        <v>43987.972187499996</v>
      </c>
      <c r="B6402" s="4" t="str">
        <f>HYPERLINK("https://twitter.com/petrogustavo","@petrogustavo")</f>
        <v>@petrogustavo</v>
      </c>
      <c r="C6402" s="5" t="s">
        <v>16</v>
      </c>
      <c r="D6402" s="5" t="s">
        <v>6220</v>
      </c>
      <c r="E6402" s="6" t="str">
        <f>HYPERLINK("https://twitter.com/petrogustavo/status/1268963283987574784","1268963283987574784")</f>
        <v>1268963283987574784</v>
      </c>
      <c r="F6402" s="7" t="s">
        <v>32</v>
      </c>
      <c r="G6402" s="7">
        <v>3872138</v>
      </c>
      <c r="H6402" s="7">
        <v>2417</v>
      </c>
      <c r="I6402" s="7">
        <v>52</v>
      </c>
      <c r="J6402" s="7">
        <v>111</v>
      </c>
      <c r="K6402" s="7" t="s">
        <v>18</v>
      </c>
      <c r="L6402" s="8">
        <v>39987.315405092595</v>
      </c>
      <c r="M6402" s="9" t="s">
        <v>19</v>
      </c>
      <c r="N6402" s="9" t="s">
        <v>20</v>
      </c>
      <c r="O6402" s="6" t="str">
        <f>HYPERLINK("https://pbs.twimg.com/profile_images/962471262747529216/Uo8lOkRJ_normal.jpg","View")</f>
        <v>View</v>
      </c>
      <c r="P6402" s="7"/>
    </row>
    <row r="6403" spans="1:16">
      <c r="A6403" s="3">
        <v>43987.974861111114</v>
      </c>
      <c r="B6403" s="4" t="str">
        <f>HYPERLINK("https://twitter.com/petrogustavo","@petrogustavo")</f>
        <v>@petrogustavo</v>
      </c>
      <c r="C6403" s="5" t="s">
        <v>16</v>
      </c>
      <c r="D6403" s="5" t="s">
        <v>6221</v>
      </c>
      <c r="E6403" s="6" t="str">
        <f>HYPERLINK("https://twitter.com/petrogustavo/status/1268964251848314889","1268964251848314889")</f>
        <v>1268964251848314889</v>
      </c>
      <c r="F6403" s="7" t="s">
        <v>32</v>
      </c>
      <c r="G6403" s="7">
        <v>3872138</v>
      </c>
      <c r="H6403" s="7">
        <v>2417</v>
      </c>
      <c r="I6403" s="7">
        <v>107</v>
      </c>
      <c r="J6403" s="7">
        <v>0</v>
      </c>
      <c r="K6403" s="7" t="s">
        <v>18</v>
      </c>
      <c r="L6403" s="8">
        <v>39987.315405092595</v>
      </c>
      <c r="M6403" s="9" t="s">
        <v>19</v>
      </c>
      <c r="N6403" s="9" t="s">
        <v>20</v>
      </c>
      <c r="O6403" s="6" t="str">
        <f>HYPERLINK("https://pbs.twimg.com/profile_images/962471262747529216/Uo8lOkRJ_normal.jpg","View")</f>
        <v>View</v>
      </c>
      <c r="P6403" s="7"/>
    </row>
    <row r="6404" spans="1:16">
      <c r="A6404" s="3">
        <v>43987.974999999999</v>
      </c>
      <c r="B6404" s="4" t="str">
        <f>HYPERLINK("https://twitter.com/petrogustavo","@petrogustavo")</f>
        <v>@petrogustavo</v>
      </c>
      <c r="C6404" s="5" t="s">
        <v>16</v>
      </c>
      <c r="D6404" s="5" t="s">
        <v>6222</v>
      </c>
      <c r="E6404" s="6" t="str">
        <f>HYPERLINK("https://twitter.com/petrogustavo/status/1268964301034991616","1268964301034991616")</f>
        <v>1268964301034991616</v>
      </c>
      <c r="F6404" s="7" t="s">
        <v>32</v>
      </c>
      <c r="G6404" s="7">
        <v>3872138</v>
      </c>
      <c r="H6404" s="7">
        <v>2417</v>
      </c>
      <c r="I6404" s="7">
        <v>264</v>
      </c>
      <c r="J6404" s="7">
        <v>0</v>
      </c>
      <c r="K6404" s="7" t="s">
        <v>18</v>
      </c>
      <c r="L6404" s="8">
        <v>39987.315405092595</v>
      </c>
      <c r="M6404" s="9" t="s">
        <v>19</v>
      </c>
      <c r="N6404" s="9" t="s">
        <v>20</v>
      </c>
      <c r="O6404" s="6" t="str">
        <f>HYPERLINK("https://pbs.twimg.com/profile_images/962471262747529216/Uo8lOkRJ_normal.jpg","View")</f>
        <v>View</v>
      </c>
      <c r="P6404" s="7"/>
    </row>
    <row r="6405" spans="1:16">
      <c r="A6405" s="3">
        <v>43988.02643518518</v>
      </c>
      <c r="B6405" s="4" t="str">
        <f>HYPERLINK("https://twitter.com/petrogustavo","@petrogustavo")</f>
        <v>@petrogustavo</v>
      </c>
      <c r="C6405" s="5" t="s">
        <v>16</v>
      </c>
      <c r="D6405" s="5" t="s">
        <v>6223</v>
      </c>
      <c r="E6405" s="6" t="str">
        <f>HYPERLINK("https://twitter.com/petrogustavo/status/1268982943608967169","1268982943608967169")</f>
        <v>1268982943608967169</v>
      </c>
      <c r="F6405" s="7" t="s">
        <v>32</v>
      </c>
      <c r="G6405" s="7">
        <v>3872264</v>
      </c>
      <c r="H6405" s="7">
        <v>2417</v>
      </c>
      <c r="I6405" s="7">
        <v>16</v>
      </c>
      <c r="J6405" s="7">
        <v>0</v>
      </c>
      <c r="K6405" s="7" t="s">
        <v>18</v>
      </c>
      <c r="L6405" s="8">
        <v>39987.315405092595</v>
      </c>
      <c r="M6405" s="9" t="s">
        <v>19</v>
      </c>
      <c r="N6405" s="9" t="s">
        <v>20</v>
      </c>
      <c r="O6405" s="6" t="str">
        <f>HYPERLINK("https://pbs.twimg.com/profile_images/962471262747529216/Uo8lOkRJ_normal.jpg","View")</f>
        <v>View</v>
      </c>
      <c r="P6405" s="7"/>
    </row>
    <row r="6406" spans="1:16">
      <c r="A6406" s="3">
        <v>43988.032581018517</v>
      </c>
      <c r="B6406" s="4" t="str">
        <f>HYPERLINK("https://twitter.com/petrogustavo","@petrogustavo")</f>
        <v>@petrogustavo</v>
      </c>
      <c r="C6406" s="5" t="s">
        <v>16</v>
      </c>
      <c r="D6406" s="5" t="s">
        <v>6224</v>
      </c>
      <c r="E6406" s="6" t="str">
        <f>HYPERLINK("https://twitter.com/petrogustavo/status/1268985167886024707","1268985167886024707")</f>
        <v>1268985167886024707</v>
      </c>
      <c r="F6406" s="7" t="s">
        <v>32</v>
      </c>
      <c r="G6406" s="7">
        <v>3872264</v>
      </c>
      <c r="H6406" s="7">
        <v>2417</v>
      </c>
      <c r="I6406" s="7">
        <v>127</v>
      </c>
      <c r="J6406" s="7">
        <v>401</v>
      </c>
      <c r="K6406" s="7" t="s">
        <v>18</v>
      </c>
      <c r="L6406" s="8">
        <v>39987.315405092595</v>
      </c>
      <c r="M6406" s="9" t="s">
        <v>19</v>
      </c>
      <c r="N6406" s="9" t="s">
        <v>20</v>
      </c>
      <c r="O6406" s="6" t="str">
        <f>HYPERLINK("https://pbs.twimg.com/profile_images/962471262747529216/Uo8lOkRJ_normal.jpg","View")</f>
        <v>View</v>
      </c>
      <c r="P6406" s="7"/>
    </row>
    <row r="6407" spans="1:16">
      <c r="A6407" s="3">
        <v>43988.271562499998</v>
      </c>
      <c r="B6407" s="4" t="str">
        <f>HYPERLINK("https://twitter.com/petrogustavo","@petrogustavo")</f>
        <v>@petrogustavo</v>
      </c>
      <c r="C6407" s="5" t="s">
        <v>16</v>
      </c>
      <c r="D6407" s="5" t="s">
        <v>6225</v>
      </c>
      <c r="E6407" s="6" t="str">
        <f>HYPERLINK("https://twitter.com/petrogustavo/status/1269071772151922694","1269071772151922694")</f>
        <v>1269071772151922694</v>
      </c>
      <c r="F6407" s="7" t="s">
        <v>17</v>
      </c>
      <c r="G6407" s="7">
        <v>3872630</v>
      </c>
      <c r="H6407" s="7">
        <v>2417</v>
      </c>
      <c r="I6407" s="7">
        <v>30</v>
      </c>
      <c r="J6407" s="7">
        <v>66</v>
      </c>
      <c r="K6407" s="7" t="s">
        <v>18</v>
      </c>
      <c r="L6407" s="8">
        <v>39987.315405092595</v>
      </c>
      <c r="M6407" s="9" t="s">
        <v>19</v>
      </c>
      <c r="N6407" s="9" t="s">
        <v>20</v>
      </c>
      <c r="O6407" s="6" t="str">
        <f>HYPERLINK("https://pbs.twimg.com/profile_images/962471262747529216/Uo8lOkRJ_normal.jpg","View")</f>
        <v>View</v>
      </c>
      <c r="P6407" s="7"/>
    </row>
    <row r="6408" spans="1:16">
      <c r="A6408" s="3">
        <v>43988.290324074071</v>
      </c>
      <c r="B6408" s="4" t="str">
        <f>HYPERLINK("https://twitter.com/petrogustavo","@petrogustavo")</f>
        <v>@petrogustavo</v>
      </c>
      <c r="C6408" s="5" t="s">
        <v>16</v>
      </c>
      <c r="D6408" s="5" t="s">
        <v>6226</v>
      </c>
      <c r="E6408" s="6" t="str">
        <f>HYPERLINK("https://twitter.com/petrogustavo/status/1269078569789075456","1269078569789075456")</f>
        <v>1269078569789075456</v>
      </c>
      <c r="F6408" s="7" t="s">
        <v>17</v>
      </c>
      <c r="G6408" s="7">
        <v>3872676</v>
      </c>
      <c r="H6408" s="7">
        <v>2417</v>
      </c>
      <c r="I6408" s="7">
        <v>23</v>
      </c>
      <c r="J6408" s="7">
        <v>0</v>
      </c>
      <c r="K6408" s="7" t="s">
        <v>18</v>
      </c>
      <c r="L6408" s="8">
        <v>39987.315405092595</v>
      </c>
      <c r="M6408" s="9" t="s">
        <v>19</v>
      </c>
      <c r="N6408" s="9" t="s">
        <v>20</v>
      </c>
      <c r="O6408" s="6" t="str">
        <f>HYPERLINK("https://pbs.twimg.com/profile_images/962471262747529216/Uo8lOkRJ_normal.jpg","View")</f>
        <v>View</v>
      </c>
      <c r="P6408" s="7"/>
    </row>
    <row r="6409" spans="1:16">
      <c r="A6409" s="3">
        <v>43988.301400462966</v>
      </c>
      <c r="B6409" s="4" t="str">
        <f>HYPERLINK("https://twitter.com/petrogustavo","@petrogustavo")</f>
        <v>@petrogustavo</v>
      </c>
      <c r="C6409" s="5" t="s">
        <v>16</v>
      </c>
      <c r="D6409" s="5" t="s">
        <v>6227</v>
      </c>
      <c r="E6409" s="6" t="str">
        <f>HYPERLINK("https://twitter.com/petrogustavo/status/1269082586766286849","1269082586766286849")</f>
        <v>1269082586766286849</v>
      </c>
      <c r="F6409" s="7" t="s">
        <v>17</v>
      </c>
      <c r="G6409" s="7">
        <v>3872725</v>
      </c>
      <c r="H6409" s="7">
        <v>2417</v>
      </c>
      <c r="I6409" s="7">
        <v>1006</v>
      </c>
      <c r="J6409" s="7">
        <v>0</v>
      </c>
      <c r="K6409" s="7" t="s">
        <v>18</v>
      </c>
      <c r="L6409" s="8">
        <v>39987.315405092595</v>
      </c>
      <c r="M6409" s="9" t="s">
        <v>19</v>
      </c>
      <c r="N6409" s="9" t="s">
        <v>20</v>
      </c>
      <c r="O6409" s="6" t="str">
        <f>HYPERLINK("https://pbs.twimg.com/profile_images/962471262747529216/Uo8lOkRJ_normal.jpg","View")</f>
        <v>View</v>
      </c>
      <c r="P6409" s="7"/>
    </row>
    <row r="6410" spans="1:16">
      <c r="A6410" s="3">
        <v>43988.347511574073</v>
      </c>
      <c r="B6410" s="4" t="str">
        <f>HYPERLINK("https://twitter.com/petrogustavo","@petrogustavo")</f>
        <v>@petrogustavo</v>
      </c>
      <c r="C6410" s="5" t="s">
        <v>16</v>
      </c>
      <c r="D6410" s="5" t="s">
        <v>6221</v>
      </c>
      <c r="E6410" s="6" t="str">
        <f>HYPERLINK("https://twitter.com/petrogustavo/status/1269099295451623425","1269099295451623425")</f>
        <v>1269099295451623425</v>
      </c>
      <c r="F6410" s="7" t="s">
        <v>17</v>
      </c>
      <c r="G6410" s="7">
        <v>3872785</v>
      </c>
      <c r="H6410" s="7">
        <v>2416</v>
      </c>
      <c r="I6410" s="7">
        <v>412</v>
      </c>
      <c r="J6410" s="7">
        <v>0</v>
      </c>
      <c r="K6410" s="7" t="s">
        <v>18</v>
      </c>
      <c r="L6410" s="8">
        <v>39987.315405092595</v>
      </c>
      <c r="M6410" s="9" t="s">
        <v>19</v>
      </c>
      <c r="N6410" s="9" t="s">
        <v>20</v>
      </c>
      <c r="O6410" s="6" t="str">
        <f>HYPERLINK("https://pbs.twimg.com/profile_images/962471262747529216/Uo8lOkRJ_normal.jpg","View")</f>
        <v>View</v>
      </c>
      <c r="P6410" s="7"/>
    </row>
    <row r="6411" spans="1:16">
      <c r="A6411" s="3">
        <v>43988.347534722227</v>
      </c>
      <c r="B6411" s="4" t="str">
        <f>HYPERLINK("https://twitter.com/petrogustavo","@petrogustavo")</f>
        <v>@petrogustavo</v>
      </c>
      <c r="C6411" s="5" t="s">
        <v>16</v>
      </c>
      <c r="D6411" s="5" t="s">
        <v>6222</v>
      </c>
      <c r="E6411" s="6" t="str">
        <f>HYPERLINK("https://twitter.com/petrogustavo/status/1269099306017005569","1269099306017005569")</f>
        <v>1269099306017005569</v>
      </c>
      <c r="F6411" s="7" t="s">
        <v>17</v>
      </c>
      <c r="G6411" s="7">
        <v>3872785</v>
      </c>
      <c r="H6411" s="7">
        <v>2416</v>
      </c>
      <c r="I6411" s="7">
        <v>1324</v>
      </c>
      <c r="J6411" s="7">
        <v>0</v>
      </c>
      <c r="K6411" s="7" t="s">
        <v>18</v>
      </c>
      <c r="L6411" s="8">
        <v>39987.315405092595</v>
      </c>
      <c r="M6411" s="9" t="s">
        <v>19</v>
      </c>
      <c r="N6411" s="9" t="s">
        <v>20</v>
      </c>
      <c r="O6411" s="6" t="str">
        <f>HYPERLINK("https://pbs.twimg.com/profile_images/962471262747529216/Uo8lOkRJ_normal.jpg","View")</f>
        <v>View</v>
      </c>
      <c r="P6411" s="7"/>
    </row>
    <row r="6412" spans="1:16">
      <c r="A6412" s="3">
        <v>43988.746446759258</v>
      </c>
      <c r="B6412" s="4" t="str">
        <f>HYPERLINK("https://twitter.com/petrogustavo","@petrogustavo")</f>
        <v>@petrogustavo</v>
      </c>
      <c r="C6412" s="5" t="s">
        <v>16</v>
      </c>
      <c r="D6412" s="5" t="s">
        <v>6228</v>
      </c>
      <c r="E6412" s="6" t="str">
        <f>HYPERLINK("https://twitter.com/petrogustavo/status/1269243863773753344","1269243863773753344")</f>
        <v>1269243863773753344</v>
      </c>
      <c r="F6412" s="7" t="s">
        <v>17</v>
      </c>
      <c r="G6412" s="7">
        <v>3873016</v>
      </c>
      <c r="H6412" s="7">
        <v>2416</v>
      </c>
      <c r="I6412" s="7">
        <v>112</v>
      </c>
      <c r="J6412" s="7">
        <v>293</v>
      </c>
      <c r="K6412" s="7" t="s">
        <v>18</v>
      </c>
      <c r="L6412" s="8">
        <v>39987.315405092595</v>
      </c>
      <c r="M6412" s="9" t="s">
        <v>19</v>
      </c>
      <c r="N6412" s="9" t="s">
        <v>20</v>
      </c>
      <c r="O6412" s="6" t="str">
        <f>HYPERLINK("https://pbs.twimg.com/profile_images/962471262747529216/Uo8lOkRJ_normal.jpg","View")</f>
        <v>View</v>
      </c>
      <c r="P6412" s="7"/>
    </row>
    <row r="6413" spans="1:16">
      <c r="A6413" s="3">
        <v>43988.76048611111</v>
      </c>
      <c r="B6413" s="4" t="str">
        <f>HYPERLINK("https://twitter.com/petrogustavo","@petrogustavo")</f>
        <v>@petrogustavo</v>
      </c>
      <c r="C6413" s="5" t="s">
        <v>16</v>
      </c>
      <c r="D6413" s="5" t="s">
        <v>6229</v>
      </c>
      <c r="E6413" s="6" t="str">
        <f>HYPERLINK("https://twitter.com/petrogustavo/status/1269248953511534592","1269248953511534592")</f>
        <v>1269248953511534592</v>
      </c>
      <c r="F6413" s="7" t="s">
        <v>17</v>
      </c>
      <c r="G6413" s="7">
        <v>3873049</v>
      </c>
      <c r="H6413" s="7">
        <v>2416</v>
      </c>
      <c r="I6413" s="7">
        <v>183</v>
      </c>
      <c r="J6413" s="7">
        <v>444</v>
      </c>
      <c r="K6413" s="7" t="s">
        <v>18</v>
      </c>
      <c r="L6413" s="8">
        <v>39987.315405092595</v>
      </c>
      <c r="M6413" s="9" t="s">
        <v>19</v>
      </c>
      <c r="N6413" s="9" t="s">
        <v>20</v>
      </c>
      <c r="O6413" s="6" t="str">
        <f>HYPERLINK("https://pbs.twimg.com/profile_images/962471262747529216/Uo8lOkRJ_normal.jpg","View")</f>
        <v>View</v>
      </c>
      <c r="P6413" s="7"/>
    </row>
    <row r="6414" spans="1:16">
      <c r="A6414" s="3">
        <v>43988.929155092592</v>
      </c>
      <c r="B6414" s="4" t="str">
        <f>HYPERLINK("https://twitter.com/petrogustavo","@petrogustavo")</f>
        <v>@petrogustavo</v>
      </c>
      <c r="C6414" s="5" t="s">
        <v>16</v>
      </c>
      <c r="D6414" s="5" t="s">
        <v>6230</v>
      </c>
      <c r="E6414" s="6" t="str">
        <f>HYPERLINK("https://twitter.com/petrogustavo/status/1269310075769950208","1269310075769950208")</f>
        <v>1269310075769950208</v>
      </c>
      <c r="F6414" s="7" t="s">
        <v>17</v>
      </c>
      <c r="G6414" s="7">
        <v>3873334</v>
      </c>
      <c r="H6414" s="7">
        <v>2416</v>
      </c>
      <c r="I6414" s="7">
        <v>81</v>
      </c>
      <c r="J6414" s="7">
        <v>147</v>
      </c>
      <c r="K6414" s="7" t="s">
        <v>18</v>
      </c>
      <c r="L6414" s="8">
        <v>39987.315405092595</v>
      </c>
      <c r="M6414" s="9" t="s">
        <v>19</v>
      </c>
      <c r="N6414" s="9" t="s">
        <v>20</v>
      </c>
      <c r="O6414" s="6" t="str">
        <f>HYPERLINK("https://pbs.twimg.com/profile_images/962471262747529216/Uo8lOkRJ_normal.jpg","View")</f>
        <v>View</v>
      </c>
      <c r="P6414" s="7"/>
    </row>
    <row r="6415" spans="1:16">
      <c r="A6415" s="3">
        <v>43988.932430555556</v>
      </c>
      <c r="B6415" s="4" t="str">
        <f>HYPERLINK("https://twitter.com/petrogustavo","@petrogustavo")</f>
        <v>@petrogustavo</v>
      </c>
      <c r="C6415" s="5" t="s">
        <v>16</v>
      </c>
      <c r="D6415" s="5" t="s">
        <v>6231</v>
      </c>
      <c r="E6415" s="6" t="str">
        <f>HYPERLINK("https://twitter.com/petrogustavo/status/1269311263043190786","1269311263043190786")</f>
        <v>1269311263043190786</v>
      </c>
      <c r="F6415" s="7" t="s">
        <v>17</v>
      </c>
      <c r="G6415" s="7">
        <v>3873334</v>
      </c>
      <c r="H6415" s="7">
        <v>2416</v>
      </c>
      <c r="I6415" s="7">
        <v>54</v>
      </c>
      <c r="J6415" s="7">
        <v>124</v>
      </c>
      <c r="K6415" s="7" t="s">
        <v>18</v>
      </c>
      <c r="L6415" s="8">
        <v>39987.315405092595</v>
      </c>
      <c r="M6415" s="9" t="s">
        <v>19</v>
      </c>
      <c r="N6415" s="9" t="s">
        <v>20</v>
      </c>
      <c r="O6415" s="6" t="str">
        <f>HYPERLINK("https://pbs.twimg.com/profile_images/962471262747529216/Uo8lOkRJ_normal.jpg","View")</f>
        <v>View</v>
      </c>
      <c r="P6415" s="7"/>
    </row>
    <row r="6416" spans="1:16">
      <c r="A6416" s="3">
        <v>43988.932719907403</v>
      </c>
      <c r="B6416" s="4" t="str">
        <f>HYPERLINK("https://twitter.com/petrogustavo","@petrogustavo")</f>
        <v>@petrogustavo</v>
      </c>
      <c r="C6416" s="5" t="s">
        <v>16</v>
      </c>
      <c r="D6416" s="5" t="s">
        <v>6232</v>
      </c>
      <c r="E6416" s="6" t="str">
        <f>HYPERLINK("https://twitter.com/petrogustavo/status/1269311366453698560","1269311366453698560")</f>
        <v>1269311366453698560</v>
      </c>
      <c r="F6416" s="7" t="s">
        <v>17</v>
      </c>
      <c r="G6416" s="7">
        <v>3873334</v>
      </c>
      <c r="H6416" s="7">
        <v>2416</v>
      </c>
      <c r="I6416" s="7">
        <v>81</v>
      </c>
      <c r="J6416" s="7">
        <v>0</v>
      </c>
      <c r="K6416" s="7" t="s">
        <v>18</v>
      </c>
      <c r="L6416" s="8">
        <v>39987.315405092595</v>
      </c>
      <c r="M6416" s="9" t="s">
        <v>19</v>
      </c>
      <c r="N6416" s="9" t="s">
        <v>20</v>
      </c>
      <c r="O6416" s="6" t="str">
        <f>HYPERLINK("https://pbs.twimg.com/profile_images/962471262747529216/Uo8lOkRJ_normal.jpg","View")</f>
        <v>View</v>
      </c>
      <c r="P6416" s="7"/>
    </row>
    <row r="6417" spans="1:16">
      <c r="A6417" s="3">
        <v>43988.936643518522</v>
      </c>
      <c r="B6417" s="4" t="str">
        <f>HYPERLINK("https://twitter.com/petrogustavo","@petrogustavo")</f>
        <v>@petrogustavo</v>
      </c>
      <c r="C6417" s="5" t="s">
        <v>16</v>
      </c>
      <c r="D6417" s="5" t="s">
        <v>6233</v>
      </c>
      <c r="E6417" s="6" t="str">
        <f>HYPERLINK("https://twitter.com/petrogustavo/status/1269312791560753154","1269312791560753154")</f>
        <v>1269312791560753154</v>
      </c>
      <c r="F6417" s="7" t="s">
        <v>17</v>
      </c>
      <c r="G6417" s="7">
        <v>3873334</v>
      </c>
      <c r="H6417" s="7">
        <v>2416</v>
      </c>
      <c r="I6417" s="7">
        <v>12</v>
      </c>
      <c r="J6417" s="7">
        <v>23</v>
      </c>
      <c r="K6417" s="7" t="s">
        <v>18</v>
      </c>
      <c r="L6417" s="8">
        <v>39987.315405092595</v>
      </c>
      <c r="M6417" s="9" t="s">
        <v>19</v>
      </c>
      <c r="N6417" s="9" t="s">
        <v>20</v>
      </c>
      <c r="O6417" s="6" t="str">
        <f>HYPERLINK("https://pbs.twimg.com/profile_images/962471262747529216/Uo8lOkRJ_normal.jpg","View")</f>
        <v>View</v>
      </c>
      <c r="P6417" s="7"/>
    </row>
    <row r="6418" spans="1:16">
      <c r="A6418" s="3">
        <v>43989.033796296295</v>
      </c>
      <c r="B6418" s="4" t="str">
        <f>HYPERLINK("https://twitter.com/petrogustavo","@petrogustavo")</f>
        <v>@petrogustavo</v>
      </c>
      <c r="C6418" s="5" t="s">
        <v>16</v>
      </c>
      <c r="D6418" s="5" t="s">
        <v>6234</v>
      </c>
      <c r="E6418" s="6" t="str">
        <f>HYPERLINK("https://twitter.com/petrogustavo/status/1269347999102185475","1269347999102185475")</f>
        <v>1269347999102185475</v>
      </c>
      <c r="F6418" s="7" t="s">
        <v>32</v>
      </c>
      <c r="G6418" s="7">
        <v>3873499</v>
      </c>
      <c r="H6418" s="7">
        <v>2416</v>
      </c>
      <c r="I6418" s="7">
        <v>119</v>
      </c>
      <c r="J6418" s="7">
        <v>219</v>
      </c>
      <c r="K6418" s="7" t="s">
        <v>18</v>
      </c>
      <c r="L6418" s="8">
        <v>39987.315405092595</v>
      </c>
      <c r="M6418" s="9" t="s">
        <v>19</v>
      </c>
      <c r="N6418" s="9" t="s">
        <v>20</v>
      </c>
      <c r="O6418" s="6" t="str">
        <f>HYPERLINK("https://pbs.twimg.com/profile_images/962471262747529216/Uo8lOkRJ_normal.jpg","View")</f>
        <v>View</v>
      </c>
      <c r="P6418" s="7"/>
    </row>
    <row r="6419" spans="1:16">
      <c r="A6419" s="3">
        <v>43989.038819444446</v>
      </c>
      <c r="B6419" s="4" t="str">
        <f>HYPERLINK("https://twitter.com/petrogustavo","@petrogustavo")</f>
        <v>@petrogustavo</v>
      </c>
      <c r="C6419" s="5" t="s">
        <v>16</v>
      </c>
      <c r="D6419" s="5" t="s">
        <v>6235</v>
      </c>
      <c r="E6419" s="6" t="str">
        <f>HYPERLINK("https://twitter.com/petrogustavo/status/1269349817525972992","1269349817525972992")</f>
        <v>1269349817525972992</v>
      </c>
      <c r="F6419" s="7" t="s">
        <v>32</v>
      </c>
      <c r="G6419" s="7">
        <v>3873499</v>
      </c>
      <c r="H6419" s="7">
        <v>2416</v>
      </c>
      <c r="I6419" s="7">
        <v>78</v>
      </c>
      <c r="J6419" s="7">
        <v>243</v>
      </c>
      <c r="K6419" s="7" t="s">
        <v>18</v>
      </c>
      <c r="L6419" s="8">
        <v>39987.315405092595</v>
      </c>
      <c r="M6419" s="9" t="s">
        <v>19</v>
      </c>
      <c r="N6419" s="9" t="s">
        <v>20</v>
      </c>
      <c r="O6419" s="6" t="str">
        <f>HYPERLINK("https://pbs.twimg.com/profile_images/962471262747529216/Uo8lOkRJ_normal.jpg","View")</f>
        <v>View</v>
      </c>
      <c r="P6419" s="7"/>
    </row>
    <row r="6420" spans="1:16">
      <c r="A6420" s="3">
        <v>43989.045451388884</v>
      </c>
      <c r="B6420" s="4" t="str">
        <f>HYPERLINK("https://twitter.com/petrogustavo","@petrogustavo")</f>
        <v>@petrogustavo</v>
      </c>
      <c r="C6420" s="5" t="s">
        <v>16</v>
      </c>
      <c r="D6420" s="5" t="s">
        <v>6236</v>
      </c>
      <c r="E6420" s="6" t="str">
        <f>HYPERLINK("https://twitter.com/petrogustavo/status/1269352221046722565","1269352221046722565")</f>
        <v>1269352221046722565</v>
      </c>
      <c r="F6420" s="7" t="s">
        <v>32</v>
      </c>
      <c r="G6420" s="7">
        <v>3873528</v>
      </c>
      <c r="H6420" s="7">
        <v>2416</v>
      </c>
      <c r="I6420" s="7">
        <v>78</v>
      </c>
      <c r="J6420" s="7">
        <v>157</v>
      </c>
      <c r="K6420" s="7" t="s">
        <v>18</v>
      </c>
      <c r="L6420" s="8">
        <v>39987.315405092595</v>
      </c>
      <c r="M6420" s="9" t="s">
        <v>19</v>
      </c>
      <c r="N6420" s="9" t="s">
        <v>20</v>
      </c>
      <c r="O6420" s="6" t="str">
        <f>HYPERLINK("https://pbs.twimg.com/profile_images/962471262747529216/Uo8lOkRJ_normal.jpg","View")</f>
        <v>View</v>
      </c>
      <c r="P6420" s="7"/>
    </row>
    <row r="6421" spans="1:16">
      <c r="A6421" s="3">
        <v>43989.047708333332</v>
      </c>
      <c r="B6421" s="4" t="str">
        <f>HYPERLINK("https://twitter.com/petrogustavo","@petrogustavo")</f>
        <v>@petrogustavo</v>
      </c>
      <c r="C6421" s="5" t="s">
        <v>16</v>
      </c>
      <c r="D6421" s="5" t="s">
        <v>6237</v>
      </c>
      <c r="E6421" s="6" t="str">
        <f>HYPERLINK("https://twitter.com/petrogustavo/status/1269353040097824771","1269353040097824771")</f>
        <v>1269353040097824771</v>
      </c>
      <c r="F6421" s="7" t="s">
        <v>32</v>
      </c>
      <c r="G6421" s="7">
        <v>3873528</v>
      </c>
      <c r="H6421" s="7">
        <v>2416</v>
      </c>
      <c r="I6421" s="7">
        <v>155</v>
      </c>
      <c r="J6421" s="7">
        <v>462</v>
      </c>
      <c r="K6421" s="7" t="s">
        <v>18</v>
      </c>
      <c r="L6421" s="8">
        <v>39987.315405092595</v>
      </c>
      <c r="M6421" s="9" t="s">
        <v>19</v>
      </c>
      <c r="N6421" s="9" t="s">
        <v>20</v>
      </c>
      <c r="O6421" s="6" t="str">
        <f>HYPERLINK("https://pbs.twimg.com/profile_images/962471262747529216/Uo8lOkRJ_normal.jpg","View")</f>
        <v>View</v>
      </c>
      <c r="P6421" s="7"/>
    </row>
    <row r="6422" spans="1:16">
      <c r="A6422" s="3">
        <v>43989.059386574074</v>
      </c>
      <c r="B6422" s="4" t="str">
        <f>HYPERLINK("https://twitter.com/petrogustavo","@petrogustavo")</f>
        <v>@petrogustavo</v>
      </c>
      <c r="C6422" s="5" t="s">
        <v>16</v>
      </c>
      <c r="D6422" s="5" t="s">
        <v>6238</v>
      </c>
      <c r="E6422" s="6" t="str">
        <f>HYPERLINK("https://twitter.com/petrogustavo/status/1269357270976077824","1269357270976077824")</f>
        <v>1269357270976077824</v>
      </c>
      <c r="F6422" s="7" t="s">
        <v>17</v>
      </c>
      <c r="G6422" s="7">
        <v>3873528</v>
      </c>
      <c r="H6422" s="7">
        <v>2416</v>
      </c>
      <c r="I6422" s="7">
        <v>59</v>
      </c>
      <c r="J6422" s="7">
        <v>99</v>
      </c>
      <c r="K6422" s="7" t="s">
        <v>18</v>
      </c>
      <c r="L6422" s="8">
        <v>39987.315405092595</v>
      </c>
      <c r="M6422" s="9" t="s">
        <v>19</v>
      </c>
      <c r="N6422" s="9" t="s">
        <v>20</v>
      </c>
      <c r="O6422" s="6" t="str">
        <f>HYPERLINK("https://pbs.twimg.com/profile_images/962471262747529216/Uo8lOkRJ_normal.jpg","View")</f>
        <v>View</v>
      </c>
      <c r="P6422" s="7"/>
    </row>
    <row r="6423" spans="1:16">
      <c r="A6423" s="3">
        <v>43989.062905092593</v>
      </c>
      <c r="B6423" s="4" t="str">
        <f>HYPERLINK("https://twitter.com/petrogustavo","@petrogustavo")</f>
        <v>@petrogustavo</v>
      </c>
      <c r="C6423" s="5" t="s">
        <v>16</v>
      </c>
      <c r="D6423" s="5" t="s">
        <v>6232</v>
      </c>
      <c r="E6423" s="6" t="str">
        <f>HYPERLINK("https://twitter.com/petrogustavo/status/1269358544580759553","1269358544580759553")</f>
        <v>1269358544580759553</v>
      </c>
      <c r="F6423" s="7" t="s">
        <v>17</v>
      </c>
      <c r="G6423" s="7">
        <v>3873528</v>
      </c>
      <c r="H6423" s="7">
        <v>2416</v>
      </c>
      <c r="I6423" s="7">
        <v>244</v>
      </c>
      <c r="J6423" s="7">
        <v>0</v>
      </c>
      <c r="K6423" s="7" t="s">
        <v>18</v>
      </c>
      <c r="L6423" s="8">
        <v>39987.315405092595</v>
      </c>
      <c r="M6423" s="9" t="s">
        <v>19</v>
      </c>
      <c r="N6423" s="9" t="s">
        <v>20</v>
      </c>
      <c r="O6423" s="6" t="str">
        <f>HYPERLINK("https://pbs.twimg.com/profile_images/962471262747529216/Uo8lOkRJ_normal.jpg","View")</f>
        <v>View</v>
      </c>
      <c r="P6423" s="7"/>
    </row>
    <row r="6424" spans="1:16">
      <c r="A6424" s="3">
        <v>43989.097083333334</v>
      </c>
      <c r="B6424" s="4" t="str">
        <f>HYPERLINK("https://twitter.com/petrogustavo","@petrogustavo")</f>
        <v>@petrogustavo</v>
      </c>
      <c r="C6424" s="5" t="s">
        <v>16</v>
      </c>
      <c r="D6424" s="5" t="s">
        <v>6239</v>
      </c>
      <c r="E6424" s="6" t="str">
        <f>HYPERLINK("https://twitter.com/petrogustavo/status/1269370929660014594","1269370929660014594")</f>
        <v>1269370929660014594</v>
      </c>
      <c r="F6424" s="7" t="s">
        <v>17</v>
      </c>
      <c r="G6424" s="7">
        <v>3873587</v>
      </c>
      <c r="H6424" s="7">
        <v>2416</v>
      </c>
      <c r="I6424" s="7">
        <v>86</v>
      </c>
      <c r="J6424" s="7">
        <v>260</v>
      </c>
      <c r="K6424" s="7" t="s">
        <v>18</v>
      </c>
      <c r="L6424" s="8">
        <v>39987.315405092595</v>
      </c>
      <c r="M6424" s="9" t="s">
        <v>19</v>
      </c>
      <c r="N6424" s="9" t="s">
        <v>20</v>
      </c>
      <c r="O6424" s="6" t="str">
        <f>HYPERLINK("https://pbs.twimg.com/profile_images/962471262747529216/Uo8lOkRJ_normal.jpg","View")</f>
        <v>View</v>
      </c>
      <c r="P6424" s="7"/>
    </row>
    <row r="6425" spans="1:16">
      <c r="A6425" s="3">
        <v>43989.098796296297</v>
      </c>
      <c r="B6425" s="4" t="str">
        <f>HYPERLINK("https://twitter.com/petrogustavo","@petrogustavo")</f>
        <v>@petrogustavo</v>
      </c>
      <c r="C6425" s="5" t="s">
        <v>16</v>
      </c>
      <c r="D6425" s="5" t="s">
        <v>6240</v>
      </c>
      <c r="E6425" s="6" t="str">
        <f>HYPERLINK("https://twitter.com/petrogustavo/status/1269371552895819777","1269371552895819777")</f>
        <v>1269371552895819777</v>
      </c>
      <c r="F6425" s="7" t="s">
        <v>17</v>
      </c>
      <c r="G6425" s="7">
        <v>3873587</v>
      </c>
      <c r="H6425" s="7">
        <v>2416</v>
      </c>
      <c r="I6425" s="7">
        <v>55</v>
      </c>
      <c r="J6425" s="7">
        <v>150</v>
      </c>
      <c r="K6425" s="7" t="s">
        <v>18</v>
      </c>
      <c r="L6425" s="8">
        <v>39987.315405092595</v>
      </c>
      <c r="M6425" s="9" t="s">
        <v>19</v>
      </c>
      <c r="N6425" s="9" t="s">
        <v>20</v>
      </c>
      <c r="O6425" s="6" t="str">
        <f>HYPERLINK("https://pbs.twimg.com/profile_images/962471262747529216/Uo8lOkRJ_normal.jpg","View")</f>
        <v>View</v>
      </c>
      <c r="P6425" s="7"/>
    </row>
    <row r="6426" spans="1:16">
      <c r="A6426" s="3">
        <v>43989.10020833333</v>
      </c>
      <c r="B6426" s="4" t="str">
        <f>HYPERLINK("https://twitter.com/petrogustavo","@petrogustavo")</f>
        <v>@petrogustavo</v>
      </c>
      <c r="C6426" s="5" t="s">
        <v>16</v>
      </c>
      <c r="D6426" s="5" t="s">
        <v>6241</v>
      </c>
      <c r="E6426" s="6" t="str">
        <f>HYPERLINK("https://twitter.com/petrogustavo/status/1269372064064045056","1269372064064045056")</f>
        <v>1269372064064045056</v>
      </c>
      <c r="F6426" s="7" t="s">
        <v>17</v>
      </c>
      <c r="G6426" s="7">
        <v>3873587</v>
      </c>
      <c r="H6426" s="7">
        <v>2416</v>
      </c>
      <c r="I6426" s="7">
        <v>36</v>
      </c>
      <c r="J6426" s="7">
        <v>96</v>
      </c>
      <c r="K6426" s="7" t="s">
        <v>18</v>
      </c>
      <c r="L6426" s="8">
        <v>39987.315405092595</v>
      </c>
      <c r="M6426" s="9" t="s">
        <v>19</v>
      </c>
      <c r="N6426" s="9" t="s">
        <v>20</v>
      </c>
      <c r="O6426" s="6" t="str">
        <f>HYPERLINK("https://pbs.twimg.com/profile_images/962471262747529216/Uo8lOkRJ_normal.jpg","View")</f>
        <v>View</v>
      </c>
      <c r="P6426" s="7"/>
    </row>
    <row r="6427" spans="1:16">
      <c r="A6427" s="3">
        <v>43989.101006944446</v>
      </c>
      <c r="B6427" s="4" t="str">
        <f>HYPERLINK("https://twitter.com/petrogustavo","@petrogustavo")</f>
        <v>@petrogustavo</v>
      </c>
      <c r="C6427" s="5" t="s">
        <v>16</v>
      </c>
      <c r="D6427" s="5" t="s">
        <v>6242</v>
      </c>
      <c r="E6427" s="6" t="str">
        <f>HYPERLINK("https://twitter.com/petrogustavo/status/1269372352359542784","1269372352359542784")</f>
        <v>1269372352359542784</v>
      </c>
      <c r="F6427" s="7" t="s">
        <v>17</v>
      </c>
      <c r="G6427" s="7">
        <v>3873587</v>
      </c>
      <c r="H6427" s="7">
        <v>2416</v>
      </c>
      <c r="I6427" s="7">
        <v>373</v>
      </c>
      <c r="J6427" s="7">
        <v>0</v>
      </c>
      <c r="K6427" s="7" t="s">
        <v>18</v>
      </c>
      <c r="L6427" s="8">
        <v>39987.315405092595</v>
      </c>
      <c r="M6427" s="9" t="s">
        <v>19</v>
      </c>
      <c r="N6427" s="9" t="s">
        <v>20</v>
      </c>
      <c r="O6427" s="6" t="str">
        <f>HYPERLINK("https://pbs.twimg.com/profile_images/962471262747529216/Uo8lOkRJ_normal.jpg","View")</f>
        <v>View</v>
      </c>
      <c r="P6427" s="7"/>
    </row>
    <row r="6428" spans="1:16">
      <c r="A6428" s="3">
        <v>43989.101875</v>
      </c>
      <c r="B6428" s="4" t="str">
        <f>HYPERLINK("https://twitter.com/petrogustavo","@petrogustavo")</f>
        <v>@petrogustavo</v>
      </c>
      <c r="C6428" s="5" t="s">
        <v>16</v>
      </c>
      <c r="D6428" s="5" t="s">
        <v>6243</v>
      </c>
      <c r="E6428" s="6" t="str">
        <f>HYPERLINK("https://twitter.com/petrogustavo/status/1269372666265382912","1269372666265382912")</f>
        <v>1269372666265382912</v>
      </c>
      <c r="F6428" s="7" t="s">
        <v>17</v>
      </c>
      <c r="G6428" s="7">
        <v>3873587</v>
      </c>
      <c r="H6428" s="7">
        <v>2416</v>
      </c>
      <c r="I6428" s="7">
        <v>38</v>
      </c>
      <c r="J6428" s="7">
        <v>118</v>
      </c>
      <c r="K6428" s="7" t="s">
        <v>18</v>
      </c>
      <c r="L6428" s="8">
        <v>39987.315405092595</v>
      </c>
      <c r="M6428" s="9" t="s">
        <v>19</v>
      </c>
      <c r="N6428" s="9" t="s">
        <v>20</v>
      </c>
      <c r="O6428" s="6" t="str">
        <f>HYPERLINK("https://pbs.twimg.com/profile_images/962471262747529216/Uo8lOkRJ_normal.jpg","View")</f>
        <v>View</v>
      </c>
      <c r="P6428" s="7"/>
    </row>
    <row r="6429" spans="1:16">
      <c r="A6429" s="3">
        <v>43989.15420138889</v>
      </c>
      <c r="B6429" s="4" t="str">
        <f>HYPERLINK("https://twitter.com/petrogustavo","@petrogustavo")</f>
        <v>@petrogustavo</v>
      </c>
      <c r="C6429" s="5" t="s">
        <v>16</v>
      </c>
      <c r="D6429" s="5" t="s">
        <v>6242</v>
      </c>
      <c r="E6429" s="6" t="str">
        <f>HYPERLINK("https://twitter.com/petrogustavo/status/1269391630890663937","1269391630890663937")</f>
        <v>1269391630890663937</v>
      </c>
      <c r="F6429" s="7" t="s">
        <v>17</v>
      </c>
      <c r="G6429" s="7">
        <v>3873640</v>
      </c>
      <c r="H6429" s="7">
        <v>2416</v>
      </c>
      <c r="I6429" s="7">
        <v>403</v>
      </c>
      <c r="J6429" s="7">
        <v>0</v>
      </c>
      <c r="K6429" s="7" t="s">
        <v>18</v>
      </c>
      <c r="L6429" s="8">
        <v>39987.315405092595</v>
      </c>
      <c r="M6429" s="9" t="s">
        <v>19</v>
      </c>
      <c r="N6429" s="9" t="s">
        <v>20</v>
      </c>
      <c r="O6429" s="6" t="str">
        <f>HYPERLINK("https://pbs.twimg.com/profile_images/962471262747529216/Uo8lOkRJ_normal.jpg","View")</f>
        <v>View</v>
      </c>
      <c r="P6429" s="7"/>
    </row>
    <row r="6430" spans="1:16">
      <c r="A6430" s="3">
        <v>43989.15461805556</v>
      </c>
      <c r="B6430" s="4" t="str">
        <f>HYPERLINK("https://twitter.com/petrogustavo","@petrogustavo")</f>
        <v>@petrogustavo</v>
      </c>
      <c r="C6430" s="5" t="s">
        <v>16</v>
      </c>
      <c r="D6430" s="5" t="s">
        <v>6244</v>
      </c>
      <c r="E6430" s="6" t="str">
        <f>HYPERLINK("https://twitter.com/petrogustavo/status/1269391782346919936","1269391782346919936")</f>
        <v>1269391782346919936</v>
      </c>
      <c r="F6430" s="7" t="s">
        <v>17</v>
      </c>
      <c r="G6430" s="7">
        <v>3873640</v>
      </c>
      <c r="H6430" s="7">
        <v>2416</v>
      </c>
      <c r="I6430" s="7">
        <v>1882</v>
      </c>
      <c r="J6430" s="7">
        <v>0</v>
      </c>
      <c r="K6430" s="7" t="s">
        <v>18</v>
      </c>
      <c r="L6430" s="8">
        <v>39987.315405092595</v>
      </c>
      <c r="M6430" s="9" t="s">
        <v>19</v>
      </c>
      <c r="N6430" s="9" t="s">
        <v>20</v>
      </c>
      <c r="O6430" s="6" t="str">
        <f>HYPERLINK("https://pbs.twimg.com/profile_images/962471262747529216/Uo8lOkRJ_normal.jpg","View")</f>
        <v>View</v>
      </c>
      <c r="P6430" s="7"/>
    </row>
    <row r="6431" spans="1:16">
      <c r="A6431" s="3">
        <v>43989.215115740742</v>
      </c>
      <c r="B6431" s="4" t="str">
        <f>HYPERLINK("https://twitter.com/petrogustavo","@petrogustavo")</f>
        <v>@petrogustavo</v>
      </c>
      <c r="C6431" s="5" t="s">
        <v>16</v>
      </c>
      <c r="D6431" s="5" t="s">
        <v>6245</v>
      </c>
      <c r="E6431" s="6" t="str">
        <f>HYPERLINK("https://twitter.com/petrogustavo/status/1269413705411952641","1269413705411952641")</f>
        <v>1269413705411952641</v>
      </c>
      <c r="F6431" s="7" t="s">
        <v>17</v>
      </c>
      <c r="G6431" s="7">
        <v>3873729</v>
      </c>
      <c r="H6431" s="7">
        <v>2416</v>
      </c>
      <c r="I6431" s="7">
        <v>91</v>
      </c>
      <c r="J6431" s="7">
        <v>257</v>
      </c>
      <c r="K6431" s="7" t="s">
        <v>18</v>
      </c>
      <c r="L6431" s="8">
        <v>39987.315405092595</v>
      </c>
      <c r="M6431" s="9" t="s">
        <v>19</v>
      </c>
      <c r="N6431" s="9" t="s">
        <v>20</v>
      </c>
      <c r="O6431" s="6" t="str">
        <f>HYPERLINK("https://pbs.twimg.com/profile_images/962471262747529216/Uo8lOkRJ_normal.jpg","View")</f>
        <v>View</v>
      </c>
      <c r="P6431" s="7"/>
    </row>
    <row r="6432" spans="1:16">
      <c r="A6432" s="3">
        <v>43989.229618055557</v>
      </c>
      <c r="B6432" s="4" t="str">
        <f>HYPERLINK("https://twitter.com/petrogustavo","@petrogustavo")</f>
        <v>@petrogustavo</v>
      </c>
      <c r="C6432" s="5" t="s">
        <v>16</v>
      </c>
      <c r="D6432" s="5" t="s">
        <v>6246</v>
      </c>
      <c r="E6432" s="6" t="str">
        <f>HYPERLINK("https://twitter.com/petrogustavo/status/1269418960879071243","1269418960879071243")</f>
        <v>1269418960879071243</v>
      </c>
      <c r="F6432" s="7" t="s">
        <v>17</v>
      </c>
      <c r="G6432" s="7">
        <v>3873729</v>
      </c>
      <c r="H6432" s="7">
        <v>2416</v>
      </c>
      <c r="I6432" s="7">
        <v>21</v>
      </c>
      <c r="J6432" s="7">
        <v>41</v>
      </c>
      <c r="K6432" s="7" t="s">
        <v>18</v>
      </c>
      <c r="L6432" s="8">
        <v>39987.315405092595</v>
      </c>
      <c r="M6432" s="9" t="s">
        <v>19</v>
      </c>
      <c r="N6432" s="9" t="s">
        <v>20</v>
      </c>
      <c r="O6432" s="6" t="str">
        <f>HYPERLINK("https://pbs.twimg.com/profile_images/962471262747529216/Uo8lOkRJ_normal.jpg","View")</f>
        <v>View</v>
      </c>
      <c r="P6432" s="7"/>
    </row>
    <row r="6433" spans="1:16">
      <c r="A6433" s="3">
        <v>43989.27412037037</v>
      </c>
      <c r="B6433" s="4" t="str">
        <f>HYPERLINK("https://twitter.com/petrogustavo","@petrogustavo")</f>
        <v>@petrogustavo</v>
      </c>
      <c r="C6433" s="5" t="s">
        <v>16</v>
      </c>
      <c r="D6433" s="5" t="s">
        <v>6242</v>
      </c>
      <c r="E6433" s="6" t="str">
        <f>HYPERLINK("https://twitter.com/petrogustavo/status/1269435088988712961","1269435088988712961")</f>
        <v>1269435088988712961</v>
      </c>
      <c r="F6433" s="7" t="s">
        <v>17</v>
      </c>
      <c r="G6433" s="7">
        <v>3873816</v>
      </c>
      <c r="H6433" s="7">
        <v>2416</v>
      </c>
      <c r="I6433" s="7">
        <v>449</v>
      </c>
      <c r="J6433" s="7">
        <v>0</v>
      </c>
      <c r="K6433" s="7" t="s">
        <v>18</v>
      </c>
      <c r="L6433" s="8">
        <v>39987.315405092595</v>
      </c>
      <c r="M6433" s="9" t="s">
        <v>19</v>
      </c>
      <c r="N6433" s="9" t="s">
        <v>20</v>
      </c>
      <c r="O6433" s="6" t="str">
        <f>HYPERLINK("https://pbs.twimg.com/profile_images/962471262747529216/Uo8lOkRJ_normal.jpg","View")</f>
        <v>View</v>
      </c>
      <c r="P6433" s="7"/>
    </row>
    <row r="6434" spans="1:16">
      <c r="A6434" s="3">
        <v>43989.281805555554</v>
      </c>
      <c r="B6434" s="4" t="str">
        <f>HYPERLINK("https://twitter.com/petrogustavo","@petrogustavo")</f>
        <v>@petrogustavo</v>
      </c>
      <c r="C6434" s="5" t="s">
        <v>16</v>
      </c>
      <c r="D6434" s="5" t="s">
        <v>6247</v>
      </c>
      <c r="E6434" s="6" t="str">
        <f>HYPERLINK("https://twitter.com/petrogustavo/status/1269437871808806918","1269437871808806918")</f>
        <v>1269437871808806918</v>
      </c>
      <c r="F6434" s="7" t="s">
        <v>17</v>
      </c>
      <c r="G6434" s="7">
        <v>3873816</v>
      </c>
      <c r="H6434" s="7">
        <v>2416</v>
      </c>
      <c r="I6434" s="7">
        <v>90</v>
      </c>
      <c r="J6434" s="7">
        <v>262</v>
      </c>
      <c r="K6434" s="7" t="s">
        <v>18</v>
      </c>
      <c r="L6434" s="8">
        <v>39987.315405092595</v>
      </c>
      <c r="M6434" s="9" t="s">
        <v>19</v>
      </c>
      <c r="N6434" s="9" t="s">
        <v>20</v>
      </c>
      <c r="O6434" s="6" t="str">
        <f>HYPERLINK("https://pbs.twimg.com/profile_images/962471262747529216/Uo8lOkRJ_normal.jpg","View")</f>
        <v>View</v>
      </c>
      <c r="P6434" s="7"/>
    </row>
    <row r="6435" spans="1:16">
      <c r="A6435" s="3">
        <v>43989.32130787037</v>
      </c>
      <c r="B6435" s="4" t="str">
        <f>HYPERLINK("https://twitter.com/petrogustavo","@petrogustavo")</f>
        <v>@petrogustavo</v>
      </c>
      <c r="C6435" s="5" t="s">
        <v>16</v>
      </c>
      <c r="D6435" s="5" t="s">
        <v>6248</v>
      </c>
      <c r="E6435" s="6" t="str">
        <f>HYPERLINK("https://twitter.com/petrogustavo/status/1269452189086486528","1269452189086486528")</f>
        <v>1269452189086486528</v>
      </c>
      <c r="F6435" s="7" t="s">
        <v>17</v>
      </c>
      <c r="G6435" s="7">
        <v>3873869</v>
      </c>
      <c r="H6435" s="7">
        <v>2416</v>
      </c>
      <c r="I6435" s="7">
        <v>242</v>
      </c>
      <c r="J6435" s="7">
        <v>333</v>
      </c>
      <c r="K6435" s="7" t="s">
        <v>18</v>
      </c>
      <c r="L6435" s="8">
        <v>39987.315405092595</v>
      </c>
      <c r="M6435" s="9" t="s">
        <v>19</v>
      </c>
      <c r="N6435" s="9" t="s">
        <v>20</v>
      </c>
      <c r="O6435" s="6" t="str">
        <f>HYPERLINK("https://pbs.twimg.com/profile_images/962471262747529216/Uo8lOkRJ_normal.jpg","View")</f>
        <v>View</v>
      </c>
      <c r="P6435" s="7"/>
    </row>
    <row r="6436" spans="1:16">
      <c r="A6436" s="3">
        <v>43989.322106481486</v>
      </c>
      <c r="B6436" s="4" t="str">
        <f>HYPERLINK("https://twitter.com/petrogustavo","@petrogustavo")</f>
        <v>@petrogustavo</v>
      </c>
      <c r="C6436" s="5" t="s">
        <v>16</v>
      </c>
      <c r="D6436" s="5" t="s">
        <v>6249</v>
      </c>
      <c r="E6436" s="6" t="str">
        <f>HYPERLINK("https://twitter.com/petrogustavo/status/1269452476077531137","1269452476077531137")</f>
        <v>1269452476077531137</v>
      </c>
      <c r="F6436" s="7" t="s">
        <v>17</v>
      </c>
      <c r="G6436" s="7">
        <v>3873869</v>
      </c>
      <c r="H6436" s="7">
        <v>2416</v>
      </c>
      <c r="I6436" s="7">
        <v>128</v>
      </c>
      <c r="J6436" s="7">
        <v>406</v>
      </c>
      <c r="K6436" s="7" t="s">
        <v>18</v>
      </c>
      <c r="L6436" s="8">
        <v>39987.315405092595</v>
      </c>
      <c r="M6436" s="9" t="s">
        <v>19</v>
      </c>
      <c r="N6436" s="9" t="s">
        <v>20</v>
      </c>
      <c r="O6436" s="6" t="str">
        <f>HYPERLINK("https://pbs.twimg.com/profile_images/962471262747529216/Uo8lOkRJ_normal.jpg","View")</f>
        <v>View</v>
      </c>
      <c r="P6436" s="7"/>
    </row>
    <row r="6437" spans="1:16">
      <c r="A6437" s="3">
        <v>43989.324641203704</v>
      </c>
      <c r="B6437" s="4" t="str">
        <f>HYPERLINK("https://twitter.com/petrogustavo","@petrogustavo")</f>
        <v>@petrogustavo</v>
      </c>
      <c r="C6437" s="5" t="s">
        <v>16</v>
      </c>
      <c r="D6437" s="5" t="s">
        <v>6250</v>
      </c>
      <c r="E6437" s="6" t="str">
        <f>HYPERLINK("https://twitter.com/petrogustavo/status/1269453394193911808","1269453394193911808")</f>
        <v>1269453394193911808</v>
      </c>
      <c r="F6437" s="7" t="s">
        <v>17</v>
      </c>
      <c r="G6437" s="7">
        <v>3873869</v>
      </c>
      <c r="H6437" s="7">
        <v>2416</v>
      </c>
      <c r="I6437" s="7">
        <v>188</v>
      </c>
      <c r="J6437" s="7">
        <v>894</v>
      </c>
      <c r="K6437" s="7" t="s">
        <v>18</v>
      </c>
      <c r="L6437" s="8">
        <v>39987.315405092595</v>
      </c>
      <c r="M6437" s="9" t="s">
        <v>19</v>
      </c>
      <c r="N6437" s="9" t="s">
        <v>20</v>
      </c>
      <c r="O6437" s="6" t="str">
        <f>HYPERLINK("https://pbs.twimg.com/profile_images/962471262747529216/Uo8lOkRJ_normal.jpg","View")</f>
        <v>View</v>
      </c>
      <c r="P6437" s="7"/>
    </row>
    <row r="6438" spans="1:16">
      <c r="A6438" s="3">
        <v>43989.333009259259</v>
      </c>
      <c r="B6438" s="4" t="str">
        <f>HYPERLINK("https://twitter.com/petrogustavo","@petrogustavo")</f>
        <v>@petrogustavo</v>
      </c>
      <c r="C6438" s="5" t="s">
        <v>16</v>
      </c>
      <c r="D6438" s="5" t="s">
        <v>6251</v>
      </c>
      <c r="E6438" s="6" t="str">
        <f>HYPERLINK("https://twitter.com/petrogustavo/status/1269456428726661120","1269456428726661120")</f>
        <v>1269456428726661120</v>
      </c>
      <c r="F6438" s="7" t="s">
        <v>17</v>
      </c>
      <c r="G6438" s="7">
        <v>3873869</v>
      </c>
      <c r="H6438" s="7">
        <v>2416</v>
      </c>
      <c r="I6438" s="7">
        <v>17</v>
      </c>
      <c r="J6438" s="7">
        <v>54</v>
      </c>
      <c r="K6438" s="7" t="s">
        <v>18</v>
      </c>
      <c r="L6438" s="8">
        <v>39987.315405092595</v>
      </c>
      <c r="M6438" s="9" t="s">
        <v>19</v>
      </c>
      <c r="N6438" s="9" t="s">
        <v>20</v>
      </c>
      <c r="O6438" s="6" t="str">
        <f>HYPERLINK("https://pbs.twimg.com/profile_images/962471262747529216/Uo8lOkRJ_normal.jpg","View")</f>
        <v>View</v>
      </c>
      <c r="P6438" s="7"/>
    </row>
    <row r="6439" spans="1:16">
      <c r="A6439" s="3">
        <v>43989.334629629629</v>
      </c>
      <c r="B6439" s="4" t="str">
        <f>HYPERLINK("https://twitter.com/petrogustavo","@petrogustavo")</f>
        <v>@petrogustavo</v>
      </c>
      <c r="C6439" s="5" t="s">
        <v>16</v>
      </c>
      <c r="D6439" s="5" t="s">
        <v>6252</v>
      </c>
      <c r="E6439" s="6" t="str">
        <f>HYPERLINK("https://twitter.com/petrogustavo/status/1269457016268914688","1269457016268914688")</f>
        <v>1269457016268914688</v>
      </c>
      <c r="F6439" s="7" t="s">
        <v>17</v>
      </c>
      <c r="G6439" s="7">
        <v>3873869</v>
      </c>
      <c r="H6439" s="7">
        <v>2416</v>
      </c>
      <c r="I6439" s="7">
        <v>5</v>
      </c>
      <c r="J6439" s="7">
        <v>23</v>
      </c>
      <c r="K6439" s="7" t="s">
        <v>18</v>
      </c>
      <c r="L6439" s="8">
        <v>39987.315405092595</v>
      </c>
      <c r="M6439" s="9" t="s">
        <v>19</v>
      </c>
      <c r="N6439" s="9" t="s">
        <v>20</v>
      </c>
      <c r="O6439" s="6" t="str">
        <f>HYPERLINK("https://pbs.twimg.com/profile_images/962471262747529216/Uo8lOkRJ_normal.jpg","View")</f>
        <v>View</v>
      </c>
      <c r="P6439" s="7"/>
    </row>
    <row r="6440" spans="1:16">
      <c r="A6440" s="3">
        <v>43989.799201388887</v>
      </c>
      <c r="B6440" s="4" t="str">
        <f>HYPERLINK("https://twitter.com/petrogustavo","@petrogustavo")</f>
        <v>@petrogustavo</v>
      </c>
      <c r="C6440" s="5" t="s">
        <v>16</v>
      </c>
      <c r="D6440" s="5" t="s">
        <v>6253</v>
      </c>
      <c r="E6440" s="6" t="str">
        <f>HYPERLINK("https://twitter.com/petrogustavo/status/1269625368740315137","1269625368740315137")</f>
        <v>1269625368740315137</v>
      </c>
      <c r="F6440" s="7" t="s">
        <v>17</v>
      </c>
      <c r="G6440" s="7">
        <v>3874132</v>
      </c>
      <c r="H6440" s="7">
        <v>2416</v>
      </c>
      <c r="I6440" s="7">
        <v>182</v>
      </c>
      <c r="J6440" s="7">
        <v>522</v>
      </c>
      <c r="K6440" s="7" t="s">
        <v>18</v>
      </c>
      <c r="L6440" s="8">
        <v>39987.315405092595</v>
      </c>
      <c r="M6440" s="9" t="s">
        <v>19</v>
      </c>
      <c r="N6440" s="9" t="s">
        <v>20</v>
      </c>
      <c r="O6440" s="6" t="str">
        <f>HYPERLINK("https://pbs.twimg.com/profile_images/962471262747529216/Uo8lOkRJ_normal.jpg","View")</f>
        <v>View</v>
      </c>
      <c r="P6440" s="7"/>
    </row>
    <row r="6441" spans="1:16">
      <c r="A6441" s="3">
        <v>43989.85774305556</v>
      </c>
      <c r="B6441" s="4" t="str">
        <f>HYPERLINK("https://twitter.com/petrogustavo","@petrogustavo")</f>
        <v>@petrogustavo</v>
      </c>
      <c r="C6441" s="5" t="s">
        <v>16</v>
      </c>
      <c r="D6441" s="5" t="s">
        <v>6254</v>
      </c>
      <c r="E6441" s="6" t="str">
        <f>HYPERLINK("https://twitter.com/petrogustavo/status/1269646584653938688","1269646584653938688")</f>
        <v>1269646584653938688</v>
      </c>
      <c r="F6441" s="7" t="s">
        <v>17</v>
      </c>
      <c r="G6441" s="7">
        <v>3874227</v>
      </c>
      <c r="H6441" s="7">
        <v>2416</v>
      </c>
      <c r="I6441" s="7">
        <v>269</v>
      </c>
      <c r="J6441" s="7">
        <v>0</v>
      </c>
      <c r="K6441" s="7" t="s">
        <v>18</v>
      </c>
      <c r="L6441" s="8">
        <v>39987.315405092595</v>
      </c>
      <c r="M6441" s="9" t="s">
        <v>19</v>
      </c>
      <c r="N6441" s="9" t="s">
        <v>20</v>
      </c>
      <c r="O6441" s="6" t="str">
        <f>HYPERLINK("https://pbs.twimg.com/profile_images/962471262747529216/Uo8lOkRJ_normal.jpg","View")</f>
        <v>View</v>
      </c>
      <c r="P6441" s="7"/>
    </row>
    <row r="6442" spans="1:16">
      <c r="A6442" s="3">
        <v>43989.860335648147</v>
      </c>
      <c r="B6442" s="4" t="str">
        <f>HYPERLINK("https://twitter.com/petrogustavo","@petrogustavo")</f>
        <v>@petrogustavo</v>
      </c>
      <c r="C6442" s="5" t="s">
        <v>16</v>
      </c>
      <c r="D6442" s="5" t="s">
        <v>6255</v>
      </c>
      <c r="E6442" s="6" t="str">
        <f>HYPERLINK("https://twitter.com/petrogustavo/status/1269647523557367808","1269647523557367808")</f>
        <v>1269647523557367808</v>
      </c>
      <c r="F6442" s="7" t="s">
        <v>17</v>
      </c>
      <c r="G6442" s="7">
        <v>3874227</v>
      </c>
      <c r="H6442" s="7">
        <v>2416</v>
      </c>
      <c r="I6442" s="7">
        <v>672</v>
      </c>
      <c r="J6442" s="7">
        <v>0</v>
      </c>
      <c r="K6442" s="7" t="s">
        <v>18</v>
      </c>
      <c r="L6442" s="8">
        <v>39987.315405092595</v>
      </c>
      <c r="M6442" s="9" t="s">
        <v>19</v>
      </c>
      <c r="N6442" s="9" t="s">
        <v>20</v>
      </c>
      <c r="O6442" s="6" t="str">
        <f>HYPERLINK("https://pbs.twimg.com/profile_images/962471262747529216/Uo8lOkRJ_normal.jpg","View")</f>
        <v>View</v>
      </c>
      <c r="P6442" s="7"/>
    </row>
    <row r="6443" spans="1:16">
      <c r="A6443" s="3">
        <v>43989.86787037037</v>
      </c>
      <c r="B6443" s="4" t="str">
        <f>HYPERLINK("https://twitter.com/petrogustavo","@petrogustavo")</f>
        <v>@petrogustavo</v>
      </c>
      <c r="C6443" s="5" t="s">
        <v>16</v>
      </c>
      <c r="D6443" s="5" t="s">
        <v>6256</v>
      </c>
      <c r="E6443" s="6" t="str">
        <f>HYPERLINK("https://twitter.com/petrogustavo/status/1269650254552596480","1269650254552596480")</f>
        <v>1269650254552596480</v>
      </c>
      <c r="F6443" s="7" t="s">
        <v>17</v>
      </c>
      <c r="G6443" s="7">
        <v>3874227</v>
      </c>
      <c r="H6443" s="7">
        <v>2416</v>
      </c>
      <c r="I6443" s="7">
        <v>196</v>
      </c>
      <c r="J6443" s="7">
        <v>472</v>
      </c>
      <c r="K6443" s="7" t="s">
        <v>18</v>
      </c>
      <c r="L6443" s="8">
        <v>39987.315405092595</v>
      </c>
      <c r="M6443" s="9" t="s">
        <v>19</v>
      </c>
      <c r="N6443" s="9" t="s">
        <v>20</v>
      </c>
      <c r="O6443" s="6" t="str">
        <f>HYPERLINK("https://pbs.twimg.com/profile_images/962471262747529216/Uo8lOkRJ_normal.jpg","View")</f>
        <v>View</v>
      </c>
      <c r="P6443" s="7"/>
    </row>
    <row r="6444" spans="1:16">
      <c r="A6444" s="3">
        <v>43989.920162037037</v>
      </c>
      <c r="B6444" s="4" t="str">
        <f>HYPERLINK("https://twitter.com/petrogustavo","@petrogustavo")</f>
        <v>@petrogustavo</v>
      </c>
      <c r="C6444" s="5" t="s">
        <v>16</v>
      </c>
      <c r="D6444" s="5" t="s">
        <v>6257</v>
      </c>
      <c r="E6444" s="6" t="str">
        <f>HYPERLINK("https://twitter.com/petrogustavo/status/1269669207303692288","1269669207303692288")</f>
        <v>1269669207303692288</v>
      </c>
      <c r="F6444" s="7" t="s">
        <v>17</v>
      </c>
      <c r="G6444" s="7">
        <v>3874304</v>
      </c>
      <c r="H6444" s="7">
        <v>2416</v>
      </c>
      <c r="I6444" s="7">
        <v>232</v>
      </c>
      <c r="J6444" s="7">
        <v>363</v>
      </c>
      <c r="K6444" s="7" t="s">
        <v>18</v>
      </c>
      <c r="L6444" s="8">
        <v>39987.315405092595</v>
      </c>
      <c r="M6444" s="9" t="s">
        <v>19</v>
      </c>
      <c r="N6444" s="9" t="s">
        <v>20</v>
      </c>
      <c r="O6444" s="6" t="str">
        <f>HYPERLINK("https://pbs.twimg.com/profile_images/962471262747529216/Uo8lOkRJ_normal.jpg","View")</f>
        <v>View</v>
      </c>
      <c r="P6444" s="7"/>
    </row>
    <row r="6445" spans="1:16">
      <c r="A6445" s="3">
        <v>43989.924814814818</v>
      </c>
      <c r="B6445" s="4" t="str">
        <f>HYPERLINK("https://twitter.com/petrogustavo","@petrogustavo")</f>
        <v>@petrogustavo</v>
      </c>
      <c r="C6445" s="5" t="s">
        <v>16</v>
      </c>
      <c r="D6445" s="5" t="s">
        <v>6258</v>
      </c>
      <c r="E6445" s="6" t="str">
        <f>HYPERLINK("https://twitter.com/petrogustavo/status/1269670891979489281","1269670891979489281")</f>
        <v>1269670891979489281</v>
      </c>
      <c r="F6445" s="7" t="s">
        <v>17</v>
      </c>
      <c r="G6445" s="7">
        <v>3874304</v>
      </c>
      <c r="H6445" s="7">
        <v>2416</v>
      </c>
      <c r="I6445" s="7">
        <v>48</v>
      </c>
      <c r="J6445" s="7">
        <v>129</v>
      </c>
      <c r="K6445" s="7" t="s">
        <v>18</v>
      </c>
      <c r="L6445" s="8">
        <v>39987.315405092595</v>
      </c>
      <c r="M6445" s="9" t="s">
        <v>19</v>
      </c>
      <c r="N6445" s="9" t="s">
        <v>20</v>
      </c>
      <c r="O6445" s="6" t="str">
        <f>HYPERLINK("https://pbs.twimg.com/profile_images/962471262747529216/Uo8lOkRJ_normal.jpg","View")</f>
        <v>View</v>
      </c>
      <c r="P6445" s="7"/>
    </row>
    <row r="6446" spans="1:16">
      <c r="A6446" s="3">
        <v>43989.93350694445</v>
      </c>
      <c r="B6446" s="4" t="str">
        <f>HYPERLINK("https://twitter.com/petrogustavo","@petrogustavo")</f>
        <v>@petrogustavo</v>
      </c>
      <c r="C6446" s="5" t="s">
        <v>16</v>
      </c>
      <c r="D6446" s="5" t="s">
        <v>6259</v>
      </c>
      <c r="E6446" s="6" t="str">
        <f>HYPERLINK("https://twitter.com/petrogustavo/status/1269674042157563904","1269674042157563904")</f>
        <v>1269674042157563904</v>
      </c>
      <c r="F6446" s="7" t="s">
        <v>17</v>
      </c>
      <c r="G6446" s="7">
        <v>3874304</v>
      </c>
      <c r="H6446" s="7">
        <v>2416</v>
      </c>
      <c r="I6446" s="7">
        <v>73</v>
      </c>
      <c r="J6446" s="7">
        <v>161</v>
      </c>
      <c r="K6446" s="7" t="s">
        <v>18</v>
      </c>
      <c r="L6446" s="8">
        <v>39987.315405092595</v>
      </c>
      <c r="M6446" s="9" t="s">
        <v>19</v>
      </c>
      <c r="N6446" s="9" t="s">
        <v>20</v>
      </c>
      <c r="O6446" s="6" t="str">
        <f>HYPERLINK("https://pbs.twimg.com/profile_images/962471262747529216/Uo8lOkRJ_normal.jpg","View")</f>
        <v>View</v>
      </c>
      <c r="P6446" s="7"/>
    </row>
    <row r="6447" spans="1:16">
      <c r="A6447" s="3">
        <v>43989.93917824074</v>
      </c>
      <c r="B6447" s="4" t="str">
        <f>HYPERLINK("https://twitter.com/petrogustavo","@petrogustavo")</f>
        <v>@petrogustavo</v>
      </c>
      <c r="C6447" s="5" t="s">
        <v>16</v>
      </c>
      <c r="D6447" s="5" t="s">
        <v>6260</v>
      </c>
      <c r="E6447" s="6" t="str">
        <f>HYPERLINK("https://twitter.com/petrogustavo/status/1269676094694850560","1269676094694850560")</f>
        <v>1269676094694850560</v>
      </c>
      <c r="F6447" s="7" t="s">
        <v>17</v>
      </c>
      <c r="G6447" s="7">
        <v>3874304</v>
      </c>
      <c r="H6447" s="7">
        <v>2416</v>
      </c>
      <c r="I6447" s="7">
        <v>4</v>
      </c>
      <c r="J6447" s="7">
        <v>5</v>
      </c>
      <c r="K6447" s="7" t="s">
        <v>18</v>
      </c>
      <c r="L6447" s="8">
        <v>39987.315405092595</v>
      </c>
      <c r="M6447" s="9" t="s">
        <v>19</v>
      </c>
      <c r="N6447" s="9" t="s">
        <v>20</v>
      </c>
      <c r="O6447" s="6" t="str">
        <f>HYPERLINK("https://pbs.twimg.com/profile_images/962471262747529216/Uo8lOkRJ_normal.jpg","View")</f>
        <v>View</v>
      </c>
      <c r="P6447" s="7"/>
    </row>
    <row r="6448" spans="1:16">
      <c r="A6448" s="3">
        <v>43989.945162037038</v>
      </c>
      <c r="B6448" s="4" t="str">
        <f>HYPERLINK("https://twitter.com/petrogustavo","@petrogustavo")</f>
        <v>@petrogustavo</v>
      </c>
      <c r="C6448" s="5" t="s">
        <v>16</v>
      </c>
      <c r="D6448" s="5" t="s">
        <v>6261</v>
      </c>
      <c r="E6448" s="6" t="str">
        <f>HYPERLINK("https://twitter.com/petrogustavo/status/1269678266937495553","1269678266937495553")</f>
        <v>1269678266937495553</v>
      </c>
      <c r="F6448" s="7" t="s">
        <v>17</v>
      </c>
      <c r="G6448" s="7">
        <v>3874345</v>
      </c>
      <c r="H6448" s="7">
        <v>2416</v>
      </c>
      <c r="I6448" s="7">
        <v>180</v>
      </c>
      <c r="J6448" s="7">
        <v>585</v>
      </c>
      <c r="K6448" s="7" t="s">
        <v>18</v>
      </c>
      <c r="L6448" s="8">
        <v>39987.315405092595</v>
      </c>
      <c r="M6448" s="9" t="s">
        <v>19</v>
      </c>
      <c r="N6448" s="9" t="s">
        <v>20</v>
      </c>
      <c r="O6448" s="6" t="str">
        <f>HYPERLINK("https://pbs.twimg.com/profile_images/962471262747529216/Uo8lOkRJ_normal.jpg","View")</f>
        <v>View</v>
      </c>
      <c r="P6448" s="7"/>
    </row>
    <row r="6449" spans="1:16">
      <c r="A6449" s="3">
        <v>43989.95113425926</v>
      </c>
      <c r="B6449" s="4" t="str">
        <f>HYPERLINK("https://twitter.com/petrogustavo","@petrogustavo")</f>
        <v>@petrogustavo</v>
      </c>
      <c r="C6449" s="5" t="s">
        <v>16</v>
      </c>
      <c r="D6449" s="5" t="s">
        <v>6262</v>
      </c>
      <c r="E6449" s="6" t="str">
        <f>HYPERLINK("https://twitter.com/petrogustavo/status/1269680430707625995","1269680430707625995")</f>
        <v>1269680430707625995</v>
      </c>
      <c r="F6449" s="7" t="s">
        <v>17</v>
      </c>
      <c r="G6449" s="7">
        <v>3874345</v>
      </c>
      <c r="H6449" s="7">
        <v>2416</v>
      </c>
      <c r="I6449" s="7">
        <v>38</v>
      </c>
      <c r="J6449" s="7">
        <v>109</v>
      </c>
      <c r="K6449" s="7" t="s">
        <v>18</v>
      </c>
      <c r="L6449" s="8">
        <v>39987.315405092595</v>
      </c>
      <c r="M6449" s="9" t="s">
        <v>19</v>
      </c>
      <c r="N6449" s="9" t="s">
        <v>20</v>
      </c>
      <c r="O6449" s="6" t="str">
        <f>HYPERLINK("https://pbs.twimg.com/profile_images/962471262747529216/Uo8lOkRJ_normal.jpg","View")</f>
        <v>View</v>
      </c>
      <c r="P6449" s="7"/>
    </row>
    <row r="6450" spans="1:16">
      <c r="A6450" s="3">
        <v>43989.952523148153</v>
      </c>
      <c r="B6450" s="4" t="str">
        <f>HYPERLINK("https://twitter.com/petrogustavo","@petrogustavo")</f>
        <v>@petrogustavo</v>
      </c>
      <c r="C6450" s="5" t="s">
        <v>16</v>
      </c>
      <c r="D6450" s="5" t="s">
        <v>6263</v>
      </c>
      <c r="E6450" s="6" t="str">
        <f>HYPERLINK("https://twitter.com/petrogustavo/status/1269680930601472000","1269680930601472000")</f>
        <v>1269680930601472000</v>
      </c>
      <c r="F6450" s="7" t="s">
        <v>17</v>
      </c>
      <c r="G6450" s="7">
        <v>3874345</v>
      </c>
      <c r="H6450" s="7">
        <v>2416</v>
      </c>
      <c r="I6450" s="7">
        <v>26</v>
      </c>
      <c r="J6450" s="7">
        <v>102</v>
      </c>
      <c r="K6450" s="7" t="s">
        <v>18</v>
      </c>
      <c r="L6450" s="8">
        <v>39987.315405092595</v>
      </c>
      <c r="M6450" s="9" t="s">
        <v>19</v>
      </c>
      <c r="N6450" s="9" t="s">
        <v>20</v>
      </c>
      <c r="O6450" s="6" t="str">
        <f>HYPERLINK("https://pbs.twimg.com/profile_images/962471262747529216/Uo8lOkRJ_normal.jpg","View")</f>
        <v>View</v>
      </c>
      <c r="P6450" s="7"/>
    </row>
    <row r="6451" spans="1:16">
      <c r="A6451" s="3">
        <v>43989.955231481479</v>
      </c>
      <c r="B6451" s="4" t="str">
        <f>HYPERLINK("https://twitter.com/petrogustavo","@petrogustavo")</f>
        <v>@petrogustavo</v>
      </c>
      <c r="C6451" s="5" t="s">
        <v>16</v>
      </c>
      <c r="D6451" s="5" t="s">
        <v>6264</v>
      </c>
      <c r="E6451" s="6" t="str">
        <f>HYPERLINK("https://twitter.com/petrogustavo/status/1269681913742098432","1269681913742098432")</f>
        <v>1269681913742098432</v>
      </c>
      <c r="F6451" s="7" t="s">
        <v>17</v>
      </c>
      <c r="G6451" s="7">
        <v>3874345</v>
      </c>
      <c r="H6451" s="7">
        <v>2416</v>
      </c>
      <c r="I6451" s="7">
        <v>13</v>
      </c>
      <c r="J6451" s="7">
        <v>48</v>
      </c>
      <c r="K6451" s="7" t="s">
        <v>18</v>
      </c>
      <c r="L6451" s="8">
        <v>39987.315405092595</v>
      </c>
      <c r="M6451" s="9" t="s">
        <v>19</v>
      </c>
      <c r="N6451" s="9" t="s">
        <v>20</v>
      </c>
      <c r="O6451" s="6" t="str">
        <f>HYPERLINK("https://pbs.twimg.com/profile_images/962471262747529216/Uo8lOkRJ_normal.jpg","View")</f>
        <v>View</v>
      </c>
      <c r="P6451" s="7"/>
    </row>
    <row r="6452" spans="1:16">
      <c r="A6452" s="3">
        <v>43989.957604166666</v>
      </c>
      <c r="B6452" s="4" t="str">
        <f>HYPERLINK("https://twitter.com/petrogustavo","@petrogustavo")</f>
        <v>@petrogustavo</v>
      </c>
      <c r="C6452" s="5" t="s">
        <v>16</v>
      </c>
      <c r="D6452" s="5" t="s">
        <v>6265</v>
      </c>
      <c r="E6452" s="6" t="str">
        <f>HYPERLINK("https://twitter.com/petrogustavo/status/1269682772098064385","1269682772098064385")</f>
        <v>1269682772098064385</v>
      </c>
      <c r="F6452" s="7" t="s">
        <v>17</v>
      </c>
      <c r="G6452" s="7">
        <v>3874345</v>
      </c>
      <c r="H6452" s="7">
        <v>2416</v>
      </c>
      <c r="I6452" s="7">
        <v>15</v>
      </c>
      <c r="J6452" s="7">
        <v>28</v>
      </c>
      <c r="K6452" s="7" t="s">
        <v>18</v>
      </c>
      <c r="L6452" s="8">
        <v>39987.315405092595</v>
      </c>
      <c r="M6452" s="9" t="s">
        <v>19</v>
      </c>
      <c r="N6452" s="9" t="s">
        <v>20</v>
      </c>
      <c r="O6452" s="6" t="str">
        <f>HYPERLINK("https://pbs.twimg.com/profile_images/962471262747529216/Uo8lOkRJ_normal.jpg","View")</f>
        <v>View</v>
      </c>
      <c r="P6452" s="7"/>
    </row>
    <row r="6453" spans="1:16">
      <c r="A6453" s="3">
        <v>43989.958541666667</v>
      </c>
      <c r="B6453" s="4" t="str">
        <f>HYPERLINK("https://twitter.com/petrogustavo","@petrogustavo")</f>
        <v>@petrogustavo</v>
      </c>
      <c r="C6453" s="5" t="s">
        <v>16</v>
      </c>
      <c r="D6453" s="5" t="s">
        <v>6266</v>
      </c>
      <c r="E6453" s="6" t="str">
        <f>HYPERLINK("https://twitter.com/petrogustavo/status/1269683114483351553","1269683114483351553")</f>
        <v>1269683114483351553</v>
      </c>
      <c r="F6453" s="7" t="s">
        <v>17</v>
      </c>
      <c r="G6453" s="7">
        <v>3874345</v>
      </c>
      <c r="H6453" s="7">
        <v>2416</v>
      </c>
      <c r="I6453" s="7">
        <v>8</v>
      </c>
      <c r="J6453" s="7">
        <v>25</v>
      </c>
      <c r="K6453" s="7" t="s">
        <v>18</v>
      </c>
      <c r="L6453" s="8">
        <v>39987.315405092595</v>
      </c>
      <c r="M6453" s="9" t="s">
        <v>19</v>
      </c>
      <c r="N6453" s="9" t="s">
        <v>20</v>
      </c>
      <c r="O6453" s="6" t="str">
        <f>HYPERLINK("https://pbs.twimg.com/profile_images/962471262747529216/Uo8lOkRJ_normal.jpg","View")</f>
        <v>View</v>
      </c>
      <c r="P6453" s="7"/>
    </row>
    <row r="6454" spans="1:16">
      <c r="A6454" s="3">
        <v>43990.033263888894</v>
      </c>
      <c r="B6454" s="4" t="str">
        <f>HYPERLINK("https://twitter.com/petrogustavo","@petrogustavo")</f>
        <v>@petrogustavo</v>
      </c>
      <c r="C6454" s="5" t="s">
        <v>16</v>
      </c>
      <c r="D6454" s="5" t="s">
        <v>6267</v>
      </c>
      <c r="E6454" s="6" t="str">
        <f>HYPERLINK("https://twitter.com/petrogustavo/status/1269710192746397698","1269710192746397698")</f>
        <v>1269710192746397698</v>
      </c>
      <c r="F6454" s="7" t="s">
        <v>17</v>
      </c>
      <c r="G6454" s="7">
        <v>3874427</v>
      </c>
      <c r="H6454" s="7">
        <v>2416</v>
      </c>
      <c r="I6454" s="7">
        <v>475</v>
      </c>
      <c r="J6454" s="7">
        <v>0</v>
      </c>
      <c r="K6454" s="7" t="s">
        <v>18</v>
      </c>
      <c r="L6454" s="8">
        <v>39987.315405092595</v>
      </c>
      <c r="M6454" s="9" t="s">
        <v>19</v>
      </c>
      <c r="N6454" s="9" t="s">
        <v>20</v>
      </c>
      <c r="O6454" s="6" t="str">
        <f>HYPERLINK("https://pbs.twimg.com/profile_images/962471262747529216/Uo8lOkRJ_normal.jpg","View")</f>
        <v>View</v>
      </c>
      <c r="P6454" s="7"/>
    </row>
    <row r="6455" spans="1:16">
      <c r="A6455" s="3">
        <v>43990.105150462958</v>
      </c>
      <c r="B6455" s="4" t="str">
        <f>HYPERLINK("https://twitter.com/petrogustavo","@petrogustavo")</f>
        <v>@petrogustavo</v>
      </c>
      <c r="C6455" s="5" t="s">
        <v>16</v>
      </c>
      <c r="D6455" s="5" t="s">
        <v>6267</v>
      </c>
      <c r="E6455" s="6" t="str">
        <f>HYPERLINK("https://twitter.com/petrogustavo/status/1269736240989028352","1269736240989028352")</f>
        <v>1269736240989028352</v>
      </c>
      <c r="F6455" s="7" t="s">
        <v>17</v>
      </c>
      <c r="G6455" s="7">
        <v>3874499</v>
      </c>
      <c r="H6455" s="7">
        <v>2416</v>
      </c>
      <c r="I6455" s="7">
        <v>621</v>
      </c>
      <c r="J6455" s="7">
        <v>0</v>
      </c>
      <c r="K6455" s="7" t="s">
        <v>18</v>
      </c>
      <c r="L6455" s="8">
        <v>39987.315405092595</v>
      </c>
      <c r="M6455" s="9" t="s">
        <v>19</v>
      </c>
      <c r="N6455" s="9" t="s">
        <v>20</v>
      </c>
      <c r="O6455" s="6" t="str">
        <f>HYPERLINK("https://pbs.twimg.com/profile_images/962471262747529216/Uo8lOkRJ_normal.jpg","View")</f>
        <v>View</v>
      </c>
      <c r="P6455" s="7"/>
    </row>
    <row r="6456" spans="1:16">
      <c r="A6456" s="3">
        <v>43990.133750000001</v>
      </c>
      <c r="B6456" s="4" t="str">
        <f>HYPERLINK("https://twitter.com/petrogustavo","@petrogustavo")</f>
        <v>@petrogustavo</v>
      </c>
      <c r="C6456" s="5" t="s">
        <v>16</v>
      </c>
      <c r="D6456" s="5" t="s">
        <v>6268</v>
      </c>
      <c r="E6456" s="6" t="str">
        <f>HYPERLINK("https://twitter.com/petrogustavo/status/1269746607018442752","1269746607018442752")</f>
        <v>1269746607018442752</v>
      </c>
      <c r="F6456" s="7" t="s">
        <v>17</v>
      </c>
      <c r="G6456" s="7">
        <v>3874548</v>
      </c>
      <c r="H6456" s="7">
        <v>2416</v>
      </c>
      <c r="I6456" s="7">
        <v>116</v>
      </c>
      <c r="J6456" s="7">
        <v>282</v>
      </c>
      <c r="K6456" s="7" t="s">
        <v>18</v>
      </c>
      <c r="L6456" s="8">
        <v>39987.315405092595</v>
      </c>
      <c r="M6456" s="9" t="s">
        <v>19</v>
      </c>
      <c r="N6456" s="9" t="s">
        <v>20</v>
      </c>
      <c r="O6456" s="6" t="str">
        <f>HYPERLINK("https://pbs.twimg.com/profile_images/962471262747529216/Uo8lOkRJ_normal.jpg","View")</f>
        <v>View</v>
      </c>
      <c r="P6456" s="7"/>
    </row>
    <row r="6457" spans="1:16">
      <c r="A6457" s="3">
        <v>43990.134270833332</v>
      </c>
      <c r="B6457" s="4" t="str">
        <f>HYPERLINK("https://twitter.com/petrogustavo","@petrogustavo")</f>
        <v>@petrogustavo</v>
      </c>
      <c r="C6457" s="5" t="s">
        <v>16</v>
      </c>
      <c r="D6457" s="5" t="s">
        <v>6269</v>
      </c>
      <c r="E6457" s="6" t="str">
        <f>HYPERLINK("https://twitter.com/petrogustavo/status/1269746795476930562","1269746795476930562")</f>
        <v>1269746795476930562</v>
      </c>
      <c r="F6457" s="7" t="s">
        <v>17</v>
      </c>
      <c r="G6457" s="7">
        <v>3874548</v>
      </c>
      <c r="H6457" s="7">
        <v>2416</v>
      </c>
      <c r="I6457" s="7">
        <v>120</v>
      </c>
      <c r="J6457" s="7">
        <v>291</v>
      </c>
      <c r="K6457" s="7" t="s">
        <v>18</v>
      </c>
      <c r="L6457" s="8">
        <v>39987.315405092595</v>
      </c>
      <c r="M6457" s="9" t="s">
        <v>19</v>
      </c>
      <c r="N6457" s="9" t="s">
        <v>20</v>
      </c>
      <c r="O6457" s="6" t="str">
        <f>HYPERLINK("https://pbs.twimg.com/profile_images/962471262747529216/Uo8lOkRJ_normal.jpg","View")</f>
        <v>View</v>
      </c>
      <c r="P6457" s="7"/>
    </row>
    <row r="6458" spans="1:16">
      <c r="A6458" s="3">
        <v>43990.206458333334</v>
      </c>
      <c r="B6458" s="4" t="str">
        <f>HYPERLINK("https://twitter.com/petrogustavo","@petrogustavo")</f>
        <v>@petrogustavo</v>
      </c>
      <c r="C6458" s="5" t="s">
        <v>16</v>
      </c>
      <c r="D6458" s="5" t="s">
        <v>6267</v>
      </c>
      <c r="E6458" s="6" t="str">
        <f>HYPERLINK("https://twitter.com/petrogustavo/status/1269772956214923264","1269772956214923264")</f>
        <v>1269772956214923264</v>
      </c>
      <c r="F6458" s="7" t="s">
        <v>17</v>
      </c>
      <c r="G6458" s="7">
        <v>3874635</v>
      </c>
      <c r="H6458" s="7">
        <v>2416</v>
      </c>
      <c r="I6458" s="7">
        <v>828</v>
      </c>
      <c r="J6458" s="7">
        <v>0</v>
      </c>
      <c r="K6458" s="7" t="s">
        <v>18</v>
      </c>
      <c r="L6458" s="8">
        <v>39987.315405092595</v>
      </c>
      <c r="M6458" s="9" t="s">
        <v>19</v>
      </c>
      <c r="N6458" s="9" t="s">
        <v>20</v>
      </c>
      <c r="O6458" s="6" t="str">
        <f>HYPERLINK("https://pbs.twimg.com/profile_images/962471262747529216/Uo8lOkRJ_normal.jpg","View")</f>
        <v>View</v>
      </c>
      <c r="P6458" s="7"/>
    </row>
    <row r="6459" spans="1:16">
      <c r="A6459" s="3">
        <v>43990.253020833334</v>
      </c>
      <c r="B6459" s="4" t="str">
        <f>HYPERLINK("https://twitter.com/petrogustavo","@petrogustavo")</f>
        <v>@petrogustavo</v>
      </c>
      <c r="C6459" s="5" t="s">
        <v>16</v>
      </c>
      <c r="D6459" s="5" t="s">
        <v>6270</v>
      </c>
      <c r="E6459" s="6" t="str">
        <f>HYPERLINK("https://twitter.com/petrogustavo/status/1269789830067748866","1269789830067748866")</f>
        <v>1269789830067748866</v>
      </c>
      <c r="F6459" s="7" t="s">
        <v>17</v>
      </c>
      <c r="G6459" s="7">
        <v>3874708</v>
      </c>
      <c r="H6459" s="7">
        <v>2416</v>
      </c>
      <c r="I6459" s="7">
        <v>182</v>
      </c>
      <c r="J6459" s="7">
        <v>569</v>
      </c>
      <c r="K6459" s="7" t="s">
        <v>18</v>
      </c>
      <c r="L6459" s="8">
        <v>39987.315405092595</v>
      </c>
      <c r="M6459" s="9" t="s">
        <v>19</v>
      </c>
      <c r="N6459" s="9" t="s">
        <v>20</v>
      </c>
      <c r="O6459" s="6" t="str">
        <f>HYPERLINK("https://pbs.twimg.com/profile_images/962471262747529216/Uo8lOkRJ_normal.jpg","View")</f>
        <v>View</v>
      </c>
      <c r="P6459" s="7"/>
    </row>
    <row r="6460" spans="1:16">
      <c r="A6460" s="3">
        <v>43990.270833333328</v>
      </c>
      <c r="B6460" s="4" t="str">
        <f>HYPERLINK("https://twitter.com/petrogustavo","@petrogustavo")</f>
        <v>@petrogustavo</v>
      </c>
      <c r="C6460" s="5" t="s">
        <v>16</v>
      </c>
      <c r="D6460" s="5" t="s">
        <v>6271</v>
      </c>
      <c r="E6460" s="6" t="str">
        <f>HYPERLINK("https://twitter.com/petrogustavo/status/1269796284615004162","1269796284615004162")</f>
        <v>1269796284615004162</v>
      </c>
      <c r="F6460" s="7" t="s">
        <v>17</v>
      </c>
      <c r="G6460" s="7">
        <v>3874708</v>
      </c>
      <c r="H6460" s="7">
        <v>2416</v>
      </c>
      <c r="I6460" s="7">
        <v>30</v>
      </c>
      <c r="J6460" s="7">
        <v>54</v>
      </c>
      <c r="K6460" s="7" t="s">
        <v>18</v>
      </c>
      <c r="L6460" s="8">
        <v>39987.315405092595</v>
      </c>
      <c r="M6460" s="9" t="s">
        <v>19</v>
      </c>
      <c r="N6460" s="9" t="s">
        <v>20</v>
      </c>
      <c r="O6460" s="6" t="str">
        <f>HYPERLINK("https://pbs.twimg.com/profile_images/962471262747529216/Uo8lOkRJ_normal.jpg","View")</f>
        <v>View</v>
      </c>
      <c r="P6460" s="7"/>
    </row>
    <row r="6461" spans="1:16">
      <c r="A6461" s="3">
        <v>43990.275300925925</v>
      </c>
      <c r="B6461" s="4" t="str">
        <f>HYPERLINK("https://twitter.com/petrogustavo","@petrogustavo")</f>
        <v>@petrogustavo</v>
      </c>
      <c r="C6461" s="5" t="s">
        <v>16</v>
      </c>
      <c r="D6461" s="5" t="s">
        <v>6272</v>
      </c>
      <c r="E6461" s="6" t="str">
        <f>HYPERLINK("https://twitter.com/petrogustavo/status/1269797904132313088","1269797904132313088")</f>
        <v>1269797904132313088</v>
      </c>
      <c r="F6461" s="7" t="s">
        <v>17</v>
      </c>
      <c r="G6461" s="7">
        <v>3874708</v>
      </c>
      <c r="H6461" s="7">
        <v>2416</v>
      </c>
      <c r="I6461" s="7">
        <v>41</v>
      </c>
      <c r="J6461" s="7">
        <v>0</v>
      </c>
      <c r="K6461" s="7" t="s">
        <v>18</v>
      </c>
      <c r="L6461" s="8">
        <v>39987.315405092595</v>
      </c>
      <c r="M6461" s="9" t="s">
        <v>19</v>
      </c>
      <c r="N6461" s="9" t="s">
        <v>20</v>
      </c>
      <c r="O6461" s="6" t="str">
        <f>HYPERLINK("https://pbs.twimg.com/profile_images/962471262747529216/Uo8lOkRJ_normal.jpg","View")</f>
        <v>View</v>
      </c>
      <c r="P6461" s="7"/>
    </row>
    <row r="6462" spans="1:16">
      <c r="A6462" s="3">
        <v>43990.303622685184</v>
      </c>
      <c r="B6462" s="4" t="str">
        <f>HYPERLINK("https://twitter.com/petrogustavo","@petrogustavo")</f>
        <v>@petrogustavo</v>
      </c>
      <c r="C6462" s="5" t="s">
        <v>16</v>
      </c>
      <c r="D6462" s="5" t="s">
        <v>6273</v>
      </c>
      <c r="E6462" s="6" t="str">
        <f>HYPERLINK("https://twitter.com/petrogustavo/status/1269808167178899462","1269808167178899462")</f>
        <v>1269808167178899462</v>
      </c>
      <c r="F6462" s="7" t="s">
        <v>17</v>
      </c>
      <c r="G6462" s="7">
        <v>3874737</v>
      </c>
      <c r="H6462" s="7">
        <v>2416</v>
      </c>
      <c r="I6462" s="7">
        <v>140</v>
      </c>
      <c r="J6462" s="7">
        <v>630</v>
      </c>
      <c r="K6462" s="7" t="s">
        <v>18</v>
      </c>
      <c r="L6462" s="8">
        <v>39987.315405092595</v>
      </c>
      <c r="M6462" s="9" t="s">
        <v>19</v>
      </c>
      <c r="N6462" s="9" t="s">
        <v>20</v>
      </c>
      <c r="O6462" s="6" t="str">
        <f>HYPERLINK("https://pbs.twimg.com/profile_images/962471262747529216/Uo8lOkRJ_normal.jpg","View")</f>
        <v>View</v>
      </c>
      <c r="P6462" s="7"/>
    </row>
    <row r="6463" spans="1:16">
      <c r="A6463" s="3">
        <v>43990.342094907406</v>
      </c>
      <c r="B6463" s="4" t="str">
        <f>HYPERLINK("https://twitter.com/petrogustavo","@petrogustavo")</f>
        <v>@petrogustavo</v>
      </c>
      <c r="C6463" s="5" t="s">
        <v>16</v>
      </c>
      <c r="D6463" s="5" t="s">
        <v>6274</v>
      </c>
      <c r="E6463" s="6" t="str">
        <f>HYPERLINK("https://twitter.com/petrogustavo/status/1269822106780553218","1269822106780553218")</f>
        <v>1269822106780553218</v>
      </c>
      <c r="F6463" s="7" t="s">
        <v>21</v>
      </c>
      <c r="G6463" s="7">
        <v>3874825</v>
      </c>
      <c r="H6463" s="7">
        <v>2416</v>
      </c>
      <c r="I6463" s="7">
        <v>50</v>
      </c>
      <c r="J6463" s="7">
        <v>114</v>
      </c>
      <c r="K6463" s="7" t="s">
        <v>18</v>
      </c>
      <c r="L6463" s="8">
        <v>39987.315405092595</v>
      </c>
      <c r="M6463" s="9" t="s">
        <v>19</v>
      </c>
      <c r="N6463" s="9" t="s">
        <v>20</v>
      </c>
      <c r="O6463" s="6" t="str">
        <f>HYPERLINK("https://pbs.twimg.com/profile_images/962471262747529216/Uo8lOkRJ_normal.jpg","View")</f>
        <v>View</v>
      </c>
      <c r="P6463" s="7"/>
    </row>
    <row r="6464" spans="1:16">
      <c r="A6464" s="3">
        <v>43990.342766203699</v>
      </c>
      <c r="B6464" s="4" t="str">
        <f>HYPERLINK("https://twitter.com/petrogustavo","@petrogustavo")</f>
        <v>@petrogustavo</v>
      </c>
      <c r="C6464" s="5" t="s">
        <v>16</v>
      </c>
      <c r="D6464" s="5" t="s">
        <v>6275</v>
      </c>
      <c r="E6464" s="6" t="str">
        <f>HYPERLINK("https://twitter.com/petrogustavo/status/1269822351178371073","1269822351178371073")</f>
        <v>1269822351178371073</v>
      </c>
      <c r="F6464" s="7" t="s">
        <v>21</v>
      </c>
      <c r="G6464" s="7">
        <v>3874825</v>
      </c>
      <c r="H6464" s="7">
        <v>2416</v>
      </c>
      <c r="I6464" s="7">
        <v>64</v>
      </c>
      <c r="J6464" s="7">
        <v>145</v>
      </c>
      <c r="K6464" s="7" t="s">
        <v>18</v>
      </c>
      <c r="L6464" s="8">
        <v>39987.315405092595</v>
      </c>
      <c r="M6464" s="9" t="s">
        <v>19</v>
      </c>
      <c r="N6464" s="9" t="s">
        <v>20</v>
      </c>
      <c r="O6464" s="6" t="str">
        <f>HYPERLINK("https://pbs.twimg.com/profile_images/962471262747529216/Uo8lOkRJ_normal.jpg","View")</f>
        <v>View</v>
      </c>
      <c r="P6464" s="7"/>
    </row>
    <row r="6465" spans="1:16">
      <c r="A6465" s="3">
        <v>43990.833020833335</v>
      </c>
      <c r="B6465" s="4" t="str">
        <f>HYPERLINK("https://twitter.com/petrogustavo","@petrogustavo")</f>
        <v>@petrogustavo</v>
      </c>
      <c r="C6465" s="5" t="s">
        <v>16</v>
      </c>
      <c r="D6465" s="5" t="s">
        <v>6276</v>
      </c>
      <c r="E6465" s="6" t="str">
        <f>HYPERLINK("https://twitter.com/petrogustavo/status/1270000015176617987","1270000015176617987")</f>
        <v>1270000015176617987</v>
      </c>
      <c r="F6465" s="7" t="s">
        <v>32</v>
      </c>
      <c r="G6465" s="7">
        <v>3875100</v>
      </c>
      <c r="H6465" s="7">
        <v>2416</v>
      </c>
      <c r="I6465" s="7">
        <v>126</v>
      </c>
      <c r="J6465" s="7">
        <v>0</v>
      </c>
      <c r="K6465" s="7" t="s">
        <v>18</v>
      </c>
      <c r="L6465" s="8">
        <v>39987.315405092595</v>
      </c>
      <c r="M6465" s="9" t="s">
        <v>19</v>
      </c>
      <c r="N6465" s="9" t="s">
        <v>20</v>
      </c>
      <c r="O6465" s="6" t="str">
        <f>HYPERLINK("https://pbs.twimg.com/profile_images/962471262747529216/Uo8lOkRJ_normal.jpg","View")</f>
        <v>View</v>
      </c>
      <c r="P6465" s="7"/>
    </row>
    <row r="6466" spans="1:16">
      <c r="A6466" s="3">
        <v>43990.833067129628</v>
      </c>
      <c r="B6466" s="4" t="str">
        <f>HYPERLINK("https://twitter.com/petrogustavo","@petrogustavo")</f>
        <v>@petrogustavo</v>
      </c>
      <c r="C6466" s="5" t="s">
        <v>16</v>
      </c>
      <c r="D6466" s="5" t="s">
        <v>6277</v>
      </c>
      <c r="E6466" s="6" t="str">
        <f>HYPERLINK("https://twitter.com/petrogustavo/status/1270000032016728070","1270000032016728070")</f>
        <v>1270000032016728070</v>
      </c>
      <c r="F6466" s="7" t="s">
        <v>32</v>
      </c>
      <c r="G6466" s="7">
        <v>3875100</v>
      </c>
      <c r="H6466" s="7">
        <v>2416</v>
      </c>
      <c r="I6466" s="7">
        <v>227</v>
      </c>
      <c r="J6466" s="7">
        <v>0</v>
      </c>
      <c r="K6466" s="7" t="s">
        <v>18</v>
      </c>
      <c r="L6466" s="8">
        <v>39987.315405092595</v>
      </c>
      <c r="M6466" s="9" t="s">
        <v>19</v>
      </c>
      <c r="N6466" s="9" t="s">
        <v>20</v>
      </c>
      <c r="O6466" s="6" t="str">
        <f>HYPERLINK("https://pbs.twimg.com/profile_images/962471262747529216/Uo8lOkRJ_normal.jpg","View")</f>
        <v>View</v>
      </c>
      <c r="P6466" s="7"/>
    </row>
    <row r="6467" spans="1:16">
      <c r="A6467" s="3">
        <v>43990.834548611107</v>
      </c>
      <c r="B6467" s="4" t="str">
        <f>HYPERLINK("https://twitter.com/petrogustavo","@petrogustavo")</f>
        <v>@petrogustavo</v>
      </c>
      <c r="C6467" s="5" t="s">
        <v>16</v>
      </c>
      <c r="D6467" s="5" t="s">
        <v>6278</v>
      </c>
      <c r="E6467" s="6" t="str">
        <f>HYPERLINK("https://twitter.com/petrogustavo/status/1270000567998451712","1270000567998451712")</f>
        <v>1270000567998451712</v>
      </c>
      <c r="F6467" s="7" t="s">
        <v>32</v>
      </c>
      <c r="G6467" s="7">
        <v>3875100</v>
      </c>
      <c r="H6467" s="7">
        <v>2416</v>
      </c>
      <c r="I6467" s="7">
        <v>0</v>
      </c>
      <c r="J6467" s="7">
        <v>4</v>
      </c>
      <c r="K6467" s="7" t="s">
        <v>18</v>
      </c>
      <c r="L6467" s="8">
        <v>39987.315405092595</v>
      </c>
      <c r="M6467" s="9" t="s">
        <v>19</v>
      </c>
      <c r="N6467" s="9" t="s">
        <v>20</v>
      </c>
      <c r="O6467" s="6" t="str">
        <f>HYPERLINK("https://pbs.twimg.com/profile_images/962471262747529216/Uo8lOkRJ_normal.jpg","View")</f>
        <v>View</v>
      </c>
      <c r="P6467" s="7"/>
    </row>
    <row r="6468" spans="1:16">
      <c r="A6468" s="3">
        <v>43990.836689814816</v>
      </c>
      <c r="B6468" s="4" t="str">
        <f>HYPERLINK("https://twitter.com/petrogustavo","@petrogustavo")</f>
        <v>@petrogustavo</v>
      </c>
      <c r="C6468" s="5" t="s">
        <v>16</v>
      </c>
      <c r="D6468" s="5" t="s">
        <v>6279</v>
      </c>
      <c r="E6468" s="6" t="str">
        <f>HYPERLINK("https://twitter.com/petrogustavo/status/1270001343344803840","1270001343344803840")</f>
        <v>1270001343344803840</v>
      </c>
      <c r="F6468" s="7" t="s">
        <v>17</v>
      </c>
      <c r="G6468" s="7">
        <v>3875111</v>
      </c>
      <c r="H6468" s="7">
        <v>2416</v>
      </c>
      <c r="I6468" s="7">
        <v>135</v>
      </c>
      <c r="J6468" s="7">
        <v>791</v>
      </c>
      <c r="K6468" s="7" t="s">
        <v>18</v>
      </c>
      <c r="L6468" s="8">
        <v>39987.315405092595</v>
      </c>
      <c r="M6468" s="9" t="s">
        <v>19</v>
      </c>
      <c r="N6468" s="9" t="s">
        <v>20</v>
      </c>
      <c r="O6468" s="6" t="str">
        <f>HYPERLINK("https://pbs.twimg.com/profile_images/962471262747529216/Uo8lOkRJ_normal.jpg","View")</f>
        <v>View</v>
      </c>
      <c r="P6468" s="7"/>
    </row>
    <row r="6469" spans="1:16">
      <c r="A6469" s="3">
        <v>43991.111354166671</v>
      </c>
      <c r="B6469" s="4" t="str">
        <f>HYPERLINK("https://twitter.com/petrogustavo","@petrogustavo")</f>
        <v>@petrogustavo</v>
      </c>
      <c r="C6469" s="5" t="s">
        <v>16</v>
      </c>
      <c r="D6469" s="5" t="s">
        <v>6280</v>
      </c>
      <c r="E6469" s="6" t="str">
        <f>HYPERLINK("https://twitter.com/petrogustavo/status/1270100879224573964","1270100879224573964")</f>
        <v>1270100879224573964</v>
      </c>
      <c r="F6469" s="7" t="s">
        <v>32</v>
      </c>
      <c r="G6469" s="7">
        <v>3875433</v>
      </c>
      <c r="H6469" s="7">
        <v>2416</v>
      </c>
      <c r="I6469" s="7">
        <v>67</v>
      </c>
      <c r="J6469" s="7">
        <v>0</v>
      </c>
      <c r="K6469" s="7" t="s">
        <v>18</v>
      </c>
      <c r="L6469" s="8">
        <v>39987.315405092595</v>
      </c>
      <c r="M6469" s="9" t="s">
        <v>19</v>
      </c>
      <c r="N6469" s="9" t="s">
        <v>20</v>
      </c>
      <c r="O6469" s="6" t="str">
        <f>HYPERLINK("https://pbs.twimg.com/profile_images/962471262747529216/Uo8lOkRJ_normal.jpg","View")</f>
        <v>View</v>
      </c>
      <c r="P6469" s="7"/>
    </row>
    <row r="6470" spans="1:16">
      <c r="A6470" s="3">
        <v>43991.111562499995</v>
      </c>
      <c r="B6470" s="4" t="str">
        <f>HYPERLINK("https://twitter.com/petrogustavo","@petrogustavo")</f>
        <v>@petrogustavo</v>
      </c>
      <c r="C6470" s="5" t="s">
        <v>16</v>
      </c>
      <c r="D6470" s="5" t="s">
        <v>6281</v>
      </c>
      <c r="E6470" s="6" t="str">
        <f>HYPERLINK("https://twitter.com/petrogustavo/status/1270100953706958848","1270100953706958848")</f>
        <v>1270100953706958848</v>
      </c>
      <c r="F6470" s="7" t="s">
        <v>32</v>
      </c>
      <c r="G6470" s="7">
        <v>3875433</v>
      </c>
      <c r="H6470" s="7">
        <v>2416</v>
      </c>
      <c r="I6470" s="7">
        <v>77</v>
      </c>
      <c r="J6470" s="7">
        <v>0</v>
      </c>
      <c r="K6470" s="7" t="s">
        <v>18</v>
      </c>
      <c r="L6470" s="8">
        <v>39987.315405092595</v>
      </c>
      <c r="M6470" s="9" t="s">
        <v>19</v>
      </c>
      <c r="N6470" s="9" t="s">
        <v>20</v>
      </c>
      <c r="O6470" s="6" t="str">
        <f>HYPERLINK("https://pbs.twimg.com/profile_images/962471262747529216/Uo8lOkRJ_normal.jpg","View")</f>
        <v>View</v>
      </c>
      <c r="P6470" s="7"/>
    </row>
    <row r="6471" spans="1:16">
      <c r="A6471" s="3">
        <v>43991.111712962964</v>
      </c>
      <c r="B6471" s="4" t="str">
        <f>HYPERLINK("https://twitter.com/petrogustavo","@petrogustavo")</f>
        <v>@petrogustavo</v>
      </c>
      <c r="C6471" s="5" t="s">
        <v>16</v>
      </c>
      <c r="D6471" s="5" t="s">
        <v>6282</v>
      </c>
      <c r="E6471" s="6" t="str">
        <f>HYPERLINK("https://twitter.com/petrogustavo/status/1270101007415103490","1270101007415103490")</f>
        <v>1270101007415103490</v>
      </c>
      <c r="F6471" s="7" t="s">
        <v>32</v>
      </c>
      <c r="G6471" s="7">
        <v>3875433</v>
      </c>
      <c r="H6471" s="7">
        <v>2416</v>
      </c>
      <c r="I6471" s="7">
        <v>82</v>
      </c>
      <c r="J6471" s="7">
        <v>0</v>
      </c>
      <c r="K6471" s="7" t="s">
        <v>18</v>
      </c>
      <c r="L6471" s="8">
        <v>39987.315405092595</v>
      </c>
      <c r="M6471" s="9" t="s">
        <v>19</v>
      </c>
      <c r="N6471" s="9" t="s">
        <v>20</v>
      </c>
      <c r="O6471" s="6" t="str">
        <f>HYPERLINK("https://pbs.twimg.com/profile_images/962471262747529216/Uo8lOkRJ_normal.jpg","View")</f>
        <v>View</v>
      </c>
      <c r="P6471" s="7"/>
    </row>
    <row r="6472" spans="1:16">
      <c r="A6472" s="3">
        <v>43991.166597222225</v>
      </c>
      <c r="B6472" s="4" t="str">
        <f>HYPERLINK("https://twitter.com/petrogustavo","@petrogustavo")</f>
        <v>@petrogustavo</v>
      </c>
      <c r="C6472" s="5" t="s">
        <v>16</v>
      </c>
      <c r="D6472" s="5" t="s">
        <v>6283</v>
      </c>
      <c r="E6472" s="6" t="str">
        <f>HYPERLINK("https://twitter.com/petrogustavo/status/1270120899547746312","1270120899547746312")</f>
        <v>1270120899547746312</v>
      </c>
      <c r="F6472" s="7" t="s">
        <v>32</v>
      </c>
      <c r="G6472" s="7">
        <v>3875490</v>
      </c>
      <c r="H6472" s="7">
        <v>2416</v>
      </c>
      <c r="I6472" s="7">
        <v>879</v>
      </c>
      <c r="J6472" s="7">
        <v>0</v>
      </c>
      <c r="K6472" s="7" t="s">
        <v>18</v>
      </c>
      <c r="L6472" s="8">
        <v>39987.315405092595</v>
      </c>
      <c r="M6472" s="9" t="s">
        <v>19</v>
      </c>
      <c r="N6472" s="9" t="s">
        <v>20</v>
      </c>
      <c r="O6472" s="6" t="str">
        <f>HYPERLINK("https://pbs.twimg.com/profile_images/962471262747529216/Uo8lOkRJ_normal.jpg","View")</f>
        <v>View</v>
      </c>
      <c r="P6472" s="7"/>
    </row>
    <row r="6473" spans="1:16">
      <c r="A6473" s="3">
        <v>43991.170567129629</v>
      </c>
      <c r="B6473" s="4" t="str">
        <f>HYPERLINK("https://twitter.com/petrogustavo","@petrogustavo")</f>
        <v>@petrogustavo</v>
      </c>
      <c r="C6473" s="5" t="s">
        <v>16</v>
      </c>
      <c r="D6473" s="5" t="s">
        <v>6284</v>
      </c>
      <c r="E6473" s="6" t="str">
        <f>HYPERLINK("https://twitter.com/petrogustavo/status/1270122334888890385","1270122334888890385")</f>
        <v>1270122334888890385</v>
      </c>
      <c r="F6473" s="7" t="s">
        <v>32</v>
      </c>
      <c r="G6473" s="7">
        <v>3875494</v>
      </c>
      <c r="H6473" s="7">
        <v>2415</v>
      </c>
      <c r="I6473" s="7">
        <v>155</v>
      </c>
      <c r="J6473" s="7">
        <v>256</v>
      </c>
      <c r="K6473" s="7" t="s">
        <v>18</v>
      </c>
      <c r="L6473" s="8">
        <v>39987.315405092595</v>
      </c>
      <c r="M6473" s="9" t="s">
        <v>19</v>
      </c>
      <c r="N6473" s="9" t="s">
        <v>20</v>
      </c>
      <c r="O6473" s="6" t="str">
        <f>HYPERLINK("https://pbs.twimg.com/profile_images/962471262747529216/Uo8lOkRJ_normal.jpg","View")</f>
        <v>View</v>
      </c>
      <c r="P6473" s="7"/>
    </row>
    <row r="6474" spans="1:16">
      <c r="A6474" s="3">
        <v>43991.243009259255</v>
      </c>
      <c r="B6474" s="4" t="str">
        <f>HYPERLINK("https://twitter.com/petrogustavo","@petrogustavo")</f>
        <v>@petrogustavo</v>
      </c>
      <c r="C6474" s="5" t="s">
        <v>16</v>
      </c>
      <c r="D6474" s="5" t="s">
        <v>6285</v>
      </c>
      <c r="E6474" s="6" t="str">
        <f>HYPERLINK("https://twitter.com/petrogustavo/status/1270148588459495430","1270148588459495430")</f>
        <v>1270148588459495430</v>
      </c>
      <c r="F6474" s="7" t="s">
        <v>17</v>
      </c>
      <c r="G6474" s="7">
        <v>3875587</v>
      </c>
      <c r="H6474" s="7">
        <v>2415</v>
      </c>
      <c r="I6474" s="7">
        <v>946</v>
      </c>
      <c r="J6474" s="7">
        <v>0</v>
      </c>
      <c r="K6474" s="7" t="s">
        <v>18</v>
      </c>
      <c r="L6474" s="8">
        <v>39987.315405092595</v>
      </c>
      <c r="M6474" s="9" t="s">
        <v>19</v>
      </c>
      <c r="N6474" s="9" t="s">
        <v>20</v>
      </c>
      <c r="O6474" s="6" t="str">
        <f>HYPERLINK("https://pbs.twimg.com/profile_images/962471262747529216/Uo8lOkRJ_normal.jpg","View")</f>
        <v>View</v>
      </c>
      <c r="P6474" s="7"/>
    </row>
    <row r="6475" spans="1:16">
      <c r="A6475" s="3">
        <v>43991.770474537036</v>
      </c>
      <c r="B6475" s="4" t="str">
        <f>HYPERLINK("https://twitter.com/petrogustavo","@petrogustavo")</f>
        <v>@petrogustavo</v>
      </c>
      <c r="C6475" s="5" t="s">
        <v>16</v>
      </c>
      <c r="D6475" s="5" t="s">
        <v>6286</v>
      </c>
      <c r="E6475" s="6" t="str">
        <f>HYPERLINK("https://twitter.com/petrogustavo/status/1270339737224708098","1270339737224708098")</f>
        <v>1270339737224708098</v>
      </c>
      <c r="F6475" s="7" t="s">
        <v>21</v>
      </c>
      <c r="G6475" s="7">
        <v>3874214</v>
      </c>
      <c r="H6475" s="7">
        <v>2415</v>
      </c>
      <c r="I6475" s="7">
        <v>26</v>
      </c>
      <c r="J6475" s="7">
        <v>52</v>
      </c>
      <c r="K6475" s="7" t="s">
        <v>18</v>
      </c>
      <c r="L6475" s="8">
        <v>39987.315405092595</v>
      </c>
      <c r="M6475" s="9" t="s">
        <v>19</v>
      </c>
      <c r="N6475" s="9" t="s">
        <v>20</v>
      </c>
      <c r="O6475" s="6" t="str">
        <f>HYPERLINK("https://pbs.twimg.com/profile_images/962471262747529216/Uo8lOkRJ_normal.jpg","View")</f>
        <v>View</v>
      </c>
      <c r="P6475" s="7"/>
    </row>
    <row r="6476" spans="1:16">
      <c r="A6476" s="3">
        <v>43991.800023148149</v>
      </c>
      <c r="B6476" s="4" t="str">
        <f>HYPERLINK("https://twitter.com/petrogustavo","@petrogustavo")</f>
        <v>@petrogustavo</v>
      </c>
      <c r="C6476" s="5" t="s">
        <v>16</v>
      </c>
      <c r="D6476" s="5" t="s">
        <v>6287</v>
      </c>
      <c r="E6476" s="6" t="str">
        <f>HYPERLINK("https://twitter.com/petrogustavo/status/1270350443667996672","1270350443667996672")</f>
        <v>1270350443667996672</v>
      </c>
      <c r="F6476" s="7" t="s">
        <v>32</v>
      </c>
      <c r="G6476" s="7">
        <v>3874252</v>
      </c>
      <c r="H6476" s="7">
        <v>2415</v>
      </c>
      <c r="I6476" s="7">
        <v>103</v>
      </c>
      <c r="J6476" s="7">
        <v>305</v>
      </c>
      <c r="K6476" s="7" t="s">
        <v>18</v>
      </c>
      <c r="L6476" s="8">
        <v>39987.315405092595</v>
      </c>
      <c r="M6476" s="9" t="s">
        <v>19</v>
      </c>
      <c r="N6476" s="9" t="s">
        <v>20</v>
      </c>
      <c r="O6476" s="6" t="str">
        <f>HYPERLINK("https://pbs.twimg.com/profile_images/962471262747529216/Uo8lOkRJ_normal.jpg","View")</f>
        <v>View</v>
      </c>
      <c r="P6476" s="7"/>
    </row>
    <row r="6477" spans="1:16">
      <c r="A6477" s="3">
        <v>43991.817025462966</v>
      </c>
      <c r="B6477" s="4" t="str">
        <f>HYPERLINK("https://twitter.com/petrogustavo","@petrogustavo")</f>
        <v>@petrogustavo</v>
      </c>
      <c r="C6477" s="5" t="s">
        <v>16</v>
      </c>
      <c r="D6477" s="5" t="s">
        <v>6288</v>
      </c>
      <c r="E6477" s="6" t="str">
        <f>HYPERLINK("https://twitter.com/petrogustavo/status/1270356606790893573","1270356606790893573")</f>
        <v>1270356606790893573</v>
      </c>
      <c r="F6477" s="7" t="s">
        <v>32</v>
      </c>
      <c r="G6477" s="7">
        <v>3874289</v>
      </c>
      <c r="H6477" s="7">
        <v>2415</v>
      </c>
      <c r="I6477" s="7">
        <v>135</v>
      </c>
      <c r="J6477" s="7">
        <v>268</v>
      </c>
      <c r="K6477" s="7" t="s">
        <v>18</v>
      </c>
      <c r="L6477" s="8">
        <v>39987.315405092595</v>
      </c>
      <c r="M6477" s="9" t="s">
        <v>19</v>
      </c>
      <c r="N6477" s="9" t="s">
        <v>20</v>
      </c>
      <c r="O6477" s="6" t="str">
        <f>HYPERLINK("https://pbs.twimg.com/profile_images/962471262747529216/Uo8lOkRJ_normal.jpg","View")</f>
        <v>View</v>
      </c>
      <c r="P6477" s="7"/>
    </row>
    <row r="6478" spans="1:16">
      <c r="A6478" s="3">
        <v>43991.820856481485</v>
      </c>
      <c r="B6478" s="4" t="str">
        <f>HYPERLINK("https://twitter.com/petrogustavo","@petrogustavo")</f>
        <v>@petrogustavo</v>
      </c>
      <c r="C6478" s="5" t="s">
        <v>16</v>
      </c>
      <c r="D6478" s="5" t="s">
        <v>6289</v>
      </c>
      <c r="E6478" s="6" t="str">
        <f>HYPERLINK("https://twitter.com/petrogustavo/status/1270357994916720644","1270357994916720644")</f>
        <v>1270357994916720644</v>
      </c>
      <c r="F6478" s="7" t="s">
        <v>32</v>
      </c>
      <c r="G6478" s="7">
        <v>3874289</v>
      </c>
      <c r="H6478" s="7">
        <v>2415</v>
      </c>
      <c r="I6478" s="7">
        <v>205</v>
      </c>
      <c r="J6478" s="7">
        <v>436</v>
      </c>
      <c r="K6478" s="7" t="s">
        <v>18</v>
      </c>
      <c r="L6478" s="8">
        <v>39987.315405092595</v>
      </c>
      <c r="M6478" s="9" t="s">
        <v>19</v>
      </c>
      <c r="N6478" s="9" t="s">
        <v>20</v>
      </c>
      <c r="O6478" s="6" t="str">
        <f>HYPERLINK("https://pbs.twimg.com/profile_images/962471262747529216/Uo8lOkRJ_normal.jpg","View")</f>
        <v>View</v>
      </c>
      <c r="P6478" s="7"/>
    </row>
    <row r="6479" spans="1:16">
      <c r="A6479" s="3">
        <v>43991.831111111111</v>
      </c>
      <c r="B6479" s="4" t="str">
        <f>HYPERLINK("https://twitter.com/petrogustavo","@petrogustavo")</f>
        <v>@petrogustavo</v>
      </c>
      <c r="C6479" s="5" t="s">
        <v>16</v>
      </c>
      <c r="D6479" s="5" t="s">
        <v>6290</v>
      </c>
      <c r="E6479" s="6" t="str">
        <f>HYPERLINK("https://twitter.com/petrogustavo/status/1270361709321031680","1270361709321031680")</f>
        <v>1270361709321031680</v>
      </c>
      <c r="F6479" s="7" t="s">
        <v>32</v>
      </c>
      <c r="G6479" s="7">
        <v>3874289</v>
      </c>
      <c r="H6479" s="7">
        <v>2415</v>
      </c>
      <c r="I6479" s="7">
        <v>61</v>
      </c>
      <c r="J6479" s="7">
        <v>166</v>
      </c>
      <c r="K6479" s="7" t="s">
        <v>18</v>
      </c>
      <c r="L6479" s="8">
        <v>39987.315405092595</v>
      </c>
      <c r="M6479" s="9" t="s">
        <v>19</v>
      </c>
      <c r="N6479" s="9" t="s">
        <v>20</v>
      </c>
      <c r="O6479" s="6" t="str">
        <f>HYPERLINK("https://pbs.twimg.com/profile_images/962471262747529216/Uo8lOkRJ_normal.jpg","View")</f>
        <v>View</v>
      </c>
      <c r="P6479" s="7"/>
    </row>
    <row r="6480" spans="1:16">
      <c r="A6480" s="3">
        <v>43991.853333333333</v>
      </c>
      <c r="B6480" s="4" t="str">
        <f>HYPERLINK("https://twitter.com/petrogustavo","@petrogustavo")</f>
        <v>@petrogustavo</v>
      </c>
      <c r="C6480" s="5" t="s">
        <v>16</v>
      </c>
      <c r="D6480" s="5" t="s">
        <v>6291</v>
      </c>
      <c r="E6480" s="6" t="str">
        <f>HYPERLINK("https://twitter.com/petrogustavo/status/1270369761772396544","1270369761772396544")</f>
        <v>1270369761772396544</v>
      </c>
      <c r="F6480" s="7" t="s">
        <v>32</v>
      </c>
      <c r="G6480" s="7">
        <v>3874330</v>
      </c>
      <c r="H6480" s="7">
        <v>2415</v>
      </c>
      <c r="I6480" s="7">
        <v>215</v>
      </c>
      <c r="J6480" s="7">
        <v>0</v>
      </c>
      <c r="K6480" s="7" t="s">
        <v>18</v>
      </c>
      <c r="L6480" s="8">
        <v>39987.315405092595</v>
      </c>
      <c r="M6480" s="9" t="s">
        <v>19</v>
      </c>
      <c r="N6480" s="9" t="s">
        <v>20</v>
      </c>
      <c r="O6480" s="6" t="str">
        <f>HYPERLINK("https://pbs.twimg.com/profile_images/962471262747529216/Uo8lOkRJ_normal.jpg","View")</f>
        <v>View</v>
      </c>
      <c r="P6480" s="7"/>
    </row>
    <row r="6481" spans="1:16">
      <c r="A6481" s="3">
        <v>43991.885879629626</v>
      </c>
      <c r="B6481" s="4" t="str">
        <f>HYPERLINK("https://twitter.com/petrogustavo","@petrogustavo")</f>
        <v>@petrogustavo</v>
      </c>
      <c r="C6481" s="5" t="s">
        <v>16</v>
      </c>
      <c r="D6481" s="5" t="s">
        <v>6292</v>
      </c>
      <c r="E6481" s="6" t="str">
        <f>HYPERLINK("https://twitter.com/petrogustavo/status/1270381557287657474","1270381557287657474")</f>
        <v>1270381557287657474</v>
      </c>
      <c r="F6481" s="7" t="s">
        <v>21</v>
      </c>
      <c r="G6481" s="7">
        <v>3874401</v>
      </c>
      <c r="H6481" s="7">
        <v>2415</v>
      </c>
      <c r="I6481" s="7">
        <v>482</v>
      </c>
      <c r="J6481" s="7">
        <v>876</v>
      </c>
      <c r="K6481" s="7" t="s">
        <v>18</v>
      </c>
      <c r="L6481" s="8">
        <v>39987.315405092595</v>
      </c>
      <c r="M6481" s="9" t="s">
        <v>19</v>
      </c>
      <c r="N6481" s="9" t="s">
        <v>20</v>
      </c>
      <c r="O6481" s="6" t="str">
        <f>HYPERLINK("https://pbs.twimg.com/profile_images/962471262747529216/Uo8lOkRJ_normal.jpg","View")</f>
        <v>View</v>
      </c>
      <c r="P6481" s="7"/>
    </row>
    <row r="6482" spans="1:16">
      <c r="A6482" s="3">
        <v>43991.979456018518</v>
      </c>
      <c r="B6482" s="4" t="str">
        <f>HYPERLINK("https://twitter.com/petrogustavo","@petrogustavo")</f>
        <v>@petrogustavo</v>
      </c>
      <c r="C6482" s="5" t="s">
        <v>16</v>
      </c>
      <c r="D6482" s="5" t="s">
        <v>6293</v>
      </c>
      <c r="E6482" s="6" t="str">
        <f>HYPERLINK("https://twitter.com/petrogustavo/status/1270415469720330244","1270415469720330244")</f>
        <v>1270415469720330244</v>
      </c>
      <c r="F6482" s="7" t="s">
        <v>32</v>
      </c>
      <c r="G6482" s="7">
        <v>3874559</v>
      </c>
      <c r="H6482" s="7">
        <v>2416</v>
      </c>
      <c r="I6482" s="7">
        <v>2659</v>
      </c>
      <c r="J6482" s="7">
        <v>0</v>
      </c>
      <c r="K6482" s="7" t="s">
        <v>18</v>
      </c>
      <c r="L6482" s="8">
        <v>39987.315405092595</v>
      </c>
      <c r="M6482" s="9" t="s">
        <v>19</v>
      </c>
      <c r="N6482" s="9" t="s">
        <v>20</v>
      </c>
      <c r="O6482" s="6" t="str">
        <f>HYPERLINK("https://pbs.twimg.com/profile_images/962471262747529216/Uo8lOkRJ_normal.jpg","View")</f>
        <v>View</v>
      </c>
      <c r="P6482" s="7"/>
    </row>
    <row r="6483" spans="1:16">
      <c r="A6483" s="3">
        <v>43992.109837962962</v>
      </c>
      <c r="B6483" s="4" t="str">
        <f>HYPERLINK("https://twitter.com/petrogustavo","@petrogustavo")</f>
        <v>@petrogustavo</v>
      </c>
      <c r="C6483" s="5" t="s">
        <v>16</v>
      </c>
      <c r="D6483" s="5" t="s">
        <v>6294</v>
      </c>
      <c r="E6483" s="6" t="str">
        <f>HYPERLINK("https://twitter.com/petrogustavo/status/1270462716902334468","1270462716902334468")</f>
        <v>1270462716902334468</v>
      </c>
      <c r="F6483" s="7" t="s">
        <v>32</v>
      </c>
      <c r="G6483" s="7">
        <v>3874774</v>
      </c>
      <c r="H6483" s="7">
        <v>2417</v>
      </c>
      <c r="I6483" s="7">
        <v>116</v>
      </c>
      <c r="J6483" s="7">
        <v>211</v>
      </c>
      <c r="K6483" s="7" t="s">
        <v>18</v>
      </c>
      <c r="L6483" s="8">
        <v>39987.315405092595</v>
      </c>
      <c r="M6483" s="9" t="s">
        <v>19</v>
      </c>
      <c r="N6483" s="9" t="s">
        <v>20</v>
      </c>
      <c r="O6483" s="6" t="str">
        <f>HYPERLINK("https://pbs.twimg.com/profile_images/962471262747529216/Uo8lOkRJ_normal.jpg","View")</f>
        <v>View</v>
      </c>
      <c r="P6483" s="7"/>
    </row>
    <row r="6484" spans="1:16">
      <c r="A6484" s="3">
        <v>43992.112407407403</v>
      </c>
      <c r="B6484" s="4" t="str">
        <f>HYPERLINK("https://twitter.com/petrogustavo","@petrogustavo")</f>
        <v>@petrogustavo</v>
      </c>
      <c r="C6484" s="5" t="s">
        <v>16</v>
      </c>
      <c r="D6484" s="5" t="s">
        <v>6295</v>
      </c>
      <c r="E6484" s="6" t="str">
        <f>HYPERLINK("https://twitter.com/petrogustavo/status/1270463647341588488","1270463647341588488")</f>
        <v>1270463647341588488</v>
      </c>
      <c r="F6484" s="7" t="s">
        <v>17</v>
      </c>
      <c r="G6484" s="7">
        <v>3874774</v>
      </c>
      <c r="H6484" s="7">
        <v>2417</v>
      </c>
      <c r="I6484" s="7">
        <v>33</v>
      </c>
      <c r="J6484" s="7">
        <v>84</v>
      </c>
      <c r="K6484" s="7" t="s">
        <v>18</v>
      </c>
      <c r="L6484" s="8">
        <v>39987.315405092595</v>
      </c>
      <c r="M6484" s="9" t="s">
        <v>19</v>
      </c>
      <c r="N6484" s="9" t="s">
        <v>20</v>
      </c>
      <c r="O6484" s="6" t="str">
        <f>HYPERLINK("https://pbs.twimg.com/profile_images/962471262747529216/Uo8lOkRJ_normal.jpg","View")</f>
        <v>View</v>
      </c>
      <c r="P6484" s="7"/>
    </row>
    <row r="6485" spans="1:16">
      <c r="A6485" s="3">
        <v>43992.267766203702</v>
      </c>
      <c r="B6485" s="4" t="str">
        <f>HYPERLINK("https://twitter.com/petrogustavo","@petrogustavo")</f>
        <v>@petrogustavo</v>
      </c>
      <c r="C6485" s="5" t="s">
        <v>16</v>
      </c>
      <c r="D6485" s="5" t="s">
        <v>6296</v>
      </c>
      <c r="E6485" s="6" t="str">
        <f>HYPERLINK("https://twitter.com/petrogustavo/status/1270519948700536832","1270519948700536832")</f>
        <v>1270519948700536832</v>
      </c>
      <c r="F6485" s="7" t="s">
        <v>32</v>
      </c>
      <c r="G6485" s="7">
        <v>3874977</v>
      </c>
      <c r="H6485" s="7">
        <v>2417</v>
      </c>
      <c r="I6485" s="7">
        <v>416</v>
      </c>
      <c r="J6485" s="7">
        <v>0</v>
      </c>
      <c r="K6485" s="7" t="s">
        <v>18</v>
      </c>
      <c r="L6485" s="8">
        <v>39987.315405092595</v>
      </c>
      <c r="M6485" s="9" t="s">
        <v>19</v>
      </c>
      <c r="N6485" s="9" t="s">
        <v>20</v>
      </c>
      <c r="O6485" s="6" t="str">
        <f>HYPERLINK("https://pbs.twimg.com/profile_images/962471262747529216/Uo8lOkRJ_normal.jpg","View")</f>
        <v>View</v>
      </c>
      <c r="P6485" s="7"/>
    </row>
    <row r="6486" spans="1:16">
      <c r="A6486" s="3">
        <v>43992.275138888886</v>
      </c>
      <c r="B6486" s="4" t="str">
        <f>HYPERLINK("https://twitter.com/petrogustavo","@petrogustavo")</f>
        <v>@petrogustavo</v>
      </c>
      <c r="C6486" s="5" t="s">
        <v>16</v>
      </c>
      <c r="D6486" s="5" t="s">
        <v>6297</v>
      </c>
      <c r="E6486" s="6" t="str">
        <f>HYPERLINK("https://twitter.com/petrogustavo/status/1270522618567888897","1270522618567888897")</f>
        <v>1270522618567888897</v>
      </c>
      <c r="F6486" s="7" t="s">
        <v>17</v>
      </c>
      <c r="G6486" s="7">
        <v>3874972</v>
      </c>
      <c r="H6486" s="7">
        <v>2417</v>
      </c>
      <c r="I6486" s="7">
        <v>30</v>
      </c>
      <c r="J6486" s="7">
        <v>68</v>
      </c>
      <c r="K6486" s="7" t="s">
        <v>18</v>
      </c>
      <c r="L6486" s="8">
        <v>39987.315405092595</v>
      </c>
      <c r="M6486" s="9" t="s">
        <v>19</v>
      </c>
      <c r="N6486" s="9" t="s">
        <v>20</v>
      </c>
      <c r="O6486" s="6" t="str">
        <f>HYPERLINK("https://pbs.twimg.com/profile_images/962471262747529216/Uo8lOkRJ_normal.jpg","View")</f>
        <v>View</v>
      </c>
      <c r="P6486" s="7"/>
    </row>
    <row r="6487" spans="1:16">
      <c r="A6487" s="3">
        <v>43992.312453703707</v>
      </c>
      <c r="B6487" s="4" t="str">
        <f>HYPERLINK("https://twitter.com/petrogustavo","@petrogustavo")</f>
        <v>@petrogustavo</v>
      </c>
      <c r="C6487" s="5" t="s">
        <v>16</v>
      </c>
      <c r="D6487" s="5" t="s">
        <v>6298</v>
      </c>
      <c r="E6487" s="6" t="str">
        <f>HYPERLINK("https://twitter.com/petrogustavo/status/1270536143487086594","1270536143487086594")</f>
        <v>1270536143487086594</v>
      </c>
      <c r="F6487" s="7" t="s">
        <v>32</v>
      </c>
      <c r="G6487" s="7">
        <v>3875005</v>
      </c>
      <c r="H6487" s="7">
        <v>2417</v>
      </c>
      <c r="I6487" s="7">
        <v>10</v>
      </c>
      <c r="J6487" s="7">
        <v>0</v>
      </c>
      <c r="K6487" s="7" t="s">
        <v>18</v>
      </c>
      <c r="L6487" s="8">
        <v>39987.315405092595</v>
      </c>
      <c r="M6487" s="9" t="s">
        <v>19</v>
      </c>
      <c r="N6487" s="9" t="s">
        <v>20</v>
      </c>
      <c r="O6487" s="6" t="str">
        <f>HYPERLINK("https://pbs.twimg.com/profile_images/962471262747529216/Uo8lOkRJ_normal.jpg","View")</f>
        <v>View</v>
      </c>
      <c r="P6487" s="7"/>
    </row>
    <row r="6488" spans="1:16">
      <c r="A6488" s="3">
        <v>43992.324108796296</v>
      </c>
      <c r="B6488" s="4" t="str">
        <f>HYPERLINK("https://twitter.com/petrogustavo","@petrogustavo")</f>
        <v>@petrogustavo</v>
      </c>
      <c r="C6488" s="5" t="s">
        <v>16</v>
      </c>
      <c r="D6488" s="5" t="s">
        <v>6296</v>
      </c>
      <c r="E6488" s="6" t="str">
        <f>HYPERLINK("https://twitter.com/petrogustavo/status/1270540367889399814","1270540367889399814")</f>
        <v>1270540367889399814</v>
      </c>
      <c r="F6488" s="7" t="s">
        <v>32</v>
      </c>
      <c r="G6488" s="7">
        <v>3875054</v>
      </c>
      <c r="H6488" s="7">
        <v>2417</v>
      </c>
      <c r="I6488" s="7">
        <v>556</v>
      </c>
      <c r="J6488" s="7">
        <v>0</v>
      </c>
      <c r="K6488" s="7" t="s">
        <v>18</v>
      </c>
      <c r="L6488" s="8">
        <v>39987.315405092595</v>
      </c>
      <c r="M6488" s="9" t="s">
        <v>19</v>
      </c>
      <c r="N6488" s="9" t="s">
        <v>20</v>
      </c>
      <c r="O6488" s="6" t="str">
        <f>HYPERLINK("https://pbs.twimg.com/profile_images/962471262747529216/Uo8lOkRJ_normal.jpg","View")</f>
        <v>View</v>
      </c>
      <c r="P6488" s="7"/>
    </row>
    <row r="6489" spans="1:16">
      <c r="A6489" s="3">
        <v>43992.339247685188</v>
      </c>
      <c r="B6489" s="4" t="str">
        <f>HYPERLINK("https://twitter.com/petrogustavo","@petrogustavo")</f>
        <v>@petrogustavo</v>
      </c>
      <c r="C6489" s="5" t="s">
        <v>16</v>
      </c>
      <c r="D6489" s="5" t="s">
        <v>6299</v>
      </c>
      <c r="E6489" s="6" t="str">
        <f>HYPERLINK("https://twitter.com/petrogustavo/status/1270545851614662659","1270545851614662659")</f>
        <v>1270545851614662659</v>
      </c>
      <c r="F6489" s="7" t="s">
        <v>32</v>
      </c>
      <c r="G6489" s="7">
        <v>3875031</v>
      </c>
      <c r="H6489" s="7">
        <v>2417</v>
      </c>
      <c r="I6489" s="7">
        <v>72</v>
      </c>
      <c r="J6489" s="7">
        <v>160</v>
      </c>
      <c r="K6489" s="7" t="s">
        <v>18</v>
      </c>
      <c r="L6489" s="8">
        <v>39987.315405092595</v>
      </c>
      <c r="M6489" s="9" t="s">
        <v>19</v>
      </c>
      <c r="N6489" s="9" t="s">
        <v>20</v>
      </c>
      <c r="O6489" s="6" t="str">
        <f>HYPERLINK("https://pbs.twimg.com/profile_images/962471262747529216/Uo8lOkRJ_normal.jpg","View")</f>
        <v>View</v>
      </c>
      <c r="P6489" s="7"/>
    </row>
    <row r="6490" spans="1:16">
      <c r="A6490" s="3">
        <v>43992.443437499998</v>
      </c>
      <c r="B6490" s="4" t="str">
        <f>HYPERLINK("https://twitter.com/petrogustavo","@petrogustavo")</f>
        <v>@petrogustavo</v>
      </c>
      <c r="C6490" s="5" t="s">
        <v>16</v>
      </c>
      <c r="D6490" s="5" t="s">
        <v>6293</v>
      </c>
      <c r="E6490" s="6" t="str">
        <f>HYPERLINK("https://twitter.com/petrogustavo/status/1270583610362531840","1270583610362531840")</f>
        <v>1270583610362531840</v>
      </c>
      <c r="F6490" s="7" t="s">
        <v>32</v>
      </c>
      <c r="G6490" s="7">
        <v>3875187</v>
      </c>
      <c r="H6490" s="7">
        <v>2417</v>
      </c>
      <c r="I6490" s="7">
        <v>7375</v>
      </c>
      <c r="J6490" s="7">
        <v>0</v>
      </c>
      <c r="K6490" s="7" t="s">
        <v>18</v>
      </c>
      <c r="L6490" s="8">
        <v>39987.315405092595</v>
      </c>
      <c r="M6490" s="9" t="s">
        <v>19</v>
      </c>
      <c r="N6490" s="9" t="s">
        <v>20</v>
      </c>
      <c r="O6490" s="6" t="str">
        <f>HYPERLINK("https://pbs.twimg.com/profile_images/962471262747529216/Uo8lOkRJ_normal.jpg","View")</f>
        <v>View</v>
      </c>
      <c r="P6490" s="7"/>
    </row>
    <row r="6491" spans="1:16">
      <c r="A6491" s="3">
        <v>43992.732766203699</v>
      </c>
      <c r="B6491" s="4" t="str">
        <f>HYPERLINK("https://twitter.com/petrogustavo","@petrogustavo")</f>
        <v>@petrogustavo</v>
      </c>
      <c r="C6491" s="5" t="s">
        <v>16</v>
      </c>
      <c r="D6491" s="5" t="s">
        <v>6300</v>
      </c>
      <c r="E6491" s="6" t="str">
        <f>HYPERLINK("https://twitter.com/petrogustavo/status/1270688459976572928","1270688459976572928")</f>
        <v>1270688459976572928</v>
      </c>
      <c r="F6491" s="7" t="s">
        <v>17</v>
      </c>
      <c r="G6491" s="7">
        <v>3875264</v>
      </c>
      <c r="H6491" s="7">
        <v>2417</v>
      </c>
      <c r="I6491" s="7">
        <v>46</v>
      </c>
      <c r="J6491" s="7">
        <v>185</v>
      </c>
      <c r="K6491" s="7" t="s">
        <v>18</v>
      </c>
      <c r="L6491" s="8">
        <v>39987.315405092595</v>
      </c>
      <c r="M6491" s="9" t="s">
        <v>19</v>
      </c>
      <c r="N6491" s="9" t="s">
        <v>20</v>
      </c>
      <c r="O6491" s="6" t="str">
        <f>HYPERLINK("https://pbs.twimg.com/profile_images/962471262747529216/Uo8lOkRJ_normal.jpg","View")</f>
        <v>View</v>
      </c>
      <c r="P6491" s="7"/>
    </row>
    <row r="6492" spans="1:16">
      <c r="A6492" s="3">
        <v>43993.039201388892</v>
      </c>
      <c r="B6492" s="4" t="str">
        <f>HYPERLINK("https://twitter.com/petrogustavo","@petrogustavo")</f>
        <v>@petrogustavo</v>
      </c>
      <c r="C6492" s="5" t="s">
        <v>16</v>
      </c>
      <c r="D6492" s="5" t="s">
        <v>6301</v>
      </c>
      <c r="E6492" s="6" t="str">
        <f>HYPERLINK("https://twitter.com/petrogustavo/status/1270799507488411655","1270799507488411655")</f>
        <v>1270799507488411655</v>
      </c>
      <c r="F6492" s="7" t="s">
        <v>17</v>
      </c>
      <c r="G6492" s="7">
        <v>3875670</v>
      </c>
      <c r="H6492" s="7">
        <v>2417</v>
      </c>
      <c r="I6492" s="7">
        <v>328</v>
      </c>
      <c r="J6492" s="7">
        <v>0</v>
      </c>
      <c r="K6492" s="7" t="s">
        <v>18</v>
      </c>
      <c r="L6492" s="8">
        <v>39987.315405092595</v>
      </c>
      <c r="M6492" s="9" t="s">
        <v>19</v>
      </c>
      <c r="N6492" s="9" t="s">
        <v>20</v>
      </c>
      <c r="O6492" s="6" t="str">
        <f>HYPERLINK("https://pbs.twimg.com/profile_images/962471262747529216/Uo8lOkRJ_normal.jpg","View")</f>
        <v>View</v>
      </c>
      <c r="P6492" s="7"/>
    </row>
    <row r="6493" spans="1:16">
      <c r="A6493" s="3">
        <v>43993.223935185189</v>
      </c>
      <c r="B6493" s="4" t="str">
        <f>HYPERLINK("https://twitter.com/petrogustavo","@petrogustavo")</f>
        <v>@petrogustavo</v>
      </c>
      <c r="C6493" s="5" t="s">
        <v>16</v>
      </c>
      <c r="D6493" s="5" t="s">
        <v>6302</v>
      </c>
      <c r="E6493" s="6" t="str">
        <f>HYPERLINK("https://twitter.com/petrogustavo/status/1270866452531339264","1270866452531339264")</f>
        <v>1270866452531339264</v>
      </c>
      <c r="F6493" s="7" t="s">
        <v>32</v>
      </c>
      <c r="G6493" s="7">
        <v>3875951</v>
      </c>
      <c r="H6493" s="7">
        <v>2417</v>
      </c>
      <c r="I6493" s="7">
        <v>64</v>
      </c>
      <c r="J6493" s="7">
        <v>0</v>
      </c>
      <c r="K6493" s="7" t="s">
        <v>18</v>
      </c>
      <c r="L6493" s="8">
        <v>39987.315405092595</v>
      </c>
      <c r="M6493" s="9" t="s">
        <v>19</v>
      </c>
      <c r="N6493" s="9" t="s">
        <v>20</v>
      </c>
      <c r="O6493" s="6" t="str">
        <f>HYPERLINK("https://pbs.twimg.com/profile_images/962471262747529216/Uo8lOkRJ_normal.jpg","View")</f>
        <v>View</v>
      </c>
      <c r="P6493" s="7"/>
    </row>
    <row r="6494" spans="1:16">
      <c r="A6494" s="3">
        <v>43993.224490740744</v>
      </c>
      <c r="B6494" s="4" t="str">
        <f>HYPERLINK("https://twitter.com/petrogustavo","@petrogustavo")</f>
        <v>@petrogustavo</v>
      </c>
      <c r="C6494" s="5" t="s">
        <v>16</v>
      </c>
      <c r="D6494" s="5" t="s">
        <v>6303</v>
      </c>
      <c r="E6494" s="6" t="str">
        <f>HYPERLINK("https://twitter.com/petrogustavo/status/1270866652767440897","1270866652767440897")</f>
        <v>1270866652767440897</v>
      </c>
      <c r="F6494" s="7" t="s">
        <v>32</v>
      </c>
      <c r="G6494" s="7">
        <v>3875951</v>
      </c>
      <c r="H6494" s="7">
        <v>2417</v>
      </c>
      <c r="I6494" s="7">
        <v>28</v>
      </c>
      <c r="J6494" s="7">
        <v>0</v>
      </c>
      <c r="K6494" s="7" t="s">
        <v>18</v>
      </c>
      <c r="L6494" s="8">
        <v>39987.315405092595</v>
      </c>
      <c r="M6494" s="9" t="s">
        <v>19</v>
      </c>
      <c r="N6494" s="9" t="s">
        <v>20</v>
      </c>
      <c r="O6494" s="6" t="str">
        <f>HYPERLINK("https://pbs.twimg.com/profile_images/962471262747529216/Uo8lOkRJ_normal.jpg","View")</f>
        <v>View</v>
      </c>
      <c r="P6494" s="7"/>
    </row>
    <row r="6495" spans="1:16">
      <c r="A6495" s="3">
        <v>43993.227060185185</v>
      </c>
      <c r="B6495" s="4" t="str">
        <f>HYPERLINK("https://twitter.com/petrogustavo","@petrogustavo")</f>
        <v>@petrogustavo</v>
      </c>
      <c r="C6495" s="5" t="s">
        <v>16</v>
      </c>
      <c r="D6495" s="5" t="s">
        <v>6304</v>
      </c>
      <c r="E6495" s="6" t="str">
        <f>HYPERLINK("https://twitter.com/petrogustavo/status/1270867584636854272","1270867584636854272")</f>
        <v>1270867584636854272</v>
      </c>
      <c r="F6495" s="7" t="s">
        <v>32</v>
      </c>
      <c r="G6495" s="7">
        <v>3875951</v>
      </c>
      <c r="H6495" s="7">
        <v>2417</v>
      </c>
      <c r="I6495" s="7">
        <v>264</v>
      </c>
      <c r="J6495" s="7">
        <v>0</v>
      </c>
      <c r="K6495" s="7" t="s">
        <v>18</v>
      </c>
      <c r="L6495" s="8">
        <v>39987.315405092595</v>
      </c>
      <c r="M6495" s="9" t="s">
        <v>19</v>
      </c>
      <c r="N6495" s="9" t="s">
        <v>20</v>
      </c>
      <c r="O6495" s="6" t="str">
        <f>HYPERLINK("https://pbs.twimg.com/profile_images/962471262747529216/Uo8lOkRJ_normal.jpg","View")</f>
        <v>View</v>
      </c>
      <c r="P6495" s="7"/>
    </row>
    <row r="6496" spans="1:16">
      <c r="A6496" s="3">
        <v>43993.228368055556</v>
      </c>
      <c r="B6496" s="4" t="str">
        <f>HYPERLINK("https://twitter.com/petrogustavo","@petrogustavo")</f>
        <v>@petrogustavo</v>
      </c>
      <c r="C6496" s="5" t="s">
        <v>16</v>
      </c>
      <c r="D6496" s="5" t="s">
        <v>6305</v>
      </c>
      <c r="E6496" s="6" t="str">
        <f>HYPERLINK("https://twitter.com/petrogustavo/status/1270868057468973057","1270868057468973057")</f>
        <v>1270868057468973057</v>
      </c>
      <c r="F6496" s="7" t="s">
        <v>32</v>
      </c>
      <c r="G6496" s="7">
        <v>3875951</v>
      </c>
      <c r="H6496" s="7">
        <v>2417</v>
      </c>
      <c r="I6496" s="7">
        <v>8</v>
      </c>
      <c r="J6496" s="7">
        <v>0</v>
      </c>
      <c r="K6496" s="7" t="s">
        <v>18</v>
      </c>
      <c r="L6496" s="8">
        <v>39987.315405092595</v>
      </c>
      <c r="M6496" s="9" t="s">
        <v>19</v>
      </c>
      <c r="N6496" s="9" t="s">
        <v>20</v>
      </c>
      <c r="O6496" s="6" t="str">
        <f>HYPERLINK("https://pbs.twimg.com/profile_images/962471262747529216/Uo8lOkRJ_normal.jpg","View")</f>
        <v>View</v>
      </c>
      <c r="P6496" s="7"/>
    </row>
    <row r="6497" spans="1:16">
      <c r="A6497" s="3">
        <v>43993.235601851848</v>
      </c>
      <c r="B6497" s="4" t="str">
        <f>HYPERLINK("https://twitter.com/petrogustavo","@petrogustavo")</f>
        <v>@petrogustavo</v>
      </c>
      <c r="C6497" s="5" t="s">
        <v>16</v>
      </c>
      <c r="D6497" s="5" t="s">
        <v>6306</v>
      </c>
      <c r="E6497" s="6" t="str">
        <f>HYPERLINK("https://twitter.com/petrogustavo/status/1270870679639019521","1270870679639019521")</f>
        <v>1270870679639019521</v>
      </c>
      <c r="F6497" s="7" t="s">
        <v>32</v>
      </c>
      <c r="G6497" s="7">
        <v>3875953</v>
      </c>
      <c r="H6497" s="7">
        <v>2417</v>
      </c>
      <c r="I6497" s="7">
        <v>212</v>
      </c>
      <c r="J6497" s="7">
        <v>458</v>
      </c>
      <c r="K6497" s="7" t="s">
        <v>18</v>
      </c>
      <c r="L6497" s="8">
        <v>39987.315405092595</v>
      </c>
      <c r="M6497" s="9" t="s">
        <v>19</v>
      </c>
      <c r="N6497" s="9" t="s">
        <v>20</v>
      </c>
      <c r="O6497" s="6" t="str">
        <f>HYPERLINK("https://pbs.twimg.com/profile_images/962471262747529216/Uo8lOkRJ_normal.jpg","View")</f>
        <v>View</v>
      </c>
      <c r="P6497" s="7"/>
    </row>
    <row r="6498" spans="1:16">
      <c r="A6498" s="3">
        <v>43993.269606481481</v>
      </c>
      <c r="B6498" s="4" t="str">
        <f>HYPERLINK("https://twitter.com/petrogustavo","@petrogustavo")</f>
        <v>@petrogustavo</v>
      </c>
      <c r="C6498" s="5" t="s">
        <v>16</v>
      </c>
      <c r="D6498" s="5" t="s">
        <v>6307</v>
      </c>
      <c r="E6498" s="6" t="str">
        <f>HYPERLINK("https://twitter.com/petrogustavo/status/1270883004748103682","1270883004748103682")</f>
        <v>1270883004748103682</v>
      </c>
      <c r="F6498" s="7" t="s">
        <v>17</v>
      </c>
      <c r="G6498" s="7">
        <v>3875986</v>
      </c>
      <c r="H6498" s="7">
        <v>2417</v>
      </c>
      <c r="I6498" s="7">
        <v>33</v>
      </c>
      <c r="J6498" s="7">
        <v>87</v>
      </c>
      <c r="K6498" s="7" t="s">
        <v>18</v>
      </c>
      <c r="L6498" s="8">
        <v>39987.315405092595</v>
      </c>
      <c r="M6498" s="9" t="s">
        <v>19</v>
      </c>
      <c r="N6498" s="9" t="s">
        <v>20</v>
      </c>
      <c r="O6498" s="6" t="str">
        <f>HYPERLINK("https://pbs.twimg.com/profile_images/962471262747529216/Uo8lOkRJ_normal.jpg","View")</f>
        <v>View</v>
      </c>
      <c r="P6498" s="7"/>
    </row>
    <row r="6499" spans="1:16">
      <c r="A6499" s="3">
        <v>43993.361064814817</v>
      </c>
      <c r="B6499" s="4" t="str">
        <f>HYPERLINK("https://twitter.com/petrogustavo","@petrogustavo")</f>
        <v>@petrogustavo</v>
      </c>
      <c r="C6499" s="5" t="s">
        <v>16</v>
      </c>
      <c r="D6499" s="5" t="s">
        <v>6308</v>
      </c>
      <c r="E6499" s="6" t="str">
        <f>HYPERLINK("https://twitter.com/petrogustavo/status/1270916144849879040","1270916144849879040")</f>
        <v>1270916144849879040</v>
      </c>
      <c r="F6499" s="7" t="s">
        <v>32</v>
      </c>
      <c r="G6499" s="7">
        <v>3876146</v>
      </c>
      <c r="H6499" s="7">
        <v>2417</v>
      </c>
      <c r="I6499" s="7">
        <v>90</v>
      </c>
      <c r="J6499" s="7">
        <v>208</v>
      </c>
      <c r="K6499" s="7" t="s">
        <v>18</v>
      </c>
      <c r="L6499" s="8">
        <v>39987.315405092595</v>
      </c>
      <c r="M6499" s="9" t="s">
        <v>19</v>
      </c>
      <c r="N6499" s="9" t="s">
        <v>20</v>
      </c>
      <c r="O6499" s="6" t="str">
        <f>HYPERLINK("https://pbs.twimg.com/profile_images/962471262747529216/Uo8lOkRJ_normal.jpg","View")</f>
        <v>View</v>
      </c>
      <c r="P6499" s="7"/>
    </row>
    <row r="6500" spans="1:16">
      <c r="A6500" s="3">
        <v>43993.365740740745</v>
      </c>
      <c r="B6500" s="4" t="str">
        <f>HYPERLINK("https://twitter.com/petrogustavo","@petrogustavo")</f>
        <v>@petrogustavo</v>
      </c>
      <c r="C6500" s="5" t="s">
        <v>16</v>
      </c>
      <c r="D6500" s="5" t="s">
        <v>6309</v>
      </c>
      <c r="E6500" s="6" t="str">
        <f>HYPERLINK("https://twitter.com/petrogustavo/status/1270917841257144320","1270917841257144320")</f>
        <v>1270917841257144320</v>
      </c>
      <c r="F6500" s="7" t="s">
        <v>32</v>
      </c>
      <c r="G6500" s="7">
        <v>3876146</v>
      </c>
      <c r="H6500" s="7">
        <v>2417</v>
      </c>
      <c r="I6500" s="7">
        <v>439</v>
      </c>
      <c r="J6500" s="7">
        <v>0</v>
      </c>
      <c r="K6500" s="7" t="s">
        <v>18</v>
      </c>
      <c r="L6500" s="8">
        <v>39987.315405092595</v>
      </c>
      <c r="M6500" s="9" t="s">
        <v>19</v>
      </c>
      <c r="N6500" s="9" t="s">
        <v>20</v>
      </c>
      <c r="O6500" s="6" t="str">
        <f>HYPERLINK("https://pbs.twimg.com/profile_images/962471262747529216/Uo8lOkRJ_normal.jpg","View")</f>
        <v>View</v>
      </c>
      <c r="P6500" s="7"/>
    </row>
    <row r="6501" spans="1:16">
      <c r="A6501" s="3">
        <v>43993.37431712963</v>
      </c>
      <c r="B6501" s="4" t="str">
        <f>HYPERLINK("https://twitter.com/petrogustavo","@petrogustavo")</f>
        <v>@petrogustavo</v>
      </c>
      <c r="C6501" s="5" t="s">
        <v>16</v>
      </c>
      <c r="D6501" s="5" t="s">
        <v>6310</v>
      </c>
      <c r="E6501" s="6" t="str">
        <f>HYPERLINK("https://twitter.com/petrogustavo/status/1270920951073472517","1270920951073472517")</f>
        <v>1270920951073472517</v>
      </c>
      <c r="F6501" s="7" t="s">
        <v>32</v>
      </c>
      <c r="G6501" s="7">
        <v>3876146</v>
      </c>
      <c r="H6501" s="7">
        <v>2417</v>
      </c>
      <c r="I6501" s="7">
        <v>66</v>
      </c>
      <c r="J6501" s="7">
        <v>154</v>
      </c>
      <c r="K6501" s="7" t="s">
        <v>18</v>
      </c>
      <c r="L6501" s="8">
        <v>39987.315405092595</v>
      </c>
      <c r="M6501" s="9" t="s">
        <v>19</v>
      </c>
      <c r="N6501" s="9" t="s">
        <v>20</v>
      </c>
      <c r="O6501" s="6" t="str">
        <f>HYPERLINK("https://pbs.twimg.com/profile_images/962471262747529216/Uo8lOkRJ_normal.jpg","View")</f>
        <v>View</v>
      </c>
      <c r="P6501" s="7"/>
    </row>
    <row r="6502" spans="1:16">
      <c r="A6502" s="3">
        <v>43993.377256944441</v>
      </c>
      <c r="B6502" s="4" t="str">
        <f>HYPERLINK("https://twitter.com/petrogustavo","@petrogustavo")</f>
        <v>@petrogustavo</v>
      </c>
      <c r="C6502" s="5" t="s">
        <v>16</v>
      </c>
      <c r="D6502" s="5" t="s">
        <v>6311</v>
      </c>
      <c r="E6502" s="6" t="str">
        <f>HYPERLINK("https://twitter.com/petrogustavo/status/1270922014379909128","1270922014379909128")</f>
        <v>1270922014379909128</v>
      </c>
      <c r="F6502" s="7" t="s">
        <v>32</v>
      </c>
      <c r="G6502" s="7">
        <v>3876151</v>
      </c>
      <c r="H6502" s="7">
        <v>2417</v>
      </c>
      <c r="I6502" s="7">
        <v>351</v>
      </c>
      <c r="J6502" s="7">
        <v>0</v>
      </c>
      <c r="K6502" s="7" t="s">
        <v>18</v>
      </c>
      <c r="L6502" s="8">
        <v>39987.315405092595</v>
      </c>
      <c r="M6502" s="9" t="s">
        <v>19</v>
      </c>
      <c r="N6502" s="9" t="s">
        <v>20</v>
      </c>
      <c r="O6502" s="6" t="str">
        <f>HYPERLINK("https://pbs.twimg.com/profile_images/962471262747529216/Uo8lOkRJ_normal.jpg","View")</f>
        <v>View</v>
      </c>
      <c r="P6502" s="7"/>
    </row>
    <row r="6503" spans="1:16">
      <c r="A6503" s="3">
        <v>43993.380324074074</v>
      </c>
      <c r="B6503" s="4" t="str">
        <f>HYPERLINK("https://twitter.com/petrogustavo","@petrogustavo")</f>
        <v>@petrogustavo</v>
      </c>
      <c r="C6503" s="5" t="s">
        <v>16</v>
      </c>
      <c r="D6503" s="5" t="s">
        <v>6312</v>
      </c>
      <c r="E6503" s="6" t="str">
        <f>HYPERLINK("https://twitter.com/petrogustavo/status/1270923126113742848","1270923126113742848")</f>
        <v>1270923126113742848</v>
      </c>
      <c r="F6503" s="7" t="s">
        <v>32</v>
      </c>
      <c r="G6503" s="7">
        <v>3876151</v>
      </c>
      <c r="H6503" s="7">
        <v>2417</v>
      </c>
      <c r="I6503" s="7">
        <v>284</v>
      </c>
      <c r="J6503" s="7">
        <v>0</v>
      </c>
      <c r="K6503" s="7" t="s">
        <v>18</v>
      </c>
      <c r="L6503" s="8">
        <v>39987.315405092595</v>
      </c>
      <c r="M6503" s="9" t="s">
        <v>19</v>
      </c>
      <c r="N6503" s="9" t="s">
        <v>20</v>
      </c>
      <c r="O6503" s="6" t="str">
        <f>HYPERLINK("https://pbs.twimg.com/profile_images/962471262747529216/Uo8lOkRJ_normal.jpg","View")</f>
        <v>View</v>
      </c>
      <c r="P6503" s="7"/>
    </row>
    <row r="6504" spans="1:16">
      <c r="A6504" s="3">
        <v>43993.399282407408</v>
      </c>
      <c r="B6504" s="4" t="str">
        <f>HYPERLINK("https://twitter.com/petrogustavo","@petrogustavo")</f>
        <v>@petrogustavo</v>
      </c>
      <c r="C6504" s="5" t="s">
        <v>16</v>
      </c>
      <c r="D6504" s="5" t="s">
        <v>6313</v>
      </c>
      <c r="E6504" s="6" t="str">
        <f>HYPERLINK("https://twitter.com/petrogustavo/status/1270929994416566272","1270929994416566272")</f>
        <v>1270929994416566272</v>
      </c>
      <c r="F6504" s="7" t="s">
        <v>21</v>
      </c>
      <c r="G6504" s="7">
        <v>3876181</v>
      </c>
      <c r="H6504" s="7">
        <v>2417</v>
      </c>
      <c r="I6504" s="7">
        <v>101</v>
      </c>
      <c r="J6504" s="7">
        <v>252</v>
      </c>
      <c r="K6504" s="7" t="s">
        <v>18</v>
      </c>
      <c r="L6504" s="8">
        <v>39987.315405092595</v>
      </c>
      <c r="M6504" s="9" t="s">
        <v>19</v>
      </c>
      <c r="N6504" s="9" t="s">
        <v>20</v>
      </c>
      <c r="O6504" s="6" t="str">
        <f>HYPERLINK("https://pbs.twimg.com/profile_images/962471262747529216/Uo8lOkRJ_normal.jpg","View")</f>
        <v>View</v>
      </c>
      <c r="P6504" s="7"/>
    </row>
    <row r="6505" spans="1:16">
      <c r="A6505" s="3">
        <v>43993.399618055555</v>
      </c>
      <c r="B6505" s="4" t="str">
        <f>HYPERLINK("https://twitter.com/petrogustavo","@petrogustavo")</f>
        <v>@petrogustavo</v>
      </c>
      <c r="C6505" s="5" t="s">
        <v>16</v>
      </c>
      <c r="D6505" s="5" t="s">
        <v>6314</v>
      </c>
      <c r="E6505" s="6" t="str">
        <f>HYPERLINK("https://twitter.com/petrogustavo/status/1270930117745836039","1270930117745836039")</f>
        <v>1270930117745836039</v>
      </c>
      <c r="F6505" s="7" t="s">
        <v>21</v>
      </c>
      <c r="G6505" s="7">
        <v>3876181</v>
      </c>
      <c r="H6505" s="7">
        <v>2417</v>
      </c>
      <c r="I6505" s="7">
        <v>69</v>
      </c>
      <c r="J6505" s="7">
        <v>156</v>
      </c>
      <c r="K6505" s="7" t="s">
        <v>18</v>
      </c>
      <c r="L6505" s="8">
        <v>39987.315405092595</v>
      </c>
      <c r="M6505" s="9" t="s">
        <v>19</v>
      </c>
      <c r="N6505" s="9" t="s">
        <v>20</v>
      </c>
      <c r="O6505" s="6" t="str">
        <f>HYPERLINK("https://pbs.twimg.com/profile_images/962471262747529216/Uo8lOkRJ_normal.jpg","View")</f>
        <v>View</v>
      </c>
      <c r="P6505" s="7"/>
    </row>
    <row r="6506" spans="1:16">
      <c r="A6506" s="3">
        <v>43993.404988425929</v>
      </c>
      <c r="B6506" s="4" t="str">
        <f>HYPERLINK("https://twitter.com/petrogustavo","@petrogustavo")</f>
        <v>@petrogustavo</v>
      </c>
      <c r="C6506" s="5" t="s">
        <v>16</v>
      </c>
      <c r="D6506" s="5" t="s">
        <v>6315</v>
      </c>
      <c r="E6506" s="6" t="str">
        <f>HYPERLINK("https://twitter.com/petrogustavo/status/1270932063378640912","1270932063378640912")</f>
        <v>1270932063378640912</v>
      </c>
      <c r="F6506" s="7" t="s">
        <v>21</v>
      </c>
      <c r="G6506" s="7">
        <v>3876181</v>
      </c>
      <c r="H6506" s="7">
        <v>2417</v>
      </c>
      <c r="I6506" s="7">
        <v>83</v>
      </c>
      <c r="J6506" s="7">
        <v>176</v>
      </c>
      <c r="K6506" s="7" t="s">
        <v>18</v>
      </c>
      <c r="L6506" s="8">
        <v>39987.315405092595</v>
      </c>
      <c r="M6506" s="9" t="s">
        <v>19</v>
      </c>
      <c r="N6506" s="9" t="s">
        <v>20</v>
      </c>
      <c r="O6506" s="6" t="str">
        <f>HYPERLINK("https://pbs.twimg.com/profile_images/962471262747529216/Uo8lOkRJ_normal.jpg","View")</f>
        <v>View</v>
      </c>
      <c r="P6506" s="7"/>
    </row>
    <row r="6507" spans="1:16">
      <c r="A6507" s="3">
        <v>43993.765717592592</v>
      </c>
      <c r="B6507" s="4" t="str">
        <f>HYPERLINK("https://twitter.com/petrogustavo","@petrogustavo")</f>
        <v>@petrogustavo</v>
      </c>
      <c r="C6507" s="5" t="s">
        <v>16</v>
      </c>
      <c r="D6507" s="5" t="s">
        <v>6316</v>
      </c>
      <c r="E6507" s="6" t="str">
        <f>HYPERLINK("https://twitter.com/petrogustavo/status/1271062787511463937","1271062787511463937")</f>
        <v>1271062787511463937</v>
      </c>
      <c r="F6507" s="7" t="s">
        <v>32</v>
      </c>
      <c r="G6507" s="7">
        <v>3876269</v>
      </c>
      <c r="H6507" s="7">
        <v>2417</v>
      </c>
      <c r="I6507" s="7">
        <v>381</v>
      </c>
      <c r="J6507" s="7">
        <v>0</v>
      </c>
      <c r="K6507" s="7" t="s">
        <v>18</v>
      </c>
      <c r="L6507" s="8">
        <v>39987.315405092595</v>
      </c>
      <c r="M6507" s="9" t="s">
        <v>19</v>
      </c>
      <c r="N6507" s="9" t="s">
        <v>20</v>
      </c>
      <c r="O6507" s="6" t="str">
        <f>HYPERLINK("https://pbs.twimg.com/profile_images/962471262747529216/Uo8lOkRJ_normal.jpg","View")</f>
        <v>View</v>
      </c>
      <c r="P6507" s="7"/>
    </row>
    <row r="6508" spans="1:16">
      <c r="A6508" s="3">
        <v>43993.765752314815</v>
      </c>
      <c r="B6508" s="4" t="str">
        <f>HYPERLINK("https://twitter.com/petrogustavo","@petrogustavo")</f>
        <v>@petrogustavo</v>
      </c>
      <c r="C6508" s="5" t="s">
        <v>16</v>
      </c>
      <c r="D6508" s="5" t="s">
        <v>6317</v>
      </c>
      <c r="E6508" s="6" t="str">
        <f>HYPERLINK("https://twitter.com/petrogustavo/status/1271062802241814529","1271062802241814529")</f>
        <v>1271062802241814529</v>
      </c>
      <c r="F6508" s="7" t="s">
        <v>32</v>
      </c>
      <c r="G6508" s="7">
        <v>3876269</v>
      </c>
      <c r="H6508" s="7">
        <v>2417</v>
      </c>
      <c r="I6508" s="7">
        <v>225</v>
      </c>
      <c r="J6508" s="7">
        <v>0</v>
      </c>
      <c r="K6508" s="7" t="s">
        <v>18</v>
      </c>
      <c r="L6508" s="8">
        <v>39987.315405092595</v>
      </c>
      <c r="M6508" s="9" t="s">
        <v>19</v>
      </c>
      <c r="N6508" s="9" t="s">
        <v>20</v>
      </c>
      <c r="O6508" s="6" t="str">
        <f>HYPERLINK("https://pbs.twimg.com/profile_images/962471262747529216/Uo8lOkRJ_normal.jpg","View")</f>
        <v>View</v>
      </c>
      <c r="P6508" s="7"/>
    </row>
    <row r="6509" spans="1:16">
      <c r="A6509" s="3">
        <v>43993.765798611115</v>
      </c>
      <c r="B6509" s="4" t="str">
        <f>HYPERLINK("https://twitter.com/petrogustavo","@petrogustavo")</f>
        <v>@petrogustavo</v>
      </c>
      <c r="C6509" s="5" t="s">
        <v>16</v>
      </c>
      <c r="D6509" s="5" t="s">
        <v>6317</v>
      </c>
      <c r="E6509" s="6" t="str">
        <f>HYPERLINK("https://twitter.com/petrogustavo/status/1271062817492344832","1271062817492344832")</f>
        <v>1271062817492344832</v>
      </c>
      <c r="F6509" s="7" t="s">
        <v>32</v>
      </c>
      <c r="G6509" s="7">
        <v>3876269</v>
      </c>
      <c r="H6509" s="7">
        <v>2417</v>
      </c>
      <c r="I6509" s="7">
        <v>337</v>
      </c>
      <c r="J6509" s="7">
        <v>0</v>
      </c>
      <c r="K6509" s="7" t="s">
        <v>18</v>
      </c>
      <c r="L6509" s="8">
        <v>39987.315405092595</v>
      </c>
      <c r="M6509" s="9" t="s">
        <v>19</v>
      </c>
      <c r="N6509" s="9" t="s">
        <v>20</v>
      </c>
      <c r="O6509" s="6" t="str">
        <f>HYPERLINK("https://pbs.twimg.com/profile_images/962471262747529216/Uo8lOkRJ_normal.jpg","View")</f>
        <v>View</v>
      </c>
      <c r="P6509" s="7"/>
    </row>
    <row r="6510" spans="1:16">
      <c r="A6510" s="3">
        <v>43993.900624999995</v>
      </c>
      <c r="B6510" s="4" t="str">
        <f>HYPERLINK("https://twitter.com/petrogustavo","@petrogustavo")</f>
        <v>@petrogustavo</v>
      </c>
      <c r="C6510" s="5" t="s">
        <v>16</v>
      </c>
      <c r="D6510" s="5" t="s">
        <v>6316</v>
      </c>
      <c r="E6510" s="6" t="str">
        <f>HYPERLINK("https://twitter.com/petrogustavo/status/1271111675341660162","1271111675341660162")</f>
        <v>1271111675341660162</v>
      </c>
      <c r="F6510" s="7" t="s">
        <v>17</v>
      </c>
      <c r="G6510" s="7">
        <v>3876438</v>
      </c>
      <c r="H6510" s="7">
        <v>2417</v>
      </c>
      <c r="I6510" s="7">
        <v>566</v>
      </c>
      <c r="J6510" s="7">
        <v>0</v>
      </c>
      <c r="K6510" s="7" t="s">
        <v>18</v>
      </c>
      <c r="L6510" s="8">
        <v>39987.315405092595</v>
      </c>
      <c r="M6510" s="9" t="s">
        <v>19</v>
      </c>
      <c r="N6510" s="9" t="s">
        <v>20</v>
      </c>
      <c r="O6510" s="6" t="str">
        <f>HYPERLINK("https://pbs.twimg.com/profile_images/962471262747529216/Uo8lOkRJ_normal.jpg","View")</f>
        <v>View</v>
      </c>
      <c r="P6510" s="7"/>
    </row>
    <row r="6511" spans="1:16">
      <c r="A6511" s="3">
        <v>43993.900729166664</v>
      </c>
      <c r="B6511" s="4" t="str">
        <f>HYPERLINK("https://twitter.com/petrogustavo","@petrogustavo")</f>
        <v>@petrogustavo</v>
      </c>
      <c r="C6511" s="5" t="s">
        <v>16</v>
      </c>
      <c r="D6511" s="5" t="s">
        <v>6317</v>
      </c>
      <c r="E6511" s="6" t="str">
        <f>HYPERLINK("https://twitter.com/petrogustavo/status/1271111714709426176","1271111714709426176")</f>
        <v>1271111714709426176</v>
      </c>
      <c r="F6511" s="7" t="s">
        <v>17</v>
      </c>
      <c r="G6511" s="7">
        <v>3876438</v>
      </c>
      <c r="H6511" s="7">
        <v>2417</v>
      </c>
      <c r="I6511" s="7">
        <v>332</v>
      </c>
      <c r="J6511" s="7">
        <v>0</v>
      </c>
      <c r="K6511" s="7" t="s">
        <v>18</v>
      </c>
      <c r="L6511" s="8">
        <v>39987.315405092595</v>
      </c>
      <c r="M6511" s="9" t="s">
        <v>19</v>
      </c>
      <c r="N6511" s="9" t="s">
        <v>20</v>
      </c>
      <c r="O6511" s="6" t="str">
        <f>HYPERLINK("https://pbs.twimg.com/profile_images/962471262747529216/Uo8lOkRJ_normal.jpg","View")</f>
        <v>View</v>
      </c>
      <c r="P6511" s="7"/>
    </row>
    <row r="6512" spans="1:16">
      <c r="A6512" s="3">
        <v>43993.900856481487</v>
      </c>
      <c r="B6512" s="4" t="str">
        <f>HYPERLINK("https://twitter.com/petrogustavo","@petrogustavo")</f>
        <v>@petrogustavo</v>
      </c>
      <c r="C6512" s="5" t="s">
        <v>16</v>
      </c>
      <c r="D6512" s="5" t="s">
        <v>6317</v>
      </c>
      <c r="E6512" s="6" t="str">
        <f>HYPERLINK("https://twitter.com/petrogustavo/status/1271111761089921024","1271111761089921024")</f>
        <v>1271111761089921024</v>
      </c>
      <c r="F6512" s="7" t="s">
        <v>17</v>
      </c>
      <c r="G6512" s="7">
        <v>3876438</v>
      </c>
      <c r="H6512" s="7">
        <v>2417</v>
      </c>
      <c r="I6512" s="7">
        <v>484</v>
      </c>
      <c r="J6512" s="7">
        <v>0</v>
      </c>
      <c r="K6512" s="7" t="s">
        <v>18</v>
      </c>
      <c r="L6512" s="8">
        <v>39987.315405092595</v>
      </c>
      <c r="M6512" s="9" t="s">
        <v>19</v>
      </c>
      <c r="N6512" s="9" t="s">
        <v>20</v>
      </c>
      <c r="O6512" s="6" t="str">
        <f>HYPERLINK("https://pbs.twimg.com/profile_images/962471262747529216/Uo8lOkRJ_normal.jpg","View")</f>
        <v>View</v>
      </c>
      <c r="P6512" s="7"/>
    </row>
    <row r="6513" spans="1:16">
      <c r="A6513" s="3">
        <v>43993.986875000002</v>
      </c>
      <c r="B6513" s="4" t="str">
        <f>HYPERLINK("https://twitter.com/petrogustavo","@petrogustavo")</f>
        <v>@petrogustavo</v>
      </c>
      <c r="C6513" s="5" t="s">
        <v>16</v>
      </c>
      <c r="D6513" s="5" t="s">
        <v>6318</v>
      </c>
      <c r="E6513" s="6" t="str">
        <f>HYPERLINK("https://twitter.com/petrogustavo/status/1271142931630604288","1271142931630604288")</f>
        <v>1271142931630604288</v>
      </c>
      <c r="F6513" s="7" t="s">
        <v>17</v>
      </c>
      <c r="G6513" s="7">
        <v>3876535</v>
      </c>
      <c r="H6513" s="7">
        <v>2417</v>
      </c>
      <c r="I6513" s="7">
        <v>195</v>
      </c>
      <c r="J6513" s="7">
        <v>590</v>
      </c>
      <c r="K6513" s="7" t="s">
        <v>18</v>
      </c>
      <c r="L6513" s="8">
        <v>39987.315405092595</v>
      </c>
      <c r="M6513" s="9" t="s">
        <v>19</v>
      </c>
      <c r="N6513" s="9" t="s">
        <v>20</v>
      </c>
      <c r="O6513" s="6" t="str">
        <f>HYPERLINK("https://pbs.twimg.com/profile_images/962471262747529216/Uo8lOkRJ_normal.jpg","View")</f>
        <v>View</v>
      </c>
      <c r="P6513" s="7"/>
    </row>
    <row r="6514" spans="1:16">
      <c r="A6514" s="3">
        <v>43993.989340277782</v>
      </c>
      <c r="B6514" s="4" t="str">
        <f>HYPERLINK("https://twitter.com/petrogustavo","@petrogustavo")</f>
        <v>@petrogustavo</v>
      </c>
      <c r="C6514" s="5" t="s">
        <v>16</v>
      </c>
      <c r="D6514" s="5" t="s">
        <v>6319</v>
      </c>
      <c r="E6514" s="6" t="str">
        <f>HYPERLINK("https://twitter.com/petrogustavo/status/1271143825940131846","1271143825940131846")</f>
        <v>1271143825940131846</v>
      </c>
      <c r="F6514" s="7" t="s">
        <v>17</v>
      </c>
      <c r="G6514" s="7">
        <v>3876535</v>
      </c>
      <c r="H6514" s="7">
        <v>2417</v>
      </c>
      <c r="I6514" s="7">
        <v>67</v>
      </c>
      <c r="J6514" s="7">
        <v>268</v>
      </c>
      <c r="K6514" s="7" t="s">
        <v>18</v>
      </c>
      <c r="L6514" s="8">
        <v>39987.315405092595</v>
      </c>
      <c r="M6514" s="9" t="s">
        <v>19</v>
      </c>
      <c r="N6514" s="9" t="s">
        <v>20</v>
      </c>
      <c r="O6514" s="6" t="str">
        <f>HYPERLINK("https://pbs.twimg.com/profile_images/962471262747529216/Uo8lOkRJ_normal.jpg","View")</f>
        <v>View</v>
      </c>
      <c r="P6514" s="7"/>
    </row>
    <row r="6515" spans="1:16">
      <c r="A6515" s="3">
        <v>43994.087881944448</v>
      </c>
      <c r="B6515" s="4" t="str">
        <f>HYPERLINK("https://twitter.com/petrogustavo","@petrogustavo")</f>
        <v>@petrogustavo</v>
      </c>
      <c r="C6515" s="5" t="s">
        <v>16</v>
      </c>
      <c r="D6515" s="5" t="s">
        <v>6320</v>
      </c>
      <c r="E6515" s="6" t="str">
        <f>HYPERLINK("https://twitter.com/petrogustavo/status/1271179536537997314","1271179536537997314")</f>
        <v>1271179536537997314</v>
      </c>
      <c r="F6515" s="7" t="s">
        <v>32</v>
      </c>
      <c r="G6515" s="7">
        <v>3876660</v>
      </c>
      <c r="H6515" s="7">
        <v>2417</v>
      </c>
      <c r="I6515" s="7">
        <v>842</v>
      </c>
      <c r="J6515" s="7">
        <v>1819</v>
      </c>
      <c r="K6515" s="7" t="s">
        <v>18</v>
      </c>
      <c r="L6515" s="8">
        <v>39987.315405092595</v>
      </c>
      <c r="M6515" s="9" t="s">
        <v>19</v>
      </c>
      <c r="N6515" s="9" t="s">
        <v>20</v>
      </c>
      <c r="O6515" s="6" t="str">
        <f>HYPERLINK("https://pbs.twimg.com/profile_images/962471262747529216/Uo8lOkRJ_normal.jpg","View")</f>
        <v>View</v>
      </c>
      <c r="P6515" s="7"/>
    </row>
    <row r="6516" spans="1:16">
      <c r="A6516" s="3">
        <v>43994.093472222223</v>
      </c>
      <c r="B6516" s="4" t="str">
        <f>HYPERLINK("https://twitter.com/petrogustavo","@petrogustavo")</f>
        <v>@petrogustavo</v>
      </c>
      <c r="C6516" s="5" t="s">
        <v>16</v>
      </c>
      <c r="D6516" s="5" t="s">
        <v>6321</v>
      </c>
      <c r="E6516" s="6" t="str">
        <f>HYPERLINK("https://twitter.com/petrogustavo/status/1271181563670269957","1271181563670269957")</f>
        <v>1271181563670269957</v>
      </c>
      <c r="F6516" s="7" t="s">
        <v>17</v>
      </c>
      <c r="G6516" s="7">
        <v>3876660</v>
      </c>
      <c r="H6516" s="7">
        <v>2417</v>
      </c>
      <c r="I6516" s="7">
        <v>274</v>
      </c>
      <c r="J6516" s="7">
        <v>460</v>
      </c>
      <c r="K6516" s="7" t="s">
        <v>18</v>
      </c>
      <c r="L6516" s="8">
        <v>39987.315405092595</v>
      </c>
      <c r="M6516" s="9" t="s">
        <v>19</v>
      </c>
      <c r="N6516" s="9" t="s">
        <v>20</v>
      </c>
      <c r="O6516" s="6" t="str">
        <f>HYPERLINK("https://pbs.twimg.com/profile_images/962471262747529216/Uo8lOkRJ_normal.jpg","View")</f>
        <v>View</v>
      </c>
      <c r="P6516" s="7"/>
    </row>
    <row r="6517" spans="1:16">
      <c r="A6517" s="3">
        <v>43994.125937500001</v>
      </c>
      <c r="B6517" s="4" t="str">
        <f>HYPERLINK("https://twitter.com/petrogustavo","@petrogustavo")</f>
        <v>@petrogustavo</v>
      </c>
      <c r="C6517" s="5" t="s">
        <v>16</v>
      </c>
      <c r="D6517" s="5" t="s">
        <v>6322</v>
      </c>
      <c r="E6517" s="6" t="str">
        <f>HYPERLINK("https://twitter.com/petrogustavo/status/1271193328999182342","1271193328999182342")</f>
        <v>1271193328999182342</v>
      </c>
      <c r="F6517" s="7" t="s">
        <v>21</v>
      </c>
      <c r="G6517" s="7">
        <v>3876725</v>
      </c>
      <c r="H6517" s="7">
        <v>2417</v>
      </c>
      <c r="I6517" s="7">
        <v>232</v>
      </c>
      <c r="J6517" s="7">
        <v>457</v>
      </c>
      <c r="K6517" s="7" t="s">
        <v>18</v>
      </c>
      <c r="L6517" s="8">
        <v>39987.315405092595</v>
      </c>
      <c r="M6517" s="9" t="s">
        <v>19</v>
      </c>
      <c r="N6517" s="9" t="s">
        <v>20</v>
      </c>
      <c r="O6517" s="6" t="str">
        <f>HYPERLINK("https://pbs.twimg.com/profile_images/962471262747529216/Uo8lOkRJ_normal.jpg","View")</f>
        <v>View</v>
      </c>
      <c r="P6517" s="7"/>
    </row>
    <row r="6518" spans="1:16">
      <c r="A6518" s="3">
        <v>43994.155833333338</v>
      </c>
      <c r="B6518" s="4" t="str">
        <f>HYPERLINK("https://twitter.com/petrogustavo","@petrogustavo")</f>
        <v>@petrogustavo</v>
      </c>
      <c r="C6518" s="5" t="s">
        <v>16</v>
      </c>
      <c r="D6518" s="5" t="s">
        <v>6323</v>
      </c>
      <c r="E6518" s="6" t="str">
        <f>HYPERLINK("https://twitter.com/petrogustavo/status/1271204160554315777","1271204160554315777")</f>
        <v>1271204160554315777</v>
      </c>
      <c r="F6518" s="7" t="s">
        <v>21</v>
      </c>
      <c r="G6518" s="7">
        <v>3876765</v>
      </c>
      <c r="H6518" s="7">
        <v>2417</v>
      </c>
      <c r="I6518" s="7">
        <v>343</v>
      </c>
      <c r="J6518" s="7">
        <v>654</v>
      </c>
      <c r="K6518" s="7" t="s">
        <v>18</v>
      </c>
      <c r="L6518" s="8">
        <v>39987.315405092595</v>
      </c>
      <c r="M6518" s="9" t="s">
        <v>19</v>
      </c>
      <c r="N6518" s="9" t="s">
        <v>20</v>
      </c>
      <c r="O6518" s="6" t="str">
        <f>HYPERLINK("https://pbs.twimg.com/profile_images/962471262747529216/Uo8lOkRJ_normal.jpg","View")</f>
        <v>View</v>
      </c>
      <c r="P6518" s="7"/>
    </row>
    <row r="6519" spans="1:16">
      <c r="A6519" s="3">
        <v>43994.238993055551</v>
      </c>
      <c r="B6519" s="4" t="str">
        <f>HYPERLINK("https://twitter.com/petrogustavo","@petrogustavo")</f>
        <v>@petrogustavo</v>
      </c>
      <c r="C6519" s="5" t="s">
        <v>16</v>
      </c>
      <c r="D6519" s="5" t="s">
        <v>6324</v>
      </c>
      <c r="E6519" s="6" t="str">
        <f>HYPERLINK("https://twitter.com/petrogustavo/status/1271234298293731329","1271234298293731329")</f>
        <v>1271234298293731329</v>
      </c>
      <c r="F6519" s="7" t="s">
        <v>32</v>
      </c>
      <c r="G6519" s="7">
        <v>3876948</v>
      </c>
      <c r="H6519" s="7">
        <v>2417</v>
      </c>
      <c r="I6519" s="7">
        <v>1575</v>
      </c>
      <c r="J6519" s="7">
        <v>0</v>
      </c>
      <c r="K6519" s="7" t="s">
        <v>18</v>
      </c>
      <c r="L6519" s="8">
        <v>39987.315405092595</v>
      </c>
      <c r="M6519" s="9" t="s">
        <v>19</v>
      </c>
      <c r="N6519" s="9" t="s">
        <v>20</v>
      </c>
      <c r="O6519" s="6" t="str">
        <f>HYPERLINK("https://pbs.twimg.com/profile_images/962471262747529216/Uo8lOkRJ_normal.jpg","View")</f>
        <v>View</v>
      </c>
      <c r="P6519" s="7"/>
    </row>
    <row r="6520" spans="1:16">
      <c r="A6520" s="3">
        <v>43994.254236111112</v>
      </c>
      <c r="B6520" s="4" t="str">
        <f>HYPERLINK("https://twitter.com/petrogustavo","@petrogustavo")</f>
        <v>@petrogustavo</v>
      </c>
      <c r="C6520" s="5" t="s">
        <v>16</v>
      </c>
      <c r="D6520" s="5" t="s">
        <v>6325</v>
      </c>
      <c r="E6520" s="6" t="str">
        <f>HYPERLINK("https://twitter.com/petrogustavo/status/1271239819067260928","1271239819067260928")</f>
        <v>1271239819067260928</v>
      </c>
      <c r="F6520" s="7" t="s">
        <v>32</v>
      </c>
      <c r="G6520" s="7">
        <v>3876992</v>
      </c>
      <c r="H6520" s="7">
        <v>2417</v>
      </c>
      <c r="I6520" s="7">
        <v>999</v>
      </c>
      <c r="J6520" s="7">
        <v>2668</v>
      </c>
      <c r="K6520" s="7" t="s">
        <v>18</v>
      </c>
      <c r="L6520" s="8">
        <v>39987.315405092595</v>
      </c>
      <c r="M6520" s="9" t="s">
        <v>19</v>
      </c>
      <c r="N6520" s="9" t="s">
        <v>20</v>
      </c>
      <c r="O6520" s="6" t="str">
        <f>HYPERLINK("https://pbs.twimg.com/profile_images/962471262747529216/Uo8lOkRJ_normal.jpg","View")</f>
        <v>View</v>
      </c>
      <c r="P6520" s="7"/>
    </row>
    <row r="6521" spans="1:16">
      <c r="A6521" s="3">
        <v>43994.383032407408</v>
      </c>
      <c r="B6521" s="4" t="str">
        <f>HYPERLINK("https://twitter.com/petrogustavo","@petrogustavo")</f>
        <v>@petrogustavo</v>
      </c>
      <c r="C6521" s="5" t="s">
        <v>16</v>
      </c>
      <c r="D6521" s="5" t="s">
        <v>6326</v>
      </c>
      <c r="E6521" s="6" t="str">
        <f>HYPERLINK("https://twitter.com/petrogustavo/status/1271286496079695872","1271286496079695872")</f>
        <v>1271286496079695872</v>
      </c>
      <c r="F6521" s="7" t="s">
        <v>32</v>
      </c>
      <c r="G6521" s="7">
        <v>3877327</v>
      </c>
      <c r="H6521" s="7">
        <v>2417</v>
      </c>
      <c r="I6521" s="7">
        <v>6062</v>
      </c>
      <c r="J6521" s="7">
        <v>0</v>
      </c>
      <c r="K6521" s="7" t="s">
        <v>18</v>
      </c>
      <c r="L6521" s="8">
        <v>39987.315405092595</v>
      </c>
      <c r="M6521" s="9" t="s">
        <v>19</v>
      </c>
      <c r="N6521" s="9" t="s">
        <v>20</v>
      </c>
      <c r="O6521" s="6" t="str">
        <f>HYPERLINK("https://pbs.twimg.com/profile_images/962471262747529216/Uo8lOkRJ_normal.jpg","View")</f>
        <v>View</v>
      </c>
      <c r="P6521" s="7"/>
    </row>
    <row r="6522" spans="1:16">
      <c r="A6522" s="3">
        <v>43994.791944444441</v>
      </c>
      <c r="B6522" s="4" t="str">
        <f>HYPERLINK("https://twitter.com/petrogustavo","@petrogustavo")</f>
        <v>@petrogustavo</v>
      </c>
      <c r="C6522" s="5" t="s">
        <v>16</v>
      </c>
      <c r="D6522" s="5" t="s">
        <v>6327</v>
      </c>
      <c r="E6522" s="6" t="str">
        <f>HYPERLINK("https://twitter.com/petrogustavo/status/1271434679707729920","1271434679707729920")</f>
        <v>1271434679707729920</v>
      </c>
      <c r="F6522" s="7" t="s">
        <v>32</v>
      </c>
      <c r="G6522" s="7">
        <v>3877657</v>
      </c>
      <c r="H6522" s="7">
        <v>2417</v>
      </c>
      <c r="I6522" s="7">
        <v>5100</v>
      </c>
      <c r="J6522" s="7">
        <v>0</v>
      </c>
      <c r="K6522" s="7" t="s">
        <v>18</v>
      </c>
      <c r="L6522" s="8">
        <v>39987.315405092595</v>
      </c>
      <c r="M6522" s="9" t="s">
        <v>19</v>
      </c>
      <c r="N6522" s="9" t="s">
        <v>20</v>
      </c>
      <c r="O6522" s="6" t="str">
        <f>HYPERLINK("https://pbs.twimg.com/profile_images/962471262747529216/Uo8lOkRJ_normal.jpg","View")</f>
        <v>View</v>
      </c>
      <c r="P6522" s="7"/>
    </row>
    <row r="6523" spans="1:16">
      <c r="A6523" s="3">
        <v>43994.901979166665</v>
      </c>
      <c r="B6523" s="4" t="str">
        <f>HYPERLINK("https://twitter.com/petrogustavo","@petrogustavo")</f>
        <v>@petrogustavo</v>
      </c>
      <c r="C6523" s="5" t="s">
        <v>16</v>
      </c>
      <c r="D6523" s="5" t="s">
        <v>6328</v>
      </c>
      <c r="E6523" s="6" t="str">
        <f>HYPERLINK("https://twitter.com/petrogustavo/status/1271474555706638336","1271474555706638336")</f>
        <v>1271474555706638336</v>
      </c>
      <c r="F6523" s="7" t="s">
        <v>17</v>
      </c>
      <c r="G6523" s="7">
        <v>3877925</v>
      </c>
      <c r="H6523" s="7">
        <v>2417</v>
      </c>
      <c r="I6523" s="7">
        <v>71</v>
      </c>
      <c r="J6523" s="7">
        <v>175</v>
      </c>
      <c r="K6523" s="7" t="s">
        <v>18</v>
      </c>
      <c r="L6523" s="8">
        <v>39987.315405092595</v>
      </c>
      <c r="M6523" s="9" t="s">
        <v>19</v>
      </c>
      <c r="N6523" s="9" t="s">
        <v>20</v>
      </c>
      <c r="O6523" s="6" t="str">
        <f>HYPERLINK("https://pbs.twimg.com/profile_images/962471262747529216/Uo8lOkRJ_normal.jpg","View")</f>
        <v>View</v>
      </c>
      <c r="P6523" s="7"/>
    </row>
    <row r="6524" spans="1:16">
      <c r="A6524" s="3">
        <v>43994.978171296301</v>
      </c>
      <c r="B6524" s="4" t="str">
        <f>HYPERLINK("https://twitter.com/petrogustavo","@petrogustavo")</f>
        <v>@petrogustavo</v>
      </c>
      <c r="C6524" s="5" t="s">
        <v>16</v>
      </c>
      <c r="D6524" s="5" t="s">
        <v>6329</v>
      </c>
      <c r="E6524" s="6" t="str">
        <f>HYPERLINK("https://twitter.com/petrogustavo/status/1271502165518008324","1271502165518008324")</f>
        <v>1271502165518008324</v>
      </c>
      <c r="F6524" s="7" t="s">
        <v>32</v>
      </c>
      <c r="G6524" s="7">
        <v>3878061</v>
      </c>
      <c r="H6524" s="7">
        <v>2416</v>
      </c>
      <c r="I6524" s="7">
        <v>88</v>
      </c>
      <c r="J6524" s="7">
        <v>271</v>
      </c>
      <c r="K6524" s="7" t="s">
        <v>18</v>
      </c>
      <c r="L6524" s="8">
        <v>39987.315405092595</v>
      </c>
      <c r="M6524" s="9" t="s">
        <v>19</v>
      </c>
      <c r="N6524" s="9" t="s">
        <v>20</v>
      </c>
      <c r="O6524" s="6" t="str">
        <f>HYPERLINK("https://pbs.twimg.com/profile_images/962471262747529216/Uo8lOkRJ_normal.jpg","View")</f>
        <v>View</v>
      </c>
      <c r="P6524" s="7"/>
    </row>
    <row r="6525" spans="1:16">
      <c r="A6525" s="3">
        <v>43995.216932870375</v>
      </c>
      <c r="B6525" s="4" t="str">
        <f>HYPERLINK("https://twitter.com/petrogustavo","@petrogustavo")</f>
        <v>@petrogustavo</v>
      </c>
      <c r="C6525" s="5" t="s">
        <v>16</v>
      </c>
      <c r="D6525" s="5" t="s">
        <v>6330</v>
      </c>
      <c r="E6525" s="6" t="str">
        <f>HYPERLINK("https://twitter.com/petrogustavo/status/1271588692558262272","1271588692558262272")</f>
        <v>1271588692558262272</v>
      </c>
      <c r="F6525" s="7" t="s">
        <v>32</v>
      </c>
      <c r="G6525" s="7">
        <v>3878477</v>
      </c>
      <c r="H6525" s="7">
        <v>2416</v>
      </c>
      <c r="I6525" s="7">
        <v>152</v>
      </c>
      <c r="J6525" s="7">
        <v>313</v>
      </c>
      <c r="K6525" s="7" t="s">
        <v>18</v>
      </c>
      <c r="L6525" s="8">
        <v>39987.315405092595</v>
      </c>
      <c r="M6525" s="9" t="s">
        <v>19</v>
      </c>
      <c r="N6525" s="9" t="s">
        <v>20</v>
      </c>
      <c r="O6525" s="6" t="str">
        <f>HYPERLINK("https://pbs.twimg.com/profile_images/962471262747529216/Uo8lOkRJ_normal.jpg","View")</f>
        <v>View</v>
      </c>
      <c r="P6525" s="7"/>
    </row>
    <row r="6526" spans="1:16">
      <c r="A6526" s="3">
        <v>43995.2183912037</v>
      </c>
      <c r="B6526" s="4" t="str">
        <f>HYPERLINK("https://twitter.com/petrogustavo","@petrogustavo")</f>
        <v>@petrogustavo</v>
      </c>
      <c r="C6526" s="5" t="s">
        <v>16</v>
      </c>
      <c r="D6526" s="5" t="s">
        <v>6331</v>
      </c>
      <c r="E6526" s="6" t="str">
        <f>HYPERLINK("https://twitter.com/petrogustavo/status/1271589218905665536","1271589218905665536")</f>
        <v>1271589218905665536</v>
      </c>
      <c r="F6526" s="7" t="s">
        <v>32</v>
      </c>
      <c r="G6526" s="7">
        <v>3878477</v>
      </c>
      <c r="H6526" s="7">
        <v>2416</v>
      </c>
      <c r="I6526" s="7">
        <v>29</v>
      </c>
      <c r="J6526" s="7">
        <v>0</v>
      </c>
      <c r="K6526" s="7" t="s">
        <v>18</v>
      </c>
      <c r="L6526" s="8">
        <v>39987.315405092595</v>
      </c>
      <c r="M6526" s="9" t="s">
        <v>19</v>
      </c>
      <c r="N6526" s="9" t="s">
        <v>20</v>
      </c>
      <c r="O6526" s="6" t="str">
        <f>HYPERLINK("https://pbs.twimg.com/profile_images/962471262747529216/Uo8lOkRJ_normal.jpg","View")</f>
        <v>View</v>
      </c>
      <c r="P6526" s="7"/>
    </row>
    <row r="6527" spans="1:16">
      <c r="A6527" s="3">
        <v>43995.361307870371</v>
      </c>
      <c r="B6527" s="4" t="str">
        <f>HYPERLINK("https://twitter.com/petrogustavo","@petrogustavo")</f>
        <v>@petrogustavo</v>
      </c>
      <c r="C6527" s="5" t="s">
        <v>16</v>
      </c>
      <c r="D6527" s="5" t="s">
        <v>6332</v>
      </c>
      <c r="E6527" s="6" t="str">
        <f>HYPERLINK("https://twitter.com/petrogustavo/status/1271641008686727169","1271641008686727169")</f>
        <v>1271641008686727169</v>
      </c>
      <c r="F6527" s="7" t="s">
        <v>17</v>
      </c>
      <c r="G6527" s="7">
        <v>3878764</v>
      </c>
      <c r="H6527" s="7">
        <v>2416</v>
      </c>
      <c r="I6527" s="7">
        <v>185</v>
      </c>
      <c r="J6527" s="7">
        <v>631</v>
      </c>
      <c r="K6527" s="7" t="s">
        <v>18</v>
      </c>
      <c r="L6527" s="8">
        <v>39987.315405092595</v>
      </c>
      <c r="M6527" s="9" t="s">
        <v>19</v>
      </c>
      <c r="N6527" s="9" t="s">
        <v>20</v>
      </c>
      <c r="O6527" s="6" t="str">
        <f>HYPERLINK("https://pbs.twimg.com/profile_images/962471262747529216/Uo8lOkRJ_normal.jpg","View")</f>
        <v>View</v>
      </c>
      <c r="P6527" s="7"/>
    </row>
    <row r="6528" spans="1:16">
      <c r="A6528" s="3">
        <v>43995.368043981478</v>
      </c>
      <c r="B6528" s="4" t="str">
        <f>HYPERLINK("https://twitter.com/petrogustavo","@petrogustavo")</f>
        <v>@petrogustavo</v>
      </c>
      <c r="C6528" s="5" t="s">
        <v>16</v>
      </c>
      <c r="D6528" s="5" t="s">
        <v>6333</v>
      </c>
      <c r="E6528" s="6" t="str">
        <f>HYPERLINK("https://twitter.com/petrogustavo/status/1271643452464398336","1271643452464398336")</f>
        <v>1271643452464398336</v>
      </c>
      <c r="F6528" s="7" t="s">
        <v>17</v>
      </c>
      <c r="G6528" s="7">
        <v>3878764</v>
      </c>
      <c r="H6528" s="7">
        <v>2416</v>
      </c>
      <c r="I6528" s="7">
        <v>181</v>
      </c>
      <c r="J6528" s="7">
        <v>402</v>
      </c>
      <c r="K6528" s="7" t="s">
        <v>18</v>
      </c>
      <c r="L6528" s="8">
        <v>39987.315405092595</v>
      </c>
      <c r="M6528" s="9" t="s">
        <v>19</v>
      </c>
      <c r="N6528" s="9" t="s">
        <v>20</v>
      </c>
      <c r="O6528" s="6" t="str">
        <f>HYPERLINK("https://pbs.twimg.com/profile_images/962471262747529216/Uo8lOkRJ_normal.jpg","View")</f>
        <v>View</v>
      </c>
      <c r="P6528" s="7"/>
    </row>
    <row r="6529" spans="1:16">
      <c r="A6529" s="3">
        <v>43995.373749999999</v>
      </c>
      <c r="B6529" s="4" t="str">
        <f>HYPERLINK("https://twitter.com/petrogustavo","@petrogustavo")</f>
        <v>@petrogustavo</v>
      </c>
      <c r="C6529" s="5" t="s">
        <v>16</v>
      </c>
      <c r="D6529" s="5" t="s">
        <v>6334</v>
      </c>
      <c r="E6529" s="6" t="str">
        <f>HYPERLINK("https://twitter.com/petrogustavo/status/1271645520742756353","1271645520742756353")</f>
        <v>1271645520742756353</v>
      </c>
      <c r="F6529" s="7" t="s">
        <v>17</v>
      </c>
      <c r="G6529" s="7">
        <v>3878764</v>
      </c>
      <c r="H6529" s="7">
        <v>2416</v>
      </c>
      <c r="I6529" s="7">
        <v>97</v>
      </c>
      <c r="J6529" s="7">
        <v>352</v>
      </c>
      <c r="K6529" s="7" t="s">
        <v>18</v>
      </c>
      <c r="L6529" s="8">
        <v>39987.315405092595</v>
      </c>
      <c r="M6529" s="9" t="s">
        <v>19</v>
      </c>
      <c r="N6529" s="9" t="s">
        <v>20</v>
      </c>
      <c r="O6529" s="6" t="str">
        <f>HYPERLINK("https://pbs.twimg.com/profile_images/962471262747529216/Uo8lOkRJ_normal.jpg","View")</f>
        <v>View</v>
      </c>
      <c r="P6529" s="7"/>
    </row>
    <row r="6530" spans="1:16">
      <c r="A6530" s="3">
        <v>43995.375914351855</v>
      </c>
      <c r="B6530" s="4" t="str">
        <f>HYPERLINK("https://twitter.com/petrogustavo","@petrogustavo")</f>
        <v>@petrogustavo</v>
      </c>
      <c r="C6530" s="5" t="s">
        <v>16</v>
      </c>
      <c r="D6530" s="5" t="s">
        <v>6335</v>
      </c>
      <c r="E6530" s="6" t="str">
        <f>HYPERLINK("https://twitter.com/petrogustavo/status/1271646304087814144","1271646304087814144")</f>
        <v>1271646304087814144</v>
      </c>
      <c r="F6530" s="7" t="s">
        <v>17</v>
      </c>
      <c r="G6530" s="7">
        <v>3878764</v>
      </c>
      <c r="H6530" s="7">
        <v>2416</v>
      </c>
      <c r="I6530" s="7">
        <v>455</v>
      </c>
      <c r="J6530" s="7">
        <v>1410</v>
      </c>
      <c r="K6530" s="7" t="s">
        <v>18</v>
      </c>
      <c r="L6530" s="8">
        <v>39987.315405092595</v>
      </c>
      <c r="M6530" s="9" t="s">
        <v>19</v>
      </c>
      <c r="N6530" s="9" t="s">
        <v>20</v>
      </c>
      <c r="O6530" s="6" t="str">
        <f>HYPERLINK("https://pbs.twimg.com/profile_images/962471262747529216/Uo8lOkRJ_normal.jpg","View")</f>
        <v>View</v>
      </c>
      <c r="P6530" s="7"/>
    </row>
    <row r="6531" spans="1:16">
      <c r="A6531" s="3">
        <v>43995.413541666669</v>
      </c>
      <c r="B6531" s="4" t="str">
        <f>HYPERLINK("https://twitter.com/petrogustavo","@petrogustavo")</f>
        <v>@petrogustavo</v>
      </c>
      <c r="C6531" s="5" t="s">
        <v>16</v>
      </c>
      <c r="D6531" s="5" t="s">
        <v>6336</v>
      </c>
      <c r="E6531" s="6" t="str">
        <f>HYPERLINK("https://twitter.com/petrogustavo/status/1271659941024141312","1271659941024141312")</f>
        <v>1271659941024141312</v>
      </c>
      <c r="F6531" s="7" t="s">
        <v>17</v>
      </c>
      <c r="G6531" s="7">
        <v>3878822</v>
      </c>
      <c r="H6531" s="7">
        <v>2416</v>
      </c>
      <c r="I6531" s="7">
        <v>191</v>
      </c>
      <c r="J6531" s="7">
        <v>572</v>
      </c>
      <c r="K6531" s="7" t="s">
        <v>18</v>
      </c>
      <c r="L6531" s="8">
        <v>39987.315405092595</v>
      </c>
      <c r="M6531" s="9" t="s">
        <v>19</v>
      </c>
      <c r="N6531" s="9" t="s">
        <v>20</v>
      </c>
      <c r="O6531" s="6" t="str">
        <f>HYPERLINK("https://pbs.twimg.com/profile_images/962471262747529216/Uo8lOkRJ_normal.jpg","View")</f>
        <v>View</v>
      </c>
      <c r="P6531" s="7"/>
    </row>
    <row r="6532" spans="1:16">
      <c r="A6532" s="3">
        <v>43995.756597222222</v>
      </c>
      <c r="B6532" s="4" t="str">
        <f>HYPERLINK("https://twitter.com/petrogustavo","@petrogustavo")</f>
        <v>@petrogustavo</v>
      </c>
      <c r="C6532" s="5" t="s">
        <v>16</v>
      </c>
      <c r="D6532" s="5" t="s">
        <v>6337</v>
      </c>
      <c r="E6532" s="6" t="str">
        <f>HYPERLINK("https://twitter.com/petrogustavo/status/1271784257833373696","1271784257833373696")</f>
        <v>1271784257833373696</v>
      </c>
      <c r="F6532" s="7" t="s">
        <v>17</v>
      </c>
      <c r="G6532" s="7">
        <v>3878930</v>
      </c>
      <c r="H6532" s="7">
        <v>2416</v>
      </c>
      <c r="I6532" s="7">
        <v>25</v>
      </c>
      <c r="J6532" s="7">
        <v>0</v>
      </c>
      <c r="K6532" s="7" t="s">
        <v>18</v>
      </c>
      <c r="L6532" s="8">
        <v>39987.315405092595</v>
      </c>
      <c r="M6532" s="9" t="s">
        <v>19</v>
      </c>
      <c r="N6532" s="9" t="s">
        <v>20</v>
      </c>
      <c r="O6532" s="6" t="str">
        <f>HYPERLINK("https://pbs.twimg.com/profile_images/962471262747529216/Uo8lOkRJ_normal.jpg","View")</f>
        <v>View</v>
      </c>
      <c r="P6532" s="7"/>
    </row>
    <row r="6533" spans="1:16">
      <c r="A6533" s="3">
        <v>43995.759652777779</v>
      </c>
      <c r="B6533" s="4" t="str">
        <f>HYPERLINK("https://twitter.com/petrogustavo","@petrogustavo")</f>
        <v>@petrogustavo</v>
      </c>
      <c r="C6533" s="5" t="s">
        <v>16</v>
      </c>
      <c r="D6533" s="5" t="s">
        <v>6338</v>
      </c>
      <c r="E6533" s="6" t="str">
        <f>HYPERLINK("https://twitter.com/petrogustavo/status/1271785366987702272","1271785366987702272")</f>
        <v>1271785366987702272</v>
      </c>
      <c r="F6533" s="7" t="s">
        <v>17</v>
      </c>
      <c r="G6533" s="7">
        <v>3878930</v>
      </c>
      <c r="H6533" s="7">
        <v>2416</v>
      </c>
      <c r="I6533" s="7">
        <v>108</v>
      </c>
      <c r="J6533" s="7">
        <v>196</v>
      </c>
      <c r="K6533" s="7" t="s">
        <v>18</v>
      </c>
      <c r="L6533" s="8">
        <v>39987.315405092595</v>
      </c>
      <c r="M6533" s="9" t="s">
        <v>19</v>
      </c>
      <c r="N6533" s="9" t="s">
        <v>20</v>
      </c>
      <c r="O6533" s="6" t="str">
        <f>HYPERLINK("https://pbs.twimg.com/profile_images/962471262747529216/Uo8lOkRJ_normal.jpg","View")</f>
        <v>View</v>
      </c>
      <c r="P6533" s="7"/>
    </row>
    <row r="6534" spans="1:16">
      <c r="A6534" s="3">
        <v>43995.762511574074</v>
      </c>
      <c r="B6534" s="4" t="str">
        <f>HYPERLINK("https://twitter.com/petrogustavo","@petrogustavo")</f>
        <v>@petrogustavo</v>
      </c>
      <c r="C6534" s="5" t="s">
        <v>16</v>
      </c>
      <c r="D6534" s="5" t="s">
        <v>6339</v>
      </c>
      <c r="E6534" s="6" t="str">
        <f>HYPERLINK("https://twitter.com/petrogustavo/status/1271786401365921793","1271786401365921793")</f>
        <v>1271786401365921793</v>
      </c>
      <c r="F6534" s="7" t="s">
        <v>17</v>
      </c>
      <c r="G6534" s="7">
        <v>3878948</v>
      </c>
      <c r="H6534" s="7">
        <v>2416</v>
      </c>
      <c r="I6534" s="7">
        <v>227</v>
      </c>
      <c r="J6534" s="7">
        <v>547</v>
      </c>
      <c r="K6534" s="7" t="s">
        <v>18</v>
      </c>
      <c r="L6534" s="8">
        <v>39987.315405092595</v>
      </c>
      <c r="M6534" s="9" t="s">
        <v>19</v>
      </c>
      <c r="N6534" s="9" t="s">
        <v>20</v>
      </c>
      <c r="O6534" s="6" t="str">
        <f>HYPERLINK("https://pbs.twimg.com/profile_images/962471262747529216/Uo8lOkRJ_normal.jpg","View")</f>
        <v>View</v>
      </c>
      <c r="P6534" s="7"/>
    </row>
    <row r="6535" spans="1:16">
      <c r="A6535" s="3">
        <v>43995.77721064815</v>
      </c>
      <c r="B6535" s="4" t="str">
        <f>HYPERLINK("https://twitter.com/petrogustavo","@petrogustavo")</f>
        <v>@petrogustavo</v>
      </c>
      <c r="C6535" s="5" t="s">
        <v>16</v>
      </c>
      <c r="D6535" s="5" t="s">
        <v>6340</v>
      </c>
      <c r="E6535" s="6" t="str">
        <f>HYPERLINK("https://twitter.com/petrogustavo/status/1271791727951712256","1271791727951712256")</f>
        <v>1271791727951712256</v>
      </c>
      <c r="F6535" s="7" t="s">
        <v>17</v>
      </c>
      <c r="G6535" s="7">
        <v>3878948</v>
      </c>
      <c r="H6535" s="7">
        <v>2416</v>
      </c>
      <c r="I6535" s="7">
        <v>1676</v>
      </c>
      <c r="J6535" s="7">
        <v>0</v>
      </c>
      <c r="K6535" s="7" t="s">
        <v>18</v>
      </c>
      <c r="L6535" s="8">
        <v>39987.315405092595</v>
      </c>
      <c r="M6535" s="9" t="s">
        <v>19</v>
      </c>
      <c r="N6535" s="9" t="s">
        <v>20</v>
      </c>
      <c r="O6535" s="6" t="str">
        <f>HYPERLINK("https://pbs.twimg.com/profile_images/962471262747529216/Uo8lOkRJ_normal.jpg","View")</f>
        <v>View</v>
      </c>
      <c r="P6535" s="7"/>
    </row>
    <row r="6536" spans="1:16">
      <c r="A6536" s="3">
        <v>43995.778310185182</v>
      </c>
      <c r="B6536" s="4" t="str">
        <f>HYPERLINK("https://twitter.com/petrogustavo","@petrogustavo")</f>
        <v>@petrogustavo</v>
      </c>
      <c r="C6536" s="5" t="s">
        <v>16</v>
      </c>
      <c r="D6536" s="5" t="s">
        <v>6341</v>
      </c>
      <c r="E6536" s="6" t="str">
        <f>HYPERLINK("https://twitter.com/petrogustavo/status/1271792128402886656","1271792128402886656")</f>
        <v>1271792128402886656</v>
      </c>
      <c r="F6536" s="7" t="s">
        <v>17</v>
      </c>
      <c r="G6536" s="7">
        <v>3878948</v>
      </c>
      <c r="H6536" s="7">
        <v>2416</v>
      </c>
      <c r="I6536" s="7">
        <v>175</v>
      </c>
      <c r="J6536" s="7">
        <v>551</v>
      </c>
      <c r="K6536" s="7" t="s">
        <v>18</v>
      </c>
      <c r="L6536" s="8">
        <v>39987.315405092595</v>
      </c>
      <c r="M6536" s="9" t="s">
        <v>19</v>
      </c>
      <c r="N6536" s="9" t="s">
        <v>20</v>
      </c>
      <c r="O6536" s="6" t="str">
        <f>HYPERLINK("https://pbs.twimg.com/profile_images/962471262747529216/Uo8lOkRJ_normal.jpg","View")</f>
        <v>View</v>
      </c>
      <c r="P6536" s="7"/>
    </row>
    <row r="6537" spans="1:16">
      <c r="A6537" s="3">
        <v>43995.785752314812</v>
      </c>
      <c r="B6537" s="4" t="str">
        <f>HYPERLINK("https://twitter.com/petrogustavo","@petrogustavo")</f>
        <v>@petrogustavo</v>
      </c>
      <c r="C6537" s="5" t="s">
        <v>16</v>
      </c>
      <c r="D6537" s="5" t="s">
        <v>6342</v>
      </c>
      <c r="E6537" s="6" t="str">
        <f>HYPERLINK("https://twitter.com/petrogustavo/status/1271794823280934913","1271794823280934913")</f>
        <v>1271794823280934913</v>
      </c>
      <c r="F6537" s="7" t="s">
        <v>17</v>
      </c>
      <c r="G6537" s="7">
        <v>3878978</v>
      </c>
      <c r="H6537" s="7">
        <v>2416</v>
      </c>
      <c r="I6537" s="7">
        <v>173</v>
      </c>
      <c r="J6537" s="7">
        <v>410</v>
      </c>
      <c r="K6537" s="7" t="s">
        <v>18</v>
      </c>
      <c r="L6537" s="8">
        <v>39987.315405092595</v>
      </c>
      <c r="M6537" s="9" t="s">
        <v>19</v>
      </c>
      <c r="N6537" s="9" t="s">
        <v>20</v>
      </c>
      <c r="O6537" s="6" t="str">
        <f>HYPERLINK("https://pbs.twimg.com/profile_images/962471262747529216/Uo8lOkRJ_normal.jpg","View")</f>
        <v>View</v>
      </c>
      <c r="P6537" s="7"/>
    </row>
    <row r="6538" spans="1:16">
      <c r="A6538" s="3">
        <v>43995.788124999999</v>
      </c>
      <c r="B6538" s="4" t="str">
        <f>HYPERLINK("https://twitter.com/petrogustavo","@petrogustavo")</f>
        <v>@petrogustavo</v>
      </c>
      <c r="C6538" s="5" t="s">
        <v>16</v>
      </c>
      <c r="D6538" s="5" t="s">
        <v>6343</v>
      </c>
      <c r="E6538" s="6" t="str">
        <f>HYPERLINK("https://twitter.com/petrogustavo/status/1271795681984950272","1271795681984950272")</f>
        <v>1271795681984950272</v>
      </c>
      <c r="F6538" s="7" t="s">
        <v>17</v>
      </c>
      <c r="G6538" s="7">
        <v>3878978</v>
      </c>
      <c r="H6538" s="7">
        <v>2416</v>
      </c>
      <c r="I6538" s="7">
        <v>750</v>
      </c>
      <c r="J6538" s="7">
        <v>0</v>
      </c>
      <c r="K6538" s="7" t="s">
        <v>18</v>
      </c>
      <c r="L6538" s="8">
        <v>39987.315405092595</v>
      </c>
      <c r="M6538" s="9" t="s">
        <v>19</v>
      </c>
      <c r="N6538" s="9" t="s">
        <v>20</v>
      </c>
      <c r="O6538" s="6" t="str">
        <f>HYPERLINK("https://pbs.twimg.com/profile_images/962471262747529216/Uo8lOkRJ_normal.jpg","View")</f>
        <v>View</v>
      </c>
      <c r="P6538" s="7"/>
    </row>
    <row r="6539" spans="1:16">
      <c r="A6539" s="3">
        <v>43995.816099537042</v>
      </c>
      <c r="B6539" s="4" t="str">
        <f>HYPERLINK("https://twitter.com/petrogustavo","@petrogustavo")</f>
        <v>@petrogustavo</v>
      </c>
      <c r="C6539" s="5" t="s">
        <v>16</v>
      </c>
      <c r="D6539" s="5" t="s">
        <v>6344</v>
      </c>
      <c r="E6539" s="6" t="str">
        <f>HYPERLINK("https://twitter.com/petrogustavo/status/1271805821123473415","1271805821123473415")</f>
        <v>1271805821123473415</v>
      </c>
      <c r="F6539" s="7" t="s">
        <v>17</v>
      </c>
      <c r="G6539" s="7">
        <v>3879008</v>
      </c>
      <c r="H6539" s="7">
        <v>2417</v>
      </c>
      <c r="I6539" s="7">
        <v>155</v>
      </c>
      <c r="J6539" s="7">
        <v>486</v>
      </c>
      <c r="K6539" s="7" t="s">
        <v>18</v>
      </c>
      <c r="L6539" s="8">
        <v>39987.315405092595</v>
      </c>
      <c r="M6539" s="9" t="s">
        <v>19</v>
      </c>
      <c r="N6539" s="9" t="s">
        <v>20</v>
      </c>
      <c r="O6539" s="6" t="str">
        <f>HYPERLINK("https://pbs.twimg.com/profile_images/962471262747529216/Uo8lOkRJ_normal.jpg","View")</f>
        <v>View</v>
      </c>
      <c r="P6539" s="7"/>
    </row>
    <row r="6540" spans="1:16">
      <c r="A6540" s="3">
        <v>43995.821817129632</v>
      </c>
      <c r="B6540" s="4" t="str">
        <f>HYPERLINK("https://twitter.com/petrogustavo","@petrogustavo")</f>
        <v>@petrogustavo</v>
      </c>
      <c r="C6540" s="5" t="s">
        <v>16</v>
      </c>
      <c r="D6540" s="5" t="s">
        <v>6345</v>
      </c>
      <c r="E6540" s="6" t="str">
        <f>HYPERLINK("https://twitter.com/petrogustavo/status/1271807894133112832","1271807894133112832")</f>
        <v>1271807894133112832</v>
      </c>
      <c r="F6540" s="7" t="s">
        <v>17</v>
      </c>
      <c r="G6540" s="7">
        <v>3879008</v>
      </c>
      <c r="H6540" s="7">
        <v>2417</v>
      </c>
      <c r="I6540" s="7">
        <v>59</v>
      </c>
      <c r="J6540" s="7">
        <v>0</v>
      </c>
      <c r="K6540" s="7" t="s">
        <v>18</v>
      </c>
      <c r="L6540" s="8">
        <v>39987.315405092595</v>
      </c>
      <c r="M6540" s="9" t="s">
        <v>19</v>
      </c>
      <c r="N6540" s="9" t="s">
        <v>20</v>
      </c>
      <c r="O6540" s="6" t="str">
        <f>HYPERLINK("https://pbs.twimg.com/profile_images/962471262747529216/Uo8lOkRJ_normal.jpg","View")</f>
        <v>View</v>
      </c>
      <c r="P6540" s="7"/>
    </row>
    <row r="6541" spans="1:16">
      <c r="A6541" s="3">
        <v>43995.822118055556</v>
      </c>
      <c r="B6541" s="4" t="str">
        <f>HYPERLINK("https://twitter.com/petrogustavo","@petrogustavo")</f>
        <v>@petrogustavo</v>
      </c>
      <c r="C6541" s="5" t="s">
        <v>16</v>
      </c>
      <c r="D6541" s="5" t="s">
        <v>6343</v>
      </c>
      <c r="E6541" s="6" t="str">
        <f>HYPERLINK("https://twitter.com/petrogustavo/status/1271808003688235008","1271808003688235008")</f>
        <v>1271808003688235008</v>
      </c>
      <c r="F6541" s="7" t="s">
        <v>17</v>
      </c>
      <c r="G6541" s="7">
        <v>3879008</v>
      </c>
      <c r="H6541" s="7">
        <v>2417</v>
      </c>
      <c r="I6541" s="7">
        <v>1311</v>
      </c>
      <c r="J6541" s="7">
        <v>0</v>
      </c>
      <c r="K6541" s="7" t="s">
        <v>18</v>
      </c>
      <c r="L6541" s="8">
        <v>39987.315405092595</v>
      </c>
      <c r="M6541" s="9" t="s">
        <v>19</v>
      </c>
      <c r="N6541" s="9" t="s">
        <v>20</v>
      </c>
      <c r="O6541" s="6" t="str">
        <f>HYPERLINK("https://pbs.twimg.com/profile_images/962471262747529216/Uo8lOkRJ_normal.jpg","View")</f>
        <v>View</v>
      </c>
      <c r="P6541" s="7"/>
    </row>
    <row r="6542" spans="1:16">
      <c r="A6542" s="3">
        <v>43995.88590277778</v>
      </c>
      <c r="B6542" s="4" t="str">
        <f>HYPERLINK("https://twitter.com/petrogustavo","@petrogustavo")</f>
        <v>@petrogustavo</v>
      </c>
      <c r="C6542" s="5" t="s">
        <v>16</v>
      </c>
      <c r="D6542" s="5" t="s">
        <v>6346</v>
      </c>
      <c r="E6542" s="6" t="str">
        <f>HYPERLINK("https://twitter.com/petrogustavo/status/1271831117713285120","1271831117713285120")</f>
        <v>1271831117713285120</v>
      </c>
      <c r="F6542" s="7" t="s">
        <v>17</v>
      </c>
      <c r="G6542" s="7">
        <v>3879102</v>
      </c>
      <c r="H6542" s="7">
        <v>2417</v>
      </c>
      <c r="I6542" s="7">
        <v>18</v>
      </c>
      <c r="J6542" s="7">
        <v>54</v>
      </c>
      <c r="K6542" s="7" t="s">
        <v>18</v>
      </c>
      <c r="L6542" s="8">
        <v>39987.315405092595</v>
      </c>
      <c r="M6542" s="9" t="s">
        <v>19</v>
      </c>
      <c r="N6542" s="9" t="s">
        <v>20</v>
      </c>
      <c r="O6542" s="6" t="str">
        <f>HYPERLINK("https://pbs.twimg.com/profile_images/962471262747529216/Uo8lOkRJ_normal.jpg","View")</f>
        <v>View</v>
      </c>
      <c r="P6542" s="7"/>
    </row>
    <row r="6543" spans="1:16">
      <c r="A6543" s="3">
        <v>43995.89099537037</v>
      </c>
      <c r="B6543" s="4" t="str">
        <f>HYPERLINK("https://twitter.com/petrogustavo","@petrogustavo")</f>
        <v>@petrogustavo</v>
      </c>
      <c r="C6543" s="5" t="s">
        <v>16</v>
      </c>
      <c r="D6543" s="5" t="s">
        <v>6347</v>
      </c>
      <c r="E6543" s="6" t="str">
        <f>HYPERLINK("https://twitter.com/petrogustavo/status/1271832963983048705","1271832963983048705")</f>
        <v>1271832963983048705</v>
      </c>
      <c r="F6543" s="7" t="s">
        <v>17</v>
      </c>
      <c r="G6543" s="7">
        <v>3879131</v>
      </c>
      <c r="H6543" s="7">
        <v>2417</v>
      </c>
      <c r="I6543" s="7">
        <v>170</v>
      </c>
      <c r="J6543" s="7">
        <v>383</v>
      </c>
      <c r="K6543" s="7" t="s">
        <v>18</v>
      </c>
      <c r="L6543" s="8">
        <v>39987.315405092595</v>
      </c>
      <c r="M6543" s="9" t="s">
        <v>19</v>
      </c>
      <c r="N6543" s="9" t="s">
        <v>20</v>
      </c>
      <c r="O6543" s="6" t="str">
        <f>HYPERLINK("https://pbs.twimg.com/profile_images/962471262747529216/Uo8lOkRJ_normal.jpg","View")</f>
        <v>View</v>
      </c>
      <c r="P6543" s="7"/>
    </row>
    <row r="6544" spans="1:16">
      <c r="A6544" s="3">
        <v>43995.893831018519</v>
      </c>
      <c r="B6544" s="4" t="str">
        <f>HYPERLINK("https://twitter.com/petrogustavo","@petrogustavo")</f>
        <v>@petrogustavo</v>
      </c>
      <c r="C6544" s="5" t="s">
        <v>16</v>
      </c>
      <c r="D6544" s="5" t="s">
        <v>6348</v>
      </c>
      <c r="E6544" s="6" t="str">
        <f>HYPERLINK("https://twitter.com/petrogustavo/status/1271833990148874246","1271833990148874246")</f>
        <v>1271833990148874246</v>
      </c>
      <c r="F6544" s="7" t="s">
        <v>17</v>
      </c>
      <c r="G6544" s="7">
        <v>3879131</v>
      </c>
      <c r="H6544" s="7">
        <v>2417</v>
      </c>
      <c r="I6544" s="7">
        <v>97</v>
      </c>
      <c r="J6544" s="7">
        <v>193</v>
      </c>
      <c r="K6544" s="7" t="s">
        <v>18</v>
      </c>
      <c r="L6544" s="8">
        <v>39987.315405092595</v>
      </c>
      <c r="M6544" s="9" t="s">
        <v>19</v>
      </c>
      <c r="N6544" s="9" t="s">
        <v>20</v>
      </c>
      <c r="O6544" s="6" t="str">
        <f>HYPERLINK("https://pbs.twimg.com/profile_images/962471262747529216/Uo8lOkRJ_normal.jpg","View")</f>
        <v>View</v>
      </c>
      <c r="P6544" s="7"/>
    </row>
    <row r="6545" spans="1:16">
      <c r="A6545" s="3">
        <v>43995.901944444442</v>
      </c>
      <c r="B6545" s="4" t="str">
        <f>HYPERLINK("https://twitter.com/petrogustavo","@petrogustavo")</f>
        <v>@petrogustavo</v>
      </c>
      <c r="C6545" s="5" t="s">
        <v>16</v>
      </c>
      <c r="D6545" s="5" t="s">
        <v>6349</v>
      </c>
      <c r="E6545" s="6" t="str">
        <f>HYPERLINK("https://twitter.com/petrogustavo/status/1271836930536345601","1271836930536345601")</f>
        <v>1271836930536345601</v>
      </c>
      <c r="F6545" s="7" t="s">
        <v>17</v>
      </c>
      <c r="G6545" s="7">
        <v>3879131</v>
      </c>
      <c r="H6545" s="7">
        <v>2417</v>
      </c>
      <c r="I6545" s="7">
        <v>150</v>
      </c>
      <c r="J6545" s="7">
        <v>344</v>
      </c>
      <c r="K6545" s="7" t="s">
        <v>18</v>
      </c>
      <c r="L6545" s="8">
        <v>39987.315405092595</v>
      </c>
      <c r="M6545" s="9" t="s">
        <v>19</v>
      </c>
      <c r="N6545" s="9" t="s">
        <v>20</v>
      </c>
      <c r="O6545" s="6" t="str">
        <f>HYPERLINK("https://pbs.twimg.com/profile_images/962471262747529216/Uo8lOkRJ_normal.jpg","View")</f>
        <v>View</v>
      </c>
      <c r="P6545" s="7"/>
    </row>
    <row r="6546" spans="1:16">
      <c r="A6546" s="3">
        <v>43995.903368055559</v>
      </c>
      <c r="B6546" s="4" t="str">
        <f>HYPERLINK("https://twitter.com/petrogustavo","@petrogustavo")</f>
        <v>@petrogustavo</v>
      </c>
      <c r="C6546" s="5" t="s">
        <v>16</v>
      </c>
      <c r="D6546" s="5" t="s">
        <v>6350</v>
      </c>
      <c r="E6546" s="6" t="str">
        <f>HYPERLINK("https://twitter.com/petrogustavo/status/1271837448008609792","1271837448008609792")</f>
        <v>1271837448008609792</v>
      </c>
      <c r="F6546" s="7" t="s">
        <v>17</v>
      </c>
      <c r="G6546" s="7">
        <v>3879131</v>
      </c>
      <c r="H6546" s="7">
        <v>2417</v>
      </c>
      <c r="I6546" s="7">
        <v>85</v>
      </c>
      <c r="J6546" s="7">
        <v>214</v>
      </c>
      <c r="K6546" s="7" t="s">
        <v>18</v>
      </c>
      <c r="L6546" s="8">
        <v>39987.315405092595</v>
      </c>
      <c r="M6546" s="9" t="s">
        <v>19</v>
      </c>
      <c r="N6546" s="9" t="s">
        <v>20</v>
      </c>
      <c r="O6546" s="6" t="str">
        <f>HYPERLINK("https://pbs.twimg.com/profile_images/962471262747529216/Uo8lOkRJ_normal.jpg","View")</f>
        <v>View</v>
      </c>
      <c r="P6546" s="7"/>
    </row>
    <row r="6547" spans="1:16">
      <c r="A6547" s="3">
        <v>43996.041145833333</v>
      </c>
      <c r="B6547" s="4" t="str">
        <f>HYPERLINK("https://twitter.com/petrogustavo","@petrogustavo")</f>
        <v>@petrogustavo</v>
      </c>
      <c r="C6547" s="5" t="s">
        <v>16</v>
      </c>
      <c r="D6547" s="5" t="s">
        <v>6351</v>
      </c>
      <c r="E6547" s="6" t="str">
        <f>HYPERLINK("https://twitter.com/petrogustavo/status/1271887376210690055","1271887376210690055")</f>
        <v>1271887376210690055</v>
      </c>
      <c r="F6547" s="7" t="s">
        <v>17</v>
      </c>
      <c r="G6547" s="7">
        <v>3879346</v>
      </c>
      <c r="H6547" s="7">
        <v>2417</v>
      </c>
      <c r="I6547" s="7">
        <v>145</v>
      </c>
      <c r="J6547" s="7">
        <v>314</v>
      </c>
      <c r="K6547" s="7" t="s">
        <v>18</v>
      </c>
      <c r="L6547" s="8">
        <v>39987.315405092595</v>
      </c>
      <c r="M6547" s="9" t="s">
        <v>19</v>
      </c>
      <c r="N6547" s="9" t="s">
        <v>20</v>
      </c>
      <c r="O6547" s="6" t="str">
        <f>HYPERLINK("https://pbs.twimg.com/profile_images/962471262747529216/Uo8lOkRJ_normal.jpg","View")</f>
        <v>View</v>
      </c>
      <c r="P6547" s="7"/>
    </row>
    <row r="6548" spans="1:16">
      <c r="A6548" s="3">
        <v>43996.047974537039</v>
      </c>
      <c r="B6548" s="4" t="str">
        <f>HYPERLINK("https://twitter.com/petrogustavo","@petrogustavo")</f>
        <v>@petrogustavo</v>
      </c>
      <c r="C6548" s="5" t="s">
        <v>16</v>
      </c>
      <c r="D6548" s="5" t="s">
        <v>6352</v>
      </c>
      <c r="E6548" s="6" t="str">
        <f>HYPERLINK("https://twitter.com/petrogustavo/status/1271889849524662273","1271889849524662273")</f>
        <v>1271889849524662273</v>
      </c>
      <c r="F6548" s="7" t="s">
        <v>17</v>
      </c>
      <c r="G6548" s="7">
        <v>3879346</v>
      </c>
      <c r="H6548" s="7">
        <v>2417</v>
      </c>
      <c r="I6548" s="7">
        <v>179</v>
      </c>
      <c r="J6548" s="7">
        <v>678</v>
      </c>
      <c r="K6548" s="7" t="s">
        <v>18</v>
      </c>
      <c r="L6548" s="8">
        <v>39987.315405092595</v>
      </c>
      <c r="M6548" s="9" t="s">
        <v>19</v>
      </c>
      <c r="N6548" s="9" t="s">
        <v>20</v>
      </c>
      <c r="O6548" s="6" t="str">
        <f>HYPERLINK("https://pbs.twimg.com/profile_images/962471262747529216/Uo8lOkRJ_normal.jpg","View")</f>
        <v>View</v>
      </c>
      <c r="P6548" s="7"/>
    </row>
    <row r="6549" spans="1:16">
      <c r="A6549" s="3">
        <v>43996.05201388889</v>
      </c>
      <c r="B6549" s="4" t="str">
        <f>HYPERLINK("https://twitter.com/petrogustavo","@petrogustavo")</f>
        <v>@petrogustavo</v>
      </c>
      <c r="C6549" s="5" t="s">
        <v>16</v>
      </c>
      <c r="D6549" s="5" t="s">
        <v>6353</v>
      </c>
      <c r="E6549" s="6" t="str">
        <f>HYPERLINK("https://twitter.com/petrogustavo/status/1271891315496812546","1271891315496812546")</f>
        <v>1271891315496812546</v>
      </c>
      <c r="F6549" s="7" t="s">
        <v>17</v>
      </c>
      <c r="G6549" s="7">
        <v>3879346</v>
      </c>
      <c r="H6549" s="7">
        <v>2417</v>
      </c>
      <c r="I6549" s="7">
        <v>903</v>
      </c>
      <c r="J6549" s="7">
        <v>0</v>
      </c>
      <c r="K6549" s="7" t="s">
        <v>18</v>
      </c>
      <c r="L6549" s="8">
        <v>39987.315405092595</v>
      </c>
      <c r="M6549" s="9" t="s">
        <v>19</v>
      </c>
      <c r="N6549" s="9" t="s">
        <v>20</v>
      </c>
      <c r="O6549" s="6" t="str">
        <f>HYPERLINK("https://pbs.twimg.com/profile_images/962471262747529216/Uo8lOkRJ_normal.jpg","View")</f>
        <v>View</v>
      </c>
      <c r="P6549" s="7"/>
    </row>
    <row r="6550" spans="1:16">
      <c r="A6550" s="3">
        <v>43996.060590277775</v>
      </c>
      <c r="B6550" s="4" t="str">
        <f>HYPERLINK("https://twitter.com/petrogustavo","@petrogustavo")</f>
        <v>@petrogustavo</v>
      </c>
      <c r="C6550" s="5" t="s">
        <v>16</v>
      </c>
      <c r="D6550" s="5" t="s">
        <v>6354</v>
      </c>
      <c r="E6550" s="6" t="str">
        <f>HYPERLINK("https://twitter.com/petrogustavo/status/1271894422817472513","1271894422817472513")</f>
        <v>1271894422817472513</v>
      </c>
      <c r="F6550" s="7" t="s">
        <v>17</v>
      </c>
      <c r="G6550" s="7">
        <v>3879379</v>
      </c>
      <c r="H6550" s="7">
        <v>2417</v>
      </c>
      <c r="I6550" s="7">
        <v>61</v>
      </c>
      <c r="J6550" s="7">
        <v>0</v>
      </c>
      <c r="K6550" s="7" t="s">
        <v>18</v>
      </c>
      <c r="L6550" s="8">
        <v>39987.315405092595</v>
      </c>
      <c r="M6550" s="9" t="s">
        <v>19</v>
      </c>
      <c r="N6550" s="9" t="s">
        <v>20</v>
      </c>
      <c r="O6550" s="6" t="str">
        <f>HYPERLINK("https://pbs.twimg.com/profile_images/962471262747529216/Uo8lOkRJ_normal.jpg","View")</f>
        <v>View</v>
      </c>
      <c r="P6550" s="7"/>
    </row>
    <row r="6551" spans="1:16">
      <c r="A6551" s="3">
        <v>43996.074803240743</v>
      </c>
      <c r="B6551" s="4" t="str">
        <f>HYPERLINK("https://twitter.com/petrogustavo","@petrogustavo")</f>
        <v>@petrogustavo</v>
      </c>
      <c r="C6551" s="5" t="s">
        <v>16</v>
      </c>
      <c r="D6551" s="5" t="s">
        <v>6355</v>
      </c>
      <c r="E6551" s="6" t="str">
        <f>HYPERLINK("https://twitter.com/petrogustavo/status/1271899572793675779","1271899572793675779")</f>
        <v>1271899572793675779</v>
      </c>
      <c r="F6551" s="7" t="s">
        <v>17</v>
      </c>
      <c r="G6551" s="7">
        <v>3879401</v>
      </c>
      <c r="H6551" s="7">
        <v>2417</v>
      </c>
      <c r="I6551" s="7">
        <v>38</v>
      </c>
      <c r="J6551" s="7">
        <v>0</v>
      </c>
      <c r="K6551" s="7" t="s">
        <v>18</v>
      </c>
      <c r="L6551" s="8">
        <v>39987.315405092595</v>
      </c>
      <c r="M6551" s="9" t="s">
        <v>19</v>
      </c>
      <c r="N6551" s="9" t="s">
        <v>20</v>
      </c>
      <c r="O6551" s="6" t="str">
        <f>HYPERLINK("https://pbs.twimg.com/profile_images/962471262747529216/Uo8lOkRJ_normal.jpg","View")</f>
        <v>View</v>
      </c>
      <c r="P6551" s="7"/>
    </row>
    <row r="6552" spans="1:16">
      <c r="A6552" s="3">
        <v>43996.076412037037</v>
      </c>
      <c r="B6552" s="4" t="str">
        <f>HYPERLINK("https://twitter.com/petrogustavo","@petrogustavo")</f>
        <v>@petrogustavo</v>
      </c>
      <c r="C6552" s="5" t="s">
        <v>16</v>
      </c>
      <c r="D6552" s="5" t="s">
        <v>6356</v>
      </c>
      <c r="E6552" s="6" t="str">
        <f>HYPERLINK("https://twitter.com/petrogustavo/status/1271900156489805827","1271900156489805827")</f>
        <v>1271900156489805827</v>
      </c>
      <c r="F6552" s="7" t="s">
        <v>17</v>
      </c>
      <c r="G6552" s="7">
        <v>3879401</v>
      </c>
      <c r="H6552" s="7">
        <v>2417</v>
      </c>
      <c r="I6552" s="7">
        <v>405</v>
      </c>
      <c r="J6552" s="7">
        <v>0</v>
      </c>
      <c r="K6552" s="7" t="s">
        <v>18</v>
      </c>
      <c r="L6552" s="8">
        <v>39987.315405092595</v>
      </c>
      <c r="M6552" s="9" t="s">
        <v>19</v>
      </c>
      <c r="N6552" s="9" t="s">
        <v>20</v>
      </c>
      <c r="O6552" s="6" t="str">
        <f>HYPERLINK("https://pbs.twimg.com/profile_images/962471262747529216/Uo8lOkRJ_normal.jpg","View")</f>
        <v>View</v>
      </c>
      <c r="P6552" s="7"/>
    </row>
    <row r="6553" spans="1:16">
      <c r="A6553" s="3">
        <v>43996.078078703707</v>
      </c>
      <c r="B6553" s="4" t="str">
        <f>HYPERLINK("https://twitter.com/petrogustavo","@petrogustavo")</f>
        <v>@petrogustavo</v>
      </c>
      <c r="C6553" s="5" t="s">
        <v>16</v>
      </c>
      <c r="D6553" s="5" t="s">
        <v>6357</v>
      </c>
      <c r="E6553" s="6" t="str">
        <f>HYPERLINK("https://twitter.com/petrogustavo/status/1271900757672038401","1271900757672038401")</f>
        <v>1271900757672038401</v>
      </c>
      <c r="F6553" s="7" t="s">
        <v>17</v>
      </c>
      <c r="G6553" s="7">
        <v>3879401</v>
      </c>
      <c r="H6553" s="7">
        <v>2417</v>
      </c>
      <c r="I6553" s="7">
        <v>54</v>
      </c>
      <c r="J6553" s="7">
        <v>105</v>
      </c>
      <c r="K6553" s="7" t="s">
        <v>18</v>
      </c>
      <c r="L6553" s="8">
        <v>39987.315405092595</v>
      </c>
      <c r="M6553" s="9" t="s">
        <v>19</v>
      </c>
      <c r="N6553" s="9" t="s">
        <v>20</v>
      </c>
      <c r="O6553" s="6" t="str">
        <f>HYPERLINK("https://pbs.twimg.com/profile_images/962471262747529216/Uo8lOkRJ_normal.jpg","View")</f>
        <v>View</v>
      </c>
      <c r="P6553" s="7"/>
    </row>
    <row r="6554" spans="1:16">
      <c r="A6554" s="3">
        <v>43996.082997685182</v>
      </c>
      <c r="B6554" s="4" t="str">
        <f>HYPERLINK("https://twitter.com/petrogustavo","@petrogustavo")</f>
        <v>@petrogustavo</v>
      </c>
      <c r="C6554" s="5" t="s">
        <v>16</v>
      </c>
      <c r="D6554" s="5" t="s">
        <v>6358</v>
      </c>
      <c r="E6554" s="6" t="str">
        <f>HYPERLINK("https://twitter.com/petrogustavo/status/1271902541324996608","1271902541324996608")</f>
        <v>1271902541324996608</v>
      </c>
      <c r="F6554" s="7" t="s">
        <v>17</v>
      </c>
      <c r="G6554" s="7">
        <v>3879401</v>
      </c>
      <c r="H6554" s="7">
        <v>2417</v>
      </c>
      <c r="I6554" s="7">
        <v>164</v>
      </c>
      <c r="J6554" s="7">
        <v>346</v>
      </c>
      <c r="K6554" s="7" t="s">
        <v>18</v>
      </c>
      <c r="L6554" s="8">
        <v>39987.315405092595</v>
      </c>
      <c r="M6554" s="9" t="s">
        <v>19</v>
      </c>
      <c r="N6554" s="9" t="s">
        <v>20</v>
      </c>
      <c r="O6554" s="6" t="str">
        <f>HYPERLINK("https://pbs.twimg.com/profile_images/962471262747529216/Uo8lOkRJ_normal.jpg","View")</f>
        <v>View</v>
      </c>
      <c r="P6554" s="7"/>
    </row>
    <row r="6555" spans="1:16">
      <c r="A6555" s="3">
        <v>43996.090185185181</v>
      </c>
      <c r="B6555" s="4" t="str">
        <f>HYPERLINK("https://twitter.com/petrogustavo","@petrogustavo")</f>
        <v>@petrogustavo</v>
      </c>
      <c r="C6555" s="5" t="s">
        <v>16</v>
      </c>
      <c r="D6555" s="5" t="s">
        <v>6359</v>
      </c>
      <c r="E6555" s="6" t="str">
        <f>HYPERLINK("https://twitter.com/petrogustavo/status/1271905148735049729","1271905148735049729")</f>
        <v>1271905148735049729</v>
      </c>
      <c r="F6555" s="7" t="s">
        <v>17</v>
      </c>
      <c r="G6555" s="7">
        <v>3879401</v>
      </c>
      <c r="H6555" s="7">
        <v>2417</v>
      </c>
      <c r="I6555" s="7">
        <v>71</v>
      </c>
      <c r="J6555" s="7">
        <v>115</v>
      </c>
      <c r="K6555" s="7" t="s">
        <v>18</v>
      </c>
      <c r="L6555" s="8">
        <v>39987.315405092595</v>
      </c>
      <c r="M6555" s="9" t="s">
        <v>19</v>
      </c>
      <c r="N6555" s="9" t="s">
        <v>20</v>
      </c>
      <c r="O6555" s="6" t="str">
        <f>HYPERLINK("https://pbs.twimg.com/profile_images/962471262747529216/Uo8lOkRJ_normal.jpg","View")</f>
        <v>View</v>
      </c>
      <c r="P6555" s="7"/>
    </row>
    <row r="6556" spans="1:16">
      <c r="A6556" s="3">
        <v>43996.10056712963</v>
      </c>
      <c r="B6556" s="4" t="str">
        <f>HYPERLINK("https://twitter.com/petrogustavo","@petrogustavo")</f>
        <v>@petrogustavo</v>
      </c>
      <c r="C6556" s="5" t="s">
        <v>16</v>
      </c>
      <c r="D6556" s="5" t="s">
        <v>6360</v>
      </c>
      <c r="E6556" s="6" t="str">
        <f>HYPERLINK("https://twitter.com/petrogustavo/status/1271908909272399872","1271908909272399872")</f>
        <v>1271908909272399872</v>
      </c>
      <c r="F6556" s="7" t="s">
        <v>17</v>
      </c>
      <c r="G6556" s="7">
        <v>3879420</v>
      </c>
      <c r="H6556" s="7">
        <v>2417</v>
      </c>
      <c r="I6556" s="7">
        <v>1598</v>
      </c>
      <c r="J6556" s="7">
        <v>0</v>
      </c>
      <c r="K6556" s="7" t="s">
        <v>18</v>
      </c>
      <c r="L6556" s="8">
        <v>39987.315405092595</v>
      </c>
      <c r="M6556" s="9" t="s">
        <v>19</v>
      </c>
      <c r="N6556" s="9" t="s">
        <v>20</v>
      </c>
      <c r="O6556" s="6" t="str">
        <f>HYPERLINK("https://pbs.twimg.com/profile_images/962471262747529216/Uo8lOkRJ_normal.jpg","View")</f>
        <v>View</v>
      </c>
      <c r="P6556" s="7"/>
    </row>
    <row r="6557" spans="1:16">
      <c r="A6557" s="3">
        <v>43996.104872685188</v>
      </c>
      <c r="B6557" s="4" t="str">
        <f>HYPERLINK("https://twitter.com/petrogustavo","@petrogustavo")</f>
        <v>@petrogustavo</v>
      </c>
      <c r="C6557" s="5" t="s">
        <v>16</v>
      </c>
      <c r="D6557" s="5" t="s">
        <v>6361</v>
      </c>
      <c r="E6557" s="6" t="str">
        <f>HYPERLINK("https://twitter.com/petrogustavo/status/1271910468794421249","1271910468794421249")</f>
        <v>1271910468794421249</v>
      </c>
      <c r="F6557" s="7" t="s">
        <v>17</v>
      </c>
      <c r="G6557" s="7">
        <v>3879420</v>
      </c>
      <c r="H6557" s="7">
        <v>2417</v>
      </c>
      <c r="I6557" s="7">
        <v>33</v>
      </c>
      <c r="J6557" s="7">
        <v>120</v>
      </c>
      <c r="K6557" s="7" t="s">
        <v>18</v>
      </c>
      <c r="L6557" s="8">
        <v>39987.315405092595</v>
      </c>
      <c r="M6557" s="9" t="s">
        <v>19</v>
      </c>
      <c r="N6557" s="9" t="s">
        <v>20</v>
      </c>
      <c r="O6557" s="6" t="str">
        <f>HYPERLINK("https://pbs.twimg.com/profile_images/962471262747529216/Uo8lOkRJ_normal.jpg","View")</f>
        <v>View</v>
      </c>
      <c r="P6557" s="7"/>
    </row>
    <row r="6558" spans="1:16">
      <c r="A6558" s="3">
        <v>43996.108587962968</v>
      </c>
      <c r="B6558" s="4" t="str">
        <f>HYPERLINK("https://twitter.com/petrogustavo","@petrogustavo")</f>
        <v>@petrogustavo</v>
      </c>
      <c r="C6558" s="5" t="s">
        <v>16</v>
      </c>
      <c r="D6558" s="5" t="s">
        <v>6362</v>
      </c>
      <c r="E6558" s="6" t="str">
        <f>HYPERLINK("https://twitter.com/petrogustavo/status/1271911817741246466","1271911817741246466")</f>
        <v>1271911817741246466</v>
      </c>
      <c r="F6558" s="7" t="s">
        <v>17</v>
      </c>
      <c r="G6558" s="7">
        <v>3879420</v>
      </c>
      <c r="H6558" s="7">
        <v>2417</v>
      </c>
      <c r="I6558" s="7">
        <v>26</v>
      </c>
      <c r="J6558" s="7">
        <v>0</v>
      </c>
      <c r="K6558" s="7" t="s">
        <v>18</v>
      </c>
      <c r="L6558" s="8">
        <v>39987.315405092595</v>
      </c>
      <c r="M6558" s="9" t="s">
        <v>19</v>
      </c>
      <c r="N6558" s="9" t="s">
        <v>20</v>
      </c>
      <c r="O6558" s="6" t="str">
        <f>HYPERLINK("https://pbs.twimg.com/profile_images/962471262747529216/Uo8lOkRJ_normal.jpg","View")</f>
        <v>View</v>
      </c>
      <c r="P6558" s="7"/>
    </row>
    <row r="6559" spans="1:16">
      <c r="A6559" s="3">
        <v>43996.110127314816</v>
      </c>
      <c r="B6559" s="4" t="str">
        <f>HYPERLINK("https://twitter.com/petrogustavo","@petrogustavo")</f>
        <v>@petrogustavo</v>
      </c>
      <c r="C6559" s="5" t="s">
        <v>16</v>
      </c>
      <c r="D6559" s="5" t="s">
        <v>6363</v>
      </c>
      <c r="E6559" s="6" t="str">
        <f>HYPERLINK("https://twitter.com/petrogustavo/status/1271912371813048321","1271912371813048321")</f>
        <v>1271912371813048321</v>
      </c>
      <c r="F6559" s="7" t="s">
        <v>17</v>
      </c>
      <c r="G6559" s="7">
        <v>3879420</v>
      </c>
      <c r="H6559" s="7">
        <v>2417</v>
      </c>
      <c r="I6559" s="7">
        <v>2044</v>
      </c>
      <c r="J6559" s="7">
        <v>0</v>
      </c>
      <c r="K6559" s="7" t="s">
        <v>18</v>
      </c>
      <c r="L6559" s="8">
        <v>39987.315405092595</v>
      </c>
      <c r="M6559" s="9" t="s">
        <v>19</v>
      </c>
      <c r="N6559" s="9" t="s">
        <v>20</v>
      </c>
      <c r="O6559" s="6" t="str">
        <f>HYPERLINK("https://pbs.twimg.com/profile_images/962471262747529216/Uo8lOkRJ_normal.jpg","View")</f>
        <v>View</v>
      </c>
      <c r="P6559" s="7"/>
    </row>
    <row r="6560" spans="1:16">
      <c r="A6560" s="3">
        <v>43996.153981481482</v>
      </c>
      <c r="B6560" s="4" t="str">
        <f>HYPERLINK("https://twitter.com/petrogustavo","@petrogustavo")</f>
        <v>@petrogustavo</v>
      </c>
      <c r="C6560" s="5" t="s">
        <v>16</v>
      </c>
      <c r="D6560" s="5" t="s">
        <v>6364</v>
      </c>
      <c r="E6560" s="6" t="str">
        <f>HYPERLINK("https://twitter.com/petrogustavo/status/1271928266039996416","1271928266039996416")</f>
        <v>1271928266039996416</v>
      </c>
      <c r="F6560" s="7" t="s">
        <v>17</v>
      </c>
      <c r="G6560" s="7">
        <v>3879470</v>
      </c>
      <c r="H6560" s="7">
        <v>2417</v>
      </c>
      <c r="I6560" s="7">
        <v>49</v>
      </c>
      <c r="J6560" s="7">
        <v>0</v>
      </c>
      <c r="K6560" s="7" t="s">
        <v>18</v>
      </c>
      <c r="L6560" s="8">
        <v>39987.315405092595</v>
      </c>
      <c r="M6560" s="9" t="s">
        <v>19</v>
      </c>
      <c r="N6560" s="9" t="s">
        <v>20</v>
      </c>
      <c r="O6560" s="6" t="str">
        <f>HYPERLINK("https://pbs.twimg.com/profile_images/962471262747529216/Uo8lOkRJ_normal.jpg","View")</f>
        <v>View</v>
      </c>
      <c r="P6560" s="7"/>
    </row>
    <row r="6561" spans="1:16">
      <c r="A6561" s="3">
        <v>43996.154340277775</v>
      </c>
      <c r="B6561" s="4" t="str">
        <f>HYPERLINK("https://twitter.com/petrogustavo","@petrogustavo")</f>
        <v>@petrogustavo</v>
      </c>
      <c r="C6561" s="5" t="s">
        <v>16</v>
      </c>
      <c r="D6561" s="5" t="s">
        <v>6365</v>
      </c>
      <c r="E6561" s="6" t="str">
        <f>HYPERLINK("https://twitter.com/petrogustavo/status/1271928397585952770","1271928397585952770")</f>
        <v>1271928397585952770</v>
      </c>
      <c r="F6561" s="7" t="s">
        <v>17</v>
      </c>
      <c r="G6561" s="7">
        <v>3879470</v>
      </c>
      <c r="H6561" s="7">
        <v>2417</v>
      </c>
      <c r="I6561" s="7">
        <v>88</v>
      </c>
      <c r="J6561" s="7">
        <v>0</v>
      </c>
      <c r="K6561" s="7" t="s">
        <v>18</v>
      </c>
      <c r="L6561" s="8">
        <v>39987.315405092595</v>
      </c>
      <c r="M6561" s="9" t="s">
        <v>19</v>
      </c>
      <c r="N6561" s="9" t="s">
        <v>20</v>
      </c>
      <c r="O6561" s="6" t="str">
        <f>HYPERLINK("https://pbs.twimg.com/profile_images/962471262747529216/Uo8lOkRJ_normal.jpg","View")</f>
        <v>View</v>
      </c>
      <c r="P6561" s="7"/>
    </row>
    <row r="6562" spans="1:16">
      <c r="A6562" s="3">
        <v>43996.156180555554</v>
      </c>
      <c r="B6562" s="4" t="str">
        <f>HYPERLINK("https://twitter.com/petrogustavo","@petrogustavo")</f>
        <v>@petrogustavo</v>
      </c>
      <c r="C6562" s="5" t="s">
        <v>16</v>
      </c>
      <c r="D6562" s="5" t="s">
        <v>6366</v>
      </c>
      <c r="E6562" s="6" t="str">
        <f>HYPERLINK("https://twitter.com/petrogustavo/status/1271929064740265985","1271929064740265985")</f>
        <v>1271929064740265985</v>
      </c>
      <c r="F6562" s="7" t="s">
        <v>17</v>
      </c>
      <c r="G6562" s="7">
        <v>3879470</v>
      </c>
      <c r="H6562" s="7">
        <v>2417</v>
      </c>
      <c r="I6562" s="7">
        <v>99</v>
      </c>
      <c r="J6562" s="7">
        <v>0</v>
      </c>
      <c r="K6562" s="7" t="s">
        <v>18</v>
      </c>
      <c r="L6562" s="8">
        <v>39987.315405092595</v>
      </c>
      <c r="M6562" s="9" t="s">
        <v>19</v>
      </c>
      <c r="N6562" s="9" t="s">
        <v>20</v>
      </c>
      <c r="O6562" s="6" t="str">
        <f>HYPERLINK("https://pbs.twimg.com/profile_images/962471262747529216/Uo8lOkRJ_normal.jpg","View")</f>
        <v>View</v>
      </c>
      <c r="P6562" s="7"/>
    </row>
    <row r="6563" spans="1:16">
      <c r="A6563" s="3">
        <v>43996.190914351857</v>
      </c>
      <c r="B6563" s="4" t="str">
        <f>HYPERLINK("https://twitter.com/petrogustavo","@petrogustavo")</f>
        <v>@petrogustavo</v>
      </c>
      <c r="C6563" s="5" t="s">
        <v>16</v>
      </c>
      <c r="D6563" s="5" t="s">
        <v>6367</v>
      </c>
      <c r="E6563" s="6" t="str">
        <f>HYPERLINK("https://twitter.com/petrogustavo/status/1271941651695636483","1271941651695636483")</f>
        <v>1271941651695636483</v>
      </c>
      <c r="F6563" s="7" t="s">
        <v>17</v>
      </c>
      <c r="G6563" s="7">
        <v>3879501</v>
      </c>
      <c r="H6563" s="7">
        <v>2417</v>
      </c>
      <c r="I6563" s="7">
        <v>1037</v>
      </c>
      <c r="J6563" s="7">
        <v>0</v>
      </c>
      <c r="K6563" s="7" t="s">
        <v>18</v>
      </c>
      <c r="L6563" s="8">
        <v>39987.315405092595</v>
      </c>
      <c r="M6563" s="9" t="s">
        <v>19</v>
      </c>
      <c r="N6563" s="9" t="s">
        <v>20</v>
      </c>
      <c r="O6563" s="6" t="str">
        <f>HYPERLINK("https://pbs.twimg.com/profile_images/962471262747529216/Uo8lOkRJ_normal.jpg","View")</f>
        <v>View</v>
      </c>
      <c r="P6563" s="7"/>
    </row>
    <row r="6564" spans="1:16">
      <c r="A6564" s="3">
        <v>43996.23027777778</v>
      </c>
      <c r="B6564" s="4" t="str">
        <f>HYPERLINK("https://twitter.com/petrogustavo","@petrogustavo")</f>
        <v>@petrogustavo</v>
      </c>
      <c r="C6564" s="5" t="s">
        <v>16</v>
      </c>
      <c r="D6564" s="5" t="s">
        <v>6368</v>
      </c>
      <c r="E6564" s="6" t="str">
        <f>HYPERLINK("https://twitter.com/petrogustavo/status/1271955916032802817","1271955916032802817")</f>
        <v>1271955916032802817</v>
      </c>
      <c r="F6564" s="7" t="s">
        <v>32</v>
      </c>
      <c r="G6564" s="7">
        <v>3879572</v>
      </c>
      <c r="H6564" s="7">
        <v>2417</v>
      </c>
      <c r="I6564" s="7">
        <v>281</v>
      </c>
      <c r="J6564" s="7">
        <v>0</v>
      </c>
      <c r="K6564" s="7" t="s">
        <v>18</v>
      </c>
      <c r="L6564" s="8">
        <v>39987.315405092595</v>
      </c>
      <c r="M6564" s="9" t="s">
        <v>19</v>
      </c>
      <c r="N6564" s="9" t="s">
        <v>20</v>
      </c>
      <c r="O6564" s="6" t="str">
        <f>HYPERLINK("https://pbs.twimg.com/profile_images/962471262747529216/Uo8lOkRJ_normal.jpg","View")</f>
        <v>View</v>
      </c>
      <c r="P6564" s="7"/>
    </row>
    <row r="6565" spans="1:16">
      <c r="A6565" s="3">
        <v>43996.231342592597</v>
      </c>
      <c r="B6565" s="4" t="str">
        <f>HYPERLINK("https://twitter.com/petrogustavo","@petrogustavo")</f>
        <v>@petrogustavo</v>
      </c>
      <c r="C6565" s="5" t="s">
        <v>16</v>
      </c>
      <c r="D6565" s="5" t="s">
        <v>6369</v>
      </c>
      <c r="E6565" s="6" t="str">
        <f>HYPERLINK("https://twitter.com/petrogustavo/status/1271956302277808131","1271956302277808131")</f>
        <v>1271956302277808131</v>
      </c>
      <c r="F6565" s="7" t="s">
        <v>32</v>
      </c>
      <c r="G6565" s="7">
        <v>3879572</v>
      </c>
      <c r="H6565" s="7">
        <v>2417</v>
      </c>
      <c r="I6565" s="7">
        <v>67</v>
      </c>
      <c r="J6565" s="7">
        <v>0</v>
      </c>
      <c r="K6565" s="7" t="s">
        <v>18</v>
      </c>
      <c r="L6565" s="8">
        <v>39987.315405092595</v>
      </c>
      <c r="M6565" s="9" t="s">
        <v>19</v>
      </c>
      <c r="N6565" s="9" t="s">
        <v>20</v>
      </c>
      <c r="O6565" s="6" t="str">
        <f>HYPERLINK("https://pbs.twimg.com/profile_images/962471262747529216/Uo8lOkRJ_normal.jpg","View")</f>
        <v>View</v>
      </c>
      <c r="P6565" s="7"/>
    </row>
    <row r="6566" spans="1:16">
      <c r="A6566" s="3">
        <v>43996.233553240745</v>
      </c>
      <c r="B6566" s="4" t="str">
        <f>HYPERLINK("https://twitter.com/petrogustavo","@petrogustavo")</f>
        <v>@petrogustavo</v>
      </c>
      <c r="C6566" s="5" t="s">
        <v>16</v>
      </c>
      <c r="D6566" s="5" t="s">
        <v>6370</v>
      </c>
      <c r="E6566" s="6" t="str">
        <f>HYPERLINK("https://twitter.com/petrogustavo/status/1271957100323835915","1271957100323835915")</f>
        <v>1271957100323835915</v>
      </c>
      <c r="F6566" s="7" t="s">
        <v>32</v>
      </c>
      <c r="G6566" s="7">
        <v>3879572</v>
      </c>
      <c r="H6566" s="7">
        <v>2417</v>
      </c>
      <c r="I6566" s="7">
        <v>212</v>
      </c>
      <c r="J6566" s="7">
        <v>505</v>
      </c>
      <c r="K6566" s="7" t="s">
        <v>18</v>
      </c>
      <c r="L6566" s="8">
        <v>39987.315405092595</v>
      </c>
      <c r="M6566" s="9" t="s">
        <v>19</v>
      </c>
      <c r="N6566" s="9" t="s">
        <v>20</v>
      </c>
      <c r="O6566" s="6" t="str">
        <f>HYPERLINK("https://pbs.twimg.com/profile_images/962471262747529216/Uo8lOkRJ_normal.jpg","View")</f>
        <v>View</v>
      </c>
      <c r="P6566" s="7"/>
    </row>
    <row r="6567" spans="1:16">
      <c r="A6567" s="3">
        <v>43996.238402777773</v>
      </c>
      <c r="B6567" s="4" t="str">
        <f>HYPERLINK("https://twitter.com/petrogustavo","@petrogustavo")</f>
        <v>@petrogustavo</v>
      </c>
      <c r="C6567" s="5" t="s">
        <v>16</v>
      </c>
      <c r="D6567" s="5" t="s">
        <v>6371</v>
      </c>
      <c r="E6567" s="6" t="str">
        <f>HYPERLINK("https://twitter.com/petrogustavo/status/1271958860224438274","1271958860224438274")</f>
        <v>1271958860224438274</v>
      </c>
      <c r="F6567" s="7" t="s">
        <v>17</v>
      </c>
      <c r="G6567" s="7">
        <v>3879572</v>
      </c>
      <c r="H6567" s="7">
        <v>2417</v>
      </c>
      <c r="I6567" s="7">
        <v>43</v>
      </c>
      <c r="J6567" s="7">
        <v>91</v>
      </c>
      <c r="K6567" s="7" t="s">
        <v>18</v>
      </c>
      <c r="L6567" s="8">
        <v>39987.315405092595</v>
      </c>
      <c r="M6567" s="9" t="s">
        <v>19</v>
      </c>
      <c r="N6567" s="9" t="s">
        <v>20</v>
      </c>
      <c r="O6567" s="6" t="str">
        <f>HYPERLINK("https://pbs.twimg.com/profile_images/962471262747529216/Uo8lOkRJ_normal.jpg","View")</f>
        <v>View</v>
      </c>
      <c r="P6567" s="7"/>
    </row>
    <row r="6568" spans="1:16">
      <c r="A6568" s="3">
        <v>43996.308310185181</v>
      </c>
      <c r="B6568" s="4" t="str">
        <f>HYPERLINK("https://twitter.com/petrogustavo","@petrogustavo")</f>
        <v>@petrogustavo</v>
      </c>
      <c r="C6568" s="5" t="s">
        <v>16</v>
      </c>
      <c r="D6568" s="5" t="s">
        <v>6372</v>
      </c>
      <c r="E6568" s="6" t="str">
        <f>HYPERLINK("https://twitter.com/petrogustavo/status/1271984190934876161","1271984190934876161")</f>
        <v>1271984190934876161</v>
      </c>
      <c r="F6568" s="7" t="s">
        <v>17</v>
      </c>
      <c r="G6568" s="7">
        <v>3879653</v>
      </c>
      <c r="H6568" s="7">
        <v>2417</v>
      </c>
      <c r="I6568" s="7">
        <v>85</v>
      </c>
      <c r="J6568" s="7">
        <v>211</v>
      </c>
      <c r="K6568" s="7" t="s">
        <v>18</v>
      </c>
      <c r="L6568" s="8">
        <v>39987.315405092595</v>
      </c>
      <c r="M6568" s="9" t="s">
        <v>19</v>
      </c>
      <c r="N6568" s="9" t="s">
        <v>20</v>
      </c>
      <c r="O6568" s="6" t="str">
        <f>HYPERLINK("https://pbs.twimg.com/profile_images/962471262747529216/Uo8lOkRJ_normal.jpg","View")</f>
        <v>View</v>
      </c>
      <c r="P6568" s="7"/>
    </row>
    <row r="6569" spans="1:16">
      <c r="A6569" s="3">
        <v>43996.771898148145</v>
      </c>
      <c r="B6569" s="4" t="str">
        <f>HYPERLINK("https://twitter.com/petrogustavo","@petrogustavo")</f>
        <v>@petrogustavo</v>
      </c>
      <c r="C6569" s="5" t="s">
        <v>16</v>
      </c>
      <c r="D6569" s="5" t="s">
        <v>6373</v>
      </c>
      <c r="E6569" s="6" t="str">
        <f>HYPERLINK("https://twitter.com/petrogustavo/status/1272152193030914048","1272152193030914048")</f>
        <v>1272152193030914048</v>
      </c>
      <c r="F6569" s="7" t="s">
        <v>17</v>
      </c>
      <c r="G6569" s="7">
        <v>3879915</v>
      </c>
      <c r="H6569" s="7">
        <v>2418</v>
      </c>
      <c r="I6569" s="7">
        <v>162</v>
      </c>
      <c r="J6569" s="7">
        <v>328</v>
      </c>
      <c r="K6569" s="7" t="s">
        <v>18</v>
      </c>
      <c r="L6569" s="8">
        <v>39987.315405092595</v>
      </c>
      <c r="M6569" s="9" t="s">
        <v>19</v>
      </c>
      <c r="N6569" s="9" t="s">
        <v>20</v>
      </c>
      <c r="O6569" s="6" t="str">
        <f>HYPERLINK("https://pbs.twimg.com/profile_images/962471262747529216/Uo8lOkRJ_normal.jpg","View")</f>
        <v>View</v>
      </c>
      <c r="P6569" s="7"/>
    </row>
    <row r="6570" spans="1:16">
      <c r="A6570" s="3">
        <v>43996.779745370368</v>
      </c>
      <c r="B6570" s="4" t="str">
        <f>HYPERLINK("https://twitter.com/petrogustavo","@petrogustavo")</f>
        <v>@petrogustavo</v>
      </c>
      <c r="C6570" s="5" t="s">
        <v>16</v>
      </c>
      <c r="D6570" s="5" t="s">
        <v>6374</v>
      </c>
      <c r="E6570" s="6" t="str">
        <f>HYPERLINK("https://twitter.com/petrogustavo/status/1272155035393232904","1272155035393232904")</f>
        <v>1272155035393232904</v>
      </c>
      <c r="F6570" s="7" t="s">
        <v>17</v>
      </c>
      <c r="G6570" s="7">
        <v>3879915</v>
      </c>
      <c r="H6570" s="7">
        <v>2418</v>
      </c>
      <c r="I6570" s="7">
        <v>42</v>
      </c>
      <c r="J6570" s="7">
        <v>81</v>
      </c>
      <c r="K6570" s="7" t="s">
        <v>18</v>
      </c>
      <c r="L6570" s="8">
        <v>39987.315405092595</v>
      </c>
      <c r="M6570" s="9" t="s">
        <v>19</v>
      </c>
      <c r="N6570" s="9" t="s">
        <v>20</v>
      </c>
      <c r="O6570" s="6" t="str">
        <f>HYPERLINK("https://pbs.twimg.com/profile_images/962471262747529216/Uo8lOkRJ_normal.jpg","View")</f>
        <v>View</v>
      </c>
      <c r="P6570" s="7"/>
    </row>
    <row r="6571" spans="1:16">
      <c r="A6571" s="3">
        <v>43996.793124999997</v>
      </c>
      <c r="B6571" s="4" t="str">
        <f>HYPERLINK("https://twitter.com/petrogustavo","@petrogustavo")</f>
        <v>@petrogustavo</v>
      </c>
      <c r="C6571" s="5" t="s">
        <v>16</v>
      </c>
      <c r="D6571" s="5" t="s">
        <v>6375</v>
      </c>
      <c r="E6571" s="6" t="str">
        <f>HYPERLINK("https://twitter.com/petrogustavo/status/1272159884809773056","1272159884809773056")</f>
        <v>1272159884809773056</v>
      </c>
      <c r="F6571" s="7" t="s">
        <v>17</v>
      </c>
      <c r="G6571" s="7">
        <v>3879936</v>
      </c>
      <c r="H6571" s="7">
        <v>2418</v>
      </c>
      <c r="I6571" s="7">
        <v>175</v>
      </c>
      <c r="J6571" s="7">
        <v>587</v>
      </c>
      <c r="K6571" s="7" t="s">
        <v>18</v>
      </c>
      <c r="L6571" s="8">
        <v>39987.315405092595</v>
      </c>
      <c r="M6571" s="9" t="s">
        <v>19</v>
      </c>
      <c r="N6571" s="9" t="s">
        <v>20</v>
      </c>
      <c r="O6571" s="6" t="str">
        <f>HYPERLINK("https://pbs.twimg.com/profile_images/962471262747529216/Uo8lOkRJ_normal.jpg","View")</f>
        <v>View</v>
      </c>
      <c r="P6571" s="7"/>
    </row>
    <row r="6572" spans="1:16">
      <c r="A6572" s="3">
        <v>43996.793263888889</v>
      </c>
      <c r="B6572" s="4" t="str">
        <f>HYPERLINK("https://twitter.com/petrogustavo","@petrogustavo")</f>
        <v>@petrogustavo</v>
      </c>
      <c r="C6572" s="5" t="s">
        <v>16</v>
      </c>
      <c r="D6572" s="5" t="s">
        <v>6376</v>
      </c>
      <c r="E6572" s="6" t="str">
        <f>HYPERLINK("https://twitter.com/petrogustavo/status/1272159934612934656","1272159934612934656")</f>
        <v>1272159934612934656</v>
      </c>
      <c r="F6572" s="7" t="s">
        <v>17</v>
      </c>
      <c r="G6572" s="7">
        <v>3879936</v>
      </c>
      <c r="H6572" s="7">
        <v>2418</v>
      </c>
      <c r="I6572" s="7">
        <v>213</v>
      </c>
      <c r="J6572" s="7">
        <v>0</v>
      </c>
      <c r="K6572" s="7" t="s">
        <v>18</v>
      </c>
      <c r="L6572" s="8">
        <v>39987.315405092595</v>
      </c>
      <c r="M6572" s="9" t="s">
        <v>19</v>
      </c>
      <c r="N6572" s="9" t="s">
        <v>20</v>
      </c>
      <c r="O6572" s="6" t="str">
        <f>HYPERLINK("https://pbs.twimg.com/profile_images/962471262747529216/Uo8lOkRJ_normal.jpg","View")</f>
        <v>View</v>
      </c>
      <c r="P6572" s="7"/>
    </row>
    <row r="6573" spans="1:16">
      <c r="A6573" s="3">
        <v>43996.854618055557</v>
      </c>
      <c r="B6573" s="4" t="str">
        <f>HYPERLINK("https://twitter.com/petrogustavo","@petrogustavo")</f>
        <v>@petrogustavo</v>
      </c>
      <c r="C6573" s="5" t="s">
        <v>16</v>
      </c>
      <c r="D6573" s="5" t="s">
        <v>6377</v>
      </c>
      <c r="E6573" s="6" t="str">
        <f>HYPERLINK("https://twitter.com/petrogustavo/status/1272182168735940608","1272182168735940608")</f>
        <v>1272182168735940608</v>
      </c>
      <c r="F6573" s="7" t="s">
        <v>17</v>
      </c>
      <c r="G6573" s="7">
        <v>3880036</v>
      </c>
      <c r="H6573" s="7">
        <v>2417</v>
      </c>
      <c r="I6573" s="7">
        <v>149</v>
      </c>
      <c r="J6573" s="7">
        <v>291</v>
      </c>
      <c r="K6573" s="7" t="s">
        <v>18</v>
      </c>
      <c r="L6573" s="8">
        <v>39987.315405092595</v>
      </c>
      <c r="M6573" s="9" t="s">
        <v>19</v>
      </c>
      <c r="N6573" s="9" t="s">
        <v>20</v>
      </c>
      <c r="O6573" s="6" t="str">
        <f>HYPERLINK("https://pbs.twimg.com/profile_images/962471262747529216/Uo8lOkRJ_normal.jpg","View")</f>
        <v>View</v>
      </c>
      <c r="P6573" s="7"/>
    </row>
    <row r="6574" spans="1:16">
      <c r="A6574" s="3">
        <v>43996.859548611115</v>
      </c>
      <c r="B6574" s="4" t="str">
        <f>HYPERLINK("https://twitter.com/petrogustavo","@petrogustavo")</f>
        <v>@petrogustavo</v>
      </c>
      <c r="C6574" s="5" t="s">
        <v>16</v>
      </c>
      <c r="D6574" s="5" t="s">
        <v>6378</v>
      </c>
      <c r="E6574" s="6" t="str">
        <f>HYPERLINK("https://twitter.com/petrogustavo/status/1272183956759293953","1272183956759293953")</f>
        <v>1272183956759293953</v>
      </c>
      <c r="F6574" s="7" t="s">
        <v>17</v>
      </c>
      <c r="G6574" s="7">
        <v>3880036</v>
      </c>
      <c r="H6574" s="7">
        <v>2417</v>
      </c>
      <c r="I6574" s="7">
        <v>67</v>
      </c>
      <c r="J6574" s="7">
        <v>138</v>
      </c>
      <c r="K6574" s="7" t="s">
        <v>18</v>
      </c>
      <c r="L6574" s="8">
        <v>39987.315405092595</v>
      </c>
      <c r="M6574" s="9" t="s">
        <v>19</v>
      </c>
      <c r="N6574" s="9" t="s">
        <v>20</v>
      </c>
      <c r="O6574" s="6" t="str">
        <f>HYPERLINK("https://pbs.twimg.com/profile_images/962471262747529216/Uo8lOkRJ_normal.jpg","View")</f>
        <v>View</v>
      </c>
      <c r="P6574" s="7"/>
    </row>
    <row r="6575" spans="1:16">
      <c r="A6575" s="3">
        <v>43996.867905092593</v>
      </c>
      <c r="B6575" s="4" t="str">
        <f>HYPERLINK("https://twitter.com/petrogustavo","@petrogustavo")</f>
        <v>@petrogustavo</v>
      </c>
      <c r="C6575" s="5" t="s">
        <v>16</v>
      </c>
      <c r="D6575" s="5" t="s">
        <v>6379</v>
      </c>
      <c r="E6575" s="6" t="str">
        <f>HYPERLINK("https://twitter.com/petrogustavo/status/1272186985021673474","1272186985021673474")</f>
        <v>1272186985021673474</v>
      </c>
      <c r="F6575" s="7" t="s">
        <v>17</v>
      </c>
      <c r="G6575" s="7">
        <v>3880084</v>
      </c>
      <c r="H6575" s="7">
        <v>2417</v>
      </c>
      <c r="I6575" s="7">
        <v>257</v>
      </c>
      <c r="J6575" s="7">
        <v>481</v>
      </c>
      <c r="K6575" s="7" t="s">
        <v>18</v>
      </c>
      <c r="L6575" s="8">
        <v>39987.315405092595</v>
      </c>
      <c r="M6575" s="9" t="s">
        <v>19</v>
      </c>
      <c r="N6575" s="9" t="s">
        <v>20</v>
      </c>
      <c r="O6575" s="6" t="str">
        <f>HYPERLINK("https://pbs.twimg.com/profile_images/962471262747529216/Uo8lOkRJ_normal.jpg","View")</f>
        <v>View</v>
      </c>
      <c r="P6575" s="7"/>
    </row>
    <row r="6576" spans="1:16">
      <c r="A6576" s="3">
        <v>43996.909143518518</v>
      </c>
      <c r="B6576" s="4" t="str">
        <f>HYPERLINK("https://twitter.com/petrogustavo","@petrogustavo")</f>
        <v>@petrogustavo</v>
      </c>
      <c r="C6576" s="5" t="s">
        <v>16</v>
      </c>
      <c r="D6576" s="5" t="s">
        <v>6380</v>
      </c>
      <c r="E6576" s="6" t="str">
        <f>HYPERLINK("https://twitter.com/petrogustavo/status/1272201928878022663","1272201928878022663")</f>
        <v>1272201928878022663</v>
      </c>
      <c r="F6576" s="7" t="s">
        <v>17</v>
      </c>
      <c r="G6576" s="7">
        <v>3880137</v>
      </c>
      <c r="H6576" s="7">
        <v>2417</v>
      </c>
      <c r="I6576" s="7">
        <v>262</v>
      </c>
      <c r="J6576" s="7">
        <v>517</v>
      </c>
      <c r="K6576" s="7" t="s">
        <v>18</v>
      </c>
      <c r="L6576" s="8">
        <v>39987.315405092595</v>
      </c>
      <c r="M6576" s="9" t="s">
        <v>19</v>
      </c>
      <c r="N6576" s="9" t="s">
        <v>20</v>
      </c>
      <c r="O6576" s="6" t="str">
        <f>HYPERLINK("https://pbs.twimg.com/profile_images/962471262747529216/Uo8lOkRJ_normal.jpg","View")</f>
        <v>View</v>
      </c>
      <c r="P6576" s="7"/>
    </row>
    <row r="6577" spans="1:16">
      <c r="A6577" s="3">
        <v>43996.922951388886</v>
      </c>
      <c r="B6577" s="4" t="str">
        <f>HYPERLINK("https://twitter.com/petrogustavo","@petrogustavo")</f>
        <v>@petrogustavo</v>
      </c>
      <c r="C6577" s="5" t="s">
        <v>16</v>
      </c>
      <c r="D6577" s="5" t="s">
        <v>6381</v>
      </c>
      <c r="E6577" s="6" t="str">
        <f>HYPERLINK("https://twitter.com/petrogustavo/status/1272206932674314250","1272206932674314250")</f>
        <v>1272206932674314250</v>
      </c>
      <c r="F6577" s="7" t="s">
        <v>17</v>
      </c>
      <c r="G6577" s="7">
        <v>3880137</v>
      </c>
      <c r="H6577" s="7">
        <v>2417</v>
      </c>
      <c r="I6577" s="7">
        <v>262</v>
      </c>
      <c r="J6577" s="7">
        <v>0</v>
      </c>
      <c r="K6577" s="7" t="s">
        <v>18</v>
      </c>
      <c r="L6577" s="8">
        <v>39987.315405092595</v>
      </c>
      <c r="M6577" s="9" t="s">
        <v>19</v>
      </c>
      <c r="N6577" s="9" t="s">
        <v>20</v>
      </c>
      <c r="O6577" s="6" t="str">
        <f>HYPERLINK("https://pbs.twimg.com/profile_images/962471262747529216/Uo8lOkRJ_normal.jpg","View")</f>
        <v>View</v>
      </c>
      <c r="P6577" s="7"/>
    </row>
    <row r="6578" spans="1:16">
      <c r="A6578" s="3">
        <v>43996.927175925928</v>
      </c>
      <c r="B6578" s="4" t="str">
        <f>HYPERLINK("https://twitter.com/petrogustavo","@petrogustavo")</f>
        <v>@petrogustavo</v>
      </c>
      <c r="C6578" s="5" t="s">
        <v>16</v>
      </c>
      <c r="D6578" s="5" t="s">
        <v>6382</v>
      </c>
      <c r="E6578" s="6" t="str">
        <f>HYPERLINK("https://twitter.com/petrogustavo/status/1272208463792406533","1272208463792406533")</f>
        <v>1272208463792406533</v>
      </c>
      <c r="F6578" s="7" t="s">
        <v>17</v>
      </c>
      <c r="G6578" s="7">
        <v>3880137</v>
      </c>
      <c r="H6578" s="7">
        <v>2417</v>
      </c>
      <c r="I6578" s="7">
        <v>408</v>
      </c>
      <c r="J6578" s="7">
        <v>0</v>
      </c>
      <c r="K6578" s="7" t="s">
        <v>18</v>
      </c>
      <c r="L6578" s="8">
        <v>39987.315405092595</v>
      </c>
      <c r="M6578" s="9" t="s">
        <v>19</v>
      </c>
      <c r="N6578" s="9" t="s">
        <v>20</v>
      </c>
      <c r="O6578" s="6" t="str">
        <f>HYPERLINK("https://pbs.twimg.com/profile_images/962471262747529216/Uo8lOkRJ_normal.jpg","View")</f>
        <v>View</v>
      </c>
      <c r="P6578" s="7"/>
    </row>
    <row r="6579" spans="1:16">
      <c r="A6579" s="3">
        <v>43996.939687499995</v>
      </c>
      <c r="B6579" s="4" t="str">
        <f>HYPERLINK("https://twitter.com/petrogustavo","@petrogustavo")</f>
        <v>@petrogustavo</v>
      </c>
      <c r="C6579" s="5" t="s">
        <v>16</v>
      </c>
      <c r="D6579" s="5" t="s">
        <v>6383</v>
      </c>
      <c r="E6579" s="6" t="str">
        <f>HYPERLINK("https://twitter.com/petrogustavo/status/1272212994177499137","1272212994177499137")</f>
        <v>1272212994177499137</v>
      </c>
      <c r="F6579" s="7" t="s">
        <v>17</v>
      </c>
      <c r="G6579" s="7">
        <v>3880161</v>
      </c>
      <c r="H6579" s="7">
        <v>2417</v>
      </c>
      <c r="I6579" s="7">
        <v>61</v>
      </c>
      <c r="J6579" s="7">
        <v>131</v>
      </c>
      <c r="K6579" s="7" t="s">
        <v>18</v>
      </c>
      <c r="L6579" s="8">
        <v>39987.315405092595</v>
      </c>
      <c r="M6579" s="9" t="s">
        <v>19</v>
      </c>
      <c r="N6579" s="9" t="s">
        <v>20</v>
      </c>
      <c r="O6579" s="6" t="str">
        <f>HYPERLINK("https://pbs.twimg.com/profile_images/962471262747529216/Uo8lOkRJ_normal.jpg","View")</f>
        <v>View</v>
      </c>
      <c r="P6579" s="7"/>
    </row>
    <row r="6580" spans="1:16">
      <c r="A6580" s="3">
        <v>43996.94431712963</v>
      </c>
      <c r="B6580" s="4" t="str">
        <f>HYPERLINK("https://twitter.com/petrogustavo","@petrogustavo")</f>
        <v>@petrogustavo</v>
      </c>
      <c r="C6580" s="5" t="s">
        <v>16</v>
      </c>
      <c r="D6580" s="5" t="s">
        <v>6384</v>
      </c>
      <c r="E6580" s="6" t="str">
        <f>HYPERLINK("https://twitter.com/petrogustavo/status/1272214675716014086","1272214675716014086")</f>
        <v>1272214675716014086</v>
      </c>
      <c r="F6580" s="7" t="s">
        <v>17</v>
      </c>
      <c r="G6580" s="7">
        <v>3880161</v>
      </c>
      <c r="H6580" s="7">
        <v>2417</v>
      </c>
      <c r="I6580" s="7">
        <v>82</v>
      </c>
      <c r="J6580" s="7">
        <v>243</v>
      </c>
      <c r="K6580" s="7" t="s">
        <v>18</v>
      </c>
      <c r="L6580" s="8">
        <v>39987.315405092595</v>
      </c>
      <c r="M6580" s="9" t="s">
        <v>19</v>
      </c>
      <c r="N6580" s="9" t="s">
        <v>20</v>
      </c>
      <c r="O6580" s="6" t="str">
        <f>HYPERLINK("https://pbs.twimg.com/profile_images/962471262747529216/Uo8lOkRJ_normal.jpg","View")</f>
        <v>View</v>
      </c>
      <c r="P6580" s="7"/>
    </row>
    <row r="6581" spans="1:16">
      <c r="A6581" s="3">
        <v>43996.959710648152</v>
      </c>
      <c r="B6581" s="4" t="str">
        <f>HYPERLINK("https://twitter.com/petrogustavo","@petrogustavo")</f>
        <v>@petrogustavo</v>
      </c>
      <c r="C6581" s="5" t="s">
        <v>16</v>
      </c>
      <c r="D6581" s="5" t="s">
        <v>6385</v>
      </c>
      <c r="E6581" s="6" t="str">
        <f>HYPERLINK("https://twitter.com/petrogustavo/status/1272220253540495361","1272220253540495361")</f>
        <v>1272220253540495361</v>
      </c>
      <c r="F6581" s="7" t="s">
        <v>17</v>
      </c>
      <c r="G6581" s="7">
        <v>3880182</v>
      </c>
      <c r="H6581" s="7">
        <v>2417</v>
      </c>
      <c r="I6581" s="7">
        <v>163</v>
      </c>
      <c r="J6581" s="7">
        <v>590</v>
      </c>
      <c r="K6581" s="7" t="s">
        <v>18</v>
      </c>
      <c r="L6581" s="8">
        <v>39987.315405092595</v>
      </c>
      <c r="M6581" s="9" t="s">
        <v>19</v>
      </c>
      <c r="N6581" s="9" t="s">
        <v>20</v>
      </c>
      <c r="O6581" s="6" t="str">
        <f>HYPERLINK("https://pbs.twimg.com/profile_images/962471262747529216/Uo8lOkRJ_normal.jpg","View")</f>
        <v>View</v>
      </c>
      <c r="P6581" s="7"/>
    </row>
    <row r="6582" spans="1:16">
      <c r="A6582" s="3">
        <v>43996.968611111108</v>
      </c>
      <c r="B6582" s="4" t="str">
        <f>HYPERLINK("https://twitter.com/petrogustavo","@petrogustavo")</f>
        <v>@petrogustavo</v>
      </c>
      <c r="C6582" s="5" t="s">
        <v>16</v>
      </c>
      <c r="D6582" s="5" t="s">
        <v>6386</v>
      </c>
      <c r="E6582" s="6" t="str">
        <f>HYPERLINK("https://twitter.com/petrogustavo/status/1272223477458763777","1272223477458763777")</f>
        <v>1272223477458763777</v>
      </c>
      <c r="F6582" s="7" t="s">
        <v>17</v>
      </c>
      <c r="G6582" s="7">
        <v>3880182</v>
      </c>
      <c r="H6582" s="7">
        <v>2417</v>
      </c>
      <c r="I6582" s="7">
        <v>20</v>
      </c>
      <c r="J6582" s="7">
        <v>57</v>
      </c>
      <c r="K6582" s="7" t="s">
        <v>18</v>
      </c>
      <c r="L6582" s="8">
        <v>39987.315405092595</v>
      </c>
      <c r="M6582" s="9" t="s">
        <v>19</v>
      </c>
      <c r="N6582" s="9" t="s">
        <v>20</v>
      </c>
      <c r="O6582" s="6" t="str">
        <f>HYPERLINK("https://pbs.twimg.com/profile_images/962471262747529216/Uo8lOkRJ_normal.jpg","View")</f>
        <v>View</v>
      </c>
      <c r="P6582" s="7"/>
    </row>
    <row r="6583" spans="1:16">
      <c r="A6583" s="3">
        <v>43996.971273148149</v>
      </c>
      <c r="B6583" s="4" t="str">
        <f>HYPERLINK("https://twitter.com/petrogustavo","@petrogustavo")</f>
        <v>@petrogustavo</v>
      </c>
      <c r="C6583" s="5" t="s">
        <v>16</v>
      </c>
      <c r="D6583" s="5" t="s">
        <v>6387</v>
      </c>
      <c r="E6583" s="6" t="str">
        <f>HYPERLINK("https://twitter.com/petrogustavo/status/1272224444287725569","1272224444287725569")</f>
        <v>1272224444287725569</v>
      </c>
      <c r="F6583" s="7" t="s">
        <v>17</v>
      </c>
      <c r="G6583" s="7">
        <v>3880175</v>
      </c>
      <c r="H6583" s="7">
        <v>2417</v>
      </c>
      <c r="I6583" s="7">
        <v>226</v>
      </c>
      <c r="J6583" s="7">
        <v>807</v>
      </c>
      <c r="K6583" s="7" t="s">
        <v>18</v>
      </c>
      <c r="L6583" s="8">
        <v>39987.315405092595</v>
      </c>
      <c r="M6583" s="9" t="s">
        <v>19</v>
      </c>
      <c r="N6583" s="9" t="s">
        <v>20</v>
      </c>
      <c r="O6583" s="6" t="str">
        <f>HYPERLINK("https://pbs.twimg.com/profile_images/962471262747529216/Uo8lOkRJ_normal.jpg","View")</f>
        <v>View</v>
      </c>
      <c r="P6583" s="7"/>
    </row>
    <row r="6584" spans="1:16">
      <c r="A6584" s="3">
        <v>43996.976111111115</v>
      </c>
      <c r="B6584" s="4" t="str">
        <f>HYPERLINK("https://twitter.com/petrogustavo","@petrogustavo")</f>
        <v>@petrogustavo</v>
      </c>
      <c r="C6584" s="5" t="s">
        <v>16</v>
      </c>
      <c r="D6584" s="5" t="s">
        <v>6388</v>
      </c>
      <c r="E6584" s="6" t="str">
        <f>HYPERLINK("https://twitter.com/petrogustavo/status/1272226195573268484","1272226195573268484")</f>
        <v>1272226195573268484</v>
      </c>
      <c r="F6584" s="7" t="s">
        <v>17</v>
      </c>
      <c r="G6584" s="7">
        <v>3880175</v>
      </c>
      <c r="H6584" s="7">
        <v>2417</v>
      </c>
      <c r="I6584" s="7">
        <v>141</v>
      </c>
      <c r="J6584" s="7">
        <v>342</v>
      </c>
      <c r="K6584" s="7" t="s">
        <v>18</v>
      </c>
      <c r="L6584" s="8">
        <v>39987.315405092595</v>
      </c>
      <c r="M6584" s="9" t="s">
        <v>19</v>
      </c>
      <c r="N6584" s="9" t="s">
        <v>20</v>
      </c>
      <c r="O6584" s="6" t="str">
        <f>HYPERLINK("https://pbs.twimg.com/profile_images/962471262747529216/Uo8lOkRJ_normal.jpg","View")</f>
        <v>View</v>
      </c>
      <c r="P6584" s="7"/>
    </row>
    <row r="6585" spans="1:16">
      <c r="A6585" s="3">
        <v>43996.996446759258</v>
      </c>
      <c r="B6585" s="4" t="str">
        <f>HYPERLINK("https://twitter.com/petrogustavo","@petrogustavo")</f>
        <v>@petrogustavo</v>
      </c>
      <c r="C6585" s="5" t="s">
        <v>16</v>
      </c>
      <c r="D6585" s="5" t="s">
        <v>6389</v>
      </c>
      <c r="E6585" s="6" t="str">
        <f>HYPERLINK("https://twitter.com/petrogustavo/status/1272233565003165697","1272233565003165697")</f>
        <v>1272233565003165697</v>
      </c>
      <c r="F6585" s="7" t="s">
        <v>17</v>
      </c>
      <c r="G6585" s="7">
        <v>3880197</v>
      </c>
      <c r="H6585" s="7">
        <v>2417</v>
      </c>
      <c r="I6585" s="7">
        <v>29</v>
      </c>
      <c r="J6585" s="7">
        <v>0</v>
      </c>
      <c r="K6585" s="7" t="s">
        <v>18</v>
      </c>
      <c r="L6585" s="8">
        <v>39987.315405092595</v>
      </c>
      <c r="M6585" s="9" t="s">
        <v>19</v>
      </c>
      <c r="N6585" s="9" t="s">
        <v>20</v>
      </c>
      <c r="O6585" s="6" t="str">
        <f>HYPERLINK("https://pbs.twimg.com/profile_images/962471262747529216/Uo8lOkRJ_normal.jpg","View")</f>
        <v>View</v>
      </c>
      <c r="P6585" s="7"/>
    </row>
    <row r="6586" spans="1:16">
      <c r="A6586" s="3">
        <v>43996.996666666666</v>
      </c>
      <c r="B6586" s="4" t="str">
        <f>HYPERLINK("https://twitter.com/petrogustavo","@petrogustavo")</f>
        <v>@petrogustavo</v>
      </c>
      <c r="C6586" s="5" t="s">
        <v>16</v>
      </c>
      <c r="D6586" s="5" t="s">
        <v>6390</v>
      </c>
      <c r="E6586" s="6" t="str">
        <f>HYPERLINK("https://twitter.com/petrogustavo/status/1272233643507961856","1272233643507961856")</f>
        <v>1272233643507961856</v>
      </c>
      <c r="F6586" s="7" t="s">
        <v>17</v>
      </c>
      <c r="G6586" s="7">
        <v>3880197</v>
      </c>
      <c r="H6586" s="7">
        <v>2417</v>
      </c>
      <c r="I6586" s="7">
        <v>232</v>
      </c>
      <c r="J6586" s="7">
        <v>0</v>
      </c>
      <c r="K6586" s="7" t="s">
        <v>18</v>
      </c>
      <c r="L6586" s="8">
        <v>39987.315405092595</v>
      </c>
      <c r="M6586" s="9" t="s">
        <v>19</v>
      </c>
      <c r="N6586" s="9" t="s">
        <v>20</v>
      </c>
      <c r="O6586" s="6" t="str">
        <f>HYPERLINK("https://pbs.twimg.com/profile_images/962471262747529216/Uo8lOkRJ_normal.jpg","View")</f>
        <v>View</v>
      </c>
      <c r="P6586" s="7"/>
    </row>
    <row r="6587" spans="1:16">
      <c r="A6587" s="3">
        <v>43997.125462962962</v>
      </c>
      <c r="B6587" s="4" t="str">
        <f>HYPERLINK("https://twitter.com/petrogustavo","@petrogustavo")</f>
        <v>@petrogustavo</v>
      </c>
      <c r="C6587" s="5" t="s">
        <v>16</v>
      </c>
      <c r="D6587" s="5" t="s">
        <v>6391</v>
      </c>
      <c r="E6587" s="6" t="str">
        <f>HYPERLINK("https://twitter.com/petrogustavo/status/1272280320826630146","1272280320826630146")</f>
        <v>1272280320826630146</v>
      </c>
      <c r="F6587" s="7" t="s">
        <v>17</v>
      </c>
      <c r="G6587" s="7">
        <v>3880324</v>
      </c>
      <c r="H6587" s="7">
        <v>2417</v>
      </c>
      <c r="I6587" s="7">
        <v>276</v>
      </c>
      <c r="J6587" s="7">
        <v>695</v>
      </c>
      <c r="K6587" s="7" t="s">
        <v>18</v>
      </c>
      <c r="L6587" s="8">
        <v>39987.315405092595</v>
      </c>
      <c r="M6587" s="9" t="s">
        <v>19</v>
      </c>
      <c r="N6587" s="9" t="s">
        <v>20</v>
      </c>
      <c r="O6587" s="6" t="str">
        <f>HYPERLINK("https://pbs.twimg.com/profile_images/962471262747529216/Uo8lOkRJ_normal.jpg","View")</f>
        <v>View</v>
      </c>
      <c r="P6587" s="7"/>
    </row>
    <row r="6588" spans="1:16">
      <c r="A6588" s="3">
        <v>43997.173206018517</v>
      </c>
      <c r="B6588" s="4" t="str">
        <f>HYPERLINK("https://twitter.com/petrogustavo","@petrogustavo")</f>
        <v>@petrogustavo</v>
      </c>
      <c r="C6588" s="5" t="s">
        <v>16</v>
      </c>
      <c r="D6588" s="5" t="s">
        <v>6392</v>
      </c>
      <c r="E6588" s="6" t="str">
        <f>HYPERLINK("https://twitter.com/petrogustavo/status/1272297622431301632","1272297622431301632")</f>
        <v>1272297622431301632</v>
      </c>
      <c r="F6588" s="7" t="s">
        <v>17</v>
      </c>
      <c r="G6588" s="7">
        <v>3880396</v>
      </c>
      <c r="H6588" s="7">
        <v>2417</v>
      </c>
      <c r="I6588" s="7">
        <v>157</v>
      </c>
      <c r="J6588" s="7">
        <v>373</v>
      </c>
      <c r="K6588" s="7" t="s">
        <v>18</v>
      </c>
      <c r="L6588" s="8">
        <v>39987.315405092595</v>
      </c>
      <c r="M6588" s="9" t="s">
        <v>19</v>
      </c>
      <c r="N6588" s="9" t="s">
        <v>20</v>
      </c>
      <c r="O6588" s="6" t="str">
        <f>HYPERLINK("https://pbs.twimg.com/profile_images/962471262747529216/Uo8lOkRJ_normal.jpg","View")</f>
        <v>View</v>
      </c>
      <c r="P6588" s="7"/>
    </row>
    <row r="6589" spans="1:16">
      <c r="A6589" s="3">
        <v>43997.175520833334</v>
      </c>
      <c r="B6589" s="4" t="str">
        <f>HYPERLINK("https://twitter.com/petrogustavo","@petrogustavo")</f>
        <v>@petrogustavo</v>
      </c>
      <c r="C6589" s="5" t="s">
        <v>16</v>
      </c>
      <c r="D6589" s="5" t="s">
        <v>6393</v>
      </c>
      <c r="E6589" s="6" t="str">
        <f>HYPERLINK("https://twitter.com/petrogustavo/status/1272298460247732231","1272298460247732231")</f>
        <v>1272298460247732231</v>
      </c>
      <c r="F6589" s="7" t="s">
        <v>17</v>
      </c>
      <c r="G6589" s="7">
        <v>3880396</v>
      </c>
      <c r="H6589" s="7">
        <v>2417</v>
      </c>
      <c r="I6589" s="7">
        <v>58</v>
      </c>
      <c r="J6589" s="7">
        <v>121</v>
      </c>
      <c r="K6589" s="7" t="s">
        <v>18</v>
      </c>
      <c r="L6589" s="8">
        <v>39987.315405092595</v>
      </c>
      <c r="M6589" s="9" t="s">
        <v>19</v>
      </c>
      <c r="N6589" s="9" t="s">
        <v>20</v>
      </c>
      <c r="O6589" s="6" t="str">
        <f>HYPERLINK("https://pbs.twimg.com/profile_images/962471262747529216/Uo8lOkRJ_normal.jpg","View")</f>
        <v>View</v>
      </c>
      <c r="P6589" s="7"/>
    </row>
    <row r="6590" spans="1:16">
      <c r="A6590" s="3">
        <v>43997.175613425927</v>
      </c>
      <c r="B6590" s="4" t="str">
        <f>HYPERLINK("https://twitter.com/petrogustavo","@petrogustavo")</f>
        <v>@petrogustavo</v>
      </c>
      <c r="C6590" s="5" t="s">
        <v>16</v>
      </c>
      <c r="D6590" s="5" t="s">
        <v>6394</v>
      </c>
      <c r="E6590" s="6" t="str">
        <f>HYPERLINK("https://twitter.com/petrogustavo/status/1272298491281379334","1272298491281379334")</f>
        <v>1272298491281379334</v>
      </c>
      <c r="F6590" s="7" t="s">
        <v>17</v>
      </c>
      <c r="G6590" s="7">
        <v>3880396</v>
      </c>
      <c r="H6590" s="7">
        <v>2417</v>
      </c>
      <c r="I6590" s="7">
        <v>157</v>
      </c>
      <c r="J6590" s="7">
        <v>0</v>
      </c>
      <c r="K6590" s="7" t="s">
        <v>18</v>
      </c>
      <c r="L6590" s="8">
        <v>39987.315405092595</v>
      </c>
      <c r="M6590" s="9" t="s">
        <v>19</v>
      </c>
      <c r="N6590" s="9" t="s">
        <v>20</v>
      </c>
      <c r="O6590" s="6" t="str">
        <f>HYPERLINK("https://pbs.twimg.com/profile_images/962471262747529216/Uo8lOkRJ_normal.jpg","View")</f>
        <v>View</v>
      </c>
      <c r="P6590" s="7"/>
    </row>
    <row r="6591" spans="1:16">
      <c r="A6591" s="3">
        <v>43997.183217592596</v>
      </c>
      <c r="B6591" s="4" t="str">
        <f>HYPERLINK("https://twitter.com/petrogustavo","@petrogustavo")</f>
        <v>@petrogustavo</v>
      </c>
      <c r="C6591" s="5" t="s">
        <v>16</v>
      </c>
      <c r="D6591" s="5" t="s">
        <v>6395</v>
      </c>
      <c r="E6591" s="6" t="str">
        <f>HYPERLINK("https://twitter.com/petrogustavo/status/1272301247333380100","1272301247333380100")</f>
        <v>1272301247333380100</v>
      </c>
      <c r="F6591" s="7" t="s">
        <v>17</v>
      </c>
      <c r="G6591" s="7">
        <v>3880419</v>
      </c>
      <c r="H6591" s="7">
        <v>2417</v>
      </c>
      <c r="I6591" s="7">
        <v>85</v>
      </c>
      <c r="J6591" s="7">
        <v>225</v>
      </c>
      <c r="K6591" s="7" t="s">
        <v>18</v>
      </c>
      <c r="L6591" s="8">
        <v>39987.315405092595</v>
      </c>
      <c r="M6591" s="9" t="s">
        <v>19</v>
      </c>
      <c r="N6591" s="9" t="s">
        <v>20</v>
      </c>
      <c r="O6591" s="6" t="str">
        <f>HYPERLINK("https://pbs.twimg.com/profile_images/962471262747529216/Uo8lOkRJ_normal.jpg","View")</f>
        <v>View</v>
      </c>
      <c r="P6591" s="7"/>
    </row>
    <row r="6592" spans="1:16">
      <c r="A6592" s="3">
        <v>43997.18414351852</v>
      </c>
      <c r="B6592" s="4" t="str">
        <f>HYPERLINK("https://twitter.com/petrogustavo","@petrogustavo")</f>
        <v>@petrogustavo</v>
      </c>
      <c r="C6592" s="5" t="s">
        <v>16</v>
      </c>
      <c r="D6592" s="5" t="s">
        <v>6396</v>
      </c>
      <c r="E6592" s="6" t="str">
        <f>HYPERLINK("https://twitter.com/petrogustavo/status/1272301583376711682","1272301583376711682")</f>
        <v>1272301583376711682</v>
      </c>
      <c r="F6592" s="7" t="s">
        <v>17</v>
      </c>
      <c r="G6592" s="7">
        <v>3880419</v>
      </c>
      <c r="H6592" s="7">
        <v>2417</v>
      </c>
      <c r="I6592" s="7">
        <v>96</v>
      </c>
      <c r="J6592" s="7">
        <v>0</v>
      </c>
      <c r="K6592" s="7" t="s">
        <v>18</v>
      </c>
      <c r="L6592" s="8">
        <v>39987.315405092595</v>
      </c>
      <c r="M6592" s="9" t="s">
        <v>19</v>
      </c>
      <c r="N6592" s="9" t="s">
        <v>20</v>
      </c>
      <c r="O6592" s="6" t="str">
        <f>HYPERLINK("https://pbs.twimg.com/profile_images/962471262747529216/Uo8lOkRJ_normal.jpg","View")</f>
        <v>View</v>
      </c>
      <c r="P6592" s="7"/>
    </row>
    <row r="6593" spans="1:16">
      <c r="A6593" s="3">
        <v>43997.184490740736</v>
      </c>
      <c r="B6593" s="4" t="str">
        <f>HYPERLINK("https://twitter.com/petrogustavo","@petrogustavo")</f>
        <v>@petrogustavo</v>
      </c>
      <c r="C6593" s="5" t="s">
        <v>16</v>
      </c>
      <c r="D6593" s="5" t="s">
        <v>6394</v>
      </c>
      <c r="E6593" s="6" t="str">
        <f>HYPERLINK("https://twitter.com/petrogustavo/status/1272301709268787200","1272301709268787200")</f>
        <v>1272301709268787200</v>
      </c>
      <c r="F6593" s="7" t="s">
        <v>17</v>
      </c>
      <c r="G6593" s="7">
        <v>3880419</v>
      </c>
      <c r="H6593" s="7">
        <v>2417</v>
      </c>
      <c r="I6593" s="7">
        <v>361</v>
      </c>
      <c r="J6593" s="7">
        <v>0</v>
      </c>
      <c r="K6593" s="7" t="s">
        <v>18</v>
      </c>
      <c r="L6593" s="8">
        <v>39987.315405092595</v>
      </c>
      <c r="M6593" s="9" t="s">
        <v>19</v>
      </c>
      <c r="N6593" s="9" t="s">
        <v>20</v>
      </c>
      <c r="O6593" s="6" t="str">
        <f>HYPERLINK("https://pbs.twimg.com/profile_images/962471262747529216/Uo8lOkRJ_normal.jpg","View")</f>
        <v>View</v>
      </c>
      <c r="P6593" s="7"/>
    </row>
    <row r="6594" spans="1:16">
      <c r="A6594" s="3">
        <v>43997.185891203699</v>
      </c>
      <c r="B6594" s="4" t="str">
        <f>HYPERLINK("https://twitter.com/petrogustavo","@petrogustavo")</f>
        <v>@petrogustavo</v>
      </c>
      <c r="C6594" s="5" t="s">
        <v>16</v>
      </c>
      <c r="D6594" s="5" t="s">
        <v>6397</v>
      </c>
      <c r="E6594" s="6" t="str">
        <f>HYPERLINK("https://twitter.com/petrogustavo/status/1272302217027092482","1272302217027092482")</f>
        <v>1272302217027092482</v>
      </c>
      <c r="F6594" s="7" t="s">
        <v>17</v>
      </c>
      <c r="G6594" s="7">
        <v>3880419</v>
      </c>
      <c r="H6594" s="7">
        <v>2417</v>
      </c>
      <c r="I6594" s="7">
        <v>54</v>
      </c>
      <c r="J6594" s="7">
        <v>144</v>
      </c>
      <c r="K6594" s="7" t="s">
        <v>18</v>
      </c>
      <c r="L6594" s="8">
        <v>39987.315405092595</v>
      </c>
      <c r="M6594" s="9" t="s">
        <v>19</v>
      </c>
      <c r="N6594" s="9" t="s">
        <v>20</v>
      </c>
      <c r="O6594" s="6" t="str">
        <f>HYPERLINK("https://pbs.twimg.com/profile_images/962471262747529216/Uo8lOkRJ_normal.jpg","View")</f>
        <v>View</v>
      </c>
      <c r="P6594" s="7"/>
    </row>
    <row r="6595" spans="1:16">
      <c r="A6595" s="3">
        <v>43997.192708333328</v>
      </c>
      <c r="B6595" s="4" t="str">
        <f>HYPERLINK("https://twitter.com/petrogustavo","@petrogustavo")</f>
        <v>@petrogustavo</v>
      </c>
      <c r="C6595" s="5" t="s">
        <v>16</v>
      </c>
      <c r="D6595" s="5" t="s">
        <v>6398</v>
      </c>
      <c r="E6595" s="6" t="str">
        <f>HYPERLINK("https://twitter.com/petrogustavo/status/1272304688898232328","1272304688898232328")</f>
        <v>1272304688898232328</v>
      </c>
      <c r="F6595" s="7" t="s">
        <v>17</v>
      </c>
      <c r="G6595" s="7">
        <v>3880419</v>
      </c>
      <c r="H6595" s="7">
        <v>2417</v>
      </c>
      <c r="I6595" s="7">
        <v>506</v>
      </c>
      <c r="J6595" s="7">
        <v>1363</v>
      </c>
      <c r="K6595" s="7" t="s">
        <v>18</v>
      </c>
      <c r="L6595" s="8">
        <v>39987.315405092595</v>
      </c>
      <c r="M6595" s="9" t="s">
        <v>19</v>
      </c>
      <c r="N6595" s="9" t="s">
        <v>20</v>
      </c>
      <c r="O6595" s="6" t="str">
        <f>HYPERLINK("https://pbs.twimg.com/profile_images/962471262747529216/Uo8lOkRJ_normal.jpg","View")</f>
        <v>View</v>
      </c>
      <c r="P6595" s="7"/>
    </row>
    <row r="6596" spans="1:16">
      <c r="A6596" s="3">
        <v>43997.198263888888</v>
      </c>
      <c r="B6596" s="4" t="str">
        <f>HYPERLINK("https://twitter.com/petrogustavo","@petrogustavo")</f>
        <v>@petrogustavo</v>
      </c>
      <c r="C6596" s="5" t="s">
        <v>16</v>
      </c>
      <c r="D6596" s="5" t="s">
        <v>6399</v>
      </c>
      <c r="E6596" s="6" t="str">
        <f>HYPERLINK("https://twitter.com/petrogustavo/status/1272306700863881220","1272306700863881220")</f>
        <v>1272306700863881220</v>
      </c>
      <c r="F6596" s="7" t="s">
        <v>17</v>
      </c>
      <c r="G6596" s="7">
        <v>3880419</v>
      </c>
      <c r="H6596" s="7">
        <v>2417</v>
      </c>
      <c r="I6596" s="7">
        <v>42</v>
      </c>
      <c r="J6596" s="7">
        <v>118</v>
      </c>
      <c r="K6596" s="7" t="s">
        <v>18</v>
      </c>
      <c r="L6596" s="8">
        <v>39987.315405092595</v>
      </c>
      <c r="M6596" s="9" t="s">
        <v>19</v>
      </c>
      <c r="N6596" s="9" t="s">
        <v>20</v>
      </c>
      <c r="O6596" s="6" t="str">
        <f>HYPERLINK("https://pbs.twimg.com/profile_images/962471262747529216/Uo8lOkRJ_normal.jpg","View")</f>
        <v>View</v>
      </c>
      <c r="P6596" s="7"/>
    </row>
    <row r="6597" spans="1:16">
      <c r="A6597" s="3">
        <v>43997.198819444442</v>
      </c>
      <c r="B6597" s="4" t="str">
        <f>HYPERLINK("https://twitter.com/petrogustavo","@petrogustavo")</f>
        <v>@petrogustavo</v>
      </c>
      <c r="C6597" s="5" t="s">
        <v>16</v>
      </c>
      <c r="D6597" s="5" t="s">
        <v>6400</v>
      </c>
      <c r="E6597" s="6" t="str">
        <f>HYPERLINK("https://twitter.com/petrogustavo/status/1272306901246791681","1272306901246791681")</f>
        <v>1272306901246791681</v>
      </c>
      <c r="F6597" s="7" t="s">
        <v>17</v>
      </c>
      <c r="G6597" s="7">
        <v>3880419</v>
      </c>
      <c r="H6597" s="7">
        <v>2417</v>
      </c>
      <c r="I6597" s="7">
        <v>506</v>
      </c>
      <c r="J6597" s="7">
        <v>0</v>
      </c>
      <c r="K6597" s="7" t="s">
        <v>18</v>
      </c>
      <c r="L6597" s="8">
        <v>39987.315405092595</v>
      </c>
      <c r="M6597" s="9" t="s">
        <v>19</v>
      </c>
      <c r="N6597" s="9" t="s">
        <v>20</v>
      </c>
      <c r="O6597" s="6" t="str">
        <f>HYPERLINK("https://pbs.twimg.com/profile_images/962471262747529216/Uo8lOkRJ_normal.jpg","View")</f>
        <v>View</v>
      </c>
      <c r="P6597" s="7"/>
    </row>
    <row r="6598" spans="1:16">
      <c r="A6598" s="3">
        <v>43997.383194444439</v>
      </c>
      <c r="B6598" s="4" t="str">
        <f>HYPERLINK("https://twitter.com/petrogustavo","@petrogustavo")</f>
        <v>@petrogustavo</v>
      </c>
      <c r="C6598" s="5" t="s">
        <v>16</v>
      </c>
      <c r="D6598" s="5" t="s">
        <v>6401</v>
      </c>
      <c r="E6598" s="6" t="str">
        <f>HYPERLINK("https://twitter.com/petrogustavo/status/1272373716207505408","1272373716207505408")</f>
        <v>1272373716207505408</v>
      </c>
      <c r="F6598" s="7" t="s">
        <v>17</v>
      </c>
      <c r="G6598" s="7">
        <v>3880665</v>
      </c>
      <c r="H6598" s="7">
        <v>2417</v>
      </c>
      <c r="I6598" s="7">
        <v>865</v>
      </c>
      <c r="J6598" s="7">
        <v>0</v>
      </c>
      <c r="K6598" s="7" t="s">
        <v>18</v>
      </c>
      <c r="L6598" s="8">
        <v>39987.315405092595</v>
      </c>
      <c r="M6598" s="9" t="s">
        <v>19</v>
      </c>
      <c r="N6598" s="9" t="s">
        <v>20</v>
      </c>
      <c r="O6598" s="6" t="str">
        <f>HYPERLINK("https://pbs.twimg.com/profile_images/962471262747529216/Uo8lOkRJ_normal.jpg","View")</f>
        <v>View</v>
      </c>
      <c r="P6598" s="7"/>
    </row>
    <row r="6599" spans="1:16">
      <c r="A6599" s="3">
        <v>43997.38354166667</v>
      </c>
      <c r="B6599" s="4" t="str">
        <f>HYPERLINK("https://twitter.com/petrogustavo","@petrogustavo")</f>
        <v>@petrogustavo</v>
      </c>
      <c r="C6599" s="5" t="s">
        <v>16</v>
      </c>
      <c r="D6599" s="5" t="s">
        <v>6400</v>
      </c>
      <c r="E6599" s="6" t="str">
        <f>HYPERLINK("https://twitter.com/petrogustavo/status/1272373842128834560","1272373842128834560")</f>
        <v>1272373842128834560</v>
      </c>
      <c r="F6599" s="7" t="s">
        <v>17</v>
      </c>
      <c r="G6599" s="7">
        <v>3880665</v>
      </c>
      <c r="H6599" s="7">
        <v>2417</v>
      </c>
      <c r="I6599" s="7">
        <v>5243</v>
      </c>
      <c r="J6599" s="7">
        <v>0</v>
      </c>
      <c r="K6599" s="7" t="s">
        <v>18</v>
      </c>
      <c r="L6599" s="8">
        <v>39987.315405092595</v>
      </c>
      <c r="M6599" s="9" t="s">
        <v>19</v>
      </c>
      <c r="N6599" s="9" t="s">
        <v>20</v>
      </c>
      <c r="O6599" s="6" t="str">
        <f>HYPERLINK("https://pbs.twimg.com/profile_images/962471262747529216/Uo8lOkRJ_normal.jpg","View")</f>
        <v>View</v>
      </c>
      <c r="P6599" s="7"/>
    </row>
    <row r="6600" spans="1:16">
      <c r="A6600" s="3">
        <v>43997.383796296301</v>
      </c>
      <c r="B6600" s="4" t="str">
        <f>HYPERLINK("https://twitter.com/petrogustavo","@petrogustavo")</f>
        <v>@petrogustavo</v>
      </c>
      <c r="C6600" s="5" t="s">
        <v>16</v>
      </c>
      <c r="D6600" s="5" t="s">
        <v>6394</v>
      </c>
      <c r="E6600" s="6" t="str">
        <f>HYPERLINK("https://twitter.com/petrogustavo/status/1272373935204708353","1272373935204708353")</f>
        <v>1272373935204708353</v>
      </c>
      <c r="F6600" s="7" t="s">
        <v>17</v>
      </c>
      <c r="G6600" s="7">
        <v>3880665</v>
      </c>
      <c r="H6600" s="7">
        <v>2417</v>
      </c>
      <c r="I6600" s="7">
        <v>1078</v>
      </c>
      <c r="J6600" s="7">
        <v>0</v>
      </c>
      <c r="K6600" s="7" t="s">
        <v>18</v>
      </c>
      <c r="L6600" s="8">
        <v>39987.315405092595</v>
      </c>
      <c r="M6600" s="9" t="s">
        <v>19</v>
      </c>
      <c r="N6600" s="9" t="s">
        <v>20</v>
      </c>
      <c r="O6600" s="6" t="str">
        <f>HYPERLINK("https://pbs.twimg.com/profile_images/962471262747529216/Uo8lOkRJ_normal.jpg","View")</f>
        <v>View</v>
      </c>
      <c r="P6600" s="7"/>
    </row>
    <row r="6601" spans="1:16">
      <c r="A6601" s="3">
        <v>43997.797407407408</v>
      </c>
      <c r="B6601" s="4" t="str">
        <f>HYPERLINK("https://twitter.com/petrogustavo","@petrogustavo")</f>
        <v>@petrogustavo</v>
      </c>
      <c r="C6601" s="5" t="s">
        <v>16</v>
      </c>
      <c r="D6601" s="5" t="s">
        <v>6402</v>
      </c>
      <c r="E6601" s="6" t="str">
        <f>HYPERLINK("https://twitter.com/petrogustavo/status/1272523822198112263","1272523822198112263")</f>
        <v>1272523822198112263</v>
      </c>
      <c r="F6601" s="7" t="s">
        <v>17</v>
      </c>
      <c r="G6601" s="7">
        <v>3880901</v>
      </c>
      <c r="H6601" s="7">
        <v>2417</v>
      </c>
      <c r="I6601" s="7">
        <v>177</v>
      </c>
      <c r="J6601" s="7">
        <v>0</v>
      </c>
      <c r="K6601" s="7" t="s">
        <v>18</v>
      </c>
      <c r="L6601" s="8">
        <v>39987.315405092595</v>
      </c>
      <c r="M6601" s="9" t="s">
        <v>19</v>
      </c>
      <c r="N6601" s="9" t="s">
        <v>20</v>
      </c>
      <c r="O6601" s="6" t="str">
        <f>HYPERLINK("https://pbs.twimg.com/profile_images/962471262747529216/Uo8lOkRJ_normal.jpg","View")</f>
        <v>View</v>
      </c>
      <c r="P6601" s="7"/>
    </row>
    <row r="6602" spans="1:16">
      <c r="A6602" s="3">
        <v>43997.798946759256</v>
      </c>
      <c r="B6602" s="4" t="str">
        <f>HYPERLINK("https://twitter.com/petrogustavo","@petrogustavo")</f>
        <v>@petrogustavo</v>
      </c>
      <c r="C6602" s="5" t="s">
        <v>16</v>
      </c>
      <c r="D6602" s="5" t="s">
        <v>6403</v>
      </c>
      <c r="E6602" s="6" t="str">
        <f>HYPERLINK("https://twitter.com/petrogustavo/status/1272524379906281472","1272524379906281472")</f>
        <v>1272524379906281472</v>
      </c>
      <c r="F6602" s="7" t="s">
        <v>17</v>
      </c>
      <c r="G6602" s="7">
        <v>3880901</v>
      </c>
      <c r="H6602" s="7">
        <v>2417</v>
      </c>
      <c r="I6602" s="7">
        <v>439</v>
      </c>
      <c r="J6602" s="7">
        <v>0</v>
      </c>
      <c r="K6602" s="7" t="s">
        <v>18</v>
      </c>
      <c r="L6602" s="8">
        <v>39987.315405092595</v>
      </c>
      <c r="M6602" s="9" t="s">
        <v>19</v>
      </c>
      <c r="N6602" s="9" t="s">
        <v>20</v>
      </c>
      <c r="O6602" s="6" t="str">
        <f>HYPERLINK("https://pbs.twimg.com/profile_images/962471262747529216/Uo8lOkRJ_normal.jpg","View")</f>
        <v>View</v>
      </c>
      <c r="P6602" s="7"/>
    </row>
    <row r="6603" spans="1:16">
      <c r="A6603" s="3">
        <v>43997.80023148148</v>
      </c>
      <c r="B6603" s="4" t="str">
        <f>HYPERLINK("https://twitter.com/petrogustavo","@petrogustavo")</f>
        <v>@petrogustavo</v>
      </c>
      <c r="C6603" s="5" t="s">
        <v>16</v>
      </c>
      <c r="D6603" s="5" t="s">
        <v>6404</v>
      </c>
      <c r="E6603" s="6" t="str">
        <f>HYPERLINK("https://twitter.com/petrogustavo/status/1272524845050466306","1272524845050466306")</f>
        <v>1272524845050466306</v>
      </c>
      <c r="F6603" s="7" t="s">
        <v>17</v>
      </c>
      <c r="G6603" s="7">
        <v>3880901</v>
      </c>
      <c r="H6603" s="7">
        <v>2417</v>
      </c>
      <c r="I6603" s="7">
        <v>31</v>
      </c>
      <c r="J6603" s="7">
        <v>0</v>
      </c>
      <c r="K6603" s="7" t="s">
        <v>18</v>
      </c>
      <c r="L6603" s="8">
        <v>39987.315405092595</v>
      </c>
      <c r="M6603" s="9" t="s">
        <v>19</v>
      </c>
      <c r="N6603" s="9" t="s">
        <v>20</v>
      </c>
      <c r="O6603" s="6" t="str">
        <f>HYPERLINK("https://pbs.twimg.com/profile_images/962471262747529216/Uo8lOkRJ_normal.jpg","View")</f>
        <v>View</v>
      </c>
      <c r="P6603" s="7"/>
    </row>
    <row r="6604" spans="1:16">
      <c r="A6604" s="3">
        <v>43997.803356481483</v>
      </c>
      <c r="B6604" s="4" t="str">
        <f>HYPERLINK("https://twitter.com/petrogustavo","@petrogustavo")</f>
        <v>@petrogustavo</v>
      </c>
      <c r="C6604" s="5" t="s">
        <v>16</v>
      </c>
      <c r="D6604" s="5" t="s">
        <v>6400</v>
      </c>
      <c r="E6604" s="6" t="str">
        <f>HYPERLINK("https://twitter.com/petrogustavo/status/1272525977600606208","1272525977600606208")</f>
        <v>1272525977600606208</v>
      </c>
      <c r="F6604" s="7" t="s">
        <v>17</v>
      </c>
      <c r="G6604" s="7">
        <v>3880901</v>
      </c>
      <c r="H6604" s="7">
        <v>2417</v>
      </c>
      <c r="I6604" s="7">
        <v>7474</v>
      </c>
      <c r="J6604" s="7">
        <v>0</v>
      </c>
      <c r="K6604" s="7" t="s">
        <v>18</v>
      </c>
      <c r="L6604" s="8">
        <v>39987.315405092595</v>
      </c>
      <c r="M6604" s="9" t="s">
        <v>19</v>
      </c>
      <c r="N6604" s="9" t="s">
        <v>20</v>
      </c>
      <c r="O6604" s="6" t="str">
        <f>HYPERLINK("https://pbs.twimg.com/profile_images/962471262747529216/Uo8lOkRJ_normal.jpg","View")</f>
        <v>View</v>
      </c>
      <c r="P6604" s="7"/>
    </row>
    <row r="6605" spans="1:16">
      <c r="A6605" s="3">
        <v>43997.810682870375</v>
      </c>
      <c r="B6605" s="4" t="str">
        <f>HYPERLINK("https://twitter.com/petrogustavo","@petrogustavo")</f>
        <v>@petrogustavo</v>
      </c>
      <c r="C6605" s="5" t="s">
        <v>16</v>
      </c>
      <c r="D6605" s="5" t="s">
        <v>6405</v>
      </c>
      <c r="E6605" s="6" t="str">
        <f>HYPERLINK("https://twitter.com/petrogustavo/status/1272528633970733056","1272528633970733056")</f>
        <v>1272528633970733056</v>
      </c>
      <c r="F6605" s="7" t="s">
        <v>17</v>
      </c>
      <c r="G6605" s="7">
        <v>3880937</v>
      </c>
      <c r="H6605" s="7">
        <v>2417</v>
      </c>
      <c r="I6605" s="7">
        <v>248</v>
      </c>
      <c r="J6605" s="7">
        <v>0</v>
      </c>
      <c r="K6605" s="7" t="s">
        <v>18</v>
      </c>
      <c r="L6605" s="8">
        <v>39987.315405092595</v>
      </c>
      <c r="M6605" s="9" t="s">
        <v>19</v>
      </c>
      <c r="N6605" s="9" t="s">
        <v>20</v>
      </c>
      <c r="O6605" s="6" t="str">
        <f>HYPERLINK("https://pbs.twimg.com/profile_images/962471262747529216/Uo8lOkRJ_normal.jpg","View")</f>
        <v>View</v>
      </c>
      <c r="P6605" s="7"/>
    </row>
    <row r="6606" spans="1:16">
      <c r="A6606" s="3">
        <v>43997.830300925925</v>
      </c>
      <c r="B6606" s="4" t="str">
        <f>HYPERLINK("https://twitter.com/petrogustavo","@petrogustavo")</f>
        <v>@petrogustavo</v>
      </c>
      <c r="C6606" s="5" t="s">
        <v>16</v>
      </c>
      <c r="D6606" s="5" t="s">
        <v>6406</v>
      </c>
      <c r="E6606" s="6" t="str">
        <f>HYPERLINK("https://twitter.com/petrogustavo/status/1272535741537685506","1272535741537685506")</f>
        <v>1272535741537685506</v>
      </c>
      <c r="F6606" s="7" t="s">
        <v>17</v>
      </c>
      <c r="G6606" s="7">
        <v>3880963</v>
      </c>
      <c r="H6606" s="7">
        <v>2417</v>
      </c>
      <c r="I6606" s="7">
        <v>76</v>
      </c>
      <c r="J6606" s="7">
        <v>217</v>
      </c>
      <c r="K6606" s="7" t="s">
        <v>18</v>
      </c>
      <c r="L6606" s="8">
        <v>39987.315405092595</v>
      </c>
      <c r="M6606" s="9" t="s">
        <v>19</v>
      </c>
      <c r="N6606" s="9" t="s">
        <v>20</v>
      </c>
      <c r="O6606" s="6" t="str">
        <f>HYPERLINK("https://pbs.twimg.com/profile_images/962471262747529216/Uo8lOkRJ_normal.jpg","View")</f>
        <v>View</v>
      </c>
      <c r="P6606" s="7"/>
    </row>
    <row r="6607" spans="1:16">
      <c r="A6607" s="3">
        <v>43997.872754629629</v>
      </c>
      <c r="B6607" s="4" t="str">
        <f>HYPERLINK("https://twitter.com/petrogustavo","@petrogustavo")</f>
        <v>@petrogustavo</v>
      </c>
      <c r="C6607" s="5" t="s">
        <v>16</v>
      </c>
      <c r="D6607" s="5" t="s">
        <v>6407</v>
      </c>
      <c r="E6607" s="6" t="str">
        <f>HYPERLINK("https://twitter.com/petrogustavo/status/1272551126223683584","1272551126223683584")</f>
        <v>1272551126223683584</v>
      </c>
      <c r="F6607" s="7" t="s">
        <v>17</v>
      </c>
      <c r="G6607" s="7">
        <v>3881127</v>
      </c>
      <c r="H6607" s="7">
        <v>2417</v>
      </c>
      <c r="I6607" s="7">
        <v>672</v>
      </c>
      <c r="J6607" s="7">
        <v>2097</v>
      </c>
      <c r="K6607" s="7" t="s">
        <v>18</v>
      </c>
      <c r="L6607" s="8">
        <v>39987.315405092595</v>
      </c>
      <c r="M6607" s="9" t="s">
        <v>19</v>
      </c>
      <c r="N6607" s="9" t="s">
        <v>20</v>
      </c>
      <c r="O6607" s="6" t="str">
        <f>HYPERLINK("https://pbs.twimg.com/profile_images/962471262747529216/Uo8lOkRJ_normal.jpg","View")</f>
        <v>View</v>
      </c>
      <c r="P6607" s="7"/>
    </row>
    <row r="6608" spans="1:16">
      <c r="A6608" s="3">
        <v>43997.980034722219</v>
      </c>
      <c r="B6608" s="4" t="str">
        <f>HYPERLINK("https://twitter.com/petrogustavo","@petrogustavo")</f>
        <v>@petrogustavo</v>
      </c>
      <c r="C6608" s="5" t="s">
        <v>16</v>
      </c>
      <c r="D6608" s="5" t="s">
        <v>6408</v>
      </c>
      <c r="E6608" s="6" t="str">
        <f>HYPERLINK("https://twitter.com/petrogustavo/status/1272590004179607552","1272590004179607552")</f>
        <v>1272590004179607552</v>
      </c>
      <c r="F6608" s="7" t="s">
        <v>17</v>
      </c>
      <c r="G6608" s="7">
        <v>3881338</v>
      </c>
      <c r="H6608" s="7">
        <v>2417</v>
      </c>
      <c r="I6608" s="7">
        <v>377</v>
      </c>
      <c r="J6608" s="7">
        <v>1160</v>
      </c>
      <c r="K6608" s="7" t="s">
        <v>18</v>
      </c>
      <c r="L6608" s="8">
        <v>39987.315405092595</v>
      </c>
      <c r="M6608" s="9" t="s">
        <v>19</v>
      </c>
      <c r="N6608" s="9" t="s">
        <v>20</v>
      </c>
      <c r="O6608" s="6" t="str">
        <f>HYPERLINK("https://pbs.twimg.com/profile_images/962471262747529216/Uo8lOkRJ_normal.jpg","View")</f>
        <v>View</v>
      </c>
      <c r="P6608" s="7"/>
    </row>
    <row r="6609" spans="1:16">
      <c r="A6609" s="3">
        <v>43998.019155092596</v>
      </c>
      <c r="B6609" s="4" t="str">
        <f>HYPERLINK("https://twitter.com/petrogustavo","@petrogustavo")</f>
        <v>@petrogustavo</v>
      </c>
      <c r="C6609" s="5" t="s">
        <v>16</v>
      </c>
      <c r="D6609" s="5" t="s">
        <v>6409</v>
      </c>
      <c r="E6609" s="6" t="str">
        <f>HYPERLINK("https://twitter.com/petrogustavo/status/1272604180507701248","1272604180507701248")</f>
        <v>1272604180507701248</v>
      </c>
      <c r="F6609" s="7" t="s">
        <v>17</v>
      </c>
      <c r="G6609" s="7">
        <v>3881452</v>
      </c>
      <c r="H6609" s="7">
        <v>2417</v>
      </c>
      <c r="I6609" s="7">
        <v>120</v>
      </c>
      <c r="J6609" s="7">
        <v>366</v>
      </c>
      <c r="K6609" s="7" t="s">
        <v>18</v>
      </c>
      <c r="L6609" s="8">
        <v>39987.315405092595</v>
      </c>
      <c r="M6609" s="9" t="s">
        <v>19</v>
      </c>
      <c r="N6609" s="9" t="s">
        <v>20</v>
      </c>
      <c r="O6609" s="6" t="str">
        <f>HYPERLINK("https://pbs.twimg.com/profile_images/962471262747529216/Uo8lOkRJ_normal.jpg","View")</f>
        <v>View</v>
      </c>
      <c r="P6609" s="7"/>
    </row>
    <row r="6610" spans="1:16">
      <c r="A6610" s="3">
        <v>43998.063900462963</v>
      </c>
      <c r="B6610" s="4" t="str">
        <f>HYPERLINK("https://twitter.com/petrogustavo","@petrogustavo")</f>
        <v>@petrogustavo</v>
      </c>
      <c r="C6610" s="5" t="s">
        <v>16</v>
      </c>
      <c r="D6610" s="5" t="s">
        <v>6410</v>
      </c>
      <c r="E6610" s="6" t="str">
        <f>HYPERLINK("https://twitter.com/petrogustavo/status/1272620398316793856","1272620398316793856")</f>
        <v>1272620398316793856</v>
      </c>
      <c r="F6610" s="7" t="s">
        <v>32</v>
      </c>
      <c r="G6610" s="7">
        <v>3881515</v>
      </c>
      <c r="H6610" s="7">
        <v>2417</v>
      </c>
      <c r="I6610" s="7">
        <v>2258</v>
      </c>
      <c r="J6610" s="7">
        <v>0</v>
      </c>
      <c r="K6610" s="7" t="s">
        <v>18</v>
      </c>
      <c r="L6610" s="8">
        <v>39987.315405092595</v>
      </c>
      <c r="M6610" s="9" t="s">
        <v>19</v>
      </c>
      <c r="N6610" s="9" t="s">
        <v>20</v>
      </c>
      <c r="O6610" s="6" t="str">
        <f>HYPERLINK("https://pbs.twimg.com/profile_images/962471262747529216/Uo8lOkRJ_normal.jpg","View")</f>
        <v>View</v>
      </c>
      <c r="P6610" s="7"/>
    </row>
    <row r="6611" spans="1:16">
      <c r="A6611" s="3">
        <v>43998.12436342593</v>
      </c>
      <c r="B6611" s="4" t="str">
        <f>HYPERLINK("https://twitter.com/petrogustavo","@petrogustavo")</f>
        <v>@petrogustavo</v>
      </c>
      <c r="C6611" s="5" t="s">
        <v>16</v>
      </c>
      <c r="D6611" s="5" t="s">
        <v>6411</v>
      </c>
      <c r="E6611" s="6" t="str">
        <f>HYPERLINK("https://twitter.com/petrogustavo/status/1272642309906206720","1272642309906206720")</f>
        <v>1272642309906206720</v>
      </c>
      <c r="F6611" s="7" t="s">
        <v>32</v>
      </c>
      <c r="G6611" s="7">
        <v>3881655</v>
      </c>
      <c r="H6611" s="7">
        <v>2417</v>
      </c>
      <c r="I6611" s="7">
        <v>107</v>
      </c>
      <c r="J6611" s="7">
        <v>0</v>
      </c>
      <c r="K6611" s="7" t="s">
        <v>18</v>
      </c>
      <c r="L6611" s="8">
        <v>39987.315405092595</v>
      </c>
      <c r="M6611" s="9" t="s">
        <v>19</v>
      </c>
      <c r="N6611" s="9" t="s">
        <v>20</v>
      </c>
      <c r="O6611" s="6" t="str">
        <f>HYPERLINK("https://pbs.twimg.com/profile_images/962471262747529216/Uo8lOkRJ_normal.jpg","View")</f>
        <v>View</v>
      </c>
      <c r="P6611" s="7"/>
    </row>
    <row r="6612" spans="1:16">
      <c r="A6612" s="3">
        <v>43998.124456018515</v>
      </c>
      <c r="B6612" s="4" t="str">
        <f>HYPERLINK("https://twitter.com/petrogustavo","@petrogustavo")</f>
        <v>@petrogustavo</v>
      </c>
      <c r="C6612" s="5" t="s">
        <v>16</v>
      </c>
      <c r="D6612" s="5" t="s">
        <v>6412</v>
      </c>
      <c r="E6612" s="6" t="str">
        <f>HYPERLINK("https://twitter.com/petrogustavo/status/1272642342525251590","1272642342525251590")</f>
        <v>1272642342525251590</v>
      </c>
      <c r="F6612" s="7" t="s">
        <v>32</v>
      </c>
      <c r="G6612" s="7">
        <v>3881655</v>
      </c>
      <c r="H6612" s="7">
        <v>2417</v>
      </c>
      <c r="I6612" s="7">
        <v>295</v>
      </c>
      <c r="J6612" s="7">
        <v>0</v>
      </c>
      <c r="K6612" s="7" t="s">
        <v>18</v>
      </c>
      <c r="L6612" s="8">
        <v>39987.315405092595</v>
      </c>
      <c r="M6612" s="9" t="s">
        <v>19</v>
      </c>
      <c r="N6612" s="9" t="s">
        <v>20</v>
      </c>
      <c r="O6612" s="6" t="str">
        <f>HYPERLINK("https://pbs.twimg.com/profile_images/962471262747529216/Uo8lOkRJ_normal.jpg","View")</f>
        <v>View</v>
      </c>
      <c r="P6612" s="7"/>
    </row>
    <row r="6613" spans="1:16">
      <c r="A6613" s="3">
        <v>43998.125034722223</v>
      </c>
      <c r="B6613" s="4" t="str">
        <f>HYPERLINK("https://twitter.com/petrogustavo","@petrogustavo")</f>
        <v>@petrogustavo</v>
      </c>
      <c r="C6613" s="5" t="s">
        <v>16</v>
      </c>
      <c r="D6613" s="5" t="s">
        <v>6413</v>
      </c>
      <c r="E6613" s="6" t="str">
        <f>HYPERLINK("https://twitter.com/petrogustavo/status/1272642550382419968","1272642550382419968")</f>
        <v>1272642550382419968</v>
      </c>
      <c r="F6613" s="7" t="s">
        <v>32</v>
      </c>
      <c r="G6613" s="7">
        <v>3881655</v>
      </c>
      <c r="H6613" s="7">
        <v>2417</v>
      </c>
      <c r="I6613" s="7">
        <v>304</v>
      </c>
      <c r="J6613" s="7">
        <v>0</v>
      </c>
      <c r="K6613" s="7" t="s">
        <v>18</v>
      </c>
      <c r="L6613" s="8">
        <v>39987.315405092595</v>
      </c>
      <c r="M6613" s="9" t="s">
        <v>19</v>
      </c>
      <c r="N6613" s="9" t="s">
        <v>20</v>
      </c>
      <c r="O6613" s="6" t="str">
        <f>HYPERLINK("https://pbs.twimg.com/profile_images/962471262747529216/Uo8lOkRJ_normal.jpg","View")</f>
        <v>View</v>
      </c>
      <c r="P6613" s="7"/>
    </row>
    <row r="6614" spans="1:16">
      <c r="A6614" s="3">
        <v>43998.125219907408</v>
      </c>
      <c r="B6614" s="4" t="str">
        <f>HYPERLINK("https://twitter.com/petrogustavo","@petrogustavo")</f>
        <v>@petrogustavo</v>
      </c>
      <c r="C6614" s="5" t="s">
        <v>16</v>
      </c>
      <c r="D6614" s="5" t="s">
        <v>6414</v>
      </c>
      <c r="E6614" s="6" t="str">
        <f>HYPERLINK("https://twitter.com/petrogustavo/status/1272642619705786368","1272642619705786368")</f>
        <v>1272642619705786368</v>
      </c>
      <c r="F6614" s="7" t="s">
        <v>32</v>
      </c>
      <c r="G6614" s="7">
        <v>3881655</v>
      </c>
      <c r="H6614" s="7">
        <v>2417</v>
      </c>
      <c r="I6614" s="7">
        <v>253</v>
      </c>
      <c r="J6614" s="7">
        <v>0</v>
      </c>
      <c r="K6614" s="7" t="s">
        <v>18</v>
      </c>
      <c r="L6614" s="8">
        <v>39987.315405092595</v>
      </c>
      <c r="M6614" s="9" t="s">
        <v>19</v>
      </c>
      <c r="N6614" s="9" t="s">
        <v>20</v>
      </c>
      <c r="O6614" s="6" t="str">
        <f>HYPERLINK("https://pbs.twimg.com/profile_images/962471262747529216/Uo8lOkRJ_normal.jpg","View")</f>
        <v>View</v>
      </c>
      <c r="P6614" s="7"/>
    </row>
    <row r="6615" spans="1:16">
      <c r="A6615" s="3">
        <v>43998.126400462963</v>
      </c>
      <c r="B6615" s="4" t="str">
        <f>HYPERLINK("https://twitter.com/petrogustavo","@petrogustavo")</f>
        <v>@petrogustavo</v>
      </c>
      <c r="C6615" s="5" t="s">
        <v>16</v>
      </c>
      <c r="D6615" s="5" t="s">
        <v>6415</v>
      </c>
      <c r="E6615" s="6" t="str">
        <f>HYPERLINK("https://twitter.com/petrogustavo/status/1272643045398364160","1272643045398364160")</f>
        <v>1272643045398364160</v>
      </c>
      <c r="F6615" s="7" t="s">
        <v>32</v>
      </c>
      <c r="G6615" s="7">
        <v>3881655</v>
      </c>
      <c r="H6615" s="7">
        <v>2417</v>
      </c>
      <c r="I6615" s="7">
        <v>633</v>
      </c>
      <c r="J6615" s="7">
        <v>0</v>
      </c>
      <c r="K6615" s="7" t="s">
        <v>18</v>
      </c>
      <c r="L6615" s="8">
        <v>39987.315405092595</v>
      </c>
      <c r="M6615" s="9" t="s">
        <v>19</v>
      </c>
      <c r="N6615" s="9" t="s">
        <v>20</v>
      </c>
      <c r="O6615" s="6" t="str">
        <f>HYPERLINK("https://pbs.twimg.com/profile_images/962471262747529216/Uo8lOkRJ_normal.jpg","View")</f>
        <v>View</v>
      </c>
      <c r="P6615" s="7"/>
    </row>
    <row r="6616" spans="1:16">
      <c r="A6616" s="3">
        <v>43998.142465277779</v>
      </c>
      <c r="B6616" s="4" t="str">
        <f>HYPERLINK("https://twitter.com/petrogustavo","@petrogustavo")</f>
        <v>@petrogustavo</v>
      </c>
      <c r="C6616" s="5" t="s">
        <v>16</v>
      </c>
      <c r="D6616" s="5" t="s">
        <v>6416</v>
      </c>
      <c r="E6616" s="6" t="str">
        <f>HYPERLINK("https://twitter.com/petrogustavo/status/1272648869277577217","1272648869277577217")</f>
        <v>1272648869277577217</v>
      </c>
      <c r="F6616" s="7" t="s">
        <v>32</v>
      </c>
      <c r="G6616" s="7">
        <v>3881669</v>
      </c>
      <c r="H6616" s="7">
        <v>2417</v>
      </c>
      <c r="I6616" s="7">
        <v>272</v>
      </c>
      <c r="J6616" s="7">
        <v>724</v>
      </c>
      <c r="K6616" s="7" t="s">
        <v>18</v>
      </c>
      <c r="L6616" s="8">
        <v>39987.315405092595</v>
      </c>
      <c r="M6616" s="9" t="s">
        <v>19</v>
      </c>
      <c r="N6616" s="9" t="s">
        <v>20</v>
      </c>
      <c r="O6616" s="6" t="str">
        <f>HYPERLINK("https://pbs.twimg.com/profile_images/962471262747529216/Uo8lOkRJ_normal.jpg","View")</f>
        <v>View</v>
      </c>
      <c r="P6616" s="7"/>
    </row>
    <row r="6617" spans="1:16">
      <c r="A6617" s="3">
        <v>43998.183379629627</v>
      </c>
      <c r="B6617" s="4" t="str">
        <f>HYPERLINK("https://twitter.com/petrogustavo","@petrogustavo")</f>
        <v>@petrogustavo</v>
      </c>
      <c r="C6617" s="5" t="s">
        <v>16</v>
      </c>
      <c r="D6617" s="5" t="s">
        <v>6410</v>
      </c>
      <c r="E6617" s="6" t="str">
        <f>HYPERLINK("https://twitter.com/petrogustavo/status/1272663693713641474","1272663693713641474")</f>
        <v>1272663693713641474</v>
      </c>
      <c r="F6617" s="7" t="s">
        <v>17</v>
      </c>
      <c r="G6617" s="7">
        <v>3881776</v>
      </c>
      <c r="H6617" s="7">
        <v>2417</v>
      </c>
      <c r="I6617" s="7">
        <v>3589</v>
      </c>
      <c r="J6617" s="7">
        <v>0</v>
      </c>
      <c r="K6617" s="7" t="s">
        <v>18</v>
      </c>
      <c r="L6617" s="8">
        <v>39987.315405092595</v>
      </c>
      <c r="M6617" s="9" t="s">
        <v>19</v>
      </c>
      <c r="N6617" s="9" t="s">
        <v>20</v>
      </c>
      <c r="O6617" s="6" t="str">
        <f>HYPERLINK("https://pbs.twimg.com/profile_images/962471262747529216/Uo8lOkRJ_normal.jpg","View")</f>
        <v>View</v>
      </c>
      <c r="P6617" s="7"/>
    </row>
    <row r="6618" spans="1:16">
      <c r="A6618" s="3">
        <v>43998.197083333333</v>
      </c>
      <c r="B6618" s="4" t="str">
        <f>HYPERLINK("https://twitter.com/petrogustavo","@petrogustavo")</f>
        <v>@petrogustavo</v>
      </c>
      <c r="C6618" s="5" t="s">
        <v>16</v>
      </c>
      <c r="D6618" s="5" t="s">
        <v>6417</v>
      </c>
      <c r="E6618" s="6" t="str">
        <f>HYPERLINK("https://twitter.com/petrogustavo/status/1272668660092502017","1272668660092502017")</f>
        <v>1272668660092502017</v>
      </c>
      <c r="F6618" s="7" t="s">
        <v>32</v>
      </c>
      <c r="G6618" s="7">
        <v>3881776</v>
      </c>
      <c r="H6618" s="7">
        <v>2417</v>
      </c>
      <c r="I6618" s="7">
        <v>8</v>
      </c>
      <c r="J6618" s="7">
        <v>0</v>
      </c>
      <c r="K6618" s="7" t="s">
        <v>18</v>
      </c>
      <c r="L6618" s="8">
        <v>39987.315405092595</v>
      </c>
      <c r="M6618" s="9" t="s">
        <v>19</v>
      </c>
      <c r="N6618" s="9" t="s">
        <v>20</v>
      </c>
      <c r="O6618" s="6" t="str">
        <f>HYPERLINK("https://pbs.twimg.com/profile_images/962471262747529216/Uo8lOkRJ_normal.jpg","View")</f>
        <v>View</v>
      </c>
      <c r="P6618" s="7"/>
    </row>
    <row r="6619" spans="1:16">
      <c r="A6619" s="3">
        <v>43998.197974537034</v>
      </c>
      <c r="B6619" s="4" t="str">
        <f>HYPERLINK("https://twitter.com/petrogustavo","@petrogustavo")</f>
        <v>@petrogustavo</v>
      </c>
      <c r="C6619" s="5" t="s">
        <v>16</v>
      </c>
      <c r="D6619" s="5" t="s">
        <v>6418</v>
      </c>
      <c r="E6619" s="6" t="str">
        <f>HYPERLINK("https://twitter.com/petrogustavo/status/1272668984429682692","1272668984429682692")</f>
        <v>1272668984429682692</v>
      </c>
      <c r="F6619" s="7" t="s">
        <v>32</v>
      </c>
      <c r="G6619" s="7">
        <v>3881776</v>
      </c>
      <c r="H6619" s="7">
        <v>2417</v>
      </c>
      <c r="I6619" s="7">
        <v>59</v>
      </c>
      <c r="J6619" s="7">
        <v>138</v>
      </c>
      <c r="K6619" s="7" t="s">
        <v>18</v>
      </c>
      <c r="L6619" s="8">
        <v>39987.315405092595</v>
      </c>
      <c r="M6619" s="9" t="s">
        <v>19</v>
      </c>
      <c r="N6619" s="9" t="s">
        <v>20</v>
      </c>
      <c r="O6619" s="6" t="str">
        <f>HYPERLINK("https://pbs.twimg.com/profile_images/962471262747529216/Uo8lOkRJ_normal.jpg","View")</f>
        <v>View</v>
      </c>
      <c r="P6619" s="7"/>
    </row>
    <row r="6620" spans="1:16">
      <c r="A6620" s="3">
        <v>43998.198969907404</v>
      </c>
      <c r="B6620" s="4" t="str">
        <f>HYPERLINK("https://twitter.com/petrogustavo","@petrogustavo")</f>
        <v>@petrogustavo</v>
      </c>
      <c r="C6620" s="5" t="s">
        <v>16</v>
      </c>
      <c r="D6620" s="5" t="s">
        <v>6419</v>
      </c>
      <c r="E6620" s="6" t="str">
        <f>HYPERLINK("https://twitter.com/petrogustavo/status/1272669344837840896","1272669344837840896")</f>
        <v>1272669344837840896</v>
      </c>
      <c r="F6620" s="7" t="s">
        <v>32</v>
      </c>
      <c r="G6620" s="7">
        <v>3881776</v>
      </c>
      <c r="H6620" s="7">
        <v>2417</v>
      </c>
      <c r="I6620" s="7">
        <v>16</v>
      </c>
      <c r="J6620" s="7">
        <v>31</v>
      </c>
      <c r="K6620" s="7" t="s">
        <v>18</v>
      </c>
      <c r="L6620" s="8">
        <v>39987.315405092595</v>
      </c>
      <c r="M6620" s="9" t="s">
        <v>19</v>
      </c>
      <c r="N6620" s="9" t="s">
        <v>20</v>
      </c>
      <c r="O6620" s="6" t="str">
        <f>HYPERLINK("https://pbs.twimg.com/profile_images/962471262747529216/Uo8lOkRJ_normal.jpg","View")</f>
        <v>View</v>
      </c>
      <c r="P6620" s="7"/>
    </row>
    <row r="6621" spans="1:16">
      <c r="A6621" s="3">
        <v>43998.202280092592</v>
      </c>
      <c r="B6621" s="4" t="str">
        <f>HYPERLINK("https://twitter.com/petrogustavo","@petrogustavo")</f>
        <v>@petrogustavo</v>
      </c>
      <c r="C6621" s="5" t="s">
        <v>16</v>
      </c>
      <c r="D6621" s="5" t="s">
        <v>6420</v>
      </c>
      <c r="E6621" s="6" t="str">
        <f>HYPERLINK("https://twitter.com/petrogustavo/status/1272670546338217985","1272670546338217985")</f>
        <v>1272670546338217985</v>
      </c>
      <c r="F6621" s="7" t="s">
        <v>32</v>
      </c>
      <c r="G6621" s="7">
        <v>3881825</v>
      </c>
      <c r="H6621" s="7">
        <v>2417</v>
      </c>
      <c r="I6621" s="7">
        <v>682</v>
      </c>
      <c r="J6621" s="7">
        <v>2386</v>
      </c>
      <c r="K6621" s="7" t="s">
        <v>18</v>
      </c>
      <c r="L6621" s="8">
        <v>39987.315405092595</v>
      </c>
      <c r="M6621" s="9" t="s">
        <v>19</v>
      </c>
      <c r="N6621" s="9" t="s">
        <v>20</v>
      </c>
      <c r="O6621" s="6" t="str">
        <f>HYPERLINK("https://pbs.twimg.com/profile_images/962471262747529216/Uo8lOkRJ_normal.jpg","View")</f>
        <v>View</v>
      </c>
      <c r="P6621" s="7"/>
    </row>
    <row r="6622" spans="1:16">
      <c r="A6622" s="3">
        <v>43998.202905092592</v>
      </c>
      <c r="B6622" s="4" t="str">
        <f>HYPERLINK("https://twitter.com/petrogustavo","@petrogustavo")</f>
        <v>@petrogustavo</v>
      </c>
      <c r="C6622" s="5" t="s">
        <v>16</v>
      </c>
      <c r="D6622" s="5" t="s">
        <v>6421</v>
      </c>
      <c r="E6622" s="6" t="str">
        <f>HYPERLINK("https://twitter.com/petrogustavo/status/1272670769856872448","1272670769856872448")</f>
        <v>1272670769856872448</v>
      </c>
      <c r="F6622" s="7" t="s">
        <v>32</v>
      </c>
      <c r="G6622" s="7">
        <v>3881825</v>
      </c>
      <c r="H6622" s="7">
        <v>2417</v>
      </c>
      <c r="I6622" s="7">
        <v>323</v>
      </c>
      <c r="J6622" s="7">
        <v>0</v>
      </c>
      <c r="K6622" s="7" t="s">
        <v>18</v>
      </c>
      <c r="L6622" s="8">
        <v>39987.315405092595</v>
      </c>
      <c r="M6622" s="9" t="s">
        <v>19</v>
      </c>
      <c r="N6622" s="9" t="s">
        <v>20</v>
      </c>
      <c r="O6622" s="6" t="str">
        <f>HYPERLINK("https://pbs.twimg.com/profile_images/962471262747529216/Uo8lOkRJ_normal.jpg","View")</f>
        <v>View</v>
      </c>
      <c r="P6622" s="7"/>
    </row>
    <row r="6623" spans="1:16">
      <c r="A6623" s="3">
        <v>43998.229120370372</v>
      </c>
      <c r="B6623" s="4" t="str">
        <f>HYPERLINK("https://twitter.com/petrogustavo","@petrogustavo")</f>
        <v>@petrogustavo</v>
      </c>
      <c r="C6623" s="5" t="s">
        <v>16</v>
      </c>
      <c r="D6623" s="5" t="s">
        <v>6422</v>
      </c>
      <c r="E6623" s="6" t="str">
        <f>HYPERLINK("https://twitter.com/petrogustavo/status/1272680271477964800","1272680271477964800")</f>
        <v>1272680271477964800</v>
      </c>
      <c r="F6623" s="7" t="s">
        <v>17</v>
      </c>
      <c r="G6623" s="7">
        <v>3881831</v>
      </c>
      <c r="H6623" s="7">
        <v>2416</v>
      </c>
      <c r="I6623" s="7">
        <v>123</v>
      </c>
      <c r="J6623" s="7">
        <v>287</v>
      </c>
      <c r="K6623" s="7" t="s">
        <v>18</v>
      </c>
      <c r="L6623" s="8">
        <v>39987.315405092595</v>
      </c>
      <c r="M6623" s="9" t="s">
        <v>19</v>
      </c>
      <c r="N6623" s="9" t="s">
        <v>20</v>
      </c>
      <c r="O6623" s="6" t="str">
        <f>HYPERLINK("https://pbs.twimg.com/profile_images/962471262747529216/Uo8lOkRJ_normal.jpg","View")</f>
        <v>View</v>
      </c>
      <c r="P6623" s="7"/>
    </row>
    <row r="6624" spans="1:16">
      <c r="A6624" s="3">
        <v>43998.236111111109</v>
      </c>
      <c r="B6624" s="4" t="str">
        <f>HYPERLINK("https://twitter.com/petrogustavo","@petrogustavo")</f>
        <v>@petrogustavo</v>
      </c>
      <c r="C6624" s="5" t="s">
        <v>16</v>
      </c>
      <c r="D6624" s="5" t="s">
        <v>6423</v>
      </c>
      <c r="E6624" s="6" t="str">
        <f>HYPERLINK("https://twitter.com/petrogustavo/status/1272682803407314947","1272682803407314947")</f>
        <v>1272682803407314947</v>
      </c>
      <c r="F6624" s="7" t="s">
        <v>17</v>
      </c>
      <c r="G6624" s="7">
        <v>3881831</v>
      </c>
      <c r="H6624" s="7">
        <v>2416</v>
      </c>
      <c r="I6624" s="7">
        <v>92</v>
      </c>
      <c r="J6624" s="7">
        <v>298</v>
      </c>
      <c r="K6624" s="7" t="s">
        <v>18</v>
      </c>
      <c r="L6624" s="8">
        <v>39987.315405092595</v>
      </c>
      <c r="M6624" s="9" t="s">
        <v>19</v>
      </c>
      <c r="N6624" s="9" t="s">
        <v>20</v>
      </c>
      <c r="O6624" s="6" t="str">
        <f>HYPERLINK("https://pbs.twimg.com/profile_images/962471262747529216/Uo8lOkRJ_normal.jpg","View")</f>
        <v>View</v>
      </c>
      <c r="P6624" s="7"/>
    </row>
    <row r="6625" spans="1:16">
      <c r="A6625" s="3">
        <v>43998.24050925926</v>
      </c>
      <c r="B6625" s="4" t="str">
        <f>HYPERLINK("https://twitter.com/petrogustavo","@petrogustavo")</f>
        <v>@petrogustavo</v>
      </c>
      <c r="C6625" s="5" t="s">
        <v>16</v>
      </c>
      <c r="D6625" s="5" t="s">
        <v>6424</v>
      </c>
      <c r="E6625" s="6" t="str">
        <f>HYPERLINK("https://twitter.com/petrogustavo/status/1272684397754548229","1272684397754548229")</f>
        <v>1272684397754548229</v>
      </c>
      <c r="F6625" s="7" t="s">
        <v>17</v>
      </c>
      <c r="G6625" s="7">
        <v>3881831</v>
      </c>
      <c r="H6625" s="7">
        <v>2416</v>
      </c>
      <c r="I6625" s="7">
        <v>56</v>
      </c>
      <c r="J6625" s="7">
        <v>152</v>
      </c>
      <c r="K6625" s="7" t="s">
        <v>18</v>
      </c>
      <c r="L6625" s="8">
        <v>39987.315405092595</v>
      </c>
      <c r="M6625" s="9" t="s">
        <v>19</v>
      </c>
      <c r="N6625" s="9" t="s">
        <v>20</v>
      </c>
      <c r="O6625" s="6" t="str">
        <f>HYPERLINK("https://pbs.twimg.com/profile_images/962471262747529216/Uo8lOkRJ_normal.jpg","View")</f>
        <v>View</v>
      </c>
      <c r="P6625" s="7"/>
    </row>
    <row r="6626" spans="1:16">
      <c r="A6626" s="3">
        <v>43998.244143518517</v>
      </c>
      <c r="B6626" s="4" t="str">
        <f>HYPERLINK("https://twitter.com/petrogustavo","@petrogustavo")</f>
        <v>@petrogustavo</v>
      </c>
      <c r="C6626" s="5" t="s">
        <v>16</v>
      </c>
      <c r="D6626" s="5" t="s">
        <v>6425</v>
      </c>
      <c r="E6626" s="6" t="str">
        <f>HYPERLINK("https://twitter.com/petrogustavo/status/1272685714350706690","1272685714350706690")</f>
        <v>1272685714350706690</v>
      </c>
      <c r="F6626" s="7" t="s">
        <v>17</v>
      </c>
      <c r="G6626" s="7">
        <v>3881892</v>
      </c>
      <c r="H6626" s="7">
        <v>2417</v>
      </c>
      <c r="I6626" s="7">
        <v>342</v>
      </c>
      <c r="J6626" s="7">
        <v>1014</v>
      </c>
      <c r="K6626" s="7" t="s">
        <v>18</v>
      </c>
      <c r="L6626" s="8">
        <v>39987.315405092595</v>
      </c>
      <c r="M6626" s="9" t="s">
        <v>19</v>
      </c>
      <c r="N6626" s="9" t="s">
        <v>20</v>
      </c>
      <c r="O6626" s="6" t="str">
        <f>HYPERLINK("https://pbs.twimg.com/profile_images/962471262747529216/Uo8lOkRJ_normal.jpg","View")</f>
        <v>View</v>
      </c>
      <c r="P6626" s="7"/>
    </row>
    <row r="6627" spans="1:16">
      <c r="A6627" s="3">
        <v>43998.245127314818</v>
      </c>
      <c r="B6627" s="4" t="str">
        <f>HYPERLINK("https://twitter.com/petrogustavo","@petrogustavo")</f>
        <v>@petrogustavo</v>
      </c>
      <c r="C6627" s="5" t="s">
        <v>16</v>
      </c>
      <c r="D6627" s="5" t="s">
        <v>6426</v>
      </c>
      <c r="E6627" s="6" t="str">
        <f>HYPERLINK("https://twitter.com/petrogustavo/status/1272686071088807936","1272686071088807936")</f>
        <v>1272686071088807936</v>
      </c>
      <c r="F6627" s="7" t="s">
        <v>17</v>
      </c>
      <c r="G6627" s="7">
        <v>3881892</v>
      </c>
      <c r="H6627" s="7">
        <v>2417</v>
      </c>
      <c r="I6627" s="7">
        <v>495</v>
      </c>
      <c r="J6627" s="7">
        <v>0</v>
      </c>
      <c r="K6627" s="7" t="s">
        <v>18</v>
      </c>
      <c r="L6627" s="8">
        <v>39987.315405092595</v>
      </c>
      <c r="M6627" s="9" t="s">
        <v>19</v>
      </c>
      <c r="N6627" s="9" t="s">
        <v>20</v>
      </c>
      <c r="O6627" s="6" t="str">
        <f>HYPERLINK("https://pbs.twimg.com/profile_images/962471262747529216/Uo8lOkRJ_normal.jpg","View")</f>
        <v>View</v>
      </c>
      <c r="P6627" s="7"/>
    </row>
    <row r="6628" spans="1:16">
      <c r="A6628" s="3">
        <v>43998.249849537038</v>
      </c>
      <c r="B6628" s="4" t="str">
        <f>HYPERLINK("https://twitter.com/petrogustavo","@petrogustavo")</f>
        <v>@petrogustavo</v>
      </c>
      <c r="C6628" s="5" t="s">
        <v>16</v>
      </c>
      <c r="D6628" s="5" t="s">
        <v>6427</v>
      </c>
      <c r="E6628" s="6" t="str">
        <f>HYPERLINK("https://twitter.com/petrogustavo/status/1272687781089882112","1272687781089882112")</f>
        <v>1272687781089882112</v>
      </c>
      <c r="F6628" s="7" t="s">
        <v>17</v>
      </c>
      <c r="G6628" s="7">
        <v>3881892</v>
      </c>
      <c r="H6628" s="7">
        <v>2417</v>
      </c>
      <c r="I6628" s="7">
        <v>109</v>
      </c>
      <c r="J6628" s="7">
        <v>0</v>
      </c>
      <c r="K6628" s="7" t="s">
        <v>18</v>
      </c>
      <c r="L6628" s="8">
        <v>39987.315405092595</v>
      </c>
      <c r="M6628" s="9" t="s">
        <v>19</v>
      </c>
      <c r="N6628" s="9" t="s">
        <v>20</v>
      </c>
      <c r="O6628" s="6" t="str">
        <f>HYPERLINK("https://pbs.twimg.com/profile_images/962471262747529216/Uo8lOkRJ_normal.jpg","View")</f>
        <v>View</v>
      </c>
      <c r="P6628" s="7"/>
    </row>
    <row r="6629" spans="1:16">
      <c r="A6629" s="3">
        <v>43998.254270833335</v>
      </c>
      <c r="B6629" s="4" t="str">
        <f>HYPERLINK("https://twitter.com/petrogustavo","@petrogustavo")</f>
        <v>@petrogustavo</v>
      </c>
      <c r="C6629" s="5" t="s">
        <v>16</v>
      </c>
      <c r="D6629" s="5" t="s">
        <v>6428</v>
      </c>
      <c r="E6629" s="6" t="str">
        <f>HYPERLINK("https://twitter.com/petrogustavo/status/1272689383808864257","1272689383808864257")</f>
        <v>1272689383808864257</v>
      </c>
      <c r="F6629" s="7" t="s">
        <v>17</v>
      </c>
      <c r="G6629" s="7">
        <v>3881892</v>
      </c>
      <c r="H6629" s="7">
        <v>2417</v>
      </c>
      <c r="I6629" s="7">
        <v>38</v>
      </c>
      <c r="J6629" s="7">
        <v>0</v>
      </c>
      <c r="K6629" s="7" t="s">
        <v>18</v>
      </c>
      <c r="L6629" s="8">
        <v>39987.315405092595</v>
      </c>
      <c r="M6629" s="9" t="s">
        <v>19</v>
      </c>
      <c r="N6629" s="9" t="s">
        <v>20</v>
      </c>
      <c r="O6629" s="6" t="str">
        <f>HYPERLINK("https://pbs.twimg.com/profile_images/962471262747529216/Uo8lOkRJ_normal.jpg","View")</f>
        <v>View</v>
      </c>
      <c r="P6629" s="7"/>
    </row>
    <row r="6630" spans="1:16">
      <c r="A6630" s="3">
        <v>43998.262384259258</v>
      </c>
      <c r="B6630" s="4" t="str">
        <f>HYPERLINK("https://twitter.com/petrogustavo","@petrogustavo")</f>
        <v>@petrogustavo</v>
      </c>
      <c r="C6630" s="5" t="s">
        <v>16</v>
      </c>
      <c r="D6630" s="5" t="s">
        <v>6429</v>
      </c>
      <c r="E6630" s="6" t="str">
        <f>HYPERLINK("https://twitter.com/petrogustavo/status/1272692323927941120","1272692323927941120")</f>
        <v>1272692323927941120</v>
      </c>
      <c r="F6630" s="7" t="s">
        <v>17</v>
      </c>
      <c r="G6630" s="7">
        <v>3881892</v>
      </c>
      <c r="H6630" s="7">
        <v>2417</v>
      </c>
      <c r="I6630" s="7">
        <v>0</v>
      </c>
      <c r="J6630" s="7">
        <v>0</v>
      </c>
      <c r="K6630" s="7" t="s">
        <v>18</v>
      </c>
      <c r="L6630" s="8">
        <v>39987.315405092595</v>
      </c>
      <c r="M6630" s="9" t="s">
        <v>19</v>
      </c>
      <c r="N6630" s="9" t="s">
        <v>20</v>
      </c>
      <c r="O6630" s="6" t="str">
        <f>HYPERLINK("https://pbs.twimg.com/profile_images/962471262747529216/Uo8lOkRJ_normal.jpg","View")</f>
        <v>View</v>
      </c>
      <c r="P6630" s="7"/>
    </row>
    <row r="6631" spans="1:16">
      <c r="A6631" s="3">
        <v>43998.266527777778</v>
      </c>
      <c r="B6631" s="4" t="str">
        <f>HYPERLINK("https://twitter.com/petrogustavo","@petrogustavo")</f>
        <v>@petrogustavo</v>
      </c>
      <c r="C6631" s="5" t="s">
        <v>16</v>
      </c>
      <c r="D6631" s="5" t="s">
        <v>6430</v>
      </c>
      <c r="E6631" s="6" t="str">
        <f>HYPERLINK("https://twitter.com/petrogustavo/status/1272693826331774976","1272693826331774976")</f>
        <v>1272693826331774976</v>
      </c>
      <c r="F6631" s="7" t="s">
        <v>17</v>
      </c>
      <c r="G6631" s="7">
        <v>3881954</v>
      </c>
      <c r="H6631" s="7">
        <v>2417</v>
      </c>
      <c r="I6631" s="7">
        <v>49</v>
      </c>
      <c r="J6631" s="7">
        <v>107</v>
      </c>
      <c r="K6631" s="7" t="s">
        <v>18</v>
      </c>
      <c r="L6631" s="8">
        <v>39987.315405092595</v>
      </c>
      <c r="M6631" s="9" t="s">
        <v>19</v>
      </c>
      <c r="N6631" s="9" t="s">
        <v>20</v>
      </c>
      <c r="O6631" s="6" t="str">
        <f>HYPERLINK("https://pbs.twimg.com/profile_images/962471262747529216/Uo8lOkRJ_normal.jpg","View")</f>
        <v>View</v>
      </c>
      <c r="P6631" s="7"/>
    </row>
    <row r="6632" spans="1:16">
      <c r="A6632" s="3">
        <v>43998.269085648149</v>
      </c>
      <c r="B6632" s="4" t="str">
        <f>HYPERLINK("https://twitter.com/petrogustavo","@petrogustavo")</f>
        <v>@petrogustavo</v>
      </c>
      <c r="C6632" s="5" t="s">
        <v>16</v>
      </c>
      <c r="D6632" s="5" t="s">
        <v>6431</v>
      </c>
      <c r="E6632" s="6" t="str">
        <f>HYPERLINK("https://twitter.com/petrogustavo/status/1272694752593563648","1272694752593563648")</f>
        <v>1272694752593563648</v>
      </c>
      <c r="F6632" s="7" t="s">
        <v>17</v>
      </c>
      <c r="G6632" s="7">
        <v>3881954</v>
      </c>
      <c r="H6632" s="7">
        <v>2417</v>
      </c>
      <c r="I6632" s="7">
        <v>452</v>
      </c>
      <c r="J6632" s="7">
        <v>0</v>
      </c>
      <c r="K6632" s="7" t="s">
        <v>18</v>
      </c>
      <c r="L6632" s="8">
        <v>39987.315405092595</v>
      </c>
      <c r="M6632" s="9" t="s">
        <v>19</v>
      </c>
      <c r="N6632" s="9" t="s">
        <v>20</v>
      </c>
      <c r="O6632" s="6" t="str">
        <f>HYPERLINK("https://pbs.twimg.com/profile_images/962471262747529216/Uo8lOkRJ_normal.jpg","View")</f>
        <v>View</v>
      </c>
      <c r="P6632" s="7"/>
    </row>
    <row r="6633" spans="1:16">
      <c r="A6633" s="3">
        <v>43998.281944444447</v>
      </c>
      <c r="B6633" s="4" t="str">
        <f>HYPERLINK("https://twitter.com/petrogustavo","@petrogustavo")</f>
        <v>@petrogustavo</v>
      </c>
      <c r="C6633" s="5" t="s">
        <v>16</v>
      </c>
      <c r="D6633" s="5" t="s">
        <v>6432</v>
      </c>
      <c r="E6633" s="6" t="str">
        <f>HYPERLINK("https://twitter.com/petrogustavo/status/1272699414239416320","1272699414239416320")</f>
        <v>1272699414239416320</v>
      </c>
      <c r="F6633" s="7" t="s">
        <v>17</v>
      </c>
      <c r="G6633" s="7">
        <v>3881954</v>
      </c>
      <c r="H6633" s="7">
        <v>2417</v>
      </c>
      <c r="I6633" s="7">
        <v>1206</v>
      </c>
      <c r="J6633" s="7">
        <v>0</v>
      </c>
      <c r="K6633" s="7" t="s">
        <v>18</v>
      </c>
      <c r="L6633" s="8">
        <v>39987.315405092595</v>
      </c>
      <c r="M6633" s="9" t="s">
        <v>19</v>
      </c>
      <c r="N6633" s="9" t="s">
        <v>20</v>
      </c>
      <c r="O6633" s="6" t="str">
        <f>HYPERLINK("https://pbs.twimg.com/profile_images/962471262747529216/Uo8lOkRJ_normal.jpg","View")</f>
        <v>View</v>
      </c>
      <c r="P6633" s="7"/>
    </row>
    <row r="6634" spans="1:16">
      <c r="A6634" s="3">
        <v>43998.283912037034</v>
      </c>
      <c r="B6634" s="4" t="str">
        <f>HYPERLINK("https://twitter.com/petrogustavo","@petrogustavo")</f>
        <v>@petrogustavo</v>
      </c>
      <c r="C6634" s="5" t="s">
        <v>16</v>
      </c>
      <c r="D6634" s="5" t="s">
        <v>6433</v>
      </c>
      <c r="E6634" s="6" t="str">
        <f>HYPERLINK("https://twitter.com/petrogustavo/status/1272700128533626881","1272700128533626881")</f>
        <v>1272700128533626881</v>
      </c>
      <c r="F6634" s="7" t="s">
        <v>17</v>
      </c>
      <c r="G6634" s="7">
        <v>3882040</v>
      </c>
      <c r="H6634" s="7">
        <v>2417</v>
      </c>
      <c r="I6634" s="7">
        <v>107</v>
      </c>
      <c r="J6634" s="7">
        <v>223</v>
      </c>
      <c r="K6634" s="7" t="s">
        <v>18</v>
      </c>
      <c r="L6634" s="8">
        <v>39987.315405092595</v>
      </c>
      <c r="M6634" s="9" t="s">
        <v>19</v>
      </c>
      <c r="N6634" s="9" t="s">
        <v>20</v>
      </c>
      <c r="O6634" s="6" t="str">
        <f>HYPERLINK("https://pbs.twimg.com/profile_images/962471262747529216/Uo8lOkRJ_normal.jpg","View")</f>
        <v>View</v>
      </c>
      <c r="P6634" s="7"/>
    </row>
    <row r="6635" spans="1:16">
      <c r="A6635" s="3">
        <v>43998.286458333328</v>
      </c>
      <c r="B6635" s="4" t="str">
        <f>HYPERLINK("https://twitter.com/petrogustavo","@petrogustavo")</f>
        <v>@petrogustavo</v>
      </c>
      <c r="C6635" s="5" t="s">
        <v>16</v>
      </c>
      <c r="D6635" s="5" t="s">
        <v>6434</v>
      </c>
      <c r="E6635" s="6" t="str">
        <f>HYPERLINK("https://twitter.com/petrogustavo/status/1272701047698526209","1272701047698526209")</f>
        <v>1272701047698526209</v>
      </c>
      <c r="F6635" s="7" t="s">
        <v>17</v>
      </c>
      <c r="G6635" s="7">
        <v>3882040</v>
      </c>
      <c r="H6635" s="7">
        <v>2417</v>
      </c>
      <c r="I6635" s="7">
        <v>336</v>
      </c>
      <c r="J6635" s="7">
        <v>765</v>
      </c>
      <c r="K6635" s="7" t="s">
        <v>18</v>
      </c>
      <c r="L6635" s="8">
        <v>39987.315405092595</v>
      </c>
      <c r="M6635" s="9" t="s">
        <v>19</v>
      </c>
      <c r="N6635" s="9" t="s">
        <v>20</v>
      </c>
      <c r="O6635" s="6" t="str">
        <f>HYPERLINK("https://pbs.twimg.com/profile_images/962471262747529216/Uo8lOkRJ_normal.jpg","View")</f>
        <v>View</v>
      </c>
      <c r="P6635" s="7"/>
    </row>
    <row r="6636" spans="1:16">
      <c r="A6636" s="3">
        <v>43998.288159722222</v>
      </c>
      <c r="B6636" s="4" t="str">
        <f>HYPERLINK("https://twitter.com/petrogustavo","@petrogustavo")</f>
        <v>@petrogustavo</v>
      </c>
      <c r="C6636" s="5" t="s">
        <v>16</v>
      </c>
      <c r="D6636" s="5" t="s">
        <v>6435</v>
      </c>
      <c r="E6636" s="6" t="str">
        <f>HYPERLINK("https://twitter.com/petrogustavo/status/1272701666500976640","1272701666500976640")</f>
        <v>1272701666500976640</v>
      </c>
      <c r="F6636" s="7" t="s">
        <v>17</v>
      </c>
      <c r="G6636" s="7">
        <v>3882040</v>
      </c>
      <c r="H6636" s="7">
        <v>2417</v>
      </c>
      <c r="I6636" s="7">
        <v>76</v>
      </c>
      <c r="J6636" s="7">
        <v>0</v>
      </c>
      <c r="K6636" s="7" t="s">
        <v>18</v>
      </c>
      <c r="L6636" s="8">
        <v>39987.315405092595</v>
      </c>
      <c r="M6636" s="9" t="s">
        <v>19</v>
      </c>
      <c r="N6636" s="9" t="s">
        <v>20</v>
      </c>
      <c r="O6636" s="6" t="str">
        <f>HYPERLINK("https://pbs.twimg.com/profile_images/962471262747529216/Uo8lOkRJ_normal.jpg","View")</f>
        <v>View</v>
      </c>
      <c r="P6636" s="7"/>
    </row>
    <row r="6637" spans="1:16">
      <c r="A6637" s="3">
        <v>43998.295671296291</v>
      </c>
      <c r="B6637" s="4" t="str">
        <f>HYPERLINK("https://twitter.com/petrogustavo","@petrogustavo")</f>
        <v>@petrogustavo</v>
      </c>
      <c r="C6637" s="5" t="s">
        <v>16</v>
      </c>
      <c r="D6637" s="5" t="s">
        <v>6436</v>
      </c>
      <c r="E6637" s="6" t="str">
        <f>HYPERLINK("https://twitter.com/petrogustavo/status/1272704388558139392","1272704388558139392")</f>
        <v>1272704388558139392</v>
      </c>
      <c r="F6637" s="7" t="s">
        <v>17</v>
      </c>
      <c r="G6637" s="7">
        <v>3882040</v>
      </c>
      <c r="H6637" s="7">
        <v>2417</v>
      </c>
      <c r="I6637" s="7">
        <v>209</v>
      </c>
      <c r="J6637" s="7">
        <v>540</v>
      </c>
      <c r="K6637" s="7" t="s">
        <v>18</v>
      </c>
      <c r="L6637" s="8">
        <v>39987.315405092595</v>
      </c>
      <c r="M6637" s="9" t="s">
        <v>19</v>
      </c>
      <c r="N6637" s="9" t="s">
        <v>20</v>
      </c>
      <c r="O6637" s="6" t="str">
        <f>HYPERLINK("https://pbs.twimg.com/profile_images/962471262747529216/Uo8lOkRJ_normal.jpg","View")</f>
        <v>View</v>
      </c>
      <c r="P6637" s="7"/>
    </row>
    <row r="6638" spans="1:16">
      <c r="A6638" s="3">
        <v>43998.298703703702</v>
      </c>
      <c r="B6638" s="4" t="str">
        <f>HYPERLINK("https://twitter.com/petrogustavo","@petrogustavo")</f>
        <v>@petrogustavo</v>
      </c>
      <c r="C6638" s="5" t="s">
        <v>16</v>
      </c>
      <c r="D6638" s="5" t="s">
        <v>6437</v>
      </c>
      <c r="E6638" s="6" t="str">
        <f>HYPERLINK("https://twitter.com/petrogustavo/status/1272705488074018816","1272705488074018816")</f>
        <v>1272705488074018816</v>
      </c>
      <c r="F6638" s="7" t="s">
        <v>17</v>
      </c>
      <c r="G6638" s="7">
        <v>3882040</v>
      </c>
      <c r="H6638" s="7">
        <v>2417</v>
      </c>
      <c r="I6638" s="7">
        <v>120</v>
      </c>
      <c r="J6638" s="7">
        <v>0</v>
      </c>
      <c r="K6638" s="7" t="s">
        <v>18</v>
      </c>
      <c r="L6638" s="8">
        <v>39987.315405092595</v>
      </c>
      <c r="M6638" s="9" t="s">
        <v>19</v>
      </c>
      <c r="N6638" s="9" t="s">
        <v>20</v>
      </c>
      <c r="O6638" s="6" t="str">
        <f>HYPERLINK("https://pbs.twimg.com/profile_images/962471262747529216/Uo8lOkRJ_normal.jpg","View")</f>
        <v>View</v>
      </c>
      <c r="P6638" s="7"/>
    </row>
    <row r="6639" spans="1:16">
      <c r="A6639" s="3">
        <v>43998.305034722223</v>
      </c>
      <c r="B6639" s="4" t="str">
        <f>HYPERLINK("https://twitter.com/petrogustavo","@petrogustavo")</f>
        <v>@petrogustavo</v>
      </c>
      <c r="C6639" s="5" t="s">
        <v>16</v>
      </c>
      <c r="D6639" s="5" t="s">
        <v>6438</v>
      </c>
      <c r="E6639" s="6" t="str">
        <f>HYPERLINK("https://twitter.com/petrogustavo/status/1272707780101787648","1272707780101787648")</f>
        <v>1272707780101787648</v>
      </c>
      <c r="F6639" s="7" t="s">
        <v>17</v>
      </c>
      <c r="G6639" s="7">
        <v>3882056</v>
      </c>
      <c r="H6639" s="7">
        <v>2419</v>
      </c>
      <c r="I6639" s="7">
        <v>151</v>
      </c>
      <c r="J6639" s="7">
        <v>345</v>
      </c>
      <c r="K6639" s="7" t="s">
        <v>18</v>
      </c>
      <c r="L6639" s="8">
        <v>39987.315405092595</v>
      </c>
      <c r="M6639" s="9" t="s">
        <v>19</v>
      </c>
      <c r="N6639" s="9" t="s">
        <v>20</v>
      </c>
      <c r="O6639" s="6" t="str">
        <f>HYPERLINK("https://pbs.twimg.com/profile_images/962471262747529216/Uo8lOkRJ_normal.jpg","View")</f>
        <v>View</v>
      </c>
      <c r="P6639" s="7"/>
    </row>
    <row r="6640" spans="1:16">
      <c r="A6640" s="3">
        <v>43998.31454861111</v>
      </c>
      <c r="B6640" s="4" t="str">
        <f>HYPERLINK("https://twitter.com/petrogustavo","@petrogustavo")</f>
        <v>@petrogustavo</v>
      </c>
      <c r="C6640" s="5" t="s">
        <v>16</v>
      </c>
      <c r="D6640" s="5" t="s">
        <v>6439</v>
      </c>
      <c r="E6640" s="6" t="str">
        <f>HYPERLINK("https://twitter.com/petrogustavo/status/1272711230181031942","1272711230181031942")</f>
        <v>1272711230181031942</v>
      </c>
      <c r="F6640" s="7" t="s">
        <v>17</v>
      </c>
      <c r="G6640" s="7">
        <v>3882056</v>
      </c>
      <c r="H6640" s="7">
        <v>2419</v>
      </c>
      <c r="I6640" s="7">
        <v>178</v>
      </c>
      <c r="J6640" s="7">
        <v>334</v>
      </c>
      <c r="K6640" s="7" t="s">
        <v>18</v>
      </c>
      <c r="L6640" s="8">
        <v>39987.315405092595</v>
      </c>
      <c r="M6640" s="9" t="s">
        <v>19</v>
      </c>
      <c r="N6640" s="9" t="s">
        <v>20</v>
      </c>
      <c r="O6640" s="6" t="str">
        <f>HYPERLINK("https://pbs.twimg.com/profile_images/962471262747529216/Uo8lOkRJ_normal.jpg","View")</f>
        <v>View</v>
      </c>
      <c r="P6640" s="7"/>
    </row>
    <row r="6641" spans="1:16">
      <c r="A6641" s="3">
        <v>43998.31627314815</v>
      </c>
      <c r="B6641" s="4" t="str">
        <f>HYPERLINK("https://twitter.com/petrogustavo","@petrogustavo")</f>
        <v>@petrogustavo</v>
      </c>
      <c r="C6641" s="5" t="s">
        <v>16</v>
      </c>
      <c r="D6641" s="5" t="s">
        <v>6440</v>
      </c>
      <c r="E6641" s="6" t="str">
        <f>HYPERLINK("https://twitter.com/petrogustavo/status/1272711855224623105","1272711855224623105")</f>
        <v>1272711855224623105</v>
      </c>
      <c r="F6641" s="7" t="s">
        <v>17</v>
      </c>
      <c r="G6641" s="7">
        <v>3882056</v>
      </c>
      <c r="H6641" s="7">
        <v>2419</v>
      </c>
      <c r="I6641" s="7">
        <v>158</v>
      </c>
      <c r="J6641" s="7">
        <v>617</v>
      </c>
      <c r="K6641" s="7" t="s">
        <v>18</v>
      </c>
      <c r="L6641" s="8">
        <v>39987.315405092595</v>
      </c>
      <c r="M6641" s="9" t="s">
        <v>19</v>
      </c>
      <c r="N6641" s="9" t="s">
        <v>20</v>
      </c>
      <c r="O6641" s="6" t="str">
        <f>HYPERLINK("https://pbs.twimg.com/profile_images/962471262747529216/Uo8lOkRJ_normal.jpg","View")</f>
        <v>View</v>
      </c>
      <c r="P6641" s="7"/>
    </row>
    <row r="6642" spans="1:16">
      <c r="A6642" s="3">
        <v>43998.316550925927</v>
      </c>
      <c r="B6642" s="4" t="str">
        <f>HYPERLINK("https://twitter.com/petrogustavo","@petrogustavo")</f>
        <v>@petrogustavo</v>
      </c>
      <c r="C6642" s="5" t="s">
        <v>16</v>
      </c>
      <c r="D6642" s="5" t="s">
        <v>6441</v>
      </c>
      <c r="E6642" s="6" t="str">
        <f>HYPERLINK("https://twitter.com/petrogustavo/status/1272711956055670784","1272711956055670784")</f>
        <v>1272711956055670784</v>
      </c>
      <c r="F6642" s="7" t="s">
        <v>17</v>
      </c>
      <c r="G6642" s="7">
        <v>3882056</v>
      </c>
      <c r="H6642" s="7">
        <v>2419</v>
      </c>
      <c r="I6642" s="7">
        <v>178</v>
      </c>
      <c r="J6642" s="7">
        <v>0</v>
      </c>
      <c r="K6642" s="7" t="s">
        <v>18</v>
      </c>
      <c r="L6642" s="8">
        <v>39987.315405092595</v>
      </c>
      <c r="M6642" s="9" t="s">
        <v>19</v>
      </c>
      <c r="N6642" s="9" t="s">
        <v>20</v>
      </c>
      <c r="O6642" s="6" t="str">
        <f>HYPERLINK("https://pbs.twimg.com/profile_images/962471262747529216/Uo8lOkRJ_normal.jpg","View")</f>
        <v>View</v>
      </c>
      <c r="P6642" s="7"/>
    </row>
    <row r="6643" spans="1:16">
      <c r="A6643" s="3">
        <v>43998.317303240736</v>
      </c>
      <c r="B6643" s="4" t="str">
        <f>HYPERLINK("https://twitter.com/petrogustavo","@petrogustavo")</f>
        <v>@petrogustavo</v>
      </c>
      <c r="C6643" s="5" t="s">
        <v>16</v>
      </c>
      <c r="D6643" s="5" t="s">
        <v>6442</v>
      </c>
      <c r="E6643" s="6" t="str">
        <f>HYPERLINK("https://twitter.com/petrogustavo/status/1272712227611705347","1272712227611705347")</f>
        <v>1272712227611705347</v>
      </c>
      <c r="F6643" s="7" t="s">
        <v>17</v>
      </c>
      <c r="G6643" s="7">
        <v>3882056</v>
      </c>
      <c r="H6643" s="7">
        <v>2419</v>
      </c>
      <c r="I6643" s="7">
        <v>97</v>
      </c>
      <c r="J6643" s="7">
        <v>0</v>
      </c>
      <c r="K6643" s="7" t="s">
        <v>18</v>
      </c>
      <c r="L6643" s="8">
        <v>39987.315405092595</v>
      </c>
      <c r="M6643" s="9" t="s">
        <v>19</v>
      </c>
      <c r="N6643" s="9" t="s">
        <v>20</v>
      </c>
      <c r="O6643" s="6" t="str">
        <f>HYPERLINK("https://pbs.twimg.com/profile_images/962471262747529216/Uo8lOkRJ_normal.jpg","View")</f>
        <v>View</v>
      </c>
      <c r="P6643" s="7"/>
    </row>
    <row r="6644" spans="1:16">
      <c r="A6644" s="3">
        <v>43998.319594907407</v>
      </c>
      <c r="B6644" s="4" t="str">
        <f>HYPERLINK("https://twitter.com/petrogustavo","@petrogustavo")</f>
        <v>@petrogustavo</v>
      </c>
      <c r="C6644" s="5" t="s">
        <v>16</v>
      </c>
      <c r="D6644" s="5" t="s">
        <v>6443</v>
      </c>
      <c r="E6644" s="6" t="str">
        <f>HYPERLINK("https://twitter.com/petrogustavo/status/1272713059019169793","1272713059019169793")</f>
        <v>1272713059019169793</v>
      </c>
      <c r="F6644" s="7" t="s">
        <v>17</v>
      </c>
      <c r="G6644" s="7">
        <v>3882056</v>
      </c>
      <c r="H6644" s="7">
        <v>2419</v>
      </c>
      <c r="I6644" s="7">
        <v>73</v>
      </c>
      <c r="J6644" s="7">
        <v>0</v>
      </c>
      <c r="K6644" s="7" t="s">
        <v>18</v>
      </c>
      <c r="L6644" s="8">
        <v>39987.315405092595</v>
      </c>
      <c r="M6644" s="9" t="s">
        <v>19</v>
      </c>
      <c r="N6644" s="9" t="s">
        <v>20</v>
      </c>
      <c r="O6644" s="6" t="str">
        <f>HYPERLINK("https://pbs.twimg.com/profile_images/962471262747529216/Uo8lOkRJ_normal.jpg","View")</f>
        <v>View</v>
      </c>
      <c r="P6644" s="7"/>
    </row>
    <row r="6645" spans="1:16">
      <c r="A6645" s="3">
        <v>43998.322777777779</v>
      </c>
      <c r="B6645" s="4" t="str">
        <f>HYPERLINK("https://twitter.com/petrogustavo","@petrogustavo")</f>
        <v>@petrogustavo</v>
      </c>
      <c r="C6645" s="5" t="s">
        <v>16</v>
      </c>
      <c r="D6645" s="5" t="s">
        <v>6444</v>
      </c>
      <c r="E6645" s="6" t="str">
        <f>HYPERLINK("https://twitter.com/petrogustavo/status/1272714210598928389","1272714210598928389")</f>
        <v>1272714210598928389</v>
      </c>
      <c r="F6645" s="7" t="s">
        <v>17</v>
      </c>
      <c r="G6645" s="7">
        <v>3882056</v>
      </c>
      <c r="H6645" s="7">
        <v>2419</v>
      </c>
      <c r="I6645" s="7">
        <v>63</v>
      </c>
      <c r="J6645" s="7">
        <v>137</v>
      </c>
      <c r="K6645" s="7" t="s">
        <v>18</v>
      </c>
      <c r="L6645" s="8">
        <v>39987.315405092595</v>
      </c>
      <c r="M6645" s="9" t="s">
        <v>19</v>
      </c>
      <c r="N6645" s="9" t="s">
        <v>20</v>
      </c>
      <c r="O6645" s="6" t="str">
        <f>HYPERLINK("https://pbs.twimg.com/profile_images/962471262747529216/Uo8lOkRJ_normal.jpg","View")</f>
        <v>View</v>
      </c>
      <c r="P6645" s="7"/>
    </row>
    <row r="6646" spans="1:16">
      <c r="A6646" s="3">
        <v>43998.325416666667</v>
      </c>
      <c r="B6646" s="4" t="str">
        <f>HYPERLINK("https://twitter.com/petrogustavo","@petrogustavo")</f>
        <v>@petrogustavo</v>
      </c>
      <c r="C6646" s="5" t="s">
        <v>16</v>
      </c>
      <c r="D6646" s="5" t="s">
        <v>6441</v>
      </c>
      <c r="E6646" s="6" t="str">
        <f>HYPERLINK("https://twitter.com/petrogustavo/status/1272715167307104257","1272715167307104257")</f>
        <v>1272715167307104257</v>
      </c>
      <c r="F6646" s="7" t="s">
        <v>17</v>
      </c>
      <c r="G6646" s="7">
        <v>3882118</v>
      </c>
      <c r="H6646" s="7">
        <v>2419</v>
      </c>
      <c r="I6646" s="7">
        <v>317</v>
      </c>
      <c r="J6646" s="7">
        <v>0</v>
      </c>
      <c r="K6646" s="7" t="s">
        <v>18</v>
      </c>
      <c r="L6646" s="8">
        <v>39987.315405092595</v>
      </c>
      <c r="M6646" s="9" t="s">
        <v>19</v>
      </c>
      <c r="N6646" s="9" t="s">
        <v>20</v>
      </c>
      <c r="O6646" s="6" t="str">
        <f>HYPERLINK("https://pbs.twimg.com/profile_images/962471262747529216/Uo8lOkRJ_normal.jpg","View")</f>
        <v>View</v>
      </c>
      <c r="P6646" s="7"/>
    </row>
    <row r="6647" spans="1:16">
      <c r="A6647" s="3">
        <v>43998.328055555554</v>
      </c>
      <c r="B6647" s="4" t="str">
        <f>HYPERLINK("https://twitter.com/petrogustavo","@petrogustavo")</f>
        <v>@petrogustavo</v>
      </c>
      <c r="C6647" s="5" t="s">
        <v>16</v>
      </c>
      <c r="D6647" s="5" t="s">
        <v>6445</v>
      </c>
      <c r="E6647" s="6" t="str">
        <f>HYPERLINK("https://twitter.com/petrogustavo/status/1272716124375912448","1272716124375912448")</f>
        <v>1272716124375912448</v>
      </c>
      <c r="F6647" s="7" t="s">
        <v>17</v>
      </c>
      <c r="G6647" s="7">
        <v>3882118</v>
      </c>
      <c r="H6647" s="7">
        <v>2419</v>
      </c>
      <c r="I6647" s="7">
        <v>2024</v>
      </c>
      <c r="J6647" s="7">
        <v>0</v>
      </c>
      <c r="K6647" s="7" t="s">
        <v>18</v>
      </c>
      <c r="L6647" s="8">
        <v>39987.315405092595</v>
      </c>
      <c r="M6647" s="9" t="s">
        <v>19</v>
      </c>
      <c r="N6647" s="9" t="s">
        <v>20</v>
      </c>
      <c r="O6647" s="6" t="str">
        <f>HYPERLINK("https://pbs.twimg.com/profile_images/962471262747529216/Uo8lOkRJ_normal.jpg","View")</f>
        <v>View</v>
      </c>
      <c r="P6647" s="7"/>
    </row>
    <row r="6648" spans="1:16">
      <c r="A6648" s="3">
        <v>43998.33222222222</v>
      </c>
      <c r="B6648" s="4" t="str">
        <f>HYPERLINK("https://twitter.com/petrogustavo","@petrogustavo")</f>
        <v>@petrogustavo</v>
      </c>
      <c r="C6648" s="5" t="s">
        <v>16</v>
      </c>
      <c r="D6648" s="5" t="s">
        <v>6446</v>
      </c>
      <c r="E6648" s="6" t="str">
        <f>HYPERLINK("https://twitter.com/petrogustavo/status/1272717632760922113","1272717632760922113")</f>
        <v>1272717632760922113</v>
      </c>
      <c r="F6648" s="7" t="s">
        <v>17</v>
      </c>
      <c r="G6648" s="7">
        <v>3882118</v>
      </c>
      <c r="H6648" s="7">
        <v>2419</v>
      </c>
      <c r="I6648" s="7">
        <v>214</v>
      </c>
      <c r="J6648" s="7">
        <v>639</v>
      </c>
      <c r="K6648" s="7" t="s">
        <v>18</v>
      </c>
      <c r="L6648" s="8">
        <v>39987.315405092595</v>
      </c>
      <c r="M6648" s="9" t="s">
        <v>19</v>
      </c>
      <c r="N6648" s="9" t="s">
        <v>20</v>
      </c>
      <c r="O6648" s="6" t="str">
        <f>HYPERLINK("https://pbs.twimg.com/profile_images/962471262747529216/Uo8lOkRJ_normal.jpg","View")</f>
        <v>View</v>
      </c>
      <c r="P6648" s="7"/>
    </row>
    <row r="6649" spans="1:16">
      <c r="A6649" s="3">
        <v>43998.725497685184</v>
      </c>
      <c r="B6649" s="4" t="str">
        <f>HYPERLINK("https://twitter.com/petrogustavo","@petrogustavo")</f>
        <v>@petrogustavo</v>
      </c>
      <c r="C6649" s="5" t="s">
        <v>16</v>
      </c>
      <c r="D6649" s="5" t="s">
        <v>6447</v>
      </c>
      <c r="E6649" s="6" t="str">
        <f>HYPERLINK("https://twitter.com/petrogustavo/status/1272860151561834497","1272860151561834497")</f>
        <v>1272860151561834497</v>
      </c>
      <c r="F6649" s="7" t="s">
        <v>17</v>
      </c>
      <c r="G6649" s="7">
        <v>3882572</v>
      </c>
      <c r="H6649" s="7">
        <v>2419</v>
      </c>
      <c r="I6649" s="7">
        <v>121</v>
      </c>
      <c r="J6649" s="7">
        <v>360</v>
      </c>
      <c r="K6649" s="7" t="s">
        <v>18</v>
      </c>
      <c r="L6649" s="8">
        <v>39987.315405092595</v>
      </c>
      <c r="M6649" s="9" t="s">
        <v>19</v>
      </c>
      <c r="N6649" s="9" t="s">
        <v>20</v>
      </c>
      <c r="O6649" s="6" t="str">
        <f>HYPERLINK("https://pbs.twimg.com/profile_images/962471262747529216/Uo8lOkRJ_normal.jpg","View")</f>
        <v>View</v>
      </c>
      <c r="P6649" s="7"/>
    </row>
    <row r="6650" spans="1:16">
      <c r="A6650" s="3">
        <v>43998.729039351849</v>
      </c>
      <c r="B6650" s="4" t="str">
        <f>HYPERLINK("https://twitter.com/petrogustavo","@petrogustavo")</f>
        <v>@petrogustavo</v>
      </c>
      <c r="C6650" s="5" t="s">
        <v>16</v>
      </c>
      <c r="D6650" s="5" t="s">
        <v>6448</v>
      </c>
      <c r="E6650" s="6" t="str">
        <f>HYPERLINK("https://twitter.com/petrogustavo/status/1272861435383689225","1272861435383689225")</f>
        <v>1272861435383689225</v>
      </c>
      <c r="F6650" s="7" t="s">
        <v>17</v>
      </c>
      <c r="G6650" s="7">
        <v>3882572</v>
      </c>
      <c r="H6650" s="7">
        <v>2419</v>
      </c>
      <c r="I6650" s="7">
        <v>50</v>
      </c>
      <c r="J6650" s="7">
        <v>100</v>
      </c>
      <c r="K6650" s="7" t="s">
        <v>18</v>
      </c>
      <c r="L6650" s="8">
        <v>39987.315405092595</v>
      </c>
      <c r="M6650" s="9" t="s">
        <v>19</v>
      </c>
      <c r="N6650" s="9" t="s">
        <v>20</v>
      </c>
      <c r="O6650" s="6" t="str">
        <f>HYPERLINK("https://pbs.twimg.com/profile_images/962471262747529216/Uo8lOkRJ_normal.jpg","View")</f>
        <v>View</v>
      </c>
      <c r="P6650" s="7"/>
    </row>
    <row r="6651" spans="1:16">
      <c r="A6651" s="3">
        <v>43998.732662037037</v>
      </c>
      <c r="B6651" s="4" t="str">
        <f>HYPERLINK("https://twitter.com/petrogustavo","@petrogustavo")</f>
        <v>@petrogustavo</v>
      </c>
      <c r="C6651" s="5" t="s">
        <v>16</v>
      </c>
      <c r="D6651" s="5" t="s">
        <v>6449</v>
      </c>
      <c r="E6651" s="6" t="str">
        <f>HYPERLINK("https://twitter.com/petrogustavo/status/1272862746229518336","1272862746229518336")</f>
        <v>1272862746229518336</v>
      </c>
      <c r="F6651" s="7" t="s">
        <v>17</v>
      </c>
      <c r="G6651" s="7">
        <v>3882572</v>
      </c>
      <c r="H6651" s="7">
        <v>2419</v>
      </c>
      <c r="I6651" s="7">
        <v>71</v>
      </c>
      <c r="J6651" s="7">
        <v>248</v>
      </c>
      <c r="K6651" s="7" t="s">
        <v>18</v>
      </c>
      <c r="L6651" s="8">
        <v>39987.315405092595</v>
      </c>
      <c r="M6651" s="9" t="s">
        <v>19</v>
      </c>
      <c r="N6651" s="9" t="s">
        <v>20</v>
      </c>
      <c r="O6651" s="6" t="str">
        <f>HYPERLINK("https://pbs.twimg.com/profile_images/962471262747529216/Uo8lOkRJ_normal.jpg","View")</f>
        <v>View</v>
      </c>
      <c r="P6651" s="7"/>
    </row>
    <row r="6652" spans="1:16">
      <c r="A6652" s="3">
        <v>43998.740266203706</v>
      </c>
      <c r="B6652" s="4" t="str">
        <f>HYPERLINK("https://twitter.com/petrogustavo","@petrogustavo")</f>
        <v>@petrogustavo</v>
      </c>
      <c r="C6652" s="5" t="s">
        <v>16</v>
      </c>
      <c r="D6652" s="5" t="s">
        <v>6450</v>
      </c>
      <c r="E6652" s="6" t="str">
        <f>HYPERLINK("https://twitter.com/petrogustavo/status/1272865505611784193","1272865505611784193")</f>
        <v>1272865505611784193</v>
      </c>
      <c r="F6652" s="7" t="s">
        <v>17</v>
      </c>
      <c r="G6652" s="7">
        <v>3882572</v>
      </c>
      <c r="H6652" s="7">
        <v>2419</v>
      </c>
      <c r="I6652" s="7">
        <v>12</v>
      </c>
      <c r="J6652" s="7">
        <v>17</v>
      </c>
      <c r="K6652" s="7" t="s">
        <v>18</v>
      </c>
      <c r="L6652" s="8">
        <v>39987.315405092595</v>
      </c>
      <c r="M6652" s="9" t="s">
        <v>19</v>
      </c>
      <c r="N6652" s="9" t="s">
        <v>20</v>
      </c>
      <c r="O6652" s="6" t="str">
        <f>HYPERLINK("https://pbs.twimg.com/profile_images/962471262747529216/Uo8lOkRJ_normal.jpg","View")</f>
        <v>View</v>
      </c>
      <c r="P6652" s="7"/>
    </row>
    <row r="6653" spans="1:16">
      <c r="A6653" s="3">
        <v>43998.748888888891</v>
      </c>
      <c r="B6653" s="4" t="str">
        <f>HYPERLINK("https://twitter.com/petrogustavo","@petrogustavo")</f>
        <v>@petrogustavo</v>
      </c>
      <c r="C6653" s="5" t="s">
        <v>16</v>
      </c>
      <c r="D6653" s="5" t="s">
        <v>6451</v>
      </c>
      <c r="E6653" s="6" t="str">
        <f>HYPERLINK("https://twitter.com/petrogustavo/status/1272868630125035521","1272868630125035521")</f>
        <v>1272868630125035521</v>
      </c>
      <c r="F6653" s="7" t="s">
        <v>17</v>
      </c>
      <c r="G6653" s="7">
        <v>3882614</v>
      </c>
      <c r="H6653" s="7">
        <v>2419</v>
      </c>
      <c r="I6653" s="7">
        <v>1151</v>
      </c>
      <c r="J6653" s="7">
        <v>0</v>
      </c>
      <c r="K6653" s="7" t="s">
        <v>18</v>
      </c>
      <c r="L6653" s="8">
        <v>39987.315405092595</v>
      </c>
      <c r="M6653" s="9" t="s">
        <v>19</v>
      </c>
      <c r="N6653" s="9" t="s">
        <v>20</v>
      </c>
      <c r="O6653" s="6" t="str">
        <f>HYPERLINK("https://pbs.twimg.com/profile_images/962471262747529216/Uo8lOkRJ_normal.jpg","View")</f>
        <v>View</v>
      </c>
      <c r="P6653" s="7"/>
    </row>
    <row r="6654" spans="1:16">
      <c r="A6654" s="3">
        <v>43998.775462962964</v>
      </c>
      <c r="B6654" s="4" t="str">
        <f>HYPERLINK("https://twitter.com/petrogustavo","@petrogustavo")</f>
        <v>@petrogustavo</v>
      </c>
      <c r="C6654" s="5" t="s">
        <v>16</v>
      </c>
      <c r="D6654" s="5" t="s">
        <v>6452</v>
      </c>
      <c r="E6654" s="6" t="str">
        <f>HYPERLINK("https://twitter.com/petrogustavo/status/1272878259953426433","1272878259953426433")</f>
        <v>1272878259953426433</v>
      </c>
      <c r="F6654" s="7" t="s">
        <v>17</v>
      </c>
      <c r="G6654" s="7">
        <v>3882626</v>
      </c>
      <c r="H6654" s="7">
        <v>2419</v>
      </c>
      <c r="I6654" s="7">
        <v>50</v>
      </c>
      <c r="J6654" s="7">
        <v>123</v>
      </c>
      <c r="K6654" s="7" t="s">
        <v>18</v>
      </c>
      <c r="L6654" s="8">
        <v>39987.315405092595</v>
      </c>
      <c r="M6654" s="9" t="s">
        <v>19</v>
      </c>
      <c r="N6654" s="9" t="s">
        <v>20</v>
      </c>
      <c r="O6654" s="6" t="str">
        <f>HYPERLINK("https://pbs.twimg.com/profile_images/962471262747529216/Uo8lOkRJ_normal.jpg","View")</f>
        <v>View</v>
      </c>
      <c r="P6654" s="7"/>
    </row>
    <row r="6655" spans="1:16">
      <c r="A6655" s="3">
        <v>43998.778541666667</v>
      </c>
      <c r="B6655" s="4" t="str">
        <f>HYPERLINK("https://twitter.com/petrogustavo","@petrogustavo")</f>
        <v>@petrogustavo</v>
      </c>
      <c r="C6655" s="5" t="s">
        <v>16</v>
      </c>
      <c r="D6655" s="5" t="s">
        <v>6453</v>
      </c>
      <c r="E6655" s="6" t="str">
        <f>HYPERLINK("https://twitter.com/petrogustavo/status/1272879373016801280","1272879373016801280")</f>
        <v>1272879373016801280</v>
      </c>
      <c r="F6655" s="7" t="s">
        <v>17</v>
      </c>
      <c r="G6655" s="7">
        <v>3882626</v>
      </c>
      <c r="H6655" s="7">
        <v>2419</v>
      </c>
      <c r="I6655" s="7">
        <v>60</v>
      </c>
      <c r="J6655" s="7">
        <v>127</v>
      </c>
      <c r="K6655" s="7" t="s">
        <v>18</v>
      </c>
      <c r="L6655" s="8">
        <v>39987.315405092595</v>
      </c>
      <c r="M6655" s="9" t="s">
        <v>19</v>
      </c>
      <c r="N6655" s="9" t="s">
        <v>20</v>
      </c>
      <c r="O6655" s="6" t="str">
        <f>HYPERLINK("https://pbs.twimg.com/profile_images/962471262747529216/Uo8lOkRJ_normal.jpg","View")</f>
        <v>View</v>
      </c>
      <c r="P6655" s="7"/>
    </row>
    <row r="6656" spans="1:16">
      <c r="A6656" s="3">
        <v>43998.780358796299</v>
      </c>
      <c r="B6656" s="4" t="str">
        <f>HYPERLINK("https://twitter.com/petrogustavo","@petrogustavo")</f>
        <v>@petrogustavo</v>
      </c>
      <c r="C6656" s="5" t="s">
        <v>16</v>
      </c>
      <c r="D6656" s="5" t="s">
        <v>6454</v>
      </c>
      <c r="E6656" s="6" t="str">
        <f>HYPERLINK("https://twitter.com/petrogustavo/status/1272880033703608320","1272880033703608320")</f>
        <v>1272880033703608320</v>
      </c>
      <c r="F6656" s="7" t="s">
        <v>17</v>
      </c>
      <c r="G6656" s="7">
        <v>3882626</v>
      </c>
      <c r="H6656" s="7">
        <v>2419</v>
      </c>
      <c r="I6656" s="7">
        <v>43</v>
      </c>
      <c r="J6656" s="7">
        <v>116</v>
      </c>
      <c r="K6656" s="7" t="s">
        <v>18</v>
      </c>
      <c r="L6656" s="8">
        <v>39987.315405092595</v>
      </c>
      <c r="M6656" s="9" t="s">
        <v>19</v>
      </c>
      <c r="N6656" s="9" t="s">
        <v>20</v>
      </c>
      <c r="O6656" s="6" t="str">
        <f>HYPERLINK("https://pbs.twimg.com/profile_images/962471262747529216/Uo8lOkRJ_normal.jpg","View")</f>
        <v>View</v>
      </c>
      <c r="P6656" s="7"/>
    </row>
    <row r="6657" spans="1:16">
      <c r="A6657" s="3">
        <v>43998.7809837963</v>
      </c>
      <c r="B6657" s="4" t="str">
        <f>HYPERLINK("https://twitter.com/petrogustavo","@petrogustavo")</f>
        <v>@petrogustavo</v>
      </c>
      <c r="C6657" s="5" t="s">
        <v>16</v>
      </c>
      <c r="D6657" s="5" t="s">
        <v>6455</v>
      </c>
      <c r="E6657" s="6" t="str">
        <f>HYPERLINK("https://twitter.com/petrogustavo/status/1272880259499806720","1272880259499806720")</f>
        <v>1272880259499806720</v>
      </c>
      <c r="F6657" s="7" t="s">
        <v>17</v>
      </c>
      <c r="G6657" s="7">
        <v>3882626</v>
      </c>
      <c r="H6657" s="7">
        <v>2419</v>
      </c>
      <c r="I6657" s="7">
        <v>10</v>
      </c>
      <c r="J6657" s="7">
        <v>40</v>
      </c>
      <c r="K6657" s="7" t="s">
        <v>18</v>
      </c>
      <c r="L6657" s="8">
        <v>39987.315405092595</v>
      </c>
      <c r="M6657" s="9" t="s">
        <v>19</v>
      </c>
      <c r="N6657" s="9" t="s">
        <v>20</v>
      </c>
      <c r="O6657" s="6" t="str">
        <f>HYPERLINK("https://pbs.twimg.com/profile_images/962471262747529216/Uo8lOkRJ_normal.jpg","View")</f>
        <v>View</v>
      </c>
      <c r="P6657" s="7"/>
    </row>
    <row r="6658" spans="1:16">
      <c r="A6658" s="3">
        <v>43998.786608796298</v>
      </c>
      <c r="B6658" s="4" t="str">
        <f>HYPERLINK("https://twitter.com/petrogustavo","@petrogustavo")</f>
        <v>@petrogustavo</v>
      </c>
      <c r="C6658" s="5" t="s">
        <v>16</v>
      </c>
      <c r="D6658" s="5" t="s">
        <v>6456</v>
      </c>
      <c r="E6658" s="6" t="str">
        <f>HYPERLINK("https://twitter.com/petrogustavo/status/1272882297398796290","1272882297398796290")</f>
        <v>1272882297398796290</v>
      </c>
      <c r="F6658" s="7" t="s">
        <v>17</v>
      </c>
      <c r="G6658" s="7">
        <v>3882652</v>
      </c>
      <c r="H6658" s="7">
        <v>2419</v>
      </c>
      <c r="I6658" s="7">
        <v>197</v>
      </c>
      <c r="J6658" s="7">
        <v>552</v>
      </c>
      <c r="K6658" s="7" t="s">
        <v>18</v>
      </c>
      <c r="L6658" s="8">
        <v>39987.315405092595</v>
      </c>
      <c r="M6658" s="9" t="s">
        <v>19</v>
      </c>
      <c r="N6658" s="9" t="s">
        <v>20</v>
      </c>
      <c r="O6658" s="6" t="str">
        <f>HYPERLINK("https://pbs.twimg.com/profile_images/962471262747529216/Uo8lOkRJ_normal.jpg","View")</f>
        <v>View</v>
      </c>
      <c r="P6658" s="7"/>
    </row>
    <row r="6659" spans="1:16">
      <c r="A6659" s="3">
        <v>43998.797997685186</v>
      </c>
      <c r="B6659" s="4" t="str">
        <f>HYPERLINK("https://twitter.com/petrogustavo","@petrogustavo")</f>
        <v>@petrogustavo</v>
      </c>
      <c r="C6659" s="5" t="s">
        <v>16</v>
      </c>
      <c r="D6659" s="5" t="s">
        <v>6457</v>
      </c>
      <c r="E6659" s="6" t="str">
        <f>HYPERLINK("https://twitter.com/petrogustavo/status/1272886425113985027","1272886425113985027")</f>
        <v>1272886425113985027</v>
      </c>
      <c r="F6659" s="7" t="s">
        <v>32</v>
      </c>
      <c r="G6659" s="7">
        <v>3882652</v>
      </c>
      <c r="H6659" s="7">
        <v>2419</v>
      </c>
      <c r="I6659" s="7">
        <v>190</v>
      </c>
      <c r="J6659" s="7">
        <v>0</v>
      </c>
      <c r="K6659" s="7" t="s">
        <v>18</v>
      </c>
      <c r="L6659" s="8">
        <v>39987.315405092595</v>
      </c>
      <c r="M6659" s="9" t="s">
        <v>19</v>
      </c>
      <c r="N6659" s="9" t="s">
        <v>20</v>
      </c>
      <c r="O6659" s="6" t="str">
        <f>HYPERLINK("https://pbs.twimg.com/profile_images/962471262747529216/Uo8lOkRJ_normal.jpg","View")</f>
        <v>View</v>
      </c>
      <c r="P6659" s="7"/>
    </row>
    <row r="6660" spans="1:16">
      <c r="A6660" s="3">
        <v>43998.801041666666</v>
      </c>
      <c r="B6660" s="4" t="str">
        <f>HYPERLINK("https://twitter.com/petrogustavo","@petrogustavo")</f>
        <v>@petrogustavo</v>
      </c>
      <c r="C6660" s="5" t="s">
        <v>16</v>
      </c>
      <c r="D6660" s="5" t="s">
        <v>6458</v>
      </c>
      <c r="E6660" s="6" t="str">
        <f>HYPERLINK("https://twitter.com/petrogustavo/status/1272887527746285573","1272887527746285573")</f>
        <v>1272887527746285573</v>
      </c>
      <c r="F6660" s="7" t="s">
        <v>32</v>
      </c>
      <c r="G6660" s="7">
        <v>3882652</v>
      </c>
      <c r="H6660" s="7">
        <v>2419</v>
      </c>
      <c r="I6660" s="7">
        <v>92</v>
      </c>
      <c r="J6660" s="7">
        <v>0</v>
      </c>
      <c r="K6660" s="7" t="s">
        <v>18</v>
      </c>
      <c r="L6660" s="8">
        <v>39987.315405092595</v>
      </c>
      <c r="M6660" s="9" t="s">
        <v>19</v>
      </c>
      <c r="N6660" s="9" t="s">
        <v>20</v>
      </c>
      <c r="O6660" s="6" t="str">
        <f>HYPERLINK("https://pbs.twimg.com/profile_images/962471262747529216/Uo8lOkRJ_normal.jpg","View")</f>
        <v>View</v>
      </c>
      <c r="P6660" s="7"/>
    </row>
    <row r="6661" spans="1:16">
      <c r="A6661" s="3">
        <v>43998.802951388891</v>
      </c>
      <c r="B6661" s="4" t="str">
        <f>HYPERLINK("https://twitter.com/petrogustavo","@petrogustavo")</f>
        <v>@petrogustavo</v>
      </c>
      <c r="C6661" s="5" t="s">
        <v>16</v>
      </c>
      <c r="D6661" s="5" t="s">
        <v>6459</v>
      </c>
      <c r="E6661" s="6" t="str">
        <f>HYPERLINK("https://twitter.com/petrogustavo/status/1272888219030487042","1272888219030487042")</f>
        <v>1272888219030487042</v>
      </c>
      <c r="F6661" s="7" t="s">
        <v>32</v>
      </c>
      <c r="G6661" s="7">
        <v>3882652</v>
      </c>
      <c r="H6661" s="7">
        <v>2419</v>
      </c>
      <c r="I6661" s="7">
        <v>197</v>
      </c>
      <c r="J6661" s="7">
        <v>0</v>
      </c>
      <c r="K6661" s="7" t="s">
        <v>18</v>
      </c>
      <c r="L6661" s="8">
        <v>39987.315405092595</v>
      </c>
      <c r="M6661" s="9" t="s">
        <v>19</v>
      </c>
      <c r="N6661" s="9" t="s">
        <v>20</v>
      </c>
      <c r="O6661" s="6" t="str">
        <f>HYPERLINK("https://pbs.twimg.com/profile_images/962471262747529216/Uo8lOkRJ_normal.jpg","View")</f>
        <v>View</v>
      </c>
      <c r="P6661" s="7"/>
    </row>
    <row r="6662" spans="1:16">
      <c r="A6662" s="3">
        <v>43998.809328703705</v>
      </c>
      <c r="B6662" s="4" t="str">
        <f>HYPERLINK("https://twitter.com/petrogustavo","@petrogustavo")</f>
        <v>@petrogustavo</v>
      </c>
      <c r="C6662" s="5" t="s">
        <v>16</v>
      </c>
      <c r="D6662" s="5" t="s">
        <v>6460</v>
      </c>
      <c r="E6662" s="6" t="str">
        <f>HYPERLINK("https://twitter.com/petrogustavo/status/1272890530947649540","1272890530947649540")</f>
        <v>1272890530947649540</v>
      </c>
      <c r="F6662" s="7" t="s">
        <v>32</v>
      </c>
      <c r="G6662" s="7">
        <v>3882698</v>
      </c>
      <c r="H6662" s="7">
        <v>2419</v>
      </c>
      <c r="I6662" s="7">
        <v>82</v>
      </c>
      <c r="J6662" s="7">
        <v>182</v>
      </c>
      <c r="K6662" s="7" t="s">
        <v>18</v>
      </c>
      <c r="L6662" s="8">
        <v>39987.315405092595</v>
      </c>
      <c r="M6662" s="9" t="s">
        <v>19</v>
      </c>
      <c r="N6662" s="9" t="s">
        <v>20</v>
      </c>
      <c r="O6662" s="6" t="str">
        <f>HYPERLINK("https://pbs.twimg.com/profile_images/962471262747529216/Uo8lOkRJ_normal.jpg","View")</f>
        <v>View</v>
      </c>
      <c r="P6662" s="7"/>
    </row>
    <row r="6663" spans="1:16">
      <c r="A6663" s="3">
        <v>43998.811041666668</v>
      </c>
      <c r="B6663" s="4" t="str">
        <f>HYPERLINK("https://twitter.com/petrogustavo","@petrogustavo")</f>
        <v>@petrogustavo</v>
      </c>
      <c r="C6663" s="5" t="s">
        <v>16</v>
      </c>
      <c r="D6663" s="5" t="s">
        <v>6461</v>
      </c>
      <c r="E6663" s="6" t="str">
        <f>HYPERLINK("https://twitter.com/petrogustavo/status/1272891152623177733","1272891152623177733")</f>
        <v>1272891152623177733</v>
      </c>
      <c r="F6663" s="7" t="s">
        <v>32</v>
      </c>
      <c r="G6663" s="7">
        <v>3882698</v>
      </c>
      <c r="H6663" s="7">
        <v>2419</v>
      </c>
      <c r="I6663" s="7">
        <v>93</v>
      </c>
      <c r="J6663" s="7">
        <v>249</v>
      </c>
      <c r="K6663" s="7" t="s">
        <v>18</v>
      </c>
      <c r="L6663" s="8">
        <v>39987.315405092595</v>
      </c>
      <c r="M6663" s="9" t="s">
        <v>19</v>
      </c>
      <c r="N6663" s="9" t="s">
        <v>20</v>
      </c>
      <c r="O6663" s="6" t="str">
        <f>HYPERLINK("https://pbs.twimg.com/profile_images/962471262747529216/Uo8lOkRJ_normal.jpg","View")</f>
        <v>View</v>
      </c>
      <c r="P6663" s="7"/>
    </row>
    <row r="6664" spans="1:16">
      <c r="A6664" s="3">
        <v>43998.812962962962</v>
      </c>
      <c r="B6664" s="4" t="str">
        <f>HYPERLINK("https://twitter.com/petrogustavo","@petrogustavo")</f>
        <v>@petrogustavo</v>
      </c>
      <c r="C6664" s="5" t="s">
        <v>16</v>
      </c>
      <c r="D6664" s="5" t="s">
        <v>6462</v>
      </c>
      <c r="E6664" s="6" t="str">
        <f>HYPERLINK("https://twitter.com/petrogustavo/status/1272891848034574341","1272891848034574341")</f>
        <v>1272891848034574341</v>
      </c>
      <c r="F6664" s="7" t="s">
        <v>32</v>
      </c>
      <c r="G6664" s="7">
        <v>3882698</v>
      </c>
      <c r="H6664" s="7">
        <v>2419</v>
      </c>
      <c r="I6664" s="7">
        <v>82</v>
      </c>
      <c r="J6664" s="7">
        <v>0</v>
      </c>
      <c r="K6664" s="7" t="s">
        <v>18</v>
      </c>
      <c r="L6664" s="8">
        <v>39987.315405092595</v>
      </c>
      <c r="M6664" s="9" t="s">
        <v>19</v>
      </c>
      <c r="N6664" s="9" t="s">
        <v>20</v>
      </c>
      <c r="O6664" s="6" t="str">
        <f>HYPERLINK("https://pbs.twimg.com/profile_images/962471262747529216/Uo8lOkRJ_normal.jpg","View")</f>
        <v>View</v>
      </c>
      <c r="P6664" s="7"/>
    </row>
    <row r="6665" spans="1:16">
      <c r="A6665" s="3">
        <v>43998.825729166667</v>
      </c>
      <c r="B6665" s="4" t="str">
        <f>HYPERLINK("https://twitter.com/petrogustavo","@petrogustavo")</f>
        <v>@petrogustavo</v>
      </c>
      <c r="C6665" s="5" t="s">
        <v>16</v>
      </c>
      <c r="D6665" s="5" t="s">
        <v>6463</v>
      </c>
      <c r="E6665" s="6" t="str">
        <f>HYPERLINK("https://twitter.com/petrogustavo/status/1272896476725817344","1272896476725817344")</f>
        <v>1272896476725817344</v>
      </c>
      <c r="F6665" s="7" t="s">
        <v>32</v>
      </c>
      <c r="G6665" s="7">
        <v>3882727</v>
      </c>
      <c r="H6665" s="7">
        <v>2419</v>
      </c>
      <c r="I6665" s="7">
        <v>285</v>
      </c>
      <c r="J6665" s="7">
        <v>1079</v>
      </c>
      <c r="K6665" s="7" t="s">
        <v>18</v>
      </c>
      <c r="L6665" s="8">
        <v>39987.315405092595</v>
      </c>
      <c r="M6665" s="9" t="s">
        <v>19</v>
      </c>
      <c r="N6665" s="9" t="s">
        <v>20</v>
      </c>
      <c r="O6665" s="6" t="str">
        <f>HYPERLINK("https://pbs.twimg.com/profile_images/962471262747529216/Uo8lOkRJ_normal.jpg","View")</f>
        <v>View</v>
      </c>
      <c r="P6665" s="7"/>
    </row>
    <row r="6666" spans="1:16">
      <c r="A6666" s="3">
        <v>43998.826909722222</v>
      </c>
      <c r="B6666" s="4" t="str">
        <f>HYPERLINK("https://twitter.com/petrogustavo","@petrogustavo")</f>
        <v>@petrogustavo</v>
      </c>
      <c r="C6666" s="5" t="s">
        <v>16</v>
      </c>
      <c r="D6666" s="5" t="s">
        <v>6464</v>
      </c>
      <c r="E6666" s="6" t="str">
        <f>HYPERLINK("https://twitter.com/petrogustavo/status/1272896903223693319","1272896903223693319")</f>
        <v>1272896903223693319</v>
      </c>
      <c r="F6666" s="7" t="s">
        <v>32</v>
      </c>
      <c r="G6666" s="7">
        <v>3882727</v>
      </c>
      <c r="H6666" s="7">
        <v>2419</v>
      </c>
      <c r="I6666" s="7">
        <v>173</v>
      </c>
      <c r="J6666" s="7">
        <v>0</v>
      </c>
      <c r="K6666" s="7" t="s">
        <v>18</v>
      </c>
      <c r="L6666" s="8">
        <v>39987.315405092595</v>
      </c>
      <c r="M6666" s="9" t="s">
        <v>19</v>
      </c>
      <c r="N6666" s="9" t="s">
        <v>20</v>
      </c>
      <c r="O6666" s="6" t="str">
        <f>HYPERLINK("https://pbs.twimg.com/profile_images/962471262747529216/Uo8lOkRJ_normal.jpg","View")</f>
        <v>View</v>
      </c>
      <c r="P6666" s="7"/>
    </row>
    <row r="6667" spans="1:16">
      <c r="A6667" s="3">
        <v>43998.831319444449</v>
      </c>
      <c r="B6667" s="4" t="str">
        <f>HYPERLINK("https://twitter.com/petrogustavo","@petrogustavo")</f>
        <v>@petrogustavo</v>
      </c>
      <c r="C6667" s="5" t="s">
        <v>16</v>
      </c>
      <c r="D6667" s="5" t="s">
        <v>6465</v>
      </c>
      <c r="E6667" s="6" t="str">
        <f>HYPERLINK("https://twitter.com/petrogustavo/status/1272898499739357185","1272898499739357185")</f>
        <v>1272898499739357185</v>
      </c>
      <c r="F6667" s="7" t="s">
        <v>32</v>
      </c>
      <c r="G6667" s="7">
        <v>3882727</v>
      </c>
      <c r="H6667" s="7">
        <v>2419</v>
      </c>
      <c r="I6667" s="7">
        <v>74</v>
      </c>
      <c r="J6667" s="7">
        <v>197</v>
      </c>
      <c r="K6667" s="7" t="s">
        <v>18</v>
      </c>
      <c r="L6667" s="8">
        <v>39987.315405092595</v>
      </c>
      <c r="M6667" s="9" t="s">
        <v>19</v>
      </c>
      <c r="N6667" s="9" t="s">
        <v>20</v>
      </c>
      <c r="O6667" s="6" t="str">
        <f>HYPERLINK("https://pbs.twimg.com/profile_images/962471262747529216/Uo8lOkRJ_normal.jpg","View")</f>
        <v>View</v>
      </c>
      <c r="P6667" s="7"/>
    </row>
    <row r="6668" spans="1:16">
      <c r="A6668" s="3">
        <v>43998.850682870368</v>
      </c>
      <c r="B6668" s="4" t="str">
        <f>HYPERLINK("https://twitter.com/petrogustavo","@petrogustavo")</f>
        <v>@petrogustavo</v>
      </c>
      <c r="C6668" s="5" t="s">
        <v>16</v>
      </c>
      <c r="D6668" s="5" t="s">
        <v>6466</v>
      </c>
      <c r="E6668" s="6" t="str">
        <f>HYPERLINK("https://twitter.com/petrogustavo/status/1272905515945820162","1272905515945820162")</f>
        <v>1272905515945820162</v>
      </c>
      <c r="F6668" s="7" t="s">
        <v>32</v>
      </c>
      <c r="G6668" s="7">
        <v>3882762</v>
      </c>
      <c r="H6668" s="7">
        <v>2419</v>
      </c>
      <c r="I6668" s="7">
        <v>41</v>
      </c>
      <c r="J6668" s="7">
        <v>0</v>
      </c>
      <c r="K6668" s="7" t="s">
        <v>18</v>
      </c>
      <c r="L6668" s="8">
        <v>39987.315405092595</v>
      </c>
      <c r="M6668" s="9" t="s">
        <v>19</v>
      </c>
      <c r="N6668" s="9" t="s">
        <v>20</v>
      </c>
      <c r="O6668" s="6" t="str">
        <f>HYPERLINK("https://pbs.twimg.com/profile_images/962471262747529216/Uo8lOkRJ_normal.jpg","View")</f>
        <v>View</v>
      </c>
      <c r="P6668" s="7"/>
    </row>
    <row r="6669" spans="1:16">
      <c r="A6669" s="3">
        <v>43998.859479166669</v>
      </c>
      <c r="B6669" s="4" t="str">
        <f>HYPERLINK("https://twitter.com/petrogustavo","@petrogustavo")</f>
        <v>@petrogustavo</v>
      </c>
      <c r="C6669" s="5" t="s">
        <v>16</v>
      </c>
      <c r="D6669" s="5" t="s">
        <v>6467</v>
      </c>
      <c r="E6669" s="6" t="str">
        <f>HYPERLINK("https://twitter.com/petrogustavo/status/1272908706963959808","1272908706963959808")</f>
        <v>1272908706963959808</v>
      </c>
      <c r="F6669" s="7" t="s">
        <v>32</v>
      </c>
      <c r="G6669" s="7">
        <v>3882762</v>
      </c>
      <c r="H6669" s="7">
        <v>2419</v>
      </c>
      <c r="I6669" s="7">
        <v>26</v>
      </c>
      <c r="J6669" s="7">
        <v>69</v>
      </c>
      <c r="K6669" s="7" t="s">
        <v>18</v>
      </c>
      <c r="L6669" s="8">
        <v>39987.315405092595</v>
      </c>
      <c r="M6669" s="9" t="s">
        <v>19</v>
      </c>
      <c r="N6669" s="9" t="s">
        <v>20</v>
      </c>
      <c r="O6669" s="6" t="str">
        <f>HYPERLINK("https://pbs.twimg.com/profile_images/962471262747529216/Uo8lOkRJ_normal.jpg","View")</f>
        <v>View</v>
      </c>
      <c r="P6669" s="7"/>
    </row>
    <row r="6670" spans="1:16">
      <c r="A6670" s="3">
        <v>43998.880902777775</v>
      </c>
      <c r="B6670" s="4" t="str">
        <f>HYPERLINK("https://twitter.com/petrogustavo","@petrogustavo")</f>
        <v>@petrogustavo</v>
      </c>
      <c r="C6670" s="5" t="s">
        <v>16</v>
      </c>
      <c r="D6670" s="5" t="s">
        <v>6468</v>
      </c>
      <c r="E6670" s="6" t="str">
        <f>HYPERLINK("https://twitter.com/petrogustavo/status/1272916467529515011","1272916467529515011")</f>
        <v>1272916467529515011</v>
      </c>
      <c r="F6670" s="7" t="s">
        <v>21</v>
      </c>
      <c r="G6670" s="7">
        <v>3882806</v>
      </c>
      <c r="H6670" s="7">
        <v>2419</v>
      </c>
      <c r="I6670" s="7">
        <v>71</v>
      </c>
      <c r="J6670" s="7">
        <v>141</v>
      </c>
      <c r="K6670" s="7" t="s">
        <v>18</v>
      </c>
      <c r="L6670" s="8">
        <v>39987.315405092595</v>
      </c>
      <c r="M6670" s="9" t="s">
        <v>19</v>
      </c>
      <c r="N6670" s="9" t="s">
        <v>20</v>
      </c>
      <c r="O6670" s="6" t="str">
        <f>HYPERLINK("https://pbs.twimg.com/profile_images/962471262747529216/Uo8lOkRJ_normal.jpg","View")</f>
        <v>View</v>
      </c>
      <c r="P6670" s="7"/>
    </row>
    <row r="6671" spans="1:16">
      <c r="A6671" s="3">
        <v>43998.885023148148</v>
      </c>
      <c r="B6671" s="4" t="str">
        <f>HYPERLINK("https://twitter.com/petrogustavo","@petrogustavo")</f>
        <v>@petrogustavo</v>
      </c>
      <c r="C6671" s="5" t="s">
        <v>16</v>
      </c>
      <c r="D6671" s="5" t="s">
        <v>6469</v>
      </c>
      <c r="E6671" s="6" t="str">
        <f>HYPERLINK("https://twitter.com/petrogustavo/status/1272917962576535555","1272917962576535555")</f>
        <v>1272917962576535555</v>
      </c>
      <c r="F6671" s="7" t="s">
        <v>32</v>
      </c>
      <c r="G6671" s="7">
        <v>3882806</v>
      </c>
      <c r="H6671" s="7">
        <v>2419</v>
      </c>
      <c r="I6671" s="7">
        <v>26</v>
      </c>
      <c r="J6671" s="7">
        <v>49</v>
      </c>
      <c r="K6671" s="7" t="s">
        <v>18</v>
      </c>
      <c r="L6671" s="8">
        <v>39987.315405092595</v>
      </c>
      <c r="M6671" s="9" t="s">
        <v>19</v>
      </c>
      <c r="N6671" s="9" t="s">
        <v>20</v>
      </c>
      <c r="O6671" s="6" t="str">
        <f>HYPERLINK("https://pbs.twimg.com/profile_images/962471262747529216/Uo8lOkRJ_normal.jpg","View")</f>
        <v>View</v>
      </c>
      <c r="P6671" s="7"/>
    </row>
    <row r="6672" spans="1:16">
      <c r="A6672" s="3">
        <v>43998.957511574074</v>
      </c>
      <c r="B6672" s="4" t="str">
        <f>HYPERLINK("https://twitter.com/petrogustavo","@petrogustavo")</f>
        <v>@petrogustavo</v>
      </c>
      <c r="C6672" s="5" t="s">
        <v>16</v>
      </c>
      <c r="D6672" s="5" t="s">
        <v>6470</v>
      </c>
      <c r="E6672" s="6" t="str">
        <f>HYPERLINK("https://twitter.com/petrogustavo/status/1272944229153718274","1272944229153718274")</f>
        <v>1272944229153718274</v>
      </c>
      <c r="F6672" s="7" t="s">
        <v>32</v>
      </c>
      <c r="G6672" s="7">
        <v>3882934</v>
      </c>
      <c r="H6672" s="7">
        <v>2419</v>
      </c>
      <c r="I6672" s="7">
        <v>183</v>
      </c>
      <c r="J6672" s="7">
        <v>517</v>
      </c>
      <c r="K6672" s="7" t="s">
        <v>18</v>
      </c>
      <c r="L6672" s="8">
        <v>39987.315405092595</v>
      </c>
      <c r="M6672" s="9" t="s">
        <v>19</v>
      </c>
      <c r="N6672" s="9" t="s">
        <v>20</v>
      </c>
      <c r="O6672" s="6" t="str">
        <f>HYPERLINK("https://pbs.twimg.com/profile_images/962471262747529216/Uo8lOkRJ_normal.jpg","View")</f>
        <v>View</v>
      </c>
      <c r="P6672" s="7"/>
    </row>
    <row r="6673" spans="1:16">
      <c r="A6673" s="3">
        <v>43999.118900462963</v>
      </c>
      <c r="B6673" s="4" t="str">
        <f>HYPERLINK("https://twitter.com/petrogustavo","@petrogustavo")</f>
        <v>@petrogustavo</v>
      </c>
      <c r="C6673" s="5" t="s">
        <v>16</v>
      </c>
      <c r="D6673" s="5" t="s">
        <v>6471</v>
      </c>
      <c r="E6673" s="6" t="str">
        <f>HYPERLINK("https://twitter.com/petrogustavo/status/1273002714600013824","1273002714600013824")</f>
        <v>1273002714600013824</v>
      </c>
      <c r="F6673" s="7" t="s">
        <v>32</v>
      </c>
      <c r="G6673" s="7">
        <v>3883161</v>
      </c>
      <c r="H6673" s="7">
        <v>2419</v>
      </c>
      <c r="I6673" s="7">
        <v>21</v>
      </c>
      <c r="J6673" s="7">
        <v>0</v>
      </c>
      <c r="K6673" s="7" t="s">
        <v>18</v>
      </c>
      <c r="L6673" s="8">
        <v>39987.315405092595</v>
      </c>
      <c r="M6673" s="9" t="s">
        <v>19</v>
      </c>
      <c r="N6673" s="9" t="s">
        <v>20</v>
      </c>
      <c r="O6673" s="6" t="str">
        <f>HYPERLINK("https://pbs.twimg.com/profile_images/962471262747529216/Uo8lOkRJ_normal.jpg","View")</f>
        <v>View</v>
      </c>
      <c r="P6673" s="7"/>
    </row>
    <row r="6674" spans="1:16">
      <c r="A6674" s="3">
        <v>43999.135208333333</v>
      </c>
      <c r="B6674" s="4" t="str">
        <f>HYPERLINK("https://twitter.com/petrogustavo","@petrogustavo")</f>
        <v>@petrogustavo</v>
      </c>
      <c r="C6674" s="5" t="s">
        <v>16</v>
      </c>
      <c r="D6674" s="5" t="s">
        <v>6472</v>
      </c>
      <c r="E6674" s="6" t="str">
        <f>HYPERLINK("https://twitter.com/petrogustavo/status/1273008626500763657","1273008626500763657")</f>
        <v>1273008626500763657</v>
      </c>
      <c r="F6674" s="7" t="s">
        <v>21</v>
      </c>
      <c r="G6674" s="7">
        <v>3883161</v>
      </c>
      <c r="H6674" s="7">
        <v>2419</v>
      </c>
      <c r="I6674" s="7">
        <v>10</v>
      </c>
      <c r="J6674" s="7">
        <v>23</v>
      </c>
      <c r="K6674" s="7" t="s">
        <v>18</v>
      </c>
      <c r="L6674" s="8">
        <v>39987.315405092595</v>
      </c>
      <c r="M6674" s="9" t="s">
        <v>19</v>
      </c>
      <c r="N6674" s="9" t="s">
        <v>20</v>
      </c>
      <c r="O6674" s="6" t="str">
        <f>HYPERLINK("https://pbs.twimg.com/profile_images/962471262747529216/Uo8lOkRJ_normal.jpg","View")</f>
        <v>View</v>
      </c>
      <c r="P6674" s="7"/>
    </row>
    <row r="6675" spans="1:16">
      <c r="A6675" s="3">
        <v>43999.135335648149</v>
      </c>
      <c r="B6675" s="4" t="str">
        <f>HYPERLINK("https://twitter.com/petrogustavo","@petrogustavo")</f>
        <v>@petrogustavo</v>
      </c>
      <c r="C6675" s="5" t="s">
        <v>16</v>
      </c>
      <c r="D6675" s="5" t="s">
        <v>6473</v>
      </c>
      <c r="E6675" s="6" t="str">
        <f>HYPERLINK("https://twitter.com/petrogustavo/status/1273008673934192646","1273008673934192646")</f>
        <v>1273008673934192646</v>
      </c>
      <c r="F6675" s="7" t="s">
        <v>21</v>
      </c>
      <c r="G6675" s="7">
        <v>3883161</v>
      </c>
      <c r="H6675" s="7">
        <v>2419</v>
      </c>
      <c r="I6675" s="7">
        <v>6</v>
      </c>
      <c r="J6675" s="7">
        <v>16</v>
      </c>
      <c r="K6675" s="7" t="s">
        <v>18</v>
      </c>
      <c r="L6675" s="8">
        <v>39987.315405092595</v>
      </c>
      <c r="M6675" s="9" t="s">
        <v>19</v>
      </c>
      <c r="N6675" s="9" t="s">
        <v>20</v>
      </c>
      <c r="O6675" s="6" t="str">
        <f>HYPERLINK("https://pbs.twimg.com/profile_images/962471262747529216/Uo8lOkRJ_normal.jpg","View")</f>
        <v>View</v>
      </c>
      <c r="P6675" s="7"/>
    </row>
    <row r="6676" spans="1:16">
      <c r="A6676" s="3">
        <v>43999.135474537034</v>
      </c>
      <c r="B6676" s="4" t="str">
        <f>HYPERLINK("https://twitter.com/petrogustavo","@petrogustavo")</f>
        <v>@petrogustavo</v>
      </c>
      <c r="C6676" s="5" t="s">
        <v>16</v>
      </c>
      <c r="D6676" s="5" t="s">
        <v>6474</v>
      </c>
      <c r="E6676" s="6" t="str">
        <f>HYPERLINK("https://twitter.com/petrogustavo/status/1273008723024318465","1273008723024318465")</f>
        <v>1273008723024318465</v>
      </c>
      <c r="F6676" s="7" t="s">
        <v>21</v>
      </c>
      <c r="G6676" s="7">
        <v>3883161</v>
      </c>
      <c r="H6676" s="7">
        <v>2419</v>
      </c>
      <c r="I6676" s="7">
        <v>9</v>
      </c>
      <c r="J6676" s="7">
        <v>30</v>
      </c>
      <c r="K6676" s="7" t="s">
        <v>18</v>
      </c>
      <c r="L6676" s="8">
        <v>39987.315405092595</v>
      </c>
      <c r="M6676" s="9" t="s">
        <v>19</v>
      </c>
      <c r="N6676" s="9" t="s">
        <v>20</v>
      </c>
      <c r="O6676" s="6" t="str">
        <f>HYPERLINK("https://pbs.twimg.com/profile_images/962471262747529216/Uo8lOkRJ_normal.jpg","View")</f>
        <v>View</v>
      </c>
      <c r="P6676" s="7"/>
    </row>
    <row r="6677" spans="1:16">
      <c r="A6677" s="3">
        <v>43999.16678240741</v>
      </c>
      <c r="B6677" s="4" t="str">
        <f>HYPERLINK("https://twitter.com/petrogustavo","@petrogustavo")</f>
        <v>@petrogustavo</v>
      </c>
      <c r="C6677" s="5" t="s">
        <v>16</v>
      </c>
      <c r="D6677" s="5" t="s">
        <v>6475</v>
      </c>
      <c r="E6677" s="6" t="str">
        <f>HYPERLINK("https://twitter.com/petrogustavo/status/1273020067610013698","1273020067610013698")</f>
        <v>1273020067610013698</v>
      </c>
      <c r="F6677" s="7" t="s">
        <v>32</v>
      </c>
      <c r="G6677" s="7">
        <v>3883184</v>
      </c>
      <c r="H6677" s="7">
        <v>2419</v>
      </c>
      <c r="I6677" s="7">
        <v>55</v>
      </c>
      <c r="J6677" s="7">
        <v>0</v>
      </c>
      <c r="K6677" s="7" t="s">
        <v>18</v>
      </c>
      <c r="L6677" s="8">
        <v>39987.315405092595</v>
      </c>
      <c r="M6677" s="9" t="s">
        <v>19</v>
      </c>
      <c r="N6677" s="9" t="s">
        <v>20</v>
      </c>
      <c r="O6677" s="6" t="str">
        <f>HYPERLINK("https://pbs.twimg.com/profile_images/962471262747529216/Uo8lOkRJ_normal.jpg","View")</f>
        <v>View</v>
      </c>
      <c r="P6677" s="7"/>
    </row>
    <row r="6678" spans="1:16">
      <c r="A6678" s="3">
        <v>43999.168067129634</v>
      </c>
      <c r="B6678" s="4" t="str">
        <f>HYPERLINK("https://twitter.com/petrogustavo","@petrogustavo")</f>
        <v>@petrogustavo</v>
      </c>
      <c r="C6678" s="5" t="s">
        <v>16</v>
      </c>
      <c r="D6678" s="5" t="s">
        <v>6476</v>
      </c>
      <c r="E6678" s="6" t="str">
        <f>HYPERLINK("https://twitter.com/petrogustavo/status/1273020533295194113","1273020533295194113")</f>
        <v>1273020533295194113</v>
      </c>
      <c r="F6678" s="7" t="s">
        <v>32</v>
      </c>
      <c r="G6678" s="7">
        <v>3883184</v>
      </c>
      <c r="H6678" s="7">
        <v>2419</v>
      </c>
      <c r="I6678" s="7">
        <v>73</v>
      </c>
      <c r="J6678" s="7">
        <v>160</v>
      </c>
      <c r="K6678" s="7" t="s">
        <v>18</v>
      </c>
      <c r="L6678" s="8">
        <v>39987.315405092595</v>
      </c>
      <c r="M6678" s="9" t="s">
        <v>19</v>
      </c>
      <c r="N6678" s="9" t="s">
        <v>20</v>
      </c>
      <c r="O6678" s="6" t="str">
        <f>HYPERLINK("https://pbs.twimg.com/profile_images/962471262747529216/Uo8lOkRJ_normal.jpg","View")</f>
        <v>View</v>
      </c>
      <c r="P6678" s="7"/>
    </row>
    <row r="6679" spans="1:16">
      <c r="A6679" s="3">
        <v>43999.168773148151</v>
      </c>
      <c r="B6679" s="4" t="str">
        <f>HYPERLINK("https://twitter.com/petrogustavo","@petrogustavo")</f>
        <v>@petrogustavo</v>
      </c>
      <c r="C6679" s="5" t="s">
        <v>16</v>
      </c>
      <c r="D6679" s="5" t="s">
        <v>6477</v>
      </c>
      <c r="E6679" s="6" t="str">
        <f>HYPERLINK("https://twitter.com/petrogustavo/status/1273020791769247744","1273020791769247744")</f>
        <v>1273020791769247744</v>
      </c>
      <c r="F6679" s="7" t="s">
        <v>32</v>
      </c>
      <c r="G6679" s="7">
        <v>3883184</v>
      </c>
      <c r="H6679" s="7">
        <v>2419</v>
      </c>
      <c r="I6679" s="7">
        <v>55</v>
      </c>
      <c r="J6679" s="7">
        <v>145</v>
      </c>
      <c r="K6679" s="7" t="s">
        <v>18</v>
      </c>
      <c r="L6679" s="8">
        <v>39987.315405092595</v>
      </c>
      <c r="M6679" s="9" t="s">
        <v>19</v>
      </c>
      <c r="N6679" s="9" t="s">
        <v>20</v>
      </c>
      <c r="O6679" s="6" t="str">
        <f>HYPERLINK("https://pbs.twimg.com/profile_images/962471262747529216/Uo8lOkRJ_normal.jpg","View")</f>
        <v>View</v>
      </c>
      <c r="P6679" s="7"/>
    </row>
    <row r="6680" spans="1:16">
      <c r="A6680" s="3">
        <v>43999.169918981483</v>
      </c>
      <c r="B6680" s="4" t="str">
        <f>HYPERLINK("https://twitter.com/petrogustavo","@petrogustavo")</f>
        <v>@petrogustavo</v>
      </c>
      <c r="C6680" s="5" t="s">
        <v>16</v>
      </c>
      <c r="D6680" s="5" t="s">
        <v>6478</v>
      </c>
      <c r="E6680" s="6" t="str">
        <f>HYPERLINK("https://twitter.com/petrogustavo/status/1273021206556442631","1273021206556442631")</f>
        <v>1273021206556442631</v>
      </c>
      <c r="F6680" s="7" t="s">
        <v>32</v>
      </c>
      <c r="G6680" s="7">
        <v>3883184</v>
      </c>
      <c r="H6680" s="7">
        <v>2419</v>
      </c>
      <c r="I6680" s="7">
        <v>59</v>
      </c>
      <c r="J6680" s="7">
        <v>158</v>
      </c>
      <c r="K6680" s="7" t="s">
        <v>18</v>
      </c>
      <c r="L6680" s="8">
        <v>39987.315405092595</v>
      </c>
      <c r="M6680" s="9" t="s">
        <v>19</v>
      </c>
      <c r="N6680" s="9" t="s">
        <v>20</v>
      </c>
      <c r="O6680" s="6" t="str">
        <f>HYPERLINK("https://pbs.twimg.com/profile_images/962471262747529216/Uo8lOkRJ_normal.jpg","View")</f>
        <v>View</v>
      </c>
      <c r="P6680" s="7"/>
    </row>
    <row r="6681" spans="1:16">
      <c r="A6681" s="3">
        <v>43999.171527777777</v>
      </c>
      <c r="B6681" s="4" t="str">
        <f>HYPERLINK("https://twitter.com/petrogustavo","@petrogustavo")</f>
        <v>@petrogustavo</v>
      </c>
      <c r="C6681" s="5" t="s">
        <v>16</v>
      </c>
      <c r="D6681" s="5" t="s">
        <v>6479</v>
      </c>
      <c r="E6681" s="6" t="str">
        <f>HYPERLINK("https://twitter.com/petrogustavo/status/1273021788683976706","1273021788683976706")</f>
        <v>1273021788683976706</v>
      </c>
      <c r="F6681" s="7" t="s">
        <v>32</v>
      </c>
      <c r="G6681" s="7">
        <v>3883184</v>
      </c>
      <c r="H6681" s="7">
        <v>2419</v>
      </c>
      <c r="I6681" s="7">
        <v>51</v>
      </c>
      <c r="J6681" s="7">
        <v>136</v>
      </c>
      <c r="K6681" s="7" t="s">
        <v>18</v>
      </c>
      <c r="L6681" s="8">
        <v>39987.315405092595</v>
      </c>
      <c r="M6681" s="9" t="s">
        <v>19</v>
      </c>
      <c r="N6681" s="9" t="s">
        <v>20</v>
      </c>
      <c r="O6681" s="6" t="str">
        <f>HYPERLINK("https://pbs.twimg.com/profile_images/962471262747529216/Uo8lOkRJ_normal.jpg","View")</f>
        <v>View</v>
      </c>
      <c r="P6681" s="7"/>
    </row>
    <row r="6682" spans="1:16">
      <c r="A6682" s="3">
        <v>43999.175092592588</v>
      </c>
      <c r="B6682" s="4" t="str">
        <f>HYPERLINK("https://twitter.com/petrogustavo","@petrogustavo")</f>
        <v>@petrogustavo</v>
      </c>
      <c r="C6682" s="5" t="s">
        <v>16</v>
      </c>
      <c r="D6682" s="5" t="s">
        <v>6480</v>
      </c>
      <c r="E6682" s="6" t="str">
        <f>HYPERLINK("https://twitter.com/petrogustavo/status/1273023078545661952","1273023078545661952")</f>
        <v>1273023078545661952</v>
      </c>
      <c r="F6682" s="7" t="s">
        <v>32</v>
      </c>
      <c r="G6682" s="7">
        <v>3883184</v>
      </c>
      <c r="H6682" s="7">
        <v>2419</v>
      </c>
      <c r="I6682" s="7">
        <v>12</v>
      </c>
      <c r="J6682" s="7">
        <v>46</v>
      </c>
      <c r="K6682" s="7" t="s">
        <v>18</v>
      </c>
      <c r="L6682" s="8">
        <v>39987.315405092595</v>
      </c>
      <c r="M6682" s="9" t="s">
        <v>19</v>
      </c>
      <c r="N6682" s="9" t="s">
        <v>20</v>
      </c>
      <c r="O6682" s="6" t="str">
        <f>HYPERLINK("https://pbs.twimg.com/profile_images/962471262747529216/Uo8lOkRJ_normal.jpg","View")</f>
        <v>View</v>
      </c>
      <c r="P6682" s="7"/>
    </row>
    <row r="6683" spans="1:16">
      <c r="A6683" s="3">
        <v>43999.175625000003</v>
      </c>
      <c r="B6683" s="4" t="str">
        <f>HYPERLINK("https://twitter.com/petrogustavo","@petrogustavo")</f>
        <v>@petrogustavo</v>
      </c>
      <c r="C6683" s="5" t="s">
        <v>16</v>
      </c>
      <c r="D6683" s="5" t="s">
        <v>6481</v>
      </c>
      <c r="E6683" s="6" t="str">
        <f>HYPERLINK("https://twitter.com/petrogustavo/status/1273023273735946241","1273023273735946241")</f>
        <v>1273023273735946241</v>
      </c>
      <c r="F6683" s="7" t="s">
        <v>32</v>
      </c>
      <c r="G6683" s="7">
        <v>3883184</v>
      </c>
      <c r="H6683" s="7">
        <v>2419</v>
      </c>
      <c r="I6683" s="7">
        <v>10</v>
      </c>
      <c r="J6683" s="7">
        <v>0</v>
      </c>
      <c r="K6683" s="7" t="s">
        <v>18</v>
      </c>
      <c r="L6683" s="8">
        <v>39987.315405092595</v>
      </c>
      <c r="M6683" s="9" t="s">
        <v>19</v>
      </c>
      <c r="N6683" s="9" t="s">
        <v>20</v>
      </c>
      <c r="O6683" s="6" t="str">
        <f>HYPERLINK("https://pbs.twimg.com/profile_images/962471262747529216/Uo8lOkRJ_normal.jpg","View")</f>
        <v>View</v>
      </c>
      <c r="P6683" s="7"/>
    </row>
    <row r="6684" spans="1:16">
      <c r="A6684" s="3">
        <v>43999.181388888886</v>
      </c>
      <c r="B6684" s="4" t="str">
        <f>HYPERLINK("https://twitter.com/petrogustavo","@petrogustavo")</f>
        <v>@petrogustavo</v>
      </c>
      <c r="C6684" s="5" t="s">
        <v>16</v>
      </c>
      <c r="D6684" s="5" t="s">
        <v>6482</v>
      </c>
      <c r="E6684" s="6" t="str">
        <f>HYPERLINK("https://twitter.com/petrogustavo/status/1273025360842670087","1273025360842670087")</f>
        <v>1273025360842670087</v>
      </c>
      <c r="F6684" s="7" t="s">
        <v>32</v>
      </c>
      <c r="G6684" s="7">
        <v>3883218</v>
      </c>
      <c r="H6684" s="7">
        <v>2419</v>
      </c>
      <c r="I6684" s="7">
        <v>80</v>
      </c>
      <c r="J6684" s="7">
        <v>0</v>
      </c>
      <c r="K6684" s="7" t="s">
        <v>18</v>
      </c>
      <c r="L6684" s="8">
        <v>39987.315405092595</v>
      </c>
      <c r="M6684" s="9" t="s">
        <v>19</v>
      </c>
      <c r="N6684" s="9" t="s">
        <v>20</v>
      </c>
      <c r="O6684" s="6" t="str">
        <f>HYPERLINK("https://pbs.twimg.com/profile_images/962471262747529216/Uo8lOkRJ_normal.jpg","View")</f>
        <v>View</v>
      </c>
      <c r="P6684" s="7"/>
    </row>
    <row r="6685" spans="1:16">
      <c r="A6685" s="3">
        <v>43999.18141203704</v>
      </c>
      <c r="B6685" s="4" t="str">
        <f>HYPERLINK("https://twitter.com/petrogustavo","@petrogustavo")</f>
        <v>@petrogustavo</v>
      </c>
      <c r="C6685" s="5" t="s">
        <v>16</v>
      </c>
      <c r="D6685" s="5" t="s">
        <v>6483</v>
      </c>
      <c r="E6685" s="6" t="str">
        <f>HYPERLINK("https://twitter.com/petrogustavo/status/1273025370518847489","1273025370518847489")</f>
        <v>1273025370518847489</v>
      </c>
      <c r="F6685" s="7" t="s">
        <v>32</v>
      </c>
      <c r="G6685" s="7">
        <v>3883218</v>
      </c>
      <c r="H6685" s="7">
        <v>2419</v>
      </c>
      <c r="I6685" s="7">
        <v>69</v>
      </c>
      <c r="J6685" s="7">
        <v>0</v>
      </c>
      <c r="K6685" s="7" t="s">
        <v>18</v>
      </c>
      <c r="L6685" s="8">
        <v>39987.315405092595</v>
      </c>
      <c r="M6685" s="9" t="s">
        <v>19</v>
      </c>
      <c r="N6685" s="9" t="s">
        <v>20</v>
      </c>
      <c r="O6685" s="6" t="str">
        <f>HYPERLINK("https://pbs.twimg.com/profile_images/962471262747529216/Uo8lOkRJ_normal.jpg","View")</f>
        <v>View</v>
      </c>
      <c r="P6685" s="7"/>
    </row>
    <row r="6686" spans="1:16">
      <c r="A6686" s="3">
        <v>43999.181446759263</v>
      </c>
      <c r="B6686" s="4" t="str">
        <f>HYPERLINK("https://twitter.com/petrogustavo","@petrogustavo")</f>
        <v>@petrogustavo</v>
      </c>
      <c r="C6686" s="5" t="s">
        <v>16</v>
      </c>
      <c r="D6686" s="5" t="s">
        <v>6484</v>
      </c>
      <c r="E6686" s="6" t="str">
        <f>HYPERLINK("https://twitter.com/petrogustavo/status/1273025383881900032","1273025383881900032")</f>
        <v>1273025383881900032</v>
      </c>
      <c r="F6686" s="7" t="s">
        <v>32</v>
      </c>
      <c r="G6686" s="7">
        <v>3883218</v>
      </c>
      <c r="H6686" s="7">
        <v>2419</v>
      </c>
      <c r="I6686" s="7">
        <v>133</v>
      </c>
      <c r="J6686" s="7">
        <v>0</v>
      </c>
      <c r="K6686" s="7" t="s">
        <v>18</v>
      </c>
      <c r="L6686" s="8">
        <v>39987.315405092595</v>
      </c>
      <c r="M6686" s="9" t="s">
        <v>19</v>
      </c>
      <c r="N6686" s="9" t="s">
        <v>20</v>
      </c>
      <c r="O6686" s="6" t="str">
        <f>HYPERLINK("https://pbs.twimg.com/profile_images/962471262747529216/Uo8lOkRJ_normal.jpg","View")</f>
        <v>View</v>
      </c>
      <c r="P6686" s="7"/>
    </row>
    <row r="6687" spans="1:16">
      <c r="A6687" s="3">
        <v>43999.202650462961</v>
      </c>
      <c r="B6687" s="4" t="str">
        <f>HYPERLINK("https://twitter.com/petrogustavo","@petrogustavo")</f>
        <v>@petrogustavo</v>
      </c>
      <c r="C6687" s="5" t="s">
        <v>16</v>
      </c>
      <c r="D6687" s="5" t="s">
        <v>6485</v>
      </c>
      <c r="E6687" s="6" t="str">
        <f>HYPERLINK("https://twitter.com/petrogustavo/status/1273033066265620480","1273033066265620480")</f>
        <v>1273033066265620480</v>
      </c>
      <c r="F6687" s="7" t="s">
        <v>32</v>
      </c>
      <c r="G6687" s="7">
        <v>3883247</v>
      </c>
      <c r="H6687" s="7">
        <v>2418</v>
      </c>
      <c r="I6687" s="7">
        <v>43</v>
      </c>
      <c r="J6687" s="7">
        <v>0</v>
      </c>
      <c r="K6687" s="7" t="s">
        <v>18</v>
      </c>
      <c r="L6687" s="8">
        <v>39987.315405092595</v>
      </c>
      <c r="M6687" s="9" t="s">
        <v>19</v>
      </c>
      <c r="N6687" s="9" t="s">
        <v>20</v>
      </c>
      <c r="O6687" s="6" t="str">
        <f>HYPERLINK("https://pbs.twimg.com/profile_images/962471262747529216/Uo8lOkRJ_normal.jpg","View")</f>
        <v>View</v>
      </c>
      <c r="P6687" s="7"/>
    </row>
    <row r="6688" spans="1:16">
      <c r="A6688" s="3">
        <v>43999.202777777777</v>
      </c>
      <c r="B6688" s="4" t="str">
        <f>HYPERLINK("https://twitter.com/petrogustavo","@petrogustavo")</f>
        <v>@petrogustavo</v>
      </c>
      <c r="C6688" s="5" t="s">
        <v>16</v>
      </c>
      <c r="D6688" s="5" t="s">
        <v>6486</v>
      </c>
      <c r="E6688" s="6" t="str">
        <f>HYPERLINK("https://twitter.com/petrogustavo/status/1273033113946542081","1273033113946542081")</f>
        <v>1273033113946542081</v>
      </c>
      <c r="F6688" s="7" t="s">
        <v>32</v>
      </c>
      <c r="G6688" s="7">
        <v>3883247</v>
      </c>
      <c r="H6688" s="7">
        <v>2418</v>
      </c>
      <c r="I6688" s="7">
        <v>28</v>
      </c>
      <c r="J6688" s="7">
        <v>0</v>
      </c>
      <c r="K6688" s="7" t="s">
        <v>18</v>
      </c>
      <c r="L6688" s="8">
        <v>39987.315405092595</v>
      </c>
      <c r="M6688" s="9" t="s">
        <v>19</v>
      </c>
      <c r="N6688" s="9" t="s">
        <v>20</v>
      </c>
      <c r="O6688" s="6" t="str">
        <f>HYPERLINK("https://pbs.twimg.com/profile_images/962471262747529216/Uo8lOkRJ_normal.jpg","View")</f>
        <v>View</v>
      </c>
      <c r="P6688" s="7"/>
    </row>
    <row r="6689" spans="1:16">
      <c r="A6689" s="3">
        <v>43999.206284722226</v>
      </c>
      <c r="B6689" s="4" t="str">
        <f>HYPERLINK("https://twitter.com/petrogustavo","@petrogustavo")</f>
        <v>@petrogustavo</v>
      </c>
      <c r="C6689" s="5" t="s">
        <v>16</v>
      </c>
      <c r="D6689" s="5" t="s">
        <v>6487</v>
      </c>
      <c r="E6689" s="6" t="str">
        <f>HYPERLINK("https://twitter.com/petrogustavo/status/1273034383528800256","1273034383528800256")</f>
        <v>1273034383528800256</v>
      </c>
      <c r="F6689" s="7" t="s">
        <v>32</v>
      </c>
      <c r="G6689" s="7">
        <v>3883247</v>
      </c>
      <c r="H6689" s="7">
        <v>2418</v>
      </c>
      <c r="I6689" s="7">
        <v>132</v>
      </c>
      <c r="J6689" s="7">
        <v>338</v>
      </c>
      <c r="K6689" s="7" t="s">
        <v>18</v>
      </c>
      <c r="L6689" s="8">
        <v>39987.315405092595</v>
      </c>
      <c r="M6689" s="9" t="s">
        <v>19</v>
      </c>
      <c r="N6689" s="9" t="s">
        <v>20</v>
      </c>
      <c r="O6689" s="6" t="str">
        <f>HYPERLINK("https://pbs.twimg.com/profile_images/962471262747529216/Uo8lOkRJ_normal.jpg","View")</f>
        <v>View</v>
      </c>
      <c r="P6689" s="7"/>
    </row>
    <row r="6690" spans="1:16">
      <c r="A6690" s="3">
        <v>43999.239664351851</v>
      </c>
      <c r="B6690" s="4" t="str">
        <f>HYPERLINK("https://twitter.com/petrogustavo","@petrogustavo")</f>
        <v>@petrogustavo</v>
      </c>
      <c r="C6690" s="5" t="s">
        <v>16</v>
      </c>
      <c r="D6690" s="5" t="s">
        <v>6482</v>
      </c>
      <c r="E6690" s="6" t="str">
        <f>HYPERLINK("https://twitter.com/petrogustavo/status/1273046478571921413","1273046478571921413")</f>
        <v>1273046478571921413</v>
      </c>
      <c r="F6690" s="7" t="s">
        <v>17</v>
      </c>
      <c r="G6690" s="7">
        <v>3883285</v>
      </c>
      <c r="H6690" s="7">
        <v>2418</v>
      </c>
      <c r="I6690" s="7">
        <v>96</v>
      </c>
      <c r="J6690" s="7">
        <v>0</v>
      </c>
      <c r="K6690" s="7" t="s">
        <v>18</v>
      </c>
      <c r="L6690" s="8">
        <v>39987.315405092595</v>
      </c>
      <c r="M6690" s="9" t="s">
        <v>19</v>
      </c>
      <c r="N6690" s="9" t="s">
        <v>20</v>
      </c>
      <c r="O6690" s="6" t="str">
        <f>HYPERLINK("https://pbs.twimg.com/profile_images/962471262747529216/Uo8lOkRJ_normal.jpg","View")</f>
        <v>View</v>
      </c>
      <c r="P6690" s="7"/>
    </row>
    <row r="6691" spans="1:16">
      <c r="A6691" s="3">
        <v>43999.239780092597</v>
      </c>
      <c r="B6691" s="4" t="str">
        <f>HYPERLINK("https://twitter.com/petrogustavo","@petrogustavo")</f>
        <v>@petrogustavo</v>
      </c>
      <c r="C6691" s="5" t="s">
        <v>16</v>
      </c>
      <c r="D6691" s="5" t="s">
        <v>6483</v>
      </c>
      <c r="E6691" s="6" t="str">
        <f>HYPERLINK("https://twitter.com/petrogustavo/status/1273046519659315201","1273046519659315201")</f>
        <v>1273046519659315201</v>
      </c>
      <c r="F6691" s="7" t="s">
        <v>17</v>
      </c>
      <c r="G6691" s="7">
        <v>3883285</v>
      </c>
      <c r="H6691" s="7">
        <v>2418</v>
      </c>
      <c r="I6691" s="7">
        <v>86</v>
      </c>
      <c r="J6691" s="7">
        <v>0</v>
      </c>
      <c r="K6691" s="7" t="s">
        <v>18</v>
      </c>
      <c r="L6691" s="8">
        <v>39987.315405092595</v>
      </c>
      <c r="M6691" s="9" t="s">
        <v>19</v>
      </c>
      <c r="N6691" s="9" t="s">
        <v>20</v>
      </c>
      <c r="O6691" s="6" t="str">
        <f>HYPERLINK("https://pbs.twimg.com/profile_images/962471262747529216/Uo8lOkRJ_normal.jpg","View")</f>
        <v>View</v>
      </c>
      <c r="P6691" s="7"/>
    </row>
    <row r="6692" spans="1:16">
      <c r="A6692" s="3">
        <v>43999.239861111113</v>
      </c>
      <c r="B6692" s="4" t="str">
        <f>HYPERLINK("https://twitter.com/petrogustavo","@petrogustavo")</f>
        <v>@petrogustavo</v>
      </c>
      <c r="C6692" s="5" t="s">
        <v>16</v>
      </c>
      <c r="D6692" s="5" t="s">
        <v>6484</v>
      </c>
      <c r="E6692" s="6" t="str">
        <f>HYPERLINK("https://twitter.com/petrogustavo/status/1273046549774454784","1273046549774454784")</f>
        <v>1273046549774454784</v>
      </c>
      <c r="F6692" s="7" t="s">
        <v>17</v>
      </c>
      <c r="G6692" s="7">
        <v>3883285</v>
      </c>
      <c r="H6692" s="7">
        <v>2418</v>
      </c>
      <c r="I6692" s="7">
        <v>168</v>
      </c>
      <c r="J6692" s="7">
        <v>0</v>
      </c>
      <c r="K6692" s="7" t="s">
        <v>18</v>
      </c>
      <c r="L6692" s="8">
        <v>39987.315405092595</v>
      </c>
      <c r="M6692" s="9" t="s">
        <v>19</v>
      </c>
      <c r="N6692" s="9" t="s">
        <v>20</v>
      </c>
      <c r="O6692" s="6" t="str">
        <f>HYPERLINK("https://pbs.twimg.com/profile_images/962471262747529216/Uo8lOkRJ_normal.jpg","View")</f>
        <v>View</v>
      </c>
      <c r="P6692" s="7"/>
    </row>
    <row r="6693" spans="1:16">
      <c r="A6693" s="3">
        <v>43999.265289351853</v>
      </c>
      <c r="B6693" s="4" t="str">
        <f>HYPERLINK("https://twitter.com/petrogustavo","@petrogustavo")</f>
        <v>@petrogustavo</v>
      </c>
      <c r="C6693" s="5" t="s">
        <v>16</v>
      </c>
      <c r="D6693" s="5" t="s">
        <v>6488</v>
      </c>
      <c r="E6693" s="6" t="str">
        <f>HYPERLINK("https://twitter.com/petrogustavo/status/1273055767810183168","1273055767810183168")</f>
        <v>1273055767810183168</v>
      </c>
      <c r="F6693" s="7" t="s">
        <v>17</v>
      </c>
      <c r="G6693" s="7">
        <v>3883349</v>
      </c>
      <c r="H6693" s="7">
        <v>2418</v>
      </c>
      <c r="I6693" s="7">
        <v>60</v>
      </c>
      <c r="J6693" s="7">
        <v>0</v>
      </c>
      <c r="K6693" s="7" t="s">
        <v>18</v>
      </c>
      <c r="L6693" s="8">
        <v>39987.315405092595</v>
      </c>
      <c r="M6693" s="9" t="s">
        <v>19</v>
      </c>
      <c r="N6693" s="9" t="s">
        <v>20</v>
      </c>
      <c r="O6693" s="6" t="str">
        <f>HYPERLINK("https://pbs.twimg.com/profile_images/962471262747529216/Uo8lOkRJ_normal.jpg","View")</f>
        <v>View</v>
      </c>
      <c r="P6693" s="7"/>
    </row>
    <row r="6694" spans="1:16">
      <c r="A6694" s="3">
        <v>43999.26563657407</v>
      </c>
      <c r="B6694" s="4" t="str">
        <f>HYPERLINK("https://twitter.com/petrogustavo","@petrogustavo")</f>
        <v>@petrogustavo</v>
      </c>
      <c r="C6694" s="5" t="s">
        <v>16</v>
      </c>
      <c r="D6694" s="5" t="s">
        <v>6489</v>
      </c>
      <c r="E6694" s="6" t="str">
        <f>HYPERLINK("https://twitter.com/petrogustavo/status/1273055893446373378","1273055893446373378")</f>
        <v>1273055893446373378</v>
      </c>
      <c r="F6694" s="7" t="s">
        <v>17</v>
      </c>
      <c r="G6694" s="7">
        <v>3883349</v>
      </c>
      <c r="H6694" s="7">
        <v>2418</v>
      </c>
      <c r="I6694" s="7">
        <v>64</v>
      </c>
      <c r="J6694" s="7">
        <v>0</v>
      </c>
      <c r="K6694" s="7" t="s">
        <v>18</v>
      </c>
      <c r="L6694" s="8">
        <v>39987.315405092595</v>
      </c>
      <c r="M6694" s="9" t="s">
        <v>19</v>
      </c>
      <c r="N6694" s="9" t="s">
        <v>20</v>
      </c>
      <c r="O6694" s="6" t="str">
        <f>HYPERLINK("https://pbs.twimg.com/profile_images/962471262747529216/Uo8lOkRJ_normal.jpg","View")</f>
        <v>View</v>
      </c>
      <c r="P6694" s="7"/>
    </row>
    <row r="6695" spans="1:16">
      <c r="A6695" s="3">
        <v>43999.301111111112</v>
      </c>
      <c r="B6695" s="4" t="str">
        <f>HYPERLINK("https://twitter.com/petrogustavo","@petrogustavo")</f>
        <v>@petrogustavo</v>
      </c>
      <c r="C6695" s="5" t="s">
        <v>16</v>
      </c>
      <c r="D6695" s="5" t="s">
        <v>6490</v>
      </c>
      <c r="E6695" s="6" t="str">
        <f>HYPERLINK("https://twitter.com/petrogustavo/status/1273068745448140800","1273068745448140800")</f>
        <v>1273068745448140800</v>
      </c>
      <c r="F6695" s="7" t="s">
        <v>17</v>
      </c>
      <c r="G6695" s="7">
        <v>3883394</v>
      </c>
      <c r="H6695" s="7">
        <v>2418</v>
      </c>
      <c r="I6695" s="7">
        <v>63</v>
      </c>
      <c r="J6695" s="7">
        <v>198</v>
      </c>
      <c r="K6695" s="7" t="s">
        <v>18</v>
      </c>
      <c r="L6695" s="8">
        <v>39987.315405092595</v>
      </c>
      <c r="M6695" s="9" t="s">
        <v>19</v>
      </c>
      <c r="N6695" s="9" t="s">
        <v>20</v>
      </c>
      <c r="O6695" s="6" t="str">
        <f>HYPERLINK("https://pbs.twimg.com/profile_images/962471262747529216/Uo8lOkRJ_normal.jpg","View")</f>
        <v>View</v>
      </c>
      <c r="P6695" s="7"/>
    </row>
    <row r="6696" spans="1:16">
      <c r="A6696" s="3">
        <v>43999.30673611111</v>
      </c>
      <c r="B6696" s="4" t="str">
        <f>HYPERLINK("https://twitter.com/petrogustavo","@petrogustavo")</f>
        <v>@petrogustavo</v>
      </c>
      <c r="C6696" s="5" t="s">
        <v>16</v>
      </c>
      <c r="D6696" s="5" t="s">
        <v>6491</v>
      </c>
      <c r="E6696" s="6" t="str">
        <f>HYPERLINK("https://twitter.com/petrogustavo/status/1273070785188462594","1273070785188462594")</f>
        <v>1273070785188462594</v>
      </c>
      <c r="F6696" s="7" t="s">
        <v>17</v>
      </c>
      <c r="G6696" s="7">
        <v>3883426</v>
      </c>
      <c r="H6696" s="7">
        <v>2418</v>
      </c>
      <c r="I6696" s="7">
        <v>342</v>
      </c>
      <c r="J6696" s="7">
        <v>644</v>
      </c>
      <c r="K6696" s="7" t="s">
        <v>18</v>
      </c>
      <c r="L6696" s="8">
        <v>39987.315405092595</v>
      </c>
      <c r="M6696" s="9" t="s">
        <v>19</v>
      </c>
      <c r="N6696" s="9" t="s">
        <v>20</v>
      </c>
      <c r="O6696" s="6" t="str">
        <f>HYPERLINK("https://pbs.twimg.com/profile_images/962471262747529216/Uo8lOkRJ_normal.jpg","View")</f>
        <v>View</v>
      </c>
      <c r="P6696" s="7"/>
    </row>
    <row r="6697" spans="1:16">
      <c r="A6697" s="3">
        <v>43999.310613425929</v>
      </c>
      <c r="B6697" s="4" t="str">
        <f>HYPERLINK("https://twitter.com/petrogustavo","@petrogustavo")</f>
        <v>@petrogustavo</v>
      </c>
      <c r="C6697" s="5" t="s">
        <v>16</v>
      </c>
      <c r="D6697" s="5" t="s">
        <v>6492</v>
      </c>
      <c r="E6697" s="6" t="str">
        <f>HYPERLINK("https://twitter.com/petrogustavo/status/1273072190896975872","1273072190896975872")</f>
        <v>1273072190896975872</v>
      </c>
      <c r="F6697" s="7" t="s">
        <v>17</v>
      </c>
      <c r="G6697" s="7">
        <v>3883426</v>
      </c>
      <c r="H6697" s="7">
        <v>2418</v>
      </c>
      <c r="I6697" s="7">
        <v>28</v>
      </c>
      <c r="J6697" s="7">
        <v>0</v>
      </c>
      <c r="K6697" s="7" t="s">
        <v>18</v>
      </c>
      <c r="L6697" s="8">
        <v>39987.315405092595</v>
      </c>
      <c r="M6697" s="9" t="s">
        <v>19</v>
      </c>
      <c r="N6697" s="9" t="s">
        <v>20</v>
      </c>
      <c r="O6697" s="6" t="str">
        <f>HYPERLINK("https://pbs.twimg.com/profile_images/962471262747529216/Uo8lOkRJ_normal.jpg","View")</f>
        <v>View</v>
      </c>
      <c r="P6697" s="7"/>
    </row>
    <row r="6698" spans="1:16">
      <c r="A6698" s="3">
        <v>43999.310798611114</v>
      </c>
      <c r="B6698" s="4" t="str">
        <f>HYPERLINK("https://twitter.com/petrogustavo","@petrogustavo")</f>
        <v>@petrogustavo</v>
      </c>
      <c r="C6698" s="5" t="s">
        <v>16</v>
      </c>
      <c r="D6698" s="5" t="s">
        <v>6493</v>
      </c>
      <c r="E6698" s="6" t="str">
        <f>HYPERLINK("https://twitter.com/petrogustavo/status/1273072256554590211","1273072256554590211")</f>
        <v>1273072256554590211</v>
      </c>
      <c r="F6698" s="7" t="s">
        <v>17</v>
      </c>
      <c r="G6698" s="7">
        <v>3883426</v>
      </c>
      <c r="H6698" s="7">
        <v>2418</v>
      </c>
      <c r="I6698" s="7">
        <v>342</v>
      </c>
      <c r="J6698" s="7">
        <v>0</v>
      </c>
      <c r="K6698" s="7" t="s">
        <v>18</v>
      </c>
      <c r="L6698" s="8">
        <v>39987.315405092595</v>
      </c>
      <c r="M6698" s="9" t="s">
        <v>19</v>
      </c>
      <c r="N6698" s="9" t="s">
        <v>20</v>
      </c>
      <c r="O6698" s="6" t="str">
        <f>HYPERLINK("https://pbs.twimg.com/profile_images/962471262747529216/Uo8lOkRJ_normal.jpg","View")</f>
        <v>View</v>
      </c>
      <c r="P6698" s="7"/>
    </row>
    <row r="6699" spans="1:16">
      <c r="A6699" s="3">
        <v>43999.319965277777</v>
      </c>
      <c r="B6699" s="4" t="str">
        <f>HYPERLINK("https://twitter.com/petrogustavo","@petrogustavo")</f>
        <v>@petrogustavo</v>
      </c>
      <c r="C6699" s="5" t="s">
        <v>16</v>
      </c>
      <c r="D6699" s="5" t="s">
        <v>6494</v>
      </c>
      <c r="E6699" s="6" t="str">
        <f>HYPERLINK("https://twitter.com/petrogustavo/status/1273075579391279107","1273075579391279107")</f>
        <v>1273075579391279107</v>
      </c>
      <c r="F6699" s="7" t="s">
        <v>17</v>
      </c>
      <c r="G6699" s="7">
        <v>3883426</v>
      </c>
      <c r="H6699" s="7">
        <v>2418</v>
      </c>
      <c r="I6699" s="7">
        <v>470</v>
      </c>
      <c r="J6699" s="7">
        <v>0</v>
      </c>
      <c r="K6699" s="7" t="s">
        <v>18</v>
      </c>
      <c r="L6699" s="8">
        <v>39987.315405092595</v>
      </c>
      <c r="M6699" s="9" t="s">
        <v>19</v>
      </c>
      <c r="N6699" s="9" t="s">
        <v>20</v>
      </c>
      <c r="O6699" s="6" t="str">
        <f>HYPERLINK("https://pbs.twimg.com/profile_images/962471262747529216/Uo8lOkRJ_normal.jpg","View")</f>
        <v>View</v>
      </c>
      <c r="P6699" s="7"/>
    </row>
    <row r="6700" spans="1:16">
      <c r="A6700" s="3">
        <v>43999.320127314815</v>
      </c>
      <c r="B6700" s="4" t="str">
        <f>HYPERLINK("https://twitter.com/petrogustavo","@petrogustavo")</f>
        <v>@petrogustavo</v>
      </c>
      <c r="C6700" s="5" t="s">
        <v>16</v>
      </c>
      <c r="D6700" s="5" t="s">
        <v>6495</v>
      </c>
      <c r="E6700" s="6" t="str">
        <f>HYPERLINK("https://twitter.com/petrogustavo/status/1273075640250650625","1273075640250650625")</f>
        <v>1273075640250650625</v>
      </c>
      <c r="F6700" s="7" t="s">
        <v>17</v>
      </c>
      <c r="G6700" s="7">
        <v>3883426</v>
      </c>
      <c r="H6700" s="7">
        <v>2418</v>
      </c>
      <c r="I6700" s="7">
        <v>299</v>
      </c>
      <c r="J6700" s="7">
        <v>0</v>
      </c>
      <c r="K6700" s="7" t="s">
        <v>18</v>
      </c>
      <c r="L6700" s="8">
        <v>39987.315405092595</v>
      </c>
      <c r="M6700" s="9" t="s">
        <v>19</v>
      </c>
      <c r="N6700" s="9" t="s">
        <v>20</v>
      </c>
      <c r="O6700" s="6" t="str">
        <f>HYPERLINK("https://pbs.twimg.com/profile_images/962471262747529216/Uo8lOkRJ_normal.jpg","View")</f>
        <v>View</v>
      </c>
      <c r="P6700" s="7"/>
    </row>
    <row r="6701" spans="1:16">
      <c r="A6701" s="3">
        <v>43999.328009259261</v>
      </c>
      <c r="B6701" s="4" t="str">
        <f>HYPERLINK("https://twitter.com/petrogustavo","@petrogustavo")</f>
        <v>@petrogustavo</v>
      </c>
      <c r="C6701" s="5" t="s">
        <v>16</v>
      </c>
      <c r="D6701" s="5" t="s">
        <v>6496</v>
      </c>
      <c r="E6701" s="6" t="str">
        <f>HYPERLINK("https://twitter.com/petrogustavo/status/1273078493014827014","1273078493014827014")</f>
        <v>1273078493014827014</v>
      </c>
      <c r="F6701" s="7" t="s">
        <v>21</v>
      </c>
      <c r="G6701" s="7">
        <v>3883448</v>
      </c>
      <c r="H6701" s="7">
        <v>2418</v>
      </c>
      <c r="I6701" s="7">
        <v>688</v>
      </c>
      <c r="J6701" s="7">
        <v>1413</v>
      </c>
      <c r="K6701" s="7" t="s">
        <v>18</v>
      </c>
      <c r="L6701" s="8">
        <v>39987.315405092595</v>
      </c>
      <c r="M6701" s="9" t="s">
        <v>19</v>
      </c>
      <c r="N6701" s="9" t="s">
        <v>20</v>
      </c>
      <c r="O6701" s="6" t="str">
        <f>HYPERLINK("https://pbs.twimg.com/profile_images/962471262747529216/Uo8lOkRJ_normal.jpg","View")</f>
        <v>View</v>
      </c>
      <c r="P6701" s="7"/>
    </row>
    <row r="6702" spans="1:16">
      <c r="A6702" s="3">
        <v>43999.328773148147</v>
      </c>
      <c r="B6702" s="4" t="str">
        <f>HYPERLINK("https://twitter.com/petrogustavo","@petrogustavo")</f>
        <v>@petrogustavo</v>
      </c>
      <c r="C6702" s="5" t="s">
        <v>16</v>
      </c>
      <c r="D6702" s="5" t="s">
        <v>6497</v>
      </c>
      <c r="E6702" s="6" t="str">
        <f>HYPERLINK("https://twitter.com/petrogustavo/status/1273078773349584896","1273078773349584896")</f>
        <v>1273078773349584896</v>
      </c>
      <c r="F6702" s="7" t="s">
        <v>32</v>
      </c>
      <c r="G6702" s="7">
        <v>3883448</v>
      </c>
      <c r="H6702" s="7">
        <v>2418</v>
      </c>
      <c r="I6702" s="7">
        <v>283</v>
      </c>
      <c r="J6702" s="7">
        <v>1354</v>
      </c>
      <c r="K6702" s="7" t="s">
        <v>18</v>
      </c>
      <c r="L6702" s="8">
        <v>39987.315405092595</v>
      </c>
      <c r="M6702" s="9" t="s">
        <v>19</v>
      </c>
      <c r="N6702" s="9" t="s">
        <v>20</v>
      </c>
      <c r="O6702" s="6" t="str">
        <f>HYPERLINK("https://pbs.twimg.com/profile_images/962471262747529216/Uo8lOkRJ_normal.jpg","View")</f>
        <v>View</v>
      </c>
      <c r="P6702" s="7"/>
    </row>
    <row r="6703" spans="1:16">
      <c r="A6703" s="3">
        <v>43999.328935185185</v>
      </c>
      <c r="B6703" s="4" t="str">
        <f>HYPERLINK("https://twitter.com/petrogustavo","@petrogustavo")</f>
        <v>@petrogustavo</v>
      </c>
      <c r="C6703" s="5" t="s">
        <v>16</v>
      </c>
      <c r="D6703" s="5" t="s">
        <v>6498</v>
      </c>
      <c r="E6703" s="6" t="str">
        <f>HYPERLINK("https://twitter.com/petrogustavo/status/1273078831289696258","1273078831289696258")</f>
        <v>1273078831289696258</v>
      </c>
      <c r="F6703" s="7" t="s">
        <v>32</v>
      </c>
      <c r="G6703" s="7">
        <v>3883448</v>
      </c>
      <c r="H6703" s="7">
        <v>2418</v>
      </c>
      <c r="I6703" s="7">
        <v>688</v>
      </c>
      <c r="J6703" s="7">
        <v>0</v>
      </c>
      <c r="K6703" s="7" t="s">
        <v>18</v>
      </c>
      <c r="L6703" s="8">
        <v>39987.315405092595</v>
      </c>
      <c r="M6703" s="9" t="s">
        <v>19</v>
      </c>
      <c r="N6703" s="9" t="s">
        <v>20</v>
      </c>
      <c r="O6703" s="6" t="str">
        <f>HYPERLINK("https://pbs.twimg.com/profile_images/962471262747529216/Uo8lOkRJ_normal.jpg","View")</f>
        <v>View</v>
      </c>
      <c r="P6703" s="7"/>
    </row>
    <row r="6704" spans="1:16">
      <c r="A6704" s="3">
        <v>43999.361678240741</v>
      </c>
      <c r="B6704" s="4" t="str">
        <f>HYPERLINK("https://twitter.com/petrogustavo","@petrogustavo")</f>
        <v>@petrogustavo</v>
      </c>
      <c r="C6704" s="5" t="s">
        <v>16</v>
      </c>
      <c r="D6704" s="5" t="s">
        <v>6499</v>
      </c>
      <c r="E6704" s="6" t="str">
        <f>HYPERLINK("https://twitter.com/petrogustavo/status/1273090697441222656","1273090697441222656")</f>
        <v>1273090697441222656</v>
      </c>
      <c r="F6704" s="7" t="s">
        <v>32</v>
      </c>
      <c r="G6704" s="7">
        <v>3883496</v>
      </c>
      <c r="H6704" s="7">
        <v>2418</v>
      </c>
      <c r="I6704" s="7">
        <v>130</v>
      </c>
      <c r="J6704" s="7">
        <v>0</v>
      </c>
      <c r="K6704" s="7" t="s">
        <v>18</v>
      </c>
      <c r="L6704" s="8">
        <v>39987.315405092595</v>
      </c>
      <c r="M6704" s="9" t="s">
        <v>19</v>
      </c>
      <c r="N6704" s="9" t="s">
        <v>20</v>
      </c>
      <c r="O6704" s="6" t="str">
        <f>HYPERLINK("https://pbs.twimg.com/profile_images/962471262747529216/Uo8lOkRJ_normal.jpg","View")</f>
        <v>View</v>
      </c>
      <c r="P6704" s="7"/>
    </row>
    <row r="6705" spans="1:16">
      <c r="A6705" s="3">
        <v>43999.370486111111</v>
      </c>
      <c r="B6705" s="4" t="str">
        <f>HYPERLINK("https://twitter.com/petrogustavo","@petrogustavo")</f>
        <v>@petrogustavo</v>
      </c>
      <c r="C6705" s="5" t="s">
        <v>16</v>
      </c>
      <c r="D6705" s="5" t="s">
        <v>6498</v>
      </c>
      <c r="E6705" s="6" t="str">
        <f>HYPERLINK("https://twitter.com/petrogustavo/status/1273093889973501960","1273093889973501960")</f>
        <v>1273093889973501960</v>
      </c>
      <c r="F6705" s="7" t="s">
        <v>32</v>
      </c>
      <c r="G6705" s="7">
        <v>3883546</v>
      </c>
      <c r="H6705" s="7">
        <v>2418</v>
      </c>
      <c r="I6705" s="7">
        <v>2377</v>
      </c>
      <c r="J6705" s="7">
        <v>0</v>
      </c>
      <c r="K6705" s="7" t="s">
        <v>18</v>
      </c>
      <c r="L6705" s="8">
        <v>39987.315405092595</v>
      </c>
      <c r="M6705" s="9" t="s">
        <v>19</v>
      </c>
      <c r="N6705" s="9" t="s">
        <v>20</v>
      </c>
      <c r="O6705" s="6" t="str">
        <f>HYPERLINK("https://pbs.twimg.com/profile_images/962471262747529216/Uo8lOkRJ_normal.jpg","View")</f>
        <v>View</v>
      </c>
      <c r="P6705" s="7"/>
    </row>
    <row r="6706" spans="1:16">
      <c r="A6706" s="3">
        <v>43999.401122685187</v>
      </c>
      <c r="B6706" s="4" t="str">
        <f>HYPERLINK("https://twitter.com/petrogustavo","@petrogustavo")</f>
        <v>@petrogustavo</v>
      </c>
      <c r="C6706" s="5" t="s">
        <v>16</v>
      </c>
      <c r="D6706" s="5" t="s">
        <v>6498</v>
      </c>
      <c r="E6706" s="6" t="str">
        <f>HYPERLINK("https://twitter.com/petrogustavo/status/1273104991927107586","1273104991927107586")</f>
        <v>1273104991927107586</v>
      </c>
      <c r="F6706" s="7" t="s">
        <v>17</v>
      </c>
      <c r="G6706" s="7">
        <v>3883597</v>
      </c>
      <c r="H6706" s="7">
        <v>2418</v>
      </c>
      <c r="I6706" s="7">
        <v>2976</v>
      </c>
      <c r="J6706" s="7">
        <v>0</v>
      </c>
      <c r="K6706" s="7" t="s">
        <v>18</v>
      </c>
      <c r="L6706" s="8">
        <v>39987.315405092595</v>
      </c>
      <c r="M6706" s="9" t="s">
        <v>19</v>
      </c>
      <c r="N6706" s="9" t="s">
        <v>20</v>
      </c>
      <c r="O6706" s="6" t="str">
        <f>HYPERLINK("https://pbs.twimg.com/profile_images/962471262747529216/Uo8lOkRJ_normal.jpg","View")</f>
        <v>View</v>
      </c>
      <c r="P6706" s="7"/>
    </row>
    <row r="6707" spans="1:16">
      <c r="A6707" s="3">
        <v>43999.791851851856</v>
      </c>
      <c r="B6707" s="4" t="str">
        <f>HYPERLINK("https://twitter.com/petrogustavo","@petrogustavo")</f>
        <v>@petrogustavo</v>
      </c>
      <c r="C6707" s="5" t="s">
        <v>16</v>
      </c>
      <c r="D6707" s="5" t="s">
        <v>6500</v>
      </c>
      <c r="E6707" s="6" t="str">
        <f>HYPERLINK("https://twitter.com/petrogustavo/status/1273246585854574596","1273246585854574596")</f>
        <v>1273246585854574596</v>
      </c>
      <c r="F6707" s="7" t="s">
        <v>17</v>
      </c>
      <c r="G6707" s="7">
        <v>3883934</v>
      </c>
      <c r="H6707" s="7">
        <v>2418</v>
      </c>
      <c r="I6707" s="7">
        <v>348</v>
      </c>
      <c r="J6707" s="7">
        <v>613</v>
      </c>
      <c r="K6707" s="7" t="s">
        <v>18</v>
      </c>
      <c r="L6707" s="8">
        <v>39987.315405092595</v>
      </c>
      <c r="M6707" s="9" t="s">
        <v>19</v>
      </c>
      <c r="N6707" s="9" t="s">
        <v>20</v>
      </c>
      <c r="O6707" s="6" t="str">
        <f>HYPERLINK("https://pbs.twimg.com/profile_images/962471262747529216/Uo8lOkRJ_normal.jpg","View")</f>
        <v>View</v>
      </c>
      <c r="P6707" s="7"/>
    </row>
    <row r="6708" spans="1:16">
      <c r="A6708" s="3">
        <v>43999.807569444441</v>
      </c>
      <c r="B6708" s="4" t="str">
        <f>HYPERLINK("https://twitter.com/petrogustavo","@petrogustavo")</f>
        <v>@petrogustavo</v>
      </c>
      <c r="C6708" s="5" t="s">
        <v>16</v>
      </c>
      <c r="D6708" s="5" t="s">
        <v>6501</v>
      </c>
      <c r="E6708" s="6" t="str">
        <f>HYPERLINK("https://twitter.com/petrogustavo/status/1273252280754745346","1273252280754745346")</f>
        <v>1273252280754745346</v>
      </c>
      <c r="F6708" s="7" t="s">
        <v>32</v>
      </c>
      <c r="G6708" s="7">
        <v>3883988</v>
      </c>
      <c r="H6708" s="7">
        <v>2418</v>
      </c>
      <c r="I6708" s="7">
        <v>253</v>
      </c>
      <c r="J6708" s="7">
        <v>0</v>
      </c>
      <c r="K6708" s="7" t="s">
        <v>18</v>
      </c>
      <c r="L6708" s="8">
        <v>39987.315405092595</v>
      </c>
      <c r="M6708" s="9" t="s">
        <v>19</v>
      </c>
      <c r="N6708" s="9" t="s">
        <v>20</v>
      </c>
      <c r="O6708" s="6" t="str">
        <f>HYPERLINK("https://pbs.twimg.com/profile_images/962471262747529216/Uo8lOkRJ_normal.jpg","View")</f>
        <v>View</v>
      </c>
      <c r="P6708" s="7"/>
    </row>
    <row r="6709" spans="1:16">
      <c r="A6709" s="3">
        <v>43999.8125</v>
      </c>
      <c r="B6709" s="4" t="str">
        <f>HYPERLINK("https://twitter.com/petrogustavo","@petrogustavo")</f>
        <v>@petrogustavo</v>
      </c>
      <c r="C6709" s="5" t="s">
        <v>16</v>
      </c>
      <c r="D6709" s="5" t="s">
        <v>6502</v>
      </c>
      <c r="E6709" s="6" t="str">
        <f>HYPERLINK("https://twitter.com/petrogustavo/status/1273254068731944960","1273254068731944960")</f>
        <v>1273254068731944960</v>
      </c>
      <c r="F6709" s="7" t="s">
        <v>17</v>
      </c>
      <c r="G6709" s="7">
        <v>3883988</v>
      </c>
      <c r="H6709" s="7">
        <v>2418</v>
      </c>
      <c r="I6709" s="7">
        <v>277</v>
      </c>
      <c r="J6709" s="7">
        <v>493</v>
      </c>
      <c r="K6709" s="7" t="s">
        <v>18</v>
      </c>
      <c r="L6709" s="8">
        <v>39987.315405092595</v>
      </c>
      <c r="M6709" s="9" t="s">
        <v>19</v>
      </c>
      <c r="N6709" s="9" t="s">
        <v>20</v>
      </c>
      <c r="O6709" s="6" t="str">
        <f>HYPERLINK("https://pbs.twimg.com/profile_images/962471262747529216/Uo8lOkRJ_normal.jpg","View")</f>
        <v>View</v>
      </c>
      <c r="P6709" s="7"/>
    </row>
    <row r="6710" spans="1:16">
      <c r="A6710" s="3">
        <v>43999.822847222225</v>
      </c>
      <c r="B6710" s="4" t="str">
        <f>HYPERLINK("https://twitter.com/petrogustavo","@petrogustavo")</f>
        <v>@petrogustavo</v>
      </c>
      <c r="C6710" s="5" t="s">
        <v>16</v>
      </c>
      <c r="D6710" s="5" t="s">
        <v>6503</v>
      </c>
      <c r="E6710" s="6" t="str">
        <f>HYPERLINK("https://twitter.com/petrogustavo/status/1273257816929771520","1273257816929771520")</f>
        <v>1273257816929771520</v>
      </c>
      <c r="F6710" s="7" t="s">
        <v>17</v>
      </c>
      <c r="G6710" s="7">
        <v>3883988</v>
      </c>
      <c r="H6710" s="7">
        <v>2418</v>
      </c>
      <c r="I6710" s="7">
        <v>65</v>
      </c>
      <c r="J6710" s="7">
        <v>120</v>
      </c>
      <c r="K6710" s="7" t="s">
        <v>18</v>
      </c>
      <c r="L6710" s="8">
        <v>39987.315405092595</v>
      </c>
      <c r="M6710" s="9" t="s">
        <v>19</v>
      </c>
      <c r="N6710" s="9" t="s">
        <v>20</v>
      </c>
      <c r="O6710" s="6" t="str">
        <f>HYPERLINK("https://pbs.twimg.com/profile_images/962471262747529216/Uo8lOkRJ_normal.jpg","View")</f>
        <v>View</v>
      </c>
      <c r="P6710" s="7"/>
    </row>
    <row r="6711" spans="1:16">
      <c r="A6711" s="3">
        <v>43999.834988425922</v>
      </c>
      <c r="B6711" s="4" t="str">
        <f>HYPERLINK("https://twitter.com/petrogustavo","@petrogustavo")</f>
        <v>@petrogustavo</v>
      </c>
      <c r="C6711" s="5" t="s">
        <v>16</v>
      </c>
      <c r="D6711" s="5" t="s">
        <v>6504</v>
      </c>
      <c r="E6711" s="6" t="str">
        <f>HYPERLINK("https://twitter.com/petrogustavo/status/1273262216658259968","1273262216658259968")</f>
        <v>1273262216658259968</v>
      </c>
      <c r="F6711" s="7" t="s">
        <v>17</v>
      </c>
      <c r="G6711" s="7">
        <v>3884008</v>
      </c>
      <c r="H6711" s="7">
        <v>2418</v>
      </c>
      <c r="I6711" s="7">
        <v>145</v>
      </c>
      <c r="J6711" s="7">
        <v>280</v>
      </c>
      <c r="K6711" s="7" t="s">
        <v>18</v>
      </c>
      <c r="L6711" s="8">
        <v>39987.315405092595</v>
      </c>
      <c r="M6711" s="9" t="s">
        <v>19</v>
      </c>
      <c r="N6711" s="9" t="s">
        <v>20</v>
      </c>
      <c r="O6711" s="6" t="str">
        <f>HYPERLINK("https://pbs.twimg.com/profile_images/962471262747529216/Uo8lOkRJ_normal.jpg","View")</f>
        <v>View</v>
      </c>
      <c r="P6711" s="7"/>
    </row>
    <row r="6712" spans="1:16">
      <c r="A6712" s="3">
        <v>43999.844687500001</v>
      </c>
      <c r="B6712" s="4" t="str">
        <f>HYPERLINK("https://twitter.com/petrogustavo","@petrogustavo")</f>
        <v>@petrogustavo</v>
      </c>
      <c r="C6712" s="5" t="s">
        <v>16</v>
      </c>
      <c r="D6712" s="5" t="s">
        <v>6505</v>
      </c>
      <c r="E6712" s="6" t="str">
        <f>HYPERLINK("https://twitter.com/petrogustavo/status/1273265732198043649","1273265732198043649")</f>
        <v>1273265732198043649</v>
      </c>
      <c r="F6712" s="7" t="s">
        <v>17</v>
      </c>
      <c r="G6712" s="7">
        <v>3884008</v>
      </c>
      <c r="H6712" s="7">
        <v>2418</v>
      </c>
      <c r="I6712" s="7">
        <v>36</v>
      </c>
      <c r="J6712" s="7">
        <v>64</v>
      </c>
      <c r="K6712" s="7" t="s">
        <v>18</v>
      </c>
      <c r="L6712" s="8">
        <v>39987.315405092595</v>
      </c>
      <c r="M6712" s="9" t="s">
        <v>19</v>
      </c>
      <c r="N6712" s="9" t="s">
        <v>20</v>
      </c>
      <c r="O6712" s="6" t="str">
        <f>HYPERLINK("https://pbs.twimg.com/profile_images/962471262747529216/Uo8lOkRJ_normal.jpg","View")</f>
        <v>View</v>
      </c>
      <c r="P6712" s="7"/>
    </row>
    <row r="6713" spans="1:16">
      <c r="A6713" s="3">
        <v>43999.885104166664</v>
      </c>
      <c r="B6713" s="4" t="str">
        <f>HYPERLINK("https://twitter.com/petrogustavo","@petrogustavo")</f>
        <v>@petrogustavo</v>
      </c>
      <c r="C6713" s="5" t="s">
        <v>16</v>
      </c>
      <c r="D6713" s="5" t="s">
        <v>6506</v>
      </c>
      <c r="E6713" s="6" t="str">
        <f>HYPERLINK("https://twitter.com/petrogustavo/status/1273280378506223616","1273280378506223616")</f>
        <v>1273280378506223616</v>
      </c>
      <c r="F6713" s="7" t="s">
        <v>17</v>
      </c>
      <c r="G6713" s="7">
        <v>3884104</v>
      </c>
      <c r="H6713" s="7">
        <v>2418</v>
      </c>
      <c r="I6713" s="7">
        <v>87</v>
      </c>
      <c r="J6713" s="7">
        <v>185</v>
      </c>
      <c r="K6713" s="7" t="s">
        <v>18</v>
      </c>
      <c r="L6713" s="8">
        <v>39987.315405092595</v>
      </c>
      <c r="M6713" s="9" t="s">
        <v>19</v>
      </c>
      <c r="N6713" s="9" t="s">
        <v>20</v>
      </c>
      <c r="O6713" s="6" t="str">
        <f>HYPERLINK("https://pbs.twimg.com/profile_images/962471262747529216/Uo8lOkRJ_normal.jpg","View")</f>
        <v>View</v>
      </c>
      <c r="P6713" s="7"/>
    </row>
    <row r="6714" spans="1:16">
      <c r="A6714" s="3">
        <v>43999.946342592593</v>
      </c>
      <c r="B6714" s="4" t="str">
        <f>HYPERLINK("https://twitter.com/petrogustavo","@petrogustavo")</f>
        <v>@petrogustavo</v>
      </c>
      <c r="C6714" s="5" t="s">
        <v>16</v>
      </c>
      <c r="D6714" s="5" t="s">
        <v>6507</v>
      </c>
      <c r="E6714" s="6" t="str">
        <f>HYPERLINK("https://twitter.com/petrogustavo/status/1273302570115702787","1273302570115702787")</f>
        <v>1273302570115702787</v>
      </c>
      <c r="F6714" s="7" t="s">
        <v>32</v>
      </c>
      <c r="G6714" s="7">
        <v>3884222</v>
      </c>
      <c r="H6714" s="7">
        <v>2418</v>
      </c>
      <c r="I6714" s="7">
        <v>48</v>
      </c>
      <c r="J6714" s="7">
        <v>176</v>
      </c>
      <c r="K6714" s="7" t="s">
        <v>18</v>
      </c>
      <c r="L6714" s="8">
        <v>39987.315405092595</v>
      </c>
      <c r="M6714" s="9" t="s">
        <v>19</v>
      </c>
      <c r="N6714" s="9" t="s">
        <v>20</v>
      </c>
      <c r="O6714" s="6" t="str">
        <f>HYPERLINK("https://pbs.twimg.com/profile_images/962471262747529216/Uo8lOkRJ_normal.jpg","View")</f>
        <v>View</v>
      </c>
      <c r="P6714" s="7"/>
    </row>
    <row r="6715" spans="1:16">
      <c r="A6715" s="3">
        <v>43999.94736111111</v>
      </c>
      <c r="B6715" s="4" t="str">
        <f>HYPERLINK("https://twitter.com/petrogustavo","@petrogustavo")</f>
        <v>@petrogustavo</v>
      </c>
      <c r="C6715" s="5" t="s">
        <v>16</v>
      </c>
      <c r="D6715" s="5" t="s">
        <v>6508</v>
      </c>
      <c r="E6715" s="6" t="str">
        <f>HYPERLINK("https://twitter.com/petrogustavo/status/1273302940661485568","1273302940661485568")</f>
        <v>1273302940661485568</v>
      </c>
      <c r="F6715" s="7" t="s">
        <v>32</v>
      </c>
      <c r="G6715" s="7">
        <v>3884222</v>
      </c>
      <c r="H6715" s="7">
        <v>2418</v>
      </c>
      <c r="I6715" s="7">
        <v>1322</v>
      </c>
      <c r="J6715" s="7">
        <v>0</v>
      </c>
      <c r="K6715" s="7" t="s">
        <v>18</v>
      </c>
      <c r="L6715" s="8">
        <v>39987.315405092595</v>
      </c>
      <c r="M6715" s="9" t="s">
        <v>19</v>
      </c>
      <c r="N6715" s="9" t="s">
        <v>20</v>
      </c>
      <c r="O6715" s="6" t="str">
        <f>HYPERLINK("https://pbs.twimg.com/profile_images/962471262747529216/Uo8lOkRJ_normal.jpg","View")</f>
        <v>View</v>
      </c>
      <c r="P6715" s="7"/>
    </row>
    <row r="6716" spans="1:16">
      <c r="A6716" s="3">
        <v>43999.947442129633</v>
      </c>
      <c r="B6716" s="4" t="str">
        <f>HYPERLINK("https://twitter.com/petrogustavo","@petrogustavo")</f>
        <v>@petrogustavo</v>
      </c>
      <c r="C6716" s="5" t="s">
        <v>16</v>
      </c>
      <c r="D6716" s="5" t="s">
        <v>6509</v>
      </c>
      <c r="E6716" s="6" t="str">
        <f>HYPERLINK("https://twitter.com/petrogustavo/status/1273302968306147329","1273302968306147329")</f>
        <v>1273302968306147329</v>
      </c>
      <c r="F6716" s="7" t="s">
        <v>32</v>
      </c>
      <c r="G6716" s="7">
        <v>3884222</v>
      </c>
      <c r="H6716" s="7">
        <v>2418</v>
      </c>
      <c r="I6716" s="7">
        <v>1260</v>
      </c>
      <c r="J6716" s="7">
        <v>0</v>
      </c>
      <c r="K6716" s="7" t="s">
        <v>18</v>
      </c>
      <c r="L6716" s="8">
        <v>39987.315405092595</v>
      </c>
      <c r="M6716" s="9" t="s">
        <v>19</v>
      </c>
      <c r="N6716" s="9" t="s">
        <v>20</v>
      </c>
      <c r="O6716" s="6" t="str">
        <f>HYPERLINK("https://pbs.twimg.com/profile_images/962471262747529216/Uo8lOkRJ_normal.jpg","View")</f>
        <v>View</v>
      </c>
      <c r="P6716" s="7"/>
    </row>
    <row r="6717" spans="1:16">
      <c r="A6717" s="3">
        <v>43999.947488425925</v>
      </c>
      <c r="B6717" s="4" t="str">
        <f>HYPERLINK("https://twitter.com/petrogustavo","@petrogustavo")</f>
        <v>@petrogustavo</v>
      </c>
      <c r="C6717" s="5" t="s">
        <v>16</v>
      </c>
      <c r="D6717" s="5" t="s">
        <v>6510</v>
      </c>
      <c r="E6717" s="6" t="str">
        <f>HYPERLINK("https://twitter.com/petrogustavo/status/1273302985041477634","1273302985041477634")</f>
        <v>1273302985041477634</v>
      </c>
      <c r="F6717" s="7" t="s">
        <v>32</v>
      </c>
      <c r="G6717" s="7">
        <v>3884222</v>
      </c>
      <c r="H6717" s="7">
        <v>2418</v>
      </c>
      <c r="I6717" s="7">
        <v>709</v>
      </c>
      <c r="J6717" s="7">
        <v>0</v>
      </c>
      <c r="K6717" s="7" t="s">
        <v>18</v>
      </c>
      <c r="L6717" s="8">
        <v>39987.315405092595</v>
      </c>
      <c r="M6717" s="9" t="s">
        <v>19</v>
      </c>
      <c r="N6717" s="9" t="s">
        <v>20</v>
      </c>
      <c r="O6717" s="6" t="str">
        <f>HYPERLINK("https://pbs.twimg.com/profile_images/962471262747529216/Uo8lOkRJ_normal.jpg","View")</f>
        <v>View</v>
      </c>
      <c r="P6717" s="7"/>
    </row>
    <row r="6718" spans="1:16">
      <c r="A6718" s="3">
        <v>43999.947534722218</v>
      </c>
      <c r="B6718" s="4" t="str">
        <f>HYPERLINK("https://twitter.com/petrogustavo","@petrogustavo")</f>
        <v>@petrogustavo</v>
      </c>
      <c r="C6718" s="5" t="s">
        <v>16</v>
      </c>
      <c r="D6718" s="5" t="s">
        <v>6511</v>
      </c>
      <c r="E6718" s="6" t="str">
        <f>HYPERLINK("https://twitter.com/petrogustavo/status/1273303002946965504","1273303002946965504")</f>
        <v>1273303002946965504</v>
      </c>
      <c r="F6718" s="7" t="s">
        <v>32</v>
      </c>
      <c r="G6718" s="7">
        <v>3884222</v>
      </c>
      <c r="H6718" s="7">
        <v>2418</v>
      </c>
      <c r="I6718" s="7">
        <v>453</v>
      </c>
      <c r="J6718" s="7">
        <v>0</v>
      </c>
      <c r="K6718" s="7" t="s">
        <v>18</v>
      </c>
      <c r="L6718" s="8">
        <v>39987.315405092595</v>
      </c>
      <c r="M6718" s="9" t="s">
        <v>19</v>
      </c>
      <c r="N6718" s="9" t="s">
        <v>20</v>
      </c>
      <c r="O6718" s="6" t="str">
        <f>HYPERLINK("https://pbs.twimg.com/profile_images/962471262747529216/Uo8lOkRJ_normal.jpg","View")</f>
        <v>View</v>
      </c>
      <c r="P6718" s="7"/>
    </row>
    <row r="6719" spans="1:16">
      <c r="A6719" s="3">
        <v>43999.947581018518</v>
      </c>
      <c r="B6719" s="4" t="str">
        <f>HYPERLINK("https://twitter.com/petrogustavo","@petrogustavo")</f>
        <v>@petrogustavo</v>
      </c>
      <c r="C6719" s="5" t="s">
        <v>16</v>
      </c>
      <c r="D6719" s="5" t="s">
        <v>6512</v>
      </c>
      <c r="E6719" s="6" t="str">
        <f>HYPERLINK("https://twitter.com/petrogustavo/status/1273303019359264770","1273303019359264770")</f>
        <v>1273303019359264770</v>
      </c>
      <c r="F6719" s="7" t="s">
        <v>32</v>
      </c>
      <c r="G6719" s="7">
        <v>3884222</v>
      </c>
      <c r="H6719" s="7">
        <v>2418</v>
      </c>
      <c r="I6719" s="7">
        <v>642</v>
      </c>
      <c r="J6719" s="7">
        <v>0</v>
      </c>
      <c r="K6719" s="7" t="s">
        <v>18</v>
      </c>
      <c r="L6719" s="8">
        <v>39987.315405092595</v>
      </c>
      <c r="M6719" s="9" t="s">
        <v>19</v>
      </c>
      <c r="N6719" s="9" t="s">
        <v>20</v>
      </c>
      <c r="O6719" s="6" t="str">
        <f>HYPERLINK("https://pbs.twimg.com/profile_images/962471262747529216/Uo8lOkRJ_normal.jpg","View")</f>
        <v>View</v>
      </c>
      <c r="P6719" s="7"/>
    </row>
    <row r="6720" spans="1:16">
      <c r="A6720" s="3">
        <v>43999.947627314818</v>
      </c>
      <c r="B6720" s="4" t="str">
        <f>HYPERLINK("https://twitter.com/petrogustavo","@petrogustavo")</f>
        <v>@petrogustavo</v>
      </c>
      <c r="C6720" s="5" t="s">
        <v>16</v>
      </c>
      <c r="D6720" s="5" t="s">
        <v>6513</v>
      </c>
      <c r="E6720" s="6" t="str">
        <f>HYPERLINK("https://twitter.com/petrogustavo/status/1273303036786606081","1273303036786606081")</f>
        <v>1273303036786606081</v>
      </c>
      <c r="F6720" s="7" t="s">
        <v>32</v>
      </c>
      <c r="G6720" s="7">
        <v>3884222</v>
      </c>
      <c r="H6720" s="7">
        <v>2418</v>
      </c>
      <c r="I6720" s="7">
        <v>896</v>
      </c>
      <c r="J6720" s="7">
        <v>0</v>
      </c>
      <c r="K6720" s="7" t="s">
        <v>18</v>
      </c>
      <c r="L6720" s="8">
        <v>39987.315405092595</v>
      </c>
      <c r="M6720" s="9" t="s">
        <v>19</v>
      </c>
      <c r="N6720" s="9" t="s">
        <v>20</v>
      </c>
      <c r="O6720" s="6" t="str">
        <f>HYPERLINK("https://pbs.twimg.com/profile_images/962471262747529216/Uo8lOkRJ_normal.jpg","View")</f>
        <v>View</v>
      </c>
      <c r="P6720" s="7"/>
    </row>
    <row r="6721" spans="1:16">
      <c r="A6721" s="3">
        <v>43999.954259259262</v>
      </c>
      <c r="B6721" s="4" t="str">
        <f>HYPERLINK("https://twitter.com/petrogustavo","@petrogustavo")</f>
        <v>@petrogustavo</v>
      </c>
      <c r="C6721" s="5" t="s">
        <v>16</v>
      </c>
      <c r="D6721" s="5" t="s">
        <v>6514</v>
      </c>
      <c r="E6721" s="6" t="str">
        <f>HYPERLINK("https://twitter.com/petrogustavo/status/1273305442027016197","1273305442027016197")</f>
        <v>1273305442027016197</v>
      </c>
      <c r="F6721" s="7" t="s">
        <v>32</v>
      </c>
      <c r="G6721" s="7">
        <v>3884267</v>
      </c>
      <c r="H6721" s="7">
        <v>2418</v>
      </c>
      <c r="I6721" s="7">
        <v>124</v>
      </c>
      <c r="J6721" s="7">
        <v>426</v>
      </c>
      <c r="K6721" s="7" t="s">
        <v>18</v>
      </c>
      <c r="L6721" s="8">
        <v>39987.315405092595</v>
      </c>
      <c r="M6721" s="9" t="s">
        <v>19</v>
      </c>
      <c r="N6721" s="9" t="s">
        <v>20</v>
      </c>
      <c r="O6721" s="6" t="str">
        <f>HYPERLINK("https://pbs.twimg.com/profile_images/962471262747529216/Uo8lOkRJ_normal.jpg","View")</f>
        <v>View</v>
      </c>
      <c r="P6721" s="7"/>
    </row>
    <row r="6722" spans="1:16">
      <c r="A6722" s="3">
        <v>43999.956192129626</v>
      </c>
      <c r="B6722" s="4" t="str">
        <f>HYPERLINK("https://twitter.com/petrogustavo","@petrogustavo")</f>
        <v>@petrogustavo</v>
      </c>
      <c r="C6722" s="5" t="s">
        <v>16</v>
      </c>
      <c r="D6722" s="5" t="s">
        <v>6515</v>
      </c>
      <c r="E6722" s="6" t="str">
        <f>HYPERLINK("https://twitter.com/petrogustavo/status/1273306139455782913","1273306139455782913")</f>
        <v>1273306139455782913</v>
      </c>
      <c r="F6722" s="7" t="s">
        <v>32</v>
      </c>
      <c r="G6722" s="7">
        <v>3884267</v>
      </c>
      <c r="H6722" s="7">
        <v>2418</v>
      </c>
      <c r="I6722" s="7">
        <v>468</v>
      </c>
      <c r="J6722" s="7">
        <v>1557</v>
      </c>
      <c r="K6722" s="7" t="s">
        <v>18</v>
      </c>
      <c r="L6722" s="8">
        <v>39987.315405092595</v>
      </c>
      <c r="M6722" s="9" t="s">
        <v>19</v>
      </c>
      <c r="N6722" s="9" t="s">
        <v>20</v>
      </c>
      <c r="O6722" s="6" t="str">
        <f>HYPERLINK("https://pbs.twimg.com/profile_images/962471262747529216/Uo8lOkRJ_normal.jpg","View")</f>
        <v>View</v>
      </c>
      <c r="P6722" s="7"/>
    </row>
    <row r="6723" spans="1:16">
      <c r="A6723" s="3">
        <v>43999.9609375</v>
      </c>
      <c r="B6723" s="4" t="str">
        <f>HYPERLINK("https://twitter.com/petrogustavo","@petrogustavo")</f>
        <v>@petrogustavo</v>
      </c>
      <c r="C6723" s="5" t="s">
        <v>16</v>
      </c>
      <c r="D6723" s="5" t="s">
        <v>6516</v>
      </c>
      <c r="E6723" s="6" t="str">
        <f>HYPERLINK("https://twitter.com/petrogustavo/status/1273307859619635200","1273307859619635200")</f>
        <v>1273307859619635200</v>
      </c>
      <c r="F6723" s="7" t="s">
        <v>17</v>
      </c>
      <c r="G6723" s="7">
        <v>3884267</v>
      </c>
      <c r="H6723" s="7">
        <v>2418</v>
      </c>
      <c r="I6723" s="7">
        <v>144</v>
      </c>
      <c r="J6723" s="7">
        <v>495</v>
      </c>
      <c r="K6723" s="7" t="s">
        <v>18</v>
      </c>
      <c r="L6723" s="8">
        <v>39987.315405092595</v>
      </c>
      <c r="M6723" s="9" t="s">
        <v>19</v>
      </c>
      <c r="N6723" s="9" t="s">
        <v>20</v>
      </c>
      <c r="O6723" s="6" t="str">
        <f>HYPERLINK("https://pbs.twimg.com/profile_images/962471262747529216/Uo8lOkRJ_normal.jpg","View")</f>
        <v>View</v>
      </c>
      <c r="P6723" s="7"/>
    </row>
    <row r="6724" spans="1:16">
      <c r="A6724" s="3">
        <v>43999.961284722223</v>
      </c>
      <c r="B6724" s="4" t="str">
        <f>HYPERLINK("https://twitter.com/petrogustavo","@petrogustavo")</f>
        <v>@petrogustavo</v>
      </c>
      <c r="C6724" s="5" t="s">
        <v>16</v>
      </c>
      <c r="D6724" s="5" t="s">
        <v>6517</v>
      </c>
      <c r="E6724" s="6" t="str">
        <f>HYPERLINK("https://twitter.com/petrogustavo/status/1273307988137250819","1273307988137250819")</f>
        <v>1273307988137250819</v>
      </c>
      <c r="F6724" s="7" t="s">
        <v>17</v>
      </c>
      <c r="G6724" s="7">
        <v>3884267</v>
      </c>
      <c r="H6724" s="7">
        <v>2418</v>
      </c>
      <c r="I6724" s="7">
        <v>256</v>
      </c>
      <c r="J6724" s="7">
        <v>0</v>
      </c>
      <c r="K6724" s="7" t="s">
        <v>18</v>
      </c>
      <c r="L6724" s="8">
        <v>39987.315405092595</v>
      </c>
      <c r="M6724" s="9" t="s">
        <v>19</v>
      </c>
      <c r="N6724" s="9" t="s">
        <v>20</v>
      </c>
      <c r="O6724" s="6" t="str">
        <f>HYPERLINK("https://pbs.twimg.com/profile_images/962471262747529216/Uo8lOkRJ_normal.jpg","View")</f>
        <v>View</v>
      </c>
      <c r="P6724" s="7"/>
    </row>
    <row r="6725" spans="1:16">
      <c r="A6725" s="3">
        <v>43999.961469907408</v>
      </c>
      <c r="B6725" s="4" t="str">
        <f>HYPERLINK("https://twitter.com/petrogustavo","@petrogustavo")</f>
        <v>@petrogustavo</v>
      </c>
      <c r="C6725" s="5" t="s">
        <v>16</v>
      </c>
      <c r="D6725" s="5" t="s">
        <v>6518</v>
      </c>
      <c r="E6725" s="6" t="str">
        <f>HYPERLINK("https://twitter.com/petrogustavo/status/1273308054566690817","1273308054566690817")</f>
        <v>1273308054566690817</v>
      </c>
      <c r="F6725" s="7" t="s">
        <v>17</v>
      </c>
      <c r="G6725" s="7">
        <v>3884267</v>
      </c>
      <c r="H6725" s="7">
        <v>2418</v>
      </c>
      <c r="I6725" s="7">
        <v>468</v>
      </c>
      <c r="J6725" s="7">
        <v>0</v>
      </c>
      <c r="K6725" s="7" t="s">
        <v>18</v>
      </c>
      <c r="L6725" s="8">
        <v>39987.315405092595</v>
      </c>
      <c r="M6725" s="9" t="s">
        <v>19</v>
      </c>
      <c r="N6725" s="9" t="s">
        <v>20</v>
      </c>
      <c r="O6725" s="6" t="str">
        <f>HYPERLINK("https://pbs.twimg.com/profile_images/962471262747529216/Uo8lOkRJ_normal.jpg","View")</f>
        <v>View</v>
      </c>
      <c r="P6725" s="7"/>
    </row>
    <row r="6726" spans="1:16">
      <c r="A6726" s="3">
        <v>44000.073321759264</v>
      </c>
      <c r="B6726" s="4" t="str">
        <f>HYPERLINK("https://twitter.com/petrogustavo","@petrogustavo")</f>
        <v>@petrogustavo</v>
      </c>
      <c r="C6726" s="5" t="s">
        <v>16</v>
      </c>
      <c r="D6726" s="5" t="s">
        <v>6519</v>
      </c>
      <c r="E6726" s="6" t="str">
        <f>HYPERLINK("https://twitter.com/petrogustavo/status/1273348586064031746","1273348586064031746")</f>
        <v>1273348586064031746</v>
      </c>
      <c r="F6726" s="7" t="s">
        <v>17</v>
      </c>
      <c r="G6726" s="7">
        <v>3884453</v>
      </c>
      <c r="H6726" s="7">
        <v>2418</v>
      </c>
      <c r="I6726" s="7">
        <v>71</v>
      </c>
      <c r="J6726" s="7">
        <v>195</v>
      </c>
      <c r="K6726" s="7" t="s">
        <v>18</v>
      </c>
      <c r="L6726" s="8">
        <v>39987.315405092595</v>
      </c>
      <c r="M6726" s="9" t="s">
        <v>19</v>
      </c>
      <c r="N6726" s="9" t="s">
        <v>20</v>
      </c>
      <c r="O6726" s="6" t="str">
        <f>HYPERLINK("https://pbs.twimg.com/profile_images/962471262747529216/Uo8lOkRJ_normal.jpg","View")</f>
        <v>View</v>
      </c>
      <c r="P6726" s="7"/>
    </row>
    <row r="6727" spans="1:16">
      <c r="A6727" s="3">
        <v>44000.141863425924</v>
      </c>
      <c r="B6727" s="4" t="str">
        <f>HYPERLINK("https://twitter.com/petrogustavo","@petrogustavo")</f>
        <v>@petrogustavo</v>
      </c>
      <c r="C6727" s="5" t="s">
        <v>16</v>
      </c>
      <c r="D6727" s="5" t="s">
        <v>6520</v>
      </c>
      <c r="E6727" s="6" t="str">
        <f>HYPERLINK("https://twitter.com/petrogustavo/status/1273373426636423169","1273373426636423169")</f>
        <v>1273373426636423169</v>
      </c>
      <c r="F6727" s="7" t="s">
        <v>32</v>
      </c>
      <c r="G6727" s="7">
        <v>3884573</v>
      </c>
      <c r="H6727" s="7">
        <v>2417</v>
      </c>
      <c r="I6727" s="7">
        <v>378</v>
      </c>
      <c r="J6727" s="7">
        <v>1119</v>
      </c>
      <c r="K6727" s="7" t="s">
        <v>18</v>
      </c>
      <c r="L6727" s="8">
        <v>39987.315405092595</v>
      </c>
      <c r="M6727" s="9" t="s">
        <v>19</v>
      </c>
      <c r="N6727" s="9" t="s">
        <v>20</v>
      </c>
      <c r="O6727" s="6" t="str">
        <f>HYPERLINK("https://pbs.twimg.com/profile_images/962471262747529216/Uo8lOkRJ_normal.jpg","View")</f>
        <v>View</v>
      </c>
      <c r="P6727" s="7"/>
    </row>
    <row r="6728" spans="1:16">
      <c r="A6728" s="3">
        <v>44000.18450231482</v>
      </c>
      <c r="B6728" s="4" t="str">
        <f>HYPERLINK("https://twitter.com/petrogustavo","@petrogustavo")</f>
        <v>@petrogustavo</v>
      </c>
      <c r="C6728" s="5" t="s">
        <v>16</v>
      </c>
      <c r="D6728" s="5" t="s">
        <v>6521</v>
      </c>
      <c r="E6728" s="6" t="str">
        <f>HYPERLINK("https://twitter.com/petrogustavo/status/1273388875612897281","1273388875612897281")</f>
        <v>1273388875612897281</v>
      </c>
      <c r="F6728" s="7" t="s">
        <v>32</v>
      </c>
      <c r="G6728" s="7">
        <v>3884663</v>
      </c>
      <c r="H6728" s="7">
        <v>2417</v>
      </c>
      <c r="I6728" s="7">
        <v>121</v>
      </c>
      <c r="J6728" s="7">
        <v>368</v>
      </c>
      <c r="K6728" s="7" t="s">
        <v>18</v>
      </c>
      <c r="L6728" s="8">
        <v>39987.315405092595</v>
      </c>
      <c r="M6728" s="9" t="s">
        <v>19</v>
      </c>
      <c r="N6728" s="9" t="s">
        <v>20</v>
      </c>
      <c r="O6728" s="6" t="str">
        <f>HYPERLINK("https://pbs.twimg.com/profile_images/962471262747529216/Uo8lOkRJ_normal.jpg","View")</f>
        <v>View</v>
      </c>
      <c r="P6728" s="7"/>
    </row>
    <row r="6729" spans="1:16">
      <c r="A6729" s="3">
        <v>44000.186944444446</v>
      </c>
      <c r="B6729" s="4" t="str">
        <f>HYPERLINK("https://twitter.com/petrogustavo","@petrogustavo")</f>
        <v>@petrogustavo</v>
      </c>
      <c r="C6729" s="5" t="s">
        <v>16</v>
      </c>
      <c r="D6729" s="5" t="s">
        <v>6522</v>
      </c>
      <c r="E6729" s="6" t="str">
        <f>HYPERLINK("https://twitter.com/petrogustavo/status/1273389761777074177","1273389761777074177")</f>
        <v>1273389761777074177</v>
      </c>
      <c r="F6729" s="7" t="s">
        <v>32</v>
      </c>
      <c r="G6729" s="7">
        <v>3884663</v>
      </c>
      <c r="H6729" s="7">
        <v>2417</v>
      </c>
      <c r="I6729" s="7">
        <v>214</v>
      </c>
      <c r="J6729" s="7">
        <v>0</v>
      </c>
      <c r="K6729" s="7" t="s">
        <v>18</v>
      </c>
      <c r="L6729" s="8">
        <v>39987.315405092595</v>
      </c>
      <c r="M6729" s="9" t="s">
        <v>19</v>
      </c>
      <c r="N6729" s="9" t="s">
        <v>20</v>
      </c>
      <c r="O6729" s="6" t="str">
        <f>HYPERLINK("https://pbs.twimg.com/profile_images/962471262747529216/Uo8lOkRJ_normal.jpg","View")</f>
        <v>View</v>
      </c>
      <c r="P6729" s="7"/>
    </row>
    <row r="6730" spans="1:16">
      <c r="A6730" s="3">
        <v>44000.191689814819</v>
      </c>
      <c r="B6730" s="4" t="str">
        <f>HYPERLINK("https://twitter.com/petrogustavo","@petrogustavo")</f>
        <v>@petrogustavo</v>
      </c>
      <c r="C6730" s="5" t="s">
        <v>16</v>
      </c>
      <c r="D6730" s="5" t="s">
        <v>6523</v>
      </c>
      <c r="E6730" s="6" t="str">
        <f>HYPERLINK("https://twitter.com/petrogustavo/status/1273391480183427077","1273391480183427077")</f>
        <v>1273391480183427077</v>
      </c>
      <c r="F6730" s="7" t="s">
        <v>32</v>
      </c>
      <c r="G6730" s="7">
        <v>3884663</v>
      </c>
      <c r="H6730" s="7">
        <v>2417</v>
      </c>
      <c r="I6730" s="7">
        <v>912</v>
      </c>
      <c r="J6730" s="7">
        <v>0</v>
      </c>
      <c r="K6730" s="7" t="s">
        <v>18</v>
      </c>
      <c r="L6730" s="8">
        <v>39987.315405092595</v>
      </c>
      <c r="M6730" s="9" t="s">
        <v>19</v>
      </c>
      <c r="N6730" s="9" t="s">
        <v>20</v>
      </c>
      <c r="O6730" s="6" t="str">
        <f>HYPERLINK("https://pbs.twimg.com/profile_images/962471262747529216/Uo8lOkRJ_normal.jpg","View")</f>
        <v>View</v>
      </c>
      <c r="P6730" s="7"/>
    </row>
    <row r="6731" spans="1:16">
      <c r="A6731" s="3">
        <v>44000.20821759259</v>
      </c>
      <c r="B6731" s="4" t="str">
        <f>HYPERLINK("https://twitter.com/petrogustavo","@petrogustavo")</f>
        <v>@petrogustavo</v>
      </c>
      <c r="C6731" s="5" t="s">
        <v>16</v>
      </c>
      <c r="D6731" s="5" t="s">
        <v>6524</v>
      </c>
      <c r="E6731" s="6" t="str">
        <f>HYPERLINK("https://twitter.com/petrogustavo/status/1273397470966546432","1273397470966546432")</f>
        <v>1273397470966546432</v>
      </c>
      <c r="F6731" s="7" t="s">
        <v>32</v>
      </c>
      <c r="G6731" s="7">
        <v>3884712</v>
      </c>
      <c r="H6731" s="7">
        <v>2417</v>
      </c>
      <c r="I6731" s="7">
        <v>348</v>
      </c>
      <c r="J6731" s="7">
        <v>992</v>
      </c>
      <c r="K6731" s="7" t="s">
        <v>18</v>
      </c>
      <c r="L6731" s="8">
        <v>39987.315405092595</v>
      </c>
      <c r="M6731" s="9" t="s">
        <v>19</v>
      </c>
      <c r="N6731" s="9" t="s">
        <v>20</v>
      </c>
      <c r="O6731" s="6" t="str">
        <f>HYPERLINK("https://pbs.twimg.com/profile_images/962471262747529216/Uo8lOkRJ_normal.jpg","View")</f>
        <v>View</v>
      </c>
      <c r="P6731" s="7"/>
    </row>
    <row r="6732" spans="1:16">
      <c r="A6732" s="3">
        <v>44000.251435185186</v>
      </c>
      <c r="B6732" s="4" t="str">
        <f>HYPERLINK("https://twitter.com/petrogustavo","@petrogustavo")</f>
        <v>@petrogustavo</v>
      </c>
      <c r="C6732" s="5" t="s">
        <v>16</v>
      </c>
      <c r="D6732" s="5" t="s">
        <v>6525</v>
      </c>
      <c r="E6732" s="6" t="str">
        <f>HYPERLINK("https://twitter.com/petrogustavo/status/1273413132921298951","1273413132921298951")</f>
        <v>1273413132921298951</v>
      </c>
      <c r="F6732" s="7" t="s">
        <v>17</v>
      </c>
      <c r="G6732" s="7">
        <v>3884753</v>
      </c>
      <c r="H6732" s="7">
        <v>2417</v>
      </c>
      <c r="I6732" s="7">
        <v>307</v>
      </c>
      <c r="J6732" s="7">
        <v>734</v>
      </c>
      <c r="K6732" s="7" t="s">
        <v>18</v>
      </c>
      <c r="L6732" s="8">
        <v>39987.315405092595</v>
      </c>
      <c r="M6732" s="9" t="s">
        <v>19</v>
      </c>
      <c r="N6732" s="9" t="s">
        <v>20</v>
      </c>
      <c r="O6732" s="6" t="str">
        <f>HYPERLINK("https://pbs.twimg.com/profile_images/962471262747529216/Uo8lOkRJ_normal.jpg","View")</f>
        <v>View</v>
      </c>
      <c r="P6732" s="7"/>
    </row>
    <row r="6733" spans="1:16">
      <c r="A6733" s="3">
        <v>44000.252592592587</v>
      </c>
      <c r="B6733" s="4" t="str">
        <f>HYPERLINK("https://twitter.com/petrogustavo","@petrogustavo")</f>
        <v>@petrogustavo</v>
      </c>
      <c r="C6733" s="5" t="s">
        <v>16</v>
      </c>
      <c r="D6733" s="5" t="s">
        <v>6526</v>
      </c>
      <c r="E6733" s="6" t="str">
        <f>HYPERLINK("https://twitter.com/petrogustavo/status/1273413550938128385","1273413550938128385")</f>
        <v>1273413550938128385</v>
      </c>
      <c r="F6733" s="7" t="s">
        <v>17</v>
      </c>
      <c r="G6733" s="7">
        <v>3884753</v>
      </c>
      <c r="H6733" s="7">
        <v>2417</v>
      </c>
      <c r="I6733" s="7">
        <v>153</v>
      </c>
      <c r="J6733" s="7">
        <v>439</v>
      </c>
      <c r="K6733" s="7" t="s">
        <v>18</v>
      </c>
      <c r="L6733" s="8">
        <v>39987.315405092595</v>
      </c>
      <c r="M6733" s="9" t="s">
        <v>19</v>
      </c>
      <c r="N6733" s="9" t="s">
        <v>20</v>
      </c>
      <c r="O6733" s="6" t="str">
        <f>HYPERLINK("https://pbs.twimg.com/profile_images/962471262747529216/Uo8lOkRJ_normal.jpg","View")</f>
        <v>View</v>
      </c>
      <c r="P6733" s="7"/>
    </row>
    <row r="6734" spans="1:16">
      <c r="A6734" s="3">
        <v>44000.35670138889</v>
      </c>
      <c r="B6734" s="4" t="str">
        <f>HYPERLINK("https://twitter.com/petrogustavo","@petrogustavo")</f>
        <v>@petrogustavo</v>
      </c>
      <c r="C6734" s="5" t="s">
        <v>16</v>
      </c>
      <c r="D6734" s="5" t="s">
        <v>6527</v>
      </c>
      <c r="E6734" s="6" t="str">
        <f>HYPERLINK("https://twitter.com/petrogustavo/status/1273451282414669824","1273451282414669824")</f>
        <v>1273451282414669824</v>
      </c>
      <c r="F6734" s="7" t="s">
        <v>17</v>
      </c>
      <c r="G6734" s="7">
        <v>3884939</v>
      </c>
      <c r="H6734" s="7">
        <v>2417</v>
      </c>
      <c r="I6734" s="7">
        <v>169</v>
      </c>
      <c r="J6734" s="7">
        <v>447</v>
      </c>
      <c r="K6734" s="7" t="s">
        <v>18</v>
      </c>
      <c r="L6734" s="8">
        <v>39987.315405092595</v>
      </c>
      <c r="M6734" s="9" t="s">
        <v>19</v>
      </c>
      <c r="N6734" s="9" t="s">
        <v>20</v>
      </c>
      <c r="O6734" s="6" t="str">
        <f>HYPERLINK("https://pbs.twimg.com/profile_images/962471262747529216/Uo8lOkRJ_normal.jpg","View")</f>
        <v>View</v>
      </c>
      <c r="P6734" s="7"/>
    </row>
    <row r="6735" spans="1:16">
      <c r="A6735" s="3">
        <v>44000.72556712963</v>
      </c>
      <c r="B6735" s="4" t="str">
        <f>HYPERLINK("https://twitter.com/petrogustavo","@petrogustavo")</f>
        <v>@petrogustavo</v>
      </c>
      <c r="C6735" s="5" t="s">
        <v>16</v>
      </c>
      <c r="D6735" s="5" t="s">
        <v>6528</v>
      </c>
      <c r="E6735" s="6" t="str">
        <f>HYPERLINK("https://twitter.com/petrogustavo/status/1273584953050234880","1273584953050234880")</f>
        <v>1273584953050234880</v>
      </c>
      <c r="F6735" s="7" t="s">
        <v>17</v>
      </c>
      <c r="G6735" s="7">
        <v>3885143</v>
      </c>
      <c r="H6735" s="7">
        <v>2417</v>
      </c>
      <c r="I6735" s="7">
        <v>69</v>
      </c>
      <c r="J6735" s="7">
        <v>176</v>
      </c>
      <c r="K6735" s="7" t="s">
        <v>18</v>
      </c>
      <c r="L6735" s="8">
        <v>39987.315405092595</v>
      </c>
      <c r="M6735" s="9" t="s">
        <v>19</v>
      </c>
      <c r="N6735" s="9" t="s">
        <v>20</v>
      </c>
      <c r="O6735" s="6" t="str">
        <f>HYPERLINK("https://pbs.twimg.com/profile_images/962471262747529216/Uo8lOkRJ_normal.jpg","View")</f>
        <v>View</v>
      </c>
      <c r="P6735" s="7"/>
    </row>
    <row r="6736" spans="1:16">
      <c r="A6736" s="3">
        <v>44000.729664351849</v>
      </c>
      <c r="B6736" s="4" t="str">
        <f>HYPERLINK("https://twitter.com/petrogustavo","@petrogustavo")</f>
        <v>@petrogustavo</v>
      </c>
      <c r="C6736" s="5" t="s">
        <v>16</v>
      </c>
      <c r="D6736" s="5" t="s">
        <v>6529</v>
      </c>
      <c r="E6736" s="6" t="str">
        <f>HYPERLINK("https://twitter.com/petrogustavo/status/1273586436349067266","1273586436349067266")</f>
        <v>1273586436349067266</v>
      </c>
      <c r="F6736" s="7" t="s">
        <v>17</v>
      </c>
      <c r="G6736" s="7">
        <v>3885143</v>
      </c>
      <c r="H6736" s="7">
        <v>2417</v>
      </c>
      <c r="I6736" s="7">
        <v>607</v>
      </c>
      <c r="J6736" s="7">
        <v>0</v>
      </c>
      <c r="K6736" s="7" t="s">
        <v>18</v>
      </c>
      <c r="L6736" s="8">
        <v>39987.315405092595</v>
      </c>
      <c r="M6736" s="9" t="s">
        <v>19</v>
      </c>
      <c r="N6736" s="9" t="s">
        <v>20</v>
      </c>
      <c r="O6736" s="6" t="str">
        <f>HYPERLINK("https://pbs.twimg.com/profile_images/962471262747529216/Uo8lOkRJ_normal.jpg","View")</f>
        <v>View</v>
      </c>
      <c r="P6736" s="7"/>
    </row>
    <row r="6737" spans="1:16">
      <c r="A6737" s="3">
        <v>44000.730891203704</v>
      </c>
      <c r="B6737" s="4" t="str">
        <f>HYPERLINK("https://twitter.com/petrogustavo","@petrogustavo")</f>
        <v>@petrogustavo</v>
      </c>
      <c r="C6737" s="5" t="s">
        <v>16</v>
      </c>
      <c r="D6737" s="5" t="s">
        <v>6530</v>
      </c>
      <c r="E6737" s="6" t="str">
        <f>HYPERLINK("https://twitter.com/petrogustavo/status/1273586882845310976","1273586882845310976")</f>
        <v>1273586882845310976</v>
      </c>
      <c r="F6737" s="7" t="s">
        <v>17</v>
      </c>
      <c r="G6737" s="7">
        <v>3885143</v>
      </c>
      <c r="H6737" s="7">
        <v>2417</v>
      </c>
      <c r="I6737" s="7">
        <v>394</v>
      </c>
      <c r="J6737" s="7">
        <v>1110</v>
      </c>
      <c r="K6737" s="7" t="s">
        <v>18</v>
      </c>
      <c r="L6737" s="8">
        <v>39987.315405092595</v>
      </c>
      <c r="M6737" s="9" t="s">
        <v>19</v>
      </c>
      <c r="N6737" s="9" t="s">
        <v>20</v>
      </c>
      <c r="O6737" s="6" t="str">
        <f>HYPERLINK("https://pbs.twimg.com/profile_images/962471262747529216/Uo8lOkRJ_normal.jpg","View")</f>
        <v>View</v>
      </c>
      <c r="P6737" s="7"/>
    </row>
    <row r="6738" spans="1:16">
      <c r="A6738" s="3">
        <v>44000.736863425926</v>
      </c>
      <c r="B6738" s="4" t="str">
        <f>HYPERLINK("https://twitter.com/petrogustavo","@petrogustavo")</f>
        <v>@petrogustavo</v>
      </c>
      <c r="C6738" s="5" t="s">
        <v>16</v>
      </c>
      <c r="D6738" s="5" t="s">
        <v>6531</v>
      </c>
      <c r="E6738" s="6" t="str">
        <f>HYPERLINK("https://twitter.com/petrogustavo/status/1273589046695071745","1273589046695071745")</f>
        <v>1273589046695071745</v>
      </c>
      <c r="F6738" s="7" t="s">
        <v>17</v>
      </c>
      <c r="G6738" s="7">
        <v>3885143</v>
      </c>
      <c r="H6738" s="7">
        <v>2417</v>
      </c>
      <c r="I6738" s="7">
        <v>46</v>
      </c>
      <c r="J6738" s="7">
        <v>128</v>
      </c>
      <c r="K6738" s="7" t="s">
        <v>18</v>
      </c>
      <c r="L6738" s="8">
        <v>39987.315405092595</v>
      </c>
      <c r="M6738" s="9" t="s">
        <v>19</v>
      </c>
      <c r="N6738" s="9" t="s">
        <v>20</v>
      </c>
      <c r="O6738" s="6" t="str">
        <f>HYPERLINK("https://pbs.twimg.com/profile_images/962471262747529216/Uo8lOkRJ_normal.jpg","View")</f>
        <v>View</v>
      </c>
      <c r="P6738" s="7"/>
    </row>
    <row r="6739" spans="1:16">
      <c r="A6739" s="3">
        <v>44000.742407407408</v>
      </c>
      <c r="B6739" s="4" t="str">
        <f>HYPERLINK("https://twitter.com/petrogustavo","@petrogustavo")</f>
        <v>@petrogustavo</v>
      </c>
      <c r="C6739" s="5" t="s">
        <v>16</v>
      </c>
      <c r="D6739" s="5" t="s">
        <v>6532</v>
      </c>
      <c r="E6739" s="6" t="str">
        <f>HYPERLINK("https://twitter.com/petrogustavo/status/1273591057524174848","1273591057524174848")</f>
        <v>1273591057524174848</v>
      </c>
      <c r="F6739" s="7" t="s">
        <v>17</v>
      </c>
      <c r="G6739" s="7">
        <v>3885120</v>
      </c>
      <c r="H6739" s="7">
        <v>2416</v>
      </c>
      <c r="I6739" s="7">
        <v>104</v>
      </c>
      <c r="J6739" s="7">
        <v>343</v>
      </c>
      <c r="K6739" s="7" t="s">
        <v>18</v>
      </c>
      <c r="L6739" s="8">
        <v>39987.315405092595</v>
      </c>
      <c r="M6739" s="9" t="s">
        <v>19</v>
      </c>
      <c r="N6739" s="9" t="s">
        <v>20</v>
      </c>
      <c r="O6739" s="6" t="str">
        <f>HYPERLINK("https://pbs.twimg.com/profile_images/962471262747529216/Uo8lOkRJ_normal.jpg","View")</f>
        <v>View</v>
      </c>
      <c r="P6739" s="7"/>
    </row>
    <row r="6740" spans="1:16">
      <c r="A6740" s="3">
        <v>44000.746550925927</v>
      </c>
      <c r="B6740" s="4" t="str">
        <f>HYPERLINK("https://twitter.com/petrogustavo","@petrogustavo")</f>
        <v>@petrogustavo</v>
      </c>
      <c r="C6740" s="5" t="s">
        <v>16</v>
      </c>
      <c r="D6740" s="5" t="s">
        <v>6533</v>
      </c>
      <c r="E6740" s="6" t="str">
        <f>HYPERLINK("https://twitter.com/petrogustavo/status/1273592558854299650","1273592558854299650")</f>
        <v>1273592558854299650</v>
      </c>
      <c r="F6740" s="7" t="s">
        <v>17</v>
      </c>
      <c r="G6740" s="7">
        <v>3885120</v>
      </c>
      <c r="H6740" s="7">
        <v>2416</v>
      </c>
      <c r="I6740" s="7">
        <v>133</v>
      </c>
      <c r="J6740" s="7">
        <v>350</v>
      </c>
      <c r="K6740" s="7" t="s">
        <v>18</v>
      </c>
      <c r="L6740" s="8">
        <v>39987.315405092595</v>
      </c>
      <c r="M6740" s="9" t="s">
        <v>19</v>
      </c>
      <c r="N6740" s="9" t="s">
        <v>20</v>
      </c>
      <c r="O6740" s="6" t="str">
        <f>HYPERLINK("https://pbs.twimg.com/profile_images/962471262747529216/Uo8lOkRJ_normal.jpg","View")</f>
        <v>View</v>
      </c>
      <c r="P6740" s="7"/>
    </row>
    <row r="6741" spans="1:16">
      <c r="A6741" s="3">
        <v>44000.749374999999</v>
      </c>
      <c r="B6741" s="4" t="str">
        <f>HYPERLINK("https://twitter.com/petrogustavo","@petrogustavo")</f>
        <v>@petrogustavo</v>
      </c>
      <c r="C6741" s="5" t="s">
        <v>16</v>
      </c>
      <c r="D6741" s="5" t="s">
        <v>6534</v>
      </c>
      <c r="E6741" s="6" t="str">
        <f>HYPERLINK("https://twitter.com/petrogustavo/status/1273593581106876418","1273593581106876418")</f>
        <v>1273593581106876418</v>
      </c>
      <c r="F6741" s="7" t="s">
        <v>17</v>
      </c>
      <c r="G6741" s="7">
        <v>3885120</v>
      </c>
      <c r="H6741" s="7">
        <v>2416</v>
      </c>
      <c r="I6741" s="7">
        <v>101</v>
      </c>
      <c r="J6741" s="7">
        <v>0</v>
      </c>
      <c r="K6741" s="7" t="s">
        <v>18</v>
      </c>
      <c r="L6741" s="8">
        <v>39987.315405092595</v>
      </c>
      <c r="M6741" s="9" t="s">
        <v>19</v>
      </c>
      <c r="N6741" s="9" t="s">
        <v>20</v>
      </c>
      <c r="O6741" s="6" t="str">
        <f>HYPERLINK("https://pbs.twimg.com/profile_images/962471262747529216/Uo8lOkRJ_normal.jpg","View")</f>
        <v>View</v>
      </c>
      <c r="P6741" s="7"/>
    </row>
    <row r="6742" spans="1:16">
      <c r="A6742" s="3">
        <v>44000.751458333332</v>
      </c>
      <c r="B6742" s="4" t="str">
        <f>HYPERLINK("https://twitter.com/petrogustavo","@petrogustavo")</f>
        <v>@petrogustavo</v>
      </c>
      <c r="C6742" s="5" t="s">
        <v>16</v>
      </c>
      <c r="D6742" s="5" t="s">
        <v>6535</v>
      </c>
      <c r="E6742" s="6" t="str">
        <f>HYPERLINK("https://twitter.com/petrogustavo/status/1273594337230757888","1273594337230757888")</f>
        <v>1273594337230757888</v>
      </c>
      <c r="F6742" s="7" t="s">
        <v>17</v>
      </c>
      <c r="G6742" s="7">
        <v>3885120</v>
      </c>
      <c r="H6742" s="7">
        <v>2416</v>
      </c>
      <c r="I6742" s="7">
        <v>2072</v>
      </c>
      <c r="J6742" s="7">
        <v>0</v>
      </c>
      <c r="K6742" s="7" t="s">
        <v>18</v>
      </c>
      <c r="L6742" s="8">
        <v>39987.315405092595</v>
      </c>
      <c r="M6742" s="9" t="s">
        <v>19</v>
      </c>
      <c r="N6742" s="9" t="s">
        <v>20</v>
      </c>
      <c r="O6742" s="6" t="str">
        <f>HYPERLINK("https://pbs.twimg.com/profile_images/962471262747529216/Uo8lOkRJ_normal.jpg","View")</f>
        <v>View</v>
      </c>
      <c r="P6742" s="7"/>
    </row>
    <row r="6743" spans="1:16">
      <c r="A6743" s="3">
        <v>44000.758564814816</v>
      </c>
      <c r="B6743" s="4" t="str">
        <f>HYPERLINK("https://twitter.com/petrogustavo","@petrogustavo")</f>
        <v>@petrogustavo</v>
      </c>
      <c r="C6743" s="5" t="s">
        <v>16</v>
      </c>
      <c r="D6743" s="5" t="s">
        <v>6536</v>
      </c>
      <c r="E6743" s="6" t="str">
        <f>HYPERLINK("https://twitter.com/petrogustavo/status/1273596909534564353","1273596909534564353")</f>
        <v>1273596909534564353</v>
      </c>
      <c r="F6743" s="7" t="s">
        <v>17</v>
      </c>
      <c r="G6743" s="7">
        <v>3885120</v>
      </c>
      <c r="H6743" s="7">
        <v>2416</v>
      </c>
      <c r="I6743" s="7">
        <v>1027</v>
      </c>
      <c r="J6743" s="7">
        <v>0</v>
      </c>
      <c r="K6743" s="7" t="s">
        <v>18</v>
      </c>
      <c r="L6743" s="8">
        <v>39987.315405092595</v>
      </c>
      <c r="M6743" s="9" t="s">
        <v>19</v>
      </c>
      <c r="N6743" s="9" t="s">
        <v>20</v>
      </c>
      <c r="O6743" s="6" t="str">
        <f>HYPERLINK("https://pbs.twimg.com/profile_images/962471262747529216/Uo8lOkRJ_normal.jpg","View")</f>
        <v>View</v>
      </c>
      <c r="P6743" s="7"/>
    </row>
    <row r="6744" spans="1:16">
      <c r="A6744" s="3">
        <v>44000.760243055556</v>
      </c>
      <c r="B6744" s="4" t="str">
        <f>HYPERLINK("https://twitter.com/petrogustavo","@petrogustavo")</f>
        <v>@petrogustavo</v>
      </c>
      <c r="C6744" s="5" t="s">
        <v>16</v>
      </c>
      <c r="D6744" s="5" t="s">
        <v>6537</v>
      </c>
      <c r="E6744" s="6" t="str">
        <f>HYPERLINK("https://twitter.com/petrogustavo/status/1273597517494652928","1273597517494652928")</f>
        <v>1273597517494652928</v>
      </c>
      <c r="F6744" s="7" t="s">
        <v>17</v>
      </c>
      <c r="G6744" s="7">
        <v>3885120</v>
      </c>
      <c r="H6744" s="7">
        <v>2416</v>
      </c>
      <c r="I6744" s="7">
        <v>3041</v>
      </c>
      <c r="J6744" s="7">
        <v>0</v>
      </c>
      <c r="K6744" s="7" t="s">
        <v>18</v>
      </c>
      <c r="L6744" s="8">
        <v>39987.315405092595</v>
      </c>
      <c r="M6744" s="9" t="s">
        <v>19</v>
      </c>
      <c r="N6744" s="9" t="s">
        <v>20</v>
      </c>
      <c r="O6744" s="6" t="str">
        <f>HYPERLINK("https://pbs.twimg.com/profile_images/962471262747529216/Uo8lOkRJ_normal.jpg","View")</f>
        <v>View</v>
      </c>
      <c r="P6744" s="7"/>
    </row>
    <row r="6745" spans="1:16">
      <c r="A6745" s="3">
        <v>44000.762835648144</v>
      </c>
      <c r="B6745" s="4" t="str">
        <f>HYPERLINK("https://twitter.com/petrogustavo","@petrogustavo")</f>
        <v>@petrogustavo</v>
      </c>
      <c r="C6745" s="5" t="s">
        <v>16</v>
      </c>
      <c r="D6745" s="5" t="s">
        <v>6538</v>
      </c>
      <c r="E6745" s="6" t="str">
        <f>HYPERLINK("https://twitter.com/petrogustavo/status/1273598458239373312","1273598458239373312")</f>
        <v>1273598458239373312</v>
      </c>
      <c r="F6745" s="7" t="s">
        <v>17</v>
      </c>
      <c r="G6745" s="7">
        <v>3885164</v>
      </c>
      <c r="H6745" s="7">
        <v>2416</v>
      </c>
      <c r="I6745" s="7">
        <v>155</v>
      </c>
      <c r="J6745" s="7">
        <v>0</v>
      </c>
      <c r="K6745" s="7" t="s">
        <v>18</v>
      </c>
      <c r="L6745" s="8">
        <v>39987.315405092595</v>
      </c>
      <c r="M6745" s="9" t="s">
        <v>19</v>
      </c>
      <c r="N6745" s="9" t="s">
        <v>20</v>
      </c>
      <c r="O6745" s="6" t="str">
        <f>HYPERLINK("https://pbs.twimg.com/profile_images/962471262747529216/Uo8lOkRJ_normal.jpg","View")</f>
        <v>View</v>
      </c>
      <c r="P6745" s="7"/>
    </row>
    <row r="6746" spans="1:16">
      <c r="A6746" s="3">
        <v>44000.769872685181</v>
      </c>
      <c r="B6746" s="4" t="str">
        <f>HYPERLINK("https://twitter.com/petrogustavo","@petrogustavo")</f>
        <v>@petrogustavo</v>
      </c>
      <c r="C6746" s="5" t="s">
        <v>16</v>
      </c>
      <c r="D6746" s="5" t="s">
        <v>6539</v>
      </c>
      <c r="E6746" s="6" t="str">
        <f>HYPERLINK("https://twitter.com/petrogustavo/status/1273601008141303808","1273601008141303808")</f>
        <v>1273601008141303808</v>
      </c>
      <c r="F6746" s="7" t="s">
        <v>17</v>
      </c>
      <c r="G6746" s="7">
        <v>3885164</v>
      </c>
      <c r="H6746" s="7">
        <v>2416</v>
      </c>
      <c r="I6746" s="7">
        <v>163</v>
      </c>
      <c r="J6746" s="7">
        <v>638</v>
      </c>
      <c r="K6746" s="7" t="s">
        <v>18</v>
      </c>
      <c r="L6746" s="8">
        <v>39987.315405092595</v>
      </c>
      <c r="M6746" s="9" t="s">
        <v>19</v>
      </c>
      <c r="N6746" s="9" t="s">
        <v>20</v>
      </c>
      <c r="O6746" s="6" t="str">
        <f>HYPERLINK("https://pbs.twimg.com/profile_images/962471262747529216/Uo8lOkRJ_normal.jpg","View")</f>
        <v>View</v>
      </c>
      <c r="P6746" s="7"/>
    </row>
    <row r="6747" spans="1:16">
      <c r="A6747" s="3">
        <v>44000.785462962958</v>
      </c>
      <c r="B6747" s="4" t="str">
        <f>HYPERLINK("https://twitter.com/petrogustavo","@petrogustavo")</f>
        <v>@petrogustavo</v>
      </c>
      <c r="C6747" s="5" t="s">
        <v>16</v>
      </c>
      <c r="D6747" s="5" t="s">
        <v>6540</v>
      </c>
      <c r="E6747" s="6" t="str">
        <f>HYPERLINK("https://twitter.com/petrogustavo/status/1273606659886153728","1273606659886153728")</f>
        <v>1273606659886153728</v>
      </c>
      <c r="F6747" s="7" t="s">
        <v>17</v>
      </c>
      <c r="G6747" s="7">
        <v>3885199</v>
      </c>
      <c r="H6747" s="7">
        <v>2416</v>
      </c>
      <c r="I6747" s="7">
        <v>132</v>
      </c>
      <c r="J6747" s="7">
        <v>355</v>
      </c>
      <c r="K6747" s="7" t="s">
        <v>18</v>
      </c>
      <c r="L6747" s="8">
        <v>39987.315405092595</v>
      </c>
      <c r="M6747" s="9" t="s">
        <v>19</v>
      </c>
      <c r="N6747" s="9" t="s">
        <v>20</v>
      </c>
      <c r="O6747" s="6" t="str">
        <f>HYPERLINK("https://pbs.twimg.com/profile_images/962471262747529216/Uo8lOkRJ_normal.jpg","View")</f>
        <v>View</v>
      </c>
      <c r="P6747" s="7"/>
    </row>
    <row r="6748" spans="1:16">
      <c r="A6748" s="3">
        <v>44000.789351851854</v>
      </c>
      <c r="B6748" s="4" t="str">
        <f>HYPERLINK("https://twitter.com/petrogustavo","@petrogustavo")</f>
        <v>@petrogustavo</v>
      </c>
      <c r="C6748" s="5" t="s">
        <v>16</v>
      </c>
      <c r="D6748" s="5" t="s">
        <v>6541</v>
      </c>
      <c r="E6748" s="6" t="str">
        <f>HYPERLINK("https://twitter.com/petrogustavo/status/1273608067075190785","1273608067075190785")</f>
        <v>1273608067075190785</v>
      </c>
      <c r="F6748" s="7" t="s">
        <v>17</v>
      </c>
      <c r="G6748" s="7">
        <v>3885199</v>
      </c>
      <c r="H6748" s="7">
        <v>2416</v>
      </c>
      <c r="I6748" s="7">
        <v>36</v>
      </c>
      <c r="J6748" s="7">
        <v>93</v>
      </c>
      <c r="K6748" s="7" t="s">
        <v>18</v>
      </c>
      <c r="L6748" s="8">
        <v>39987.315405092595</v>
      </c>
      <c r="M6748" s="9" t="s">
        <v>19</v>
      </c>
      <c r="N6748" s="9" t="s">
        <v>20</v>
      </c>
      <c r="O6748" s="6" t="str">
        <f>HYPERLINK("https://pbs.twimg.com/profile_images/962471262747529216/Uo8lOkRJ_normal.jpg","View")</f>
        <v>View</v>
      </c>
      <c r="P6748" s="7"/>
    </row>
    <row r="6749" spans="1:16">
      <c r="A6749" s="3">
        <v>44000.789872685185</v>
      </c>
      <c r="B6749" s="4" t="str">
        <f>HYPERLINK("https://twitter.com/petrogustavo","@petrogustavo")</f>
        <v>@petrogustavo</v>
      </c>
      <c r="C6749" s="5" t="s">
        <v>16</v>
      </c>
      <c r="D6749" s="5" t="s">
        <v>6542</v>
      </c>
      <c r="E6749" s="6" t="str">
        <f>HYPERLINK("https://twitter.com/petrogustavo/status/1273608255319785473","1273608255319785473")</f>
        <v>1273608255319785473</v>
      </c>
      <c r="F6749" s="7" t="s">
        <v>17</v>
      </c>
      <c r="G6749" s="7">
        <v>3885199</v>
      </c>
      <c r="H6749" s="7">
        <v>2416</v>
      </c>
      <c r="I6749" s="7">
        <v>346</v>
      </c>
      <c r="J6749" s="7">
        <v>0</v>
      </c>
      <c r="K6749" s="7" t="s">
        <v>18</v>
      </c>
      <c r="L6749" s="8">
        <v>39987.315405092595</v>
      </c>
      <c r="M6749" s="9" t="s">
        <v>19</v>
      </c>
      <c r="N6749" s="9" t="s">
        <v>20</v>
      </c>
      <c r="O6749" s="6" t="str">
        <f>HYPERLINK("https://pbs.twimg.com/profile_images/962471262747529216/Uo8lOkRJ_normal.jpg","View")</f>
        <v>View</v>
      </c>
      <c r="P6749" s="7"/>
    </row>
    <row r="6750" spans="1:16">
      <c r="A6750" s="3">
        <v>44000.79760416667</v>
      </c>
      <c r="B6750" s="4" t="str">
        <f>HYPERLINK("https://twitter.com/petrogustavo","@petrogustavo")</f>
        <v>@petrogustavo</v>
      </c>
      <c r="C6750" s="5" t="s">
        <v>16</v>
      </c>
      <c r="D6750" s="5" t="s">
        <v>6543</v>
      </c>
      <c r="E6750" s="6" t="str">
        <f>HYPERLINK("https://twitter.com/petrogustavo/status/1273611059543314432","1273611059543314432")</f>
        <v>1273611059543314432</v>
      </c>
      <c r="F6750" s="7" t="s">
        <v>17</v>
      </c>
      <c r="G6750" s="7">
        <v>3885199</v>
      </c>
      <c r="H6750" s="7">
        <v>2416</v>
      </c>
      <c r="I6750" s="7">
        <v>313</v>
      </c>
      <c r="J6750" s="7">
        <v>0</v>
      </c>
      <c r="K6750" s="7" t="s">
        <v>18</v>
      </c>
      <c r="L6750" s="8">
        <v>39987.315405092595</v>
      </c>
      <c r="M6750" s="9" t="s">
        <v>19</v>
      </c>
      <c r="N6750" s="9" t="s">
        <v>20</v>
      </c>
      <c r="O6750" s="6" t="str">
        <f>HYPERLINK("https://pbs.twimg.com/profile_images/962471262747529216/Uo8lOkRJ_normal.jpg","View")</f>
        <v>View</v>
      </c>
      <c r="P6750" s="7"/>
    </row>
    <row r="6751" spans="1:16">
      <c r="A6751" s="3">
        <v>44000.830694444448</v>
      </c>
      <c r="B6751" s="4" t="str">
        <f>HYPERLINK("https://twitter.com/petrogustavo","@petrogustavo")</f>
        <v>@petrogustavo</v>
      </c>
      <c r="C6751" s="5" t="s">
        <v>16</v>
      </c>
      <c r="D6751" s="5" t="s">
        <v>6544</v>
      </c>
      <c r="E6751" s="6" t="str">
        <f>HYPERLINK("https://twitter.com/petrogustavo/status/1273623048487387139","1273623048487387139")</f>
        <v>1273623048487387139</v>
      </c>
      <c r="F6751" s="7" t="s">
        <v>17</v>
      </c>
      <c r="G6751" s="7">
        <v>3885202</v>
      </c>
      <c r="H6751" s="7">
        <v>2416</v>
      </c>
      <c r="I6751" s="7">
        <v>141</v>
      </c>
      <c r="J6751" s="7">
        <v>406</v>
      </c>
      <c r="K6751" s="7" t="s">
        <v>18</v>
      </c>
      <c r="L6751" s="8">
        <v>39987.315405092595</v>
      </c>
      <c r="M6751" s="9" t="s">
        <v>19</v>
      </c>
      <c r="N6751" s="9" t="s">
        <v>20</v>
      </c>
      <c r="O6751" s="6" t="str">
        <f>HYPERLINK("https://pbs.twimg.com/profile_images/962471262747529216/Uo8lOkRJ_normal.jpg","View")</f>
        <v>View</v>
      </c>
      <c r="P6751" s="7"/>
    </row>
    <row r="6752" spans="1:16">
      <c r="A6752" s="3">
        <v>44000.837048611109</v>
      </c>
      <c r="B6752" s="4" t="str">
        <f>HYPERLINK("https://twitter.com/petrogustavo","@petrogustavo")</f>
        <v>@petrogustavo</v>
      </c>
      <c r="C6752" s="5" t="s">
        <v>16</v>
      </c>
      <c r="D6752" s="5" t="s">
        <v>6545</v>
      </c>
      <c r="E6752" s="6" t="str">
        <f>HYPERLINK("https://twitter.com/petrogustavo/status/1273625351407763459","1273625351407763459")</f>
        <v>1273625351407763459</v>
      </c>
      <c r="F6752" s="7" t="s">
        <v>21</v>
      </c>
      <c r="G6752" s="7">
        <v>3885202</v>
      </c>
      <c r="H6752" s="7">
        <v>2416</v>
      </c>
      <c r="I6752" s="7">
        <v>40</v>
      </c>
      <c r="J6752" s="7">
        <v>99</v>
      </c>
      <c r="K6752" s="7" t="s">
        <v>18</v>
      </c>
      <c r="L6752" s="8">
        <v>39987.315405092595</v>
      </c>
      <c r="M6752" s="9" t="s">
        <v>19</v>
      </c>
      <c r="N6752" s="9" t="s">
        <v>20</v>
      </c>
      <c r="O6752" s="6" t="str">
        <f>HYPERLINK("https://pbs.twimg.com/profile_images/962471262747529216/Uo8lOkRJ_normal.jpg","View")</f>
        <v>View</v>
      </c>
      <c r="P6752" s="7"/>
    </row>
    <row r="6753" spans="1:16">
      <c r="A6753" s="3">
        <v>44000.838101851856</v>
      </c>
      <c r="B6753" s="4" t="str">
        <f>HYPERLINK("https://twitter.com/petrogustavo","@petrogustavo")</f>
        <v>@petrogustavo</v>
      </c>
      <c r="C6753" s="5" t="s">
        <v>16</v>
      </c>
      <c r="D6753" s="5" t="s">
        <v>6546</v>
      </c>
      <c r="E6753" s="6" t="str">
        <f>HYPERLINK("https://twitter.com/petrogustavo/status/1273625732137340934","1273625732137340934")</f>
        <v>1273625732137340934</v>
      </c>
      <c r="F6753" s="7" t="s">
        <v>21</v>
      </c>
      <c r="G6753" s="7">
        <v>3885202</v>
      </c>
      <c r="H6753" s="7">
        <v>2416</v>
      </c>
      <c r="I6753" s="7">
        <v>99</v>
      </c>
      <c r="J6753" s="7">
        <v>193</v>
      </c>
      <c r="K6753" s="7" t="s">
        <v>18</v>
      </c>
      <c r="L6753" s="8">
        <v>39987.315405092595</v>
      </c>
      <c r="M6753" s="9" t="s">
        <v>19</v>
      </c>
      <c r="N6753" s="9" t="s">
        <v>20</v>
      </c>
      <c r="O6753" s="6" t="str">
        <f>HYPERLINK("https://pbs.twimg.com/profile_images/962471262747529216/Uo8lOkRJ_normal.jpg","View")</f>
        <v>View</v>
      </c>
      <c r="P6753" s="7"/>
    </row>
    <row r="6754" spans="1:16">
      <c r="A6754" s="3">
        <v>44000.838541666672</v>
      </c>
      <c r="B6754" s="4" t="str">
        <f>HYPERLINK("https://twitter.com/petrogustavo","@petrogustavo")</f>
        <v>@petrogustavo</v>
      </c>
      <c r="C6754" s="5" t="s">
        <v>16</v>
      </c>
      <c r="D6754" s="5" t="s">
        <v>6547</v>
      </c>
      <c r="E6754" s="6" t="str">
        <f>HYPERLINK("https://twitter.com/petrogustavo/status/1273625893186015234","1273625893186015234")</f>
        <v>1273625893186015234</v>
      </c>
      <c r="F6754" s="7" t="s">
        <v>32</v>
      </c>
      <c r="G6754" s="7">
        <v>3885202</v>
      </c>
      <c r="H6754" s="7">
        <v>2416</v>
      </c>
      <c r="I6754" s="7">
        <v>99</v>
      </c>
      <c r="J6754" s="7">
        <v>0</v>
      </c>
      <c r="K6754" s="7" t="s">
        <v>18</v>
      </c>
      <c r="L6754" s="8">
        <v>39987.315405092595</v>
      </c>
      <c r="M6754" s="9" t="s">
        <v>19</v>
      </c>
      <c r="N6754" s="9" t="s">
        <v>20</v>
      </c>
      <c r="O6754" s="6" t="str">
        <f>HYPERLINK("https://pbs.twimg.com/profile_images/962471262747529216/Uo8lOkRJ_normal.jpg","View")</f>
        <v>View</v>
      </c>
      <c r="P6754" s="7"/>
    </row>
    <row r="6755" spans="1:16">
      <c r="A6755" s="3">
        <v>44000.871585648143</v>
      </c>
      <c r="B6755" s="4" t="str">
        <f>HYPERLINK("https://twitter.com/petrogustavo","@petrogustavo")</f>
        <v>@petrogustavo</v>
      </c>
      <c r="C6755" s="5" t="s">
        <v>16</v>
      </c>
      <c r="D6755" s="5" t="s">
        <v>6548</v>
      </c>
      <c r="E6755" s="6" t="str">
        <f>HYPERLINK("https://twitter.com/petrogustavo/status/1273637867437338625","1273637867437338625")</f>
        <v>1273637867437338625</v>
      </c>
      <c r="F6755" s="7" t="s">
        <v>21</v>
      </c>
      <c r="G6755" s="7">
        <v>3885281</v>
      </c>
      <c r="H6755" s="7">
        <v>2416</v>
      </c>
      <c r="I6755" s="7">
        <v>172</v>
      </c>
      <c r="J6755" s="7">
        <v>351</v>
      </c>
      <c r="K6755" s="7" t="s">
        <v>18</v>
      </c>
      <c r="L6755" s="8">
        <v>39987.315405092595</v>
      </c>
      <c r="M6755" s="9" t="s">
        <v>19</v>
      </c>
      <c r="N6755" s="9" t="s">
        <v>20</v>
      </c>
      <c r="O6755" s="6" t="str">
        <f>HYPERLINK("https://pbs.twimg.com/profile_images/962471262747529216/Uo8lOkRJ_normal.jpg","View")</f>
        <v>View</v>
      </c>
      <c r="P6755" s="7"/>
    </row>
    <row r="6756" spans="1:16">
      <c r="A6756" s="3">
        <v>44001.110138888893</v>
      </c>
      <c r="B6756" s="4" t="str">
        <f>HYPERLINK("https://twitter.com/petrogustavo","@petrogustavo")</f>
        <v>@petrogustavo</v>
      </c>
      <c r="C6756" s="5" t="s">
        <v>16</v>
      </c>
      <c r="D6756" s="5" t="s">
        <v>6549</v>
      </c>
      <c r="E6756" s="6" t="str">
        <f>HYPERLINK("https://twitter.com/petrogustavo/status/1273724319005323264","1273724319005323264")</f>
        <v>1273724319005323264</v>
      </c>
      <c r="F6756" s="7" t="s">
        <v>32</v>
      </c>
      <c r="G6756" s="7">
        <v>3885582</v>
      </c>
      <c r="H6756" s="7">
        <v>2416</v>
      </c>
      <c r="I6756" s="7">
        <v>209</v>
      </c>
      <c r="J6756" s="7">
        <v>0</v>
      </c>
      <c r="K6756" s="7" t="s">
        <v>18</v>
      </c>
      <c r="L6756" s="8">
        <v>39987.315405092595</v>
      </c>
      <c r="M6756" s="9" t="s">
        <v>19</v>
      </c>
      <c r="N6756" s="9" t="s">
        <v>20</v>
      </c>
      <c r="O6756" s="6" t="str">
        <f>HYPERLINK("https://pbs.twimg.com/profile_images/962471262747529216/Uo8lOkRJ_normal.jpg","View")</f>
        <v>View</v>
      </c>
      <c r="P6756" s="7"/>
    </row>
    <row r="6757" spans="1:16">
      <c r="A6757" s="3">
        <v>44001.117326388892</v>
      </c>
      <c r="B6757" s="4" t="str">
        <f>HYPERLINK("https://twitter.com/petrogustavo","@petrogustavo")</f>
        <v>@petrogustavo</v>
      </c>
      <c r="C6757" s="5" t="s">
        <v>16</v>
      </c>
      <c r="D6757" s="5" t="s">
        <v>6550</v>
      </c>
      <c r="E6757" s="6" t="str">
        <f>HYPERLINK("https://twitter.com/petrogustavo/status/1273726919830196224","1273726919830196224")</f>
        <v>1273726919830196224</v>
      </c>
      <c r="F6757" s="7" t="s">
        <v>32</v>
      </c>
      <c r="G6757" s="7">
        <v>3885610</v>
      </c>
      <c r="H6757" s="7">
        <v>2416</v>
      </c>
      <c r="I6757" s="7">
        <v>84</v>
      </c>
      <c r="J6757" s="7">
        <v>0</v>
      </c>
      <c r="K6757" s="7" t="s">
        <v>18</v>
      </c>
      <c r="L6757" s="8">
        <v>39987.315405092595</v>
      </c>
      <c r="M6757" s="9" t="s">
        <v>19</v>
      </c>
      <c r="N6757" s="9" t="s">
        <v>20</v>
      </c>
      <c r="O6757" s="6" t="str">
        <f>HYPERLINK("https://pbs.twimg.com/profile_images/962471262747529216/Uo8lOkRJ_normal.jpg","View")</f>
        <v>View</v>
      </c>
      <c r="P6757" s="7"/>
    </row>
    <row r="6758" spans="1:16">
      <c r="A6758" s="3">
        <v>44001.120879629627</v>
      </c>
      <c r="B6758" s="4" t="str">
        <f>HYPERLINK("https://twitter.com/petrogustavo","@petrogustavo")</f>
        <v>@petrogustavo</v>
      </c>
      <c r="C6758" s="5" t="s">
        <v>16</v>
      </c>
      <c r="D6758" s="5" t="s">
        <v>6551</v>
      </c>
      <c r="E6758" s="6" t="str">
        <f>HYPERLINK("https://twitter.com/petrogustavo/status/1273728209906028548","1273728209906028548")</f>
        <v>1273728209906028548</v>
      </c>
      <c r="F6758" s="7" t="s">
        <v>32</v>
      </c>
      <c r="G6758" s="7">
        <v>3885610</v>
      </c>
      <c r="H6758" s="7">
        <v>2416</v>
      </c>
      <c r="I6758" s="7">
        <v>37</v>
      </c>
      <c r="J6758" s="7">
        <v>0</v>
      </c>
      <c r="K6758" s="7" t="s">
        <v>18</v>
      </c>
      <c r="L6758" s="8">
        <v>39987.315405092595</v>
      </c>
      <c r="M6758" s="9" t="s">
        <v>19</v>
      </c>
      <c r="N6758" s="9" t="s">
        <v>20</v>
      </c>
      <c r="O6758" s="6" t="str">
        <f>HYPERLINK("https://pbs.twimg.com/profile_images/962471262747529216/Uo8lOkRJ_normal.jpg","View")</f>
        <v>View</v>
      </c>
      <c r="P6758" s="7"/>
    </row>
    <row r="6759" spans="1:16">
      <c r="A6759" s="3">
        <v>44001.172256944439</v>
      </c>
      <c r="B6759" s="4" t="str">
        <f>HYPERLINK("https://twitter.com/petrogustavo","@petrogustavo")</f>
        <v>@petrogustavo</v>
      </c>
      <c r="C6759" s="5" t="s">
        <v>16</v>
      </c>
      <c r="D6759" s="5" t="s">
        <v>6547</v>
      </c>
      <c r="E6759" s="6" t="str">
        <f>HYPERLINK("https://twitter.com/petrogustavo/status/1273746828018810880","1273746828018810880")</f>
        <v>1273746828018810880</v>
      </c>
      <c r="F6759" s="7" t="s">
        <v>17</v>
      </c>
      <c r="G6759" s="7">
        <v>3885641</v>
      </c>
      <c r="H6759" s="7">
        <v>2416</v>
      </c>
      <c r="I6759" s="7">
        <v>903</v>
      </c>
      <c r="J6759" s="7">
        <v>0</v>
      </c>
      <c r="K6759" s="7" t="s">
        <v>18</v>
      </c>
      <c r="L6759" s="8">
        <v>39987.315405092595</v>
      </c>
      <c r="M6759" s="9" t="s">
        <v>19</v>
      </c>
      <c r="N6759" s="9" t="s">
        <v>20</v>
      </c>
      <c r="O6759" s="6" t="str">
        <f>HYPERLINK("https://pbs.twimg.com/profile_images/962471262747529216/Uo8lOkRJ_normal.jpg","View")</f>
        <v>View</v>
      </c>
      <c r="P6759" s="7"/>
    </row>
    <row r="6760" spans="1:16">
      <c r="A6760" s="3">
        <v>44001.182060185187</v>
      </c>
      <c r="B6760" s="4" t="str">
        <f>HYPERLINK("https://twitter.com/petrogustavo","@petrogustavo")</f>
        <v>@petrogustavo</v>
      </c>
      <c r="C6760" s="5" t="s">
        <v>16</v>
      </c>
      <c r="D6760" s="5" t="s">
        <v>6552</v>
      </c>
      <c r="E6760" s="6" t="str">
        <f>HYPERLINK("https://twitter.com/petrogustavo/status/1273750379226959873","1273750379226959873")</f>
        <v>1273750379226959873</v>
      </c>
      <c r="F6760" s="7" t="s">
        <v>17</v>
      </c>
      <c r="G6760" s="7">
        <v>3885660</v>
      </c>
      <c r="H6760" s="7">
        <v>2416</v>
      </c>
      <c r="I6760" s="7">
        <v>306</v>
      </c>
      <c r="J6760" s="7">
        <v>769</v>
      </c>
      <c r="K6760" s="7" t="s">
        <v>18</v>
      </c>
      <c r="L6760" s="8">
        <v>39987.315405092595</v>
      </c>
      <c r="M6760" s="9" t="s">
        <v>19</v>
      </c>
      <c r="N6760" s="9" t="s">
        <v>20</v>
      </c>
      <c r="O6760" s="6" t="str">
        <f>HYPERLINK("https://pbs.twimg.com/profile_images/962471262747529216/Uo8lOkRJ_normal.jpg","View")</f>
        <v>View</v>
      </c>
      <c r="P6760" s="7"/>
    </row>
    <row r="6761" spans="1:16">
      <c r="A6761" s="3">
        <v>44001.349756944444</v>
      </c>
      <c r="B6761" s="4" t="str">
        <f>HYPERLINK("https://twitter.com/petrogustavo","@petrogustavo")</f>
        <v>@petrogustavo</v>
      </c>
      <c r="C6761" s="5" t="s">
        <v>16</v>
      </c>
      <c r="D6761" s="5" t="s">
        <v>6553</v>
      </c>
      <c r="E6761" s="6" t="str">
        <f>HYPERLINK("https://twitter.com/petrogustavo/status/1273811153236430848","1273811153236430848")</f>
        <v>1273811153236430848</v>
      </c>
      <c r="F6761" s="7" t="s">
        <v>17</v>
      </c>
      <c r="G6761" s="7">
        <v>3885949</v>
      </c>
      <c r="H6761" s="7">
        <v>2416</v>
      </c>
      <c r="I6761" s="7">
        <v>70</v>
      </c>
      <c r="J6761" s="7">
        <v>0</v>
      </c>
      <c r="K6761" s="7" t="s">
        <v>18</v>
      </c>
      <c r="L6761" s="8">
        <v>39987.315405092595</v>
      </c>
      <c r="M6761" s="9" t="s">
        <v>19</v>
      </c>
      <c r="N6761" s="9" t="s">
        <v>20</v>
      </c>
      <c r="O6761" s="6" t="str">
        <f>HYPERLINK("https://pbs.twimg.com/profile_images/962471262747529216/Uo8lOkRJ_normal.jpg","View")</f>
        <v>View</v>
      </c>
      <c r="P6761" s="7"/>
    </row>
    <row r="6762" spans="1:16">
      <c r="A6762" s="3">
        <v>44001.35155092593</v>
      </c>
      <c r="B6762" s="4" t="str">
        <f>HYPERLINK("https://twitter.com/petrogustavo","@petrogustavo")</f>
        <v>@petrogustavo</v>
      </c>
      <c r="C6762" s="5" t="s">
        <v>16</v>
      </c>
      <c r="D6762" s="5" t="s">
        <v>6554</v>
      </c>
      <c r="E6762" s="6" t="str">
        <f>HYPERLINK("https://twitter.com/petrogustavo/status/1273811802451783680","1273811802451783680")</f>
        <v>1273811802451783680</v>
      </c>
      <c r="F6762" s="7" t="s">
        <v>17</v>
      </c>
      <c r="G6762" s="7">
        <v>3885949</v>
      </c>
      <c r="H6762" s="7">
        <v>2416</v>
      </c>
      <c r="I6762" s="7">
        <v>41</v>
      </c>
      <c r="J6762" s="7">
        <v>0</v>
      </c>
      <c r="K6762" s="7" t="s">
        <v>18</v>
      </c>
      <c r="L6762" s="8">
        <v>39987.315405092595</v>
      </c>
      <c r="M6762" s="9" t="s">
        <v>19</v>
      </c>
      <c r="N6762" s="9" t="s">
        <v>20</v>
      </c>
      <c r="O6762" s="6" t="str">
        <f>HYPERLINK("https://pbs.twimg.com/profile_images/962471262747529216/Uo8lOkRJ_normal.jpg","View")</f>
        <v>View</v>
      </c>
      <c r="P6762" s="7"/>
    </row>
    <row r="6763" spans="1:16">
      <c r="A6763" s="3">
        <v>44001.351851851854</v>
      </c>
      <c r="B6763" s="4" t="str">
        <f>HYPERLINK("https://twitter.com/petrogustavo","@petrogustavo")</f>
        <v>@petrogustavo</v>
      </c>
      <c r="C6763" s="5" t="s">
        <v>16</v>
      </c>
      <c r="D6763" s="5" t="s">
        <v>6555</v>
      </c>
      <c r="E6763" s="6" t="str">
        <f>HYPERLINK("https://twitter.com/petrogustavo/status/1273811911461740544","1273811911461740544")</f>
        <v>1273811911461740544</v>
      </c>
      <c r="F6763" s="7" t="s">
        <v>17</v>
      </c>
      <c r="G6763" s="7">
        <v>3885949</v>
      </c>
      <c r="H6763" s="7">
        <v>2416</v>
      </c>
      <c r="I6763" s="7">
        <v>43</v>
      </c>
      <c r="J6763" s="7">
        <v>0</v>
      </c>
      <c r="K6763" s="7" t="s">
        <v>18</v>
      </c>
      <c r="L6763" s="8">
        <v>39987.315405092595</v>
      </c>
      <c r="M6763" s="9" t="s">
        <v>19</v>
      </c>
      <c r="N6763" s="9" t="s">
        <v>20</v>
      </c>
      <c r="O6763" s="6" t="str">
        <f>HYPERLINK("https://pbs.twimg.com/profile_images/962471262747529216/Uo8lOkRJ_normal.jpg","View")</f>
        <v>View</v>
      </c>
      <c r="P6763" s="7"/>
    </row>
    <row r="6764" spans="1:16">
      <c r="A6764" s="3">
        <v>44001.35193287037</v>
      </c>
      <c r="B6764" s="4" t="str">
        <f>HYPERLINK("https://twitter.com/petrogustavo","@petrogustavo")</f>
        <v>@petrogustavo</v>
      </c>
      <c r="C6764" s="5" t="s">
        <v>16</v>
      </c>
      <c r="D6764" s="5" t="s">
        <v>6556</v>
      </c>
      <c r="E6764" s="6" t="str">
        <f>HYPERLINK("https://twitter.com/petrogustavo/status/1273811938942898177","1273811938942898177")</f>
        <v>1273811938942898177</v>
      </c>
      <c r="F6764" s="7" t="s">
        <v>17</v>
      </c>
      <c r="G6764" s="7">
        <v>3885949</v>
      </c>
      <c r="H6764" s="7">
        <v>2416</v>
      </c>
      <c r="I6764" s="7">
        <v>30</v>
      </c>
      <c r="J6764" s="7">
        <v>0</v>
      </c>
      <c r="K6764" s="7" t="s">
        <v>18</v>
      </c>
      <c r="L6764" s="8">
        <v>39987.315405092595</v>
      </c>
      <c r="M6764" s="9" t="s">
        <v>19</v>
      </c>
      <c r="N6764" s="9" t="s">
        <v>20</v>
      </c>
      <c r="O6764" s="6" t="str">
        <f>HYPERLINK("https://pbs.twimg.com/profile_images/962471262747529216/Uo8lOkRJ_normal.jpg","View")</f>
        <v>View</v>
      </c>
      <c r="P6764" s="7"/>
    </row>
    <row r="6765" spans="1:16">
      <c r="A6765" s="3">
        <v>44001.352071759262</v>
      </c>
      <c r="B6765" s="4" t="str">
        <f>HYPERLINK("https://twitter.com/petrogustavo","@petrogustavo")</f>
        <v>@petrogustavo</v>
      </c>
      <c r="C6765" s="5" t="s">
        <v>16</v>
      </c>
      <c r="D6765" s="5" t="s">
        <v>6557</v>
      </c>
      <c r="E6765" s="6" t="str">
        <f>HYPERLINK("https://twitter.com/petrogustavo/status/1273811989886906369","1273811989886906369")</f>
        <v>1273811989886906369</v>
      </c>
      <c r="F6765" s="7" t="s">
        <v>17</v>
      </c>
      <c r="G6765" s="7">
        <v>3885949</v>
      </c>
      <c r="H6765" s="7">
        <v>2416</v>
      </c>
      <c r="I6765" s="7">
        <v>31</v>
      </c>
      <c r="J6765" s="7">
        <v>0</v>
      </c>
      <c r="K6765" s="7" t="s">
        <v>18</v>
      </c>
      <c r="L6765" s="8">
        <v>39987.315405092595</v>
      </c>
      <c r="M6765" s="9" t="s">
        <v>19</v>
      </c>
      <c r="N6765" s="9" t="s">
        <v>20</v>
      </c>
      <c r="O6765" s="6" t="str">
        <f>HYPERLINK("https://pbs.twimg.com/profile_images/962471262747529216/Uo8lOkRJ_normal.jpg","View")</f>
        <v>View</v>
      </c>
      <c r="P6765" s="7"/>
    </row>
    <row r="6766" spans="1:16">
      <c r="A6766" s="3">
        <v>44001.352141203708</v>
      </c>
      <c r="B6766" s="4" t="str">
        <f>HYPERLINK("https://twitter.com/petrogustavo","@petrogustavo")</f>
        <v>@petrogustavo</v>
      </c>
      <c r="C6766" s="5" t="s">
        <v>16</v>
      </c>
      <c r="D6766" s="5" t="s">
        <v>6558</v>
      </c>
      <c r="E6766" s="6" t="str">
        <f>HYPERLINK("https://twitter.com/petrogustavo/status/1273812015480549377","1273812015480549377")</f>
        <v>1273812015480549377</v>
      </c>
      <c r="F6766" s="7" t="s">
        <v>17</v>
      </c>
      <c r="G6766" s="7">
        <v>3885949</v>
      </c>
      <c r="H6766" s="7">
        <v>2416</v>
      </c>
      <c r="I6766" s="7">
        <v>24</v>
      </c>
      <c r="J6766" s="7">
        <v>0</v>
      </c>
      <c r="K6766" s="7" t="s">
        <v>18</v>
      </c>
      <c r="L6766" s="8">
        <v>39987.315405092595</v>
      </c>
      <c r="M6766" s="9" t="s">
        <v>19</v>
      </c>
      <c r="N6766" s="9" t="s">
        <v>20</v>
      </c>
      <c r="O6766" s="6" t="str">
        <f>HYPERLINK("https://pbs.twimg.com/profile_images/962471262747529216/Uo8lOkRJ_normal.jpg","View")</f>
        <v>View</v>
      </c>
      <c r="P6766" s="7"/>
    </row>
    <row r="6767" spans="1:16">
      <c r="A6767" s="3">
        <v>44001.352210648147</v>
      </c>
      <c r="B6767" s="4" t="str">
        <f>HYPERLINK("https://twitter.com/petrogustavo","@petrogustavo")</f>
        <v>@petrogustavo</v>
      </c>
      <c r="C6767" s="5" t="s">
        <v>16</v>
      </c>
      <c r="D6767" s="5" t="s">
        <v>6559</v>
      </c>
      <c r="E6767" s="6" t="str">
        <f>HYPERLINK("https://twitter.com/petrogustavo/status/1273812039119572992","1273812039119572992")</f>
        <v>1273812039119572992</v>
      </c>
      <c r="F6767" s="7" t="s">
        <v>17</v>
      </c>
      <c r="G6767" s="7">
        <v>3885949</v>
      </c>
      <c r="H6767" s="7">
        <v>2416</v>
      </c>
      <c r="I6767" s="7">
        <v>35</v>
      </c>
      <c r="J6767" s="7">
        <v>0</v>
      </c>
      <c r="K6767" s="7" t="s">
        <v>18</v>
      </c>
      <c r="L6767" s="8">
        <v>39987.315405092595</v>
      </c>
      <c r="M6767" s="9" t="s">
        <v>19</v>
      </c>
      <c r="N6767" s="9" t="s">
        <v>20</v>
      </c>
      <c r="O6767" s="6" t="str">
        <f>HYPERLINK("https://pbs.twimg.com/profile_images/962471262747529216/Uo8lOkRJ_normal.jpg","View")</f>
        <v>View</v>
      </c>
      <c r="P6767" s="7"/>
    </row>
    <row r="6768" spans="1:16">
      <c r="A6768" s="3">
        <v>44001.352395833332</v>
      </c>
      <c r="B6768" s="4" t="str">
        <f>HYPERLINK("https://twitter.com/petrogustavo","@petrogustavo")</f>
        <v>@petrogustavo</v>
      </c>
      <c r="C6768" s="5" t="s">
        <v>16</v>
      </c>
      <c r="D6768" s="5" t="s">
        <v>6560</v>
      </c>
      <c r="E6768" s="6" t="str">
        <f>HYPERLINK("https://twitter.com/petrogustavo/status/1273812109084721160","1273812109084721160")</f>
        <v>1273812109084721160</v>
      </c>
      <c r="F6768" s="7" t="s">
        <v>17</v>
      </c>
      <c r="G6768" s="7">
        <v>3885949</v>
      </c>
      <c r="H6768" s="7">
        <v>2416</v>
      </c>
      <c r="I6768" s="7">
        <v>19</v>
      </c>
      <c r="J6768" s="7">
        <v>0</v>
      </c>
      <c r="K6768" s="7" t="s">
        <v>18</v>
      </c>
      <c r="L6768" s="8">
        <v>39987.315405092595</v>
      </c>
      <c r="M6768" s="9" t="s">
        <v>19</v>
      </c>
      <c r="N6768" s="9" t="s">
        <v>20</v>
      </c>
      <c r="O6768" s="6" t="str">
        <f>HYPERLINK("https://pbs.twimg.com/profile_images/962471262747529216/Uo8lOkRJ_normal.jpg","View")</f>
        <v>View</v>
      </c>
      <c r="P6768" s="7"/>
    </row>
    <row r="6769" spans="1:16">
      <c r="A6769" s="3">
        <v>44001.352476851855</v>
      </c>
      <c r="B6769" s="4" t="str">
        <f>HYPERLINK("https://twitter.com/petrogustavo","@petrogustavo")</f>
        <v>@petrogustavo</v>
      </c>
      <c r="C6769" s="5" t="s">
        <v>16</v>
      </c>
      <c r="D6769" s="5" t="s">
        <v>6561</v>
      </c>
      <c r="E6769" s="6" t="str">
        <f>HYPERLINK("https://twitter.com/petrogustavo/status/1273812137476075522","1273812137476075522")</f>
        <v>1273812137476075522</v>
      </c>
      <c r="F6769" s="7" t="s">
        <v>17</v>
      </c>
      <c r="G6769" s="7">
        <v>3885949</v>
      </c>
      <c r="H6769" s="7">
        <v>2416</v>
      </c>
      <c r="I6769" s="7">
        <v>38</v>
      </c>
      <c r="J6769" s="7">
        <v>0</v>
      </c>
      <c r="K6769" s="7" t="s">
        <v>18</v>
      </c>
      <c r="L6769" s="8">
        <v>39987.315405092595</v>
      </c>
      <c r="M6769" s="9" t="s">
        <v>19</v>
      </c>
      <c r="N6769" s="9" t="s">
        <v>20</v>
      </c>
      <c r="O6769" s="6" t="str">
        <f>HYPERLINK("https://pbs.twimg.com/profile_images/962471262747529216/Uo8lOkRJ_normal.jpg","View")</f>
        <v>View</v>
      </c>
      <c r="P6769" s="7"/>
    </row>
    <row r="6770" spans="1:16">
      <c r="A6770" s="3">
        <v>44001.352581018524</v>
      </c>
      <c r="B6770" s="4" t="str">
        <f>HYPERLINK("https://twitter.com/petrogustavo","@petrogustavo")</f>
        <v>@petrogustavo</v>
      </c>
      <c r="C6770" s="5" t="s">
        <v>16</v>
      </c>
      <c r="D6770" s="5" t="s">
        <v>6562</v>
      </c>
      <c r="E6770" s="6" t="str">
        <f>HYPERLINK("https://twitter.com/petrogustavo/status/1273812175166099458","1273812175166099458")</f>
        <v>1273812175166099458</v>
      </c>
      <c r="F6770" s="7" t="s">
        <v>17</v>
      </c>
      <c r="G6770" s="7">
        <v>3885949</v>
      </c>
      <c r="H6770" s="7">
        <v>2416</v>
      </c>
      <c r="I6770" s="7">
        <v>28</v>
      </c>
      <c r="J6770" s="7">
        <v>0</v>
      </c>
      <c r="K6770" s="7" t="s">
        <v>18</v>
      </c>
      <c r="L6770" s="8">
        <v>39987.315405092595</v>
      </c>
      <c r="M6770" s="9" t="s">
        <v>19</v>
      </c>
      <c r="N6770" s="9" t="s">
        <v>20</v>
      </c>
      <c r="O6770" s="6" t="str">
        <f>HYPERLINK("https://pbs.twimg.com/profile_images/962471262747529216/Uo8lOkRJ_normal.jpg","View")</f>
        <v>View</v>
      </c>
      <c r="P6770" s="7"/>
    </row>
    <row r="6771" spans="1:16">
      <c r="A6771" s="3">
        <v>44001.352696759262</v>
      </c>
      <c r="B6771" s="4" t="str">
        <f>HYPERLINK("https://twitter.com/petrogustavo","@petrogustavo")</f>
        <v>@petrogustavo</v>
      </c>
      <c r="C6771" s="5" t="s">
        <v>16</v>
      </c>
      <c r="D6771" s="5" t="s">
        <v>6563</v>
      </c>
      <c r="E6771" s="6" t="str">
        <f>HYPERLINK("https://twitter.com/petrogustavo/status/1273812217687953410","1273812217687953410")</f>
        <v>1273812217687953410</v>
      </c>
      <c r="F6771" s="7" t="s">
        <v>17</v>
      </c>
      <c r="G6771" s="7">
        <v>3885949</v>
      </c>
      <c r="H6771" s="7">
        <v>2416</v>
      </c>
      <c r="I6771" s="7">
        <v>29</v>
      </c>
      <c r="J6771" s="7">
        <v>0</v>
      </c>
      <c r="K6771" s="7" t="s">
        <v>18</v>
      </c>
      <c r="L6771" s="8">
        <v>39987.315405092595</v>
      </c>
      <c r="M6771" s="9" t="s">
        <v>19</v>
      </c>
      <c r="N6771" s="9" t="s">
        <v>20</v>
      </c>
      <c r="O6771" s="6" t="str">
        <f>HYPERLINK("https://pbs.twimg.com/profile_images/962471262747529216/Uo8lOkRJ_normal.jpg","View")</f>
        <v>View</v>
      </c>
      <c r="P6771" s="7"/>
    </row>
    <row r="6772" spans="1:16">
      <c r="A6772" s="3">
        <v>44001.356736111113</v>
      </c>
      <c r="B6772" s="4" t="str">
        <f>HYPERLINK("https://twitter.com/petrogustavo","@petrogustavo")</f>
        <v>@petrogustavo</v>
      </c>
      <c r="C6772" s="5" t="s">
        <v>16</v>
      </c>
      <c r="D6772" s="5" t="s">
        <v>6564</v>
      </c>
      <c r="E6772" s="6" t="str">
        <f>HYPERLINK("https://twitter.com/petrogustavo/status/1273813679016984577","1273813679016984577")</f>
        <v>1273813679016984577</v>
      </c>
      <c r="F6772" s="7" t="s">
        <v>17</v>
      </c>
      <c r="G6772" s="7">
        <v>3885949</v>
      </c>
      <c r="H6772" s="7">
        <v>2416</v>
      </c>
      <c r="I6772" s="7">
        <v>286</v>
      </c>
      <c r="J6772" s="7">
        <v>0</v>
      </c>
      <c r="K6772" s="7" t="s">
        <v>18</v>
      </c>
      <c r="L6772" s="8">
        <v>39987.315405092595</v>
      </c>
      <c r="M6772" s="9" t="s">
        <v>19</v>
      </c>
      <c r="N6772" s="9" t="s">
        <v>20</v>
      </c>
      <c r="O6772" s="6" t="str">
        <f>HYPERLINK("https://pbs.twimg.com/profile_images/962471262747529216/Uo8lOkRJ_normal.jpg","View")</f>
        <v>View</v>
      </c>
      <c r="P6772" s="7"/>
    </row>
    <row r="6773" spans="1:16">
      <c r="A6773" s="3">
        <v>44001.358217592591</v>
      </c>
      <c r="B6773" s="4" t="str">
        <f>HYPERLINK("https://twitter.com/petrogustavo","@petrogustavo")</f>
        <v>@petrogustavo</v>
      </c>
      <c r="C6773" s="5" t="s">
        <v>16</v>
      </c>
      <c r="D6773" s="5" t="s">
        <v>6565</v>
      </c>
      <c r="E6773" s="6" t="str">
        <f>HYPERLINK("https://twitter.com/petrogustavo/status/1273814218744217600","1273814218744217600")</f>
        <v>1273814218744217600</v>
      </c>
      <c r="F6773" s="7" t="s">
        <v>17</v>
      </c>
      <c r="G6773" s="7">
        <v>3885949</v>
      </c>
      <c r="H6773" s="7">
        <v>2416</v>
      </c>
      <c r="I6773" s="7">
        <v>54</v>
      </c>
      <c r="J6773" s="7">
        <v>0</v>
      </c>
      <c r="K6773" s="7" t="s">
        <v>18</v>
      </c>
      <c r="L6773" s="8">
        <v>39987.315405092595</v>
      </c>
      <c r="M6773" s="9" t="s">
        <v>19</v>
      </c>
      <c r="N6773" s="9" t="s">
        <v>20</v>
      </c>
      <c r="O6773" s="6" t="str">
        <f>HYPERLINK("https://pbs.twimg.com/profile_images/962471262747529216/Uo8lOkRJ_normal.jpg","View")</f>
        <v>View</v>
      </c>
      <c r="P6773" s="7"/>
    </row>
    <row r="6774" spans="1:16">
      <c r="A6774" s="3">
        <v>44001.361134259263</v>
      </c>
      <c r="B6774" s="4" t="str">
        <f>HYPERLINK("https://twitter.com/petrogustavo","@petrogustavo")</f>
        <v>@petrogustavo</v>
      </c>
      <c r="C6774" s="5" t="s">
        <v>16</v>
      </c>
      <c r="D6774" s="5" t="s">
        <v>6566</v>
      </c>
      <c r="E6774" s="6" t="str">
        <f>HYPERLINK("https://twitter.com/petrogustavo/status/1273815273137725440","1273815273137725440")</f>
        <v>1273815273137725440</v>
      </c>
      <c r="F6774" s="7" t="s">
        <v>17</v>
      </c>
      <c r="G6774" s="7">
        <v>3885949</v>
      </c>
      <c r="H6774" s="7">
        <v>2416</v>
      </c>
      <c r="I6774" s="7">
        <v>101</v>
      </c>
      <c r="J6774" s="7">
        <v>0</v>
      </c>
      <c r="K6774" s="7" t="s">
        <v>18</v>
      </c>
      <c r="L6774" s="8">
        <v>39987.315405092595</v>
      </c>
      <c r="M6774" s="9" t="s">
        <v>19</v>
      </c>
      <c r="N6774" s="9" t="s">
        <v>20</v>
      </c>
      <c r="O6774" s="6" t="str">
        <f>HYPERLINK("https://pbs.twimg.com/profile_images/962471262747529216/Uo8lOkRJ_normal.jpg","View")</f>
        <v>View</v>
      </c>
      <c r="P6774" s="7"/>
    </row>
    <row r="6775" spans="1:16">
      <c r="A6775" s="3">
        <v>44001.367071759261</v>
      </c>
      <c r="B6775" s="4" t="str">
        <f>HYPERLINK("https://twitter.com/petrogustavo","@petrogustavo")</f>
        <v>@petrogustavo</v>
      </c>
      <c r="C6775" s="5" t="s">
        <v>16</v>
      </c>
      <c r="D6775" s="5" t="s">
        <v>6565</v>
      </c>
      <c r="E6775" s="6" t="str">
        <f>HYPERLINK("https://twitter.com/petrogustavo/status/1273817425604157440","1273817425604157440")</f>
        <v>1273817425604157440</v>
      </c>
      <c r="F6775" s="7" t="s">
        <v>17</v>
      </c>
      <c r="G6775" s="7">
        <v>3885952</v>
      </c>
      <c r="H6775" s="7">
        <v>2416</v>
      </c>
      <c r="I6775" s="7">
        <v>96</v>
      </c>
      <c r="J6775" s="7">
        <v>0</v>
      </c>
      <c r="K6775" s="7" t="s">
        <v>18</v>
      </c>
      <c r="L6775" s="8">
        <v>39987.315405092595</v>
      </c>
      <c r="M6775" s="9" t="s">
        <v>19</v>
      </c>
      <c r="N6775" s="9" t="s">
        <v>20</v>
      </c>
      <c r="O6775" s="6" t="str">
        <f>HYPERLINK("https://pbs.twimg.com/profile_images/962471262747529216/Uo8lOkRJ_normal.jpg","View")</f>
        <v>View</v>
      </c>
      <c r="P6775" s="7"/>
    </row>
    <row r="6776" spans="1:16">
      <c r="A6776" s="3">
        <v>44001.763055555552</v>
      </c>
      <c r="B6776" s="4" t="str">
        <f>HYPERLINK("https://twitter.com/petrogustavo","@petrogustavo")</f>
        <v>@petrogustavo</v>
      </c>
      <c r="C6776" s="5" t="s">
        <v>16</v>
      </c>
      <c r="D6776" s="5" t="s">
        <v>6567</v>
      </c>
      <c r="E6776" s="6" t="str">
        <f>HYPERLINK("https://twitter.com/petrogustavo/status/1273960927562530817","1273960927562530817")</f>
        <v>1273960927562530817</v>
      </c>
      <c r="F6776" s="7" t="s">
        <v>32</v>
      </c>
      <c r="G6776" s="7">
        <v>3886178</v>
      </c>
      <c r="H6776" s="7">
        <v>2416</v>
      </c>
      <c r="I6776" s="7">
        <v>37</v>
      </c>
      <c r="J6776" s="7">
        <v>0</v>
      </c>
      <c r="K6776" s="7" t="s">
        <v>18</v>
      </c>
      <c r="L6776" s="8">
        <v>39987.315405092595</v>
      </c>
      <c r="M6776" s="9" t="s">
        <v>19</v>
      </c>
      <c r="N6776" s="9" t="s">
        <v>20</v>
      </c>
      <c r="O6776" s="6" t="str">
        <f>HYPERLINK("https://pbs.twimg.com/profile_images/962471262747529216/Uo8lOkRJ_normal.jpg","View")</f>
        <v>View</v>
      </c>
      <c r="P6776" s="7"/>
    </row>
    <row r="6777" spans="1:16">
      <c r="A6777" s="3">
        <v>44001.83184027778</v>
      </c>
      <c r="B6777" s="4" t="str">
        <f>HYPERLINK("https://twitter.com/petrogustavo","@petrogustavo")</f>
        <v>@petrogustavo</v>
      </c>
      <c r="C6777" s="5" t="s">
        <v>16</v>
      </c>
      <c r="D6777" s="5" t="s">
        <v>6568</v>
      </c>
      <c r="E6777" s="6" t="str">
        <f>HYPERLINK("https://twitter.com/petrogustavo/status/1273985853166141446","1273985853166141446")</f>
        <v>1273985853166141446</v>
      </c>
      <c r="F6777" s="7" t="s">
        <v>32</v>
      </c>
      <c r="G6777" s="7">
        <v>3886285</v>
      </c>
      <c r="H6777" s="7">
        <v>2416</v>
      </c>
      <c r="I6777" s="7">
        <v>413</v>
      </c>
      <c r="J6777" s="7">
        <v>0</v>
      </c>
      <c r="K6777" s="7" t="s">
        <v>18</v>
      </c>
      <c r="L6777" s="8">
        <v>39987.315405092595</v>
      </c>
      <c r="M6777" s="9" t="s">
        <v>19</v>
      </c>
      <c r="N6777" s="9" t="s">
        <v>20</v>
      </c>
      <c r="O6777" s="6" t="str">
        <f>HYPERLINK("https://pbs.twimg.com/profile_images/962471262747529216/Uo8lOkRJ_normal.jpg","View")</f>
        <v>View</v>
      </c>
      <c r="P6777" s="7"/>
    </row>
    <row r="6778" spans="1:16">
      <c r="A6778" s="3">
        <v>44001.833437499998</v>
      </c>
      <c r="B6778" s="4" t="str">
        <f>HYPERLINK("https://twitter.com/petrogustavo","@petrogustavo")</f>
        <v>@petrogustavo</v>
      </c>
      <c r="C6778" s="5" t="s">
        <v>16</v>
      </c>
      <c r="D6778" s="5" t="s">
        <v>6569</v>
      </c>
      <c r="E6778" s="6" t="str">
        <f>HYPERLINK("https://twitter.com/petrogustavo/status/1273986430117785600","1273986430117785600")</f>
        <v>1273986430117785600</v>
      </c>
      <c r="F6778" s="7" t="s">
        <v>32</v>
      </c>
      <c r="G6778" s="7">
        <v>3886285</v>
      </c>
      <c r="H6778" s="7">
        <v>2416</v>
      </c>
      <c r="I6778" s="7">
        <v>192</v>
      </c>
      <c r="J6778" s="7">
        <v>510</v>
      </c>
      <c r="K6778" s="7" t="s">
        <v>18</v>
      </c>
      <c r="L6778" s="8">
        <v>39987.315405092595</v>
      </c>
      <c r="M6778" s="9" t="s">
        <v>19</v>
      </c>
      <c r="N6778" s="9" t="s">
        <v>20</v>
      </c>
      <c r="O6778" s="6" t="str">
        <f>HYPERLINK("https://pbs.twimg.com/profile_images/962471262747529216/Uo8lOkRJ_normal.jpg","View")</f>
        <v>View</v>
      </c>
      <c r="P6778" s="7"/>
    </row>
    <row r="6779" spans="1:16">
      <c r="A6779" s="3">
        <v>44001.841886574075</v>
      </c>
      <c r="B6779" s="4" t="str">
        <f>HYPERLINK("https://twitter.com/petrogustavo","@petrogustavo")</f>
        <v>@petrogustavo</v>
      </c>
      <c r="C6779" s="5" t="s">
        <v>16</v>
      </c>
      <c r="D6779" s="5" t="s">
        <v>6570</v>
      </c>
      <c r="E6779" s="6" t="str">
        <f>HYPERLINK("https://twitter.com/petrogustavo/status/1273989492177854465","1273989492177854465")</f>
        <v>1273989492177854465</v>
      </c>
      <c r="F6779" s="7" t="s">
        <v>32</v>
      </c>
      <c r="G6779" s="7">
        <v>3886285</v>
      </c>
      <c r="H6779" s="7">
        <v>2416</v>
      </c>
      <c r="I6779" s="7">
        <v>36</v>
      </c>
      <c r="J6779" s="7">
        <v>74</v>
      </c>
      <c r="K6779" s="7" t="s">
        <v>18</v>
      </c>
      <c r="L6779" s="8">
        <v>39987.315405092595</v>
      </c>
      <c r="M6779" s="9" t="s">
        <v>19</v>
      </c>
      <c r="N6779" s="9" t="s">
        <v>20</v>
      </c>
      <c r="O6779" s="6" t="str">
        <f>HYPERLINK("https://pbs.twimg.com/profile_images/962471262747529216/Uo8lOkRJ_normal.jpg","View")</f>
        <v>View</v>
      </c>
      <c r="P6779" s="7"/>
    </row>
    <row r="6780" spans="1:16">
      <c r="A6780" s="3">
        <v>44001.843796296293</v>
      </c>
      <c r="B6780" s="4" t="str">
        <f>HYPERLINK("https://twitter.com/petrogustavo","@petrogustavo")</f>
        <v>@petrogustavo</v>
      </c>
      <c r="C6780" s="5" t="s">
        <v>16</v>
      </c>
      <c r="D6780" s="5" t="s">
        <v>6571</v>
      </c>
      <c r="E6780" s="6" t="str">
        <f>HYPERLINK("https://twitter.com/petrogustavo/status/1273990187434086406","1273990187434086406")</f>
        <v>1273990187434086406</v>
      </c>
      <c r="F6780" s="7" t="s">
        <v>32</v>
      </c>
      <c r="G6780" s="7">
        <v>3886285</v>
      </c>
      <c r="H6780" s="7">
        <v>2416</v>
      </c>
      <c r="I6780" s="7">
        <v>144</v>
      </c>
      <c r="J6780" s="7">
        <v>445</v>
      </c>
      <c r="K6780" s="7" t="s">
        <v>18</v>
      </c>
      <c r="L6780" s="8">
        <v>39987.315405092595</v>
      </c>
      <c r="M6780" s="9" t="s">
        <v>19</v>
      </c>
      <c r="N6780" s="9" t="s">
        <v>20</v>
      </c>
      <c r="O6780" s="6" t="str">
        <f>HYPERLINK("https://pbs.twimg.com/profile_images/962471262747529216/Uo8lOkRJ_normal.jpg","View")</f>
        <v>View</v>
      </c>
      <c r="P6780" s="7"/>
    </row>
    <row r="6781" spans="1:16">
      <c r="A6781" s="3">
        <v>44001.953333333338</v>
      </c>
      <c r="B6781" s="4" t="str">
        <f>HYPERLINK("https://twitter.com/petrogustavo","@petrogustavo")</f>
        <v>@petrogustavo</v>
      </c>
      <c r="C6781" s="5" t="s">
        <v>16</v>
      </c>
      <c r="D6781" s="5" t="s">
        <v>6572</v>
      </c>
      <c r="E6781" s="6" t="str">
        <f>HYPERLINK("https://twitter.com/petrogustavo/status/1274029881177718785","1274029881177718785")</f>
        <v>1274029881177718785</v>
      </c>
      <c r="F6781" s="7" t="s">
        <v>17</v>
      </c>
      <c r="G6781" s="7">
        <v>3886419</v>
      </c>
      <c r="H6781" s="7">
        <v>2416</v>
      </c>
      <c r="I6781" s="7">
        <v>3790</v>
      </c>
      <c r="J6781" s="7">
        <v>0</v>
      </c>
      <c r="K6781" s="7" t="s">
        <v>18</v>
      </c>
      <c r="L6781" s="8">
        <v>39987.315405092595</v>
      </c>
      <c r="M6781" s="9" t="s">
        <v>19</v>
      </c>
      <c r="N6781" s="9" t="s">
        <v>20</v>
      </c>
      <c r="O6781" s="6" t="str">
        <f>HYPERLINK("https://pbs.twimg.com/profile_images/962471262747529216/Uo8lOkRJ_normal.jpg","View")</f>
        <v>View</v>
      </c>
      <c r="P6781" s="7"/>
    </row>
    <row r="6782" spans="1:16">
      <c r="A6782" s="3">
        <v>44002.01153935185</v>
      </c>
      <c r="B6782" s="4" t="str">
        <f>HYPERLINK("https://twitter.com/petrogustavo","@petrogustavo")</f>
        <v>@petrogustavo</v>
      </c>
      <c r="C6782" s="5" t="s">
        <v>16</v>
      </c>
      <c r="D6782" s="5" t="s">
        <v>6572</v>
      </c>
      <c r="E6782" s="6" t="str">
        <f>HYPERLINK("https://twitter.com/petrogustavo/status/1274050972185251841","1274050972185251841")</f>
        <v>1274050972185251841</v>
      </c>
      <c r="F6782" s="7" t="s">
        <v>17</v>
      </c>
      <c r="G6782" s="7">
        <v>3886527</v>
      </c>
      <c r="H6782" s="7">
        <v>2416</v>
      </c>
      <c r="I6782" s="7">
        <v>4657</v>
      </c>
      <c r="J6782" s="7">
        <v>0</v>
      </c>
      <c r="K6782" s="7" t="s">
        <v>18</v>
      </c>
      <c r="L6782" s="8">
        <v>39987.315405092595</v>
      </c>
      <c r="M6782" s="9" t="s">
        <v>19</v>
      </c>
      <c r="N6782" s="9" t="s">
        <v>20</v>
      </c>
      <c r="O6782" s="6" t="str">
        <f>HYPERLINK("https://pbs.twimg.com/profile_images/962471262747529216/Uo8lOkRJ_normal.jpg","View")</f>
        <v>View</v>
      </c>
      <c r="P6782" s="7"/>
    </row>
    <row r="6783" spans="1:16">
      <c r="A6783" s="3">
        <v>44002.060960648145</v>
      </c>
      <c r="B6783" s="4" t="str">
        <f>HYPERLINK("https://twitter.com/petrogustavo","@petrogustavo")</f>
        <v>@petrogustavo</v>
      </c>
      <c r="C6783" s="5" t="s">
        <v>16</v>
      </c>
      <c r="D6783" s="5" t="s">
        <v>6573</v>
      </c>
      <c r="E6783" s="6" t="str">
        <f>HYPERLINK("https://twitter.com/petrogustavo/status/1274068882664435712","1274068882664435712")</f>
        <v>1274068882664435712</v>
      </c>
      <c r="F6783" s="7" t="s">
        <v>17</v>
      </c>
      <c r="G6783" s="7">
        <v>3886704</v>
      </c>
      <c r="H6783" s="7">
        <v>2416</v>
      </c>
      <c r="I6783" s="7">
        <v>57</v>
      </c>
      <c r="J6783" s="7">
        <v>0</v>
      </c>
      <c r="K6783" s="7" t="s">
        <v>18</v>
      </c>
      <c r="L6783" s="8">
        <v>39987.315405092595</v>
      </c>
      <c r="M6783" s="9" t="s">
        <v>19</v>
      </c>
      <c r="N6783" s="9" t="s">
        <v>20</v>
      </c>
      <c r="O6783" s="6" t="str">
        <f>HYPERLINK("https://pbs.twimg.com/profile_images/962471262747529216/Uo8lOkRJ_normal.jpg","View")</f>
        <v>View</v>
      </c>
      <c r="P6783" s="7"/>
    </row>
    <row r="6784" spans="1:16">
      <c r="A6784" s="3">
        <v>44002.091215277775</v>
      </c>
      <c r="B6784" s="4" t="str">
        <f>HYPERLINK("https://twitter.com/petrogustavo","@petrogustavo")</f>
        <v>@petrogustavo</v>
      </c>
      <c r="C6784" s="5" t="s">
        <v>16</v>
      </c>
      <c r="D6784" s="5" t="s">
        <v>6574</v>
      </c>
      <c r="E6784" s="6" t="str">
        <f>HYPERLINK("https://twitter.com/petrogustavo/status/1274079846847651840","1274079846847651840")</f>
        <v>1274079846847651840</v>
      </c>
      <c r="F6784" s="7" t="s">
        <v>32</v>
      </c>
      <c r="G6784" s="7">
        <v>3886765</v>
      </c>
      <c r="H6784" s="7">
        <v>2416</v>
      </c>
      <c r="I6784" s="7">
        <v>30</v>
      </c>
      <c r="J6784" s="7">
        <v>0</v>
      </c>
      <c r="K6784" s="7" t="s">
        <v>18</v>
      </c>
      <c r="L6784" s="8">
        <v>39987.315405092595</v>
      </c>
      <c r="M6784" s="9" t="s">
        <v>19</v>
      </c>
      <c r="N6784" s="9" t="s">
        <v>20</v>
      </c>
      <c r="O6784" s="6" t="str">
        <f>HYPERLINK("https://pbs.twimg.com/profile_images/962471262747529216/Uo8lOkRJ_normal.jpg","View")</f>
        <v>View</v>
      </c>
      <c r="P6784" s="7"/>
    </row>
    <row r="6785" spans="1:16">
      <c r="A6785" s="3">
        <v>44002.091296296298</v>
      </c>
      <c r="B6785" s="4" t="str">
        <f>HYPERLINK("https://twitter.com/petrogustavo","@petrogustavo")</f>
        <v>@petrogustavo</v>
      </c>
      <c r="C6785" s="5" t="s">
        <v>16</v>
      </c>
      <c r="D6785" s="5" t="s">
        <v>6575</v>
      </c>
      <c r="E6785" s="6" t="str">
        <f>HYPERLINK("https://twitter.com/petrogustavo/status/1274079875796733953","1274079875796733953")</f>
        <v>1274079875796733953</v>
      </c>
      <c r="F6785" s="7" t="s">
        <v>32</v>
      </c>
      <c r="G6785" s="7">
        <v>3886765</v>
      </c>
      <c r="H6785" s="7">
        <v>2416</v>
      </c>
      <c r="I6785" s="7">
        <v>14</v>
      </c>
      <c r="J6785" s="7">
        <v>0</v>
      </c>
      <c r="K6785" s="7" t="s">
        <v>18</v>
      </c>
      <c r="L6785" s="8">
        <v>39987.315405092595</v>
      </c>
      <c r="M6785" s="9" t="s">
        <v>19</v>
      </c>
      <c r="N6785" s="9" t="s">
        <v>20</v>
      </c>
      <c r="O6785" s="6" t="str">
        <f>HYPERLINK("https://pbs.twimg.com/profile_images/962471262747529216/Uo8lOkRJ_normal.jpg","View")</f>
        <v>View</v>
      </c>
      <c r="P6785" s="7"/>
    </row>
    <row r="6786" spans="1:16">
      <c r="A6786" s="3">
        <v>44002.091469907406</v>
      </c>
      <c r="B6786" s="4" t="str">
        <f>HYPERLINK("https://twitter.com/petrogustavo","@petrogustavo")</f>
        <v>@petrogustavo</v>
      </c>
      <c r="C6786" s="5" t="s">
        <v>16</v>
      </c>
      <c r="D6786" s="5" t="s">
        <v>6576</v>
      </c>
      <c r="E6786" s="6" t="str">
        <f>HYPERLINK("https://twitter.com/petrogustavo/status/1274079939709612038","1274079939709612038")</f>
        <v>1274079939709612038</v>
      </c>
      <c r="F6786" s="7" t="s">
        <v>32</v>
      </c>
      <c r="G6786" s="7">
        <v>3886765</v>
      </c>
      <c r="H6786" s="7">
        <v>2416</v>
      </c>
      <c r="I6786" s="7">
        <v>22</v>
      </c>
      <c r="J6786" s="7">
        <v>0</v>
      </c>
      <c r="K6786" s="7" t="s">
        <v>18</v>
      </c>
      <c r="L6786" s="8">
        <v>39987.315405092595</v>
      </c>
      <c r="M6786" s="9" t="s">
        <v>19</v>
      </c>
      <c r="N6786" s="9" t="s">
        <v>20</v>
      </c>
      <c r="O6786" s="6" t="str">
        <f>HYPERLINK("https://pbs.twimg.com/profile_images/962471262747529216/Uo8lOkRJ_normal.jpg","View")</f>
        <v>View</v>
      </c>
      <c r="P6786" s="7"/>
    </row>
    <row r="6787" spans="1:16">
      <c r="A6787" s="3">
        <v>44002.091574074075</v>
      </c>
      <c r="B6787" s="4" t="str">
        <f>HYPERLINK("https://twitter.com/petrogustavo","@petrogustavo")</f>
        <v>@petrogustavo</v>
      </c>
      <c r="C6787" s="5" t="s">
        <v>16</v>
      </c>
      <c r="D6787" s="5" t="s">
        <v>6577</v>
      </c>
      <c r="E6787" s="6" t="str">
        <f>HYPERLINK("https://twitter.com/petrogustavo/status/1274079975759646723","1274079975759646723")</f>
        <v>1274079975759646723</v>
      </c>
      <c r="F6787" s="7" t="s">
        <v>32</v>
      </c>
      <c r="G6787" s="7">
        <v>3886765</v>
      </c>
      <c r="H6787" s="7">
        <v>2416</v>
      </c>
      <c r="I6787" s="7">
        <v>15</v>
      </c>
      <c r="J6787" s="7">
        <v>0</v>
      </c>
      <c r="K6787" s="7" t="s">
        <v>18</v>
      </c>
      <c r="L6787" s="8">
        <v>39987.315405092595</v>
      </c>
      <c r="M6787" s="9" t="s">
        <v>19</v>
      </c>
      <c r="N6787" s="9" t="s">
        <v>20</v>
      </c>
      <c r="O6787" s="6" t="str">
        <f>HYPERLINK("https://pbs.twimg.com/profile_images/962471262747529216/Uo8lOkRJ_normal.jpg","View")</f>
        <v>View</v>
      </c>
      <c r="P6787" s="7"/>
    </row>
    <row r="6788" spans="1:16">
      <c r="A6788" s="3">
        <v>44002.092002314814</v>
      </c>
      <c r="B6788" s="4" t="str">
        <f>HYPERLINK("https://twitter.com/petrogustavo","@petrogustavo")</f>
        <v>@petrogustavo</v>
      </c>
      <c r="C6788" s="5" t="s">
        <v>16</v>
      </c>
      <c r="D6788" s="5" t="s">
        <v>6578</v>
      </c>
      <c r="E6788" s="6" t="str">
        <f>HYPERLINK("https://twitter.com/petrogustavo/status/1274080132735684608","1274080132735684608")</f>
        <v>1274080132735684608</v>
      </c>
      <c r="F6788" s="7" t="s">
        <v>32</v>
      </c>
      <c r="G6788" s="7">
        <v>3886765</v>
      </c>
      <c r="H6788" s="7">
        <v>2416</v>
      </c>
      <c r="I6788" s="7">
        <v>14</v>
      </c>
      <c r="J6788" s="7">
        <v>0</v>
      </c>
      <c r="K6788" s="7" t="s">
        <v>18</v>
      </c>
      <c r="L6788" s="8">
        <v>39987.315405092595</v>
      </c>
      <c r="M6788" s="9" t="s">
        <v>19</v>
      </c>
      <c r="N6788" s="9" t="s">
        <v>20</v>
      </c>
      <c r="O6788" s="6" t="str">
        <f>HYPERLINK("https://pbs.twimg.com/profile_images/962471262747529216/Uo8lOkRJ_normal.jpg","View")</f>
        <v>View</v>
      </c>
      <c r="P6788" s="7"/>
    </row>
    <row r="6789" spans="1:16">
      <c r="A6789" s="3">
        <v>44002.113634259258</v>
      </c>
      <c r="B6789" s="4" t="str">
        <f>HYPERLINK("https://twitter.com/petrogustavo","@petrogustavo")</f>
        <v>@petrogustavo</v>
      </c>
      <c r="C6789" s="5" t="s">
        <v>16</v>
      </c>
      <c r="D6789" s="5" t="s">
        <v>6579</v>
      </c>
      <c r="E6789" s="6" t="str">
        <f>HYPERLINK("https://twitter.com/petrogustavo/status/1274087970505662465","1274087970505662465")</f>
        <v>1274087970505662465</v>
      </c>
      <c r="F6789" s="7" t="s">
        <v>32</v>
      </c>
      <c r="G6789" s="7">
        <v>3886818</v>
      </c>
      <c r="H6789" s="7">
        <v>2416</v>
      </c>
      <c r="I6789" s="7">
        <v>7</v>
      </c>
      <c r="J6789" s="7">
        <v>0</v>
      </c>
      <c r="K6789" s="7" t="s">
        <v>18</v>
      </c>
      <c r="L6789" s="8">
        <v>39987.315405092595</v>
      </c>
      <c r="M6789" s="9" t="s">
        <v>19</v>
      </c>
      <c r="N6789" s="9" t="s">
        <v>20</v>
      </c>
      <c r="O6789" s="6" t="str">
        <f>HYPERLINK("https://pbs.twimg.com/profile_images/962471262747529216/Uo8lOkRJ_normal.jpg","View")</f>
        <v>View</v>
      </c>
      <c r="P6789" s="7"/>
    </row>
    <row r="6790" spans="1:16">
      <c r="A6790" s="3">
        <v>44002.2893287037</v>
      </c>
      <c r="B6790" s="4" t="str">
        <f>HYPERLINK("https://twitter.com/petrogustavo","@petrogustavo")</f>
        <v>@petrogustavo</v>
      </c>
      <c r="C6790" s="5" t="s">
        <v>16</v>
      </c>
      <c r="D6790" s="5" t="s">
        <v>6580</v>
      </c>
      <c r="E6790" s="6" t="str">
        <f>HYPERLINK("https://twitter.com/petrogustavo/status/1274151639461572619","1274151639461572619")</f>
        <v>1274151639461572619</v>
      </c>
      <c r="F6790" s="7" t="s">
        <v>17</v>
      </c>
      <c r="G6790" s="7">
        <v>3887246</v>
      </c>
      <c r="H6790" s="7">
        <v>2416</v>
      </c>
      <c r="I6790" s="7">
        <v>185</v>
      </c>
      <c r="J6790" s="7">
        <v>524</v>
      </c>
      <c r="K6790" s="7" t="s">
        <v>18</v>
      </c>
      <c r="L6790" s="8">
        <v>39987.315405092595</v>
      </c>
      <c r="M6790" s="9" t="s">
        <v>19</v>
      </c>
      <c r="N6790" s="9" t="s">
        <v>20</v>
      </c>
      <c r="O6790" s="6" t="str">
        <f>HYPERLINK("https://pbs.twimg.com/profile_images/962471262747529216/Uo8lOkRJ_normal.jpg","View")</f>
        <v>View</v>
      </c>
      <c r="P6790" s="7"/>
    </row>
    <row r="6791" spans="1:16">
      <c r="A6791" s="3">
        <v>44002.293368055558</v>
      </c>
      <c r="B6791" s="4" t="str">
        <f>HYPERLINK("https://twitter.com/petrogustavo","@petrogustavo")</f>
        <v>@petrogustavo</v>
      </c>
      <c r="C6791" s="5" t="s">
        <v>16</v>
      </c>
      <c r="D6791" s="5" t="s">
        <v>6581</v>
      </c>
      <c r="E6791" s="6" t="str">
        <f>HYPERLINK("https://twitter.com/petrogustavo/status/1274153104519430146","1274153104519430146")</f>
        <v>1274153104519430146</v>
      </c>
      <c r="F6791" s="7" t="s">
        <v>17</v>
      </c>
      <c r="G6791" s="7">
        <v>3887246</v>
      </c>
      <c r="H6791" s="7">
        <v>2416</v>
      </c>
      <c r="I6791" s="7">
        <v>40</v>
      </c>
      <c r="J6791" s="7">
        <v>0</v>
      </c>
      <c r="K6791" s="7" t="s">
        <v>18</v>
      </c>
      <c r="L6791" s="8">
        <v>39987.315405092595</v>
      </c>
      <c r="M6791" s="9" t="s">
        <v>19</v>
      </c>
      <c r="N6791" s="9" t="s">
        <v>20</v>
      </c>
      <c r="O6791" s="6" t="str">
        <f>HYPERLINK("https://pbs.twimg.com/profile_images/962471262747529216/Uo8lOkRJ_normal.jpg","View")</f>
        <v>View</v>
      </c>
      <c r="P6791" s="7"/>
    </row>
    <row r="6792" spans="1:16">
      <c r="A6792" s="3">
        <v>44002.295914351853</v>
      </c>
      <c r="B6792" s="4" t="str">
        <f>HYPERLINK("https://twitter.com/petrogustavo","@petrogustavo")</f>
        <v>@petrogustavo</v>
      </c>
      <c r="C6792" s="5" t="s">
        <v>16</v>
      </c>
      <c r="D6792" s="5" t="s">
        <v>6582</v>
      </c>
      <c r="E6792" s="6" t="str">
        <f>HYPERLINK("https://twitter.com/petrogustavo/status/1274154027375362050","1274154027375362050")</f>
        <v>1274154027375362050</v>
      </c>
      <c r="F6792" s="7" t="s">
        <v>17</v>
      </c>
      <c r="G6792" s="7">
        <v>3887246</v>
      </c>
      <c r="H6792" s="7">
        <v>2416</v>
      </c>
      <c r="I6792" s="7">
        <v>34</v>
      </c>
      <c r="J6792" s="7">
        <v>0</v>
      </c>
      <c r="K6792" s="7" t="s">
        <v>18</v>
      </c>
      <c r="L6792" s="8">
        <v>39987.315405092595</v>
      </c>
      <c r="M6792" s="9" t="s">
        <v>19</v>
      </c>
      <c r="N6792" s="9" t="s">
        <v>20</v>
      </c>
      <c r="O6792" s="6" t="str">
        <f>HYPERLINK("https://pbs.twimg.com/profile_images/962471262747529216/Uo8lOkRJ_normal.jpg","View")</f>
        <v>View</v>
      </c>
      <c r="P6792" s="7"/>
    </row>
    <row r="6793" spans="1:16">
      <c r="A6793" s="3">
        <v>44002.298344907409</v>
      </c>
      <c r="B6793" s="4" t="str">
        <f>HYPERLINK("https://twitter.com/petrogustavo","@petrogustavo")</f>
        <v>@petrogustavo</v>
      </c>
      <c r="C6793" s="5" t="s">
        <v>16</v>
      </c>
      <c r="D6793" s="5" t="s">
        <v>6583</v>
      </c>
      <c r="E6793" s="6" t="str">
        <f>HYPERLINK("https://twitter.com/petrogustavo/status/1274154909932425221","1274154909932425221")</f>
        <v>1274154909932425221</v>
      </c>
      <c r="F6793" s="7" t="s">
        <v>17</v>
      </c>
      <c r="G6793" s="7">
        <v>3887246</v>
      </c>
      <c r="H6793" s="7">
        <v>2416</v>
      </c>
      <c r="I6793" s="7">
        <v>416</v>
      </c>
      <c r="J6793" s="7">
        <v>1319</v>
      </c>
      <c r="K6793" s="7" t="s">
        <v>18</v>
      </c>
      <c r="L6793" s="8">
        <v>39987.315405092595</v>
      </c>
      <c r="M6793" s="9" t="s">
        <v>19</v>
      </c>
      <c r="N6793" s="9" t="s">
        <v>20</v>
      </c>
      <c r="O6793" s="6" t="str">
        <f>HYPERLINK("https://pbs.twimg.com/profile_images/962471262747529216/Uo8lOkRJ_normal.jpg","View")</f>
        <v>View</v>
      </c>
      <c r="P6793" s="7"/>
    </row>
    <row r="6794" spans="1:16">
      <c r="A6794" s="3">
        <v>44002.358784722222</v>
      </c>
      <c r="B6794" s="4" t="str">
        <f>HYPERLINK("https://twitter.com/petrogustavo","@petrogustavo")</f>
        <v>@petrogustavo</v>
      </c>
      <c r="C6794" s="5" t="s">
        <v>16</v>
      </c>
      <c r="D6794" s="5" t="s">
        <v>6584</v>
      </c>
      <c r="E6794" s="6" t="str">
        <f>HYPERLINK("https://twitter.com/petrogustavo/status/1274176809593188352","1274176809593188352")</f>
        <v>1274176809593188352</v>
      </c>
      <c r="F6794" s="7" t="s">
        <v>32</v>
      </c>
      <c r="G6794" s="7">
        <v>3887417</v>
      </c>
      <c r="H6794" s="7">
        <v>2416</v>
      </c>
      <c r="I6794" s="7">
        <v>212</v>
      </c>
      <c r="J6794" s="7">
        <v>0</v>
      </c>
      <c r="K6794" s="7" t="s">
        <v>18</v>
      </c>
      <c r="L6794" s="8">
        <v>39987.315405092595</v>
      </c>
      <c r="M6794" s="9" t="s">
        <v>19</v>
      </c>
      <c r="N6794" s="9" t="s">
        <v>20</v>
      </c>
      <c r="O6794" s="6" t="str">
        <f>HYPERLINK("https://pbs.twimg.com/profile_images/962471262747529216/Uo8lOkRJ_normal.jpg","View")</f>
        <v>View</v>
      </c>
      <c r="P6794" s="7"/>
    </row>
    <row r="6795" spans="1:16">
      <c r="A6795" s="3">
        <v>44002.359074074076</v>
      </c>
      <c r="B6795" s="4" t="str">
        <f>HYPERLINK("https://twitter.com/petrogustavo","@petrogustavo")</f>
        <v>@petrogustavo</v>
      </c>
      <c r="C6795" s="5" t="s">
        <v>16</v>
      </c>
      <c r="D6795" s="5" t="s">
        <v>6585</v>
      </c>
      <c r="E6795" s="6" t="str">
        <f>HYPERLINK("https://twitter.com/petrogustavo/status/1274176917344784385","1274176917344784385")</f>
        <v>1274176917344784385</v>
      </c>
      <c r="F6795" s="7" t="s">
        <v>32</v>
      </c>
      <c r="G6795" s="7">
        <v>3887417</v>
      </c>
      <c r="H6795" s="7">
        <v>2416</v>
      </c>
      <c r="I6795" s="7">
        <v>40</v>
      </c>
      <c r="J6795" s="7">
        <v>0</v>
      </c>
      <c r="K6795" s="7" t="s">
        <v>18</v>
      </c>
      <c r="L6795" s="8">
        <v>39987.315405092595</v>
      </c>
      <c r="M6795" s="9" t="s">
        <v>19</v>
      </c>
      <c r="N6795" s="9" t="s">
        <v>20</v>
      </c>
      <c r="O6795" s="6" t="str">
        <f>HYPERLINK("https://pbs.twimg.com/profile_images/962471262747529216/Uo8lOkRJ_normal.jpg","View")</f>
        <v>View</v>
      </c>
      <c r="P6795" s="7"/>
    </row>
    <row r="6796" spans="1:16">
      <c r="A6796" s="3">
        <v>44002.361828703702</v>
      </c>
      <c r="B6796" s="4" t="str">
        <f>HYPERLINK("https://twitter.com/petrogustavo","@petrogustavo")</f>
        <v>@petrogustavo</v>
      </c>
      <c r="C6796" s="5" t="s">
        <v>16</v>
      </c>
      <c r="D6796" s="5" t="s">
        <v>6586</v>
      </c>
      <c r="E6796" s="6" t="str">
        <f>HYPERLINK("https://twitter.com/petrogustavo/status/1274177915522080768","1274177915522080768")</f>
        <v>1274177915522080768</v>
      </c>
      <c r="F6796" s="7" t="s">
        <v>21</v>
      </c>
      <c r="G6796" s="7">
        <v>3887417</v>
      </c>
      <c r="H6796" s="7">
        <v>2416</v>
      </c>
      <c r="I6796" s="7">
        <v>57</v>
      </c>
      <c r="J6796" s="7">
        <v>131</v>
      </c>
      <c r="K6796" s="7" t="s">
        <v>18</v>
      </c>
      <c r="L6796" s="8">
        <v>39987.315405092595</v>
      </c>
      <c r="M6796" s="9" t="s">
        <v>19</v>
      </c>
      <c r="N6796" s="9" t="s">
        <v>20</v>
      </c>
      <c r="O6796" s="6" t="str">
        <f>HYPERLINK("https://pbs.twimg.com/profile_images/962471262747529216/Uo8lOkRJ_normal.jpg","View")</f>
        <v>View</v>
      </c>
      <c r="P6796" s="7"/>
    </row>
    <row r="6797" spans="1:16">
      <c r="A6797" s="3">
        <v>44002.362002314811</v>
      </c>
      <c r="B6797" s="4" t="str">
        <f>HYPERLINK("https://twitter.com/petrogustavo","@petrogustavo")</f>
        <v>@petrogustavo</v>
      </c>
      <c r="C6797" s="5" t="s">
        <v>16</v>
      </c>
      <c r="D6797" s="5" t="s">
        <v>6587</v>
      </c>
      <c r="E6797" s="6" t="str">
        <f>HYPERLINK("https://twitter.com/petrogustavo/status/1274177975777361920","1274177975777361920")</f>
        <v>1274177975777361920</v>
      </c>
      <c r="F6797" s="7" t="s">
        <v>21</v>
      </c>
      <c r="G6797" s="7">
        <v>3887417</v>
      </c>
      <c r="H6797" s="7">
        <v>2416</v>
      </c>
      <c r="I6797" s="7">
        <v>44</v>
      </c>
      <c r="J6797" s="7">
        <v>113</v>
      </c>
      <c r="K6797" s="7" t="s">
        <v>18</v>
      </c>
      <c r="L6797" s="8">
        <v>39987.315405092595</v>
      </c>
      <c r="M6797" s="9" t="s">
        <v>19</v>
      </c>
      <c r="N6797" s="9" t="s">
        <v>20</v>
      </c>
      <c r="O6797" s="6" t="str">
        <f>HYPERLINK("https://pbs.twimg.com/profile_images/962471262747529216/Uo8lOkRJ_normal.jpg","View")</f>
        <v>View</v>
      </c>
      <c r="P6797" s="7"/>
    </row>
    <row r="6798" spans="1:16">
      <c r="A6798" s="3">
        <v>44002.362361111111</v>
      </c>
      <c r="B6798" s="4" t="str">
        <f>HYPERLINK("https://twitter.com/petrogustavo","@petrogustavo")</f>
        <v>@petrogustavo</v>
      </c>
      <c r="C6798" s="5" t="s">
        <v>16</v>
      </c>
      <c r="D6798" s="5" t="s">
        <v>6588</v>
      </c>
      <c r="E6798" s="6" t="str">
        <f>HYPERLINK("https://twitter.com/petrogustavo/status/1274178106857750528","1274178106857750528")</f>
        <v>1274178106857750528</v>
      </c>
      <c r="F6798" s="7" t="s">
        <v>21</v>
      </c>
      <c r="G6798" s="7">
        <v>3887417</v>
      </c>
      <c r="H6798" s="7">
        <v>2416</v>
      </c>
      <c r="I6798" s="7">
        <v>46</v>
      </c>
      <c r="J6798" s="7">
        <v>141</v>
      </c>
      <c r="K6798" s="7" t="s">
        <v>18</v>
      </c>
      <c r="L6798" s="8">
        <v>39987.315405092595</v>
      </c>
      <c r="M6798" s="9" t="s">
        <v>19</v>
      </c>
      <c r="N6798" s="9" t="s">
        <v>20</v>
      </c>
      <c r="O6798" s="6" t="str">
        <f>HYPERLINK("https://pbs.twimg.com/profile_images/962471262747529216/Uo8lOkRJ_normal.jpg","View")</f>
        <v>View</v>
      </c>
      <c r="P6798" s="7"/>
    </row>
    <row r="6799" spans="1:16">
      <c r="A6799" s="3">
        <v>44002.775150462963</v>
      </c>
      <c r="B6799" s="4" t="str">
        <f>HYPERLINK("https://twitter.com/petrogustavo","@petrogustavo")</f>
        <v>@petrogustavo</v>
      </c>
      <c r="C6799" s="5" t="s">
        <v>16</v>
      </c>
      <c r="D6799" s="5" t="s">
        <v>6589</v>
      </c>
      <c r="E6799" s="6" t="str">
        <f>HYPERLINK("https://twitter.com/petrogustavo/status/1274327695468494849","1274327695468494849")</f>
        <v>1274327695468494849</v>
      </c>
      <c r="F6799" s="7" t="s">
        <v>17</v>
      </c>
      <c r="G6799" s="7">
        <v>3887631</v>
      </c>
      <c r="H6799" s="7">
        <v>2416</v>
      </c>
      <c r="I6799" s="7">
        <v>88</v>
      </c>
      <c r="J6799" s="7">
        <v>171</v>
      </c>
      <c r="K6799" s="7" t="s">
        <v>18</v>
      </c>
      <c r="L6799" s="8">
        <v>39987.315405092595</v>
      </c>
      <c r="M6799" s="9" t="s">
        <v>19</v>
      </c>
      <c r="N6799" s="9" t="s">
        <v>20</v>
      </c>
      <c r="O6799" s="6" t="str">
        <f>HYPERLINK("https://pbs.twimg.com/profile_images/962471262747529216/Uo8lOkRJ_normal.jpg","View")</f>
        <v>View</v>
      </c>
      <c r="P6799" s="7"/>
    </row>
    <row r="6800" spans="1:16">
      <c r="A6800" s="3">
        <v>44002.779664351852</v>
      </c>
      <c r="B6800" s="4" t="str">
        <f>HYPERLINK("https://twitter.com/petrogustavo","@petrogustavo")</f>
        <v>@petrogustavo</v>
      </c>
      <c r="C6800" s="5" t="s">
        <v>16</v>
      </c>
      <c r="D6800" s="5" t="s">
        <v>6590</v>
      </c>
      <c r="E6800" s="6" t="str">
        <f>HYPERLINK("https://twitter.com/petrogustavo/status/1274329333558054913","1274329333558054913")</f>
        <v>1274329333558054913</v>
      </c>
      <c r="F6800" s="7" t="s">
        <v>17</v>
      </c>
      <c r="G6800" s="7">
        <v>3887631</v>
      </c>
      <c r="H6800" s="7">
        <v>2416</v>
      </c>
      <c r="I6800" s="7">
        <v>5448</v>
      </c>
      <c r="J6800" s="7">
        <v>0</v>
      </c>
      <c r="K6800" s="7" t="s">
        <v>18</v>
      </c>
      <c r="L6800" s="8">
        <v>39987.315405092595</v>
      </c>
      <c r="M6800" s="9" t="s">
        <v>19</v>
      </c>
      <c r="N6800" s="9" t="s">
        <v>20</v>
      </c>
      <c r="O6800" s="6" t="str">
        <f>HYPERLINK("https://pbs.twimg.com/profile_images/962471262747529216/Uo8lOkRJ_normal.jpg","View")</f>
        <v>View</v>
      </c>
      <c r="P6800" s="7"/>
    </row>
    <row r="6801" spans="1:16">
      <c r="A6801" s="3">
        <v>44002.785162037035</v>
      </c>
      <c r="B6801" s="4" t="str">
        <f>HYPERLINK("https://twitter.com/petrogustavo","@petrogustavo")</f>
        <v>@petrogustavo</v>
      </c>
      <c r="C6801" s="5" t="s">
        <v>16</v>
      </c>
      <c r="D6801" s="5" t="s">
        <v>6591</v>
      </c>
      <c r="E6801" s="6" t="str">
        <f>HYPERLINK("https://twitter.com/petrogustavo/status/1274331324795535360","1274331324795535360")</f>
        <v>1274331324795535360</v>
      </c>
      <c r="F6801" s="7" t="s">
        <v>17</v>
      </c>
      <c r="G6801" s="7">
        <v>3887656</v>
      </c>
      <c r="H6801" s="7">
        <v>2416</v>
      </c>
      <c r="I6801" s="7">
        <v>262</v>
      </c>
      <c r="J6801" s="7">
        <v>800</v>
      </c>
      <c r="K6801" s="7" t="s">
        <v>18</v>
      </c>
      <c r="L6801" s="8">
        <v>39987.315405092595</v>
      </c>
      <c r="M6801" s="9" t="s">
        <v>19</v>
      </c>
      <c r="N6801" s="9" t="s">
        <v>20</v>
      </c>
      <c r="O6801" s="6" t="str">
        <f>HYPERLINK("https://pbs.twimg.com/profile_images/962471262747529216/Uo8lOkRJ_normal.jpg","View")</f>
        <v>View</v>
      </c>
      <c r="P6801" s="7"/>
    </row>
    <row r="6802" spans="1:16">
      <c r="A6802" s="3">
        <v>44002.788275462968</v>
      </c>
      <c r="B6802" s="4" t="str">
        <f>HYPERLINK("https://twitter.com/petrogustavo","@petrogustavo")</f>
        <v>@petrogustavo</v>
      </c>
      <c r="C6802" s="5" t="s">
        <v>16</v>
      </c>
      <c r="D6802" s="5" t="s">
        <v>6592</v>
      </c>
      <c r="E6802" s="6" t="str">
        <f>HYPERLINK("https://twitter.com/petrogustavo/status/1274332452253847552","1274332452253847552")</f>
        <v>1274332452253847552</v>
      </c>
      <c r="F6802" s="7" t="s">
        <v>17</v>
      </c>
      <c r="G6802" s="7">
        <v>3887656</v>
      </c>
      <c r="H6802" s="7">
        <v>2416</v>
      </c>
      <c r="I6802" s="7">
        <v>195</v>
      </c>
      <c r="J6802" s="7">
        <v>0</v>
      </c>
      <c r="K6802" s="7" t="s">
        <v>18</v>
      </c>
      <c r="L6802" s="8">
        <v>39987.315405092595</v>
      </c>
      <c r="M6802" s="9" t="s">
        <v>19</v>
      </c>
      <c r="N6802" s="9" t="s">
        <v>20</v>
      </c>
      <c r="O6802" s="6" t="str">
        <f>HYPERLINK("https://pbs.twimg.com/profile_images/962471262747529216/Uo8lOkRJ_normal.jpg","View")</f>
        <v>View</v>
      </c>
      <c r="P6802" s="7"/>
    </row>
    <row r="6803" spans="1:16">
      <c r="A6803" s="3">
        <v>44002.791712962964</v>
      </c>
      <c r="B6803" s="4" t="str">
        <f>HYPERLINK("https://twitter.com/petrogustavo","@petrogustavo")</f>
        <v>@petrogustavo</v>
      </c>
      <c r="C6803" s="5" t="s">
        <v>16</v>
      </c>
      <c r="D6803" s="5" t="s">
        <v>6593</v>
      </c>
      <c r="E6803" s="6" t="str">
        <f>HYPERLINK("https://twitter.com/petrogustavo/status/1274333698377363456","1274333698377363456")</f>
        <v>1274333698377363456</v>
      </c>
      <c r="F6803" s="7" t="s">
        <v>17</v>
      </c>
      <c r="G6803" s="7">
        <v>3887656</v>
      </c>
      <c r="H6803" s="7">
        <v>2416</v>
      </c>
      <c r="I6803" s="7">
        <v>148</v>
      </c>
      <c r="J6803" s="7">
        <v>302</v>
      </c>
      <c r="K6803" s="7" t="s">
        <v>18</v>
      </c>
      <c r="L6803" s="8">
        <v>39987.315405092595</v>
      </c>
      <c r="M6803" s="9" t="s">
        <v>19</v>
      </c>
      <c r="N6803" s="9" t="s">
        <v>20</v>
      </c>
      <c r="O6803" s="6" t="str">
        <f>HYPERLINK("https://pbs.twimg.com/profile_images/962471262747529216/Uo8lOkRJ_normal.jpg","View")</f>
        <v>View</v>
      </c>
      <c r="P6803" s="7"/>
    </row>
    <row r="6804" spans="1:16">
      <c r="A6804" s="3">
        <v>44002.803101851852</v>
      </c>
      <c r="B6804" s="4" t="str">
        <f>HYPERLINK("https://twitter.com/petrogustavo","@petrogustavo")</f>
        <v>@petrogustavo</v>
      </c>
      <c r="C6804" s="5" t="s">
        <v>16</v>
      </c>
      <c r="D6804" s="5" t="s">
        <v>6594</v>
      </c>
      <c r="E6804" s="6" t="str">
        <f>HYPERLINK("https://twitter.com/petrogustavo/status/1274337826130231297","1274337826130231297")</f>
        <v>1274337826130231297</v>
      </c>
      <c r="F6804" s="7" t="s">
        <v>17</v>
      </c>
      <c r="G6804" s="7">
        <v>3887656</v>
      </c>
      <c r="H6804" s="7">
        <v>2416</v>
      </c>
      <c r="I6804" s="7">
        <v>4</v>
      </c>
      <c r="J6804" s="7">
        <v>8</v>
      </c>
      <c r="K6804" s="7" t="s">
        <v>18</v>
      </c>
      <c r="L6804" s="8">
        <v>39987.315405092595</v>
      </c>
      <c r="M6804" s="9" t="s">
        <v>19</v>
      </c>
      <c r="N6804" s="9" t="s">
        <v>20</v>
      </c>
      <c r="O6804" s="6" t="str">
        <f>HYPERLINK("https://pbs.twimg.com/profile_images/962471262747529216/Uo8lOkRJ_normal.jpg","View")</f>
        <v>View</v>
      </c>
      <c r="P6804" s="7"/>
    </row>
    <row r="6805" spans="1:16">
      <c r="A6805" s="3">
        <v>44002.840590277774</v>
      </c>
      <c r="B6805" s="4" t="str">
        <f>HYPERLINK("https://twitter.com/petrogustavo","@petrogustavo")</f>
        <v>@petrogustavo</v>
      </c>
      <c r="C6805" s="5" t="s">
        <v>16</v>
      </c>
      <c r="D6805" s="5" t="s">
        <v>6595</v>
      </c>
      <c r="E6805" s="6" t="str">
        <f>HYPERLINK("https://twitter.com/petrogustavo/status/1274351412202348549","1274351412202348549")</f>
        <v>1274351412202348549</v>
      </c>
      <c r="F6805" s="7" t="s">
        <v>17</v>
      </c>
      <c r="G6805" s="7">
        <v>3887710</v>
      </c>
      <c r="H6805" s="7">
        <v>2416</v>
      </c>
      <c r="I6805" s="7">
        <v>314</v>
      </c>
      <c r="J6805" s="7">
        <v>0</v>
      </c>
      <c r="K6805" s="7" t="s">
        <v>18</v>
      </c>
      <c r="L6805" s="8">
        <v>39987.315405092595</v>
      </c>
      <c r="M6805" s="9" t="s">
        <v>19</v>
      </c>
      <c r="N6805" s="9" t="s">
        <v>20</v>
      </c>
      <c r="O6805" s="6" t="str">
        <f>HYPERLINK("https://pbs.twimg.com/profile_images/962471262747529216/Uo8lOkRJ_normal.jpg","View")</f>
        <v>View</v>
      </c>
      <c r="P6805" s="7"/>
    </row>
    <row r="6806" spans="1:16">
      <c r="A6806" s="3">
        <v>44002.840671296297</v>
      </c>
      <c r="B6806" s="4" t="str">
        <f>HYPERLINK("https://twitter.com/petrogustavo","@petrogustavo")</f>
        <v>@petrogustavo</v>
      </c>
      <c r="C6806" s="5" t="s">
        <v>16</v>
      </c>
      <c r="D6806" s="5" t="s">
        <v>6595</v>
      </c>
      <c r="E6806" s="6" t="str">
        <f>HYPERLINK("https://twitter.com/petrogustavo/status/1274351441575129088","1274351441575129088")</f>
        <v>1274351441575129088</v>
      </c>
      <c r="F6806" s="7" t="s">
        <v>17</v>
      </c>
      <c r="G6806" s="7">
        <v>3887710</v>
      </c>
      <c r="H6806" s="7">
        <v>2416</v>
      </c>
      <c r="I6806" s="7">
        <v>499</v>
      </c>
      <c r="J6806" s="7">
        <v>0</v>
      </c>
      <c r="K6806" s="7" t="s">
        <v>18</v>
      </c>
      <c r="L6806" s="8">
        <v>39987.315405092595</v>
      </c>
      <c r="M6806" s="9" t="s">
        <v>19</v>
      </c>
      <c r="N6806" s="9" t="s">
        <v>20</v>
      </c>
      <c r="O6806" s="6" t="str">
        <f>HYPERLINK("https://pbs.twimg.com/profile_images/962471262747529216/Uo8lOkRJ_normal.jpg","View")</f>
        <v>View</v>
      </c>
      <c r="P6806" s="7"/>
    </row>
    <row r="6807" spans="1:16">
      <c r="A6807" s="3">
        <v>44002.84075231482</v>
      </c>
      <c r="B6807" s="4" t="str">
        <f>HYPERLINK("https://twitter.com/petrogustavo","@petrogustavo")</f>
        <v>@petrogustavo</v>
      </c>
      <c r="C6807" s="5" t="s">
        <v>16</v>
      </c>
      <c r="D6807" s="5" t="s">
        <v>6595</v>
      </c>
      <c r="E6807" s="6" t="str">
        <f>HYPERLINK("https://twitter.com/petrogustavo/status/1274351471937667072","1274351471937667072")</f>
        <v>1274351471937667072</v>
      </c>
      <c r="F6807" s="7" t="s">
        <v>17</v>
      </c>
      <c r="G6807" s="7">
        <v>3887710</v>
      </c>
      <c r="H6807" s="7">
        <v>2416</v>
      </c>
      <c r="I6807" s="7">
        <v>464</v>
      </c>
      <c r="J6807" s="7">
        <v>0</v>
      </c>
      <c r="K6807" s="7" t="s">
        <v>18</v>
      </c>
      <c r="L6807" s="8">
        <v>39987.315405092595</v>
      </c>
      <c r="M6807" s="9" t="s">
        <v>19</v>
      </c>
      <c r="N6807" s="9" t="s">
        <v>20</v>
      </c>
      <c r="O6807" s="6" t="str">
        <f>HYPERLINK("https://pbs.twimg.com/profile_images/962471262747529216/Uo8lOkRJ_normal.jpg","View")</f>
        <v>View</v>
      </c>
      <c r="P6807" s="7"/>
    </row>
    <row r="6808" spans="1:16">
      <c r="A6808" s="3">
        <v>44002.875833333332</v>
      </c>
      <c r="B6808" s="4" t="str">
        <f>HYPERLINK("https://twitter.com/petrogustavo","@petrogustavo")</f>
        <v>@petrogustavo</v>
      </c>
      <c r="C6808" s="5" t="s">
        <v>16</v>
      </c>
      <c r="D6808" s="5" t="s">
        <v>6596</v>
      </c>
      <c r="E6808" s="6" t="str">
        <f>HYPERLINK("https://twitter.com/petrogustavo/status/1274364182541017088","1274364182541017088")</f>
        <v>1274364182541017088</v>
      </c>
      <c r="F6808" s="7" t="s">
        <v>32</v>
      </c>
      <c r="G6808" s="7">
        <v>3887791</v>
      </c>
      <c r="H6808" s="7">
        <v>2416</v>
      </c>
      <c r="I6808" s="7">
        <v>83</v>
      </c>
      <c r="J6808" s="7">
        <v>0</v>
      </c>
      <c r="K6808" s="7" t="s">
        <v>18</v>
      </c>
      <c r="L6808" s="8">
        <v>39987.315405092595</v>
      </c>
      <c r="M6808" s="9" t="s">
        <v>19</v>
      </c>
      <c r="N6808" s="9" t="s">
        <v>20</v>
      </c>
      <c r="O6808" s="6" t="str">
        <f>HYPERLINK("https://pbs.twimg.com/profile_images/962471262747529216/Uo8lOkRJ_normal.jpg","View")</f>
        <v>View</v>
      </c>
      <c r="P6808" s="7"/>
    </row>
    <row r="6809" spans="1:16">
      <c r="A6809" s="3">
        <v>44002.877939814818</v>
      </c>
      <c r="B6809" s="4" t="str">
        <f>HYPERLINK("https://twitter.com/petrogustavo","@petrogustavo")</f>
        <v>@petrogustavo</v>
      </c>
      <c r="C6809" s="5" t="s">
        <v>16</v>
      </c>
      <c r="D6809" s="5" t="s">
        <v>6597</v>
      </c>
      <c r="E6809" s="6" t="str">
        <f>HYPERLINK("https://twitter.com/petrogustavo/status/1274364944914567169","1274364944914567169")</f>
        <v>1274364944914567169</v>
      </c>
      <c r="F6809" s="7" t="s">
        <v>32</v>
      </c>
      <c r="G6809" s="7">
        <v>3887791</v>
      </c>
      <c r="H6809" s="7">
        <v>2416</v>
      </c>
      <c r="I6809" s="7">
        <v>110</v>
      </c>
      <c r="J6809" s="7">
        <v>419</v>
      </c>
      <c r="K6809" s="7" t="s">
        <v>18</v>
      </c>
      <c r="L6809" s="8">
        <v>39987.315405092595</v>
      </c>
      <c r="M6809" s="9" t="s">
        <v>19</v>
      </c>
      <c r="N6809" s="9" t="s">
        <v>20</v>
      </c>
      <c r="O6809" s="6" t="str">
        <f>HYPERLINK("https://pbs.twimg.com/profile_images/962471262747529216/Uo8lOkRJ_normal.jpg","View")</f>
        <v>View</v>
      </c>
      <c r="P6809" s="7"/>
    </row>
    <row r="6810" spans="1:16">
      <c r="A6810" s="3">
        <v>44002.904039351852</v>
      </c>
      <c r="B6810" s="4" t="str">
        <f>HYPERLINK("https://twitter.com/petrogustavo","@petrogustavo")</f>
        <v>@petrogustavo</v>
      </c>
      <c r="C6810" s="5" t="s">
        <v>16</v>
      </c>
      <c r="D6810" s="5" t="s">
        <v>6598</v>
      </c>
      <c r="E6810" s="6" t="str">
        <f>HYPERLINK("https://twitter.com/petrogustavo/status/1274374404542251014","1274374404542251014")</f>
        <v>1274374404542251014</v>
      </c>
      <c r="F6810" s="7" t="s">
        <v>32</v>
      </c>
      <c r="G6810" s="7">
        <v>3887785</v>
      </c>
      <c r="H6810" s="7">
        <v>2416</v>
      </c>
      <c r="I6810" s="7">
        <v>65</v>
      </c>
      <c r="J6810" s="7">
        <v>134</v>
      </c>
      <c r="K6810" s="7" t="s">
        <v>18</v>
      </c>
      <c r="L6810" s="8">
        <v>39987.315405092595</v>
      </c>
      <c r="M6810" s="9" t="s">
        <v>19</v>
      </c>
      <c r="N6810" s="9" t="s">
        <v>20</v>
      </c>
      <c r="O6810" s="6" t="str">
        <f>HYPERLINK("https://pbs.twimg.com/profile_images/962471262747529216/Uo8lOkRJ_normal.jpg","View")</f>
        <v>View</v>
      </c>
      <c r="P6810" s="7"/>
    </row>
    <row r="6811" spans="1:16">
      <c r="A6811" s="3">
        <v>44002.906909722224</v>
      </c>
      <c r="B6811" s="4" t="str">
        <f>HYPERLINK("https://twitter.com/petrogustavo","@petrogustavo")</f>
        <v>@petrogustavo</v>
      </c>
      <c r="C6811" s="5" t="s">
        <v>16</v>
      </c>
      <c r="D6811" s="5" t="s">
        <v>6599</v>
      </c>
      <c r="E6811" s="6" t="str">
        <f>HYPERLINK("https://twitter.com/petrogustavo/status/1274375444587065347","1274375444587065347")</f>
        <v>1274375444587065347</v>
      </c>
      <c r="F6811" s="7" t="s">
        <v>32</v>
      </c>
      <c r="G6811" s="7">
        <v>3887785</v>
      </c>
      <c r="H6811" s="7">
        <v>2416</v>
      </c>
      <c r="I6811" s="7">
        <v>26</v>
      </c>
      <c r="J6811" s="7">
        <v>48</v>
      </c>
      <c r="K6811" s="7" t="s">
        <v>18</v>
      </c>
      <c r="L6811" s="8">
        <v>39987.315405092595</v>
      </c>
      <c r="M6811" s="9" t="s">
        <v>19</v>
      </c>
      <c r="N6811" s="9" t="s">
        <v>20</v>
      </c>
      <c r="O6811" s="6" t="str">
        <f>HYPERLINK("https://pbs.twimg.com/profile_images/962471262747529216/Uo8lOkRJ_normal.jpg","View")</f>
        <v>View</v>
      </c>
      <c r="P6811" s="7"/>
    </row>
    <row r="6812" spans="1:16">
      <c r="A6812" s="3">
        <v>44002.909548611111</v>
      </c>
      <c r="B6812" s="4" t="str">
        <f>HYPERLINK("https://twitter.com/petrogustavo","@petrogustavo")</f>
        <v>@petrogustavo</v>
      </c>
      <c r="C6812" s="5" t="s">
        <v>16</v>
      </c>
      <c r="D6812" s="5" t="s">
        <v>6600</v>
      </c>
      <c r="E6812" s="6" t="str">
        <f>HYPERLINK("https://twitter.com/petrogustavo/status/1274376400796110848","1274376400796110848")</f>
        <v>1274376400796110848</v>
      </c>
      <c r="F6812" s="7" t="s">
        <v>32</v>
      </c>
      <c r="G6812" s="7">
        <v>3887824</v>
      </c>
      <c r="H6812" s="7">
        <v>2416</v>
      </c>
      <c r="I6812" s="7">
        <v>142</v>
      </c>
      <c r="J6812" s="7">
        <v>364</v>
      </c>
      <c r="K6812" s="7" t="s">
        <v>18</v>
      </c>
      <c r="L6812" s="8">
        <v>39987.315405092595</v>
      </c>
      <c r="M6812" s="9" t="s">
        <v>19</v>
      </c>
      <c r="N6812" s="9" t="s">
        <v>20</v>
      </c>
      <c r="O6812" s="6" t="str">
        <f>HYPERLINK("https://pbs.twimg.com/profile_images/962471262747529216/Uo8lOkRJ_normal.jpg","View")</f>
        <v>View</v>
      </c>
      <c r="P6812" s="7"/>
    </row>
    <row r="6813" spans="1:16">
      <c r="A6813" s="3">
        <v>44002.912974537037</v>
      </c>
      <c r="B6813" s="4" t="str">
        <f>HYPERLINK("https://twitter.com/petrogustavo","@petrogustavo")</f>
        <v>@petrogustavo</v>
      </c>
      <c r="C6813" s="5" t="s">
        <v>16</v>
      </c>
      <c r="D6813" s="5" t="s">
        <v>6601</v>
      </c>
      <c r="E6813" s="6" t="str">
        <f>HYPERLINK("https://twitter.com/petrogustavo/status/1274377644734320644","1274377644734320644")</f>
        <v>1274377644734320644</v>
      </c>
      <c r="F6813" s="7" t="s">
        <v>32</v>
      </c>
      <c r="G6813" s="7">
        <v>3887824</v>
      </c>
      <c r="H6813" s="7">
        <v>2416</v>
      </c>
      <c r="I6813" s="7">
        <v>91</v>
      </c>
      <c r="J6813" s="7">
        <v>250</v>
      </c>
      <c r="K6813" s="7" t="s">
        <v>18</v>
      </c>
      <c r="L6813" s="8">
        <v>39987.315405092595</v>
      </c>
      <c r="M6813" s="9" t="s">
        <v>19</v>
      </c>
      <c r="N6813" s="9" t="s">
        <v>20</v>
      </c>
      <c r="O6813" s="6" t="str">
        <f>HYPERLINK("https://pbs.twimg.com/profile_images/962471262747529216/Uo8lOkRJ_normal.jpg","View")</f>
        <v>View</v>
      </c>
      <c r="P6813" s="7"/>
    </row>
    <row r="6814" spans="1:16">
      <c r="A6814" s="3">
        <v>44002.914502314816</v>
      </c>
      <c r="B6814" s="4" t="str">
        <f>HYPERLINK("https://twitter.com/petrogustavo","@petrogustavo")</f>
        <v>@petrogustavo</v>
      </c>
      <c r="C6814" s="5" t="s">
        <v>16</v>
      </c>
      <c r="D6814" s="5" t="s">
        <v>6602</v>
      </c>
      <c r="E6814" s="6" t="str">
        <f>HYPERLINK("https://twitter.com/petrogustavo/status/1274378196985745410","1274378196985745410")</f>
        <v>1274378196985745410</v>
      </c>
      <c r="F6814" s="7" t="s">
        <v>32</v>
      </c>
      <c r="G6814" s="7">
        <v>3887824</v>
      </c>
      <c r="H6814" s="7">
        <v>2416</v>
      </c>
      <c r="I6814" s="7">
        <v>69</v>
      </c>
      <c r="J6814" s="7">
        <v>184</v>
      </c>
      <c r="K6814" s="7" t="s">
        <v>18</v>
      </c>
      <c r="L6814" s="8">
        <v>39987.315405092595</v>
      </c>
      <c r="M6814" s="9" t="s">
        <v>19</v>
      </c>
      <c r="N6814" s="9" t="s">
        <v>20</v>
      </c>
      <c r="O6814" s="6" t="str">
        <f>HYPERLINK("https://pbs.twimg.com/profile_images/962471262747529216/Uo8lOkRJ_normal.jpg","View")</f>
        <v>View</v>
      </c>
      <c r="P6814" s="7"/>
    </row>
    <row r="6815" spans="1:16">
      <c r="A6815" s="3">
        <v>44002.916122685187</v>
      </c>
      <c r="B6815" s="4" t="str">
        <f>HYPERLINK("https://twitter.com/petrogustavo","@petrogustavo")</f>
        <v>@petrogustavo</v>
      </c>
      <c r="C6815" s="5" t="s">
        <v>16</v>
      </c>
      <c r="D6815" s="5" t="s">
        <v>6603</v>
      </c>
      <c r="E6815" s="6" t="str">
        <f>HYPERLINK("https://twitter.com/petrogustavo/status/1274378783097839616","1274378783097839616")</f>
        <v>1274378783097839616</v>
      </c>
      <c r="F6815" s="7" t="s">
        <v>32</v>
      </c>
      <c r="G6815" s="7">
        <v>3887824</v>
      </c>
      <c r="H6815" s="7">
        <v>2416</v>
      </c>
      <c r="I6815" s="7">
        <v>71</v>
      </c>
      <c r="J6815" s="7">
        <v>173</v>
      </c>
      <c r="K6815" s="7" t="s">
        <v>18</v>
      </c>
      <c r="L6815" s="8">
        <v>39987.315405092595</v>
      </c>
      <c r="M6815" s="9" t="s">
        <v>19</v>
      </c>
      <c r="N6815" s="9" t="s">
        <v>20</v>
      </c>
      <c r="O6815" s="6" t="str">
        <f>HYPERLINK("https://pbs.twimg.com/profile_images/962471262747529216/Uo8lOkRJ_normal.jpg","View")</f>
        <v>View</v>
      </c>
      <c r="P6815" s="7"/>
    </row>
    <row r="6816" spans="1:16">
      <c r="A6816" s="3">
        <v>44002.917743055557</v>
      </c>
      <c r="B6816" s="4" t="str">
        <f>HYPERLINK("https://twitter.com/petrogustavo","@petrogustavo")</f>
        <v>@petrogustavo</v>
      </c>
      <c r="C6816" s="5" t="s">
        <v>16</v>
      </c>
      <c r="D6816" s="5" t="s">
        <v>6604</v>
      </c>
      <c r="E6816" s="6" t="str">
        <f>HYPERLINK("https://twitter.com/petrogustavo/status/1274379368991789057","1274379368991789057")</f>
        <v>1274379368991789057</v>
      </c>
      <c r="F6816" s="7" t="s">
        <v>32</v>
      </c>
      <c r="G6816" s="7">
        <v>3887824</v>
      </c>
      <c r="H6816" s="7">
        <v>2416</v>
      </c>
      <c r="I6816" s="7">
        <v>63</v>
      </c>
      <c r="J6816" s="7">
        <v>126</v>
      </c>
      <c r="K6816" s="7" t="s">
        <v>18</v>
      </c>
      <c r="L6816" s="8">
        <v>39987.315405092595</v>
      </c>
      <c r="M6816" s="9" t="s">
        <v>19</v>
      </c>
      <c r="N6816" s="9" t="s">
        <v>20</v>
      </c>
      <c r="O6816" s="6" t="str">
        <f>HYPERLINK("https://pbs.twimg.com/profile_images/962471262747529216/Uo8lOkRJ_normal.jpg","View")</f>
        <v>View</v>
      </c>
      <c r="P6816" s="7"/>
    </row>
    <row r="6817" spans="1:16">
      <c r="A6817" s="3">
        <v>44002.923055555555</v>
      </c>
      <c r="B6817" s="4" t="str">
        <f>HYPERLINK("https://twitter.com/petrogustavo","@petrogustavo")</f>
        <v>@petrogustavo</v>
      </c>
      <c r="C6817" s="5" t="s">
        <v>16</v>
      </c>
      <c r="D6817" s="5" t="s">
        <v>6605</v>
      </c>
      <c r="E6817" s="6" t="str">
        <f>HYPERLINK("https://twitter.com/petrogustavo/status/1274381297083912193","1274381297083912193")</f>
        <v>1274381297083912193</v>
      </c>
      <c r="F6817" s="7" t="s">
        <v>32</v>
      </c>
      <c r="G6817" s="7">
        <v>3887824</v>
      </c>
      <c r="H6817" s="7">
        <v>2416</v>
      </c>
      <c r="I6817" s="7">
        <v>95</v>
      </c>
      <c r="J6817" s="7">
        <v>295</v>
      </c>
      <c r="K6817" s="7" t="s">
        <v>18</v>
      </c>
      <c r="L6817" s="8">
        <v>39987.315405092595</v>
      </c>
      <c r="M6817" s="9" t="s">
        <v>19</v>
      </c>
      <c r="N6817" s="9" t="s">
        <v>20</v>
      </c>
      <c r="O6817" s="6" t="str">
        <f>HYPERLINK("https://pbs.twimg.com/profile_images/962471262747529216/Uo8lOkRJ_normal.jpg","View")</f>
        <v>View</v>
      </c>
      <c r="P6817" s="7"/>
    </row>
    <row r="6818" spans="1:16">
      <c r="A6818" s="3">
        <v>44002.930092592593</v>
      </c>
      <c r="B6818" s="4" t="str">
        <f>HYPERLINK("https://twitter.com/petrogustavo","@petrogustavo")</f>
        <v>@petrogustavo</v>
      </c>
      <c r="C6818" s="5" t="s">
        <v>16</v>
      </c>
      <c r="D6818" s="5" t="s">
        <v>6595</v>
      </c>
      <c r="E6818" s="6" t="str">
        <f>HYPERLINK("https://twitter.com/petrogustavo/status/1274383848126775296","1274383848126775296")</f>
        <v>1274383848126775296</v>
      </c>
      <c r="F6818" s="7" t="s">
        <v>32</v>
      </c>
      <c r="G6818" s="7">
        <v>3887852</v>
      </c>
      <c r="H6818" s="7">
        <v>2416</v>
      </c>
      <c r="I6818" s="7">
        <v>357</v>
      </c>
      <c r="J6818" s="7">
        <v>0</v>
      </c>
      <c r="K6818" s="7" t="s">
        <v>18</v>
      </c>
      <c r="L6818" s="8">
        <v>39987.315405092595</v>
      </c>
      <c r="M6818" s="9" t="s">
        <v>19</v>
      </c>
      <c r="N6818" s="9" t="s">
        <v>20</v>
      </c>
      <c r="O6818" s="6" t="str">
        <f>HYPERLINK("https://pbs.twimg.com/profile_images/962471262747529216/Uo8lOkRJ_normal.jpg","View")</f>
        <v>View</v>
      </c>
      <c r="P6818" s="7"/>
    </row>
    <row r="6819" spans="1:16">
      <c r="A6819" s="3">
        <v>44002.930219907408</v>
      </c>
      <c r="B6819" s="4" t="str">
        <f>HYPERLINK("https://twitter.com/petrogustavo","@petrogustavo")</f>
        <v>@petrogustavo</v>
      </c>
      <c r="C6819" s="5" t="s">
        <v>16</v>
      </c>
      <c r="D6819" s="5" t="s">
        <v>6595</v>
      </c>
      <c r="E6819" s="6" t="str">
        <f>HYPERLINK("https://twitter.com/petrogustavo/status/1274383891038646273","1274383891038646273")</f>
        <v>1274383891038646273</v>
      </c>
      <c r="F6819" s="7" t="s">
        <v>32</v>
      </c>
      <c r="G6819" s="7">
        <v>3887852</v>
      </c>
      <c r="H6819" s="7">
        <v>2416</v>
      </c>
      <c r="I6819" s="7">
        <v>564</v>
      </c>
      <c r="J6819" s="7">
        <v>0</v>
      </c>
      <c r="K6819" s="7" t="s">
        <v>18</v>
      </c>
      <c r="L6819" s="8">
        <v>39987.315405092595</v>
      </c>
      <c r="M6819" s="9" t="s">
        <v>19</v>
      </c>
      <c r="N6819" s="9" t="s">
        <v>20</v>
      </c>
      <c r="O6819" s="6" t="str">
        <f>HYPERLINK("https://pbs.twimg.com/profile_images/962471262747529216/Uo8lOkRJ_normal.jpg","View")</f>
        <v>View</v>
      </c>
      <c r="P6819" s="7"/>
    </row>
    <row r="6820" spans="1:16">
      <c r="A6820" s="3">
        <v>44002.930312500001</v>
      </c>
      <c r="B6820" s="4" t="str">
        <f>HYPERLINK("https://twitter.com/petrogustavo","@petrogustavo")</f>
        <v>@petrogustavo</v>
      </c>
      <c r="C6820" s="5" t="s">
        <v>16</v>
      </c>
      <c r="D6820" s="5" t="s">
        <v>6595</v>
      </c>
      <c r="E6820" s="6" t="str">
        <f>HYPERLINK("https://twitter.com/petrogustavo/status/1274383926002409472","1274383926002409472")</f>
        <v>1274383926002409472</v>
      </c>
      <c r="F6820" s="7" t="s">
        <v>32</v>
      </c>
      <c r="G6820" s="7">
        <v>3887852</v>
      </c>
      <c r="H6820" s="7">
        <v>2416</v>
      </c>
      <c r="I6820" s="7">
        <v>531</v>
      </c>
      <c r="J6820" s="7">
        <v>0</v>
      </c>
      <c r="K6820" s="7" t="s">
        <v>18</v>
      </c>
      <c r="L6820" s="8">
        <v>39987.315405092595</v>
      </c>
      <c r="M6820" s="9" t="s">
        <v>19</v>
      </c>
      <c r="N6820" s="9" t="s">
        <v>20</v>
      </c>
      <c r="O6820" s="6" t="str">
        <f>HYPERLINK("https://pbs.twimg.com/profile_images/962471262747529216/Uo8lOkRJ_normal.jpg","View")</f>
        <v>View</v>
      </c>
      <c r="P6820" s="7"/>
    </row>
    <row r="6821" spans="1:16">
      <c r="A6821" s="3">
        <v>44002.999664351853</v>
      </c>
      <c r="B6821" s="4" t="str">
        <f>HYPERLINK("https://twitter.com/petrogustavo","@petrogustavo")</f>
        <v>@petrogustavo</v>
      </c>
      <c r="C6821" s="5" t="s">
        <v>16</v>
      </c>
      <c r="D6821" s="5" t="s">
        <v>6606</v>
      </c>
      <c r="E6821" s="6" t="str">
        <f>HYPERLINK("https://twitter.com/petrogustavo/status/1274409057412173835","1274409057412173835")</f>
        <v>1274409057412173835</v>
      </c>
      <c r="F6821" s="7" t="s">
        <v>32</v>
      </c>
      <c r="G6821" s="7">
        <v>3887920</v>
      </c>
      <c r="H6821" s="7">
        <v>2417</v>
      </c>
      <c r="I6821" s="7">
        <v>15</v>
      </c>
      <c r="J6821" s="7">
        <v>0</v>
      </c>
      <c r="K6821" s="7" t="s">
        <v>18</v>
      </c>
      <c r="L6821" s="8">
        <v>39987.315405092595</v>
      </c>
      <c r="M6821" s="9" t="s">
        <v>19</v>
      </c>
      <c r="N6821" s="9" t="s">
        <v>20</v>
      </c>
      <c r="O6821" s="6" t="str">
        <f>HYPERLINK("https://pbs.twimg.com/profile_images/962471262747529216/Uo8lOkRJ_normal.jpg","View")</f>
        <v>View</v>
      </c>
      <c r="P6821" s="7"/>
    </row>
    <row r="6822" spans="1:16">
      <c r="A6822" s="3">
        <v>44003.001979166671</v>
      </c>
      <c r="B6822" s="4" t="str">
        <f>HYPERLINK("https://twitter.com/petrogustavo","@petrogustavo")</f>
        <v>@petrogustavo</v>
      </c>
      <c r="C6822" s="5" t="s">
        <v>16</v>
      </c>
      <c r="D6822" s="5" t="s">
        <v>6607</v>
      </c>
      <c r="E6822" s="6" t="str">
        <f>HYPERLINK("https://twitter.com/petrogustavo/status/1274409896163844098","1274409896163844098")</f>
        <v>1274409896163844098</v>
      </c>
      <c r="F6822" s="7" t="s">
        <v>32</v>
      </c>
      <c r="G6822" s="7">
        <v>3887920</v>
      </c>
      <c r="H6822" s="7">
        <v>2417</v>
      </c>
      <c r="I6822" s="7">
        <v>80</v>
      </c>
      <c r="J6822" s="7">
        <v>159</v>
      </c>
      <c r="K6822" s="7" t="s">
        <v>18</v>
      </c>
      <c r="L6822" s="8">
        <v>39987.315405092595</v>
      </c>
      <c r="M6822" s="9" t="s">
        <v>19</v>
      </c>
      <c r="N6822" s="9" t="s">
        <v>20</v>
      </c>
      <c r="O6822" s="6" t="str">
        <f>HYPERLINK("https://pbs.twimg.com/profile_images/962471262747529216/Uo8lOkRJ_normal.jpg","View")</f>
        <v>View</v>
      </c>
      <c r="P6822" s="7"/>
    </row>
    <row r="6823" spans="1:16">
      <c r="A6823" s="3">
        <v>44003.003680555557</v>
      </c>
      <c r="B6823" s="4" t="str">
        <f>HYPERLINK("https://twitter.com/petrogustavo","@petrogustavo")</f>
        <v>@petrogustavo</v>
      </c>
      <c r="C6823" s="5" t="s">
        <v>16</v>
      </c>
      <c r="D6823" s="5" t="s">
        <v>6608</v>
      </c>
      <c r="E6823" s="6" t="str">
        <f>HYPERLINK("https://twitter.com/petrogustavo/status/1274410511698849792","1274410511698849792")</f>
        <v>1274410511698849792</v>
      </c>
      <c r="F6823" s="7" t="s">
        <v>32</v>
      </c>
      <c r="G6823" s="7">
        <v>3887920</v>
      </c>
      <c r="H6823" s="7">
        <v>2417</v>
      </c>
      <c r="I6823" s="7">
        <v>68</v>
      </c>
      <c r="J6823" s="7">
        <v>174</v>
      </c>
      <c r="K6823" s="7" t="s">
        <v>18</v>
      </c>
      <c r="L6823" s="8">
        <v>39987.315405092595</v>
      </c>
      <c r="M6823" s="9" t="s">
        <v>19</v>
      </c>
      <c r="N6823" s="9" t="s">
        <v>20</v>
      </c>
      <c r="O6823" s="6" t="str">
        <f>HYPERLINK("https://pbs.twimg.com/profile_images/962471262747529216/Uo8lOkRJ_normal.jpg","View")</f>
        <v>View</v>
      </c>
      <c r="P6823" s="7"/>
    </row>
    <row r="6824" spans="1:16">
      <c r="A6824" s="3">
        <v>44003.004004629634</v>
      </c>
      <c r="B6824" s="4" t="str">
        <f>HYPERLINK("https://twitter.com/petrogustavo","@petrogustavo")</f>
        <v>@petrogustavo</v>
      </c>
      <c r="C6824" s="5" t="s">
        <v>16</v>
      </c>
      <c r="D6824" s="5" t="s">
        <v>6609</v>
      </c>
      <c r="E6824" s="6" t="str">
        <f>HYPERLINK("https://twitter.com/petrogustavo/status/1274410630452326400","1274410630452326400")</f>
        <v>1274410630452326400</v>
      </c>
      <c r="F6824" s="7" t="s">
        <v>32</v>
      </c>
      <c r="G6824" s="7">
        <v>3887920</v>
      </c>
      <c r="H6824" s="7">
        <v>2417</v>
      </c>
      <c r="I6824" s="7">
        <v>55</v>
      </c>
      <c r="J6824" s="7">
        <v>0</v>
      </c>
      <c r="K6824" s="7" t="s">
        <v>18</v>
      </c>
      <c r="L6824" s="8">
        <v>39987.315405092595</v>
      </c>
      <c r="M6824" s="9" t="s">
        <v>19</v>
      </c>
      <c r="N6824" s="9" t="s">
        <v>20</v>
      </c>
      <c r="O6824" s="6" t="str">
        <f>HYPERLINK("https://pbs.twimg.com/profile_images/962471262747529216/Uo8lOkRJ_normal.jpg","View")</f>
        <v>View</v>
      </c>
      <c r="P6824" s="7"/>
    </row>
    <row r="6825" spans="1:16">
      <c r="A6825" s="3">
        <v>44003.009224537032</v>
      </c>
      <c r="B6825" s="4" t="str">
        <f>HYPERLINK("https://twitter.com/petrogustavo","@petrogustavo")</f>
        <v>@petrogustavo</v>
      </c>
      <c r="C6825" s="5" t="s">
        <v>16</v>
      </c>
      <c r="D6825" s="5" t="s">
        <v>6610</v>
      </c>
      <c r="E6825" s="6" t="str">
        <f>HYPERLINK("https://twitter.com/petrogustavo/status/1274412523941396483","1274412523941396483")</f>
        <v>1274412523941396483</v>
      </c>
      <c r="F6825" s="7" t="s">
        <v>32</v>
      </c>
      <c r="G6825" s="7">
        <v>3887920</v>
      </c>
      <c r="H6825" s="7">
        <v>2417</v>
      </c>
      <c r="I6825" s="7">
        <v>64</v>
      </c>
      <c r="J6825" s="7">
        <v>143</v>
      </c>
      <c r="K6825" s="7" t="s">
        <v>18</v>
      </c>
      <c r="L6825" s="8">
        <v>39987.315405092595</v>
      </c>
      <c r="M6825" s="9" t="s">
        <v>19</v>
      </c>
      <c r="N6825" s="9" t="s">
        <v>20</v>
      </c>
      <c r="O6825" s="6" t="str">
        <f>HYPERLINK("https://pbs.twimg.com/profile_images/962471262747529216/Uo8lOkRJ_normal.jpg","View")</f>
        <v>View</v>
      </c>
      <c r="P6825" s="7"/>
    </row>
    <row r="6826" spans="1:16">
      <c r="A6826" s="3">
        <v>44003.020057870366</v>
      </c>
      <c r="B6826" s="4" t="str">
        <f>HYPERLINK("https://twitter.com/petrogustavo","@petrogustavo")</f>
        <v>@petrogustavo</v>
      </c>
      <c r="C6826" s="5" t="s">
        <v>16</v>
      </c>
      <c r="D6826" s="5" t="s">
        <v>6611</v>
      </c>
      <c r="E6826" s="6" t="str">
        <f>HYPERLINK("https://twitter.com/petrogustavo/status/1274416448509804544","1274416448509804544")</f>
        <v>1274416448509804544</v>
      </c>
      <c r="F6826" s="7" t="s">
        <v>32</v>
      </c>
      <c r="G6826" s="7">
        <v>3887956</v>
      </c>
      <c r="H6826" s="7">
        <v>2417</v>
      </c>
      <c r="I6826" s="7">
        <v>184</v>
      </c>
      <c r="J6826" s="7">
        <v>620</v>
      </c>
      <c r="K6826" s="7" t="s">
        <v>18</v>
      </c>
      <c r="L6826" s="8">
        <v>39987.315405092595</v>
      </c>
      <c r="M6826" s="9" t="s">
        <v>19</v>
      </c>
      <c r="N6826" s="9" t="s">
        <v>20</v>
      </c>
      <c r="O6826" s="6" t="str">
        <f>HYPERLINK("https://pbs.twimg.com/profile_images/962471262747529216/Uo8lOkRJ_normal.jpg","View")</f>
        <v>View</v>
      </c>
      <c r="P6826" s="7"/>
    </row>
    <row r="6827" spans="1:16">
      <c r="A6827" s="3">
        <v>44003.1019212963</v>
      </c>
      <c r="B6827" s="4" t="str">
        <f>HYPERLINK("https://twitter.com/petrogustavo","@petrogustavo")</f>
        <v>@petrogustavo</v>
      </c>
      <c r="C6827" s="5" t="s">
        <v>16</v>
      </c>
      <c r="D6827" s="5" t="s">
        <v>6612</v>
      </c>
      <c r="E6827" s="6" t="str">
        <f>HYPERLINK("https://twitter.com/petrogustavo/status/1274446113458860042","1274446113458860042")</f>
        <v>1274446113458860042</v>
      </c>
      <c r="F6827" s="7" t="s">
        <v>17</v>
      </c>
      <c r="G6827" s="7">
        <v>3888020</v>
      </c>
      <c r="H6827" s="7">
        <v>2417</v>
      </c>
      <c r="I6827" s="7">
        <v>134</v>
      </c>
      <c r="J6827" s="7">
        <v>383</v>
      </c>
      <c r="K6827" s="7" t="s">
        <v>18</v>
      </c>
      <c r="L6827" s="8">
        <v>39987.315405092595</v>
      </c>
      <c r="M6827" s="9" t="s">
        <v>19</v>
      </c>
      <c r="N6827" s="9" t="s">
        <v>20</v>
      </c>
      <c r="O6827" s="6" t="str">
        <f>HYPERLINK("https://pbs.twimg.com/profile_images/962471262747529216/Uo8lOkRJ_normal.jpg","View")</f>
        <v>View</v>
      </c>
      <c r="P6827" s="7"/>
    </row>
    <row r="6828" spans="1:16">
      <c r="A6828" s="3">
        <v>44003.109907407408</v>
      </c>
      <c r="B6828" s="4" t="str">
        <f>HYPERLINK("https://twitter.com/petrogustavo","@petrogustavo")</f>
        <v>@petrogustavo</v>
      </c>
      <c r="C6828" s="5" t="s">
        <v>16</v>
      </c>
      <c r="D6828" s="5" t="s">
        <v>6613</v>
      </c>
      <c r="E6828" s="6" t="str">
        <f>HYPERLINK("https://twitter.com/petrogustavo/status/1274449007113314304","1274449007113314304")</f>
        <v>1274449007113314304</v>
      </c>
      <c r="F6828" s="7" t="s">
        <v>17</v>
      </c>
      <c r="G6828" s="7">
        <v>3888020</v>
      </c>
      <c r="H6828" s="7">
        <v>2417</v>
      </c>
      <c r="I6828" s="7">
        <v>94</v>
      </c>
      <c r="J6828" s="7">
        <v>287</v>
      </c>
      <c r="K6828" s="7" t="s">
        <v>18</v>
      </c>
      <c r="L6828" s="8">
        <v>39987.315405092595</v>
      </c>
      <c r="M6828" s="9" t="s">
        <v>19</v>
      </c>
      <c r="N6828" s="9" t="s">
        <v>20</v>
      </c>
      <c r="O6828" s="6" t="str">
        <f>HYPERLINK("https://pbs.twimg.com/profile_images/962471262747529216/Uo8lOkRJ_normal.jpg","View")</f>
        <v>View</v>
      </c>
      <c r="P6828" s="7"/>
    </row>
    <row r="6829" spans="1:16">
      <c r="A6829" s="3">
        <v>44003.135925925926</v>
      </c>
      <c r="B6829" s="4" t="str">
        <f>HYPERLINK("https://twitter.com/petrogustavo","@petrogustavo")</f>
        <v>@petrogustavo</v>
      </c>
      <c r="C6829" s="5" t="s">
        <v>16</v>
      </c>
      <c r="D6829" s="5" t="s">
        <v>6614</v>
      </c>
      <c r="E6829" s="6" t="str">
        <f>HYPERLINK("https://twitter.com/petrogustavo/status/1274458439578722304","1274458439578722304")</f>
        <v>1274458439578722304</v>
      </c>
      <c r="F6829" s="7" t="s">
        <v>32</v>
      </c>
      <c r="G6829" s="7">
        <v>3887975</v>
      </c>
      <c r="H6829" s="7">
        <v>2417</v>
      </c>
      <c r="I6829" s="7">
        <v>2</v>
      </c>
      <c r="J6829" s="7">
        <v>0</v>
      </c>
      <c r="K6829" s="7" t="s">
        <v>18</v>
      </c>
      <c r="L6829" s="8">
        <v>39987.315405092595</v>
      </c>
      <c r="M6829" s="9" t="s">
        <v>19</v>
      </c>
      <c r="N6829" s="9" t="s">
        <v>20</v>
      </c>
      <c r="O6829" s="6" t="str">
        <f>HYPERLINK("https://pbs.twimg.com/profile_images/962471262747529216/Uo8lOkRJ_normal.jpg","View")</f>
        <v>View</v>
      </c>
      <c r="P6829" s="7"/>
    </row>
    <row r="6830" spans="1:16">
      <c r="A6830" s="3">
        <v>44003.135972222226</v>
      </c>
      <c r="B6830" s="4" t="str">
        <f>HYPERLINK("https://twitter.com/petrogustavo","@petrogustavo")</f>
        <v>@petrogustavo</v>
      </c>
      <c r="C6830" s="5" t="s">
        <v>16</v>
      </c>
      <c r="D6830" s="5" t="s">
        <v>6615</v>
      </c>
      <c r="E6830" s="6" t="str">
        <f>HYPERLINK("https://twitter.com/petrogustavo/status/1274458452648243207","1274458452648243207")</f>
        <v>1274458452648243207</v>
      </c>
      <c r="F6830" s="7" t="s">
        <v>32</v>
      </c>
      <c r="G6830" s="7">
        <v>3887975</v>
      </c>
      <c r="H6830" s="7">
        <v>2417</v>
      </c>
      <c r="I6830" s="7">
        <v>3</v>
      </c>
      <c r="J6830" s="7">
        <v>0</v>
      </c>
      <c r="K6830" s="7" t="s">
        <v>18</v>
      </c>
      <c r="L6830" s="8">
        <v>39987.315405092595</v>
      </c>
      <c r="M6830" s="9" t="s">
        <v>19</v>
      </c>
      <c r="N6830" s="9" t="s">
        <v>20</v>
      </c>
      <c r="O6830" s="6" t="str">
        <f>HYPERLINK("https://pbs.twimg.com/profile_images/962471262747529216/Uo8lOkRJ_normal.jpg","View")</f>
        <v>View</v>
      </c>
      <c r="P6830" s="7"/>
    </row>
    <row r="6831" spans="1:16">
      <c r="A6831" s="3">
        <v>44003.157025462962</v>
      </c>
      <c r="B6831" s="4" t="str">
        <f>HYPERLINK("https://twitter.com/petrogustavo","@petrogustavo")</f>
        <v>@petrogustavo</v>
      </c>
      <c r="C6831" s="5" t="s">
        <v>16</v>
      </c>
      <c r="D6831" s="5" t="s">
        <v>6616</v>
      </c>
      <c r="E6831" s="6" t="str">
        <f>HYPERLINK("https://twitter.com/petrogustavo/status/1274466082103996423","1274466082103996423")</f>
        <v>1274466082103996423</v>
      </c>
      <c r="F6831" s="7" t="s">
        <v>32</v>
      </c>
      <c r="G6831" s="7">
        <v>3888002</v>
      </c>
      <c r="H6831" s="7">
        <v>2417</v>
      </c>
      <c r="I6831" s="7">
        <v>330</v>
      </c>
      <c r="J6831" s="7">
        <v>0</v>
      </c>
      <c r="K6831" s="7" t="s">
        <v>18</v>
      </c>
      <c r="L6831" s="8">
        <v>39987.315405092595</v>
      </c>
      <c r="M6831" s="9" t="s">
        <v>19</v>
      </c>
      <c r="N6831" s="9" t="s">
        <v>20</v>
      </c>
      <c r="O6831" s="6" t="str">
        <f>HYPERLINK("https://pbs.twimg.com/profile_images/962471262747529216/Uo8lOkRJ_normal.jpg","View")</f>
        <v>View</v>
      </c>
      <c r="P6831" s="7"/>
    </row>
    <row r="6832" spans="1:16">
      <c r="A6832" s="3">
        <v>44003.157268518524</v>
      </c>
      <c r="B6832" s="4" t="str">
        <f>HYPERLINK("https://twitter.com/petrogustavo","@petrogustavo")</f>
        <v>@petrogustavo</v>
      </c>
      <c r="C6832" s="5" t="s">
        <v>16</v>
      </c>
      <c r="D6832" s="5" t="s">
        <v>6617</v>
      </c>
      <c r="E6832" s="6" t="str">
        <f>HYPERLINK("https://twitter.com/petrogustavo/status/1274466171245531144","1274466171245531144")</f>
        <v>1274466171245531144</v>
      </c>
      <c r="F6832" s="7" t="s">
        <v>32</v>
      </c>
      <c r="G6832" s="7">
        <v>3888002</v>
      </c>
      <c r="H6832" s="7">
        <v>2417</v>
      </c>
      <c r="I6832" s="7">
        <v>894</v>
      </c>
      <c r="J6832" s="7">
        <v>0</v>
      </c>
      <c r="K6832" s="7" t="s">
        <v>18</v>
      </c>
      <c r="L6832" s="8">
        <v>39987.315405092595</v>
      </c>
      <c r="M6832" s="9" t="s">
        <v>19</v>
      </c>
      <c r="N6832" s="9" t="s">
        <v>20</v>
      </c>
      <c r="O6832" s="6" t="str">
        <f>HYPERLINK("https://pbs.twimg.com/profile_images/962471262747529216/Uo8lOkRJ_normal.jpg","View")</f>
        <v>View</v>
      </c>
      <c r="P6832" s="7"/>
    </row>
    <row r="6833" spans="1:16">
      <c r="A6833" s="3">
        <v>44003.168090277773</v>
      </c>
      <c r="B6833" s="4" t="str">
        <f>HYPERLINK("https://twitter.com/petrogustavo","@petrogustavo")</f>
        <v>@petrogustavo</v>
      </c>
      <c r="C6833" s="5" t="s">
        <v>16</v>
      </c>
      <c r="D6833" s="5" t="s">
        <v>6618</v>
      </c>
      <c r="E6833" s="6" t="str">
        <f>HYPERLINK("https://twitter.com/petrogustavo/status/1274470094836506626","1274470094836506626")</f>
        <v>1274470094836506626</v>
      </c>
      <c r="F6833" s="7" t="s">
        <v>32</v>
      </c>
      <c r="G6833" s="7">
        <v>3888028</v>
      </c>
      <c r="H6833" s="7">
        <v>2417</v>
      </c>
      <c r="I6833" s="7">
        <v>86</v>
      </c>
      <c r="J6833" s="7">
        <v>284</v>
      </c>
      <c r="K6833" s="7" t="s">
        <v>18</v>
      </c>
      <c r="L6833" s="8">
        <v>39987.315405092595</v>
      </c>
      <c r="M6833" s="9" t="s">
        <v>19</v>
      </c>
      <c r="N6833" s="9" t="s">
        <v>20</v>
      </c>
      <c r="O6833" s="6" t="str">
        <f>HYPERLINK("https://pbs.twimg.com/profile_images/962471262747529216/Uo8lOkRJ_normal.jpg","View")</f>
        <v>View</v>
      </c>
      <c r="P6833" s="7"/>
    </row>
    <row r="6834" spans="1:16">
      <c r="A6834" s="3">
        <v>44003.225150462968</v>
      </c>
      <c r="B6834" s="4" t="str">
        <f>HYPERLINK("https://twitter.com/petrogustavo","@petrogustavo")</f>
        <v>@petrogustavo</v>
      </c>
      <c r="C6834" s="5" t="s">
        <v>16</v>
      </c>
      <c r="D6834" s="5" t="s">
        <v>6619</v>
      </c>
      <c r="E6834" s="6" t="str">
        <f>HYPERLINK("https://twitter.com/petrogustavo/status/1274490772646223872","1274490772646223872")</f>
        <v>1274490772646223872</v>
      </c>
      <c r="F6834" s="7" t="s">
        <v>32</v>
      </c>
      <c r="G6834" s="7">
        <v>3888102</v>
      </c>
      <c r="H6834" s="7">
        <v>2417</v>
      </c>
      <c r="I6834" s="7">
        <v>394</v>
      </c>
      <c r="J6834" s="7">
        <v>0</v>
      </c>
      <c r="K6834" s="7" t="s">
        <v>18</v>
      </c>
      <c r="L6834" s="8">
        <v>39987.315405092595</v>
      </c>
      <c r="M6834" s="9" t="s">
        <v>19</v>
      </c>
      <c r="N6834" s="9" t="s">
        <v>20</v>
      </c>
      <c r="O6834" s="6" t="str">
        <f>HYPERLINK("https://pbs.twimg.com/profile_images/962471262747529216/Uo8lOkRJ_normal.jpg","View")</f>
        <v>View</v>
      </c>
      <c r="P6834" s="7"/>
    </row>
    <row r="6835" spans="1:16">
      <c r="A6835" s="3">
        <v>44003.232337962967</v>
      </c>
      <c r="B6835" s="4" t="str">
        <f>HYPERLINK("https://twitter.com/petrogustavo","@petrogustavo")</f>
        <v>@petrogustavo</v>
      </c>
      <c r="C6835" s="5" t="s">
        <v>16</v>
      </c>
      <c r="D6835" s="5" t="s">
        <v>6620</v>
      </c>
      <c r="E6835" s="6" t="str">
        <f>HYPERLINK("https://twitter.com/petrogustavo/status/1274493377447370755","1274493377447370755")</f>
        <v>1274493377447370755</v>
      </c>
      <c r="F6835" s="7" t="s">
        <v>32</v>
      </c>
      <c r="G6835" s="7">
        <v>3888102</v>
      </c>
      <c r="H6835" s="7">
        <v>2417</v>
      </c>
      <c r="I6835" s="7">
        <v>126</v>
      </c>
      <c r="J6835" s="7">
        <v>259</v>
      </c>
      <c r="K6835" s="7" t="s">
        <v>18</v>
      </c>
      <c r="L6835" s="8">
        <v>39987.315405092595</v>
      </c>
      <c r="M6835" s="9" t="s">
        <v>19</v>
      </c>
      <c r="N6835" s="9" t="s">
        <v>20</v>
      </c>
      <c r="O6835" s="6" t="str">
        <f>HYPERLINK("https://pbs.twimg.com/profile_images/962471262747529216/Uo8lOkRJ_normal.jpg","View")</f>
        <v>View</v>
      </c>
      <c r="P6835" s="7"/>
    </row>
    <row r="6836" spans="1:16">
      <c r="A6836" s="3">
        <v>44003.273958333331</v>
      </c>
      <c r="B6836" s="4" t="str">
        <f>HYPERLINK("https://twitter.com/petrogustavo","@petrogustavo")</f>
        <v>@petrogustavo</v>
      </c>
      <c r="C6836" s="5" t="s">
        <v>16</v>
      </c>
      <c r="D6836" s="5" t="s">
        <v>6621</v>
      </c>
      <c r="E6836" s="6" t="str">
        <f>HYPERLINK("https://twitter.com/petrogustavo/status/1274508457492742146","1274508457492742146")</f>
        <v>1274508457492742146</v>
      </c>
      <c r="F6836" s="7" t="s">
        <v>32</v>
      </c>
      <c r="G6836" s="7">
        <v>3888163</v>
      </c>
      <c r="H6836" s="7">
        <v>2417</v>
      </c>
      <c r="I6836" s="7">
        <v>64</v>
      </c>
      <c r="J6836" s="7">
        <v>141</v>
      </c>
      <c r="K6836" s="7" t="s">
        <v>18</v>
      </c>
      <c r="L6836" s="8">
        <v>39987.315405092595</v>
      </c>
      <c r="M6836" s="9" t="s">
        <v>19</v>
      </c>
      <c r="N6836" s="9" t="s">
        <v>20</v>
      </c>
      <c r="O6836" s="6" t="str">
        <f>HYPERLINK("https://pbs.twimg.com/profile_images/962471262747529216/Uo8lOkRJ_normal.jpg","View")</f>
        <v>View</v>
      </c>
      <c r="P6836" s="7"/>
    </row>
    <row r="6837" spans="1:16">
      <c r="A6837" s="3">
        <v>44003.849108796298</v>
      </c>
      <c r="B6837" s="4" t="str">
        <f>HYPERLINK("https://twitter.com/petrogustavo","@petrogustavo")</f>
        <v>@petrogustavo</v>
      </c>
      <c r="C6837" s="5" t="s">
        <v>16</v>
      </c>
      <c r="D6837" s="5" t="s">
        <v>6622</v>
      </c>
      <c r="E6837" s="6" t="str">
        <f>HYPERLINK("https://twitter.com/petrogustavo/status/1274716888287907842","1274716888287907842")</f>
        <v>1274716888287907842</v>
      </c>
      <c r="F6837" s="7" t="s">
        <v>17</v>
      </c>
      <c r="G6837" s="7">
        <v>3888167</v>
      </c>
      <c r="H6837" s="7">
        <v>2418</v>
      </c>
      <c r="I6837" s="7">
        <v>1025</v>
      </c>
      <c r="J6837" s="7">
        <v>0</v>
      </c>
      <c r="K6837" s="7" t="s">
        <v>18</v>
      </c>
      <c r="L6837" s="8">
        <v>39987.315405092595</v>
      </c>
      <c r="M6837" s="9" t="s">
        <v>19</v>
      </c>
      <c r="N6837" s="9" t="s">
        <v>20</v>
      </c>
      <c r="O6837" s="6" t="str">
        <f>HYPERLINK("https://pbs.twimg.com/profile_images/962471262747529216/Uo8lOkRJ_normal.jpg","View")</f>
        <v>View</v>
      </c>
      <c r="P6837" s="7"/>
    </row>
    <row r="6838" spans="1:16">
      <c r="A6838" s="3">
        <v>44003.851840277777</v>
      </c>
      <c r="B6838" s="4" t="str">
        <f>HYPERLINK("https://twitter.com/petrogustavo","@petrogustavo")</f>
        <v>@petrogustavo</v>
      </c>
      <c r="C6838" s="5" t="s">
        <v>16</v>
      </c>
      <c r="D6838" s="5" t="s">
        <v>6623</v>
      </c>
      <c r="E6838" s="6" t="str">
        <f>HYPERLINK("https://twitter.com/petrogustavo/status/1274717877845790725","1274717877845790725")</f>
        <v>1274717877845790725</v>
      </c>
      <c r="F6838" s="7" t="s">
        <v>17</v>
      </c>
      <c r="G6838" s="7">
        <v>3888167</v>
      </c>
      <c r="H6838" s="7">
        <v>2418</v>
      </c>
      <c r="I6838" s="7">
        <v>119</v>
      </c>
      <c r="J6838" s="7">
        <v>262</v>
      </c>
      <c r="K6838" s="7" t="s">
        <v>18</v>
      </c>
      <c r="L6838" s="8">
        <v>39987.315405092595</v>
      </c>
      <c r="M6838" s="9" t="s">
        <v>19</v>
      </c>
      <c r="N6838" s="9" t="s">
        <v>20</v>
      </c>
      <c r="O6838" s="6" t="str">
        <f>HYPERLINK("https://pbs.twimg.com/profile_images/962471262747529216/Uo8lOkRJ_normal.jpg","View")</f>
        <v>View</v>
      </c>
      <c r="P6838" s="7"/>
    </row>
    <row r="6839" spans="1:16">
      <c r="A6839" s="3">
        <v>44003.88449074074</v>
      </c>
      <c r="B6839" s="4" t="str">
        <f>HYPERLINK("https://twitter.com/petrogustavo","@petrogustavo")</f>
        <v>@petrogustavo</v>
      </c>
      <c r="C6839" s="5" t="s">
        <v>16</v>
      </c>
      <c r="D6839" s="5" t="s">
        <v>6624</v>
      </c>
      <c r="E6839" s="6" t="str">
        <f>HYPERLINK("https://twitter.com/petrogustavo/status/1274729707649540098","1274729707649540098")</f>
        <v>1274729707649540098</v>
      </c>
      <c r="F6839" s="7" t="s">
        <v>17</v>
      </c>
      <c r="G6839" s="7">
        <v>3888196</v>
      </c>
      <c r="H6839" s="7">
        <v>2418</v>
      </c>
      <c r="I6839" s="7">
        <v>82</v>
      </c>
      <c r="J6839" s="7">
        <v>212</v>
      </c>
      <c r="K6839" s="7" t="s">
        <v>18</v>
      </c>
      <c r="L6839" s="8">
        <v>39987.315405092595</v>
      </c>
      <c r="M6839" s="9" t="s">
        <v>19</v>
      </c>
      <c r="N6839" s="9" t="s">
        <v>20</v>
      </c>
      <c r="O6839" s="6" t="str">
        <f>HYPERLINK("https://pbs.twimg.com/profile_images/962471262747529216/Uo8lOkRJ_normal.jpg","View")</f>
        <v>View</v>
      </c>
      <c r="P6839" s="7"/>
    </row>
    <row r="6840" spans="1:16">
      <c r="A6840" s="3">
        <v>44003.886388888888</v>
      </c>
      <c r="B6840" s="4" t="str">
        <f>HYPERLINK("https://twitter.com/petrogustavo","@petrogustavo")</f>
        <v>@petrogustavo</v>
      </c>
      <c r="C6840" s="5" t="s">
        <v>16</v>
      </c>
      <c r="D6840" s="5" t="s">
        <v>6625</v>
      </c>
      <c r="E6840" s="6" t="str">
        <f>HYPERLINK("https://twitter.com/petrogustavo/status/1274730396866039809","1274730396866039809")</f>
        <v>1274730396866039809</v>
      </c>
      <c r="F6840" s="7" t="s">
        <v>17</v>
      </c>
      <c r="G6840" s="7">
        <v>3888196</v>
      </c>
      <c r="H6840" s="7">
        <v>2418</v>
      </c>
      <c r="I6840" s="7">
        <v>11</v>
      </c>
      <c r="J6840" s="7">
        <v>32</v>
      </c>
      <c r="K6840" s="7" t="s">
        <v>18</v>
      </c>
      <c r="L6840" s="8">
        <v>39987.315405092595</v>
      </c>
      <c r="M6840" s="9" t="s">
        <v>19</v>
      </c>
      <c r="N6840" s="9" t="s">
        <v>20</v>
      </c>
      <c r="O6840" s="6" t="str">
        <f>HYPERLINK("https://pbs.twimg.com/profile_images/962471262747529216/Uo8lOkRJ_normal.jpg","View")</f>
        <v>View</v>
      </c>
      <c r="P6840" s="7"/>
    </row>
    <row r="6841" spans="1:16">
      <c r="A6841" s="3">
        <v>44003.888564814813</v>
      </c>
      <c r="B6841" s="4" t="str">
        <f>HYPERLINK("https://twitter.com/petrogustavo","@petrogustavo")</f>
        <v>@petrogustavo</v>
      </c>
      <c r="C6841" s="5" t="s">
        <v>16</v>
      </c>
      <c r="D6841" s="5" t="s">
        <v>6626</v>
      </c>
      <c r="E6841" s="6" t="str">
        <f>HYPERLINK("https://twitter.com/petrogustavo/status/1274731183260254211","1274731183260254211")</f>
        <v>1274731183260254211</v>
      </c>
      <c r="F6841" s="7" t="s">
        <v>17</v>
      </c>
      <c r="G6841" s="7">
        <v>3888208</v>
      </c>
      <c r="H6841" s="7">
        <v>2418</v>
      </c>
      <c r="I6841" s="7">
        <v>96</v>
      </c>
      <c r="J6841" s="7">
        <v>263</v>
      </c>
      <c r="K6841" s="7" t="s">
        <v>18</v>
      </c>
      <c r="L6841" s="8">
        <v>39987.315405092595</v>
      </c>
      <c r="M6841" s="9" t="s">
        <v>19</v>
      </c>
      <c r="N6841" s="9" t="s">
        <v>20</v>
      </c>
      <c r="O6841" s="6" t="str">
        <f>HYPERLINK("https://pbs.twimg.com/profile_images/962471262747529216/Uo8lOkRJ_normal.jpg","View")</f>
        <v>View</v>
      </c>
      <c r="P6841" s="7"/>
    </row>
    <row r="6842" spans="1:16">
      <c r="A6842" s="3">
        <v>44003.913287037038</v>
      </c>
      <c r="B6842" s="4" t="str">
        <f>HYPERLINK("https://twitter.com/petrogustavo","@petrogustavo")</f>
        <v>@petrogustavo</v>
      </c>
      <c r="C6842" s="5" t="s">
        <v>16</v>
      </c>
      <c r="D6842" s="5" t="s">
        <v>6627</v>
      </c>
      <c r="E6842" s="6" t="str">
        <f>HYPERLINK("https://twitter.com/petrogustavo/status/1274740143921025027","1274740143921025027")</f>
        <v>1274740143921025027</v>
      </c>
      <c r="F6842" s="7" t="s">
        <v>17</v>
      </c>
      <c r="G6842" s="7">
        <v>3888197</v>
      </c>
      <c r="H6842" s="7">
        <v>2418</v>
      </c>
      <c r="I6842" s="7">
        <v>475</v>
      </c>
      <c r="J6842" s="7">
        <v>0</v>
      </c>
      <c r="K6842" s="7" t="s">
        <v>18</v>
      </c>
      <c r="L6842" s="8">
        <v>39987.315405092595</v>
      </c>
      <c r="M6842" s="9" t="s">
        <v>19</v>
      </c>
      <c r="N6842" s="9" t="s">
        <v>20</v>
      </c>
      <c r="O6842" s="6" t="str">
        <f>HYPERLINK("https://pbs.twimg.com/profile_images/962471262747529216/Uo8lOkRJ_normal.jpg","View")</f>
        <v>View</v>
      </c>
      <c r="P6842" s="7"/>
    </row>
    <row r="6843" spans="1:16">
      <c r="A6843" s="3">
        <v>44003.913391203707</v>
      </c>
      <c r="B6843" s="4" t="str">
        <f>HYPERLINK("https://twitter.com/petrogustavo","@petrogustavo")</f>
        <v>@petrogustavo</v>
      </c>
      <c r="C6843" s="5" t="s">
        <v>16</v>
      </c>
      <c r="D6843" s="5" t="s">
        <v>6628</v>
      </c>
      <c r="E6843" s="6" t="str">
        <f>HYPERLINK("https://twitter.com/petrogustavo/status/1274740181015330816","1274740181015330816")</f>
        <v>1274740181015330816</v>
      </c>
      <c r="F6843" s="7" t="s">
        <v>17</v>
      </c>
      <c r="G6843" s="7">
        <v>3888197</v>
      </c>
      <c r="H6843" s="7">
        <v>2418</v>
      </c>
      <c r="I6843" s="7">
        <v>23</v>
      </c>
      <c r="J6843" s="7">
        <v>0</v>
      </c>
      <c r="K6843" s="7" t="s">
        <v>18</v>
      </c>
      <c r="L6843" s="8">
        <v>39987.315405092595</v>
      </c>
      <c r="M6843" s="9" t="s">
        <v>19</v>
      </c>
      <c r="N6843" s="9" t="s">
        <v>20</v>
      </c>
      <c r="O6843" s="6" t="str">
        <f>HYPERLINK("https://pbs.twimg.com/profile_images/962471262747529216/Uo8lOkRJ_normal.jpg","View")</f>
        <v>View</v>
      </c>
      <c r="P6843" s="7"/>
    </row>
    <row r="6844" spans="1:16">
      <c r="A6844" s="3">
        <v>44003.923101851848</v>
      </c>
      <c r="B6844" s="4" t="str">
        <f>HYPERLINK("https://twitter.com/petrogustavo","@petrogustavo")</f>
        <v>@petrogustavo</v>
      </c>
      <c r="C6844" s="5" t="s">
        <v>16</v>
      </c>
      <c r="D6844" s="5" t="s">
        <v>6629</v>
      </c>
      <c r="E6844" s="6" t="str">
        <f>HYPERLINK("https://twitter.com/petrogustavo/status/1274743700980207630","1274743700980207630")</f>
        <v>1274743700980207630</v>
      </c>
      <c r="F6844" s="7" t="s">
        <v>17</v>
      </c>
      <c r="G6844" s="7">
        <v>3888197</v>
      </c>
      <c r="H6844" s="7">
        <v>2418</v>
      </c>
      <c r="I6844" s="7">
        <v>293</v>
      </c>
      <c r="J6844" s="7">
        <v>0</v>
      </c>
      <c r="K6844" s="7" t="s">
        <v>18</v>
      </c>
      <c r="L6844" s="8">
        <v>39987.315405092595</v>
      </c>
      <c r="M6844" s="9" t="s">
        <v>19</v>
      </c>
      <c r="N6844" s="9" t="s">
        <v>20</v>
      </c>
      <c r="O6844" s="6" t="str">
        <f>HYPERLINK("https://pbs.twimg.com/profile_images/962471262747529216/Uo8lOkRJ_normal.jpg","View")</f>
        <v>View</v>
      </c>
      <c r="P6844" s="7"/>
    </row>
    <row r="6845" spans="1:16">
      <c r="A6845" s="3">
        <v>44003.928819444445</v>
      </c>
      <c r="B6845" s="4" t="str">
        <f>HYPERLINK("https://twitter.com/petrogustavo","@petrogustavo")</f>
        <v>@petrogustavo</v>
      </c>
      <c r="C6845" s="5" t="s">
        <v>16</v>
      </c>
      <c r="D6845" s="5" t="s">
        <v>6630</v>
      </c>
      <c r="E6845" s="6" t="str">
        <f>HYPERLINK("https://twitter.com/petrogustavo/status/1274745773100617729","1274745773100617729")</f>
        <v>1274745773100617729</v>
      </c>
      <c r="F6845" s="7" t="s">
        <v>17</v>
      </c>
      <c r="G6845" s="7">
        <v>3888217</v>
      </c>
      <c r="H6845" s="7">
        <v>2418</v>
      </c>
      <c r="I6845" s="7">
        <v>88</v>
      </c>
      <c r="J6845" s="7">
        <v>158</v>
      </c>
      <c r="K6845" s="7" t="s">
        <v>18</v>
      </c>
      <c r="L6845" s="8">
        <v>39987.315405092595</v>
      </c>
      <c r="M6845" s="9" t="s">
        <v>19</v>
      </c>
      <c r="N6845" s="9" t="s">
        <v>20</v>
      </c>
      <c r="O6845" s="6" t="str">
        <f>HYPERLINK("https://pbs.twimg.com/profile_images/962471262747529216/Uo8lOkRJ_normal.jpg","View")</f>
        <v>View</v>
      </c>
      <c r="P6845" s="7"/>
    </row>
    <row r="6846" spans="1:16">
      <c r="A6846" s="3">
        <v>44003.931990740741</v>
      </c>
      <c r="B6846" s="4" t="str">
        <f>HYPERLINK("https://twitter.com/petrogustavo","@petrogustavo")</f>
        <v>@petrogustavo</v>
      </c>
      <c r="C6846" s="5" t="s">
        <v>16</v>
      </c>
      <c r="D6846" s="5" t="s">
        <v>6631</v>
      </c>
      <c r="E6846" s="6" t="str">
        <f>HYPERLINK("https://twitter.com/petrogustavo/status/1274746921580707840","1274746921580707840")</f>
        <v>1274746921580707840</v>
      </c>
      <c r="F6846" s="7" t="s">
        <v>17</v>
      </c>
      <c r="G6846" s="7">
        <v>3888217</v>
      </c>
      <c r="H6846" s="7">
        <v>2418</v>
      </c>
      <c r="I6846" s="7">
        <v>61</v>
      </c>
      <c r="J6846" s="7">
        <v>99</v>
      </c>
      <c r="K6846" s="7" t="s">
        <v>18</v>
      </c>
      <c r="L6846" s="8">
        <v>39987.315405092595</v>
      </c>
      <c r="M6846" s="9" t="s">
        <v>19</v>
      </c>
      <c r="N6846" s="9" t="s">
        <v>20</v>
      </c>
      <c r="O6846" s="6" t="str">
        <f>HYPERLINK("https://pbs.twimg.com/profile_images/962471262747529216/Uo8lOkRJ_normal.jpg","View")</f>
        <v>View</v>
      </c>
      <c r="P6846" s="7"/>
    </row>
    <row r="6847" spans="1:16">
      <c r="A6847" s="3">
        <v>44003.932604166665</v>
      </c>
      <c r="B6847" s="4" t="str">
        <f>HYPERLINK("https://twitter.com/petrogustavo","@petrogustavo")</f>
        <v>@petrogustavo</v>
      </c>
      <c r="C6847" s="5" t="s">
        <v>16</v>
      </c>
      <c r="D6847" s="5" t="s">
        <v>6632</v>
      </c>
      <c r="E6847" s="6" t="str">
        <f>HYPERLINK("https://twitter.com/petrogustavo/status/1274747143773962240","1274747143773962240")</f>
        <v>1274747143773962240</v>
      </c>
      <c r="F6847" s="7" t="s">
        <v>17</v>
      </c>
      <c r="G6847" s="7">
        <v>3888217</v>
      </c>
      <c r="H6847" s="7">
        <v>2418</v>
      </c>
      <c r="I6847" s="7">
        <v>601</v>
      </c>
      <c r="J6847" s="7">
        <v>0</v>
      </c>
      <c r="K6847" s="7" t="s">
        <v>18</v>
      </c>
      <c r="L6847" s="8">
        <v>39987.315405092595</v>
      </c>
      <c r="M6847" s="9" t="s">
        <v>19</v>
      </c>
      <c r="N6847" s="9" t="s">
        <v>20</v>
      </c>
      <c r="O6847" s="6" t="str">
        <f>HYPERLINK("https://pbs.twimg.com/profile_images/962471262747529216/Uo8lOkRJ_normal.jpg","View")</f>
        <v>View</v>
      </c>
      <c r="P6847" s="7"/>
    </row>
    <row r="6848" spans="1:16">
      <c r="A6848" s="3">
        <v>44003.944039351853</v>
      </c>
      <c r="B6848" s="4" t="str">
        <f>HYPERLINK("https://twitter.com/petrogustavo","@petrogustavo")</f>
        <v>@petrogustavo</v>
      </c>
      <c r="C6848" s="5" t="s">
        <v>16</v>
      </c>
      <c r="D6848" s="5" t="s">
        <v>6633</v>
      </c>
      <c r="E6848" s="6" t="str">
        <f>HYPERLINK("https://twitter.com/petrogustavo/status/1274751287649804294","1274751287649804294")</f>
        <v>1274751287649804294</v>
      </c>
      <c r="F6848" s="7" t="s">
        <v>17</v>
      </c>
      <c r="G6848" s="7">
        <v>3888217</v>
      </c>
      <c r="H6848" s="7">
        <v>2418</v>
      </c>
      <c r="I6848" s="7">
        <v>27</v>
      </c>
      <c r="J6848" s="7">
        <v>81</v>
      </c>
      <c r="K6848" s="7" t="s">
        <v>18</v>
      </c>
      <c r="L6848" s="8">
        <v>39987.315405092595</v>
      </c>
      <c r="M6848" s="9" t="s">
        <v>19</v>
      </c>
      <c r="N6848" s="9" t="s">
        <v>20</v>
      </c>
      <c r="O6848" s="6" t="str">
        <f>HYPERLINK("https://pbs.twimg.com/profile_images/962471262747529216/Uo8lOkRJ_normal.jpg","View")</f>
        <v>View</v>
      </c>
      <c r="P6848" s="7"/>
    </row>
    <row r="6849" spans="1:16">
      <c r="A6849" s="3">
        <v>44003.957337962958</v>
      </c>
      <c r="B6849" s="4" t="str">
        <f>HYPERLINK("https://twitter.com/petrogustavo","@petrogustavo")</f>
        <v>@petrogustavo</v>
      </c>
      <c r="C6849" s="5" t="s">
        <v>16</v>
      </c>
      <c r="D6849" s="5" t="s">
        <v>6634</v>
      </c>
      <c r="E6849" s="6" t="str">
        <f>HYPERLINK("https://twitter.com/petrogustavo/status/1274756108176044036","1274756108176044036")</f>
        <v>1274756108176044036</v>
      </c>
      <c r="F6849" s="7" t="s">
        <v>17</v>
      </c>
      <c r="G6849" s="7">
        <v>3888238</v>
      </c>
      <c r="H6849" s="7">
        <v>2418</v>
      </c>
      <c r="I6849" s="7">
        <v>52</v>
      </c>
      <c r="J6849" s="7">
        <v>111</v>
      </c>
      <c r="K6849" s="7" t="s">
        <v>18</v>
      </c>
      <c r="L6849" s="8">
        <v>39987.315405092595</v>
      </c>
      <c r="M6849" s="9" t="s">
        <v>19</v>
      </c>
      <c r="N6849" s="9" t="s">
        <v>20</v>
      </c>
      <c r="O6849" s="6" t="str">
        <f>HYPERLINK("https://pbs.twimg.com/profile_images/962471262747529216/Uo8lOkRJ_normal.jpg","View")</f>
        <v>View</v>
      </c>
      <c r="P6849" s="7"/>
    </row>
    <row r="6850" spans="1:16">
      <c r="A6850" s="3">
        <v>44003.959166666667</v>
      </c>
      <c r="B6850" s="4" t="str">
        <f>HYPERLINK("https://twitter.com/petrogustavo","@petrogustavo")</f>
        <v>@petrogustavo</v>
      </c>
      <c r="C6850" s="5" t="s">
        <v>16</v>
      </c>
      <c r="D6850" s="5" t="s">
        <v>6635</v>
      </c>
      <c r="E6850" s="6" t="str">
        <f>HYPERLINK("https://twitter.com/petrogustavo/status/1274756771391954948","1274756771391954948")</f>
        <v>1274756771391954948</v>
      </c>
      <c r="F6850" s="7" t="s">
        <v>17</v>
      </c>
      <c r="G6850" s="7">
        <v>3888238</v>
      </c>
      <c r="H6850" s="7">
        <v>2418</v>
      </c>
      <c r="I6850" s="7">
        <v>45</v>
      </c>
      <c r="J6850" s="7">
        <v>116</v>
      </c>
      <c r="K6850" s="7" t="s">
        <v>18</v>
      </c>
      <c r="L6850" s="8">
        <v>39987.315405092595</v>
      </c>
      <c r="M6850" s="9" t="s">
        <v>19</v>
      </c>
      <c r="N6850" s="9" t="s">
        <v>20</v>
      </c>
      <c r="O6850" s="6" t="str">
        <f>HYPERLINK("https://pbs.twimg.com/profile_images/962471262747529216/Uo8lOkRJ_normal.jpg","View")</f>
        <v>View</v>
      </c>
      <c r="P6850" s="7"/>
    </row>
    <row r="6851" spans="1:16">
      <c r="A6851" s="3">
        <v>44003.961273148147</v>
      </c>
      <c r="B6851" s="4" t="str">
        <f>HYPERLINK("https://twitter.com/petrogustavo","@petrogustavo")</f>
        <v>@petrogustavo</v>
      </c>
      <c r="C6851" s="5" t="s">
        <v>16</v>
      </c>
      <c r="D6851" s="5" t="s">
        <v>6636</v>
      </c>
      <c r="E6851" s="6" t="str">
        <f>HYPERLINK("https://twitter.com/petrogustavo/status/1274757535019532288","1274757535019532288")</f>
        <v>1274757535019532288</v>
      </c>
      <c r="F6851" s="7" t="s">
        <v>17</v>
      </c>
      <c r="G6851" s="7">
        <v>3888238</v>
      </c>
      <c r="H6851" s="7">
        <v>2418</v>
      </c>
      <c r="I6851" s="7">
        <v>38</v>
      </c>
      <c r="J6851" s="7">
        <v>85</v>
      </c>
      <c r="K6851" s="7" t="s">
        <v>18</v>
      </c>
      <c r="L6851" s="8">
        <v>39987.315405092595</v>
      </c>
      <c r="M6851" s="9" t="s">
        <v>19</v>
      </c>
      <c r="N6851" s="9" t="s">
        <v>20</v>
      </c>
      <c r="O6851" s="6" t="str">
        <f>HYPERLINK("https://pbs.twimg.com/profile_images/962471262747529216/Uo8lOkRJ_normal.jpg","View")</f>
        <v>View</v>
      </c>
      <c r="P6851" s="7"/>
    </row>
    <row r="6852" spans="1:16">
      <c r="A6852" s="3">
        <v>44004.0465162037</v>
      </c>
      <c r="B6852" s="4" t="str">
        <f>HYPERLINK("https://twitter.com/petrogustavo","@petrogustavo")</f>
        <v>@petrogustavo</v>
      </c>
      <c r="C6852" s="5" t="s">
        <v>16</v>
      </c>
      <c r="D6852" s="5" t="s">
        <v>6637</v>
      </c>
      <c r="E6852" s="6" t="str">
        <f>HYPERLINK("https://twitter.com/petrogustavo/status/1274788423732248576","1274788423732248576")</f>
        <v>1274788423732248576</v>
      </c>
      <c r="F6852" s="7" t="s">
        <v>17</v>
      </c>
      <c r="G6852" s="7">
        <v>3888322</v>
      </c>
      <c r="H6852" s="7">
        <v>2418</v>
      </c>
      <c r="I6852" s="7">
        <v>104</v>
      </c>
      <c r="J6852" s="7">
        <v>290</v>
      </c>
      <c r="K6852" s="7" t="s">
        <v>18</v>
      </c>
      <c r="L6852" s="8">
        <v>39987.315405092595</v>
      </c>
      <c r="M6852" s="9" t="s">
        <v>19</v>
      </c>
      <c r="N6852" s="9" t="s">
        <v>20</v>
      </c>
      <c r="O6852" s="6" t="str">
        <f>HYPERLINK("https://pbs.twimg.com/profile_images/962471262747529216/Uo8lOkRJ_normal.jpg","View")</f>
        <v>View</v>
      </c>
      <c r="P6852" s="7"/>
    </row>
    <row r="6853" spans="1:16">
      <c r="A6853" s="3">
        <v>44004.093819444446</v>
      </c>
      <c r="B6853" s="4" t="str">
        <f>HYPERLINK("https://twitter.com/petrogustavo","@petrogustavo")</f>
        <v>@petrogustavo</v>
      </c>
      <c r="C6853" s="5" t="s">
        <v>16</v>
      </c>
      <c r="D6853" s="5" t="s">
        <v>6638</v>
      </c>
      <c r="E6853" s="6" t="str">
        <f>HYPERLINK("https://twitter.com/petrogustavo/status/1274805568012783616","1274805568012783616")</f>
        <v>1274805568012783616</v>
      </c>
      <c r="F6853" s="7" t="s">
        <v>17</v>
      </c>
      <c r="G6853" s="7">
        <v>3888357</v>
      </c>
      <c r="H6853" s="7">
        <v>2418</v>
      </c>
      <c r="I6853" s="7">
        <v>35</v>
      </c>
      <c r="J6853" s="7">
        <v>78</v>
      </c>
      <c r="K6853" s="7" t="s">
        <v>18</v>
      </c>
      <c r="L6853" s="8">
        <v>39987.315405092595</v>
      </c>
      <c r="M6853" s="9" t="s">
        <v>19</v>
      </c>
      <c r="N6853" s="9" t="s">
        <v>20</v>
      </c>
      <c r="O6853" s="6" t="str">
        <f>HYPERLINK("https://pbs.twimg.com/profile_images/962471262747529216/Uo8lOkRJ_normal.jpg","View")</f>
        <v>View</v>
      </c>
      <c r="P6853" s="7"/>
    </row>
    <row r="6854" spans="1:16">
      <c r="A6854" s="3">
        <v>44004.105671296296</v>
      </c>
      <c r="B6854" s="4" t="str">
        <f>HYPERLINK("https://twitter.com/petrogustavo","@petrogustavo")</f>
        <v>@petrogustavo</v>
      </c>
      <c r="C6854" s="5" t="s">
        <v>16</v>
      </c>
      <c r="D6854" s="5" t="s">
        <v>6639</v>
      </c>
      <c r="E6854" s="6" t="str">
        <f>HYPERLINK("https://twitter.com/petrogustavo/status/1274809861319069696","1274809861319069696")</f>
        <v>1274809861319069696</v>
      </c>
      <c r="F6854" s="7" t="s">
        <v>17</v>
      </c>
      <c r="G6854" s="7">
        <v>3888372</v>
      </c>
      <c r="H6854" s="7">
        <v>2418</v>
      </c>
      <c r="I6854" s="7">
        <v>151</v>
      </c>
      <c r="J6854" s="7">
        <v>288</v>
      </c>
      <c r="K6854" s="7" t="s">
        <v>18</v>
      </c>
      <c r="L6854" s="8">
        <v>39987.315405092595</v>
      </c>
      <c r="M6854" s="9" t="s">
        <v>19</v>
      </c>
      <c r="N6854" s="9" t="s">
        <v>20</v>
      </c>
      <c r="O6854" s="6" t="str">
        <f>HYPERLINK("https://pbs.twimg.com/profile_images/962471262747529216/Uo8lOkRJ_normal.jpg","View")</f>
        <v>View</v>
      </c>
      <c r="P6854" s="7"/>
    </row>
    <row r="6855" spans="1:16">
      <c r="A6855" s="3">
        <v>44004.141388888893</v>
      </c>
      <c r="B6855" s="4" t="str">
        <f>HYPERLINK("https://twitter.com/petrogustavo","@petrogustavo")</f>
        <v>@petrogustavo</v>
      </c>
      <c r="C6855" s="5" t="s">
        <v>16</v>
      </c>
      <c r="D6855" s="5" t="s">
        <v>6632</v>
      </c>
      <c r="E6855" s="6" t="str">
        <f>HYPERLINK("https://twitter.com/petrogustavo/status/1274822806203760641","1274822806203760641")</f>
        <v>1274822806203760641</v>
      </c>
      <c r="F6855" s="7" t="s">
        <v>17</v>
      </c>
      <c r="G6855" s="7">
        <v>3888388</v>
      </c>
      <c r="H6855" s="7">
        <v>2418</v>
      </c>
      <c r="I6855" s="7">
        <v>1339</v>
      </c>
      <c r="J6855" s="7">
        <v>0</v>
      </c>
      <c r="K6855" s="7" t="s">
        <v>18</v>
      </c>
      <c r="L6855" s="8">
        <v>39987.315405092595</v>
      </c>
      <c r="M6855" s="9" t="s">
        <v>19</v>
      </c>
      <c r="N6855" s="9" t="s">
        <v>20</v>
      </c>
      <c r="O6855" s="6" t="str">
        <f>HYPERLINK("https://pbs.twimg.com/profile_images/962471262747529216/Uo8lOkRJ_normal.jpg","View")</f>
        <v>View</v>
      </c>
      <c r="P6855" s="7"/>
    </row>
    <row r="6856" spans="1:16">
      <c r="A6856" s="3">
        <v>44004.151203703703</v>
      </c>
      <c r="B6856" s="4" t="str">
        <f>HYPERLINK("https://twitter.com/petrogustavo","@petrogustavo")</f>
        <v>@petrogustavo</v>
      </c>
      <c r="C6856" s="5" t="s">
        <v>16</v>
      </c>
      <c r="D6856" s="5" t="s">
        <v>6640</v>
      </c>
      <c r="E6856" s="6" t="str">
        <f>HYPERLINK("https://twitter.com/petrogustavo/status/1274826361610395648","1274826361610395648")</f>
        <v>1274826361610395648</v>
      </c>
      <c r="F6856" s="7" t="s">
        <v>17</v>
      </c>
      <c r="G6856" s="7">
        <v>3888388</v>
      </c>
      <c r="H6856" s="7">
        <v>2418</v>
      </c>
      <c r="I6856" s="7">
        <v>121</v>
      </c>
      <c r="J6856" s="7">
        <v>322</v>
      </c>
      <c r="K6856" s="7" t="s">
        <v>18</v>
      </c>
      <c r="L6856" s="8">
        <v>39987.315405092595</v>
      </c>
      <c r="M6856" s="9" t="s">
        <v>19</v>
      </c>
      <c r="N6856" s="9" t="s">
        <v>20</v>
      </c>
      <c r="O6856" s="6" t="str">
        <f>HYPERLINK("https://pbs.twimg.com/profile_images/962471262747529216/Uo8lOkRJ_normal.jpg","View")</f>
        <v>View</v>
      </c>
      <c r="P6856" s="7"/>
    </row>
    <row r="6857" spans="1:16">
      <c r="A6857" s="3">
        <v>44004.275787037041</v>
      </c>
      <c r="B6857" s="4" t="str">
        <f>HYPERLINK("https://twitter.com/petrogustavo","@petrogustavo")</f>
        <v>@petrogustavo</v>
      </c>
      <c r="C6857" s="5" t="s">
        <v>16</v>
      </c>
      <c r="D6857" s="5" t="s">
        <v>6641</v>
      </c>
      <c r="E6857" s="6" t="str">
        <f>HYPERLINK("https://twitter.com/petrogustavo/status/1274871510453420033","1274871510453420033")</f>
        <v>1274871510453420033</v>
      </c>
      <c r="F6857" s="7" t="s">
        <v>17</v>
      </c>
      <c r="G6857" s="7">
        <v>3888555</v>
      </c>
      <c r="H6857" s="7">
        <v>2418</v>
      </c>
      <c r="I6857" s="7">
        <v>36</v>
      </c>
      <c r="J6857" s="7">
        <v>108</v>
      </c>
      <c r="K6857" s="7" t="s">
        <v>18</v>
      </c>
      <c r="L6857" s="8">
        <v>39987.315405092595</v>
      </c>
      <c r="M6857" s="9" t="s">
        <v>19</v>
      </c>
      <c r="N6857" s="9" t="s">
        <v>20</v>
      </c>
      <c r="O6857" s="6" t="str">
        <f>HYPERLINK("https://pbs.twimg.com/profile_images/962471262747529216/Uo8lOkRJ_normal.jpg","View")</f>
        <v>View</v>
      </c>
      <c r="P6857" s="7"/>
    </row>
    <row r="6858" spans="1:16">
      <c r="A6858" s="3">
        <v>44004.369050925925</v>
      </c>
      <c r="B6858" s="4" t="str">
        <f>HYPERLINK("https://twitter.com/petrogustavo","@petrogustavo")</f>
        <v>@petrogustavo</v>
      </c>
      <c r="C6858" s="5" t="s">
        <v>16</v>
      </c>
      <c r="D6858" s="5" t="s">
        <v>6632</v>
      </c>
      <c r="E6858" s="6" t="str">
        <f>HYPERLINK("https://twitter.com/petrogustavo/status/1274905306762526721","1274905306762526721")</f>
        <v>1274905306762526721</v>
      </c>
      <c r="F6858" s="7" t="s">
        <v>17</v>
      </c>
      <c r="G6858" s="7">
        <v>3888672</v>
      </c>
      <c r="H6858" s="7">
        <v>2418</v>
      </c>
      <c r="I6858" s="7">
        <v>1705</v>
      </c>
      <c r="J6858" s="7">
        <v>0</v>
      </c>
      <c r="K6858" s="7" t="s">
        <v>18</v>
      </c>
      <c r="L6858" s="8">
        <v>39987.315405092595</v>
      </c>
      <c r="M6858" s="9" t="s">
        <v>19</v>
      </c>
      <c r="N6858" s="9" t="s">
        <v>20</v>
      </c>
      <c r="O6858" s="6" t="str">
        <f>HYPERLINK("https://pbs.twimg.com/profile_images/962471262747529216/Uo8lOkRJ_normal.jpg","View")</f>
        <v>View</v>
      </c>
      <c r="P6858" s="7"/>
    </row>
    <row r="6859" spans="1:16">
      <c r="A6859" s="3">
        <v>44004.802187499998</v>
      </c>
      <c r="B6859" s="4" t="str">
        <f>HYPERLINK("https://twitter.com/petrogustavo","@petrogustavo")</f>
        <v>@petrogustavo</v>
      </c>
      <c r="C6859" s="5" t="s">
        <v>16</v>
      </c>
      <c r="D6859" s="5" t="s">
        <v>6642</v>
      </c>
      <c r="E6859" s="6" t="str">
        <f>HYPERLINK("https://twitter.com/petrogustavo/status/1275062270939271168","1275062270939271168")</f>
        <v>1275062270939271168</v>
      </c>
      <c r="F6859" s="7" t="s">
        <v>17</v>
      </c>
      <c r="G6859" s="7">
        <v>3888625</v>
      </c>
      <c r="H6859" s="7">
        <v>2418</v>
      </c>
      <c r="I6859" s="7">
        <v>35</v>
      </c>
      <c r="J6859" s="7">
        <v>111</v>
      </c>
      <c r="K6859" s="7" t="s">
        <v>18</v>
      </c>
      <c r="L6859" s="8">
        <v>39987.315405092595</v>
      </c>
      <c r="M6859" s="9" t="s">
        <v>19</v>
      </c>
      <c r="N6859" s="9" t="s">
        <v>20</v>
      </c>
      <c r="O6859" s="6" t="str">
        <f>HYPERLINK("https://pbs.twimg.com/profile_images/962471262747529216/Uo8lOkRJ_normal.jpg","View")</f>
        <v>View</v>
      </c>
      <c r="P6859" s="7"/>
    </row>
    <row r="6860" spans="1:16">
      <c r="A6860" s="3">
        <v>44004.802442129629</v>
      </c>
      <c r="B6860" s="4" t="str">
        <f>HYPERLINK("https://twitter.com/petrogustavo","@petrogustavo")</f>
        <v>@petrogustavo</v>
      </c>
      <c r="C6860" s="5" t="s">
        <v>16</v>
      </c>
      <c r="D6860" s="5" t="s">
        <v>6643</v>
      </c>
      <c r="E6860" s="6" t="str">
        <f>HYPERLINK("https://twitter.com/petrogustavo/status/1275062365030146048","1275062365030146048")</f>
        <v>1275062365030146048</v>
      </c>
      <c r="F6860" s="7" t="s">
        <v>17</v>
      </c>
      <c r="G6860" s="7">
        <v>3888625</v>
      </c>
      <c r="H6860" s="7">
        <v>2418</v>
      </c>
      <c r="I6860" s="7">
        <v>198</v>
      </c>
      <c r="J6860" s="7">
        <v>0</v>
      </c>
      <c r="K6860" s="7" t="s">
        <v>18</v>
      </c>
      <c r="L6860" s="8">
        <v>39987.315405092595</v>
      </c>
      <c r="M6860" s="9" t="s">
        <v>19</v>
      </c>
      <c r="N6860" s="9" t="s">
        <v>20</v>
      </c>
      <c r="O6860" s="6" t="str">
        <f>HYPERLINK("https://pbs.twimg.com/profile_images/962471262747529216/Uo8lOkRJ_normal.jpg","View")</f>
        <v>View</v>
      </c>
      <c r="P6860" s="7"/>
    </row>
    <row r="6861" spans="1:16">
      <c r="A6861" s="3">
        <v>44004.80259259259</v>
      </c>
      <c r="B6861" s="4" t="str">
        <f>HYPERLINK("https://twitter.com/petrogustavo","@petrogustavo")</f>
        <v>@petrogustavo</v>
      </c>
      <c r="C6861" s="5" t="s">
        <v>16</v>
      </c>
      <c r="D6861" s="5" t="s">
        <v>6644</v>
      </c>
      <c r="E6861" s="6" t="str">
        <f>HYPERLINK("https://twitter.com/petrogustavo/status/1275062417991651328","1275062417991651328")</f>
        <v>1275062417991651328</v>
      </c>
      <c r="F6861" s="7" t="s">
        <v>17</v>
      </c>
      <c r="G6861" s="7">
        <v>3888625</v>
      </c>
      <c r="H6861" s="7">
        <v>2418</v>
      </c>
      <c r="I6861" s="7">
        <v>9</v>
      </c>
      <c r="J6861" s="7">
        <v>0</v>
      </c>
      <c r="K6861" s="7" t="s">
        <v>18</v>
      </c>
      <c r="L6861" s="8">
        <v>39987.315405092595</v>
      </c>
      <c r="M6861" s="9" t="s">
        <v>19</v>
      </c>
      <c r="N6861" s="9" t="s">
        <v>20</v>
      </c>
      <c r="O6861" s="6" t="str">
        <f>HYPERLINK("https://pbs.twimg.com/profile_images/962471262747529216/Uo8lOkRJ_normal.jpg","View")</f>
        <v>View</v>
      </c>
      <c r="P6861" s="7"/>
    </row>
    <row r="6862" spans="1:16">
      <c r="A6862" s="3">
        <v>44004.807129629626</v>
      </c>
      <c r="B6862" s="4" t="str">
        <f>HYPERLINK("https://twitter.com/petrogustavo","@petrogustavo")</f>
        <v>@petrogustavo</v>
      </c>
      <c r="C6862" s="5" t="s">
        <v>16</v>
      </c>
      <c r="D6862" s="5" t="s">
        <v>6645</v>
      </c>
      <c r="E6862" s="6" t="str">
        <f>HYPERLINK("https://twitter.com/petrogustavo/status/1275064059818360832","1275064059818360832")</f>
        <v>1275064059818360832</v>
      </c>
      <c r="F6862" s="7" t="s">
        <v>17</v>
      </c>
      <c r="G6862" s="7">
        <v>3888651</v>
      </c>
      <c r="H6862" s="7">
        <v>2418</v>
      </c>
      <c r="I6862" s="7">
        <v>179</v>
      </c>
      <c r="J6862" s="7">
        <v>316</v>
      </c>
      <c r="K6862" s="7" t="s">
        <v>18</v>
      </c>
      <c r="L6862" s="8">
        <v>39987.315405092595</v>
      </c>
      <c r="M6862" s="9" t="s">
        <v>19</v>
      </c>
      <c r="N6862" s="9" t="s">
        <v>20</v>
      </c>
      <c r="O6862" s="6" t="str">
        <f>HYPERLINK("https://pbs.twimg.com/profile_images/962471262747529216/Uo8lOkRJ_normal.jpg","View")</f>
        <v>View</v>
      </c>
      <c r="P6862" s="7"/>
    </row>
    <row r="6863" spans="1:16">
      <c r="A6863" s="3">
        <v>44004.821597222224</v>
      </c>
      <c r="B6863" s="4" t="str">
        <f>HYPERLINK("https://twitter.com/petrogustavo","@petrogustavo")</f>
        <v>@petrogustavo</v>
      </c>
      <c r="C6863" s="5" t="s">
        <v>16</v>
      </c>
      <c r="D6863" s="5" t="s">
        <v>6646</v>
      </c>
      <c r="E6863" s="6" t="str">
        <f>HYPERLINK("https://twitter.com/petrogustavo/status/1275069302840778765","1275069302840778765")</f>
        <v>1275069302840778765</v>
      </c>
      <c r="F6863" s="7" t="s">
        <v>17</v>
      </c>
      <c r="G6863" s="7">
        <v>3888651</v>
      </c>
      <c r="H6863" s="7">
        <v>2418</v>
      </c>
      <c r="I6863" s="7">
        <v>145</v>
      </c>
      <c r="J6863" s="7">
        <v>349</v>
      </c>
      <c r="K6863" s="7" t="s">
        <v>18</v>
      </c>
      <c r="L6863" s="8">
        <v>39987.315405092595</v>
      </c>
      <c r="M6863" s="9" t="s">
        <v>19</v>
      </c>
      <c r="N6863" s="9" t="s">
        <v>20</v>
      </c>
      <c r="O6863" s="6" t="str">
        <f>HYPERLINK("https://pbs.twimg.com/profile_images/962471262747529216/Uo8lOkRJ_normal.jpg","View")</f>
        <v>View</v>
      </c>
      <c r="P6863" s="7"/>
    </row>
    <row r="6864" spans="1:16">
      <c r="A6864" s="3">
        <v>44004.829768518517</v>
      </c>
      <c r="B6864" s="4" t="str">
        <f>HYPERLINK("https://twitter.com/petrogustavo","@petrogustavo")</f>
        <v>@petrogustavo</v>
      </c>
      <c r="C6864" s="5" t="s">
        <v>16</v>
      </c>
      <c r="D6864" s="5" t="s">
        <v>6647</v>
      </c>
      <c r="E6864" s="6" t="str">
        <f>HYPERLINK("https://twitter.com/petrogustavo/status/1275072266649260038","1275072266649260038")</f>
        <v>1275072266649260038</v>
      </c>
      <c r="F6864" s="7" t="s">
        <v>17</v>
      </c>
      <c r="G6864" s="7">
        <v>3888624</v>
      </c>
      <c r="H6864" s="7">
        <v>2418</v>
      </c>
      <c r="I6864" s="7">
        <v>254</v>
      </c>
      <c r="J6864" s="7">
        <v>569</v>
      </c>
      <c r="K6864" s="7" t="s">
        <v>18</v>
      </c>
      <c r="L6864" s="8">
        <v>39987.315405092595</v>
      </c>
      <c r="M6864" s="9" t="s">
        <v>19</v>
      </c>
      <c r="N6864" s="9" t="s">
        <v>20</v>
      </c>
      <c r="O6864" s="6" t="str">
        <f>HYPERLINK("https://pbs.twimg.com/profile_images/962471262747529216/Uo8lOkRJ_normal.jpg","View")</f>
        <v>View</v>
      </c>
      <c r="P6864" s="7"/>
    </row>
    <row r="6865" spans="1:16">
      <c r="A6865" s="3">
        <v>44004.84510416667</v>
      </c>
      <c r="B6865" s="4" t="str">
        <f>HYPERLINK("https://twitter.com/petrogustavo","@petrogustavo")</f>
        <v>@petrogustavo</v>
      </c>
      <c r="C6865" s="5" t="s">
        <v>16</v>
      </c>
      <c r="D6865" s="5" t="s">
        <v>6648</v>
      </c>
      <c r="E6865" s="6" t="str">
        <f>HYPERLINK("https://twitter.com/petrogustavo/status/1275077822764077058","1275077822764077058")</f>
        <v>1275077822764077058</v>
      </c>
      <c r="F6865" s="7" t="s">
        <v>17</v>
      </c>
      <c r="G6865" s="7">
        <v>3888624</v>
      </c>
      <c r="H6865" s="7">
        <v>2418</v>
      </c>
      <c r="I6865" s="7">
        <v>5</v>
      </c>
      <c r="J6865" s="7">
        <v>0</v>
      </c>
      <c r="K6865" s="7" t="s">
        <v>18</v>
      </c>
      <c r="L6865" s="8">
        <v>39987.315405092595</v>
      </c>
      <c r="M6865" s="9" t="s">
        <v>19</v>
      </c>
      <c r="N6865" s="9" t="s">
        <v>20</v>
      </c>
      <c r="O6865" s="6" t="str">
        <f>HYPERLINK("https://pbs.twimg.com/profile_images/962471262747529216/Uo8lOkRJ_normal.jpg","View")</f>
        <v>View</v>
      </c>
      <c r="P6865" s="7"/>
    </row>
    <row r="6866" spans="1:16">
      <c r="A6866" s="3">
        <v>44004.891585648147</v>
      </c>
      <c r="B6866" s="4" t="str">
        <f>HYPERLINK("https://twitter.com/petrogustavo","@petrogustavo")</f>
        <v>@petrogustavo</v>
      </c>
      <c r="C6866" s="5" t="s">
        <v>16</v>
      </c>
      <c r="D6866" s="5" t="s">
        <v>6649</v>
      </c>
      <c r="E6866" s="6" t="str">
        <f>HYPERLINK("https://twitter.com/petrogustavo/status/1275094667764412416","1275094667764412416")</f>
        <v>1275094667764412416</v>
      </c>
      <c r="F6866" s="7" t="s">
        <v>17</v>
      </c>
      <c r="G6866" s="7">
        <v>3888738</v>
      </c>
      <c r="H6866" s="7">
        <v>2418</v>
      </c>
      <c r="I6866" s="7">
        <v>241</v>
      </c>
      <c r="J6866" s="7">
        <v>0</v>
      </c>
      <c r="K6866" s="7" t="s">
        <v>18</v>
      </c>
      <c r="L6866" s="8">
        <v>39987.315405092595</v>
      </c>
      <c r="M6866" s="9" t="s">
        <v>19</v>
      </c>
      <c r="N6866" s="9" t="s">
        <v>20</v>
      </c>
      <c r="O6866" s="6" t="str">
        <f>HYPERLINK("https://pbs.twimg.com/profile_images/962471262747529216/Uo8lOkRJ_normal.jpg","View")</f>
        <v>View</v>
      </c>
      <c r="P6866" s="7"/>
    </row>
    <row r="6867" spans="1:16">
      <c r="A6867" s="3">
        <v>44004.894895833335</v>
      </c>
      <c r="B6867" s="4" t="str">
        <f>HYPERLINK("https://twitter.com/petrogustavo","@petrogustavo")</f>
        <v>@petrogustavo</v>
      </c>
      <c r="C6867" s="5" t="s">
        <v>16</v>
      </c>
      <c r="D6867" s="5" t="s">
        <v>6650</v>
      </c>
      <c r="E6867" s="6" t="str">
        <f>HYPERLINK("https://twitter.com/petrogustavo/status/1275095868245512194","1275095868245512194")</f>
        <v>1275095868245512194</v>
      </c>
      <c r="F6867" s="7" t="s">
        <v>17</v>
      </c>
      <c r="G6867" s="7">
        <v>3888738</v>
      </c>
      <c r="H6867" s="7">
        <v>2418</v>
      </c>
      <c r="I6867" s="7">
        <v>1063</v>
      </c>
      <c r="J6867" s="7">
        <v>0</v>
      </c>
      <c r="K6867" s="7" t="s">
        <v>18</v>
      </c>
      <c r="L6867" s="8">
        <v>39987.315405092595</v>
      </c>
      <c r="M6867" s="9" t="s">
        <v>19</v>
      </c>
      <c r="N6867" s="9" t="s">
        <v>20</v>
      </c>
      <c r="O6867" s="6" t="str">
        <f>HYPERLINK("https://pbs.twimg.com/profile_images/962471262747529216/Uo8lOkRJ_normal.jpg","View")</f>
        <v>View</v>
      </c>
      <c r="P6867" s="7"/>
    </row>
    <row r="6868" spans="1:16">
      <c r="A6868" s="3">
        <v>44004.922129629631</v>
      </c>
      <c r="B6868" s="4" t="str">
        <f>HYPERLINK("https://twitter.com/petrogustavo","@petrogustavo")</f>
        <v>@petrogustavo</v>
      </c>
      <c r="C6868" s="5" t="s">
        <v>16</v>
      </c>
      <c r="D6868" s="5" t="s">
        <v>6651</v>
      </c>
      <c r="E6868" s="6" t="str">
        <f>HYPERLINK("https://twitter.com/petrogustavo/status/1275105734750019584","1275105734750019584")</f>
        <v>1275105734750019584</v>
      </c>
      <c r="F6868" s="7" t="s">
        <v>17</v>
      </c>
      <c r="G6868" s="7">
        <v>3888734</v>
      </c>
      <c r="H6868" s="7">
        <v>2418</v>
      </c>
      <c r="I6868" s="7">
        <v>351</v>
      </c>
      <c r="J6868" s="7">
        <v>1068</v>
      </c>
      <c r="K6868" s="7" t="s">
        <v>18</v>
      </c>
      <c r="L6868" s="8">
        <v>39987.315405092595</v>
      </c>
      <c r="M6868" s="9" t="s">
        <v>19</v>
      </c>
      <c r="N6868" s="9" t="s">
        <v>20</v>
      </c>
      <c r="O6868" s="6" t="str">
        <f>HYPERLINK("https://pbs.twimg.com/profile_images/962471262747529216/Uo8lOkRJ_normal.jpg","View")</f>
        <v>View</v>
      </c>
      <c r="P6868" s="7"/>
    </row>
    <row r="6869" spans="1:16">
      <c r="A6869" s="3">
        <v>44004.980405092589</v>
      </c>
      <c r="B6869" s="4" t="str">
        <f>HYPERLINK("https://twitter.com/petrogustavo","@petrogustavo")</f>
        <v>@petrogustavo</v>
      </c>
      <c r="C6869" s="5" t="s">
        <v>16</v>
      </c>
      <c r="D6869" s="5" t="s">
        <v>6652</v>
      </c>
      <c r="E6869" s="6" t="str">
        <f>HYPERLINK("https://twitter.com/petrogustavo/status/1275126855356514304","1275126855356514304")</f>
        <v>1275126855356514304</v>
      </c>
      <c r="F6869" s="7" t="s">
        <v>17</v>
      </c>
      <c r="G6869" s="7">
        <v>3888816</v>
      </c>
      <c r="H6869" s="7">
        <v>2418</v>
      </c>
      <c r="I6869" s="7">
        <v>195</v>
      </c>
      <c r="J6869" s="7">
        <v>661</v>
      </c>
      <c r="K6869" s="7" t="s">
        <v>18</v>
      </c>
      <c r="L6869" s="8">
        <v>39987.315405092595</v>
      </c>
      <c r="M6869" s="9" t="s">
        <v>19</v>
      </c>
      <c r="N6869" s="9" t="s">
        <v>20</v>
      </c>
      <c r="O6869" s="6" t="str">
        <f>HYPERLINK("https://pbs.twimg.com/profile_images/962471262747529216/Uo8lOkRJ_normal.jpg","View")</f>
        <v>View</v>
      </c>
      <c r="P6869" s="7"/>
    </row>
    <row r="6870" spans="1:16">
      <c r="A6870" s="3">
        <v>44004.980868055558</v>
      </c>
      <c r="B6870" s="4" t="str">
        <f>HYPERLINK("https://twitter.com/petrogustavo","@petrogustavo")</f>
        <v>@petrogustavo</v>
      </c>
      <c r="C6870" s="5" t="s">
        <v>16</v>
      </c>
      <c r="D6870" s="5" t="s">
        <v>6653</v>
      </c>
      <c r="E6870" s="6" t="str">
        <f>HYPERLINK("https://twitter.com/petrogustavo/status/1275127023426560005","1275127023426560005")</f>
        <v>1275127023426560005</v>
      </c>
      <c r="F6870" s="7" t="s">
        <v>17</v>
      </c>
      <c r="G6870" s="7">
        <v>3888816</v>
      </c>
      <c r="H6870" s="7">
        <v>2418</v>
      </c>
      <c r="I6870" s="7">
        <v>1059</v>
      </c>
      <c r="J6870" s="7">
        <v>0</v>
      </c>
      <c r="K6870" s="7" t="s">
        <v>18</v>
      </c>
      <c r="L6870" s="8">
        <v>39987.315405092595</v>
      </c>
      <c r="M6870" s="9" t="s">
        <v>19</v>
      </c>
      <c r="N6870" s="9" t="s">
        <v>20</v>
      </c>
      <c r="O6870" s="6" t="str">
        <f>HYPERLINK("https://pbs.twimg.com/profile_images/962471262747529216/Uo8lOkRJ_normal.jpg","View")</f>
        <v>View</v>
      </c>
      <c r="P6870" s="7"/>
    </row>
    <row r="6871" spans="1:16">
      <c r="A6871" s="3">
        <v>44005.042812500003</v>
      </c>
      <c r="B6871" s="4" t="str">
        <f>HYPERLINK("https://twitter.com/petrogustavo","@petrogustavo")</f>
        <v>@petrogustavo</v>
      </c>
      <c r="C6871" s="5" t="s">
        <v>16</v>
      </c>
      <c r="D6871" s="5" t="s">
        <v>6654</v>
      </c>
      <c r="E6871" s="6" t="str">
        <f>HYPERLINK("https://twitter.com/petrogustavo/status/1275149472360812544","1275149472360812544")</f>
        <v>1275149472360812544</v>
      </c>
      <c r="F6871" s="7" t="s">
        <v>32</v>
      </c>
      <c r="G6871" s="7">
        <v>3888869</v>
      </c>
      <c r="H6871" s="7">
        <v>2418</v>
      </c>
      <c r="I6871" s="7">
        <v>132</v>
      </c>
      <c r="J6871" s="7">
        <v>0</v>
      </c>
      <c r="K6871" s="7" t="s">
        <v>18</v>
      </c>
      <c r="L6871" s="8">
        <v>39987.315405092595</v>
      </c>
      <c r="M6871" s="9" t="s">
        <v>19</v>
      </c>
      <c r="N6871" s="9" t="s">
        <v>20</v>
      </c>
      <c r="O6871" s="6" t="str">
        <f>HYPERLINK("https://pbs.twimg.com/profile_images/962471262747529216/Uo8lOkRJ_normal.jpg","View")</f>
        <v>View</v>
      </c>
      <c r="P6871" s="7"/>
    </row>
    <row r="6872" spans="1:16">
      <c r="A6872" s="3">
        <v>44005.189212962963</v>
      </c>
      <c r="B6872" s="4" t="str">
        <f>HYPERLINK("https://twitter.com/petrogustavo","@petrogustavo")</f>
        <v>@petrogustavo</v>
      </c>
      <c r="C6872" s="5" t="s">
        <v>16</v>
      </c>
      <c r="D6872" s="5" t="s">
        <v>6655</v>
      </c>
      <c r="E6872" s="6" t="str">
        <f>HYPERLINK("https://twitter.com/petrogustavo/status/1275202522555265024","1275202522555265024")</f>
        <v>1275202522555265024</v>
      </c>
      <c r="F6872" s="7" t="s">
        <v>32</v>
      </c>
      <c r="G6872" s="7">
        <v>3889021</v>
      </c>
      <c r="H6872" s="7">
        <v>2417</v>
      </c>
      <c r="I6872" s="7">
        <v>425</v>
      </c>
      <c r="J6872" s="7">
        <v>0</v>
      </c>
      <c r="K6872" s="7" t="s">
        <v>18</v>
      </c>
      <c r="L6872" s="8">
        <v>39987.315405092595</v>
      </c>
      <c r="M6872" s="9" t="s">
        <v>19</v>
      </c>
      <c r="N6872" s="9" t="s">
        <v>20</v>
      </c>
      <c r="O6872" s="6" t="str">
        <f>HYPERLINK("https://pbs.twimg.com/profile_images/962471262747529216/Uo8lOkRJ_normal.jpg","View")</f>
        <v>View</v>
      </c>
      <c r="P6872" s="7"/>
    </row>
    <row r="6873" spans="1:16">
      <c r="A6873" s="3">
        <v>44005.18959490741</v>
      </c>
      <c r="B6873" s="4" t="str">
        <f>HYPERLINK("https://twitter.com/petrogustavo","@petrogustavo")</f>
        <v>@petrogustavo</v>
      </c>
      <c r="C6873" s="5" t="s">
        <v>16</v>
      </c>
      <c r="D6873" s="5" t="s">
        <v>6656</v>
      </c>
      <c r="E6873" s="6" t="str">
        <f>HYPERLINK("https://twitter.com/petrogustavo/status/1275202663714521088","1275202663714521088")</f>
        <v>1275202663714521088</v>
      </c>
      <c r="F6873" s="7" t="s">
        <v>32</v>
      </c>
      <c r="G6873" s="7">
        <v>3889021</v>
      </c>
      <c r="H6873" s="7">
        <v>2417</v>
      </c>
      <c r="I6873" s="7">
        <v>121</v>
      </c>
      <c r="J6873" s="7">
        <v>0</v>
      </c>
      <c r="K6873" s="7" t="s">
        <v>18</v>
      </c>
      <c r="L6873" s="8">
        <v>39987.315405092595</v>
      </c>
      <c r="M6873" s="9" t="s">
        <v>19</v>
      </c>
      <c r="N6873" s="9" t="s">
        <v>20</v>
      </c>
      <c r="O6873" s="6" t="str">
        <f>HYPERLINK("https://pbs.twimg.com/profile_images/962471262747529216/Uo8lOkRJ_normal.jpg","View")</f>
        <v>View</v>
      </c>
      <c r="P6873" s="7"/>
    </row>
    <row r="6874" spans="1:16">
      <c r="A6874" s="3">
        <v>44005.270428240736</v>
      </c>
      <c r="B6874" s="4" t="str">
        <f>HYPERLINK("https://twitter.com/petrogustavo","@petrogustavo")</f>
        <v>@petrogustavo</v>
      </c>
      <c r="C6874" s="5" t="s">
        <v>16</v>
      </c>
      <c r="D6874" s="5" t="s">
        <v>6657</v>
      </c>
      <c r="E6874" s="6" t="str">
        <f>HYPERLINK("https://twitter.com/petrogustavo/status/1275231956939296770","1275231956939296770")</f>
        <v>1275231956939296770</v>
      </c>
      <c r="F6874" s="7" t="s">
        <v>17</v>
      </c>
      <c r="G6874" s="7">
        <v>3889113</v>
      </c>
      <c r="H6874" s="7">
        <v>2417</v>
      </c>
      <c r="I6874" s="7">
        <v>47</v>
      </c>
      <c r="J6874" s="7">
        <v>0</v>
      </c>
      <c r="K6874" s="7" t="s">
        <v>18</v>
      </c>
      <c r="L6874" s="8">
        <v>39987.315405092595</v>
      </c>
      <c r="M6874" s="9" t="s">
        <v>19</v>
      </c>
      <c r="N6874" s="9" t="s">
        <v>20</v>
      </c>
      <c r="O6874" s="6" t="str">
        <f>HYPERLINK("https://pbs.twimg.com/profile_images/962471262747529216/Uo8lOkRJ_normal.jpg","View")</f>
        <v>View</v>
      </c>
      <c r="P6874" s="7"/>
    </row>
    <row r="6875" spans="1:16">
      <c r="A6875" s="3">
        <v>44005.271851851852</v>
      </c>
      <c r="B6875" s="4" t="str">
        <f>HYPERLINK("https://twitter.com/petrogustavo","@petrogustavo")</f>
        <v>@petrogustavo</v>
      </c>
      <c r="C6875" s="5" t="s">
        <v>16</v>
      </c>
      <c r="D6875" s="5" t="s">
        <v>6658</v>
      </c>
      <c r="E6875" s="6" t="str">
        <f>HYPERLINK("https://twitter.com/petrogustavo/status/1275232473232953349","1275232473232953349")</f>
        <v>1275232473232953349</v>
      </c>
      <c r="F6875" s="7" t="s">
        <v>17</v>
      </c>
      <c r="G6875" s="7">
        <v>3889113</v>
      </c>
      <c r="H6875" s="7">
        <v>2417</v>
      </c>
      <c r="I6875" s="7">
        <v>373</v>
      </c>
      <c r="J6875" s="7">
        <v>1299</v>
      </c>
      <c r="K6875" s="7" t="s">
        <v>18</v>
      </c>
      <c r="L6875" s="8">
        <v>39987.315405092595</v>
      </c>
      <c r="M6875" s="9" t="s">
        <v>19</v>
      </c>
      <c r="N6875" s="9" t="s">
        <v>20</v>
      </c>
      <c r="O6875" s="6" t="str">
        <f>HYPERLINK("https://pbs.twimg.com/profile_images/962471262747529216/Uo8lOkRJ_normal.jpg","View")</f>
        <v>View</v>
      </c>
      <c r="P6875" s="7"/>
    </row>
    <row r="6876" spans="1:16">
      <c r="A6876" s="3">
        <v>44005.819050925929</v>
      </c>
      <c r="B6876" s="4" t="str">
        <f>HYPERLINK("https://twitter.com/petrogustavo","@petrogustavo")</f>
        <v>@petrogustavo</v>
      </c>
      <c r="C6876" s="5" t="s">
        <v>16</v>
      </c>
      <c r="D6876" s="5" t="s">
        <v>6659</v>
      </c>
      <c r="E6876" s="6" t="str">
        <f>HYPERLINK("https://twitter.com/petrogustavo/status/1275430768098107400","1275430768098107400")</f>
        <v>1275430768098107400</v>
      </c>
      <c r="F6876" s="7" t="s">
        <v>17</v>
      </c>
      <c r="G6876" s="7">
        <v>3889596</v>
      </c>
      <c r="H6876" s="7">
        <v>2418</v>
      </c>
      <c r="I6876" s="7">
        <v>124</v>
      </c>
      <c r="J6876" s="7">
        <v>380</v>
      </c>
      <c r="K6876" s="7" t="s">
        <v>18</v>
      </c>
      <c r="L6876" s="8">
        <v>39987.315405092595</v>
      </c>
      <c r="M6876" s="9" t="s">
        <v>19</v>
      </c>
      <c r="N6876" s="9" t="s">
        <v>20</v>
      </c>
      <c r="O6876" s="6" t="str">
        <f>HYPERLINK("https://pbs.twimg.com/profile_images/962471262747529216/Uo8lOkRJ_normal.jpg","View")</f>
        <v>View</v>
      </c>
      <c r="P6876" s="7"/>
    </row>
    <row r="6877" spans="1:16">
      <c r="A6877" s="3">
        <v>44005.820138888885</v>
      </c>
      <c r="B6877" s="4" t="str">
        <f>HYPERLINK("https://twitter.com/petrogustavo","@petrogustavo")</f>
        <v>@petrogustavo</v>
      </c>
      <c r="C6877" s="5" t="s">
        <v>16</v>
      </c>
      <c r="D6877" s="5" t="s">
        <v>6660</v>
      </c>
      <c r="E6877" s="6" t="str">
        <f>HYPERLINK("https://twitter.com/petrogustavo/status/1275431165416091648","1275431165416091648")</f>
        <v>1275431165416091648</v>
      </c>
      <c r="F6877" s="7" t="s">
        <v>17</v>
      </c>
      <c r="G6877" s="7">
        <v>3889596</v>
      </c>
      <c r="H6877" s="7">
        <v>2418</v>
      </c>
      <c r="I6877" s="7">
        <v>100</v>
      </c>
      <c r="J6877" s="7">
        <v>0</v>
      </c>
      <c r="K6877" s="7" t="s">
        <v>18</v>
      </c>
      <c r="L6877" s="8">
        <v>39987.315405092595</v>
      </c>
      <c r="M6877" s="9" t="s">
        <v>19</v>
      </c>
      <c r="N6877" s="9" t="s">
        <v>20</v>
      </c>
      <c r="O6877" s="6" t="str">
        <f>HYPERLINK("https://pbs.twimg.com/profile_images/962471262747529216/Uo8lOkRJ_normal.jpg","View")</f>
        <v>View</v>
      </c>
      <c r="P6877" s="7"/>
    </row>
    <row r="6878" spans="1:16">
      <c r="A6878" s="3">
        <v>44005.82030092593</v>
      </c>
      <c r="B6878" s="4" t="str">
        <f>HYPERLINK("https://twitter.com/petrogustavo","@petrogustavo")</f>
        <v>@petrogustavo</v>
      </c>
      <c r="C6878" s="5" t="s">
        <v>16</v>
      </c>
      <c r="D6878" s="5" t="s">
        <v>6661</v>
      </c>
      <c r="E6878" s="6" t="str">
        <f>HYPERLINK("https://twitter.com/petrogustavo/status/1275431220743110658","1275431220743110658")</f>
        <v>1275431220743110658</v>
      </c>
      <c r="F6878" s="7" t="s">
        <v>17</v>
      </c>
      <c r="G6878" s="7">
        <v>3889596</v>
      </c>
      <c r="H6878" s="7">
        <v>2418</v>
      </c>
      <c r="I6878" s="7">
        <v>213</v>
      </c>
      <c r="J6878" s="7">
        <v>0</v>
      </c>
      <c r="K6878" s="7" t="s">
        <v>18</v>
      </c>
      <c r="L6878" s="8">
        <v>39987.315405092595</v>
      </c>
      <c r="M6878" s="9" t="s">
        <v>19</v>
      </c>
      <c r="N6878" s="9" t="s">
        <v>20</v>
      </c>
      <c r="O6878" s="6" t="str">
        <f>HYPERLINK("https://pbs.twimg.com/profile_images/962471262747529216/Uo8lOkRJ_normal.jpg","View")</f>
        <v>View</v>
      </c>
      <c r="P6878" s="7"/>
    </row>
    <row r="6879" spans="1:16">
      <c r="A6879" s="3">
        <v>44005.820636574077</v>
      </c>
      <c r="B6879" s="4" t="str">
        <f>HYPERLINK("https://twitter.com/petrogustavo","@petrogustavo")</f>
        <v>@petrogustavo</v>
      </c>
      <c r="C6879" s="5" t="s">
        <v>16</v>
      </c>
      <c r="D6879" s="5" t="s">
        <v>6662</v>
      </c>
      <c r="E6879" s="6" t="str">
        <f>HYPERLINK("https://twitter.com/petrogustavo/status/1275431343577595906","1275431343577595906")</f>
        <v>1275431343577595906</v>
      </c>
      <c r="F6879" s="7" t="s">
        <v>17</v>
      </c>
      <c r="G6879" s="7">
        <v>3889596</v>
      </c>
      <c r="H6879" s="7">
        <v>2418</v>
      </c>
      <c r="I6879" s="7">
        <v>27</v>
      </c>
      <c r="J6879" s="7">
        <v>0</v>
      </c>
      <c r="K6879" s="7" t="s">
        <v>18</v>
      </c>
      <c r="L6879" s="8">
        <v>39987.315405092595</v>
      </c>
      <c r="M6879" s="9" t="s">
        <v>19</v>
      </c>
      <c r="N6879" s="9" t="s">
        <v>20</v>
      </c>
      <c r="O6879" s="6" t="str">
        <f>HYPERLINK("https://pbs.twimg.com/profile_images/962471262747529216/Uo8lOkRJ_normal.jpg","View")</f>
        <v>View</v>
      </c>
      <c r="P6879" s="7"/>
    </row>
    <row r="6880" spans="1:16">
      <c r="A6880" s="3">
        <v>44005.832083333335</v>
      </c>
      <c r="B6880" s="4" t="str">
        <f>HYPERLINK("https://twitter.com/petrogustavo","@petrogustavo")</f>
        <v>@petrogustavo</v>
      </c>
      <c r="C6880" s="5" t="s">
        <v>16</v>
      </c>
      <c r="D6880" s="5" t="s">
        <v>6663</v>
      </c>
      <c r="E6880" s="6" t="str">
        <f>HYPERLINK("https://twitter.com/petrogustavo/status/1275435493358833665","1275435493358833665")</f>
        <v>1275435493358833665</v>
      </c>
      <c r="F6880" s="7" t="s">
        <v>17</v>
      </c>
      <c r="G6880" s="7">
        <v>3889613</v>
      </c>
      <c r="H6880" s="7">
        <v>2418</v>
      </c>
      <c r="I6880" s="7">
        <v>69</v>
      </c>
      <c r="J6880" s="7">
        <v>216</v>
      </c>
      <c r="K6880" s="7" t="s">
        <v>18</v>
      </c>
      <c r="L6880" s="8">
        <v>39987.315405092595</v>
      </c>
      <c r="M6880" s="9" t="s">
        <v>19</v>
      </c>
      <c r="N6880" s="9" t="s">
        <v>20</v>
      </c>
      <c r="O6880" s="6" t="str">
        <f>HYPERLINK("https://pbs.twimg.com/profile_images/962471262747529216/Uo8lOkRJ_normal.jpg","View")</f>
        <v>View</v>
      </c>
      <c r="P6880" s="7"/>
    </row>
    <row r="6881" spans="1:16">
      <c r="A6881" s="3">
        <v>44005.848599537036</v>
      </c>
      <c r="B6881" s="4" t="str">
        <f>HYPERLINK("https://twitter.com/petrogustavo","@petrogustavo")</f>
        <v>@petrogustavo</v>
      </c>
      <c r="C6881" s="5" t="s">
        <v>16</v>
      </c>
      <c r="D6881" s="5" t="s">
        <v>6664</v>
      </c>
      <c r="E6881" s="6" t="str">
        <f>HYPERLINK("https://twitter.com/petrogustavo/status/1275441478081236993","1275441478081236993")</f>
        <v>1275441478081236993</v>
      </c>
      <c r="F6881" s="7" t="s">
        <v>17</v>
      </c>
      <c r="G6881" s="7">
        <v>3889656</v>
      </c>
      <c r="H6881" s="7">
        <v>2418</v>
      </c>
      <c r="I6881" s="7">
        <v>152</v>
      </c>
      <c r="J6881" s="7">
        <v>575</v>
      </c>
      <c r="K6881" s="7" t="s">
        <v>18</v>
      </c>
      <c r="L6881" s="8">
        <v>39987.315405092595</v>
      </c>
      <c r="M6881" s="9" t="s">
        <v>19</v>
      </c>
      <c r="N6881" s="9" t="s">
        <v>20</v>
      </c>
      <c r="O6881" s="6" t="str">
        <f>HYPERLINK("https://pbs.twimg.com/profile_images/962471262747529216/Uo8lOkRJ_normal.jpg","View")</f>
        <v>View</v>
      </c>
      <c r="P6881" s="7"/>
    </row>
    <row r="6882" spans="1:16">
      <c r="A6882" s="3">
        <v>44005.885706018518</v>
      </c>
      <c r="B6882" s="4" t="str">
        <f>HYPERLINK("https://twitter.com/petrogustavo","@petrogustavo")</f>
        <v>@petrogustavo</v>
      </c>
      <c r="C6882" s="5" t="s">
        <v>16</v>
      </c>
      <c r="D6882" s="5" t="s">
        <v>6665</v>
      </c>
      <c r="E6882" s="6" t="str">
        <f>HYPERLINK("https://twitter.com/petrogustavo/status/1275454922885001217","1275454922885001217")</f>
        <v>1275454922885001217</v>
      </c>
      <c r="F6882" s="7" t="s">
        <v>17</v>
      </c>
      <c r="G6882" s="7">
        <v>3889665</v>
      </c>
      <c r="H6882" s="7">
        <v>2418</v>
      </c>
      <c r="I6882" s="7">
        <v>143</v>
      </c>
      <c r="J6882" s="7">
        <v>0</v>
      </c>
      <c r="K6882" s="7" t="s">
        <v>18</v>
      </c>
      <c r="L6882" s="8">
        <v>39987.315405092595</v>
      </c>
      <c r="M6882" s="9" t="s">
        <v>19</v>
      </c>
      <c r="N6882" s="9" t="s">
        <v>20</v>
      </c>
      <c r="O6882" s="6" t="str">
        <f>HYPERLINK("https://pbs.twimg.com/profile_images/962471262747529216/Uo8lOkRJ_normal.jpg","View")</f>
        <v>View</v>
      </c>
      <c r="P6882" s="7"/>
    </row>
    <row r="6883" spans="1:16">
      <c r="A6883" s="3">
        <v>44005.889444444445</v>
      </c>
      <c r="B6883" s="4" t="str">
        <f>HYPERLINK("https://twitter.com/petrogustavo","@petrogustavo")</f>
        <v>@petrogustavo</v>
      </c>
      <c r="C6883" s="5" t="s">
        <v>16</v>
      </c>
      <c r="D6883" s="5" t="s">
        <v>6666</v>
      </c>
      <c r="E6883" s="6" t="str">
        <f>HYPERLINK("https://twitter.com/petrogustavo/status/1275456277489934336","1275456277489934336")</f>
        <v>1275456277489934336</v>
      </c>
      <c r="F6883" s="7" t="s">
        <v>17</v>
      </c>
      <c r="G6883" s="7">
        <v>3889702</v>
      </c>
      <c r="H6883" s="7">
        <v>2418</v>
      </c>
      <c r="I6883" s="7">
        <v>131</v>
      </c>
      <c r="J6883" s="7">
        <v>485</v>
      </c>
      <c r="K6883" s="7" t="s">
        <v>18</v>
      </c>
      <c r="L6883" s="8">
        <v>39987.315405092595</v>
      </c>
      <c r="M6883" s="9" t="s">
        <v>19</v>
      </c>
      <c r="N6883" s="9" t="s">
        <v>20</v>
      </c>
      <c r="O6883" s="6" t="str">
        <f>HYPERLINK("https://pbs.twimg.com/profile_images/962471262747529216/Uo8lOkRJ_normal.jpg","View")</f>
        <v>View</v>
      </c>
      <c r="P6883" s="7"/>
    </row>
    <row r="6884" spans="1:16">
      <c r="A6884" s="3">
        <v>44006.005208333328</v>
      </c>
      <c r="B6884" s="4" t="str">
        <f>HYPERLINK("https://twitter.com/petrogustavo","@petrogustavo")</f>
        <v>@petrogustavo</v>
      </c>
      <c r="C6884" s="5" t="s">
        <v>16</v>
      </c>
      <c r="D6884" s="5" t="s">
        <v>6667</v>
      </c>
      <c r="E6884" s="6" t="str">
        <f>HYPERLINK("https://twitter.com/petrogustavo/status/1275498229371715587","1275498229371715587")</f>
        <v>1275498229371715587</v>
      </c>
      <c r="F6884" s="7" t="s">
        <v>17</v>
      </c>
      <c r="G6884" s="7">
        <v>3889886</v>
      </c>
      <c r="H6884" s="7">
        <v>2418</v>
      </c>
      <c r="I6884" s="7">
        <v>934</v>
      </c>
      <c r="J6884" s="7">
        <v>0</v>
      </c>
      <c r="K6884" s="7" t="s">
        <v>18</v>
      </c>
      <c r="L6884" s="8">
        <v>39987.315405092595</v>
      </c>
      <c r="M6884" s="9" t="s">
        <v>19</v>
      </c>
      <c r="N6884" s="9" t="s">
        <v>20</v>
      </c>
      <c r="O6884" s="6" t="str">
        <f>HYPERLINK("https://pbs.twimg.com/profile_images/962471262747529216/Uo8lOkRJ_normal.jpg","View")</f>
        <v>View</v>
      </c>
      <c r="P6884" s="7"/>
    </row>
    <row r="6885" spans="1:16">
      <c r="A6885" s="3">
        <v>44006.007777777777</v>
      </c>
      <c r="B6885" s="4" t="str">
        <f>HYPERLINK("https://twitter.com/petrogustavo","@petrogustavo")</f>
        <v>@petrogustavo</v>
      </c>
      <c r="C6885" s="5" t="s">
        <v>16</v>
      </c>
      <c r="D6885" s="5" t="s">
        <v>6668</v>
      </c>
      <c r="E6885" s="6" t="str">
        <f>HYPERLINK("https://twitter.com/petrogustavo/status/1275499159949320192","1275499159949320192")</f>
        <v>1275499159949320192</v>
      </c>
      <c r="F6885" s="7" t="s">
        <v>17</v>
      </c>
      <c r="G6885" s="7">
        <v>3889886</v>
      </c>
      <c r="H6885" s="7">
        <v>2418</v>
      </c>
      <c r="I6885" s="7">
        <v>94</v>
      </c>
      <c r="J6885" s="7">
        <v>245</v>
      </c>
      <c r="K6885" s="7" t="s">
        <v>18</v>
      </c>
      <c r="L6885" s="8">
        <v>39987.315405092595</v>
      </c>
      <c r="M6885" s="9" t="s">
        <v>19</v>
      </c>
      <c r="N6885" s="9" t="s">
        <v>20</v>
      </c>
      <c r="O6885" s="6" t="str">
        <f>HYPERLINK("https://pbs.twimg.com/profile_images/962471262747529216/Uo8lOkRJ_normal.jpg","View")</f>
        <v>View</v>
      </c>
      <c r="P6885" s="7"/>
    </row>
    <row r="6886" spans="1:16">
      <c r="A6886" s="3">
        <v>44006.204189814816</v>
      </c>
      <c r="B6886" s="4" t="str">
        <f>HYPERLINK("https://twitter.com/petrogustavo","@petrogustavo")</f>
        <v>@petrogustavo</v>
      </c>
      <c r="C6886" s="5" t="s">
        <v>16</v>
      </c>
      <c r="D6886" s="5" t="s">
        <v>6669</v>
      </c>
      <c r="E6886" s="6" t="str">
        <f>HYPERLINK("https://twitter.com/petrogustavo/status/1275570338651353088","1275570338651353088")</f>
        <v>1275570338651353088</v>
      </c>
      <c r="F6886" s="7" t="s">
        <v>17</v>
      </c>
      <c r="G6886" s="7">
        <v>3890089</v>
      </c>
      <c r="H6886" s="7">
        <v>2418</v>
      </c>
      <c r="I6886" s="7">
        <v>173</v>
      </c>
      <c r="J6886" s="7">
        <v>605</v>
      </c>
      <c r="K6886" s="7" t="s">
        <v>18</v>
      </c>
      <c r="L6886" s="8">
        <v>39987.315405092595</v>
      </c>
      <c r="M6886" s="9" t="s">
        <v>19</v>
      </c>
      <c r="N6886" s="9" t="s">
        <v>20</v>
      </c>
      <c r="O6886" s="6" t="str">
        <f>HYPERLINK("https://pbs.twimg.com/profile_images/962471262747529216/Uo8lOkRJ_normal.jpg","View")</f>
        <v>View</v>
      </c>
      <c r="P6886" s="7"/>
    </row>
    <row r="6887" spans="1:16">
      <c r="A6887" s="3">
        <v>44006.248425925922</v>
      </c>
      <c r="B6887" s="4" t="str">
        <f>HYPERLINK("https://twitter.com/petrogustavo","@petrogustavo")</f>
        <v>@petrogustavo</v>
      </c>
      <c r="C6887" s="5" t="s">
        <v>16</v>
      </c>
      <c r="D6887" s="5" t="s">
        <v>6670</v>
      </c>
      <c r="E6887" s="6" t="str">
        <f>HYPERLINK("https://twitter.com/petrogustavo/status/1275586371953086465","1275586371953086465")</f>
        <v>1275586371953086465</v>
      </c>
      <c r="F6887" s="7" t="s">
        <v>17</v>
      </c>
      <c r="G6887" s="7">
        <v>3890169</v>
      </c>
      <c r="H6887" s="7">
        <v>2418</v>
      </c>
      <c r="I6887" s="7">
        <v>22</v>
      </c>
      <c r="J6887" s="7">
        <v>0</v>
      </c>
      <c r="K6887" s="7" t="s">
        <v>18</v>
      </c>
      <c r="L6887" s="8">
        <v>39987.315405092595</v>
      </c>
      <c r="M6887" s="9" t="s">
        <v>19</v>
      </c>
      <c r="N6887" s="9" t="s">
        <v>20</v>
      </c>
      <c r="O6887" s="6" t="str">
        <f>HYPERLINK("https://pbs.twimg.com/profile_images/962471262747529216/Uo8lOkRJ_normal.jpg","View")</f>
        <v>View</v>
      </c>
      <c r="P6887" s="7"/>
    </row>
    <row r="6888" spans="1:16">
      <c r="A6888" s="3">
        <v>44006.258842592593</v>
      </c>
      <c r="B6888" s="4" t="str">
        <f>HYPERLINK("https://twitter.com/petrogustavo","@petrogustavo")</f>
        <v>@petrogustavo</v>
      </c>
      <c r="C6888" s="5" t="s">
        <v>16</v>
      </c>
      <c r="D6888" s="5" t="s">
        <v>6671</v>
      </c>
      <c r="E6888" s="6" t="str">
        <f>HYPERLINK("https://twitter.com/petrogustavo/status/1275590143945080832","1275590143945080832")</f>
        <v>1275590143945080832</v>
      </c>
      <c r="F6888" s="7" t="s">
        <v>17</v>
      </c>
      <c r="G6888" s="7">
        <v>3890169</v>
      </c>
      <c r="H6888" s="7">
        <v>2418</v>
      </c>
      <c r="I6888" s="7">
        <v>41</v>
      </c>
      <c r="J6888" s="7">
        <v>0</v>
      </c>
      <c r="K6888" s="7" t="s">
        <v>18</v>
      </c>
      <c r="L6888" s="8">
        <v>39987.315405092595</v>
      </c>
      <c r="M6888" s="9" t="s">
        <v>19</v>
      </c>
      <c r="N6888" s="9" t="s">
        <v>20</v>
      </c>
      <c r="O6888" s="6" t="str">
        <f>HYPERLINK("https://pbs.twimg.com/profile_images/962471262747529216/Uo8lOkRJ_normal.jpg","View")</f>
        <v>View</v>
      </c>
      <c r="P6888" s="7"/>
    </row>
    <row r="6889" spans="1:16">
      <c r="A6889" s="3">
        <v>44006.288946759261</v>
      </c>
      <c r="B6889" s="4" t="str">
        <f>HYPERLINK("https://twitter.com/petrogustavo","@petrogustavo")</f>
        <v>@petrogustavo</v>
      </c>
      <c r="C6889" s="5" t="s">
        <v>16</v>
      </c>
      <c r="D6889" s="5" t="s">
        <v>6672</v>
      </c>
      <c r="E6889" s="6" t="str">
        <f>HYPERLINK("https://twitter.com/petrogustavo/status/1275601055091433472","1275601055091433472")</f>
        <v>1275601055091433472</v>
      </c>
      <c r="F6889" s="7" t="s">
        <v>17</v>
      </c>
      <c r="G6889" s="7">
        <v>3890219</v>
      </c>
      <c r="H6889" s="7">
        <v>2418</v>
      </c>
      <c r="I6889" s="7">
        <v>776</v>
      </c>
      <c r="J6889" s="7">
        <v>0</v>
      </c>
      <c r="K6889" s="7" t="s">
        <v>18</v>
      </c>
      <c r="L6889" s="8">
        <v>39987.315405092595</v>
      </c>
      <c r="M6889" s="9" t="s">
        <v>19</v>
      </c>
      <c r="N6889" s="9" t="s">
        <v>20</v>
      </c>
      <c r="O6889" s="6" t="str">
        <f>HYPERLINK("https://pbs.twimg.com/profile_images/962471262747529216/Uo8lOkRJ_normal.jpg","View")</f>
        <v>View</v>
      </c>
      <c r="P6889" s="7"/>
    </row>
    <row r="6890" spans="1:16">
      <c r="A6890" s="3">
        <v>44006.302743055552</v>
      </c>
      <c r="B6890" s="4" t="str">
        <f>HYPERLINK("https://twitter.com/petrogustavo","@petrogustavo")</f>
        <v>@petrogustavo</v>
      </c>
      <c r="C6890" s="5" t="s">
        <v>16</v>
      </c>
      <c r="D6890" s="5" t="s">
        <v>6673</v>
      </c>
      <c r="E6890" s="6" t="str">
        <f>HYPERLINK("https://twitter.com/petrogustavo/status/1275606054601138178","1275606054601138178")</f>
        <v>1275606054601138178</v>
      </c>
      <c r="F6890" s="7" t="s">
        <v>17</v>
      </c>
      <c r="G6890" s="7">
        <v>3890219</v>
      </c>
      <c r="H6890" s="7">
        <v>2418</v>
      </c>
      <c r="I6890" s="7">
        <v>84</v>
      </c>
      <c r="J6890" s="7">
        <v>0</v>
      </c>
      <c r="K6890" s="7" t="s">
        <v>18</v>
      </c>
      <c r="L6890" s="8">
        <v>39987.315405092595</v>
      </c>
      <c r="M6890" s="9" t="s">
        <v>19</v>
      </c>
      <c r="N6890" s="9" t="s">
        <v>20</v>
      </c>
      <c r="O6890" s="6" t="str">
        <f>HYPERLINK("https://pbs.twimg.com/profile_images/962471262747529216/Uo8lOkRJ_normal.jpg","View")</f>
        <v>View</v>
      </c>
      <c r="P6890" s="7"/>
    </row>
    <row r="6891" spans="1:16">
      <c r="A6891" s="3">
        <v>44006.310104166667</v>
      </c>
      <c r="B6891" s="4" t="str">
        <f>HYPERLINK("https://twitter.com/petrogustavo","@petrogustavo")</f>
        <v>@petrogustavo</v>
      </c>
      <c r="C6891" s="5" t="s">
        <v>16</v>
      </c>
      <c r="D6891" s="5" t="s">
        <v>6674</v>
      </c>
      <c r="E6891" s="6" t="str">
        <f>HYPERLINK("https://twitter.com/petrogustavo/status/1275608722568622083","1275608722568622083")</f>
        <v>1275608722568622083</v>
      </c>
      <c r="F6891" s="7" t="s">
        <v>17</v>
      </c>
      <c r="G6891" s="7">
        <v>3890266</v>
      </c>
      <c r="H6891" s="7">
        <v>2418</v>
      </c>
      <c r="I6891" s="7">
        <v>43</v>
      </c>
      <c r="J6891" s="7">
        <v>0</v>
      </c>
      <c r="K6891" s="7" t="s">
        <v>18</v>
      </c>
      <c r="L6891" s="8">
        <v>39987.315405092595</v>
      </c>
      <c r="M6891" s="9" t="s">
        <v>19</v>
      </c>
      <c r="N6891" s="9" t="s">
        <v>20</v>
      </c>
      <c r="O6891" s="6" t="str">
        <f>HYPERLINK("https://pbs.twimg.com/profile_images/962471262747529216/Uo8lOkRJ_normal.jpg","View")</f>
        <v>View</v>
      </c>
      <c r="P6891" s="7"/>
    </row>
    <row r="6892" spans="1:16">
      <c r="A6892" s="3">
        <v>44006.312268518523</v>
      </c>
      <c r="B6892" s="4" t="str">
        <f>HYPERLINK("https://twitter.com/petrogustavo","@petrogustavo")</f>
        <v>@petrogustavo</v>
      </c>
      <c r="C6892" s="5" t="s">
        <v>16</v>
      </c>
      <c r="D6892" s="5" t="s">
        <v>6675</v>
      </c>
      <c r="E6892" s="6" t="str">
        <f>HYPERLINK("https://twitter.com/petrogustavo/status/1275609505724850178","1275609505724850178")</f>
        <v>1275609505724850178</v>
      </c>
      <c r="F6892" s="7" t="s">
        <v>17</v>
      </c>
      <c r="G6892" s="7">
        <v>3890266</v>
      </c>
      <c r="H6892" s="7">
        <v>2418</v>
      </c>
      <c r="I6892" s="7">
        <v>200</v>
      </c>
      <c r="J6892" s="7">
        <v>534</v>
      </c>
      <c r="K6892" s="7" t="s">
        <v>18</v>
      </c>
      <c r="L6892" s="8">
        <v>39987.315405092595</v>
      </c>
      <c r="M6892" s="9" t="s">
        <v>19</v>
      </c>
      <c r="N6892" s="9" t="s">
        <v>20</v>
      </c>
      <c r="O6892" s="6" t="str">
        <f>HYPERLINK("https://pbs.twimg.com/profile_images/962471262747529216/Uo8lOkRJ_normal.jpg","View")</f>
        <v>View</v>
      </c>
      <c r="P6892" s="7"/>
    </row>
    <row r="6893" spans="1:16">
      <c r="A6893" s="3">
        <v>44006.317800925928</v>
      </c>
      <c r="B6893" s="4" t="str">
        <f>HYPERLINK("https://twitter.com/petrogustavo","@petrogustavo")</f>
        <v>@petrogustavo</v>
      </c>
      <c r="C6893" s="5" t="s">
        <v>16</v>
      </c>
      <c r="D6893" s="5" t="s">
        <v>6676</v>
      </c>
      <c r="E6893" s="6" t="str">
        <f>HYPERLINK("https://twitter.com/petrogustavo/status/1275611511235514368","1275611511235514368")</f>
        <v>1275611511235514368</v>
      </c>
      <c r="F6893" s="7" t="s">
        <v>17</v>
      </c>
      <c r="G6893" s="7">
        <v>3890266</v>
      </c>
      <c r="H6893" s="7">
        <v>2418</v>
      </c>
      <c r="I6893" s="7">
        <v>154</v>
      </c>
      <c r="J6893" s="7">
        <v>359</v>
      </c>
      <c r="K6893" s="7" t="s">
        <v>18</v>
      </c>
      <c r="L6893" s="8">
        <v>39987.315405092595</v>
      </c>
      <c r="M6893" s="9" t="s">
        <v>19</v>
      </c>
      <c r="N6893" s="9" t="s">
        <v>20</v>
      </c>
      <c r="O6893" s="6" t="str">
        <f>HYPERLINK("https://pbs.twimg.com/profile_images/962471262747529216/Uo8lOkRJ_normal.jpg","View")</f>
        <v>View</v>
      </c>
      <c r="P6893" s="7"/>
    </row>
    <row r="6894" spans="1:16">
      <c r="A6894" s="3">
        <v>44006.322337962964</v>
      </c>
      <c r="B6894" s="4" t="str">
        <f>HYPERLINK("https://twitter.com/petrogustavo","@petrogustavo")</f>
        <v>@petrogustavo</v>
      </c>
      <c r="C6894" s="5" t="s">
        <v>16</v>
      </c>
      <c r="D6894" s="5" t="s">
        <v>6677</v>
      </c>
      <c r="E6894" s="6" t="str">
        <f>HYPERLINK("https://twitter.com/petrogustavo/status/1275613155033591809","1275613155033591809")</f>
        <v>1275613155033591809</v>
      </c>
      <c r="F6894" s="7" t="s">
        <v>17</v>
      </c>
      <c r="G6894" s="7">
        <v>3890266</v>
      </c>
      <c r="H6894" s="7">
        <v>2418</v>
      </c>
      <c r="I6894" s="7">
        <v>31</v>
      </c>
      <c r="J6894" s="7">
        <v>0</v>
      </c>
      <c r="K6894" s="7" t="s">
        <v>18</v>
      </c>
      <c r="L6894" s="8">
        <v>39987.315405092595</v>
      </c>
      <c r="M6894" s="9" t="s">
        <v>19</v>
      </c>
      <c r="N6894" s="9" t="s">
        <v>20</v>
      </c>
      <c r="O6894" s="6" t="str">
        <f>HYPERLINK("https://pbs.twimg.com/profile_images/962471262747529216/Uo8lOkRJ_normal.jpg","View")</f>
        <v>View</v>
      </c>
      <c r="P6894" s="7"/>
    </row>
    <row r="6895" spans="1:16">
      <c r="A6895" s="3">
        <v>44006.335138888884</v>
      </c>
      <c r="B6895" s="4" t="str">
        <f>HYPERLINK("https://twitter.com/petrogustavo","@petrogustavo")</f>
        <v>@petrogustavo</v>
      </c>
      <c r="C6895" s="5" t="s">
        <v>16</v>
      </c>
      <c r="D6895" s="5" t="s">
        <v>6678</v>
      </c>
      <c r="E6895" s="6" t="str">
        <f>HYPERLINK("https://twitter.com/petrogustavo/status/1275617792163753984","1275617792163753984")</f>
        <v>1275617792163753984</v>
      </c>
      <c r="F6895" s="7" t="s">
        <v>17</v>
      </c>
      <c r="G6895" s="7">
        <v>3890327</v>
      </c>
      <c r="H6895" s="7">
        <v>2418</v>
      </c>
      <c r="I6895" s="7">
        <v>66</v>
      </c>
      <c r="J6895" s="7">
        <v>207</v>
      </c>
      <c r="K6895" s="7" t="s">
        <v>18</v>
      </c>
      <c r="L6895" s="8">
        <v>39987.315405092595</v>
      </c>
      <c r="M6895" s="9" t="s">
        <v>19</v>
      </c>
      <c r="N6895" s="9" t="s">
        <v>20</v>
      </c>
      <c r="O6895" s="6" t="str">
        <f>HYPERLINK("https://pbs.twimg.com/profile_images/962471262747529216/Uo8lOkRJ_normal.jpg","View")</f>
        <v>View</v>
      </c>
      <c r="P6895" s="7"/>
    </row>
    <row r="6896" spans="1:16">
      <c r="A6896" s="3">
        <v>44006.751550925925</v>
      </c>
      <c r="B6896" s="4" t="str">
        <f>HYPERLINK("https://twitter.com/petrogustavo","@petrogustavo")</f>
        <v>@petrogustavo</v>
      </c>
      <c r="C6896" s="5" t="s">
        <v>16</v>
      </c>
      <c r="D6896" s="5" t="s">
        <v>6679</v>
      </c>
      <c r="E6896" s="6" t="str">
        <f>HYPERLINK("https://twitter.com/petrogustavo/status/1275768696246542337","1275768696246542337")</f>
        <v>1275768696246542337</v>
      </c>
      <c r="F6896" s="7" t="s">
        <v>17</v>
      </c>
      <c r="G6896" s="7">
        <v>3890591</v>
      </c>
      <c r="H6896" s="7">
        <v>2418</v>
      </c>
      <c r="I6896" s="7">
        <v>465</v>
      </c>
      <c r="J6896" s="7">
        <v>0</v>
      </c>
      <c r="K6896" s="7" t="s">
        <v>18</v>
      </c>
      <c r="L6896" s="8">
        <v>39987.315405092595</v>
      </c>
      <c r="M6896" s="9" t="s">
        <v>19</v>
      </c>
      <c r="N6896" s="9" t="s">
        <v>20</v>
      </c>
      <c r="O6896" s="6" t="str">
        <f>HYPERLINK("https://pbs.twimg.com/profile_images/962471262747529216/Uo8lOkRJ_normal.jpg","View")</f>
        <v>View</v>
      </c>
      <c r="P6896" s="7"/>
    </row>
    <row r="6897" spans="1:16">
      <c r="A6897" s="3">
        <v>44006.766932870371</v>
      </c>
      <c r="B6897" s="4" t="str">
        <f>HYPERLINK("https://twitter.com/petrogustavo","@petrogustavo")</f>
        <v>@petrogustavo</v>
      </c>
      <c r="C6897" s="5" t="s">
        <v>16</v>
      </c>
      <c r="D6897" s="5" t="s">
        <v>6680</v>
      </c>
      <c r="E6897" s="6" t="str">
        <f>HYPERLINK("https://twitter.com/petrogustavo/status/1275774272447840259","1275774272447840259")</f>
        <v>1275774272447840259</v>
      </c>
      <c r="F6897" s="7" t="s">
        <v>17</v>
      </c>
      <c r="G6897" s="7">
        <v>3890618</v>
      </c>
      <c r="H6897" s="7">
        <v>2418</v>
      </c>
      <c r="I6897" s="7">
        <v>504</v>
      </c>
      <c r="J6897" s="7">
        <v>1280</v>
      </c>
      <c r="K6897" s="7" t="s">
        <v>18</v>
      </c>
      <c r="L6897" s="8">
        <v>39987.315405092595</v>
      </c>
      <c r="M6897" s="9" t="s">
        <v>19</v>
      </c>
      <c r="N6897" s="9" t="s">
        <v>20</v>
      </c>
      <c r="O6897" s="6" t="str">
        <f>HYPERLINK("https://pbs.twimg.com/profile_images/962471262747529216/Uo8lOkRJ_normal.jpg","View")</f>
        <v>View</v>
      </c>
      <c r="P6897" s="7"/>
    </row>
    <row r="6898" spans="1:16">
      <c r="A6898" s="3">
        <v>44006.771018518513</v>
      </c>
      <c r="B6898" s="4" t="str">
        <f>HYPERLINK("https://twitter.com/petrogustavo","@petrogustavo")</f>
        <v>@petrogustavo</v>
      </c>
      <c r="C6898" s="5" t="s">
        <v>16</v>
      </c>
      <c r="D6898" s="5" t="s">
        <v>6681</v>
      </c>
      <c r="E6898" s="6" t="str">
        <f>HYPERLINK("https://twitter.com/petrogustavo/status/1275775750927519744","1275775750927519744")</f>
        <v>1275775750927519744</v>
      </c>
      <c r="F6898" s="7" t="s">
        <v>17</v>
      </c>
      <c r="G6898" s="7">
        <v>3890618</v>
      </c>
      <c r="H6898" s="7">
        <v>2418</v>
      </c>
      <c r="I6898" s="7">
        <v>174</v>
      </c>
      <c r="J6898" s="7">
        <v>340</v>
      </c>
      <c r="K6898" s="7" t="s">
        <v>18</v>
      </c>
      <c r="L6898" s="8">
        <v>39987.315405092595</v>
      </c>
      <c r="M6898" s="9" t="s">
        <v>19</v>
      </c>
      <c r="N6898" s="9" t="s">
        <v>20</v>
      </c>
      <c r="O6898" s="6" t="str">
        <f>HYPERLINK("https://pbs.twimg.com/profile_images/962471262747529216/Uo8lOkRJ_normal.jpg","View")</f>
        <v>View</v>
      </c>
      <c r="P6898" s="7"/>
    </row>
    <row r="6899" spans="1:16">
      <c r="A6899" s="3">
        <v>44006.774293981478</v>
      </c>
      <c r="B6899" s="4" t="str">
        <f>HYPERLINK("https://twitter.com/petrogustavo","@petrogustavo")</f>
        <v>@petrogustavo</v>
      </c>
      <c r="C6899" s="5" t="s">
        <v>16</v>
      </c>
      <c r="D6899" s="5" t="s">
        <v>6682</v>
      </c>
      <c r="E6899" s="6" t="str">
        <f>HYPERLINK("https://twitter.com/petrogustavo/status/1275776936548208640","1275776936548208640")</f>
        <v>1275776936548208640</v>
      </c>
      <c r="F6899" s="7" t="s">
        <v>17</v>
      </c>
      <c r="G6899" s="7">
        <v>3890618</v>
      </c>
      <c r="H6899" s="7">
        <v>2418</v>
      </c>
      <c r="I6899" s="7">
        <v>63</v>
      </c>
      <c r="J6899" s="7">
        <v>141</v>
      </c>
      <c r="K6899" s="7" t="s">
        <v>18</v>
      </c>
      <c r="L6899" s="8">
        <v>39987.315405092595</v>
      </c>
      <c r="M6899" s="9" t="s">
        <v>19</v>
      </c>
      <c r="N6899" s="9" t="s">
        <v>20</v>
      </c>
      <c r="O6899" s="6" t="str">
        <f>HYPERLINK("https://pbs.twimg.com/profile_images/962471262747529216/Uo8lOkRJ_normal.jpg","View")</f>
        <v>View</v>
      </c>
      <c r="P6899" s="7"/>
    </row>
    <row r="6900" spans="1:16">
      <c r="A6900" s="3">
        <v>44006.94326388889</v>
      </c>
      <c r="B6900" s="4" t="str">
        <f>HYPERLINK("https://twitter.com/petrogustavo","@petrogustavo")</f>
        <v>@petrogustavo</v>
      </c>
      <c r="C6900" s="5" t="s">
        <v>16</v>
      </c>
      <c r="D6900" s="5" t="s">
        <v>6683</v>
      </c>
      <c r="E6900" s="6" t="str">
        <f>HYPERLINK("https://twitter.com/petrogustavo/status/1275838169640923139","1275838169640923139")</f>
        <v>1275838169640923139</v>
      </c>
      <c r="F6900" s="7" t="s">
        <v>32</v>
      </c>
      <c r="G6900" s="7">
        <v>3890896</v>
      </c>
      <c r="H6900" s="7">
        <v>2418</v>
      </c>
      <c r="I6900" s="7">
        <v>3244</v>
      </c>
      <c r="J6900" s="7">
        <v>0</v>
      </c>
      <c r="K6900" s="7" t="s">
        <v>18</v>
      </c>
      <c r="L6900" s="8">
        <v>39987.315405092595</v>
      </c>
      <c r="M6900" s="9" t="s">
        <v>19</v>
      </c>
      <c r="N6900" s="9" t="s">
        <v>20</v>
      </c>
      <c r="O6900" s="6" t="str">
        <f>HYPERLINK("https://pbs.twimg.com/profile_images/962471262747529216/Uo8lOkRJ_normal.jpg","View")</f>
        <v>View</v>
      </c>
      <c r="P6900" s="7"/>
    </row>
    <row r="6901" spans="1:16">
      <c r="A6901" s="3">
        <v>44007.213321759264</v>
      </c>
      <c r="B6901" s="4" t="str">
        <f>HYPERLINK("https://twitter.com/petrogustavo","@petrogustavo")</f>
        <v>@petrogustavo</v>
      </c>
      <c r="C6901" s="5" t="s">
        <v>16</v>
      </c>
      <c r="D6901" s="5" t="s">
        <v>6684</v>
      </c>
      <c r="E6901" s="6" t="str">
        <f>HYPERLINK("https://twitter.com/petrogustavo/status/1275936037882286080","1275936037882286080")</f>
        <v>1275936037882286080</v>
      </c>
      <c r="F6901" s="7" t="s">
        <v>17</v>
      </c>
      <c r="G6901" s="7">
        <v>3891231</v>
      </c>
      <c r="H6901" s="7">
        <v>2418</v>
      </c>
      <c r="I6901" s="7">
        <v>427</v>
      </c>
      <c r="J6901" s="7">
        <v>951</v>
      </c>
      <c r="K6901" s="7" t="s">
        <v>18</v>
      </c>
      <c r="L6901" s="8">
        <v>39987.315405092595</v>
      </c>
      <c r="M6901" s="9" t="s">
        <v>19</v>
      </c>
      <c r="N6901" s="9" t="s">
        <v>20</v>
      </c>
      <c r="O6901" s="6" t="str">
        <f>HYPERLINK("https://pbs.twimg.com/profile_images/962471262747529216/Uo8lOkRJ_normal.jpg","View")</f>
        <v>View</v>
      </c>
      <c r="P6901" s="7"/>
    </row>
    <row r="6902" spans="1:16">
      <c r="A6902" s="3">
        <v>44007.228703703702</v>
      </c>
      <c r="B6902" s="4" t="str">
        <f>HYPERLINK("https://twitter.com/petrogustavo","@petrogustavo")</f>
        <v>@petrogustavo</v>
      </c>
      <c r="C6902" s="5" t="s">
        <v>16</v>
      </c>
      <c r="D6902" s="5" t="s">
        <v>6685</v>
      </c>
      <c r="E6902" s="6" t="str">
        <f>HYPERLINK("https://twitter.com/petrogustavo/status/1275941612376514562","1275941612376514562")</f>
        <v>1275941612376514562</v>
      </c>
      <c r="F6902" s="7" t="s">
        <v>17</v>
      </c>
      <c r="G6902" s="7">
        <v>3891241</v>
      </c>
      <c r="H6902" s="7">
        <v>2418</v>
      </c>
      <c r="I6902" s="7">
        <v>319</v>
      </c>
      <c r="J6902" s="7">
        <v>837</v>
      </c>
      <c r="K6902" s="7" t="s">
        <v>18</v>
      </c>
      <c r="L6902" s="8">
        <v>39987.315405092595</v>
      </c>
      <c r="M6902" s="9" t="s">
        <v>19</v>
      </c>
      <c r="N6902" s="9" t="s">
        <v>20</v>
      </c>
      <c r="O6902" s="6" t="str">
        <f>HYPERLINK("https://pbs.twimg.com/profile_images/962471262747529216/Uo8lOkRJ_normal.jpg","View")</f>
        <v>View</v>
      </c>
      <c r="P6902" s="7"/>
    </row>
    <row r="6903" spans="1:16">
      <c r="A6903" s="3">
        <v>44007.320023148146</v>
      </c>
      <c r="B6903" s="4" t="str">
        <f>HYPERLINK("https://twitter.com/petrogustavo","@petrogustavo")</f>
        <v>@petrogustavo</v>
      </c>
      <c r="C6903" s="5" t="s">
        <v>16</v>
      </c>
      <c r="D6903" s="5" t="s">
        <v>6686</v>
      </c>
      <c r="E6903" s="6" t="str">
        <f>HYPERLINK("https://twitter.com/petrogustavo/status/1275974703308513280","1275974703308513280")</f>
        <v>1275974703308513280</v>
      </c>
      <c r="F6903" s="7" t="s">
        <v>17</v>
      </c>
      <c r="G6903" s="7">
        <v>3891404</v>
      </c>
      <c r="H6903" s="7">
        <v>2418</v>
      </c>
      <c r="I6903" s="7">
        <v>56</v>
      </c>
      <c r="J6903" s="7">
        <v>146</v>
      </c>
      <c r="K6903" s="7" t="s">
        <v>18</v>
      </c>
      <c r="L6903" s="8">
        <v>39987.315405092595</v>
      </c>
      <c r="M6903" s="9" t="s">
        <v>19</v>
      </c>
      <c r="N6903" s="9" t="s">
        <v>20</v>
      </c>
      <c r="O6903" s="6" t="str">
        <f>HYPERLINK("https://pbs.twimg.com/profile_images/962471262747529216/Uo8lOkRJ_normal.jpg","View")</f>
        <v>View</v>
      </c>
      <c r="P6903" s="7"/>
    </row>
    <row r="6904" spans="1:16">
      <c r="A6904" s="3">
        <v>44007.334664351853</v>
      </c>
      <c r="B6904" s="4" t="str">
        <f>HYPERLINK("https://twitter.com/petrogustavo","@petrogustavo")</f>
        <v>@petrogustavo</v>
      </c>
      <c r="C6904" s="5" t="s">
        <v>16</v>
      </c>
      <c r="D6904" s="5" t="s">
        <v>6687</v>
      </c>
      <c r="E6904" s="6" t="str">
        <f>HYPERLINK("https://twitter.com/petrogustavo/status/1275980009862291459","1275980009862291459")</f>
        <v>1275980009862291459</v>
      </c>
      <c r="F6904" s="7" t="s">
        <v>17</v>
      </c>
      <c r="G6904" s="7">
        <v>3891450</v>
      </c>
      <c r="H6904" s="7">
        <v>2418</v>
      </c>
      <c r="I6904" s="7">
        <v>170</v>
      </c>
      <c r="J6904" s="7">
        <v>471</v>
      </c>
      <c r="K6904" s="7" t="s">
        <v>18</v>
      </c>
      <c r="L6904" s="8">
        <v>39987.315405092595</v>
      </c>
      <c r="M6904" s="9" t="s">
        <v>19</v>
      </c>
      <c r="N6904" s="9" t="s">
        <v>20</v>
      </c>
      <c r="O6904" s="6" t="str">
        <f>HYPERLINK("https://pbs.twimg.com/profile_images/962471262747529216/Uo8lOkRJ_normal.jpg","View")</f>
        <v>View</v>
      </c>
      <c r="P6904" s="7"/>
    </row>
    <row r="6905" spans="1:16">
      <c r="A6905" s="3">
        <v>44007.336817129632</v>
      </c>
      <c r="B6905" s="4" t="str">
        <f>HYPERLINK("https://twitter.com/petrogustavo","@petrogustavo")</f>
        <v>@petrogustavo</v>
      </c>
      <c r="C6905" s="5" t="s">
        <v>16</v>
      </c>
      <c r="D6905" s="5" t="s">
        <v>6688</v>
      </c>
      <c r="E6905" s="6" t="str">
        <f>HYPERLINK("https://twitter.com/petrogustavo/status/1275980789881212929","1275980789881212929")</f>
        <v>1275980789881212929</v>
      </c>
      <c r="F6905" s="7" t="s">
        <v>17</v>
      </c>
      <c r="G6905" s="7">
        <v>3891450</v>
      </c>
      <c r="H6905" s="7">
        <v>2418</v>
      </c>
      <c r="I6905" s="7">
        <v>51</v>
      </c>
      <c r="J6905" s="7">
        <v>202</v>
      </c>
      <c r="K6905" s="7" t="s">
        <v>18</v>
      </c>
      <c r="L6905" s="8">
        <v>39987.315405092595</v>
      </c>
      <c r="M6905" s="9" t="s">
        <v>19</v>
      </c>
      <c r="N6905" s="9" t="s">
        <v>20</v>
      </c>
      <c r="O6905" s="6" t="str">
        <f>HYPERLINK("https://pbs.twimg.com/profile_images/962471262747529216/Uo8lOkRJ_normal.jpg","View")</f>
        <v>View</v>
      </c>
      <c r="P6905" s="7"/>
    </row>
    <row r="6906" spans="1:16">
      <c r="A6906" s="3">
        <v>44007.339745370366</v>
      </c>
      <c r="B6906" s="4" t="str">
        <f>HYPERLINK("https://twitter.com/petrogustavo","@petrogustavo")</f>
        <v>@petrogustavo</v>
      </c>
      <c r="C6906" s="5" t="s">
        <v>16</v>
      </c>
      <c r="D6906" s="5" t="s">
        <v>6689</v>
      </c>
      <c r="E6906" s="6" t="str">
        <f>HYPERLINK("https://twitter.com/petrogustavo/status/1275981851761524736","1275981851761524736")</f>
        <v>1275981851761524736</v>
      </c>
      <c r="F6906" s="7" t="s">
        <v>17</v>
      </c>
      <c r="G6906" s="7">
        <v>3891450</v>
      </c>
      <c r="H6906" s="7">
        <v>2418</v>
      </c>
      <c r="I6906" s="7">
        <v>26</v>
      </c>
      <c r="J6906" s="7">
        <v>90</v>
      </c>
      <c r="K6906" s="7" t="s">
        <v>18</v>
      </c>
      <c r="L6906" s="8">
        <v>39987.315405092595</v>
      </c>
      <c r="M6906" s="9" t="s">
        <v>19</v>
      </c>
      <c r="N6906" s="9" t="s">
        <v>20</v>
      </c>
      <c r="O6906" s="6" t="str">
        <f>HYPERLINK("https://pbs.twimg.com/profile_images/962471262747529216/Uo8lOkRJ_normal.jpg","View")</f>
        <v>View</v>
      </c>
      <c r="P6906" s="7"/>
    </row>
    <row r="6907" spans="1:16">
      <c r="A6907" s="3">
        <v>44007.361701388887</v>
      </c>
      <c r="B6907" s="4" t="str">
        <f>HYPERLINK("https://twitter.com/petrogustavo","@petrogustavo")</f>
        <v>@petrogustavo</v>
      </c>
      <c r="C6907" s="5" t="s">
        <v>16</v>
      </c>
      <c r="D6907" s="5" t="s">
        <v>6690</v>
      </c>
      <c r="E6907" s="6" t="str">
        <f>HYPERLINK("https://twitter.com/petrogustavo/status/1275989806120656897","1275989806120656897")</f>
        <v>1275989806120656897</v>
      </c>
      <c r="F6907" s="7" t="s">
        <v>17</v>
      </c>
      <c r="G6907" s="7">
        <v>3891493</v>
      </c>
      <c r="H6907" s="7">
        <v>2418</v>
      </c>
      <c r="I6907" s="7">
        <v>553</v>
      </c>
      <c r="J6907" s="7">
        <v>0</v>
      </c>
      <c r="K6907" s="7" t="s">
        <v>18</v>
      </c>
      <c r="L6907" s="8">
        <v>39987.315405092595</v>
      </c>
      <c r="M6907" s="9" t="s">
        <v>19</v>
      </c>
      <c r="N6907" s="9" t="s">
        <v>20</v>
      </c>
      <c r="O6907" s="6" t="str">
        <f>HYPERLINK("https://pbs.twimg.com/profile_images/962471262747529216/Uo8lOkRJ_normal.jpg","View")</f>
        <v>View</v>
      </c>
      <c r="P6907" s="7"/>
    </row>
    <row r="6908" spans="1:16">
      <c r="A6908" s="3">
        <v>44007.79991898148</v>
      </c>
      <c r="B6908" s="4" t="str">
        <f>HYPERLINK("https://twitter.com/petrogustavo","@petrogustavo")</f>
        <v>@petrogustavo</v>
      </c>
      <c r="C6908" s="5" t="s">
        <v>16</v>
      </c>
      <c r="D6908" s="5" t="s">
        <v>6691</v>
      </c>
      <c r="E6908" s="6" t="str">
        <f>HYPERLINK("https://twitter.com/petrogustavo/status/1276148611907309573","1276148611907309573")</f>
        <v>1276148611907309573</v>
      </c>
      <c r="F6908" s="7" t="s">
        <v>17</v>
      </c>
      <c r="G6908" s="7">
        <v>3891726</v>
      </c>
      <c r="H6908" s="7">
        <v>2418</v>
      </c>
      <c r="I6908" s="7">
        <v>187</v>
      </c>
      <c r="J6908" s="7">
        <v>0</v>
      </c>
      <c r="K6908" s="7" t="s">
        <v>18</v>
      </c>
      <c r="L6908" s="8">
        <v>39987.315405092595</v>
      </c>
      <c r="M6908" s="9" t="s">
        <v>19</v>
      </c>
      <c r="N6908" s="9" t="s">
        <v>20</v>
      </c>
      <c r="O6908" s="6" t="str">
        <f>HYPERLINK("https://pbs.twimg.com/profile_images/962471262747529216/Uo8lOkRJ_normal.jpg","View")</f>
        <v>View</v>
      </c>
      <c r="P6908" s="7"/>
    </row>
    <row r="6909" spans="1:16">
      <c r="A6909" s="3">
        <v>44007.802951388891</v>
      </c>
      <c r="B6909" s="4" t="str">
        <f>HYPERLINK("https://twitter.com/petrogustavo","@petrogustavo")</f>
        <v>@petrogustavo</v>
      </c>
      <c r="C6909" s="5" t="s">
        <v>16</v>
      </c>
      <c r="D6909" s="5" t="s">
        <v>6692</v>
      </c>
      <c r="E6909" s="6" t="str">
        <f>HYPERLINK("https://twitter.com/petrogustavo/status/1276149712358383616","1276149712358383616")</f>
        <v>1276149712358383616</v>
      </c>
      <c r="F6909" s="7" t="s">
        <v>17</v>
      </c>
      <c r="G6909" s="7">
        <v>3891726</v>
      </c>
      <c r="H6909" s="7">
        <v>2418</v>
      </c>
      <c r="I6909" s="7">
        <v>298</v>
      </c>
      <c r="J6909" s="7">
        <v>0</v>
      </c>
      <c r="K6909" s="7" t="s">
        <v>18</v>
      </c>
      <c r="L6909" s="8">
        <v>39987.315405092595</v>
      </c>
      <c r="M6909" s="9" t="s">
        <v>19</v>
      </c>
      <c r="N6909" s="9" t="s">
        <v>20</v>
      </c>
      <c r="O6909" s="6" t="str">
        <f>HYPERLINK("https://pbs.twimg.com/profile_images/962471262747529216/Uo8lOkRJ_normal.jpg","View")</f>
        <v>View</v>
      </c>
      <c r="P6909" s="7"/>
    </row>
    <row r="6910" spans="1:16">
      <c r="A6910" s="3">
        <v>44007.806192129632</v>
      </c>
      <c r="B6910" s="4" t="str">
        <f>HYPERLINK("https://twitter.com/petrogustavo","@petrogustavo")</f>
        <v>@petrogustavo</v>
      </c>
      <c r="C6910" s="5" t="s">
        <v>16</v>
      </c>
      <c r="D6910" s="5" t="s">
        <v>6693</v>
      </c>
      <c r="E6910" s="6" t="str">
        <f>HYPERLINK("https://twitter.com/petrogustavo/status/1276150883928113152","1276150883928113152")</f>
        <v>1276150883928113152</v>
      </c>
      <c r="F6910" s="7" t="s">
        <v>17</v>
      </c>
      <c r="G6910" s="7">
        <v>3891759</v>
      </c>
      <c r="H6910" s="7">
        <v>2418</v>
      </c>
      <c r="I6910" s="7">
        <v>490</v>
      </c>
      <c r="J6910" s="7">
        <v>1550</v>
      </c>
      <c r="K6910" s="7" t="s">
        <v>18</v>
      </c>
      <c r="L6910" s="8">
        <v>39987.315405092595</v>
      </c>
      <c r="M6910" s="9" t="s">
        <v>19</v>
      </c>
      <c r="N6910" s="9" t="s">
        <v>20</v>
      </c>
      <c r="O6910" s="6" t="str">
        <f>HYPERLINK("https://pbs.twimg.com/profile_images/962471262747529216/Uo8lOkRJ_normal.jpg","View")</f>
        <v>View</v>
      </c>
      <c r="P6910" s="7"/>
    </row>
    <row r="6911" spans="1:16">
      <c r="A6911" s="3">
        <v>44007.809953703705</v>
      </c>
      <c r="B6911" s="4" t="str">
        <f>HYPERLINK("https://twitter.com/petrogustavo","@petrogustavo")</f>
        <v>@petrogustavo</v>
      </c>
      <c r="C6911" s="5" t="s">
        <v>16</v>
      </c>
      <c r="D6911" s="5" t="s">
        <v>6694</v>
      </c>
      <c r="E6911" s="6" t="str">
        <f>HYPERLINK("https://twitter.com/petrogustavo/status/1276152249358712836","1276152249358712836")</f>
        <v>1276152249358712836</v>
      </c>
      <c r="F6911" s="7" t="s">
        <v>17</v>
      </c>
      <c r="G6911" s="7">
        <v>3891759</v>
      </c>
      <c r="H6911" s="7">
        <v>2418</v>
      </c>
      <c r="I6911" s="7">
        <v>59</v>
      </c>
      <c r="J6911" s="7">
        <v>250</v>
      </c>
      <c r="K6911" s="7" t="s">
        <v>18</v>
      </c>
      <c r="L6911" s="8">
        <v>39987.315405092595</v>
      </c>
      <c r="M6911" s="9" t="s">
        <v>19</v>
      </c>
      <c r="N6911" s="9" t="s">
        <v>20</v>
      </c>
      <c r="O6911" s="6" t="str">
        <f>HYPERLINK("https://pbs.twimg.com/profile_images/962471262747529216/Uo8lOkRJ_normal.jpg","View")</f>
        <v>View</v>
      </c>
      <c r="P6911" s="7"/>
    </row>
    <row r="6912" spans="1:16">
      <c r="A6912" s="3">
        <v>44007.811377314814</v>
      </c>
      <c r="B6912" s="4" t="str">
        <f>HYPERLINK("https://twitter.com/petrogustavo","@petrogustavo")</f>
        <v>@petrogustavo</v>
      </c>
      <c r="C6912" s="5" t="s">
        <v>16</v>
      </c>
      <c r="D6912" s="5" t="s">
        <v>6695</v>
      </c>
      <c r="E6912" s="6" t="str">
        <f>HYPERLINK("https://twitter.com/petrogustavo/status/1276152764385673219","1276152764385673219")</f>
        <v>1276152764385673219</v>
      </c>
      <c r="F6912" s="7" t="s">
        <v>17</v>
      </c>
      <c r="G6912" s="7">
        <v>3891759</v>
      </c>
      <c r="H6912" s="7">
        <v>2418</v>
      </c>
      <c r="I6912" s="7">
        <v>103</v>
      </c>
      <c r="J6912" s="7">
        <v>371</v>
      </c>
      <c r="K6912" s="7" t="s">
        <v>18</v>
      </c>
      <c r="L6912" s="8">
        <v>39987.315405092595</v>
      </c>
      <c r="M6912" s="9" t="s">
        <v>19</v>
      </c>
      <c r="N6912" s="9" t="s">
        <v>20</v>
      </c>
      <c r="O6912" s="6" t="str">
        <f>HYPERLINK("https://pbs.twimg.com/profile_images/962471262747529216/Uo8lOkRJ_normal.jpg","View")</f>
        <v>View</v>
      </c>
      <c r="P6912" s="7"/>
    </row>
    <row r="6913" spans="1:16">
      <c r="A6913" s="3">
        <v>44007.812395833331</v>
      </c>
      <c r="B6913" s="4" t="str">
        <f>HYPERLINK("https://twitter.com/petrogustavo","@petrogustavo")</f>
        <v>@petrogustavo</v>
      </c>
      <c r="C6913" s="5" t="s">
        <v>16</v>
      </c>
      <c r="D6913" s="5" t="s">
        <v>6696</v>
      </c>
      <c r="E6913" s="6" t="str">
        <f>HYPERLINK("https://twitter.com/petrogustavo/status/1276153132742053891","1276153132742053891")</f>
        <v>1276153132742053891</v>
      </c>
      <c r="F6913" s="7" t="s">
        <v>17</v>
      </c>
      <c r="G6913" s="7">
        <v>3891759</v>
      </c>
      <c r="H6913" s="7">
        <v>2418</v>
      </c>
      <c r="I6913" s="7">
        <v>57</v>
      </c>
      <c r="J6913" s="7">
        <v>234</v>
      </c>
      <c r="K6913" s="7" t="s">
        <v>18</v>
      </c>
      <c r="L6913" s="8">
        <v>39987.315405092595</v>
      </c>
      <c r="M6913" s="9" t="s">
        <v>19</v>
      </c>
      <c r="N6913" s="9" t="s">
        <v>20</v>
      </c>
      <c r="O6913" s="6" t="str">
        <f>HYPERLINK("https://pbs.twimg.com/profile_images/962471262747529216/Uo8lOkRJ_normal.jpg","View")</f>
        <v>View</v>
      </c>
      <c r="P6913" s="7"/>
    </row>
    <row r="6914" spans="1:16">
      <c r="A6914" s="3">
        <v>44007.815555555557</v>
      </c>
      <c r="B6914" s="4" t="str">
        <f>HYPERLINK("https://twitter.com/petrogustavo","@petrogustavo")</f>
        <v>@petrogustavo</v>
      </c>
      <c r="C6914" s="5" t="s">
        <v>16</v>
      </c>
      <c r="D6914" s="5" t="s">
        <v>6697</v>
      </c>
      <c r="E6914" s="6" t="str">
        <f>HYPERLINK("https://twitter.com/petrogustavo/status/1276154276855918593","1276154276855918593")</f>
        <v>1276154276855918593</v>
      </c>
      <c r="F6914" s="7" t="s">
        <v>17</v>
      </c>
      <c r="G6914" s="7">
        <v>3891759</v>
      </c>
      <c r="H6914" s="7">
        <v>2418</v>
      </c>
      <c r="I6914" s="7">
        <v>54</v>
      </c>
      <c r="J6914" s="7">
        <v>158</v>
      </c>
      <c r="K6914" s="7" t="s">
        <v>18</v>
      </c>
      <c r="L6914" s="8">
        <v>39987.315405092595</v>
      </c>
      <c r="M6914" s="9" t="s">
        <v>19</v>
      </c>
      <c r="N6914" s="9" t="s">
        <v>20</v>
      </c>
      <c r="O6914" s="6" t="str">
        <f>HYPERLINK("https://pbs.twimg.com/profile_images/962471262747529216/Uo8lOkRJ_normal.jpg","View")</f>
        <v>View</v>
      </c>
      <c r="P6914" s="7"/>
    </row>
    <row r="6915" spans="1:16">
      <c r="A6915" s="3">
        <v>44007.886990740742</v>
      </c>
      <c r="B6915" s="4" t="str">
        <f>HYPERLINK("https://twitter.com/petrogustavo","@petrogustavo")</f>
        <v>@petrogustavo</v>
      </c>
      <c r="C6915" s="5" t="s">
        <v>16</v>
      </c>
      <c r="D6915" s="5" t="s">
        <v>6698</v>
      </c>
      <c r="E6915" s="6" t="str">
        <f>HYPERLINK("https://twitter.com/petrogustavo/status/1276180166520246273","1276180166520246273")</f>
        <v>1276180166520246273</v>
      </c>
      <c r="F6915" s="7" t="s">
        <v>32</v>
      </c>
      <c r="G6915" s="7">
        <v>3891879</v>
      </c>
      <c r="H6915" s="7">
        <v>2418</v>
      </c>
      <c r="I6915" s="7">
        <v>0</v>
      </c>
      <c r="J6915" s="7">
        <v>0</v>
      </c>
      <c r="K6915" s="7" t="s">
        <v>18</v>
      </c>
      <c r="L6915" s="8">
        <v>39987.315405092595</v>
      </c>
      <c r="M6915" s="9" t="s">
        <v>19</v>
      </c>
      <c r="N6915" s="9" t="s">
        <v>20</v>
      </c>
      <c r="O6915" s="6" t="str">
        <f>HYPERLINK("https://pbs.twimg.com/profile_images/962471262747529216/Uo8lOkRJ_normal.jpg","View")</f>
        <v>View</v>
      </c>
      <c r="P6915" s="7"/>
    </row>
    <row r="6916" spans="1:16">
      <c r="A6916" s="3">
        <v>44007.893136574072</v>
      </c>
      <c r="B6916" s="4" t="str">
        <f>HYPERLINK("https://twitter.com/petrogustavo","@petrogustavo")</f>
        <v>@petrogustavo</v>
      </c>
      <c r="C6916" s="5" t="s">
        <v>16</v>
      </c>
      <c r="D6916" s="5" t="s">
        <v>6699</v>
      </c>
      <c r="E6916" s="6" t="str">
        <f>HYPERLINK("https://twitter.com/petrogustavo/status/1276182392819122181","1276182392819122181")</f>
        <v>1276182392819122181</v>
      </c>
      <c r="F6916" s="7" t="s">
        <v>17</v>
      </c>
      <c r="G6916" s="7">
        <v>3891926</v>
      </c>
      <c r="H6916" s="7">
        <v>2418</v>
      </c>
      <c r="I6916" s="7">
        <v>26</v>
      </c>
      <c r="J6916" s="7">
        <v>80</v>
      </c>
      <c r="K6916" s="7" t="s">
        <v>18</v>
      </c>
      <c r="L6916" s="8">
        <v>39987.315405092595</v>
      </c>
      <c r="M6916" s="9" t="s">
        <v>19</v>
      </c>
      <c r="N6916" s="9" t="s">
        <v>20</v>
      </c>
      <c r="O6916" s="6" t="str">
        <f>HYPERLINK("https://pbs.twimg.com/profile_images/962471262747529216/Uo8lOkRJ_normal.jpg","View")</f>
        <v>View</v>
      </c>
      <c r="P6916" s="7"/>
    </row>
    <row r="6917" spans="1:16">
      <c r="A6917" s="3">
        <v>44007.894687499997</v>
      </c>
      <c r="B6917" s="4" t="str">
        <f>HYPERLINK("https://twitter.com/petrogustavo","@petrogustavo")</f>
        <v>@petrogustavo</v>
      </c>
      <c r="C6917" s="5" t="s">
        <v>16</v>
      </c>
      <c r="D6917" s="5" t="s">
        <v>6700</v>
      </c>
      <c r="E6917" s="6" t="str">
        <f>HYPERLINK("https://twitter.com/petrogustavo/status/1276182953345851395","1276182953345851395")</f>
        <v>1276182953345851395</v>
      </c>
      <c r="F6917" s="7" t="s">
        <v>17</v>
      </c>
      <c r="G6917" s="7">
        <v>3891926</v>
      </c>
      <c r="H6917" s="7">
        <v>2418</v>
      </c>
      <c r="I6917" s="7">
        <v>16</v>
      </c>
      <c r="J6917" s="7">
        <v>83</v>
      </c>
      <c r="K6917" s="7" t="s">
        <v>18</v>
      </c>
      <c r="L6917" s="8">
        <v>39987.315405092595</v>
      </c>
      <c r="M6917" s="9" t="s">
        <v>19</v>
      </c>
      <c r="N6917" s="9" t="s">
        <v>20</v>
      </c>
      <c r="O6917" s="6" t="str">
        <f>HYPERLINK("https://pbs.twimg.com/profile_images/962471262747529216/Uo8lOkRJ_normal.jpg","View")</f>
        <v>View</v>
      </c>
      <c r="P6917" s="7"/>
    </row>
    <row r="6918" spans="1:16">
      <c r="A6918" s="3">
        <v>44007.896030092597</v>
      </c>
      <c r="B6918" s="4" t="str">
        <f>HYPERLINK("https://twitter.com/petrogustavo","@petrogustavo")</f>
        <v>@petrogustavo</v>
      </c>
      <c r="C6918" s="5" t="s">
        <v>16</v>
      </c>
      <c r="D6918" s="5" t="s">
        <v>6701</v>
      </c>
      <c r="E6918" s="6" t="str">
        <f>HYPERLINK("https://twitter.com/petrogustavo/status/1276183441680273408","1276183441680273408")</f>
        <v>1276183441680273408</v>
      </c>
      <c r="F6918" s="7" t="s">
        <v>17</v>
      </c>
      <c r="G6918" s="7">
        <v>3891926</v>
      </c>
      <c r="H6918" s="7">
        <v>2418</v>
      </c>
      <c r="I6918" s="7">
        <v>26</v>
      </c>
      <c r="J6918" s="7">
        <v>77</v>
      </c>
      <c r="K6918" s="7" t="s">
        <v>18</v>
      </c>
      <c r="L6918" s="8">
        <v>39987.315405092595</v>
      </c>
      <c r="M6918" s="9" t="s">
        <v>19</v>
      </c>
      <c r="N6918" s="9" t="s">
        <v>20</v>
      </c>
      <c r="O6918" s="6" t="str">
        <f>HYPERLINK("https://pbs.twimg.com/profile_images/962471262747529216/Uo8lOkRJ_normal.jpg","View")</f>
        <v>View</v>
      </c>
      <c r="P6918" s="7"/>
    </row>
    <row r="6919" spans="1:16">
      <c r="A6919" s="3">
        <v>44007.897453703699</v>
      </c>
      <c r="B6919" s="4" t="str">
        <f>HYPERLINK("https://twitter.com/petrogustavo","@petrogustavo")</f>
        <v>@petrogustavo</v>
      </c>
      <c r="C6919" s="5" t="s">
        <v>16</v>
      </c>
      <c r="D6919" s="5" t="s">
        <v>6702</v>
      </c>
      <c r="E6919" s="6" t="str">
        <f>HYPERLINK("https://twitter.com/petrogustavo/status/1276183957827092481","1276183957827092481")</f>
        <v>1276183957827092481</v>
      </c>
      <c r="F6919" s="7" t="s">
        <v>17</v>
      </c>
      <c r="G6919" s="7">
        <v>3891926</v>
      </c>
      <c r="H6919" s="7">
        <v>2418</v>
      </c>
      <c r="I6919" s="7">
        <v>28</v>
      </c>
      <c r="J6919" s="7">
        <v>78</v>
      </c>
      <c r="K6919" s="7" t="s">
        <v>18</v>
      </c>
      <c r="L6919" s="8">
        <v>39987.315405092595</v>
      </c>
      <c r="M6919" s="9" t="s">
        <v>19</v>
      </c>
      <c r="N6919" s="9" t="s">
        <v>20</v>
      </c>
      <c r="O6919" s="6" t="str">
        <f>HYPERLINK("https://pbs.twimg.com/profile_images/962471262747529216/Uo8lOkRJ_normal.jpg","View")</f>
        <v>View</v>
      </c>
      <c r="P6919" s="7"/>
    </row>
    <row r="6920" spans="1:16">
      <c r="A6920" s="3">
        <v>44008.041724537034</v>
      </c>
      <c r="B6920" s="4" t="str">
        <f>HYPERLINK("https://twitter.com/petrogustavo","@petrogustavo")</f>
        <v>@petrogustavo</v>
      </c>
      <c r="C6920" s="5" t="s">
        <v>16</v>
      </c>
      <c r="D6920" s="5" t="s">
        <v>6703</v>
      </c>
      <c r="E6920" s="6" t="str">
        <f>HYPERLINK("https://twitter.com/petrogustavo/status/1276236239469981703","1276236239469981703")</f>
        <v>1276236239469981703</v>
      </c>
      <c r="F6920" s="7" t="s">
        <v>17</v>
      </c>
      <c r="G6920" s="7">
        <v>3892202</v>
      </c>
      <c r="H6920" s="7">
        <v>2418</v>
      </c>
      <c r="I6920" s="7">
        <v>2179</v>
      </c>
      <c r="J6920" s="7">
        <v>0</v>
      </c>
      <c r="K6920" s="7" t="s">
        <v>18</v>
      </c>
      <c r="L6920" s="8">
        <v>39987.315405092595</v>
      </c>
      <c r="M6920" s="9" t="s">
        <v>19</v>
      </c>
      <c r="N6920" s="9" t="s">
        <v>20</v>
      </c>
      <c r="O6920" s="6" t="str">
        <f>HYPERLINK("https://pbs.twimg.com/profile_images/962471262747529216/Uo8lOkRJ_normal.jpg","View")</f>
        <v>View</v>
      </c>
      <c r="P6920" s="7"/>
    </row>
    <row r="6921" spans="1:16">
      <c r="A6921" s="3">
        <v>44008.097384259258</v>
      </c>
      <c r="B6921" s="4" t="str">
        <f>HYPERLINK("https://twitter.com/petrogustavo","@petrogustavo")</f>
        <v>@petrogustavo</v>
      </c>
      <c r="C6921" s="5" t="s">
        <v>16</v>
      </c>
      <c r="D6921" s="5" t="s">
        <v>6704</v>
      </c>
      <c r="E6921" s="6" t="str">
        <f>HYPERLINK("https://twitter.com/petrogustavo/status/1276256408179216390","1276256408179216390")</f>
        <v>1276256408179216390</v>
      </c>
      <c r="F6921" s="7" t="s">
        <v>32</v>
      </c>
      <c r="G6921" s="7">
        <v>3892278</v>
      </c>
      <c r="H6921" s="7">
        <v>2418</v>
      </c>
      <c r="I6921" s="7">
        <v>168</v>
      </c>
      <c r="J6921" s="7">
        <v>520</v>
      </c>
      <c r="K6921" s="7" t="s">
        <v>18</v>
      </c>
      <c r="L6921" s="8">
        <v>39987.315405092595</v>
      </c>
      <c r="M6921" s="9" t="s">
        <v>19</v>
      </c>
      <c r="N6921" s="9" t="s">
        <v>20</v>
      </c>
      <c r="O6921" s="6" t="str">
        <f>HYPERLINK("https://pbs.twimg.com/profile_images/962471262747529216/Uo8lOkRJ_normal.jpg","View")</f>
        <v>View</v>
      </c>
      <c r="P6921" s="7"/>
    </row>
    <row r="6922" spans="1:16">
      <c r="A6922" s="3">
        <v>44008.186203703706</v>
      </c>
      <c r="B6922" s="4" t="str">
        <f>HYPERLINK("https://twitter.com/petrogustavo","@petrogustavo")</f>
        <v>@petrogustavo</v>
      </c>
      <c r="C6922" s="5" t="s">
        <v>16</v>
      </c>
      <c r="D6922" s="5" t="s">
        <v>6705</v>
      </c>
      <c r="E6922" s="6" t="str">
        <f>HYPERLINK("https://twitter.com/petrogustavo/status/1276288597415677952","1276288597415677952")</f>
        <v>1276288597415677952</v>
      </c>
      <c r="F6922" s="7" t="s">
        <v>32</v>
      </c>
      <c r="G6922" s="7">
        <v>3892351</v>
      </c>
      <c r="H6922" s="7">
        <v>2418</v>
      </c>
      <c r="I6922" s="7">
        <v>165</v>
      </c>
      <c r="J6922" s="7">
        <v>407</v>
      </c>
      <c r="K6922" s="7" t="s">
        <v>18</v>
      </c>
      <c r="L6922" s="8">
        <v>39987.315405092595</v>
      </c>
      <c r="M6922" s="9" t="s">
        <v>19</v>
      </c>
      <c r="N6922" s="9" t="s">
        <v>20</v>
      </c>
      <c r="O6922" s="6" t="str">
        <f>HYPERLINK("https://pbs.twimg.com/profile_images/962471262747529216/Uo8lOkRJ_normal.jpg","View")</f>
        <v>View</v>
      </c>
      <c r="P6922" s="7"/>
    </row>
    <row r="6923" spans="1:16">
      <c r="A6923" s="3">
        <v>44008.271226851852</v>
      </c>
      <c r="B6923" s="4" t="str">
        <f>HYPERLINK("https://twitter.com/petrogustavo","@petrogustavo")</f>
        <v>@petrogustavo</v>
      </c>
      <c r="C6923" s="5" t="s">
        <v>16</v>
      </c>
      <c r="D6923" s="5" t="s">
        <v>6706</v>
      </c>
      <c r="E6923" s="6" t="str">
        <f>HYPERLINK("https://twitter.com/petrogustavo/status/1276319408118329344","1276319408118329344")</f>
        <v>1276319408118329344</v>
      </c>
      <c r="F6923" s="7" t="s">
        <v>17</v>
      </c>
      <c r="G6923" s="7">
        <v>3892522</v>
      </c>
      <c r="H6923" s="7">
        <v>2418</v>
      </c>
      <c r="I6923" s="7">
        <v>274</v>
      </c>
      <c r="J6923" s="7">
        <v>573</v>
      </c>
      <c r="K6923" s="7" t="s">
        <v>18</v>
      </c>
      <c r="L6923" s="8">
        <v>39987.315405092595</v>
      </c>
      <c r="M6923" s="9" t="s">
        <v>19</v>
      </c>
      <c r="N6923" s="9" t="s">
        <v>20</v>
      </c>
      <c r="O6923" s="6" t="str">
        <f>HYPERLINK("https://pbs.twimg.com/profile_images/962471262747529216/Uo8lOkRJ_normal.jpg","View")</f>
        <v>View</v>
      </c>
      <c r="P6923" s="7"/>
    </row>
    <row r="6924" spans="1:16">
      <c r="A6924" s="3">
        <v>44008.276377314818</v>
      </c>
      <c r="B6924" s="4" t="str">
        <f>HYPERLINK("https://twitter.com/petrogustavo","@petrogustavo")</f>
        <v>@petrogustavo</v>
      </c>
      <c r="C6924" s="5" t="s">
        <v>16</v>
      </c>
      <c r="D6924" s="5" t="s">
        <v>6707</v>
      </c>
      <c r="E6924" s="6" t="str">
        <f>HYPERLINK("https://twitter.com/petrogustavo/status/1276321275800100867","1276321275800100867")</f>
        <v>1276321275800100867</v>
      </c>
      <c r="F6924" s="7" t="s">
        <v>17</v>
      </c>
      <c r="G6924" s="7">
        <v>3892522</v>
      </c>
      <c r="H6924" s="7">
        <v>2418</v>
      </c>
      <c r="I6924" s="7">
        <v>34</v>
      </c>
      <c r="J6924" s="7">
        <v>0</v>
      </c>
      <c r="K6924" s="7" t="s">
        <v>18</v>
      </c>
      <c r="L6924" s="8">
        <v>39987.315405092595</v>
      </c>
      <c r="M6924" s="9" t="s">
        <v>19</v>
      </c>
      <c r="N6924" s="9" t="s">
        <v>20</v>
      </c>
      <c r="O6924" s="6" t="str">
        <f>HYPERLINK("https://pbs.twimg.com/profile_images/962471262747529216/Uo8lOkRJ_normal.jpg","View")</f>
        <v>View</v>
      </c>
      <c r="P6924" s="7"/>
    </row>
    <row r="6925" spans="1:16">
      <c r="A6925" s="3">
        <v>44008.281157407408</v>
      </c>
      <c r="B6925" s="4" t="str">
        <f>HYPERLINK("https://twitter.com/petrogustavo","@petrogustavo")</f>
        <v>@petrogustavo</v>
      </c>
      <c r="C6925" s="5" t="s">
        <v>16</v>
      </c>
      <c r="D6925" s="5" t="s">
        <v>6708</v>
      </c>
      <c r="E6925" s="6" t="str">
        <f>HYPERLINK("https://twitter.com/petrogustavo/status/1276323009041780743","1276323009041780743")</f>
        <v>1276323009041780743</v>
      </c>
      <c r="F6925" s="7" t="s">
        <v>17</v>
      </c>
      <c r="G6925" s="7">
        <v>3892522</v>
      </c>
      <c r="H6925" s="7">
        <v>2418</v>
      </c>
      <c r="I6925" s="7">
        <v>16</v>
      </c>
      <c r="J6925" s="7">
        <v>0</v>
      </c>
      <c r="K6925" s="7" t="s">
        <v>18</v>
      </c>
      <c r="L6925" s="8">
        <v>39987.315405092595</v>
      </c>
      <c r="M6925" s="9" t="s">
        <v>19</v>
      </c>
      <c r="N6925" s="9" t="s">
        <v>20</v>
      </c>
      <c r="O6925" s="6" t="str">
        <f>HYPERLINK("https://pbs.twimg.com/profile_images/962471262747529216/Uo8lOkRJ_normal.jpg","View")</f>
        <v>View</v>
      </c>
      <c r="P6925" s="7"/>
    </row>
    <row r="6926" spans="1:16">
      <c r="A6926" s="3">
        <v>44008.286666666667</v>
      </c>
      <c r="B6926" s="4" t="str">
        <f>HYPERLINK("https://twitter.com/petrogustavo","@petrogustavo")</f>
        <v>@petrogustavo</v>
      </c>
      <c r="C6926" s="5" t="s">
        <v>16</v>
      </c>
      <c r="D6926" s="5" t="s">
        <v>6709</v>
      </c>
      <c r="E6926" s="6" t="str">
        <f>HYPERLINK("https://twitter.com/petrogustavo/status/1276325003861114885","1276325003861114885")</f>
        <v>1276325003861114885</v>
      </c>
      <c r="F6926" s="7" t="s">
        <v>17</v>
      </c>
      <c r="G6926" s="7">
        <v>3892570</v>
      </c>
      <c r="H6926" s="7">
        <v>2418</v>
      </c>
      <c r="I6926" s="7">
        <v>572</v>
      </c>
      <c r="J6926" s="7">
        <v>0</v>
      </c>
      <c r="K6926" s="7" t="s">
        <v>18</v>
      </c>
      <c r="L6926" s="8">
        <v>39987.315405092595</v>
      </c>
      <c r="M6926" s="9" t="s">
        <v>19</v>
      </c>
      <c r="N6926" s="9" t="s">
        <v>20</v>
      </c>
      <c r="O6926" s="6" t="str">
        <f>HYPERLINK("https://pbs.twimg.com/profile_images/962471262747529216/Uo8lOkRJ_normal.jpg","View")</f>
        <v>View</v>
      </c>
      <c r="P6926" s="7"/>
    </row>
    <row r="6927" spans="1:16">
      <c r="A6927" s="3">
        <v>44008.289756944447</v>
      </c>
      <c r="B6927" s="4" t="str">
        <f>HYPERLINK("https://twitter.com/petrogustavo","@petrogustavo")</f>
        <v>@petrogustavo</v>
      </c>
      <c r="C6927" s="5" t="s">
        <v>16</v>
      </c>
      <c r="D6927" s="5" t="s">
        <v>6710</v>
      </c>
      <c r="E6927" s="6" t="str">
        <f>HYPERLINK("https://twitter.com/petrogustavo/status/1276326125413773312","1276326125413773312")</f>
        <v>1276326125413773312</v>
      </c>
      <c r="F6927" s="7" t="s">
        <v>17</v>
      </c>
      <c r="G6927" s="7">
        <v>3892570</v>
      </c>
      <c r="H6927" s="7">
        <v>2418</v>
      </c>
      <c r="I6927" s="7">
        <v>120</v>
      </c>
      <c r="J6927" s="7">
        <v>0</v>
      </c>
      <c r="K6927" s="7" t="s">
        <v>18</v>
      </c>
      <c r="L6927" s="8">
        <v>39987.315405092595</v>
      </c>
      <c r="M6927" s="9" t="s">
        <v>19</v>
      </c>
      <c r="N6927" s="9" t="s">
        <v>20</v>
      </c>
      <c r="O6927" s="6" t="str">
        <f>HYPERLINK("https://pbs.twimg.com/profile_images/962471262747529216/Uo8lOkRJ_normal.jpg","View")</f>
        <v>View</v>
      </c>
      <c r="P6927" s="7"/>
    </row>
    <row r="6928" spans="1:16">
      <c r="A6928" s="3">
        <v>44008.291226851856</v>
      </c>
      <c r="B6928" s="4" t="str">
        <f>HYPERLINK("https://twitter.com/petrogustavo","@petrogustavo")</f>
        <v>@petrogustavo</v>
      </c>
      <c r="C6928" s="5" t="s">
        <v>16</v>
      </c>
      <c r="D6928" s="5" t="s">
        <v>6711</v>
      </c>
      <c r="E6928" s="6" t="str">
        <f>HYPERLINK("https://twitter.com/petrogustavo/status/1276326657931055105","1276326657931055105")</f>
        <v>1276326657931055105</v>
      </c>
      <c r="F6928" s="7" t="s">
        <v>17</v>
      </c>
      <c r="G6928" s="7">
        <v>3892570</v>
      </c>
      <c r="H6928" s="7">
        <v>2418</v>
      </c>
      <c r="I6928" s="7">
        <v>235</v>
      </c>
      <c r="J6928" s="7">
        <v>953</v>
      </c>
      <c r="K6928" s="7" t="s">
        <v>18</v>
      </c>
      <c r="L6928" s="8">
        <v>39987.315405092595</v>
      </c>
      <c r="M6928" s="9" t="s">
        <v>19</v>
      </c>
      <c r="N6928" s="9" t="s">
        <v>20</v>
      </c>
      <c r="O6928" s="6" t="str">
        <f>HYPERLINK("https://pbs.twimg.com/profile_images/962471262747529216/Uo8lOkRJ_normal.jpg","View")</f>
        <v>View</v>
      </c>
      <c r="P6928" s="7"/>
    </row>
    <row r="6929" spans="1:16">
      <c r="A6929" s="3">
        <v>44008.311076388884</v>
      </c>
      <c r="B6929" s="4" t="str">
        <f>HYPERLINK("https://twitter.com/petrogustavo","@petrogustavo")</f>
        <v>@petrogustavo</v>
      </c>
      <c r="C6929" s="5" t="s">
        <v>16</v>
      </c>
      <c r="D6929" s="5" t="s">
        <v>6712</v>
      </c>
      <c r="E6929" s="6" t="str">
        <f>HYPERLINK("https://twitter.com/petrogustavo/status/1276333850046717954","1276333850046717954")</f>
        <v>1276333850046717954</v>
      </c>
      <c r="F6929" s="7" t="s">
        <v>17</v>
      </c>
      <c r="G6929" s="7">
        <v>3892607</v>
      </c>
      <c r="H6929" s="7">
        <v>2418</v>
      </c>
      <c r="I6929" s="7">
        <v>451</v>
      </c>
      <c r="J6929" s="7">
        <v>1724</v>
      </c>
      <c r="K6929" s="7" t="s">
        <v>18</v>
      </c>
      <c r="L6929" s="8">
        <v>39987.315405092595</v>
      </c>
      <c r="M6929" s="9" t="s">
        <v>19</v>
      </c>
      <c r="N6929" s="9" t="s">
        <v>20</v>
      </c>
      <c r="O6929" s="6" t="str">
        <f>HYPERLINK("https://pbs.twimg.com/profile_images/962471262747529216/Uo8lOkRJ_normal.jpg","View")</f>
        <v>View</v>
      </c>
      <c r="P6929" s="7"/>
    </row>
    <row r="6930" spans="1:16">
      <c r="A6930" s="3">
        <v>44008.321168981478</v>
      </c>
      <c r="B6930" s="4" t="str">
        <f>HYPERLINK("https://twitter.com/petrogustavo","@petrogustavo")</f>
        <v>@petrogustavo</v>
      </c>
      <c r="C6930" s="5" t="s">
        <v>16</v>
      </c>
      <c r="D6930" s="5" t="s">
        <v>6713</v>
      </c>
      <c r="E6930" s="6" t="str">
        <f>HYPERLINK("https://twitter.com/petrogustavo/status/1276337506628382731","1276337506628382731")</f>
        <v>1276337506628382731</v>
      </c>
      <c r="F6930" s="7" t="s">
        <v>17</v>
      </c>
      <c r="G6930" s="7">
        <v>3892607</v>
      </c>
      <c r="H6930" s="7">
        <v>2418</v>
      </c>
      <c r="I6930" s="7">
        <v>59</v>
      </c>
      <c r="J6930" s="7">
        <v>0</v>
      </c>
      <c r="K6930" s="7" t="s">
        <v>18</v>
      </c>
      <c r="L6930" s="8">
        <v>39987.315405092595</v>
      </c>
      <c r="M6930" s="9" t="s">
        <v>19</v>
      </c>
      <c r="N6930" s="9" t="s">
        <v>20</v>
      </c>
      <c r="O6930" s="6" t="str">
        <f>HYPERLINK("https://pbs.twimg.com/profile_images/962471262747529216/Uo8lOkRJ_normal.jpg","View")</f>
        <v>View</v>
      </c>
      <c r="P6930" s="7"/>
    </row>
    <row r="6931" spans="1:16">
      <c r="A6931" s="3">
        <v>44008.324502314819</v>
      </c>
      <c r="B6931" s="4" t="str">
        <f>HYPERLINK("https://twitter.com/petrogustavo","@petrogustavo")</f>
        <v>@petrogustavo</v>
      </c>
      <c r="C6931" s="5" t="s">
        <v>16</v>
      </c>
      <c r="D6931" s="5" t="s">
        <v>6714</v>
      </c>
      <c r="E6931" s="6" t="str">
        <f>HYPERLINK("https://twitter.com/petrogustavo/status/1276338713459654656","1276338713459654656")</f>
        <v>1276338713459654656</v>
      </c>
      <c r="F6931" s="7" t="s">
        <v>17</v>
      </c>
      <c r="G6931" s="7">
        <v>3892607</v>
      </c>
      <c r="H6931" s="7">
        <v>2418</v>
      </c>
      <c r="I6931" s="7">
        <v>112</v>
      </c>
      <c r="J6931" s="7">
        <v>0</v>
      </c>
      <c r="K6931" s="7" t="s">
        <v>18</v>
      </c>
      <c r="L6931" s="8">
        <v>39987.315405092595</v>
      </c>
      <c r="M6931" s="9" t="s">
        <v>19</v>
      </c>
      <c r="N6931" s="9" t="s">
        <v>20</v>
      </c>
      <c r="O6931" s="6" t="str">
        <f>HYPERLINK("https://pbs.twimg.com/profile_images/962471262747529216/Uo8lOkRJ_normal.jpg","View")</f>
        <v>View</v>
      </c>
      <c r="P6931" s="7"/>
    </row>
    <row r="6932" spans="1:16">
      <c r="A6932" s="3">
        <v>44008.326724537037</v>
      </c>
      <c r="B6932" s="4" t="str">
        <f>HYPERLINK("https://twitter.com/petrogustavo","@petrogustavo")</f>
        <v>@petrogustavo</v>
      </c>
      <c r="C6932" s="5" t="s">
        <v>16</v>
      </c>
      <c r="D6932" s="5" t="s">
        <v>6715</v>
      </c>
      <c r="E6932" s="6" t="str">
        <f>HYPERLINK("https://twitter.com/petrogustavo/status/1276339520758321154","1276339520758321154")</f>
        <v>1276339520758321154</v>
      </c>
      <c r="F6932" s="7" t="s">
        <v>17</v>
      </c>
      <c r="G6932" s="7">
        <v>3892655</v>
      </c>
      <c r="H6932" s="7">
        <v>2418</v>
      </c>
      <c r="I6932" s="7">
        <v>852</v>
      </c>
      <c r="J6932" s="7">
        <v>0</v>
      </c>
      <c r="K6932" s="7" t="s">
        <v>18</v>
      </c>
      <c r="L6932" s="8">
        <v>39987.315405092595</v>
      </c>
      <c r="M6932" s="9" t="s">
        <v>19</v>
      </c>
      <c r="N6932" s="9" t="s">
        <v>20</v>
      </c>
      <c r="O6932" s="6" t="str">
        <f>HYPERLINK("https://pbs.twimg.com/profile_images/962471262747529216/Uo8lOkRJ_normal.jpg","View")</f>
        <v>View</v>
      </c>
      <c r="P6932" s="7"/>
    </row>
    <row r="6933" spans="1:16">
      <c r="A6933" s="3">
        <v>44008.338310185187</v>
      </c>
      <c r="B6933" s="4" t="str">
        <f>HYPERLINK("https://twitter.com/petrogustavo","@petrogustavo")</f>
        <v>@petrogustavo</v>
      </c>
      <c r="C6933" s="5" t="s">
        <v>16</v>
      </c>
      <c r="D6933" s="5" t="s">
        <v>6716</v>
      </c>
      <c r="E6933" s="6" t="str">
        <f>HYPERLINK("https://twitter.com/petrogustavo/status/1276343718010851328","1276343718010851328")</f>
        <v>1276343718010851328</v>
      </c>
      <c r="F6933" s="7" t="s">
        <v>17</v>
      </c>
      <c r="G6933" s="7">
        <v>3892655</v>
      </c>
      <c r="H6933" s="7">
        <v>2418</v>
      </c>
      <c r="I6933" s="7">
        <v>98</v>
      </c>
      <c r="J6933" s="7">
        <v>245</v>
      </c>
      <c r="K6933" s="7" t="s">
        <v>18</v>
      </c>
      <c r="L6933" s="8">
        <v>39987.315405092595</v>
      </c>
      <c r="M6933" s="9" t="s">
        <v>19</v>
      </c>
      <c r="N6933" s="9" t="s">
        <v>20</v>
      </c>
      <c r="O6933" s="6" t="str">
        <f>HYPERLINK("https://pbs.twimg.com/profile_images/962471262747529216/Uo8lOkRJ_normal.jpg","View")</f>
        <v>View</v>
      </c>
      <c r="P6933" s="7"/>
    </row>
    <row r="6934" spans="1:16">
      <c r="A6934" s="3">
        <v>44008.352442129632</v>
      </c>
      <c r="B6934" s="4" t="str">
        <f>HYPERLINK("https://twitter.com/petrogustavo","@petrogustavo")</f>
        <v>@petrogustavo</v>
      </c>
      <c r="C6934" s="5" t="s">
        <v>16</v>
      </c>
      <c r="D6934" s="5" t="s">
        <v>6715</v>
      </c>
      <c r="E6934" s="6" t="str">
        <f>HYPERLINK("https://twitter.com/petrogustavo/status/1276348839763550208","1276348839763550208")</f>
        <v>1276348839763550208</v>
      </c>
      <c r="F6934" s="7" t="s">
        <v>17</v>
      </c>
      <c r="G6934" s="7">
        <v>3892719</v>
      </c>
      <c r="H6934" s="7">
        <v>2418</v>
      </c>
      <c r="I6934" s="7">
        <v>1187</v>
      </c>
      <c r="J6934" s="7">
        <v>0</v>
      </c>
      <c r="K6934" s="7" t="s">
        <v>18</v>
      </c>
      <c r="L6934" s="8">
        <v>39987.315405092595</v>
      </c>
      <c r="M6934" s="9" t="s">
        <v>19</v>
      </c>
      <c r="N6934" s="9" t="s">
        <v>20</v>
      </c>
      <c r="O6934" s="6" t="str">
        <f>HYPERLINK("https://pbs.twimg.com/profile_images/962471262747529216/Uo8lOkRJ_normal.jpg","View")</f>
        <v>View</v>
      </c>
      <c r="P6934" s="7"/>
    </row>
    <row r="6935" spans="1:16">
      <c r="A6935" s="3">
        <v>44008.362280092595</v>
      </c>
      <c r="B6935" s="4" t="str">
        <f>HYPERLINK("https://twitter.com/petrogustavo","@petrogustavo")</f>
        <v>@petrogustavo</v>
      </c>
      <c r="C6935" s="5" t="s">
        <v>16</v>
      </c>
      <c r="D6935" s="5" t="s">
        <v>6717</v>
      </c>
      <c r="E6935" s="6" t="str">
        <f>HYPERLINK("https://twitter.com/petrogustavo/status/1276352405865725953","1276352405865725953")</f>
        <v>1276352405865725953</v>
      </c>
      <c r="F6935" s="7" t="s">
        <v>17</v>
      </c>
      <c r="G6935" s="7">
        <v>3892719</v>
      </c>
      <c r="H6935" s="7">
        <v>2418</v>
      </c>
      <c r="I6935" s="7">
        <v>94</v>
      </c>
      <c r="J6935" s="7">
        <v>180</v>
      </c>
      <c r="K6935" s="7" t="s">
        <v>18</v>
      </c>
      <c r="L6935" s="8">
        <v>39987.315405092595</v>
      </c>
      <c r="M6935" s="9" t="s">
        <v>19</v>
      </c>
      <c r="N6935" s="9" t="s">
        <v>20</v>
      </c>
      <c r="O6935" s="6" t="str">
        <f>HYPERLINK("https://pbs.twimg.com/profile_images/962471262747529216/Uo8lOkRJ_normal.jpg","View")</f>
        <v>View</v>
      </c>
      <c r="P6935" s="7"/>
    </row>
    <row r="6936" spans="1:16">
      <c r="A6936" s="3">
        <v>44008.377881944441</v>
      </c>
      <c r="B6936" s="4" t="str">
        <f>HYPERLINK("https://twitter.com/petrogustavo","@petrogustavo")</f>
        <v>@petrogustavo</v>
      </c>
      <c r="C6936" s="5" t="s">
        <v>16</v>
      </c>
      <c r="D6936" s="5" t="s">
        <v>6715</v>
      </c>
      <c r="E6936" s="6" t="str">
        <f>HYPERLINK("https://twitter.com/petrogustavo/status/1276358058659250187","1276358058659250187")</f>
        <v>1276358058659250187</v>
      </c>
      <c r="F6936" s="7" t="s">
        <v>17</v>
      </c>
      <c r="G6936" s="7">
        <v>3892761</v>
      </c>
      <c r="H6936" s="7">
        <v>2418</v>
      </c>
      <c r="I6936" s="7">
        <v>1462</v>
      </c>
      <c r="J6936" s="7">
        <v>0</v>
      </c>
      <c r="K6936" s="7" t="s">
        <v>18</v>
      </c>
      <c r="L6936" s="8">
        <v>39987.315405092595</v>
      </c>
      <c r="M6936" s="9" t="s">
        <v>19</v>
      </c>
      <c r="N6936" s="9" t="s">
        <v>20</v>
      </c>
      <c r="O6936" s="6" t="str">
        <f>HYPERLINK("https://pbs.twimg.com/profile_images/962471262747529216/Uo8lOkRJ_normal.jpg","View")</f>
        <v>View</v>
      </c>
      <c r="P6936" s="7"/>
    </row>
    <row r="6937" spans="1:16">
      <c r="A6937" s="3">
        <v>44008.793171296296</v>
      </c>
      <c r="B6937" s="4" t="str">
        <f>HYPERLINK("https://twitter.com/petrogustavo","@petrogustavo")</f>
        <v>@petrogustavo</v>
      </c>
      <c r="C6937" s="5" t="s">
        <v>16</v>
      </c>
      <c r="D6937" s="5" t="s">
        <v>6718</v>
      </c>
      <c r="E6937" s="6" t="str">
        <f>HYPERLINK("https://twitter.com/petrogustavo/status/1276508555127017473","1276508555127017473")</f>
        <v>1276508555127017473</v>
      </c>
      <c r="F6937" s="7" t="s">
        <v>32</v>
      </c>
      <c r="G6937" s="7">
        <v>3893006</v>
      </c>
      <c r="H6937" s="7">
        <v>2418</v>
      </c>
      <c r="I6937" s="7">
        <v>244</v>
      </c>
      <c r="J6937" s="7">
        <v>0</v>
      </c>
      <c r="K6937" s="7" t="s">
        <v>18</v>
      </c>
      <c r="L6937" s="8">
        <v>39987.315405092595</v>
      </c>
      <c r="M6937" s="9" t="s">
        <v>19</v>
      </c>
      <c r="N6937" s="9" t="s">
        <v>20</v>
      </c>
      <c r="O6937" s="6" t="str">
        <f>HYPERLINK("https://pbs.twimg.com/profile_images/962471262747529216/Uo8lOkRJ_normal.jpg","View")</f>
        <v>View</v>
      </c>
      <c r="P6937" s="7"/>
    </row>
    <row r="6938" spans="1:16">
      <c r="A6938" s="3">
        <v>44008.799351851849</v>
      </c>
      <c r="B6938" s="4" t="str">
        <f>HYPERLINK("https://twitter.com/petrogustavo","@petrogustavo")</f>
        <v>@petrogustavo</v>
      </c>
      <c r="C6938" s="5" t="s">
        <v>16</v>
      </c>
      <c r="D6938" s="5" t="s">
        <v>6719</v>
      </c>
      <c r="E6938" s="6" t="str">
        <f>HYPERLINK("https://twitter.com/petrogustavo/status/1276510795258630144","1276510795258630144")</f>
        <v>1276510795258630144</v>
      </c>
      <c r="F6938" s="7" t="s">
        <v>32</v>
      </c>
      <c r="G6938" s="7">
        <v>3893006</v>
      </c>
      <c r="H6938" s="7">
        <v>2418</v>
      </c>
      <c r="I6938" s="7">
        <v>43</v>
      </c>
      <c r="J6938" s="7">
        <v>122</v>
      </c>
      <c r="K6938" s="7" t="s">
        <v>18</v>
      </c>
      <c r="L6938" s="8">
        <v>39987.315405092595</v>
      </c>
      <c r="M6938" s="9" t="s">
        <v>19</v>
      </c>
      <c r="N6938" s="9" t="s">
        <v>20</v>
      </c>
      <c r="O6938" s="6" t="str">
        <f>HYPERLINK("https://pbs.twimg.com/profile_images/962471262747529216/Uo8lOkRJ_normal.jpg","View")</f>
        <v>View</v>
      </c>
      <c r="P6938" s="7"/>
    </row>
    <row r="6939" spans="1:16">
      <c r="A6939" s="3">
        <v>44008.818564814814</v>
      </c>
      <c r="B6939" s="4" t="str">
        <f>HYPERLINK("https://twitter.com/petrogustavo","@petrogustavo")</f>
        <v>@petrogustavo</v>
      </c>
      <c r="C6939" s="5" t="s">
        <v>16</v>
      </c>
      <c r="D6939" s="5" t="s">
        <v>6720</v>
      </c>
      <c r="E6939" s="6" t="str">
        <f>HYPERLINK("https://twitter.com/petrogustavo/status/1276517755198623744","1276517755198623744")</f>
        <v>1276517755198623744</v>
      </c>
      <c r="F6939" s="7" t="s">
        <v>32</v>
      </c>
      <c r="G6939" s="7">
        <v>3893045</v>
      </c>
      <c r="H6939" s="7">
        <v>2418</v>
      </c>
      <c r="I6939" s="7">
        <v>38</v>
      </c>
      <c r="J6939" s="7">
        <v>84</v>
      </c>
      <c r="K6939" s="7" t="s">
        <v>18</v>
      </c>
      <c r="L6939" s="8">
        <v>39987.315405092595</v>
      </c>
      <c r="M6939" s="9" t="s">
        <v>19</v>
      </c>
      <c r="N6939" s="9" t="s">
        <v>20</v>
      </c>
      <c r="O6939" s="6" t="str">
        <f>HYPERLINK("https://pbs.twimg.com/profile_images/962471262747529216/Uo8lOkRJ_normal.jpg","View")</f>
        <v>View</v>
      </c>
      <c r="P6939" s="7"/>
    </row>
    <row r="6940" spans="1:16">
      <c r="A6940" s="3">
        <v>44008.871493055558</v>
      </c>
      <c r="B6940" s="4" t="str">
        <f>HYPERLINK("https://twitter.com/petrogustavo","@petrogustavo")</f>
        <v>@petrogustavo</v>
      </c>
      <c r="C6940" s="5" t="s">
        <v>16</v>
      </c>
      <c r="D6940" s="5" t="s">
        <v>6721</v>
      </c>
      <c r="E6940" s="6" t="str">
        <f>HYPERLINK("https://twitter.com/petrogustavo/status/1276536939244662784","1276536939244662784")</f>
        <v>1276536939244662784</v>
      </c>
      <c r="F6940" s="7" t="s">
        <v>17</v>
      </c>
      <c r="G6940" s="7">
        <v>3893157</v>
      </c>
      <c r="H6940" s="7">
        <v>2418</v>
      </c>
      <c r="I6940" s="7">
        <v>369</v>
      </c>
      <c r="J6940" s="7">
        <v>954</v>
      </c>
      <c r="K6940" s="7" t="s">
        <v>18</v>
      </c>
      <c r="L6940" s="8">
        <v>39987.315405092595</v>
      </c>
      <c r="M6940" s="9" t="s">
        <v>19</v>
      </c>
      <c r="N6940" s="9" t="s">
        <v>20</v>
      </c>
      <c r="O6940" s="6" t="str">
        <f>HYPERLINK("https://pbs.twimg.com/profile_images/962471262747529216/Uo8lOkRJ_normal.jpg","View")</f>
        <v>View</v>
      </c>
      <c r="P6940" s="7"/>
    </row>
    <row r="6941" spans="1:16">
      <c r="A6941" s="3">
        <v>44008.967881944445</v>
      </c>
      <c r="B6941" s="4" t="str">
        <f>HYPERLINK("https://twitter.com/petrogustavo","@petrogustavo")</f>
        <v>@petrogustavo</v>
      </c>
      <c r="C6941" s="5" t="s">
        <v>16</v>
      </c>
      <c r="D6941" s="5" t="s">
        <v>6722</v>
      </c>
      <c r="E6941" s="6" t="str">
        <f>HYPERLINK("https://twitter.com/petrogustavo/status/1276571869773209603","1276571869773209603")</f>
        <v>1276571869773209603</v>
      </c>
      <c r="F6941" s="7" t="s">
        <v>32</v>
      </c>
      <c r="G6941" s="7">
        <v>3893312</v>
      </c>
      <c r="H6941" s="7">
        <v>2418</v>
      </c>
      <c r="I6941" s="7">
        <v>94</v>
      </c>
      <c r="J6941" s="7">
        <v>0</v>
      </c>
      <c r="K6941" s="7" t="s">
        <v>18</v>
      </c>
      <c r="L6941" s="8">
        <v>39987.315405092595</v>
      </c>
      <c r="M6941" s="9" t="s">
        <v>19</v>
      </c>
      <c r="N6941" s="9" t="s">
        <v>20</v>
      </c>
      <c r="O6941" s="6" t="str">
        <f>HYPERLINK("https://pbs.twimg.com/profile_images/962471262747529216/Uo8lOkRJ_normal.jpg","View")</f>
        <v>View</v>
      </c>
      <c r="P6941" s="7"/>
    </row>
    <row r="6942" spans="1:16">
      <c r="A6942" s="3">
        <v>44008.971087962964</v>
      </c>
      <c r="B6942" s="4" t="str">
        <f>HYPERLINK("https://twitter.com/petrogustavo","@petrogustavo")</f>
        <v>@petrogustavo</v>
      </c>
      <c r="C6942" s="5" t="s">
        <v>16</v>
      </c>
      <c r="D6942" s="5" t="s">
        <v>6723</v>
      </c>
      <c r="E6942" s="6" t="str">
        <f>HYPERLINK("https://twitter.com/petrogustavo/status/1276573028621705218","1276573028621705218")</f>
        <v>1276573028621705218</v>
      </c>
      <c r="F6942" s="7" t="s">
        <v>32</v>
      </c>
      <c r="G6942" s="7">
        <v>3893363</v>
      </c>
      <c r="H6942" s="7">
        <v>2418</v>
      </c>
      <c r="I6942" s="7">
        <v>100</v>
      </c>
      <c r="J6942" s="7">
        <v>193</v>
      </c>
      <c r="K6942" s="7" t="s">
        <v>18</v>
      </c>
      <c r="L6942" s="8">
        <v>39987.315405092595</v>
      </c>
      <c r="M6942" s="9" t="s">
        <v>19</v>
      </c>
      <c r="N6942" s="9" t="s">
        <v>20</v>
      </c>
      <c r="O6942" s="6" t="str">
        <f>HYPERLINK("https://pbs.twimg.com/profile_images/962471262747529216/Uo8lOkRJ_normal.jpg","View")</f>
        <v>View</v>
      </c>
      <c r="P6942" s="7"/>
    </row>
    <row r="6943" spans="1:16">
      <c r="A6943" s="3">
        <v>44009.057743055557</v>
      </c>
      <c r="B6943" s="4" t="str">
        <f>HYPERLINK("https://twitter.com/petrogustavo","@petrogustavo")</f>
        <v>@petrogustavo</v>
      </c>
      <c r="C6943" s="5" t="s">
        <v>16</v>
      </c>
      <c r="D6943" s="5" t="s">
        <v>6724</v>
      </c>
      <c r="E6943" s="6" t="str">
        <f>HYPERLINK("https://twitter.com/petrogustavo/status/1276604431950393346","1276604431950393346")</f>
        <v>1276604431950393346</v>
      </c>
      <c r="F6943" s="7" t="s">
        <v>17</v>
      </c>
      <c r="G6943" s="7">
        <v>3893454</v>
      </c>
      <c r="H6943" s="7">
        <v>2418</v>
      </c>
      <c r="I6943" s="7">
        <v>1843</v>
      </c>
      <c r="J6943" s="7">
        <v>0</v>
      </c>
      <c r="K6943" s="7" t="s">
        <v>18</v>
      </c>
      <c r="L6943" s="8">
        <v>39987.315405092595</v>
      </c>
      <c r="M6943" s="9" t="s">
        <v>19</v>
      </c>
      <c r="N6943" s="9" t="s">
        <v>20</v>
      </c>
      <c r="O6943" s="6" t="str">
        <f>HYPERLINK("https://pbs.twimg.com/profile_images/962471262747529216/Uo8lOkRJ_normal.jpg","View")</f>
        <v>View</v>
      </c>
      <c r="P6943" s="7"/>
    </row>
    <row r="6944" spans="1:16">
      <c r="A6944" s="3">
        <v>44009.058252314819</v>
      </c>
      <c r="B6944" s="4" t="str">
        <f>HYPERLINK("https://twitter.com/petrogustavo","@petrogustavo")</f>
        <v>@petrogustavo</v>
      </c>
      <c r="C6944" s="5" t="s">
        <v>16</v>
      </c>
      <c r="D6944" s="5" t="s">
        <v>6725</v>
      </c>
      <c r="E6944" s="6" t="str">
        <f>HYPERLINK("https://twitter.com/petrogustavo/status/1276604616982048768","1276604616982048768")</f>
        <v>1276604616982048768</v>
      </c>
      <c r="F6944" s="7" t="s">
        <v>17</v>
      </c>
      <c r="G6944" s="7">
        <v>3893454</v>
      </c>
      <c r="H6944" s="7">
        <v>2418</v>
      </c>
      <c r="I6944" s="7">
        <v>80</v>
      </c>
      <c r="J6944" s="7">
        <v>0</v>
      </c>
      <c r="K6944" s="7" t="s">
        <v>18</v>
      </c>
      <c r="L6944" s="8">
        <v>39987.315405092595</v>
      </c>
      <c r="M6944" s="9" t="s">
        <v>19</v>
      </c>
      <c r="N6944" s="9" t="s">
        <v>20</v>
      </c>
      <c r="O6944" s="6" t="str">
        <f>HYPERLINK("https://pbs.twimg.com/profile_images/962471262747529216/Uo8lOkRJ_normal.jpg","View")</f>
        <v>View</v>
      </c>
      <c r="P6944" s="7"/>
    </row>
    <row r="6945" spans="1:16">
      <c r="A6945" s="3">
        <v>44009.060081018513</v>
      </c>
      <c r="B6945" s="4" t="str">
        <f>HYPERLINK("https://twitter.com/petrogustavo","@petrogustavo")</f>
        <v>@petrogustavo</v>
      </c>
      <c r="C6945" s="5" t="s">
        <v>16</v>
      </c>
      <c r="D6945" s="5" t="s">
        <v>6726</v>
      </c>
      <c r="E6945" s="6" t="str">
        <f>HYPERLINK("https://twitter.com/petrogustavo/status/1276605281691197451","1276605281691197451")</f>
        <v>1276605281691197451</v>
      </c>
      <c r="F6945" s="7" t="s">
        <v>17</v>
      </c>
      <c r="G6945" s="7">
        <v>3893454</v>
      </c>
      <c r="H6945" s="7">
        <v>2418</v>
      </c>
      <c r="I6945" s="7">
        <v>67</v>
      </c>
      <c r="J6945" s="7">
        <v>0</v>
      </c>
      <c r="K6945" s="7" t="s">
        <v>18</v>
      </c>
      <c r="L6945" s="8">
        <v>39987.315405092595</v>
      </c>
      <c r="M6945" s="9" t="s">
        <v>19</v>
      </c>
      <c r="N6945" s="9" t="s">
        <v>20</v>
      </c>
      <c r="O6945" s="6" t="str">
        <f>HYPERLINK("https://pbs.twimg.com/profile_images/962471262747529216/Uo8lOkRJ_normal.jpg","View")</f>
        <v>View</v>
      </c>
      <c r="P6945" s="7"/>
    </row>
    <row r="6946" spans="1:16">
      <c r="A6946" s="3">
        <v>44009.064432870371</v>
      </c>
      <c r="B6946" s="4" t="str">
        <f>HYPERLINK("https://twitter.com/petrogustavo","@petrogustavo")</f>
        <v>@petrogustavo</v>
      </c>
      <c r="C6946" s="5" t="s">
        <v>16</v>
      </c>
      <c r="D6946" s="5" t="s">
        <v>6727</v>
      </c>
      <c r="E6946" s="6" t="str">
        <f>HYPERLINK("https://twitter.com/petrogustavo/status/1276606856895569921","1276606856895569921")</f>
        <v>1276606856895569921</v>
      </c>
      <c r="F6946" s="7" t="s">
        <v>17</v>
      </c>
      <c r="G6946" s="7">
        <v>3893454</v>
      </c>
      <c r="H6946" s="7">
        <v>2418</v>
      </c>
      <c r="I6946" s="7">
        <v>168</v>
      </c>
      <c r="J6946" s="7">
        <v>401</v>
      </c>
      <c r="K6946" s="7" t="s">
        <v>18</v>
      </c>
      <c r="L6946" s="8">
        <v>39987.315405092595</v>
      </c>
      <c r="M6946" s="9" t="s">
        <v>19</v>
      </c>
      <c r="N6946" s="9" t="s">
        <v>20</v>
      </c>
      <c r="O6946" s="6" t="str">
        <f>HYPERLINK("https://pbs.twimg.com/profile_images/962471262747529216/Uo8lOkRJ_normal.jpg","View")</f>
        <v>View</v>
      </c>
      <c r="P6946" s="7"/>
    </row>
    <row r="6947" spans="1:16">
      <c r="A6947" s="3">
        <v>44009.067361111112</v>
      </c>
      <c r="B6947" s="4" t="str">
        <f>HYPERLINK("https://twitter.com/petrogustavo","@petrogustavo")</f>
        <v>@petrogustavo</v>
      </c>
      <c r="C6947" s="5" t="s">
        <v>16</v>
      </c>
      <c r="D6947" s="5" t="s">
        <v>6728</v>
      </c>
      <c r="E6947" s="6" t="str">
        <f>HYPERLINK("https://twitter.com/petrogustavo/status/1276607917148573696","1276607917148573696")</f>
        <v>1276607917148573696</v>
      </c>
      <c r="F6947" s="7" t="s">
        <v>17</v>
      </c>
      <c r="G6947" s="7">
        <v>3893454</v>
      </c>
      <c r="H6947" s="7">
        <v>2418</v>
      </c>
      <c r="I6947" s="7">
        <v>52</v>
      </c>
      <c r="J6947" s="7">
        <v>169</v>
      </c>
      <c r="K6947" s="7" t="s">
        <v>18</v>
      </c>
      <c r="L6947" s="8">
        <v>39987.315405092595</v>
      </c>
      <c r="M6947" s="9" t="s">
        <v>19</v>
      </c>
      <c r="N6947" s="9" t="s">
        <v>20</v>
      </c>
      <c r="O6947" s="6" t="str">
        <f>HYPERLINK("https://pbs.twimg.com/profile_images/962471262747529216/Uo8lOkRJ_normal.jpg","View")</f>
        <v>View</v>
      </c>
      <c r="P6947" s="7"/>
    </row>
    <row r="6948" spans="1:16">
      <c r="A6948" s="3">
        <v>44009.069918981477</v>
      </c>
      <c r="B6948" s="4" t="str">
        <f>HYPERLINK("https://twitter.com/petrogustavo","@petrogustavo")</f>
        <v>@petrogustavo</v>
      </c>
      <c r="C6948" s="5" t="s">
        <v>16</v>
      </c>
      <c r="D6948" s="5" t="s">
        <v>6729</v>
      </c>
      <c r="E6948" s="6" t="str">
        <f>HYPERLINK("https://twitter.com/petrogustavo/status/1276608845217923076","1276608845217923076")</f>
        <v>1276608845217923076</v>
      </c>
      <c r="F6948" s="7" t="s">
        <v>17</v>
      </c>
      <c r="G6948" s="7">
        <v>3893454</v>
      </c>
      <c r="H6948" s="7">
        <v>2418</v>
      </c>
      <c r="I6948" s="7">
        <v>32</v>
      </c>
      <c r="J6948" s="7">
        <v>92</v>
      </c>
      <c r="K6948" s="7" t="s">
        <v>18</v>
      </c>
      <c r="L6948" s="8">
        <v>39987.315405092595</v>
      </c>
      <c r="M6948" s="9" t="s">
        <v>19</v>
      </c>
      <c r="N6948" s="9" t="s">
        <v>20</v>
      </c>
      <c r="O6948" s="6" t="str">
        <f>HYPERLINK("https://pbs.twimg.com/profile_images/962471262747529216/Uo8lOkRJ_normal.jpg","View")</f>
        <v>View</v>
      </c>
      <c r="P6948" s="7"/>
    </row>
    <row r="6949" spans="1:16">
      <c r="A6949" s="3">
        <v>44009.174328703702</v>
      </c>
      <c r="B6949" s="4" t="str">
        <f>HYPERLINK("https://twitter.com/petrogustavo","@petrogustavo")</f>
        <v>@petrogustavo</v>
      </c>
      <c r="C6949" s="5" t="s">
        <v>16</v>
      </c>
      <c r="D6949" s="5" t="s">
        <v>6730</v>
      </c>
      <c r="E6949" s="6" t="str">
        <f>HYPERLINK("https://twitter.com/petrogustavo/status/1276646681942122498","1276646681942122498")</f>
        <v>1276646681942122498</v>
      </c>
      <c r="F6949" s="7" t="s">
        <v>17</v>
      </c>
      <c r="G6949" s="7">
        <v>3893508</v>
      </c>
      <c r="H6949" s="7">
        <v>2418</v>
      </c>
      <c r="I6949" s="7">
        <v>89</v>
      </c>
      <c r="J6949" s="7">
        <v>160</v>
      </c>
      <c r="K6949" s="7" t="s">
        <v>18</v>
      </c>
      <c r="L6949" s="8">
        <v>39987.315405092595</v>
      </c>
      <c r="M6949" s="9" t="s">
        <v>19</v>
      </c>
      <c r="N6949" s="9" t="s">
        <v>20</v>
      </c>
      <c r="O6949" s="6" t="str">
        <f>HYPERLINK("https://pbs.twimg.com/profile_images/962471262747529216/Uo8lOkRJ_normal.jpg","View")</f>
        <v>View</v>
      </c>
      <c r="P6949" s="7"/>
    </row>
    <row r="6950" spans="1:16">
      <c r="A6950" s="3">
        <v>44009.192673611113</v>
      </c>
      <c r="B6950" s="4" t="str">
        <f>HYPERLINK("https://twitter.com/petrogustavo","@petrogustavo")</f>
        <v>@petrogustavo</v>
      </c>
      <c r="C6950" s="5" t="s">
        <v>16</v>
      </c>
      <c r="D6950" s="5" t="s">
        <v>6731</v>
      </c>
      <c r="E6950" s="6" t="str">
        <f>HYPERLINK("https://twitter.com/petrogustavo/status/1276653329704198145","1276653329704198145")</f>
        <v>1276653329704198145</v>
      </c>
      <c r="F6950" s="7" t="s">
        <v>17</v>
      </c>
      <c r="G6950" s="7">
        <v>3893558</v>
      </c>
      <c r="H6950" s="7">
        <v>2418</v>
      </c>
      <c r="I6950" s="7">
        <v>606</v>
      </c>
      <c r="J6950" s="7">
        <v>941</v>
      </c>
      <c r="K6950" s="7" t="s">
        <v>18</v>
      </c>
      <c r="L6950" s="8">
        <v>39987.315405092595</v>
      </c>
      <c r="M6950" s="9" t="s">
        <v>19</v>
      </c>
      <c r="N6950" s="9" t="s">
        <v>20</v>
      </c>
      <c r="O6950" s="6" t="str">
        <f>HYPERLINK("https://pbs.twimg.com/profile_images/962471262747529216/Uo8lOkRJ_normal.jpg","View")</f>
        <v>View</v>
      </c>
      <c r="P6950" s="7"/>
    </row>
    <row r="6951" spans="1:16">
      <c r="A6951" s="3">
        <v>44009.245127314818</v>
      </c>
      <c r="B6951" s="4" t="str">
        <f>HYPERLINK("https://twitter.com/petrogustavo","@petrogustavo")</f>
        <v>@petrogustavo</v>
      </c>
      <c r="C6951" s="5" t="s">
        <v>16</v>
      </c>
      <c r="D6951" s="5" t="s">
        <v>6732</v>
      </c>
      <c r="E6951" s="6" t="str">
        <f>HYPERLINK("https://twitter.com/petrogustavo/status/1276672337270706177","1276672337270706177")</f>
        <v>1276672337270706177</v>
      </c>
      <c r="F6951" s="7" t="s">
        <v>32</v>
      </c>
      <c r="G6951" s="7">
        <v>3893637</v>
      </c>
      <c r="H6951" s="7">
        <v>2418</v>
      </c>
      <c r="I6951" s="7">
        <v>48</v>
      </c>
      <c r="J6951" s="7">
        <v>0</v>
      </c>
      <c r="K6951" s="7" t="s">
        <v>18</v>
      </c>
      <c r="L6951" s="8">
        <v>39987.315405092595</v>
      </c>
      <c r="M6951" s="9" t="s">
        <v>19</v>
      </c>
      <c r="N6951" s="9" t="s">
        <v>20</v>
      </c>
      <c r="O6951" s="6" t="str">
        <f>HYPERLINK("https://pbs.twimg.com/profile_images/962471262747529216/Uo8lOkRJ_normal.jpg","View")</f>
        <v>View</v>
      </c>
      <c r="P6951" s="7"/>
    </row>
    <row r="6952" spans="1:16">
      <c r="A6952" s="3">
        <v>44009.245856481481</v>
      </c>
      <c r="B6952" s="4" t="str">
        <f>HYPERLINK("https://twitter.com/petrogustavo","@petrogustavo")</f>
        <v>@petrogustavo</v>
      </c>
      <c r="C6952" s="5" t="s">
        <v>16</v>
      </c>
      <c r="D6952" s="5" t="s">
        <v>6733</v>
      </c>
      <c r="E6952" s="6" t="str">
        <f>HYPERLINK("https://twitter.com/petrogustavo/status/1276672604066193408","1276672604066193408")</f>
        <v>1276672604066193408</v>
      </c>
      <c r="F6952" s="7" t="s">
        <v>32</v>
      </c>
      <c r="G6952" s="7">
        <v>3893637</v>
      </c>
      <c r="H6952" s="7">
        <v>2418</v>
      </c>
      <c r="I6952" s="7">
        <v>600</v>
      </c>
      <c r="J6952" s="7">
        <v>0</v>
      </c>
      <c r="K6952" s="7" t="s">
        <v>18</v>
      </c>
      <c r="L6952" s="8">
        <v>39987.315405092595</v>
      </c>
      <c r="M6952" s="9" t="s">
        <v>19</v>
      </c>
      <c r="N6952" s="9" t="s">
        <v>20</v>
      </c>
      <c r="O6952" s="6" t="str">
        <f>HYPERLINK("https://pbs.twimg.com/profile_images/962471262747529216/Uo8lOkRJ_normal.jpg","View")</f>
        <v>View</v>
      </c>
      <c r="P6952" s="7"/>
    </row>
    <row r="6953" spans="1:16">
      <c r="A6953" s="3">
        <v>44009.773900462962</v>
      </c>
      <c r="B6953" s="4" t="str">
        <f>HYPERLINK("https://twitter.com/petrogustavo","@petrogustavo")</f>
        <v>@petrogustavo</v>
      </c>
      <c r="C6953" s="5" t="s">
        <v>16</v>
      </c>
      <c r="D6953" s="5" t="s">
        <v>6734</v>
      </c>
      <c r="E6953" s="6" t="str">
        <f>HYPERLINK("https://twitter.com/petrogustavo/status/1276863958377476100","1276863958377476100")</f>
        <v>1276863958377476100</v>
      </c>
      <c r="F6953" s="7" t="s">
        <v>32</v>
      </c>
      <c r="G6953" s="7">
        <v>3894062</v>
      </c>
      <c r="H6953" s="7">
        <v>2418</v>
      </c>
      <c r="I6953" s="7">
        <v>1262</v>
      </c>
      <c r="J6953" s="7">
        <v>0</v>
      </c>
      <c r="K6953" s="7" t="s">
        <v>18</v>
      </c>
      <c r="L6953" s="8">
        <v>39987.315405092595</v>
      </c>
      <c r="M6953" s="9" t="s">
        <v>19</v>
      </c>
      <c r="N6953" s="9" t="s">
        <v>20</v>
      </c>
      <c r="O6953" s="6" t="str">
        <f>HYPERLINK("https://pbs.twimg.com/profile_images/962471262747529216/Uo8lOkRJ_normal.jpg","View")</f>
        <v>View</v>
      </c>
      <c r="P6953" s="7"/>
    </row>
    <row r="6954" spans="1:16">
      <c r="A6954" s="3">
        <v>44009.815138888887</v>
      </c>
      <c r="B6954" s="4" t="str">
        <f>HYPERLINK("https://twitter.com/petrogustavo","@petrogustavo")</f>
        <v>@petrogustavo</v>
      </c>
      <c r="C6954" s="5" t="s">
        <v>16</v>
      </c>
      <c r="D6954" s="5" t="s">
        <v>6735</v>
      </c>
      <c r="E6954" s="6" t="str">
        <f>HYPERLINK("https://twitter.com/petrogustavo/status/1276878904683347970","1276878904683347970")</f>
        <v>1276878904683347970</v>
      </c>
      <c r="F6954" s="7" t="s">
        <v>32</v>
      </c>
      <c r="G6954" s="7">
        <v>3894159</v>
      </c>
      <c r="H6954" s="7">
        <v>2418</v>
      </c>
      <c r="I6954" s="7">
        <v>75</v>
      </c>
      <c r="J6954" s="7">
        <v>0</v>
      </c>
      <c r="K6954" s="7" t="s">
        <v>18</v>
      </c>
      <c r="L6954" s="8">
        <v>39987.315405092595</v>
      </c>
      <c r="M6954" s="9" t="s">
        <v>19</v>
      </c>
      <c r="N6954" s="9" t="s">
        <v>20</v>
      </c>
      <c r="O6954" s="6" t="str">
        <f>HYPERLINK("https://pbs.twimg.com/profile_images/962471262747529216/Uo8lOkRJ_normal.jpg","View")</f>
        <v>View</v>
      </c>
      <c r="P6954" s="7"/>
    </row>
    <row r="6955" spans="1:16">
      <c r="A6955" s="3">
        <v>44009.879606481481</v>
      </c>
      <c r="B6955" s="4" t="str">
        <f>HYPERLINK("https://twitter.com/petrogustavo","@petrogustavo")</f>
        <v>@petrogustavo</v>
      </c>
      <c r="C6955" s="5" t="s">
        <v>16</v>
      </c>
      <c r="D6955" s="5" t="s">
        <v>6736</v>
      </c>
      <c r="E6955" s="6" t="str">
        <f>HYPERLINK("https://twitter.com/petrogustavo/status/1276902264515502081","1276902264515502081")</f>
        <v>1276902264515502081</v>
      </c>
      <c r="F6955" s="7" t="s">
        <v>32</v>
      </c>
      <c r="G6955" s="7">
        <v>3894277</v>
      </c>
      <c r="H6955" s="7">
        <v>2418</v>
      </c>
      <c r="I6955" s="7">
        <v>178</v>
      </c>
      <c r="J6955" s="7">
        <v>465</v>
      </c>
      <c r="K6955" s="7" t="s">
        <v>18</v>
      </c>
      <c r="L6955" s="8">
        <v>39987.315405092595</v>
      </c>
      <c r="M6955" s="9" t="s">
        <v>19</v>
      </c>
      <c r="N6955" s="9" t="s">
        <v>20</v>
      </c>
      <c r="O6955" s="6" t="str">
        <f>HYPERLINK("https://pbs.twimg.com/profile_images/962471262747529216/Uo8lOkRJ_normal.jpg","View")</f>
        <v>View</v>
      </c>
      <c r="P6955" s="7"/>
    </row>
    <row r="6956" spans="1:16">
      <c r="A6956" s="3">
        <v>44009.887766203705</v>
      </c>
      <c r="B6956" s="4" t="str">
        <f>HYPERLINK("https://twitter.com/petrogustavo","@petrogustavo")</f>
        <v>@petrogustavo</v>
      </c>
      <c r="C6956" s="5" t="s">
        <v>16</v>
      </c>
      <c r="D6956" s="5" t="s">
        <v>6737</v>
      </c>
      <c r="E6956" s="6" t="str">
        <f>HYPERLINK("https://twitter.com/petrogustavo/status/1276905221051088897","1276905221051088897")</f>
        <v>1276905221051088897</v>
      </c>
      <c r="F6956" s="7" t="s">
        <v>32</v>
      </c>
      <c r="G6956" s="7">
        <v>3894277</v>
      </c>
      <c r="H6956" s="7">
        <v>2418</v>
      </c>
      <c r="I6956" s="7">
        <v>119</v>
      </c>
      <c r="J6956" s="7">
        <v>305</v>
      </c>
      <c r="K6956" s="7" t="s">
        <v>18</v>
      </c>
      <c r="L6956" s="8">
        <v>39987.315405092595</v>
      </c>
      <c r="M6956" s="9" t="s">
        <v>19</v>
      </c>
      <c r="N6956" s="9" t="s">
        <v>20</v>
      </c>
      <c r="O6956" s="6" t="str">
        <f>HYPERLINK("https://pbs.twimg.com/profile_images/962471262747529216/Uo8lOkRJ_normal.jpg","View")</f>
        <v>View</v>
      </c>
      <c r="P6956" s="7"/>
    </row>
    <row r="6957" spans="1:16">
      <c r="A6957" s="3">
        <v>44009.891273148147</v>
      </c>
      <c r="B6957" s="4" t="str">
        <f>HYPERLINK("https://twitter.com/petrogustavo","@petrogustavo")</f>
        <v>@petrogustavo</v>
      </c>
      <c r="C6957" s="5" t="s">
        <v>16</v>
      </c>
      <c r="D6957" s="5" t="s">
        <v>6738</v>
      </c>
      <c r="E6957" s="6" t="str">
        <f>HYPERLINK("https://twitter.com/petrogustavo/status/1276906494026485760","1276906494026485760")</f>
        <v>1276906494026485760</v>
      </c>
      <c r="F6957" s="7" t="s">
        <v>32</v>
      </c>
      <c r="G6957" s="7">
        <v>3894277</v>
      </c>
      <c r="H6957" s="7">
        <v>2418</v>
      </c>
      <c r="I6957" s="7">
        <v>69</v>
      </c>
      <c r="J6957" s="7">
        <v>141</v>
      </c>
      <c r="K6957" s="7" t="s">
        <v>18</v>
      </c>
      <c r="L6957" s="8">
        <v>39987.315405092595</v>
      </c>
      <c r="M6957" s="9" t="s">
        <v>19</v>
      </c>
      <c r="N6957" s="9" t="s">
        <v>20</v>
      </c>
      <c r="O6957" s="6" t="str">
        <f>HYPERLINK("https://pbs.twimg.com/profile_images/962471262747529216/Uo8lOkRJ_normal.jpg","View")</f>
        <v>View</v>
      </c>
      <c r="P6957" s="7"/>
    </row>
    <row r="6958" spans="1:16">
      <c r="A6958" s="3">
        <v>44009.89163194444</v>
      </c>
      <c r="B6958" s="4" t="str">
        <f>HYPERLINK("https://twitter.com/petrogustavo","@petrogustavo")</f>
        <v>@petrogustavo</v>
      </c>
      <c r="C6958" s="5" t="s">
        <v>16</v>
      </c>
      <c r="D6958" s="5" t="s">
        <v>6739</v>
      </c>
      <c r="E6958" s="6" t="str">
        <f>HYPERLINK("https://twitter.com/petrogustavo/status/1276906623588589568","1276906623588589568")</f>
        <v>1276906623588589568</v>
      </c>
      <c r="F6958" s="7" t="s">
        <v>32</v>
      </c>
      <c r="G6958" s="7">
        <v>3894277</v>
      </c>
      <c r="H6958" s="7">
        <v>2418</v>
      </c>
      <c r="I6958" s="7">
        <v>119</v>
      </c>
      <c r="J6958" s="7">
        <v>0</v>
      </c>
      <c r="K6958" s="7" t="s">
        <v>18</v>
      </c>
      <c r="L6958" s="8">
        <v>39987.315405092595</v>
      </c>
      <c r="M6958" s="9" t="s">
        <v>19</v>
      </c>
      <c r="N6958" s="9" t="s">
        <v>20</v>
      </c>
      <c r="O6958" s="6" t="str">
        <f>HYPERLINK("https://pbs.twimg.com/profile_images/962471262747529216/Uo8lOkRJ_normal.jpg","View")</f>
        <v>View</v>
      </c>
      <c r="P6958" s="7"/>
    </row>
    <row r="6959" spans="1:16">
      <c r="A6959" s="3">
        <v>44009.906956018516</v>
      </c>
      <c r="B6959" s="4" t="str">
        <f>HYPERLINK("https://twitter.com/petrogustavo","@petrogustavo")</f>
        <v>@petrogustavo</v>
      </c>
      <c r="C6959" s="5" t="s">
        <v>16</v>
      </c>
      <c r="D6959" s="5" t="s">
        <v>6740</v>
      </c>
      <c r="E6959" s="6" t="str">
        <f>HYPERLINK("https://twitter.com/petrogustavo/status/1276912175563620352","1276912175563620352")</f>
        <v>1276912175563620352</v>
      </c>
      <c r="F6959" s="7" t="s">
        <v>32</v>
      </c>
      <c r="G6959" s="7">
        <v>3894325</v>
      </c>
      <c r="H6959" s="7">
        <v>2418</v>
      </c>
      <c r="I6959" s="7">
        <v>163</v>
      </c>
      <c r="J6959" s="7">
        <v>430</v>
      </c>
      <c r="K6959" s="7" t="s">
        <v>18</v>
      </c>
      <c r="L6959" s="8">
        <v>39987.315405092595</v>
      </c>
      <c r="M6959" s="9" t="s">
        <v>19</v>
      </c>
      <c r="N6959" s="9" t="s">
        <v>20</v>
      </c>
      <c r="O6959" s="6" t="str">
        <f>HYPERLINK("https://pbs.twimg.com/profile_images/962471262747529216/Uo8lOkRJ_normal.jpg","View")</f>
        <v>View</v>
      </c>
      <c r="P6959" s="7"/>
    </row>
    <row r="6960" spans="1:16">
      <c r="A6960" s="3">
        <v>44010.008993055555</v>
      </c>
      <c r="B6960" s="4" t="str">
        <f>HYPERLINK("https://twitter.com/petrogustavo","@petrogustavo")</f>
        <v>@petrogustavo</v>
      </c>
      <c r="C6960" s="5" t="s">
        <v>16</v>
      </c>
      <c r="D6960" s="5" t="s">
        <v>6741</v>
      </c>
      <c r="E6960" s="6" t="str">
        <f>HYPERLINK("https://twitter.com/petrogustavo/status/1276949154057641984","1276949154057641984")</f>
        <v>1276949154057641984</v>
      </c>
      <c r="F6960" s="7" t="s">
        <v>17</v>
      </c>
      <c r="G6960" s="7">
        <v>3894492</v>
      </c>
      <c r="H6960" s="7">
        <v>2418</v>
      </c>
      <c r="I6960" s="7">
        <v>126</v>
      </c>
      <c r="J6960" s="7">
        <v>0</v>
      </c>
      <c r="K6960" s="7" t="s">
        <v>18</v>
      </c>
      <c r="L6960" s="8">
        <v>39987.315405092595</v>
      </c>
      <c r="M6960" s="9" t="s">
        <v>19</v>
      </c>
      <c r="N6960" s="9" t="s">
        <v>20</v>
      </c>
      <c r="O6960" s="6" t="str">
        <f>HYPERLINK("https://pbs.twimg.com/profile_images/962471262747529216/Uo8lOkRJ_normal.jpg","View")</f>
        <v>View</v>
      </c>
      <c r="P6960" s="7"/>
    </row>
    <row r="6961" spans="1:16">
      <c r="A6961" s="3">
        <v>44010.009398148148</v>
      </c>
      <c r="B6961" s="4" t="str">
        <f>HYPERLINK("https://twitter.com/petrogustavo","@petrogustavo")</f>
        <v>@petrogustavo</v>
      </c>
      <c r="C6961" s="5" t="s">
        <v>16</v>
      </c>
      <c r="D6961" s="5" t="s">
        <v>6742</v>
      </c>
      <c r="E6961" s="6" t="str">
        <f>HYPERLINK("https://twitter.com/petrogustavo/status/1276949302661787651","1276949302661787651")</f>
        <v>1276949302661787651</v>
      </c>
      <c r="F6961" s="7" t="s">
        <v>17</v>
      </c>
      <c r="G6961" s="7">
        <v>3894492</v>
      </c>
      <c r="H6961" s="7">
        <v>2418</v>
      </c>
      <c r="I6961" s="7">
        <v>69</v>
      </c>
      <c r="J6961" s="7">
        <v>0</v>
      </c>
      <c r="K6961" s="7" t="s">
        <v>18</v>
      </c>
      <c r="L6961" s="8">
        <v>39987.315405092595</v>
      </c>
      <c r="M6961" s="9" t="s">
        <v>19</v>
      </c>
      <c r="N6961" s="9" t="s">
        <v>20</v>
      </c>
      <c r="O6961" s="6" t="str">
        <f>HYPERLINK("https://pbs.twimg.com/profile_images/962471262747529216/Uo8lOkRJ_normal.jpg","View")</f>
        <v>View</v>
      </c>
      <c r="P6961" s="7"/>
    </row>
    <row r="6962" spans="1:16">
      <c r="A6962" s="3">
        <v>44010.012407407412</v>
      </c>
      <c r="B6962" s="4" t="str">
        <f>HYPERLINK("https://twitter.com/petrogustavo","@petrogustavo")</f>
        <v>@petrogustavo</v>
      </c>
      <c r="C6962" s="5" t="s">
        <v>16</v>
      </c>
      <c r="D6962" s="5" t="s">
        <v>6743</v>
      </c>
      <c r="E6962" s="6" t="str">
        <f>HYPERLINK("https://twitter.com/petrogustavo/status/1276950392757276673","1276950392757276673")</f>
        <v>1276950392757276673</v>
      </c>
      <c r="F6962" s="7" t="s">
        <v>17</v>
      </c>
      <c r="G6962" s="7">
        <v>3894492</v>
      </c>
      <c r="H6962" s="7">
        <v>2418</v>
      </c>
      <c r="I6962" s="7">
        <v>123</v>
      </c>
      <c r="J6962" s="7">
        <v>245</v>
      </c>
      <c r="K6962" s="7" t="s">
        <v>18</v>
      </c>
      <c r="L6962" s="8">
        <v>39987.315405092595</v>
      </c>
      <c r="M6962" s="9" t="s">
        <v>19</v>
      </c>
      <c r="N6962" s="9" t="s">
        <v>20</v>
      </c>
      <c r="O6962" s="6" t="str">
        <f>HYPERLINK("https://pbs.twimg.com/profile_images/962471262747529216/Uo8lOkRJ_normal.jpg","View")</f>
        <v>View</v>
      </c>
      <c r="P6962" s="7"/>
    </row>
    <row r="6963" spans="1:16">
      <c r="A6963" s="3">
        <v>44010.054872685185</v>
      </c>
      <c r="B6963" s="4" t="str">
        <f>HYPERLINK("https://twitter.com/petrogustavo","@petrogustavo")</f>
        <v>@petrogustavo</v>
      </c>
      <c r="C6963" s="5" t="s">
        <v>16</v>
      </c>
      <c r="D6963" s="5" t="s">
        <v>6744</v>
      </c>
      <c r="E6963" s="6" t="str">
        <f>HYPERLINK("https://twitter.com/petrogustavo/status/1276965781578952709","1276965781578952709")</f>
        <v>1276965781578952709</v>
      </c>
      <c r="F6963" s="7" t="s">
        <v>17</v>
      </c>
      <c r="G6963" s="7">
        <v>3894557</v>
      </c>
      <c r="H6963" s="7">
        <v>2418</v>
      </c>
      <c r="I6963" s="7">
        <v>265</v>
      </c>
      <c r="J6963" s="7">
        <v>471</v>
      </c>
      <c r="K6963" s="7" t="s">
        <v>18</v>
      </c>
      <c r="L6963" s="8">
        <v>39987.315405092595</v>
      </c>
      <c r="M6963" s="9" t="s">
        <v>19</v>
      </c>
      <c r="N6963" s="9" t="s">
        <v>20</v>
      </c>
      <c r="O6963" s="6" t="str">
        <f>HYPERLINK("https://pbs.twimg.com/profile_images/962471262747529216/Uo8lOkRJ_normal.jpg","View")</f>
        <v>View</v>
      </c>
      <c r="P6963" s="7"/>
    </row>
    <row r="6964" spans="1:16">
      <c r="A6964" s="3">
        <v>44010.06086805556</v>
      </c>
      <c r="B6964" s="4" t="str">
        <f>HYPERLINK("https://twitter.com/petrogustavo","@petrogustavo")</f>
        <v>@petrogustavo</v>
      </c>
      <c r="C6964" s="5" t="s">
        <v>16</v>
      </c>
      <c r="D6964" s="5" t="s">
        <v>6745</v>
      </c>
      <c r="E6964" s="6" t="str">
        <f>HYPERLINK("https://twitter.com/petrogustavo/status/1276967951565029382","1276967951565029382")</f>
        <v>1276967951565029382</v>
      </c>
      <c r="F6964" s="7" t="s">
        <v>17</v>
      </c>
      <c r="G6964" s="7">
        <v>3894557</v>
      </c>
      <c r="H6964" s="7">
        <v>2418</v>
      </c>
      <c r="I6964" s="7">
        <v>324</v>
      </c>
      <c r="J6964" s="7">
        <v>0</v>
      </c>
      <c r="K6964" s="7" t="s">
        <v>18</v>
      </c>
      <c r="L6964" s="8">
        <v>39987.315405092595</v>
      </c>
      <c r="M6964" s="9" t="s">
        <v>19</v>
      </c>
      <c r="N6964" s="9" t="s">
        <v>20</v>
      </c>
      <c r="O6964" s="6" t="str">
        <f>HYPERLINK("https://pbs.twimg.com/profile_images/962471262747529216/Uo8lOkRJ_normal.jpg","View")</f>
        <v>View</v>
      </c>
      <c r="P6964" s="7"/>
    </row>
    <row r="6965" spans="1:16">
      <c r="A6965" s="3">
        <v>44010.231203703705</v>
      </c>
      <c r="B6965" s="4" t="str">
        <f>HYPERLINK("https://twitter.com/petrogustavo","@petrogustavo")</f>
        <v>@petrogustavo</v>
      </c>
      <c r="C6965" s="5" t="s">
        <v>16</v>
      </c>
      <c r="D6965" s="5" t="s">
        <v>6734</v>
      </c>
      <c r="E6965" s="6" t="str">
        <f>HYPERLINK("https://twitter.com/petrogustavo/status/1277029679539654657","1277029679539654657")</f>
        <v>1277029679539654657</v>
      </c>
      <c r="F6965" s="7" t="s">
        <v>17</v>
      </c>
      <c r="G6965" s="7">
        <v>3894760</v>
      </c>
      <c r="H6965" s="7">
        <v>2418</v>
      </c>
      <c r="I6965" s="7">
        <v>1381</v>
      </c>
      <c r="J6965" s="7">
        <v>0</v>
      </c>
      <c r="K6965" s="7" t="s">
        <v>18</v>
      </c>
      <c r="L6965" s="8">
        <v>39987.315405092595</v>
      </c>
      <c r="M6965" s="9" t="s">
        <v>19</v>
      </c>
      <c r="N6965" s="9" t="s">
        <v>20</v>
      </c>
      <c r="O6965" s="6" t="str">
        <f>HYPERLINK("https://pbs.twimg.com/profile_images/962471262747529216/Uo8lOkRJ_normal.jpg","View")</f>
        <v>View</v>
      </c>
      <c r="P6965" s="7"/>
    </row>
    <row r="6966" spans="1:16">
      <c r="A6966" s="3">
        <v>44010.27952546296</v>
      </c>
      <c r="B6966" s="4" t="str">
        <f>HYPERLINK("https://twitter.com/petrogustavo","@petrogustavo")</f>
        <v>@petrogustavo</v>
      </c>
      <c r="C6966" s="5" t="s">
        <v>16</v>
      </c>
      <c r="D6966" s="5" t="s">
        <v>6746</v>
      </c>
      <c r="E6966" s="6" t="str">
        <f>HYPERLINK("https://twitter.com/petrogustavo/status/1277047193170518017","1277047193170518017")</f>
        <v>1277047193170518017</v>
      </c>
      <c r="F6966" s="7" t="s">
        <v>17</v>
      </c>
      <c r="G6966" s="7">
        <v>3894847</v>
      </c>
      <c r="H6966" s="7">
        <v>2418</v>
      </c>
      <c r="I6966" s="7">
        <v>415</v>
      </c>
      <c r="J6966" s="7">
        <v>1337</v>
      </c>
      <c r="K6966" s="7" t="s">
        <v>18</v>
      </c>
      <c r="L6966" s="8">
        <v>39987.315405092595</v>
      </c>
      <c r="M6966" s="9" t="s">
        <v>19</v>
      </c>
      <c r="N6966" s="9" t="s">
        <v>20</v>
      </c>
      <c r="O6966" s="6" t="str">
        <f>HYPERLINK("https://pbs.twimg.com/profile_images/962471262747529216/Uo8lOkRJ_normal.jpg","View")</f>
        <v>View</v>
      </c>
      <c r="P6966" s="7"/>
    </row>
    <row r="6967" spans="1:16">
      <c r="A6967" s="3">
        <v>44010.333668981482</v>
      </c>
      <c r="B6967" s="4" t="str">
        <f>HYPERLINK("https://twitter.com/petrogustavo","@petrogustavo")</f>
        <v>@petrogustavo</v>
      </c>
      <c r="C6967" s="5" t="s">
        <v>16</v>
      </c>
      <c r="D6967" s="5" t="s">
        <v>6745</v>
      </c>
      <c r="E6967" s="6" t="str">
        <f>HYPERLINK("https://twitter.com/petrogustavo/status/1277066811922681857","1277066811922681857")</f>
        <v>1277066811922681857</v>
      </c>
      <c r="F6967" s="7" t="s">
        <v>17</v>
      </c>
      <c r="G6967" s="7">
        <v>3894911</v>
      </c>
      <c r="H6967" s="7">
        <v>2418</v>
      </c>
      <c r="I6967" s="7">
        <v>768</v>
      </c>
      <c r="J6967" s="7">
        <v>0</v>
      </c>
      <c r="K6967" s="7" t="s">
        <v>18</v>
      </c>
      <c r="L6967" s="8">
        <v>39987.315405092595</v>
      </c>
      <c r="M6967" s="9" t="s">
        <v>19</v>
      </c>
      <c r="N6967" s="9" t="s">
        <v>20</v>
      </c>
      <c r="O6967" s="6" t="str">
        <f>HYPERLINK("https://pbs.twimg.com/profile_images/962471262747529216/Uo8lOkRJ_normal.jpg","View")</f>
        <v>View</v>
      </c>
      <c r="P6967" s="7"/>
    </row>
    <row r="6968" spans="1:16">
      <c r="A6968" s="3">
        <v>44010.333796296298</v>
      </c>
      <c r="B6968" s="4" t="str">
        <f>HYPERLINK("https://twitter.com/petrogustavo","@petrogustavo")</f>
        <v>@petrogustavo</v>
      </c>
      <c r="C6968" s="5" t="s">
        <v>16</v>
      </c>
      <c r="D6968" s="5" t="s">
        <v>6747</v>
      </c>
      <c r="E6968" s="6" t="str">
        <f>HYPERLINK("https://twitter.com/petrogustavo/status/1277066859473485831","1277066859473485831")</f>
        <v>1277066859473485831</v>
      </c>
      <c r="F6968" s="7" t="s">
        <v>17</v>
      </c>
      <c r="G6968" s="7">
        <v>3894911</v>
      </c>
      <c r="H6968" s="7">
        <v>2418</v>
      </c>
      <c r="I6968" s="7">
        <v>955</v>
      </c>
      <c r="J6968" s="7">
        <v>0</v>
      </c>
      <c r="K6968" s="7" t="s">
        <v>18</v>
      </c>
      <c r="L6968" s="8">
        <v>39987.315405092595</v>
      </c>
      <c r="M6968" s="9" t="s">
        <v>19</v>
      </c>
      <c r="N6968" s="9" t="s">
        <v>20</v>
      </c>
      <c r="O6968" s="6" t="str">
        <f>HYPERLINK("https://pbs.twimg.com/profile_images/962471262747529216/Uo8lOkRJ_normal.jpg","View")</f>
        <v>View</v>
      </c>
      <c r="P6968" s="7"/>
    </row>
    <row r="6969" spans="1:16">
      <c r="A6969" s="3">
        <v>44010.720659722225</v>
      </c>
      <c r="B6969" s="4" t="str">
        <f>HYPERLINK("https://twitter.com/petrogustavo","@petrogustavo")</f>
        <v>@petrogustavo</v>
      </c>
      <c r="C6969" s="5" t="s">
        <v>16</v>
      </c>
      <c r="D6969" s="5" t="s">
        <v>6748</v>
      </c>
      <c r="E6969" s="6" t="str">
        <f>HYPERLINK("https://twitter.com/petrogustavo/status/1277207052969029633","1277207052969029633")</f>
        <v>1277207052969029633</v>
      </c>
      <c r="F6969" s="7" t="s">
        <v>17</v>
      </c>
      <c r="G6969" s="7">
        <v>3895064</v>
      </c>
      <c r="H6969" s="7">
        <v>2418</v>
      </c>
      <c r="I6969" s="7">
        <v>733</v>
      </c>
      <c r="J6969" s="7">
        <v>0</v>
      </c>
      <c r="K6969" s="7" t="s">
        <v>18</v>
      </c>
      <c r="L6969" s="8">
        <v>39987.315405092595</v>
      </c>
      <c r="M6969" s="9" t="s">
        <v>19</v>
      </c>
      <c r="N6969" s="9" t="s">
        <v>20</v>
      </c>
      <c r="O6969" s="6" t="str">
        <f>HYPERLINK("https://pbs.twimg.com/profile_images/962471262747529216/Uo8lOkRJ_normal.jpg","View")</f>
        <v>View</v>
      </c>
      <c r="P6969" s="7"/>
    </row>
    <row r="6970" spans="1:16">
      <c r="A6970" s="3">
        <v>44010.720937499995</v>
      </c>
      <c r="B6970" s="4" t="str">
        <f>HYPERLINK("https://twitter.com/petrogustavo","@petrogustavo")</f>
        <v>@petrogustavo</v>
      </c>
      <c r="C6970" s="5" t="s">
        <v>16</v>
      </c>
      <c r="D6970" s="5" t="s">
        <v>6749</v>
      </c>
      <c r="E6970" s="6" t="str">
        <f>HYPERLINK("https://twitter.com/petrogustavo/status/1277207154802524160","1277207154802524160")</f>
        <v>1277207154802524160</v>
      </c>
      <c r="F6970" s="7" t="s">
        <v>17</v>
      </c>
      <c r="G6970" s="7">
        <v>3895064</v>
      </c>
      <c r="H6970" s="7">
        <v>2418</v>
      </c>
      <c r="I6970" s="7">
        <v>91</v>
      </c>
      <c r="J6970" s="7">
        <v>0</v>
      </c>
      <c r="K6970" s="7" t="s">
        <v>18</v>
      </c>
      <c r="L6970" s="8">
        <v>39987.315405092595</v>
      </c>
      <c r="M6970" s="9" t="s">
        <v>19</v>
      </c>
      <c r="N6970" s="9" t="s">
        <v>20</v>
      </c>
      <c r="O6970" s="6" t="str">
        <f>HYPERLINK("https://pbs.twimg.com/profile_images/962471262747529216/Uo8lOkRJ_normal.jpg","View")</f>
        <v>View</v>
      </c>
      <c r="P6970" s="7"/>
    </row>
    <row r="6971" spans="1:16">
      <c r="A6971" s="3">
        <v>44010.723634259259</v>
      </c>
      <c r="B6971" s="4" t="str">
        <f>HYPERLINK("https://twitter.com/petrogustavo","@petrogustavo")</f>
        <v>@petrogustavo</v>
      </c>
      <c r="C6971" s="5" t="s">
        <v>16</v>
      </c>
      <c r="D6971" s="5" t="s">
        <v>6750</v>
      </c>
      <c r="E6971" s="6" t="str">
        <f>HYPERLINK("https://twitter.com/petrogustavo/status/1277208131727249408","1277208131727249408")</f>
        <v>1277208131727249408</v>
      </c>
      <c r="F6971" s="7" t="s">
        <v>17</v>
      </c>
      <c r="G6971" s="7">
        <v>3895064</v>
      </c>
      <c r="H6971" s="7">
        <v>2418</v>
      </c>
      <c r="I6971" s="7">
        <v>91</v>
      </c>
      <c r="J6971" s="7">
        <v>121</v>
      </c>
      <c r="K6971" s="7" t="s">
        <v>18</v>
      </c>
      <c r="L6971" s="8">
        <v>39987.315405092595</v>
      </c>
      <c r="M6971" s="9" t="s">
        <v>19</v>
      </c>
      <c r="N6971" s="9" t="s">
        <v>20</v>
      </c>
      <c r="O6971" s="6" t="str">
        <f>HYPERLINK("https://pbs.twimg.com/profile_images/962471262747529216/Uo8lOkRJ_normal.jpg","View")</f>
        <v>View</v>
      </c>
      <c r="P6971" s="7"/>
    </row>
    <row r="6972" spans="1:16">
      <c r="A6972" s="3">
        <v>44010.724861111114</v>
      </c>
      <c r="B6972" s="4" t="str">
        <f>HYPERLINK("https://twitter.com/petrogustavo","@petrogustavo")</f>
        <v>@petrogustavo</v>
      </c>
      <c r="C6972" s="5" t="s">
        <v>16</v>
      </c>
      <c r="D6972" s="5" t="s">
        <v>6751</v>
      </c>
      <c r="E6972" s="6" t="str">
        <f>HYPERLINK("https://twitter.com/petrogustavo/status/1277208574045847554","1277208574045847554")</f>
        <v>1277208574045847554</v>
      </c>
      <c r="F6972" s="7" t="s">
        <v>17</v>
      </c>
      <c r="G6972" s="7">
        <v>3895064</v>
      </c>
      <c r="H6972" s="7">
        <v>2418</v>
      </c>
      <c r="I6972" s="7">
        <v>71</v>
      </c>
      <c r="J6972" s="7">
        <v>0</v>
      </c>
      <c r="K6972" s="7" t="s">
        <v>18</v>
      </c>
      <c r="L6972" s="8">
        <v>39987.315405092595</v>
      </c>
      <c r="M6972" s="9" t="s">
        <v>19</v>
      </c>
      <c r="N6972" s="9" t="s">
        <v>20</v>
      </c>
      <c r="O6972" s="6" t="str">
        <f>HYPERLINK("https://pbs.twimg.com/profile_images/962471262747529216/Uo8lOkRJ_normal.jpg","View")</f>
        <v>View</v>
      </c>
      <c r="P6972" s="7"/>
    </row>
    <row r="6973" spans="1:16">
      <c r="A6973" s="3">
        <v>44010.734097222223</v>
      </c>
      <c r="B6973" s="4" t="str">
        <f>HYPERLINK("https://twitter.com/petrogustavo","@petrogustavo")</f>
        <v>@petrogustavo</v>
      </c>
      <c r="C6973" s="5" t="s">
        <v>16</v>
      </c>
      <c r="D6973" s="5" t="s">
        <v>6752</v>
      </c>
      <c r="E6973" s="6" t="str">
        <f>HYPERLINK("https://twitter.com/petrogustavo/status/1277211924594413568","1277211924594413568")</f>
        <v>1277211924594413568</v>
      </c>
      <c r="F6973" s="7" t="s">
        <v>17</v>
      </c>
      <c r="G6973" s="7">
        <v>3895071</v>
      </c>
      <c r="H6973" s="7">
        <v>2418</v>
      </c>
      <c r="I6973" s="7">
        <v>89</v>
      </c>
      <c r="J6973" s="7">
        <v>192</v>
      </c>
      <c r="K6973" s="7" t="s">
        <v>18</v>
      </c>
      <c r="L6973" s="8">
        <v>39987.315405092595</v>
      </c>
      <c r="M6973" s="9" t="s">
        <v>19</v>
      </c>
      <c r="N6973" s="9" t="s">
        <v>20</v>
      </c>
      <c r="O6973" s="6" t="str">
        <f>HYPERLINK("https://pbs.twimg.com/profile_images/962471262747529216/Uo8lOkRJ_normal.jpg","View")</f>
        <v>View</v>
      </c>
      <c r="P6973" s="7"/>
    </row>
    <row r="6974" spans="1:16">
      <c r="A6974" s="3">
        <v>44010.791493055556</v>
      </c>
      <c r="B6974" s="4" t="str">
        <f>HYPERLINK("https://twitter.com/petrogustavo","@petrogustavo")</f>
        <v>@petrogustavo</v>
      </c>
      <c r="C6974" s="5" t="s">
        <v>16</v>
      </c>
      <c r="D6974" s="5" t="s">
        <v>6753</v>
      </c>
      <c r="E6974" s="6" t="str">
        <f>HYPERLINK("https://twitter.com/petrogustavo/status/1277232724051451904","1277232724051451904")</f>
        <v>1277232724051451904</v>
      </c>
      <c r="F6974" s="7" t="s">
        <v>17</v>
      </c>
      <c r="G6974" s="7">
        <v>3895117</v>
      </c>
      <c r="H6974" s="7">
        <v>2418</v>
      </c>
      <c r="I6974" s="7">
        <v>25</v>
      </c>
      <c r="J6974" s="7">
        <v>66</v>
      </c>
      <c r="K6974" s="7" t="s">
        <v>18</v>
      </c>
      <c r="L6974" s="8">
        <v>39987.315405092595</v>
      </c>
      <c r="M6974" s="9" t="s">
        <v>19</v>
      </c>
      <c r="N6974" s="9" t="s">
        <v>20</v>
      </c>
      <c r="O6974" s="6" t="str">
        <f>HYPERLINK("https://pbs.twimg.com/profile_images/962471262747529216/Uo8lOkRJ_normal.jpg","View")</f>
        <v>View</v>
      </c>
      <c r="P6974" s="7"/>
    </row>
    <row r="6975" spans="1:16">
      <c r="A6975" s="3">
        <v>44010.791620370372</v>
      </c>
      <c r="B6975" s="4" t="str">
        <f>HYPERLINK("https://twitter.com/petrogustavo","@petrogustavo")</f>
        <v>@petrogustavo</v>
      </c>
      <c r="C6975" s="5" t="s">
        <v>16</v>
      </c>
      <c r="D6975" s="5" t="s">
        <v>6754</v>
      </c>
      <c r="E6975" s="6" t="str">
        <f>HYPERLINK("https://twitter.com/petrogustavo/status/1277232769089835009","1277232769089835009")</f>
        <v>1277232769089835009</v>
      </c>
      <c r="F6975" s="7" t="s">
        <v>17</v>
      </c>
      <c r="G6975" s="7">
        <v>3895117</v>
      </c>
      <c r="H6975" s="7">
        <v>2418</v>
      </c>
      <c r="I6975" s="7">
        <v>271</v>
      </c>
      <c r="J6975" s="7">
        <v>0</v>
      </c>
      <c r="K6975" s="7" t="s">
        <v>18</v>
      </c>
      <c r="L6975" s="8">
        <v>39987.315405092595</v>
      </c>
      <c r="M6975" s="9" t="s">
        <v>19</v>
      </c>
      <c r="N6975" s="9" t="s">
        <v>20</v>
      </c>
      <c r="O6975" s="6" t="str">
        <f>HYPERLINK("https://pbs.twimg.com/profile_images/962471262747529216/Uo8lOkRJ_normal.jpg","View")</f>
        <v>View</v>
      </c>
      <c r="P6975" s="7"/>
    </row>
    <row r="6976" spans="1:16">
      <c r="A6976" s="3">
        <v>44010.794722222221</v>
      </c>
      <c r="B6976" s="4" t="str">
        <f>HYPERLINK("https://twitter.com/petrogustavo","@petrogustavo")</f>
        <v>@petrogustavo</v>
      </c>
      <c r="C6976" s="5" t="s">
        <v>16</v>
      </c>
      <c r="D6976" s="5" t="s">
        <v>6755</v>
      </c>
      <c r="E6976" s="6" t="str">
        <f>HYPERLINK("https://twitter.com/petrogustavo/status/1277233891208814597","1277233891208814597")</f>
        <v>1277233891208814597</v>
      </c>
      <c r="F6976" s="7" t="s">
        <v>17</v>
      </c>
      <c r="G6976" s="7">
        <v>3895141</v>
      </c>
      <c r="H6976" s="7">
        <v>2418</v>
      </c>
      <c r="I6976" s="7">
        <v>113</v>
      </c>
      <c r="J6976" s="7">
        <v>310</v>
      </c>
      <c r="K6976" s="7" t="s">
        <v>18</v>
      </c>
      <c r="L6976" s="8">
        <v>39987.315405092595</v>
      </c>
      <c r="M6976" s="9" t="s">
        <v>19</v>
      </c>
      <c r="N6976" s="9" t="s">
        <v>20</v>
      </c>
      <c r="O6976" s="6" t="str">
        <f>HYPERLINK("https://pbs.twimg.com/profile_images/962471262747529216/Uo8lOkRJ_normal.jpg","View")</f>
        <v>View</v>
      </c>
      <c r="P6976" s="7"/>
    </row>
    <row r="6977" spans="1:16">
      <c r="A6977" s="3">
        <v>44010.797673611116</v>
      </c>
      <c r="B6977" s="4" t="str">
        <f>HYPERLINK("https://twitter.com/petrogustavo","@petrogustavo")</f>
        <v>@petrogustavo</v>
      </c>
      <c r="C6977" s="5" t="s">
        <v>16</v>
      </c>
      <c r="D6977" s="5" t="s">
        <v>6756</v>
      </c>
      <c r="E6977" s="6" t="str">
        <f>HYPERLINK("https://twitter.com/petrogustavo/status/1277234961028976640","1277234961028976640")</f>
        <v>1277234961028976640</v>
      </c>
      <c r="F6977" s="7" t="s">
        <v>17</v>
      </c>
      <c r="G6977" s="7">
        <v>3895141</v>
      </c>
      <c r="H6977" s="7">
        <v>2418</v>
      </c>
      <c r="I6977" s="7">
        <v>80</v>
      </c>
      <c r="J6977" s="7">
        <v>165</v>
      </c>
      <c r="K6977" s="7" t="s">
        <v>18</v>
      </c>
      <c r="L6977" s="8">
        <v>39987.315405092595</v>
      </c>
      <c r="M6977" s="9" t="s">
        <v>19</v>
      </c>
      <c r="N6977" s="9" t="s">
        <v>20</v>
      </c>
      <c r="O6977" s="6" t="str">
        <f>HYPERLINK("https://pbs.twimg.com/profile_images/962471262747529216/Uo8lOkRJ_normal.jpg","View")</f>
        <v>View</v>
      </c>
      <c r="P6977" s="7"/>
    </row>
    <row r="6978" spans="1:16">
      <c r="A6978" s="3">
        <v>44010.799675925926</v>
      </c>
      <c r="B6978" s="4" t="str">
        <f>HYPERLINK("https://twitter.com/petrogustavo","@petrogustavo")</f>
        <v>@petrogustavo</v>
      </c>
      <c r="C6978" s="5" t="s">
        <v>16</v>
      </c>
      <c r="D6978" s="5" t="s">
        <v>6757</v>
      </c>
      <c r="E6978" s="6" t="str">
        <f>HYPERLINK("https://twitter.com/petrogustavo/status/1277235685984960512","1277235685984960512")</f>
        <v>1277235685984960512</v>
      </c>
      <c r="F6978" s="7" t="s">
        <v>17</v>
      </c>
      <c r="G6978" s="7">
        <v>3895141</v>
      </c>
      <c r="H6978" s="7">
        <v>2418</v>
      </c>
      <c r="I6978" s="7">
        <v>111</v>
      </c>
      <c r="J6978" s="7">
        <v>273</v>
      </c>
      <c r="K6978" s="7" t="s">
        <v>18</v>
      </c>
      <c r="L6978" s="8">
        <v>39987.315405092595</v>
      </c>
      <c r="M6978" s="9" t="s">
        <v>19</v>
      </c>
      <c r="N6978" s="9" t="s">
        <v>20</v>
      </c>
      <c r="O6978" s="6" t="str">
        <f>HYPERLINK("https://pbs.twimg.com/profile_images/962471262747529216/Uo8lOkRJ_normal.jpg","View")</f>
        <v>View</v>
      </c>
      <c r="P6978" s="7"/>
    </row>
    <row r="6979" spans="1:16">
      <c r="A6979" s="3">
        <v>44010.800173611111</v>
      </c>
      <c r="B6979" s="4" t="str">
        <f>HYPERLINK("https://twitter.com/petrogustavo","@petrogustavo")</f>
        <v>@petrogustavo</v>
      </c>
      <c r="C6979" s="5" t="s">
        <v>16</v>
      </c>
      <c r="D6979" s="5" t="s">
        <v>6754</v>
      </c>
      <c r="E6979" s="6" t="str">
        <f>HYPERLINK("https://twitter.com/petrogustavo/status/1277235870022721536","1277235870022721536")</f>
        <v>1277235870022721536</v>
      </c>
      <c r="F6979" s="7" t="s">
        <v>17</v>
      </c>
      <c r="G6979" s="7">
        <v>3895141</v>
      </c>
      <c r="H6979" s="7">
        <v>2418</v>
      </c>
      <c r="I6979" s="7">
        <v>353</v>
      </c>
      <c r="J6979" s="7">
        <v>0</v>
      </c>
      <c r="K6979" s="7" t="s">
        <v>18</v>
      </c>
      <c r="L6979" s="8">
        <v>39987.315405092595</v>
      </c>
      <c r="M6979" s="9" t="s">
        <v>19</v>
      </c>
      <c r="N6979" s="9" t="s">
        <v>20</v>
      </c>
      <c r="O6979" s="6" t="str">
        <f>HYPERLINK("https://pbs.twimg.com/profile_images/962471262747529216/Uo8lOkRJ_normal.jpg","View")</f>
        <v>View</v>
      </c>
      <c r="P6979" s="7"/>
    </row>
    <row r="6980" spans="1:16">
      <c r="A6980" s="3">
        <v>44010.802037037036</v>
      </c>
      <c r="B6980" s="4" t="str">
        <f>HYPERLINK("https://twitter.com/petrogustavo","@petrogustavo")</f>
        <v>@petrogustavo</v>
      </c>
      <c r="C6980" s="5" t="s">
        <v>16</v>
      </c>
      <c r="D6980" s="5" t="s">
        <v>6758</v>
      </c>
      <c r="E6980" s="6" t="str">
        <f>HYPERLINK("https://twitter.com/petrogustavo/status/1277236544072531977","1277236544072531977")</f>
        <v>1277236544072531977</v>
      </c>
      <c r="F6980" s="7" t="s">
        <v>17</v>
      </c>
      <c r="G6980" s="7">
        <v>3895141</v>
      </c>
      <c r="H6980" s="7">
        <v>2418</v>
      </c>
      <c r="I6980" s="7">
        <v>123</v>
      </c>
      <c r="J6980" s="7">
        <v>219</v>
      </c>
      <c r="K6980" s="7" t="s">
        <v>18</v>
      </c>
      <c r="L6980" s="8">
        <v>39987.315405092595</v>
      </c>
      <c r="M6980" s="9" t="s">
        <v>19</v>
      </c>
      <c r="N6980" s="9" t="s">
        <v>20</v>
      </c>
      <c r="O6980" s="6" t="str">
        <f>HYPERLINK("https://pbs.twimg.com/profile_images/962471262747529216/Uo8lOkRJ_normal.jpg","View")</f>
        <v>View</v>
      </c>
      <c r="P6980" s="7"/>
    </row>
    <row r="6981" spans="1:16">
      <c r="A6981" s="3">
        <v>44010.808090277773</v>
      </c>
      <c r="B6981" s="4" t="str">
        <f>HYPERLINK("https://twitter.com/petrogustavo","@petrogustavo")</f>
        <v>@petrogustavo</v>
      </c>
      <c r="C6981" s="5" t="s">
        <v>16</v>
      </c>
      <c r="D6981" s="5" t="s">
        <v>6759</v>
      </c>
      <c r="E6981" s="6" t="str">
        <f>HYPERLINK("https://twitter.com/petrogustavo/status/1277238738318438406","1277238738318438406")</f>
        <v>1277238738318438406</v>
      </c>
      <c r="F6981" s="7" t="s">
        <v>17</v>
      </c>
      <c r="G6981" s="7">
        <v>3895141</v>
      </c>
      <c r="H6981" s="7">
        <v>2418</v>
      </c>
      <c r="I6981" s="7">
        <v>489</v>
      </c>
      <c r="J6981" s="7">
        <v>0</v>
      </c>
      <c r="K6981" s="7" t="s">
        <v>18</v>
      </c>
      <c r="L6981" s="8">
        <v>39987.315405092595</v>
      </c>
      <c r="M6981" s="9" t="s">
        <v>19</v>
      </c>
      <c r="N6981" s="9" t="s">
        <v>20</v>
      </c>
      <c r="O6981" s="6" t="str">
        <f>HYPERLINK("https://pbs.twimg.com/profile_images/962471262747529216/Uo8lOkRJ_normal.jpg","View")</f>
        <v>View</v>
      </c>
      <c r="P6981" s="7"/>
    </row>
    <row r="6982" spans="1:16">
      <c r="A6982" s="3">
        <v>44010.810335648144</v>
      </c>
      <c r="B6982" s="4" t="str">
        <f>HYPERLINK("https://twitter.com/petrogustavo","@petrogustavo")</f>
        <v>@petrogustavo</v>
      </c>
      <c r="C6982" s="5" t="s">
        <v>16</v>
      </c>
      <c r="D6982" s="5" t="s">
        <v>6760</v>
      </c>
      <c r="E6982" s="6" t="str">
        <f>HYPERLINK("https://twitter.com/petrogustavo/status/1277239552013471747","1277239552013471747")</f>
        <v>1277239552013471747</v>
      </c>
      <c r="F6982" s="7" t="s">
        <v>17</v>
      </c>
      <c r="G6982" s="7">
        <v>3895141</v>
      </c>
      <c r="H6982" s="7">
        <v>2418</v>
      </c>
      <c r="I6982" s="7">
        <v>40</v>
      </c>
      <c r="J6982" s="7">
        <v>87</v>
      </c>
      <c r="K6982" s="7" t="s">
        <v>18</v>
      </c>
      <c r="L6982" s="8">
        <v>39987.315405092595</v>
      </c>
      <c r="M6982" s="9" t="s">
        <v>19</v>
      </c>
      <c r="N6982" s="9" t="s">
        <v>20</v>
      </c>
      <c r="O6982" s="6" t="str">
        <f>HYPERLINK("https://pbs.twimg.com/profile_images/962471262747529216/Uo8lOkRJ_normal.jpg","View")</f>
        <v>View</v>
      </c>
      <c r="P6982" s="7"/>
    </row>
    <row r="6983" spans="1:16">
      <c r="A6983" s="3">
        <v>44010.866469907407</v>
      </c>
      <c r="B6983" s="4" t="str">
        <f>HYPERLINK("https://twitter.com/petrogustavo","@petrogustavo")</f>
        <v>@petrogustavo</v>
      </c>
      <c r="C6983" s="5" t="s">
        <v>16</v>
      </c>
      <c r="D6983" s="5" t="s">
        <v>6761</v>
      </c>
      <c r="E6983" s="6" t="str">
        <f>HYPERLINK("https://twitter.com/petrogustavo/status/1277259894568161283","1277259894568161283")</f>
        <v>1277259894568161283</v>
      </c>
      <c r="F6983" s="7" t="s">
        <v>32</v>
      </c>
      <c r="G6983" s="7">
        <v>3895231</v>
      </c>
      <c r="H6983" s="7">
        <v>2418</v>
      </c>
      <c r="I6983" s="7">
        <v>398</v>
      </c>
      <c r="J6983" s="7">
        <v>0</v>
      </c>
      <c r="K6983" s="7" t="s">
        <v>18</v>
      </c>
      <c r="L6983" s="8">
        <v>39987.315405092595</v>
      </c>
      <c r="M6983" s="9" t="s">
        <v>19</v>
      </c>
      <c r="N6983" s="9" t="s">
        <v>20</v>
      </c>
      <c r="O6983" s="6" t="str">
        <f>HYPERLINK("https://pbs.twimg.com/profile_images/962471262747529216/Uo8lOkRJ_normal.jpg","View")</f>
        <v>View</v>
      </c>
      <c r="P6983" s="7"/>
    </row>
    <row r="6984" spans="1:16">
      <c r="A6984" s="3">
        <v>44010.869398148148</v>
      </c>
      <c r="B6984" s="4" t="str">
        <f>HYPERLINK("https://twitter.com/petrogustavo","@petrogustavo")</f>
        <v>@petrogustavo</v>
      </c>
      <c r="C6984" s="5" t="s">
        <v>16</v>
      </c>
      <c r="D6984" s="5" t="s">
        <v>6762</v>
      </c>
      <c r="E6984" s="6" t="str">
        <f>HYPERLINK("https://twitter.com/petrogustavo/status/1277260955173486592","1277260955173486592")</f>
        <v>1277260955173486592</v>
      </c>
      <c r="F6984" s="7" t="s">
        <v>32</v>
      </c>
      <c r="G6984" s="7">
        <v>3895231</v>
      </c>
      <c r="H6984" s="7">
        <v>2418</v>
      </c>
      <c r="I6984" s="7">
        <v>82</v>
      </c>
      <c r="J6984" s="7">
        <v>283</v>
      </c>
      <c r="K6984" s="7" t="s">
        <v>18</v>
      </c>
      <c r="L6984" s="8">
        <v>39987.315405092595</v>
      </c>
      <c r="M6984" s="9" t="s">
        <v>19</v>
      </c>
      <c r="N6984" s="9" t="s">
        <v>20</v>
      </c>
      <c r="O6984" s="6" t="str">
        <f>HYPERLINK("https://pbs.twimg.com/profile_images/962471262747529216/Uo8lOkRJ_normal.jpg","View")</f>
        <v>View</v>
      </c>
      <c r="P6984" s="7"/>
    </row>
    <row r="6985" spans="1:16">
      <c r="A6985" s="3">
        <v>44010.871307870373</v>
      </c>
      <c r="B6985" s="4" t="str">
        <f>HYPERLINK("https://twitter.com/petrogustavo","@petrogustavo")</f>
        <v>@petrogustavo</v>
      </c>
      <c r="C6985" s="5" t="s">
        <v>16</v>
      </c>
      <c r="D6985" s="5" t="s">
        <v>6763</v>
      </c>
      <c r="E6985" s="6" t="str">
        <f>HYPERLINK("https://twitter.com/petrogustavo/status/1277261645467787265","1277261645467787265")</f>
        <v>1277261645467787265</v>
      </c>
      <c r="F6985" s="7" t="s">
        <v>17</v>
      </c>
      <c r="G6985" s="7">
        <v>3895231</v>
      </c>
      <c r="H6985" s="7">
        <v>2418</v>
      </c>
      <c r="I6985" s="7">
        <v>59</v>
      </c>
      <c r="J6985" s="7">
        <v>134</v>
      </c>
      <c r="K6985" s="7" t="s">
        <v>18</v>
      </c>
      <c r="L6985" s="8">
        <v>39987.315405092595</v>
      </c>
      <c r="M6985" s="9" t="s">
        <v>19</v>
      </c>
      <c r="N6985" s="9" t="s">
        <v>20</v>
      </c>
      <c r="O6985" s="6" t="str">
        <f>HYPERLINK("https://pbs.twimg.com/profile_images/962471262747529216/Uo8lOkRJ_normal.jpg","View")</f>
        <v>View</v>
      </c>
      <c r="P6985" s="7"/>
    </row>
    <row r="6986" spans="1:16">
      <c r="A6986" s="3">
        <v>44010.881273148145</v>
      </c>
      <c r="B6986" s="4" t="str">
        <f>HYPERLINK("https://twitter.com/petrogustavo","@petrogustavo")</f>
        <v>@petrogustavo</v>
      </c>
      <c r="C6986" s="5" t="s">
        <v>16</v>
      </c>
      <c r="D6986" s="5" t="s">
        <v>6764</v>
      </c>
      <c r="E6986" s="6" t="str">
        <f>HYPERLINK("https://twitter.com/petrogustavo/status/1277265255723343872","1277265255723343872")</f>
        <v>1277265255723343872</v>
      </c>
      <c r="F6986" s="7" t="s">
        <v>32</v>
      </c>
      <c r="G6986" s="7">
        <v>3895261</v>
      </c>
      <c r="H6986" s="7">
        <v>2418</v>
      </c>
      <c r="I6986" s="7">
        <v>78</v>
      </c>
      <c r="J6986" s="7">
        <v>0</v>
      </c>
      <c r="K6986" s="7" t="s">
        <v>18</v>
      </c>
      <c r="L6986" s="8">
        <v>39987.315405092595</v>
      </c>
      <c r="M6986" s="9" t="s">
        <v>19</v>
      </c>
      <c r="N6986" s="9" t="s">
        <v>20</v>
      </c>
      <c r="O6986" s="6" t="str">
        <f>HYPERLINK("https://pbs.twimg.com/profile_images/962471262747529216/Uo8lOkRJ_normal.jpg","View")</f>
        <v>View</v>
      </c>
      <c r="P6986" s="7"/>
    </row>
    <row r="6987" spans="1:16">
      <c r="A6987" s="3">
        <v>44010.908564814818</v>
      </c>
      <c r="B6987" s="4" t="str">
        <f>HYPERLINK("https://twitter.com/petrogustavo","@petrogustavo")</f>
        <v>@petrogustavo</v>
      </c>
      <c r="C6987" s="5" t="s">
        <v>16</v>
      </c>
      <c r="D6987" s="5" t="s">
        <v>6765</v>
      </c>
      <c r="E6987" s="6" t="str">
        <f>HYPERLINK("https://twitter.com/petrogustavo/status/1277275149545418755","1277275149545418755")</f>
        <v>1277275149545418755</v>
      </c>
      <c r="F6987" s="7" t="s">
        <v>32</v>
      </c>
      <c r="G6987" s="7">
        <v>3895307</v>
      </c>
      <c r="H6987" s="7">
        <v>2418</v>
      </c>
      <c r="I6987" s="7">
        <v>514</v>
      </c>
      <c r="J6987" s="7">
        <v>0</v>
      </c>
      <c r="K6987" s="7" t="s">
        <v>18</v>
      </c>
      <c r="L6987" s="8">
        <v>39987.315405092595</v>
      </c>
      <c r="M6987" s="9" t="s">
        <v>19</v>
      </c>
      <c r="N6987" s="9" t="s">
        <v>20</v>
      </c>
      <c r="O6987" s="6" t="str">
        <f>HYPERLINK("https://pbs.twimg.com/profile_images/962471262747529216/Uo8lOkRJ_normal.jpg","View")</f>
        <v>View</v>
      </c>
      <c r="P6987" s="7"/>
    </row>
    <row r="6988" spans="1:16">
      <c r="A6988" s="3">
        <v>44010.908773148149</v>
      </c>
      <c r="B6988" s="4" t="str">
        <f>HYPERLINK("https://twitter.com/petrogustavo","@petrogustavo")</f>
        <v>@petrogustavo</v>
      </c>
      <c r="C6988" s="5" t="s">
        <v>16</v>
      </c>
      <c r="D6988" s="5" t="s">
        <v>6766</v>
      </c>
      <c r="E6988" s="6" t="str">
        <f>HYPERLINK("https://twitter.com/petrogustavo/status/1277275223851782144","1277275223851782144")</f>
        <v>1277275223851782144</v>
      </c>
      <c r="F6988" s="7" t="s">
        <v>32</v>
      </c>
      <c r="G6988" s="7">
        <v>3895307</v>
      </c>
      <c r="H6988" s="7">
        <v>2418</v>
      </c>
      <c r="I6988" s="7">
        <v>26</v>
      </c>
      <c r="J6988" s="7">
        <v>0</v>
      </c>
      <c r="K6988" s="7" t="s">
        <v>18</v>
      </c>
      <c r="L6988" s="8">
        <v>39987.315405092595</v>
      </c>
      <c r="M6988" s="9" t="s">
        <v>19</v>
      </c>
      <c r="N6988" s="9" t="s">
        <v>20</v>
      </c>
      <c r="O6988" s="6" t="str">
        <f>HYPERLINK("https://pbs.twimg.com/profile_images/962471262747529216/Uo8lOkRJ_normal.jpg","View")</f>
        <v>View</v>
      </c>
      <c r="P6988" s="7"/>
    </row>
    <row r="6989" spans="1:16">
      <c r="A6989" s="3">
        <v>44010.908912037034</v>
      </c>
      <c r="B6989" s="4" t="str">
        <f>HYPERLINK("https://twitter.com/petrogustavo","@petrogustavo")</f>
        <v>@petrogustavo</v>
      </c>
      <c r="C6989" s="5" t="s">
        <v>16</v>
      </c>
      <c r="D6989" s="5" t="s">
        <v>6767</v>
      </c>
      <c r="E6989" s="6" t="str">
        <f>HYPERLINK("https://twitter.com/petrogustavo/status/1277275272820273153","1277275272820273153")</f>
        <v>1277275272820273153</v>
      </c>
      <c r="F6989" s="7" t="s">
        <v>32</v>
      </c>
      <c r="G6989" s="7">
        <v>3895307</v>
      </c>
      <c r="H6989" s="7">
        <v>2418</v>
      </c>
      <c r="I6989" s="7">
        <v>27</v>
      </c>
      <c r="J6989" s="7">
        <v>0</v>
      </c>
      <c r="K6989" s="7" t="s">
        <v>18</v>
      </c>
      <c r="L6989" s="8">
        <v>39987.315405092595</v>
      </c>
      <c r="M6989" s="9" t="s">
        <v>19</v>
      </c>
      <c r="N6989" s="9" t="s">
        <v>20</v>
      </c>
      <c r="O6989" s="6" t="str">
        <f>HYPERLINK("https://pbs.twimg.com/profile_images/962471262747529216/Uo8lOkRJ_normal.jpg","View")</f>
        <v>View</v>
      </c>
      <c r="P6989" s="7"/>
    </row>
    <row r="6990" spans="1:16">
      <c r="A6990" s="3">
        <v>44010.909710648149</v>
      </c>
      <c r="B6990" s="4" t="str">
        <f>HYPERLINK("https://twitter.com/petrogustavo","@petrogustavo")</f>
        <v>@petrogustavo</v>
      </c>
      <c r="C6990" s="5" t="s">
        <v>16</v>
      </c>
      <c r="D6990" s="5" t="s">
        <v>6768</v>
      </c>
      <c r="E6990" s="6" t="str">
        <f>HYPERLINK("https://twitter.com/petrogustavo/status/1277275564273958919","1277275564273958919")</f>
        <v>1277275564273958919</v>
      </c>
      <c r="F6990" s="7" t="s">
        <v>32</v>
      </c>
      <c r="G6990" s="7">
        <v>3895307</v>
      </c>
      <c r="H6990" s="7">
        <v>2418</v>
      </c>
      <c r="I6990" s="7">
        <v>98</v>
      </c>
      <c r="J6990" s="7">
        <v>0</v>
      </c>
      <c r="K6990" s="7" t="s">
        <v>18</v>
      </c>
      <c r="L6990" s="8">
        <v>39987.315405092595</v>
      </c>
      <c r="M6990" s="9" t="s">
        <v>19</v>
      </c>
      <c r="N6990" s="9" t="s">
        <v>20</v>
      </c>
      <c r="O6990" s="6" t="str">
        <f>HYPERLINK("https://pbs.twimg.com/profile_images/962471262747529216/Uo8lOkRJ_normal.jpg","View")</f>
        <v>View</v>
      </c>
      <c r="P6990" s="7"/>
    </row>
    <row r="6991" spans="1:16">
      <c r="A6991" s="3">
        <v>44010.914282407408</v>
      </c>
      <c r="B6991" s="4" t="str">
        <f>HYPERLINK("https://twitter.com/petrogustavo","@petrogustavo")</f>
        <v>@petrogustavo</v>
      </c>
      <c r="C6991" s="5" t="s">
        <v>16</v>
      </c>
      <c r="D6991" s="5" t="s">
        <v>6769</v>
      </c>
      <c r="E6991" s="6" t="str">
        <f>HYPERLINK("https://twitter.com/petrogustavo/status/1277277220537540608","1277277220537540608")</f>
        <v>1277277220537540608</v>
      </c>
      <c r="F6991" s="7" t="s">
        <v>32</v>
      </c>
      <c r="G6991" s="7">
        <v>3895307</v>
      </c>
      <c r="H6991" s="7">
        <v>2418</v>
      </c>
      <c r="I6991" s="7">
        <v>72</v>
      </c>
      <c r="J6991" s="7">
        <v>115</v>
      </c>
      <c r="K6991" s="7" t="s">
        <v>18</v>
      </c>
      <c r="L6991" s="8">
        <v>39987.315405092595</v>
      </c>
      <c r="M6991" s="9" t="s">
        <v>19</v>
      </c>
      <c r="N6991" s="9" t="s">
        <v>20</v>
      </c>
      <c r="O6991" s="6" t="str">
        <f>HYPERLINK("https://pbs.twimg.com/profile_images/962471262747529216/Uo8lOkRJ_normal.jpg","View")</f>
        <v>View</v>
      </c>
      <c r="P6991" s="7"/>
    </row>
    <row r="6992" spans="1:16">
      <c r="A6992" s="3">
        <v>44010.916539351849</v>
      </c>
      <c r="B6992" s="4" t="str">
        <f>HYPERLINK("https://twitter.com/petrogustavo","@petrogustavo")</f>
        <v>@petrogustavo</v>
      </c>
      <c r="C6992" s="5" t="s">
        <v>16</v>
      </c>
      <c r="D6992" s="5" t="s">
        <v>6770</v>
      </c>
      <c r="E6992" s="6" t="str">
        <f>HYPERLINK("https://twitter.com/petrogustavo/status/1277278036967272449","1277278036967272449")</f>
        <v>1277278036967272449</v>
      </c>
      <c r="F6992" s="7" t="s">
        <v>32</v>
      </c>
      <c r="G6992" s="7">
        <v>3895307</v>
      </c>
      <c r="H6992" s="7">
        <v>2418</v>
      </c>
      <c r="I6992" s="7">
        <v>27</v>
      </c>
      <c r="J6992" s="7">
        <v>69</v>
      </c>
      <c r="K6992" s="7" t="s">
        <v>18</v>
      </c>
      <c r="L6992" s="8">
        <v>39987.315405092595</v>
      </c>
      <c r="M6992" s="9" t="s">
        <v>19</v>
      </c>
      <c r="N6992" s="9" t="s">
        <v>20</v>
      </c>
      <c r="O6992" s="6" t="str">
        <f>HYPERLINK("https://pbs.twimg.com/profile_images/962471262747529216/Uo8lOkRJ_normal.jpg","View")</f>
        <v>View</v>
      </c>
      <c r="P6992" s="7"/>
    </row>
    <row r="6993" spans="1:16">
      <c r="A6993" s="3">
        <v>44010.994016203702</v>
      </c>
      <c r="B6993" s="4" t="str">
        <f>HYPERLINK("https://twitter.com/petrogustavo","@petrogustavo")</f>
        <v>@petrogustavo</v>
      </c>
      <c r="C6993" s="5" t="s">
        <v>16</v>
      </c>
      <c r="D6993" s="5" t="s">
        <v>6771</v>
      </c>
      <c r="E6993" s="6" t="str">
        <f>HYPERLINK("https://twitter.com/petrogustavo/status/1277306113986347008","1277306113986347008")</f>
        <v>1277306113986347008</v>
      </c>
      <c r="F6993" s="7" t="s">
        <v>17</v>
      </c>
      <c r="G6993" s="7">
        <v>3895411</v>
      </c>
      <c r="H6993" s="7">
        <v>2418</v>
      </c>
      <c r="I6993" s="7">
        <v>686</v>
      </c>
      <c r="J6993" s="7">
        <v>0</v>
      </c>
      <c r="K6993" s="7" t="s">
        <v>18</v>
      </c>
      <c r="L6993" s="8">
        <v>39987.315405092595</v>
      </c>
      <c r="M6993" s="9" t="s">
        <v>19</v>
      </c>
      <c r="N6993" s="9" t="s">
        <v>20</v>
      </c>
      <c r="O6993" s="6" t="str">
        <f>HYPERLINK("https://pbs.twimg.com/profile_images/962471262747529216/Uo8lOkRJ_normal.jpg","View")</f>
        <v>View</v>
      </c>
      <c r="P6993" s="7"/>
    </row>
    <row r="6994" spans="1:16">
      <c r="A6994" s="3">
        <v>44011.002268518518</v>
      </c>
      <c r="B6994" s="4" t="str">
        <f>HYPERLINK("https://twitter.com/petrogustavo","@petrogustavo")</f>
        <v>@petrogustavo</v>
      </c>
      <c r="C6994" s="5" t="s">
        <v>16</v>
      </c>
      <c r="D6994" s="5" t="s">
        <v>6772</v>
      </c>
      <c r="E6994" s="6" t="str">
        <f>HYPERLINK("https://twitter.com/petrogustavo/status/1277309105217187844","1277309105217187844")</f>
        <v>1277309105217187844</v>
      </c>
      <c r="F6994" s="7" t="s">
        <v>17</v>
      </c>
      <c r="G6994" s="7">
        <v>3895447</v>
      </c>
      <c r="H6994" s="7">
        <v>2418</v>
      </c>
      <c r="I6994" s="7">
        <v>442</v>
      </c>
      <c r="J6994" s="7">
        <v>1281</v>
      </c>
      <c r="K6994" s="7" t="s">
        <v>18</v>
      </c>
      <c r="L6994" s="8">
        <v>39987.315405092595</v>
      </c>
      <c r="M6994" s="9" t="s">
        <v>19</v>
      </c>
      <c r="N6994" s="9" t="s">
        <v>20</v>
      </c>
      <c r="O6994" s="6" t="str">
        <f>HYPERLINK("https://pbs.twimg.com/profile_images/962471262747529216/Uo8lOkRJ_normal.jpg","View")</f>
        <v>View</v>
      </c>
      <c r="P6994" s="7"/>
    </row>
    <row r="6995" spans="1:16">
      <c r="A6995" s="3">
        <v>44011.063275462962</v>
      </c>
      <c r="B6995" s="4" t="str">
        <f>HYPERLINK("https://twitter.com/petrogustavo","@petrogustavo")</f>
        <v>@petrogustavo</v>
      </c>
      <c r="C6995" s="5" t="s">
        <v>16</v>
      </c>
      <c r="D6995" s="5" t="s">
        <v>6773</v>
      </c>
      <c r="E6995" s="6" t="str">
        <f>HYPERLINK("https://twitter.com/petrogustavo/status/1277331210981838848","1277331210981838848")</f>
        <v>1277331210981838848</v>
      </c>
      <c r="F6995" s="7" t="s">
        <v>17</v>
      </c>
      <c r="G6995" s="7">
        <v>3895478</v>
      </c>
      <c r="H6995" s="7">
        <v>2418</v>
      </c>
      <c r="I6995" s="7">
        <v>23</v>
      </c>
      <c r="J6995" s="7">
        <v>47</v>
      </c>
      <c r="K6995" s="7" t="s">
        <v>18</v>
      </c>
      <c r="L6995" s="8">
        <v>39987.315405092595</v>
      </c>
      <c r="M6995" s="9" t="s">
        <v>19</v>
      </c>
      <c r="N6995" s="9" t="s">
        <v>20</v>
      </c>
      <c r="O6995" s="6" t="str">
        <f>HYPERLINK("https://pbs.twimg.com/profile_images/962471262747529216/Uo8lOkRJ_normal.jpg","View")</f>
        <v>View</v>
      </c>
      <c r="P6995" s="7"/>
    </row>
    <row r="6996" spans="1:16">
      <c r="A6996" s="3">
        <v>44011.066458333335</v>
      </c>
      <c r="B6996" s="4" t="str">
        <f>HYPERLINK("https://twitter.com/petrogustavo","@petrogustavo")</f>
        <v>@petrogustavo</v>
      </c>
      <c r="C6996" s="5" t="s">
        <v>16</v>
      </c>
      <c r="D6996" s="5" t="s">
        <v>6774</v>
      </c>
      <c r="E6996" s="6" t="str">
        <f>HYPERLINK("https://twitter.com/petrogustavo/status/1277332366160166925","1277332366160166925")</f>
        <v>1277332366160166925</v>
      </c>
      <c r="F6996" s="7" t="s">
        <v>17</v>
      </c>
      <c r="G6996" s="7">
        <v>3895498</v>
      </c>
      <c r="H6996" s="7">
        <v>2418</v>
      </c>
      <c r="I6996" s="7">
        <v>233</v>
      </c>
      <c r="J6996" s="7">
        <v>977</v>
      </c>
      <c r="K6996" s="7" t="s">
        <v>18</v>
      </c>
      <c r="L6996" s="8">
        <v>39987.315405092595</v>
      </c>
      <c r="M6996" s="9" t="s">
        <v>19</v>
      </c>
      <c r="N6996" s="9" t="s">
        <v>20</v>
      </c>
      <c r="O6996" s="6" t="str">
        <f>HYPERLINK("https://pbs.twimg.com/profile_images/962471262747529216/Uo8lOkRJ_normal.jpg","View")</f>
        <v>View</v>
      </c>
      <c r="P6996" s="7"/>
    </row>
    <row r="6997" spans="1:16">
      <c r="A6997" s="3">
        <v>44011.072152777779</v>
      </c>
      <c r="B6997" s="4" t="str">
        <f>HYPERLINK("https://twitter.com/petrogustavo","@petrogustavo")</f>
        <v>@petrogustavo</v>
      </c>
      <c r="C6997" s="5" t="s">
        <v>16</v>
      </c>
      <c r="D6997" s="5" t="s">
        <v>6775</v>
      </c>
      <c r="E6997" s="6" t="str">
        <f>HYPERLINK("https://twitter.com/petrogustavo/status/1277334430617669639","1277334430617669639")</f>
        <v>1277334430617669639</v>
      </c>
      <c r="F6997" s="7" t="s">
        <v>17</v>
      </c>
      <c r="G6997" s="7">
        <v>3895498</v>
      </c>
      <c r="H6997" s="7">
        <v>2418</v>
      </c>
      <c r="I6997" s="7">
        <v>94</v>
      </c>
      <c r="J6997" s="7">
        <v>315</v>
      </c>
      <c r="K6997" s="7" t="s">
        <v>18</v>
      </c>
      <c r="L6997" s="8">
        <v>39987.315405092595</v>
      </c>
      <c r="M6997" s="9" t="s">
        <v>19</v>
      </c>
      <c r="N6997" s="9" t="s">
        <v>20</v>
      </c>
      <c r="O6997" s="6" t="str">
        <f>HYPERLINK("https://pbs.twimg.com/profile_images/962471262747529216/Uo8lOkRJ_normal.jpg","View")</f>
        <v>View</v>
      </c>
      <c r="P6997" s="7"/>
    </row>
    <row r="6998" spans="1:16">
      <c r="A6998" s="3">
        <v>44011.07539351852</v>
      </c>
      <c r="B6998" s="4" t="str">
        <f>HYPERLINK("https://twitter.com/petrogustavo","@petrogustavo")</f>
        <v>@petrogustavo</v>
      </c>
      <c r="C6998" s="5" t="s">
        <v>16</v>
      </c>
      <c r="D6998" s="5" t="s">
        <v>6776</v>
      </c>
      <c r="E6998" s="6" t="str">
        <f>HYPERLINK("https://twitter.com/petrogustavo/status/1277335605689671680","1277335605689671680")</f>
        <v>1277335605689671680</v>
      </c>
      <c r="F6998" s="7" t="s">
        <v>17</v>
      </c>
      <c r="G6998" s="7">
        <v>3895498</v>
      </c>
      <c r="H6998" s="7">
        <v>2418</v>
      </c>
      <c r="I6998" s="7">
        <v>63</v>
      </c>
      <c r="J6998" s="7">
        <v>132</v>
      </c>
      <c r="K6998" s="7" t="s">
        <v>18</v>
      </c>
      <c r="L6998" s="8">
        <v>39987.315405092595</v>
      </c>
      <c r="M6998" s="9" t="s">
        <v>19</v>
      </c>
      <c r="N6998" s="9" t="s">
        <v>20</v>
      </c>
      <c r="O6998" s="6" t="str">
        <f>HYPERLINK("https://pbs.twimg.com/profile_images/962471262747529216/Uo8lOkRJ_normal.jpg","View")</f>
        <v>View</v>
      </c>
      <c r="P6998" s="7"/>
    </row>
    <row r="6999" spans="1:16">
      <c r="A6999" s="3">
        <v>44011.076793981483</v>
      </c>
      <c r="B6999" s="4" t="str">
        <f>HYPERLINK("https://twitter.com/petrogustavo","@petrogustavo")</f>
        <v>@petrogustavo</v>
      </c>
      <c r="C6999" s="5" t="s">
        <v>16</v>
      </c>
      <c r="D6999" s="5" t="s">
        <v>6777</v>
      </c>
      <c r="E6999" s="6" t="str">
        <f>HYPERLINK("https://twitter.com/petrogustavo/status/1277336110629359616","1277336110629359616")</f>
        <v>1277336110629359616</v>
      </c>
      <c r="F6999" s="7" t="s">
        <v>17</v>
      </c>
      <c r="G6999" s="7">
        <v>3895498</v>
      </c>
      <c r="H6999" s="7">
        <v>2418</v>
      </c>
      <c r="I6999" s="7">
        <v>31</v>
      </c>
      <c r="J6999" s="7">
        <v>77</v>
      </c>
      <c r="K6999" s="7" t="s">
        <v>18</v>
      </c>
      <c r="L6999" s="8">
        <v>39987.315405092595</v>
      </c>
      <c r="M6999" s="9" t="s">
        <v>19</v>
      </c>
      <c r="N6999" s="9" t="s">
        <v>20</v>
      </c>
      <c r="O6999" s="6" t="str">
        <f>HYPERLINK("https://pbs.twimg.com/profile_images/962471262747529216/Uo8lOkRJ_normal.jpg","View")</f>
        <v>View</v>
      </c>
      <c r="P6999" s="7"/>
    </row>
    <row r="7000" spans="1:16">
      <c r="A7000" s="3">
        <v>44011.216145833328</v>
      </c>
      <c r="B7000" s="4" t="str">
        <f>HYPERLINK("https://twitter.com/petrogustavo","@petrogustavo")</f>
        <v>@petrogustavo</v>
      </c>
      <c r="C7000" s="5" t="s">
        <v>16</v>
      </c>
      <c r="D7000" s="5" t="s">
        <v>6778</v>
      </c>
      <c r="E7000" s="6" t="str">
        <f>HYPERLINK("https://twitter.com/petrogustavo/status/1277386611936899072","1277386611936899072")</f>
        <v>1277386611936899072</v>
      </c>
      <c r="F7000" s="7" t="s">
        <v>17</v>
      </c>
      <c r="G7000" s="7">
        <v>3895663</v>
      </c>
      <c r="H7000" s="7">
        <v>2418</v>
      </c>
      <c r="I7000" s="7">
        <v>327</v>
      </c>
      <c r="J7000" s="7">
        <v>0</v>
      </c>
      <c r="K7000" s="7" t="s">
        <v>18</v>
      </c>
      <c r="L7000" s="8">
        <v>39987.315405092595</v>
      </c>
      <c r="M7000" s="9" t="s">
        <v>19</v>
      </c>
      <c r="N7000" s="9" t="s">
        <v>20</v>
      </c>
      <c r="O7000" s="6" t="str">
        <f>HYPERLINK("https://pbs.twimg.com/profile_images/962471262747529216/Uo8lOkRJ_normal.jpg","View")</f>
        <v>View</v>
      </c>
      <c r="P7000" s="7"/>
    </row>
    <row r="7001" spans="1:16">
      <c r="A7001" s="3">
        <v>44011.22011574074</v>
      </c>
      <c r="B7001" s="4" t="str">
        <f>HYPERLINK("https://twitter.com/petrogustavo","@petrogustavo")</f>
        <v>@petrogustavo</v>
      </c>
      <c r="C7001" s="5" t="s">
        <v>16</v>
      </c>
      <c r="D7001" s="5" t="s">
        <v>6779</v>
      </c>
      <c r="E7001" s="6" t="str">
        <f>HYPERLINK("https://twitter.com/petrogustavo/status/1277388051677839360","1277388051677839360")</f>
        <v>1277388051677839360</v>
      </c>
      <c r="F7001" s="7" t="s">
        <v>17</v>
      </c>
      <c r="G7001" s="7">
        <v>3895663</v>
      </c>
      <c r="H7001" s="7">
        <v>2418</v>
      </c>
      <c r="I7001" s="7">
        <v>171</v>
      </c>
      <c r="J7001" s="7">
        <v>429</v>
      </c>
      <c r="K7001" s="7" t="s">
        <v>18</v>
      </c>
      <c r="L7001" s="8">
        <v>39987.315405092595</v>
      </c>
      <c r="M7001" s="9" t="s">
        <v>19</v>
      </c>
      <c r="N7001" s="9" t="s">
        <v>20</v>
      </c>
      <c r="O7001" s="6" t="str">
        <f>HYPERLINK("https://pbs.twimg.com/profile_images/962471262747529216/Uo8lOkRJ_normal.jpg","View")</f>
        <v>View</v>
      </c>
      <c r="P7001" s="7"/>
    </row>
    <row r="7002" spans="1:16">
      <c r="A7002" s="3">
        <v>44011.245497685188</v>
      </c>
      <c r="B7002" s="4" t="str">
        <f>HYPERLINK("https://twitter.com/petrogustavo","@petrogustavo")</f>
        <v>@petrogustavo</v>
      </c>
      <c r="C7002" s="5" t="s">
        <v>16</v>
      </c>
      <c r="D7002" s="5" t="s">
        <v>6780</v>
      </c>
      <c r="E7002" s="6" t="str">
        <f>HYPERLINK("https://twitter.com/petrogustavo/status/1277397248968663040","1277397248968663040")</f>
        <v>1277397248968663040</v>
      </c>
      <c r="F7002" s="7" t="s">
        <v>17</v>
      </c>
      <c r="G7002" s="7">
        <v>3895690</v>
      </c>
      <c r="H7002" s="7">
        <v>2418</v>
      </c>
      <c r="I7002" s="7">
        <v>75</v>
      </c>
      <c r="J7002" s="7">
        <v>219</v>
      </c>
      <c r="K7002" s="7" t="s">
        <v>18</v>
      </c>
      <c r="L7002" s="8">
        <v>39987.315405092595</v>
      </c>
      <c r="M7002" s="9" t="s">
        <v>19</v>
      </c>
      <c r="N7002" s="9" t="s">
        <v>20</v>
      </c>
      <c r="O7002" s="6" t="str">
        <f>HYPERLINK("https://pbs.twimg.com/profile_images/962471262747529216/Uo8lOkRJ_normal.jpg","View")</f>
        <v>View</v>
      </c>
      <c r="P7002" s="7"/>
    </row>
    <row r="7003" spans="1:16">
      <c r="A7003" s="3">
        <v>44011.331712962958</v>
      </c>
      <c r="B7003" s="4" t="str">
        <f>HYPERLINK("https://twitter.com/petrogustavo","@petrogustavo")</f>
        <v>@petrogustavo</v>
      </c>
      <c r="C7003" s="5" t="s">
        <v>16</v>
      </c>
      <c r="D7003" s="5" t="s">
        <v>6781</v>
      </c>
      <c r="E7003" s="6" t="str">
        <f>HYPERLINK("https://twitter.com/petrogustavo/status/1277428491579985920","1277428491579985920")</f>
        <v>1277428491579985920</v>
      </c>
      <c r="F7003" s="7" t="s">
        <v>32</v>
      </c>
      <c r="G7003" s="7">
        <v>3895808</v>
      </c>
      <c r="H7003" s="7">
        <v>2418</v>
      </c>
      <c r="I7003" s="7">
        <v>766</v>
      </c>
      <c r="J7003" s="7">
        <v>0</v>
      </c>
      <c r="K7003" s="7" t="s">
        <v>18</v>
      </c>
      <c r="L7003" s="8">
        <v>39987.315405092595</v>
      </c>
      <c r="M7003" s="9" t="s">
        <v>19</v>
      </c>
      <c r="N7003" s="9" t="s">
        <v>20</v>
      </c>
      <c r="O7003" s="6" t="str">
        <f>HYPERLINK("https://pbs.twimg.com/profile_images/962471262747529216/Uo8lOkRJ_normal.jpg","View")</f>
        <v>View</v>
      </c>
      <c r="P7003" s="7"/>
    </row>
    <row r="7004" spans="1:16">
      <c r="A7004" s="3">
        <v>44011.756793981476</v>
      </c>
      <c r="B7004" s="4" t="str">
        <f>HYPERLINK("https://twitter.com/petrogustavo","@petrogustavo")</f>
        <v>@petrogustavo</v>
      </c>
      <c r="C7004" s="5" t="s">
        <v>16</v>
      </c>
      <c r="D7004" s="5" t="s">
        <v>6782</v>
      </c>
      <c r="E7004" s="6" t="str">
        <f>HYPERLINK("https://twitter.com/petrogustavo/status/1277582535120347137","1277582535120347137")</f>
        <v>1277582535120347137</v>
      </c>
      <c r="F7004" s="7" t="s">
        <v>17</v>
      </c>
      <c r="G7004" s="7">
        <v>3895940</v>
      </c>
      <c r="H7004" s="7">
        <v>2418</v>
      </c>
      <c r="I7004" s="7">
        <v>81</v>
      </c>
      <c r="J7004" s="7">
        <v>144</v>
      </c>
      <c r="K7004" s="7" t="s">
        <v>18</v>
      </c>
      <c r="L7004" s="8">
        <v>39987.315405092595</v>
      </c>
      <c r="M7004" s="9" t="s">
        <v>19</v>
      </c>
      <c r="N7004" s="9" t="s">
        <v>20</v>
      </c>
      <c r="O7004" s="6" t="str">
        <f>HYPERLINK("https://pbs.twimg.com/profile_images/962471262747529216/Uo8lOkRJ_normal.jpg","View")</f>
        <v>View</v>
      </c>
      <c r="P7004" s="7"/>
    </row>
    <row r="7005" spans="1:16">
      <c r="A7005" s="3">
        <v>44011.760983796295</v>
      </c>
      <c r="B7005" s="4" t="str">
        <f>HYPERLINK("https://twitter.com/petrogustavo","@petrogustavo")</f>
        <v>@petrogustavo</v>
      </c>
      <c r="C7005" s="5" t="s">
        <v>16</v>
      </c>
      <c r="D7005" s="5" t="s">
        <v>6783</v>
      </c>
      <c r="E7005" s="6" t="str">
        <f>HYPERLINK("https://twitter.com/petrogustavo/status/1277584055622647808","1277584055622647808")</f>
        <v>1277584055622647808</v>
      </c>
      <c r="F7005" s="7" t="s">
        <v>17</v>
      </c>
      <c r="G7005" s="7">
        <v>3895940</v>
      </c>
      <c r="H7005" s="7">
        <v>2418</v>
      </c>
      <c r="I7005" s="7">
        <v>213</v>
      </c>
      <c r="J7005" s="7">
        <v>475</v>
      </c>
      <c r="K7005" s="7" t="s">
        <v>18</v>
      </c>
      <c r="L7005" s="8">
        <v>39987.315405092595</v>
      </c>
      <c r="M7005" s="9" t="s">
        <v>19</v>
      </c>
      <c r="N7005" s="9" t="s">
        <v>20</v>
      </c>
      <c r="O7005" s="6" t="str">
        <f>HYPERLINK("https://pbs.twimg.com/profile_images/962471262747529216/Uo8lOkRJ_normal.jpg","View")</f>
        <v>View</v>
      </c>
      <c r="P7005" s="7"/>
    </row>
    <row r="7006" spans="1:16">
      <c r="A7006" s="3">
        <v>44011.784710648149</v>
      </c>
      <c r="B7006" s="4" t="str">
        <f>HYPERLINK("https://twitter.com/petrogustavo","@petrogustavo")</f>
        <v>@petrogustavo</v>
      </c>
      <c r="C7006" s="5" t="s">
        <v>16</v>
      </c>
      <c r="D7006" s="5" t="s">
        <v>6784</v>
      </c>
      <c r="E7006" s="6" t="str">
        <f>HYPERLINK("https://twitter.com/petrogustavo/status/1277592651790004224","1277592651790004224")</f>
        <v>1277592651790004224</v>
      </c>
      <c r="F7006" s="7" t="s">
        <v>17</v>
      </c>
      <c r="G7006" s="7">
        <v>3895957</v>
      </c>
      <c r="H7006" s="7">
        <v>2418</v>
      </c>
      <c r="I7006" s="7">
        <v>60</v>
      </c>
      <c r="J7006" s="7">
        <v>0</v>
      </c>
      <c r="K7006" s="7" t="s">
        <v>18</v>
      </c>
      <c r="L7006" s="8">
        <v>39987.315405092595</v>
      </c>
      <c r="M7006" s="9" t="s">
        <v>19</v>
      </c>
      <c r="N7006" s="9" t="s">
        <v>20</v>
      </c>
      <c r="O7006" s="6" t="str">
        <f>HYPERLINK("https://pbs.twimg.com/profile_images/962471262747529216/Uo8lOkRJ_normal.jpg","View")</f>
        <v>View</v>
      </c>
      <c r="P7006" s="7"/>
    </row>
    <row r="7007" spans="1:16">
      <c r="A7007" s="3">
        <v>44011.786759259259</v>
      </c>
      <c r="B7007" s="4" t="str">
        <f>HYPERLINK("https://twitter.com/petrogustavo","@petrogustavo")</f>
        <v>@petrogustavo</v>
      </c>
      <c r="C7007" s="5" t="s">
        <v>16</v>
      </c>
      <c r="D7007" s="5" t="s">
        <v>6785</v>
      </c>
      <c r="E7007" s="6" t="str">
        <f>HYPERLINK("https://twitter.com/petrogustavo/status/1277593396564066305","1277593396564066305")</f>
        <v>1277593396564066305</v>
      </c>
      <c r="F7007" s="7" t="s">
        <v>17</v>
      </c>
      <c r="G7007" s="7">
        <v>3895957</v>
      </c>
      <c r="H7007" s="7">
        <v>2418</v>
      </c>
      <c r="I7007" s="7">
        <v>81</v>
      </c>
      <c r="J7007" s="7">
        <v>213</v>
      </c>
      <c r="K7007" s="7" t="s">
        <v>18</v>
      </c>
      <c r="L7007" s="8">
        <v>39987.315405092595</v>
      </c>
      <c r="M7007" s="9" t="s">
        <v>19</v>
      </c>
      <c r="N7007" s="9" t="s">
        <v>20</v>
      </c>
      <c r="O7007" s="6" t="str">
        <f>HYPERLINK("https://pbs.twimg.com/profile_images/962471262747529216/Uo8lOkRJ_normal.jpg","View")</f>
        <v>View</v>
      </c>
      <c r="P7007" s="7"/>
    </row>
    <row r="7008" spans="1:16">
      <c r="A7008" s="3">
        <v>44011.791932870372</v>
      </c>
      <c r="B7008" s="4" t="str">
        <f>HYPERLINK("https://twitter.com/petrogustavo","@petrogustavo")</f>
        <v>@petrogustavo</v>
      </c>
      <c r="C7008" s="5" t="s">
        <v>16</v>
      </c>
      <c r="D7008" s="5" t="s">
        <v>6786</v>
      </c>
      <c r="E7008" s="6" t="str">
        <f>HYPERLINK("https://twitter.com/petrogustavo/status/1277595271275429891","1277595271275429891")</f>
        <v>1277595271275429891</v>
      </c>
      <c r="F7008" s="7" t="s">
        <v>17</v>
      </c>
      <c r="G7008" s="7">
        <v>3895957</v>
      </c>
      <c r="H7008" s="7">
        <v>2418</v>
      </c>
      <c r="I7008" s="7">
        <v>16</v>
      </c>
      <c r="J7008" s="7">
        <v>30</v>
      </c>
      <c r="K7008" s="7" t="s">
        <v>18</v>
      </c>
      <c r="L7008" s="8">
        <v>39987.315405092595</v>
      </c>
      <c r="M7008" s="9" t="s">
        <v>19</v>
      </c>
      <c r="N7008" s="9" t="s">
        <v>20</v>
      </c>
      <c r="O7008" s="6" t="str">
        <f>HYPERLINK("https://pbs.twimg.com/profile_images/962471262747529216/Uo8lOkRJ_normal.jpg","View")</f>
        <v>View</v>
      </c>
      <c r="P7008" s="7"/>
    </row>
    <row r="7009" spans="1:16">
      <c r="A7009" s="3">
        <v>44011.794247685189</v>
      </c>
      <c r="B7009" s="4" t="str">
        <f>HYPERLINK("https://twitter.com/petrogustavo","@petrogustavo")</f>
        <v>@petrogustavo</v>
      </c>
      <c r="C7009" s="5" t="s">
        <v>16</v>
      </c>
      <c r="D7009" s="5" t="s">
        <v>6787</v>
      </c>
      <c r="E7009" s="6" t="str">
        <f>HYPERLINK("https://twitter.com/petrogustavo/status/1277596107657433094","1277596107657433094")</f>
        <v>1277596107657433094</v>
      </c>
      <c r="F7009" s="7" t="s">
        <v>17</v>
      </c>
      <c r="G7009" s="7">
        <v>3895996</v>
      </c>
      <c r="H7009" s="7">
        <v>2418</v>
      </c>
      <c r="I7009" s="7">
        <v>112</v>
      </c>
      <c r="J7009" s="7">
        <v>373</v>
      </c>
      <c r="K7009" s="7" t="s">
        <v>18</v>
      </c>
      <c r="L7009" s="8">
        <v>39987.315405092595</v>
      </c>
      <c r="M7009" s="9" t="s">
        <v>19</v>
      </c>
      <c r="N7009" s="9" t="s">
        <v>20</v>
      </c>
      <c r="O7009" s="6" t="str">
        <f>HYPERLINK("https://pbs.twimg.com/profile_images/962471262747529216/Uo8lOkRJ_normal.jpg","View")</f>
        <v>View</v>
      </c>
      <c r="P7009" s="7"/>
    </row>
    <row r="7010" spans="1:16">
      <c r="A7010" s="3">
        <v>44011.796550925923</v>
      </c>
      <c r="B7010" s="4" t="str">
        <f>HYPERLINK("https://twitter.com/petrogustavo","@petrogustavo")</f>
        <v>@petrogustavo</v>
      </c>
      <c r="C7010" s="5" t="s">
        <v>16</v>
      </c>
      <c r="D7010" s="5" t="s">
        <v>6788</v>
      </c>
      <c r="E7010" s="6" t="str">
        <f>HYPERLINK("https://twitter.com/petrogustavo/status/1277596942676131840","1277596942676131840")</f>
        <v>1277596942676131840</v>
      </c>
      <c r="F7010" s="7" t="s">
        <v>17</v>
      </c>
      <c r="G7010" s="7">
        <v>3895996</v>
      </c>
      <c r="H7010" s="7">
        <v>2418</v>
      </c>
      <c r="I7010" s="7">
        <v>373</v>
      </c>
      <c r="J7010" s="7">
        <v>0</v>
      </c>
      <c r="K7010" s="7" t="s">
        <v>18</v>
      </c>
      <c r="L7010" s="8">
        <v>39987.315405092595</v>
      </c>
      <c r="M7010" s="9" t="s">
        <v>19</v>
      </c>
      <c r="N7010" s="9" t="s">
        <v>20</v>
      </c>
      <c r="O7010" s="6" t="str">
        <f>HYPERLINK("https://pbs.twimg.com/profile_images/962471262747529216/Uo8lOkRJ_normal.jpg","View")</f>
        <v>View</v>
      </c>
      <c r="P7010" s="7"/>
    </row>
    <row r="7011" spans="1:16">
      <c r="A7011" s="3">
        <v>44011.800023148149</v>
      </c>
      <c r="B7011" s="4" t="str">
        <f>HYPERLINK("https://twitter.com/petrogustavo","@petrogustavo")</f>
        <v>@petrogustavo</v>
      </c>
      <c r="C7011" s="5" t="s">
        <v>16</v>
      </c>
      <c r="D7011" s="5" t="s">
        <v>6789</v>
      </c>
      <c r="E7011" s="6" t="str">
        <f>HYPERLINK("https://twitter.com/petrogustavo/status/1277598201231691777","1277598201231691777")</f>
        <v>1277598201231691777</v>
      </c>
      <c r="F7011" s="7" t="s">
        <v>17</v>
      </c>
      <c r="G7011" s="7">
        <v>3895996</v>
      </c>
      <c r="H7011" s="7">
        <v>2418</v>
      </c>
      <c r="I7011" s="7">
        <v>74</v>
      </c>
      <c r="J7011" s="7">
        <v>166</v>
      </c>
      <c r="K7011" s="7" t="s">
        <v>18</v>
      </c>
      <c r="L7011" s="8">
        <v>39987.315405092595</v>
      </c>
      <c r="M7011" s="9" t="s">
        <v>19</v>
      </c>
      <c r="N7011" s="9" t="s">
        <v>20</v>
      </c>
      <c r="O7011" s="6" t="str">
        <f>HYPERLINK("https://pbs.twimg.com/profile_images/962471262747529216/Uo8lOkRJ_normal.jpg","View")</f>
        <v>View</v>
      </c>
      <c r="P7011" s="7"/>
    </row>
    <row r="7012" spans="1:16">
      <c r="A7012" s="3">
        <v>44011.802222222221</v>
      </c>
      <c r="B7012" s="4" t="str">
        <f>HYPERLINK("https://twitter.com/petrogustavo","@petrogustavo")</f>
        <v>@petrogustavo</v>
      </c>
      <c r="C7012" s="5" t="s">
        <v>16</v>
      </c>
      <c r="D7012" s="5" t="s">
        <v>6790</v>
      </c>
      <c r="E7012" s="6" t="str">
        <f>HYPERLINK("https://twitter.com/petrogustavo/status/1277598999890059267","1277598999890059267")</f>
        <v>1277598999890059267</v>
      </c>
      <c r="F7012" s="7" t="s">
        <v>17</v>
      </c>
      <c r="G7012" s="7">
        <v>3895996</v>
      </c>
      <c r="H7012" s="7">
        <v>2418</v>
      </c>
      <c r="I7012" s="7">
        <v>235</v>
      </c>
      <c r="J7012" s="7">
        <v>484</v>
      </c>
      <c r="K7012" s="7" t="s">
        <v>18</v>
      </c>
      <c r="L7012" s="8">
        <v>39987.315405092595</v>
      </c>
      <c r="M7012" s="9" t="s">
        <v>19</v>
      </c>
      <c r="N7012" s="9" t="s">
        <v>20</v>
      </c>
      <c r="O7012" s="6" t="str">
        <f>HYPERLINK("https://pbs.twimg.com/profile_images/962471262747529216/Uo8lOkRJ_normal.jpg","View")</f>
        <v>View</v>
      </c>
      <c r="P7012" s="7"/>
    </row>
    <row r="7013" spans="1:16">
      <c r="A7013" s="3">
        <v>44011.804386574076</v>
      </c>
      <c r="B7013" s="4" t="str">
        <f>HYPERLINK("https://twitter.com/petrogustavo","@petrogustavo")</f>
        <v>@petrogustavo</v>
      </c>
      <c r="C7013" s="5" t="s">
        <v>16</v>
      </c>
      <c r="D7013" s="5" t="s">
        <v>6791</v>
      </c>
      <c r="E7013" s="6" t="str">
        <f>HYPERLINK("https://twitter.com/petrogustavo/status/1277599780953296897","1277599780953296897")</f>
        <v>1277599780953296897</v>
      </c>
      <c r="F7013" s="7" t="s">
        <v>17</v>
      </c>
      <c r="G7013" s="7">
        <v>3895996</v>
      </c>
      <c r="H7013" s="7">
        <v>2418</v>
      </c>
      <c r="I7013" s="7">
        <v>145</v>
      </c>
      <c r="J7013" s="7">
        <v>310</v>
      </c>
      <c r="K7013" s="7" t="s">
        <v>18</v>
      </c>
      <c r="L7013" s="8">
        <v>39987.315405092595</v>
      </c>
      <c r="M7013" s="9" t="s">
        <v>19</v>
      </c>
      <c r="N7013" s="9" t="s">
        <v>20</v>
      </c>
      <c r="O7013" s="6" t="str">
        <f>HYPERLINK("https://pbs.twimg.com/profile_images/962471262747529216/Uo8lOkRJ_normal.jpg","View")</f>
        <v>View</v>
      </c>
      <c r="P7013" s="7"/>
    </row>
    <row r="7014" spans="1:16">
      <c r="A7014" s="3">
        <v>44011.806608796294</v>
      </c>
      <c r="B7014" s="4" t="str">
        <f>HYPERLINK("https://twitter.com/petrogustavo","@petrogustavo")</f>
        <v>@petrogustavo</v>
      </c>
      <c r="C7014" s="5" t="s">
        <v>16</v>
      </c>
      <c r="D7014" s="5" t="s">
        <v>6792</v>
      </c>
      <c r="E7014" s="6" t="str">
        <f>HYPERLINK("https://twitter.com/petrogustavo/status/1277600587517956096","1277600587517956096")</f>
        <v>1277600587517956096</v>
      </c>
      <c r="F7014" s="7" t="s">
        <v>17</v>
      </c>
      <c r="G7014" s="7">
        <v>3895996</v>
      </c>
      <c r="H7014" s="7">
        <v>2418</v>
      </c>
      <c r="I7014" s="7">
        <v>78</v>
      </c>
      <c r="J7014" s="7">
        <v>247</v>
      </c>
      <c r="K7014" s="7" t="s">
        <v>18</v>
      </c>
      <c r="L7014" s="8">
        <v>39987.315405092595</v>
      </c>
      <c r="M7014" s="9" t="s">
        <v>19</v>
      </c>
      <c r="N7014" s="9" t="s">
        <v>20</v>
      </c>
      <c r="O7014" s="6" t="str">
        <f>HYPERLINK("https://pbs.twimg.com/profile_images/962471262747529216/Uo8lOkRJ_normal.jpg","View")</f>
        <v>View</v>
      </c>
      <c r="P7014" s="7"/>
    </row>
    <row r="7015" spans="1:16">
      <c r="A7015" s="3">
        <v>44011.806712962964</v>
      </c>
      <c r="B7015" s="4" t="str">
        <f>HYPERLINK("https://twitter.com/petrogustavo","@petrogustavo")</f>
        <v>@petrogustavo</v>
      </c>
      <c r="C7015" s="5" t="s">
        <v>16</v>
      </c>
      <c r="D7015" s="5" t="s">
        <v>6793</v>
      </c>
      <c r="E7015" s="6" t="str">
        <f>HYPERLINK("https://twitter.com/petrogustavo/status/1277600626558599168","1277600626558599168")</f>
        <v>1277600626558599168</v>
      </c>
      <c r="F7015" s="7" t="s">
        <v>17</v>
      </c>
      <c r="G7015" s="7">
        <v>3895996</v>
      </c>
      <c r="H7015" s="7">
        <v>2418</v>
      </c>
      <c r="I7015" s="7">
        <v>1050</v>
      </c>
      <c r="J7015" s="7">
        <v>0</v>
      </c>
      <c r="K7015" s="7" t="s">
        <v>18</v>
      </c>
      <c r="L7015" s="8">
        <v>39987.315405092595</v>
      </c>
      <c r="M7015" s="9" t="s">
        <v>19</v>
      </c>
      <c r="N7015" s="9" t="s">
        <v>20</v>
      </c>
      <c r="O7015" s="6" t="str">
        <f>HYPERLINK("https://pbs.twimg.com/profile_images/962471262747529216/Uo8lOkRJ_normal.jpg","View")</f>
        <v>View</v>
      </c>
      <c r="P7015" s="7"/>
    </row>
    <row r="7016" spans="1:16">
      <c r="A7016" s="3">
        <v>44011.828379629631</v>
      </c>
      <c r="B7016" s="4" t="str">
        <f>HYPERLINK("https://twitter.com/petrogustavo","@petrogustavo")</f>
        <v>@petrogustavo</v>
      </c>
      <c r="C7016" s="5" t="s">
        <v>16</v>
      </c>
      <c r="D7016" s="5" t="s">
        <v>6794</v>
      </c>
      <c r="E7016" s="6" t="str">
        <f>HYPERLINK("https://twitter.com/petrogustavo/status/1277608476441751552","1277608476441751552")</f>
        <v>1277608476441751552</v>
      </c>
      <c r="F7016" s="7" t="s">
        <v>17</v>
      </c>
      <c r="G7016" s="7">
        <v>3895996</v>
      </c>
      <c r="H7016" s="7">
        <v>2418</v>
      </c>
      <c r="I7016" s="7">
        <v>252</v>
      </c>
      <c r="J7016" s="7">
        <v>577</v>
      </c>
      <c r="K7016" s="7" t="s">
        <v>18</v>
      </c>
      <c r="L7016" s="8">
        <v>39987.315405092595</v>
      </c>
      <c r="M7016" s="9" t="s">
        <v>19</v>
      </c>
      <c r="N7016" s="9" t="s">
        <v>20</v>
      </c>
      <c r="O7016" s="6" t="str">
        <f>HYPERLINK("https://pbs.twimg.com/profile_images/962471262747529216/Uo8lOkRJ_normal.jpg","View")</f>
        <v>View</v>
      </c>
      <c r="P7016" s="7"/>
    </row>
    <row r="7017" spans="1:16">
      <c r="A7017" s="3">
        <v>44011.83997685185</v>
      </c>
      <c r="B7017" s="4" t="str">
        <f>HYPERLINK("https://twitter.com/petrogustavo","@petrogustavo")</f>
        <v>@petrogustavo</v>
      </c>
      <c r="C7017" s="5" t="s">
        <v>16</v>
      </c>
      <c r="D7017" s="5" t="s">
        <v>6795</v>
      </c>
      <c r="E7017" s="6" t="str">
        <f>HYPERLINK("https://twitter.com/petrogustavo/status/1277612680833089538","1277612680833089538")</f>
        <v>1277612680833089538</v>
      </c>
      <c r="F7017" s="7" t="s">
        <v>17</v>
      </c>
      <c r="G7017" s="7">
        <v>3895996</v>
      </c>
      <c r="H7017" s="7">
        <v>2418</v>
      </c>
      <c r="I7017" s="7">
        <v>19</v>
      </c>
      <c r="J7017" s="7">
        <v>79</v>
      </c>
      <c r="K7017" s="7" t="s">
        <v>18</v>
      </c>
      <c r="L7017" s="8">
        <v>39987.315405092595</v>
      </c>
      <c r="M7017" s="9" t="s">
        <v>19</v>
      </c>
      <c r="N7017" s="9" t="s">
        <v>20</v>
      </c>
      <c r="O7017" s="6" t="str">
        <f>HYPERLINK("https://pbs.twimg.com/profile_images/962471262747529216/Uo8lOkRJ_normal.jpg","View")</f>
        <v>View</v>
      </c>
      <c r="P7017" s="7"/>
    </row>
    <row r="7018" spans="1:16">
      <c r="A7018" s="3">
        <v>44011.840115740742</v>
      </c>
      <c r="B7018" s="4" t="str">
        <f>HYPERLINK("https://twitter.com/petrogustavo","@petrogustavo")</f>
        <v>@petrogustavo</v>
      </c>
      <c r="C7018" s="5" t="s">
        <v>16</v>
      </c>
      <c r="D7018" s="5" t="s">
        <v>6796</v>
      </c>
      <c r="E7018" s="6" t="str">
        <f>HYPERLINK("https://twitter.com/petrogustavo/status/1277612728614621184","1277612728614621184")</f>
        <v>1277612728614621184</v>
      </c>
      <c r="F7018" s="7" t="s">
        <v>17</v>
      </c>
      <c r="G7018" s="7">
        <v>3895996</v>
      </c>
      <c r="H7018" s="7">
        <v>2418</v>
      </c>
      <c r="I7018" s="7">
        <v>252</v>
      </c>
      <c r="J7018" s="7">
        <v>0</v>
      </c>
      <c r="K7018" s="7" t="s">
        <v>18</v>
      </c>
      <c r="L7018" s="8">
        <v>39987.315405092595</v>
      </c>
      <c r="M7018" s="9" t="s">
        <v>19</v>
      </c>
      <c r="N7018" s="9" t="s">
        <v>20</v>
      </c>
      <c r="O7018" s="6" t="str">
        <f>HYPERLINK("https://pbs.twimg.com/profile_images/962471262747529216/Uo8lOkRJ_normal.jpg","View")</f>
        <v>View</v>
      </c>
      <c r="P7018" s="7"/>
    </row>
    <row r="7019" spans="1:16">
      <c r="A7019" s="3">
        <v>44011.868333333332</v>
      </c>
      <c r="B7019" s="4" t="str">
        <f>HYPERLINK("https://twitter.com/petrogustavo","@petrogustavo")</f>
        <v>@petrogustavo</v>
      </c>
      <c r="C7019" s="5" t="s">
        <v>16</v>
      </c>
      <c r="D7019" s="5" t="s">
        <v>6797</v>
      </c>
      <c r="E7019" s="6" t="str">
        <f>HYPERLINK("https://twitter.com/petrogustavo/status/1277622956676562952","1277622956676562952")</f>
        <v>1277622956676562952</v>
      </c>
      <c r="F7019" s="7" t="s">
        <v>32</v>
      </c>
      <c r="G7019" s="7">
        <v>3896080</v>
      </c>
      <c r="H7019" s="7">
        <v>2418</v>
      </c>
      <c r="I7019" s="7">
        <v>303</v>
      </c>
      <c r="J7019" s="7">
        <v>874</v>
      </c>
      <c r="K7019" s="7" t="s">
        <v>18</v>
      </c>
      <c r="L7019" s="8">
        <v>39987.315405092595</v>
      </c>
      <c r="M7019" s="9" t="s">
        <v>19</v>
      </c>
      <c r="N7019" s="9" t="s">
        <v>20</v>
      </c>
      <c r="O7019" s="6" t="str">
        <f>HYPERLINK("https://pbs.twimg.com/profile_images/962471262747529216/Uo8lOkRJ_normal.jpg","View")</f>
        <v>View</v>
      </c>
      <c r="P7019" s="7"/>
    </row>
    <row r="7020" spans="1:16">
      <c r="A7020" s="3">
        <v>44011.979039351849</v>
      </c>
      <c r="B7020" s="4" t="str">
        <f>HYPERLINK("https://twitter.com/petrogustavo","@petrogustavo")</f>
        <v>@petrogustavo</v>
      </c>
      <c r="C7020" s="5" t="s">
        <v>16</v>
      </c>
      <c r="D7020" s="5" t="s">
        <v>6798</v>
      </c>
      <c r="E7020" s="6" t="str">
        <f>HYPERLINK("https://twitter.com/petrogustavo/status/1277663074246438912","1277663074246438912")</f>
        <v>1277663074246438912</v>
      </c>
      <c r="F7020" s="7" t="s">
        <v>17</v>
      </c>
      <c r="G7020" s="7">
        <v>3896203</v>
      </c>
      <c r="H7020" s="7">
        <v>2418</v>
      </c>
      <c r="I7020" s="7">
        <v>342</v>
      </c>
      <c r="J7020" s="7">
        <v>864</v>
      </c>
      <c r="K7020" s="7" t="s">
        <v>18</v>
      </c>
      <c r="L7020" s="8">
        <v>39987.315405092595</v>
      </c>
      <c r="M7020" s="9" t="s">
        <v>19</v>
      </c>
      <c r="N7020" s="9" t="s">
        <v>20</v>
      </c>
      <c r="O7020" s="6" t="str">
        <f>HYPERLINK("https://pbs.twimg.com/profile_images/962471262747529216/Uo8lOkRJ_normal.jpg","View")</f>
        <v>View</v>
      </c>
      <c r="P7020" s="7"/>
    </row>
    <row r="7021" spans="1:16">
      <c r="A7021" s="3">
        <v>44011.989004629635</v>
      </c>
      <c r="B7021" s="4" t="str">
        <f>HYPERLINK("https://twitter.com/petrogustavo","@petrogustavo")</f>
        <v>@petrogustavo</v>
      </c>
      <c r="C7021" s="5" t="s">
        <v>16</v>
      </c>
      <c r="D7021" s="5" t="s">
        <v>6799</v>
      </c>
      <c r="E7021" s="6" t="str">
        <f>HYPERLINK("https://twitter.com/petrogustavo/status/1277666687056252930","1277666687056252930")</f>
        <v>1277666687056252930</v>
      </c>
      <c r="F7021" s="7" t="s">
        <v>17</v>
      </c>
      <c r="G7021" s="7">
        <v>3896203</v>
      </c>
      <c r="H7021" s="7">
        <v>2418</v>
      </c>
      <c r="I7021" s="7">
        <v>269</v>
      </c>
      <c r="J7021" s="7">
        <v>690</v>
      </c>
      <c r="K7021" s="7" t="s">
        <v>18</v>
      </c>
      <c r="L7021" s="8">
        <v>39987.315405092595</v>
      </c>
      <c r="M7021" s="9" t="s">
        <v>19</v>
      </c>
      <c r="N7021" s="9" t="s">
        <v>20</v>
      </c>
      <c r="O7021" s="6" t="str">
        <f>HYPERLINK("https://pbs.twimg.com/profile_images/962471262747529216/Uo8lOkRJ_normal.jpg","View")</f>
        <v>View</v>
      </c>
      <c r="P7021" s="7"/>
    </row>
    <row r="7022" spans="1:16">
      <c r="A7022" s="3">
        <v>44011.98946759259</v>
      </c>
      <c r="B7022" s="4" t="str">
        <f>HYPERLINK("https://twitter.com/petrogustavo","@petrogustavo")</f>
        <v>@petrogustavo</v>
      </c>
      <c r="C7022" s="5" t="s">
        <v>16</v>
      </c>
      <c r="D7022" s="5" t="s">
        <v>6793</v>
      </c>
      <c r="E7022" s="6" t="str">
        <f>HYPERLINK("https://twitter.com/petrogustavo/status/1277666855633723392","1277666855633723392")</f>
        <v>1277666855633723392</v>
      </c>
      <c r="F7022" s="7" t="s">
        <v>17</v>
      </c>
      <c r="G7022" s="7">
        <v>3896203</v>
      </c>
      <c r="H7022" s="7">
        <v>2418</v>
      </c>
      <c r="I7022" s="7">
        <v>1982</v>
      </c>
      <c r="J7022" s="7">
        <v>0</v>
      </c>
      <c r="K7022" s="7" t="s">
        <v>18</v>
      </c>
      <c r="L7022" s="8">
        <v>39987.315405092595</v>
      </c>
      <c r="M7022" s="9" t="s">
        <v>19</v>
      </c>
      <c r="N7022" s="9" t="s">
        <v>20</v>
      </c>
      <c r="O7022" s="6" t="str">
        <f>HYPERLINK("https://pbs.twimg.com/profile_images/962471262747529216/Uo8lOkRJ_normal.jpg","View")</f>
        <v>View</v>
      </c>
      <c r="P7022" s="7"/>
    </row>
    <row r="7023" spans="1:16">
      <c r="A7023" s="3">
        <v>44012.149895833332</v>
      </c>
      <c r="B7023" s="4" t="str">
        <f>HYPERLINK("https://twitter.com/petrogustavo","@petrogustavo")</f>
        <v>@petrogustavo</v>
      </c>
      <c r="C7023" s="5" t="s">
        <v>16</v>
      </c>
      <c r="D7023" s="5" t="s">
        <v>6800</v>
      </c>
      <c r="E7023" s="6" t="str">
        <f>HYPERLINK("https://twitter.com/petrogustavo/status/1277724991090556933","1277724991090556933")</f>
        <v>1277724991090556933</v>
      </c>
      <c r="F7023" s="7" t="s">
        <v>17</v>
      </c>
      <c r="G7023" s="7">
        <v>3896377</v>
      </c>
      <c r="H7023" s="7">
        <v>2418</v>
      </c>
      <c r="I7023" s="7">
        <v>875</v>
      </c>
      <c r="J7023" s="7">
        <v>0</v>
      </c>
      <c r="K7023" s="7" t="s">
        <v>18</v>
      </c>
      <c r="L7023" s="8">
        <v>39987.315405092595</v>
      </c>
      <c r="M7023" s="9" t="s">
        <v>19</v>
      </c>
      <c r="N7023" s="9" t="s">
        <v>20</v>
      </c>
      <c r="O7023" s="6" t="str">
        <f>HYPERLINK("https://pbs.twimg.com/profile_images/962471262747529216/Uo8lOkRJ_normal.jpg","View")</f>
        <v>View</v>
      </c>
      <c r="P7023" s="7"/>
    </row>
    <row r="7024" spans="1:16">
      <c r="A7024" s="3">
        <v>44012.15</v>
      </c>
      <c r="B7024" s="4" t="str">
        <f>HYPERLINK("https://twitter.com/petrogustavo","@petrogustavo")</f>
        <v>@petrogustavo</v>
      </c>
      <c r="C7024" s="5" t="s">
        <v>16</v>
      </c>
      <c r="D7024" s="5" t="s">
        <v>6793</v>
      </c>
      <c r="E7024" s="6" t="str">
        <f>HYPERLINK("https://twitter.com/petrogustavo/status/1277725029191606275","1277725029191606275")</f>
        <v>1277725029191606275</v>
      </c>
      <c r="F7024" s="7" t="s">
        <v>17</v>
      </c>
      <c r="G7024" s="7">
        <v>3896377</v>
      </c>
      <c r="H7024" s="7">
        <v>2418</v>
      </c>
      <c r="I7024" s="7">
        <v>2390</v>
      </c>
      <c r="J7024" s="7">
        <v>0</v>
      </c>
      <c r="K7024" s="7" t="s">
        <v>18</v>
      </c>
      <c r="L7024" s="8">
        <v>39987.315405092595</v>
      </c>
      <c r="M7024" s="9" t="s">
        <v>19</v>
      </c>
      <c r="N7024" s="9" t="s">
        <v>20</v>
      </c>
      <c r="O7024" s="6" t="str">
        <f>HYPERLINK("https://pbs.twimg.com/profile_images/962471262747529216/Uo8lOkRJ_normal.jpg","View")</f>
        <v>View</v>
      </c>
      <c r="P7024" s="7"/>
    </row>
    <row r="7025" spans="1:16">
      <c r="A7025" s="3">
        <v>44012.235000000001</v>
      </c>
      <c r="B7025" s="4" t="str">
        <f>HYPERLINK("https://twitter.com/petrogustavo","@petrogustavo")</f>
        <v>@petrogustavo</v>
      </c>
      <c r="C7025" s="5" t="s">
        <v>16</v>
      </c>
      <c r="D7025" s="5" t="s">
        <v>6801</v>
      </c>
      <c r="E7025" s="6" t="str">
        <f>HYPERLINK("https://twitter.com/petrogustavo/status/1277755832097267712","1277755832097267712")</f>
        <v>1277755832097267712</v>
      </c>
      <c r="F7025" s="7" t="s">
        <v>17</v>
      </c>
      <c r="G7025" s="7">
        <v>3896476</v>
      </c>
      <c r="H7025" s="7">
        <v>2418</v>
      </c>
      <c r="I7025" s="7">
        <v>29</v>
      </c>
      <c r="J7025" s="7">
        <v>0</v>
      </c>
      <c r="K7025" s="7" t="s">
        <v>18</v>
      </c>
      <c r="L7025" s="8">
        <v>39987.315405092595</v>
      </c>
      <c r="M7025" s="9" t="s">
        <v>19</v>
      </c>
      <c r="N7025" s="9" t="s">
        <v>20</v>
      </c>
      <c r="O7025" s="6" t="str">
        <f>HYPERLINK("https://pbs.twimg.com/profile_images/962471262747529216/Uo8lOkRJ_normal.jpg","View")</f>
        <v>View</v>
      </c>
      <c r="P7025" s="7"/>
    </row>
    <row r="7026" spans="1:16">
      <c r="A7026" s="3">
        <v>44012.23982638889</v>
      </c>
      <c r="B7026" s="4" t="str">
        <f>HYPERLINK("https://twitter.com/petrogustavo","@petrogustavo")</f>
        <v>@petrogustavo</v>
      </c>
      <c r="C7026" s="5" t="s">
        <v>16</v>
      </c>
      <c r="D7026" s="5" t="s">
        <v>6802</v>
      </c>
      <c r="E7026" s="6" t="str">
        <f>HYPERLINK("https://twitter.com/petrogustavo/status/1277757581440823304","1277757581440823304")</f>
        <v>1277757581440823304</v>
      </c>
      <c r="F7026" s="7" t="s">
        <v>17</v>
      </c>
      <c r="G7026" s="7">
        <v>3896476</v>
      </c>
      <c r="H7026" s="7">
        <v>2418</v>
      </c>
      <c r="I7026" s="7">
        <v>27</v>
      </c>
      <c r="J7026" s="7">
        <v>0</v>
      </c>
      <c r="K7026" s="7" t="s">
        <v>18</v>
      </c>
      <c r="L7026" s="8">
        <v>39987.315405092595</v>
      </c>
      <c r="M7026" s="9" t="s">
        <v>19</v>
      </c>
      <c r="N7026" s="9" t="s">
        <v>20</v>
      </c>
      <c r="O7026" s="6" t="str">
        <f>HYPERLINK("https://pbs.twimg.com/profile_images/962471262747529216/Uo8lOkRJ_normal.jpg","View")</f>
        <v>View</v>
      </c>
      <c r="P7026" s="7"/>
    </row>
    <row r="7027" spans="1:16">
      <c r="A7027" s="3">
        <v>44012.242708333331</v>
      </c>
      <c r="B7027" s="4" t="str">
        <f>HYPERLINK("https://twitter.com/petrogustavo","@petrogustavo")</f>
        <v>@petrogustavo</v>
      </c>
      <c r="C7027" s="5" t="s">
        <v>16</v>
      </c>
      <c r="D7027" s="5" t="s">
        <v>6803</v>
      </c>
      <c r="E7027" s="6" t="str">
        <f>HYPERLINK("https://twitter.com/petrogustavo/status/1277758625730215938","1277758625730215938")</f>
        <v>1277758625730215938</v>
      </c>
      <c r="F7027" s="7" t="s">
        <v>17</v>
      </c>
      <c r="G7027" s="7">
        <v>3896508</v>
      </c>
      <c r="H7027" s="7">
        <v>2418</v>
      </c>
      <c r="I7027" s="7">
        <v>234</v>
      </c>
      <c r="J7027" s="7">
        <v>668</v>
      </c>
      <c r="K7027" s="7" t="s">
        <v>18</v>
      </c>
      <c r="L7027" s="8">
        <v>39987.315405092595</v>
      </c>
      <c r="M7027" s="9" t="s">
        <v>19</v>
      </c>
      <c r="N7027" s="9" t="s">
        <v>20</v>
      </c>
      <c r="O7027" s="6" t="str">
        <f>HYPERLINK("https://pbs.twimg.com/profile_images/962471262747529216/Uo8lOkRJ_normal.jpg","View")</f>
        <v>View</v>
      </c>
      <c r="P7027" s="7"/>
    </row>
    <row r="7028" spans="1:16">
      <c r="A7028" s="3">
        <v>44012.334016203706</v>
      </c>
      <c r="B7028" s="4" t="str">
        <f>HYPERLINK("https://twitter.com/petrogustavo","@petrogustavo")</f>
        <v>@petrogustavo</v>
      </c>
      <c r="C7028" s="5" t="s">
        <v>16</v>
      </c>
      <c r="D7028" s="5" t="s">
        <v>6793</v>
      </c>
      <c r="E7028" s="6" t="str">
        <f>HYPERLINK("https://twitter.com/petrogustavo/status/1277791713847685120","1277791713847685120")</f>
        <v>1277791713847685120</v>
      </c>
      <c r="F7028" s="7" t="s">
        <v>17</v>
      </c>
      <c r="G7028" s="7">
        <v>3896634</v>
      </c>
      <c r="H7028" s="7">
        <v>2418</v>
      </c>
      <c r="I7028" s="7">
        <v>2785</v>
      </c>
      <c r="J7028" s="7">
        <v>0</v>
      </c>
      <c r="K7028" s="7" t="s">
        <v>18</v>
      </c>
      <c r="L7028" s="8">
        <v>39987.315405092595</v>
      </c>
      <c r="M7028" s="9" t="s">
        <v>19</v>
      </c>
      <c r="N7028" s="9" t="s">
        <v>20</v>
      </c>
      <c r="O7028" s="6" t="str">
        <f>HYPERLINK("https://pbs.twimg.com/profile_images/962471262747529216/Uo8lOkRJ_normal.jpg","View")</f>
        <v>View</v>
      </c>
      <c r="P7028" s="7"/>
    </row>
    <row r="7029" spans="1:16">
      <c r="A7029" s="3">
        <v>44012.744074074071</v>
      </c>
      <c r="B7029" s="4" t="str">
        <f>HYPERLINK("https://twitter.com/petrogustavo","@petrogustavo")</f>
        <v>@petrogustavo</v>
      </c>
      <c r="C7029" s="5" t="s">
        <v>16</v>
      </c>
      <c r="D7029" s="5" t="s">
        <v>6793</v>
      </c>
      <c r="E7029" s="6" t="str">
        <f>HYPERLINK("https://twitter.com/petrogustavo/status/1277940315043889154","1277940315043889154")</f>
        <v>1277940315043889154</v>
      </c>
      <c r="F7029" s="7" t="s">
        <v>17</v>
      </c>
      <c r="G7029" s="7">
        <v>3896746</v>
      </c>
      <c r="H7029" s="7">
        <v>2419</v>
      </c>
      <c r="I7029" s="7">
        <v>3043</v>
      </c>
      <c r="J7029" s="7">
        <v>0</v>
      </c>
      <c r="K7029" s="7" t="s">
        <v>18</v>
      </c>
      <c r="L7029" s="8">
        <v>39987.315405092595</v>
      </c>
      <c r="M7029" s="9" t="s">
        <v>19</v>
      </c>
      <c r="N7029" s="9" t="s">
        <v>20</v>
      </c>
      <c r="O7029" s="6" t="str">
        <f>HYPERLINK("https://pbs.twimg.com/profile_images/962471262747529216/Uo8lOkRJ_normal.jpg","View")</f>
        <v>View</v>
      </c>
      <c r="P7029" s="7"/>
    </row>
    <row r="7030" spans="1:16">
      <c r="A7030" s="3">
        <v>44012.745462962965</v>
      </c>
      <c r="B7030" s="4" t="str">
        <f>HYPERLINK("https://twitter.com/petrogustavo","@petrogustavo")</f>
        <v>@petrogustavo</v>
      </c>
      <c r="C7030" s="5" t="s">
        <v>16</v>
      </c>
      <c r="D7030" s="5" t="s">
        <v>6804</v>
      </c>
      <c r="E7030" s="6" t="str">
        <f>HYPERLINK("https://twitter.com/petrogustavo/status/1277940816888111110","1277940816888111110")</f>
        <v>1277940816888111110</v>
      </c>
      <c r="F7030" s="7" t="s">
        <v>17</v>
      </c>
      <c r="G7030" s="7">
        <v>3896746</v>
      </c>
      <c r="H7030" s="7">
        <v>2419</v>
      </c>
      <c r="I7030" s="7">
        <v>127</v>
      </c>
      <c r="J7030" s="7">
        <v>0</v>
      </c>
      <c r="K7030" s="7" t="s">
        <v>18</v>
      </c>
      <c r="L7030" s="8">
        <v>39987.315405092595</v>
      </c>
      <c r="M7030" s="9" t="s">
        <v>19</v>
      </c>
      <c r="N7030" s="9" t="s">
        <v>20</v>
      </c>
      <c r="O7030" s="6" t="str">
        <f>HYPERLINK("https://pbs.twimg.com/profile_images/962471262747529216/Uo8lOkRJ_normal.jpg","View")</f>
        <v>View</v>
      </c>
      <c r="P7030" s="7"/>
    </row>
    <row r="7031" spans="1:16">
      <c r="A7031" s="3">
        <v>44012.749259259261</v>
      </c>
      <c r="B7031" s="4" t="str">
        <f>HYPERLINK("https://twitter.com/petrogustavo","@petrogustavo")</f>
        <v>@petrogustavo</v>
      </c>
      <c r="C7031" s="5" t="s">
        <v>16</v>
      </c>
      <c r="D7031" s="5" t="s">
        <v>6805</v>
      </c>
      <c r="E7031" s="6" t="str">
        <f>HYPERLINK("https://twitter.com/petrogustavo/status/1277942192603103232","1277942192603103232")</f>
        <v>1277942192603103232</v>
      </c>
      <c r="F7031" s="7" t="s">
        <v>17</v>
      </c>
      <c r="G7031" s="7">
        <v>3896746</v>
      </c>
      <c r="H7031" s="7">
        <v>2419</v>
      </c>
      <c r="I7031" s="7">
        <v>45</v>
      </c>
      <c r="J7031" s="7">
        <v>0</v>
      </c>
      <c r="K7031" s="7" t="s">
        <v>18</v>
      </c>
      <c r="L7031" s="8">
        <v>39987.315405092595</v>
      </c>
      <c r="M7031" s="9" t="s">
        <v>19</v>
      </c>
      <c r="N7031" s="9" t="s">
        <v>20</v>
      </c>
      <c r="O7031" s="6" t="str">
        <f>HYPERLINK("https://pbs.twimg.com/profile_images/962471262747529216/Uo8lOkRJ_normal.jpg","View")</f>
        <v>View</v>
      </c>
      <c r="P7031" s="7"/>
    </row>
    <row r="7032" spans="1:16">
      <c r="A7032" s="3">
        <v>44012.752129629633</v>
      </c>
      <c r="B7032" s="4" t="str">
        <f>HYPERLINK("https://twitter.com/petrogustavo","@petrogustavo")</f>
        <v>@petrogustavo</v>
      </c>
      <c r="C7032" s="5" t="s">
        <v>16</v>
      </c>
      <c r="D7032" s="5" t="s">
        <v>6806</v>
      </c>
      <c r="E7032" s="6" t="str">
        <f>HYPERLINK("https://twitter.com/petrogustavo/status/1277943231863492609","1277943231863492609")</f>
        <v>1277943231863492609</v>
      </c>
      <c r="F7032" s="7" t="s">
        <v>17</v>
      </c>
      <c r="G7032" s="7">
        <v>3896746</v>
      </c>
      <c r="H7032" s="7">
        <v>2419</v>
      </c>
      <c r="I7032" s="7">
        <v>129</v>
      </c>
      <c r="J7032" s="7">
        <v>416</v>
      </c>
      <c r="K7032" s="7" t="s">
        <v>18</v>
      </c>
      <c r="L7032" s="8">
        <v>39987.315405092595</v>
      </c>
      <c r="M7032" s="9" t="s">
        <v>19</v>
      </c>
      <c r="N7032" s="9" t="s">
        <v>20</v>
      </c>
      <c r="O7032" s="6" t="str">
        <f>HYPERLINK("https://pbs.twimg.com/profile_images/962471262747529216/Uo8lOkRJ_normal.jpg","View")</f>
        <v>View</v>
      </c>
      <c r="P7032" s="7"/>
    </row>
    <row r="7033" spans="1:16">
      <c r="A7033" s="3">
        <v>44012.755590277782</v>
      </c>
      <c r="B7033" s="4" t="str">
        <f>HYPERLINK("https://twitter.com/petrogustavo","@petrogustavo")</f>
        <v>@petrogustavo</v>
      </c>
      <c r="C7033" s="5" t="s">
        <v>16</v>
      </c>
      <c r="D7033" s="5" t="s">
        <v>6807</v>
      </c>
      <c r="E7033" s="6" t="str">
        <f>HYPERLINK("https://twitter.com/petrogustavo/status/1277944485733859329","1277944485733859329")</f>
        <v>1277944485733859329</v>
      </c>
      <c r="F7033" s="7" t="s">
        <v>17</v>
      </c>
      <c r="G7033" s="7">
        <v>3896746</v>
      </c>
      <c r="H7033" s="7">
        <v>2419</v>
      </c>
      <c r="I7033" s="7">
        <v>56</v>
      </c>
      <c r="J7033" s="7">
        <v>148</v>
      </c>
      <c r="K7033" s="7" t="s">
        <v>18</v>
      </c>
      <c r="L7033" s="8">
        <v>39987.315405092595</v>
      </c>
      <c r="M7033" s="9" t="s">
        <v>19</v>
      </c>
      <c r="N7033" s="9" t="s">
        <v>20</v>
      </c>
      <c r="O7033" s="6" t="str">
        <f>HYPERLINK("https://pbs.twimg.com/profile_images/962471262747529216/Uo8lOkRJ_normal.jpg","View")</f>
        <v>View</v>
      </c>
      <c r="P7033" s="7"/>
    </row>
    <row r="7034" spans="1:16">
      <c r="A7034" s="3">
        <v>44012.757337962961</v>
      </c>
      <c r="B7034" s="4" t="str">
        <f>HYPERLINK("https://twitter.com/petrogustavo","@petrogustavo")</f>
        <v>@petrogustavo</v>
      </c>
      <c r="C7034" s="5" t="s">
        <v>16</v>
      </c>
      <c r="D7034" s="5" t="s">
        <v>6808</v>
      </c>
      <c r="E7034" s="6" t="str">
        <f>HYPERLINK("https://twitter.com/petrogustavo/status/1277945120831217667","1277945120831217667")</f>
        <v>1277945120831217667</v>
      </c>
      <c r="F7034" s="7" t="s">
        <v>17</v>
      </c>
      <c r="G7034" s="7">
        <v>3896746</v>
      </c>
      <c r="H7034" s="7">
        <v>2419</v>
      </c>
      <c r="I7034" s="7">
        <v>60</v>
      </c>
      <c r="J7034" s="7">
        <v>149</v>
      </c>
      <c r="K7034" s="7" t="s">
        <v>18</v>
      </c>
      <c r="L7034" s="8">
        <v>39987.315405092595</v>
      </c>
      <c r="M7034" s="9" t="s">
        <v>19</v>
      </c>
      <c r="N7034" s="9" t="s">
        <v>20</v>
      </c>
      <c r="O7034" s="6" t="str">
        <f>HYPERLINK("https://pbs.twimg.com/profile_images/962471262747529216/Uo8lOkRJ_normal.jpg","View")</f>
        <v>View</v>
      </c>
      <c r="P7034" s="7"/>
    </row>
    <row r="7035" spans="1:16">
      <c r="A7035" s="3">
        <v>44012.774328703701</v>
      </c>
      <c r="B7035" s="4" t="str">
        <f>HYPERLINK("https://twitter.com/petrogustavo","@petrogustavo")</f>
        <v>@petrogustavo</v>
      </c>
      <c r="C7035" s="5" t="s">
        <v>16</v>
      </c>
      <c r="D7035" s="5" t="s">
        <v>6809</v>
      </c>
      <c r="E7035" s="6" t="str">
        <f>HYPERLINK("https://twitter.com/petrogustavo/status/1277951277322944512","1277951277322944512")</f>
        <v>1277951277322944512</v>
      </c>
      <c r="F7035" s="7" t="s">
        <v>17</v>
      </c>
      <c r="G7035" s="7">
        <v>3896768</v>
      </c>
      <c r="H7035" s="7">
        <v>2419</v>
      </c>
      <c r="I7035" s="7">
        <v>45</v>
      </c>
      <c r="J7035" s="7">
        <v>118</v>
      </c>
      <c r="K7035" s="7" t="s">
        <v>18</v>
      </c>
      <c r="L7035" s="8">
        <v>39987.315405092595</v>
      </c>
      <c r="M7035" s="9" t="s">
        <v>19</v>
      </c>
      <c r="N7035" s="9" t="s">
        <v>20</v>
      </c>
      <c r="O7035" s="6" t="str">
        <f>HYPERLINK("https://pbs.twimg.com/profile_images/962471262747529216/Uo8lOkRJ_normal.jpg","View")</f>
        <v>View</v>
      </c>
      <c r="P7035" s="7"/>
    </row>
    <row r="7036" spans="1:16">
      <c r="A7036" s="3">
        <v>44012.774456018524</v>
      </c>
      <c r="B7036" s="4" t="str">
        <f>HYPERLINK("https://twitter.com/petrogustavo","@petrogustavo")</f>
        <v>@petrogustavo</v>
      </c>
      <c r="C7036" s="5" t="s">
        <v>16</v>
      </c>
      <c r="D7036" s="5" t="s">
        <v>6810</v>
      </c>
      <c r="E7036" s="6" t="str">
        <f>HYPERLINK("https://twitter.com/petrogustavo/status/1277951322650628099","1277951322650628099")</f>
        <v>1277951322650628099</v>
      </c>
      <c r="F7036" s="7" t="s">
        <v>17</v>
      </c>
      <c r="G7036" s="7">
        <v>3896768</v>
      </c>
      <c r="H7036" s="7">
        <v>2419</v>
      </c>
      <c r="I7036" s="7">
        <v>169</v>
      </c>
      <c r="J7036" s="7">
        <v>0</v>
      </c>
      <c r="K7036" s="7" t="s">
        <v>18</v>
      </c>
      <c r="L7036" s="8">
        <v>39987.315405092595</v>
      </c>
      <c r="M7036" s="9" t="s">
        <v>19</v>
      </c>
      <c r="N7036" s="9" t="s">
        <v>20</v>
      </c>
      <c r="O7036" s="6" t="str">
        <f>HYPERLINK("https://pbs.twimg.com/profile_images/962471262747529216/Uo8lOkRJ_normal.jpg","View")</f>
        <v>View</v>
      </c>
      <c r="P7036" s="7"/>
    </row>
    <row r="7037" spans="1:16">
      <c r="A7037" s="3">
        <v>44012.875972222224</v>
      </c>
      <c r="B7037" s="4" t="str">
        <f>HYPERLINK("https://twitter.com/petrogustavo","@petrogustavo")</f>
        <v>@petrogustavo</v>
      </c>
      <c r="C7037" s="5" t="s">
        <v>16</v>
      </c>
      <c r="D7037" s="5" t="s">
        <v>6811</v>
      </c>
      <c r="E7037" s="6" t="str">
        <f>HYPERLINK("https://twitter.com/petrogustavo/status/1277988112577318913","1277988112577318913")</f>
        <v>1277988112577318913</v>
      </c>
      <c r="F7037" s="7" t="s">
        <v>32</v>
      </c>
      <c r="G7037" s="7">
        <v>3896932</v>
      </c>
      <c r="H7037" s="7">
        <v>2418</v>
      </c>
      <c r="I7037" s="7">
        <v>58</v>
      </c>
      <c r="J7037" s="7">
        <v>0</v>
      </c>
      <c r="K7037" s="7" t="s">
        <v>18</v>
      </c>
      <c r="L7037" s="8">
        <v>39987.315405092595</v>
      </c>
      <c r="M7037" s="9" t="s">
        <v>19</v>
      </c>
      <c r="N7037" s="9" t="s">
        <v>20</v>
      </c>
      <c r="O7037" s="6" t="str">
        <f>HYPERLINK("https://pbs.twimg.com/profile_images/962471262747529216/Uo8lOkRJ_normal.jpg","View")</f>
        <v>View</v>
      </c>
      <c r="P7037" s="7"/>
    </row>
    <row r="7038" spans="1:16">
      <c r="A7038" s="3">
        <v>44012.876782407402</v>
      </c>
      <c r="B7038" s="4" t="str">
        <f>HYPERLINK("https://twitter.com/petrogustavo","@petrogustavo")</f>
        <v>@petrogustavo</v>
      </c>
      <c r="C7038" s="5" t="s">
        <v>16</v>
      </c>
      <c r="D7038" s="5" t="s">
        <v>6812</v>
      </c>
      <c r="E7038" s="6" t="str">
        <f>HYPERLINK("https://twitter.com/petrogustavo/status/1277988407466233859","1277988407466233859")</f>
        <v>1277988407466233859</v>
      </c>
      <c r="F7038" s="7" t="s">
        <v>32</v>
      </c>
      <c r="G7038" s="7">
        <v>3896932</v>
      </c>
      <c r="H7038" s="7">
        <v>2418</v>
      </c>
      <c r="I7038" s="7">
        <v>90</v>
      </c>
      <c r="J7038" s="7">
        <v>167</v>
      </c>
      <c r="K7038" s="7" t="s">
        <v>18</v>
      </c>
      <c r="L7038" s="8">
        <v>39987.315405092595</v>
      </c>
      <c r="M7038" s="9" t="s">
        <v>19</v>
      </c>
      <c r="N7038" s="9" t="s">
        <v>20</v>
      </c>
      <c r="O7038" s="6" t="str">
        <f>HYPERLINK("https://pbs.twimg.com/profile_images/962471262747529216/Uo8lOkRJ_normal.jpg","View")</f>
        <v>View</v>
      </c>
      <c r="P7038" s="7"/>
    </row>
    <row r="7039" spans="1:16">
      <c r="A7039" s="3">
        <v>44012.962858796294</v>
      </c>
      <c r="B7039" s="4" t="str">
        <f>HYPERLINK("https://twitter.com/petrogustavo","@petrogustavo")</f>
        <v>@petrogustavo</v>
      </c>
      <c r="C7039" s="5" t="s">
        <v>16</v>
      </c>
      <c r="D7039" s="5" t="s">
        <v>6813</v>
      </c>
      <c r="E7039" s="6" t="str">
        <f>HYPERLINK("https://twitter.com/petrogustavo/status/1278019596927328262","1278019596927328262")</f>
        <v>1278019596927328262</v>
      </c>
      <c r="F7039" s="7" t="s">
        <v>17</v>
      </c>
      <c r="G7039" s="7">
        <v>3897030</v>
      </c>
      <c r="H7039" s="7">
        <v>2418</v>
      </c>
      <c r="I7039" s="7">
        <v>80</v>
      </c>
      <c r="J7039" s="7">
        <v>199</v>
      </c>
      <c r="K7039" s="7" t="s">
        <v>18</v>
      </c>
      <c r="L7039" s="8">
        <v>39987.315405092595</v>
      </c>
      <c r="M7039" s="9" t="s">
        <v>19</v>
      </c>
      <c r="N7039" s="9" t="s">
        <v>20</v>
      </c>
      <c r="O7039" s="6" t="str">
        <f>HYPERLINK("https://pbs.twimg.com/profile_images/962471262747529216/Uo8lOkRJ_normal.jpg","View")</f>
        <v>View</v>
      </c>
      <c r="P7039" s="7"/>
    </row>
    <row r="7040" spans="1:16">
      <c r="A7040" s="3">
        <v>44012.969039351854</v>
      </c>
      <c r="B7040" s="4" t="str">
        <f>HYPERLINK("https://twitter.com/petrogustavo","@petrogustavo")</f>
        <v>@petrogustavo</v>
      </c>
      <c r="C7040" s="5" t="s">
        <v>16</v>
      </c>
      <c r="D7040" s="5" t="s">
        <v>6814</v>
      </c>
      <c r="E7040" s="6" t="str">
        <f>HYPERLINK("https://twitter.com/petrogustavo/status/1278021836664705024","1278021836664705024")</f>
        <v>1278021836664705024</v>
      </c>
      <c r="F7040" s="7" t="s">
        <v>17</v>
      </c>
      <c r="G7040" s="7">
        <v>3897030</v>
      </c>
      <c r="H7040" s="7">
        <v>2418</v>
      </c>
      <c r="I7040" s="7">
        <v>43</v>
      </c>
      <c r="J7040" s="7">
        <v>58</v>
      </c>
      <c r="K7040" s="7" t="s">
        <v>18</v>
      </c>
      <c r="L7040" s="8">
        <v>39987.315405092595</v>
      </c>
      <c r="M7040" s="9" t="s">
        <v>19</v>
      </c>
      <c r="N7040" s="9" t="s">
        <v>20</v>
      </c>
      <c r="O7040" s="6" t="str">
        <f>HYPERLINK("https://pbs.twimg.com/profile_images/962471262747529216/Uo8lOkRJ_normal.jpg","View")</f>
        <v>View</v>
      </c>
      <c r="P7040" s="7"/>
    </row>
    <row r="7041" spans="1:16">
      <c r="A7041" s="3">
        <v>44012.996238425927</v>
      </c>
      <c r="B7041" s="4" t="str">
        <f>HYPERLINK("https://twitter.com/petrogustavo","@petrogustavo")</f>
        <v>@petrogustavo</v>
      </c>
      <c r="C7041" s="5" t="s">
        <v>16</v>
      </c>
      <c r="D7041" s="5" t="s">
        <v>6815</v>
      </c>
      <c r="E7041" s="6" t="str">
        <f>HYPERLINK("https://twitter.com/petrogustavo/status/1278031694470225920","1278031694470225920")</f>
        <v>1278031694470225920</v>
      </c>
      <c r="F7041" s="7" t="s">
        <v>17</v>
      </c>
      <c r="G7041" s="7">
        <v>3897070</v>
      </c>
      <c r="H7041" s="7">
        <v>2418</v>
      </c>
      <c r="I7041" s="7">
        <v>121</v>
      </c>
      <c r="J7041" s="7">
        <v>259</v>
      </c>
      <c r="K7041" s="7" t="s">
        <v>18</v>
      </c>
      <c r="L7041" s="8">
        <v>39987.315405092595</v>
      </c>
      <c r="M7041" s="9" t="s">
        <v>19</v>
      </c>
      <c r="N7041" s="9" t="s">
        <v>20</v>
      </c>
      <c r="O7041" s="6" t="str">
        <f>HYPERLINK("https://pbs.twimg.com/profile_images/962471262747529216/Uo8lOkRJ_normal.jpg","View")</f>
        <v>View</v>
      </c>
      <c r="P7041" s="7"/>
    </row>
    <row r="7042" spans="1:16">
      <c r="A7042" s="3">
        <v>44013.177604166667</v>
      </c>
      <c r="B7042" s="4" t="str">
        <f>HYPERLINK("https://twitter.com/petrogustavo","@petrogustavo")</f>
        <v>@petrogustavo</v>
      </c>
      <c r="C7042" s="5" t="s">
        <v>16</v>
      </c>
      <c r="D7042" s="5" t="s">
        <v>6816</v>
      </c>
      <c r="E7042" s="6" t="str">
        <f>HYPERLINK("https://twitter.com/petrogustavo/status/1278097419654303745","1278097419654303745")</f>
        <v>1278097419654303745</v>
      </c>
      <c r="F7042" s="7" t="s">
        <v>32</v>
      </c>
      <c r="G7042" s="7">
        <v>3897252</v>
      </c>
      <c r="H7042" s="7">
        <v>2418</v>
      </c>
      <c r="I7042" s="7">
        <v>24</v>
      </c>
      <c r="J7042" s="7">
        <v>0</v>
      </c>
      <c r="K7042" s="7" t="s">
        <v>18</v>
      </c>
      <c r="L7042" s="8">
        <v>39987.315405092595</v>
      </c>
      <c r="M7042" s="9" t="s">
        <v>19</v>
      </c>
      <c r="N7042" s="9" t="s">
        <v>20</v>
      </c>
      <c r="O7042" s="6" t="str">
        <f>HYPERLINK("https://pbs.twimg.com/profile_images/962471262747529216/Uo8lOkRJ_normal.jpg","View")</f>
        <v>View</v>
      </c>
      <c r="P7042" s="7"/>
    </row>
    <row r="7043" spans="1:16">
      <c r="A7043" s="3">
        <v>44013.177916666667</v>
      </c>
      <c r="B7043" s="4" t="str">
        <f>HYPERLINK("https://twitter.com/petrogustavo","@petrogustavo")</f>
        <v>@petrogustavo</v>
      </c>
      <c r="C7043" s="5" t="s">
        <v>16</v>
      </c>
      <c r="D7043" s="5" t="s">
        <v>6817</v>
      </c>
      <c r="E7043" s="6" t="str">
        <f>HYPERLINK("https://twitter.com/petrogustavo/status/1278097534397939712","1278097534397939712")</f>
        <v>1278097534397939712</v>
      </c>
      <c r="F7043" s="7" t="s">
        <v>32</v>
      </c>
      <c r="G7043" s="7">
        <v>3897252</v>
      </c>
      <c r="H7043" s="7">
        <v>2418</v>
      </c>
      <c r="I7043" s="7">
        <v>254</v>
      </c>
      <c r="J7043" s="7">
        <v>0</v>
      </c>
      <c r="K7043" s="7" t="s">
        <v>18</v>
      </c>
      <c r="L7043" s="8">
        <v>39987.315405092595</v>
      </c>
      <c r="M7043" s="9" t="s">
        <v>19</v>
      </c>
      <c r="N7043" s="9" t="s">
        <v>20</v>
      </c>
      <c r="O7043" s="6" t="str">
        <f>HYPERLINK("https://pbs.twimg.com/profile_images/962471262747529216/Uo8lOkRJ_normal.jpg","View")</f>
        <v>View</v>
      </c>
      <c r="P7043" s="7"/>
    </row>
    <row r="7044" spans="1:16">
      <c r="A7044" s="3">
        <v>44013.215740740736</v>
      </c>
      <c r="B7044" s="4" t="str">
        <f>HYPERLINK("https://twitter.com/petrogustavo","@petrogustavo")</f>
        <v>@petrogustavo</v>
      </c>
      <c r="C7044" s="5" t="s">
        <v>16</v>
      </c>
      <c r="D7044" s="5" t="s">
        <v>6818</v>
      </c>
      <c r="E7044" s="6" t="str">
        <f>HYPERLINK("https://twitter.com/petrogustavo/status/1278111240926216194","1278111240926216194")</f>
        <v>1278111240926216194</v>
      </c>
      <c r="F7044" s="7" t="s">
        <v>32</v>
      </c>
      <c r="G7044" s="7">
        <v>3897304</v>
      </c>
      <c r="H7044" s="7">
        <v>2418</v>
      </c>
      <c r="I7044" s="7">
        <v>1569</v>
      </c>
      <c r="J7044" s="7">
        <v>0</v>
      </c>
      <c r="K7044" s="7" t="s">
        <v>18</v>
      </c>
      <c r="L7044" s="8">
        <v>39987.315405092595</v>
      </c>
      <c r="M7044" s="9" t="s">
        <v>19</v>
      </c>
      <c r="N7044" s="9" t="s">
        <v>20</v>
      </c>
      <c r="O7044" s="6" t="str">
        <f>HYPERLINK("https://pbs.twimg.com/profile_images/962471262747529216/Uo8lOkRJ_normal.jpg","View")</f>
        <v>View</v>
      </c>
      <c r="P7044" s="7"/>
    </row>
    <row r="7045" spans="1:16">
      <c r="A7045" s="3">
        <v>44013.216504629629</v>
      </c>
      <c r="B7045" s="4" t="str">
        <f>HYPERLINK("https://twitter.com/petrogustavo","@petrogustavo")</f>
        <v>@petrogustavo</v>
      </c>
      <c r="C7045" s="5" t="s">
        <v>16</v>
      </c>
      <c r="D7045" s="5" t="s">
        <v>6819</v>
      </c>
      <c r="E7045" s="6" t="str">
        <f>HYPERLINK("https://twitter.com/petrogustavo/status/1278111517808963586","1278111517808963586")</f>
        <v>1278111517808963586</v>
      </c>
      <c r="F7045" s="7" t="s">
        <v>32</v>
      </c>
      <c r="G7045" s="7">
        <v>3897304</v>
      </c>
      <c r="H7045" s="7">
        <v>2418</v>
      </c>
      <c r="I7045" s="7">
        <v>2511</v>
      </c>
      <c r="J7045" s="7">
        <v>0</v>
      </c>
      <c r="K7045" s="7" t="s">
        <v>18</v>
      </c>
      <c r="L7045" s="8">
        <v>39987.315405092595</v>
      </c>
      <c r="M7045" s="9" t="s">
        <v>19</v>
      </c>
      <c r="N7045" s="9" t="s">
        <v>20</v>
      </c>
      <c r="O7045" s="6" t="str">
        <f>HYPERLINK("https://pbs.twimg.com/profile_images/962471262747529216/Uo8lOkRJ_normal.jpg","View")</f>
        <v>View</v>
      </c>
      <c r="P7045" s="7"/>
    </row>
    <row r="7046" spans="1:16">
      <c r="A7046" s="3">
        <v>44013.271041666667</v>
      </c>
      <c r="B7046" s="4" t="str">
        <f>HYPERLINK("https://twitter.com/petrogustavo","@petrogustavo")</f>
        <v>@petrogustavo</v>
      </c>
      <c r="C7046" s="5" t="s">
        <v>16</v>
      </c>
      <c r="D7046" s="5" t="s">
        <v>6820</v>
      </c>
      <c r="E7046" s="6" t="str">
        <f>HYPERLINK("https://twitter.com/petrogustavo/status/1278131281549803521","1278131281549803521")</f>
        <v>1278131281549803521</v>
      </c>
      <c r="F7046" s="7" t="s">
        <v>32</v>
      </c>
      <c r="G7046" s="7">
        <v>3897377</v>
      </c>
      <c r="H7046" s="7">
        <v>2418</v>
      </c>
      <c r="I7046" s="7">
        <v>619</v>
      </c>
      <c r="J7046" s="7">
        <v>0</v>
      </c>
      <c r="K7046" s="7" t="s">
        <v>18</v>
      </c>
      <c r="L7046" s="8">
        <v>39987.315405092595</v>
      </c>
      <c r="M7046" s="9" t="s">
        <v>19</v>
      </c>
      <c r="N7046" s="9" t="s">
        <v>20</v>
      </c>
      <c r="O7046" s="6" t="str">
        <f>HYPERLINK("https://pbs.twimg.com/profile_images/962471262747529216/Uo8lOkRJ_normal.jpg","View")</f>
        <v>View</v>
      </c>
      <c r="P7046" s="7"/>
    </row>
    <row r="7047" spans="1:16">
      <c r="A7047" s="3">
        <v>44013.281273148154</v>
      </c>
      <c r="B7047" s="4" t="str">
        <f>HYPERLINK("https://twitter.com/petrogustavo","@petrogustavo")</f>
        <v>@petrogustavo</v>
      </c>
      <c r="C7047" s="5" t="s">
        <v>16</v>
      </c>
      <c r="D7047" s="5" t="s">
        <v>6821</v>
      </c>
      <c r="E7047" s="6" t="str">
        <f>HYPERLINK("https://twitter.com/petrogustavo/status/1278134989536854016","1278134989536854016")</f>
        <v>1278134989536854016</v>
      </c>
      <c r="F7047" s="7" t="s">
        <v>32</v>
      </c>
      <c r="G7047" s="7">
        <v>3897377</v>
      </c>
      <c r="H7047" s="7">
        <v>2418</v>
      </c>
      <c r="I7047" s="7">
        <v>9</v>
      </c>
      <c r="J7047" s="7">
        <v>0</v>
      </c>
      <c r="K7047" s="7" t="s">
        <v>18</v>
      </c>
      <c r="L7047" s="8">
        <v>39987.315405092595</v>
      </c>
      <c r="M7047" s="9" t="s">
        <v>19</v>
      </c>
      <c r="N7047" s="9" t="s">
        <v>20</v>
      </c>
      <c r="O7047" s="6" t="str">
        <f>HYPERLINK("https://pbs.twimg.com/profile_images/962471262747529216/Uo8lOkRJ_normal.jpg","View")</f>
        <v>View</v>
      </c>
      <c r="P7047" s="7"/>
    </row>
    <row r="7048" spans="1:16">
      <c r="A7048" s="3">
        <v>44013.281944444447</v>
      </c>
      <c r="B7048" s="4" t="str">
        <f>HYPERLINK("https://twitter.com/petrogustavo","@petrogustavo")</f>
        <v>@petrogustavo</v>
      </c>
      <c r="C7048" s="5" t="s">
        <v>16</v>
      </c>
      <c r="D7048" s="5" t="s">
        <v>6822</v>
      </c>
      <c r="E7048" s="6" t="str">
        <f>HYPERLINK("https://twitter.com/petrogustavo/status/1278135230952603655","1278135230952603655")</f>
        <v>1278135230952603655</v>
      </c>
      <c r="F7048" s="7" t="s">
        <v>32</v>
      </c>
      <c r="G7048" s="7">
        <v>3897377</v>
      </c>
      <c r="H7048" s="7">
        <v>2418</v>
      </c>
      <c r="I7048" s="7">
        <v>30</v>
      </c>
      <c r="J7048" s="7">
        <v>114</v>
      </c>
      <c r="K7048" s="7" t="s">
        <v>18</v>
      </c>
      <c r="L7048" s="8">
        <v>39987.315405092595</v>
      </c>
      <c r="M7048" s="9" t="s">
        <v>19</v>
      </c>
      <c r="N7048" s="9" t="s">
        <v>20</v>
      </c>
      <c r="O7048" s="6" t="str">
        <f>HYPERLINK("https://pbs.twimg.com/profile_images/962471262747529216/Uo8lOkRJ_normal.jpg","View")</f>
        <v>View</v>
      </c>
      <c r="P7048" s="7"/>
    </row>
    <row r="7049" spans="1:16">
      <c r="A7049" s="3">
        <v>44013.294432870374</v>
      </c>
      <c r="B7049" s="4" t="str">
        <f>HYPERLINK("https://twitter.com/petrogustavo","@petrogustavo")</f>
        <v>@petrogustavo</v>
      </c>
      <c r="C7049" s="5" t="s">
        <v>16</v>
      </c>
      <c r="D7049" s="5" t="s">
        <v>6823</v>
      </c>
      <c r="E7049" s="6" t="str">
        <f>HYPERLINK("https://twitter.com/petrogustavo/status/1278139757684502528","1278139757684502528")</f>
        <v>1278139757684502528</v>
      </c>
      <c r="F7049" s="7" t="s">
        <v>17</v>
      </c>
      <c r="G7049" s="7">
        <v>3897415</v>
      </c>
      <c r="H7049" s="7">
        <v>2418</v>
      </c>
      <c r="I7049" s="7">
        <v>103</v>
      </c>
      <c r="J7049" s="7">
        <v>0</v>
      </c>
      <c r="K7049" s="7" t="s">
        <v>18</v>
      </c>
      <c r="L7049" s="8">
        <v>39987.315405092595</v>
      </c>
      <c r="M7049" s="9" t="s">
        <v>19</v>
      </c>
      <c r="N7049" s="9" t="s">
        <v>20</v>
      </c>
      <c r="O7049" s="6" t="str">
        <f>HYPERLINK("https://pbs.twimg.com/profile_images/962471262747529216/Uo8lOkRJ_normal.jpg","View")</f>
        <v>View</v>
      </c>
      <c r="P7049" s="7"/>
    </row>
    <row r="7050" spans="1:16">
      <c r="A7050" s="3">
        <v>44013.295972222222</v>
      </c>
      <c r="B7050" s="4" t="str">
        <f>HYPERLINK("https://twitter.com/petrogustavo","@petrogustavo")</f>
        <v>@petrogustavo</v>
      </c>
      <c r="C7050" s="5" t="s">
        <v>16</v>
      </c>
      <c r="D7050" s="5" t="s">
        <v>6824</v>
      </c>
      <c r="E7050" s="6" t="str">
        <f>HYPERLINK("https://twitter.com/petrogustavo/status/1278140314969047041","1278140314969047041")</f>
        <v>1278140314969047041</v>
      </c>
      <c r="F7050" s="7" t="s">
        <v>17</v>
      </c>
      <c r="G7050" s="7">
        <v>3897415</v>
      </c>
      <c r="H7050" s="7">
        <v>2418</v>
      </c>
      <c r="I7050" s="7">
        <v>92</v>
      </c>
      <c r="J7050" s="7">
        <v>0</v>
      </c>
      <c r="K7050" s="7" t="s">
        <v>18</v>
      </c>
      <c r="L7050" s="8">
        <v>39987.315405092595</v>
      </c>
      <c r="M7050" s="9" t="s">
        <v>19</v>
      </c>
      <c r="N7050" s="9" t="s">
        <v>20</v>
      </c>
      <c r="O7050" s="6" t="str">
        <f>HYPERLINK("https://pbs.twimg.com/profile_images/962471262747529216/Uo8lOkRJ_normal.jpg","View")</f>
        <v>View</v>
      </c>
      <c r="P7050" s="7"/>
    </row>
    <row r="7051" spans="1:16">
      <c r="A7051" s="3">
        <v>44013.296284722222</v>
      </c>
      <c r="B7051" s="4" t="str">
        <f>HYPERLINK("https://twitter.com/petrogustavo","@petrogustavo")</f>
        <v>@petrogustavo</v>
      </c>
      <c r="C7051" s="5" t="s">
        <v>16</v>
      </c>
      <c r="D7051" s="5" t="s">
        <v>6825</v>
      </c>
      <c r="E7051" s="6" t="str">
        <f>HYPERLINK("https://twitter.com/petrogustavo/status/1278140427112251392","1278140427112251392")</f>
        <v>1278140427112251392</v>
      </c>
      <c r="F7051" s="7" t="s">
        <v>17</v>
      </c>
      <c r="G7051" s="7">
        <v>3897415</v>
      </c>
      <c r="H7051" s="7">
        <v>2418</v>
      </c>
      <c r="I7051" s="7">
        <v>358</v>
      </c>
      <c r="J7051" s="7">
        <v>0</v>
      </c>
      <c r="K7051" s="7" t="s">
        <v>18</v>
      </c>
      <c r="L7051" s="8">
        <v>39987.315405092595</v>
      </c>
      <c r="M7051" s="9" t="s">
        <v>19</v>
      </c>
      <c r="N7051" s="9" t="s">
        <v>20</v>
      </c>
      <c r="O7051" s="6" t="str">
        <f>HYPERLINK("https://pbs.twimg.com/profile_images/962471262747529216/Uo8lOkRJ_normal.jpg","View")</f>
        <v>View</v>
      </c>
      <c r="P7051" s="7"/>
    </row>
    <row r="7052" spans="1:16">
      <c r="A7052" s="3">
        <v>44013.299641203703</v>
      </c>
      <c r="B7052" s="4" t="str">
        <f>HYPERLINK("https://twitter.com/petrogustavo","@petrogustavo")</f>
        <v>@petrogustavo</v>
      </c>
      <c r="C7052" s="5" t="s">
        <v>16</v>
      </c>
      <c r="D7052" s="5" t="s">
        <v>6826</v>
      </c>
      <c r="E7052" s="6" t="str">
        <f>HYPERLINK("https://twitter.com/petrogustavo/status/1278141646723522560","1278141646723522560")</f>
        <v>1278141646723522560</v>
      </c>
      <c r="F7052" s="7" t="s">
        <v>17</v>
      </c>
      <c r="G7052" s="7">
        <v>3897415</v>
      </c>
      <c r="H7052" s="7">
        <v>2418</v>
      </c>
      <c r="I7052" s="7">
        <v>209</v>
      </c>
      <c r="J7052" s="7">
        <v>0</v>
      </c>
      <c r="K7052" s="7" t="s">
        <v>18</v>
      </c>
      <c r="L7052" s="8">
        <v>39987.315405092595</v>
      </c>
      <c r="M7052" s="9" t="s">
        <v>19</v>
      </c>
      <c r="N7052" s="9" t="s">
        <v>20</v>
      </c>
      <c r="O7052" s="6" t="str">
        <f>HYPERLINK("https://pbs.twimg.com/profile_images/962471262747529216/Uo8lOkRJ_normal.jpg","View")</f>
        <v>View</v>
      </c>
      <c r="P7052" s="7"/>
    </row>
    <row r="7053" spans="1:16">
      <c r="A7053" s="3">
        <v>44013.313819444447</v>
      </c>
      <c r="B7053" s="4" t="str">
        <f>HYPERLINK("https://twitter.com/petrogustavo","@petrogustavo")</f>
        <v>@petrogustavo</v>
      </c>
      <c r="C7053" s="5" t="s">
        <v>16</v>
      </c>
      <c r="D7053" s="5" t="s">
        <v>6827</v>
      </c>
      <c r="E7053" s="6" t="str">
        <f>HYPERLINK("https://twitter.com/petrogustavo/status/1278146783806398464","1278146783806398464")</f>
        <v>1278146783806398464</v>
      </c>
      <c r="F7053" s="7" t="s">
        <v>32</v>
      </c>
      <c r="G7053" s="7">
        <v>3897434</v>
      </c>
      <c r="H7053" s="7">
        <v>2418</v>
      </c>
      <c r="I7053" s="7">
        <v>13</v>
      </c>
      <c r="J7053" s="7">
        <v>0</v>
      </c>
      <c r="K7053" s="7" t="s">
        <v>18</v>
      </c>
      <c r="L7053" s="8">
        <v>39987.315405092595</v>
      </c>
      <c r="M7053" s="9" t="s">
        <v>19</v>
      </c>
      <c r="N7053" s="9" t="s">
        <v>20</v>
      </c>
      <c r="O7053" s="6" t="str">
        <f>HYPERLINK("https://pbs.twimg.com/profile_images/962471262747529216/Uo8lOkRJ_normal.jpg","View")</f>
        <v>View</v>
      </c>
      <c r="P7053" s="7"/>
    </row>
    <row r="7054" spans="1:16">
      <c r="A7054" s="3">
        <v>44013.313993055555</v>
      </c>
      <c r="B7054" s="4" t="str">
        <f>HYPERLINK("https://twitter.com/petrogustavo","@petrogustavo")</f>
        <v>@petrogustavo</v>
      </c>
      <c r="C7054" s="5" t="s">
        <v>16</v>
      </c>
      <c r="D7054" s="5" t="s">
        <v>6828</v>
      </c>
      <c r="E7054" s="6" t="str">
        <f>HYPERLINK("https://twitter.com/petrogustavo/status/1278146844066004993","1278146844066004993")</f>
        <v>1278146844066004993</v>
      </c>
      <c r="F7054" s="7" t="s">
        <v>32</v>
      </c>
      <c r="G7054" s="7">
        <v>3897434</v>
      </c>
      <c r="H7054" s="7">
        <v>2418</v>
      </c>
      <c r="I7054" s="7">
        <v>12</v>
      </c>
      <c r="J7054" s="7">
        <v>0</v>
      </c>
      <c r="K7054" s="7" t="s">
        <v>18</v>
      </c>
      <c r="L7054" s="8">
        <v>39987.315405092595</v>
      </c>
      <c r="M7054" s="9" t="s">
        <v>19</v>
      </c>
      <c r="N7054" s="9" t="s">
        <v>20</v>
      </c>
      <c r="O7054" s="6" t="str">
        <f>HYPERLINK("https://pbs.twimg.com/profile_images/962471262747529216/Uo8lOkRJ_normal.jpg","View")</f>
        <v>View</v>
      </c>
      <c r="P7054" s="7"/>
    </row>
    <row r="7055" spans="1:16">
      <c r="A7055" s="3">
        <v>44013.314155092594</v>
      </c>
      <c r="B7055" s="4" t="str">
        <f>HYPERLINK("https://twitter.com/petrogustavo","@petrogustavo")</f>
        <v>@petrogustavo</v>
      </c>
      <c r="C7055" s="5" t="s">
        <v>16</v>
      </c>
      <c r="D7055" s="5" t="s">
        <v>6829</v>
      </c>
      <c r="E7055" s="6" t="str">
        <f>HYPERLINK("https://twitter.com/petrogustavo/status/1278146903142776832","1278146903142776832")</f>
        <v>1278146903142776832</v>
      </c>
      <c r="F7055" s="7" t="s">
        <v>32</v>
      </c>
      <c r="G7055" s="7">
        <v>3897434</v>
      </c>
      <c r="H7055" s="7">
        <v>2418</v>
      </c>
      <c r="I7055" s="7">
        <v>213</v>
      </c>
      <c r="J7055" s="7">
        <v>0</v>
      </c>
      <c r="K7055" s="7" t="s">
        <v>18</v>
      </c>
      <c r="L7055" s="8">
        <v>39987.315405092595</v>
      </c>
      <c r="M7055" s="9" t="s">
        <v>19</v>
      </c>
      <c r="N7055" s="9" t="s">
        <v>20</v>
      </c>
      <c r="O7055" s="6" t="str">
        <f>HYPERLINK("https://pbs.twimg.com/profile_images/962471262747529216/Uo8lOkRJ_normal.jpg","View")</f>
        <v>View</v>
      </c>
      <c r="P7055" s="7"/>
    </row>
    <row r="7056" spans="1:16">
      <c r="A7056" s="3">
        <v>44013.32413194445</v>
      </c>
      <c r="B7056" s="4" t="str">
        <f>HYPERLINK("https://twitter.com/petrogustavo","@petrogustavo")</f>
        <v>@petrogustavo</v>
      </c>
      <c r="C7056" s="5" t="s">
        <v>16</v>
      </c>
      <c r="D7056" s="5" t="s">
        <v>4275</v>
      </c>
      <c r="E7056" s="6" t="str">
        <f>HYPERLINK("https://twitter.com/petrogustavo/status/1278150518280540160","1278150518280540160")</f>
        <v>1278150518280540160</v>
      </c>
      <c r="F7056" s="7" t="s">
        <v>32</v>
      </c>
      <c r="G7056" s="7">
        <v>3897434</v>
      </c>
      <c r="H7056" s="7">
        <v>2418</v>
      </c>
      <c r="I7056" s="7">
        <v>2373</v>
      </c>
      <c r="J7056" s="7">
        <v>0</v>
      </c>
      <c r="K7056" s="7" t="s">
        <v>18</v>
      </c>
      <c r="L7056" s="8">
        <v>39987.315405092595</v>
      </c>
      <c r="M7056" s="9" t="s">
        <v>19</v>
      </c>
      <c r="N7056" s="9" t="s">
        <v>20</v>
      </c>
      <c r="O7056" s="6" t="str">
        <f>HYPERLINK("https://pbs.twimg.com/profile_images/962471262747529216/Uo8lOkRJ_normal.jpg","View")</f>
        <v>View</v>
      </c>
      <c r="P7056" s="7"/>
    </row>
    <row r="7057" spans="1:16">
      <c r="A7057" s="3">
        <v>44013.324803240743</v>
      </c>
      <c r="B7057" s="4" t="str">
        <f>HYPERLINK("https://twitter.com/petrogustavo","@petrogustavo")</f>
        <v>@petrogustavo</v>
      </c>
      <c r="C7057" s="5" t="s">
        <v>16</v>
      </c>
      <c r="D7057" s="5" t="s">
        <v>6830</v>
      </c>
      <c r="E7057" s="6" t="str">
        <f>HYPERLINK("https://twitter.com/petrogustavo/status/1278150763555033091","1278150763555033091")</f>
        <v>1278150763555033091</v>
      </c>
      <c r="F7057" s="7" t="s">
        <v>32</v>
      </c>
      <c r="G7057" s="7">
        <v>3897434</v>
      </c>
      <c r="H7057" s="7">
        <v>2418</v>
      </c>
      <c r="I7057" s="7">
        <v>32</v>
      </c>
      <c r="J7057" s="7">
        <v>0</v>
      </c>
      <c r="K7057" s="7" t="s">
        <v>18</v>
      </c>
      <c r="L7057" s="8">
        <v>39987.315405092595</v>
      </c>
      <c r="M7057" s="9" t="s">
        <v>19</v>
      </c>
      <c r="N7057" s="9" t="s">
        <v>20</v>
      </c>
      <c r="O7057" s="6" t="str">
        <f>HYPERLINK("https://pbs.twimg.com/profile_images/962471262747529216/Uo8lOkRJ_normal.jpg","View")</f>
        <v>View</v>
      </c>
      <c r="P7057" s="7"/>
    </row>
    <row r="7058" spans="1:16">
      <c r="A7058" s="3">
        <v>44013.330613425926</v>
      </c>
      <c r="B7058" s="4" t="str">
        <f>HYPERLINK("https://twitter.com/petrogustavo","@petrogustavo")</f>
        <v>@petrogustavo</v>
      </c>
      <c r="C7058" s="5" t="s">
        <v>16</v>
      </c>
      <c r="D7058" s="5" t="s">
        <v>6831</v>
      </c>
      <c r="E7058" s="6" t="str">
        <f>HYPERLINK("https://twitter.com/petrogustavo/status/1278152869674450950","1278152869674450950")</f>
        <v>1278152869674450950</v>
      </c>
      <c r="F7058" s="7" t="s">
        <v>32</v>
      </c>
      <c r="G7058" s="7">
        <v>3897464</v>
      </c>
      <c r="H7058" s="7">
        <v>2418</v>
      </c>
      <c r="I7058" s="7">
        <v>58</v>
      </c>
      <c r="J7058" s="7">
        <v>0</v>
      </c>
      <c r="K7058" s="7" t="s">
        <v>18</v>
      </c>
      <c r="L7058" s="8">
        <v>39987.315405092595</v>
      </c>
      <c r="M7058" s="9" t="s">
        <v>19</v>
      </c>
      <c r="N7058" s="9" t="s">
        <v>20</v>
      </c>
      <c r="O7058" s="6" t="str">
        <f>HYPERLINK("https://pbs.twimg.com/profile_images/962471262747529216/Uo8lOkRJ_normal.jpg","View")</f>
        <v>View</v>
      </c>
      <c r="P7058" s="7"/>
    </row>
    <row r="7059" spans="1:16">
      <c r="A7059" s="3">
        <v>44013.334814814814</v>
      </c>
      <c r="B7059" s="4" t="str">
        <f>HYPERLINK("https://twitter.com/petrogustavo","@petrogustavo")</f>
        <v>@petrogustavo</v>
      </c>
      <c r="C7059" s="5" t="s">
        <v>16</v>
      </c>
      <c r="D7059" s="5" t="s">
        <v>6832</v>
      </c>
      <c r="E7059" s="6" t="str">
        <f>HYPERLINK("https://twitter.com/petrogustavo/status/1278154391929999362","1278154391929999362")</f>
        <v>1278154391929999362</v>
      </c>
      <c r="F7059" s="7" t="s">
        <v>32</v>
      </c>
      <c r="G7059" s="7">
        <v>3897464</v>
      </c>
      <c r="H7059" s="7">
        <v>2418</v>
      </c>
      <c r="I7059" s="7">
        <v>60</v>
      </c>
      <c r="J7059" s="7">
        <v>0</v>
      </c>
      <c r="K7059" s="7" t="s">
        <v>18</v>
      </c>
      <c r="L7059" s="8">
        <v>39987.315405092595</v>
      </c>
      <c r="M7059" s="9" t="s">
        <v>19</v>
      </c>
      <c r="N7059" s="9" t="s">
        <v>20</v>
      </c>
      <c r="O7059" s="6" t="str">
        <f>HYPERLINK("https://pbs.twimg.com/profile_images/962471262747529216/Uo8lOkRJ_normal.jpg","View")</f>
        <v>View</v>
      </c>
      <c r="P7059" s="7"/>
    </row>
    <row r="7060" spans="1:16">
      <c r="A7060" s="3">
        <v>44013.336562500001</v>
      </c>
      <c r="B7060" s="4" t="str">
        <f>HYPERLINK("https://twitter.com/petrogustavo","@petrogustavo")</f>
        <v>@petrogustavo</v>
      </c>
      <c r="C7060" s="5" t="s">
        <v>16</v>
      </c>
      <c r="D7060" s="5" t="s">
        <v>6833</v>
      </c>
      <c r="E7060" s="6" t="str">
        <f>HYPERLINK("https://twitter.com/petrogustavo/status/1278155024393175040","1278155024393175040")</f>
        <v>1278155024393175040</v>
      </c>
      <c r="F7060" s="7" t="s">
        <v>32</v>
      </c>
      <c r="G7060" s="7">
        <v>3897464</v>
      </c>
      <c r="H7060" s="7">
        <v>2418</v>
      </c>
      <c r="I7060" s="7">
        <v>95</v>
      </c>
      <c r="J7060" s="7">
        <v>0</v>
      </c>
      <c r="K7060" s="7" t="s">
        <v>18</v>
      </c>
      <c r="L7060" s="8">
        <v>39987.315405092595</v>
      </c>
      <c r="M7060" s="9" t="s">
        <v>19</v>
      </c>
      <c r="N7060" s="9" t="s">
        <v>20</v>
      </c>
      <c r="O7060" s="6" t="str">
        <f>HYPERLINK("https://pbs.twimg.com/profile_images/962471262747529216/Uo8lOkRJ_normal.jpg","View")</f>
        <v>View</v>
      </c>
      <c r="P7060" s="7"/>
    </row>
    <row r="7061" spans="1:16">
      <c r="A7061" s="3">
        <v>44013.338287037041</v>
      </c>
      <c r="B7061" s="4" t="str">
        <f>HYPERLINK("https://twitter.com/petrogustavo","@petrogustavo")</f>
        <v>@petrogustavo</v>
      </c>
      <c r="C7061" s="5" t="s">
        <v>16</v>
      </c>
      <c r="D7061" s="5" t="s">
        <v>6825</v>
      </c>
      <c r="E7061" s="6" t="str">
        <f>HYPERLINK("https://twitter.com/petrogustavo/status/1278155651164897280","1278155651164897280")</f>
        <v>1278155651164897280</v>
      </c>
      <c r="F7061" s="7" t="s">
        <v>32</v>
      </c>
      <c r="G7061" s="7">
        <v>3897464</v>
      </c>
      <c r="H7061" s="7">
        <v>2418</v>
      </c>
      <c r="I7061" s="7">
        <v>717</v>
      </c>
      <c r="J7061" s="7">
        <v>0</v>
      </c>
      <c r="K7061" s="7" t="s">
        <v>18</v>
      </c>
      <c r="L7061" s="8">
        <v>39987.315405092595</v>
      </c>
      <c r="M7061" s="9" t="s">
        <v>19</v>
      </c>
      <c r="N7061" s="9" t="s">
        <v>20</v>
      </c>
      <c r="O7061" s="6" t="str">
        <f>HYPERLINK("https://pbs.twimg.com/profile_images/962471262747529216/Uo8lOkRJ_normal.jpg","View")</f>
        <v>View</v>
      </c>
      <c r="P7061" s="7"/>
    </row>
    <row r="7062" spans="1:16">
      <c r="A7062" s="3">
        <v>44013.756666666668</v>
      </c>
      <c r="B7062" s="4" t="str">
        <f>HYPERLINK("https://twitter.com/petrogustavo","@petrogustavo")</f>
        <v>@petrogustavo</v>
      </c>
      <c r="C7062" s="5" t="s">
        <v>16</v>
      </c>
      <c r="D7062" s="5" t="s">
        <v>6834</v>
      </c>
      <c r="E7062" s="6" t="str">
        <f>HYPERLINK("https://twitter.com/petrogustavo/status/1278307264311558145","1278307264311558145")</f>
        <v>1278307264311558145</v>
      </c>
      <c r="F7062" s="7" t="s">
        <v>17</v>
      </c>
      <c r="G7062" s="7">
        <v>3897548</v>
      </c>
      <c r="H7062" s="7">
        <v>2418</v>
      </c>
      <c r="I7062" s="7">
        <v>57</v>
      </c>
      <c r="J7062" s="7">
        <v>160</v>
      </c>
      <c r="K7062" s="7" t="s">
        <v>18</v>
      </c>
      <c r="L7062" s="8">
        <v>39987.315405092595</v>
      </c>
      <c r="M7062" s="9" t="s">
        <v>19</v>
      </c>
      <c r="N7062" s="9" t="s">
        <v>20</v>
      </c>
      <c r="O7062" s="6" t="str">
        <f>HYPERLINK("https://pbs.twimg.com/profile_images/962471262747529216/Uo8lOkRJ_normal.jpg","View")</f>
        <v>View</v>
      </c>
      <c r="P7062" s="7"/>
    </row>
    <row r="7063" spans="1:16">
      <c r="A7063" s="3">
        <v>44013.758761574078</v>
      </c>
      <c r="B7063" s="4" t="str">
        <f>HYPERLINK("https://twitter.com/petrogustavo","@petrogustavo")</f>
        <v>@petrogustavo</v>
      </c>
      <c r="C7063" s="5" t="s">
        <v>16</v>
      </c>
      <c r="D7063" s="5" t="s">
        <v>6835</v>
      </c>
      <c r="E7063" s="6" t="str">
        <f>HYPERLINK("https://twitter.com/petrogustavo/status/1278308023912599556","1278308023912599556")</f>
        <v>1278308023912599556</v>
      </c>
      <c r="F7063" s="7" t="s">
        <v>17</v>
      </c>
      <c r="G7063" s="7">
        <v>3897548</v>
      </c>
      <c r="H7063" s="7">
        <v>2418</v>
      </c>
      <c r="I7063" s="7">
        <v>44</v>
      </c>
      <c r="J7063" s="7">
        <v>0</v>
      </c>
      <c r="K7063" s="7" t="s">
        <v>18</v>
      </c>
      <c r="L7063" s="8">
        <v>39987.315405092595</v>
      </c>
      <c r="M7063" s="9" t="s">
        <v>19</v>
      </c>
      <c r="N7063" s="9" t="s">
        <v>20</v>
      </c>
      <c r="O7063" s="6" t="str">
        <f>HYPERLINK("https://pbs.twimg.com/profile_images/962471262747529216/Uo8lOkRJ_normal.jpg","View")</f>
        <v>View</v>
      </c>
      <c r="P7063" s="7"/>
    </row>
    <row r="7064" spans="1:16">
      <c r="A7064" s="3">
        <v>44013.760636574079</v>
      </c>
      <c r="B7064" s="4" t="str">
        <f>HYPERLINK("https://twitter.com/petrogustavo","@petrogustavo")</f>
        <v>@petrogustavo</v>
      </c>
      <c r="C7064" s="5" t="s">
        <v>16</v>
      </c>
      <c r="D7064" s="5" t="s">
        <v>6836</v>
      </c>
      <c r="E7064" s="6" t="str">
        <f>HYPERLINK("https://twitter.com/petrogustavo/status/1278308702018289666","1278308702018289666")</f>
        <v>1278308702018289666</v>
      </c>
      <c r="F7064" s="7" t="s">
        <v>17</v>
      </c>
      <c r="G7064" s="7">
        <v>3897548</v>
      </c>
      <c r="H7064" s="7">
        <v>2418</v>
      </c>
      <c r="I7064" s="7">
        <v>18</v>
      </c>
      <c r="J7064" s="7">
        <v>52</v>
      </c>
      <c r="K7064" s="7" t="s">
        <v>18</v>
      </c>
      <c r="L7064" s="8">
        <v>39987.315405092595</v>
      </c>
      <c r="M7064" s="9" t="s">
        <v>19</v>
      </c>
      <c r="N7064" s="9" t="s">
        <v>20</v>
      </c>
      <c r="O7064" s="6" t="str">
        <f>HYPERLINK("https://pbs.twimg.com/profile_images/962471262747529216/Uo8lOkRJ_normal.jpg","View")</f>
        <v>View</v>
      </c>
      <c r="P7064" s="7"/>
    </row>
    <row r="7065" spans="1:16">
      <c r="A7065" s="3">
        <v>44013.762384259258</v>
      </c>
      <c r="B7065" s="4" t="str">
        <f>HYPERLINK("https://twitter.com/petrogustavo","@petrogustavo")</f>
        <v>@petrogustavo</v>
      </c>
      <c r="C7065" s="5" t="s">
        <v>16</v>
      </c>
      <c r="D7065" s="5" t="s">
        <v>6837</v>
      </c>
      <c r="E7065" s="6" t="str">
        <f>HYPERLINK("https://twitter.com/petrogustavo/status/1278309337505632259","1278309337505632259")</f>
        <v>1278309337505632259</v>
      </c>
      <c r="F7065" s="7" t="s">
        <v>17</v>
      </c>
      <c r="G7065" s="7">
        <v>3897573</v>
      </c>
      <c r="H7065" s="7">
        <v>2418</v>
      </c>
      <c r="I7065" s="7">
        <v>120</v>
      </c>
      <c r="J7065" s="7">
        <v>356</v>
      </c>
      <c r="K7065" s="7" t="s">
        <v>18</v>
      </c>
      <c r="L7065" s="8">
        <v>39987.315405092595</v>
      </c>
      <c r="M7065" s="9" t="s">
        <v>19</v>
      </c>
      <c r="N7065" s="9" t="s">
        <v>20</v>
      </c>
      <c r="O7065" s="6" t="str">
        <f>HYPERLINK("https://pbs.twimg.com/profile_images/962471262747529216/Uo8lOkRJ_normal.jpg","View")</f>
        <v>View</v>
      </c>
      <c r="P7065" s="7"/>
    </row>
    <row r="7066" spans="1:16">
      <c r="A7066" s="3">
        <v>44013.763865740737</v>
      </c>
      <c r="B7066" s="4" t="str">
        <f>HYPERLINK("https://twitter.com/petrogustavo","@petrogustavo")</f>
        <v>@petrogustavo</v>
      </c>
      <c r="C7066" s="5" t="s">
        <v>16</v>
      </c>
      <c r="D7066" s="5" t="s">
        <v>6838</v>
      </c>
      <c r="E7066" s="6" t="str">
        <f>HYPERLINK("https://twitter.com/petrogustavo/status/1278309872120008705","1278309872120008705")</f>
        <v>1278309872120008705</v>
      </c>
      <c r="F7066" s="7" t="s">
        <v>17</v>
      </c>
      <c r="G7066" s="7">
        <v>3897573</v>
      </c>
      <c r="H7066" s="7">
        <v>2418</v>
      </c>
      <c r="I7066" s="7">
        <v>97</v>
      </c>
      <c r="J7066" s="7">
        <v>280</v>
      </c>
      <c r="K7066" s="7" t="s">
        <v>18</v>
      </c>
      <c r="L7066" s="8">
        <v>39987.315405092595</v>
      </c>
      <c r="M7066" s="9" t="s">
        <v>19</v>
      </c>
      <c r="N7066" s="9" t="s">
        <v>20</v>
      </c>
      <c r="O7066" s="6" t="str">
        <f>HYPERLINK("https://pbs.twimg.com/profile_images/962471262747529216/Uo8lOkRJ_normal.jpg","View")</f>
        <v>View</v>
      </c>
      <c r="P7066" s="7"/>
    </row>
    <row r="7067" spans="1:16">
      <c r="A7067" s="3">
        <v>44013.773819444439</v>
      </c>
      <c r="B7067" s="4" t="str">
        <f>HYPERLINK("https://twitter.com/petrogustavo","@petrogustavo")</f>
        <v>@petrogustavo</v>
      </c>
      <c r="C7067" s="5" t="s">
        <v>16</v>
      </c>
      <c r="D7067" s="5" t="s">
        <v>6839</v>
      </c>
      <c r="E7067" s="6" t="str">
        <f>HYPERLINK("https://twitter.com/petrogustavo/status/1278313481893220353","1278313481893220353")</f>
        <v>1278313481893220353</v>
      </c>
      <c r="F7067" s="7" t="s">
        <v>17</v>
      </c>
      <c r="G7067" s="7">
        <v>3897573</v>
      </c>
      <c r="H7067" s="7">
        <v>2418</v>
      </c>
      <c r="I7067" s="7">
        <v>69</v>
      </c>
      <c r="J7067" s="7">
        <v>0</v>
      </c>
      <c r="K7067" s="7" t="s">
        <v>18</v>
      </c>
      <c r="L7067" s="8">
        <v>39987.315405092595</v>
      </c>
      <c r="M7067" s="9" t="s">
        <v>19</v>
      </c>
      <c r="N7067" s="9" t="s">
        <v>20</v>
      </c>
      <c r="O7067" s="6" t="str">
        <f>HYPERLINK("https://pbs.twimg.com/profile_images/962471262747529216/Uo8lOkRJ_normal.jpg","View")</f>
        <v>View</v>
      </c>
      <c r="P7067" s="7"/>
    </row>
    <row r="7068" spans="1:16">
      <c r="A7068" s="3">
        <v>44013.776643518519</v>
      </c>
      <c r="B7068" s="4" t="str">
        <f>HYPERLINK("https://twitter.com/petrogustavo","@petrogustavo")</f>
        <v>@petrogustavo</v>
      </c>
      <c r="C7068" s="5" t="s">
        <v>16</v>
      </c>
      <c r="D7068" s="5" t="s">
        <v>6840</v>
      </c>
      <c r="E7068" s="6" t="str">
        <f>HYPERLINK("https://twitter.com/petrogustavo/status/1278314504342966279","1278314504342966279")</f>
        <v>1278314504342966279</v>
      </c>
      <c r="F7068" s="7" t="s">
        <v>17</v>
      </c>
      <c r="G7068" s="7">
        <v>3897573</v>
      </c>
      <c r="H7068" s="7">
        <v>2418</v>
      </c>
      <c r="I7068" s="7">
        <v>386</v>
      </c>
      <c r="J7068" s="7">
        <v>812</v>
      </c>
      <c r="K7068" s="7" t="s">
        <v>18</v>
      </c>
      <c r="L7068" s="8">
        <v>39987.315405092595</v>
      </c>
      <c r="M7068" s="9" t="s">
        <v>19</v>
      </c>
      <c r="N7068" s="9" t="s">
        <v>20</v>
      </c>
      <c r="O7068" s="6" t="str">
        <f>HYPERLINK("https://pbs.twimg.com/profile_images/962471262747529216/Uo8lOkRJ_normal.jpg","View")</f>
        <v>View</v>
      </c>
      <c r="P7068" s="7"/>
    </row>
    <row r="7069" spans="1:16">
      <c r="A7069" s="3">
        <v>44013.790243055555</v>
      </c>
      <c r="B7069" s="4" t="str">
        <f>HYPERLINK("https://twitter.com/petrogustavo","@petrogustavo")</f>
        <v>@petrogustavo</v>
      </c>
      <c r="C7069" s="5" t="s">
        <v>16</v>
      </c>
      <c r="D7069" s="5" t="s">
        <v>6841</v>
      </c>
      <c r="E7069" s="6" t="str">
        <f>HYPERLINK("https://twitter.com/petrogustavo/status/1278319434856308737","1278319434856308737")</f>
        <v>1278319434856308737</v>
      </c>
      <c r="F7069" s="7" t="s">
        <v>17</v>
      </c>
      <c r="G7069" s="7">
        <v>3897634</v>
      </c>
      <c r="H7069" s="7">
        <v>2418</v>
      </c>
      <c r="I7069" s="7">
        <v>245</v>
      </c>
      <c r="J7069" s="7">
        <v>488</v>
      </c>
      <c r="K7069" s="7" t="s">
        <v>18</v>
      </c>
      <c r="L7069" s="8">
        <v>39987.315405092595</v>
      </c>
      <c r="M7069" s="9" t="s">
        <v>19</v>
      </c>
      <c r="N7069" s="9" t="s">
        <v>20</v>
      </c>
      <c r="O7069" s="6" t="str">
        <f>HYPERLINK("https://pbs.twimg.com/profile_images/962471262747529216/Uo8lOkRJ_normal.jpg","View")</f>
        <v>View</v>
      </c>
      <c r="P7069" s="7"/>
    </row>
    <row r="7070" spans="1:16">
      <c r="A7070" s="3">
        <v>44013.794212962966</v>
      </c>
      <c r="B7070" s="4" t="str">
        <f>HYPERLINK("https://twitter.com/petrogustavo","@petrogustavo")</f>
        <v>@petrogustavo</v>
      </c>
      <c r="C7070" s="5" t="s">
        <v>16</v>
      </c>
      <c r="D7070" s="5" t="s">
        <v>6842</v>
      </c>
      <c r="E7070" s="6" t="str">
        <f>HYPERLINK("https://twitter.com/petrogustavo/status/1278320873305448448","1278320873305448448")</f>
        <v>1278320873305448448</v>
      </c>
      <c r="F7070" s="7" t="s">
        <v>17</v>
      </c>
      <c r="G7070" s="7">
        <v>3897634</v>
      </c>
      <c r="H7070" s="7">
        <v>2418</v>
      </c>
      <c r="I7070" s="7">
        <v>98</v>
      </c>
      <c r="J7070" s="7">
        <v>172</v>
      </c>
      <c r="K7070" s="7" t="s">
        <v>18</v>
      </c>
      <c r="L7070" s="8">
        <v>39987.315405092595</v>
      </c>
      <c r="M7070" s="9" t="s">
        <v>19</v>
      </c>
      <c r="N7070" s="9" t="s">
        <v>20</v>
      </c>
      <c r="O7070" s="6" t="str">
        <f>HYPERLINK("https://pbs.twimg.com/profile_images/962471262747529216/Uo8lOkRJ_normal.jpg","View")</f>
        <v>View</v>
      </c>
      <c r="P7070" s="7"/>
    </row>
    <row r="7071" spans="1:16">
      <c r="A7071" s="3">
        <v>44013.800428240742</v>
      </c>
      <c r="B7071" s="4" t="str">
        <f>HYPERLINK("https://twitter.com/petrogustavo","@petrogustavo")</f>
        <v>@petrogustavo</v>
      </c>
      <c r="C7071" s="5" t="s">
        <v>16</v>
      </c>
      <c r="D7071" s="5" t="s">
        <v>31</v>
      </c>
      <c r="E7071" s="6" t="str">
        <f>HYPERLINK("https://twitter.com/petrogustavo/status/1278323125030133760","1278323125030133760")</f>
        <v>1278323125030133760</v>
      </c>
      <c r="F7071" s="7" t="s">
        <v>17</v>
      </c>
      <c r="G7071" s="7">
        <v>3897634</v>
      </c>
      <c r="H7071" s="7">
        <v>2418</v>
      </c>
      <c r="I7071" s="7">
        <v>2579</v>
      </c>
      <c r="J7071" s="7">
        <v>0</v>
      </c>
      <c r="K7071" s="7" t="s">
        <v>18</v>
      </c>
      <c r="L7071" s="8">
        <v>39987.315405092595</v>
      </c>
      <c r="M7071" s="9" t="s">
        <v>19</v>
      </c>
      <c r="N7071" s="9" t="s">
        <v>20</v>
      </c>
      <c r="O7071" s="6" t="str">
        <f>HYPERLINK("https://pbs.twimg.com/profile_images/962471262747529216/Uo8lOkRJ_normal.jpg","View")</f>
        <v>View</v>
      </c>
      <c r="P7071" s="7"/>
    </row>
    <row r="7072" spans="1:16">
      <c r="A7072" s="3">
        <v>44013.809120370366</v>
      </c>
      <c r="B7072" s="4" t="str">
        <f>HYPERLINK("https://twitter.com/petrogustavo","@petrogustavo")</f>
        <v>@petrogustavo</v>
      </c>
      <c r="C7072" s="5" t="s">
        <v>16</v>
      </c>
      <c r="D7072" s="5" t="s">
        <v>6843</v>
      </c>
      <c r="E7072" s="6" t="str">
        <f>HYPERLINK("https://twitter.com/petrogustavo/status/1278326275174694913","1278326275174694913")</f>
        <v>1278326275174694913</v>
      </c>
      <c r="F7072" s="7" t="s">
        <v>17</v>
      </c>
      <c r="G7072" s="7">
        <v>3897653</v>
      </c>
      <c r="H7072" s="7">
        <v>2418</v>
      </c>
      <c r="I7072" s="7">
        <v>155</v>
      </c>
      <c r="J7072" s="7">
        <v>254</v>
      </c>
      <c r="K7072" s="7" t="s">
        <v>18</v>
      </c>
      <c r="L7072" s="8">
        <v>39987.315405092595</v>
      </c>
      <c r="M7072" s="9" t="s">
        <v>19</v>
      </c>
      <c r="N7072" s="9" t="s">
        <v>20</v>
      </c>
      <c r="O7072" s="6" t="str">
        <f>HYPERLINK("https://pbs.twimg.com/profile_images/962471262747529216/Uo8lOkRJ_normal.jpg","View")</f>
        <v>View</v>
      </c>
      <c r="P7072" s="7"/>
    </row>
    <row r="7073" spans="1:16">
      <c r="A7073" s="3">
        <v>44013.812071759261</v>
      </c>
      <c r="B7073" s="4" t="str">
        <f>HYPERLINK("https://twitter.com/petrogustavo","@petrogustavo")</f>
        <v>@petrogustavo</v>
      </c>
      <c r="C7073" s="5" t="s">
        <v>16</v>
      </c>
      <c r="D7073" s="5" t="s">
        <v>6844</v>
      </c>
      <c r="E7073" s="6" t="str">
        <f>HYPERLINK("https://twitter.com/petrogustavo/status/1278327345435365384","1278327345435365384")</f>
        <v>1278327345435365384</v>
      </c>
      <c r="F7073" s="7" t="s">
        <v>17</v>
      </c>
      <c r="G7073" s="7">
        <v>3897653</v>
      </c>
      <c r="H7073" s="7">
        <v>2418</v>
      </c>
      <c r="I7073" s="7">
        <v>141</v>
      </c>
      <c r="J7073" s="7">
        <v>227</v>
      </c>
      <c r="K7073" s="7" t="s">
        <v>18</v>
      </c>
      <c r="L7073" s="8">
        <v>39987.315405092595</v>
      </c>
      <c r="M7073" s="9" t="s">
        <v>19</v>
      </c>
      <c r="N7073" s="9" t="s">
        <v>20</v>
      </c>
      <c r="O7073" s="6" t="str">
        <f>HYPERLINK("https://pbs.twimg.com/profile_images/962471262747529216/Uo8lOkRJ_normal.jpg","View")</f>
        <v>View</v>
      </c>
      <c r="P7073" s="7"/>
    </row>
    <row r="7074" spans="1:16">
      <c r="A7074" s="3">
        <v>44013.815185185187</v>
      </c>
      <c r="B7074" s="4" t="str">
        <f>HYPERLINK("https://twitter.com/petrogustavo","@petrogustavo")</f>
        <v>@petrogustavo</v>
      </c>
      <c r="C7074" s="5" t="s">
        <v>16</v>
      </c>
      <c r="D7074" s="5" t="s">
        <v>6845</v>
      </c>
      <c r="E7074" s="6" t="str">
        <f>HYPERLINK("https://twitter.com/petrogustavo/status/1278328471698227201","1278328471698227201")</f>
        <v>1278328471698227201</v>
      </c>
      <c r="F7074" s="7" t="s">
        <v>17</v>
      </c>
      <c r="G7074" s="7">
        <v>3897653</v>
      </c>
      <c r="H7074" s="7">
        <v>2418</v>
      </c>
      <c r="I7074" s="7">
        <v>94</v>
      </c>
      <c r="J7074" s="7">
        <v>205</v>
      </c>
      <c r="K7074" s="7" t="s">
        <v>18</v>
      </c>
      <c r="L7074" s="8">
        <v>39987.315405092595</v>
      </c>
      <c r="M7074" s="9" t="s">
        <v>19</v>
      </c>
      <c r="N7074" s="9" t="s">
        <v>20</v>
      </c>
      <c r="O7074" s="6" t="str">
        <f>HYPERLINK("https://pbs.twimg.com/profile_images/962471262747529216/Uo8lOkRJ_normal.jpg","View")</f>
        <v>View</v>
      </c>
      <c r="P7074" s="7"/>
    </row>
    <row r="7075" spans="1:16">
      <c r="A7075" s="3">
        <v>44013.891446759255</v>
      </c>
      <c r="B7075" s="4" t="str">
        <f>HYPERLINK("https://twitter.com/petrogustavo","@petrogustavo")</f>
        <v>@petrogustavo</v>
      </c>
      <c r="C7075" s="5" t="s">
        <v>16</v>
      </c>
      <c r="D7075" s="5" t="s">
        <v>6846</v>
      </c>
      <c r="E7075" s="6" t="str">
        <f>HYPERLINK("https://twitter.com/petrogustavo/status/1278356106335715328","1278356106335715328")</f>
        <v>1278356106335715328</v>
      </c>
      <c r="F7075" s="7" t="s">
        <v>32</v>
      </c>
      <c r="G7075" s="7">
        <v>3897776</v>
      </c>
      <c r="H7075" s="7">
        <v>2419</v>
      </c>
      <c r="I7075" s="7">
        <v>461</v>
      </c>
      <c r="J7075" s="7">
        <v>0</v>
      </c>
      <c r="K7075" s="7" t="s">
        <v>18</v>
      </c>
      <c r="L7075" s="8">
        <v>39987.315405092595</v>
      </c>
      <c r="M7075" s="9" t="s">
        <v>19</v>
      </c>
      <c r="N7075" s="9" t="s">
        <v>20</v>
      </c>
      <c r="O7075" s="6" t="str">
        <f>HYPERLINK("https://pbs.twimg.com/profile_images/962471262747529216/Uo8lOkRJ_normal.jpg","View")</f>
        <v>View</v>
      </c>
      <c r="P7075" s="7"/>
    </row>
    <row r="7076" spans="1:16">
      <c r="A7076" s="3">
        <v>44013.896608796298</v>
      </c>
      <c r="B7076" s="4" t="str">
        <f>HYPERLINK("https://twitter.com/petrogustavo","@petrogustavo")</f>
        <v>@petrogustavo</v>
      </c>
      <c r="C7076" s="5" t="s">
        <v>16</v>
      </c>
      <c r="D7076" s="5" t="s">
        <v>6847</v>
      </c>
      <c r="E7076" s="6" t="str">
        <f>HYPERLINK("https://twitter.com/petrogustavo/status/1278357978069032963","1278357978069032963")</f>
        <v>1278357978069032963</v>
      </c>
      <c r="F7076" s="7" t="s">
        <v>32</v>
      </c>
      <c r="G7076" s="7">
        <v>3897776</v>
      </c>
      <c r="H7076" s="7">
        <v>2419</v>
      </c>
      <c r="I7076" s="7">
        <v>326</v>
      </c>
      <c r="J7076" s="7">
        <v>0</v>
      </c>
      <c r="K7076" s="7" t="s">
        <v>18</v>
      </c>
      <c r="L7076" s="8">
        <v>39987.315405092595</v>
      </c>
      <c r="M7076" s="9" t="s">
        <v>19</v>
      </c>
      <c r="N7076" s="9" t="s">
        <v>20</v>
      </c>
      <c r="O7076" s="6" t="str">
        <f>HYPERLINK("https://pbs.twimg.com/profile_images/962471262747529216/Uo8lOkRJ_normal.jpg","View")</f>
        <v>View</v>
      </c>
      <c r="P7076" s="7"/>
    </row>
    <row r="7077" spans="1:16">
      <c r="A7077" s="3">
        <v>44013.902905092589</v>
      </c>
      <c r="B7077" s="4" t="str">
        <f>HYPERLINK("https://twitter.com/petrogustavo","@petrogustavo")</f>
        <v>@petrogustavo</v>
      </c>
      <c r="C7077" s="5" t="s">
        <v>16</v>
      </c>
      <c r="D7077" s="5" t="s">
        <v>6848</v>
      </c>
      <c r="E7077" s="6" t="str">
        <f>HYPERLINK("https://twitter.com/petrogustavo/status/1278360261896830977","1278360261896830977")</f>
        <v>1278360261896830977</v>
      </c>
      <c r="F7077" s="7" t="s">
        <v>32</v>
      </c>
      <c r="G7077" s="7">
        <v>3897776</v>
      </c>
      <c r="H7077" s="7">
        <v>2419</v>
      </c>
      <c r="I7077" s="7">
        <v>86</v>
      </c>
      <c r="J7077" s="7">
        <v>0</v>
      </c>
      <c r="K7077" s="7" t="s">
        <v>18</v>
      </c>
      <c r="L7077" s="8">
        <v>39987.315405092595</v>
      </c>
      <c r="M7077" s="9" t="s">
        <v>19</v>
      </c>
      <c r="N7077" s="9" t="s">
        <v>20</v>
      </c>
      <c r="O7077" s="6" t="str">
        <f>HYPERLINK("https://pbs.twimg.com/profile_images/962471262747529216/Uo8lOkRJ_normal.jpg","View")</f>
        <v>View</v>
      </c>
      <c r="P7077" s="7"/>
    </row>
    <row r="7078" spans="1:16">
      <c r="A7078" s="3">
        <v>44013.903541666667</v>
      </c>
      <c r="B7078" s="4" t="str">
        <f>HYPERLINK("https://twitter.com/petrogustavo","@petrogustavo")</f>
        <v>@petrogustavo</v>
      </c>
      <c r="C7078" s="5" t="s">
        <v>16</v>
      </c>
      <c r="D7078" s="5" t="s">
        <v>6849</v>
      </c>
      <c r="E7078" s="6" t="str">
        <f>HYPERLINK("https://twitter.com/petrogustavo/status/1278360491115655171","1278360491115655171")</f>
        <v>1278360491115655171</v>
      </c>
      <c r="F7078" s="7" t="s">
        <v>32</v>
      </c>
      <c r="G7078" s="7">
        <v>3897776</v>
      </c>
      <c r="H7078" s="7">
        <v>2419</v>
      </c>
      <c r="I7078" s="7">
        <v>107</v>
      </c>
      <c r="J7078" s="7">
        <v>0</v>
      </c>
      <c r="K7078" s="7" t="s">
        <v>18</v>
      </c>
      <c r="L7078" s="8">
        <v>39987.315405092595</v>
      </c>
      <c r="M7078" s="9" t="s">
        <v>19</v>
      </c>
      <c r="N7078" s="9" t="s">
        <v>20</v>
      </c>
      <c r="O7078" s="6" t="str">
        <f>HYPERLINK("https://pbs.twimg.com/profile_images/962471262747529216/Uo8lOkRJ_normal.jpg","View")</f>
        <v>View</v>
      </c>
      <c r="P7078" s="7"/>
    </row>
    <row r="7079" spans="1:16">
      <c r="A7079" s="3">
        <v>44013.91133101852</v>
      </c>
      <c r="B7079" s="4" t="str">
        <f>HYPERLINK("https://twitter.com/petrogustavo","@petrogustavo")</f>
        <v>@petrogustavo</v>
      </c>
      <c r="C7079" s="5" t="s">
        <v>16</v>
      </c>
      <c r="D7079" s="5" t="s">
        <v>6850</v>
      </c>
      <c r="E7079" s="6" t="str">
        <f>HYPERLINK("https://twitter.com/petrogustavo/status/1278363314268114944","1278363314268114944")</f>
        <v>1278363314268114944</v>
      </c>
      <c r="F7079" s="7" t="s">
        <v>32</v>
      </c>
      <c r="G7079" s="7">
        <v>3897807</v>
      </c>
      <c r="H7079" s="7">
        <v>2419</v>
      </c>
      <c r="I7079" s="7">
        <v>109</v>
      </c>
      <c r="J7079" s="7">
        <v>193</v>
      </c>
      <c r="K7079" s="7" t="s">
        <v>18</v>
      </c>
      <c r="L7079" s="8">
        <v>39987.315405092595</v>
      </c>
      <c r="M7079" s="9" t="s">
        <v>19</v>
      </c>
      <c r="N7079" s="9" t="s">
        <v>20</v>
      </c>
      <c r="O7079" s="6" t="str">
        <f>HYPERLINK("https://pbs.twimg.com/profile_images/962471262747529216/Uo8lOkRJ_normal.jpg","View")</f>
        <v>View</v>
      </c>
      <c r="P7079" s="7"/>
    </row>
    <row r="7080" spans="1:16">
      <c r="A7080" s="3">
        <v>44013.933854166666</v>
      </c>
      <c r="B7080" s="4" t="str">
        <f>HYPERLINK("https://twitter.com/petrogustavo","@petrogustavo")</f>
        <v>@petrogustavo</v>
      </c>
      <c r="C7080" s="5" t="s">
        <v>16</v>
      </c>
      <c r="D7080" s="5" t="s">
        <v>6851</v>
      </c>
      <c r="E7080" s="6" t="str">
        <f>HYPERLINK("https://twitter.com/petrogustavo/status/1278371476220116993","1278371476220116993")</f>
        <v>1278371476220116993</v>
      </c>
      <c r="F7080" s="7" t="s">
        <v>32</v>
      </c>
      <c r="G7080" s="7">
        <v>3897842</v>
      </c>
      <c r="H7080" s="7">
        <v>2419</v>
      </c>
      <c r="I7080" s="7">
        <v>28</v>
      </c>
      <c r="J7080" s="7">
        <v>0</v>
      </c>
      <c r="K7080" s="7" t="s">
        <v>18</v>
      </c>
      <c r="L7080" s="8">
        <v>39987.315405092595</v>
      </c>
      <c r="M7080" s="9" t="s">
        <v>19</v>
      </c>
      <c r="N7080" s="9" t="s">
        <v>20</v>
      </c>
      <c r="O7080" s="6" t="str">
        <f>HYPERLINK("https://pbs.twimg.com/profile_images/962471262747529216/Uo8lOkRJ_normal.jpg","View")</f>
        <v>View</v>
      </c>
      <c r="P7080" s="7"/>
    </row>
    <row r="7081" spans="1:16">
      <c r="A7081" s="3">
        <v>44013.934131944443</v>
      </c>
      <c r="B7081" s="4" t="str">
        <f>HYPERLINK("https://twitter.com/petrogustavo","@petrogustavo")</f>
        <v>@petrogustavo</v>
      </c>
      <c r="C7081" s="5" t="s">
        <v>16</v>
      </c>
      <c r="D7081" s="5" t="s">
        <v>6852</v>
      </c>
      <c r="E7081" s="6" t="str">
        <f>HYPERLINK("https://twitter.com/petrogustavo/status/1278371574945628162","1278371574945628162")</f>
        <v>1278371574945628162</v>
      </c>
      <c r="F7081" s="7" t="s">
        <v>32</v>
      </c>
      <c r="G7081" s="7">
        <v>3897842</v>
      </c>
      <c r="H7081" s="7">
        <v>2419</v>
      </c>
      <c r="I7081" s="7">
        <v>47</v>
      </c>
      <c r="J7081" s="7">
        <v>0</v>
      </c>
      <c r="K7081" s="7" t="s">
        <v>18</v>
      </c>
      <c r="L7081" s="8">
        <v>39987.315405092595</v>
      </c>
      <c r="M7081" s="9" t="s">
        <v>19</v>
      </c>
      <c r="N7081" s="9" t="s">
        <v>20</v>
      </c>
      <c r="O7081" s="6" t="str">
        <f>HYPERLINK("https://pbs.twimg.com/profile_images/962471262747529216/Uo8lOkRJ_normal.jpg","View")</f>
        <v>View</v>
      </c>
      <c r="P7081" s="7"/>
    </row>
    <row r="7082" spans="1:16">
      <c r="A7082" s="3">
        <v>44013.93586805556</v>
      </c>
      <c r="B7082" s="4" t="str">
        <f>HYPERLINK("https://twitter.com/petrogustavo","@petrogustavo")</f>
        <v>@petrogustavo</v>
      </c>
      <c r="C7082" s="5" t="s">
        <v>16</v>
      </c>
      <c r="D7082" s="5" t="s">
        <v>6853</v>
      </c>
      <c r="E7082" s="6" t="str">
        <f>HYPERLINK("https://twitter.com/petrogustavo/status/1278372207039782913","1278372207039782913")</f>
        <v>1278372207039782913</v>
      </c>
      <c r="F7082" s="7" t="s">
        <v>32</v>
      </c>
      <c r="G7082" s="7">
        <v>3897842</v>
      </c>
      <c r="H7082" s="7">
        <v>2419</v>
      </c>
      <c r="I7082" s="7">
        <v>192</v>
      </c>
      <c r="J7082" s="7">
        <v>562</v>
      </c>
      <c r="K7082" s="7" t="s">
        <v>18</v>
      </c>
      <c r="L7082" s="8">
        <v>39987.315405092595</v>
      </c>
      <c r="M7082" s="9" t="s">
        <v>19</v>
      </c>
      <c r="N7082" s="9" t="s">
        <v>20</v>
      </c>
      <c r="O7082" s="6" t="str">
        <f>HYPERLINK("https://pbs.twimg.com/profile_images/962471262747529216/Uo8lOkRJ_normal.jpg","View")</f>
        <v>View</v>
      </c>
      <c r="P7082" s="7"/>
    </row>
    <row r="7083" spans="1:16">
      <c r="A7083" s="3">
        <v>44013.945439814815</v>
      </c>
      <c r="B7083" s="4" t="str">
        <f>HYPERLINK("https://twitter.com/petrogustavo","@petrogustavo")</f>
        <v>@petrogustavo</v>
      </c>
      <c r="C7083" s="5" t="s">
        <v>16</v>
      </c>
      <c r="D7083" s="5" t="s">
        <v>6854</v>
      </c>
      <c r="E7083" s="6" t="str">
        <f>HYPERLINK("https://twitter.com/petrogustavo/status/1278375672344465408","1278375672344465408")</f>
        <v>1278375672344465408</v>
      </c>
      <c r="F7083" s="7" t="s">
        <v>32</v>
      </c>
      <c r="G7083" s="7">
        <v>3897842</v>
      </c>
      <c r="H7083" s="7">
        <v>2419</v>
      </c>
      <c r="I7083" s="7">
        <v>87</v>
      </c>
      <c r="J7083" s="7">
        <v>237</v>
      </c>
      <c r="K7083" s="7" t="s">
        <v>18</v>
      </c>
      <c r="L7083" s="8">
        <v>39987.315405092595</v>
      </c>
      <c r="M7083" s="9" t="s">
        <v>19</v>
      </c>
      <c r="N7083" s="9" t="s">
        <v>20</v>
      </c>
      <c r="O7083" s="6" t="str">
        <f>HYPERLINK("https://pbs.twimg.com/profile_images/962471262747529216/Uo8lOkRJ_normal.jpg","View")</f>
        <v>View</v>
      </c>
      <c r="P7083" s="7"/>
    </row>
    <row r="7084" spans="1:16">
      <c r="A7084" s="3">
        <v>44013.951157407406</v>
      </c>
      <c r="B7084" s="4" t="str">
        <f>HYPERLINK("https://twitter.com/petrogustavo","@petrogustavo")</f>
        <v>@petrogustavo</v>
      </c>
      <c r="C7084" s="5" t="s">
        <v>16</v>
      </c>
      <c r="D7084" s="5" t="s">
        <v>6855</v>
      </c>
      <c r="E7084" s="6" t="str">
        <f>HYPERLINK("https://twitter.com/petrogustavo/status/1278377746264133632","1278377746264133632")</f>
        <v>1278377746264133632</v>
      </c>
      <c r="F7084" s="7" t="s">
        <v>32</v>
      </c>
      <c r="G7084" s="7">
        <v>3897852</v>
      </c>
      <c r="H7084" s="7">
        <v>2419</v>
      </c>
      <c r="I7084" s="7">
        <v>247</v>
      </c>
      <c r="J7084" s="7">
        <v>508</v>
      </c>
      <c r="K7084" s="7" t="s">
        <v>18</v>
      </c>
      <c r="L7084" s="8">
        <v>39987.315405092595</v>
      </c>
      <c r="M7084" s="9" t="s">
        <v>19</v>
      </c>
      <c r="N7084" s="9" t="s">
        <v>20</v>
      </c>
      <c r="O7084" s="6" t="str">
        <f>HYPERLINK("https://pbs.twimg.com/profile_images/962471262747529216/Uo8lOkRJ_normal.jpg","View")</f>
        <v>View</v>
      </c>
      <c r="P7084" s="7"/>
    </row>
    <row r="7085" spans="1:16">
      <c r="A7085" s="3">
        <v>44014.271782407406</v>
      </c>
      <c r="B7085" s="4" t="str">
        <f>HYPERLINK("https://twitter.com/petrogustavo","@petrogustavo")</f>
        <v>@petrogustavo</v>
      </c>
      <c r="C7085" s="5" t="s">
        <v>16</v>
      </c>
      <c r="D7085" s="5" t="s">
        <v>6856</v>
      </c>
      <c r="E7085" s="6" t="str">
        <f>HYPERLINK("https://twitter.com/petrogustavo/status/1278493935103545350","1278493935103545350")</f>
        <v>1278493935103545350</v>
      </c>
      <c r="F7085" s="7" t="s">
        <v>17</v>
      </c>
      <c r="G7085" s="7">
        <v>3898203</v>
      </c>
      <c r="H7085" s="7">
        <v>2418</v>
      </c>
      <c r="I7085" s="7">
        <v>147</v>
      </c>
      <c r="J7085" s="7">
        <v>0</v>
      </c>
      <c r="K7085" s="7" t="s">
        <v>18</v>
      </c>
      <c r="L7085" s="8">
        <v>39987.315405092595</v>
      </c>
      <c r="M7085" s="9" t="s">
        <v>19</v>
      </c>
      <c r="N7085" s="9" t="s">
        <v>20</v>
      </c>
      <c r="O7085" s="6" t="str">
        <f>HYPERLINK("https://pbs.twimg.com/profile_images/962471262747529216/Uo8lOkRJ_normal.jpg","View")</f>
        <v>View</v>
      </c>
      <c r="P7085" s="7"/>
    </row>
    <row r="7086" spans="1:16">
      <c r="A7086" s="3">
        <v>44014.27207175926</v>
      </c>
      <c r="B7086" s="4" t="str">
        <f>HYPERLINK("https://twitter.com/petrogustavo","@petrogustavo")</f>
        <v>@petrogustavo</v>
      </c>
      <c r="C7086" s="5" t="s">
        <v>16</v>
      </c>
      <c r="D7086" s="5" t="s">
        <v>6857</v>
      </c>
      <c r="E7086" s="6" t="str">
        <f>HYPERLINK("https://twitter.com/petrogustavo/status/1278494041903071232","1278494041903071232")</f>
        <v>1278494041903071232</v>
      </c>
      <c r="F7086" s="7" t="s">
        <v>17</v>
      </c>
      <c r="G7086" s="7">
        <v>3898203</v>
      </c>
      <c r="H7086" s="7">
        <v>2418</v>
      </c>
      <c r="I7086" s="7">
        <v>1568</v>
      </c>
      <c r="J7086" s="7">
        <v>0</v>
      </c>
      <c r="K7086" s="7" t="s">
        <v>18</v>
      </c>
      <c r="L7086" s="8">
        <v>39987.315405092595</v>
      </c>
      <c r="M7086" s="9" t="s">
        <v>19</v>
      </c>
      <c r="N7086" s="9" t="s">
        <v>20</v>
      </c>
      <c r="O7086" s="6" t="str">
        <f>HYPERLINK("https://pbs.twimg.com/profile_images/962471262747529216/Uo8lOkRJ_normal.jpg","View")</f>
        <v>View</v>
      </c>
      <c r="P7086" s="7"/>
    </row>
    <row r="7087" spans="1:16">
      <c r="A7087" s="3">
        <v>44014.275671296295</v>
      </c>
      <c r="B7087" s="4" t="str">
        <f>HYPERLINK("https://twitter.com/petrogustavo","@petrogustavo")</f>
        <v>@petrogustavo</v>
      </c>
      <c r="C7087" s="5" t="s">
        <v>16</v>
      </c>
      <c r="D7087" s="5" t="s">
        <v>6858</v>
      </c>
      <c r="E7087" s="6" t="str">
        <f>HYPERLINK("https://twitter.com/petrogustavo/status/1278495347640283136","1278495347640283136")</f>
        <v>1278495347640283136</v>
      </c>
      <c r="F7087" s="7" t="s">
        <v>17</v>
      </c>
      <c r="G7087" s="7">
        <v>3898203</v>
      </c>
      <c r="H7087" s="7">
        <v>2418</v>
      </c>
      <c r="I7087" s="7">
        <v>135</v>
      </c>
      <c r="J7087" s="7">
        <v>391</v>
      </c>
      <c r="K7087" s="7" t="s">
        <v>18</v>
      </c>
      <c r="L7087" s="8">
        <v>39987.315405092595</v>
      </c>
      <c r="M7087" s="9" t="s">
        <v>19</v>
      </c>
      <c r="N7087" s="9" t="s">
        <v>20</v>
      </c>
      <c r="O7087" s="6" t="str">
        <f>HYPERLINK("https://pbs.twimg.com/profile_images/962471262747529216/Uo8lOkRJ_normal.jpg","View")</f>
        <v>View</v>
      </c>
      <c r="P7087" s="7"/>
    </row>
    <row r="7088" spans="1:16">
      <c r="A7088" s="3">
        <v>44014.796284722222</v>
      </c>
      <c r="B7088" s="4" t="str">
        <f>HYPERLINK("https://twitter.com/petrogustavo","@petrogustavo")</f>
        <v>@petrogustavo</v>
      </c>
      <c r="C7088" s="5" t="s">
        <v>16</v>
      </c>
      <c r="D7088" s="5" t="s">
        <v>6859</v>
      </c>
      <c r="E7088" s="6" t="str">
        <f>HYPERLINK("https://twitter.com/petrogustavo/status/1278684010986823681","1278684010986823681")</f>
        <v>1278684010986823681</v>
      </c>
      <c r="F7088" s="7" t="s">
        <v>32</v>
      </c>
      <c r="G7088" s="7">
        <v>3898439</v>
      </c>
      <c r="H7088" s="7">
        <v>2419</v>
      </c>
      <c r="I7088" s="7">
        <v>598</v>
      </c>
      <c r="J7088" s="7">
        <v>0</v>
      </c>
      <c r="K7088" s="7" t="s">
        <v>18</v>
      </c>
      <c r="L7088" s="8">
        <v>39987.315405092595</v>
      </c>
      <c r="M7088" s="9" t="s">
        <v>19</v>
      </c>
      <c r="N7088" s="9" t="s">
        <v>20</v>
      </c>
      <c r="O7088" s="6" t="str">
        <f>HYPERLINK("https://pbs.twimg.com/profile_images/962471262747529216/Uo8lOkRJ_normal.jpg","View")</f>
        <v>View</v>
      </c>
      <c r="P7088" s="7"/>
    </row>
    <row r="7089" spans="1:16">
      <c r="A7089" s="3">
        <v>44014.817083333328</v>
      </c>
      <c r="B7089" s="4" t="str">
        <f>HYPERLINK("https://twitter.com/petrogustavo","@petrogustavo")</f>
        <v>@petrogustavo</v>
      </c>
      <c r="C7089" s="5" t="s">
        <v>16</v>
      </c>
      <c r="D7089" s="5" t="s">
        <v>6860</v>
      </c>
      <c r="E7089" s="6" t="str">
        <f>HYPERLINK("https://twitter.com/petrogustavo/status/1278691546838306819","1278691546838306819")</f>
        <v>1278691546838306819</v>
      </c>
      <c r="F7089" s="7" t="s">
        <v>32</v>
      </c>
      <c r="G7089" s="7">
        <v>3898464</v>
      </c>
      <c r="H7089" s="7">
        <v>2419</v>
      </c>
      <c r="I7089" s="7">
        <v>533</v>
      </c>
      <c r="J7089" s="7">
        <v>0</v>
      </c>
      <c r="K7089" s="7" t="s">
        <v>18</v>
      </c>
      <c r="L7089" s="8">
        <v>39987.315405092595</v>
      </c>
      <c r="M7089" s="9" t="s">
        <v>19</v>
      </c>
      <c r="N7089" s="9" t="s">
        <v>20</v>
      </c>
      <c r="O7089" s="6" t="str">
        <f>HYPERLINK("https://pbs.twimg.com/profile_images/962471262747529216/Uo8lOkRJ_normal.jpg","View")</f>
        <v>View</v>
      </c>
      <c r="P7089" s="7"/>
    </row>
    <row r="7090" spans="1:16">
      <c r="A7090" s="3">
        <v>44014.817685185189</v>
      </c>
      <c r="B7090" s="4" t="str">
        <f>HYPERLINK("https://twitter.com/petrogustavo","@petrogustavo")</f>
        <v>@petrogustavo</v>
      </c>
      <c r="C7090" s="5" t="s">
        <v>16</v>
      </c>
      <c r="D7090" s="5" t="s">
        <v>6861</v>
      </c>
      <c r="E7090" s="6" t="str">
        <f>HYPERLINK("https://twitter.com/petrogustavo/status/1278691767441715200","1278691767441715200")</f>
        <v>1278691767441715200</v>
      </c>
      <c r="F7090" s="7" t="s">
        <v>32</v>
      </c>
      <c r="G7090" s="7">
        <v>3898464</v>
      </c>
      <c r="H7090" s="7">
        <v>2419</v>
      </c>
      <c r="I7090" s="7">
        <v>62</v>
      </c>
      <c r="J7090" s="7">
        <v>0</v>
      </c>
      <c r="K7090" s="7" t="s">
        <v>18</v>
      </c>
      <c r="L7090" s="8">
        <v>39987.315405092595</v>
      </c>
      <c r="M7090" s="9" t="s">
        <v>19</v>
      </c>
      <c r="N7090" s="9" t="s">
        <v>20</v>
      </c>
      <c r="O7090" s="6" t="str">
        <f>HYPERLINK("https://pbs.twimg.com/profile_images/962471262747529216/Uo8lOkRJ_normal.jpg","View")</f>
        <v>View</v>
      </c>
      <c r="P7090" s="7"/>
    </row>
    <row r="7091" spans="1:16">
      <c r="A7091" s="3">
        <v>44014.823541666672</v>
      </c>
      <c r="B7091" s="4" t="str">
        <f>HYPERLINK("https://twitter.com/petrogustavo","@petrogustavo")</f>
        <v>@petrogustavo</v>
      </c>
      <c r="C7091" s="5" t="s">
        <v>16</v>
      </c>
      <c r="D7091" s="5" t="s">
        <v>6862</v>
      </c>
      <c r="E7091" s="6" t="str">
        <f>HYPERLINK("https://twitter.com/petrogustavo/status/1278693889378050048","1278693889378050048")</f>
        <v>1278693889378050048</v>
      </c>
      <c r="F7091" s="7" t="s">
        <v>32</v>
      </c>
      <c r="G7091" s="7">
        <v>3898464</v>
      </c>
      <c r="H7091" s="7">
        <v>2419</v>
      </c>
      <c r="I7091" s="7">
        <v>100</v>
      </c>
      <c r="J7091" s="7">
        <v>0</v>
      </c>
      <c r="K7091" s="7" t="s">
        <v>18</v>
      </c>
      <c r="L7091" s="8">
        <v>39987.315405092595</v>
      </c>
      <c r="M7091" s="9" t="s">
        <v>19</v>
      </c>
      <c r="N7091" s="9" t="s">
        <v>20</v>
      </c>
      <c r="O7091" s="6" t="str">
        <f>HYPERLINK("https://pbs.twimg.com/profile_images/962471262747529216/Uo8lOkRJ_normal.jpg","View")</f>
        <v>View</v>
      </c>
      <c r="P7091" s="7"/>
    </row>
    <row r="7092" spans="1:16">
      <c r="A7092" s="3">
        <v>44014.823854166665</v>
      </c>
      <c r="B7092" s="4" t="str">
        <f>HYPERLINK("https://twitter.com/petrogustavo","@petrogustavo")</f>
        <v>@petrogustavo</v>
      </c>
      <c r="C7092" s="5" t="s">
        <v>16</v>
      </c>
      <c r="D7092" s="5" t="s">
        <v>6863</v>
      </c>
      <c r="E7092" s="6" t="str">
        <f>HYPERLINK("https://twitter.com/petrogustavo/status/1278694000166387712","1278694000166387712")</f>
        <v>1278694000166387712</v>
      </c>
      <c r="F7092" s="7" t="s">
        <v>32</v>
      </c>
      <c r="G7092" s="7">
        <v>3898464</v>
      </c>
      <c r="H7092" s="7">
        <v>2419</v>
      </c>
      <c r="I7092" s="7">
        <v>26</v>
      </c>
      <c r="J7092" s="7">
        <v>0</v>
      </c>
      <c r="K7092" s="7" t="s">
        <v>18</v>
      </c>
      <c r="L7092" s="8">
        <v>39987.315405092595</v>
      </c>
      <c r="M7092" s="9" t="s">
        <v>19</v>
      </c>
      <c r="N7092" s="9" t="s">
        <v>20</v>
      </c>
      <c r="O7092" s="6" t="str">
        <f>HYPERLINK("https://pbs.twimg.com/profile_images/962471262747529216/Uo8lOkRJ_normal.jpg","View")</f>
        <v>View</v>
      </c>
      <c r="P7092" s="7"/>
    </row>
    <row r="7093" spans="1:16">
      <c r="A7093" s="3">
        <v>44014.825624999998</v>
      </c>
      <c r="B7093" s="4" t="str">
        <f>HYPERLINK("https://twitter.com/petrogustavo","@petrogustavo")</f>
        <v>@petrogustavo</v>
      </c>
      <c r="C7093" s="5" t="s">
        <v>16</v>
      </c>
      <c r="D7093" s="5" t="s">
        <v>6864</v>
      </c>
      <c r="E7093" s="6" t="str">
        <f>HYPERLINK("https://twitter.com/petrogustavo/status/1278694642788306945","1278694642788306945")</f>
        <v>1278694642788306945</v>
      </c>
      <c r="F7093" s="7" t="s">
        <v>32</v>
      </c>
      <c r="G7093" s="7">
        <v>3898491</v>
      </c>
      <c r="H7093" s="7">
        <v>2419</v>
      </c>
      <c r="I7093" s="7">
        <v>922</v>
      </c>
      <c r="J7093" s="7">
        <v>0</v>
      </c>
      <c r="K7093" s="7" t="s">
        <v>18</v>
      </c>
      <c r="L7093" s="8">
        <v>39987.315405092595</v>
      </c>
      <c r="M7093" s="9" t="s">
        <v>19</v>
      </c>
      <c r="N7093" s="9" t="s">
        <v>20</v>
      </c>
      <c r="O7093" s="6" t="str">
        <f>HYPERLINK("https://pbs.twimg.com/profile_images/962471262747529216/Uo8lOkRJ_normal.jpg","View")</f>
        <v>View</v>
      </c>
      <c r="P7093" s="7"/>
    </row>
    <row r="7094" spans="1:16">
      <c r="A7094" s="3">
        <v>44014.826041666667</v>
      </c>
      <c r="B7094" s="4" t="str">
        <f>HYPERLINK("https://twitter.com/petrogustavo","@petrogustavo")</f>
        <v>@petrogustavo</v>
      </c>
      <c r="C7094" s="5" t="s">
        <v>16</v>
      </c>
      <c r="D7094" s="5" t="s">
        <v>6865</v>
      </c>
      <c r="E7094" s="6" t="str">
        <f>HYPERLINK("https://twitter.com/petrogustavo/status/1278694791749021702","1278694791749021702")</f>
        <v>1278694791749021702</v>
      </c>
      <c r="F7094" s="7" t="s">
        <v>32</v>
      </c>
      <c r="G7094" s="7">
        <v>3898491</v>
      </c>
      <c r="H7094" s="7">
        <v>2419</v>
      </c>
      <c r="I7094" s="7">
        <v>175</v>
      </c>
      <c r="J7094" s="7">
        <v>0</v>
      </c>
      <c r="K7094" s="7" t="s">
        <v>18</v>
      </c>
      <c r="L7094" s="8">
        <v>39987.315405092595</v>
      </c>
      <c r="M7094" s="9" t="s">
        <v>19</v>
      </c>
      <c r="N7094" s="9" t="s">
        <v>20</v>
      </c>
      <c r="O7094" s="6" t="str">
        <f>HYPERLINK("https://pbs.twimg.com/profile_images/962471262747529216/Uo8lOkRJ_normal.jpg","View")</f>
        <v>View</v>
      </c>
      <c r="P7094" s="7"/>
    </row>
    <row r="7095" spans="1:16">
      <c r="A7095" s="3">
        <v>44014.828067129631</v>
      </c>
      <c r="B7095" s="4" t="str">
        <f>HYPERLINK("https://twitter.com/petrogustavo","@petrogustavo")</f>
        <v>@petrogustavo</v>
      </c>
      <c r="C7095" s="5" t="s">
        <v>16</v>
      </c>
      <c r="D7095" s="5" t="s">
        <v>6866</v>
      </c>
      <c r="E7095" s="6" t="str">
        <f>HYPERLINK("https://twitter.com/petrogustavo/status/1278695526121254915","1278695526121254915")</f>
        <v>1278695526121254915</v>
      </c>
      <c r="F7095" s="7" t="s">
        <v>32</v>
      </c>
      <c r="G7095" s="7">
        <v>3898491</v>
      </c>
      <c r="H7095" s="7">
        <v>2419</v>
      </c>
      <c r="I7095" s="7">
        <v>213</v>
      </c>
      <c r="J7095" s="7">
        <v>384</v>
      </c>
      <c r="K7095" s="7" t="s">
        <v>18</v>
      </c>
      <c r="L7095" s="8">
        <v>39987.315405092595</v>
      </c>
      <c r="M7095" s="9" t="s">
        <v>19</v>
      </c>
      <c r="N7095" s="9" t="s">
        <v>20</v>
      </c>
      <c r="O7095" s="6" t="str">
        <f>HYPERLINK("https://pbs.twimg.com/profile_images/962471262747529216/Uo8lOkRJ_normal.jpg","View")</f>
        <v>View</v>
      </c>
      <c r="P7095" s="7"/>
    </row>
    <row r="7096" spans="1:16">
      <c r="A7096" s="3">
        <v>44014.828969907408</v>
      </c>
      <c r="B7096" s="4" t="str">
        <f>HYPERLINK("https://twitter.com/petrogustavo","@petrogustavo")</f>
        <v>@petrogustavo</v>
      </c>
      <c r="C7096" s="5" t="s">
        <v>16</v>
      </c>
      <c r="D7096" s="5" t="s">
        <v>6867</v>
      </c>
      <c r="E7096" s="6" t="str">
        <f>HYPERLINK("https://twitter.com/petrogustavo/status/1278695856561061889","1278695856561061889")</f>
        <v>1278695856561061889</v>
      </c>
      <c r="F7096" s="7" t="s">
        <v>32</v>
      </c>
      <c r="G7096" s="7">
        <v>3898491</v>
      </c>
      <c r="H7096" s="7">
        <v>2419</v>
      </c>
      <c r="I7096" s="7">
        <v>23</v>
      </c>
      <c r="J7096" s="7">
        <v>0</v>
      </c>
      <c r="K7096" s="7" t="s">
        <v>18</v>
      </c>
      <c r="L7096" s="8">
        <v>39987.315405092595</v>
      </c>
      <c r="M7096" s="9" t="s">
        <v>19</v>
      </c>
      <c r="N7096" s="9" t="s">
        <v>20</v>
      </c>
      <c r="O7096" s="6" t="str">
        <f>HYPERLINK("https://pbs.twimg.com/profile_images/962471262747529216/Uo8lOkRJ_normal.jpg","View")</f>
        <v>View</v>
      </c>
      <c r="P7096" s="7"/>
    </row>
    <row r="7097" spans="1:16">
      <c r="A7097" s="3">
        <v>44014.831539351857</v>
      </c>
      <c r="B7097" s="4" t="str">
        <f>HYPERLINK("https://twitter.com/petrogustavo","@petrogustavo")</f>
        <v>@petrogustavo</v>
      </c>
      <c r="C7097" s="5" t="s">
        <v>16</v>
      </c>
      <c r="D7097" s="5" t="s">
        <v>6868</v>
      </c>
      <c r="E7097" s="6" t="str">
        <f>HYPERLINK("https://twitter.com/petrogustavo/status/1278696785851092993","1278696785851092993")</f>
        <v>1278696785851092993</v>
      </c>
      <c r="F7097" s="7" t="s">
        <v>32</v>
      </c>
      <c r="G7097" s="7">
        <v>3898491</v>
      </c>
      <c r="H7097" s="7">
        <v>2419</v>
      </c>
      <c r="I7097" s="7">
        <v>366</v>
      </c>
      <c r="J7097" s="7">
        <v>1134</v>
      </c>
      <c r="K7097" s="7" t="s">
        <v>18</v>
      </c>
      <c r="L7097" s="8">
        <v>39987.315405092595</v>
      </c>
      <c r="M7097" s="9" t="s">
        <v>19</v>
      </c>
      <c r="N7097" s="9" t="s">
        <v>20</v>
      </c>
      <c r="O7097" s="6" t="str">
        <f>HYPERLINK("https://pbs.twimg.com/profile_images/962471262747529216/Uo8lOkRJ_normal.jpg","View")</f>
        <v>View</v>
      </c>
      <c r="P7097" s="7"/>
    </row>
    <row r="7098" spans="1:16">
      <c r="A7098" s="3">
        <v>44014.842233796298</v>
      </c>
      <c r="B7098" s="4" t="str">
        <f>HYPERLINK("https://twitter.com/petrogustavo","@petrogustavo")</f>
        <v>@petrogustavo</v>
      </c>
      <c r="C7098" s="5" t="s">
        <v>16</v>
      </c>
      <c r="D7098" s="5" t="s">
        <v>6869</v>
      </c>
      <c r="E7098" s="6" t="str">
        <f>HYPERLINK("https://twitter.com/petrogustavo/status/1278700662642159617","1278700662642159617")</f>
        <v>1278700662642159617</v>
      </c>
      <c r="F7098" s="7" t="s">
        <v>32</v>
      </c>
      <c r="G7098" s="7">
        <v>3898491</v>
      </c>
      <c r="H7098" s="7">
        <v>2419</v>
      </c>
      <c r="I7098" s="7">
        <v>8</v>
      </c>
      <c r="J7098" s="7">
        <v>0</v>
      </c>
      <c r="K7098" s="7" t="s">
        <v>18</v>
      </c>
      <c r="L7098" s="8">
        <v>39987.315405092595</v>
      </c>
      <c r="M7098" s="9" t="s">
        <v>19</v>
      </c>
      <c r="N7098" s="9" t="s">
        <v>20</v>
      </c>
      <c r="O7098" s="6" t="str">
        <f>HYPERLINK("https://pbs.twimg.com/profile_images/962471262747529216/Uo8lOkRJ_normal.jpg","View")</f>
        <v>View</v>
      </c>
      <c r="P7098" s="7"/>
    </row>
    <row r="7099" spans="1:16">
      <c r="A7099" s="3">
        <v>44014.847187499996</v>
      </c>
      <c r="B7099" s="4" t="str">
        <f>HYPERLINK("https://twitter.com/petrogustavo","@petrogustavo")</f>
        <v>@petrogustavo</v>
      </c>
      <c r="C7099" s="5" t="s">
        <v>16</v>
      </c>
      <c r="D7099" s="5" t="s">
        <v>6870</v>
      </c>
      <c r="E7099" s="6" t="str">
        <f>HYPERLINK("https://twitter.com/petrogustavo/status/1278702457569390593","1278702457569390593")</f>
        <v>1278702457569390593</v>
      </c>
      <c r="F7099" s="7" t="s">
        <v>32</v>
      </c>
      <c r="G7099" s="7">
        <v>3898489</v>
      </c>
      <c r="H7099" s="7">
        <v>2419</v>
      </c>
      <c r="I7099" s="7">
        <v>189</v>
      </c>
      <c r="J7099" s="7">
        <v>0</v>
      </c>
      <c r="K7099" s="7" t="s">
        <v>18</v>
      </c>
      <c r="L7099" s="8">
        <v>39987.315405092595</v>
      </c>
      <c r="M7099" s="9" t="s">
        <v>19</v>
      </c>
      <c r="N7099" s="9" t="s">
        <v>20</v>
      </c>
      <c r="O7099" s="6" t="str">
        <f>HYPERLINK("https://pbs.twimg.com/profile_images/962471262747529216/Uo8lOkRJ_normal.jpg","View")</f>
        <v>View</v>
      </c>
      <c r="P7099" s="7"/>
    </row>
    <row r="7100" spans="1:16">
      <c r="A7100" s="3">
        <v>44014.849583333329</v>
      </c>
      <c r="B7100" s="4" t="str">
        <f>HYPERLINK("https://twitter.com/petrogustavo","@petrogustavo")</f>
        <v>@petrogustavo</v>
      </c>
      <c r="C7100" s="5" t="s">
        <v>16</v>
      </c>
      <c r="D7100" s="5" t="s">
        <v>6871</v>
      </c>
      <c r="E7100" s="6" t="str">
        <f>HYPERLINK("https://twitter.com/petrogustavo/status/1278703324494249984","1278703324494249984")</f>
        <v>1278703324494249984</v>
      </c>
      <c r="F7100" s="7" t="s">
        <v>32</v>
      </c>
      <c r="G7100" s="7">
        <v>3898489</v>
      </c>
      <c r="H7100" s="7">
        <v>2419</v>
      </c>
      <c r="I7100" s="7">
        <v>166</v>
      </c>
      <c r="J7100" s="7">
        <v>292</v>
      </c>
      <c r="K7100" s="7" t="s">
        <v>18</v>
      </c>
      <c r="L7100" s="8">
        <v>39987.315405092595</v>
      </c>
      <c r="M7100" s="9" t="s">
        <v>19</v>
      </c>
      <c r="N7100" s="9" t="s">
        <v>20</v>
      </c>
      <c r="O7100" s="6" t="str">
        <f>HYPERLINK("https://pbs.twimg.com/profile_images/962471262747529216/Uo8lOkRJ_normal.jpg","View")</f>
        <v>View</v>
      </c>
      <c r="P7100" s="7"/>
    </row>
    <row r="7101" spans="1:16">
      <c r="A7101" s="3">
        <v>44014.863981481481</v>
      </c>
      <c r="B7101" s="4" t="str">
        <f>HYPERLINK("https://twitter.com/petrogustavo","@petrogustavo")</f>
        <v>@petrogustavo</v>
      </c>
      <c r="C7101" s="5" t="s">
        <v>16</v>
      </c>
      <c r="D7101" s="5" t="s">
        <v>6872</v>
      </c>
      <c r="E7101" s="6" t="str">
        <f>HYPERLINK("https://twitter.com/petrogustavo/status/1278708544456536064","1278708544456536064")</f>
        <v>1278708544456536064</v>
      </c>
      <c r="F7101" s="7" t="s">
        <v>32</v>
      </c>
      <c r="G7101" s="7">
        <v>3898489</v>
      </c>
      <c r="H7101" s="7">
        <v>2419</v>
      </c>
      <c r="I7101" s="7">
        <v>77</v>
      </c>
      <c r="J7101" s="7">
        <v>0</v>
      </c>
      <c r="K7101" s="7" t="s">
        <v>18</v>
      </c>
      <c r="L7101" s="8">
        <v>39987.315405092595</v>
      </c>
      <c r="M7101" s="9" t="s">
        <v>19</v>
      </c>
      <c r="N7101" s="9" t="s">
        <v>20</v>
      </c>
      <c r="O7101" s="6" t="str">
        <f>HYPERLINK("https://pbs.twimg.com/profile_images/962471262747529216/Uo8lOkRJ_normal.jpg","View")</f>
        <v>View</v>
      </c>
      <c r="P7101" s="7"/>
    </row>
    <row r="7102" spans="1:16">
      <c r="A7102" s="3">
        <v>44014.864907407406</v>
      </c>
      <c r="B7102" s="4" t="str">
        <f>HYPERLINK("https://twitter.com/petrogustavo","@petrogustavo")</f>
        <v>@petrogustavo</v>
      </c>
      <c r="C7102" s="5" t="s">
        <v>16</v>
      </c>
      <c r="D7102" s="5" t="s">
        <v>6873</v>
      </c>
      <c r="E7102" s="6" t="str">
        <f>HYPERLINK("https://twitter.com/petrogustavo/status/1278708877375266816","1278708877375266816")</f>
        <v>1278708877375266816</v>
      </c>
      <c r="F7102" s="7" t="s">
        <v>32</v>
      </c>
      <c r="G7102" s="7">
        <v>3898489</v>
      </c>
      <c r="H7102" s="7">
        <v>2419</v>
      </c>
      <c r="I7102" s="7">
        <v>651</v>
      </c>
      <c r="J7102" s="7">
        <v>0</v>
      </c>
      <c r="K7102" s="7" t="s">
        <v>18</v>
      </c>
      <c r="L7102" s="8">
        <v>39987.315405092595</v>
      </c>
      <c r="M7102" s="9" t="s">
        <v>19</v>
      </c>
      <c r="N7102" s="9" t="s">
        <v>20</v>
      </c>
      <c r="O7102" s="6" t="str">
        <f>HYPERLINK("https://pbs.twimg.com/profile_images/962471262747529216/Uo8lOkRJ_normal.jpg","View")</f>
        <v>View</v>
      </c>
      <c r="P7102" s="7"/>
    </row>
    <row r="7103" spans="1:16">
      <c r="A7103" s="3">
        <v>44014.878877314812</v>
      </c>
      <c r="B7103" s="4" t="str">
        <f>HYPERLINK("https://twitter.com/petrogustavo","@petrogustavo")</f>
        <v>@petrogustavo</v>
      </c>
      <c r="C7103" s="5" t="s">
        <v>16</v>
      </c>
      <c r="D7103" s="5" t="s">
        <v>6874</v>
      </c>
      <c r="E7103" s="6" t="str">
        <f>HYPERLINK("https://twitter.com/petrogustavo/status/1278713938968969217","1278713938968969217")</f>
        <v>1278713938968969217</v>
      </c>
      <c r="F7103" s="7" t="s">
        <v>32</v>
      </c>
      <c r="G7103" s="7">
        <v>3898514</v>
      </c>
      <c r="H7103" s="7">
        <v>2419</v>
      </c>
      <c r="I7103" s="7">
        <v>88</v>
      </c>
      <c r="J7103" s="7">
        <v>269</v>
      </c>
      <c r="K7103" s="7" t="s">
        <v>18</v>
      </c>
      <c r="L7103" s="8">
        <v>39987.315405092595</v>
      </c>
      <c r="M7103" s="9" t="s">
        <v>19</v>
      </c>
      <c r="N7103" s="9" t="s">
        <v>20</v>
      </c>
      <c r="O7103" s="6" t="str">
        <f>HYPERLINK("https://pbs.twimg.com/profile_images/962471262747529216/Uo8lOkRJ_normal.jpg","View")</f>
        <v>View</v>
      </c>
      <c r="P7103" s="7"/>
    </row>
    <row r="7104" spans="1:16">
      <c r="A7104" s="3">
        <v>44014.906851851847</v>
      </c>
      <c r="B7104" s="4" t="str">
        <f>HYPERLINK("https://twitter.com/petrogustavo","@petrogustavo")</f>
        <v>@petrogustavo</v>
      </c>
      <c r="C7104" s="5" t="s">
        <v>16</v>
      </c>
      <c r="D7104" s="5" t="s">
        <v>6875</v>
      </c>
      <c r="E7104" s="6" t="str">
        <f>HYPERLINK("https://twitter.com/petrogustavo/status/1278724077654605824","1278724077654605824")</f>
        <v>1278724077654605824</v>
      </c>
      <c r="F7104" s="7" t="s">
        <v>32</v>
      </c>
      <c r="G7104" s="7">
        <v>3898534</v>
      </c>
      <c r="H7104" s="7">
        <v>2419</v>
      </c>
      <c r="I7104" s="7">
        <v>17</v>
      </c>
      <c r="J7104" s="7">
        <v>0</v>
      </c>
      <c r="K7104" s="7" t="s">
        <v>18</v>
      </c>
      <c r="L7104" s="8">
        <v>39987.315405092595</v>
      </c>
      <c r="M7104" s="9" t="s">
        <v>19</v>
      </c>
      <c r="N7104" s="9" t="s">
        <v>20</v>
      </c>
      <c r="O7104" s="6" t="str">
        <f>HYPERLINK("https://pbs.twimg.com/profile_images/962471262747529216/Uo8lOkRJ_normal.jpg","View")</f>
        <v>View</v>
      </c>
      <c r="P7104" s="7"/>
    </row>
    <row r="7105" spans="1:16">
      <c r="A7105" s="3">
        <v>44015.010567129633</v>
      </c>
      <c r="B7105" s="4" t="str">
        <f>HYPERLINK("https://twitter.com/petrogustavo","@petrogustavo")</f>
        <v>@petrogustavo</v>
      </c>
      <c r="C7105" s="5" t="s">
        <v>16</v>
      </c>
      <c r="D7105" s="5" t="s">
        <v>6876</v>
      </c>
      <c r="E7105" s="6" t="str">
        <f>HYPERLINK("https://twitter.com/petrogustavo/status/1278761662582005761","1278761662582005761")</f>
        <v>1278761662582005761</v>
      </c>
      <c r="F7105" s="7" t="s">
        <v>17</v>
      </c>
      <c r="G7105" s="7">
        <v>3898670</v>
      </c>
      <c r="H7105" s="7">
        <v>2419</v>
      </c>
      <c r="I7105" s="7">
        <v>1230</v>
      </c>
      <c r="J7105" s="7">
        <v>0</v>
      </c>
      <c r="K7105" s="7" t="s">
        <v>18</v>
      </c>
      <c r="L7105" s="8">
        <v>39987.315405092595</v>
      </c>
      <c r="M7105" s="9" t="s">
        <v>19</v>
      </c>
      <c r="N7105" s="9" t="s">
        <v>20</v>
      </c>
      <c r="O7105" s="6" t="str">
        <f>HYPERLINK("https://pbs.twimg.com/profile_images/962471262747529216/Uo8lOkRJ_normal.jpg","View")</f>
        <v>View</v>
      </c>
      <c r="P7105" s="7"/>
    </row>
    <row r="7106" spans="1:16">
      <c r="A7106" s="3">
        <v>44015.015740740739</v>
      </c>
      <c r="B7106" s="4" t="str">
        <f>HYPERLINK("https://twitter.com/petrogustavo","@petrogustavo")</f>
        <v>@petrogustavo</v>
      </c>
      <c r="C7106" s="5" t="s">
        <v>16</v>
      </c>
      <c r="D7106" s="5" t="s">
        <v>6877</v>
      </c>
      <c r="E7106" s="6" t="str">
        <f>HYPERLINK("https://twitter.com/petrogustavo/status/1278763540174733312","1278763540174733312")</f>
        <v>1278763540174733312</v>
      </c>
      <c r="F7106" s="7" t="s">
        <v>17</v>
      </c>
      <c r="G7106" s="7">
        <v>3898685</v>
      </c>
      <c r="H7106" s="7">
        <v>2419</v>
      </c>
      <c r="I7106" s="7">
        <v>245</v>
      </c>
      <c r="J7106" s="7">
        <v>848</v>
      </c>
      <c r="K7106" s="7" t="s">
        <v>18</v>
      </c>
      <c r="L7106" s="8">
        <v>39987.315405092595</v>
      </c>
      <c r="M7106" s="9" t="s">
        <v>19</v>
      </c>
      <c r="N7106" s="9" t="s">
        <v>20</v>
      </c>
      <c r="O7106" s="6" t="str">
        <f>HYPERLINK("https://pbs.twimg.com/profile_images/962471262747529216/Uo8lOkRJ_normal.jpg","View")</f>
        <v>View</v>
      </c>
      <c r="P7106" s="7"/>
    </row>
    <row r="7107" spans="1:16">
      <c r="A7107" s="3">
        <v>44015.01771990741</v>
      </c>
      <c r="B7107" s="4" t="str">
        <f>HYPERLINK("https://twitter.com/petrogustavo","@petrogustavo")</f>
        <v>@petrogustavo</v>
      </c>
      <c r="C7107" s="5" t="s">
        <v>16</v>
      </c>
      <c r="D7107" s="5" t="s">
        <v>6878</v>
      </c>
      <c r="E7107" s="6" t="str">
        <f>HYPERLINK("https://twitter.com/petrogustavo/status/1278764256587132929","1278764256587132929")</f>
        <v>1278764256587132929</v>
      </c>
      <c r="F7107" s="7" t="s">
        <v>17</v>
      </c>
      <c r="G7107" s="7">
        <v>3898685</v>
      </c>
      <c r="H7107" s="7">
        <v>2419</v>
      </c>
      <c r="I7107" s="7">
        <v>82</v>
      </c>
      <c r="J7107" s="7">
        <v>183</v>
      </c>
      <c r="K7107" s="7" t="s">
        <v>18</v>
      </c>
      <c r="L7107" s="8">
        <v>39987.315405092595</v>
      </c>
      <c r="M7107" s="9" t="s">
        <v>19</v>
      </c>
      <c r="N7107" s="9" t="s">
        <v>20</v>
      </c>
      <c r="O7107" s="6" t="str">
        <f>HYPERLINK("https://pbs.twimg.com/profile_images/962471262747529216/Uo8lOkRJ_normal.jpg","View")</f>
        <v>View</v>
      </c>
      <c r="P7107" s="7"/>
    </row>
    <row r="7108" spans="1:16">
      <c r="A7108" s="3">
        <v>44015.026574074072</v>
      </c>
      <c r="B7108" s="4" t="str">
        <f>HYPERLINK("https://twitter.com/petrogustavo","@petrogustavo")</f>
        <v>@petrogustavo</v>
      </c>
      <c r="C7108" s="5" t="s">
        <v>16</v>
      </c>
      <c r="D7108" s="5" t="s">
        <v>6879</v>
      </c>
      <c r="E7108" s="6" t="str">
        <f>HYPERLINK("https://twitter.com/petrogustavo/status/1278767464009084928","1278767464009084928")</f>
        <v>1278767464009084928</v>
      </c>
      <c r="F7108" s="7" t="s">
        <v>17</v>
      </c>
      <c r="G7108" s="7">
        <v>3898685</v>
      </c>
      <c r="H7108" s="7">
        <v>2419</v>
      </c>
      <c r="I7108" s="7">
        <v>126</v>
      </c>
      <c r="J7108" s="7">
        <v>214</v>
      </c>
      <c r="K7108" s="7" t="s">
        <v>18</v>
      </c>
      <c r="L7108" s="8">
        <v>39987.315405092595</v>
      </c>
      <c r="M7108" s="9" t="s">
        <v>19</v>
      </c>
      <c r="N7108" s="9" t="s">
        <v>20</v>
      </c>
      <c r="O7108" s="6" t="str">
        <f>HYPERLINK("https://pbs.twimg.com/profile_images/962471262747529216/Uo8lOkRJ_normal.jpg","View")</f>
        <v>View</v>
      </c>
      <c r="P7108" s="7"/>
    </row>
    <row r="7109" spans="1:16">
      <c r="A7109" s="3">
        <v>44015.031099537038</v>
      </c>
      <c r="B7109" s="4" t="str">
        <f>HYPERLINK("https://twitter.com/petrogustavo","@petrogustavo")</f>
        <v>@petrogustavo</v>
      </c>
      <c r="C7109" s="5" t="s">
        <v>16</v>
      </c>
      <c r="D7109" s="5" t="s">
        <v>6880</v>
      </c>
      <c r="E7109" s="6" t="str">
        <f>HYPERLINK("https://twitter.com/petrogustavo/status/1278769102816006145","1278769102816006145")</f>
        <v>1278769102816006145</v>
      </c>
      <c r="F7109" s="7" t="s">
        <v>17</v>
      </c>
      <c r="G7109" s="7">
        <v>3898685</v>
      </c>
      <c r="H7109" s="7">
        <v>2419</v>
      </c>
      <c r="I7109" s="7">
        <v>36</v>
      </c>
      <c r="J7109" s="7">
        <v>78</v>
      </c>
      <c r="K7109" s="7" t="s">
        <v>18</v>
      </c>
      <c r="L7109" s="8">
        <v>39987.315405092595</v>
      </c>
      <c r="M7109" s="9" t="s">
        <v>19</v>
      </c>
      <c r="N7109" s="9" t="s">
        <v>20</v>
      </c>
      <c r="O7109" s="6" t="str">
        <f>HYPERLINK("https://pbs.twimg.com/profile_images/962471262747529216/Uo8lOkRJ_normal.jpg","View")</f>
        <v>View</v>
      </c>
      <c r="P7109" s="7"/>
    </row>
    <row r="7110" spans="1:16">
      <c r="A7110" s="3">
        <v>44015.047118055554</v>
      </c>
      <c r="B7110" s="4" t="str">
        <f>HYPERLINK("https://twitter.com/petrogustavo","@petrogustavo")</f>
        <v>@petrogustavo</v>
      </c>
      <c r="C7110" s="5" t="s">
        <v>16</v>
      </c>
      <c r="D7110" s="5" t="s">
        <v>6881</v>
      </c>
      <c r="E7110" s="6" t="str">
        <f>HYPERLINK("https://twitter.com/petrogustavo/status/1278774908789628928","1278774908789628928")</f>
        <v>1278774908789628928</v>
      </c>
      <c r="F7110" s="7" t="s">
        <v>17</v>
      </c>
      <c r="G7110" s="7">
        <v>3898709</v>
      </c>
      <c r="H7110" s="7">
        <v>2419</v>
      </c>
      <c r="I7110" s="7">
        <v>78</v>
      </c>
      <c r="J7110" s="7">
        <v>193</v>
      </c>
      <c r="K7110" s="7" t="s">
        <v>18</v>
      </c>
      <c r="L7110" s="8">
        <v>39987.315405092595</v>
      </c>
      <c r="M7110" s="9" t="s">
        <v>19</v>
      </c>
      <c r="N7110" s="9" t="s">
        <v>20</v>
      </c>
      <c r="O7110" s="6" t="str">
        <f>HYPERLINK("https://pbs.twimg.com/profile_images/962471262747529216/Uo8lOkRJ_normal.jpg","View")</f>
        <v>View</v>
      </c>
      <c r="P7110" s="7"/>
    </row>
    <row r="7111" spans="1:16">
      <c r="A7111" s="3">
        <v>44015.05086805555</v>
      </c>
      <c r="B7111" s="4" t="str">
        <f>HYPERLINK("https://twitter.com/petrogustavo","@petrogustavo")</f>
        <v>@petrogustavo</v>
      </c>
      <c r="C7111" s="5" t="s">
        <v>16</v>
      </c>
      <c r="D7111" s="5" t="s">
        <v>6882</v>
      </c>
      <c r="E7111" s="6" t="str">
        <f>HYPERLINK("https://twitter.com/petrogustavo/status/1278776267727417344","1278776267727417344")</f>
        <v>1278776267727417344</v>
      </c>
      <c r="F7111" s="7" t="s">
        <v>32</v>
      </c>
      <c r="G7111" s="7">
        <v>3898709</v>
      </c>
      <c r="H7111" s="7">
        <v>2419</v>
      </c>
      <c r="I7111" s="7">
        <v>208</v>
      </c>
      <c r="J7111" s="7">
        <v>0</v>
      </c>
      <c r="K7111" s="7" t="s">
        <v>18</v>
      </c>
      <c r="L7111" s="8">
        <v>39987.315405092595</v>
      </c>
      <c r="M7111" s="9" t="s">
        <v>19</v>
      </c>
      <c r="N7111" s="9" t="s">
        <v>20</v>
      </c>
      <c r="O7111" s="6" t="str">
        <f>HYPERLINK("https://pbs.twimg.com/profile_images/962471262747529216/Uo8lOkRJ_normal.jpg","View")</f>
        <v>View</v>
      </c>
      <c r="P7111" s="7"/>
    </row>
    <row r="7112" spans="1:16">
      <c r="A7112" s="3">
        <v>44015.052557870367</v>
      </c>
      <c r="B7112" s="4" t="str">
        <f>HYPERLINK("https://twitter.com/petrogustavo","@petrogustavo")</f>
        <v>@petrogustavo</v>
      </c>
      <c r="C7112" s="5" t="s">
        <v>16</v>
      </c>
      <c r="D7112" s="5" t="s">
        <v>6883</v>
      </c>
      <c r="E7112" s="6" t="str">
        <f>HYPERLINK("https://twitter.com/petrogustavo/status/1278776880292925441","1278776880292925441")</f>
        <v>1278776880292925441</v>
      </c>
      <c r="F7112" s="7" t="s">
        <v>32</v>
      </c>
      <c r="G7112" s="7">
        <v>3898709</v>
      </c>
      <c r="H7112" s="7">
        <v>2419</v>
      </c>
      <c r="I7112" s="7">
        <v>58</v>
      </c>
      <c r="J7112" s="7">
        <v>161</v>
      </c>
      <c r="K7112" s="7" t="s">
        <v>18</v>
      </c>
      <c r="L7112" s="8">
        <v>39987.315405092595</v>
      </c>
      <c r="M7112" s="9" t="s">
        <v>19</v>
      </c>
      <c r="N7112" s="9" t="s">
        <v>20</v>
      </c>
      <c r="O7112" s="6" t="str">
        <f>HYPERLINK("https://pbs.twimg.com/profile_images/962471262747529216/Uo8lOkRJ_normal.jpg","View")</f>
        <v>View</v>
      </c>
      <c r="P7112" s="7"/>
    </row>
    <row r="7113" spans="1:16">
      <c r="A7113" s="3">
        <v>44015.160648148143</v>
      </c>
      <c r="B7113" s="4" t="str">
        <f>HYPERLINK("https://twitter.com/petrogustavo","@petrogustavo")</f>
        <v>@petrogustavo</v>
      </c>
      <c r="C7113" s="5" t="s">
        <v>16</v>
      </c>
      <c r="D7113" s="5" t="s">
        <v>6884</v>
      </c>
      <c r="E7113" s="6" t="str">
        <f>HYPERLINK("https://twitter.com/petrogustavo/status/1278816051220840448","1278816051220840448")</f>
        <v>1278816051220840448</v>
      </c>
      <c r="F7113" s="7" t="s">
        <v>17</v>
      </c>
      <c r="G7113" s="7">
        <v>3898826</v>
      </c>
      <c r="H7113" s="7">
        <v>2419</v>
      </c>
      <c r="I7113" s="7">
        <v>3101</v>
      </c>
      <c r="J7113" s="7">
        <v>0</v>
      </c>
      <c r="K7113" s="7" t="s">
        <v>18</v>
      </c>
      <c r="L7113" s="8">
        <v>39987.315405092595</v>
      </c>
      <c r="M7113" s="9" t="s">
        <v>19</v>
      </c>
      <c r="N7113" s="9" t="s">
        <v>20</v>
      </c>
      <c r="O7113" s="6" t="str">
        <f>HYPERLINK("https://pbs.twimg.com/profile_images/962471262747529216/Uo8lOkRJ_normal.jpg","View")</f>
        <v>View</v>
      </c>
      <c r="P7113" s="7"/>
    </row>
    <row r="7114" spans="1:16">
      <c r="A7114" s="3">
        <v>44015.21565972222</v>
      </c>
      <c r="B7114" s="4" t="str">
        <f>HYPERLINK("https://twitter.com/petrogustavo","@petrogustavo")</f>
        <v>@petrogustavo</v>
      </c>
      <c r="C7114" s="5" t="s">
        <v>16</v>
      </c>
      <c r="D7114" s="5" t="s">
        <v>6885</v>
      </c>
      <c r="E7114" s="6" t="str">
        <f>HYPERLINK("https://twitter.com/petrogustavo/status/1278835984826863617","1278835984826863617")</f>
        <v>1278835984826863617</v>
      </c>
      <c r="F7114" s="7" t="s">
        <v>32</v>
      </c>
      <c r="G7114" s="7">
        <v>3898850</v>
      </c>
      <c r="H7114" s="7">
        <v>2419</v>
      </c>
      <c r="I7114" s="7">
        <v>184</v>
      </c>
      <c r="J7114" s="7">
        <v>0</v>
      </c>
      <c r="K7114" s="7" t="s">
        <v>18</v>
      </c>
      <c r="L7114" s="8">
        <v>39987.315405092595</v>
      </c>
      <c r="M7114" s="9" t="s">
        <v>19</v>
      </c>
      <c r="N7114" s="9" t="s">
        <v>20</v>
      </c>
      <c r="O7114" s="6" t="str">
        <f>HYPERLINK("https://pbs.twimg.com/profile_images/962471262747529216/Uo8lOkRJ_normal.jpg","View")</f>
        <v>View</v>
      </c>
      <c r="P7114" s="7"/>
    </row>
    <row r="7115" spans="1:16">
      <c r="A7115" s="3">
        <v>44015.217766203699</v>
      </c>
      <c r="B7115" s="4" t="str">
        <f>HYPERLINK("https://twitter.com/petrogustavo","@petrogustavo")</f>
        <v>@petrogustavo</v>
      </c>
      <c r="C7115" s="5" t="s">
        <v>16</v>
      </c>
      <c r="D7115" s="5" t="s">
        <v>6886</v>
      </c>
      <c r="E7115" s="6" t="str">
        <f>HYPERLINK("https://twitter.com/petrogustavo/status/1278836750580940802","1278836750580940802")</f>
        <v>1278836750580940802</v>
      </c>
      <c r="F7115" s="7" t="s">
        <v>32</v>
      </c>
      <c r="G7115" s="7">
        <v>3898850</v>
      </c>
      <c r="H7115" s="7">
        <v>2419</v>
      </c>
      <c r="I7115" s="7">
        <v>122</v>
      </c>
      <c r="J7115" s="7">
        <v>276</v>
      </c>
      <c r="K7115" s="7" t="s">
        <v>18</v>
      </c>
      <c r="L7115" s="8">
        <v>39987.315405092595</v>
      </c>
      <c r="M7115" s="9" t="s">
        <v>19</v>
      </c>
      <c r="N7115" s="9" t="s">
        <v>20</v>
      </c>
      <c r="O7115" s="6" t="str">
        <f>HYPERLINK("https://pbs.twimg.com/profile_images/962471262747529216/Uo8lOkRJ_normal.jpg","View")</f>
        <v>View</v>
      </c>
      <c r="P7115" s="7"/>
    </row>
    <row r="7116" spans="1:16">
      <c r="A7116" s="3">
        <v>44015.242442129631</v>
      </c>
      <c r="B7116" s="4" t="str">
        <f>HYPERLINK("https://twitter.com/petrogustavo","@petrogustavo")</f>
        <v>@petrogustavo</v>
      </c>
      <c r="C7116" s="5" t="s">
        <v>16</v>
      </c>
      <c r="D7116" s="5" t="s">
        <v>6887</v>
      </c>
      <c r="E7116" s="6" t="str">
        <f>HYPERLINK("https://twitter.com/petrogustavo/status/1278845693315162112","1278845693315162112")</f>
        <v>1278845693315162112</v>
      </c>
      <c r="F7116" s="7" t="s">
        <v>32</v>
      </c>
      <c r="G7116" s="7">
        <v>3898911</v>
      </c>
      <c r="H7116" s="7">
        <v>2419</v>
      </c>
      <c r="I7116" s="7">
        <v>131</v>
      </c>
      <c r="J7116" s="7">
        <v>0</v>
      </c>
      <c r="K7116" s="7" t="s">
        <v>18</v>
      </c>
      <c r="L7116" s="8">
        <v>39987.315405092595</v>
      </c>
      <c r="M7116" s="9" t="s">
        <v>19</v>
      </c>
      <c r="N7116" s="9" t="s">
        <v>20</v>
      </c>
      <c r="O7116" s="6" t="str">
        <f>HYPERLINK("https://pbs.twimg.com/profile_images/962471262747529216/Uo8lOkRJ_normal.jpg","View")</f>
        <v>View</v>
      </c>
      <c r="P7116" s="7"/>
    </row>
    <row r="7117" spans="1:16">
      <c r="A7117" s="3">
        <v>44015.267372685186</v>
      </c>
      <c r="B7117" s="4" t="str">
        <f>HYPERLINK("https://twitter.com/petrogustavo","@petrogustavo")</f>
        <v>@petrogustavo</v>
      </c>
      <c r="C7117" s="5" t="s">
        <v>16</v>
      </c>
      <c r="D7117" s="5" t="s">
        <v>6888</v>
      </c>
      <c r="E7117" s="6" t="str">
        <f>HYPERLINK("https://twitter.com/petrogustavo/status/1278854728668065793","1278854728668065793")</f>
        <v>1278854728668065793</v>
      </c>
      <c r="F7117" s="7" t="s">
        <v>32</v>
      </c>
      <c r="G7117" s="7">
        <v>3898945</v>
      </c>
      <c r="H7117" s="7">
        <v>2419</v>
      </c>
      <c r="I7117" s="7">
        <v>758</v>
      </c>
      <c r="J7117" s="7">
        <v>0</v>
      </c>
      <c r="K7117" s="7" t="s">
        <v>18</v>
      </c>
      <c r="L7117" s="8">
        <v>39987.315405092595</v>
      </c>
      <c r="M7117" s="9" t="s">
        <v>19</v>
      </c>
      <c r="N7117" s="9" t="s">
        <v>20</v>
      </c>
      <c r="O7117" s="6" t="str">
        <f>HYPERLINK("https://pbs.twimg.com/profile_images/962471262747529216/Uo8lOkRJ_normal.jpg","View")</f>
        <v>View</v>
      </c>
      <c r="P7117" s="7"/>
    </row>
    <row r="7118" spans="1:16">
      <c r="A7118" s="3">
        <v>44015.267754629633</v>
      </c>
      <c r="B7118" s="4" t="str">
        <f>HYPERLINK("https://twitter.com/petrogustavo","@petrogustavo")</f>
        <v>@petrogustavo</v>
      </c>
      <c r="C7118" s="5" t="s">
        <v>16</v>
      </c>
      <c r="D7118" s="5" t="s">
        <v>6889</v>
      </c>
      <c r="E7118" s="6" t="str">
        <f>HYPERLINK("https://twitter.com/petrogustavo/status/1278854864878161920","1278854864878161920")</f>
        <v>1278854864878161920</v>
      </c>
      <c r="F7118" s="7" t="s">
        <v>32</v>
      </c>
      <c r="G7118" s="7">
        <v>3898945</v>
      </c>
      <c r="H7118" s="7">
        <v>2419</v>
      </c>
      <c r="I7118" s="7">
        <v>19</v>
      </c>
      <c r="J7118" s="7">
        <v>0</v>
      </c>
      <c r="K7118" s="7" t="s">
        <v>18</v>
      </c>
      <c r="L7118" s="8">
        <v>39987.315405092595</v>
      </c>
      <c r="M7118" s="9" t="s">
        <v>19</v>
      </c>
      <c r="N7118" s="9" t="s">
        <v>20</v>
      </c>
      <c r="O7118" s="6" t="str">
        <f>HYPERLINK("https://pbs.twimg.com/profile_images/962471262747529216/Uo8lOkRJ_normal.jpg","View")</f>
        <v>View</v>
      </c>
      <c r="P7118" s="7"/>
    </row>
    <row r="7119" spans="1:16">
      <c r="A7119" s="3">
        <v>44015.26966435185</v>
      </c>
      <c r="B7119" s="4" t="str">
        <f>HYPERLINK("https://twitter.com/petrogustavo","@petrogustavo")</f>
        <v>@petrogustavo</v>
      </c>
      <c r="C7119" s="5" t="s">
        <v>16</v>
      </c>
      <c r="D7119" s="5" t="s">
        <v>6890</v>
      </c>
      <c r="E7119" s="6" t="str">
        <f>HYPERLINK("https://twitter.com/petrogustavo/status/1278855559329058817","1278855559329058817")</f>
        <v>1278855559329058817</v>
      </c>
      <c r="F7119" s="7" t="s">
        <v>32</v>
      </c>
      <c r="G7119" s="7">
        <v>3898945</v>
      </c>
      <c r="H7119" s="7">
        <v>2419</v>
      </c>
      <c r="I7119" s="7">
        <v>73</v>
      </c>
      <c r="J7119" s="7">
        <v>0</v>
      </c>
      <c r="K7119" s="7" t="s">
        <v>18</v>
      </c>
      <c r="L7119" s="8">
        <v>39987.315405092595</v>
      </c>
      <c r="M7119" s="9" t="s">
        <v>19</v>
      </c>
      <c r="N7119" s="9" t="s">
        <v>20</v>
      </c>
      <c r="O7119" s="6" t="str">
        <f>HYPERLINK("https://pbs.twimg.com/profile_images/962471262747529216/Uo8lOkRJ_normal.jpg","View")</f>
        <v>View</v>
      </c>
      <c r="P7119" s="7"/>
    </row>
    <row r="7120" spans="1:16">
      <c r="A7120" s="3">
        <v>44015.280787037038</v>
      </c>
      <c r="B7120" s="4" t="str">
        <f>HYPERLINK("https://twitter.com/petrogustavo","@petrogustavo")</f>
        <v>@petrogustavo</v>
      </c>
      <c r="C7120" s="5" t="s">
        <v>16</v>
      </c>
      <c r="D7120" s="5" t="s">
        <v>6884</v>
      </c>
      <c r="E7120" s="6" t="str">
        <f>HYPERLINK("https://twitter.com/petrogustavo/status/1278859588893396998","1278859588893396998")</f>
        <v>1278859588893396998</v>
      </c>
      <c r="F7120" s="7" t="s">
        <v>32</v>
      </c>
      <c r="G7120" s="7">
        <v>3898945</v>
      </c>
      <c r="H7120" s="7">
        <v>2419</v>
      </c>
      <c r="I7120" s="7">
        <v>4677</v>
      </c>
      <c r="J7120" s="7">
        <v>0</v>
      </c>
      <c r="K7120" s="7" t="s">
        <v>18</v>
      </c>
      <c r="L7120" s="8">
        <v>39987.315405092595</v>
      </c>
      <c r="M7120" s="9" t="s">
        <v>19</v>
      </c>
      <c r="N7120" s="9" t="s">
        <v>20</v>
      </c>
      <c r="O7120" s="6" t="str">
        <f>HYPERLINK("https://pbs.twimg.com/profile_images/962471262747529216/Uo8lOkRJ_normal.jpg","View")</f>
        <v>View</v>
      </c>
      <c r="P7120" s="7"/>
    </row>
    <row r="7121" spans="1:16">
      <c r="A7121" s="3">
        <v>44015.297893518524</v>
      </c>
      <c r="B7121" s="4" t="str">
        <f>HYPERLINK("https://twitter.com/petrogustavo","@petrogustavo")</f>
        <v>@petrogustavo</v>
      </c>
      <c r="C7121" s="5" t="s">
        <v>16</v>
      </c>
      <c r="D7121" s="5" t="s">
        <v>6891</v>
      </c>
      <c r="E7121" s="6" t="str">
        <f>HYPERLINK("https://twitter.com/petrogustavo/status/1278865787114139650","1278865787114139650")</f>
        <v>1278865787114139650</v>
      </c>
      <c r="F7121" s="7" t="s">
        <v>32</v>
      </c>
      <c r="G7121" s="7">
        <v>3898965</v>
      </c>
      <c r="H7121" s="7">
        <v>2419</v>
      </c>
      <c r="I7121" s="7">
        <v>75</v>
      </c>
      <c r="J7121" s="7">
        <v>186</v>
      </c>
      <c r="K7121" s="7" t="s">
        <v>18</v>
      </c>
      <c r="L7121" s="8">
        <v>39987.315405092595</v>
      </c>
      <c r="M7121" s="9" t="s">
        <v>19</v>
      </c>
      <c r="N7121" s="9" t="s">
        <v>20</v>
      </c>
      <c r="O7121" s="6" t="str">
        <f>HYPERLINK("https://pbs.twimg.com/profile_images/962471262747529216/Uo8lOkRJ_normal.jpg","View")</f>
        <v>View</v>
      </c>
      <c r="P7121" s="7"/>
    </row>
    <row r="7122" spans="1:16">
      <c r="A7122" s="3">
        <v>44015.298113425924</v>
      </c>
      <c r="B7122" s="4" t="str">
        <f>HYPERLINK("https://twitter.com/petrogustavo","@petrogustavo")</f>
        <v>@petrogustavo</v>
      </c>
      <c r="C7122" s="5" t="s">
        <v>16</v>
      </c>
      <c r="D7122" s="5" t="s">
        <v>6884</v>
      </c>
      <c r="E7122" s="6" t="str">
        <f>HYPERLINK("https://twitter.com/petrogustavo/status/1278865866050768896","1278865866050768896")</f>
        <v>1278865866050768896</v>
      </c>
      <c r="F7122" s="7" t="s">
        <v>32</v>
      </c>
      <c r="G7122" s="7">
        <v>3898965</v>
      </c>
      <c r="H7122" s="7">
        <v>2419</v>
      </c>
      <c r="I7122" s="7">
        <v>4963</v>
      </c>
      <c r="J7122" s="7">
        <v>0</v>
      </c>
      <c r="K7122" s="7" t="s">
        <v>18</v>
      </c>
      <c r="L7122" s="8">
        <v>39987.315405092595</v>
      </c>
      <c r="M7122" s="9" t="s">
        <v>19</v>
      </c>
      <c r="N7122" s="9" t="s">
        <v>20</v>
      </c>
      <c r="O7122" s="6" t="str">
        <f>HYPERLINK("https://pbs.twimg.com/profile_images/962471262747529216/Uo8lOkRJ_normal.jpg","View")</f>
        <v>View</v>
      </c>
      <c r="P7122" s="7"/>
    </row>
    <row r="7123" spans="1:16">
      <c r="A7123" s="3">
        <v>44015.763749999998</v>
      </c>
      <c r="B7123" s="4" t="str">
        <f>HYPERLINK("https://twitter.com/petrogustavo","@petrogustavo")</f>
        <v>@petrogustavo</v>
      </c>
      <c r="C7123" s="5" t="s">
        <v>16</v>
      </c>
      <c r="D7123" s="5" t="s">
        <v>6892</v>
      </c>
      <c r="E7123" s="6" t="str">
        <f>HYPERLINK("https://twitter.com/petrogustavo/status/1279034607959228418","1279034607959228418")</f>
        <v>1279034607959228418</v>
      </c>
      <c r="F7123" s="7" t="s">
        <v>17</v>
      </c>
      <c r="G7123" s="7">
        <v>3899153</v>
      </c>
      <c r="H7123" s="7">
        <v>2419</v>
      </c>
      <c r="I7123" s="7">
        <v>51</v>
      </c>
      <c r="J7123" s="7">
        <v>0</v>
      </c>
      <c r="K7123" s="7" t="s">
        <v>18</v>
      </c>
      <c r="L7123" s="8">
        <v>39987.315405092595</v>
      </c>
      <c r="M7123" s="9" t="s">
        <v>19</v>
      </c>
      <c r="N7123" s="9" t="s">
        <v>20</v>
      </c>
      <c r="O7123" s="6" t="str">
        <f>HYPERLINK("https://pbs.twimg.com/profile_images/962471262747529216/Uo8lOkRJ_normal.jpg","View")</f>
        <v>View</v>
      </c>
      <c r="P7123" s="7"/>
    </row>
    <row r="7124" spans="1:16">
      <c r="A7124" s="3">
        <v>44015.76525462963</v>
      </c>
      <c r="B7124" s="4" t="str">
        <f>HYPERLINK("https://twitter.com/petrogustavo","@petrogustavo")</f>
        <v>@petrogustavo</v>
      </c>
      <c r="C7124" s="5" t="s">
        <v>16</v>
      </c>
      <c r="D7124" s="5" t="s">
        <v>6893</v>
      </c>
      <c r="E7124" s="6" t="str">
        <f>HYPERLINK("https://twitter.com/petrogustavo/status/1279035153462018048","1279035153462018048")</f>
        <v>1279035153462018048</v>
      </c>
      <c r="F7124" s="7" t="s">
        <v>17</v>
      </c>
      <c r="G7124" s="7">
        <v>3899153</v>
      </c>
      <c r="H7124" s="7">
        <v>2419</v>
      </c>
      <c r="I7124" s="7">
        <v>266</v>
      </c>
      <c r="J7124" s="7">
        <v>473</v>
      </c>
      <c r="K7124" s="7" t="s">
        <v>18</v>
      </c>
      <c r="L7124" s="8">
        <v>39987.315405092595</v>
      </c>
      <c r="M7124" s="9" t="s">
        <v>19</v>
      </c>
      <c r="N7124" s="9" t="s">
        <v>20</v>
      </c>
      <c r="O7124" s="6" t="str">
        <f>HYPERLINK("https://pbs.twimg.com/profile_images/962471262747529216/Uo8lOkRJ_normal.jpg","View")</f>
        <v>View</v>
      </c>
      <c r="P7124" s="7"/>
    </row>
    <row r="7125" spans="1:16">
      <c r="A7125" s="3">
        <v>44015.783506944441</v>
      </c>
      <c r="B7125" s="4" t="str">
        <f>HYPERLINK("https://twitter.com/petrogustavo","@petrogustavo")</f>
        <v>@petrogustavo</v>
      </c>
      <c r="C7125" s="5" t="s">
        <v>16</v>
      </c>
      <c r="D7125" s="5" t="s">
        <v>6894</v>
      </c>
      <c r="E7125" s="6" t="str">
        <f>HYPERLINK("https://twitter.com/petrogustavo/status/1279041768114262017","1279041768114262017")</f>
        <v>1279041768114262017</v>
      </c>
      <c r="F7125" s="7" t="s">
        <v>17</v>
      </c>
      <c r="G7125" s="7">
        <v>3899175</v>
      </c>
      <c r="H7125" s="7">
        <v>2419</v>
      </c>
      <c r="I7125" s="7">
        <v>33</v>
      </c>
      <c r="J7125" s="7">
        <v>0</v>
      </c>
      <c r="K7125" s="7" t="s">
        <v>18</v>
      </c>
      <c r="L7125" s="8">
        <v>39987.315405092595</v>
      </c>
      <c r="M7125" s="9" t="s">
        <v>19</v>
      </c>
      <c r="N7125" s="9" t="s">
        <v>20</v>
      </c>
      <c r="O7125" s="6" t="str">
        <f>HYPERLINK("https://pbs.twimg.com/profile_images/962471262747529216/Uo8lOkRJ_normal.jpg","View")</f>
        <v>View</v>
      </c>
      <c r="P7125" s="7"/>
    </row>
    <row r="7126" spans="1:16">
      <c r="A7126" s="3">
        <v>44015.785671296297</v>
      </c>
      <c r="B7126" s="4" t="str">
        <f>HYPERLINK("https://twitter.com/petrogustavo","@petrogustavo")</f>
        <v>@petrogustavo</v>
      </c>
      <c r="C7126" s="5" t="s">
        <v>16</v>
      </c>
      <c r="D7126" s="5" t="s">
        <v>6895</v>
      </c>
      <c r="E7126" s="6" t="str">
        <f>HYPERLINK("https://twitter.com/petrogustavo/status/1279042552755359745","1279042552755359745")</f>
        <v>1279042552755359745</v>
      </c>
      <c r="F7126" s="7" t="s">
        <v>17</v>
      </c>
      <c r="G7126" s="7">
        <v>3899175</v>
      </c>
      <c r="H7126" s="7">
        <v>2419</v>
      </c>
      <c r="I7126" s="7">
        <v>310</v>
      </c>
      <c r="J7126" s="7">
        <v>845</v>
      </c>
      <c r="K7126" s="7" t="s">
        <v>18</v>
      </c>
      <c r="L7126" s="8">
        <v>39987.315405092595</v>
      </c>
      <c r="M7126" s="9" t="s">
        <v>19</v>
      </c>
      <c r="N7126" s="9" t="s">
        <v>20</v>
      </c>
      <c r="O7126" s="6" t="str">
        <f>HYPERLINK("https://pbs.twimg.com/profile_images/962471262747529216/Uo8lOkRJ_normal.jpg","View")</f>
        <v>View</v>
      </c>
      <c r="P7126" s="7"/>
    </row>
    <row r="7127" spans="1:16">
      <c r="A7127" s="3">
        <v>44015.88349537037</v>
      </c>
      <c r="B7127" s="4" t="str">
        <f>HYPERLINK("https://twitter.com/petrogustavo","@petrogustavo")</f>
        <v>@petrogustavo</v>
      </c>
      <c r="C7127" s="5" t="s">
        <v>16</v>
      </c>
      <c r="D7127" s="5" t="s">
        <v>6896</v>
      </c>
      <c r="E7127" s="6" t="str">
        <f>HYPERLINK("https://twitter.com/petrogustavo/status/1279078002752737283","1279078002752737283")</f>
        <v>1279078002752737283</v>
      </c>
      <c r="F7127" s="7" t="s">
        <v>17</v>
      </c>
      <c r="G7127" s="7">
        <v>3899277</v>
      </c>
      <c r="H7127" s="7">
        <v>2419</v>
      </c>
      <c r="I7127" s="7">
        <v>770</v>
      </c>
      <c r="J7127" s="7">
        <v>0</v>
      </c>
      <c r="K7127" s="7" t="s">
        <v>18</v>
      </c>
      <c r="L7127" s="8">
        <v>39987.315405092595</v>
      </c>
      <c r="M7127" s="9" t="s">
        <v>19</v>
      </c>
      <c r="N7127" s="9" t="s">
        <v>20</v>
      </c>
      <c r="O7127" s="6" t="str">
        <f>HYPERLINK("https://pbs.twimg.com/profile_images/962471262747529216/Uo8lOkRJ_normal.jpg","View")</f>
        <v>View</v>
      </c>
      <c r="P7127" s="7"/>
    </row>
    <row r="7128" spans="1:16">
      <c r="A7128" s="3">
        <v>44015.920393518521</v>
      </c>
      <c r="B7128" s="4" t="str">
        <f>HYPERLINK("https://twitter.com/petrogustavo","@petrogustavo")</f>
        <v>@petrogustavo</v>
      </c>
      <c r="C7128" s="5" t="s">
        <v>16</v>
      </c>
      <c r="D7128" s="5" t="s">
        <v>6897</v>
      </c>
      <c r="E7128" s="6" t="str">
        <f>HYPERLINK("https://twitter.com/petrogustavo/status/1279091373904400385","1279091373904400385")</f>
        <v>1279091373904400385</v>
      </c>
      <c r="F7128" s="7" t="s">
        <v>32</v>
      </c>
      <c r="G7128" s="7">
        <v>3899305</v>
      </c>
      <c r="H7128" s="7">
        <v>2420</v>
      </c>
      <c r="I7128" s="7">
        <v>73</v>
      </c>
      <c r="J7128" s="7">
        <v>0</v>
      </c>
      <c r="K7128" s="7" t="s">
        <v>18</v>
      </c>
      <c r="L7128" s="8">
        <v>39987.315405092595</v>
      </c>
      <c r="M7128" s="9" t="s">
        <v>19</v>
      </c>
      <c r="N7128" s="9" t="s">
        <v>20</v>
      </c>
      <c r="O7128" s="6" t="str">
        <f>HYPERLINK("https://pbs.twimg.com/profile_images/962471262747529216/Uo8lOkRJ_normal.jpg","View")</f>
        <v>View</v>
      </c>
      <c r="P7128" s="7"/>
    </row>
    <row r="7129" spans="1:16">
      <c r="A7129" s="3">
        <v>44015.921724537038</v>
      </c>
      <c r="B7129" s="4" t="str">
        <f>HYPERLINK("https://twitter.com/petrogustavo","@petrogustavo")</f>
        <v>@petrogustavo</v>
      </c>
      <c r="C7129" s="5" t="s">
        <v>16</v>
      </c>
      <c r="D7129" s="5" t="s">
        <v>6898</v>
      </c>
      <c r="E7129" s="6" t="str">
        <f>HYPERLINK("https://twitter.com/petrogustavo/status/1279091856136159232","1279091856136159232")</f>
        <v>1279091856136159232</v>
      </c>
      <c r="F7129" s="7" t="s">
        <v>17</v>
      </c>
      <c r="G7129" s="7">
        <v>3899305</v>
      </c>
      <c r="H7129" s="7">
        <v>2420</v>
      </c>
      <c r="I7129" s="7">
        <v>29</v>
      </c>
      <c r="J7129" s="7">
        <v>83</v>
      </c>
      <c r="K7129" s="7" t="s">
        <v>18</v>
      </c>
      <c r="L7129" s="8">
        <v>39987.315405092595</v>
      </c>
      <c r="M7129" s="9" t="s">
        <v>19</v>
      </c>
      <c r="N7129" s="9" t="s">
        <v>20</v>
      </c>
      <c r="O7129" s="6" t="str">
        <f>HYPERLINK("https://pbs.twimg.com/profile_images/962471262747529216/Uo8lOkRJ_normal.jpg","View")</f>
        <v>View</v>
      </c>
      <c r="P7129" s="7"/>
    </row>
    <row r="7130" spans="1:16">
      <c r="A7130" s="3">
        <v>44015.96157407407</v>
      </c>
      <c r="B7130" s="4" t="str">
        <f>HYPERLINK("https://twitter.com/petrogustavo","@petrogustavo")</f>
        <v>@petrogustavo</v>
      </c>
      <c r="C7130" s="5" t="s">
        <v>16</v>
      </c>
      <c r="D7130" s="5" t="s">
        <v>6899</v>
      </c>
      <c r="E7130" s="6" t="str">
        <f>HYPERLINK("https://twitter.com/petrogustavo/status/1279106296097263616","1279106296097263616")</f>
        <v>1279106296097263616</v>
      </c>
      <c r="F7130" s="7" t="s">
        <v>17</v>
      </c>
      <c r="G7130" s="7">
        <v>3899362</v>
      </c>
      <c r="H7130" s="7">
        <v>2420</v>
      </c>
      <c r="I7130" s="7">
        <v>166</v>
      </c>
      <c r="J7130" s="7">
        <v>339</v>
      </c>
      <c r="K7130" s="7" t="s">
        <v>18</v>
      </c>
      <c r="L7130" s="8">
        <v>39987.315405092595</v>
      </c>
      <c r="M7130" s="9" t="s">
        <v>19</v>
      </c>
      <c r="N7130" s="9" t="s">
        <v>20</v>
      </c>
      <c r="O7130" s="6" t="str">
        <f>HYPERLINK("https://pbs.twimg.com/profile_images/962471262747529216/Uo8lOkRJ_normal.jpg","View")</f>
        <v>View</v>
      </c>
      <c r="P7130" s="7"/>
    </row>
    <row r="7131" spans="1:16">
      <c r="A7131" s="3">
        <v>44016.022974537038</v>
      </c>
      <c r="B7131" s="4" t="str">
        <f>HYPERLINK("https://twitter.com/petrogustavo","@petrogustavo")</f>
        <v>@petrogustavo</v>
      </c>
      <c r="C7131" s="5" t="s">
        <v>16</v>
      </c>
      <c r="D7131" s="5" t="s">
        <v>6900</v>
      </c>
      <c r="E7131" s="6" t="str">
        <f>HYPERLINK("https://twitter.com/petrogustavo/status/1279128548708663298","1279128548708663298")</f>
        <v>1279128548708663298</v>
      </c>
      <c r="F7131" s="7" t="s">
        <v>17</v>
      </c>
      <c r="G7131" s="7">
        <v>3899426</v>
      </c>
      <c r="H7131" s="7">
        <v>2420</v>
      </c>
      <c r="I7131" s="7">
        <v>595</v>
      </c>
      <c r="J7131" s="7">
        <v>0</v>
      </c>
      <c r="K7131" s="7" t="s">
        <v>18</v>
      </c>
      <c r="L7131" s="8">
        <v>39987.315405092595</v>
      </c>
      <c r="M7131" s="9" t="s">
        <v>19</v>
      </c>
      <c r="N7131" s="9" t="s">
        <v>20</v>
      </c>
      <c r="O7131" s="6" t="str">
        <f>HYPERLINK("https://pbs.twimg.com/profile_images/962471262747529216/Uo8lOkRJ_normal.jpg","View")</f>
        <v>View</v>
      </c>
      <c r="P7131" s="7"/>
    </row>
    <row r="7132" spans="1:16">
      <c r="A7132" s="3">
        <v>44016.037673611107</v>
      </c>
      <c r="B7132" s="4" t="str">
        <f>HYPERLINK("https://twitter.com/petrogustavo","@petrogustavo")</f>
        <v>@petrogustavo</v>
      </c>
      <c r="C7132" s="5" t="s">
        <v>16</v>
      </c>
      <c r="D7132" s="5" t="s">
        <v>6901</v>
      </c>
      <c r="E7132" s="6" t="str">
        <f>HYPERLINK("https://twitter.com/petrogustavo/status/1279133875474661377","1279133875474661377")</f>
        <v>1279133875474661377</v>
      </c>
      <c r="F7132" s="7" t="s">
        <v>32</v>
      </c>
      <c r="G7132" s="7">
        <v>3899450</v>
      </c>
      <c r="H7132" s="7">
        <v>2420</v>
      </c>
      <c r="I7132" s="7">
        <v>63</v>
      </c>
      <c r="J7132" s="7">
        <v>0</v>
      </c>
      <c r="K7132" s="7" t="s">
        <v>18</v>
      </c>
      <c r="L7132" s="8">
        <v>39987.315405092595</v>
      </c>
      <c r="M7132" s="9" t="s">
        <v>19</v>
      </c>
      <c r="N7132" s="9" t="s">
        <v>20</v>
      </c>
      <c r="O7132" s="6" t="str">
        <f>HYPERLINK("https://pbs.twimg.com/profile_images/962471262747529216/Uo8lOkRJ_normal.jpg","View")</f>
        <v>View</v>
      </c>
      <c r="P7132" s="7"/>
    </row>
    <row r="7133" spans="1:16">
      <c r="A7133" s="3">
        <v>44016.045555555553</v>
      </c>
      <c r="B7133" s="4" t="str">
        <f>HYPERLINK("https://twitter.com/petrogustavo","@petrogustavo")</f>
        <v>@petrogustavo</v>
      </c>
      <c r="C7133" s="5" t="s">
        <v>16</v>
      </c>
      <c r="D7133" s="5" t="s">
        <v>6902</v>
      </c>
      <c r="E7133" s="6" t="str">
        <f>HYPERLINK("https://twitter.com/petrogustavo/status/1279136729044340737","1279136729044340737")</f>
        <v>1279136729044340737</v>
      </c>
      <c r="F7133" s="7" t="s">
        <v>32</v>
      </c>
      <c r="G7133" s="7">
        <v>3899450</v>
      </c>
      <c r="H7133" s="7">
        <v>2420</v>
      </c>
      <c r="I7133" s="7">
        <v>178</v>
      </c>
      <c r="J7133" s="7">
        <v>0</v>
      </c>
      <c r="K7133" s="7" t="s">
        <v>18</v>
      </c>
      <c r="L7133" s="8">
        <v>39987.315405092595</v>
      </c>
      <c r="M7133" s="9" t="s">
        <v>19</v>
      </c>
      <c r="N7133" s="9" t="s">
        <v>20</v>
      </c>
      <c r="O7133" s="6" t="str">
        <f>HYPERLINK("https://pbs.twimg.com/profile_images/962471262747529216/Uo8lOkRJ_normal.jpg","View")</f>
        <v>View</v>
      </c>
      <c r="P7133" s="7"/>
    </row>
    <row r="7134" spans="1:16">
      <c r="A7134" s="3">
        <v>44016.04650462963</v>
      </c>
      <c r="B7134" s="4" t="str">
        <f>HYPERLINK("https://twitter.com/petrogustavo","@petrogustavo")</f>
        <v>@petrogustavo</v>
      </c>
      <c r="C7134" s="5" t="s">
        <v>16</v>
      </c>
      <c r="D7134" s="5" t="s">
        <v>6903</v>
      </c>
      <c r="E7134" s="6" t="str">
        <f>HYPERLINK("https://twitter.com/petrogustavo/status/1279137076546621442","1279137076546621442")</f>
        <v>1279137076546621442</v>
      </c>
      <c r="F7134" s="7" t="s">
        <v>32</v>
      </c>
      <c r="G7134" s="7">
        <v>3899450</v>
      </c>
      <c r="H7134" s="7">
        <v>2420</v>
      </c>
      <c r="I7134" s="7">
        <v>73</v>
      </c>
      <c r="J7134" s="7">
        <v>0</v>
      </c>
      <c r="K7134" s="7" t="s">
        <v>18</v>
      </c>
      <c r="L7134" s="8">
        <v>39987.315405092595</v>
      </c>
      <c r="M7134" s="9" t="s">
        <v>19</v>
      </c>
      <c r="N7134" s="9" t="s">
        <v>20</v>
      </c>
      <c r="O7134" s="6" t="str">
        <f>HYPERLINK("https://pbs.twimg.com/profile_images/962471262747529216/Uo8lOkRJ_normal.jpg","View")</f>
        <v>View</v>
      </c>
      <c r="P7134" s="7"/>
    </row>
    <row r="7135" spans="1:16">
      <c r="A7135" s="3">
        <v>44016.046655092592</v>
      </c>
      <c r="B7135" s="4" t="str">
        <f>HYPERLINK("https://twitter.com/petrogustavo","@petrogustavo")</f>
        <v>@petrogustavo</v>
      </c>
      <c r="C7135" s="5" t="s">
        <v>16</v>
      </c>
      <c r="D7135" s="5" t="s">
        <v>6904</v>
      </c>
      <c r="E7135" s="6" t="str">
        <f>HYPERLINK("https://twitter.com/petrogustavo/status/1279137130732826625","1279137130732826625")</f>
        <v>1279137130732826625</v>
      </c>
      <c r="F7135" s="7" t="s">
        <v>32</v>
      </c>
      <c r="G7135" s="7">
        <v>3899450</v>
      </c>
      <c r="H7135" s="7">
        <v>2420</v>
      </c>
      <c r="I7135" s="7">
        <v>14</v>
      </c>
      <c r="J7135" s="7">
        <v>0</v>
      </c>
      <c r="K7135" s="7" t="s">
        <v>18</v>
      </c>
      <c r="L7135" s="8">
        <v>39987.315405092595</v>
      </c>
      <c r="M7135" s="9" t="s">
        <v>19</v>
      </c>
      <c r="N7135" s="9" t="s">
        <v>20</v>
      </c>
      <c r="O7135" s="6" t="str">
        <f>HYPERLINK("https://pbs.twimg.com/profile_images/962471262747529216/Uo8lOkRJ_normal.jpg","View")</f>
        <v>View</v>
      </c>
      <c r="P7135" s="7"/>
    </row>
    <row r="7136" spans="1:16">
      <c r="A7136" s="3">
        <v>44016.047256944439</v>
      </c>
      <c r="B7136" s="4" t="str">
        <f>HYPERLINK("https://twitter.com/petrogustavo","@petrogustavo")</f>
        <v>@petrogustavo</v>
      </c>
      <c r="C7136" s="5" t="s">
        <v>16</v>
      </c>
      <c r="D7136" s="5" t="s">
        <v>6905</v>
      </c>
      <c r="E7136" s="6" t="str">
        <f>HYPERLINK("https://twitter.com/petrogustavo/status/1279137348446543872","1279137348446543872")</f>
        <v>1279137348446543872</v>
      </c>
      <c r="F7136" s="7" t="s">
        <v>32</v>
      </c>
      <c r="G7136" s="7">
        <v>3899450</v>
      </c>
      <c r="H7136" s="7">
        <v>2420</v>
      </c>
      <c r="I7136" s="7">
        <v>28</v>
      </c>
      <c r="J7136" s="7">
        <v>0</v>
      </c>
      <c r="K7136" s="7" t="s">
        <v>18</v>
      </c>
      <c r="L7136" s="8">
        <v>39987.315405092595</v>
      </c>
      <c r="M7136" s="9" t="s">
        <v>19</v>
      </c>
      <c r="N7136" s="9" t="s">
        <v>20</v>
      </c>
      <c r="O7136" s="6" t="str">
        <f>HYPERLINK("https://pbs.twimg.com/profile_images/962471262747529216/Uo8lOkRJ_normal.jpg","View")</f>
        <v>View</v>
      </c>
      <c r="P7136" s="7"/>
    </row>
    <row r="7137" spans="1:16">
      <c r="A7137" s="3">
        <v>44016.054259259261</v>
      </c>
      <c r="B7137" s="4" t="str">
        <f>HYPERLINK("https://twitter.com/petrogustavo","@petrogustavo")</f>
        <v>@petrogustavo</v>
      </c>
      <c r="C7137" s="5" t="s">
        <v>16</v>
      </c>
      <c r="D7137" s="5" t="s">
        <v>6906</v>
      </c>
      <c r="E7137" s="6" t="str">
        <f>HYPERLINK("https://twitter.com/petrogustavo/status/1279139884050141184","1279139884050141184")</f>
        <v>1279139884050141184</v>
      </c>
      <c r="F7137" s="7" t="s">
        <v>32</v>
      </c>
      <c r="G7137" s="7">
        <v>3899450</v>
      </c>
      <c r="H7137" s="7">
        <v>2420</v>
      </c>
      <c r="I7137" s="7">
        <v>0</v>
      </c>
      <c r="J7137" s="7">
        <v>0</v>
      </c>
      <c r="K7137" s="7" t="s">
        <v>18</v>
      </c>
      <c r="L7137" s="8">
        <v>39987.315405092595</v>
      </c>
      <c r="M7137" s="9" t="s">
        <v>19</v>
      </c>
      <c r="N7137" s="9" t="s">
        <v>20</v>
      </c>
      <c r="O7137" s="6" t="str">
        <f>HYPERLINK("https://pbs.twimg.com/profile_images/962471262747529216/Uo8lOkRJ_normal.jpg","View")</f>
        <v>View</v>
      </c>
      <c r="P7137" s="7"/>
    </row>
    <row r="7138" spans="1:16">
      <c r="A7138" s="3">
        <v>44016.055335648147</v>
      </c>
      <c r="B7138" s="4" t="str">
        <f>HYPERLINK("https://twitter.com/petrogustavo","@petrogustavo")</f>
        <v>@petrogustavo</v>
      </c>
      <c r="C7138" s="5" t="s">
        <v>16</v>
      </c>
      <c r="D7138" s="5" t="s">
        <v>6907</v>
      </c>
      <c r="E7138" s="6" t="str">
        <f>HYPERLINK("https://twitter.com/petrogustavo/status/1279140276934791169","1279140276934791169")</f>
        <v>1279140276934791169</v>
      </c>
      <c r="F7138" s="7" t="s">
        <v>32</v>
      </c>
      <c r="G7138" s="7">
        <v>3899465</v>
      </c>
      <c r="H7138" s="7">
        <v>2420</v>
      </c>
      <c r="I7138" s="7">
        <v>154</v>
      </c>
      <c r="J7138" s="7">
        <v>0</v>
      </c>
      <c r="K7138" s="7" t="s">
        <v>18</v>
      </c>
      <c r="L7138" s="8">
        <v>39987.315405092595</v>
      </c>
      <c r="M7138" s="9" t="s">
        <v>19</v>
      </c>
      <c r="N7138" s="9" t="s">
        <v>20</v>
      </c>
      <c r="O7138" s="6" t="str">
        <f>HYPERLINK("https://pbs.twimg.com/profile_images/962471262747529216/Uo8lOkRJ_normal.jpg","View")</f>
        <v>View</v>
      </c>
      <c r="P7138" s="7"/>
    </row>
    <row r="7139" spans="1:16">
      <c r="A7139" s="3">
        <v>44016.060601851852</v>
      </c>
      <c r="B7139" s="4" t="str">
        <f>HYPERLINK("https://twitter.com/petrogustavo","@petrogustavo")</f>
        <v>@petrogustavo</v>
      </c>
      <c r="C7139" s="5" t="s">
        <v>16</v>
      </c>
      <c r="D7139" s="5" t="s">
        <v>6908</v>
      </c>
      <c r="E7139" s="6" t="str">
        <f>HYPERLINK("https://twitter.com/petrogustavo/status/1279142182507642880","1279142182507642880")</f>
        <v>1279142182507642880</v>
      </c>
      <c r="F7139" s="7" t="s">
        <v>32</v>
      </c>
      <c r="G7139" s="7">
        <v>3899465</v>
      </c>
      <c r="H7139" s="7">
        <v>2420</v>
      </c>
      <c r="I7139" s="7">
        <v>170</v>
      </c>
      <c r="J7139" s="7">
        <v>0</v>
      </c>
      <c r="K7139" s="7" t="s">
        <v>18</v>
      </c>
      <c r="L7139" s="8">
        <v>39987.315405092595</v>
      </c>
      <c r="M7139" s="9" t="s">
        <v>19</v>
      </c>
      <c r="N7139" s="9" t="s">
        <v>20</v>
      </c>
      <c r="O7139" s="6" t="str">
        <f>HYPERLINK("https://pbs.twimg.com/profile_images/962471262747529216/Uo8lOkRJ_normal.jpg","View")</f>
        <v>View</v>
      </c>
      <c r="P7139" s="7"/>
    </row>
    <row r="7140" spans="1:16">
      <c r="A7140" s="3">
        <v>44016.061956018515</v>
      </c>
      <c r="B7140" s="4" t="str">
        <f>HYPERLINK("https://twitter.com/petrogustavo","@petrogustavo")</f>
        <v>@petrogustavo</v>
      </c>
      <c r="C7140" s="5" t="s">
        <v>16</v>
      </c>
      <c r="D7140" s="5" t="s">
        <v>6909</v>
      </c>
      <c r="E7140" s="6" t="str">
        <f>HYPERLINK("https://twitter.com/petrogustavo/status/1279142673140629505","1279142673140629505")</f>
        <v>1279142673140629505</v>
      </c>
      <c r="F7140" s="7" t="s">
        <v>32</v>
      </c>
      <c r="G7140" s="7">
        <v>3899465</v>
      </c>
      <c r="H7140" s="7">
        <v>2420</v>
      </c>
      <c r="I7140" s="7">
        <v>347</v>
      </c>
      <c r="J7140" s="7">
        <v>0</v>
      </c>
      <c r="K7140" s="7" t="s">
        <v>18</v>
      </c>
      <c r="L7140" s="8">
        <v>39987.315405092595</v>
      </c>
      <c r="M7140" s="9" t="s">
        <v>19</v>
      </c>
      <c r="N7140" s="9" t="s">
        <v>20</v>
      </c>
      <c r="O7140" s="6" t="str">
        <f>HYPERLINK("https://pbs.twimg.com/profile_images/962471262747529216/Uo8lOkRJ_normal.jpg","View")</f>
        <v>View</v>
      </c>
      <c r="P7140" s="7"/>
    </row>
    <row r="7141" spans="1:16">
      <c r="A7141" s="3">
        <v>44016.077835648146</v>
      </c>
      <c r="B7141" s="4" t="str">
        <f>HYPERLINK("https://twitter.com/petrogustavo","@petrogustavo")</f>
        <v>@petrogustavo</v>
      </c>
      <c r="C7141" s="5" t="s">
        <v>16</v>
      </c>
      <c r="D7141" s="5" t="s">
        <v>6910</v>
      </c>
      <c r="E7141" s="6" t="str">
        <f>HYPERLINK("https://twitter.com/petrogustavo/status/1279148427780202497","1279148427780202497")</f>
        <v>1279148427780202497</v>
      </c>
      <c r="F7141" s="7" t="s">
        <v>32</v>
      </c>
      <c r="G7141" s="7">
        <v>3899480</v>
      </c>
      <c r="H7141" s="7">
        <v>2420</v>
      </c>
      <c r="I7141" s="7">
        <v>497</v>
      </c>
      <c r="J7141" s="7">
        <v>1459</v>
      </c>
      <c r="K7141" s="7" t="s">
        <v>18</v>
      </c>
      <c r="L7141" s="8">
        <v>39987.315405092595</v>
      </c>
      <c r="M7141" s="9" t="s">
        <v>19</v>
      </c>
      <c r="N7141" s="9" t="s">
        <v>20</v>
      </c>
      <c r="O7141" s="6" t="str">
        <f>HYPERLINK("https://pbs.twimg.com/profile_images/962471262747529216/Uo8lOkRJ_normal.jpg","View")</f>
        <v>View</v>
      </c>
      <c r="P7141" s="7"/>
    </row>
    <row r="7142" spans="1:16">
      <c r="A7142" s="3">
        <v>44016.087060185186</v>
      </c>
      <c r="B7142" s="4" t="str">
        <f>HYPERLINK("https://twitter.com/petrogustavo","@petrogustavo")</f>
        <v>@petrogustavo</v>
      </c>
      <c r="C7142" s="5" t="s">
        <v>16</v>
      </c>
      <c r="D7142" s="5" t="s">
        <v>6911</v>
      </c>
      <c r="E7142" s="6" t="str">
        <f>HYPERLINK("https://twitter.com/petrogustavo/status/1279151770082697216","1279151770082697216")</f>
        <v>1279151770082697216</v>
      </c>
      <c r="F7142" s="7" t="s">
        <v>32</v>
      </c>
      <c r="G7142" s="7">
        <v>3899480</v>
      </c>
      <c r="H7142" s="7">
        <v>2420</v>
      </c>
      <c r="I7142" s="7">
        <v>93</v>
      </c>
      <c r="J7142" s="7">
        <v>197</v>
      </c>
      <c r="K7142" s="7" t="s">
        <v>18</v>
      </c>
      <c r="L7142" s="8">
        <v>39987.315405092595</v>
      </c>
      <c r="M7142" s="9" t="s">
        <v>19</v>
      </c>
      <c r="N7142" s="9" t="s">
        <v>20</v>
      </c>
      <c r="O7142" s="6" t="str">
        <f>HYPERLINK("https://pbs.twimg.com/profile_images/962471262747529216/Uo8lOkRJ_normal.jpg","View")</f>
        <v>View</v>
      </c>
      <c r="P7142" s="7"/>
    </row>
    <row r="7143" spans="1:16">
      <c r="A7143" s="3">
        <v>44016.088587962964</v>
      </c>
      <c r="B7143" s="4" t="str">
        <f>HYPERLINK("https://twitter.com/petrogustavo","@petrogustavo")</f>
        <v>@petrogustavo</v>
      </c>
      <c r="C7143" s="5" t="s">
        <v>16</v>
      </c>
      <c r="D7143" s="5" t="s">
        <v>6884</v>
      </c>
      <c r="E7143" s="6" t="str">
        <f>HYPERLINK("https://twitter.com/petrogustavo/status/1279152327006597125","1279152327006597125")</f>
        <v>1279152327006597125</v>
      </c>
      <c r="F7143" s="7" t="s">
        <v>32</v>
      </c>
      <c r="G7143" s="7">
        <v>3899480</v>
      </c>
      <c r="H7143" s="7">
        <v>2420</v>
      </c>
      <c r="I7143" s="7">
        <v>7981</v>
      </c>
      <c r="J7143" s="7">
        <v>0</v>
      </c>
      <c r="K7143" s="7" t="s">
        <v>18</v>
      </c>
      <c r="L7143" s="8">
        <v>39987.315405092595</v>
      </c>
      <c r="M7143" s="9" t="s">
        <v>19</v>
      </c>
      <c r="N7143" s="9" t="s">
        <v>20</v>
      </c>
      <c r="O7143" s="6" t="str">
        <f>HYPERLINK("https://pbs.twimg.com/profile_images/962471262747529216/Uo8lOkRJ_normal.jpg","View")</f>
        <v>View</v>
      </c>
      <c r="P7143" s="7"/>
    </row>
    <row r="7144" spans="1:16">
      <c r="A7144" s="3">
        <v>44016.242835648147</v>
      </c>
      <c r="B7144" s="4" t="str">
        <f>HYPERLINK("https://twitter.com/petrogustavo","@petrogustavo")</f>
        <v>@petrogustavo</v>
      </c>
      <c r="C7144" s="5" t="s">
        <v>16</v>
      </c>
      <c r="D7144" s="5" t="s">
        <v>6912</v>
      </c>
      <c r="E7144" s="6" t="str">
        <f>HYPERLINK("https://twitter.com/petrogustavo/status/1279208222889586692","1279208222889586692")</f>
        <v>1279208222889586692</v>
      </c>
      <c r="F7144" s="7" t="s">
        <v>17</v>
      </c>
      <c r="G7144" s="7">
        <v>3899608</v>
      </c>
      <c r="H7144" s="7">
        <v>2420</v>
      </c>
      <c r="I7144" s="7">
        <v>373</v>
      </c>
      <c r="J7144" s="7">
        <v>0</v>
      </c>
      <c r="K7144" s="7" t="s">
        <v>18</v>
      </c>
      <c r="L7144" s="8">
        <v>39987.315405092595</v>
      </c>
      <c r="M7144" s="9" t="s">
        <v>19</v>
      </c>
      <c r="N7144" s="9" t="s">
        <v>20</v>
      </c>
      <c r="O7144" s="6" t="str">
        <f>HYPERLINK("https://pbs.twimg.com/profile_images/962471262747529216/Uo8lOkRJ_normal.jpg","View")</f>
        <v>View</v>
      </c>
      <c r="P7144" s="7"/>
    </row>
    <row r="7145" spans="1:16">
      <c r="A7145" s="3">
        <v>44016.310729166667</v>
      </c>
      <c r="B7145" s="4" t="str">
        <f>HYPERLINK("https://twitter.com/petrogustavo","@petrogustavo")</f>
        <v>@petrogustavo</v>
      </c>
      <c r="C7145" s="5" t="s">
        <v>16</v>
      </c>
      <c r="D7145" s="5" t="s">
        <v>6913</v>
      </c>
      <c r="E7145" s="6" t="str">
        <f>HYPERLINK("https://twitter.com/petrogustavo/status/1279232824441176064","1279232824441176064")</f>
        <v>1279232824441176064</v>
      </c>
      <c r="F7145" s="7" t="s">
        <v>32</v>
      </c>
      <c r="G7145" s="7">
        <v>3899670</v>
      </c>
      <c r="H7145" s="7">
        <v>2420</v>
      </c>
      <c r="I7145" s="7">
        <v>63</v>
      </c>
      <c r="J7145" s="7">
        <v>0</v>
      </c>
      <c r="K7145" s="7" t="s">
        <v>18</v>
      </c>
      <c r="L7145" s="8">
        <v>39987.315405092595</v>
      </c>
      <c r="M7145" s="9" t="s">
        <v>19</v>
      </c>
      <c r="N7145" s="9" t="s">
        <v>20</v>
      </c>
      <c r="O7145" s="6" t="str">
        <f>HYPERLINK("https://pbs.twimg.com/profile_images/962471262747529216/Uo8lOkRJ_normal.jpg","View")</f>
        <v>View</v>
      </c>
      <c r="P7145" s="7"/>
    </row>
    <row r="7146" spans="1:16">
      <c r="A7146" s="3">
        <v>44016.311458333337</v>
      </c>
      <c r="B7146" s="4" t="str">
        <f>HYPERLINK("https://twitter.com/petrogustavo","@petrogustavo")</f>
        <v>@petrogustavo</v>
      </c>
      <c r="C7146" s="5" t="s">
        <v>16</v>
      </c>
      <c r="D7146" s="5" t="s">
        <v>6914</v>
      </c>
      <c r="E7146" s="6" t="str">
        <f>HYPERLINK("https://twitter.com/petrogustavo/status/1279233091295379456","1279233091295379456")</f>
        <v>1279233091295379456</v>
      </c>
      <c r="F7146" s="7" t="s">
        <v>32</v>
      </c>
      <c r="G7146" s="7">
        <v>3899670</v>
      </c>
      <c r="H7146" s="7">
        <v>2420</v>
      </c>
      <c r="I7146" s="7">
        <v>93</v>
      </c>
      <c r="J7146" s="7">
        <v>0</v>
      </c>
      <c r="K7146" s="7" t="s">
        <v>18</v>
      </c>
      <c r="L7146" s="8">
        <v>39987.315405092595</v>
      </c>
      <c r="M7146" s="9" t="s">
        <v>19</v>
      </c>
      <c r="N7146" s="9" t="s">
        <v>20</v>
      </c>
      <c r="O7146" s="6" t="str">
        <f>HYPERLINK("https://pbs.twimg.com/profile_images/962471262747529216/Uo8lOkRJ_normal.jpg","View")</f>
        <v>View</v>
      </c>
      <c r="P7146" s="7"/>
    </row>
    <row r="7147" spans="1:16">
      <c r="A7147" s="3">
        <v>44016.31313657407</v>
      </c>
      <c r="B7147" s="4" t="str">
        <f>HYPERLINK("https://twitter.com/petrogustavo","@petrogustavo")</f>
        <v>@petrogustavo</v>
      </c>
      <c r="C7147" s="5" t="s">
        <v>16</v>
      </c>
      <c r="D7147" s="5" t="s">
        <v>6915</v>
      </c>
      <c r="E7147" s="6" t="str">
        <f>HYPERLINK("https://twitter.com/petrogustavo/status/1279233699775733762","1279233699775733762")</f>
        <v>1279233699775733762</v>
      </c>
      <c r="F7147" s="7" t="s">
        <v>21</v>
      </c>
      <c r="G7147" s="7">
        <v>3899670</v>
      </c>
      <c r="H7147" s="7">
        <v>2420</v>
      </c>
      <c r="I7147" s="7">
        <v>77</v>
      </c>
      <c r="J7147" s="7">
        <v>177</v>
      </c>
      <c r="K7147" s="7" t="s">
        <v>18</v>
      </c>
      <c r="L7147" s="8">
        <v>39987.315405092595</v>
      </c>
      <c r="M7147" s="9" t="s">
        <v>19</v>
      </c>
      <c r="N7147" s="9" t="s">
        <v>20</v>
      </c>
      <c r="O7147" s="6" t="str">
        <f>HYPERLINK("https://pbs.twimg.com/profile_images/962471262747529216/Uo8lOkRJ_normal.jpg","View")</f>
        <v>View</v>
      </c>
      <c r="P7147" s="7"/>
    </row>
    <row r="7148" spans="1:16">
      <c r="A7148" s="3">
        <v>44016.313807870371</v>
      </c>
      <c r="B7148" s="4" t="str">
        <f>HYPERLINK("https://twitter.com/petrogustavo","@petrogustavo")</f>
        <v>@petrogustavo</v>
      </c>
      <c r="C7148" s="5" t="s">
        <v>16</v>
      </c>
      <c r="D7148" s="5" t="s">
        <v>6916</v>
      </c>
      <c r="E7148" s="6" t="str">
        <f>HYPERLINK("https://twitter.com/petrogustavo/status/1279233943573803013","1279233943573803013")</f>
        <v>1279233943573803013</v>
      </c>
      <c r="F7148" s="7" t="s">
        <v>21</v>
      </c>
      <c r="G7148" s="7">
        <v>3899670</v>
      </c>
      <c r="H7148" s="7">
        <v>2420</v>
      </c>
      <c r="I7148" s="7">
        <v>86</v>
      </c>
      <c r="J7148" s="7">
        <v>189</v>
      </c>
      <c r="K7148" s="7" t="s">
        <v>18</v>
      </c>
      <c r="L7148" s="8">
        <v>39987.315405092595</v>
      </c>
      <c r="M7148" s="9" t="s">
        <v>19</v>
      </c>
      <c r="N7148" s="9" t="s">
        <v>20</v>
      </c>
      <c r="O7148" s="6" t="str">
        <f>HYPERLINK("https://pbs.twimg.com/profile_images/962471262747529216/Uo8lOkRJ_normal.jpg","View")</f>
        <v>View</v>
      </c>
      <c r="P7148" s="7"/>
    </row>
    <row r="7149" spans="1:16">
      <c r="A7149" s="3">
        <v>44016.781666666662</v>
      </c>
      <c r="B7149" s="4" t="str">
        <f>HYPERLINK("https://twitter.com/petrogustavo","@petrogustavo")</f>
        <v>@petrogustavo</v>
      </c>
      <c r="C7149" s="5" t="s">
        <v>16</v>
      </c>
      <c r="D7149" s="5" t="s">
        <v>6917</v>
      </c>
      <c r="E7149" s="6" t="str">
        <f>HYPERLINK("https://twitter.com/petrogustavo/status/1279403489920258048","1279403489920258048")</f>
        <v>1279403489920258048</v>
      </c>
      <c r="F7149" s="7" t="s">
        <v>17</v>
      </c>
      <c r="G7149" s="7">
        <v>3899818</v>
      </c>
      <c r="H7149" s="7">
        <v>2419</v>
      </c>
      <c r="I7149" s="7">
        <v>13</v>
      </c>
      <c r="J7149" s="7">
        <v>36</v>
      </c>
      <c r="K7149" s="7" t="s">
        <v>18</v>
      </c>
      <c r="L7149" s="8">
        <v>39987.315405092595</v>
      </c>
      <c r="M7149" s="9" t="s">
        <v>19</v>
      </c>
      <c r="N7149" s="9" t="s">
        <v>20</v>
      </c>
      <c r="O7149" s="6" t="str">
        <f>HYPERLINK("https://pbs.twimg.com/profile_images/962471262747529216/Uo8lOkRJ_normal.jpg","View")</f>
        <v>View</v>
      </c>
      <c r="P7149" s="7"/>
    </row>
    <row r="7150" spans="1:16">
      <c r="A7150" s="3">
        <v>44016.781921296293</v>
      </c>
      <c r="B7150" s="4" t="str">
        <f>HYPERLINK("https://twitter.com/petrogustavo","@petrogustavo")</f>
        <v>@petrogustavo</v>
      </c>
      <c r="C7150" s="5" t="s">
        <v>16</v>
      </c>
      <c r="D7150" s="5" t="s">
        <v>6918</v>
      </c>
      <c r="E7150" s="6" t="str">
        <f>HYPERLINK("https://twitter.com/petrogustavo/status/1279403581427367936","1279403581427367936")</f>
        <v>1279403581427367936</v>
      </c>
      <c r="F7150" s="7" t="s">
        <v>17</v>
      </c>
      <c r="G7150" s="7">
        <v>3899818</v>
      </c>
      <c r="H7150" s="7">
        <v>2419</v>
      </c>
      <c r="I7150" s="7">
        <v>10</v>
      </c>
      <c r="J7150" s="7">
        <v>0</v>
      </c>
      <c r="K7150" s="7" t="s">
        <v>18</v>
      </c>
      <c r="L7150" s="8">
        <v>39987.315405092595</v>
      </c>
      <c r="M7150" s="9" t="s">
        <v>19</v>
      </c>
      <c r="N7150" s="9" t="s">
        <v>20</v>
      </c>
      <c r="O7150" s="6" t="str">
        <f>HYPERLINK("https://pbs.twimg.com/profile_images/962471262747529216/Uo8lOkRJ_normal.jpg","View")</f>
        <v>View</v>
      </c>
      <c r="P7150" s="7"/>
    </row>
    <row r="7151" spans="1:16">
      <c r="A7151" s="3">
        <v>44016.784131944441</v>
      </c>
      <c r="B7151" s="4" t="str">
        <f>HYPERLINK("https://twitter.com/petrogustavo","@petrogustavo")</f>
        <v>@petrogustavo</v>
      </c>
      <c r="C7151" s="5" t="s">
        <v>16</v>
      </c>
      <c r="D7151" s="5" t="s">
        <v>6919</v>
      </c>
      <c r="E7151" s="6" t="str">
        <f>HYPERLINK("https://twitter.com/petrogustavo/status/1279404381058797568","1279404381058797568")</f>
        <v>1279404381058797568</v>
      </c>
      <c r="F7151" s="7" t="s">
        <v>17</v>
      </c>
      <c r="G7151" s="7">
        <v>3899836</v>
      </c>
      <c r="H7151" s="7">
        <v>2419</v>
      </c>
      <c r="I7151" s="7">
        <v>102</v>
      </c>
      <c r="J7151" s="7">
        <v>202</v>
      </c>
      <c r="K7151" s="7" t="s">
        <v>18</v>
      </c>
      <c r="L7151" s="8">
        <v>39987.315405092595</v>
      </c>
      <c r="M7151" s="9" t="s">
        <v>19</v>
      </c>
      <c r="N7151" s="9" t="s">
        <v>20</v>
      </c>
      <c r="O7151" s="6" t="str">
        <f>HYPERLINK("https://pbs.twimg.com/profile_images/962471262747529216/Uo8lOkRJ_normal.jpg","View")</f>
        <v>View</v>
      </c>
      <c r="P7151" s="7"/>
    </row>
    <row r="7152" spans="1:16">
      <c r="A7152" s="3">
        <v>44016.787627314814</v>
      </c>
      <c r="B7152" s="4" t="str">
        <f>HYPERLINK("https://twitter.com/petrogustavo","@petrogustavo")</f>
        <v>@petrogustavo</v>
      </c>
      <c r="C7152" s="5" t="s">
        <v>16</v>
      </c>
      <c r="D7152" s="5" t="s">
        <v>6920</v>
      </c>
      <c r="E7152" s="6" t="str">
        <f>HYPERLINK("https://twitter.com/petrogustavo/status/1279405648787181568","1279405648787181568")</f>
        <v>1279405648787181568</v>
      </c>
      <c r="F7152" s="7" t="s">
        <v>17</v>
      </c>
      <c r="G7152" s="7">
        <v>3899836</v>
      </c>
      <c r="H7152" s="7">
        <v>2419</v>
      </c>
      <c r="I7152" s="7">
        <v>170</v>
      </c>
      <c r="J7152" s="7">
        <v>448</v>
      </c>
      <c r="K7152" s="7" t="s">
        <v>18</v>
      </c>
      <c r="L7152" s="8">
        <v>39987.315405092595</v>
      </c>
      <c r="M7152" s="9" t="s">
        <v>19</v>
      </c>
      <c r="N7152" s="9" t="s">
        <v>20</v>
      </c>
      <c r="O7152" s="6" t="str">
        <f>HYPERLINK("https://pbs.twimg.com/profile_images/962471262747529216/Uo8lOkRJ_normal.jpg","View")</f>
        <v>View</v>
      </c>
      <c r="P7152" s="7"/>
    </row>
    <row r="7153" spans="1:16">
      <c r="A7153" s="3">
        <v>44016.789259259254</v>
      </c>
      <c r="B7153" s="4" t="str">
        <f>HYPERLINK("https://twitter.com/petrogustavo","@petrogustavo")</f>
        <v>@petrogustavo</v>
      </c>
      <c r="C7153" s="5" t="s">
        <v>16</v>
      </c>
      <c r="D7153" s="5" t="s">
        <v>6921</v>
      </c>
      <c r="E7153" s="6" t="str">
        <f>HYPERLINK("https://twitter.com/petrogustavo/status/1279406241643728898","1279406241643728898")</f>
        <v>1279406241643728898</v>
      </c>
      <c r="F7153" s="7" t="s">
        <v>17</v>
      </c>
      <c r="G7153" s="7">
        <v>3899836</v>
      </c>
      <c r="H7153" s="7">
        <v>2419</v>
      </c>
      <c r="I7153" s="7">
        <v>117</v>
      </c>
      <c r="J7153" s="7">
        <v>327</v>
      </c>
      <c r="K7153" s="7" t="s">
        <v>18</v>
      </c>
      <c r="L7153" s="8">
        <v>39987.315405092595</v>
      </c>
      <c r="M7153" s="9" t="s">
        <v>19</v>
      </c>
      <c r="N7153" s="9" t="s">
        <v>20</v>
      </c>
      <c r="O7153" s="6" t="str">
        <f>HYPERLINK("https://pbs.twimg.com/profile_images/962471262747529216/Uo8lOkRJ_normal.jpg","View")</f>
        <v>View</v>
      </c>
      <c r="P7153" s="7"/>
    </row>
    <row r="7154" spans="1:16">
      <c r="A7154" s="3">
        <v>44016.791076388894</v>
      </c>
      <c r="B7154" s="4" t="str">
        <f>HYPERLINK("https://twitter.com/petrogustavo","@petrogustavo")</f>
        <v>@petrogustavo</v>
      </c>
      <c r="C7154" s="5" t="s">
        <v>16</v>
      </c>
      <c r="D7154" s="5" t="s">
        <v>6922</v>
      </c>
      <c r="E7154" s="6" t="str">
        <f>HYPERLINK("https://twitter.com/petrogustavo/status/1279406900409491457","1279406900409491457")</f>
        <v>1279406900409491457</v>
      </c>
      <c r="F7154" s="7" t="s">
        <v>17</v>
      </c>
      <c r="G7154" s="7">
        <v>3899836</v>
      </c>
      <c r="H7154" s="7">
        <v>2419</v>
      </c>
      <c r="I7154" s="7">
        <v>75</v>
      </c>
      <c r="J7154" s="7">
        <v>197</v>
      </c>
      <c r="K7154" s="7" t="s">
        <v>18</v>
      </c>
      <c r="L7154" s="8">
        <v>39987.315405092595</v>
      </c>
      <c r="M7154" s="9" t="s">
        <v>19</v>
      </c>
      <c r="N7154" s="9" t="s">
        <v>20</v>
      </c>
      <c r="O7154" s="6" t="str">
        <f>HYPERLINK("https://pbs.twimg.com/profile_images/962471262747529216/Uo8lOkRJ_normal.jpg","View")</f>
        <v>View</v>
      </c>
      <c r="P7154" s="7"/>
    </row>
    <row r="7155" spans="1:16">
      <c r="A7155" s="3">
        <v>44016.792222222226</v>
      </c>
      <c r="B7155" s="4" t="str">
        <f>HYPERLINK("https://twitter.com/petrogustavo","@petrogustavo")</f>
        <v>@petrogustavo</v>
      </c>
      <c r="C7155" s="5" t="s">
        <v>16</v>
      </c>
      <c r="D7155" s="5" t="s">
        <v>6923</v>
      </c>
      <c r="E7155" s="6" t="str">
        <f>HYPERLINK("https://twitter.com/petrogustavo/status/1279407313326047235","1279407313326047235")</f>
        <v>1279407313326047235</v>
      </c>
      <c r="F7155" s="7" t="s">
        <v>17</v>
      </c>
      <c r="G7155" s="7">
        <v>3899836</v>
      </c>
      <c r="H7155" s="7">
        <v>2419</v>
      </c>
      <c r="I7155" s="7">
        <v>45</v>
      </c>
      <c r="J7155" s="7">
        <v>104</v>
      </c>
      <c r="K7155" s="7" t="s">
        <v>18</v>
      </c>
      <c r="L7155" s="8">
        <v>39987.315405092595</v>
      </c>
      <c r="M7155" s="9" t="s">
        <v>19</v>
      </c>
      <c r="N7155" s="9" t="s">
        <v>20</v>
      </c>
      <c r="O7155" s="6" t="str">
        <f>HYPERLINK("https://pbs.twimg.com/profile_images/962471262747529216/Uo8lOkRJ_normal.jpg","View")</f>
        <v>View</v>
      </c>
      <c r="P7155" s="7"/>
    </row>
    <row r="7156" spans="1:16">
      <c r="A7156" s="3">
        <v>44016.794641203705</v>
      </c>
      <c r="B7156" s="4" t="str">
        <f>HYPERLINK("https://twitter.com/petrogustavo","@petrogustavo")</f>
        <v>@petrogustavo</v>
      </c>
      <c r="C7156" s="5" t="s">
        <v>16</v>
      </c>
      <c r="D7156" s="5" t="s">
        <v>6924</v>
      </c>
      <c r="E7156" s="6" t="str">
        <f>HYPERLINK("https://twitter.com/petrogustavo/status/1279408192171184129","1279408192171184129")</f>
        <v>1279408192171184129</v>
      </c>
      <c r="F7156" s="7" t="s">
        <v>17</v>
      </c>
      <c r="G7156" s="7">
        <v>3899836</v>
      </c>
      <c r="H7156" s="7">
        <v>2419</v>
      </c>
      <c r="I7156" s="7">
        <v>24</v>
      </c>
      <c r="J7156" s="7">
        <v>74</v>
      </c>
      <c r="K7156" s="7" t="s">
        <v>18</v>
      </c>
      <c r="L7156" s="8">
        <v>39987.315405092595</v>
      </c>
      <c r="M7156" s="9" t="s">
        <v>19</v>
      </c>
      <c r="N7156" s="9" t="s">
        <v>20</v>
      </c>
      <c r="O7156" s="6" t="str">
        <f>HYPERLINK("https://pbs.twimg.com/profile_images/962471262747529216/Uo8lOkRJ_normal.jpg","View")</f>
        <v>View</v>
      </c>
      <c r="P7156" s="7"/>
    </row>
    <row r="7157" spans="1:16">
      <c r="A7157" s="3">
        <v>44016.796365740738</v>
      </c>
      <c r="B7157" s="4" t="str">
        <f>HYPERLINK("https://twitter.com/petrogustavo","@petrogustavo")</f>
        <v>@petrogustavo</v>
      </c>
      <c r="C7157" s="5" t="s">
        <v>16</v>
      </c>
      <c r="D7157" s="5" t="s">
        <v>6925</v>
      </c>
      <c r="E7157" s="6" t="str">
        <f>HYPERLINK("https://twitter.com/petrogustavo/status/1279408816036163587","1279408816036163587")</f>
        <v>1279408816036163587</v>
      </c>
      <c r="F7157" s="7" t="s">
        <v>17</v>
      </c>
      <c r="G7157" s="7">
        <v>3899836</v>
      </c>
      <c r="H7157" s="7">
        <v>2419</v>
      </c>
      <c r="I7157" s="7">
        <v>23</v>
      </c>
      <c r="J7157" s="7">
        <v>65</v>
      </c>
      <c r="K7157" s="7" t="s">
        <v>18</v>
      </c>
      <c r="L7157" s="8">
        <v>39987.315405092595</v>
      </c>
      <c r="M7157" s="9" t="s">
        <v>19</v>
      </c>
      <c r="N7157" s="9" t="s">
        <v>20</v>
      </c>
      <c r="O7157" s="6" t="str">
        <f>HYPERLINK("https://pbs.twimg.com/profile_images/962471262747529216/Uo8lOkRJ_normal.jpg","View")</f>
        <v>View</v>
      </c>
      <c r="P7157" s="7"/>
    </row>
    <row r="7158" spans="1:16">
      <c r="A7158" s="3">
        <v>44016.798043981486</v>
      </c>
      <c r="B7158" s="4" t="str">
        <f>HYPERLINK("https://twitter.com/petrogustavo","@petrogustavo")</f>
        <v>@petrogustavo</v>
      </c>
      <c r="C7158" s="5" t="s">
        <v>16</v>
      </c>
      <c r="D7158" s="5" t="s">
        <v>6926</v>
      </c>
      <c r="E7158" s="6" t="str">
        <f>HYPERLINK("https://twitter.com/petrogustavo/status/1279409422117359618","1279409422117359618")</f>
        <v>1279409422117359618</v>
      </c>
      <c r="F7158" s="7" t="s">
        <v>17</v>
      </c>
      <c r="G7158" s="7">
        <v>3899836</v>
      </c>
      <c r="H7158" s="7">
        <v>2419</v>
      </c>
      <c r="I7158" s="7">
        <v>449</v>
      </c>
      <c r="J7158" s="7">
        <v>0</v>
      </c>
      <c r="K7158" s="7" t="s">
        <v>18</v>
      </c>
      <c r="L7158" s="8">
        <v>39987.315405092595</v>
      </c>
      <c r="M7158" s="9" t="s">
        <v>19</v>
      </c>
      <c r="N7158" s="9" t="s">
        <v>20</v>
      </c>
      <c r="O7158" s="6" t="str">
        <f>HYPERLINK("https://pbs.twimg.com/profile_images/962471262747529216/Uo8lOkRJ_normal.jpg","View")</f>
        <v>View</v>
      </c>
      <c r="P7158" s="7"/>
    </row>
    <row r="7159" spans="1:16">
      <c r="A7159" s="3">
        <v>44016.798090277778</v>
      </c>
      <c r="B7159" s="4" t="str">
        <f>HYPERLINK("https://twitter.com/petrogustavo","@petrogustavo")</f>
        <v>@petrogustavo</v>
      </c>
      <c r="C7159" s="5" t="s">
        <v>16</v>
      </c>
      <c r="D7159" s="5" t="s">
        <v>6926</v>
      </c>
      <c r="E7159" s="6" t="str">
        <f>HYPERLINK("https://twitter.com/petrogustavo/status/1279409441859919874","1279409441859919874")</f>
        <v>1279409441859919874</v>
      </c>
      <c r="F7159" s="7" t="s">
        <v>17</v>
      </c>
      <c r="G7159" s="7">
        <v>3899836</v>
      </c>
      <c r="H7159" s="7">
        <v>2419</v>
      </c>
      <c r="I7159" s="7">
        <v>526</v>
      </c>
      <c r="J7159" s="7">
        <v>0</v>
      </c>
      <c r="K7159" s="7" t="s">
        <v>18</v>
      </c>
      <c r="L7159" s="8">
        <v>39987.315405092595</v>
      </c>
      <c r="M7159" s="9" t="s">
        <v>19</v>
      </c>
      <c r="N7159" s="9" t="s">
        <v>20</v>
      </c>
      <c r="O7159" s="6" t="str">
        <f>HYPERLINK("https://pbs.twimg.com/profile_images/962471262747529216/Uo8lOkRJ_normal.jpg","View")</f>
        <v>View</v>
      </c>
      <c r="P7159" s="7"/>
    </row>
    <row r="7160" spans="1:16">
      <c r="A7160" s="3">
        <v>44016.822233796294</v>
      </c>
      <c r="B7160" s="4" t="str">
        <f>HYPERLINK("https://twitter.com/petrogustavo","@petrogustavo")</f>
        <v>@petrogustavo</v>
      </c>
      <c r="C7160" s="5" t="s">
        <v>16</v>
      </c>
      <c r="D7160" s="5" t="s">
        <v>6927</v>
      </c>
      <c r="E7160" s="6" t="str">
        <f>HYPERLINK("https://twitter.com/petrogustavo/status/1279418188883779584","1279418188883779584")</f>
        <v>1279418188883779584</v>
      </c>
      <c r="F7160" s="7" t="s">
        <v>17</v>
      </c>
      <c r="G7160" s="7">
        <v>3899849</v>
      </c>
      <c r="H7160" s="7">
        <v>2419</v>
      </c>
      <c r="I7160" s="7">
        <v>25</v>
      </c>
      <c r="J7160" s="7">
        <v>74</v>
      </c>
      <c r="K7160" s="7" t="s">
        <v>18</v>
      </c>
      <c r="L7160" s="8">
        <v>39987.315405092595</v>
      </c>
      <c r="M7160" s="9" t="s">
        <v>19</v>
      </c>
      <c r="N7160" s="9" t="s">
        <v>20</v>
      </c>
      <c r="O7160" s="6" t="str">
        <f>HYPERLINK("https://pbs.twimg.com/profile_images/962471262747529216/Uo8lOkRJ_normal.jpg","View")</f>
        <v>View</v>
      </c>
      <c r="P7160" s="7"/>
    </row>
    <row r="7161" spans="1:16">
      <c r="A7161" s="3">
        <v>44016.824108796296</v>
      </c>
      <c r="B7161" s="4" t="str">
        <f>HYPERLINK("https://twitter.com/petrogustavo","@petrogustavo")</f>
        <v>@petrogustavo</v>
      </c>
      <c r="C7161" s="5" t="s">
        <v>16</v>
      </c>
      <c r="D7161" s="5" t="s">
        <v>6928</v>
      </c>
      <c r="E7161" s="6" t="str">
        <f>HYPERLINK("https://twitter.com/petrogustavo/status/1279418867828359169","1279418867828359169")</f>
        <v>1279418867828359169</v>
      </c>
      <c r="F7161" s="7" t="s">
        <v>17</v>
      </c>
      <c r="G7161" s="7">
        <v>3899849</v>
      </c>
      <c r="H7161" s="7">
        <v>2419</v>
      </c>
      <c r="I7161" s="7">
        <v>12</v>
      </c>
      <c r="J7161" s="7">
        <v>18</v>
      </c>
      <c r="K7161" s="7" t="s">
        <v>18</v>
      </c>
      <c r="L7161" s="8">
        <v>39987.315405092595</v>
      </c>
      <c r="M7161" s="9" t="s">
        <v>19</v>
      </c>
      <c r="N7161" s="9" t="s">
        <v>20</v>
      </c>
      <c r="O7161" s="6" t="str">
        <f>HYPERLINK("https://pbs.twimg.com/profile_images/962471262747529216/Uo8lOkRJ_normal.jpg","View")</f>
        <v>View</v>
      </c>
      <c r="P7161" s="7"/>
    </row>
    <row r="7162" spans="1:16">
      <c r="A7162" s="3">
        <v>44016.824675925927</v>
      </c>
      <c r="B7162" s="4" t="str">
        <f>HYPERLINK("https://twitter.com/petrogustavo","@petrogustavo")</f>
        <v>@petrogustavo</v>
      </c>
      <c r="C7162" s="5" t="s">
        <v>16</v>
      </c>
      <c r="D7162" s="5" t="s">
        <v>6929</v>
      </c>
      <c r="E7162" s="6" t="str">
        <f>HYPERLINK("https://twitter.com/petrogustavo/status/1279419076633415683","1279419076633415683")</f>
        <v>1279419076633415683</v>
      </c>
      <c r="F7162" s="7" t="s">
        <v>17</v>
      </c>
      <c r="G7162" s="7">
        <v>3899849</v>
      </c>
      <c r="H7162" s="7">
        <v>2419</v>
      </c>
      <c r="I7162" s="7">
        <v>17</v>
      </c>
      <c r="J7162" s="7">
        <v>0</v>
      </c>
      <c r="K7162" s="7" t="s">
        <v>18</v>
      </c>
      <c r="L7162" s="8">
        <v>39987.315405092595</v>
      </c>
      <c r="M7162" s="9" t="s">
        <v>19</v>
      </c>
      <c r="N7162" s="9" t="s">
        <v>20</v>
      </c>
      <c r="O7162" s="6" t="str">
        <f>HYPERLINK("https://pbs.twimg.com/profile_images/962471262747529216/Uo8lOkRJ_normal.jpg","View")</f>
        <v>View</v>
      </c>
      <c r="P7162" s="7"/>
    </row>
    <row r="7163" spans="1:16">
      <c r="A7163" s="3">
        <v>44016.828877314816</v>
      </c>
      <c r="B7163" s="4" t="str">
        <f>HYPERLINK("https://twitter.com/petrogustavo","@petrogustavo")</f>
        <v>@petrogustavo</v>
      </c>
      <c r="C7163" s="5" t="s">
        <v>16</v>
      </c>
      <c r="D7163" s="5" t="s">
        <v>6930</v>
      </c>
      <c r="E7163" s="6" t="str">
        <f>HYPERLINK("https://twitter.com/petrogustavo/status/1279420598184284160","1279420598184284160")</f>
        <v>1279420598184284160</v>
      </c>
      <c r="F7163" s="7" t="s">
        <v>17</v>
      </c>
      <c r="G7163" s="7">
        <v>3899843</v>
      </c>
      <c r="H7163" s="7">
        <v>2419</v>
      </c>
      <c r="I7163" s="7">
        <v>154</v>
      </c>
      <c r="J7163" s="7">
        <v>367</v>
      </c>
      <c r="K7163" s="7" t="s">
        <v>18</v>
      </c>
      <c r="L7163" s="8">
        <v>39987.315405092595</v>
      </c>
      <c r="M7163" s="9" t="s">
        <v>19</v>
      </c>
      <c r="N7163" s="9" t="s">
        <v>20</v>
      </c>
      <c r="O7163" s="6" t="str">
        <f>HYPERLINK("https://pbs.twimg.com/profile_images/962471262747529216/Uo8lOkRJ_normal.jpg","View")</f>
        <v>View</v>
      </c>
      <c r="P7163" s="7"/>
    </row>
    <row r="7164" spans="1:16">
      <c r="A7164" s="3">
        <v>44016.840370370366</v>
      </c>
      <c r="B7164" s="4" t="str">
        <f>HYPERLINK("https://twitter.com/petrogustavo","@petrogustavo")</f>
        <v>@petrogustavo</v>
      </c>
      <c r="C7164" s="5" t="s">
        <v>16</v>
      </c>
      <c r="D7164" s="5" t="s">
        <v>6931</v>
      </c>
      <c r="E7164" s="6" t="str">
        <f>HYPERLINK("https://twitter.com/petrogustavo/status/1279424761290989568","1279424761290989568")</f>
        <v>1279424761290989568</v>
      </c>
      <c r="F7164" s="7" t="s">
        <v>32</v>
      </c>
      <c r="G7164" s="7">
        <v>3899843</v>
      </c>
      <c r="H7164" s="7">
        <v>2419</v>
      </c>
      <c r="I7164" s="7">
        <v>28</v>
      </c>
      <c r="J7164" s="7">
        <v>0</v>
      </c>
      <c r="K7164" s="7" t="s">
        <v>18</v>
      </c>
      <c r="L7164" s="8">
        <v>39987.315405092595</v>
      </c>
      <c r="M7164" s="9" t="s">
        <v>19</v>
      </c>
      <c r="N7164" s="9" t="s">
        <v>20</v>
      </c>
      <c r="O7164" s="6" t="str">
        <f>HYPERLINK("https://pbs.twimg.com/profile_images/962471262747529216/Uo8lOkRJ_normal.jpg","View")</f>
        <v>View</v>
      </c>
      <c r="P7164" s="7"/>
    </row>
    <row r="7165" spans="1:16">
      <c r="A7165" s="3">
        <v>44016.843993055554</v>
      </c>
      <c r="B7165" s="4" t="str">
        <f>HYPERLINK("https://twitter.com/petrogustavo","@petrogustavo")</f>
        <v>@petrogustavo</v>
      </c>
      <c r="C7165" s="5" t="s">
        <v>16</v>
      </c>
      <c r="D7165" s="5" t="s">
        <v>6932</v>
      </c>
      <c r="E7165" s="6" t="str">
        <f>HYPERLINK("https://twitter.com/petrogustavo/status/1279426073319669761","1279426073319669761")</f>
        <v>1279426073319669761</v>
      </c>
      <c r="F7165" s="7" t="s">
        <v>32</v>
      </c>
      <c r="G7165" s="7">
        <v>3899843</v>
      </c>
      <c r="H7165" s="7">
        <v>2419</v>
      </c>
      <c r="I7165" s="7">
        <v>21</v>
      </c>
      <c r="J7165" s="7">
        <v>52</v>
      </c>
      <c r="K7165" s="7" t="s">
        <v>18</v>
      </c>
      <c r="L7165" s="8">
        <v>39987.315405092595</v>
      </c>
      <c r="M7165" s="9" t="s">
        <v>19</v>
      </c>
      <c r="N7165" s="9" t="s">
        <v>20</v>
      </c>
      <c r="O7165" s="6" t="str">
        <f>HYPERLINK("https://pbs.twimg.com/profile_images/962471262747529216/Uo8lOkRJ_normal.jpg","View")</f>
        <v>View</v>
      </c>
      <c r="P7165" s="7"/>
    </row>
    <row r="7166" spans="1:16">
      <c r="A7166" s="3">
        <v>44016.851817129631</v>
      </c>
      <c r="B7166" s="4" t="str">
        <f>HYPERLINK("https://twitter.com/petrogustavo","@petrogustavo")</f>
        <v>@petrogustavo</v>
      </c>
      <c r="C7166" s="5" t="s">
        <v>16</v>
      </c>
      <c r="D7166" s="5" t="s">
        <v>6933</v>
      </c>
      <c r="E7166" s="6" t="str">
        <f>HYPERLINK("https://twitter.com/petrogustavo/status/1279428909390389249","1279428909390389249")</f>
        <v>1279428909390389249</v>
      </c>
      <c r="F7166" s="7" t="s">
        <v>32</v>
      </c>
      <c r="G7166" s="7">
        <v>3899862</v>
      </c>
      <c r="H7166" s="7">
        <v>2419</v>
      </c>
      <c r="I7166" s="7">
        <v>105</v>
      </c>
      <c r="J7166" s="7">
        <v>206</v>
      </c>
      <c r="K7166" s="7" t="s">
        <v>18</v>
      </c>
      <c r="L7166" s="8">
        <v>39987.315405092595</v>
      </c>
      <c r="M7166" s="9" t="s">
        <v>19</v>
      </c>
      <c r="N7166" s="9" t="s">
        <v>20</v>
      </c>
      <c r="O7166" s="6" t="str">
        <f>HYPERLINK("https://pbs.twimg.com/profile_images/962471262747529216/Uo8lOkRJ_normal.jpg","View")</f>
        <v>View</v>
      </c>
      <c r="P7166" s="7"/>
    </row>
    <row r="7167" spans="1:16">
      <c r="A7167" s="3">
        <v>44016.852465277778</v>
      </c>
      <c r="B7167" s="4" t="str">
        <f>HYPERLINK("https://twitter.com/petrogustavo","@petrogustavo")</f>
        <v>@petrogustavo</v>
      </c>
      <c r="C7167" s="5" t="s">
        <v>16</v>
      </c>
      <c r="D7167" s="5" t="s">
        <v>6934</v>
      </c>
      <c r="E7167" s="6" t="str">
        <f>HYPERLINK("https://twitter.com/petrogustavo/status/1279429146595246081","1279429146595246081")</f>
        <v>1279429146595246081</v>
      </c>
      <c r="F7167" s="7" t="s">
        <v>32</v>
      </c>
      <c r="G7167" s="7">
        <v>3899862</v>
      </c>
      <c r="H7167" s="7">
        <v>2419</v>
      </c>
      <c r="I7167" s="7">
        <v>46</v>
      </c>
      <c r="J7167" s="7">
        <v>0</v>
      </c>
      <c r="K7167" s="7" t="s">
        <v>18</v>
      </c>
      <c r="L7167" s="8">
        <v>39987.315405092595</v>
      </c>
      <c r="M7167" s="9" t="s">
        <v>19</v>
      </c>
      <c r="N7167" s="9" t="s">
        <v>20</v>
      </c>
      <c r="O7167" s="6" t="str">
        <f>HYPERLINK("https://pbs.twimg.com/profile_images/962471262747529216/Uo8lOkRJ_normal.jpg","View")</f>
        <v>View</v>
      </c>
      <c r="P7167" s="7"/>
    </row>
    <row r="7168" spans="1:16">
      <c r="A7168" s="3">
        <v>44016.858831018515</v>
      </c>
      <c r="B7168" s="4" t="str">
        <f>HYPERLINK("https://twitter.com/petrogustavo","@petrogustavo")</f>
        <v>@petrogustavo</v>
      </c>
      <c r="C7168" s="5" t="s">
        <v>16</v>
      </c>
      <c r="D7168" s="5" t="s">
        <v>6935</v>
      </c>
      <c r="E7168" s="6" t="str">
        <f>HYPERLINK("https://twitter.com/petrogustavo/status/1279431452757803008","1279431452757803008")</f>
        <v>1279431452757803008</v>
      </c>
      <c r="F7168" s="7" t="s">
        <v>32</v>
      </c>
      <c r="G7168" s="7">
        <v>3899862</v>
      </c>
      <c r="H7168" s="7">
        <v>2419</v>
      </c>
      <c r="I7168" s="7">
        <v>72</v>
      </c>
      <c r="J7168" s="7">
        <v>141</v>
      </c>
      <c r="K7168" s="7" t="s">
        <v>18</v>
      </c>
      <c r="L7168" s="8">
        <v>39987.315405092595</v>
      </c>
      <c r="M7168" s="9" t="s">
        <v>19</v>
      </c>
      <c r="N7168" s="9" t="s">
        <v>20</v>
      </c>
      <c r="O7168" s="6" t="str">
        <f>HYPERLINK("https://pbs.twimg.com/profile_images/962471262747529216/Uo8lOkRJ_normal.jpg","View")</f>
        <v>View</v>
      </c>
      <c r="P7168" s="7"/>
    </row>
    <row r="7169" spans="1:16">
      <c r="A7169" s="3">
        <v>44016.859317129631</v>
      </c>
      <c r="B7169" s="4" t="str">
        <f>HYPERLINK("https://twitter.com/petrogustavo","@petrogustavo")</f>
        <v>@petrogustavo</v>
      </c>
      <c r="C7169" s="5" t="s">
        <v>16</v>
      </c>
      <c r="D7169" s="5" t="s">
        <v>6936</v>
      </c>
      <c r="E7169" s="6" t="str">
        <f>HYPERLINK("https://twitter.com/petrogustavo/status/1279431627660242945","1279431627660242945")</f>
        <v>1279431627660242945</v>
      </c>
      <c r="F7169" s="7" t="s">
        <v>32</v>
      </c>
      <c r="G7169" s="7">
        <v>3899862</v>
      </c>
      <c r="H7169" s="7">
        <v>2419</v>
      </c>
      <c r="I7169" s="7">
        <v>34</v>
      </c>
      <c r="J7169" s="7">
        <v>0</v>
      </c>
      <c r="K7169" s="7" t="s">
        <v>18</v>
      </c>
      <c r="L7169" s="8">
        <v>39987.315405092595</v>
      </c>
      <c r="M7169" s="9" t="s">
        <v>19</v>
      </c>
      <c r="N7169" s="9" t="s">
        <v>20</v>
      </c>
      <c r="O7169" s="6" t="str">
        <f>HYPERLINK("https://pbs.twimg.com/profile_images/962471262747529216/Uo8lOkRJ_normal.jpg","View")</f>
        <v>View</v>
      </c>
      <c r="P7169" s="7"/>
    </row>
    <row r="7170" spans="1:16">
      <c r="A7170" s="3">
        <v>44016.8596412037</v>
      </c>
      <c r="B7170" s="4" t="str">
        <f>HYPERLINK("https://twitter.com/petrogustavo","@petrogustavo")</f>
        <v>@petrogustavo</v>
      </c>
      <c r="C7170" s="5" t="s">
        <v>16</v>
      </c>
      <c r="D7170" s="5" t="s">
        <v>6937</v>
      </c>
      <c r="E7170" s="6" t="str">
        <f>HYPERLINK("https://twitter.com/petrogustavo/status/1279431744312225792","1279431744312225792")</f>
        <v>1279431744312225792</v>
      </c>
      <c r="F7170" s="7" t="s">
        <v>32</v>
      </c>
      <c r="G7170" s="7">
        <v>3899862</v>
      </c>
      <c r="H7170" s="7">
        <v>2419</v>
      </c>
      <c r="I7170" s="7">
        <v>119</v>
      </c>
      <c r="J7170" s="7">
        <v>0</v>
      </c>
      <c r="K7170" s="7" t="s">
        <v>18</v>
      </c>
      <c r="L7170" s="8">
        <v>39987.315405092595</v>
      </c>
      <c r="M7170" s="9" t="s">
        <v>19</v>
      </c>
      <c r="N7170" s="9" t="s">
        <v>20</v>
      </c>
      <c r="O7170" s="6" t="str">
        <f>HYPERLINK("https://pbs.twimg.com/profile_images/962471262747529216/Uo8lOkRJ_normal.jpg","View")</f>
        <v>View</v>
      </c>
      <c r="P7170" s="7"/>
    </row>
    <row r="7171" spans="1:16">
      <c r="A7171" s="3">
        <v>44016.88994212963</v>
      </c>
      <c r="B7171" s="4" t="str">
        <f>HYPERLINK("https://twitter.com/petrogustavo","@petrogustavo")</f>
        <v>@petrogustavo</v>
      </c>
      <c r="C7171" s="5" t="s">
        <v>16</v>
      </c>
      <c r="D7171" s="5" t="s">
        <v>6938</v>
      </c>
      <c r="E7171" s="6" t="str">
        <f>HYPERLINK("https://twitter.com/petrogustavo/status/1279442726434603008","1279442726434603008")</f>
        <v>1279442726434603008</v>
      </c>
      <c r="F7171" s="7" t="s">
        <v>17</v>
      </c>
      <c r="G7171" s="7">
        <v>3899902</v>
      </c>
      <c r="H7171" s="7">
        <v>2420</v>
      </c>
      <c r="I7171" s="7">
        <v>32</v>
      </c>
      <c r="J7171" s="7">
        <v>0</v>
      </c>
      <c r="K7171" s="7" t="s">
        <v>18</v>
      </c>
      <c r="L7171" s="8">
        <v>39987.315405092595</v>
      </c>
      <c r="M7171" s="9" t="s">
        <v>19</v>
      </c>
      <c r="N7171" s="9" t="s">
        <v>20</v>
      </c>
      <c r="O7171" s="6" t="str">
        <f>HYPERLINK("https://pbs.twimg.com/profile_images/962471262747529216/Uo8lOkRJ_normal.jpg","View")</f>
        <v>View</v>
      </c>
      <c r="P7171" s="7"/>
    </row>
    <row r="7172" spans="1:16">
      <c r="A7172" s="3">
        <v>44016.891597222224</v>
      </c>
      <c r="B7172" s="4" t="str">
        <f>HYPERLINK("https://twitter.com/petrogustavo","@petrogustavo")</f>
        <v>@petrogustavo</v>
      </c>
      <c r="C7172" s="5" t="s">
        <v>16</v>
      </c>
      <c r="D7172" s="5" t="s">
        <v>6939</v>
      </c>
      <c r="E7172" s="6" t="str">
        <f>HYPERLINK("https://twitter.com/petrogustavo/status/1279443325016322048","1279443325016322048")</f>
        <v>1279443325016322048</v>
      </c>
      <c r="F7172" s="7" t="s">
        <v>17</v>
      </c>
      <c r="G7172" s="7">
        <v>3899902</v>
      </c>
      <c r="H7172" s="7">
        <v>2420</v>
      </c>
      <c r="I7172" s="7">
        <v>49</v>
      </c>
      <c r="J7172" s="7">
        <v>177</v>
      </c>
      <c r="K7172" s="7" t="s">
        <v>18</v>
      </c>
      <c r="L7172" s="8">
        <v>39987.315405092595</v>
      </c>
      <c r="M7172" s="9" t="s">
        <v>19</v>
      </c>
      <c r="N7172" s="9" t="s">
        <v>20</v>
      </c>
      <c r="O7172" s="6" t="str">
        <f>HYPERLINK("https://pbs.twimg.com/profile_images/962471262747529216/Uo8lOkRJ_normal.jpg","View")</f>
        <v>View</v>
      </c>
      <c r="P7172" s="7"/>
    </row>
    <row r="7173" spans="1:16">
      <c r="A7173" s="3">
        <v>44016.891967592594</v>
      </c>
      <c r="B7173" s="4" t="str">
        <f>HYPERLINK("https://twitter.com/petrogustavo","@petrogustavo")</f>
        <v>@petrogustavo</v>
      </c>
      <c r="C7173" s="5" t="s">
        <v>16</v>
      </c>
      <c r="D7173" s="5" t="s">
        <v>6940</v>
      </c>
      <c r="E7173" s="6" t="str">
        <f>HYPERLINK("https://twitter.com/petrogustavo/status/1279443461637373952","1279443461637373952")</f>
        <v>1279443461637373952</v>
      </c>
      <c r="F7173" s="7" t="s">
        <v>17</v>
      </c>
      <c r="G7173" s="7">
        <v>3899902</v>
      </c>
      <c r="H7173" s="7">
        <v>2420</v>
      </c>
      <c r="I7173" s="7">
        <v>103</v>
      </c>
      <c r="J7173" s="7">
        <v>0</v>
      </c>
      <c r="K7173" s="7" t="s">
        <v>18</v>
      </c>
      <c r="L7173" s="8">
        <v>39987.315405092595</v>
      </c>
      <c r="M7173" s="9" t="s">
        <v>19</v>
      </c>
      <c r="N7173" s="9" t="s">
        <v>20</v>
      </c>
      <c r="O7173" s="6" t="str">
        <f>HYPERLINK("https://pbs.twimg.com/profile_images/962471262747529216/Uo8lOkRJ_normal.jpg","View")</f>
        <v>View</v>
      </c>
      <c r="P7173" s="7"/>
    </row>
    <row r="7174" spans="1:16">
      <c r="A7174" s="3">
        <v>44016.894328703704</v>
      </c>
      <c r="B7174" s="4" t="str">
        <f>HYPERLINK("https://twitter.com/petrogustavo","@petrogustavo")</f>
        <v>@petrogustavo</v>
      </c>
      <c r="C7174" s="5" t="s">
        <v>16</v>
      </c>
      <c r="D7174" s="5" t="s">
        <v>6941</v>
      </c>
      <c r="E7174" s="6" t="str">
        <f>HYPERLINK("https://twitter.com/petrogustavo/status/1279444314469339137","1279444314469339137")</f>
        <v>1279444314469339137</v>
      </c>
      <c r="F7174" s="7" t="s">
        <v>17</v>
      </c>
      <c r="G7174" s="7">
        <v>3899902</v>
      </c>
      <c r="H7174" s="7">
        <v>2420</v>
      </c>
      <c r="I7174" s="7">
        <v>297</v>
      </c>
      <c r="J7174" s="7">
        <v>634</v>
      </c>
      <c r="K7174" s="7" t="s">
        <v>18</v>
      </c>
      <c r="L7174" s="8">
        <v>39987.315405092595</v>
      </c>
      <c r="M7174" s="9" t="s">
        <v>19</v>
      </c>
      <c r="N7174" s="9" t="s">
        <v>20</v>
      </c>
      <c r="O7174" s="6" t="str">
        <f>HYPERLINK("https://pbs.twimg.com/profile_images/962471262747529216/Uo8lOkRJ_normal.jpg","View")</f>
        <v>View</v>
      </c>
      <c r="P7174" s="7"/>
    </row>
    <row r="7175" spans="1:16">
      <c r="A7175" s="3">
        <v>44016.894641203704</v>
      </c>
      <c r="B7175" s="4" t="str">
        <f>HYPERLINK("https://twitter.com/petrogustavo","@petrogustavo")</f>
        <v>@petrogustavo</v>
      </c>
      <c r="C7175" s="5" t="s">
        <v>16</v>
      </c>
      <c r="D7175" s="5" t="s">
        <v>6937</v>
      </c>
      <c r="E7175" s="6" t="str">
        <f>HYPERLINK("https://twitter.com/petrogustavo/status/1279444430286729217","1279444430286729217")</f>
        <v>1279444430286729217</v>
      </c>
      <c r="F7175" s="7" t="s">
        <v>17</v>
      </c>
      <c r="G7175" s="7">
        <v>3899902</v>
      </c>
      <c r="H7175" s="7">
        <v>2420</v>
      </c>
      <c r="I7175" s="7">
        <v>235</v>
      </c>
      <c r="J7175" s="7">
        <v>0</v>
      </c>
      <c r="K7175" s="7" t="s">
        <v>18</v>
      </c>
      <c r="L7175" s="8">
        <v>39987.315405092595</v>
      </c>
      <c r="M7175" s="9" t="s">
        <v>19</v>
      </c>
      <c r="N7175" s="9" t="s">
        <v>20</v>
      </c>
      <c r="O7175" s="6" t="str">
        <f>HYPERLINK("https://pbs.twimg.com/profile_images/962471262747529216/Uo8lOkRJ_normal.jpg","View")</f>
        <v>View</v>
      </c>
      <c r="P7175" s="7"/>
    </row>
    <row r="7176" spans="1:16">
      <c r="A7176" s="3">
        <v>44016.950416666667</v>
      </c>
      <c r="B7176" s="4" t="str">
        <f>HYPERLINK("https://twitter.com/petrogustavo","@petrogustavo")</f>
        <v>@petrogustavo</v>
      </c>
      <c r="C7176" s="5" t="s">
        <v>16</v>
      </c>
      <c r="D7176" s="5" t="s">
        <v>6942</v>
      </c>
      <c r="E7176" s="6" t="str">
        <f>HYPERLINK("https://twitter.com/petrogustavo/status/1279464641110970376","1279464641110970376")</f>
        <v>1279464641110970376</v>
      </c>
      <c r="F7176" s="7" t="s">
        <v>17</v>
      </c>
      <c r="G7176" s="7">
        <v>3899917</v>
      </c>
      <c r="H7176" s="7">
        <v>2420</v>
      </c>
      <c r="I7176" s="7">
        <v>181</v>
      </c>
      <c r="J7176" s="7">
        <v>0</v>
      </c>
      <c r="K7176" s="7" t="s">
        <v>18</v>
      </c>
      <c r="L7176" s="8">
        <v>39987.315405092595</v>
      </c>
      <c r="M7176" s="9" t="s">
        <v>19</v>
      </c>
      <c r="N7176" s="9" t="s">
        <v>20</v>
      </c>
      <c r="O7176" s="6" t="str">
        <f>HYPERLINK("https://pbs.twimg.com/profile_images/962471262747529216/Uo8lOkRJ_normal.jpg","View")</f>
        <v>View</v>
      </c>
      <c r="P7176" s="7"/>
    </row>
    <row r="7177" spans="1:16">
      <c r="A7177" s="3">
        <v>44016.953263888892</v>
      </c>
      <c r="B7177" s="4" t="str">
        <f>HYPERLINK("https://twitter.com/petrogustavo","@petrogustavo")</f>
        <v>@petrogustavo</v>
      </c>
      <c r="C7177" s="5" t="s">
        <v>16</v>
      </c>
      <c r="D7177" s="5" t="s">
        <v>6943</v>
      </c>
      <c r="E7177" s="6" t="str">
        <f>HYPERLINK("https://twitter.com/petrogustavo/status/1279465671286575104","1279465671286575104")</f>
        <v>1279465671286575104</v>
      </c>
      <c r="F7177" s="7" t="s">
        <v>17</v>
      </c>
      <c r="G7177" s="7">
        <v>3899917</v>
      </c>
      <c r="H7177" s="7">
        <v>2420</v>
      </c>
      <c r="I7177" s="7">
        <v>104</v>
      </c>
      <c r="J7177" s="7">
        <v>265</v>
      </c>
      <c r="K7177" s="7" t="s">
        <v>18</v>
      </c>
      <c r="L7177" s="8">
        <v>39987.315405092595</v>
      </c>
      <c r="M7177" s="9" t="s">
        <v>19</v>
      </c>
      <c r="N7177" s="9" t="s">
        <v>20</v>
      </c>
      <c r="O7177" s="6" t="str">
        <f>HYPERLINK("https://pbs.twimg.com/profile_images/962471262747529216/Uo8lOkRJ_normal.jpg","View")</f>
        <v>View</v>
      </c>
      <c r="P7177" s="7"/>
    </row>
    <row r="7178" spans="1:16">
      <c r="A7178" s="3">
        <v>44016.955740740741</v>
      </c>
      <c r="B7178" s="4" t="str">
        <f>HYPERLINK("https://twitter.com/petrogustavo","@petrogustavo")</f>
        <v>@petrogustavo</v>
      </c>
      <c r="C7178" s="5" t="s">
        <v>16</v>
      </c>
      <c r="D7178" s="5" t="s">
        <v>6944</v>
      </c>
      <c r="E7178" s="6" t="str">
        <f>HYPERLINK("https://twitter.com/petrogustavo/status/1279466571711369217","1279466571711369217")</f>
        <v>1279466571711369217</v>
      </c>
      <c r="F7178" s="7" t="s">
        <v>17</v>
      </c>
      <c r="G7178" s="7">
        <v>3899917</v>
      </c>
      <c r="H7178" s="7">
        <v>2420</v>
      </c>
      <c r="I7178" s="7">
        <v>175</v>
      </c>
      <c r="J7178" s="7">
        <v>388</v>
      </c>
      <c r="K7178" s="7" t="s">
        <v>18</v>
      </c>
      <c r="L7178" s="8">
        <v>39987.315405092595</v>
      </c>
      <c r="M7178" s="9" t="s">
        <v>19</v>
      </c>
      <c r="N7178" s="9" t="s">
        <v>20</v>
      </c>
      <c r="O7178" s="6" t="str">
        <f>HYPERLINK("https://pbs.twimg.com/profile_images/962471262747529216/Uo8lOkRJ_normal.jpg","View")</f>
        <v>View</v>
      </c>
      <c r="P7178" s="7"/>
    </row>
    <row r="7179" spans="1:16">
      <c r="A7179" s="3">
        <v>44016.956435185188</v>
      </c>
      <c r="B7179" s="4" t="str">
        <f>HYPERLINK("https://twitter.com/petrogustavo","@petrogustavo")</f>
        <v>@petrogustavo</v>
      </c>
      <c r="C7179" s="5" t="s">
        <v>16</v>
      </c>
      <c r="D7179" s="5" t="s">
        <v>6945</v>
      </c>
      <c r="E7179" s="6" t="str">
        <f>HYPERLINK("https://twitter.com/petrogustavo/status/1279466821243088900","1279466821243088900")</f>
        <v>1279466821243088900</v>
      </c>
      <c r="F7179" s="7" t="s">
        <v>17</v>
      </c>
      <c r="G7179" s="7">
        <v>3899917</v>
      </c>
      <c r="H7179" s="7">
        <v>2420</v>
      </c>
      <c r="I7179" s="7">
        <v>78</v>
      </c>
      <c r="J7179" s="7">
        <v>0</v>
      </c>
      <c r="K7179" s="7" t="s">
        <v>18</v>
      </c>
      <c r="L7179" s="8">
        <v>39987.315405092595</v>
      </c>
      <c r="M7179" s="9" t="s">
        <v>19</v>
      </c>
      <c r="N7179" s="9" t="s">
        <v>20</v>
      </c>
      <c r="O7179" s="6" t="str">
        <f>HYPERLINK("https://pbs.twimg.com/profile_images/962471262747529216/Uo8lOkRJ_normal.jpg","View")</f>
        <v>View</v>
      </c>
      <c r="P7179" s="7"/>
    </row>
    <row r="7180" spans="1:16">
      <c r="A7180" s="3">
        <v>44016.9605787037</v>
      </c>
      <c r="B7180" s="4" t="str">
        <f>HYPERLINK("https://twitter.com/petrogustavo","@petrogustavo")</f>
        <v>@petrogustavo</v>
      </c>
      <c r="C7180" s="5" t="s">
        <v>16</v>
      </c>
      <c r="D7180" s="5" t="s">
        <v>6946</v>
      </c>
      <c r="E7180" s="6" t="str">
        <f>HYPERLINK("https://twitter.com/petrogustavo/status/1279468322912899072","1279468322912899072")</f>
        <v>1279468322912899072</v>
      </c>
      <c r="F7180" s="7" t="s">
        <v>17</v>
      </c>
      <c r="G7180" s="7">
        <v>3899917</v>
      </c>
      <c r="H7180" s="7">
        <v>2420</v>
      </c>
      <c r="I7180" s="7">
        <v>136</v>
      </c>
      <c r="J7180" s="7">
        <v>273</v>
      </c>
      <c r="K7180" s="7" t="s">
        <v>18</v>
      </c>
      <c r="L7180" s="8">
        <v>39987.315405092595</v>
      </c>
      <c r="M7180" s="9" t="s">
        <v>19</v>
      </c>
      <c r="N7180" s="9" t="s">
        <v>20</v>
      </c>
      <c r="O7180" s="6" t="str">
        <f>HYPERLINK("https://pbs.twimg.com/profile_images/962471262747529216/Uo8lOkRJ_normal.jpg","View")</f>
        <v>View</v>
      </c>
      <c r="P7180" s="7"/>
    </row>
    <row r="7181" spans="1:16">
      <c r="A7181" s="3">
        <v>44016.963726851856</v>
      </c>
      <c r="B7181" s="4" t="str">
        <f>HYPERLINK("https://twitter.com/petrogustavo","@petrogustavo")</f>
        <v>@petrogustavo</v>
      </c>
      <c r="C7181" s="5" t="s">
        <v>16</v>
      </c>
      <c r="D7181" s="5" t="s">
        <v>6947</v>
      </c>
      <c r="E7181" s="6" t="str">
        <f>HYPERLINK("https://twitter.com/petrogustavo/status/1279469463692357633","1279469463692357633")</f>
        <v>1279469463692357633</v>
      </c>
      <c r="F7181" s="7" t="s">
        <v>17</v>
      </c>
      <c r="G7181" s="7">
        <v>3899917</v>
      </c>
      <c r="H7181" s="7">
        <v>2420</v>
      </c>
      <c r="I7181" s="7">
        <v>53</v>
      </c>
      <c r="J7181" s="7">
        <v>88</v>
      </c>
      <c r="K7181" s="7" t="s">
        <v>18</v>
      </c>
      <c r="L7181" s="8">
        <v>39987.315405092595</v>
      </c>
      <c r="M7181" s="9" t="s">
        <v>19</v>
      </c>
      <c r="N7181" s="9" t="s">
        <v>20</v>
      </c>
      <c r="O7181" s="6" t="str">
        <f>HYPERLINK("https://pbs.twimg.com/profile_images/962471262747529216/Uo8lOkRJ_normal.jpg","View")</f>
        <v>View</v>
      </c>
      <c r="P7181" s="7"/>
    </row>
    <row r="7182" spans="1:16">
      <c r="A7182" s="3">
        <v>44016.963796296295</v>
      </c>
      <c r="B7182" s="4" t="str">
        <f>HYPERLINK("https://twitter.com/petrogustavo","@petrogustavo")</f>
        <v>@petrogustavo</v>
      </c>
      <c r="C7182" s="5" t="s">
        <v>16</v>
      </c>
      <c r="D7182" s="5" t="s">
        <v>6948</v>
      </c>
      <c r="E7182" s="6" t="str">
        <f>HYPERLINK("https://twitter.com/petrogustavo/status/1279469491706048515","1279469491706048515")</f>
        <v>1279469491706048515</v>
      </c>
      <c r="F7182" s="7" t="s">
        <v>17</v>
      </c>
      <c r="G7182" s="7">
        <v>3899917</v>
      </c>
      <c r="H7182" s="7">
        <v>2420</v>
      </c>
      <c r="I7182" s="7">
        <v>136</v>
      </c>
      <c r="J7182" s="7">
        <v>0</v>
      </c>
      <c r="K7182" s="7" t="s">
        <v>18</v>
      </c>
      <c r="L7182" s="8">
        <v>39987.315405092595</v>
      </c>
      <c r="M7182" s="9" t="s">
        <v>19</v>
      </c>
      <c r="N7182" s="9" t="s">
        <v>20</v>
      </c>
      <c r="O7182" s="6" t="str">
        <f>HYPERLINK("https://pbs.twimg.com/profile_images/962471262747529216/Uo8lOkRJ_normal.jpg","View")</f>
        <v>View</v>
      </c>
      <c r="P7182" s="7"/>
    </row>
    <row r="7183" spans="1:16">
      <c r="A7183" s="3">
        <v>44016.966249999998</v>
      </c>
      <c r="B7183" s="4" t="str">
        <f>HYPERLINK("https://twitter.com/petrogustavo","@petrogustavo")</f>
        <v>@petrogustavo</v>
      </c>
      <c r="C7183" s="5" t="s">
        <v>16</v>
      </c>
      <c r="D7183" s="5" t="s">
        <v>6949</v>
      </c>
      <c r="E7183" s="6" t="str">
        <f>HYPERLINK("https://twitter.com/petrogustavo/status/1279470378503503872","1279470378503503872")</f>
        <v>1279470378503503872</v>
      </c>
      <c r="F7183" s="7" t="s">
        <v>17</v>
      </c>
      <c r="G7183" s="7">
        <v>3899917</v>
      </c>
      <c r="H7183" s="7">
        <v>2420</v>
      </c>
      <c r="I7183" s="7">
        <v>20</v>
      </c>
      <c r="J7183" s="7">
        <v>0</v>
      </c>
      <c r="K7183" s="7" t="s">
        <v>18</v>
      </c>
      <c r="L7183" s="8">
        <v>39987.315405092595</v>
      </c>
      <c r="M7183" s="9" t="s">
        <v>19</v>
      </c>
      <c r="N7183" s="9" t="s">
        <v>20</v>
      </c>
      <c r="O7183" s="6" t="str">
        <f>HYPERLINK("https://pbs.twimg.com/profile_images/962471262747529216/Uo8lOkRJ_normal.jpg","View")</f>
        <v>View</v>
      </c>
      <c r="P7183" s="7"/>
    </row>
    <row r="7184" spans="1:16">
      <c r="A7184" s="3">
        <v>44016.966527777782</v>
      </c>
      <c r="B7184" s="4" t="str">
        <f>HYPERLINK("https://twitter.com/petrogustavo","@petrogustavo")</f>
        <v>@petrogustavo</v>
      </c>
      <c r="C7184" s="5" t="s">
        <v>16</v>
      </c>
      <c r="D7184" s="5" t="s">
        <v>6950</v>
      </c>
      <c r="E7184" s="6" t="str">
        <f>HYPERLINK("https://twitter.com/petrogustavo/status/1279470481876422656","1279470481876422656")</f>
        <v>1279470481876422656</v>
      </c>
      <c r="F7184" s="7" t="s">
        <v>17</v>
      </c>
      <c r="G7184" s="7">
        <v>3899917</v>
      </c>
      <c r="H7184" s="7">
        <v>2420</v>
      </c>
      <c r="I7184" s="7">
        <v>40</v>
      </c>
      <c r="J7184" s="7">
        <v>0</v>
      </c>
      <c r="K7184" s="7" t="s">
        <v>18</v>
      </c>
      <c r="L7184" s="8">
        <v>39987.315405092595</v>
      </c>
      <c r="M7184" s="9" t="s">
        <v>19</v>
      </c>
      <c r="N7184" s="9" t="s">
        <v>20</v>
      </c>
      <c r="O7184" s="6" t="str">
        <f>HYPERLINK("https://pbs.twimg.com/profile_images/962471262747529216/Uo8lOkRJ_normal.jpg","View")</f>
        <v>View</v>
      </c>
      <c r="P7184" s="7"/>
    </row>
    <row r="7185" spans="1:16">
      <c r="A7185" s="3">
        <v>44016.966643518521</v>
      </c>
      <c r="B7185" s="4" t="str">
        <f>HYPERLINK("https://twitter.com/petrogustavo","@petrogustavo")</f>
        <v>@petrogustavo</v>
      </c>
      <c r="C7185" s="5" t="s">
        <v>16</v>
      </c>
      <c r="D7185" s="5" t="s">
        <v>6951</v>
      </c>
      <c r="E7185" s="6" t="str">
        <f>HYPERLINK("https://twitter.com/petrogustavo/status/1279470520111595520","1279470520111595520")</f>
        <v>1279470520111595520</v>
      </c>
      <c r="F7185" s="7" t="s">
        <v>17</v>
      </c>
      <c r="G7185" s="7">
        <v>3899917</v>
      </c>
      <c r="H7185" s="7">
        <v>2420</v>
      </c>
      <c r="I7185" s="7">
        <v>97</v>
      </c>
      <c r="J7185" s="7">
        <v>0</v>
      </c>
      <c r="K7185" s="7" t="s">
        <v>18</v>
      </c>
      <c r="L7185" s="8">
        <v>39987.315405092595</v>
      </c>
      <c r="M7185" s="9" t="s">
        <v>19</v>
      </c>
      <c r="N7185" s="9" t="s">
        <v>20</v>
      </c>
      <c r="O7185" s="6" t="str">
        <f>HYPERLINK("https://pbs.twimg.com/profile_images/962471262747529216/Uo8lOkRJ_normal.jpg","View")</f>
        <v>View</v>
      </c>
      <c r="P7185" s="7"/>
    </row>
    <row r="7186" spans="1:16">
      <c r="A7186" s="3">
        <v>44016.966736111106</v>
      </c>
      <c r="B7186" s="4" t="str">
        <f>HYPERLINK("https://twitter.com/petrogustavo","@petrogustavo")</f>
        <v>@petrogustavo</v>
      </c>
      <c r="C7186" s="5" t="s">
        <v>16</v>
      </c>
      <c r="D7186" s="5" t="s">
        <v>6952</v>
      </c>
      <c r="E7186" s="6" t="str">
        <f>HYPERLINK("https://twitter.com/petrogustavo/status/1279470556191035397","1279470556191035397")</f>
        <v>1279470556191035397</v>
      </c>
      <c r="F7186" s="7" t="s">
        <v>17</v>
      </c>
      <c r="G7186" s="7">
        <v>3899917</v>
      </c>
      <c r="H7186" s="7">
        <v>2420</v>
      </c>
      <c r="I7186" s="7">
        <v>175</v>
      </c>
      <c r="J7186" s="7">
        <v>0</v>
      </c>
      <c r="K7186" s="7" t="s">
        <v>18</v>
      </c>
      <c r="L7186" s="8">
        <v>39987.315405092595</v>
      </c>
      <c r="M7186" s="9" t="s">
        <v>19</v>
      </c>
      <c r="N7186" s="9" t="s">
        <v>20</v>
      </c>
      <c r="O7186" s="6" t="str">
        <f>HYPERLINK("https://pbs.twimg.com/profile_images/962471262747529216/Uo8lOkRJ_normal.jpg","View")</f>
        <v>View</v>
      </c>
      <c r="P7186" s="7"/>
    </row>
    <row r="7187" spans="1:16">
      <c r="A7187" s="3">
        <v>44016.967037037037</v>
      </c>
      <c r="B7187" s="4" t="str">
        <f>HYPERLINK("https://twitter.com/petrogustavo","@petrogustavo")</f>
        <v>@petrogustavo</v>
      </c>
      <c r="C7187" s="5" t="s">
        <v>16</v>
      </c>
      <c r="D7187" s="5" t="s">
        <v>6953</v>
      </c>
      <c r="E7187" s="6" t="str">
        <f>HYPERLINK("https://twitter.com/petrogustavo/status/1279470664693485568","1279470664693485568")</f>
        <v>1279470664693485568</v>
      </c>
      <c r="F7187" s="7" t="s">
        <v>17</v>
      </c>
      <c r="G7187" s="7">
        <v>3899917</v>
      </c>
      <c r="H7187" s="7">
        <v>2420</v>
      </c>
      <c r="I7187" s="7">
        <v>1019</v>
      </c>
      <c r="J7187" s="7">
        <v>0</v>
      </c>
      <c r="K7187" s="7" t="s">
        <v>18</v>
      </c>
      <c r="L7187" s="8">
        <v>39987.315405092595</v>
      </c>
      <c r="M7187" s="9" t="s">
        <v>19</v>
      </c>
      <c r="N7187" s="9" t="s">
        <v>20</v>
      </c>
      <c r="O7187" s="6" t="str">
        <f>HYPERLINK("https://pbs.twimg.com/profile_images/962471262747529216/Uo8lOkRJ_normal.jpg","View")</f>
        <v>View</v>
      </c>
      <c r="P7187" s="7"/>
    </row>
    <row r="7188" spans="1:16">
      <c r="A7188" s="3">
        <v>44016.9690162037</v>
      </c>
      <c r="B7188" s="4" t="str">
        <f>HYPERLINK("https://twitter.com/petrogustavo","@petrogustavo")</f>
        <v>@petrogustavo</v>
      </c>
      <c r="C7188" s="5" t="s">
        <v>16</v>
      </c>
      <c r="D7188" s="5" t="s">
        <v>6954</v>
      </c>
      <c r="E7188" s="6" t="str">
        <f>HYPERLINK("https://twitter.com/petrogustavo/status/1279471380732547079","1279471380732547079")</f>
        <v>1279471380732547079</v>
      </c>
      <c r="F7188" s="7" t="s">
        <v>17</v>
      </c>
      <c r="G7188" s="7">
        <v>3899917</v>
      </c>
      <c r="H7188" s="7">
        <v>2420</v>
      </c>
      <c r="I7188" s="7">
        <v>24</v>
      </c>
      <c r="J7188" s="7">
        <v>54</v>
      </c>
      <c r="K7188" s="7" t="s">
        <v>18</v>
      </c>
      <c r="L7188" s="8">
        <v>39987.315405092595</v>
      </c>
      <c r="M7188" s="9" t="s">
        <v>19</v>
      </c>
      <c r="N7188" s="9" t="s">
        <v>20</v>
      </c>
      <c r="O7188" s="6" t="str">
        <f>HYPERLINK("https://pbs.twimg.com/profile_images/962471262747529216/Uo8lOkRJ_normal.jpg","View")</f>
        <v>View</v>
      </c>
      <c r="P7188" s="7"/>
    </row>
    <row r="7189" spans="1:16">
      <c r="A7189" s="3">
        <v>44016.972939814819</v>
      </c>
      <c r="B7189" s="4" t="str">
        <f>HYPERLINK("https://twitter.com/petrogustavo","@petrogustavo")</f>
        <v>@petrogustavo</v>
      </c>
      <c r="C7189" s="5" t="s">
        <v>16</v>
      </c>
      <c r="D7189" s="5" t="s">
        <v>6955</v>
      </c>
      <c r="E7189" s="6" t="str">
        <f>HYPERLINK("https://twitter.com/petrogustavo/status/1279472803712991233","1279472803712991233")</f>
        <v>1279472803712991233</v>
      </c>
      <c r="F7189" s="7" t="s">
        <v>17</v>
      </c>
      <c r="G7189" s="7">
        <v>3899921</v>
      </c>
      <c r="H7189" s="7">
        <v>2420</v>
      </c>
      <c r="I7189" s="7">
        <v>110</v>
      </c>
      <c r="J7189" s="7">
        <v>0</v>
      </c>
      <c r="K7189" s="7" t="s">
        <v>18</v>
      </c>
      <c r="L7189" s="8">
        <v>39987.315405092595</v>
      </c>
      <c r="M7189" s="9" t="s">
        <v>19</v>
      </c>
      <c r="N7189" s="9" t="s">
        <v>20</v>
      </c>
      <c r="O7189" s="6" t="str">
        <f>HYPERLINK("https://pbs.twimg.com/profile_images/962471262747529216/Uo8lOkRJ_normal.jpg","View")</f>
        <v>View</v>
      </c>
      <c r="P7189" s="7"/>
    </row>
    <row r="7190" spans="1:16">
      <c r="A7190" s="3">
        <v>44016.973078703704</v>
      </c>
      <c r="B7190" s="4" t="str">
        <f>HYPERLINK("https://twitter.com/petrogustavo","@petrogustavo")</f>
        <v>@petrogustavo</v>
      </c>
      <c r="C7190" s="5" t="s">
        <v>16</v>
      </c>
      <c r="D7190" s="5" t="s">
        <v>6956</v>
      </c>
      <c r="E7190" s="6" t="str">
        <f>HYPERLINK("https://twitter.com/petrogustavo/status/1279472854367682561","1279472854367682561")</f>
        <v>1279472854367682561</v>
      </c>
      <c r="F7190" s="7" t="s">
        <v>17</v>
      </c>
      <c r="G7190" s="7">
        <v>3899921</v>
      </c>
      <c r="H7190" s="7">
        <v>2420</v>
      </c>
      <c r="I7190" s="7">
        <v>20</v>
      </c>
      <c r="J7190" s="7">
        <v>0</v>
      </c>
      <c r="K7190" s="7" t="s">
        <v>18</v>
      </c>
      <c r="L7190" s="8">
        <v>39987.315405092595</v>
      </c>
      <c r="M7190" s="9" t="s">
        <v>19</v>
      </c>
      <c r="N7190" s="9" t="s">
        <v>20</v>
      </c>
      <c r="O7190" s="6" t="str">
        <f>HYPERLINK("https://pbs.twimg.com/profile_images/962471262747529216/Uo8lOkRJ_normal.jpg","View")</f>
        <v>View</v>
      </c>
      <c r="P7190" s="7"/>
    </row>
    <row r="7191" spans="1:16">
      <c r="A7191" s="3">
        <v>44016.975011574075</v>
      </c>
      <c r="B7191" s="4" t="str">
        <f>HYPERLINK("https://twitter.com/petrogustavo","@petrogustavo")</f>
        <v>@petrogustavo</v>
      </c>
      <c r="C7191" s="5" t="s">
        <v>16</v>
      </c>
      <c r="D7191" s="5" t="s">
        <v>6957</v>
      </c>
      <c r="E7191" s="6" t="str">
        <f>HYPERLINK("https://twitter.com/petrogustavo/status/1279473553910398979","1279473553910398979")</f>
        <v>1279473553910398979</v>
      </c>
      <c r="F7191" s="7" t="s">
        <v>17</v>
      </c>
      <c r="G7191" s="7">
        <v>3899921</v>
      </c>
      <c r="H7191" s="7">
        <v>2420</v>
      </c>
      <c r="I7191" s="7">
        <v>71</v>
      </c>
      <c r="J7191" s="7">
        <v>181</v>
      </c>
      <c r="K7191" s="7" t="s">
        <v>18</v>
      </c>
      <c r="L7191" s="8">
        <v>39987.315405092595</v>
      </c>
      <c r="M7191" s="9" t="s">
        <v>19</v>
      </c>
      <c r="N7191" s="9" t="s">
        <v>20</v>
      </c>
      <c r="O7191" s="6" t="str">
        <f>HYPERLINK("https://pbs.twimg.com/profile_images/962471262747529216/Uo8lOkRJ_normal.jpg","View")</f>
        <v>View</v>
      </c>
      <c r="P7191" s="7"/>
    </row>
    <row r="7192" spans="1:16">
      <c r="A7192" s="3">
        <v>44016.987175925926</v>
      </c>
      <c r="B7192" s="4" t="str">
        <f>HYPERLINK("https://twitter.com/petrogustavo","@petrogustavo")</f>
        <v>@petrogustavo</v>
      </c>
      <c r="C7192" s="5" t="s">
        <v>16</v>
      </c>
      <c r="D7192" s="5" t="s">
        <v>6958</v>
      </c>
      <c r="E7192" s="6" t="str">
        <f>HYPERLINK("https://twitter.com/petrogustavo/status/1279477964250451968","1279477964250451968")</f>
        <v>1279477964250451968</v>
      </c>
      <c r="F7192" s="7" t="s">
        <v>17</v>
      </c>
      <c r="G7192" s="7">
        <v>3899921</v>
      </c>
      <c r="H7192" s="7">
        <v>2420</v>
      </c>
      <c r="I7192" s="7">
        <v>54</v>
      </c>
      <c r="J7192" s="7">
        <v>103</v>
      </c>
      <c r="K7192" s="7" t="s">
        <v>18</v>
      </c>
      <c r="L7192" s="8">
        <v>39987.315405092595</v>
      </c>
      <c r="M7192" s="9" t="s">
        <v>19</v>
      </c>
      <c r="N7192" s="9" t="s">
        <v>20</v>
      </c>
      <c r="O7192" s="6" t="str">
        <f>HYPERLINK("https://pbs.twimg.com/profile_images/962471262747529216/Uo8lOkRJ_normal.jpg","View")</f>
        <v>View</v>
      </c>
      <c r="P7192" s="7"/>
    </row>
    <row r="7193" spans="1:16">
      <c r="A7193" s="3">
        <v>44016.987835648149</v>
      </c>
      <c r="B7193" s="4" t="str">
        <f>HYPERLINK("https://twitter.com/petrogustavo","@petrogustavo")</f>
        <v>@petrogustavo</v>
      </c>
      <c r="C7193" s="5" t="s">
        <v>16</v>
      </c>
      <c r="D7193" s="5" t="s">
        <v>6959</v>
      </c>
      <c r="E7193" s="6" t="str">
        <f>HYPERLINK("https://twitter.com/petrogustavo/status/1279478202147184641","1279478202147184641")</f>
        <v>1279478202147184641</v>
      </c>
      <c r="F7193" s="7" t="s">
        <v>17</v>
      </c>
      <c r="G7193" s="7">
        <v>3899921</v>
      </c>
      <c r="H7193" s="7">
        <v>2420</v>
      </c>
      <c r="I7193" s="7">
        <v>9</v>
      </c>
      <c r="J7193" s="7">
        <v>0</v>
      </c>
      <c r="K7193" s="7" t="s">
        <v>18</v>
      </c>
      <c r="L7193" s="8">
        <v>39987.315405092595</v>
      </c>
      <c r="M7193" s="9" t="s">
        <v>19</v>
      </c>
      <c r="N7193" s="9" t="s">
        <v>20</v>
      </c>
      <c r="O7193" s="6" t="str">
        <f>HYPERLINK("https://pbs.twimg.com/profile_images/962471262747529216/Uo8lOkRJ_normal.jpg","View")</f>
        <v>View</v>
      </c>
      <c r="P7193" s="7"/>
    </row>
    <row r="7194" spans="1:16">
      <c r="A7194" s="3">
        <v>44016.987928240742</v>
      </c>
      <c r="B7194" s="4" t="str">
        <f>HYPERLINK("https://twitter.com/petrogustavo","@petrogustavo")</f>
        <v>@petrogustavo</v>
      </c>
      <c r="C7194" s="5" t="s">
        <v>16</v>
      </c>
      <c r="D7194" s="5" t="s">
        <v>6960</v>
      </c>
      <c r="E7194" s="6" t="str">
        <f>HYPERLINK("https://twitter.com/petrogustavo/status/1279478235588427776","1279478235588427776")</f>
        <v>1279478235588427776</v>
      </c>
      <c r="F7194" s="7" t="s">
        <v>17</v>
      </c>
      <c r="G7194" s="7">
        <v>3899921</v>
      </c>
      <c r="H7194" s="7">
        <v>2420</v>
      </c>
      <c r="I7194" s="7">
        <v>54</v>
      </c>
      <c r="J7194" s="7">
        <v>0</v>
      </c>
      <c r="K7194" s="7" t="s">
        <v>18</v>
      </c>
      <c r="L7194" s="8">
        <v>39987.315405092595</v>
      </c>
      <c r="M7194" s="9" t="s">
        <v>19</v>
      </c>
      <c r="N7194" s="9" t="s">
        <v>20</v>
      </c>
      <c r="O7194" s="6" t="str">
        <f>HYPERLINK("https://pbs.twimg.com/profile_images/962471262747529216/Uo8lOkRJ_normal.jpg","View")</f>
        <v>View</v>
      </c>
      <c r="P7194" s="7"/>
    </row>
    <row r="7195" spans="1:16">
      <c r="A7195" s="3">
        <v>44016.988425925927</v>
      </c>
      <c r="B7195" s="4" t="str">
        <f>HYPERLINK("https://twitter.com/petrogustavo","@petrogustavo")</f>
        <v>@petrogustavo</v>
      </c>
      <c r="C7195" s="5" t="s">
        <v>16</v>
      </c>
      <c r="D7195" s="5" t="s">
        <v>6961</v>
      </c>
      <c r="E7195" s="6" t="str">
        <f>HYPERLINK("https://twitter.com/petrogustavo/status/1279478413561139202","1279478413561139202")</f>
        <v>1279478413561139202</v>
      </c>
      <c r="F7195" s="7" t="s">
        <v>17</v>
      </c>
      <c r="G7195" s="7">
        <v>3899921</v>
      </c>
      <c r="H7195" s="7">
        <v>2420</v>
      </c>
      <c r="I7195" s="7">
        <v>169</v>
      </c>
      <c r="J7195" s="7">
        <v>0</v>
      </c>
      <c r="K7195" s="7" t="s">
        <v>18</v>
      </c>
      <c r="L7195" s="8">
        <v>39987.315405092595</v>
      </c>
      <c r="M7195" s="9" t="s">
        <v>19</v>
      </c>
      <c r="N7195" s="9" t="s">
        <v>20</v>
      </c>
      <c r="O7195" s="6" t="str">
        <f>HYPERLINK("https://pbs.twimg.com/profile_images/962471262747529216/Uo8lOkRJ_normal.jpg","View")</f>
        <v>View</v>
      </c>
      <c r="P7195" s="7"/>
    </row>
    <row r="7196" spans="1:16">
      <c r="A7196" s="3">
        <v>44017.01525462963</v>
      </c>
      <c r="B7196" s="4" t="str">
        <f>HYPERLINK("https://twitter.com/petrogustavo","@petrogustavo")</f>
        <v>@petrogustavo</v>
      </c>
      <c r="C7196" s="5" t="s">
        <v>16</v>
      </c>
      <c r="D7196" s="5" t="s">
        <v>6962</v>
      </c>
      <c r="E7196" s="6" t="str">
        <f>HYPERLINK("https://twitter.com/petrogustavo/status/1279488139564929030","1279488139564929030")</f>
        <v>1279488139564929030</v>
      </c>
      <c r="F7196" s="7" t="s">
        <v>21</v>
      </c>
      <c r="G7196" s="7">
        <v>3899946</v>
      </c>
      <c r="H7196" s="7">
        <v>2420</v>
      </c>
      <c r="I7196" s="7">
        <v>132</v>
      </c>
      <c r="J7196" s="7">
        <v>234</v>
      </c>
      <c r="K7196" s="7" t="s">
        <v>18</v>
      </c>
      <c r="L7196" s="8">
        <v>39987.315405092595</v>
      </c>
      <c r="M7196" s="9" t="s">
        <v>19</v>
      </c>
      <c r="N7196" s="9" t="s">
        <v>20</v>
      </c>
      <c r="O7196" s="6" t="str">
        <f>HYPERLINK("https://pbs.twimg.com/profile_images/962471262747529216/Uo8lOkRJ_normal.jpg","View")</f>
        <v>View</v>
      </c>
      <c r="P7196" s="7"/>
    </row>
    <row r="7197" spans="1:16">
      <c r="A7197" s="3">
        <v>44017.059756944444</v>
      </c>
      <c r="B7197" s="4" t="str">
        <f>HYPERLINK("https://twitter.com/petrogustavo","@petrogustavo")</f>
        <v>@petrogustavo</v>
      </c>
      <c r="C7197" s="5" t="s">
        <v>16</v>
      </c>
      <c r="D7197" s="5" t="s">
        <v>6963</v>
      </c>
      <c r="E7197" s="6" t="str">
        <f>HYPERLINK("https://twitter.com/petrogustavo/status/1279504263836811264","1279504263836811264")</f>
        <v>1279504263836811264</v>
      </c>
      <c r="F7197" s="7" t="s">
        <v>17</v>
      </c>
      <c r="G7197" s="7">
        <v>3899988</v>
      </c>
      <c r="H7197" s="7">
        <v>2420</v>
      </c>
      <c r="I7197" s="7">
        <v>136</v>
      </c>
      <c r="J7197" s="7">
        <v>0</v>
      </c>
      <c r="K7197" s="7" t="s">
        <v>18</v>
      </c>
      <c r="L7197" s="8">
        <v>39987.315405092595</v>
      </c>
      <c r="M7197" s="9" t="s">
        <v>19</v>
      </c>
      <c r="N7197" s="9" t="s">
        <v>20</v>
      </c>
      <c r="O7197" s="6" t="str">
        <f>HYPERLINK("https://pbs.twimg.com/profile_images/962471262747529216/Uo8lOkRJ_normal.jpg","View")</f>
        <v>View</v>
      </c>
      <c r="P7197" s="7"/>
    </row>
    <row r="7198" spans="1:16">
      <c r="A7198" s="3">
        <v>44017.060208333336</v>
      </c>
      <c r="B7198" s="4" t="str">
        <f>HYPERLINK("https://twitter.com/petrogustavo","@petrogustavo")</f>
        <v>@petrogustavo</v>
      </c>
      <c r="C7198" s="5" t="s">
        <v>16</v>
      </c>
      <c r="D7198" s="5" t="s">
        <v>6964</v>
      </c>
      <c r="E7198" s="6" t="str">
        <f>HYPERLINK("https://twitter.com/petrogustavo/status/1279504428425510913","1279504428425510913")</f>
        <v>1279504428425510913</v>
      </c>
      <c r="F7198" s="7" t="s">
        <v>17</v>
      </c>
      <c r="G7198" s="7">
        <v>3899988</v>
      </c>
      <c r="H7198" s="7">
        <v>2420</v>
      </c>
      <c r="I7198" s="7">
        <v>175</v>
      </c>
      <c r="J7198" s="7">
        <v>0</v>
      </c>
      <c r="K7198" s="7" t="s">
        <v>18</v>
      </c>
      <c r="L7198" s="8">
        <v>39987.315405092595</v>
      </c>
      <c r="M7198" s="9" t="s">
        <v>19</v>
      </c>
      <c r="N7198" s="9" t="s">
        <v>20</v>
      </c>
      <c r="O7198" s="6" t="str">
        <f>HYPERLINK("https://pbs.twimg.com/profile_images/962471262747529216/Uo8lOkRJ_normal.jpg","View")</f>
        <v>View</v>
      </c>
      <c r="P7198" s="7"/>
    </row>
    <row r="7199" spans="1:16">
      <c r="A7199" s="3">
        <v>44017.061400462961</v>
      </c>
      <c r="B7199" s="4" t="str">
        <f>HYPERLINK("https://twitter.com/petrogustavo","@petrogustavo")</f>
        <v>@petrogustavo</v>
      </c>
      <c r="C7199" s="5" t="s">
        <v>16</v>
      </c>
      <c r="D7199" s="5" t="s">
        <v>6965</v>
      </c>
      <c r="E7199" s="6" t="str">
        <f>HYPERLINK("https://twitter.com/petrogustavo/status/1279504861135081474","1279504861135081474")</f>
        <v>1279504861135081474</v>
      </c>
      <c r="F7199" s="7" t="s">
        <v>17</v>
      </c>
      <c r="G7199" s="7">
        <v>3899988</v>
      </c>
      <c r="H7199" s="7">
        <v>2420</v>
      </c>
      <c r="I7199" s="7">
        <v>71</v>
      </c>
      <c r="J7199" s="7">
        <v>157</v>
      </c>
      <c r="K7199" s="7" t="s">
        <v>18</v>
      </c>
      <c r="L7199" s="8">
        <v>39987.315405092595</v>
      </c>
      <c r="M7199" s="9" t="s">
        <v>19</v>
      </c>
      <c r="N7199" s="9" t="s">
        <v>20</v>
      </c>
      <c r="O7199" s="6" t="str">
        <f>HYPERLINK("https://pbs.twimg.com/profile_images/962471262747529216/Uo8lOkRJ_normal.jpg","View")</f>
        <v>View</v>
      </c>
      <c r="P7199" s="7"/>
    </row>
    <row r="7200" spans="1:16">
      <c r="A7200" s="3">
        <v>44017.063668981486</v>
      </c>
      <c r="B7200" s="4" t="str">
        <f>HYPERLINK("https://twitter.com/petrogustavo","@petrogustavo")</f>
        <v>@petrogustavo</v>
      </c>
      <c r="C7200" s="5" t="s">
        <v>16</v>
      </c>
      <c r="D7200" s="5" t="s">
        <v>6966</v>
      </c>
      <c r="E7200" s="6" t="str">
        <f>HYPERLINK("https://twitter.com/petrogustavo/status/1279505680936980481","1279505680936980481")</f>
        <v>1279505680936980481</v>
      </c>
      <c r="F7200" s="7" t="s">
        <v>17</v>
      </c>
      <c r="G7200" s="7">
        <v>3899988</v>
      </c>
      <c r="H7200" s="7">
        <v>2420</v>
      </c>
      <c r="I7200" s="7">
        <v>73</v>
      </c>
      <c r="J7200" s="7">
        <v>154</v>
      </c>
      <c r="K7200" s="7" t="s">
        <v>18</v>
      </c>
      <c r="L7200" s="8">
        <v>39987.315405092595</v>
      </c>
      <c r="M7200" s="9" t="s">
        <v>19</v>
      </c>
      <c r="N7200" s="9" t="s">
        <v>20</v>
      </c>
      <c r="O7200" s="6" t="str">
        <f>HYPERLINK("https://pbs.twimg.com/profile_images/962471262747529216/Uo8lOkRJ_normal.jpg","View")</f>
        <v>View</v>
      </c>
      <c r="P7200" s="7"/>
    </row>
    <row r="7201" spans="1:16">
      <c r="A7201" s="3">
        <v>44017.063946759255</v>
      </c>
      <c r="B7201" s="4" t="str">
        <f>HYPERLINK("https://twitter.com/petrogustavo","@petrogustavo")</f>
        <v>@petrogustavo</v>
      </c>
      <c r="C7201" s="5" t="s">
        <v>16</v>
      </c>
      <c r="D7201" s="5" t="s">
        <v>6967</v>
      </c>
      <c r="E7201" s="6" t="str">
        <f>HYPERLINK("https://twitter.com/petrogustavo/status/1279505785421168640","1279505785421168640")</f>
        <v>1279505785421168640</v>
      </c>
      <c r="F7201" s="7" t="s">
        <v>17</v>
      </c>
      <c r="G7201" s="7">
        <v>3899988</v>
      </c>
      <c r="H7201" s="7">
        <v>2420</v>
      </c>
      <c r="I7201" s="7">
        <v>62</v>
      </c>
      <c r="J7201" s="7">
        <v>0</v>
      </c>
      <c r="K7201" s="7" t="s">
        <v>18</v>
      </c>
      <c r="L7201" s="8">
        <v>39987.315405092595</v>
      </c>
      <c r="M7201" s="9" t="s">
        <v>19</v>
      </c>
      <c r="N7201" s="9" t="s">
        <v>20</v>
      </c>
      <c r="O7201" s="6" t="str">
        <f>HYPERLINK("https://pbs.twimg.com/profile_images/962471262747529216/Uo8lOkRJ_normal.jpg","View")</f>
        <v>View</v>
      </c>
      <c r="P7201" s="7"/>
    </row>
    <row r="7202" spans="1:16">
      <c r="A7202" s="3">
        <v>44017.065000000002</v>
      </c>
      <c r="B7202" s="4" t="str">
        <f>HYPERLINK("https://twitter.com/petrogustavo","@petrogustavo")</f>
        <v>@petrogustavo</v>
      </c>
      <c r="C7202" s="5" t="s">
        <v>16</v>
      </c>
      <c r="D7202" s="5" t="s">
        <v>6950</v>
      </c>
      <c r="E7202" s="6" t="str">
        <f>HYPERLINK("https://twitter.com/petrogustavo/status/1279506163525201921","1279506163525201921")</f>
        <v>1279506163525201921</v>
      </c>
      <c r="F7202" s="7" t="s">
        <v>17</v>
      </c>
      <c r="G7202" s="7">
        <v>3899988</v>
      </c>
      <c r="H7202" s="7">
        <v>2420</v>
      </c>
      <c r="I7202" s="7">
        <v>155</v>
      </c>
      <c r="J7202" s="7">
        <v>0</v>
      </c>
      <c r="K7202" s="7" t="s">
        <v>18</v>
      </c>
      <c r="L7202" s="8">
        <v>39987.315405092595</v>
      </c>
      <c r="M7202" s="9" t="s">
        <v>19</v>
      </c>
      <c r="N7202" s="9" t="s">
        <v>20</v>
      </c>
      <c r="O7202" s="6" t="str">
        <f>HYPERLINK("https://pbs.twimg.com/profile_images/962471262747529216/Uo8lOkRJ_normal.jpg","View")</f>
        <v>View</v>
      </c>
      <c r="P7202" s="7"/>
    </row>
    <row r="7203" spans="1:16">
      <c r="A7203" s="3">
        <v>44017.070347222223</v>
      </c>
      <c r="B7203" s="4" t="str">
        <f>HYPERLINK("https://twitter.com/petrogustavo","@petrogustavo")</f>
        <v>@petrogustavo</v>
      </c>
      <c r="C7203" s="5" t="s">
        <v>16</v>
      </c>
      <c r="D7203" s="5" t="s">
        <v>6968</v>
      </c>
      <c r="E7203" s="6" t="str">
        <f>HYPERLINK("https://twitter.com/petrogustavo/status/1279508103936069632","1279508103936069632")</f>
        <v>1279508103936069632</v>
      </c>
      <c r="F7203" s="7" t="s">
        <v>17</v>
      </c>
      <c r="G7203" s="7">
        <v>3899988</v>
      </c>
      <c r="H7203" s="7">
        <v>2420</v>
      </c>
      <c r="I7203" s="7">
        <v>36</v>
      </c>
      <c r="J7203" s="7">
        <v>0</v>
      </c>
      <c r="K7203" s="7" t="s">
        <v>18</v>
      </c>
      <c r="L7203" s="8">
        <v>39987.315405092595</v>
      </c>
      <c r="M7203" s="9" t="s">
        <v>19</v>
      </c>
      <c r="N7203" s="9" t="s">
        <v>20</v>
      </c>
      <c r="O7203" s="6" t="str">
        <f>HYPERLINK("https://pbs.twimg.com/profile_images/962471262747529216/Uo8lOkRJ_normal.jpg","View")</f>
        <v>View</v>
      </c>
      <c r="P7203" s="7"/>
    </row>
    <row r="7204" spans="1:16">
      <c r="A7204" s="3">
        <v>44017.070555555554</v>
      </c>
      <c r="B7204" s="4" t="str">
        <f>HYPERLINK("https://twitter.com/petrogustavo","@petrogustavo")</f>
        <v>@petrogustavo</v>
      </c>
      <c r="C7204" s="5" t="s">
        <v>16</v>
      </c>
      <c r="D7204" s="5" t="s">
        <v>6969</v>
      </c>
      <c r="E7204" s="6" t="str">
        <f>HYPERLINK("https://twitter.com/petrogustavo/status/1279508178263310337","1279508178263310337")</f>
        <v>1279508178263310337</v>
      </c>
      <c r="F7204" s="7" t="s">
        <v>17</v>
      </c>
      <c r="G7204" s="7">
        <v>3899988</v>
      </c>
      <c r="H7204" s="7">
        <v>2420</v>
      </c>
      <c r="I7204" s="7">
        <v>8</v>
      </c>
      <c r="J7204" s="7">
        <v>0</v>
      </c>
      <c r="K7204" s="7" t="s">
        <v>18</v>
      </c>
      <c r="L7204" s="8">
        <v>39987.315405092595</v>
      </c>
      <c r="M7204" s="9" t="s">
        <v>19</v>
      </c>
      <c r="N7204" s="9" t="s">
        <v>20</v>
      </c>
      <c r="O7204" s="6" t="str">
        <f>HYPERLINK("https://pbs.twimg.com/profile_images/962471262747529216/Uo8lOkRJ_normal.jpg","View")</f>
        <v>View</v>
      </c>
      <c r="P7204" s="7"/>
    </row>
    <row r="7205" spans="1:16">
      <c r="A7205" s="3">
        <v>44017.071967592594</v>
      </c>
      <c r="B7205" s="4" t="str">
        <f>HYPERLINK("https://twitter.com/petrogustavo","@petrogustavo")</f>
        <v>@petrogustavo</v>
      </c>
      <c r="C7205" s="5" t="s">
        <v>16</v>
      </c>
      <c r="D7205" s="5" t="s">
        <v>6970</v>
      </c>
      <c r="E7205" s="6" t="str">
        <f>HYPERLINK("https://twitter.com/petrogustavo/status/1279508691717435393","1279508691717435393")</f>
        <v>1279508691717435393</v>
      </c>
      <c r="F7205" s="7" t="s">
        <v>17</v>
      </c>
      <c r="G7205" s="7">
        <v>3899988</v>
      </c>
      <c r="H7205" s="7">
        <v>2420</v>
      </c>
      <c r="I7205" s="7">
        <v>30</v>
      </c>
      <c r="J7205" s="7">
        <v>0</v>
      </c>
      <c r="K7205" s="7" t="s">
        <v>18</v>
      </c>
      <c r="L7205" s="8">
        <v>39987.315405092595</v>
      </c>
      <c r="M7205" s="9" t="s">
        <v>19</v>
      </c>
      <c r="N7205" s="9" t="s">
        <v>20</v>
      </c>
      <c r="O7205" s="6" t="str">
        <f>HYPERLINK("https://pbs.twimg.com/profile_images/962471262747529216/Uo8lOkRJ_normal.jpg","View")</f>
        <v>View</v>
      </c>
      <c r="P7205" s="7"/>
    </row>
    <row r="7206" spans="1:16">
      <c r="A7206" s="3">
        <v>44017.081701388888</v>
      </c>
      <c r="B7206" s="4" t="str">
        <f>HYPERLINK("https://twitter.com/petrogustavo","@petrogustavo")</f>
        <v>@petrogustavo</v>
      </c>
      <c r="C7206" s="5" t="s">
        <v>16</v>
      </c>
      <c r="D7206" s="5" t="s">
        <v>6971</v>
      </c>
      <c r="E7206" s="6" t="str">
        <f>HYPERLINK("https://twitter.com/petrogustavo/status/1279512218741215232","1279512218741215232")</f>
        <v>1279512218741215232</v>
      </c>
      <c r="F7206" s="7" t="s">
        <v>21</v>
      </c>
      <c r="G7206" s="7">
        <v>3899985</v>
      </c>
      <c r="H7206" s="7">
        <v>2420</v>
      </c>
      <c r="I7206" s="7">
        <v>109</v>
      </c>
      <c r="J7206" s="7">
        <v>190</v>
      </c>
      <c r="K7206" s="7" t="s">
        <v>18</v>
      </c>
      <c r="L7206" s="8">
        <v>39987.315405092595</v>
      </c>
      <c r="M7206" s="9" t="s">
        <v>19</v>
      </c>
      <c r="N7206" s="9" t="s">
        <v>20</v>
      </c>
      <c r="O7206" s="6" t="str">
        <f>HYPERLINK("https://pbs.twimg.com/profile_images/962471262747529216/Uo8lOkRJ_normal.jpg","View")</f>
        <v>View</v>
      </c>
      <c r="P7206" s="7"/>
    </row>
    <row r="7207" spans="1:16">
      <c r="A7207" s="3">
        <v>44017.153321759259</v>
      </c>
      <c r="B7207" s="4" t="str">
        <f>HYPERLINK("https://twitter.com/petrogustavo","@petrogustavo")</f>
        <v>@petrogustavo</v>
      </c>
      <c r="C7207" s="5" t="s">
        <v>16</v>
      </c>
      <c r="D7207" s="5" t="s">
        <v>6972</v>
      </c>
      <c r="E7207" s="6" t="str">
        <f>HYPERLINK("https://twitter.com/petrogustavo/status/1279538173782175749","1279538173782175749")</f>
        <v>1279538173782175749</v>
      </c>
      <c r="F7207" s="7" t="s">
        <v>21</v>
      </c>
      <c r="G7207" s="7">
        <v>3900028</v>
      </c>
      <c r="H7207" s="7">
        <v>2420</v>
      </c>
      <c r="I7207" s="7">
        <v>61</v>
      </c>
      <c r="J7207" s="7">
        <v>130</v>
      </c>
      <c r="K7207" s="7" t="s">
        <v>18</v>
      </c>
      <c r="L7207" s="8">
        <v>39987.315405092595</v>
      </c>
      <c r="M7207" s="9" t="s">
        <v>19</v>
      </c>
      <c r="N7207" s="9" t="s">
        <v>20</v>
      </c>
      <c r="O7207" s="6" t="str">
        <f>HYPERLINK("https://pbs.twimg.com/profile_images/962471262747529216/Uo8lOkRJ_normal.jpg","View")</f>
        <v>View</v>
      </c>
      <c r="P7207" s="7"/>
    </row>
    <row r="7208" spans="1:16">
      <c r="A7208" s="3">
        <v>44017.22247685185</v>
      </c>
      <c r="B7208" s="4" t="str">
        <f>HYPERLINK("https://twitter.com/petrogustavo","@petrogustavo")</f>
        <v>@petrogustavo</v>
      </c>
      <c r="C7208" s="5" t="s">
        <v>16</v>
      </c>
      <c r="D7208" s="5" t="s">
        <v>6973</v>
      </c>
      <c r="E7208" s="6" t="str">
        <f>HYPERLINK("https://twitter.com/petrogustavo/status/1279563234417278978","1279563234417278978")</f>
        <v>1279563234417278978</v>
      </c>
      <c r="F7208" s="7" t="s">
        <v>32</v>
      </c>
      <c r="G7208" s="7">
        <v>3900088</v>
      </c>
      <c r="H7208" s="7">
        <v>2420</v>
      </c>
      <c r="I7208" s="7">
        <v>133</v>
      </c>
      <c r="J7208" s="7">
        <v>300</v>
      </c>
      <c r="K7208" s="7" t="s">
        <v>18</v>
      </c>
      <c r="L7208" s="8">
        <v>39987.315405092595</v>
      </c>
      <c r="M7208" s="9" t="s">
        <v>19</v>
      </c>
      <c r="N7208" s="9" t="s">
        <v>20</v>
      </c>
      <c r="O7208" s="6" t="str">
        <f>HYPERLINK("https://pbs.twimg.com/profile_images/962471262747529216/Uo8lOkRJ_normal.jpg","View")</f>
        <v>View</v>
      </c>
      <c r="P7208" s="7"/>
    </row>
    <row r="7209" spans="1:16">
      <c r="A7209" s="3">
        <v>44017.22923611111</v>
      </c>
      <c r="B7209" s="4" t="str">
        <f>HYPERLINK("https://twitter.com/petrogustavo","@petrogustavo")</f>
        <v>@petrogustavo</v>
      </c>
      <c r="C7209" s="5" t="s">
        <v>16</v>
      </c>
      <c r="D7209" s="5" t="s">
        <v>6974</v>
      </c>
      <c r="E7209" s="6" t="str">
        <f>HYPERLINK("https://twitter.com/petrogustavo/status/1279565683572031488","1279565683572031488")</f>
        <v>1279565683572031488</v>
      </c>
      <c r="F7209" s="7" t="s">
        <v>32</v>
      </c>
      <c r="G7209" s="7">
        <v>3900088</v>
      </c>
      <c r="H7209" s="7">
        <v>2420</v>
      </c>
      <c r="I7209" s="7">
        <v>217</v>
      </c>
      <c r="J7209" s="7">
        <v>434</v>
      </c>
      <c r="K7209" s="7" t="s">
        <v>18</v>
      </c>
      <c r="L7209" s="8">
        <v>39987.315405092595</v>
      </c>
      <c r="M7209" s="9" t="s">
        <v>19</v>
      </c>
      <c r="N7209" s="9" t="s">
        <v>20</v>
      </c>
      <c r="O7209" s="6" t="str">
        <f>HYPERLINK("https://pbs.twimg.com/profile_images/962471262747529216/Uo8lOkRJ_normal.jpg","View")</f>
        <v>View</v>
      </c>
      <c r="P7209" s="7"/>
    </row>
    <row r="7210" spans="1:16">
      <c r="A7210" s="3">
        <v>44017.231030092589</v>
      </c>
      <c r="B7210" s="4" t="str">
        <f>HYPERLINK("https://twitter.com/petrogustavo","@petrogustavo")</f>
        <v>@petrogustavo</v>
      </c>
      <c r="C7210" s="5" t="s">
        <v>16</v>
      </c>
      <c r="D7210" s="5" t="s">
        <v>6975</v>
      </c>
      <c r="E7210" s="6" t="str">
        <f>HYPERLINK("https://twitter.com/petrogustavo/status/1279566331646545920","1279566331646545920")</f>
        <v>1279566331646545920</v>
      </c>
      <c r="F7210" s="7" t="s">
        <v>32</v>
      </c>
      <c r="G7210" s="7">
        <v>3900088</v>
      </c>
      <c r="H7210" s="7">
        <v>2420</v>
      </c>
      <c r="I7210" s="7">
        <v>62</v>
      </c>
      <c r="J7210" s="7">
        <v>110</v>
      </c>
      <c r="K7210" s="7" t="s">
        <v>18</v>
      </c>
      <c r="L7210" s="8">
        <v>39987.315405092595</v>
      </c>
      <c r="M7210" s="9" t="s">
        <v>19</v>
      </c>
      <c r="N7210" s="9" t="s">
        <v>20</v>
      </c>
      <c r="O7210" s="6" t="str">
        <f>HYPERLINK("https://pbs.twimg.com/profile_images/962471262747529216/Uo8lOkRJ_normal.jpg","View")</f>
        <v>View</v>
      </c>
      <c r="P7210" s="7"/>
    </row>
    <row r="7211" spans="1:16">
      <c r="A7211" s="3">
        <v>44017.232662037037</v>
      </c>
      <c r="B7211" s="4" t="str">
        <f>HYPERLINK("https://twitter.com/petrogustavo","@petrogustavo")</f>
        <v>@petrogustavo</v>
      </c>
      <c r="C7211" s="5" t="s">
        <v>16</v>
      </c>
      <c r="D7211" s="5" t="s">
        <v>6976</v>
      </c>
      <c r="E7211" s="6" t="str">
        <f>HYPERLINK("https://twitter.com/petrogustavo/status/1279566924494639105","1279566924494639105")</f>
        <v>1279566924494639105</v>
      </c>
      <c r="F7211" s="7" t="s">
        <v>32</v>
      </c>
      <c r="G7211" s="7">
        <v>3900088</v>
      </c>
      <c r="H7211" s="7">
        <v>2420</v>
      </c>
      <c r="I7211" s="7">
        <v>96</v>
      </c>
      <c r="J7211" s="7">
        <v>203</v>
      </c>
      <c r="K7211" s="7" t="s">
        <v>18</v>
      </c>
      <c r="L7211" s="8">
        <v>39987.315405092595</v>
      </c>
      <c r="M7211" s="9" t="s">
        <v>19</v>
      </c>
      <c r="N7211" s="9" t="s">
        <v>20</v>
      </c>
      <c r="O7211" s="6" t="str">
        <f>HYPERLINK("https://pbs.twimg.com/profile_images/962471262747529216/Uo8lOkRJ_normal.jpg","View")</f>
        <v>View</v>
      </c>
      <c r="P7211" s="7"/>
    </row>
    <row r="7212" spans="1:16">
      <c r="A7212" s="3">
        <v>44017.234120370369</v>
      </c>
      <c r="B7212" s="4" t="str">
        <f>HYPERLINK("https://twitter.com/petrogustavo","@petrogustavo")</f>
        <v>@petrogustavo</v>
      </c>
      <c r="C7212" s="5" t="s">
        <v>16</v>
      </c>
      <c r="D7212" s="5" t="s">
        <v>6977</v>
      </c>
      <c r="E7212" s="6" t="str">
        <f>HYPERLINK("https://twitter.com/petrogustavo/status/1279567450623918080","1279567450623918080")</f>
        <v>1279567450623918080</v>
      </c>
      <c r="F7212" s="7" t="s">
        <v>32</v>
      </c>
      <c r="G7212" s="7">
        <v>3900088</v>
      </c>
      <c r="H7212" s="7">
        <v>2420</v>
      </c>
      <c r="I7212" s="7">
        <v>217</v>
      </c>
      <c r="J7212" s="7">
        <v>0</v>
      </c>
      <c r="K7212" s="7" t="s">
        <v>18</v>
      </c>
      <c r="L7212" s="8">
        <v>39987.315405092595</v>
      </c>
      <c r="M7212" s="9" t="s">
        <v>19</v>
      </c>
      <c r="N7212" s="9" t="s">
        <v>20</v>
      </c>
      <c r="O7212" s="6" t="str">
        <f>HYPERLINK("https://pbs.twimg.com/profile_images/962471262747529216/Uo8lOkRJ_normal.jpg","View")</f>
        <v>View</v>
      </c>
      <c r="P7212" s="7"/>
    </row>
    <row r="7213" spans="1:16">
      <c r="A7213" s="3">
        <v>44017.234918981485</v>
      </c>
      <c r="B7213" s="4" t="str">
        <f>HYPERLINK("https://twitter.com/petrogustavo","@petrogustavo")</f>
        <v>@petrogustavo</v>
      </c>
      <c r="C7213" s="5" t="s">
        <v>16</v>
      </c>
      <c r="D7213" s="5" t="s">
        <v>6978</v>
      </c>
      <c r="E7213" s="6" t="str">
        <f>HYPERLINK("https://twitter.com/petrogustavo/status/1279567743411539968","1279567743411539968")</f>
        <v>1279567743411539968</v>
      </c>
      <c r="F7213" s="7" t="s">
        <v>32</v>
      </c>
      <c r="G7213" s="7">
        <v>3900088</v>
      </c>
      <c r="H7213" s="7">
        <v>2420</v>
      </c>
      <c r="I7213" s="7">
        <v>11</v>
      </c>
      <c r="J7213" s="7">
        <v>0</v>
      </c>
      <c r="K7213" s="7" t="s">
        <v>18</v>
      </c>
      <c r="L7213" s="8">
        <v>39987.315405092595</v>
      </c>
      <c r="M7213" s="9" t="s">
        <v>19</v>
      </c>
      <c r="N7213" s="9" t="s">
        <v>20</v>
      </c>
      <c r="O7213" s="6" t="str">
        <f>HYPERLINK("https://pbs.twimg.com/profile_images/962471262747529216/Uo8lOkRJ_normal.jpg","View")</f>
        <v>View</v>
      </c>
      <c r="P7213" s="7"/>
    </row>
    <row r="7214" spans="1:16">
      <c r="A7214" s="3">
        <v>44017.240590277783</v>
      </c>
      <c r="B7214" s="4" t="str">
        <f>HYPERLINK("https://twitter.com/petrogustavo","@petrogustavo")</f>
        <v>@petrogustavo</v>
      </c>
      <c r="C7214" s="5" t="s">
        <v>16</v>
      </c>
      <c r="D7214" s="5" t="s">
        <v>6979</v>
      </c>
      <c r="E7214" s="6" t="str">
        <f>HYPERLINK("https://twitter.com/petrogustavo/status/1279569797878030336","1279569797878030336")</f>
        <v>1279569797878030336</v>
      </c>
      <c r="F7214" s="7" t="s">
        <v>21</v>
      </c>
      <c r="G7214" s="7">
        <v>3900088</v>
      </c>
      <c r="H7214" s="7">
        <v>2420</v>
      </c>
      <c r="I7214" s="7">
        <v>13</v>
      </c>
      <c r="J7214" s="7">
        <v>29</v>
      </c>
      <c r="K7214" s="7" t="s">
        <v>18</v>
      </c>
      <c r="L7214" s="8">
        <v>39987.315405092595</v>
      </c>
      <c r="M7214" s="9" t="s">
        <v>19</v>
      </c>
      <c r="N7214" s="9" t="s">
        <v>20</v>
      </c>
      <c r="O7214" s="6" t="str">
        <f>HYPERLINK("https://pbs.twimg.com/profile_images/962471262747529216/Uo8lOkRJ_normal.jpg","View")</f>
        <v>View</v>
      </c>
      <c r="P7214" s="7"/>
    </row>
    <row r="7215" spans="1:16">
      <c r="A7215" s="3">
        <v>44017.250474537039</v>
      </c>
      <c r="B7215" s="4" t="str">
        <f>HYPERLINK("https://twitter.com/petrogustavo","@petrogustavo")</f>
        <v>@petrogustavo</v>
      </c>
      <c r="C7215" s="5" t="s">
        <v>16</v>
      </c>
      <c r="D7215" s="5" t="s">
        <v>6980</v>
      </c>
      <c r="E7215" s="6" t="str">
        <f>HYPERLINK("https://twitter.com/petrogustavo/status/1279573379675230208","1279573379675230208")</f>
        <v>1279573379675230208</v>
      </c>
      <c r="F7215" s="7" t="s">
        <v>32</v>
      </c>
      <c r="G7215" s="7">
        <v>3900104</v>
      </c>
      <c r="H7215" s="7">
        <v>2420</v>
      </c>
      <c r="I7215" s="7">
        <v>72</v>
      </c>
      <c r="J7215" s="7">
        <v>132</v>
      </c>
      <c r="K7215" s="7" t="s">
        <v>18</v>
      </c>
      <c r="L7215" s="8">
        <v>39987.315405092595</v>
      </c>
      <c r="M7215" s="9" t="s">
        <v>19</v>
      </c>
      <c r="N7215" s="9" t="s">
        <v>20</v>
      </c>
      <c r="O7215" s="6" t="str">
        <f>HYPERLINK("https://pbs.twimg.com/profile_images/962471262747529216/Uo8lOkRJ_normal.jpg","View")</f>
        <v>View</v>
      </c>
      <c r="P7215" s="7"/>
    </row>
    <row r="7216" spans="1:16">
      <c r="A7216" s="3">
        <v>44017.260300925926</v>
      </c>
      <c r="B7216" s="4" t="str">
        <f>HYPERLINK("https://twitter.com/petrogustavo","@petrogustavo")</f>
        <v>@petrogustavo</v>
      </c>
      <c r="C7216" s="5" t="s">
        <v>16</v>
      </c>
      <c r="D7216" s="5" t="s">
        <v>6981</v>
      </c>
      <c r="E7216" s="6" t="str">
        <f>HYPERLINK("https://twitter.com/petrogustavo/status/1279576941394382849","1279576941394382849")</f>
        <v>1279576941394382849</v>
      </c>
      <c r="F7216" s="7" t="s">
        <v>32</v>
      </c>
      <c r="G7216" s="7">
        <v>3900104</v>
      </c>
      <c r="H7216" s="7">
        <v>2420</v>
      </c>
      <c r="I7216" s="7">
        <v>20</v>
      </c>
      <c r="J7216" s="7">
        <v>40</v>
      </c>
      <c r="K7216" s="7" t="s">
        <v>18</v>
      </c>
      <c r="L7216" s="8">
        <v>39987.315405092595</v>
      </c>
      <c r="M7216" s="9" t="s">
        <v>19</v>
      </c>
      <c r="N7216" s="9" t="s">
        <v>20</v>
      </c>
      <c r="O7216" s="6" t="str">
        <f>HYPERLINK("https://pbs.twimg.com/profile_images/962471262747529216/Uo8lOkRJ_normal.jpg","View")</f>
        <v>View</v>
      </c>
      <c r="P7216" s="7"/>
    </row>
    <row r="7217" spans="1:16">
      <c r="A7217" s="3">
        <v>44017.262604166666</v>
      </c>
      <c r="B7217" s="4" t="str">
        <f>HYPERLINK("https://twitter.com/petrogustavo","@petrogustavo")</f>
        <v>@petrogustavo</v>
      </c>
      <c r="C7217" s="5" t="s">
        <v>16</v>
      </c>
      <c r="D7217" s="5" t="s">
        <v>6982</v>
      </c>
      <c r="E7217" s="6" t="str">
        <f>HYPERLINK("https://twitter.com/petrogustavo/status/1279577774479589376","1279577774479589376")</f>
        <v>1279577774479589376</v>
      </c>
      <c r="F7217" s="7" t="s">
        <v>32</v>
      </c>
      <c r="G7217" s="7">
        <v>3900124</v>
      </c>
      <c r="H7217" s="7">
        <v>2420</v>
      </c>
      <c r="I7217" s="7">
        <v>105</v>
      </c>
      <c r="J7217" s="7">
        <v>213</v>
      </c>
      <c r="K7217" s="7" t="s">
        <v>18</v>
      </c>
      <c r="L7217" s="8">
        <v>39987.315405092595</v>
      </c>
      <c r="M7217" s="9" t="s">
        <v>19</v>
      </c>
      <c r="N7217" s="9" t="s">
        <v>20</v>
      </c>
      <c r="O7217" s="6" t="str">
        <f>HYPERLINK("https://pbs.twimg.com/profile_images/962471262747529216/Uo8lOkRJ_normal.jpg","View")</f>
        <v>View</v>
      </c>
      <c r="P7217" s="7"/>
    </row>
    <row r="7218" spans="1:16">
      <c r="A7218" s="3">
        <v>44017.263541666667</v>
      </c>
      <c r="B7218" s="4" t="str">
        <f>HYPERLINK("https://twitter.com/petrogustavo","@petrogustavo")</f>
        <v>@petrogustavo</v>
      </c>
      <c r="C7218" s="5" t="s">
        <v>16</v>
      </c>
      <c r="D7218" s="5" t="s">
        <v>6953</v>
      </c>
      <c r="E7218" s="6" t="str">
        <f>HYPERLINK("https://twitter.com/petrogustavo/status/1279578115434598402","1279578115434598402")</f>
        <v>1279578115434598402</v>
      </c>
      <c r="F7218" s="7" t="s">
        <v>32</v>
      </c>
      <c r="G7218" s="7">
        <v>3900124</v>
      </c>
      <c r="H7218" s="7">
        <v>2420</v>
      </c>
      <c r="I7218" s="7">
        <v>2450</v>
      </c>
      <c r="J7218" s="7">
        <v>0</v>
      </c>
      <c r="K7218" s="7" t="s">
        <v>18</v>
      </c>
      <c r="L7218" s="8">
        <v>39987.315405092595</v>
      </c>
      <c r="M7218" s="9" t="s">
        <v>19</v>
      </c>
      <c r="N7218" s="9" t="s">
        <v>20</v>
      </c>
      <c r="O7218" s="6" t="str">
        <f>HYPERLINK("https://pbs.twimg.com/profile_images/962471262747529216/Uo8lOkRJ_normal.jpg","View")</f>
        <v>View</v>
      </c>
      <c r="P7218" s="7"/>
    </row>
    <row r="7219" spans="1:16">
      <c r="A7219" s="3">
        <v>44017.263865740737</v>
      </c>
      <c r="B7219" s="4" t="str">
        <f>HYPERLINK("https://twitter.com/petrogustavo","@petrogustavo")</f>
        <v>@petrogustavo</v>
      </c>
      <c r="C7219" s="5" t="s">
        <v>16</v>
      </c>
      <c r="D7219" s="5" t="s">
        <v>6983</v>
      </c>
      <c r="E7219" s="6" t="str">
        <f>HYPERLINK("https://twitter.com/petrogustavo/status/1279578233407709185","1279578233407709185")</f>
        <v>1279578233407709185</v>
      </c>
      <c r="F7219" s="7" t="s">
        <v>32</v>
      </c>
      <c r="G7219" s="7">
        <v>3900124</v>
      </c>
      <c r="H7219" s="7">
        <v>2420</v>
      </c>
      <c r="I7219" s="7">
        <v>105</v>
      </c>
      <c r="J7219" s="7">
        <v>0</v>
      </c>
      <c r="K7219" s="7" t="s">
        <v>18</v>
      </c>
      <c r="L7219" s="8">
        <v>39987.315405092595</v>
      </c>
      <c r="M7219" s="9" t="s">
        <v>19</v>
      </c>
      <c r="N7219" s="9" t="s">
        <v>20</v>
      </c>
      <c r="O7219" s="6" t="str">
        <f>HYPERLINK("https://pbs.twimg.com/profile_images/962471262747529216/Uo8lOkRJ_normal.jpg","View")</f>
        <v>View</v>
      </c>
      <c r="P7219" s="7"/>
    </row>
    <row r="7220" spans="1:16">
      <c r="A7220" s="3">
        <v>44017.27270833333</v>
      </c>
      <c r="B7220" s="4" t="str">
        <f>HYPERLINK("https://twitter.com/petrogustavo","@petrogustavo")</f>
        <v>@petrogustavo</v>
      </c>
      <c r="C7220" s="5" t="s">
        <v>16</v>
      </c>
      <c r="D7220" s="5" t="s">
        <v>6984</v>
      </c>
      <c r="E7220" s="6" t="str">
        <f>HYPERLINK("https://twitter.com/petrogustavo/status/1279581434341187584","1279581434341187584")</f>
        <v>1279581434341187584</v>
      </c>
      <c r="F7220" s="7" t="s">
        <v>21</v>
      </c>
      <c r="G7220" s="7">
        <v>3900124</v>
      </c>
      <c r="H7220" s="7">
        <v>2420</v>
      </c>
      <c r="I7220" s="7">
        <v>45</v>
      </c>
      <c r="J7220" s="7">
        <v>92</v>
      </c>
      <c r="K7220" s="7" t="s">
        <v>18</v>
      </c>
      <c r="L7220" s="8">
        <v>39987.315405092595</v>
      </c>
      <c r="M7220" s="9" t="s">
        <v>19</v>
      </c>
      <c r="N7220" s="9" t="s">
        <v>20</v>
      </c>
      <c r="O7220" s="6" t="str">
        <f>HYPERLINK("https://pbs.twimg.com/profile_images/962471262747529216/Uo8lOkRJ_normal.jpg","View")</f>
        <v>View</v>
      </c>
      <c r="P7220" s="7"/>
    </row>
    <row r="7221" spans="1:16">
      <c r="A7221" s="3">
        <v>44017.272905092592</v>
      </c>
      <c r="B7221" s="4" t="str">
        <f>HYPERLINK("https://twitter.com/petrogustavo","@petrogustavo")</f>
        <v>@petrogustavo</v>
      </c>
      <c r="C7221" s="5" t="s">
        <v>16</v>
      </c>
      <c r="D7221" s="5" t="s">
        <v>6985</v>
      </c>
      <c r="E7221" s="6" t="str">
        <f>HYPERLINK("https://twitter.com/petrogustavo/status/1279581507254919168","1279581507254919168")</f>
        <v>1279581507254919168</v>
      </c>
      <c r="F7221" s="7" t="s">
        <v>21</v>
      </c>
      <c r="G7221" s="7">
        <v>3900124</v>
      </c>
      <c r="H7221" s="7">
        <v>2420</v>
      </c>
      <c r="I7221" s="7">
        <v>45</v>
      </c>
      <c r="J7221" s="7">
        <v>94</v>
      </c>
      <c r="K7221" s="7" t="s">
        <v>18</v>
      </c>
      <c r="L7221" s="8">
        <v>39987.315405092595</v>
      </c>
      <c r="M7221" s="9" t="s">
        <v>19</v>
      </c>
      <c r="N7221" s="9" t="s">
        <v>20</v>
      </c>
      <c r="O7221" s="6" t="str">
        <f>HYPERLINK("https://pbs.twimg.com/profile_images/962471262747529216/Uo8lOkRJ_normal.jpg","View")</f>
        <v>View</v>
      </c>
      <c r="P7221" s="7"/>
    </row>
    <row r="7222" spans="1:16">
      <c r="A7222" s="3">
        <v>44017.735879629632</v>
      </c>
      <c r="B7222" s="4" t="str">
        <f>HYPERLINK("https://twitter.com/petrogustavo","@petrogustavo")</f>
        <v>@petrogustavo</v>
      </c>
      <c r="C7222" s="5" t="s">
        <v>16</v>
      </c>
      <c r="D7222" s="5" t="s">
        <v>6986</v>
      </c>
      <c r="E7222" s="6" t="str">
        <f>HYPERLINK("https://twitter.com/petrogustavo/status/1279749283013709826","1279749283013709826")</f>
        <v>1279749283013709826</v>
      </c>
      <c r="F7222" s="7" t="s">
        <v>17</v>
      </c>
      <c r="G7222" s="7">
        <v>3900201</v>
      </c>
      <c r="H7222" s="7">
        <v>2420</v>
      </c>
      <c r="I7222" s="7">
        <v>35</v>
      </c>
      <c r="J7222" s="7">
        <v>60</v>
      </c>
      <c r="K7222" s="7" t="s">
        <v>18</v>
      </c>
      <c r="L7222" s="8">
        <v>39987.315405092595</v>
      </c>
      <c r="M7222" s="9" t="s">
        <v>19</v>
      </c>
      <c r="N7222" s="9" t="s">
        <v>20</v>
      </c>
      <c r="O7222" s="6" t="str">
        <f>HYPERLINK("https://pbs.twimg.com/profile_images/962471262747529216/Uo8lOkRJ_normal.jpg","View")</f>
        <v>View</v>
      </c>
      <c r="P7222" s="7"/>
    </row>
    <row r="7223" spans="1:16">
      <c r="A7223" s="3">
        <v>44017.742071759261</v>
      </c>
      <c r="B7223" s="4" t="str">
        <f>HYPERLINK("https://twitter.com/petrogustavo","@petrogustavo")</f>
        <v>@petrogustavo</v>
      </c>
      <c r="C7223" s="5" t="s">
        <v>16</v>
      </c>
      <c r="D7223" s="5" t="s">
        <v>6987</v>
      </c>
      <c r="E7223" s="6" t="str">
        <f>HYPERLINK("https://twitter.com/petrogustavo/status/1279751528077811718","1279751528077811718")</f>
        <v>1279751528077811718</v>
      </c>
      <c r="F7223" s="7" t="s">
        <v>17</v>
      </c>
      <c r="G7223" s="7">
        <v>3900212</v>
      </c>
      <c r="H7223" s="7">
        <v>2420</v>
      </c>
      <c r="I7223" s="7">
        <v>86</v>
      </c>
      <c r="J7223" s="7">
        <v>0</v>
      </c>
      <c r="K7223" s="7" t="s">
        <v>18</v>
      </c>
      <c r="L7223" s="8">
        <v>39987.315405092595</v>
      </c>
      <c r="M7223" s="9" t="s">
        <v>19</v>
      </c>
      <c r="N7223" s="9" t="s">
        <v>20</v>
      </c>
      <c r="O7223" s="6" t="str">
        <f>HYPERLINK("https://pbs.twimg.com/profile_images/962471262747529216/Uo8lOkRJ_normal.jpg","View")</f>
        <v>View</v>
      </c>
      <c r="P7223" s="7"/>
    </row>
    <row r="7224" spans="1:16">
      <c r="A7224" s="3">
        <v>44017.756273148145</v>
      </c>
      <c r="B7224" s="4" t="str">
        <f>HYPERLINK("https://twitter.com/petrogustavo","@petrogustavo")</f>
        <v>@petrogustavo</v>
      </c>
      <c r="C7224" s="5" t="s">
        <v>16</v>
      </c>
      <c r="D7224" s="5" t="s">
        <v>6988</v>
      </c>
      <c r="E7224" s="6" t="str">
        <f>HYPERLINK("https://twitter.com/petrogustavo/status/1279756674639769600","1279756674639769600")</f>
        <v>1279756674639769600</v>
      </c>
      <c r="F7224" s="7" t="s">
        <v>17</v>
      </c>
      <c r="G7224" s="7">
        <v>3900212</v>
      </c>
      <c r="H7224" s="7">
        <v>2420</v>
      </c>
      <c r="I7224" s="7">
        <v>48</v>
      </c>
      <c r="J7224" s="7">
        <v>95</v>
      </c>
      <c r="K7224" s="7" t="s">
        <v>18</v>
      </c>
      <c r="L7224" s="8">
        <v>39987.315405092595</v>
      </c>
      <c r="M7224" s="9" t="s">
        <v>19</v>
      </c>
      <c r="N7224" s="9" t="s">
        <v>20</v>
      </c>
      <c r="O7224" s="6" t="str">
        <f>HYPERLINK("https://pbs.twimg.com/profile_images/962471262747529216/Uo8lOkRJ_normal.jpg","View")</f>
        <v>View</v>
      </c>
      <c r="P7224" s="7"/>
    </row>
    <row r="7225" spans="1:16">
      <c r="A7225" s="3">
        <v>44017.770138888889</v>
      </c>
      <c r="B7225" s="4" t="str">
        <f>HYPERLINK("https://twitter.com/petrogustavo","@petrogustavo")</f>
        <v>@petrogustavo</v>
      </c>
      <c r="C7225" s="5" t="s">
        <v>16</v>
      </c>
      <c r="D7225" s="5" t="s">
        <v>6989</v>
      </c>
      <c r="E7225" s="6" t="str">
        <f>HYPERLINK("https://twitter.com/petrogustavo/status/1279761700208742402","1279761700208742402")</f>
        <v>1279761700208742402</v>
      </c>
      <c r="F7225" s="7" t="s">
        <v>17</v>
      </c>
      <c r="G7225" s="7">
        <v>3900245</v>
      </c>
      <c r="H7225" s="7">
        <v>2420</v>
      </c>
      <c r="I7225" s="7">
        <v>147</v>
      </c>
      <c r="J7225" s="7">
        <v>0</v>
      </c>
      <c r="K7225" s="7" t="s">
        <v>18</v>
      </c>
      <c r="L7225" s="8">
        <v>39987.315405092595</v>
      </c>
      <c r="M7225" s="9" t="s">
        <v>19</v>
      </c>
      <c r="N7225" s="9" t="s">
        <v>20</v>
      </c>
      <c r="O7225" s="6" t="str">
        <f>HYPERLINK("https://pbs.twimg.com/profile_images/962471262747529216/Uo8lOkRJ_normal.jpg","View")</f>
        <v>View</v>
      </c>
      <c r="P7225" s="7"/>
    </row>
    <row r="7226" spans="1:16">
      <c r="A7226" s="3">
        <v>44017.795486111107</v>
      </c>
      <c r="B7226" s="4" t="str">
        <f>HYPERLINK("https://twitter.com/petrogustavo","@petrogustavo")</f>
        <v>@petrogustavo</v>
      </c>
      <c r="C7226" s="5" t="s">
        <v>16</v>
      </c>
      <c r="D7226" s="5" t="s">
        <v>6990</v>
      </c>
      <c r="E7226" s="6" t="str">
        <f>HYPERLINK("https://twitter.com/petrogustavo/status/1279770884547510272","1279770884547510272")</f>
        <v>1279770884547510272</v>
      </c>
      <c r="F7226" s="7" t="s">
        <v>17</v>
      </c>
      <c r="G7226" s="7">
        <v>3900266</v>
      </c>
      <c r="H7226" s="7">
        <v>2420</v>
      </c>
      <c r="I7226" s="7">
        <v>22</v>
      </c>
      <c r="J7226" s="7">
        <v>0</v>
      </c>
      <c r="K7226" s="7" t="s">
        <v>18</v>
      </c>
      <c r="L7226" s="8">
        <v>39987.315405092595</v>
      </c>
      <c r="M7226" s="9" t="s">
        <v>19</v>
      </c>
      <c r="N7226" s="9" t="s">
        <v>20</v>
      </c>
      <c r="O7226" s="6" t="str">
        <f>HYPERLINK("https://pbs.twimg.com/profile_images/962471262747529216/Uo8lOkRJ_normal.jpg","View")</f>
        <v>View</v>
      </c>
      <c r="P7226" s="7"/>
    </row>
    <row r="7227" spans="1:16">
      <c r="A7227" s="3">
        <v>44017.795706018514</v>
      </c>
      <c r="B7227" s="4" t="str">
        <f>HYPERLINK("https://twitter.com/petrogustavo","@petrogustavo")</f>
        <v>@petrogustavo</v>
      </c>
      <c r="C7227" s="5" t="s">
        <v>16</v>
      </c>
      <c r="D7227" s="5" t="s">
        <v>6991</v>
      </c>
      <c r="E7227" s="6" t="str">
        <f>HYPERLINK("https://twitter.com/petrogustavo/status/1279770965434601473","1279770965434601473")</f>
        <v>1279770965434601473</v>
      </c>
      <c r="F7227" s="7" t="s">
        <v>17</v>
      </c>
      <c r="G7227" s="7">
        <v>3900266</v>
      </c>
      <c r="H7227" s="7">
        <v>2420</v>
      </c>
      <c r="I7227" s="7">
        <v>100</v>
      </c>
      <c r="J7227" s="7">
        <v>0</v>
      </c>
      <c r="K7227" s="7" t="s">
        <v>18</v>
      </c>
      <c r="L7227" s="8">
        <v>39987.315405092595</v>
      </c>
      <c r="M7227" s="9" t="s">
        <v>19</v>
      </c>
      <c r="N7227" s="9" t="s">
        <v>20</v>
      </c>
      <c r="O7227" s="6" t="str">
        <f>HYPERLINK("https://pbs.twimg.com/profile_images/962471262747529216/Uo8lOkRJ_normal.jpg","View")</f>
        <v>View</v>
      </c>
      <c r="P7227" s="7"/>
    </row>
    <row r="7228" spans="1:16">
      <c r="A7228" s="3">
        <v>44017.798020833332</v>
      </c>
      <c r="B7228" s="4" t="str">
        <f>HYPERLINK("https://twitter.com/petrogustavo","@petrogustavo")</f>
        <v>@petrogustavo</v>
      </c>
      <c r="C7228" s="5" t="s">
        <v>16</v>
      </c>
      <c r="D7228" s="5" t="s">
        <v>6992</v>
      </c>
      <c r="E7228" s="6" t="str">
        <f>HYPERLINK("https://twitter.com/petrogustavo/status/1279771801573351424","1279771801573351424")</f>
        <v>1279771801573351424</v>
      </c>
      <c r="F7228" s="7" t="s">
        <v>17</v>
      </c>
      <c r="G7228" s="7">
        <v>3900266</v>
      </c>
      <c r="H7228" s="7">
        <v>2420</v>
      </c>
      <c r="I7228" s="7">
        <v>81</v>
      </c>
      <c r="J7228" s="7">
        <v>146</v>
      </c>
      <c r="K7228" s="7" t="s">
        <v>18</v>
      </c>
      <c r="L7228" s="8">
        <v>39987.315405092595</v>
      </c>
      <c r="M7228" s="9" t="s">
        <v>19</v>
      </c>
      <c r="N7228" s="9" t="s">
        <v>20</v>
      </c>
      <c r="O7228" s="6" t="str">
        <f>HYPERLINK("https://pbs.twimg.com/profile_images/962471262747529216/Uo8lOkRJ_normal.jpg","View")</f>
        <v>View</v>
      </c>
      <c r="P7228" s="7"/>
    </row>
    <row r="7229" spans="1:16">
      <c r="A7229" s="3">
        <v>44017.806458333333</v>
      </c>
      <c r="B7229" s="4" t="str">
        <f>HYPERLINK("https://twitter.com/petrogustavo","@petrogustavo")</f>
        <v>@petrogustavo</v>
      </c>
      <c r="C7229" s="5" t="s">
        <v>16</v>
      </c>
      <c r="D7229" s="5" t="s">
        <v>6993</v>
      </c>
      <c r="E7229" s="6" t="str">
        <f>HYPERLINK("https://twitter.com/petrogustavo/status/1279774859409657859","1279774859409657859")</f>
        <v>1279774859409657859</v>
      </c>
      <c r="F7229" s="7" t="s">
        <v>17</v>
      </c>
      <c r="G7229" s="7">
        <v>3900289</v>
      </c>
      <c r="H7229" s="7">
        <v>2420</v>
      </c>
      <c r="I7229" s="7">
        <v>99</v>
      </c>
      <c r="J7229" s="7">
        <v>154</v>
      </c>
      <c r="K7229" s="7" t="s">
        <v>18</v>
      </c>
      <c r="L7229" s="8">
        <v>39987.315405092595</v>
      </c>
      <c r="M7229" s="9" t="s">
        <v>19</v>
      </c>
      <c r="N7229" s="9" t="s">
        <v>20</v>
      </c>
      <c r="O7229" s="6" t="str">
        <f>HYPERLINK("https://pbs.twimg.com/profile_images/962471262747529216/Uo8lOkRJ_normal.jpg","View")</f>
        <v>View</v>
      </c>
      <c r="P7229" s="7"/>
    </row>
    <row r="7230" spans="1:16">
      <c r="A7230" s="3">
        <v>44017.806759259256</v>
      </c>
      <c r="B7230" s="4" t="str">
        <f>HYPERLINK("https://twitter.com/petrogustavo","@petrogustavo")</f>
        <v>@petrogustavo</v>
      </c>
      <c r="C7230" s="5" t="s">
        <v>16</v>
      </c>
      <c r="D7230" s="5" t="s">
        <v>6994</v>
      </c>
      <c r="E7230" s="6" t="str">
        <f>HYPERLINK("https://twitter.com/petrogustavo/status/1279774971078852609","1279774971078852609")</f>
        <v>1279774971078852609</v>
      </c>
      <c r="F7230" s="7" t="s">
        <v>17</v>
      </c>
      <c r="G7230" s="7">
        <v>3900289</v>
      </c>
      <c r="H7230" s="7">
        <v>2420</v>
      </c>
      <c r="I7230" s="7">
        <v>114</v>
      </c>
      <c r="J7230" s="7">
        <v>0</v>
      </c>
      <c r="K7230" s="7" t="s">
        <v>18</v>
      </c>
      <c r="L7230" s="8">
        <v>39987.315405092595</v>
      </c>
      <c r="M7230" s="9" t="s">
        <v>19</v>
      </c>
      <c r="N7230" s="9" t="s">
        <v>20</v>
      </c>
      <c r="O7230" s="6" t="str">
        <f>HYPERLINK("https://pbs.twimg.com/profile_images/962471262747529216/Uo8lOkRJ_normal.jpg","View")</f>
        <v>View</v>
      </c>
      <c r="P7230" s="7"/>
    </row>
    <row r="7231" spans="1:16">
      <c r="A7231" s="3">
        <v>44017.808020833334</v>
      </c>
      <c r="B7231" s="4" t="str">
        <f>HYPERLINK("https://twitter.com/petrogustavo","@petrogustavo")</f>
        <v>@petrogustavo</v>
      </c>
      <c r="C7231" s="5" t="s">
        <v>16</v>
      </c>
      <c r="D7231" s="5" t="s">
        <v>6995</v>
      </c>
      <c r="E7231" s="6" t="str">
        <f>HYPERLINK("https://twitter.com/petrogustavo/status/1279775428748677120","1279775428748677120")</f>
        <v>1279775428748677120</v>
      </c>
      <c r="F7231" s="7" t="s">
        <v>17</v>
      </c>
      <c r="G7231" s="7">
        <v>3900289</v>
      </c>
      <c r="H7231" s="7">
        <v>2420</v>
      </c>
      <c r="I7231" s="7">
        <v>295</v>
      </c>
      <c r="J7231" s="7">
        <v>0</v>
      </c>
      <c r="K7231" s="7" t="s">
        <v>18</v>
      </c>
      <c r="L7231" s="8">
        <v>39987.315405092595</v>
      </c>
      <c r="M7231" s="9" t="s">
        <v>19</v>
      </c>
      <c r="N7231" s="9" t="s">
        <v>20</v>
      </c>
      <c r="O7231" s="6" t="str">
        <f>HYPERLINK("https://pbs.twimg.com/profile_images/962471262747529216/Uo8lOkRJ_normal.jpg","View")</f>
        <v>View</v>
      </c>
      <c r="P7231" s="7"/>
    </row>
    <row r="7232" spans="1:16">
      <c r="A7232" s="3">
        <v>44017.808599537035</v>
      </c>
      <c r="B7232" s="4" t="str">
        <f>HYPERLINK("https://twitter.com/petrogustavo","@petrogustavo")</f>
        <v>@petrogustavo</v>
      </c>
      <c r="C7232" s="5" t="s">
        <v>16</v>
      </c>
      <c r="D7232" s="5" t="s">
        <v>6996</v>
      </c>
      <c r="E7232" s="6" t="str">
        <f>HYPERLINK("https://twitter.com/petrogustavo/status/1279775636811329536","1279775636811329536")</f>
        <v>1279775636811329536</v>
      </c>
      <c r="F7232" s="7" t="s">
        <v>17</v>
      </c>
      <c r="G7232" s="7">
        <v>3900289</v>
      </c>
      <c r="H7232" s="7">
        <v>2420</v>
      </c>
      <c r="I7232" s="7">
        <v>41</v>
      </c>
      <c r="J7232" s="7">
        <v>0</v>
      </c>
      <c r="K7232" s="7" t="s">
        <v>18</v>
      </c>
      <c r="L7232" s="8">
        <v>39987.315405092595</v>
      </c>
      <c r="M7232" s="9" t="s">
        <v>19</v>
      </c>
      <c r="N7232" s="9" t="s">
        <v>20</v>
      </c>
      <c r="O7232" s="6" t="str">
        <f>HYPERLINK("https://pbs.twimg.com/profile_images/962471262747529216/Uo8lOkRJ_normal.jpg","View")</f>
        <v>View</v>
      </c>
      <c r="P7232" s="7"/>
    </row>
    <row r="7233" spans="1:16">
      <c r="A7233" s="3">
        <v>44017.819444444445</v>
      </c>
      <c r="B7233" s="4" t="str">
        <f>HYPERLINK("https://twitter.com/petrogustavo","@petrogustavo")</f>
        <v>@petrogustavo</v>
      </c>
      <c r="C7233" s="5" t="s">
        <v>16</v>
      </c>
      <c r="D7233" s="5" t="s">
        <v>6997</v>
      </c>
      <c r="E7233" s="6" t="str">
        <f>HYPERLINK("https://twitter.com/petrogustavo/status/1279779568627388417","1279779568627388417")</f>
        <v>1279779568627388417</v>
      </c>
      <c r="F7233" s="7" t="s">
        <v>17</v>
      </c>
      <c r="G7233" s="7">
        <v>3900289</v>
      </c>
      <c r="H7233" s="7">
        <v>2420</v>
      </c>
      <c r="I7233" s="7">
        <v>94</v>
      </c>
      <c r="J7233" s="7">
        <v>0</v>
      </c>
      <c r="K7233" s="7" t="s">
        <v>18</v>
      </c>
      <c r="L7233" s="8">
        <v>39987.315405092595</v>
      </c>
      <c r="M7233" s="9" t="s">
        <v>19</v>
      </c>
      <c r="N7233" s="9" t="s">
        <v>20</v>
      </c>
      <c r="O7233" s="6" t="str">
        <f>HYPERLINK("https://pbs.twimg.com/profile_images/962471262747529216/Uo8lOkRJ_normal.jpg","View")</f>
        <v>View</v>
      </c>
      <c r="P7233" s="7"/>
    </row>
    <row r="7234" spans="1:16">
      <c r="A7234" s="3">
        <v>44017.819895833338</v>
      </c>
      <c r="B7234" s="4" t="str">
        <f>HYPERLINK("https://twitter.com/petrogustavo","@petrogustavo")</f>
        <v>@petrogustavo</v>
      </c>
      <c r="C7234" s="5" t="s">
        <v>16</v>
      </c>
      <c r="D7234" s="5" t="s">
        <v>6998</v>
      </c>
      <c r="E7234" s="6" t="str">
        <f>HYPERLINK("https://twitter.com/petrogustavo/status/1279779729286017025","1279779729286017025")</f>
        <v>1279779729286017025</v>
      </c>
      <c r="F7234" s="7" t="s">
        <v>17</v>
      </c>
      <c r="G7234" s="7">
        <v>3900289</v>
      </c>
      <c r="H7234" s="7">
        <v>2420</v>
      </c>
      <c r="I7234" s="7">
        <v>7</v>
      </c>
      <c r="J7234" s="7">
        <v>0</v>
      </c>
      <c r="K7234" s="7" t="s">
        <v>18</v>
      </c>
      <c r="L7234" s="8">
        <v>39987.315405092595</v>
      </c>
      <c r="M7234" s="9" t="s">
        <v>19</v>
      </c>
      <c r="N7234" s="9" t="s">
        <v>20</v>
      </c>
      <c r="O7234" s="6" t="str">
        <f>HYPERLINK("https://pbs.twimg.com/profile_images/962471262747529216/Uo8lOkRJ_normal.jpg","View")</f>
        <v>View</v>
      </c>
      <c r="P7234" s="7"/>
    </row>
    <row r="7235" spans="1:16">
      <c r="A7235" s="3">
        <v>44017.820104166662</v>
      </c>
      <c r="B7235" s="4" t="str">
        <f>HYPERLINK("https://twitter.com/petrogustavo","@petrogustavo")</f>
        <v>@petrogustavo</v>
      </c>
      <c r="C7235" s="5" t="s">
        <v>16</v>
      </c>
      <c r="D7235" s="5" t="s">
        <v>6989</v>
      </c>
      <c r="E7235" s="6" t="str">
        <f>HYPERLINK("https://twitter.com/petrogustavo/status/1279779807727845376","1279779807727845376")</f>
        <v>1279779807727845376</v>
      </c>
      <c r="F7235" s="7" t="s">
        <v>17</v>
      </c>
      <c r="G7235" s="7">
        <v>3900289</v>
      </c>
      <c r="H7235" s="7">
        <v>2420</v>
      </c>
      <c r="I7235" s="7">
        <v>315</v>
      </c>
      <c r="J7235" s="7">
        <v>0</v>
      </c>
      <c r="K7235" s="7" t="s">
        <v>18</v>
      </c>
      <c r="L7235" s="8">
        <v>39987.315405092595</v>
      </c>
      <c r="M7235" s="9" t="s">
        <v>19</v>
      </c>
      <c r="N7235" s="9" t="s">
        <v>20</v>
      </c>
      <c r="O7235" s="6" t="str">
        <f>HYPERLINK("https://pbs.twimg.com/profile_images/962471262747529216/Uo8lOkRJ_normal.jpg","View")</f>
        <v>View</v>
      </c>
      <c r="P7235" s="7"/>
    </row>
    <row r="7236" spans="1:16">
      <c r="A7236" s="3">
        <v>44017.82231481481</v>
      </c>
      <c r="B7236" s="4" t="str">
        <f>HYPERLINK("https://twitter.com/petrogustavo","@petrogustavo")</f>
        <v>@petrogustavo</v>
      </c>
      <c r="C7236" s="5" t="s">
        <v>16</v>
      </c>
      <c r="D7236" s="5" t="s">
        <v>6999</v>
      </c>
      <c r="E7236" s="6" t="str">
        <f>HYPERLINK("https://twitter.com/petrogustavo/status/1279780605736235015","1279780605736235015")</f>
        <v>1279780605736235015</v>
      </c>
      <c r="F7236" s="7" t="s">
        <v>17</v>
      </c>
      <c r="G7236" s="7">
        <v>3900289</v>
      </c>
      <c r="H7236" s="7">
        <v>2420</v>
      </c>
      <c r="I7236" s="7">
        <v>32</v>
      </c>
      <c r="J7236" s="7">
        <v>65</v>
      </c>
      <c r="K7236" s="7" t="s">
        <v>18</v>
      </c>
      <c r="L7236" s="8">
        <v>39987.315405092595</v>
      </c>
      <c r="M7236" s="9" t="s">
        <v>19</v>
      </c>
      <c r="N7236" s="9" t="s">
        <v>20</v>
      </c>
      <c r="O7236" s="6" t="str">
        <f>HYPERLINK("https://pbs.twimg.com/profile_images/962471262747529216/Uo8lOkRJ_normal.jpg","View")</f>
        <v>View</v>
      </c>
      <c r="P7236" s="7"/>
    </row>
    <row r="7237" spans="1:16">
      <c r="A7237" s="3">
        <v>44017.878530092596</v>
      </c>
      <c r="B7237" s="4" t="str">
        <f>HYPERLINK("https://twitter.com/petrogustavo","@petrogustavo")</f>
        <v>@petrogustavo</v>
      </c>
      <c r="C7237" s="5" t="s">
        <v>16</v>
      </c>
      <c r="D7237" s="5" t="s">
        <v>7000</v>
      </c>
      <c r="E7237" s="6" t="str">
        <f>HYPERLINK("https://twitter.com/petrogustavo/status/1279800977885933568","1279800977885933568")</f>
        <v>1279800977885933568</v>
      </c>
      <c r="F7237" s="7" t="s">
        <v>32</v>
      </c>
      <c r="G7237" s="7">
        <v>3900331</v>
      </c>
      <c r="H7237" s="7">
        <v>2420</v>
      </c>
      <c r="I7237" s="7">
        <v>69</v>
      </c>
      <c r="J7237" s="7">
        <v>0</v>
      </c>
      <c r="K7237" s="7" t="s">
        <v>18</v>
      </c>
      <c r="L7237" s="8">
        <v>39987.315405092595</v>
      </c>
      <c r="M7237" s="9" t="s">
        <v>19</v>
      </c>
      <c r="N7237" s="9" t="s">
        <v>20</v>
      </c>
      <c r="O7237" s="6" t="str">
        <f>HYPERLINK("https://pbs.twimg.com/profile_images/962471262747529216/Uo8lOkRJ_normal.jpg","View")</f>
        <v>View</v>
      </c>
      <c r="P7237" s="7"/>
    </row>
    <row r="7238" spans="1:16">
      <c r="A7238" s="3">
        <v>44017.879837962959</v>
      </c>
      <c r="B7238" s="4" t="str">
        <f>HYPERLINK("https://twitter.com/petrogustavo","@petrogustavo")</f>
        <v>@petrogustavo</v>
      </c>
      <c r="C7238" s="5" t="s">
        <v>16</v>
      </c>
      <c r="D7238" s="5" t="s">
        <v>7001</v>
      </c>
      <c r="E7238" s="6" t="str">
        <f>HYPERLINK("https://twitter.com/petrogustavo/status/1279801452018483208","1279801452018483208")</f>
        <v>1279801452018483208</v>
      </c>
      <c r="F7238" s="7" t="s">
        <v>32</v>
      </c>
      <c r="G7238" s="7">
        <v>3900331</v>
      </c>
      <c r="H7238" s="7">
        <v>2420</v>
      </c>
      <c r="I7238" s="7">
        <v>354</v>
      </c>
      <c r="J7238" s="7">
        <v>0</v>
      </c>
      <c r="K7238" s="7" t="s">
        <v>18</v>
      </c>
      <c r="L7238" s="8">
        <v>39987.315405092595</v>
      </c>
      <c r="M7238" s="9" t="s">
        <v>19</v>
      </c>
      <c r="N7238" s="9" t="s">
        <v>20</v>
      </c>
      <c r="O7238" s="6" t="str">
        <f>HYPERLINK("https://pbs.twimg.com/profile_images/962471262747529216/Uo8lOkRJ_normal.jpg","View")</f>
        <v>View</v>
      </c>
      <c r="P7238" s="7"/>
    </row>
    <row r="7239" spans="1:16">
      <c r="A7239" s="3">
        <v>44017.890231481477</v>
      </c>
      <c r="B7239" s="4" t="str">
        <f>HYPERLINK("https://twitter.com/petrogustavo","@petrogustavo")</f>
        <v>@petrogustavo</v>
      </c>
      <c r="C7239" s="5" t="s">
        <v>16</v>
      </c>
      <c r="D7239" s="5" t="s">
        <v>7002</v>
      </c>
      <c r="E7239" s="6" t="str">
        <f>HYPERLINK("https://twitter.com/petrogustavo/status/1279805220428677120","1279805220428677120")</f>
        <v>1279805220428677120</v>
      </c>
      <c r="F7239" s="7" t="s">
        <v>32</v>
      </c>
      <c r="G7239" s="7">
        <v>3900351</v>
      </c>
      <c r="H7239" s="7">
        <v>2420</v>
      </c>
      <c r="I7239" s="7">
        <v>258</v>
      </c>
      <c r="J7239" s="7">
        <v>835</v>
      </c>
      <c r="K7239" s="7" t="s">
        <v>18</v>
      </c>
      <c r="L7239" s="8">
        <v>39987.315405092595</v>
      </c>
      <c r="M7239" s="9" t="s">
        <v>19</v>
      </c>
      <c r="N7239" s="9" t="s">
        <v>20</v>
      </c>
      <c r="O7239" s="6" t="str">
        <f>HYPERLINK("https://pbs.twimg.com/profile_images/962471262747529216/Uo8lOkRJ_normal.jpg","View")</f>
        <v>View</v>
      </c>
      <c r="P7239" s="7"/>
    </row>
    <row r="7240" spans="1:16">
      <c r="A7240" s="3">
        <v>44017.899652777778</v>
      </c>
      <c r="B7240" s="4" t="str">
        <f>HYPERLINK("https://twitter.com/petrogustavo","@petrogustavo")</f>
        <v>@petrogustavo</v>
      </c>
      <c r="C7240" s="5" t="s">
        <v>16</v>
      </c>
      <c r="D7240" s="5" t="s">
        <v>7001</v>
      </c>
      <c r="E7240" s="6" t="str">
        <f>HYPERLINK("https://twitter.com/petrogustavo/status/1279808632146857987","1279808632146857987")</f>
        <v>1279808632146857987</v>
      </c>
      <c r="F7240" s="7" t="s">
        <v>32</v>
      </c>
      <c r="G7240" s="7">
        <v>3900351</v>
      </c>
      <c r="H7240" s="7">
        <v>2420</v>
      </c>
      <c r="I7240" s="7">
        <v>451</v>
      </c>
      <c r="J7240" s="7">
        <v>0</v>
      </c>
      <c r="K7240" s="7" t="s">
        <v>18</v>
      </c>
      <c r="L7240" s="8">
        <v>39987.315405092595</v>
      </c>
      <c r="M7240" s="9" t="s">
        <v>19</v>
      </c>
      <c r="N7240" s="9" t="s">
        <v>20</v>
      </c>
      <c r="O7240" s="6" t="str">
        <f>HYPERLINK("https://pbs.twimg.com/profile_images/962471262747529216/Uo8lOkRJ_normal.jpg","View")</f>
        <v>View</v>
      </c>
      <c r="P7240" s="7"/>
    </row>
    <row r="7241" spans="1:16">
      <c r="A7241" s="3">
        <v>44017.90320601852</v>
      </c>
      <c r="B7241" s="4" t="str">
        <f>HYPERLINK("https://twitter.com/petrogustavo","@petrogustavo")</f>
        <v>@petrogustavo</v>
      </c>
      <c r="C7241" s="5" t="s">
        <v>16</v>
      </c>
      <c r="D7241" s="5" t="s">
        <v>7003</v>
      </c>
      <c r="E7241" s="6" t="str">
        <f>HYPERLINK("https://twitter.com/petrogustavo/status/1279809920574111745","1279809920574111745")</f>
        <v>1279809920574111745</v>
      </c>
      <c r="F7241" s="7" t="s">
        <v>32</v>
      </c>
      <c r="G7241" s="7">
        <v>3900351</v>
      </c>
      <c r="H7241" s="7">
        <v>2420</v>
      </c>
      <c r="I7241" s="7">
        <v>31</v>
      </c>
      <c r="J7241" s="7">
        <v>74</v>
      </c>
      <c r="K7241" s="7" t="s">
        <v>18</v>
      </c>
      <c r="L7241" s="8">
        <v>39987.315405092595</v>
      </c>
      <c r="M7241" s="9" t="s">
        <v>19</v>
      </c>
      <c r="N7241" s="9" t="s">
        <v>20</v>
      </c>
      <c r="O7241" s="6" t="str">
        <f>HYPERLINK("https://pbs.twimg.com/profile_images/962471262747529216/Uo8lOkRJ_normal.jpg","View")</f>
        <v>View</v>
      </c>
      <c r="P7241" s="7"/>
    </row>
    <row r="7242" spans="1:16">
      <c r="A7242" s="3">
        <v>44017.99936342593</v>
      </c>
      <c r="B7242" s="4" t="str">
        <f>HYPERLINK("https://twitter.com/petrogustavo","@petrogustavo")</f>
        <v>@petrogustavo</v>
      </c>
      <c r="C7242" s="5" t="s">
        <v>16</v>
      </c>
      <c r="D7242" s="5" t="s">
        <v>7004</v>
      </c>
      <c r="E7242" s="6" t="str">
        <f>HYPERLINK("https://twitter.com/petrogustavo/status/1279844766344253440","1279844766344253440")</f>
        <v>1279844766344253440</v>
      </c>
      <c r="F7242" s="7" t="s">
        <v>32</v>
      </c>
      <c r="G7242" s="7">
        <v>3900442</v>
      </c>
      <c r="H7242" s="7">
        <v>2420</v>
      </c>
      <c r="I7242" s="7">
        <v>289</v>
      </c>
      <c r="J7242" s="7">
        <v>0</v>
      </c>
      <c r="K7242" s="7" t="s">
        <v>18</v>
      </c>
      <c r="L7242" s="8">
        <v>39987.315405092595</v>
      </c>
      <c r="M7242" s="9" t="s">
        <v>19</v>
      </c>
      <c r="N7242" s="9" t="s">
        <v>20</v>
      </c>
      <c r="O7242" s="6" t="str">
        <f>HYPERLINK("https://pbs.twimg.com/profile_images/962471262747529216/Uo8lOkRJ_normal.jpg","View")</f>
        <v>View</v>
      </c>
      <c r="P7242" s="7"/>
    </row>
    <row r="7243" spans="1:16">
      <c r="A7243" s="3">
        <v>44017.999780092592</v>
      </c>
      <c r="B7243" s="4" t="str">
        <f>HYPERLINK("https://twitter.com/petrogustavo","@petrogustavo")</f>
        <v>@petrogustavo</v>
      </c>
      <c r="C7243" s="5" t="s">
        <v>16</v>
      </c>
      <c r="D7243" s="5" t="s">
        <v>7005</v>
      </c>
      <c r="E7243" s="6" t="str">
        <f>HYPERLINK("https://twitter.com/petrogustavo/status/1279844916135329793","1279844916135329793")</f>
        <v>1279844916135329793</v>
      </c>
      <c r="F7243" s="7" t="s">
        <v>32</v>
      </c>
      <c r="G7243" s="7">
        <v>3900442</v>
      </c>
      <c r="H7243" s="7">
        <v>2420</v>
      </c>
      <c r="I7243" s="7">
        <v>256</v>
      </c>
      <c r="J7243" s="7">
        <v>0</v>
      </c>
      <c r="K7243" s="7" t="s">
        <v>18</v>
      </c>
      <c r="L7243" s="8">
        <v>39987.315405092595</v>
      </c>
      <c r="M7243" s="9" t="s">
        <v>19</v>
      </c>
      <c r="N7243" s="9" t="s">
        <v>20</v>
      </c>
      <c r="O7243" s="6" t="str">
        <f>HYPERLINK("https://pbs.twimg.com/profile_images/962471262747529216/Uo8lOkRJ_normal.jpg","View")</f>
        <v>View</v>
      </c>
      <c r="P7243" s="7"/>
    </row>
    <row r="7244" spans="1:16">
      <c r="A7244" s="3">
        <v>44018.024895833332</v>
      </c>
      <c r="B7244" s="4" t="str">
        <f>HYPERLINK("https://twitter.com/petrogustavo","@petrogustavo")</f>
        <v>@petrogustavo</v>
      </c>
      <c r="C7244" s="5" t="s">
        <v>16</v>
      </c>
      <c r="D7244" s="5" t="s">
        <v>7001</v>
      </c>
      <c r="E7244" s="6" t="str">
        <f>HYPERLINK("https://twitter.com/petrogustavo/status/1279854019037577216","1279854019037577216")</f>
        <v>1279854019037577216</v>
      </c>
      <c r="F7244" s="7" t="s">
        <v>17</v>
      </c>
      <c r="G7244" s="7">
        <v>3900462</v>
      </c>
      <c r="H7244" s="7">
        <v>2420</v>
      </c>
      <c r="I7244" s="7">
        <v>774</v>
      </c>
      <c r="J7244" s="7">
        <v>0</v>
      </c>
      <c r="K7244" s="7" t="s">
        <v>18</v>
      </c>
      <c r="L7244" s="8">
        <v>39987.315405092595</v>
      </c>
      <c r="M7244" s="9" t="s">
        <v>19</v>
      </c>
      <c r="N7244" s="9" t="s">
        <v>20</v>
      </c>
      <c r="O7244" s="6" t="str">
        <f>HYPERLINK("https://pbs.twimg.com/profile_images/962471262747529216/Uo8lOkRJ_normal.jpg","View")</f>
        <v>View</v>
      </c>
      <c r="P7244" s="7"/>
    </row>
    <row r="7245" spans="1:16">
      <c r="A7245" s="3">
        <v>44018.025543981479</v>
      </c>
      <c r="B7245" s="4" t="str">
        <f>HYPERLINK("https://twitter.com/petrogustavo","@petrogustavo")</f>
        <v>@petrogustavo</v>
      </c>
      <c r="C7245" s="5" t="s">
        <v>16</v>
      </c>
      <c r="D7245" s="5" t="s">
        <v>7006</v>
      </c>
      <c r="E7245" s="6" t="str">
        <f>HYPERLINK("https://twitter.com/petrogustavo/status/1279854254694502400","1279854254694502400")</f>
        <v>1279854254694502400</v>
      </c>
      <c r="F7245" s="7" t="s">
        <v>17</v>
      </c>
      <c r="G7245" s="7">
        <v>3900462</v>
      </c>
      <c r="H7245" s="7">
        <v>2420</v>
      </c>
      <c r="I7245" s="7">
        <v>175</v>
      </c>
      <c r="J7245" s="7">
        <v>0</v>
      </c>
      <c r="K7245" s="7" t="s">
        <v>18</v>
      </c>
      <c r="L7245" s="8">
        <v>39987.315405092595</v>
      </c>
      <c r="M7245" s="9" t="s">
        <v>19</v>
      </c>
      <c r="N7245" s="9" t="s">
        <v>20</v>
      </c>
      <c r="O7245" s="6" t="str">
        <f>HYPERLINK("https://pbs.twimg.com/profile_images/962471262747529216/Uo8lOkRJ_normal.jpg","View")</f>
        <v>View</v>
      </c>
      <c r="P7245" s="7"/>
    </row>
    <row r="7246" spans="1:16">
      <c r="A7246" s="3">
        <v>44018.025624999995</v>
      </c>
      <c r="B7246" s="4" t="str">
        <f>HYPERLINK("https://twitter.com/petrogustavo","@petrogustavo")</f>
        <v>@petrogustavo</v>
      </c>
      <c r="C7246" s="5" t="s">
        <v>16</v>
      </c>
      <c r="D7246" s="5" t="s">
        <v>7007</v>
      </c>
      <c r="E7246" s="6" t="str">
        <f>HYPERLINK("https://twitter.com/petrogustavo/status/1279854282855022592","1279854282855022592")</f>
        <v>1279854282855022592</v>
      </c>
      <c r="F7246" s="7" t="s">
        <v>17</v>
      </c>
      <c r="G7246" s="7">
        <v>3900462</v>
      </c>
      <c r="H7246" s="7">
        <v>2420</v>
      </c>
      <c r="I7246" s="7">
        <v>381</v>
      </c>
      <c r="J7246" s="7">
        <v>0</v>
      </c>
      <c r="K7246" s="7" t="s">
        <v>18</v>
      </c>
      <c r="L7246" s="8">
        <v>39987.315405092595</v>
      </c>
      <c r="M7246" s="9" t="s">
        <v>19</v>
      </c>
      <c r="N7246" s="9" t="s">
        <v>20</v>
      </c>
      <c r="O7246" s="6" t="str">
        <f>HYPERLINK("https://pbs.twimg.com/profile_images/962471262747529216/Uo8lOkRJ_normal.jpg","View")</f>
        <v>View</v>
      </c>
      <c r="P7246" s="7"/>
    </row>
    <row r="7247" spans="1:16">
      <c r="A7247" s="3">
        <v>44018.025833333333</v>
      </c>
      <c r="B7247" s="4" t="str">
        <f>HYPERLINK("https://twitter.com/petrogustavo","@petrogustavo")</f>
        <v>@petrogustavo</v>
      </c>
      <c r="C7247" s="5" t="s">
        <v>16</v>
      </c>
      <c r="D7247" s="5" t="s">
        <v>7008</v>
      </c>
      <c r="E7247" s="6" t="str">
        <f>HYPERLINK("https://twitter.com/petrogustavo/status/1279854360265216000","1279854360265216000")</f>
        <v>1279854360265216000</v>
      </c>
      <c r="F7247" s="7" t="s">
        <v>17</v>
      </c>
      <c r="G7247" s="7">
        <v>3900462</v>
      </c>
      <c r="H7247" s="7">
        <v>2420</v>
      </c>
      <c r="I7247" s="7">
        <v>54</v>
      </c>
      <c r="J7247" s="7">
        <v>0</v>
      </c>
      <c r="K7247" s="7" t="s">
        <v>18</v>
      </c>
      <c r="L7247" s="8">
        <v>39987.315405092595</v>
      </c>
      <c r="M7247" s="9" t="s">
        <v>19</v>
      </c>
      <c r="N7247" s="9" t="s">
        <v>20</v>
      </c>
      <c r="O7247" s="6" t="str">
        <f>HYPERLINK("https://pbs.twimg.com/profile_images/962471262747529216/Uo8lOkRJ_normal.jpg","View")</f>
        <v>View</v>
      </c>
      <c r="P7247" s="7"/>
    </row>
    <row r="7248" spans="1:16">
      <c r="A7248" s="3">
        <v>44018.108761574069</v>
      </c>
      <c r="B7248" s="4" t="str">
        <f>HYPERLINK("https://twitter.com/petrogustavo","@petrogustavo")</f>
        <v>@petrogustavo</v>
      </c>
      <c r="C7248" s="5" t="s">
        <v>16</v>
      </c>
      <c r="D7248" s="5" t="s">
        <v>7009</v>
      </c>
      <c r="E7248" s="6" t="str">
        <f>HYPERLINK("https://twitter.com/petrogustavo/status/1279884411719364609","1279884411719364609")</f>
        <v>1279884411719364609</v>
      </c>
      <c r="F7248" s="7" t="s">
        <v>17</v>
      </c>
      <c r="G7248" s="7">
        <v>3900533</v>
      </c>
      <c r="H7248" s="7">
        <v>2420</v>
      </c>
      <c r="I7248" s="7">
        <v>223</v>
      </c>
      <c r="J7248" s="7">
        <v>0</v>
      </c>
      <c r="K7248" s="7" t="s">
        <v>18</v>
      </c>
      <c r="L7248" s="8">
        <v>39987.315405092595</v>
      </c>
      <c r="M7248" s="9" t="s">
        <v>19</v>
      </c>
      <c r="N7248" s="9" t="s">
        <v>20</v>
      </c>
      <c r="O7248" s="6" t="str">
        <f>HYPERLINK("https://pbs.twimg.com/profile_images/962471262747529216/Uo8lOkRJ_normal.jpg","View")</f>
        <v>View</v>
      </c>
      <c r="P7248" s="7"/>
    </row>
    <row r="7249" spans="1:16">
      <c r="A7249" s="3">
        <v>44018.109259259261</v>
      </c>
      <c r="B7249" s="4" t="str">
        <f>HYPERLINK("https://twitter.com/petrogustavo","@petrogustavo")</f>
        <v>@petrogustavo</v>
      </c>
      <c r="C7249" s="5" t="s">
        <v>16</v>
      </c>
      <c r="D7249" s="5" t="s">
        <v>7010</v>
      </c>
      <c r="E7249" s="6" t="str">
        <f>HYPERLINK("https://twitter.com/petrogustavo/status/1279884592372166657","1279884592372166657")</f>
        <v>1279884592372166657</v>
      </c>
      <c r="F7249" s="7" t="s">
        <v>17</v>
      </c>
      <c r="G7249" s="7">
        <v>3900533</v>
      </c>
      <c r="H7249" s="7">
        <v>2420</v>
      </c>
      <c r="I7249" s="7">
        <v>92</v>
      </c>
      <c r="J7249" s="7">
        <v>0</v>
      </c>
      <c r="K7249" s="7" t="s">
        <v>18</v>
      </c>
      <c r="L7249" s="8">
        <v>39987.315405092595</v>
      </c>
      <c r="M7249" s="9" t="s">
        <v>19</v>
      </c>
      <c r="N7249" s="9" t="s">
        <v>20</v>
      </c>
      <c r="O7249" s="6" t="str">
        <f>HYPERLINK("https://pbs.twimg.com/profile_images/962471262747529216/Uo8lOkRJ_normal.jpg","View")</f>
        <v>View</v>
      </c>
      <c r="P7249" s="7"/>
    </row>
    <row r="7250" spans="1:16">
      <c r="A7250" s="3">
        <v>44018.11010416667</v>
      </c>
      <c r="B7250" s="4" t="str">
        <f>HYPERLINK("https://twitter.com/petrogustavo","@petrogustavo")</f>
        <v>@petrogustavo</v>
      </c>
      <c r="C7250" s="5" t="s">
        <v>16</v>
      </c>
      <c r="D7250" s="5" t="s">
        <v>7011</v>
      </c>
      <c r="E7250" s="6" t="str">
        <f>HYPERLINK("https://twitter.com/petrogustavo/status/1279884900104056835","1279884900104056835")</f>
        <v>1279884900104056835</v>
      </c>
      <c r="F7250" s="7" t="s">
        <v>17</v>
      </c>
      <c r="G7250" s="7">
        <v>3900533</v>
      </c>
      <c r="H7250" s="7">
        <v>2420</v>
      </c>
      <c r="I7250" s="7">
        <v>94</v>
      </c>
      <c r="J7250" s="7">
        <v>383</v>
      </c>
      <c r="K7250" s="7" t="s">
        <v>18</v>
      </c>
      <c r="L7250" s="8">
        <v>39987.315405092595</v>
      </c>
      <c r="M7250" s="9" t="s">
        <v>19</v>
      </c>
      <c r="N7250" s="9" t="s">
        <v>20</v>
      </c>
      <c r="O7250" s="6" t="str">
        <f>HYPERLINK("https://pbs.twimg.com/profile_images/962471262747529216/Uo8lOkRJ_normal.jpg","View")</f>
        <v>View</v>
      </c>
      <c r="P7250" s="7"/>
    </row>
    <row r="7251" spans="1:16">
      <c r="A7251" s="3">
        <v>44018.114664351851</v>
      </c>
      <c r="B7251" s="4" t="str">
        <f>HYPERLINK("https://twitter.com/petrogustavo","@petrogustavo")</f>
        <v>@petrogustavo</v>
      </c>
      <c r="C7251" s="5" t="s">
        <v>16</v>
      </c>
      <c r="D7251" s="5" t="s">
        <v>7012</v>
      </c>
      <c r="E7251" s="6" t="str">
        <f>HYPERLINK("https://twitter.com/petrogustavo/status/1279886552018157574","1279886552018157574")</f>
        <v>1279886552018157574</v>
      </c>
      <c r="F7251" s="7" t="s">
        <v>17</v>
      </c>
      <c r="G7251" s="7">
        <v>3900533</v>
      </c>
      <c r="H7251" s="7">
        <v>2420</v>
      </c>
      <c r="I7251" s="7">
        <v>24</v>
      </c>
      <c r="J7251" s="7">
        <v>0</v>
      </c>
      <c r="K7251" s="7" t="s">
        <v>18</v>
      </c>
      <c r="L7251" s="8">
        <v>39987.315405092595</v>
      </c>
      <c r="M7251" s="9" t="s">
        <v>19</v>
      </c>
      <c r="N7251" s="9" t="s">
        <v>20</v>
      </c>
      <c r="O7251" s="6" t="str">
        <f>HYPERLINK("https://pbs.twimg.com/profile_images/962471262747529216/Uo8lOkRJ_normal.jpg","View")</f>
        <v>View</v>
      </c>
      <c r="P7251" s="7"/>
    </row>
    <row r="7252" spans="1:16">
      <c r="A7252" s="3">
        <v>44018.115439814814</v>
      </c>
      <c r="B7252" s="4" t="str">
        <f>HYPERLINK("https://twitter.com/petrogustavo","@petrogustavo")</f>
        <v>@petrogustavo</v>
      </c>
      <c r="C7252" s="5" t="s">
        <v>16</v>
      </c>
      <c r="D7252" s="5" t="s">
        <v>7013</v>
      </c>
      <c r="E7252" s="6" t="str">
        <f>HYPERLINK("https://twitter.com/petrogustavo/status/1279886831283306496","1279886831283306496")</f>
        <v>1279886831283306496</v>
      </c>
      <c r="F7252" s="7" t="s">
        <v>17</v>
      </c>
      <c r="G7252" s="7">
        <v>3900533</v>
      </c>
      <c r="H7252" s="7">
        <v>2420</v>
      </c>
      <c r="I7252" s="7">
        <v>249</v>
      </c>
      <c r="J7252" s="7">
        <v>0</v>
      </c>
      <c r="K7252" s="7" t="s">
        <v>18</v>
      </c>
      <c r="L7252" s="8">
        <v>39987.315405092595</v>
      </c>
      <c r="M7252" s="9" t="s">
        <v>19</v>
      </c>
      <c r="N7252" s="9" t="s">
        <v>20</v>
      </c>
      <c r="O7252" s="6" t="str">
        <f>HYPERLINK("https://pbs.twimg.com/profile_images/962471262747529216/Uo8lOkRJ_normal.jpg","View")</f>
        <v>View</v>
      </c>
      <c r="P7252" s="7"/>
    </row>
    <row r="7253" spans="1:16">
      <c r="A7253" s="3">
        <v>44018.122731481482</v>
      </c>
      <c r="B7253" s="4" t="str">
        <f>HYPERLINK("https://twitter.com/petrogustavo","@petrogustavo")</f>
        <v>@petrogustavo</v>
      </c>
      <c r="C7253" s="5" t="s">
        <v>16</v>
      </c>
      <c r="D7253" s="5" t="s">
        <v>7014</v>
      </c>
      <c r="E7253" s="6" t="str">
        <f>HYPERLINK("https://twitter.com/petrogustavo/status/1279889475498397702","1279889475498397702")</f>
        <v>1279889475498397702</v>
      </c>
      <c r="F7253" s="7" t="s">
        <v>17</v>
      </c>
      <c r="G7253" s="7">
        <v>3900554</v>
      </c>
      <c r="H7253" s="7">
        <v>2420</v>
      </c>
      <c r="I7253" s="7">
        <v>84</v>
      </c>
      <c r="J7253" s="7">
        <v>188</v>
      </c>
      <c r="K7253" s="7" t="s">
        <v>18</v>
      </c>
      <c r="L7253" s="8">
        <v>39987.315405092595</v>
      </c>
      <c r="M7253" s="9" t="s">
        <v>19</v>
      </c>
      <c r="N7253" s="9" t="s">
        <v>20</v>
      </c>
      <c r="O7253" s="6" t="str">
        <f>HYPERLINK("https://pbs.twimg.com/profile_images/962471262747529216/Uo8lOkRJ_normal.jpg","View")</f>
        <v>View</v>
      </c>
      <c r="P7253" s="7"/>
    </row>
    <row r="7254" spans="1:16">
      <c r="A7254" s="3">
        <v>44018.14335648148</v>
      </c>
      <c r="B7254" s="4" t="str">
        <f>HYPERLINK("https://twitter.com/petrogustavo","@petrogustavo")</f>
        <v>@petrogustavo</v>
      </c>
      <c r="C7254" s="5" t="s">
        <v>16</v>
      </c>
      <c r="D7254" s="5" t="s">
        <v>7015</v>
      </c>
      <c r="E7254" s="6" t="str">
        <f>HYPERLINK("https://twitter.com/petrogustavo/status/1279896950133964800","1279896950133964800")</f>
        <v>1279896950133964800</v>
      </c>
      <c r="F7254" s="7" t="s">
        <v>17</v>
      </c>
      <c r="G7254" s="7">
        <v>3900564</v>
      </c>
      <c r="H7254" s="7">
        <v>2420</v>
      </c>
      <c r="I7254" s="7">
        <v>80</v>
      </c>
      <c r="J7254" s="7">
        <v>303</v>
      </c>
      <c r="K7254" s="7" t="s">
        <v>18</v>
      </c>
      <c r="L7254" s="8">
        <v>39987.315405092595</v>
      </c>
      <c r="M7254" s="9" t="s">
        <v>19</v>
      </c>
      <c r="N7254" s="9" t="s">
        <v>20</v>
      </c>
      <c r="O7254" s="6" t="str">
        <f>HYPERLINK("https://pbs.twimg.com/profile_images/962471262747529216/Uo8lOkRJ_normal.jpg","View")</f>
        <v>View</v>
      </c>
      <c r="P7254" s="7"/>
    </row>
    <row r="7255" spans="1:16">
      <c r="A7255" s="3">
        <v>44018.149305555555</v>
      </c>
      <c r="B7255" s="4" t="str">
        <f>HYPERLINK("https://twitter.com/petrogustavo","@petrogustavo")</f>
        <v>@petrogustavo</v>
      </c>
      <c r="C7255" s="5" t="s">
        <v>16</v>
      </c>
      <c r="D7255" s="5" t="s">
        <v>7016</v>
      </c>
      <c r="E7255" s="6" t="str">
        <f>HYPERLINK("https://twitter.com/petrogustavo/status/1279899105733627907","1279899105733627907")</f>
        <v>1279899105733627907</v>
      </c>
      <c r="F7255" s="7" t="s">
        <v>17</v>
      </c>
      <c r="G7255" s="7">
        <v>3900564</v>
      </c>
      <c r="H7255" s="7">
        <v>2420</v>
      </c>
      <c r="I7255" s="7">
        <v>41</v>
      </c>
      <c r="J7255" s="7">
        <v>0</v>
      </c>
      <c r="K7255" s="7" t="s">
        <v>18</v>
      </c>
      <c r="L7255" s="8">
        <v>39987.315405092595</v>
      </c>
      <c r="M7255" s="9" t="s">
        <v>19</v>
      </c>
      <c r="N7255" s="9" t="s">
        <v>20</v>
      </c>
      <c r="O7255" s="6" t="str">
        <f>HYPERLINK("https://pbs.twimg.com/profile_images/962471262747529216/Uo8lOkRJ_normal.jpg","View")</f>
        <v>View</v>
      </c>
      <c r="P7255" s="7"/>
    </row>
    <row r="7256" spans="1:16">
      <c r="A7256" s="3">
        <v>44018.150057870371</v>
      </c>
      <c r="B7256" s="4" t="str">
        <f>HYPERLINK("https://twitter.com/petrogustavo","@petrogustavo")</f>
        <v>@petrogustavo</v>
      </c>
      <c r="C7256" s="5" t="s">
        <v>16</v>
      </c>
      <c r="D7256" s="5" t="s">
        <v>7017</v>
      </c>
      <c r="E7256" s="6" t="str">
        <f>HYPERLINK("https://twitter.com/petrogustavo/status/1279899374961688579","1279899374961688579")</f>
        <v>1279899374961688579</v>
      </c>
      <c r="F7256" s="7" t="s">
        <v>17</v>
      </c>
      <c r="G7256" s="7">
        <v>3900564</v>
      </c>
      <c r="H7256" s="7">
        <v>2420</v>
      </c>
      <c r="I7256" s="7">
        <v>599</v>
      </c>
      <c r="J7256" s="7">
        <v>0</v>
      </c>
      <c r="K7256" s="7" t="s">
        <v>18</v>
      </c>
      <c r="L7256" s="8">
        <v>39987.315405092595</v>
      </c>
      <c r="M7256" s="9" t="s">
        <v>19</v>
      </c>
      <c r="N7256" s="9" t="s">
        <v>20</v>
      </c>
      <c r="O7256" s="6" t="str">
        <f>HYPERLINK("https://pbs.twimg.com/profile_images/962471262747529216/Uo8lOkRJ_normal.jpg","View")</f>
        <v>View</v>
      </c>
      <c r="P7256" s="7"/>
    </row>
    <row r="7257" spans="1:16">
      <c r="A7257" s="3">
        <v>44018.150219907402</v>
      </c>
      <c r="B7257" s="4" t="str">
        <f>HYPERLINK("https://twitter.com/petrogustavo","@petrogustavo")</f>
        <v>@petrogustavo</v>
      </c>
      <c r="C7257" s="5" t="s">
        <v>16</v>
      </c>
      <c r="D7257" s="5" t="s">
        <v>7018</v>
      </c>
      <c r="E7257" s="6" t="str">
        <f>HYPERLINK("https://twitter.com/petrogustavo/status/1279899436924239877","1279899436924239877")</f>
        <v>1279899436924239877</v>
      </c>
      <c r="F7257" s="7" t="s">
        <v>17</v>
      </c>
      <c r="G7257" s="7">
        <v>3900564</v>
      </c>
      <c r="H7257" s="7">
        <v>2420</v>
      </c>
      <c r="I7257" s="7">
        <v>80</v>
      </c>
      <c r="J7257" s="7">
        <v>0</v>
      </c>
      <c r="K7257" s="7" t="s">
        <v>18</v>
      </c>
      <c r="L7257" s="8">
        <v>39987.315405092595</v>
      </c>
      <c r="M7257" s="9" t="s">
        <v>19</v>
      </c>
      <c r="N7257" s="9" t="s">
        <v>20</v>
      </c>
      <c r="O7257" s="6" t="str">
        <f>HYPERLINK("https://pbs.twimg.com/profile_images/962471262747529216/Uo8lOkRJ_normal.jpg","View")</f>
        <v>View</v>
      </c>
      <c r="P7257" s="7"/>
    </row>
    <row r="7258" spans="1:16">
      <c r="A7258" s="3">
        <v>44018.187314814815</v>
      </c>
      <c r="B7258" s="4" t="str">
        <f>HYPERLINK("https://twitter.com/petrogustavo","@petrogustavo")</f>
        <v>@petrogustavo</v>
      </c>
      <c r="C7258" s="5" t="s">
        <v>16</v>
      </c>
      <c r="D7258" s="5" t="s">
        <v>7019</v>
      </c>
      <c r="E7258" s="6" t="str">
        <f>HYPERLINK("https://twitter.com/petrogustavo/status/1279912880230596608","1279912880230596608")</f>
        <v>1279912880230596608</v>
      </c>
      <c r="F7258" s="7" t="s">
        <v>17</v>
      </c>
      <c r="G7258" s="7">
        <v>3900607</v>
      </c>
      <c r="H7258" s="7">
        <v>2420</v>
      </c>
      <c r="I7258" s="7">
        <v>182</v>
      </c>
      <c r="J7258" s="7">
        <v>0</v>
      </c>
      <c r="K7258" s="7" t="s">
        <v>18</v>
      </c>
      <c r="L7258" s="8">
        <v>39987.315405092595</v>
      </c>
      <c r="M7258" s="9" t="s">
        <v>19</v>
      </c>
      <c r="N7258" s="9" t="s">
        <v>20</v>
      </c>
      <c r="O7258" s="6" t="str">
        <f>HYPERLINK("https://pbs.twimg.com/profile_images/962471262747529216/Uo8lOkRJ_normal.jpg","View")</f>
        <v>View</v>
      </c>
      <c r="P7258" s="7"/>
    </row>
    <row r="7259" spans="1:16">
      <c r="A7259" s="3">
        <v>44018.267870370371</v>
      </c>
      <c r="B7259" s="4" t="str">
        <f>HYPERLINK("https://twitter.com/petrogustavo","@petrogustavo")</f>
        <v>@petrogustavo</v>
      </c>
      <c r="C7259" s="5" t="s">
        <v>16</v>
      </c>
      <c r="D7259" s="5" t="s">
        <v>7020</v>
      </c>
      <c r="E7259" s="6" t="str">
        <f>HYPERLINK("https://twitter.com/petrogustavo/status/1279942071273639936","1279942071273639936")</f>
        <v>1279942071273639936</v>
      </c>
      <c r="F7259" s="7" t="s">
        <v>17</v>
      </c>
      <c r="G7259" s="7">
        <v>3900706</v>
      </c>
      <c r="H7259" s="7">
        <v>2420</v>
      </c>
      <c r="I7259" s="7">
        <v>98</v>
      </c>
      <c r="J7259" s="7">
        <v>0</v>
      </c>
      <c r="K7259" s="7" t="s">
        <v>18</v>
      </c>
      <c r="L7259" s="8">
        <v>39987.315405092595</v>
      </c>
      <c r="M7259" s="9" t="s">
        <v>19</v>
      </c>
      <c r="N7259" s="9" t="s">
        <v>20</v>
      </c>
      <c r="O7259" s="6" t="str">
        <f>HYPERLINK("https://pbs.twimg.com/profile_images/962471262747529216/Uo8lOkRJ_normal.jpg","View")</f>
        <v>View</v>
      </c>
      <c r="P7259" s="7"/>
    </row>
    <row r="7260" spans="1:16">
      <c r="A7260" s="3">
        <v>44018.270949074074</v>
      </c>
      <c r="B7260" s="4" t="str">
        <f>HYPERLINK("https://twitter.com/petrogustavo","@petrogustavo")</f>
        <v>@petrogustavo</v>
      </c>
      <c r="C7260" s="5" t="s">
        <v>16</v>
      </c>
      <c r="D7260" s="5" t="s">
        <v>7019</v>
      </c>
      <c r="E7260" s="6" t="str">
        <f>HYPERLINK("https://twitter.com/petrogustavo/status/1279943185154953218","1279943185154953218")</f>
        <v>1279943185154953218</v>
      </c>
      <c r="F7260" s="7" t="s">
        <v>17</v>
      </c>
      <c r="G7260" s="7">
        <v>3900706</v>
      </c>
      <c r="H7260" s="7">
        <v>2420</v>
      </c>
      <c r="I7260" s="7">
        <v>325</v>
      </c>
      <c r="J7260" s="7">
        <v>0</v>
      </c>
      <c r="K7260" s="7" t="s">
        <v>18</v>
      </c>
      <c r="L7260" s="8">
        <v>39987.315405092595</v>
      </c>
      <c r="M7260" s="9" t="s">
        <v>19</v>
      </c>
      <c r="N7260" s="9" t="s">
        <v>20</v>
      </c>
      <c r="O7260" s="6" t="str">
        <f>HYPERLINK("https://pbs.twimg.com/profile_images/962471262747529216/Uo8lOkRJ_normal.jpg","View")</f>
        <v>View</v>
      </c>
      <c r="P7260" s="7"/>
    </row>
    <row r="7261" spans="1:16">
      <c r="A7261" s="3">
        <v>44018.75513888889</v>
      </c>
      <c r="B7261" s="4" t="str">
        <f>HYPERLINK("https://twitter.com/petrogustavo","@petrogustavo")</f>
        <v>@petrogustavo</v>
      </c>
      <c r="C7261" s="5" t="s">
        <v>16</v>
      </c>
      <c r="D7261" s="5" t="s">
        <v>7021</v>
      </c>
      <c r="E7261" s="6" t="str">
        <f>HYPERLINK("https://twitter.com/petrogustavo/status/1280118651950190593","1280118651950190593")</f>
        <v>1280118651950190593</v>
      </c>
      <c r="F7261" s="7" t="s">
        <v>17</v>
      </c>
      <c r="G7261" s="7">
        <v>3900869</v>
      </c>
      <c r="H7261" s="7">
        <v>2420</v>
      </c>
      <c r="I7261" s="7">
        <v>55</v>
      </c>
      <c r="J7261" s="7">
        <v>0</v>
      </c>
      <c r="K7261" s="7" t="s">
        <v>18</v>
      </c>
      <c r="L7261" s="8">
        <v>39987.315405092595</v>
      </c>
      <c r="M7261" s="9" t="s">
        <v>19</v>
      </c>
      <c r="N7261" s="9" t="s">
        <v>20</v>
      </c>
      <c r="O7261" s="6" t="str">
        <f>HYPERLINK("https://pbs.twimg.com/profile_images/962471262747529216/Uo8lOkRJ_normal.jpg","View")</f>
        <v>View</v>
      </c>
      <c r="P7261" s="7"/>
    </row>
    <row r="7262" spans="1:16">
      <c r="A7262" s="3">
        <v>44018.755196759259</v>
      </c>
      <c r="B7262" s="4" t="str">
        <f>HYPERLINK("https://twitter.com/petrogustavo","@petrogustavo")</f>
        <v>@petrogustavo</v>
      </c>
      <c r="C7262" s="5" t="s">
        <v>16</v>
      </c>
      <c r="D7262" s="5" t="s">
        <v>7022</v>
      </c>
      <c r="E7262" s="6" t="str">
        <f>HYPERLINK("https://twitter.com/petrogustavo/status/1280118671743111168","1280118671743111168")</f>
        <v>1280118671743111168</v>
      </c>
      <c r="F7262" s="7" t="s">
        <v>17</v>
      </c>
      <c r="G7262" s="7">
        <v>3900869</v>
      </c>
      <c r="H7262" s="7">
        <v>2420</v>
      </c>
      <c r="I7262" s="7">
        <v>52</v>
      </c>
      <c r="J7262" s="7">
        <v>0</v>
      </c>
      <c r="K7262" s="7" t="s">
        <v>18</v>
      </c>
      <c r="L7262" s="8">
        <v>39987.315405092595</v>
      </c>
      <c r="M7262" s="9" t="s">
        <v>19</v>
      </c>
      <c r="N7262" s="9" t="s">
        <v>20</v>
      </c>
      <c r="O7262" s="6" t="str">
        <f>HYPERLINK("https://pbs.twimg.com/profile_images/962471262747529216/Uo8lOkRJ_normal.jpg","View")</f>
        <v>View</v>
      </c>
      <c r="P7262" s="7"/>
    </row>
    <row r="7263" spans="1:16">
      <c r="A7263" s="3">
        <v>44018.755439814813</v>
      </c>
      <c r="B7263" s="4" t="str">
        <f>HYPERLINK("https://twitter.com/petrogustavo","@petrogustavo")</f>
        <v>@petrogustavo</v>
      </c>
      <c r="C7263" s="5" t="s">
        <v>16</v>
      </c>
      <c r="D7263" s="5" t="s">
        <v>7023</v>
      </c>
      <c r="E7263" s="6" t="str">
        <f>HYPERLINK("https://twitter.com/petrogustavo/status/1280118761484365824","1280118761484365824")</f>
        <v>1280118761484365824</v>
      </c>
      <c r="F7263" s="7" t="s">
        <v>17</v>
      </c>
      <c r="G7263" s="7">
        <v>3900869</v>
      </c>
      <c r="H7263" s="7">
        <v>2420</v>
      </c>
      <c r="I7263" s="7">
        <v>46</v>
      </c>
      <c r="J7263" s="7">
        <v>0</v>
      </c>
      <c r="K7263" s="7" t="s">
        <v>18</v>
      </c>
      <c r="L7263" s="8">
        <v>39987.315405092595</v>
      </c>
      <c r="M7263" s="9" t="s">
        <v>19</v>
      </c>
      <c r="N7263" s="9" t="s">
        <v>20</v>
      </c>
      <c r="O7263" s="6" t="str">
        <f>HYPERLINK("https://pbs.twimg.com/profile_images/962471262747529216/Uo8lOkRJ_normal.jpg","View")</f>
        <v>View</v>
      </c>
      <c r="P7263" s="7"/>
    </row>
    <row r="7264" spans="1:16">
      <c r="A7264" s="3">
        <v>44018.755625000005</v>
      </c>
      <c r="B7264" s="4" t="str">
        <f>HYPERLINK("https://twitter.com/petrogustavo","@petrogustavo")</f>
        <v>@petrogustavo</v>
      </c>
      <c r="C7264" s="5" t="s">
        <v>16</v>
      </c>
      <c r="D7264" s="5" t="s">
        <v>7024</v>
      </c>
      <c r="E7264" s="6" t="str">
        <f>HYPERLINK("https://twitter.com/petrogustavo/status/1280118826902917122","1280118826902917122")</f>
        <v>1280118826902917122</v>
      </c>
      <c r="F7264" s="7" t="s">
        <v>17</v>
      </c>
      <c r="G7264" s="7">
        <v>3900869</v>
      </c>
      <c r="H7264" s="7">
        <v>2420</v>
      </c>
      <c r="I7264" s="7">
        <v>33</v>
      </c>
      <c r="J7264" s="7">
        <v>0</v>
      </c>
      <c r="K7264" s="7" t="s">
        <v>18</v>
      </c>
      <c r="L7264" s="8">
        <v>39987.315405092595</v>
      </c>
      <c r="M7264" s="9" t="s">
        <v>19</v>
      </c>
      <c r="N7264" s="9" t="s">
        <v>20</v>
      </c>
      <c r="O7264" s="6" t="str">
        <f>HYPERLINK("https://pbs.twimg.com/profile_images/962471262747529216/Uo8lOkRJ_normal.jpg","View")</f>
        <v>View</v>
      </c>
      <c r="P7264" s="7"/>
    </row>
    <row r="7265" spans="1:16">
      <c r="A7265" s="3">
        <v>44018.755798611106</v>
      </c>
      <c r="B7265" s="4" t="str">
        <f>HYPERLINK("https://twitter.com/petrogustavo","@petrogustavo")</f>
        <v>@petrogustavo</v>
      </c>
      <c r="C7265" s="5" t="s">
        <v>16</v>
      </c>
      <c r="D7265" s="5" t="s">
        <v>7025</v>
      </c>
      <c r="E7265" s="6" t="str">
        <f>HYPERLINK("https://twitter.com/petrogustavo/status/1280118890044035077","1280118890044035077")</f>
        <v>1280118890044035077</v>
      </c>
      <c r="F7265" s="7" t="s">
        <v>17</v>
      </c>
      <c r="G7265" s="7">
        <v>3900869</v>
      </c>
      <c r="H7265" s="7">
        <v>2420</v>
      </c>
      <c r="I7265" s="7">
        <v>41</v>
      </c>
      <c r="J7265" s="7">
        <v>0</v>
      </c>
      <c r="K7265" s="7" t="s">
        <v>18</v>
      </c>
      <c r="L7265" s="8">
        <v>39987.315405092595</v>
      </c>
      <c r="M7265" s="9" t="s">
        <v>19</v>
      </c>
      <c r="N7265" s="9" t="s">
        <v>20</v>
      </c>
      <c r="O7265" s="6" t="str">
        <f>HYPERLINK("https://pbs.twimg.com/profile_images/962471262747529216/Uo8lOkRJ_normal.jpg","View")</f>
        <v>View</v>
      </c>
      <c r="P7265" s="7"/>
    </row>
    <row r="7266" spans="1:16">
      <c r="A7266" s="3">
        <v>44018.755868055552</v>
      </c>
      <c r="B7266" s="4" t="str">
        <f>HYPERLINK("https://twitter.com/petrogustavo","@petrogustavo")</f>
        <v>@petrogustavo</v>
      </c>
      <c r="C7266" s="5" t="s">
        <v>16</v>
      </c>
      <c r="D7266" s="5" t="s">
        <v>7026</v>
      </c>
      <c r="E7266" s="6" t="str">
        <f>HYPERLINK("https://twitter.com/petrogustavo/status/1280118915218255872","1280118915218255872")</f>
        <v>1280118915218255872</v>
      </c>
      <c r="F7266" s="7" t="s">
        <v>17</v>
      </c>
      <c r="G7266" s="7">
        <v>3900869</v>
      </c>
      <c r="H7266" s="7">
        <v>2420</v>
      </c>
      <c r="I7266" s="7">
        <v>56</v>
      </c>
      <c r="J7266" s="7">
        <v>0</v>
      </c>
      <c r="K7266" s="7" t="s">
        <v>18</v>
      </c>
      <c r="L7266" s="8">
        <v>39987.315405092595</v>
      </c>
      <c r="M7266" s="9" t="s">
        <v>19</v>
      </c>
      <c r="N7266" s="9" t="s">
        <v>20</v>
      </c>
      <c r="O7266" s="6" t="str">
        <f>HYPERLINK("https://pbs.twimg.com/profile_images/962471262747529216/Uo8lOkRJ_normal.jpg","View")</f>
        <v>View</v>
      </c>
      <c r="P7266" s="7"/>
    </row>
    <row r="7267" spans="1:16">
      <c r="A7267" s="3">
        <v>44018.756145833337</v>
      </c>
      <c r="B7267" s="4" t="str">
        <f>HYPERLINK("https://twitter.com/petrogustavo","@petrogustavo")</f>
        <v>@petrogustavo</v>
      </c>
      <c r="C7267" s="5" t="s">
        <v>16</v>
      </c>
      <c r="D7267" s="5" t="s">
        <v>7027</v>
      </c>
      <c r="E7267" s="6" t="str">
        <f>HYPERLINK("https://twitter.com/petrogustavo/status/1280119015197851653","1280119015197851653")</f>
        <v>1280119015197851653</v>
      </c>
      <c r="F7267" s="7" t="s">
        <v>17</v>
      </c>
      <c r="G7267" s="7">
        <v>3900869</v>
      </c>
      <c r="H7267" s="7">
        <v>2420</v>
      </c>
      <c r="I7267" s="7">
        <v>17</v>
      </c>
      <c r="J7267" s="7">
        <v>0</v>
      </c>
      <c r="K7267" s="7" t="s">
        <v>18</v>
      </c>
      <c r="L7267" s="8">
        <v>39987.315405092595</v>
      </c>
      <c r="M7267" s="9" t="s">
        <v>19</v>
      </c>
      <c r="N7267" s="9" t="s">
        <v>20</v>
      </c>
      <c r="O7267" s="6" t="str">
        <f>HYPERLINK("https://pbs.twimg.com/profile_images/962471262747529216/Uo8lOkRJ_normal.jpg","View")</f>
        <v>View</v>
      </c>
      <c r="P7267" s="7"/>
    </row>
    <row r="7268" spans="1:16">
      <c r="A7268" s="3">
        <v>44018.756168981483</v>
      </c>
      <c r="B7268" s="4" t="str">
        <f>HYPERLINK("https://twitter.com/petrogustavo","@petrogustavo")</f>
        <v>@petrogustavo</v>
      </c>
      <c r="C7268" s="5" t="s">
        <v>16</v>
      </c>
      <c r="D7268" s="5" t="s">
        <v>7028</v>
      </c>
      <c r="E7268" s="6" t="str">
        <f>HYPERLINK("https://twitter.com/petrogustavo/status/1280119023523356673","1280119023523356673")</f>
        <v>1280119023523356673</v>
      </c>
      <c r="F7268" s="7" t="s">
        <v>17</v>
      </c>
      <c r="G7268" s="7">
        <v>3900869</v>
      </c>
      <c r="H7268" s="7">
        <v>2420</v>
      </c>
      <c r="I7268" s="7">
        <v>21</v>
      </c>
      <c r="J7268" s="7">
        <v>0</v>
      </c>
      <c r="K7268" s="7" t="s">
        <v>18</v>
      </c>
      <c r="L7268" s="8">
        <v>39987.315405092595</v>
      </c>
      <c r="M7268" s="9" t="s">
        <v>19</v>
      </c>
      <c r="N7268" s="9" t="s">
        <v>20</v>
      </c>
      <c r="O7268" s="6" t="str">
        <f>HYPERLINK("https://pbs.twimg.com/profile_images/962471262747529216/Uo8lOkRJ_normal.jpg","View")</f>
        <v>View</v>
      </c>
      <c r="P7268" s="7"/>
    </row>
    <row r="7269" spans="1:16">
      <c r="A7269" s="3">
        <v>44018.756493055553</v>
      </c>
      <c r="B7269" s="4" t="str">
        <f>HYPERLINK("https://twitter.com/petrogustavo","@petrogustavo")</f>
        <v>@petrogustavo</v>
      </c>
      <c r="C7269" s="5" t="s">
        <v>16</v>
      </c>
      <c r="D7269" s="5" t="s">
        <v>7029</v>
      </c>
      <c r="E7269" s="6" t="str">
        <f>HYPERLINK("https://twitter.com/petrogustavo/status/1280119140943003649","1280119140943003649")</f>
        <v>1280119140943003649</v>
      </c>
      <c r="F7269" s="7" t="s">
        <v>17</v>
      </c>
      <c r="G7269" s="7">
        <v>3900869</v>
      </c>
      <c r="H7269" s="7">
        <v>2420</v>
      </c>
      <c r="I7269" s="7">
        <v>69</v>
      </c>
      <c r="J7269" s="7">
        <v>0</v>
      </c>
      <c r="K7269" s="7" t="s">
        <v>18</v>
      </c>
      <c r="L7269" s="8">
        <v>39987.315405092595</v>
      </c>
      <c r="M7269" s="9" t="s">
        <v>19</v>
      </c>
      <c r="N7269" s="9" t="s">
        <v>20</v>
      </c>
      <c r="O7269" s="6" t="str">
        <f>HYPERLINK("https://pbs.twimg.com/profile_images/962471262747529216/Uo8lOkRJ_normal.jpg","View")</f>
        <v>View</v>
      </c>
      <c r="P7269" s="7"/>
    </row>
    <row r="7270" spans="1:16">
      <c r="A7270" s="3">
        <v>44018.756608796291</v>
      </c>
      <c r="B7270" s="4" t="str">
        <f>HYPERLINK("https://twitter.com/petrogustavo","@petrogustavo")</f>
        <v>@petrogustavo</v>
      </c>
      <c r="C7270" s="5" t="s">
        <v>16</v>
      </c>
      <c r="D7270" s="5" t="s">
        <v>7030</v>
      </c>
      <c r="E7270" s="6" t="str">
        <f>HYPERLINK("https://twitter.com/petrogustavo/status/1280119183905304578","1280119183905304578")</f>
        <v>1280119183905304578</v>
      </c>
      <c r="F7270" s="7" t="s">
        <v>17</v>
      </c>
      <c r="G7270" s="7">
        <v>3900869</v>
      </c>
      <c r="H7270" s="7">
        <v>2420</v>
      </c>
      <c r="I7270" s="7">
        <v>30</v>
      </c>
      <c r="J7270" s="7">
        <v>0</v>
      </c>
      <c r="K7270" s="7" t="s">
        <v>18</v>
      </c>
      <c r="L7270" s="8">
        <v>39987.315405092595</v>
      </c>
      <c r="M7270" s="9" t="s">
        <v>19</v>
      </c>
      <c r="N7270" s="9" t="s">
        <v>20</v>
      </c>
      <c r="O7270" s="6" t="str">
        <f>HYPERLINK("https://pbs.twimg.com/profile_images/962471262747529216/Uo8lOkRJ_normal.jpg","View")</f>
        <v>View</v>
      </c>
      <c r="P7270" s="7"/>
    </row>
    <row r="7271" spans="1:16">
      <c r="A7271" s="3">
        <v>44018.759502314817</v>
      </c>
      <c r="B7271" s="4" t="str">
        <f>HYPERLINK("https://twitter.com/petrogustavo","@petrogustavo")</f>
        <v>@petrogustavo</v>
      </c>
      <c r="C7271" s="5" t="s">
        <v>16</v>
      </c>
      <c r="D7271" s="5" t="s">
        <v>7031</v>
      </c>
      <c r="E7271" s="6" t="str">
        <f>HYPERLINK("https://twitter.com/petrogustavo/status/1280120232334540800","1280120232334540800")</f>
        <v>1280120232334540800</v>
      </c>
      <c r="F7271" s="7" t="s">
        <v>17</v>
      </c>
      <c r="G7271" s="7">
        <v>3900869</v>
      </c>
      <c r="H7271" s="7">
        <v>2420</v>
      </c>
      <c r="I7271" s="7">
        <v>48</v>
      </c>
      <c r="J7271" s="7">
        <v>0</v>
      </c>
      <c r="K7271" s="7" t="s">
        <v>18</v>
      </c>
      <c r="L7271" s="8">
        <v>39987.315405092595</v>
      </c>
      <c r="M7271" s="9" t="s">
        <v>19</v>
      </c>
      <c r="N7271" s="9" t="s">
        <v>20</v>
      </c>
      <c r="O7271" s="6" t="str">
        <f>HYPERLINK("https://pbs.twimg.com/profile_images/962471262747529216/Uo8lOkRJ_normal.jpg","View")</f>
        <v>View</v>
      </c>
      <c r="P7271" s="7"/>
    </row>
    <row r="7272" spans="1:16">
      <c r="A7272" s="3">
        <v>44018.763460648144</v>
      </c>
      <c r="B7272" s="4" t="str">
        <f>HYPERLINK("https://twitter.com/petrogustavo","@petrogustavo")</f>
        <v>@petrogustavo</v>
      </c>
      <c r="C7272" s="5" t="s">
        <v>16</v>
      </c>
      <c r="D7272" s="5" t="s">
        <v>7032</v>
      </c>
      <c r="E7272" s="6" t="str">
        <f>HYPERLINK("https://twitter.com/petrogustavo/status/1280121666010591233","1280121666010591233")</f>
        <v>1280121666010591233</v>
      </c>
      <c r="F7272" s="7" t="s">
        <v>17</v>
      </c>
      <c r="G7272" s="7">
        <v>3900911</v>
      </c>
      <c r="H7272" s="7">
        <v>2420</v>
      </c>
      <c r="I7272" s="7">
        <v>73</v>
      </c>
      <c r="J7272" s="7">
        <v>273</v>
      </c>
      <c r="K7272" s="7" t="s">
        <v>18</v>
      </c>
      <c r="L7272" s="8">
        <v>39987.315405092595</v>
      </c>
      <c r="M7272" s="9" t="s">
        <v>19</v>
      </c>
      <c r="N7272" s="9" t="s">
        <v>20</v>
      </c>
      <c r="O7272" s="6" t="str">
        <f>HYPERLINK("https://pbs.twimg.com/profile_images/962471262747529216/Uo8lOkRJ_normal.jpg","View")</f>
        <v>View</v>
      </c>
      <c r="P7272" s="7"/>
    </row>
    <row r="7273" spans="1:16">
      <c r="A7273" s="3">
        <v>44018.763854166667</v>
      </c>
      <c r="B7273" s="4" t="str">
        <f>HYPERLINK("https://twitter.com/petrogustavo","@petrogustavo")</f>
        <v>@petrogustavo</v>
      </c>
      <c r="C7273" s="5" t="s">
        <v>16</v>
      </c>
      <c r="D7273" s="5" t="s">
        <v>7033</v>
      </c>
      <c r="E7273" s="6" t="str">
        <f>HYPERLINK("https://twitter.com/petrogustavo/status/1280121810701385730","1280121810701385730")</f>
        <v>1280121810701385730</v>
      </c>
      <c r="F7273" s="7" t="s">
        <v>17</v>
      </c>
      <c r="G7273" s="7">
        <v>3900911</v>
      </c>
      <c r="H7273" s="7">
        <v>2420</v>
      </c>
      <c r="I7273" s="7">
        <v>41</v>
      </c>
      <c r="J7273" s="7">
        <v>0</v>
      </c>
      <c r="K7273" s="7" t="s">
        <v>18</v>
      </c>
      <c r="L7273" s="8">
        <v>39987.315405092595</v>
      </c>
      <c r="M7273" s="9" t="s">
        <v>19</v>
      </c>
      <c r="N7273" s="9" t="s">
        <v>20</v>
      </c>
      <c r="O7273" s="6" t="str">
        <f>HYPERLINK("https://pbs.twimg.com/profile_images/962471262747529216/Uo8lOkRJ_normal.jpg","View")</f>
        <v>View</v>
      </c>
      <c r="P7273" s="7"/>
    </row>
    <row r="7274" spans="1:16">
      <c r="A7274" s="3">
        <v>44018.771539351852</v>
      </c>
      <c r="B7274" s="4" t="str">
        <f>HYPERLINK("https://twitter.com/petrogustavo","@petrogustavo")</f>
        <v>@petrogustavo</v>
      </c>
      <c r="C7274" s="5" t="s">
        <v>16</v>
      </c>
      <c r="D7274" s="5" t="s">
        <v>7034</v>
      </c>
      <c r="E7274" s="6" t="str">
        <f>HYPERLINK("https://twitter.com/petrogustavo/status/1280124593370533889","1280124593370533889")</f>
        <v>1280124593370533889</v>
      </c>
      <c r="F7274" s="7" t="s">
        <v>17</v>
      </c>
      <c r="G7274" s="7">
        <v>3900911</v>
      </c>
      <c r="H7274" s="7">
        <v>2420</v>
      </c>
      <c r="I7274" s="7">
        <v>133</v>
      </c>
      <c r="J7274" s="7">
        <v>437</v>
      </c>
      <c r="K7274" s="7" t="s">
        <v>18</v>
      </c>
      <c r="L7274" s="8">
        <v>39987.315405092595</v>
      </c>
      <c r="M7274" s="9" t="s">
        <v>19</v>
      </c>
      <c r="N7274" s="9" t="s">
        <v>20</v>
      </c>
      <c r="O7274" s="6" t="str">
        <f>HYPERLINK("https://pbs.twimg.com/profile_images/962471262747529216/Uo8lOkRJ_normal.jpg","View")</f>
        <v>View</v>
      </c>
      <c r="P7274" s="7"/>
    </row>
    <row r="7275" spans="1:16">
      <c r="A7275" s="3">
        <v>44018.772847222222</v>
      </c>
      <c r="B7275" s="4" t="str">
        <f>HYPERLINK("https://twitter.com/petrogustavo","@petrogustavo")</f>
        <v>@petrogustavo</v>
      </c>
      <c r="C7275" s="5" t="s">
        <v>16</v>
      </c>
      <c r="D7275" s="5" t="s">
        <v>7035</v>
      </c>
      <c r="E7275" s="6" t="str">
        <f>HYPERLINK("https://twitter.com/petrogustavo/status/1280125066647388163","1280125066647388163")</f>
        <v>1280125066647388163</v>
      </c>
      <c r="F7275" s="7" t="s">
        <v>17</v>
      </c>
      <c r="G7275" s="7">
        <v>3900911</v>
      </c>
      <c r="H7275" s="7">
        <v>2420</v>
      </c>
      <c r="I7275" s="7">
        <v>178</v>
      </c>
      <c r="J7275" s="7">
        <v>0</v>
      </c>
      <c r="K7275" s="7" t="s">
        <v>18</v>
      </c>
      <c r="L7275" s="8">
        <v>39987.315405092595</v>
      </c>
      <c r="M7275" s="9" t="s">
        <v>19</v>
      </c>
      <c r="N7275" s="9" t="s">
        <v>20</v>
      </c>
      <c r="O7275" s="6" t="str">
        <f>HYPERLINK("https://pbs.twimg.com/profile_images/962471262747529216/Uo8lOkRJ_normal.jpg","View")</f>
        <v>View</v>
      </c>
      <c r="P7275" s="7"/>
    </row>
    <row r="7276" spans="1:16">
      <c r="A7276" s="3">
        <v>44018.776238425926</v>
      </c>
      <c r="B7276" s="4" t="str">
        <f>HYPERLINK("https://twitter.com/petrogustavo","@petrogustavo")</f>
        <v>@petrogustavo</v>
      </c>
      <c r="C7276" s="5" t="s">
        <v>16</v>
      </c>
      <c r="D7276" s="5" t="s">
        <v>7036</v>
      </c>
      <c r="E7276" s="6" t="str">
        <f>HYPERLINK("https://twitter.com/petrogustavo/status/1280126298250252289","1280126298250252289")</f>
        <v>1280126298250252289</v>
      </c>
      <c r="F7276" s="7" t="s">
        <v>17</v>
      </c>
      <c r="G7276" s="7">
        <v>3900911</v>
      </c>
      <c r="H7276" s="7">
        <v>2420</v>
      </c>
      <c r="I7276" s="7">
        <v>44</v>
      </c>
      <c r="J7276" s="7">
        <v>82</v>
      </c>
      <c r="K7276" s="7" t="s">
        <v>18</v>
      </c>
      <c r="L7276" s="8">
        <v>39987.315405092595</v>
      </c>
      <c r="M7276" s="9" t="s">
        <v>19</v>
      </c>
      <c r="N7276" s="9" t="s">
        <v>20</v>
      </c>
      <c r="O7276" s="6" t="str">
        <f>HYPERLINK("https://pbs.twimg.com/profile_images/962471262747529216/Uo8lOkRJ_normal.jpg","View")</f>
        <v>View</v>
      </c>
      <c r="P7276" s="7"/>
    </row>
    <row r="7277" spans="1:16">
      <c r="A7277" s="3">
        <v>44018.782569444447</v>
      </c>
      <c r="B7277" s="4" t="str">
        <f>HYPERLINK("https://twitter.com/petrogustavo","@petrogustavo")</f>
        <v>@petrogustavo</v>
      </c>
      <c r="C7277" s="5" t="s">
        <v>16</v>
      </c>
      <c r="D7277" s="5" t="s">
        <v>7037</v>
      </c>
      <c r="E7277" s="6" t="str">
        <f>HYPERLINK("https://twitter.com/petrogustavo/status/1280128590873493509","1280128590873493509")</f>
        <v>1280128590873493509</v>
      </c>
      <c r="F7277" s="7" t="s">
        <v>17</v>
      </c>
      <c r="G7277" s="7">
        <v>3900911</v>
      </c>
      <c r="H7277" s="7">
        <v>2420</v>
      </c>
      <c r="I7277" s="7">
        <v>4</v>
      </c>
      <c r="J7277" s="7">
        <v>0</v>
      </c>
      <c r="K7277" s="7" t="s">
        <v>18</v>
      </c>
      <c r="L7277" s="8">
        <v>39987.315405092595</v>
      </c>
      <c r="M7277" s="9" t="s">
        <v>19</v>
      </c>
      <c r="N7277" s="9" t="s">
        <v>20</v>
      </c>
      <c r="O7277" s="6" t="str">
        <f>HYPERLINK("https://pbs.twimg.com/profile_images/962471262747529216/Uo8lOkRJ_normal.jpg","View")</f>
        <v>View</v>
      </c>
      <c r="P7277" s="7"/>
    </row>
    <row r="7278" spans="1:16">
      <c r="A7278" s="3">
        <v>44018.792002314818</v>
      </c>
      <c r="B7278" s="4" t="str">
        <f>HYPERLINK("https://twitter.com/petrogustavo","@petrogustavo")</f>
        <v>@petrogustavo</v>
      </c>
      <c r="C7278" s="5" t="s">
        <v>16</v>
      </c>
      <c r="D7278" s="5" t="s">
        <v>7038</v>
      </c>
      <c r="E7278" s="6" t="str">
        <f>HYPERLINK("https://twitter.com/petrogustavo/status/1280132007746568195","1280132007746568195")</f>
        <v>1280132007746568195</v>
      </c>
      <c r="F7278" s="7" t="s">
        <v>17</v>
      </c>
      <c r="G7278" s="7">
        <v>3900932</v>
      </c>
      <c r="H7278" s="7">
        <v>2420</v>
      </c>
      <c r="I7278" s="7">
        <v>119</v>
      </c>
      <c r="J7278" s="7">
        <v>0</v>
      </c>
      <c r="K7278" s="7" t="s">
        <v>18</v>
      </c>
      <c r="L7278" s="8">
        <v>39987.315405092595</v>
      </c>
      <c r="M7278" s="9" t="s">
        <v>19</v>
      </c>
      <c r="N7278" s="9" t="s">
        <v>20</v>
      </c>
      <c r="O7278" s="6" t="str">
        <f>HYPERLINK("https://pbs.twimg.com/profile_images/962471262747529216/Uo8lOkRJ_normal.jpg","View")</f>
        <v>View</v>
      </c>
      <c r="P7278" s="7"/>
    </row>
    <row r="7279" spans="1:16">
      <c r="A7279" s="3">
        <v>44018.792199074072</v>
      </c>
      <c r="B7279" s="4" t="str">
        <f>HYPERLINK("https://twitter.com/petrogustavo","@petrogustavo")</f>
        <v>@petrogustavo</v>
      </c>
      <c r="C7279" s="5" t="s">
        <v>16</v>
      </c>
      <c r="D7279" s="5" t="s">
        <v>7039</v>
      </c>
      <c r="E7279" s="6" t="str">
        <f>HYPERLINK("https://twitter.com/petrogustavo/status/1280132080559697921","1280132080559697921")</f>
        <v>1280132080559697921</v>
      </c>
      <c r="F7279" s="7" t="s">
        <v>17</v>
      </c>
      <c r="G7279" s="7">
        <v>3900932</v>
      </c>
      <c r="H7279" s="7">
        <v>2420</v>
      </c>
      <c r="I7279" s="7">
        <v>137</v>
      </c>
      <c r="J7279" s="7">
        <v>0</v>
      </c>
      <c r="K7279" s="7" t="s">
        <v>18</v>
      </c>
      <c r="L7279" s="8">
        <v>39987.315405092595</v>
      </c>
      <c r="M7279" s="9" t="s">
        <v>19</v>
      </c>
      <c r="N7279" s="9" t="s">
        <v>20</v>
      </c>
      <c r="O7279" s="6" t="str">
        <f>HYPERLINK("https://pbs.twimg.com/profile_images/962471262747529216/Uo8lOkRJ_normal.jpg","View")</f>
        <v>View</v>
      </c>
      <c r="P7279" s="7"/>
    </row>
    <row r="7280" spans="1:16">
      <c r="A7280" s="3">
        <v>44018.792361111111</v>
      </c>
      <c r="B7280" s="4" t="str">
        <f>HYPERLINK("https://twitter.com/petrogustavo","@petrogustavo")</f>
        <v>@petrogustavo</v>
      </c>
      <c r="C7280" s="5" t="s">
        <v>16</v>
      </c>
      <c r="D7280" s="5" t="s">
        <v>7040</v>
      </c>
      <c r="E7280" s="6" t="str">
        <f>HYPERLINK("https://twitter.com/petrogustavo/status/1280132138969501697","1280132138969501697")</f>
        <v>1280132138969501697</v>
      </c>
      <c r="F7280" s="7" t="s">
        <v>17</v>
      </c>
      <c r="G7280" s="7">
        <v>3900932</v>
      </c>
      <c r="H7280" s="7">
        <v>2420</v>
      </c>
      <c r="I7280" s="7">
        <v>49</v>
      </c>
      <c r="J7280" s="7">
        <v>0</v>
      </c>
      <c r="K7280" s="7" t="s">
        <v>18</v>
      </c>
      <c r="L7280" s="8">
        <v>39987.315405092595</v>
      </c>
      <c r="M7280" s="9" t="s">
        <v>19</v>
      </c>
      <c r="N7280" s="9" t="s">
        <v>20</v>
      </c>
      <c r="O7280" s="6" t="str">
        <f>HYPERLINK("https://pbs.twimg.com/profile_images/962471262747529216/Uo8lOkRJ_normal.jpg","View")</f>
        <v>View</v>
      </c>
      <c r="P7280" s="7"/>
    </row>
    <row r="7281" spans="1:16">
      <c r="A7281" s="3">
        <v>44018.796747685185</v>
      </c>
      <c r="B7281" s="4" t="str">
        <f>HYPERLINK("https://twitter.com/petrogustavo","@petrogustavo")</f>
        <v>@petrogustavo</v>
      </c>
      <c r="C7281" s="5" t="s">
        <v>16</v>
      </c>
      <c r="D7281" s="5" t="s">
        <v>7041</v>
      </c>
      <c r="E7281" s="6" t="str">
        <f>HYPERLINK("https://twitter.com/petrogustavo/status/1280133729990647810","1280133729990647810")</f>
        <v>1280133729990647810</v>
      </c>
      <c r="F7281" s="7" t="s">
        <v>17</v>
      </c>
      <c r="G7281" s="7">
        <v>3900932</v>
      </c>
      <c r="H7281" s="7">
        <v>2420</v>
      </c>
      <c r="I7281" s="7">
        <v>49</v>
      </c>
      <c r="J7281" s="7">
        <v>0</v>
      </c>
      <c r="K7281" s="7" t="s">
        <v>18</v>
      </c>
      <c r="L7281" s="8">
        <v>39987.315405092595</v>
      </c>
      <c r="M7281" s="9" t="s">
        <v>19</v>
      </c>
      <c r="N7281" s="9" t="s">
        <v>20</v>
      </c>
      <c r="O7281" s="6" t="str">
        <f>HYPERLINK("https://pbs.twimg.com/profile_images/962471262747529216/Uo8lOkRJ_normal.jpg","View")</f>
        <v>View</v>
      </c>
      <c r="P7281" s="7"/>
    </row>
    <row r="7282" spans="1:16">
      <c r="A7282" s="3">
        <v>44018.797083333338</v>
      </c>
      <c r="B7282" s="4" t="str">
        <f>HYPERLINK("https://twitter.com/petrogustavo","@petrogustavo")</f>
        <v>@petrogustavo</v>
      </c>
      <c r="C7282" s="5" t="s">
        <v>16</v>
      </c>
      <c r="D7282" s="5" t="s">
        <v>7042</v>
      </c>
      <c r="E7282" s="6" t="str">
        <f>HYPERLINK("https://twitter.com/petrogustavo/status/1280133852627959808","1280133852627959808")</f>
        <v>1280133852627959808</v>
      </c>
      <c r="F7282" s="7" t="s">
        <v>17</v>
      </c>
      <c r="G7282" s="7">
        <v>3900932</v>
      </c>
      <c r="H7282" s="7">
        <v>2420</v>
      </c>
      <c r="I7282" s="7">
        <v>30</v>
      </c>
      <c r="J7282" s="7">
        <v>0</v>
      </c>
      <c r="K7282" s="7" t="s">
        <v>18</v>
      </c>
      <c r="L7282" s="8">
        <v>39987.315405092595</v>
      </c>
      <c r="M7282" s="9" t="s">
        <v>19</v>
      </c>
      <c r="N7282" s="9" t="s">
        <v>20</v>
      </c>
      <c r="O7282" s="6" t="str">
        <f>HYPERLINK("https://pbs.twimg.com/profile_images/962471262747529216/Uo8lOkRJ_normal.jpg","View")</f>
        <v>View</v>
      </c>
      <c r="P7282" s="7"/>
    </row>
    <row r="7283" spans="1:16">
      <c r="A7283" s="3">
        <v>44018.797361111108</v>
      </c>
      <c r="B7283" s="4" t="str">
        <f>HYPERLINK("https://twitter.com/petrogustavo","@petrogustavo")</f>
        <v>@petrogustavo</v>
      </c>
      <c r="C7283" s="5" t="s">
        <v>16</v>
      </c>
      <c r="D7283" s="5" t="s">
        <v>7043</v>
      </c>
      <c r="E7283" s="6" t="str">
        <f>HYPERLINK("https://twitter.com/petrogustavo/status/1280133950296506368","1280133950296506368")</f>
        <v>1280133950296506368</v>
      </c>
      <c r="F7283" s="7" t="s">
        <v>17</v>
      </c>
      <c r="G7283" s="7">
        <v>3900932</v>
      </c>
      <c r="H7283" s="7">
        <v>2420</v>
      </c>
      <c r="I7283" s="7">
        <v>42</v>
      </c>
      <c r="J7283" s="7">
        <v>0</v>
      </c>
      <c r="K7283" s="7" t="s">
        <v>18</v>
      </c>
      <c r="L7283" s="8">
        <v>39987.315405092595</v>
      </c>
      <c r="M7283" s="9" t="s">
        <v>19</v>
      </c>
      <c r="N7283" s="9" t="s">
        <v>20</v>
      </c>
      <c r="O7283" s="6" t="str">
        <f>HYPERLINK("https://pbs.twimg.com/profile_images/962471262747529216/Uo8lOkRJ_normal.jpg","View")</f>
        <v>View</v>
      </c>
      <c r="P7283" s="7"/>
    </row>
    <row r="7284" spans="1:16">
      <c r="A7284" s="3">
        <v>44018.797905092593</v>
      </c>
      <c r="B7284" s="4" t="str">
        <f>HYPERLINK("https://twitter.com/petrogustavo","@petrogustavo")</f>
        <v>@petrogustavo</v>
      </c>
      <c r="C7284" s="5" t="s">
        <v>16</v>
      </c>
      <c r="D7284" s="5" t="s">
        <v>7044</v>
      </c>
      <c r="E7284" s="6" t="str">
        <f>HYPERLINK("https://twitter.com/petrogustavo/status/1280134148259225602","1280134148259225602")</f>
        <v>1280134148259225602</v>
      </c>
      <c r="F7284" s="7" t="s">
        <v>17</v>
      </c>
      <c r="G7284" s="7">
        <v>3900932</v>
      </c>
      <c r="H7284" s="7">
        <v>2420</v>
      </c>
      <c r="I7284" s="7">
        <v>48</v>
      </c>
      <c r="J7284" s="7">
        <v>0</v>
      </c>
      <c r="K7284" s="7" t="s">
        <v>18</v>
      </c>
      <c r="L7284" s="8">
        <v>39987.315405092595</v>
      </c>
      <c r="M7284" s="9" t="s">
        <v>19</v>
      </c>
      <c r="N7284" s="9" t="s">
        <v>20</v>
      </c>
      <c r="O7284" s="6" t="str">
        <f>HYPERLINK("https://pbs.twimg.com/profile_images/962471262747529216/Uo8lOkRJ_normal.jpg","View")</f>
        <v>View</v>
      </c>
      <c r="P7284" s="7"/>
    </row>
    <row r="7285" spans="1:16">
      <c r="A7285" s="3">
        <v>44018.798993055556</v>
      </c>
      <c r="B7285" s="4" t="str">
        <f>HYPERLINK("https://twitter.com/petrogustavo","@petrogustavo")</f>
        <v>@petrogustavo</v>
      </c>
      <c r="C7285" s="5" t="s">
        <v>16</v>
      </c>
      <c r="D7285" s="5" t="s">
        <v>7045</v>
      </c>
      <c r="E7285" s="6" t="str">
        <f>HYPERLINK("https://twitter.com/petrogustavo/status/1280134541974351872","1280134541974351872")</f>
        <v>1280134541974351872</v>
      </c>
      <c r="F7285" s="7" t="s">
        <v>17</v>
      </c>
      <c r="G7285" s="7">
        <v>3900932</v>
      </c>
      <c r="H7285" s="7">
        <v>2420</v>
      </c>
      <c r="I7285" s="7">
        <v>422</v>
      </c>
      <c r="J7285" s="7">
        <v>0</v>
      </c>
      <c r="K7285" s="7" t="s">
        <v>18</v>
      </c>
      <c r="L7285" s="8">
        <v>39987.315405092595</v>
      </c>
      <c r="M7285" s="9" t="s">
        <v>19</v>
      </c>
      <c r="N7285" s="9" t="s">
        <v>20</v>
      </c>
      <c r="O7285" s="6" t="str">
        <f>HYPERLINK("https://pbs.twimg.com/profile_images/962471262747529216/Uo8lOkRJ_normal.jpg","View")</f>
        <v>View</v>
      </c>
      <c r="P7285" s="7"/>
    </row>
    <row r="7286" spans="1:16">
      <c r="A7286" s="3">
        <v>44018.800555555557</v>
      </c>
      <c r="B7286" s="4" t="str">
        <f>HYPERLINK("https://twitter.com/petrogustavo","@petrogustavo")</f>
        <v>@petrogustavo</v>
      </c>
      <c r="C7286" s="5" t="s">
        <v>16</v>
      </c>
      <c r="D7286" s="5" t="s">
        <v>7046</v>
      </c>
      <c r="E7286" s="6" t="str">
        <f>HYPERLINK("https://twitter.com/petrogustavo/status/1280135108490661888","1280135108490661888")</f>
        <v>1280135108490661888</v>
      </c>
      <c r="F7286" s="7" t="s">
        <v>17</v>
      </c>
      <c r="G7286" s="7">
        <v>3900932</v>
      </c>
      <c r="H7286" s="7">
        <v>2420</v>
      </c>
      <c r="I7286" s="7">
        <v>15</v>
      </c>
      <c r="J7286" s="7">
        <v>0</v>
      </c>
      <c r="K7286" s="7" t="s">
        <v>18</v>
      </c>
      <c r="L7286" s="8">
        <v>39987.315405092595</v>
      </c>
      <c r="M7286" s="9" t="s">
        <v>19</v>
      </c>
      <c r="N7286" s="9" t="s">
        <v>20</v>
      </c>
      <c r="O7286" s="6" t="str">
        <f>HYPERLINK("https://pbs.twimg.com/profile_images/962471262747529216/Uo8lOkRJ_normal.jpg","View")</f>
        <v>View</v>
      </c>
      <c r="P7286" s="7"/>
    </row>
    <row r="7287" spans="1:16">
      <c r="A7287" s="3">
        <v>44018.802430555559</v>
      </c>
      <c r="B7287" s="4" t="str">
        <f>HYPERLINK("https://twitter.com/petrogustavo","@petrogustavo")</f>
        <v>@petrogustavo</v>
      </c>
      <c r="C7287" s="5" t="s">
        <v>16</v>
      </c>
      <c r="D7287" s="5" t="s">
        <v>7047</v>
      </c>
      <c r="E7287" s="6" t="str">
        <f>HYPERLINK("https://twitter.com/petrogustavo/status/1280135790899671040","1280135790899671040")</f>
        <v>1280135790899671040</v>
      </c>
      <c r="F7287" s="7" t="s">
        <v>17</v>
      </c>
      <c r="G7287" s="7">
        <v>3900932</v>
      </c>
      <c r="H7287" s="7">
        <v>2420</v>
      </c>
      <c r="I7287" s="7">
        <v>112</v>
      </c>
      <c r="J7287" s="7">
        <v>0</v>
      </c>
      <c r="K7287" s="7" t="s">
        <v>18</v>
      </c>
      <c r="L7287" s="8">
        <v>39987.315405092595</v>
      </c>
      <c r="M7287" s="9" t="s">
        <v>19</v>
      </c>
      <c r="N7287" s="9" t="s">
        <v>20</v>
      </c>
      <c r="O7287" s="6" t="str">
        <f>HYPERLINK("https://pbs.twimg.com/profile_images/962471262747529216/Uo8lOkRJ_normal.jpg","View")</f>
        <v>View</v>
      </c>
      <c r="P7287" s="7"/>
    </row>
    <row r="7288" spans="1:16">
      <c r="A7288" s="3">
        <v>44018.815243055556</v>
      </c>
      <c r="B7288" s="4" t="str">
        <f>HYPERLINK("https://twitter.com/petrogustavo","@petrogustavo")</f>
        <v>@petrogustavo</v>
      </c>
      <c r="C7288" s="5" t="s">
        <v>16</v>
      </c>
      <c r="D7288" s="5" t="s">
        <v>7048</v>
      </c>
      <c r="E7288" s="6" t="str">
        <f>HYPERLINK("https://twitter.com/petrogustavo/status/1280140432723378178","1280140432723378178")</f>
        <v>1280140432723378178</v>
      </c>
      <c r="F7288" s="7" t="s">
        <v>32</v>
      </c>
      <c r="G7288" s="7">
        <v>3900943</v>
      </c>
      <c r="H7288" s="7">
        <v>2420</v>
      </c>
      <c r="I7288" s="7">
        <v>72</v>
      </c>
      <c r="J7288" s="7">
        <v>0</v>
      </c>
      <c r="K7288" s="7" t="s">
        <v>18</v>
      </c>
      <c r="L7288" s="8">
        <v>39987.315405092595</v>
      </c>
      <c r="M7288" s="9" t="s">
        <v>19</v>
      </c>
      <c r="N7288" s="9" t="s">
        <v>20</v>
      </c>
      <c r="O7288" s="6" t="str">
        <f>HYPERLINK("https://pbs.twimg.com/profile_images/962471262747529216/Uo8lOkRJ_normal.jpg","View")</f>
        <v>View</v>
      </c>
      <c r="P7288" s="7"/>
    </row>
    <row r="7289" spans="1:16">
      <c r="A7289" s="3">
        <v>44018.815659722226</v>
      </c>
      <c r="B7289" s="4" t="str">
        <f>HYPERLINK("https://twitter.com/petrogustavo","@petrogustavo")</f>
        <v>@petrogustavo</v>
      </c>
      <c r="C7289" s="5" t="s">
        <v>16</v>
      </c>
      <c r="D7289" s="5" t="s">
        <v>7049</v>
      </c>
      <c r="E7289" s="6" t="str">
        <f>HYPERLINK("https://twitter.com/petrogustavo/status/1280140584401985536","1280140584401985536")</f>
        <v>1280140584401985536</v>
      </c>
      <c r="F7289" s="7" t="s">
        <v>32</v>
      </c>
      <c r="G7289" s="7">
        <v>3900943</v>
      </c>
      <c r="H7289" s="7">
        <v>2420</v>
      </c>
      <c r="I7289" s="7">
        <v>25</v>
      </c>
      <c r="J7289" s="7">
        <v>0</v>
      </c>
      <c r="K7289" s="7" t="s">
        <v>18</v>
      </c>
      <c r="L7289" s="8">
        <v>39987.315405092595</v>
      </c>
      <c r="M7289" s="9" t="s">
        <v>19</v>
      </c>
      <c r="N7289" s="9" t="s">
        <v>20</v>
      </c>
      <c r="O7289" s="6" t="str">
        <f>HYPERLINK("https://pbs.twimg.com/profile_images/962471262747529216/Uo8lOkRJ_normal.jpg","View")</f>
        <v>View</v>
      </c>
      <c r="P7289" s="7"/>
    </row>
    <row r="7290" spans="1:16">
      <c r="A7290" s="3">
        <v>44018.81585648148</v>
      </c>
      <c r="B7290" s="4" t="str">
        <f>HYPERLINK("https://twitter.com/petrogustavo","@petrogustavo")</f>
        <v>@petrogustavo</v>
      </c>
      <c r="C7290" s="5" t="s">
        <v>16</v>
      </c>
      <c r="D7290" s="5" t="s">
        <v>7050</v>
      </c>
      <c r="E7290" s="6" t="str">
        <f>HYPERLINK("https://twitter.com/petrogustavo/status/1280140655654834178","1280140655654834178")</f>
        <v>1280140655654834178</v>
      </c>
      <c r="F7290" s="7" t="s">
        <v>32</v>
      </c>
      <c r="G7290" s="7">
        <v>3900943</v>
      </c>
      <c r="H7290" s="7">
        <v>2420</v>
      </c>
      <c r="I7290" s="7">
        <v>222</v>
      </c>
      <c r="J7290" s="7">
        <v>0</v>
      </c>
      <c r="K7290" s="7" t="s">
        <v>18</v>
      </c>
      <c r="L7290" s="8">
        <v>39987.315405092595</v>
      </c>
      <c r="M7290" s="9" t="s">
        <v>19</v>
      </c>
      <c r="N7290" s="9" t="s">
        <v>20</v>
      </c>
      <c r="O7290" s="6" t="str">
        <f>HYPERLINK("https://pbs.twimg.com/profile_images/962471262747529216/Uo8lOkRJ_normal.jpg","View")</f>
        <v>View</v>
      </c>
      <c r="P7290" s="7"/>
    </row>
    <row r="7291" spans="1:16">
      <c r="A7291" s="3">
        <v>44018.816030092596</v>
      </c>
      <c r="B7291" s="4" t="str">
        <f>HYPERLINK("https://twitter.com/petrogustavo","@petrogustavo")</f>
        <v>@petrogustavo</v>
      </c>
      <c r="C7291" s="5" t="s">
        <v>16</v>
      </c>
      <c r="D7291" s="5" t="s">
        <v>7051</v>
      </c>
      <c r="E7291" s="6" t="str">
        <f>HYPERLINK("https://twitter.com/petrogustavo/status/1280140718485450754","1280140718485450754")</f>
        <v>1280140718485450754</v>
      </c>
      <c r="F7291" s="7" t="s">
        <v>32</v>
      </c>
      <c r="G7291" s="7">
        <v>3900943</v>
      </c>
      <c r="H7291" s="7">
        <v>2420</v>
      </c>
      <c r="I7291" s="7">
        <v>41</v>
      </c>
      <c r="J7291" s="7">
        <v>0</v>
      </c>
      <c r="K7291" s="7" t="s">
        <v>18</v>
      </c>
      <c r="L7291" s="8">
        <v>39987.315405092595</v>
      </c>
      <c r="M7291" s="9" t="s">
        <v>19</v>
      </c>
      <c r="N7291" s="9" t="s">
        <v>20</v>
      </c>
      <c r="O7291" s="6" t="str">
        <f>HYPERLINK("https://pbs.twimg.com/profile_images/962471262747529216/Uo8lOkRJ_normal.jpg","View")</f>
        <v>View</v>
      </c>
      <c r="P7291" s="7"/>
    </row>
    <row r="7292" spans="1:16">
      <c r="A7292" s="3">
        <v>44018.817129629635</v>
      </c>
      <c r="B7292" s="4" t="str">
        <f>HYPERLINK("https://twitter.com/petrogustavo","@petrogustavo")</f>
        <v>@petrogustavo</v>
      </c>
      <c r="C7292" s="5" t="s">
        <v>16</v>
      </c>
      <c r="D7292" s="5" t="s">
        <v>7052</v>
      </c>
      <c r="E7292" s="6" t="str">
        <f>HYPERLINK("https://twitter.com/petrogustavo/status/1280141117426749440","1280141117426749440")</f>
        <v>1280141117426749440</v>
      </c>
      <c r="F7292" s="7" t="s">
        <v>32</v>
      </c>
      <c r="G7292" s="7">
        <v>3900943</v>
      </c>
      <c r="H7292" s="7">
        <v>2420</v>
      </c>
      <c r="I7292" s="7">
        <v>14</v>
      </c>
      <c r="J7292" s="7">
        <v>0</v>
      </c>
      <c r="K7292" s="7" t="s">
        <v>18</v>
      </c>
      <c r="L7292" s="8">
        <v>39987.315405092595</v>
      </c>
      <c r="M7292" s="9" t="s">
        <v>19</v>
      </c>
      <c r="N7292" s="9" t="s">
        <v>20</v>
      </c>
      <c r="O7292" s="6" t="str">
        <f>HYPERLINK("https://pbs.twimg.com/profile_images/962471262747529216/Uo8lOkRJ_normal.jpg","View")</f>
        <v>View</v>
      </c>
      <c r="P7292" s="7"/>
    </row>
    <row r="7293" spans="1:16">
      <c r="A7293" s="3">
        <v>44018.819560185184</v>
      </c>
      <c r="B7293" s="4" t="str">
        <f>HYPERLINK("https://twitter.com/petrogustavo","@petrogustavo")</f>
        <v>@petrogustavo</v>
      </c>
      <c r="C7293" s="5" t="s">
        <v>16</v>
      </c>
      <c r="D7293" s="5" t="s">
        <v>7053</v>
      </c>
      <c r="E7293" s="6" t="str">
        <f>HYPERLINK("https://twitter.com/petrogustavo/status/1280141995974037505","1280141995974037505")</f>
        <v>1280141995974037505</v>
      </c>
      <c r="F7293" s="7" t="s">
        <v>32</v>
      </c>
      <c r="G7293" s="7">
        <v>3900943</v>
      </c>
      <c r="H7293" s="7">
        <v>2420</v>
      </c>
      <c r="I7293" s="7">
        <v>45</v>
      </c>
      <c r="J7293" s="7">
        <v>0</v>
      </c>
      <c r="K7293" s="7" t="s">
        <v>18</v>
      </c>
      <c r="L7293" s="8">
        <v>39987.315405092595</v>
      </c>
      <c r="M7293" s="9" t="s">
        <v>19</v>
      </c>
      <c r="N7293" s="9" t="s">
        <v>20</v>
      </c>
      <c r="O7293" s="6" t="str">
        <f>HYPERLINK("https://pbs.twimg.com/profile_images/962471262747529216/Uo8lOkRJ_normal.jpg","View")</f>
        <v>View</v>
      </c>
      <c r="P7293" s="7"/>
    </row>
    <row r="7294" spans="1:16">
      <c r="A7294" s="3">
        <v>44018.843900462962</v>
      </c>
      <c r="B7294" s="4" t="str">
        <f>HYPERLINK("https://twitter.com/petrogustavo","@petrogustavo")</f>
        <v>@petrogustavo</v>
      </c>
      <c r="C7294" s="5" t="s">
        <v>16</v>
      </c>
      <c r="D7294" s="5" t="s">
        <v>7054</v>
      </c>
      <c r="E7294" s="6" t="str">
        <f>HYPERLINK("https://twitter.com/petrogustavo/status/1280150815236329472","1280150815236329472")</f>
        <v>1280150815236329472</v>
      </c>
      <c r="F7294" s="7" t="s">
        <v>32</v>
      </c>
      <c r="G7294" s="7">
        <v>3900960</v>
      </c>
      <c r="H7294" s="7">
        <v>2420</v>
      </c>
      <c r="I7294" s="7">
        <v>17</v>
      </c>
      <c r="J7294" s="7">
        <v>0</v>
      </c>
      <c r="K7294" s="7" t="s">
        <v>18</v>
      </c>
      <c r="L7294" s="8">
        <v>39987.315405092595</v>
      </c>
      <c r="M7294" s="9" t="s">
        <v>19</v>
      </c>
      <c r="N7294" s="9" t="s">
        <v>20</v>
      </c>
      <c r="O7294" s="6" t="str">
        <f>HYPERLINK("https://pbs.twimg.com/profile_images/962471262747529216/Uo8lOkRJ_normal.jpg","View")</f>
        <v>View</v>
      </c>
      <c r="P7294" s="7"/>
    </row>
    <row r="7295" spans="1:16">
      <c r="A7295" s="3">
        <v>44018.843935185185</v>
      </c>
      <c r="B7295" s="4" t="str">
        <f>HYPERLINK("https://twitter.com/petrogustavo","@petrogustavo")</f>
        <v>@petrogustavo</v>
      </c>
      <c r="C7295" s="5" t="s">
        <v>16</v>
      </c>
      <c r="D7295" s="5" t="s">
        <v>7055</v>
      </c>
      <c r="E7295" s="6" t="str">
        <f>HYPERLINK("https://twitter.com/petrogustavo/status/1280150830457462789","1280150830457462789")</f>
        <v>1280150830457462789</v>
      </c>
      <c r="F7295" s="7" t="s">
        <v>32</v>
      </c>
      <c r="G7295" s="7">
        <v>3900960</v>
      </c>
      <c r="H7295" s="7">
        <v>2420</v>
      </c>
      <c r="I7295" s="7">
        <v>16</v>
      </c>
      <c r="J7295" s="7">
        <v>0</v>
      </c>
      <c r="K7295" s="7" t="s">
        <v>18</v>
      </c>
      <c r="L7295" s="8">
        <v>39987.315405092595</v>
      </c>
      <c r="M7295" s="9" t="s">
        <v>19</v>
      </c>
      <c r="N7295" s="9" t="s">
        <v>20</v>
      </c>
      <c r="O7295" s="6" t="str">
        <f>HYPERLINK("https://pbs.twimg.com/profile_images/962471262747529216/Uo8lOkRJ_normal.jpg","View")</f>
        <v>View</v>
      </c>
      <c r="P7295" s="7"/>
    </row>
    <row r="7296" spans="1:16">
      <c r="A7296" s="3">
        <v>44018.844560185185</v>
      </c>
      <c r="B7296" s="4" t="str">
        <f>HYPERLINK("https://twitter.com/petrogustavo","@petrogustavo")</f>
        <v>@petrogustavo</v>
      </c>
      <c r="C7296" s="5" t="s">
        <v>16</v>
      </c>
      <c r="D7296" s="5" t="s">
        <v>7056</v>
      </c>
      <c r="E7296" s="6" t="str">
        <f>HYPERLINK("https://twitter.com/petrogustavo/status/1280151057671303168","1280151057671303168")</f>
        <v>1280151057671303168</v>
      </c>
      <c r="F7296" s="7" t="s">
        <v>32</v>
      </c>
      <c r="G7296" s="7">
        <v>3900960</v>
      </c>
      <c r="H7296" s="7">
        <v>2420</v>
      </c>
      <c r="I7296" s="7">
        <v>46</v>
      </c>
      <c r="J7296" s="7">
        <v>0</v>
      </c>
      <c r="K7296" s="7" t="s">
        <v>18</v>
      </c>
      <c r="L7296" s="8">
        <v>39987.315405092595</v>
      </c>
      <c r="M7296" s="9" t="s">
        <v>19</v>
      </c>
      <c r="N7296" s="9" t="s">
        <v>20</v>
      </c>
      <c r="O7296" s="6" t="str">
        <f>HYPERLINK("https://pbs.twimg.com/profile_images/962471262747529216/Uo8lOkRJ_normal.jpg","View")</f>
        <v>View</v>
      </c>
      <c r="P7296" s="7"/>
    </row>
    <row r="7297" spans="1:16">
      <c r="A7297" s="3">
        <v>44018.845787037033</v>
      </c>
      <c r="B7297" s="4" t="str">
        <f>HYPERLINK("https://twitter.com/petrogustavo","@petrogustavo")</f>
        <v>@petrogustavo</v>
      </c>
      <c r="C7297" s="5" t="s">
        <v>16</v>
      </c>
      <c r="D7297" s="5" t="s">
        <v>7057</v>
      </c>
      <c r="E7297" s="6" t="str">
        <f>HYPERLINK("https://twitter.com/petrogustavo/status/1280151499117596672","1280151499117596672")</f>
        <v>1280151499117596672</v>
      </c>
      <c r="F7297" s="7" t="s">
        <v>32</v>
      </c>
      <c r="G7297" s="7">
        <v>3900976</v>
      </c>
      <c r="H7297" s="7">
        <v>2420</v>
      </c>
      <c r="I7297" s="7">
        <v>132</v>
      </c>
      <c r="J7297" s="7">
        <v>253</v>
      </c>
      <c r="K7297" s="7" t="s">
        <v>18</v>
      </c>
      <c r="L7297" s="8">
        <v>39987.315405092595</v>
      </c>
      <c r="M7297" s="9" t="s">
        <v>19</v>
      </c>
      <c r="N7297" s="9" t="s">
        <v>20</v>
      </c>
      <c r="O7297" s="6" t="str">
        <f>HYPERLINK("https://pbs.twimg.com/profile_images/962471262747529216/Uo8lOkRJ_normal.jpg","View")</f>
        <v>View</v>
      </c>
      <c r="P7297" s="7"/>
    </row>
    <row r="7298" spans="1:16">
      <c r="A7298" s="3">
        <v>44018.846377314811</v>
      </c>
      <c r="B7298" s="4" t="str">
        <f>HYPERLINK("https://twitter.com/petrogustavo","@petrogustavo")</f>
        <v>@petrogustavo</v>
      </c>
      <c r="C7298" s="5" t="s">
        <v>16</v>
      </c>
      <c r="D7298" s="5" t="s">
        <v>7058</v>
      </c>
      <c r="E7298" s="6" t="str">
        <f>HYPERLINK("https://twitter.com/petrogustavo/status/1280151713765302272","1280151713765302272")</f>
        <v>1280151713765302272</v>
      </c>
      <c r="F7298" s="7" t="s">
        <v>32</v>
      </c>
      <c r="G7298" s="7">
        <v>3900976</v>
      </c>
      <c r="H7298" s="7">
        <v>2420</v>
      </c>
      <c r="I7298" s="7">
        <v>101</v>
      </c>
      <c r="J7298" s="7">
        <v>0</v>
      </c>
      <c r="K7298" s="7" t="s">
        <v>18</v>
      </c>
      <c r="L7298" s="8">
        <v>39987.315405092595</v>
      </c>
      <c r="M7298" s="9" t="s">
        <v>19</v>
      </c>
      <c r="N7298" s="9" t="s">
        <v>20</v>
      </c>
      <c r="O7298" s="6" t="str">
        <f>HYPERLINK("https://pbs.twimg.com/profile_images/962471262747529216/Uo8lOkRJ_normal.jpg","View")</f>
        <v>View</v>
      </c>
      <c r="P7298" s="7"/>
    </row>
    <row r="7299" spans="1:16">
      <c r="A7299" s="3">
        <v>44018.846585648149</v>
      </c>
      <c r="B7299" s="4" t="str">
        <f>HYPERLINK("https://twitter.com/petrogustavo","@petrogustavo")</f>
        <v>@petrogustavo</v>
      </c>
      <c r="C7299" s="5" t="s">
        <v>16</v>
      </c>
      <c r="D7299" s="5" t="s">
        <v>7059</v>
      </c>
      <c r="E7299" s="6" t="str">
        <f>HYPERLINK("https://twitter.com/petrogustavo/status/1280151788352659456","1280151788352659456")</f>
        <v>1280151788352659456</v>
      </c>
      <c r="F7299" s="7" t="s">
        <v>32</v>
      </c>
      <c r="G7299" s="7">
        <v>3900976</v>
      </c>
      <c r="H7299" s="7">
        <v>2420</v>
      </c>
      <c r="I7299" s="7">
        <v>120</v>
      </c>
      <c r="J7299" s="7">
        <v>0</v>
      </c>
      <c r="K7299" s="7" t="s">
        <v>18</v>
      </c>
      <c r="L7299" s="8">
        <v>39987.315405092595</v>
      </c>
      <c r="M7299" s="9" t="s">
        <v>19</v>
      </c>
      <c r="N7299" s="9" t="s">
        <v>20</v>
      </c>
      <c r="O7299" s="6" t="str">
        <f>HYPERLINK("https://pbs.twimg.com/profile_images/962471262747529216/Uo8lOkRJ_normal.jpg","View")</f>
        <v>View</v>
      </c>
      <c r="P7299" s="7"/>
    </row>
    <row r="7300" spans="1:16">
      <c r="A7300" s="3">
        <v>44018.854305555556</v>
      </c>
      <c r="B7300" s="4" t="str">
        <f>HYPERLINK("https://twitter.com/petrogustavo","@petrogustavo")</f>
        <v>@petrogustavo</v>
      </c>
      <c r="C7300" s="5" t="s">
        <v>16</v>
      </c>
      <c r="D7300" s="5" t="s">
        <v>7060</v>
      </c>
      <c r="E7300" s="6" t="str">
        <f>HYPERLINK("https://twitter.com/petrogustavo/status/1280154586829991938","1280154586829991938")</f>
        <v>1280154586829991938</v>
      </c>
      <c r="F7300" s="7" t="s">
        <v>21</v>
      </c>
      <c r="G7300" s="7">
        <v>3900976</v>
      </c>
      <c r="H7300" s="7">
        <v>2420</v>
      </c>
      <c r="I7300" s="7">
        <v>47</v>
      </c>
      <c r="J7300" s="7">
        <v>105</v>
      </c>
      <c r="K7300" s="7" t="s">
        <v>18</v>
      </c>
      <c r="L7300" s="8">
        <v>39987.315405092595</v>
      </c>
      <c r="M7300" s="9" t="s">
        <v>19</v>
      </c>
      <c r="N7300" s="9" t="s">
        <v>20</v>
      </c>
      <c r="O7300" s="6" t="str">
        <f>HYPERLINK("https://pbs.twimg.com/profile_images/962471262747529216/Uo8lOkRJ_normal.jpg","View")</f>
        <v>View</v>
      </c>
      <c r="P7300" s="7"/>
    </row>
    <row r="7301" spans="1:16">
      <c r="A7301" s="3">
        <v>44018.854479166665</v>
      </c>
      <c r="B7301" s="4" t="str">
        <f>HYPERLINK("https://twitter.com/petrogustavo","@petrogustavo")</f>
        <v>@petrogustavo</v>
      </c>
      <c r="C7301" s="5" t="s">
        <v>16</v>
      </c>
      <c r="D7301" s="5" t="s">
        <v>7061</v>
      </c>
      <c r="E7301" s="6" t="str">
        <f>HYPERLINK("https://twitter.com/petrogustavo/status/1280154651955003392","1280154651955003392")</f>
        <v>1280154651955003392</v>
      </c>
      <c r="F7301" s="7" t="s">
        <v>21</v>
      </c>
      <c r="G7301" s="7">
        <v>3900976</v>
      </c>
      <c r="H7301" s="7">
        <v>2420</v>
      </c>
      <c r="I7301" s="7">
        <v>63</v>
      </c>
      <c r="J7301" s="7">
        <v>154</v>
      </c>
      <c r="K7301" s="7" t="s">
        <v>18</v>
      </c>
      <c r="L7301" s="8">
        <v>39987.315405092595</v>
      </c>
      <c r="M7301" s="9" t="s">
        <v>19</v>
      </c>
      <c r="N7301" s="9" t="s">
        <v>20</v>
      </c>
      <c r="O7301" s="6" t="str">
        <f>HYPERLINK("https://pbs.twimg.com/profile_images/962471262747529216/Uo8lOkRJ_normal.jpg","View")</f>
        <v>View</v>
      </c>
      <c r="P7301" s="7"/>
    </row>
    <row r="7302" spans="1:16">
      <c r="A7302" s="3">
        <v>44019.051145833335</v>
      </c>
      <c r="B7302" s="4" t="str">
        <f>HYPERLINK("https://twitter.com/petrogustavo","@petrogustavo")</f>
        <v>@petrogustavo</v>
      </c>
      <c r="C7302" s="5" t="s">
        <v>16</v>
      </c>
      <c r="D7302" s="5" t="s">
        <v>7062</v>
      </c>
      <c r="E7302" s="6" t="str">
        <f>HYPERLINK("https://twitter.com/petrogustavo/status/1280225920780046338","1280225920780046338")</f>
        <v>1280225920780046338</v>
      </c>
      <c r="F7302" s="7" t="s">
        <v>17</v>
      </c>
      <c r="G7302" s="7">
        <v>3901188</v>
      </c>
      <c r="H7302" s="7">
        <v>2420</v>
      </c>
      <c r="I7302" s="7">
        <v>27</v>
      </c>
      <c r="J7302" s="7">
        <v>60</v>
      </c>
      <c r="K7302" s="7" t="s">
        <v>18</v>
      </c>
      <c r="L7302" s="8">
        <v>39987.315405092595</v>
      </c>
      <c r="M7302" s="9" t="s">
        <v>19</v>
      </c>
      <c r="N7302" s="9" t="s">
        <v>20</v>
      </c>
      <c r="O7302" s="6" t="str">
        <f>HYPERLINK("https://pbs.twimg.com/profile_images/962471262747529216/Uo8lOkRJ_normal.jpg","View")</f>
        <v>View</v>
      </c>
      <c r="P7302" s="7"/>
    </row>
    <row r="7303" spans="1:16">
      <c r="A7303" s="3">
        <v>44019.051342592589</v>
      </c>
      <c r="B7303" s="4" t="str">
        <f>HYPERLINK("https://twitter.com/petrogustavo","@petrogustavo")</f>
        <v>@petrogustavo</v>
      </c>
      <c r="C7303" s="5" t="s">
        <v>16</v>
      </c>
      <c r="D7303" s="5" t="s">
        <v>7063</v>
      </c>
      <c r="E7303" s="6" t="str">
        <f>HYPERLINK("https://twitter.com/petrogustavo/status/1280225991739260931","1280225991739260931")</f>
        <v>1280225991739260931</v>
      </c>
      <c r="F7303" s="7" t="s">
        <v>17</v>
      </c>
      <c r="G7303" s="7">
        <v>3901188</v>
      </c>
      <c r="H7303" s="7">
        <v>2420</v>
      </c>
      <c r="I7303" s="7">
        <v>364</v>
      </c>
      <c r="J7303" s="7">
        <v>0</v>
      </c>
      <c r="K7303" s="7" t="s">
        <v>18</v>
      </c>
      <c r="L7303" s="8">
        <v>39987.315405092595</v>
      </c>
      <c r="M7303" s="9" t="s">
        <v>19</v>
      </c>
      <c r="N7303" s="9" t="s">
        <v>20</v>
      </c>
      <c r="O7303" s="6" t="str">
        <f>HYPERLINK("https://pbs.twimg.com/profile_images/962471262747529216/Uo8lOkRJ_normal.jpg","View")</f>
        <v>View</v>
      </c>
      <c r="P7303" s="7"/>
    </row>
    <row r="7304" spans="1:16">
      <c r="A7304" s="3">
        <v>44019.051458333328</v>
      </c>
      <c r="B7304" s="4" t="str">
        <f>HYPERLINK("https://twitter.com/petrogustavo","@petrogustavo")</f>
        <v>@petrogustavo</v>
      </c>
      <c r="C7304" s="5" t="s">
        <v>16</v>
      </c>
      <c r="D7304" s="5" t="s">
        <v>7064</v>
      </c>
      <c r="E7304" s="6" t="str">
        <f>HYPERLINK("https://twitter.com/petrogustavo/status/1280226031459336193","1280226031459336193")</f>
        <v>1280226031459336193</v>
      </c>
      <c r="F7304" s="7" t="s">
        <v>17</v>
      </c>
      <c r="G7304" s="7">
        <v>3901188</v>
      </c>
      <c r="H7304" s="7">
        <v>2420</v>
      </c>
      <c r="I7304" s="7">
        <v>448</v>
      </c>
      <c r="J7304" s="7">
        <v>0</v>
      </c>
      <c r="K7304" s="7" t="s">
        <v>18</v>
      </c>
      <c r="L7304" s="8">
        <v>39987.315405092595</v>
      </c>
      <c r="M7304" s="9" t="s">
        <v>19</v>
      </c>
      <c r="N7304" s="9" t="s">
        <v>20</v>
      </c>
      <c r="O7304" s="6" t="str">
        <f>HYPERLINK("https://pbs.twimg.com/profile_images/962471262747529216/Uo8lOkRJ_normal.jpg","View")</f>
        <v>View</v>
      </c>
      <c r="P7304" s="7"/>
    </row>
    <row r="7305" spans="1:16">
      <c r="A7305" s="3">
        <v>44019.093472222223</v>
      </c>
      <c r="B7305" s="4" t="str">
        <f>HYPERLINK("https://twitter.com/petrogustavo","@petrogustavo")</f>
        <v>@petrogustavo</v>
      </c>
      <c r="C7305" s="5" t="s">
        <v>16</v>
      </c>
      <c r="D7305" s="5" t="s">
        <v>7065</v>
      </c>
      <c r="E7305" s="6" t="str">
        <f>HYPERLINK("https://twitter.com/petrogustavo/status/1280241256975814656","1280241256975814656")</f>
        <v>1280241256975814656</v>
      </c>
      <c r="F7305" s="7" t="s">
        <v>17</v>
      </c>
      <c r="G7305" s="7">
        <v>3901236</v>
      </c>
      <c r="H7305" s="7">
        <v>2420</v>
      </c>
      <c r="I7305" s="7">
        <v>28</v>
      </c>
      <c r="J7305" s="7">
        <v>0</v>
      </c>
      <c r="K7305" s="7" t="s">
        <v>18</v>
      </c>
      <c r="L7305" s="8">
        <v>39987.315405092595</v>
      </c>
      <c r="M7305" s="9" t="s">
        <v>19</v>
      </c>
      <c r="N7305" s="9" t="s">
        <v>20</v>
      </c>
      <c r="O7305" s="6" t="str">
        <f>HYPERLINK("https://pbs.twimg.com/profile_images/962471262747529216/Uo8lOkRJ_normal.jpg","View")</f>
        <v>View</v>
      </c>
      <c r="P7305" s="7"/>
    </row>
    <row r="7306" spans="1:16">
      <c r="A7306" s="3">
        <v>44019.093819444446</v>
      </c>
      <c r="B7306" s="4" t="str">
        <f>HYPERLINK("https://twitter.com/petrogustavo","@petrogustavo")</f>
        <v>@petrogustavo</v>
      </c>
      <c r="C7306" s="5" t="s">
        <v>16</v>
      </c>
      <c r="D7306" s="5" t="s">
        <v>7066</v>
      </c>
      <c r="E7306" s="6" t="str">
        <f>HYPERLINK("https://twitter.com/petrogustavo/status/1280241384730046464","1280241384730046464")</f>
        <v>1280241384730046464</v>
      </c>
      <c r="F7306" s="7" t="s">
        <v>17</v>
      </c>
      <c r="G7306" s="7">
        <v>3901236</v>
      </c>
      <c r="H7306" s="7">
        <v>2420</v>
      </c>
      <c r="I7306" s="7">
        <v>595</v>
      </c>
      <c r="J7306" s="7">
        <v>0</v>
      </c>
      <c r="K7306" s="7" t="s">
        <v>18</v>
      </c>
      <c r="L7306" s="8">
        <v>39987.315405092595</v>
      </c>
      <c r="M7306" s="9" t="s">
        <v>19</v>
      </c>
      <c r="N7306" s="9" t="s">
        <v>20</v>
      </c>
      <c r="O7306" s="6" t="str">
        <f>HYPERLINK("https://pbs.twimg.com/profile_images/962471262747529216/Uo8lOkRJ_normal.jpg","View")</f>
        <v>View</v>
      </c>
      <c r="P7306" s="7"/>
    </row>
    <row r="7307" spans="1:16">
      <c r="A7307" s="3">
        <v>44019.109236111108</v>
      </c>
      <c r="B7307" s="4" t="str">
        <f>HYPERLINK("https://twitter.com/petrogustavo","@petrogustavo")</f>
        <v>@petrogustavo</v>
      </c>
      <c r="C7307" s="5" t="s">
        <v>16</v>
      </c>
      <c r="D7307" s="5" t="s">
        <v>7067</v>
      </c>
      <c r="E7307" s="6" t="str">
        <f>HYPERLINK("https://twitter.com/petrogustavo/status/1280246970280488961","1280246970280488961")</f>
        <v>1280246970280488961</v>
      </c>
      <c r="F7307" s="7" t="s">
        <v>17</v>
      </c>
      <c r="G7307" s="7">
        <v>3901271</v>
      </c>
      <c r="H7307" s="7">
        <v>2420</v>
      </c>
      <c r="I7307" s="7">
        <v>98</v>
      </c>
      <c r="J7307" s="7">
        <v>288</v>
      </c>
      <c r="K7307" s="7" t="s">
        <v>18</v>
      </c>
      <c r="L7307" s="8">
        <v>39987.315405092595</v>
      </c>
      <c r="M7307" s="9" t="s">
        <v>19</v>
      </c>
      <c r="N7307" s="9" t="s">
        <v>20</v>
      </c>
      <c r="O7307" s="6" t="str">
        <f>HYPERLINK("https://pbs.twimg.com/profile_images/962471262747529216/Uo8lOkRJ_normal.jpg","View")</f>
        <v>View</v>
      </c>
      <c r="P7307" s="7"/>
    </row>
    <row r="7308" spans="1:16">
      <c r="A7308" s="3">
        <v>44019.1097337963</v>
      </c>
      <c r="B7308" s="4" t="str">
        <f>HYPERLINK("https://twitter.com/petrogustavo","@petrogustavo")</f>
        <v>@petrogustavo</v>
      </c>
      <c r="C7308" s="5" t="s">
        <v>16</v>
      </c>
      <c r="D7308" s="5" t="s">
        <v>7068</v>
      </c>
      <c r="E7308" s="6" t="str">
        <f>HYPERLINK("https://twitter.com/petrogustavo/status/1280247152023871488","1280247152023871488")</f>
        <v>1280247152023871488</v>
      </c>
      <c r="F7308" s="7" t="s">
        <v>17</v>
      </c>
      <c r="G7308" s="7">
        <v>3901271</v>
      </c>
      <c r="H7308" s="7">
        <v>2420</v>
      </c>
      <c r="I7308" s="7">
        <v>35</v>
      </c>
      <c r="J7308" s="7">
        <v>0</v>
      </c>
      <c r="K7308" s="7" t="s">
        <v>18</v>
      </c>
      <c r="L7308" s="8">
        <v>39987.315405092595</v>
      </c>
      <c r="M7308" s="9" t="s">
        <v>19</v>
      </c>
      <c r="N7308" s="9" t="s">
        <v>20</v>
      </c>
      <c r="O7308" s="6" t="str">
        <f>HYPERLINK("https://pbs.twimg.com/profile_images/962471262747529216/Uo8lOkRJ_normal.jpg","View")</f>
        <v>View</v>
      </c>
      <c r="P7308" s="7"/>
    </row>
    <row r="7309" spans="1:16">
      <c r="A7309" s="3">
        <v>44019.109768518523</v>
      </c>
      <c r="B7309" s="4" t="str">
        <f>HYPERLINK("https://twitter.com/petrogustavo","@petrogustavo")</f>
        <v>@petrogustavo</v>
      </c>
      <c r="C7309" s="5" t="s">
        <v>16</v>
      </c>
      <c r="D7309" s="5" t="s">
        <v>7069</v>
      </c>
      <c r="E7309" s="6" t="str">
        <f>HYPERLINK("https://twitter.com/petrogustavo/status/1280247165554692099","1280247165554692099")</f>
        <v>1280247165554692099</v>
      </c>
      <c r="F7309" s="7" t="s">
        <v>17</v>
      </c>
      <c r="G7309" s="7">
        <v>3901271</v>
      </c>
      <c r="H7309" s="7">
        <v>2420</v>
      </c>
      <c r="I7309" s="7">
        <v>5014</v>
      </c>
      <c r="J7309" s="7">
        <v>0</v>
      </c>
      <c r="K7309" s="7" t="s">
        <v>18</v>
      </c>
      <c r="L7309" s="8">
        <v>39987.315405092595</v>
      </c>
      <c r="M7309" s="9" t="s">
        <v>19</v>
      </c>
      <c r="N7309" s="9" t="s">
        <v>20</v>
      </c>
      <c r="O7309" s="6" t="str">
        <f>HYPERLINK("https://pbs.twimg.com/profile_images/962471262747529216/Uo8lOkRJ_normal.jpg","View")</f>
        <v>View</v>
      </c>
      <c r="P7309" s="7"/>
    </row>
    <row r="7310" spans="1:16">
      <c r="A7310" s="3">
        <v>44019.111412037033</v>
      </c>
      <c r="B7310" s="4" t="str">
        <f>HYPERLINK("https://twitter.com/petrogustavo","@petrogustavo")</f>
        <v>@petrogustavo</v>
      </c>
      <c r="C7310" s="5" t="s">
        <v>16</v>
      </c>
      <c r="D7310" s="5" t="s">
        <v>7070</v>
      </c>
      <c r="E7310" s="6" t="str">
        <f>HYPERLINK("https://twitter.com/petrogustavo/status/1280247761535995906","1280247761535995906")</f>
        <v>1280247761535995906</v>
      </c>
      <c r="F7310" s="7" t="s">
        <v>17</v>
      </c>
      <c r="G7310" s="7">
        <v>3901271</v>
      </c>
      <c r="H7310" s="7">
        <v>2420</v>
      </c>
      <c r="I7310" s="7">
        <v>231</v>
      </c>
      <c r="J7310" s="7">
        <v>631</v>
      </c>
      <c r="K7310" s="7" t="s">
        <v>18</v>
      </c>
      <c r="L7310" s="8">
        <v>39987.315405092595</v>
      </c>
      <c r="M7310" s="9" t="s">
        <v>19</v>
      </c>
      <c r="N7310" s="9" t="s">
        <v>20</v>
      </c>
      <c r="O7310" s="6" t="str">
        <f>HYPERLINK("https://pbs.twimg.com/profile_images/962471262747529216/Uo8lOkRJ_normal.jpg","View")</f>
        <v>View</v>
      </c>
      <c r="P7310" s="7"/>
    </row>
    <row r="7311" spans="1:16">
      <c r="A7311" s="3">
        <v>44019.112280092595</v>
      </c>
      <c r="B7311" s="4" t="str">
        <f>HYPERLINK("https://twitter.com/petrogustavo","@petrogustavo")</f>
        <v>@petrogustavo</v>
      </c>
      <c r="C7311" s="5" t="s">
        <v>16</v>
      </c>
      <c r="D7311" s="5" t="s">
        <v>7071</v>
      </c>
      <c r="E7311" s="6" t="str">
        <f>HYPERLINK("https://twitter.com/petrogustavo/status/1280248074414194688","1280248074414194688")</f>
        <v>1280248074414194688</v>
      </c>
      <c r="F7311" s="7" t="s">
        <v>17</v>
      </c>
      <c r="G7311" s="7">
        <v>3901271</v>
      </c>
      <c r="H7311" s="7">
        <v>2420</v>
      </c>
      <c r="I7311" s="7">
        <v>50</v>
      </c>
      <c r="J7311" s="7">
        <v>0</v>
      </c>
      <c r="K7311" s="7" t="s">
        <v>18</v>
      </c>
      <c r="L7311" s="8">
        <v>39987.315405092595</v>
      </c>
      <c r="M7311" s="9" t="s">
        <v>19</v>
      </c>
      <c r="N7311" s="9" t="s">
        <v>20</v>
      </c>
      <c r="O7311" s="6" t="str">
        <f>HYPERLINK("https://pbs.twimg.com/profile_images/962471262747529216/Uo8lOkRJ_normal.jpg","View")</f>
        <v>View</v>
      </c>
      <c r="P7311" s="7"/>
    </row>
    <row r="7312" spans="1:16">
      <c r="A7312" s="3">
        <v>44019.112962962958</v>
      </c>
      <c r="B7312" s="4" t="str">
        <f>HYPERLINK("https://twitter.com/petrogustavo","@petrogustavo")</f>
        <v>@petrogustavo</v>
      </c>
      <c r="C7312" s="5" t="s">
        <v>16</v>
      </c>
      <c r="D7312" s="5" t="s">
        <v>7072</v>
      </c>
      <c r="E7312" s="6" t="str">
        <f>HYPERLINK("https://twitter.com/petrogustavo/status/1280248321320398848","1280248321320398848")</f>
        <v>1280248321320398848</v>
      </c>
      <c r="F7312" s="7" t="s">
        <v>17</v>
      </c>
      <c r="G7312" s="7">
        <v>3901271</v>
      </c>
      <c r="H7312" s="7">
        <v>2420</v>
      </c>
      <c r="I7312" s="7">
        <v>15</v>
      </c>
      <c r="J7312" s="7">
        <v>0</v>
      </c>
      <c r="K7312" s="7" t="s">
        <v>18</v>
      </c>
      <c r="L7312" s="8">
        <v>39987.315405092595</v>
      </c>
      <c r="M7312" s="9" t="s">
        <v>19</v>
      </c>
      <c r="N7312" s="9" t="s">
        <v>20</v>
      </c>
      <c r="O7312" s="6" t="str">
        <f>HYPERLINK("https://pbs.twimg.com/profile_images/962471262747529216/Uo8lOkRJ_normal.jpg","View")</f>
        <v>View</v>
      </c>
      <c r="P7312" s="7"/>
    </row>
    <row r="7313" spans="1:16">
      <c r="A7313" s="3">
        <v>44019.113067129627</v>
      </c>
      <c r="B7313" s="4" t="str">
        <f>HYPERLINK("https://twitter.com/petrogustavo","@petrogustavo")</f>
        <v>@petrogustavo</v>
      </c>
      <c r="C7313" s="5" t="s">
        <v>16</v>
      </c>
      <c r="D7313" s="5" t="s">
        <v>7073</v>
      </c>
      <c r="E7313" s="6" t="str">
        <f>HYPERLINK("https://twitter.com/petrogustavo/status/1280248358381203462","1280248358381203462")</f>
        <v>1280248358381203462</v>
      </c>
      <c r="F7313" s="7" t="s">
        <v>17</v>
      </c>
      <c r="G7313" s="7">
        <v>3901271</v>
      </c>
      <c r="H7313" s="7">
        <v>2420</v>
      </c>
      <c r="I7313" s="7">
        <v>48</v>
      </c>
      <c r="J7313" s="7">
        <v>0</v>
      </c>
      <c r="K7313" s="7" t="s">
        <v>18</v>
      </c>
      <c r="L7313" s="8">
        <v>39987.315405092595</v>
      </c>
      <c r="M7313" s="9" t="s">
        <v>19</v>
      </c>
      <c r="N7313" s="9" t="s">
        <v>20</v>
      </c>
      <c r="O7313" s="6" t="str">
        <f>HYPERLINK("https://pbs.twimg.com/profile_images/962471262747529216/Uo8lOkRJ_normal.jpg","View")</f>
        <v>View</v>
      </c>
      <c r="P7313" s="7"/>
    </row>
    <row r="7314" spans="1:16">
      <c r="A7314" s="3">
        <v>44019.129918981482</v>
      </c>
      <c r="B7314" s="4" t="str">
        <f>HYPERLINK("https://twitter.com/petrogustavo","@petrogustavo")</f>
        <v>@petrogustavo</v>
      </c>
      <c r="C7314" s="5" t="s">
        <v>16</v>
      </c>
      <c r="D7314" s="5" t="s">
        <v>7074</v>
      </c>
      <c r="E7314" s="6" t="str">
        <f>HYPERLINK("https://twitter.com/petrogustavo/status/1280254467061972992","1280254467061972992")</f>
        <v>1280254467061972992</v>
      </c>
      <c r="F7314" s="7" t="s">
        <v>17</v>
      </c>
      <c r="G7314" s="7">
        <v>3901304</v>
      </c>
      <c r="H7314" s="7">
        <v>2420</v>
      </c>
      <c r="I7314" s="7">
        <v>493</v>
      </c>
      <c r="J7314" s="7">
        <v>0</v>
      </c>
      <c r="K7314" s="7" t="s">
        <v>18</v>
      </c>
      <c r="L7314" s="8">
        <v>39987.315405092595</v>
      </c>
      <c r="M7314" s="9" t="s">
        <v>19</v>
      </c>
      <c r="N7314" s="9" t="s">
        <v>20</v>
      </c>
      <c r="O7314" s="6" t="str">
        <f>HYPERLINK("https://pbs.twimg.com/profile_images/962471262747529216/Uo8lOkRJ_normal.jpg","View")</f>
        <v>View</v>
      </c>
      <c r="P7314" s="7"/>
    </row>
    <row r="7315" spans="1:16">
      <c r="A7315" s="3">
        <v>44019.132615740746</v>
      </c>
      <c r="B7315" s="4" t="str">
        <f>HYPERLINK("https://twitter.com/petrogustavo","@petrogustavo")</f>
        <v>@petrogustavo</v>
      </c>
      <c r="C7315" s="5" t="s">
        <v>16</v>
      </c>
      <c r="D7315" s="5" t="s">
        <v>7075</v>
      </c>
      <c r="E7315" s="6" t="str">
        <f>HYPERLINK("https://twitter.com/petrogustavo/status/1280255445702184960","1280255445702184960")</f>
        <v>1280255445702184960</v>
      </c>
      <c r="F7315" s="7" t="s">
        <v>17</v>
      </c>
      <c r="G7315" s="7">
        <v>3901304</v>
      </c>
      <c r="H7315" s="7">
        <v>2420</v>
      </c>
      <c r="I7315" s="7">
        <v>72</v>
      </c>
      <c r="J7315" s="7">
        <v>0</v>
      </c>
      <c r="K7315" s="7" t="s">
        <v>18</v>
      </c>
      <c r="L7315" s="8">
        <v>39987.315405092595</v>
      </c>
      <c r="M7315" s="9" t="s">
        <v>19</v>
      </c>
      <c r="N7315" s="9" t="s">
        <v>20</v>
      </c>
      <c r="O7315" s="6" t="str">
        <f>HYPERLINK("https://pbs.twimg.com/profile_images/962471262747529216/Uo8lOkRJ_normal.jpg","View")</f>
        <v>View</v>
      </c>
      <c r="P7315" s="7"/>
    </row>
    <row r="7316" spans="1:16">
      <c r="A7316" s="3">
        <v>44019.134421296301</v>
      </c>
      <c r="B7316" s="4" t="str">
        <f>HYPERLINK("https://twitter.com/petrogustavo","@petrogustavo")</f>
        <v>@petrogustavo</v>
      </c>
      <c r="C7316" s="5" t="s">
        <v>16</v>
      </c>
      <c r="D7316" s="5" t="s">
        <v>7076</v>
      </c>
      <c r="E7316" s="6" t="str">
        <f>HYPERLINK("https://twitter.com/petrogustavo/status/1280256096284946445","1280256096284946445")</f>
        <v>1280256096284946445</v>
      </c>
      <c r="F7316" s="7" t="s">
        <v>17</v>
      </c>
      <c r="G7316" s="7">
        <v>3901304</v>
      </c>
      <c r="H7316" s="7">
        <v>2420</v>
      </c>
      <c r="I7316" s="7">
        <v>146</v>
      </c>
      <c r="J7316" s="7">
        <v>304</v>
      </c>
      <c r="K7316" s="7" t="s">
        <v>18</v>
      </c>
      <c r="L7316" s="8">
        <v>39987.315405092595</v>
      </c>
      <c r="M7316" s="9" t="s">
        <v>19</v>
      </c>
      <c r="N7316" s="9" t="s">
        <v>20</v>
      </c>
      <c r="O7316" s="6" t="str">
        <f>HYPERLINK("https://pbs.twimg.com/profile_images/962471262747529216/Uo8lOkRJ_normal.jpg","View")</f>
        <v>View</v>
      </c>
      <c r="P7316" s="7"/>
    </row>
    <row r="7317" spans="1:16">
      <c r="A7317" s="3">
        <v>44019.134999999995</v>
      </c>
      <c r="B7317" s="4" t="str">
        <f>HYPERLINK("https://twitter.com/petrogustavo","@petrogustavo")</f>
        <v>@petrogustavo</v>
      </c>
      <c r="C7317" s="5" t="s">
        <v>16</v>
      </c>
      <c r="D7317" s="5" t="s">
        <v>7077</v>
      </c>
      <c r="E7317" s="6" t="str">
        <f>HYPERLINK("https://twitter.com/petrogustavo/status/1280256309061967873","1280256309061967873")</f>
        <v>1280256309061967873</v>
      </c>
      <c r="F7317" s="7" t="s">
        <v>17</v>
      </c>
      <c r="G7317" s="7">
        <v>3901304</v>
      </c>
      <c r="H7317" s="7">
        <v>2420</v>
      </c>
      <c r="I7317" s="7">
        <v>79</v>
      </c>
      <c r="J7317" s="7">
        <v>0</v>
      </c>
      <c r="K7317" s="7" t="s">
        <v>18</v>
      </c>
      <c r="L7317" s="8">
        <v>39987.315405092595</v>
      </c>
      <c r="M7317" s="9" t="s">
        <v>19</v>
      </c>
      <c r="N7317" s="9" t="s">
        <v>20</v>
      </c>
      <c r="O7317" s="6" t="str">
        <f>HYPERLINK("https://pbs.twimg.com/profile_images/962471262747529216/Uo8lOkRJ_normal.jpg","View")</f>
        <v>View</v>
      </c>
      <c r="P7317" s="7"/>
    </row>
    <row r="7318" spans="1:16">
      <c r="A7318" s="3">
        <v>44019.218935185185</v>
      </c>
      <c r="B7318" s="4" t="str">
        <f>HYPERLINK("https://twitter.com/petrogustavo","@petrogustavo")</f>
        <v>@petrogustavo</v>
      </c>
      <c r="C7318" s="5" t="s">
        <v>16</v>
      </c>
      <c r="D7318" s="5" t="s">
        <v>7078</v>
      </c>
      <c r="E7318" s="6" t="str">
        <f>HYPERLINK("https://twitter.com/petrogustavo/status/1280286724720136196","1280286724720136196")</f>
        <v>1280286724720136196</v>
      </c>
      <c r="F7318" s="7" t="s">
        <v>32</v>
      </c>
      <c r="G7318" s="7">
        <v>3901422</v>
      </c>
      <c r="H7318" s="7">
        <v>2420</v>
      </c>
      <c r="I7318" s="7">
        <v>85</v>
      </c>
      <c r="J7318" s="7">
        <v>0</v>
      </c>
      <c r="K7318" s="7" t="s">
        <v>18</v>
      </c>
      <c r="L7318" s="8">
        <v>39987.315405092595</v>
      </c>
      <c r="M7318" s="9" t="s">
        <v>19</v>
      </c>
      <c r="N7318" s="9" t="s">
        <v>20</v>
      </c>
      <c r="O7318" s="6" t="str">
        <f>HYPERLINK("https://pbs.twimg.com/profile_images/962471262747529216/Uo8lOkRJ_normal.jpg","View")</f>
        <v>View</v>
      </c>
      <c r="P7318" s="7"/>
    </row>
    <row r="7319" spans="1:16">
      <c r="A7319" s="3">
        <v>44019.223379629635</v>
      </c>
      <c r="B7319" s="4" t="str">
        <f>HYPERLINK("https://twitter.com/petrogustavo","@petrogustavo")</f>
        <v>@petrogustavo</v>
      </c>
      <c r="C7319" s="5" t="s">
        <v>16</v>
      </c>
      <c r="D7319" s="5" t="s">
        <v>7069</v>
      </c>
      <c r="E7319" s="6" t="str">
        <f>HYPERLINK("https://twitter.com/petrogustavo/status/1280288337803251712","1280288337803251712")</f>
        <v>1280288337803251712</v>
      </c>
      <c r="F7319" s="7" t="s">
        <v>32</v>
      </c>
      <c r="G7319" s="7">
        <v>3901445</v>
      </c>
      <c r="H7319" s="7">
        <v>2420</v>
      </c>
      <c r="I7319" s="7">
        <v>6712</v>
      </c>
      <c r="J7319" s="7">
        <v>0</v>
      </c>
      <c r="K7319" s="7" t="s">
        <v>18</v>
      </c>
      <c r="L7319" s="8">
        <v>39987.315405092595</v>
      </c>
      <c r="M7319" s="9" t="s">
        <v>19</v>
      </c>
      <c r="N7319" s="9" t="s">
        <v>20</v>
      </c>
      <c r="O7319" s="6" t="str">
        <f>HYPERLINK("https://pbs.twimg.com/profile_images/962471262747529216/Uo8lOkRJ_normal.jpg","View")</f>
        <v>View</v>
      </c>
      <c r="P7319" s="7"/>
    </row>
    <row r="7320" spans="1:16">
      <c r="A7320" s="3">
        <v>44019.281458333338</v>
      </c>
      <c r="B7320" s="4" t="str">
        <f>HYPERLINK("https://twitter.com/petrogustavo","@petrogustavo")</f>
        <v>@petrogustavo</v>
      </c>
      <c r="C7320" s="5" t="s">
        <v>16</v>
      </c>
      <c r="D7320" s="5" t="s">
        <v>7079</v>
      </c>
      <c r="E7320" s="6" t="str">
        <f>HYPERLINK("https://twitter.com/petrogustavo/status/1280309382337748992","1280309382337748992")</f>
        <v>1280309382337748992</v>
      </c>
      <c r="F7320" s="7" t="s">
        <v>17</v>
      </c>
      <c r="G7320" s="7">
        <v>3901503</v>
      </c>
      <c r="H7320" s="7">
        <v>2420</v>
      </c>
      <c r="I7320" s="7">
        <v>71</v>
      </c>
      <c r="J7320" s="7">
        <v>0</v>
      </c>
      <c r="K7320" s="7" t="s">
        <v>18</v>
      </c>
      <c r="L7320" s="8">
        <v>39987.315405092595</v>
      </c>
      <c r="M7320" s="9" t="s">
        <v>19</v>
      </c>
      <c r="N7320" s="9" t="s">
        <v>20</v>
      </c>
      <c r="O7320" s="6" t="str">
        <f>HYPERLINK("https://pbs.twimg.com/profile_images/962471262747529216/Uo8lOkRJ_normal.jpg","View")</f>
        <v>View</v>
      </c>
      <c r="P7320" s="7"/>
    </row>
    <row r="7321" spans="1:16">
      <c r="A7321" s="3">
        <v>44019.282199074078</v>
      </c>
      <c r="B7321" s="4" t="str">
        <f>HYPERLINK("https://twitter.com/petrogustavo","@petrogustavo")</f>
        <v>@petrogustavo</v>
      </c>
      <c r="C7321" s="5" t="s">
        <v>16</v>
      </c>
      <c r="D7321" s="5" t="s">
        <v>7080</v>
      </c>
      <c r="E7321" s="6" t="str">
        <f>HYPERLINK("https://twitter.com/petrogustavo/status/1280309649720385537","1280309649720385537")</f>
        <v>1280309649720385537</v>
      </c>
      <c r="F7321" s="7" t="s">
        <v>17</v>
      </c>
      <c r="G7321" s="7">
        <v>3901503</v>
      </c>
      <c r="H7321" s="7">
        <v>2420</v>
      </c>
      <c r="I7321" s="7">
        <v>16</v>
      </c>
      <c r="J7321" s="7">
        <v>0</v>
      </c>
      <c r="K7321" s="7" t="s">
        <v>18</v>
      </c>
      <c r="L7321" s="8">
        <v>39987.315405092595</v>
      </c>
      <c r="M7321" s="9" t="s">
        <v>19</v>
      </c>
      <c r="N7321" s="9" t="s">
        <v>20</v>
      </c>
      <c r="O7321" s="6" t="str">
        <f>HYPERLINK("https://pbs.twimg.com/profile_images/962471262747529216/Uo8lOkRJ_normal.jpg","View")</f>
        <v>View</v>
      </c>
      <c r="P7321" s="7"/>
    </row>
    <row r="7322" spans="1:16">
      <c r="A7322" s="3">
        <v>44019.283842592587</v>
      </c>
      <c r="B7322" s="4" t="str">
        <f>HYPERLINK("https://twitter.com/petrogustavo","@petrogustavo")</f>
        <v>@petrogustavo</v>
      </c>
      <c r="C7322" s="5" t="s">
        <v>16</v>
      </c>
      <c r="D7322" s="5" t="s">
        <v>7063</v>
      </c>
      <c r="E7322" s="6" t="str">
        <f>HYPERLINK("https://twitter.com/petrogustavo/status/1280310245127081985","1280310245127081985")</f>
        <v>1280310245127081985</v>
      </c>
      <c r="F7322" s="7" t="s">
        <v>17</v>
      </c>
      <c r="G7322" s="7">
        <v>3901529</v>
      </c>
      <c r="H7322" s="7">
        <v>2420</v>
      </c>
      <c r="I7322" s="7">
        <v>554</v>
      </c>
      <c r="J7322" s="7">
        <v>0</v>
      </c>
      <c r="K7322" s="7" t="s">
        <v>18</v>
      </c>
      <c r="L7322" s="8">
        <v>39987.315405092595</v>
      </c>
      <c r="M7322" s="9" t="s">
        <v>19</v>
      </c>
      <c r="N7322" s="9" t="s">
        <v>20</v>
      </c>
      <c r="O7322" s="6" t="str">
        <f>HYPERLINK("https://pbs.twimg.com/profile_images/962471262747529216/Uo8lOkRJ_normal.jpg","View")</f>
        <v>View</v>
      </c>
      <c r="P7322" s="7"/>
    </row>
    <row r="7323" spans="1:16">
      <c r="A7323" s="3">
        <v>44019.284259259264</v>
      </c>
      <c r="B7323" s="4" t="str">
        <f>HYPERLINK("https://twitter.com/petrogustavo","@petrogustavo")</f>
        <v>@petrogustavo</v>
      </c>
      <c r="C7323" s="5" t="s">
        <v>16</v>
      </c>
      <c r="D7323" s="5" t="s">
        <v>7064</v>
      </c>
      <c r="E7323" s="6" t="str">
        <f>HYPERLINK("https://twitter.com/petrogustavo/status/1280310395929079810","1280310395929079810")</f>
        <v>1280310395929079810</v>
      </c>
      <c r="F7323" s="7" t="s">
        <v>17</v>
      </c>
      <c r="G7323" s="7">
        <v>3901529</v>
      </c>
      <c r="H7323" s="7">
        <v>2420</v>
      </c>
      <c r="I7323" s="7">
        <v>770</v>
      </c>
      <c r="J7323" s="7">
        <v>0</v>
      </c>
      <c r="K7323" s="7" t="s">
        <v>18</v>
      </c>
      <c r="L7323" s="8">
        <v>39987.315405092595</v>
      </c>
      <c r="M7323" s="9" t="s">
        <v>19</v>
      </c>
      <c r="N7323" s="9" t="s">
        <v>20</v>
      </c>
      <c r="O7323" s="6" t="str">
        <f>HYPERLINK("https://pbs.twimg.com/profile_images/962471262747529216/Uo8lOkRJ_normal.jpg","View")</f>
        <v>View</v>
      </c>
      <c r="P7323" s="7"/>
    </row>
    <row r="7324" spans="1:16">
      <c r="A7324" s="3">
        <v>44019.287129629629</v>
      </c>
      <c r="B7324" s="4" t="str">
        <f>HYPERLINK("https://twitter.com/petrogustavo","@petrogustavo")</f>
        <v>@petrogustavo</v>
      </c>
      <c r="C7324" s="5" t="s">
        <v>16</v>
      </c>
      <c r="D7324" s="5" t="s">
        <v>7081</v>
      </c>
      <c r="E7324" s="6" t="str">
        <f>HYPERLINK("https://twitter.com/petrogustavo/status/1280311437693501441","1280311437693501441")</f>
        <v>1280311437693501441</v>
      </c>
      <c r="F7324" s="7" t="s">
        <v>17</v>
      </c>
      <c r="G7324" s="7">
        <v>3901529</v>
      </c>
      <c r="H7324" s="7">
        <v>2420</v>
      </c>
      <c r="I7324" s="7">
        <v>88</v>
      </c>
      <c r="J7324" s="7">
        <v>0</v>
      </c>
      <c r="K7324" s="7" t="s">
        <v>18</v>
      </c>
      <c r="L7324" s="8">
        <v>39987.315405092595</v>
      </c>
      <c r="M7324" s="9" t="s">
        <v>19</v>
      </c>
      <c r="N7324" s="9" t="s">
        <v>20</v>
      </c>
      <c r="O7324" s="6" t="str">
        <f>HYPERLINK("https://pbs.twimg.com/profile_images/962471262747529216/Uo8lOkRJ_normal.jpg","View")</f>
        <v>View</v>
      </c>
      <c r="P7324" s="7"/>
    </row>
    <row r="7325" spans="1:16">
      <c r="A7325" s="3">
        <v>44019.316122685181</v>
      </c>
      <c r="B7325" s="4" t="str">
        <f>HYPERLINK("https://twitter.com/petrogustavo","@petrogustavo")</f>
        <v>@petrogustavo</v>
      </c>
      <c r="C7325" s="5" t="s">
        <v>16</v>
      </c>
      <c r="D7325" s="5" t="s">
        <v>7082</v>
      </c>
      <c r="E7325" s="6" t="str">
        <f>HYPERLINK("https://twitter.com/petrogustavo/status/1280321944483696641","1280321944483696641")</f>
        <v>1280321944483696641</v>
      </c>
      <c r="F7325" s="7" t="s">
        <v>17</v>
      </c>
      <c r="G7325" s="7">
        <v>3901573</v>
      </c>
      <c r="H7325" s="7">
        <v>2420</v>
      </c>
      <c r="I7325" s="7">
        <v>40</v>
      </c>
      <c r="J7325" s="7">
        <v>0</v>
      </c>
      <c r="K7325" s="7" t="s">
        <v>18</v>
      </c>
      <c r="L7325" s="8">
        <v>39987.315405092595</v>
      </c>
      <c r="M7325" s="9" t="s">
        <v>19</v>
      </c>
      <c r="N7325" s="9" t="s">
        <v>20</v>
      </c>
      <c r="O7325" s="6" t="str">
        <f>HYPERLINK("https://pbs.twimg.com/profile_images/962471262747529216/Uo8lOkRJ_normal.jpg","View")</f>
        <v>View</v>
      </c>
      <c r="P7325" s="7"/>
    </row>
    <row r="7326" spans="1:16">
      <c r="A7326" s="3">
        <v>44019.316851851851</v>
      </c>
      <c r="B7326" s="4" t="str">
        <f>HYPERLINK("https://twitter.com/petrogustavo","@petrogustavo")</f>
        <v>@petrogustavo</v>
      </c>
      <c r="C7326" s="5" t="s">
        <v>16</v>
      </c>
      <c r="D7326" s="5" t="s">
        <v>7063</v>
      </c>
      <c r="E7326" s="6" t="str">
        <f>HYPERLINK("https://twitter.com/petrogustavo/status/1280322208670330880","1280322208670330880")</f>
        <v>1280322208670330880</v>
      </c>
      <c r="F7326" s="7" t="s">
        <v>17</v>
      </c>
      <c r="G7326" s="7">
        <v>3901573</v>
      </c>
      <c r="H7326" s="7">
        <v>2420</v>
      </c>
      <c r="I7326" s="7">
        <v>576</v>
      </c>
      <c r="J7326" s="7">
        <v>0</v>
      </c>
      <c r="K7326" s="7" t="s">
        <v>18</v>
      </c>
      <c r="L7326" s="8">
        <v>39987.315405092595</v>
      </c>
      <c r="M7326" s="9" t="s">
        <v>19</v>
      </c>
      <c r="N7326" s="9" t="s">
        <v>20</v>
      </c>
      <c r="O7326" s="6" t="str">
        <f>HYPERLINK("https://pbs.twimg.com/profile_images/962471262747529216/Uo8lOkRJ_normal.jpg","View")</f>
        <v>View</v>
      </c>
      <c r="P7326" s="7"/>
    </row>
    <row r="7327" spans="1:16">
      <c r="A7327" s="3">
        <v>44019.31695601852</v>
      </c>
      <c r="B7327" s="4" t="str">
        <f>HYPERLINK("https://twitter.com/petrogustavo","@petrogustavo")</f>
        <v>@petrogustavo</v>
      </c>
      <c r="C7327" s="5" t="s">
        <v>16</v>
      </c>
      <c r="D7327" s="5" t="s">
        <v>7064</v>
      </c>
      <c r="E7327" s="6" t="str">
        <f>HYPERLINK("https://twitter.com/petrogustavo/status/1280322246700150784","1280322246700150784")</f>
        <v>1280322246700150784</v>
      </c>
      <c r="F7327" s="7" t="s">
        <v>17</v>
      </c>
      <c r="G7327" s="7">
        <v>3901573</v>
      </c>
      <c r="H7327" s="7">
        <v>2420</v>
      </c>
      <c r="I7327" s="7">
        <v>789</v>
      </c>
      <c r="J7327" s="7">
        <v>0</v>
      </c>
      <c r="K7327" s="7" t="s">
        <v>18</v>
      </c>
      <c r="L7327" s="8">
        <v>39987.315405092595</v>
      </c>
      <c r="M7327" s="9" t="s">
        <v>19</v>
      </c>
      <c r="N7327" s="9" t="s">
        <v>20</v>
      </c>
      <c r="O7327" s="6" t="str">
        <f>HYPERLINK("https://pbs.twimg.com/profile_images/962471262747529216/Uo8lOkRJ_normal.jpg","View")</f>
        <v>View</v>
      </c>
      <c r="P7327" s="7"/>
    </row>
    <row r="7328" spans="1:16">
      <c r="A7328" s="3">
        <v>44019.77615740741</v>
      </c>
      <c r="B7328" s="4" t="str">
        <f>HYPERLINK("https://twitter.com/petrogustavo","@petrogustavo")</f>
        <v>@petrogustavo</v>
      </c>
      <c r="C7328" s="5" t="s">
        <v>16</v>
      </c>
      <c r="D7328" s="5" t="s">
        <v>7083</v>
      </c>
      <c r="E7328" s="6" t="str">
        <f>HYPERLINK("https://twitter.com/petrogustavo/status/1280488656059465730","1280488656059465730")</f>
        <v>1280488656059465730</v>
      </c>
      <c r="F7328" s="7" t="s">
        <v>17</v>
      </c>
      <c r="G7328" s="7">
        <v>3901826</v>
      </c>
      <c r="H7328" s="7">
        <v>2419</v>
      </c>
      <c r="I7328" s="7">
        <v>207</v>
      </c>
      <c r="J7328" s="7">
        <v>503</v>
      </c>
      <c r="K7328" s="7" t="s">
        <v>18</v>
      </c>
      <c r="L7328" s="8">
        <v>39987.315405092595</v>
      </c>
      <c r="M7328" s="9" t="s">
        <v>19</v>
      </c>
      <c r="N7328" s="9" t="s">
        <v>20</v>
      </c>
      <c r="O7328" s="6" t="str">
        <f>HYPERLINK("https://pbs.twimg.com/profile_images/962471262747529216/Uo8lOkRJ_normal.jpg","View")</f>
        <v>View</v>
      </c>
      <c r="P7328" s="7"/>
    </row>
    <row r="7329" spans="1:16">
      <c r="A7329" s="3">
        <v>44019.781354166669</v>
      </c>
      <c r="B7329" s="4" t="str">
        <f>HYPERLINK("https://twitter.com/petrogustavo","@petrogustavo")</f>
        <v>@petrogustavo</v>
      </c>
      <c r="C7329" s="5" t="s">
        <v>16</v>
      </c>
      <c r="D7329" s="5" t="s">
        <v>7084</v>
      </c>
      <c r="E7329" s="6" t="str">
        <f>HYPERLINK("https://twitter.com/petrogustavo/status/1280490537745887235","1280490537745887235")</f>
        <v>1280490537745887235</v>
      </c>
      <c r="F7329" s="7" t="s">
        <v>17</v>
      </c>
      <c r="G7329" s="7">
        <v>3901826</v>
      </c>
      <c r="H7329" s="7">
        <v>2419</v>
      </c>
      <c r="I7329" s="7">
        <v>24</v>
      </c>
      <c r="J7329" s="7">
        <v>64</v>
      </c>
      <c r="K7329" s="7" t="s">
        <v>18</v>
      </c>
      <c r="L7329" s="8">
        <v>39987.315405092595</v>
      </c>
      <c r="M7329" s="9" t="s">
        <v>19</v>
      </c>
      <c r="N7329" s="9" t="s">
        <v>20</v>
      </c>
      <c r="O7329" s="6" t="str">
        <f>HYPERLINK("https://pbs.twimg.com/profile_images/962471262747529216/Uo8lOkRJ_normal.jpg","View")</f>
        <v>View</v>
      </c>
      <c r="P7329" s="7"/>
    </row>
    <row r="7330" spans="1:16">
      <c r="A7330" s="3">
        <v>44019.795555555553</v>
      </c>
      <c r="B7330" s="4" t="str">
        <f>HYPERLINK("https://twitter.com/petrogustavo","@petrogustavo")</f>
        <v>@petrogustavo</v>
      </c>
      <c r="C7330" s="5" t="s">
        <v>16</v>
      </c>
      <c r="D7330" s="5" t="s">
        <v>7085</v>
      </c>
      <c r="E7330" s="6" t="str">
        <f>HYPERLINK("https://twitter.com/petrogustavo/status/1280495685666770946","1280495685666770946")</f>
        <v>1280495685666770946</v>
      </c>
      <c r="F7330" s="7" t="s">
        <v>17</v>
      </c>
      <c r="G7330" s="7">
        <v>3901844</v>
      </c>
      <c r="H7330" s="7">
        <v>2419</v>
      </c>
      <c r="I7330" s="7">
        <v>32</v>
      </c>
      <c r="J7330" s="7">
        <v>0</v>
      </c>
      <c r="K7330" s="7" t="s">
        <v>18</v>
      </c>
      <c r="L7330" s="8">
        <v>39987.315405092595</v>
      </c>
      <c r="M7330" s="9" t="s">
        <v>19</v>
      </c>
      <c r="N7330" s="9" t="s">
        <v>20</v>
      </c>
      <c r="O7330" s="6" t="str">
        <f>HYPERLINK("https://pbs.twimg.com/profile_images/962471262747529216/Uo8lOkRJ_normal.jpg","View")</f>
        <v>View</v>
      </c>
      <c r="P7330" s="7"/>
    </row>
    <row r="7331" spans="1:16">
      <c r="A7331" s="3">
        <v>44019.800925925927</v>
      </c>
      <c r="B7331" s="4" t="str">
        <f>HYPERLINK("https://twitter.com/petrogustavo","@petrogustavo")</f>
        <v>@petrogustavo</v>
      </c>
      <c r="C7331" s="5" t="s">
        <v>16</v>
      </c>
      <c r="D7331" s="5" t="s">
        <v>7086</v>
      </c>
      <c r="E7331" s="6" t="str">
        <f>HYPERLINK("https://twitter.com/petrogustavo/status/1280497630322311169","1280497630322311169")</f>
        <v>1280497630322311169</v>
      </c>
      <c r="F7331" s="7" t="s">
        <v>17</v>
      </c>
      <c r="G7331" s="7">
        <v>3901844</v>
      </c>
      <c r="H7331" s="7">
        <v>2419</v>
      </c>
      <c r="I7331" s="7">
        <v>135</v>
      </c>
      <c r="J7331" s="7">
        <v>481</v>
      </c>
      <c r="K7331" s="7" t="s">
        <v>18</v>
      </c>
      <c r="L7331" s="8">
        <v>39987.315405092595</v>
      </c>
      <c r="M7331" s="9" t="s">
        <v>19</v>
      </c>
      <c r="N7331" s="9" t="s">
        <v>20</v>
      </c>
      <c r="O7331" s="6" t="str">
        <f>HYPERLINK("https://pbs.twimg.com/profile_images/962471262747529216/Uo8lOkRJ_normal.jpg","View")</f>
        <v>View</v>
      </c>
      <c r="P7331" s="7"/>
    </row>
    <row r="7332" spans="1:16">
      <c r="A7332" s="3">
        <v>44019.802488425921</v>
      </c>
      <c r="B7332" s="4" t="str">
        <f>HYPERLINK("https://twitter.com/petrogustavo","@petrogustavo")</f>
        <v>@petrogustavo</v>
      </c>
      <c r="C7332" s="5" t="s">
        <v>16</v>
      </c>
      <c r="D7332" s="5" t="s">
        <v>7087</v>
      </c>
      <c r="E7332" s="6" t="str">
        <f>HYPERLINK("https://twitter.com/petrogustavo/status/1280498195961991168","1280498195961991168")</f>
        <v>1280498195961991168</v>
      </c>
      <c r="F7332" s="7" t="s">
        <v>17</v>
      </c>
      <c r="G7332" s="7">
        <v>3901844</v>
      </c>
      <c r="H7332" s="7">
        <v>2419</v>
      </c>
      <c r="I7332" s="7">
        <v>21</v>
      </c>
      <c r="J7332" s="7">
        <v>85</v>
      </c>
      <c r="K7332" s="7" t="s">
        <v>18</v>
      </c>
      <c r="L7332" s="8">
        <v>39987.315405092595</v>
      </c>
      <c r="M7332" s="9" t="s">
        <v>19</v>
      </c>
      <c r="N7332" s="9" t="s">
        <v>20</v>
      </c>
      <c r="O7332" s="6" t="str">
        <f>HYPERLINK("https://pbs.twimg.com/profile_images/962471262747529216/Uo8lOkRJ_normal.jpg","View")</f>
        <v>View</v>
      </c>
      <c r="P7332" s="7"/>
    </row>
    <row r="7333" spans="1:16">
      <c r="A7333" s="3">
        <v>44019.803460648152</v>
      </c>
      <c r="B7333" s="4" t="str">
        <f>HYPERLINK("https://twitter.com/petrogustavo","@petrogustavo")</f>
        <v>@petrogustavo</v>
      </c>
      <c r="C7333" s="5" t="s">
        <v>16</v>
      </c>
      <c r="D7333" s="5" t="s">
        <v>7088</v>
      </c>
      <c r="E7333" s="6" t="str">
        <f>HYPERLINK("https://twitter.com/petrogustavo/status/1280498549298548736","1280498549298548736")</f>
        <v>1280498549298548736</v>
      </c>
      <c r="F7333" s="7" t="s">
        <v>17</v>
      </c>
      <c r="G7333" s="7">
        <v>3901844</v>
      </c>
      <c r="H7333" s="7">
        <v>2419</v>
      </c>
      <c r="I7333" s="7">
        <v>40</v>
      </c>
      <c r="J7333" s="7">
        <v>0</v>
      </c>
      <c r="K7333" s="7" t="s">
        <v>18</v>
      </c>
      <c r="L7333" s="8">
        <v>39987.315405092595</v>
      </c>
      <c r="M7333" s="9" t="s">
        <v>19</v>
      </c>
      <c r="N7333" s="9" t="s">
        <v>20</v>
      </c>
      <c r="O7333" s="6" t="str">
        <f>HYPERLINK("https://pbs.twimg.com/profile_images/962471262747529216/Uo8lOkRJ_normal.jpg","View")</f>
        <v>View</v>
      </c>
      <c r="P7333" s="7"/>
    </row>
    <row r="7334" spans="1:16">
      <c r="A7334" s="3">
        <v>44019.850092592591</v>
      </c>
      <c r="B7334" s="4" t="str">
        <f>HYPERLINK("https://twitter.com/petrogustavo","@petrogustavo")</f>
        <v>@petrogustavo</v>
      </c>
      <c r="C7334" s="5" t="s">
        <v>16</v>
      </c>
      <c r="D7334" s="5" t="s">
        <v>7089</v>
      </c>
      <c r="E7334" s="6" t="str">
        <f>HYPERLINK("https://twitter.com/petrogustavo/status/1280515449780830218","1280515449780830218")</f>
        <v>1280515449780830218</v>
      </c>
      <c r="F7334" s="7" t="s">
        <v>32</v>
      </c>
      <c r="G7334" s="7">
        <v>3901927</v>
      </c>
      <c r="H7334" s="7">
        <v>2419</v>
      </c>
      <c r="I7334" s="7">
        <v>153</v>
      </c>
      <c r="J7334" s="7">
        <v>0</v>
      </c>
      <c r="K7334" s="7" t="s">
        <v>18</v>
      </c>
      <c r="L7334" s="8">
        <v>39987.315405092595</v>
      </c>
      <c r="M7334" s="9" t="s">
        <v>19</v>
      </c>
      <c r="N7334" s="9" t="s">
        <v>20</v>
      </c>
      <c r="O7334" s="6" t="str">
        <f>HYPERLINK("https://pbs.twimg.com/profile_images/962471262747529216/Uo8lOkRJ_normal.jpg","View")</f>
        <v>View</v>
      </c>
      <c r="P7334" s="7"/>
    </row>
    <row r="7335" spans="1:16">
      <c r="A7335" s="3">
        <v>44019.850462962961</v>
      </c>
      <c r="B7335" s="4" t="str">
        <f>HYPERLINK("https://twitter.com/petrogustavo","@petrogustavo")</f>
        <v>@petrogustavo</v>
      </c>
      <c r="C7335" s="5" t="s">
        <v>16</v>
      </c>
      <c r="D7335" s="5" t="s">
        <v>7090</v>
      </c>
      <c r="E7335" s="6" t="str">
        <f>HYPERLINK("https://twitter.com/petrogustavo/status/1280515582388043776","1280515582388043776")</f>
        <v>1280515582388043776</v>
      </c>
      <c r="F7335" s="7" t="s">
        <v>32</v>
      </c>
      <c r="G7335" s="7">
        <v>3901927</v>
      </c>
      <c r="H7335" s="7">
        <v>2419</v>
      </c>
      <c r="I7335" s="7">
        <v>57</v>
      </c>
      <c r="J7335" s="7">
        <v>0</v>
      </c>
      <c r="K7335" s="7" t="s">
        <v>18</v>
      </c>
      <c r="L7335" s="8">
        <v>39987.315405092595</v>
      </c>
      <c r="M7335" s="9" t="s">
        <v>19</v>
      </c>
      <c r="N7335" s="9" t="s">
        <v>20</v>
      </c>
      <c r="O7335" s="6" t="str">
        <f>HYPERLINK("https://pbs.twimg.com/profile_images/962471262747529216/Uo8lOkRJ_normal.jpg","View")</f>
        <v>View</v>
      </c>
      <c r="P7335" s="7"/>
    </row>
    <row r="7336" spans="1:16">
      <c r="A7336" s="3">
        <v>44019.850578703699</v>
      </c>
      <c r="B7336" s="4" t="str">
        <f>HYPERLINK("https://twitter.com/petrogustavo","@petrogustavo")</f>
        <v>@petrogustavo</v>
      </c>
      <c r="C7336" s="5" t="s">
        <v>16</v>
      </c>
      <c r="D7336" s="5" t="s">
        <v>7091</v>
      </c>
      <c r="E7336" s="6" t="str">
        <f>HYPERLINK("https://twitter.com/petrogustavo/status/1280515624750514179","1280515624750514179")</f>
        <v>1280515624750514179</v>
      </c>
      <c r="F7336" s="7" t="s">
        <v>32</v>
      </c>
      <c r="G7336" s="7">
        <v>3901927</v>
      </c>
      <c r="H7336" s="7">
        <v>2419</v>
      </c>
      <c r="I7336" s="7">
        <v>946</v>
      </c>
      <c r="J7336" s="7">
        <v>0</v>
      </c>
      <c r="K7336" s="7" t="s">
        <v>18</v>
      </c>
      <c r="L7336" s="8">
        <v>39987.315405092595</v>
      </c>
      <c r="M7336" s="9" t="s">
        <v>19</v>
      </c>
      <c r="N7336" s="9" t="s">
        <v>20</v>
      </c>
      <c r="O7336" s="6" t="str">
        <f>HYPERLINK("https://pbs.twimg.com/profile_images/962471262747529216/Uo8lOkRJ_normal.jpg","View")</f>
        <v>View</v>
      </c>
      <c r="P7336" s="7"/>
    </row>
    <row r="7337" spans="1:16">
      <c r="A7337" s="3">
        <v>44019.850949074069</v>
      </c>
      <c r="B7337" s="4" t="str">
        <f>HYPERLINK("https://twitter.com/petrogustavo","@petrogustavo")</f>
        <v>@petrogustavo</v>
      </c>
      <c r="C7337" s="5" t="s">
        <v>16</v>
      </c>
      <c r="D7337" s="5" t="s">
        <v>7092</v>
      </c>
      <c r="E7337" s="6" t="str">
        <f>HYPERLINK("https://twitter.com/petrogustavo/status/1280515759601528833","1280515759601528833")</f>
        <v>1280515759601528833</v>
      </c>
      <c r="F7337" s="7" t="s">
        <v>32</v>
      </c>
      <c r="G7337" s="7">
        <v>3901927</v>
      </c>
      <c r="H7337" s="7">
        <v>2419</v>
      </c>
      <c r="I7337" s="7">
        <v>145</v>
      </c>
      <c r="J7337" s="7">
        <v>0</v>
      </c>
      <c r="K7337" s="7" t="s">
        <v>18</v>
      </c>
      <c r="L7337" s="8">
        <v>39987.315405092595</v>
      </c>
      <c r="M7337" s="9" t="s">
        <v>19</v>
      </c>
      <c r="N7337" s="9" t="s">
        <v>20</v>
      </c>
      <c r="O7337" s="6" t="str">
        <f>HYPERLINK("https://pbs.twimg.com/profile_images/962471262747529216/Uo8lOkRJ_normal.jpg","View")</f>
        <v>View</v>
      </c>
      <c r="P7337" s="7"/>
    </row>
    <row r="7338" spans="1:16">
      <c r="A7338" s="3">
        <v>44019.8512037037</v>
      </c>
      <c r="B7338" s="4" t="str">
        <f>HYPERLINK("https://twitter.com/petrogustavo","@petrogustavo")</f>
        <v>@petrogustavo</v>
      </c>
      <c r="C7338" s="5" t="s">
        <v>16</v>
      </c>
      <c r="D7338" s="5" t="s">
        <v>7093</v>
      </c>
      <c r="E7338" s="6" t="str">
        <f>HYPERLINK("https://twitter.com/petrogustavo/status/1280515851322613766","1280515851322613766")</f>
        <v>1280515851322613766</v>
      </c>
      <c r="F7338" s="7" t="s">
        <v>32</v>
      </c>
      <c r="G7338" s="7">
        <v>3901927</v>
      </c>
      <c r="H7338" s="7">
        <v>2419</v>
      </c>
      <c r="I7338" s="7">
        <v>86</v>
      </c>
      <c r="J7338" s="7">
        <v>0</v>
      </c>
      <c r="K7338" s="7" t="s">
        <v>18</v>
      </c>
      <c r="L7338" s="8">
        <v>39987.315405092595</v>
      </c>
      <c r="M7338" s="9" t="s">
        <v>19</v>
      </c>
      <c r="N7338" s="9" t="s">
        <v>20</v>
      </c>
      <c r="O7338" s="6" t="str">
        <f>HYPERLINK("https://pbs.twimg.com/profile_images/962471262747529216/Uo8lOkRJ_normal.jpg","View")</f>
        <v>View</v>
      </c>
      <c r="P7338" s="7"/>
    </row>
    <row r="7339" spans="1:16">
      <c r="A7339" s="3">
        <v>44019.851365740746</v>
      </c>
      <c r="B7339" s="4" t="str">
        <f>HYPERLINK("https://twitter.com/petrogustavo","@petrogustavo")</f>
        <v>@petrogustavo</v>
      </c>
      <c r="C7339" s="5" t="s">
        <v>16</v>
      </c>
      <c r="D7339" s="5" t="s">
        <v>7094</v>
      </c>
      <c r="E7339" s="6" t="str">
        <f>HYPERLINK("https://twitter.com/petrogustavo/status/1280515911011704832","1280515911011704832")</f>
        <v>1280515911011704832</v>
      </c>
      <c r="F7339" s="7" t="s">
        <v>32</v>
      </c>
      <c r="G7339" s="7">
        <v>3901927</v>
      </c>
      <c r="H7339" s="7">
        <v>2419</v>
      </c>
      <c r="I7339" s="7">
        <v>50</v>
      </c>
      <c r="J7339" s="7">
        <v>0</v>
      </c>
      <c r="K7339" s="7" t="s">
        <v>18</v>
      </c>
      <c r="L7339" s="8">
        <v>39987.315405092595</v>
      </c>
      <c r="M7339" s="9" t="s">
        <v>19</v>
      </c>
      <c r="N7339" s="9" t="s">
        <v>20</v>
      </c>
      <c r="O7339" s="6" t="str">
        <f>HYPERLINK("https://pbs.twimg.com/profile_images/962471262747529216/Uo8lOkRJ_normal.jpg","View")</f>
        <v>View</v>
      </c>
      <c r="P7339" s="7"/>
    </row>
    <row r="7340" spans="1:16">
      <c r="A7340" s="3">
        <v>44019.851793981477</v>
      </c>
      <c r="B7340" s="4" t="str">
        <f>HYPERLINK("https://twitter.com/petrogustavo","@petrogustavo")</f>
        <v>@petrogustavo</v>
      </c>
      <c r="C7340" s="5" t="s">
        <v>16</v>
      </c>
      <c r="D7340" s="5" t="s">
        <v>7095</v>
      </c>
      <c r="E7340" s="6" t="str">
        <f>HYPERLINK("https://twitter.com/petrogustavo/status/1280516066519777283","1280516066519777283")</f>
        <v>1280516066519777283</v>
      </c>
      <c r="F7340" s="7" t="s">
        <v>32</v>
      </c>
      <c r="G7340" s="7">
        <v>3901927</v>
      </c>
      <c r="H7340" s="7">
        <v>2419</v>
      </c>
      <c r="I7340" s="7">
        <v>43</v>
      </c>
      <c r="J7340" s="7">
        <v>0</v>
      </c>
      <c r="K7340" s="7" t="s">
        <v>18</v>
      </c>
      <c r="L7340" s="8">
        <v>39987.315405092595</v>
      </c>
      <c r="M7340" s="9" t="s">
        <v>19</v>
      </c>
      <c r="N7340" s="9" t="s">
        <v>20</v>
      </c>
      <c r="O7340" s="6" t="str">
        <f>HYPERLINK("https://pbs.twimg.com/profile_images/962471262747529216/Uo8lOkRJ_normal.jpg","View")</f>
        <v>View</v>
      </c>
      <c r="P7340" s="7"/>
    </row>
    <row r="7341" spans="1:16">
      <c r="A7341" s="3">
        <v>44019.852141203708</v>
      </c>
      <c r="B7341" s="4" t="str">
        <f>HYPERLINK("https://twitter.com/petrogustavo","@petrogustavo")</f>
        <v>@petrogustavo</v>
      </c>
      <c r="C7341" s="5" t="s">
        <v>16</v>
      </c>
      <c r="D7341" s="5" t="s">
        <v>7096</v>
      </c>
      <c r="E7341" s="6" t="str">
        <f>HYPERLINK("https://twitter.com/petrogustavo/status/1280516192655101952","1280516192655101952")</f>
        <v>1280516192655101952</v>
      </c>
      <c r="F7341" s="7" t="s">
        <v>32</v>
      </c>
      <c r="G7341" s="7">
        <v>3901927</v>
      </c>
      <c r="H7341" s="7">
        <v>2419</v>
      </c>
      <c r="I7341" s="7">
        <v>584</v>
      </c>
      <c r="J7341" s="7">
        <v>0</v>
      </c>
      <c r="K7341" s="7" t="s">
        <v>18</v>
      </c>
      <c r="L7341" s="8">
        <v>39987.315405092595</v>
      </c>
      <c r="M7341" s="9" t="s">
        <v>19</v>
      </c>
      <c r="N7341" s="9" t="s">
        <v>20</v>
      </c>
      <c r="O7341" s="6" t="str">
        <f>HYPERLINK("https://pbs.twimg.com/profile_images/962471262747529216/Uo8lOkRJ_normal.jpg","View")</f>
        <v>View</v>
      </c>
      <c r="P7341" s="7"/>
    </row>
    <row r="7342" spans="1:16">
      <c r="A7342" s="3">
        <v>44019.852812500001</v>
      </c>
      <c r="B7342" s="4" t="str">
        <f>HYPERLINK("https://twitter.com/petrogustavo","@petrogustavo")</f>
        <v>@petrogustavo</v>
      </c>
      <c r="C7342" s="5" t="s">
        <v>16</v>
      </c>
      <c r="D7342" s="5" t="s">
        <v>7097</v>
      </c>
      <c r="E7342" s="6" t="str">
        <f>HYPERLINK("https://twitter.com/petrogustavo/status/1280516432661491716","1280516432661491716")</f>
        <v>1280516432661491716</v>
      </c>
      <c r="F7342" s="7" t="s">
        <v>32</v>
      </c>
      <c r="G7342" s="7">
        <v>3901927</v>
      </c>
      <c r="H7342" s="7">
        <v>2419</v>
      </c>
      <c r="I7342" s="7">
        <v>81</v>
      </c>
      <c r="J7342" s="7">
        <v>0</v>
      </c>
      <c r="K7342" s="7" t="s">
        <v>18</v>
      </c>
      <c r="L7342" s="8">
        <v>39987.315405092595</v>
      </c>
      <c r="M7342" s="9" t="s">
        <v>19</v>
      </c>
      <c r="N7342" s="9" t="s">
        <v>20</v>
      </c>
      <c r="O7342" s="6" t="str">
        <f>HYPERLINK("https://pbs.twimg.com/profile_images/962471262747529216/Uo8lOkRJ_normal.jpg","View")</f>
        <v>View</v>
      </c>
      <c r="P7342" s="7"/>
    </row>
    <row r="7343" spans="1:16">
      <c r="A7343" s="3">
        <v>44019.854201388887</v>
      </c>
      <c r="B7343" s="4" t="str">
        <f>HYPERLINK("https://twitter.com/petrogustavo","@petrogustavo")</f>
        <v>@petrogustavo</v>
      </c>
      <c r="C7343" s="5" t="s">
        <v>16</v>
      </c>
      <c r="D7343" s="5" t="s">
        <v>7098</v>
      </c>
      <c r="E7343" s="6" t="str">
        <f>HYPERLINK("https://twitter.com/petrogustavo/status/1280516938091855880","1280516938091855880")</f>
        <v>1280516938091855880</v>
      </c>
      <c r="F7343" s="7" t="s">
        <v>32</v>
      </c>
      <c r="G7343" s="7">
        <v>3901927</v>
      </c>
      <c r="H7343" s="7">
        <v>2419</v>
      </c>
      <c r="I7343" s="7">
        <v>26</v>
      </c>
      <c r="J7343" s="7">
        <v>0</v>
      </c>
      <c r="K7343" s="7" t="s">
        <v>18</v>
      </c>
      <c r="L7343" s="8">
        <v>39987.315405092595</v>
      </c>
      <c r="M7343" s="9" t="s">
        <v>19</v>
      </c>
      <c r="N7343" s="9" t="s">
        <v>20</v>
      </c>
      <c r="O7343" s="6" t="str">
        <f>HYPERLINK("https://pbs.twimg.com/profile_images/962471262747529216/Uo8lOkRJ_normal.jpg","View")</f>
        <v>View</v>
      </c>
      <c r="P7343" s="7"/>
    </row>
    <row r="7344" spans="1:16">
      <c r="A7344" s="3">
        <v>44019.854988425926</v>
      </c>
      <c r="B7344" s="4" t="str">
        <f>HYPERLINK("https://twitter.com/petrogustavo","@petrogustavo")</f>
        <v>@petrogustavo</v>
      </c>
      <c r="C7344" s="5" t="s">
        <v>16</v>
      </c>
      <c r="D7344" s="5" t="s">
        <v>7099</v>
      </c>
      <c r="E7344" s="6" t="str">
        <f>HYPERLINK("https://twitter.com/petrogustavo/status/1280517225091383298","1280517225091383298")</f>
        <v>1280517225091383298</v>
      </c>
      <c r="F7344" s="7" t="s">
        <v>32</v>
      </c>
      <c r="G7344" s="7">
        <v>3901927</v>
      </c>
      <c r="H7344" s="7">
        <v>2419</v>
      </c>
      <c r="I7344" s="7">
        <v>75</v>
      </c>
      <c r="J7344" s="7">
        <v>0</v>
      </c>
      <c r="K7344" s="7" t="s">
        <v>18</v>
      </c>
      <c r="L7344" s="8">
        <v>39987.315405092595</v>
      </c>
      <c r="M7344" s="9" t="s">
        <v>19</v>
      </c>
      <c r="N7344" s="9" t="s">
        <v>20</v>
      </c>
      <c r="O7344" s="6" t="str">
        <f>HYPERLINK("https://pbs.twimg.com/profile_images/962471262747529216/Uo8lOkRJ_normal.jpg","View")</f>
        <v>View</v>
      </c>
      <c r="P7344" s="7"/>
    </row>
    <row r="7345" spans="1:16">
      <c r="A7345" s="3">
        <v>44019.858240740738</v>
      </c>
      <c r="B7345" s="4" t="str">
        <f>HYPERLINK("https://twitter.com/petrogustavo","@petrogustavo")</f>
        <v>@petrogustavo</v>
      </c>
      <c r="C7345" s="5" t="s">
        <v>16</v>
      </c>
      <c r="D7345" s="5" t="s">
        <v>7100</v>
      </c>
      <c r="E7345" s="6" t="str">
        <f>HYPERLINK("https://twitter.com/petrogustavo/status/1280518403585912832","1280518403585912832")</f>
        <v>1280518403585912832</v>
      </c>
      <c r="F7345" s="7" t="s">
        <v>32</v>
      </c>
      <c r="G7345" s="7">
        <v>3901927</v>
      </c>
      <c r="H7345" s="7">
        <v>2419</v>
      </c>
      <c r="I7345" s="7">
        <v>122</v>
      </c>
      <c r="J7345" s="7">
        <v>358</v>
      </c>
      <c r="K7345" s="7" t="s">
        <v>18</v>
      </c>
      <c r="L7345" s="8">
        <v>39987.315405092595</v>
      </c>
      <c r="M7345" s="9" t="s">
        <v>19</v>
      </c>
      <c r="N7345" s="9" t="s">
        <v>20</v>
      </c>
      <c r="O7345" s="6" t="str">
        <f>HYPERLINK("https://pbs.twimg.com/profile_images/962471262747529216/Uo8lOkRJ_normal.jpg","View")</f>
        <v>View</v>
      </c>
      <c r="P7345" s="7"/>
    </row>
    <row r="7346" spans="1:16">
      <c r="A7346" s="3">
        <v>44019.859675925924</v>
      </c>
      <c r="B7346" s="4" t="str">
        <f>HYPERLINK("https://twitter.com/petrogustavo","@petrogustavo")</f>
        <v>@petrogustavo</v>
      </c>
      <c r="C7346" s="5" t="s">
        <v>16</v>
      </c>
      <c r="D7346" s="5" t="s">
        <v>7101</v>
      </c>
      <c r="E7346" s="6" t="str">
        <f>HYPERLINK("https://twitter.com/petrogustavo/status/1280518921867743234","1280518921867743234")</f>
        <v>1280518921867743234</v>
      </c>
      <c r="F7346" s="7" t="s">
        <v>32</v>
      </c>
      <c r="G7346" s="7">
        <v>3901927</v>
      </c>
      <c r="H7346" s="7">
        <v>2419</v>
      </c>
      <c r="I7346" s="7">
        <v>183</v>
      </c>
      <c r="J7346" s="7">
        <v>411</v>
      </c>
      <c r="K7346" s="7" t="s">
        <v>18</v>
      </c>
      <c r="L7346" s="8">
        <v>39987.315405092595</v>
      </c>
      <c r="M7346" s="9" t="s">
        <v>19</v>
      </c>
      <c r="N7346" s="9" t="s">
        <v>20</v>
      </c>
      <c r="O7346" s="6" t="str">
        <f>HYPERLINK("https://pbs.twimg.com/profile_images/962471262747529216/Uo8lOkRJ_normal.jpg","View")</f>
        <v>View</v>
      </c>
      <c r="P7346" s="7"/>
    </row>
    <row r="7347" spans="1:16">
      <c r="A7347" s="3">
        <v>44019.863773148143</v>
      </c>
      <c r="B7347" s="4" t="str">
        <f>HYPERLINK("https://twitter.com/petrogustavo","@petrogustavo")</f>
        <v>@petrogustavo</v>
      </c>
      <c r="C7347" s="5" t="s">
        <v>16</v>
      </c>
      <c r="D7347" s="5" t="s">
        <v>7102</v>
      </c>
      <c r="E7347" s="6" t="str">
        <f>HYPERLINK("https://twitter.com/petrogustavo/status/1280520405141393408","1280520405141393408")</f>
        <v>1280520405141393408</v>
      </c>
      <c r="F7347" s="7" t="s">
        <v>32</v>
      </c>
      <c r="G7347" s="7">
        <v>3901927</v>
      </c>
      <c r="H7347" s="7">
        <v>2419</v>
      </c>
      <c r="I7347" s="7">
        <v>46</v>
      </c>
      <c r="J7347" s="7">
        <v>172</v>
      </c>
      <c r="K7347" s="7" t="s">
        <v>18</v>
      </c>
      <c r="L7347" s="8">
        <v>39987.315405092595</v>
      </c>
      <c r="M7347" s="9" t="s">
        <v>19</v>
      </c>
      <c r="N7347" s="9" t="s">
        <v>20</v>
      </c>
      <c r="O7347" s="6" t="str">
        <f>HYPERLINK("https://pbs.twimg.com/profile_images/962471262747529216/Uo8lOkRJ_normal.jpg","View")</f>
        <v>View</v>
      </c>
      <c r="P7347" s="7"/>
    </row>
    <row r="7348" spans="1:16">
      <c r="A7348" s="3">
        <v>44019.863923611112</v>
      </c>
      <c r="B7348" s="4" t="str">
        <f>HYPERLINK("https://twitter.com/petrogustavo","@petrogustavo")</f>
        <v>@petrogustavo</v>
      </c>
      <c r="C7348" s="5" t="s">
        <v>16</v>
      </c>
      <c r="D7348" s="5" t="s">
        <v>7103</v>
      </c>
      <c r="E7348" s="6" t="str">
        <f>HYPERLINK("https://twitter.com/petrogustavo/status/1280520459835133952","1280520459835133952")</f>
        <v>1280520459835133952</v>
      </c>
      <c r="F7348" s="7" t="s">
        <v>32</v>
      </c>
      <c r="G7348" s="7">
        <v>3901927</v>
      </c>
      <c r="H7348" s="7">
        <v>2419</v>
      </c>
      <c r="I7348" s="7">
        <v>183</v>
      </c>
      <c r="J7348" s="7">
        <v>0</v>
      </c>
      <c r="K7348" s="7" t="s">
        <v>18</v>
      </c>
      <c r="L7348" s="8">
        <v>39987.315405092595</v>
      </c>
      <c r="M7348" s="9" t="s">
        <v>19</v>
      </c>
      <c r="N7348" s="9" t="s">
        <v>20</v>
      </c>
      <c r="O7348" s="6" t="str">
        <f>HYPERLINK("https://pbs.twimg.com/profile_images/962471262747529216/Uo8lOkRJ_normal.jpg","View")</f>
        <v>View</v>
      </c>
      <c r="P7348" s="7"/>
    </row>
    <row r="7349" spans="1:16">
      <c r="A7349" s="3">
        <v>44019.864918981482</v>
      </c>
      <c r="B7349" s="4" t="str">
        <f>HYPERLINK("https://twitter.com/petrogustavo","@petrogustavo")</f>
        <v>@petrogustavo</v>
      </c>
      <c r="C7349" s="5" t="s">
        <v>16</v>
      </c>
      <c r="D7349" s="5" t="s">
        <v>7104</v>
      </c>
      <c r="E7349" s="6" t="str">
        <f>HYPERLINK("https://twitter.com/petrogustavo/status/1280520822508134400","1280520822508134400")</f>
        <v>1280520822508134400</v>
      </c>
      <c r="F7349" s="7" t="s">
        <v>32</v>
      </c>
      <c r="G7349" s="7">
        <v>3901927</v>
      </c>
      <c r="H7349" s="7">
        <v>2419</v>
      </c>
      <c r="I7349" s="7">
        <v>723</v>
      </c>
      <c r="J7349" s="7">
        <v>0</v>
      </c>
      <c r="K7349" s="7" t="s">
        <v>18</v>
      </c>
      <c r="L7349" s="8">
        <v>39987.315405092595</v>
      </c>
      <c r="M7349" s="9" t="s">
        <v>19</v>
      </c>
      <c r="N7349" s="9" t="s">
        <v>20</v>
      </c>
      <c r="O7349" s="6" t="str">
        <f>HYPERLINK("https://pbs.twimg.com/profile_images/962471262747529216/Uo8lOkRJ_normal.jpg","View")</f>
        <v>View</v>
      </c>
      <c r="P7349" s="7"/>
    </row>
    <row r="7350" spans="1:16">
      <c r="A7350" s="3">
        <v>44019.866736111115</v>
      </c>
      <c r="B7350" s="4" t="str">
        <f>HYPERLINK("https://twitter.com/petrogustavo","@petrogustavo")</f>
        <v>@petrogustavo</v>
      </c>
      <c r="C7350" s="5" t="s">
        <v>16</v>
      </c>
      <c r="D7350" s="5" t="s">
        <v>7105</v>
      </c>
      <c r="E7350" s="6" t="str">
        <f>HYPERLINK("https://twitter.com/petrogustavo/status/1280521479906615297","1280521479906615297")</f>
        <v>1280521479906615297</v>
      </c>
      <c r="F7350" s="7" t="s">
        <v>32</v>
      </c>
      <c r="G7350" s="7">
        <v>3901927</v>
      </c>
      <c r="H7350" s="7">
        <v>2419</v>
      </c>
      <c r="I7350" s="7">
        <v>1</v>
      </c>
      <c r="J7350" s="7">
        <v>0</v>
      </c>
      <c r="K7350" s="7" t="s">
        <v>18</v>
      </c>
      <c r="L7350" s="8">
        <v>39987.315405092595</v>
      </c>
      <c r="M7350" s="9" t="s">
        <v>19</v>
      </c>
      <c r="N7350" s="9" t="s">
        <v>20</v>
      </c>
      <c r="O7350" s="6" t="str">
        <f>HYPERLINK("https://pbs.twimg.com/profile_images/962471262747529216/Uo8lOkRJ_normal.jpg","View")</f>
        <v>View</v>
      </c>
      <c r="P7350" s="7"/>
    </row>
    <row r="7351" spans="1:16">
      <c r="A7351" s="3">
        <v>44019.867060185185</v>
      </c>
      <c r="B7351" s="4" t="str">
        <f>HYPERLINK("https://twitter.com/petrogustavo","@petrogustavo")</f>
        <v>@petrogustavo</v>
      </c>
      <c r="C7351" s="5" t="s">
        <v>16</v>
      </c>
      <c r="D7351" s="5" t="s">
        <v>7106</v>
      </c>
      <c r="E7351" s="6" t="str">
        <f>HYPERLINK("https://twitter.com/petrogustavo/status/1280521598538264577","1280521598538264577")</f>
        <v>1280521598538264577</v>
      </c>
      <c r="F7351" s="7" t="s">
        <v>32</v>
      </c>
      <c r="G7351" s="7">
        <v>3901948</v>
      </c>
      <c r="H7351" s="7">
        <v>2419</v>
      </c>
      <c r="I7351" s="7">
        <v>225</v>
      </c>
      <c r="J7351" s="7">
        <v>0</v>
      </c>
      <c r="K7351" s="7" t="s">
        <v>18</v>
      </c>
      <c r="L7351" s="8">
        <v>39987.315405092595</v>
      </c>
      <c r="M7351" s="9" t="s">
        <v>19</v>
      </c>
      <c r="N7351" s="9" t="s">
        <v>20</v>
      </c>
      <c r="O7351" s="6" t="str">
        <f>HYPERLINK("https://pbs.twimg.com/profile_images/962471262747529216/Uo8lOkRJ_normal.jpg","View")</f>
        <v>View</v>
      </c>
      <c r="P7351" s="7"/>
    </row>
    <row r="7352" spans="1:16">
      <c r="A7352" s="3">
        <v>44019.867118055554</v>
      </c>
      <c r="B7352" s="4" t="str">
        <f>HYPERLINK("https://twitter.com/petrogustavo","@petrogustavo")</f>
        <v>@petrogustavo</v>
      </c>
      <c r="C7352" s="5" t="s">
        <v>16</v>
      </c>
      <c r="D7352" s="5" t="s">
        <v>7103</v>
      </c>
      <c r="E7352" s="6" t="str">
        <f>HYPERLINK("https://twitter.com/petrogustavo/status/1280521619040059392","1280521619040059392")</f>
        <v>1280521619040059392</v>
      </c>
      <c r="F7352" s="7" t="s">
        <v>32</v>
      </c>
      <c r="G7352" s="7">
        <v>3901948</v>
      </c>
      <c r="H7352" s="7">
        <v>2419</v>
      </c>
      <c r="I7352" s="7">
        <v>395</v>
      </c>
      <c r="J7352" s="7">
        <v>0</v>
      </c>
      <c r="K7352" s="7" t="s">
        <v>18</v>
      </c>
      <c r="L7352" s="8">
        <v>39987.315405092595</v>
      </c>
      <c r="M7352" s="9" t="s">
        <v>19</v>
      </c>
      <c r="N7352" s="9" t="s">
        <v>20</v>
      </c>
      <c r="O7352" s="6" t="str">
        <f>HYPERLINK("https://pbs.twimg.com/profile_images/962471262747529216/Uo8lOkRJ_normal.jpg","View")</f>
        <v>View</v>
      </c>
      <c r="P7352" s="7"/>
    </row>
    <row r="7353" spans="1:16">
      <c r="A7353" s="3">
        <v>44019.871874999997</v>
      </c>
      <c r="B7353" s="4" t="str">
        <f>HYPERLINK("https://twitter.com/petrogustavo","@petrogustavo")</f>
        <v>@petrogustavo</v>
      </c>
      <c r="C7353" s="5" t="s">
        <v>16</v>
      </c>
      <c r="D7353" s="5" t="s">
        <v>7107</v>
      </c>
      <c r="E7353" s="6" t="str">
        <f>HYPERLINK("https://twitter.com/petrogustavo/status/1280523341804290048","1280523341804290048")</f>
        <v>1280523341804290048</v>
      </c>
      <c r="F7353" s="7" t="s">
        <v>17</v>
      </c>
      <c r="G7353" s="7">
        <v>3901948</v>
      </c>
      <c r="H7353" s="7">
        <v>2419</v>
      </c>
      <c r="I7353" s="7">
        <v>80</v>
      </c>
      <c r="J7353" s="7">
        <v>183</v>
      </c>
      <c r="K7353" s="7" t="s">
        <v>18</v>
      </c>
      <c r="L7353" s="8">
        <v>39987.315405092595</v>
      </c>
      <c r="M7353" s="9" t="s">
        <v>19</v>
      </c>
      <c r="N7353" s="9" t="s">
        <v>20</v>
      </c>
      <c r="O7353" s="6" t="str">
        <f>HYPERLINK("https://pbs.twimg.com/profile_images/962471262747529216/Uo8lOkRJ_normal.jpg","View")</f>
        <v>View</v>
      </c>
      <c r="P7353" s="7"/>
    </row>
    <row r="7354" spans="1:16">
      <c r="A7354" s="3">
        <v>44019.888009259259</v>
      </c>
      <c r="B7354" s="4" t="str">
        <f>HYPERLINK("https://twitter.com/petrogustavo","@petrogustavo")</f>
        <v>@petrogustavo</v>
      </c>
      <c r="C7354" s="5" t="s">
        <v>16</v>
      </c>
      <c r="D7354" s="5" t="s">
        <v>6884</v>
      </c>
      <c r="E7354" s="6" t="str">
        <f>HYPERLINK("https://twitter.com/petrogustavo/status/1280529189519740930","1280529189519740930")</f>
        <v>1280529189519740930</v>
      </c>
      <c r="F7354" s="7" t="s">
        <v>17</v>
      </c>
      <c r="G7354" s="7">
        <v>3901981</v>
      </c>
      <c r="H7354" s="7">
        <v>2419</v>
      </c>
      <c r="I7354" s="7">
        <v>9211</v>
      </c>
      <c r="J7354" s="7">
        <v>0</v>
      </c>
      <c r="K7354" s="7" t="s">
        <v>18</v>
      </c>
      <c r="L7354" s="8">
        <v>39987.315405092595</v>
      </c>
      <c r="M7354" s="9" t="s">
        <v>19</v>
      </c>
      <c r="N7354" s="9" t="s">
        <v>20</v>
      </c>
      <c r="O7354" s="6" t="str">
        <f>HYPERLINK("https://pbs.twimg.com/profile_images/962471262747529216/Uo8lOkRJ_normal.jpg","View")</f>
        <v>View</v>
      </c>
      <c r="P7354" s="7"/>
    </row>
    <row r="7355" spans="1:16">
      <c r="A7355" s="3">
        <v>44019.890706018516</v>
      </c>
      <c r="B7355" s="4" t="str">
        <f>HYPERLINK("https://twitter.com/petrogustavo","@petrogustavo")</f>
        <v>@petrogustavo</v>
      </c>
      <c r="C7355" s="5" t="s">
        <v>16</v>
      </c>
      <c r="D7355" s="5" t="s">
        <v>7108</v>
      </c>
      <c r="E7355" s="6" t="str">
        <f>HYPERLINK("https://twitter.com/petrogustavo/status/1280530168239534083","1280530168239534083")</f>
        <v>1280530168239534083</v>
      </c>
      <c r="F7355" s="7" t="s">
        <v>17</v>
      </c>
      <c r="G7355" s="7">
        <v>3901981</v>
      </c>
      <c r="H7355" s="7">
        <v>2419</v>
      </c>
      <c r="I7355" s="7">
        <v>95</v>
      </c>
      <c r="J7355" s="7">
        <v>0</v>
      </c>
      <c r="K7355" s="7" t="s">
        <v>18</v>
      </c>
      <c r="L7355" s="8">
        <v>39987.315405092595</v>
      </c>
      <c r="M7355" s="9" t="s">
        <v>19</v>
      </c>
      <c r="N7355" s="9" t="s">
        <v>20</v>
      </c>
      <c r="O7355" s="6" t="str">
        <f>HYPERLINK("https://pbs.twimg.com/profile_images/962471262747529216/Uo8lOkRJ_normal.jpg","View")</f>
        <v>View</v>
      </c>
      <c r="P7355" s="7"/>
    </row>
    <row r="7356" spans="1:16">
      <c r="A7356" s="3">
        <v>44019.891319444447</v>
      </c>
      <c r="B7356" s="4" t="str">
        <f>HYPERLINK("https://twitter.com/petrogustavo","@petrogustavo")</f>
        <v>@petrogustavo</v>
      </c>
      <c r="C7356" s="5" t="s">
        <v>16</v>
      </c>
      <c r="D7356" s="5" t="s">
        <v>7109</v>
      </c>
      <c r="E7356" s="6" t="str">
        <f>HYPERLINK("https://twitter.com/petrogustavo/status/1280530388369235969","1280530388369235969")</f>
        <v>1280530388369235969</v>
      </c>
      <c r="F7356" s="7" t="s">
        <v>17</v>
      </c>
      <c r="G7356" s="7">
        <v>3901981</v>
      </c>
      <c r="H7356" s="7">
        <v>2419</v>
      </c>
      <c r="I7356" s="7">
        <v>29</v>
      </c>
      <c r="J7356" s="7">
        <v>0</v>
      </c>
      <c r="K7356" s="7" t="s">
        <v>18</v>
      </c>
      <c r="L7356" s="8">
        <v>39987.315405092595</v>
      </c>
      <c r="M7356" s="9" t="s">
        <v>19</v>
      </c>
      <c r="N7356" s="9" t="s">
        <v>20</v>
      </c>
      <c r="O7356" s="6" t="str">
        <f>HYPERLINK("https://pbs.twimg.com/profile_images/962471262747529216/Uo8lOkRJ_normal.jpg","View")</f>
        <v>View</v>
      </c>
      <c r="P7356" s="7"/>
    </row>
    <row r="7357" spans="1:16">
      <c r="A7357" s="3">
        <v>44019.99423611111</v>
      </c>
      <c r="B7357" s="4" t="str">
        <f>HYPERLINK("https://twitter.com/petrogustavo","@petrogustavo")</f>
        <v>@petrogustavo</v>
      </c>
      <c r="C7357" s="5" t="s">
        <v>16</v>
      </c>
      <c r="D7357" s="5" t="s">
        <v>7110</v>
      </c>
      <c r="E7357" s="6" t="str">
        <f>HYPERLINK("https://twitter.com/petrogustavo/status/1280567686066552833","1280567686066552833")</f>
        <v>1280567686066552833</v>
      </c>
      <c r="F7357" s="7" t="s">
        <v>17</v>
      </c>
      <c r="G7357" s="7">
        <v>3902113</v>
      </c>
      <c r="H7357" s="7">
        <v>2419</v>
      </c>
      <c r="I7357" s="7">
        <v>107</v>
      </c>
      <c r="J7357" s="7">
        <v>120</v>
      </c>
      <c r="K7357" s="7" t="s">
        <v>18</v>
      </c>
      <c r="L7357" s="8">
        <v>39987.315405092595</v>
      </c>
      <c r="M7357" s="9" t="s">
        <v>19</v>
      </c>
      <c r="N7357" s="9" t="s">
        <v>20</v>
      </c>
      <c r="O7357" s="6" t="str">
        <f>HYPERLINK("https://pbs.twimg.com/profile_images/962471262747529216/Uo8lOkRJ_normal.jpg","View")</f>
        <v>View</v>
      </c>
      <c r="P7357" s="7"/>
    </row>
    <row r="7358" spans="1:16">
      <c r="A7358" s="3">
        <v>44019.997118055559</v>
      </c>
      <c r="B7358" s="4" t="str">
        <f>HYPERLINK("https://twitter.com/petrogustavo","@petrogustavo")</f>
        <v>@petrogustavo</v>
      </c>
      <c r="C7358" s="5" t="s">
        <v>16</v>
      </c>
      <c r="D7358" s="5" t="s">
        <v>7111</v>
      </c>
      <c r="E7358" s="6" t="str">
        <f>HYPERLINK("https://twitter.com/petrogustavo/status/1280568728611151872","1280568728611151872")</f>
        <v>1280568728611151872</v>
      </c>
      <c r="F7358" s="7" t="s">
        <v>17</v>
      </c>
      <c r="G7358" s="7">
        <v>3902142</v>
      </c>
      <c r="H7358" s="7">
        <v>2419</v>
      </c>
      <c r="I7358" s="7">
        <v>177</v>
      </c>
      <c r="J7358" s="7">
        <v>605</v>
      </c>
      <c r="K7358" s="7" t="s">
        <v>18</v>
      </c>
      <c r="L7358" s="8">
        <v>39987.315405092595</v>
      </c>
      <c r="M7358" s="9" t="s">
        <v>19</v>
      </c>
      <c r="N7358" s="9" t="s">
        <v>20</v>
      </c>
      <c r="O7358" s="6" t="str">
        <f>HYPERLINK("https://pbs.twimg.com/profile_images/962471262747529216/Uo8lOkRJ_normal.jpg","View")</f>
        <v>View</v>
      </c>
      <c r="P7358" s="7"/>
    </row>
    <row r="7359" spans="1:16">
      <c r="A7359" s="3">
        <v>44019.999918981484</v>
      </c>
      <c r="B7359" s="4" t="str">
        <f>HYPERLINK("https://twitter.com/petrogustavo","@petrogustavo")</f>
        <v>@petrogustavo</v>
      </c>
      <c r="C7359" s="5" t="s">
        <v>16</v>
      </c>
      <c r="D7359" s="5" t="s">
        <v>7112</v>
      </c>
      <c r="E7359" s="6" t="str">
        <f>HYPERLINK("https://twitter.com/petrogustavo/status/1280569742135382021","1280569742135382021")</f>
        <v>1280569742135382021</v>
      </c>
      <c r="F7359" s="7" t="s">
        <v>17</v>
      </c>
      <c r="G7359" s="7">
        <v>3902142</v>
      </c>
      <c r="H7359" s="7">
        <v>2419</v>
      </c>
      <c r="I7359" s="7">
        <v>186</v>
      </c>
      <c r="J7359" s="7">
        <v>546</v>
      </c>
      <c r="K7359" s="7" t="s">
        <v>18</v>
      </c>
      <c r="L7359" s="8">
        <v>39987.315405092595</v>
      </c>
      <c r="M7359" s="9" t="s">
        <v>19</v>
      </c>
      <c r="N7359" s="9" t="s">
        <v>20</v>
      </c>
      <c r="O7359" s="6" t="str">
        <f>HYPERLINK("https://pbs.twimg.com/profile_images/962471262747529216/Uo8lOkRJ_normal.jpg","View")</f>
        <v>View</v>
      </c>
      <c r="P7359" s="7"/>
    </row>
    <row r="7360" spans="1:16">
      <c r="A7360" s="3">
        <v>44020.000115740739</v>
      </c>
      <c r="B7360" s="4" t="str">
        <f>HYPERLINK("https://twitter.com/petrogustavo","@petrogustavo")</f>
        <v>@petrogustavo</v>
      </c>
      <c r="C7360" s="5" t="s">
        <v>16</v>
      </c>
      <c r="D7360" s="5" t="s">
        <v>7113</v>
      </c>
      <c r="E7360" s="6" t="str">
        <f>HYPERLINK("https://twitter.com/petrogustavo/status/1280569813480374272","1280569813480374272")</f>
        <v>1280569813480374272</v>
      </c>
      <c r="F7360" s="7" t="s">
        <v>17</v>
      </c>
      <c r="G7360" s="7">
        <v>3902142</v>
      </c>
      <c r="H7360" s="7">
        <v>2419</v>
      </c>
      <c r="I7360" s="7">
        <v>695</v>
      </c>
      <c r="J7360" s="7">
        <v>0</v>
      </c>
      <c r="K7360" s="7" t="s">
        <v>18</v>
      </c>
      <c r="L7360" s="8">
        <v>39987.315405092595</v>
      </c>
      <c r="M7360" s="9" t="s">
        <v>19</v>
      </c>
      <c r="N7360" s="9" t="s">
        <v>20</v>
      </c>
      <c r="O7360" s="6" t="str">
        <f>HYPERLINK("https://pbs.twimg.com/profile_images/962471262747529216/Uo8lOkRJ_normal.jpg","View")</f>
        <v>View</v>
      </c>
      <c r="P7360" s="7"/>
    </row>
    <row r="7361" spans="1:16">
      <c r="A7361" s="3">
        <v>44020.021631944444</v>
      </c>
      <c r="B7361" s="4" t="str">
        <f>HYPERLINK("https://twitter.com/petrogustavo","@petrogustavo")</f>
        <v>@petrogustavo</v>
      </c>
      <c r="C7361" s="5" t="s">
        <v>16</v>
      </c>
      <c r="D7361" s="5" t="s">
        <v>7114</v>
      </c>
      <c r="E7361" s="6" t="str">
        <f>HYPERLINK("https://twitter.com/petrogustavo/status/1280577614407708674","1280577614407708674")</f>
        <v>1280577614407708674</v>
      </c>
      <c r="F7361" s="7" t="s">
        <v>17</v>
      </c>
      <c r="G7361" s="7">
        <v>3902177</v>
      </c>
      <c r="H7361" s="7">
        <v>2419</v>
      </c>
      <c r="I7361" s="7">
        <v>131</v>
      </c>
      <c r="J7361" s="7">
        <v>0</v>
      </c>
      <c r="K7361" s="7" t="s">
        <v>18</v>
      </c>
      <c r="L7361" s="8">
        <v>39987.315405092595</v>
      </c>
      <c r="M7361" s="9" t="s">
        <v>19</v>
      </c>
      <c r="N7361" s="9" t="s">
        <v>20</v>
      </c>
      <c r="O7361" s="6" t="str">
        <f>HYPERLINK("https://pbs.twimg.com/profile_images/962471262747529216/Uo8lOkRJ_normal.jpg","View")</f>
        <v>View</v>
      </c>
      <c r="P7361" s="7"/>
    </row>
    <row r="7362" spans="1:16">
      <c r="A7362" s="3">
        <v>44020.023761574077</v>
      </c>
      <c r="B7362" s="4" t="str">
        <f>HYPERLINK("https://twitter.com/petrogustavo","@petrogustavo")</f>
        <v>@petrogustavo</v>
      </c>
      <c r="C7362" s="5" t="s">
        <v>16</v>
      </c>
      <c r="D7362" s="5" t="s">
        <v>7115</v>
      </c>
      <c r="E7362" s="6" t="str">
        <f>HYPERLINK("https://twitter.com/petrogustavo/status/1280578384397991941","1280578384397991941")</f>
        <v>1280578384397991941</v>
      </c>
      <c r="F7362" s="7" t="s">
        <v>17</v>
      </c>
      <c r="G7362" s="7">
        <v>3902177</v>
      </c>
      <c r="H7362" s="7">
        <v>2419</v>
      </c>
      <c r="I7362" s="7">
        <v>191</v>
      </c>
      <c r="J7362" s="7">
        <v>647</v>
      </c>
      <c r="K7362" s="7" t="s">
        <v>18</v>
      </c>
      <c r="L7362" s="8">
        <v>39987.315405092595</v>
      </c>
      <c r="M7362" s="9" t="s">
        <v>19</v>
      </c>
      <c r="N7362" s="9" t="s">
        <v>20</v>
      </c>
      <c r="O7362" s="6" t="str">
        <f>HYPERLINK("https://pbs.twimg.com/profile_images/962471262747529216/Uo8lOkRJ_normal.jpg","View")</f>
        <v>View</v>
      </c>
      <c r="P7362" s="7"/>
    </row>
    <row r="7363" spans="1:16">
      <c r="A7363" s="3">
        <v>44020.023946759262</v>
      </c>
      <c r="B7363" s="4" t="str">
        <f>HYPERLINK("https://twitter.com/petrogustavo","@petrogustavo")</f>
        <v>@petrogustavo</v>
      </c>
      <c r="C7363" s="5" t="s">
        <v>16</v>
      </c>
      <c r="D7363" s="5" t="s">
        <v>7113</v>
      </c>
      <c r="E7363" s="6" t="str">
        <f>HYPERLINK("https://twitter.com/petrogustavo/status/1280578450127011840","1280578450127011840")</f>
        <v>1280578450127011840</v>
      </c>
      <c r="F7363" s="7" t="s">
        <v>17</v>
      </c>
      <c r="G7363" s="7">
        <v>3902177</v>
      </c>
      <c r="H7363" s="7">
        <v>2419</v>
      </c>
      <c r="I7363" s="7">
        <v>1196</v>
      </c>
      <c r="J7363" s="7">
        <v>0</v>
      </c>
      <c r="K7363" s="7" t="s">
        <v>18</v>
      </c>
      <c r="L7363" s="8">
        <v>39987.315405092595</v>
      </c>
      <c r="M7363" s="9" t="s">
        <v>19</v>
      </c>
      <c r="N7363" s="9" t="s">
        <v>20</v>
      </c>
      <c r="O7363" s="6" t="str">
        <f>HYPERLINK("https://pbs.twimg.com/profile_images/962471262747529216/Uo8lOkRJ_normal.jpg","View")</f>
        <v>View</v>
      </c>
      <c r="P7363" s="7"/>
    </row>
    <row r="7364" spans="1:16">
      <c r="A7364" s="3">
        <v>44020.056192129632</v>
      </c>
      <c r="B7364" s="4" t="str">
        <f>HYPERLINK("https://twitter.com/petrogustavo","@petrogustavo")</f>
        <v>@petrogustavo</v>
      </c>
      <c r="C7364" s="5" t="s">
        <v>16</v>
      </c>
      <c r="D7364" s="5" t="s">
        <v>7116</v>
      </c>
      <c r="E7364" s="6" t="str">
        <f>HYPERLINK("https://twitter.com/petrogustavo/status/1280590136829513728","1280590136829513728")</f>
        <v>1280590136829513728</v>
      </c>
      <c r="F7364" s="7" t="s">
        <v>17</v>
      </c>
      <c r="G7364" s="7">
        <v>3902151</v>
      </c>
      <c r="H7364" s="7">
        <v>2419</v>
      </c>
      <c r="I7364" s="7">
        <v>361</v>
      </c>
      <c r="J7364" s="7">
        <v>1278</v>
      </c>
      <c r="K7364" s="7" t="s">
        <v>18</v>
      </c>
      <c r="L7364" s="8">
        <v>39987.315405092595</v>
      </c>
      <c r="M7364" s="9" t="s">
        <v>19</v>
      </c>
      <c r="N7364" s="9" t="s">
        <v>20</v>
      </c>
      <c r="O7364" s="6" t="str">
        <f>HYPERLINK("https://pbs.twimg.com/profile_images/962471262747529216/Uo8lOkRJ_normal.jpg","View")</f>
        <v>View</v>
      </c>
      <c r="P7364" s="7"/>
    </row>
    <row r="7365" spans="1:16">
      <c r="A7365" s="3">
        <v>44020.058668981481</v>
      </c>
      <c r="B7365" s="4" t="str">
        <f>HYPERLINK("https://twitter.com/petrogustavo","@petrogustavo")</f>
        <v>@petrogustavo</v>
      </c>
      <c r="C7365" s="5" t="s">
        <v>16</v>
      </c>
      <c r="D7365" s="5" t="s">
        <v>7117</v>
      </c>
      <c r="E7365" s="6" t="str">
        <f>HYPERLINK("https://twitter.com/petrogustavo/status/1280591034205036545","1280591034205036545")</f>
        <v>1280591034205036545</v>
      </c>
      <c r="F7365" s="7" t="s">
        <v>32</v>
      </c>
      <c r="G7365" s="7">
        <v>3902151</v>
      </c>
      <c r="H7365" s="7">
        <v>2419</v>
      </c>
      <c r="I7365" s="7">
        <v>178</v>
      </c>
      <c r="J7365" s="7">
        <v>567</v>
      </c>
      <c r="K7365" s="7" t="s">
        <v>18</v>
      </c>
      <c r="L7365" s="8">
        <v>39987.315405092595</v>
      </c>
      <c r="M7365" s="9" t="s">
        <v>19</v>
      </c>
      <c r="N7365" s="9" t="s">
        <v>20</v>
      </c>
      <c r="O7365" s="6" t="str">
        <f>HYPERLINK("https://pbs.twimg.com/profile_images/962471262747529216/Uo8lOkRJ_normal.jpg","View")</f>
        <v>View</v>
      </c>
      <c r="P7365" s="7"/>
    </row>
    <row r="7366" spans="1:16">
      <c r="A7366" s="3">
        <v>44020.059027777781</v>
      </c>
      <c r="B7366" s="4" t="str">
        <f>HYPERLINK("https://twitter.com/petrogustavo","@petrogustavo")</f>
        <v>@petrogustavo</v>
      </c>
      <c r="C7366" s="5" t="s">
        <v>16</v>
      </c>
      <c r="D7366" s="5" t="s">
        <v>7118</v>
      </c>
      <c r="E7366" s="6" t="str">
        <f>HYPERLINK("https://twitter.com/petrogustavo/status/1280591164140331011","1280591164140331011")</f>
        <v>1280591164140331011</v>
      </c>
      <c r="F7366" s="7" t="s">
        <v>32</v>
      </c>
      <c r="G7366" s="7">
        <v>3902151</v>
      </c>
      <c r="H7366" s="7">
        <v>2419</v>
      </c>
      <c r="I7366" s="7">
        <v>361</v>
      </c>
      <c r="J7366" s="7">
        <v>0</v>
      </c>
      <c r="K7366" s="7" t="s">
        <v>18</v>
      </c>
      <c r="L7366" s="8">
        <v>39987.315405092595</v>
      </c>
      <c r="M7366" s="9" t="s">
        <v>19</v>
      </c>
      <c r="N7366" s="9" t="s">
        <v>20</v>
      </c>
      <c r="O7366" s="6" t="str">
        <f>HYPERLINK("https://pbs.twimg.com/profile_images/962471262747529216/Uo8lOkRJ_normal.jpg","View")</f>
        <v>View</v>
      </c>
      <c r="P7366" s="7"/>
    </row>
    <row r="7367" spans="1:16">
      <c r="A7367" s="3">
        <v>44020.05940972222</v>
      </c>
      <c r="B7367" s="4" t="str">
        <f>HYPERLINK("https://twitter.com/petrogustavo","@petrogustavo")</f>
        <v>@petrogustavo</v>
      </c>
      <c r="C7367" s="5" t="s">
        <v>16</v>
      </c>
      <c r="D7367" s="5" t="s">
        <v>7113</v>
      </c>
      <c r="E7367" s="6" t="str">
        <f>HYPERLINK("https://twitter.com/petrogustavo/status/1280591302682456067","1280591302682456067")</f>
        <v>1280591302682456067</v>
      </c>
      <c r="F7367" s="7" t="s">
        <v>32</v>
      </c>
      <c r="G7367" s="7">
        <v>3902151</v>
      </c>
      <c r="H7367" s="7">
        <v>2419</v>
      </c>
      <c r="I7367" s="7">
        <v>1821</v>
      </c>
      <c r="J7367" s="7">
        <v>0</v>
      </c>
      <c r="K7367" s="7" t="s">
        <v>18</v>
      </c>
      <c r="L7367" s="8">
        <v>39987.315405092595</v>
      </c>
      <c r="M7367" s="9" t="s">
        <v>19</v>
      </c>
      <c r="N7367" s="9" t="s">
        <v>20</v>
      </c>
      <c r="O7367" s="6" t="str">
        <f>HYPERLINK("https://pbs.twimg.com/profile_images/962471262747529216/Uo8lOkRJ_normal.jpg","View")</f>
        <v>View</v>
      </c>
      <c r="P7367" s="7"/>
    </row>
    <row r="7368" spans="1:16">
      <c r="A7368" s="3">
        <v>44020.177453703705</v>
      </c>
      <c r="B7368" s="4" t="str">
        <f>HYPERLINK("https://twitter.com/petrogustavo","@petrogustavo")</f>
        <v>@petrogustavo</v>
      </c>
      <c r="C7368" s="5" t="s">
        <v>16</v>
      </c>
      <c r="D7368" s="5" t="s">
        <v>7119</v>
      </c>
      <c r="E7368" s="6" t="str">
        <f>HYPERLINK("https://twitter.com/petrogustavo/status/1280634081345187840","1280634081345187840")</f>
        <v>1280634081345187840</v>
      </c>
      <c r="F7368" s="7" t="s">
        <v>32</v>
      </c>
      <c r="G7368" s="7">
        <v>3902276</v>
      </c>
      <c r="H7368" s="7">
        <v>2419</v>
      </c>
      <c r="I7368" s="7">
        <v>242</v>
      </c>
      <c r="J7368" s="7">
        <v>0</v>
      </c>
      <c r="K7368" s="7" t="s">
        <v>18</v>
      </c>
      <c r="L7368" s="8">
        <v>39987.315405092595</v>
      </c>
      <c r="M7368" s="9" t="s">
        <v>19</v>
      </c>
      <c r="N7368" s="9" t="s">
        <v>20</v>
      </c>
      <c r="O7368" s="6" t="str">
        <f>HYPERLINK("https://pbs.twimg.com/profile_images/962471262747529216/Uo8lOkRJ_normal.jpg","View")</f>
        <v>View</v>
      </c>
      <c r="P7368" s="7"/>
    </row>
    <row r="7369" spans="1:16">
      <c r="A7369" s="3">
        <v>44020.178171296298</v>
      </c>
      <c r="B7369" s="4" t="str">
        <f>HYPERLINK("https://twitter.com/petrogustavo","@petrogustavo")</f>
        <v>@petrogustavo</v>
      </c>
      <c r="C7369" s="5" t="s">
        <v>16</v>
      </c>
      <c r="D7369" s="5" t="s">
        <v>7120</v>
      </c>
      <c r="E7369" s="6" t="str">
        <f>HYPERLINK("https://twitter.com/petrogustavo/status/1280634339567558657","1280634339567558657")</f>
        <v>1280634339567558657</v>
      </c>
      <c r="F7369" s="7" t="s">
        <v>32</v>
      </c>
      <c r="G7369" s="7">
        <v>3902276</v>
      </c>
      <c r="H7369" s="7">
        <v>2419</v>
      </c>
      <c r="I7369" s="7">
        <v>85</v>
      </c>
      <c r="J7369" s="7">
        <v>0</v>
      </c>
      <c r="K7369" s="7" t="s">
        <v>18</v>
      </c>
      <c r="L7369" s="8">
        <v>39987.315405092595</v>
      </c>
      <c r="M7369" s="9" t="s">
        <v>19</v>
      </c>
      <c r="N7369" s="9" t="s">
        <v>20</v>
      </c>
      <c r="O7369" s="6" t="str">
        <f>HYPERLINK("https://pbs.twimg.com/profile_images/962471262747529216/Uo8lOkRJ_normal.jpg","View")</f>
        <v>View</v>
      </c>
      <c r="P7369" s="7"/>
    </row>
    <row r="7370" spans="1:16">
      <c r="A7370" s="3">
        <v>44020.178356481483</v>
      </c>
      <c r="B7370" s="4" t="str">
        <f>HYPERLINK("https://twitter.com/petrogustavo","@petrogustavo")</f>
        <v>@petrogustavo</v>
      </c>
      <c r="C7370" s="5" t="s">
        <v>16</v>
      </c>
      <c r="D7370" s="5" t="s">
        <v>7121</v>
      </c>
      <c r="E7370" s="6" t="str">
        <f>HYPERLINK("https://twitter.com/petrogustavo/status/1280634407557177344","1280634407557177344")</f>
        <v>1280634407557177344</v>
      </c>
      <c r="F7370" s="7" t="s">
        <v>32</v>
      </c>
      <c r="G7370" s="7">
        <v>3902276</v>
      </c>
      <c r="H7370" s="7">
        <v>2419</v>
      </c>
      <c r="I7370" s="7">
        <v>15</v>
      </c>
      <c r="J7370" s="7">
        <v>0</v>
      </c>
      <c r="K7370" s="7" t="s">
        <v>18</v>
      </c>
      <c r="L7370" s="8">
        <v>39987.315405092595</v>
      </c>
      <c r="M7370" s="9" t="s">
        <v>19</v>
      </c>
      <c r="N7370" s="9" t="s">
        <v>20</v>
      </c>
      <c r="O7370" s="6" t="str">
        <f>HYPERLINK("https://pbs.twimg.com/profile_images/962471262747529216/Uo8lOkRJ_normal.jpg","View")</f>
        <v>View</v>
      </c>
      <c r="P7370" s="7"/>
    </row>
    <row r="7371" spans="1:16">
      <c r="A7371" s="3">
        <v>44020.179212962961</v>
      </c>
      <c r="B7371" s="4" t="str">
        <f>HYPERLINK("https://twitter.com/petrogustavo","@petrogustavo")</f>
        <v>@petrogustavo</v>
      </c>
      <c r="C7371" s="5" t="s">
        <v>16</v>
      </c>
      <c r="D7371" s="5" t="s">
        <v>7122</v>
      </c>
      <c r="E7371" s="6" t="str">
        <f>HYPERLINK("https://twitter.com/petrogustavo/status/1280634718388727809","1280634718388727809")</f>
        <v>1280634718388727809</v>
      </c>
      <c r="F7371" s="7" t="s">
        <v>32</v>
      </c>
      <c r="G7371" s="7">
        <v>3902276</v>
      </c>
      <c r="H7371" s="7">
        <v>2419</v>
      </c>
      <c r="I7371" s="7">
        <v>54</v>
      </c>
      <c r="J7371" s="7">
        <v>0</v>
      </c>
      <c r="K7371" s="7" t="s">
        <v>18</v>
      </c>
      <c r="L7371" s="8">
        <v>39987.315405092595</v>
      </c>
      <c r="M7371" s="9" t="s">
        <v>19</v>
      </c>
      <c r="N7371" s="9" t="s">
        <v>20</v>
      </c>
      <c r="O7371" s="6" t="str">
        <f>HYPERLINK("https://pbs.twimg.com/profile_images/962471262747529216/Uo8lOkRJ_normal.jpg","View")</f>
        <v>View</v>
      </c>
      <c r="P7371" s="7"/>
    </row>
    <row r="7372" spans="1:16">
      <c r="A7372" s="3">
        <v>44020.180798611109</v>
      </c>
      <c r="B7372" s="4" t="str">
        <f>HYPERLINK("https://twitter.com/petrogustavo","@petrogustavo")</f>
        <v>@petrogustavo</v>
      </c>
      <c r="C7372" s="5" t="s">
        <v>16</v>
      </c>
      <c r="D7372" s="5" t="s">
        <v>7123</v>
      </c>
      <c r="E7372" s="6" t="str">
        <f>HYPERLINK("https://twitter.com/petrogustavo/status/1280635294392475648","1280635294392475648")</f>
        <v>1280635294392475648</v>
      </c>
      <c r="F7372" s="7" t="s">
        <v>32</v>
      </c>
      <c r="G7372" s="7">
        <v>3902306</v>
      </c>
      <c r="H7372" s="7">
        <v>2419</v>
      </c>
      <c r="I7372" s="7">
        <v>1363</v>
      </c>
      <c r="J7372" s="7">
        <v>0</v>
      </c>
      <c r="K7372" s="7" t="s">
        <v>18</v>
      </c>
      <c r="L7372" s="8">
        <v>39987.315405092595</v>
      </c>
      <c r="M7372" s="9" t="s">
        <v>19</v>
      </c>
      <c r="N7372" s="9" t="s">
        <v>20</v>
      </c>
      <c r="O7372" s="6" t="str">
        <f>HYPERLINK("https://pbs.twimg.com/profile_images/962471262747529216/Uo8lOkRJ_normal.jpg","View")</f>
        <v>View</v>
      </c>
      <c r="P7372" s="7"/>
    </row>
    <row r="7373" spans="1:16">
      <c r="A7373" s="3">
        <v>44020.182627314818</v>
      </c>
      <c r="B7373" s="4" t="str">
        <f>HYPERLINK("https://twitter.com/petrogustavo","@petrogustavo")</f>
        <v>@petrogustavo</v>
      </c>
      <c r="C7373" s="5" t="s">
        <v>16</v>
      </c>
      <c r="D7373" s="5" t="s">
        <v>7113</v>
      </c>
      <c r="E7373" s="6" t="str">
        <f>HYPERLINK("https://twitter.com/petrogustavo/status/1280635954940780553","1280635954940780553")</f>
        <v>1280635954940780553</v>
      </c>
      <c r="F7373" s="7" t="s">
        <v>32</v>
      </c>
      <c r="G7373" s="7">
        <v>3902306</v>
      </c>
      <c r="H7373" s="7">
        <v>2419</v>
      </c>
      <c r="I7373" s="7">
        <v>3045</v>
      </c>
      <c r="J7373" s="7">
        <v>0</v>
      </c>
      <c r="K7373" s="7" t="s">
        <v>18</v>
      </c>
      <c r="L7373" s="8">
        <v>39987.315405092595</v>
      </c>
      <c r="M7373" s="9" t="s">
        <v>19</v>
      </c>
      <c r="N7373" s="9" t="s">
        <v>20</v>
      </c>
      <c r="O7373" s="6" t="str">
        <f>HYPERLINK("https://pbs.twimg.com/profile_images/962471262747529216/Uo8lOkRJ_normal.jpg","View")</f>
        <v>View</v>
      </c>
      <c r="P7373" s="7"/>
    </row>
    <row r="7374" spans="1:16">
      <c r="A7374" s="3">
        <v>44020.209247685183</v>
      </c>
      <c r="B7374" s="4" t="str">
        <f>HYPERLINK("https://twitter.com/petrogustavo","@petrogustavo")</f>
        <v>@petrogustavo</v>
      </c>
      <c r="C7374" s="5" t="s">
        <v>16</v>
      </c>
      <c r="D7374" s="5" t="s">
        <v>7124</v>
      </c>
      <c r="E7374" s="6" t="str">
        <f>HYPERLINK("https://twitter.com/petrogustavo/status/1280645600317505540","1280645600317505540")</f>
        <v>1280645600317505540</v>
      </c>
      <c r="F7374" s="7" t="s">
        <v>17</v>
      </c>
      <c r="G7374" s="7">
        <v>3902333</v>
      </c>
      <c r="H7374" s="7">
        <v>2419</v>
      </c>
      <c r="I7374" s="7">
        <v>63</v>
      </c>
      <c r="J7374" s="7">
        <v>0</v>
      </c>
      <c r="K7374" s="7" t="s">
        <v>18</v>
      </c>
      <c r="L7374" s="8">
        <v>39987.315405092595</v>
      </c>
      <c r="M7374" s="9" t="s">
        <v>19</v>
      </c>
      <c r="N7374" s="9" t="s">
        <v>20</v>
      </c>
      <c r="O7374" s="6" t="str">
        <f>HYPERLINK("https://pbs.twimg.com/profile_images/962471262747529216/Uo8lOkRJ_normal.jpg","View")</f>
        <v>View</v>
      </c>
      <c r="P7374" s="7"/>
    </row>
    <row r="7375" spans="1:16">
      <c r="A7375" s="3">
        <v>44020.216006944444</v>
      </c>
      <c r="B7375" s="4" t="str">
        <f>HYPERLINK("https://twitter.com/petrogustavo","@petrogustavo")</f>
        <v>@petrogustavo</v>
      </c>
      <c r="C7375" s="5" t="s">
        <v>16</v>
      </c>
      <c r="D7375" s="5" t="s">
        <v>7125</v>
      </c>
      <c r="E7375" s="6" t="str">
        <f>HYPERLINK("https://twitter.com/petrogustavo/status/1280648053750407168","1280648053750407168")</f>
        <v>1280648053750407168</v>
      </c>
      <c r="F7375" s="7" t="s">
        <v>17</v>
      </c>
      <c r="G7375" s="7">
        <v>3902333</v>
      </c>
      <c r="H7375" s="7">
        <v>2419</v>
      </c>
      <c r="I7375" s="7">
        <v>164</v>
      </c>
      <c r="J7375" s="7">
        <v>356</v>
      </c>
      <c r="K7375" s="7" t="s">
        <v>18</v>
      </c>
      <c r="L7375" s="8">
        <v>39987.315405092595</v>
      </c>
      <c r="M7375" s="9" t="s">
        <v>19</v>
      </c>
      <c r="N7375" s="9" t="s">
        <v>20</v>
      </c>
      <c r="O7375" s="6" t="str">
        <f>HYPERLINK("https://pbs.twimg.com/profile_images/962471262747529216/Uo8lOkRJ_normal.jpg","View")</f>
        <v>View</v>
      </c>
      <c r="P7375" s="7"/>
    </row>
    <row r="7376" spans="1:16">
      <c r="A7376" s="3">
        <v>44020.226122685184</v>
      </c>
      <c r="B7376" s="4" t="str">
        <f>HYPERLINK("https://twitter.com/petrogustavo","@petrogustavo")</f>
        <v>@petrogustavo</v>
      </c>
      <c r="C7376" s="5" t="s">
        <v>16</v>
      </c>
      <c r="D7376" s="5" t="s">
        <v>7126</v>
      </c>
      <c r="E7376" s="6" t="str">
        <f>HYPERLINK("https://twitter.com/petrogustavo/status/1280651718406148096","1280651718406148096")</f>
        <v>1280651718406148096</v>
      </c>
      <c r="F7376" s="7" t="s">
        <v>17</v>
      </c>
      <c r="G7376" s="7">
        <v>3902342</v>
      </c>
      <c r="H7376" s="7">
        <v>2419</v>
      </c>
      <c r="I7376" s="7">
        <v>187</v>
      </c>
      <c r="J7376" s="7">
        <v>378</v>
      </c>
      <c r="K7376" s="7" t="s">
        <v>18</v>
      </c>
      <c r="L7376" s="8">
        <v>39987.315405092595</v>
      </c>
      <c r="M7376" s="9" t="s">
        <v>19</v>
      </c>
      <c r="N7376" s="9" t="s">
        <v>20</v>
      </c>
      <c r="O7376" s="6" t="str">
        <f>HYPERLINK("https://pbs.twimg.com/profile_images/962471262747529216/Uo8lOkRJ_normal.jpg","View")</f>
        <v>View</v>
      </c>
      <c r="P7376" s="7"/>
    </row>
    <row r="7377" spans="1:16">
      <c r="A7377" s="3">
        <v>44020.226689814815</v>
      </c>
      <c r="B7377" s="4" t="str">
        <f>HYPERLINK("https://twitter.com/petrogustavo","@petrogustavo")</f>
        <v>@petrogustavo</v>
      </c>
      <c r="C7377" s="5" t="s">
        <v>16</v>
      </c>
      <c r="D7377" s="5" t="s">
        <v>7127</v>
      </c>
      <c r="E7377" s="6" t="str">
        <f>HYPERLINK("https://twitter.com/petrogustavo/status/1280651923805306880","1280651923805306880")</f>
        <v>1280651923805306880</v>
      </c>
      <c r="F7377" s="7" t="s">
        <v>17</v>
      </c>
      <c r="G7377" s="7">
        <v>3902342</v>
      </c>
      <c r="H7377" s="7">
        <v>2419</v>
      </c>
      <c r="I7377" s="7">
        <v>632</v>
      </c>
      <c r="J7377" s="7">
        <v>0</v>
      </c>
      <c r="K7377" s="7" t="s">
        <v>18</v>
      </c>
      <c r="L7377" s="8">
        <v>39987.315405092595</v>
      </c>
      <c r="M7377" s="9" t="s">
        <v>19</v>
      </c>
      <c r="N7377" s="9" t="s">
        <v>20</v>
      </c>
      <c r="O7377" s="6" t="str">
        <f>HYPERLINK("https://pbs.twimg.com/profile_images/962471262747529216/Uo8lOkRJ_normal.jpg","View")</f>
        <v>View</v>
      </c>
      <c r="P7377" s="7"/>
    </row>
    <row r="7378" spans="1:16">
      <c r="A7378" s="3">
        <v>44020.229895833334</v>
      </c>
      <c r="B7378" s="4" t="str">
        <f>HYPERLINK("https://twitter.com/petrogustavo","@petrogustavo")</f>
        <v>@petrogustavo</v>
      </c>
      <c r="C7378" s="5" t="s">
        <v>16</v>
      </c>
      <c r="D7378" s="5" t="s">
        <v>7128</v>
      </c>
      <c r="E7378" s="6" t="str">
        <f>HYPERLINK("https://twitter.com/petrogustavo/status/1280653086168690688","1280653086168690688")</f>
        <v>1280653086168690688</v>
      </c>
      <c r="F7378" s="7" t="s">
        <v>17</v>
      </c>
      <c r="G7378" s="7">
        <v>3902342</v>
      </c>
      <c r="H7378" s="7">
        <v>2419</v>
      </c>
      <c r="I7378" s="7">
        <v>543</v>
      </c>
      <c r="J7378" s="7">
        <v>0</v>
      </c>
      <c r="K7378" s="7" t="s">
        <v>18</v>
      </c>
      <c r="L7378" s="8">
        <v>39987.315405092595</v>
      </c>
      <c r="M7378" s="9" t="s">
        <v>19</v>
      </c>
      <c r="N7378" s="9" t="s">
        <v>20</v>
      </c>
      <c r="O7378" s="6" t="str">
        <f>HYPERLINK("https://pbs.twimg.com/profile_images/962471262747529216/Uo8lOkRJ_normal.jpg","View")</f>
        <v>View</v>
      </c>
      <c r="P7378" s="7"/>
    </row>
    <row r="7379" spans="1:16">
      <c r="A7379" s="3">
        <v>44020.231770833328</v>
      </c>
      <c r="B7379" s="4" t="str">
        <f>HYPERLINK("https://twitter.com/petrogustavo","@petrogustavo")</f>
        <v>@petrogustavo</v>
      </c>
      <c r="C7379" s="5" t="s">
        <v>16</v>
      </c>
      <c r="D7379" s="5" t="s">
        <v>7129</v>
      </c>
      <c r="E7379" s="6" t="str">
        <f>HYPERLINK("https://twitter.com/petrogustavo/status/1280653764924506113","1280653764924506113")</f>
        <v>1280653764924506113</v>
      </c>
      <c r="F7379" s="7" t="s">
        <v>17</v>
      </c>
      <c r="G7379" s="7">
        <v>3902342</v>
      </c>
      <c r="H7379" s="7">
        <v>2419</v>
      </c>
      <c r="I7379" s="7">
        <v>294</v>
      </c>
      <c r="J7379" s="7">
        <v>0</v>
      </c>
      <c r="K7379" s="7" t="s">
        <v>18</v>
      </c>
      <c r="L7379" s="8">
        <v>39987.315405092595</v>
      </c>
      <c r="M7379" s="9" t="s">
        <v>19</v>
      </c>
      <c r="N7379" s="9" t="s">
        <v>20</v>
      </c>
      <c r="O7379" s="6" t="str">
        <f>HYPERLINK("https://pbs.twimg.com/profile_images/962471262747529216/Uo8lOkRJ_normal.jpg","View")</f>
        <v>View</v>
      </c>
      <c r="P7379" s="7"/>
    </row>
    <row r="7380" spans="1:16">
      <c r="A7380" s="3">
        <v>44020.232962962968</v>
      </c>
      <c r="B7380" s="4" t="str">
        <f>HYPERLINK("https://twitter.com/petrogustavo","@petrogustavo")</f>
        <v>@petrogustavo</v>
      </c>
      <c r="C7380" s="5" t="s">
        <v>16</v>
      </c>
      <c r="D7380" s="5" t="s">
        <v>7130</v>
      </c>
      <c r="E7380" s="6" t="str">
        <f>HYPERLINK("https://twitter.com/petrogustavo/status/1280654196220583936","1280654196220583936")</f>
        <v>1280654196220583936</v>
      </c>
      <c r="F7380" s="7" t="s">
        <v>17</v>
      </c>
      <c r="G7380" s="7">
        <v>3902342</v>
      </c>
      <c r="H7380" s="7">
        <v>2419</v>
      </c>
      <c r="I7380" s="7">
        <v>187</v>
      </c>
      <c r="J7380" s="7">
        <v>0</v>
      </c>
      <c r="K7380" s="7" t="s">
        <v>18</v>
      </c>
      <c r="L7380" s="8">
        <v>39987.315405092595</v>
      </c>
      <c r="M7380" s="9" t="s">
        <v>19</v>
      </c>
      <c r="N7380" s="9" t="s">
        <v>20</v>
      </c>
      <c r="O7380" s="6" t="str">
        <f>HYPERLINK("https://pbs.twimg.com/profile_images/962471262747529216/Uo8lOkRJ_normal.jpg","View")</f>
        <v>View</v>
      </c>
      <c r="P7380" s="7"/>
    </row>
    <row r="7381" spans="1:16">
      <c r="A7381" s="3">
        <v>44020.237939814819</v>
      </c>
      <c r="B7381" s="4" t="str">
        <f>HYPERLINK("https://twitter.com/petrogustavo","@petrogustavo")</f>
        <v>@petrogustavo</v>
      </c>
      <c r="C7381" s="5" t="s">
        <v>16</v>
      </c>
      <c r="D7381" s="5" t="s">
        <v>7113</v>
      </c>
      <c r="E7381" s="6" t="str">
        <f>HYPERLINK("https://twitter.com/petrogustavo/status/1280656000547196928","1280656000547196928")</f>
        <v>1280656000547196928</v>
      </c>
      <c r="F7381" s="7" t="s">
        <v>17</v>
      </c>
      <c r="G7381" s="7">
        <v>3902342</v>
      </c>
      <c r="H7381" s="7">
        <v>2419</v>
      </c>
      <c r="I7381" s="7">
        <v>3345</v>
      </c>
      <c r="J7381" s="7">
        <v>0</v>
      </c>
      <c r="K7381" s="7" t="s">
        <v>18</v>
      </c>
      <c r="L7381" s="8">
        <v>39987.315405092595</v>
      </c>
      <c r="M7381" s="9" t="s">
        <v>19</v>
      </c>
      <c r="N7381" s="9" t="s">
        <v>20</v>
      </c>
      <c r="O7381" s="6" t="str">
        <f>HYPERLINK("https://pbs.twimg.com/profile_images/962471262747529216/Uo8lOkRJ_normal.jpg","View")</f>
        <v>View</v>
      </c>
      <c r="P7381" s="7"/>
    </row>
    <row r="7382" spans="1:16">
      <c r="A7382" s="3">
        <v>44020.746712962966</v>
      </c>
      <c r="B7382" s="4" t="str">
        <f>HYPERLINK("https://twitter.com/petrogustavo","@petrogustavo")</f>
        <v>@petrogustavo</v>
      </c>
      <c r="C7382" s="5" t="s">
        <v>16</v>
      </c>
      <c r="D7382" s="5" t="s">
        <v>7131</v>
      </c>
      <c r="E7382" s="6" t="str">
        <f>HYPERLINK("https://twitter.com/petrogustavo/status/1280840374588710912","1280840374588710912")</f>
        <v>1280840374588710912</v>
      </c>
      <c r="F7382" s="7" t="s">
        <v>17</v>
      </c>
      <c r="G7382" s="7">
        <v>3902721</v>
      </c>
      <c r="H7382" s="7">
        <v>2419</v>
      </c>
      <c r="I7382" s="7">
        <v>544</v>
      </c>
      <c r="J7382" s="7">
        <v>0</v>
      </c>
      <c r="K7382" s="7" t="s">
        <v>18</v>
      </c>
      <c r="L7382" s="8">
        <v>39987.315405092595</v>
      </c>
      <c r="M7382" s="9" t="s">
        <v>19</v>
      </c>
      <c r="N7382" s="9" t="s">
        <v>20</v>
      </c>
      <c r="O7382" s="6" t="str">
        <f>HYPERLINK("https://pbs.twimg.com/profile_images/962471262747529216/Uo8lOkRJ_normal.jpg","View")</f>
        <v>View</v>
      </c>
      <c r="P7382" s="7"/>
    </row>
    <row r="7383" spans="1:16">
      <c r="A7383" s="3">
        <v>44020.747453703705</v>
      </c>
      <c r="B7383" s="4" t="str">
        <f>HYPERLINK("https://twitter.com/petrogustavo","@petrogustavo")</f>
        <v>@petrogustavo</v>
      </c>
      <c r="C7383" s="5" t="s">
        <v>16</v>
      </c>
      <c r="D7383" s="5" t="s">
        <v>7132</v>
      </c>
      <c r="E7383" s="6" t="str">
        <f>HYPERLINK("https://twitter.com/petrogustavo/status/1280840641153585153","1280840641153585153")</f>
        <v>1280840641153585153</v>
      </c>
      <c r="F7383" s="7" t="s">
        <v>17</v>
      </c>
      <c r="G7383" s="7">
        <v>3902721</v>
      </c>
      <c r="H7383" s="7">
        <v>2419</v>
      </c>
      <c r="I7383" s="7">
        <v>555</v>
      </c>
      <c r="J7383" s="7">
        <v>1830</v>
      </c>
      <c r="K7383" s="7" t="s">
        <v>18</v>
      </c>
      <c r="L7383" s="8">
        <v>39987.315405092595</v>
      </c>
      <c r="M7383" s="9" t="s">
        <v>19</v>
      </c>
      <c r="N7383" s="9" t="s">
        <v>20</v>
      </c>
      <c r="O7383" s="6" t="str">
        <f>HYPERLINK("https://pbs.twimg.com/profile_images/962471262747529216/Uo8lOkRJ_normal.jpg","View")</f>
        <v>View</v>
      </c>
      <c r="P7383" s="7"/>
    </row>
    <row r="7384" spans="1:16">
      <c r="A7384" s="3">
        <v>44020.750081018516</v>
      </c>
      <c r="B7384" s="4" t="str">
        <f>HYPERLINK("https://twitter.com/petrogustavo","@petrogustavo")</f>
        <v>@petrogustavo</v>
      </c>
      <c r="C7384" s="5" t="s">
        <v>16</v>
      </c>
      <c r="D7384" s="5" t="s">
        <v>7133</v>
      </c>
      <c r="E7384" s="6" t="str">
        <f>HYPERLINK("https://twitter.com/petrogustavo/status/1280841592765665282","1280841592765665282")</f>
        <v>1280841592765665282</v>
      </c>
      <c r="F7384" s="7" t="s">
        <v>17</v>
      </c>
      <c r="G7384" s="7">
        <v>3902721</v>
      </c>
      <c r="H7384" s="7">
        <v>2419</v>
      </c>
      <c r="I7384" s="7">
        <v>124</v>
      </c>
      <c r="J7384" s="7">
        <v>268</v>
      </c>
      <c r="K7384" s="7" t="s">
        <v>18</v>
      </c>
      <c r="L7384" s="8">
        <v>39987.315405092595</v>
      </c>
      <c r="M7384" s="9" t="s">
        <v>19</v>
      </c>
      <c r="N7384" s="9" t="s">
        <v>20</v>
      </c>
      <c r="O7384" s="6" t="str">
        <f>HYPERLINK("https://pbs.twimg.com/profile_images/962471262747529216/Uo8lOkRJ_normal.jpg","View")</f>
        <v>View</v>
      </c>
      <c r="P7384" s="7"/>
    </row>
    <row r="7385" spans="1:16">
      <c r="A7385" s="3">
        <v>44020.751261574071</v>
      </c>
      <c r="B7385" s="4" t="str">
        <f>HYPERLINK("https://twitter.com/petrogustavo","@petrogustavo")</f>
        <v>@petrogustavo</v>
      </c>
      <c r="C7385" s="5" t="s">
        <v>16</v>
      </c>
      <c r="D7385" s="5" t="s">
        <v>7134</v>
      </c>
      <c r="E7385" s="6" t="str">
        <f>HYPERLINK("https://twitter.com/petrogustavo/status/1280842021096378369","1280842021096378369")</f>
        <v>1280842021096378369</v>
      </c>
      <c r="F7385" s="7" t="s">
        <v>17</v>
      </c>
      <c r="G7385" s="7">
        <v>3902721</v>
      </c>
      <c r="H7385" s="7">
        <v>2419</v>
      </c>
      <c r="I7385" s="7">
        <v>57</v>
      </c>
      <c r="J7385" s="7">
        <v>159</v>
      </c>
      <c r="K7385" s="7" t="s">
        <v>18</v>
      </c>
      <c r="L7385" s="8">
        <v>39987.315405092595</v>
      </c>
      <c r="M7385" s="9" t="s">
        <v>19</v>
      </c>
      <c r="N7385" s="9" t="s">
        <v>20</v>
      </c>
      <c r="O7385" s="6" t="str">
        <f>HYPERLINK("https://pbs.twimg.com/profile_images/962471262747529216/Uo8lOkRJ_normal.jpg","View")</f>
        <v>View</v>
      </c>
      <c r="P7385" s="7"/>
    </row>
    <row r="7386" spans="1:16">
      <c r="A7386" s="3">
        <v>44020.755833333329</v>
      </c>
      <c r="B7386" s="4" t="str">
        <f>HYPERLINK("https://twitter.com/petrogustavo","@petrogustavo")</f>
        <v>@petrogustavo</v>
      </c>
      <c r="C7386" s="5" t="s">
        <v>16</v>
      </c>
      <c r="D7386" s="5" t="s">
        <v>7135</v>
      </c>
      <c r="E7386" s="6" t="str">
        <f>HYPERLINK("https://twitter.com/petrogustavo/status/1280843676995014658","1280843676995014658")</f>
        <v>1280843676995014658</v>
      </c>
      <c r="F7386" s="7" t="s">
        <v>17</v>
      </c>
      <c r="G7386" s="7">
        <v>3902721</v>
      </c>
      <c r="H7386" s="7">
        <v>2419</v>
      </c>
      <c r="I7386" s="7">
        <v>93</v>
      </c>
      <c r="J7386" s="7">
        <v>263</v>
      </c>
      <c r="K7386" s="7" t="s">
        <v>18</v>
      </c>
      <c r="L7386" s="8">
        <v>39987.315405092595</v>
      </c>
      <c r="M7386" s="9" t="s">
        <v>19</v>
      </c>
      <c r="N7386" s="9" t="s">
        <v>20</v>
      </c>
      <c r="O7386" s="6" t="str">
        <f>HYPERLINK("https://pbs.twimg.com/profile_images/962471262747529216/Uo8lOkRJ_normal.jpg","View")</f>
        <v>View</v>
      </c>
      <c r="P7386" s="7"/>
    </row>
    <row r="7387" spans="1:16">
      <c r="A7387" s="3">
        <v>44020.766076388885</v>
      </c>
      <c r="B7387" s="4" t="str">
        <f>HYPERLINK("https://twitter.com/petrogustavo","@petrogustavo")</f>
        <v>@petrogustavo</v>
      </c>
      <c r="C7387" s="5" t="s">
        <v>16</v>
      </c>
      <c r="D7387" s="5" t="s">
        <v>7136</v>
      </c>
      <c r="E7387" s="6" t="str">
        <f>HYPERLINK("https://twitter.com/petrogustavo/status/1280847389591568388","1280847389591568388")</f>
        <v>1280847389591568388</v>
      </c>
      <c r="F7387" s="7" t="s">
        <v>17</v>
      </c>
      <c r="G7387" s="7">
        <v>3902754</v>
      </c>
      <c r="H7387" s="7">
        <v>2419</v>
      </c>
      <c r="I7387" s="7">
        <v>124</v>
      </c>
      <c r="J7387" s="7">
        <v>223</v>
      </c>
      <c r="K7387" s="7" t="s">
        <v>18</v>
      </c>
      <c r="L7387" s="8">
        <v>39987.315405092595</v>
      </c>
      <c r="M7387" s="9" t="s">
        <v>19</v>
      </c>
      <c r="N7387" s="9" t="s">
        <v>20</v>
      </c>
      <c r="O7387" s="6" t="str">
        <f>HYPERLINK("https://pbs.twimg.com/profile_images/962471262747529216/Uo8lOkRJ_normal.jpg","View")</f>
        <v>View</v>
      </c>
      <c r="P7387" s="7"/>
    </row>
    <row r="7388" spans="1:16">
      <c r="A7388" s="3">
        <v>44020.766898148147</v>
      </c>
      <c r="B7388" s="4" t="str">
        <f>HYPERLINK("https://twitter.com/petrogustavo","@petrogustavo")</f>
        <v>@petrogustavo</v>
      </c>
      <c r="C7388" s="5" t="s">
        <v>16</v>
      </c>
      <c r="D7388" s="5" t="s">
        <v>7137</v>
      </c>
      <c r="E7388" s="6" t="str">
        <f>HYPERLINK("https://twitter.com/petrogustavo/status/1280847687848529921","1280847687848529921")</f>
        <v>1280847687848529921</v>
      </c>
      <c r="F7388" s="7" t="s">
        <v>17</v>
      </c>
      <c r="G7388" s="7">
        <v>3902754</v>
      </c>
      <c r="H7388" s="7">
        <v>2419</v>
      </c>
      <c r="I7388" s="7">
        <v>1252</v>
      </c>
      <c r="J7388" s="7">
        <v>0</v>
      </c>
      <c r="K7388" s="7" t="s">
        <v>18</v>
      </c>
      <c r="L7388" s="8">
        <v>39987.315405092595</v>
      </c>
      <c r="M7388" s="9" t="s">
        <v>19</v>
      </c>
      <c r="N7388" s="9" t="s">
        <v>20</v>
      </c>
      <c r="O7388" s="6" t="str">
        <f>HYPERLINK("https://pbs.twimg.com/profile_images/962471262747529216/Uo8lOkRJ_normal.jpg","View")</f>
        <v>View</v>
      </c>
      <c r="P7388" s="7"/>
    </row>
    <row r="7389" spans="1:16">
      <c r="A7389" s="3">
        <v>44020.769155092596</v>
      </c>
      <c r="B7389" s="4" t="str">
        <f>HYPERLINK("https://twitter.com/petrogustavo","@petrogustavo")</f>
        <v>@petrogustavo</v>
      </c>
      <c r="C7389" s="5" t="s">
        <v>16</v>
      </c>
      <c r="D7389" s="5" t="s">
        <v>7138</v>
      </c>
      <c r="E7389" s="6" t="str">
        <f>HYPERLINK("https://twitter.com/petrogustavo/status/1280848505360310273","1280848505360310273")</f>
        <v>1280848505360310273</v>
      </c>
      <c r="F7389" s="7" t="s">
        <v>17</v>
      </c>
      <c r="G7389" s="7">
        <v>3902754</v>
      </c>
      <c r="H7389" s="7">
        <v>2419</v>
      </c>
      <c r="I7389" s="7">
        <v>1055</v>
      </c>
      <c r="J7389" s="7">
        <v>0</v>
      </c>
      <c r="K7389" s="7" t="s">
        <v>18</v>
      </c>
      <c r="L7389" s="8">
        <v>39987.315405092595</v>
      </c>
      <c r="M7389" s="9" t="s">
        <v>19</v>
      </c>
      <c r="N7389" s="9" t="s">
        <v>20</v>
      </c>
      <c r="O7389" s="6" t="str">
        <f>HYPERLINK("https://pbs.twimg.com/profile_images/962471262747529216/Uo8lOkRJ_normal.jpg","View")</f>
        <v>View</v>
      </c>
      <c r="P7389" s="7"/>
    </row>
    <row r="7390" spans="1:16">
      <c r="A7390" s="3">
        <v>44020.771874999999</v>
      </c>
      <c r="B7390" s="4" t="str">
        <f>HYPERLINK("https://twitter.com/petrogustavo","@petrogustavo")</f>
        <v>@petrogustavo</v>
      </c>
      <c r="C7390" s="5" t="s">
        <v>16</v>
      </c>
      <c r="D7390" s="5" t="s">
        <v>7139</v>
      </c>
      <c r="E7390" s="6" t="str">
        <f>HYPERLINK("https://twitter.com/petrogustavo/status/1280849493567705090","1280849493567705090")</f>
        <v>1280849493567705090</v>
      </c>
      <c r="F7390" s="7" t="s">
        <v>17</v>
      </c>
      <c r="G7390" s="7">
        <v>3902754</v>
      </c>
      <c r="H7390" s="7">
        <v>2419</v>
      </c>
      <c r="I7390" s="7">
        <v>49</v>
      </c>
      <c r="J7390" s="7">
        <v>0</v>
      </c>
      <c r="K7390" s="7" t="s">
        <v>18</v>
      </c>
      <c r="L7390" s="8">
        <v>39987.315405092595</v>
      </c>
      <c r="M7390" s="9" t="s">
        <v>19</v>
      </c>
      <c r="N7390" s="9" t="s">
        <v>20</v>
      </c>
      <c r="O7390" s="6" t="str">
        <f>HYPERLINK("https://pbs.twimg.com/profile_images/962471262747529216/Uo8lOkRJ_normal.jpg","View")</f>
        <v>View</v>
      </c>
      <c r="P7390" s="7"/>
    </row>
    <row r="7391" spans="1:16">
      <c r="A7391" s="3">
        <v>44020.775937500002</v>
      </c>
      <c r="B7391" s="4" t="str">
        <f>HYPERLINK("https://twitter.com/petrogustavo","@petrogustavo")</f>
        <v>@petrogustavo</v>
      </c>
      <c r="C7391" s="5" t="s">
        <v>16</v>
      </c>
      <c r="D7391" s="5" t="s">
        <v>7140</v>
      </c>
      <c r="E7391" s="6" t="str">
        <f>HYPERLINK("https://twitter.com/petrogustavo/status/1280850962022838275","1280850962022838275")</f>
        <v>1280850962022838275</v>
      </c>
      <c r="F7391" s="7" t="s">
        <v>17</v>
      </c>
      <c r="G7391" s="7">
        <v>3902754</v>
      </c>
      <c r="H7391" s="7">
        <v>2419</v>
      </c>
      <c r="I7391" s="7">
        <v>114</v>
      </c>
      <c r="J7391" s="7">
        <v>297</v>
      </c>
      <c r="K7391" s="7" t="s">
        <v>18</v>
      </c>
      <c r="L7391" s="8">
        <v>39987.315405092595</v>
      </c>
      <c r="M7391" s="9" t="s">
        <v>19</v>
      </c>
      <c r="N7391" s="9" t="s">
        <v>20</v>
      </c>
      <c r="O7391" s="6" t="str">
        <f>HYPERLINK("https://pbs.twimg.com/profile_images/962471262747529216/Uo8lOkRJ_normal.jpg","View")</f>
        <v>View</v>
      </c>
      <c r="P7391" s="7"/>
    </row>
    <row r="7392" spans="1:16">
      <c r="A7392" s="3">
        <v>44020.780821759261</v>
      </c>
      <c r="B7392" s="4" t="str">
        <f>HYPERLINK("https://twitter.com/petrogustavo","@petrogustavo")</f>
        <v>@petrogustavo</v>
      </c>
      <c r="C7392" s="5" t="s">
        <v>16</v>
      </c>
      <c r="D7392" s="5" t="s">
        <v>7141</v>
      </c>
      <c r="E7392" s="6" t="str">
        <f>HYPERLINK("https://twitter.com/petrogustavo/status/1280852733369729024","1280852733369729024")</f>
        <v>1280852733369729024</v>
      </c>
      <c r="F7392" s="7" t="s">
        <v>17</v>
      </c>
      <c r="G7392" s="7">
        <v>3902754</v>
      </c>
      <c r="H7392" s="7">
        <v>2419</v>
      </c>
      <c r="I7392" s="7">
        <v>62</v>
      </c>
      <c r="J7392" s="7">
        <v>123</v>
      </c>
      <c r="K7392" s="7" t="s">
        <v>18</v>
      </c>
      <c r="L7392" s="8">
        <v>39987.315405092595</v>
      </c>
      <c r="M7392" s="9" t="s">
        <v>19</v>
      </c>
      <c r="N7392" s="9" t="s">
        <v>20</v>
      </c>
      <c r="O7392" s="6" t="str">
        <f>HYPERLINK("https://pbs.twimg.com/profile_images/962471262747529216/Uo8lOkRJ_normal.jpg","View")</f>
        <v>View</v>
      </c>
      <c r="P7392" s="7"/>
    </row>
    <row r="7393" spans="1:16">
      <c r="A7393" s="3">
        <v>44020.787106481483</v>
      </c>
      <c r="B7393" s="4" t="str">
        <f>HYPERLINK("https://twitter.com/petrogustavo","@petrogustavo")</f>
        <v>@petrogustavo</v>
      </c>
      <c r="C7393" s="5" t="s">
        <v>16</v>
      </c>
      <c r="D7393" s="5" t="s">
        <v>7142</v>
      </c>
      <c r="E7393" s="6" t="str">
        <f>HYPERLINK("https://twitter.com/petrogustavo/status/1280855011203993600","1280855011203993600")</f>
        <v>1280855011203993600</v>
      </c>
      <c r="F7393" s="7" t="s">
        <v>17</v>
      </c>
      <c r="G7393" s="7">
        <v>3902777</v>
      </c>
      <c r="H7393" s="7">
        <v>2419</v>
      </c>
      <c r="I7393" s="7">
        <v>1199</v>
      </c>
      <c r="J7393" s="7">
        <v>0</v>
      </c>
      <c r="K7393" s="7" t="s">
        <v>18</v>
      </c>
      <c r="L7393" s="8">
        <v>39987.315405092595</v>
      </c>
      <c r="M7393" s="9" t="s">
        <v>19</v>
      </c>
      <c r="N7393" s="9" t="s">
        <v>20</v>
      </c>
      <c r="O7393" s="6" t="str">
        <f>HYPERLINK("https://pbs.twimg.com/profile_images/962471262747529216/Uo8lOkRJ_normal.jpg","View")</f>
        <v>View</v>
      </c>
      <c r="P7393" s="7"/>
    </row>
    <row r="7394" spans="1:16">
      <c r="A7394" s="3">
        <v>44020.790023148147</v>
      </c>
      <c r="B7394" s="4" t="str">
        <f>HYPERLINK("https://twitter.com/petrogustavo","@petrogustavo")</f>
        <v>@petrogustavo</v>
      </c>
      <c r="C7394" s="5" t="s">
        <v>16</v>
      </c>
      <c r="D7394" s="5" t="s">
        <v>7143</v>
      </c>
      <c r="E7394" s="6" t="str">
        <f>HYPERLINK("https://twitter.com/petrogustavo/status/1280856067812012032","1280856067812012032")</f>
        <v>1280856067812012032</v>
      </c>
      <c r="F7394" s="7" t="s">
        <v>17</v>
      </c>
      <c r="G7394" s="7">
        <v>3902777</v>
      </c>
      <c r="H7394" s="7">
        <v>2419</v>
      </c>
      <c r="I7394" s="7">
        <v>120</v>
      </c>
      <c r="J7394" s="7">
        <v>288</v>
      </c>
      <c r="K7394" s="7" t="s">
        <v>18</v>
      </c>
      <c r="L7394" s="8">
        <v>39987.315405092595</v>
      </c>
      <c r="M7394" s="9" t="s">
        <v>19</v>
      </c>
      <c r="N7394" s="9" t="s">
        <v>20</v>
      </c>
      <c r="O7394" s="6" t="str">
        <f>HYPERLINK("https://pbs.twimg.com/profile_images/962471262747529216/Uo8lOkRJ_normal.jpg","View")</f>
        <v>View</v>
      </c>
      <c r="P7394" s="7"/>
    </row>
    <row r="7395" spans="1:16">
      <c r="A7395" s="3">
        <v>44020.791516203702</v>
      </c>
      <c r="B7395" s="4" t="str">
        <f>HYPERLINK("https://twitter.com/petrogustavo","@petrogustavo")</f>
        <v>@petrogustavo</v>
      </c>
      <c r="C7395" s="5" t="s">
        <v>16</v>
      </c>
      <c r="D7395" s="5" t="s">
        <v>7144</v>
      </c>
      <c r="E7395" s="6" t="str">
        <f>HYPERLINK("https://twitter.com/petrogustavo/status/1280856607698681857","1280856607698681857")</f>
        <v>1280856607698681857</v>
      </c>
      <c r="F7395" s="7" t="s">
        <v>17</v>
      </c>
      <c r="G7395" s="7">
        <v>3902777</v>
      </c>
      <c r="H7395" s="7">
        <v>2419</v>
      </c>
      <c r="I7395" s="7">
        <v>449</v>
      </c>
      <c r="J7395" s="7">
        <v>0</v>
      </c>
      <c r="K7395" s="7" t="s">
        <v>18</v>
      </c>
      <c r="L7395" s="8">
        <v>39987.315405092595</v>
      </c>
      <c r="M7395" s="9" t="s">
        <v>19</v>
      </c>
      <c r="N7395" s="9" t="s">
        <v>20</v>
      </c>
      <c r="O7395" s="6" t="str">
        <f>HYPERLINK("https://pbs.twimg.com/profile_images/962471262747529216/Uo8lOkRJ_normal.jpg","View")</f>
        <v>View</v>
      </c>
      <c r="P7395" s="7"/>
    </row>
    <row r="7396" spans="1:16">
      <c r="A7396" s="3">
        <v>44020.79387731482</v>
      </c>
      <c r="B7396" s="4" t="str">
        <f>HYPERLINK("https://twitter.com/petrogustavo","@petrogustavo")</f>
        <v>@petrogustavo</v>
      </c>
      <c r="C7396" s="5" t="s">
        <v>16</v>
      </c>
      <c r="D7396" s="5" t="s">
        <v>7145</v>
      </c>
      <c r="E7396" s="6" t="str">
        <f>HYPERLINK("https://twitter.com/petrogustavo/status/1280857463605080071","1280857463605080071")</f>
        <v>1280857463605080071</v>
      </c>
      <c r="F7396" s="7" t="s">
        <v>17</v>
      </c>
      <c r="G7396" s="7">
        <v>3902777</v>
      </c>
      <c r="H7396" s="7">
        <v>2419</v>
      </c>
      <c r="I7396" s="7">
        <v>136</v>
      </c>
      <c r="J7396" s="7">
        <v>345</v>
      </c>
      <c r="K7396" s="7" t="s">
        <v>18</v>
      </c>
      <c r="L7396" s="8">
        <v>39987.315405092595</v>
      </c>
      <c r="M7396" s="9" t="s">
        <v>19</v>
      </c>
      <c r="N7396" s="9" t="s">
        <v>20</v>
      </c>
      <c r="O7396" s="6" t="str">
        <f>HYPERLINK("https://pbs.twimg.com/profile_images/962471262747529216/Uo8lOkRJ_normal.jpg","View")</f>
        <v>View</v>
      </c>
      <c r="P7396" s="7"/>
    </row>
    <row r="7397" spans="1:16">
      <c r="A7397" s="3">
        <v>44020.828090277777</v>
      </c>
      <c r="B7397" s="4" t="str">
        <f>HYPERLINK("https://twitter.com/petrogustavo","@petrogustavo")</f>
        <v>@petrogustavo</v>
      </c>
      <c r="C7397" s="5" t="s">
        <v>16</v>
      </c>
      <c r="D7397" s="5" t="s">
        <v>7146</v>
      </c>
      <c r="E7397" s="6" t="str">
        <f>HYPERLINK("https://twitter.com/petrogustavo/status/1280869863372791809","1280869863372791809")</f>
        <v>1280869863372791809</v>
      </c>
      <c r="F7397" s="7" t="s">
        <v>32</v>
      </c>
      <c r="G7397" s="7">
        <v>3902819</v>
      </c>
      <c r="H7397" s="7">
        <v>2419</v>
      </c>
      <c r="I7397" s="7">
        <v>89</v>
      </c>
      <c r="J7397" s="7">
        <v>0</v>
      </c>
      <c r="K7397" s="7" t="s">
        <v>18</v>
      </c>
      <c r="L7397" s="8">
        <v>39987.315405092595</v>
      </c>
      <c r="M7397" s="9" t="s">
        <v>19</v>
      </c>
      <c r="N7397" s="9" t="s">
        <v>20</v>
      </c>
      <c r="O7397" s="6" t="str">
        <f>HYPERLINK("https://pbs.twimg.com/profile_images/962471262747529216/Uo8lOkRJ_normal.jpg","View")</f>
        <v>View</v>
      </c>
      <c r="P7397" s="7"/>
    </row>
    <row r="7398" spans="1:16">
      <c r="A7398" s="3">
        <v>44020.831412037034</v>
      </c>
      <c r="B7398" s="4" t="str">
        <f>HYPERLINK("https://twitter.com/petrogustavo","@petrogustavo")</f>
        <v>@petrogustavo</v>
      </c>
      <c r="C7398" s="5" t="s">
        <v>16</v>
      </c>
      <c r="D7398" s="5" t="s">
        <v>7147</v>
      </c>
      <c r="E7398" s="6" t="str">
        <f>HYPERLINK("https://twitter.com/petrogustavo/status/1280871067045814272","1280871067045814272")</f>
        <v>1280871067045814272</v>
      </c>
      <c r="F7398" s="7" t="s">
        <v>32</v>
      </c>
      <c r="G7398" s="7">
        <v>3902819</v>
      </c>
      <c r="H7398" s="7">
        <v>2419</v>
      </c>
      <c r="I7398" s="7">
        <v>37</v>
      </c>
      <c r="J7398" s="7">
        <v>0</v>
      </c>
      <c r="K7398" s="7" t="s">
        <v>18</v>
      </c>
      <c r="L7398" s="8">
        <v>39987.315405092595</v>
      </c>
      <c r="M7398" s="9" t="s">
        <v>19</v>
      </c>
      <c r="N7398" s="9" t="s">
        <v>20</v>
      </c>
      <c r="O7398" s="6" t="str">
        <f>HYPERLINK("https://pbs.twimg.com/profile_images/962471262747529216/Uo8lOkRJ_normal.jpg","View")</f>
        <v>View</v>
      </c>
      <c r="P7398" s="7"/>
    </row>
    <row r="7399" spans="1:16">
      <c r="A7399" s="3">
        <v>44020.833321759259</v>
      </c>
      <c r="B7399" s="4" t="str">
        <f>HYPERLINK("https://twitter.com/petrogustavo","@petrogustavo")</f>
        <v>@petrogustavo</v>
      </c>
      <c r="C7399" s="5" t="s">
        <v>16</v>
      </c>
      <c r="D7399" s="5" t="s">
        <v>7148</v>
      </c>
      <c r="E7399" s="6" t="str">
        <f>HYPERLINK("https://twitter.com/petrogustavo/status/1280871759814803457","1280871759814803457")</f>
        <v>1280871759814803457</v>
      </c>
      <c r="F7399" s="7" t="s">
        <v>32</v>
      </c>
      <c r="G7399" s="7">
        <v>3902819</v>
      </c>
      <c r="H7399" s="7">
        <v>2419</v>
      </c>
      <c r="I7399" s="7">
        <v>197</v>
      </c>
      <c r="J7399" s="7">
        <v>643</v>
      </c>
      <c r="K7399" s="7" t="s">
        <v>18</v>
      </c>
      <c r="L7399" s="8">
        <v>39987.315405092595</v>
      </c>
      <c r="M7399" s="9" t="s">
        <v>19</v>
      </c>
      <c r="N7399" s="9" t="s">
        <v>20</v>
      </c>
      <c r="O7399" s="6" t="str">
        <f>HYPERLINK("https://pbs.twimg.com/profile_images/962471262747529216/Uo8lOkRJ_normal.jpg","View")</f>
        <v>View</v>
      </c>
      <c r="P7399" s="7"/>
    </row>
    <row r="7400" spans="1:16">
      <c r="A7400" s="3">
        <v>44020.834756944445</v>
      </c>
      <c r="B7400" s="4" t="str">
        <f>HYPERLINK("https://twitter.com/petrogustavo","@petrogustavo")</f>
        <v>@petrogustavo</v>
      </c>
      <c r="C7400" s="5" t="s">
        <v>16</v>
      </c>
      <c r="D7400" s="5" t="s">
        <v>7149</v>
      </c>
      <c r="E7400" s="6" t="str">
        <f>HYPERLINK("https://twitter.com/petrogustavo/status/1280872281292582912","1280872281292582912")</f>
        <v>1280872281292582912</v>
      </c>
      <c r="F7400" s="7" t="s">
        <v>32</v>
      </c>
      <c r="G7400" s="7">
        <v>3902819</v>
      </c>
      <c r="H7400" s="7">
        <v>2419</v>
      </c>
      <c r="I7400" s="7">
        <v>122</v>
      </c>
      <c r="J7400" s="7">
        <v>273</v>
      </c>
      <c r="K7400" s="7" t="s">
        <v>18</v>
      </c>
      <c r="L7400" s="8">
        <v>39987.315405092595</v>
      </c>
      <c r="M7400" s="9" t="s">
        <v>19</v>
      </c>
      <c r="N7400" s="9" t="s">
        <v>20</v>
      </c>
      <c r="O7400" s="6" t="str">
        <f>HYPERLINK("https://pbs.twimg.com/profile_images/962471262747529216/Uo8lOkRJ_normal.jpg","View")</f>
        <v>View</v>
      </c>
      <c r="P7400" s="7"/>
    </row>
    <row r="7401" spans="1:16">
      <c r="A7401" s="3">
        <v>44020.944189814814</v>
      </c>
      <c r="B7401" s="4" t="str">
        <f>HYPERLINK("https://twitter.com/petrogustavo","@petrogustavo")</f>
        <v>@petrogustavo</v>
      </c>
      <c r="C7401" s="5" t="s">
        <v>16</v>
      </c>
      <c r="D7401" s="5" t="s">
        <v>7150</v>
      </c>
      <c r="E7401" s="6" t="str">
        <f>HYPERLINK("https://twitter.com/petrogustavo/status/1280911937455501312","1280911937455501312")</f>
        <v>1280911937455501312</v>
      </c>
      <c r="F7401" s="7" t="s">
        <v>32</v>
      </c>
      <c r="G7401" s="7">
        <v>3902970</v>
      </c>
      <c r="H7401" s="7">
        <v>2419</v>
      </c>
      <c r="I7401" s="7">
        <v>122</v>
      </c>
      <c r="J7401" s="7">
        <v>0</v>
      </c>
      <c r="K7401" s="7" t="s">
        <v>18</v>
      </c>
      <c r="L7401" s="8">
        <v>39987.315405092595</v>
      </c>
      <c r="M7401" s="9" t="s">
        <v>19</v>
      </c>
      <c r="N7401" s="9" t="s">
        <v>20</v>
      </c>
      <c r="O7401" s="6" t="str">
        <f>HYPERLINK("https://pbs.twimg.com/profile_images/962471262747529216/Uo8lOkRJ_normal.jpg","View")</f>
        <v>View</v>
      </c>
      <c r="P7401" s="7"/>
    </row>
    <row r="7402" spans="1:16">
      <c r="A7402" s="3">
        <v>44020.972430555557</v>
      </c>
      <c r="B7402" s="4" t="str">
        <f>HYPERLINK("https://twitter.com/petrogustavo","@petrogustavo")</f>
        <v>@petrogustavo</v>
      </c>
      <c r="C7402" s="5" t="s">
        <v>16</v>
      </c>
      <c r="D7402" s="5" t="s">
        <v>7151</v>
      </c>
      <c r="E7402" s="6" t="str">
        <f>HYPERLINK("https://twitter.com/petrogustavo/status/1280922171079098375","1280922171079098375")</f>
        <v>1280922171079098375</v>
      </c>
      <c r="F7402" s="7" t="s">
        <v>32</v>
      </c>
      <c r="G7402" s="7">
        <v>3903040</v>
      </c>
      <c r="H7402" s="7">
        <v>2419</v>
      </c>
      <c r="I7402" s="7">
        <v>69</v>
      </c>
      <c r="J7402" s="7">
        <v>0</v>
      </c>
      <c r="K7402" s="7" t="s">
        <v>18</v>
      </c>
      <c r="L7402" s="8">
        <v>39987.315405092595</v>
      </c>
      <c r="M7402" s="9" t="s">
        <v>19</v>
      </c>
      <c r="N7402" s="9" t="s">
        <v>20</v>
      </c>
      <c r="O7402" s="6" t="str">
        <f>HYPERLINK("https://pbs.twimg.com/profile_images/962471262747529216/Uo8lOkRJ_normal.jpg","View")</f>
        <v>View</v>
      </c>
      <c r="P7402" s="7"/>
    </row>
    <row r="7403" spans="1:16">
      <c r="A7403" s="3">
        <v>44020.972974537042</v>
      </c>
      <c r="B7403" s="4" t="str">
        <f>HYPERLINK("https://twitter.com/petrogustavo","@petrogustavo")</f>
        <v>@petrogustavo</v>
      </c>
      <c r="C7403" s="5" t="s">
        <v>16</v>
      </c>
      <c r="D7403" s="5" t="s">
        <v>7152</v>
      </c>
      <c r="E7403" s="6" t="str">
        <f>HYPERLINK("https://twitter.com/petrogustavo/status/1280922366642659328","1280922366642659328")</f>
        <v>1280922366642659328</v>
      </c>
      <c r="F7403" s="7" t="s">
        <v>32</v>
      </c>
      <c r="G7403" s="7">
        <v>3903040</v>
      </c>
      <c r="H7403" s="7">
        <v>2419</v>
      </c>
      <c r="I7403" s="7">
        <v>417</v>
      </c>
      <c r="J7403" s="7">
        <v>0</v>
      </c>
      <c r="K7403" s="7" t="s">
        <v>18</v>
      </c>
      <c r="L7403" s="8">
        <v>39987.315405092595</v>
      </c>
      <c r="M7403" s="9" t="s">
        <v>19</v>
      </c>
      <c r="N7403" s="9" t="s">
        <v>20</v>
      </c>
      <c r="O7403" s="6" t="str">
        <f>HYPERLINK("https://pbs.twimg.com/profile_images/962471262747529216/Uo8lOkRJ_normal.jpg","View")</f>
        <v>View</v>
      </c>
      <c r="P7403" s="7"/>
    </row>
    <row r="7404" spans="1:16">
      <c r="A7404" s="3">
        <v>44020.975011574075</v>
      </c>
      <c r="B7404" s="4" t="str">
        <f>HYPERLINK("https://twitter.com/petrogustavo","@petrogustavo")</f>
        <v>@petrogustavo</v>
      </c>
      <c r="C7404" s="5" t="s">
        <v>16</v>
      </c>
      <c r="D7404" s="5" t="s">
        <v>7153</v>
      </c>
      <c r="E7404" s="6" t="str">
        <f>HYPERLINK("https://twitter.com/petrogustavo/status/1280923104320131072","1280923104320131072")</f>
        <v>1280923104320131072</v>
      </c>
      <c r="F7404" s="7" t="s">
        <v>32</v>
      </c>
      <c r="G7404" s="7">
        <v>3903040</v>
      </c>
      <c r="H7404" s="7">
        <v>2419</v>
      </c>
      <c r="I7404" s="7">
        <v>63</v>
      </c>
      <c r="J7404" s="7">
        <v>0</v>
      </c>
      <c r="K7404" s="7" t="s">
        <v>18</v>
      </c>
      <c r="L7404" s="8">
        <v>39987.315405092595</v>
      </c>
      <c r="M7404" s="9" t="s">
        <v>19</v>
      </c>
      <c r="N7404" s="9" t="s">
        <v>20</v>
      </c>
      <c r="O7404" s="6" t="str">
        <f>HYPERLINK("https://pbs.twimg.com/profile_images/962471262747529216/Uo8lOkRJ_normal.jpg","View")</f>
        <v>View</v>
      </c>
      <c r="P7404" s="7"/>
    </row>
    <row r="7405" spans="1:16">
      <c r="A7405" s="3">
        <v>44020.975439814814</v>
      </c>
      <c r="B7405" s="4" t="str">
        <f>HYPERLINK("https://twitter.com/petrogustavo","@petrogustavo")</f>
        <v>@petrogustavo</v>
      </c>
      <c r="C7405" s="5" t="s">
        <v>16</v>
      </c>
      <c r="D7405" s="5" t="s">
        <v>7154</v>
      </c>
      <c r="E7405" s="6" t="str">
        <f>HYPERLINK("https://twitter.com/petrogustavo/status/1280923262420164608","1280923262420164608")</f>
        <v>1280923262420164608</v>
      </c>
      <c r="F7405" s="7" t="s">
        <v>32</v>
      </c>
      <c r="G7405" s="7">
        <v>3903040</v>
      </c>
      <c r="H7405" s="7">
        <v>2419</v>
      </c>
      <c r="I7405" s="7">
        <v>28</v>
      </c>
      <c r="J7405" s="7">
        <v>0</v>
      </c>
      <c r="K7405" s="7" t="s">
        <v>18</v>
      </c>
      <c r="L7405" s="8">
        <v>39987.315405092595</v>
      </c>
      <c r="M7405" s="9" t="s">
        <v>19</v>
      </c>
      <c r="N7405" s="9" t="s">
        <v>20</v>
      </c>
      <c r="O7405" s="6" t="str">
        <f>HYPERLINK("https://pbs.twimg.com/profile_images/962471262747529216/Uo8lOkRJ_normal.jpg","View")</f>
        <v>View</v>
      </c>
      <c r="P7405" s="7"/>
    </row>
    <row r="7406" spans="1:16">
      <c r="A7406" s="3">
        <v>44020.99145833333</v>
      </c>
      <c r="B7406" s="4" t="str">
        <f>HYPERLINK("https://twitter.com/petrogustavo","@petrogustavo")</f>
        <v>@petrogustavo</v>
      </c>
      <c r="C7406" s="5" t="s">
        <v>16</v>
      </c>
      <c r="D7406" s="5" t="s">
        <v>7155</v>
      </c>
      <c r="E7406" s="6" t="str">
        <f>HYPERLINK("https://twitter.com/petrogustavo/status/1280929063981416448","1280929063981416448")</f>
        <v>1280929063981416448</v>
      </c>
      <c r="F7406" s="7" t="s">
        <v>17</v>
      </c>
      <c r="G7406" s="7">
        <v>3903040</v>
      </c>
      <c r="H7406" s="7">
        <v>2419</v>
      </c>
      <c r="I7406" s="7">
        <v>6</v>
      </c>
      <c r="J7406" s="7">
        <v>2</v>
      </c>
      <c r="K7406" s="7" t="s">
        <v>18</v>
      </c>
      <c r="L7406" s="8">
        <v>39987.315405092595</v>
      </c>
      <c r="M7406" s="9" t="s">
        <v>19</v>
      </c>
      <c r="N7406" s="9" t="s">
        <v>20</v>
      </c>
      <c r="O7406" s="6" t="str">
        <f>HYPERLINK("https://pbs.twimg.com/profile_images/962471262747529216/Uo8lOkRJ_normal.jpg","View")</f>
        <v>View</v>
      </c>
      <c r="P7406" s="7"/>
    </row>
    <row r="7407" spans="1:16">
      <c r="A7407" s="3">
        <v>44020.99355324074</v>
      </c>
      <c r="B7407" s="4" t="str">
        <f>HYPERLINK("https://twitter.com/petrogustavo","@petrogustavo")</f>
        <v>@petrogustavo</v>
      </c>
      <c r="C7407" s="5" t="s">
        <v>16</v>
      </c>
      <c r="D7407" s="5" t="s">
        <v>7156</v>
      </c>
      <c r="E7407" s="6" t="str">
        <f>HYPERLINK("https://twitter.com/petrogustavo/status/1280929825012793348","1280929825012793348")</f>
        <v>1280929825012793348</v>
      </c>
      <c r="F7407" s="7" t="s">
        <v>17</v>
      </c>
      <c r="G7407" s="7">
        <v>3903056</v>
      </c>
      <c r="H7407" s="7">
        <v>2419</v>
      </c>
      <c r="I7407" s="7">
        <v>52</v>
      </c>
      <c r="J7407" s="7">
        <v>159</v>
      </c>
      <c r="K7407" s="7" t="s">
        <v>18</v>
      </c>
      <c r="L7407" s="8">
        <v>39987.315405092595</v>
      </c>
      <c r="M7407" s="9" t="s">
        <v>19</v>
      </c>
      <c r="N7407" s="9" t="s">
        <v>20</v>
      </c>
      <c r="O7407" s="6" t="str">
        <f>HYPERLINK("https://pbs.twimg.com/profile_images/962471262747529216/Uo8lOkRJ_normal.jpg","View")</f>
        <v>View</v>
      </c>
      <c r="P7407" s="7"/>
    </row>
    <row r="7408" spans="1:16">
      <c r="A7408" s="3">
        <v>44020.995266203703</v>
      </c>
      <c r="B7408" s="4" t="str">
        <f>HYPERLINK("https://twitter.com/petrogustavo","@petrogustavo")</f>
        <v>@petrogustavo</v>
      </c>
      <c r="C7408" s="5" t="s">
        <v>16</v>
      </c>
      <c r="D7408" s="5" t="s">
        <v>7157</v>
      </c>
      <c r="E7408" s="6" t="str">
        <f>HYPERLINK("https://twitter.com/petrogustavo/status/1280930447816560640","1280930447816560640")</f>
        <v>1280930447816560640</v>
      </c>
      <c r="F7408" s="7" t="s">
        <v>17</v>
      </c>
      <c r="G7408" s="7">
        <v>3903056</v>
      </c>
      <c r="H7408" s="7">
        <v>2419</v>
      </c>
      <c r="I7408" s="7">
        <v>44</v>
      </c>
      <c r="J7408" s="7">
        <v>108</v>
      </c>
      <c r="K7408" s="7" t="s">
        <v>18</v>
      </c>
      <c r="L7408" s="8">
        <v>39987.315405092595</v>
      </c>
      <c r="M7408" s="9" t="s">
        <v>19</v>
      </c>
      <c r="N7408" s="9" t="s">
        <v>20</v>
      </c>
      <c r="O7408" s="6" t="str">
        <f>HYPERLINK("https://pbs.twimg.com/profile_images/962471262747529216/Uo8lOkRJ_normal.jpg","View")</f>
        <v>View</v>
      </c>
      <c r="P7408" s="7"/>
    </row>
    <row r="7409" spans="1:16">
      <c r="A7409" s="3">
        <v>44020.998611111107</v>
      </c>
      <c r="B7409" s="4" t="str">
        <f>HYPERLINK("https://twitter.com/petrogustavo","@petrogustavo")</f>
        <v>@petrogustavo</v>
      </c>
      <c r="C7409" s="5" t="s">
        <v>16</v>
      </c>
      <c r="D7409" s="5" t="s">
        <v>7158</v>
      </c>
      <c r="E7409" s="6" t="str">
        <f>HYPERLINK("https://twitter.com/petrogustavo/status/1280931658787676161","1280931658787676161")</f>
        <v>1280931658787676161</v>
      </c>
      <c r="F7409" s="7" t="s">
        <v>17</v>
      </c>
      <c r="G7409" s="7">
        <v>3903056</v>
      </c>
      <c r="H7409" s="7">
        <v>2419</v>
      </c>
      <c r="I7409" s="7">
        <v>32</v>
      </c>
      <c r="J7409" s="7">
        <v>84</v>
      </c>
      <c r="K7409" s="7" t="s">
        <v>18</v>
      </c>
      <c r="L7409" s="8">
        <v>39987.315405092595</v>
      </c>
      <c r="M7409" s="9" t="s">
        <v>19</v>
      </c>
      <c r="N7409" s="9" t="s">
        <v>20</v>
      </c>
      <c r="O7409" s="6" t="str">
        <f>HYPERLINK("https://pbs.twimg.com/profile_images/962471262747529216/Uo8lOkRJ_normal.jpg","View")</f>
        <v>View</v>
      </c>
      <c r="P7409" s="7"/>
    </row>
    <row r="7410" spans="1:16">
      <c r="A7410" s="3">
        <v>44021.000115740739</v>
      </c>
      <c r="B7410" s="4" t="str">
        <f>HYPERLINK("https://twitter.com/petrogustavo","@petrogustavo")</f>
        <v>@petrogustavo</v>
      </c>
      <c r="C7410" s="5" t="s">
        <v>16</v>
      </c>
      <c r="D7410" s="5" t="s">
        <v>7159</v>
      </c>
      <c r="E7410" s="6" t="str">
        <f>HYPERLINK("https://twitter.com/petrogustavo/status/1280932204621828099","1280932204621828099")</f>
        <v>1280932204621828099</v>
      </c>
      <c r="F7410" s="7" t="s">
        <v>17</v>
      </c>
      <c r="G7410" s="7">
        <v>3903056</v>
      </c>
      <c r="H7410" s="7">
        <v>2419</v>
      </c>
      <c r="I7410" s="7">
        <v>23</v>
      </c>
      <c r="J7410" s="7">
        <v>67</v>
      </c>
      <c r="K7410" s="7" t="s">
        <v>18</v>
      </c>
      <c r="L7410" s="8">
        <v>39987.315405092595</v>
      </c>
      <c r="M7410" s="9" t="s">
        <v>19</v>
      </c>
      <c r="N7410" s="9" t="s">
        <v>20</v>
      </c>
      <c r="O7410" s="6" t="str">
        <f>HYPERLINK("https://pbs.twimg.com/profile_images/962471262747529216/Uo8lOkRJ_normal.jpg","View")</f>
        <v>View</v>
      </c>
      <c r="P7410" s="7"/>
    </row>
    <row r="7411" spans="1:16">
      <c r="A7411" s="3">
        <v>44021.001458333332</v>
      </c>
      <c r="B7411" s="4" t="str">
        <f>HYPERLINK("https://twitter.com/petrogustavo","@petrogustavo")</f>
        <v>@petrogustavo</v>
      </c>
      <c r="C7411" s="5" t="s">
        <v>16</v>
      </c>
      <c r="D7411" s="5" t="s">
        <v>7160</v>
      </c>
      <c r="E7411" s="6" t="str">
        <f>HYPERLINK("https://twitter.com/petrogustavo/status/1280932690527694849","1280932690527694849")</f>
        <v>1280932690527694849</v>
      </c>
      <c r="F7411" s="7" t="s">
        <v>32</v>
      </c>
      <c r="G7411" s="7">
        <v>3903056</v>
      </c>
      <c r="H7411" s="7">
        <v>2419</v>
      </c>
      <c r="I7411" s="7">
        <v>3218</v>
      </c>
      <c r="J7411" s="7">
        <v>0</v>
      </c>
      <c r="K7411" s="7" t="s">
        <v>18</v>
      </c>
      <c r="L7411" s="8">
        <v>39987.315405092595</v>
      </c>
      <c r="M7411" s="9" t="s">
        <v>19</v>
      </c>
      <c r="N7411" s="9" t="s">
        <v>20</v>
      </c>
      <c r="O7411" s="6" t="str">
        <f>HYPERLINK("https://pbs.twimg.com/profile_images/962471262747529216/Uo8lOkRJ_normal.jpg","View")</f>
        <v>View</v>
      </c>
      <c r="P7411" s="7"/>
    </row>
    <row r="7412" spans="1:16">
      <c r="A7412" s="3">
        <v>44021.003287037034</v>
      </c>
      <c r="B7412" s="4" t="str">
        <f>HYPERLINK("https://twitter.com/petrogustavo","@petrogustavo")</f>
        <v>@petrogustavo</v>
      </c>
      <c r="C7412" s="5" t="s">
        <v>16</v>
      </c>
      <c r="D7412" s="5" t="s">
        <v>7161</v>
      </c>
      <c r="E7412" s="6" t="str">
        <f>HYPERLINK("https://twitter.com/petrogustavo/status/1280933352934080514","1280933352934080514")</f>
        <v>1280933352934080514</v>
      </c>
      <c r="F7412" s="7" t="s">
        <v>32</v>
      </c>
      <c r="G7412" s="7">
        <v>3903056</v>
      </c>
      <c r="H7412" s="7">
        <v>2419</v>
      </c>
      <c r="I7412" s="7">
        <v>199</v>
      </c>
      <c r="J7412" s="7">
        <v>855</v>
      </c>
      <c r="K7412" s="7" t="s">
        <v>18</v>
      </c>
      <c r="L7412" s="8">
        <v>39987.315405092595</v>
      </c>
      <c r="M7412" s="9" t="s">
        <v>19</v>
      </c>
      <c r="N7412" s="9" t="s">
        <v>20</v>
      </c>
      <c r="O7412" s="6" t="str">
        <f>HYPERLINK("https://pbs.twimg.com/profile_images/962471262747529216/Uo8lOkRJ_normal.jpg","View")</f>
        <v>View</v>
      </c>
      <c r="P7412" s="7"/>
    </row>
    <row r="7413" spans="1:16">
      <c r="A7413" s="3">
        <v>44021.013055555552</v>
      </c>
      <c r="B7413" s="4" t="str">
        <f>HYPERLINK("https://twitter.com/petrogustavo","@petrogustavo")</f>
        <v>@petrogustavo</v>
      </c>
      <c r="C7413" s="5" t="s">
        <v>16</v>
      </c>
      <c r="D7413" s="5" t="s">
        <v>7162</v>
      </c>
      <c r="E7413" s="6" t="str">
        <f>HYPERLINK("https://twitter.com/petrogustavo/status/1280936890737328129","1280936890737328129")</f>
        <v>1280936890737328129</v>
      </c>
      <c r="F7413" s="7" t="s">
        <v>32</v>
      </c>
      <c r="G7413" s="7">
        <v>3903086</v>
      </c>
      <c r="H7413" s="7">
        <v>2419</v>
      </c>
      <c r="I7413" s="7">
        <v>654</v>
      </c>
      <c r="J7413" s="7">
        <v>0</v>
      </c>
      <c r="K7413" s="7" t="s">
        <v>18</v>
      </c>
      <c r="L7413" s="8">
        <v>39987.315405092595</v>
      </c>
      <c r="M7413" s="9" t="s">
        <v>19</v>
      </c>
      <c r="N7413" s="9" t="s">
        <v>20</v>
      </c>
      <c r="O7413" s="6" t="str">
        <f>HYPERLINK("https://pbs.twimg.com/profile_images/962471262747529216/Uo8lOkRJ_normal.jpg","View")</f>
        <v>View</v>
      </c>
      <c r="P7413" s="7"/>
    </row>
    <row r="7414" spans="1:16">
      <c r="A7414" s="3">
        <v>44021.020787037036</v>
      </c>
      <c r="B7414" s="4" t="str">
        <f>HYPERLINK("https://twitter.com/petrogustavo","@petrogustavo")</f>
        <v>@petrogustavo</v>
      </c>
      <c r="C7414" s="5" t="s">
        <v>16</v>
      </c>
      <c r="D7414" s="5" t="s">
        <v>7163</v>
      </c>
      <c r="E7414" s="6" t="str">
        <f>HYPERLINK("https://twitter.com/petrogustavo/status/1280939695258644481","1280939695258644481")</f>
        <v>1280939695258644481</v>
      </c>
      <c r="F7414" s="7" t="s">
        <v>32</v>
      </c>
      <c r="G7414" s="7">
        <v>3903086</v>
      </c>
      <c r="H7414" s="7">
        <v>2419</v>
      </c>
      <c r="I7414" s="7">
        <v>54</v>
      </c>
      <c r="J7414" s="7">
        <v>166</v>
      </c>
      <c r="K7414" s="7" t="s">
        <v>18</v>
      </c>
      <c r="L7414" s="8">
        <v>39987.315405092595</v>
      </c>
      <c r="M7414" s="9" t="s">
        <v>19</v>
      </c>
      <c r="N7414" s="9" t="s">
        <v>20</v>
      </c>
      <c r="O7414" s="6" t="str">
        <f>HYPERLINK("https://pbs.twimg.com/profile_images/962471262747529216/Uo8lOkRJ_normal.jpg","View")</f>
        <v>View</v>
      </c>
      <c r="P7414" s="7"/>
    </row>
    <row r="7415" spans="1:16">
      <c r="A7415" s="3">
        <v>44021.021261574075</v>
      </c>
      <c r="B7415" s="4" t="str">
        <f>HYPERLINK("https://twitter.com/petrogustavo","@petrogustavo")</f>
        <v>@petrogustavo</v>
      </c>
      <c r="C7415" s="5" t="s">
        <v>16</v>
      </c>
      <c r="D7415" s="5" t="s">
        <v>7164</v>
      </c>
      <c r="E7415" s="6" t="str">
        <f>HYPERLINK("https://twitter.com/petrogustavo/status/1280939865501249542","1280939865501249542")</f>
        <v>1280939865501249542</v>
      </c>
      <c r="F7415" s="7" t="s">
        <v>32</v>
      </c>
      <c r="G7415" s="7">
        <v>3903086</v>
      </c>
      <c r="H7415" s="7">
        <v>2419</v>
      </c>
      <c r="I7415" s="7">
        <v>95</v>
      </c>
      <c r="J7415" s="7">
        <v>0</v>
      </c>
      <c r="K7415" s="7" t="s">
        <v>18</v>
      </c>
      <c r="L7415" s="8">
        <v>39987.315405092595</v>
      </c>
      <c r="M7415" s="9" t="s">
        <v>19</v>
      </c>
      <c r="N7415" s="9" t="s">
        <v>20</v>
      </c>
      <c r="O7415" s="6" t="str">
        <f>HYPERLINK("https://pbs.twimg.com/profile_images/962471262747529216/Uo8lOkRJ_normal.jpg","View")</f>
        <v>View</v>
      </c>
      <c r="P7415" s="7"/>
    </row>
    <row r="7416" spans="1:16">
      <c r="A7416" s="3">
        <v>44021.029282407406</v>
      </c>
      <c r="B7416" s="4" t="str">
        <f>HYPERLINK("https://twitter.com/petrogustavo","@petrogustavo")</f>
        <v>@petrogustavo</v>
      </c>
      <c r="C7416" s="5" t="s">
        <v>16</v>
      </c>
      <c r="D7416" s="5" t="s">
        <v>7165</v>
      </c>
      <c r="E7416" s="6" t="str">
        <f>HYPERLINK("https://twitter.com/petrogustavo/status/1280942771306668033","1280942771306668033")</f>
        <v>1280942771306668033</v>
      </c>
      <c r="F7416" s="7" t="s">
        <v>32</v>
      </c>
      <c r="G7416" s="7">
        <v>3903086</v>
      </c>
      <c r="H7416" s="7">
        <v>2419</v>
      </c>
      <c r="I7416" s="7">
        <v>88</v>
      </c>
      <c r="J7416" s="7">
        <v>241</v>
      </c>
      <c r="K7416" s="7" t="s">
        <v>18</v>
      </c>
      <c r="L7416" s="8">
        <v>39987.315405092595</v>
      </c>
      <c r="M7416" s="9" t="s">
        <v>19</v>
      </c>
      <c r="N7416" s="9" t="s">
        <v>20</v>
      </c>
      <c r="O7416" s="6" t="str">
        <f>HYPERLINK("https://pbs.twimg.com/profile_images/962471262747529216/Uo8lOkRJ_normal.jpg","View")</f>
        <v>View</v>
      </c>
      <c r="P7416" s="7"/>
    </row>
    <row r="7417" spans="1:16">
      <c r="A7417" s="3">
        <v>44021.038819444446</v>
      </c>
      <c r="B7417" s="4" t="str">
        <f>HYPERLINK("https://twitter.com/petrogustavo","@petrogustavo")</f>
        <v>@petrogustavo</v>
      </c>
      <c r="C7417" s="5" t="s">
        <v>16</v>
      </c>
      <c r="D7417" s="5" t="s">
        <v>7166</v>
      </c>
      <c r="E7417" s="6" t="str">
        <f>HYPERLINK("https://twitter.com/petrogustavo/status/1280946228247900160","1280946228247900160")</f>
        <v>1280946228247900160</v>
      </c>
      <c r="F7417" s="7" t="s">
        <v>32</v>
      </c>
      <c r="G7417" s="7">
        <v>3903104</v>
      </c>
      <c r="H7417" s="7">
        <v>2419</v>
      </c>
      <c r="I7417" s="7">
        <v>120</v>
      </c>
      <c r="J7417" s="7">
        <v>404</v>
      </c>
      <c r="K7417" s="7" t="s">
        <v>18</v>
      </c>
      <c r="L7417" s="8">
        <v>39987.315405092595</v>
      </c>
      <c r="M7417" s="9" t="s">
        <v>19</v>
      </c>
      <c r="N7417" s="9" t="s">
        <v>20</v>
      </c>
      <c r="O7417" s="6" t="str">
        <f>HYPERLINK("https://pbs.twimg.com/profile_images/962471262747529216/Uo8lOkRJ_normal.jpg","View")</f>
        <v>View</v>
      </c>
      <c r="P7417" s="7"/>
    </row>
    <row r="7418" spans="1:16">
      <c r="A7418" s="3">
        <v>44021.038981481484</v>
      </c>
      <c r="B7418" s="4" t="str">
        <f>HYPERLINK("https://twitter.com/petrogustavo","@petrogustavo")</f>
        <v>@petrogustavo</v>
      </c>
      <c r="C7418" s="5" t="s">
        <v>16</v>
      </c>
      <c r="D7418" s="5" t="s">
        <v>7167</v>
      </c>
      <c r="E7418" s="6" t="str">
        <f>HYPERLINK("https://twitter.com/petrogustavo/status/1280946287957991424","1280946287957991424")</f>
        <v>1280946287957991424</v>
      </c>
      <c r="F7418" s="7" t="s">
        <v>32</v>
      </c>
      <c r="G7418" s="7">
        <v>3903104</v>
      </c>
      <c r="H7418" s="7">
        <v>2419</v>
      </c>
      <c r="I7418" s="7">
        <v>311</v>
      </c>
      <c r="J7418" s="7">
        <v>0</v>
      </c>
      <c r="K7418" s="7" t="s">
        <v>18</v>
      </c>
      <c r="L7418" s="8">
        <v>39987.315405092595</v>
      </c>
      <c r="M7418" s="9" t="s">
        <v>19</v>
      </c>
      <c r="N7418" s="9" t="s">
        <v>20</v>
      </c>
      <c r="O7418" s="6" t="str">
        <f>HYPERLINK("https://pbs.twimg.com/profile_images/962471262747529216/Uo8lOkRJ_normal.jpg","View")</f>
        <v>View</v>
      </c>
      <c r="P7418" s="7"/>
    </row>
    <row r="7419" spans="1:16">
      <c r="A7419" s="3">
        <v>44021.039733796293</v>
      </c>
      <c r="B7419" s="4" t="str">
        <f>HYPERLINK("https://twitter.com/petrogustavo","@petrogustavo")</f>
        <v>@petrogustavo</v>
      </c>
      <c r="C7419" s="5" t="s">
        <v>16</v>
      </c>
      <c r="D7419" s="5" t="s">
        <v>7168</v>
      </c>
      <c r="E7419" s="6" t="str">
        <f>HYPERLINK("https://twitter.com/petrogustavo/status/1280946560440979457","1280946560440979457")</f>
        <v>1280946560440979457</v>
      </c>
      <c r="F7419" s="7" t="s">
        <v>32</v>
      </c>
      <c r="G7419" s="7">
        <v>3903104</v>
      </c>
      <c r="H7419" s="7">
        <v>2419</v>
      </c>
      <c r="I7419" s="7">
        <v>15</v>
      </c>
      <c r="J7419" s="7">
        <v>0</v>
      </c>
      <c r="K7419" s="7" t="s">
        <v>18</v>
      </c>
      <c r="L7419" s="8">
        <v>39987.315405092595</v>
      </c>
      <c r="M7419" s="9" t="s">
        <v>19</v>
      </c>
      <c r="N7419" s="9" t="s">
        <v>20</v>
      </c>
      <c r="O7419" s="6" t="str">
        <f>HYPERLINK("https://pbs.twimg.com/profile_images/962471262747529216/Uo8lOkRJ_normal.jpg","View")</f>
        <v>View</v>
      </c>
      <c r="P7419" s="7"/>
    </row>
    <row r="7420" spans="1:16">
      <c r="A7420" s="3">
        <v>44021.040347222224</v>
      </c>
      <c r="B7420" s="4" t="str">
        <f>HYPERLINK("https://twitter.com/petrogustavo","@petrogustavo")</f>
        <v>@petrogustavo</v>
      </c>
      <c r="C7420" s="5" t="s">
        <v>16</v>
      </c>
      <c r="D7420" s="5" t="s">
        <v>7169</v>
      </c>
      <c r="E7420" s="6" t="str">
        <f>HYPERLINK("https://twitter.com/petrogustavo/status/1280946783871524865","1280946783871524865")</f>
        <v>1280946783871524865</v>
      </c>
      <c r="F7420" s="7" t="s">
        <v>32</v>
      </c>
      <c r="G7420" s="7">
        <v>3903104</v>
      </c>
      <c r="H7420" s="7">
        <v>2419</v>
      </c>
      <c r="I7420" s="7">
        <v>34</v>
      </c>
      <c r="J7420" s="7">
        <v>0</v>
      </c>
      <c r="K7420" s="7" t="s">
        <v>18</v>
      </c>
      <c r="L7420" s="8">
        <v>39987.315405092595</v>
      </c>
      <c r="M7420" s="9" t="s">
        <v>19</v>
      </c>
      <c r="N7420" s="9" t="s">
        <v>20</v>
      </c>
      <c r="O7420" s="6" t="str">
        <f>HYPERLINK("https://pbs.twimg.com/profile_images/962471262747529216/Uo8lOkRJ_normal.jpg","View")</f>
        <v>View</v>
      </c>
      <c r="P7420" s="7"/>
    </row>
    <row r="7421" spans="1:16">
      <c r="A7421" s="3">
        <v>44021.041620370372</v>
      </c>
      <c r="B7421" s="4" t="str">
        <f>HYPERLINK("https://twitter.com/petrogustavo","@petrogustavo")</f>
        <v>@petrogustavo</v>
      </c>
      <c r="C7421" s="5" t="s">
        <v>16</v>
      </c>
      <c r="D7421" s="5" t="s">
        <v>7170</v>
      </c>
      <c r="E7421" s="6" t="str">
        <f>HYPERLINK("https://twitter.com/petrogustavo/status/1280947244414402560","1280947244414402560")</f>
        <v>1280947244414402560</v>
      </c>
      <c r="F7421" s="7" t="s">
        <v>32</v>
      </c>
      <c r="G7421" s="7">
        <v>3903104</v>
      </c>
      <c r="H7421" s="7">
        <v>2419</v>
      </c>
      <c r="I7421" s="7">
        <v>35</v>
      </c>
      <c r="J7421" s="7">
        <v>108</v>
      </c>
      <c r="K7421" s="7" t="s">
        <v>18</v>
      </c>
      <c r="L7421" s="8">
        <v>39987.315405092595</v>
      </c>
      <c r="M7421" s="9" t="s">
        <v>19</v>
      </c>
      <c r="N7421" s="9" t="s">
        <v>20</v>
      </c>
      <c r="O7421" s="6" t="str">
        <f>HYPERLINK("https://pbs.twimg.com/profile_images/962471262747529216/Uo8lOkRJ_normal.jpg","View")</f>
        <v>View</v>
      </c>
      <c r="P7421" s="7"/>
    </row>
    <row r="7422" spans="1:16">
      <c r="A7422" s="3">
        <v>44021.042291666672</v>
      </c>
      <c r="B7422" s="4" t="str">
        <f>HYPERLINK("https://twitter.com/petrogustavo","@petrogustavo")</f>
        <v>@petrogustavo</v>
      </c>
      <c r="C7422" s="5" t="s">
        <v>16</v>
      </c>
      <c r="D7422" s="5" t="s">
        <v>7171</v>
      </c>
      <c r="E7422" s="6" t="str">
        <f>HYPERLINK("https://twitter.com/petrogustavo/status/1280947488875253760","1280947488875253760")</f>
        <v>1280947488875253760</v>
      </c>
      <c r="F7422" s="7" t="s">
        <v>32</v>
      </c>
      <c r="G7422" s="7">
        <v>3903104</v>
      </c>
      <c r="H7422" s="7">
        <v>2419</v>
      </c>
      <c r="I7422" s="7">
        <v>204</v>
      </c>
      <c r="J7422" s="7">
        <v>612</v>
      </c>
      <c r="K7422" s="7" t="s">
        <v>18</v>
      </c>
      <c r="L7422" s="8">
        <v>39987.315405092595</v>
      </c>
      <c r="M7422" s="9" t="s">
        <v>19</v>
      </c>
      <c r="N7422" s="9" t="s">
        <v>20</v>
      </c>
      <c r="O7422" s="6" t="str">
        <f>HYPERLINK("https://pbs.twimg.com/profile_images/962471262747529216/Uo8lOkRJ_normal.jpg","View")</f>
        <v>View</v>
      </c>
      <c r="P7422" s="7"/>
    </row>
    <row r="7423" spans="1:16">
      <c r="A7423" s="3">
        <v>44021.04387731482</v>
      </c>
      <c r="B7423" s="4" t="str">
        <f>HYPERLINK("https://twitter.com/petrogustavo","@petrogustavo")</f>
        <v>@petrogustavo</v>
      </c>
      <c r="C7423" s="5" t="s">
        <v>16</v>
      </c>
      <c r="D7423" s="5" t="s">
        <v>7172</v>
      </c>
      <c r="E7423" s="6" t="str">
        <f>HYPERLINK("https://twitter.com/petrogustavo/status/1280948060428939264","1280948060428939264")</f>
        <v>1280948060428939264</v>
      </c>
      <c r="F7423" s="7" t="s">
        <v>32</v>
      </c>
      <c r="G7423" s="7">
        <v>3903104</v>
      </c>
      <c r="H7423" s="7">
        <v>2419</v>
      </c>
      <c r="I7423" s="7">
        <v>14</v>
      </c>
      <c r="J7423" s="7">
        <v>0</v>
      </c>
      <c r="K7423" s="7" t="s">
        <v>18</v>
      </c>
      <c r="L7423" s="8">
        <v>39987.315405092595</v>
      </c>
      <c r="M7423" s="9" t="s">
        <v>19</v>
      </c>
      <c r="N7423" s="9" t="s">
        <v>20</v>
      </c>
      <c r="O7423" s="6" t="str">
        <f>HYPERLINK("https://pbs.twimg.com/profile_images/962471262747529216/Uo8lOkRJ_normal.jpg","View")</f>
        <v>View</v>
      </c>
      <c r="P7423" s="7"/>
    </row>
    <row r="7424" spans="1:16">
      <c r="A7424" s="3">
        <v>44021.044282407413</v>
      </c>
      <c r="B7424" s="4" t="str">
        <f>HYPERLINK("https://twitter.com/petrogustavo","@petrogustavo")</f>
        <v>@petrogustavo</v>
      </c>
      <c r="C7424" s="5" t="s">
        <v>16</v>
      </c>
      <c r="D7424" s="5" t="s">
        <v>7173</v>
      </c>
      <c r="E7424" s="6" t="str">
        <f>HYPERLINK("https://twitter.com/petrogustavo/status/1280948207669981184","1280948207669981184")</f>
        <v>1280948207669981184</v>
      </c>
      <c r="F7424" s="7" t="s">
        <v>32</v>
      </c>
      <c r="G7424" s="7">
        <v>3903104</v>
      </c>
      <c r="H7424" s="7">
        <v>2419</v>
      </c>
      <c r="I7424" s="7">
        <v>2241</v>
      </c>
      <c r="J7424" s="7">
        <v>0</v>
      </c>
      <c r="K7424" s="7" t="s">
        <v>18</v>
      </c>
      <c r="L7424" s="8">
        <v>39987.315405092595</v>
      </c>
      <c r="M7424" s="9" t="s">
        <v>19</v>
      </c>
      <c r="N7424" s="9" t="s">
        <v>20</v>
      </c>
      <c r="O7424" s="6" t="str">
        <f>HYPERLINK("https://pbs.twimg.com/profile_images/962471262747529216/Uo8lOkRJ_normal.jpg","View")</f>
        <v>View</v>
      </c>
      <c r="P7424" s="7"/>
    </row>
    <row r="7425" spans="1:16">
      <c r="A7425" s="3">
        <v>44021.047303240739</v>
      </c>
      <c r="B7425" s="4" t="str">
        <f>HYPERLINK("https://twitter.com/petrogustavo","@petrogustavo")</f>
        <v>@petrogustavo</v>
      </c>
      <c r="C7425" s="5" t="s">
        <v>16</v>
      </c>
      <c r="D7425" s="5" t="s">
        <v>7174</v>
      </c>
      <c r="E7425" s="6" t="str">
        <f>HYPERLINK("https://twitter.com/petrogustavo/status/1280949302890823681","1280949302890823681")</f>
        <v>1280949302890823681</v>
      </c>
      <c r="F7425" s="7" t="s">
        <v>32</v>
      </c>
      <c r="G7425" s="7">
        <v>3903104</v>
      </c>
      <c r="H7425" s="7">
        <v>2419</v>
      </c>
      <c r="I7425" s="7">
        <v>205</v>
      </c>
      <c r="J7425" s="7">
        <v>0</v>
      </c>
      <c r="K7425" s="7" t="s">
        <v>18</v>
      </c>
      <c r="L7425" s="8">
        <v>39987.315405092595</v>
      </c>
      <c r="M7425" s="9" t="s">
        <v>19</v>
      </c>
      <c r="N7425" s="9" t="s">
        <v>20</v>
      </c>
      <c r="O7425" s="6" t="str">
        <f>HYPERLINK("https://pbs.twimg.com/profile_images/962471262747529216/Uo8lOkRJ_normal.jpg","View")</f>
        <v>View</v>
      </c>
      <c r="P7425" s="7"/>
    </row>
    <row r="7426" spans="1:16">
      <c r="A7426" s="3">
        <v>44021.048784722225</v>
      </c>
      <c r="B7426" s="4" t="str">
        <f>HYPERLINK("https://twitter.com/petrogustavo","@petrogustavo")</f>
        <v>@petrogustavo</v>
      </c>
      <c r="C7426" s="5" t="s">
        <v>16</v>
      </c>
      <c r="D7426" s="5" t="s">
        <v>7175</v>
      </c>
      <c r="E7426" s="6" t="str">
        <f>HYPERLINK("https://twitter.com/petrogustavo/status/1280949839665270787","1280949839665270787")</f>
        <v>1280949839665270787</v>
      </c>
      <c r="F7426" s="7" t="s">
        <v>32</v>
      </c>
      <c r="G7426" s="7">
        <v>3903104</v>
      </c>
      <c r="H7426" s="7">
        <v>2419</v>
      </c>
      <c r="I7426" s="7">
        <v>1608</v>
      </c>
      <c r="J7426" s="7">
        <v>0</v>
      </c>
      <c r="K7426" s="7" t="s">
        <v>18</v>
      </c>
      <c r="L7426" s="8">
        <v>39987.315405092595</v>
      </c>
      <c r="M7426" s="9" t="s">
        <v>19</v>
      </c>
      <c r="N7426" s="9" t="s">
        <v>20</v>
      </c>
      <c r="O7426" s="6" t="str">
        <f>HYPERLINK("https://pbs.twimg.com/profile_images/962471262747529216/Uo8lOkRJ_normal.jpg","View")</f>
        <v>View</v>
      </c>
      <c r="P7426" s="7"/>
    </row>
    <row r="7427" spans="1:16">
      <c r="A7427" s="3">
        <v>44021.053981481484</v>
      </c>
      <c r="B7427" s="4" t="str">
        <f>HYPERLINK("https://twitter.com/petrogustavo","@petrogustavo")</f>
        <v>@petrogustavo</v>
      </c>
      <c r="C7427" s="5" t="s">
        <v>16</v>
      </c>
      <c r="D7427" s="5" t="s">
        <v>7176</v>
      </c>
      <c r="E7427" s="6" t="str">
        <f>HYPERLINK("https://twitter.com/petrogustavo/status/1280951721880096768","1280951721880096768")</f>
        <v>1280951721880096768</v>
      </c>
      <c r="F7427" s="7" t="s">
        <v>32</v>
      </c>
      <c r="G7427" s="7">
        <v>3903104</v>
      </c>
      <c r="H7427" s="7">
        <v>2419</v>
      </c>
      <c r="I7427" s="7">
        <v>3</v>
      </c>
      <c r="J7427" s="7">
        <v>0</v>
      </c>
      <c r="K7427" s="7" t="s">
        <v>18</v>
      </c>
      <c r="L7427" s="8">
        <v>39987.315405092595</v>
      </c>
      <c r="M7427" s="9" t="s">
        <v>19</v>
      </c>
      <c r="N7427" s="9" t="s">
        <v>20</v>
      </c>
      <c r="O7427" s="6" t="str">
        <f>HYPERLINK("https://pbs.twimg.com/profile_images/962471262747529216/Uo8lOkRJ_normal.jpg","View")</f>
        <v>View</v>
      </c>
      <c r="P7427" s="7"/>
    </row>
    <row r="7428" spans="1:16">
      <c r="A7428" s="3">
        <v>44021.055405092593</v>
      </c>
      <c r="B7428" s="4" t="str">
        <f>HYPERLINK("https://twitter.com/petrogustavo","@petrogustavo")</f>
        <v>@petrogustavo</v>
      </c>
      <c r="C7428" s="5" t="s">
        <v>16</v>
      </c>
      <c r="D7428" s="5" t="s">
        <v>7177</v>
      </c>
      <c r="E7428" s="6" t="str">
        <f>HYPERLINK("https://twitter.com/petrogustavo/status/1280952241491447809","1280952241491447809")</f>
        <v>1280952241491447809</v>
      </c>
      <c r="F7428" s="7" t="s">
        <v>32</v>
      </c>
      <c r="G7428" s="7">
        <v>3903127</v>
      </c>
      <c r="H7428" s="7">
        <v>2419</v>
      </c>
      <c r="I7428" s="7">
        <v>271</v>
      </c>
      <c r="J7428" s="7">
        <v>0</v>
      </c>
      <c r="K7428" s="7" t="s">
        <v>18</v>
      </c>
      <c r="L7428" s="8">
        <v>39987.315405092595</v>
      </c>
      <c r="M7428" s="9" t="s">
        <v>19</v>
      </c>
      <c r="N7428" s="9" t="s">
        <v>20</v>
      </c>
      <c r="O7428" s="6" t="str">
        <f>HYPERLINK("https://pbs.twimg.com/profile_images/962471262747529216/Uo8lOkRJ_normal.jpg","View")</f>
        <v>View</v>
      </c>
      <c r="P7428" s="7"/>
    </row>
    <row r="7429" spans="1:16">
      <c r="A7429" s="3">
        <v>44021.057430555556</v>
      </c>
      <c r="B7429" s="4" t="str">
        <f>HYPERLINK("https://twitter.com/petrogustavo","@petrogustavo")</f>
        <v>@petrogustavo</v>
      </c>
      <c r="C7429" s="5" t="s">
        <v>16</v>
      </c>
      <c r="D7429" s="5" t="s">
        <v>7178</v>
      </c>
      <c r="E7429" s="6" t="str">
        <f>HYPERLINK("https://twitter.com/petrogustavo/status/1280952974999719947","1280952974999719947")</f>
        <v>1280952974999719947</v>
      </c>
      <c r="F7429" s="7" t="s">
        <v>32</v>
      </c>
      <c r="G7429" s="7">
        <v>3903127</v>
      </c>
      <c r="H7429" s="7">
        <v>2419</v>
      </c>
      <c r="I7429" s="7">
        <v>35</v>
      </c>
      <c r="J7429" s="7">
        <v>0</v>
      </c>
      <c r="K7429" s="7" t="s">
        <v>18</v>
      </c>
      <c r="L7429" s="8">
        <v>39987.315405092595</v>
      </c>
      <c r="M7429" s="9" t="s">
        <v>19</v>
      </c>
      <c r="N7429" s="9" t="s">
        <v>20</v>
      </c>
      <c r="O7429" s="6" t="str">
        <f>HYPERLINK("https://pbs.twimg.com/profile_images/962471262747529216/Uo8lOkRJ_normal.jpg","View")</f>
        <v>View</v>
      </c>
      <c r="P7429" s="7"/>
    </row>
    <row r="7430" spans="1:16">
      <c r="A7430" s="3">
        <v>44021.060682870375</v>
      </c>
      <c r="B7430" s="4" t="str">
        <f>HYPERLINK("https://twitter.com/petrogustavo","@petrogustavo")</f>
        <v>@petrogustavo</v>
      </c>
      <c r="C7430" s="5" t="s">
        <v>16</v>
      </c>
      <c r="D7430" s="5" t="s">
        <v>7179</v>
      </c>
      <c r="E7430" s="6" t="str">
        <f>HYPERLINK("https://twitter.com/petrogustavo/status/1280954150960930816","1280954150960930816")</f>
        <v>1280954150960930816</v>
      </c>
      <c r="F7430" s="7" t="s">
        <v>32</v>
      </c>
      <c r="G7430" s="7">
        <v>3903127</v>
      </c>
      <c r="H7430" s="7">
        <v>2419</v>
      </c>
      <c r="I7430" s="7">
        <v>389</v>
      </c>
      <c r="J7430" s="7">
        <v>0</v>
      </c>
      <c r="K7430" s="7" t="s">
        <v>18</v>
      </c>
      <c r="L7430" s="8">
        <v>39987.315405092595</v>
      </c>
      <c r="M7430" s="9" t="s">
        <v>19</v>
      </c>
      <c r="N7430" s="9" t="s">
        <v>20</v>
      </c>
      <c r="O7430" s="6" t="str">
        <f>HYPERLINK("https://pbs.twimg.com/profile_images/962471262747529216/Uo8lOkRJ_normal.jpg","View")</f>
        <v>View</v>
      </c>
      <c r="P7430" s="7"/>
    </row>
    <row r="7431" spans="1:16">
      <c r="A7431" s="3">
        <v>44021.061076388884</v>
      </c>
      <c r="B7431" s="4" t="str">
        <f>HYPERLINK("https://twitter.com/petrogustavo","@petrogustavo")</f>
        <v>@petrogustavo</v>
      </c>
      <c r="C7431" s="5" t="s">
        <v>16</v>
      </c>
      <c r="D7431" s="5" t="s">
        <v>7180</v>
      </c>
      <c r="E7431" s="6" t="str">
        <f>HYPERLINK("https://twitter.com/petrogustavo/status/1280954295404433411","1280954295404433411")</f>
        <v>1280954295404433411</v>
      </c>
      <c r="F7431" s="7" t="s">
        <v>32</v>
      </c>
      <c r="G7431" s="7">
        <v>3903127</v>
      </c>
      <c r="H7431" s="7">
        <v>2419</v>
      </c>
      <c r="I7431" s="7">
        <v>2558</v>
      </c>
      <c r="J7431" s="7">
        <v>0</v>
      </c>
      <c r="K7431" s="7" t="s">
        <v>18</v>
      </c>
      <c r="L7431" s="8">
        <v>39987.315405092595</v>
      </c>
      <c r="M7431" s="9" t="s">
        <v>19</v>
      </c>
      <c r="N7431" s="9" t="s">
        <v>20</v>
      </c>
      <c r="O7431" s="6" t="str">
        <f>HYPERLINK("https://pbs.twimg.com/profile_images/962471262747529216/Uo8lOkRJ_normal.jpg","View")</f>
        <v>View</v>
      </c>
      <c r="P7431" s="7"/>
    </row>
    <row r="7432" spans="1:16">
      <c r="A7432" s="3">
        <v>44021.062569444446</v>
      </c>
      <c r="B7432" s="4" t="str">
        <f>HYPERLINK("https://twitter.com/petrogustavo","@petrogustavo")</f>
        <v>@petrogustavo</v>
      </c>
      <c r="C7432" s="5" t="s">
        <v>16</v>
      </c>
      <c r="D7432" s="5" t="s">
        <v>7181</v>
      </c>
      <c r="E7432" s="6" t="str">
        <f>HYPERLINK("https://twitter.com/petrogustavo/status/1280954835521716228","1280954835521716228")</f>
        <v>1280954835521716228</v>
      </c>
      <c r="F7432" s="7" t="s">
        <v>32</v>
      </c>
      <c r="G7432" s="7">
        <v>3903127</v>
      </c>
      <c r="H7432" s="7">
        <v>2419</v>
      </c>
      <c r="I7432" s="7">
        <v>71</v>
      </c>
      <c r="J7432" s="7">
        <v>0</v>
      </c>
      <c r="K7432" s="7" t="s">
        <v>18</v>
      </c>
      <c r="L7432" s="8">
        <v>39987.315405092595</v>
      </c>
      <c r="M7432" s="9" t="s">
        <v>19</v>
      </c>
      <c r="N7432" s="9" t="s">
        <v>20</v>
      </c>
      <c r="O7432" s="6" t="str">
        <f>HYPERLINK("https://pbs.twimg.com/profile_images/962471262747529216/Uo8lOkRJ_normal.jpg","View")</f>
        <v>View</v>
      </c>
      <c r="P7432" s="7"/>
    </row>
    <row r="7433" spans="1:16">
      <c r="A7433" s="3">
        <v>44021.085555555561</v>
      </c>
      <c r="B7433" s="4" t="str">
        <f>HYPERLINK("https://twitter.com/petrogustavo","@petrogustavo")</f>
        <v>@petrogustavo</v>
      </c>
      <c r="C7433" s="5" t="s">
        <v>16</v>
      </c>
      <c r="D7433" s="5" t="s">
        <v>7182</v>
      </c>
      <c r="E7433" s="6" t="str">
        <f>HYPERLINK("https://twitter.com/petrogustavo/status/1280963165828890626","1280963165828890626")</f>
        <v>1280963165828890626</v>
      </c>
      <c r="F7433" s="7" t="s">
        <v>32</v>
      </c>
      <c r="G7433" s="7">
        <v>3903123</v>
      </c>
      <c r="H7433" s="7">
        <v>2419</v>
      </c>
      <c r="I7433" s="7">
        <v>86</v>
      </c>
      <c r="J7433" s="7">
        <v>0</v>
      </c>
      <c r="K7433" s="7" t="s">
        <v>18</v>
      </c>
      <c r="L7433" s="8">
        <v>39987.315405092595</v>
      </c>
      <c r="M7433" s="9" t="s">
        <v>19</v>
      </c>
      <c r="N7433" s="9" t="s">
        <v>20</v>
      </c>
      <c r="O7433" s="6" t="str">
        <f>HYPERLINK("https://pbs.twimg.com/profile_images/962471262747529216/Uo8lOkRJ_normal.jpg","View")</f>
        <v>View</v>
      </c>
      <c r="P7433" s="7"/>
    </row>
    <row r="7434" spans="1:16">
      <c r="A7434" s="3">
        <v>44021.088969907403</v>
      </c>
      <c r="B7434" s="4" t="str">
        <f>HYPERLINK("https://twitter.com/petrogustavo","@petrogustavo")</f>
        <v>@petrogustavo</v>
      </c>
      <c r="C7434" s="5" t="s">
        <v>16</v>
      </c>
      <c r="D7434" s="5" t="s">
        <v>7167</v>
      </c>
      <c r="E7434" s="6" t="str">
        <f>HYPERLINK("https://twitter.com/petrogustavo/status/1280964403706253316","1280964403706253316")</f>
        <v>1280964403706253316</v>
      </c>
      <c r="F7434" s="7" t="s">
        <v>32</v>
      </c>
      <c r="G7434" s="7">
        <v>3903123</v>
      </c>
      <c r="H7434" s="7">
        <v>2419</v>
      </c>
      <c r="I7434" s="7">
        <v>483</v>
      </c>
      <c r="J7434" s="7">
        <v>0</v>
      </c>
      <c r="K7434" s="7" t="s">
        <v>18</v>
      </c>
      <c r="L7434" s="8">
        <v>39987.315405092595</v>
      </c>
      <c r="M7434" s="9" t="s">
        <v>19</v>
      </c>
      <c r="N7434" s="9" t="s">
        <v>20</v>
      </c>
      <c r="O7434" s="6" t="str">
        <f>HYPERLINK("https://pbs.twimg.com/profile_images/962471262747529216/Uo8lOkRJ_normal.jpg","View")</f>
        <v>View</v>
      </c>
      <c r="P7434" s="7"/>
    </row>
    <row r="7435" spans="1:16">
      <c r="A7435" s="3">
        <v>44021.149583333332</v>
      </c>
      <c r="B7435" s="4" t="str">
        <f>HYPERLINK("https://twitter.com/petrogustavo","@petrogustavo")</f>
        <v>@petrogustavo</v>
      </c>
      <c r="C7435" s="5" t="s">
        <v>16</v>
      </c>
      <c r="D7435" s="5" t="s">
        <v>7183</v>
      </c>
      <c r="E7435" s="6" t="str">
        <f>HYPERLINK("https://twitter.com/petrogustavo/status/1280986368487895042","1280986368487895042")</f>
        <v>1280986368487895042</v>
      </c>
      <c r="F7435" s="7" t="s">
        <v>17</v>
      </c>
      <c r="G7435" s="7">
        <v>3903199</v>
      </c>
      <c r="H7435" s="7">
        <v>2419</v>
      </c>
      <c r="I7435" s="7">
        <v>378</v>
      </c>
      <c r="J7435" s="7">
        <v>0</v>
      </c>
      <c r="K7435" s="7" t="s">
        <v>18</v>
      </c>
      <c r="L7435" s="8">
        <v>39987.315405092595</v>
      </c>
      <c r="M7435" s="9" t="s">
        <v>19</v>
      </c>
      <c r="N7435" s="9" t="s">
        <v>20</v>
      </c>
      <c r="O7435" s="6" t="str">
        <f>HYPERLINK("https://pbs.twimg.com/profile_images/962471262747529216/Uo8lOkRJ_normal.jpg","View")</f>
        <v>View</v>
      </c>
      <c r="P7435" s="7"/>
    </row>
    <row r="7436" spans="1:16">
      <c r="A7436" s="3">
        <v>44021.150381944448</v>
      </c>
      <c r="B7436" s="4" t="str">
        <f>HYPERLINK("https://twitter.com/petrogustavo","@petrogustavo")</f>
        <v>@petrogustavo</v>
      </c>
      <c r="C7436" s="5" t="s">
        <v>16</v>
      </c>
      <c r="D7436" s="5" t="s">
        <v>7184</v>
      </c>
      <c r="E7436" s="6" t="str">
        <f>HYPERLINK("https://twitter.com/petrogustavo/status/1280986659207643136","1280986659207643136")</f>
        <v>1280986659207643136</v>
      </c>
      <c r="F7436" s="7" t="s">
        <v>17</v>
      </c>
      <c r="G7436" s="7">
        <v>3903199</v>
      </c>
      <c r="H7436" s="7">
        <v>2419</v>
      </c>
      <c r="I7436" s="7">
        <v>126</v>
      </c>
      <c r="J7436" s="7">
        <v>0</v>
      </c>
      <c r="K7436" s="7" t="s">
        <v>18</v>
      </c>
      <c r="L7436" s="8">
        <v>39987.315405092595</v>
      </c>
      <c r="M7436" s="9" t="s">
        <v>19</v>
      </c>
      <c r="N7436" s="9" t="s">
        <v>20</v>
      </c>
      <c r="O7436" s="6" t="str">
        <f>HYPERLINK("https://pbs.twimg.com/profile_images/962471262747529216/Uo8lOkRJ_normal.jpg","View")</f>
        <v>View</v>
      </c>
      <c r="P7436" s="7"/>
    </row>
    <row r="7437" spans="1:16">
      <c r="A7437" s="3">
        <v>44021.150706018518</v>
      </c>
      <c r="B7437" s="4" t="str">
        <f>HYPERLINK("https://twitter.com/petrogustavo","@petrogustavo")</f>
        <v>@petrogustavo</v>
      </c>
      <c r="C7437" s="5" t="s">
        <v>16</v>
      </c>
      <c r="D7437" s="5" t="s">
        <v>7185</v>
      </c>
      <c r="E7437" s="6" t="str">
        <f>HYPERLINK("https://twitter.com/petrogustavo/status/1280986773636743175","1280986773636743175")</f>
        <v>1280986773636743175</v>
      </c>
      <c r="F7437" s="7" t="s">
        <v>17</v>
      </c>
      <c r="G7437" s="7">
        <v>3903199</v>
      </c>
      <c r="H7437" s="7">
        <v>2419</v>
      </c>
      <c r="I7437" s="7">
        <v>148</v>
      </c>
      <c r="J7437" s="7">
        <v>0</v>
      </c>
      <c r="K7437" s="7" t="s">
        <v>18</v>
      </c>
      <c r="L7437" s="8">
        <v>39987.315405092595</v>
      </c>
      <c r="M7437" s="9" t="s">
        <v>19</v>
      </c>
      <c r="N7437" s="9" t="s">
        <v>20</v>
      </c>
      <c r="O7437" s="6" t="str">
        <f>HYPERLINK("https://pbs.twimg.com/profile_images/962471262747529216/Uo8lOkRJ_normal.jpg","View")</f>
        <v>View</v>
      </c>
      <c r="P7437" s="7"/>
    </row>
    <row r="7438" spans="1:16">
      <c r="A7438" s="3">
        <v>44021.151018518518</v>
      </c>
      <c r="B7438" s="4" t="str">
        <f>HYPERLINK("https://twitter.com/petrogustavo","@petrogustavo")</f>
        <v>@petrogustavo</v>
      </c>
      <c r="C7438" s="5" t="s">
        <v>16</v>
      </c>
      <c r="D7438" s="5" t="s">
        <v>7186</v>
      </c>
      <c r="E7438" s="6" t="str">
        <f>HYPERLINK("https://twitter.com/petrogustavo/status/1280986886916489218","1280986886916489218")</f>
        <v>1280986886916489218</v>
      </c>
      <c r="F7438" s="7" t="s">
        <v>17</v>
      </c>
      <c r="G7438" s="7">
        <v>3903199</v>
      </c>
      <c r="H7438" s="7">
        <v>2419</v>
      </c>
      <c r="I7438" s="7">
        <v>52</v>
      </c>
      <c r="J7438" s="7">
        <v>0</v>
      </c>
      <c r="K7438" s="7" t="s">
        <v>18</v>
      </c>
      <c r="L7438" s="8">
        <v>39987.315405092595</v>
      </c>
      <c r="M7438" s="9" t="s">
        <v>19</v>
      </c>
      <c r="N7438" s="9" t="s">
        <v>20</v>
      </c>
      <c r="O7438" s="6" t="str">
        <f>HYPERLINK("https://pbs.twimg.com/profile_images/962471262747529216/Uo8lOkRJ_normal.jpg","View")</f>
        <v>View</v>
      </c>
      <c r="P7438" s="7"/>
    </row>
    <row r="7439" spans="1:16">
      <c r="A7439" s="3">
        <v>44021.151493055557</v>
      </c>
      <c r="B7439" s="4" t="str">
        <f>HYPERLINK("https://twitter.com/petrogustavo","@petrogustavo")</f>
        <v>@petrogustavo</v>
      </c>
      <c r="C7439" s="5" t="s">
        <v>16</v>
      </c>
      <c r="D7439" s="5" t="s">
        <v>7187</v>
      </c>
      <c r="E7439" s="6" t="str">
        <f>HYPERLINK("https://twitter.com/petrogustavo/status/1280987059159785472","1280987059159785472")</f>
        <v>1280987059159785472</v>
      </c>
      <c r="F7439" s="7" t="s">
        <v>17</v>
      </c>
      <c r="G7439" s="7">
        <v>3903199</v>
      </c>
      <c r="H7439" s="7">
        <v>2419</v>
      </c>
      <c r="I7439" s="7">
        <v>32</v>
      </c>
      <c r="J7439" s="7">
        <v>0</v>
      </c>
      <c r="K7439" s="7" t="s">
        <v>18</v>
      </c>
      <c r="L7439" s="8">
        <v>39987.315405092595</v>
      </c>
      <c r="M7439" s="9" t="s">
        <v>19</v>
      </c>
      <c r="N7439" s="9" t="s">
        <v>20</v>
      </c>
      <c r="O7439" s="6" t="str">
        <f>HYPERLINK("https://pbs.twimg.com/profile_images/962471262747529216/Uo8lOkRJ_normal.jpg","View")</f>
        <v>View</v>
      </c>
      <c r="P7439" s="7"/>
    </row>
    <row r="7440" spans="1:16">
      <c r="A7440" s="3">
        <v>44021.152627314819</v>
      </c>
      <c r="B7440" s="4" t="str">
        <f>HYPERLINK("https://twitter.com/petrogustavo","@petrogustavo")</f>
        <v>@petrogustavo</v>
      </c>
      <c r="C7440" s="5" t="s">
        <v>16</v>
      </c>
      <c r="D7440" s="5" t="s">
        <v>7188</v>
      </c>
      <c r="E7440" s="6" t="str">
        <f>HYPERLINK("https://twitter.com/petrogustavo/status/1280987473670213633","1280987473670213633")</f>
        <v>1280987473670213633</v>
      </c>
      <c r="F7440" s="7" t="s">
        <v>17</v>
      </c>
      <c r="G7440" s="7">
        <v>3903199</v>
      </c>
      <c r="H7440" s="7">
        <v>2419</v>
      </c>
      <c r="I7440" s="7">
        <v>35</v>
      </c>
      <c r="J7440" s="7">
        <v>0</v>
      </c>
      <c r="K7440" s="7" t="s">
        <v>18</v>
      </c>
      <c r="L7440" s="8">
        <v>39987.315405092595</v>
      </c>
      <c r="M7440" s="9" t="s">
        <v>19</v>
      </c>
      <c r="N7440" s="9" t="s">
        <v>20</v>
      </c>
      <c r="O7440" s="6" t="str">
        <f>HYPERLINK("https://pbs.twimg.com/profile_images/962471262747529216/Uo8lOkRJ_normal.jpg","View")</f>
        <v>View</v>
      </c>
      <c r="P7440" s="7"/>
    </row>
    <row r="7441" spans="1:16">
      <c r="A7441" s="3">
        <v>44021.15457175926</v>
      </c>
      <c r="B7441" s="4" t="str">
        <f>HYPERLINK("https://twitter.com/petrogustavo","@petrogustavo")</f>
        <v>@petrogustavo</v>
      </c>
      <c r="C7441" s="5" t="s">
        <v>16</v>
      </c>
      <c r="D7441" s="5" t="s">
        <v>7189</v>
      </c>
      <c r="E7441" s="6" t="str">
        <f>HYPERLINK("https://twitter.com/petrogustavo/status/1280988176719450119","1280988176719450119")</f>
        <v>1280988176719450119</v>
      </c>
      <c r="F7441" s="7" t="s">
        <v>17</v>
      </c>
      <c r="G7441" s="7">
        <v>3903199</v>
      </c>
      <c r="H7441" s="7">
        <v>2419</v>
      </c>
      <c r="I7441" s="7">
        <v>56</v>
      </c>
      <c r="J7441" s="7">
        <v>120</v>
      </c>
      <c r="K7441" s="7" t="s">
        <v>18</v>
      </c>
      <c r="L7441" s="8">
        <v>39987.315405092595</v>
      </c>
      <c r="M7441" s="9" t="s">
        <v>19</v>
      </c>
      <c r="N7441" s="9" t="s">
        <v>20</v>
      </c>
      <c r="O7441" s="6" t="str">
        <f>HYPERLINK("https://pbs.twimg.com/profile_images/962471262747529216/Uo8lOkRJ_normal.jpg","View")</f>
        <v>View</v>
      </c>
      <c r="P7441" s="7"/>
    </row>
    <row r="7442" spans="1:16">
      <c r="A7442" s="3">
        <v>44021.155497685184</v>
      </c>
      <c r="B7442" s="4" t="str">
        <f>HYPERLINK("https://twitter.com/petrogustavo","@petrogustavo")</f>
        <v>@petrogustavo</v>
      </c>
      <c r="C7442" s="5" t="s">
        <v>16</v>
      </c>
      <c r="D7442" s="5" t="s">
        <v>7190</v>
      </c>
      <c r="E7442" s="6" t="str">
        <f>HYPERLINK("https://twitter.com/petrogustavo/status/1280988509831135237","1280988509831135237")</f>
        <v>1280988509831135237</v>
      </c>
      <c r="F7442" s="7" t="s">
        <v>17</v>
      </c>
      <c r="G7442" s="7">
        <v>3903199</v>
      </c>
      <c r="H7442" s="7">
        <v>2419</v>
      </c>
      <c r="I7442" s="7">
        <v>251</v>
      </c>
      <c r="J7442" s="7">
        <v>0</v>
      </c>
      <c r="K7442" s="7" t="s">
        <v>18</v>
      </c>
      <c r="L7442" s="8">
        <v>39987.315405092595</v>
      </c>
      <c r="M7442" s="9" t="s">
        <v>19</v>
      </c>
      <c r="N7442" s="9" t="s">
        <v>20</v>
      </c>
      <c r="O7442" s="6" t="str">
        <f>HYPERLINK("https://pbs.twimg.com/profile_images/962471262747529216/Uo8lOkRJ_normal.jpg","View")</f>
        <v>View</v>
      </c>
      <c r="P7442" s="7"/>
    </row>
    <row r="7443" spans="1:16">
      <c r="A7443" s="3">
        <v>44021.189699074079</v>
      </c>
      <c r="B7443" s="4" t="str">
        <f>HYPERLINK("https://twitter.com/petrogustavo","@petrogustavo")</f>
        <v>@petrogustavo</v>
      </c>
      <c r="C7443" s="5" t="s">
        <v>16</v>
      </c>
      <c r="D7443" s="5" t="s">
        <v>7191</v>
      </c>
      <c r="E7443" s="6" t="str">
        <f>HYPERLINK("https://twitter.com/petrogustavo/status/1281000907891716097","1281000907891716097")</f>
        <v>1281000907891716097</v>
      </c>
      <c r="F7443" s="7" t="s">
        <v>17</v>
      </c>
      <c r="G7443" s="7">
        <v>3903234</v>
      </c>
      <c r="H7443" s="7">
        <v>2419</v>
      </c>
      <c r="I7443" s="7">
        <v>279</v>
      </c>
      <c r="J7443" s="7">
        <v>0</v>
      </c>
      <c r="K7443" s="7" t="s">
        <v>18</v>
      </c>
      <c r="L7443" s="8">
        <v>39987.315405092595</v>
      </c>
      <c r="M7443" s="9" t="s">
        <v>19</v>
      </c>
      <c r="N7443" s="9" t="s">
        <v>20</v>
      </c>
      <c r="O7443" s="6" t="str">
        <f>HYPERLINK("https://pbs.twimg.com/profile_images/962471262747529216/Uo8lOkRJ_normal.jpg","View")</f>
        <v>View</v>
      </c>
      <c r="P7443" s="7"/>
    </row>
    <row r="7444" spans="1:16">
      <c r="A7444" s="3">
        <v>44021.191527777773</v>
      </c>
      <c r="B7444" s="4" t="str">
        <f>HYPERLINK("https://twitter.com/petrogustavo","@petrogustavo")</f>
        <v>@petrogustavo</v>
      </c>
      <c r="C7444" s="5" t="s">
        <v>16</v>
      </c>
      <c r="D7444" s="5" t="s">
        <v>7192</v>
      </c>
      <c r="E7444" s="6" t="str">
        <f>HYPERLINK("https://twitter.com/petrogustavo/status/1281001568071016449","1281001568071016449")</f>
        <v>1281001568071016449</v>
      </c>
      <c r="F7444" s="7" t="s">
        <v>17</v>
      </c>
      <c r="G7444" s="7">
        <v>3903234</v>
      </c>
      <c r="H7444" s="7">
        <v>2419</v>
      </c>
      <c r="I7444" s="7">
        <v>31</v>
      </c>
      <c r="J7444" s="7">
        <v>0</v>
      </c>
      <c r="K7444" s="7" t="s">
        <v>18</v>
      </c>
      <c r="L7444" s="8">
        <v>39987.315405092595</v>
      </c>
      <c r="M7444" s="9" t="s">
        <v>19</v>
      </c>
      <c r="N7444" s="9" t="s">
        <v>20</v>
      </c>
      <c r="O7444" s="6" t="str">
        <f>HYPERLINK("https://pbs.twimg.com/profile_images/962471262747529216/Uo8lOkRJ_normal.jpg","View")</f>
        <v>View</v>
      </c>
      <c r="P7444" s="7"/>
    </row>
    <row r="7445" spans="1:16">
      <c r="A7445" s="3">
        <v>44021.204942129625</v>
      </c>
      <c r="B7445" s="4" t="str">
        <f>HYPERLINK("https://twitter.com/petrogustavo","@petrogustavo")</f>
        <v>@petrogustavo</v>
      </c>
      <c r="C7445" s="5" t="s">
        <v>16</v>
      </c>
      <c r="D7445" s="5" t="s">
        <v>7193</v>
      </c>
      <c r="E7445" s="6" t="str">
        <f>HYPERLINK("https://twitter.com/petrogustavo/status/1281006428828897280","1281006428828897280")</f>
        <v>1281006428828897280</v>
      </c>
      <c r="F7445" s="7" t="s">
        <v>17</v>
      </c>
      <c r="G7445" s="7">
        <v>3903261</v>
      </c>
      <c r="H7445" s="7">
        <v>2419</v>
      </c>
      <c r="I7445" s="7">
        <v>255</v>
      </c>
      <c r="J7445" s="7">
        <v>775</v>
      </c>
      <c r="K7445" s="7" t="s">
        <v>18</v>
      </c>
      <c r="L7445" s="8">
        <v>39987.315405092595</v>
      </c>
      <c r="M7445" s="9" t="s">
        <v>19</v>
      </c>
      <c r="N7445" s="9" t="s">
        <v>20</v>
      </c>
      <c r="O7445" s="6" t="str">
        <f>HYPERLINK("https://pbs.twimg.com/profile_images/962471262747529216/Uo8lOkRJ_normal.jpg","View")</f>
        <v>View</v>
      </c>
      <c r="P7445" s="7"/>
    </row>
    <row r="7446" spans="1:16">
      <c r="A7446" s="3">
        <v>44021.256516203706</v>
      </c>
      <c r="B7446" s="4" t="str">
        <f>HYPERLINK("https://twitter.com/petrogustavo","@petrogustavo")</f>
        <v>@petrogustavo</v>
      </c>
      <c r="C7446" s="5" t="s">
        <v>16</v>
      </c>
      <c r="D7446" s="5" t="s">
        <v>7194</v>
      </c>
      <c r="E7446" s="6" t="str">
        <f>HYPERLINK("https://twitter.com/petrogustavo/status/1281025118215512064","1281025118215512064")</f>
        <v>1281025118215512064</v>
      </c>
      <c r="F7446" s="7" t="s">
        <v>17</v>
      </c>
      <c r="G7446" s="7">
        <v>3903313</v>
      </c>
      <c r="H7446" s="7">
        <v>2419</v>
      </c>
      <c r="I7446" s="7">
        <v>179</v>
      </c>
      <c r="J7446" s="7">
        <v>0</v>
      </c>
      <c r="K7446" s="7" t="s">
        <v>18</v>
      </c>
      <c r="L7446" s="8">
        <v>39987.315405092595</v>
      </c>
      <c r="M7446" s="9" t="s">
        <v>19</v>
      </c>
      <c r="N7446" s="9" t="s">
        <v>20</v>
      </c>
      <c r="O7446" s="6" t="str">
        <f>HYPERLINK("https://pbs.twimg.com/profile_images/962471262747529216/Uo8lOkRJ_normal.jpg","View")</f>
        <v>View</v>
      </c>
      <c r="P7446" s="7"/>
    </row>
    <row r="7447" spans="1:16">
      <c r="A7447" s="3">
        <v>44021.274699074071</v>
      </c>
      <c r="B7447" s="4" t="str">
        <f>HYPERLINK("https://twitter.com/petrogustavo","@petrogustavo")</f>
        <v>@petrogustavo</v>
      </c>
      <c r="C7447" s="5" t="s">
        <v>16</v>
      </c>
      <c r="D7447" s="5" t="s">
        <v>7195</v>
      </c>
      <c r="E7447" s="6" t="str">
        <f>HYPERLINK("https://twitter.com/petrogustavo/status/1281031707689390080","1281031707689390080")</f>
        <v>1281031707689390080</v>
      </c>
      <c r="F7447" s="7" t="s">
        <v>17</v>
      </c>
      <c r="G7447" s="7">
        <v>3903348</v>
      </c>
      <c r="H7447" s="7">
        <v>2419</v>
      </c>
      <c r="I7447" s="7">
        <v>131</v>
      </c>
      <c r="J7447" s="7">
        <v>400</v>
      </c>
      <c r="K7447" s="7" t="s">
        <v>18</v>
      </c>
      <c r="L7447" s="8">
        <v>39987.315405092595</v>
      </c>
      <c r="M7447" s="9" t="s">
        <v>19</v>
      </c>
      <c r="N7447" s="9" t="s">
        <v>20</v>
      </c>
      <c r="O7447" s="6" t="str">
        <f>HYPERLINK("https://pbs.twimg.com/profile_images/962471262747529216/Uo8lOkRJ_normal.jpg","View")</f>
        <v>View</v>
      </c>
      <c r="P7447" s="7"/>
    </row>
    <row r="7448" spans="1:16">
      <c r="A7448" s="3">
        <v>44021.278182870374</v>
      </c>
      <c r="B7448" s="4" t="str">
        <f>HYPERLINK("https://twitter.com/petrogustavo","@petrogustavo")</f>
        <v>@petrogustavo</v>
      </c>
      <c r="C7448" s="5" t="s">
        <v>16</v>
      </c>
      <c r="D7448" s="5" t="s">
        <v>7196</v>
      </c>
      <c r="E7448" s="6" t="str">
        <f>HYPERLINK("https://twitter.com/petrogustavo/status/1281032970141392896","1281032970141392896")</f>
        <v>1281032970141392896</v>
      </c>
      <c r="F7448" s="7" t="s">
        <v>17</v>
      </c>
      <c r="G7448" s="7">
        <v>3903348</v>
      </c>
      <c r="H7448" s="7">
        <v>2419</v>
      </c>
      <c r="I7448" s="7">
        <v>1791</v>
      </c>
      <c r="J7448" s="7">
        <v>0</v>
      </c>
      <c r="K7448" s="7" t="s">
        <v>18</v>
      </c>
      <c r="L7448" s="8">
        <v>39987.315405092595</v>
      </c>
      <c r="M7448" s="9" t="s">
        <v>19</v>
      </c>
      <c r="N7448" s="9" t="s">
        <v>20</v>
      </c>
      <c r="O7448" s="6" t="str">
        <f>HYPERLINK("https://pbs.twimg.com/profile_images/962471262747529216/Uo8lOkRJ_normal.jpg","View")</f>
        <v>View</v>
      </c>
      <c r="P7448" s="7"/>
    </row>
    <row r="7449" spans="1:16">
      <c r="A7449" s="3">
        <v>44021.279374999998</v>
      </c>
      <c r="B7449" s="4" t="str">
        <f>HYPERLINK("https://twitter.com/petrogustavo","@petrogustavo")</f>
        <v>@petrogustavo</v>
      </c>
      <c r="C7449" s="5" t="s">
        <v>16</v>
      </c>
      <c r="D7449" s="5" t="s">
        <v>7197</v>
      </c>
      <c r="E7449" s="6" t="str">
        <f>HYPERLINK("https://twitter.com/petrogustavo/status/1281033401483526149","1281033401483526149")</f>
        <v>1281033401483526149</v>
      </c>
      <c r="F7449" s="7" t="s">
        <v>17</v>
      </c>
      <c r="G7449" s="7">
        <v>3903348</v>
      </c>
      <c r="H7449" s="7">
        <v>2419</v>
      </c>
      <c r="I7449" s="7">
        <v>35</v>
      </c>
      <c r="J7449" s="7">
        <v>111</v>
      </c>
      <c r="K7449" s="7" t="s">
        <v>18</v>
      </c>
      <c r="L7449" s="8">
        <v>39987.315405092595</v>
      </c>
      <c r="M7449" s="9" t="s">
        <v>19</v>
      </c>
      <c r="N7449" s="9" t="s">
        <v>20</v>
      </c>
      <c r="O7449" s="6" t="str">
        <f>HYPERLINK("https://pbs.twimg.com/profile_images/962471262747529216/Uo8lOkRJ_normal.jpg","View")</f>
        <v>View</v>
      </c>
      <c r="P7449" s="7"/>
    </row>
    <row r="7450" spans="1:16">
      <c r="A7450" s="3">
        <v>44021.283506944441</v>
      </c>
      <c r="B7450" s="4" t="str">
        <f>HYPERLINK("https://twitter.com/petrogustavo","@petrogustavo")</f>
        <v>@petrogustavo</v>
      </c>
      <c r="C7450" s="5" t="s">
        <v>16</v>
      </c>
      <c r="D7450" s="5" t="s">
        <v>7198</v>
      </c>
      <c r="E7450" s="6" t="str">
        <f>HYPERLINK("https://twitter.com/petrogustavo/status/1281034899240165376","1281034899240165376")</f>
        <v>1281034899240165376</v>
      </c>
      <c r="F7450" s="7" t="s">
        <v>17</v>
      </c>
      <c r="G7450" s="7">
        <v>3903377</v>
      </c>
      <c r="H7450" s="7">
        <v>2419</v>
      </c>
      <c r="I7450" s="7">
        <v>298</v>
      </c>
      <c r="J7450" s="7">
        <v>881</v>
      </c>
      <c r="K7450" s="7" t="s">
        <v>18</v>
      </c>
      <c r="L7450" s="8">
        <v>39987.315405092595</v>
      </c>
      <c r="M7450" s="9" t="s">
        <v>19</v>
      </c>
      <c r="N7450" s="9" t="s">
        <v>20</v>
      </c>
      <c r="O7450" s="6" t="str">
        <f>HYPERLINK("https://pbs.twimg.com/profile_images/962471262747529216/Uo8lOkRJ_normal.jpg","View")</f>
        <v>View</v>
      </c>
      <c r="P7450" s="7"/>
    </row>
    <row r="7451" spans="1:16">
      <c r="A7451" s="3">
        <v>44021.346562499995</v>
      </c>
      <c r="B7451" s="4" t="str">
        <f>HYPERLINK("https://twitter.com/petrogustavo","@petrogustavo")</f>
        <v>@petrogustavo</v>
      </c>
      <c r="C7451" s="5" t="s">
        <v>16</v>
      </c>
      <c r="D7451" s="5" t="s">
        <v>7199</v>
      </c>
      <c r="E7451" s="6" t="str">
        <f>HYPERLINK("https://twitter.com/petrogustavo/status/1281057753478430721","1281057753478430721")</f>
        <v>1281057753478430721</v>
      </c>
      <c r="F7451" s="7" t="s">
        <v>17</v>
      </c>
      <c r="G7451" s="7">
        <v>3903471</v>
      </c>
      <c r="H7451" s="7">
        <v>2419</v>
      </c>
      <c r="I7451" s="7">
        <v>801</v>
      </c>
      <c r="J7451" s="7">
        <v>0</v>
      </c>
      <c r="K7451" s="7" t="s">
        <v>18</v>
      </c>
      <c r="L7451" s="8">
        <v>39987.315405092595</v>
      </c>
      <c r="M7451" s="9" t="s">
        <v>19</v>
      </c>
      <c r="N7451" s="9" t="s">
        <v>20</v>
      </c>
      <c r="O7451" s="6" t="str">
        <f>HYPERLINK("https://pbs.twimg.com/profile_images/962471262747529216/Uo8lOkRJ_normal.jpg","View")</f>
        <v>View</v>
      </c>
      <c r="P7451" s="7"/>
    </row>
    <row r="7452" spans="1:16">
      <c r="A7452" s="3">
        <v>44021.741597222222</v>
      </c>
      <c r="B7452" s="4" t="str">
        <f>HYPERLINK("https://twitter.com/petrogustavo","@petrogustavo")</f>
        <v>@petrogustavo</v>
      </c>
      <c r="C7452" s="5" t="s">
        <v>16</v>
      </c>
      <c r="D7452" s="5" t="s">
        <v>7200</v>
      </c>
      <c r="E7452" s="6" t="str">
        <f>HYPERLINK("https://twitter.com/petrogustavo/status/1281200905535344643","1281200905535344643")</f>
        <v>1281200905535344643</v>
      </c>
      <c r="F7452" s="7" t="s">
        <v>17</v>
      </c>
      <c r="G7452" s="7">
        <v>3903668</v>
      </c>
      <c r="H7452" s="7">
        <v>2419</v>
      </c>
      <c r="I7452" s="7">
        <v>0</v>
      </c>
      <c r="J7452" s="7">
        <v>0</v>
      </c>
      <c r="K7452" s="7" t="s">
        <v>18</v>
      </c>
      <c r="L7452" s="8">
        <v>39987.315405092595</v>
      </c>
      <c r="M7452" s="9" t="s">
        <v>19</v>
      </c>
      <c r="N7452" s="9" t="s">
        <v>20</v>
      </c>
      <c r="O7452" s="6" t="str">
        <f>HYPERLINK("https://pbs.twimg.com/profile_images/962471262747529216/Uo8lOkRJ_normal.jpg","View")</f>
        <v>View</v>
      </c>
      <c r="P7452" s="7"/>
    </row>
    <row r="7453" spans="1:16">
      <c r="A7453" s="3">
        <v>44021.74732638889</v>
      </c>
      <c r="B7453" s="4" t="str">
        <f>HYPERLINK("https://twitter.com/petrogustavo","@petrogustavo")</f>
        <v>@petrogustavo</v>
      </c>
      <c r="C7453" s="5" t="s">
        <v>16</v>
      </c>
      <c r="D7453" s="5" t="s">
        <v>7201</v>
      </c>
      <c r="E7453" s="6" t="str">
        <f>HYPERLINK("https://twitter.com/petrogustavo/status/1281202985180311554","1281202985180311554")</f>
        <v>1281202985180311554</v>
      </c>
      <c r="F7453" s="7" t="s">
        <v>17</v>
      </c>
      <c r="G7453" s="7">
        <v>3903692</v>
      </c>
      <c r="H7453" s="7">
        <v>2419</v>
      </c>
      <c r="I7453" s="7">
        <v>202</v>
      </c>
      <c r="J7453" s="7">
        <v>458</v>
      </c>
      <c r="K7453" s="7" t="s">
        <v>18</v>
      </c>
      <c r="L7453" s="8">
        <v>39987.315405092595</v>
      </c>
      <c r="M7453" s="9" t="s">
        <v>19</v>
      </c>
      <c r="N7453" s="9" t="s">
        <v>20</v>
      </c>
      <c r="O7453" s="6" t="str">
        <f>HYPERLINK("https://pbs.twimg.com/profile_images/962471262747529216/Uo8lOkRJ_normal.jpg","View")</f>
        <v>View</v>
      </c>
      <c r="P7453" s="7"/>
    </row>
    <row r="7454" spans="1:16">
      <c r="A7454" s="3">
        <v>44021.748888888891</v>
      </c>
      <c r="B7454" s="4" t="str">
        <f>HYPERLINK("https://twitter.com/petrogustavo","@petrogustavo")</f>
        <v>@petrogustavo</v>
      </c>
      <c r="C7454" s="5" t="s">
        <v>16</v>
      </c>
      <c r="D7454" s="5" t="s">
        <v>7202</v>
      </c>
      <c r="E7454" s="6" t="str">
        <f>HYPERLINK("https://twitter.com/petrogustavo/status/1281203551084204033","1281203551084204033")</f>
        <v>1281203551084204033</v>
      </c>
      <c r="F7454" s="7" t="s">
        <v>17</v>
      </c>
      <c r="G7454" s="7">
        <v>3903692</v>
      </c>
      <c r="H7454" s="7">
        <v>2419</v>
      </c>
      <c r="I7454" s="7">
        <v>166</v>
      </c>
      <c r="J7454" s="7">
        <v>344</v>
      </c>
      <c r="K7454" s="7" t="s">
        <v>18</v>
      </c>
      <c r="L7454" s="8">
        <v>39987.315405092595</v>
      </c>
      <c r="M7454" s="9" t="s">
        <v>19</v>
      </c>
      <c r="N7454" s="9" t="s">
        <v>20</v>
      </c>
      <c r="O7454" s="6" t="str">
        <f>HYPERLINK("https://pbs.twimg.com/profile_images/962471262747529216/Uo8lOkRJ_normal.jpg","View")</f>
        <v>View</v>
      </c>
      <c r="P7454" s="7"/>
    </row>
    <row r="7455" spans="1:16">
      <c r="A7455" s="3">
        <v>44021.749155092592</v>
      </c>
      <c r="B7455" s="4" t="str">
        <f>HYPERLINK("https://twitter.com/petrogustavo","@petrogustavo")</f>
        <v>@petrogustavo</v>
      </c>
      <c r="C7455" s="5" t="s">
        <v>16</v>
      </c>
      <c r="D7455" s="5" t="s">
        <v>7203</v>
      </c>
      <c r="E7455" s="6" t="str">
        <f>HYPERLINK("https://twitter.com/petrogustavo/status/1281203647993516033","1281203647993516033")</f>
        <v>1281203647993516033</v>
      </c>
      <c r="F7455" s="7" t="s">
        <v>17</v>
      </c>
      <c r="G7455" s="7">
        <v>3903692</v>
      </c>
      <c r="H7455" s="7">
        <v>2419</v>
      </c>
      <c r="I7455" s="7">
        <v>491</v>
      </c>
      <c r="J7455" s="7">
        <v>0</v>
      </c>
      <c r="K7455" s="7" t="s">
        <v>18</v>
      </c>
      <c r="L7455" s="8">
        <v>39987.315405092595</v>
      </c>
      <c r="M7455" s="9" t="s">
        <v>19</v>
      </c>
      <c r="N7455" s="9" t="s">
        <v>20</v>
      </c>
      <c r="O7455" s="6" t="str">
        <f>HYPERLINK("https://pbs.twimg.com/profile_images/962471262747529216/Uo8lOkRJ_normal.jpg","View")</f>
        <v>View</v>
      </c>
      <c r="P7455" s="7"/>
    </row>
    <row r="7456" spans="1:16">
      <c r="A7456" s="3">
        <v>44021.749861111108</v>
      </c>
      <c r="B7456" s="4" t="str">
        <f>HYPERLINK("https://twitter.com/petrogustavo","@petrogustavo")</f>
        <v>@petrogustavo</v>
      </c>
      <c r="C7456" s="5" t="s">
        <v>16</v>
      </c>
      <c r="D7456" s="5" t="s">
        <v>7204</v>
      </c>
      <c r="E7456" s="6" t="str">
        <f>HYPERLINK("https://twitter.com/petrogustavo/status/1281203900939460608","1281203900939460608")</f>
        <v>1281203900939460608</v>
      </c>
      <c r="F7456" s="7" t="s">
        <v>17</v>
      </c>
      <c r="G7456" s="7">
        <v>3903692</v>
      </c>
      <c r="H7456" s="7">
        <v>2419</v>
      </c>
      <c r="I7456" s="7">
        <v>38</v>
      </c>
      <c r="J7456" s="7">
        <v>0</v>
      </c>
      <c r="K7456" s="7" t="s">
        <v>18</v>
      </c>
      <c r="L7456" s="8">
        <v>39987.315405092595</v>
      </c>
      <c r="M7456" s="9" t="s">
        <v>19</v>
      </c>
      <c r="N7456" s="9" t="s">
        <v>20</v>
      </c>
      <c r="O7456" s="6" t="str">
        <f>HYPERLINK("https://pbs.twimg.com/profile_images/962471262747529216/Uo8lOkRJ_normal.jpg","View")</f>
        <v>View</v>
      </c>
      <c r="P7456" s="7"/>
    </row>
    <row r="7457" spans="1:16">
      <c r="A7457" s="3">
        <v>44021.750578703708</v>
      </c>
      <c r="B7457" s="4" t="str">
        <f>HYPERLINK("https://twitter.com/petrogustavo","@petrogustavo")</f>
        <v>@petrogustavo</v>
      </c>
      <c r="C7457" s="5" t="s">
        <v>16</v>
      </c>
      <c r="D7457" s="5" t="s">
        <v>7205</v>
      </c>
      <c r="E7457" s="6" t="str">
        <f>HYPERLINK("https://twitter.com/petrogustavo/status/1281204160478752768","1281204160478752768")</f>
        <v>1281204160478752768</v>
      </c>
      <c r="F7457" s="7" t="s">
        <v>17</v>
      </c>
      <c r="G7457" s="7">
        <v>3903692</v>
      </c>
      <c r="H7457" s="7">
        <v>2419</v>
      </c>
      <c r="I7457" s="7">
        <v>127</v>
      </c>
      <c r="J7457" s="7">
        <v>382</v>
      </c>
      <c r="K7457" s="7" t="s">
        <v>18</v>
      </c>
      <c r="L7457" s="8">
        <v>39987.315405092595</v>
      </c>
      <c r="M7457" s="9" t="s">
        <v>19</v>
      </c>
      <c r="N7457" s="9" t="s">
        <v>20</v>
      </c>
      <c r="O7457" s="6" t="str">
        <f>HYPERLINK("https://pbs.twimg.com/profile_images/962471262747529216/Uo8lOkRJ_normal.jpg","View")</f>
        <v>View</v>
      </c>
      <c r="P7457" s="7"/>
    </row>
    <row r="7458" spans="1:16">
      <c r="A7458" s="3">
        <v>44021.758703703701</v>
      </c>
      <c r="B7458" s="4" t="str">
        <f>HYPERLINK("https://twitter.com/petrogustavo","@petrogustavo")</f>
        <v>@petrogustavo</v>
      </c>
      <c r="C7458" s="5" t="s">
        <v>16</v>
      </c>
      <c r="D7458" s="5" t="s">
        <v>7206</v>
      </c>
      <c r="E7458" s="6" t="str">
        <f>HYPERLINK("https://twitter.com/petrogustavo/status/1281207106620788736","1281207106620788736")</f>
        <v>1281207106620788736</v>
      </c>
      <c r="F7458" s="7" t="s">
        <v>17</v>
      </c>
      <c r="G7458" s="7">
        <v>3903692</v>
      </c>
      <c r="H7458" s="7">
        <v>2419</v>
      </c>
      <c r="I7458" s="7">
        <v>123</v>
      </c>
      <c r="J7458" s="7">
        <v>273</v>
      </c>
      <c r="K7458" s="7" t="s">
        <v>18</v>
      </c>
      <c r="L7458" s="8">
        <v>39987.315405092595</v>
      </c>
      <c r="M7458" s="9" t="s">
        <v>19</v>
      </c>
      <c r="N7458" s="9" t="s">
        <v>20</v>
      </c>
      <c r="O7458" s="6" t="str">
        <f>HYPERLINK("https://pbs.twimg.com/profile_images/962471262747529216/Uo8lOkRJ_normal.jpg","View")</f>
        <v>View</v>
      </c>
      <c r="P7458" s="7"/>
    </row>
    <row r="7459" spans="1:16">
      <c r="A7459" s="3">
        <v>44021.760069444441</v>
      </c>
      <c r="B7459" s="4" t="str">
        <f>HYPERLINK("https://twitter.com/petrogustavo","@petrogustavo")</f>
        <v>@petrogustavo</v>
      </c>
      <c r="C7459" s="5" t="s">
        <v>16</v>
      </c>
      <c r="D7459" s="5" t="s">
        <v>3232</v>
      </c>
      <c r="E7459" s="6" t="str">
        <f>HYPERLINK("https://twitter.com/petrogustavo/status/1281207601636814848","1281207601636814848")</f>
        <v>1281207601636814848</v>
      </c>
      <c r="F7459" s="7" t="s">
        <v>17</v>
      </c>
      <c r="G7459" s="7">
        <v>3903692</v>
      </c>
      <c r="H7459" s="7">
        <v>2419</v>
      </c>
      <c r="I7459" s="7">
        <v>8092</v>
      </c>
      <c r="J7459" s="7">
        <v>0</v>
      </c>
      <c r="K7459" s="7" t="s">
        <v>18</v>
      </c>
      <c r="L7459" s="8">
        <v>39987.315405092595</v>
      </c>
      <c r="M7459" s="9" t="s">
        <v>19</v>
      </c>
      <c r="N7459" s="9" t="s">
        <v>20</v>
      </c>
      <c r="O7459" s="6" t="str">
        <f>HYPERLINK("https://pbs.twimg.com/profile_images/962471262747529216/Uo8lOkRJ_normal.jpg","View")</f>
        <v>View</v>
      </c>
      <c r="P7459" s="7"/>
    </row>
    <row r="7460" spans="1:16">
      <c r="A7460" s="3">
        <v>44021.761111111111</v>
      </c>
      <c r="B7460" s="4" t="str">
        <f>HYPERLINK("https://twitter.com/petrogustavo","@petrogustavo")</f>
        <v>@petrogustavo</v>
      </c>
      <c r="C7460" s="5" t="s">
        <v>16</v>
      </c>
      <c r="D7460" s="5" t="s">
        <v>7207</v>
      </c>
      <c r="E7460" s="6" t="str">
        <f>HYPERLINK("https://twitter.com/petrogustavo/status/1281207978545348608","1281207978545348608")</f>
        <v>1281207978545348608</v>
      </c>
      <c r="F7460" s="7" t="s">
        <v>17</v>
      </c>
      <c r="G7460" s="7">
        <v>3903692</v>
      </c>
      <c r="H7460" s="7">
        <v>2419</v>
      </c>
      <c r="I7460" s="7">
        <v>19</v>
      </c>
      <c r="J7460" s="7">
        <v>45</v>
      </c>
      <c r="K7460" s="7" t="s">
        <v>18</v>
      </c>
      <c r="L7460" s="8">
        <v>39987.315405092595</v>
      </c>
      <c r="M7460" s="9" t="s">
        <v>19</v>
      </c>
      <c r="N7460" s="9" t="s">
        <v>20</v>
      </c>
      <c r="O7460" s="6" t="str">
        <f>HYPERLINK("https://pbs.twimg.com/profile_images/962471262747529216/Uo8lOkRJ_normal.jpg","View")</f>
        <v>View</v>
      </c>
      <c r="P7460" s="7"/>
    </row>
    <row r="7461" spans="1:16">
      <c r="A7461" s="3">
        <v>44021.764594907407</v>
      </c>
      <c r="B7461" s="4" t="str">
        <f>HYPERLINK("https://twitter.com/petrogustavo","@petrogustavo")</f>
        <v>@petrogustavo</v>
      </c>
      <c r="C7461" s="5" t="s">
        <v>16</v>
      </c>
      <c r="D7461" s="5" t="s">
        <v>7208</v>
      </c>
      <c r="E7461" s="6" t="str">
        <f>HYPERLINK("https://twitter.com/petrogustavo/status/1281209241194369024","1281209241194369024")</f>
        <v>1281209241194369024</v>
      </c>
      <c r="F7461" s="7" t="s">
        <v>17</v>
      </c>
      <c r="G7461" s="7">
        <v>3903709</v>
      </c>
      <c r="H7461" s="7">
        <v>2419</v>
      </c>
      <c r="I7461" s="7">
        <v>289</v>
      </c>
      <c r="J7461" s="7">
        <v>0</v>
      </c>
      <c r="K7461" s="7" t="s">
        <v>18</v>
      </c>
      <c r="L7461" s="8">
        <v>39987.315405092595</v>
      </c>
      <c r="M7461" s="9" t="s">
        <v>19</v>
      </c>
      <c r="N7461" s="9" t="s">
        <v>20</v>
      </c>
      <c r="O7461" s="6" t="str">
        <f>HYPERLINK("https://pbs.twimg.com/profile_images/962471262747529216/Uo8lOkRJ_normal.jpg","View")</f>
        <v>View</v>
      </c>
      <c r="P7461" s="7"/>
    </row>
    <row r="7462" spans="1:16">
      <c r="A7462" s="3">
        <v>44021.765185185184</v>
      </c>
      <c r="B7462" s="4" t="str">
        <f>HYPERLINK("https://twitter.com/petrogustavo","@petrogustavo")</f>
        <v>@petrogustavo</v>
      </c>
      <c r="C7462" s="5" t="s">
        <v>16</v>
      </c>
      <c r="D7462" s="5" t="s">
        <v>7209</v>
      </c>
      <c r="E7462" s="6" t="str">
        <f>HYPERLINK("https://twitter.com/petrogustavo/status/1281209457029140480","1281209457029140480")</f>
        <v>1281209457029140480</v>
      </c>
      <c r="F7462" s="7" t="s">
        <v>17</v>
      </c>
      <c r="G7462" s="7">
        <v>3903709</v>
      </c>
      <c r="H7462" s="7">
        <v>2419</v>
      </c>
      <c r="I7462" s="7">
        <v>587</v>
      </c>
      <c r="J7462" s="7">
        <v>0</v>
      </c>
      <c r="K7462" s="7" t="s">
        <v>18</v>
      </c>
      <c r="L7462" s="8">
        <v>39987.315405092595</v>
      </c>
      <c r="M7462" s="9" t="s">
        <v>19</v>
      </c>
      <c r="N7462" s="9" t="s">
        <v>20</v>
      </c>
      <c r="O7462" s="6" t="str">
        <f>HYPERLINK("https://pbs.twimg.com/profile_images/962471262747529216/Uo8lOkRJ_normal.jpg","View")</f>
        <v>View</v>
      </c>
      <c r="P7462" s="7"/>
    </row>
    <row r="7463" spans="1:16">
      <c r="A7463" s="3">
        <v>44021.76630787037</v>
      </c>
      <c r="B7463" s="4" t="str">
        <f>HYPERLINK("https://twitter.com/petrogustavo","@petrogustavo")</f>
        <v>@petrogustavo</v>
      </c>
      <c r="C7463" s="5" t="s">
        <v>16</v>
      </c>
      <c r="D7463" s="5" t="s">
        <v>7210</v>
      </c>
      <c r="E7463" s="6" t="str">
        <f>HYPERLINK("https://twitter.com/petrogustavo/status/1281209861146062851","1281209861146062851")</f>
        <v>1281209861146062851</v>
      </c>
      <c r="F7463" s="7" t="s">
        <v>17</v>
      </c>
      <c r="G7463" s="7">
        <v>3903709</v>
      </c>
      <c r="H7463" s="7">
        <v>2419</v>
      </c>
      <c r="I7463" s="7">
        <v>245</v>
      </c>
      <c r="J7463" s="7">
        <v>0</v>
      </c>
      <c r="K7463" s="7" t="s">
        <v>18</v>
      </c>
      <c r="L7463" s="8">
        <v>39987.315405092595</v>
      </c>
      <c r="M7463" s="9" t="s">
        <v>19</v>
      </c>
      <c r="N7463" s="9" t="s">
        <v>20</v>
      </c>
      <c r="O7463" s="6" t="str">
        <f>HYPERLINK("https://pbs.twimg.com/profile_images/962471262747529216/Uo8lOkRJ_normal.jpg","View")</f>
        <v>View</v>
      </c>
      <c r="P7463" s="7"/>
    </row>
    <row r="7464" spans="1:16">
      <c r="A7464" s="3">
        <v>44021.774733796294</v>
      </c>
      <c r="B7464" s="4" t="str">
        <f>HYPERLINK("https://twitter.com/petrogustavo","@petrogustavo")</f>
        <v>@petrogustavo</v>
      </c>
      <c r="C7464" s="5" t="s">
        <v>16</v>
      </c>
      <c r="D7464" s="5" t="s">
        <v>7211</v>
      </c>
      <c r="E7464" s="6" t="str">
        <f>HYPERLINK("https://twitter.com/petrogustavo/status/1281212915358543874","1281212915358543874")</f>
        <v>1281212915358543874</v>
      </c>
      <c r="F7464" s="7" t="s">
        <v>32</v>
      </c>
      <c r="G7464" s="7">
        <v>3903709</v>
      </c>
      <c r="H7464" s="7">
        <v>2419</v>
      </c>
      <c r="I7464" s="7">
        <v>62</v>
      </c>
      <c r="J7464" s="7">
        <v>0</v>
      </c>
      <c r="K7464" s="7" t="s">
        <v>18</v>
      </c>
      <c r="L7464" s="8">
        <v>39987.315405092595</v>
      </c>
      <c r="M7464" s="9" t="s">
        <v>19</v>
      </c>
      <c r="N7464" s="9" t="s">
        <v>20</v>
      </c>
      <c r="O7464" s="6" t="str">
        <f>HYPERLINK("https://pbs.twimg.com/profile_images/962471262747529216/Uo8lOkRJ_normal.jpg","View")</f>
        <v>View</v>
      </c>
      <c r="P7464" s="7"/>
    </row>
    <row r="7465" spans="1:16">
      <c r="A7465" s="3">
        <v>44021.77543981481</v>
      </c>
      <c r="B7465" s="4" t="str">
        <f>HYPERLINK("https://twitter.com/petrogustavo","@petrogustavo")</f>
        <v>@petrogustavo</v>
      </c>
      <c r="C7465" s="5" t="s">
        <v>16</v>
      </c>
      <c r="D7465" s="5" t="s">
        <v>7212</v>
      </c>
      <c r="E7465" s="6" t="str">
        <f>HYPERLINK("https://twitter.com/petrogustavo/status/1281213172842729473","1281213172842729473")</f>
        <v>1281213172842729473</v>
      </c>
      <c r="F7465" s="7" t="s">
        <v>32</v>
      </c>
      <c r="G7465" s="7">
        <v>3903709</v>
      </c>
      <c r="H7465" s="7">
        <v>2419</v>
      </c>
      <c r="I7465" s="7">
        <v>130</v>
      </c>
      <c r="J7465" s="7">
        <v>0</v>
      </c>
      <c r="K7465" s="7" t="s">
        <v>18</v>
      </c>
      <c r="L7465" s="8">
        <v>39987.315405092595</v>
      </c>
      <c r="M7465" s="9" t="s">
        <v>19</v>
      </c>
      <c r="N7465" s="9" t="s">
        <v>20</v>
      </c>
      <c r="O7465" s="6" t="str">
        <f>HYPERLINK("https://pbs.twimg.com/profile_images/962471262747529216/Uo8lOkRJ_normal.jpg","View")</f>
        <v>View</v>
      </c>
      <c r="P7465" s="7"/>
    </row>
    <row r="7466" spans="1:16">
      <c r="A7466" s="3">
        <v>44021.775752314818</v>
      </c>
      <c r="B7466" s="4" t="str">
        <f>HYPERLINK("https://twitter.com/petrogustavo","@petrogustavo")</f>
        <v>@petrogustavo</v>
      </c>
      <c r="C7466" s="5" t="s">
        <v>16</v>
      </c>
      <c r="D7466" s="5" t="s">
        <v>7213</v>
      </c>
      <c r="E7466" s="6" t="str">
        <f>HYPERLINK("https://twitter.com/petrogustavo/status/1281213284151169024","1281213284151169024")</f>
        <v>1281213284151169024</v>
      </c>
      <c r="F7466" s="7" t="s">
        <v>32</v>
      </c>
      <c r="G7466" s="7">
        <v>3903709</v>
      </c>
      <c r="H7466" s="7">
        <v>2419</v>
      </c>
      <c r="I7466" s="7">
        <v>137</v>
      </c>
      <c r="J7466" s="7">
        <v>0</v>
      </c>
      <c r="K7466" s="7" t="s">
        <v>18</v>
      </c>
      <c r="L7466" s="8">
        <v>39987.315405092595</v>
      </c>
      <c r="M7466" s="9" t="s">
        <v>19</v>
      </c>
      <c r="N7466" s="9" t="s">
        <v>20</v>
      </c>
      <c r="O7466" s="6" t="str">
        <f>HYPERLINK("https://pbs.twimg.com/profile_images/962471262747529216/Uo8lOkRJ_normal.jpg","View")</f>
        <v>View</v>
      </c>
      <c r="P7466" s="7"/>
    </row>
    <row r="7467" spans="1:16">
      <c r="A7467" s="3">
        <v>44021.776932870373</v>
      </c>
      <c r="B7467" s="4" t="str">
        <f>HYPERLINK("https://twitter.com/petrogustavo","@petrogustavo")</f>
        <v>@petrogustavo</v>
      </c>
      <c r="C7467" s="5" t="s">
        <v>16</v>
      </c>
      <c r="D7467" s="5" t="s">
        <v>7214</v>
      </c>
      <c r="E7467" s="6" t="str">
        <f>HYPERLINK("https://twitter.com/petrogustavo/status/1281213713312362497","1281213713312362497")</f>
        <v>1281213713312362497</v>
      </c>
      <c r="F7467" s="7" t="s">
        <v>32</v>
      </c>
      <c r="G7467" s="7">
        <v>3903709</v>
      </c>
      <c r="H7467" s="7">
        <v>2419</v>
      </c>
      <c r="I7467" s="7">
        <v>236</v>
      </c>
      <c r="J7467" s="7">
        <v>0</v>
      </c>
      <c r="K7467" s="7" t="s">
        <v>18</v>
      </c>
      <c r="L7467" s="8">
        <v>39987.315405092595</v>
      </c>
      <c r="M7467" s="9" t="s">
        <v>19</v>
      </c>
      <c r="N7467" s="9" t="s">
        <v>20</v>
      </c>
      <c r="O7467" s="6" t="str">
        <f>HYPERLINK("https://pbs.twimg.com/profile_images/962471262747529216/Uo8lOkRJ_normal.jpg","View")</f>
        <v>View</v>
      </c>
      <c r="P7467" s="7"/>
    </row>
    <row r="7468" spans="1:16">
      <c r="A7468" s="3">
        <v>44021.77920138889</v>
      </c>
      <c r="B7468" s="4" t="str">
        <f>HYPERLINK("https://twitter.com/petrogustavo","@petrogustavo")</f>
        <v>@petrogustavo</v>
      </c>
      <c r="C7468" s="5" t="s">
        <v>16</v>
      </c>
      <c r="D7468" s="5" t="s">
        <v>7215</v>
      </c>
      <c r="E7468" s="6" t="str">
        <f>HYPERLINK("https://twitter.com/petrogustavo/status/1281214534804484099","1281214534804484099")</f>
        <v>1281214534804484099</v>
      </c>
      <c r="F7468" s="7" t="s">
        <v>32</v>
      </c>
      <c r="G7468" s="7">
        <v>3903709</v>
      </c>
      <c r="H7468" s="7">
        <v>2419</v>
      </c>
      <c r="I7468" s="7">
        <v>347</v>
      </c>
      <c r="J7468" s="7">
        <v>0</v>
      </c>
      <c r="K7468" s="7" t="s">
        <v>18</v>
      </c>
      <c r="L7468" s="8">
        <v>39987.315405092595</v>
      </c>
      <c r="M7468" s="9" t="s">
        <v>19</v>
      </c>
      <c r="N7468" s="9" t="s">
        <v>20</v>
      </c>
      <c r="O7468" s="6" t="str">
        <f>HYPERLINK("https://pbs.twimg.com/profile_images/962471262747529216/Uo8lOkRJ_normal.jpg","View")</f>
        <v>View</v>
      </c>
      <c r="P7468" s="7"/>
    </row>
    <row r="7469" spans="1:16">
      <c r="A7469" s="3">
        <v>44021.779652777783</v>
      </c>
      <c r="B7469" s="4" t="str">
        <f>HYPERLINK("https://twitter.com/petrogustavo","@petrogustavo")</f>
        <v>@petrogustavo</v>
      </c>
      <c r="C7469" s="5" t="s">
        <v>16</v>
      </c>
      <c r="D7469" s="5" t="s">
        <v>7216</v>
      </c>
      <c r="E7469" s="6" t="str">
        <f>HYPERLINK("https://twitter.com/petrogustavo/status/1281214699481247744","1281214699481247744")</f>
        <v>1281214699481247744</v>
      </c>
      <c r="F7469" s="7" t="s">
        <v>32</v>
      </c>
      <c r="G7469" s="7">
        <v>3903709</v>
      </c>
      <c r="H7469" s="7">
        <v>2419</v>
      </c>
      <c r="I7469" s="7">
        <v>1141</v>
      </c>
      <c r="J7469" s="7">
        <v>0</v>
      </c>
      <c r="K7469" s="7" t="s">
        <v>18</v>
      </c>
      <c r="L7469" s="8">
        <v>39987.315405092595</v>
      </c>
      <c r="M7469" s="9" t="s">
        <v>19</v>
      </c>
      <c r="N7469" s="9" t="s">
        <v>20</v>
      </c>
      <c r="O7469" s="6" t="str">
        <f>HYPERLINK("https://pbs.twimg.com/profile_images/962471262747529216/Uo8lOkRJ_normal.jpg","View")</f>
        <v>View</v>
      </c>
      <c r="P7469" s="7"/>
    </row>
    <row r="7470" spans="1:16">
      <c r="A7470" s="3">
        <v>44021.786134259259</v>
      </c>
      <c r="B7470" s="4" t="str">
        <f>HYPERLINK("https://twitter.com/petrogustavo","@petrogustavo")</f>
        <v>@petrogustavo</v>
      </c>
      <c r="C7470" s="5" t="s">
        <v>16</v>
      </c>
      <c r="D7470" s="5" t="s">
        <v>7217</v>
      </c>
      <c r="E7470" s="6" t="str">
        <f>HYPERLINK("https://twitter.com/petrogustavo/status/1281217046370533376","1281217046370533376")</f>
        <v>1281217046370533376</v>
      </c>
      <c r="F7470" s="7" t="s">
        <v>32</v>
      </c>
      <c r="G7470" s="7">
        <v>3903730</v>
      </c>
      <c r="H7470" s="7">
        <v>2419</v>
      </c>
      <c r="I7470" s="7">
        <v>92</v>
      </c>
      <c r="J7470" s="7">
        <v>209</v>
      </c>
      <c r="K7470" s="7" t="s">
        <v>18</v>
      </c>
      <c r="L7470" s="8">
        <v>39987.315405092595</v>
      </c>
      <c r="M7470" s="9" t="s">
        <v>19</v>
      </c>
      <c r="N7470" s="9" t="s">
        <v>20</v>
      </c>
      <c r="O7470" s="6" t="str">
        <f>HYPERLINK("https://pbs.twimg.com/profile_images/962471262747529216/Uo8lOkRJ_normal.jpg","View")</f>
        <v>View</v>
      </c>
      <c r="P7470" s="7"/>
    </row>
    <row r="7471" spans="1:16">
      <c r="A7471" s="3">
        <v>44021.896782407406</v>
      </c>
      <c r="B7471" s="4" t="str">
        <f>HYPERLINK("https://twitter.com/petrogustavo","@petrogustavo")</f>
        <v>@petrogustavo</v>
      </c>
      <c r="C7471" s="5" t="s">
        <v>16</v>
      </c>
      <c r="D7471" s="5" t="s">
        <v>7218</v>
      </c>
      <c r="E7471" s="6" t="str">
        <f>HYPERLINK("https://twitter.com/petrogustavo/status/1281257143421763584","1281257143421763584")</f>
        <v>1281257143421763584</v>
      </c>
      <c r="F7471" s="7" t="s">
        <v>17</v>
      </c>
      <c r="G7471" s="7">
        <v>3903855</v>
      </c>
      <c r="H7471" s="7">
        <v>2420</v>
      </c>
      <c r="I7471" s="7">
        <v>185</v>
      </c>
      <c r="J7471" s="7">
        <v>423</v>
      </c>
      <c r="K7471" s="7" t="s">
        <v>18</v>
      </c>
      <c r="L7471" s="8">
        <v>39987.315405092595</v>
      </c>
      <c r="M7471" s="9" t="s">
        <v>19</v>
      </c>
      <c r="N7471" s="9" t="s">
        <v>20</v>
      </c>
      <c r="O7471" s="6" t="str">
        <f>HYPERLINK("https://pbs.twimg.com/profile_images/962471262747529216/Uo8lOkRJ_normal.jpg","View")</f>
        <v>View</v>
      </c>
      <c r="P7471" s="7"/>
    </row>
    <row r="7472" spans="1:16">
      <c r="A7472" s="3">
        <v>44021.940138888887</v>
      </c>
      <c r="B7472" s="4" t="str">
        <f>HYPERLINK("https://twitter.com/petrogustavo","@petrogustavo")</f>
        <v>@petrogustavo</v>
      </c>
      <c r="C7472" s="5" t="s">
        <v>16</v>
      </c>
      <c r="D7472" s="5" t="s">
        <v>7219</v>
      </c>
      <c r="E7472" s="6" t="str">
        <f>HYPERLINK("https://twitter.com/petrogustavo/status/1281272854709968898","1281272854709968898")</f>
        <v>1281272854709968898</v>
      </c>
      <c r="F7472" s="7" t="s">
        <v>17</v>
      </c>
      <c r="G7472" s="7">
        <v>3903910</v>
      </c>
      <c r="H7472" s="7">
        <v>2420</v>
      </c>
      <c r="I7472" s="7">
        <v>23</v>
      </c>
      <c r="J7472" s="7">
        <v>0</v>
      </c>
      <c r="K7472" s="7" t="s">
        <v>18</v>
      </c>
      <c r="L7472" s="8">
        <v>39987.315405092595</v>
      </c>
      <c r="M7472" s="9" t="s">
        <v>19</v>
      </c>
      <c r="N7472" s="9" t="s">
        <v>20</v>
      </c>
      <c r="O7472" s="6" t="str">
        <f>HYPERLINK("https://pbs.twimg.com/profile_images/962471262747529216/Uo8lOkRJ_normal.jpg","View")</f>
        <v>View</v>
      </c>
      <c r="P7472" s="7"/>
    </row>
    <row r="7473" spans="1:16">
      <c r="A7473" s="3">
        <v>44021.940393518518</v>
      </c>
      <c r="B7473" s="4" t="str">
        <f>HYPERLINK("https://twitter.com/petrogustavo","@petrogustavo")</f>
        <v>@petrogustavo</v>
      </c>
      <c r="C7473" s="5" t="s">
        <v>16</v>
      </c>
      <c r="D7473" s="5" t="s">
        <v>7220</v>
      </c>
      <c r="E7473" s="6" t="str">
        <f>HYPERLINK("https://twitter.com/petrogustavo/status/1281272949874573312","1281272949874573312")</f>
        <v>1281272949874573312</v>
      </c>
      <c r="F7473" s="7" t="s">
        <v>17</v>
      </c>
      <c r="G7473" s="7">
        <v>3903910</v>
      </c>
      <c r="H7473" s="7">
        <v>2420</v>
      </c>
      <c r="I7473" s="7">
        <v>476</v>
      </c>
      <c r="J7473" s="7">
        <v>0</v>
      </c>
      <c r="K7473" s="7" t="s">
        <v>18</v>
      </c>
      <c r="L7473" s="8">
        <v>39987.315405092595</v>
      </c>
      <c r="M7473" s="9" t="s">
        <v>19</v>
      </c>
      <c r="N7473" s="9" t="s">
        <v>20</v>
      </c>
      <c r="O7473" s="6" t="str">
        <f>HYPERLINK("https://pbs.twimg.com/profile_images/962471262747529216/Uo8lOkRJ_normal.jpg","View")</f>
        <v>View</v>
      </c>
      <c r="P7473" s="7"/>
    </row>
    <row r="7474" spans="1:16">
      <c r="A7474" s="3">
        <v>44021.951550925922</v>
      </c>
      <c r="B7474" s="4" t="str">
        <f>HYPERLINK("https://twitter.com/petrogustavo","@petrogustavo")</f>
        <v>@petrogustavo</v>
      </c>
      <c r="C7474" s="5" t="s">
        <v>16</v>
      </c>
      <c r="D7474" s="5" t="s">
        <v>7221</v>
      </c>
      <c r="E7474" s="6" t="str">
        <f>HYPERLINK("https://twitter.com/petrogustavo/status/1281276989949837313","1281276989949837313")</f>
        <v>1281276989949837313</v>
      </c>
      <c r="F7474" s="7" t="s">
        <v>32</v>
      </c>
      <c r="G7474" s="7">
        <v>3903898</v>
      </c>
      <c r="H7474" s="7">
        <v>2420</v>
      </c>
      <c r="I7474" s="7">
        <v>605</v>
      </c>
      <c r="J7474" s="7">
        <v>0</v>
      </c>
      <c r="K7474" s="7" t="s">
        <v>18</v>
      </c>
      <c r="L7474" s="8">
        <v>39987.315405092595</v>
      </c>
      <c r="M7474" s="9" t="s">
        <v>19</v>
      </c>
      <c r="N7474" s="9" t="s">
        <v>20</v>
      </c>
      <c r="O7474" s="6" t="str">
        <f>HYPERLINK("https://pbs.twimg.com/profile_images/962471262747529216/Uo8lOkRJ_normal.jpg","View")</f>
        <v>View</v>
      </c>
      <c r="P7474" s="7"/>
    </row>
    <row r="7475" spans="1:16">
      <c r="A7475" s="3">
        <v>44021.956226851849</v>
      </c>
      <c r="B7475" s="4" t="str">
        <f>HYPERLINK("https://twitter.com/petrogustavo","@petrogustavo")</f>
        <v>@petrogustavo</v>
      </c>
      <c r="C7475" s="5" t="s">
        <v>16</v>
      </c>
      <c r="D7475" s="5" t="s">
        <v>7222</v>
      </c>
      <c r="E7475" s="6" t="str">
        <f>HYPERLINK("https://twitter.com/petrogustavo/status/1281278686663258116","1281278686663258116")</f>
        <v>1281278686663258116</v>
      </c>
      <c r="F7475" s="7" t="s">
        <v>32</v>
      </c>
      <c r="G7475" s="7">
        <v>3903898</v>
      </c>
      <c r="H7475" s="7">
        <v>2420</v>
      </c>
      <c r="I7475" s="7">
        <v>154</v>
      </c>
      <c r="J7475" s="7">
        <v>397</v>
      </c>
      <c r="K7475" s="7" t="s">
        <v>18</v>
      </c>
      <c r="L7475" s="8">
        <v>39987.315405092595</v>
      </c>
      <c r="M7475" s="9" t="s">
        <v>19</v>
      </c>
      <c r="N7475" s="9" t="s">
        <v>20</v>
      </c>
      <c r="O7475" s="6" t="str">
        <f>HYPERLINK("https://pbs.twimg.com/profile_images/962471262747529216/Uo8lOkRJ_normal.jpg","View")</f>
        <v>View</v>
      </c>
      <c r="P7475" s="7"/>
    </row>
    <row r="7476" spans="1:16">
      <c r="A7476" s="3">
        <v>44021.960115740745</v>
      </c>
      <c r="B7476" s="4" t="str">
        <f>HYPERLINK("https://twitter.com/petrogustavo","@petrogustavo")</f>
        <v>@petrogustavo</v>
      </c>
      <c r="C7476" s="5" t="s">
        <v>16</v>
      </c>
      <c r="D7476" s="5" t="s">
        <v>7223</v>
      </c>
      <c r="E7476" s="6" t="str">
        <f>HYPERLINK("https://twitter.com/petrogustavo/status/1281280097664798721","1281280097664798721")</f>
        <v>1281280097664798721</v>
      </c>
      <c r="F7476" s="7" t="s">
        <v>32</v>
      </c>
      <c r="G7476" s="7">
        <v>3903898</v>
      </c>
      <c r="H7476" s="7">
        <v>2420</v>
      </c>
      <c r="I7476" s="7">
        <v>32</v>
      </c>
      <c r="J7476" s="7">
        <v>0</v>
      </c>
      <c r="K7476" s="7" t="s">
        <v>18</v>
      </c>
      <c r="L7476" s="8">
        <v>39987.315405092595</v>
      </c>
      <c r="M7476" s="9" t="s">
        <v>19</v>
      </c>
      <c r="N7476" s="9" t="s">
        <v>20</v>
      </c>
      <c r="O7476" s="6" t="str">
        <f>HYPERLINK("https://pbs.twimg.com/profile_images/962471262747529216/Uo8lOkRJ_normal.jpg","View")</f>
        <v>View</v>
      </c>
      <c r="P7476" s="7"/>
    </row>
    <row r="7477" spans="1:16">
      <c r="A7477" s="3">
        <v>44021.994027777779</v>
      </c>
      <c r="B7477" s="4" t="str">
        <f>HYPERLINK("https://twitter.com/petrogustavo","@petrogustavo")</f>
        <v>@petrogustavo</v>
      </c>
      <c r="C7477" s="5" t="s">
        <v>16</v>
      </c>
      <c r="D7477" s="5" t="s">
        <v>7224</v>
      </c>
      <c r="E7477" s="6" t="str">
        <f>HYPERLINK("https://twitter.com/petrogustavo/status/1281292384559665152","1281292384559665152")</f>
        <v>1281292384559665152</v>
      </c>
      <c r="F7477" s="7" t="s">
        <v>32</v>
      </c>
      <c r="G7477" s="7">
        <v>3903958</v>
      </c>
      <c r="H7477" s="7">
        <v>2420</v>
      </c>
      <c r="I7477" s="7">
        <v>210</v>
      </c>
      <c r="J7477" s="7">
        <v>694</v>
      </c>
      <c r="K7477" s="7" t="s">
        <v>18</v>
      </c>
      <c r="L7477" s="8">
        <v>39987.315405092595</v>
      </c>
      <c r="M7477" s="9" t="s">
        <v>19</v>
      </c>
      <c r="N7477" s="9" t="s">
        <v>20</v>
      </c>
      <c r="O7477" s="6" t="str">
        <f>HYPERLINK("https://pbs.twimg.com/profile_images/962471262747529216/Uo8lOkRJ_normal.jpg","View")</f>
        <v>View</v>
      </c>
      <c r="P7477" s="7"/>
    </row>
    <row r="7478" spans="1:16">
      <c r="A7478" s="3">
        <v>44022.021006944444</v>
      </c>
      <c r="B7478" s="4" t="str">
        <f>HYPERLINK("https://twitter.com/petrogustavo","@petrogustavo")</f>
        <v>@petrogustavo</v>
      </c>
      <c r="C7478" s="5" t="s">
        <v>16</v>
      </c>
      <c r="D7478" s="5" t="s">
        <v>7225</v>
      </c>
      <c r="E7478" s="6" t="str">
        <f>HYPERLINK("https://twitter.com/petrogustavo/status/1281302160588881920","1281302160588881920")</f>
        <v>1281302160588881920</v>
      </c>
      <c r="F7478" s="7" t="s">
        <v>32</v>
      </c>
      <c r="G7478" s="7">
        <v>3903981</v>
      </c>
      <c r="H7478" s="7">
        <v>2420</v>
      </c>
      <c r="I7478" s="7">
        <v>89</v>
      </c>
      <c r="J7478" s="7">
        <v>273</v>
      </c>
      <c r="K7478" s="7" t="s">
        <v>18</v>
      </c>
      <c r="L7478" s="8">
        <v>39987.315405092595</v>
      </c>
      <c r="M7478" s="9" t="s">
        <v>19</v>
      </c>
      <c r="N7478" s="9" t="s">
        <v>20</v>
      </c>
      <c r="O7478" s="6" t="str">
        <f>HYPERLINK("https://pbs.twimg.com/profile_images/962471262747529216/Uo8lOkRJ_normal.jpg","View")</f>
        <v>View</v>
      </c>
      <c r="P7478" s="7"/>
    </row>
    <row r="7479" spans="1:16">
      <c r="A7479" s="3">
        <v>44022.030972222223</v>
      </c>
      <c r="B7479" s="4" t="str">
        <f>HYPERLINK("https://twitter.com/petrogustavo","@petrogustavo")</f>
        <v>@petrogustavo</v>
      </c>
      <c r="C7479" s="5" t="s">
        <v>16</v>
      </c>
      <c r="D7479" s="5" t="s">
        <v>7226</v>
      </c>
      <c r="E7479" s="6" t="str">
        <f>HYPERLINK("https://twitter.com/petrogustavo/status/1281305771528146947","1281305771528146947")</f>
        <v>1281305771528146947</v>
      </c>
      <c r="F7479" s="7" t="s">
        <v>32</v>
      </c>
      <c r="G7479" s="7">
        <v>3903981</v>
      </c>
      <c r="H7479" s="7">
        <v>2420</v>
      </c>
      <c r="I7479" s="7">
        <v>402</v>
      </c>
      <c r="J7479" s="7">
        <v>0</v>
      </c>
      <c r="K7479" s="7" t="s">
        <v>18</v>
      </c>
      <c r="L7479" s="8">
        <v>39987.315405092595</v>
      </c>
      <c r="M7479" s="9" t="s">
        <v>19</v>
      </c>
      <c r="N7479" s="9" t="s">
        <v>20</v>
      </c>
      <c r="O7479" s="6" t="str">
        <f>HYPERLINK("https://pbs.twimg.com/profile_images/962471262747529216/Uo8lOkRJ_normal.jpg","View")</f>
        <v>View</v>
      </c>
      <c r="P7479" s="7"/>
    </row>
    <row r="7480" spans="1:16">
      <c r="A7480" s="3">
        <v>44022.034895833334</v>
      </c>
      <c r="B7480" s="4" t="str">
        <f>HYPERLINK("https://twitter.com/petrogustavo","@petrogustavo")</f>
        <v>@petrogustavo</v>
      </c>
      <c r="C7480" s="5" t="s">
        <v>16</v>
      </c>
      <c r="D7480" s="5" t="s">
        <v>7227</v>
      </c>
      <c r="E7480" s="6" t="str">
        <f>HYPERLINK("https://twitter.com/petrogustavo/status/1281307193502031872","1281307193502031872")</f>
        <v>1281307193502031872</v>
      </c>
      <c r="F7480" s="7" t="s">
        <v>17</v>
      </c>
      <c r="G7480" s="7">
        <v>3904004</v>
      </c>
      <c r="H7480" s="7">
        <v>2420</v>
      </c>
      <c r="I7480" s="7">
        <v>113</v>
      </c>
      <c r="J7480" s="7">
        <v>254</v>
      </c>
      <c r="K7480" s="7" t="s">
        <v>18</v>
      </c>
      <c r="L7480" s="8">
        <v>39987.315405092595</v>
      </c>
      <c r="M7480" s="9" t="s">
        <v>19</v>
      </c>
      <c r="N7480" s="9" t="s">
        <v>20</v>
      </c>
      <c r="O7480" s="6" t="str">
        <f>HYPERLINK("https://pbs.twimg.com/profile_images/962471262747529216/Uo8lOkRJ_normal.jpg","View")</f>
        <v>View</v>
      </c>
      <c r="P7480" s="7"/>
    </row>
    <row r="7481" spans="1:16">
      <c r="A7481" s="3">
        <v>44022.063831018517</v>
      </c>
      <c r="B7481" s="4" t="str">
        <f>HYPERLINK("https://twitter.com/petrogustavo","@petrogustavo")</f>
        <v>@petrogustavo</v>
      </c>
      <c r="C7481" s="5" t="s">
        <v>16</v>
      </c>
      <c r="D7481" s="5" t="s">
        <v>7228</v>
      </c>
      <c r="E7481" s="6" t="str">
        <f>HYPERLINK("https://twitter.com/petrogustavo/status/1281317682411905029","1281317682411905029")</f>
        <v>1281317682411905029</v>
      </c>
      <c r="F7481" s="7" t="s">
        <v>17</v>
      </c>
      <c r="G7481" s="7">
        <v>3904029</v>
      </c>
      <c r="H7481" s="7">
        <v>2420</v>
      </c>
      <c r="I7481" s="7">
        <v>211</v>
      </c>
      <c r="J7481" s="7">
        <v>326</v>
      </c>
      <c r="K7481" s="7" t="s">
        <v>18</v>
      </c>
      <c r="L7481" s="8">
        <v>39987.315405092595</v>
      </c>
      <c r="M7481" s="9" t="s">
        <v>19</v>
      </c>
      <c r="N7481" s="9" t="s">
        <v>20</v>
      </c>
      <c r="O7481" s="6" t="str">
        <f>HYPERLINK("https://pbs.twimg.com/profile_images/962471262747529216/Uo8lOkRJ_normal.jpg","View")</f>
        <v>View</v>
      </c>
      <c r="P7481" s="7"/>
    </row>
    <row r="7482" spans="1:16">
      <c r="A7482" s="3">
        <v>44022.147118055553</v>
      </c>
      <c r="B7482" s="4" t="str">
        <f>HYPERLINK("https://twitter.com/petrogustavo","@petrogustavo")</f>
        <v>@petrogustavo</v>
      </c>
      <c r="C7482" s="5" t="s">
        <v>16</v>
      </c>
      <c r="D7482" s="5" t="s">
        <v>7229</v>
      </c>
      <c r="E7482" s="6" t="str">
        <f>HYPERLINK("https://twitter.com/petrogustavo/status/1281347863943970816","1281347863943970816")</f>
        <v>1281347863943970816</v>
      </c>
      <c r="F7482" s="7" t="s">
        <v>17</v>
      </c>
      <c r="G7482" s="7">
        <v>3904148</v>
      </c>
      <c r="H7482" s="7">
        <v>2420</v>
      </c>
      <c r="I7482" s="7">
        <v>119</v>
      </c>
      <c r="J7482" s="7">
        <v>533</v>
      </c>
      <c r="K7482" s="7" t="s">
        <v>18</v>
      </c>
      <c r="L7482" s="8">
        <v>39987.315405092595</v>
      </c>
      <c r="M7482" s="9" t="s">
        <v>19</v>
      </c>
      <c r="N7482" s="9" t="s">
        <v>20</v>
      </c>
      <c r="O7482" s="6" t="str">
        <f>HYPERLINK("https://pbs.twimg.com/profile_images/962471262747529216/Uo8lOkRJ_normal.jpg","View")</f>
        <v>View</v>
      </c>
      <c r="P7482" s="7"/>
    </row>
    <row r="7483" spans="1:16">
      <c r="A7483" s="3">
        <v>44022.152789351851</v>
      </c>
      <c r="B7483" s="4" t="str">
        <f>HYPERLINK("https://twitter.com/petrogustavo","@petrogustavo")</f>
        <v>@petrogustavo</v>
      </c>
      <c r="C7483" s="5" t="s">
        <v>16</v>
      </c>
      <c r="D7483" s="5" t="s">
        <v>7230</v>
      </c>
      <c r="E7483" s="6" t="str">
        <f>HYPERLINK("https://twitter.com/petrogustavo/status/1281349918662303744","1281349918662303744")</f>
        <v>1281349918662303744</v>
      </c>
      <c r="F7483" s="7" t="s">
        <v>17</v>
      </c>
      <c r="G7483" s="7">
        <v>3904148</v>
      </c>
      <c r="H7483" s="7">
        <v>2420</v>
      </c>
      <c r="I7483" s="7">
        <v>22</v>
      </c>
      <c r="J7483" s="7">
        <v>0</v>
      </c>
      <c r="K7483" s="7" t="s">
        <v>18</v>
      </c>
      <c r="L7483" s="8">
        <v>39987.315405092595</v>
      </c>
      <c r="M7483" s="9" t="s">
        <v>19</v>
      </c>
      <c r="N7483" s="9" t="s">
        <v>20</v>
      </c>
      <c r="O7483" s="6" t="str">
        <f>HYPERLINK("https://pbs.twimg.com/profile_images/962471262747529216/Uo8lOkRJ_normal.jpg","View")</f>
        <v>View</v>
      </c>
      <c r="P7483" s="7"/>
    </row>
    <row r="7484" spans="1:16">
      <c r="A7484" s="3">
        <v>44022.153854166667</v>
      </c>
      <c r="B7484" s="4" t="str">
        <f>HYPERLINK("https://twitter.com/petrogustavo","@petrogustavo")</f>
        <v>@petrogustavo</v>
      </c>
      <c r="C7484" s="5" t="s">
        <v>16</v>
      </c>
      <c r="D7484" s="5" t="s">
        <v>7231</v>
      </c>
      <c r="E7484" s="6" t="str">
        <f>HYPERLINK("https://twitter.com/petrogustavo/status/1281350303699345410","1281350303699345410")</f>
        <v>1281350303699345410</v>
      </c>
      <c r="F7484" s="7" t="s">
        <v>17</v>
      </c>
      <c r="G7484" s="7">
        <v>3904148</v>
      </c>
      <c r="H7484" s="7">
        <v>2420</v>
      </c>
      <c r="I7484" s="7">
        <v>119</v>
      </c>
      <c r="J7484" s="7">
        <v>391</v>
      </c>
      <c r="K7484" s="7" t="s">
        <v>18</v>
      </c>
      <c r="L7484" s="8">
        <v>39987.315405092595</v>
      </c>
      <c r="M7484" s="9" t="s">
        <v>19</v>
      </c>
      <c r="N7484" s="9" t="s">
        <v>20</v>
      </c>
      <c r="O7484" s="6" t="str">
        <f>HYPERLINK("https://pbs.twimg.com/profile_images/962471262747529216/Uo8lOkRJ_normal.jpg","View")</f>
        <v>View</v>
      </c>
      <c r="P7484" s="7"/>
    </row>
    <row r="7485" spans="1:16">
      <c r="A7485" s="3">
        <v>44022.154444444444</v>
      </c>
      <c r="B7485" s="4" t="str">
        <f>HYPERLINK("https://twitter.com/petrogustavo","@petrogustavo")</f>
        <v>@petrogustavo</v>
      </c>
      <c r="C7485" s="5" t="s">
        <v>16</v>
      </c>
      <c r="D7485" s="5" t="s">
        <v>7232</v>
      </c>
      <c r="E7485" s="6" t="str">
        <f>HYPERLINK("https://twitter.com/petrogustavo/status/1281350519567548417","1281350519567548417")</f>
        <v>1281350519567548417</v>
      </c>
      <c r="F7485" s="7" t="s">
        <v>17</v>
      </c>
      <c r="G7485" s="7">
        <v>3904148</v>
      </c>
      <c r="H7485" s="7">
        <v>2420</v>
      </c>
      <c r="I7485" s="7">
        <v>279</v>
      </c>
      <c r="J7485" s="7">
        <v>0</v>
      </c>
      <c r="K7485" s="7" t="s">
        <v>18</v>
      </c>
      <c r="L7485" s="8">
        <v>39987.315405092595</v>
      </c>
      <c r="M7485" s="9" t="s">
        <v>19</v>
      </c>
      <c r="N7485" s="9" t="s">
        <v>20</v>
      </c>
      <c r="O7485" s="6" t="str">
        <f>HYPERLINK("https://pbs.twimg.com/profile_images/962471262747529216/Uo8lOkRJ_normal.jpg","View")</f>
        <v>View</v>
      </c>
      <c r="P7485" s="7"/>
    </row>
    <row r="7486" spans="1:16">
      <c r="A7486" s="3">
        <v>44022.15626157407</v>
      </c>
      <c r="B7486" s="4" t="str">
        <f>HYPERLINK("https://twitter.com/petrogustavo","@petrogustavo")</f>
        <v>@petrogustavo</v>
      </c>
      <c r="C7486" s="5" t="s">
        <v>16</v>
      </c>
      <c r="D7486" s="5" t="s">
        <v>7233</v>
      </c>
      <c r="E7486" s="6" t="str">
        <f>HYPERLINK("https://twitter.com/petrogustavo/status/1281351178375356418","1281351178375356418")</f>
        <v>1281351178375356418</v>
      </c>
      <c r="F7486" s="7" t="s">
        <v>17</v>
      </c>
      <c r="G7486" s="7">
        <v>3904148</v>
      </c>
      <c r="H7486" s="7">
        <v>2420</v>
      </c>
      <c r="I7486" s="7">
        <v>23</v>
      </c>
      <c r="J7486" s="7">
        <v>40</v>
      </c>
      <c r="K7486" s="7" t="s">
        <v>18</v>
      </c>
      <c r="L7486" s="8">
        <v>39987.315405092595</v>
      </c>
      <c r="M7486" s="9" t="s">
        <v>19</v>
      </c>
      <c r="N7486" s="9" t="s">
        <v>20</v>
      </c>
      <c r="O7486" s="6" t="str">
        <f>HYPERLINK("https://pbs.twimg.com/profile_images/962471262747529216/Uo8lOkRJ_normal.jpg","View")</f>
        <v>View</v>
      </c>
      <c r="P7486" s="7"/>
    </row>
    <row r="7487" spans="1:16">
      <c r="A7487" s="3">
        <v>44022.250520833331</v>
      </c>
      <c r="B7487" s="4" t="str">
        <f>HYPERLINK("https://twitter.com/petrogustavo","@petrogustavo")</f>
        <v>@petrogustavo</v>
      </c>
      <c r="C7487" s="5" t="s">
        <v>16</v>
      </c>
      <c r="D7487" s="5" t="s">
        <v>7234</v>
      </c>
      <c r="E7487" s="6" t="str">
        <f>HYPERLINK("https://twitter.com/petrogustavo/status/1281385334052474880","1281385334052474880")</f>
        <v>1281385334052474880</v>
      </c>
      <c r="F7487" s="7" t="s">
        <v>17</v>
      </c>
      <c r="G7487" s="7">
        <v>3904254</v>
      </c>
      <c r="H7487" s="7">
        <v>2420</v>
      </c>
      <c r="I7487" s="7">
        <v>162</v>
      </c>
      <c r="J7487" s="7">
        <v>339</v>
      </c>
      <c r="K7487" s="7" t="s">
        <v>18</v>
      </c>
      <c r="L7487" s="8">
        <v>39987.315405092595</v>
      </c>
      <c r="M7487" s="9" t="s">
        <v>19</v>
      </c>
      <c r="N7487" s="9" t="s">
        <v>20</v>
      </c>
      <c r="O7487" s="6" t="str">
        <f>HYPERLINK("https://pbs.twimg.com/profile_images/962471262747529216/Uo8lOkRJ_normal.jpg","View")</f>
        <v>View</v>
      </c>
      <c r="P7487" s="7"/>
    </row>
    <row r="7488" spans="1:16">
      <c r="A7488" s="3">
        <v>44022.251620370371</v>
      </c>
      <c r="B7488" s="4" t="str">
        <f>HYPERLINK("https://twitter.com/petrogustavo","@petrogustavo")</f>
        <v>@petrogustavo</v>
      </c>
      <c r="C7488" s="5" t="s">
        <v>16</v>
      </c>
      <c r="D7488" s="5" t="s">
        <v>7235</v>
      </c>
      <c r="E7488" s="6" t="str">
        <f>HYPERLINK("https://twitter.com/petrogustavo/status/1281385732985298944","1281385732985298944")</f>
        <v>1281385732985298944</v>
      </c>
      <c r="F7488" s="7" t="s">
        <v>17</v>
      </c>
      <c r="G7488" s="7">
        <v>3904254</v>
      </c>
      <c r="H7488" s="7">
        <v>2420</v>
      </c>
      <c r="I7488" s="7">
        <v>59</v>
      </c>
      <c r="J7488" s="7">
        <v>0</v>
      </c>
      <c r="K7488" s="7" t="s">
        <v>18</v>
      </c>
      <c r="L7488" s="8">
        <v>39987.315405092595</v>
      </c>
      <c r="M7488" s="9" t="s">
        <v>19</v>
      </c>
      <c r="N7488" s="9" t="s">
        <v>20</v>
      </c>
      <c r="O7488" s="6" t="str">
        <f>HYPERLINK("https://pbs.twimg.com/profile_images/962471262747529216/Uo8lOkRJ_normal.jpg","View")</f>
        <v>View</v>
      </c>
      <c r="P7488" s="7"/>
    </row>
    <row r="7489" spans="1:16">
      <c r="A7489" s="3">
        <v>44022.257870370369</v>
      </c>
      <c r="B7489" s="4" t="str">
        <f>HYPERLINK("https://twitter.com/petrogustavo","@petrogustavo")</f>
        <v>@petrogustavo</v>
      </c>
      <c r="C7489" s="5" t="s">
        <v>16</v>
      </c>
      <c r="D7489" s="5" t="s">
        <v>7236</v>
      </c>
      <c r="E7489" s="6" t="str">
        <f>HYPERLINK("https://twitter.com/petrogustavo/status/1281387999222214656","1281387999222214656")</f>
        <v>1281387999222214656</v>
      </c>
      <c r="F7489" s="7" t="s">
        <v>17</v>
      </c>
      <c r="G7489" s="7">
        <v>3904254</v>
      </c>
      <c r="H7489" s="7">
        <v>2420</v>
      </c>
      <c r="I7489" s="7">
        <v>131</v>
      </c>
      <c r="J7489" s="7">
        <v>297</v>
      </c>
      <c r="K7489" s="7" t="s">
        <v>18</v>
      </c>
      <c r="L7489" s="8">
        <v>39987.315405092595</v>
      </c>
      <c r="M7489" s="9" t="s">
        <v>19</v>
      </c>
      <c r="N7489" s="9" t="s">
        <v>20</v>
      </c>
      <c r="O7489" s="6" t="str">
        <f>HYPERLINK("https://pbs.twimg.com/profile_images/962471262747529216/Uo8lOkRJ_normal.jpg","View")</f>
        <v>View</v>
      </c>
      <c r="P7489" s="7"/>
    </row>
    <row r="7490" spans="1:16">
      <c r="A7490" s="3">
        <v>44022.270601851851</v>
      </c>
      <c r="B7490" s="4" t="str">
        <f>HYPERLINK("https://twitter.com/petrogustavo","@petrogustavo")</f>
        <v>@petrogustavo</v>
      </c>
      <c r="C7490" s="5" t="s">
        <v>16</v>
      </c>
      <c r="D7490" s="5" t="s">
        <v>7237</v>
      </c>
      <c r="E7490" s="6" t="str">
        <f>HYPERLINK("https://twitter.com/petrogustavo/status/1281392613812248588","1281392613812248588")</f>
        <v>1281392613812248588</v>
      </c>
      <c r="F7490" s="7" t="s">
        <v>17</v>
      </c>
      <c r="G7490" s="7">
        <v>3904283</v>
      </c>
      <c r="H7490" s="7">
        <v>2420</v>
      </c>
      <c r="I7490" s="7">
        <v>102</v>
      </c>
      <c r="J7490" s="7">
        <v>257</v>
      </c>
      <c r="K7490" s="7" t="s">
        <v>18</v>
      </c>
      <c r="L7490" s="8">
        <v>39987.315405092595</v>
      </c>
      <c r="M7490" s="9" t="s">
        <v>19</v>
      </c>
      <c r="N7490" s="9" t="s">
        <v>20</v>
      </c>
      <c r="O7490" s="6" t="str">
        <f>HYPERLINK("https://pbs.twimg.com/profile_images/962471262747529216/Uo8lOkRJ_normal.jpg","View")</f>
        <v>View</v>
      </c>
      <c r="P7490" s="7"/>
    </row>
    <row r="7491" spans="1:16">
      <c r="A7491" s="3">
        <v>44022.275949074072</v>
      </c>
      <c r="B7491" s="4" t="str">
        <f>HYPERLINK("https://twitter.com/petrogustavo","@petrogustavo")</f>
        <v>@petrogustavo</v>
      </c>
      <c r="C7491" s="5" t="s">
        <v>16</v>
      </c>
      <c r="D7491" s="5" t="s">
        <v>7238</v>
      </c>
      <c r="E7491" s="6" t="str">
        <f>HYPERLINK("https://twitter.com/petrogustavo/status/1281394550645444608","1281394550645444608")</f>
        <v>1281394550645444608</v>
      </c>
      <c r="F7491" s="7" t="s">
        <v>17</v>
      </c>
      <c r="G7491" s="7">
        <v>3904283</v>
      </c>
      <c r="H7491" s="7">
        <v>2420</v>
      </c>
      <c r="I7491" s="7">
        <v>153</v>
      </c>
      <c r="J7491" s="7">
        <v>0</v>
      </c>
      <c r="K7491" s="7" t="s">
        <v>18</v>
      </c>
      <c r="L7491" s="8">
        <v>39987.315405092595</v>
      </c>
      <c r="M7491" s="9" t="s">
        <v>19</v>
      </c>
      <c r="N7491" s="9" t="s">
        <v>20</v>
      </c>
      <c r="O7491" s="6" t="str">
        <f>HYPERLINK("https://pbs.twimg.com/profile_images/962471262747529216/Uo8lOkRJ_normal.jpg","View")</f>
        <v>View</v>
      </c>
      <c r="P7491" s="7"/>
    </row>
    <row r="7492" spans="1:16">
      <c r="A7492" s="3">
        <v>44022.277222222227</v>
      </c>
      <c r="B7492" s="4" t="str">
        <f>HYPERLINK("https://twitter.com/petrogustavo","@petrogustavo")</f>
        <v>@petrogustavo</v>
      </c>
      <c r="C7492" s="5" t="s">
        <v>16</v>
      </c>
      <c r="D7492" s="5" t="s">
        <v>7239</v>
      </c>
      <c r="E7492" s="6" t="str">
        <f>HYPERLINK("https://twitter.com/petrogustavo/status/1281395012220190721","1281395012220190721")</f>
        <v>1281395012220190721</v>
      </c>
      <c r="F7492" s="7" t="s">
        <v>17</v>
      </c>
      <c r="G7492" s="7">
        <v>3904283</v>
      </c>
      <c r="H7492" s="7">
        <v>2420</v>
      </c>
      <c r="I7492" s="7">
        <v>319</v>
      </c>
      <c r="J7492" s="7">
        <v>1003</v>
      </c>
      <c r="K7492" s="7" t="s">
        <v>18</v>
      </c>
      <c r="L7492" s="8">
        <v>39987.315405092595</v>
      </c>
      <c r="M7492" s="9" t="s">
        <v>19</v>
      </c>
      <c r="N7492" s="9" t="s">
        <v>20</v>
      </c>
      <c r="O7492" s="6" t="str">
        <f>HYPERLINK("https://pbs.twimg.com/profile_images/962471262747529216/Uo8lOkRJ_normal.jpg","View")</f>
        <v>View</v>
      </c>
      <c r="P7492" s="7"/>
    </row>
    <row r="7493" spans="1:16">
      <c r="A7493" s="3">
        <v>44022.751666666663</v>
      </c>
      <c r="B7493" s="4" t="str">
        <f>HYPERLINK("https://twitter.com/petrogustavo","@petrogustavo")</f>
        <v>@petrogustavo</v>
      </c>
      <c r="C7493" s="5" t="s">
        <v>16</v>
      </c>
      <c r="D7493" s="5" t="s">
        <v>7240</v>
      </c>
      <c r="E7493" s="6" t="str">
        <f>HYPERLINK("https://twitter.com/petrogustavo/status/1281566945221980161","1281566945221980161")</f>
        <v>1281566945221980161</v>
      </c>
      <c r="F7493" s="7" t="s">
        <v>32</v>
      </c>
      <c r="G7493" s="7">
        <v>3904476</v>
      </c>
      <c r="H7493" s="7">
        <v>2420</v>
      </c>
      <c r="I7493" s="7">
        <v>111</v>
      </c>
      <c r="J7493" s="7">
        <v>0</v>
      </c>
      <c r="K7493" s="7" t="s">
        <v>18</v>
      </c>
      <c r="L7493" s="8">
        <v>39987.315405092595</v>
      </c>
      <c r="M7493" s="9" t="s">
        <v>19</v>
      </c>
      <c r="N7493" s="9" t="s">
        <v>20</v>
      </c>
      <c r="O7493" s="6" t="str">
        <f>HYPERLINK("https://pbs.twimg.com/profile_images/962471262747529216/Uo8lOkRJ_normal.jpg","View")</f>
        <v>View</v>
      </c>
      <c r="P7493" s="7"/>
    </row>
    <row r="7494" spans="1:16">
      <c r="A7494" s="3">
        <v>44022.772858796292</v>
      </c>
      <c r="B7494" s="4" t="str">
        <f>HYPERLINK("https://twitter.com/petrogustavo","@petrogustavo")</f>
        <v>@petrogustavo</v>
      </c>
      <c r="C7494" s="5" t="s">
        <v>16</v>
      </c>
      <c r="D7494" s="5" t="s">
        <v>7241</v>
      </c>
      <c r="E7494" s="6" t="str">
        <f>HYPERLINK("https://twitter.com/petrogustavo/status/1281574624615170049","1281574624615170049")</f>
        <v>1281574624615170049</v>
      </c>
      <c r="F7494" s="7" t="s">
        <v>32</v>
      </c>
      <c r="G7494" s="7">
        <v>3904495</v>
      </c>
      <c r="H7494" s="7">
        <v>2420</v>
      </c>
      <c r="I7494" s="7">
        <v>121</v>
      </c>
      <c r="J7494" s="7">
        <v>0</v>
      </c>
      <c r="K7494" s="7" t="s">
        <v>18</v>
      </c>
      <c r="L7494" s="8">
        <v>39987.315405092595</v>
      </c>
      <c r="M7494" s="9" t="s">
        <v>19</v>
      </c>
      <c r="N7494" s="9" t="s">
        <v>20</v>
      </c>
      <c r="O7494" s="6" t="str">
        <f>HYPERLINK("https://pbs.twimg.com/profile_images/962471262747529216/Uo8lOkRJ_normal.jpg","View")</f>
        <v>View</v>
      </c>
      <c r="P7494" s="7"/>
    </row>
    <row r="7495" spans="1:16">
      <c r="A7495" s="3">
        <v>44022.775821759264</v>
      </c>
      <c r="B7495" s="4" t="str">
        <f>HYPERLINK("https://twitter.com/petrogustavo","@petrogustavo")</f>
        <v>@petrogustavo</v>
      </c>
      <c r="C7495" s="5" t="s">
        <v>16</v>
      </c>
      <c r="D7495" s="5" t="s">
        <v>7242</v>
      </c>
      <c r="E7495" s="6" t="str">
        <f>HYPERLINK("https://twitter.com/petrogustavo/status/1281575697568366592","1281575697568366592")</f>
        <v>1281575697568366592</v>
      </c>
      <c r="F7495" s="7" t="s">
        <v>32</v>
      </c>
      <c r="G7495" s="7">
        <v>3904495</v>
      </c>
      <c r="H7495" s="7">
        <v>2420</v>
      </c>
      <c r="I7495" s="7">
        <v>74</v>
      </c>
      <c r="J7495" s="7">
        <v>223</v>
      </c>
      <c r="K7495" s="7" t="s">
        <v>18</v>
      </c>
      <c r="L7495" s="8">
        <v>39987.315405092595</v>
      </c>
      <c r="M7495" s="9" t="s">
        <v>19</v>
      </c>
      <c r="N7495" s="9" t="s">
        <v>20</v>
      </c>
      <c r="O7495" s="6" t="str">
        <f>HYPERLINK("https://pbs.twimg.com/profile_images/962471262747529216/Uo8lOkRJ_normal.jpg","View")</f>
        <v>View</v>
      </c>
      <c r="P7495" s="7"/>
    </row>
    <row r="7496" spans="1:16">
      <c r="A7496" s="3">
        <v>44022.779953703706</v>
      </c>
      <c r="B7496" s="4" t="str">
        <f>HYPERLINK("https://twitter.com/petrogustavo","@petrogustavo")</f>
        <v>@petrogustavo</v>
      </c>
      <c r="C7496" s="5" t="s">
        <v>16</v>
      </c>
      <c r="D7496" s="5" t="s">
        <v>7243</v>
      </c>
      <c r="E7496" s="6" t="str">
        <f>HYPERLINK("https://twitter.com/petrogustavo/status/1281577193873833985","1281577193873833985")</f>
        <v>1281577193873833985</v>
      </c>
      <c r="F7496" s="7" t="s">
        <v>17</v>
      </c>
      <c r="G7496" s="7">
        <v>3904495</v>
      </c>
      <c r="H7496" s="7">
        <v>2420</v>
      </c>
      <c r="I7496" s="7">
        <v>105</v>
      </c>
      <c r="J7496" s="7">
        <v>332</v>
      </c>
      <c r="K7496" s="7" t="s">
        <v>18</v>
      </c>
      <c r="L7496" s="8">
        <v>39987.315405092595</v>
      </c>
      <c r="M7496" s="9" t="s">
        <v>19</v>
      </c>
      <c r="N7496" s="9" t="s">
        <v>20</v>
      </c>
      <c r="O7496" s="6" t="str">
        <f>HYPERLINK("https://pbs.twimg.com/profile_images/962471262747529216/Uo8lOkRJ_normal.jpg","View")</f>
        <v>View</v>
      </c>
      <c r="P7496" s="7"/>
    </row>
    <row r="7497" spans="1:16">
      <c r="A7497" s="3">
        <v>44022.786458333328</v>
      </c>
      <c r="B7497" s="4" t="str">
        <f>HYPERLINK("https://twitter.com/petrogustavo","@petrogustavo")</f>
        <v>@petrogustavo</v>
      </c>
      <c r="C7497" s="5" t="s">
        <v>16</v>
      </c>
      <c r="D7497" s="5" t="s">
        <v>7244</v>
      </c>
      <c r="E7497" s="6" t="str">
        <f>HYPERLINK("https://twitter.com/petrogustavo/status/1281579553765326848","1281579553765326848")</f>
        <v>1281579553765326848</v>
      </c>
      <c r="F7497" s="7" t="s">
        <v>17</v>
      </c>
      <c r="G7497" s="7">
        <v>3904529</v>
      </c>
      <c r="H7497" s="7">
        <v>2420</v>
      </c>
      <c r="I7497" s="7">
        <v>64</v>
      </c>
      <c r="J7497" s="7">
        <v>164</v>
      </c>
      <c r="K7497" s="7" t="s">
        <v>18</v>
      </c>
      <c r="L7497" s="8">
        <v>39987.315405092595</v>
      </c>
      <c r="M7497" s="9" t="s">
        <v>19</v>
      </c>
      <c r="N7497" s="9" t="s">
        <v>20</v>
      </c>
      <c r="O7497" s="6" t="str">
        <f>HYPERLINK("https://pbs.twimg.com/profile_images/962471262747529216/Uo8lOkRJ_normal.jpg","View")</f>
        <v>View</v>
      </c>
      <c r="P7497" s="7"/>
    </row>
    <row r="7498" spans="1:16">
      <c r="A7498" s="3">
        <v>44022.788287037038</v>
      </c>
      <c r="B7498" s="4" t="str">
        <f>HYPERLINK("https://twitter.com/petrogustavo","@petrogustavo")</f>
        <v>@petrogustavo</v>
      </c>
      <c r="C7498" s="5" t="s">
        <v>16</v>
      </c>
      <c r="D7498" s="5" t="s">
        <v>7245</v>
      </c>
      <c r="E7498" s="6" t="str">
        <f>HYPERLINK("https://twitter.com/petrogustavo/status/1281580215743983616","1281580215743983616")</f>
        <v>1281580215743983616</v>
      </c>
      <c r="F7498" s="7" t="s">
        <v>17</v>
      </c>
      <c r="G7498" s="7">
        <v>3904529</v>
      </c>
      <c r="H7498" s="7">
        <v>2420</v>
      </c>
      <c r="I7498" s="7">
        <v>144</v>
      </c>
      <c r="J7498" s="7">
        <v>399</v>
      </c>
      <c r="K7498" s="7" t="s">
        <v>18</v>
      </c>
      <c r="L7498" s="8">
        <v>39987.315405092595</v>
      </c>
      <c r="M7498" s="9" t="s">
        <v>19</v>
      </c>
      <c r="N7498" s="9" t="s">
        <v>20</v>
      </c>
      <c r="O7498" s="6" t="str">
        <f>HYPERLINK("https://pbs.twimg.com/profile_images/962471262747529216/Uo8lOkRJ_normal.jpg","View")</f>
        <v>View</v>
      </c>
      <c r="P7498" s="7"/>
    </row>
    <row r="7499" spans="1:16">
      <c r="A7499" s="3">
        <v>44022.853425925925</v>
      </c>
      <c r="B7499" s="4" t="str">
        <f>HYPERLINK("https://twitter.com/petrogustavo","@petrogustavo")</f>
        <v>@petrogustavo</v>
      </c>
      <c r="C7499" s="5" t="s">
        <v>16</v>
      </c>
      <c r="D7499" s="5" t="s">
        <v>7246</v>
      </c>
      <c r="E7499" s="6" t="str">
        <f>HYPERLINK("https://twitter.com/petrogustavo/status/1281603819508568064","1281603819508568064")</f>
        <v>1281603819508568064</v>
      </c>
      <c r="F7499" s="7" t="s">
        <v>17</v>
      </c>
      <c r="G7499" s="7">
        <v>3904576</v>
      </c>
      <c r="H7499" s="7">
        <v>2420</v>
      </c>
      <c r="I7499" s="7">
        <v>70</v>
      </c>
      <c r="J7499" s="7">
        <v>0</v>
      </c>
      <c r="K7499" s="7" t="s">
        <v>18</v>
      </c>
      <c r="L7499" s="8">
        <v>39987.315405092595</v>
      </c>
      <c r="M7499" s="9" t="s">
        <v>19</v>
      </c>
      <c r="N7499" s="9" t="s">
        <v>20</v>
      </c>
      <c r="O7499" s="6" t="str">
        <f>HYPERLINK("https://pbs.twimg.com/profile_images/962471262747529216/Uo8lOkRJ_normal.jpg","View")</f>
        <v>View</v>
      </c>
      <c r="P7499" s="7"/>
    </row>
    <row r="7500" spans="1:16">
      <c r="A7500" s="3">
        <v>44022.895300925928</v>
      </c>
      <c r="B7500" s="4" t="str">
        <f>HYPERLINK("https://twitter.com/petrogustavo","@petrogustavo")</f>
        <v>@petrogustavo</v>
      </c>
      <c r="C7500" s="5" t="s">
        <v>16</v>
      </c>
      <c r="D7500" s="5" t="s">
        <v>7247</v>
      </c>
      <c r="E7500" s="6" t="str">
        <f>HYPERLINK("https://twitter.com/petrogustavo/status/1281618993703464963","1281618993703464963")</f>
        <v>1281618993703464963</v>
      </c>
      <c r="F7500" s="7" t="s">
        <v>32</v>
      </c>
      <c r="G7500" s="7">
        <v>3904633</v>
      </c>
      <c r="H7500" s="7">
        <v>2420</v>
      </c>
      <c r="I7500" s="7">
        <v>40</v>
      </c>
      <c r="J7500" s="7">
        <v>0</v>
      </c>
      <c r="K7500" s="7" t="s">
        <v>18</v>
      </c>
      <c r="L7500" s="8">
        <v>39987.315405092595</v>
      </c>
      <c r="M7500" s="9" t="s">
        <v>19</v>
      </c>
      <c r="N7500" s="9" t="s">
        <v>20</v>
      </c>
      <c r="O7500" s="6" t="str">
        <f>HYPERLINK("https://pbs.twimg.com/profile_images/962471262747529216/Uo8lOkRJ_normal.jpg","View")</f>
        <v>View</v>
      </c>
      <c r="P7500" s="7"/>
    </row>
    <row r="7501" spans="1:16">
      <c r="A7501" s="3">
        <v>44022.896122685182</v>
      </c>
      <c r="B7501" s="4" t="str">
        <f>HYPERLINK("https://twitter.com/petrogustavo","@petrogustavo")</f>
        <v>@petrogustavo</v>
      </c>
      <c r="C7501" s="5" t="s">
        <v>16</v>
      </c>
      <c r="D7501" s="5" t="s">
        <v>7248</v>
      </c>
      <c r="E7501" s="6" t="str">
        <f>HYPERLINK("https://twitter.com/petrogustavo/status/1281619295085232134","1281619295085232134")</f>
        <v>1281619295085232134</v>
      </c>
      <c r="F7501" s="7" t="s">
        <v>32</v>
      </c>
      <c r="G7501" s="7">
        <v>3904633</v>
      </c>
      <c r="H7501" s="7">
        <v>2420</v>
      </c>
      <c r="I7501" s="7">
        <v>222</v>
      </c>
      <c r="J7501" s="7">
        <v>465</v>
      </c>
      <c r="K7501" s="7" t="s">
        <v>18</v>
      </c>
      <c r="L7501" s="8">
        <v>39987.315405092595</v>
      </c>
      <c r="M7501" s="9" t="s">
        <v>19</v>
      </c>
      <c r="N7501" s="9" t="s">
        <v>20</v>
      </c>
      <c r="O7501" s="6" t="str">
        <f>HYPERLINK("https://pbs.twimg.com/profile_images/962471262747529216/Uo8lOkRJ_normal.jpg","View")</f>
        <v>View</v>
      </c>
      <c r="P7501" s="7"/>
    </row>
    <row r="7502" spans="1:16">
      <c r="A7502" s="3">
        <v>44022.988078703704</v>
      </c>
      <c r="B7502" s="4" t="str">
        <f>HYPERLINK("https://twitter.com/petrogustavo","@petrogustavo")</f>
        <v>@petrogustavo</v>
      </c>
      <c r="C7502" s="5" t="s">
        <v>16</v>
      </c>
      <c r="D7502" s="5" t="s">
        <v>7249</v>
      </c>
      <c r="E7502" s="6" t="str">
        <f>HYPERLINK("https://twitter.com/petrogustavo/status/1281652615927828487","1281652615927828487")</f>
        <v>1281652615927828487</v>
      </c>
      <c r="F7502" s="7" t="s">
        <v>32</v>
      </c>
      <c r="G7502" s="7">
        <v>3904737</v>
      </c>
      <c r="H7502" s="7">
        <v>2420</v>
      </c>
      <c r="I7502" s="7">
        <v>250</v>
      </c>
      <c r="J7502" s="7">
        <v>0</v>
      </c>
      <c r="K7502" s="7" t="s">
        <v>18</v>
      </c>
      <c r="L7502" s="8">
        <v>39987.315405092595</v>
      </c>
      <c r="M7502" s="9" t="s">
        <v>19</v>
      </c>
      <c r="N7502" s="9" t="s">
        <v>20</v>
      </c>
      <c r="O7502" s="6" t="str">
        <f>HYPERLINK("https://pbs.twimg.com/profile_images/962471262747529216/Uo8lOkRJ_normal.jpg","View")</f>
        <v>View</v>
      </c>
      <c r="P7502" s="7"/>
    </row>
    <row r="7503" spans="1:16">
      <c r="A7503" s="3">
        <v>44023.001875000002</v>
      </c>
      <c r="B7503" s="4" t="str">
        <f>HYPERLINK("https://twitter.com/petrogustavo","@petrogustavo")</f>
        <v>@petrogustavo</v>
      </c>
      <c r="C7503" s="5" t="s">
        <v>16</v>
      </c>
      <c r="D7503" s="5" t="s">
        <v>7250</v>
      </c>
      <c r="E7503" s="6" t="str">
        <f>HYPERLINK("https://twitter.com/petrogustavo/status/1281657616146595841","1281657616146595841")</f>
        <v>1281657616146595841</v>
      </c>
      <c r="F7503" s="7" t="s">
        <v>17</v>
      </c>
      <c r="G7503" s="7">
        <v>3904758</v>
      </c>
      <c r="H7503" s="7">
        <v>2420</v>
      </c>
      <c r="I7503" s="7">
        <v>177</v>
      </c>
      <c r="J7503" s="7">
        <v>511</v>
      </c>
      <c r="K7503" s="7" t="s">
        <v>18</v>
      </c>
      <c r="L7503" s="8">
        <v>39987.315405092595</v>
      </c>
      <c r="M7503" s="9" t="s">
        <v>19</v>
      </c>
      <c r="N7503" s="9" t="s">
        <v>20</v>
      </c>
      <c r="O7503" s="6" t="str">
        <f>HYPERLINK("https://pbs.twimg.com/profile_images/962471262747529216/Uo8lOkRJ_normal.jpg","View")</f>
        <v>View</v>
      </c>
      <c r="P7503" s="7"/>
    </row>
    <row r="7504" spans="1:16">
      <c r="A7504" s="3">
        <v>44023.013344907406</v>
      </c>
      <c r="B7504" s="4" t="str">
        <f>HYPERLINK("https://twitter.com/petrogustavo","@petrogustavo")</f>
        <v>@petrogustavo</v>
      </c>
      <c r="C7504" s="5" t="s">
        <v>16</v>
      </c>
      <c r="D7504" s="5" t="s">
        <v>7251</v>
      </c>
      <c r="E7504" s="6" t="str">
        <f>HYPERLINK("https://twitter.com/petrogustavo/status/1281661772538273800","1281661772538273800")</f>
        <v>1281661772538273800</v>
      </c>
      <c r="F7504" s="7" t="s">
        <v>17</v>
      </c>
      <c r="G7504" s="7">
        <v>3904779</v>
      </c>
      <c r="H7504" s="7">
        <v>2420</v>
      </c>
      <c r="I7504" s="7">
        <v>93</v>
      </c>
      <c r="J7504" s="7">
        <v>0</v>
      </c>
      <c r="K7504" s="7" t="s">
        <v>18</v>
      </c>
      <c r="L7504" s="8">
        <v>39987.315405092595</v>
      </c>
      <c r="M7504" s="9" t="s">
        <v>19</v>
      </c>
      <c r="N7504" s="9" t="s">
        <v>20</v>
      </c>
      <c r="O7504" s="6" t="str">
        <f>HYPERLINK("https://pbs.twimg.com/profile_images/962471262747529216/Uo8lOkRJ_normal.jpg","View")</f>
        <v>View</v>
      </c>
      <c r="P7504" s="7"/>
    </row>
    <row r="7505" spans="1:16">
      <c r="A7505" s="3">
        <v>44023.017233796301</v>
      </c>
      <c r="B7505" s="4" t="str">
        <f>HYPERLINK("https://twitter.com/petrogustavo","@petrogustavo")</f>
        <v>@petrogustavo</v>
      </c>
      <c r="C7505" s="5" t="s">
        <v>16</v>
      </c>
      <c r="D7505" s="5" t="s">
        <v>7252</v>
      </c>
      <c r="E7505" s="6" t="str">
        <f>HYPERLINK("https://twitter.com/petrogustavo/status/1281663182722011144","1281663182722011144")</f>
        <v>1281663182722011144</v>
      </c>
      <c r="F7505" s="7" t="s">
        <v>17</v>
      </c>
      <c r="G7505" s="7">
        <v>3904779</v>
      </c>
      <c r="H7505" s="7">
        <v>2420</v>
      </c>
      <c r="I7505" s="7">
        <v>111</v>
      </c>
      <c r="J7505" s="7">
        <v>0</v>
      </c>
      <c r="K7505" s="7" t="s">
        <v>18</v>
      </c>
      <c r="L7505" s="8">
        <v>39987.315405092595</v>
      </c>
      <c r="M7505" s="9" t="s">
        <v>19</v>
      </c>
      <c r="N7505" s="9" t="s">
        <v>20</v>
      </c>
      <c r="O7505" s="6" t="str">
        <f>HYPERLINK("https://pbs.twimg.com/profile_images/962471262747529216/Uo8lOkRJ_normal.jpg","View")</f>
        <v>View</v>
      </c>
      <c r="P7505" s="7"/>
    </row>
    <row r="7506" spans="1:16">
      <c r="A7506" s="3">
        <v>44023.021585648152</v>
      </c>
      <c r="B7506" s="4" t="str">
        <f>HYPERLINK("https://twitter.com/petrogustavo","@petrogustavo")</f>
        <v>@petrogustavo</v>
      </c>
      <c r="C7506" s="5" t="s">
        <v>16</v>
      </c>
      <c r="D7506" s="5" t="s">
        <v>7253</v>
      </c>
      <c r="E7506" s="6" t="str">
        <f>HYPERLINK("https://twitter.com/petrogustavo/status/1281664757918052354","1281664757918052354")</f>
        <v>1281664757918052354</v>
      </c>
      <c r="F7506" s="7" t="s">
        <v>17</v>
      </c>
      <c r="G7506" s="7">
        <v>3904779</v>
      </c>
      <c r="H7506" s="7">
        <v>2420</v>
      </c>
      <c r="I7506" s="7">
        <v>142</v>
      </c>
      <c r="J7506" s="7">
        <v>361</v>
      </c>
      <c r="K7506" s="7" t="s">
        <v>18</v>
      </c>
      <c r="L7506" s="8">
        <v>39987.315405092595</v>
      </c>
      <c r="M7506" s="9" t="s">
        <v>19</v>
      </c>
      <c r="N7506" s="9" t="s">
        <v>20</v>
      </c>
      <c r="O7506" s="6" t="str">
        <f>HYPERLINK("https://pbs.twimg.com/profile_images/962471262747529216/Uo8lOkRJ_normal.jpg","View")</f>
        <v>View</v>
      </c>
      <c r="P7506" s="7"/>
    </row>
    <row r="7507" spans="1:16">
      <c r="A7507" s="3">
        <v>44023.021828703699</v>
      </c>
      <c r="B7507" s="4" t="str">
        <f>HYPERLINK("https://twitter.com/petrogustavo","@petrogustavo")</f>
        <v>@petrogustavo</v>
      </c>
      <c r="C7507" s="5" t="s">
        <v>16</v>
      </c>
      <c r="D7507" s="5" t="s">
        <v>7254</v>
      </c>
      <c r="E7507" s="6" t="str">
        <f>HYPERLINK("https://twitter.com/petrogustavo/status/1281664845918633985","1281664845918633985")</f>
        <v>1281664845918633985</v>
      </c>
      <c r="F7507" s="7" t="s">
        <v>17</v>
      </c>
      <c r="G7507" s="7">
        <v>3904779</v>
      </c>
      <c r="H7507" s="7">
        <v>2420</v>
      </c>
      <c r="I7507" s="7">
        <v>49</v>
      </c>
      <c r="J7507" s="7">
        <v>0</v>
      </c>
      <c r="K7507" s="7" t="s">
        <v>18</v>
      </c>
      <c r="L7507" s="8">
        <v>39987.315405092595</v>
      </c>
      <c r="M7507" s="9" t="s">
        <v>19</v>
      </c>
      <c r="N7507" s="9" t="s">
        <v>20</v>
      </c>
      <c r="O7507" s="6" t="str">
        <f>HYPERLINK("https://pbs.twimg.com/profile_images/962471262747529216/Uo8lOkRJ_normal.jpg","View")</f>
        <v>View</v>
      </c>
      <c r="P7507" s="7"/>
    </row>
    <row r="7508" spans="1:16">
      <c r="A7508" s="3">
        <v>44023.022789351853</v>
      </c>
      <c r="B7508" s="4" t="str">
        <f>HYPERLINK("https://twitter.com/petrogustavo","@petrogustavo")</f>
        <v>@petrogustavo</v>
      </c>
      <c r="C7508" s="5" t="s">
        <v>16</v>
      </c>
      <c r="D7508" s="5" t="s">
        <v>7255</v>
      </c>
      <c r="E7508" s="6" t="str">
        <f>HYPERLINK("https://twitter.com/petrogustavo/status/1281665193831993345","1281665193831993345")</f>
        <v>1281665193831993345</v>
      </c>
      <c r="F7508" s="7" t="s">
        <v>17</v>
      </c>
      <c r="G7508" s="7">
        <v>3904779</v>
      </c>
      <c r="H7508" s="7">
        <v>2420</v>
      </c>
      <c r="I7508" s="7">
        <v>139</v>
      </c>
      <c r="J7508" s="7">
        <v>0</v>
      </c>
      <c r="K7508" s="7" t="s">
        <v>18</v>
      </c>
      <c r="L7508" s="8">
        <v>39987.315405092595</v>
      </c>
      <c r="M7508" s="9" t="s">
        <v>19</v>
      </c>
      <c r="N7508" s="9" t="s">
        <v>20</v>
      </c>
      <c r="O7508" s="6" t="str">
        <f>HYPERLINK("https://pbs.twimg.com/profile_images/962471262747529216/Uo8lOkRJ_normal.jpg","View")</f>
        <v>View</v>
      </c>
      <c r="P7508" s="7"/>
    </row>
    <row r="7509" spans="1:16">
      <c r="A7509" s="3">
        <v>44023.03701388889</v>
      </c>
      <c r="B7509" s="4" t="str">
        <f>HYPERLINK("https://twitter.com/petrogustavo","@petrogustavo")</f>
        <v>@petrogustavo</v>
      </c>
      <c r="C7509" s="5" t="s">
        <v>16</v>
      </c>
      <c r="D7509" s="5" t="s">
        <v>7256</v>
      </c>
      <c r="E7509" s="6" t="str">
        <f>HYPERLINK("https://twitter.com/petrogustavo/status/1281670348908515330","1281670348908515330")</f>
        <v>1281670348908515330</v>
      </c>
      <c r="F7509" s="7" t="s">
        <v>17</v>
      </c>
      <c r="G7509" s="7">
        <v>3904800</v>
      </c>
      <c r="H7509" s="7">
        <v>2420</v>
      </c>
      <c r="I7509" s="7">
        <v>190</v>
      </c>
      <c r="J7509" s="7">
        <v>517</v>
      </c>
      <c r="K7509" s="7" t="s">
        <v>18</v>
      </c>
      <c r="L7509" s="8">
        <v>39987.315405092595</v>
      </c>
      <c r="M7509" s="9" t="s">
        <v>19</v>
      </c>
      <c r="N7509" s="9" t="s">
        <v>20</v>
      </c>
      <c r="O7509" s="6" t="str">
        <f>HYPERLINK("https://pbs.twimg.com/profile_images/962471262747529216/Uo8lOkRJ_normal.jpg","View")</f>
        <v>View</v>
      </c>
      <c r="P7509" s="7"/>
    </row>
    <row r="7510" spans="1:16">
      <c r="A7510" s="3">
        <v>44023.05296296296</v>
      </c>
      <c r="B7510" s="4" t="str">
        <f>HYPERLINK("https://twitter.com/petrogustavo","@petrogustavo")</f>
        <v>@petrogustavo</v>
      </c>
      <c r="C7510" s="5" t="s">
        <v>16</v>
      </c>
      <c r="D7510" s="5" t="s">
        <v>7257</v>
      </c>
      <c r="E7510" s="6" t="str">
        <f>HYPERLINK("https://twitter.com/petrogustavo/status/1281676132144873477","1281676132144873477")</f>
        <v>1281676132144873477</v>
      </c>
      <c r="F7510" s="7" t="s">
        <v>17</v>
      </c>
      <c r="G7510" s="7">
        <v>3904800</v>
      </c>
      <c r="H7510" s="7">
        <v>2420</v>
      </c>
      <c r="I7510" s="7">
        <v>22</v>
      </c>
      <c r="J7510" s="7">
        <v>67</v>
      </c>
      <c r="K7510" s="7" t="s">
        <v>18</v>
      </c>
      <c r="L7510" s="8">
        <v>39987.315405092595</v>
      </c>
      <c r="M7510" s="9" t="s">
        <v>19</v>
      </c>
      <c r="N7510" s="9" t="s">
        <v>20</v>
      </c>
      <c r="O7510" s="6" t="str">
        <f>HYPERLINK("https://pbs.twimg.com/profile_images/962471262747529216/Uo8lOkRJ_normal.jpg","View")</f>
        <v>View</v>
      </c>
      <c r="P7510" s="7"/>
    </row>
    <row r="7511" spans="1:16">
      <c r="A7511" s="3">
        <v>44023.056134259255</v>
      </c>
      <c r="B7511" s="4" t="str">
        <f>HYPERLINK("https://twitter.com/petrogustavo","@petrogustavo")</f>
        <v>@petrogustavo</v>
      </c>
      <c r="C7511" s="5" t="s">
        <v>16</v>
      </c>
      <c r="D7511" s="5" t="s">
        <v>7258</v>
      </c>
      <c r="E7511" s="6" t="str">
        <f>HYPERLINK("https://twitter.com/petrogustavo/status/1281677278980825092","1281677278980825092")</f>
        <v>1281677278980825092</v>
      </c>
      <c r="F7511" s="7" t="s">
        <v>17</v>
      </c>
      <c r="G7511" s="7">
        <v>3904817</v>
      </c>
      <c r="H7511" s="7">
        <v>2420</v>
      </c>
      <c r="I7511" s="7">
        <v>110</v>
      </c>
      <c r="J7511" s="7">
        <v>307</v>
      </c>
      <c r="K7511" s="7" t="s">
        <v>18</v>
      </c>
      <c r="L7511" s="8">
        <v>39987.315405092595</v>
      </c>
      <c r="M7511" s="9" t="s">
        <v>19</v>
      </c>
      <c r="N7511" s="9" t="s">
        <v>20</v>
      </c>
      <c r="O7511" s="6" t="str">
        <f>HYPERLINK("https://pbs.twimg.com/profile_images/962471262747529216/Uo8lOkRJ_normal.jpg","View")</f>
        <v>View</v>
      </c>
      <c r="P7511" s="7"/>
    </row>
    <row r="7512" spans="1:16">
      <c r="A7512" s="3">
        <v>44023.17597222222</v>
      </c>
      <c r="B7512" s="4" t="str">
        <f>HYPERLINK("https://twitter.com/petrogustavo","@petrogustavo")</f>
        <v>@petrogustavo</v>
      </c>
      <c r="C7512" s="5" t="s">
        <v>16</v>
      </c>
      <c r="D7512" s="5" t="s">
        <v>7259</v>
      </c>
      <c r="E7512" s="6" t="str">
        <f>HYPERLINK("https://twitter.com/petrogustavo/status/1281720709115453440","1281720709115453440")</f>
        <v>1281720709115453440</v>
      </c>
      <c r="F7512" s="7" t="s">
        <v>17</v>
      </c>
      <c r="G7512" s="7">
        <v>3904898</v>
      </c>
      <c r="H7512" s="7">
        <v>2420</v>
      </c>
      <c r="I7512" s="7">
        <v>68</v>
      </c>
      <c r="J7512" s="7">
        <v>190</v>
      </c>
      <c r="K7512" s="7" t="s">
        <v>18</v>
      </c>
      <c r="L7512" s="8">
        <v>39987.315405092595</v>
      </c>
      <c r="M7512" s="9" t="s">
        <v>19</v>
      </c>
      <c r="N7512" s="9" t="s">
        <v>20</v>
      </c>
      <c r="O7512" s="6" t="str">
        <f>HYPERLINK("https://pbs.twimg.com/profile_images/962471262747529216/Uo8lOkRJ_normal.jpg","View")</f>
        <v>View</v>
      </c>
      <c r="P7512" s="7"/>
    </row>
    <row r="7513" spans="1:16">
      <c r="A7513" s="3">
        <v>44023.183090277773</v>
      </c>
      <c r="B7513" s="4" t="str">
        <f>HYPERLINK("https://twitter.com/petrogustavo","@petrogustavo")</f>
        <v>@petrogustavo</v>
      </c>
      <c r="C7513" s="5" t="s">
        <v>16</v>
      </c>
      <c r="D7513" s="5" t="s">
        <v>7260</v>
      </c>
      <c r="E7513" s="6" t="str">
        <f>HYPERLINK("https://twitter.com/petrogustavo/status/1281723285932253187","1281723285932253187")</f>
        <v>1281723285932253187</v>
      </c>
      <c r="F7513" s="7" t="s">
        <v>17</v>
      </c>
      <c r="G7513" s="7">
        <v>3904935</v>
      </c>
      <c r="H7513" s="7">
        <v>2420</v>
      </c>
      <c r="I7513" s="7">
        <v>103</v>
      </c>
      <c r="J7513" s="7">
        <v>287</v>
      </c>
      <c r="K7513" s="7" t="s">
        <v>18</v>
      </c>
      <c r="L7513" s="8">
        <v>39987.315405092595</v>
      </c>
      <c r="M7513" s="9" t="s">
        <v>19</v>
      </c>
      <c r="N7513" s="9" t="s">
        <v>20</v>
      </c>
      <c r="O7513" s="6" t="str">
        <f>HYPERLINK("https://pbs.twimg.com/profile_images/962471262747529216/Uo8lOkRJ_normal.jpg","View")</f>
        <v>View</v>
      </c>
      <c r="P7513" s="7"/>
    </row>
    <row r="7514" spans="1:16">
      <c r="A7514" s="3">
        <v>44023.191458333335</v>
      </c>
      <c r="B7514" s="4" t="str">
        <f>HYPERLINK("https://twitter.com/petrogustavo","@petrogustavo")</f>
        <v>@petrogustavo</v>
      </c>
      <c r="C7514" s="5" t="s">
        <v>16</v>
      </c>
      <c r="D7514" s="5" t="s">
        <v>7261</v>
      </c>
      <c r="E7514" s="6" t="str">
        <f>HYPERLINK("https://twitter.com/petrogustavo/status/1281726317826912258","1281726317826912258")</f>
        <v>1281726317826912258</v>
      </c>
      <c r="F7514" s="7" t="s">
        <v>17</v>
      </c>
      <c r="G7514" s="7">
        <v>3904935</v>
      </c>
      <c r="H7514" s="7">
        <v>2420</v>
      </c>
      <c r="I7514" s="7">
        <v>434</v>
      </c>
      <c r="J7514" s="7">
        <v>1020</v>
      </c>
      <c r="K7514" s="7" t="s">
        <v>18</v>
      </c>
      <c r="L7514" s="8">
        <v>39987.315405092595</v>
      </c>
      <c r="M7514" s="9" t="s">
        <v>19</v>
      </c>
      <c r="N7514" s="9" t="s">
        <v>20</v>
      </c>
      <c r="O7514" s="6" t="str">
        <f>HYPERLINK("https://pbs.twimg.com/profile_images/962471262747529216/Uo8lOkRJ_normal.jpg","View")</f>
        <v>View</v>
      </c>
      <c r="P7514" s="7"/>
    </row>
    <row r="7515" spans="1:16">
      <c r="A7515" s="3">
        <v>44023.195891203708</v>
      </c>
      <c r="B7515" s="4" t="str">
        <f>HYPERLINK("https://twitter.com/petrogustavo","@petrogustavo")</f>
        <v>@petrogustavo</v>
      </c>
      <c r="C7515" s="5" t="s">
        <v>16</v>
      </c>
      <c r="D7515" s="5" t="s">
        <v>7262</v>
      </c>
      <c r="E7515" s="6" t="str">
        <f>HYPERLINK("https://twitter.com/petrogustavo/status/1281727924480155654","1281727924480155654")</f>
        <v>1281727924480155654</v>
      </c>
      <c r="F7515" s="7" t="s">
        <v>17</v>
      </c>
      <c r="G7515" s="7">
        <v>3904935</v>
      </c>
      <c r="H7515" s="7">
        <v>2420</v>
      </c>
      <c r="I7515" s="7">
        <v>64</v>
      </c>
      <c r="J7515" s="7">
        <v>151</v>
      </c>
      <c r="K7515" s="7" t="s">
        <v>18</v>
      </c>
      <c r="L7515" s="8">
        <v>39987.315405092595</v>
      </c>
      <c r="M7515" s="9" t="s">
        <v>19</v>
      </c>
      <c r="N7515" s="9" t="s">
        <v>20</v>
      </c>
      <c r="O7515" s="6" t="str">
        <f>HYPERLINK("https://pbs.twimg.com/profile_images/962471262747529216/Uo8lOkRJ_normal.jpg","View")</f>
        <v>View</v>
      </c>
      <c r="P7515" s="7"/>
    </row>
    <row r="7516" spans="1:16">
      <c r="A7516" s="3">
        <v>44023.207395833335</v>
      </c>
      <c r="B7516" s="4" t="str">
        <f>HYPERLINK("https://twitter.com/petrogustavo","@petrogustavo")</f>
        <v>@petrogustavo</v>
      </c>
      <c r="C7516" s="5" t="s">
        <v>16</v>
      </c>
      <c r="D7516" s="5" t="s">
        <v>7263</v>
      </c>
      <c r="E7516" s="6" t="str">
        <f>HYPERLINK("https://twitter.com/petrogustavo/status/1281732096684363777","1281732096684363777")</f>
        <v>1281732096684363777</v>
      </c>
      <c r="F7516" s="7" t="s">
        <v>17</v>
      </c>
      <c r="G7516" s="7">
        <v>3904955</v>
      </c>
      <c r="H7516" s="7">
        <v>2420</v>
      </c>
      <c r="I7516" s="7">
        <v>92</v>
      </c>
      <c r="J7516" s="7">
        <v>262</v>
      </c>
      <c r="K7516" s="7" t="s">
        <v>18</v>
      </c>
      <c r="L7516" s="8">
        <v>39987.315405092595</v>
      </c>
      <c r="M7516" s="9" t="s">
        <v>19</v>
      </c>
      <c r="N7516" s="9" t="s">
        <v>20</v>
      </c>
      <c r="O7516" s="6" t="str">
        <f>HYPERLINK("https://pbs.twimg.com/profile_images/962471262747529216/Uo8lOkRJ_normal.jpg","View")</f>
        <v>View</v>
      </c>
      <c r="P7516" s="7"/>
    </row>
    <row r="7517" spans="1:16">
      <c r="A7517" s="3">
        <v>44023.209224537037</v>
      </c>
      <c r="B7517" s="4" t="str">
        <f>HYPERLINK("https://twitter.com/petrogustavo","@petrogustavo")</f>
        <v>@petrogustavo</v>
      </c>
      <c r="C7517" s="5" t="s">
        <v>16</v>
      </c>
      <c r="D7517" s="5" t="s">
        <v>7264</v>
      </c>
      <c r="E7517" s="6" t="str">
        <f>HYPERLINK("https://twitter.com/petrogustavo/status/1281732759631933442","1281732759631933442")</f>
        <v>1281732759631933442</v>
      </c>
      <c r="F7517" s="7" t="s">
        <v>17</v>
      </c>
      <c r="G7517" s="7">
        <v>3904955</v>
      </c>
      <c r="H7517" s="7">
        <v>2420</v>
      </c>
      <c r="I7517" s="7">
        <v>1119</v>
      </c>
      <c r="J7517" s="7">
        <v>0</v>
      </c>
      <c r="K7517" s="7" t="s">
        <v>18</v>
      </c>
      <c r="L7517" s="8">
        <v>39987.315405092595</v>
      </c>
      <c r="M7517" s="9" t="s">
        <v>19</v>
      </c>
      <c r="N7517" s="9" t="s">
        <v>20</v>
      </c>
      <c r="O7517" s="6" t="str">
        <f>HYPERLINK("https://pbs.twimg.com/profile_images/962471262747529216/Uo8lOkRJ_normal.jpg","View")</f>
        <v>View</v>
      </c>
      <c r="P7517" s="7"/>
    </row>
    <row r="7518" spans="1:16">
      <c r="A7518" s="3">
        <v>44023.218032407407</v>
      </c>
      <c r="B7518" s="4" t="str">
        <f>HYPERLINK("https://twitter.com/petrogustavo","@petrogustavo")</f>
        <v>@petrogustavo</v>
      </c>
      <c r="C7518" s="5" t="s">
        <v>16</v>
      </c>
      <c r="D7518" s="5" t="s">
        <v>7265</v>
      </c>
      <c r="E7518" s="6" t="str">
        <f>HYPERLINK("https://twitter.com/petrogustavo/status/1281735947927920642","1281735947927920642")</f>
        <v>1281735947927920642</v>
      </c>
      <c r="F7518" s="7" t="s">
        <v>17</v>
      </c>
      <c r="G7518" s="7">
        <v>3904955</v>
      </c>
      <c r="H7518" s="7">
        <v>2420</v>
      </c>
      <c r="I7518" s="7">
        <v>62</v>
      </c>
      <c r="J7518" s="7">
        <v>118</v>
      </c>
      <c r="K7518" s="7" t="s">
        <v>18</v>
      </c>
      <c r="L7518" s="8">
        <v>39987.315405092595</v>
      </c>
      <c r="M7518" s="9" t="s">
        <v>19</v>
      </c>
      <c r="N7518" s="9" t="s">
        <v>20</v>
      </c>
      <c r="O7518" s="6" t="str">
        <f>HYPERLINK("https://pbs.twimg.com/profile_images/962471262747529216/Uo8lOkRJ_normal.jpg","View")</f>
        <v>View</v>
      </c>
      <c r="P7518" s="7"/>
    </row>
    <row r="7519" spans="1:16">
      <c r="A7519" s="3">
        <v>44023.236412037033</v>
      </c>
      <c r="B7519" s="4" t="str">
        <f>HYPERLINK("https://twitter.com/petrogustavo","@petrogustavo")</f>
        <v>@petrogustavo</v>
      </c>
      <c r="C7519" s="5" t="s">
        <v>16</v>
      </c>
      <c r="D7519" s="5" t="s">
        <v>7266</v>
      </c>
      <c r="E7519" s="6" t="str">
        <f>HYPERLINK("https://twitter.com/petrogustavo/status/1281742608746913793","1281742608746913793")</f>
        <v>1281742608746913793</v>
      </c>
      <c r="F7519" s="7" t="s">
        <v>32</v>
      </c>
      <c r="G7519" s="7">
        <v>3904975</v>
      </c>
      <c r="H7519" s="7">
        <v>2420</v>
      </c>
      <c r="I7519" s="7">
        <v>12</v>
      </c>
      <c r="J7519" s="7">
        <v>0</v>
      </c>
      <c r="K7519" s="7" t="s">
        <v>18</v>
      </c>
      <c r="L7519" s="8">
        <v>39987.315405092595</v>
      </c>
      <c r="M7519" s="9" t="s">
        <v>19</v>
      </c>
      <c r="N7519" s="9" t="s">
        <v>20</v>
      </c>
      <c r="O7519" s="6" t="str">
        <f>HYPERLINK("https://pbs.twimg.com/profile_images/962471262747529216/Uo8lOkRJ_normal.jpg","View")</f>
        <v>View</v>
      </c>
      <c r="P7519" s="7"/>
    </row>
    <row r="7520" spans="1:16">
      <c r="A7520" s="3">
        <v>44023.243263888886</v>
      </c>
      <c r="B7520" s="4" t="str">
        <f>HYPERLINK("https://twitter.com/petrogustavo","@petrogustavo")</f>
        <v>@petrogustavo</v>
      </c>
      <c r="C7520" s="5" t="s">
        <v>16</v>
      </c>
      <c r="D7520" s="5" t="s">
        <v>7267</v>
      </c>
      <c r="E7520" s="6" t="str">
        <f>HYPERLINK("https://twitter.com/petrogustavo/status/1281745094396256258","1281745094396256258")</f>
        <v>1281745094396256258</v>
      </c>
      <c r="F7520" s="7" t="s">
        <v>32</v>
      </c>
      <c r="G7520" s="7">
        <v>3904994</v>
      </c>
      <c r="H7520" s="7">
        <v>2420</v>
      </c>
      <c r="I7520" s="7">
        <v>294</v>
      </c>
      <c r="J7520" s="7">
        <v>0</v>
      </c>
      <c r="K7520" s="7" t="s">
        <v>18</v>
      </c>
      <c r="L7520" s="8">
        <v>39987.315405092595</v>
      </c>
      <c r="M7520" s="9" t="s">
        <v>19</v>
      </c>
      <c r="N7520" s="9" t="s">
        <v>20</v>
      </c>
      <c r="O7520" s="6" t="str">
        <f>HYPERLINK("https://pbs.twimg.com/profile_images/962471262747529216/Uo8lOkRJ_normal.jpg","View")</f>
        <v>View</v>
      </c>
      <c r="P7520" s="7"/>
    </row>
    <row r="7521" spans="1:16">
      <c r="A7521" s="3">
        <v>44023.798414351855</v>
      </c>
      <c r="B7521" s="4" t="str">
        <f>HYPERLINK("https://twitter.com/petrogustavo","@petrogustavo")</f>
        <v>@petrogustavo</v>
      </c>
      <c r="C7521" s="5" t="s">
        <v>16</v>
      </c>
      <c r="D7521" s="5" t="s">
        <v>7268</v>
      </c>
      <c r="E7521" s="6" t="str">
        <f>HYPERLINK("https://twitter.com/petrogustavo/status/1281946273088770050","1281946273088770050")</f>
        <v>1281946273088770050</v>
      </c>
      <c r="F7521" s="7" t="s">
        <v>17</v>
      </c>
      <c r="G7521" s="7">
        <v>3905164</v>
      </c>
      <c r="H7521" s="7">
        <v>2421</v>
      </c>
      <c r="I7521" s="7">
        <v>422</v>
      </c>
      <c r="J7521" s="7">
        <v>0</v>
      </c>
      <c r="K7521" s="7" t="s">
        <v>18</v>
      </c>
      <c r="L7521" s="8">
        <v>39987.315405092595</v>
      </c>
      <c r="M7521" s="9" t="s">
        <v>19</v>
      </c>
      <c r="N7521" s="9" t="s">
        <v>20</v>
      </c>
      <c r="O7521" s="6" t="str">
        <f>HYPERLINK("https://pbs.twimg.com/profile_images/962471262747529216/Uo8lOkRJ_normal.jpg","View")</f>
        <v>View</v>
      </c>
      <c r="P7521" s="7"/>
    </row>
    <row r="7522" spans="1:16">
      <c r="A7522" s="3">
        <v>44023.798854166671</v>
      </c>
      <c r="B7522" s="4" t="str">
        <f>HYPERLINK("https://twitter.com/petrogustavo","@petrogustavo")</f>
        <v>@petrogustavo</v>
      </c>
      <c r="C7522" s="5" t="s">
        <v>16</v>
      </c>
      <c r="D7522" s="5" t="s">
        <v>7269</v>
      </c>
      <c r="E7522" s="6" t="str">
        <f>HYPERLINK("https://twitter.com/petrogustavo/status/1281946433806053376","1281946433806053376")</f>
        <v>1281946433806053376</v>
      </c>
      <c r="F7522" s="7" t="s">
        <v>17</v>
      </c>
      <c r="G7522" s="7">
        <v>3905164</v>
      </c>
      <c r="H7522" s="7">
        <v>2421</v>
      </c>
      <c r="I7522" s="7">
        <v>1060</v>
      </c>
      <c r="J7522" s="7">
        <v>0</v>
      </c>
      <c r="K7522" s="7" t="s">
        <v>18</v>
      </c>
      <c r="L7522" s="8">
        <v>39987.315405092595</v>
      </c>
      <c r="M7522" s="9" t="s">
        <v>19</v>
      </c>
      <c r="N7522" s="9" t="s">
        <v>20</v>
      </c>
      <c r="O7522" s="6" t="str">
        <f>HYPERLINK("https://pbs.twimg.com/profile_images/962471262747529216/Uo8lOkRJ_normal.jpg","View")</f>
        <v>View</v>
      </c>
      <c r="P7522" s="7"/>
    </row>
    <row r="7523" spans="1:16">
      <c r="A7523" s="3">
        <v>44023.800069444449</v>
      </c>
      <c r="B7523" s="4" t="str">
        <f>HYPERLINK("https://twitter.com/petrogustavo","@petrogustavo")</f>
        <v>@petrogustavo</v>
      </c>
      <c r="C7523" s="5" t="s">
        <v>16</v>
      </c>
      <c r="D7523" s="5" t="s">
        <v>7270</v>
      </c>
      <c r="E7523" s="6" t="str">
        <f>HYPERLINK("https://twitter.com/petrogustavo/status/1281946871192330241","1281946871192330241")</f>
        <v>1281946871192330241</v>
      </c>
      <c r="F7523" s="7" t="s">
        <v>17</v>
      </c>
      <c r="G7523" s="7">
        <v>3905164</v>
      </c>
      <c r="H7523" s="7">
        <v>2421</v>
      </c>
      <c r="I7523" s="7">
        <v>148</v>
      </c>
      <c r="J7523" s="7">
        <v>302</v>
      </c>
      <c r="K7523" s="7" t="s">
        <v>18</v>
      </c>
      <c r="L7523" s="8">
        <v>39987.315405092595</v>
      </c>
      <c r="M7523" s="9" t="s">
        <v>19</v>
      </c>
      <c r="N7523" s="9" t="s">
        <v>20</v>
      </c>
      <c r="O7523" s="6" t="str">
        <f>HYPERLINK("https://pbs.twimg.com/profile_images/962471262747529216/Uo8lOkRJ_normal.jpg","View")</f>
        <v>View</v>
      </c>
      <c r="P7523" s="7"/>
    </row>
    <row r="7524" spans="1:16">
      <c r="A7524" s="3">
        <v>44023.800335648149</v>
      </c>
      <c r="B7524" s="4" t="str">
        <f>HYPERLINK("https://twitter.com/petrogustavo","@petrogustavo")</f>
        <v>@petrogustavo</v>
      </c>
      <c r="C7524" s="5" t="s">
        <v>16</v>
      </c>
      <c r="D7524" s="5" t="s">
        <v>7271</v>
      </c>
      <c r="E7524" s="6" t="str">
        <f>HYPERLINK("https://twitter.com/petrogustavo/status/1281946970005868546","1281946970005868546")</f>
        <v>1281946970005868546</v>
      </c>
      <c r="F7524" s="7" t="s">
        <v>17</v>
      </c>
      <c r="G7524" s="7">
        <v>3905164</v>
      </c>
      <c r="H7524" s="7">
        <v>2421</v>
      </c>
      <c r="I7524" s="7">
        <v>30</v>
      </c>
      <c r="J7524" s="7">
        <v>0</v>
      </c>
      <c r="K7524" s="7" t="s">
        <v>18</v>
      </c>
      <c r="L7524" s="8">
        <v>39987.315405092595</v>
      </c>
      <c r="M7524" s="9" t="s">
        <v>19</v>
      </c>
      <c r="N7524" s="9" t="s">
        <v>20</v>
      </c>
      <c r="O7524" s="6" t="str">
        <f>HYPERLINK("https://pbs.twimg.com/profile_images/962471262747529216/Uo8lOkRJ_normal.jpg","View")</f>
        <v>View</v>
      </c>
      <c r="P7524" s="7"/>
    </row>
    <row r="7525" spans="1:16">
      <c r="A7525" s="3">
        <v>44023.802210648151</v>
      </c>
      <c r="B7525" s="4" t="str">
        <f>HYPERLINK("https://twitter.com/petrogustavo","@petrogustavo")</f>
        <v>@petrogustavo</v>
      </c>
      <c r="C7525" s="5" t="s">
        <v>16</v>
      </c>
      <c r="D7525" s="5" t="s">
        <v>7272</v>
      </c>
      <c r="E7525" s="6" t="str">
        <f>HYPERLINK("https://twitter.com/petrogustavo/status/1281947650129100807","1281947650129100807")</f>
        <v>1281947650129100807</v>
      </c>
      <c r="F7525" s="7" t="s">
        <v>17</v>
      </c>
      <c r="G7525" s="7">
        <v>3905164</v>
      </c>
      <c r="H7525" s="7">
        <v>2421</v>
      </c>
      <c r="I7525" s="7">
        <v>33</v>
      </c>
      <c r="J7525" s="7">
        <v>104</v>
      </c>
      <c r="K7525" s="7" t="s">
        <v>18</v>
      </c>
      <c r="L7525" s="8">
        <v>39987.315405092595</v>
      </c>
      <c r="M7525" s="9" t="s">
        <v>19</v>
      </c>
      <c r="N7525" s="9" t="s">
        <v>20</v>
      </c>
      <c r="O7525" s="6" t="str">
        <f>HYPERLINK("https://pbs.twimg.com/profile_images/962471262747529216/Uo8lOkRJ_normal.jpg","View")</f>
        <v>View</v>
      </c>
      <c r="P7525" s="7"/>
    </row>
    <row r="7526" spans="1:16">
      <c r="A7526" s="3">
        <v>44023.805092592593</v>
      </c>
      <c r="B7526" s="4" t="str">
        <f>HYPERLINK("https://twitter.com/petrogustavo","@petrogustavo")</f>
        <v>@petrogustavo</v>
      </c>
      <c r="C7526" s="5" t="s">
        <v>16</v>
      </c>
      <c r="D7526" s="5" t="s">
        <v>7273</v>
      </c>
      <c r="E7526" s="6" t="str">
        <f>HYPERLINK("https://twitter.com/petrogustavo/status/1281948692849790976","1281948692849790976")</f>
        <v>1281948692849790976</v>
      </c>
      <c r="F7526" s="7" t="s">
        <v>17</v>
      </c>
      <c r="G7526" s="7">
        <v>3905176</v>
      </c>
      <c r="H7526" s="7">
        <v>2421</v>
      </c>
      <c r="I7526" s="7">
        <v>198</v>
      </c>
      <c r="J7526" s="7">
        <v>491</v>
      </c>
      <c r="K7526" s="7" t="s">
        <v>18</v>
      </c>
      <c r="L7526" s="8">
        <v>39987.315405092595</v>
      </c>
      <c r="M7526" s="9" t="s">
        <v>19</v>
      </c>
      <c r="N7526" s="9" t="s">
        <v>20</v>
      </c>
      <c r="O7526" s="6" t="str">
        <f>HYPERLINK("https://pbs.twimg.com/profile_images/962471262747529216/Uo8lOkRJ_normal.jpg","View")</f>
        <v>View</v>
      </c>
      <c r="P7526" s="7"/>
    </row>
    <row r="7527" spans="1:16">
      <c r="A7527" s="3">
        <v>44023.80741898148</v>
      </c>
      <c r="B7527" s="4" t="str">
        <f>HYPERLINK("https://twitter.com/petrogustavo","@petrogustavo")</f>
        <v>@petrogustavo</v>
      </c>
      <c r="C7527" s="5" t="s">
        <v>16</v>
      </c>
      <c r="D7527" s="5" t="s">
        <v>7274</v>
      </c>
      <c r="E7527" s="6" t="str">
        <f>HYPERLINK("https://twitter.com/petrogustavo/status/1281949536114679808","1281949536114679808")</f>
        <v>1281949536114679808</v>
      </c>
      <c r="F7527" s="7" t="s">
        <v>17</v>
      </c>
      <c r="G7527" s="7">
        <v>3905176</v>
      </c>
      <c r="H7527" s="7">
        <v>2421</v>
      </c>
      <c r="I7527" s="7">
        <v>164</v>
      </c>
      <c r="J7527" s="7">
        <v>389</v>
      </c>
      <c r="K7527" s="7" t="s">
        <v>18</v>
      </c>
      <c r="L7527" s="8">
        <v>39987.315405092595</v>
      </c>
      <c r="M7527" s="9" t="s">
        <v>19</v>
      </c>
      <c r="N7527" s="9" t="s">
        <v>20</v>
      </c>
      <c r="O7527" s="6" t="str">
        <f>HYPERLINK("https://pbs.twimg.com/profile_images/962471262747529216/Uo8lOkRJ_normal.jpg","View")</f>
        <v>View</v>
      </c>
      <c r="P7527" s="7"/>
    </row>
    <row r="7528" spans="1:16">
      <c r="A7528" s="3">
        <v>44023.807916666672</v>
      </c>
      <c r="B7528" s="4" t="str">
        <f>HYPERLINK("https://twitter.com/petrogustavo","@petrogustavo")</f>
        <v>@petrogustavo</v>
      </c>
      <c r="C7528" s="5" t="s">
        <v>16</v>
      </c>
      <c r="D7528" s="5" t="s">
        <v>7275</v>
      </c>
      <c r="E7528" s="6" t="str">
        <f>HYPERLINK("https://twitter.com/petrogustavo/status/1281949718160048128","1281949718160048128")</f>
        <v>1281949718160048128</v>
      </c>
      <c r="F7528" s="7" t="s">
        <v>17</v>
      </c>
      <c r="G7528" s="7">
        <v>3905176</v>
      </c>
      <c r="H7528" s="7">
        <v>2421</v>
      </c>
      <c r="I7528" s="7">
        <v>198</v>
      </c>
      <c r="J7528" s="7">
        <v>0</v>
      </c>
      <c r="K7528" s="7" t="s">
        <v>18</v>
      </c>
      <c r="L7528" s="8">
        <v>39987.315405092595</v>
      </c>
      <c r="M7528" s="9" t="s">
        <v>19</v>
      </c>
      <c r="N7528" s="9" t="s">
        <v>20</v>
      </c>
      <c r="O7528" s="6" t="str">
        <f>HYPERLINK("https://pbs.twimg.com/profile_images/962471262747529216/Uo8lOkRJ_normal.jpg","View")</f>
        <v>View</v>
      </c>
      <c r="P7528" s="7"/>
    </row>
    <row r="7529" spans="1:16">
      <c r="A7529" s="3">
        <v>44023.809884259259</v>
      </c>
      <c r="B7529" s="4" t="str">
        <f>HYPERLINK("https://twitter.com/petrogustavo","@petrogustavo")</f>
        <v>@petrogustavo</v>
      </c>
      <c r="C7529" s="5" t="s">
        <v>16</v>
      </c>
      <c r="D7529" s="5" t="s">
        <v>7276</v>
      </c>
      <c r="E7529" s="6" t="str">
        <f>HYPERLINK("https://twitter.com/petrogustavo/status/1281950430407385090","1281950430407385090")</f>
        <v>1281950430407385090</v>
      </c>
      <c r="F7529" s="7" t="s">
        <v>17</v>
      </c>
      <c r="G7529" s="7">
        <v>3905176</v>
      </c>
      <c r="H7529" s="7">
        <v>2421</v>
      </c>
      <c r="I7529" s="7">
        <v>50</v>
      </c>
      <c r="J7529" s="7">
        <v>139</v>
      </c>
      <c r="K7529" s="7" t="s">
        <v>18</v>
      </c>
      <c r="L7529" s="8">
        <v>39987.315405092595</v>
      </c>
      <c r="M7529" s="9" t="s">
        <v>19</v>
      </c>
      <c r="N7529" s="9" t="s">
        <v>20</v>
      </c>
      <c r="O7529" s="6" t="str">
        <f>HYPERLINK("https://pbs.twimg.com/profile_images/962471262747529216/Uo8lOkRJ_normal.jpg","View")</f>
        <v>View</v>
      </c>
      <c r="P7529" s="7"/>
    </row>
    <row r="7530" spans="1:16">
      <c r="A7530" s="3">
        <v>44023.811458333337</v>
      </c>
      <c r="B7530" s="4" t="str">
        <f>HYPERLINK("https://twitter.com/petrogustavo","@petrogustavo")</f>
        <v>@petrogustavo</v>
      </c>
      <c r="C7530" s="5" t="s">
        <v>16</v>
      </c>
      <c r="D7530" s="5" t="s">
        <v>7277</v>
      </c>
      <c r="E7530" s="6" t="str">
        <f>HYPERLINK("https://twitter.com/petrogustavo/status/1281951000547528705","1281951000547528705")</f>
        <v>1281951000547528705</v>
      </c>
      <c r="F7530" s="7" t="s">
        <v>17</v>
      </c>
      <c r="G7530" s="7">
        <v>3905176</v>
      </c>
      <c r="H7530" s="7">
        <v>2421</v>
      </c>
      <c r="I7530" s="7">
        <v>54</v>
      </c>
      <c r="J7530" s="7">
        <v>154</v>
      </c>
      <c r="K7530" s="7" t="s">
        <v>18</v>
      </c>
      <c r="L7530" s="8">
        <v>39987.315405092595</v>
      </c>
      <c r="M7530" s="9" t="s">
        <v>19</v>
      </c>
      <c r="N7530" s="9" t="s">
        <v>20</v>
      </c>
      <c r="O7530" s="6" t="str">
        <f>HYPERLINK("https://pbs.twimg.com/profile_images/962471262747529216/Uo8lOkRJ_normal.jpg","View")</f>
        <v>View</v>
      </c>
      <c r="P7530" s="7"/>
    </row>
    <row r="7531" spans="1:16">
      <c r="A7531" s="3">
        <v>44023.821446759262</v>
      </c>
      <c r="B7531" s="4" t="str">
        <f>HYPERLINK("https://twitter.com/petrogustavo","@petrogustavo")</f>
        <v>@petrogustavo</v>
      </c>
      <c r="C7531" s="5" t="s">
        <v>16</v>
      </c>
      <c r="D7531" s="5" t="s">
        <v>7278</v>
      </c>
      <c r="E7531" s="6" t="str">
        <f>HYPERLINK("https://twitter.com/petrogustavo/status/1281954618373701636","1281954618373701636")</f>
        <v>1281954618373701636</v>
      </c>
      <c r="F7531" s="7" t="s">
        <v>17</v>
      </c>
      <c r="G7531" s="7">
        <v>3905176</v>
      </c>
      <c r="H7531" s="7">
        <v>2421</v>
      </c>
      <c r="I7531" s="7">
        <v>18</v>
      </c>
      <c r="J7531" s="7">
        <v>58</v>
      </c>
      <c r="K7531" s="7" t="s">
        <v>18</v>
      </c>
      <c r="L7531" s="8">
        <v>39987.315405092595</v>
      </c>
      <c r="M7531" s="9" t="s">
        <v>19</v>
      </c>
      <c r="N7531" s="9" t="s">
        <v>20</v>
      </c>
      <c r="O7531" s="6" t="str">
        <f>HYPERLINK("https://pbs.twimg.com/profile_images/962471262747529216/Uo8lOkRJ_normal.jpg","View")</f>
        <v>View</v>
      </c>
      <c r="P7531" s="7"/>
    </row>
    <row r="7532" spans="1:16">
      <c r="A7532" s="3">
        <v>44023.863645833335</v>
      </c>
      <c r="B7532" s="4" t="str">
        <f>HYPERLINK("https://twitter.com/petrogustavo","@petrogustavo")</f>
        <v>@petrogustavo</v>
      </c>
      <c r="C7532" s="5" t="s">
        <v>16</v>
      </c>
      <c r="D7532" s="5" t="s">
        <v>7279</v>
      </c>
      <c r="E7532" s="6" t="str">
        <f>HYPERLINK("https://twitter.com/petrogustavo/status/1281969912920104961","1281969912920104961")</f>
        <v>1281969912920104961</v>
      </c>
      <c r="F7532" s="7" t="s">
        <v>17</v>
      </c>
      <c r="G7532" s="7">
        <v>3905239</v>
      </c>
      <c r="H7532" s="7">
        <v>2421</v>
      </c>
      <c r="I7532" s="7">
        <v>10</v>
      </c>
      <c r="J7532" s="7">
        <v>25</v>
      </c>
      <c r="K7532" s="7" t="s">
        <v>18</v>
      </c>
      <c r="L7532" s="8">
        <v>39987.315405092595</v>
      </c>
      <c r="M7532" s="9" t="s">
        <v>19</v>
      </c>
      <c r="N7532" s="9" t="s">
        <v>20</v>
      </c>
      <c r="O7532" s="6" t="str">
        <f>HYPERLINK("https://pbs.twimg.com/profile_images/962471262747529216/Uo8lOkRJ_normal.jpg","View")</f>
        <v>View</v>
      </c>
      <c r="P7532" s="7"/>
    </row>
    <row r="7533" spans="1:16">
      <c r="A7533" s="3">
        <v>44023.863912037035</v>
      </c>
      <c r="B7533" s="4" t="str">
        <f>HYPERLINK("https://twitter.com/petrogustavo","@petrogustavo")</f>
        <v>@petrogustavo</v>
      </c>
      <c r="C7533" s="5" t="s">
        <v>16</v>
      </c>
      <c r="D7533" s="5" t="s">
        <v>7275</v>
      </c>
      <c r="E7533" s="6" t="str">
        <f>HYPERLINK("https://twitter.com/petrogustavo/status/1281970006641844224","1281970006641844224")</f>
        <v>1281970006641844224</v>
      </c>
      <c r="F7533" s="7" t="s">
        <v>17</v>
      </c>
      <c r="G7533" s="7">
        <v>3905239</v>
      </c>
      <c r="H7533" s="7">
        <v>2421</v>
      </c>
      <c r="I7533" s="7">
        <v>390</v>
      </c>
      <c r="J7533" s="7">
        <v>0</v>
      </c>
      <c r="K7533" s="7" t="s">
        <v>18</v>
      </c>
      <c r="L7533" s="8">
        <v>39987.315405092595</v>
      </c>
      <c r="M7533" s="9" t="s">
        <v>19</v>
      </c>
      <c r="N7533" s="9" t="s">
        <v>20</v>
      </c>
      <c r="O7533" s="6" t="str">
        <f>HYPERLINK("https://pbs.twimg.com/profile_images/962471262747529216/Uo8lOkRJ_normal.jpg","View")</f>
        <v>View</v>
      </c>
      <c r="P7533" s="7"/>
    </row>
    <row r="7534" spans="1:16">
      <c r="A7534" s="3">
        <v>44023.86824074074</v>
      </c>
      <c r="B7534" s="4" t="str">
        <f>HYPERLINK("https://twitter.com/petrogustavo","@petrogustavo")</f>
        <v>@petrogustavo</v>
      </c>
      <c r="C7534" s="5" t="s">
        <v>16</v>
      </c>
      <c r="D7534" s="5" t="s">
        <v>7280</v>
      </c>
      <c r="E7534" s="6" t="str">
        <f>HYPERLINK("https://twitter.com/petrogustavo/status/1281971577194774528","1281971577194774528")</f>
        <v>1281971577194774528</v>
      </c>
      <c r="F7534" s="7" t="s">
        <v>17</v>
      </c>
      <c r="G7534" s="7">
        <v>3905256</v>
      </c>
      <c r="H7534" s="7">
        <v>2421</v>
      </c>
      <c r="I7534" s="7">
        <v>289</v>
      </c>
      <c r="J7534" s="7">
        <v>0</v>
      </c>
      <c r="K7534" s="7" t="s">
        <v>18</v>
      </c>
      <c r="L7534" s="8">
        <v>39987.315405092595</v>
      </c>
      <c r="M7534" s="9" t="s">
        <v>19</v>
      </c>
      <c r="N7534" s="9" t="s">
        <v>20</v>
      </c>
      <c r="O7534" s="6" t="str">
        <f>HYPERLINK("https://pbs.twimg.com/profile_images/962471262747529216/Uo8lOkRJ_normal.jpg","View")</f>
        <v>View</v>
      </c>
      <c r="P7534" s="7"/>
    </row>
    <row r="7535" spans="1:16">
      <c r="A7535" s="3">
        <v>44023.86917824074</v>
      </c>
      <c r="B7535" s="4" t="str">
        <f>HYPERLINK("https://twitter.com/petrogustavo","@petrogustavo")</f>
        <v>@petrogustavo</v>
      </c>
      <c r="C7535" s="5" t="s">
        <v>16</v>
      </c>
      <c r="D7535" s="5" t="s">
        <v>7281</v>
      </c>
      <c r="E7535" s="6" t="str">
        <f>HYPERLINK("https://twitter.com/petrogustavo/status/1281971918682431490","1281971918682431490")</f>
        <v>1281971918682431490</v>
      </c>
      <c r="F7535" s="7" t="s">
        <v>17</v>
      </c>
      <c r="G7535" s="7">
        <v>3905256</v>
      </c>
      <c r="H7535" s="7">
        <v>2421</v>
      </c>
      <c r="I7535" s="7">
        <v>282</v>
      </c>
      <c r="J7535" s="7">
        <v>1048</v>
      </c>
      <c r="K7535" s="7" t="s">
        <v>18</v>
      </c>
      <c r="L7535" s="8">
        <v>39987.315405092595</v>
      </c>
      <c r="M7535" s="9" t="s">
        <v>19</v>
      </c>
      <c r="N7535" s="9" t="s">
        <v>20</v>
      </c>
      <c r="O7535" s="6" t="str">
        <f>HYPERLINK("https://pbs.twimg.com/profile_images/962471262747529216/Uo8lOkRJ_normal.jpg","View")</f>
        <v>View</v>
      </c>
      <c r="P7535" s="7"/>
    </row>
    <row r="7536" spans="1:16">
      <c r="A7536" s="3">
        <v>44023.875532407408</v>
      </c>
      <c r="B7536" s="4" t="str">
        <f>HYPERLINK("https://twitter.com/petrogustavo","@petrogustavo")</f>
        <v>@petrogustavo</v>
      </c>
      <c r="C7536" s="5" t="s">
        <v>16</v>
      </c>
      <c r="D7536" s="5" t="s">
        <v>7282</v>
      </c>
      <c r="E7536" s="6" t="str">
        <f>HYPERLINK("https://twitter.com/petrogustavo/status/1281974217756626944","1281974217756626944")</f>
        <v>1281974217756626944</v>
      </c>
      <c r="F7536" s="7" t="s">
        <v>17</v>
      </c>
      <c r="G7536" s="7">
        <v>3905256</v>
      </c>
      <c r="H7536" s="7">
        <v>2421</v>
      </c>
      <c r="I7536" s="7">
        <v>129</v>
      </c>
      <c r="J7536" s="7">
        <v>228</v>
      </c>
      <c r="K7536" s="7" t="s">
        <v>18</v>
      </c>
      <c r="L7536" s="8">
        <v>39987.315405092595</v>
      </c>
      <c r="M7536" s="9" t="s">
        <v>19</v>
      </c>
      <c r="N7536" s="9" t="s">
        <v>20</v>
      </c>
      <c r="O7536" s="6" t="str">
        <f>HYPERLINK("https://pbs.twimg.com/profile_images/962471262747529216/Uo8lOkRJ_normal.jpg","View")</f>
        <v>View</v>
      </c>
      <c r="P7536" s="7"/>
    </row>
    <row r="7537" spans="1:16">
      <c r="A7537" s="3">
        <v>44023.956805555557</v>
      </c>
      <c r="B7537" s="4" t="str">
        <f>HYPERLINK("https://twitter.com/petrogustavo","@petrogustavo")</f>
        <v>@petrogustavo</v>
      </c>
      <c r="C7537" s="5" t="s">
        <v>16</v>
      </c>
      <c r="D7537" s="5" t="s">
        <v>7275</v>
      </c>
      <c r="E7537" s="6" t="str">
        <f>HYPERLINK("https://twitter.com/petrogustavo/status/1282003669878280196","1282003669878280196")</f>
        <v>1282003669878280196</v>
      </c>
      <c r="F7537" s="7" t="s">
        <v>17</v>
      </c>
      <c r="G7537" s="7">
        <v>3905343</v>
      </c>
      <c r="H7537" s="7">
        <v>2421</v>
      </c>
      <c r="I7537" s="7">
        <v>714</v>
      </c>
      <c r="J7537" s="7">
        <v>0</v>
      </c>
      <c r="K7537" s="7" t="s">
        <v>18</v>
      </c>
      <c r="L7537" s="8">
        <v>39987.315405092595</v>
      </c>
      <c r="M7537" s="9" t="s">
        <v>19</v>
      </c>
      <c r="N7537" s="9" t="s">
        <v>20</v>
      </c>
      <c r="O7537" s="6" t="str">
        <f>HYPERLINK("https://pbs.twimg.com/profile_images/962471262747529216/Uo8lOkRJ_normal.jpg","View")</f>
        <v>View</v>
      </c>
      <c r="P7537" s="7"/>
    </row>
    <row r="7538" spans="1:16">
      <c r="A7538" s="3">
        <v>44023.960682870369</v>
      </c>
      <c r="B7538" s="4" t="str">
        <f>HYPERLINK("https://twitter.com/petrogustavo","@petrogustavo")</f>
        <v>@petrogustavo</v>
      </c>
      <c r="C7538" s="5" t="s">
        <v>16</v>
      </c>
      <c r="D7538" s="5" t="s">
        <v>7283</v>
      </c>
      <c r="E7538" s="6" t="str">
        <f>HYPERLINK("https://twitter.com/petrogustavo/status/1282005077302161410","1282005077302161410")</f>
        <v>1282005077302161410</v>
      </c>
      <c r="F7538" s="7" t="s">
        <v>17</v>
      </c>
      <c r="G7538" s="7">
        <v>3905343</v>
      </c>
      <c r="H7538" s="7">
        <v>2421</v>
      </c>
      <c r="I7538" s="7">
        <v>70</v>
      </c>
      <c r="J7538" s="7">
        <v>205</v>
      </c>
      <c r="K7538" s="7" t="s">
        <v>18</v>
      </c>
      <c r="L7538" s="8">
        <v>39987.315405092595</v>
      </c>
      <c r="M7538" s="9" t="s">
        <v>19</v>
      </c>
      <c r="N7538" s="9" t="s">
        <v>20</v>
      </c>
      <c r="O7538" s="6" t="str">
        <f>HYPERLINK("https://pbs.twimg.com/profile_images/962471262747529216/Uo8lOkRJ_normal.jpg","View")</f>
        <v>View</v>
      </c>
      <c r="P7538" s="7"/>
    </row>
    <row r="7539" spans="1:16">
      <c r="A7539" s="3">
        <v>44023.971828703703</v>
      </c>
      <c r="B7539" s="4" t="str">
        <f>HYPERLINK("https://twitter.com/petrogustavo","@petrogustavo")</f>
        <v>@petrogustavo</v>
      </c>
      <c r="C7539" s="5" t="s">
        <v>16</v>
      </c>
      <c r="D7539" s="5" t="s">
        <v>7284</v>
      </c>
      <c r="E7539" s="6" t="str">
        <f>HYPERLINK("https://twitter.com/petrogustavo/status/1282009117830402048","1282009117830402048")</f>
        <v>1282009117830402048</v>
      </c>
      <c r="F7539" s="7" t="s">
        <v>17</v>
      </c>
      <c r="G7539" s="7">
        <v>3905353</v>
      </c>
      <c r="H7539" s="7">
        <v>2421</v>
      </c>
      <c r="I7539" s="7">
        <v>63</v>
      </c>
      <c r="J7539" s="7">
        <v>177</v>
      </c>
      <c r="K7539" s="7" t="s">
        <v>18</v>
      </c>
      <c r="L7539" s="8">
        <v>39987.315405092595</v>
      </c>
      <c r="M7539" s="9" t="s">
        <v>19</v>
      </c>
      <c r="N7539" s="9" t="s">
        <v>20</v>
      </c>
      <c r="O7539" s="6" t="str">
        <f>HYPERLINK("https://pbs.twimg.com/profile_images/962471262747529216/Uo8lOkRJ_normal.jpg","View")</f>
        <v>View</v>
      </c>
      <c r="P7539" s="7"/>
    </row>
    <row r="7540" spans="1:16">
      <c r="A7540" s="3">
        <v>44023.972361111111</v>
      </c>
      <c r="B7540" s="4" t="str">
        <f>HYPERLINK("https://twitter.com/petrogustavo","@petrogustavo")</f>
        <v>@petrogustavo</v>
      </c>
      <c r="C7540" s="5" t="s">
        <v>16</v>
      </c>
      <c r="D7540" s="5" t="s">
        <v>7285</v>
      </c>
      <c r="E7540" s="6" t="str">
        <f>HYPERLINK("https://twitter.com/petrogustavo/status/1282009310566977538","1282009310566977538")</f>
        <v>1282009310566977538</v>
      </c>
      <c r="F7540" s="7" t="s">
        <v>17</v>
      </c>
      <c r="G7540" s="7">
        <v>3905353</v>
      </c>
      <c r="H7540" s="7">
        <v>2421</v>
      </c>
      <c r="I7540" s="7">
        <v>39</v>
      </c>
      <c r="J7540" s="7">
        <v>175</v>
      </c>
      <c r="K7540" s="7" t="s">
        <v>18</v>
      </c>
      <c r="L7540" s="8">
        <v>39987.315405092595</v>
      </c>
      <c r="M7540" s="9" t="s">
        <v>19</v>
      </c>
      <c r="N7540" s="9" t="s">
        <v>20</v>
      </c>
      <c r="O7540" s="6" t="str">
        <f>HYPERLINK("https://pbs.twimg.com/profile_images/962471262747529216/Uo8lOkRJ_normal.jpg","View")</f>
        <v>View</v>
      </c>
      <c r="P7540" s="7"/>
    </row>
    <row r="7541" spans="1:16">
      <c r="A7541" s="3">
        <v>44023.974675925929</v>
      </c>
      <c r="B7541" s="4" t="str">
        <f>HYPERLINK("https://twitter.com/petrogustavo","@petrogustavo")</f>
        <v>@petrogustavo</v>
      </c>
      <c r="C7541" s="5" t="s">
        <v>16</v>
      </c>
      <c r="D7541" s="5" t="s">
        <v>7286</v>
      </c>
      <c r="E7541" s="6" t="str">
        <f>HYPERLINK("https://twitter.com/petrogustavo/status/1282010148245053440","1282010148245053440")</f>
        <v>1282010148245053440</v>
      </c>
      <c r="F7541" s="7" t="s">
        <v>17</v>
      </c>
      <c r="G7541" s="7">
        <v>3905353</v>
      </c>
      <c r="H7541" s="7">
        <v>2421</v>
      </c>
      <c r="I7541" s="7">
        <v>42</v>
      </c>
      <c r="J7541" s="7">
        <v>113</v>
      </c>
      <c r="K7541" s="7" t="s">
        <v>18</v>
      </c>
      <c r="L7541" s="8">
        <v>39987.315405092595</v>
      </c>
      <c r="M7541" s="9" t="s">
        <v>19</v>
      </c>
      <c r="N7541" s="9" t="s">
        <v>20</v>
      </c>
      <c r="O7541" s="6" t="str">
        <f>HYPERLINK("https://pbs.twimg.com/profile_images/962471262747529216/Uo8lOkRJ_normal.jpg","View")</f>
        <v>View</v>
      </c>
      <c r="P7541" s="7"/>
    </row>
    <row r="7542" spans="1:16">
      <c r="A7542" s="3">
        <v>44023.98164351852</v>
      </c>
      <c r="B7542" s="4" t="str">
        <f>HYPERLINK("https://twitter.com/petrogustavo","@petrogustavo")</f>
        <v>@petrogustavo</v>
      </c>
      <c r="C7542" s="5" t="s">
        <v>16</v>
      </c>
      <c r="D7542" s="5" t="s">
        <v>7287</v>
      </c>
      <c r="E7542" s="6" t="str">
        <f>HYPERLINK("https://twitter.com/petrogustavo/status/1282012671970336768","1282012671970336768")</f>
        <v>1282012671970336768</v>
      </c>
      <c r="F7542" s="7" t="s">
        <v>17</v>
      </c>
      <c r="G7542" s="7">
        <v>3905353</v>
      </c>
      <c r="H7542" s="7">
        <v>2421</v>
      </c>
      <c r="I7542" s="7">
        <v>44</v>
      </c>
      <c r="J7542" s="7">
        <v>70</v>
      </c>
      <c r="K7542" s="7" t="s">
        <v>18</v>
      </c>
      <c r="L7542" s="8">
        <v>39987.315405092595</v>
      </c>
      <c r="M7542" s="9" t="s">
        <v>19</v>
      </c>
      <c r="N7542" s="9" t="s">
        <v>20</v>
      </c>
      <c r="O7542" s="6" t="str">
        <f>HYPERLINK("https://pbs.twimg.com/profile_images/962471262747529216/Uo8lOkRJ_normal.jpg","View")</f>
        <v>View</v>
      </c>
      <c r="P7542" s="7"/>
    </row>
    <row r="7543" spans="1:16">
      <c r="A7543" s="3">
        <v>44023.9840625</v>
      </c>
      <c r="B7543" s="4" t="str">
        <f>HYPERLINK("https://twitter.com/petrogustavo","@petrogustavo")</f>
        <v>@petrogustavo</v>
      </c>
      <c r="C7543" s="5" t="s">
        <v>16</v>
      </c>
      <c r="D7543" s="5" t="s">
        <v>7288</v>
      </c>
      <c r="E7543" s="6" t="str">
        <f>HYPERLINK("https://twitter.com/petrogustavo/status/1282013550450487298","1282013550450487298")</f>
        <v>1282013550450487298</v>
      </c>
      <c r="F7543" s="7" t="s">
        <v>17</v>
      </c>
      <c r="G7543" s="7">
        <v>3905353</v>
      </c>
      <c r="H7543" s="7">
        <v>2421</v>
      </c>
      <c r="I7543" s="7">
        <v>20</v>
      </c>
      <c r="J7543" s="7">
        <v>48</v>
      </c>
      <c r="K7543" s="7" t="s">
        <v>18</v>
      </c>
      <c r="L7543" s="8">
        <v>39987.315405092595</v>
      </c>
      <c r="M7543" s="9" t="s">
        <v>19</v>
      </c>
      <c r="N7543" s="9" t="s">
        <v>20</v>
      </c>
      <c r="O7543" s="6" t="str">
        <f>HYPERLINK("https://pbs.twimg.com/profile_images/962471262747529216/Uo8lOkRJ_normal.jpg","View")</f>
        <v>View</v>
      </c>
      <c r="P7543" s="7"/>
    </row>
    <row r="7544" spans="1:16">
      <c r="A7544" s="3">
        <v>44023.988020833334</v>
      </c>
      <c r="B7544" s="4" t="str">
        <f>HYPERLINK("https://twitter.com/petrogustavo","@petrogustavo")</f>
        <v>@petrogustavo</v>
      </c>
      <c r="C7544" s="5" t="s">
        <v>16</v>
      </c>
      <c r="D7544" s="5" t="s">
        <v>7275</v>
      </c>
      <c r="E7544" s="6" t="str">
        <f>HYPERLINK("https://twitter.com/petrogustavo/status/1282014983732289539","1282014983732289539")</f>
        <v>1282014983732289539</v>
      </c>
      <c r="F7544" s="7" t="s">
        <v>17</v>
      </c>
      <c r="G7544" s="7">
        <v>3905353</v>
      </c>
      <c r="H7544" s="7">
        <v>2421</v>
      </c>
      <c r="I7544" s="7">
        <v>764</v>
      </c>
      <c r="J7544" s="7">
        <v>0</v>
      </c>
      <c r="K7544" s="7" t="s">
        <v>18</v>
      </c>
      <c r="L7544" s="8">
        <v>39987.315405092595</v>
      </c>
      <c r="M7544" s="9" t="s">
        <v>19</v>
      </c>
      <c r="N7544" s="9" t="s">
        <v>20</v>
      </c>
      <c r="O7544" s="6" t="str">
        <f>HYPERLINK("https://pbs.twimg.com/profile_images/962471262747529216/Uo8lOkRJ_normal.jpg","View")</f>
        <v>View</v>
      </c>
      <c r="P7544" s="7"/>
    </row>
    <row r="7545" spans="1:16">
      <c r="A7545" s="3">
        <v>44024.007152777776</v>
      </c>
      <c r="B7545" s="4" t="str">
        <f>HYPERLINK("https://twitter.com/petrogustavo","@petrogustavo")</f>
        <v>@petrogustavo</v>
      </c>
      <c r="C7545" s="5" t="s">
        <v>16</v>
      </c>
      <c r="D7545" s="5" t="s">
        <v>7289</v>
      </c>
      <c r="E7545" s="6" t="str">
        <f>HYPERLINK("https://twitter.com/petrogustavo/status/1282021915541090305","1282021915541090305")</f>
        <v>1282021915541090305</v>
      </c>
      <c r="F7545" s="7" t="s">
        <v>17</v>
      </c>
      <c r="G7545" s="7">
        <v>3905369</v>
      </c>
      <c r="H7545" s="7">
        <v>2421</v>
      </c>
      <c r="I7545" s="7">
        <v>78</v>
      </c>
      <c r="J7545" s="7">
        <v>261</v>
      </c>
      <c r="K7545" s="7" t="s">
        <v>18</v>
      </c>
      <c r="L7545" s="8">
        <v>39987.315405092595</v>
      </c>
      <c r="M7545" s="9" t="s">
        <v>19</v>
      </c>
      <c r="N7545" s="9" t="s">
        <v>20</v>
      </c>
      <c r="O7545" s="6" t="str">
        <f>HYPERLINK("https://pbs.twimg.com/profile_images/962471262747529216/Uo8lOkRJ_normal.jpg","View")</f>
        <v>View</v>
      </c>
      <c r="P7545" s="7"/>
    </row>
    <row r="7546" spans="1:16">
      <c r="A7546" s="3">
        <v>44024.016712962963</v>
      </c>
      <c r="B7546" s="4" t="str">
        <f>HYPERLINK("https://twitter.com/petrogustavo","@petrogustavo")</f>
        <v>@petrogustavo</v>
      </c>
      <c r="C7546" s="5" t="s">
        <v>16</v>
      </c>
      <c r="D7546" s="5" t="s">
        <v>7290</v>
      </c>
      <c r="E7546" s="6" t="str">
        <f>HYPERLINK("https://twitter.com/petrogustavo/status/1282025379495063553","1282025379495063553")</f>
        <v>1282025379495063553</v>
      </c>
      <c r="F7546" s="7" t="s">
        <v>32</v>
      </c>
      <c r="G7546" s="7">
        <v>3905389</v>
      </c>
      <c r="H7546" s="7">
        <v>2421</v>
      </c>
      <c r="I7546" s="7">
        <v>86</v>
      </c>
      <c r="J7546" s="7">
        <v>214</v>
      </c>
      <c r="K7546" s="7" t="s">
        <v>18</v>
      </c>
      <c r="L7546" s="8">
        <v>39987.315405092595</v>
      </c>
      <c r="M7546" s="9" t="s">
        <v>19</v>
      </c>
      <c r="N7546" s="9" t="s">
        <v>20</v>
      </c>
      <c r="O7546" s="6" t="str">
        <f>HYPERLINK("https://pbs.twimg.com/profile_images/962471262747529216/Uo8lOkRJ_normal.jpg","View")</f>
        <v>View</v>
      </c>
      <c r="P7546" s="7"/>
    </row>
    <row r="7547" spans="1:16">
      <c r="A7547" s="3">
        <v>44024.037847222222</v>
      </c>
      <c r="B7547" s="4" t="str">
        <f>HYPERLINK("https://twitter.com/petrogustavo","@petrogustavo")</f>
        <v>@petrogustavo</v>
      </c>
      <c r="C7547" s="5" t="s">
        <v>16</v>
      </c>
      <c r="D7547" s="5" t="s">
        <v>7291</v>
      </c>
      <c r="E7547" s="6" t="str">
        <f>HYPERLINK("https://twitter.com/petrogustavo/status/1282033041699934210","1282033041699934210")</f>
        <v>1282033041699934210</v>
      </c>
      <c r="F7547" s="7" t="s">
        <v>32</v>
      </c>
      <c r="G7547" s="7">
        <v>3905405</v>
      </c>
      <c r="H7547" s="7">
        <v>2421</v>
      </c>
      <c r="I7547" s="7">
        <v>187</v>
      </c>
      <c r="J7547" s="7">
        <v>657</v>
      </c>
      <c r="K7547" s="7" t="s">
        <v>18</v>
      </c>
      <c r="L7547" s="8">
        <v>39987.315405092595</v>
      </c>
      <c r="M7547" s="9" t="s">
        <v>19</v>
      </c>
      <c r="N7547" s="9" t="s">
        <v>20</v>
      </c>
      <c r="O7547" s="6" t="str">
        <f>HYPERLINK("https://pbs.twimg.com/profile_images/962471262747529216/Uo8lOkRJ_normal.jpg","View")</f>
        <v>View</v>
      </c>
      <c r="P7547" s="7"/>
    </row>
    <row r="7548" spans="1:16">
      <c r="A7548" s="3">
        <v>44024.192685185189</v>
      </c>
      <c r="B7548" s="4" t="str">
        <f>HYPERLINK("https://twitter.com/petrogustavo","@petrogustavo")</f>
        <v>@petrogustavo</v>
      </c>
      <c r="C7548" s="5" t="s">
        <v>16</v>
      </c>
      <c r="D7548" s="5" t="s">
        <v>7292</v>
      </c>
      <c r="E7548" s="6" t="str">
        <f>HYPERLINK("https://twitter.com/petrogustavo/status/1282089150578130946","1282089150578130946")</f>
        <v>1282089150578130946</v>
      </c>
      <c r="F7548" s="7" t="s">
        <v>21</v>
      </c>
      <c r="G7548" s="7">
        <v>3905510</v>
      </c>
      <c r="H7548" s="7">
        <v>2421</v>
      </c>
      <c r="I7548" s="7">
        <v>54</v>
      </c>
      <c r="J7548" s="7">
        <v>92</v>
      </c>
      <c r="K7548" s="7" t="s">
        <v>18</v>
      </c>
      <c r="L7548" s="8">
        <v>39987.315405092595</v>
      </c>
      <c r="M7548" s="9" t="s">
        <v>19</v>
      </c>
      <c r="N7548" s="9" t="s">
        <v>20</v>
      </c>
      <c r="O7548" s="6" t="str">
        <f>HYPERLINK("https://pbs.twimg.com/profile_images/962471262747529216/Uo8lOkRJ_normal.jpg","View")</f>
        <v>View</v>
      </c>
      <c r="P7548" s="7"/>
    </row>
    <row r="7549" spans="1:16">
      <c r="A7549" s="3">
        <v>44024.192812499998</v>
      </c>
      <c r="B7549" s="4" t="str">
        <f>HYPERLINK("https://twitter.com/petrogustavo","@petrogustavo")</f>
        <v>@petrogustavo</v>
      </c>
      <c r="C7549" s="5" t="s">
        <v>16</v>
      </c>
      <c r="D7549" s="5" t="s">
        <v>7293</v>
      </c>
      <c r="E7549" s="6" t="str">
        <f>HYPERLINK("https://twitter.com/petrogustavo/status/1282089198686789632","1282089198686789632")</f>
        <v>1282089198686789632</v>
      </c>
      <c r="F7549" s="7" t="s">
        <v>21</v>
      </c>
      <c r="G7549" s="7">
        <v>3905510</v>
      </c>
      <c r="H7549" s="7">
        <v>2421</v>
      </c>
      <c r="I7549" s="7">
        <v>30</v>
      </c>
      <c r="J7549" s="7">
        <v>59</v>
      </c>
      <c r="K7549" s="7" t="s">
        <v>18</v>
      </c>
      <c r="L7549" s="8">
        <v>39987.315405092595</v>
      </c>
      <c r="M7549" s="9" t="s">
        <v>19</v>
      </c>
      <c r="N7549" s="9" t="s">
        <v>20</v>
      </c>
      <c r="O7549" s="6" t="str">
        <f>HYPERLINK("https://pbs.twimg.com/profile_images/962471262747529216/Uo8lOkRJ_normal.jpg","View")</f>
        <v>View</v>
      </c>
      <c r="P7549" s="7"/>
    </row>
    <row r="7550" spans="1:16">
      <c r="A7550" s="3">
        <v>44024.192974537036</v>
      </c>
      <c r="B7550" s="4" t="str">
        <f>HYPERLINK("https://twitter.com/petrogustavo","@petrogustavo")</f>
        <v>@petrogustavo</v>
      </c>
      <c r="C7550" s="5" t="s">
        <v>16</v>
      </c>
      <c r="D7550" s="5" t="s">
        <v>7294</v>
      </c>
      <c r="E7550" s="6" t="str">
        <f>HYPERLINK("https://twitter.com/petrogustavo/status/1282089256949821442","1282089256949821442")</f>
        <v>1282089256949821442</v>
      </c>
      <c r="F7550" s="7" t="s">
        <v>21</v>
      </c>
      <c r="G7550" s="7">
        <v>3905510</v>
      </c>
      <c r="H7550" s="7">
        <v>2421</v>
      </c>
      <c r="I7550" s="7">
        <v>90</v>
      </c>
      <c r="J7550" s="7">
        <v>167</v>
      </c>
      <c r="K7550" s="7" t="s">
        <v>18</v>
      </c>
      <c r="L7550" s="8">
        <v>39987.315405092595</v>
      </c>
      <c r="M7550" s="9" t="s">
        <v>19</v>
      </c>
      <c r="N7550" s="9" t="s">
        <v>20</v>
      </c>
      <c r="O7550" s="6" t="str">
        <f>HYPERLINK("https://pbs.twimg.com/profile_images/962471262747529216/Uo8lOkRJ_normal.jpg","View")</f>
        <v>View</v>
      </c>
      <c r="P7550" s="7"/>
    </row>
    <row r="7551" spans="1:16">
      <c r="A7551" s="3">
        <v>44024.267337962963</v>
      </c>
      <c r="B7551" s="4" t="str">
        <f>HYPERLINK("https://twitter.com/petrogustavo","@petrogustavo")</f>
        <v>@petrogustavo</v>
      </c>
      <c r="C7551" s="5" t="s">
        <v>16</v>
      </c>
      <c r="D7551" s="5" t="s">
        <v>7295</v>
      </c>
      <c r="E7551" s="6" t="str">
        <f>HYPERLINK("https://twitter.com/petrogustavo/status/1282116204547768320","1282116204547768320")</f>
        <v>1282116204547768320</v>
      </c>
      <c r="F7551" s="7" t="s">
        <v>32</v>
      </c>
      <c r="G7551" s="7">
        <v>3905570</v>
      </c>
      <c r="H7551" s="7">
        <v>2421</v>
      </c>
      <c r="I7551" s="7">
        <v>289</v>
      </c>
      <c r="J7551" s="7">
        <v>0</v>
      </c>
      <c r="K7551" s="7" t="s">
        <v>18</v>
      </c>
      <c r="L7551" s="8">
        <v>39987.315405092595</v>
      </c>
      <c r="M7551" s="9" t="s">
        <v>19</v>
      </c>
      <c r="N7551" s="9" t="s">
        <v>20</v>
      </c>
      <c r="O7551" s="6" t="str">
        <f>HYPERLINK("https://pbs.twimg.com/profile_images/962471262747529216/Uo8lOkRJ_normal.jpg","View")</f>
        <v>View</v>
      </c>
      <c r="P7551" s="7"/>
    </row>
    <row r="7552" spans="1:16">
      <c r="A7552" s="3">
        <v>44024.267384259263</v>
      </c>
      <c r="B7552" s="4" t="str">
        <f>HYPERLINK("https://twitter.com/petrogustavo","@petrogustavo")</f>
        <v>@petrogustavo</v>
      </c>
      <c r="C7552" s="5" t="s">
        <v>16</v>
      </c>
      <c r="D7552" s="5" t="s">
        <v>7295</v>
      </c>
      <c r="E7552" s="6" t="str">
        <f>HYPERLINK("https://twitter.com/petrogustavo/status/1282116222994255874","1282116222994255874")</f>
        <v>1282116222994255874</v>
      </c>
      <c r="F7552" s="7" t="s">
        <v>32</v>
      </c>
      <c r="G7552" s="7">
        <v>3905570</v>
      </c>
      <c r="H7552" s="7">
        <v>2421</v>
      </c>
      <c r="I7552" s="7">
        <v>208</v>
      </c>
      <c r="J7552" s="7">
        <v>0</v>
      </c>
      <c r="K7552" s="7" t="s">
        <v>18</v>
      </c>
      <c r="L7552" s="8">
        <v>39987.315405092595</v>
      </c>
      <c r="M7552" s="9" t="s">
        <v>19</v>
      </c>
      <c r="N7552" s="9" t="s">
        <v>20</v>
      </c>
      <c r="O7552" s="6" t="str">
        <f>HYPERLINK("https://pbs.twimg.com/profile_images/962471262747529216/Uo8lOkRJ_normal.jpg","View")</f>
        <v>View</v>
      </c>
      <c r="P7552" s="7"/>
    </row>
    <row r="7553" spans="1:16">
      <c r="A7553" s="3">
        <v>44024.267442129625</v>
      </c>
      <c r="B7553" s="4" t="str">
        <f>HYPERLINK("https://twitter.com/petrogustavo","@petrogustavo")</f>
        <v>@petrogustavo</v>
      </c>
      <c r="C7553" s="5" t="s">
        <v>16</v>
      </c>
      <c r="D7553" s="5" t="s">
        <v>7295</v>
      </c>
      <c r="E7553" s="6" t="str">
        <f>HYPERLINK("https://twitter.com/petrogustavo/status/1282116243173113857","1282116243173113857")</f>
        <v>1282116243173113857</v>
      </c>
      <c r="F7553" s="7" t="s">
        <v>32</v>
      </c>
      <c r="G7553" s="7">
        <v>3905570</v>
      </c>
      <c r="H7553" s="7">
        <v>2421</v>
      </c>
      <c r="I7553" s="7">
        <v>608</v>
      </c>
      <c r="J7553" s="7">
        <v>0</v>
      </c>
      <c r="K7553" s="7" t="s">
        <v>18</v>
      </c>
      <c r="L7553" s="8">
        <v>39987.315405092595</v>
      </c>
      <c r="M7553" s="9" t="s">
        <v>19</v>
      </c>
      <c r="N7553" s="9" t="s">
        <v>20</v>
      </c>
      <c r="O7553" s="6" t="str">
        <f>HYPERLINK("https://pbs.twimg.com/profile_images/962471262747529216/Uo8lOkRJ_normal.jpg","View")</f>
        <v>View</v>
      </c>
      <c r="P7553" s="7"/>
    </row>
    <row r="7554" spans="1:16">
      <c r="A7554" s="3">
        <v>44024.350729166668</v>
      </c>
      <c r="B7554" s="4" t="str">
        <f>HYPERLINK("https://twitter.com/petrogustavo","@petrogustavo")</f>
        <v>@petrogustavo</v>
      </c>
      <c r="C7554" s="5" t="s">
        <v>16</v>
      </c>
      <c r="D7554" s="5" t="s">
        <v>7295</v>
      </c>
      <c r="E7554" s="6" t="str">
        <f>HYPERLINK("https://twitter.com/petrogustavo/status/1282146426303270913","1282146426303270913")</f>
        <v>1282146426303270913</v>
      </c>
      <c r="F7554" s="7" t="s">
        <v>32</v>
      </c>
      <c r="G7554" s="7">
        <v>3905655</v>
      </c>
      <c r="H7554" s="7">
        <v>2421</v>
      </c>
      <c r="I7554" s="7">
        <v>828</v>
      </c>
      <c r="J7554" s="7">
        <v>0</v>
      </c>
      <c r="K7554" s="7" t="s">
        <v>18</v>
      </c>
      <c r="L7554" s="8">
        <v>39987.315405092595</v>
      </c>
      <c r="M7554" s="9" t="s">
        <v>19</v>
      </c>
      <c r="N7554" s="9" t="s">
        <v>20</v>
      </c>
      <c r="O7554" s="6" t="str">
        <f>HYPERLINK("https://pbs.twimg.com/profile_images/962471262747529216/Uo8lOkRJ_normal.jpg","View")</f>
        <v>View</v>
      </c>
      <c r="P7554" s="7"/>
    </row>
    <row r="7555" spans="1:16">
      <c r="A7555" s="3">
        <v>44024.357118055559</v>
      </c>
      <c r="B7555" s="4" t="str">
        <f>HYPERLINK("https://twitter.com/petrogustavo","@petrogustavo")</f>
        <v>@petrogustavo</v>
      </c>
      <c r="C7555" s="5" t="s">
        <v>16</v>
      </c>
      <c r="D7555" s="5" t="s">
        <v>7296</v>
      </c>
      <c r="E7555" s="6" t="str">
        <f>HYPERLINK("https://twitter.com/petrogustavo/status/1282148739067584514","1282148739067584514")</f>
        <v>1282148739067584514</v>
      </c>
      <c r="F7555" s="7" t="s">
        <v>32</v>
      </c>
      <c r="G7555" s="7">
        <v>3905655</v>
      </c>
      <c r="H7555" s="7">
        <v>2421</v>
      </c>
      <c r="I7555" s="7">
        <v>561</v>
      </c>
      <c r="J7555" s="7">
        <v>0</v>
      </c>
      <c r="K7555" s="7" t="s">
        <v>18</v>
      </c>
      <c r="L7555" s="8">
        <v>39987.315405092595</v>
      </c>
      <c r="M7555" s="9" t="s">
        <v>19</v>
      </c>
      <c r="N7555" s="9" t="s">
        <v>20</v>
      </c>
      <c r="O7555" s="6" t="str">
        <f>HYPERLINK("https://pbs.twimg.com/profile_images/962471262747529216/Uo8lOkRJ_normal.jpg","View")</f>
        <v>View</v>
      </c>
      <c r="P7555" s="7"/>
    </row>
    <row r="7556" spans="1:16">
      <c r="A7556" s="3">
        <v>44024.783645833333</v>
      </c>
      <c r="B7556" s="4" t="str">
        <f>HYPERLINK("https://twitter.com/petrogustavo","@petrogustavo")</f>
        <v>@petrogustavo</v>
      </c>
      <c r="C7556" s="5" t="s">
        <v>16</v>
      </c>
      <c r="D7556" s="5" t="s">
        <v>7297</v>
      </c>
      <c r="E7556" s="6" t="str">
        <f>HYPERLINK("https://twitter.com/petrogustavo/status/1282303307340558337","1282303307340558337")</f>
        <v>1282303307340558337</v>
      </c>
      <c r="F7556" s="7" t="s">
        <v>17</v>
      </c>
      <c r="G7556" s="7">
        <v>3905756</v>
      </c>
      <c r="H7556" s="7">
        <v>2421</v>
      </c>
      <c r="I7556" s="7">
        <v>184</v>
      </c>
      <c r="J7556" s="7">
        <v>356</v>
      </c>
      <c r="K7556" s="7" t="s">
        <v>18</v>
      </c>
      <c r="L7556" s="8">
        <v>39987.315405092595</v>
      </c>
      <c r="M7556" s="9" t="s">
        <v>19</v>
      </c>
      <c r="N7556" s="9" t="s">
        <v>20</v>
      </c>
      <c r="O7556" s="6" t="str">
        <f>HYPERLINK("https://pbs.twimg.com/profile_images/962471262747529216/Uo8lOkRJ_normal.jpg","View")</f>
        <v>View</v>
      </c>
      <c r="P7556" s="7"/>
    </row>
    <row r="7557" spans="1:16">
      <c r="A7557" s="3">
        <v>44024.788113425922</v>
      </c>
      <c r="B7557" s="4" t="str">
        <f>HYPERLINK("https://twitter.com/petrogustavo","@petrogustavo")</f>
        <v>@petrogustavo</v>
      </c>
      <c r="C7557" s="5" t="s">
        <v>16</v>
      </c>
      <c r="D7557" s="5" t="s">
        <v>7298</v>
      </c>
      <c r="E7557" s="6" t="str">
        <f>HYPERLINK("https://twitter.com/petrogustavo/status/1282304928405491712","1282304928405491712")</f>
        <v>1282304928405491712</v>
      </c>
      <c r="F7557" s="7" t="s">
        <v>17</v>
      </c>
      <c r="G7557" s="7">
        <v>3905756</v>
      </c>
      <c r="H7557" s="7">
        <v>2421</v>
      </c>
      <c r="I7557" s="7">
        <v>29</v>
      </c>
      <c r="J7557" s="7">
        <v>0</v>
      </c>
      <c r="K7557" s="7" t="s">
        <v>18</v>
      </c>
      <c r="L7557" s="8">
        <v>39987.315405092595</v>
      </c>
      <c r="M7557" s="9" t="s">
        <v>19</v>
      </c>
      <c r="N7557" s="9" t="s">
        <v>20</v>
      </c>
      <c r="O7557" s="6" t="str">
        <f>HYPERLINK("https://pbs.twimg.com/profile_images/962471262747529216/Uo8lOkRJ_normal.jpg","View")</f>
        <v>View</v>
      </c>
      <c r="P7557" s="7"/>
    </row>
    <row r="7558" spans="1:16">
      <c r="A7558" s="3">
        <v>44024.790347222224</v>
      </c>
      <c r="B7558" s="4" t="str">
        <f>HYPERLINK("https://twitter.com/petrogustavo","@petrogustavo")</f>
        <v>@petrogustavo</v>
      </c>
      <c r="C7558" s="5" t="s">
        <v>16</v>
      </c>
      <c r="D7558" s="5" t="s">
        <v>7299</v>
      </c>
      <c r="E7558" s="6" t="str">
        <f>HYPERLINK("https://twitter.com/petrogustavo/status/1282305737688064007","1282305737688064007")</f>
        <v>1282305737688064007</v>
      </c>
      <c r="F7558" s="7" t="s">
        <v>17</v>
      </c>
      <c r="G7558" s="7">
        <v>3905756</v>
      </c>
      <c r="H7558" s="7">
        <v>2421</v>
      </c>
      <c r="I7558" s="7">
        <v>191</v>
      </c>
      <c r="J7558" s="7">
        <v>519</v>
      </c>
      <c r="K7558" s="7" t="s">
        <v>18</v>
      </c>
      <c r="L7558" s="8">
        <v>39987.315405092595</v>
      </c>
      <c r="M7558" s="9" t="s">
        <v>19</v>
      </c>
      <c r="N7558" s="9" t="s">
        <v>20</v>
      </c>
      <c r="O7558" s="6" t="str">
        <f>HYPERLINK("https://pbs.twimg.com/profile_images/962471262747529216/Uo8lOkRJ_normal.jpg","View")</f>
        <v>View</v>
      </c>
      <c r="P7558" s="7"/>
    </row>
    <row r="7559" spans="1:16">
      <c r="A7559" s="3">
        <v>44024.791307870371</v>
      </c>
      <c r="B7559" s="4" t="str">
        <f>HYPERLINK("https://twitter.com/petrogustavo","@petrogustavo")</f>
        <v>@petrogustavo</v>
      </c>
      <c r="C7559" s="5" t="s">
        <v>16</v>
      </c>
      <c r="D7559" s="5" t="s">
        <v>7300</v>
      </c>
      <c r="E7559" s="6" t="str">
        <f>HYPERLINK("https://twitter.com/petrogustavo/status/1282306086800949252","1282306086800949252")</f>
        <v>1282306086800949252</v>
      </c>
      <c r="F7559" s="7" t="s">
        <v>17</v>
      </c>
      <c r="G7559" s="7">
        <v>3905756</v>
      </c>
      <c r="H7559" s="7">
        <v>2421</v>
      </c>
      <c r="I7559" s="7">
        <v>462</v>
      </c>
      <c r="J7559" s="7">
        <v>0</v>
      </c>
      <c r="K7559" s="7" t="s">
        <v>18</v>
      </c>
      <c r="L7559" s="8">
        <v>39987.315405092595</v>
      </c>
      <c r="M7559" s="9" t="s">
        <v>19</v>
      </c>
      <c r="N7559" s="9" t="s">
        <v>20</v>
      </c>
      <c r="O7559" s="6" t="str">
        <f>HYPERLINK("https://pbs.twimg.com/profile_images/962471262747529216/Uo8lOkRJ_normal.jpg","View")</f>
        <v>View</v>
      </c>
      <c r="P7559" s="7"/>
    </row>
    <row r="7560" spans="1:16">
      <c r="A7560" s="3">
        <v>44024.809432870374</v>
      </c>
      <c r="B7560" s="4" t="str">
        <f>HYPERLINK("https://twitter.com/petrogustavo","@petrogustavo")</f>
        <v>@petrogustavo</v>
      </c>
      <c r="C7560" s="5" t="s">
        <v>16</v>
      </c>
      <c r="D7560" s="5" t="s">
        <v>7301</v>
      </c>
      <c r="E7560" s="6" t="str">
        <f>HYPERLINK("https://twitter.com/petrogustavo/status/1282312651872370690","1282312651872370690")</f>
        <v>1282312651872370690</v>
      </c>
      <c r="F7560" s="7" t="s">
        <v>17</v>
      </c>
      <c r="G7560" s="7">
        <v>3905775</v>
      </c>
      <c r="H7560" s="7">
        <v>2421</v>
      </c>
      <c r="I7560" s="7">
        <v>180</v>
      </c>
      <c r="J7560" s="7">
        <v>340</v>
      </c>
      <c r="K7560" s="7" t="s">
        <v>18</v>
      </c>
      <c r="L7560" s="8">
        <v>39987.315405092595</v>
      </c>
      <c r="M7560" s="9" t="s">
        <v>19</v>
      </c>
      <c r="N7560" s="9" t="s">
        <v>20</v>
      </c>
      <c r="O7560" s="6" t="str">
        <f>HYPERLINK("https://pbs.twimg.com/profile_images/962471262747529216/Uo8lOkRJ_normal.jpg","View")</f>
        <v>View</v>
      </c>
      <c r="P7560" s="7"/>
    </row>
    <row r="7561" spans="1:16">
      <c r="A7561" s="3">
        <v>44024.813784722224</v>
      </c>
      <c r="B7561" s="4" t="str">
        <f>HYPERLINK("https://twitter.com/petrogustavo","@petrogustavo")</f>
        <v>@petrogustavo</v>
      </c>
      <c r="C7561" s="5" t="s">
        <v>16</v>
      </c>
      <c r="D7561" s="5" t="s">
        <v>7302</v>
      </c>
      <c r="E7561" s="6" t="str">
        <f>HYPERLINK("https://twitter.com/petrogustavo/status/1282314231640199168","1282314231640199168")</f>
        <v>1282314231640199168</v>
      </c>
      <c r="F7561" s="7" t="s">
        <v>17</v>
      </c>
      <c r="G7561" s="7">
        <v>3905775</v>
      </c>
      <c r="H7561" s="7">
        <v>2421</v>
      </c>
      <c r="I7561" s="7">
        <v>141</v>
      </c>
      <c r="J7561" s="7">
        <v>0</v>
      </c>
      <c r="K7561" s="7" t="s">
        <v>18</v>
      </c>
      <c r="L7561" s="8">
        <v>39987.315405092595</v>
      </c>
      <c r="M7561" s="9" t="s">
        <v>19</v>
      </c>
      <c r="N7561" s="9" t="s">
        <v>20</v>
      </c>
      <c r="O7561" s="6" t="str">
        <f>HYPERLINK("https://pbs.twimg.com/profile_images/962471262747529216/Uo8lOkRJ_normal.jpg","View")</f>
        <v>View</v>
      </c>
      <c r="P7561" s="7"/>
    </row>
    <row r="7562" spans="1:16">
      <c r="A7562" s="3">
        <v>44024.814351851848</v>
      </c>
      <c r="B7562" s="4" t="str">
        <f>HYPERLINK("https://twitter.com/petrogustavo","@petrogustavo")</f>
        <v>@petrogustavo</v>
      </c>
      <c r="C7562" s="5" t="s">
        <v>16</v>
      </c>
      <c r="D7562" s="5" t="s">
        <v>7303</v>
      </c>
      <c r="E7562" s="6" t="str">
        <f>HYPERLINK("https://twitter.com/petrogustavo/status/1282314435844083713","1282314435844083713")</f>
        <v>1282314435844083713</v>
      </c>
      <c r="F7562" s="7" t="s">
        <v>17</v>
      </c>
      <c r="G7562" s="7">
        <v>3905775</v>
      </c>
      <c r="H7562" s="7">
        <v>2421</v>
      </c>
      <c r="I7562" s="7">
        <v>42</v>
      </c>
      <c r="J7562" s="7">
        <v>0</v>
      </c>
      <c r="K7562" s="7" t="s">
        <v>18</v>
      </c>
      <c r="L7562" s="8">
        <v>39987.315405092595</v>
      </c>
      <c r="M7562" s="9" t="s">
        <v>19</v>
      </c>
      <c r="N7562" s="9" t="s">
        <v>20</v>
      </c>
      <c r="O7562" s="6" t="str">
        <f>HYPERLINK("https://pbs.twimg.com/profile_images/962471262747529216/Uo8lOkRJ_normal.jpg","View")</f>
        <v>View</v>
      </c>
      <c r="P7562" s="7"/>
    </row>
    <row r="7563" spans="1:16">
      <c r="A7563" s="3">
        <v>44024.821180555555</v>
      </c>
      <c r="B7563" s="4" t="str">
        <f>HYPERLINK("https://twitter.com/petrogustavo","@petrogustavo")</f>
        <v>@petrogustavo</v>
      </c>
      <c r="C7563" s="5" t="s">
        <v>16</v>
      </c>
      <c r="D7563" s="5" t="s">
        <v>7304</v>
      </c>
      <c r="E7563" s="6" t="str">
        <f>HYPERLINK("https://twitter.com/petrogustavo/status/1282316912760958976","1282316912760958976")</f>
        <v>1282316912760958976</v>
      </c>
      <c r="F7563" s="7" t="s">
        <v>17</v>
      </c>
      <c r="G7563" s="7">
        <v>3905775</v>
      </c>
      <c r="H7563" s="7">
        <v>2421</v>
      </c>
      <c r="I7563" s="7">
        <v>249</v>
      </c>
      <c r="J7563" s="7">
        <v>0</v>
      </c>
      <c r="K7563" s="7" t="s">
        <v>18</v>
      </c>
      <c r="L7563" s="8">
        <v>39987.315405092595</v>
      </c>
      <c r="M7563" s="9" t="s">
        <v>19</v>
      </c>
      <c r="N7563" s="9" t="s">
        <v>20</v>
      </c>
      <c r="O7563" s="6" t="str">
        <f>HYPERLINK("https://pbs.twimg.com/profile_images/962471262747529216/Uo8lOkRJ_normal.jpg","View")</f>
        <v>View</v>
      </c>
      <c r="P7563" s="7"/>
    </row>
    <row r="7564" spans="1:16">
      <c r="A7564" s="3">
        <v>44024.831574074073</v>
      </c>
      <c r="B7564" s="4" t="str">
        <f>HYPERLINK("https://twitter.com/petrogustavo","@petrogustavo")</f>
        <v>@petrogustavo</v>
      </c>
      <c r="C7564" s="5" t="s">
        <v>16</v>
      </c>
      <c r="D7564" s="5" t="s">
        <v>7305</v>
      </c>
      <c r="E7564" s="6" t="str">
        <f>HYPERLINK("https://twitter.com/petrogustavo/status/1282320676154679296","1282320676154679296")</f>
        <v>1282320676154679296</v>
      </c>
      <c r="F7564" s="7" t="s">
        <v>17</v>
      </c>
      <c r="G7564" s="7">
        <v>3905794</v>
      </c>
      <c r="H7564" s="7">
        <v>2421</v>
      </c>
      <c r="I7564" s="7">
        <v>99</v>
      </c>
      <c r="J7564" s="7">
        <v>195</v>
      </c>
      <c r="K7564" s="7" t="s">
        <v>18</v>
      </c>
      <c r="L7564" s="8">
        <v>39987.315405092595</v>
      </c>
      <c r="M7564" s="9" t="s">
        <v>19</v>
      </c>
      <c r="N7564" s="9" t="s">
        <v>20</v>
      </c>
      <c r="O7564" s="6" t="str">
        <f>HYPERLINK("https://pbs.twimg.com/profile_images/962471262747529216/Uo8lOkRJ_normal.jpg","View")</f>
        <v>View</v>
      </c>
      <c r="P7564" s="7"/>
    </row>
    <row r="7565" spans="1:16">
      <c r="A7565" s="3">
        <v>44024.840520833328</v>
      </c>
      <c r="B7565" s="4" t="str">
        <f>HYPERLINK("https://twitter.com/petrogustavo","@petrogustavo")</f>
        <v>@petrogustavo</v>
      </c>
      <c r="C7565" s="5" t="s">
        <v>16</v>
      </c>
      <c r="D7565" s="5" t="s">
        <v>7306</v>
      </c>
      <c r="E7565" s="6" t="str">
        <f>HYPERLINK("https://twitter.com/petrogustavo/status/1282323920717336576","1282323920717336576")</f>
        <v>1282323920717336576</v>
      </c>
      <c r="F7565" s="7" t="s">
        <v>17</v>
      </c>
      <c r="G7565" s="7">
        <v>3905794</v>
      </c>
      <c r="H7565" s="7">
        <v>2421</v>
      </c>
      <c r="I7565" s="7">
        <v>78</v>
      </c>
      <c r="J7565" s="7">
        <v>0</v>
      </c>
      <c r="K7565" s="7" t="s">
        <v>18</v>
      </c>
      <c r="L7565" s="8">
        <v>39987.315405092595</v>
      </c>
      <c r="M7565" s="9" t="s">
        <v>19</v>
      </c>
      <c r="N7565" s="9" t="s">
        <v>20</v>
      </c>
      <c r="O7565" s="6" t="str">
        <f>HYPERLINK("https://pbs.twimg.com/profile_images/962471262747529216/Uo8lOkRJ_normal.jpg","View")</f>
        <v>View</v>
      </c>
      <c r="P7565" s="7"/>
    </row>
    <row r="7566" spans="1:16">
      <c r="A7566" s="3">
        <v>44024.840787037036</v>
      </c>
      <c r="B7566" s="4" t="str">
        <f>HYPERLINK("https://twitter.com/petrogustavo","@petrogustavo")</f>
        <v>@petrogustavo</v>
      </c>
      <c r="C7566" s="5" t="s">
        <v>16</v>
      </c>
      <c r="D7566" s="5" t="s">
        <v>7307</v>
      </c>
      <c r="E7566" s="6" t="str">
        <f>HYPERLINK("https://twitter.com/petrogustavo/status/1282324017014288385","1282324017014288385")</f>
        <v>1282324017014288385</v>
      </c>
      <c r="F7566" s="7" t="s">
        <v>17</v>
      </c>
      <c r="G7566" s="7">
        <v>3905794</v>
      </c>
      <c r="H7566" s="7">
        <v>2421</v>
      </c>
      <c r="I7566" s="7">
        <v>64</v>
      </c>
      <c r="J7566" s="7">
        <v>0</v>
      </c>
      <c r="K7566" s="7" t="s">
        <v>18</v>
      </c>
      <c r="L7566" s="8">
        <v>39987.315405092595</v>
      </c>
      <c r="M7566" s="9" t="s">
        <v>19</v>
      </c>
      <c r="N7566" s="9" t="s">
        <v>20</v>
      </c>
      <c r="O7566" s="6" t="str">
        <f>HYPERLINK("https://pbs.twimg.com/profile_images/962471262747529216/Uo8lOkRJ_normal.jpg","View")</f>
        <v>View</v>
      </c>
      <c r="P7566" s="7"/>
    </row>
    <row r="7567" spans="1:16">
      <c r="A7567" s="3">
        <v>44024.84337962963</v>
      </c>
      <c r="B7567" s="4" t="str">
        <f>HYPERLINK("https://twitter.com/petrogustavo","@petrogustavo")</f>
        <v>@petrogustavo</v>
      </c>
      <c r="C7567" s="5" t="s">
        <v>16</v>
      </c>
      <c r="D7567" s="5" t="s">
        <v>7308</v>
      </c>
      <c r="E7567" s="6" t="str">
        <f>HYPERLINK("https://twitter.com/petrogustavo/status/1282324954365726723","1282324954365726723")</f>
        <v>1282324954365726723</v>
      </c>
      <c r="F7567" s="7" t="s">
        <v>17</v>
      </c>
      <c r="G7567" s="7">
        <v>3905794</v>
      </c>
      <c r="H7567" s="7">
        <v>2421</v>
      </c>
      <c r="I7567" s="7">
        <v>6</v>
      </c>
      <c r="J7567" s="7">
        <v>0</v>
      </c>
      <c r="K7567" s="7" t="s">
        <v>18</v>
      </c>
      <c r="L7567" s="8">
        <v>39987.315405092595</v>
      </c>
      <c r="M7567" s="9" t="s">
        <v>19</v>
      </c>
      <c r="N7567" s="9" t="s">
        <v>20</v>
      </c>
      <c r="O7567" s="6" t="str">
        <f>HYPERLINK("https://pbs.twimg.com/profile_images/962471262747529216/Uo8lOkRJ_normal.jpg","View")</f>
        <v>View</v>
      </c>
      <c r="P7567" s="7"/>
    </row>
    <row r="7568" spans="1:16">
      <c r="A7568" s="3">
        <v>44024.843680555554</v>
      </c>
      <c r="B7568" s="4" t="str">
        <f>HYPERLINK("https://twitter.com/petrogustavo","@petrogustavo")</f>
        <v>@petrogustavo</v>
      </c>
      <c r="C7568" s="5" t="s">
        <v>16</v>
      </c>
      <c r="D7568" s="5" t="s">
        <v>7309</v>
      </c>
      <c r="E7568" s="6" t="str">
        <f>HYPERLINK("https://twitter.com/petrogustavo/status/1282325064487239680","1282325064487239680")</f>
        <v>1282325064487239680</v>
      </c>
      <c r="F7568" s="7" t="s">
        <v>17</v>
      </c>
      <c r="G7568" s="7">
        <v>3905794</v>
      </c>
      <c r="H7568" s="7">
        <v>2421</v>
      </c>
      <c r="I7568" s="7">
        <v>26</v>
      </c>
      <c r="J7568" s="7">
        <v>0</v>
      </c>
      <c r="K7568" s="7" t="s">
        <v>18</v>
      </c>
      <c r="L7568" s="8">
        <v>39987.315405092595</v>
      </c>
      <c r="M7568" s="9" t="s">
        <v>19</v>
      </c>
      <c r="N7568" s="9" t="s">
        <v>20</v>
      </c>
      <c r="O7568" s="6" t="str">
        <f>HYPERLINK("https://pbs.twimg.com/profile_images/962471262747529216/Uo8lOkRJ_normal.jpg","View")</f>
        <v>View</v>
      </c>
      <c r="P7568" s="7"/>
    </row>
    <row r="7569" spans="1:16">
      <c r="A7569" s="3">
        <v>44024.845520833333</v>
      </c>
      <c r="B7569" s="4" t="str">
        <f>HYPERLINK("https://twitter.com/petrogustavo","@petrogustavo")</f>
        <v>@petrogustavo</v>
      </c>
      <c r="C7569" s="5" t="s">
        <v>16</v>
      </c>
      <c r="D7569" s="5" t="s">
        <v>7310</v>
      </c>
      <c r="E7569" s="6" t="str">
        <f>HYPERLINK("https://twitter.com/petrogustavo/status/1282325729682784257","1282325729682784257")</f>
        <v>1282325729682784257</v>
      </c>
      <c r="F7569" s="7" t="s">
        <v>17</v>
      </c>
      <c r="G7569" s="7">
        <v>3905812</v>
      </c>
      <c r="H7569" s="7">
        <v>2421</v>
      </c>
      <c r="I7569" s="7">
        <v>91</v>
      </c>
      <c r="J7569" s="7">
        <v>237</v>
      </c>
      <c r="K7569" s="7" t="s">
        <v>18</v>
      </c>
      <c r="L7569" s="8">
        <v>39987.315405092595</v>
      </c>
      <c r="M7569" s="9" t="s">
        <v>19</v>
      </c>
      <c r="N7569" s="9" t="s">
        <v>20</v>
      </c>
      <c r="O7569" s="6" t="str">
        <f>HYPERLINK("https://pbs.twimg.com/profile_images/962471262747529216/Uo8lOkRJ_normal.jpg","View")</f>
        <v>View</v>
      </c>
      <c r="P7569" s="7"/>
    </row>
    <row r="7570" spans="1:16">
      <c r="A7570" s="3">
        <v>44024.845625000002</v>
      </c>
      <c r="B7570" s="4" t="str">
        <f>HYPERLINK("https://twitter.com/petrogustavo","@petrogustavo")</f>
        <v>@petrogustavo</v>
      </c>
      <c r="C7570" s="5" t="s">
        <v>16</v>
      </c>
      <c r="D7570" s="5" t="s">
        <v>7311</v>
      </c>
      <c r="E7570" s="6" t="str">
        <f>HYPERLINK("https://twitter.com/petrogustavo/status/1282325771114160130","1282325771114160130")</f>
        <v>1282325771114160130</v>
      </c>
      <c r="F7570" s="7" t="s">
        <v>17</v>
      </c>
      <c r="G7570" s="7">
        <v>3905812</v>
      </c>
      <c r="H7570" s="7">
        <v>2421</v>
      </c>
      <c r="I7570" s="7">
        <v>88</v>
      </c>
      <c r="J7570" s="7">
        <v>0</v>
      </c>
      <c r="K7570" s="7" t="s">
        <v>18</v>
      </c>
      <c r="L7570" s="8">
        <v>39987.315405092595</v>
      </c>
      <c r="M7570" s="9" t="s">
        <v>19</v>
      </c>
      <c r="N7570" s="9" t="s">
        <v>20</v>
      </c>
      <c r="O7570" s="6" t="str">
        <f>HYPERLINK("https://pbs.twimg.com/profile_images/962471262747529216/Uo8lOkRJ_normal.jpg","View")</f>
        <v>View</v>
      </c>
      <c r="P7570" s="7"/>
    </row>
    <row r="7571" spans="1:16">
      <c r="A7571" s="3">
        <v>44024.845729166671</v>
      </c>
      <c r="B7571" s="4" t="str">
        <f>HYPERLINK("https://twitter.com/petrogustavo","@petrogustavo")</f>
        <v>@petrogustavo</v>
      </c>
      <c r="C7571" s="5" t="s">
        <v>16</v>
      </c>
      <c r="D7571" s="5" t="s">
        <v>7312</v>
      </c>
      <c r="E7571" s="6" t="str">
        <f>HYPERLINK("https://twitter.com/petrogustavo/status/1282325806090465286","1282325806090465286")</f>
        <v>1282325806090465286</v>
      </c>
      <c r="F7571" s="7" t="s">
        <v>17</v>
      </c>
      <c r="G7571" s="7">
        <v>3905812</v>
      </c>
      <c r="H7571" s="7">
        <v>2421</v>
      </c>
      <c r="I7571" s="7">
        <v>52</v>
      </c>
      <c r="J7571" s="7">
        <v>0</v>
      </c>
      <c r="K7571" s="7" t="s">
        <v>18</v>
      </c>
      <c r="L7571" s="8">
        <v>39987.315405092595</v>
      </c>
      <c r="M7571" s="9" t="s">
        <v>19</v>
      </c>
      <c r="N7571" s="9" t="s">
        <v>20</v>
      </c>
      <c r="O7571" s="6" t="str">
        <f>HYPERLINK("https://pbs.twimg.com/profile_images/962471262747529216/Uo8lOkRJ_normal.jpg","View")</f>
        <v>View</v>
      </c>
      <c r="P7571" s="7"/>
    </row>
    <row r="7572" spans="1:16">
      <c r="A7572" s="3">
        <v>44024.846134259264</v>
      </c>
      <c r="B7572" s="4" t="str">
        <f>HYPERLINK("https://twitter.com/petrogustavo","@petrogustavo")</f>
        <v>@petrogustavo</v>
      </c>
      <c r="C7572" s="5" t="s">
        <v>16</v>
      </c>
      <c r="D7572" s="5" t="s">
        <v>7313</v>
      </c>
      <c r="E7572" s="6" t="str">
        <f>HYPERLINK("https://twitter.com/petrogustavo/status/1282325954656952320","1282325954656952320")</f>
        <v>1282325954656952320</v>
      </c>
      <c r="F7572" s="7" t="s">
        <v>17</v>
      </c>
      <c r="G7572" s="7">
        <v>3905812</v>
      </c>
      <c r="H7572" s="7">
        <v>2421</v>
      </c>
      <c r="I7572" s="7">
        <v>822</v>
      </c>
      <c r="J7572" s="7">
        <v>0</v>
      </c>
      <c r="K7572" s="7" t="s">
        <v>18</v>
      </c>
      <c r="L7572" s="8">
        <v>39987.315405092595</v>
      </c>
      <c r="M7572" s="9" t="s">
        <v>19</v>
      </c>
      <c r="N7572" s="9" t="s">
        <v>20</v>
      </c>
      <c r="O7572" s="6" t="str">
        <f>HYPERLINK("https://pbs.twimg.com/profile_images/962471262747529216/Uo8lOkRJ_normal.jpg","View")</f>
        <v>View</v>
      </c>
      <c r="P7572" s="7"/>
    </row>
    <row r="7573" spans="1:16">
      <c r="A7573" s="3">
        <v>44024.85155092593</v>
      </c>
      <c r="B7573" s="4" t="str">
        <f>HYPERLINK("https://twitter.com/petrogustavo","@petrogustavo")</f>
        <v>@petrogustavo</v>
      </c>
      <c r="C7573" s="5" t="s">
        <v>16</v>
      </c>
      <c r="D7573" s="5" t="s">
        <v>7314</v>
      </c>
      <c r="E7573" s="6" t="str">
        <f>HYPERLINK("https://twitter.com/petrogustavo/status/1282327915502460928","1282327915502460928")</f>
        <v>1282327915502460928</v>
      </c>
      <c r="F7573" s="7" t="s">
        <v>17</v>
      </c>
      <c r="G7573" s="7">
        <v>3905812</v>
      </c>
      <c r="H7573" s="7">
        <v>2421</v>
      </c>
      <c r="I7573" s="7">
        <v>153</v>
      </c>
      <c r="J7573" s="7">
        <v>360</v>
      </c>
      <c r="K7573" s="7" t="s">
        <v>18</v>
      </c>
      <c r="L7573" s="8">
        <v>39987.315405092595</v>
      </c>
      <c r="M7573" s="9" t="s">
        <v>19</v>
      </c>
      <c r="N7573" s="9" t="s">
        <v>20</v>
      </c>
      <c r="O7573" s="6" t="str">
        <f>HYPERLINK("https://pbs.twimg.com/profile_images/962471262747529216/Uo8lOkRJ_normal.jpg","View")</f>
        <v>View</v>
      </c>
      <c r="P7573" s="7"/>
    </row>
    <row r="7574" spans="1:16">
      <c r="A7574" s="3">
        <v>44024.852418981478</v>
      </c>
      <c r="B7574" s="4" t="str">
        <f>HYPERLINK("https://twitter.com/petrogustavo","@petrogustavo")</f>
        <v>@petrogustavo</v>
      </c>
      <c r="C7574" s="5" t="s">
        <v>16</v>
      </c>
      <c r="D7574" s="5" t="s">
        <v>7315</v>
      </c>
      <c r="E7574" s="6" t="str">
        <f>HYPERLINK("https://twitter.com/petrogustavo/status/1282328232566697984","1282328232566697984")</f>
        <v>1282328232566697984</v>
      </c>
      <c r="F7574" s="7" t="s">
        <v>17</v>
      </c>
      <c r="G7574" s="7">
        <v>3905812</v>
      </c>
      <c r="H7574" s="7">
        <v>2421</v>
      </c>
      <c r="I7574" s="7">
        <v>194</v>
      </c>
      <c r="J7574" s="7">
        <v>0</v>
      </c>
      <c r="K7574" s="7" t="s">
        <v>18</v>
      </c>
      <c r="L7574" s="8">
        <v>39987.315405092595</v>
      </c>
      <c r="M7574" s="9" t="s">
        <v>19</v>
      </c>
      <c r="N7574" s="9" t="s">
        <v>20</v>
      </c>
      <c r="O7574" s="6" t="str">
        <f>HYPERLINK("https://pbs.twimg.com/profile_images/962471262747529216/Uo8lOkRJ_normal.jpg","View")</f>
        <v>View</v>
      </c>
      <c r="P7574" s="7"/>
    </row>
    <row r="7575" spans="1:16">
      <c r="A7575" s="3">
        <v>44024.85255787037</v>
      </c>
      <c r="B7575" s="4" t="str">
        <f>HYPERLINK("https://twitter.com/petrogustavo","@petrogustavo")</f>
        <v>@petrogustavo</v>
      </c>
      <c r="C7575" s="5" t="s">
        <v>16</v>
      </c>
      <c r="D7575" s="5" t="s">
        <v>7316</v>
      </c>
      <c r="E7575" s="6" t="str">
        <f>HYPERLINK("https://twitter.com/petrogustavo/status/1282328281518309376","1282328281518309376")</f>
        <v>1282328281518309376</v>
      </c>
      <c r="F7575" s="7" t="s">
        <v>17</v>
      </c>
      <c r="G7575" s="7">
        <v>3905812</v>
      </c>
      <c r="H7575" s="7">
        <v>2421</v>
      </c>
      <c r="I7575" s="7">
        <v>493</v>
      </c>
      <c r="J7575" s="7">
        <v>0</v>
      </c>
      <c r="K7575" s="7" t="s">
        <v>18</v>
      </c>
      <c r="L7575" s="8">
        <v>39987.315405092595</v>
      </c>
      <c r="M7575" s="9" t="s">
        <v>19</v>
      </c>
      <c r="N7575" s="9" t="s">
        <v>20</v>
      </c>
      <c r="O7575" s="6" t="str">
        <f>HYPERLINK("https://pbs.twimg.com/profile_images/962471262747529216/Uo8lOkRJ_normal.jpg","View")</f>
        <v>View</v>
      </c>
      <c r="P7575" s="7"/>
    </row>
    <row r="7576" spans="1:16">
      <c r="A7576" s="3">
        <v>44024.8591087963</v>
      </c>
      <c r="B7576" s="4" t="str">
        <f>HYPERLINK("https://twitter.com/petrogustavo","@petrogustavo")</f>
        <v>@petrogustavo</v>
      </c>
      <c r="C7576" s="5" t="s">
        <v>16</v>
      </c>
      <c r="D7576" s="5" t="s">
        <v>7317</v>
      </c>
      <c r="E7576" s="6" t="str">
        <f>HYPERLINK("https://twitter.com/petrogustavo/status/1282330655066595329","1282330655066595329")</f>
        <v>1282330655066595329</v>
      </c>
      <c r="F7576" s="7" t="s">
        <v>17</v>
      </c>
      <c r="G7576" s="7">
        <v>3905812</v>
      </c>
      <c r="H7576" s="7">
        <v>2421</v>
      </c>
      <c r="I7576" s="7">
        <v>143</v>
      </c>
      <c r="J7576" s="7">
        <v>401</v>
      </c>
      <c r="K7576" s="7" t="s">
        <v>18</v>
      </c>
      <c r="L7576" s="8">
        <v>39987.315405092595</v>
      </c>
      <c r="M7576" s="9" t="s">
        <v>19</v>
      </c>
      <c r="N7576" s="9" t="s">
        <v>20</v>
      </c>
      <c r="O7576" s="6" t="str">
        <f>HYPERLINK("https://pbs.twimg.com/profile_images/962471262747529216/Uo8lOkRJ_normal.jpg","View")</f>
        <v>View</v>
      </c>
      <c r="P7576" s="7"/>
    </row>
    <row r="7577" spans="1:16">
      <c r="A7577" s="3">
        <v>44024.87299768519</v>
      </c>
      <c r="B7577" s="4" t="str">
        <f>HYPERLINK("https://twitter.com/petrogustavo","@petrogustavo")</f>
        <v>@petrogustavo</v>
      </c>
      <c r="C7577" s="5" t="s">
        <v>16</v>
      </c>
      <c r="D7577" s="5" t="s">
        <v>7318</v>
      </c>
      <c r="E7577" s="6" t="str">
        <f>HYPERLINK("https://twitter.com/petrogustavo/status/1282335688046895107","1282335688046895107")</f>
        <v>1282335688046895107</v>
      </c>
      <c r="F7577" s="7" t="s">
        <v>17</v>
      </c>
      <c r="G7577" s="7">
        <v>3905813</v>
      </c>
      <c r="H7577" s="7">
        <v>2420</v>
      </c>
      <c r="I7577" s="7">
        <v>174</v>
      </c>
      <c r="J7577" s="7">
        <v>504</v>
      </c>
      <c r="K7577" s="7" t="s">
        <v>18</v>
      </c>
      <c r="L7577" s="8">
        <v>39987.315405092595</v>
      </c>
      <c r="M7577" s="9" t="s">
        <v>19</v>
      </c>
      <c r="N7577" s="9" t="s">
        <v>20</v>
      </c>
      <c r="O7577" s="6" t="str">
        <f>HYPERLINK("https://pbs.twimg.com/profile_images/962471262747529216/Uo8lOkRJ_normal.jpg","View")</f>
        <v>View</v>
      </c>
      <c r="P7577" s="7"/>
    </row>
    <row r="7578" spans="1:16">
      <c r="A7578" s="3">
        <v>44024.875937500001</v>
      </c>
      <c r="B7578" s="4" t="str">
        <f>HYPERLINK("https://twitter.com/petrogustavo","@petrogustavo")</f>
        <v>@petrogustavo</v>
      </c>
      <c r="C7578" s="5" t="s">
        <v>16</v>
      </c>
      <c r="D7578" s="5" t="s">
        <v>7319</v>
      </c>
      <c r="E7578" s="6" t="str">
        <f>HYPERLINK("https://twitter.com/petrogustavo/status/1282336754826194948","1282336754826194948")</f>
        <v>1282336754826194948</v>
      </c>
      <c r="F7578" s="7" t="s">
        <v>17</v>
      </c>
      <c r="G7578" s="7">
        <v>3905813</v>
      </c>
      <c r="H7578" s="7">
        <v>2420</v>
      </c>
      <c r="I7578" s="7">
        <v>1170</v>
      </c>
      <c r="J7578" s="7">
        <v>0</v>
      </c>
      <c r="K7578" s="7" t="s">
        <v>18</v>
      </c>
      <c r="L7578" s="8">
        <v>39987.315405092595</v>
      </c>
      <c r="M7578" s="9" t="s">
        <v>19</v>
      </c>
      <c r="N7578" s="9" t="s">
        <v>20</v>
      </c>
      <c r="O7578" s="6" t="str">
        <f>HYPERLINK("https://pbs.twimg.com/profile_images/962471262747529216/Uo8lOkRJ_normal.jpg","View")</f>
        <v>View</v>
      </c>
      <c r="P7578" s="7"/>
    </row>
    <row r="7579" spans="1:16">
      <c r="A7579" s="3">
        <v>44024.877164351856</v>
      </c>
      <c r="B7579" s="4" t="str">
        <f>HYPERLINK("https://twitter.com/petrogustavo","@petrogustavo")</f>
        <v>@petrogustavo</v>
      </c>
      <c r="C7579" s="5" t="s">
        <v>16</v>
      </c>
      <c r="D7579" s="5" t="s">
        <v>7320</v>
      </c>
      <c r="E7579" s="6" t="str">
        <f>HYPERLINK("https://twitter.com/petrogustavo/status/1282337198357065729","1282337198357065729")</f>
        <v>1282337198357065729</v>
      </c>
      <c r="F7579" s="7" t="s">
        <v>17</v>
      </c>
      <c r="G7579" s="7">
        <v>3905813</v>
      </c>
      <c r="H7579" s="7">
        <v>2420</v>
      </c>
      <c r="I7579" s="7">
        <v>168</v>
      </c>
      <c r="J7579" s="7">
        <v>603</v>
      </c>
      <c r="K7579" s="7" t="s">
        <v>18</v>
      </c>
      <c r="L7579" s="8">
        <v>39987.315405092595</v>
      </c>
      <c r="M7579" s="9" t="s">
        <v>19</v>
      </c>
      <c r="N7579" s="9" t="s">
        <v>20</v>
      </c>
      <c r="O7579" s="6" t="str">
        <f>HYPERLINK("https://pbs.twimg.com/profile_images/962471262747529216/Uo8lOkRJ_normal.jpg","View")</f>
        <v>View</v>
      </c>
      <c r="P7579" s="7"/>
    </row>
    <row r="7580" spans="1:16">
      <c r="A7580" s="3">
        <v>44024.879247685181</v>
      </c>
      <c r="B7580" s="4" t="str">
        <f>HYPERLINK("https://twitter.com/petrogustavo","@petrogustavo")</f>
        <v>@petrogustavo</v>
      </c>
      <c r="C7580" s="5" t="s">
        <v>16</v>
      </c>
      <c r="D7580" s="5" t="s">
        <v>7321</v>
      </c>
      <c r="E7580" s="6" t="str">
        <f>HYPERLINK("https://twitter.com/petrogustavo/status/1282337953856069637","1282337953856069637")</f>
        <v>1282337953856069637</v>
      </c>
      <c r="F7580" s="7" t="s">
        <v>17</v>
      </c>
      <c r="G7580" s="7">
        <v>3905813</v>
      </c>
      <c r="H7580" s="7">
        <v>2420</v>
      </c>
      <c r="I7580" s="7">
        <v>73</v>
      </c>
      <c r="J7580" s="7">
        <v>178</v>
      </c>
      <c r="K7580" s="7" t="s">
        <v>18</v>
      </c>
      <c r="L7580" s="8">
        <v>39987.315405092595</v>
      </c>
      <c r="M7580" s="9" t="s">
        <v>19</v>
      </c>
      <c r="N7580" s="9" t="s">
        <v>20</v>
      </c>
      <c r="O7580" s="6" t="str">
        <f>HYPERLINK("https://pbs.twimg.com/profile_images/962471262747529216/Uo8lOkRJ_normal.jpg","View")</f>
        <v>View</v>
      </c>
      <c r="P7580" s="7"/>
    </row>
    <row r="7581" spans="1:16">
      <c r="A7581" s="3">
        <v>44024.89126157407</v>
      </c>
      <c r="B7581" s="4" t="str">
        <f>HYPERLINK("https://twitter.com/petrogustavo","@petrogustavo")</f>
        <v>@petrogustavo</v>
      </c>
      <c r="C7581" s="5" t="s">
        <v>16</v>
      </c>
      <c r="D7581" s="5" t="s">
        <v>7322</v>
      </c>
      <c r="E7581" s="6" t="str">
        <f>HYPERLINK("https://twitter.com/petrogustavo/status/1282342309439385600","1282342309439385600")</f>
        <v>1282342309439385600</v>
      </c>
      <c r="F7581" s="7" t="s">
        <v>17</v>
      </c>
      <c r="G7581" s="7">
        <v>3905818</v>
      </c>
      <c r="H7581" s="7">
        <v>2420</v>
      </c>
      <c r="I7581" s="7">
        <v>215</v>
      </c>
      <c r="J7581" s="7">
        <v>487</v>
      </c>
      <c r="K7581" s="7" t="s">
        <v>18</v>
      </c>
      <c r="L7581" s="8">
        <v>39987.315405092595</v>
      </c>
      <c r="M7581" s="9" t="s">
        <v>19</v>
      </c>
      <c r="N7581" s="9" t="s">
        <v>20</v>
      </c>
      <c r="O7581" s="6" t="str">
        <f>HYPERLINK("https://pbs.twimg.com/profile_images/962471262747529216/Uo8lOkRJ_normal.jpg","View")</f>
        <v>View</v>
      </c>
      <c r="P7581" s="7"/>
    </row>
    <row r="7582" spans="1:16">
      <c r="A7582" s="3">
        <v>44024.893090277779</v>
      </c>
      <c r="B7582" s="4" t="str">
        <f>HYPERLINK("https://twitter.com/petrogustavo","@petrogustavo")</f>
        <v>@petrogustavo</v>
      </c>
      <c r="C7582" s="5" t="s">
        <v>16</v>
      </c>
      <c r="D7582" s="5" t="s">
        <v>7323</v>
      </c>
      <c r="E7582" s="6" t="str">
        <f>HYPERLINK("https://twitter.com/petrogustavo/status/1282342970860208129","1282342970860208129")</f>
        <v>1282342970860208129</v>
      </c>
      <c r="F7582" s="7" t="s">
        <v>17</v>
      </c>
      <c r="G7582" s="7">
        <v>3905818</v>
      </c>
      <c r="H7582" s="7">
        <v>2420</v>
      </c>
      <c r="I7582" s="7">
        <v>92</v>
      </c>
      <c r="J7582" s="7">
        <v>0</v>
      </c>
      <c r="K7582" s="7" t="s">
        <v>18</v>
      </c>
      <c r="L7582" s="8">
        <v>39987.315405092595</v>
      </c>
      <c r="M7582" s="9" t="s">
        <v>19</v>
      </c>
      <c r="N7582" s="9" t="s">
        <v>20</v>
      </c>
      <c r="O7582" s="6" t="str">
        <f>HYPERLINK("https://pbs.twimg.com/profile_images/962471262747529216/Uo8lOkRJ_normal.jpg","View")</f>
        <v>View</v>
      </c>
      <c r="P7582" s="7"/>
    </row>
    <row r="7583" spans="1:16">
      <c r="A7583" s="3">
        <v>44024.896539351852</v>
      </c>
      <c r="B7583" s="4" t="str">
        <f>HYPERLINK("https://twitter.com/petrogustavo","@petrogustavo")</f>
        <v>@petrogustavo</v>
      </c>
      <c r="C7583" s="5" t="s">
        <v>16</v>
      </c>
      <c r="D7583" s="5" t="s">
        <v>7324</v>
      </c>
      <c r="E7583" s="6" t="str">
        <f>HYPERLINK("https://twitter.com/petrogustavo/status/1282344220640960518","1282344220640960518")</f>
        <v>1282344220640960518</v>
      </c>
      <c r="F7583" s="7" t="s">
        <v>17</v>
      </c>
      <c r="G7583" s="7">
        <v>3905818</v>
      </c>
      <c r="H7583" s="7">
        <v>2420</v>
      </c>
      <c r="I7583" s="7">
        <v>215</v>
      </c>
      <c r="J7583" s="7">
        <v>0</v>
      </c>
      <c r="K7583" s="7" t="s">
        <v>18</v>
      </c>
      <c r="L7583" s="8">
        <v>39987.315405092595</v>
      </c>
      <c r="M7583" s="9" t="s">
        <v>19</v>
      </c>
      <c r="N7583" s="9" t="s">
        <v>20</v>
      </c>
      <c r="O7583" s="6" t="str">
        <f>HYPERLINK("https://pbs.twimg.com/profile_images/962471262747529216/Uo8lOkRJ_normal.jpg","View")</f>
        <v>View</v>
      </c>
      <c r="P7583" s="7"/>
    </row>
    <row r="7584" spans="1:16">
      <c r="A7584" s="3">
        <v>44024.896909722222</v>
      </c>
      <c r="B7584" s="4" t="str">
        <f>HYPERLINK("https://twitter.com/petrogustavo","@petrogustavo")</f>
        <v>@petrogustavo</v>
      </c>
      <c r="C7584" s="5" t="s">
        <v>16</v>
      </c>
      <c r="D7584" s="5" t="s">
        <v>7315</v>
      </c>
      <c r="E7584" s="6" t="str">
        <f>HYPERLINK("https://twitter.com/petrogustavo/status/1282344354326237185","1282344354326237185")</f>
        <v>1282344354326237185</v>
      </c>
      <c r="F7584" s="7" t="s">
        <v>17</v>
      </c>
      <c r="G7584" s="7">
        <v>3905818</v>
      </c>
      <c r="H7584" s="7">
        <v>2420</v>
      </c>
      <c r="I7584" s="7">
        <v>263</v>
      </c>
      <c r="J7584" s="7">
        <v>0</v>
      </c>
      <c r="K7584" s="7" t="s">
        <v>18</v>
      </c>
      <c r="L7584" s="8">
        <v>39987.315405092595</v>
      </c>
      <c r="M7584" s="9" t="s">
        <v>19</v>
      </c>
      <c r="N7584" s="9" t="s">
        <v>20</v>
      </c>
      <c r="O7584" s="6" t="str">
        <f>HYPERLINK("https://pbs.twimg.com/profile_images/962471262747529216/Uo8lOkRJ_normal.jpg","View")</f>
        <v>View</v>
      </c>
      <c r="P7584" s="7"/>
    </row>
    <row r="7585" spans="1:16">
      <c r="A7585" s="3">
        <v>44024.897013888884</v>
      </c>
      <c r="B7585" s="4" t="str">
        <f>HYPERLINK("https://twitter.com/petrogustavo","@petrogustavo")</f>
        <v>@petrogustavo</v>
      </c>
      <c r="C7585" s="5" t="s">
        <v>16</v>
      </c>
      <c r="D7585" s="5" t="s">
        <v>7316</v>
      </c>
      <c r="E7585" s="6" t="str">
        <f>HYPERLINK("https://twitter.com/petrogustavo/status/1282344390921523200","1282344390921523200")</f>
        <v>1282344390921523200</v>
      </c>
      <c r="F7585" s="7" t="s">
        <v>17</v>
      </c>
      <c r="G7585" s="7">
        <v>3905818</v>
      </c>
      <c r="H7585" s="7">
        <v>2420</v>
      </c>
      <c r="I7585" s="7">
        <v>610</v>
      </c>
      <c r="J7585" s="7">
        <v>0</v>
      </c>
      <c r="K7585" s="7" t="s">
        <v>18</v>
      </c>
      <c r="L7585" s="8">
        <v>39987.315405092595</v>
      </c>
      <c r="M7585" s="9" t="s">
        <v>19</v>
      </c>
      <c r="N7585" s="9" t="s">
        <v>20</v>
      </c>
      <c r="O7585" s="6" t="str">
        <f>HYPERLINK("https://pbs.twimg.com/profile_images/962471262747529216/Uo8lOkRJ_normal.jpg","View")</f>
        <v>View</v>
      </c>
      <c r="P7585" s="7"/>
    </row>
    <row r="7586" spans="1:16">
      <c r="A7586" s="3">
        <v>44024.921388888892</v>
      </c>
      <c r="B7586" s="4" t="str">
        <f>HYPERLINK("https://twitter.com/petrogustavo","@petrogustavo")</f>
        <v>@petrogustavo</v>
      </c>
      <c r="C7586" s="5" t="s">
        <v>16</v>
      </c>
      <c r="D7586" s="5" t="s">
        <v>7325</v>
      </c>
      <c r="E7586" s="6" t="str">
        <f>HYPERLINK("https://twitter.com/petrogustavo/status/1282353226310983681","1282353226310983681")</f>
        <v>1282353226310983681</v>
      </c>
      <c r="F7586" s="7" t="s">
        <v>17</v>
      </c>
      <c r="G7586" s="7">
        <v>3905843</v>
      </c>
      <c r="H7586" s="7">
        <v>2420</v>
      </c>
      <c r="I7586" s="7">
        <v>158</v>
      </c>
      <c r="J7586" s="7">
        <v>325</v>
      </c>
      <c r="K7586" s="7" t="s">
        <v>18</v>
      </c>
      <c r="L7586" s="8">
        <v>39987.315405092595</v>
      </c>
      <c r="M7586" s="9" t="s">
        <v>19</v>
      </c>
      <c r="N7586" s="9" t="s">
        <v>20</v>
      </c>
      <c r="O7586" s="6" t="str">
        <f>HYPERLINK("https://pbs.twimg.com/profile_images/962471262747529216/Uo8lOkRJ_normal.jpg","View")</f>
        <v>View</v>
      </c>
      <c r="P7586" s="7"/>
    </row>
    <row r="7587" spans="1:16">
      <c r="A7587" s="3">
        <v>44024.929606481484</v>
      </c>
      <c r="B7587" s="4" t="str">
        <f>HYPERLINK("https://twitter.com/petrogustavo","@petrogustavo")</f>
        <v>@petrogustavo</v>
      </c>
      <c r="C7587" s="5" t="s">
        <v>16</v>
      </c>
      <c r="D7587" s="5" t="s">
        <v>7326</v>
      </c>
      <c r="E7587" s="6" t="str">
        <f>HYPERLINK("https://twitter.com/petrogustavo/status/1282356204375879680","1282356204375879680")</f>
        <v>1282356204375879680</v>
      </c>
      <c r="F7587" s="7" t="s">
        <v>17</v>
      </c>
      <c r="G7587" s="7">
        <v>3905843</v>
      </c>
      <c r="H7587" s="7">
        <v>2420</v>
      </c>
      <c r="I7587" s="7">
        <v>184</v>
      </c>
      <c r="J7587" s="7">
        <v>516</v>
      </c>
      <c r="K7587" s="7" t="s">
        <v>18</v>
      </c>
      <c r="L7587" s="8">
        <v>39987.315405092595</v>
      </c>
      <c r="M7587" s="9" t="s">
        <v>19</v>
      </c>
      <c r="N7587" s="9" t="s">
        <v>20</v>
      </c>
      <c r="O7587" s="6" t="str">
        <f>HYPERLINK("https://pbs.twimg.com/profile_images/962471262747529216/Uo8lOkRJ_normal.jpg","View")</f>
        <v>View</v>
      </c>
      <c r="P7587" s="7"/>
    </row>
    <row r="7588" spans="1:16">
      <c r="A7588" s="3">
        <v>44024.929976851854</v>
      </c>
      <c r="B7588" s="4" t="str">
        <f>HYPERLINK("https://twitter.com/petrogustavo","@petrogustavo")</f>
        <v>@petrogustavo</v>
      </c>
      <c r="C7588" s="5" t="s">
        <v>16</v>
      </c>
      <c r="D7588" s="5" t="s">
        <v>7315</v>
      </c>
      <c r="E7588" s="6" t="str">
        <f>HYPERLINK("https://twitter.com/petrogustavo/status/1282356335850541057","1282356335850541057")</f>
        <v>1282356335850541057</v>
      </c>
      <c r="F7588" s="7" t="s">
        <v>17</v>
      </c>
      <c r="G7588" s="7">
        <v>3905843</v>
      </c>
      <c r="H7588" s="7">
        <v>2420</v>
      </c>
      <c r="I7588" s="7">
        <v>316</v>
      </c>
      <c r="J7588" s="7">
        <v>0</v>
      </c>
      <c r="K7588" s="7" t="s">
        <v>18</v>
      </c>
      <c r="L7588" s="8">
        <v>39987.315405092595</v>
      </c>
      <c r="M7588" s="9" t="s">
        <v>19</v>
      </c>
      <c r="N7588" s="9" t="s">
        <v>20</v>
      </c>
      <c r="O7588" s="6" t="str">
        <f>HYPERLINK("https://pbs.twimg.com/profile_images/962471262747529216/Uo8lOkRJ_normal.jpg","View")</f>
        <v>View</v>
      </c>
      <c r="P7588" s="7"/>
    </row>
    <row r="7589" spans="1:16">
      <c r="A7589" s="3">
        <v>44024.930069444439</v>
      </c>
      <c r="B7589" s="4" t="str">
        <f>HYPERLINK("https://twitter.com/petrogustavo","@petrogustavo")</f>
        <v>@petrogustavo</v>
      </c>
      <c r="C7589" s="5" t="s">
        <v>16</v>
      </c>
      <c r="D7589" s="5" t="s">
        <v>7316</v>
      </c>
      <c r="E7589" s="6" t="str">
        <f>HYPERLINK("https://twitter.com/petrogustavo/status/1282356372739444737","1282356372739444737")</f>
        <v>1282356372739444737</v>
      </c>
      <c r="F7589" s="7" t="s">
        <v>17</v>
      </c>
      <c r="G7589" s="7">
        <v>3905843</v>
      </c>
      <c r="H7589" s="7">
        <v>2420</v>
      </c>
      <c r="I7589" s="7">
        <v>703</v>
      </c>
      <c r="J7589" s="7">
        <v>0</v>
      </c>
      <c r="K7589" s="7" t="s">
        <v>18</v>
      </c>
      <c r="L7589" s="8">
        <v>39987.315405092595</v>
      </c>
      <c r="M7589" s="9" t="s">
        <v>19</v>
      </c>
      <c r="N7589" s="9" t="s">
        <v>20</v>
      </c>
      <c r="O7589" s="6" t="str">
        <f>HYPERLINK("https://pbs.twimg.com/profile_images/962471262747529216/Uo8lOkRJ_normal.jpg","View")</f>
        <v>View</v>
      </c>
      <c r="P7589" s="7"/>
    </row>
    <row r="7590" spans="1:16">
      <c r="A7590" s="3">
        <v>44024.93949074074</v>
      </c>
      <c r="B7590" s="4" t="str">
        <f>HYPERLINK("https://twitter.com/petrogustavo","@petrogustavo")</f>
        <v>@petrogustavo</v>
      </c>
      <c r="C7590" s="5" t="s">
        <v>16</v>
      </c>
      <c r="D7590" s="5" t="s">
        <v>7327</v>
      </c>
      <c r="E7590" s="6" t="str">
        <f>HYPERLINK("https://twitter.com/petrogustavo/status/1282359783840976896","1282359783840976896")</f>
        <v>1282359783840976896</v>
      </c>
      <c r="F7590" s="7" t="s">
        <v>17</v>
      </c>
      <c r="G7590" s="7">
        <v>3905843</v>
      </c>
      <c r="H7590" s="7">
        <v>2420</v>
      </c>
      <c r="I7590" s="7">
        <v>147</v>
      </c>
      <c r="J7590" s="7">
        <v>390</v>
      </c>
      <c r="K7590" s="7" t="s">
        <v>18</v>
      </c>
      <c r="L7590" s="8">
        <v>39987.315405092595</v>
      </c>
      <c r="M7590" s="9" t="s">
        <v>19</v>
      </c>
      <c r="N7590" s="9" t="s">
        <v>20</v>
      </c>
      <c r="O7590" s="6" t="str">
        <f>HYPERLINK("https://pbs.twimg.com/profile_images/962471262747529216/Uo8lOkRJ_normal.jpg","View")</f>
        <v>View</v>
      </c>
      <c r="P7590" s="7"/>
    </row>
    <row r="7591" spans="1:16">
      <c r="A7591" s="3">
        <v>44024.946562500001</v>
      </c>
      <c r="B7591" s="4" t="str">
        <f>HYPERLINK("https://twitter.com/petrogustavo","@petrogustavo")</f>
        <v>@petrogustavo</v>
      </c>
      <c r="C7591" s="5" t="s">
        <v>16</v>
      </c>
      <c r="D7591" s="5" t="s">
        <v>7328</v>
      </c>
      <c r="E7591" s="6" t="str">
        <f>HYPERLINK("https://twitter.com/petrogustavo/status/1282362349563895808","1282362349563895808")</f>
        <v>1282362349563895808</v>
      </c>
      <c r="F7591" s="7" t="s">
        <v>17</v>
      </c>
      <c r="G7591" s="7">
        <v>3905843</v>
      </c>
      <c r="H7591" s="7">
        <v>2420</v>
      </c>
      <c r="I7591" s="7">
        <v>91</v>
      </c>
      <c r="J7591" s="7">
        <v>143</v>
      </c>
      <c r="K7591" s="7" t="s">
        <v>18</v>
      </c>
      <c r="L7591" s="8">
        <v>39987.315405092595</v>
      </c>
      <c r="M7591" s="9" t="s">
        <v>19</v>
      </c>
      <c r="N7591" s="9" t="s">
        <v>20</v>
      </c>
      <c r="O7591" s="6" t="str">
        <f>HYPERLINK("https://pbs.twimg.com/profile_images/962471262747529216/Uo8lOkRJ_normal.jpg","View")</f>
        <v>View</v>
      </c>
      <c r="P7591" s="7"/>
    </row>
    <row r="7592" spans="1:16">
      <c r="A7592" s="3">
        <v>44024.979490740741</v>
      </c>
      <c r="B7592" s="4" t="str">
        <f>HYPERLINK("https://twitter.com/petrogustavo","@petrogustavo")</f>
        <v>@petrogustavo</v>
      </c>
      <c r="C7592" s="5" t="s">
        <v>16</v>
      </c>
      <c r="D7592" s="5" t="s">
        <v>7315</v>
      </c>
      <c r="E7592" s="6" t="str">
        <f>HYPERLINK("https://twitter.com/petrogustavo/status/1282374281423474690","1282374281423474690")</f>
        <v>1282374281423474690</v>
      </c>
      <c r="F7592" s="7" t="s">
        <v>17</v>
      </c>
      <c r="G7592" s="7">
        <v>3905881</v>
      </c>
      <c r="H7592" s="7">
        <v>2420</v>
      </c>
      <c r="I7592" s="7">
        <v>354</v>
      </c>
      <c r="J7592" s="7">
        <v>0</v>
      </c>
      <c r="K7592" s="7" t="s">
        <v>18</v>
      </c>
      <c r="L7592" s="8">
        <v>39987.315405092595</v>
      </c>
      <c r="M7592" s="9" t="s">
        <v>19</v>
      </c>
      <c r="N7592" s="9" t="s">
        <v>20</v>
      </c>
      <c r="O7592" s="6" t="str">
        <f>HYPERLINK("https://pbs.twimg.com/profile_images/962471262747529216/Uo8lOkRJ_normal.jpg","View")</f>
        <v>View</v>
      </c>
      <c r="P7592" s="7"/>
    </row>
    <row r="7593" spans="1:16">
      <c r="A7593" s="3">
        <v>44024.979618055557</v>
      </c>
      <c r="B7593" s="4" t="str">
        <f>HYPERLINK("https://twitter.com/petrogustavo","@petrogustavo")</f>
        <v>@petrogustavo</v>
      </c>
      <c r="C7593" s="5" t="s">
        <v>16</v>
      </c>
      <c r="D7593" s="5" t="s">
        <v>7316</v>
      </c>
      <c r="E7593" s="6" t="str">
        <f>HYPERLINK("https://twitter.com/petrogustavo/status/1282374327539765248","1282374327539765248")</f>
        <v>1282374327539765248</v>
      </c>
      <c r="F7593" s="7" t="s">
        <v>17</v>
      </c>
      <c r="G7593" s="7">
        <v>3905881</v>
      </c>
      <c r="H7593" s="7">
        <v>2420</v>
      </c>
      <c r="I7593" s="7">
        <v>772</v>
      </c>
      <c r="J7593" s="7">
        <v>0</v>
      </c>
      <c r="K7593" s="7" t="s">
        <v>18</v>
      </c>
      <c r="L7593" s="8">
        <v>39987.315405092595</v>
      </c>
      <c r="M7593" s="9" t="s">
        <v>19</v>
      </c>
      <c r="N7593" s="9" t="s">
        <v>20</v>
      </c>
      <c r="O7593" s="6" t="str">
        <f>HYPERLINK("https://pbs.twimg.com/profile_images/962471262747529216/Uo8lOkRJ_normal.jpg","View")</f>
        <v>View</v>
      </c>
      <c r="P7593" s="7"/>
    </row>
    <row r="7594" spans="1:16">
      <c r="A7594" s="3">
        <v>44024.998831018514</v>
      </c>
      <c r="B7594" s="4" t="str">
        <f>HYPERLINK("https://twitter.com/petrogustavo","@petrogustavo")</f>
        <v>@petrogustavo</v>
      </c>
      <c r="C7594" s="5" t="s">
        <v>16</v>
      </c>
      <c r="D7594" s="5" t="s">
        <v>7329</v>
      </c>
      <c r="E7594" s="6" t="str">
        <f>HYPERLINK("https://twitter.com/petrogustavo/status/1282381287236554752","1282381287236554752")</f>
        <v>1282381287236554752</v>
      </c>
      <c r="F7594" s="7" t="s">
        <v>17</v>
      </c>
      <c r="G7594" s="7">
        <v>3905885</v>
      </c>
      <c r="H7594" s="7">
        <v>2420</v>
      </c>
      <c r="I7594" s="7">
        <v>92</v>
      </c>
      <c r="J7594" s="7">
        <v>259</v>
      </c>
      <c r="K7594" s="7" t="s">
        <v>18</v>
      </c>
      <c r="L7594" s="8">
        <v>39987.315405092595</v>
      </c>
      <c r="M7594" s="9" t="s">
        <v>19</v>
      </c>
      <c r="N7594" s="9" t="s">
        <v>20</v>
      </c>
      <c r="O7594" s="6" t="str">
        <f>HYPERLINK("https://pbs.twimg.com/profile_images/962471262747529216/Uo8lOkRJ_normal.jpg","View")</f>
        <v>View</v>
      </c>
      <c r="P7594" s="7"/>
    </row>
    <row r="7595" spans="1:16">
      <c r="A7595" s="3">
        <v>44025.001435185186</v>
      </c>
      <c r="B7595" s="4" t="str">
        <f>HYPERLINK("https://twitter.com/petrogustavo","@petrogustavo")</f>
        <v>@petrogustavo</v>
      </c>
      <c r="C7595" s="5" t="s">
        <v>16</v>
      </c>
      <c r="D7595" s="5" t="s">
        <v>7330</v>
      </c>
      <c r="E7595" s="6" t="str">
        <f>HYPERLINK("https://twitter.com/petrogustavo/status/1282382232846557214","1282382232846557214")</f>
        <v>1282382232846557214</v>
      </c>
      <c r="F7595" s="7" t="s">
        <v>17</v>
      </c>
      <c r="G7595" s="7">
        <v>3905885</v>
      </c>
      <c r="H7595" s="7">
        <v>2420</v>
      </c>
      <c r="I7595" s="7">
        <v>63</v>
      </c>
      <c r="J7595" s="7">
        <v>153</v>
      </c>
      <c r="K7595" s="7" t="s">
        <v>18</v>
      </c>
      <c r="L7595" s="8">
        <v>39987.315405092595</v>
      </c>
      <c r="M7595" s="9" t="s">
        <v>19</v>
      </c>
      <c r="N7595" s="9" t="s">
        <v>20</v>
      </c>
      <c r="O7595" s="6" t="str">
        <f>HYPERLINK("https://pbs.twimg.com/profile_images/962471262747529216/Uo8lOkRJ_normal.jpg","View")</f>
        <v>View</v>
      </c>
      <c r="P7595" s="7"/>
    </row>
    <row r="7596" spans="1:16">
      <c r="A7596" s="3">
        <v>44025.028541666667</v>
      </c>
      <c r="B7596" s="4" t="str">
        <f>HYPERLINK("https://twitter.com/petrogustavo","@petrogustavo")</f>
        <v>@petrogustavo</v>
      </c>
      <c r="C7596" s="5" t="s">
        <v>16</v>
      </c>
      <c r="D7596" s="5" t="s">
        <v>7331</v>
      </c>
      <c r="E7596" s="6" t="str">
        <f>HYPERLINK("https://twitter.com/petrogustavo/status/1282392056053133312","1282392056053133312")</f>
        <v>1282392056053133312</v>
      </c>
      <c r="F7596" s="7" t="s">
        <v>17</v>
      </c>
      <c r="G7596" s="7">
        <v>3905893</v>
      </c>
      <c r="H7596" s="7">
        <v>2420</v>
      </c>
      <c r="I7596" s="7">
        <v>18</v>
      </c>
      <c r="J7596" s="7">
        <v>0</v>
      </c>
      <c r="K7596" s="7" t="s">
        <v>18</v>
      </c>
      <c r="L7596" s="8">
        <v>39987.315405092595</v>
      </c>
      <c r="M7596" s="9" t="s">
        <v>19</v>
      </c>
      <c r="N7596" s="9" t="s">
        <v>20</v>
      </c>
      <c r="O7596" s="6" t="str">
        <f>HYPERLINK("https://pbs.twimg.com/profile_images/962471262747529216/Uo8lOkRJ_normal.jpg","View")</f>
        <v>View</v>
      </c>
      <c r="P7596" s="7"/>
    </row>
    <row r="7597" spans="1:16">
      <c r="A7597" s="3">
        <v>44025.029097222221</v>
      </c>
      <c r="B7597" s="4" t="str">
        <f>HYPERLINK("https://twitter.com/petrogustavo","@petrogustavo")</f>
        <v>@petrogustavo</v>
      </c>
      <c r="C7597" s="5" t="s">
        <v>16</v>
      </c>
      <c r="D7597" s="5" t="s">
        <v>7304</v>
      </c>
      <c r="E7597" s="6" t="str">
        <f>HYPERLINK("https://twitter.com/petrogustavo/status/1282392255395958791","1282392255395958791")</f>
        <v>1282392255395958791</v>
      </c>
      <c r="F7597" s="7" t="s">
        <v>17</v>
      </c>
      <c r="G7597" s="7">
        <v>3905893</v>
      </c>
      <c r="H7597" s="7">
        <v>2420</v>
      </c>
      <c r="I7597" s="7">
        <v>3140</v>
      </c>
      <c r="J7597" s="7">
        <v>0</v>
      </c>
      <c r="K7597" s="7" t="s">
        <v>18</v>
      </c>
      <c r="L7597" s="8">
        <v>39987.315405092595</v>
      </c>
      <c r="M7597" s="9" t="s">
        <v>19</v>
      </c>
      <c r="N7597" s="9" t="s">
        <v>20</v>
      </c>
      <c r="O7597" s="6" t="str">
        <f>HYPERLINK("https://pbs.twimg.com/profile_images/962471262747529216/Uo8lOkRJ_normal.jpg","View")</f>
        <v>View</v>
      </c>
      <c r="P7597" s="7"/>
    </row>
    <row r="7598" spans="1:16">
      <c r="A7598" s="3">
        <v>44025.03024305556</v>
      </c>
      <c r="B7598" s="4" t="str">
        <f>HYPERLINK("https://twitter.com/petrogustavo","@petrogustavo")</f>
        <v>@petrogustavo</v>
      </c>
      <c r="C7598" s="5" t="s">
        <v>16</v>
      </c>
      <c r="D7598" s="5" t="s">
        <v>7332</v>
      </c>
      <c r="E7598" s="6" t="str">
        <f>HYPERLINK("https://twitter.com/petrogustavo/status/1282392673765269504","1282392673765269504")</f>
        <v>1282392673765269504</v>
      </c>
      <c r="F7598" s="7" t="s">
        <v>17</v>
      </c>
      <c r="G7598" s="7">
        <v>3905893</v>
      </c>
      <c r="H7598" s="7">
        <v>2420</v>
      </c>
      <c r="I7598" s="7">
        <v>28</v>
      </c>
      <c r="J7598" s="7">
        <v>76</v>
      </c>
      <c r="K7598" s="7" t="s">
        <v>18</v>
      </c>
      <c r="L7598" s="8">
        <v>39987.315405092595</v>
      </c>
      <c r="M7598" s="9" t="s">
        <v>19</v>
      </c>
      <c r="N7598" s="9" t="s">
        <v>20</v>
      </c>
      <c r="O7598" s="6" t="str">
        <f>HYPERLINK("https://pbs.twimg.com/profile_images/962471262747529216/Uo8lOkRJ_normal.jpg","View")</f>
        <v>View</v>
      </c>
      <c r="P7598" s="7"/>
    </row>
    <row r="7599" spans="1:16">
      <c r="A7599" s="3">
        <v>44025.03497685185</v>
      </c>
      <c r="B7599" s="4" t="str">
        <f>HYPERLINK("https://twitter.com/petrogustavo","@petrogustavo")</f>
        <v>@petrogustavo</v>
      </c>
      <c r="C7599" s="5" t="s">
        <v>16</v>
      </c>
      <c r="D7599" s="5" t="s">
        <v>7333</v>
      </c>
      <c r="E7599" s="6" t="str">
        <f>HYPERLINK("https://twitter.com/petrogustavo/status/1282394387088060416","1282394387088060416")</f>
        <v>1282394387088060416</v>
      </c>
      <c r="F7599" s="7" t="s">
        <v>17</v>
      </c>
      <c r="G7599" s="7">
        <v>3905915</v>
      </c>
      <c r="H7599" s="7">
        <v>2420</v>
      </c>
      <c r="I7599" s="7">
        <v>55</v>
      </c>
      <c r="J7599" s="7">
        <v>0</v>
      </c>
      <c r="K7599" s="7" t="s">
        <v>18</v>
      </c>
      <c r="L7599" s="8">
        <v>39987.315405092595</v>
      </c>
      <c r="M7599" s="9" t="s">
        <v>19</v>
      </c>
      <c r="N7599" s="9" t="s">
        <v>20</v>
      </c>
      <c r="O7599" s="6" t="str">
        <f>HYPERLINK("https://pbs.twimg.com/profile_images/962471262747529216/Uo8lOkRJ_normal.jpg","View")</f>
        <v>View</v>
      </c>
      <c r="P7599" s="7"/>
    </row>
    <row r="7600" spans="1:16">
      <c r="A7600" s="3">
        <v>44025.035486111112</v>
      </c>
      <c r="B7600" s="4" t="str">
        <f>HYPERLINK("https://twitter.com/petrogustavo","@petrogustavo")</f>
        <v>@petrogustavo</v>
      </c>
      <c r="C7600" s="5" t="s">
        <v>16</v>
      </c>
      <c r="D7600" s="5" t="s">
        <v>7334</v>
      </c>
      <c r="E7600" s="6" t="str">
        <f>HYPERLINK("https://twitter.com/petrogustavo/status/1282394574657400834","1282394574657400834")</f>
        <v>1282394574657400834</v>
      </c>
      <c r="F7600" s="7" t="s">
        <v>17</v>
      </c>
      <c r="G7600" s="7">
        <v>3905915</v>
      </c>
      <c r="H7600" s="7">
        <v>2420</v>
      </c>
      <c r="I7600" s="7">
        <v>89</v>
      </c>
      <c r="J7600" s="7">
        <v>0</v>
      </c>
      <c r="K7600" s="7" t="s">
        <v>18</v>
      </c>
      <c r="L7600" s="8">
        <v>39987.315405092595</v>
      </c>
      <c r="M7600" s="9" t="s">
        <v>19</v>
      </c>
      <c r="N7600" s="9" t="s">
        <v>20</v>
      </c>
      <c r="O7600" s="6" t="str">
        <f>HYPERLINK("https://pbs.twimg.com/profile_images/962471262747529216/Uo8lOkRJ_normal.jpg","View")</f>
        <v>View</v>
      </c>
      <c r="P7600" s="7"/>
    </row>
    <row r="7601" spans="1:16">
      <c r="A7601" s="3">
        <v>44025.052465277782</v>
      </c>
      <c r="B7601" s="4" t="str">
        <f>HYPERLINK("https://twitter.com/petrogustavo","@petrogustavo")</f>
        <v>@petrogustavo</v>
      </c>
      <c r="C7601" s="5" t="s">
        <v>16</v>
      </c>
      <c r="D7601" s="5" t="s">
        <v>7335</v>
      </c>
      <c r="E7601" s="6" t="str">
        <f>HYPERLINK("https://twitter.com/petrogustavo/status/1282400726958956546","1282400726958956546")</f>
        <v>1282400726958956546</v>
      </c>
      <c r="F7601" s="7" t="s">
        <v>17</v>
      </c>
      <c r="G7601" s="7">
        <v>3905915</v>
      </c>
      <c r="H7601" s="7">
        <v>2420</v>
      </c>
      <c r="I7601" s="7">
        <v>19</v>
      </c>
      <c r="J7601" s="7">
        <v>46</v>
      </c>
      <c r="K7601" s="7" t="s">
        <v>18</v>
      </c>
      <c r="L7601" s="8">
        <v>39987.315405092595</v>
      </c>
      <c r="M7601" s="9" t="s">
        <v>19</v>
      </c>
      <c r="N7601" s="9" t="s">
        <v>20</v>
      </c>
      <c r="O7601" s="6" t="str">
        <f>HYPERLINK("https://pbs.twimg.com/profile_images/962471262747529216/Uo8lOkRJ_normal.jpg","View")</f>
        <v>View</v>
      </c>
      <c r="P7601" s="7"/>
    </row>
    <row r="7602" spans="1:16">
      <c r="A7602" s="3">
        <v>44025.056377314817</v>
      </c>
      <c r="B7602" s="4" t="str">
        <f>HYPERLINK("https://twitter.com/petrogustavo","@petrogustavo")</f>
        <v>@petrogustavo</v>
      </c>
      <c r="C7602" s="5" t="s">
        <v>16</v>
      </c>
      <c r="D7602" s="5" t="s">
        <v>7334</v>
      </c>
      <c r="E7602" s="6" t="str">
        <f>HYPERLINK("https://twitter.com/petrogustavo/status/1282402143073435648","1282402143073435648")</f>
        <v>1282402143073435648</v>
      </c>
      <c r="F7602" s="7" t="s">
        <v>17</v>
      </c>
      <c r="G7602" s="7">
        <v>3905935</v>
      </c>
      <c r="H7602" s="7">
        <v>2420</v>
      </c>
      <c r="I7602" s="7">
        <v>121</v>
      </c>
      <c r="J7602" s="7">
        <v>0</v>
      </c>
      <c r="K7602" s="7" t="s">
        <v>18</v>
      </c>
      <c r="L7602" s="8">
        <v>39987.315405092595</v>
      </c>
      <c r="M7602" s="9" t="s">
        <v>19</v>
      </c>
      <c r="N7602" s="9" t="s">
        <v>20</v>
      </c>
      <c r="O7602" s="6" t="str">
        <f>HYPERLINK("https://pbs.twimg.com/profile_images/962471262747529216/Uo8lOkRJ_normal.jpg","View")</f>
        <v>View</v>
      </c>
      <c r="P7602" s="7"/>
    </row>
    <row r="7603" spans="1:16">
      <c r="A7603" s="3">
        <v>44025.061608796299</v>
      </c>
      <c r="B7603" s="4" t="str">
        <f>HYPERLINK("https://twitter.com/petrogustavo","@petrogustavo")</f>
        <v>@petrogustavo</v>
      </c>
      <c r="C7603" s="5" t="s">
        <v>16</v>
      </c>
      <c r="D7603" s="5" t="s">
        <v>7336</v>
      </c>
      <c r="E7603" s="6" t="str">
        <f>HYPERLINK("https://twitter.com/petrogustavo/status/1282404038802366469","1282404038802366469")</f>
        <v>1282404038802366469</v>
      </c>
      <c r="F7603" s="7" t="s">
        <v>32</v>
      </c>
      <c r="G7603" s="7">
        <v>3905935</v>
      </c>
      <c r="H7603" s="7">
        <v>2420</v>
      </c>
      <c r="I7603" s="7">
        <v>43</v>
      </c>
      <c r="J7603" s="7">
        <v>0</v>
      </c>
      <c r="K7603" s="7" t="s">
        <v>18</v>
      </c>
      <c r="L7603" s="8">
        <v>39987.315405092595</v>
      </c>
      <c r="M7603" s="9" t="s">
        <v>19</v>
      </c>
      <c r="N7603" s="9" t="s">
        <v>20</v>
      </c>
      <c r="O7603" s="6" t="str">
        <f>HYPERLINK("https://pbs.twimg.com/profile_images/962471262747529216/Uo8lOkRJ_normal.jpg","View")</f>
        <v>View</v>
      </c>
      <c r="P7603" s="7"/>
    </row>
    <row r="7604" spans="1:16">
      <c r="A7604" s="3">
        <v>44025.228842592594</v>
      </c>
      <c r="B7604" s="4" t="str">
        <f>HYPERLINK("https://twitter.com/petrogustavo","@petrogustavo")</f>
        <v>@petrogustavo</v>
      </c>
      <c r="C7604" s="5" t="s">
        <v>16</v>
      </c>
      <c r="D7604" s="5" t="s">
        <v>7337</v>
      </c>
      <c r="E7604" s="6" t="str">
        <f>HYPERLINK("https://twitter.com/petrogustavo/status/1282464641663336454","1282464641663336454")</f>
        <v>1282464641663336454</v>
      </c>
      <c r="F7604" s="7" t="s">
        <v>32</v>
      </c>
      <c r="G7604" s="7">
        <v>3906063</v>
      </c>
      <c r="H7604" s="7">
        <v>2420</v>
      </c>
      <c r="I7604" s="7">
        <v>1000</v>
      </c>
      <c r="J7604" s="7">
        <v>0</v>
      </c>
      <c r="K7604" s="7" t="s">
        <v>18</v>
      </c>
      <c r="L7604" s="8">
        <v>39987.315405092595</v>
      </c>
      <c r="M7604" s="9" t="s">
        <v>19</v>
      </c>
      <c r="N7604" s="9" t="s">
        <v>20</v>
      </c>
      <c r="O7604" s="6" t="str">
        <f>HYPERLINK("https://pbs.twimg.com/profile_images/962471262747529216/Uo8lOkRJ_normal.jpg","View")</f>
        <v>View</v>
      </c>
      <c r="P7604" s="7"/>
    </row>
    <row r="7605" spans="1:16">
      <c r="A7605" s="3">
        <v>44025.228877314818</v>
      </c>
      <c r="B7605" s="4" t="str">
        <f>HYPERLINK("https://twitter.com/petrogustavo","@petrogustavo")</f>
        <v>@petrogustavo</v>
      </c>
      <c r="C7605" s="5" t="s">
        <v>16</v>
      </c>
      <c r="D7605" s="5" t="s">
        <v>7338</v>
      </c>
      <c r="E7605" s="6" t="str">
        <f>HYPERLINK("https://twitter.com/petrogustavo/status/1282464655168897024","1282464655168897024")</f>
        <v>1282464655168897024</v>
      </c>
      <c r="F7605" s="7" t="s">
        <v>32</v>
      </c>
      <c r="G7605" s="7">
        <v>3906063</v>
      </c>
      <c r="H7605" s="7">
        <v>2420</v>
      </c>
      <c r="I7605" s="7">
        <v>178</v>
      </c>
      <c r="J7605" s="7">
        <v>0</v>
      </c>
      <c r="K7605" s="7" t="s">
        <v>18</v>
      </c>
      <c r="L7605" s="8">
        <v>39987.315405092595</v>
      </c>
      <c r="M7605" s="9" t="s">
        <v>19</v>
      </c>
      <c r="N7605" s="9" t="s">
        <v>20</v>
      </c>
      <c r="O7605" s="6" t="str">
        <f>HYPERLINK("https://pbs.twimg.com/profile_images/962471262747529216/Uo8lOkRJ_normal.jpg","View")</f>
        <v>View</v>
      </c>
      <c r="P7605" s="7"/>
    </row>
    <row r="7606" spans="1:16">
      <c r="A7606" s="3">
        <v>44025.229155092587</v>
      </c>
      <c r="B7606" s="4" t="str">
        <f>HYPERLINK("https://twitter.com/petrogustavo","@petrogustavo")</f>
        <v>@petrogustavo</v>
      </c>
      <c r="C7606" s="5" t="s">
        <v>16</v>
      </c>
      <c r="D7606" s="5" t="s">
        <v>7339</v>
      </c>
      <c r="E7606" s="6" t="str">
        <f>HYPERLINK("https://twitter.com/petrogustavo/status/1282464755710664704","1282464755710664704")</f>
        <v>1282464755710664704</v>
      </c>
      <c r="F7606" s="7" t="s">
        <v>32</v>
      </c>
      <c r="G7606" s="7">
        <v>3906063</v>
      </c>
      <c r="H7606" s="7">
        <v>2420</v>
      </c>
      <c r="I7606" s="7">
        <v>171</v>
      </c>
      <c r="J7606" s="7">
        <v>0</v>
      </c>
      <c r="K7606" s="7" t="s">
        <v>18</v>
      </c>
      <c r="L7606" s="8">
        <v>39987.315405092595</v>
      </c>
      <c r="M7606" s="9" t="s">
        <v>19</v>
      </c>
      <c r="N7606" s="9" t="s">
        <v>20</v>
      </c>
      <c r="O7606" s="6" t="str">
        <f>HYPERLINK("https://pbs.twimg.com/profile_images/962471262747529216/Uo8lOkRJ_normal.jpg","View")</f>
        <v>View</v>
      </c>
      <c r="P7606" s="7"/>
    </row>
    <row r="7607" spans="1:16">
      <c r="A7607" s="3">
        <v>44025.22929398148</v>
      </c>
      <c r="B7607" s="4" t="str">
        <f>HYPERLINK("https://twitter.com/petrogustavo","@petrogustavo")</f>
        <v>@petrogustavo</v>
      </c>
      <c r="C7607" s="5" t="s">
        <v>16</v>
      </c>
      <c r="D7607" s="5" t="s">
        <v>7340</v>
      </c>
      <c r="E7607" s="6" t="str">
        <f>HYPERLINK("https://twitter.com/petrogustavo/status/1282464805262065664","1282464805262065664")</f>
        <v>1282464805262065664</v>
      </c>
      <c r="F7607" s="7" t="s">
        <v>32</v>
      </c>
      <c r="G7607" s="7">
        <v>3906063</v>
      </c>
      <c r="H7607" s="7">
        <v>2420</v>
      </c>
      <c r="I7607" s="7">
        <v>38</v>
      </c>
      <c r="J7607" s="7">
        <v>0</v>
      </c>
      <c r="K7607" s="7" t="s">
        <v>18</v>
      </c>
      <c r="L7607" s="8">
        <v>39987.315405092595</v>
      </c>
      <c r="M7607" s="9" t="s">
        <v>19</v>
      </c>
      <c r="N7607" s="9" t="s">
        <v>20</v>
      </c>
      <c r="O7607" s="6" t="str">
        <f>HYPERLINK("https://pbs.twimg.com/profile_images/962471262747529216/Uo8lOkRJ_normal.jpg","View")</f>
        <v>View</v>
      </c>
      <c r="P7607" s="7"/>
    </row>
    <row r="7608" spans="1:16">
      <c r="A7608" s="3">
        <v>44025.229687500003</v>
      </c>
      <c r="B7608" s="4" t="str">
        <f>HYPERLINK("https://twitter.com/petrogustavo","@petrogustavo")</f>
        <v>@petrogustavo</v>
      </c>
      <c r="C7608" s="5" t="s">
        <v>16</v>
      </c>
      <c r="D7608" s="5" t="s">
        <v>7341</v>
      </c>
      <c r="E7608" s="6" t="str">
        <f>HYPERLINK("https://twitter.com/petrogustavo/status/1282464949353291780","1282464949353291780")</f>
        <v>1282464949353291780</v>
      </c>
      <c r="F7608" s="7" t="s">
        <v>32</v>
      </c>
      <c r="G7608" s="7">
        <v>3906063</v>
      </c>
      <c r="H7608" s="7">
        <v>2420</v>
      </c>
      <c r="I7608" s="7">
        <v>53</v>
      </c>
      <c r="J7608" s="7">
        <v>0</v>
      </c>
      <c r="K7608" s="7" t="s">
        <v>18</v>
      </c>
      <c r="L7608" s="8">
        <v>39987.315405092595</v>
      </c>
      <c r="M7608" s="9" t="s">
        <v>19</v>
      </c>
      <c r="N7608" s="9" t="s">
        <v>20</v>
      </c>
      <c r="O7608" s="6" t="str">
        <f>HYPERLINK("https://pbs.twimg.com/profile_images/962471262747529216/Uo8lOkRJ_normal.jpg","View")</f>
        <v>View</v>
      </c>
      <c r="P7608" s="7"/>
    </row>
    <row r="7609" spans="1:16">
      <c r="A7609" s="3">
        <v>44025.229768518519</v>
      </c>
      <c r="B7609" s="4" t="str">
        <f>HYPERLINK("https://twitter.com/petrogustavo","@petrogustavo")</f>
        <v>@petrogustavo</v>
      </c>
      <c r="C7609" s="5" t="s">
        <v>16</v>
      </c>
      <c r="D7609" s="5" t="s">
        <v>7342</v>
      </c>
      <c r="E7609" s="6" t="str">
        <f>HYPERLINK("https://twitter.com/petrogustavo/status/1282464977513783296","1282464977513783296")</f>
        <v>1282464977513783296</v>
      </c>
      <c r="F7609" s="7" t="s">
        <v>32</v>
      </c>
      <c r="G7609" s="7">
        <v>3906063</v>
      </c>
      <c r="H7609" s="7">
        <v>2420</v>
      </c>
      <c r="I7609" s="7">
        <v>54</v>
      </c>
      <c r="J7609" s="7">
        <v>0</v>
      </c>
      <c r="K7609" s="7" t="s">
        <v>18</v>
      </c>
      <c r="L7609" s="8">
        <v>39987.315405092595</v>
      </c>
      <c r="M7609" s="9" t="s">
        <v>19</v>
      </c>
      <c r="N7609" s="9" t="s">
        <v>20</v>
      </c>
      <c r="O7609" s="6" t="str">
        <f>HYPERLINK("https://pbs.twimg.com/profile_images/962471262747529216/Uo8lOkRJ_normal.jpg","View")</f>
        <v>View</v>
      </c>
      <c r="P7609" s="7"/>
    </row>
    <row r="7610" spans="1:16">
      <c r="A7610" s="3">
        <v>44025.23128472222</v>
      </c>
      <c r="B7610" s="4" t="str">
        <f>HYPERLINK("https://twitter.com/petrogustavo","@petrogustavo")</f>
        <v>@petrogustavo</v>
      </c>
      <c r="C7610" s="5" t="s">
        <v>16</v>
      </c>
      <c r="D7610" s="5" t="s">
        <v>7343</v>
      </c>
      <c r="E7610" s="6" t="str">
        <f>HYPERLINK("https://twitter.com/petrogustavo/status/1282465525541621762","1282465525541621762")</f>
        <v>1282465525541621762</v>
      </c>
      <c r="F7610" s="7" t="s">
        <v>32</v>
      </c>
      <c r="G7610" s="7">
        <v>3906063</v>
      </c>
      <c r="H7610" s="7">
        <v>2420</v>
      </c>
      <c r="I7610" s="7">
        <v>145</v>
      </c>
      <c r="J7610" s="7">
        <v>394</v>
      </c>
      <c r="K7610" s="7" t="s">
        <v>18</v>
      </c>
      <c r="L7610" s="8">
        <v>39987.315405092595</v>
      </c>
      <c r="M7610" s="9" t="s">
        <v>19</v>
      </c>
      <c r="N7610" s="9" t="s">
        <v>20</v>
      </c>
      <c r="O7610" s="6" t="str">
        <f>HYPERLINK("https://pbs.twimg.com/profile_images/962471262747529216/Uo8lOkRJ_normal.jpg","View")</f>
        <v>View</v>
      </c>
      <c r="P7610" s="7"/>
    </row>
    <row r="7611" spans="1:16">
      <c r="A7611" s="3">
        <v>44025.235590277778</v>
      </c>
      <c r="B7611" s="4" t="str">
        <f>HYPERLINK("https://twitter.com/petrogustavo","@petrogustavo")</f>
        <v>@petrogustavo</v>
      </c>
      <c r="C7611" s="5" t="s">
        <v>16</v>
      </c>
      <c r="D7611" s="5" t="s">
        <v>7344</v>
      </c>
      <c r="E7611" s="6" t="str">
        <f>HYPERLINK("https://twitter.com/petrogustavo/status/1282467087349354496","1282467087349354496")</f>
        <v>1282467087349354496</v>
      </c>
      <c r="F7611" s="7" t="s">
        <v>32</v>
      </c>
      <c r="G7611" s="7">
        <v>3906063</v>
      </c>
      <c r="H7611" s="7">
        <v>2420</v>
      </c>
      <c r="I7611" s="7">
        <v>16</v>
      </c>
      <c r="J7611" s="7">
        <v>0</v>
      </c>
      <c r="K7611" s="7" t="s">
        <v>18</v>
      </c>
      <c r="L7611" s="8">
        <v>39987.315405092595</v>
      </c>
      <c r="M7611" s="9" t="s">
        <v>19</v>
      </c>
      <c r="N7611" s="9" t="s">
        <v>20</v>
      </c>
      <c r="O7611" s="6" t="str">
        <f>HYPERLINK("https://pbs.twimg.com/profile_images/962471262747529216/Uo8lOkRJ_normal.jpg","View")</f>
        <v>View</v>
      </c>
      <c r="P7611" s="7"/>
    </row>
    <row r="7612" spans="1:16">
      <c r="A7612" s="3">
        <v>44025.235833333332</v>
      </c>
      <c r="B7612" s="4" t="str">
        <f>HYPERLINK("https://twitter.com/petrogustavo","@petrogustavo")</f>
        <v>@petrogustavo</v>
      </c>
      <c r="C7612" s="5" t="s">
        <v>16</v>
      </c>
      <c r="D7612" s="5" t="s">
        <v>7345</v>
      </c>
      <c r="E7612" s="6" t="str">
        <f>HYPERLINK("https://twitter.com/petrogustavo/status/1282467177803776001","1282467177803776001")</f>
        <v>1282467177803776001</v>
      </c>
      <c r="F7612" s="7" t="s">
        <v>32</v>
      </c>
      <c r="G7612" s="7">
        <v>3906063</v>
      </c>
      <c r="H7612" s="7">
        <v>2420</v>
      </c>
      <c r="I7612" s="7">
        <v>15</v>
      </c>
      <c r="J7612" s="7">
        <v>0</v>
      </c>
      <c r="K7612" s="7" t="s">
        <v>18</v>
      </c>
      <c r="L7612" s="8">
        <v>39987.315405092595</v>
      </c>
      <c r="M7612" s="9" t="s">
        <v>19</v>
      </c>
      <c r="N7612" s="9" t="s">
        <v>20</v>
      </c>
      <c r="O7612" s="6" t="str">
        <f>HYPERLINK("https://pbs.twimg.com/profile_images/962471262747529216/Uo8lOkRJ_normal.jpg","View")</f>
        <v>View</v>
      </c>
      <c r="P7612" s="7"/>
    </row>
    <row r="7613" spans="1:16">
      <c r="A7613" s="3">
        <v>44025.236342592594</v>
      </c>
      <c r="B7613" s="4" t="str">
        <f>HYPERLINK("https://twitter.com/petrogustavo","@petrogustavo")</f>
        <v>@petrogustavo</v>
      </c>
      <c r="C7613" s="5" t="s">
        <v>16</v>
      </c>
      <c r="D7613" s="5" t="s">
        <v>7346</v>
      </c>
      <c r="E7613" s="6" t="str">
        <f>HYPERLINK("https://twitter.com/petrogustavo/status/1282467361350651905","1282467361350651905")</f>
        <v>1282467361350651905</v>
      </c>
      <c r="F7613" s="7" t="s">
        <v>32</v>
      </c>
      <c r="G7613" s="7">
        <v>3906063</v>
      </c>
      <c r="H7613" s="7">
        <v>2420</v>
      </c>
      <c r="I7613" s="7">
        <v>35</v>
      </c>
      <c r="J7613" s="7">
        <v>0</v>
      </c>
      <c r="K7613" s="7" t="s">
        <v>18</v>
      </c>
      <c r="L7613" s="8">
        <v>39987.315405092595</v>
      </c>
      <c r="M7613" s="9" t="s">
        <v>19</v>
      </c>
      <c r="N7613" s="9" t="s">
        <v>20</v>
      </c>
      <c r="O7613" s="6" t="str">
        <f>HYPERLINK("https://pbs.twimg.com/profile_images/962471262747529216/Uo8lOkRJ_normal.jpg","View")</f>
        <v>View</v>
      </c>
      <c r="P7613" s="7"/>
    </row>
    <row r="7614" spans="1:16">
      <c r="A7614" s="3">
        <v>44025.251342592594</v>
      </c>
      <c r="B7614" s="4" t="str">
        <f>HYPERLINK("https://twitter.com/petrogustavo","@petrogustavo")</f>
        <v>@petrogustavo</v>
      </c>
      <c r="C7614" s="5" t="s">
        <v>16</v>
      </c>
      <c r="D7614" s="5" t="s">
        <v>7347</v>
      </c>
      <c r="E7614" s="6" t="str">
        <f>HYPERLINK("https://twitter.com/petrogustavo/status/1282472795428065280","1282472795428065280")</f>
        <v>1282472795428065280</v>
      </c>
      <c r="F7614" s="7" t="s">
        <v>17</v>
      </c>
      <c r="G7614" s="7">
        <v>3906071</v>
      </c>
      <c r="H7614" s="7">
        <v>2420</v>
      </c>
      <c r="I7614" s="7">
        <v>278</v>
      </c>
      <c r="J7614" s="7">
        <v>733</v>
      </c>
      <c r="K7614" s="7" t="s">
        <v>18</v>
      </c>
      <c r="L7614" s="8">
        <v>39987.315405092595</v>
      </c>
      <c r="M7614" s="9" t="s">
        <v>19</v>
      </c>
      <c r="N7614" s="9" t="s">
        <v>20</v>
      </c>
      <c r="O7614" s="6" t="str">
        <f>HYPERLINK("https://pbs.twimg.com/profile_images/962471262747529216/Uo8lOkRJ_normal.jpg","View")</f>
        <v>View</v>
      </c>
      <c r="P7614" s="7"/>
    </row>
    <row r="7615" spans="1:16">
      <c r="A7615" s="3">
        <v>44025.251817129625</v>
      </c>
      <c r="B7615" s="4" t="str">
        <f>HYPERLINK("https://twitter.com/petrogustavo","@petrogustavo")</f>
        <v>@petrogustavo</v>
      </c>
      <c r="C7615" s="5" t="s">
        <v>16</v>
      </c>
      <c r="D7615" s="5" t="s">
        <v>7348</v>
      </c>
      <c r="E7615" s="6" t="str">
        <f>HYPERLINK("https://twitter.com/petrogustavo/status/1282472969193828358","1282472969193828358")</f>
        <v>1282472969193828358</v>
      </c>
      <c r="F7615" s="7" t="s">
        <v>17</v>
      </c>
      <c r="G7615" s="7">
        <v>3906071</v>
      </c>
      <c r="H7615" s="7">
        <v>2420</v>
      </c>
      <c r="I7615" s="7">
        <v>182</v>
      </c>
      <c r="J7615" s="7">
        <v>0</v>
      </c>
      <c r="K7615" s="7" t="s">
        <v>18</v>
      </c>
      <c r="L7615" s="8">
        <v>39987.315405092595</v>
      </c>
      <c r="M7615" s="9" t="s">
        <v>19</v>
      </c>
      <c r="N7615" s="9" t="s">
        <v>20</v>
      </c>
      <c r="O7615" s="6" t="str">
        <f>HYPERLINK("https://pbs.twimg.com/profile_images/962471262747529216/Uo8lOkRJ_normal.jpg","View")</f>
        <v>View</v>
      </c>
      <c r="P7615" s="7"/>
    </row>
    <row r="7616" spans="1:16">
      <c r="A7616" s="3">
        <v>44025.257245370369</v>
      </c>
      <c r="B7616" s="4" t="str">
        <f>HYPERLINK("https://twitter.com/petrogustavo","@petrogustavo")</f>
        <v>@petrogustavo</v>
      </c>
      <c r="C7616" s="5" t="s">
        <v>16</v>
      </c>
      <c r="D7616" s="5" t="s">
        <v>7349</v>
      </c>
      <c r="E7616" s="6" t="str">
        <f>HYPERLINK("https://twitter.com/petrogustavo/status/1282474937048014849","1282474937048014849")</f>
        <v>1282474937048014849</v>
      </c>
      <c r="F7616" s="7" t="s">
        <v>17</v>
      </c>
      <c r="G7616" s="7">
        <v>3906071</v>
      </c>
      <c r="H7616" s="7">
        <v>2420</v>
      </c>
      <c r="I7616" s="7">
        <v>61</v>
      </c>
      <c r="J7616" s="7">
        <v>152</v>
      </c>
      <c r="K7616" s="7" t="s">
        <v>18</v>
      </c>
      <c r="L7616" s="8">
        <v>39987.315405092595</v>
      </c>
      <c r="M7616" s="9" t="s">
        <v>19</v>
      </c>
      <c r="N7616" s="9" t="s">
        <v>20</v>
      </c>
      <c r="O7616" s="6" t="str">
        <f>HYPERLINK("https://pbs.twimg.com/profile_images/962471262747529216/Uo8lOkRJ_normal.jpg","View")</f>
        <v>View</v>
      </c>
      <c r="P7616" s="7"/>
    </row>
    <row r="7617" spans="1:16">
      <c r="A7617" s="3">
        <v>44025.268067129626</v>
      </c>
      <c r="B7617" s="4" t="str">
        <f>HYPERLINK("https://twitter.com/petrogustavo","@petrogustavo")</f>
        <v>@petrogustavo</v>
      </c>
      <c r="C7617" s="5" t="s">
        <v>16</v>
      </c>
      <c r="D7617" s="5" t="s">
        <v>7350</v>
      </c>
      <c r="E7617" s="6" t="str">
        <f>HYPERLINK("https://twitter.com/petrogustavo/status/1282478857300385794","1282478857300385794")</f>
        <v>1282478857300385794</v>
      </c>
      <c r="F7617" s="7" t="s">
        <v>17</v>
      </c>
      <c r="G7617" s="7">
        <v>3906051</v>
      </c>
      <c r="H7617" s="7">
        <v>2420</v>
      </c>
      <c r="I7617" s="7">
        <v>148</v>
      </c>
      <c r="J7617" s="7">
        <v>0</v>
      </c>
      <c r="K7617" s="7" t="s">
        <v>18</v>
      </c>
      <c r="L7617" s="8">
        <v>39987.315405092595</v>
      </c>
      <c r="M7617" s="9" t="s">
        <v>19</v>
      </c>
      <c r="N7617" s="9" t="s">
        <v>20</v>
      </c>
      <c r="O7617" s="6" t="str">
        <f>HYPERLINK("https://pbs.twimg.com/profile_images/962471262747529216/Uo8lOkRJ_normal.jpg","View")</f>
        <v>View</v>
      </c>
      <c r="P7617" s="7"/>
    </row>
    <row r="7618" spans="1:16">
      <c r="A7618" s="3">
        <v>44025.268796296295</v>
      </c>
      <c r="B7618" s="4" t="str">
        <f>HYPERLINK("https://twitter.com/petrogustavo","@petrogustavo")</f>
        <v>@petrogustavo</v>
      </c>
      <c r="C7618" s="5" t="s">
        <v>16</v>
      </c>
      <c r="D7618" s="5" t="s">
        <v>7351</v>
      </c>
      <c r="E7618" s="6" t="str">
        <f>HYPERLINK("https://twitter.com/petrogustavo/status/1282479120627175424","1282479120627175424")</f>
        <v>1282479120627175424</v>
      </c>
      <c r="F7618" s="7" t="s">
        <v>17</v>
      </c>
      <c r="G7618" s="7">
        <v>3906051</v>
      </c>
      <c r="H7618" s="7">
        <v>2420</v>
      </c>
      <c r="I7618" s="7">
        <v>131</v>
      </c>
      <c r="J7618" s="7">
        <v>0</v>
      </c>
      <c r="K7618" s="7" t="s">
        <v>18</v>
      </c>
      <c r="L7618" s="8">
        <v>39987.315405092595</v>
      </c>
      <c r="M7618" s="9" t="s">
        <v>19</v>
      </c>
      <c r="N7618" s="9" t="s">
        <v>20</v>
      </c>
      <c r="O7618" s="6" t="str">
        <f>HYPERLINK("https://pbs.twimg.com/profile_images/962471262747529216/Uo8lOkRJ_normal.jpg","View")</f>
        <v>View</v>
      </c>
      <c r="P7618" s="7"/>
    </row>
    <row r="7619" spans="1:16">
      <c r="A7619" s="3">
        <v>44025.271307870367</v>
      </c>
      <c r="B7619" s="4" t="str">
        <f>HYPERLINK("https://twitter.com/petrogustavo","@petrogustavo")</f>
        <v>@petrogustavo</v>
      </c>
      <c r="C7619" s="5" t="s">
        <v>16</v>
      </c>
      <c r="D7619" s="5" t="s">
        <v>7352</v>
      </c>
      <c r="E7619" s="6" t="str">
        <f>HYPERLINK("https://twitter.com/petrogustavo/status/1282480029654540289","1282480029654540289")</f>
        <v>1282480029654540289</v>
      </c>
      <c r="F7619" s="7" t="s">
        <v>17</v>
      </c>
      <c r="G7619" s="7">
        <v>3906051</v>
      </c>
      <c r="H7619" s="7">
        <v>2420</v>
      </c>
      <c r="I7619" s="7">
        <v>38</v>
      </c>
      <c r="J7619" s="7">
        <v>0</v>
      </c>
      <c r="K7619" s="7" t="s">
        <v>18</v>
      </c>
      <c r="L7619" s="8">
        <v>39987.315405092595</v>
      </c>
      <c r="M7619" s="9" t="s">
        <v>19</v>
      </c>
      <c r="N7619" s="9" t="s">
        <v>20</v>
      </c>
      <c r="O7619" s="6" t="str">
        <f>HYPERLINK("https://pbs.twimg.com/profile_images/962471262747529216/Uo8lOkRJ_normal.jpg","View")</f>
        <v>View</v>
      </c>
      <c r="P7619" s="7"/>
    </row>
    <row r="7620" spans="1:16">
      <c r="A7620" s="3">
        <v>44025.273379629631</v>
      </c>
      <c r="B7620" s="4" t="str">
        <f>HYPERLINK("https://twitter.com/petrogustavo","@petrogustavo")</f>
        <v>@petrogustavo</v>
      </c>
      <c r="C7620" s="5" t="s">
        <v>16</v>
      </c>
      <c r="D7620" s="5" t="s">
        <v>7353</v>
      </c>
      <c r="E7620" s="6" t="str">
        <f>HYPERLINK("https://twitter.com/petrogustavo/status/1282480780816637952","1282480780816637952")</f>
        <v>1282480780816637952</v>
      </c>
      <c r="F7620" s="7" t="s">
        <v>17</v>
      </c>
      <c r="G7620" s="7">
        <v>3906051</v>
      </c>
      <c r="H7620" s="7">
        <v>2420</v>
      </c>
      <c r="I7620" s="7">
        <v>162</v>
      </c>
      <c r="J7620" s="7">
        <v>0</v>
      </c>
      <c r="K7620" s="7" t="s">
        <v>18</v>
      </c>
      <c r="L7620" s="8">
        <v>39987.315405092595</v>
      </c>
      <c r="M7620" s="9" t="s">
        <v>19</v>
      </c>
      <c r="N7620" s="9" t="s">
        <v>20</v>
      </c>
      <c r="O7620" s="6" t="str">
        <f>HYPERLINK("https://pbs.twimg.com/profile_images/962471262747529216/Uo8lOkRJ_normal.jpg","View")</f>
        <v>View</v>
      </c>
      <c r="P7620" s="7"/>
    </row>
    <row r="7621" spans="1:16">
      <c r="A7621" s="3">
        <v>44025.760694444441</v>
      </c>
      <c r="B7621" s="4" t="str">
        <f>HYPERLINK("https://twitter.com/petrogustavo","@petrogustavo")</f>
        <v>@petrogustavo</v>
      </c>
      <c r="C7621" s="5" t="s">
        <v>16</v>
      </c>
      <c r="D7621" s="5" t="s">
        <v>7354</v>
      </c>
      <c r="E7621" s="6" t="str">
        <f>HYPERLINK("https://twitter.com/petrogustavo/status/1282657377813172224","1282657377813172224")</f>
        <v>1282657377813172224</v>
      </c>
      <c r="F7621" s="7" t="s">
        <v>17</v>
      </c>
      <c r="G7621" s="7">
        <v>3906142</v>
      </c>
      <c r="H7621" s="7">
        <v>2419</v>
      </c>
      <c r="I7621" s="7">
        <v>27</v>
      </c>
      <c r="J7621" s="7">
        <v>78</v>
      </c>
      <c r="K7621" s="7" t="s">
        <v>18</v>
      </c>
      <c r="L7621" s="8">
        <v>39987.315405092595</v>
      </c>
      <c r="M7621" s="9" t="s">
        <v>19</v>
      </c>
      <c r="N7621" s="9" t="s">
        <v>20</v>
      </c>
      <c r="O7621" s="6" t="str">
        <f>HYPERLINK("https://pbs.twimg.com/profile_images/962471262747529216/Uo8lOkRJ_normal.jpg","View")</f>
        <v>View</v>
      </c>
      <c r="P7621" s="7"/>
    </row>
    <row r="7622" spans="1:16">
      <c r="A7622" s="3">
        <v>44025.762453703705</v>
      </c>
      <c r="B7622" s="4" t="str">
        <f>HYPERLINK("https://twitter.com/petrogustavo","@petrogustavo")</f>
        <v>@petrogustavo</v>
      </c>
      <c r="C7622" s="5" t="s">
        <v>16</v>
      </c>
      <c r="D7622" s="5" t="s">
        <v>7355</v>
      </c>
      <c r="E7622" s="6" t="str">
        <f>HYPERLINK("https://twitter.com/petrogustavo/status/1282658017725624320","1282658017725624320")</f>
        <v>1282658017725624320</v>
      </c>
      <c r="F7622" s="7" t="s">
        <v>17</v>
      </c>
      <c r="G7622" s="7">
        <v>3906142</v>
      </c>
      <c r="H7622" s="7">
        <v>2419</v>
      </c>
      <c r="I7622" s="7">
        <v>1</v>
      </c>
      <c r="J7622" s="7">
        <v>3</v>
      </c>
      <c r="K7622" s="7" t="s">
        <v>18</v>
      </c>
      <c r="L7622" s="8">
        <v>39987.315405092595</v>
      </c>
      <c r="M7622" s="9" t="s">
        <v>19</v>
      </c>
      <c r="N7622" s="9" t="s">
        <v>20</v>
      </c>
      <c r="O7622" s="6" t="str">
        <f>HYPERLINK("https://pbs.twimg.com/profile_images/962471262747529216/Uo8lOkRJ_normal.jpg","View")</f>
        <v>View</v>
      </c>
      <c r="P7622" s="7"/>
    </row>
    <row r="7623" spans="1:16">
      <c r="A7623" s="3">
        <v>44025.769502314812</v>
      </c>
      <c r="B7623" s="4" t="str">
        <f>HYPERLINK("https://twitter.com/petrogustavo","@petrogustavo")</f>
        <v>@petrogustavo</v>
      </c>
      <c r="C7623" s="5" t="s">
        <v>16</v>
      </c>
      <c r="D7623" s="5" t="s">
        <v>7356</v>
      </c>
      <c r="E7623" s="6" t="str">
        <f>HYPERLINK("https://twitter.com/petrogustavo/status/1282660572727844865","1282660572727844865")</f>
        <v>1282660572727844865</v>
      </c>
      <c r="F7623" s="7" t="s">
        <v>17</v>
      </c>
      <c r="G7623" s="7">
        <v>3906149</v>
      </c>
      <c r="H7623" s="7">
        <v>2419</v>
      </c>
      <c r="I7623" s="7">
        <v>59</v>
      </c>
      <c r="J7623" s="7">
        <v>177</v>
      </c>
      <c r="K7623" s="7" t="s">
        <v>18</v>
      </c>
      <c r="L7623" s="8">
        <v>39987.315405092595</v>
      </c>
      <c r="M7623" s="9" t="s">
        <v>19</v>
      </c>
      <c r="N7623" s="9" t="s">
        <v>20</v>
      </c>
      <c r="O7623" s="6" t="str">
        <f>HYPERLINK("https://pbs.twimg.com/profile_images/962471262747529216/Uo8lOkRJ_normal.jpg","View")</f>
        <v>View</v>
      </c>
      <c r="P7623" s="7"/>
    </row>
    <row r="7624" spans="1:16">
      <c r="A7624" s="3">
        <v>44025.770289351851</v>
      </c>
      <c r="B7624" s="4" t="str">
        <f>HYPERLINK("https://twitter.com/petrogustavo","@petrogustavo")</f>
        <v>@petrogustavo</v>
      </c>
      <c r="C7624" s="5" t="s">
        <v>16</v>
      </c>
      <c r="D7624" s="5" t="s">
        <v>7357</v>
      </c>
      <c r="E7624" s="6" t="str">
        <f>HYPERLINK("https://twitter.com/petrogustavo/status/1282660855860154368","1282660855860154368")</f>
        <v>1282660855860154368</v>
      </c>
      <c r="F7624" s="7" t="s">
        <v>17</v>
      </c>
      <c r="G7624" s="7">
        <v>3906149</v>
      </c>
      <c r="H7624" s="7">
        <v>2419</v>
      </c>
      <c r="I7624" s="7">
        <v>66</v>
      </c>
      <c r="J7624" s="7">
        <v>0</v>
      </c>
      <c r="K7624" s="7" t="s">
        <v>18</v>
      </c>
      <c r="L7624" s="8">
        <v>39987.315405092595</v>
      </c>
      <c r="M7624" s="9" t="s">
        <v>19</v>
      </c>
      <c r="N7624" s="9" t="s">
        <v>20</v>
      </c>
      <c r="O7624" s="6" t="str">
        <f>HYPERLINK("https://pbs.twimg.com/profile_images/962471262747529216/Uo8lOkRJ_normal.jpg","View")</f>
        <v>View</v>
      </c>
      <c r="P7624" s="7"/>
    </row>
    <row r="7625" spans="1:16">
      <c r="A7625" s="3">
        <v>44025.77065972222</v>
      </c>
      <c r="B7625" s="4" t="str">
        <f>HYPERLINK("https://twitter.com/petrogustavo","@petrogustavo")</f>
        <v>@petrogustavo</v>
      </c>
      <c r="C7625" s="5" t="s">
        <v>16</v>
      </c>
      <c r="D7625" s="5" t="s">
        <v>7358</v>
      </c>
      <c r="E7625" s="6" t="str">
        <f>HYPERLINK("https://twitter.com/petrogustavo/status/1282660992665747456","1282660992665747456")</f>
        <v>1282660992665747456</v>
      </c>
      <c r="F7625" s="7" t="s">
        <v>17</v>
      </c>
      <c r="G7625" s="7">
        <v>3906149</v>
      </c>
      <c r="H7625" s="7">
        <v>2419</v>
      </c>
      <c r="I7625" s="7">
        <v>190</v>
      </c>
      <c r="J7625" s="7">
        <v>0</v>
      </c>
      <c r="K7625" s="7" t="s">
        <v>18</v>
      </c>
      <c r="L7625" s="8">
        <v>39987.315405092595</v>
      </c>
      <c r="M7625" s="9" t="s">
        <v>19</v>
      </c>
      <c r="N7625" s="9" t="s">
        <v>20</v>
      </c>
      <c r="O7625" s="6" t="str">
        <f>HYPERLINK("https://pbs.twimg.com/profile_images/962471262747529216/Uo8lOkRJ_normal.jpg","View")</f>
        <v>View</v>
      </c>
      <c r="P7625" s="7"/>
    </row>
    <row r="7626" spans="1:16">
      <c r="A7626" s="3">
        <v>44025.778935185182</v>
      </c>
      <c r="B7626" s="4" t="str">
        <f>HYPERLINK("https://twitter.com/petrogustavo","@petrogustavo")</f>
        <v>@petrogustavo</v>
      </c>
      <c r="C7626" s="5" t="s">
        <v>16</v>
      </c>
      <c r="D7626" s="5" t="s">
        <v>7359</v>
      </c>
      <c r="E7626" s="6" t="str">
        <f>HYPERLINK("https://twitter.com/petrogustavo/status/1282663990464786432","1282663990464786432")</f>
        <v>1282663990464786432</v>
      </c>
      <c r="F7626" s="7" t="s">
        <v>17</v>
      </c>
      <c r="G7626" s="7">
        <v>3906149</v>
      </c>
      <c r="H7626" s="7">
        <v>2419</v>
      </c>
      <c r="I7626" s="7">
        <v>41</v>
      </c>
      <c r="J7626" s="7">
        <v>120</v>
      </c>
      <c r="K7626" s="7" t="s">
        <v>18</v>
      </c>
      <c r="L7626" s="8">
        <v>39987.315405092595</v>
      </c>
      <c r="M7626" s="9" t="s">
        <v>19</v>
      </c>
      <c r="N7626" s="9" t="s">
        <v>20</v>
      </c>
      <c r="O7626" s="6" t="str">
        <f>HYPERLINK("https://pbs.twimg.com/profile_images/962471262747529216/Uo8lOkRJ_normal.jpg","View")</f>
        <v>View</v>
      </c>
      <c r="P7626" s="7"/>
    </row>
    <row r="7627" spans="1:16">
      <c r="A7627" s="3">
        <v>44025.781574074077</v>
      </c>
      <c r="B7627" s="4" t="str">
        <f>HYPERLINK("https://twitter.com/petrogustavo","@petrogustavo")</f>
        <v>@petrogustavo</v>
      </c>
      <c r="C7627" s="5" t="s">
        <v>16</v>
      </c>
      <c r="D7627" s="5" t="s">
        <v>7360</v>
      </c>
      <c r="E7627" s="6" t="str">
        <f>HYPERLINK("https://twitter.com/petrogustavo/status/1282664945382051840","1282664945382051840")</f>
        <v>1282664945382051840</v>
      </c>
      <c r="F7627" s="7" t="s">
        <v>17</v>
      </c>
      <c r="G7627" s="7">
        <v>3906149</v>
      </c>
      <c r="H7627" s="7">
        <v>2419</v>
      </c>
      <c r="I7627" s="7">
        <v>1231</v>
      </c>
      <c r="J7627" s="7">
        <v>0</v>
      </c>
      <c r="K7627" s="7" t="s">
        <v>18</v>
      </c>
      <c r="L7627" s="8">
        <v>39987.315405092595</v>
      </c>
      <c r="M7627" s="9" t="s">
        <v>19</v>
      </c>
      <c r="N7627" s="9" t="s">
        <v>20</v>
      </c>
      <c r="O7627" s="6" t="str">
        <f>HYPERLINK("https://pbs.twimg.com/profile_images/962471262747529216/Uo8lOkRJ_normal.jpg","View")</f>
        <v>View</v>
      </c>
      <c r="P7627" s="7"/>
    </row>
    <row r="7628" spans="1:16">
      <c r="A7628" s="3">
        <v>44025.783541666664</v>
      </c>
      <c r="B7628" s="4" t="str">
        <f>HYPERLINK("https://twitter.com/petrogustavo","@petrogustavo")</f>
        <v>@petrogustavo</v>
      </c>
      <c r="C7628" s="5" t="s">
        <v>16</v>
      </c>
      <c r="D7628" s="5" t="s">
        <v>7361</v>
      </c>
      <c r="E7628" s="6" t="str">
        <f>HYPERLINK("https://twitter.com/petrogustavo/status/1282665657004371969","1282665657004371969")</f>
        <v>1282665657004371969</v>
      </c>
      <c r="F7628" s="7" t="s">
        <v>17</v>
      </c>
      <c r="G7628" s="7">
        <v>3906156</v>
      </c>
      <c r="H7628" s="7">
        <v>2419</v>
      </c>
      <c r="I7628" s="7">
        <v>98</v>
      </c>
      <c r="J7628" s="7">
        <v>0</v>
      </c>
      <c r="K7628" s="7" t="s">
        <v>18</v>
      </c>
      <c r="L7628" s="8">
        <v>39987.315405092595</v>
      </c>
      <c r="M7628" s="9" t="s">
        <v>19</v>
      </c>
      <c r="N7628" s="9" t="s">
        <v>20</v>
      </c>
      <c r="O7628" s="6" t="str">
        <f>HYPERLINK("https://pbs.twimg.com/profile_images/962471262747529216/Uo8lOkRJ_normal.jpg","View")</f>
        <v>View</v>
      </c>
      <c r="P7628" s="7"/>
    </row>
    <row r="7629" spans="1:16">
      <c r="A7629" s="3">
        <v>44025.789849537032</v>
      </c>
      <c r="B7629" s="4" t="str">
        <f>HYPERLINK("https://twitter.com/petrogustavo","@petrogustavo")</f>
        <v>@petrogustavo</v>
      </c>
      <c r="C7629" s="5" t="s">
        <v>16</v>
      </c>
      <c r="D7629" s="5" t="s">
        <v>7362</v>
      </c>
      <c r="E7629" s="6" t="str">
        <f>HYPERLINK("https://twitter.com/petrogustavo/status/1282667944158343168","1282667944158343168")</f>
        <v>1282667944158343168</v>
      </c>
      <c r="F7629" s="7" t="s">
        <v>17</v>
      </c>
      <c r="G7629" s="7">
        <v>3906156</v>
      </c>
      <c r="H7629" s="7">
        <v>2419</v>
      </c>
      <c r="I7629" s="7">
        <v>36</v>
      </c>
      <c r="J7629" s="7">
        <v>0</v>
      </c>
      <c r="K7629" s="7" t="s">
        <v>18</v>
      </c>
      <c r="L7629" s="8">
        <v>39987.315405092595</v>
      </c>
      <c r="M7629" s="9" t="s">
        <v>19</v>
      </c>
      <c r="N7629" s="9" t="s">
        <v>20</v>
      </c>
      <c r="O7629" s="6" t="str">
        <f>HYPERLINK("https://pbs.twimg.com/profile_images/962471262747529216/Uo8lOkRJ_normal.jpg","View")</f>
        <v>View</v>
      </c>
      <c r="P7629" s="7"/>
    </row>
    <row r="7630" spans="1:16">
      <c r="A7630" s="3">
        <v>44025.793206018519</v>
      </c>
      <c r="B7630" s="4" t="str">
        <f>HYPERLINK("https://twitter.com/petrogustavo","@petrogustavo")</f>
        <v>@petrogustavo</v>
      </c>
      <c r="C7630" s="5" t="s">
        <v>16</v>
      </c>
      <c r="D7630" s="5" t="s">
        <v>7363</v>
      </c>
      <c r="E7630" s="6" t="str">
        <f>HYPERLINK("https://twitter.com/petrogustavo/status/1282669160896630791","1282669160896630791")</f>
        <v>1282669160896630791</v>
      </c>
      <c r="F7630" s="7" t="s">
        <v>17</v>
      </c>
      <c r="G7630" s="7">
        <v>3906156</v>
      </c>
      <c r="H7630" s="7">
        <v>2419</v>
      </c>
      <c r="I7630" s="7">
        <v>23</v>
      </c>
      <c r="J7630" s="7">
        <v>0</v>
      </c>
      <c r="K7630" s="7" t="s">
        <v>18</v>
      </c>
      <c r="L7630" s="8">
        <v>39987.315405092595</v>
      </c>
      <c r="M7630" s="9" t="s">
        <v>19</v>
      </c>
      <c r="N7630" s="9" t="s">
        <v>20</v>
      </c>
      <c r="O7630" s="6" t="str">
        <f>HYPERLINK("https://pbs.twimg.com/profile_images/962471262747529216/Uo8lOkRJ_normal.jpg","View")</f>
        <v>View</v>
      </c>
      <c r="P7630" s="7"/>
    </row>
    <row r="7631" spans="1:16">
      <c r="A7631" s="3">
        <v>44025.794039351851</v>
      </c>
      <c r="B7631" s="4" t="str">
        <f>HYPERLINK("https://twitter.com/petrogustavo","@petrogustavo")</f>
        <v>@petrogustavo</v>
      </c>
      <c r="C7631" s="5" t="s">
        <v>16</v>
      </c>
      <c r="D7631" s="5" t="s">
        <v>7364</v>
      </c>
      <c r="E7631" s="6" t="str">
        <f>HYPERLINK("https://twitter.com/petrogustavo/status/1282669463641427968","1282669463641427968")</f>
        <v>1282669463641427968</v>
      </c>
      <c r="F7631" s="7" t="s">
        <v>17</v>
      </c>
      <c r="G7631" s="7">
        <v>3906156</v>
      </c>
      <c r="H7631" s="7">
        <v>2419</v>
      </c>
      <c r="I7631" s="7">
        <v>143</v>
      </c>
      <c r="J7631" s="7">
        <v>0</v>
      </c>
      <c r="K7631" s="7" t="s">
        <v>18</v>
      </c>
      <c r="L7631" s="8">
        <v>39987.315405092595</v>
      </c>
      <c r="M7631" s="9" t="s">
        <v>19</v>
      </c>
      <c r="N7631" s="9" t="s">
        <v>20</v>
      </c>
      <c r="O7631" s="6" t="str">
        <f>HYPERLINK("https://pbs.twimg.com/profile_images/962471262747529216/Uo8lOkRJ_normal.jpg","View")</f>
        <v>View</v>
      </c>
      <c r="P7631" s="7"/>
    </row>
    <row r="7632" spans="1:16">
      <c r="A7632" s="3">
        <v>44025.795810185184</v>
      </c>
      <c r="B7632" s="4" t="str">
        <f>HYPERLINK("https://twitter.com/petrogustavo","@petrogustavo")</f>
        <v>@petrogustavo</v>
      </c>
      <c r="C7632" s="5" t="s">
        <v>16</v>
      </c>
      <c r="D7632" s="5" t="s">
        <v>7365</v>
      </c>
      <c r="E7632" s="6" t="str">
        <f>HYPERLINK("https://twitter.com/petrogustavo/status/1282670106296950786","1282670106296950786")</f>
        <v>1282670106296950786</v>
      </c>
      <c r="F7632" s="7" t="s">
        <v>17</v>
      </c>
      <c r="G7632" s="7">
        <v>3906156</v>
      </c>
      <c r="H7632" s="7">
        <v>2419</v>
      </c>
      <c r="I7632" s="7">
        <v>65</v>
      </c>
      <c r="J7632" s="7">
        <v>215</v>
      </c>
      <c r="K7632" s="7" t="s">
        <v>18</v>
      </c>
      <c r="L7632" s="8">
        <v>39987.315405092595</v>
      </c>
      <c r="M7632" s="9" t="s">
        <v>19</v>
      </c>
      <c r="N7632" s="9" t="s">
        <v>20</v>
      </c>
      <c r="O7632" s="6" t="str">
        <f>HYPERLINK("https://pbs.twimg.com/profile_images/962471262747529216/Uo8lOkRJ_normal.jpg","View")</f>
        <v>View</v>
      </c>
      <c r="P7632" s="7"/>
    </row>
    <row r="7633" spans="1:16">
      <c r="A7633" s="3">
        <v>44025.797060185185</v>
      </c>
      <c r="B7633" s="4" t="str">
        <f>HYPERLINK("https://twitter.com/petrogustavo","@petrogustavo")</f>
        <v>@petrogustavo</v>
      </c>
      <c r="C7633" s="5" t="s">
        <v>16</v>
      </c>
      <c r="D7633" s="5" t="s">
        <v>7366</v>
      </c>
      <c r="E7633" s="6" t="str">
        <f>HYPERLINK("https://twitter.com/petrogustavo/status/1282670558660919298","1282670558660919298")</f>
        <v>1282670558660919298</v>
      </c>
      <c r="F7633" s="7" t="s">
        <v>17</v>
      </c>
      <c r="G7633" s="7">
        <v>3906156</v>
      </c>
      <c r="H7633" s="7">
        <v>2419</v>
      </c>
      <c r="I7633" s="7">
        <v>18</v>
      </c>
      <c r="J7633" s="7">
        <v>0</v>
      </c>
      <c r="K7633" s="7" t="s">
        <v>18</v>
      </c>
      <c r="L7633" s="8">
        <v>39987.315405092595</v>
      </c>
      <c r="M7633" s="9" t="s">
        <v>19</v>
      </c>
      <c r="N7633" s="9" t="s">
        <v>20</v>
      </c>
      <c r="O7633" s="6" t="str">
        <f>HYPERLINK("https://pbs.twimg.com/profile_images/962471262747529216/Uo8lOkRJ_normal.jpg","View")</f>
        <v>View</v>
      </c>
      <c r="P7633" s="7"/>
    </row>
    <row r="7634" spans="1:16">
      <c r="A7634" s="3">
        <v>44025.797847222224</v>
      </c>
      <c r="B7634" s="4" t="str">
        <f>HYPERLINK("https://twitter.com/petrogustavo","@petrogustavo")</f>
        <v>@petrogustavo</v>
      </c>
      <c r="C7634" s="5" t="s">
        <v>16</v>
      </c>
      <c r="D7634" s="5" t="s">
        <v>7358</v>
      </c>
      <c r="E7634" s="6" t="str">
        <f>HYPERLINK("https://twitter.com/petrogustavo/status/1282670841977765890","1282670841977765890")</f>
        <v>1282670841977765890</v>
      </c>
      <c r="F7634" s="7" t="s">
        <v>17</v>
      </c>
      <c r="G7634" s="7">
        <v>3906156</v>
      </c>
      <c r="H7634" s="7">
        <v>2419</v>
      </c>
      <c r="I7634" s="7">
        <v>312</v>
      </c>
      <c r="J7634" s="7">
        <v>0</v>
      </c>
      <c r="K7634" s="7" t="s">
        <v>18</v>
      </c>
      <c r="L7634" s="8">
        <v>39987.315405092595</v>
      </c>
      <c r="M7634" s="9" t="s">
        <v>19</v>
      </c>
      <c r="N7634" s="9" t="s">
        <v>20</v>
      </c>
      <c r="O7634" s="6" t="str">
        <f>HYPERLINK("https://pbs.twimg.com/profile_images/962471262747529216/Uo8lOkRJ_normal.jpg","View")</f>
        <v>View</v>
      </c>
      <c r="P7634" s="7"/>
    </row>
    <row r="7635" spans="1:16">
      <c r="A7635" s="3">
        <v>44025.851006944446</v>
      </c>
      <c r="B7635" s="4" t="str">
        <f>HYPERLINK("https://twitter.com/petrogustavo","@petrogustavo")</f>
        <v>@petrogustavo</v>
      </c>
      <c r="C7635" s="5" t="s">
        <v>16</v>
      </c>
      <c r="D7635" s="5" t="s">
        <v>7367</v>
      </c>
      <c r="E7635" s="6" t="str">
        <f>HYPERLINK("https://twitter.com/petrogustavo/status/1282690107200413696","1282690107200413696")</f>
        <v>1282690107200413696</v>
      </c>
      <c r="F7635" s="7" t="s">
        <v>17</v>
      </c>
      <c r="G7635" s="7">
        <v>3906223</v>
      </c>
      <c r="H7635" s="7">
        <v>2419</v>
      </c>
      <c r="I7635" s="7">
        <v>120</v>
      </c>
      <c r="J7635" s="7">
        <v>392</v>
      </c>
      <c r="K7635" s="7" t="s">
        <v>18</v>
      </c>
      <c r="L7635" s="8">
        <v>39987.315405092595</v>
      </c>
      <c r="M7635" s="9" t="s">
        <v>19</v>
      </c>
      <c r="N7635" s="9" t="s">
        <v>20</v>
      </c>
      <c r="O7635" s="6" t="str">
        <f>HYPERLINK("https://pbs.twimg.com/profile_images/962471262747529216/Uo8lOkRJ_normal.jpg","View")</f>
        <v>View</v>
      </c>
      <c r="P7635" s="7"/>
    </row>
    <row r="7636" spans="1:16">
      <c r="A7636" s="3">
        <v>44025.853807870371</v>
      </c>
      <c r="B7636" s="4" t="str">
        <f>HYPERLINK("https://twitter.com/petrogustavo","@petrogustavo")</f>
        <v>@petrogustavo</v>
      </c>
      <c r="C7636" s="5" t="s">
        <v>16</v>
      </c>
      <c r="D7636" s="5" t="s">
        <v>7368</v>
      </c>
      <c r="E7636" s="6" t="str">
        <f>HYPERLINK("https://twitter.com/petrogustavo/status/1282691123350306816","1282691123350306816")</f>
        <v>1282691123350306816</v>
      </c>
      <c r="F7636" s="7" t="s">
        <v>17</v>
      </c>
      <c r="G7636" s="7">
        <v>3906223</v>
      </c>
      <c r="H7636" s="7">
        <v>2419</v>
      </c>
      <c r="I7636" s="7">
        <v>128</v>
      </c>
      <c r="J7636" s="7">
        <v>328</v>
      </c>
      <c r="K7636" s="7" t="s">
        <v>18</v>
      </c>
      <c r="L7636" s="8">
        <v>39987.315405092595</v>
      </c>
      <c r="M7636" s="9" t="s">
        <v>19</v>
      </c>
      <c r="N7636" s="9" t="s">
        <v>20</v>
      </c>
      <c r="O7636" s="6" t="str">
        <f>HYPERLINK("https://pbs.twimg.com/profile_images/962471262747529216/Uo8lOkRJ_normal.jpg","View")</f>
        <v>View</v>
      </c>
      <c r="P7636" s="7"/>
    </row>
    <row r="7637" spans="1:16">
      <c r="A7637" s="3">
        <v>44025.886597222227</v>
      </c>
      <c r="B7637" s="4" t="str">
        <f>HYPERLINK("https://twitter.com/petrogustavo","@petrogustavo")</f>
        <v>@petrogustavo</v>
      </c>
      <c r="C7637" s="5" t="s">
        <v>16</v>
      </c>
      <c r="D7637" s="5" t="s">
        <v>7369</v>
      </c>
      <c r="E7637" s="6" t="str">
        <f>HYPERLINK("https://twitter.com/petrogustavo/status/1282703006614589441","1282703006614589441")</f>
        <v>1282703006614589441</v>
      </c>
      <c r="F7637" s="7" t="s">
        <v>17</v>
      </c>
      <c r="G7637" s="7">
        <v>3906233</v>
      </c>
      <c r="H7637" s="7">
        <v>2419</v>
      </c>
      <c r="I7637" s="7">
        <v>53</v>
      </c>
      <c r="J7637" s="7">
        <v>0</v>
      </c>
      <c r="K7637" s="7" t="s">
        <v>18</v>
      </c>
      <c r="L7637" s="8">
        <v>39987.315405092595</v>
      </c>
      <c r="M7637" s="9" t="s">
        <v>19</v>
      </c>
      <c r="N7637" s="9" t="s">
        <v>20</v>
      </c>
      <c r="O7637" s="6" t="str">
        <f>HYPERLINK("https://pbs.twimg.com/profile_images/962471262747529216/Uo8lOkRJ_normal.jpg","View")</f>
        <v>View</v>
      </c>
      <c r="P7637" s="7"/>
    </row>
    <row r="7638" spans="1:16">
      <c r="A7638" s="3">
        <v>44025.889293981483</v>
      </c>
      <c r="B7638" s="4" t="str">
        <f>HYPERLINK("https://twitter.com/petrogustavo","@petrogustavo")</f>
        <v>@petrogustavo</v>
      </c>
      <c r="C7638" s="5" t="s">
        <v>16</v>
      </c>
      <c r="D7638" s="5" t="s">
        <v>7370</v>
      </c>
      <c r="E7638" s="6" t="str">
        <f>HYPERLINK("https://twitter.com/petrogustavo/status/1282703982356508672","1282703982356508672")</f>
        <v>1282703982356508672</v>
      </c>
      <c r="F7638" s="7" t="s">
        <v>17</v>
      </c>
      <c r="G7638" s="7">
        <v>3906247</v>
      </c>
      <c r="H7638" s="7">
        <v>2419</v>
      </c>
      <c r="I7638" s="7">
        <v>127</v>
      </c>
      <c r="J7638" s="7">
        <v>0</v>
      </c>
      <c r="K7638" s="7" t="s">
        <v>18</v>
      </c>
      <c r="L7638" s="8">
        <v>39987.315405092595</v>
      </c>
      <c r="M7638" s="9" t="s">
        <v>19</v>
      </c>
      <c r="N7638" s="9" t="s">
        <v>20</v>
      </c>
      <c r="O7638" s="6" t="str">
        <f>HYPERLINK("https://pbs.twimg.com/profile_images/962471262747529216/Uo8lOkRJ_normal.jpg","View")</f>
        <v>View</v>
      </c>
      <c r="P7638" s="7"/>
    </row>
    <row r="7639" spans="1:16">
      <c r="A7639" s="3">
        <v>44025.889328703706</v>
      </c>
      <c r="B7639" s="4" t="str">
        <f>HYPERLINK("https://twitter.com/petrogustavo","@petrogustavo")</f>
        <v>@petrogustavo</v>
      </c>
      <c r="C7639" s="5" t="s">
        <v>16</v>
      </c>
      <c r="D7639" s="5" t="s">
        <v>7371</v>
      </c>
      <c r="E7639" s="6" t="str">
        <f>HYPERLINK("https://twitter.com/petrogustavo/status/1282703994859786243","1282703994859786243")</f>
        <v>1282703994859786243</v>
      </c>
      <c r="F7639" s="7" t="s">
        <v>17</v>
      </c>
      <c r="G7639" s="7">
        <v>3906247</v>
      </c>
      <c r="H7639" s="7">
        <v>2419</v>
      </c>
      <c r="I7639" s="7">
        <v>31</v>
      </c>
      <c r="J7639" s="7">
        <v>0</v>
      </c>
      <c r="K7639" s="7" t="s">
        <v>18</v>
      </c>
      <c r="L7639" s="8">
        <v>39987.315405092595</v>
      </c>
      <c r="M7639" s="9" t="s">
        <v>19</v>
      </c>
      <c r="N7639" s="9" t="s">
        <v>20</v>
      </c>
      <c r="O7639" s="6" t="str">
        <f>HYPERLINK("https://pbs.twimg.com/profile_images/962471262747529216/Uo8lOkRJ_normal.jpg","View")</f>
        <v>View</v>
      </c>
      <c r="P7639" s="7"/>
    </row>
    <row r="7640" spans="1:16">
      <c r="A7640" s="3">
        <v>44025.892731481479</v>
      </c>
      <c r="B7640" s="4" t="str">
        <f>HYPERLINK("https://twitter.com/petrogustavo","@petrogustavo")</f>
        <v>@petrogustavo</v>
      </c>
      <c r="C7640" s="5" t="s">
        <v>16</v>
      </c>
      <c r="D7640" s="5" t="s">
        <v>7372</v>
      </c>
      <c r="E7640" s="6" t="str">
        <f>HYPERLINK("https://twitter.com/petrogustavo/status/1282705229486657537","1282705229486657537")</f>
        <v>1282705229486657537</v>
      </c>
      <c r="F7640" s="7" t="s">
        <v>17</v>
      </c>
      <c r="G7640" s="7">
        <v>3906247</v>
      </c>
      <c r="H7640" s="7">
        <v>2419</v>
      </c>
      <c r="I7640" s="7">
        <v>339</v>
      </c>
      <c r="J7640" s="7">
        <v>0</v>
      </c>
      <c r="K7640" s="7" t="s">
        <v>18</v>
      </c>
      <c r="L7640" s="8">
        <v>39987.315405092595</v>
      </c>
      <c r="M7640" s="9" t="s">
        <v>19</v>
      </c>
      <c r="N7640" s="9" t="s">
        <v>20</v>
      </c>
      <c r="O7640" s="6" t="str">
        <f>HYPERLINK("https://pbs.twimg.com/profile_images/962471262747529216/Uo8lOkRJ_normal.jpg","View")</f>
        <v>View</v>
      </c>
      <c r="P7640" s="7"/>
    </row>
    <row r="7641" spans="1:16">
      <c r="A7641" s="3">
        <v>44025.934583333335</v>
      </c>
      <c r="B7641" s="4" t="str">
        <f>HYPERLINK("https://twitter.com/petrogustavo","@petrogustavo")</f>
        <v>@petrogustavo</v>
      </c>
      <c r="C7641" s="5" t="s">
        <v>16</v>
      </c>
      <c r="D7641" s="5" t="s">
        <v>7373</v>
      </c>
      <c r="E7641" s="6" t="str">
        <f>HYPERLINK("https://twitter.com/petrogustavo/status/1282720393254653952","1282720393254653952")</f>
        <v>1282720393254653952</v>
      </c>
      <c r="F7641" s="7" t="s">
        <v>17</v>
      </c>
      <c r="G7641" s="7">
        <v>3906283</v>
      </c>
      <c r="H7641" s="7">
        <v>2419</v>
      </c>
      <c r="I7641" s="7">
        <v>36</v>
      </c>
      <c r="J7641" s="7">
        <v>0</v>
      </c>
      <c r="K7641" s="7" t="s">
        <v>18</v>
      </c>
      <c r="L7641" s="8">
        <v>39987.315405092595</v>
      </c>
      <c r="M7641" s="9" t="s">
        <v>19</v>
      </c>
      <c r="N7641" s="9" t="s">
        <v>20</v>
      </c>
      <c r="O7641" s="6" t="str">
        <f>HYPERLINK("https://pbs.twimg.com/profile_images/962471262747529216/Uo8lOkRJ_normal.jpg","View")</f>
        <v>View</v>
      </c>
      <c r="P7641" s="7"/>
    </row>
    <row r="7642" spans="1:16">
      <c r="A7642" s="3">
        <v>44025.9378587963</v>
      </c>
      <c r="B7642" s="4" t="str">
        <f>HYPERLINK("https://twitter.com/petrogustavo","@petrogustavo")</f>
        <v>@petrogustavo</v>
      </c>
      <c r="C7642" s="5" t="s">
        <v>16</v>
      </c>
      <c r="D7642" s="5" t="s">
        <v>7374</v>
      </c>
      <c r="E7642" s="6" t="str">
        <f>HYPERLINK("https://twitter.com/petrogustavo/status/1282721581408690179","1282721581408690179")</f>
        <v>1282721581408690179</v>
      </c>
      <c r="F7642" s="7" t="s">
        <v>17</v>
      </c>
      <c r="G7642" s="7">
        <v>3906283</v>
      </c>
      <c r="H7642" s="7">
        <v>2419</v>
      </c>
      <c r="I7642" s="7">
        <v>152</v>
      </c>
      <c r="J7642" s="7">
        <v>370</v>
      </c>
      <c r="K7642" s="7" t="s">
        <v>18</v>
      </c>
      <c r="L7642" s="8">
        <v>39987.315405092595</v>
      </c>
      <c r="M7642" s="9" t="s">
        <v>19</v>
      </c>
      <c r="N7642" s="9" t="s">
        <v>20</v>
      </c>
      <c r="O7642" s="6" t="str">
        <f>HYPERLINK("https://pbs.twimg.com/profile_images/962471262747529216/Uo8lOkRJ_normal.jpg","View")</f>
        <v>View</v>
      </c>
      <c r="P7642" s="7"/>
    </row>
    <row r="7643" spans="1:16">
      <c r="A7643" s="3">
        <v>44025.941377314812</v>
      </c>
      <c r="B7643" s="4" t="str">
        <f>HYPERLINK("https://twitter.com/petrogustavo","@petrogustavo")</f>
        <v>@petrogustavo</v>
      </c>
      <c r="C7643" s="5" t="s">
        <v>16</v>
      </c>
      <c r="D7643" s="5" t="s">
        <v>7375</v>
      </c>
      <c r="E7643" s="6" t="str">
        <f>HYPERLINK("https://twitter.com/petrogustavo/status/1282722855348772869","1282722855348772869")</f>
        <v>1282722855348772869</v>
      </c>
      <c r="F7643" s="7" t="s">
        <v>17</v>
      </c>
      <c r="G7643" s="7">
        <v>3906283</v>
      </c>
      <c r="H7643" s="7">
        <v>2419</v>
      </c>
      <c r="I7643" s="7">
        <v>65</v>
      </c>
      <c r="J7643" s="7">
        <v>171</v>
      </c>
      <c r="K7643" s="7" t="s">
        <v>18</v>
      </c>
      <c r="L7643" s="8">
        <v>39987.315405092595</v>
      </c>
      <c r="M7643" s="9" t="s">
        <v>19</v>
      </c>
      <c r="N7643" s="9" t="s">
        <v>20</v>
      </c>
      <c r="O7643" s="6" t="str">
        <f>HYPERLINK("https://pbs.twimg.com/profile_images/962471262747529216/Uo8lOkRJ_normal.jpg","View")</f>
        <v>View</v>
      </c>
      <c r="P7643" s="7"/>
    </row>
    <row r="7644" spans="1:16">
      <c r="A7644" s="3">
        <v>44025.955601851849</v>
      </c>
      <c r="B7644" s="4" t="str">
        <f>HYPERLINK("https://twitter.com/petrogustavo","@petrogustavo")</f>
        <v>@petrogustavo</v>
      </c>
      <c r="C7644" s="5" t="s">
        <v>16</v>
      </c>
      <c r="D7644" s="5" t="s">
        <v>7376</v>
      </c>
      <c r="E7644" s="6" t="str">
        <f>HYPERLINK("https://twitter.com/petrogustavo/status/1282728009397604355","1282728009397604355")</f>
        <v>1282728009397604355</v>
      </c>
      <c r="F7644" s="7" t="s">
        <v>17</v>
      </c>
      <c r="G7644" s="7">
        <v>3906305</v>
      </c>
      <c r="H7644" s="7">
        <v>2419</v>
      </c>
      <c r="I7644" s="7">
        <v>115</v>
      </c>
      <c r="J7644" s="7">
        <v>291</v>
      </c>
      <c r="K7644" s="7" t="s">
        <v>18</v>
      </c>
      <c r="L7644" s="8">
        <v>39987.315405092595</v>
      </c>
      <c r="M7644" s="9" t="s">
        <v>19</v>
      </c>
      <c r="N7644" s="9" t="s">
        <v>20</v>
      </c>
      <c r="O7644" s="6" t="str">
        <f>HYPERLINK("https://pbs.twimg.com/profile_images/962471262747529216/Uo8lOkRJ_normal.jpg","View")</f>
        <v>View</v>
      </c>
      <c r="P7644" s="7"/>
    </row>
    <row r="7645" spans="1:16">
      <c r="A7645" s="3">
        <v>44025.958703703705</v>
      </c>
      <c r="B7645" s="4" t="str">
        <f>HYPERLINK("https://twitter.com/petrogustavo","@petrogustavo")</f>
        <v>@petrogustavo</v>
      </c>
      <c r="C7645" s="5" t="s">
        <v>16</v>
      </c>
      <c r="D7645" s="5" t="s">
        <v>7377</v>
      </c>
      <c r="E7645" s="6" t="str">
        <f>HYPERLINK("https://twitter.com/petrogustavo/status/1282729135291412480","1282729135291412480")</f>
        <v>1282729135291412480</v>
      </c>
      <c r="F7645" s="7" t="s">
        <v>17</v>
      </c>
      <c r="G7645" s="7">
        <v>3906305</v>
      </c>
      <c r="H7645" s="7">
        <v>2419</v>
      </c>
      <c r="I7645" s="7">
        <v>264</v>
      </c>
      <c r="J7645" s="7">
        <v>0</v>
      </c>
      <c r="K7645" s="7" t="s">
        <v>18</v>
      </c>
      <c r="L7645" s="8">
        <v>39987.315405092595</v>
      </c>
      <c r="M7645" s="9" t="s">
        <v>19</v>
      </c>
      <c r="N7645" s="9" t="s">
        <v>20</v>
      </c>
      <c r="O7645" s="6" t="str">
        <f>HYPERLINK("https://pbs.twimg.com/profile_images/962471262747529216/Uo8lOkRJ_normal.jpg","View")</f>
        <v>View</v>
      </c>
      <c r="P7645" s="7"/>
    </row>
    <row r="7646" spans="1:16">
      <c r="A7646" s="3">
        <v>44026.139155092591</v>
      </c>
      <c r="B7646" s="4" t="str">
        <f>HYPERLINK("https://twitter.com/petrogustavo","@petrogustavo")</f>
        <v>@petrogustavo</v>
      </c>
      <c r="C7646" s="5" t="s">
        <v>16</v>
      </c>
      <c r="D7646" s="5" t="s">
        <v>7378</v>
      </c>
      <c r="E7646" s="6" t="str">
        <f>HYPERLINK("https://twitter.com/petrogustavo/status/1282794527221260288","1282794527221260288")</f>
        <v>1282794527221260288</v>
      </c>
      <c r="F7646" s="7" t="s">
        <v>17</v>
      </c>
      <c r="G7646" s="7">
        <v>3906498</v>
      </c>
      <c r="H7646" s="7">
        <v>2419</v>
      </c>
      <c r="I7646" s="7">
        <v>28</v>
      </c>
      <c r="J7646" s="7">
        <v>0</v>
      </c>
      <c r="K7646" s="7" t="s">
        <v>18</v>
      </c>
      <c r="L7646" s="8">
        <v>39987.315405092595</v>
      </c>
      <c r="M7646" s="9" t="s">
        <v>19</v>
      </c>
      <c r="N7646" s="9" t="s">
        <v>20</v>
      </c>
      <c r="O7646" s="6" t="str">
        <f>HYPERLINK("https://pbs.twimg.com/profile_images/962471262747529216/Uo8lOkRJ_normal.jpg","View")</f>
        <v>View</v>
      </c>
      <c r="P7646" s="7"/>
    </row>
    <row r="7647" spans="1:16">
      <c r="A7647" s="3">
        <v>44026.144513888888</v>
      </c>
      <c r="B7647" s="4" t="str">
        <f>HYPERLINK("https://twitter.com/petrogustavo","@petrogustavo")</f>
        <v>@petrogustavo</v>
      </c>
      <c r="C7647" s="5" t="s">
        <v>16</v>
      </c>
      <c r="D7647" s="5" t="s">
        <v>7379</v>
      </c>
      <c r="E7647" s="6" t="str">
        <f>HYPERLINK("https://twitter.com/petrogustavo/status/1282796472245911555","1282796472245911555")</f>
        <v>1282796472245911555</v>
      </c>
      <c r="F7647" s="7" t="s">
        <v>17</v>
      </c>
      <c r="G7647" s="7">
        <v>3906498</v>
      </c>
      <c r="H7647" s="7">
        <v>2419</v>
      </c>
      <c r="I7647" s="7">
        <v>848</v>
      </c>
      <c r="J7647" s="7">
        <v>0</v>
      </c>
      <c r="K7647" s="7" t="s">
        <v>18</v>
      </c>
      <c r="L7647" s="8">
        <v>39987.315405092595</v>
      </c>
      <c r="M7647" s="9" t="s">
        <v>19</v>
      </c>
      <c r="N7647" s="9" t="s">
        <v>20</v>
      </c>
      <c r="O7647" s="6" t="str">
        <f>HYPERLINK("https://pbs.twimg.com/profile_images/962471262747529216/Uo8lOkRJ_normal.jpg","View")</f>
        <v>View</v>
      </c>
      <c r="P7647" s="7"/>
    </row>
    <row r="7648" spans="1:16">
      <c r="A7648" s="3">
        <v>44026.145925925928</v>
      </c>
      <c r="B7648" s="4" t="str">
        <f>HYPERLINK("https://twitter.com/petrogustavo","@petrogustavo")</f>
        <v>@petrogustavo</v>
      </c>
      <c r="C7648" s="5" t="s">
        <v>16</v>
      </c>
      <c r="D7648" s="5" t="s">
        <v>7380</v>
      </c>
      <c r="E7648" s="6" t="str">
        <f>HYPERLINK("https://twitter.com/petrogustavo/status/1282796983976157190","1282796983976157190")</f>
        <v>1282796983976157190</v>
      </c>
      <c r="F7648" s="7" t="s">
        <v>17</v>
      </c>
      <c r="G7648" s="7">
        <v>3906498</v>
      </c>
      <c r="H7648" s="7">
        <v>2419</v>
      </c>
      <c r="I7648" s="7">
        <v>128</v>
      </c>
      <c r="J7648" s="7">
        <v>0</v>
      </c>
      <c r="K7648" s="7" t="s">
        <v>18</v>
      </c>
      <c r="L7648" s="8">
        <v>39987.315405092595</v>
      </c>
      <c r="M7648" s="9" t="s">
        <v>19</v>
      </c>
      <c r="N7648" s="9" t="s">
        <v>20</v>
      </c>
      <c r="O7648" s="6" t="str">
        <f>HYPERLINK("https://pbs.twimg.com/profile_images/962471262747529216/Uo8lOkRJ_normal.jpg","View")</f>
        <v>View</v>
      </c>
      <c r="P7648" s="7"/>
    </row>
    <row r="7649" spans="1:16">
      <c r="A7649" s="3">
        <v>44026.200949074075</v>
      </c>
      <c r="B7649" s="4" t="str">
        <f>HYPERLINK("https://twitter.com/petrogustavo","@petrogustavo")</f>
        <v>@petrogustavo</v>
      </c>
      <c r="C7649" s="5" t="s">
        <v>16</v>
      </c>
      <c r="D7649" s="5" t="s">
        <v>7381</v>
      </c>
      <c r="E7649" s="6" t="str">
        <f>HYPERLINK("https://twitter.com/petrogustavo/status/1282816920262193152","1282816920262193152")</f>
        <v>1282816920262193152</v>
      </c>
      <c r="F7649" s="7" t="s">
        <v>17</v>
      </c>
      <c r="G7649" s="7">
        <v>3906563</v>
      </c>
      <c r="H7649" s="7">
        <v>2419</v>
      </c>
      <c r="I7649" s="7">
        <v>62</v>
      </c>
      <c r="J7649" s="7">
        <v>0</v>
      </c>
      <c r="K7649" s="7" t="s">
        <v>18</v>
      </c>
      <c r="L7649" s="8">
        <v>39987.315405092595</v>
      </c>
      <c r="M7649" s="9" t="s">
        <v>19</v>
      </c>
      <c r="N7649" s="9" t="s">
        <v>20</v>
      </c>
      <c r="O7649" s="6" t="str">
        <f>HYPERLINK("https://pbs.twimg.com/profile_images/962471262747529216/Uo8lOkRJ_normal.jpg","View")</f>
        <v>View</v>
      </c>
      <c r="P7649" s="7"/>
    </row>
    <row r="7650" spans="1:16">
      <c r="A7650" s="3">
        <v>44026.201053240744</v>
      </c>
      <c r="B7650" s="4" t="str">
        <f>HYPERLINK("https://twitter.com/petrogustavo","@petrogustavo")</f>
        <v>@petrogustavo</v>
      </c>
      <c r="C7650" s="5" t="s">
        <v>16</v>
      </c>
      <c r="D7650" s="5" t="s">
        <v>7382</v>
      </c>
      <c r="E7650" s="6" t="str">
        <f>HYPERLINK("https://twitter.com/petrogustavo/status/1282816960624025600","1282816960624025600")</f>
        <v>1282816960624025600</v>
      </c>
      <c r="F7650" s="7" t="s">
        <v>17</v>
      </c>
      <c r="G7650" s="7">
        <v>3906563</v>
      </c>
      <c r="H7650" s="7">
        <v>2419</v>
      </c>
      <c r="I7650" s="7">
        <v>274</v>
      </c>
      <c r="J7650" s="7">
        <v>0</v>
      </c>
      <c r="K7650" s="7" t="s">
        <v>18</v>
      </c>
      <c r="L7650" s="8">
        <v>39987.315405092595</v>
      </c>
      <c r="M7650" s="9" t="s">
        <v>19</v>
      </c>
      <c r="N7650" s="9" t="s">
        <v>20</v>
      </c>
      <c r="O7650" s="6" t="str">
        <f>HYPERLINK("https://pbs.twimg.com/profile_images/962471262747529216/Uo8lOkRJ_normal.jpg","View")</f>
        <v>View</v>
      </c>
      <c r="P7650" s="7"/>
    </row>
    <row r="7651" spans="1:16">
      <c r="A7651" s="3">
        <v>44026.201643518521</v>
      </c>
      <c r="B7651" s="4" t="str">
        <f>HYPERLINK("https://twitter.com/petrogustavo","@petrogustavo")</f>
        <v>@petrogustavo</v>
      </c>
      <c r="C7651" s="5" t="s">
        <v>16</v>
      </c>
      <c r="D7651" s="5" t="s">
        <v>7383</v>
      </c>
      <c r="E7651" s="6" t="str">
        <f>HYPERLINK("https://twitter.com/petrogustavo/status/1282817175754018819","1282817175754018819")</f>
        <v>1282817175754018819</v>
      </c>
      <c r="F7651" s="7" t="s">
        <v>17</v>
      </c>
      <c r="G7651" s="7">
        <v>3906563</v>
      </c>
      <c r="H7651" s="7">
        <v>2419</v>
      </c>
      <c r="I7651" s="7">
        <v>45</v>
      </c>
      <c r="J7651" s="7">
        <v>0</v>
      </c>
      <c r="K7651" s="7" t="s">
        <v>18</v>
      </c>
      <c r="L7651" s="8">
        <v>39987.315405092595</v>
      </c>
      <c r="M7651" s="9" t="s">
        <v>19</v>
      </c>
      <c r="N7651" s="9" t="s">
        <v>20</v>
      </c>
      <c r="O7651" s="6" t="str">
        <f>HYPERLINK("https://pbs.twimg.com/profile_images/962471262747529216/Uo8lOkRJ_normal.jpg","View")</f>
        <v>View</v>
      </c>
      <c r="P7651" s="7"/>
    </row>
    <row r="7652" spans="1:16">
      <c r="A7652" s="3">
        <v>44026.238668981481</v>
      </c>
      <c r="B7652" s="4" t="str">
        <f>HYPERLINK("https://twitter.com/petrogustavo","@petrogustavo")</f>
        <v>@petrogustavo</v>
      </c>
      <c r="C7652" s="5" t="s">
        <v>16</v>
      </c>
      <c r="D7652" s="5" t="s">
        <v>7384</v>
      </c>
      <c r="E7652" s="6" t="str">
        <f>HYPERLINK("https://twitter.com/petrogustavo/status/1282830592107851776","1282830592107851776")</f>
        <v>1282830592107851776</v>
      </c>
      <c r="F7652" s="7" t="s">
        <v>17</v>
      </c>
      <c r="G7652" s="7">
        <v>3906549</v>
      </c>
      <c r="H7652" s="7">
        <v>2419</v>
      </c>
      <c r="I7652" s="7">
        <v>39</v>
      </c>
      <c r="J7652" s="7">
        <v>101</v>
      </c>
      <c r="K7652" s="7" t="s">
        <v>18</v>
      </c>
      <c r="L7652" s="8">
        <v>39987.315405092595</v>
      </c>
      <c r="M7652" s="9" t="s">
        <v>19</v>
      </c>
      <c r="N7652" s="9" t="s">
        <v>20</v>
      </c>
      <c r="O7652" s="6" t="str">
        <f>HYPERLINK("https://pbs.twimg.com/profile_images/962471262747529216/Uo8lOkRJ_normal.jpg","View")</f>
        <v>View</v>
      </c>
      <c r="P7652" s="7"/>
    </row>
    <row r="7653" spans="1:16">
      <c r="A7653" s="3">
        <v>44026.765034722222</v>
      </c>
      <c r="B7653" s="4" t="str">
        <f>HYPERLINK("https://twitter.com/petrogustavo","@petrogustavo")</f>
        <v>@petrogustavo</v>
      </c>
      <c r="C7653" s="5" t="s">
        <v>16</v>
      </c>
      <c r="D7653" s="5" t="s">
        <v>7385</v>
      </c>
      <c r="E7653" s="6" t="str">
        <f>HYPERLINK("https://twitter.com/petrogustavo/status/1283021341273329665","1283021341273329665")</f>
        <v>1283021341273329665</v>
      </c>
      <c r="F7653" s="7" t="s">
        <v>32</v>
      </c>
      <c r="G7653" s="7">
        <v>3906794</v>
      </c>
      <c r="H7653" s="7">
        <v>2419</v>
      </c>
      <c r="I7653" s="7">
        <v>27</v>
      </c>
      <c r="J7653" s="7">
        <v>0</v>
      </c>
      <c r="K7653" s="7" t="s">
        <v>18</v>
      </c>
      <c r="L7653" s="8">
        <v>39987.315405092595</v>
      </c>
      <c r="M7653" s="9" t="s">
        <v>19</v>
      </c>
      <c r="N7653" s="9" t="s">
        <v>20</v>
      </c>
      <c r="O7653" s="6" t="str">
        <f>HYPERLINK("https://pbs.twimg.com/profile_images/962471262747529216/Uo8lOkRJ_normal.jpg","View")</f>
        <v>View</v>
      </c>
      <c r="P7653" s="7"/>
    </row>
    <row r="7654" spans="1:16">
      <c r="A7654" s="3">
        <v>44026.765162037038</v>
      </c>
      <c r="B7654" s="4" t="str">
        <f>HYPERLINK("https://twitter.com/petrogustavo","@petrogustavo")</f>
        <v>@petrogustavo</v>
      </c>
      <c r="C7654" s="5" t="s">
        <v>16</v>
      </c>
      <c r="D7654" s="5" t="s">
        <v>7386</v>
      </c>
      <c r="E7654" s="6" t="str">
        <f>HYPERLINK("https://twitter.com/petrogustavo/status/1283021384826880002","1283021384826880002")</f>
        <v>1283021384826880002</v>
      </c>
      <c r="F7654" s="7" t="s">
        <v>32</v>
      </c>
      <c r="G7654" s="7">
        <v>3906794</v>
      </c>
      <c r="H7654" s="7">
        <v>2419</v>
      </c>
      <c r="I7654" s="7">
        <v>69</v>
      </c>
      <c r="J7654" s="7">
        <v>0</v>
      </c>
      <c r="K7654" s="7" t="s">
        <v>18</v>
      </c>
      <c r="L7654" s="8">
        <v>39987.315405092595</v>
      </c>
      <c r="M7654" s="9" t="s">
        <v>19</v>
      </c>
      <c r="N7654" s="9" t="s">
        <v>20</v>
      </c>
      <c r="O7654" s="6" t="str">
        <f>HYPERLINK("https://pbs.twimg.com/profile_images/962471262747529216/Uo8lOkRJ_normal.jpg","View")</f>
        <v>View</v>
      </c>
      <c r="P7654" s="7"/>
    </row>
    <row r="7655" spans="1:16">
      <c r="A7655" s="3">
        <v>44026.783379629633</v>
      </c>
      <c r="B7655" s="4" t="str">
        <f>HYPERLINK("https://twitter.com/petrogustavo","@petrogustavo")</f>
        <v>@petrogustavo</v>
      </c>
      <c r="C7655" s="5" t="s">
        <v>16</v>
      </c>
      <c r="D7655" s="5" t="s">
        <v>7387</v>
      </c>
      <c r="E7655" s="6" t="str">
        <f>HYPERLINK("https://twitter.com/petrogustavo/status/1283027986514673665","1283027986514673665")</f>
        <v>1283027986514673665</v>
      </c>
      <c r="F7655" s="7" t="s">
        <v>32</v>
      </c>
      <c r="G7655" s="7">
        <v>3906794</v>
      </c>
      <c r="H7655" s="7">
        <v>2419</v>
      </c>
      <c r="I7655" s="7">
        <v>0</v>
      </c>
      <c r="J7655" s="7">
        <v>0</v>
      </c>
      <c r="K7655" s="7" t="s">
        <v>18</v>
      </c>
      <c r="L7655" s="8">
        <v>39987.315405092595</v>
      </c>
      <c r="M7655" s="9" t="s">
        <v>19</v>
      </c>
      <c r="N7655" s="9" t="s">
        <v>20</v>
      </c>
      <c r="O7655" s="6" t="str">
        <f>HYPERLINK("https://pbs.twimg.com/profile_images/962471262747529216/Uo8lOkRJ_normal.jpg","View")</f>
        <v>View</v>
      </c>
      <c r="P7655" s="7"/>
    </row>
    <row r="7656" spans="1:16">
      <c r="A7656" s="3">
        <v>44026.813414351855</v>
      </c>
      <c r="B7656" s="4" t="str">
        <f>HYPERLINK("https://twitter.com/petrogustavo","@petrogustavo")</f>
        <v>@petrogustavo</v>
      </c>
      <c r="C7656" s="5" t="s">
        <v>16</v>
      </c>
      <c r="D7656" s="5" t="s">
        <v>7388</v>
      </c>
      <c r="E7656" s="6" t="str">
        <f>HYPERLINK("https://twitter.com/petrogustavo/status/1283038872222543878","1283038872222543878")</f>
        <v>1283038872222543878</v>
      </c>
      <c r="F7656" s="7" t="s">
        <v>32</v>
      </c>
      <c r="G7656" s="7">
        <v>3906837</v>
      </c>
      <c r="H7656" s="7">
        <v>2419</v>
      </c>
      <c r="I7656" s="7">
        <v>157</v>
      </c>
      <c r="J7656" s="7">
        <v>445</v>
      </c>
      <c r="K7656" s="7" t="s">
        <v>18</v>
      </c>
      <c r="L7656" s="8">
        <v>39987.315405092595</v>
      </c>
      <c r="M7656" s="9" t="s">
        <v>19</v>
      </c>
      <c r="N7656" s="9" t="s">
        <v>20</v>
      </c>
      <c r="O7656" s="6" t="str">
        <f>HYPERLINK("https://pbs.twimg.com/profile_images/962471262747529216/Uo8lOkRJ_normal.jpg","View")</f>
        <v>View</v>
      </c>
      <c r="P7656" s="7"/>
    </row>
    <row r="7657" spans="1:16">
      <c r="A7657" s="3">
        <v>44026.813576388886</v>
      </c>
      <c r="B7657" s="4" t="str">
        <f>HYPERLINK("https://twitter.com/petrogustavo","@petrogustavo")</f>
        <v>@petrogustavo</v>
      </c>
      <c r="C7657" s="5" t="s">
        <v>16</v>
      </c>
      <c r="D7657" s="5" t="s">
        <v>7389</v>
      </c>
      <c r="E7657" s="6" t="str">
        <f>HYPERLINK("https://twitter.com/petrogustavo/status/1283038929252503557","1283038929252503557")</f>
        <v>1283038929252503557</v>
      </c>
      <c r="F7657" s="7" t="s">
        <v>32</v>
      </c>
      <c r="G7657" s="7">
        <v>3906837</v>
      </c>
      <c r="H7657" s="7">
        <v>2419</v>
      </c>
      <c r="I7657" s="7">
        <v>284</v>
      </c>
      <c r="J7657" s="7">
        <v>0</v>
      </c>
      <c r="K7657" s="7" t="s">
        <v>18</v>
      </c>
      <c r="L7657" s="8">
        <v>39987.315405092595</v>
      </c>
      <c r="M7657" s="9" t="s">
        <v>19</v>
      </c>
      <c r="N7657" s="9" t="s">
        <v>20</v>
      </c>
      <c r="O7657" s="6" t="str">
        <f>HYPERLINK("https://pbs.twimg.com/profile_images/962471262747529216/Uo8lOkRJ_normal.jpg","View")</f>
        <v>View</v>
      </c>
      <c r="P7657" s="7"/>
    </row>
    <row r="7658" spans="1:16">
      <c r="A7658" s="3">
        <v>44026.855671296296</v>
      </c>
      <c r="B7658" s="4" t="str">
        <f>HYPERLINK("https://twitter.com/petrogustavo","@petrogustavo")</f>
        <v>@petrogustavo</v>
      </c>
      <c r="C7658" s="5" t="s">
        <v>16</v>
      </c>
      <c r="D7658" s="5" t="s">
        <v>7390</v>
      </c>
      <c r="E7658" s="6" t="str">
        <f>HYPERLINK("https://twitter.com/petrogustavo/status/1283054184217092103","1283054184217092103")</f>
        <v>1283054184217092103</v>
      </c>
      <c r="F7658" s="7" t="s">
        <v>17</v>
      </c>
      <c r="G7658" s="7">
        <v>3906874</v>
      </c>
      <c r="H7658" s="7">
        <v>2419</v>
      </c>
      <c r="I7658" s="7">
        <v>150</v>
      </c>
      <c r="J7658" s="7">
        <v>295</v>
      </c>
      <c r="K7658" s="7" t="s">
        <v>18</v>
      </c>
      <c r="L7658" s="8">
        <v>39987.315405092595</v>
      </c>
      <c r="M7658" s="9" t="s">
        <v>19</v>
      </c>
      <c r="N7658" s="9" t="s">
        <v>20</v>
      </c>
      <c r="O7658" s="6" t="str">
        <f>HYPERLINK("https://pbs.twimg.com/profile_images/962471262747529216/Uo8lOkRJ_normal.jpg","View")</f>
        <v>View</v>
      </c>
      <c r="P7658" s="7"/>
    </row>
    <row r="7659" spans="1:16">
      <c r="A7659" s="3">
        <v>44026.858124999999</v>
      </c>
      <c r="B7659" s="4" t="str">
        <f>HYPERLINK("https://twitter.com/petrogustavo","@petrogustavo")</f>
        <v>@petrogustavo</v>
      </c>
      <c r="C7659" s="5" t="s">
        <v>16</v>
      </c>
      <c r="D7659" s="5" t="s">
        <v>7391</v>
      </c>
      <c r="E7659" s="6" t="str">
        <f>HYPERLINK("https://twitter.com/petrogustavo/status/1283055075867361287","1283055075867361287")</f>
        <v>1283055075867361287</v>
      </c>
      <c r="F7659" s="7" t="s">
        <v>17</v>
      </c>
      <c r="G7659" s="7">
        <v>3906874</v>
      </c>
      <c r="H7659" s="7">
        <v>2419</v>
      </c>
      <c r="I7659" s="7">
        <v>54</v>
      </c>
      <c r="J7659" s="7">
        <v>133</v>
      </c>
      <c r="K7659" s="7" t="s">
        <v>18</v>
      </c>
      <c r="L7659" s="8">
        <v>39987.315405092595</v>
      </c>
      <c r="M7659" s="9" t="s">
        <v>19</v>
      </c>
      <c r="N7659" s="9" t="s">
        <v>20</v>
      </c>
      <c r="O7659" s="6" t="str">
        <f>HYPERLINK("https://pbs.twimg.com/profile_images/962471262747529216/Uo8lOkRJ_normal.jpg","View")</f>
        <v>View</v>
      </c>
      <c r="P7659" s="7"/>
    </row>
    <row r="7660" spans="1:16">
      <c r="A7660" s="3">
        <v>44026.873310185183</v>
      </c>
      <c r="B7660" s="4" t="str">
        <f>HYPERLINK("https://twitter.com/petrogustavo","@petrogustavo")</f>
        <v>@petrogustavo</v>
      </c>
      <c r="C7660" s="5" t="s">
        <v>16</v>
      </c>
      <c r="D7660" s="5" t="s">
        <v>7392</v>
      </c>
      <c r="E7660" s="6" t="str">
        <f>HYPERLINK("https://twitter.com/petrogustavo/status/1283060579108872192","1283060579108872192")</f>
        <v>1283060579108872192</v>
      </c>
      <c r="F7660" s="7" t="s">
        <v>32</v>
      </c>
      <c r="G7660" s="7">
        <v>3906891</v>
      </c>
      <c r="H7660" s="7">
        <v>2419</v>
      </c>
      <c r="I7660" s="7">
        <v>97</v>
      </c>
      <c r="J7660" s="7">
        <v>276</v>
      </c>
      <c r="K7660" s="7" t="s">
        <v>18</v>
      </c>
      <c r="L7660" s="8">
        <v>39987.315405092595</v>
      </c>
      <c r="M7660" s="9" t="s">
        <v>19</v>
      </c>
      <c r="N7660" s="9" t="s">
        <v>20</v>
      </c>
      <c r="O7660" s="6" t="str">
        <f>HYPERLINK("https://pbs.twimg.com/profile_images/962471262747529216/Uo8lOkRJ_normal.jpg","View")</f>
        <v>View</v>
      </c>
      <c r="P7660" s="7"/>
    </row>
    <row r="7661" spans="1:16">
      <c r="A7661" s="3">
        <v>44026.874201388884</v>
      </c>
      <c r="B7661" s="4" t="str">
        <f>HYPERLINK("https://twitter.com/petrogustavo","@petrogustavo")</f>
        <v>@petrogustavo</v>
      </c>
      <c r="C7661" s="5" t="s">
        <v>16</v>
      </c>
      <c r="D7661" s="5" t="s">
        <v>7393</v>
      </c>
      <c r="E7661" s="6" t="str">
        <f>HYPERLINK("https://twitter.com/petrogustavo/status/1283060899897647104","1283060899897647104")</f>
        <v>1283060899897647104</v>
      </c>
      <c r="F7661" s="7" t="s">
        <v>32</v>
      </c>
      <c r="G7661" s="7">
        <v>3906891</v>
      </c>
      <c r="H7661" s="7">
        <v>2419</v>
      </c>
      <c r="I7661" s="7">
        <v>321</v>
      </c>
      <c r="J7661" s="7">
        <v>0</v>
      </c>
      <c r="K7661" s="7" t="s">
        <v>18</v>
      </c>
      <c r="L7661" s="8">
        <v>39987.315405092595</v>
      </c>
      <c r="M7661" s="9" t="s">
        <v>19</v>
      </c>
      <c r="N7661" s="9" t="s">
        <v>20</v>
      </c>
      <c r="O7661" s="6" t="str">
        <f>HYPERLINK("https://pbs.twimg.com/profile_images/962471262747529216/Uo8lOkRJ_normal.jpg","View")</f>
        <v>View</v>
      </c>
      <c r="P7661" s="7"/>
    </row>
    <row r="7662" spans="1:16">
      <c r="A7662" s="3">
        <v>44026.87945601852</v>
      </c>
      <c r="B7662" s="4" t="str">
        <f>HYPERLINK("https://twitter.com/petrogustavo","@petrogustavo")</f>
        <v>@petrogustavo</v>
      </c>
      <c r="C7662" s="5" t="s">
        <v>16</v>
      </c>
      <c r="D7662" s="5" t="s">
        <v>7394</v>
      </c>
      <c r="E7662" s="6" t="str">
        <f>HYPERLINK("https://twitter.com/petrogustavo/status/1283062803063070720","1283062803063070720")</f>
        <v>1283062803063070720</v>
      </c>
      <c r="F7662" s="7" t="s">
        <v>32</v>
      </c>
      <c r="G7662" s="7">
        <v>3906891</v>
      </c>
      <c r="H7662" s="7">
        <v>2419</v>
      </c>
      <c r="I7662" s="7">
        <v>88</v>
      </c>
      <c r="J7662" s="7">
        <v>0</v>
      </c>
      <c r="K7662" s="7" t="s">
        <v>18</v>
      </c>
      <c r="L7662" s="8">
        <v>39987.315405092595</v>
      </c>
      <c r="M7662" s="9" t="s">
        <v>19</v>
      </c>
      <c r="N7662" s="9" t="s">
        <v>20</v>
      </c>
      <c r="O7662" s="6" t="str">
        <f>HYPERLINK("https://pbs.twimg.com/profile_images/962471262747529216/Uo8lOkRJ_normal.jpg","View")</f>
        <v>View</v>
      </c>
      <c r="P7662" s="7"/>
    </row>
    <row r="7663" spans="1:16">
      <c r="A7663" s="3">
        <v>44026.92186342593</v>
      </c>
      <c r="B7663" s="4" t="str">
        <f>HYPERLINK("https://twitter.com/petrogustavo","@petrogustavo")</f>
        <v>@petrogustavo</v>
      </c>
      <c r="C7663" s="5" t="s">
        <v>16</v>
      </c>
      <c r="D7663" s="5" t="s">
        <v>7395</v>
      </c>
      <c r="E7663" s="6" t="str">
        <f>HYPERLINK("https://twitter.com/petrogustavo/status/1283078172007968770","1283078172007968770")</f>
        <v>1283078172007968770</v>
      </c>
      <c r="F7663" s="7" t="s">
        <v>17</v>
      </c>
      <c r="G7663" s="7">
        <v>3906924</v>
      </c>
      <c r="H7663" s="7">
        <v>2419</v>
      </c>
      <c r="I7663" s="7">
        <v>19</v>
      </c>
      <c r="J7663" s="7">
        <v>64</v>
      </c>
      <c r="K7663" s="7" t="s">
        <v>18</v>
      </c>
      <c r="L7663" s="8">
        <v>39987.315405092595</v>
      </c>
      <c r="M7663" s="9" t="s">
        <v>19</v>
      </c>
      <c r="N7663" s="9" t="s">
        <v>20</v>
      </c>
      <c r="O7663" s="6" t="str">
        <f>HYPERLINK("https://pbs.twimg.com/profile_images/962471262747529216/Uo8lOkRJ_normal.jpg","View")</f>
        <v>View</v>
      </c>
      <c r="P7663" s="7"/>
    </row>
    <row r="7664" spans="1:16">
      <c r="A7664" s="3">
        <v>44026.923321759255</v>
      </c>
      <c r="B7664" s="4" t="str">
        <f>HYPERLINK("https://twitter.com/petrogustavo","@petrogustavo")</f>
        <v>@petrogustavo</v>
      </c>
      <c r="C7664" s="5" t="s">
        <v>16</v>
      </c>
      <c r="D7664" s="5" t="s">
        <v>7396</v>
      </c>
      <c r="E7664" s="6" t="str">
        <f>HYPERLINK("https://twitter.com/petrogustavo/status/1283078703258492928","1283078703258492928")</f>
        <v>1283078703258492928</v>
      </c>
      <c r="F7664" s="7" t="s">
        <v>17</v>
      </c>
      <c r="G7664" s="7">
        <v>3906924</v>
      </c>
      <c r="H7664" s="7">
        <v>2419</v>
      </c>
      <c r="I7664" s="7">
        <v>19</v>
      </c>
      <c r="J7664" s="7">
        <v>60</v>
      </c>
      <c r="K7664" s="7" t="s">
        <v>18</v>
      </c>
      <c r="L7664" s="8">
        <v>39987.315405092595</v>
      </c>
      <c r="M7664" s="9" t="s">
        <v>19</v>
      </c>
      <c r="N7664" s="9" t="s">
        <v>20</v>
      </c>
      <c r="O7664" s="6" t="str">
        <f>HYPERLINK("https://pbs.twimg.com/profile_images/962471262747529216/Uo8lOkRJ_normal.jpg","View")</f>
        <v>View</v>
      </c>
      <c r="P7664" s="7"/>
    </row>
    <row r="7665" spans="1:16">
      <c r="A7665" s="3">
        <v>44026.92392361111</v>
      </c>
      <c r="B7665" s="4" t="str">
        <f>HYPERLINK("https://twitter.com/petrogustavo","@petrogustavo")</f>
        <v>@petrogustavo</v>
      </c>
      <c r="C7665" s="5" t="s">
        <v>16</v>
      </c>
      <c r="D7665" s="5" t="s">
        <v>7397</v>
      </c>
      <c r="E7665" s="6" t="str">
        <f>HYPERLINK("https://twitter.com/petrogustavo/status/1283078917369335820","1283078917369335820")</f>
        <v>1283078917369335820</v>
      </c>
      <c r="F7665" s="7" t="s">
        <v>17</v>
      </c>
      <c r="G7665" s="7">
        <v>3906924</v>
      </c>
      <c r="H7665" s="7">
        <v>2419</v>
      </c>
      <c r="I7665" s="7">
        <v>23</v>
      </c>
      <c r="J7665" s="7">
        <v>55</v>
      </c>
      <c r="K7665" s="7" t="s">
        <v>18</v>
      </c>
      <c r="L7665" s="8">
        <v>39987.315405092595</v>
      </c>
      <c r="M7665" s="9" t="s">
        <v>19</v>
      </c>
      <c r="N7665" s="9" t="s">
        <v>20</v>
      </c>
      <c r="O7665" s="6" t="str">
        <f>HYPERLINK("https://pbs.twimg.com/profile_images/962471262747529216/Uo8lOkRJ_normal.jpg","View")</f>
        <v>View</v>
      </c>
      <c r="P7665" s="7"/>
    </row>
    <row r="7666" spans="1:16">
      <c r="A7666" s="3">
        <v>44026.925196759257</v>
      </c>
      <c r="B7666" s="4" t="str">
        <f>HYPERLINK("https://twitter.com/petrogustavo","@petrogustavo")</f>
        <v>@petrogustavo</v>
      </c>
      <c r="C7666" s="5" t="s">
        <v>16</v>
      </c>
      <c r="D7666" s="5" t="s">
        <v>7398</v>
      </c>
      <c r="E7666" s="6" t="str">
        <f>HYPERLINK("https://twitter.com/petrogustavo/status/1283079381070602241","1283079381070602241")</f>
        <v>1283079381070602241</v>
      </c>
      <c r="F7666" s="7" t="s">
        <v>17</v>
      </c>
      <c r="G7666" s="7">
        <v>3906924</v>
      </c>
      <c r="H7666" s="7">
        <v>2419</v>
      </c>
      <c r="I7666" s="7">
        <v>86</v>
      </c>
      <c r="J7666" s="7">
        <v>205</v>
      </c>
      <c r="K7666" s="7" t="s">
        <v>18</v>
      </c>
      <c r="L7666" s="8">
        <v>39987.315405092595</v>
      </c>
      <c r="M7666" s="9" t="s">
        <v>19</v>
      </c>
      <c r="N7666" s="9" t="s">
        <v>20</v>
      </c>
      <c r="O7666" s="6" t="str">
        <f>HYPERLINK("https://pbs.twimg.com/profile_images/962471262747529216/Uo8lOkRJ_normal.jpg","View")</f>
        <v>View</v>
      </c>
      <c r="P7666" s="7"/>
    </row>
    <row r="7667" spans="1:16">
      <c r="A7667" s="3">
        <v>44026.926087962958</v>
      </c>
      <c r="B7667" s="4" t="str">
        <f>HYPERLINK("https://twitter.com/petrogustavo","@petrogustavo")</f>
        <v>@petrogustavo</v>
      </c>
      <c r="C7667" s="5" t="s">
        <v>16</v>
      </c>
      <c r="D7667" s="5" t="s">
        <v>7399</v>
      </c>
      <c r="E7667" s="6" t="str">
        <f>HYPERLINK("https://twitter.com/petrogustavo/status/1283079705797824515","1283079705797824515")</f>
        <v>1283079705797824515</v>
      </c>
      <c r="F7667" s="7" t="s">
        <v>17</v>
      </c>
      <c r="G7667" s="7">
        <v>3906924</v>
      </c>
      <c r="H7667" s="7">
        <v>2419</v>
      </c>
      <c r="I7667" s="7">
        <v>36</v>
      </c>
      <c r="J7667" s="7">
        <v>82</v>
      </c>
      <c r="K7667" s="7" t="s">
        <v>18</v>
      </c>
      <c r="L7667" s="8">
        <v>39987.315405092595</v>
      </c>
      <c r="M7667" s="9" t="s">
        <v>19</v>
      </c>
      <c r="N7667" s="9" t="s">
        <v>20</v>
      </c>
      <c r="O7667" s="6" t="str">
        <f>HYPERLINK("https://pbs.twimg.com/profile_images/962471262747529216/Uo8lOkRJ_normal.jpg","View")</f>
        <v>View</v>
      </c>
      <c r="P7667" s="7"/>
    </row>
    <row r="7668" spans="1:16">
      <c r="A7668" s="3">
        <v>44026.944710648153</v>
      </c>
      <c r="B7668" s="4" t="str">
        <f>HYPERLINK("https://twitter.com/petrogustavo","@petrogustavo")</f>
        <v>@petrogustavo</v>
      </c>
      <c r="C7668" s="5" t="s">
        <v>16</v>
      </c>
      <c r="D7668" s="5" t="s">
        <v>7400</v>
      </c>
      <c r="E7668" s="6" t="str">
        <f>HYPERLINK("https://twitter.com/petrogustavo/status/1283086451144523778","1283086451144523778")</f>
        <v>1283086451144523778</v>
      </c>
      <c r="F7668" s="7" t="s">
        <v>17</v>
      </c>
      <c r="G7668" s="7">
        <v>3906938</v>
      </c>
      <c r="H7668" s="7">
        <v>2419</v>
      </c>
      <c r="I7668" s="7">
        <v>112</v>
      </c>
      <c r="J7668" s="7">
        <v>245</v>
      </c>
      <c r="K7668" s="7" t="s">
        <v>18</v>
      </c>
      <c r="L7668" s="8">
        <v>39987.315405092595</v>
      </c>
      <c r="M7668" s="9" t="s">
        <v>19</v>
      </c>
      <c r="N7668" s="9" t="s">
        <v>20</v>
      </c>
      <c r="O7668" s="6" t="str">
        <f>HYPERLINK("https://pbs.twimg.com/profile_images/962471262747529216/Uo8lOkRJ_normal.jpg","View")</f>
        <v>View</v>
      </c>
      <c r="P7668" s="7"/>
    </row>
    <row r="7669" spans="1:16">
      <c r="A7669" s="3">
        <v>44026.952013888891</v>
      </c>
      <c r="B7669" s="4" t="str">
        <f>HYPERLINK("https://twitter.com/petrogustavo","@petrogustavo")</f>
        <v>@petrogustavo</v>
      </c>
      <c r="C7669" s="5" t="s">
        <v>16</v>
      </c>
      <c r="D7669" s="5" t="s">
        <v>7393</v>
      </c>
      <c r="E7669" s="6" t="str">
        <f>HYPERLINK("https://twitter.com/petrogustavo/status/1283089099713392646","1283089099713392646")</f>
        <v>1283089099713392646</v>
      </c>
      <c r="F7669" s="7" t="s">
        <v>17</v>
      </c>
      <c r="G7669" s="7">
        <v>3906930</v>
      </c>
      <c r="H7669" s="7">
        <v>2419</v>
      </c>
      <c r="I7669" s="7">
        <v>659</v>
      </c>
      <c r="J7669" s="7">
        <v>0</v>
      </c>
      <c r="K7669" s="7" t="s">
        <v>18</v>
      </c>
      <c r="L7669" s="8">
        <v>39987.315405092595</v>
      </c>
      <c r="M7669" s="9" t="s">
        <v>19</v>
      </c>
      <c r="N7669" s="9" t="s">
        <v>20</v>
      </c>
      <c r="O7669" s="6" t="str">
        <f>HYPERLINK("https://pbs.twimg.com/profile_images/962471262747529216/Uo8lOkRJ_normal.jpg","View")</f>
        <v>View</v>
      </c>
      <c r="P7669" s="7"/>
    </row>
    <row r="7670" spans="1:16">
      <c r="A7670" s="3">
        <v>44026.997673611113</v>
      </c>
      <c r="B7670" s="4" t="str">
        <f>HYPERLINK("https://twitter.com/petrogustavo","@petrogustavo")</f>
        <v>@petrogustavo</v>
      </c>
      <c r="C7670" s="5" t="s">
        <v>16</v>
      </c>
      <c r="D7670" s="5" t="s">
        <v>7401</v>
      </c>
      <c r="E7670" s="6" t="str">
        <f>HYPERLINK("https://twitter.com/petrogustavo/status/1283105644384530438","1283105644384530438")</f>
        <v>1283105644384530438</v>
      </c>
      <c r="F7670" s="7" t="s">
        <v>17</v>
      </c>
      <c r="G7670" s="7">
        <v>3906967</v>
      </c>
      <c r="H7670" s="7">
        <v>2419</v>
      </c>
      <c r="I7670" s="7">
        <v>140</v>
      </c>
      <c r="J7670" s="7">
        <v>297</v>
      </c>
      <c r="K7670" s="7" t="s">
        <v>18</v>
      </c>
      <c r="L7670" s="8">
        <v>39987.315405092595</v>
      </c>
      <c r="M7670" s="9" t="s">
        <v>19</v>
      </c>
      <c r="N7670" s="9" t="s">
        <v>20</v>
      </c>
      <c r="O7670" s="6" t="str">
        <f>HYPERLINK("https://pbs.twimg.com/profile_images/962471262747529216/Uo8lOkRJ_normal.jpg","View")</f>
        <v>View</v>
      </c>
      <c r="P7670" s="7"/>
    </row>
    <row r="7671" spans="1:16">
      <c r="A7671" s="3">
        <v>44026.999479166669</v>
      </c>
      <c r="B7671" s="4" t="str">
        <f>HYPERLINK("https://twitter.com/petrogustavo","@petrogustavo")</f>
        <v>@petrogustavo</v>
      </c>
      <c r="C7671" s="5" t="s">
        <v>16</v>
      </c>
      <c r="D7671" s="5" t="s">
        <v>7402</v>
      </c>
      <c r="E7671" s="6" t="str">
        <f>HYPERLINK("https://twitter.com/petrogustavo/status/1283106301749461000","1283106301749461000")</f>
        <v>1283106301749461000</v>
      </c>
      <c r="F7671" s="7" t="s">
        <v>17</v>
      </c>
      <c r="G7671" s="7">
        <v>3906967</v>
      </c>
      <c r="H7671" s="7">
        <v>2419</v>
      </c>
      <c r="I7671" s="7">
        <v>101</v>
      </c>
      <c r="J7671" s="7">
        <v>300</v>
      </c>
      <c r="K7671" s="7" t="s">
        <v>18</v>
      </c>
      <c r="L7671" s="8">
        <v>39987.315405092595</v>
      </c>
      <c r="M7671" s="9" t="s">
        <v>19</v>
      </c>
      <c r="N7671" s="9" t="s">
        <v>20</v>
      </c>
      <c r="O7671" s="6" t="str">
        <f>HYPERLINK("https://pbs.twimg.com/profile_images/962471262747529216/Uo8lOkRJ_normal.jpg","View")</f>
        <v>View</v>
      </c>
      <c r="P7671" s="7"/>
    </row>
    <row r="7672" spans="1:16">
      <c r="A7672" s="3">
        <v>44027.001585648148</v>
      </c>
      <c r="B7672" s="4" t="str">
        <f>HYPERLINK("https://twitter.com/petrogustavo","@petrogustavo")</f>
        <v>@petrogustavo</v>
      </c>
      <c r="C7672" s="5" t="s">
        <v>16</v>
      </c>
      <c r="D7672" s="5" t="s">
        <v>7403</v>
      </c>
      <c r="E7672" s="6" t="str">
        <f>HYPERLINK("https://twitter.com/petrogustavo/status/1283107061786607616","1283107061786607616")</f>
        <v>1283107061786607616</v>
      </c>
      <c r="F7672" s="7" t="s">
        <v>17</v>
      </c>
      <c r="G7672" s="7">
        <v>3906967</v>
      </c>
      <c r="H7672" s="7">
        <v>2419</v>
      </c>
      <c r="I7672" s="7">
        <v>34</v>
      </c>
      <c r="J7672" s="7">
        <v>132</v>
      </c>
      <c r="K7672" s="7" t="s">
        <v>18</v>
      </c>
      <c r="L7672" s="8">
        <v>39987.315405092595</v>
      </c>
      <c r="M7672" s="9" t="s">
        <v>19</v>
      </c>
      <c r="N7672" s="9" t="s">
        <v>20</v>
      </c>
      <c r="O7672" s="6" t="str">
        <f>HYPERLINK("https://pbs.twimg.com/profile_images/962471262747529216/Uo8lOkRJ_normal.jpg","View")</f>
        <v>View</v>
      </c>
      <c r="P7672" s="7"/>
    </row>
    <row r="7673" spans="1:16">
      <c r="A7673" s="3">
        <v>44027.010775462964</v>
      </c>
      <c r="B7673" s="4" t="str">
        <f>HYPERLINK("https://twitter.com/petrogustavo","@petrogustavo")</f>
        <v>@petrogustavo</v>
      </c>
      <c r="C7673" s="5" t="s">
        <v>16</v>
      </c>
      <c r="D7673" s="5" t="s">
        <v>7404</v>
      </c>
      <c r="E7673" s="6" t="str">
        <f>HYPERLINK("https://twitter.com/petrogustavo/status/1283110392550633474","1283110392550633474")</f>
        <v>1283110392550633474</v>
      </c>
      <c r="F7673" s="7" t="s">
        <v>17</v>
      </c>
      <c r="G7673" s="7">
        <v>3906967</v>
      </c>
      <c r="H7673" s="7">
        <v>2419</v>
      </c>
      <c r="I7673" s="7">
        <v>1457</v>
      </c>
      <c r="J7673" s="7">
        <v>0</v>
      </c>
      <c r="K7673" s="7" t="s">
        <v>18</v>
      </c>
      <c r="L7673" s="8">
        <v>39987.315405092595</v>
      </c>
      <c r="M7673" s="9" t="s">
        <v>19</v>
      </c>
      <c r="N7673" s="9" t="s">
        <v>20</v>
      </c>
      <c r="O7673" s="6" t="str">
        <f>HYPERLINK("https://pbs.twimg.com/profile_images/962471262747529216/Uo8lOkRJ_normal.jpg","View")</f>
        <v>View</v>
      </c>
      <c r="P7673" s="7"/>
    </row>
    <row r="7674" spans="1:16">
      <c r="A7674" s="3">
        <v>44027.010914351849</v>
      </c>
      <c r="B7674" s="4" t="str">
        <f>HYPERLINK("https://twitter.com/petrogustavo","@petrogustavo")</f>
        <v>@petrogustavo</v>
      </c>
      <c r="C7674" s="5" t="s">
        <v>16</v>
      </c>
      <c r="D7674" s="5" t="s">
        <v>7405</v>
      </c>
      <c r="E7674" s="6" t="str">
        <f>HYPERLINK("https://twitter.com/petrogustavo/status/1283110443897237505","1283110443897237505")</f>
        <v>1283110443897237505</v>
      </c>
      <c r="F7674" s="7" t="s">
        <v>17</v>
      </c>
      <c r="G7674" s="7">
        <v>3906967</v>
      </c>
      <c r="H7674" s="7">
        <v>2419</v>
      </c>
      <c r="I7674" s="7">
        <v>140</v>
      </c>
      <c r="J7674" s="7">
        <v>0</v>
      </c>
      <c r="K7674" s="7" t="s">
        <v>18</v>
      </c>
      <c r="L7674" s="8">
        <v>39987.315405092595</v>
      </c>
      <c r="M7674" s="9" t="s">
        <v>19</v>
      </c>
      <c r="N7674" s="9" t="s">
        <v>20</v>
      </c>
      <c r="O7674" s="6" t="str">
        <f>HYPERLINK("https://pbs.twimg.com/profile_images/962471262747529216/Uo8lOkRJ_normal.jpg","View")</f>
        <v>View</v>
      </c>
      <c r="P7674" s="7"/>
    </row>
    <row r="7675" spans="1:16">
      <c r="A7675" s="3">
        <v>44027.012048611112</v>
      </c>
      <c r="B7675" s="4" t="str">
        <f>HYPERLINK("https://twitter.com/petrogustavo","@petrogustavo")</f>
        <v>@petrogustavo</v>
      </c>
      <c r="C7675" s="5" t="s">
        <v>16</v>
      </c>
      <c r="D7675" s="5" t="s">
        <v>7406</v>
      </c>
      <c r="E7675" s="6" t="str">
        <f>HYPERLINK("https://twitter.com/petrogustavo/status/1283110856428064768","1283110856428064768")</f>
        <v>1283110856428064768</v>
      </c>
      <c r="F7675" s="7" t="s">
        <v>17</v>
      </c>
      <c r="G7675" s="7">
        <v>3906981</v>
      </c>
      <c r="H7675" s="7">
        <v>2419</v>
      </c>
      <c r="I7675" s="7">
        <v>46</v>
      </c>
      <c r="J7675" s="7">
        <v>121</v>
      </c>
      <c r="K7675" s="7" t="s">
        <v>18</v>
      </c>
      <c r="L7675" s="8">
        <v>39987.315405092595</v>
      </c>
      <c r="M7675" s="9" t="s">
        <v>19</v>
      </c>
      <c r="N7675" s="9" t="s">
        <v>20</v>
      </c>
      <c r="O7675" s="6" t="str">
        <f>HYPERLINK("https://pbs.twimg.com/profile_images/962471262747529216/Uo8lOkRJ_normal.jpg","View")</f>
        <v>View</v>
      </c>
      <c r="P7675" s="7"/>
    </row>
    <row r="7676" spans="1:16">
      <c r="A7676" s="3">
        <v>44027.025381944448</v>
      </c>
      <c r="B7676" s="4" t="str">
        <f>HYPERLINK("https://twitter.com/petrogustavo","@petrogustavo")</f>
        <v>@petrogustavo</v>
      </c>
      <c r="C7676" s="5" t="s">
        <v>16</v>
      </c>
      <c r="D7676" s="5" t="s">
        <v>7407</v>
      </c>
      <c r="E7676" s="6" t="str">
        <f>HYPERLINK("https://twitter.com/petrogustavo/status/1283115687364513793","1283115687364513793")</f>
        <v>1283115687364513793</v>
      </c>
      <c r="F7676" s="7" t="s">
        <v>17</v>
      </c>
      <c r="G7676" s="7">
        <v>3906981</v>
      </c>
      <c r="H7676" s="7">
        <v>2419</v>
      </c>
      <c r="I7676" s="7">
        <v>39</v>
      </c>
      <c r="J7676" s="7">
        <v>0</v>
      </c>
      <c r="K7676" s="7" t="s">
        <v>18</v>
      </c>
      <c r="L7676" s="8">
        <v>39987.315405092595</v>
      </c>
      <c r="M7676" s="9" t="s">
        <v>19</v>
      </c>
      <c r="N7676" s="9" t="s">
        <v>20</v>
      </c>
      <c r="O7676" s="6" t="str">
        <f>HYPERLINK("https://pbs.twimg.com/profile_images/962471262747529216/Uo8lOkRJ_normal.jpg","View")</f>
        <v>View</v>
      </c>
      <c r="P7676" s="7"/>
    </row>
    <row r="7677" spans="1:16">
      <c r="A7677" s="3">
        <v>44027.028055555551</v>
      </c>
      <c r="B7677" s="4" t="str">
        <f>HYPERLINK("https://twitter.com/petrogustavo","@petrogustavo")</f>
        <v>@petrogustavo</v>
      </c>
      <c r="C7677" s="5" t="s">
        <v>16</v>
      </c>
      <c r="D7677" s="5" t="s">
        <v>7408</v>
      </c>
      <c r="E7677" s="6" t="str">
        <f>HYPERLINK("https://twitter.com/petrogustavo/status/1283116653711155200","1283116653711155200")</f>
        <v>1283116653711155200</v>
      </c>
      <c r="F7677" s="7" t="s">
        <v>17</v>
      </c>
      <c r="G7677" s="7">
        <v>3906981</v>
      </c>
      <c r="H7677" s="7">
        <v>2419</v>
      </c>
      <c r="I7677" s="7">
        <v>152</v>
      </c>
      <c r="J7677" s="7">
        <v>0</v>
      </c>
      <c r="K7677" s="7" t="s">
        <v>18</v>
      </c>
      <c r="L7677" s="8">
        <v>39987.315405092595</v>
      </c>
      <c r="M7677" s="9" t="s">
        <v>19</v>
      </c>
      <c r="N7677" s="9" t="s">
        <v>20</v>
      </c>
      <c r="O7677" s="6" t="str">
        <f>HYPERLINK("https://pbs.twimg.com/profile_images/962471262747529216/Uo8lOkRJ_normal.jpg","View")</f>
        <v>View</v>
      </c>
      <c r="P7677" s="7"/>
    </row>
    <row r="7678" spans="1:16">
      <c r="A7678" s="3">
        <v>44027.036562499998</v>
      </c>
      <c r="B7678" s="4" t="str">
        <f>HYPERLINK("https://twitter.com/petrogustavo","@petrogustavo")</f>
        <v>@petrogustavo</v>
      </c>
      <c r="C7678" s="5" t="s">
        <v>16</v>
      </c>
      <c r="D7678" s="5" t="s">
        <v>7409</v>
      </c>
      <c r="E7678" s="6" t="str">
        <f>HYPERLINK("https://twitter.com/petrogustavo/status/1283119739829723136","1283119739829723136")</f>
        <v>1283119739829723136</v>
      </c>
      <c r="F7678" s="7" t="s">
        <v>17</v>
      </c>
      <c r="G7678" s="7">
        <v>3906969</v>
      </c>
      <c r="H7678" s="7">
        <v>2419</v>
      </c>
      <c r="I7678" s="7">
        <v>56</v>
      </c>
      <c r="J7678" s="7">
        <v>0</v>
      </c>
      <c r="K7678" s="7" t="s">
        <v>18</v>
      </c>
      <c r="L7678" s="8">
        <v>39987.315405092595</v>
      </c>
      <c r="M7678" s="9" t="s">
        <v>19</v>
      </c>
      <c r="N7678" s="9" t="s">
        <v>20</v>
      </c>
      <c r="O7678" s="6" t="str">
        <f>HYPERLINK("https://pbs.twimg.com/profile_images/962471262747529216/Uo8lOkRJ_normal.jpg","View")</f>
        <v>View</v>
      </c>
      <c r="P7678" s="7"/>
    </row>
    <row r="7679" spans="1:16">
      <c r="A7679" s="3">
        <v>44027.040370370371</v>
      </c>
      <c r="B7679" s="4" t="str">
        <f>HYPERLINK("https://twitter.com/petrogustavo","@petrogustavo")</f>
        <v>@petrogustavo</v>
      </c>
      <c r="C7679" s="5" t="s">
        <v>16</v>
      </c>
      <c r="D7679" s="5" t="s">
        <v>7410</v>
      </c>
      <c r="E7679" s="6" t="str">
        <f>HYPERLINK("https://twitter.com/petrogustavo/status/1283121119499890689","1283121119499890689")</f>
        <v>1283121119499890689</v>
      </c>
      <c r="F7679" s="7" t="s">
        <v>17</v>
      </c>
      <c r="G7679" s="7">
        <v>3906969</v>
      </c>
      <c r="H7679" s="7">
        <v>2419</v>
      </c>
      <c r="I7679" s="7">
        <v>56</v>
      </c>
      <c r="J7679" s="7">
        <v>147</v>
      </c>
      <c r="K7679" s="7" t="s">
        <v>18</v>
      </c>
      <c r="L7679" s="8">
        <v>39987.315405092595</v>
      </c>
      <c r="M7679" s="9" t="s">
        <v>19</v>
      </c>
      <c r="N7679" s="9" t="s">
        <v>20</v>
      </c>
      <c r="O7679" s="6" t="str">
        <f>HYPERLINK("https://pbs.twimg.com/profile_images/962471262747529216/Uo8lOkRJ_normal.jpg","View")</f>
        <v>View</v>
      </c>
      <c r="P7679" s="7"/>
    </row>
    <row r="7680" spans="1:16">
      <c r="A7680" s="3">
        <v>44027.046215277776</v>
      </c>
      <c r="B7680" s="4" t="str">
        <f>HYPERLINK("https://twitter.com/petrogustavo","@petrogustavo")</f>
        <v>@petrogustavo</v>
      </c>
      <c r="C7680" s="5" t="s">
        <v>16</v>
      </c>
      <c r="D7680" s="5" t="s">
        <v>7411</v>
      </c>
      <c r="E7680" s="6" t="str">
        <f>HYPERLINK("https://twitter.com/petrogustavo/status/1283123234733535234","1283123234733535234")</f>
        <v>1283123234733535234</v>
      </c>
      <c r="F7680" s="7" t="s">
        <v>17</v>
      </c>
      <c r="G7680" s="7">
        <v>3906969</v>
      </c>
      <c r="H7680" s="7">
        <v>2419</v>
      </c>
      <c r="I7680" s="7">
        <v>79</v>
      </c>
      <c r="J7680" s="7">
        <v>205</v>
      </c>
      <c r="K7680" s="7" t="s">
        <v>18</v>
      </c>
      <c r="L7680" s="8">
        <v>39987.315405092595</v>
      </c>
      <c r="M7680" s="9" t="s">
        <v>19</v>
      </c>
      <c r="N7680" s="9" t="s">
        <v>20</v>
      </c>
      <c r="O7680" s="6" t="str">
        <f>HYPERLINK("https://pbs.twimg.com/profile_images/962471262747529216/Uo8lOkRJ_normal.jpg","View")</f>
        <v>View</v>
      </c>
      <c r="P7680" s="7"/>
    </row>
    <row r="7681" spans="1:16">
      <c r="A7681" s="3">
        <v>44027.051840277782</v>
      </c>
      <c r="B7681" s="4" t="str">
        <f>HYPERLINK("https://twitter.com/petrogustavo","@petrogustavo")</f>
        <v>@petrogustavo</v>
      </c>
      <c r="C7681" s="5" t="s">
        <v>16</v>
      </c>
      <c r="D7681" s="5" t="s">
        <v>7389</v>
      </c>
      <c r="E7681" s="6" t="str">
        <f>HYPERLINK("https://twitter.com/petrogustavo/status/1283125276285829128","1283125276285829128")</f>
        <v>1283125276285829128</v>
      </c>
      <c r="F7681" s="7" t="s">
        <v>17</v>
      </c>
      <c r="G7681" s="7">
        <v>3906969</v>
      </c>
      <c r="H7681" s="7">
        <v>2419</v>
      </c>
      <c r="I7681" s="7">
        <v>557</v>
      </c>
      <c r="J7681" s="7">
        <v>0</v>
      </c>
      <c r="K7681" s="7" t="s">
        <v>18</v>
      </c>
      <c r="L7681" s="8">
        <v>39987.315405092595</v>
      </c>
      <c r="M7681" s="9" t="s">
        <v>19</v>
      </c>
      <c r="N7681" s="9" t="s">
        <v>20</v>
      </c>
      <c r="O7681" s="6" t="str">
        <f>HYPERLINK("https://pbs.twimg.com/profile_images/962471262747529216/Uo8lOkRJ_normal.jpg","View")</f>
        <v>View</v>
      </c>
      <c r="P7681" s="7"/>
    </row>
    <row r="7682" spans="1:16">
      <c r="A7682" s="3">
        <v>44027.217777777776</v>
      </c>
      <c r="B7682" s="4" t="str">
        <f>HYPERLINK("https://twitter.com/petrogustavo","@petrogustavo")</f>
        <v>@petrogustavo</v>
      </c>
      <c r="C7682" s="5" t="s">
        <v>16</v>
      </c>
      <c r="D7682" s="5" t="s">
        <v>7412</v>
      </c>
      <c r="E7682" s="6" t="str">
        <f>HYPERLINK("https://twitter.com/petrogustavo/status/1283185406691999755","1283185406691999755")</f>
        <v>1283185406691999755</v>
      </c>
      <c r="F7682" s="7" t="s">
        <v>17</v>
      </c>
      <c r="G7682" s="7">
        <v>3907124</v>
      </c>
      <c r="H7682" s="7">
        <v>2419</v>
      </c>
      <c r="I7682" s="7">
        <v>1062</v>
      </c>
      <c r="J7682" s="7">
        <v>0</v>
      </c>
      <c r="K7682" s="7" t="s">
        <v>18</v>
      </c>
      <c r="L7682" s="8">
        <v>39987.315405092595</v>
      </c>
      <c r="M7682" s="9" t="s">
        <v>19</v>
      </c>
      <c r="N7682" s="9" t="s">
        <v>20</v>
      </c>
      <c r="O7682" s="6" t="str">
        <f>HYPERLINK("https://pbs.twimg.com/profile_images/962471262747529216/Uo8lOkRJ_normal.jpg","View")</f>
        <v>View</v>
      </c>
      <c r="P7682" s="7"/>
    </row>
    <row r="7683" spans="1:16">
      <c r="A7683" s="3">
        <v>44027.22038194444</v>
      </c>
      <c r="B7683" s="4" t="str">
        <f>HYPERLINK("https://twitter.com/petrogustavo","@petrogustavo")</f>
        <v>@petrogustavo</v>
      </c>
      <c r="C7683" s="5" t="s">
        <v>16</v>
      </c>
      <c r="D7683" s="5" t="s">
        <v>7413</v>
      </c>
      <c r="E7683" s="6" t="str">
        <f>HYPERLINK("https://twitter.com/petrogustavo/status/1283186353879089152","1283186353879089152")</f>
        <v>1283186353879089152</v>
      </c>
      <c r="F7683" s="7" t="s">
        <v>17</v>
      </c>
      <c r="G7683" s="7">
        <v>3907124</v>
      </c>
      <c r="H7683" s="7">
        <v>2419</v>
      </c>
      <c r="I7683" s="7">
        <v>39</v>
      </c>
      <c r="J7683" s="7">
        <v>0</v>
      </c>
      <c r="K7683" s="7" t="s">
        <v>18</v>
      </c>
      <c r="L7683" s="8">
        <v>39987.315405092595</v>
      </c>
      <c r="M7683" s="9" t="s">
        <v>19</v>
      </c>
      <c r="N7683" s="9" t="s">
        <v>20</v>
      </c>
      <c r="O7683" s="6" t="str">
        <f>HYPERLINK("https://pbs.twimg.com/profile_images/962471262747529216/Uo8lOkRJ_normal.jpg","View")</f>
        <v>View</v>
      </c>
      <c r="P7683" s="7"/>
    </row>
    <row r="7684" spans="1:16">
      <c r="A7684" s="3">
        <v>44027.223113425927</v>
      </c>
      <c r="B7684" s="4" t="str">
        <f>HYPERLINK("https://twitter.com/petrogustavo","@petrogustavo")</f>
        <v>@petrogustavo</v>
      </c>
      <c r="C7684" s="5" t="s">
        <v>16</v>
      </c>
      <c r="D7684" s="5" t="s">
        <v>7414</v>
      </c>
      <c r="E7684" s="6" t="str">
        <f>HYPERLINK("https://twitter.com/petrogustavo/status/1283187343734853632","1283187343734853632")</f>
        <v>1283187343734853632</v>
      </c>
      <c r="F7684" s="7" t="s">
        <v>17</v>
      </c>
      <c r="G7684" s="7">
        <v>3907135</v>
      </c>
      <c r="H7684" s="7">
        <v>2419</v>
      </c>
      <c r="I7684" s="7">
        <v>108</v>
      </c>
      <c r="J7684" s="7">
        <v>265</v>
      </c>
      <c r="K7684" s="7" t="s">
        <v>18</v>
      </c>
      <c r="L7684" s="8">
        <v>39987.315405092595</v>
      </c>
      <c r="M7684" s="9" t="s">
        <v>19</v>
      </c>
      <c r="N7684" s="9" t="s">
        <v>20</v>
      </c>
      <c r="O7684" s="6" t="str">
        <f>HYPERLINK("https://pbs.twimg.com/profile_images/962471262747529216/Uo8lOkRJ_normal.jpg","View")</f>
        <v>View</v>
      </c>
      <c r="P7684" s="7"/>
    </row>
    <row r="7685" spans="1:16">
      <c r="A7685" s="3">
        <v>44027.26662037037</v>
      </c>
      <c r="B7685" s="4" t="str">
        <f>HYPERLINK("https://twitter.com/petrogustavo","@petrogustavo")</f>
        <v>@petrogustavo</v>
      </c>
      <c r="C7685" s="5" t="s">
        <v>16</v>
      </c>
      <c r="D7685" s="5" t="s">
        <v>7389</v>
      </c>
      <c r="E7685" s="6" t="str">
        <f>HYPERLINK("https://twitter.com/petrogustavo/status/1283203110089957376","1283203110089957376")</f>
        <v>1283203110089957376</v>
      </c>
      <c r="F7685" s="7" t="s">
        <v>17</v>
      </c>
      <c r="G7685" s="7">
        <v>3907164</v>
      </c>
      <c r="H7685" s="7">
        <v>2419</v>
      </c>
      <c r="I7685" s="7">
        <v>652</v>
      </c>
      <c r="J7685" s="7">
        <v>0</v>
      </c>
      <c r="K7685" s="7" t="s">
        <v>18</v>
      </c>
      <c r="L7685" s="8">
        <v>39987.315405092595</v>
      </c>
      <c r="M7685" s="9" t="s">
        <v>19</v>
      </c>
      <c r="N7685" s="9" t="s">
        <v>20</v>
      </c>
      <c r="O7685" s="6" t="str">
        <f>HYPERLINK("https://pbs.twimg.com/profile_images/962471262747529216/Uo8lOkRJ_normal.jpg","View")</f>
        <v>View</v>
      </c>
      <c r="P7685" s="7"/>
    </row>
    <row r="7686" spans="1:16">
      <c r="A7686" s="3">
        <v>44027.26898148148</v>
      </c>
      <c r="B7686" s="4" t="str">
        <f>HYPERLINK("https://twitter.com/petrogustavo","@petrogustavo")</f>
        <v>@petrogustavo</v>
      </c>
      <c r="C7686" s="5" t="s">
        <v>16</v>
      </c>
      <c r="D7686" s="5" t="s">
        <v>7415</v>
      </c>
      <c r="E7686" s="6" t="str">
        <f>HYPERLINK("https://twitter.com/petrogustavo/status/1283203966034161666","1283203966034161666")</f>
        <v>1283203966034161666</v>
      </c>
      <c r="F7686" s="7" t="s">
        <v>17</v>
      </c>
      <c r="G7686" s="7">
        <v>3907164</v>
      </c>
      <c r="H7686" s="7">
        <v>2419</v>
      </c>
      <c r="I7686" s="7">
        <v>240</v>
      </c>
      <c r="J7686" s="7">
        <v>768</v>
      </c>
      <c r="K7686" s="7" t="s">
        <v>18</v>
      </c>
      <c r="L7686" s="8">
        <v>39987.315405092595</v>
      </c>
      <c r="M7686" s="9" t="s">
        <v>19</v>
      </c>
      <c r="N7686" s="9" t="s">
        <v>20</v>
      </c>
      <c r="O7686" s="6" t="str">
        <f>HYPERLINK("https://pbs.twimg.com/profile_images/962471262747529216/Uo8lOkRJ_normal.jpg","View")</f>
        <v>View</v>
      </c>
      <c r="P7686" s="7"/>
    </row>
    <row r="7687" spans="1:16">
      <c r="A7687" s="3">
        <v>44027.747245370367</v>
      </c>
      <c r="B7687" s="4" t="str">
        <f>HYPERLINK("https://twitter.com/petrogustavo","@petrogustavo")</f>
        <v>@petrogustavo</v>
      </c>
      <c r="C7687" s="5" t="s">
        <v>16</v>
      </c>
      <c r="D7687" s="5" t="s">
        <v>7416</v>
      </c>
      <c r="E7687" s="6" t="str">
        <f>HYPERLINK("https://twitter.com/petrogustavo/status/1283377282434904067","1283377282434904067")</f>
        <v>1283377282434904067</v>
      </c>
      <c r="F7687" s="7" t="s">
        <v>17</v>
      </c>
      <c r="G7687" s="7">
        <v>3907440</v>
      </c>
      <c r="H7687" s="7">
        <v>2419</v>
      </c>
      <c r="I7687" s="7">
        <v>129</v>
      </c>
      <c r="J7687" s="7">
        <v>366</v>
      </c>
      <c r="K7687" s="7" t="s">
        <v>18</v>
      </c>
      <c r="L7687" s="8">
        <v>39987.315405092595</v>
      </c>
      <c r="M7687" s="9" t="s">
        <v>19</v>
      </c>
      <c r="N7687" s="9" t="s">
        <v>20</v>
      </c>
      <c r="O7687" s="6" t="str">
        <f>HYPERLINK("https://pbs.twimg.com/profile_images/962471262747529216/Uo8lOkRJ_normal.jpg","View")</f>
        <v>View</v>
      </c>
      <c r="P7687" s="7"/>
    </row>
    <row r="7688" spans="1:16">
      <c r="A7688" s="3">
        <v>44027.751076388886</v>
      </c>
      <c r="B7688" s="4" t="str">
        <f>HYPERLINK("https://twitter.com/petrogustavo","@petrogustavo")</f>
        <v>@petrogustavo</v>
      </c>
      <c r="C7688" s="5" t="s">
        <v>16</v>
      </c>
      <c r="D7688" s="5" t="s">
        <v>7417</v>
      </c>
      <c r="E7688" s="6" t="str">
        <f>HYPERLINK("https://twitter.com/petrogustavo/status/1283378671567470593","1283378671567470593")</f>
        <v>1283378671567470593</v>
      </c>
      <c r="F7688" s="7" t="s">
        <v>17</v>
      </c>
      <c r="G7688" s="7">
        <v>3907440</v>
      </c>
      <c r="H7688" s="7">
        <v>2419</v>
      </c>
      <c r="I7688" s="7">
        <v>80</v>
      </c>
      <c r="J7688" s="7">
        <v>169</v>
      </c>
      <c r="K7688" s="7" t="s">
        <v>18</v>
      </c>
      <c r="L7688" s="8">
        <v>39987.315405092595</v>
      </c>
      <c r="M7688" s="9" t="s">
        <v>19</v>
      </c>
      <c r="N7688" s="9" t="s">
        <v>20</v>
      </c>
      <c r="O7688" s="6" t="str">
        <f>HYPERLINK("https://pbs.twimg.com/profile_images/962471262747529216/Uo8lOkRJ_normal.jpg","View")</f>
        <v>View</v>
      </c>
      <c r="P7688" s="7"/>
    </row>
    <row r="7689" spans="1:16">
      <c r="A7689" s="3">
        <v>44027.760439814811</v>
      </c>
      <c r="B7689" s="4" t="str">
        <f>HYPERLINK("https://twitter.com/petrogustavo","@petrogustavo")</f>
        <v>@petrogustavo</v>
      </c>
      <c r="C7689" s="5" t="s">
        <v>16</v>
      </c>
      <c r="D7689" s="5" t="s">
        <v>7418</v>
      </c>
      <c r="E7689" s="6" t="str">
        <f>HYPERLINK("https://twitter.com/petrogustavo/status/1283382064620933120","1283382064620933120")</f>
        <v>1283382064620933120</v>
      </c>
      <c r="F7689" s="7" t="s">
        <v>17</v>
      </c>
      <c r="G7689" s="7">
        <v>3907440</v>
      </c>
      <c r="H7689" s="7">
        <v>2419</v>
      </c>
      <c r="I7689" s="7">
        <v>23</v>
      </c>
      <c r="J7689" s="7">
        <v>71</v>
      </c>
      <c r="K7689" s="7" t="s">
        <v>18</v>
      </c>
      <c r="L7689" s="8">
        <v>39987.315405092595</v>
      </c>
      <c r="M7689" s="9" t="s">
        <v>19</v>
      </c>
      <c r="N7689" s="9" t="s">
        <v>20</v>
      </c>
      <c r="O7689" s="6" t="str">
        <f>HYPERLINK("https://pbs.twimg.com/profile_images/962471262747529216/Uo8lOkRJ_normal.jpg","View")</f>
        <v>View</v>
      </c>
      <c r="P7689" s="7"/>
    </row>
    <row r="7690" spans="1:16">
      <c r="A7690" s="3">
        <v>44027.761944444443</v>
      </c>
      <c r="B7690" s="4" t="str">
        <f>HYPERLINK("https://twitter.com/petrogustavo","@petrogustavo")</f>
        <v>@petrogustavo</v>
      </c>
      <c r="C7690" s="5" t="s">
        <v>16</v>
      </c>
      <c r="D7690" s="5" t="s">
        <v>7419</v>
      </c>
      <c r="E7690" s="6" t="str">
        <f>HYPERLINK("https://twitter.com/petrogustavo/status/1283382607170813959","1283382607170813959")</f>
        <v>1283382607170813959</v>
      </c>
      <c r="F7690" s="7" t="s">
        <v>17</v>
      </c>
      <c r="G7690" s="7">
        <v>3907440</v>
      </c>
      <c r="H7690" s="7">
        <v>2419</v>
      </c>
      <c r="I7690" s="7">
        <v>1</v>
      </c>
      <c r="J7690" s="7">
        <v>10</v>
      </c>
      <c r="K7690" s="7" t="s">
        <v>18</v>
      </c>
      <c r="L7690" s="8">
        <v>39987.315405092595</v>
      </c>
      <c r="M7690" s="9" t="s">
        <v>19</v>
      </c>
      <c r="N7690" s="9" t="s">
        <v>20</v>
      </c>
      <c r="O7690" s="6" t="str">
        <f>HYPERLINK("https://pbs.twimg.com/profile_images/962471262747529216/Uo8lOkRJ_normal.jpg","View")</f>
        <v>View</v>
      </c>
      <c r="P7690" s="7"/>
    </row>
    <row r="7691" spans="1:16">
      <c r="A7691" s="3">
        <v>44027.774131944447</v>
      </c>
      <c r="B7691" s="4" t="str">
        <f>HYPERLINK("https://twitter.com/petrogustavo","@petrogustavo")</f>
        <v>@petrogustavo</v>
      </c>
      <c r="C7691" s="5" t="s">
        <v>16</v>
      </c>
      <c r="D7691" s="5" t="s">
        <v>7420</v>
      </c>
      <c r="E7691" s="6" t="str">
        <f>HYPERLINK("https://twitter.com/petrogustavo/status/1283387022628052992","1283387022628052992")</f>
        <v>1283387022628052992</v>
      </c>
      <c r="F7691" s="7" t="s">
        <v>17</v>
      </c>
      <c r="G7691" s="7">
        <v>3907481</v>
      </c>
      <c r="H7691" s="7">
        <v>2419</v>
      </c>
      <c r="I7691" s="7">
        <v>728</v>
      </c>
      <c r="J7691" s="7">
        <v>1896</v>
      </c>
      <c r="K7691" s="7" t="s">
        <v>18</v>
      </c>
      <c r="L7691" s="8">
        <v>39987.315405092595</v>
      </c>
      <c r="M7691" s="9" t="s">
        <v>19</v>
      </c>
      <c r="N7691" s="9" t="s">
        <v>20</v>
      </c>
      <c r="O7691" s="6" t="str">
        <f>HYPERLINK("https://pbs.twimg.com/profile_images/962471262747529216/Uo8lOkRJ_normal.jpg","View")</f>
        <v>View</v>
      </c>
      <c r="P7691" s="7"/>
    </row>
    <row r="7692" spans="1:16">
      <c r="A7692" s="3">
        <v>44027.775300925925</v>
      </c>
      <c r="B7692" s="4" t="str">
        <f>HYPERLINK("https://twitter.com/petrogustavo","@petrogustavo")</f>
        <v>@petrogustavo</v>
      </c>
      <c r="C7692" s="5" t="s">
        <v>16</v>
      </c>
      <c r="D7692" s="5" t="s">
        <v>7421</v>
      </c>
      <c r="E7692" s="6" t="str">
        <f>HYPERLINK("https://twitter.com/petrogustavo/status/1283387447762735105","1283387447762735105")</f>
        <v>1283387447762735105</v>
      </c>
      <c r="F7692" s="7" t="s">
        <v>17</v>
      </c>
      <c r="G7692" s="7">
        <v>3907481</v>
      </c>
      <c r="H7692" s="7">
        <v>2419</v>
      </c>
      <c r="I7692" s="7">
        <v>211</v>
      </c>
      <c r="J7692" s="7">
        <v>597</v>
      </c>
      <c r="K7692" s="7" t="s">
        <v>18</v>
      </c>
      <c r="L7692" s="8">
        <v>39987.315405092595</v>
      </c>
      <c r="M7692" s="9" t="s">
        <v>19</v>
      </c>
      <c r="N7692" s="9" t="s">
        <v>20</v>
      </c>
      <c r="O7692" s="6" t="str">
        <f>HYPERLINK("https://pbs.twimg.com/profile_images/962471262747529216/Uo8lOkRJ_normal.jpg","View")</f>
        <v>View</v>
      </c>
      <c r="P7692" s="7"/>
    </row>
    <row r="7693" spans="1:16">
      <c r="A7693" s="3">
        <v>44027.790034722224</v>
      </c>
      <c r="B7693" s="4" t="str">
        <f>HYPERLINK("https://twitter.com/petrogustavo","@petrogustavo")</f>
        <v>@petrogustavo</v>
      </c>
      <c r="C7693" s="5" t="s">
        <v>16</v>
      </c>
      <c r="D7693" s="5" t="s">
        <v>7422</v>
      </c>
      <c r="E7693" s="6" t="str">
        <f>HYPERLINK("https://twitter.com/petrogustavo/status/1283392786931294209","1283392786931294209")</f>
        <v>1283392786931294209</v>
      </c>
      <c r="F7693" s="7" t="s">
        <v>17</v>
      </c>
      <c r="G7693" s="7">
        <v>3907481</v>
      </c>
      <c r="H7693" s="7">
        <v>2419</v>
      </c>
      <c r="I7693" s="7">
        <v>138</v>
      </c>
      <c r="J7693" s="7">
        <v>0</v>
      </c>
      <c r="K7693" s="7" t="s">
        <v>18</v>
      </c>
      <c r="L7693" s="8">
        <v>39987.315405092595</v>
      </c>
      <c r="M7693" s="9" t="s">
        <v>19</v>
      </c>
      <c r="N7693" s="9" t="s">
        <v>20</v>
      </c>
      <c r="O7693" s="6" t="str">
        <f>HYPERLINK("https://pbs.twimg.com/profile_images/962471262747529216/Uo8lOkRJ_normal.jpg","View")</f>
        <v>View</v>
      </c>
      <c r="P7693" s="7"/>
    </row>
    <row r="7694" spans="1:16">
      <c r="A7694" s="3">
        <v>44027.790914351848</v>
      </c>
      <c r="B7694" s="4" t="str">
        <f>HYPERLINK("https://twitter.com/petrogustavo","@petrogustavo")</f>
        <v>@petrogustavo</v>
      </c>
      <c r="C7694" s="5" t="s">
        <v>16</v>
      </c>
      <c r="D7694" s="5" t="s">
        <v>7423</v>
      </c>
      <c r="E7694" s="6" t="str">
        <f>HYPERLINK("https://twitter.com/petrogustavo/status/1283393108261076997","1283393108261076997")</f>
        <v>1283393108261076997</v>
      </c>
      <c r="F7694" s="7" t="s">
        <v>17</v>
      </c>
      <c r="G7694" s="7">
        <v>3907481</v>
      </c>
      <c r="H7694" s="7">
        <v>2419</v>
      </c>
      <c r="I7694" s="7">
        <v>211</v>
      </c>
      <c r="J7694" s="7">
        <v>0</v>
      </c>
      <c r="K7694" s="7" t="s">
        <v>18</v>
      </c>
      <c r="L7694" s="8">
        <v>39987.315405092595</v>
      </c>
      <c r="M7694" s="9" t="s">
        <v>19</v>
      </c>
      <c r="N7694" s="9" t="s">
        <v>20</v>
      </c>
      <c r="O7694" s="6" t="str">
        <f>HYPERLINK("https://pbs.twimg.com/profile_images/962471262747529216/Uo8lOkRJ_normal.jpg","View")</f>
        <v>View</v>
      </c>
      <c r="P7694" s="7"/>
    </row>
    <row r="7695" spans="1:16">
      <c r="A7695" s="3">
        <v>44027.798101851848</v>
      </c>
      <c r="B7695" s="4" t="str">
        <f>HYPERLINK("https://twitter.com/petrogustavo","@petrogustavo")</f>
        <v>@petrogustavo</v>
      </c>
      <c r="C7695" s="5" t="s">
        <v>16</v>
      </c>
      <c r="D7695" s="5" t="s">
        <v>7424</v>
      </c>
      <c r="E7695" s="6" t="str">
        <f>HYPERLINK("https://twitter.com/petrogustavo/status/1283395711929917443","1283395711929917443")</f>
        <v>1283395711929917443</v>
      </c>
      <c r="F7695" s="7" t="s">
        <v>17</v>
      </c>
      <c r="G7695" s="7">
        <v>3907481</v>
      </c>
      <c r="H7695" s="7">
        <v>2419</v>
      </c>
      <c r="I7695" s="7">
        <v>1600</v>
      </c>
      <c r="J7695" s="7">
        <v>0</v>
      </c>
      <c r="K7695" s="7" t="s">
        <v>18</v>
      </c>
      <c r="L7695" s="8">
        <v>39987.315405092595</v>
      </c>
      <c r="M7695" s="9" t="s">
        <v>19</v>
      </c>
      <c r="N7695" s="9" t="s">
        <v>20</v>
      </c>
      <c r="O7695" s="6" t="str">
        <f>HYPERLINK("https://pbs.twimg.com/profile_images/962471262747529216/Uo8lOkRJ_normal.jpg","View")</f>
        <v>View</v>
      </c>
      <c r="P7695" s="7"/>
    </row>
    <row r="7696" spans="1:16">
      <c r="A7696" s="3">
        <v>44027.989606481482</v>
      </c>
      <c r="B7696" s="4" t="str">
        <f>HYPERLINK("https://twitter.com/petrogustavo","@petrogustavo")</f>
        <v>@petrogustavo</v>
      </c>
      <c r="C7696" s="5" t="s">
        <v>16</v>
      </c>
      <c r="D7696" s="5" t="s">
        <v>7425</v>
      </c>
      <c r="E7696" s="6" t="str">
        <f>HYPERLINK("https://twitter.com/petrogustavo/status/1283465111357751296","1283465111357751296")</f>
        <v>1283465111357751296</v>
      </c>
      <c r="F7696" s="7" t="s">
        <v>17</v>
      </c>
      <c r="G7696" s="7">
        <v>3907668</v>
      </c>
      <c r="H7696" s="7">
        <v>2419</v>
      </c>
      <c r="I7696" s="7">
        <v>1250</v>
      </c>
      <c r="J7696" s="7">
        <v>0</v>
      </c>
      <c r="K7696" s="7" t="s">
        <v>18</v>
      </c>
      <c r="L7696" s="8">
        <v>39987.315405092595</v>
      </c>
      <c r="M7696" s="9" t="s">
        <v>19</v>
      </c>
      <c r="N7696" s="9" t="s">
        <v>20</v>
      </c>
      <c r="O7696" s="6" t="str">
        <f>HYPERLINK("https://pbs.twimg.com/profile_images/962471262747529216/Uo8lOkRJ_normal.jpg","View")</f>
        <v>View</v>
      </c>
      <c r="P7696" s="7"/>
    </row>
    <row r="7697" spans="1:16">
      <c r="A7697" s="3">
        <v>44027.994050925925</v>
      </c>
      <c r="B7697" s="4" t="str">
        <f>HYPERLINK("https://twitter.com/petrogustavo","@petrogustavo")</f>
        <v>@petrogustavo</v>
      </c>
      <c r="C7697" s="5" t="s">
        <v>16</v>
      </c>
      <c r="D7697" s="5" t="s">
        <v>7426</v>
      </c>
      <c r="E7697" s="6" t="str">
        <f>HYPERLINK("https://twitter.com/petrogustavo/status/1283466720699658241","1283466720699658241")</f>
        <v>1283466720699658241</v>
      </c>
      <c r="F7697" s="7" t="s">
        <v>17</v>
      </c>
      <c r="G7697" s="7">
        <v>3907686</v>
      </c>
      <c r="H7697" s="7">
        <v>2419</v>
      </c>
      <c r="I7697" s="7">
        <v>54</v>
      </c>
      <c r="J7697" s="7">
        <v>0</v>
      </c>
      <c r="K7697" s="7" t="s">
        <v>18</v>
      </c>
      <c r="L7697" s="8">
        <v>39987.315405092595</v>
      </c>
      <c r="M7697" s="9" t="s">
        <v>19</v>
      </c>
      <c r="N7697" s="9" t="s">
        <v>20</v>
      </c>
      <c r="O7697" s="6" t="str">
        <f>HYPERLINK("https://pbs.twimg.com/profile_images/962471262747529216/Uo8lOkRJ_normal.jpg","View")</f>
        <v>View</v>
      </c>
      <c r="P7697" s="7"/>
    </row>
    <row r="7698" spans="1:16">
      <c r="A7698" s="3">
        <v>44027.994618055556</v>
      </c>
      <c r="B7698" s="4" t="str">
        <f>HYPERLINK("https://twitter.com/petrogustavo","@petrogustavo")</f>
        <v>@petrogustavo</v>
      </c>
      <c r="C7698" s="5" t="s">
        <v>16</v>
      </c>
      <c r="D7698" s="5" t="s">
        <v>7427</v>
      </c>
      <c r="E7698" s="6" t="str">
        <f>HYPERLINK("https://twitter.com/petrogustavo/status/1283466924245090306","1283466924245090306")</f>
        <v>1283466924245090306</v>
      </c>
      <c r="F7698" s="7" t="s">
        <v>17</v>
      </c>
      <c r="G7698" s="7">
        <v>3907686</v>
      </c>
      <c r="H7698" s="7">
        <v>2419</v>
      </c>
      <c r="I7698" s="7">
        <v>37</v>
      </c>
      <c r="J7698" s="7">
        <v>0</v>
      </c>
      <c r="K7698" s="7" t="s">
        <v>18</v>
      </c>
      <c r="L7698" s="8">
        <v>39987.315405092595</v>
      </c>
      <c r="M7698" s="9" t="s">
        <v>19</v>
      </c>
      <c r="N7698" s="9" t="s">
        <v>20</v>
      </c>
      <c r="O7698" s="6" t="str">
        <f>HYPERLINK("https://pbs.twimg.com/profile_images/962471262747529216/Uo8lOkRJ_normal.jpg","View")</f>
        <v>View</v>
      </c>
      <c r="P7698" s="7"/>
    </row>
    <row r="7699" spans="1:16">
      <c r="A7699" s="3">
        <v>44027.996666666666</v>
      </c>
      <c r="B7699" s="4" t="str">
        <f>HYPERLINK("https://twitter.com/petrogustavo","@petrogustavo")</f>
        <v>@petrogustavo</v>
      </c>
      <c r="C7699" s="5" t="s">
        <v>16</v>
      </c>
      <c r="D7699" s="5" t="s">
        <v>7428</v>
      </c>
      <c r="E7699" s="6" t="str">
        <f>HYPERLINK("https://twitter.com/petrogustavo/status/1283467668457234435","1283467668457234435")</f>
        <v>1283467668457234435</v>
      </c>
      <c r="F7699" s="7" t="s">
        <v>17</v>
      </c>
      <c r="G7699" s="7">
        <v>3907686</v>
      </c>
      <c r="H7699" s="7">
        <v>2419</v>
      </c>
      <c r="I7699" s="7">
        <v>33</v>
      </c>
      <c r="J7699" s="7">
        <v>0</v>
      </c>
      <c r="K7699" s="7" t="s">
        <v>18</v>
      </c>
      <c r="L7699" s="8">
        <v>39987.315405092595</v>
      </c>
      <c r="M7699" s="9" t="s">
        <v>19</v>
      </c>
      <c r="N7699" s="9" t="s">
        <v>20</v>
      </c>
      <c r="O7699" s="6" t="str">
        <f>HYPERLINK("https://pbs.twimg.com/profile_images/962471262747529216/Uo8lOkRJ_normal.jpg","View")</f>
        <v>View</v>
      </c>
      <c r="P7699" s="7"/>
    </row>
    <row r="7700" spans="1:16">
      <c r="A7700" s="3">
        <v>44028.002199074079</v>
      </c>
      <c r="B7700" s="4" t="str">
        <f>HYPERLINK("https://twitter.com/petrogustavo","@petrogustavo")</f>
        <v>@petrogustavo</v>
      </c>
      <c r="C7700" s="5" t="s">
        <v>16</v>
      </c>
      <c r="D7700" s="5" t="s">
        <v>7429</v>
      </c>
      <c r="E7700" s="6" t="str">
        <f>HYPERLINK("https://twitter.com/petrogustavo/status/1283469672810188801","1283469672810188801")</f>
        <v>1283469672810188801</v>
      </c>
      <c r="F7700" s="7" t="s">
        <v>17</v>
      </c>
      <c r="G7700" s="7">
        <v>3907686</v>
      </c>
      <c r="H7700" s="7">
        <v>2419</v>
      </c>
      <c r="I7700" s="7">
        <v>165</v>
      </c>
      <c r="J7700" s="7">
        <v>373</v>
      </c>
      <c r="K7700" s="7" t="s">
        <v>18</v>
      </c>
      <c r="L7700" s="8">
        <v>39987.315405092595</v>
      </c>
      <c r="M7700" s="9" t="s">
        <v>19</v>
      </c>
      <c r="N7700" s="9" t="s">
        <v>20</v>
      </c>
      <c r="O7700" s="6" t="str">
        <f>HYPERLINK("https://pbs.twimg.com/profile_images/962471262747529216/Uo8lOkRJ_normal.jpg","View")</f>
        <v>View</v>
      </c>
      <c r="P7700" s="7"/>
    </row>
    <row r="7701" spans="1:16">
      <c r="A7701" s="3">
        <v>44028.004016203704</v>
      </c>
      <c r="B7701" s="4" t="str">
        <f>HYPERLINK("https://twitter.com/petrogustavo","@petrogustavo")</f>
        <v>@petrogustavo</v>
      </c>
      <c r="C7701" s="5" t="s">
        <v>16</v>
      </c>
      <c r="D7701" s="5" t="s">
        <v>7430</v>
      </c>
      <c r="E7701" s="6" t="str">
        <f>HYPERLINK("https://twitter.com/petrogustavo/status/1283470331261390849","1283470331261390849")</f>
        <v>1283470331261390849</v>
      </c>
      <c r="F7701" s="7" t="s">
        <v>17</v>
      </c>
      <c r="G7701" s="7">
        <v>3907686</v>
      </c>
      <c r="H7701" s="7">
        <v>2419</v>
      </c>
      <c r="I7701" s="7">
        <v>51</v>
      </c>
      <c r="J7701" s="7">
        <v>147</v>
      </c>
      <c r="K7701" s="7" t="s">
        <v>18</v>
      </c>
      <c r="L7701" s="8">
        <v>39987.315405092595</v>
      </c>
      <c r="M7701" s="9" t="s">
        <v>19</v>
      </c>
      <c r="N7701" s="9" t="s">
        <v>20</v>
      </c>
      <c r="O7701" s="6" t="str">
        <f>HYPERLINK("https://pbs.twimg.com/profile_images/962471262747529216/Uo8lOkRJ_normal.jpg","View")</f>
        <v>View</v>
      </c>
      <c r="P7701" s="7"/>
    </row>
    <row r="7702" spans="1:16">
      <c r="A7702" s="3">
        <v>44028.005729166667</v>
      </c>
      <c r="B7702" s="4" t="str">
        <f>HYPERLINK("https://twitter.com/petrogustavo","@petrogustavo")</f>
        <v>@petrogustavo</v>
      </c>
      <c r="C7702" s="5" t="s">
        <v>16</v>
      </c>
      <c r="D7702" s="5" t="s">
        <v>7431</v>
      </c>
      <c r="E7702" s="6" t="str">
        <f>HYPERLINK("https://twitter.com/petrogustavo/status/1283470953310298113","1283470953310298113")</f>
        <v>1283470953310298113</v>
      </c>
      <c r="F7702" s="7" t="s">
        <v>17</v>
      </c>
      <c r="G7702" s="7">
        <v>3907686</v>
      </c>
      <c r="H7702" s="7">
        <v>2419</v>
      </c>
      <c r="I7702" s="7">
        <v>124</v>
      </c>
      <c r="J7702" s="7">
        <v>408</v>
      </c>
      <c r="K7702" s="7" t="s">
        <v>18</v>
      </c>
      <c r="L7702" s="8">
        <v>39987.315405092595</v>
      </c>
      <c r="M7702" s="9" t="s">
        <v>19</v>
      </c>
      <c r="N7702" s="9" t="s">
        <v>20</v>
      </c>
      <c r="O7702" s="6" t="str">
        <f>HYPERLINK("https://pbs.twimg.com/profile_images/962471262747529216/Uo8lOkRJ_normal.jpg","View")</f>
        <v>View</v>
      </c>
      <c r="P7702" s="7"/>
    </row>
    <row r="7703" spans="1:16">
      <c r="A7703" s="3">
        <v>44028.010185185187</v>
      </c>
      <c r="B7703" s="4" t="str">
        <f>HYPERLINK("https://twitter.com/petrogustavo","@petrogustavo")</f>
        <v>@petrogustavo</v>
      </c>
      <c r="C7703" s="5" t="s">
        <v>16</v>
      </c>
      <c r="D7703" s="5" t="s">
        <v>7432</v>
      </c>
      <c r="E7703" s="6" t="str">
        <f>HYPERLINK("https://twitter.com/petrogustavo/status/1283472566955450368","1283472566955450368")</f>
        <v>1283472566955450368</v>
      </c>
      <c r="F7703" s="7" t="s">
        <v>17</v>
      </c>
      <c r="G7703" s="7">
        <v>3907686</v>
      </c>
      <c r="H7703" s="7">
        <v>2419</v>
      </c>
      <c r="I7703" s="7">
        <v>32</v>
      </c>
      <c r="J7703" s="7">
        <v>0</v>
      </c>
      <c r="K7703" s="7" t="s">
        <v>18</v>
      </c>
      <c r="L7703" s="8">
        <v>39987.315405092595</v>
      </c>
      <c r="M7703" s="9" t="s">
        <v>19</v>
      </c>
      <c r="N7703" s="9" t="s">
        <v>20</v>
      </c>
      <c r="O7703" s="6" t="str">
        <f>HYPERLINK("https://pbs.twimg.com/profile_images/962471262747529216/Uo8lOkRJ_normal.jpg","View")</f>
        <v>View</v>
      </c>
      <c r="P7703" s="7"/>
    </row>
    <row r="7704" spans="1:16">
      <c r="A7704" s="3">
        <v>44028.011215277773</v>
      </c>
      <c r="B7704" s="4" t="str">
        <f>HYPERLINK("https://twitter.com/petrogustavo","@petrogustavo")</f>
        <v>@petrogustavo</v>
      </c>
      <c r="C7704" s="5" t="s">
        <v>16</v>
      </c>
      <c r="D7704" s="5" t="s">
        <v>7424</v>
      </c>
      <c r="E7704" s="6" t="str">
        <f>HYPERLINK("https://twitter.com/petrogustavo/status/1283472940240195584","1283472940240195584")</f>
        <v>1283472940240195584</v>
      </c>
      <c r="F7704" s="7" t="s">
        <v>17</v>
      </c>
      <c r="G7704" s="7">
        <v>3907686</v>
      </c>
      <c r="H7704" s="7">
        <v>2419</v>
      </c>
      <c r="I7704" s="7">
        <v>1808</v>
      </c>
      <c r="J7704" s="7">
        <v>0</v>
      </c>
      <c r="K7704" s="7" t="s">
        <v>18</v>
      </c>
      <c r="L7704" s="8">
        <v>39987.315405092595</v>
      </c>
      <c r="M7704" s="9" t="s">
        <v>19</v>
      </c>
      <c r="N7704" s="9" t="s">
        <v>20</v>
      </c>
      <c r="O7704" s="6" t="str">
        <f>HYPERLINK("https://pbs.twimg.com/profile_images/962471262747529216/Uo8lOkRJ_normal.jpg","View")</f>
        <v>View</v>
      </c>
      <c r="P7704" s="7"/>
    </row>
    <row r="7705" spans="1:16">
      <c r="A7705" s="3">
        <v>44028.162534722222</v>
      </c>
      <c r="B7705" s="4" t="str">
        <f>HYPERLINK("https://twitter.com/petrogustavo","@petrogustavo")</f>
        <v>@petrogustavo</v>
      </c>
      <c r="C7705" s="5" t="s">
        <v>16</v>
      </c>
      <c r="D7705" s="5" t="s">
        <v>7433</v>
      </c>
      <c r="E7705" s="6" t="str">
        <f>HYPERLINK("https://twitter.com/petrogustavo/status/1283527775639474179","1283527775639474179")</f>
        <v>1283527775639474179</v>
      </c>
      <c r="F7705" s="7" t="s">
        <v>17</v>
      </c>
      <c r="G7705" s="7">
        <v>3907834</v>
      </c>
      <c r="H7705" s="7">
        <v>2419</v>
      </c>
      <c r="I7705" s="7">
        <v>144</v>
      </c>
      <c r="J7705" s="7">
        <v>0</v>
      </c>
      <c r="K7705" s="7" t="s">
        <v>18</v>
      </c>
      <c r="L7705" s="8">
        <v>39987.315405092595</v>
      </c>
      <c r="M7705" s="9" t="s">
        <v>19</v>
      </c>
      <c r="N7705" s="9" t="s">
        <v>20</v>
      </c>
      <c r="O7705" s="6" t="str">
        <f>HYPERLINK("https://pbs.twimg.com/profile_images/962471262747529216/Uo8lOkRJ_normal.jpg","View")</f>
        <v>View</v>
      </c>
      <c r="P7705" s="7"/>
    </row>
    <row r="7706" spans="1:16">
      <c r="A7706" s="3">
        <v>44028.163287037038</v>
      </c>
      <c r="B7706" s="4" t="str">
        <f>HYPERLINK("https://twitter.com/petrogustavo","@petrogustavo")</f>
        <v>@petrogustavo</v>
      </c>
      <c r="C7706" s="5" t="s">
        <v>16</v>
      </c>
      <c r="D7706" s="5" t="s">
        <v>7434</v>
      </c>
      <c r="E7706" s="6" t="str">
        <f>HYPERLINK("https://twitter.com/petrogustavo/status/1283528049791827969","1283528049791827969")</f>
        <v>1283528049791827969</v>
      </c>
      <c r="F7706" s="7" t="s">
        <v>17</v>
      </c>
      <c r="G7706" s="7">
        <v>3907834</v>
      </c>
      <c r="H7706" s="7">
        <v>2419</v>
      </c>
      <c r="I7706" s="7">
        <v>158</v>
      </c>
      <c r="J7706" s="7">
        <v>0</v>
      </c>
      <c r="K7706" s="7" t="s">
        <v>18</v>
      </c>
      <c r="L7706" s="8">
        <v>39987.315405092595</v>
      </c>
      <c r="M7706" s="9" t="s">
        <v>19</v>
      </c>
      <c r="N7706" s="9" t="s">
        <v>20</v>
      </c>
      <c r="O7706" s="6" t="str">
        <f>HYPERLINK("https://pbs.twimg.com/profile_images/962471262747529216/Uo8lOkRJ_normal.jpg","View")</f>
        <v>View</v>
      </c>
      <c r="P7706" s="7"/>
    </row>
    <row r="7707" spans="1:16">
      <c r="A7707" s="3">
        <v>44028.163437499999</v>
      </c>
      <c r="B7707" s="4" t="str">
        <f>HYPERLINK("https://twitter.com/petrogustavo","@petrogustavo")</f>
        <v>@petrogustavo</v>
      </c>
      <c r="C7707" s="5" t="s">
        <v>16</v>
      </c>
      <c r="D7707" s="5" t="s">
        <v>7435</v>
      </c>
      <c r="E7707" s="6" t="str">
        <f>HYPERLINK("https://twitter.com/petrogustavo/status/1283528104292556800","1283528104292556800")</f>
        <v>1283528104292556800</v>
      </c>
      <c r="F7707" s="7" t="s">
        <v>17</v>
      </c>
      <c r="G7707" s="7">
        <v>3907834</v>
      </c>
      <c r="H7707" s="7">
        <v>2419</v>
      </c>
      <c r="I7707" s="7">
        <v>143</v>
      </c>
      <c r="J7707" s="7">
        <v>0</v>
      </c>
      <c r="K7707" s="7" t="s">
        <v>18</v>
      </c>
      <c r="L7707" s="8">
        <v>39987.315405092595</v>
      </c>
      <c r="M7707" s="9" t="s">
        <v>19</v>
      </c>
      <c r="N7707" s="9" t="s">
        <v>20</v>
      </c>
      <c r="O7707" s="6" t="str">
        <f>HYPERLINK("https://pbs.twimg.com/profile_images/962471262747529216/Uo8lOkRJ_normal.jpg","View")</f>
        <v>View</v>
      </c>
      <c r="P7707" s="7"/>
    </row>
    <row r="7708" spans="1:16">
      <c r="A7708" s="3">
        <v>44028.164178240739</v>
      </c>
      <c r="B7708" s="4" t="str">
        <f>HYPERLINK("https://twitter.com/petrogustavo","@petrogustavo")</f>
        <v>@petrogustavo</v>
      </c>
      <c r="C7708" s="5" t="s">
        <v>16</v>
      </c>
      <c r="D7708" s="5" t="s">
        <v>7436</v>
      </c>
      <c r="E7708" s="6" t="str">
        <f>HYPERLINK("https://twitter.com/petrogustavo/status/1283528371327164416","1283528371327164416")</f>
        <v>1283528371327164416</v>
      </c>
      <c r="F7708" s="7" t="s">
        <v>17</v>
      </c>
      <c r="G7708" s="7">
        <v>3907834</v>
      </c>
      <c r="H7708" s="7">
        <v>2419</v>
      </c>
      <c r="I7708" s="7">
        <v>116</v>
      </c>
      <c r="J7708" s="7">
        <v>0</v>
      </c>
      <c r="K7708" s="7" t="s">
        <v>18</v>
      </c>
      <c r="L7708" s="8">
        <v>39987.315405092595</v>
      </c>
      <c r="M7708" s="9" t="s">
        <v>19</v>
      </c>
      <c r="N7708" s="9" t="s">
        <v>20</v>
      </c>
      <c r="O7708" s="6" t="str">
        <f>HYPERLINK("https://pbs.twimg.com/profile_images/962471262747529216/Uo8lOkRJ_normal.jpg","View")</f>
        <v>View</v>
      </c>
      <c r="P7708" s="7"/>
    </row>
    <row r="7709" spans="1:16">
      <c r="A7709" s="3">
        <v>44028.164606481485</v>
      </c>
      <c r="B7709" s="4" t="str">
        <f>HYPERLINK("https://twitter.com/petrogustavo","@petrogustavo")</f>
        <v>@petrogustavo</v>
      </c>
      <c r="C7709" s="5" t="s">
        <v>16</v>
      </c>
      <c r="D7709" s="5" t="s">
        <v>7437</v>
      </c>
      <c r="E7709" s="6" t="str">
        <f>HYPERLINK("https://twitter.com/petrogustavo/status/1283528527787286530","1283528527787286530")</f>
        <v>1283528527787286530</v>
      </c>
      <c r="F7709" s="7" t="s">
        <v>17</v>
      </c>
      <c r="G7709" s="7">
        <v>3907834</v>
      </c>
      <c r="H7709" s="7">
        <v>2419</v>
      </c>
      <c r="I7709" s="7">
        <v>92</v>
      </c>
      <c r="J7709" s="7">
        <v>0</v>
      </c>
      <c r="K7709" s="7" t="s">
        <v>18</v>
      </c>
      <c r="L7709" s="8">
        <v>39987.315405092595</v>
      </c>
      <c r="M7709" s="9" t="s">
        <v>19</v>
      </c>
      <c r="N7709" s="9" t="s">
        <v>20</v>
      </c>
      <c r="O7709" s="6" t="str">
        <f>HYPERLINK("https://pbs.twimg.com/profile_images/962471262747529216/Uo8lOkRJ_normal.jpg","View")</f>
        <v>View</v>
      </c>
      <c r="P7709" s="7"/>
    </row>
    <row r="7710" spans="1:16">
      <c r="A7710" s="3">
        <v>44028.165000000001</v>
      </c>
      <c r="B7710" s="4" t="str">
        <f>HYPERLINK("https://twitter.com/petrogustavo","@petrogustavo")</f>
        <v>@petrogustavo</v>
      </c>
      <c r="C7710" s="5" t="s">
        <v>16</v>
      </c>
      <c r="D7710" s="5" t="s">
        <v>7438</v>
      </c>
      <c r="E7710" s="6" t="str">
        <f>HYPERLINK("https://twitter.com/petrogustavo/status/1283528671870025729","1283528671870025729")</f>
        <v>1283528671870025729</v>
      </c>
      <c r="F7710" s="7" t="s">
        <v>17</v>
      </c>
      <c r="G7710" s="7">
        <v>3907834</v>
      </c>
      <c r="H7710" s="7">
        <v>2419</v>
      </c>
      <c r="I7710" s="7">
        <v>118</v>
      </c>
      <c r="J7710" s="7">
        <v>0</v>
      </c>
      <c r="K7710" s="7" t="s">
        <v>18</v>
      </c>
      <c r="L7710" s="8">
        <v>39987.315405092595</v>
      </c>
      <c r="M7710" s="9" t="s">
        <v>19</v>
      </c>
      <c r="N7710" s="9" t="s">
        <v>20</v>
      </c>
      <c r="O7710" s="6" t="str">
        <f>HYPERLINK("https://pbs.twimg.com/profile_images/962471262747529216/Uo8lOkRJ_normal.jpg","View")</f>
        <v>View</v>
      </c>
      <c r="P7710" s="7"/>
    </row>
    <row r="7711" spans="1:16">
      <c r="A7711" s="3">
        <v>44028.165625000001</v>
      </c>
      <c r="B7711" s="4" t="str">
        <f>HYPERLINK("https://twitter.com/petrogustavo","@petrogustavo")</f>
        <v>@petrogustavo</v>
      </c>
      <c r="C7711" s="5" t="s">
        <v>16</v>
      </c>
      <c r="D7711" s="5" t="s">
        <v>7439</v>
      </c>
      <c r="E7711" s="6" t="str">
        <f>HYPERLINK("https://twitter.com/petrogustavo/status/1283528896072351744","1283528896072351744")</f>
        <v>1283528896072351744</v>
      </c>
      <c r="F7711" s="7" t="s">
        <v>17</v>
      </c>
      <c r="G7711" s="7">
        <v>3907834</v>
      </c>
      <c r="H7711" s="7">
        <v>2419</v>
      </c>
      <c r="I7711" s="7">
        <v>59</v>
      </c>
      <c r="J7711" s="7">
        <v>0</v>
      </c>
      <c r="K7711" s="7" t="s">
        <v>18</v>
      </c>
      <c r="L7711" s="8">
        <v>39987.315405092595</v>
      </c>
      <c r="M7711" s="9" t="s">
        <v>19</v>
      </c>
      <c r="N7711" s="9" t="s">
        <v>20</v>
      </c>
      <c r="O7711" s="6" t="str">
        <f>HYPERLINK("https://pbs.twimg.com/profile_images/962471262747529216/Uo8lOkRJ_normal.jpg","View")</f>
        <v>View</v>
      </c>
      <c r="P7711" s="7"/>
    </row>
    <row r="7712" spans="1:16">
      <c r="A7712" s="3">
        <v>44028.168449074074</v>
      </c>
      <c r="B7712" s="4" t="str">
        <f>HYPERLINK("https://twitter.com/petrogustavo","@petrogustavo")</f>
        <v>@petrogustavo</v>
      </c>
      <c r="C7712" s="5" t="s">
        <v>16</v>
      </c>
      <c r="D7712" s="5" t="s">
        <v>7440</v>
      </c>
      <c r="E7712" s="6" t="str">
        <f>HYPERLINK("https://twitter.com/petrogustavo/status/1283529918559789061","1283529918559789061")</f>
        <v>1283529918559789061</v>
      </c>
      <c r="F7712" s="7" t="s">
        <v>17</v>
      </c>
      <c r="G7712" s="7">
        <v>3907834</v>
      </c>
      <c r="H7712" s="7">
        <v>2419</v>
      </c>
      <c r="I7712" s="7">
        <v>52</v>
      </c>
      <c r="J7712" s="7">
        <v>0</v>
      </c>
      <c r="K7712" s="7" t="s">
        <v>18</v>
      </c>
      <c r="L7712" s="8">
        <v>39987.315405092595</v>
      </c>
      <c r="M7712" s="9" t="s">
        <v>19</v>
      </c>
      <c r="N7712" s="9" t="s">
        <v>20</v>
      </c>
      <c r="O7712" s="6" t="str">
        <f>HYPERLINK("https://pbs.twimg.com/profile_images/962471262747529216/Uo8lOkRJ_normal.jpg","View")</f>
        <v>View</v>
      </c>
      <c r="P7712" s="7"/>
    </row>
    <row r="7713" spans="1:16">
      <c r="A7713" s="3">
        <v>44028.168599537035</v>
      </c>
      <c r="B7713" s="4" t="str">
        <f>HYPERLINK("https://twitter.com/petrogustavo","@petrogustavo")</f>
        <v>@petrogustavo</v>
      </c>
      <c r="C7713" s="5" t="s">
        <v>16</v>
      </c>
      <c r="D7713" s="5" t="s">
        <v>7441</v>
      </c>
      <c r="E7713" s="6" t="str">
        <f>HYPERLINK("https://twitter.com/petrogustavo/status/1283529972779560961","1283529972779560961")</f>
        <v>1283529972779560961</v>
      </c>
      <c r="F7713" s="7" t="s">
        <v>17</v>
      </c>
      <c r="G7713" s="7">
        <v>3907834</v>
      </c>
      <c r="H7713" s="7">
        <v>2419</v>
      </c>
      <c r="I7713" s="7">
        <v>212</v>
      </c>
      <c r="J7713" s="7">
        <v>0</v>
      </c>
      <c r="K7713" s="7" t="s">
        <v>18</v>
      </c>
      <c r="L7713" s="8">
        <v>39987.315405092595</v>
      </c>
      <c r="M7713" s="9" t="s">
        <v>19</v>
      </c>
      <c r="N7713" s="9" t="s">
        <v>20</v>
      </c>
      <c r="O7713" s="6" t="str">
        <f>HYPERLINK("https://pbs.twimg.com/profile_images/962471262747529216/Uo8lOkRJ_normal.jpg","View")</f>
        <v>View</v>
      </c>
      <c r="P7713" s="7"/>
    </row>
    <row r="7714" spans="1:16">
      <c r="A7714" s="3">
        <v>44028.171122685184</v>
      </c>
      <c r="B7714" s="4" t="str">
        <f>HYPERLINK("https://twitter.com/petrogustavo","@petrogustavo")</f>
        <v>@petrogustavo</v>
      </c>
      <c r="C7714" s="5" t="s">
        <v>16</v>
      </c>
      <c r="D7714" s="5" t="s">
        <v>7442</v>
      </c>
      <c r="E7714" s="6" t="str">
        <f>HYPERLINK("https://twitter.com/petrogustavo/status/1283530888224145409","1283530888224145409")</f>
        <v>1283530888224145409</v>
      </c>
      <c r="F7714" s="7" t="s">
        <v>17</v>
      </c>
      <c r="G7714" s="7">
        <v>3907834</v>
      </c>
      <c r="H7714" s="7">
        <v>2419</v>
      </c>
      <c r="I7714" s="7">
        <v>21</v>
      </c>
      <c r="J7714" s="7">
        <v>0</v>
      </c>
      <c r="K7714" s="7" t="s">
        <v>18</v>
      </c>
      <c r="L7714" s="8">
        <v>39987.315405092595</v>
      </c>
      <c r="M7714" s="9" t="s">
        <v>19</v>
      </c>
      <c r="N7714" s="9" t="s">
        <v>20</v>
      </c>
      <c r="O7714" s="6" t="str">
        <f>HYPERLINK("https://pbs.twimg.com/profile_images/962471262747529216/Uo8lOkRJ_normal.jpg","View")</f>
        <v>View</v>
      </c>
      <c r="P7714" s="7"/>
    </row>
    <row r="7715" spans="1:16">
      <c r="A7715" s="3">
        <v>44028.231504629628</v>
      </c>
      <c r="B7715" s="4" t="str">
        <f>HYPERLINK("https://twitter.com/petrogustavo","@petrogustavo")</f>
        <v>@petrogustavo</v>
      </c>
      <c r="C7715" s="5" t="s">
        <v>16</v>
      </c>
      <c r="D7715" s="5" t="s">
        <v>7443</v>
      </c>
      <c r="E7715" s="6" t="str">
        <f>HYPERLINK("https://twitter.com/petrogustavo/status/1283552769799008256","1283552769799008256")</f>
        <v>1283552769799008256</v>
      </c>
      <c r="F7715" s="7" t="s">
        <v>32</v>
      </c>
      <c r="G7715" s="7">
        <v>3907887</v>
      </c>
      <c r="H7715" s="7">
        <v>2419</v>
      </c>
      <c r="I7715" s="7">
        <v>58</v>
      </c>
      <c r="J7715" s="7">
        <v>0</v>
      </c>
      <c r="K7715" s="7" t="s">
        <v>18</v>
      </c>
      <c r="L7715" s="8">
        <v>39987.315405092595</v>
      </c>
      <c r="M7715" s="9" t="s">
        <v>19</v>
      </c>
      <c r="N7715" s="9" t="s">
        <v>20</v>
      </c>
      <c r="O7715" s="6" t="str">
        <f>HYPERLINK("https://pbs.twimg.com/profile_images/962471262747529216/Uo8lOkRJ_normal.jpg","View")</f>
        <v>View</v>
      </c>
      <c r="P7715" s="7"/>
    </row>
    <row r="7716" spans="1:16">
      <c r="A7716" s="3">
        <v>44028.28019675926</v>
      </c>
      <c r="B7716" s="4" t="str">
        <f>HYPERLINK("https://twitter.com/petrogustavo","@petrogustavo")</f>
        <v>@petrogustavo</v>
      </c>
      <c r="C7716" s="5" t="s">
        <v>16</v>
      </c>
      <c r="D7716" s="5" t="s">
        <v>7444</v>
      </c>
      <c r="E7716" s="6" t="str">
        <f>HYPERLINK("https://twitter.com/petrogustavo/status/1283570415936430084","1283570415936430084")</f>
        <v>1283570415936430084</v>
      </c>
      <c r="F7716" s="7" t="s">
        <v>32</v>
      </c>
      <c r="G7716" s="7">
        <v>3907948</v>
      </c>
      <c r="H7716" s="7">
        <v>2419</v>
      </c>
      <c r="I7716" s="7">
        <v>39</v>
      </c>
      <c r="J7716" s="7">
        <v>108</v>
      </c>
      <c r="K7716" s="7" t="s">
        <v>18</v>
      </c>
      <c r="L7716" s="8">
        <v>39987.315405092595</v>
      </c>
      <c r="M7716" s="9" t="s">
        <v>19</v>
      </c>
      <c r="N7716" s="9" t="s">
        <v>20</v>
      </c>
      <c r="O7716" s="6" t="str">
        <f>HYPERLINK("https://pbs.twimg.com/profile_images/962471262747529216/Uo8lOkRJ_normal.jpg","View")</f>
        <v>View</v>
      </c>
      <c r="P7716" s="7"/>
    </row>
    <row r="7717" spans="1:16">
      <c r="A7717" s="3">
        <v>44028.739039351851</v>
      </c>
      <c r="B7717" s="4" t="str">
        <f>HYPERLINK("https://twitter.com/petrogustavo","@petrogustavo")</f>
        <v>@petrogustavo</v>
      </c>
      <c r="C7717" s="5" t="s">
        <v>16</v>
      </c>
      <c r="D7717" s="5" t="s">
        <v>7445</v>
      </c>
      <c r="E7717" s="6" t="str">
        <f>HYPERLINK("https://twitter.com/petrogustavo/status/1283736693955334144","1283736693955334144")</f>
        <v>1283736693955334144</v>
      </c>
      <c r="F7717" s="7" t="s">
        <v>17</v>
      </c>
      <c r="G7717" s="7">
        <v>3908120</v>
      </c>
      <c r="H7717" s="7">
        <v>2418</v>
      </c>
      <c r="I7717" s="7">
        <v>138</v>
      </c>
      <c r="J7717" s="7">
        <v>0</v>
      </c>
      <c r="K7717" s="7" t="s">
        <v>18</v>
      </c>
      <c r="L7717" s="8">
        <v>39987.315405092595</v>
      </c>
      <c r="M7717" s="9" t="s">
        <v>19</v>
      </c>
      <c r="N7717" s="9" t="s">
        <v>20</v>
      </c>
      <c r="O7717" s="6" t="str">
        <f>HYPERLINK("https://pbs.twimg.com/profile_images/962471262747529216/Uo8lOkRJ_normal.jpg","View")</f>
        <v>View</v>
      </c>
      <c r="P7717" s="7"/>
    </row>
    <row r="7718" spans="1:16">
      <c r="A7718" s="3">
        <v>44028.742893518516</v>
      </c>
      <c r="B7718" s="4" t="str">
        <f>HYPERLINK("https://twitter.com/petrogustavo","@petrogustavo")</f>
        <v>@petrogustavo</v>
      </c>
      <c r="C7718" s="5" t="s">
        <v>16</v>
      </c>
      <c r="D7718" s="5" t="s">
        <v>7446</v>
      </c>
      <c r="E7718" s="6" t="str">
        <f>HYPERLINK("https://twitter.com/petrogustavo/status/1283738091547697157","1283738091547697157")</f>
        <v>1283738091547697157</v>
      </c>
      <c r="F7718" s="7" t="s">
        <v>17</v>
      </c>
      <c r="G7718" s="7">
        <v>3908136</v>
      </c>
      <c r="H7718" s="7">
        <v>2418</v>
      </c>
      <c r="I7718" s="7">
        <v>246</v>
      </c>
      <c r="J7718" s="7">
        <v>704</v>
      </c>
      <c r="K7718" s="7" t="s">
        <v>18</v>
      </c>
      <c r="L7718" s="8">
        <v>39987.315405092595</v>
      </c>
      <c r="M7718" s="9" t="s">
        <v>19</v>
      </c>
      <c r="N7718" s="9" t="s">
        <v>20</v>
      </c>
      <c r="O7718" s="6" t="str">
        <f>HYPERLINK("https://pbs.twimg.com/profile_images/962471262747529216/Uo8lOkRJ_normal.jpg","View")</f>
        <v>View</v>
      </c>
      <c r="P7718" s="7"/>
    </row>
    <row r="7719" spans="1:16">
      <c r="A7719" s="3">
        <v>44028.744675925926</v>
      </c>
      <c r="B7719" s="4" t="str">
        <f>HYPERLINK("https://twitter.com/petrogustavo","@petrogustavo")</f>
        <v>@petrogustavo</v>
      </c>
      <c r="C7719" s="5" t="s">
        <v>16</v>
      </c>
      <c r="D7719" s="5" t="s">
        <v>7447</v>
      </c>
      <c r="E7719" s="6" t="str">
        <f>HYPERLINK("https://twitter.com/petrogustavo/status/1283738738791723010","1283738738791723010")</f>
        <v>1283738738791723010</v>
      </c>
      <c r="F7719" s="7" t="s">
        <v>17</v>
      </c>
      <c r="G7719" s="7">
        <v>3908136</v>
      </c>
      <c r="H7719" s="7">
        <v>2418</v>
      </c>
      <c r="I7719" s="7">
        <v>165</v>
      </c>
      <c r="J7719" s="7">
        <v>473</v>
      </c>
      <c r="K7719" s="7" t="s">
        <v>18</v>
      </c>
      <c r="L7719" s="8">
        <v>39987.315405092595</v>
      </c>
      <c r="M7719" s="9" t="s">
        <v>19</v>
      </c>
      <c r="N7719" s="9" t="s">
        <v>20</v>
      </c>
      <c r="O7719" s="6" t="str">
        <f>HYPERLINK("https://pbs.twimg.com/profile_images/962471262747529216/Uo8lOkRJ_normal.jpg","View")</f>
        <v>View</v>
      </c>
      <c r="P7719" s="7"/>
    </row>
    <row r="7720" spans="1:16">
      <c r="A7720" s="3">
        <v>44028.750393518523</v>
      </c>
      <c r="B7720" s="4" t="str">
        <f>HYPERLINK("https://twitter.com/petrogustavo","@petrogustavo")</f>
        <v>@petrogustavo</v>
      </c>
      <c r="C7720" s="5" t="s">
        <v>16</v>
      </c>
      <c r="D7720" s="5" t="s">
        <v>7448</v>
      </c>
      <c r="E7720" s="6" t="str">
        <f>HYPERLINK("https://twitter.com/petrogustavo/status/1283740811650269186","1283740811650269186")</f>
        <v>1283740811650269186</v>
      </c>
      <c r="F7720" s="7" t="s">
        <v>17</v>
      </c>
      <c r="G7720" s="7">
        <v>3908136</v>
      </c>
      <c r="H7720" s="7">
        <v>2418</v>
      </c>
      <c r="I7720" s="7">
        <v>219</v>
      </c>
      <c r="J7720" s="7">
        <v>620</v>
      </c>
      <c r="K7720" s="7" t="s">
        <v>18</v>
      </c>
      <c r="L7720" s="8">
        <v>39987.315405092595</v>
      </c>
      <c r="M7720" s="9" t="s">
        <v>19</v>
      </c>
      <c r="N7720" s="9" t="s">
        <v>20</v>
      </c>
      <c r="O7720" s="6" t="str">
        <f>HYPERLINK("https://pbs.twimg.com/profile_images/962471262747529216/Uo8lOkRJ_normal.jpg","View")</f>
        <v>View</v>
      </c>
      <c r="P7720" s="7"/>
    </row>
    <row r="7721" spans="1:16">
      <c r="A7721" s="3">
        <v>44028.757488425923</v>
      </c>
      <c r="B7721" s="4" t="str">
        <f>HYPERLINK("https://twitter.com/petrogustavo","@petrogustavo")</f>
        <v>@petrogustavo</v>
      </c>
      <c r="C7721" s="5" t="s">
        <v>16</v>
      </c>
      <c r="D7721" s="5" t="s">
        <v>7449</v>
      </c>
      <c r="E7721" s="6" t="str">
        <f>HYPERLINK("https://twitter.com/petrogustavo/status/1283743379092918272","1283743379092918272")</f>
        <v>1283743379092918272</v>
      </c>
      <c r="F7721" s="7" t="s">
        <v>17</v>
      </c>
      <c r="G7721" s="7">
        <v>3908136</v>
      </c>
      <c r="H7721" s="7">
        <v>2418</v>
      </c>
      <c r="I7721" s="7">
        <v>82</v>
      </c>
      <c r="J7721" s="7">
        <v>163</v>
      </c>
      <c r="K7721" s="7" t="s">
        <v>18</v>
      </c>
      <c r="L7721" s="8">
        <v>39987.315405092595</v>
      </c>
      <c r="M7721" s="9" t="s">
        <v>19</v>
      </c>
      <c r="N7721" s="9" t="s">
        <v>20</v>
      </c>
      <c r="O7721" s="6" t="str">
        <f>HYPERLINK("https://pbs.twimg.com/profile_images/962471262747529216/Uo8lOkRJ_normal.jpg","View")</f>
        <v>View</v>
      </c>
      <c r="P7721" s="7"/>
    </row>
    <row r="7722" spans="1:16">
      <c r="A7722" s="3">
        <v>44028.780486111107</v>
      </c>
      <c r="B7722" s="4" t="str">
        <f>HYPERLINK("https://twitter.com/petrogustavo","@petrogustavo")</f>
        <v>@petrogustavo</v>
      </c>
      <c r="C7722" s="5" t="s">
        <v>16</v>
      </c>
      <c r="D7722" s="5" t="s">
        <v>7450</v>
      </c>
      <c r="E7722" s="6" t="str">
        <f>HYPERLINK("https://twitter.com/petrogustavo/status/1283751713363628033","1283751713363628033")</f>
        <v>1283751713363628033</v>
      </c>
      <c r="F7722" s="7" t="s">
        <v>17</v>
      </c>
      <c r="G7722" s="7">
        <v>3908155</v>
      </c>
      <c r="H7722" s="7">
        <v>2418</v>
      </c>
      <c r="I7722" s="7">
        <v>85</v>
      </c>
      <c r="J7722" s="7">
        <v>252</v>
      </c>
      <c r="K7722" s="7" t="s">
        <v>18</v>
      </c>
      <c r="L7722" s="8">
        <v>39987.315405092595</v>
      </c>
      <c r="M7722" s="9" t="s">
        <v>19</v>
      </c>
      <c r="N7722" s="9" t="s">
        <v>20</v>
      </c>
      <c r="O7722" s="6" t="str">
        <f>HYPERLINK("https://pbs.twimg.com/profile_images/962471262747529216/Uo8lOkRJ_normal.jpg","View")</f>
        <v>View</v>
      </c>
      <c r="P7722" s="7"/>
    </row>
    <row r="7723" spans="1:16">
      <c r="A7723" s="3">
        <v>44028.786307870367</v>
      </c>
      <c r="B7723" s="4" t="str">
        <f>HYPERLINK("https://twitter.com/petrogustavo","@petrogustavo")</f>
        <v>@petrogustavo</v>
      </c>
      <c r="C7723" s="5" t="s">
        <v>16</v>
      </c>
      <c r="D7723" s="5" t="s">
        <v>7451</v>
      </c>
      <c r="E7723" s="6" t="str">
        <f>HYPERLINK("https://twitter.com/petrogustavo/status/1283753823186620416","1283753823186620416")</f>
        <v>1283753823186620416</v>
      </c>
      <c r="F7723" s="7" t="s">
        <v>17</v>
      </c>
      <c r="G7723" s="7">
        <v>3908167</v>
      </c>
      <c r="H7723" s="7">
        <v>2418</v>
      </c>
      <c r="I7723" s="7">
        <v>124</v>
      </c>
      <c r="J7723" s="7">
        <v>280</v>
      </c>
      <c r="K7723" s="7" t="s">
        <v>18</v>
      </c>
      <c r="L7723" s="8">
        <v>39987.315405092595</v>
      </c>
      <c r="M7723" s="9" t="s">
        <v>19</v>
      </c>
      <c r="N7723" s="9" t="s">
        <v>20</v>
      </c>
      <c r="O7723" s="6" t="str">
        <f>HYPERLINK("https://pbs.twimg.com/profile_images/962471262747529216/Uo8lOkRJ_normal.jpg","View")</f>
        <v>View</v>
      </c>
      <c r="P7723" s="7"/>
    </row>
    <row r="7724" spans="1:16">
      <c r="A7724" s="3">
        <v>44028.78905092593</v>
      </c>
      <c r="B7724" s="4" t="str">
        <f>HYPERLINK("https://twitter.com/petrogustavo","@petrogustavo")</f>
        <v>@petrogustavo</v>
      </c>
      <c r="C7724" s="5" t="s">
        <v>16</v>
      </c>
      <c r="D7724" s="5" t="s">
        <v>7452</v>
      </c>
      <c r="E7724" s="6" t="str">
        <f>HYPERLINK("https://twitter.com/petrogustavo/status/1283754820776665089","1283754820776665089")</f>
        <v>1283754820776665089</v>
      </c>
      <c r="F7724" s="7" t="s">
        <v>17</v>
      </c>
      <c r="G7724" s="7">
        <v>3908167</v>
      </c>
      <c r="H7724" s="7">
        <v>2418</v>
      </c>
      <c r="I7724" s="7">
        <v>394</v>
      </c>
      <c r="J7724" s="7">
        <v>0</v>
      </c>
      <c r="K7724" s="7" t="s">
        <v>18</v>
      </c>
      <c r="L7724" s="8">
        <v>39987.315405092595</v>
      </c>
      <c r="M7724" s="9" t="s">
        <v>19</v>
      </c>
      <c r="N7724" s="9" t="s">
        <v>20</v>
      </c>
      <c r="O7724" s="6" t="str">
        <f>HYPERLINK("https://pbs.twimg.com/profile_images/962471262747529216/Uo8lOkRJ_normal.jpg","View")</f>
        <v>View</v>
      </c>
      <c r="P7724" s="7"/>
    </row>
    <row r="7725" spans="1:16">
      <c r="A7725" s="3">
        <v>44028.795185185183</v>
      </c>
      <c r="B7725" s="4" t="str">
        <f>HYPERLINK("https://twitter.com/petrogustavo","@petrogustavo")</f>
        <v>@petrogustavo</v>
      </c>
      <c r="C7725" s="5" t="s">
        <v>16</v>
      </c>
      <c r="D7725" s="5" t="s">
        <v>7453</v>
      </c>
      <c r="E7725" s="6" t="str">
        <f>HYPERLINK("https://twitter.com/petrogustavo/status/1283757040008081408","1283757040008081408")</f>
        <v>1283757040008081408</v>
      </c>
      <c r="F7725" s="7" t="s">
        <v>17</v>
      </c>
      <c r="G7725" s="7">
        <v>3908167</v>
      </c>
      <c r="H7725" s="7">
        <v>2418</v>
      </c>
      <c r="I7725" s="7">
        <v>64</v>
      </c>
      <c r="J7725" s="7">
        <v>177</v>
      </c>
      <c r="K7725" s="7" t="s">
        <v>18</v>
      </c>
      <c r="L7725" s="8">
        <v>39987.315405092595</v>
      </c>
      <c r="M7725" s="9" t="s">
        <v>19</v>
      </c>
      <c r="N7725" s="9" t="s">
        <v>20</v>
      </c>
      <c r="O7725" s="6" t="str">
        <f>HYPERLINK("https://pbs.twimg.com/profile_images/962471262747529216/Uo8lOkRJ_normal.jpg","View")</f>
        <v>View</v>
      </c>
      <c r="P7725" s="7"/>
    </row>
    <row r="7726" spans="1:16">
      <c r="A7726" s="3">
        <v>44028.79760416667</v>
      </c>
      <c r="B7726" s="4" t="str">
        <f>HYPERLINK("https://twitter.com/petrogustavo","@petrogustavo")</f>
        <v>@petrogustavo</v>
      </c>
      <c r="C7726" s="5" t="s">
        <v>16</v>
      </c>
      <c r="D7726" s="5" t="s">
        <v>7454</v>
      </c>
      <c r="E7726" s="6" t="str">
        <f>HYPERLINK("https://twitter.com/petrogustavo/status/1283757916936445952","1283757916936445952")</f>
        <v>1283757916936445952</v>
      </c>
      <c r="F7726" s="7" t="s">
        <v>17</v>
      </c>
      <c r="G7726" s="7">
        <v>3908167</v>
      </c>
      <c r="H7726" s="7">
        <v>2418</v>
      </c>
      <c r="I7726" s="7">
        <v>82</v>
      </c>
      <c r="J7726" s="7">
        <v>160</v>
      </c>
      <c r="K7726" s="7" t="s">
        <v>18</v>
      </c>
      <c r="L7726" s="8">
        <v>39987.315405092595</v>
      </c>
      <c r="M7726" s="9" t="s">
        <v>19</v>
      </c>
      <c r="N7726" s="9" t="s">
        <v>20</v>
      </c>
      <c r="O7726" s="6" t="str">
        <f>HYPERLINK("https://pbs.twimg.com/profile_images/962471262747529216/Uo8lOkRJ_normal.jpg","View")</f>
        <v>View</v>
      </c>
      <c r="P7726" s="7"/>
    </row>
    <row r="7727" spans="1:16">
      <c r="A7727" s="3">
        <v>44028.873449074075</v>
      </c>
      <c r="B7727" s="4" t="str">
        <f>HYPERLINK("https://twitter.com/petrogustavo","@petrogustavo")</f>
        <v>@petrogustavo</v>
      </c>
      <c r="C7727" s="5" t="s">
        <v>16</v>
      </c>
      <c r="D7727" s="5" t="s">
        <v>7455</v>
      </c>
      <c r="E7727" s="6" t="str">
        <f>HYPERLINK("https://twitter.com/petrogustavo/status/1283785404450328578","1283785404450328578")</f>
        <v>1283785404450328578</v>
      </c>
      <c r="F7727" s="7" t="s">
        <v>32</v>
      </c>
      <c r="G7727" s="7">
        <v>3908245</v>
      </c>
      <c r="H7727" s="7">
        <v>2418</v>
      </c>
      <c r="I7727" s="7">
        <v>391</v>
      </c>
      <c r="J7727" s="7">
        <v>0</v>
      </c>
      <c r="K7727" s="7" t="s">
        <v>18</v>
      </c>
      <c r="L7727" s="8">
        <v>39987.315405092595</v>
      </c>
      <c r="M7727" s="9" t="s">
        <v>19</v>
      </c>
      <c r="N7727" s="9" t="s">
        <v>20</v>
      </c>
      <c r="O7727" s="6" t="str">
        <f>HYPERLINK("https://pbs.twimg.com/profile_images/962471262747529216/Uo8lOkRJ_normal.jpg","View")</f>
        <v>View</v>
      </c>
      <c r="P7727" s="7"/>
    </row>
    <row r="7728" spans="1:16">
      <c r="A7728" s="3">
        <v>44028.877488425926</v>
      </c>
      <c r="B7728" s="4" t="str">
        <f>HYPERLINK("https://twitter.com/petrogustavo","@petrogustavo")</f>
        <v>@petrogustavo</v>
      </c>
      <c r="C7728" s="5" t="s">
        <v>16</v>
      </c>
      <c r="D7728" s="5" t="s">
        <v>7456</v>
      </c>
      <c r="E7728" s="6" t="str">
        <f>HYPERLINK("https://twitter.com/petrogustavo/status/1283786868790878209","1283786868790878209")</f>
        <v>1283786868790878209</v>
      </c>
      <c r="F7728" s="7" t="s">
        <v>32</v>
      </c>
      <c r="G7728" s="7">
        <v>3908245</v>
      </c>
      <c r="H7728" s="7">
        <v>2418</v>
      </c>
      <c r="I7728" s="7">
        <v>300</v>
      </c>
      <c r="J7728" s="7">
        <v>707</v>
      </c>
      <c r="K7728" s="7" t="s">
        <v>18</v>
      </c>
      <c r="L7728" s="8">
        <v>39987.315405092595</v>
      </c>
      <c r="M7728" s="9" t="s">
        <v>19</v>
      </c>
      <c r="N7728" s="9" t="s">
        <v>20</v>
      </c>
      <c r="O7728" s="6" t="str">
        <f>HYPERLINK("https://pbs.twimg.com/profile_images/962471262747529216/Uo8lOkRJ_normal.jpg","View")</f>
        <v>View</v>
      </c>
      <c r="P7728" s="7"/>
    </row>
    <row r="7729" spans="1:16">
      <c r="A7729" s="3">
        <v>44028.901712962965</v>
      </c>
      <c r="B7729" s="4" t="str">
        <f>HYPERLINK("https://twitter.com/petrogustavo","@petrogustavo")</f>
        <v>@petrogustavo</v>
      </c>
      <c r="C7729" s="5" t="s">
        <v>16</v>
      </c>
      <c r="D7729" s="5" t="s">
        <v>7457</v>
      </c>
      <c r="E7729" s="6" t="str">
        <f>HYPERLINK("https://twitter.com/petrogustavo/status/1283795647313973250","1283795647313973250")</f>
        <v>1283795647313973250</v>
      </c>
      <c r="F7729" s="7" t="s">
        <v>32</v>
      </c>
      <c r="G7729" s="7">
        <v>3908273</v>
      </c>
      <c r="H7729" s="7">
        <v>2418</v>
      </c>
      <c r="I7729" s="7">
        <v>110</v>
      </c>
      <c r="J7729" s="7">
        <v>267</v>
      </c>
      <c r="K7729" s="7" t="s">
        <v>18</v>
      </c>
      <c r="L7729" s="8">
        <v>39987.315405092595</v>
      </c>
      <c r="M7729" s="9" t="s">
        <v>19</v>
      </c>
      <c r="N7729" s="9" t="s">
        <v>20</v>
      </c>
      <c r="O7729" s="6" t="str">
        <f>HYPERLINK("https://pbs.twimg.com/profile_images/962471262747529216/Uo8lOkRJ_normal.jpg","View")</f>
        <v>View</v>
      </c>
      <c r="P7729" s="7"/>
    </row>
    <row r="7730" spans="1:16">
      <c r="A7730" s="3">
        <v>44029.012743055559</v>
      </c>
      <c r="B7730" s="4" t="str">
        <f>HYPERLINK("https://twitter.com/petrogustavo","@petrogustavo")</f>
        <v>@petrogustavo</v>
      </c>
      <c r="C7730" s="5" t="s">
        <v>16</v>
      </c>
      <c r="D7730" s="5" t="s">
        <v>7458</v>
      </c>
      <c r="E7730" s="6" t="str">
        <f>HYPERLINK("https://twitter.com/petrogustavo/status/1283835884211703808","1283835884211703808")</f>
        <v>1283835884211703808</v>
      </c>
      <c r="F7730" s="7" t="s">
        <v>17</v>
      </c>
      <c r="G7730" s="7">
        <v>3908390</v>
      </c>
      <c r="H7730" s="7">
        <v>2418</v>
      </c>
      <c r="I7730" s="7">
        <v>0</v>
      </c>
      <c r="J7730" s="7">
        <v>0</v>
      </c>
      <c r="K7730" s="7" t="s">
        <v>18</v>
      </c>
      <c r="L7730" s="8">
        <v>39987.315405092595</v>
      </c>
      <c r="M7730" s="9" t="s">
        <v>19</v>
      </c>
      <c r="N7730" s="9" t="s">
        <v>20</v>
      </c>
      <c r="O7730" s="6" t="str">
        <f>HYPERLINK("https://pbs.twimg.com/profile_images/962471262747529216/Uo8lOkRJ_normal.jpg","View")</f>
        <v>View</v>
      </c>
      <c r="P7730" s="7"/>
    </row>
    <row r="7731" spans="1:16">
      <c r="A7731" s="3">
        <v>44029.013749999998</v>
      </c>
      <c r="B7731" s="4" t="str">
        <f>HYPERLINK("https://twitter.com/petrogustavo","@petrogustavo")</f>
        <v>@petrogustavo</v>
      </c>
      <c r="C7731" s="5" t="s">
        <v>16</v>
      </c>
      <c r="D7731" s="5" t="s">
        <v>7459</v>
      </c>
      <c r="E7731" s="6" t="str">
        <f>HYPERLINK("https://twitter.com/petrogustavo/status/1283836248461910017","1283836248461910017")</f>
        <v>1283836248461910017</v>
      </c>
      <c r="F7731" s="7" t="s">
        <v>17</v>
      </c>
      <c r="G7731" s="7">
        <v>3908419</v>
      </c>
      <c r="H7731" s="7">
        <v>2418</v>
      </c>
      <c r="I7731" s="7">
        <v>107</v>
      </c>
      <c r="J7731" s="7">
        <v>249</v>
      </c>
      <c r="K7731" s="7" t="s">
        <v>18</v>
      </c>
      <c r="L7731" s="8">
        <v>39987.315405092595</v>
      </c>
      <c r="M7731" s="9" t="s">
        <v>19</v>
      </c>
      <c r="N7731" s="9" t="s">
        <v>20</v>
      </c>
      <c r="O7731" s="6" t="str">
        <f>HYPERLINK("https://pbs.twimg.com/profile_images/962471262747529216/Uo8lOkRJ_normal.jpg","View")</f>
        <v>View</v>
      </c>
      <c r="P7731" s="7"/>
    </row>
    <row r="7732" spans="1:16">
      <c r="A7732" s="3">
        <v>44029.019270833334</v>
      </c>
      <c r="B7732" s="4" t="str">
        <f>HYPERLINK("https://twitter.com/petrogustavo","@petrogustavo")</f>
        <v>@petrogustavo</v>
      </c>
      <c r="C7732" s="5" t="s">
        <v>16</v>
      </c>
      <c r="D7732" s="5" t="s">
        <v>7460</v>
      </c>
      <c r="E7732" s="6" t="str">
        <f>HYPERLINK("https://twitter.com/petrogustavo/status/1283838248331227139","1283838248331227139")</f>
        <v>1283838248331227139</v>
      </c>
      <c r="F7732" s="7" t="s">
        <v>17</v>
      </c>
      <c r="G7732" s="7">
        <v>3908419</v>
      </c>
      <c r="H7732" s="7">
        <v>2418</v>
      </c>
      <c r="I7732" s="7">
        <v>411</v>
      </c>
      <c r="J7732" s="7">
        <v>907</v>
      </c>
      <c r="K7732" s="7" t="s">
        <v>18</v>
      </c>
      <c r="L7732" s="8">
        <v>39987.315405092595</v>
      </c>
      <c r="M7732" s="9" t="s">
        <v>19</v>
      </c>
      <c r="N7732" s="9" t="s">
        <v>20</v>
      </c>
      <c r="O7732" s="6" t="str">
        <f>HYPERLINK("https://pbs.twimg.com/profile_images/962471262747529216/Uo8lOkRJ_normal.jpg","View")</f>
        <v>View</v>
      </c>
      <c r="P7732" s="7"/>
    </row>
    <row r="7733" spans="1:16">
      <c r="A7733" s="3">
        <v>44029.023726851854</v>
      </c>
      <c r="B7733" s="4" t="str">
        <f>HYPERLINK("https://twitter.com/petrogustavo","@petrogustavo")</f>
        <v>@petrogustavo</v>
      </c>
      <c r="C7733" s="5" t="s">
        <v>16</v>
      </c>
      <c r="D7733" s="5" t="s">
        <v>7461</v>
      </c>
      <c r="E7733" s="6" t="str">
        <f>HYPERLINK("https://twitter.com/petrogustavo/status/1283839861183651842","1283839861183651842")</f>
        <v>1283839861183651842</v>
      </c>
      <c r="F7733" s="7" t="s">
        <v>17</v>
      </c>
      <c r="G7733" s="7">
        <v>3908419</v>
      </c>
      <c r="H7733" s="7">
        <v>2418</v>
      </c>
      <c r="I7733" s="7">
        <v>166</v>
      </c>
      <c r="J7733" s="7">
        <v>444</v>
      </c>
      <c r="K7733" s="7" t="s">
        <v>18</v>
      </c>
      <c r="L7733" s="8">
        <v>39987.315405092595</v>
      </c>
      <c r="M7733" s="9" t="s">
        <v>19</v>
      </c>
      <c r="N7733" s="9" t="s">
        <v>20</v>
      </c>
      <c r="O7733" s="6" t="str">
        <f>HYPERLINK("https://pbs.twimg.com/profile_images/962471262747529216/Uo8lOkRJ_normal.jpg","View")</f>
        <v>View</v>
      </c>
      <c r="P7733" s="7"/>
    </row>
    <row r="7734" spans="1:16">
      <c r="A7734" s="3">
        <v>44029.030763888892</v>
      </c>
      <c r="B7734" s="4" t="str">
        <f>HYPERLINK("https://twitter.com/petrogustavo","@petrogustavo")</f>
        <v>@petrogustavo</v>
      </c>
      <c r="C7734" s="5" t="s">
        <v>16</v>
      </c>
      <c r="D7734" s="5" t="s">
        <v>7462</v>
      </c>
      <c r="E7734" s="6" t="str">
        <f>HYPERLINK("https://twitter.com/petrogustavo/status/1283842414814400518","1283842414814400518")</f>
        <v>1283842414814400518</v>
      </c>
      <c r="F7734" s="7" t="s">
        <v>17</v>
      </c>
      <c r="G7734" s="7">
        <v>3908419</v>
      </c>
      <c r="H7734" s="7">
        <v>2418</v>
      </c>
      <c r="I7734" s="7">
        <v>54</v>
      </c>
      <c r="J7734" s="7">
        <v>136</v>
      </c>
      <c r="K7734" s="7" t="s">
        <v>18</v>
      </c>
      <c r="L7734" s="8">
        <v>39987.315405092595</v>
      </c>
      <c r="M7734" s="9" t="s">
        <v>19</v>
      </c>
      <c r="N7734" s="9" t="s">
        <v>20</v>
      </c>
      <c r="O7734" s="6" t="str">
        <f>HYPERLINK("https://pbs.twimg.com/profile_images/962471262747529216/Uo8lOkRJ_normal.jpg","View")</f>
        <v>View</v>
      </c>
      <c r="P7734" s="7"/>
    </row>
    <row r="7735" spans="1:16">
      <c r="A7735" s="3">
        <v>44029.0308912037</v>
      </c>
      <c r="B7735" s="4" t="str">
        <f>HYPERLINK("https://twitter.com/petrogustavo","@petrogustavo")</f>
        <v>@petrogustavo</v>
      </c>
      <c r="C7735" s="5" t="s">
        <v>16</v>
      </c>
      <c r="D7735" s="5" t="s">
        <v>7463</v>
      </c>
      <c r="E7735" s="6" t="str">
        <f>HYPERLINK("https://twitter.com/petrogustavo/status/1283842460754608133","1283842460754608133")</f>
        <v>1283842460754608133</v>
      </c>
      <c r="F7735" s="7" t="s">
        <v>17</v>
      </c>
      <c r="G7735" s="7">
        <v>3908419</v>
      </c>
      <c r="H7735" s="7">
        <v>2418</v>
      </c>
      <c r="I7735" s="7">
        <v>870</v>
      </c>
      <c r="J7735" s="7">
        <v>0</v>
      </c>
      <c r="K7735" s="7" t="s">
        <v>18</v>
      </c>
      <c r="L7735" s="8">
        <v>39987.315405092595</v>
      </c>
      <c r="M7735" s="9" t="s">
        <v>19</v>
      </c>
      <c r="N7735" s="9" t="s">
        <v>20</v>
      </c>
      <c r="O7735" s="6" t="str">
        <f>HYPERLINK("https://pbs.twimg.com/profile_images/962471262747529216/Uo8lOkRJ_normal.jpg","View")</f>
        <v>View</v>
      </c>
      <c r="P7735" s="7"/>
    </row>
    <row r="7736" spans="1:16">
      <c r="A7736" s="3">
        <v>44029.124814814815</v>
      </c>
      <c r="B7736" s="4" t="str">
        <f>HYPERLINK("https://twitter.com/petrogustavo","@petrogustavo")</f>
        <v>@petrogustavo</v>
      </c>
      <c r="C7736" s="5" t="s">
        <v>16</v>
      </c>
      <c r="D7736" s="5" t="s">
        <v>7464</v>
      </c>
      <c r="E7736" s="6" t="str">
        <f>HYPERLINK("https://twitter.com/petrogustavo/status/1283876495568646146","1283876495568646146")</f>
        <v>1283876495568646146</v>
      </c>
      <c r="F7736" s="7" t="s">
        <v>17</v>
      </c>
      <c r="G7736" s="7">
        <v>3908514</v>
      </c>
      <c r="H7736" s="7">
        <v>2418</v>
      </c>
      <c r="I7736" s="7">
        <v>26</v>
      </c>
      <c r="J7736" s="7">
        <v>0</v>
      </c>
      <c r="K7736" s="7" t="s">
        <v>18</v>
      </c>
      <c r="L7736" s="8">
        <v>39987.315405092595</v>
      </c>
      <c r="M7736" s="9" t="s">
        <v>19</v>
      </c>
      <c r="N7736" s="9" t="s">
        <v>20</v>
      </c>
      <c r="O7736" s="6" t="str">
        <f>HYPERLINK("https://pbs.twimg.com/profile_images/962471262747529216/Uo8lOkRJ_normal.jpg","View")</f>
        <v>View</v>
      </c>
      <c r="P7736" s="7"/>
    </row>
    <row r="7737" spans="1:16">
      <c r="A7737" s="3">
        <v>44029.125138888892</v>
      </c>
      <c r="B7737" s="4" t="str">
        <f>HYPERLINK("https://twitter.com/petrogustavo","@petrogustavo")</f>
        <v>@petrogustavo</v>
      </c>
      <c r="C7737" s="5" t="s">
        <v>16</v>
      </c>
      <c r="D7737" s="5" t="s">
        <v>7465</v>
      </c>
      <c r="E7737" s="6" t="str">
        <f>HYPERLINK("https://twitter.com/petrogustavo/status/1283876612392411136","1283876612392411136")</f>
        <v>1283876612392411136</v>
      </c>
      <c r="F7737" s="7" t="s">
        <v>17</v>
      </c>
      <c r="G7737" s="7">
        <v>3908514</v>
      </c>
      <c r="H7737" s="7">
        <v>2418</v>
      </c>
      <c r="I7737" s="7">
        <v>23</v>
      </c>
      <c r="J7737" s="7">
        <v>0</v>
      </c>
      <c r="K7737" s="7" t="s">
        <v>18</v>
      </c>
      <c r="L7737" s="8">
        <v>39987.315405092595</v>
      </c>
      <c r="M7737" s="9" t="s">
        <v>19</v>
      </c>
      <c r="N7737" s="9" t="s">
        <v>20</v>
      </c>
      <c r="O7737" s="6" t="str">
        <f>HYPERLINK("https://pbs.twimg.com/profile_images/962471262747529216/Uo8lOkRJ_normal.jpg","View")</f>
        <v>View</v>
      </c>
      <c r="P7737" s="7"/>
    </row>
    <row r="7738" spans="1:16">
      <c r="A7738" s="3">
        <v>44029.138310185182</v>
      </c>
      <c r="B7738" s="4" t="str">
        <f>HYPERLINK("https://twitter.com/petrogustavo","@petrogustavo")</f>
        <v>@petrogustavo</v>
      </c>
      <c r="C7738" s="5" t="s">
        <v>16</v>
      </c>
      <c r="D7738" s="5" t="s">
        <v>7466</v>
      </c>
      <c r="E7738" s="6" t="str">
        <f>HYPERLINK("https://twitter.com/petrogustavo/status/1283881388110995461","1283881388110995461")</f>
        <v>1283881388110995461</v>
      </c>
      <c r="F7738" s="7" t="s">
        <v>17</v>
      </c>
      <c r="G7738" s="7">
        <v>3908540</v>
      </c>
      <c r="H7738" s="7">
        <v>2418</v>
      </c>
      <c r="I7738" s="7">
        <v>97</v>
      </c>
      <c r="J7738" s="7">
        <v>309</v>
      </c>
      <c r="K7738" s="7" t="s">
        <v>18</v>
      </c>
      <c r="L7738" s="8">
        <v>39987.315405092595</v>
      </c>
      <c r="M7738" s="9" t="s">
        <v>19</v>
      </c>
      <c r="N7738" s="9" t="s">
        <v>20</v>
      </c>
      <c r="O7738" s="6" t="str">
        <f>HYPERLINK("https://pbs.twimg.com/profile_images/962471262747529216/Uo8lOkRJ_normal.jpg","View")</f>
        <v>View</v>
      </c>
      <c r="P7738" s="7"/>
    </row>
    <row r="7739" spans="1:16">
      <c r="A7739" s="3">
        <v>44029.140555555554</v>
      </c>
      <c r="B7739" s="4" t="str">
        <f>HYPERLINK("https://twitter.com/petrogustavo","@petrogustavo")</f>
        <v>@petrogustavo</v>
      </c>
      <c r="C7739" s="5" t="s">
        <v>16</v>
      </c>
      <c r="D7739" s="5" t="s">
        <v>7467</v>
      </c>
      <c r="E7739" s="6" t="str">
        <f>HYPERLINK("https://twitter.com/petrogustavo/status/1283882201826893824","1283882201826893824")</f>
        <v>1283882201826893824</v>
      </c>
      <c r="F7739" s="7" t="s">
        <v>17</v>
      </c>
      <c r="G7739" s="7">
        <v>3908540</v>
      </c>
      <c r="H7739" s="7">
        <v>2418</v>
      </c>
      <c r="I7739" s="7">
        <v>64</v>
      </c>
      <c r="J7739" s="7">
        <v>205</v>
      </c>
      <c r="K7739" s="7" t="s">
        <v>18</v>
      </c>
      <c r="L7739" s="8">
        <v>39987.315405092595</v>
      </c>
      <c r="M7739" s="9" t="s">
        <v>19</v>
      </c>
      <c r="N7739" s="9" t="s">
        <v>20</v>
      </c>
      <c r="O7739" s="6" t="str">
        <f>HYPERLINK("https://pbs.twimg.com/profile_images/962471262747529216/Uo8lOkRJ_normal.jpg","View")</f>
        <v>View</v>
      </c>
      <c r="P7739" s="7"/>
    </row>
    <row r="7740" spans="1:16">
      <c r="A7740" s="3">
        <v>44029.182916666672</v>
      </c>
      <c r="B7740" s="4" t="str">
        <f>HYPERLINK("https://twitter.com/petrogustavo","@petrogustavo")</f>
        <v>@petrogustavo</v>
      </c>
      <c r="C7740" s="5" t="s">
        <v>16</v>
      </c>
      <c r="D7740" s="5" t="s">
        <v>7468</v>
      </c>
      <c r="E7740" s="6" t="str">
        <f>HYPERLINK("https://twitter.com/petrogustavo/status/1283897549502459905","1283897549502459905")</f>
        <v>1283897549502459905</v>
      </c>
      <c r="F7740" s="7" t="s">
        <v>32</v>
      </c>
      <c r="G7740" s="7">
        <v>3908577</v>
      </c>
      <c r="H7740" s="7">
        <v>2418</v>
      </c>
      <c r="I7740" s="7">
        <v>175</v>
      </c>
      <c r="J7740" s="7">
        <v>554</v>
      </c>
      <c r="K7740" s="7" t="s">
        <v>18</v>
      </c>
      <c r="L7740" s="8">
        <v>39987.315405092595</v>
      </c>
      <c r="M7740" s="9" t="s">
        <v>19</v>
      </c>
      <c r="N7740" s="9" t="s">
        <v>20</v>
      </c>
      <c r="O7740" s="6" t="str">
        <f>HYPERLINK("https://pbs.twimg.com/profile_images/962471262747529216/Uo8lOkRJ_normal.jpg","View")</f>
        <v>View</v>
      </c>
      <c r="P7740" s="7"/>
    </row>
    <row r="7741" spans="1:16">
      <c r="A7741" s="3">
        <v>44029.19368055556</v>
      </c>
      <c r="B7741" s="4" t="str">
        <f>HYPERLINK("https://twitter.com/petrogustavo","@petrogustavo")</f>
        <v>@petrogustavo</v>
      </c>
      <c r="C7741" s="5" t="s">
        <v>16</v>
      </c>
      <c r="D7741" s="5" t="s">
        <v>7469</v>
      </c>
      <c r="E7741" s="6" t="str">
        <f>HYPERLINK("https://twitter.com/petrogustavo/status/1283901453648769024","1283901453648769024")</f>
        <v>1283901453648769024</v>
      </c>
      <c r="F7741" s="7" t="s">
        <v>32</v>
      </c>
      <c r="G7741" s="7">
        <v>3908577</v>
      </c>
      <c r="H7741" s="7">
        <v>2418</v>
      </c>
      <c r="I7741" s="7">
        <v>150</v>
      </c>
      <c r="J7741" s="7">
        <v>383</v>
      </c>
      <c r="K7741" s="7" t="s">
        <v>18</v>
      </c>
      <c r="L7741" s="8">
        <v>39987.315405092595</v>
      </c>
      <c r="M7741" s="9" t="s">
        <v>19</v>
      </c>
      <c r="N7741" s="9" t="s">
        <v>20</v>
      </c>
      <c r="O7741" s="6" t="str">
        <f>HYPERLINK("https://pbs.twimg.com/profile_images/962471262747529216/Uo8lOkRJ_normal.jpg","View")</f>
        <v>View</v>
      </c>
      <c r="P7741" s="7"/>
    </row>
    <row r="7742" spans="1:16">
      <c r="A7742" s="3">
        <v>44029.290844907402</v>
      </c>
      <c r="B7742" s="4" t="str">
        <f>HYPERLINK("https://twitter.com/petrogustavo","@petrogustavo")</f>
        <v>@petrogustavo</v>
      </c>
      <c r="C7742" s="5" t="s">
        <v>16</v>
      </c>
      <c r="D7742" s="5" t="s">
        <v>7470</v>
      </c>
      <c r="E7742" s="6" t="str">
        <f>HYPERLINK("https://twitter.com/petrogustavo/status/1283936662054199296","1283936662054199296")</f>
        <v>1283936662054199296</v>
      </c>
      <c r="F7742" s="7" t="s">
        <v>17</v>
      </c>
      <c r="G7742" s="7">
        <v>3908649</v>
      </c>
      <c r="H7742" s="7">
        <v>2417</v>
      </c>
      <c r="I7742" s="7">
        <v>149</v>
      </c>
      <c r="J7742" s="7">
        <v>321</v>
      </c>
      <c r="K7742" s="7" t="s">
        <v>18</v>
      </c>
      <c r="L7742" s="8">
        <v>39987.315405092595</v>
      </c>
      <c r="M7742" s="9" t="s">
        <v>19</v>
      </c>
      <c r="N7742" s="9" t="s">
        <v>20</v>
      </c>
      <c r="O7742" s="6" t="str">
        <f>HYPERLINK("https://pbs.twimg.com/profile_images/962471262747529216/Uo8lOkRJ_normal.jpg","View")</f>
        <v>View</v>
      </c>
      <c r="P7742" s="7"/>
    </row>
    <row r="7743" spans="1:16">
      <c r="A7743" s="3">
        <v>44029.745578703703</v>
      </c>
      <c r="B7743" s="4" t="str">
        <f>HYPERLINK("https://twitter.com/petrogustavo","@petrogustavo")</f>
        <v>@petrogustavo</v>
      </c>
      <c r="C7743" s="5" t="s">
        <v>16</v>
      </c>
      <c r="D7743" s="5" t="s">
        <v>7471</v>
      </c>
      <c r="E7743" s="6" t="str">
        <f>HYPERLINK("https://twitter.com/petrogustavo/status/1284101450910629894","1284101450910629894")</f>
        <v>1284101450910629894</v>
      </c>
      <c r="F7743" s="7" t="s">
        <v>17</v>
      </c>
      <c r="G7743" s="7">
        <v>3908787</v>
      </c>
      <c r="H7743" s="7">
        <v>2417</v>
      </c>
      <c r="I7743" s="7">
        <v>83</v>
      </c>
      <c r="J7743" s="7">
        <v>174</v>
      </c>
      <c r="K7743" s="7" t="s">
        <v>18</v>
      </c>
      <c r="L7743" s="8">
        <v>39987.315405092595</v>
      </c>
      <c r="M7743" s="9" t="s">
        <v>19</v>
      </c>
      <c r="N7743" s="9" t="s">
        <v>20</v>
      </c>
      <c r="O7743" s="6" t="str">
        <f>HYPERLINK("https://pbs.twimg.com/profile_images/962471262747529216/Uo8lOkRJ_normal.jpg","View")</f>
        <v>View</v>
      </c>
      <c r="P7743" s="7"/>
    </row>
    <row r="7744" spans="1:16">
      <c r="A7744" s="3">
        <v>44029.748483796298</v>
      </c>
      <c r="B7744" s="4" t="str">
        <f>HYPERLINK("https://twitter.com/petrogustavo","@petrogustavo")</f>
        <v>@petrogustavo</v>
      </c>
      <c r="C7744" s="5" t="s">
        <v>16</v>
      </c>
      <c r="D7744" s="5" t="s">
        <v>7472</v>
      </c>
      <c r="E7744" s="6" t="str">
        <f>HYPERLINK("https://twitter.com/petrogustavo/status/1284102507619377153","1284102507619377153")</f>
        <v>1284102507619377153</v>
      </c>
      <c r="F7744" s="7" t="s">
        <v>17</v>
      </c>
      <c r="G7744" s="7">
        <v>3908787</v>
      </c>
      <c r="H7744" s="7">
        <v>2417</v>
      </c>
      <c r="I7744" s="7">
        <v>127</v>
      </c>
      <c r="J7744" s="7">
        <v>197</v>
      </c>
      <c r="K7744" s="7" t="s">
        <v>18</v>
      </c>
      <c r="L7744" s="8">
        <v>39987.315405092595</v>
      </c>
      <c r="M7744" s="9" t="s">
        <v>19</v>
      </c>
      <c r="N7744" s="9" t="s">
        <v>20</v>
      </c>
      <c r="O7744" s="6" t="str">
        <f>HYPERLINK("https://pbs.twimg.com/profile_images/962471262747529216/Uo8lOkRJ_normal.jpg","View")</f>
        <v>View</v>
      </c>
      <c r="P7744" s="7"/>
    </row>
    <row r="7745" spans="1:16">
      <c r="A7745" s="3">
        <v>44029.751168981486</v>
      </c>
      <c r="B7745" s="4" t="str">
        <f>HYPERLINK("https://twitter.com/petrogustavo","@petrogustavo")</f>
        <v>@petrogustavo</v>
      </c>
      <c r="C7745" s="5" t="s">
        <v>16</v>
      </c>
      <c r="D7745" s="5" t="s">
        <v>7473</v>
      </c>
      <c r="E7745" s="6" t="str">
        <f>HYPERLINK("https://twitter.com/petrogustavo/status/1284103480366571521","1284103480366571521")</f>
        <v>1284103480366571521</v>
      </c>
      <c r="F7745" s="7" t="s">
        <v>17</v>
      </c>
      <c r="G7745" s="7">
        <v>3908787</v>
      </c>
      <c r="H7745" s="7">
        <v>2417</v>
      </c>
      <c r="I7745" s="7">
        <v>70</v>
      </c>
      <c r="J7745" s="7">
        <v>134</v>
      </c>
      <c r="K7745" s="7" t="s">
        <v>18</v>
      </c>
      <c r="L7745" s="8">
        <v>39987.315405092595</v>
      </c>
      <c r="M7745" s="9" t="s">
        <v>19</v>
      </c>
      <c r="N7745" s="9" t="s">
        <v>20</v>
      </c>
      <c r="O7745" s="6" t="str">
        <f>HYPERLINK("https://pbs.twimg.com/profile_images/962471262747529216/Uo8lOkRJ_normal.jpg","View")</f>
        <v>View</v>
      </c>
      <c r="P7745" s="7"/>
    </row>
    <row r="7746" spans="1:16">
      <c r="A7746" s="3">
        <v>44029.752569444448</v>
      </c>
      <c r="B7746" s="4" t="str">
        <f>HYPERLINK("https://twitter.com/petrogustavo","@petrogustavo")</f>
        <v>@petrogustavo</v>
      </c>
      <c r="C7746" s="5" t="s">
        <v>16</v>
      </c>
      <c r="D7746" s="5" t="s">
        <v>7474</v>
      </c>
      <c r="E7746" s="6" t="str">
        <f>HYPERLINK("https://twitter.com/petrogustavo/status/1284103987290148864","1284103987290148864")</f>
        <v>1284103987290148864</v>
      </c>
      <c r="F7746" s="7" t="s">
        <v>17</v>
      </c>
      <c r="G7746" s="7">
        <v>3908787</v>
      </c>
      <c r="H7746" s="7">
        <v>2417</v>
      </c>
      <c r="I7746" s="7">
        <v>233</v>
      </c>
      <c r="J7746" s="7">
        <v>0</v>
      </c>
      <c r="K7746" s="7" t="s">
        <v>18</v>
      </c>
      <c r="L7746" s="8">
        <v>39987.315405092595</v>
      </c>
      <c r="M7746" s="9" t="s">
        <v>19</v>
      </c>
      <c r="N7746" s="9" t="s">
        <v>20</v>
      </c>
      <c r="O7746" s="6" t="str">
        <f>HYPERLINK("https://pbs.twimg.com/profile_images/962471262747529216/Uo8lOkRJ_normal.jpg","View")</f>
        <v>View</v>
      </c>
      <c r="P7746" s="7"/>
    </row>
    <row r="7747" spans="1:16">
      <c r="A7747" s="3">
        <v>44029.752986111111</v>
      </c>
      <c r="B7747" s="4" t="str">
        <f>HYPERLINK("https://twitter.com/petrogustavo","@petrogustavo")</f>
        <v>@petrogustavo</v>
      </c>
      <c r="C7747" s="5" t="s">
        <v>16</v>
      </c>
      <c r="D7747" s="5" t="s">
        <v>7475</v>
      </c>
      <c r="E7747" s="6" t="str">
        <f>HYPERLINK("https://twitter.com/petrogustavo/status/1284104135328006146","1284104135328006146")</f>
        <v>1284104135328006146</v>
      </c>
      <c r="F7747" s="7" t="s">
        <v>17</v>
      </c>
      <c r="G7747" s="7">
        <v>3908787</v>
      </c>
      <c r="H7747" s="7">
        <v>2417</v>
      </c>
      <c r="I7747" s="7">
        <v>41</v>
      </c>
      <c r="J7747" s="7">
        <v>0</v>
      </c>
      <c r="K7747" s="7" t="s">
        <v>18</v>
      </c>
      <c r="L7747" s="8">
        <v>39987.315405092595</v>
      </c>
      <c r="M7747" s="9" t="s">
        <v>19</v>
      </c>
      <c r="N7747" s="9" t="s">
        <v>20</v>
      </c>
      <c r="O7747" s="6" t="str">
        <f>HYPERLINK("https://pbs.twimg.com/profile_images/962471262747529216/Uo8lOkRJ_normal.jpg","View")</f>
        <v>View</v>
      </c>
      <c r="P7747" s="7"/>
    </row>
    <row r="7748" spans="1:16">
      <c r="A7748" s="3">
        <v>44029.755173611113</v>
      </c>
      <c r="B7748" s="4" t="str">
        <f>HYPERLINK("https://twitter.com/petrogustavo","@petrogustavo")</f>
        <v>@petrogustavo</v>
      </c>
      <c r="C7748" s="5" t="s">
        <v>16</v>
      </c>
      <c r="D7748" s="5" t="s">
        <v>7476</v>
      </c>
      <c r="E7748" s="6" t="str">
        <f>HYPERLINK("https://twitter.com/petrogustavo/status/1284104929011998721","1284104929011998721")</f>
        <v>1284104929011998721</v>
      </c>
      <c r="F7748" s="7" t="s">
        <v>17</v>
      </c>
      <c r="G7748" s="7">
        <v>3908787</v>
      </c>
      <c r="H7748" s="7">
        <v>2417</v>
      </c>
      <c r="I7748" s="7">
        <v>124</v>
      </c>
      <c r="J7748" s="7">
        <v>317</v>
      </c>
      <c r="K7748" s="7" t="s">
        <v>18</v>
      </c>
      <c r="L7748" s="8">
        <v>39987.315405092595</v>
      </c>
      <c r="M7748" s="9" t="s">
        <v>19</v>
      </c>
      <c r="N7748" s="9" t="s">
        <v>20</v>
      </c>
      <c r="O7748" s="6" t="str">
        <f>HYPERLINK("https://pbs.twimg.com/profile_images/962471262747529216/Uo8lOkRJ_normal.jpg","View")</f>
        <v>View</v>
      </c>
      <c r="P7748" s="7"/>
    </row>
    <row r="7749" spans="1:16">
      <c r="A7749" s="3">
        <v>44029.760046296295</v>
      </c>
      <c r="B7749" s="4" t="str">
        <f>HYPERLINK("https://twitter.com/petrogustavo","@petrogustavo")</f>
        <v>@petrogustavo</v>
      </c>
      <c r="C7749" s="5" t="s">
        <v>16</v>
      </c>
      <c r="D7749" s="5" t="s">
        <v>7477</v>
      </c>
      <c r="E7749" s="6" t="str">
        <f>HYPERLINK("https://twitter.com/petrogustavo/status/1284106697313865730","1284106697313865730")</f>
        <v>1284106697313865730</v>
      </c>
      <c r="F7749" s="7" t="s">
        <v>17</v>
      </c>
      <c r="G7749" s="7">
        <v>3908787</v>
      </c>
      <c r="H7749" s="7">
        <v>2417</v>
      </c>
      <c r="I7749" s="7">
        <v>225</v>
      </c>
      <c r="J7749" s="7">
        <v>0</v>
      </c>
      <c r="K7749" s="7" t="s">
        <v>18</v>
      </c>
      <c r="L7749" s="8">
        <v>39987.315405092595</v>
      </c>
      <c r="M7749" s="9" t="s">
        <v>19</v>
      </c>
      <c r="N7749" s="9" t="s">
        <v>20</v>
      </c>
      <c r="O7749" s="6" t="str">
        <f>HYPERLINK("https://pbs.twimg.com/profile_images/962471262747529216/Uo8lOkRJ_normal.jpg","View")</f>
        <v>View</v>
      </c>
      <c r="P7749" s="7"/>
    </row>
    <row r="7750" spans="1:16">
      <c r="A7750" s="3">
        <v>44029.760451388887</v>
      </c>
      <c r="B7750" s="4" t="str">
        <f>HYPERLINK("https://twitter.com/petrogustavo","@petrogustavo")</f>
        <v>@petrogustavo</v>
      </c>
      <c r="C7750" s="5" t="s">
        <v>16</v>
      </c>
      <c r="D7750" s="5" t="s">
        <v>7478</v>
      </c>
      <c r="E7750" s="6" t="str">
        <f>HYPERLINK("https://twitter.com/petrogustavo/status/1284106843183288320","1284106843183288320")</f>
        <v>1284106843183288320</v>
      </c>
      <c r="F7750" s="7" t="s">
        <v>17</v>
      </c>
      <c r="G7750" s="7">
        <v>3908787</v>
      </c>
      <c r="H7750" s="7">
        <v>2417</v>
      </c>
      <c r="I7750" s="7">
        <v>14</v>
      </c>
      <c r="J7750" s="7">
        <v>0</v>
      </c>
      <c r="K7750" s="7" t="s">
        <v>18</v>
      </c>
      <c r="L7750" s="8">
        <v>39987.315405092595</v>
      </c>
      <c r="M7750" s="9" t="s">
        <v>19</v>
      </c>
      <c r="N7750" s="9" t="s">
        <v>20</v>
      </c>
      <c r="O7750" s="6" t="str">
        <f>HYPERLINK("https://pbs.twimg.com/profile_images/962471262747529216/Uo8lOkRJ_normal.jpg","View")</f>
        <v>View</v>
      </c>
      <c r="P7750" s="7"/>
    </row>
    <row r="7751" spans="1:16">
      <c r="A7751" s="3">
        <v>44029.760706018518</v>
      </c>
      <c r="B7751" s="4" t="str">
        <f>HYPERLINK("https://twitter.com/petrogustavo","@petrogustavo")</f>
        <v>@petrogustavo</v>
      </c>
      <c r="C7751" s="5" t="s">
        <v>16</v>
      </c>
      <c r="D7751" s="5" t="s">
        <v>7479</v>
      </c>
      <c r="E7751" s="6" t="str">
        <f>HYPERLINK("https://twitter.com/petrogustavo/status/1284106936921853954","1284106936921853954")</f>
        <v>1284106936921853954</v>
      </c>
      <c r="F7751" s="7" t="s">
        <v>17</v>
      </c>
      <c r="G7751" s="7">
        <v>3908787</v>
      </c>
      <c r="H7751" s="7">
        <v>2417</v>
      </c>
      <c r="I7751" s="7">
        <v>13</v>
      </c>
      <c r="J7751" s="7">
        <v>0</v>
      </c>
      <c r="K7751" s="7" t="s">
        <v>18</v>
      </c>
      <c r="L7751" s="8">
        <v>39987.315405092595</v>
      </c>
      <c r="M7751" s="9" t="s">
        <v>19</v>
      </c>
      <c r="N7751" s="9" t="s">
        <v>20</v>
      </c>
      <c r="O7751" s="6" t="str">
        <f>HYPERLINK("https://pbs.twimg.com/profile_images/962471262747529216/Uo8lOkRJ_normal.jpg","View")</f>
        <v>View</v>
      </c>
      <c r="P7751" s="7"/>
    </row>
    <row r="7752" spans="1:16">
      <c r="A7752" s="3">
        <v>44029.762430555551</v>
      </c>
      <c r="B7752" s="4" t="str">
        <f>HYPERLINK("https://twitter.com/petrogustavo","@petrogustavo")</f>
        <v>@petrogustavo</v>
      </c>
      <c r="C7752" s="5" t="s">
        <v>16</v>
      </c>
      <c r="D7752" s="5" t="s">
        <v>7480</v>
      </c>
      <c r="E7752" s="6" t="str">
        <f>HYPERLINK("https://twitter.com/petrogustavo/status/1284107560409346055","1284107560409346055")</f>
        <v>1284107560409346055</v>
      </c>
      <c r="F7752" s="7" t="s">
        <v>17</v>
      </c>
      <c r="G7752" s="7">
        <v>3908788</v>
      </c>
      <c r="H7752" s="7">
        <v>2418</v>
      </c>
      <c r="I7752" s="7">
        <v>167</v>
      </c>
      <c r="J7752" s="7">
        <v>424</v>
      </c>
      <c r="K7752" s="7" t="s">
        <v>18</v>
      </c>
      <c r="L7752" s="8">
        <v>39987.315405092595</v>
      </c>
      <c r="M7752" s="9" t="s">
        <v>19</v>
      </c>
      <c r="N7752" s="9" t="s">
        <v>20</v>
      </c>
      <c r="O7752" s="6" t="str">
        <f>HYPERLINK("https://pbs.twimg.com/profile_images/962471262747529216/Uo8lOkRJ_normal.jpg","View")</f>
        <v>View</v>
      </c>
      <c r="P7752" s="7"/>
    </row>
    <row r="7753" spans="1:16">
      <c r="A7753" s="3">
        <v>44029.768611111111</v>
      </c>
      <c r="B7753" s="4" t="str">
        <f>HYPERLINK("https://twitter.com/petrogustavo","@petrogustavo")</f>
        <v>@petrogustavo</v>
      </c>
      <c r="C7753" s="5" t="s">
        <v>16</v>
      </c>
      <c r="D7753" s="5" t="s">
        <v>7481</v>
      </c>
      <c r="E7753" s="6" t="str">
        <f>HYPERLINK("https://twitter.com/petrogustavo/status/1284109800968683522","1284109800968683522")</f>
        <v>1284109800968683522</v>
      </c>
      <c r="F7753" s="7" t="s">
        <v>17</v>
      </c>
      <c r="G7753" s="7">
        <v>3908788</v>
      </c>
      <c r="H7753" s="7">
        <v>2418</v>
      </c>
      <c r="I7753" s="7">
        <v>110</v>
      </c>
      <c r="J7753" s="7">
        <v>264</v>
      </c>
      <c r="K7753" s="7" t="s">
        <v>18</v>
      </c>
      <c r="L7753" s="8">
        <v>39987.315405092595</v>
      </c>
      <c r="M7753" s="9" t="s">
        <v>19</v>
      </c>
      <c r="N7753" s="9" t="s">
        <v>20</v>
      </c>
      <c r="O7753" s="6" t="str">
        <f>HYPERLINK("https://pbs.twimg.com/profile_images/962471262747529216/Uo8lOkRJ_normal.jpg","View")</f>
        <v>View</v>
      </c>
      <c r="P7753" s="7"/>
    </row>
    <row r="7754" spans="1:16">
      <c r="A7754" s="3">
        <v>44029.769930555558</v>
      </c>
      <c r="B7754" s="4" t="str">
        <f>HYPERLINK("https://twitter.com/petrogustavo","@petrogustavo")</f>
        <v>@petrogustavo</v>
      </c>
      <c r="C7754" s="5" t="s">
        <v>16</v>
      </c>
      <c r="D7754" s="5" t="s">
        <v>7482</v>
      </c>
      <c r="E7754" s="6" t="str">
        <f>HYPERLINK("https://twitter.com/petrogustavo/status/1284110279438143489","1284110279438143489")</f>
        <v>1284110279438143489</v>
      </c>
      <c r="F7754" s="7" t="s">
        <v>17</v>
      </c>
      <c r="G7754" s="7">
        <v>3908788</v>
      </c>
      <c r="H7754" s="7">
        <v>2418</v>
      </c>
      <c r="I7754" s="7">
        <v>167</v>
      </c>
      <c r="J7754" s="7">
        <v>0</v>
      </c>
      <c r="K7754" s="7" t="s">
        <v>18</v>
      </c>
      <c r="L7754" s="8">
        <v>39987.315405092595</v>
      </c>
      <c r="M7754" s="9" t="s">
        <v>19</v>
      </c>
      <c r="N7754" s="9" t="s">
        <v>20</v>
      </c>
      <c r="O7754" s="6" t="str">
        <f>HYPERLINK("https://pbs.twimg.com/profile_images/962471262747529216/Uo8lOkRJ_normal.jpg","View")</f>
        <v>View</v>
      </c>
      <c r="P7754" s="7"/>
    </row>
    <row r="7755" spans="1:16">
      <c r="A7755" s="3">
        <v>44029.778842592597</v>
      </c>
      <c r="B7755" s="4" t="str">
        <f>HYPERLINK("https://twitter.com/petrogustavo","@petrogustavo")</f>
        <v>@petrogustavo</v>
      </c>
      <c r="C7755" s="5" t="s">
        <v>16</v>
      </c>
      <c r="D7755" s="5" t="s">
        <v>7483</v>
      </c>
      <c r="E7755" s="6" t="str">
        <f>HYPERLINK("https://twitter.com/petrogustavo/status/1284113508997779458","1284113508997779458")</f>
        <v>1284113508997779458</v>
      </c>
      <c r="F7755" s="7" t="s">
        <v>17</v>
      </c>
      <c r="G7755" s="7">
        <v>3908788</v>
      </c>
      <c r="H7755" s="7">
        <v>2418</v>
      </c>
      <c r="I7755" s="7">
        <v>41</v>
      </c>
      <c r="J7755" s="7">
        <v>110</v>
      </c>
      <c r="K7755" s="7" t="s">
        <v>18</v>
      </c>
      <c r="L7755" s="8">
        <v>39987.315405092595</v>
      </c>
      <c r="M7755" s="9" t="s">
        <v>19</v>
      </c>
      <c r="N7755" s="9" t="s">
        <v>20</v>
      </c>
      <c r="O7755" s="6" t="str">
        <f>HYPERLINK("https://pbs.twimg.com/profile_images/962471262747529216/Uo8lOkRJ_normal.jpg","View")</f>
        <v>View</v>
      </c>
      <c r="P7755" s="7"/>
    </row>
    <row r="7756" spans="1:16">
      <c r="A7756" s="3">
        <v>44029.779652777783</v>
      </c>
      <c r="B7756" s="4" t="str">
        <f>HYPERLINK("https://twitter.com/petrogustavo","@petrogustavo")</f>
        <v>@petrogustavo</v>
      </c>
      <c r="C7756" s="5" t="s">
        <v>16</v>
      </c>
      <c r="D7756" s="5" t="s">
        <v>7484</v>
      </c>
      <c r="E7756" s="6" t="str">
        <f>HYPERLINK("https://twitter.com/petrogustavo/status/1284113798987735040","1284113798987735040")</f>
        <v>1284113798987735040</v>
      </c>
      <c r="F7756" s="7" t="s">
        <v>17</v>
      </c>
      <c r="G7756" s="7">
        <v>3908788</v>
      </c>
      <c r="H7756" s="7">
        <v>2418</v>
      </c>
      <c r="I7756" s="7">
        <v>41</v>
      </c>
      <c r="J7756" s="7">
        <v>0</v>
      </c>
      <c r="K7756" s="7" t="s">
        <v>18</v>
      </c>
      <c r="L7756" s="8">
        <v>39987.315405092595</v>
      </c>
      <c r="M7756" s="9" t="s">
        <v>19</v>
      </c>
      <c r="N7756" s="9" t="s">
        <v>20</v>
      </c>
      <c r="O7756" s="6" t="str">
        <f>HYPERLINK("https://pbs.twimg.com/profile_images/962471262747529216/Uo8lOkRJ_normal.jpg","View")</f>
        <v>View</v>
      </c>
      <c r="P7756" s="7"/>
    </row>
    <row r="7757" spans="1:16">
      <c r="A7757" s="3">
        <v>44029.780648148153</v>
      </c>
      <c r="B7757" s="4" t="str">
        <f>HYPERLINK("https://twitter.com/petrogustavo","@petrogustavo")</f>
        <v>@petrogustavo</v>
      </c>
      <c r="C7757" s="5" t="s">
        <v>16</v>
      </c>
      <c r="D7757" s="5" t="s">
        <v>7485</v>
      </c>
      <c r="E7757" s="6" t="str">
        <f>HYPERLINK("https://twitter.com/petrogustavo/status/1284114159811133440","1284114159811133440")</f>
        <v>1284114159811133440</v>
      </c>
      <c r="F7757" s="7" t="s">
        <v>17</v>
      </c>
      <c r="G7757" s="7">
        <v>3908788</v>
      </c>
      <c r="H7757" s="7">
        <v>2418</v>
      </c>
      <c r="I7757" s="7">
        <v>18</v>
      </c>
      <c r="J7757" s="7">
        <v>42</v>
      </c>
      <c r="K7757" s="7" t="s">
        <v>18</v>
      </c>
      <c r="L7757" s="8">
        <v>39987.315405092595</v>
      </c>
      <c r="M7757" s="9" t="s">
        <v>19</v>
      </c>
      <c r="N7757" s="9" t="s">
        <v>20</v>
      </c>
      <c r="O7757" s="6" t="str">
        <f>HYPERLINK("https://pbs.twimg.com/profile_images/962471262747529216/Uo8lOkRJ_normal.jpg","View")</f>
        <v>View</v>
      </c>
      <c r="P7757" s="7"/>
    </row>
    <row r="7758" spans="1:16">
      <c r="A7758" s="3">
        <v>44029.782291666663</v>
      </c>
      <c r="B7758" s="4" t="str">
        <f>HYPERLINK("https://twitter.com/petrogustavo","@petrogustavo")</f>
        <v>@petrogustavo</v>
      </c>
      <c r="C7758" s="5" t="s">
        <v>16</v>
      </c>
      <c r="D7758" s="5" t="s">
        <v>7486</v>
      </c>
      <c r="E7758" s="6" t="str">
        <f>HYPERLINK("https://twitter.com/petrogustavo/status/1284114757360979969","1284114757360979969")</f>
        <v>1284114757360979969</v>
      </c>
      <c r="F7758" s="7" t="s">
        <v>17</v>
      </c>
      <c r="G7758" s="7">
        <v>3908788</v>
      </c>
      <c r="H7758" s="7">
        <v>2418</v>
      </c>
      <c r="I7758" s="7">
        <v>401</v>
      </c>
      <c r="J7758" s="7">
        <v>0</v>
      </c>
      <c r="K7758" s="7" t="s">
        <v>18</v>
      </c>
      <c r="L7758" s="8">
        <v>39987.315405092595</v>
      </c>
      <c r="M7758" s="9" t="s">
        <v>19</v>
      </c>
      <c r="N7758" s="9" t="s">
        <v>20</v>
      </c>
      <c r="O7758" s="6" t="str">
        <f>HYPERLINK("https://pbs.twimg.com/profile_images/962471262747529216/Uo8lOkRJ_normal.jpg","View")</f>
        <v>View</v>
      </c>
      <c r="P7758" s="7"/>
    </row>
    <row r="7759" spans="1:16">
      <c r="A7759" s="3">
        <v>44029.802615740744</v>
      </c>
      <c r="B7759" s="4" t="str">
        <f>HYPERLINK("https://twitter.com/petrogustavo","@petrogustavo")</f>
        <v>@petrogustavo</v>
      </c>
      <c r="C7759" s="5" t="s">
        <v>16</v>
      </c>
      <c r="D7759" s="5" t="s">
        <v>7487</v>
      </c>
      <c r="E7759" s="6" t="str">
        <f>HYPERLINK("https://twitter.com/petrogustavo/status/1284122121866752000","1284122121866752000")</f>
        <v>1284122121866752000</v>
      </c>
      <c r="F7759" s="7" t="s">
        <v>17</v>
      </c>
      <c r="G7759" s="7">
        <v>3908812</v>
      </c>
      <c r="H7759" s="7">
        <v>2419</v>
      </c>
      <c r="I7759" s="7">
        <v>67</v>
      </c>
      <c r="J7759" s="7">
        <v>0</v>
      </c>
      <c r="K7759" s="7" t="s">
        <v>18</v>
      </c>
      <c r="L7759" s="8">
        <v>39987.315405092595</v>
      </c>
      <c r="M7759" s="9" t="s">
        <v>19</v>
      </c>
      <c r="N7759" s="9" t="s">
        <v>20</v>
      </c>
      <c r="O7759" s="6" t="str">
        <f>HYPERLINK("https://pbs.twimg.com/profile_images/962471262747529216/Uo8lOkRJ_normal.jpg","View")</f>
        <v>View</v>
      </c>
      <c r="P7759" s="7"/>
    </row>
    <row r="7760" spans="1:16">
      <c r="A7760" s="3">
        <v>44029.805254629631</v>
      </c>
      <c r="B7760" s="4" t="str">
        <f>HYPERLINK("https://twitter.com/petrogustavo","@petrogustavo")</f>
        <v>@petrogustavo</v>
      </c>
      <c r="C7760" s="5" t="s">
        <v>16</v>
      </c>
      <c r="D7760" s="5" t="s">
        <v>7488</v>
      </c>
      <c r="E7760" s="6" t="str">
        <f>HYPERLINK("https://twitter.com/petrogustavo/status/1284123080370130944","1284123080370130944")</f>
        <v>1284123080370130944</v>
      </c>
      <c r="F7760" s="7" t="s">
        <v>17</v>
      </c>
      <c r="G7760" s="7">
        <v>3908824</v>
      </c>
      <c r="H7760" s="7">
        <v>2419</v>
      </c>
      <c r="I7760" s="7">
        <v>193</v>
      </c>
      <c r="J7760" s="7">
        <v>557</v>
      </c>
      <c r="K7760" s="7" t="s">
        <v>18</v>
      </c>
      <c r="L7760" s="8">
        <v>39987.315405092595</v>
      </c>
      <c r="M7760" s="9" t="s">
        <v>19</v>
      </c>
      <c r="N7760" s="9" t="s">
        <v>20</v>
      </c>
      <c r="O7760" s="6" t="str">
        <f>HYPERLINK("https://pbs.twimg.com/profile_images/962471262747529216/Uo8lOkRJ_normal.jpg","View")</f>
        <v>View</v>
      </c>
      <c r="P7760" s="7"/>
    </row>
    <row r="7761" spans="1:16">
      <c r="A7761" s="3">
        <v>44029.811631944445</v>
      </c>
      <c r="B7761" s="4" t="str">
        <f>HYPERLINK("https://twitter.com/petrogustavo","@petrogustavo")</f>
        <v>@petrogustavo</v>
      </c>
      <c r="C7761" s="5" t="s">
        <v>16</v>
      </c>
      <c r="D7761" s="5" t="s">
        <v>7489</v>
      </c>
      <c r="E7761" s="6" t="str">
        <f>HYPERLINK("https://twitter.com/petrogustavo/status/1284125389938462721","1284125389938462721")</f>
        <v>1284125389938462721</v>
      </c>
      <c r="F7761" s="7" t="s">
        <v>17</v>
      </c>
      <c r="G7761" s="7">
        <v>3908824</v>
      </c>
      <c r="H7761" s="7">
        <v>2419</v>
      </c>
      <c r="I7761" s="7">
        <v>267</v>
      </c>
      <c r="J7761" s="7">
        <v>0</v>
      </c>
      <c r="K7761" s="7" t="s">
        <v>18</v>
      </c>
      <c r="L7761" s="8">
        <v>39987.315405092595</v>
      </c>
      <c r="M7761" s="9" t="s">
        <v>19</v>
      </c>
      <c r="N7761" s="9" t="s">
        <v>20</v>
      </c>
      <c r="O7761" s="6" t="str">
        <f>HYPERLINK("https://pbs.twimg.com/profile_images/962471262747529216/Uo8lOkRJ_normal.jpg","View")</f>
        <v>View</v>
      </c>
      <c r="P7761" s="7"/>
    </row>
    <row r="7762" spans="1:16">
      <c r="A7762" s="3">
        <v>44029.81350694444</v>
      </c>
      <c r="B7762" s="4" t="str">
        <f>HYPERLINK("https://twitter.com/petrogustavo","@petrogustavo")</f>
        <v>@petrogustavo</v>
      </c>
      <c r="C7762" s="5" t="s">
        <v>16</v>
      </c>
      <c r="D7762" s="5" t="s">
        <v>7490</v>
      </c>
      <c r="E7762" s="6" t="str">
        <f>HYPERLINK("https://twitter.com/petrogustavo/status/1284126071353495552","1284126071353495552")</f>
        <v>1284126071353495552</v>
      </c>
      <c r="F7762" s="7" t="s">
        <v>17</v>
      </c>
      <c r="G7762" s="7">
        <v>3908824</v>
      </c>
      <c r="H7762" s="7">
        <v>2419</v>
      </c>
      <c r="I7762" s="7">
        <v>81</v>
      </c>
      <c r="J7762" s="7">
        <v>247</v>
      </c>
      <c r="K7762" s="7" t="s">
        <v>18</v>
      </c>
      <c r="L7762" s="8">
        <v>39987.315405092595</v>
      </c>
      <c r="M7762" s="9" t="s">
        <v>19</v>
      </c>
      <c r="N7762" s="9" t="s">
        <v>20</v>
      </c>
      <c r="O7762" s="6" t="str">
        <f>HYPERLINK("https://pbs.twimg.com/profile_images/962471262747529216/Uo8lOkRJ_normal.jpg","View")</f>
        <v>View</v>
      </c>
      <c r="P7762" s="7"/>
    </row>
    <row r="7763" spans="1:16">
      <c r="A7763" s="3">
        <v>44029.823020833333</v>
      </c>
      <c r="B7763" s="4" t="str">
        <f>HYPERLINK("https://twitter.com/petrogustavo","@petrogustavo")</f>
        <v>@petrogustavo</v>
      </c>
      <c r="C7763" s="5" t="s">
        <v>16</v>
      </c>
      <c r="D7763" s="5" t="s">
        <v>7491</v>
      </c>
      <c r="E7763" s="6" t="str">
        <f>HYPERLINK("https://twitter.com/petrogustavo/status/1284129518815449088","1284129518815449088")</f>
        <v>1284129518815449088</v>
      </c>
      <c r="F7763" s="7" t="s">
        <v>17</v>
      </c>
      <c r="G7763" s="7">
        <v>3908824</v>
      </c>
      <c r="H7763" s="7">
        <v>2419</v>
      </c>
      <c r="I7763" s="7">
        <v>17</v>
      </c>
      <c r="J7763" s="7">
        <v>44</v>
      </c>
      <c r="K7763" s="7" t="s">
        <v>18</v>
      </c>
      <c r="L7763" s="8">
        <v>39987.315405092595</v>
      </c>
      <c r="M7763" s="9" t="s">
        <v>19</v>
      </c>
      <c r="N7763" s="9" t="s">
        <v>20</v>
      </c>
      <c r="O7763" s="6" t="str">
        <f>HYPERLINK("https://pbs.twimg.com/profile_images/962471262747529216/Uo8lOkRJ_normal.jpg","View")</f>
        <v>View</v>
      </c>
      <c r="P7763" s="7"/>
    </row>
    <row r="7764" spans="1:16">
      <c r="A7764" s="3">
        <v>44029.847280092596</v>
      </c>
      <c r="B7764" s="4" t="str">
        <f>HYPERLINK("https://twitter.com/petrogustavo","@petrogustavo")</f>
        <v>@petrogustavo</v>
      </c>
      <c r="C7764" s="5" t="s">
        <v>16</v>
      </c>
      <c r="D7764" s="5" t="s">
        <v>7492</v>
      </c>
      <c r="E7764" s="6" t="str">
        <f>HYPERLINK("https://twitter.com/petrogustavo/status/1284138308394721282","1284138308394721282")</f>
        <v>1284138308394721282</v>
      </c>
      <c r="F7764" s="7" t="s">
        <v>17</v>
      </c>
      <c r="G7764" s="7">
        <v>3908839</v>
      </c>
      <c r="H7764" s="7">
        <v>2419</v>
      </c>
      <c r="I7764" s="7">
        <v>147</v>
      </c>
      <c r="J7764" s="7">
        <v>0</v>
      </c>
      <c r="K7764" s="7" t="s">
        <v>18</v>
      </c>
      <c r="L7764" s="8">
        <v>39987.315405092595</v>
      </c>
      <c r="M7764" s="9" t="s">
        <v>19</v>
      </c>
      <c r="N7764" s="9" t="s">
        <v>20</v>
      </c>
      <c r="O7764" s="6" t="str">
        <f>HYPERLINK("https://pbs.twimg.com/profile_images/962471262747529216/Uo8lOkRJ_normal.jpg","View")</f>
        <v>View</v>
      </c>
      <c r="P7764" s="7"/>
    </row>
    <row r="7765" spans="1:16">
      <c r="A7765" s="3">
        <v>44029.847430555557</v>
      </c>
      <c r="B7765" s="4" t="str">
        <f>HYPERLINK("https://twitter.com/petrogustavo","@petrogustavo")</f>
        <v>@petrogustavo</v>
      </c>
      <c r="C7765" s="5" t="s">
        <v>16</v>
      </c>
      <c r="D7765" s="5" t="s">
        <v>7493</v>
      </c>
      <c r="E7765" s="6" t="str">
        <f>HYPERLINK("https://twitter.com/petrogustavo/status/1284138363944087552","1284138363944087552")</f>
        <v>1284138363944087552</v>
      </c>
      <c r="F7765" s="7" t="s">
        <v>17</v>
      </c>
      <c r="G7765" s="7">
        <v>3908839</v>
      </c>
      <c r="H7765" s="7">
        <v>2419</v>
      </c>
      <c r="I7765" s="7">
        <v>5013</v>
      </c>
      <c r="J7765" s="7">
        <v>0</v>
      </c>
      <c r="K7765" s="7" t="s">
        <v>18</v>
      </c>
      <c r="L7765" s="8">
        <v>39987.315405092595</v>
      </c>
      <c r="M7765" s="9" t="s">
        <v>19</v>
      </c>
      <c r="N7765" s="9" t="s">
        <v>20</v>
      </c>
      <c r="O7765" s="6" t="str">
        <f>HYPERLINK("https://pbs.twimg.com/profile_images/962471262747529216/Uo8lOkRJ_normal.jpg","View")</f>
        <v>View</v>
      </c>
      <c r="P7765" s="7"/>
    </row>
    <row r="7766" spans="1:16">
      <c r="A7766" s="3">
        <v>44029.8518287037</v>
      </c>
      <c r="B7766" s="4" t="str">
        <f>HYPERLINK("https://twitter.com/petrogustavo","@petrogustavo")</f>
        <v>@petrogustavo</v>
      </c>
      <c r="C7766" s="5" t="s">
        <v>16</v>
      </c>
      <c r="D7766" s="5" t="s">
        <v>7494</v>
      </c>
      <c r="E7766" s="6" t="str">
        <f>HYPERLINK("https://twitter.com/petrogustavo/status/1284139958777896961","1284139958777896961")</f>
        <v>1284139958777896961</v>
      </c>
      <c r="F7766" s="7" t="s">
        <v>17</v>
      </c>
      <c r="G7766" s="7">
        <v>3908839</v>
      </c>
      <c r="H7766" s="7">
        <v>2419</v>
      </c>
      <c r="I7766" s="7">
        <v>123</v>
      </c>
      <c r="J7766" s="7">
        <v>280</v>
      </c>
      <c r="K7766" s="7" t="s">
        <v>18</v>
      </c>
      <c r="L7766" s="8">
        <v>39987.315405092595</v>
      </c>
      <c r="M7766" s="9" t="s">
        <v>19</v>
      </c>
      <c r="N7766" s="9" t="s">
        <v>20</v>
      </c>
      <c r="O7766" s="6" t="str">
        <f>HYPERLINK("https://pbs.twimg.com/profile_images/962471262747529216/Uo8lOkRJ_normal.jpg","View")</f>
        <v>View</v>
      </c>
      <c r="P7766" s="7"/>
    </row>
    <row r="7767" spans="1:16">
      <c r="A7767" s="3">
        <v>44029.853206018517</v>
      </c>
      <c r="B7767" s="4" t="str">
        <f>HYPERLINK("https://twitter.com/petrogustavo","@petrogustavo")</f>
        <v>@petrogustavo</v>
      </c>
      <c r="C7767" s="5" t="s">
        <v>16</v>
      </c>
      <c r="D7767" s="5" t="s">
        <v>7495</v>
      </c>
      <c r="E7767" s="6" t="str">
        <f>HYPERLINK("https://twitter.com/petrogustavo/status/1284140456398467075","1284140456398467075")</f>
        <v>1284140456398467075</v>
      </c>
      <c r="F7767" s="7" t="s">
        <v>17</v>
      </c>
      <c r="G7767" s="7">
        <v>3908839</v>
      </c>
      <c r="H7767" s="7">
        <v>2419</v>
      </c>
      <c r="I7767" s="7">
        <v>162</v>
      </c>
      <c r="J7767" s="7">
        <v>0</v>
      </c>
      <c r="K7767" s="7" t="s">
        <v>18</v>
      </c>
      <c r="L7767" s="8">
        <v>39987.315405092595</v>
      </c>
      <c r="M7767" s="9" t="s">
        <v>19</v>
      </c>
      <c r="N7767" s="9" t="s">
        <v>20</v>
      </c>
      <c r="O7767" s="6" t="str">
        <f>HYPERLINK("https://pbs.twimg.com/profile_images/962471262747529216/Uo8lOkRJ_normal.jpg","View")</f>
        <v>View</v>
      </c>
      <c r="P7767" s="7"/>
    </row>
    <row r="7768" spans="1:16">
      <c r="A7768" s="3">
        <v>44029.853368055556</v>
      </c>
      <c r="B7768" s="4" t="str">
        <f>HYPERLINK("https://twitter.com/petrogustavo","@petrogustavo")</f>
        <v>@petrogustavo</v>
      </c>
      <c r="C7768" s="5" t="s">
        <v>16</v>
      </c>
      <c r="D7768" s="5" t="s">
        <v>7496</v>
      </c>
      <c r="E7768" s="6" t="str">
        <f>HYPERLINK("https://twitter.com/petrogustavo/status/1284140515944996864","1284140515944996864")</f>
        <v>1284140515944996864</v>
      </c>
      <c r="F7768" s="7" t="s">
        <v>17</v>
      </c>
      <c r="G7768" s="7">
        <v>3908839</v>
      </c>
      <c r="H7768" s="7">
        <v>2419</v>
      </c>
      <c r="I7768" s="7">
        <v>26</v>
      </c>
      <c r="J7768" s="7">
        <v>0</v>
      </c>
      <c r="K7768" s="7" t="s">
        <v>18</v>
      </c>
      <c r="L7768" s="8">
        <v>39987.315405092595</v>
      </c>
      <c r="M7768" s="9" t="s">
        <v>19</v>
      </c>
      <c r="N7768" s="9" t="s">
        <v>20</v>
      </c>
      <c r="O7768" s="6" t="str">
        <f>HYPERLINK("https://pbs.twimg.com/profile_images/962471262747529216/Uo8lOkRJ_normal.jpg","View")</f>
        <v>View</v>
      </c>
      <c r="P7768" s="7"/>
    </row>
    <row r="7769" spans="1:16">
      <c r="A7769" s="3">
        <v>44029.853969907403</v>
      </c>
      <c r="B7769" s="4" t="str">
        <f>HYPERLINK("https://twitter.com/petrogustavo","@petrogustavo")</f>
        <v>@petrogustavo</v>
      </c>
      <c r="C7769" s="5" t="s">
        <v>16</v>
      </c>
      <c r="D7769" s="5" t="s">
        <v>7497</v>
      </c>
      <c r="E7769" s="6" t="str">
        <f>HYPERLINK("https://twitter.com/petrogustavo/status/1284140730638901254","1284140730638901254")</f>
        <v>1284140730638901254</v>
      </c>
      <c r="F7769" s="7" t="s">
        <v>17</v>
      </c>
      <c r="G7769" s="7">
        <v>3908839</v>
      </c>
      <c r="H7769" s="7">
        <v>2419</v>
      </c>
      <c r="I7769" s="7">
        <v>123</v>
      </c>
      <c r="J7769" s="7">
        <v>0</v>
      </c>
      <c r="K7769" s="7" t="s">
        <v>18</v>
      </c>
      <c r="L7769" s="8">
        <v>39987.315405092595</v>
      </c>
      <c r="M7769" s="9" t="s">
        <v>19</v>
      </c>
      <c r="N7769" s="9" t="s">
        <v>20</v>
      </c>
      <c r="O7769" s="6" t="str">
        <f>HYPERLINK("https://pbs.twimg.com/profile_images/962471262747529216/Uo8lOkRJ_normal.jpg","View")</f>
        <v>View</v>
      </c>
      <c r="P7769" s="7"/>
    </row>
    <row r="7770" spans="1:16">
      <c r="A7770" s="3">
        <v>44029.860798611116</v>
      </c>
      <c r="B7770" s="4" t="str">
        <f>HYPERLINK("https://twitter.com/petrogustavo","@petrogustavo")</f>
        <v>@petrogustavo</v>
      </c>
      <c r="C7770" s="5" t="s">
        <v>16</v>
      </c>
      <c r="D7770" s="5" t="s">
        <v>7498</v>
      </c>
      <c r="E7770" s="6" t="str">
        <f>HYPERLINK("https://twitter.com/petrogustavo/status/1284143209359253507","1284143209359253507")</f>
        <v>1284143209359253507</v>
      </c>
      <c r="F7770" s="7" t="s">
        <v>17</v>
      </c>
      <c r="G7770" s="7">
        <v>3908839</v>
      </c>
      <c r="H7770" s="7">
        <v>2419</v>
      </c>
      <c r="I7770" s="7">
        <v>121</v>
      </c>
      <c r="J7770" s="7">
        <v>0</v>
      </c>
      <c r="K7770" s="7" t="s">
        <v>18</v>
      </c>
      <c r="L7770" s="8">
        <v>39987.315405092595</v>
      </c>
      <c r="M7770" s="9" t="s">
        <v>19</v>
      </c>
      <c r="N7770" s="9" t="s">
        <v>20</v>
      </c>
      <c r="O7770" s="6" t="str">
        <f>HYPERLINK("https://pbs.twimg.com/profile_images/962471262747529216/Uo8lOkRJ_normal.jpg","View")</f>
        <v>View</v>
      </c>
      <c r="P7770" s="7"/>
    </row>
    <row r="7771" spans="1:16">
      <c r="A7771" s="3">
        <v>44029.90626157407</v>
      </c>
      <c r="B7771" s="4" t="str">
        <f>HYPERLINK("https://twitter.com/petrogustavo","@petrogustavo")</f>
        <v>@petrogustavo</v>
      </c>
      <c r="C7771" s="5" t="s">
        <v>16</v>
      </c>
      <c r="D7771" s="5" t="s">
        <v>7499</v>
      </c>
      <c r="E7771" s="6" t="str">
        <f>HYPERLINK("https://twitter.com/petrogustavo/status/1284159680844111872","1284159680844111872")</f>
        <v>1284159680844111872</v>
      </c>
      <c r="F7771" s="7" t="s">
        <v>32</v>
      </c>
      <c r="G7771" s="7">
        <v>3908872</v>
      </c>
      <c r="H7771" s="7">
        <v>2419</v>
      </c>
      <c r="I7771" s="7">
        <v>23</v>
      </c>
      <c r="J7771" s="7">
        <v>55</v>
      </c>
      <c r="K7771" s="7" t="s">
        <v>18</v>
      </c>
      <c r="L7771" s="8">
        <v>39987.315405092595</v>
      </c>
      <c r="M7771" s="9" t="s">
        <v>19</v>
      </c>
      <c r="N7771" s="9" t="s">
        <v>20</v>
      </c>
      <c r="O7771" s="6" t="str">
        <f>HYPERLINK("https://pbs.twimg.com/profile_images/962471262747529216/Uo8lOkRJ_normal.jpg","View")</f>
        <v>View</v>
      </c>
      <c r="P7771" s="7"/>
    </row>
    <row r="7772" spans="1:16">
      <c r="A7772" s="3">
        <v>44029.96298611111</v>
      </c>
      <c r="B7772" s="4" t="str">
        <f>HYPERLINK("https://twitter.com/petrogustavo","@petrogustavo")</f>
        <v>@petrogustavo</v>
      </c>
      <c r="C7772" s="5" t="s">
        <v>16</v>
      </c>
      <c r="D7772" s="5" t="s">
        <v>7500</v>
      </c>
      <c r="E7772" s="6" t="str">
        <f>HYPERLINK("https://twitter.com/petrogustavo/status/1284180240282128385","1284180240282128385")</f>
        <v>1284180240282128385</v>
      </c>
      <c r="F7772" s="7" t="s">
        <v>32</v>
      </c>
      <c r="G7772" s="7">
        <v>3908898</v>
      </c>
      <c r="H7772" s="7">
        <v>2419</v>
      </c>
      <c r="I7772" s="7">
        <v>711</v>
      </c>
      <c r="J7772" s="7">
        <v>0</v>
      </c>
      <c r="K7772" s="7" t="s">
        <v>18</v>
      </c>
      <c r="L7772" s="8">
        <v>39987.315405092595</v>
      </c>
      <c r="M7772" s="9" t="s">
        <v>19</v>
      </c>
      <c r="N7772" s="9" t="s">
        <v>20</v>
      </c>
      <c r="O7772" s="6" t="str">
        <f>HYPERLINK("https://pbs.twimg.com/profile_images/962471262747529216/Uo8lOkRJ_normal.jpg","View")</f>
        <v>View</v>
      </c>
      <c r="P7772" s="7"/>
    </row>
    <row r="7773" spans="1:16">
      <c r="A7773" s="3">
        <v>44029.966307870374</v>
      </c>
      <c r="B7773" s="4" t="str">
        <f>HYPERLINK("https://twitter.com/petrogustavo","@petrogustavo")</f>
        <v>@petrogustavo</v>
      </c>
      <c r="C7773" s="5" t="s">
        <v>16</v>
      </c>
      <c r="D7773" s="5" t="s">
        <v>7501</v>
      </c>
      <c r="E7773" s="6" t="str">
        <f>HYPERLINK("https://twitter.com/petrogustavo/status/1284181440851320833","1284181440851320833")</f>
        <v>1284181440851320833</v>
      </c>
      <c r="F7773" s="7" t="s">
        <v>17</v>
      </c>
      <c r="G7773" s="7">
        <v>3908898</v>
      </c>
      <c r="H7773" s="7">
        <v>2419</v>
      </c>
      <c r="I7773" s="7">
        <v>42</v>
      </c>
      <c r="J7773" s="7">
        <v>95</v>
      </c>
      <c r="K7773" s="7" t="s">
        <v>18</v>
      </c>
      <c r="L7773" s="8">
        <v>39987.315405092595</v>
      </c>
      <c r="M7773" s="9" t="s">
        <v>19</v>
      </c>
      <c r="N7773" s="9" t="s">
        <v>20</v>
      </c>
      <c r="O7773" s="6" t="str">
        <f>HYPERLINK("https://pbs.twimg.com/profile_images/962471262747529216/Uo8lOkRJ_normal.jpg","View")</f>
        <v>View</v>
      </c>
      <c r="P7773" s="7"/>
    </row>
    <row r="7774" spans="1:16">
      <c r="A7774" s="3">
        <v>44030.022615740745</v>
      </c>
      <c r="B7774" s="4" t="str">
        <f>HYPERLINK("https://twitter.com/petrogustavo","@petrogustavo")</f>
        <v>@petrogustavo</v>
      </c>
      <c r="C7774" s="5" t="s">
        <v>16</v>
      </c>
      <c r="D7774" s="5" t="s">
        <v>7502</v>
      </c>
      <c r="E7774" s="6" t="str">
        <f>HYPERLINK("https://twitter.com/petrogustavo/status/1284201846521958401","1284201846521958401")</f>
        <v>1284201846521958401</v>
      </c>
      <c r="F7774" s="7" t="s">
        <v>17</v>
      </c>
      <c r="G7774" s="7">
        <v>3908940</v>
      </c>
      <c r="H7774" s="7">
        <v>2419</v>
      </c>
      <c r="I7774" s="7">
        <v>66</v>
      </c>
      <c r="J7774" s="7">
        <v>117</v>
      </c>
      <c r="K7774" s="7" t="s">
        <v>18</v>
      </c>
      <c r="L7774" s="8">
        <v>39987.315405092595</v>
      </c>
      <c r="M7774" s="9" t="s">
        <v>19</v>
      </c>
      <c r="N7774" s="9" t="s">
        <v>20</v>
      </c>
      <c r="O7774" s="6" t="str">
        <f>HYPERLINK("https://pbs.twimg.com/profile_images/962471262747529216/Uo8lOkRJ_normal.jpg","View")</f>
        <v>View</v>
      </c>
      <c r="P7774" s="7"/>
    </row>
    <row r="7775" spans="1:16">
      <c r="A7775" s="3">
        <v>44030.035775462966</v>
      </c>
      <c r="B7775" s="4" t="str">
        <f>HYPERLINK("https://twitter.com/petrogustavo","@petrogustavo")</f>
        <v>@petrogustavo</v>
      </c>
      <c r="C7775" s="5" t="s">
        <v>16</v>
      </c>
      <c r="D7775" s="5" t="s">
        <v>7503</v>
      </c>
      <c r="E7775" s="6" t="str">
        <f>HYPERLINK("https://twitter.com/petrogustavo/status/1284206616284454919","1284206616284454919")</f>
        <v>1284206616284454919</v>
      </c>
      <c r="F7775" s="7" t="s">
        <v>17</v>
      </c>
      <c r="G7775" s="7">
        <v>3908951</v>
      </c>
      <c r="H7775" s="7">
        <v>2419</v>
      </c>
      <c r="I7775" s="7">
        <v>25</v>
      </c>
      <c r="J7775" s="7">
        <v>0</v>
      </c>
      <c r="K7775" s="7" t="s">
        <v>18</v>
      </c>
      <c r="L7775" s="8">
        <v>39987.315405092595</v>
      </c>
      <c r="M7775" s="9" t="s">
        <v>19</v>
      </c>
      <c r="N7775" s="9" t="s">
        <v>20</v>
      </c>
      <c r="O7775" s="6" t="str">
        <f>HYPERLINK("https://pbs.twimg.com/profile_images/962471262747529216/Uo8lOkRJ_normal.jpg","View")</f>
        <v>View</v>
      </c>
      <c r="P7775" s="7"/>
    </row>
    <row r="7776" spans="1:16">
      <c r="A7776" s="3">
        <v>44030.036145833335</v>
      </c>
      <c r="B7776" s="4" t="str">
        <f>HYPERLINK("https://twitter.com/petrogustavo","@petrogustavo")</f>
        <v>@petrogustavo</v>
      </c>
      <c r="C7776" s="5" t="s">
        <v>16</v>
      </c>
      <c r="D7776" s="5" t="s">
        <v>7504</v>
      </c>
      <c r="E7776" s="6" t="str">
        <f>HYPERLINK("https://twitter.com/petrogustavo/status/1284206750984544257","1284206750984544257")</f>
        <v>1284206750984544257</v>
      </c>
      <c r="F7776" s="7" t="s">
        <v>17</v>
      </c>
      <c r="G7776" s="7">
        <v>3908951</v>
      </c>
      <c r="H7776" s="7">
        <v>2419</v>
      </c>
      <c r="I7776" s="7">
        <v>70</v>
      </c>
      <c r="J7776" s="7">
        <v>188</v>
      </c>
      <c r="K7776" s="7" t="s">
        <v>18</v>
      </c>
      <c r="L7776" s="8">
        <v>39987.315405092595</v>
      </c>
      <c r="M7776" s="9" t="s">
        <v>19</v>
      </c>
      <c r="N7776" s="9" t="s">
        <v>20</v>
      </c>
      <c r="O7776" s="6" t="str">
        <f>HYPERLINK("https://pbs.twimg.com/profile_images/962471262747529216/Uo8lOkRJ_normal.jpg","View")</f>
        <v>View</v>
      </c>
      <c r="P7776" s="7"/>
    </row>
    <row r="7777" spans="1:16">
      <c r="A7777" s="3">
        <v>44030.03706018519</v>
      </c>
      <c r="B7777" s="4" t="str">
        <f>HYPERLINK("https://twitter.com/petrogustavo","@petrogustavo")</f>
        <v>@petrogustavo</v>
      </c>
      <c r="C7777" s="5" t="s">
        <v>16</v>
      </c>
      <c r="D7777" s="5" t="s">
        <v>7505</v>
      </c>
      <c r="E7777" s="6" t="str">
        <f>HYPERLINK("https://twitter.com/petrogustavo/status/1284207083664048129","1284207083664048129")</f>
        <v>1284207083664048129</v>
      </c>
      <c r="F7777" s="7" t="s">
        <v>17</v>
      </c>
      <c r="G7777" s="7">
        <v>3908951</v>
      </c>
      <c r="H7777" s="7">
        <v>2419</v>
      </c>
      <c r="I7777" s="7">
        <v>116</v>
      </c>
      <c r="J7777" s="7">
        <v>354</v>
      </c>
      <c r="K7777" s="7" t="s">
        <v>18</v>
      </c>
      <c r="L7777" s="8">
        <v>39987.315405092595</v>
      </c>
      <c r="M7777" s="9" t="s">
        <v>19</v>
      </c>
      <c r="N7777" s="9" t="s">
        <v>20</v>
      </c>
      <c r="O7777" s="6" t="str">
        <f>HYPERLINK("https://pbs.twimg.com/profile_images/962471262747529216/Uo8lOkRJ_normal.jpg","View")</f>
        <v>View</v>
      </c>
      <c r="P7777" s="7"/>
    </row>
    <row r="7778" spans="1:16">
      <c r="A7778" s="3">
        <v>44030.037199074075</v>
      </c>
      <c r="B7778" s="4" t="str">
        <f>HYPERLINK("https://twitter.com/petrogustavo","@petrogustavo")</f>
        <v>@petrogustavo</v>
      </c>
      <c r="C7778" s="5" t="s">
        <v>16</v>
      </c>
      <c r="D7778" s="5" t="s">
        <v>7506</v>
      </c>
      <c r="E7778" s="6" t="str">
        <f>HYPERLINK("https://twitter.com/petrogustavo/status/1284207133303738368","1284207133303738368")</f>
        <v>1284207133303738368</v>
      </c>
      <c r="F7778" s="7" t="s">
        <v>17</v>
      </c>
      <c r="G7778" s="7">
        <v>3908951</v>
      </c>
      <c r="H7778" s="7">
        <v>2419</v>
      </c>
      <c r="I7778" s="7">
        <v>111</v>
      </c>
      <c r="J7778" s="7">
        <v>0</v>
      </c>
      <c r="K7778" s="7" t="s">
        <v>18</v>
      </c>
      <c r="L7778" s="8">
        <v>39987.315405092595</v>
      </c>
      <c r="M7778" s="9" t="s">
        <v>19</v>
      </c>
      <c r="N7778" s="9" t="s">
        <v>20</v>
      </c>
      <c r="O7778" s="6" t="str">
        <f>HYPERLINK("https://pbs.twimg.com/profile_images/962471262747529216/Uo8lOkRJ_normal.jpg","View")</f>
        <v>View</v>
      </c>
      <c r="P7778" s="7"/>
    </row>
    <row r="7779" spans="1:16">
      <c r="A7779" s="3">
        <v>44030.042569444442</v>
      </c>
      <c r="B7779" s="4" t="str">
        <f>HYPERLINK("https://twitter.com/petrogustavo","@petrogustavo")</f>
        <v>@petrogustavo</v>
      </c>
      <c r="C7779" s="5" t="s">
        <v>16</v>
      </c>
      <c r="D7779" s="5" t="s">
        <v>7507</v>
      </c>
      <c r="E7779" s="6" t="str">
        <f>HYPERLINK("https://twitter.com/petrogustavo/status/1284209076822585346","1284209076822585346")</f>
        <v>1284209076822585346</v>
      </c>
      <c r="F7779" s="7" t="s">
        <v>17</v>
      </c>
      <c r="G7779" s="7">
        <v>3908951</v>
      </c>
      <c r="H7779" s="7">
        <v>2419</v>
      </c>
      <c r="I7779" s="7">
        <v>176</v>
      </c>
      <c r="J7779" s="7">
        <v>0</v>
      </c>
      <c r="K7779" s="7" t="s">
        <v>18</v>
      </c>
      <c r="L7779" s="8">
        <v>39987.315405092595</v>
      </c>
      <c r="M7779" s="9" t="s">
        <v>19</v>
      </c>
      <c r="N7779" s="9" t="s">
        <v>20</v>
      </c>
      <c r="O7779" s="6" t="str">
        <f>HYPERLINK("https://pbs.twimg.com/profile_images/962471262747529216/Uo8lOkRJ_normal.jpg","View")</f>
        <v>View</v>
      </c>
      <c r="P7779" s="7"/>
    </row>
    <row r="7780" spans="1:16">
      <c r="A7780" s="3">
        <v>44030.22047453704</v>
      </c>
      <c r="B7780" s="4" t="str">
        <f>HYPERLINK("https://twitter.com/petrogustavo","@petrogustavo")</f>
        <v>@petrogustavo</v>
      </c>
      <c r="C7780" s="5" t="s">
        <v>16</v>
      </c>
      <c r="D7780" s="5" t="s">
        <v>7508</v>
      </c>
      <c r="E7780" s="6" t="str">
        <f>HYPERLINK("https://twitter.com/petrogustavo/status/1284273548006166528","1284273548006166528")</f>
        <v>1284273548006166528</v>
      </c>
      <c r="F7780" s="7" t="s">
        <v>17</v>
      </c>
      <c r="G7780" s="7">
        <v>3909051</v>
      </c>
      <c r="H7780" s="7">
        <v>2418</v>
      </c>
      <c r="I7780" s="7">
        <v>3</v>
      </c>
      <c r="J7780" s="7">
        <v>6</v>
      </c>
      <c r="K7780" s="7" t="s">
        <v>18</v>
      </c>
      <c r="L7780" s="8">
        <v>39987.315405092595</v>
      </c>
      <c r="M7780" s="9" t="s">
        <v>19</v>
      </c>
      <c r="N7780" s="9" t="s">
        <v>20</v>
      </c>
      <c r="O7780" s="6" t="str">
        <f>HYPERLINK("https://pbs.twimg.com/profile_images/962471262747529216/Uo8lOkRJ_normal.jpg","View")</f>
        <v>View</v>
      </c>
      <c r="P7780" s="7"/>
    </row>
    <row r="7781" spans="1:16">
      <c r="A7781" s="3">
        <v>44030.22111111111</v>
      </c>
      <c r="B7781" s="4" t="str">
        <f>HYPERLINK("https://twitter.com/petrogustavo","@petrogustavo")</f>
        <v>@petrogustavo</v>
      </c>
      <c r="C7781" s="5" t="s">
        <v>16</v>
      </c>
      <c r="D7781" s="5" t="s">
        <v>7509</v>
      </c>
      <c r="E7781" s="6" t="str">
        <f>HYPERLINK("https://twitter.com/petrogustavo/status/1284273782031556609","1284273782031556609")</f>
        <v>1284273782031556609</v>
      </c>
      <c r="F7781" s="7" t="s">
        <v>17</v>
      </c>
      <c r="G7781" s="7">
        <v>3909061</v>
      </c>
      <c r="H7781" s="7">
        <v>2418</v>
      </c>
      <c r="I7781" s="7">
        <v>266</v>
      </c>
      <c r="J7781" s="7">
        <v>0</v>
      </c>
      <c r="K7781" s="7" t="s">
        <v>18</v>
      </c>
      <c r="L7781" s="8">
        <v>39987.315405092595</v>
      </c>
      <c r="M7781" s="9" t="s">
        <v>19</v>
      </c>
      <c r="N7781" s="9" t="s">
        <v>20</v>
      </c>
      <c r="O7781" s="6" t="str">
        <f>HYPERLINK("https://pbs.twimg.com/profile_images/962471262747529216/Uo8lOkRJ_normal.jpg","View")</f>
        <v>View</v>
      </c>
      <c r="P7781" s="7"/>
    </row>
    <row r="7782" spans="1:16">
      <c r="A7782" s="3">
        <v>44030.221493055556</v>
      </c>
      <c r="B7782" s="4" t="str">
        <f>HYPERLINK("https://twitter.com/petrogustavo","@petrogustavo")</f>
        <v>@petrogustavo</v>
      </c>
      <c r="C7782" s="5" t="s">
        <v>16</v>
      </c>
      <c r="D7782" s="5" t="s">
        <v>7510</v>
      </c>
      <c r="E7782" s="6" t="str">
        <f>HYPERLINK("https://twitter.com/petrogustavo/status/1284273919831216128","1284273919831216128")</f>
        <v>1284273919831216128</v>
      </c>
      <c r="F7782" s="7" t="s">
        <v>17</v>
      </c>
      <c r="G7782" s="7">
        <v>3909061</v>
      </c>
      <c r="H7782" s="7">
        <v>2418</v>
      </c>
      <c r="I7782" s="7">
        <v>51</v>
      </c>
      <c r="J7782" s="7">
        <v>0</v>
      </c>
      <c r="K7782" s="7" t="s">
        <v>18</v>
      </c>
      <c r="L7782" s="8">
        <v>39987.315405092595</v>
      </c>
      <c r="M7782" s="9" t="s">
        <v>19</v>
      </c>
      <c r="N7782" s="9" t="s">
        <v>20</v>
      </c>
      <c r="O7782" s="6" t="str">
        <f>HYPERLINK("https://pbs.twimg.com/profile_images/962471262747529216/Uo8lOkRJ_normal.jpg","View")</f>
        <v>View</v>
      </c>
      <c r="P7782" s="7"/>
    </row>
    <row r="7783" spans="1:16">
      <c r="A7783" s="3">
        <v>44030.221817129626</v>
      </c>
      <c r="B7783" s="4" t="str">
        <f>HYPERLINK("https://twitter.com/petrogustavo","@petrogustavo")</f>
        <v>@petrogustavo</v>
      </c>
      <c r="C7783" s="5" t="s">
        <v>16</v>
      </c>
      <c r="D7783" s="5" t="s">
        <v>7511</v>
      </c>
      <c r="E7783" s="6" t="str">
        <f>HYPERLINK("https://twitter.com/petrogustavo/status/1284274035480813573","1284274035480813573")</f>
        <v>1284274035480813573</v>
      </c>
      <c r="F7783" s="7" t="s">
        <v>17</v>
      </c>
      <c r="G7783" s="7">
        <v>3909061</v>
      </c>
      <c r="H7783" s="7">
        <v>2418</v>
      </c>
      <c r="I7783" s="7">
        <v>75</v>
      </c>
      <c r="J7783" s="7">
        <v>0</v>
      </c>
      <c r="K7783" s="7" t="s">
        <v>18</v>
      </c>
      <c r="L7783" s="8">
        <v>39987.315405092595</v>
      </c>
      <c r="M7783" s="9" t="s">
        <v>19</v>
      </c>
      <c r="N7783" s="9" t="s">
        <v>20</v>
      </c>
      <c r="O7783" s="6" t="str">
        <f>HYPERLINK("https://pbs.twimg.com/profile_images/962471262747529216/Uo8lOkRJ_normal.jpg","View")</f>
        <v>View</v>
      </c>
      <c r="P7783" s="7"/>
    </row>
    <row r="7784" spans="1:16">
      <c r="A7784" s="3">
        <v>44030.224004629628</v>
      </c>
      <c r="B7784" s="4" t="str">
        <f>HYPERLINK("https://twitter.com/petrogustavo","@petrogustavo")</f>
        <v>@petrogustavo</v>
      </c>
      <c r="C7784" s="5" t="s">
        <v>16</v>
      </c>
      <c r="D7784" s="5" t="s">
        <v>7512</v>
      </c>
      <c r="E7784" s="6" t="str">
        <f>HYPERLINK("https://twitter.com/petrogustavo/status/1284274827902230530","1284274827902230530")</f>
        <v>1284274827902230530</v>
      </c>
      <c r="F7784" s="7" t="s">
        <v>17</v>
      </c>
      <c r="G7784" s="7">
        <v>3909061</v>
      </c>
      <c r="H7784" s="7">
        <v>2418</v>
      </c>
      <c r="I7784" s="7">
        <v>323</v>
      </c>
      <c r="J7784" s="7">
        <v>808</v>
      </c>
      <c r="K7784" s="7" t="s">
        <v>18</v>
      </c>
      <c r="L7784" s="8">
        <v>39987.315405092595</v>
      </c>
      <c r="M7784" s="9" t="s">
        <v>19</v>
      </c>
      <c r="N7784" s="9" t="s">
        <v>20</v>
      </c>
      <c r="O7784" s="6" t="str">
        <f>HYPERLINK("https://pbs.twimg.com/profile_images/962471262747529216/Uo8lOkRJ_normal.jpg","View")</f>
        <v>View</v>
      </c>
      <c r="P7784" s="7"/>
    </row>
    <row r="7785" spans="1:16">
      <c r="A7785" s="3">
        <v>44030.226377314815</v>
      </c>
      <c r="B7785" s="4" t="str">
        <f>HYPERLINK("https://twitter.com/petrogustavo","@petrogustavo")</f>
        <v>@petrogustavo</v>
      </c>
      <c r="C7785" s="5" t="s">
        <v>16</v>
      </c>
      <c r="D7785" s="5" t="s">
        <v>7513</v>
      </c>
      <c r="E7785" s="6" t="str">
        <f>HYPERLINK("https://twitter.com/petrogustavo/status/1284275688535711744","1284275688535711744")</f>
        <v>1284275688535711744</v>
      </c>
      <c r="F7785" s="7" t="s">
        <v>17</v>
      </c>
      <c r="G7785" s="7">
        <v>3909061</v>
      </c>
      <c r="H7785" s="7">
        <v>2418</v>
      </c>
      <c r="I7785" s="7">
        <v>145</v>
      </c>
      <c r="J7785" s="7">
        <v>250</v>
      </c>
      <c r="K7785" s="7" t="s">
        <v>18</v>
      </c>
      <c r="L7785" s="8">
        <v>39987.315405092595</v>
      </c>
      <c r="M7785" s="9" t="s">
        <v>19</v>
      </c>
      <c r="N7785" s="9" t="s">
        <v>20</v>
      </c>
      <c r="O7785" s="6" t="str">
        <f>HYPERLINK("https://pbs.twimg.com/profile_images/962471262747529216/Uo8lOkRJ_normal.jpg","View")</f>
        <v>View</v>
      </c>
      <c r="P7785" s="7"/>
    </row>
    <row r="7786" spans="1:16">
      <c r="A7786" s="3">
        <v>44030.228981481487</v>
      </c>
      <c r="B7786" s="4" t="str">
        <f>HYPERLINK("https://twitter.com/petrogustavo","@petrogustavo")</f>
        <v>@petrogustavo</v>
      </c>
      <c r="C7786" s="5" t="s">
        <v>16</v>
      </c>
      <c r="D7786" s="5" t="s">
        <v>7514</v>
      </c>
      <c r="E7786" s="6" t="str">
        <f>HYPERLINK("https://twitter.com/petrogustavo/status/1284276630635139073","1284276630635139073")</f>
        <v>1284276630635139073</v>
      </c>
      <c r="F7786" s="7" t="s">
        <v>17</v>
      </c>
      <c r="G7786" s="7">
        <v>3909061</v>
      </c>
      <c r="H7786" s="7">
        <v>2418</v>
      </c>
      <c r="I7786" s="7">
        <v>139</v>
      </c>
      <c r="J7786" s="7">
        <v>281</v>
      </c>
      <c r="K7786" s="7" t="s">
        <v>18</v>
      </c>
      <c r="L7786" s="8">
        <v>39987.315405092595</v>
      </c>
      <c r="M7786" s="9" t="s">
        <v>19</v>
      </c>
      <c r="N7786" s="9" t="s">
        <v>20</v>
      </c>
      <c r="O7786" s="6" t="str">
        <f>HYPERLINK("https://pbs.twimg.com/profile_images/962471262747529216/Uo8lOkRJ_normal.jpg","View")</f>
        <v>View</v>
      </c>
      <c r="P7786" s="7"/>
    </row>
    <row r="7787" spans="1:16">
      <c r="A7787" s="3">
        <v>44030.235092592593</v>
      </c>
      <c r="B7787" s="4" t="str">
        <f>HYPERLINK("https://twitter.com/petrogustavo","@petrogustavo")</f>
        <v>@petrogustavo</v>
      </c>
      <c r="C7787" s="5" t="s">
        <v>16</v>
      </c>
      <c r="D7787" s="5" t="s">
        <v>7515</v>
      </c>
      <c r="E7787" s="6" t="str">
        <f>HYPERLINK("https://twitter.com/petrogustavo/status/1284278845592436738","1284278845592436738")</f>
        <v>1284278845592436738</v>
      </c>
      <c r="F7787" s="7" t="s">
        <v>17</v>
      </c>
      <c r="G7787" s="7">
        <v>3909061</v>
      </c>
      <c r="H7787" s="7">
        <v>2418</v>
      </c>
      <c r="I7787" s="7">
        <v>68</v>
      </c>
      <c r="J7787" s="7">
        <v>187</v>
      </c>
      <c r="K7787" s="7" t="s">
        <v>18</v>
      </c>
      <c r="L7787" s="8">
        <v>39987.315405092595</v>
      </c>
      <c r="M7787" s="9" t="s">
        <v>19</v>
      </c>
      <c r="N7787" s="9" t="s">
        <v>20</v>
      </c>
      <c r="O7787" s="6" t="str">
        <f>HYPERLINK("https://pbs.twimg.com/profile_images/962471262747529216/Uo8lOkRJ_normal.jpg","View")</f>
        <v>View</v>
      </c>
      <c r="P7787" s="7"/>
    </row>
    <row r="7788" spans="1:16">
      <c r="A7788" s="3">
        <v>44030.237986111111</v>
      </c>
      <c r="B7788" s="4" t="str">
        <f>HYPERLINK("https://twitter.com/petrogustavo","@petrogustavo")</f>
        <v>@petrogustavo</v>
      </c>
      <c r="C7788" s="5" t="s">
        <v>16</v>
      </c>
      <c r="D7788" s="5" t="s">
        <v>7516</v>
      </c>
      <c r="E7788" s="6" t="str">
        <f>HYPERLINK("https://twitter.com/petrogustavo/status/1284279895812710400","1284279895812710400")</f>
        <v>1284279895812710400</v>
      </c>
      <c r="F7788" s="7" t="s">
        <v>17</v>
      </c>
      <c r="G7788" s="7">
        <v>3909061</v>
      </c>
      <c r="H7788" s="7">
        <v>2418</v>
      </c>
      <c r="I7788" s="7">
        <v>59</v>
      </c>
      <c r="J7788" s="7">
        <v>135</v>
      </c>
      <c r="K7788" s="7" t="s">
        <v>18</v>
      </c>
      <c r="L7788" s="8">
        <v>39987.315405092595</v>
      </c>
      <c r="M7788" s="9" t="s">
        <v>19</v>
      </c>
      <c r="N7788" s="9" t="s">
        <v>20</v>
      </c>
      <c r="O7788" s="6" t="str">
        <f>HYPERLINK("https://pbs.twimg.com/profile_images/962471262747529216/Uo8lOkRJ_normal.jpg","View")</f>
        <v>View</v>
      </c>
      <c r="P7788" s="7"/>
    </row>
    <row r="7789" spans="1:16">
      <c r="A7789" s="3">
        <v>44030.251712962963</v>
      </c>
      <c r="B7789" s="4" t="str">
        <f>HYPERLINK("https://twitter.com/petrogustavo","@petrogustavo")</f>
        <v>@petrogustavo</v>
      </c>
      <c r="C7789" s="5" t="s">
        <v>16</v>
      </c>
      <c r="D7789" s="5" t="s">
        <v>7517</v>
      </c>
      <c r="E7789" s="6" t="str">
        <f>HYPERLINK("https://twitter.com/petrogustavo/status/1284284868415848452","1284284868415848452")</f>
        <v>1284284868415848452</v>
      </c>
      <c r="F7789" s="7" t="s">
        <v>17</v>
      </c>
      <c r="G7789" s="7">
        <v>3909069</v>
      </c>
      <c r="H7789" s="7">
        <v>2418</v>
      </c>
      <c r="I7789" s="7">
        <v>89</v>
      </c>
      <c r="J7789" s="7">
        <v>187</v>
      </c>
      <c r="K7789" s="7" t="s">
        <v>18</v>
      </c>
      <c r="L7789" s="8">
        <v>39987.315405092595</v>
      </c>
      <c r="M7789" s="9" t="s">
        <v>19</v>
      </c>
      <c r="N7789" s="9" t="s">
        <v>20</v>
      </c>
      <c r="O7789" s="6" t="str">
        <f>HYPERLINK("https://pbs.twimg.com/profile_images/962471262747529216/Uo8lOkRJ_normal.jpg","View")</f>
        <v>View</v>
      </c>
      <c r="P7789" s="7"/>
    </row>
    <row r="7790" spans="1:16">
      <c r="A7790" s="3">
        <v>44030.252418981487</v>
      </c>
      <c r="B7790" s="4" t="str">
        <f>HYPERLINK("https://twitter.com/petrogustavo","@petrogustavo")</f>
        <v>@petrogustavo</v>
      </c>
      <c r="C7790" s="5" t="s">
        <v>16</v>
      </c>
      <c r="D7790" s="5" t="s">
        <v>7518</v>
      </c>
      <c r="E7790" s="6" t="str">
        <f>HYPERLINK("https://twitter.com/petrogustavo/status/1284285125723906048","1284285125723906048")</f>
        <v>1284285125723906048</v>
      </c>
      <c r="F7790" s="7" t="s">
        <v>17</v>
      </c>
      <c r="G7790" s="7">
        <v>3909069</v>
      </c>
      <c r="H7790" s="7">
        <v>2418</v>
      </c>
      <c r="I7790" s="7">
        <v>886</v>
      </c>
      <c r="J7790" s="7">
        <v>0</v>
      </c>
      <c r="K7790" s="7" t="s">
        <v>18</v>
      </c>
      <c r="L7790" s="8">
        <v>39987.315405092595</v>
      </c>
      <c r="M7790" s="9" t="s">
        <v>19</v>
      </c>
      <c r="N7790" s="9" t="s">
        <v>20</v>
      </c>
      <c r="O7790" s="6" t="str">
        <f>HYPERLINK("https://pbs.twimg.com/profile_images/962471262747529216/Uo8lOkRJ_normal.jpg","View")</f>
        <v>View</v>
      </c>
      <c r="P7790" s="7"/>
    </row>
    <row r="7791" spans="1:16">
      <c r="A7791" s="3">
        <v>44030.263472222221</v>
      </c>
      <c r="B7791" s="4" t="str">
        <f>HYPERLINK("https://twitter.com/petrogustavo","@petrogustavo")</f>
        <v>@petrogustavo</v>
      </c>
      <c r="C7791" s="5" t="s">
        <v>16</v>
      </c>
      <c r="D7791" s="5" t="s">
        <v>7519</v>
      </c>
      <c r="E7791" s="6" t="str">
        <f>HYPERLINK("https://twitter.com/petrogustavo/status/1284289129807839233","1284289129807839233")</f>
        <v>1284289129807839233</v>
      </c>
      <c r="F7791" s="7" t="s">
        <v>17</v>
      </c>
      <c r="G7791" s="7">
        <v>3909079</v>
      </c>
      <c r="H7791" s="7">
        <v>2418</v>
      </c>
      <c r="I7791" s="7">
        <v>187</v>
      </c>
      <c r="J7791" s="7">
        <v>366</v>
      </c>
      <c r="K7791" s="7" t="s">
        <v>18</v>
      </c>
      <c r="L7791" s="8">
        <v>39987.315405092595</v>
      </c>
      <c r="M7791" s="9" t="s">
        <v>19</v>
      </c>
      <c r="N7791" s="9" t="s">
        <v>20</v>
      </c>
      <c r="O7791" s="6" t="str">
        <f>HYPERLINK("https://pbs.twimg.com/profile_images/962471262747529216/Uo8lOkRJ_normal.jpg","View")</f>
        <v>View</v>
      </c>
      <c r="P7791" s="7"/>
    </row>
    <row r="7792" spans="1:16">
      <c r="A7792" s="3">
        <v>44030.278101851851</v>
      </c>
      <c r="B7792" s="4" t="str">
        <f>HYPERLINK("https://twitter.com/petrogustavo","@petrogustavo")</f>
        <v>@petrogustavo</v>
      </c>
      <c r="C7792" s="5" t="s">
        <v>16</v>
      </c>
      <c r="D7792" s="5" t="s">
        <v>7520</v>
      </c>
      <c r="E7792" s="6" t="str">
        <f>HYPERLINK("https://twitter.com/petrogustavo/status/1284294433144479744","1284294433144479744")</f>
        <v>1284294433144479744</v>
      </c>
      <c r="F7792" s="7" t="s">
        <v>17</v>
      </c>
      <c r="G7792" s="7">
        <v>3909079</v>
      </c>
      <c r="H7792" s="7">
        <v>2418</v>
      </c>
      <c r="I7792" s="7">
        <v>710</v>
      </c>
      <c r="J7792" s="7">
        <v>0</v>
      </c>
      <c r="K7792" s="7" t="s">
        <v>18</v>
      </c>
      <c r="L7792" s="8">
        <v>39987.315405092595</v>
      </c>
      <c r="M7792" s="9" t="s">
        <v>19</v>
      </c>
      <c r="N7792" s="9" t="s">
        <v>20</v>
      </c>
      <c r="O7792" s="6" t="str">
        <f>HYPERLINK("https://pbs.twimg.com/profile_images/962471262747529216/Uo8lOkRJ_normal.jpg","View")</f>
        <v>View</v>
      </c>
      <c r="P7792" s="7"/>
    </row>
    <row r="7793" spans="1:16">
      <c r="A7793" s="3">
        <v>44030.291412037041</v>
      </c>
      <c r="B7793" s="4" t="str">
        <f>HYPERLINK("https://twitter.com/petrogustavo","@petrogustavo")</f>
        <v>@petrogustavo</v>
      </c>
      <c r="C7793" s="5" t="s">
        <v>16</v>
      </c>
      <c r="D7793" s="5" t="s">
        <v>7521</v>
      </c>
      <c r="E7793" s="6" t="str">
        <f>HYPERLINK("https://twitter.com/petrogustavo/status/1284299256866787328","1284299256866787328")</f>
        <v>1284299256866787328</v>
      </c>
      <c r="F7793" s="7" t="s">
        <v>17</v>
      </c>
      <c r="G7793" s="7">
        <v>3909088</v>
      </c>
      <c r="H7793" s="7">
        <v>2418</v>
      </c>
      <c r="I7793" s="7">
        <v>75</v>
      </c>
      <c r="J7793" s="7">
        <v>158</v>
      </c>
      <c r="K7793" s="7" t="s">
        <v>18</v>
      </c>
      <c r="L7793" s="8">
        <v>39987.315405092595</v>
      </c>
      <c r="M7793" s="9" t="s">
        <v>19</v>
      </c>
      <c r="N7793" s="9" t="s">
        <v>20</v>
      </c>
      <c r="O7793" s="6" t="str">
        <f>HYPERLINK("https://pbs.twimg.com/profile_images/962471262747529216/Uo8lOkRJ_normal.jpg","View")</f>
        <v>View</v>
      </c>
      <c r="P7793" s="7"/>
    </row>
    <row r="7794" spans="1:16">
      <c r="A7794" s="3">
        <v>44030.291689814811</v>
      </c>
      <c r="B7794" s="4" t="str">
        <f>HYPERLINK("https://twitter.com/petrogustavo","@petrogustavo")</f>
        <v>@petrogustavo</v>
      </c>
      <c r="C7794" s="5" t="s">
        <v>16</v>
      </c>
      <c r="D7794" s="5" t="s">
        <v>7522</v>
      </c>
      <c r="E7794" s="6" t="str">
        <f>HYPERLINK("https://twitter.com/petrogustavo/status/1284299355567128576","1284299355567128576")</f>
        <v>1284299355567128576</v>
      </c>
      <c r="F7794" s="7" t="s">
        <v>17</v>
      </c>
      <c r="G7794" s="7">
        <v>3909088</v>
      </c>
      <c r="H7794" s="7">
        <v>2418</v>
      </c>
      <c r="I7794" s="7">
        <v>28</v>
      </c>
      <c r="J7794" s="7">
        <v>0</v>
      </c>
      <c r="K7794" s="7" t="s">
        <v>18</v>
      </c>
      <c r="L7794" s="8">
        <v>39987.315405092595</v>
      </c>
      <c r="M7794" s="9" t="s">
        <v>19</v>
      </c>
      <c r="N7794" s="9" t="s">
        <v>20</v>
      </c>
      <c r="O7794" s="6" t="str">
        <f>HYPERLINK("https://pbs.twimg.com/profile_images/962471262747529216/Uo8lOkRJ_normal.jpg","View")</f>
        <v>View</v>
      </c>
      <c r="P7794" s="7"/>
    </row>
    <row r="7795" spans="1:16">
      <c r="A7795" s="3">
        <v>44030.306250000001</v>
      </c>
      <c r="B7795" s="4" t="str">
        <f>HYPERLINK("https://twitter.com/petrogustavo","@petrogustavo")</f>
        <v>@petrogustavo</v>
      </c>
      <c r="C7795" s="5" t="s">
        <v>16</v>
      </c>
      <c r="D7795" s="5" t="s">
        <v>7523</v>
      </c>
      <c r="E7795" s="6" t="str">
        <f>HYPERLINK("https://twitter.com/petrogustavo/status/1284304633523920897","1284304633523920897")</f>
        <v>1284304633523920897</v>
      </c>
      <c r="F7795" s="7" t="s">
        <v>17</v>
      </c>
      <c r="G7795" s="7">
        <v>3909103</v>
      </c>
      <c r="H7795" s="7">
        <v>2418</v>
      </c>
      <c r="I7795" s="7">
        <v>219</v>
      </c>
      <c r="J7795" s="7">
        <v>538</v>
      </c>
      <c r="K7795" s="7" t="s">
        <v>18</v>
      </c>
      <c r="L7795" s="8">
        <v>39987.315405092595</v>
      </c>
      <c r="M7795" s="9" t="s">
        <v>19</v>
      </c>
      <c r="N7795" s="9" t="s">
        <v>20</v>
      </c>
      <c r="O7795" s="6" t="str">
        <f>HYPERLINK("https://pbs.twimg.com/profile_images/962471262747529216/Uo8lOkRJ_normal.jpg","View")</f>
        <v>View</v>
      </c>
      <c r="P7795" s="7"/>
    </row>
    <row r="7796" spans="1:16">
      <c r="A7796" s="3">
        <v>44030.356076388889</v>
      </c>
      <c r="B7796" s="4" t="str">
        <f>HYPERLINK("https://twitter.com/petrogustavo","@petrogustavo")</f>
        <v>@petrogustavo</v>
      </c>
      <c r="C7796" s="5" t="s">
        <v>16</v>
      </c>
      <c r="D7796" s="5" t="s">
        <v>7524</v>
      </c>
      <c r="E7796" s="6" t="str">
        <f>HYPERLINK("https://twitter.com/petrogustavo/status/1284322688807440384","1284322688807440384")</f>
        <v>1284322688807440384</v>
      </c>
      <c r="F7796" s="7" t="s">
        <v>32</v>
      </c>
      <c r="G7796" s="7">
        <v>3909100</v>
      </c>
      <c r="H7796" s="7">
        <v>2418</v>
      </c>
      <c r="I7796" s="7">
        <v>165</v>
      </c>
      <c r="J7796" s="7">
        <v>0</v>
      </c>
      <c r="K7796" s="7" t="s">
        <v>18</v>
      </c>
      <c r="L7796" s="8">
        <v>39987.315405092595</v>
      </c>
      <c r="M7796" s="9" t="s">
        <v>19</v>
      </c>
      <c r="N7796" s="9" t="s">
        <v>20</v>
      </c>
      <c r="O7796" s="6" t="str">
        <f>HYPERLINK("https://pbs.twimg.com/profile_images/962471262747529216/Uo8lOkRJ_normal.jpg","View")</f>
        <v>View</v>
      </c>
      <c r="P7796" s="7"/>
    </row>
    <row r="7797" spans="1:16">
      <c r="A7797" s="3">
        <v>44030.357546296298</v>
      </c>
      <c r="B7797" s="4" t="str">
        <f>HYPERLINK("https://twitter.com/petrogustavo","@petrogustavo")</f>
        <v>@petrogustavo</v>
      </c>
      <c r="C7797" s="5" t="s">
        <v>16</v>
      </c>
      <c r="D7797" s="5" t="s">
        <v>7525</v>
      </c>
      <c r="E7797" s="6" t="str">
        <f>HYPERLINK("https://twitter.com/petrogustavo/status/1284323222423560197","1284323222423560197")</f>
        <v>1284323222423560197</v>
      </c>
      <c r="F7797" s="7" t="s">
        <v>32</v>
      </c>
      <c r="G7797" s="7">
        <v>3909100</v>
      </c>
      <c r="H7797" s="7">
        <v>2418</v>
      </c>
      <c r="I7797" s="7">
        <v>389</v>
      </c>
      <c r="J7797" s="7">
        <v>0</v>
      </c>
      <c r="K7797" s="7" t="s">
        <v>18</v>
      </c>
      <c r="L7797" s="8">
        <v>39987.315405092595</v>
      </c>
      <c r="M7797" s="9" t="s">
        <v>19</v>
      </c>
      <c r="N7797" s="9" t="s">
        <v>20</v>
      </c>
      <c r="O7797" s="6" t="str">
        <f>HYPERLINK("https://pbs.twimg.com/profile_images/962471262747529216/Uo8lOkRJ_normal.jpg","View")</f>
        <v>View</v>
      </c>
      <c r="P7797" s="7"/>
    </row>
    <row r="7798" spans="1:16">
      <c r="A7798" s="3">
        <v>44030.357615740737</v>
      </c>
      <c r="B7798" s="4" t="str">
        <f>HYPERLINK("https://twitter.com/petrogustavo","@petrogustavo")</f>
        <v>@petrogustavo</v>
      </c>
      <c r="C7798" s="5" t="s">
        <v>16</v>
      </c>
      <c r="D7798" s="5" t="s">
        <v>7526</v>
      </c>
      <c r="E7798" s="6" t="str">
        <f>HYPERLINK("https://twitter.com/petrogustavo/status/1284323245815144448","1284323245815144448")</f>
        <v>1284323245815144448</v>
      </c>
      <c r="F7798" s="7" t="s">
        <v>32</v>
      </c>
      <c r="G7798" s="7">
        <v>3909100</v>
      </c>
      <c r="H7798" s="7">
        <v>2418</v>
      </c>
      <c r="I7798" s="7">
        <v>784</v>
      </c>
      <c r="J7798" s="7">
        <v>0</v>
      </c>
      <c r="K7798" s="7" t="s">
        <v>18</v>
      </c>
      <c r="L7798" s="8">
        <v>39987.315405092595</v>
      </c>
      <c r="M7798" s="9" t="s">
        <v>19</v>
      </c>
      <c r="N7798" s="9" t="s">
        <v>20</v>
      </c>
      <c r="O7798" s="6" t="str">
        <f>HYPERLINK("https://pbs.twimg.com/profile_images/962471262747529216/Uo8lOkRJ_normal.jpg","View")</f>
        <v>View</v>
      </c>
      <c r="P7798" s="7"/>
    </row>
    <row r="7799" spans="1:16">
      <c r="A7799" s="3">
        <v>44030.844849537039</v>
      </c>
      <c r="B7799" s="4" t="str">
        <f>HYPERLINK("https://twitter.com/petrogustavo","@petrogustavo")</f>
        <v>@petrogustavo</v>
      </c>
      <c r="C7799" s="5" t="s">
        <v>16</v>
      </c>
      <c r="D7799" s="5" t="s">
        <v>7527</v>
      </c>
      <c r="E7799" s="6" t="str">
        <f>HYPERLINK("https://twitter.com/petrogustavo/status/1284499817272619008","1284499817272619008")</f>
        <v>1284499817272619008</v>
      </c>
      <c r="F7799" s="7" t="s">
        <v>17</v>
      </c>
      <c r="G7799" s="7">
        <v>3909256</v>
      </c>
      <c r="H7799" s="7">
        <v>2418</v>
      </c>
      <c r="I7799" s="7">
        <v>19</v>
      </c>
      <c r="J7799" s="7">
        <v>57</v>
      </c>
      <c r="K7799" s="7" t="s">
        <v>18</v>
      </c>
      <c r="L7799" s="8">
        <v>39987.315405092595</v>
      </c>
      <c r="M7799" s="9" t="s">
        <v>19</v>
      </c>
      <c r="N7799" s="9" t="s">
        <v>20</v>
      </c>
      <c r="O7799" s="6" t="str">
        <f>HYPERLINK("https://pbs.twimg.com/profile_images/962471262747529216/Uo8lOkRJ_normal.jpg","View")</f>
        <v>View</v>
      </c>
      <c r="P7799" s="7"/>
    </row>
    <row r="7800" spans="1:16">
      <c r="A7800" s="3">
        <v>44030.853310185186</v>
      </c>
      <c r="B7800" s="4" t="str">
        <f>HYPERLINK("https://twitter.com/petrogustavo","@petrogustavo")</f>
        <v>@petrogustavo</v>
      </c>
      <c r="C7800" s="5" t="s">
        <v>16</v>
      </c>
      <c r="D7800" s="5" t="s">
        <v>7528</v>
      </c>
      <c r="E7800" s="6" t="str">
        <f>HYPERLINK("https://twitter.com/petrogustavo/status/1284502880758763520","1284502880758763520")</f>
        <v>1284502880758763520</v>
      </c>
      <c r="F7800" s="7" t="s">
        <v>17</v>
      </c>
      <c r="G7800" s="7">
        <v>3909272</v>
      </c>
      <c r="H7800" s="7">
        <v>2418</v>
      </c>
      <c r="I7800" s="7">
        <v>147</v>
      </c>
      <c r="J7800" s="7">
        <v>466</v>
      </c>
      <c r="K7800" s="7" t="s">
        <v>18</v>
      </c>
      <c r="L7800" s="8">
        <v>39987.315405092595</v>
      </c>
      <c r="M7800" s="9" t="s">
        <v>19</v>
      </c>
      <c r="N7800" s="9" t="s">
        <v>20</v>
      </c>
      <c r="O7800" s="6" t="str">
        <f>HYPERLINK("https://pbs.twimg.com/profile_images/962471262747529216/Uo8lOkRJ_normal.jpg","View")</f>
        <v>View</v>
      </c>
      <c r="P7800" s="7"/>
    </row>
    <row r="7801" spans="1:16">
      <c r="A7801" s="3">
        <v>44030.878055555557</v>
      </c>
      <c r="B7801" s="4" t="str">
        <f>HYPERLINK("https://twitter.com/petrogustavo","@petrogustavo")</f>
        <v>@petrogustavo</v>
      </c>
      <c r="C7801" s="5" t="s">
        <v>16</v>
      </c>
      <c r="D7801" s="5" t="s">
        <v>7529</v>
      </c>
      <c r="E7801" s="6" t="str">
        <f>HYPERLINK("https://twitter.com/petrogustavo/status/1284511848373641222","1284511848373641222")</f>
        <v>1284511848373641222</v>
      </c>
      <c r="F7801" s="7" t="s">
        <v>32</v>
      </c>
      <c r="G7801" s="7">
        <v>3909263</v>
      </c>
      <c r="H7801" s="7">
        <v>2418</v>
      </c>
      <c r="I7801" s="7">
        <v>72</v>
      </c>
      <c r="J7801" s="7">
        <v>0</v>
      </c>
      <c r="K7801" s="7" t="s">
        <v>18</v>
      </c>
      <c r="L7801" s="8">
        <v>39987.315405092595</v>
      </c>
      <c r="M7801" s="9" t="s">
        <v>19</v>
      </c>
      <c r="N7801" s="9" t="s">
        <v>20</v>
      </c>
      <c r="O7801" s="6" t="str">
        <f>HYPERLINK("https://pbs.twimg.com/profile_images/962471262747529216/Uo8lOkRJ_normal.jpg","View")</f>
        <v>View</v>
      </c>
      <c r="P7801" s="7"/>
    </row>
    <row r="7802" spans="1:16">
      <c r="A7802" s="3">
        <v>44030.881608796291</v>
      </c>
      <c r="B7802" s="4" t="str">
        <f>HYPERLINK("https://twitter.com/petrogustavo","@petrogustavo")</f>
        <v>@petrogustavo</v>
      </c>
      <c r="C7802" s="5" t="s">
        <v>16</v>
      </c>
      <c r="D7802" s="5" t="s">
        <v>7530</v>
      </c>
      <c r="E7802" s="6" t="str">
        <f>HYPERLINK("https://twitter.com/petrogustavo/status/1284513134951182336","1284513134951182336")</f>
        <v>1284513134951182336</v>
      </c>
      <c r="F7802" s="7" t="s">
        <v>32</v>
      </c>
      <c r="G7802" s="7">
        <v>3909263</v>
      </c>
      <c r="H7802" s="7">
        <v>2418</v>
      </c>
      <c r="I7802" s="7">
        <v>32</v>
      </c>
      <c r="J7802" s="7">
        <v>115</v>
      </c>
      <c r="K7802" s="7" t="s">
        <v>18</v>
      </c>
      <c r="L7802" s="8">
        <v>39987.315405092595</v>
      </c>
      <c r="M7802" s="9" t="s">
        <v>19</v>
      </c>
      <c r="N7802" s="9" t="s">
        <v>20</v>
      </c>
      <c r="O7802" s="6" t="str">
        <f>HYPERLINK("https://pbs.twimg.com/profile_images/962471262747529216/Uo8lOkRJ_normal.jpg","View")</f>
        <v>View</v>
      </c>
      <c r="P7802" s="7"/>
    </row>
    <row r="7803" spans="1:16">
      <c r="A7803" s="3">
        <v>44030.903344907405</v>
      </c>
      <c r="B7803" s="4" t="str">
        <f>HYPERLINK("https://twitter.com/petrogustavo","@petrogustavo")</f>
        <v>@petrogustavo</v>
      </c>
      <c r="C7803" s="5" t="s">
        <v>16</v>
      </c>
      <c r="D7803" s="5" t="s">
        <v>7531</v>
      </c>
      <c r="E7803" s="6" t="str">
        <f>HYPERLINK("https://twitter.com/petrogustavo/status/1284521013242404866","1284521013242404866")</f>
        <v>1284521013242404866</v>
      </c>
      <c r="F7803" s="7" t="s">
        <v>32</v>
      </c>
      <c r="G7803" s="7">
        <v>3909276</v>
      </c>
      <c r="H7803" s="7">
        <v>2418</v>
      </c>
      <c r="I7803" s="7">
        <v>70</v>
      </c>
      <c r="J7803" s="7">
        <v>152</v>
      </c>
      <c r="K7803" s="7" t="s">
        <v>18</v>
      </c>
      <c r="L7803" s="8">
        <v>39987.315405092595</v>
      </c>
      <c r="M7803" s="9" t="s">
        <v>19</v>
      </c>
      <c r="N7803" s="9" t="s">
        <v>20</v>
      </c>
      <c r="O7803" s="6" t="str">
        <f>HYPERLINK("https://pbs.twimg.com/profile_images/962471262747529216/Uo8lOkRJ_normal.jpg","View")</f>
        <v>View</v>
      </c>
      <c r="P7803" s="7"/>
    </row>
    <row r="7804" spans="1:16">
      <c r="A7804" s="3">
        <v>44030.915798611109</v>
      </c>
      <c r="B7804" s="4" t="str">
        <f>HYPERLINK("https://twitter.com/petrogustavo","@petrogustavo")</f>
        <v>@petrogustavo</v>
      </c>
      <c r="C7804" s="5" t="s">
        <v>16</v>
      </c>
      <c r="D7804" s="5" t="s">
        <v>7532</v>
      </c>
      <c r="E7804" s="6" t="str">
        <f>HYPERLINK("https://twitter.com/petrogustavo/status/1284525526879735809","1284525526879735809")</f>
        <v>1284525526879735809</v>
      </c>
      <c r="F7804" s="7" t="s">
        <v>32</v>
      </c>
      <c r="G7804" s="7">
        <v>3909294</v>
      </c>
      <c r="H7804" s="7">
        <v>2418</v>
      </c>
      <c r="I7804" s="7">
        <v>121</v>
      </c>
      <c r="J7804" s="7">
        <v>0</v>
      </c>
      <c r="K7804" s="7" t="s">
        <v>18</v>
      </c>
      <c r="L7804" s="8">
        <v>39987.315405092595</v>
      </c>
      <c r="M7804" s="9" t="s">
        <v>19</v>
      </c>
      <c r="N7804" s="9" t="s">
        <v>20</v>
      </c>
      <c r="O7804" s="6" t="str">
        <f>HYPERLINK("https://pbs.twimg.com/profile_images/962471262747529216/Uo8lOkRJ_normal.jpg","View")</f>
        <v>View</v>
      </c>
      <c r="P7804" s="7"/>
    </row>
    <row r="7805" spans="1:16">
      <c r="A7805" s="3">
        <v>44030.927060185189</v>
      </c>
      <c r="B7805" s="4" t="str">
        <f>HYPERLINK("https://twitter.com/petrogustavo","@petrogustavo")</f>
        <v>@petrogustavo</v>
      </c>
      <c r="C7805" s="5" t="s">
        <v>16</v>
      </c>
      <c r="D7805" s="5" t="s">
        <v>7533</v>
      </c>
      <c r="E7805" s="6" t="str">
        <f>HYPERLINK("https://twitter.com/petrogustavo/status/1284529607249666048","1284529607249666048")</f>
        <v>1284529607249666048</v>
      </c>
      <c r="F7805" s="7" t="s">
        <v>32</v>
      </c>
      <c r="G7805" s="7">
        <v>3909294</v>
      </c>
      <c r="H7805" s="7">
        <v>2418</v>
      </c>
      <c r="I7805" s="7">
        <v>69</v>
      </c>
      <c r="J7805" s="7">
        <v>157</v>
      </c>
      <c r="K7805" s="7" t="s">
        <v>18</v>
      </c>
      <c r="L7805" s="8">
        <v>39987.315405092595</v>
      </c>
      <c r="M7805" s="9" t="s">
        <v>19</v>
      </c>
      <c r="N7805" s="9" t="s">
        <v>20</v>
      </c>
      <c r="O7805" s="6" t="str">
        <f>HYPERLINK("https://pbs.twimg.com/profile_images/962471262747529216/Uo8lOkRJ_normal.jpg","View")</f>
        <v>View</v>
      </c>
      <c r="P7805" s="7"/>
    </row>
    <row r="7806" spans="1:16">
      <c r="A7806" s="3">
        <v>44031.07813657407</v>
      </c>
      <c r="B7806" s="4" t="str">
        <f>HYPERLINK("https://twitter.com/petrogustavo","@petrogustavo")</f>
        <v>@petrogustavo</v>
      </c>
      <c r="C7806" s="5" t="s">
        <v>16</v>
      </c>
      <c r="D7806" s="5" t="s">
        <v>7534</v>
      </c>
      <c r="E7806" s="6" t="str">
        <f>HYPERLINK("https://twitter.com/petrogustavo/status/1284584355558547456","1284584355558547456")</f>
        <v>1284584355558547456</v>
      </c>
      <c r="F7806" s="7" t="s">
        <v>17</v>
      </c>
      <c r="G7806" s="7">
        <v>3909365</v>
      </c>
      <c r="H7806" s="7">
        <v>2418</v>
      </c>
      <c r="I7806" s="7">
        <v>1609</v>
      </c>
      <c r="J7806" s="7">
        <v>0</v>
      </c>
      <c r="K7806" s="7" t="s">
        <v>18</v>
      </c>
      <c r="L7806" s="8">
        <v>39987.315405092595</v>
      </c>
      <c r="M7806" s="9" t="s">
        <v>19</v>
      </c>
      <c r="N7806" s="9" t="s">
        <v>20</v>
      </c>
      <c r="O7806" s="6" t="str">
        <f>HYPERLINK("https://pbs.twimg.com/profile_images/962471262747529216/Uo8lOkRJ_normal.jpg","View")</f>
        <v>View</v>
      </c>
      <c r="P7806" s="7"/>
    </row>
    <row r="7807" spans="1:16">
      <c r="A7807" s="3">
        <v>44031.124872685185</v>
      </c>
      <c r="B7807" s="4" t="str">
        <f>HYPERLINK("https://twitter.com/petrogustavo","@petrogustavo")</f>
        <v>@petrogustavo</v>
      </c>
      <c r="C7807" s="5" t="s">
        <v>16</v>
      </c>
      <c r="D7807" s="5" t="s">
        <v>7535</v>
      </c>
      <c r="E7807" s="6" t="str">
        <f>HYPERLINK("https://twitter.com/petrogustavo/status/1284601293835841545","1284601293835841545")</f>
        <v>1284601293835841545</v>
      </c>
      <c r="F7807" s="7" t="s">
        <v>32</v>
      </c>
      <c r="G7807" s="7">
        <v>3909394</v>
      </c>
      <c r="H7807" s="7">
        <v>2418</v>
      </c>
      <c r="I7807" s="7">
        <v>23</v>
      </c>
      <c r="J7807" s="7">
        <v>0</v>
      </c>
      <c r="K7807" s="7" t="s">
        <v>18</v>
      </c>
      <c r="L7807" s="8">
        <v>39987.315405092595</v>
      </c>
      <c r="M7807" s="9" t="s">
        <v>19</v>
      </c>
      <c r="N7807" s="9" t="s">
        <v>20</v>
      </c>
      <c r="O7807" s="6" t="str">
        <f>HYPERLINK("https://pbs.twimg.com/profile_images/962471262747529216/Uo8lOkRJ_normal.jpg","View")</f>
        <v>View</v>
      </c>
      <c r="P7807" s="7"/>
    </row>
    <row r="7808" spans="1:16">
      <c r="A7808" s="3">
        <v>44031.22923611111</v>
      </c>
      <c r="B7808" s="4" t="str">
        <f>HYPERLINK("https://twitter.com/petrogustavo","@petrogustavo")</f>
        <v>@petrogustavo</v>
      </c>
      <c r="C7808" s="5" t="s">
        <v>16</v>
      </c>
      <c r="D7808" s="5" t="s">
        <v>7534</v>
      </c>
      <c r="E7808" s="6" t="str">
        <f>HYPERLINK("https://twitter.com/petrogustavo/status/1284639112088162305","1284639112088162305")</f>
        <v>1284639112088162305</v>
      </c>
      <c r="F7808" s="7" t="s">
        <v>17</v>
      </c>
      <c r="G7808" s="7">
        <v>3909449</v>
      </c>
      <c r="H7808" s="7">
        <v>2418</v>
      </c>
      <c r="I7808" s="7">
        <v>2314</v>
      </c>
      <c r="J7808" s="7">
        <v>0</v>
      </c>
      <c r="K7808" s="7" t="s">
        <v>18</v>
      </c>
      <c r="L7808" s="8">
        <v>39987.315405092595</v>
      </c>
      <c r="M7808" s="9" t="s">
        <v>19</v>
      </c>
      <c r="N7808" s="9" t="s">
        <v>20</v>
      </c>
      <c r="O7808" s="6" t="str">
        <f>HYPERLINK("https://pbs.twimg.com/profile_images/962471262747529216/Uo8lOkRJ_normal.jpg","View")</f>
        <v>View</v>
      </c>
      <c r="P7808" s="7"/>
    </row>
    <row r="7809" spans="1:16">
      <c r="A7809" s="3">
        <v>44031.772673611107</v>
      </c>
      <c r="B7809" s="4" t="str">
        <f>HYPERLINK("https://twitter.com/petrogustavo","@petrogustavo")</f>
        <v>@petrogustavo</v>
      </c>
      <c r="C7809" s="5" t="s">
        <v>16</v>
      </c>
      <c r="D7809" s="5" t="s">
        <v>7536</v>
      </c>
      <c r="E7809" s="6" t="str">
        <f>HYPERLINK("https://twitter.com/petrogustavo/status/1284836045897568257","1284836045897568257")</f>
        <v>1284836045897568257</v>
      </c>
      <c r="F7809" s="7" t="s">
        <v>17</v>
      </c>
      <c r="G7809" s="7">
        <v>3909612</v>
      </c>
      <c r="H7809" s="7">
        <v>2418</v>
      </c>
      <c r="I7809" s="7">
        <v>204</v>
      </c>
      <c r="J7809" s="7">
        <v>335</v>
      </c>
      <c r="K7809" s="7" t="s">
        <v>18</v>
      </c>
      <c r="L7809" s="8">
        <v>39987.315405092595</v>
      </c>
      <c r="M7809" s="9" t="s">
        <v>19</v>
      </c>
      <c r="N7809" s="9" t="s">
        <v>20</v>
      </c>
      <c r="O7809" s="6" t="str">
        <f>HYPERLINK("https://pbs.twimg.com/profile_images/962471262747529216/Uo8lOkRJ_normal.jpg","View")</f>
        <v>View</v>
      </c>
      <c r="P7809" s="7"/>
    </row>
    <row r="7810" spans="1:16">
      <c r="A7810" s="3">
        <v>44031.778622685189</v>
      </c>
      <c r="B7810" s="4" t="str">
        <f>HYPERLINK("https://twitter.com/petrogustavo","@petrogustavo")</f>
        <v>@petrogustavo</v>
      </c>
      <c r="C7810" s="5" t="s">
        <v>16</v>
      </c>
      <c r="D7810" s="5" t="s">
        <v>7537</v>
      </c>
      <c r="E7810" s="6" t="str">
        <f>HYPERLINK("https://twitter.com/petrogustavo/status/1284838201933344768","1284838201933344768")</f>
        <v>1284838201933344768</v>
      </c>
      <c r="F7810" s="7" t="s">
        <v>17</v>
      </c>
      <c r="G7810" s="7">
        <v>3909612</v>
      </c>
      <c r="H7810" s="7">
        <v>2418</v>
      </c>
      <c r="I7810" s="7">
        <v>31</v>
      </c>
      <c r="J7810" s="7">
        <v>63</v>
      </c>
      <c r="K7810" s="7" t="s">
        <v>18</v>
      </c>
      <c r="L7810" s="8">
        <v>39987.315405092595</v>
      </c>
      <c r="M7810" s="9" t="s">
        <v>19</v>
      </c>
      <c r="N7810" s="9" t="s">
        <v>20</v>
      </c>
      <c r="O7810" s="6" t="str">
        <f>HYPERLINK("https://pbs.twimg.com/profile_images/962471262747529216/Uo8lOkRJ_normal.jpg","View")</f>
        <v>View</v>
      </c>
      <c r="P7810" s="7"/>
    </row>
    <row r="7811" spans="1:16">
      <c r="A7811" s="3">
        <v>44031.77961805556</v>
      </c>
      <c r="B7811" s="4" t="str">
        <f>HYPERLINK("https://twitter.com/petrogustavo","@petrogustavo")</f>
        <v>@petrogustavo</v>
      </c>
      <c r="C7811" s="5" t="s">
        <v>16</v>
      </c>
      <c r="D7811" s="5" t="s">
        <v>7538</v>
      </c>
      <c r="E7811" s="6" t="str">
        <f>HYPERLINK("https://twitter.com/petrogustavo/status/1284838563440398337","1284838563440398337")</f>
        <v>1284838563440398337</v>
      </c>
      <c r="F7811" s="7" t="s">
        <v>17</v>
      </c>
      <c r="G7811" s="7">
        <v>3909612</v>
      </c>
      <c r="H7811" s="7">
        <v>2418</v>
      </c>
      <c r="I7811" s="7">
        <v>8</v>
      </c>
      <c r="J7811" s="7">
        <v>24</v>
      </c>
      <c r="K7811" s="7" t="s">
        <v>18</v>
      </c>
      <c r="L7811" s="8">
        <v>39987.315405092595</v>
      </c>
      <c r="M7811" s="9" t="s">
        <v>19</v>
      </c>
      <c r="N7811" s="9" t="s">
        <v>20</v>
      </c>
      <c r="O7811" s="6" t="str">
        <f>HYPERLINK("https://pbs.twimg.com/profile_images/962471262747529216/Uo8lOkRJ_normal.jpg","View")</f>
        <v>View</v>
      </c>
      <c r="P7811" s="7"/>
    </row>
    <row r="7812" spans="1:16">
      <c r="A7812" s="3">
        <v>44031.780763888892</v>
      </c>
      <c r="B7812" s="4" t="str">
        <f>HYPERLINK("https://twitter.com/petrogustavo","@petrogustavo")</f>
        <v>@petrogustavo</v>
      </c>
      <c r="C7812" s="5" t="s">
        <v>16</v>
      </c>
      <c r="D7812" s="5" t="s">
        <v>7539</v>
      </c>
      <c r="E7812" s="6" t="str">
        <f>HYPERLINK("https://twitter.com/petrogustavo/status/1284838978437480456","1284838978437480456")</f>
        <v>1284838978437480456</v>
      </c>
      <c r="F7812" s="7" t="s">
        <v>17</v>
      </c>
      <c r="G7812" s="7">
        <v>3909612</v>
      </c>
      <c r="H7812" s="7">
        <v>2418</v>
      </c>
      <c r="I7812" s="7">
        <v>16</v>
      </c>
      <c r="J7812" s="7">
        <v>40</v>
      </c>
      <c r="K7812" s="7" t="s">
        <v>18</v>
      </c>
      <c r="L7812" s="8">
        <v>39987.315405092595</v>
      </c>
      <c r="M7812" s="9" t="s">
        <v>19</v>
      </c>
      <c r="N7812" s="9" t="s">
        <v>20</v>
      </c>
      <c r="O7812" s="6" t="str">
        <f>HYPERLINK("https://pbs.twimg.com/profile_images/962471262747529216/Uo8lOkRJ_normal.jpg","View")</f>
        <v>View</v>
      </c>
      <c r="P7812" s="7"/>
    </row>
    <row r="7813" spans="1:16">
      <c r="A7813" s="3">
        <v>44031.793437500004</v>
      </c>
      <c r="B7813" s="4" t="str">
        <f>HYPERLINK("https://twitter.com/petrogustavo","@petrogustavo")</f>
        <v>@petrogustavo</v>
      </c>
      <c r="C7813" s="5" t="s">
        <v>16</v>
      </c>
      <c r="D7813" s="5" t="s">
        <v>7540</v>
      </c>
      <c r="E7813" s="6" t="str">
        <f>HYPERLINK("https://twitter.com/petrogustavo/status/1284843571212951558","1284843571212951558")</f>
        <v>1284843571212951558</v>
      </c>
      <c r="F7813" s="7" t="s">
        <v>17</v>
      </c>
      <c r="G7813" s="7">
        <v>3909629</v>
      </c>
      <c r="H7813" s="7">
        <v>2418</v>
      </c>
      <c r="I7813" s="7">
        <v>106</v>
      </c>
      <c r="J7813" s="7">
        <v>235</v>
      </c>
      <c r="K7813" s="7" t="s">
        <v>18</v>
      </c>
      <c r="L7813" s="8">
        <v>39987.315405092595</v>
      </c>
      <c r="M7813" s="9" t="s">
        <v>19</v>
      </c>
      <c r="N7813" s="9" t="s">
        <v>20</v>
      </c>
      <c r="O7813" s="6" t="str">
        <f>HYPERLINK("https://pbs.twimg.com/profile_images/962471262747529216/Uo8lOkRJ_normal.jpg","View")</f>
        <v>View</v>
      </c>
      <c r="P7813" s="7"/>
    </row>
    <row r="7814" spans="1:16">
      <c r="A7814" s="3">
        <v>44031.851701388892</v>
      </c>
      <c r="B7814" s="4" t="str">
        <f>HYPERLINK("https://twitter.com/petrogustavo","@petrogustavo")</f>
        <v>@petrogustavo</v>
      </c>
      <c r="C7814" s="5" t="s">
        <v>16</v>
      </c>
      <c r="D7814" s="5" t="s">
        <v>7541</v>
      </c>
      <c r="E7814" s="6" t="str">
        <f>HYPERLINK("https://twitter.com/petrogustavo/status/1284864686152994818","1284864686152994818")</f>
        <v>1284864686152994818</v>
      </c>
      <c r="F7814" s="7" t="s">
        <v>17</v>
      </c>
      <c r="G7814" s="7">
        <v>3909662</v>
      </c>
      <c r="H7814" s="7">
        <v>2418</v>
      </c>
      <c r="I7814" s="7">
        <v>408</v>
      </c>
      <c r="J7814" s="7">
        <v>625</v>
      </c>
      <c r="K7814" s="7" t="s">
        <v>18</v>
      </c>
      <c r="L7814" s="8">
        <v>39987.315405092595</v>
      </c>
      <c r="M7814" s="9" t="s">
        <v>19</v>
      </c>
      <c r="N7814" s="9" t="s">
        <v>20</v>
      </c>
      <c r="O7814" s="6" t="str">
        <f>HYPERLINK("https://pbs.twimg.com/profile_images/962471262747529216/Uo8lOkRJ_normal.jpg","View")</f>
        <v>View</v>
      </c>
      <c r="P7814" s="7"/>
    </row>
    <row r="7815" spans="1:16">
      <c r="A7815" s="3">
        <v>44031.853020833332</v>
      </c>
      <c r="B7815" s="4" t="str">
        <f>HYPERLINK("https://twitter.com/petrogustavo","@petrogustavo")</f>
        <v>@petrogustavo</v>
      </c>
      <c r="C7815" s="5" t="s">
        <v>16</v>
      </c>
      <c r="D7815" s="5" t="s">
        <v>7542</v>
      </c>
      <c r="E7815" s="6" t="str">
        <f>HYPERLINK("https://twitter.com/petrogustavo/status/1284865166434340867","1284865166434340867")</f>
        <v>1284865166434340867</v>
      </c>
      <c r="F7815" s="7" t="s">
        <v>17</v>
      </c>
      <c r="G7815" s="7">
        <v>3909662</v>
      </c>
      <c r="H7815" s="7">
        <v>2418</v>
      </c>
      <c r="I7815" s="7">
        <v>445</v>
      </c>
      <c r="J7815" s="7">
        <v>0</v>
      </c>
      <c r="K7815" s="7" t="s">
        <v>18</v>
      </c>
      <c r="L7815" s="8">
        <v>39987.315405092595</v>
      </c>
      <c r="M7815" s="9" t="s">
        <v>19</v>
      </c>
      <c r="N7815" s="9" t="s">
        <v>20</v>
      </c>
      <c r="O7815" s="6" t="str">
        <f>HYPERLINK("https://pbs.twimg.com/profile_images/962471262747529216/Uo8lOkRJ_normal.jpg","View")</f>
        <v>View</v>
      </c>
      <c r="P7815" s="7"/>
    </row>
    <row r="7816" spans="1:16">
      <c r="A7816" s="3">
        <v>44031.861192129625</v>
      </c>
      <c r="B7816" s="4" t="str">
        <f>HYPERLINK("https://twitter.com/petrogustavo","@petrogustavo")</f>
        <v>@petrogustavo</v>
      </c>
      <c r="C7816" s="5" t="s">
        <v>16</v>
      </c>
      <c r="D7816" s="5" t="s">
        <v>7543</v>
      </c>
      <c r="E7816" s="6" t="str">
        <f>HYPERLINK("https://twitter.com/petrogustavo/status/1284868123598954497","1284868123598954497")</f>
        <v>1284868123598954497</v>
      </c>
      <c r="F7816" s="7" t="s">
        <v>17</v>
      </c>
      <c r="G7816" s="7">
        <v>3909662</v>
      </c>
      <c r="H7816" s="7">
        <v>2418</v>
      </c>
      <c r="I7816" s="7">
        <v>535</v>
      </c>
      <c r="J7816" s="7">
        <v>0</v>
      </c>
      <c r="K7816" s="7" t="s">
        <v>18</v>
      </c>
      <c r="L7816" s="8">
        <v>39987.315405092595</v>
      </c>
      <c r="M7816" s="9" t="s">
        <v>19</v>
      </c>
      <c r="N7816" s="9" t="s">
        <v>20</v>
      </c>
      <c r="O7816" s="6" t="str">
        <f>HYPERLINK("https://pbs.twimg.com/profile_images/962471262747529216/Uo8lOkRJ_normal.jpg","View")</f>
        <v>View</v>
      </c>
      <c r="P7816" s="7"/>
    </row>
    <row r="7817" spans="1:16">
      <c r="A7817" s="3">
        <v>44032.096354166672</v>
      </c>
      <c r="B7817" s="4" t="str">
        <f>HYPERLINK("https://twitter.com/petrogustavo","@petrogustavo")</f>
        <v>@petrogustavo</v>
      </c>
      <c r="C7817" s="5" t="s">
        <v>16</v>
      </c>
      <c r="D7817" s="5" t="s">
        <v>7544</v>
      </c>
      <c r="E7817" s="6" t="str">
        <f>HYPERLINK("https://twitter.com/petrogustavo/status/1284953347380981760","1284953347380981760")</f>
        <v>1284953347380981760</v>
      </c>
      <c r="F7817" s="7" t="s">
        <v>32</v>
      </c>
      <c r="G7817" s="7">
        <v>3909817</v>
      </c>
      <c r="H7817" s="7">
        <v>2419</v>
      </c>
      <c r="I7817" s="7">
        <v>50</v>
      </c>
      <c r="J7817" s="7">
        <v>0</v>
      </c>
      <c r="K7817" s="7" t="s">
        <v>18</v>
      </c>
      <c r="L7817" s="8">
        <v>39987.315405092595</v>
      </c>
      <c r="M7817" s="9" t="s">
        <v>19</v>
      </c>
      <c r="N7817" s="9" t="s">
        <v>20</v>
      </c>
      <c r="O7817" s="6" t="str">
        <f>HYPERLINK("https://pbs.twimg.com/profile_images/962471262747529216/Uo8lOkRJ_normal.jpg","View")</f>
        <v>View</v>
      </c>
      <c r="P7817" s="7"/>
    </row>
    <row r="7818" spans="1:16">
      <c r="A7818" s="3">
        <v>44032.100729166668</v>
      </c>
      <c r="B7818" s="4" t="str">
        <f>HYPERLINK("https://twitter.com/petrogustavo","@petrogustavo")</f>
        <v>@petrogustavo</v>
      </c>
      <c r="C7818" s="5" t="s">
        <v>16</v>
      </c>
      <c r="D7818" s="5" t="s">
        <v>7545</v>
      </c>
      <c r="E7818" s="6" t="str">
        <f>HYPERLINK("https://twitter.com/petrogustavo/status/1284954932643323906","1284954932643323906")</f>
        <v>1284954932643323906</v>
      </c>
      <c r="F7818" s="7" t="s">
        <v>32</v>
      </c>
      <c r="G7818" s="7">
        <v>3909817</v>
      </c>
      <c r="H7818" s="7">
        <v>2419</v>
      </c>
      <c r="I7818" s="7">
        <v>203</v>
      </c>
      <c r="J7818" s="7">
        <v>511</v>
      </c>
      <c r="K7818" s="7" t="s">
        <v>18</v>
      </c>
      <c r="L7818" s="8">
        <v>39987.315405092595</v>
      </c>
      <c r="M7818" s="9" t="s">
        <v>19</v>
      </c>
      <c r="N7818" s="9" t="s">
        <v>20</v>
      </c>
      <c r="O7818" s="6" t="str">
        <f>HYPERLINK("https://pbs.twimg.com/profile_images/962471262747529216/Uo8lOkRJ_normal.jpg","View")</f>
        <v>View</v>
      </c>
      <c r="P7818" s="7"/>
    </row>
    <row r="7819" spans="1:16">
      <c r="A7819" s="3">
        <v>44032.1012037037</v>
      </c>
      <c r="B7819" s="4" t="str">
        <f>HYPERLINK("https://twitter.com/petrogustavo","@petrogustavo")</f>
        <v>@petrogustavo</v>
      </c>
      <c r="C7819" s="5" t="s">
        <v>16</v>
      </c>
      <c r="D7819" s="5" t="s">
        <v>7543</v>
      </c>
      <c r="E7819" s="6" t="str">
        <f>HYPERLINK("https://twitter.com/petrogustavo/status/1284955101581500420","1284955101581500420")</f>
        <v>1284955101581500420</v>
      </c>
      <c r="F7819" s="7" t="s">
        <v>32</v>
      </c>
      <c r="G7819" s="7">
        <v>3909817</v>
      </c>
      <c r="H7819" s="7">
        <v>2419</v>
      </c>
      <c r="I7819" s="7">
        <v>1385</v>
      </c>
      <c r="J7819" s="7">
        <v>0</v>
      </c>
      <c r="K7819" s="7" t="s">
        <v>18</v>
      </c>
      <c r="L7819" s="8">
        <v>39987.315405092595</v>
      </c>
      <c r="M7819" s="9" t="s">
        <v>19</v>
      </c>
      <c r="N7819" s="9" t="s">
        <v>20</v>
      </c>
      <c r="O7819" s="6" t="str">
        <f>HYPERLINK("https://pbs.twimg.com/profile_images/962471262747529216/Uo8lOkRJ_normal.jpg","View")</f>
        <v>View</v>
      </c>
      <c r="P7819" s="7"/>
    </row>
    <row r="7820" spans="1:16">
      <c r="A7820" s="3">
        <v>44032.755266203705</v>
      </c>
      <c r="B7820" s="4" t="str">
        <f>HYPERLINK("https://twitter.com/petrogustavo","@petrogustavo")</f>
        <v>@petrogustavo</v>
      </c>
      <c r="C7820" s="5" t="s">
        <v>16</v>
      </c>
      <c r="D7820" s="5" t="s">
        <v>7546</v>
      </c>
      <c r="E7820" s="6" t="str">
        <f>HYPERLINK("https://twitter.com/petrogustavo/status/1285192128268836869","1285192128268836869")</f>
        <v>1285192128268836869</v>
      </c>
      <c r="F7820" s="7" t="s">
        <v>17</v>
      </c>
      <c r="G7820" s="7">
        <v>3910026</v>
      </c>
      <c r="H7820" s="7">
        <v>2419</v>
      </c>
      <c r="I7820" s="7">
        <v>56</v>
      </c>
      <c r="J7820" s="7">
        <v>0</v>
      </c>
      <c r="K7820" s="7" t="s">
        <v>18</v>
      </c>
      <c r="L7820" s="8">
        <v>39987.315405092595</v>
      </c>
      <c r="M7820" s="9" t="s">
        <v>19</v>
      </c>
      <c r="N7820" s="9" t="s">
        <v>20</v>
      </c>
      <c r="O7820" s="6" t="str">
        <f>HYPERLINK("https://pbs.twimg.com/profile_images/962471262747529216/Uo8lOkRJ_normal.jpg","View")</f>
        <v>View</v>
      </c>
      <c r="P7820" s="7"/>
    </row>
    <row r="7821" spans="1:16">
      <c r="A7821" s="3">
        <v>44032.774849537032</v>
      </c>
      <c r="B7821" s="4" t="str">
        <f>HYPERLINK("https://twitter.com/petrogustavo","@petrogustavo")</f>
        <v>@petrogustavo</v>
      </c>
      <c r="C7821" s="5" t="s">
        <v>16</v>
      </c>
      <c r="D7821" s="5" t="s">
        <v>7543</v>
      </c>
      <c r="E7821" s="6" t="str">
        <f>HYPERLINK("https://twitter.com/petrogustavo/status/1285199222690795521","1285199222690795521")</f>
        <v>1285199222690795521</v>
      </c>
      <c r="F7821" s="7" t="s">
        <v>17</v>
      </c>
      <c r="G7821" s="7">
        <v>3910034</v>
      </c>
      <c r="H7821" s="7">
        <v>2419</v>
      </c>
      <c r="I7821" s="7">
        <v>1898</v>
      </c>
      <c r="J7821" s="7">
        <v>0</v>
      </c>
      <c r="K7821" s="7" t="s">
        <v>18</v>
      </c>
      <c r="L7821" s="8">
        <v>39987.315405092595</v>
      </c>
      <c r="M7821" s="9" t="s">
        <v>19</v>
      </c>
      <c r="N7821" s="9" t="s">
        <v>20</v>
      </c>
      <c r="O7821" s="6" t="str">
        <f>HYPERLINK("https://pbs.twimg.com/profile_images/962471262747529216/Uo8lOkRJ_normal.jpg","View")</f>
        <v>View</v>
      </c>
      <c r="P7821" s="7"/>
    </row>
    <row r="7822" spans="1:16">
      <c r="A7822" s="3">
        <v>44032.847500000003</v>
      </c>
      <c r="B7822" s="4" t="str">
        <f>HYPERLINK("https://twitter.com/petrogustavo","@petrogustavo")</f>
        <v>@petrogustavo</v>
      </c>
      <c r="C7822" s="5" t="s">
        <v>16</v>
      </c>
      <c r="D7822" s="5" t="s">
        <v>7547</v>
      </c>
      <c r="E7822" s="6" t="str">
        <f>HYPERLINK("https://twitter.com/petrogustavo/status/1285225552492797952","1285225552492797952")</f>
        <v>1285225552492797952</v>
      </c>
      <c r="F7822" s="7" t="s">
        <v>17</v>
      </c>
      <c r="G7822" s="7">
        <v>3910121</v>
      </c>
      <c r="H7822" s="7">
        <v>2419</v>
      </c>
      <c r="I7822" s="7">
        <v>64</v>
      </c>
      <c r="J7822" s="7">
        <v>0</v>
      </c>
      <c r="K7822" s="7" t="s">
        <v>18</v>
      </c>
      <c r="L7822" s="8">
        <v>39987.315405092595</v>
      </c>
      <c r="M7822" s="9" t="s">
        <v>19</v>
      </c>
      <c r="N7822" s="9" t="s">
        <v>20</v>
      </c>
      <c r="O7822" s="6" t="str">
        <f>HYPERLINK("https://pbs.twimg.com/profile_images/962471262747529216/Uo8lOkRJ_normal.jpg","View")</f>
        <v>View</v>
      </c>
      <c r="P7822" s="7"/>
    </row>
    <row r="7823" spans="1:16">
      <c r="A7823" s="3">
        <v>44032.888796296298</v>
      </c>
      <c r="B7823" s="4" t="str">
        <f>HYPERLINK("https://twitter.com/petrogustavo","@petrogustavo")</f>
        <v>@petrogustavo</v>
      </c>
      <c r="C7823" s="5" t="s">
        <v>16</v>
      </c>
      <c r="D7823" s="5" t="s">
        <v>7548</v>
      </c>
      <c r="E7823" s="6" t="str">
        <f>HYPERLINK("https://twitter.com/petrogustavo/status/1285240516330901504","1285240516330901504")</f>
        <v>1285240516330901504</v>
      </c>
      <c r="F7823" s="7" t="s">
        <v>17</v>
      </c>
      <c r="G7823" s="7">
        <v>3910130</v>
      </c>
      <c r="H7823" s="7">
        <v>2419</v>
      </c>
      <c r="I7823" s="7">
        <v>27</v>
      </c>
      <c r="J7823" s="7">
        <v>0</v>
      </c>
      <c r="K7823" s="7" t="s">
        <v>18</v>
      </c>
      <c r="L7823" s="8">
        <v>39987.315405092595</v>
      </c>
      <c r="M7823" s="9" t="s">
        <v>19</v>
      </c>
      <c r="N7823" s="9" t="s">
        <v>20</v>
      </c>
      <c r="O7823" s="6" t="str">
        <f>HYPERLINK("https://pbs.twimg.com/profile_images/962471262747529216/Uo8lOkRJ_normal.jpg","View")</f>
        <v>View</v>
      </c>
      <c r="P7823" s="7"/>
    </row>
    <row r="7824" spans="1:16">
      <c r="A7824" s="3">
        <v>44032.889120370368</v>
      </c>
      <c r="B7824" s="4" t="str">
        <f>HYPERLINK("https://twitter.com/petrogustavo","@petrogustavo")</f>
        <v>@petrogustavo</v>
      </c>
      <c r="C7824" s="5" t="s">
        <v>16</v>
      </c>
      <c r="D7824" s="5" t="s">
        <v>7543</v>
      </c>
      <c r="E7824" s="6" t="str">
        <f>HYPERLINK("https://twitter.com/petrogustavo/status/1285240634123714561","1285240634123714561")</f>
        <v>1285240634123714561</v>
      </c>
      <c r="F7824" s="7" t="s">
        <v>17</v>
      </c>
      <c r="G7824" s="7">
        <v>3910132</v>
      </c>
      <c r="H7824" s="7">
        <v>2419</v>
      </c>
      <c r="I7824" s="7">
        <v>1982</v>
      </c>
      <c r="J7824" s="7">
        <v>0</v>
      </c>
      <c r="K7824" s="7" t="s">
        <v>18</v>
      </c>
      <c r="L7824" s="8">
        <v>39987.315405092595</v>
      </c>
      <c r="M7824" s="9" t="s">
        <v>19</v>
      </c>
      <c r="N7824" s="9" t="s">
        <v>20</v>
      </c>
      <c r="O7824" s="6" t="str">
        <f>HYPERLINK("https://pbs.twimg.com/profile_images/962471262747529216/Uo8lOkRJ_normal.jpg","View")</f>
        <v>View</v>
      </c>
      <c r="P7824" s="7"/>
    </row>
    <row r="7825" spans="1:16">
      <c r="A7825" s="3">
        <v>44033.155636574069</v>
      </c>
      <c r="B7825" s="4" t="str">
        <f>HYPERLINK("https://twitter.com/petrogustavo","@petrogustavo")</f>
        <v>@petrogustavo</v>
      </c>
      <c r="C7825" s="5" t="s">
        <v>16</v>
      </c>
      <c r="D7825" s="5" t="s">
        <v>7549</v>
      </c>
      <c r="E7825" s="6" t="str">
        <f>HYPERLINK("https://twitter.com/petrogustavo/status/1285337216177311746","1285337216177311746")</f>
        <v>1285337216177311746</v>
      </c>
      <c r="F7825" s="7" t="s">
        <v>17</v>
      </c>
      <c r="G7825" s="7">
        <v>3910367</v>
      </c>
      <c r="H7825" s="7">
        <v>2419</v>
      </c>
      <c r="I7825" s="7">
        <v>265</v>
      </c>
      <c r="J7825" s="7">
        <v>731</v>
      </c>
      <c r="K7825" s="7" t="s">
        <v>18</v>
      </c>
      <c r="L7825" s="8">
        <v>39987.315405092595</v>
      </c>
      <c r="M7825" s="9" t="s">
        <v>19</v>
      </c>
      <c r="N7825" s="9" t="s">
        <v>20</v>
      </c>
      <c r="O7825" s="6" t="str">
        <f>HYPERLINK("https://pbs.twimg.com/profile_images/962471262747529216/Uo8lOkRJ_normal.jpg","View")</f>
        <v>View</v>
      </c>
      <c r="P7825" s="7"/>
    </row>
    <row r="7826" spans="1:16">
      <c r="A7826" s="3">
        <v>44033.212210648147</v>
      </c>
      <c r="B7826" s="4" t="str">
        <f>HYPERLINK("https://twitter.com/petrogustavo","@petrogustavo")</f>
        <v>@petrogustavo</v>
      </c>
      <c r="C7826" s="5" t="s">
        <v>16</v>
      </c>
      <c r="D7826" s="5" t="s">
        <v>7550</v>
      </c>
      <c r="E7826" s="6" t="str">
        <f>HYPERLINK("https://twitter.com/petrogustavo/status/1285357716270190592","1285357716270190592")</f>
        <v>1285357716270190592</v>
      </c>
      <c r="F7826" s="7" t="s">
        <v>17</v>
      </c>
      <c r="G7826" s="7">
        <v>3910415</v>
      </c>
      <c r="H7826" s="7">
        <v>2419</v>
      </c>
      <c r="I7826" s="7">
        <v>286</v>
      </c>
      <c r="J7826" s="7">
        <v>889</v>
      </c>
      <c r="K7826" s="7" t="s">
        <v>18</v>
      </c>
      <c r="L7826" s="8">
        <v>39987.315405092595</v>
      </c>
      <c r="M7826" s="9" t="s">
        <v>19</v>
      </c>
      <c r="N7826" s="9" t="s">
        <v>20</v>
      </c>
      <c r="O7826" s="6" t="str">
        <f>HYPERLINK("https://pbs.twimg.com/profile_images/962471262747529216/Uo8lOkRJ_normal.jpg","View")</f>
        <v>View</v>
      </c>
      <c r="P7826" s="7"/>
    </row>
    <row r="7827" spans="1:16">
      <c r="A7827" s="3">
        <v>44033.22074074074</v>
      </c>
      <c r="B7827" s="4" t="str">
        <f>HYPERLINK("https://twitter.com/petrogustavo","@petrogustavo")</f>
        <v>@petrogustavo</v>
      </c>
      <c r="C7827" s="5" t="s">
        <v>16</v>
      </c>
      <c r="D7827" s="5" t="s">
        <v>7551</v>
      </c>
      <c r="E7827" s="6" t="str">
        <f>HYPERLINK("https://twitter.com/petrogustavo/status/1285360810747985921","1285360810747985921")</f>
        <v>1285360810747985921</v>
      </c>
      <c r="F7827" s="7" t="s">
        <v>17</v>
      </c>
      <c r="G7827" s="7">
        <v>3910415</v>
      </c>
      <c r="H7827" s="7">
        <v>2419</v>
      </c>
      <c r="I7827" s="7">
        <v>7</v>
      </c>
      <c r="J7827" s="7">
        <v>0</v>
      </c>
      <c r="K7827" s="7" t="s">
        <v>18</v>
      </c>
      <c r="L7827" s="8">
        <v>39987.315405092595</v>
      </c>
      <c r="M7827" s="9" t="s">
        <v>19</v>
      </c>
      <c r="N7827" s="9" t="s">
        <v>20</v>
      </c>
      <c r="O7827" s="6" t="str">
        <f>HYPERLINK("https://pbs.twimg.com/profile_images/962471262747529216/Uo8lOkRJ_normal.jpg","View")</f>
        <v>View</v>
      </c>
      <c r="P7827" s="7"/>
    </row>
    <row r="7828" spans="1:16">
      <c r="A7828" s="3">
        <v>44033.22488425926</v>
      </c>
      <c r="B7828" s="4" t="str">
        <f>HYPERLINK("https://twitter.com/petrogustavo","@petrogustavo")</f>
        <v>@petrogustavo</v>
      </c>
      <c r="C7828" s="5" t="s">
        <v>16</v>
      </c>
      <c r="D7828" s="5" t="s">
        <v>7552</v>
      </c>
      <c r="E7828" s="6" t="str">
        <f>HYPERLINK("https://twitter.com/petrogustavo/status/1285362312812146694","1285362312812146694")</f>
        <v>1285362312812146694</v>
      </c>
      <c r="F7828" s="7" t="s">
        <v>17</v>
      </c>
      <c r="G7828" s="7">
        <v>3910446</v>
      </c>
      <c r="H7828" s="7">
        <v>2419</v>
      </c>
      <c r="I7828" s="7">
        <v>445</v>
      </c>
      <c r="J7828" s="7">
        <v>0</v>
      </c>
      <c r="K7828" s="7" t="s">
        <v>18</v>
      </c>
      <c r="L7828" s="8">
        <v>39987.315405092595</v>
      </c>
      <c r="M7828" s="9" t="s">
        <v>19</v>
      </c>
      <c r="N7828" s="9" t="s">
        <v>20</v>
      </c>
      <c r="O7828" s="6" t="str">
        <f>HYPERLINK("https://pbs.twimg.com/profile_images/962471262747529216/Uo8lOkRJ_normal.jpg","View")</f>
        <v>View</v>
      </c>
      <c r="P7828" s="7"/>
    </row>
    <row r="7829" spans="1:16">
      <c r="A7829" s="3">
        <v>44033.285520833335</v>
      </c>
      <c r="B7829" s="4" t="str">
        <f>HYPERLINK("https://twitter.com/petrogustavo","@petrogustavo")</f>
        <v>@petrogustavo</v>
      </c>
      <c r="C7829" s="5" t="s">
        <v>16</v>
      </c>
      <c r="D7829" s="5" t="s">
        <v>7553</v>
      </c>
      <c r="E7829" s="6" t="str">
        <f>HYPERLINK("https://twitter.com/petrogustavo/status/1285384284140904448","1285384284140904448")</f>
        <v>1285384284140904448</v>
      </c>
      <c r="F7829" s="7" t="s">
        <v>17</v>
      </c>
      <c r="G7829" s="7">
        <v>3910520</v>
      </c>
      <c r="H7829" s="7">
        <v>2419</v>
      </c>
      <c r="I7829" s="7">
        <v>111</v>
      </c>
      <c r="J7829" s="7">
        <v>0</v>
      </c>
      <c r="K7829" s="7" t="s">
        <v>18</v>
      </c>
      <c r="L7829" s="8">
        <v>39987.315405092595</v>
      </c>
      <c r="M7829" s="9" t="s">
        <v>19</v>
      </c>
      <c r="N7829" s="9" t="s">
        <v>20</v>
      </c>
      <c r="O7829" s="6" t="str">
        <f>HYPERLINK("https://pbs.twimg.com/profile_images/962471262747529216/Uo8lOkRJ_normal.jpg","View")</f>
        <v>View</v>
      </c>
      <c r="P7829" s="7"/>
    </row>
    <row r="7830" spans="1:16">
      <c r="A7830" s="3">
        <v>44033.285740740743</v>
      </c>
      <c r="B7830" s="4" t="str">
        <f>HYPERLINK("https://twitter.com/petrogustavo","@petrogustavo")</f>
        <v>@petrogustavo</v>
      </c>
      <c r="C7830" s="5" t="s">
        <v>16</v>
      </c>
      <c r="D7830" s="5" t="s">
        <v>7554</v>
      </c>
      <c r="E7830" s="6" t="str">
        <f>HYPERLINK("https://twitter.com/petrogustavo/status/1285384363463647233","1285384363463647233")</f>
        <v>1285384363463647233</v>
      </c>
      <c r="F7830" s="7" t="s">
        <v>17</v>
      </c>
      <c r="G7830" s="7">
        <v>3910520</v>
      </c>
      <c r="H7830" s="7">
        <v>2419</v>
      </c>
      <c r="I7830" s="7">
        <v>349</v>
      </c>
      <c r="J7830" s="7">
        <v>0</v>
      </c>
      <c r="K7830" s="7" t="s">
        <v>18</v>
      </c>
      <c r="L7830" s="8">
        <v>39987.315405092595</v>
      </c>
      <c r="M7830" s="9" t="s">
        <v>19</v>
      </c>
      <c r="N7830" s="9" t="s">
        <v>20</v>
      </c>
      <c r="O7830" s="6" t="str">
        <f>HYPERLINK("https://pbs.twimg.com/profile_images/962471262747529216/Uo8lOkRJ_normal.jpg","View")</f>
        <v>View</v>
      </c>
      <c r="P7830" s="7"/>
    </row>
    <row r="7831" spans="1:16">
      <c r="A7831" s="3">
        <v>44033.285810185189</v>
      </c>
      <c r="B7831" s="4" t="str">
        <f>HYPERLINK("https://twitter.com/petrogustavo","@petrogustavo")</f>
        <v>@petrogustavo</v>
      </c>
      <c r="C7831" s="5" t="s">
        <v>16</v>
      </c>
      <c r="D7831" s="5" t="s">
        <v>7555</v>
      </c>
      <c r="E7831" s="6" t="str">
        <f>HYPERLINK("https://twitter.com/petrogustavo/status/1285384388704964609","1285384388704964609")</f>
        <v>1285384388704964609</v>
      </c>
      <c r="F7831" s="7" t="s">
        <v>17</v>
      </c>
      <c r="G7831" s="7">
        <v>3910520</v>
      </c>
      <c r="H7831" s="7">
        <v>2419</v>
      </c>
      <c r="I7831" s="7">
        <v>1988</v>
      </c>
      <c r="J7831" s="7">
        <v>0</v>
      </c>
      <c r="K7831" s="7" t="s">
        <v>18</v>
      </c>
      <c r="L7831" s="8">
        <v>39987.315405092595</v>
      </c>
      <c r="M7831" s="9" t="s">
        <v>19</v>
      </c>
      <c r="N7831" s="9" t="s">
        <v>20</v>
      </c>
      <c r="O7831" s="6" t="str">
        <f>HYPERLINK("https://pbs.twimg.com/profile_images/962471262747529216/Uo8lOkRJ_normal.jpg","View")</f>
        <v>View</v>
      </c>
      <c r="P7831" s="7"/>
    </row>
    <row r="7832" spans="1:16">
      <c r="A7832" s="3">
        <v>44033.292025462964</v>
      </c>
      <c r="B7832" s="4" t="str">
        <f>HYPERLINK("https://twitter.com/petrogustavo","@petrogustavo")</f>
        <v>@petrogustavo</v>
      </c>
      <c r="C7832" s="5" t="s">
        <v>16</v>
      </c>
      <c r="D7832" s="5" t="s">
        <v>7556</v>
      </c>
      <c r="E7832" s="6" t="str">
        <f>HYPERLINK("https://twitter.com/petrogustavo/status/1285386643575377920","1285386643575377920")</f>
        <v>1285386643575377920</v>
      </c>
      <c r="F7832" s="7" t="s">
        <v>17</v>
      </c>
      <c r="G7832" s="7">
        <v>3910520</v>
      </c>
      <c r="H7832" s="7">
        <v>2419</v>
      </c>
      <c r="I7832" s="7">
        <v>247</v>
      </c>
      <c r="J7832" s="7">
        <v>0</v>
      </c>
      <c r="K7832" s="7" t="s">
        <v>18</v>
      </c>
      <c r="L7832" s="8">
        <v>39987.315405092595</v>
      </c>
      <c r="M7832" s="9" t="s">
        <v>19</v>
      </c>
      <c r="N7832" s="9" t="s">
        <v>20</v>
      </c>
      <c r="O7832" s="6" t="str">
        <f>HYPERLINK("https://pbs.twimg.com/profile_images/962471262747529216/Uo8lOkRJ_normal.jpg","View")</f>
        <v>View</v>
      </c>
      <c r="P7832" s="7"/>
    </row>
    <row r="7833" spans="1:16">
      <c r="A7833" s="3">
        <v>44033.834189814814</v>
      </c>
      <c r="B7833" s="4" t="str">
        <f>HYPERLINK("https://twitter.com/petrogustavo","@petrogustavo")</f>
        <v>@petrogustavo</v>
      </c>
      <c r="C7833" s="5" t="s">
        <v>16</v>
      </c>
      <c r="D7833" s="5" t="s">
        <v>7557</v>
      </c>
      <c r="E7833" s="6" t="str">
        <f>HYPERLINK("https://twitter.com/petrogustavo/status/1285583115654701056","1285583115654701056")</f>
        <v>1285583115654701056</v>
      </c>
      <c r="F7833" s="7" t="s">
        <v>17</v>
      </c>
      <c r="G7833" s="7">
        <v>3910828</v>
      </c>
      <c r="H7833" s="7">
        <v>2419</v>
      </c>
      <c r="I7833" s="7">
        <v>164</v>
      </c>
      <c r="J7833" s="7">
        <v>0</v>
      </c>
      <c r="K7833" s="7" t="s">
        <v>18</v>
      </c>
      <c r="L7833" s="8">
        <v>39987.315405092595</v>
      </c>
      <c r="M7833" s="9" t="s">
        <v>19</v>
      </c>
      <c r="N7833" s="9" t="s">
        <v>20</v>
      </c>
      <c r="O7833" s="6" t="str">
        <f>HYPERLINK("https://pbs.twimg.com/profile_images/962471262747529216/Uo8lOkRJ_normal.jpg","View")</f>
        <v>View</v>
      </c>
      <c r="P7833" s="7"/>
    </row>
    <row r="7834" spans="1:16">
      <c r="A7834" s="3">
        <v>44033.834374999999</v>
      </c>
      <c r="B7834" s="4" t="str">
        <f>HYPERLINK("https://twitter.com/petrogustavo","@petrogustavo")</f>
        <v>@petrogustavo</v>
      </c>
      <c r="C7834" s="5" t="s">
        <v>16</v>
      </c>
      <c r="D7834" s="5" t="s">
        <v>7558</v>
      </c>
      <c r="E7834" s="6" t="str">
        <f>HYPERLINK("https://twitter.com/petrogustavo/status/1285583181270396928","1285583181270396928")</f>
        <v>1285583181270396928</v>
      </c>
      <c r="F7834" s="7" t="s">
        <v>17</v>
      </c>
      <c r="G7834" s="7">
        <v>3910828</v>
      </c>
      <c r="H7834" s="7">
        <v>2419</v>
      </c>
      <c r="I7834" s="7">
        <v>4108</v>
      </c>
      <c r="J7834" s="7">
        <v>0</v>
      </c>
      <c r="K7834" s="7" t="s">
        <v>18</v>
      </c>
      <c r="L7834" s="8">
        <v>39987.315405092595</v>
      </c>
      <c r="M7834" s="9" t="s">
        <v>19</v>
      </c>
      <c r="N7834" s="9" t="s">
        <v>20</v>
      </c>
      <c r="O7834" s="6" t="str">
        <f>HYPERLINK("https://pbs.twimg.com/profile_images/962471262747529216/Uo8lOkRJ_normal.jpg","View")</f>
        <v>View</v>
      </c>
      <c r="P7834" s="7"/>
    </row>
    <row r="7835" spans="1:16">
      <c r="A7835" s="3">
        <v>44033.836967592593</v>
      </c>
      <c r="B7835" s="4" t="str">
        <f>HYPERLINK("https://twitter.com/petrogustavo","@petrogustavo")</f>
        <v>@petrogustavo</v>
      </c>
      <c r="C7835" s="5" t="s">
        <v>16</v>
      </c>
      <c r="D7835" s="5" t="s">
        <v>7559</v>
      </c>
      <c r="E7835" s="6" t="str">
        <f>HYPERLINK("https://twitter.com/petrogustavo/status/1285584121587101696","1285584121587101696")</f>
        <v>1285584121587101696</v>
      </c>
      <c r="F7835" s="7" t="s">
        <v>17</v>
      </c>
      <c r="G7835" s="7">
        <v>3910828</v>
      </c>
      <c r="H7835" s="7">
        <v>2419</v>
      </c>
      <c r="I7835" s="7">
        <v>326</v>
      </c>
      <c r="J7835" s="7">
        <v>0</v>
      </c>
      <c r="K7835" s="7" t="s">
        <v>18</v>
      </c>
      <c r="L7835" s="8">
        <v>39987.315405092595</v>
      </c>
      <c r="M7835" s="9" t="s">
        <v>19</v>
      </c>
      <c r="N7835" s="9" t="s">
        <v>20</v>
      </c>
      <c r="O7835" s="6" t="str">
        <f>HYPERLINK("https://pbs.twimg.com/profile_images/962471262747529216/Uo8lOkRJ_normal.jpg","View")</f>
        <v>View</v>
      </c>
      <c r="P7835" s="7"/>
    </row>
    <row r="7836" spans="1:16">
      <c r="A7836" s="3">
        <v>44033.839039351849</v>
      </c>
      <c r="B7836" s="4" t="str">
        <f>HYPERLINK("https://twitter.com/petrogustavo","@petrogustavo")</f>
        <v>@petrogustavo</v>
      </c>
      <c r="C7836" s="5" t="s">
        <v>16</v>
      </c>
      <c r="D7836" s="5" t="s">
        <v>7560</v>
      </c>
      <c r="E7836" s="6" t="str">
        <f>HYPERLINK("https://twitter.com/petrogustavo/status/1285584874737471490","1285584874737471490")</f>
        <v>1285584874737471490</v>
      </c>
      <c r="F7836" s="7" t="s">
        <v>17</v>
      </c>
      <c r="G7836" s="7">
        <v>3910828</v>
      </c>
      <c r="H7836" s="7">
        <v>2419</v>
      </c>
      <c r="I7836" s="7">
        <v>81</v>
      </c>
      <c r="J7836" s="7">
        <v>189</v>
      </c>
      <c r="K7836" s="7" t="s">
        <v>18</v>
      </c>
      <c r="L7836" s="8">
        <v>39987.315405092595</v>
      </c>
      <c r="M7836" s="9" t="s">
        <v>19</v>
      </c>
      <c r="N7836" s="9" t="s">
        <v>20</v>
      </c>
      <c r="O7836" s="6" t="str">
        <f>HYPERLINK("https://pbs.twimg.com/profile_images/962471262747529216/Uo8lOkRJ_normal.jpg","View")</f>
        <v>View</v>
      </c>
      <c r="P7836" s="7"/>
    </row>
    <row r="7837" spans="1:16">
      <c r="A7837" s="3">
        <v>44033.898182870369</v>
      </c>
      <c r="B7837" s="4" t="str">
        <f>HYPERLINK("https://twitter.com/petrogustavo","@petrogustavo")</f>
        <v>@petrogustavo</v>
      </c>
      <c r="C7837" s="5" t="s">
        <v>16</v>
      </c>
      <c r="D7837" s="5" t="s">
        <v>7561</v>
      </c>
      <c r="E7837" s="6" t="str">
        <f>HYPERLINK("https://twitter.com/petrogustavo/status/1285606304736858119","1285606304736858119")</f>
        <v>1285606304736858119</v>
      </c>
      <c r="F7837" s="7" t="s">
        <v>17</v>
      </c>
      <c r="G7837" s="7">
        <v>3910902</v>
      </c>
      <c r="H7837" s="7">
        <v>2419</v>
      </c>
      <c r="I7837" s="7">
        <v>24</v>
      </c>
      <c r="J7837" s="7">
        <v>0</v>
      </c>
      <c r="K7837" s="7" t="s">
        <v>18</v>
      </c>
      <c r="L7837" s="8">
        <v>39987.315405092595</v>
      </c>
      <c r="M7837" s="9" t="s">
        <v>19</v>
      </c>
      <c r="N7837" s="9" t="s">
        <v>20</v>
      </c>
      <c r="O7837" s="6" t="str">
        <f>HYPERLINK("https://pbs.twimg.com/profile_images/962471262747529216/Uo8lOkRJ_normal.jpg","View")</f>
        <v>View</v>
      </c>
      <c r="P7837" s="7"/>
    </row>
    <row r="7838" spans="1:16">
      <c r="A7838" s="3">
        <v>44033.898784722223</v>
      </c>
      <c r="B7838" s="4" t="str">
        <f>HYPERLINK("https://twitter.com/petrogustavo","@petrogustavo")</f>
        <v>@petrogustavo</v>
      </c>
      <c r="C7838" s="5" t="s">
        <v>16</v>
      </c>
      <c r="D7838" s="5" t="s">
        <v>7562</v>
      </c>
      <c r="E7838" s="6" t="str">
        <f>HYPERLINK("https://twitter.com/petrogustavo/status/1285606526267404290","1285606526267404290")</f>
        <v>1285606526267404290</v>
      </c>
      <c r="F7838" s="7" t="s">
        <v>17</v>
      </c>
      <c r="G7838" s="7">
        <v>3910902</v>
      </c>
      <c r="H7838" s="7">
        <v>2419</v>
      </c>
      <c r="I7838" s="7">
        <v>171</v>
      </c>
      <c r="J7838" s="7">
        <v>0</v>
      </c>
      <c r="K7838" s="7" t="s">
        <v>18</v>
      </c>
      <c r="L7838" s="8">
        <v>39987.315405092595</v>
      </c>
      <c r="M7838" s="9" t="s">
        <v>19</v>
      </c>
      <c r="N7838" s="9" t="s">
        <v>20</v>
      </c>
      <c r="O7838" s="6" t="str">
        <f>HYPERLINK("https://pbs.twimg.com/profile_images/962471262747529216/Uo8lOkRJ_normal.jpg","View")</f>
        <v>View</v>
      </c>
      <c r="P7838" s="7"/>
    </row>
    <row r="7839" spans="1:16">
      <c r="A7839" s="3">
        <v>44033.899537037039</v>
      </c>
      <c r="B7839" s="4" t="str">
        <f>HYPERLINK("https://twitter.com/petrogustavo","@petrogustavo")</f>
        <v>@petrogustavo</v>
      </c>
      <c r="C7839" s="5" t="s">
        <v>16</v>
      </c>
      <c r="D7839" s="5" t="s">
        <v>7563</v>
      </c>
      <c r="E7839" s="6" t="str">
        <f>HYPERLINK("https://twitter.com/petrogustavo/status/1285606796732882945","1285606796732882945")</f>
        <v>1285606796732882945</v>
      </c>
      <c r="F7839" s="7" t="s">
        <v>17</v>
      </c>
      <c r="G7839" s="7">
        <v>3910902</v>
      </c>
      <c r="H7839" s="7">
        <v>2419</v>
      </c>
      <c r="I7839" s="7">
        <v>31</v>
      </c>
      <c r="J7839" s="7">
        <v>0</v>
      </c>
      <c r="K7839" s="7" t="s">
        <v>18</v>
      </c>
      <c r="L7839" s="8">
        <v>39987.315405092595</v>
      </c>
      <c r="M7839" s="9" t="s">
        <v>19</v>
      </c>
      <c r="N7839" s="9" t="s">
        <v>20</v>
      </c>
      <c r="O7839" s="6" t="str">
        <f>HYPERLINK("https://pbs.twimg.com/profile_images/962471262747529216/Uo8lOkRJ_normal.jpg","View")</f>
        <v>View</v>
      </c>
      <c r="P7839" s="7"/>
    </row>
    <row r="7840" spans="1:16">
      <c r="A7840" s="3">
        <v>44033.90048611111</v>
      </c>
      <c r="B7840" s="4" t="str">
        <f>HYPERLINK("https://twitter.com/petrogustavo","@petrogustavo")</f>
        <v>@petrogustavo</v>
      </c>
      <c r="C7840" s="5" t="s">
        <v>16</v>
      </c>
      <c r="D7840" s="5" t="s">
        <v>7564</v>
      </c>
      <c r="E7840" s="6" t="str">
        <f>HYPERLINK("https://twitter.com/petrogustavo/status/1285607142117060616","1285607142117060616")</f>
        <v>1285607142117060616</v>
      </c>
      <c r="F7840" s="7" t="s">
        <v>17</v>
      </c>
      <c r="G7840" s="7">
        <v>3910902</v>
      </c>
      <c r="H7840" s="7">
        <v>2419</v>
      </c>
      <c r="I7840" s="7">
        <v>19</v>
      </c>
      <c r="J7840" s="7">
        <v>0</v>
      </c>
      <c r="K7840" s="7" t="s">
        <v>18</v>
      </c>
      <c r="L7840" s="8">
        <v>39987.315405092595</v>
      </c>
      <c r="M7840" s="9" t="s">
        <v>19</v>
      </c>
      <c r="N7840" s="9" t="s">
        <v>20</v>
      </c>
      <c r="O7840" s="6" t="str">
        <f>HYPERLINK("https://pbs.twimg.com/profile_images/962471262747529216/Uo8lOkRJ_normal.jpg","View")</f>
        <v>View</v>
      </c>
      <c r="P7840" s="7"/>
    </row>
    <row r="7841" spans="1:16">
      <c r="A7841" s="3">
        <v>44033.90561342593</v>
      </c>
      <c r="B7841" s="4" t="str">
        <f>HYPERLINK("https://twitter.com/petrogustavo","@petrogustavo")</f>
        <v>@petrogustavo</v>
      </c>
      <c r="C7841" s="5" t="s">
        <v>16</v>
      </c>
      <c r="D7841" s="5" t="s">
        <v>7565</v>
      </c>
      <c r="E7841" s="6" t="str">
        <f>HYPERLINK("https://twitter.com/petrogustavo/status/1285608997865881600","1285608997865881600")</f>
        <v>1285608997865881600</v>
      </c>
      <c r="F7841" s="7" t="s">
        <v>17</v>
      </c>
      <c r="G7841" s="7">
        <v>3910902</v>
      </c>
      <c r="H7841" s="7">
        <v>2419</v>
      </c>
      <c r="I7841" s="7">
        <v>138</v>
      </c>
      <c r="J7841" s="7">
        <v>443</v>
      </c>
      <c r="K7841" s="7" t="s">
        <v>18</v>
      </c>
      <c r="L7841" s="8">
        <v>39987.315405092595</v>
      </c>
      <c r="M7841" s="9" t="s">
        <v>19</v>
      </c>
      <c r="N7841" s="9" t="s">
        <v>20</v>
      </c>
      <c r="O7841" s="6" t="str">
        <f>HYPERLINK("https://pbs.twimg.com/profile_images/962471262747529216/Uo8lOkRJ_normal.jpg","View")</f>
        <v>View</v>
      </c>
      <c r="P7841" s="7"/>
    </row>
    <row r="7842" spans="1:16">
      <c r="A7842" s="3">
        <v>44033.910127314812</v>
      </c>
      <c r="B7842" s="4" t="str">
        <f>HYPERLINK("https://twitter.com/petrogustavo","@petrogustavo")</f>
        <v>@petrogustavo</v>
      </c>
      <c r="C7842" s="5" t="s">
        <v>16</v>
      </c>
      <c r="D7842" s="5" t="s">
        <v>7566</v>
      </c>
      <c r="E7842" s="6" t="str">
        <f>HYPERLINK("https://twitter.com/petrogustavo/status/1285610634399358976","1285610634399358976")</f>
        <v>1285610634399358976</v>
      </c>
      <c r="F7842" s="7" t="s">
        <v>17</v>
      </c>
      <c r="G7842" s="7">
        <v>3910914</v>
      </c>
      <c r="H7842" s="7">
        <v>2419</v>
      </c>
      <c r="I7842" s="7">
        <v>584</v>
      </c>
      <c r="J7842" s="7">
        <v>0</v>
      </c>
      <c r="K7842" s="7" t="s">
        <v>18</v>
      </c>
      <c r="L7842" s="8">
        <v>39987.315405092595</v>
      </c>
      <c r="M7842" s="9" t="s">
        <v>19</v>
      </c>
      <c r="N7842" s="9" t="s">
        <v>20</v>
      </c>
      <c r="O7842" s="6" t="str">
        <f>HYPERLINK("https://pbs.twimg.com/profile_images/962471262747529216/Uo8lOkRJ_normal.jpg","View")</f>
        <v>View</v>
      </c>
      <c r="P7842" s="7"/>
    </row>
    <row r="7843" spans="1:16">
      <c r="A7843" s="3">
        <v>44033.914872685185</v>
      </c>
      <c r="B7843" s="4" t="str">
        <f>HYPERLINK("https://twitter.com/petrogustavo","@petrogustavo")</f>
        <v>@petrogustavo</v>
      </c>
      <c r="C7843" s="5" t="s">
        <v>16</v>
      </c>
      <c r="D7843" s="5" t="s">
        <v>7567</v>
      </c>
      <c r="E7843" s="6" t="str">
        <f>HYPERLINK("https://twitter.com/petrogustavo/status/1285612353510428672","1285612353510428672")</f>
        <v>1285612353510428672</v>
      </c>
      <c r="F7843" s="7" t="s">
        <v>17</v>
      </c>
      <c r="G7843" s="7">
        <v>3910914</v>
      </c>
      <c r="H7843" s="7">
        <v>2419</v>
      </c>
      <c r="I7843" s="7">
        <v>710</v>
      </c>
      <c r="J7843" s="7">
        <v>0</v>
      </c>
      <c r="K7843" s="7" t="s">
        <v>18</v>
      </c>
      <c r="L7843" s="8">
        <v>39987.315405092595</v>
      </c>
      <c r="M7843" s="9" t="s">
        <v>19</v>
      </c>
      <c r="N7843" s="9" t="s">
        <v>20</v>
      </c>
      <c r="O7843" s="6" t="str">
        <f>HYPERLINK("https://pbs.twimg.com/profile_images/962471262747529216/Uo8lOkRJ_normal.jpg","View")</f>
        <v>View</v>
      </c>
      <c r="P7843" s="7"/>
    </row>
    <row r="7844" spans="1:16">
      <c r="A7844" s="3">
        <v>44033.926226851851</v>
      </c>
      <c r="B7844" s="4" t="str">
        <f>HYPERLINK("https://twitter.com/petrogustavo","@petrogustavo")</f>
        <v>@petrogustavo</v>
      </c>
      <c r="C7844" s="5" t="s">
        <v>16</v>
      </c>
      <c r="D7844" s="5" t="s">
        <v>7568</v>
      </c>
      <c r="E7844" s="6" t="str">
        <f>HYPERLINK("https://twitter.com/petrogustavo/status/1285616469133402112","1285616469133402112")</f>
        <v>1285616469133402112</v>
      </c>
      <c r="F7844" s="7" t="s">
        <v>17</v>
      </c>
      <c r="G7844" s="7">
        <v>3910914</v>
      </c>
      <c r="H7844" s="7">
        <v>2419</v>
      </c>
      <c r="I7844" s="7">
        <v>13</v>
      </c>
      <c r="J7844" s="7">
        <v>112</v>
      </c>
      <c r="K7844" s="7" t="s">
        <v>18</v>
      </c>
      <c r="L7844" s="8">
        <v>39987.315405092595</v>
      </c>
      <c r="M7844" s="9" t="s">
        <v>19</v>
      </c>
      <c r="N7844" s="9" t="s">
        <v>20</v>
      </c>
      <c r="O7844" s="6" t="str">
        <f>HYPERLINK("https://pbs.twimg.com/profile_images/962471262747529216/Uo8lOkRJ_normal.jpg","View")</f>
        <v>View</v>
      </c>
      <c r="P7844" s="7"/>
    </row>
    <row r="7845" spans="1:16">
      <c r="A7845" s="3">
        <v>44033.989745370374</v>
      </c>
      <c r="B7845" s="4" t="str">
        <f>HYPERLINK("https://twitter.com/petrogustavo","@petrogustavo")</f>
        <v>@petrogustavo</v>
      </c>
      <c r="C7845" s="5" t="s">
        <v>16</v>
      </c>
      <c r="D7845" s="5" t="s">
        <v>7569</v>
      </c>
      <c r="E7845" s="6" t="str">
        <f>HYPERLINK("https://twitter.com/petrogustavo/status/1285639488165871619","1285639488165871619")</f>
        <v>1285639488165871619</v>
      </c>
      <c r="F7845" s="7" t="s">
        <v>21</v>
      </c>
      <c r="G7845" s="7">
        <v>3910955</v>
      </c>
      <c r="H7845" s="7">
        <v>2419</v>
      </c>
      <c r="I7845" s="7">
        <v>44</v>
      </c>
      <c r="J7845" s="7">
        <v>68</v>
      </c>
      <c r="K7845" s="7" t="s">
        <v>18</v>
      </c>
      <c r="L7845" s="8">
        <v>39987.315405092595</v>
      </c>
      <c r="M7845" s="9" t="s">
        <v>19</v>
      </c>
      <c r="N7845" s="9" t="s">
        <v>20</v>
      </c>
      <c r="O7845" s="6" t="str">
        <f>HYPERLINK("https://pbs.twimg.com/profile_images/962471262747529216/Uo8lOkRJ_normal.jpg","View")</f>
        <v>View</v>
      </c>
      <c r="P7845" s="7"/>
    </row>
    <row r="7846" spans="1:16">
      <c r="A7846" s="3">
        <v>44034.244004629625</v>
      </c>
      <c r="B7846" s="4" t="str">
        <f>HYPERLINK("https://twitter.com/petrogustavo","@petrogustavo")</f>
        <v>@petrogustavo</v>
      </c>
      <c r="C7846" s="5" t="s">
        <v>16</v>
      </c>
      <c r="D7846" s="5" t="s">
        <v>7570</v>
      </c>
      <c r="E7846" s="6" t="str">
        <f>HYPERLINK("https://twitter.com/petrogustavo/status/1285731627767930880","1285731627767930880")</f>
        <v>1285731627767930880</v>
      </c>
      <c r="F7846" s="7" t="s">
        <v>17</v>
      </c>
      <c r="G7846" s="7">
        <v>3911222</v>
      </c>
      <c r="H7846" s="7">
        <v>2419</v>
      </c>
      <c r="I7846" s="7">
        <v>90</v>
      </c>
      <c r="J7846" s="7">
        <v>0</v>
      </c>
      <c r="K7846" s="7" t="s">
        <v>18</v>
      </c>
      <c r="L7846" s="8">
        <v>39987.315405092595</v>
      </c>
      <c r="M7846" s="9" t="s">
        <v>19</v>
      </c>
      <c r="N7846" s="9" t="s">
        <v>20</v>
      </c>
      <c r="O7846" s="6" t="str">
        <f>HYPERLINK("https://pbs.twimg.com/profile_images/962471262747529216/Uo8lOkRJ_normal.jpg","View")</f>
        <v>View</v>
      </c>
      <c r="P7846" s="7"/>
    </row>
    <row r="7847" spans="1:16">
      <c r="A7847" s="3">
        <v>44034.244756944448</v>
      </c>
      <c r="B7847" s="4" t="str">
        <f>HYPERLINK("https://twitter.com/petrogustavo","@petrogustavo")</f>
        <v>@petrogustavo</v>
      </c>
      <c r="C7847" s="5" t="s">
        <v>16</v>
      </c>
      <c r="D7847" s="5" t="s">
        <v>7571</v>
      </c>
      <c r="E7847" s="6" t="str">
        <f>HYPERLINK("https://twitter.com/petrogustavo/status/1285731901119045633","1285731901119045633")</f>
        <v>1285731901119045633</v>
      </c>
      <c r="F7847" s="7" t="s">
        <v>17</v>
      </c>
      <c r="G7847" s="7">
        <v>3911222</v>
      </c>
      <c r="H7847" s="7">
        <v>2419</v>
      </c>
      <c r="I7847" s="7">
        <v>363</v>
      </c>
      <c r="J7847" s="7">
        <v>0</v>
      </c>
      <c r="K7847" s="7" t="s">
        <v>18</v>
      </c>
      <c r="L7847" s="8">
        <v>39987.315405092595</v>
      </c>
      <c r="M7847" s="9" t="s">
        <v>19</v>
      </c>
      <c r="N7847" s="9" t="s">
        <v>20</v>
      </c>
      <c r="O7847" s="6" t="str">
        <f>HYPERLINK("https://pbs.twimg.com/profile_images/962471262747529216/Uo8lOkRJ_normal.jpg","View")</f>
        <v>View</v>
      </c>
      <c r="P7847" s="7"/>
    </row>
    <row r="7848" spans="1:16">
      <c r="A7848" s="3">
        <v>44034.247986111106</v>
      </c>
      <c r="B7848" s="4" t="str">
        <f>HYPERLINK("https://twitter.com/petrogustavo","@petrogustavo")</f>
        <v>@petrogustavo</v>
      </c>
      <c r="C7848" s="5" t="s">
        <v>16</v>
      </c>
      <c r="D7848" s="5" t="s">
        <v>7572</v>
      </c>
      <c r="E7848" s="6" t="str">
        <f>HYPERLINK("https://twitter.com/petrogustavo/status/1285733072760168454","1285733072760168454")</f>
        <v>1285733072760168454</v>
      </c>
      <c r="F7848" s="7" t="s">
        <v>17</v>
      </c>
      <c r="G7848" s="7">
        <v>3911222</v>
      </c>
      <c r="H7848" s="7">
        <v>2419</v>
      </c>
      <c r="I7848" s="7">
        <v>40</v>
      </c>
      <c r="J7848" s="7">
        <v>0</v>
      </c>
      <c r="K7848" s="7" t="s">
        <v>18</v>
      </c>
      <c r="L7848" s="8">
        <v>39987.315405092595</v>
      </c>
      <c r="M7848" s="9" t="s">
        <v>19</v>
      </c>
      <c r="N7848" s="9" t="s">
        <v>20</v>
      </c>
      <c r="O7848" s="6" t="str">
        <f>HYPERLINK("https://pbs.twimg.com/profile_images/962471262747529216/Uo8lOkRJ_normal.jpg","View")</f>
        <v>View</v>
      </c>
      <c r="P7848" s="7"/>
    </row>
    <row r="7849" spans="1:16">
      <c r="A7849" s="3">
        <v>44034.249097222222</v>
      </c>
      <c r="B7849" s="4" t="str">
        <f>HYPERLINK("https://twitter.com/petrogustavo","@petrogustavo")</f>
        <v>@petrogustavo</v>
      </c>
      <c r="C7849" s="5" t="s">
        <v>16</v>
      </c>
      <c r="D7849" s="5" t="s">
        <v>7573</v>
      </c>
      <c r="E7849" s="6" t="str">
        <f>HYPERLINK("https://twitter.com/petrogustavo/status/1285733474238894082","1285733474238894082")</f>
        <v>1285733474238894082</v>
      </c>
      <c r="F7849" s="7" t="s">
        <v>17</v>
      </c>
      <c r="G7849" s="7">
        <v>3911222</v>
      </c>
      <c r="H7849" s="7">
        <v>2419</v>
      </c>
      <c r="I7849" s="7">
        <v>1148</v>
      </c>
      <c r="J7849" s="7">
        <v>0</v>
      </c>
      <c r="K7849" s="7" t="s">
        <v>18</v>
      </c>
      <c r="L7849" s="8">
        <v>39987.315405092595</v>
      </c>
      <c r="M7849" s="9" t="s">
        <v>19</v>
      </c>
      <c r="N7849" s="9" t="s">
        <v>20</v>
      </c>
      <c r="O7849" s="6" t="str">
        <f>HYPERLINK("https://pbs.twimg.com/profile_images/962471262747529216/Uo8lOkRJ_normal.jpg","View")</f>
        <v>View</v>
      </c>
      <c r="P7849" s="7"/>
    </row>
    <row r="7850" spans="1:16">
      <c r="A7850" s="3">
        <v>44034.336851851855</v>
      </c>
      <c r="B7850" s="4" t="str">
        <f>HYPERLINK("https://twitter.com/petrogustavo","@petrogustavo")</f>
        <v>@petrogustavo</v>
      </c>
      <c r="C7850" s="5" t="s">
        <v>16</v>
      </c>
      <c r="D7850" s="5" t="s">
        <v>7574</v>
      </c>
      <c r="E7850" s="6" t="str">
        <f>HYPERLINK("https://twitter.com/petrogustavo/status/1285765276403994624","1285765276403994624")</f>
        <v>1285765276403994624</v>
      </c>
      <c r="F7850" s="7" t="s">
        <v>17</v>
      </c>
      <c r="G7850" s="7">
        <v>3911300</v>
      </c>
      <c r="H7850" s="7">
        <v>2419</v>
      </c>
      <c r="I7850" s="7">
        <v>104</v>
      </c>
      <c r="J7850" s="7">
        <v>221</v>
      </c>
      <c r="K7850" s="7" t="s">
        <v>18</v>
      </c>
      <c r="L7850" s="8">
        <v>39987.315405092595</v>
      </c>
      <c r="M7850" s="9" t="s">
        <v>19</v>
      </c>
      <c r="N7850" s="9" t="s">
        <v>20</v>
      </c>
      <c r="O7850" s="6" t="str">
        <f>HYPERLINK("https://pbs.twimg.com/profile_images/962471262747529216/Uo8lOkRJ_normal.jpg","View")</f>
        <v>View</v>
      </c>
      <c r="P7850" s="7"/>
    </row>
    <row r="7851" spans="1:16">
      <c r="A7851" s="3">
        <v>44034.337997685187</v>
      </c>
      <c r="B7851" s="4" t="str">
        <f>HYPERLINK("https://twitter.com/petrogustavo","@petrogustavo")</f>
        <v>@petrogustavo</v>
      </c>
      <c r="C7851" s="5" t="s">
        <v>16</v>
      </c>
      <c r="D7851" s="5" t="s">
        <v>7575</v>
      </c>
      <c r="E7851" s="6" t="str">
        <f>HYPERLINK("https://twitter.com/petrogustavo/status/1285765687814885377","1285765687814885377")</f>
        <v>1285765687814885377</v>
      </c>
      <c r="F7851" s="7" t="s">
        <v>17</v>
      </c>
      <c r="G7851" s="7">
        <v>3911300</v>
      </c>
      <c r="H7851" s="7">
        <v>2419</v>
      </c>
      <c r="I7851" s="7">
        <v>62</v>
      </c>
      <c r="J7851" s="7">
        <v>0</v>
      </c>
      <c r="K7851" s="7" t="s">
        <v>18</v>
      </c>
      <c r="L7851" s="8">
        <v>39987.315405092595</v>
      </c>
      <c r="M7851" s="9" t="s">
        <v>19</v>
      </c>
      <c r="N7851" s="9" t="s">
        <v>20</v>
      </c>
      <c r="O7851" s="6" t="str">
        <f>HYPERLINK("https://pbs.twimg.com/profile_images/962471262747529216/Uo8lOkRJ_normal.jpg","View")</f>
        <v>View</v>
      </c>
      <c r="P7851" s="7"/>
    </row>
    <row r="7852" spans="1:16">
      <c r="A7852" s="3">
        <v>44034.339016203703</v>
      </c>
      <c r="B7852" s="4" t="str">
        <f>HYPERLINK("https://twitter.com/petrogustavo","@petrogustavo")</f>
        <v>@petrogustavo</v>
      </c>
      <c r="C7852" s="5" t="s">
        <v>16</v>
      </c>
      <c r="D7852" s="5" t="s">
        <v>7576</v>
      </c>
      <c r="E7852" s="6" t="str">
        <f>HYPERLINK("https://twitter.com/petrogustavo/status/1285766056930418688","1285766056930418688")</f>
        <v>1285766056930418688</v>
      </c>
      <c r="F7852" s="7" t="s">
        <v>17</v>
      </c>
      <c r="G7852" s="7">
        <v>3911300</v>
      </c>
      <c r="H7852" s="7">
        <v>2419</v>
      </c>
      <c r="I7852" s="7">
        <v>28</v>
      </c>
      <c r="J7852" s="7">
        <v>0</v>
      </c>
      <c r="K7852" s="7" t="s">
        <v>18</v>
      </c>
      <c r="L7852" s="8">
        <v>39987.315405092595</v>
      </c>
      <c r="M7852" s="9" t="s">
        <v>19</v>
      </c>
      <c r="N7852" s="9" t="s">
        <v>20</v>
      </c>
      <c r="O7852" s="6" t="str">
        <f>HYPERLINK("https://pbs.twimg.com/profile_images/962471262747529216/Uo8lOkRJ_normal.jpg","View")</f>
        <v>View</v>
      </c>
      <c r="P7852" s="7"/>
    </row>
    <row r="7853" spans="1:16">
      <c r="A7853" s="3">
        <v>44034.339097222226</v>
      </c>
      <c r="B7853" s="4" t="str">
        <f>HYPERLINK("https://twitter.com/petrogustavo","@petrogustavo")</f>
        <v>@petrogustavo</v>
      </c>
      <c r="C7853" s="5" t="s">
        <v>16</v>
      </c>
      <c r="D7853" s="5" t="s">
        <v>7577</v>
      </c>
      <c r="E7853" s="6" t="str">
        <f>HYPERLINK("https://twitter.com/petrogustavo/status/1285766088492556289","1285766088492556289")</f>
        <v>1285766088492556289</v>
      </c>
      <c r="F7853" s="7" t="s">
        <v>17</v>
      </c>
      <c r="G7853" s="7">
        <v>3911300</v>
      </c>
      <c r="H7853" s="7">
        <v>2419</v>
      </c>
      <c r="I7853" s="7">
        <v>104</v>
      </c>
      <c r="J7853" s="7">
        <v>0</v>
      </c>
      <c r="K7853" s="7" t="s">
        <v>18</v>
      </c>
      <c r="L7853" s="8">
        <v>39987.315405092595</v>
      </c>
      <c r="M7853" s="9" t="s">
        <v>19</v>
      </c>
      <c r="N7853" s="9" t="s">
        <v>20</v>
      </c>
      <c r="O7853" s="6" t="str">
        <f>HYPERLINK("https://pbs.twimg.com/profile_images/962471262747529216/Uo8lOkRJ_normal.jpg","View")</f>
        <v>View</v>
      </c>
      <c r="P7853" s="7"/>
    </row>
    <row r="7854" spans="1:16">
      <c r="A7854" s="3">
        <v>44034.341840277775</v>
      </c>
      <c r="B7854" s="4" t="str">
        <f>HYPERLINK("https://twitter.com/petrogustavo","@petrogustavo")</f>
        <v>@petrogustavo</v>
      </c>
      <c r="C7854" s="5" t="s">
        <v>16</v>
      </c>
      <c r="D7854" s="5" t="s">
        <v>7578</v>
      </c>
      <c r="E7854" s="6" t="str">
        <f>HYPERLINK("https://twitter.com/petrogustavo/status/1285767083519881218","1285767083519881218")</f>
        <v>1285767083519881218</v>
      </c>
      <c r="F7854" s="7" t="s">
        <v>17</v>
      </c>
      <c r="G7854" s="7">
        <v>3911300</v>
      </c>
      <c r="H7854" s="7">
        <v>2419</v>
      </c>
      <c r="I7854" s="7">
        <v>104</v>
      </c>
      <c r="J7854" s="7">
        <v>0</v>
      </c>
      <c r="K7854" s="7" t="s">
        <v>18</v>
      </c>
      <c r="L7854" s="8">
        <v>39987.315405092595</v>
      </c>
      <c r="M7854" s="9" t="s">
        <v>19</v>
      </c>
      <c r="N7854" s="9" t="s">
        <v>20</v>
      </c>
      <c r="O7854" s="6" t="str">
        <f>HYPERLINK("https://pbs.twimg.com/profile_images/962471262747529216/Uo8lOkRJ_normal.jpg","View")</f>
        <v>View</v>
      </c>
      <c r="P7854" s="7"/>
    </row>
    <row r="7855" spans="1:16">
      <c r="A7855" s="3">
        <v>44034.346736111111</v>
      </c>
      <c r="B7855" s="4" t="str">
        <f>HYPERLINK("https://twitter.com/petrogustavo","@petrogustavo")</f>
        <v>@petrogustavo</v>
      </c>
      <c r="C7855" s="5" t="s">
        <v>16</v>
      </c>
      <c r="D7855" s="5" t="s">
        <v>7579</v>
      </c>
      <c r="E7855" s="6" t="str">
        <f>HYPERLINK("https://twitter.com/petrogustavo/status/1285768855000944640","1285768855000944640")</f>
        <v>1285768855000944640</v>
      </c>
      <c r="F7855" s="7" t="s">
        <v>17</v>
      </c>
      <c r="G7855" s="7">
        <v>3911321</v>
      </c>
      <c r="H7855" s="7">
        <v>2419</v>
      </c>
      <c r="I7855" s="7">
        <v>170</v>
      </c>
      <c r="J7855" s="7">
        <v>352</v>
      </c>
      <c r="K7855" s="7" t="s">
        <v>18</v>
      </c>
      <c r="L7855" s="8">
        <v>39987.315405092595</v>
      </c>
      <c r="M7855" s="9" t="s">
        <v>19</v>
      </c>
      <c r="N7855" s="9" t="s">
        <v>20</v>
      </c>
      <c r="O7855" s="6" t="str">
        <f>HYPERLINK("https://pbs.twimg.com/profile_images/962471262747529216/Uo8lOkRJ_normal.jpg","View")</f>
        <v>View</v>
      </c>
      <c r="P7855" s="7"/>
    </row>
    <row r="7856" spans="1:16">
      <c r="A7856" s="3">
        <v>44034.389479166668</v>
      </c>
      <c r="B7856" s="4" t="str">
        <f>HYPERLINK("https://twitter.com/petrogustavo","@petrogustavo")</f>
        <v>@petrogustavo</v>
      </c>
      <c r="C7856" s="5" t="s">
        <v>16</v>
      </c>
      <c r="D7856" s="5" t="s">
        <v>7573</v>
      </c>
      <c r="E7856" s="6" t="str">
        <f>HYPERLINK("https://twitter.com/petrogustavo/status/1285784345140178950","1285784345140178950")</f>
        <v>1285784345140178950</v>
      </c>
      <c r="F7856" s="7" t="s">
        <v>17</v>
      </c>
      <c r="G7856" s="7">
        <v>3911348</v>
      </c>
      <c r="H7856" s="7">
        <v>2419</v>
      </c>
      <c r="I7856" s="7">
        <v>1475</v>
      </c>
      <c r="J7856" s="7">
        <v>0</v>
      </c>
      <c r="K7856" s="7" t="s">
        <v>18</v>
      </c>
      <c r="L7856" s="8">
        <v>39987.315405092595</v>
      </c>
      <c r="M7856" s="9" t="s">
        <v>19</v>
      </c>
      <c r="N7856" s="9" t="s">
        <v>20</v>
      </c>
      <c r="O7856" s="6" t="str">
        <f>HYPERLINK("https://pbs.twimg.com/profile_images/962471262747529216/Uo8lOkRJ_normal.jpg","View")</f>
        <v>View</v>
      </c>
      <c r="P7856" s="7"/>
    </row>
    <row r="7857" spans="1:16">
      <c r="A7857" s="3">
        <v>44034.736157407402</v>
      </c>
      <c r="B7857" s="4" t="str">
        <f>HYPERLINK("https://twitter.com/petrogustavo","@petrogustavo")</f>
        <v>@petrogustavo</v>
      </c>
      <c r="C7857" s="5" t="s">
        <v>16</v>
      </c>
      <c r="D7857" s="5" t="s">
        <v>7580</v>
      </c>
      <c r="E7857" s="6" t="str">
        <f>HYPERLINK("https://twitter.com/petrogustavo/status/1285909976599453696","1285909976599453696")</f>
        <v>1285909976599453696</v>
      </c>
      <c r="F7857" s="7" t="s">
        <v>17</v>
      </c>
      <c r="G7857" s="7">
        <v>3911361</v>
      </c>
      <c r="H7857" s="7">
        <v>2419</v>
      </c>
      <c r="I7857" s="7">
        <v>75</v>
      </c>
      <c r="J7857" s="7">
        <v>229</v>
      </c>
      <c r="K7857" s="7" t="s">
        <v>18</v>
      </c>
      <c r="L7857" s="8">
        <v>39987.315405092595</v>
      </c>
      <c r="M7857" s="9" t="s">
        <v>19</v>
      </c>
      <c r="N7857" s="9" t="s">
        <v>20</v>
      </c>
      <c r="O7857" s="6" t="str">
        <f>HYPERLINK("https://pbs.twimg.com/profile_images/962471262747529216/Uo8lOkRJ_normal.jpg","View")</f>
        <v>View</v>
      </c>
      <c r="P7857" s="7"/>
    </row>
    <row r="7858" spans="1:16">
      <c r="A7858" s="3">
        <v>44034.73741898148</v>
      </c>
      <c r="B7858" s="4" t="str">
        <f>HYPERLINK("https://twitter.com/petrogustavo","@petrogustavo")</f>
        <v>@petrogustavo</v>
      </c>
      <c r="C7858" s="5" t="s">
        <v>16</v>
      </c>
      <c r="D7858" s="5" t="s">
        <v>7581</v>
      </c>
      <c r="E7858" s="6" t="str">
        <f>HYPERLINK("https://twitter.com/petrogustavo/status/1285910433292062723","1285910433292062723")</f>
        <v>1285910433292062723</v>
      </c>
      <c r="F7858" s="7" t="s">
        <v>17</v>
      </c>
      <c r="G7858" s="7">
        <v>3911361</v>
      </c>
      <c r="H7858" s="7">
        <v>2419</v>
      </c>
      <c r="I7858" s="7">
        <v>86</v>
      </c>
      <c r="J7858" s="7">
        <v>223</v>
      </c>
      <c r="K7858" s="7" t="s">
        <v>18</v>
      </c>
      <c r="L7858" s="8">
        <v>39987.315405092595</v>
      </c>
      <c r="M7858" s="9" t="s">
        <v>19</v>
      </c>
      <c r="N7858" s="9" t="s">
        <v>20</v>
      </c>
      <c r="O7858" s="6" t="str">
        <f>HYPERLINK("https://pbs.twimg.com/profile_images/962471262747529216/Uo8lOkRJ_normal.jpg","View")</f>
        <v>View</v>
      </c>
      <c r="P7858" s="7"/>
    </row>
    <row r="7859" spans="1:16">
      <c r="A7859" s="3">
        <v>44034.75545138889</v>
      </c>
      <c r="B7859" s="4" t="str">
        <f>HYPERLINK("https://twitter.com/petrogustavo","@petrogustavo")</f>
        <v>@petrogustavo</v>
      </c>
      <c r="C7859" s="5" t="s">
        <v>16</v>
      </c>
      <c r="D7859" s="5" t="s">
        <v>7582</v>
      </c>
      <c r="E7859" s="6" t="str">
        <f>HYPERLINK("https://twitter.com/petrogustavo/status/1285916971431858176","1285916971431858176")</f>
        <v>1285916971431858176</v>
      </c>
      <c r="F7859" s="7" t="s">
        <v>17</v>
      </c>
      <c r="G7859" s="7">
        <v>3911380</v>
      </c>
      <c r="H7859" s="7">
        <v>2419</v>
      </c>
      <c r="I7859" s="7">
        <v>50</v>
      </c>
      <c r="J7859" s="7">
        <v>122</v>
      </c>
      <c r="K7859" s="7" t="s">
        <v>18</v>
      </c>
      <c r="L7859" s="8">
        <v>39987.315405092595</v>
      </c>
      <c r="M7859" s="9" t="s">
        <v>19</v>
      </c>
      <c r="N7859" s="9" t="s">
        <v>20</v>
      </c>
      <c r="O7859" s="6" t="str">
        <f>HYPERLINK("https://pbs.twimg.com/profile_images/962471262747529216/Uo8lOkRJ_normal.jpg","View")</f>
        <v>View</v>
      </c>
      <c r="P7859" s="7"/>
    </row>
    <row r="7860" spans="1:16">
      <c r="A7860" s="3">
        <v>44034.755590277782</v>
      </c>
      <c r="B7860" s="4" t="str">
        <f>HYPERLINK("https://twitter.com/petrogustavo","@petrogustavo")</f>
        <v>@petrogustavo</v>
      </c>
      <c r="C7860" s="5" t="s">
        <v>16</v>
      </c>
      <c r="D7860" s="5" t="s">
        <v>7583</v>
      </c>
      <c r="E7860" s="6" t="str">
        <f>HYPERLINK("https://twitter.com/petrogustavo/status/1285917019716681729","1285917019716681729")</f>
        <v>1285917019716681729</v>
      </c>
      <c r="F7860" s="7" t="s">
        <v>17</v>
      </c>
      <c r="G7860" s="7">
        <v>3911380</v>
      </c>
      <c r="H7860" s="7">
        <v>2419</v>
      </c>
      <c r="I7860" s="7">
        <v>353</v>
      </c>
      <c r="J7860" s="7">
        <v>0</v>
      </c>
      <c r="K7860" s="7" t="s">
        <v>18</v>
      </c>
      <c r="L7860" s="8">
        <v>39987.315405092595</v>
      </c>
      <c r="M7860" s="9" t="s">
        <v>19</v>
      </c>
      <c r="N7860" s="9" t="s">
        <v>20</v>
      </c>
      <c r="O7860" s="6" t="str">
        <f>HYPERLINK("https://pbs.twimg.com/profile_images/962471262747529216/Uo8lOkRJ_normal.jpg","View")</f>
        <v>View</v>
      </c>
      <c r="P7860" s="7"/>
    </row>
    <row r="7861" spans="1:16">
      <c r="A7861" s="3">
        <v>44034.943888888884</v>
      </c>
      <c r="B7861" s="4" t="str">
        <f>HYPERLINK("https://twitter.com/petrogustavo","@petrogustavo")</f>
        <v>@petrogustavo</v>
      </c>
      <c r="C7861" s="5" t="s">
        <v>16</v>
      </c>
      <c r="D7861" s="5" t="s">
        <v>7584</v>
      </c>
      <c r="E7861" s="6" t="str">
        <f>HYPERLINK("https://twitter.com/petrogustavo/status/1285985259348164609","1285985259348164609")</f>
        <v>1285985259348164609</v>
      </c>
      <c r="F7861" s="7" t="s">
        <v>32</v>
      </c>
      <c r="G7861" s="7">
        <v>3911546</v>
      </c>
      <c r="H7861" s="7">
        <v>2419</v>
      </c>
      <c r="I7861" s="7">
        <v>38</v>
      </c>
      <c r="J7861" s="7">
        <v>0</v>
      </c>
      <c r="K7861" s="7" t="s">
        <v>18</v>
      </c>
      <c r="L7861" s="8">
        <v>39987.315405092595</v>
      </c>
      <c r="M7861" s="9" t="s">
        <v>19</v>
      </c>
      <c r="N7861" s="9" t="s">
        <v>20</v>
      </c>
      <c r="O7861" s="6" t="str">
        <f>HYPERLINK("https://pbs.twimg.com/profile_images/962471262747529216/Uo8lOkRJ_normal.jpg","View")</f>
        <v>View</v>
      </c>
      <c r="P7861" s="7"/>
    </row>
    <row r="7862" spans="1:16">
      <c r="A7862" s="3">
        <v>44034.944548611107</v>
      </c>
      <c r="B7862" s="4" t="str">
        <f>HYPERLINK("https://twitter.com/petrogustavo","@petrogustavo")</f>
        <v>@petrogustavo</v>
      </c>
      <c r="C7862" s="5" t="s">
        <v>16</v>
      </c>
      <c r="D7862" s="5" t="s">
        <v>7585</v>
      </c>
      <c r="E7862" s="6" t="str">
        <f>HYPERLINK("https://twitter.com/petrogustavo/status/1285985498687823872","1285985498687823872")</f>
        <v>1285985498687823872</v>
      </c>
      <c r="F7862" s="7" t="s">
        <v>32</v>
      </c>
      <c r="G7862" s="7">
        <v>3911546</v>
      </c>
      <c r="H7862" s="7">
        <v>2419</v>
      </c>
      <c r="I7862" s="7">
        <v>146</v>
      </c>
      <c r="J7862" s="7">
        <v>0</v>
      </c>
      <c r="K7862" s="7" t="s">
        <v>18</v>
      </c>
      <c r="L7862" s="8">
        <v>39987.315405092595</v>
      </c>
      <c r="M7862" s="9" t="s">
        <v>19</v>
      </c>
      <c r="N7862" s="9" t="s">
        <v>20</v>
      </c>
      <c r="O7862" s="6" t="str">
        <f>HYPERLINK("https://pbs.twimg.com/profile_images/962471262747529216/Uo8lOkRJ_normal.jpg","View")</f>
        <v>View</v>
      </c>
      <c r="P7862" s="7"/>
    </row>
    <row r="7863" spans="1:16">
      <c r="A7863" s="3">
        <v>44034.946354166663</v>
      </c>
      <c r="B7863" s="4" t="str">
        <f>HYPERLINK("https://twitter.com/petrogustavo","@petrogustavo")</f>
        <v>@petrogustavo</v>
      </c>
      <c r="C7863" s="5" t="s">
        <v>16</v>
      </c>
      <c r="D7863" s="5" t="s">
        <v>7586</v>
      </c>
      <c r="E7863" s="6" t="str">
        <f>HYPERLINK("https://twitter.com/petrogustavo/status/1285986150176481283","1285986150176481283")</f>
        <v>1285986150176481283</v>
      </c>
      <c r="F7863" s="7" t="s">
        <v>32</v>
      </c>
      <c r="G7863" s="7">
        <v>3911546</v>
      </c>
      <c r="H7863" s="7">
        <v>2419</v>
      </c>
      <c r="I7863" s="7">
        <v>50</v>
      </c>
      <c r="J7863" s="7">
        <v>99</v>
      </c>
      <c r="K7863" s="7" t="s">
        <v>18</v>
      </c>
      <c r="L7863" s="8">
        <v>39987.315405092595</v>
      </c>
      <c r="M7863" s="9" t="s">
        <v>19</v>
      </c>
      <c r="N7863" s="9" t="s">
        <v>20</v>
      </c>
      <c r="O7863" s="6" t="str">
        <f>HYPERLINK("https://pbs.twimg.com/profile_images/962471262747529216/Uo8lOkRJ_normal.jpg","View")</f>
        <v>View</v>
      </c>
      <c r="P7863" s="7"/>
    </row>
    <row r="7864" spans="1:16">
      <c r="A7864" s="3">
        <v>44034.953125</v>
      </c>
      <c r="B7864" s="4" t="str">
        <f>HYPERLINK("https://twitter.com/petrogustavo","@petrogustavo")</f>
        <v>@petrogustavo</v>
      </c>
      <c r="C7864" s="5" t="s">
        <v>16</v>
      </c>
      <c r="D7864" s="5" t="s">
        <v>7587</v>
      </c>
      <c r="E7864" s="6" t="str">
        <f>HYPERLINK("https://twitter.com/petrogustavo/status/1285988605190639618","1285988605190639618")</f>
        <v>1285988605190639618</v>
      </c>
      <c r="F7864" s="7" t="s">
        <v>32</v>
      </c>
      <c r="G7864" s="7">
        <v>3911545</v>
      </c>
      <c r="H7864" s="7">
        <v>2419</v>
      </c>
      <c r="I7864" s="7">
        <v>50</v>
      </c>
      <c r="J7864" s="7">
        <v>0</v>
      </c>
      <c r="K7864" s="7" t="s">
        <v>18</v>
      </c>
      <c r="L7864" s="8">
        <v>39987.315405092595</v>
      </c>
      <c r="M7864" s="9" t="s">
        <v>19</v>
      </c>
      <c r="N7864" s="9" t="s">
        <v>20</v>
      </c>
      <c r="O7864" s="6" t="str">
        <f>HYPERLINK("https://pbs.twimg.com/profile_images/962471262747529216/Uo8lOkRJ_normal.jpg","View")</f>
        <v>View</v>
      </c>
      <c r="P7864" s="7"/>
    </row>
    <row r="7865" spans="1:16">
      <c r="A7865" s="3">
        <v>44034.953263888892</v>
      </c>
      <c r="B7865" s="4" t="str">
        <f>HYPERLINK("https://twitter.com/petrogustavo","@petrogustavo")</f>
        <v>@petrogustavo</v>
      </c>
      <c r="C7865" s="5" t="s">
        <v>16</v>
      </c>
      <c r="D7865" s="5" t="s">
        <v>7588</v>
      </c>
      <c r="E7865" s="6" t="str">
        <f>HYPERLINK("https://twitter.com/petrogustavo/status/1285988654821892099","1285988654821892099")</f>
        <v>1285988654821892099</v>
      </c>
      <c r="F7865" s="7" t="s">
        <v>32</v>
      </c>
      <c r="G7865" s="7">
        <v>3911545</v>
      </c>
      <c r="H7865" s="7">
        <v>2419</v>
      </c>
      <c r="I7865" s="7">
        <v>167</v>
      </c>
      <c r="J7865" s="7">
        <v>0</v>
      </c>
      <c r="K7865" s="7" t="s">
        <v>18</v>
      </c>
      <c r="L7865" s="8">
        <v>39987.315405092595</v>
      </c>
      <c r="M7865" s="9" t="s">
        <v>19</v>
      </c>
      <c r="N7865" s="9" t="s">
        <v>20</v>
      </c>
      <c r="O7865" s="6" t="str">
        <f>HYPERLINK("https://pbs.twimg.com/profile_images/962471262747529216/Uo8lOkRJ_normal.jpg","View")</f>
        <v>View</v>
      </c>
      <c r="P7865" s="7"/>
    </row>
    <row r="7866" spans="1:16">
      <c r="A7866" s="3">
        <v>44034.983495370368</v>
      </c>
      <c r="B7866" s="4" t="str">
        <f>HYPERLINK("https://twitter.com/petrogustavo","@petrogustavo")</f>
        <v>@petrogustavo</v>
      </c>
      <c r="C7866" s="5" t="s">
        <v>16</v>
      </c>
      <c r="D7866" s="5" t="s">
        <v>7589</v>
      </c>
      <c r="E7866" s="6" t="str">
        <f>HYPERLINK("https://twitter.com/petrogustavo/status/1285999612059320321","1285999612059320321")</f>
        <v>1285999612059320321</v>
      </c>
      <c r="F7866" s="7" t="s">
        <v>32</v>
      </c>
      <c r="G7866" s="7">
        <v>3911553</v>
      </c>
      <c r="H7866" s="7">
        <v>2419</v>
      </c>
      <c r="I7866" s="7">
        <v>27</v>
      </c>
      <c r="J7866" s="7">
        <v>0</v>
      </c>
      <c r="K7866" s="7" t="s">
        <v>18</v>
      </c>
      <c r="L7866" s="8">
        <v>39987.315405092595</v>
      </c>
      <c r="M7866" s="9" t="s">
        <v>19</v>
      </c>
      <c r="N7866" s="9" t="s">
        <v>20</v>
      </c>
      <c r="O7866" s="6" t="str">
        <f>HYPERLINK("https://pbs.twimg.com/profile_images/962471262747529216/Uo8lOkRJ_normal.jpg","View")</f>
        <v>View</v>
      </c>
      <c r="P7866" s="7"/>
    </row>
    <row r="7867" spans="1:16">
      <c r="A7867" s="3">
        <v>44035.107731481483</v>
      </c>
      <c r="B7867" s="4" t="str">
        <f>HYPERLINK("https://twitter.com/petrogustavo","@petrogustavo")</f>
        <v>@petrogustavo</v>
      </c>
      <c r="C7867" s="5" t="s">
        <v>16</v>
      </c>
      <c r="D7867" s="5" t="s">
        <v>7590</v>
      </c>
      <c r="E7867" s="6" t="str">
        <f>HYPERLINK("https://twitter.com/petrogustavo/status/1286044632334426114","1286044632334426114")</f>
        <v>1286044632334426114</v>
      </c>
      <c r="F7867" s="7" t="s">
        <v>17</v>
      </c>
      <c r="G7867" s="7">
        <v>3911674</v>
      </c>
      <c r="H7867" s="7">
        <v>2419</v>
      </c>
      <c r="I7867" s="7">
        <v>124</v>
      </c>
      <c r="J7867" s="7">
        <v>334</v>
      </c>
      <c r="K7867" s="7" t="s">
        <v>18</v>
      </c>
      <c r="L7867" s="8">
        <v>39987.315405092595</v>
      </c>
      <c r="M7867" s="9" t="s">
        <v>19</v>
      </c>
      <c r="N7867" s="9" t="s">
        <v>20</v>
      </c>
      <c r="O7867" s="6" t="str">
        <f>HYPERLINK("https://pbs.twimg.com/profile_images/962471262747529216/Uo8lOkRJ_normal.jpg","View")</f>
        <v>View</v>
      </c>
      <c r="P7867" s="7"/>
    </row>
    <row r="7868" spans="1:16">
      <c r="A7868" s="3">
        <v>44035.108900462961</v>
      </c>
      <c r="B7868" s="4" t="str">
        <f>HYPERLINK("https://twitter.com/petrogustavo","@petrogustavo")</f>
        <v>@petrogustavo</v>
      </c>
      <c r="C7868" s="5" t="s">
        <v>16</v>
      </c>
      <c r="D7868" s="5" t="s">
        <v>7591</v>
      </c>
      <c r="E7868" s="6" t="str">
        <f>HYPERLINK("https://twitter.com/petrogustavo/status/1286045057234210816","1286045057234210816")</f>
        <v>1286045057234210816</v>
      </c>
      <c r="F7868" s="7" t="s">
        <v>17</v>
      </c>
      <c r="G7868" s="7">
        <v>3911674</v>
      </c>
      <c r="H7868" s="7">
        <v>2419</v>
      </c>
      <c r="I7868" s="7">
        <v>33</v>
      </c>
      <c r="J7868" s="7">
        <v>0</v>
      </c>
      <c r="K7868" s="7" t="s">
        <v>18</v>
      </c>
      <c r="L7868" s="8">
        <v>39987.315405092595</v>
      </c>
      <c r="M7868" s="9" t="s">
        <v>19</v>
      </c>
      <c r="N7868" s="9" t="s">
        <v>20</v>
      </c>
      <c r="O7868" s="6" t="str">
        <f>HYPERLINK("https://pbs.twimg.com/profile_images/962471262747529216/Uo8lOkRJ_normal.jpg","View")</f>
        <v>View</v>
      </c>
      <c r="P7868" s="7"/>
    </row>
    <row r="7869" spans="1:16">
      <c r="A7869" s="3">
        <v>44035.108958333338</v>
      </c>
      <c r="B7869" s="4" t="str">
        <f>HYPERLINK("https://twitter.com/petrogustavo","@petrogustavo")</f>
        <v>@petrogustavo</v>
      </c>
      <c r="C7869" s="5" t="s">
        <v>16</v>
      </c>
      <c r="D7869" s="5" t="s">
        <v>7592</v>
      </c>
      <c r="E7869" s="6" t="str">
        <f>HYPERLINK("https://twitter.com/petrogustavo/status/1286045077534658560","1286045077534658560")</f>
        <v>1286045077534658560</v>
      </c>
      <c r="F7869" s="7" t="s">
        <v>17</v>
      </c>
      <c r="G7869" s="7">
        <v>3911674</v>
      </c>
      <c r="H7869" s="7">
        <v>2419</v>
      </c>
      <c r="I7869" s="7">
        <v>124</v>
      </c>
      <c r="J7869" s="7">
        <v>0</v>
      </c>
      <c r="K7869" s="7" t="s">
        <v>18</v>
      </c>
      <c r="L7869" s="8">
        <v>39987.315405092595</v>
      </c>
      <c r="M7869" s="9" t="s">
        <v>19</v>
      </c>
      <c r="N7869" s="9" t="s">
        <v>20</v>
      </c>
      <c r="O7869" s="6" t="str">
        <f>HYPERLINK("https://pbs.twimg.com/profile_images/962471262747529216/Uo8lOkRJ_normal.jpg","View")</f>
        <v>View</v>
      </c>
      <c r="P7869" s="7"/>
    </row>
    <row r="7870" spans="1:16">
      <c r="A7870" s="3">
        <v>44035.251238425924</v>
      </c>
      <c r="B7870" s="4" t="str">
        <f>HYPERLINK("https://twitter.com/petrogustavo","@petrogustavo")</f>
        <v>@petrogustavo</v>
      </c>
      <c r="C7870" s="5" t="s">
        <v>16</v>
      </c>
      <c r="D7870" s="5" t="s">
        <v>7593</v>
      </c>
      <c r="E7870" s="6" t="str">
        <f>HYPERLINK("https://twitter.com/petrogustavo/status/1286096637660737537","1286096637660737537")</f>
        <v>1286096637660737537</v>
      </c>
      <c r="F7870" s="7" t="s">
        <v>17</v>
      </c>
      <c r="G7870" s="7">
        <v>3911782</v>
      </c>
      <c r="H7870" s="7">
        <v>2419</v>
      </c>
      <c r="I7870" s="7">
        <v>107</v>
      </c>
      <c r="J7870" s="7">
        <v>0</v>
      </c>
      <c r="K7870" s="7" t="s">
        <v>18</v>
      </c>
      <c r="L7870" s="8">
        <v>39987.315405092595</v>
      </c>
      <c r="M7870" s="9" t="s">
        <v>19</v>
      </c>
      <c r="N7870" s="9" t="s">
        <v>20</v>
      </c>
      <c r="O7870" s="6" t="str">
        <f>HYPERLINK("https://pbs.twimg.com/profile_images/962471262747529216/Uo8lOkRJ_normal.jpg","View")</f>
        <v>View</v>
      </c>
      <c r="P7870" s="7"/>
    </row>
    <row r="7871" spans="1:16">
      <c r="A7871" s="3">
        <v>44035.252685185187</v>
      </c>
      <c r="B7871" s="4" t="str">
        <f>HYPERLINK("https://twitter.com/petrogustavo","@petrogustavo")</f>
        <v>@petrogustavo</v>
      </c>
      <c r="C7871" s="5" t="s">
        <v>16</v>
      </c>
      <c r="D7871" s="5" t="s">
        <v>7594</v>
      </c>
      <c r="E7871" s="6" t="str">
        <f>HYPERLINK("https://twitter.com/petrogustavo/status/1286097159616704512","1286097159616704512")</f>
        <v>1286097159616704512</v>
      </c>
      <c r="F7871" s="7" t="s">
        <v>17</v>
      </c>
      <c r="G7871" s="7">
        <v>3911782</v>
      </c>
      <c r="H7871" s="7">
        <v>2419</v>
      </c>
      <c r="I7871" s="7">
        <v>181</v>
      </c>
      <c r="J7871" s="7">
        <v>0</v>
      </c>
      <c r="K7871" s="7" t="s">
        <v>18</v>
      </c>
      <c r="L7871" s="8">
        <v>39987.315405092595</v>
      </c>
      <c r="M7871" s="9" t="s">
        <v>19</v>
      </c>
      <c r="N7871" s="9" t="s">
        <v>20</v>
      </c>
      <c r="O7871" s="6" t="str">
        <f>HYPERLINK("https://pbs.twimg.com/profile_images/962471262747529216/Uo8lOkRJ_normal.jpg","View")</f>
        <v>View</v>
      </c>
      <c r="P7871" s="7"/>
    </row>
    <row r="7872" spans="1:16">
      <c r="A7872" s="3">
        <v>44035.252881944441</v>
      </c>
      <c r="B7872" s="4" t="str">
        <f>HYPERLINK("https://twitter.com/petrogustavo","@petrogustavo")</f>
        <v>@petrogustavo</v>
      </c>
      <c r="C7872" s="5" t="s">
        <v>16</v>
      </c>
      <c r="D7872" s="5" t="s">
        <v>7595</v>
      </c>
      <c r="E7872" s="6" t="str">
        <f>HYPERLINK("https://twitter.com/petrogustavo/status/1286097232589139970","1286097232589139970")</f>
        <v>1286097232589139970</v>
      </c>
      <c r="F7872" s="7" t="s">
        <v>17</v>
      </c>
      <c r="G7872" s="7">
        <v>3911782</v>
      </c>
      <c r="H7872" s="7">
        <v>2419</v>
      </c>
      <c r="I7872" s="7">
        <v>438</v>
      </c>
      <c r="J7872" s="7">
        <v>0</v>
      </c>
      <c r="K7872" s="7" t="s">
        <v>18</v>
      </c>
      <c r="L7872" s="8">
        <v>39987.315405092595</v>
      </c>
      <c r="M7872" s="9" t="s">
        <v>19</v>
      </c>
      <c r="N7872" s="9" t="s">
        <v>20</v>
      </c>
      <c r="O7872" s="6" t="str">
        <f>HYPERLINK("https://pbs.twimg.com/profile_images/962471262747529216/Uo8lOkRJ_normal.jpg","View")</f>
        <v>View</v>
      </c>
      <c r="P7872" s="7"/>
    </row>
    <row r="7873" spans="1:16">
      <c r="A7873" s="3">
        <v>44035.253657407404</v>
      </c>
      <c r="B7873" s="4" t="str">
        <f>HYPERLINK("https://twitter.com/petrogustavo","@petrogustavo")</f>
        <v>@petrogustavo</v>
      </c>
      <c r="C7873" s="5" t="s">
        <v>16</v>
      </c>
      <c r="D7873" s="5" t="s">
        <v>7596</v>
      </c>
      <c r="E7873" s="6" t="str">
        <f>HYPERLINK("https://twitter.com/petrogustavo/status/1286097515012673537","1286097515012673537")</f>
        <v>1286097515012673537</v>
      </c>
      <c r="F7873" s="7" t="s">
        <v>17</v>
      </c>
      <c r="G7873" s="7">
        <v>3911782</v>
      </c>
      <c r="H7873" s="7">
        <v>2419</v>
      </c>
      <c r="I7873" s="7">
        <v>104</v>
      </c>
      <c r="J7873" s="7">
        <v>213</v>
      </c>
      <c r="K7873" s="7" t="s">
        <v>18</v>
      </c>
      <c r="L7873" s="8">
        <v>39987.315405092595</v>
      </c>
      <c r="M7873" s="9" t="s">
        <v>19</v>
      </c>
      <c r="N7873" s="9" t="s">
        <v>20</v>
      </c>
      <c r="O7873" s="6" t="str">
        <f>HYPERLINK("https://pbs.twimg.com/profile_images/962471262747529216/Uo8lOkRJ_normal.jpg","View")</f>
        <v>View</v>
      </c>
      <c r="P7873" s="7"/>
    </row>
    <row r="7874" spans="1:16">
      <c r="A7874" s="3">
        <v>44035.256574074076</v>
      </c>
      <c r="B7874" s="4" t="str">
        <f>HYPERLINK("https://twitter.com/petrogustavo","@petrogustavo")</f>
        <v>@petrogustavo</v>
      </c>
      <c r="C7874" s="5" t="s">
        <v>16</v>
      </c>
      <c r="D7874" s="5" t="s">
        <v>7597</v>
      </c>
      <c r="E7874" s="6" t="str">
        <f>HYPERLINK("https://twitter.com/petrogustavo/status/1286098572740526082","1286098572740526082")</f>
        <v>1286098572740526082</v>
      </c>
      <c r="F7874" s="7" t="s">
        <v>17</v>
      </c>
      <c r="G7874" s="7">
        <v>3911782</v>
      </c>
      <c r="H7874" s="7">
        <v>2419</v>
      </c>
      <c r="I7874" s="7">
        <v>81</v>
      </c>
      <c r="J7874" s="7">
        <v>366</v>
      </c>
      <c r="K7874" s="7" t="s">
        <v>18</v>
      </c>
      <c r="L7874" s="8">
        <v>39987.315405092595</v>
      </c>
      <c r="M7874" s="9" t="s">
        <v>19</v>
      </c>
      <c r="N7874" s="9" t="s">
        <v>20</v>
      </c>
      <c r="O7874" s="6" t="str">
        <f>HYPERLINK("https://pbs.twimg.com/profile_images/962471262747529216/Uo8lOkRJ_normal.jpg","View")</f>
        <v>View</v>
      </c>
      <c r="P7874" s="7"/>
    </row>
    <row r="7875" spans="1:16">
      <c r="A7875" s="3">
        <v>44035.742210648154</v>
      </c>
      <c r="B7875" s="4" t="str">
        <f>HYPERLINK("https://twitter.com/petrogustavo","@petrogustavo")</f>
        <v>@petrogustavo</v>
      </c>
      <c r="C7875" s="5" t="s">
        <v>16</v>
      </c>
      <c r="D7875" s="5" t="s">
        <v>7598</v>
      </c>
      <c r="E7875" s="6" t="str">
        <f>HYPERLINK("https://twitter.com/petrogustavo/status/1286274557746253824","1286274557746253824")</f>
        <v>1286274557746253824</v>
      </c>
      <c r="F7875" s="7" t="s">
        <v>17</v>
      </c>
      <c r="G7875" s="7">
        <v>3911952</v>
      </c>
      <c r="H7875" s="7">
        <v>2419</v>
      </c>
      <c r="I7875" s="7">
        <v>126</v>
      </c>
      <c r="J7875" s="7">
        <v>0</v>
      </c>
      <c r="K7875" s="7" t="s">
        <v>18</v>
      </c>
      <c r="L7875" s="8">
        <v>39987.315405092595</v>
      </c>
      <c r="M7875" s="9" t="s">
        <v>19</v>
      </c>
      <c r="N7875" s="9" t="s">
        <v>20</v>
      </c>
      <c r="O7875" s="6" t="str">
        <f>HYPERLINK("https://pbs.twimg.com/profile_images/962471262747529216/Uo8lOkRJ_normal.jpg","View")</f>
        <v>View</v>
      </c>
      <c r="P7875" s="7"/>
    </row>
    <row r="7876" spans="1:16">
      <c r="A7876" s="3">
        <v>44035.742245370369</v>
      </c>
      <c r="B7876" s="4" t="str">
        <f>HYPERLINK("https://twitter.com/petrogustavo","@petrogustavo")</f>
        <v>@petrogustavo</v>
      </c>
      <c r="C7876" s="5" t="s">
        <v>16</v>
      </c>
      <c r="D7876" s="5" t="s">
        <v>7599</v>
      </c>
      <c r="E7876" s="6" t="str">
        <f>HYPERLINK("https://twitter.com/petrogustavo/status/1286274571792941056","1286274571792941056")</f>
        <v>1286274571792941056</v>
      </c>
      <c r="F7876" s="7" t="s">
        <v>17</v>
      </c>
      <c r="G7876" s="7">
        <v>3911952</v>
      </c>
      <c r="H7876" s="7">
        <v>2419</v>
      </c>
      <c r="I7876" s="7">
        <v>106</v>
      </c>
      <c r="J7876" s="7">
        <v>0</v>
      </c>
      <c r="K7876" s="7" t="s">
        <v>18</v>
      </c>
      <c r="L7876" s="8">
        <v>39987.315405092595</v>
      </c>
      <c r="M7876" s="9" t="s">
        <v>19</v>
      </c>
      <c r="N7876" s="9" t="s">
        <v>20</v>
      </c>
      <c r="O7876" s="6" t="str">
        <f>HYPERLINK("https://pbs.twimg.com/profile_images/962471262747529216/Uo8lOkRJ_normal.jpg","View")</f>
        <v>View</v>
      </c>
      <c r="P7876" s="7"/>
    </row>
    <row r="7877" spans="1:16">
      <c r="A7877" s="3">
        <v>44035.742349537039</v>
      </c>
      <c r="B7877" s="4" t="str">
        <f>HYPERLINK("https://twitter.com/petrogustavo","@petrogustavo")</f>
        <v>@petrogustavo</v>
      </c>
      <c r="C7877" s="5" t="s">
        <v>16</v>
      </c>
      <c r="D7877" s="5" t="s">
        <v>7600</v>
      </c>
      <c r="E7877" s="6" t="str">
        <f>HYPERLINK("https://twitter.com/petrogustavo/status/1286274610208677891","1286274610208677891")</f>
        <v>1286274610208677891</v>
      </c>
      <c r="F7877" s="7" t="s">
        <v>17</v>
      </c>
      <c r="G7877" s="7">
        <v>3911952</v>
      </c>
      <c r="H7877" s="7">
        <v>2419</v>
      </c>
      <c r="I7877" s="7">
        <v>431</v>
      </c>
      <c r="J7877" s="7">
        <v>0</v>
      </c>
      <c r="K7877" s="7" t="s">
        <v>18</v>
      </c>
      <c r="L7877" s="8">
        <v>39987.315405092595</v>
      </c>
      <c r="M7877" s="9" t="s">
        <v>19</v>
      </c>
      <c r="N7877" s="9" t="s">
        <v>20</v>
      </c>
      <c r="O7877" s="6" t="str">
        <f>HYPERLINK("https://pbs.twimg.com/profile_images/962471262747529216/Uo8lOkRJ_normal.jpg","View")</f>
        <v>View</v>
      </c>
      <c r="P7877" s="7"/>
    </row>
    <row r="7878" spans="1:16">
      <c r="A7878" s="3">
        <v>44035.742511574077</v>
      </c>
      <c r="B7878" s="4" t="str">
        <f>HYPERLINK("https://twitter.com/petrogustavo","@petrogustavo")</f>
        <v>@petrogustavo</v>
      </c>
      <c r="C7878" s="5" t="s">
        <v>16</v>
      </c>
      <c r="D7878" s="5" t="s">
        <v>7601</v>
      </c>
      <c r="E7878" s="6" t="str">
        <f>HYPERLINK("https://twitter.com/petrogustavo/status/1286274668622741505","1286274668622741505")</f>
        <v>1286274668622741505</v>
      </c>
      <c r="F7878" s="7" t="s">
        <v>17</v>
      </c>
      <c r="G7878" s="7">
        <v>3911952</v>
      </c>
      <c r="H7878" s="7">
        <v>2419</v>
      </c>
      <c r="I7878" s="7">
        <v>65</v>
      </c>
      <c r="J7878" s="7">
        <v>0</v>
      </c>
      <c r="K7878" s="7" t="s">
        <v>18</v>
      </c>
      <c r="L7878" s="8">
        <v>39987.315405092595</v>
      </c>
      <c r="M7878" s="9" t="s">
        <v>19</v>
      </c>
      <c r="N7878" s="9" t="s">
        <v>20</v>
      </c>
      <c r="O7878" s="6" t="str">
        <f>HYPERLINK("https://pbs.twimg.com/profile_images/962471262747529216/Uo8lOkRJ_normal.jpg","View")</f>
        <v>View</v>
      </c>
      <c r="P7878" s="7"/>
    </row>
    <row r="7879" spans="1:16">
      <c r="A7879" s="3">
        <v>44035.746134259258</v>
      </c>
      <c r="B7879" s="4" t="str">
        <f>HYPERLINK("https://twitter.com/petrogustavo","@petrogustavo")</f>
        <v>@petrogustavo</v>
      </c>
      <c r="C7879" s="5" t="s">
        <v>16</v>
      </c>
      <c r="D7879" s="5" t="s">
        <v>7602</v>
      </c>
      <c r="E7879" s="6" t="str">
        <f>HYPERLINK("https://twitter.com/petrogustavo/status/1286275980257099776","1286275980257099776")</f>
        <v>1286275980257099776</v>
      </c>
      <c r="F7879" s="7" t="s">
        <v>17</v>
      </c>
      <c r="G7879" s="7">
        <v>3911952</v>
      </c>
      <c r="H7879" s="7">
        <v>2419</v>
      </c>
      <c r="I7879" s="7">
        <v>109</v>
      </c>
      <c r="J7879" s="7">
        <v>190</v>
      </c>
      <c r="K7879" s="7" t="s">
        <v>18</v>
      </c>
      <c r="L7879" s="8">
        <v>39987.315405092595</v>
      </c>
      <c r="M7879" s="9" t="s">
        <v>19</v>
      </c>
      <c r="N7879" s="9" t="s">
        <v>20</v>
      </c>
      <c r="O7879" s="6" t="str">
        <f>HYPERLINK("https://pbs.twimg.com/profile_images/962471262747529216/Uo8lOkRJ_normal.jpg","View")</f>
        <v>View</v>
      </c>
      <c r="P7879" s="7"/>
    </row>
    <row r="7880" spans="1:16">
      <c r="A7880" s="3">
        <v>44035.746874999997</v>
      </c>
      <c r="B7880" s="4" t="str">
        <f>HYPERLINK("https://twitter.com/petrogustavo","@petrogustavo")</f>
        <v>@petrogustavo</v>
      </c>
      <c r="C7880" s="5" t="s">
        <v>16</v>
      </c>
      <c r="D7880" s="5" t="s">
        <v>7603</v>
      </c>
      <c r="E7880" s="6" t="str">
        <f>HYPERLINK("https://twitter.com/petrogustavo/status/1286276248411549696","1286276248411549696")</f>
        <v>1286276248411549696</v>
      </c>
      <c r="F7880" s="7" t="s">
        <v>17</v>
      </c>
      <c r="G7880" s="7">
        <v>3911952</v>
      </c>
      <c r="H7880" s="7">
        <v>2419</v>
      </c>
      <c r="I7880" s="7">
        <v>42</v>
      </c>
      <c r="J7880" s="7">
        <v>0</v>
      </c>
      <c r="K7880" s="7" t="s">
        <v>18</v>
      </c>
      <c r="L7880" s="8">
        <v>39987.315405092595</v>
      </c>
      <c r="M7880" s="9" t="s">
        <v>19</v>
      </c>
      <c r="N7880" s="9" t="s">
        <v>20</v>
      </c>
      <c r="O7880" s="6" t="str">
        <f>HYPERLINK("https://pbs.twimg.com/profile_images/962471262747529216/Uo8lOkRJ_normal.jpg","View")</f>
        <v>View</v>
      </c>
      <c r="P7880" s="7"/>
    </row>
    <row r="7881" spans="1:16">
      <c r="A7881" s="3">
        <v>44035.747210648144</v>
      </c>
      <c r="B7881" s="4" t="str">
        <f>HYPERLINK("https://twitter.com/petrogustavo","@petrogustavo")</f>
        <v>@petrogustavo</v>
      </c>
      <c r="C7881" s="5" t="s">
        <v>16</v>
      </c>
      <c r="D7881" s="5" t="s">
        <v>7604</v>
      </c>
      <c r="E7881" s="6" t="str">
        <f>HYPERLINK("https://twitter.com/petrogustavo/status/1286276369584992257","1286276369584992257")</f>
        <v>1286276369584992257</v>
      </c>
      <c r="F7881" s="7" t="s">
        <v>17</v>
      </c>
      <c r="G7881" s="7">
        <v>3911952</v>
      </c>
      <c r="H7881" s="7">
        <v>2419</v>
      </c>
      <c r="I7881" s="7">
        <v>36</v>
      </c>
      <c r="J7881" s="7">
        <v>0</v>
      </c>
      <c r="K7881" s="7" t="s">
        <v>18</v>
      </c>
      <c r="L7881" s="8">
        <v>39987.315405092595</v>
      </c>
      <c r="M7881" s="9" t="s">
        <v>19</v>
      </c>
      <c r="N7881" s="9" t="s">
        <v>20</v>
      </c>
      <c r="O7881" s="6" t="str">
        <f>HYPERLINK("https://pbs.twimg.com/profile_images/962471262747529216/Uo8lOkRJ_normal.jpg","View")</f>
        <v>View</v>
      </c>
      <c r="P7881" s="7"/>
    </row>
    <row r="7882" spans="1:16">
      <c r="A7882" s="3">
        <v>44035.7497337963</v>
      </c>
      <c r="B7882" s="4" t="str">
        <f>HYPERLINK("https://twitter.com/petrogustavo","@petrogustavo")</f>
        <v>@petrogustavo</v>
      </c>
      <c r="C7882" s="5" t="s">
        <v>16</v>
      </c>
      <c r="D7882" s="5" t="s">
        <v>7605</v>
      </c>
      <c r="E7882" s="6" t="str">
        <f>HYPERLINK("https://twitter.com/petrogustavo/status/1286277285209870336","1286277285209870336")</f>
        <v>1286277285209870336</v>
      </c>
      <c r="F7882" s="7" t="s">
        <v>17</v>
      </c>
      <c r="G7882" s="7">
        <v>3911952</v>
      </c>
      <c r="H7882" s="7">
        <v>2419</v>
      </c>
      <c r="I7882" s="7">
        <v>128</v>
      </c>
      <c r="J7882" s="7">
        <v>0</v>
      </c>
      <c r="K7882" s="7" t="s">
        <v>18</v>
      </c>
      <c r="L7882" s="8">
        <v>39987.315405092595</v>
      </c>
      <c r="M7882" s="9" t="s">
        <v>19</v>
      </c>
      <c r="N7882" s="9" t="s">
        <v>20</v>
      </c>
      <c r="O7882" s="6" t="str">
        <f>HYPERLINK("https://pbs.twimg.com/profile_images/962471262747529216/Uo8lOkRJ_normal.jpg","View")</f>
        <v>View</v>
      </c>
      <c r="P7882" s="7"/>
    </row>
    <row r="7883" spans="1:16">
      <c r="A7883" s="3">
        <v>44035.753067129626</v>
      </c>
      <c r="B7883" s="4" t="str">
        <f>HYPERLINK("https://twitter.com/petrogustavo","@petrogustavo")</f>
        <v>@petrogustavo</v>
      </c>
      <c r="C7883" s="5" t="s">
        <v>16</v>
      </c>
      <c r="D7883" s="5" t="s">
        <v>7606</v>
      </c>
      <c r="E7883" s="6" t="str">
        <f>HYPERLINK("https://twitter.com/petrogustavo/status/1286278495539286020","1286278495539286020")</f>
        <v>1286278495539286020</v>
      </c>
      <c r="F7883" s="7" t="s">
        <v>17</v>
      </c>
      <c r="G7883" s="7">
        <v>3911952</v>
      </c>
      <c r="H7883" s="7">
        <v>2419</v>
      </c>
      <c r="I7883" s="7">
        <v>57</v>
      </c>
      <c r="J7883" s="7">
        <v>111</v>
      </c>
      <c r="K7883" s="7" t="s">
        <v>18</v>
      </c>
      <c r="L7883" s="8">
        <v>39987.315405092595</v>
      </c>
      <c r="M7883" s="9" t="s">
        <v>19</v>
      </c>
      <c r="N7883" s="9" t="s">
        <v>20</v>
      </c>
      <c r="O7883" s="6" t="str">
        <f>HYPERLINK("https://pbs.twimg.com/profile_images/962471262747529216/Uo8lOkRJ_normal.jpg","View")</f>
        <v>View</v>
      </c>
      <c r="P7883" s="7"/>
    </row>
    <row r="7884" spans="1:16">
      <c r="A7884" s="3">
        <v>44035.754756944443</v>
      </c>
      <c r="B7884" s="4" t="str">
        <f>HYPERLINK("https://twitter.com/petrogustavo","@petrogustavo")</f>
        <v>@petrogustavo</v>
      </c>
      <c r="C7884" s="5" t="s">
        <v>16</v>
      </c>
      <c r="D7884" s="5" t="s">
        <v>7607</v>
      </c>
      <c r="E7884" s="6" t="str">
        <f>HYPERLINK("https://twitter.com/petrogustavo/status/1286279107353903104","1286279107353903104")</f>
        <v>1286279107353903104</v>
      </c>
      <c r="F7884" s="7" t="s">
        <v>17</v>
      </c>
      <c r="G7884" s="7">
        <v>3911952</v>
      </c>
      <c r="H7884" s="7">
        <v>2419</v>
      </c>
      <c r="I7884" s="7">
        <v>67</v>
      </c>
      <c r="J7884" s="7">
        <v>111</v>
      </c>
      <c r="K7884" s="7" t="s">
        <v>18</v>
      </c>
      <c r="L7884" s="8">
        <v>39987.315405092595</v>
      </c>
      <c r="M7884" s="9" t="s">
        <v>19</v>
      </c>
      <c r="N7884" s="9" t="s">
        <v>20</v>
      </c>
      <c r="O7884" s="6" t="str">
        <f>HYPERLINK("https://pbs.twimg.com/profile_images/962471262747529216/Uo8lOkRJ_normal.jpg","View")</f>
        <v>View</v>
      </c>
      <c r="P7884" s="7"/>
    </row>
    <row r="7885" spans="1:16">
      <c r="A7885" s="3">
        <v>44035.756504629629</v>
      </c>
      <c r="B7885" s="4" t="str">
        <f>HYPERLINK("https://twitter.com/petrogustavo","@petrogustavo")</f>
        <v>@petrogustavo</v>
      </c>
      <c r="C7885" s="5" t="s">
        <v>16</v>
      </c>
      <c r="D7885" s="5" t="s">
        <v>7608</v>
      </c>
      <c r="E7885" s="6" t="str">
        <f>HYPERLINK("https://twitter.com/petrogustavo/status/1286279740152860676","1286279740152860676")</f>
        <v>1286279740152860676</v>
      </c>
      <c r="F7885" s="7" t="s">
        <v>17</v>
      </c>
      <c r="G7885" s="7">
        <v>3911952</v>
      </c>
      <c r="H7885" s="7">
        <v>2419</v>
      </c>
      <c r="I7885" s="7">
        <v>73</v>
      </c>
      <c r="J7885" s="7">
        <v>133</v>
      </c>
      <c r="K7885" s="7" t="s">
        <v>18</v>
      </c>
      <c r="L7885" s="8">
        <v>39987.315405092595</v>
      </c>
      <c r="M7885" s="9" t="s">
        <v>19</v>
      </c>
      <c r="N7885" s="9" t="s">
        <v>20</v>
      </c>
      <c r="O7885" s="6" t="str">
        <f>HYPERLINK("https://pbs.twimg.com/profile_images/962471262747529216/Uo8lOkRJ_normal.jpg","View")</f>
        <v>View</v>
      </c>
      <c r="P7885" s="7"/>
    </row>
    <row r="7886" spans="1:16">
      <c r="A7886" s="3">
        <v>44035.758125</v>
      </c>
      <c r="B7886" s="4" t="str">
        <f>HYPERLINK("https://twitter.com/petrogustavo","@petrogustavo")</f>
        <v>@petrogustavo</v>
      </c>
      <c r="C7886" s="5" t="s">
        <v>16</v>
      </c>
      <c r="D7886" s="5" t="s">
        <v>7609</v>
      </c>
      <c r="E7886" s="6" t="str">
        <f>HYPERLINK("https://twitter.com/petrogustavo/status/1286280327586091009","1286280327586091009")</f>
        <v>1286280327586091009</v>
      </c>
      <c r="F7886" s="7" t="s">
        <v>17</v>
      </c>
      <c r="G7886" s="7">
        <v>3911952</v>
      </c>
      <c r="H7886" s="7">
        <v>2419</v>
      </c>
      <c r="I7886" s="7">
        <v>23</v>
      </c>
      <c r="J7886" s="7">
        <v>54</v>
      </c>
      <c r="K7886" s="7" t="s">
        <v>18</v>
      </c>
      <c r="L7886" s="8">
        <v>39987.315405092595</v>
      </c>
      <c r="M7886" s="9" t="s">
        <v>19</v>
      </c>
      <c r="N7886" s="9" t="s">
        <v>20</v>
      </c>
      <c r="O7886" s="6" t="str">
        <f>HYPERLINK("https://pbs.twimg.com/profile_images/962471262747529216/Uo8lOkRJ_normal.jpg","View")</f>
        <v>View</v>
      </c>
      <c r="P7886" s="7"/>
    </row>
    <row r="7887" spans="1:16">
      <c r="A7887" s="3">
        <v>44035.767685185187</v>
      </c>
      <c r="B7887" s="4" t="str">
        <f>HYPERLINK("https://twitter.com/petrogustavo","@petrogustavo")</f>
        <v>@petrogustavo</v>
      </c>
      <c r="C7887" s="5" t="s">
        <v>16</v>
      </c>
      <c r="D7887" s="5" t="s">
        <v>7610</v>
      </c>
      <c r="E7887" s="6" t="str">
        <f>HYPERLINK("https://twitter.com/petrogustavo/status/1286283790890012674","1286283790890012674")</f>
        <v>1286283790890012674</v>
      </c>
      <c r="F7887" s="7" t="s">
        <v>17</v>
      </c>
      <c r="G7887" s="7">
        <v>3911960</v>
      </c>
      <c r="H7887" s="7">
        <v>2419</v>
      </c>
      <c r="I7887" s="7">
        <v>3970</v>
      </c>
      <c r="J7887" s="7">
        <v>0</v>
      </c>
      <c r="K7887" s="7" t="s">
        <v>18</v>
      </c>
      <c r="L7887" s="8">
        <v>39987.315405092595</v>
      </c>
      <c r="M7887" s="9" t="s">
        <v>19</v>
      </c>
      <c r="N7887" s="9" t="s">
        <v>20</v>
      </c>
      <c r="O7887" s="6" t="str">
        <f>HYPERLINK("https://pbs.twimg.com/profile_images/962471262747529216/Uo8lOkRJ_normal.jpg","View")</f>
        <v>View</v>
      </c>
      <c r="P7887" s="7"/>
    </row>
    <row r="7888" spans="1:16">
      <c r="A7888" s="3">
        <v>44035.769699074073</v>
      </c>
      <c r="B7888" s="4" t="str">
        <f>HYPERLINK("https://twitter.com/petrogustavo","@petrogustavo")</f>
        <v>@petrogustavo</v>
      </c>
      <c r="C7888" s="5" t="s">
        <v>16</v>
      </c>
      <c r="D7888" s="5" t="s">
        <v>7611</v>
      </c>
      <c r="E7888" s="6" t="str">
        <f>HYPERLINK("https://twitter.com/petrogustavo/status/1286284522842198021","1286284522842198021")</f>
        <v>1286284522842198021</v>
      </c>
      <c r="F7888" s="7" t="s">
        <v>17</v>
      </c>
      <c r="G7888" s="7">
        <v>3911960</v>
      </c>
      <c r="H7888" s="7">
        <v>2419</v>
      </c>
      <c r="I7888" s="7">
        <v>215</v>
      </c>
      <c r="J7888" s="7">
        <v>0</v>
      </c>
      <c r="K7888" s="7" t="s">
        <v>18</v>
      </c>
      <c r="L7888" s="8">
        <v>39987.315405092595</v>
      </c>
      <c r="M7888" s="9" t="s">
        <v>19</v>
      </c>
      <c r="N7888" s="9" t="s">
        <v>20</v>
      </c>
      <c r="O7888" s="6" t="str">
        <f>HYPERLINK("https://pbs.twimg.com/profile_images/962471262747529216/Uo8lOkRJ_normal.jpg","View")</f>
        <v>View</v>
      </c>
      <c r="P7888" s="7"/>
    </row>
    <row r="7889" spans="1:16">
      <c r="A7889" s="3">
        <v>44035.769988425927</v>
      </c>
      <c r="B7889" s="4" t="str">
        <f>HYPERLINK("https://twitter.com/petrogustavo","@petrogustavo")</f>
        <v>@petrogustavo</v>
      </c>
      <c r="C7889" s="5" t="s">
        <v>16</v>
      </c>
      <c r="D7889" s="5" t="s">
        <v>7612</v>
      </c>
      <c r="E7889" s="6" t="str">
        <f>HYPERLINK("https://twitter.com/petrogustavo/status/1286284625464131590","1286284625464131590")</f>
        <v>1286284625464131590</v>
      </c>
      <c r="F7889" s="7" t="s">
        <v>17</v>
      </c>
      <c r="G7889" s="7">
        <v>3911960</v>
      </c>
      <c r="H7889" s="7">
        <v>2419</v>
      </c>
      <c r="I7889" s="7">
        <v>16</v>
      </c>
      <c r="J7889" s="7">
        <v>0</v>
      </c>
      <c r="K7889" s="7" t="s">
        <v>18</v>
      </c>
      <c r="L7889" s="8">
        <v>39987.315405092595</v>
      </c>
      <c r="M7889" s="9" t="s">
        <v>19</v>
      </c>
      <c r="N7889" s="9" t="s">
        <v>20</v>
      </c>
      <c r="O7889" s="6" t="str">
        <f>HYPERLINK("https://pbs.twimg.com/profile_images/962471262747529216/Uo8lOkRJ_normal.jpg","View")</f>
        <v>View</v>
      </c>
      <c r="P7889" s="7"/>
    </row>
    <row r="7890" spans="1:16">
      <c r="A7890" s="3">
        <v>44035.770138888889</v>
      </c>
      <c r="B7890" s="4" t="str">
        <f>HYPERLINK("https://twitter.com/petrogustavo","@petrogustavo")</f>
        <v>@petrogustavo</v>
      </c>
      <c r="C7890" s="5" t="s">
        <v>16</v>
      </c>
      <c r="D7890" s="5" t="s">
        <v>7613</v>
      </c>
      <c r="E7890" s="6" t="str">
        <f>HYPERLINK("https://twitter.com/petrogustavo/status/1286284679209984000","1286284679209984000")</f>
        <v>1286284679209984000</v>
      </c>
      <c r="F7890" s="7" t="s">
        <v>17</v>
      </c>
      <c r="G7890" s="7">
        <v>3911960</v>
      </c>
      <c r="H7890" s="7">
        <v>2419</v>
      </c>
      <c r="I7890" s="7">
        <v>119</v>
      </c>
      <c r="J7890" s="7">
        <v>0</v>
      </c>
      <c r="K7890" s="7" t="s">
        <v>18</v>
      </c>
      <c r="L7890" s="8">
        <v>39987.315405092595</v>
      </c>
      <c r="M7890" s="9" t="s">
        <v>19</v>
      </c>
      <c r="N7890" s="9" t="s">
        <v>20</v>
      </c>
      <c r="O7890" s="6" t="str">
        <f>HYPERLINK("https://pbs.twimg.com/profile_images/962471262747529216/Uo8lOkRJ_normal.jpg","View")</f>
        <v>View</v>
      </c>
      <c r="P7890" s="7"/>
    </row>
    <row r="7891" spans="1:16">
      <c r="A7891" s="3">
        <v>44035.772395833337</v>
      </c>
      <c r="B7891" s="4" t="str">
        <f>HYPERLINK("https://twitter.com/petrogustavo","@petrogustavo")</f>
        <v>@petrogustavo</v>
      </c>
      <c r="C7891" s="5" t="s">
        <v>16</v>
      </c>
      <c r="D7891" s="5" t="s">
        <v>7614</v>
      </c>
      <c r="E7891" s="6" t="str">
        <f>HYPERLINK("https://twitter.com/petrogustavo/status/1286285499372646400","1286285499372646400")</f>
        <v>1286285499372646400</v>
      </c>
      <c r="F7891" s="7" t="s">
        <v>17</v>
      </c>
      <c r="G7891" s="7">
        <v>3911960</v>
      </c>
      <c r="H7891" s="7">
        <v>2419</v>
      </c>
      <c r="I7891" s="7">
        <v>62</v>
      </c>
      <c r="J7891" s="7">
        <v>128</v>
      </c>
      <c r="K7891" s="7" t="s">
        <v>18</v>
      </c>
      <c r="L7891" s="8">
        <v>39987.315405092595</v>
      </c>
      <c r="M7891" s="9" t="s">
        <v>19</v>
      </c>
      <c r="N7891" s="9" t="s">
        <v>20</v>
      </c>
      <c r="O7891" s="6" t="str">
        <f>HYPERLINK("https://pbs.twimg.com/profile_images/962471262747529216/Uo8lOkRJ_normal.jpg","View")</f>
        <v>View</v>
      </c>
      <c r="P7891" s="7"/>
    </row>
    <row r="7892" spans="1:16">
      <c r="A7892" s="3">
        <v>44035.774027777778</v>
      </c>
      <c r="B7892" s="4" t="str">
        <f>HYPERLINK("https://twitter.com/petrogustavo","@petrogustavo")</f>
        <v>@petrogustavo</v>
      </c>
      <c r="C7892" s="5" t="s">
        <v>16</v>
      </c>
      <c r="D7892" s="5" t="s">
        <v>7615</v>
      </c>
      <c r="E7892" s="6" t="str">
        <f>HYPERLINK("https://twitter.com/petrogustavo/status/1286286090689806337","1286286090689806337")</f>
        <v>1286286090689806337</v>
      </c>
      <c r="F7892" s="7" t="s">
        <v>17</v>
      </c>
      <c r="G7892" s="7">
        <v>3911960</v>
      </c>
      <c r="H7892" s="7">
        <v>2419</v>
      </c>
      <c r="I7892" s="7">
        <v>82</v>
      </c>
      <c r="J7892" s="7">
        <v>228</v>
      </c>
      <c r="K7892" s="7" t="s">
        <v>18</v>
      </c>
      <c r="L7892" s="8">
        <v>39987.315405092595</v>
      </c>
      <c r="M7892" s="9" t="s">
        <v>19</v>
      </c>
      <c r="N7892" s="9" t="s">
        <v>20</v>
      </c>
      <c r="O7892" s="6" t="str">
        <f>HYPERLINK("https://pbs.twimg.com/profile_images/962471262747529216/Uo8lOkRJ_normal.jpg","View")</f>
        <v>View</v>
      </c>
      <c r="P7892" s="7"/>
    </row>
    <row r="7893" spans="1:16">
      <c r="A7893" s="3">
        <v>44035.782442129625</v>
      </c>
      <c r="B7893" s="4" t="str">
        <f>HYPERLINK("https://twitter.com/petrogustavo","@petrogustavo")</f>
        <v>@petrogustavo</v>
      </c>
      <c r="C7893" s="5" t="s">
        <v>16</v>
      </c>
      <c r="D7893" s="5" t="s">
        <v>7616</v>
      </c>
      <c r="E7893" s="6" t="str">
        <f>HYPERLINK("https://twitter.com/petrogustavo/status/1286289138975637511","1286289138975637511")</f>
        <v>1286289138975637511</v>
      </c>
      <c r="F7893" s="7" t="s">
        <v>17</v>
      </c>
      <c r="G7893" s="7">
        <v>3911960</v>
      </c>
      <c r="H7893" s="7">
        <v>2419</v>
      </c>
      <c r="I7893" s="7">
        <v>8</v>
      </c>
      <c r="J7893" s="7">
        <v>17</v>
      </c>
      <c r="K7893" s="7" t="s">
        <v>18</v>
      </c>
      <c r="L7893" s="8">
        <v>39987.315405092595</v>
      </c>
      <c r="M7893" s="9" t="s">
        <v>19</v>
      </c>
      <c r="N7893" s="9" t="s">
        <v>20</v>
      </c>
      <c r="O7893" s="6" t="str">
        <f>HYPERLINK("https://pbs.twimg.com/profile_images/962471262747529216/Uo8lOkRJ_normal.jpg","View")</f>
        <v>View</v>
      </c>
      <c r="P7893" s="7"/>
    </row>
    <row r="7894" spans="1:16">
      <c r="A7894" s="3">
        <v>44035.790277777778</v>
      </c>
      <c r="B7894" s="4" t="str">
        <f>HYPERLINK("https://twitter.com/petrogustavo","@petrogustavo")</f>
        <v>@petrogustavo</v>
      </c>
      <c r="C7894" s="5" t="s">
        <v>16</v>
      </c>
      <c r="D7894" s="5" t="s">
        <v>7617</v>
      </c>
      <c r="E7894" s="6" t="str">
        <f>HYPERLINK("https://twitter.com/petrogustavo/status/1286291977680695296","1286291977680695296")</f>
        <v>1286291977680695296</v>
      </c>
      <c r="F7894" s="7" t="s">
        <v>17</v>
      </c>
      <c r="G7894" s="7">
        <v>3911977</v>
      </c>
      <c r="H7894" s="7">
        <v>2419</v>
      </c>
      <c r="I7894" s="7">
        <v>38</v>
      </c>
      <c r="J7894" s="7">
        <v>0</v>
      </c>
      <c r="K7894" s="7" t="s">
        <v>18</v>
      </c>
      <c r="L7894" s="8">
        <v>39987.315405092595</v>
      </c>
      <c r="M7894" s="9" t="s">
        <v>19</v>
      </c>
      <c r="N7894" s="9" t="s">
        <v>20</v>
      </c>
      <c r="O7894" s="6" t="str">
        <f>HYPERLINK("https://pbs.twimg.com/profile_images/962471262747529216/Uo8lOkRJ_normal.jpg","View")</f>
        <v>View</v>
      </c>
      <c r="P7894" s="7"/>
    </row>
    <row r="7895" spans="1:16">
      <c r="A7895" s="3">
        <v>44035.804386574076</v>
      </c>
      <c r="B7895" s="4" t="str">
        <f>HYPERLINK("https://twitter.com/petrogustavo","@petrogustavo")</f>
        <v>@petrogustavo</v>
      </c>
      <c r="C7895" s="5" t="s">
        <v>16</v>
      </c>
      <c r="D7895" s="5" t="s">
        <v>7618</v>
      </c>
      <c r="E7895" s="6" t="str">
        <f>HYPERLINK("https://twitter.com/petrogustavo/status/1286297092797890560","1286297092797890560")</f>
        <v>1286297092797890560</v>
      </c>
      <c r="F7895" s="7" t="s">
        <v>32</v>
      </c>
      <c r="G7895" s="7">
        <v>3911999</v>
      </c>
      <c r="H7895" s="7">
        <v>2419</v>
      </c>
      <c r="I7895" s="7">
        <v>153</v>
      </c>
      <c r="J7895" s="7">
        <v>0</v>
      </c>
      <c r="K7895" s="7" t="s">
        <v>18</v>
      </c>
      <c r="L7895" s="8">
        <v>39987.315405092595</v>
      </c>
      <c r="M7895" s="9" t="s">
        <v>19</v>
      </c>
      <c r="N7895" s="9" t="s">
        <v>20</v>
      </c>
      <c r="O7895" s="6" t="str">
        <f>HYPERLINK("https://pbs.twimg.com/profile_images/962471262747529216/Uo8lOkRJ_normal.jpg","View")</f>
        <v>View</v>
      </c>
      <c r="P7895" s="7"/>
    </row>
    <row r="7896" spans="1:16">
      <c r="A7896" s="3">
        <v>44035.810787037037</v>
      </c>
      <c r="B7896" s="4" t="str">
        <f>HYPERLINK("https://twitter.com/petrogustavo","@petrogustavo")</f>
        <v>@petrogustavo</v>
      </c>
      <c r="C7896" s="5" t="s">
        <v>16</v>
      </c>
      <c r="D7896" s="5" t="s">
        <v>7619</v>
      </c>
      <c r="E7896" s="6" t="str">
        <f>HYPERLINK("https://twitter.com/petrogustavo/status/1286299411174350850","1286299411174350850")</f>
        <v>1286299411174350850</v>
      </c>
      <c r="F7896" s="7" t="s">
        <v>32</v>
      </c>
      <c r="G7896" s="7">
        <v>3911999</v>
      </c>
      <c r="H7896" s="7">
        <v>2419</v>
      </c>
      <c r="I7896" s="7">
        <v>202</v>
      </c>
      <c r="J7896" s="7">
        <v>499</v>
      </c>
      <c r="K7896" s="7" t="s">
        <v>18</v>
      </c>
      <c r="L7896" s="8">
        <v>39987.315405092595</v>
      </c>
      <c r="M7896" s="9" t="s">
        <v>19</v>
      </c>
      <c r="N7896" s="9" t="s">
        <v>20</v>
      </c>
      <c r="O7896" s="6" t="str">
        <f>HYPERLINK("https://pbs.twimg.com/profile_images/962471262747529216/Uo8lOkRJ_normal.jpg","View")</f>
        <v>View</v>
      </c>
      <c r="P7896" s="7"/>
    </row>
    <row r="7897" spans="1:16">
      <c r="A7897" s="3">
        <v>44036.010879629626</v>
      </c>
      <c r="B7897" s="4" t="str">
        <f>HYPERLINK("https://twitter.com/petrogustavo","@petrogustavo")</f>
        <v>@petrogustavo</v>
      </c>
      <c r="C7897" s="5" t="s">
        <v>16</v>
      </c>
      <c r="D7897" s="5" t="s">
        <v>7620</v>
      </c>
      <c r="E7897" s="6" t="str">
        <f>HYPERLINK("https://twitter.com/petrogustavo/status/1286371920200568832","1286371920200568832")</f>
        <v>1286371920200568832</v>
      </c>
      <c r="F7897" s="7" t="s">
        <v>17</v>
      </c>
      <c r="G7897" s="7">
        <v>3912163</v>
      </c>
      <c r="H7897" s="7">
        <v>2419</v>
      </c>
      <c r="I7897" s="7">
        <v>44</v>
      </c>
      <c r="J7897" s="7">
        <v>113</v>
      </c>
      <c r="K7897" s="7" t="s">
        <v>18</v>
      </c>
      <c r="L7897" s="8">
        <v>39987.315405092595</v>
      </c>
      <c r="M7897" s="9" t="s">
        <v>19</v>
      </c>
      <c r="N7897" s="9" t="s">
        <v>20</v>
      </c>
      <c r="O7897" s="6" t="str">
        <f>HYPERLINK("https://pbs.twimg.com/profile_images/962471262747529216/Uo8lOkRJ_normal.jpg","View")</f>
        <v>View</v>
      </c>
      <c r="P7897" s="7"/>
    </row>
    <row r="7898" spans="1:16">
      <c r="A7898" s="3">
        <v>44036.016932870371</v>
      </c>
      <c r="B7898" s="4" t="str">
        <f>HYPERLINK("https://twitter.com/petrogustavo","@petrogustavo")</f>
        <v>@petrogustavo</v>
      </c>
      <c r="C7898" s="5" t="s">
        <v>16</v>
      </c>
      <c r="D7898" s="5" t="s">
        <v>7621</v>
      </c>
      <c r="E7898" s="6" t="str">
        <f>HYPERLINK("https://twitter.com/petrogustavo/status/1286374116702986240","1286374116702986240")</f>
        <v>1286374116702986240</v>
      </c>
      <c r="F7898" s="7" t="s">
        <v>17</v>
      </c>
      <c r="G7898" s="7">
        <v>3912179</v>
      </c>
      <c r="H7898" s="7">
        <v>2419</v>
      </c>
      <c r="I7898" s="7">
        <v>122</v>
      </c>
      <c r="J7898" s="7">
        <v>0</v>
      </c>
      <c r="K7898" s="7" t="s">
        <v>18</v>
      </c>
      <c r="L7898" s="8">
        <v>39987.315405092595</v>
      </c>
      <c r="M7898" s="9" t="s">
        <v>19</v>
      </c>
      <c r="N7898" s="9" t="s">
        <v>20</v>
      </c>
      <c r="O7898" s="6" t="str">
        <f>HYPERLINK("https://pbs.twimg.com/profile_images/962471262747529216/Uo8lOkRJ_normal.jpg","View")</f>
        <v>View</v>
      </c>
      <c r="P7898" s="7"/>
    </row>
    <row r="7899" spans="1:16">
      <c r="A7899" s="3">
        <v>44036.020243055551</v>
      </c>
      <c r="B7899" s="4" t="str">
        <f>HYPERLINK("https://twitter.com/petrogustavo","@petrogustavo")</f>
        <v>@petrogustavo</v>
      </c>
      <c r="C7899" s="5" t="s">
        <v>16</v>
      </c>
      <c r="D7899" s="5" t="s">
        <v>7622</v>
      </c>
      <c r="E7899" s="6" t="str">
        <f>HYPERLINK("https://twitter.com/petrogustavo/status/1286375316219461634","1286375316219461634")</f>
        <v>1286375316219461634</v>
      </c>
      <c r="F7899" s="7" t="s">
        <v>17</v>
      </c>
      <c r="G7899" s="7">
        <v>3912179</v>
      </c>
      <c r="H7899" s="7">
        <v>2419</v>
      </c>
      <c r="I7899" s="7">
        <v>321</v>
      </c>
      <c r="J7899" s="7">
        <v>680</v>
      </c>
      <c r="K7899" s="7" t="s">
        <v>18</v>
      </c>
      <c r="L7899" s="8">
        <v>39987.315405092595</v>
      </c>
      <c r="M7899" s="9" t="s">
        <v>19</v>
      </c>
      <c r="N7899" s="9" t="s">
        <v>20</v>
      </c>
      <c r="O7899" s="6" t="str">
        <f>HYPERLINK("https://pbs.twimg.com/profile_images/962471262747529216/Uo8lOkRJ_normal.jpg","View")</f>
        <v>View</v>
      </c>
      <c r="P7899" s="7"/>
    </row>
    <row r="7900" spans="1:16">
      <c r="A7900" s="3">
        <v>44036.028923611113</v>
      </c>
      <c r="B7900" s="4" t="str">
        <f>HYPERLINK("https://twitter.com/petrogustavo","@petrogustavo")</f>
        <v>@petrogustavo</v>
      </c>
      <c r="C7900" s="5" t="s">
        <v>16</v>
      </c>
      <c r="D7900" s="5" t="s">
        <v>7623</v>
      </c>
      <c r="E7900" s="6" t="str">
        <f>HYPERLINK("https://twitter.com/petrogustavo/status/1286378460215218176","1286378460215218176")</f>
        <v>1286378460215218176</v>
      </c>
      <c r="F7900" s="7" t="s">
        <v>17</v>
      </c>
      <c r="G7900" s="7">
        <v>3912179</v>
      </c>
      <c r="H7900" s="7">
        <v>2419</v>
      </c>
      <c r="I7900" s="7">
        <v>65</v>
      </c>
      <c r="J7900" s="7">
        <v>0</v>
      </c>
      <c r="K7900" s="7" t="s">
        <v>18</v>
      </c>
      <c r="L7900" s="8">
        <v>39987.315405092595</v>
      </c>
      <c r="M7900" s="9" t="s">
        <v>19</v>
      </c>
      <c r="N7900" s="9" t="s">
        <v>20</v>
      </c>
      <c r="O7900" s="6" t="str">
        <f>HYPERLINK("https://pbs.twimg.com/profile_images/962471262747529216/Uo8lOkRJ_normal.jpg","View")</f>
        <v>View</v>
      </c>
      <c r="P7900" s="7"/>
    </row>
    <row r="7901" spans="1:16">
      <c r="A7901" s="3">
        <v>44036.029629629629</v>
      </c>
      <c r="B7901" s="4" t="str">
        <f>HYPERLINK("https://twitter.com/petrogustavo","@petrogustavo")</f>
        <v>@petrogustavo</v>
      </c>
      <c r="C7901" s="5" t="s">
        <v>16</v>
      </c>
      <c r="D7901" s="5" t="s">
        <v>7624</v>
      </c>
      <c r="E7901" s="6" t="str">
        <f>HYPERLINK("https://twitter.com/petrogustavo/status/1286378716361261057","1286378716361261057")</f>
        <v>1286378716361261057</v>
      </c>
      <c r="F7901" s="7" t="s">
        <v>17</v>
      </c>
      <c r="G7901" s="7">
        <v>3912179</v>
      </c>
      <c r="H7901" s="7">
        <v>2419</v>
      </c>
      <c r="I7901" s="7">
        <v>321</v>
      </c>
      <c r="J7901" s="7">
        <v>0</v>
      </c>
      <c r="K7901" s="7" t="s">
        <v>18</v>
      </c>
      <c r="L7901" s="8">
        <v>39987.315405092595</v>
      </c>
      <c r="M7901" s="9" t="s">
        <v>19</v>
      </c>
      <c r="N7901" s="9" t="s">
        <v>20</v>
      </c>
      <c r="O7901" s="6" t="str">
        <f>HYPERLINK("https://pbs.twimg.com/profile_images/962471262747529216/Uo8lOkRJ_normal.jpg","View")</f>
        <v>View</v>
      </c>
      <c r="P7901" s="7"/>
    </row>
    <row r="7902" spans="1:16">
      <c r="A7902" s="3">
        <v>44036.082500000004</v>
      </c>
      <c r="B7902" s="4" t="str">
        <f>HYPERLINK("https://twitter.com/petrogustavo","@petrogustavo")</f>
        <v>@petrogustavo</v>
      </c>
      <c r="C7902" s="5" t="s">
        <v>16</v>
      </c>
      <c r="D7902" s="5" t="s">
        <v>7625</v>
      </c>
      <c r="E7902" s="6" t="str">
        <f>HYPERLINK("https://twitter.com/petrogustavo/status/1286397875795177473","1286397875795177473")</f>
        <v>1286397875795177473</v>
      </c>
      <c r="F7902" s="7" t="s">
        <v>32</v>
      </c>
      <c r="G7902" s="7">
        <v>3912249</v>
      </c>
      <c r="H7902" s="7">
        <v>2420</v>
      </c>
      <c r="I7902" s="7">
        <v>924</v>
      </c>
      <c r="J7902" s="7">
        <v>1787</v>
      </c>
      <c r="K7902" s="7" t="s">
        <v>18</v>
      </c>
      <c r="L7902" s="8">
        <v>39987.315405092595</v>
      </c>
      <c r="M7902" s="9" t="s">
        <v>19</v>
      </c>
      <c r="N7902" s="9" t="s">
        <v>20</v>
      </c>
      <c r="O7902" s="6" t="str">
        <f>HYPERLINK("https://pbs.twimg.com/profile_images/962471262747529216/Uo8lOkRJ_normal.jpg","View")</f>
        <v>View</v>
      </c>
      <c r="P7902" s="7"/>
    </row>
    <row r="7903" spans="1:16">
      <c r="A7903" s="3">
        <v>44036.105196759258</v>
      </c>
      <c r="B7903" s="4" t="str">
        <f>HYPERLINK("https://twitter.com/petrogustavo","@petrogustavo")</f>
        <v>@petrogustavo</v>
      </c>
      <c r="C7903" s="5" t="s">
        <v>16</v>
      </c>
      <c r="D7903" s="5" t="s">
        <v>7626</v>
      </c>
      <c r="E7903" s="6" t="str">
        <f>HYPERLINK("https://twitter.com/petrogustavo/status/1286406102062686215","1286406102062686215")</f>
        <v>1286406102062686215</v>
      </c>
      <c r="F7903" s="7" t="s">
        <v>32</v>
      </c>
      <c r="G7903" s="7">
        <v>3912274</v>
      </c>
      <c r="H7903" s="7">
        <v>2420</v>
      </c>
      <c r="I7903" s="7">
        <v>140</v>
      </c>
      <c r="J7903" s="7">
        <v>0</v>
      </c>
      <c r="K7903" s="7" t="s">
        <v>18</v>
      </c>
      <c r="L7903" s="8">
        <v>39987.315405092595</v>
      </c>
      <c r="M7903" s="9" t="s">
        <v>19</v>
      </c>
      <c r="N7903" s="9" t="s">
        <v>20</v>
      </c>
      <c r="O7903" s="6" t="str">
        <f>HYPERLINK("https://pbs.twimg.com/profile_images/962471262747529216/Uo8lOkRJ_normal.jpg","View")</f>
        <v>View</v>
      </c>
      <c r="P7903" s="7"/>
    </row>
    <row r="7904" spans="1:16">
      <c r="A7904" s="3">
        <v>44036.195983796293</v>
      </c>
      <c r="B7904" s="4" t="str">
        <f>HYPERLINK("https://twitter.com/petrogustavo","@petrogustavo")</f>
        <v>@petrogustavo</v>
      </c>
      <c r="C7904" s="5" t="s">
        <v>16</v>
      </c>
      <c r="D7904" s="5" t="s">
        <v>7627</v>
      </c>
      <c r="E7904" s="6" t="str">
        <f>HYPERLINK("https://twitter.com/petrogustavo/status/1286439000396517376","1286439000396517376")</f>
        <v>1286439000396517376</v>
      </c>
      <c r="F7904" s="7" t="s">
        <v>32</v>
      </c>
      <c r="G7904" s="7">
        <v>3912369</v>
      </c>
      <c r="H7904" s="7">
        <v>2420</v>
      </c>
      <c r="I7904" s="7">
        <v>116</v>
      </c>
      <c r="J7904" s="7">
        <v>230</v>
      </c>
      <c r="K7904" s="7" t="s">
        <v>18</v>
      </c>
      <c r="L7904" s="8">
        <v>39987.315405092595</v>
      </c>
      <c r="M7904" s="9" t="s">
        <v>19</v>
      </c>
      <c r="N7904" s="9" t="s">
        <v>20</v>
      </c>
      <c r="O7904" s="6" t="str">
        <f>HYPERLINK("https://pbs.twimg.com/profile_images/962471262747529216/Uo8lOkRJ_normal.jpg","View")</f>
        <v>View</v>
      </c>
      <c r="P7904" s="7"/>
    </row>
    <row r="7905" spans="1:16">
      <c r="A7905" s="3">
        <v>44036.26798611111</v>
      </c>
      <c r="B7905" s="4" t="str">
        <f>HYPERLINK("https://twitter.com/petrogustavo","@petrogustavo")</f>
        <v>@petrogustavo</v>
      </c>
      <c r="C7905" s="5" t="s">
        <v>16</v>
      </c>
      <c r="D7905" s="5" t="s">
        <v>7628</v>
      </c>
      <c r="E7905" s="6" t="str">
        <f>HYPERLINK("https://twitter.com/petrogustavo/status/1286465094327640064","1286465094327640064")</f>
        <v>1286465094327640064</v>
      </c>
      <c r="F7905" s="7" t="s">
        <v>32</v>
      </c>
      <c r="G7905" s="7">
        <v>3912470</v>
      </c>
      <c r="H7905" s="7">
        <v>2420</v>
      </c>
      <c r="I7905" s="7">
        <v>136</v>
      </c>
      <c r="J7905" s="7">
        <v>0</v>
      </c>
      <c r="K7905" s="7" t="s">
        <v>18</v>
      </c>
      <c r="L7905" s="8">
        <v>39987.315405092595</v>
      </c>
      <c r="M7905" s="9" t="s">
        <v>19</v>
      </c>
      <c r="N7905" s="9" t="s">
        <v>20</v>
      </c>
      <c r="O7905" s="6" t="str">
        <f>HYPERLINK("https://pbs.twimg.com/profile_images/962471262747529216/Uo8lOkRJ_normal.jpg","View")</f>
        <v>View</v>
      </c>
      <c r="P7905" s="7"/>
    </row>
    <row r="7906" spans="1:16">
      <c r="A7906" s="3">
        <v>44036.278136574074</v>
      </c>
      <c r="B7906" s="4" t="str">
        <f>HYPERLINK("https://twitter.com/petrogustavo","@petrogustavo")</f>
        <v>@petrogustavo</v>
      </c>
      <c r="C7906" s="5" t="s">
        <v>16</v>
      </c>
      <c r="D7906" s="5" t="s">
        <v>7629</v>
      </c>
      <c r="E7906" s="6" t="str">
        <f>HYPERLINK("https://twitter.com/petrogustavo/status/1286468772795232257","1286468772795232257")</f>
        <v>1286468772795232257</v>
      </c>
      <c r="F7906" s="7" t="s">
        <v>17</v>
      </c>
      <c r="G7906" s="7">
        <v>3912470</v>
      </c>
      <c r="H7906" s="7">
        <v>2420</v>
      </c>
      <c r="I7906" s="7">
        <v>5144</v>
      </c>
      <c r="J7906" s="7">
        <v>0</v>
      </c>
      <c r="K7906" s="7" t="s">
        <v>18</v>
      </c>
      <c r="L7906" s="8">
        <v>39987.315405092595</v>
      </c>
      <c r="M7906" s="9" t="s">
        <v>19</v>
      </c>
      <c r="N7906" s="9" t="s">
        <v>20</v>
      </c>
      <c r="O7906" s="6" t="str">
        <f>HYPERLINK("https://pbs.twimg.com/profile_images/962471262747529216/Uo8lOkRJ_normal.jpg","View")</f>
        <v>View</v>
      </c>
      <c r="P7906" s="7"/>
    </row>
    <row r="7907" spans="1:16">
      <c r="A7907" s="3">
        <v>44036.279537037037</v>
      </c>
      <c r="B7907" s="4" t="str">
        <f>HYPERLINK("https://twitter.com/petrogustavo","@petrogustavo")</f>
        <v>@petrogustavo</v>
      </c>
      <c r="C7907" s="5" t="s">
        <v>16</v>
      </c>
      <c r="D7907" s="5" t="s">
        <v>7630</v>
      </c>
      <c r="E7907" s="6" t="str">
        <f>HYPERLINK("https://twitter.com/petrogustavo/status/1286469282256257024","1286469282256257024")</f>
        <v>1286469282256257024</v>
      </c>
      <c r="F7907" s="7" t="s">
        <v>17</v>
      </c>
      <c r="G7907" s="7">
        <v>3912470</v>
      </c>
      <c r="H7907" s="7">
        <v>2420</v>
      </c>
      <c r="I7907" s="7">
        <v>61</v>
      </c>
      <c r="J7907" s="7">
        <v>121</v>
      </c>
      <c r="K7907" s="7" t="s">
        <v>18</v>
      </c>
      <c r="L7907" s="8">
        <v>39987.315405092595</v>
      </c>
      <c r="M7907" s="9" t="s">
        <v>19</v>
      </c>
      <c r="N7907" s="9" t="s">
        <v>20</v>
      </c>
      <c r="O7907" s="6" t="str">
        <f>HYPERLINK("https://pbs.twimg.com/profile_images/962471262747529216/Uo8lOkRJ_normal.jpg","View")</f>
        <v>View</v>
      </c>
      <c r="P7907" s="7"/>
    </row>
    <row r="7908" spans="1:16">
      <c r="A7908" s="3">
        <v>44036.295983796299</v>
      </c>
      <c r="B7908" s="4" t="str">
        <f>HYPERLINK("https://twitter.com/petrogustavo","@petrogustavo")</f>
        <v>@petrogustavo</v>
      </c>
      <c r="C7908" s="5" t="s">
        <v>16</v>
      </c>
      <c r="D7908" s="5" t="s">
        <v>7631</v>
      </c>
      <c r="E7908" s="6" t="str">
        <f>HYPERLINK("https://twitter.com/petrogustavo/status/1286475241938653184","1286475241938653184")</f>
        <v>1286475241938653184</v>
      </c>
      <c r="F7908" s="7" t="s">
        <v>17</v>
      </c>
      <c r="G7908" s="7">
        <v>3912488</v>
      </c>
      <c r="H7908" s="7">
        <v>2420</v>
      </c>
      <c r="I7908" s="7">
        <v>224</v>
      </c>
      <c r="J7908" s="7">
        <v>0</v>
      </c>
      <c r="K7908" s="7" t="s">
        <v>18</v>
      </c>
      <c r="L7908" s="8">
        <v>39987.315405092595</v>
      </c>
      <c r="M7908" s="9" t="s">
        <v>19</v>
      </c>
      <c r="N7908" s="9" t="s">
        <v>20</v>
      </c>
      <c r="O7908" s="6" t="str">
        <f>HYPERLINK("https://pbs.twimg.com/profile_images/962471262747529216/Uo8lOkRJ_normal.jpg","View")</f>
        <v>View</v>
      </c>
      <c r="P7908" s="7"/>
    </row>
    <row r="7909" spans="1:16">
      <c r="A7909" s="3">
        <v>44036.298472222217</v>
      </c>
      <c r="B7909" s="4" t="str">
        <f>HYPERLINK("https://twitter.com/petrogustavo","@petrogustavo")</f>
        <v>@petrogustavo</v>
      </c>
      <c r="C7909" s="5" t="s">
        <v>16</v>
      </c>
      <c r="D7909" s="5" t="s">
        <v>7632</v>
      </c>
      <c r="E7909" s="6" t="str">
        <f>HYPERLINK("https://twitter.com/petrogustavo/status/1286476143823118343","1286476143823118343")</f>
        <v>1286476143823118343</v>
      </c>
      <c r="F7909" s="7" t="s">
        <v>17</v>
      </c>
      <c r="G7909" s="7">
        <v>3912488</v>
      </c>
      <c r="H7909" s="7">
        <v>2420</v>
      </c>
      <c r="I7909" s="7">
        <v>118</v>
      </c>
      <c r="J7909" s="7">
        <v>274</v>
      </c>
      <c r="K7909" s="7" t="s">
        <v>18</v>
      </c>
      <c r="L7909" s="8">
        <v>39987.315405092595</v>
      </c>
      <c r="M7909" s="9" t="s">
        <v>19</v>
      </c>
      <c r="N7909" s="9" t="s">
        <v>20</v>
      </c>
      <c r="O7909" s="6" t="str">
        <f>HYPERLINK("https://pbs.twimg.com/profile_images/962471262747529216/Uo8lOkRJ_normal.jpg","View")</f>
        <v>View</v>
      </c>
      <c r="P7909" s="7"/>
    </row>
    <row r="7910" spans="1:16">
      <c r="A7910" s="3">
        <v>44036.300347222219</v>
      </c>
      <c r="B7910" s="4" t="str">
        <f>HYPERLINK("https://twitter.com/petrogustavo","@petrogustavo")</f>
        <v>@petrogustavo</v>
      </c>
      <c r="C7910" s="5" t="s">
        <v>16</v>
      </c>
      <c r="D7910" s="5" t="s">
        <v>7633</v>
      </c>
      <c r="E7910" s="6" t="str">
        <f>HYPERLINK("https://twitter.com/petrogustavo/status/1286476823224815621","1286476823224815621")</f>
        <v>1286476823224815621</v>
      </c>
      <c r="F7910" s="7" t="s">
        <v>17</v>
      </c>
      <c r="G7910" s="7">
        <v>3912488</v>
      </c>
      <c r="H7910" s="7">
        <v>2420</v>
      </c>
      <c r="I7910" s="7">
        <v>343</v>
      </c>
      <c r="J7910" s="7">
        <v>0</v>
      </c>
      <c r="K7910" s="7" t="s">
        <v>18</v>
      </c>
      <c r="L7910" s="8">
        <v>39987.315405092595</v>
      </c>
      <c r="M7910" s="9" t="s">
        <v>19</v>
      </c>
      <c r="N7910" s="9" t="s">
        <v>20</v>
      </c>
      <c r="O7910" s="6" t="str">
        <f>HYPERLINK("https://pbs.twimg.com/profile_images/962471262747529216/Uo8lOkRJ_normal.jpg","View")</f>
        <v>View</v>
      </c>
      <c r="P7910" s="7"/>
    </row>
    <row r="7911" spans="1:16">
      <c r="A7911" s="3">
        <v>44036.306180555555</v>
      </c>
      <c r="B7911" s="4" t="str">
        <f>HYPERLINK("https://twitter.com/petrogustavo","@petrogustavo")</f>
        <v>@petrogustavo</v>
      </c>
      <c r="C7911" s="5" t="s">
        <v>16</v>
      </c>
      <c r="D7911" s="5" t="s">
        <v>7634</v>
      </c>
      <c r="E7911" s="6" t="str">
        <f>HYPERLINK("https://twitter.com/petrogustavo/status/1286478935585415169","1286478935585415169")</f>
        <v>1286478935585415169</v>
      </c>
      <c r="F7911" s="7" t="s">
        <v>17</v>
      </c>
      <c r="G7911" s="7">
        <v>3912518</v>
      </c>
      <c r="H7911" s="7">
        <v>2420</v>
      </c>
      <c r="I7911" s="7">
        <v>238</v>
      </c>
      <c r="J7911" s="7">
        <v>635</v>
      </c>
      <c r="K7911" s="7" t="s">
        <v>18</v>
      </c>
      <c r="L7911" s="8">
        <v>39987.315405092595</v>
      </c>
      <c r="M7911" s="9" t="s">
        <v>19</v>
      </c>
      <c r="N7911" s="9" t="s">
        <v>20</v>
      </c>
      <c r="O7911" s="6" t="str">
        <f>HYPERLINK("https://pbs.twimg.com/profile_images/962471262747529216/Uo8lOkRJ_normal.jpg","View")</f>
        <v>View</v>
      </c>
      <c r="P7911" s="7"/>
    </row>
    <row r="7912" spans="1:16">
      <c r="A7912" s="3">
        <v>44036.311550925922</v>
      </c>
      <c r="B7912" s="4" t="str">
        <f>HYPERLINK("https://twitter.com/petrogustavo","@petrogustavo")</f>
        <v>@petrogustavo</v>
      </c>
      <c r="C7912" s="5" t="s">
        <v>16</v>
      </c>
      <c r="D7912" s="5" t="s">
        <v>7635</v>
      </c>
      <c r="E7912" s="6" t="str">
        <f>HYPERLINK("https://twitter.com/petrogustavo/status/1286480881880834049","1286480881880834049")</f>
        <v>1286480881880834049</v>
      </c>
      <c r="F7912" s="7" t="s">
        <v>17</v>
      </c>
      <c r="G7912" s="7">
        <v>3912518</v>
      </c>
      <c r="H7912" s="7">
        <v>2420</v>
      </c>
      <c r="I7912" s="7">
        <v>167</v>
      </c>
      <c r="J7912" s="7">
        <v>0</v>
      </c>
      <c r="K7912" s="7" t="s">
        <v>18</v>
      </c>
      <c r="L7912" s="8">
        <v>39987.315405092595</v>
      </c>
      <c r="M7912" s="9" t="s">
        <v>19</v>
      </c>
      <c r="N7912" s="9" t="s">
        <v>20</v>
      </c>
      <c r="O7912" s="6" t="str">
        <f>HYPERLINK("https://pbs.twimg.com/profile_images/962471262747529216/Uo8lOkRJ_normal.jpg","View")</f>
        <v>View</v>
      </c>
      <c r="P7912" s="7"/>
    </row>
    <row r="7913" spans="1:16">
      <c r="A7913" s="3">
        <v>44036.314768518518</v>
      </c>
      <c r="B7913" s="4" t="str">
        <f>HYPERLINK("https://twitter.com/petrogustavo","@petrogustavo")</f>
        <v>@petrogustavo</v>
      </c>
      <c r="C7913" s="5" t="s">
        <v>16</v>
      </c>
      <c r="D7913" s="5" t="s">
        <v>7636</v>
      </c>
      <c r="E7913" s="6" t="str">
        <f>HYPERLINK("https://twitter.com/petrogustavo/status/1286482046890569729","1286482046890569729")</f>
        <v>1286482046890569729</v>
      </c>
      <c r="F7913" s="7" t="s">
        <v>17</v>
      </c>
      <c r="G7913" s="7">
        <v>3912518</v>
      </c>
      <c r="H7913" s="7">
        <v>2420</v>
      </c>
      <c r="I7913" s="7">
        <v>353</v>
      </c>
      <c r="J7913" s="7">
        <v>0</v>
      </c>
      <c r="K7913" s="7" t="s">
        <v>18</v>
      </c>
      <c r="L7913" s="8">
        <v>39987.315405092595</v>
      </c>
      <c r="M7913" s="9" t="s">
        <v>19</v>
      </c>
      <c r="N7913" s="9" t="s">
        <v>20</v>
      </c>
      <c r="O7913" s="6" t="str">
        <f>HYPERLINK("https://pbs.twimg.com/profile_images/962471262747529216/Uo8lOkRJ_normal.jpg","View")</f>
        <v>View</v>
      </c>
      <c r="P7913" s="7"/>
    </row>
    <row r="7914" spans="1:16">
      <c r="A7914" s="3">
        <v>44036.319444444445</v>
      </c>
      <c r="B7914" s="4" t="str">
        <f>HYPERLINK("https://twitter.com/petrogustavo","@petrogustavo")</f>
        <v>@petrogustavo</v>
      </c>
      <c r="C7914" s="5" t="s">
        <v>16</v>
      </c>
      <c r="D7914" s="5" t="s">
        <v>7637</v>
      </c>
      <c r="E7914" s="6" t="str">
        <f>HYPERLINK("https://twitter.com/petrogustavo/status/1286483742996004869","1286483742996004869")</f>
        <v>1286483742996004869</v>
      </c>
      <c r="F7914" s="7" t="s">
        <v>17</v>
      </c>
      <c r="G7914" s="7">
        <v>3912518</v>
      </c>
      <c r="H7914" s="7">
        <v>2420</v>
      </c>
      <c r="I7914" s="7">
        <v>819</v>
      </c>
      <c r="J7914" s="7">
        <v>0</v>
      </c>
      <c r="K7914" s="7" t="s">
        <v>18</v>
      </c>
      <c r="L7914" s="8">
        <v>39987.315405092595</v>
      </c>
      <c r="M7914" s="9" t="s">
        <v>19</v>
      </c>
      <c r="N7914" s="9" t="s">
        <v>20</v>
      </c>
      <c r="O7914" s="6" t="str">
        <f>HYPERLINK("https://pbs.twimg.com/profile_images/962471262747529216/Uo8lOkRJ_normal.jpg","View")</f>
        <v>View</v>
      </c>
      <c r="P7914" s="7"/>
    </row>
    <row r="7915" spans="1:16">
      <c r="A7915" s="3">
        <v>44036.342361111107</v>
      </c>
      <c r="B7915" s="4" t="str">
        <f>HYPERLINK("https://twitter.com/petrogustavo","@petrogustavo")</f>
        <v>@petrogustavo</v>
      </c>
      <c r="C7915" s="5" t="s">
        <v>16</v>
      </c>
      <c r="D7915" s="5" t="s">
        <v>7638</v>
      </c>
      <c r="E7915" s="6" t="str">
        <f>HYPERLINK("https://twitter.com/petrogustavo/status/1286492048435163137","1286492048435163137")</f>
        <v>1286492048435163137</v>
      </c>
      <c r="F7915" s="7" t="s">
        <v>21</v>
      </c>
      <c r="G7915" s="7">
        <v>3912548</v>
      </c>
      <c r="H7915" s="7">
        <v>2420</v>
      </c>
      <c r="I7915" s="7">
        <v>49</v>
      </c>
      <c r="J7915" s="7">
        <v>101</v>
      </c>
      <c r="K7915" s="7" t="s">
        <v>18</v>
      </c>
      <c r="L7915" s="8">
        <v>39987.315405092595</v>
      </c>
      <c r="M7915" s="9" t="s">
        <v>19</v>
      </c>
      <c r="N7915" s="9" t="s">
        <v>20</v>
      </c>
      <c r="O7915" s="6" t="str">
        <f>HYPERLINK("https://pbs.twimg.com/profile_images/962471262747529216/Uo8lOkRJ_normal.jpg","View")</f>
        <v>View</v>
      </c>
      <c r="P7915" s="7"/>
    </row>
    <row r="7916" spans="1:16">
      <c r="A7916" s="3">
        <v>44036.751134259262</v>
      </c>
      <c r="B7916" s="4" t="str">
        <f>HYPERLINK("https://twitter.com/petrogustavo","@petrogustavo")</f>
        <v>@petrogustavo</v>
      </c>
      <c r="C7916" s="5" t="s">
        <v>16</v>
      </c>
      <c r="D7916" s="5" t="s">
        <v>7639</v>
      </c>
      <c r="E7916" s="6" t="str">
        <f>HYPERLINK("https://twitter.com/petrogustavo/status/1286640180200443906","1286640180200443906")</f>
        <v>1286640180200443906</v>
      </c>
      <c r="F7916" s="7" t="s">
        <v>17</v>
      </c>
      <c r="G7916" s="7">
        <v>3912600</v>
      </c>
      <c r="H7916" s="7">
        <v>2420</v>
      </c>
      <c r="I7916" s="7">
        <v>532</v>
      </c>
      <c r="J7916" s="7">
        <v>0</v>
      </c>
      <c r="K7916" s="7" t="s">
        <v>18</v>
      </c>
      <c r="L7916" s="8">
        <v>39987.315405092595</v>
      </c>
      <c r="M7916" s="9" t="s">
        <v>19</v>
      </c>
      <c r="N7916" s="9" t="s">
        <v>20</v>
      </c>
      <c r="O7916" s="6" t="str">
        <f>HYPERLINK("https://pbs.twimg.com/profile_images/962471262747529216/Uo8lOkRJ_normal.jpg","View")</f>
        <v>View</v>
      </c>
      <c r="P7916" s="7"/>
    </row>
    <row r="7917" spans="1:16">
      <c r="A7917" s="3">
        <v>44036.751516203702</v>
      </c>
      <c r="B7917" s="4" t="str">
        <f>HYPERLINK("https://twitter.com/petrogustavo","@petrogustavo")</f>
        <v>@petrogustavo</v>
      </c>
      <c r="C7917" s="5" t="s">
        <v>16</v>
      </c>
      <c r="D7917" s="5" t="s">
        <v>7640</v>
      </c>
      <c r="E7917" s="6" t="str">
        <f>HYPERLINK("https://twitter.com/petrogustavo/status/1286640319677771782","1286640319677771782")</f>
        <v>1286640319677771782</v>
      </c>
      <c r="F7917" s="7" t="s">
        <v>17</v>
      </c>
      <c r="G7917" s="7">
        <v>3912600</v>
      </c>
      <c r="H7917" s="7">
        <v>2420</v>
      </c>
      <c r="I7917" s="7">
        <v>453</v>
      </c>
      <c r="J7917" s="7">
        <v>0</v>
      </c>
      <c r="K7917" s="7" t="s">
        <v>18</v>
      </c>
      <c r="L7917" s="8">
        <v>39987.315405092595</v>
      </c>
      <c r="M7917" s="9" t="s">
        <v>19</v>
      </c>
      <c r="N7917" s="9" t="s">
        <v>20</v>
      </c>
      <c r="O7917" s="6" t="str">
        <f>HYPERLINK("https://pbs.twimg.com/profile_images/962471262747529216/Uo8lOkRJ_normal.jpg","View")</f>
        <v>View</v>
      </c>
      <c r="P7917" s="7"/>
    </row>
    <row r="7918" spans="1:16">
      <c r="A7918" s="3">
        <v>44036.75167824074</v>
      </c>
      <c r="B7918" s="4" t="str">
        <f>HYPERLINK("https://twitter.com/petrogustavo","@petrogustavo")</f>
        <v>@petrogustavo</v>
      </c>
      <c r="C7918" s="5" t="s">
        <v>16</v>
      </c>
      <c r="D7918" s="5" t="s">
        <v>7641</v>
      </c>
      <c r="E7918" s="6" t="str">
        <f>HYPERLINK("https://twitter.com/petrogustavo/status/1286640379639541760","1286640379639541760")</f>
        <v>1286640379639541760</v>
      </c>
      <c r="F7918" s="7" t="s">
        <v>17</v>
      </c>
      <c r="G7918" s="7">
        <v>3912600</v>
      </c>
      <c r="H7918" s="7">
        <v>2420</v>
      </c>
      <c r="I7918" s="7">
        <v>1608</v>
      </c>
      <c r="J7918" s="7">
        <v>0</v>
      </c>
      <c r="K7918" s="7" t="s">
        <v>18</v>
      </c>
      <c r="L7918" s="8">
        <v>39987.315405092595</v>
      </c>
      <c r="M7918" s="9" t="s">
        <v>19</v>
      </c>
      <c r="N7918" s="9" t="s">
        <v>20</v>
      </c>
      <c r="O7918" s="6" t="str">
        <f>HYPERLINK("https://pbs.twimg.com/profile_images/962471262747529216/Uo8lOkRJ_normal.jpg","View")</f>
        <v>View</v>
      </c>
      <c r="P7918" s="7"/>
    </row>
    <row r="7919" spans="1:16">
      <c r="A7919" s="3">
        <v>44036.755173611113</v>
      </c>
      <c r="B7919" s="4" t="str">
        <f>HYPERLINK("https://twitter.com/petrogustavo","@petrogustavo")</f>
        <v>@petrogustavo</v>
      </c>
      <c r="C7919" s="5" t="s">
        <v>16</v>
      </c>
      <c r="D7919" s="5" t="s">
        <v>7642</v>
      </c>
      <c r="E7919" s="6" t="str">
        <f>HYPERLINK("https://twitter.com/petrogustavo/status/1286641645002383360","1286641645002383360")</f>
        <v>1286641645002383360</v>
      </c>
      <c r="F7919" s="7" t="s">
        <v>17</v>
      </c>
      <c r="G7919" s="7">
        <v>3912600</v>
      </c>
      <c r="H7919" s="7">
        <v>2420</v>
      </c>
      <c r="I7919" s="7">
        <v>191</v>
      </c>
      <c r="J7919" s="7">
        <v>452</v>
      </c>
      <c r="K7919" s="7" t="s">
        <v>18</v>
      </c>
      <c r="L7919" s="8">
        <v>39987.315405092595</v>
      </c>
      <c r="M7919" s="9" t="s">
        <v>19</v>
      </c>
      <c r="N7919" s="9" t="s">
        <v>20</v>
      </c>
      <c r="O7919" s="6" t="str">
        <f>HYPERLINK("https://pbs.twimg.com/profile_images/962471262747529216/Uo8lOkRJ_normal.jpg","View")</f>
        <v>View</v>
      </c>
      <c r="P7919" s="7"/>
    </row>
    <row r="7920" spans="1:16">
      <c r="A7920" s="3">
        <v>44036.755729166667</v>
      </c>
      <c r="B7920" s="4" t="str">
        <f>HYPERLINK("https://twitter.com/petrogustavo","@petrogustavo")</f>
        <v>@petrogustavo</v>
      </c>
      <c r="C7920" s="5" t="s">
        <v>16</v>
      </c>
      <c r="D7920" s="5" t="s">
        <v>7643</v>
      </c>
      <c r="E7920" s="6" t="str">
        <f>HYPERLINK("https://twitter.com/petrogustavo/status/1286641845074886660","1286641845074886660")</f>
        <v>1286641845074886660</v>
      </c>
      <c r="F7920" s="7" t="s">
        <v>17</v>
      </c>
      <c r="G7920" s="7">
        <v>3912600</v>
      </c>
      <c r="H7920" s="7">
        <v>2420</v>
      </c>
      <c r="I7920" s="7">
        <v>226</v>
      </c>
      <c r="J7920" s="7">
        <v>0</v>
      </c>
      <c r="K7920" s="7" t="s">
        <v>18</v>
      </c>
      <c r="L7920" s="8">
        <v>39987.315405092595</v>
      </c>
      <c r="M7920" s="9" t="s">
        <v>19</v>
      </c>
      <c r="N7920" s="9" t="s">
        <v>20</v>
      </c>
      <c r="O7920" s="6" t="str">
        <f>HYPERLINK("https://pbs.twimg.com/profile_images/962471262747529216/Uo8lOkRJ_normal.jpg","View")</f>
        <v>View</v>
      </c>
      <c r="P7920" s="7"/>
    </row>
    <row r="7921" spans="1:16">
      <c r="A7921" s="3">
        <v>44036.75618055556</v>
      </c>
      <c r="B7921" s="4" t="str">
        <f>HYPERLINK("https://twitter.com/petrogustavo","@petrogustavo")</f>
        <v>@petrogustavo</v>
      </c>
      <c r="C7921" s="5" t="s">
        <v>16</v>
      </c>
      <c r="D7921" s="5" t="s">
        <v>7644</v>
      </c>
      <c r="E7921" s="6" t="str">
        <f>HYPERLINK("https://twitter.com/petrogustavo/status/1286642008757592064","1286642008757592064")</f>
        <v>1286642008757592064</v>
      </c>
      <c r="F7921" s="7" t="s">
        <v>17</v>
      </c>
      <c r="G7921" s="7">
        <v>3912600</v>
      </c>
      <c r="H7921" s="7">
        <v>2420</v>
      </c>
      <c r="I7921" s="7">
        <v>409</v>
      </c>
      <c r="J7921" s="7">
        <v>0</v>
      </c>
      <c r="K7921" s="7" t="s">
        <v>18</v>
      </c>
      <c r="L7921" s="8">
        <v>39987.315405092595</v>
      </c>
      <c r="M7921" s="9" t="s">
        <v>19</v>
      </c>
      <c r="N7921" s="9" t="s">
        <v>20</v>
      </c>
      <c r="O7921" s="6" t="str">
        <f>HYPERLINK("https://pbs.twimg.com/profile_images/962471262747529216/Uo8lOkRJ_normal.jpg","View")</f>
        <v>View</v>
      </c>
      <c r="P7921" s="7"/>
    </row>
    <row r="7922" spans="1:16">
      <c r="A7922" s="3">
        <v>44036.756562499999</v>
      </c>
      <c r="B7922" s="4" t="str">
        <f>HYPERLINK("https://twitter.com/petrogustavo","@petrogustavo")</f>
        <v>@petrogustavo</v>
      </c>
      <c r="C7922" s="5" t="s">
        <v>16</v>
      </c>
      <c r="D7922" s="5" t="s">
        <v>7645</v>
      </c>
      <c r="E7922" s="6" t="str">
        <f>HYPERLINK("https://twitter.com/petrogustavo/status/1286642148276920320","1286642148276920320")</f>
        <v>1286642148276920320</v>
      </c>
      <c r="F7922" s="7" t="s">
        <v>17</v>
      </c>
      <c r="G7922" s="7">
        <v>3912600</v>
      </c>
      <c r="H7922" s="7">
        <v>2420</v>
      </c>
      <c r="I7922" s="7">
        <v>75</v>
      </c>
      <c r="J7922" s="7">
        <v>0</v>
      </c>
      <c r="K7922" s="7" t="s">
        <v>18</v>
      </c>
      <c r="L7922" s="8">
        <v>39987.315405092595</v>
      </c>
      <c r="M7922" s="9" t="s">
        <v>19</v>
      </c>
      <c r="N7922" s="9" t="s">
        <v>20</v>
      </c>
      <c r="O7922" s="6" t="str">
        <f>HYPERLINK("https://pbs.twimg.com/profile_images/962471262747529216/Uo8lOkRJ_normal.jpg","View")</f>
        <v>View</v>
      </c>
      <c r="P7922" s="7"/>
    </row>
    <row r="7923" spans="1:16">
      <c r="A7923" s="3">
        <v>44036.75980324074</v>
      </c>
      <c r="B7923" s="4" t="str">
        <f>HYPERLINK("https://twitter.com/petrogustavo","@petrogustavo")</f>
        <v>@petrogustavo</v>
      </c>
      <c r="C7923" s="5" t="s">
        <v>16</v>
      </c>
      <c r="D7923" s="5" t="s">
        <v>7646</v>
      </c>
      <c r="E7923" s="6" t="str">
        <f>HYPERLINK("https://twitter.com/petrogustavo/status/1286643323776765952","1286643323776765952")</f>
        <v>1286643323776765952</v>
      </c>
      <c r="F7923" s="7" t="s">
        <v>17</v>
      </c>
      <c r="G7923" s="7">
        <v>3912600</v>
      </c>
      <c r="H7923" s="7">
        <v>2420</v>
      </c>
      <c r="I7923" s="7">
        <v>45</v>
      </c>
      <c r="J7923" s="7">
        <v>0</v>
      </c>
      <c r="K7923" s="7" t="s">
        <v>18</v>
      </c>
      <c r="L7923" s="8">
        <v>39987.315405092595</v>
      </c>
      <c r="M7923" s="9" t="s">
        <v>19</v>
      </c>
      <c r="N7923" s="9" t="s">
        <v>20</v>
      </c>
      <c r="O7923" s="6" t="str">
        <f>HYPERLINK("https://pbs.twimg.com/profile_images/962471262747529216/Uo8lOkRJ_normal.jpg","View")</f>
        <v>View</v>
      </c>
      <c r="P7923" s="7"/>
    </row>
    <row r="7924" spans="1:16">
      <c r="A7924" s="3">
        <v>44036.760208333333</v>
      </c>
      <c r="B7924" s="4" t="str">
        <f>HYPERLINK("https://twitter.com/petrogustavo","@petrogustavo")</f>
        <v>@petrogustavo</v>
      </c>
      <c r="C7924" s="5" t="s">
        <v>16</v>
      </c>
      <c r="D7924" s="5" t="s">
        <v>7647</v>
      </c>
      <c r="E7924" s="6" t="str">
        <f>HYPERLINK("https://twitter.com/petrogustavo/status/1286643471294566402","1286643471294566402")</f>
        <v>1286643471294566402</v>
      </c>
      <c r="F7924" s="7" t="s">
        <v>17</v>
      </c>
      <c r="G7924" s="7">
        <v>3912600</v>
      </c>
      <c r="H7924" s="7">
        <v>2420</v>
      </c>
      <c r="I7924" s="7">
        <v>27</v>
      </c>
      <c r="J7924" s="7">
        <v>0</v>
      </c>
      <c r="K7924" s="7" t="s">
        <v>18</v>
      </c>
      <c r="L7924" s="8">
        <v>39987.315405092595</v>
      </c>
      <c r="M7924" s="9" t="s">
        <v>19</v>
      </c>
      <c r="N7924" s="9" t="s">
        <v>20</v>
      </c>
      <c r="O7924" s="6" t="str">
        <f>HYPERLINK("https://pbs.twimg.com/profile_images/962471262747529216/Uo8lOkRJ_normal.jpg","View")</f>
        <v>View</v>
      </c>
      <c r="P7924" s="7"/>
    </row>
    <row r="7925" spans="1:16">
      <c r="A7925" s="3">
        <v>44036.762071759258</v>
      </c>
      <c r="B7925" s="4" t="str">
        <f>HYPERLINK("https://twitter.com/petrogustavo","@petrogustavo")</f>
        <v>@petrogustavo</v>
      </c>
      <c r="C7925" s="5" t="s">
        <v>16</v>
      </c>
      <c r="D7925" s="5" t="s">
        <v>7648</v>
      </c>
      <c r="E7925" s="6" t="str">
        <f>HYPERLINK("https://twitter.com/petrogustavo/status/1286644144048406529","1286644144048406529")</f>
        <v>1286644144048406529</v>
      </c>
      <c r="F7925" s="7" t="s">
        <v>17</v>
      </c>
      <c r="G7925" s="7">
        <v>3912600</v>
      </c>
      <c r="H7925" s="7">
        <v>2420</v>
      </c>
      <c r="I7925" s="7">
        <v>52</v>
      </c>
      <c r="J7925" s="7">
        <v>0</v>
      </c>
      <c r="K7925" s="7" t="s">
        <v>18</v>
      </c>
      <c r="L7925" s="8">
        <v>39987.315405092595</v>
      </c>
      <c r="M7925" s="9" t="s">
        <v>19</v>
      </c>
      <c r="N7925" s="9" t="s">
        <v>20</v>
      </c>
      <c r="O7925" s="6" t="str">
        <f>HYPERLINK("https://pbs.twimg.com/profile_images/962471262747529216/Uo8lOkRJ_normal.jpg","View")</f>
        <v>View</v>
      </c>
      <c r="P7925" s="7"/>
    </row>
    <row r="7926" spans="1:16">
      <c r="A7926" s="3">
        <v>44036.765833333338</v>
      </c>
      <c r="B7926" s="4" t="str">
        <f>HYPERLINK("https://twitter.com/petrogustavo","@petrogustavo")</f>
        <v>@petrogustavo</v>
      </c>
      <c r="C7926" s="5" t="s">
        <v>16</v>
      </c>
      <c r="D7926" s="5" t="s">
        <v>7649</v>
      </c>
      <c r="E7926" s="6" t="str">
        <f>HYPERLINK("https://twitter.com/petrogustavo/status/1286645506945548290","1286645506945548290")</f>
        <v>1286645506945548290</v>
      </c>
      <c r="F7926" s="7" t="s">
        <v>17</v>
      </c>
      <c r="G7926" s="7">
        <v>3912625</v>
      </c>
      <c r="H7926" s="7">
        <v>2420</v>
      </c>
      <c r="I7926" s="7">
        <v>23</v>
      </c>
      <c r="J7926" s="7">
        <v>0</v>
      </c>
      <c r="K7926" s="7" t="s">
        <v>18</v>
      </c>
      <c r="L7926" s="8">
        <v>39987.315405092595</v>
      </c>
      <c r="M7926" s="9" t="s">
        <v>19</v>
      </c>
      <c r="N7926" s="9" t="s">
        <v>20</v>
      </c>
      <c r="O7926" s="6" t="str">
        <f>HYPERLINK("https://pbs.twimg.com/profile_images/962471262747529216/Uo8lOkRJ_normal.jpg","View")</f>
        <v>View</v>
      </c>
      <c r="P7926" s="7"/>
    </row>
    <row r="7927" spans="1:16">
      <c r="A7927" s="3">
        <v>44036.767592592594</v>
      </c>
      <c r="B7927" s="4" t="str">
        <f>HYPERLINK("https://twitter.com/petrogustavo","@petrogustavo")</f>
        <v>@petrogustavo</v>
      </c>
      <c r="C7927" s="5" t="s">
        <v>16</v>
      </c>
      <c r="D7927" s="5" t="s">
        <v>7650</v>
      </c>
      <c r="E7927" s="6" t="str">
        <f>HYPERLINK("https://twitter.com/petrogustavo/status/1286646144001548288","1286646144001548288")</f>
        <v>1286646144001548288</v>
      </c>
      <c r="F7927" s="7" t="s">
        <v>17</v>
      </c>
      <c r="G7927" s="7">
        <v>3912625</v>
      </c>
      <c r="H7927" s="7">
        <v>2420</v>
      </c>
      <c r="I7927" s="7">
        <v>72</v>
      </c>
      <c r="J7927" s="7">
        <v>0</v>
      </c>
      <c r="K7927" s="7" t="s">
        <v>18</v>
      </c>
      <c r="L7927" s="8">
        <v>39987.315405092595</v>
      </c>
      <c r="M7927" s="9" t="s">
        <v>19</v>
      </c>
      <c r="N7927" s="9" t="s">
        <v>20</v>
      </c>
      <c r="O7927" s="6" t="str">
        <f>HYPERLINK("https://pbs.twimg.com/profile_images/962471262747529216/Uo8lOkRJ_normal.jpg","View")</f>
        <v>View</v>
      </c>
      <c r="P7927" s="7"/>
    </row>
    <row r="7928" spans="1:16">
      <c r="A7928" s="3">
        <v>44036.769884259258</v>
      </c>
      <c r="B7928" s="4" t="str">
        <f>HYPERLINK("https://twitter.com/petrogustavo","@petrogustavo")</f>
        <v>@petrogustavo</v>
      </c>
      <c r="C7928" s="5" t="s">
        <v>16</v>
      </c>
      <c r="D7928" s="5" t="s">
        <v>7651</v>
      </c>
      <c r="E7928" s="6" t="str">
        <f>HYPERLINK("https://twitter.com/petrogustavo/status/1286646977602760706","1286646977602760706")</f>
        <v>1286646977602760706</v>
      </c>
      <c r="F7928" s="7" t="s">
        <v>17</v>
      </c>
      <c r="G7928" s="7">
        <v>3912625</v>
      </c>
      <c r="H7928" s="7">
        <v>2420</v>
      </c>
      <c r="I7928" s="7">
        <v>75</v>
      </c>
      <c r="J7928" s="7">
        <v>211</v>
      </c>
      <c r="K7928" s="7" t="s">
        <v>18</v>
      </c>
      <c r="L7928" s="8">
        <v>39987.315405092595</v>
      </c>
      <c r="M7928" s="9" t="s">
        <v>19</v>
      </c>
      <c r="N7928" s="9" t="s">
        <v>20</v>
      </c>
      <c r="O7928" s="6" t="str">
        <f>HYPERLINK("https://pbs.twimg.com/profile_images/962471262747529216/Uo8lOkRJ_normal.jpg","View")</f>
        <v>View</v>
      </c>
      <c r="P7928" s="7"/>
    </row>
    <row r="7929" spans="1:16">
      <c r="A7929" s="3">
        <v>44036.770381944443</v>
      </c>
      <c r="B7929" s="4" t="str">
        <f>HYPERLINK("https://twitter.com/petrogustavo","@petrogustavo")</f>
        <v>@petrogustavo</v>
      </c>
      <c r="C7929" s="5" t="s">
        <v>16</v>
      </c>
      <c r="D7929" s="5" t="s">
        <v>7652</v>
      </c>
      <c r="E7929" s="6" t="str">
        <f>HYPERLINK("https://twitter.com/petrogustavo/status/1286647157546799104","1286647157546799104")</f>
        <v>1286647157546799104</v>
      </c>
      <c r="F7929" s="7" t="s">
        <v>17</v>
      </c>
      <c r="G7929" s="7">
        <v>3912625</v>
      </c>
      <c r="H7929" s="7">
        <v>2420</v>
      </c>
      <c r="I7929" s="7">
        <v>200</v>
      </c>
      <c r="J7929" s="7">
        <v>0</v>
      </c>
      <c r="K7929" s="7" t="s">
        <v>18</v>
      </c>
      <c r="L7929" s="8">
        <v>39987.315405092595</v>
      </c>
      <c r="M7929" s="9" t="s">
        <v>19</v>
      </c>
      <c r="N7929" s="9" t="s">
        <v>20</v>
      </c>
      <c r="O7929" s="6" t="str">
        <f>HYPERLINK("https://pbs.twimg.com/profile_images/962471262747529216/Uo8lOkRJ_normal.jpg","View")</f>
        <v>View</v>
      </c>
      <c r="P7929" s="7"/>
    </row>
    <row r="7930" spans="1:16">
      <c r="A7930" s="3">
        <v>44036.772361111114</v>
      </c>
      <c r="B7930" s="4" t="str">
        <f>HYPERLINK("https://twitter.com/petrogustavo","@petrogustavo")</f>
        <v>@petrogustavo</v>
      </c>
      <c r="C7930" s="5" t="s">
        <v>16</v>
      </c>
      <c r="D7930" s="5" t="s">
        <v>7653</v>
      </c>
      <c r="E7930" s="6" t="str">
        <f>HYPERLINK("https://twitter.com/petrogustavo/status/1286647872755306496","1286647872755306496")</f>
        <v>1286647872755306496</v>
      </c>
      <c r="F7930" s="7" t="s">
        <v>17</v>
      </c>
      <c r="G7930" s="7">
        <v>3912625</v>
      </c>
      <c r="H7930" s="7">
        <v>2420</v>
      </c>
      <c r="I7930" s="7">
        <v>505</v>
      </c>
      <c r="J7930" s="7">
        <v>0</v>
      </c>
      <c r="K7930" s="7" t="s">
        <v>18</v>
      </c>
      <c r="L7930" s="8">
        <v>39987.315405092595</v>
      </c>
      <c r="M7930" s="9" t="s">
        <v>19</v>
      </c>
      <c r="N7930" s="9" t="s">
        <v>20</v>
      </c>
      <c r="O7930" s="6" t="str">
        <f>HYPERLINK("https://pbs.twimg.com/profile_images/962471262747529216/Uo8lOkRJ_normal.jpg","View")</f>
        <v>View</v>
      </c>
      <c r="P7930" s="7"/>
    </row>
    <row r="7931" spans="1:16">
      <c r="A7931" s="3">
        <v>44036.773773148147</v>
      </c>
      <c r="B7931" s="4" t="str">
        <f>HYPERLINK("https://twitter.com/petrogustavo","@petrogustavo")</f>
        <v>@petrogustavo</v>
      </c>
      <c r="C7931" s="5" t="s">
        <v>16</v>
      </c>
      <c r="D7931" s="5" t="s">
        <v>7654</v>
      </c>
      <c r="E7931" s="6" t="str">
        <f>HYPERLINK("https://twitter.com/petrogustavo/status/1286648385873879040","1286648385873879040")</f>
        <v>1286648385873879040</v>
      </c>
      <c r="F7931" s="7" t="s">
        <v>17</v>
      </c>
      <c r="G7931" s="7">
        <v>3912625</v>
      </c>
      <c r="H7931" s="7">
        <v>2420</v>
      </c>
      <c r="I7931" s="7">
        <v>67</v>
      </c>
      <c r="J7931" s="7">
        <v>0</v>
      </c>
      <c r="K7931" s="7" t="s">
        <v>18</v>
      </c>
      <c r="L7931" s="8">
        <v>39987.315405092595</v>
      </c>
      <c r="M7931" s="9" t="s">
        <v>19</v>
      </c>
      <c r="N7931" s="9" t="s">
        <v>20</v>
      </c>
      <c r="O7931" s="6" t="str">
        <f>HYPERLINK("https://pbs.twimg.com/profile_images/962471262747529216/Uo8lOkRJ_normal.jpg","View")</f>
        <v>View</v>
      </c>
      <c r="P7931" s="7"/>
    </row>
    <row r="7932" spans="1:16">
      <c r="A7932" s="3">
        <v>44036.778368055559</v>
      </c>
      <c r="B7932" s="4" t="str">
        <f>HYPERLINK("https://twitter.com/petrogustavo","@petrogustavo")</f>
        <v>@petrogustavo</v>
      </c>
      <c r="C7932" s="5" t="s">
        <v>16</v>
      </c>
      <c r="D7932" s="5" t="s">
        <v>7655</v>
      </c>
      <c r="E7932" s="6" t="str">
        <f>HYPERLINK("https://twitter.com/petrogustavo/status/1286650050026844161","1286650050026844161")</f>
        <v>1286650050026844161</v>
      </c>
      <c r="F7932" s="7" t="s">
        <v>17</v>
      </c>
      <c r="G7932" s="7">
        <v>3912625</v>
      </c>
      <c r="H7932" s="7">
        <v>2420</v>
      </c>
      <c r="I7932" s="7">
        <v>20</v>
      </c>
      <c r="J7932" s="7">
        <v>0</v>
      </c>
      <c r="K7932" s="7" t="s">
        <v>18</v>
      </c>
      <c r="L7932" s="8">
        <v>39987.315405092595</v>
      </c>
      <c r="M7932" s="9" t="s">
        <v>19</v>
      </c>
      <c r="N7932" s="9" t="s">
        <v>20</v>
      </c>
      <c r="O7932" s="6" t="str">
        <f>HYPERLINK("https://pbs.twimg.com/profile_images/962471262747529216/Uo8lOkRJ_normal.jpg","View")</f>
        <v>View</v>
      </c>
      <c r="P7932" s="7"/>
    </row>
    <row r="7933" spans="1:16">
      <c r="A7933" s="3">
        <v>44036.779050925921</v>
      </c>
      <c r="B7933" s="4" t="str">
        <f>HYPERLINK("https://twitter.com/petrogustavo","@petrogustavo")</f>
        <v>@petrogustavo</v>
      </c>
      <c r="C7933" s="5" t="s">
        <v>16</v>
      </c>
      <c r="D7933" s="5" t="s">
        <v>7656</v>
      </c>
      <c r="E7933" s="6" t="str">
        <f>HYPERLINK("https://twitter.com/petrogustavo/status/1286650297801158658","1286650297801158658")</f>
        <v>1286650297801158658</v>
      </c>
      <c r="F7933" s="7" t="s">
        <v>17</v>
      </c>
      <c r="G7933" s="7">
        <v>3912625</v>
      </c>
      <c r="H7933" s="7">
        <v>2420</v>
      </c>
      <c r="I7933" s="7">
        <v>69</v>
      </c>
      <c r="J7933" s="7">
        <v>248</v>
      </c>
      <c r="K7933" s="7" t="s">
        <v>18</v>
      </c>
      <c r="L7933" s="8">
        <v>39987.315405092595</v>
      </c>
      <c r="M7933" s="9" t="s">
        <v>19</v>
      </c>
      <c r="N7933" s="9" t="s">
        <v>20</v>
      </c>
      <c r="O7933" s="6" t="str">
        <f>HYPERLINK("https://pbs.twimg.com/profile_images/962471262747529216/Uo8lOkRJ_normal.jpg","View")</f>
        <v>View</v>
      </c>
      <c r="P7933" s="7"/>
    </row>
    <row r="7934" spans="1:16">
      <c r="A7934" s="3">
        <v>44036.784803240742</v>
      </c>
      <c r="B7934" s="4" t="str">
        <f>HYPERLINK("https://twitter.com/petrogustavo","@petrogustavo")</f>
        <v>@petrogustavo</v>
      </c>
      <c r="C7934" s="5" t="s">
        <v>16</v>
      </c>
      <c r="D7934" s="5" t="s">
        <v>7657</v>
      </c>
      <c r="E7934" s="6" t="str">
        <f>HYPERLINK("https://twitter.com/petrogustavo/status/1286652383146250245","1286652383146250245")</f>
        <v>1286652383146250245</v>
      </c>
      <c r="F7934" s="7" t="s">
        <v>17</v>
      </c>
      <c r="G7934" s="7">
        <v>3912640</v>
      </c>
      <c r="H7934" s="7">
        <v>2420</v>
      </c>
      <c r="I7934" s="7">
        <v>87</v>
      </c>
      <c r="J7934" s="7">
        <v>218</v>
      </c>
      <c r="K7934" s="7" t="s">
        <v>18</v>
      </c>
      <c r="L7934" s="8">
        <v>39987.315405092595</v>
      </c>
      <c r="M7934" s="9" t="s">
        <v>19</v>
      </c>
      <c r="N7934" s="9" t="s">
        <v>20</v>
      </c>
      <c r="O7934" s="6" t="str">
        <f>HYPERLINK("https://pbs.twimg.com/profile_images/962471262747529216/Uo8lOkRJ_normal.jpg","View")</f>
        <v>View</v>
      </c>
      <c r="P7934" s="7"/>
    </row>
    <row r="7935" spans="1:16">
      <c r="A7935" s="3">
        <v>44036.787210648152</v>
      </c>
      <c r="B7935" s="4" t="str">
        <f>HYPERLINK("https://twitter.com/petrogustavo","@petrogustavo")</f>
        <v>@petrogustavo</v>
      </c>
      <c r="C7935" s="5" t="s">
        <v>16</v>
      </c>
      <c r="D7935" s="5" t="s">
        <v>7658</v>
      </c>
      <c r="E7935" s="6" t="str">
        <f>HYPERLINK("https://twitter.com/petrogustavo/status/1286653254508609539","1286653254508609539")</f>
        <v>1286653254508609539</v>
      </c>
      <c r="F7935" s="7" t="s">
        <v>17</v>
      </c>
      <c r="G7935" s="7">
        <v>3912640</v>
      </c>
      <c r="H7935" s="7">
        <v>2420</v>
      </c>
      <c r="I7935" s="7">
        <v>209</v>
      </c>
      <c r="J7935" s="7">
        <v>444</v>
      </c>
      <c r="K7935" s="7" t="s">
        <v>18</v>
      </c>
      <c r="L7935" s="8">
        <v>39987.315405092595</v>
      </c>
      <c r="M7935" s="9" t="s">
        <v>19</v>
      </c>
      <c r="N7935" s="9" t="s">
        <v>20</v>
      </c>
      <c r="O7935" s="6" t="str">
        <f>HYPERLINK("https://pbs.twimg.com/profile_images/962471262747529216/Uo8lOkRJ_normal.jpg","View")</f>
        <v>View</v>
      </c>
      <c r="P7935" s="7"/>
    </row>
    <row r="7936" spans="1:16">
      <c r="A7936" s="3">
        <v>44036.787847222222</v>
      </c>
      <c r="B7936" s="4" t="str">
        <f>HYPERLINK("https://twitter.com/petrogustavo","@petrogustavo")</f>
        <v>@petrogustavo</v>
      </c>
      <c r="C7936" s="5" t="s">
        <v>16</v>
      </c>
      <c r="D7936" s="5" t="s">
        <v>7653</v>
      </c>
      <c r="E7936" s="6" t="str">
        <f>HYPERLINK("https://twitter.com/petrogustavo/status/1286653486806052864","1286653486806052864")</f>
        <v>1286653486806052864</v>
      </c>
      <c r="F7936" s="7" t="s">
        <v>17</v>
      </c>
      <c r="G7936" s="7">
        <v>3912640</v>
      </c>
      <c r="H7936" s="7">
        <v>2420</v>
      </c>
      <c r="I7936" s="7">
        <v>716</v>
      </c>
      <c r="J7936" s="7">
        <v>0</v>
      </c>
      <c r="K7936" s="7" t="s">
        <v>18</v>
      </c>
      <c r="L7936" s="8">
        <v>39987.315405092595</v>
      </c>
      <c r="M7936" s="9" t="s">
        <v>19</v>
      </c>
      <c r="N7936" s="9" t="s">
        <v>20</v>
      </c>
      <c r="O7936" s="6" t="str">
        <f>HYPERLINK("https://pbs.twimg.com/profile_images/962471262747529216/Uo8lOkRJ_normal.jpg","View")</f>
        <v>View</v>
      </c>
      <c r="P7936" s="7"/>
    </row>
    <row r="7937" spans="1:16">
      <c r="A7937" s="3">
        <v>44036.788310185184</v>
      </c>
      <c r="B7937" s="4" t="str">
        <f>HYPERLINK("https://twitter.com/petrogustavo","@petrogustavo")</f>
        <v>@petrogustavo</v>
      </c>
      <c r="C7937" s="5" t="s">
        <v>16</v>
      </c>
      <c r="D7937" s="5" t="s">
        <v>7659</v>
      </c>
      <c r="E7937" s="6" t="str">
        <f>HYPERLINK("https://twitter.com/petrogustavo/status/1286653653760331778","1286653653760331778")</f>
        <v>1286653653760331778</v>
      </c>
      <c r="F7937" s="7" t="s">
        <v>17</v>
      </c>
      <c r="G7937" s="7">
        <v>3912640</v>
      </c>
      <c r="H7937" s="7">
        <v>2420</v>
      </c>
      <c r="I7937" s="7">
        <v>209</v>
      </c>
      <c r="J7937" s="7">
        <v>0</v>
      </c>
      <c r="K7937" s="7" t="s">
        <v>18</v>
      </c>
      <c r="L7937" s="8">
        <v>39987.315405092595</v>
      </c>
      <c r="M7937" s="9" t="s">
        <v>19</v>
      </c>
      <c r="N7937" s="9" t="s">
        <v>20</v>
      </c>
      <c r="O7937" s="6" t="str">
        <f>HYPERLINK("https://pbs.twimg.com/profile_images/962471262747529216/Uo8lOkRJ_normal.jpg","View")</f>
        <v>View</v>
      </c>
      <c r="P7937" s="7"/>
    </row>
    <row r="7938" spans="1:16">
      <c r="A7938" s="3">
        <v>44036.799687499995</v>
      </c>
      <c r="B7938" s="4" t="str">
        <f>HYPERLINK("https://twitter.com/petrogustavo","@petrogustavo")</f>
        <v>@petrogustavo</v>
      </c>
      <c r="C7938" s="5" t="s">
        <v>16</v>
      </c>
      <c r="D7938" s="5" t="s">
        <v>7660</v>
      </c>
      <c r="E7938" s="6" t="str">
        <f>HYPERLINK("https://twitter.com/petrogustavo/status/1286657774592696321","1286657774592696321")</f>
        <v>1286657774592696321</v>
      </c>
      <c r="F7938" s="7" t="s">
        <v>17</v>
      </c>
      <c r="G7938" s="7">
        <v>3912640</v>
      </c>
      <c r="H7938" s="7">
        <v>2420</v>
      </c>
      <c r="I7938" s="7">
        <v>1269</v>
      </c>
      <c r="J7938" s="7">
        <v>0</v>
      </c>
      <c r="K7938" s="7" t="s">
        <v>18</v>
      </c>
      <c r="L7938" s="8">
        <v>39987.315405092595</v>
      </c>
      <c r="M7938" s="9" t="s">
        <v>19</v>
      </c>
      <c r="N7938" s="9" t="s">
        <v>20</v>
      </c>
      <c r="O7938" s="6" t="str">
        <f>HYPERLINK("https://pbs.twimg.com/profile_images/962471262747529216/Uo8lOkRJ_normal.jpg","View")</f>
        <v>View</v>
      </c>
      <c r="P7938" s="7"/>
    </row>
    <row r="7939" spans="1:16">
      <c r="A7939" s="3">
        <v>44036.821377314816</v>
      </c>
      <c r="B7939" s="4" t="str">
        <f>HYPERLINK("https://twitter.com/petrogustavo","@petrogustavo")</f>
        <v>@petrogustavo</v>
      </c>
      <c r="C7939" s="5" t="s">
        <v>16</v>
      </c>
      <c r="D7939" s="5" t="s">
        <v>7661</v>
      </c>
      <c r="E7939" s="6" t="str">
        <f>HYPERLINK("https://twitter.com/petrogustavo/status/1286665634806476802","1286665634806476802")</f>
        <v>1286665634806476802</v>
      </c>
      <c r="F7939" s="7" t="s">
        <v>17</v>
      </c>
      <c r="G7939" s="7">
        <v>3912651</v>
      </c>
      <c r="H7939" s="7">
        <v>2420</v>
      </c>
      <c r="I7939" s="7">
        <v>63</v>
      </c>
      <c r="J7939" s="7">
        <v>218</v>
      </c>
      <c r="K7939" s="7" t="s">
        <v>18</v>
      </c>
      <c r="L7939" s="8">
        <v>39987.315405092595</v>
      </c>
      <c r="M7939" s="9" t="s">
        <v>19</v>
      </c>
      <c r="N7939" s="9" t="s">
        <v>20</v>
      </c>
      <c r="O7939" s="6" t="str">
        <f>HYPERLINK("https://pbs.twimg.com/profile_images/962471262747529216/Uo8lOkRJ_normal.jpg","View")</f>
        <v>View</v>
      </c>
      <c r="P7939" s="7"/>
    </row>
    <row r="7940" spans="1:16">
      <c r="A7940" s="3">
        <v>44036.837962962964</v>
      </c>
      <c r="B7940" s="4" t="str">
        <f>HYPERLINK("https://twitter.com/petrogustavo","@petrogustavo")</f>
        <v>@petrogustavo</v>
      </c>
      <c r="C7940" s="5" t="s">
        <v>16</v>
      </c>
      <c r="D7940" s="5" t="s">
        <v>7662</v>
      </c>
      <c r="E7940" s="6" t="str">
        <f>HYPERLINK("https://twitter.com/petrogustavo/status/1286671645512474624","1286671645512474624")</f>
        <v>1286671645512474624</v>
      </c>
      <c r="F7940" s="7" t="s">
        <v>32</v>
      </c>
      <c r="G7940" s="7">
        <v>3912666</v>
      </c>
      <c r="H7940" s="7">
        <v>2420</v>
      </c>
      <c r="I7940" s="7">
        <v>1429</v>
      </c>
      <c r="J7940" s="7">
        <v>0</v>
      </c>
      <c r="K7940" s="7" t="s">
        <v>18</v>
      </c>
      <c r="L7940" s="8">
        <v>39987.315405092595</v>
      </c>
      <c r="M7940" s="9" t="s">
        <v>19</v>
      </c>
      <c r="N7940" s="9" t="s">
        <v>20</v>
      </c>
      <c r="O7940" s="6" t="str">
        <f>HYPERLINK("https://pbs.twimg.com/profile_images/962471262747529216/Uo8lOkRJ_normal.jpg","View")</f>
        <v>View</v>
      </c>
      <c r="P7940" s="7"/>
    </row>
    <row r="7941" spans="1:16">
      <c r="A7941" s="3">
        <v>44036.838287037041</v>
      </c>
      <c r="B7941" s="4" t="str">
        <f>HYPERLINK("https://twitter.com/petrogustavo","@petrogustavo")</f>
        <v>@petrogustavo</v>
      </c>
      <c r="C7941" s="5" t="s">
        <v>16</v>
      </c>
      <c r="D7941" s="5" t="s">
        <v>7663</v>
      </c>
      <c r="E7941" s="6" t="str">
        <f>HYPERLINK("https://twitter.com/petrogustavo/status/1286671764320378881","1286671764320378881")</f>
        <v>1286671764320378881</v>
      </c>
      <c r="F7941" s="7" t="s">
        <v>32</v>
      </c>
      <c r="G7941" s="7">
        <v>3912666</v>
      </c>
      <c r="H7941" s="7">
        <v>2420</v>
      </c>
      <c r="I7941" s="7">
        <v>325</v>
      </c>
      <c r="J7941" s="7">
        <v>0</v>
      </c>
      <c r="K7941" s="7" t="s">
        <v>18</v>
      </c>
      <c r="L7941" s="8">
        <v>39987.315405092595</v>
      </c>
      <c r="M7941" s="9" t="s">
        <v>19</v>
      </c>
      <c r="N7941" s="9" t="s">
        <v>20</v>
      </c>
      <c r="O7941" s="6" t="str">
        <f>HYPERLINK("https://pbs.twimg.com/profile_images/962471262747529216/Uo8lOkRJ_normal.jpg","View")</f>
        <v>View</v>
      </c>
      <c r="P7941" s="7"/>
    </row>
    <row r="7942" spans="1:16">
      <c r="A7942" s="3">
        <v>44037.778993055559</v>
      </c>
      <c r="B7942" s="4" t="str">
        <f>HYPERLINK("https://twitter.com/petrogustavo","@petrogustavo")</f>
        <v>@petrogustavo</v>
      </c>
      <c r="C7942" s="5" t="s">
        <v>16</v>
      </c>
      <c r="D7942" s="5" t="s">
        <v>7664</v>
      </c>
      <c r="E7942" s="6" t="str">
        <f>HYPERLINK("https://twitter.com/petrogustavo/status/1287012666335203335","1287012666335203335")</f>
        <v>1287012666335203335</v>
      </c>
      <c r="F7942" s="7" t="s">
        <v>17</v>
      </c>
      <c r="G7942" s="7">
        <v>3913213</v>
      </c>
      <c r="H7942" s="7">
        <v>2420</v>
      </c>
      <c r="I7942" s="7">
        <v>646</v>
      </c>
      <c r="J7942" s="7">
        <v>0</v>
      </c>
      <c r="K7942" s="7" t="s">
        <v>18</v>
      </c>
      <c r="L7942" s="8">
        <v>39987.315405092595</v>
      </c>
      <c r="M7942" s="9" t="s">
        <v>19</v>
      </c>
      <c r="N7942" s="9" t="s">
        <v>20</v>
      </c>
      <c r="O7942" s="6" t="str">
        <f>HYPERLINK("https://pbs.twimg.com/profile_images/962471262747529216/Uo8lOkRJ_normal.jpg","View")</f>
        <v>View</v>
      </c>
      <c r="P7942" s="7"/>
    </row>
    <row r="7943" spans="1:16">
      <c r="A7943" s="3">
        <v>44037.779409722221</v>
      </c>
      <c r="B7943" s="4" t="str">
        <f>HYPERLINK("https://twitter.com/petrogustavo","@petrogustavo")</f>
        <v>@petrogustavo</v>
      </c>
      <c r="C7943" s="5" t="s">
        <v>16</v>
      </c>
      <c r="D7943" s="5" t="s">
        <v>7665</v>
      </c>
      <c r="E7943" s="6" t="str">
        <f>HYPERLINK("https://twitter.com/petrogustavo/status/1287012815463682048","1287012815463682048")</f>
        <v>1287012815463682048</v>
      </c>
      <c r="F7943" s="7" t="s">
        <v>17</v>
      </c>
      <c r="G7943" s="7">
        <v>3913213</v>
      </c>
      <c r="H7943" s="7">
        <v>2420</v>
      </c>
      <c r="I7943" s="7">
        <v>889</v>
      </c>
      <c r="J7943" s="7">
        <v>0</v>
      </c>
      <c r="K7943" s="7" t="s">
        <v>18</v>
      </c>
      <c r="L7943" s="8">
        <v>39987.315405092595</v>
      </c>
      <c r="M7943" s="9" t="s">
        <v>19</v>
      </c>
      <c r="N7943" s="9" t="s">
        <v>20</v>
      </c>
      <c r="O7943" s="6" t="str">
        <f>HYPERLINK("https://pbs.twimg.com/profile_images/962471262747529216/Uo8lOkRJ_normal.jpg","View")</f>
        <v>View</v>
      </c>
      <c r="P7943" s="7"/>
    </row>
    <row r="7944" spans="1:16">
      <c r="A7944" s="3">
        <v>44037.788344907407</v>
      </c>
      <c r="B7944" s="4" t="str">
        <f>HYPERLINK("https://twitter.com/petrogustavo","@petrogustavo")</f>
        <v>@petrogustavo</v>
      </c>
      <c r="C7944" s="5" t="s">
        <v>16</v>
      </c>
      <c r="D7944" s="5" t="s">
        <v>7666</v>
      </c>
      <c r="E7944" s="6" t="str">
        <f>HYPERLINK("https://twitter.com/petrogustavo/status/1287016052090646529","1287016052090646529")</f>
        <v>1287016052090646529</v>
      </c>
      <c r="F7944" s="7" t="s">
        <v>17</v>
      </c>
      <c r="G7944" s="7">
        <v>3913213</v>
      </c>
      <c r="H7944" s="7">
        <v>2420</v>
      </c>
      <c r="I7944" s="7">
        <v>29</v>
      </c>
      <c r="J7944" s="7">
        <v>0</v>
      </c>
      <c r="K7944" s="7" t="s">
        <v>18</v>
      </c>
      <c r="L7944" s="8">
        <v>39987.315405092595</v>
      </c>
      <c r="M7944" s="9" t="s">
        <v>19</v>
      </c>
      <c r="N7944" s="9" t="s">
        <v>20</v>
      </c>
      <c r="O7944" s="6" t="str">
        <f>HYPERLINK("https://pbs.twimg.com/profile_images/962471262747529216/Uo8lOkRJ_normal.jpg","View")</f>
        <v>View</v>
      </c>
      <c r="P7944" s="7"/>
    </row>
    <row r="7945" spans="1:16">
      <c r="A7945" s="3">
        <v>44037.791400462964</v>
      </c>
      <c r="B7945" s="4" t="str">
        <f>HYPERLINK("https://twitter.com/petrogustavo","@petrogustavo")</f>
        <v>@petrogustavo</v>
      </c>
      <c r="C7945" s="5" t="s">
        <v>16</v>
      </c>
      <c r="D7945" s="5" t="s">
        <v>7667</v>
      </c>
      <c r="E7945" s="6" t="str">
        <f>HYPERLINK("https://twitter.com/petrogustavo/status/1287017160297140225","1287017160297140225")</f>
        <v>1287017160297140225</v>
      </c>
      <c r="F7945" s="7" t="s">
        <v>17</v>
      </c>
      <c r="G7945" s="7">
        <v>3913213</v>
      </c>
      <c r="H7945" s="7">
        <v>2420</v>
      </c>
      <c r="I7945" s="7">
        <v>34</v>
      </c>
      <c r="J7945" s="7">
        <v>97</v>
      </c>
      <c r="K7945" s="7" t="s">
        <v>18</v>
      </c>
      <c r="L7945" s="8">
        <v>39987.315405092595</v>
      </c>
      <c r="M7945" s="9" t="s">
        <v>19</v>
      </c>
      <c r="N7945" s="9" t="s">
        <v>20</v>
      </c>
      <c r="O7945" s="6" t="str">
        <f>HYPERLINK("https://pbs.twimg.com/profile_images/962471262747529216/Uo8lOkRJ_normal.jpg","View")</f>
        <v>View</v>
      </c>
      <c r="P7945" s="7"/>
    </row>
    <row r="7946" spans="1:16">
      <c r="A7946" s="3">
        <v>44037.796921296293</v>
      </c>
      <c r="B7946" s="4" t="str">
        <f>HYPERLINK("https://twitter.com/petrogustavo","@petrogustavo")</f>
        <v>@petrogustavo</v>
      </c>
      <c r="C7946" s="5" t="s">
        <v>16</v>
      </c>
      <c r="D7946" s="5" t="s">
        <v>7668</v>
      </c>
      <c r="E7946" s="6" t="str">
        <f>HYPERLINK("https://twitter.com/petrogustavo/status/1287019161475055616","1287019161475055616")</f>
        <v>1287019161475055616</v>
      </c>
      <c r="F7946" s="7" t="s">
        <v>17</v>
      </c>
      <c r="G7946" s="7">
        <v>3913224</v>
      </c>
      <c r="H7946" s="7">
        <v>2420</v>
      </c>
      <c r="I7946" s="7">
        <v>702</v>
      </c>
      <c r="J7946" s="7">
        <v>0</v>
      </c>
      <c r="K7946" s="7" t="s">
        <v>18</v>
      </c>
      <c r="L7946" s="8">
        <v>39987.315405092595</v>
      </c>
      <c r="M7946" s="9" t="s">
        <v>19</v>
      </c>
      <c r="N7946" s="9" t="s">
        <v>20</v>
      </c>
      <c r="O7946" s="6" t="str">
        <f>HYPERLINK("https://pbs.twimg.com/profile_images/962471262747529216/Uo8lOkRJ_normal.jpg","View")</f>
        <v>View</v>
      </c>
      <c r="P7946" s="7"/>
    </row>
    <row r="7947" spans="1:16">
      <c r="A7947" s="3">
        <v>44037.797581018516</v>
      </c>
      <c r="B7947" s="4" t="str">
        <f>HYPERLINK("https://twitter.com/petrogustavo","@petrogustavo")</f>
        <v>@petrogustavo</v>
      </c>
      <c r="C7947" s="5" t="s">
        <v>16</v>
      </c>
      <c r="D7947" s="5" t="s">
        <v>7669</v>
      </c>
      <c r="E7947" s="6" t="str">
        <f>HYPERLINK("https://twitter.com/petrogustavo/status/1287019400491601922","1287019400491601922")</f>
        <v>1287019400491601922</v>
      </c>
      <c r="F7947" s="7" t="s">
        <v>17</v>
      </c>
      <c r="G7947" s="7">
        <v>3913224</v>
      </c>
      <c r="H7947" s="7">
        <v>2420</v>
      </c>
      <c r="I7947" s="7">
        <v>38</v>
      </c>
      <c r="J7947" s="7">
        <v>0</v>
      </c>
      <c r="K7947" s="7" t="s">
        <v>18</v>
      </c>
      <c r="L7947" s="8">
        <v>39987.315405092595</v>
      </c>
      <c r="M7947" s="9" t="s">
        <v>19</v>
      </c>
      <c r="N7947" s="9" t="s">
        <v>20</v>
      </c>
      <c r="O7947" s="6" t="str">
        <f>HYPERLINK("https://pbs.twimg.com/profile_images/962471262747529216/Uo8lOkRJ_normal.jpg","View")</f>
        <v>View</v>
      </c>
      <c r="P7947" s="7"/>
    </row>
    <row r="7948" spans="1:16">
      <c r="A7948" s="3">
        <v>44037.79960648148</v>
      </c>
      <c r="B7948" s="4" t="str">
        <f>HYPERLINK("https://twitter.com/petrogustavo","@petrogustavo")</f>
        <v>@petrogustavo</v>
      </c>
      <c r="C7948" s="5" t="s">
        <v>16</v>
      </c>
      <c r="D7948" s="5" t="s">
        <v>7670</v>
      </c>
      <c r="E7948" s="6" t="str">
        <f>HYPERLINK("https://twitter.com/petrogustavo/status/1287020133551157253","1287020133551157253")</f>
        <v>1287020133551157253</v>
      </c>
      <c r="F7948" s="7" t="s">
        <v>17</v>
      </c>
      <c r="G7948" s="7">
        <v>3913224</v>
      </c>
      <c r="H7948" s="7">
        <v>2420</v>
      </c>
      <c r="I7948" s="7">
        <v>103</v>
      </c>
      <c r="J7948" s="7">
        <v>199</v>
      </c>
      <c r="K7948" s="7" t="s">
        <v>18</v>
      </c>
      <c r="L7948" s="8">
        <v>39987.315405092595</v>
      </c>
      <c r="M7948" s="9" t="s">
        <v>19</v>
      </c>
      <c r="N7948" s="9" t="s">
        <v>20</v>
      </c>
      <c r="O7948" s="6" t="str">
        <f>HYPERLINK("https://pbs.twimg.com/profile_images/962471262747529216/Uo8lOkRJ_normal.jpg","View")</f>
        <v>View</v>
      </c>
      <c r="P7948" s="7"/>
    </row>
    <row r="7949" spans="1:16">
      <c r="A7949" s="3">
        <v>44037.805405092593</v>
      </c>
      <c r="B7949" s="4" t="str">
        <f>HYPERLINK("https://twitter.com/petrogustavo","@petrogustavo")</f>
        <v>@petrogustavo</v>
      </c>
      <c r="C7949" s="5" t="s">
        <v>16</v>
      </c>
      <c r="D7949" s="5" t="s">
        <v>7671</v>
      </c>
      <c r="E7949" s="6" t="str">
        <f>HYPERLINK("https://twitter.com/petrogustavo/status/1287022235929190401","1287022235929190401")</f>
        <v>1287022235929190401</v>
      </c>
      <c r="F7949" s="7" t="s">
        <v>17</v>
      </c>
      <c r="G7949" s="7">
        <v>3913224</v>
      </c>
      <c r="H7949" s="7">
        <v>2420</v>
      </c>
      <c r="I7949" s="7">
        <v>102</v>
      </c>
      <c r="J7949" s="7">
        <v>253</v>
      </c>
      <c r="K7949" s="7" t="s">
        <v>18</v>
      </c>
      <c r="L7949" s="8">
        <v>39987.315405092595</v>
      </c>
      <c r="M7949" s="9" t="s">
        <v>19</v>
      </c>
      <c r="N7949" s="9" t="s">
        <v>20</v>
      </c>
      <c r="O7949" s="6" t="str">
        <f>HYPERLINK("https://pbs.twimg.com/profile_images/962471262747529216/Uo8lOkRJ_normal.jpg","View")</f>
        <v>View</v>
      </c>
      <c r="P7949" s="7"/>
    </row>
    <row r="7950" spans="1:16">
      <c r="A7950" s="3">
        <v>44037.812094907407</v>
      </c>
      <c r="B7950" s="4" t="str">
        <f>HYPERLINK("https://twitter.com/petrogustavo","@petrogustavo")</f>
        <v>@petrogustavo</v>
      </c>
      <c r="C7950" s="5" t="s">
        <v>16</v>
      </c>
      <c r="D7950" s="5" t="s">
        <v>7672</v>
      </c>
      <c r="E7950" s="6" t="str">
        <f>HYPERLINK("https://twitter.com/petrogustavo/status/1287024659750367234","1287024659750367234")</f>
        <v>1287024659750367234</v>
      </c>
      <c r="F7950" s="7" t="s">
        <v>17</v>
      </c>
      <c r="G7950" s="7">
        <v>3913224</v>
      </c>
      <c r="H7950" s="7">
        <v>2420</v>
      </c>
      <c r="I7950" s="7">
        <v>196</v>
      </c>
      <c r="J7950" s="7">
        <v>377</v>
      </c>
      <c r="K7950" s="7" t="s">
        <v>18</v>
      </c>
      <c r="L7950" s="8">
        <v>39987.315405092595</v>
      </c>
      <c r="M7950" s="9" t="s">
        <v>19</v>
      </c>
      <c r="N7950" s="9" t="s">
        <v>20</v>
      </c>
      <c r="O7950" s="6" t="str">
        <f>HYPERLINK("https://pbs.twimg.com/profile_images/962471262747529216/Uo8lOkRJ_normal.jpg","View")</f>
        <v>View</v>
      </c>
      <c r="P7950" s="7"/>
    </row>
    <row r="7951" spans="1:16">
      <c r="A7951" s="3">
        <v>44038.23060185185</v>
      </c>
      <c r="B7951" s="4" t="str">
        <f>HYPERLINK("https://twitter.com/petrogustavo","@petrogustavo")</f>
        <v>@petrogustavo</v>
      </c>
      <c r="C7951" s="5" t="s">
        <v>16</v>
      </c>
      <c r="D7951" s="5" t="s">
        <v>7673</v>
      </c>
      <c r="E7951" s="6" t="str">
        <f>HYPERLINK("https://twitter.com/petrogustavo/status/1287176323253886979","1287176323253886979")</f>
        <v>1287176323253886979</v>
      </c>
      <c r="F7951" s="7" t="s">
        <v>17</v>
      </c>
      <c r="G7951" s="7">
        <v>3913712</v>
      </c>
      <c r="H7951" s="7">
        <v>2420</v>
      </c>
      <c r="I7951" s="7">
        <v>1085</v>
      </c>
      <c r="J7951" s="7">
        <v>0</v>
      </c>
      <c r="K7951" s="7" t="s">
        <v>18</v>
      </c>
      <c r="L7951" s="8">
        <v>39987.315405092595</v>
      </c>
      <c r="M7951" s="9" t="s">
        <v>19</v>
      </c>
      <c r="N7951" s="9" t="s">
        <v>20</v>
      </c>
      <c r="O7951" s="6" t="str">
        <f>HYPERLINK("https://pbs.twimg.com/profile_images/962471262747529216/Uo8lOkRJ_normal.jpg","View")</f>
        <v>View</v>
      </c>
      <c r="P7951" s="7"/>
    </row>
    <row r="7952" spans="1:16">
      <c r="A7952" s="3">
        <v>44038.286921296298</v>
      </c>
      <c r="B7952" s="4" t="str">
        <f>HYPERLINK("https://twitter.com/petrogustavo","@petrogustavo")</f>
        <v>@petrogustavo</v>
      </c>
      <c r="C7952" s="5" t="s">
        <v>16</v>
      </c>
      <c r="D7952" s="5" t="s">
        <v>7674</v>
      </c>
      <c r="E7952" s="6" t="str">
        <f>HYPERLINK("https://twitter.com/petrogustavo/status/1287196733274050562","1287196733274050562")</f>
        <v>1287196733274050562</v>
      </c>
      <c r="F7952" s="7" t="s">
        <v>17</v>
      </c>
      <c r="G7952" s="7">
        <v>3913804</v>
      </c>
      <c r="H7952" s="7">
        <v>2420</v>
      </c>
      <c r="I7952" s="7">
        <v>156</v>
      </c>
      <c r="J7952" s="7">
        <v>317</v>
      </c>
      <c r="K7952" s="7" t="s">
        <v>18</v>
      </c>
      <c r="L7952" s="8">
        <v>39987.315405092595</v>
      </c>
      <c r="M7952" s="9" t="s">
        <v>19</v>
      </c>
      <c r="N7952" s="9" t="s">
        <v>20</v>
      </c>
      <c r="O7952" s="6" t="str">
        <f>HYPERLINK("https://pbs.twimg.com/profile_images/962471262747529216/Uo8lOkRJ_normal.jpg","View")</f>
        <v>View</v>
      </c>
      <c r="P7952" s="7"/>
    </row>
    <row r="7953" spans="1:16">
      <c r="A7953" s="3">
        <v>44038.811620370368</v>
      </c>
      <c r="B7953" s="4" t="str">
        <f>HYPERLINK("https://twitter.com/petrogustavo","@petrogustavo")</f>
        <v>@petrogustavo</v>
      </c>
      <c r="C7953" s="5" t="s">
        <v>16</v>
      </c>
      <c r="D7953" s="5" t="s">
        <v>7675</v>
      </c>
      <c r="E7953" s="6" t="str">
        <f>HYPERLINK("https://twitter.com/petrogustavo/status/1287386877562060800","1287386877562060800")</f>
        <v>1287386877562060800</v>
      </c>
      <c r="F7953" s="7" t="s">
        <v>17</v>
      </c>
      <c r="G7953" s="7">
        <v>3914023</v>
      </c>
      <c r="H7953" s="7">
        <v>2420</v>
      </c>
      <c r="I7953" s="7">
        <v>38</v>
      </c>
      <c r="J7953" s="7">
        <v>101</v>
      </c>
      <c r="K7953" s="7" t="s">
        <v>18</v>
      </c>
      <c r="L7953" s="8">
        <v>39987.315405092595</v>
      </c>
      <c r="M7953" s="9" t="s">
        <v>19</v>
      </c>
      <c r="N7953" s="9" t="s">
        <v>20</v>
      </c>
      <c r="O7953" s="6" t="str">
        <f>HYPERLINK("https://pbs.twimg.com/profile_images/962471262747529216/Uo8lOkRJ_normal.jpg","View")</f>
        <v>View</v>
      </c>
      <c r="P7953" s="7"/>
    </row>
    <row r="7954" spans="1:16">
      <c r="A7954" s="3">
        <v>44038.817546296297</v>
      </c>
      <c r="B7954" s="4" t="str">
        <f>HYPERLINK("https://twitter.com/petrogustavo","@petrogustavo")</f>
        <v>@petrogustavo</v>
      </c>
      <c r="C7954" s="5" t="s">
        <v>16</v>
      </c>
      <c r="D7954" s="5" t="s">
        <v>7676</v>
      </c>
      <c r="E7954" s="6" t="str">
        <f>HYPERLINK("https://twitter.com/petrogustavo/status/1287389025502887937","1287389025502887937")</f>
        <v>1287389025502887937</v>
      </c>
      <c r="F7954" s="7" t="s">
        <v>17</v>
      </c>
      <c r="G7954" s="7">
        <v>3914053</v>
      </c>
      <c r="H7954" s="7">
        <v>2420</v>
      </c>
      <c r="I7954" s="7">
        <v>67</v>
      </c>
      <c r="J7954" s="7">
        <v>167</v>
      </c>
      <c r="K7954" s="7" t="s">
        <v>18</v>
      </c>
      <c r="L7954" s="8">
        <v>39987.315405092595</v>
      </c>
      <c r="M7954" s="9" t="s">
        <v>19</v>
      </c>
      <c r="N7954" s="9" t="s">
        <v>20</v>
      </c>
      <c r="O7954" s="6" t="str">
        <f>HYPERLINK("https://pbs.twimg.com/profile_images/962471262747529216/Uo8lOkRJ_normal.jpg","View")</f>
        <v>View</v>
      </c>
      <c r="P7954" s="7"/>
    </row>
    <row r="7955" spans="1:16">
      <c r="A7955" s="3">
        <v>44038.848113425927</v>
      </c>
      <c r="B7955" s="4" t="str">
        <f>HYPERLINK("https://twitter.com/petrogustavo","@petrogustavo")</f>
        <v>@petrogustavo</v>
      </c>
      <c r="C7955" s="5" t="s">
        <v>16</v>
      </c>
      <c r="D7955" s="5" t="s">
        <v>7677</v>
      </c>
      <c r="E7955" s="6" t="str">
        <f>HYPERLINK("https://twitter.com/petrogustavo/status/1287400102366248960","1287400102366248960")</f>
        <v>1287400102366248960</v>
      </c>
      <c r="F7955" s="7" t="s">
        <v>17</v>
      </c>
      <c r="G7955" s="7">
        <v>3914073</v>
      </c>
      <c r="H7955" s="7">
        <v>2420</v>
      </c>
      <c r="I7955" s="7">
        <v>82</v>
      </c>
      <c r="J7955" s="7">
        <v>187</v>
      </c>
      <c r="K7955" s="7" t="s">
        <v>18</v>
      </c>
      <c r="L7955" s="8">
        <v>39987.315405092595</v>
      </c>
      <c r="M7955" s="9" t="s">
        <v>19</v>
      </c>
      <c r="N7955" s="9" t="s">
        <v>20</v>
      </c>
      <c r="O7955" s="6" t="str">
        <f>HYPERLINK("https://pbs.twimg.com/profile_images/962471262747529216/Uo8lOkRJ_normal.jpg","View")</f>
        <v>View</v>
      </c>
      <c r="P7955" s="7"/>
    </row>
    <row r="7956" spans="1:16">
      <c r="A7956" s="3">
        <v>44038.862488425926</v>
      </c>
      <c r="B7956" s="4" t="str">
        <f>HYPERLINK("https://twitter.com/petrogustavo","@petrogustavo")</f>
        <v>@petrogustavo</v>
      </c>
      <c r="C7956" s="5" t="s">
        <v>16</v>
      </c>
      <c r="D7956" s="5" t="s">
        <v>7678</v>
      </c>
      <c r="E7956" s="6" t="str">
        <f>HYPERLINK("https://twitter.com/petrogustavo/status/1287405310790041603","1287405310790041603")</f>
        <v>1287405310790041603</v>
      </c>
      <c r="F7956" s="7" t="s">
        <v>17</v>
      </c>
      <c r="G7956" s="7">
        <v>3914085</v>
      </c>
      <c r="H7956" s="7">
        <v>2420</v>
      </c>
      <c r="I7956" s="7">
        <v>64</v>
      </c>
      <c r="J7956" s="7">
        <v>198</v>
      </c>
      <c r="K7956" s="7" t="s">
        <v>18</v>
      </c>
      <c r="L7956" s="8">
        <v>39987.315405092595</v>
      </c>
      <c r="M7956" s="9" t="s">
        <v>19</v>
      </c>
      <c r="N7956" s="9" t="s">
        <v>20</v>
      </c>
      <c r="O7956" s="6" t="str">
        <f>HYPERLINK("https://pbs.twimg.com/profile_images/962471262747529216/Uo8lOkRJ_normal.jpg","View")</f>
        <v>View</v>
      </c>
      <c r="P7956" s="7"/>
    </row>
    <row r="7957" spans="1:16">
      <c r="A7957" s="3">
        <v>44038.866516203707</v>
      </c>
      <c r="B7957" s="4" t="str">
        <f>HYPERLINK("https://twitter.com/petrogustavo","@petrogustavo")</f>
        <v>@petrogustavo</v>
      </c>
      <c r="C7957" s="5" t="s">
        <v>16</v>
      </c>
      <c r="D7957" s="5" t="s">
        <v>7679</v>
      </c>
      <c r="E7957" s="6" t="str">
        <f>HYPERLINK("https://twitter.com/petrogustavo/status/1287406770206445574","1287406770206445574")</f>
        <v>1287406770206445574</v>
      </c>
      <c r="F7957" s="7" t="s">
        <v>17</v>
      </c>
      <c r="G7957" s="7">
        <v>3914085</v>
      </c>
      <c r="H7957" s="7">
        <v>2420</v>
      </c>
      <c r="I7957" s="7">
        <v>1106</v>
      </c>
      <c r="J7957" s="7">
        <v>0</v>
      </c>
      <c r="K7957" s="7" t="s">
        <v>18</v>
      </c>
      <c r="L7957" s="8">
        <v>39987.315405092595</v>
      </c>
      <c r="M7957" s="9" t="s">
        <v>19</v>
      </c>
      <c r="N7957" s="9" t="s">
        <v>20</v>
      </c>
      <c r="O7957" s="6" t="str">
        <f>HYPERLINK("https://pbs.twimg.com/profile_images/962471262747529216/Uo8lOkRJ_normal.jpg","View")</f>
        <v>View</v>
      </c>
      <c r="P7957" s="7"/>
    </row>
    <row r="7958" spans="1:16">
      <c r="A7958" s="3">
        <v>44038.873912037037</v>
      </c>
      <c r="B7958" s="4" t="str">
        <f>HYPERLINK("https://twitter.com/petrogustavo","@petrogustavo")</f>
        <v>@petrogustavo</v>
      </c>
      <c r="C7958" s="5" t="s">
        <v>16</v>
      </c>
      <c r="D7958" s="5" t="s">
        <v>7680</v>
      </c>
      <c r="E7958" s="6" t="str">
        <f>HYPERLINK("https://twitter.com/petrogustavo/status/1287409451461480448","1287409451461480448")</f>
        <v>1287409451461480448</v>
      </c>
      <c r="F7958" s="7" t="s">
        <v>17</v>
      </c>
      <c r="G7958" s="7">
        <v>3914085</v>
      </c>
      <c r="H7958" s="7">
        <v>2420</v>
      </c>
      <c r="I7958" s="7">
        <v>35</v>
      </c>
      <c r="J7958" s="7">
        <v>128</v>
      </c>
      <c r="K7958" s="7" t="s">
        <v>18</v>
      </c>
      <c r="L7958" s="8">
        <v>39987.315405092595</v>
      </c>
      <c r="M7958" s="9" t="s">
        <v>19</v>
      </c>
      <c r="N7958" s="9" t="s">
        <v>20</v>
      </c>
      <c r="O7958" s="6" t="str">
        <f>HYPERLINK("https://pbs.twimg.com/profile_images/962471262747529216/Uo8lOkRJ_normal.jpg","View")</f>
        <v>View</v>
      </c>
      <c r="P7958" s="7"/>
    </row>
    <row r="7959" spans="1:16">
      <c r="A7959" s="3">
        <v>44038.874282407407</v>
      </c>
      <c r="B7959" s="4" t="str">
        <f>HYPERLINK("https://twitter.com/petrogustavo","@petrogustavo")</f>
        <v>@petrogustavo</v>
      </c>
      <c r="C7959" s="5" t="s">
        <v>16</v>
      </c>
      <c r="D7959" s="5" t="s">
        <v>7681</v>
      </c>
      <c r="E7959" s="6" t="str">
        <f>HYPERLINK("https://twitter.com/petrogustavo/status/1287409585364652032","1287409585364652032")</f>
        <v>1287409585364652032</v>
      </c>
      <c r="F7959" s="7" t="s">
        <v>17</v>
      </c>
      <c r="G7959" s="7">
        <v>3914085</v>
      </c>
      <c r="H7959" s="7">
        <v>2420</v>
      </c>
      <c r="I7959" s="7">
        <v>174</v>
      </c>
      <c r="J7959" s="7">
        <v>0</v>
      </c>
      <c r="K7959" s="7" t="s">
        <v>18</v>
      </c>
      <c r="L7959" s="8">
        <v>39987.315405092595</v>
      </c>
      <c r="M7959" s="9" t="s">
        <v>19</v>
      </c>
      <c r="N7959" s="9" t="s">
        <v>20</v>
      </c>
      <c r="O7959" s="6" t="str">
        <f>HYPERLINK("https://pbs.twimg.com/profile_images/962471262747529216/Uo8lOkRJ_normal.jpg","View")</f>
        <v>View</v>
      </c>
      <c r="P7959" s="7"/>
    </row>
    <row r="7960" spans="1:16">
      <c r="A7960" s="3">
        <v>44038.87431712963</v>
      </c>
      <c r="B7960" s="4" t="str">
        <f>HYPERLINK("https://twitter.com/petrogustavo","@petrogustavo")</f>
        <v>@petrogustavo</v>
      </c>
      <c r="C7960" s="5" t="s">
        <v>16</v>
      </c>
      <c r="D7960" s="5" t="s">
        <v>7682</v>
      </c>
      <c r="E7960" s="6" t="str">
        <f>HYPERLINK("https://twitter.com/petrogustavo/status/1287409596341026818","1287409596341026818")</f>
        <v>1287409596341026818</v>
      </c>
      <c r="F7960" s="7" t="s">
        <v>17</v>
      </c>
      <c r="G7960" s="7">
        <v>3914085</v>
      </c>
      <c r="H7960" s="7">
        <v>2420</v>
      </c>
      <c r="I7960" s="7">
        <v>209</v>
      </c>
      <c r="J7960" s="7">
        <v>0</v>
      </c>
      <c r="K7960" s="7" t="s">
        <v>18</v>
      </c>
      <c r="L7960" s="8">
        <v>39987.315405092595</v>
      </c>
      <c r="M7960" s="9" t="s">
        <v>19</v>
      </c>
      <c r="N7960" s="9" t="s">
        <v>20</v>
      </c>
      <c r="O7960" s="6" t="str">
        <f>HYPERLINK("https://pbs.twimg.com/profile_images/962471262747529216/Uo8lOkRJ_normal.jpg","View")</f>
        <v>View</v>
      </c>
      <c r="P7960" s="7"/>
    </row>
    <row r="7961" spans="1:16">
      <c r="A7961" s="3">
        <v>44038.894502314812</v>
      </c>
      <c r="B7961" s="4" t="str">
        <f>HYPERLINK("https://twitter.com/petrogustavo","@petrogustavo")</f>
        <v>@petrogustavo</v>
      </c>
      <c r="C7961" s="5" t="s">
        <v>16</v>
      </c>
      <c r="D7961" s="5" t="s">
        <v>7683</v>
      </c>
      <c r="E7961" s="6" t="str">
        <f>HYPERLINK("https://twitter.com/petrogustavo/status/1287416910699802625","1287416910699802625")</f>
        <v>1287416910699802625</v>
      </c>
      <c r="F7961" s="7" t="s">
        <v>17</v>
      </c>
      <c r="G7961" s="7">
        <v>3914113</v>
      </c>
      <c r="H7961" s="7">
        <v>2420</v>
      </c>
      <c r="I7961" s="7">
        <v>118</v>
      </c>
      <c r="J7961" s="7">
        <v>0</v>
      </c>
      <c r="K7961" s="7" t="s">
        <v>18</v>
      </c>
      <c r="L7961" s="8">
        <v>39987.315405092595</v>
      </c>
      <c r="M7961" s="9" t="s">
        <v>19</v>
      </c>
      <c r="N7961" s="9" t="s">
        <v>20</v>
      </c>
      <c r="O7961" s="6" t="str">
        <f>HYPERLINK("https://pbs.twimg.com/profile_images/962471262747529216/Uo8lOkRJ_normal.jpg","View")</f>
        <v>View</v>
      </c>
      <c r="P7961" s="7"/>
    </row>
    <row r="7962" spans="1:16">
      <c r="A7962" s="3">
        <v>44038.894606481481</v>
      </c>
      <c r="B7962" s="4" t="str">
        <f>HYPERLINK("https://twitter.com/petrogustavo","@petrogustavo")</f>
        <v>@petrogustavo</v>
      </c>
      <c r="C7962" s="5" t="s">
        <v>16</v>
      </c>
      <c r="D7962" s="5" t="s">
        <v>7684</v>
      </c>
      <c r="E7962" s="6" t="str">
        <f>HYPERLINK("https://twitter.com/petrogustavo/status/1287416951640403972","1287416951640403972")</f>
        <v>1287416951640403972</v>
      </c>
      <c r="F7962" s="7" t="s">
        <v>17</v>
      </c>
      <c r="G7962" s="7">
        <v>3914113</v>
      </c>
      <c r="H7962" s="7">
        <v>2420</v>
      </c>
      <c r="I7962" s="7">
        <v>47</v>
      </c>
      <c r="J7962" s="7">
        <v>0</v>
      </c>
      <c r="K7962" s="7" t="s">
        <v>18</v>
      </c>
      <c r="L7962" s="8">
        <v>39987.315405092595</v>
      </c>
      <c r="M7962" s="9" t="s">
        <v>19</v>
      </c>
      <c r="N7962" s="9" t="s">
        <v>20</v>
      </c>
      <c r="O7962" s="6" t="str">
        <f>HYPERLINK("https://pbs.twimg.com/profile_images/962471262747529216/Uo8lOkRJ_normal.jpg","View")</f>
        <v>View</v>
      </c>
      <c r="P7962" s="7"/>
    </row>
    <row r="7963" spans="1:16">
      <c r="A7963" s="3">
        <v>44038.89570601852</v>
      </c>
      <c r="B7963" s="4" t="str">
        <f>HYPERLINK("https://twitter.com/petrogustavo","@petrogustavo")</f>
        <v>@petrogustavo</v>
      </c>
      <c r="C7963" s="5" t="s">
        <v>16</v>
      </c>
      <c r="D7963" s="5" t="s">
        <v>7685</v>
      </c>
      <c r="E7963" s="6" t="str">
        <f>HYPERLINK("https://twitter.com/petrogustavo/status/1287417349906354177","1287417349906354177")</f>
        <v>1287417349906354177</v>
      </c>
      <c r="F7963" s="7" t="s">
        <v>17</v>
      </c>
      <c r="G7963" s="7">
        <v>3914113</v>
      </c>
      <c r="H7963" s="7">
        <v>2420</v>
      </c>
      <c r="I7963" s="7">
        <v>16</v>
      </c>
      <c r="J7963" s="7">
        <v>47</v>
      </c>
      <c r="K7963" s="7" t="s">
        <v>18</v>
      </c>
      <c r="L7963" s="8">
        <v>39987.315405092595</v>
      </c>
      <c r="M7963" s="9" t="s">
        <v>19</v>
      </c>
      <c r="N7963" s="9" t="s">
        <v>20</v>
      </c>
      <c r="O7963" s="6" t="str">
        <f>HYPERLINK("https://pbs.twimg.com/profile_images/962471262747529216/Uo8lOkRJ_normal.jpg","View")</f>
        <v>View</v>
      </c>
      <c r="P7963" s="7"/>
    </row>
    <row r="7964" spans="1:16">
      <c r="A7964" s="3">
        <v>44038.899143518516</v>
      </c>
      <c r="B7964" s="4" t="str">
        <f>HYPERLINK("https://twitter.com/petrogustavo","@petrogustavo")</f>
        <v>@petrogustavo</v>
      </c>
      <c r="C7964" s="5" t="s">
        <v>16</v>
      </c>
      <c r="D7964" s="5" t="s">
        <v>7686</v>
      </c>
      <c r="E7964" s="6" t="str">
        <f>HYPERLINK("https://twitter.com/petrogustavo/status/1287418595379732480","1287418595379732480")</f>
        <v>1287418595379732480</v>
      </c>
      <c r="F7964" s="7" t="s">
        <v>17</v>
      </c>
      <c r="G7964" s="7">
        <v>3914121</v>
      </c>
      <c r="H7964" s="7">
        <v>2420</v>
      </c>
      <c r="I7964" s="7">
        <v>287</v>
      </c>
      <c r="J7964" s="7">
        <v>964</v>
      </c>
      <c r="K7964" s="7" t="s">
        <v>18</v>
      </c>
      <c r="L7964" s="8">
        <v>39987.315405092595</v>
      </c>
      <c r="M7964" s="9" t="s">
        <v>19</v>
      </c>
      <c r="N7964" s="9" t="s">
        <v>20</v>
      </c>
      <c r="O7964" s="6" t="str">
        <f>HYPERLINK("https://pbs.twimg.com/profile_images/962471262747529216/Uo8lOkRJ_normal.jpg","View")</f>
        <v>View</v>
      </c>
      <c r="P7964" s="7"/>
    </row>
    <row r="7965" spans="1:16">
      <c r="A7965" s="3">
        <v>44038.901006944448</v>
      </c>
      <c r="B7965" s="4" t="str">
        <f>HYPERLINK("https://twitter.com/petrogustavo","@petrogustavo")</f>
        <v>@petrogustavo</v>
      </c>
      <c r="C7965" s="5" t="s">
        <v>16</v>
      </c>
      <c r="D7965" s="5" t="s">
        <v>7681</v>
      </c>
      <c r="E7965" s="6" t="str">
        <f>HYPERLINK("https://twitter.com/petrogustavo/status/1287419270574616577","1287419270574616577")</f>
        <v>1287419270574616577</v>
      </c>
      <c r="F7965" s="7" t="s">
        <v>17</v>
      </c>
      <c r="G7965" s="7">
        <v>3914121</v>
      </c>
      <c r="H7965" s="7">
        <v>2420</v>
      </c>
      <c r="I7965" s="7">
        <v>238</v>
      </c>
      <c r="J7965" s="7">
        <v>0</v>
      </c>
      <c r="K7965" s="7" t="s">
        <v>18</v>
      </c>
      <c r="L7965" s="8">
        <v>39987.315405092595</v>
      </c>
      <c r="M7965" s="9" t="s">
        <v>19</v>
      </c>
      <c r="N7965" s="9" t="s">
        <v>20</v>
      </c>
      <c r="O7965" s="6" t="str">
        <f>HYPERLINK("https://pbs.twimg.com/profile_images/962471262747529216/Uo8lOkRJ_normal.jpg","View")</f>
        <v>View</v>
      </c>
      <c r="P7965" s="7"/>
    </row>
    <row r="7966" spans="1:16">
      <c r="A7966" s="3">
        <v>44038.90111111111</v>
      </c>
      <c r="B7966" s="4" t="str">
        <f>HYPERLINK("https://twitter.com/petrogustavo","@petrogustavo")</f>
        <v>@petrogustavo</v>
      </c>
      <c r="C7966" s="5" t="s">
        <v>16</v>
      </c>
      <c r="D7966" s="5" t="s">
        <v>7682</v>
      </c>
      <c r="E7966" s="6" t="str">
        <f>HYPERLINK("https://twitter.com/petrogustavo/status/1287419307136364544","1287419307136364544")</f>
        <v>1287419307136364544</v>
      </c>
      <c r="F7966" s="7" t="s">
        <v>17</v>
      </c>
      <c r="G7966" s="7">
        <v>3914121</v>
      </c>
      <c r="H7966" s="7">
        <v>2420</v>
      </c>
      <c r="I7966" s="7">
        <v>466</v>
      </c>
      <c r="J7966" s="7">
        <v>0</v>
      </c>
      <c r="K7966" s="7" t="s">
        <v>18</v>
      </c>
      <c r="L7966" s="8">
        <v>39987.315405092595</v>
      </c>
      <c r="M7966" s="9" t="s">
        <v>19</v>
      </c>
      <c r="N7966" s="9" t="s">
        <v>20</v>
      </c>
      <c r="O7966" s="6" t="str">
        <f>HYPERLINK("https://pbs.twimg.com/profile_images/962471262747529216/Uo8lOkRJ_normal.jpg","View")</f>
        <v>View</v>
      </c>
      <c r="P7966" s="7"/>
    </row>
    <row r="7967" spans="1:16">
      <c r="A7967" s="3">
        <v>44039.057673611111</v>
      </c>
      <c r="B7967" s="4" t="str">
        <f>HYPERLINK("https://twitter.com/petrogustavo","@petrogustavo")</f>
        <v>@petrogustavo</v>
      </c>
      <c r="C7967" s="5" t="s">
        <v>16</v>
      </c>
      <c r="D7967" s="5" t="s">
        <v>7687</v>
      </c>
      <c r="E7967" s="6" t="str">
        <f>HYPERLINK("https://twitter.com/petrogustavo/status/1287476044820295682","1287476044820295682")</f>
        <v>1287476044820295682</v>
      </c>
      <c r="F7967" s="7" t="s">
        <v>17</v>
      </c>
      <c r="G7967" s="7">
        <v>3914239</v>
      </c>
      <c r="H7967" s="7">
        <v>2420</v>
      </c>
      <c r="I7967" s="7">
        <v>112</v>
      </c>
      <c r="J7967" s="7">
        <v>314</v>
      </c>
      <c r="K7967" s="7" t="s">
        <v>18</v>
      </c>
      <c r="L7967" s="8">
        <v>39987.315405092595</v>
      </c>
      <c r="M7967" s="9" t="s">
        <v>19</v>
      </c>
      <c r="N7967" s="9" t="s">
        <v>20</v>
      </c>
      <c r="O7967" s="6" t="str">
        <f>HYPERLINK("https://pbs.twimg.com/profile_images/962471262747529216/Uo8lOkRJ_normal.jpg","View")</f>
        <v>View</v>
      </c>
      <c r="P7967" s="7"/>
    </row>
    <row r="7968" spans="1:16">
      <c r="A7968" s="3">
        <v>44039.188101851847</v>
      </c>
      <c r="B7968" s="4" t="str">
        <f>HYPERLINK("https://twitter.com/petrogustavo","@petrogustavo")</f>
        <v>@petrogustavo</v>
      </c>
      <c r="C7968" s="5" t="s">
        <v>16</v>
      </c>
      <c r="D7968" s="5" t="s">
        <v>7688</v>
      </c>
      <c r="E7968" s="6" t="str">
        <f>HYPERLINK("https://twitter.com/petrogustavo/status/1287523307932221440","1287523307932221440")</f>
        <v>1287523307932221440</v>
      </c>
      <c r="F7968" s="7" t="s">
        <v>17</v>
      </c>
      <c r="G7968" s="7">
        <v>3914339</v>
      </c>
      <c r="H7968" s="7">
        <v>2420</v>
      </c>
      <c r="I7968" s="7">
        <v>13</v>
      </c>
      <c r="J7968" s="7">
        <v>39</v>
      </c>
      <c r="K7968" s="7" t="s">
        <v>18</v>
      </c>
      <c r="L7968" s="8">
        <v>39987.315405092595</v>
      </c>
      <c r="M7968" s="9" t="s">
        <v>19</v>
      </c>
      <c r="N7968" s="9" t="s">
        <v>20</v>
      </c>
      <c r="O7968" s="6" t="str">
        <f>HYPERLINK("https://pbs.twimg.com/profile_images/962471262747529216/Uo8lOkRJ_normal.jpg","View")</f>
        <v>View</v>
      </c>
      <c r="P7968" s="7"/>
    </row>
    <row r="7969" spans="1:16">
      <c r="A7969" s="3">
        <v>44039.191527777773</v>
      </c>
      <c r="B7969" s="4" t="str">
        <f>HYPERLINK("https://twitter.com/petrogustavo","@petrogustavo")</f>
        <v>@petrogustavo</v>
      </c>
      <c r="C7969" s="5" t="s">
        <v>16</v>
      </c>
      <c r="D7969" s="5" t="s">
        <v>7689</v>
      </c>
      <c r="E7969" s="6" t="str">
        <f>HYPERLINK("https://twitter.com/petrogustavo/status/1287524552134795264","1287524552134795264")</f>
        <v>1287524552134795264</v>
      </c>
      <c r="F7969" s="7" t="s">
        <v>17</v>
      </c>
      <c r="G7969" s="7">
        <v>3914346</v>
      </c>
      <c r="H7969" s="7">
        <v>2420</v>
      </c>
      <c r="I7969" s="7">
        <v>121</v>
      </c>
      <c r="J7969" s="7">
        <v>275</v>
      </c>
      <c r="K7969" s="7" t="s">
        <v>18</v>
      </c>
      <c r="L7969" s="8">
        <v>39987.315405092595</v>
      </c>
      <c r="M7969" s="9" t="s">
        <v>19</v>
      </c>
      <c r="N7969" s="9" t="s">
        <v>20</v>
      </c>
      <c r="O7969" s="6" t="str">
        <f>HYPERLINK("https://pbs.twimg.com/profile_images/962471262747529216/Uo8lOkRJ_normal.jpg","View")</f>
        <v>View</v>
      </c>
      <c r="P7969" s="7"/>
    </row>
    <row r="7970" spans="1:16">
      <c r="A7970" s="3">
        <v>44039.191701388889</v>
      </c>
      <c r="B7970" s="4" t="str">
        <f>HYPERLINK("https://twitter.com/petrogustavo","@petrogustavo")</f>
        <v>@petrogustavo</v>
      </c>
      <c r="C7970" s="5" t="s">
        <v>16</v>
      </c>
      <c r="D7970" s="5" t="s">
        <v>7690</v>
      </c>
      <c r="E7970" s="6" t="str">
        <f>HYPERLINK("https://twitter.com/petrogustavo/status/1287524611475767298","1287524611475767298")</f>
        <v>1287524611475767298</v>
      </c>
      <c r="F7970" s="7" t="s">
        <v>17</v>
      </c>
      <c r="G7970" s="7">
        <v>3914346</v>
      </c>
      <c r="H7970" s="7">
        <v>2420</v>
      </c>
      <c r="I7970" s="7">
        <v>113</v>
      </c>
      <c r="J7970" s="7">
        <v>0</v>
      </c>
      <c r="K7970" s="7" t="s">
        <v>18</v>
      </c>
      <c r="L7970" s="8">
        <v>39987.315405092595</v>
      </c>
      <c r="M7970" s="9" t="s">
        <v>19</v>
      </c>
      <c r="N7970" s="9" t="s">
        <v>20</v>
      </c>
      <c r="O7970" s="6" t="str">
        <f>HYPERLINK("https://pbs.twimg.com/profile_images/962471262747529216/Uo8lOkRJ_normal.jpg","View")</f>
        <v>View</v>
      </c>
      <c r="P7970" s="7"/>
    </row>
    <row r="7971" spans="1:16">
      <c r="A7971" s="3">
        <v>44039.195115740746</v>
      </c>
      <c r="B7971" s="4" t="str">
        <f>HYPERLINK("https://twitter.com/petrogustavo","@petrogustavo")</f>
        <v>@petrogustavo</v>
      </c>
      <c r="C7971" s="5" t="s">
        <v>16</v>
      </c>
      <c r="D7971" s="5" t="s">
        <v>7691</v>
      </c>
      <c r="E7971" s="6" t="str">
        <f>HYPERLINK("https://twitter.com/petrogustavo/status/1287525850540318720","1287525850540318720")</f>
        <v>1287525850540318720</v>
      </c>
      <c r="F7971" s="7" t="s">
        <v>17</v>
      </c>
      <c r="G7971" s="7">
        <v>3914346</v>
      </c>
      <c r="H7971" s="7">
        <v>2420</v>
      </c>
      <c r="I7971" s="7">
        <v>516</v>
      </c>
      <c r="J7971" s="7">
        <v>1639</v>
      </c>
      <c r="K7971" s="7" t="s">
        <v>18</v>
      </c>
      <c r="L7971" s="8">
        <v>39987.315405092595</v>
      </c>
      <c r="M7971" s="9" t="s">
        <v>19</v>
      </c>
      <c r="N7971" s="9" t="s">
        <v>20</v>
      </c>
      <c r="O7971" s="6" t="str">
        <f>HYPERLINK("https://pbs.twimg.com/profile_images/962471262747529216/Uo8lOkRJ_normal.jpg","View")</f>
        <v>View</v>
      </c>
      <c r="P7971" s="7"/>
    </row>
    <row r="7972" spans="1:16">
      <c r="A7972" s="3">
        <v>44039.205266203702</v>
      </c>
      <c r="B7972" s="4" t="str">
        <f>HYPERLINK("https://twitter.com/petrogustavo","@petrogustavo")</f>
        <v>@petrogustavo</v>
      </c>
      <c r="C7972" s="5" t="s">
        <v>16</v>
      </c>
      <c r="D7972" s="5" t="s">
        <v>7692</v>
      </c>
      <c r="E7972" s="6" t="str">
        <f>HYPERLINK("https://twitter.com/petrogustavo/status/1287529529179885569","1287529529179885569")</f>
        <v>1287529529179885569</v>
      </c>
      <c r="F7972" s="7" t="s">
        <v>17</v>
      </c>
      <c r="G7972" s="7">
        <v>3914346</v>
      </c>
      <c r="H7972" s="7">
        <v>2420</v>
      </c>
      <c r="I7972" s="7">
        <v>98</v>
      </c>
      <c r="J7972" s="7">
        <v>160</v>
      </c>
      <c r="K7972" s="7" t="s">
        <v>18</v>
      </c>
      <c r="L7972" s="8">
        <v>39987.315405092595</v>
      </c>
      <c r="M7972" s="9" t="s">
        <v>19</v>
      </c>
      <c r="N7972" s="9" t="s">
        <v>20</v>
      </c>
      <c r="O7972" s="6" t="str">
        <f>HYPERLINK("https://pbs.twimg.com/profile_images/962471262747529216/Uo8lOkRJ_normal.jpg","View")</f>
        <v>View</v>
      </c>
      <c r="P7972" s="7"/>
    </row>
    <row r="7973" spans="1:16">
      <c r="A7973" s="3">
        <v>44039.214444444442</v>
      </c>
      <c r="B7973" s="4" t="str">
        <f>HYPERLINK("https://twitter.com/petrogustavo","@petrogustavo")</f>
        <v>@petrogustavo</v>
      </c>
      <c r="C7973" s="5" t="s">
        <v>16</v>
      </c>
      <c r="D7973" s="5" t="s">
        <v>7690</v>
      </c>
      <c r="E7973" s="6" t="str">
        <f>HYPERLINK("https://twitter.com/petrogustavo/status/1287532855002836992","1287532855002836992")</f>
        <v>1287532855002836992</v>
      </c>
      <c r="F7973" s="7" t="s">
        <v>17</v>
      </c>
      <c r="G7973" s="7">
        <v>3914370</v>
      </c>
      <c r="H7973" s="7">
        <v>2420</v>
      </c>
      <c r="I7973" s="7">
        <v>166</v>
      </c>
      <c r="J7973" s="7">
        <v>0</v>
      </c>
      <c r="K7973" s="7" t="s">
        <v>18</v>
      </c>
      <c r="L7973" s="8">
        <v>39987.315405092595</v>
      </c>
      <c r="M7973" s="9" t="s">
        <v>19</v>
      </c>
      <c r="N7973" s="9" t="s">
        <v>20</v>
      </c>
      <c r="O7973" s="6" t="str">
        <f>HYPERLINK("https://pbs.twimg.com/profile_images/962471262747529216/Uo8lOkRJ_normal.jpg","View")</f>
        <v>View</v>
      </c>
      <c r="P7973" s="7"/>
    </row>
    <row r="7974" spans="1:16">
      <c r="A7974" s="3">
        <v>44039.331956018519</v>
      </c>
      <c r="B7974" s="4" t="str">
        <f>HYPERLINK("https://twitter.com/petrogustavo","@petrogustavo")</f>
        <v>@petrogustavo</v>
      </c>
      <c r="C7974" s="5" t="s">
        <v>16</v>
      </c>
      <c r="D7974" s="5" t="s">
        <v>7693</v>
      </c>
      <c r="E7974" s="6" t="str">
        <f>HYPERLINK("https://twitter.com/petrogustavo/status/1287575438882111491","1287575438882111491")</f>
        <v>1287575438882111491</v>
      </c>
      <c r="F7974" s="7" t="s">
        <v>32</v>
      </c>
      <c r="G7974" s="7">
        <v>3914477</v>
      </c>
      <c r="H7974" s="7">
        <v>2420</v>
      </c>
      <c r="I7974" s="7">
        <v>108</v>
      </c>
      <c r="J7974" s="7">
        <v>366</v>
      </c>
      <c r="K7974" s="7" t="s">
        <v>18</v>
      </c>
      <c r="L7974" s="8">
        <v>39987.315405092595</v>
      </c>
      <c r="M7974" s="9" t="s">
        <v>19</v>
      </c>
      <c r="N7974" s="9" t="s">
        <v>20</v>
      </c>
      <c r="O7974" s="6" t="str">
        <f>HYPERLINK("https://pbs.twimg.com/profile_images/962471262747529216/Uo8lOkRJ_normal.jpg","View")</f>
        <v>View</v>
      </c>
      <c r="P7974" s="7"/>
    </row>
    <row r="7975" spans="1:16">
      <c r="A7975" s="3">
        <v>44039.335266203707</v>
      </c>
      <c r="B7975" s="4" t="str">
        <f>HYPERLINK("https://twitter.com/petrogustavo","@petrogustavo")</f>
        <v>@petrogustavo</v>
      </c>
      <c r="C7975" s="5" t="s">
        <v>16</v>
      </c>
      <c r="D7975" s="5" t="s">
        <v>7694</v>
      </c>
      <c r="E7975" s="6" t="str">
        <f>HYPERLINK("https://twitter.com/petrogustavo/status/1287576638146990088","1287576638146990088")</f>
        <v>1287576638146990088</v>
      </c>
      <c r="F7975" s="7" t="s">
        <v>32</v>
      </c>
      <c r="G7975" s="7">
        <v>3914477</v>
      </c>
      <c r="H7975" s="7">
        <v>2420</v>
      </c>
      <c r="I7975" s="7">
        <v>2406</v>
      </c>
      <c r="J7975" s="7">
        <v>0</v>
      </c>
      <c r="K7975" s="7" t="s">
        <v>18</v>
      </c>
      <c r="L7975" s="8">
        <v>39987.315405092595</v>
      </c>
      <c r="M7975" s="9" t="s">
        <v>19</v>
      </c>
      <c r="N7975" s="9" t="s">
        <v>20</v>
      </c>
      <c r="O7975" s="6" t="str">
        <f>HYPERLINK("https://pbs.twimg.com/profile_images/962471262747529216/Uo8lOkRJ_normal.jpg","View")</f>
        <v>View</v>
      </c>
      <c r="P7975" s="7"/>
    </row>
    <row r="7976" spans="1:16">
      <c r="A7976" s="3">
        <v>44039.769513888888</v>
      </c>
      <c r="B7976" s="4" t="str">
        <f>HYPERLINK("https://twitter.com/petrogustavo","@petrogustavo")</f>
        <v>@petrogustavo</v>
      </c>
      <c r="C7976" s="5" t="s">
        <v>16</v>
      </c>
      <c r="D7976" s="5" t="s">
        <v>7695</v>
      </c>
      <c r="E7976" s="6" t="str">
        <f>HYPERLINK("https://twitter.com/petrogustavo/status/1287734004716908550","1287734004716908550")</f>
        <v>1287734004716908550</v>
      </c>
      <c r="F7976" s="7" t="s">
        <v>17</v>
      </c>
      <c r="G7976" s="7">
        <v>3914651</v>
      </c>
      <c r="H7976" s="7">
        <v>2421</v>
      </c>
      <c r="I7976" s="7">
        <v>196</v>
      </c>
      <c r="J7976" s="7">
        <v>605</v>
      </c>
      <c r="K7976" s="7" t="s">
        <v>18</v>
      </c>
      <c r="L7976" s="8">
        <v>39987.315405092595</v>
      </c>
      <c r="M7976" s="9" t="s">
        <v>19</v>
      </c>
      <c r="N7976" s="9" t="s">
        <v>20</v>
      </c>
      <c r="O7976" s="6" t="str">
        <f>HYPERLINK("https://pbs.twimg.com/profile_images/962471262747529216/Uo8lOkRJ_normal.jpg","View")</f>
        <v>View</v>
      </c>
      <c r="P7976" s="7"/>
    </row>
    <row r="7977" spans="1:16">
      <c r="A7977" s="3">
        <v>44039.776747685188</v>
      </c>
      <c r="B7977" s="4" t="str">
        <f>HYPERLINK("https://twitter.com/petrogustavo","@petrogustavo")</f>
        <v>@petrogustavo</v>
      </c>
      <c r="C7977" s="5" t="s">
        <v>16</v>
      </c>
      <c r="D7977" s="5" t="s">
        <v>7696</v>
      </c>
      <c r="E7977" s="6" t="str">
        <f>HYPERLINK("https://twitter.com/petrogustavo/status/1287736627129921538","1287736627129921538")</f>
        <v>1287736627129921538</v>
      </c>
      <c r="F7977" s="7" t="s">
        <v>17</v>
      </c>
      <c r="G7977" s="7">
        <v>3914651</v>
      </c>
      <c r="H7977" s="7">
        <v>2421</v>
      </c>
      <c r="I7977" s="7">
        <v>60</v>
      </c>
      <c r="J7977" s="7">
        <v>122</v>
      </c>
      <c r="K7977" s="7" t="s">
        <v>18</v>
      </c>
      <c r="L7977" s="8">
        <v>39987.315405092595</v>
      </c>
      <c r="M7977" s="9" t="s">
        <v>19</v>
      </c>
      <c r="N7977" s="9" t="s">
        <v>20</v>
      </c>
      <c r="O7977" s="6" t="str">
        <f>HYPERLINK("https://pbs.twimg.com/profile_images/962471262747529216/Uo8lOkRJ_normal.jpg","View")</f>
        <v>View</v>
      </c>
      <c r="P7977" s="7"/>
    </row>
    <row r="7978" spans="1:16">
      <c r="A7978" s="3">
        <v>44039.780775462961</v>
      </c>
      <c r="B7978" s="4" t="str">
        <f>HYPERLINK("https://twitter.com/petrogustavo","@petrogustavo")</f>
        <v>@petrogustavo</v>
      </c>
      <c r="C7978" s="5" t="s">
        <v>16</v>
      </c>
      <c r="D7978" s="5" t="s">
        <v>7697</v>
      </c>
      <c r="E7978" s="6" t="str">
        <f>HYPERLINK("https://twitter.com/petrogustavo/status/1287738086525460480","1287738086525460480")</f>
        <v>1287738086525460480</v>
      </c>
      <c r="F7978" s="7" t="s">
        <v>17</v>
      </c>
      <c r="G7978" s="7">
        <v>3914651</v>
      </c>
      <c r="H7978" s="7">
        <v>2421</v>
      </c>
      <c r="I7978" s="7">
        <v>37</v>
      </c>
      <c r="J7978" s="7">
        <v>92</v>
      </c>
      <c r="K7978" s="7" t="s">
        <v>18</v>
      </c>
      <c r="L7978" s="8">
        <v>39987.315405092595</v>
      </c>
      <c r="M7978" s="9" t="s">
        <v>19</v>
      </c>
      <c r="N7978" s="9" t="s">
        <v>20</v>
      </c>
      <c r="O7978" s="6" t="str">
        <f>HYPERLINK("https://pbs.twimg.com/profile_images/962471262747529216/Uo8lOkRJ_normal.jpg","View")</f>
        <v>View</v>
      </c>
      <c r="P7978" s="7"/>
    </row>
    <row r="7979" spans="1:16">
      <c r="A7979" s="3">
        <v>44039.928807870368</v>
      </c>
      <c r="B7979" s="4" t="str">
        <f>HYPERLINK("https://twitter.com/petrogustavo","@petrogustavo")</f>
        <v>@petrogustavo</v>
      </c>
      <c r="C7979" s="5" t="s">
        <v>16</v>
      </c>
      <c r="D7979" s="5" t="s">
        <v>7698</v>
      </c>
      <c r="E7979" s="6" t="str">
        <f>HYPERLINK("https://twitter.com/petrogustavo/status/1287791731640082433","1287791731640082433")</f>
        <v>1287791731640082433</v>
      </c>
      <c r="F7979" s="7" t="s">
        <v>32</v>
      </c>
      <c r="G7979" s="7">
        <v>3914798</v>
      </c>
      <c r="H7979" s="7">
        <v>2421</v>
      </c>
      <c r="I7979" s="7">
        <v>671</v>
      </c>
      <c r="J7979" s="7">
        <v>0</v>
      </c>
      <c r="K7979" s="7" t="s">
        <v>18</v>
      </c>
      <c r="L7979" s="8">
        <v>39987.315405092595</v>
      </c>
      <c r="M7979" s="9" t="s">
        <v>19</v>
      </c>
      <c r="N7979" s="9" t="s">
        <v>20</v>
      </c>
      <c r="O7979" s="6" t="str">
        <f>HYPERLINK("https://pbs.twimg.com/profile_images/962471262747529216/Uo8lOkRJ_normal.jpg","View")</f>
        <v>View</v>
      </c>
      <c r="P7979" s="7"/>
    </row>
    <row r="7980" spans="1:16">
      <c r="A7980" s="3">
        <v>44039.952835648146</v>
      </c>
      <c r="B7980" s="4" t="str">
        <f>HYPERLINK("https://twitter.com/petrogustavo","@petrogustavo")</f>
        <v>@petrogustavo</v>
      </c>
      <c r="C7980" s="5" t="s">
        <v>16</v>
      </c>
      <c r="D7980" s="5" t="s">
        <v>7699</v>
      </c>
      <c r="E7980" s="6" t="str">
        <f>HYPERLINK("https://twitter.com/petrogustavo/status/1287800440931921921","1287800440931921921")</f>
        <v>1287800440931921921</v>
      </c>
      <c r="F7980" s="7" t="s">
        <v>21</v>
      </c>
      <c r="G7980" s="7">
        <v>3914820</v>
      </c>
      <c r="H7980" s="7">
        <v>2421</v>
      </c>
      <c r="I7980" s="7">
        <v>206</v>
      </c>
      <c r="J7980" s="7">
        <v>406</v>
      </c>
      <c r="K7980" s="7" t="s">
        <v>18</v>
      </c>
      <c r="L7980" s="8">
        <v>39987.315405092595</v>
      </c>
      <c r="M7980" s="9" t="s">
        <v>19</v>
      </c>
      <c r="N7980" s="9" t="s">
        <v>20</v>
      </c>
      <c r="O7980" s="6" t="str">
        <f>HYPERLINK("https://pbs.twimg.com/profile_images/962471262747529216/Uo8lOkRJ_normal.jpg","View")</f>
        <v>View</v>
      </c>
      <c r="P7980" s="7"/>
    </row>
    <row r="7981" spans="1:16">
      <c r="A7981" s="3">
        <v>44040.057673611111</v>
      </c>
      <c r="B7981" s="4" t="str">
        <f>HYPERLINK("https://twitter.com/petrogustavo","@petrogustavo")</f>
        <v>@petrogustavo</v>
      </c>
      <c r="C7981" s="5" t="s">
        <v>16</v>
      </c>
      <c r="D7981" s="5" t="s">
        <v>7700</v>
      </c>
      <c r="E7981" s="6" t="str">
        <f>HYPERLINK("https://twitter.com/petrogustavo/status/1287838429582065664","1287838429582065664")</f>
        <v>1287838429582065664</v>
      </c>
      <c r="F7981" s="7" t="s">
        <v>17</v>
      </c>
      <c r="G7981" s="7">
        <v>3914907</v>
      </c>
      <c r="H7981" s="7">
        <v>2421</v>
      </c>
      <c r="I7981" s="7">
        <v>80</v>
      </c>
      <c r="J7981" s="7">
        <v>0</v>
      </c>
      <c r="K7981" s="7" t="s">
        <v>18</v>
      </c>
      <c r="L7981" s="8">
        <v>39987.315405092595</v>
      </c>
      <c r="M7981" s="9" t="s">
        <v>19</v>
      </c>
      <c r="N7981" s="9" t="s">
        <v>20</v>
      </c>
      <c r="O7981" s="6" t="str">
        <f>HYPERLINK("https://pbs.twimg.com/profile_images/962471262747529216/Uo8lOkRJ_normal.jpg","View")</f>
        <v>View</v>
      </c>
      <c r="P7981" s="7"/>
    </row>
    <row r="7982" spans="1:16">
      <c r="A7982" s="3">
        <v>44040.059074074074</v>
      </c>
      <c r="B7982" s="4" t="str">
        <f>HYPERLINK("https://twitter.com/petrogustavo","@petrogustavo")</f>
        <v>@petrogustavo</v>
      </c>
      <c r="C7982" s="5" t="s">
        <v>16</v>
      </c>
      <c r="D7982" s="5" t="s">
        <v>7701</v>
      </c>
      <c r="E7982" s="6" t="str">
        <f>HYPERLINK("https://twitter.com/petrogustavo/status/1287838937361391618","1287838937361391618")</f>
        <v>1287838937361391618</v>
      </c>
      <c r="F7982" s="7" t="s">
        <v>17</v>
      </c>
      <c r="G7982" s="7">
        <v>3914907</v>
      </c>
      <c r="H7982" s="7">
        <v>2421</v>
      </c>
      <c r="I7982" s="7">
        <v>107</v>
      </c>
      <c r="J7982" s="7">
        <v>274</v>
      </c>
      <c r="K7982" s="7" t="s">
        <v>18</v>
      </c>
      <c r="L7982" s="8">
        <v>39987.315405092595</v>
      </c>
      <c r="M7982" s="9" t="s">
        <v>19</v>
      </c>
      <c r="N7982" s="9" t="s">
        <v>20</v>
      </c>
      <c r="O7982" s="6" t="str">
        <f>HYPERLINK("https://pbs.twimg.com/profile_images/962471262747529216/Uo8lOkRJ_normal.jpg","View")</f>
        <v>View</v>
      </c>
      <c r="P7982" s="7"/>
    </row>
    <row r="7983" spans="1:16">
      <c r="A7983" s="3">
        <v>44040.075601851851</v>
      </c>
      <c r="B7983" s="4" t="str">
        <f>HYPERLINK("https://twitter.com/petrogustavo","@petrogustavo")</f>
        <v>@petrogustavo</v>
      </c>
      <c r="C7983" s="5" t="s">
        <v>16</v>
      </c>
      <c r="D7983" s="5" t="s">
        <v>7702</v>
      </c>
      <c r="E7983" s="6" t="str">
        <f>HYPERLINK("https://twitter.com/petrogustavo/status/1287844926865182720","1287844926865182720")</f>
        <v>1287844926865182720</v>
      </c>
      <c r="F7983" s="7" t="s">
        <v>17</v>
      </c>
      <c r="G7983" s="7">
        <v>3914931</v>
      </c>
      <c r="H7983" s="7">
        <v>2421</v>
      </c>
      <c r="I7983" s="7">
        <v>33</v>
      </c>
      <c r="J7983" s="7">
        <v>0</v>
      </c>
      <c r="K7983" s="7" t="s">
        <v>18</v>
      </c>
      <c r="L7983" s="8">
        <v>39987.315405092595</v>
      </c>
      <c r="M7983" s="9" t="s">
        <v>19</v>
      </c>
      <c r="N7983" s="9" t="s">
        <v>20</v>
      </c>
      <c r="O7983" s="6" t="str">
        <f>HYPERLINK("https://pbs.twimg.com/profile_images/962471262747529216/Uo8lOkRJ_normal.jpg","View")</f>
        <v>View</v>
      </c>
      <c r="P7983" s="7"/>
    </row>
    <row r="7984" spans="1:16">
      <c r="A7984" s="3">
        <v>44040.075856481482</v>
      </c>
      <c r="B7984" s="4" t="str">
        <f>HYPERLINK("https://twitter.com/petrogustavo","@petrogustavo")</f>
        <v>@petrogustavo</v>
      </c>
      <c r="C7984" s="5" t="s">
        <v>16</v>
      </c>
      <c r="D7984" s="5" t="s">
        <v>7703</v>
      </c>
      <c r="E7984" s="6" t="str">
        <f>HYPERLINK("https://twitter.com/petrogustavo/status/1287845019177619456","1287845019177619456")</f>
        <v>1287845019177619456</v>
      </c>
      <c r="F7984" s="7" t="s">
        <v>17</v>
      </c>
      <c r="G7984" s="7">
        <v>3914931</v>
      </c>
      <c r="H7984" s="7">
        <v>2421</v>
      </c>
      <c r="I7984" s="7">
        <v>239</v>
      </c>
      <c r="J7984" s="7">
        <v>0</v>
      </c>
      <c r="K7984" s="7" t="s">
        <v>18</v>
      </c>
      <c r="L7984" s="8">
        <v>39987.315405092595</v>
      </c>
      <c r="M7984" s="9" t="s">
        <v>19</v>
      </c>
      <c r="N7984" s="9" t="s">
        <v>20</v>
      </c>
      <c r="O7984" s="6" t="str">
        <f>HYPERLINK("https://pbs.twimg.com/profile_images/962471262747529216/Uo8lOkRJ_normal.jpg","View")</f>
        <v>View</v>
      </c>
      <c r="P7984" s="7"/>
    </row>
    <row r="7985" spans="1:16">
      <c r="A7985" s="3">
        <v>44040.114571759259</v>
      </c>
      <c r="B7985" s="4" t="str">
        <f>HYPERLINK("https://twitter.com/petrogustavo","@petrogustavo")</f>
        <v>@petrogustavo</v>
      </c>
      <c r="C7985" s="5" t="s">
        <v>16</v>
      </c>
      <c r="D7985" s="5" t="s">
        <v>7704</v>
      </c>
      <c r="E7985" s="6" t="str">
        <f>HYPERLINK("https://twitter.com/petrogustavo/status/1287859051188097025","1287859051188097025")</f>
        <v>1287859051188097025</v>
      </c>
      <c r="F7985" s="7" t="s">
        <v>17</v>
      </c>
      <c r="G7985" s="7">
        <v>3914976</v>
      </c>
      <c r="H7985" s="7">
        <v>2421</v>
      </c>
      <c r="I7985" s="7">
        <v>1596</v>
      </c>
      <c r="J7985" s="7">
        <v>0</v>
      </c>
      <c r="K7985" s="7" t="s">
        <v>18</v>
      </c>
      <c r="L7985" s="8">
        <v>39987.315405092595</v>
      </c>
      <c r="M7985" s="9" t="s">
        <v>19</v>
      </c>
      <c r="N7985" s="9" t="s">
        <v>20</v>
      </c>
      <c r="O7985" s="6" t="str">
        <f>HYPERLINK("https://pbs.twimg.com/profile_images/962471262747529216/Uo8lOkRJ_normal.jpg","View")</f>
        <v>View</v>
      </c>
      <c r="P7985" s="7"/>
    </row>
    <row r="7986" spans="1:16">
      <c r="A7986" s="3">
        <v>44040.118692129632</v>
      </c>
      <c r="B7986" s="4" t="str">
        <f>HYPERLINK("https://twitter.com/petrogustavo","@petrogustavo")</f>
        <v>@petrogustavo</v>
      </c>
      <c r="C7986" s="5" t="s">
        <v>16</v>
      </c>
      <c r="D7986" s="5" t="s">
        <v>7705</v>
      </c>
      <c r="E7986" s="6" t="str">
        <f>HYPERLINK("https://twitter.com/petrogustavo/status/1287860541575364609","1287860541575364609")</f>
        <v>1287860541575364609</v>
      </c>
      <c r="F7986" s="7" t="s">
        <v>17</v>
      </c>
      <c r="G7986" s="7">
        <v>3914976</v>
      </c>
      <c r="H7986" s="7">
        <v>2421</v>
      </c>
      <c r="I7986" s="7">
        <v>146</v>
      </c>
      <c r="J7986" s="7">
        <v>344</v>
      </c>
      <c r="K7986" s="7" t="s">
        <v>18</v>
      </c>
      <c r="L7986" s="8">
        <v>39987.315405092595</v>
      </c>
      <c r="M7986" s="9" t="s">
        <v>19</v>
      </c>
      <c r="N7986" s="9" t="s">
        <v>20</v>
      </c>
      <c r="O7986" s="6" t="str">
        <f>HYPERLINK("https://pbs.twimg.com/profile_images/962471262747529216/Uo8lOkRJ_normal.jpg","View")</f>
        <v>View</v>
      </c>
      <c r="P7986" s="7"/>
    </row>
    <row r="7987" spans="1:16">
      <c r="A7987" s="3">
        <v>44040.118842592594</v>
      </c>
      <c r="B7987" s="4" t="str">
        <f>HYPERLINK("https://twitter.com/petrogustavo","@petrogustavo")</f>
        <v>@petrogustavo</v>
      </c>
      <c r="C7987" s="5" t="s">
        <v>16</v>
      </c>
      <c r="D7987" s="5" t="s">
        <v>7703</v>
      </c>
      <c r="E7987" s="6" t="str">
        <f>HYPERLINK("https://twitter.com/petrogustavo/status/1287860598030635008","1287860598030635008")</f>
        <v>1287860598030635008</v>
      </c>
      <c r="F7987" s="7" t="s">
        <v>17</v>
      </c>
      <c r="G7987" s="7">
        <v>3914976</v>
      </c>
      <c r="H7987" s="7">
        <v>2421</v>
      </c>
      <c r="I7987" s="7">
        <v>465</v>
      </c>
      <c r="J7987" s="7">
        <v>0</v>
      </c>
      <c r="K7987" s="7" t="s">
        <v>18</v>
      </c>
      <c r="L7987" s="8">
        <v>39987.315405092595</v>
      </c>
      <c r="M7987" s="9" t="s">
        <v>19</v>
      </c>
      <c r="N7987" s="9" t="s">
        <v>20</v>
      </c>
      <c r="O7987" s="6" t="str">
        <f>HYPERLINK("https://pbs.twimg.com/profile_images/962471262747529216/Uo8lOkRJ_normal.jpg","View")</f>
        <v>View</v>
      </c>
      <c r="P7987" s="7"/>
    </row>
    <row r="7988" spans="1:16">
      <c r="A7988" s="3">
        <v>44040.126597222217</v>
      </c>
      <c r="B7988" s="4" t="str">
        <f>HYPERLINK("https://twitter.com/petrogustavo","@petrogustavo")</f>
        <v>@petrogustavo</v>
      </c>
      <c r="C7988" s="5" t="s">
        <v>16</v>
      </c>
      <c r="D7988" s="5" t="s">
        <v>7706</v>
      </c>
      <c r="E7988" s="6" t="str">
        <f>HYPERLINK("https://twitter.com/petrogustavo/status/1287863407870382085","1287863407870382085")</f>
        <v>1287863407870382085</v>
      </c>
      <c r="F7988" s="7" t="s">
        <v>17</v>
      </c>
      <c r="G7988" s="7">
        <v>3914976</v>
      </c>
      <c r="H7988" s="7">
        <v>2421</v>
      </c>
      <c r="I7988" s="7">
        <v>492</v>
      </c>
      <c r="J7988" s="7">
        <v>0</v>
      </c>
      <c r="K7988" s="7" t="s">
        <v>18</v>
      </c>
      <c r="L7988" s="8">
        <v>39987.315405092595</v>
      </c>
      <c r="M7988" s="9" t="s">
        <v>19</v>
      </c>
      <c r="N7988" s="9" t="s">
        <v>20</v>
      </c>
      <c r="O7988" s="6" t="str">
        <f>HYPERLINK("https://pbs.twimg.com/profile_images/962471262747529216/Uo8lOkRJ_normal.jpg","View")</f>
        <v>View</v>
      </c>
      <c r="P7988" s="7"/>
    </row>
    <row r="7989" spans="1:16">
      <c r="A7989" s="3">
        <v>44040.157060185185</v>
      </c>
      <c r="B7989" s="4" t="str">
        <f>HYPERLINK("https://twitter.com/petrogustavo","@petrogustavo")</f>
        <v>@petrogustavo</v>
      </c>
      <c r="C7989" s="5" t="s">
        <v>16</v>
      </c>
      <c r="D7989" s="5" t="s">
        <v>7707</v>
      </c>
      <c r="E7989" s="6" t="str">
        <f>HYPERLINK("https://twitter.com/petrogustavo/status/1287874446343073794","1287874446343073794")</f>
        <v>1287874446343073794</v>
      </c>
      <c r="F7989" s="7" t="s">
        <v>17</v>
      </c>
      <c r="G7989" s="7">
        <v>3914990</v>
      </c>
      <c r="H7989" s="7">
        <v>2421</v>
      </c>
      <c r="I7989" s="7">
        <v>113</v>
      </c>
      <c r="J7989" s="7">
        <v>222</v>
      </c>
      <c r="K7989" s="7" t="s">
        <v>18</v>
      </c>
      <c r="L7989" s="8">
        <v>39987.315405092595</v>
      </c>
      <c r="M7989" s="9" t="s">
        <v>19</v>
      </c>
      <c r="N7989" s="9" t="s">
        <v>20</v>
      </c>
      <c r="O7989" s="6" t="str">
        <f>HYPERLINK("https://pbs.twimg.com/profile_images/962471262747529216/Uo8lOkRJ_normal.jpg","View")</f>
        <v>View</v>
      </c>
      <c r="P7989" s="7"/>
    </row>
    <row r="7990" spans="1:16">
      <c r="A7990" s="3">
        <v>44040.306469907402</v>
      </c>
      <c r="B7990" s="4" t="str">
        <f>HYPERLINK("https://twitter.com/petrogustavo","@petrogustavo")</f>
        <v>@petrogustavo</v>
      </c>
      <c r="C7990" s="5" t="s">
        <v>16</v>
      </c>
      <c r="D7990" s="5" t="s">
        <v>7708</v>
      </c>
      <c r="E7990" s="6" t="str">
        <f>HYPERLINK("https://twitter.com/petrogustavo/status/1287928591922221061","1287928591922221061")</f>
        <v>1287928591922221061</v>
      </c>
      <c r="F7990" s="7" t="s">
        <v>17</v>
      </c>
      <c r="G7990" s="7">
        <v>3915085</v>
      </c>
      <c r="H7990" s="7">
        <v>2421</v>
      </c>
      <c r="I7990" s="7">
        <v>95</v>
      </c>
      <c r="J7990" s="7">
        <v>242</v>
      </c>
      <c r="K7990" s="7" t="s">
        <v>18</v>
      </c>
      <c r="L7990" s="8">
        <v>39987.315405092595</v>
      </c>
      <c r="M7990" s="9" t="s">
        <v>19</v>
      </c>
      <c r="N7990" s="9" t="s">
        <v>20</v>
      </c>
      <c r="O7990" s="6" t="str">
        <f>HYPERLINK("https://pbs.twimg.com/profile_images/962471262747529216/Uo8lOkRJ_normal.jpg","View")</f>
        <v>View</v>
      </c>
      <c r="P7990" s="7"/>
    </row>
    <row r="7991" spans="1:16">
      <c r="A7991" s="3">
        <v>44040.312789351854</v>
      </c>
      <c r="B7991" s="4" t="str">
        <f>HYPERLINK("https://twitter.com/petrogustavo","@petrogustavo")</f>
        <v>@petrogustavo</v>
      </c>
      <c r="C7991" s="5" t="s">
        <v>16</v>
      </c>
      <c r="D7991" s="5" t="s">
        <v>7709</v>
      </c>
      <c r="E7991" s="6" t="str">
        <f>HYPERLINK("https://twitter.com/petrogustavo/status/1287930879944396800","1287930879944396800")</f>
        <v>1287930879944396800</v>
      </c>
      <c r="F7991" s="7" t="s">
        <v>17</v>
      </c>
      <c r="G7991" s="7">
        <v>3915085</v>
      </c>
      <c r="H7991" s="7">
        <v>2421</v>
      </c>
      <c r="I7991" s="7">
        <v>344</v>
      </c>
      <c r="J7991" s="7">
        <v>0</v>
      </c>
      <c r="K7991" s="7" t="s">
        <v>18</v>
      </c>
      <c r="L7991" s="8">
        <v>39987.315405092595</v>
      </c>
      <c r="M7991" s="9" t="s">
        <v>19</v>
      </c>
      <c r="N7991" s="9" t="s">
        <v>20</v>
      </c>
      <c r="O7991" s="6" t="str">
        <f>HYPERLINK("https://pbs.twimg.com/profile_images/962471262747529216/Uo8lOkRJ_normal.jpg","View")</f>
        <v>View</v>
      </c>
      <c r="P7991" s="7"/>
    </row>
    <row r="7992" spans="1:16">
      <c r="A7992" s="3">
        <v>44040.314236111109</v>
      </c>
      <c r="B7992" s="4" t="str">
        <f>HYPERLINK("https://twitter.com/petrogustavo","@petrogustavo")</f>
        <v>@petrogustavo</v>
      </c>
      <c r="C7992" s="5" t="s">
        <v>16</v>
      </c>
      <c r="D7992" s="5" t="s">
        <v>7710</v>
      </c>
      <c r="E7992" s="6" t="str">
        <f>HYPERLINK("https://twitter.com/petrogustavo/status/1287931404748292096","1287931404748292096")</f>
        <v>1287931404748292096</v>
      </c>
      <c r="F7992" s="7" t="s">
        <v>17</v>
      </c>
      <c r="G7992" s="7">
        <v>3915085</v>
      </c>
      <c r="H7992" s="7">
        <v>2421</v>
      </c>
      <c r="I7992" s="7">
        <v>788</v>
      </c>
      <c r="J7992" s="7">
        <v>0</v>
      </c>
      <c r="K7992" s="7" t="s">
        <v>18</v>
      </c>
      <c r="L7992" s="8">
        <v>39987.315405092595</v>
      </c>
      <c r="M7992" s="9" t="s">
        <v>19</v>
      </c>
      <c r="N7992" s="9" t="s">
        <v>20</v>
      </c>
      <c r="O7992" s="6" t="str">
        <f>HYPERLINK("https://pbs.twimg.com/profile_images/962471262747529216/Uo8lOkRJ_normal.jpg","View")</f>
        <v>View</v>
      </c>
      <c r="P7992" s="7"/>
    </row>
    <row r="7993" spans="1:16">
      <c r="A7993" s="3">
        <v>44040.316006944442</v>
      </c>
      <c r="B7993" s="4" t="str">
        <f>HYPERLINK("https://twitter.com/petrogustavo","@petrogustavo")</f>
        <v>@petrogustavo</v>
      </c>
      <c r="C7993" s="5" t="s">
        <v>16</v>
      </c>
      <c r="D7993" s="5" t="s">
        <v>7711</v>
      </c>
      <c r="E7993" s="6" t="str">
        <f>HYPERLINK("https://twitter.com/petrogustavo/status/1287932045923057664","1287932045923057664")</f>
        <v>1287932045923057664</v>
      </c>
      <c r="F7993" s="7" t="s">
        <v>17</v>
      </c>
      <c r="G7993" s="7">
        <v>3915112</v>
      </c>
      <c r="H7993" s="7">
        <v>2421</v>
      </c>
      <c r="I7993" s="7">
        <v>397</v>
      </c>
      <c r="J7993" s="7">
        <v>1165</v>
      </c>
      <c r="K7993" s="7" t="s">
        <v>18</v>
      </c>
      <c r="L7993" s="8">
        <v>39987.315405092595</v>
      </c>
      <c r="M7993" s="9" t="s">
        <v>19</v>
      </c>
      <c r="N7993" s="9" t="s">
        <v>20</v>
      </c>
      <c r="O7993" s="6" t="str">
        <f>HYPERLINK("https://pbs.twimg.com/profile_images/962471262747529216/Uo8lOkRJ_normal.jpg","View")</f>
        <v>View</v>
      </c>
      <c r="P7993" s="7"/>
    </row>
    <row r="7994" spans="1:16">
      <c r="A7994" s="3">
        <v>44040.319826388892</v>
      </c>
      <c r="B7994" s="4" t="str">
        <f>HYPERLINK("https://twitter.com/petrogustavo","@petrogustavo")</f>
        <v>@petrogustavo</v>
      </c>
      <c r="C7994" s="5" t="s">
        <v>16</v>
      </c>
      <c r="D7994" s="5" t="s">
        <v>7712</v>
      </c>
      <c r="E7994" s="6" t="str">
        <f>HYPERLINK("https://twitter.com/petrogustavo/status/1287933433252057088","1287933433252057088")</f>
        <v>1287933433252057088</v>
      </c>
      <c r="F7994" s="7" t="s">
        <v>17</v>
      </c>
      <c r="G7994" s="7">
        <v>3915112</v>
      </c>
      <c r="H7994" s="7">
        <v>2421</v>
      </c>
      <c r="I7994" s="7">
        <v>552</v>
      </c>
      <c r="J7994" s="7">
        <v>0</v>
      </c>
      <c r="K7994" s="7" t="s">
        <v>18</v>
      </c>
      <c r="L7994" s="8">
        <v>39987.315405092595</v>
      </c>
      <c r="M7994" s="9" t="s">
        <v>19</v>
      </c>
      <c r="N7994" s="9" t="s">
        <v>20</v>
      </c>
      <c r="O7994" s="6" t="str">
        <f>HYPERLINK("https://pbs.twimg.com/profile_images/962471262747529216/Uo8lOkRJ_normal.jpg","View")</f>
        <v>View</v>
      </c>
      <c r="P7994" s="7"/>
    </row>
    <row r="7995" spans="1:16">
      <c r="A7995" s="3">
        <v>44040.32136574074</v>
      </c>
      <c r="B7995" s="4" t="str">
        <f>HYPERLINK("https://twitter.com/petrogustavo","@petrogustavo")</f>
        <v>@petrogustavo</v>
      </c>
      <c r="C7995" s="5" t="s">
        <v>16</v>
      </c>
      <c r="D7995" s="5" t="s">
        <v>7713</v>
      </c>
      <c r="E7995" s="6" t="str">
        <f>HYPERLINK("https://twitter.com/petrogustavo/status/1287933988431110145","1287933988431110145")</f>
        <v>1287933988431110145</v>
      </c>
      <c r="F7995" s="7" t="s">
        <v>17</v>
      </c>
      <c r="G7995" s="7">
        <v>3915112</v>
      </c>
      <c r="H7995" s="7">
        <v>2421</v>
      </c>
      <c r="I7995" s="7">
        <v>251</v>
      </c>
      <c r="J7995" s="7">
        <v>602</v>
      </c>
      <c r="K7995" s="7" t="s">
        <v>18</v>
      </c>
      <c r="L7995" s="8">
        <v>39987.315405092595</v>
      </c>
      <c r="M7995" s="9" t="s">
        <v>19</v>
      </c>
      <c r="N7995" s="9" t="s">
        <v>20</v>
      </c>
      <c r="O7995" s="6" t="str">
        <f>HYPERLINK("https://pbs.twimg.com/profile_images/962471262747529216/Uo8lOkRJ_normal.jpg","View")</f>
        <v>View</v>
      </c>
      <c r="P7995" s="7"/>
    </row>
    <row r="7996" spans="1:16">
      <c r="A7996" s="3">
        <v>44040.324884259258</v>
      </c>
      <c r="B7996" s="4" t="str">
        <f>HYPERLINK("https://twitter.com/petrogustavo","@petrogustavo")</f>
        <v>@petrogustavo</v>
      </c>
      <c r="C7996" s="5" t="s">
        <v>16</v>
      </c>
      <c r="D7996" s="5" t="s">
        <v>7714</v>
      </c>
      <c r="E7996" s="6" t="str">
        <f>HYPERLINK("https://twitter.com/petrogustavo/status/1287935266628546560","1287935266628546560")</f>
        <v>1287935266628546560</v>
      </c>
      <c r="F7996" s="7" t="s">
        <v>17</v>
      </c>
      <c r="G7996" s="7">
        <v>3915112</v>
      </c>
      <c r="H7996" s="7">
        <v>2421</v>
      </c>
      <c r="I7996" s="7">
        <v>40</v>
      </c>
      <c r="J7996" s="7">
        <v>0</v>
      </c>
      <c r="K7996" s="7" t="s">
        <v>18</v>
      </c>
      <c r="L7996" s="8">
        <v>39987.315405092595</v>
      </c>
      <c r="M7996" s="9" t="s">
        <v>19</v>
      </c>
      <c r="N7996" s="9" t="s">
        <v>20</v>
      </c>
      <c r="O7996" s="6" t="str">
        <f>HYPERLINK("https://pbs.twimg.com/profile_images/962471262747529216/Uo8lOkRJ_normal.jpg","View")</f>
        <v>View</v>
      </c>
      <c r="P7996" s="7"/>
    </row>
    <row r="7997" spans="1:16">
      <c r="A7997" s="3">
        <v>44040.326423611114</v>
      </c>
      <c r="B7997" s="4" t="str">
        <f>HYPERLINK("https://twitter.com/petrogustavo","@petrogustavo")</f>
        <v>@petrogustavo</v>
      </c>
      <c r="C7997" s="5" t="s">
        <v>16</v>
      </c>
      <c r="D7997" s="5" t="s">
        <v>7715</v>
      </c>
      <c r="E7997" s="6" t="str">
        <f>HYPERLINK("https://twitter.com/petrogustavo/status/1287935824500334592","1287935824500334592")</f>
        <v>1287935824500334592</v>
      </c>
      <c r="F7997" s="7" t="s">
        <v>17</v>
      </c>
      <c r="G7997" s="7">
        <v>3915112</v>
      </c>
      <c r="H7997" s="7">
        <v>2421</v>
      </c>
      <c r="I7997" s="7">
        <v>251</v>
      </c>
      <c r="J7997" s="7">
        <v>0</v>
      </c>
      <c r="K7997" s="7" t="s">
        <v>18</v>
      </c>
      <c r="L7997" s="8">
        <v>39987.315405092595</v>
      </c>
      <c r="M7997" s="9" t="s">
        <v>19</v>
      </c>
      <c r="N7997" s="9" t="s">
        <v>20</v>
      </c>
      <c r="O7997" s="6" t="str">
        <f>HYPERLINK("https://pbs.twimg.com/profile_images/962471262747529216/Uo8lOkRJ_normal.jpg","View")</f>
        <v>View</v>
      </c>
      <c r="P7997" s="7"/>
    </row>
    <row r="7998" spans="1:16">
      <c r="A7998" s="3">
        <v>44040.736250000002</v>
      </c>
      <c r="B7998" s="4" t="str">
        <f>HYPERLINK("https://twitter.com/petrogustavo","@petrogustavo")</f>
        <v>@petrogustavo</v>
      </c>
      <c r="C7998" s="5" t="s">
        <v>16</v>
      </c>
      <c r="D7998" s="5" t="s">
        <v>7716</v>
      </c>
      <c r="E7998" s="6" t="str">
        <f>HYPERLINK("https://twitter.com/petrogustavo/status/1288084337720791041","1288084337720791041")</f>
        <v>1288084337720791041</v>
      </c>
      <c r="F7998" s="7" t="s">
        <v>17</v>
      </c>
      <c r="G7998" s="7">
        <v>3915106</v>
      </c>
      <c r="H7998" s="7">
        <v>2421</v>
      </c>
      <c r="I7998" s="7">
        <v>182</v>
      </c>
      <c r="J7998" s="7">
        <v>0</v>
      </c>
      <c r="K7998" s="7" t="s">
        <v>18</v>
      </c>
      <c r="L7998" s="8">
        <v>39987.315405092595</v>
      </c>
      <c r="M7998" s="9" t="s">
        <v>19</v>
      </c>
      <c r="N7998" s="9" t="s">
        <v>20</v>
      </c>
      <c r="O7998" s="6" t="str">
        <f>HYPERLINK("https://pbs.twimg.com/profile_images/962471262747529216/Uo8lOkRJ_normal.jpg","View")</f>
        <v>View</v>
      </c>
      <c r="P7998" s="7"/>
    </row>
    <row r="7999" spans="1:16">
      <c r="A7999" s="3">
        <v>44040.736481481479</v>
      </c>
      <c r="B7999" s="4" t="str">
        <f>HYPERLINK("https://twitter.com/petrogustavo","@petrogustavo")</f>
        <v>@petrogustavo</v>
      </c>
      <c r="C7999" s="5" t="s">
        <v>16</v>
      </c>
      <c r="D7999" s="5" t="s">
        <v>7717</v>
      </c>
      <c r="E7999" s="6" t="str">
        <f>HYPERLINK("https://twitter.com/petrogustavo/status/1288084420977733632","1288084420977733632")</f>
        <v>1288084420977733632</v>
      </c>
      <c r="F7999" s="7" t="s">
        <v>17</v>
      </c>
      <c r="G7999" s="7">
        <v>3915106</v>
      </c>
      <c r="H7999" s="7">
        <v>2421</v>
      </c>
      <c r="I7999" s="7">
        <v>485</v>
      </c>
      <c r="J7999" s="7">
        <v>0</v>
      </c>
      <c r="K7999" s="7" t="s">
        <v>18</v>
      </c>
      <c r="L7999" s="8">
        <v>39987.315405092595</v>
      </c>
      <c r="M7999" s="9" t="s">
        <v>19</v>
      </c>
      <c r="N7999" s="9" t="s">
        <v>20</v>
      </c>
      <c r="O7999" s="6" t="str">
        <f>HYPERLINK("https://pbs.twimg.com/profile_images/962471262747529216/Uo8lOkRJ_normal.jpg","View")</f>
        <v>View</v>
      </c>
      <c r="P7999" s="7"/>
    </row>
    <row r="8000" spans="1:16">
      <c r="A8000" s="3">
        <v>44040.738530092596</v>
      </c>
      <c r="B8000" s="4" t="str">
        <f>HYPERLINK("https://twitter.com/petrogustavo","@petrogustavo")</f>
        <v>@petrogustavo</v>
      </c>
      <c r="C8000" s="5" t="s">
        <v>16</v>
      </c>
      <c r="D8000" s="5" t="s">
        <v>7718</v>
      </c>
      <c r="E8000" s="6" t="str">
        <f>HYPERLINK("https://twitter.com/petrogustavo/status/1288085163591831552","1288085163591831552")</f>
        <v>1288085163591831552</v>
      </c>
      <c r="F8000" s="7" t="s">
        <v>17</v>
      </c>
      <c r="G8000" s="7">
        <v>3915106</v>
      </c>
      <c r="H8000" s="7">
        <v>2421</v>
      </c>
      <c r="I8000" s="7">
        <v>245</v>
      </c>
      <c r="J8000" s="7">
        <v>0</v>
      </c>
      <c r="K8000" s="7" t="s">
        <v>18</v>
      </c>
      <c r="L8000" s="8">
        <v>39987.315405092595</v>
      </c>
      <c r="M8000" s="9" t="s">
        <v>19</v>
      </c>
      <c r="N8000" s="9" t="s">
        <v>20</v>
      </c>
      <c r="O8000" s="6" t="str">
        <f>HYPERLINK("https://pbs.twimg.com/profile_images/962471262747529216/Uo8lOkRJ_normal.jpg","View")</f>
        <v>View</v>
      </c>
      <c r="P8000" s="7"/>
    </row>
    <row r="8001" spans="1:16">
      <c r="A8001" s="3">
        <v>44040.747719907406</v>
      </c>
      <c r="B8001" s="4" t="str">
        <f>HYPERLINK("https://twitter.com/petrogustavo","@petrogustavo")</f>
        <v>@petrogustavo</v>
      </c>
      <c r="C8001" s="5" t="s">
        <v>16</v>
      </c>
      <c r="D8001" s="5" t="s">
        <v>7719</v>
      </c>
      <c r="E8001" s="6" t="str">
        <f>HYPERLINK("https://twitter.com/petrogustavo/status/1288088496138264576","1288088496138264576")</f>
        <v>1288088496138264576</v>
      </c>
      <c r="F8001" s="7" t="s">
        <v>17</v>
      </c>
      <c r="G8001" s="7">
        <v>3915106</v>
      </c>
      <c r="H8001" s="7">
        <v>2421</v>
      </c>
      <c r="I8001" s="7">
        <v>8</v>
      </c>
      <c r="J8001" s="7">
        <v>0</v>
      </c>
      <c r="K8001" s="7" t="s">
        <v>18</v>
      </c>
      <c r="L8001" s="8">
        <v>39987.315405092595</v>
      </c>
      <c r="M8001" s="9" t="s">
        <v>19</v>
      </c>
      <c r="N8001" s="9" t="s">
        <v>20</v>
      </c>
      <c r="O8001" s="6" t="str">
        <f>HYPERLINK("https://pbs.twimg.com/profile_images/962471262747529216/Uo8lOkRJ_normal.jpg","View")</f>
        <v>View</v>
      </c>
      <c r="P8001" s="7"/>
    </row>
    <row r="8002" spans="1:16">
      <c r="A8002" s="3">
        <v>44040.749120370368</v>
      </c>
      <c r="B8002" s="4" t="str">
        <f>HYPERLINK("https://twitter.com/petrogustavo","@petrogustavo")</f>
        <v>@petrogustavo</v>
      </c>
      <c r="C8002" s="5" t="s">
        <v>16</v>
      </c>
      <c r="D8002" s="5" t="s">
        <v>7720</v>
      </c>
      <c r="E8002" s="6" t="str">
        <f>HYPERLINK("https://twitter.com/petrogustavo/status/1288089001287720960","1288089001287720960")</f>
        <v>1288089001287720960</v>
      </c>
      <c r="F8002" s="7" t="s">
        <v>17</v>
      </c>
      <c r="G8002" s="7">
        <v>3915106</v>
      </c>
      <c r="H8002" s="7">
        <v>2421</v>
      </c>
      <c r="I8002" s="7">
        <v>40</v>
      </c>
      <c r="J8002" s="7">
        <v>82</v>
      </c>
      <c r="K8002" s="7" t="s">
        <v>18</v>
      </c>
      <c r="L8002" s="8">
        <v>39987.315405092595</v>
      </c>
      <c r="M8002" s="9" t="s">
        <v>19</v>
      </c>
      <c r="N8002" s="9" t="s">
        <v>20</v>
      </c>
      <c r="O8002" s="6" t="str">
        <f>HYPERLINK("https://pbs.twimg.com/profile_images/962471262747529216/Uo8lOkRJ_normal.jpg","View")</f>
        <v>View</v>
      </c>
      <c r="P8002" s="7"/>
    </row>
    <row r="8003" spans="1:16">
      <c r="A8003" s="3">
        <v>44040.750324074077</v>
      </c>
      <c r="B8003" s="4" t="str">
        <f>HYPERLINK("https://twitter.com/petrogustavo","@petrogustavo")</f>
        <v>@petrogustavo</v>
      </c>
      <c r="C8003" s="5" t="s">
        <v>16</v>
      </c>
      <c r="D8003" s="5" t="s">
        <v>7721</v>
      </c>
      <c r="E8003" s="6" t="str">
        <f>HYPERLINK("https://twitter.com/petrogustavo/status/1288089437860241414","1288089437860241414")</f>
        <v>1288089437860241414</v>
      </c>
      <c r="F8003" s="7" t="s">
        <v>17</v>
      </c>
      <c r="G8003" s="7">
        <v>3915106</v>
      </c>
      <c r="H8003" s="7">
        <v>2421</v>
      </c>
      <c r="I8003" s="7">
        <v>14</v>
      </c>
      <c r="J8003" s="7">
        <v>46</v>
      </c>
      <c r="K8003" s="7" t="s">
        <v>18</v>
      </c>
      <c r="L8003" s="8">
        <v>39987.315405092595</v>
      </c>
      <c r="M8003" s="9" t="s">
        <v>19</v>
      </c>
      <c r="N8003" s="9" t="s">
        <v>20</v>
      </c>
      <c r="O8003" s="6" t="str">
        <f>HYPERLINK("https://pbs.twimg.com/profile_images/962471262747529216/Uo8lOkRJ_normal.jpg","View")</f>
        <v>View</v>
      </c>
      <c r="P8003" s="7"/>
    </row>
    <row r="8004" spans="1:16">
      <c r="A8004" s="3">
        <v>44040.756550925929</v>
      </c>
      <c r="B8004" s="4" t="str">
        <f>HYPERLINK("https://twitter.com/petrogustavo","@petrogustavo")</f>
        <v>@petrogustavo</v>
      </c>
      <c r="C8004" s="5" t="s">
        <v>16</v>
      </c>
      <c r="D8004" s="5" t="s">
        <v>7722</v>
      </c>
      <c r="E8004" s="6" t="str">
        <f>HYPERLINK("https://twitter.com/petrogustavo/status/1288091696346136576","1288091696346136576")</f>
        <v>1288091696346136576</v>
      </c>
      <c r="F8004" s="7" t="s">
        <v>17</v>
      </c>
      <c r="G8004" s="7">
        <v>3915108</v>
      </c>
      <c r="H8004" s="7">
        <v>2421</v>
      </c>
      <c r="I8004" s="7">
        <v>234</v>
      </c>
      <c r="J8004" s="7">
        <v>615</v>
      </c>
      <c r="K8004" s="7" t="s">
        <v>18</v>
      </c>
      <c r="L8004" s="8">
        <v>39987.315405092595</v>
      </c>
      <c r="M8004" s="9" t="s">
        <v>19</v>
      </c>
      <c r="N8004" s="9" t="s">
        <v>20</v>
      </c>
      <c r="O8004" s="6" t="str">
        <f>HYPERLINK("https://pbs.twimg.com/profile_images/962471262747529216/Uo8lOkRJ_normal.jpg","View")</f>
        <v>View</v>
      </c>
      <c r="P8004" s="7"/>
    </row>
    <row r="8005" spans="1:16">
      <c r="A8005" s="3">
        <v>44040.762719907405</v>
      </c>
      <c r="B8005" s="4" t="str">
        <f>HYPERLINK("https://twitter.com/petrogustavo","@petrogustavo")</f>
        <v>@petrogustavo</v>
      </c>
      <c r="C8005" s="5" t="s">
        <v>16</v>
      </c>
      <c r="D8005" s="5" t="s">
        <v>7723</v>
      </c>
      <c r="E8005" s="6" t="str">
        <f>HYPERLINK("https://twitter.com/petrogustavo/status/1288093930685333505","1288093930685333505")</f>
        <v>1288093930685333505</v>
      </c>
      <c r="F8005" s="7" t="s">
        <v>17</v>
      </c>
      <c r="G8005" s="7">
        <v>3915108</v>
      </c>
      <c r="H8005" s="7">
        <v>2421</v>
      </c>
      <c r="I8005" s="7">
        <v>145</v>
      </c>
      <c r="J8005" s="7">
        <v>239</v>
      </c>
      <c r="K8005" s="7" t="s">
        <v>18</v>
      </c>
      <c r="L8005" s="8">
        <v>39987.315405092595</v>
      </c>
      <c r="M8005" s="9" t="s">
        <v>19</v>
      </c>
      <c r="N8005" s="9" t="s">
        <v>20</v>
      </c>
      <c r="O8005" s="6" t="str">
        <f>HYPERLINK("https://pbs.twimg.com/profile_images/962471262747529216/Uo8lOkRJ_normal.jpg","View")</f>
        <v>View</v>
      </c>
      <c r="P8005" s="7"/>
    </row>
    <row r="8006" spans="1:16">
      <c r="A8006" s="3">
        <v>44040.775393518517</v>
      </c>
      <c r="B8006" s="4" t="str">
        <f>HYPERLINK("https://twitter.com/petrogustavo","@petrogustavo")</f>
        <v>@petrogustavo</v>
      </c>
      <c r="C8006" s="5" t="s">
        <v>16</v>
      </c>
      <c r="D8006" s="5" t="s">
        <v>7724</v>
      </c>
      <c r="E8006" s="6" t="str">
        <f>HYPERLINK("https://twitter.com/petrogustavo/status/1288098525616771073","1288098525616771073")</f>
        <v>1288098525616771073</v>
      </c>
      <c r="F8006" s="7" t="s">
        <v>17</v>
      </c>
      <c r="G8006" s="7">
        <v>3915119</v>
      </c>
      <c r="H8006" s="7">
        <v>2421</v>
      </c>
      <c r="I8006" s="7">
        <v>130</v>
      </c>
      <c r="J8006" s="7">
        <v>289</v>
      </c>
      <c r="K8006" s="7" t="s">
        <v>18</v>
      </c>
      <c r="L8006" s="8">
        <v>39987.315405092595</v>
      </c>
      <c r="M8006" s="9" t="s">
        <v>19</v>
      </c>
      <c r="N8006" s="9" t="s">
        <v>20</v>
      </c>
      <c r="O8006" s="6" t="str">
        <f>HYPERLINK("https://pbs.twimg.com/profile_images/962471262747529216/Uo8lOkRJ_normal.jpg","View")</f>
        <v>View</v>
      </c>
      <c r="P8006" s="7"/>
    </row>
    <row r="8007" spans="1:16">
      <c r="A8007" s="3">
        <v>44040.786180555559</v>
      </c>
      <c r="B8007" s="4" t="str">
        <f>HYPERLINK("https://twitter.com/petrogustavo","@petrogustavo")</f>
        <v>@petrogustavo</v>
      </c>
      <c r="C8007" s="5" t="s">
        <v>16</v>
      </c>
      <c r="D8007" s="5" t="s">
        <v>7725</v>
      </c>
      <c r="E8007" s="6" t="str">
        <f>HYPERLINK("https://twitter.com/petrogustavo/status/1288102431625117697","1288102431625117697")</f>
        <v>1288102431625117697</v>
      </c>
      <c r="F8007" s="7" t="s">
        <v>17</v>
      </c>
      <c r="G8007" s="7">
        <v>3915119</v>
      </c>
      <c r="H8007" s="7">
        <v>2421</v>
      </c>
      <c r="I8007" s="7">
        <v>249</v>
      </c>
      <c r="J8007" s="7">
        <v>0</v>
      </c>
      <c r="K8007" s="7" t="s">
        <v>18</v>
      </c>
      <c r="L8007" s="8">
        <v>39987.315405092595</v>
      </c>
      <c r="M8007" s="9" t="s">
        <v>19</v>
      </c>
      <c r="N8007" s="9" t="s">
        <v>20</v>
      </c>
      <c r="O8007" s="6" t="str">
        <f>HYPERLINK("https://pbs.twimg.com/profile_images/962471262747529216/Uo8lOkRJ_normal.jpg","View")</f>
        <v>View</v>
      </c>
      <c r="P8007" s="7"/>
    </row>
    <row r="8008" spans="1:16">
      <c r="A8008" s="3">
        <v>44040.788078703699</v>
      </c>
      <c r="B8008" s="4" t="str">
        <f>HYPERLINK("https://twitter.com/petrogustavo","@petrogustavo")</f>
        <v>@petrogustavo</v>
      </c>
      <c r="C8008" s="5" t="s">
        <v>16</v>
      </c>
      <c r="D8008" s="5" t="s">
        <v>7726</v>
      </c>
      <c r="E8008" s="6" t="str">
        <f>HYPERLINK("https://twitter.com/petrogustavo/status/1288103122271789058","1288103122271789058")</f>
        <v>1288103122271789058</v>
      </c>
      <c r="F8008" s="7" t="s">
        <v>17</v>
      </c>
      <c r="G8008" s="7">
        <v>3915119</v>
      </c>
      <c r="H8008" s="7">
        <v>2421</v>
      </c>
      <c r="I8008" s="7">
        <v>36</v>
      </c>
      <c r="J8008" s="7">
        <v>73</v>
      </c>
      <c r="K8008" s="7" t="s">
        <v>18</v>
      </c>
      <c r="L8008" s="8">
        <v>39987.315405092595</v>
      </c>
      <c r="M8008" s="9" t="s">
        <v>19</v>
      </c>
      <c r="N8008" s="9" t="s">
        <v>20</v>
      </c>
      <c r="O8008" s="6" t="str">
        <f>HYPERLINK("https://pbs.twimg.com/profile_images/962471262747529216/Uo8lOkRJ_normal.jpg","View")</f>
        <v>View</v>
      </c>
      <c r="P8008" s="7"/>
    </row>
    <row r="8009" spans="1:16">
      <c r="A8009" s="3">
        <v>44040.789189814815</v>
      </c>
      <c r="B8009" s="4" t="str">
        <f>HYPERLINK("https://twitter.com/petrogustavo","@petrogustavo")</f>
        <v>@petrogustavo</v>
      </c>
      <c r="C8009" s="5" t="s">
        <v>16</v>
      </c>
      <c r="D8009" s="5" t="s">
        <v>7727</v>
      </c>
      <c r="E8009" s="6" t="str">
        <f>HYPERLINK("https://twitter.com/petrogustavo/status/1288103523562016768","1288103523562016768")</f>
        <v>1288103523562016768</v>
      </c>
      <c r="F8009" s="7" t="s">
        <v>17</v>
      </c>
      <c r="G8009" s="7">
        <v>3915119</v>
      </c>
      <c r="H8009" s="7">
        <v>2421</v>
      </c>
      <c r="I8009" s="7">
        <v>6</v>
      </c>
      <c r="J8009" s="7">
        <v>0</v>
      </c>
      <c r="K8009" s="7" t="s">
        <v>18</v>
      </c>
      <c r="L8009" s="8">
        <v>39987.315405092595</v>
      </c>
      <c r="M8009" s="9" t="s">
        <v>19</v>
      </c>
      <c r="N8009" s="9" t="s">
        <v>20</v>
      </c>
      <c r="O8009" s="6" t="str">
        <f>HYPERLINK("https://pbs.twimg.com/profile_images/962471262747529216/Uo8lOkRJ_normal.jpg","View")</f>
        <v>View</v>
      </c>
      <c r="P8009" s="7"/>
    </row>
    <row r="8010" spans="1:16">
      <c r="A8010" s="3">
        <v>44040.789351851854</v>
      </c>
      <c r="B8010" s="4" t="str">
        <f>HYPERLINK("https://twitter.com/petrogustavo","@petrogustavo")</f>
        <v>@petrogustavo</v>
      </c>
      <c r="C8010" s="5" t="s">
        <v>16</v>
      </c>
      <c r="D8010" s="5" t="s">
        <v>7728</v>
      </c>
      <c r="E8010" s="6" t="str">
        <f>HYPERLINK("https://twitter.com/petrogustavo/status/1288103582689001472","1288103582689001472")</f>
        <v>1288103582689001472</v>
      </c>
      <c r="F8010" s="7" t="s">
        <v>17</v>
      </c>
      <c r="G8010" s="7">
        <v>3915119</v>
      </c>
      <c r="H8010" s="7">
        <v>2421</v>
      </c>
      <c r="I8010" s="7">
        <v>36</v>
      </c>
      <c r="J8010" s="7">
        <v>0</v>
      </c>
      <c r="K8010" s="7" t="s">
        <v>18</v>
      </c>
      <c r="L8010" s="8">
        <v>39987.315405092595</v>
      </c>
      <c r="M8010" s="9" t="s">
        <v>19</v>
      </c>
      <c r="N8010" s="9" t="s">
        <v>20</v>
      </c>
      <c r="O8010" s="6" t="str">
        <f>HYPERLINK("https://pbs.twimg.com/profile_images/962471262747529216/Uo8lOkRJ_normal.jpg","View")</f>
        <v>View</v>
      </c>
      <c r="P8010" s="7"/>
    </row>
    <row r="8011" spans="1:16">
      <c r="A8011" s="3">
        <v>44040.793749999997</v>
      </c>
      <c r="B8011" s="4" t="str">
        <f>HYPERLINK("https://twitter.com/petrogustavo","@petrogustavo")</f>
        <v>@petrogustavo</v>
      </c>
      <c r="C8011" s="5" t="s">
        <v>16</v>
      </c>
      <c r="D8011" s="5" t="s">
        <v>7729</v>
      </c>
      <c r="E8011" s="6" t="str">
        <f>HYPERLINK("https://twitter.com/petrogustavo/status/1288105176537022469","1288105176537022469")</f>
        <v>1288105176537022469</v>
      </c>
      <c r="F8011" s="7" t="s">
        <v>17</v>
      </c>
      <c r="G8011" s="7">
        <v>3915122</v>
      </c>
      <c r="H8011" s="7">
        <v>2421</v>
      </c>
      <c r="I8011" s="7">
        <v>2375</v>
      </c>
      <c r="J8011" s="7">
        <v>0</v>
      </c>
      <c r="K8011" s="7" t="s">
        <v>18</v>
      </c>
      <c r="L8011" s="8">
        <v>39987.315405092595</v>
      </c>
      <c r="M8011" s="9" t="s">
        <v>19</v>
      </c>
      <c r="N8011" s="9" t="s">
        <v>20</v>
      </c>
      <c r="O8011" s="6" t="str">
        <f>HYPERLINK("https://pbs.twimg.com/profile_images/962471262747529216/Uo8lOkRJ_normal.jpg","View")</f>
        <v>View</v>
      </c>
      <c r="P8011" s="7"/>
    </row>
    <row r="8012" spans="1:16">
      <c r="A8012" s="3">
        <v>44040.796134259261</v>
      </c>
      <c r="B8012" s="4" t="str">
        <f>HYPERLINK("https://twitter.com/petrogustavo","@petrogustavo")</f>
        <v>@petrogustavo</v>
      </c>
      <c r="C8012" s="5" t="s">
        <v>16</v>
      </c>
      <c r="D8012" s="5" t="s">
        <v>7715</v>
      </c>
      <c r="E8012" s="6" t="str">
        <f>HYPERLINK("https://twitter.com/petrogustavo/status/1288106040760782857","1288106040760782857")</f>
        <v>1288106040760782857</v>
      </c>
      <c r="F8012" s="7" t="s">
        <v>17</v>
      </c>
      <c r="G8012" s="7">
        <v>3915122</v>
      </c>
      <c r="H8012" s="7">
        <v>2421</v>
      </c>
      <c r="I8012" s="7">
        <v>1557</v>
      </c>
      <c r="J8012" s="7">
        <v>0</v>
      </c>
      <c r="K8012" s="7" t="s">
        <v>18</v>
      </c>
      <c r="L8012" s="8">
        <v>39987.315405092595</v>
      </c>
      <c r="M8012" s="9" t="s">
        <v>19</v>
      </c>
      <c r="N8012" s="9" t="s">
        <v>20</v>
      </c>
      <c r="O8012" s="6" t="str">
        <f>HYPERLINK("https://pbs.twimg.com/profile_images/962471262747529216/Uo8lOkRJ_normal.jpg","View")</f>
        <v>View</v>
      </c>
      <c r="P8012" s="7"/>
    </row>
    <row r="8013" spans="1:16">
      <c r="A8013" s="3">
        <v>44040.962673611109</v>
      </c>
      <c r="B8013" s="4" t="str">
        <f>HYPERLINK("https://twitter.com/petrogustavo","@petrogustavo")</f>
        <v>@petrogustavo</v>
      </c>
      <c r="C8013" s="5" t="s">
        <v>16</v>
      </c>
      <c r="D8013" s="5" t="s">
        <v>7730</v>
      </c>
      <c r="E8013" s="6" t="str">
        <f>HYPERLINK("https://twitter.com/petrogustavo/status/1288166390613114886","1288166390613114886")</f>
        <v>1288166390613114886</v>
      </c>
      <c r="F8013" s="7" t="s">
        <v>17</v>
      </c>
      <c r="G8013" s="7">
        <v>3915188</v>
      </c>
      <c r="H8013" s="7">
        <v>2421</v>
      </c>
      <c r="I8013" s="7">
        <v>690</v>
      </c>
      <c r="J8013" s="7">
        <v>0</v>
      </c>
      <c r="K8013" s="7" t="s">
        <v>18</v>
      </c>
      <c r="L8013" s="8">
        <v>39987.315405092595</v>
      </c>
      <c r="M8013" s="9" t="s">
        <v>19</v>
      </c>
      <c r="N8013" s="9" t="s">
        <v>20</v>
      </c>
      <c r="O8013" s="6" t="str">
        <f>HYPERLINK("https://pbs.twimg.com/profile_images/962471262747529216/Uo8lOkRJ_normal.jpg","View")</f>
        <v>View</v>
      </c>
      <c r="P8013" s="7"/>
    </row>
    <row r="8014" spans="1:16">
      <c r="A8014" s="3">
        <v>44040.964421296296</v>
      </c>
      <c r="B8014" s="4" t="str">
        <f>HYPERLINK("https://twitter.com/petrogustavo","@petrogustavo")</f>
        <v>@petrogustavo</v>
      </c>
      <c r="C8014" s="5" t="s">
        <v>16</v>
      </c>
      <c r="D8014" s="5" t="s">
        <v>7731</v>
      </c>
      <c r="E8014" s="6" t="str">
        <f>HYPERLINK("https://twitter.com/petrogustavo/status/1288167024078848001","1288167024078848001")</f>
        <v>1288167024078848001</v>
      </c>
      <c r="F8014" s="7" t="s">
        <v>17</v>
      </c>
      <c r="G8014" s="7">
        <v>3915188</v>
      </c>
      <c r="H8014" s="7">
        <v>2421</v>
      </c>
      <c r="I8014" s="7">
        <v>176</v>
      </c>
      <c r="J8014" s="7">
        <v>416</v>
      </c>
      <c r="K8014" s="7" t="s">
        <v>18</v>
      </c>
      <c r="L8014" s="8">
        <v>39987.315405092595</v>
      </c>
      <c r="M8014" s="9" t="s">
        <v>19</v>
      </c>
      <c r="N8014" s="9" t="s">
        <v>20</v>
      </c>
      <c r="O8014" s="6" t="str">
        <f>HYPERLINK("https://pbs.twimg.com/profile_images/962471262747529216/Uo8lOkRJ_normal.jpg","View")</f>
        <v>View</v>
      </c>
      <c r="P8014" s="7"/>
    </row>
    <row r="8015" spans="1:16">
      <c r="A8015" s="3">
        <v>44040.978333333333</v>
      </c>
      <c r="B8015" s="4" t="str">
        <f>HYPERLINK("https://twitter.com/petrogustavo","@petrogustavo")</f>
        <v>@petrogustavo</v>
      </c>
      <c r="C8015" s="5" t="s">
        <v>16</v>
      </c>
      <c r="D8015" s="5" t="s">
        <v>7732</v>
      </c>
      <c r="E8015" s="6" t="str">
        <f>HYPERLINK("https://twitter.com/petrogustavo/status/1288172065556758533","1288172065556758533")</f>
        <v>1288172065556758533</v>
      </c>
      <c r="F8015" s="7" t="s">
        <v>17</v>
      </c>
      <c r="G8015" s="7">
        <v>3915207</v>
      </c>
      <c r="H8015" s="7">
        <v>2421</v>
      </c>
      <c r="I8015" s="7">
        <v>168</v>
      </c>
      <c r="J8015" s="7">
        <v>0</v>
      </c>
      <c r="K8015" s="7" t="s">
        <v>18</v>
      </c>
      <c r="L8015" s="8">
        <v>39987.315405092595</v>
      </c>
      <c r="M8015" s="9" t="s">
        <v>19</v>
      </c>
      <c r="N8015" s="9" t="s">
        <v>20</v>
      </c>
      <c r="O8015" s="6" t="str">
        <f>HYPERLINK("https://pbs.twimg.com/profile_images/962471262747529216/Uo8lOkRJ_normal.jpg","View")</f>
        <v>View</v>
      </c>
      <c r="P8015" s="7"/>
    </row>
    <row r="8016" spans="1:16">
      <c r="A8016" s="3">
        <v>44040.980046296296</v>
      </c>
      <c r="B8016" s="4" t="str">
        <f>HYPERLINK("https://twitter.com/petrogustavo","@petrogustavo")</f>
        <v>@petrogustavo</v>
      </c>
      <c r="C8016" s="5" t="s">
        <v>16</v>
      </c>
      <c r="D8016" s="5" t="s">
        <v>7733</v>
      </c>
      <c r="E8016" s="6" t="str">
        <f>HYPERLINK("https://twitter.com/petrogustavo/status/1288172688511504388","1288172688511504388")</f>
        <v>1288172688511504388</v>
      </c>
      <c r="F8016" s="7" t="s">
        <v>17</v>
      </c>
      <c r="G8016" s="7">
        <v>3915207</v>
      </c>
      <c r="H8016" s="7">
        <v>2421</v>
      </c>
      <c r="I8016" s="7">
        <v>471</v>
      </c>
      <c r="J8016" s="7">
        <v>0</v>
      </c>
      <c r="K8016" s="7" t="s">
        <v>18</v>
      </c>
      <c r="L8016" s="8">
        <v>39987.315405092595</v>
      </c>
      <c r="M8016" s="9" t="s">
        <v>19</v>
      </c>
      <c r="N8016" s="9" t="s">
        <v>20</v>
      </c>
      <c r="O8016" s="6" t="str">
        <f>HYPERLINK("https://pbs.twimg.com/profile_images/962471262747529216/Uo8lOkRJ_normal.jpg","View")</f>
        <v>View</v>
      </c>
      <c r="P8016" s="7"/>
    </row>
    <row r="8017" spans="1:16">
      <c r="A8017" s="3">
        <v>44040.981574074074</v>
      </c>
      <c r="B8017" s="4" t="str">
        <f>HYPERLINK("https://twitter.com/petrogustavo","@petrogustavo")</f>
        <v>@petrogustavo</v>
      </c>
      <c r="C8017" s="5" t="s">
        <v>16</v>
      </c>
      <c r="D8017" s="5" t="s">
        <v>7734</v>
      </c>
      <c r="E8017" s="6" t="str">
        <f>HYPERLINK("https://twitter.com/petrogustavo/status/1288173243212476420","1288173243212476420")</f>
        <v>1288173243212476420</v>
      </c>
      <c r="F8017" s="7" t="s">
        <v>17</v>
      </c>
      <c r="G8017" s="7">
        <v>3915207</v>
      </c>
      <c r="H8017" s="7">
        <v>2421</v>
      </c>
      <c r="I8017" s="7">
        <v>16</v>
      </c>
      <c r="J8017" s="7">
        <v>0</v>
      </c>
      <c r="K8017" s="7" t="s">
        <v>18</v>
      </c>
      <c r="L8017" s="8">
        <v>39987.315405092595</v>
      </c>
      <c r="M8017" s="9" t="s">
        <v>19</v>
      </c>
      <c r="N8017" s="9" t="s">
        <v>20</v>
      </c>
      <c r="O8017" s="6" t="str">
        <f>HYPERLINK("https://pbs.twimg.com/profile_images/962471262747529216/Uo8lOkRJ_normal.jpg","View")</f>
        <v>View</v>
      </c>
      <c r="P8017" s="7"/>
    </row>
    <row r="8018" spans="1:16">
      <c r="A8018" s="3">
        <v>44040.981956018513</v>
      </c>
      <c r="B8018" s="4" t="str">
        <f>HYPERLINK("https://twitter.com/petrogustavo","@petrogustavo")</f>
        <v>@petrogustavo</v>
      </c>
      <c r="C8018" s="5" t="s">
        <v>16</v>
      </c>
      <c r="D8018" s="5" t="s">
        <v>7735</v>
      </c>
      <c r="E8018" s="6" t="str">
        <f>HYPERLINK("https://twitter.com/petrogustavo/status/1288173381662187521","1288173381662187521")</f>
        <v>1288173381662187521</v>
      </c>
      <c r="F8018" s="7" t="s">
        <v>17</v>
      </c>
      <c r="G8018" s="7">
        <v>3915207</v>
      </c>
      <c r="H8018" s="7">
        <v>2421</v>
      </c>
      <c r="I8018" s="7">
        <v>989</v>
      </c>
      <c r="J8018" s="7">
        <v>0</v>
      </c>
      <c r="K8018" s="7" t="s">
        <v>18</v>
      </c>
      <c r="L8018" s="8">
        <v>39987.315405092595</v>
      </c>
      <c r="M8018" s="9" t="s">
        <v>19</v>
      </c>
      <c r="N8018" s="9" t="s">
        <v>20</v>
      </c>
      <c r="O8018" s="6" t="str">
        <f>HYPERLINK("https://pbs.twimg.com/profile_images/962471262747529216/Uo8lOkRJ_normal.jpg","View")</f>
        <v>View</v>
      </c>
      <c r="P8018" s="7"/>
    </row>
    <row r="8019" spans="1:16">
      <c r="A8019" s="3">
        <v>44040.985671296294</v>
      </c>
      <c r="B8019" s="4" t="str">
        <f>HYPERLINK("https://twitter.com/petrogustavo","@petrogustavo")</f>
        <v>@petrogustavo</v>
      </c>
      <c r="C8019" s="5" t="s">
        <v>16</v>
      </c>
      <c r="D8019" s="5" t="s">
        <v>7736</v>
      </c>
      <c r="E8019" s="6" t="str">
        <f>HYPERLINK("https://twitter.com/petrogustavo/status/1288174726108590080","1288174726108590080")</f>
        <v>1288174726108590080</v>
      </c>
      <c r="F8019" s="7" t="s">
        <v>17</v>
      </c>
      <c r="G8019" s="7">
        <v>3915207</v>
      </c>
      <c r="H8019" s="7">
        <v>2421</v>
      </c>
      <c r="I8019" s="7">
        <v>26</v>
      </c>
      <c r="J8019" s="7">
        <v>0</v>
      </c>
      <c r="K8019" s="7" t="s">
        <v>18</v>
      </c>
      <c r="L8019" s="8">
        <v>39987.315405092595</v>
      </c>
      <c r="M8019" s="9" t="s">
        <v>19</v>
      </c>
      <c r="N8019" s="9" t="s">
        <v>20</v>
      </c>
      <c r="O8019" s="6" t="str">
        <f>HYPERLINK("https://pbs.twimg.com/profile_images/962471262747529216/Uo8lOkRJ_normal.jpg","View")</f>
        <v>View</v>
      </c>
      <c r="P8019" s="7"/>
    </row>
    <row r="8020" spans="1:16">
      <c r="A8020" s="3">
        <v>44040.986898148149</v>
      </c>
      <c r="B8020" s="4" t="str">
        <f>HYPERLINK("https://twitter.com/petrogustavo","@petrogustavo")</f>
        <v>@petrogustavo</v>
      </c>
      <c r="C8020" s="5" t="s">
        <v>16</v>
      </c>
      <c r="D8020" s="5" t="s">
        <v>7737</v>
      </c>
      <c r="E8020" s="6" t="str">
        <f>HYPERLINK("https://twitter.com/petrogustavo/status/1288175169417236482","1288175169417236482")</f>
        <v>1288175169417236482</v>
      </c>
      <c r="F8020" s="7" t="s">
        <v>17</v>
      </c>
      <c r="G8020" s="7">
        <v>3915207</v>
      </c>
      <c r="H8020" s="7">
        <v>2421</v>
      </c>
      <c r="I8020" s="7">
        <v>241</v>
      </c>
      <c r="J8020" s="7">
        <v>0</v>
      </c>
      <c r="K8020" s="7" t="s">
        <v>18</v>
      </c>
      <c r="L8020" s="8">
        <v>39987.315405092595</v>
      </c>
      <c r="M8020" s="9" t="s">
        <v>19</v>
      </c>
      <c r="N8020" s="9" t="s">
        <v>20</v>
      </c>
      <c r="O8020" s="6" t="str">
        <f>HYPERLINK("https://pbs.twimg.com/profile_images/962471262747529216/Uo8lOkRJ_normal.jpg","View")</f>
        <v>View</v>
      </c>
      <c r="P8020" s="7"/>
    </row>
    <row r="8021" spans="1:16">
      <c r="A8021" s="3">
        <v>44040.987939814819</v>
      </c>
      <c r="B8021" s="4" t="str">
        <f>HYPERLINK("https://twitter.com/petrogustavo","@petrogustavo")</f>
        <v>@petrogustavo</v>
      </c>
      <c r="C8021" s="5" t="s">
        <v>16</v>
      </c>
      <c r="D8021" s="5" t="s">
        <v>7738</v>
      </c>
      <c r="E8021" s="6" t="str">
        <f>HYPERLINK("https://twitter.com/petrogustavo/status/1288175546195730434","1288175546195730434")</f>
        <v>1288175546195730434</v>
      </c>
      <c r="F8021" s="7" t="s">
        <v>17</v>
      </c>
      <c r="G8021" s="7">
        <v>3915207</v>
      </c>
      <c r="H8021" s="7">
        <v>2421</v>
      </c>
      <c r="I8021" s="7">
        <v>130</v>
      </c>
      <c r="J8021" s="7">
        <v>0</v>
      </c>
      <c r="K8021" s="7" t="s">
        <v>18</v>
      </c>
      <c r="L8021" s="8">
        <v>39987.315405092595</v>
      </c>
      <c r="M8021" s="9" t="s">
        <v>19</v>
      </c>
      <c r="N8021" s="9" t="s">
        <v>20</v>
      </c>
      <c r="O8021" s="6" t="str">
        <f>HYPERLINK("https://pbs.twimg.com/profile_images/962471262747529216/Uo8lOkRJ_normal.jpg","View")</f>
        <v>View</v>
      </c>
      <c r="P8021" s="7"/>
    </row>
    <row r="8022" spans="1:16">
      <c r="A8022" s="3">
        <v>44040.988483796296</v>
      </c>
      <c r="B8022" s="4" t="str">
        <f>HYPERLINK("https://twitter.com/petrogustavo","@petrogustavo")</f>
        <v>@petrogustavo</v>
      </c>
      <c r="C8022" s="5" t="s">
        <v>16</v>
      </c>
      <c r="D8022" s="5" t="s">
        <v>7739</v>
      </c>
      <c r="E8022" s="6" t="str">
        <f>HYPERLINK("https://twitter.com/petrogustavo/status/1288175743755866117","1288175743755866117")</f>
        <v>1288175743755866117</v>
      </c>
      <c r="F8022" s="7" t="s">
        <v>17</v>
      </c>
      <c r="G8022" s="7">
        <v>3915207</v>
      </c>
      <c r="H8022" s="7">
        <v>2421</v>
      </c>
      <c r="I8022" s="7">
        <v>30</v>
      </c>
      <c r="J8022" s="7">
        <v>0</v>
      </c>
      <c r="K8022" s="7" t="s">
        <v>18</v>
      </c>
      <c r="L8022" s="8">
        <v>39987.315405092595</v>
      </c>
      <c r="M8022" s="9" t="s">
        <v>19</v>
      </c>
      <c r="N8022" s="9" t="s">
        <v>20</v>
      </c>
      <c r="O8022" s="6" t="str">
        <f>HYPERLINK("https://pbs.twimg.com/profile_images/962471262747529216/Uo8lOkRJ_normal.jpg","View")</f>
        <v>View</v>
      </c>
      <c r="P8022" s="7"/>
    </row>
    <row r="8023" spans="1:16">
      <c r="A8023" s="3">
        <v>44040.988807870366</v>
      </c>
      <c r="B8023" s="4" t="str">
        <f>HYPERLINK("https://twitter.com/petrogustavo","@petrogustavo")</f>
        <v>@petrogustavo</v>
      </c>
      <c r="C8023" s="5" t="s">
        <v>16</v>
      </c>
      <c r="D8023" s="5" t="s">
        <v>7740</v>
      </c>
      <c r="E8023" s="6" t="str">
        <f>HYPERLINK("https://twitter.com/petrogustavo/status/1288175863637463058","1288175863637463058")</f>
        <v>1288175863637463058</v>
      </c>
      <c r="F8023" s="7" t="s">
        <v>17</v>
      </c>
      <c r="G8023" s="7">
        <v>3915207</v>
      </c>
      <c r="H8023" s="7">
        <v>2421</v>
      </c>
      <c r="I8023" s="7">
        <v>45</v>
      </c>
      <c r="J8023" s="7">
        <v>0</v>
      </c>
      <c r="K8023" s="7" t="s">
        <v>18</v>
      </c>
      <c r="L8023" s="8">
        <v>39987.315405092595</v>
      </c>
      <c r="M8023" s="9" t="s">
        <v>19</v>
      </c>
      <c r="N8023" s="9" t="s">
        <v>20</v>
      </c>
      <c r="O8023" s="6" t="str">
        <f>HYPERLINK("https://pbs.twimg.com/profile_images/962471262747529216/Uo8lOkRJ_normal.jpg","View")</f>
        <v>View</v>
      </c>
      <c r="P8023" s="7"/>
    </row>
    <row r="8024" spans="1:16">
      <c r="A8024" s="3">
        <v>44040.989108796297</v>
      </c>
      <c r="B8024" s="4" t="str">
        <f>HYPERLINK("https://twitter.com/petrogustavo","@petrogustavo")</f>
        <v>@petrogustavo</v>
      </c>
      <c r="C8024" s="5" t="s">
        <v>16</v>
      </c>
      <c r="D8024" s="5" t="s">
        <v>7741</v>
      </c>
      <c r="E8024" s="6" t="str">
        <f>HYPERLINK("https://twitter.com/petrogustavo/status/1288175973687582725","1288175973687582725")</f>
        <v>1288175973687582725</v>
      </c>
      <c r="F8024" s="7" t="s">
        <v>17</v>
      </c>
      <c r="G8024" s="7">
        <v>3915207</v>
      </c>
      <c r="H8024" s="7">
        <v>2421</v>
      </c>
      <c r="I8024" s="7">
        <v>506</v>
      </c>
      <c r="J8024" s="7">
        <v>0</v>
      </c>
      <c r="K8024" s="7" t="s">
        <v>18</v>
      </c>
      <c r="L8024" s="8">
        <v>39987.315405092595</v>
      </c>
      <c r="M8024" s="9" t="s">
        <v>19</v>
      </c>
      <c r="N8024" s="9" t="s">
        <v>20</v>
      </c>
      <c r="O8024" s="6" t="str">
        <f>HYPERLINK("https://pbs.twimg.com/profile_images/962471262747529216/Uo8lOkRJ_normal.jpg","View")</f>
        <v>View</v>
      </c>
      <c r="P8024" s="7"/>
    </row>
    <row r="8025" spans="1:16">
      <c r="A8025" s="3">
        <v>44040.992280092592</v>
      </c>
      <c r="B8025" s="4" t="str">
        <f>HYPERLINK("https://twitter.com/petrogustavo","@petrogustavo")</f>
        <v>@petrogustavo</v>
      </c>
      <c r="C8025" s="5" t="s">
        <v>16</v>
      </c>
      <c r="D8025" s="5" t="s">
        <v>7742</v>
      </c>
      <c r="E8025" s="6" t="str">
        <f>HYPERLINK("https://twitter.com/petrogustavo/status/1288177122901667840","1288177122901667840")</f>
        <v>1288177122901667840</v>
      </c>
      <c r="F8025" s="7" t="s">
        <v>17</v>
      </c>
      <c r="G8025" s="7">
        <v>3915202</v>
      </c>
      <c r="H8025" s="7">
        <v>2422</v>
      </c>
      <c r="I8025" s="7">
        <v>297</v>
      </c>
      <c r="J8025" s="7">
        <v>0</v>
      </c>
      <c r="K8025" s="7" t="s">
        <v>18</v>
      </c>
      <c r="L8025" s="8">
        <v>39987.315405092595</v>
      </c>
      <c r="M8025" s="9" t="s">
        <v>19</v>
      </c>
      <c r="N8025" s="9" t="s">
        <v>20</v>
      </c>
      <c r="O8025" s="6" t="str">
        <f>HYPERLINK("https://pbs.twimg.com/profile_images/962471262747529216/Uo8lOkRJ_normal.jpg","View")</f>
        <v>View</v>
      </c>
      <c r="P8025" s="7"/>
    </row>
    <row r="8026" spans="1:16">
      <c r="A8026" s="3">
        <v>44041.137662037036</v>
      </c>
      <c r="B8026" s="4" t="str">
        <f>HYPERLINK("https://twitter.com/petrogustavo","@petrogustavo")</f>
        <v>@petrogustavo</v>
      </c>
      <c r="C8026" s="5" t="s">
        <v>16</v>
      </c>
      <c r="D8026" s="5" t="s">
        <v>7743</v>
      </c>
      <c r="E8026" s="6" t="str">
        <f>HYPERLINK("https://twitter.com/petrogustavo/status/1288229807034163201","1288229807034163201")</f>
        <v>1288229807034163201</v>
      </c>
      <c r="F8026" s="7" t="s">
        <v>32</v>
      </c>
      <c r="G8026" s="7">
        <v>3915299</v>
      </c>
      <c r="H8026" s="7">
        <v>2423</v>
      </c>
      <c r="I8026" s="7">
        <v>0</v>
      </c>
      <c r="J8026" s="7">
        <v>0</v>
      </c>
      <c r="K8026" s="7" t="s">
        <v>18</v>
      </c>
      <c r="L8026" s="8">
        <v>39987.315405092595</v>
      </c>
      <c r="M8026" s="9" t="s">
        <v>19</v>
      </c>
      <c r="N8026" s="9" t="s">
        <v>20</v>
      </c>
      <c r="O8026" s="6" t="str">
        <f>HYPERLINK("https://pbs.twimg.com/profile_images/962471262747529216/Uo8lOkRJ_normal.jpg","View")</f>
        <v>View</v>
      </c>
      <c r="P8026" s="7"/>
    </row>
    <row r="8027" spans="1:16">
      <c r="A8027" s="3">
        <v>44041.189108796301</v>
      </c>
      <c r="B8027" s="4" t="str">
        <f>HYPERLINK("https://twitter.com/petrogustavo","@petrogustavo")</f>
        <v>@petrogustavo</v>
      </c>
      <c r="C8027" s="5" t="s">
        <v>16</v>
      </c>
      <c r="D8027" s="5" t="s">
        <v>7744</v>
      </c>
      <c r="E8027" s="6" t="str">
        <f>HYPERLINK("https://twitter.com/petrogustavo/status/1288248449377370119","1288248449377370119")</f>
        <v>1288248449377370119</v>
      </c>
      <c r="F8027" s="7" t="s">
        <v>21</v>
      </c>
      <c r="G8027" s="7">
        <v>3915346</v>
      </c>
      <c r="H8027" s="7">
        <v>2423</v>
      </c>
      <c r="I8027" s="7">
        <v>57</v>
      </c>
      <c r="J8027" s="7">
        <v>141</v>
      </c>
      <c r="K8027" s="7" t="s">
        <v>18</v>
      </c>
      <c r="L8027" s="8">
        <v>39987.315405092595</v>
      </c>
      <c r="M8027" s="9" t="s">
        <v>19</v>
      </c>
      <c r="N8027" s="9" t="s">
        <v>20</v>
      </c>
      <c r="O8027" s="6" t="str">
        <f>HYPERLINK("https://pbs.twimg.com/profile_images/962471262747529216/Uo8lOkRJ_normal.jpg","View")</f>
        <v>View</v>
      </c>
      <c r="P8027" s="7"/>
    </row>
    <row r="8028" spans="1:16">
      <c r="A8028" s="3">
        <v>44041.189247685186</v>
      </c>
      <c r="B8028" s="4" t="str">
        <f>HYPERLINK("https://twitter.com/petrogustavo","@petrogustavo")</f>
        <v>@petrogustavo</v>
      </c>
      <c r="C8028" s="5" t="s">
        <v>16</v>
      </c>
      <c r="D8028" s="5" t="s">
        <v>7745</v>
      </c>
      <c r="E8028" s="6" t="str">
        <f>HYPERLINK("https://twitter.com/petrogustavo/status/1288248500107567105","1288248500107567105")</f>
        <v>1288248500107567105</v>
      </c>
      <c r="F8028" s="7" t="s">
        <v>21</v>
      </c>
      <c r="G8028" s="7">
        <v>3915346</v>
      </c>
      <c r="H8028" s="7">
        <v>2423</v>
      </c>
      <c r="I8028" s="7">
        <v>89</v>
      </c>
      <c r="J8028" s="7">
        <v>195</v>
      </c>
      <c r="K8028" s="7" t="s">
        <v>18</v>
      </c>
      <c r="L8028" s="8">
        <v>39987.315405092595</v>
      </c>
      <c r="M8028" s="9" t="s">
        <v>19</v>
      </c>
      <c r="N8028" s="9" t="s">
        <v>20</v>
      </c>
      <c r="O8028" s="6" t="str">
        <f>HYPERLINK("https://pbs.twimg.com/profile_images/962471262747529216/Uo8lOkRJ_normal.jpg","View")</f>
        <v>View</v>
      </c>
      <c r="P8028" s="7"/>
    </row>
    <row r="8029" spans="1:16">
      <c r="A8029" s="3">
        <v>44041.192673611113</v>
      </c>
      <c r="B8029" s="4" t="str">
        <f>HYPERLINK("https://twitter.com/petrogustavo","@petrogustavo")</f>
        <v>@petrogustavo</v>
      </c>
      <c r="C8029" s="5" t="s">
        <v>16</v>
      </c>
      <c r="D8029" s="5" t="s">
        <v>7746</v>
      </c>
      <c r="E8029" s="6" t="str">
        <f>HYPERLINK("https://twitter.com/petrogustavo/status/1288249742271680514","1288249742271680514")</f>
        <v>1288249742271680514</v>
      </c>
      <c r="F8029" s="7" t="s">
        <v>32</v>
      </c>
      <c r="G8029" s="7">
        <v>3915346</v>
      </c>
      <c r="H8029" s="7">
        <v>2423</v>
      </c>
      <c r="I8029" s="7">
        <v>120</v>
      </c>
      <c r="J8029" s="7">
        <v>291</v>
      </c>
      <c r="K8029" s="7" t="s">
        <v>18</v>
      </c>
      <c r="L8029" s="8">
        <v>39987.315405092595</v>
      </c>
      <c r="M8029" s="9" t="s">
        <v>19</v>
      </c>
      <c r="N8029" s="9" t="s">
        <v>20</v>
      </c>
      <c r="O8029" s="6" t="str">
        <f>HYPERLINK("https://pbs.twimg.com/profile_images/962471262747529216/Uo8lOkRJ_normal.jpg","View")</f>
        <v>View</v>
      </c>
      <c r="P8029" s="7"/>
    </row>
    <row r="8030" spans="1:16">
      <c r="A8030" s="3">
        <v>44041.210810185185</v>
      </c>
      <c r="B8030" s="4" t="str">
        <f>HYPERLINK("https://twitter.com/petrogustavo","@petrogustavo")</f>
        <v>@petrogustavo</v>
      </c>
      <c r="C8030" s="5" t="s">
        <v>16</v>
      </c>
      <c r="D8030" s="5" t="s">
        <v>7747</v>
      </c>
      <c r="E8030" s="6" t="str">
        <f>HYPERLINK("https://twitter.com/petrogustavo/status/1288256314079096832","1288256314079096832")</f>
        <v>1288256314079096832</v>
      </c>
      <c r="F8030" s="7" t="s">
        <v>32</v>
      </c>
      <c r="G8030" s="7">
        <v>3915359</v>
      </c>
      <c r="H8030" s="7">
        <v>2423</v>
      </c>
      <c r="I8030" s="7">
        <v>21</v>
      </c>
      <c r="J8030" s="7">
        <v>0</v>
      </c>
      <c r="K8030" s="7" t="s">
        <v>18</v>
      </c>
      <c r="L8030" s="8">
        <v>39987.315405092595</v>
      </c>
      <c r="M8030" s="9" t="s">
        <v>19</v>
      </c>
      <c r="N8030" s="9" t="s">
        <v>20</v>
      </c>
      <c r="O8030" s="6" t="str">
        <f>HYPERLINK("https://pbs.twimg.com/profile_images/962471262747529216/Uo8lOkRJ_normal.jpg","View")</f>
        <v>View</v>
      </c>
      <c r="P8030" s="7"/>
    </row>
    <row r="8031" spans="1:16">
      <c r="A8031" s="3">
        <v>44041.223865740743</v>
      </c>
      <c r="B8031" s="4" t="str">
        <f>HYPERLINK("https://twitter.com/petrogustavo","@petrogustavo")</f>
        <v>@petrogustavo</v>
      </c>
      <c r="C8031" s="5" t="s">
        <v>16</v>
      </c>
      <c r="D8031" s="5" t="s">
        <v>7748</v>
      </c>
      <c r="E8031" s="6" t="str">
        <f>HYPERLINK("https://twitter.com/petrogustavo/status/1288261045228888064","1288261045228888064")</f>
        <v>1288261045228888064</v>
      </c>
      <c r="F8031" s="7" t="s">
        <v>32</v>
      </c>
      <c r="G8031" s="7">
        <v>3915390</v>
      </c>
      <c r="H8031" s="7">
        <v>2423</v>
      </c>
      <c r="I8031" s="7">
        <v>188</v>
      </c>
      <c r="J8031" s="7">
        <v>360</v>
      </c>
      <c r="K8031" s="7" t="s">
        <v>18</v>
      </c>
      <c r="L8031" s="8">
        <v>39987.315405092595</v>
      </c>
      <c r="M8031" s="9" t="s">
        <v>19</v>
      </c>
      <c r="N8031" s="9" t="s">
        <v>20</v>
      </c>
      <c r="O8031" s="6" t="str">
        <f>HYPERLINK("https://pbs.twimg.com/profile_images/962471262747529216/Uo8lOkRJ_normal.jpg","View")</f>
        <v>View</v>
      </c>
      <c r="P8031" s="7"/>
    </row>
    <row r="8032" spans="1:16">
      <c r="A8032" s="3">
        <v>44041.248900462961</v>
      </c>
      <c r="B8032" s="4" t="str">
        <f>HYPERLINK("https://twitter.com/petrogustavo","@petrogustavo")</f>
        <v>@petrogustavo</v>
      </c>
      <c r="C8032" s="5" t="s">
        <v>16</v>
      </c>
      <c r="D8032" s="5" t="s">
        <v>7749</v>
      </c>
      <c r="E8032" s="6" t="str">
        <f>HYPERLINK("https://twitter.com/petrogustavo/status/1288270117609058305","1288270117609058305")</f>
        <v>1288270117609058305</v>
      </c>
      <c r="F8032" s="7" t="s">
        <v>32</v>
      </c>
      <c r="G8032" s="7">
        <v>3915397</v>
      </c>
      <c r="H8032" s="7">
        <v>2423</v>
      </c>
      <c r="I8032" s="7">
        <v>139</v>
      </c>
      <c r="J8032" s="7">
        <v>0</v>
      </c>
      <c r="K8032" s="7" t="s">
        <v>18</v>
      </c>
      <c r="L8032" s="8">
        <v>39987.315405092595</v>
      </c>
      <c r="M8032" s="9" t="s">
        <v>19</v>
      </c>
      <c r="N8032" s="9" t="s">
        <v>20</v>
      </c>
      <c r="O8032" s="6" t="str">
        <f>HYPERLINK("https://pbs.twimg.com/profile_images/962471262747529216/Uo8lOkRJ_normal.jpg","View")</f>
        <v>View</v>
      </c>
      <c r="P8032" s="7"/>
    </row>
    <row r="8033" spans="1:16">
      <c r="A8033" s="3">
        <v>44041.250659722224</v>
      </c>
      <c r="B8033" s="4" t="str">
        <f>HYPERLINK("https://twitter.com/petrogustavo","@petrogustavo")</f>
        <v>@petrogustavo</v>
      </c>
      <c r="C8033" s="5" t="s">
        <v>16</v>
      </c>
      <c r="D8033" s="5" t="s">
        <v>7750</v>
      </c>
      <c r="E8033" s="6" t="str">
        <f>HYPERLINK("https://twitter.com/petrogustavo/status/1288270756074274816","1288270756074274816")</f>
        <v>1288270756074274816</v>
      </c>
      <c r="F8033" s="7" t="s">
        <v>32</v>
      </c>
      <c r="G8033" s="7">
        <v>3915397</v>
      </c>
      <c r="H8033" s="7">
        <v>2423</v>
      </c>
      <c r="I8033" s="7">
        <v>19</v>
      </c>
      <c r="J8033" s="7">
        <v>0</v>
      </c>
      <c r="K8033" s="7" t="s">
        <v>18</v>
      </c>
      <c r="L8033" s="8">
        <v>39987.315405092595</v>
      </c>
      <c r="M8033" s="9" t="s">
        <v>19</v>
      </c>
      <c r="N8033" s="9" t="s">
        <v>20</v>
      </c>
      <c r="O8033" s="6" t="str">
        <f>HYPERLINK("https://pbs.twimg.com/profile_images/962471262747529216/Uo8lOkRJ_normal.jpg","View")</f>
        <v>View</v>
      </c>
      <c r="P8033" s="7"/>
    </row>
    <row r="8034" spans="1:16">
      <c r="A8034" s="3">
        <v>44041.255335648151</v>
      </c>
      <c r="B8034" s="4" t="str">
        <f>HYPERLINK("https://twitter.com/petrogustavo","@petrogustavo")</f>
        <v>@petrogustavo</v>
      </c>
      <c r="C8034" s="5" t="s">
        <v>16</v>
      </c>
      <c r="D8034" s="5" t="s">
        <v>7751</v>
      </c>
      <c r="E8034" s="6" t="str">
        <f>HYPERLINK("https://twitter.com/petrogustavo/status/1288272448702550016","1288272448702550016")</f>
        <v>1288272448702550016</v>
      </c>
      <c r="F8034" s="7" t="s">
        <v>32</v>
      </c>
      <c r="G8034" s="7">
        <v>3915397</v>
      </c>
      <c r="H8034" s="7">
        <v>2423</v>
      </c>
      <c r="I8034" s="7">
        <v>50</v>
      </c>
      <c r="J8034" s="7">
        <v>0</v>
      </c>
      <c r="K8034" s="7" t="s">
        <v>18</v>
      </c>
      <c r="L8034" s="8">
        <v>39987.315405092595</v>
      </c>
      <c r="M8034" s="9" t="s">
        <v>19</v>
      </c>
      <c r="N8034" s="9" t="s">
        <v>20</v>
      </c>
      <c r="O8034" s="6" t="str">
        <f>HYPERLINK("https://pbs.twimg.com/profile_images/962471262747529216/Uo8lOkRJ_normal.jpg","View")</f>
        <v>View</v>
      </c>
      <c r="P8034" s="7"/>
    </row>
    <row r="8035" spans="1:16">
      <c r="A8035" s="3">
        <v>44041.257743055554</v>
      </c>
      <c r="B8035" s="4" t="str">
        <f>HYPERLINK("https://twitter.com/petrogustavo","@petrogustavo")</f>
        <v>@petrogustavo</v>
      </c>
      <c r="C8035" s="5" t="s">
        <v>16</v>
      </c>
      <c r="D8035" s="5" t="s">
        <v>7752</v>
      </c>
      <c r="E8035" s="6" t="str">
        <f>HYPERLINK("https://twitter.com/petrogustavo/status/1288273322132807682","1288273322132807682")</f>
        <v>1288273322132807682</v>
      </c>
      <c r="F8035" s="7" t="s">
        <v>32</v>
      </c>
      <c r="G8035" s="7">
        <v>3915397</v>
      </c>
      <c r="H8035" s="7">
        <v>2423</v>
      </c>
      <c r="I8035" s="7">
        <v>254</v>
      </c>
      <c r="J8035" s="7">
        <v>487</v>
      </c>
      <c r="K8035" s="7" t="s">
        <v>18</v>
      </c>
      <c r="L8035" s="8">
        <v>39987.315405092595</v>
      </c>
      <c r="M8035" s="9" t="s">
        <v>19</v>
      </c>
      <c r="N8035" s="9" t="s">
        <v>20</v>
      </c>
      <c r="O8035" s="6" t="str">
        <f>HYPERLINK("https://pbs.twimg.com/profile_images/962471262747529216/Uo8lOkRJ_normal.jpg","View")</f>
        <v>View</v>
      </c>
      <c r="P8035" s="7"/>
    </row>
    <row r="8036" spans="1:16">
      <c r="A8036" s="3">
        <v>44041.281527777777</v>
      </c>
      <c r="B8036" s="4" t="str">
        <f>HYPERLINK("https://twitter.com/petrogustavo","@petrogustavo")</f>
        <v>@petrogustavo</v>
      </c>
      <c r="C8036" s="5" t="s">
        <v>16</v>
      </c>
      <c r="D8036" s="5" t="s">
        <v>7753</v>
      </c>
      <c r="E8036" s="6" t="str">
        <f>HYPERLINK("https://twitter.com/petrogustavo/status/1288281941092044801","1288281941092044801")</f>
        <v>1288281941092044801</v>
      </c>
      <c r="F8036" s="7" t="s">
        <v>32</v>
      </c>
      <c r="G8036" s="7">
        <v>3915415</v>
      </c>
      <c r="H8036" s="7">
        <v>2423</v>
      </c>
      <c r="I8036" s="7">
        <v>32</v>
      </c>
      <c r="J8036" s="7">
        <v>0</v>
      </c>
      <c r="K8036" s="7" t="s">
        <v>18</v>
      </c>
      <c r="L8036" s="8">
        <v>39987.315405092595</v>
      </c>
      <c r="M8036" s="9" t="s">
        <v>19</v>
      </c>
      <c r="N8036" s="9" t="s">
        <v>20</v>
      </c>
      <c r="O8036" s="6" t="str">
        <f>HYPERLINK("https://pbs.twimg.com/profile_images/962471262747529216/Uo8lOkRJ_normal.jpg","View")</f>
        <v>View</v>
      </c>
      <c r="P8036" s="7"/>
    </row>
    <row r="8037" spans="1:16">
      <c r="A8037" s="3">
        <v>44041.308611111112</v>
      </c>
      <c r="B8037" s="4" t="str">
        <f>HYPERLINK("https://twitter.com/petrogustavo","@petrogustavo")</f>
        <v>@petrogustavo</v>
      </c>
      <c r="C8037" s="5" t="s">
        <v>16</v>
      </c>
      <c r="D8037" s="5" t="s">
        <v>7754</v>
      </c>
      <c r="E8037" s="6" t="str">
        <f>HYPERLINK("https://twitter.com/petrogustavo/status/1288291754245005315","1288291754245005315")</f>
        <v>1288291754245005315</v>
      </c>
      <c r="F8037" s="7" t="s">
        <v>32</v>
      </c>
      <c r="G8037" s="7">
        <v>3915452</v>
      </c>
      <c r="H8037" s="7">
        <v>2423</v>
      </c>
      <c r="I8037" s="7">
        <v>181</v>
      </c>
      <c r="J8037" s="7">
        <v>336</v>
      </c>
      <c r="K8037" s="7" t="s">
        <v>18</v>
      </c>
      <c r="L8037" s="8">
        <v>39987.315405092595</v>
      </c>
      <c r="M8037" s="9" t="s">
        <v>19</v>
      </c>
      <c r="N8037" s="9" t="s">
        <v>20</v>
      </c>
      <c r="O8037" s="6" t="str">
        <f>HYPERLINK("https://pbs.twimg.com/profile_images/962471262747529216/Uo8lOkRJ_normal.jpg","View")</f>
        <v>View</v>
      </c>
      <c r="P8037" s="7"/>
    </row>
    <row r="8038" spans="1:16">
      <c r="A8038" s="3">
        <v>44041.309872685189</v>
      </c>
      <c r="B8038" s="4" t="str">
        <f>HYPERLINK("https://twitter.com/petrogustavo","@petrogustavo")</f>
        <v>@petrogustavo</v>
      </c>
      <c r="C8038" s="5" t="s">
        <v>16</v>
      </c>
      <c r="D8038" s="5" t="s">
        <v>7755</v>
      </c>
      <c r="E8038" s="6" t="str">
        <f>HYPERLINK("https://twitter.com/petrogustavo/status/1288292212325965824","1288292212325965824")</f>
        <v>1288292212325965824</v>
      </c>
      <c r="F8038" s="7" t="s">
        <v>32</v>
      </c>
      <c r="G8038" s="7">
        <v>3915452</v>
      </c>
      <c r="H8038" s="7">
        <v>2423</v>
      </c>
      <c r="I8038" s="7">
        <v>108</v>
      </c>
      <c r="J8038" s="7">
        <v>0</v>
      </c>
      <c r="K8038" s="7" t="s">
        <v>18</v>
      </c>
      <c r="L8038" s="8">
        <v>39987.315405092595</v>
      </c>
      <c r="M8038" s="9" t="s">
        <v>19</v>
      </c>
      <c r="N8038" s="9" t="s">
        <v>20</v>
      </c>
      <c r="O8038" s="6" t="str">
        <f>HYPERLINK("https://pbs.twimg.com/profile_images/962471262747529216/Uo8lOkRJ_normal.jpg","View")</f>
        <v>View</v>
      </c>
      <c r="P8038" s="7"/>
    </row>
    <row r="8039" spans="1:16">
      <c r="A8039" s="3">
        <v>44041.310034722221</v>
      </c>
      <c r="B8039" s="4" t="str">
        <f>HYPERLINK("https://twitter.com/petrogustavo","@petrogustavo")</f>
        <v>@petrogustavo</v>
      </c>
      <c r="C8039" s="5" t="s">
        <v>16</v>
      </c>
      <c r="D8039" s="5" t="s">
        <v>7756</v>
      </c>
      <c r="E8039" s="6" t="str">
        <f>HYPERLINK("https://twitter.com/petrogustavo/status/1288292269955710977","1288292269955710977")</f>
        <v>1288292269955710977</v>
      </c>
      <c r="F8039" s="7" t="s">
        <v>32</v>
      </c>
      <c r="G8039" s="7">
        <v>3915452</v>
      </c>
      <c r="H8039" s="7">
        <v>2423</v>
      </c>
      <c r="I8039" s="7">
        <v>181</v>
      </c>
      <c r="J8039" s="7">
        <v>0</v>
      </c>
      <c r="K8039" s="7" t="s">
        <v>18</v>
      </c>
      <c r="L8039" s="8">
        <v>39987.315405092595</v>
      </c>
      <c r="M8039" s="9" t="s">
        <v>19</v>
      </c>
      <c r="N8039" s="9" t="s">
        <v>20</v>
      </c>
      <c r="O8039" s="6" t="str">
        <f>HYPERLINK("https://pbs.twimg.com/profile_images/962471262747529216/Uo8lOkRJ_normal.jpg","View")</f>
        <v>View</v>
      </c>
      <c r="P8039" s="7"/>
    </row>
    <row r="8040" spans="1:16">
      <c r="A8040" s="3">
        <v>44041.310231481482</v>
      </c>
      <c r="B8040" s="4" t="str">
        <f>HYPERLINK("https://twitter.com/petrogustavo","@petrogustavo")</f>
        <v>@petrogustavo</v>
      </c>
      <c r="C8040" s="5" t="s">
        <v>16</v>
      </c>
      <c r="D8040" s="5" t="s">
        <v>7757</v>
      </c>
      <c r="E8040" s="6" t="str">
        <f>HYPERLINK("https://twitter.com/petrogustavo/status/1288292340969410561","1288292340969410561")</f>
        <v>1288292340969410561</v>
      </c>
      <c r="F8040" s="7" t="s">
        <v>32</v>
      </c>
      <c r="G8040" s="7">
        <v>3915452</v>
      </c>
      <c r="H8040" s="7">
        <v>2423</v>
      </c>
      <c r="I8040" s="7">
        <v>1720</v>
      </c>
      <c r="J8040" s="7">
        <v>0</v>
      </c>
      <c r="K8040" s="7" t="s">
        <v>18</v>
      </c>
      <c r="L8040" s="8">
        <v>39987.315405092595</v>
      </c>
      <c r="M8040" s="9" t="s">
        <v>19</v>
      </c>
      <c r="N8040" s="9" t="s">
        <v>20</v>
      </c>
      <c r="O8040" s="6" t="str">
        <f>HYPERLINK("https://pbs.twimg.com/profile_images/962471262747529216/Uo8lOkRJ_normal.jpg","View")</f>
        <v>View</v>
      </c>
      <c r="P8040" s="7"/>
    </row>
    <row r="8041" spans="1:16">
      <c r="A8041" s="3">
        <v>44041.333564814813</v>
      </c>
      <c r="B8041" s="4" t="str">
        <f>HYPERLINK("https://twitter.com/petrogustavo","@petrogustavo")</f>
        <v>@petrogustavo</v>
      </c>
      <c r="C8041" s="5" t="s">
        <v>16</v>
      </c>
      <c r="D8041" s="5" t="s">
        <v>7758</v>
      </c>
      <c r="E8041" s="6" t="str">
        <f>HYPERLINK("https://twitter.com/petrogustavo/status/1288300798439559168","1288300798439559168")</f>
        <v>1288300798439559168</v>
      </c>
      <c r="F8041" s="7" t="s">
        <v>32</v>
      </c>
      <c r="G8041" s="7">
        <v>3915471</v>
      </c>
      <c r="H8041" s="7">
        <v>2423</v>
      </c>
      <c r="I8041" s="7">
        <v>863</v>
      </c>
      <c r="J8041" s="7">
        <v>0</v>
      </c>
      <c r="K8041" s="7" t="s">
        <v>18</v>
      </c>
      <c r="L8041" s="8">
        <v>39987.315405092595</v>
      </c>
      <c r="M8041" s="9" t="s">
        <v>19</v>
      </c>
      <c r="N8041" s="9" t="s">
        <v>20</v>
      </c>
      <c r="O8041" s="6" t="str">
        <f>HYPERLINK("https://pbs.twimg.com/profile_images/962471262747529216/Uo8lOkRJ_normal.jpg","View")</f>
        <v>View</v>
      </c>
      <c r="P8041" s="7"/>
    </row>
    <row r="8042" spans="1:16">
      <c r="A8042" s="3">
        <v>44041.343900462962</v>
      </c>
      <c r="B8042" s="4" t="str">
        <f>HYPERLINK("https://twitter.com/petrogustavo","@petrogustavo")</f>
        <v>@petrogustavo</v>
      </c>
      <c r="C8042" s="5" t="s">
        <v>16</v>
      </c>
      <c r="D8042" s="5" t="s">
        <v>7759</v>
      </c>
      <c r="E8042" s="6" t="str">
        <f>HYPERLINK("https://twitter.com/petrogustavo/status/1288304544859017216","1288304544859017216")</f>
        <v>1288304544859017216</v>
      </c>
      <c r="F8042" s="7" t="s">
        <v>32</v>
      </c>
      <c r="G8042" s="7">
        <v>3915471</v>
      </c>
      <c r="H8042" s="7">
        <v>2423</v>
      </c>
      <c r="I8042" s="7">
        <v>17</v>
      </c>
      <c r="J8042" s="7">
        <v>0</v>
      </c>
      <c r="K8042" s="7" t="s">
        <v>18</v>
      </c>
      <c r="L8042" s="8">
        <v>39987.315405092595</v>
      </c>
      <c r="M8042" s="9" t="s">
        <v>19</v>
      </c>
      <c r="N8042" s="9" t="s">
        <v>20</v>
      </c>
      <c r="O8042" s="6" t="str">
        <f>HYPERLINK("https://pbs.twimg.com/profile_images/962471262747529216/Uo8lOkRJ_normal.jpg","View")</f>
        <v>View</v>
      </c>
      <c r="P8042" s="7"/>
    </row>
    <row r="8043" spans="1:16">
      <c r="A8043" s="3">
        <v>44041.366018518514</v>
      </c>
      <c r="B8043" s="4" t="str">
        <f>HYPERLINK("https://twitter.com/petrogustavo","@petrogustavo")</f>
        <v>@petrogustavo</v>
      </c>
      <c r="C8043" s="5" t="s">
        <v>16</v>
      </c>
      <c r="D8043" s="5" t="s">
        <v>7757</v>
      </c>
      <c r="E8043" s="6" t="str">
        <f>HYPERLINK("https://twitter.com/petrogustavo/status/1288312561084104705","1288312561084104705")</f>
        <v>1288312561084104705</v>
      </c>
      <c r="F8043" s="7" t="s">
        <v>32</v>
      </c>
      <c r="G8043" s="7">
        <v>3915491</v>
      </c>
      <c r="H8043" s="7">
        <v>2423</v>
      </c>
      <c r="I8043" s="7">
        <v>2374</v>
      </c>
      <c r="J8043" s="7">
        <v>0</v>
      </c>
      <c r="K8043" s="7" t="s">
        <v>18</v>
      </c>
      <c r="L8043" s="8">
        <v>39987.315405092595</v>
      </c>
      <c r="M8043" s="9" t="s">
        <v>19</v>
      </c>
      <c r="N8043" s="9" t="s">
        <v>20</v>
      </c>
      <c r="O8043" s="6" t="str">
        <f>HYPERLINK("https://pbs.twimg.com/profile_images/962471262747529216/Uo8lOkRJ_normal.jpg","View")</f>
        <v>View</v>
      </c>
      <c r="P8043" s="7"/>
    </row>
    <row r="8044" spans="1:16">
      <c r="A8044" s="3">
        <v>44041.366446759261</v>
      </c>
      <c r="B8044" s="4" t="str">
        <f>HYPERLINK("https://twitter.com/petrogustavo","@petrogustavo")</f>
        <v>@petrogustavo</v>
      </c>
      <c r="C8044" s="5" t="s">
        <v>16</v>
      </c>
      <c r="D8044" s="5" t="s">
        <v>7758</v>
      </c>
      <c r="E8044" s="6" t="str">
        <f>HYPERLINK("https://twitter.com/petrogustavo/status/1288312716545929218","1288312716545929218")</f>
        <v>1288312716545929218</v>
      </c>
      <c r="F8044" s="7" t="s">
        <v>32</v>
      </c>
      <c r="G8044" s="7">
        <v>3915480</v>
      </c>
      <c r="H8044" s="7">
        <v>2423</v>
      </c>
      <c r="I8044" s="7">
        <v>969</v>
      </c>
      <c r="J8044" s="7">
        <v>0</v>
      </c>
      <c r="K8044" s="7" t="s">
        <v>18</v>
      </c>
      <c r="L8044" s="8">
        <v>39987.315405092595</v>
      </c>
      <c r="M8044" s="9" t="s">
        <v>19</v>
      </c>
      <c r="N8044" s="9" t="s">
        <v>20</v>
      </c>
      <c r="O8044" s="6" t="str">
        <f>HYPERLINK("https://pbs.twimg.com/profile_images/962471262747529216/Uo8lOkRJ_normal.jpg","View")</f>
        <v>View</v>
      </c>
      <c r="P8044" s="7"/>
    </row>
    <row r="8045" spans="1:16">
      <c r="A8045" s="3">
        <v>44041.762083333335</v>
      </c>
      <c r="B8045" s="4" t="str">
        <f>HYPERLINK("https://twitter.com/petrogustavo","@petrogustavo")</f>
        <v>@petrogustavo</v>
      </c>
      <c r="C8045" s="5" t="s">
        <v>16</v>
      </c>
      <c r="D8045" s="5" t="s">
        <v>7760</v>
      </c>
      <c r="E8045" s="6" t="str">
        <f>HYPERLINK("https://twitter.com/petrogustavo/status/1288456088996720640","1288456088996720640")</f>
        <v>1288456088996720640</v>
      </c>
      <c r="F8045" s="7" t="s">
        <v>17</v>
      </c>
      <c r="G8045" s="7">
        <v>3915562</v>
      </c>
      <c r="H8045" s="7">
        <v>2423</v>
      </c>
      <c r="I8045" s="7">
        <v>145</v>
      </c>
      <c r="J8045" s="7">
        <v>0</v>
      </c>
      <c r="K8045" s="7" t="s">
        <v>18</v>
      </c>
      <c r="L8045" s="8">
        <v>39987.315405092595</v>
      </c>
      <c r="M8045" s="9" t="s">
        <v>19</v>
      </c>
      <c r="N8045" s="9" t="s">
        <v>20</v>
      </c>
      <c r="O8045" s="6" t="str">
        <f>HYPERLINK("https://pbs.twimg.com/profile_images/962471262747529216/Uo8lOkRJ_normal.jpg","View")</f>
        <v>View</v>
      </c>
      <c r="P8045" s="7"/>
    </row>
    <row r="8046" spans="1:16">
      <c r="A8046" s="3">
        <v>44041.77107638889</v>
      </c>
      <c r="B8046" s="4" t="str">
        <f>HYPERLINK("https://twitter.com/petrogustavo","@petrogustavo")</f>
        <v>@petrogustavo</v>
      </c>
      <c r="C8046" s="5" t="s">
        <v>16</v>
      </c>
      <c r="D8046" s="5" t="s">
        <v>7747</v>
      </c>
      <c r="E8046" s="6" t="str">
        <f>HYPERLINK("https://twitter.com/petrogustavo/status/1288459348461715456","1288459348461715456")</f>
        <v>1288459348461715456</v>
      </c>
      <c r="F8046" s="7" t="s">
        <v>17</v>
      </c>
      <c r="G8046" s="7">
        <v>3915562</v>
      </c>
      <c r="H8046" s="7">
        <v>2423</v>
      </c>
      <c r="I8046" s="7">
        <v>165</v>
      </c>
      <c r="J8046" s="7">
        <v>0</v>
      </c>
      <c r="K8046" s="7" t="s">
        <v>18</v>
      </c>
      <c r="L8046" s="8">
        <v>39987.315405092595</v>
      </c>
      <c r="M8046" s="9" t="s">
        <v>19</v>
      </c>
      <c r="N8046" s="9" t="s">
        <v>20</v>
      </c>
      <c r="O8046" s="6" t="str">
        <f>HYPERLINK("https://pbs.twimg.com/profile_images/962471262747529216/Uo8lOkRJ_normal.jpg","View")</f>
        <v>View</v>
      </c>
      <c r="P8046" s="7"/>
    </row>
    <row r="8047" spans="1:16">
      <c r="A8047" s="3">
        <v>44041.771620370375</v>
      </c>
      <c r="B8047" s="4" t="str">
        <f>HYPERLINK("https://twitter.com/petrogustavo","@petrogustavo")</f>
        <v>@petrogustavo</v>
      </c>
      <c r="C8047" s="5" t="s">
        <v>16</v>
      </c>
      <c r="D8047" s="5" t="s">
        <v>7761</v>
      </c>
      <c r="E8047" s="6" t="str">
        <f>HYPERLINK("https://twitter.com/petrogustavo/status/1288459542846636039","1288459542846636039")</f>
        <v>1288459542846636039</v>
      </c>
      <c r="F8047" s="7" t="s">
        <v>17</v>
      </c>
      <c r="G8047" s="7">
        <v>3915562</v>
      </c>
      <c r="H8047" s="7">
        <v>2423</v>
      </c>
      <c r="I8047" s="7">
        <v>42</v>
      </c>
      <c r="J8047" s="7">
        <v>0</v>
      </c>
      <c r="K8047" s="7" t="s">
        <v>18</v>
      </c>
      <c r="L8047" s="8">
        <v>39987.315405092595</v>
      </c>
      <c r="M8047" s="9" t="s">
        <v>19</v>
      </c>
      <c r="N8047" s="9" t="s">
        <v>20</v>
      </c>
      <c r="O8047" s="6" t="str">
        <f>HYPERLINK("https://pbs.twimg.com/profile_images/962471262747529216/Uo8lOkRJ_normal.jpg","View")</f>
        <v>View</v>
      </c>
      <c r="P8047" s="7"/>
    </row>
    <row r="8048" spans="1:16">
      <c r="A8048" s="3">
        <v>44041.785381944443</v>
      </c>
      <c r="B8048" s="4" t="str">
        <f>HYPERLINK("https://twitter.com/petrogustavo","@petrogustavo")</f>
        <v>@petrogustavo</v>
      </c>
      <c r="C8048" s="5" t="s">
        <v>16</v>
      </c>
      <c r="D8048" s="5" t="s">
        <v>7762</v>
      </c>
      <c r="E8048" s="6" t="str">
        <f>HYPERLINK("https://twitter.com/petrogustavo/status/1288464531149258758","1288464531149258758")</f>
        <v>1288464531149258758</v>
      </c>
      <c r="F8048" s="7" t="s">
        <v>17</v>
      </c>
      <c r="G8048" s="7">
        <v>3915572</v>
      </c>
      <c r="H8048" s="7">
        <v>2423</v>
      </c>
      <c r="I8048" s="7">
        <v>117</v>
      </c>
      <c r="J8048" s="7">
        <v>240</v>
      </c>
      <c r="K8048" s="7" t="s">
        <v>18</v>
      </c>
      <c r="L8048" s="8">
        <v>39987.315405092595</v>
      </c>
      <c r="M8048" s="9" t="s">
        <v>19</v>
      </c>
      <c r="N8048" s="9" t="s">
        <v>20</v>
      </c>
      <c r="O8048" s="6" t="str">
        <f>HYPERLINK("https://pbs.twimg.com/profile_images/962471262747529216/Uo8lOkRJ_normal.jpg","View")</f>
        <v>View</v>
      </c>
      <c r="P8048" s="7"/>
    </row>
    <row r="8049" spans="1:16">
      <c r="A8049" s="3">
        <v>44041.789837962962</v>
      </c>
      <c r="B8049" s="4" t="str">
        <f>HYPERLINK("https://twitter.com/petrogustavo","@petrogustavo")</f>
        <v>@petrogustavo</v>
      </c>
      <c r="C8049" s="5" t="s">
        <v>16</v>
      </c>
      <c r="D8049" s="5" t="s">
        <v>7763</v>
      </c>
      <c r="E8049" s="6" t="str">
        <f>HYPERLINK("https://twitter.com/petrogustavo/status/1288466145469763584","1288466145469763584")</f>
        <v>1288466145469763584</v>
      </c>
      <c r="F8049" s="7" t="s">
        <v>17</v>
      </c>
      <c r="G8049" s="7">
        <v>3915572</v>
      </c>
      <c r="H8049" s="7">
        <v>2423</v>
      </c>
      <c r="I8049" s="7">
        <v>85</v>
      </c>
      <c r="J8049" s="7">
        <v>184</v>
      </c>
      <c r="K8049" s="7" t="s">
        <v>18</v>
      </c>
      <c r="L8049" s="8">
        <v>39987.315405092595</v>
      </c>
      <c r="M8049" s="9" t="s">
        <v>19</v>
      </c>
      <c r="N8049" s="9" t="s">
        <v>20</v>
      </c>
      <c r="O8049" s="6" t="str">
        <f>HYPERLINK("https://pbs.twimg.com/profile_images/962471262747529216/Uo8lOkRJ_normal.jpg","View")</f>
        <v>View</v>
      </c>
      <c r="P8049" s="7"/>
    </row>
    <row r="8050" spans="1:16">
      <c r="A8050" s="3">
        <v>44041.801215277781</v>
      </c>
      <c r="B8050" s="4" t="str">
        <f>HYPERLINK("https://twitter.com/petrogustavo","@petrogustavo")</f>
        <v>@petrogustavo</v>
      </c>
      <c r="C8050" s="5" t="s">
        <v>16</v>
      </c>
      <c r="D8050" s="5" t="s">
        <v>7764</v>
      </c>
      <c r="E8050" s="6" t="str">
        <f>HYPERLINK("https://twitter.com/petrogustavo/status/1288470268864794624","1288470268864794624")</f>
        <v>1288470268864794624</v>
      </c>
      <c r="F8050" s="7" t="s">
        <v>17</v>
      </c>
      <c r="G8050" s="7">
        <v>3915572</v>
      </c>
      <c r="H8050" s="7">
        <v>2423</v>
      </c>
      <c r="I8050" s="7">
        <v>67</v>
      </c>
      <c r="J8050" s="7">
        <v>206</v>
      </c>
      <c r="K8050" s="7" t="s">
        <v>18</v>
      </c>
      <c r="L8050" s="8">
        <v>39987.315405092595</v>
      </c>
      <c r="M8050" s="9" t="s">
        <v>19</v>
      </c>
      <c r="N8050" s="9" t="s">
        <v>20</v>
      </c>
      <c r="O8050" s="6" t="str">
        <f>HYPERLINK("https://pbs.twimg.com/profile_images/962471262747529216/Uo8lOkRJ_normal.jpg","View")</f>
        <v>View</v>
      </c>
      <c r="P8050" s="7"/>
    </row>
    <row r="8051" spans="1:16">
      <c r="A8051" s="3">
        <v>44041.803356481483</v>
      </c>
      <c r="B8051" s="4" t="str">
        <f>HYPERLINK("https://twitter.com/petrogustavo","@petrogustavo")</f>
        <v>@petrogustavo</v>
      </c>
      <c r="C8051" s="5" t="s">
        <v>16</v>
      </c>
      <c r="D8051" s="5" t="s">
        <v>7765</v>
      </c>
      <c r="E8051" s="6" t="str">
        <f>HYPERLINK("https://twitter.com/petrogustavo/status/1288471045993881602","1288471045993881602")</f>
        <v>1288471045993881602</v>
      </c>
      <c r="F8051" s="7" t="s">
        <v>17</v>
      </c>
      <c r="G8051" s="7">
        <v>3915572</v>
      </c>
      <c r="H8051" s="7">
        <v>2423</v>
      </c>
      <c r="I8051" s="7">
        <v>7</v>
      </c>
      <c r="J8051" s="7">
        <v>31</v>
      </c>
      <c r="K8051" s="7" t="s">
        <v>18</v>
      </c>
      <c r="L8051" s="8">
        <v>39987.315405092595</v>
      </c>
      <c r="M8051" s="9" t="s">
        <v>19</v>
      </c>
      <c r="N8051" s="9" t="s">
        <v>20</v>
      </c>
      <c r="O8051" s="6" t="str">
        <f>HYPERLINK("https://pbs.twimg.com/profile_images/962471262747529216/Uo8lOkRJ_normal.jpg","View")</f>
        <v>View</v>
      </c>
      <c r="P8051" s="7"/>
    </row>
    <row r="8052" spans="1:16">
      <c r="A8052" s="3">
        <v>44041.805902777778</v>
      </c>
      <c r="B8052" s="4" t="str">
        <f>HYPERLINK("https://twitter.com/petrogustavo","@petrogustavo")</f>
        <v>@petrogustavo</v>
      </c>
      <c r="C8052" s="5" t="s">
        <v>16</v>
      </c>
      <c r="D8052" s="5" t="s">
        <v>7766</v>
      </c>
      <c r="E8052" s="6" t="str">
        <f>HYPERLINK("https://twitter.com/petrogustavo/status/1288471969088917510","1288471969088917510")</f>
        <v>1288471969088917510</v>
      </c>
      <c r="F8052" s="7" t="s">
        <v>17</v>
      </c>
      <c r="G8052" s="7">
        <v>3915581</v>
      </c>
      <c r="H8052" s="7">
        <v>2423</v>
      </c>
      <c r="I8052" s="7">
        <v>61</v>
      </c>
      <c r="J8052" s="7">
        <v>249</v>
      </c>
      <c r="K8052" s="7" t="s">
        <v>18</v>
      </c>
      <c r="L8052" s="8">
        <v>39987.315405092595</v>
      </c>
      <c r="M8052" s="9" t="s">
        <v>19</v>
      </c>
      <c r="N8052" s="9" t="s">
        <v>20</v>
      </c>
      <c r="O8052" s="6" t="str">
        <f>HYPERLINK("https://pbs.twimg.com/profile_images/962471262747529216/Uo8lOkRJ_normal.jpg","View")</f>
        <v>View</v>
      </c>
      <c r="P8052" s="7"/>
    </row>
    <row r="8053" spans="1:16">
      <c r="A8053" s="3">
        <v>44041.808217592596</v>
      </c>
      <c r="B8053" s="4" t="str">
        <f>HYPERLINK("https://twitter.com/petrogustavo","@petrogustavo")</f>
        <v>@petrogustavo</v>
      </c>
      <c r="C8053" s="5" t="s">
        <v>16</v>
      </c>
      <c r="D8053" s="5" t="s">
        <v>7767</v>
      </c>
      <c r="E8053" s="6" t="str">
        <f>HYPERLINK("https://twitter.com/petrogustavo/status/1288472805646966784","1288472805646966784")</f>
        <v>1288472805646966784</v>
      </c>
      <c r="F8053" s="7" t="s">
        <v>17</v>
      </c>
      <c r="G8053" s="7">
        <v>3915581</v>
      </c>
      <c r="H8053" s="7">
        <v>2423</v>
      </c>
      <c r="I8053" s="7">
        <v>29</v>
      </c>
      <c r="J8053" s="7">
        <v>115</v>
      </c>
      <c r="K8053" s="7" t="s">
        <v>18</v>
      </c>
      <c r="L8053" s="8">
        <v>39987.315405092595</v>
      </c>
      <c r="M8053" s="9" t="s">
        <v>19</v>
      </c>
      <c r="N8053" s="9" t="s">
        <v>20</v>
      </c>
      <c r="O8053" s="6" t="str">
        <f>HYPERLINK("https://pbs.twimg.com/profile_images/962471262747529216/Uo8lOkRJ_normal.jpg","View")</f>
        <v>View</v>
      </c>
      <c r="P8053" s="7"/>
    </row>
    <row r="8054" spans="1:16">
      <c r="A8054" s="3">
        <v>44041.824884259258</v>
      </c>
      <c r="B8054" s="4" t="str">
        <f>HYPERLINK("https://twitter.com/petrogustavo","@petrogustavo")</f>
        <v>@petrogustavo</v>
      </c>
      <c r="C8054" s="5" t="s">
        <v>16</v>
      </c>
      <c r="D8054" s="5" t="s">
        <v>7768</v>
      </c>
      <c r="E8054" s="6" t="str">
        <f>HYPERLINK("https://twitter.com/petrogustavo/status/1288478848296787969","1288478848296787969")</f>
        <v>1288478848296787969</v>
      </c>
      <c r="F8054" s="7" t="s">
        <v>17</v>
      </c>
      <c r="G8054" s="7">
        <v>3915601</v>
      </c>
      <c r="H8054" s="7">
        <v>2423</v>
      </c>
      <c r="I8054" s="7">
        <v>124</v>
      </c>
      <c r="J8054" s="7">
        <v>193</v>
      </c>
      <c r="K8054" s="7" t="s">
        <v>18</v>
      </c>
      <c r="L8054" s="8">
        <v>39987.315405092595</v>
      </c>
      <c r="M8054" s="9" t="s">
        <v>19</v>
      </c>
      <c r="N8054" s="9" t="s">
        <v>20</v>
      </c>
      <c r="O8054" s="6" t="str">
        <f>HYPERLINK("https://pbs.twimg.com/profile_images/962471262747529216/Uo8lOkRJ_normal.jpg","View")</f>
        <v>View</v>
      </c>
      <c r="P8054" s="7"/>
    </row>
    <row r="8055" spans="1:16">
      <c r="A8055" s="3">
        <v>44041.82539351852</v>
      </c>
      <c r="B8055" s="4" t="str">
        <f>HYPERLINK("https://twitter.com/petrogustavo","@petrogustavo")</f>
        <v>@petrogustavo</v>
      </c>
      <c r="C8055" s="5" t="s">
        <v>16</v>
      </c>
      <c r="D8055" s="5" t="s">
        <v>7769</v>
      </c>
      <c r="E8055" s="6" t="str">
        <f>HYPERLINK("https://twitter.com/petrogustavo/status/1288479031541805059","1288479031541805059")</f>
        <v>1288479031541805059</v>
      </c>
      <c r="F8055" s="7" t="s">
        <v>17</v>
      </c>
      <c r="G8055" s="7">
        <v>3915601</v>
      </c>
      <c r="H8055" s="7">
        <v>2423</v>
      </c>
      <c r="I8055" s="7">
        <v>6128</v>
      </c>
      <c r="J8055" s="7">
        <v>0</v>
      </c>
      <c r="K8055" s="7" t="s">
        <v>18</v>
      </c>
      <c r="L8055" s="8">
        <v>39987.315405092595</v>
      </c>
      <c r="M8055" s="9" t="s">
        <v>19</v>
      </c>
      <c r="N8055" s="9" t="s">
        <v>20</v>
      </c>
      <c r="O8055" s="6" t="str">
        <f>HYPERLINK("https://pbs.twimg.com/profile_images/962471262747529216/Uo8lOkRJ_normal.jpg","View")</f>
        <v>View</v>
      </c>
      <c r="P8055" s="7"/>
    </row>
    <row r="8056" spans="1:16">
      <c r="A8056" s="3">
        <v>44041.825613425928</v>
      </c>
      <c r="B8056" s="4" t="str">
        <f>HYPERLINK("https://twitter.com/petrogustavo","@petrogustavo")</f>
        <v>@petrogustavo</v>
      </c>
      <c r="C8056" s="5" t="s">
        <v>16</v>
      </c>
      <c r="D8056" s="5" t="s">
        <v>7770</v>
      </c>
      <c r="E8056" s="6" t="str">
        <f>HYPERLINK("https://twitter.com/petrogustavo/status/1288479111988551688","1288479111988551688")</f>
        <v>1288479111988551688</v>
      </c>
      <c r="F8056" s="7" t="s">
        <v>17</v>
      </c>
      <c r="G8056" s="7">
        <v>3915601</v>
      </c>
      <c r="H8056" s="7">
        <v>2423</v>
      </c>
      <c r="I8056" s="7">
        <v>538</v>
      </c>
      <c r="J8056" s="7">
        <v>0</v>
      </c>
      <c r="K8056" s="7" t="s">
        <v>18</v>
      </c>
      <c r="L8056" s="8">
        <v>39987.315405092595</v>
      </c>
      <c r="M8056" s="9" t="s">
        <v>19</v>
      </c>
      <c r="N8056" s="9" t="s">
        <v>20</v>
      </c>
      <c r="O8056" s="6" t="str">
        <f>HYPERLINK("https://pbs.twimg.com/profile_images/962471262747529216/Uo8lOkRJ_normal.jpg","View")</f>
        <v>View</v>
      </c>
      <c r="P8056" s="7"/>
    </row>
    <row r="8057" spans="1:16">
      <c r="A8057" s="3">
        <v>44041.838912037041</v>
      </c>
      <c r="B8057" s="4" t="str">
        <f>HYPERLINK("https://twitter.com/petrogustavo","@petrogustavo")</f>
        <v>@petrogustavo</v>
      </c>
      <c r="C8057" s="5" t="s">
        <v>16</v>
      </c>
      <c r="D8057" s="5" t="s">
        <v>7771</v>
      </c>
      <c r="E8057" s="6" t="str">
        <f>HYPERLINK("https://twitter.com/petrogustavo/status/1288483931571060739","1288483931571060739")</f>
        <v>1288483931571060739</v>
      </c>
      <c r="F8057" s="7" t="s">
        <v>17</v>
      </c>
      <c r="G8057" s="7">
        <v>3915601</v>
      </c>
      <c r="H8057" s="7">
        <v>2423</v>
      </c>
      <c r="I8057" s="7">
        <v>675</v>
      </c>
      <c r="J8057" s="7">
        <v>0</v>
      </c>
      <c r="K8057" s="7" t="s">
        <v>18</v>
      </c>
      <c r="L8057" s="8">
        <v>39987.315405092595</v>
      </c>
      <c r="M8057" s="9" t="s">
        <v>19</v>
      </c>
      <c r="N8057" s="9" t="s">
        <v>20</v>
      </c>
      <c r="O8057" s="6" t="str">
        <f>HYPERLINK("https://pbs.twimg.com/profile_images/962471262747529216/Uo8lOkRJ_normal.jpg","View")</f>
        <v>View</v>
      </c>
      <c r="P8057" s="7"/>
    </row>
    <row r="8058" spans="1:16">
      <c r="A8058" s="3">
        <v>44041.936516203699</v>
      </c>
      <c r="B8058" s="4" t="str">
        <f>HYPERLINK("https://twitter.com/petrogustavo","@petrogustavo")</f>
        <v>@petrogustavo</v>
      </c>
      <c r="C8058" s="5" t="s">
        <v>16</v>
      </c>
      <c r="D8058" s="5" t="s">
        <v>7772</v>
      </c>
      <c r="E8058" s="6" t="str">
        <f>HYPERLINK("https://twitter.com/petrogustavo/status/1288519302656778240","1288519302656778240")</f>
        <v>1288519302656778240</v>
      </c>
      <c r="F8058" s="7" t="s">
        <v>32</v>
      </c>
      <c r="G8058" s="7">
        <v>3915685</v>
      </c>
      <c r="H8058" s="7">
        <v>2423</v>
      </c>
      <c r="I8058" s="7">
        <v>676</v>
      </c>
      <c r="J8058" s="7">
        <v>0</v>
      </c>
      <c r="K8058" s="7" t="s">
        <v>18</v>
      </c>
      <c r="L8058" s="8">
        <v>39987.315405092595</v>
      </c>
      <c r="M8058" s="9" t="s">
        <v>19</v>
      </c>
      <c r="N8058" s="9" t="s">
        <v>20</v>
      </c>
      <c r="O8058" s="6" t="str">
        <f>HYPERLINK("https://pbs.twimg.com/profile_images/962471262747529216/Uo8lOkRJ_normal.jpg","View")</f>
        <v>View</v>
      </c>
      <c r="P8058" s="7"/>
    </row>
    <row r="8059" spans="1:16">
      <c r="A8059" s="3">
        <v>44041.938090277778</v>
      </c>
      <c r="B8059" s="4" t="str">
        <f>HYPERLINK("https://twitter.com/petrogustavo","@petrogustavo")</f>
        <v>@petrogustavo</v>
      </c>
      <c r="C8059" s="5" t="s">
        <v>16</v>
      </c>
      <c r="D8059" s="5" t="s">
        <v>7773</v>
      </c>
      <c r="E8059" s="6" t="str">
        <f>HYPERLINK("https://twitter.com/petrogustavo/status/1288519873065353216","1288519873065353216")</f>
        <v>1288519873065353216</v>
      </c>
      <c r="F8059" s="7" t="s">
        <v>32</v>
      </c>
      <c r="G8059" s="7">
        <v>3915685</v>
      </c>
      <c r="H8059" s="7">
        <v>2423</v>
      </c>
      <c r="I8059" s="7">
        <v>128</v>
      </c>
      <c r="J8059" s="7">
        <v>0</v>
      </c>
      <c r="K8059" s="7" t="s">
        <v>18</v>
      </c>
      <c r="L8059" s="8">
        <v>39987.315405092595</v>
      </c>
      <c r="M8059" s="9" t="s">
        <v>19</v>
      </c>
      <c r="N8059" s="9" t="s">
        <v>20</v>
      </c>
      <c r="O8059" s="6" t="str">
        <f>HYPERLINK("https://pbs.twimg.com/profile_images/962471262747529216/Uo8lOkRJ_normal.jpg","View")</f>
        <v>View</v>
      </c>
      <c r="P8059" s="7"/>
    </row>
    <row r="8060" spans="1:16">
      <c r="A8060" s="3">
        <v>44041.938518518524</v>
      </c>
      <c r="B8060" s="4" t="str">
        <f>HYPERLINK("https://twitter.com/petrogustavo","@petrogustavo")</f>
        <v>@petrogustavo</v>
      </c>
      <c r="C8060" s="5" t="s">
        <v>16</v>
      </c>
      <c r="D8060" s="5" t="s">
        <v>7774</v>
      </c>
      <c r="E8060" s="6" t="str">
        <f>HYPERLINK("https://twitter.com/petrogustavo/status/1288520026073440257","1288520026073440257")</f>
        <v>1288520026073440257</v>
      </c>
      <c r="F8060" s="7" t="s">
        <v>32</v>
      </c>
      <c r="G8060" s="7">
        <v>3915685</v>
      </c>
      <c r="H8060" s="7">
        <v>2423</v>
      </c>
      <c r="I8060" s="7">
        <v>254</v>
      </c>
      <c r="J8060" s="7">
        <v>0</v>
      </c>
      <c r="K8060" s="7" t="s">
        <v>18</v>
      </c>
      <c r="L8060" s="8">
        <v>39987.315405092595</v>
      </c>
      <c r="M8060" s="9" t="s">
        <v>19</v>
      </c>
      <c r="N8060" s="9" t="s">
        <v>20</v>
      </c>
      <c r="O8060" s="6" t="str">
        <f>HYPERLINK("https://pbs.twimg.com/profile_images/962471262747529216/Uo8lOkRJ_normal.jpg","View")</f>
        <v>View</v>
      </c>
      <c r="P8060" s="7"/>
    </row>
    <row r="8061" spans="1:16">
      <c r="A8061" s="3">
        <v>44041.940254629633</v>
      </c>
      <c r="B8061" s="4" t="str">
        <f>HYPERLINK("https://twitter.com/petrogustavo","@petrogustavo")</f>
        <v>@petrogustavo</v>
      </c>
      <c r="C8061" s="5" t="s">
        <v>16</v>
      </c>
      <c r="D8061" s="5" t="s">
        <v>7775</v>
      </c>
      <c r="E8061" s="6" t="str">
        <f>HYPERLINK("https://twitter.com/petrogustavo/status/1288520655449788422","1288520655449788422")</f>
        <v>1288520655449788422</v>
      </c>
      <c r="F8061" s="7" t="s">
        <v>32</v>
      </c>
      <c r="G8061" s="7">
        <v>3915685</v>
      </c>
      <c r="H8061" s="7">
        <v>2423</v>
      </c>
      <c r="I8061" s="7">
        <v>61</v>
      </c>
      <c r="J8061" s="7">
        <v>132</v>
      </c>
      <c r="K8061" s="7" t="s">
        <v>18</v>
      </c>
      <c r="L8061" s="8">
        <v>39987.315405092595</v>
      </c>
      <c r="M8061" s="9" t="s">
        <v>19</v>
      </c>
      <c r="N8061" s="9" t="s">
        <v>20</v>
      </c>
      <c r="O8061" s="6" t="str">
        <f>HYPERLINK("https://pbs.twimg.com/profile_images/962471262747529216/Uo8lOkRJ_normal.jpg","View")</f>
        <v>View</v>
      </c>
      <c r="P8061" s="7"/>
    </row>
    <row r="8062" spans="1:16">
      <c r="A8062" s="3">
        <v>44041.959456018521</v>
      </c>
      <c r="B8062" s="4" t="str">
        <f>HYPERLINK("https://twitter.com/petrogustavo","@petrogustavo")</f>
        <v>@petrogustavo</v>
      </c>
      <c r="C8062" s="5" t="s">
        <v>16</v>
      </c>
      <c r="D8062" s="5" t="s">
        <v>7776</v>
      </c>
      <c r="E8062" s="6" t="str">
        <f>HYPERLINK("https://twitter.com/petrogustavo/status/1288527615029059591","1288527615029059591")</f>
        <v>1288527615029059591</v>
      </c>
      <c r="F8062" s="7" t="s">
        <v>32</v>
      </c>
      <c r="G8062" s="7">
        <v>3915702</v>
      </c>
      <c r="H8062" s="7">
        <v>2423</v>
      </c>
      <c r="I8062" s="7">
        <v>110</v>
      </c>
      <c r="J8062" s="7">
        <v>191</v>
      </c>
      <c r="K8062" s="7" t="s">
        <v>18</v>
      </c>
      <c r="L8062" s="8">
        <v>39987.315405092595</v>
      </c>
      <c r="M8062" s="9" t="s">
        <v>19</v>
      </c>
      <c r="N8062" s="9" t="s">
        <v>20</v>
      </c>
      <c r="O8062" s="6" t="str">
        <f>HYPERLINK("https://pbs.twimg.com/profile_images/962471262747529216/Uo8lOkRJ_normal.jpg","View")</f>
        <v>View</v>
      </c>
      <c r="P8062" s="7"/>
    </row>
    <row r="8063" spans="1:16">
      <c r="A8063" s="3">
        <v>44042.003912037035</v>
      </c>
      <c r="B8063" s="4" t="str">
        <f>HYPERLINK("https://twitter.com/petrogustavo","@petrogustavo")</f>
        <v>@petrogustavo</v>
      </c>
      <c r="C8063" s="5" t="s">
        <v>16</v>
      </c>
      <c r="D8063" s="5" t="s">
        <v>7777</v>
      </c>
      <c r="E8063" s="6" t="str">
        <f>HYPERLINK("https://twitter.com/petrogustavo/status/1288543722838335492","1288543722838335492")</f>
        <v>1288543722838335492</v>
      </c>
      <c r="F8063" s="7" t="s">
        <v>32</v>
      </c>
      <c r="G8063" s="7">
        <v>3915697</v>
      </c>
      <c r="H8063" s="7">
        <v>2422</v>
      </c>
      <c r="I8063" s="7">
        <v>72</v>
      </c>
      <c r="J8063" s="7">
        <v>136</v>
      </c>
      <c r="K8063" s="7" t="s">
        <v>18</v>
      </c>
      <c r="L8063" s="8">
        <v>39987.315405092595</v>
      </c>
      <c r="M8063" s="9" t="s">
        <v>19</v>
      </c>
      <c r="N8063" s="9" t="s">
        <v>20</v>
      </c>
      <c r="O8063" s="6" t="str">
        <f>HYPERLINK("https://pbs.twimg.com/profile_images/962471262747529216/Uo8lOkRJ_normal.jpg","View")</f>
        <v>View</v>
      </c>
      <c r="P8063" s="7"/>
    </row>
    <row r="8064" spans="1:16">
      <c r="A8064" s="3">
        <v>44042.022337962961</v>
      </c>
      <c r="B8064" s="4" t="str">
        <f>HYPERLINK("https://twitter.com/petrogustavo","@petrogustavo")</f>
        <v>@petrogustavo</v>
      </c>
      <c r="C8064" s="5" t="s">
        <v>16</v>
      </c>
      <c r="D8064" s="5" t="s">
        <v>7778</v>
      </c>
      <c r="E8064" s="6" t="str">
        <f>HYPERLINK("https://twitter.com/petrogustavo/status/1288550400384172033","1288550400384172033")</f>
        <v>1288550400384172033</v>
      </c>
      <c r="F8064" s="7" t="s">
        <v>32</v>
      </c>
      <c r="G8064" s="7">
        <v>3915716</v>
      </c>
      <c r="H8064" s="7">
        <v>2422</v>
      </c>
      <c r="I8064" s="7">
        <v>2181</v>
      </c>
      <c r="J8064" s="7">
        <v>0</v>
      </c>
      <c r="K8064" s="7" t="s">
        <v>18</v>
      </c>
      <c r="L8064" s="8">
        <v>39987.315405092595</v>
      </c>
      <c r="M8064" s="9" t="s">
        <v>19</v>
      </c>
      <c r="N8064" s="9" t="s">
        <v>20</v>
      </c>
      <c r="O8064" s="6" t="str">
        <f>HYPERLINK("https://pbs.twimg.com/profile_images/962471262747529216/Uo8lOkRJ_normal.jpg","View")</f>
        <v>View</v>
      </c>
      <c r="P8064" s="7"/>
    </row>
    <row r="8065" spans="1:16">
      <c r="A8065" s="3">
        <v>44042.09851851852</v>
      </c>
      <c r="B8065" s="4" t="str">
        <f>HYPERLINK("https://twitter.com/petrogustavo","@petrogustavo")</f>
        <v>@petrogustavo</v>
      </c>
      <c r="C8065" s="5" t="s">
        <v>16</v>
      </c>
      <c r="D8065" s="5" t="s">
        <v>7779</v>
      </c>
      <c r="E8065" s="6" t="str">
        <f>HYPERLINK("https://twitter.com/petrogustavo/status/1288578008580751361","1288578008580751361")</f>
        <v>1288578008580751361</v>
      </c>
      <c r="F8065" s="7" t="s">
        <v>17</v>
      </c>
      <c r="G8065" s="7">
        <v>3915757</v>
      </c>
      <c r="H8065" s="7">
        <v>2422</v>
      </c>
      <c r="I8065" s="7">
        <v>290</v>
      </c>
      <c r="J8065" s="7">
        <v>0</v>
      </c>
      <c r="K8065" s="7" t="s">
        <v>18</v>
      </c>
      <c r="L8065" s="8">
        <v>39987.315405092595</v>
      </c>
      <c r="M8065" s="9" t="s">
        <v>19</v>
      </c>
      <c r="N8065" s="9" t="s">
        <v>20</v>
      </c>
      <c r="O8065" s="6" t="str">
        <f>HYPERLINK("https://pbs.twimg.com/profile_images/962471262747529216/Uo8lOkRJ_normal.jpg","View")</f>
        <v>View</v>
      </c>
      <c r="P8065" s="7"/>
    </row>
    <row r="8066" spans="1:16">
      <c r="A8066" s="3">
        <v>44042.111539351856</v>
      </c>
      <c r="B8066" s="4" t="str">
        <f>HYPERLINK("https://twitter.com/petrogustavo","@petrogustavo")</f>
        <v>@petrogustavo</v>
      </c>
      <c r="C8066" s="5" t="s">
        <v>16</v>
      </c>
      <c r="D8066" s="5" t="s">
        <v>7780</v>
      </c>
      <c r="E8066" s="6" t="str">
        <f>HYPERLINK("https://twitter.com/petrogustavo/status/1288582725675487233","1288582725675487233")</f>
        <v>1288582725675487233</v>
      </c>
      <c r="F8066" s="7" t="s">
        <v>17</v>
      </c>
      <c r="G8066" s="7">
        <v>3915757</v>
      </c>
      <c r="H8066" s="7">
        <v>2422</v>
      </c>
      <c r="I8066" s="7">
        <v>106</v>
      </c>
      <c r="J8066" s="7">
        <v>345</v>
      </c>
      <c r="K8066" s="7" t="s">
        <v>18</v>
      </c>
      <c r="L8066" s="8">
        <v>39987.315405092595</v>
      </c>
      <c r="M8066" s="9" t="s">
        <v>19</v>
      </c>
      <c r="N8066" s="9" t="s">
        <v>20</v>
      </c>
      <c r="O8066" s="6" t="str">
        <f>HYPERLINK("https://pbs.twimg.com/profile_images/962471262747529216/Uo8lOkRJ_normal.jpg","View")</f>
        <v>View</v>
      </c>
      <c r="P8066" s="7"/>
    </row>
    <row r="8067" spans="1:16">
      <c r="A8067" s="3">
        <v>44042.118993055556</v>
      </c>
      <c r="B8067" s="4" t="str">
        <f>HYPERLINK("https://twitter.com/petrogustavo","@petrogustavo")</f>
        <v>@petrogustavo</v>
      </c>
      <c r="C8067" s="5" t="s">
        <v>16</v>
      </c>
      <c r="D8067" s="5" t="s">
        <v>7781</v>
      </c>
      <c r="E8067" s="6" t="str">
        <f>HYPERLINK("https://twitter.com/petrogustavo/status/1288585428669468673","1288585428669468673")</f>
        <v>1288585428669468673</v>
      </c>
      <c r="F8067" s="7" t="s">
        <v>17</v>
      </c>
      <c r="G8067" s="7">
        <v>3915782</v>
      </c>
      <c r="H8067" s="7">
        <v>2422</v>
      </c>
      <c r="I8067" s="7">
        <v>104</v>
      </c>
      <c r="J8067" s="7">
        <v>248</v>
      </c>
      <c r="K8067" s="7" t="s">
        <v>18</v>
      </c>
      <c r="L8067" s="8">
        <v>39987.315405092595</v>
      </c>
      <c r="M8067" s="9" t="s">
        <v>19</v>
      </c>
      <c r="N8067" s="9" t="s">
        <v>20</v>
      </c>
      <c r="O8067" s="6" t="str">
        <f>HYPERLINK("https://pbs.twimg.com/profile_images/962471262747529216/Uo8lOkRJ_normal.jpg","View")</f>
        <v>View</v>
      </c>
      <c r="P8067" s="7"/>
    </row>
    <row r="8068" spans="1:16">
      <c r="A8068" s="3">
        <v>44042.123101851852</v>
      </c>
      <c r="B8068" s="4" t="str">
        <f>HYPERLINK("https://twitter.com/petrogustavo","@petrogustavo")</f>
        <v>@petrogustavo</v>
      </c>
      <c r="C8068" s="5" t="s">
        <v>16</v>
      </c>
      <c r="D8068" s="5" t="s">
        <v>7782</v>
      </c>
      <c r="E8068" s="6" t="str">
        <f>HYPERLINK("https://twitter.com/petrogustavo/status/1288586916917649413","1288586916917649413")</f>
        <v>1288586916917649413</v>
      </c>
      <c r="F8068" s="7" t="s">
        <v>17</v>
      </c>
      <c r="G8068" s="7">
        <v>3915782</v>
      </c>
      <c r="H8068" s="7">
        <v>2422</v>
      </c>
      <c r="I8068" s="7">
        <v>127</v>
      </c>
      <c r="J8068" s="7">
        <v>230</v>
      </c>
      <c r="K8068" s="7" t="s">
        <v>18</v>
      </c>
      <c r="L8068" s="8">
        <v>39987.315405092595</v>
      </c>
      <c r="M8068" s="9" t="s">
        <v>19</v>
      </c>
      <c r="N8068" s="9" t="s">
        <v>20</v>
      </c>
      <c r="O8068" s="6" t="str">
        <f>HYPERLINK("https://pbs.twimg.com/profile_images/962471262747529216/Uo8lOkRJ_normal.jpg","View")</f>
        <v>View</v>
      </c>
      <c r="P8068" s="7"/>
    </row>
    <row r="8069" spans="1:16">
      <c r="A8069" s="3">
        <v>44042.151018518518</v>
      </c>
      <c r="B8069" s="4" t="str">
        <f>HYPERLINK("https://twitter.com/petrogustavo","@petrogustavo")</f>
        <v>@petrogustavo</v>
      </c>
      <c r="C8069" s="5" t="s">
        <v>16</v>
      </c>
      <c r="D8069" s="5" t="s">
        <v>7783</v>
      </c>
      <c r="E8069" s="6" t="str">
        <f>HYPERLINK("https://twitter.com/petrogustavo/status/1288597034170290178","1288597034170290178")</f>
        <v>1288597034170290178</v>
      </c>
      <c r="F8069" s="7" t="s">
        <v>17</v>
      </c>
      <c r="G8069" s="7">
        <v>3915795</v>
      </c>
      <c r="H8069" s="7">
        <v>2422</v>
      </c>
      <c r="I8069" s="7">
        <v>89</v>
      </c>
      <c r="J8069" s="7">
        <v>0</v>
      </c>
      <c r="K8069" s="7" t="s">
        <v>18</v>
      </c>
      <c r="L8069" s="8">
        <v>39987.315405092595</v>
      </c>
      <c r="M8069" s="9" t="s">
        <v>19</v>
      </c>
      <c r="N8069" s="9" t="s">
        <v>20</v>
      </c>
      <c r="O8069" s="6" t="str">
        <f>HYPERLINK("https://pbs.twimg.com/profile_images/962471262747529216/Uo8lOkRJ_normal.jpg","View")</f>
        <v>View</v>
      </c>
      <c r="P8069" s="7"/>
    </row>
    <row r="8070" spans="1:16">
      <c r="A8070" s="3">
        <v>44042.151284722218</v>
      </c>
      <c r="B8070" s="4" t="str">
        <f>HYPERLINK("https://twitter.com/petrogustavo","@petrogustavo")</f>
        <v>@petrogustavo</v>
      </c>
      <c r="C8070" s="5" t="s">
        <v>16</v>
      </c>
      <c r="D8070" s="5" t="s">
        <v>7784</v>
      </c>
      <c r="E8070" s="6" t="str">
        <f>HYPERLINK("https://twitter.com/petrogustavo/status/1288597129741598720","1288597129741598720")</f>
        <v>1288597129741598720</v>
      </c>
      <c r="F8070" s="7" t="s">
        <v>17</v>
      </c>
      <c r="G8070" s="7">
        <v>3915795</v>
      </c>
      <c r="H8070" s="7">
        <v>2422</v>
      </c>
      <c r="I8070" s="7">
        <v>591</v>
      </c>
      <c r="J8070" s="7">
        <v>0</v>
      </c>
      <c r="K8070" s="7" t="s">
        <v>18</v>
      </c>
      <c r="L8070" s="8">
        <v>39987.315405092595</v>
      </c>
      <c r="M8070" s="9" t="s">
        <v>19</v>
      </c>
      <c r="N8070" s="9" t="s">
        <v>20</v>
      </c>
      <c r="O8070" s="6" t="str">
        <f>HYPERLINK("https://pbs.twimg.com/profile_images/962471262747529216/Uo8lOkRJ_normal.jpg","View")</f>
        <v>View</v>
      </c>
      <c r="P8070" s="7"/>
    </row>
    <row r="8071" spans="1:16">
      <c r="A8071" s="3">
        <v>44042.219224537039</v>
      </c>
      <c r="B8071" s="4" t="str">
        <f>HYPERLINK("https://twitter.com/petrogustavo","@petrogustavo")</f>
        <v>@petrogustavo</v>
      </c>
      <c r="C8071" s="5" t="s">
        <v>16</v>
      </c>
      <c r="D8071" s="5" t="s">
        <v>7785</v>
      </c>
      <c r="E8071" s="6" t="str">
        <f>HYPERLINK("https://twitter.com/petrogustavo/status/1288621751518339082","1288621751518339082")</f>
        <v>1288621751518339082</v>
      </c>
      <c r="F8071" s="7" t="s">
        <v>32</v>
      </c>
      <c r="G8071" s="7">
        <v>3915858</v>
      </c>
      <c r="H8071" s="7">
        <v>2422</v>
      </c>
      <c r="I8071" s="7">
        <v>37</v>
      </c>
      <c r="J8071" s="7">
        <v>78</v>
      </c>
      <c r="K8071" s="7" t="s">
        <v>18</v>
      </c>
      <c r="L8071" s="8">
        <v>39987.315405092595</v>
      </c>
      <c r="M8071" s="9" t="s">
        <v>19</v>
      </c>
      <c r="N8071" s="9" t="s">
        <v>20</v>
      </c>
      <c r="O8071" s="6" t="str">
        <f>HYPERLINK("https://pbs.twimg.com/profile_images/962471262747529216/Uo8lOkRJ_normal.jpg","View")</f>
        <v>View</v>
      </c>
      <c r="P8071" s="7"/>
    </row>
    <row r="8072" spans="1:16">
      <c r="A8072" s="3">
        <v>44042.232002314813</v>
      </c>
      <c r="B8072" s="4" t="str">
        <f>HYPERLINK("https://twitter.com/petrogustavo","@petrogustavo")</f>
        <v>@petrogustavo</v>
      </c>
      <c r="C8072" s="5" t="s">
        <v>16</v>
      </c>
      <c r="D8072" s="5" t="s">
        <v>7786</v>
      </c>
      <c r="E8072" s="6" t="str">
        <f>HYPERLINK("https://twitter.com/petrogustavo/status/1288626381107101705","1288626381107101705")</f>
        <v>1288626381107101705</v>
      </c>
      <c r="F8072" s="7" t="s">
        <v>32</v>
      </c>
      <c r="G8072" s="7">
        <v>3915876</v>
      </c>
      <c r="H8072" s="7">
        <v>2422</v>
      </c>
      <c r="I8072" s="7">
        <v>111</v>
      </c>
      <c r="J8072" s="7">
        <v>0</v>
      </c>
      <c r="K8072" s="7" t="s">
        <v>18</v>
      </c>
      <c r="L8072" s="8">
        <v>39987.315405092595</v>
      </c>
      <c r="M8072" s="9" t="s">
        <v>19</v>
      </c>
      <c r="N8072" s="9" t="s">
        <v>20</v>
      </c>
      <c r="O8072" s="6" t="str">
        <f>HYPERLINK("https://pbs.twimg.com/profile_images/962471262747529216/Uo8lOkRJ_normal.jpg","View")</f>
        <v>View</v>
      </c>
      <c r="P8072" s="7"/>
    </row>
    <row r="8073" spans="1:16">
      <c r="A8073" s="3">
        <v>44042.266446759255</v>
      </c>
      <c r="B8073" s="4" t="str">
        <f>HYPERLINK("https://twitter.com/petrogustavo","@petrogustavo")</f>
        <v>@petrogustavo</v>
      </c>
      <c r="C8073" s="5" t="s">
        <v>16</v>
      </c>
      <c r="D8073" s="5" t="s">
        <v>7787</v>
      </c>
      <c r="E8073" s="6" t="str">
        <f>HYPERLINK("https://twitter.com/petrogustavo/status/1288638862307348482","1288638862307348482")</f>
        <v>1288638862307348482</v>
      </c>
      <c r="F8073" s="7" t="s">
        <v>32</v>
      </c>
      <c r="G8073" s="7">
        <v>3915903</v>
      </c>
      <c r="H8073" s="7">
        <v>2422</v>
      </c>
      <c r="I8073" s="7">
        <v>805</v>
      </c>
      <c r="J8073" s="7">
        <v>0</v>
      </c>
      <c r="K8073" s="7" t="s">
        <v>18</v>
      </c>
      <c r="L8073" s="8">
        <v>39987.315405092595</v>
      </c>
      <c r="M8073" s="9" t="s">
        <v>19</v>
      </c>
      <c r="N8073" s="9" t="s">
        <v>20</v>
      </c>
      <c r="O8073" s="6" t="str">
        <f>HYPERLINK("https://pbs.twimg.com/profile_images/962471262747529216/Uo8lOkRJ_normal.jpg","View")</f>
        <v>View</v>
      </c>
      <c r="P8073" s="7"/>
    </row>
    <row r="8074" spans="1:16">
      <c r="A8074" s="3">
        <v>44042.266736111109</v>
      </c>
      <c r="B8074" s="4" t="str">
        <f>HYPERLINK("https://twitter.com/petrogustavo","@petrogustavo")</f>
        <v>@petrogustavo</v>
      </c>
      <c r="C8074" s="5" t="s">
        <v>16</v>
      </c>
      <c r="D8074" s="5" t="s">
        <v>7788</v>
      </c>
      <c r="E8074" s="6" t="str">
        <f>HYPERLINK("https://twitter.com/petrogustavo/status/1288638970222567425","1288638970222567425")</f>
        <v>1288638970222567425</v>
      </c>
      <c r="F8074" s="7" t="s">
        <v>32</v>
      </c>
      <c r="G8074" s="7">
        <v>3915903</v>
      </c>
      <c r="H8074" s="7">
        <v>2422</v>
      </c>
      <c r="I8074" s="7">
        <v>61</v>
      </c>
      <c r="J8074" s="7">
        <v>0</v>
      </c>
      <c r="K8074" s="7" t="s">
        <v>18</v>
      </c>
      <c r="L8074" s="8">
        <v>39987.315405092595</v>
      </c>
      <c r="M8074" s="9" t="s">
        <v>19</v>
      </c>
      <c r="N8074" s="9" t="s">
        <v>20</v>
      </c>
      <c r="O8074" s="6" t="str">
        <f>HYPERLINK("https://pbs.twimg.com/profile_images/962471262747529216/Uo8lOkRJ_normal.jpg","View")</f>
        <v>View</v>
      </c>
      <c r="P8074" s="7"/>
    </row>
    <row r="8075" spans="1:16">
      <c r="A8075" s="3">
        <v>44042.271539351852</v>
      </c>
      <c r="B8075" s="4" t="str">
        <f>HYPERLINK("https://twitter.com/petrogustavo","@petrogustavo")</f>
        <v>@petrogustavo</v>
      </c>
      <c r="C8075" s="5" t="s">
        <v>16</v>
      </c>
      <c r="D8075" s="5" t="s">
        <v>7789</v>
      </c>
      <c r="E8075" s="6" t="str">
        <f>HYPERLINK("https://twitter.com/petrogustavo/status/1288640708161740800","1288640708161740800")</f>
        <v>1288640708161740800</v>
      </c>
      <c r="F8075" s="7" t="s">
        <v>32</v>
      </c>
      <c r="G8075" s="7">
        <v>3915903</v>
      </c>
      <c r="H8075" s="7">
        <v>2422</v>
      </c>
      <c r="I8075" s="7">
        <v>124</v>
      </c>
      <c r="J8075" s="7">
        <v>239</v>
      </c>
      <c r="K8075" s="7" t="s">
        <v>18</v>
      </c>
      <c r="L8075" s="8">
        <v>39987.315405092595</v>
      </c>
      <c r="M8075" s="9" t="s">
        <v>19</v>
      </c>
      <c r="N8075" s="9" t="s">
        <v>20</v>
      </c>
      <c r="O8075" s="6" t="str">
        <f>HYPERLINK("https://pbs.twimg.com/profile_images/962471262747529216/Uo8lOkRJ_normal.jpg","View")</f>
        <v>View</v>
      </c>
      <c r="P8075" s="7"/>
    </row>
    <row r="8076" spans="1:16">
      <c r="A8076" s="3">
        <v>44042.298263888893</v>
      </c>
      <c r="B8076" s="4" t="str">
        <f>HYPERLINK("https://twitter.com/petrogustavo","@petrogustavo")</f>
        <v>@petrogustavo</v>
      </c>
      <c r="C8076" s="5" t="s">
        <v>16</v>
      </c>
      <c r="D8076" s="5" t="s">
        <v>7790</v>
      </c>
      <c r="E8076" s="6" t="str">
        <f>HYPERLINK("https://twitter.com/petrogustavo/status/1288650395259109377","1288650395259109377")</f>
        <v>1288650395259109377</v>
      </c>
      <c r="F8076" s="7" t="s">
        <v>32</v>
      </c>
      <c r="G8076" s="7">
        <v>3915925</v>
      </c>
      <c r="H8076" s="7">
        <v>2422</v>
      </c>
      <c r="I8076" s="7">
        <v>114</v>
      </c>
      <c r="J8076" s="7">
        <v>422</v>
      </c>
      <c r="K8076" s="7" t="s">
        <v>18</v>
      </c>
      <c r="L8076" s="8">
        <v>39987.315405092595</v>
      </c>
      <c r="M8076" s="9" t="s">
        <v>19</v>
      </c>
      <c r="N8076" s="9" t="s">
        <v>20</v>
      </c>
      <c r="O8076" s="6" t="str">
        <f>HYPERLINK("https://pbs.twimg.com/profile_images/962471262747529216/Uo8lOkRJ_normal.jpg","View")</f>
        <v>View</v>
      </c>
      <c r="P8076" s="7"/>
    </row>
    <row r="8077" spans="1:16">
      <c r="A8077" s="3">
        <v>44042.298518518517</v>
      </c>
      <c r="B8077" s="4" t="str">
        <f>HYPERLINK("https://twitter.com/petrogustavo","@petrogustavo")</f>
        <v>@petrogustavo</v>
      </c>
      <c r="C8077" s="5" t="s">
        <v>16</v>
      </c>
      <c r="D8077" s="5" t="s">
        <v>7791</v>
      </c>
      <c r="E8077" s="6" t="str">
        <f>HYPERLINK("https://twitter.com/petrogustavo/status/1288650486715949056","1288650486715949056")</f>
        <v>1288650486715949056</v>
      </c>
      <c r="F8077" s="7" t="s">
        <v>32</v>
      </c>
      <c r="G8077" s="7">
        <v>3915925</v>
      </c>
      <c r="H8077" s="7">
        <v>2422</v>
      </c>
      <c r="I8077" s="7">
        <v>533</v>
      </c>
      <c r="J8077" s="7">
        <v>0</v>
      </c>
      <c r="K8077" s="7" t="s">
        <v>18</v>
      </c>
      <c r="L8077" s="8">
        <v>39987.315405092595</v>
      </c>
      <c r="M8077" s="9" t="s">
        <v>19</v>
      </c>
      <c r="N8077" s="9" t="s">
        <v>20</v>
      </c>
      <c r="O8077" s="6" t="str">
        <f>HYPERLINK("https://pbs.twimg.com/profile_images/962471262747529216/Uo8lOkRJ_normal.jpg","View")</f>
        <v>View</v>
      </c>
      <c r="P8077" s="7"/>
    </row>
    <row r="8078" spans="1:16">
      <c r="A8078" s="3">
        <v>44042.300555555557</v>
      </c>
      <c r="B8078" s="4" t="str">
        <f>HYPERLINK("https://twitter.com/petrogustavo","@petrogustavo")</f>
        <v>@petrogustavo</v>
      </c>
      <c r="C8078" s="5" t="s">
        <v>16</v>
      </c>
      <c r="D8078" s="5" t="s">
        <v>7792</v>
      </c>
      <c r="E8078" s="6" t="str">
        <f>HYPERLINK("https://twitter.com/petrogustavo/status/1288651224485695488","1288651224485695488")</f>
        <v>1288651224485695488</v>
      </c>
      <c r="F8078" s="7" t="s">
        <v>32</v>
      </c>
      <c r="G8078" s="7">
        <v>3915925</v>
      </c>
      <c r="H8078" s="7">
        <v>2422</v>
      </c>
      <c r="I8078" s="7">
        <v>34</v>
      </c>
      <c r="J8078" s="7">
        <v>0</v>
      </c>
      <c r="K8078" s="7" t="s">
        <v>18</v>
      </c>
      <c r="L8078" s="8">
        <v>39987.315405092595</v>
      </c>
      <c r="M8078" s="9" t="s">
        <v>19</v>
      </c>
      <c r="N8078" s="9" t="s">
        <v>20</v>
      </c>
      <c r="O8078" s="6" t="str">
        <f>HYPERLINK("https://pbs.twimg.com/profile_images/962471262747529216/Uo8lOkRJ_normal.jpg","View")</f>
        <v>View</v>
      </c>
      <c r="P8078" s="7"/>
    </row>
    <row r="8079" spans="1:16">
      <c r="A8079" s="3">
        <v>44042.317708333328</v>
      </c>
      <c r="B8079" s="4" t="str">
        <f>HYPERLINK("https://twitter.com/petrogustavo","@petrogustavo")</f>
        <v>@petrogustavo</v>
      </c>
      <c r="C8079" s="5" t="s">
        <v>16</v>
      </c>
      <c r="D8079" s="5" t="s">
        <v>7793</v>
      </c>
      <c r="E8079" s="6" t="str">
        <f>HYPERLINK("https://twitter.com/petrogustavo/status/1288657441014591488","1288657441014591488")</f>
        <v>1288657441014591488</v>
      </c>
      <c r="F8079" s="7" t="s">
        <v>32</v>
      </c>
      <c r="G8079" s="7">
        <v>3915944</v>
      </c>
      <c r="H8079" s="7">
        <v>2423</v>
      </c>
      <c r="I8079" s="7">
        <v>67</v>
      </c>
      <c r="J8079" s="7">
        <v>131</v>
      </c>
      <c r="K8079" s="7" t="s">
        <v>18</v>
      </c>
      <c r="L8079" s="8">
        <v>39987.315405092595</v>
      </c>
      <c r="M8079" s="9" t="s">
        <v>19</v>
      </c>
      <c r="N8079" s="9" t="s">
        <v>20</v>
      </c>
      <c r="O8079" s="6" t="str">
        <f>HYPERLINK("https://pbs.twimg.com/profile_images/962471262747529216/Uo8lOkRJ_normal.jpg","View")</f>
        <v>View</v>
      </c>
      <c r="P8079" s="7"/>
    </row>
    <row r="8080" spans="1:16">
      <c r="A8080" s="3">
        <v>44042.319004629629</v>
      </c>
      <c r="B8080" s="4" t="str">
        <f>HYPERLINK("https://twitter.com/petrogustavo","@petrogustavo")</f>
        <v>@petrogustavo</v>
      </c>
      <c r="C8080" s="5" t="s">
        <v>16</v>
      </c>
      <c r="D8080" s="5" t="s">
        <v>7794</v>
      </c>
      <c r="E8080" s="6" t="str">
        <f>HYPERLINK("https://twitter.com/petrogustavo/status/1288657910545948673","1288657910545948673")</f>
        <v>1288657910545948673</v>
      </c>
      <c r="F8080" s="7" t="s">
        <v>32</v>
      </c>
      <c r="G8080" s="7">
        <v>3915944</v>
      </c>
      <c r="H8080" s="7">
        <v>2423</v>
      </c>
      <c r="I8080" s="7">
        <v>128</v>
      </c>
      <c r="J8080" s="7">
        <v>476</v>
      </c>
      <c r="K8080" s="7" t="s">
        <v>18</v>
      </c>
      <c r="L8080" s="8">
        <v>39987.315405092595</v>
      </c>
      <c r="M8080" s="9" t="s">
        <v>19</v>
      </c>
      <c r="N8080" s="9" t="s">
        <v>20</v>
      </c>
      <c r="O8080" s="6" t="str">
        <f>HYPERLINK("https://pbs.twimg.com/profile_images/962471262747529216/Uo8lOkRJ_normal.jpg","View")</f>
        <v>View</v>
      </c>
      <c r="P8080" s="7"/>
    </row>
    <row r="8081" spans="1:16">
      <c r="A8081" s="3">
        <v>44042.340243055558</v>
      </c>
      <c r="B8081" s="4" t="str">
        <f>HYPERLINK("https://twitter.com/petrogustavo","@petrogustavo")</f>
        <v>@petrogustavo</v>
      </c>
      <c r="C8081" s="5" t="s">
        <v>16</v>
      </c>
      <c r="D8081" s="5" t="s">
        <v>7795</v>
      </c>
      <c r="E8081" s="6" t="str">
        <f>HYPERLINK("https://twitter.com/petrogustavo/status/1288665605688774656","1288665605688774656")</f>
        <v>1288665605688774656</v>
      </c>
      <c r="F8081" s="7" t="s">
        <v>32</v>
      </c>
      <c r="G8081" s="7">
        <v>3915969</v>
      </c>
      <c r="H8081" s="7">
        <v>2423</v>
      </c>
      <c r="I8081" s="7">
        <v>109</v>
      </c>
      <c r="J8081" s="7">
        <v>0</v>
      </c>
      <c r="K8081" s="7" t="s">
        <v>18</v>
      </c>
      <c r="L8081" s="8">
        <v>39987.315405092595</v>
      </c>
      <c r="M8081" s="9" t="s">
        <v>19</v>
      </c>
      <c r="N8081" s="9" t="s">
        <v>20</v>
      </c>
      <c r="O8081" s="6" t="str">
        <f>HYPERLINK("https://pbs.twimg.com/profile_images/962471262747529216/Uo8lOkRJ_normal.jpg","View")</f>
        <v>View</v>
      </c>
      <c r="P8081" s="7"/>
    </row>
    <row r="8082" spans="1:16">
      <c r="A8082" s="3">
        <v>44042.343414351853</v>
      </c>
      <c r="B8082" s="4" t="str">
        <f>HYPERLINK("https://twitter.com/petrogustavo","@petrogustavo")</f>
        <v>@petrogustavo</v>
      </c>
      <c r="C8082" s="5" t="s">
        <v>16</v>
      </c>
      <c r="D8082" s="5" t="s">
        <v>7796</v>
      </c>
      <c r="E8082" s="6" t="str">
        <f>HYPERLINK("https://twitter.com/petrogustavo/status/1288666755863392257","1288666755863392257")</f>
        <v>1288666755863392257</v>
      </c>
      <c r="F8082" s="7" t="s">
        <v>32</v>
      </c>
      <c r="G8082" s="7">
        <v>3915969</v>
      </c>
      <c r="H8082" s="7">
        <v>2423</v>
      </c>
      <c r="I8082" s="7">
        <v>42</v>
      </c>
      <c r="J8082" s="7">
        <v>139</v>
      </c>
      <c r="K8082" s="7" t="s">
        <v>18</v>
      </c>
      <c r="L8082" s="8">
        <v>39987.315405092595</v>
      </c>
      <c r="M8082" s="9" t="s">
        <v>19</v>
      </c>
      <c r="N8082" s="9" t="s">
        <v>20</v>
      </c>
      <c r="O8082" s="6" t="str">
        <f>HYPERLINK("https://pbs.twimg.com/profile_images/962471262747529216/Uo8lOkRJ_normal.jpg","View")</f>
        <v>View</v>
      </c>
      <c r="P8082" s="7"/>
    </row>
    <row r="8083" spans="1:16">
      <c r="A8083" s="3">
        <v>44042.361759259264</v>
      </c>
      <c r="B8083" s="4" t="str">
        <f>HYPERLINK("https://twitter.com/petrogustavo","@petrogustavo")</f>
        <v>@petrogustavo</v>
      </c>
      <c r="C8083" s="5" t="s">
        <v>16</v>
      </c>
      <c r="D8083" s="5" t="s">
        <v>7797</v>
      </c>
      <c r="E8083" s="6" t="str">
        <f>HYPERLINK("https://twitter.com/petrogustavo/status/1288673404044943360","1288673404044943360")</f>
        <v>1288673404044943360</v>
      </c>
      <c r="F8083" s="7" t="s">
        <v>32</v>
      </c>
      <c r="G8083" s="7">
        <v>3915989</v>
      </c>
      <c r="H8083" s="7">
        <v>2423</v>
      </c>
      <c r="I8083" s="7">
        <v>317</v>
      </c>
      <c r="J8083" s="7">
        <v>0</v>
      </c>
      <c r="K8083" s="7" t="s">
        <v>18</v>
      </c>
      <c r="L8083" s="8">
        <v>39987.315405092595</v>
      </c>
      <c r="M8083" s="9" t="s">
        <v>19</v>
      </c>
      <c r="N8083" s="9" t="s">
        <v>20</v>
      </c>
      <c r="O8083" s="6" t="str">
        <f>HYPERLINK("https://pbs.twimg.com/profile_images/962471262747529216/Uo8lOkRJ_normal.jpg","View")</f>
        <v>View</v>
      </c>
      <c r="P8083" s="7"/>
    </row>
    <row r="8084" spans="1:16">
      <c r="A8084" s="3">
        <v>44042.362708333334</v>
      </c>
      <c r="B8084" s="4" t="str">
        <f>HYPERLINK("https://twitter.com/petrogustavo","@petrogustavo")</f>
        <v>@petrogustavo</v>
      </c>
      <c r="C8084" s="5" t="s">
        <v>16</v>
      </c>
      <c r="D8084" s="5" t="s">
        <v>7798</v>
      </c>
      <c r="E8084" s="6" t="str">
        <f>HYPERLINK("https://twitter.com/petrogustavo/status/1288673748489580559","1288673748489580559")</f>
        <v>1288673748489580559</v>
      </c>
      <c r="F8084" s="7" t="s">
        <v>32</v>
      </c>
      <c r="G8084" s="7">
        <v>3915989</v>
      </c>
      <c r="H8084" s="7">
        <v>2423</v>
      </c>
      <c r="I8084" s="7">
        <v>374</v>
      </c>
      <c r="J8084" s="7">
        <v>0</v>
      </c>
      <c r="K8084" s="7" t="s">
        <v>18</v>
      </c>
      <c r="L8084" s="8">
        <v>39987.315405092595</v>
      </c>
      <c r="M8084" s="9" t="s">
        <v>19</v>
      </c>
      <c r="N8084" s="9" t="s">
        <v>20</v>
      </c>
      <c r="O8084" s="6" t="str">
        <f>HYPERLINK("https://pbs.twimg.com/profile_images/962471262747529216/Uo8lOkRJ_normal.jpg","View")</f>
        <v>View</v>
      </c>
      <c r="P8084" s="7"/>
    </row>
    <row r="8085" spans="1:16">
      <c r="A8085" s="3">
        <v>44042.365775462968</v>
      </c>
      <c r="B8085" s="4" t="str">
        <f>HYPERLINK("https://twitter.com/petrogustavo","@petrogustavo")</f>
        <v>@petrogustavo</v>
      </c>
      <c r="C8085" s="5" t="s">
        <v>16</v>
      </c>
      <c r="D8085" s="5" t="s">
        <v>7799</v>
      </c>
      <c r="E8085" s="6" t="str">
        <f>HYPERLINK("https://twitter.com/petrogustavo/status/1288674858201747456","1288674858201747456")</f>
        <v>1288674858201747456</v>
      </c>
      <c r="F8085" s="7" t="s">
        <v>32</v>
      </c>
      <c r="G8085" s="7">
        <v>3915989</v>
      </c>
      <c r="H8085" s="7">
        <v>2423</v>
      </c>
      <c r="I8085" s="7">
        <v>6</v>
      </c>
      <c r="J8085" s="7">
        <v>14</v>
      </c>
      <c r="K8085" s="7" t="s">
        <v>18</v>
      </c>
      <c r="L8085" s="8">
        <v>39987.315405092595</v>
      </c>
      <c r="M8085" s="9" t="s">
        <v>19</v>
      </c>
      <c r="N8085" s="9" t="s">
        <v>20</v>
      </c>
      <c r="O8085" s="6" t="str">
        <f>HYPERLINK("https://pbs.twimg.com/profile_images/962471262747529216/Uo8lOkRJ_normal.jpg","View")</f>
        <v>View</v>
      </c>
      <c r="P8085" s="7"/>
    </row>
    <row r="8086" spans="1:16">
      <c r="A8086" s="3">
        <v>44042.368310185186</v>
      </c>
      <c r="B8086" s="4" t="str">
        <f>HYPERLINK("https://twitter.com/petrogustavo","@petrogustavo")</f>
        <v>@petrogustavo</v>
      </c>
      <c r="C8086" s="5" t="s">
        <v>16</v>
      </c>
      <c r="D8086" s="5" t="s">
        <v>7800</v>
      </c>
      <c r="E8086" s="6" t="str">
        <f>HYPERLINK("https://twitter.com/petrogustavo/status/1288675778671128579","1288675778671128579")</f>
        <v>1288675778671128579</v>
      </c>
      <c r="F8086" s="7" t="s">
        <v>32</v>
      </c>
      <c r="G8086" s="7">
        <v>3916002</v>
      </c>
      <c r="H8086" s="7">
        <v>2423</v>
      </c>
      <c r="I8086" s="7">
        <v>208</v>
      </c>
      <c r="J8086" s="7">
        <v>386</v>
      </c>
      <c r="K8086" s="7" t="s">
        <v>18</v>
      </c>
      <c r="L8086" s="8">
        <v>39987.315405092595</v>
      </c>
      <c r="M8086" s="9" t="s">
        <v>19</v>
      </c>
      <c r="N8086" s="9" t="s">
        <v>20</v>
      </c>
      <c r="O8086" s="6" t="str">
        <f>HYPERLINK("https://pbs.twimg.com/profile_images/962471262747529216/Uo8lOkRJ_normal.jpg","View")</f>
        <v>View</v>
      </c>
      <c r="P8086" s="7"/>
    </row>
    <row r="8087" spans="1:16">
      <c r="A8087" s="3">
        <v>44042.371597222227</v>
      </c>
      <c r="B8087" s="4" t="str">
        <f>HYPERLINK("https://twitter.com/petrogustavo","@petrogustavo")</f>
        <v>@petrogustavo</v>
      </c>
      <c r="C8087" s="5" t="s">
        <v>16</v>
      </c>
      <c r="D8087" s="5" t="s">
        <v>7801</v>
      </c>
      <c r="E8087" s="6" t="str">
        <f>HYPERLINK("https://twitter.com/petrogustavo/status/1288676969115258880","1288676969115258880")</f>
        <v>1288676969115258880</v>
      </c>
      <c r="F8087" s="7" t="s">
        <v>32</v>
      </c>
      <c r="G8087" s="7">
        <v>3916002</v>
      </c>
      <c r="H8087" s="7">
        <v>2423</v>
      </c>
      <c r="I8087" s="7">
        <v>290</v>
      </c>
      <c r="J8087" s="7">
        <v>975</v>
      </c>
      <c r="K8087" s="7" t="s">
        <v>18</v>
      </c>
      <c r="L8087" s="8">
        <v>39987.315405092595</v>
      </c>
      <c r="M8087" s="9" t="s">
        <v>19</v>
      </c>
      <c r="N8087" s="9" t="s">
        <v>20</v>
      </c>
      <c r="O8087" s="6" t="str">
        <f>HYPERLINK("https://pbs.twimg.com/profile_images/962471262747529216/Uo8lOkRJ_normal.jpg","View")</f>
        <v>View</v>
      </c>
      <c r="P8087" s="7"/>
    </row>
    <row r="8088" spans="1:16">
      <c r="A8088" s="3">
        <v>44042.371990740736</v>
      </c>
      <c r="B8088" s="4" t="str">
        <f>HYPERLINK("https://twitter.com/petrogustavo","@petrogustavo")</f>
        <v>@petrogustavo</v>
      </c>
      <c r="C8088" s="5" t="s">
        <v>16</v>
      </c>
      <c r="D8088" s="5" t="s">
        <v>7798</v>
      </c>
      <c r="E8088" s="6" t="str">
        <f>HYPERLINK("https://twitter.com/petrogustavo/status/1288677113395130370","1288677113395130370")</f>
        <v>1288677113395130370</v>
      </c>
      <c r="F8088" s="7" t="s">
        <v>32</v>
      </c>
      <c r="G8088" s="7">
        <v>3916002</v>
      </c>
      <c r="H8088" s="7">
        <v>2423</v>
      </c>
      <c r="I8088" s="7">
        <v>567</v>
      </c>
      <c r="J8088" s="7">
        <v>0</v>
      </c>
      <c r="K8088" s="7" t="s">
        <v>18</v>
      </c>
      <c r="L8088" s="8">
        <v>39987.315405092595</v>
      </c>
      <c r="M8088" s="9" t="s">
        <v>19</v>
      </c>
      <c r="N8088" s="9" t="s">
        <v>20</v>
      </c>
      <c r="O8088" s="6" t="str">
        <f>HYPERLINK("https://pbs.twimg.com/profile_images/962471262747529216/Uo8lOkRJ_normal.jpg","View")</f>
        <v>View</v>
      </c>
      <c r="P8088" s="7"/>
    </row>
    <row r="8089" spans="1:16">
      <c r="A8089" s="3">
        <v>44042.372164351851</v>
      </c>
      <c r="B8089" s="4" t="str">
        <f>HYPERLINK("https://twitter.com/petrogustavo","@petrogustavo")</f>
        <v>@petrogustavo</v>
      </c>
      <c r="C8089" s="5" t="s">
        <v>16</v>
      </c>
      <c r="D8089" s="5" t="s">
        <v>7802</v>
      </c>
      <c r="E8089" s="6" t="str">
        <f>HYPERLINK("https://twitter.com/petrogustavo/status/1288677176305430528","1288677176305430528")</f>
        <v>1288677176305430528</v>
      </c>
      <c r="F8089" s="7" t="s">
        <v>32</v>
      </c>
      <c r="G8089" s="7">
        <v>3916002</v>
      </c>
      <c r="H8089" s="7">
        <v>2423</v>
      </c>
      <c r="I8089" s="7">
        <v>208</v>
      </c>
      <c r="J8089" s="7">
        <v>0</v>
      </c>
      <c r="K8089" s="7" t="s">
        <v>18</v>
      </c>
      <c r="L8089" s="8">
        <v>39987.315405092595</v>
      </c>
      <c r="M8089" s="9" t="s">
        <v>19</v>
      </c>
      <c r="N8089" s="9" t="s">
        <v>20</v>
      </c>
      <c r="O8089" s="6" t="str">
        <f>HYPERLINK("https://pbs.twimg.com/profile_images/962471262747529216/Uo8lOkRJ_normal.jpg","View")</f>
        <v>View</v>
      </c>
      <c r="P8089" s="7"/>
    </row>
    <row r="8090" spans="1:16">
      <c r="A8090" s="3">
        <v>44042.756562499999</v>
      </c>
      <c r="B8090" s="4" t="str">
        <f>HYPERLINK("https://twitter.com/petrogustavo","@petrogustavo")</f>
        <v>@petrogustavo</v>
      </c>
      <c r="C8090" s="5" t="s">
        <v>16</v>
      </c>
      <c r="D8090" s="5" t="s">
        <v>7803</v>
      </c>
      <c r="E8090" s="6" t="str">
        <f>HYPERLINK("https://twitter.com/petrogustavo/status/1288816474438750211","1288816474438750211")</f>
        <v>1288816474438750211</v>
      </c>
      <c r="F8090" s="7" t="s">
        <v>17</v>
      </c>
      <c r="G8090" s="7">
        <v>3916061</v>
      </c>
      <c r="H8090" s="7">
        <v>2423</v>
      </c>
      <c r="I8090" s="7">
        <v>327</v>
      </c>
      <c r="J8090" s="7">
        <v>0</v>
      </c>
      <c r="K8090" s="7" t="s">
        <v>18</v>
      </c>
      <c r="L8090" s="8">
        <v>39987.315405092595</v>
      </c>
      <c r="M8090" s="9" t="s">
        <v>19</v>
      </c>
      <c r="N8090" s="9" t="s">
        <v>20</v>
      </c>
      <c r="O8090" s="6" t="str">
        <f>HYPERLINK("https://pbs.twimg.com/profile_images/962471262747529216/Uo8lOkRJ_normal.jpg","View")</f>
        <v>View</v>
      </c>
      <c r="P8090" s="7"/>
    </row>
    <row r="8091" spans="1:16">
      <c r="A8091" s="3">
        <v>44042.764097222222</v>
      </c>
      <c r="B8091" s="4" t="str">
        <f>HYPERLINK("https://twitter.com/petrogustavo","@petrogustavo")</f>
        <v>@petrogustavo</v>
      </c>
      <c r="C8091" s="5" t="s">
        <v>16</v>
      </c>
      <c r="D8091" s="5" t="s">
        <v>7804</v>
      </c>
      <c r="E8091" s="6" t="str">
        <f>HYPERLINK("https://twitter.com/petrogustavo/status/1288819205786271745","1288819205786271745")</f>
        <v>1288819205786271745</v>
      </c>
      <c r="F8091" s="7" t="s">
        <v>17</v>
      </c>
      <c r="G8091" s="7">
        <v>3916078</v>
      </c>
      <c r="H8091" s="7">
        <v>2423</v>
      </c>
      <c r="I8091" s="7">
        <v>90</v>
      </c>
      <c r="J8091" s="7">
        <v>227</v>
      </c>
      <c r="K8091" s="7" t="s">
        <v>18</v>
      </c>
      <c r="L8091" s="8">
        <v>39987.315405092595</v>
      </c>
      <c r="M8091" s="9" t="s">
        <v>19</v>
      </c>
      <c r="N8091" s="9" t="s">
        <v>20</v>
      </c>
      <c r="O8091" s="6" t="str">
        <f>HYPERLINK("https://pbs.twimg.com/profile_images/962471262747529216/Uo8lOkRJ_normal.jpg","View")</f>
        <v>View</v>
      </c>
      <c r="P8091" s="7"/>
    </row>
    <row r="8092" spans="1:16">
      <c r="A8092" s="3">
        <v>44042.76635416667</v>
      </c>
      <c r="B8092" s="4" t="str">
        <f>HYPERLINK("https://twitter.com/petrogustavo","@petrogustavo")</f>
        <v>@petrogustavo</v>
      </c>
      <c r="C8092" s="5" t="s">
        <v>16</v>
      </c>
      <c r="D8092" s="5" t="s">
        <v>7805</v>
      </c>
      <c r="E8092" s="6" t="str">
        <f>HYPERLINK("https://twitter.com/petrogustavo/status/1288820024002719744","1288820024002719744")</f>
        <v>1288820024002719744</v>
      </c>
      <c r="F8092" s="7" t="s">
        <v>17</v>
      </c>
      <c r="G8092" s="7">
        <v>3916078</v>
      </c>
      <c r="H8092" s="7">
        <v>2423</v>
      </c>
      <c r="I8092" s="7">
        <v>37</v>
      </c>
      <c r="J8092" s="7">
        <v>103</v>
      </c>
      <c r="K8092" s="7" t="s">
        <v>18</v>
      </c>
      <c r="L8092" s="8">
        <v>39987.315405092595</v>
      </c>
      <c r="M8092" s="9" t="s">
        <v>19</v>
      </c>
      <c r="N8092" s="9" t="s">
        <v>20</v>
      </c>
      <c r="O8092" s="6" t="str">
        <f>HYPERLINK("https://pbs.twimg.com/profile_images/962471262747529216/Uo8lOkRJ_normal.jpg","View")</f>
        <v>View</v>
      </c>
      <c r="P8092" s="7"/>
    </row>
    <row r="8093" spans="1:16">
      <c r="A8093" s="3">
        <v>44042.767928240741</v>
      </c>
      <c r="B8093" s="4" t="str">
        <f>HYPERLINK("https://twitter.com/petrogustavo","@petrogustavo")</f>
        <v>@petrogustavo</v>
      </c>
      <c r="C8093" s="5" t="s">
        <v>16</v>
      </c>
      <c r="D8093" s="5" t="s">
        <v>7806</v>
      </c>
      <c r="E8093" s="6" t="str">
        <f>HYPERLINK("https://twitter.com/petrogustavo/status/1288820593392005122","1288820593392005122")</f>
        <v>1288820593392005122</v>
      </c>
      <c r="F8093" s="7" t="s">
        <v>17</v>
      </c>
      <c r="G8093" s="7">
        <v>3916078</v>
      </c>
      <c r="H8093" s="7">
        <v>2423</v>
      </c>
      <c r="I8093" s="7">
        <v>40</v>
      </c>
      <c r="J8093" s="7">
        <v>100</v>
      </c>
      <c r="K8093" s="7" t="s">
        <v>18</v>
      </c>
      <c r="L8093" s="8">
        <v>39987.315405092595</v>
      </c>
      <c r="M8093" s="9" t="s">
        <v>19</v>
      </c>
      <c r="N8093" s="9" t="s">
        <v>20</v>
      </c>
      <c r="O8093" s="6" t="str">
        <f>HYPERLINK("https://pbs.twimg.com/profile_images/962471262747529216/Uo8lOkRJ_normal.jpg","View")</f>
        <v>View</v>
      </c>
      <c r="P8093" s="7"/>
    </row>
    <row r="8094" spans="1:16">
      <c r="A8094" s="3">
        <v>44042.769293981481</v>
      </c>
      <c r="B8094" s="4" t="str">
        <f>HYPERLINK("https://twitter.com/petrogustavo","@petrogustavo")</f>
        <v>@petrogustavo</v>
      </c>
      <c r="C8094" s="5" t="s">
        <v>16</v>
      </c>
      <c r="D8094" s="5" t="s">
        <v>7807</v>
      </c>
      <c r="E8094" s="6" t="str">
        <f>HYPERLINK("https://twitter.com/petrogustavo/status/1288821089276178433","1288821089276178433")</f>
        <v>1288821089276178433</v>
      </c>
      <c r="F8094" s="7" t="s">
        <v>17</v>
      </c>
      <c r="G8094" s="7">
        <v>3916078</v>
      </c>
      <c r="H8094" s="7">
        <v>2423</v>
      </c>
      <c r="I8094" s="7">
        <v>39</v>
      </c>
      <c r="J8094" s="7">
        <v>86</v>
      </c>
      <c r="K8094" s="7" t="s">
        <v>18</v>
      </c>
      <c r="L8094" s="8">
        <v>39987.315405092595</v>
      </c>
      <c r="M8094" s="9" t="s">
        <v>19</v>
      </c>
      <c r="N8094" s="9" t="s">
        <v>20</v>
      </c>
      <c r="O8094" s="6" t="str">
        <f>HYPERLINK("https://pbs.twimg.com/profile_images/962471262747529216/Uo8lOkRJ_normal.jpg","View")</f>
        <v>View</v>
      </c>
      <c r="P8094" s="7"/>
    </row>
    <row r="8095" spans="1:16">
      <c r="A8095" s="3">
        <v>44042.774351851855</v>
      </c>
      <c r="B8095" s="4" t="str">
        <f>HYPERLINK("https://twitter.com/petrogustavo","@petrogustavo")</f>
        <v>@petrogustavo</v>
      </c>
      <c r="C8095" s="5" t="s">
        <v>16</v>
      </c>
      <c r="D8095" s="5" t="s">
        <v>7808</v>
      </c>
      <c r="E8095" s="6" t="str">
        <f>HYPERLINK("https://twitter.com/petrogustavo/status/1288822923571101696","1288822923571101696")</f>
        <v>1288822923571101696</v>
      </c>
      <c r="F8095" s="7" t="s">
        <v>17</v>
      </c>
      <c r="G8095" s="7">
        <v>3916078</v>
      </c>
      <c r="H8095" s="7">
        <v>2423</v>
      </c>
      <c r="I8095" s="7">
        <v>78</v>
      </c>
      <c r="J8095" s="7">
        <v>156</v>
      </c>
      <c r="K8095" s="7" t="s">
        <v>18</v>
      </c>
      <c r="L8095" s="8">
        <v>39987.315405092595</v>
      </c>
      <c r="M8095" s="9" t="s">
        <v>19</v>
      </c>
      <c r="N8095" s="9" t="s">
        <v>20</v>
      </c>
      <c r="O8095" s="6" t="str">
        <f>HYPERLINK("https://pbs.twimg.com/profile_images/962471262747529216/Uo8lOkRJ_normal.jpg","View")</f>
        <v>View</v>
      </c>
      <c r="P8095" s="7"/>
    </row>
    <row r="8096" spans="1:16">
      <c r="A8096" s="3">
        <v>44042.776041666672</v>
      </c>
      <c r="B8096" s="4" t="str">
        <f>HYPERLINK("https://twitter.com/petrogustavo","@petrogustavo")</f>
        <v>@petrogustavo</v>
      </c>
      <c r="C8096" s="5" t="s">
        <v>16</v>
      </c>
      <c r="D8096" s="5" t="s">
        <v>7809</v>
      </c>
      <c r="E8096" s="6" t="str">
        <f>HYPERLINK("https://twitter.com/petrogustavo/status/1288823533850722305","1288823533850722305")</f>
        <v>1288823533850722305</v>
      </c>
      <c r="F8096" s="7" t="s">
        <v>17</v>
      </c>
      <c r="G8096" s="7">
        <v>3916078</v>
      </c>
      <c r="H8096" s="7">
        <v>2423</v>
      </c>
      <c r="I8096" s="7">
        <v>429</v>
      </c>
      <c r="J8096" s="7">
        <v>0</v>
      </c>
      <c r="K8096" s="7" t="s">
        <v>18</v>
      </c>
      <c r="L8096" s="8">
        <v>39987.315405092595</v>
      </c>
      <c r="M8096" s="9" t="s">
        <v>19</v>
      </c>
      <c r="N8096" s="9" t="s">
        <v>20</v>
      </c>
      <c r="O8096" s="6" t="str">
        <f>HYPERLINK("https://pbs.twimg.com/profile_images/962471262747529216/Uo8lOkRJ_normal.jpg","View")</f>
        <v>View</v>
      </c>
      <c r="P8096" s="7"/>
    </row>
    <row r="8097" spans="1:16">
      <c r="A8097" s="3">
        <v>44042.78025462963</v>
      </c>
      <c r="B8097" s="4" t="str">
        <f>HYPERLINK("https://twitter.com/petrogustavo","@petrogustavo")</f>
        <v>@petrogustavo</v>
      </c>
      <c r="C8097" s="5" t="s">
        <v>16</v>
      </c>
      <c r="D8097" s="5" t="s">
        <v>7810</v>
      </c>
      <c r="E8097" s="6" t="str">
        <f>HYPERLINK("https://twitter.com/petrogustavo/status/1288825059465986051","1288825059465986051")</f>
        <v>1288825059465986051</v>
      </c>
      <c r="F8097" s="7" t="s">
        <v>17</v>
      </c>
      <c r="G8097" s="7">
        <v>3916078</v>
      </c>
      <c r="H8097" s="7">
        <v>2423</v>
      </c>
      <c r="I8097" s="7">
        <v>16</v>
      </c>
      <c r="J8097" s="7">
        <v>57</v>
      </c>
      <c r="K8097" s="7" t="s">
        <v>18</v>
      </c>
      <c r="L8097" s="8">
        <v>39987.315405092595</v>
      </c>
      <c r="M8097" s="9" t="s">
        <v>19</v>
      </c>
      <c r="N8097" s="9" t="s">
        <v>20</v>
      </c>
      <c r="O8097" s="6" t="str">
        <f>HYPERLINK("https://pbs.twimg.com/profile_images/962471262747529216/Uo8lOkRJ_normal.jpg","View")</f>
        <v>View</v>
      </c>
      <c r="P8097" s="7"/>
    </row>
    <row r="8098" spans="1:16">
      <c r="A8098" s="3">
        <v>44042.780439814815</v>
      </c>
      <c r="B8098" s="4" t="str">
        <f>HYPERLINK("https://twitter.com/petrogustavo","@petrogustavo")</f>
        <v>@petrogustavo</v>
      </c>
      <c r="C8098" s="5" t="s">
        <v>16</v>
      </c>
      <c r="D8098" s="5" t="s">
        <v>7811</v>
      </c>
      <c r="E8098" s="6" t="str">
        <f>HYPERLINK("https://twitter.com/petrogustavo/status/1288825127279439874","1288825127279439874")</f>
        <v>1288825127279439874</v>
      </c>
      <c r="F8098" s="7" t="s">
        <v>17</v>
      </c>
      <c r="G8098" s="7">
        <v>3916078</v>
      </c>
      <c r="H8098" s="7">
        <v>2423</v>
      </c>
      <c r="I8098" s="7">
        <v>90</v>
      </c>
      <c r="J8098" s="7">
        <v>0</v>
      </c>
      <c r="K8098" s="7" t="s">
        <v>18</v>
      </c>
      <c r="L8098" s="8">
        <v>39987.315405092595</v>
      </c>
      <c r="M8098" s="9" t="s">
        <v>19</v>
      </c>
      <c r="N8098" s="9" t="s">
        <v>20</v>
      </c>
      <c r="O8098" s="6" t="str">
        <f>HYPERLINK("https://pbs.twimg.com/profile_images/962471262747529216/Uo8lOkRJ_normal.jpg","View")</f>
        <v>View</v>
      </c>
      <c r="P8098" s="7"/>
    </row>
    <row r="8099" spans="1:16">
      <c r="A8099" s="3">
        <v>44042.797627314816</v>
      </c>
      <c r="B8099" s="4" t="str">
        <f>HYPERLINK("https://twitter.com/petrogustavo","@petrogustavo")</f>
        <v>@petrogustavo</v>
      </c>
      <c r="C8099" s="5" t="s">
        <v>16</v>
      </c>
      <c r="D8099" s="5" t="s">
        <v>7812</v>
      </c>
      <c r="E8099" s="6" t="str">
        <f>HYPERLINK("https://twitter.com/petrogustavo/status/1288831355275575296","1288831355275575296")</f>
        <v>1288831355275575296</v>
      </c>
      <c r="F8099" s="7" t="s">
        <v>17</v>
      </c>
      <c r="G8099" s="7">
        <v>3916089</v>
      </c>
      <c r="H8099" s="7">
        <v>2423</v>
      </c>
      <c r="I8099" s="7">
        <v>101</v>
      </c>
      <c r="J8099" s="7">
        <v>217</v>
      </c>
      <c r="K8099" s="7" t="s">
        <v>18</v>
      </c>
      <c r="L8099" s="8">
        <v>39987.315405092595</v>
      </c>
      <c r="M8099" s="9" t="s">
        <v>19</v>
      </c>
      <c r="N8099" s="9" t="s">
        <v>20</v>
      </c>
      <c r="O8099" s="6" t="str">
        <f>HYPERLINK("https://pbs.twimg.com/profile_images/962471262747529216/Uo8lOkRJ_normal.jpg","View")</f>
        <v>View</v>
      </c>
      <c r="P8099" s="7"/>
    </row>
    <row r="8100" spans="1:16">
      <c r="A8100" s="3">
        <v>44042.816261574073</v>
      </c>
      <c r="B8100" s="4" t="str">
        <f>HYPERLINK("https://twitter.com/petrogustavo","@petrogustavo")</f>
        <v>@petrogustavo</v>
      </c>
      <c r="C8100" s="5" t="s">
        <v>16</v>
      </c>
      <c r="D8100" s="5" t="s">
        <v>7813</v>
      </c>
      <c r="E8100" s="6" t="str">
        <f>HYPERLINK("https://twitter.com/petrogustavo/status/1288838111414419457","1288838111414419457")</f>
        <v>1288838111414419457</v>
      </c>
      <c r="F8100" s="7" t="s">
        <v>17</v>
      </c>
      <c r="G8100" s="7">
        <v>3916095</v>
      </c>
      <c r="H8100" s="7">
        <v>2423</v>
      </c>
      <c r="I8100" s="7">
        <v>56</v>
      </c>
      <c r="J8100" s="7">
        <v>112</v>
      </c>
      <c r="K8100" s="7" t="s">
        <v>18</v>
      </c>
      <c r="L8100" s="8">
        <v>39987.315405092595</v>
      </c>
      <c r="M8100" s="9" t="s">
        <v>19</v>
      </c>
      <c r="N8100" s="9" t="s">
        <v>20</v>
      </c>
      <c r="O8100" s="6" t="str">
        <f>HYPERLINK("https://pbs.twimg.com/profile_images/962471262747529216/Uo8lOkRJ_normal.jpg","View")</f>
        <v>View</v>
      </c>
      <c r="P8100" s="7"/>
    </row>
    <row r="8101" spans="1:16">
      <c r="A8101" s="3">
        <v>44042.818414351852</v>
      </c>
      <c r="B8101" s="4" t="str">
        <f>HYPERLINK("https://twitter.com/petrogustavo","@petrogustavo")</f>
        <v>@petrogustavo</v>
      </c>
      <c r="C8101" s="5" t="s">
        <v>16</v>
      </c>
      <c r="D8101" s="5" t="s">
        <v>7814</v>
      </c>
      <c r="E8101" s="6" t="str">
        <f>HYPERLINK("https://twitter.com/petrogustavo/status/1288838891110387715","1288838891110387715")</f>
        <v>1288838891110387715</v>
      </c>
      <c r="F8101" s="7" t="s">
        <v>17</v>
      </c>
      <c r="G8101" s="7">
        <v>3916095</v>
      </c>
      <c r="H8101" s="7">
        <v>2423</v>
      </c>
      <c r="I8101" s="7">
        <v>20</v>
      </c>
      <c r="J8101" s="7">
        <v>46</v>
      </c>
      <c r="K8101" s="7" t="s">
        <v>18</v>
      </c>
      <c r="L8101" s="8">
        <v>39987.315405092595</v>
      </c>
      <c r="M8101" s="9" t="s">
        <v>19</v>
      </c>
      <c r="N8101" s="9" t="s">
        <v>20</v>
      </c>
      <c r="O8101" s="6" t="str">
        <f>HYPERLINK("https://pbs.twimg.com/profile_images/962471262747529216/Uo8lOkRJ_normal.jpg","View")</f>
        <v>View</v>
      </c>
      <c r="P8101" s="7"/>
    </row>
    <row r="8102" spans="1:16">
      <c r="A8102" s="3">
        <v>44042.819363425922</v>
      </c>
      <c r="B8102" s="4" t="str">
        <f>HYPERLINK("https://twitter.com/petrogustavo","@petrogustavo")</f>
        <v>@petrogustavo</v>
      </c>
      <c r="C8102" s="5" t="s">
        <v>16</v>
      </c>
      <c r="D8102" s="5" t="s">
        <v>7815</v>
      </c>
      <c r="E8102" s="6" t="str">
        <f>HYPERLINK("https://twitter.com/petrogustavo/status/1288839234602835970","1288839234602835970")</f>
        <v>1288839234602835970</v>
      </c>
      <c r="F8102" s="7" t="s">
        <v>17</v>
      </c>
      <c r="G8102" s="7">
        <v>3916095</v>
      </c>
      <c r="H8102" s="7">
        <v>2423</v>
      </c>
      <c r="I8102" s="7">
        <v>19</v>
      </c>
      <c r="J8102" s="7">
        <v>45</v>
      </c>
      <c r="K8102" s="7" t="s">
        <v>18</v>
      </c>
      <c r="L8102" s="8">
        <v>39987.315405092595</v>
      </c>
      <c r="M8102" s="9" t="s">
        <v>19</v>
      </c>
      <c r="N8102" s="9" t="s">
        <v>20</v>
      </c>
      <c r="O8102" s="6" t="str">
        <f>HYPERLINK("https://pbs.twimg.com/profile_images/962471262747529216/Uo8lOkRJ_normal.jpg","View")</f>
        <v>View</v>
      </c>
      <c r="P8102" s="7"/>
    </row>
    <row r="8103" spans="1:16">
      <c r="A8103" s="3">
        <v>44042.820960648147</v>
      </c>
      <c r="B8103" s="4" t="str">
        <f>HYPERLINK("https://twitter.com/petrogustavo","@petrogustavo")</f>
        <v>@petrogustavo</v>
      </c>
      <c r="C8103" s="5" t="s">
        <v>16</v>
      </c>
      <c r="D8103" s="5" t="s">
        <v>7816</v>
      </c>
      <c r="E8103" s="6" t="str">
        <f>HYPERLINK("https://twitter.com/petrogustavo/status/1288839814146662400","1288839814146662400")</f>
        <v>1288839814146662400</v>
      </c>
      <c r="F8103" s="7" t="s">
        <v>17</v>
      </c>
      <c r="G8103" s="7">
        <v>3916095</v>
      </c>
      <c r="H8103" s="7">
        <v>2423</v>
      </c>
      <c r="I8103" s="7">
        <v>8</v>
      </c>
      <c r="J8103" s="7">
        <v>27</v>
      </c>
      <c r="K8103" s="7" t="s">
        <v>18</v>
      </c>
      <c r="L8103" s="8">
        <v>39987.315405092595</v>
      </c>
      <c r="M8103" s="9" t="s">
        <v>19</v>
      </c>
      <c r="N8103" s="9" t="s">
        <v>20</v>
      </c>
      <c r="O8103" s="6" t="str">
        <f>HYPERLINK("https://pbs.twimg.com/profile_images/962471262747529216/Uo8lOkRJ_normal.jpg","View")</f>
        <v>View</v>
      </c>
      <c r="P8103" s="7"/>
    </row>
    <row r="8104" spans="1:16">
      <c r="A8104" s="3">
        <v>44042.821342592593</v>
      </c>
      <c r="B8104" s="4" t="str">
        <f>HYPERLINK("https://twitter.com/petrogustavo","@petrogustavo")</f>
        <v>@petrogustavo</v>
      </c>
      <c r="C8104" s="5" t="s">
        <v>16</v>
      </c>
      <c r="D8104" s="5" t="s">
        <v>7817</v>
      </c>
      <c r="E8104" s="6" t="str">
        <f>HYPERLINK("https://twitter.com/petrogustavo/status/1288839949400313858","1288839949400313858")</f>
        <v>1288839949400313858</v>
      </c>
      <c r="F8104" s="7" t="s">
        <v>17</v>
      </c>
      <c r="G8104" s="7">
        <v>3916095</v>
      </c>
      <c r="H8104" s="7">
        <v>2423</v>
      </c>
      <c r="I8104" s="7">
        <v>104</v>
      </c>
      <c r="J8104" s="7">
        <v>0</v>
      </c>
      <c r="K8104" s="7" t="s">
        <v>18</v>
      </c>
      <c r="L8104" s="8">
        <v>39987.315405092595</v>
      </c>
      <c r="M8104" s="9" t="s">
        <v>19</v>
      </c>
      <c r="N8104" s="9" t="s">
        <v>20</v>
      </c>
      <c r="O8104" s="6" t="str">
        <f>HYPERLINK("https://pbs.twimg.com/profile_images/962471262747529216/Uo8lOkRJ_normal.jpg","View")</f>
        <v>View</v>
      </c>
      <c r="P8104" s="7"/>
    </row>
    <row r="8105" spans="1:16">
      <c r="A8105" s="3">
        <v>44042.82267361111</v>
      </c>
      <c r="B8105" s="4" t="str">
        <f>HYPERLINK("https://twitter.com/petrogustavo","@petrogustavo")</f>
        <v>@petrogustavo</v>
      </c>
      <c r="C8105" s="5" t="s">
        <v>16</v>
      </c>
      <c r="D8105" s="5" t="s">
        <v>7818</v>
      </c>
      <c r="E8105" s="6" t="str">
        <f>HYPERLINK("https://twitter.com/petrogustavo/status/1288840431514591236","1288840431514591236")</f>
        <v>1288840431514591236</v>
      </c>
      <c r="F8105" s="7" t="s">
        <v>17</v>
      </c>
      <c r="G8105" s="7">
        <v>3916095</v>
      </c>
      <c r="H8105" s="7">
        <v>2423</v>
      </c>
      <c r="I8105" s="7">
        <v>28</v>
      </c>
      <c r="J8105" s="7">
        <v>69</v>
      </c>
      <c r="K8105" s="7" t="s">
        <v>18</v>
      </c>
      <c r="L8105" s="8">
        <v>39987.315405092595</v>
      </c>
      <c r="M8105" s="9" t="s">
        <v>19</v>
      </c>
      <c r="N8105" s="9" t="s">
        <v>20</v>
      </c>
      <c r="O8105" s="6" t="str">
        <f>HYPERLINK("https://pbs.twimg.com/profile_images/962471262747529216/Uo8lOkRJ_normal.jpg","View")</f>
        <v>View</v>
      </c>
      <c r="P8105" s="7"/>
    </row>
    <row r="8106" spans="1:16">
      <c r="A8106" s="3">
        <v>44042.823206018518</v>
      </c>
      <c r="B8106" s="4" t="str">
        <f>HYPERLINK("https://twitter.com/petrogustavo","@petrogustavo")</f>
        <v>@petrogustavo</v>
      </c>
      <c r="C8106" s="5" t="s">
        <v>16</v>
      </c>
      <c r="D8106" s="5" t="s">
        <v>7819</v>
      </c>
      <c r="E8106" s="6" t="str">
        <f>HYPERLINK("https://twitter.com/petrogustavo/status/1288840625362698240","1288840625362698240")</f>
        <v>1288840625362698240</v>
      </c>
      <c r="F8106" s="7" t="s">
        <v>17</v>
      </c>
      <c r="G8106" s="7">
        <v>3916095</v>
      </c>
      <c r="H8106" s="7">
        <v>2423</v>
      </c>
      <c r="I8106" s="7">
        <v>56</v>
      </c>
      <c r="J8106" s="7">
        <v>0</v>
      </c>
      <c r="K8106" s="7" t="s">
        <v>18</v>
      </c>
      <c r="L8106" s="8">
        <v>39987.315405092595</v>
      </c>
      <c r="M8106" s="9" t="s">
        <v>19</v>
      </c>
      <c r="N8106" s="9" t="s">
        <v>20</v>
      </c>
      <c r="O8106" s="6" t="str">
        <f>HYPERLINK("https://pbs.twimg.com/profile_images/962471262747529216/Uo8lOkRJ_normal.jpg","View")</f>
        <v>View</v>
      </c>
      <c r="P8106" s="7"/>
    </row>
    <row r="8107" spans="1:16">
      <c r="A8107" s="3">
        <v>44042.826550925922</v>
      </c>
      <c r="B8107" s="4" t="str">
        <f>HYPERLINK("https://twitter.com/petrogustavo","@petrogustavo")</f>
        <v>@petrogustavo</v>
      </c>
      <c r="C8107" s="5" t="s">
        <v>16</v>
      </c>
      <c r="D8107" s="5" t="s">
        <v>7820</v>
      </c>
      <c r="E8107" s="6" t="str">
        <f>HYPERLINK("https://twitter.com/petrogustavo/status/1288841839701889024","1288841839701889024")</f>
        <v>1288841839701889024</v>
      </c>
      <c r="F8107" s="7" t="s">
        <v>17</v>
      </c>
      <c r="G8107" s="7">
        <v>3916107</v>
      </c>
      <c r="H8107" s="7">
        <v>2423</v>
      </c>
      <c r="I8107" s="7">
        <v>19</v>
      </c>
      <c r="J8107" s="7">
        <v>65</v>
      </c>
      <c r="K8107" s="7" t="s">
        <v>18</v>
      </c>
      <c r="L8107" s="8">
        <v>39987.315405092595</v>
      </c>
      <c r="M8107" s="9" t="s">
        <v>19</v>
      </c>
      <c r="N8107" s="9" t="s">
        <v>20</v>
      </c>
      <c r="O8107" s="6" t="str">
        <f>HYPERLINK("https://pbs.twimg.com/profile_images/962471262747529216/Uo8lOkRJ_normal.jpg","View")</f>
        <v>View</v>
      </c>
      <c r="P8107" s="7"/>
    </row>
    <row r="8108" spans="1:16">
      <c r="A8108" s="3">
        <v>44042.850671296299</v>
      </c>
      <c r="B8108" s="4" t="str">
        <f>HYPERLINK("https://twitter.com/petrogustavo","@petrogustavo")</f>
        <v>@petrogustavo</v>
      </c>
      <c r="C8108" s="5" t="s">
        <v>16</v>
      </c>
      <c r="D8108" s="5" t="s">
        <v>7821</v>
      </c>
      <c r="E8108" s="6" t="str">
        <f>HYPERLINK("https://twitter.com/petrogustavo/status/1288850580492955648","1288850580492955648")</f>
        <v>1288850580492955648</v>
      </c>
      <c r="F8108" s="7" t="s">
        <v>32</v>
      </c>
      <c r="G8108" s="7">
        <v>3916154</v>
      </c>
      <c r="H8108" s="7">
        <v>2423</v>
      </c>
      <c r="I8108" s="7">
        <v>390</v>
      </c>
      <c r="J8108" s="7">
        <v>807</v>
      </c>
      <c r="K8108" s="7" t="s">
        <v>18</v>
      </c>
      <c r="L8108" s="8">
        <v>39987.315405092595</v>
      </c>
      <c r="M8108" s="9" t="s">
        <v>19</v>
      </c>
      <c r="N8108" s="9" t="s">
        <v>20</v>
      </c>
      <c r="O8108" s="6" t="str">
        <f>HYPERLINK("https://pbs.twimg.com/profile_images/962471262747529216/Uo8lOkRJ_normal.jpg","View")</f>
        <v>View</v>
      </c>
      <c r="P8108" s="7"/>
    </row>
    <row r="8109" spans="1:16">
      <c r="A8109" s="3">
        <v>44042.937650462962</v>
      </c>
      <c r="B8109" s="4" t="str">
        <f>HYPERLINK("https://twitter.com/petrogustavo","@petrogustavo")</f>
        <v>@petrogustavo</v>
      </c>
      <c r="C8109" s="5" t="s">
        <v>16</v>
      </c>
      <c r="D8109" s="5" t="s">
        <v>7822</v>
      </c>
      <c r="E8109" s="6" t="str">
        <f>HYPERLINK("https://twitter.com/petrogustavo/status/1288882099257311232","1288882099257311232")</f>
        <v>1288882099257311232</v>
      </c>
      <c r="F8109" s="7" t="s">
        <v>32</v>
      </c>
      <c r="G8109" s="7">
        <v>3916235</v>
      </c>
      <c r="H8109" s="7">
        <v>2423</v>
      </c>
      <c r="I8109" s="7">
        <v>283</v>
      </c>
      <c r="J8109" s="7">
        <v>0</v>
      </c>
      <c r="K8109" s="7" t="s">
        <v>18</v>
      </c>
      <c r="L8109" s="8">
        <v>39987.315405092595</v>
      </c>
      <c r="M8109" s="9" t="s">
        <v>19</v>
      </c>
      <c r="N8109" s="9" t="s">
        <v>20</v>
      </c>
      <c r="O8109" s="6" t="str">
        <f>HYPERLINK("https://pbs.twimg.com/profile_images/962471262747529216/Uo8lOkRJ_normal.jpg","View")</f>
        <v>View</v>
      </c>
      <c r="P8109" s="7"/>
    </row>
    <row r="8110" spans="1:16">
      <c r="A8110" s="3">
        <v>44042.937939814816</v>
      </c>
      <c r="B8110" s="4" t="str">
        <f>HYPERLINK("https://twitter.com/petrogustavo","@petrogustavo")</f>
        <v>@petrogustavo</v>
      </c>
      <c r="C8110" s="5" t="s">
        <v>16</v>
      </c>
      <c r="D8110" s="5" t="s">
        <v>7823</v>
      </c>
      <c r="E8110" s="6" t="str">
        <f>HYPERLINK("https://twitter.com/petrogustavo/status/1288882204333006849","1288882204333006849")</f>
        <v>1288882204333006849</v>
      </c>
      <c r="F8110" s="7" t="s">
        <v>32</v>
      </c>
      <c r="G8110" s="7">
        <v>3916235</v>
      </c>
      <c r="H8110" s="7">
        <v>2423</v>
      </c>
      <c r="I8110" s="7">
        <v>94</v>
      </c>
      <c r="J8110" s="7">
        <v>0</v>
      </c>
      <c r="K8110" s="7" t="s">
        <v>18</v>
      </c>
      <c r="L8110" s="8">
        <v>39987.315405092595</v>
      </c>
      <c r="M8110" s="9" t="s">
        <v>19</v>
      </c>
      <c r="N8110" s="9" t="s">
        <v>20</v>
      </c>
      <c r="O8110" s="6" t="str">
        <f>HYPERLINK("https://pbs.twimg.com/profile_images/962471262747529216/Uo8lOkRJ_normal.jpg","View")</f>
        <v>View</v>
      </c>
      <c r="P8110" s="7"/>
    </row>
    <row r="8111" spans="1:16">
      <c r="A8111" s="3">
        <v>44042.950624999998</v>
      </c>
      <c r="B8111" s="4" t="str">
        <f>HYPERLINK("https://twitter.com/petrogustavo","@petrogustavo")</f>
        <v>@petrogustavo</v>
      </c>
      <c r="C8111" s="5" t="s">
        <v>16</v>
      </c>
      <c r="D8111" s="5" t="s">
        <v>7824</v>
      </c>
      <c r="E8111" s="6" t="str">
        <f>HYPERLINK("https://twitter.com/petrogustavo/status/1288886802951135232","1288886802951135232")</f>
        <v>1288886802951135232</v>
      </c>
      <c r="F8111" s="7" t="s">
        <v>32</v>
      </c>
      <c r="G8111" s="7">
        <v>3916235</v>
      </c>
      <c r="H8111" s="7">
        <v>2423</v>
      </c>
      <c r="I8111" s="7">
        <v>135</v>
      </c>
      <c r="J8111" s="7">
        <v>298</v>
      </c>
      <c r="K8111" s="7" t="s">
        <v>18</v>
      </c>
      <c r="L8111" s="8">
        <v>39987.315405092595</v>
      </c>
      <c r="M8111" s="9" t="s">
        <v>19</v>
      </c>
      <c r="N8111" s="9" t="s">
        <v>20</v>
      </c>
      <c r="O8111" s="6" t="str">
        <f>HYPERLINK("https://pbs.twimg.com/profile_images/962471262747529216/Uo8lOkRJ_normal.jpg","View")</f>
        <v>View</v>
      </c>
      <c r="P8111" s="7"/>
    </row>
    <row r="8112" spans="1:16">
      <c r="A8112" s="3">
        <v>44042.950937500005</v>
      </c>
      <c r="B8112" s="4" t="str">
        <f>HYPERLINK("https://twitter.com/petrogustavo","@petrogustavo")</f>
        <v>@petrogustavo</v>
      </c>
      <c r="C8112" s="5" t="s">
        <v>16</v>
      </c>
      <c r="D8112" s="5" t="s">
        <v>7825</v>
      </c>
      <c r="E8112" s="6" t="str">
        <f>HYPERLINK("https://twitter.com/petrogustavo/status/1288886913055821824","1288886913055821824")</f>
        <v>1288886913055821824</v>
      </c>
      <c r="F8112" s="7" t="s">
        <v>32</v>
      </c>
      <c r="G8112" s="7">
        <v>3916235</v>
      </c>
      <c r="H8112" s="7">
        <v>2423</v>
      </c>
      <c r="I8112" s="7">
        <v>871</v>
      </c>
      <c r="J8112" s="7">
        <v>0</v>
      </c>
      <c r="K8112" s="7" t="s">
        <v>18</v>
      </c>
      <c r="L8112" s="8">
        <v>39987.315405092595</v>
      </c>
      <c r="M8112" s="9" t="s">
        <v>19</v>
      </c>
      <c r="N8112" s="9" t="s">
        <v>20</v>
      </c>
      <c r="O8112" s="6" t="str">
        <f>HYPERLINK("https://pbs.twimg.com/profile_images/962471262747529216/Uo8lOkRJ_normal.jpg","View")</f>
        <v>View</v>
      </c>
      <c r="P8112" s="7"/>
    </row>
    <row r="8113" spans="1:16">
      <c r="A8113" s="3">
        <v>44042.956539351857</v>
      </c>
      <c r="B8113" s="4" t="str">
        <f>HYPERLINK("https://twitter.com/petrogustavo","@petrogustavo")</f>
        <v>@petrogustavo</v>
      </c>
      <c r="C8113" s="5" t="s">
        <v>16</v>
      </c>
      <c r="D8113" s="5" t="s">
        <v>7826</v>
      </c>
      <c r="E8113" s="6" t="str">
        <f>HYPERLINK("https://twitter.com/petrogustavo/status/1288888945246384129","1288888945246384129")</f>
        <v>1288888945246384129</v>
      </c>
      <c r="F8113" s="7" t="s">
        <v>32</v>
      </c>
      <c r="G8113" s="7">
        <v>3916235</v>
      </c>
      <c r="H8113" s="7">
        <v>2423</v>
      </c>
      <c r="I8113" s="7">
        <v>9</v>
      </c>
      <c r="J8113" s="7">
        <v>0</v>
      </c>
      <c r="K8113" s="7" t="s">
        <v>18</v>
      </c>
      <c r="L8113" s="8">
        <v>39987.315405092595</v>
      </c>
      <c r="M8113" s="9" t="s">
        <v>19</v>
      </c>
      <c r="N8113" s="9" t="s">
        <v>20</v>
      </c>
      <c r="O8113" s="6" t="str">
        <f>HYPERLINK("https://pbs.twimg.com/profile_images/962471262747529216/Uo8lOkRJ_normal.jpg","View")</f>
        <v>View</v>
      </c>
      <c r="P8113" s="7"/>
    </row>
    <row r="8114" spans="1:16">
      <c r="A8114" s="3">
        <v>44042.95685185185</v>
      </c>
      <c r="B8114" s="4" t="str">
        <f>HYPERLINK("https://twitter.com/petrogustavo","@petrogustavo")</f>
        <v>@petrogustavo</v>
      </c>
      <c r="C8114" s="5" t="s">
        <v>16</v>
      </c>
      <c r="D8114" s="5" t="s">
        <v>7827</v>
      </c>
      <c r="E8114" s="6" t="str">
        <f>HYPERLINK("https://twitter.com/petrogustavo/status/1288889056324202496","1288889056324202496")</f>
        <v>1288889056324202496</v>
      </c>
      <c r="F8114" s="7" t="s">
        <v>32</v>
      </c>
      <c r="G8114" s="7">
        <v>3916235</v>
      </c>
      <c r="H8114" s="7">
        <v>2423</v>
      </c>
      <c r="I8114" s="7">
        <v>47</v>
      </c>
      <c r="J8114" s="7">
        <v>0</v>
      </c>
      <c r="K8114" s="7" t="s">
        <v>18</v>
      </c>
      <c r="L8114" s="8">
        <v>39987.315405092595</v>
      </c>
      <c r="M8114" s="9" t="s">
        <v>19</v>
      </c>
      <c r="N8114" s="9" t="s">
        <v>20</v>
      </c>
      <c r="O8114" s="6" t="str">
        <f>HYPERLINK("https://pbs.twimg.com/profile_images/962471262747529216/Uo8lOkRJ_normal.jpg","View")</f>
        <v>View</v>
      </c>
      <c r="P8114" s="7"/>
    </row>
    <row r="8115" spans="1:16">
      <c r="A8115" s="3">
        <v>44043.036365740743</v>
      </c>
      <c r="B8115" s="4" t="str">
        <f>HYPERLINK("https://twitter.com/petrogustavo","@petrogustavo")</f>
        <v>@petrogustavo</v>
      </c>
      <c r="C8115" s="5" t="s">
        <v>16</v>
      </c>
      <c r="D8115" s="5" t="s">
        <v>7828</v>
      </c>
      <c r="E8115" s="6" t="str">
        <f>HYPERLINK("https://twitter.com/petrogustavo/status/1288917874669752320","1288917874669752320")</f>
        <v>1288917874669752320</v>
      </c>
      <c r="F8115" s="7" t="s">
        <v>32</v>
      </c>
      <c r="G8115" s="7">
        <v>3916262</v>
      </c>
      <c r="H8115" s="7">
        <v>2422</v>
      </c>
      <c r="I8115" s="7">
        <v>31</v>
      </c>
      <c r="J8115" s="7">
        <v>0</v>
      </c>
      <c r="K8115" s="7" t="s">
        <v>18</v>
      </c>
      <c r="L8115" s="8">
        <v>39987.315405092595</v>
      </c>
      <c r="M8115" s="9" t="s">
        <v>19</v>
      </c>
      <c r="N8115" s="9" t="s">
        <v>20</v>
      </c>
      <c r="O8115" s="6" t="str">
        <f>HYPERLINK("https://pbs.twimg.com/profile_images/962471262747529216/Uo8lOkRJ_normal.jpg","View")</f>
        <v>View</v>
      </c>
      <c r="P8115" s="7"/>
    </row>
    <row r="8116" spans="1:16">
      <c r="A8116" s="3">
        <v>44043.036828703705</v>
      </c>
      <c r="B8116" s="4" t="str">
        <f>HYPERLINK("https://twitter.com/petrogustavo","@petrogustavo")</f>
        <v>@petrogustavo</v>
      </c>
      <c r="C8116" s="5" t="s">
        <v>16</v>
      </c>
      <c r="D8116" s="5" t="s">
        <v>7829</v>
      </c>
      <c r="E8116" s="6" t="str">
        <f>HYPERLINK("https://twitter.com/petrogustavo/status/1288918039715622920","1288918039715622920")</f>
        <v>1288918039715622920</v>
      </c>
      <c r="F8116" s="7" t="s">
        <v>32</v>
      </c>
      <c r="G8116" s="7">
        <v>3916262</v>
      </c>
      <c r="H8116" s="7">
        <v>2422</v>
      </c>
      <c r="I8116" s="7">
        <v>60</v>
      </c>
      <c r="J8116" s="7">
        <v>0</v>
      </c>
      <c r="K8116" s="7" t="s">
        <v>18</v>
      </c>
      <c r="L8116" s="8">
        <v>39987.315405092595</v>
      </c>
      <c r="M8116" s="9" t="s">
        <v>19</v>
      </c>
      <c r="N8116" s="9" t="s">
        <v>20</v>
      </c>
      <c r="O8116" s="6" t="str">
        <f>HYPERLINK("https://pbs.twimg.com/profile_images/962471262747529216/Uo8lOkRJ_normal.jpg","View")</f>
        <v>View</v>
      </c>
      <c r="P8116" s="7"/>
    </row>
    <row r="8117" spans="1:16">
      <c r="A8117" s="3">
        <v>44043.043310185181</v>
      </c>
      <c r="B8117" s="4" t="str">
        <f>HYPERLINK("https://twitter.com/petrogustavo","@petrogustavo")</f>
        <v>@petrogustavo</v>
      </c>
      <c r="C8117" s="5" t="s">
        <v>16</v>
      </c>
      <c r="D8117" s="5" t="s">
        <v>7830</v>
      </c>
      <c r="E8117" s="6" t="str">
        <f>HYPERLINK("https://twitter.com/petrogustavo/status/1288920388341321729","1288920388341321729")</f>
        <v>1288920388341321729</v>
      </c>
      <c r="F8117" s="7" t="s">
        <v>32</v>
      </c>
      <c r="G8117" s="7">
        <v>3916262</v>
      </c>
      <c r="H8117" s="7">
        <v>2422</v>
      </c>
      <c r="I8117" s="7">
        <v>4</v>
      </c>
      <c r="J8117" s="7">
        <v>0</v>
      </c>
      <c r="K8117" s="7" t="s">
        <v>18</v>
      </c>
      <c r="L8117" s="8">
        <v>39987.315405092595</v>
      </c>
      <c r="M8117" s="9" t="s">
        <v>19</v>
      </c>
      <c r="N8117" s="9" t="s">
        <v>20</v>
      </c>
      <c r="O8117" s="6" t="str">
        <f>HYPERLINK("https://pbs.twimg.com/profile_images/962471262747529216/Uo8lOkRJ_normal.jpg","View")</f>
        <v>View</v>
      </c>
      <c r="P8117" s="7"/>
    </row>
    <row r="8118" spans="1:16">
      <c r="A8118" s="3">
        <v>44043.04787037037</v>
      </c>
      <c r="B8118" s="4" t="str">
        <f>HYPERLINK("https://twitter.com/petrogustavo","@petrogustavo")</f>
        <v>@petrogustavo</v>
      </c>
      <c r="C8118" s="5" t="s">
        <v>16</v>
      </c>
      <c r="D8118" s="5" t="s">
        <v>7831</v>
      </c>
      <c r="E8118" s="6" t="str">
        <f>HYPERLINK("https://twitter.com/petrogustavo/status/1288922042260230145","1288922042260230145")</f>
        <v>1288922042260230145</v>
      </c>
      <c r="F8118" s="7" t="s">
        <v>32</v>
      </c>
      <c r="G8118" s="7">
        <v>3916277</v>
      </c>
      <c r="H8118" s="7">
        <v>2422</v>
      </c>
      <c r="I8118" s="7">
        <v>145</v>
      </c>
      <c r="J8118" s="7">
        <v>342</v>
      </c>
      <c r="K8118" s="7" t="s">
        <v>18</v>
      </c>
      <c r="L8118" s="8">
        <v>39987.315405092595</v>
      </c>
      <c r="M8118" s="9" t="s">
        <v>19</v>
      </c>
      <c r="N8118" s="9" t="s">
        <v>20</v>
      </c>
      <c r="O8118" s="6" t="str">
        <f>HYPERLINK("https://pbs.twimg.com/profile_images/962471262747529216/Uo8lOkRJ_normal.jpg","View")</f>
        <v>View</v>
      </c>
      <c r="P8118" s="7"/>
    </row>
    <row r="8119" spans="1:16">
      <c r="A8119" s="3">
        <v>44043.060023148151</v>
      </c>
      <c r="B8119" s="4" t="str">
        <f>HYPERLINK("https://twitter.com/petrogustavo","@petrogustavo")</f>
        <v>@petrogustavo</v>
      </c>
      <c r="C8119" s="5" t="s">
        <v>16</v>
      </c>
      <c r="D8119" s="5" t="s">
        <v>7832</v>
      </c>
      <c r="E8119" s="6" t="str">
        <f>HYPERLINK("https://twitter.com/petrogustavo/status/1288926446191292422","1288926446191292422")</f>
        <v>1288926446191292422</v>
      </c>
      <c r="F8119" s="7" t="s">
        <v>32</v>
      </c>
      <c r="G8119" s="7">
        <v>3916277</v>
      </c>
      <c r="H8119" s="7">
        <v>2422</v>
      </c>
      <c r="I8119" s="7">
        <v>50</v>
      </c>
      <c r="J8119" s="7">
        <v>100</v>
      </c>
      <c r="K8119" s="7" t="s">
        <v>18</v>
      </c>
      <c r="L8119" s="8">
        <v>39987.315405092595</v>
      </c>
      <c r="M8119" s="9" t="s">
        <v>19</v>
      </c>
      <c r="N8119" s="9" t="s">
        <v>20</v>
      </c>
      <c r="O8119" s="6" t="str">
        <f>HYPERLINK("https://pbs.twimg.com/profile_images/962471262747529216/Uo8lOkRJ_normal.jpg","View")</f>
        <v>View</v>
      </c>
      <c r="P8119" s="7"/>
    </row>
    <row r="8120" spans="1:16">
      <c r="A8120" s="3">
        <v>44043.080196759256</v>
      </c>
      <c r="B8120" s="4" t="str">
        <f>HYPERLINK("https://twitter.com/petrogustavo","@petrogustavo")</f>
        <v>@petrogustavo</v>
      </c>
      <c r="C8120" s="5" t="s">
        <v>16</v>
      </c>
      <c r="D8120" s="5" t="s">
        <v>7833</v>
      </c>
      <c r="E8120" s="6" t="str">
        <f>HYPERLINK("https://twitter.com/petrogustavo/status/1288933757605621760","1288933757605621760")</f>
        <v>1288933757605621760</v>
      </c>
      <c r="F8120" s="7" t="s">
        <v>32</v>
      </c>
      <c r="G8120" s="7">
        <v>3916306</v>
      </c>
      <c r="H8120" s="7">
        <v>2422</v>
      </c>
      <c r="I8120" s="7">
        <v>38</v>
      </c>
      <c r="J8120" s="7">
        <v>73</v>
      </c>
      <c r="K8120" s="7" t="s">
        <v>18</v>
      </c>
      <c r="L8120" s="8">
        <v>39987.315405092595</v>
      </c>
      <c r="M8120" s="9" t="s">
        <v>19</v>
      </c>
      <c r="N8120" s="9" t="s">
        <v>20</v>
      </c>
      <c r="O8120" s="6" t="str">
        <f>HYPERLINK("https://pbs.twimg.com/profile_images/962471262747529216/Uo8lOkRJ_normal.jpg","View")</f>
        <v>View</v>
      </c>
      <c r="P8120" s="7"/>
    </row>
    <row r="8121" spans="1:16">
      <c r="A8121" s="3">
        <v>44043.11818287037</v>
      </c>
      <c r="B8121" s="4" t="str">
        <f>HYPERLINK("https://twitter.com/petrogustavo","@petrogustavo")</f>
        <v>@petrogustavo</v>
      </c>
      <c r="C8121" s="5" t="s">
        <v>16</v>
      </c>
      <c r="D8121" s="5" t="s">
        <v>7834</v>
      </c>
      <c r="E8121" s="6" t="str">
        <f>HYPERLINK("https://twitter.com/petrogustavo/status/1288947521935548416","1288947521935548416")</f>
        <v>1288947521935548416</v>
      </c>
      <c r="F8121" s="7" t="s">
        <v>32</v>
      </c>
      <c r="G8121" s="7">
        <v>3916322</v>
      </c>
      <c r="H8121" s="7">
        <v>2422</v>
      </c>
      <c r="I8121" s="7">
        <v>108</v>
      </c>
      <c r="J8121" s="7">
        <v>401</v>
      </c>
      <c r="K8121" s="7" t="s">
        <v>18</v>
      </c>
      <c r="L8121" s="8">
        <v>39987.315405092595</v>
      </c>
      <c r="M8121" s="9" t="s">
        <v>19</v>
      </c>
      <c r="N8121" s="9" t="s">
        <v>20</v>
      </c>
      <c r="O8121" s="6" t="str">
        <f>HYPERLINK("https://pbs.twimg.com/profile_images/962471262747529216/Uo8lOkRJ_normal.jpg","View")</f>
        <v>View</v>
      </c>
      <c r="P8121" s="7"/>
    </row>
    <row r="8122" spans="1:16">
      <c r="A8122" s="3">
        <v>44043.119409722218</v>
      </c>
      <c r="B8122" s="4" t="str">
        <f>HYPERLINK("https://twitter.com/petrogustavo","@petrogustavo")</f>
        <v>@petrogustavo</v>
      </c>
      <c r="C8122" s="5" t="s">
        <v>16</v>
      </c>
      <c r="D8122" s="5" t="s">
        <v>7825</v>
      </c>
      <c r="E8122" s="6" t="str">
        <f>HYPERLINK("https://twitter.com/petrogustavo/status/1288947968704417793","1288947968704417793")</f>
        <v>1288947968704417793</v>
      </c>
      <c r="F8122" s="7" t="s">
        <v>32</v>
      </c>
      <c r="G8122" s="7">
        <v>3916322</v>
      </c>
      <c r="H8122" s="7">
        <v>2422</v>
      </c>
      <c r="I8122" s="7">
        <v>1410</v>
      </c>
      <c r="J8122" s="7">
        <v>0</v>
      </c>
      <c r="K8122" s="7" t="s">
        <v>18</v>
      </c>
      <c r="L8122" s="8">
        <v>39987.315405092595</v>
      </c>
      <c r="M8122" s="9" t="s">
        <v>19</v>
      </c>
      <c r="N8122" s="9" t="s">
        <v>20</v>
      </c>
      <c r="O8122" s="6" t="str">
        <f>HYPERLINK("https://pbs.twimg.com/profile_images/962471262747529216/Uo8lOkRJ_normal.jpg","View")</f>
        <v>View</v>
      </c>
      <c r="P8122" s="7"/>
    </row>
    <row r="8123" spans="1:16">
      <c r="A8123" s="3">
        <v>44043.134884259256</v>
      </c>
      <c r="B8123" s="4" t="str">
        <f>HYPERLINK("https://twitter.com/petrogustavo","@petrogustavo")</f>
        <v>@petrogustavo</v>
      </c>
      <c r="C8123" s="5" t="s">
        <v>16</v>
      </c>
      <c r="D8123" s="5" t="s">
        <v>7835</v>
      </c>
      <c r="E8123" s="6" t="str">
        <f>HYPERLINK("https://twitter.com/petrogustavo/status/1288953575217995781","1288953575217995781")</f>
        <v>1288953575217995781</v>
      </c>
      <c r="F8123" s="7" t="s">
        <v>32</v>
      </c>
      <c r="G8123" s="7">
        <v>3916342</v>
      </c>
      <c r="H8123" s="7">
        <v>2422</v>
      </c>
      <c r="I8123" s="7">
        <v>94</v>
      </c>
      <c r="J8123" s="7">
        <v>227</v>
      </c>
      <c r="K8123" s="7" t="s">
        <v>18</v>
      </c>
      <c r="L8123" s="8">
        <v>39987.315405092595</v>
      </c>
      <c r="M8123" s="9" t="s">
        <v>19</v>
      </c>
      <c r="N8123" s="9" t="s">
        <v>20</v>
      </c>
      <c r="O8123" s="6" t="str">
        <f>HYPERLINK("https://pbs.twimg.com/profile_images/962471262747529216/Uo8lOkRJ_normal.jpg","View")</f>
        <v>View</v>
      </c>
      <c r="P8123" s="7"/>
    </row>
    <row r="8124" spans="1:16">
      <c r="A8124" s="3">
        <v>44043.136504629627</v>
      </c>
      <c r="B8124" s="4" t="str">
        <f>HYPERLINK("https://twitter.com/petrogustavo","@petrogustavo")</f>
        <v>@petrogustavo</v>
      </c>
      <c r="C8124" s="5" t="s">
        <v>16</v>
      </c>
      <c r="D8124" s="5" t="s">
        <v>7836</v>
      </c>
      <c r="E8124" s="6" t="str">
        <f>HYPERLINK("https://twitter.com/petrogustavo/status/1288954161808252929","1288954161808252929")</f>
        <v>1288954161808252929</v>
      </c>
      <c r="F8124" s="7" t="s">
        <v>17</v>
      </c>
      <c r="G8124" s="7">
        <v>3916342</v>
      </c>
      <c r="H8124" s="7">
        <v>2422</v>
      </c>
      <c r="I8124" s="7">
        <v>43</v>
      </c>
      <c r="J8124" s="7">
        <v>149</v>
      </c>
      <c r="K8124" s="7" t="s">
        <v>18</v>
      </c>
      <c r="L8124" s="8">
        <v>39987.315405092595</v>
      </c>
      <c r="M8124" s="9" t="s">
        <v>19</v>
      </c>
      <c r="N8124" s="9" t="s">
        <v>20</v>
      </c>
      <c r="O8124" s="6" t="str">
        <f>HYPERLINK("https://pbs.twimg.com/profile_images/962471262747529216/Uo8lOkRJ_normal.jpg","View")</f>
        <v>View</v>
      </c>
      <c r="P8124" s="7"/>
    </row>
    <row r="8125" spans="1:16">
      <c r="A8125" s="3">
        <v>44043.137592592597</v>
      </c>
      <c r="B8125" s="4" t="str">
        <f>HYPERLINK("https://twitter.com/petrogustavo","@petrogustavo")</f>
        <v>@petrogustavo</v>
      </c>
      <c r="C8125" s="5" t="s">
        <v>16</v>
      </c>
      <c r="D8125" s="5" t="s">
        <v>7825</v>
      </c>
      <c r="E8125" s="6" t="str">
        <f>HYPERLINK("https://twitter.com/petrogustavo/status/1288954555208814592","1288954555208814592")</f>
        <v>1288954555208814592</v>
      </c>
      <c r="F8125" s="7" t="s">
        <v>17</v>
      </c>
      <c r="G8125" s="7">
        <v>3916342</v>
      </c>
      <c r="H8125" s="7">
        <v>2422</v>
      </c>
      <c r="I8125" s="7">
        <v>1466</v>
      </c>
      <c r="J8125" s="7">
        <v>0</v>
      </c>
      <c r="K8125" s="7" t="s">
        <v>18</v>
      </c>
      <c r="L8125" s="8">
        <v>39987.315405092595</v>
      </c>
      <c r="M8125" s="9" t="s">
        <v>19</v>
      </c>
      <c r="N8125" s="9" t="s">
        <v>20</v>
      </c>
      <c r="O8125" s="6" t="str">
        <f>HYPERLINK("https://pbs.twimg.com/profile_images/962471262747529216/Uo8lOkRJ_normal.jpg","View")</f>
        <v>View</v>
      </c>
      <c r="P8125" s="7"/>
    </row>
    <row r="8126" spans="1:16">
      <c r="A8126" s="3">
        <v>44043.142812499995</v>
      </c>
      <c r="B8126" s="4" t="str">
        <f>HYPERLINK("https://twitter.com/petrogustavo","@petrogustavo")</f>
        <v>@petrogustavo</v>
      </c>
      <c r="C8126" s="5" t="s">
        <v>16</v>
      </c>
      <c r="D8126" s="5" t="s">
        <v>7837</v>
      </c>
      <c r="E8126" s="6" t="str">
        <f>HYPERLINK("https://twitter.com/petrogustavo/status/1288956448333082624","1288956448333082624")</f>
        <v>1288956448333082624</v>
      </c>
      <c r="F8126" s="7" t="s">
        <v>32</v>
      </c>
      <c r="G8126" s="7">
        <v>3916342</v>
      </c>
      <c r="H8126" s="7">
        <v>2422</v>
      </c>
      <c r="I8126" s="7">
        <v>40</v>
      </c>
      <c r="J8126" s="7">
        <v>109</v>
      </c>
      <c r="K8126" s="7" t="s">
        <v>18</v>
      </c>
      <c r="L8126" s="8">
        <v>39987.315405092595</v>
      </c>
      <c r="M8126" s="9" t="s">
        <v>19</v>
      </c>
      <c r="N8126" s="9" t="s">
        <v>20</v>
      </c>
      <c r="O8126" s="6" t="str">
        <f>HYPERLINK("https://pbs.twimg.com/profile_images/962471262747529216/Uo8lOkRJ_normal.jpg","View")</f>
        <v>View</v>
      </c>
      <c r="P8126" s="7"/>
    </row>
    <row r="8127" spans="1:16">
      <c r="A8127" s="3">
        <v>44043.145821759259</v>
      </c>
      <c r="B8127" s="4" t="str">
        <f>HYPERLINK("https://twitter.com/petrogustavo","@petrogustavo")</f>
        <v>@petrogustavo</v>
      </c>
      <c r="C8127" s="5" t="s">
        <v>16</v>
      </c>
      <c r="D8127" s="5" t="s">
        <v>7838</v>
      </c>
      <c r="E8127" s="6" t="str">
        <f>HYPERLINK("https://twitter.com/petrogustavo/status/1288957540118798336","1288957540118798336")</f>
        <v>1288957540118798336</v>
      </c>
      <c r="F8127" s="7" t="s">
        <v>32</v>
      </c>
      <c r="G8127" s="7">
        <v>3916342</v>
      </c>
      <c r="H8127" s="7">
        <v>2422</v>
      </c>
      <c r="I8127" s="7">
        <v>384</v>
      </c>
      <c r="J8127" s="7">
        <v>0</v>
      </c>
      <c r="K8127" s="7" t="s">
        <v>18</v>
      </c>
      <c r="L8127" s="8">
        <v>39987.315405092595</v>
      </c>
      <c r="M8127" s="9" t="s">
        <v>19</v>
      </c>
      <c r="N8127" s="9" t="s">
        <v>20</v>
      </c>
      <c r="O8127" s="6" t="str">
        <f>HYPERLINK("https://pbs.twimg.com/profile_images/962471262747529216/Uo8lOkRJ_normal.jpg","View")</f>
        <v>View</v>
      </c>
      <c r="P8127" s="7"/>
    </row>
    <row r="8128" spans="1:16">
      <c r="A8128" s="3">
        <v>44043.193969907406</v>
      </c>
      <c r="B8128" s="4" t="str">
        <f>HYPERLINK("https://twitter.com/petrogustavo","@petrogustavo")</f>
        <v>@petrogustavo</v>
      </c>
      <c r="C8128" s="5" t="s">
        <v>16</v>
      </c>
      <c r="D8128" s="5" t="s">
        <v>7839</v>
      </c>
      <c r="E8128" s="6" t="str">
        <f>HYPERLINK("https://twitter.com/petrogustavo/status/1288974987949481984","1288974987949481984")</f>
        <v>1288974987949481984</v>
      </c>
      <c r="F8128" s="7" t="s">
        <v>32</v>
      </c>
      <c r="G8128" s="7">
        <v>3916371</v>
      </c>
      <c r="H8128" s="7">
        <v>2422</v>
      </c>
      <c r="I8128" s="7">
        <v>94</v>
      </c>
      <c r="J8128" s="7">
        <v>184</v>
      </c>
      <c r="K8128" s="7" t="s">
        <v>18</v>
      </c>
      <c r="L8128" s="8">
        <v>39987.315405092595</v>
      </c>
      <c r="M8128" s="9" t="s">
        <v>19</v>
      </c>
      <c r="N8128" s="9" t="s">
        <v>20</v>
      </c>
      <c r="O8128" s="6" t="str">
        <f>HYPERLINK("https://pbs.twimg.com/profile_images/962471262747529216/Uo8lOkRJ_normal.jpg","View")</f>
        <v>View</v>
      </c>
      <c r="P8128" s="7"/>
    </row>
    <row r="8129" spans="1:16">
      <c r="A8129" s="3">
        <v>44043.297546296293</v>
      </c>
      <c r="B8129" s="4" t="str">
        <f>HYPERLINK("https://twitter.com/petrogustavo","@petrogustavo")</f>
        <v>@petrogustavo</v>
      </c>
      <c r="C8129" s="5" t="s">
        <v>16</v>
      </c>
      <c r="D8129" s="5" t="s">
        <v>7840</v>
      </c>
      <c r="E8129" s="6" t="str">
        <f>HYPERLINK("https://twitter.com/petrogustavo/status/1289012523321221121","1289012523321221121")</f>
        <v>1289012523321221121</v>
      </c>
      <c r="F8129" s="7" t="s">
        <v>32</v>
      </c>
      <c r="G8129" s="7">
        <v>3916462</v>
      </c>
      <c r="H8129" s="7">
        <v>2422</v>
      </c>
      <c r="I8129" s="7">
        <v>580</v>
      </c>
      <c r="J8129" s="7">
        <v>1010</v>
      </c>
      <c r="K8129" s="7" t="s">
        <v>18</v>
      </c>
      <c r="L8129" s="8">
        <v>39987.315405092595</v>
      </c>
      <c r="M8129" s="9" t="s">
        <v>19</v>
      </c>
      <c r="N8129" s="9" t="s">
        <v>20</v>
      </c>
      <c r="O8129" s="6" t="str">
        <f>HYPERLINK("https://pbs.twimg.com/profile_images/962471262747529216/Uo8lOkRJ_normal.jpg","View")</f>
        <v>View</v>
      </c>
      <c r="P8129" s="7"/>
    </row>
    <row r="8130" spans="1:16">
      <c r="A8130" s="3">
        <v>44043.311874999999</v>
      </c>
      <c r="B8130" s="4" t="str">
        <f>HYPERLINK("https://twitter.com/petrogustavo","@petrogustavo")</f>
        <v>@petrogustavo</v>
      </c>
      <c r="C8130" s="5" t="s">
        <v>16</v>
      </c>
      <c r="D8130" s="5" t="s">
        <v>7841</v>
      </c>
      <c r="E8130" s="6" t="str">
        <f>HYPERLINK("https://twitter.com/petrogustavo/status/1289017716075048960","1289017716075048960")</f>
        <v>1289017716075048960</v>
      </c>
      <c r="F8130" s="7" t="s">
        <v>32</v>
      </c>
      <c r="G8130" s="7">
        <v>3916462</v>
      </c>
      <c r="H8130" s="7">
        <v>2422</v>
      </c>
      <c r="I8130" s="7">
        <v>61</v>
      </c>
      <c r="J8130" s="7">
        <v>142</v>
      </c>
      <c r="K8130" s="7" t="s">
        <v>18</v>
      </c>
      <c r="L8130" s="8">
        <v>39987.315405092595</v>
      </c>
      <c r="M8130" s="9" t="s">
        <v>19</v>
      </c>
      <c r="N8130" s="9" t="s">
        <v>20</v>
      </c>
      <c r="O8130" s="6" t="str">
        <f>HYPERLINK("https://pbs.twimg.com/profile_images/962471262747529216/Uo8lOkRJ_normal.jpg","View")</f>
        <v>View</v>
      </c>
      <c r="P8130" s="7"/>
    </row>
    <row r="8131" spans="1:16">
      <c r="A8131" s="3">
        <v>44043.314247685186</v>
      </c>
      <c r="B8131" s="4" t="str">
        <f>HYPERLINK("https://twitter.com/petrogustavo","@petrogustavo")</f>
        <v>@petrogustavo</v>
      </c>
      <c r="C8131" s="5" t="s">
        <v>16</v>
      </c>
      <c r="D8131" s="5" t="s">
        <v>7842</v>
      </c>
      <c r="E8131" s="6" t="str">
        <f>HYPERLINK("https://twitter.com/petrogustavo/status/1289018572413575174","1289018572413575174")</f>
        <v>1289018572413575174</v>
      </c>
      <c r="F8131" s="7" t="s">
        <v>32</v>
      </c>
      <c r="G8131" s="7">
        <v>3916462</v>
      </c>
      <c r="H8131" s="7">
        <v>2422</v>
      </c>
      <c r="I8131" s="7">
        <v>14</v>
      </c>
      <c r="J8131" s="7">
        <v>35</v>
      </c>
      <c r="K8131" s="7" t="s">
        <v>18</v>
      </c>
      <c r="L8131" s="8">
        <v>39987.315405092595</v>
      </c>
      <c r="M8131" s="9" t="s">
        <v>19</v>
      </c>
      <c r="N8131" s="9" t="s">
        <v>20</v>
      </c>
      <c r="O8131" s="6" t="str">
        <f>HYPERLINK("https://pbs.twimg.com/profile_images/962471262747529216/Uo8lOkRJ_normal.jpg","View")</f>
        <v>View</v>
      </c>
      <c r="P8131" s="7"/>
    </row>
    <row r="8132" spans="1:16">
      <c r="A8132" s="3">
        <v>44043.31450231481</v>
      </c>
      <c r="B8132" s="4" t="str">
        <f>HYPERLINK("https://twitter.com/petrogustavo","@petrogustavo")</f>
        <v>@petrogustavo</v>
      </c>
      <c r="C8132" s="5" t="s">
        <v>16</v>
      </c>
      <c r="D8132" s="5" t="s">
        <v>7843</v>
      </c>
      <c r="E8132" s="6" t="str">
        <f>HYPERLINK("https://twitter.com/petrogustavo/status/1289018666005266432","1289018666005266432")</f>
        <v>1289018666005266432</v>
      </c>
      <c r="F8132" s="7" t="s">
        <v>32</v>
      </c>
      <c r="G8132" s="7">
        <v>3916462</v>
      </c>
      <c r="H8132" s="7">
        <v>2422</v>
      </c>
      <c r="I8132" s="7">
        <v>580</v>
      </c>
      <c r="J8132" s="7">
        <v>0</v>
      </c>
      <c r="K8132" s="7" t="s">
        <v>18</v>
      </c>
      <c r="L8132" s="8">
        <v>39987.315405092595</v>
      </c>
      <c r="M8132" s="9" t="s">
        <v>19</v>
      </c>
      <c r="N8132" s="9" t="s">
        <v>20</v>
      </c>
      <c r="O8132" s="6" t="str">
        <f>HYPERLINK("https://pbs.twimg.com/profile_images/962471262747529216/Uo8lOkRJ_normal.jpg","View")</f>
        <v>View</v>
      </c>
      <c r="P8132" s="7"/>
    </row>
    <row r="8133" spans="1:16">
      <c r="A8133" s="3">
        <v>44043.314537037033</v>
      </c>
      <c r="B8133" s="4" t="str">
        <f>HYPERLINK("https://twitter.com/petrogustavo","@petrogustavo")</f>
        <v>@petrogustavo</v>
      </c>
      <c r="C8133" s="5" t="s">
        <v>16</v>
      </c>
      <c r="D8133" s="5" t="s">
        <v>7844</v>
      </c>
      <c r="E8133" s="6" t="str">
        <f>HYPERLINK("https://twitter.com/petrogustavo/status/1289018678881779715","1289018678881779715")</f>
        <v>1289018678881779715</v>
      </c>
      <c r="F8133" s="7" t="s">
        <v>32</v>
      </c>
      <c r="G8133" s="7">
        <v>3916462</v>
      </c>
      <c r="H8133" s="7">
        <v>2422</v>
      </c>
      <c r="I8133" s="7">
        <v>61</v>
      </c>
      <c r="J8133" s="7">
        <v>0</v>
      </c>
      <c r="K8133" s="7" t="s">
        <v>18</v>
      </c>
      <c r="L8133" s="8">
        <v>39987.315405092595</v>
      </c>
      <c r="M8133" s="9" t="s">
        <v>19</v>
      </c>
      <c r="N8133" s="9" t="s">
        <v>20</v>
      </c>
      <c r="O8133" s="6" t="str">
        <f>HYPERLINK("https://pbs.twimg.com/profile_images/962471262747529216/Uo8lOkRJ_normal.jpg","View")</f>
        <v>View</v>
      </c>
      <c r="P8133" s="7"/>
    </row>
    <row r="8134" spans="1:16">
      <c r="A8134" s="3">
        <v>44043.366898148146</v>
      </c>
      <c r="B8134" s="4" t="str">
        <f>HYPERLINK("https://twitter.com/petrogustavo","@petrogustavo")</f>
        <v>@petrogustavo</v>
      </c>
      <c r="C8134" s="5" t="s">
        <v>16</v>
      </c>
      <c r="D8134" s="5" t="s">
        <v>7843</v>
      </c>
      <c r="E8134" s="6" t="str">
        <f>HYPERLINK("https://twitter.com/petrogustavo/status/1289037655049752576","1289037655049752576")</f>
        <v>1289037655049752576</v>
      </c>
      <c r="F8134" s="7" t="s">
        <v>32</v>
      </c>
      <c r="G8134" s="7">
        <v>3916540</v>
      </c>
      <c r="H8134" s="7">
        <v>2422</v>
      </c>
      <c r="I8134" s="7">
        <v>1436</v>
      </c>
      <c r="J8134" s="7">
        <v>0</v>
      </c>
      <c r="K8134" s="7" t="s">
        <v>18</v>
      </c>
      <c r="L8134" s="8">
        <v>39987.315405092595</v>
      </c>
      <c r="M8134" s="9" t="s">
        <v>19</v>
      </c>
      <c r="N8134" s="9" t="s">
        <v>20</v>
      </c>
      <c r="O8134" s="6" t="str">
        <f>HYPERLINK("https://pbs.twimg.com/profile_images/962471262747529216/Uo8lOkRJ_normal.jpg","View")</f>
        <v>View</v>
      </c>
      <c r="P8134" s="7"/>
    </row>
    <row r="8135" spans="1:16">
      <c r="A8135" s="3">
        <v>44043.756504629629</v>
      </c>
      <c r="B8135" s="4" t="str">
        <f>HYPERLINK("https://twitter.com/petrogustavo","@petrogustavo")</f>
        <v>@petrogustavo</v>
      </c>
      <c r="C8135" s="5" t="s">
        <v>16</v>
      </c>
      <c r="D8135" s="5" t="s">
        <v>7845</v>
      </c>
      <c r="E8135" s="6" t="str">
        <f>HYPERLINK("https://twitter.com/petrogustavo/status/1289178841315860480","1289178841315860480")</f>
        <v>1289178841315860480</v>
      </c>
      <c r="F8135" s="7" t="s">
        <v>17</v>
      </c>
      <c r="G8135" s="7">
        <v>3916723</v>
      </c>
      <c r="H8135" s="7">
        <v>2422</v>
      </c>
      <c r="I8135" s="7">
        <v>190</v>
      </c>
      <c r="J8135" s="7">
        <v>0</v>
      </c>
      <c r="K8135" s="7" t="s">
        <v>18</v>
      </c>
      <c r="L8135" s="8">
        <v>39987.315405092595</v>
      </c>
      <c r="M8135" s="9" t="s">
        <v>19</v>
      </c>
      <c r="N8135" s="9" t="s">
        <v>20</v>
      </c>
      <c r="O8135" s="6" t="str">
        <f>HYPERLINK("https://pbs.twimg.com/profile_images/962471262747529216/Uo8lOkRJ_normal.jpg","View")</f>
        <v>View</v>
      </c>
      <c r="P8135" s="7"/>
    </row>
    <row r="8136" spans="1:16">
      <c r="A8136" s="3">
        <v>44043.763472222221</v>
      </c>
      <c r="B8136" s="4" t="str">
        <f>HYPERLINK("https://twitter.com/petrogustavo","@petrogustavo")</f>
        <v>@petrogustavo</v>
      </c>
      <c r="C8136" s="5" t="s">
        <v>16</v>
      </c>
      <c r="D8136" s="5" t="s">
        <v>7846</v>
      </c>
      <c r="E8136" s="6" t="str">
        <f>HYPERLINK("https://twitter.com/petrogustavo/status/1289181369390653440","1289181369390653440")</f>
        <v>1289181369390653440</v>
      </c>
      <c r="F8136" s="7" t="s">
        <v>17</v>
      </c>
      <c r="G8136" s="7">
        <v>3916723</v>
      </c>
      <c r="H8136" s="7">
        <v>2422</v>
      </c>
      <c r="I8136" s="7">
        <v>823</v>
      </c>
      <c r="J8136" s="7">
        <v>0</v>
      </c>
      <c r="K8136" s="7" t="s">
        <v>18</v>
      </c>
      <c r="L8136" s="8">
        <v>39987.315405092595</v>
      </c>
      <c r="M8136" s="9" t="s">
        <v>19</v>
      </c>
      <c r="N8136" s="9" t="s">
        <v>20</v>
      </c>
      <c r="O8136" s="6" t="str">
        <f>HYPERLINK("https://pbs.twimg.com/profile_images/962471262747529216/Uo8lOkRJ_normal.jpg","View")</f>
        <v>View</v>
      </c>
      <c r="P8136" s="7"/>
    </row>
    <row r="8137" spans="1:16">
      <c r="A8137" s="3">
        <v>44043.771967592591</v>
      </c>
      <c r="B8137" s="4" t="str">
        <f>HYPERLINK("https://twitter.com/petrogustavo","@petrogustavo")</f>
        <v>@petrogustavo</v>
      </c>
      <c r="C8137" s="5" t="s">
        <v>16</v>
      </c>
      <c r="D8137" s="5" t="s">
        <v>7847</v>
      </c>
      <c r="E8137" s="6" t="str">
        <f>HYPERLINK("https://twitter.com/petrogustavo/status/1289184445879050241","1289184445879050241")</f>
        <v>1289184445879050241</v>
      </c>
      <c r="F8137" s="7" t="s">
        <v>17</v>
      </c>
      <c r="G8137" s="7">
        <v>3916723</v>
      </c>
      <c r="H8137" s="7">
        <v>2422</v>
      </c>
      <c r="I8137" s="7">
        <v>15</v>
      </c>
      <c r="J8137" s="7">
        <v>43</v>
      </c>
      <c r="K8137" s="7" t="s">
        <v>18</v>
      </c>
      <c r="L8137" s="8">
        <v>39987.315405092595</v>
      </c>
      <c r="M8137" s="9" t="s">
        <v>19</v>
      </c>
      <c r="N8137" s="9" t="s">
        <v>20</v>
      </c>
      <c r="O8137" s="6" t="str">
        <f>HYPERLINK("https://pbs.twimg.com/profile_images/962471262747529216/Uo8lOkRJ_normal.jpg","View")</f>
        <v>View</v>
      </c>
      <c r="P8137" s="7"/>
    </row>
    <row r="8138" spans="1:16">
      <c r="A8138" s="3">
        <v>44043.776736111111</v>
      </c>
      <c r="B8138" s="4" t="str">
        <f>HYPERLINK("https://twitter.com/petrogustavo","@petrogustavo")</f>
        <v>@petrogustavo</v>
      </c>
      <c r="C8138" s="5" t="s">
        <v>16</v>
      </c>
      <c r="D8138" s="5" t="s">
        <v>7848</v>
      </c>
      <c r="E8138" s="6" t="str">
        <f>HYPERLINK("https://twitter.com/petrogustavo/status/1289186175572275201","1289186175572275201")</f>
        <v>1289186175572275201</v>
      </c>
      <c r="F8138" s="7" t="s">
        <v>17</v>
      </c>
      <c r="G8138" s="7">
        <v>3916742</v>
      </c>
      <c r="H8138" s="7">
        <v>2422</v>
      </c>
      <c r="I8138" s="7">
        <v>77</v>
      </c>
      <c r="J8138" s="7">
        <v>165</v>
      </c>
      <c r="K8138" s="7" t="s">
        <v>18</v>
      </c>
      <c r="L8138" s="8">
        <v>39987.315405092595</v>
      </c>
      <c r="M8138" s="9" t="s">
        <v>19</v>
      </c>
      <c r="N8138" s="9" t="s">
        <v>20</v>
      </c>
      <c r="O8138" s="6" t="str">
        <f>HYPERLINK("https://pbs.twimg.com/profile_images/962471262747529216/Uo8lOkRJ_normal.jpg","View")</f>
        <v>View</v>
      </c>
      <c r="P8138" s="7"/>
    </row>
    <row r="8139" spans="1:16">
      <c r="A8139" s="3">
        <v>44043.779560185183</v>
      </c>
      <c r="B8139" s="4" t="str">
        <f>HYPERLINK("https://twitter.com/petrogustavo","@petrogustavo")</f>
        <v>@petrogustavo</v>
      </c>
      <c r="C8139" s="5" t="s">
        <v>16</v>
      </c>
      <c r="D8139" s="5" t="s">
        <v>7849</v>
      </c>
      <c r="E8139" s="6" t="str">
        <f>HYPERLINK("https://twitter.com/petrogustavo/status/1289187199183855616","1289187199183855616")</f>
        <v>1289187199183855616</v>
      </c>
      <c r="F8139" s="7" t="s">
        <v>17</v>
      </c>
      <c r="G8139" s="7">
        <v>3916742</v>
      </c>
      <c r="H8139" s="7">
        <v>2422</v>
      </c>
      <c r="I8139" s="7">
        <v>161</v>
      </c>
      <c r="J8139" s="7">
        <v>414</v>
      </c>
      <c r="K8139" s="7" t="s">
        <v>18</v>
      </c>
      <c r="L8139" s="8">
        <v>39987.315405092595</v>
      </c>
      <c r="M8139" s="9" t="s">
        <v>19</v>
      </c>
      <c r="N8139" s="9" t="s">
        <v>20</v>
      </c>
      <c r="O8139" s="6" t="str">
        <f>HYPERLINK("https://pbs.twimg.com/profile_images/962471262747529216/Uo8lOkRJ_normal.jpg","View")</f>
        <v>View</v>
      </c>
      <c r="P8139" s="7"/>
    </row>
    <row r="8140" spans="1:16">
      <c r="A8140" s="3">
        <v>44043.781053240746</v>
      </c>
      <c r="B8140" s="4" t="str">
        <f>HYPERLINK("https://twitter.com/petrogustavo","@petrogustavo")</f>
        <v>@petrogustavo</v>
      </c>
      <c r="C8140" s="5" t="s">
        <v>16</v>
      </c>
      <c r="D8140" s="5" t="s">
        <v>7850</v>
      </c>
      <c r="E8140" s="6" t="str">
        <f>HYPERLINK("https://twitter.com/petrogustavo/status/1289187736952492032","1289187736952492032")</f>
        <v>1289187736952492032</v>
      </c>
      <c r="F8140" s="7" t="s">
        <v>17</v>
      </c>
      <c r="G8140" s="7">
        <v>3916742</v>
      </c>
      <c r="H8140" s="7">
        <v>2422</v>
      </c>
      <c r="I8140" s="7">
        <v>25</v>
      </c>
      <c r="J8140" s="7">
        <v>81</v>
      </c>
      <c r="K8140" s="7" t="s">
        <v>18</v>
      </c>
      <c r="L8140" s="8">
        <v>39987.315405092595</v>
      </c>
      <c r="M8140" s="9" t="s">
        <v>19</v>
      </c>
      <c r="N8140" s="9" t="s">
        <v>20</v>
      </c>
      <c r="O8140" s="6" t="str">
        <f>HYPERLINK("https://pbs.twimg.com/profile_images/962471262747529216/Uo8lOkRJ_normal.jpg","View")</f>
        <v>View</v>
      </c>
      <c r="P8140" s="7"/>
    </row>
    <row r="8141" spans="1:16">
      <c r="A8141" s="3">
        <v>44043.793275462958</v>
      </c>
      <c r="B8141" s="4" t="str">
        <f>HYPERLINK("https://twitter.com/petrogustavo","@petrogustavo")</f>
        <v>@petrogustavo</v>
      </c>
      <c r="C8141" s="5" t="s">
        <v>16</v>
      </c>
      <c r="D8141" s="5" t="s">
        <v>7851</v>
      </c>
      <c r="E8141" s="6" t="str">
        <f>HYPERLINK("https://twitter.com/petrogustavo/status/1289192168054087681","1289192168054087681")</f>
        <v>1289192168054087681</v>
      </c>
      <c r="F8141" s="7" t="s">
        <v>17</v>
      </c>
      <c r="G8141" s="7">
        <v>3916742</v>
      </c>
      <c r="H8141" s="7">
        <v>2422</v>
      </c>
      <c r="I8141" s="7">
        <v>13</v>
      </c>
      <c r="J8141" s="7">
        <v>27</v>
      </c>
      <c r="K8141" s="7" t="s">
        <v>18</v>
      </c>
      <c r="L8141" s="8">
        <v>39987.315405092595</v>
      </c>
      <c r="M8141" s="9" t="s">
        <v>19</v>
      </c>
      <c r="N8141" s="9" t="s">
        <v>20</v>
      </c>
      <c r="O8141" s="6" t="str">
        <f>HYPERLINK("https://pbs.twimg.com/profile_images/962471262747529216/Uo8lOkRJ_normal.jpg","View")</f>
        <v>View</v>
      </c>
      <c r="P8141" s="7"/>
    </row>
    <row r="8142" spans="1:16">
      <c r="A8142" s="3">
        <v>44043.793842592597</v>
      </c>
      <c r="B8142" s="4" t="str">
        <f>HYPERLINK("https://twitter.com/petrogustavo","@petrogustavo")</f>
        <v>@petrogustavo</v>
      </c>
      <c r="C8142" s="5" t="s">
        <v>16</v>
      </c>
      <c r="D8142" s="5" t="s">
        <v>7852</v>
      </c>
      <c r="E8142" s="6" t="str">
        <f>HYPERLINK("https://twitter.com/petrogustavo/status/1289192373017223172","1289192373017223172")</f>
        <v>1289192373017223172</v>
      </c>
      <c r="F8142" s="7" t="s">
        <v>17</v>
      </c>
      <c r="G8142" s="7">
        <v>3916770</v>
      </c>
      <c r="H8142" s="7">
        <v>2422</v>
      </c>
      <c r="I8142" s="7">
        <v>105</v>
      </c>
      <c r="J8142" s="7">
        <v>0</v>
      </c>
      <c r="K8142" s="7" t="s">
        <v>18</v>
      </c>
      <c r="L8142" s="8">
        <v>39987.315405092595</v>
      </c>
      <c r="M8142" s="9" t="s">
        <v>19</v>
      </c>
      <c r="N8142" s="9" t="s">
        <v>20</v>
      </c>
      <c r="O8142" s="6" t="str">
        <f>HYPERLINK("https://pbs.twimg.com/profile_images/962471262747529216/Uo8lOkRJ_normal.jpg","View")</f>
        <v>View</v>
      </c>
      <c r="P8142" s="7"/>
    </row>
    <row r="8143" spans="1:16">
      <c r="A8143" s="3">
        <v>44043.800405092596</v>
      </c>
      <c r="B8143" s="4" t="str">
        <f>HYPERLINK("https://twitter.com/petrogustavo","@petrogustavo")</f>
        <v>@petrogustavo</v>
      </c>
      <c r="C8143" s="5" t="s">
        <v>16</v>
      </c>
      <c r="D8143" s="5" t="s">
        <v>7853</v>
      </c>
      <c r="E8143" s="6" t="str">
        <f>HYPERLINK("https://twitter.com/petrogustavo/status/1289194751426617344","1289194751426617344")</f>
        <v>1289194751426617344</v>
      </c>
      <c r="F8143" s="7" t="s">
        <v>17</v>
      </c>
      <c r="G8143" s="7">
        <v>3916770</v>
      </c>
      <c r="H8143" s="7">
        <v>2422</v>
      </c>
      <c r="I8143" s="7">
        <v>313</v>
      </c>
      <c r="J8143" s="7">
        <v>1251</v>
      </c>
      <c r="K8143" s="7" t="s">
        <v>18</v>
      </c>
      <c r="L8143" s="8">
        <v>39987.315405092595</v>
      </c>
      <c r="M8143" s="9" t="s">
        <v>19</v>
      </c>
      <c r="N8143" s="9" t="s">
        <v>20</v>
      </c>
      <c r="O8143" s="6" t="str">
        <f>HYPERLINK("https://pbs.twimg.com/profile_images/962471262747529216/Uo8lOkRJ_normal.jpg","View")</f>
        <v>View</v>
      </c>
      <c r="P8143" s="7"/>
    </row>
    <row r="8144" spans="1:16">
      <c r="A8144" s="3">
        <v>44043.817337962959</v>
      </c>
      <c r="B8144" s="4" t="str">
        <f>HYPERLINK("https://twitter.com/petrogustavo","@petrogustavo")</f>
        <v>@petrogustavo</v>
      </c>
      <c r="C8144" s="5" t="s">
        <v>16</v>
      </c>
      <c r="D8144" s="5" t="s">
        <v>7854</v>
      </c>
      <c r="E8144" s="6" t="str">
        <f>HYPERLINK("https://twitter.com/petrogustavo/status/1289200886216929280","1289200886216929280")</f>
        <v>1289200886216929280</v>
      </c>
      <c r="F8144" s="7" t="s">
        <v>17</v>
      </c>
      <c r="G8144" s="7">
        <v>3916794</v>
      </c>
      <c r="H8144" s="7">
        <v>2422</v>
      </c>
      <c r="I8144" s="7">
        <v>2</v>
      </c>
      <c r="J8144" s="7">
        <v>22</v>
      </c>
      <c r="K8144" s="7" t="s">
        <v>18</v>
      </c>
      <c r="L8144" s="8">
        <v>39987.315405092595</v>
      </c>
      <c r="M8144" s="9" t="s">
        <v>19</v>
      </c>
      <c r="N8144" s="9" t="s">
        <v>20</v>
      </c>
      <c r="O8144" s="6" t="str">
        <f>HYPERLINK("https://pbs.twimg.com/profile_images/962471262747529216/Uo8lOkRJ_normal.jpg","View")</f>
        <v>View</v>
      </c>
      <c r="P8144" s="7"/>
    </row>
    <row r="8145" spans="1:16">
      <c r="A8145" s="3">
        <v>44043.817442129628</v>
      </c>
      <c r="B8145" s="4" t="str">
        <f>HYPERLINK("https://twitter.com/petrogustavo","@petrogustavo")</f>
        <v>@petrogustavo</v>
      </c>
      <c r="C8145" s="5" t="s">
        <v>16</v>
      </c>
      <c r="D8145" s="5" t="s">
        <v>7855</v>
      </c>
      <c r="E8145" s="6" t="str">
        <f>HYPERLINK("https://twitter.com/petrogustavo/status/1289200924418662402","1289200924418662402")</f>
        <v>1289200924418662402</v>
      </c>
      <c r="F8145" s="7" t="s">
        <v>17</v>
      </c>
      <c r="G8145" s="7">
        <v>3916794</v>
      </c>
      <c r="H8145" s="7">
        <v>2422</v>
      </c>
      <c r="I8145" s="7">
        <v>585</v>
      </c>
      <c r="J8145" s="7">
        <v>0</v>
      </c>
      <c r="K8145" s="7" t="s">
        <v>18</v>
      </c>
      <c r="L8145" s="8">
        <v>39987.315405092595</v>
      </c>
      <c r="M8145" s="9" t="s">
        <v>19</v>
      </c>
      <c r="N8145" s="9" t="s">
        <v>20</v>
      </c>
      <c r="O8145" s="6" t="str">
        <f>HYPERLINK("https://pbs.twimg.com/profile_images/962471262747529216/Uo8lOkRJ_normal.jpg","View")</f>
        <v>View</v>
      </c>
      <c r="P8145" s="7"/>
    </row>
    <row r="8146" spans="1:16">
      <c r="A8146" s="3">
        <v>44043.822731481487</v>
      </c>
      <c r="B8146" s="4" t="str">
        <f>HYPERLINK("https://twitter.com/petrogustavo","@petrogustavo")</f>
        <v>@petrogustavo</v>
      </c>
      <c r="C8146" s="5" t="s">
        <v>16</v>
      </c>
      <c r="D8146" s="5" t="s">
        <v>7856</v>
      </c>
      <c r="E8146" s="6" t="str">
        <f>HYPERLINK("https://twitter.com/petrogustavo/status/1289202840859099136","1289202840859099136")</f>
        <v>1289202840859099136</v>
      </c>
      <c r="F8146" s="7" t="s">
        <v>17</v>
      </c>
      <c r="G8146" s="7">
        <v>3916794</v>
      </c>
      <c r="H8146" s="7">
        <v>2422</v>
      </c>
      <c r="I8146" s="7">
        <v>99</v>
      </c>
      <c r="J8146" s="7">
        <v>221</v>
      </c>
      <c r="K8146" s="7" t="s">
        <v>18</v>
      </c>
      <c r="L8146" s="8">
        <v>39987.315405092595</v>
      </c>
      <c r="M8146" s="9" t="s">
        <v>19</v>
      </c>
      <c r="N8146" s="9" t="s">
        <v>20</v>
      </c>
      <c r="O8146" s="6" t="str">
        <f>HYPERLINK("https://pbs.twimg.com/profile_images/962471262747529216/Uo8lOkRJ_normal.jpg","View")</f>
        <v>View</v>
      </c>
      <c r="P8146" s="7"/>
    </row>
    <row r="8147" spans="1:16">
      <c r="A8147" s="3">
        <v>44043.824016203704</v>
      </c>
      <c r="B8147" s="4" t="str">
        <f>HYPERLINK("https://twitter.com/petrogustavo","@petrogustavo")</f>
        <v>@petrogustavo</v>
      </c>
      <c r="C8147" s="5" t="s">
        <v>16</v>
      </c>
      <c r="D8147" s="5" t="s">
        <v>7857</v>
      </c>
      <c r="E8147" s="6" t="str">
        <f>HYPERLINK("https://twitter.com/petrogustavo/status/1289203307693486081","1289203307693486081")</f>
        <v>1289203307693486081</v>
      </c>
      <c r="F8147" s="7" t="s">
        <v>17</v>
      </c>
      <c r="G8147" s="7">
        <v>3916794</v>
      </c>
      <c r="H8147" s="7">
        <v>2422</v>
      </c>
      <c r="I8147" s="7">
        <v>59</v>
      </c>
      <c r="J8147" s="7">
        <v>175</v>
      </c>
      <c r="K8147" s="7" t="s">
        <v>18</v>
      </c>
      <c r="L8147" s="8">
        <v>39987.315405092595</v>
      </c>
      <c r="M8147" s="9" t="s">
        <v>19</v>
      </c>
      <c r="N8147" s="9" t="s">
        <v>20</v>
      </c>
      <c r="O8147" s="6" t="str">
        <f>HYPERLINK("https://pbs.twimg.com/profile_images/962471262747529216/Uo8lOkRJ_normal.jpg","View")</f>
        <v>View</v>
      </c>
      <c r="P8147" s="7"/>
    </row>
    <row r="8148" spans="1:16">
      <c r="A8148" s="3">
        <v>44043.82677083333</v>
      </c>
      <c r="B8148" s="4" t="str">
        <f>HYPERLINK("https://twitter.com/petrogustavo","@petrogustavo")</f>
        <v>@petrogustavo</v>
      </c>
      <c r="C8148" s="5" t="s">
        <v>16</v>
      </c>
      <c r="D8148" s="5" t="s">
        <v>7858</v>
      </c>
      <c r="E8148" s="6" t="str">
        <f>HYPERLINK("https://twitter.com/petrogustavo/status/1289204307573653505","1289204307573653505")</f>
        <v>1289204307573653505</v>
      </c>
      <c r="F8148" s="7" t="s">
        <v>17</v>
      </c>
      <c r="G8148" s="7">
        <v>3916794</v>
      </c>
      <c r="H8148" s="7">
        <v>2422</v>
      </c>
      <c r="I8148" s="7">
        <v>204</v>
      </c>
      <c r="J8148" s="7">
        <v>416</v>
      </c>
      <c r="K8148" s="7" t="s">
        <v>18</v>
      </c>
      <c r="L8148" s="8">
        <v>39987.315405092595</v>
      </c>
      <c r="M8148" s="9" t="s">
        <v>19</v>
      </c>
      <c r="N8148" s="9" t="s">
        <v>20</v>
      </c>
      <c r="O8148" s="6" t="str">
        <f>HYPERLINK("https://pbs.twimg.com/profile_images/962471262747529216/Uo8lOkRJ_normal.jpg","View")</f>
        <v>View</v>
      </c>
      <c r="P8148" s="7"/>
    </row>
    <row r="8149" spans="1:16">
      <c r="A8149" s="3">
        <v>44043.844907407409</v>
      </c>
      <c r="B8149" s="4" t="str">
        <f>HYPERLINK("https://twitter.com/petrogustavo","@petrogustavo")</f>
        <v>@petrogustavo</v>
      </c>
      <c r="C8149" s="5" t="s">
        <v>16</v>
      </c>
      <c r="D8149" s="5" t="s">
        <v>7859</v>
      </c>
      <c r="E8149" s="6" t="str">
        <f>HYPERLINK("https://twitter.com/petrogustavo/status/1289210879330852865","1289210879330852865")</f>
        <v>1289210879330852865</v>
      </c>
      <c r="F8149" s="7" t="s">
        <v>17</v>
      </c>
      <c r="G8149" s="7">
        <v>3916823</v>
      </c>
      <c r="H8149" s="7">
        <v>2422</v>
      </c>
      <c r="I8149" s="7">
        <v>78</v>
      </c>
      <c r="J8149" s="7">
        <v>0</v>
      </c>
      <c r="K8149" s="7" t="s">
        <v>18</v>
      </c>
      <c r="L8149" s="8">
        <v>39987.315405092595</v>
      </c>
      <c r="M8149" s="9" t="s">
        <v>19</v>
      </c>
      <c r="N8149" s="9" t="s">
        <v>20</v>
      </c>
      <c r="O8149" s="6" t="str">
        <f>HYPERLINK("https://pbs.twimg.com/profile_images/962471262747529216/Uo8lOkRJ_normal.jpg","View")</f>
        <v>View</v>
      </c>
      <c r="P8149" s="7"/>
    </row>
    <row r="8150" spans="1:16">
      <c r="A8150" s="3">
        <v>44043.845081018517</v>
      </c>
      <c r="B8150" s="4" t="str">
        <f>HYPERLINK("https://twitter.com/petrogustavo","@petrogustavo")</f>
        <v>@petrogustavo</v>
      </c>
      <c r="C8150" s="5" t="s">
        <v>16</v>
      </c>
      <c r="D8150" s="5" t="s">
        <v>7860</v>
      </c>
      <c r="E8150" s="6" t="str">
        <f>HYPERLINK("https://twitter.com/petrogustavo/status/1289210943331688452","1289210943331688452")</f>
        <v>1289210943331688452</v>
      </c>
      <c r="F8150" s="7" t="s">
        <v>17</v>
      </c>
      <c r="G8150" s="7">
        <v>3916823</v>
      </c>
      <c r="H8150" s="7">
        <v>2422</v>
      </c>
      <c r="I8150" s="7">
        <v>518</v>
      </c>
      <c r="J8150" s="7">
        <v>0</v>
      </c>
      <c r="K8150" s="7" t="s">
        <v>18</v>
      </c>
      <c r="L8150" s="8">
        <v>39987.315405092595</v>
      </c>
      <c r="M8150" s="9" t="s">
        <v>19</v>
      </c>
      <c r="N8150" s="9" t="s">
        <v>20</v>
      </c>
      <c r="O8150" s="6" t="str">
        <f>HYPERLINK("https://pbs.twimg.com/profile_images/962471262747529216/Uo8lOkRJ_normal.jpg","View")</f>
        <v>View</v>
      </c>
      <c r="P8150" s="7"/>
    </row>
    <row r="8151" spans="1:16">
      <c r="A8151" s="3">
        <v>44043.860590277778</v>
      </c>
      <c r="B8151" s="4" t="str">
        <f>HYPERLINK("https://twitter.com/petrogustavo","@petrogustavo")</f>
        <v>@petrogustavo</v>
      </c>
      <c r="C8151" s="5" t="s">
        <v>16</v>
      </c>
      <c r="D8151" s="5" t="s">
        <v>7861</v>
      </c>
      <c r="E8151" s="6" t="str">
        <f>HYPERLINK("https://twitter.com/petrogustavo/status/1289216559836094465","1289216559836094465")</f>
        <v>1289216559836094465</v>
      </c>
      <c r="F8151" s="7" t="s">
        <v>17</v>
      </c>
      <c r="G8151" s="7">
        <v>3916840</v>
      </c>
      <c r="H8151" s="7">
        <v>2422</v>
      </c>
      <c r="I8151" s="7">
        <v>128</v>
      </c>
      <c r="J8151" s="7">
        <v>428</v>
      </c>
      <c r="K8151" s="7" t="s">
        <v>18</v>
      </c>
      <c r="L8151" s="8">
        <v>39987.315405092595</v>
      </c>
      <c r="M8151" s="9" t="s">
        <v>19</v>
      </c>
      <c r="N8151" s="9" t="s">
        <v>20</v>
      </c>
      <c r="O8151" s="6" t="str">
        <f>HYPERLINK("https://pbs.twimg.com/profile_images/962471262747529216/Uo8lOkRJ_normal.jpg","View")</f>
        <v>View</v>
      </c>
      <c r="P8151" s="7"/>
    </row>
    <row r="8152" spans="1:16">
      <c r="A8152" s="3">
        <v>44043.865914351853</v>
      </c>
      <c r="B8152" s="4" t="str">
        <f>HYPERLINK("https://twitter.com/petrogustavo","@petrogustavo")</f>
        <v>@petrogustavo</v>
      </c>
      <c r="C8152" s="5" t="s">
        <v>16</v>
      </c>
      <c r="D8152" s="5" t="s">
        <v>7862</v>
      </c>
      <c r="E8152" s="6" t="str">
        <f>HYPERLINK("https://twitter.com/petrogustavo/status/1289218489777971200","1289218489777971200")</f>
        <v>1289218489777971200</v>
      </c>
      <c r="F8152" s="7" t="s">
        <v>17</v>
      </c>
      <c r="G8152" s="7">
        <v>3916840</v>
      </c>
      <c r="H8152" s="7">
        <v>2422</v>
      </c>
      <c r="I8152" s="7">
        <v>76</v>
      </c>
      <c r="J8152" s="7">
        <v>158</v>
      </c>
      <c r="K8152" s="7" t="s">
        <v>18</v>
      </c>
      <c r="L8152" s="8">
        <v>39987.315405092595</v>
      </c>
      <c r="M8152" s="9" t="s">
        <v>19</v>
      </c>
      <c r="N8152" s="9" t="s">
        <v>20</v>
      </c>
      <c r="O8152" s="6" t="str">
        <f>HYPERLINK("https://pbs.twimg.com/profile_images/962471262747529216/Uo8lOkRJ_normal.jpg","View")</f>
        <v>View</v>
      </c>
      <c r="P8152" s="7"/>
    </row>
    <row r="8153" spans="1:16">
      <c r="A8153" s="3">
        <v>44043.8746412037</v>
      </c>
      <c r="B8153" s="4" t="str">
        <f>HYPERLINK("https://twitter.com/petrogustavo","@petrogustavo")</f>
        <v>@petrogustavo</v>
      </c>
      <c r="C8153" s="5" t="s">
        <v>16</v>
      </c>
      <c r="D8153" s="5" t="s">
        <v>7863</v>
      </c>
      <c r="E8153" s="6" t="str">
        <f>HYPERLINK("https://twitter.com/petrogustavo/status/1289221655047307265","1289221655047307265")</f>
        <v>1289221655047307265</v>
      </c>
      <c r="F8153" s="7" t="s">
        <v>17</v>
      </c>
      <c r="G8153" s="7">
        <v>3916840</v>
      </c>
      <c r="H8153" s="7">
        <v>2422</v>
      </c>
      <c r="I8153" s="7">
        <v>19</v>
      </c>
      <c r="J8153" s="7">
        <v>60</v>
      </c>
      <c r="K8153" s="7" t="s">
        <v>18</v>
      </c>
      <c r="L8153" s="8">
        <v>39987.315405092595</v>
      </c>
      <c r="M8153" s="9" t="s">
        <v>19</v>
      </c>
      <c r="N8153" s="9" t="s">
        <v>20</v>
      </c>
      <c r="O8153" s="6" t="str">
        <f>HYPERLINK("https://pbs.twimg.com/profile_images/962471262747529216/Uo8lOkRJ_normal.jpg","View")</f>
        <v>View</v>
      </c>
      <c r="P8153" s="7"/>
    </row>
    <row r="8154" spans="1:16">
      <c r="A8154" s="3">
        <v>44043.877106481479</v>
      </c>
      <c r="B8154" s="4" t="str">
        <f>HYPERLINK("https://twitter.com/petrogustavo","@petrogustavo")</f>
        <v>@petrogustavo</v>
      </c>
      <c r="C8154" s="5" t="s">
        <v>16</v>
      </c>
      <c r="D8154" s="5" t="s">
        <v>7864</v>
      </c>
      <c r="E8154" s="6" t="str">
        <f>HYPERLINK("https://twitter.com/petrogustavo/status/1289222547163058176","1289222547163058176")</f>
        <v>1289222547163058176</v>
      </c>
      <c r="F8154" s="7" t="s">
        <v>17</v>
      </c>
      <c r="G8154" s="7">
        <v>3916840</v>
      </c>
      <c r="H8154" s="7">
        <v>2422</v>
      </c>
      <c r="I8154" s="7">
        <v>128</v>
      </c>
      <c r="J8154" s="7">
        <v>0</v>
      </c>
      <c r="K8154" s="7" t="s">
        <v>18</v>
      </c>
      <c r="L8154" s="8">
        <v>39987.315405092595</v>
      </c>
      <c r="M8154" s="9" t="s">
        <v>19</v>
      </c>
      <c r="N8154" s="9" t="s">
        <v>20</v>
      </c>
      <c r="O8154" s="6" t="str">
        <f>HYPERLINK("https://pbs.twimg.com/profile_images/962471262747529216/Uo8lOkRJ_normal.jpg","View")</f>
        <v>View</v>
      </c>
      <c r="P8154" s="7"/>
    </row>
    <row r="8155" spans="1:16">
      <c r="A8155" s="3">
        <v>44043.965509259258</v>
      </c>
      <c r="B8155" s="4" t="str">
        <f>HYPERLINK("https://twitter.com/petrogustavo","@petrogustavo")</f>
        <v>@petrogustavo</v>
      </c>
      <c r="C8155" s="5" t="s">
        <v>16</v>
      </c>
      <c r="D8155" s="5" t="s">
        <v>7865</v>
      </c>
      <c r="E8155" s="6" t="str">
        <f>HYPERLINK("https://twitter.com/petrogustavo/status/1289254581478858752","1289254581478858752")</f>
        <v>1289254581478858752</v>
      </c>
      <c r="F8155" s="7" t="s">
        <v>17</v>
      </c>
      <c r="G8155" s="7">
        <v>3916994</v>
      </c>
      <c r="H8155" s="7">
        <v>2422</v>
      </c>
      <c r="I8155" s="7">
        <v>106</v>
      </c>
      <c r="J8155" s="7">
        <v>243</v>
      </c>
      <c r="K8155" s="7" t="s">
        <v>18</v>
      </c>
      <c r="L8155" s="8">
        <v>39987.315405092595</v>
      </c>
      <c r="M8155" s="9" t="s">
        <v>19</v>
      </c>
      <c r="N8155" s="9" t="s">
        <v>20</v>
      </c>
      <c r="O8155" s="6" t="str">
        <f>HYPERLINK("https://pbs.twimg.com/profile_images/962471262747529216/Uo8lOkRJ_normal.jpg","View")</f>
        <v>View</v>
      </c>
      <c r="P8155" s="7"/>
    </row>
    <row r="8156" spans="1:16">
      <c r="A8156" s="3">
        <v>44043.970960648148</v>
      </c>
      <c r="B8156" s="4" t="str">
        <f>HYPERLINK("https://twitter.com/petrogustavo","@petrogustavo")</f>
        <v>@petrogustavo</v>
      </c>
      <c r="C8156" s="5" t="s">
        <v>16</v>
      </c>
      <c r="D8156" s="5" t="s">
        <v>7866</v>
      </c>
      <c r="E8156" s="6" t="str">
        <f>HYPERLINK("https://twitter.com/petrogustavo/status/1289256556769374215","1289256556769374215")</f>
        <v>1289256556769374215</v>
      </c>
      <c r="F8156" s="7" t="s">
        <v>17</v>
      </c>
      <c r="G8156" s="7">
        <v>3916994</v>
      </c>
      <c r="H8156" s="7">
        <v>2422</v>
      </c>
      <c r="I8156" s="7">
        <v>27</v>
      </c>
      <c r="J8156" s="7">
        <v>0</v>
      </c>
      <c r="K8156" s="7" t="s">
        <v>18</v>
      </c>
      <c r="L8156" s="8">
        <v>39987.315405092595</v>
      </c>
      <c r="M8156" s="9" t="s">
        <v>19</v>
      </c>
      <c r="N8156" s="9" t="s">
        <v>20</v>
      </c>
      <c r="O8156" s="6" t="str">
        <f>HYPERLINK("https://pbs.twimg.com/profile_images/962471262747529216/Uo8lOkRJ_normal.jpg","View")</f>
        <v>View</v>
      </c>
      <c r="P8156" s="7"/>
    </row>
    <row r="8157" spans="1:16">
      <c r="A8157" s="3">
        <v>44043.988854166666</v>
      </c>
      <c r="B8157" s="4" t="str">
        <f>HYPERLINK("https://twitter.com/petrogustavo","@petrogustavo")</f>
        <v>@petrogustavo</v>
      </c>
      <c r="C8157" s="5" t="s">
        <v>16</v>
      </c>
      <c r="D8157" s="5" t="s">
        <v>7867</v>
      </c>
      <c r="E8157" s="6" t="str">
        <f>HYPERLINK("https://twitter.com/petrogustavo/status/1289263042904182784","1289263042904182784")</f>
        <v>1289263042904182784</v>
      </c>
      <c r="F8157" s="7" t="s">
        <v>17</v>
      </c>
      <c r="G8157" s="7">
        <v>3917031</v>
      </c>
      <c r="H8157" s="7">
        <v>2422</v>
      </c>
      <c r="I8157" s="7">
        <v>128</v>
      </c>
      <c r="J8157" s="7">
        <v>310</v>
      </c>
      <c r="K8157" s="7" t="s">
        <v>18</v>
      </c>
      <c r="L8157" s="8">
        <v>39987.315405092595</v>
      </c>
      <c r="M8157" s="9" t="s">
        <v>19</v>
      </c>
      <c r="N8157" s="9" t="s">
        <v>20</v>
      </c>
      <c r="O8157" s="6" t="str">
        <f>HYPERLINK("https://pbs.twimg.com/profile_images/962471262747529216/Uo8lOkRJ_normal.jpg","View")</f>
        <v>View</v>
      </c>
      <c r="P8157" s="7"/>
    </row>
    <row r="8158" spans="1:16">
      <c r="A8158" s="3">
        <v>44043.998657407406</v>
      </c>
      <c r="B8158" s="4" t="str">
        <f>HYPERLINK("https://twitter.com/petrogustavo","@petrogustavo")</f>
        <v>@petrogustavo</v>
      </c>
      <c r="C8158" s="5" t="s">
        <v>16</v>
      </c>
      <c r="D8158" s="5" t="s">
        <v>7868</v>
      </c>
      <c r="E8158" s="6" t="str">
        <f>HYPERLINK("https://twitter.com/petrogustavo/status/1289266595764686848","1289266595764686848")</f>
        <v>1289266595764686848</v>
      </c>
      <c r="F8158" s="7" t="s">
        <v>17</v>
      </c>
      <c r="G8158" s="7">
        <v>3917031</v>
      </c>
      <c r="H8158" s="7">
        <v>2422</v>
      </c>
      <c r="I8158" s="7">
        <v>26</v>
      </c>
      <c r="J8158" s="7">
        <v>68</v>
      </c>
      <c r="K8158" s="7" t="s">
        <v>18</v>
      </c>
      <c r="L8158" s="8">
        <v>39987.315405092595</v>
      </c>
      <c r="M8158" s="9" t="s">
        <v>19</v>
      </c>
      <c r="N8158" s="9" t="s">
        <v>20</v>
      </c>
      <c r="O8158" s="6" t="str">
        <f>HYPERLINK("https://pbs.twimg.com/profile_images/962471262747529216/Uo8lOkRJ_normal.jpg","View")</f>
        <v>View</v>
      </c>
      <c r="P8158" s="7"/>
    </row>
    <row r="8159" spans="1:16">
      <c r="A8159" s="3">
        <v>44044.015370370369</v>
      </c>
      <c r="B8159" s="4" t="str">
        <f>HYPERLINK("https://twitter.com/petrogustavo","@petrogustavo")</f>
        <v>@petrogustavo</v>
      </c>
      <c r="C8159" s="5" t="s">
        <v>16</v>
      </c>
      <c r="D8159" s="5" t="s">
        <v>7869</v>
      </c>
      <c r="E8159" s="6" t="str">
        <f>HYPERLINK("https://twitter.com/petrogustavo/status/1289272652071280641","1289272652071280641")</f>
        <v>1289272652071280641</v>
      </c>
      <c r="F8159" s="7" t="s">
        <v>17</v>
      </c>
      <c r="G8159" s="7">
        <v>3917066</v>
      </c>
      <c r="H8159" s="7">
        <v>2422</v>
      </c>
      <c r="I8159" s="7">
        <v>85</v>
      </c>
      <c r="J8159" s="7">
        <v>0</v>
      </c>
      <c r="K8159" s="7" t="s">
        <v>18</v>
      </c>
      <c r="L8159" s="8">
        <v>39987.315405092595</v>
      </c>
      <c r="M8159" s="9" t="s">
        <v>19</v>
      </c>
      <c r="N8159" s="9" t="s">
        <v>20</v>
      </c>
      <c r="O8159" s="6" t="str">
        <f>HYPERLINK("https://pbs.twimg.com/profile_images/962471262747529216/Uo8lOkRJ_normal.jpg","View")</f>
        <v>View</v>
      </c>
      <c r="P8159" s="7"/>
    </row>
    <row r="8160" spans="1:16">
      <c r="A8160" s="3">
        <v>44044.016446759255</v>
      </c>
      <c r="B8160" s="4" t="str">
        <f>HYPERLINK("https://twitter.com/petrogustavo","@petrogustavo")</f>
        <v>@petrogustavo</v>
      </c>
      <c r="C8160" s="5" t="s">
        <v>16</v>
      </c>
      <c r="D8160" s="5" t="s">
        <v>7870</v>
      </c>
      <c r="E8160" s="6" t="str">
        <f>HYPERLINK("https://twitter.com/petrogustavo/status/1289273041013190657","1289273041013190657")</f>
        <v>1289273041013190657</v>
      </c>
      <c r="F8160" s="7" t="s">
        <v>17</v>
      </c>
      <c r="G8160" s="7">
        <v>3917066</v>
      </c>
      <c r="H8160" s="7">
        <v>2422</v>
      </c>
      <c r="I8160" s="7">
        <v>108</v>
      </c>
      <c r="J8160" s="7">
        <v>518</v>
      </c>
      <c r="K8160" s="7" t="s">
        <v>18</v>
      </c>
      <c r="L8160" s="8">
        <v>39987.315405092595</v>
      </c>
      <c r="M8160" s="9" t="s">
        <v>19</v>
      </c>
      <c r="N8160" s="9" t="s">
        <v>20</v>
      </c>
      <c r="O8160" s="6" t="str">
        <f>HYPERLINK("https://pbs.twimg.com/profile_images/962471262747529216/Uo8lOkRJ_normal.jpg","View")</f>
        <v>View</v>
      </c>
      <c r="P8160" s="7"/>
    </row>
    <row r="8161" spans="1:16">
      <c r="A8161" s="3">
        <v>44044.018888888888</v>
      </c>
      <c r="B8161" s="4" t="str">
        <f>HYPERLINK("https://twitter.com/petrogustavo","@petrogustavo")</f>
        <v>@petrogustavo</v>
      </c>
      <c r="C8161" s="5" t="s">
        <v>16</v>
      </c>
      <c r="D8161" s="5" t="s">
        <v>7871</v>
      </c>
      <c r="E8161" s="6" t="str">
        <f>HYPERLINK("https://twitter.com/petrogustavo/status/1289273926426726401","1289273926426726401")</f>
        <v>1289273926426726401</v>
      </c>
      <c r="F8161" s="7" t="s">
        <v>17</v>
      </c>
      <c r="G8161" s="7">
        <v>3917066</v>
      </c>
      <c r="H8161" s="7">
        <v>2422</v>
      </c>
      <c r="I8161" s="7">
        <v>73</v>
      </c>
      <c r="J8161" s="7">
        <v>187</v>
      </c>
      <c r="K8161" s="7" t="s">
        <v>18</v>
      </c>
      <c r="L8161" s="8">
        <v>39987.315405092595</v>
      </c>
      <c r="M8161" s="9" t="s">
        <v>19</v>
      </c>
      <c r="N8161" s="9" t="s">
        <v>20</v>
      </c>
      <c r="O8161" s="6" t="str">
        <f>HYPERLINK("https://pbs.twimg.com/profile_images/962471262747529216/Uo8lOkRJ_normal.jpg","View")</f>
        <v>View</v>
      </c>
      <c r="P8161" s="7"/>
    </row>
    <row r="8162" spans="1:16">
      <c r="A8162" s="3">
        <v>44044.0237962963</v>
      </c>
      <c r="B8162" s="4" t="str">
        <f>HYPERLINK("https://twitter.com/petrogustavo","@petrogustavo")</f>
        <v>@petrogustavo</v>
      </c>
      <c r="C8162" s="5" t="s">
        <v>16</v>
      </c>
      <c r="D8162" s="5" t="s">
        <v>7872</v>
      </c>
      <c r="E8162" s="6" t="str">
        <f>HYPERLINK("https://twitter.com/petrogustavo/status/1289275706279628801","1289275706279628801")</f>
        <v>1289275706279628801</v>
      </c>
      <c r="F8162" s="7" t="s">
        <v>17</v>
      </c>
      <c r="G8162" s="7">
        <v>3917100</v>
      </c>
      <c r="H8162" s="7">
        <v>2423</v>
      </c>
      <c r="I8162" s="7">
        <v>173</v>
      </c>
      <c r="J8162" s="7">
        <v>706</v>
      </c>
      <c r="K8162" s="7" t="s">
        <v>18</v>
      </c>
      <c r="L8162" s="8">
        <v>39987.315405092595</v>
      </c>
      <c r="M8162" s="9" t="s">
        <v>19</v>
      </c>
      <c r="N8162" s="9" t="s">
        <v>20</v>
      </c>
      <c r="O8162" s="6" t="str">
        <f>HYPERLINK("https://pbs.twimg.com/profile_images/962471262747529216/Uo8lOkRJ_normal.jpg","View")</f>
        <v>View</v>
      </c>
      <c r="P8162" s="7"/>
    </row>
    <row r="8163" spans="1:16">
      <c r="A8163" s="3">
        <v>44044.024293981478</v>
      </c>
      <c r="B8163" s="4" t="str">
        <f>HYPERLINK("https://twitter.com/petrogustavo","@petrogustavo")</f>
        <v>@petrogustavo</v>
      </c>
      <c r="C8163" s="5" t="s">
        <v>16</v>
      </c>
      <c r="D8163" s="5" t="s">
        <v>7873</v>
      </c>
      <c r="E8163" s="6" t="str">
        <f>HYPERLINK("https://twitter.com/petrogustavo/status/1289275886072500225","1289275886072500225")</f>
        <v>1289275886072500225</v>
      </c>
      <c r="F8163" s="7" t="s">
        <v>17</v>
      </c>
      <c r="G8163" s="7">
        <v>3917100</v>
      </c>
      <c r="H8163" s="7">
        <v>2423</v>
      </c>
      <c r="I8163" s="7">
        <v>278</v>
      </c>
      <c r="J8163" s="7">
        <v>0</v>
      </c>
      <c r="K8163" s="7" t="s">
        <v>18</v>
      </c>
      <c r="L8163" s="8">
        <v>39987.315405092595</v>
      </c>
      <c r="M8163" s="9" t="s">
        <v>19</v>
      </c>
      <c r="N8163" s="9" t="s">
        <v>20</v>
      </c>
      <c r="O8163" s="6" t="str">
        <f>HYPERLINK("https://pbs.twimg.com/profile_images/962471262747529216/Uo8lOkRJ_normal.jpg","View")</f>
        <v>View</v>
      </c>
      <c r="P8163" s="7"/>
    </row>
    <row r="8164" spans="1:16">
      <c r="A8164" s="3">
        <v>44044.058541666665</v>
      </c>
      <c r="B8164" s="4" t="str">
        <f>HYPERLINK("https://twitter.com/petrogustavo","@petrogustavo")</f>
        <v>@petrogustavo</v>
      </c>
      <c r="C8164" s="5" t="s">
        <v>16</v>
      </c>
      <c r="D8164" s="5" t="s">
        <v>7874</v>
      </c>
      <c r="E8164" s="6" t="str">
        <f>HYPERLINK("https://twitter.com/petrogustavo/status/1289288297273937920","1289288297273937920")</f>
        <v>1289288297273937920</v>
      </c>
      <c r="F8164" s="7" t="s">
        <v>32</v>
      </c>
      <c r="G8164" s="7">
        <v>3917100</v>
      </c>
      <c r="H8164" s="7">
        <v>2423</v>
      </c>
      <c r="I8164" s="7">
        <v>179</v>
      </c>
      <c r="J8164" s="7">
        <v>0</v>
      </c>
      <c r="K8164" s="7" t="s">
        <v>18</v>
      </c>
      <c r="L8164" s="8">
        <v>39987.315405092595</v>
      </c>
      <c r="M8164" s="9" t="s">
        <v>19</v>
      </c>
      <c r="N8164" s="9" t="s">
        <v>20</v>
      </c>
      <c r="O8164" s="6" t="str">
        <f>HYPERLINK("https://pbs.twimg.com/profile_images/962471262747529216/Uo8lOkRJ_normal.jpg","View")</f>
        <v>View</v>
      </c>
      <c r="P8164" s="7"/>
    </row>
    <row r="8165" spans="1:16">
      <c r="A8165" s="3">
        <v>44044.147581018522</v>
      </c>
      <c r="B8165" s="4" t="str">
        <f>HYPERLINK("https://twitter.com/petrogustavo","@petrogustavo")</f>
        <v>@petrogustavo</v>
      </c>
      <c r="C8165" s="5" t="s">
        <v>16</v>
      </c>
      <c r="D8165" s="5" t="s">
        <v>7875</v>
      </c>
      <c r="E8165" s="6" t="str">
        <f>HYPERLINK("https://twitter.com/petrogustavo/status/1289320564218195968","1289320564218195968")</f>
        <v>1289320564218195968</v>
      </c>
      <c r="F8165" s="7" t="s">
        <v>17</v>
      </c>
      <c r="G8165" s="7">
        <v>3917200</v>
      </c>
      <c r="H8165" s="7">
        <v>2423</v>
      </c>
      <c r="I8165" s="7">
        <v>305</v>
      </c>
      <c r="J8165" s="7">
        <v>798</v>
      </c>
      <c r="K8165" s="7" t="s">
        <v>18</v>
      </c>
      <c r="L8165" s="8">
        <v>39987.315405092595</v>
      </c>
      <c r="M8165" s="9" t="s">
        <v>19</v>
      </c>
      <c r="N8165" s="9" t="s">
        <v>20</v>
      </c>
      <c r="O8165" s="6" t="str">
        <f>HYPERLINK("https://pbs.twimg.com/profile_images/962471262747529216/Uo8lOkRJ_normal.jpg","View")</f>
        <v>View</v>
      </c>
      <c r="P8165" s="7"/>
    </row>
    <row r="8166" spans="1:16">
      <c r="A8166" s="3">
        <v>44044.14943287037</v>
      </c>
      <c r="B8166" s="4" t="str">
        <f>HYPERLINK("https://twitter.com/petrogustavo","@petrogustavo")</f>
        <v>@petrogustavo</v>
      </c>
      <c r="C8166" s="5" t="s">
        <v>16</v>
      </c>
      <c r="D8166" s="5" t="s">
        <v>7876</v>
      </c>
      <c r="E8166" s="6" t="str">
        <f>HYPERLINK("https://twitter.com/petrogustavo/status/1289321233691971585","1289321233691971585")</f>
        <v>1289321233691971585</v>
      </c>
      <c r="F8166" s="7" t="s">
        <v>17</v>
      </c>
      <c r="G8166" s="7">
        <v>3917200</v>
      </c>
      <c r="H8166" s="7">
        <v>2423</v>
      </c>
      <c r="I8166" s="7">
        <v>108</v>
      </c>
      <c r="J8166" s="7">
        <v>347</v>
      </c>
      <c r="K8166" s="7" t="s">
        <v>18</v>
      </c>
      <c r="L8166" s="8">
        <v>39987.315405092595</v>
      </c>
      <c r="M8166" s="9" t="s">
        <v>19</v>
      </c>
      <c r="N8166" s="9" t="s">
        <v>20</v>
      </c>
      <c r="O8166" s="6" t="str">
        <f>HYPERLINK("https://pbs.twimg.com/profile_images/962471262747529216/Uo8lOkRJ_normal.jpg","View")</f>
        <v>View</v>
      </c>
      <c r="P8166" s="7"/>
    </row>
    <row r="8167" spans="1:16">
      <c r="A8167" s="3">
        <v>44044.169317129628</v>
      </c>
      <c r="B8167" s="4" t="str">
        <f>HYPERLINK("https://twitter.com/petrogustavo","@petrogustavo")</f>
        <v>@petrogustavo</v>
      </c>
      <c r="C8167" s="5" t="s">
        <v>16</v>
      </c>
      <c r="D8167" s="5" t="s">
        <v>7877</v>
      </c>
      <c r="E8167" s="6" t="str">
        <f>HYPERLINK("https://twitter.com/petrogustavo/status/1289328442027249666","1289328442027249666")</f>
        <v>1289328442027249666</v>
      </c>
      <c r="F8167" s="7" t="s">
        <v>17</v>
      </c>
      <c r="G8167" s="7">
        <v>3917228</v>
      </c>
      <c r="H8167" s="7">
        <v>2423</v>
      </c>
      <c r="I8167" s="7">
        <v>91</v>
      </c>
      <c r="J8167" s="7">
        <v>240</v>
      </c>
      <c r="K8167" s="7" t="s">
        <v>18</v>
      </c>
      <c r="L8167" s="8">
        <v>39987.315405092595</v>
      </c>
      <c r="M8167" s="9" t="s">
        <v>19</v>
      </c>
      <c r="N8167" s="9" t="s">
        <v>20</v>
      </c>
      <c r="O8167" s="6" t="str">
        <f>HYPERLINK("https://pbs.twimg.com/profile_images/962471262747529216/Uo8lOkRJ_normal.jpg","View")</f>
        <v>View</v>
      </c>
      <c r="P8167" s="7"/>
    </row>
    <row r="8168" spans="1:16">
      <c r="A8168" s="3">
        <v>44044.20008101852</v>
      </c>
      <c r="B8168" s="4" t="str">
        <f>HYPERLINK("https://twitter.com/petrogustavo","@petrogustavo")</f>
        <v>@petrogustavo</v>
      </c>
      <c r="C8168" s="5" t="s">
        <v>16</v>
      </c>
      <c r="D8168" s="5" t="s">
        <v>7878</v>
      </c>
      <c r="E8168" s="6" t="str">
        <f>HYPERLINK("https://twitter.com/petrogustavo/status/1289339591267418112","1289339591267418112")</f>
        <v>1289339591267418112</v>
      </c>
      <c r="F8168" s="7" t="s">
        <v>17</v>
      </c>
      <c r="G8168" s="7">
        <v>3917253</v>
      </c>
      <c r="H8168" s="7">
        <v>2423</v>
      </c>
      <c r="I8168" s="7">
        <v>182</v>
      </c>
      <c r="J8168" s="7">
        <v>407</v>
      </c>
      <c r="K8168" s="7" t="s">
        <v>18</v>
      </c>
      <c r="L8168" s="8">
        <v>39987.315405092595</v>
      </c>
      <c r="M8168" s="9" t="s">
        <v>19</v>
      </c>
      <c r="N8168" s="9" t="s">
        <v>20</v>
      </c>
      <c r="O8168" s="6" t="str">
        <f>HYPERLINK("https://pbs.twimg.com/profile_images/962471262747529216/Uo8lOkRJ_normal.jpg","View")</f>
        <v>View</v>
      </c>
      <c r="P8168" s="7"/>
    </row>
    <row r="8169" spans="1:16">
      <c r="A8169" s="3">
        <v>44044.201469907406</v>
      </c>
      <c r="B8169" s="4" t="str">
        <f>HYPERLINK("https://twitter.com/petrogustavo","@petrogustavo")</f>
        <v>@petrogustavo</v>
      </c>
      <c r="C8169" s="5" t="s">
        <v>16</v>
      </c>
      <c r="D8169" s="5" t="s">
        <v>7879</v>
      </c>
      <c r="E8169" s="6" t="str">
        <f>HYPERLINK("https://twitter.com/petrogustavo/status/1289340090486001667","1289340090486001667")</f>
        <v>1289340090486001667</v>
      </c>
      <c r="F8169" s="7" t="s">
        <v>17</v>
      </c>
      <c r="G8169" s="7">
        <v>3917253</v>
      </c>
      <c r="H8169" s="7">
        <v>2423</v>
      </c>
      <c r="I8169" s="7">
        <v>67</v>
      </c>
      <c r="J8169" s="7">
        <v>187</v>
      </c>
      <c r="K8169" s="7" t="s">
        <v>18</v>
      </c>
      <c r="L8169" s="8">
        <v>39987.315405092595</v>
      </c>
      <c r="M8169" s="9" t="s">
        <v>19</v>
      </c>
      <c r="N8169" s="9" t="s">
        <v>20</v>
      </c>
      <c r="O8169" s="6" t="str">
        <f>HYPERLINK("https://pbs.twimg.com/profile_images/962471262747529216/Uo8lOkRJ_normal.jpg","View")</f>
        <v>View</v>
      </c>
      <c r="P8169" s="7"/>
    </row>
    <row r="8170" spans="1:16">
      <c r="A8170" s="3">
        <v>44044.204027777778</v>
      </c>
      <c r="B8170" s="4" t="str">
        <f>HYPERLINK("https://twitter.com/petrogustavo","@petrogustavo")</f>
        <v>@petrogustavo</v>
      </c>
      <c r="C8170" s="5" t="s">
        <v>16</v>
      </c>
      <c r="D8170" s="5" t="s">
        <v>7880</v>
      </c>
      <c r="E8170" s="6" t="str">
        <f>HYPERLINK("https://twitter.com/petrogustavo/status/1289341018035363840","1289341018035363840")</f>
        <v>1289341018035363840</v>
      </c>
      <c r="F8170" s="7" t="s">
        <v>17</v>
      </c>
      <c r="G8170" s="7">
        <v>3917253</v>
      </c>
      <c r="H8170" s="7">
        <v>2423</v>
      </c>
      <c r="I8170" s="7">
        <v>24</v>
      </c>
      <c r="J8170" s="7">
        <v>79</v>
      </c>
      <c r="K8170" s="7" t="s">
        <v>18</v>
      </c>
      <c r="L8170" s="8">
        <v>39987.315405092595</v>
      </c>
      <c r="M8170" s="9" t="s">
        <v>19</v>
      </c>
      <c r="N8170" s="9" t="s">
        <v>20</v>
      </c>
      <c r="O8170" s="6" t="str">
        <f>HYPERLINK("https://pbs.twimg.com/profile_images/962471262747529216/Uo8lOkRJ_normal.jpg","View")</f>
        <v>View</v>
      </c>
      <c r="P8170" s="7"/>
    </row>
    <row r="8171" spans="1:16">
      <c r="A8171" s="3">
        <v>44044.21570601852</v>
      </c>
      <c r="B8171" s="4" t="str">
        <f>HYPERLINK("https://twitter.com/petrogustavo","@petrogustavo")</f>
        <v>@petrogustavo</v>
      </c>
      <c r="C8171" s="5" t="s">
        <v>16</v>
      </c>
      <c r="D8171" s="5" t="s">
        <v>7881</v>
      </c>
      <c r="E8171" s="6" t="str">
        <f>HYPERLINK("https://twitter.com/petrogustavo/status/1289345251111362567","1289345251111362567")</f>
        <v>1289345251111362567</v>
      </c>
      <c r="F8171" s="7" t="s">
        <v>17</v>
      </c>
      <c r="G8171" s="7">
        <v>3917283</v>
      </c>
      <c r="H8171" s="7">
        <v>2423</v>
      </c>
      <c r="I8171" s="7">
        <v>76</v>
      </c>
      <c r="J8171" s="7">
        <v>228</v>
      </c>
      <c r="K8171" s="7" t="s">
        <v>18</v>
      </c>
      <c r="L8171" s="8">
        <v>39987.315405092595</v>
      </c>
      <c r="M8171" s="9" t="s">
        <v>19</v>
      </c>
      <c r="N8171" s="9" t="s">
        <v>20</v>
      </c>
      <c r="O8171" s="6" t="str">
        <f>HYPERLINK("https://pbs.twimg.com/profile_images/962471262747529216/Uo8lOkRJ_normal.jpg","View")</f>
        <v>View</v>
      </c>
      <c r="P8171" s="7"/>
    </row>
    <row r="8172" spans="1:16">
      <c r="A8172" s="3">
        <v>44044.294374999998</v>
      </c>
      <c r="B8172" s="4" t="str">
        <f>HYPERLINK("https://twitter.com/petrogustavo","@petrogustavo")</f>
        <v>@petrogustavo</v>
      </c>
      <c r="C8172" s="5" t="s">
        <v>16</v>
      </c>
      <c r="D8172" s="5" t="s">
        <v>7882</v>
      </c>
      <c r="E8172" s="6" t="str">
        <f>HYPERLINK("https://twitter.com/petrogustavo/status/1289373761519652865","1289373761519652865")</f>
        <v>1289373761519652865</v>
      </c>
      <c r="F8172" s="7" t="s">
        <v>17</v>
      </c>
      <c r="G8172" s="7">
        <v>3917356</v>
      </c>
      <c r="H8172" s="7">
        <v>2423</v>
      </c>
      <c r="I8172" s="7">
        <v>1049</v>
      </c>
      <c r="J8172" s="7">
        <v>0</v>
      </c>
      <c r="K8172" s="7" t="s">
        <v>18</v>
      </c>
      <c r="L8172" s="8">
        <v>39987.315405092595</v>
      </c>
      <c r="M8172" s="9" t="s">
        <v>19</v>
      </c>
      <c r="N8172" s="9" t="s">
        <v>20</v>
      </c>
      <c r="O8172" s="6" t="str">
        <f>HYPERLINK("https://pbs.twimg.com/profile_images/962471262747529216/Uo8lOkRJ_normal.jpg","View")</f>
        <v>View</v>
      </c>
      <c r="P8172" s="7"/>
    </row>
    <row r="8173" spans="1:16">
      <c r="A8173" s="3">
        <v>44044.821215277778</v>
      </c>
      <c r="B8173" s="4" t="str">
        <f>HYPERLINK("https://twitter.com/petrogustavo","@petrogustavo")</f>
        <v>@petrogustavo</v>
      </c>
      <c r="C8173" s="5" t="s">
        <v>16</v>
      </c>
      <c r="D8173" s="5" t="s">
        <v>7883</v>
      </c>
      <c r="E8173" s="6" t="str">
        <f>HYPERLINK("https://twitter.com/petrogustavo/status/1289564681061965824","1289564681061965824")</f>
        <v>1289564681061965824</v>
      </c>
      <c r="F8173" s="7" t="s">
        <v>17</v>
      </c>
      <c r="G8173" s="7">
        <v>3917540</v>
      </c>
      <c r="H8173" s="7">
        <v>2423</v>
      </c>
      <c r="I8173" s="7">
        <v>220</v>
      </c>
      <c r="J8173" s="7">
        <v>0</v>
      </c>
      <c r="K8173" s="7" t="s">
        <v>18</v>
      </c>
      <c r="L8173" s="8">
        <v>39987.315405092595</v>
      </c>
      <c r="M8173" s="9" t="s">
        <v>19</v>
      </c>
      <c r="N8173" s="9" t="s">
        <v>20</v>
      </c>
      <c r="O8173" s="6" t="str">
        <f>HYPERLINK("https://pbs.twimg.com/profile_images/962471262747529216/Uo8lOkRJ_normal.jpg","View")</f>
        <v>View</v>
      </c>
      <c r="P8173" s="7"/>
    </row>
    <row r="8174" spans="1:16">
      <c r="A8174" s="3">
        <v>44044.822384259256</v>
      </c>
      <c r="B8174" s="4" t="str">
        <f>HYPERLINK("https://twitter.com/petrogustavo","@petrogustavo")</f>
        <v>@petrogustavo</v>
      </c>
      <c r="C8174" s="5" t="s">
        <v>16</v>
      </c>
      <c r="D8174" s="5" t="s">
        <v>7884</v>
      </c>
      <c r="E8174" s="6" t="str">
        <f>HYPERLINK("https://twitter.com/petrogustavo/status/1289565105840099328","1289565105840099328")</f>
        <v>1289565105840099328</v>
      </c>
      <c r="F8174" s="7" t="s">
        <v>17</v>
      </c>
      <c r="G8174" s="7">
        <v>3917540</v>
      </c>
      <c r="H8174" s="7">
        <v>2423</v>
      </c>
      <c r="I8174" s="7">
        <v>43</v>
      </c>
      <c r="J8174" s="7">
        <v>100</v>
      </c>
      <c r="K8174" s="7" t="s">
        <v>18</v>
      </c>
      <c r="L8174" s="8">
        <v>39987.315405092595</v>
      </c>
      <c r="M8174" s="9" t="s">
        <v>19</v>
      </c>
      <c r="N8174" s="9" t="s">
        <v>20</v>
      </c>
      <c r="O8174" s="6" t="str">
        <f>HYPERLINK("https://pbs.twimg.com/profile_images/962471262747529216/Uo8lOkRJ_normal.jpg","View")</f>
        <v>View</v>
      </c>
      <c r="P8174" s="7"/>
    </row>
    <row r="8175" spans="1:16">
      <c r="A8175" s="3">
        <v>44044.824432870373</v>
      </c>
      <c r="B8175" s="4" t="str">
        <f>HYPERLINK("https://twitter.com/petrogustavo","@petrogustavo")</f>
        <v>@petrogustavo</v>
      </c>
      <c r="C8175" s="5" t="s">
        <v>16</v>
      </c>
      <c r="D8175" s="5" t="s">
        <v>7885</v>
      </c>
      <c r="E8175" s="6" t="str">
        <f>HYPERLINK("https://twitter.com/petrogustavo/status/1289565846797344779","1289565846797344779")</f>
        <v>1289565846797344779</v>
      </c>
      <c r="F8175" s="7" t="s">
        <v>17</v>
      </c>
      <c r="G8175" s="7">
        <v>3917540</v>
      </c>
      <c r="H8175" s="7">
        <v>2423</v>
      </c>
      <c r="I8175" s="7">
        <v>4</v>
      </c>
      <c r="J8175" s="7">
        <v>11</v>
      </c>
      <c r="K8175" s="7" t="s">
        <v>18</v>
      </c>
      <c r="L8175" s="8">
        <v>39987.315405092595</v>
      </c>
      <c r="M8175" s="9" t="s">
        <v>19</v>
      </c>
      <c r="N8175" s="9" t="s">
        <v>20</v>
      </c>
      <c r="O8175" s="6" t="str">
        <f>HYPERLINK("https://pbs.twimg.com/profile_images/962471262747529216/Uo8lOkRJ_normal.jpg","View")</f>
        <v>View</v>
      </c>
      <c r="P8175" s="7"/>
    </row>
    <row r="8176" spans="1:16">
      <c r="A8176" s="3">
        <v>44044.834479166668</v>
      </c>
      <c r="B8176" s="4" t="str">
        <f>HYPERLINK("https://twitter.com/petrogustavo","@petrogustavo")</f>
        <v>@petrogustavo</v>
      </c>
      <c r="C8176" s="5" t="s">
        <v>16</v>
      </c>
      <c r="D8176" s="5" t="s">
        <v>7886</v>
      </c>
      <c r="E8176" s="6" t="str">
        <f>HYPERLINK("https://twitter.com/petrogustavo/status/1289569487000199172","1289569487000199172")</f>
        <v>1289569487000199172</v>
      </c>
      <c r="F8176" s="7" t="s">
        <v>17</v>
      </c>
      <c r="G8176" s="7">
        <v>3917581</v>
      </c>
      <c r="H8176" s="7">
        <v>2423</v>
      </c>
      <c r="I8176" s="7">
        <v>158</v>
      </c>
      <c r="J8176" s="7">
        <v>341</v>
      </c>
      <c r="K8176" s="7" t="s">
        <v>18</v>
      </c>
      <c r="L8176" s="8">
        <v>39987.315405092595</v>
      </c>
      <c r="M8176" s="9" t="s">
        <v>19</v>
      </c>
      <c r="N8176" s="9" t="s">
        <v>20</v>
      </c>
      <c r="O8176" s="6" t="str">
        <f>HYPERLINK("https://pbs.twimg.com/profile_images/962471262747529216/Uo8lOkRJ_normal.jpg","View")</f>
        <v>View</v>
      </c>
      <c r="P8176" s="7"/>
    </row>
    <row r="8177" spans="1:16">
      <c r="A8177" s="3">
        <v>44044.840567129635</v>
      </c>
      <c r="B8177" s="4" t="str">
        <f>HYPERLINK("https://twitter.com/petrogustavo","@petrogustavo")</f>
        <v>@petrogustavo</v>
      </c>
      <c r="C8177" s="5" t="s">
        <v>16</v>
      </c>
      <c r="D8177" s="5" t="s">
        <v>7887</v>
      </c>
      <c r="E8177" s="6" t="str">
        <f>HYPERLINK("https://twitter.com/petrogustavo/status/1289571691572518913","1289571691572518913")</f>
        <v>1289571691572518913</v>
      </c>
      <c r="F8177" s="7" t="s">
        <v>17</v>
      </c>
      <c r="G8177" s="7">
        <v>3917581</v>
      </c>
      <c r="H8177" s="7">
        <v>2423</v>
      </c>
      <c r="I8177" s="7">
        <v>48</v>
      </c>
      <c r="J8177" s="7">
        <v>114</v>
      </c>
      <c r="K8177" s="7" t="s">
        <v>18</v>
      </c>
      <c r="L8177" s="8">
        <v>39987.315405092595</v>
      </c>
      <c r="M8177" s="9" t="s">
        <v>19</v>
      </c>
      <c r="N8177" s="9" t="s">
        <v>20</v>
      </c>
      <c r="O8177" s="6" t="str">
        <f>HYPERLINK("https://pbs.twimg.com/profile_images/962471262747529216/Uo8lOkRJ_normal.jpg","View")</f>
        <v>View</v>
      </c>
      <c r="P8177" s="7"/>
    </row>
    <row r="8178" spans="1:16">
      <c r="A8178" s="3">
        <v>44044.842152777783</v>
      </c>
      <c r="B8178" s="4" t="str">
        <f>HYPERLINK("https://twitter.com/petrogustavo","@petrogustavo")</f>
        <v>@petrogustavo</v>
      </c>
      <c r="C8178" s="5" t="s">
        <v>16</v>
      </c>
      <c r="D8178" s="5" t="s">
        <v>7888</v>
      </c>
      <c r="E8178" s="6" t="str">
        <f>HYPERLINK("https://twitter.com/petrogustavo/status/1289572267811364864","1289572267811364864")</f>
        <v>1289572267811364864</v>
      </c>
      <c r="F8178" s="7" t="s">
        <v>17</v>
      </c>
      <c r="G8178" s="7">
        <v>3917581</v>
      </c>
      <c r="H8178" s="7">
        <v>2423</v>
      </c>
      <c r="I8178" s="7">
        <v>18</v>
      </c>
      <c r="J8178" s="7">
        <v>58</v>
      </c>
      <c r="K8178" s="7" t="s">
        <v>18</v>
      </c>
      <c r="L8178" s="8">
        <v>39987.315405092595</v>
      </c>
      <c r="M8178" s="9" t="s">
        <v>19</v>
      </c>
      <c r="N8178" s="9" t="s">
        <v>20</v>
      </c>
      <c r="O8178" s="6" t="str">
        <f>HYPERLINK("https://pbs.twimg.com/profile_images/962471262747529216/Uo8lOkRJ_normal.jpg","View")</f>
        <v>View</v>
      </c>
      <c r="P8178" s="7"/>
    </row>
    <row r="8179" spans="1:16">
      <c r="A8179" s="3">
        <v>44044.84337962963</v>
      </c>
      <c r="B8179" s="4" t="str">
        <f>HYPERLINK("https://twitter.com/petrogustavo","@petrogustavo")</f>
        <v>@petrogustavo</v>
      </c>
      <c r="C8179" s="5" t="s">
        <v>16</v>
      </c>
      <c r="D8179" s="5" t="s">
        <v>7889</v>
      </c>
      <c r="E8179" s="6" t="str">
        <f>HYPERLINK("https://twitter.com/petrogustavo/status/1289572713476976640","1289572713476976640")</f>
        <v>1289572713476976640</v>
      </c>
      <c r="F8179" s="7" t="s">
        <v>17</v>
      </c>
      <c r="G8179" s="7">
        <v>3917581</v>
      </c>
      <c r="H8179" s="7">
        <v>2423</v>
      </c>
      <c r="I8179" s="7">
        <v>27</v>
      </c>
      <c r="J8179" s="7">
        <v>54</v>
      </c>
      <c r="K8179" s="7" t="s">
        <v>18</v>
      </c>
      <c r="L8179" s="8">
        <v>39987.315405092595</v>
      </c>
      <c r="M8179" s="9" t="s">
        <v>19</v>
      </c>
      <c r="N8179" s="9" t="s">
        <v>20</v>
      </c>
      <c r="O8179" s="6" t="str">
        <f>HYPERLINK("https://pbs.twimg.com/profile_images/962471262747529216/Uo8lOkRJ_normal.jpg","View")</f>
        <v>View</v>
      </c>
      <c r="P8179" s="7"/>
    </row>
    <row r="8180" spans="1:16">
      <c r="A8180" s="3">
        <v>44044.844143518523</v>
      </c>
      <c r="B8180" s="4" t="str">
        <f>HYPERLINK("https://twitter.com/petrogustavo","@petrogustavo")</f>
        <v>@petrogustavo</v>
      </c>
      <c r="C8180" s="5" t="s">
        <v>16</v>
      </c>
      <c r="D8180" s="5" t="s">
        <v>7890</v>
      </c>
      <c r="E8180" s="6" t="str">
        <f>HYPERLINK("https://twitter.com/petrogustavo/status/1289572988908531713","1289572988908531713")</f>
        <v>1289572988908531713</v>
      </c>
      <c r="F8180" s="7" t="s">
        <v>17</v>
      </c>
      <c r="G8180" s="7">
        <v>3917581</v>
      </c>
      <c r="H8180" s="7">
        <v>2423</v>
      </c>
      <c r="I8180" s="7">
        <v>3248</v>
      </c>
      <c r="J8180" s="7">
        <v>0</v>
      </c>
      <c r="K8180" s="7" t="s">
        <v>18</v>
      </c>
      <c r="L8180" s="8">
        <v>39987.315405092595</v>
      </c>
      <c r="M8180" s="9" t="s">
        <v>19</v>
      </c>
      <c r="N8180" s="9" t="s">
        <v>20</v>
      </c>
      <c r="O8180" s="6" t="str">
        <f>HYPERLINK("https://pbs.twimg.com/profile_images/962471262747529216/Uo8lOkRJ_normal.jpg","View")</f>
        <v>View</v>
      </c>
      <c r="P8180" s="7"/>
    </row>
    <row r="8181" spans="1:16">
      <c r="A8181" s="3">
        <v>44044.846435185187</v>
      </c>
      <c r="B8181" s="4" t="str">
        <f>HYPERLINK("https://twitter.com/petrogustavo","@petrogustavo")</f>
        <v>@petrogustavo</v>
      </c>
      <c r="C8181" s="5" t="s">
        <v>16</v>
      </c>
      <c r="D8181" s="5" t="s">
        <v>7891</v>
      </c>
      <c r="E8181" s="6" t="str">
        <f>HYPERLINK("https://twitter.com/petrogustavo/status/1289573818810302465","1289573818810302465")</f>
        <v>1289573818810302465</v>
      </c>
      <c r="F8181" s="7" t="s">
        <v>17</v>
      </c>
      <c r="G8181" s="7">
        <v>3917606</v>
      </c>
      <c r="H8181" s="7">
        <v>2423</v>
      </c>
      <c r="I8181" s="7">
        <v>58</v>
      </c>
      <c r="J8181" s="7">
        <v>249</v>
      </c>
      <c r="K8181" s="7" t="s">
        <v>18</v>
      </c>
      <c r="L8181" s="8">
        <v>39987.315405092595</v>
      </c>
      <c r="M8181" s="9" t="s">
        <v>19</v>
      </c>
      <c r="N8181" s="9" t="s">
        <v>20</v>
      </c>
      <c r="O8181" s="6" t="str">
        <f>HYPERLINK("https://pbs.twimg.com/profile_images/962471262747529216/Uo8lOkRJ_normal.jpg","View")</f>
        <v>View</v>
      </c>
      <c r="P8181" s="7"/>
    </row>
    <row r="8182" spans="1:16">
      <c r="A8182" s="3">
        <v>44044.854745370365</v>
      </c>
      <c r="B8182" s="4" t="str">
        <f>HYPERLINK("https://twitter.com/petrogustavo","@petrogustavo")</f>
        <v>@petrogustavo</v>
      </c>
      <c r="C8182" s="5" t="s">
        <v>16</v>
      </c>
      <c r="D8182" s="5" t="s">
        <v>7892</v>
      </c>
      <c r="E8182" s="6" t="str">
        <f>HYPERLINK("https://twitter.com/petrogustavo/status/1289576832887656448","1289576832887656448")</f>
        <v>1289576832887656448</v>
      </c>
      <c r="F8182" s="7" t="s">
        <v>17</v>
      </c>
      <c r="G8182" s="7">
        <v>3917606</v>
      </c>
      <c r="H8182" s="7">
        <v>2423</v>
      </c>
      <c r="I8182" s="7">
        <v>30</v>
      </c>
      <c r="J8182" s="7">
        <v>104</v>
      </c>
      <c r="K8182" s="7" t="s">
        <v>18</v>
      </c>
      <c r="L8182" s="8">
        <v>39987.315405092595</v>
      </c>
      <c r="M8182" s="9" t="s">
        <v>19</v>
      </c>
      <c r="N8182" s="9" t="s">
        <v>20</v>
      </c>
      <c r="O8182" s="6" t="str">
        <f>HYPERLINK("https://pbs.twimg.com/profile_images/962471262747529216/Uo8lOkRJ_normal.jpg","View")</f>
        <v>View</v>
      </c>
      <c r="P8182" s="7"/>
    </row>
    <row r="8183" spans="1:16">
      <c r="A8183" s="3">
        <v>44044.862696759257</v>
      </c>
      <c r="B8183" s="4" t="str">
        <f>HYPERLINK("https://twitter.com/petrogustavo","@petrogustavo")</f>
        <v>@petrogustavo</v>
      </c>
      <c r="C8183" s="5" t="s">
        <v>16</v>
      </c>
      <c r="D8183" s="5" t="s">
        <v>7893</v>
      </c>
      <c r="E8183" s="6" t="str">
        <f>HYPERLINK("https://twitter.com/petrogustavo/status/1289579714588286976","1289579714588286976")</f>
        <v>1289579714588286976</v>
      </c>
      <c r="F8183" s="7" t="s">
        <v>17</v>
      </c>
      <c r="G8183" s="7">
        <v>3917606</v>
      </c>
      <c r="H8183" s="7">
        <v>2423</v>
      </c>
      <c r="I8183" s="7">
        <v>63</v>
      </c>
      <c r="J8183" s="7">
        <v>163</v>
      </c>
      <c r="K8183" s="7" t="s">
        <v>18</v>
      </c>
      <c r="L8183" s="8">
        <v>39987.315405092595</v>
      </c>
      <c r="M8183" s="9" t="s">
        <v>19</v>
      </c>
      <c r="N8183" s="9" t="s">
        <v>20</v>
      </c>
      <c r="O8183" s="6" t="str">
        <f>HYPERLINK("https://pbs.twimg.com/profile_images/962471262747529216/Uo8lOkRJ_normal.jpg","View")</f>
        <v>View</v>
      </c>
      <c r="P8183" s="7"/>
    </row>
    <row r="8184" spans="1:16">
      <c r="A8184" s="3">
        <v>44044.877384259264</v>
      </c>
      <c r="B8184" s="4" t="str">
        <f>HYPERLINK("https://twitter.com/petrogustavo","@petrogustavo")</f>
        <v>@petrogustavo</v>
      </c>
      <c r="C8184" s="5" t="s">
        <v>16</v>
      </c>
      <c r="D8184" s="5" t="s">
        <v>7894</v>
      </c>
      <c r="E8184" s="6" t="str">
        <f>HYPERLINK("https://twitter.com/petrogustavo/status/1289585037130608641","1289585037130608641")</f>
        <v>1289585037130608641</v>
      </c>
      <c r="F8184" s="7" t="s">
        <v>17</v>
      </c>
      <c r="G8184" s="7">
        <v>3917623</v>
      </c>
      <c r="H8184" s="7">
        <v>2423</v>
      </c>
      <c r="I8184" s="7">
        <v>25</v>
      </c>
      <c r="J8184" s="7">
        <v>52</v>
      </c>
      <c r="K8184" s="7" t="s">
        <v>18</v>
      </c>
      <c r="L8184" s="8">
        <v>39987.315405092595</v>
      </c>
      <c r="M8184" s="9" t="s">
        <v>19</v>
      </c>
      <c r="N8184" s="9" t="s">
        <v>20</v>
      </c>
      <c r="O8184" s="6" t="str">
        <f>HYPERLINK("https://pbs.twimg.com/profile_images/962471262747529216/Uo8lOkRJ_normal.jpg","View")</f>
        <v>View</v>
      </c>
      <c r="P8184" s="7"/>
    </row>
    <row r="8185" spans="1:16">
      <c r="A8185" s="3">
        <v>44044.877905092595</v>
      </c>
      <c r="B8185" s="4" t="str">
        <f>HYPERLINK("https://twitter.com/petrogustavo","@petrogustavo")</f>
        <v>@petrogustavo</v>
      </c>
      <c r="C8185" s="5" t="s">
        <v>16</v>
      </c>
      <c r="D8185" s="5" t="s">
        <v>7895</v>
      </c>
      <c r="E8185" s="6" t="str">
        <f>HYPERLINK("https://twitter.com/petrogustavo/status/1289585225123553281","1289585225123553281")</f>
        <v>1289585225123553281</v>
      </c>
      <c r="F8185" s="7" t="s">
        <v>17</v>
      </c>
      <c r="G8185" s="7">
        <v>3917623</v>
      </c>
      <c r="H8185" s="7">
        <v>2423</v>
      </c>
      <c r="I8185" s="7">
        <v>359</v>
      </c>
      <c r="J8185" s="7">
        <v>0</v>
      </c>
      <c r="K8185" s="7" t="s">
        <v>18</v>
      </c>
      <c r="L8185" s="8">
        <v>39987.315405092595</v>
      </c>
      <c r="M8185" s="9" t="s">
        <v>19</v>
      </c>
      <c r="N8185" s="9" t="s">
        <v>20</v>
      </c>
      <c r="O8185" s="6" t="str">
        <f>HYPERLINK("https://pbs.twimg.com/profile_images/962471262747529216/Uo8lOkRJ_normal.jpg","View")</f>
        <v>View</v>
      </c>
      <c r="P8185" s="7"/>
    </row>
    <row r="8186" spans="1:16">
      <c r="A8186" s="3">
        <v>44044.885300925926</v>
      </c>
      <c r="B8186" s="4" t="str">
        <f>HYPERLINK("https://twitter.com/petrogustavo","@petrogustavo")</f>
        <v>@petrogustavo</v>
      </c>
      <c r="C8186" s="5" t="s">
        <v>16</v>
      </c>
      <c r="D8186" s="5" t="s">
        <v>7896</v>
      </c>
      <c r="E8186" s="6" t="str">
        <f>HYPERLINK("https://twitter.com/petrogustavo/status/1289587904767905792","1289587904767905792")</f>
        <v>1289587904767905792</v>
      </c>
      <c r="F8186" s="7" t="s">
        <v>17</v>
      </c>
      <c r="G8186" s="7">
        <v>3917623</v>
      </c>
      <c r="H8186" s="7">
        <v>2423</v>
      </c>
      <c r="I8186" s="7">
        <v>237</v>
      </c>
      <c r="J8186" s="7">
        <v>0</v>
      </c>
      <c r="K8186" s="7" t="s">
        <v>18</v>
      </c>
      <c r="L8186" s="8">
        <v>39987.315405092595</v>
      </c>
      <c r="M8186" s="9" t="s">
        <v>19</v>
      </c>
      <c r="N8186" s="9" t="s">
        <v>20</v>
      </c>
      <c r="O8186" s="6" t="str">
        <f>HYPERLINK("https://pbs.twimg.com/profile_images/962471262747529216/Uo8lOkRJ_normal.jpg","View")</f>
        <v>View</v>
      </c>
      <c r="P8186" s="7"/>
    </row>
    <row r="8187" spans="1:16">
      <c r="A8187" s="3">
        <v>44044.886111111111</v>
      </c>
      <c r="B8187" s="4" t="str">
        <f>HYPERLINK("https://twitter.com/petrogustavo","@petrogustavo")</f>
        <v>@petrogustavo</v>
      </c>
      <c r="C8187" s="5" t="s">
        <v>16</v>
      </c>
      <c r="D8187" s="5" t="s">
        <v>7897</v>
      </c>
      <c r="E8187" s="6" t="str">
        <f>HYPERLINK("https://twitter.com/petrogustavo/status/1289588198444695555","1289588198444695555")</f>
        <v>1289588198444695555</v>
      </c>
      <c r="F8187" s="7" t="s">
        <v>17</v>
      </c>
      <c r="G8187" s="7">
        <v>3917623</v>
      </c>
      <c r="H8187" s="7">
        <v>2423</v>
      </c>
      <c r="I8187" s="7">
        <v>2794</v>
      </c>
      <c r="J8187" s="7">
        <v>0</v>
      </c>
      <c r="K8187" s="7" t="s">
        <v>18</v>
      </c>
      <c r="L8187" s="8">
        <v>39987.315405092595</v>
      </c>
      <c r="M8187" s="9" t="s">
        <v>19</v>
      </c>
      <c r="N8187" s="9" t="s">
        <v>20</v>
      </c>
      <c r="O8187" s="6" t="str">
        <f>HYPERLINK("https://pbs.twimg.com/profile_images/962471262747529216/Uo8lOkRJ_normal.jpg","View")</f>
        <v>View</v>
      </c>
      <c r="P8187" s="7"/>
    </row>
    <row r="8188" spans="1:16">
      <c r="A8188" s="3">
        <v>44044.894525462965</v>
      </c>
      <c r="B8188" s="4" t="str">
        <f>HYPERLINK("https://twitter.com/petrogustavo","@petrogustavo")</f>
        <v>@petrogustavo</v>
      </c>
      <c r="C8188" s="5" t="s">
        <v>16</v>
      </c>
      <c r="D8188" s="5" t="s">
        <v>7882</v>
      </c>
      <c r="E8188" s="6" t="str">
        <f>HYPERLINK("https://twitter.com/petrogustavo/status/1289591249381408768","1289591249381408768")</f>
        <v>1289591249381408768</v>
      </c>
      <c r="F8188" s="7" t="s">
        <v>17</v>
      </c>
      <c r="G8188" s="7">
        <v>3917641</v>
      </c>
      <c r="H8188" s="7">
        <v>2423</v>
      </c>
      <c r="I8188" s="7">
        <v>1739</v>
      </c>
      <c r="J8188" s="7">
        <v>0</v>
      </c>
      <c r="K8188" s="7" t="s">
        <v>18</v>
      </c>
      <c r="L8188" s="8">
        <v>39987.315405092595</v>
      </c>
      <c r="M8188" s="9" t="s">
        <v>19</v>
      </c>
      <c r="N8188" s="9" t="s">
        <v>20</v>
      </c>
      <c r="O8188" s="6" t="str">
        <f>HYPERLINK("https://pbs.twimg.com/profile_images/962471262747529216/Uo8lOkRJ_normal.jpg","View")</f>
        <v>View</v>
      </c>
      <c r="P8188" s="7"/>
    </row>
    <row r="8189" spans="1:16">
      <c r="A8189" s="3">
        <v>44044.906122685185</v>
      </c>
      <c r="B8189" s="4" t="str">
        <f>HYPERLINK("https://twitter.com/petrogustavo","@petrogustavo")</f>
        <v>@petrogustavo</v>
      </c>
      <c r="C8189" s="5" t="s">
        <v>16</v>
      </c>
      <c r="D8189" s="5" t="s">
        <v>7898</v>
      </c>
      <c r="E8189" s="6" t="str">
        <f>HYPERLINK("https://twitter.com/petrogustavo/status/1289595449125613569","1289595449125613569")</f>
        <v>1289595449125613569</v>
      </c>
      <c r="F8189" s="7" t="s">
        <v>17</v>
      </c>
      <c r="G8189" s="7">
        <v>3917641</v>
      </c>
      <c r="H8189" s="7">
        <v>2423</v>
      </c>
      <c r="I8189" s="7">
        <v>27</v>
      </c>
      <c r="J8189" s="7">
        <v>65</v>
      </c>
      <c r="K8189" s="7" t="s">
        <v>18</v>
      </c>
      <c r="L8189" s="8">
        <v>39987.315405092595</v>
      </c>
      <c r="M8189" s="9" t="s">
        <v>19</v>
      </c>
      <c r="N8189" s="9" t="s">
        <v>20</v>
      </c>
      <c r="O8189" s="6" t="str">
        <f>HYPERLINK("https://pbs.twimg.com/profile_images/962471262747529216/Uo8lOkRJ_normal.jpg","View")</f>
        <v>View</v>
      </c>
      <c r="P8189" s="7"/>
    </row>
    <row r="8190" spans="1:16">
      <c r="A8190" s="3">
        <v>44044.914756944447</v>
      </c>
      <c r="B8190" s="4" t="str">
        <f>HYPERLINK("https://twitter.com/petrogustavo","@petrogustavo")</f>
        <v>@petrogustavo</v>
      </c>
      <c r="C8190" s="5" t="s">
        <v>16</v>
      </c>
      <c r="D8190" s="5" t="s">
        <v>7899</v>
      </c>
      <c r="E8190" s="6" t="str">
        <f>HYPERLINK("https://twitter.com/petrogustavo/status/1289598579145924608","1289598579145924608")</f>
        <v>1289598579145924608</v>
      </c>
      <c r="F8190" s="7" t="s">
        <v>17</v>
      </c>
      <c r="G8190" s="7">
        <v>3917655</v>
      </c>
      <c r="H8190" s="7">
        <v>2423</v>
      </c>
      <c r="I8190" s="7">
        <v>167</v>
      </c>
      <c r="J8190" s="7">
        <v>433</v>
      </c>
      <c r="K8190" s="7" t="s">
        <v>18</v>
      </c>
      <c r="L8190" s="8">
        <v>39987.315405092595</v>
      </c>
      <c r="M8190" s="9" t="s">
        <v>19</v>
      </c>
      <c r="N8190" s="9" t="s">
        <v>20</v>
      </c>
      <c r="O8190" s="6" t="str">
        <f>HYPERLINK("https://pbs.twimg.com/profile_images/962471262747529216/Uo8lOkRJ_normal.jpg","View")</f>
        <v>View</v>
      </c>
      <c r="P8190" s="7"/>
    </row>
    <row r="8191" spans="1:16">
      <c r="A8191" s="3">
        <v>44044.917349537034</v>
      </c>
      <c r="B8191" s="4" t="str">
        <f>HYPERLINK("https://twitter.com/petrogustavo","@petrogustavo")</f>
        <v>@petrogustavo</v>
      </c>
      <c r="C8191" s="5" t="s">
        <v>16</v>
      </c>
      <c r="D8191" s="5" t="s">
        <v>7900</v>
      </c>
      <c r="E8191" s="6" t="str">
        <f>HYPERLINK("https://twitter.com/petrogustavo/status/1289599519454199808","1289599519454199808")</f>
        <v>1289599519454199808</v>
      </c>
      <c r="F8191" s="7" t="s">
        <v>17</v>
      </c>
      <c r="G8191" s="7">
        <v>3917655</v>
      </c>
      <c r="H8191" s="7">
        <v>2423</v>
      </c>
      <c r="I8191" s="7">
        <v>71</v>
      </c>
      <c r="J8191" s="7">
        <v>175</v>
      </c>
      <c r="K8191" s="7" t="s">
        <v>18</v>
      </c>
      <c r="L8191" s="8">
        <v>39987.315405092595</v>
      </c>
      <c r="M8191" s="9" t="s">
        <v>19</v>
      </c>
      <c r="N8191" s="9" t="s">
        <v>20</v>
      </c>
      <c r="O8191" s="6" t="str">
        <f>HYPERLINK("https://pbs.twimg.com/profile_images/962471262747529216/Uo8lOkRJ_normal.jpg","View")</f>
        <v>View</v>
      </c>
      <c r="P8191" s="7"/>
    </row>
    <row r="8192" spans="1:16">
      <c r="A8192" s="3">
        <v>44044.922523148147</v>
      </c>
      <c r="B8192" s="4" t="str">
        <f>HYPERLINK("https://twitter.com/petrogustavo","@petrogustavo")</f>
        <v>@petrogustavo</v>
      </c>
      <c r="C8192" s="5" t="s">
        <v>16</v>
      </c>
      <c r="D8192" s="5" t="s">
        <v>7901</v>
      </c>
      <c r="E8192" s="6" t="str">
        <f>HYPERLINK("https://twitter.com/petrogustavo/status/1289601395042074624","1289601395042074624")</f>
        <v>1289601395042074624</v>
      </c>
      <c r="F8192" s="7" t="s">
        <v>17</v>
      </c>
      <c r="G8192" s="7">
        <v>3917655</v>
      </c>
      <c r="H8192" s="7">
        <v>2423</v>
      </c>
      <c r="I8192" s="7">
        <v>167</v>
      </c>
      <c r="J8192" s="7">
        <v>0</v>
      </c>
      <c r="K8192" s="7" t="s">
        <v>18</v>
      </c>
      <c r="L8192" s="8">
        <v>39987.315405092595</v>
      </c>
      <c r="M8192" s="9" t="s">
        <v>19</v>
      </c>
      <c r="N8192" s="9" t="s">
        <v>20</v>
      </c>
      <c r="O8192" s="6" t="str">
        <f>HYPERLINK("https://pbs.twimg.com/profile_images/962471262747529216/Uo8lOkRJ_normal.jpg","View")</f>
        <v>View</v>
      </c>
      <c r="P8192" s="7"/>
    </row>
    <row r="8193" spans="1:16">
      <c r="A8193" s="3">
        <v>44044.937256944446</v>
      </c>
      <c r="B8193" s="4" t="str">
        <f>HYPERLINK("https://twitter.com/petrogustavo","@petrogustavo")</f>
        <v>@petrogustavo</v>
      </c>
      <c r="C8193" s="5" t="s">
        <v>16</v>
      </c>
      <c r="D8193" s="5" t="s">
        <v>7902</v>
      </c>
      <c r="E8193" s="6" t="str">
        <f>HYPERLINK("https://twitter.com/petrogustavo/status/1289606732482715648","1289606732482715648")</f>
        <v>1289606732482715648</v>
      </c>
      <c r="F8193" s="7" t="s">
        <v>17</v>
      </c>
      <c r="G8193" s="7">
        <v>3917671</v>
      </c>
      <c r="H8193" s="7">
        <v>2423</v>
      </c>
      <c r="I8193" s="7">
        <v>46</v>
      </c>
      <c r="J8193" s="7">
        <v>99</v>
      </c>
      <c r="K8193" s="7" t="s">
        <v>18</v>
      </c>
      <c r="L8193" s="8">
        <v>39987.315405092595</v>
      </c>
      <c r="M8193" s="9" t="s">
        <v>19</v>
      </c>
      <c r="N8193" s="9" t="s">
        <v>20</v>
      </c>
      <c r="O8193" s="6" t="str">
        <f>HYPERLINK("https://pbs.twimg.com/profile_images/962471262747529216/Uo8lOkRJ_normal.jpg","View")</f>
        <v>View</v>
      </c>
      <c r="P8193" s="7"/>
    </row>
    <row r="8194" spans="1:16">
      <c r="A8194" s="3">
        <v>44044.947534722218</v>
      </c>
      <c r="B8194" s="4" t="str">
        <f>HYPERLINK("https://twitter.com/petrogustavo","@petrogustavo")</f>
        <v>@petrogustavo</v>
      </c>
      <c r="C8194" s="5" t="s">
        <v>16</v>
      </c>
      <c r="D8194" s="5" t="s">
        <v>7903</v>
      </c>
      <c r="E8194" s="6" t="str">
        <f>HYPERLINK("https://twitter.com/petrogustavo/status/1289610458870067201","1289610458870067201")</f>
        <v>1289610458870067201</v>
      </c>
      <c r="F8194" s="7" t="s">
        <v>17</v>
      </c>
      <c r="G8194" s="7">
        <v>3917671</v>
      </c>
      <c r="H8194" s="7">
        <v>2423</v>
      </c>
      <c r="I8194" s="7">
        <v>15</v>
      </c>
      <c r="J8194" s="7">
        <v>46</v>
      </c>
      <c r="K8194" s="7" t="s">
        <v>18</v>
      </c>
      <c r="L8194" s="8">
        <v>39987.315405092595</v>
      </c>
      <c r="M8194" s="9" t="s">
        <v>19</v>
      </c>
      <c r="N8194" s="9" t="s">
        <v>20</v>
      </c>
      <c r="O8194" s="6" t="str">
        <f>HYPERLINK("https://pbs.twimg.com/profile_images/962471262747529216/Uo8lOkRJ_normal.jpg","View")</f>
        <v>View</v>
      </c>
      <c r="P8194" s="7"/>
    </row>
    <row r="8195" spans="1:16">
      <c r="A8195" s="3">
        <v>44044.982349537036</v>
      </c>
      <c r="B8195" s="4" t="str">
        <f>HYPERLINK("https://twitter.com/petrogustavo","@petrogustavo")</f>
        <v>@petrogustavo</v>
      </c>
      <c r="C8195" s="5" t="s">
        <v>16</v>
      </c>
      <c r="D8195" s="5" t="s">
        <v>7904</v>
      </c>
      <c r="E8195" s="6" t="str">
        <f>HYPERLINK("https://twitter.com/petrogustavo/status/1289623074959060992","1289623074959060992")</f>
        <v>1289623074959060992</v>
      </c>
      <c r="F8195" s="7" t="s">
        <v>17</v>
      </c>
      <c r="G8195" s="7">
        <v>3917700</v>
      </c>
      <c r="H8195" s="7">
        <v>2423</v>
      </c>
      <c r="I8195" s="7">
        <v>71</v>
      </c>
      <c r="J8195" s="7">
        <v>0</v>
      </c>
      <c r="K8195" s="7" t="s">
        <v>18</v>
      </c>
      <c r="L8195" s="8">
        <v>39987.315405092595</v>
      </c>
      <c r="M8195" s="9" t="s">
        <v>19</v>
      </c>
      <c r="N8195" s="9" t="s">
        <v>20</v>
      </c>
      <c r="O8195" s="6" t="str">
        <f>HYPERLINK("https://pbs.twimg.com/profile_images/962471262747529216/Uo8lOkRJ_normal.jpg","View")</f>
        <v>View</v>
      </c>
      <c r="P8195" s="7"/>
    </row>
    <row r="8196" spans="1:16">
      <c r="A8196" s="3">
        <v>44044.983217592591</v>
      </c>
      <c r="B8196" s="4" t="str">
        <f>HYPERLINK("https://twitter.com/petrogustavo","@petrogustavo")</f>
        <v>@petrogustavo</v>
      </c>
      <c r="C8196" s="5" t="s">
        <v>16</v>
      </c>
      <c r="D8196" s="5" t="s">
        <v>7905</v>
      </c>
      <c r="E8196" s="6" t="str">
        <f>HYPERLINK("https://twitter.com/petrogustavo/status/1289623390488268801","1289623390488268801")</f>
        <v>1289623390488268801</v>
      </c>
      <c r="F8196" s="7" t="s">
        <v>17</v>
      </c>
      <c r="G8196" s="7">
        <v>3917700</v>
      </c>
      <c r="H8196" s="7">
        <v>2423</v>
      </c>
      <c r="I8196" s="7">
        <v>15</v>
      </c>
      <c r="J8196" s="7">
        <v>0</v>
      </c>
      <c r="K8196" s="7" t="s">
        <v>18</v>
      </c>
      <c r="L8196" s="8">
        <v>39987.315405092595</v>
      </c>
      <c r="M8196" s="9" t="s">
        <v>19</v>
      </c>
      <c r="N8196" s="9" t="s">
        <v>20</v>
      </c>
      <c r="O8196" s="6" t="str">
        <f>HYPERLINK("https://pbs.twimg.com/profile_images/962471262747529216/Uo8lOkRJ_normal.jpg","View")</f>
        <v>View</v>
      </c>
      <c r="P8196" s="7"/>
    </row>
    <row r="8197" spans="1:16">
      <c r="A8197" s="3">
        <v>44044.989988425921</v>
      </c>
      <c r="B8197" s="4" t="str">
        <f>HYPERLINK("https://twitter.com/petrogustavo","@petrogustavo")</f>
        <v>@petrogustavo</v>
      </c>
      <c r="C8197" s="5" t="s">
        <v>16</v>
      </c>
      <c r="D8197" s="5" t="s">
        <v>7906</v>
      </c>
      <c r="E8197" s="6" t="str">
        <f>HYPERLINK("https://twitter.com/petrogustavo/status/1289625843451547651","1289625843451547651")</f>
        <v>1289625843451547651</v>
      </c>
      <c r="F8197" s="7" t="s">
        <v>17</v>
      </c>
      <c r="G8197" s="7">
        <v>3917700</v>
      </c>
      <c r="H8197" s="7">
        <v>2423</v>
      </c>
      <c r="I8197" s="7">
        <v>10</v>
      </c>
      <c r="J8197" s="7">
        <v>27</v>
      </c>
      <c r="K8197" s="7" t="s">
        <v>18</v>
      </c>
      <c r="L8197" s="8">
        <v>39987.315405092595</v>
      </c>
      <c r="M8197" s="9" t="s">
        <v>19</v>
      </c>
      <c r="N8197" s="9" t="s">
        <v>20</v>
      </c>
      <c r="O8197" s="6" t="str">
        <f>HYPERLINK("https://pbs.twimg.com/profile_images/962471262747529216/Uo8lOkRJ_normal.jpg","View")</f>
        <v>View</v>
      </c>
      <c r="P8197" s="7"/>
    </row>
    <row r="8198" spans="1:16">
      <c r="A8198" s="3">
        <v>44044.992210648154</v>
      </c>
      <c r="B8198" s="4" t="str">
        <f>HYPERLINK("https://twitter.com/petrogustavo","@petrogustavo")</f>
        <v>@petrogustavo</v>
      </c>
      <c r="C8198" s="5" t="s">
        <v>16</v>
      </c>
      <c r="D8198" s="5" t="s">
        <v>7907</v>
      </c>
      <c r="E8198" s="6" t="str">
        <f>HYPERLINK("https://twitter.com/petrogustavo/status/1289626646916419584","1289626646916419584")</f>
        <v>1289626646916419584</v>
      </c>
      <c r="F8198" s="7" t="s">
        <v>17</v>
      </c>
      <c r="G8198" s="7">
        <v>3917702</v>
      </c>
      <c r="H8198" s="7">
        <v>2422</v>
      </c>
      <c r="I8198" s="7">
        <v>79</v>
      </c>
      <c r="J8198" s="7">
        <v>169</v>
      </c>
      <c r="K8198" s="7" t="s">
        <v>18</v>
      </c>
      <c r="L8198" s="8">
        <v>39987.315405092595</v>
      </c>
      <c r="M8198" s="9" t="s">
        <v>19</v>
      </c>
      <c r="N8198" s="9" t="s">
        <v>20</v>
      </c>
      <c r="O8198" s="6" t="str">
        <f>HYPERLINK("https://pbs.twimg.com/profile_images/962471262747529216/Uo8lOkRJ_normal.jpg","View")</f>
        <v>View</v>
      </c>
      <c r="P8198" s="7"/>
    </row>
    <row r="8199" spans="1:16">
      <c r="A8199" s="3">
        <v>44044.995752314819</v>
      </c>
      <c r="B8199" s="4" t="str">
        <f>HYPERLINK("https://twitter.com/petrogustavo","@petrogustavo")</f>
        <v>@petrogustavo</v>
      </c>
      <c r="C8199" s="5" t="s">
        <v>16</v>
      </c>
      <c r="D8199" s="5" t="s">
        <v>7908</v>
      </c>
      <c r="E8199" s="6" t="str">
        <f>HYPERLINK("https://twitter.com/petrogustavo/status/1289627931917135872","1289627931917135872")</f>
        <v>1289627931917135872</v>
      </c>
      <c r="F8199" s="7" t="s">
        <v>17</v>
      </c>
      <c r="G8199" s="7">
        <v>3917702</v>
      </c>
      <c r="H8199" s="7">
        <v>2422</v>
      </c>
      <c r="I8199" s="7">
        <v>107</v>
      </c>
      <c r="J8199" s="7">
        <v>250</v>
      </c>
      <c r="K8199" s="7" t="s">
        <v>18</v>
      </c>
      <c r="L8199" s="8">
        <v>39987.315405092595</v>
      </c>
      <c r="M8199" s="9" t="s">
        <v>19</v>
      </c>
      <c r="N8199" s="9" t="s">
        <v>20</v>
      </c>
      <c r="O8199" s="6" t="str">
        <f>HYPERLINK("https://pbs.twimg.com/profile_images/962471262747529216/Uo8lOkRJ_normal.jpg","View")</f>
        <v>View</v>
      </c>
      <c r="P8199" s="7"/>
    </row>
    <row r="8200" spans="1:16">
      <c r="A8200" s="3">
        <v>44045.00981481481</v>
      </c>
      <c r="B8200" s="4" t="str">
        <f>HYPERLINK("https://twitter.com/petrogustavo","@petrogustavo")</f>
        <v>@petrogustavo</v>
      </c>
      <c r="C8200" s="5" t="s">
        <v>16</v>
      </c>
      <c r="D8200" s="5" t="s">
        <v>7909</v>
      </c>
      <c r="E8200" s="6" t="str">
        <f>HYPERLINK("https://twitter.com/petrogustavo/status/1289633024867352576","1289633024867352576")</f>
        <v>1289633024867352576</v>
      </c>
      <c r="F8200" s="7" t="s">
        <v>17</v>
      </c>
      <c r="G8200" s="7">
        <v>3917702</v>
      </c>
      <c r="H8200" s="7">
        <v>2422</v>
      </c>
      <c r="I8200" s="7">
        <v>13</v>
      </c>
      <c r="J8200" s="7">
        <v>28</v>
      </c>
      <c r="K8200" s="7" t="s">
        <v>18</v>
      </c>
      <c r="L8200" s="8">
        <v>39987.315405092595</v>
      </c>
      <c r="M8200" s="9" t="s">
        <v>19</v>
      </c>
      <c r="N8200" s="9" t="s">
        <v>20</v>
      </c>
      <c r="O8200" s="6" t="str">
        <f>HYPERLINK("https://pbs.twimg.com/profile_images/962471262747529216/Uo8lOkRJ_normal.jpg","View")</f>
        <v>View</v>
      </c>
      <c r="P8200" s="7"/>
    </row>
    <row r="8201" spans="1:16">
      <c r="A8201" s="3">
        <v>44045.011712962965</v>
      </c>
      <c r="B8201" s="4" t="str">
        <f>HYPERLINK("https://twitter.com/petrogustavo","@petrogustavo")</f>
        <v>@petrogustavo</v>
      </c>
      <c r="C8201" s="5" t="s">
        <v>16</v>
      </c>
      <c r="D8201" s="5" t="s">
        <v>7910</v>
      </c>
      <c r="E8201" s="6" t="str">
        <f>HYPERLINK("https://twitter.com/petrogustavo/status/1289633713840459781","1289633713840459781")</f>
        <v>1289633713840459781</v>
      </c>
      <c r="F8201" s="7" t="s">
        <v>17</v>
      </c>
      <c r="G8201" s="7">
        <v>3917702</v>
      </c>
      <c r="H8201" s="7">
        <v>2422</v>
      </c>
      <c r="I8201" s="7">
        <v>0</v>
      </c>
      <c r="J8201" s="7">
        <v>2</v>
      </c>
      <c r="K8201" s="7" t="s">
        <v>18</v>
      </c>
      <c r="L8201" s="8">
        <v>39987.315405092595</v>
      </c>
      <c r="M8201" s="9" t="s">
        <v>19</v>
      </c>
      <c r="N8201" s="9" t="s">
        <v>20</v>
      </c>
      <c r="O8201" s="6" t="str">
        <f>HYPERLINK("https://pbs.twimg.com/profile_images/962471262747529216/Uo8lOkRJ_normal.jpg","View")</f>
        <v>View</v>
      </c>
      <c r="P8201" s="7"/>
    </row>
    <row r="8202" spans="1:16">
      <c r="A8202" s="3">
        <v>44045.012835648144</v>
      </c>
      <c r="B8202" s="4" t="str">
        <f>HYPERLINK("https://twitter.com/petrogustavo","@petrogustavo")</f>
        <v>@petrogustavo</v>
      </c>
      <c r="C8202" s="5" t="s">
        <v>16</v>
      </c>
      <c r="D8202" s="5" t="s">
        <v>7911</v>
      </c>
      <c r="E8202" s="6" t="str">
        <f>HYPERLINK("https://twitter.com/petrogustavo/status/1289634121208102913","1289634121208102913")</f>
        <v>1289634121208102913</v>
      </c>
      <c r="F8202" s="7" t="s">
        <v>17</v>
      </c>
      <c r="G8202" s="7">
        <v>3917726</v>
      </c>
      <c r="H8202" s="7">
        <v>2422</v>
      </c>
      <c r="I8202" s="7">
        <v>28</v>
      </c>
      <c r="J8202" s="7">
        <v>59</v>
      </c>
      <c r="K8202" s="7" t="s">
        <v>18</v>
      </c>
      <c r="L8202" s="8">
        <v>39987.315405092595</v>
      </c>
      <c r="M8202" s="9" t="s">
        <v>19</v>
      </c>
      <c r="N8202" s="9" t="s">
        <v>20</v>
      </c>
      <c r="O8202" s="6" t="str">
        <f>HYPERLINK("https://pbs.twimg.com/profile_images/962471262747529216/Uo8lOkRJ_normal.jpg","View")</f>
        <v>View</v>
      </c>
      <c r="P8202" s="7"/>
    </row>
    <row r="8203" spans="1:16">
      <c r="A8203" s="3">
        <v>44045.022557870368</v>
      </c>
      <c r="B8203" s="4" t="str">
        <f>HYPERLINK("https://twitter.com/petrogustavo","@petrogustavo")</f>
        <v>@petrogustavo</v>
      </c>
      <c r="C8203" s="5" t="s">
        <v>16</v>
      </c>
      <c r="D8203" s="5" t="s">
        <v>7912</v>
      </c>
      <c r="E8203" s="6" t="str">
        <f>HYPERLINK("https://twitter.com/petrogustavo/status/1289637643009974273","1289637643009974273")</f>
        <v>1289637643009974273</v>
      </c>
      <c r="F8203" s="7" t="s">
        <v>17</v>
      </c>
      <c r="G8203" s="7">
        <v>3917726</v>
      </c>
      <c r="H8203" s="7">
        <v>2422</v>
      </c>
      <c r="I8203" s="7">
        <v>67</v>
      </c>
      <c r="J8203" s="7">
        <v>166</v>
      </c>
      <c r="K8203" s="7" t="s">
        <v>18</v>
      </c>
      <c r="L8203" s="8">
        <v>39987.315405092595</v>
      </c>
      <c r="M8203" s="9" t="s">
        <v>19</v>
      </c>
      <c r="N8203" s="9" t="s">
        <v>20</v>
      </c>
      <c r="O8203" s="6" t="str">
        <f>HYPERLINK("https://pbs.twimg.com/profile_images/962471262747529216/Uo8lOkRJ_normal.jpg","View")</f>
        <v>View</v>
      </c>
      <c r="P8203" s="7"/>
    </row>
    <row r="8204" spans="1:16">
      <c r="A8204" s="3">
        <v>44045.039270833338</v>
      </c>
      <c r="B8204" s="4" t="str">
        <f>HYPERLINK("https://twitter.com/petrogustavo","@petrogustavo")</f>
        <v>@petrogustavo</v>
      </c>
      <c r="C8204" s="5" t="s">
        <v>16</v>
      </c>
      <c r="D8204" s="5" t="s">
        <v>7913</v>
      </c>
      <c r="E8204" s="6" t="str">
        <f>HYPERLINK("https://twitter.com/petrogustavo/status/1289643699496873984","1289643699496873984")</f>
        <v>1289643699496873984</v>
      </c>
      <c r="F8204" s="7" t="s">
        <v>17</v>
      </c>
      <c r="G8204" s="7">
        <v>3917750</v>
      </c>
      <c r="H8204" s="7">
        <v>2422</v>
      </c>
      <c r="I8204" s="7">
        <v>84</v>
      </c>
      <c r="J8204" s="7">
        <v>223</v>
      </c>
      <c r="K8204" s="7" t="s">
        <v>18</v>
      </c>
      <c r="L8204" s="8">
        <v>39987.315405092595</v>
      </c>
      <c r="M8204" s="9" t="s">
        <v>19</v>
      </c>
      <c r="N8204" s="9" t="s">
        <v>20</v>
      </c>
      <c r="O8204" s="6" t="str">
        <f>HYPERLINK("https://pbs.twimg.com/profile_images/962471262747529216/Uo8lOkRJ_normal.jpg","View")</f>
        <v>View</v>
      </c>
      <c r="P8204" s="7"/>
    </row>
    <row r="8205" spans="1:16">
      <c r="A8205" s="3">
        <v>44045.043043981481</v>
      </c>
      <c r="B8205" s="4" t="str">
        <f>HYPERLINK("https://twitter.com/petrogustavo","@petrogustavo")</f>
        <v>@petrogustavo</v>
      </c>
      <c r="C8205" s="5" t="s">
        <v>16</v>
      </c>
      <c r="D8205" s="5" t="s">
        <v>7914</v>
      </c>
      <c r="E8205" s="6" t="str">
        <f>HYPERLINK("https://twitter.com/petrogustavo/status/1289645069826428928","1289645069826428928")</f>
        <v>1289645069826428928</v>
      </c>
      <c r="F8205" s="7" t="s">
        <v>17</v>
      </c>
      <c r="G8205" s="7">
        <v>3917750</v>
      </c>
      <c r="H8205" s="7">
        <v>2422</v>
      </c>
      <c r="I8205" s="7">
        <v>130</v>
      </c>
      <c r="J8205" s="7">
        <v>369</v>
      </c>
      <c r="K8205" s="7" t="s">
        <v>18</v>
      </c>
      <c r="L8205" s="8">
        <v>39987.315405092595</v>
      </c>
      <c r="M8205" s="9" t="s">
        <v>19</v>
      </c>
      <c r="N8205" s="9" t="s">
        <v>20</v>
      </c>
      <c r="O8205" s="6" t="str">
        <f>HYPERLINK("https://pbs.twimg.com/profile_images/962471262747529216/Uo8lOkRJ_normal.jpg","View")</f>
        <v>View</v>
      </c>
      <c r="P8205" s="7"/>
    </row>
    <row r="8206" spans="1:16">
      <c r="A8206" s="3">
        <v>44045.043726851851</v>
      </c>
      <c r="B8206" s="4" t="str">
        <f>HYPERLINK("https://twitter.com/petrogustavo","@petrogustavo")</f>
        <v>@petrogustavo</v>
      </c>
      <c r="C8206" s="5" t="s">
        <v>16</v>
      </c>
      <c r="D8206" s="5" t="s">
        <v>7901</v>
      </c>
      <c r="E8206" s="6" t="str">
        <f>HYPERLINK("https://twitter.com/petrogustavo/status/1289645318225588227","1289645318225588227")</f>
        <v>1289645318225588227</v>
      </c>
      <c r="F8206" s="7" t="s">
        <v>17</v>
      </c>
      <c r="G8206" s="7">
        <v>3917750</v>
      </c>
      <c r="H8206" s="7">
        <v>2422</v>
      </c>
      <c r="I8206" s="7">
        <v>804</v>
      </c>
      <c r="J8206" s="7">
        <v>0</v>
      </c>
      <c r="K8206" s="7" t="s">
        <v>18</v>
      </c>
      <c r="L8206" s="8">
        <v>39987.315405092595</v>
      </c>
      <c r="M8206" s="9" t="s">
        <v>19</v>
      </c>
      <c r="N8206" s="9" t="s">
        <v>20</v>
      </c>
      <c r="O8206" s="6" t="str">
        <f>HYPERLINK("https://pbs.twimg.com/profile_images/962471262747529216/Uo8lOkRJ_normal.jpg","View")</f>
        <v>View</v>
      </c>
      <c r="P8206" s="7"/>
    </row>
    <row r="8207" spans="1:16">
      <c r="A8207" s="3">
        <v>44045.052141203705</v>
      </c>
      <c r="B8207" s="4" t="str">
        <f>HYPERLINK("https://twitter.com/petrogustavo","@petrogustavo")</f>
        <v>@petrogustavo</v>
      </c>
      <c r="C8207" s="5" t="s">
        <v>16</v>
      </c>
      <c r="D8207" s="5" t="s">
        <v>7915</v>
      </c>
      <c r="E8207" s="6" t="str">
        <f>HYPERLINK("https://twitter.com/petrogustavo/status/1289648365882335232","1289648365882335232")</f>
        <v>1289648365882335232</v>
      </c>
      <c r="F8207" s="7" t="s">
        <v>17</v>
      </c>
      <c r="G8207" s="7">
        <v>3917750</v>
      </c>
      <c r="H8207" s="7">
        <v>2422</v>
      </c>
      <c r="I8207" s="7">
        <v>19</v>
      </c>
      <c r="J8207" s="7">
        <v>47</v>
      </c>
      <c r="K8207" s="7" t="s">
        <v>18</v>
      </c>
      <c r="L8207" s="8">
        <v>39987.315405092595</v>
      </c>
      <c r="M8207" s="9" t="s">
        <v>19</v>
      </c>
      <c r="N8207" s="9" t="s">
        <v>20</v>
      </c>
      <c r="O8207" s="6" t="str">
        <f>HYPERLINK("https://pbs.twimg.com/profile_images/962471262747529216/Uo8lOkRJ_normal.jpg","View")</f>
        <v>View</v>
      </c>
      <c r="P8207" s="7"/>
    </row>
    <row r="8208" spans="1:16">
      <c r="A8208" s="3">
        <v>44045.765185185184</v>
      </c>
      <c r="B8208" s="4" t="str">
        <f>HYPERLINK("https://twitter.com/petrogustavo","@petrogustavo")</f>
        <v>@petrogustavo</v>
      </c>
      <c r="C8208" s="5" t="s">
        <v>16</v>
      </c>
      <c r="D8208" s="5" t="s">
        <v>7916</v>
      </c>
      <c r="E8208" s="6" t="str">
        <f>HYPERLINK("https://twitter.com/petrogustavo/status/1289906764872183810","1289906764872183810")</f>
        <v>1289906764872183810</v>
      </c>
      <c r="F8208" s="7" t="s">
        <v>17</v>
      </c>
      <c r="G8208" s="7">
        <v>3918131</v>
      </c>
      <c r="H8208" s="7">
        <v>2421</v>
      </c>
      <c r="I8208" s="7">
        <v>54</v>
      </c>
      <c r="J8208" s="7">
        <v>0</v>
      </c>
      <c r="K8208" s="7" t="s">
        <v>18</v>
      </c>
      <c r="L8208" s="8">
        <v>39987.315405092595</v>
      </c>
      <c r="M8208" s="9" t="s">
        <v>19</v>
      </c>
      <c r="N8208" s="9" t="s">
        <v>20</v>
      </c>
      <c r="O8208" s="6" t="str">
        <f>HYPERLINK("https://pbs.twimg.com/profile_images/962471262747529216/Uo8lOkRJ_normal.jpg","View")</f>
        <v>View</v>
      </c>
      <c r="P8208" s="7"/>
    </row>
    <row r="8209" spans="1:16">
      <c r="A8209" s="3">
        <v>44045.765243055561</v>
      </c>
      <c r="B8209" s="4" t="str">
        <f>HYPERLINK("https://twitter.com/petrogustavo","@petrogustavo")</f>
        <v>@petrogustavo</v>
      </c>
      <c r="C8209" s="5" t="s">
        <v>16</v>
      </c>
      <c r="D8209" s="5" t="s">
        <v>7917</v>
      </c>
      <c r="E8209" s="6" t="str">
        <f>HYPERLINK("https://twitter.com/petrogustavo/status/1289906784312766466","1289906784312766466")</f>
        <v>1289906784312766466</v>
      </c>
      <c r="F8209" s="7" t="s">
        <v>17</v>
      </c>
      <c r="G8209" s="7">
        <v>3918131</v>
      </c>
      <c r="H8209" s="7">
        <v>2421</v>
      </c>
      <c r="I8209" s="7">
        <v>467</v>
      </c>
      <c r="J8209" s="7">
        <v>0</v>
      </c>
      <c r="K8209" s="7" t="s">
        <v>18</v>
      </c>
      <c r="L8209" s="8">
        <v>39987.315405092595</v>
      </c>
      <c r="M8209" s="9" t="s">
        <v>19</v>
      </c>
      <c r="N8209" s="9" t="s">
        <v>20</v>
      </c>
      <c r="O8209" s="6" t="str">
        <f>HYPERLINK("https://pbs.twimg.com/profile_images/962471262747529216/Uo8lOkRJ_normal.jpg","View")</f>
        <v>View</v>
      </c>
      <c r="P8209" s="7"/>
    </row>
    <row r="8210" spans="1:16">
      <c r="A8210" s="3">
        <v>44045.775578703702</v>
      </c>
      <c r="B8210" s="4" t="str">
        <f>HYPERLINK("https://twitter.com/petrogustavo","@petrogustavo")</f>
        <v>@petrogustavo</v>
      </c>
      <c r="C8210" s="5" t="s">
        <v>16</v>
      </c>
      <c r="D8210" s="5" t="s">
        <v>7918</v>
      </c>
      <c r="E8210" s="6" t="str">
        <f>HYPERLINK("https://twitter.com/petrogustavo/status/1289910530686070788","1289910530686070788")</f>
        <v>1289910530686070788</v>
      </c>
      <c r="F8210" s="7" t="s">
        <v>17</v>
      </c>
      <c r="G8210" s="7">
        <v>3918149</v>
      </c>
      <c r="H8210" s="7">
        <v>2421</v>
      </c>
      <c r="I8210" s="7">
        <v>127</v>
      </c>
      <c r="J8210" s="7">
        <v>267</v>
      </c>
      <c r="K8210" s="7" t="s">
        <v>18</v>
      </c>
      <c r="L8210" s="8">
        <v>39987.315405092595</v>
      </c>
      <c r="M8210" s="9" t="s">
        <v>19</v>
      </c>
      <c r="N8210" s="9" t="s">
        <v>20</v>
      </c>
      <c r="O8210" s="6" t="str">
        <f>HYPERLINK("https://pbs.twimg.com/profile_images/962471262747529216/Uo8lOkRJ_normal.jpg","View")</f>
        <v>View</v>
      </c>
      <c r="P8210" s="7"/>
    </row>
    <row r="8211" spans="1:16">
      <c r="A8211" s="3">
        <v>44045.781481481477</v>
      </c>
      <c r="B8211" s="4" t="str">
        <f>HYPERLINK("https://twitter.com/petrogustavo","@petrogustavo")</f>
        <v>@petrogustavo</v>
      </c>
      <c r="C8211" s="5" t="s">
        <v>16</v>
      </c>
      <c r="D8211" s="5" t="s">
        <v>7919</v>
      </c>
      <c r="E8211" s="6" t="str">
        <f>HYPERLINK("https://twitter.com/petrogustavo/status/1289912668011130881","1289912668011130881")</f>
        <v>1289912668011130881</v>
      </c>
      <c r="F8211" s="7" t="s">
        <v>17</v>
      </c>
      <c r="G8211" s="7">
        <v>3918149</v>
      </c>
      <c r="H8211" s="7">
        <v>2421</v>
      </c>
      <c r="I8211" s="7">
        <v>265</v>
      </c>
      <c r="J8211" s="7">
        <v>563</v>
      </c>
      <c r="K8211" s="7" t="s">
        <v>18</v>
      </c>
      <c r="L8211" s="8">
        <v>39987.315405092595</v>
      </c>
      <c r="M8211" s="9" t="s">
        <v>19</v>
      </c>
      <c r="N8211" s="9" t="s">
        <v>20</v>
      </c>
      <c r="O8211" s="6" t="str">
        <f>HYPERLINK("https://pbs.twimg.com/profile_images/962471262747529216/Uo8lOkRJ_normal.jpg","View")</f>
        <v>View</v>
      </c>
      <c r="P8211" s="7"/>
    </row>
    <row r="8212" spans="1:16">
      <c r="A8212" s="3">
        <v>44045.781898148147</v>
      </c>
      <c r="B8212" s="4" t="str">
        <f>HYPERLINK("https://twitter.com/petrogustavo","@petrogustavo")</f>
        <v>@petrogustavo</v>
      </c>
      <c r="C8212" s="5" t="s">
        <v>16</v>
      </c>
      <c r="D8212" s="5" t="s">
        <v>7920</v>
      </c>
      <c r="E8212" s="6" t="str">
        <f>HYPERLINK("https://twitter.com/petrogustavo/status/1289912819735883777","1289912819735883777")</f>
        <v>1289912819735883777</v>
      </c>
      <c r="F8212" s="7" t="s">
        <v>17</v>
      </c>
      <c r="G8212" s="7">
        <v>3918149</v>
      </c>
      <c r="H8212" s="7">
        <v>2421</v>
      </c>
      <c r="I8212" s="7">
        <v>2325</v>
      </c>
      <c r="J8212" s="7">
        <v>0</v>
      </c>
      <c r="K8212" s="7" t="s">
        <v>18</v>
      </c>
      <c r="L8212" s="8">
        <v>39987.315405092595</v>
      </c>
      <c r="M8212" s="9" t="s">
        <v>19</v>
      </c>
      <c r="N8212" s="9" t="s">
        <v>20</v>
      </c>
      <c r="O8212" s="6" t="str">
        <f>HYPERLINK("https://pbs.twimg.com/profile_images/962471262747529216/Uo8lOkRJ_normal.jpg","View")</f>
        <v>View</v>
      </c>
      <c r="P8212" s="7"/>
    </row>
    <row r="8213" spans="1:16">
      <c r="A8213" s="3">
        <v>44045.787129629629</v>
      </c>
      <c r="B8213" s="4" t="str">
        <f>HYPERLINK("https://twitter.com/petrogustavo","@petrogustavo")</f>
        <v>@petrogustavo</v>
      </c>
      <c r="C8213" s="5" t="s">
        <v>16</v>
      </c>
      <c r="D8213" s="5" t="s">
        <v>7921</v>
      </c>
      <c r="E8213" s="6" t="str">
        <f>HYPERLINK("https://twitter.com/petrogustavo/status/1289914718128353280","1289914718128353280")</f>
        <v>1289914718128353280</v>
      </c>
      <c r="F8213" s="7" t="s">
        <v>17</v>
      </c>
      <c r="G8213" s="7">
        <v>3918149</v>
      </c>
      <c r="H8213" s="7">
        <v>2421</v>
      </c>
      <c r="I8213" s="7">
        <v>91</v>
      </c>
      <c r="J8213" s="7">
        <v>237</v>
      </c>
      <c r="K8213" s="7" t="s">
        <v>18</v>
      </c>
      <c r="L8213" s="8">
        <v>39987.315405092595</v>
      </c>
      <c r="M8213" s="9" t="s">
        <v>19</v>
      </c>
      <c r="N8213" s="9" t="s">
        <v>20</v>
      </c>
      <c r="O8213" s="6" t="str">
        <f>HYPERLINK("https://pbs.twimg.com/profile_images/962471262747529216/Uo8lOkRJ_normal.jpg","View")</f>
        <v>View</v>
      </c>
      <c r="P8213" s="7"/>
    </row>
    <row r="8214" spans="1:16">
      <c r="A8214" s="3">
        <v>44045.793657407412</v>
      </c>
      <c r="B8214" s="4" t="str">
        <f>HYPERLINK("https://twitter.com/petrogustavo","@petrogustavo")</f>
        <v>@petrogustavo</v>
      </c>
      <c r="C8214" s="5" t="s">
        <v>16</v>
      </c>
      <c r="D8214" s="5" t="s">
        <v>7922</v>
      </c>
      <c r="E8214" s="6" t="str">
        <f>HYPERLINK("https://twitter.com/petrogustavo/status/1289917082105044992","1289917082105044992")</f>
        <v>1289917082105044992</v>
      </c>
      <c r="F8214" s="7" t="s">
        <v>17</v>
      </c>
      <c r="G8214" s="7">
        <v>3918149</v>
      </c>
      <c r="H8214" s="7">
        <v>2421</v>
      </c>
      <c r="I8214" s="7">
        <v>0</v>
      </c>
      <c r="J8214" s="7">
        <v>2</v>
      </c>
      <c r="K8214" s="7" t="s">
        <v>18</v>
      </c>
      <c r="L8214" s="8">
        <v>39987.315405092595</v>
      </c>
      <c r="M8214" s="9" t="s">
        <v>19</v>
      </c>
      <c r="N8214" s="9" t="s">
        <v>20</v>
      </c>
      <c r="O8214" s="6" t="str">
        <f>HYPERLINK("https://pbs.twimg.com/profile_images/962471262747529216/Uo8lOkRJ_normal.jpg","View")</f>
        <v>View</v>
      </c>
      <c r="P8214" s="7"/>
    </row>
    <row r="8215" spans="1:16">
      <c r="A8215" s="3">
        <v>44045.794016203705</v>
      </c>
      <c r="B8215" s="4" t="str">
        <f>HYPERLINK("https://twitter.com/petrogustavo","@petrogustavo")</f>
        <v>@petrogustavo</v>
      </c>
      <c r="C8215" s="5" t="s">
        <v>16</v>
      </c>
      <c r="D8215" s="5" t="s">
        <v>7923</v>
      </c>
      <c r="E8215" s="6" t="str">
        <f>HYPERLINK("https://twitter.com/petrogustavo/status/1289917210371088391","1289917210371088391")</f>
        <v>1289917210371088391</v>
      </c>
      <c r="F8215" s="7" t="s">
        <v>17</v>
      </c>
      <c r="G8215" s="7">
        <v>3918161</v>
      </c>
      <c r="H8215" s="7">
        <v>2421</v>
      </c>
      <c r="I8215" s="7">
        <v>655</v>
      </c>
      <c r="J8215" s="7">
        <v>0</v>
      </c>
      <c r="K8215" s="7" t="s">
        <v>18</v>
      </c>
      <c r="L8215" s="8">
        <v>39987.315405092595</v>
      </c>
      <c r="M8215" s="9" t="s">
        <v>19</v>
      </c>
      <c r="N8215" s="9" t="s">
        <v>20</v>
      </c>
      <c r="O8215" s="6" t="str">
        <f>HYPERLINK("https://pbs.twimg.com/profile_images/962471262747529216/Uo8lOkRJ_normal.jpg","View")</f>
        <v>View</v>
      </c>
      <c r="P8215" s="7"/>
    </row>
    <row r="8216" spans="1:16">
      <c r="A8216" s="3">
        <v>44045.795902777776</v>
      </c>
      <c r="B8216" s="4" t="str">
        <f>HYPERLINK("https://twitter.com/petrogustavo","@petrogustavo")</f>
        <v>@petrogustavo</v>
      </c>
      <c r="C8216" s="5" t="s">
        <v>16</v>
      </c>
      <c r="D8216" s="5" t="s">
        <v>7924</v>
      </c>
      <c r="E8216" s="6" t="str">
        <f>HYPERLINK("https://twitter.com/petrogustavo/status/1289917895435141120","1289917895435141120")</f>
        <v>1289917895435141120</v>
      </c>
      <c r="F8216" s="7" t="s">
        <v>17</v>
      </c>
      <c r="G8216" s="7">
        <v>3918161</v>
      </c>
      <c r="H8216" s="7">
        <v>2421</v>
      </c>
      <c r="I8216" s="7">
        <v>51</v>
      </c>
      <c r="J8216" s="7">
        <v>106</v>
      </c>
      <c r="K8216" s="7" t="s">
        <v>18</v>
      </c>
      <c r="L8216" s="8">
        <v>39987.315405092595</v>
      </c>
      <c r="M8216" s="9" t="s">
        <v>19</v>
      </c>
      <c r="N8216" s="9" t="s">
        <v>20</v>
      </c>
      <c r="O8216" s="6" t="str">
        <f>HYPERLINK("https://pbs.twimg.com/profile_images/962471262747529216/Uo8lOkRJ_normal.jpg","View")</f>
        <v>View</v>
      </c>
      <c r="P8216" s="7"/>
    </row>
    <row r="8217" spans="1:16">
      <c r="A8217" s="3">
        <v>44045.800578703704</v>
      </c>
      <c r="B8217" s="4" t="str">
        <f>HYPERLINK("https://twitter.com/petrogustavo","@petrogustavo")</f>
        <v>@petrogustavo</v>
      </c>
      <c r="C8217" s="5" t="s">
        <v>16</v>
      </c>
      <c r="D8217" s="5" t="s">
        <v>7925</v>
      </c>
      <c r="E8217" s="6" t="str">
        <f>HYPERLINK("https://twitter.com/petrogustavo/status/1289919589376069634","1289919589376069634")</f>
        <v>1289919589376069634</v>
      </c>
      <c r="F8217" s="7" t="s">
        <v>17</v>
      </c>
      <c r="G8217" s="7">
        <v>3918161</v>
      </c>
      <c r="H8217" s="7">
        <v>2421</v>
      </c>
      <c r="I8217" s="7">
        <v>37</v>
      </c>
      <c r="J8217" s="7">
        <v>0</v>
      </c>
      <c r="K8217" s="7" t="s">
        <v>18</v>
      </c>
      <c r="L8217" s="8">
        <v>39987.315405092595</v>
      </c>
      <c r="M8217" s="9" t="s">
        <v>19</v>
      </c>
      <c r="N8217" s="9" t="s">
        <v>20</v>
      </c>
      <c r="O8217" s="6" t="str">
        <f>HYPERLINK("https://pbs.twimg.com/profile_images/962471262747529216/Uo8lOkRJ_normal.jpg","View")</f>
        <v>View</v>
      </c>
      <c r="P8217" s="7"/>
    </row>
    <row r="8218" spans="1:16">
      <c r="A8218" s="3">
        <v>44045.802812499998</v>
      </c>
      <c r="B8218" s="4" t="str">
        <f>HYPERLINK("https://twitter.com/petrogustavo","@petrogustavo")</f>
        <v>@petrogustavo</v>
      </c>
      <c r="C8218" s="5" t="s">
        <v>16</v>
      </c>
      <c r="D8218" s="5" t="s">
        <v>7926</v>
      </c>
      <c r="E8218" s="6" t="str">
        <f>HYPERLINK("https://twitter.com/petrogustavo/status/1289920400965632002","1289920400965632002")</f>
        <v>1289920400965632002</v>
      </c>
      <c r="F8218" s="7" t="s">
        <v>17</v>
      </c>
      <c r="G8218" s="7">
        <v>3918161</v>
      </c>
      <c r="H8218" s="7">
        <v>2421</v>
      </c>
      <c r="I8218" s="7">
        <v>222</v>
      </c>
      <c r="J8218" s="7">
        <v>636</v>
      </c>
      <c r="K8218" s="7" t="s">
        <v>18</v>
      </c>
      <c r="L8218" s="8">
        <v>39987.315405092595</v>
      </c>
      <c r="M8218" s="9" t="s">
        <v>19</v>
      </c>
      <c r="N8218" s="9" t="s">
        <v>20</v>
      </c>
      <c r="O8218" s="6" t="str">
        <f>HYPERLINK("https://pbs.twimg.com/profile_images/962471262747529216/Uo8lOkRJ_normal.jpg","View")</f>
        <v>View</v>
      </c>
      <c r="P8218" s="7"/>
    </row>
    <row r="8219" spans="1:16">
      <c r="A8219" s="3">
        <v>44045.80467592593</v>
      </c>
      <c r="B8219" s="4" t="str">
        <f>HYPERLINK("https://twitter.com/petrogustavo","@petrogustavo")</f>
        <v>@petrogustavo</v>
      </c>
      <c r="C8219" s="5" t="s">
        <v>16</v>
      </c>
      <c r="D8219" s="5" t="s">
        <v>7927</v>
      </c>
      <c r="E8219" s="6" t="str">
        <f>HYPERLINK("https://twitter.com/petrogustavo/status/1289921076957343745","1289921076957343745")</f>
        <v>1289921076957343745</v>
      </c>
      <c r="F8219" s="7" t="s">
        <v>17</v>
      </c>
      <c r="G8219" s="7">
        <v>3918161</v>
      </c>
      <c r="H8219" s="7">
        <v>2421</v>
      </c>
      <c r="I8219" s="7">
        <v>49</v>
      </c>
      <c r="J8219" s="7">
        <v>82</v>
      </c>
      <c r="K8219" s="7" t="s">
        <v>18</v>
      </c>
      <c r="L8219" s="8">
        <v>39987.315405092595</v>
      </c>
      <c r="M8219" s="9" t="s">
        <v>19</v>
      </c>
      <c r="N8219" s="9" t="s">
        <v>20</v>
      </c>
      <c r="O8219" s="6" t="str">
        <f>HYPERLINK("https://pbs.twimg.com/profile_images/962471262747529216/Uo8lOkRJ_normal.jpg","View")</f>
        <v>View</v>
      </c>
      <c r="P8219" s="7"/>
    </row>
    <row r="8220" spans="1:16">
      <c r="A8220" s="3">
        <v>44045.809652777782</v>
      </c>
      <c r="B8220" s="4" t="str">
        <f>HYPERLINK("https://twitter.com/petrogustavo","@petrogustavo")</f>
        <v>@petrogustavo</v>
      </c>
      <c r="C8220" s="5" t="s">
        <v>16</v>
      </c>
      <c r="D8220" s="5" t="s">
        <v>7928</v>
      </c>
      <c r="E8220" s="6" t="str">
        <f>HYPERLINK("https://twitter.com/petrogustavo/status/1289922879354736640","1289922879354736640")</f>
        <v>1289922879354736640</v>
      </c>
      <c r="F8220" s="7" t="s">
        <v>17</v>
      </c>
      <c r="G8220" s="7">
        <v>3918161</v>
      </c>
      <c r="H8220" s="7">
        <v>2421</v>
      </c>
      <c r="I8220" s="7">
        <v>260</v>
      </c>
      <c r="J8220" s="7">
        <v>0</v>
      </c>
      <c r="K8220" s="7" t="s">
        <v>18</v>
      </c>
      <c r="L8220" s="8">
        <v>39987.315405092595</v>
      </c>
      <c r="M8220" s="9" t="s">
        <v>19</v>
      </c>
      <c r="N8220" s="9" t="s">
        <v>20</v>
      </c>
      <c r="O8220" s="6" t="str">
        <f>HYPERLINK("https://pbs.twimg.com/profile_images/962471262747529216/Uo8lOkRJ_normal.jpg","View")</f>
        <v>View</v>
      </c>
      <c r="P8220" s="7"/>
    </row>
    <row r="8221" spans="1:16">
      <c r="A8221" s="3">
        <v>44045.810335648144</v>
      </c>
      <c r="B8221" s="4" t="str">
        <f>HYPERLINK("https://twitter.com/petrogustavo","@petrogustavo")</f>
        <v>@petrogustavo</v>
      </c>
      <c r="C8221" s="5" t="s">
        <v>16</v>
      </c>
      <c r="D8221" s="5" t="s">
        <v>7929</v>
      </c>
      <c r="E8221" s="6" t="str">
        <f>HYPERLINK("https://twitter.com/petrogustavo/status/1289923124352360449","1289923124352360449")</f>
        <v>1289923124352360449</v>
      </c>
      <c r="F8221" s="7" t="s">
        <v>17</v>
      </c>
      <c r="G8221" s="7">
        <v>3918161</v>
      </c>
      <c r="H8221" s="7">
        <v>2421</v>
      </c>
      <c r="I8221" s="7">
        <v>524</v>
      </c>
      <c r="J8221" s="7">
        <v>0</v>
      </c>
      <c r="K8221" s="7" t="s">
        <v>18</v>
      </c>
      <c r="L8221" s="8">
        <v>39987.315405092595</v>
      </c>
      <c r="M8221" s="9" t="s">
        <v>19</v>
      </c>
      <c r="N8221" s="9" t="s">
        <v>20</v>
      </c>
      <c r="O8221" s="6" t="str">
        <f>HYPERLINK("https://pbs.twimg.com/profile_images/962471262747529216/Uo8lOkRJ_normal.jpg","View")</f>
        <v>View</v>
      </c>
      <c r="P8221" s="7"/>
    </row>
    <row r="8222" spans="1:16">
      <c r="A8222" s="3">
        <v>44045.810520833329</v>
      </c>
      <c r="B8222" s="4" t="str">
        <f>HYPERLINK("https://twitter.com/petrogustavo","@petrogustavo")</f>
        <v>@petrogustavo</v>
      </c>
      <c r="C8222" s="5" t="s">
        <v>16</v>
      </c>
      <c r="D8222" s="5" t="s">
        <v>7930</v>
      </c>
      <c r="E8222" s="6" t="str">
        <f>HYPERLINK("https://twitter.com/petrogustavo/status/1289923193663131650","1289923193663131650")</f>
        <v>1289923193663131650</v>
      </c>
      <c r="F8222" s="7" t="s">
        <v>17</v>
      </c>
      <c r="G8222" s="7">
        <v>3918161</v>
      </c>
      <c r="H8222" s="7">
        <v>2421</v>
      </c>
      <c r="I8222" s="7">
        <v>207</v>
      </c>
      <c r="J8222" s="7">
        <v>0</v>
      </c>
      <c r="K8222" s="7" t="s">
        <v>18</v>
      </c>
      <c r="L8222" s="8">
        <v>39987.315405092595</v>
      </c>
      <c r="M8222" s="9" t="s">
        <v>19</v>
      </c>
      <c r="N8222" s="9" t="s">
        <v>20</v>
      </c>
      <c r="O8222" s="6" t="str">
        <f>HYPERLINK("https://pbs.twimg.com/profile_images/962471262747529216/Uo8lOkRJ_normal.jpg","View")</f>
        <v>View</v>
      </c>
      <c r="P8222" s="7"/>
    </row>
    <row r="8223" spans="1:16">
      <c r="A8223" s="3">
        <v>44045.810671296298</v>
      </c>
      <c r="B8223" s="4" t="str">
        <f>HYPERLINK("https://twitter.com/petrogustavo","@petrogustavo")</f>
        <v>@petrogustavo</v>
      </c>
      <c r="C8223" s="5" t="s">
        <v>16</v>
      </c>
      <c r="D8223" s="5" t="s">
        <v>7931</v>
      </c>
      <c r="E8223" s="6" t="str">
        <f>HYPERLINK("https://twitter.com/petrogustavo/status/1289923246981292036","1289923246981292036")</f>
        <v>1289923246981292036</v>
      </c>
      <c r="F8223" s="7" t="s">
        <v>17</v>
      </c>
      <c r="G8223" s="7">
        <v>3918161</v>
      </c>
      <c r="H8223" s="7">
        <v>2421</v>
      </c>
      <c r="I8223" s="7">
        <v>49</v>
      </c>
      <c r="J8223" s="7">
        <v>0</v>
      </c>
      <c r="K8223" s="7" t="s">
        <v>18</v>
      </c>
      <c r="L8223" s="8">
        <v>39987.315405092595</v>
      </c>
      <c r="M8223" s="9" t="s">
        <v>19</v>
      </c>
      <c r="N8223" s="9" t="s">
        <v>20</v>
      </c>
      <c r="O8223" s="6" t="str">
        <f>HYPERLINK("https://pbs.twimg.com/profile_images/962471262747529216/Uo8lOkRJ_normal.jpg","View")</f>
        <v>View</v>
      </c>
      <c r="P8223" s="7"/>
    </row>
    <row r="8224" spans="1:16">
      <c r="A8224" s="3">
        <v>44045.821458333332</v>
      </c>
      <c r="B8224" s="4" t="str">
        <f>HYPERLINK("https://twitter.com/petrogustavo","@petrogustavo")</f>
        <v>@petrogustavo</v>
      </c>
      <c r="C8224" s="5" t="s">
        <v>16</v>
      </c>
      <c r="D8224" s="5" t="s">
        <v>7932</v>
      </c>
      <c r="E8224" s="6" t="str">
        <f>HYPERLINK("https://twitter.com/petrogustavo/status/1289927158022852615","1289927158022852615")</f>
        <v>1289927158022852615</v>
      </c>
      <c r="F8224" s="7" t="s">
        <v>17</v>
      </c>
      <c r="G8224" s="7">
        <v>3918178</v>
      </c>
      <c r="H8224" s="7">
        <v>2421</v>
      </c>
      <c r="I8224" s="7">
        <v>96</v>
      </c>
      <c r="J8224" s="7">
        <v>227</v>
      </c>
      <c r="K8224" s="7" t="s">
        <v>18</v>
      </c>
      <c r="L8224" s="8">
        <v>39987.315405092595</v>
      </c>
      <c r="M8224" s="9" t="s">
        <v>19</v>
      </c>
      <c r="N8224" s="9" t="s">
        <v>20</v>
      </c>
      <c r="O8224" s="6" t="str">
        <f>HYPERLINK("https://pbs.twimg.com/profile_images/962471262747529216/Uo8lOkRJ_normal.jpg","View")</f>
        <v>View</v>
      </c>
      <c r="P8224" s="7"/>
    </row>
    <row r="8225" spans="1:16">
      <c r="A8225" s="3">
        <v>44045.823530092588</v>
      </c>
      <c r="B8225" s="4" t="str">
        <f>HYPERLINK("https://twitter.com/petrogustavo","@petrogustavo")</f>
        <v>@petrogustavo</v>
      </c>
      <c r="C8225" s="5" t="s">
        <v>16</v>
      </c>
      <c r="D8225" s="5" t="s">
        <v>7933</v>
      </c>
      <c r="E8225" s="6" t="str">
        <f>HYPERLINK("https://twitter.com/petrogustavo/status/1289927906295046149","1289927906295046149")</f>
        <v>1289927906295046149</v>
      </c>
      <c r="F8225" s="7" t="s">
        <v>17</v>
      </c>
      <c r="G8225" s="7">
        <v>3918178</v>
      </c>
      <c r="H8225" s="7">
        <v>2421</v>
      </c>
      <c r="I8225" s="7">
        <v>31</v>
      </c>
      <c r="J8225" s="7">
        <v>0</v>
      </c>
      <c r="K8225" s="7" t="s">
        <v>18</v>
      </c>
      <c r="L8225" s="8">
        <v>39987.315405092595</v>
      </c>
      <c r="M8225" s="9" t="s">
        <v>19</v>
      </c>
      <c r="N8225" s="9" t="s">
        <v>20</v>
      </c>
      <c r="O8225" s="6" t="str">
        <f>HYPERLINK("https://pbs.twimg.com/profile_images/962471262747529216/Uo8lOkRJ_normal.jpg","View")</f>
        <v>View</v>
      </c>
      <c r="P8225" s="7"/>
    </row>
    <row r="8226" spans="1:16">
      <c r="A8226" s="3">
        <v>44045.833032407405</v>
      </c>
      <c r="B8226" s="4" t="str">
        <f>HYPERLINK("https://twitter.com/petrogustavo","@petrogustavo")</f>
        <v>@petrogustavo</v>
      </c>
      <c r="C8226" s="5" t="s">
        <v>16</v>
      </c>
      <c r="D8226" s="5" t="s">
        <v>7934</v>
      </c>
      <c r="E8226" s="6" t="str">
        <f>HYPERLINK("https://twitter.com/petrogustavo/status/1289931352993935361","1289931352993935361")</f>
        <v>1289931352993935361</v>
      </c>
      <c r="F8226" s="7" t="s">
        <v>17</v>
      </c>
      <c r="G8226" s="7">
        <v>3918178</v>
      </c>
      <c r="H8226" s="7">
        <v>2421</v>
      </c>
      <c r="I8226" s="7">
        <v>18</v>
      </c>
      <c r="J8226" s="7">
        <v>49</v>
      </c>
      <c r="K8226" s="7" t="s">
        <v>18</v>
      </c>
      <c r="L8226" s="8">
        <v>39987.315405092595</v>
      </c>
      <c r="M8226" s="9" t="s">
        <v>19</v>
      </c>
      <c r="N8226" s="9" t="s">
        <v>20</v>
      </c>
      <c r="O8226" s="6" t="str">
        <f>HYPERLINK("https://pbs.twimg.com/profile_images/962471262747529216/Uo8lOkRJ_normal.jpg","View")</f>
        <v>View</v>
      </c>
      <c r="P8226" s="7"/>
    </row>
    <row r="8227" spans="1:16">
      <c r="A8227" s="3">
        <v>44045.896840277783</v>
      </c>
      <c r="B8227" s="4" t="str">
        <f>HYPERLINK("https://twitter.com/petrogustavo","@petrogustavo")</f>
        <v>@petrogustavo</v>
      </c>
      <c r="C8227" s="5" t="s">
        <v>16</v>
      </c>
      <c r="D8227" s="5" t="s">
        <v>7935</v>
      </c>
      <c r="E8227" s="6" t="str">
        <f>HYPERLINK("https://twitter.com/petrogustavo/status/1289954476233617408","1289954476233617408")</f>
        <v>1289954476233617408</v>
      </c>
      <c r="F8227" s="7" t="s">
        <v>17</v>
      </c>
      <c r="G8227" s="7">
        <v>3918230</v>
      </c>
      <c r="H8227" s="7">
        <v>2421</v>
      </c>
      <c r="I8227" s="7">
        <v>11</v>
      </c>
      <c r="J8227" s="7">
        <v>37</v>
      </c>
      <c r="K8227" s="7" t="s">
        <v>18</v>
      </c>
      <c r="L8227" s="8">
        <v>39987.315405092595</v>
      </c>
      <c r="M8227" s="9" t="s">
        <v>19</v>
      </c>
      <c r="N8227" s="9" t="s">
        <v>20</v>
      </c>
      <c r="O8227" s="6" t="str">
        <f>HYPERLINK("https://pbs.twimg.com/profile_images/962471262747529216/Uo8lOkRJ_normal.jpg","View")</f>
        <v>View</v>
      </c>
      <c r="P8227" s="7"/>
    </row>
    <row r="8228" spans="1:16">
      <c r="A8228" s="3">
        <v>44045.898877314816</v>
      </c>
      <c r="B8228" s="4" t="str">
        <f>HYPERLINK("https://twitter.com/petrogustavo","@petrogustavo")</f>
        <v>@petrogustavo</v>
      </c>
      <c r="C8228" s="5" t="s">
        <v>16</v>
      </c>
      <c r="D8228" s="5" t="s">
        <v>7936</v>
      </c>
      <c r="E8228" s="6" t="str">
        <f>HYPERLINK("https://twitter.com/petrogustavo/status/1289955213353394176","1289955213353394176")</f>
        <v>1289955213353394176</v>
      </c>
      <c r="F8228" s="7" t="s">
        <v>17</v>
      </c>
      <c r="G8228" s="7">
        <v>3918227</v>
      </c>
      <c r="H8228" s="7">
        <v>2421</v>
      </c>
      <c r="I8228" s="7">
        <v>122</v>
      </c>
      <c r="J8228" s="7">
        <v>0</v>
      </c>
      <c r="K8228" s="7" t="s">
        <v>18</v>
      </c>
      <c r="L8228" s="8">
        <v>39987.315405092595</v>
      </c>
      <c r="M8228" s="9" t="s">
        <v>19</v>
      </c>
      <c r="N8228" s="9" t="s">
        <v>20</v>
      </c>
      <c r="O8228" s="6" t="str">
        <f>HYPERLINK("https://pbs.twimg.com/profile_images/962471262747529216/Uo8lOkRJ_normal.jpg","View")</f>
        <v>View</v>
      </c>
      <c r="P8228" s="7"/>
    </row>
    <row r="8229" spans="1:16">
      <c r="A8229" s="3">
        <v>44045.91741898148</v>
      </c>
      <c r="B8229" s="4" t="str">
        <f>HYPERLINK("https://twitter.com/petrogustavo","@petrogustavo")</f>
        <v>@petrogustavo</v>
      </c>
      <c r="C8229" s="5" t="s">
        <v>16</v>
      </c>
      <c r="D8229" s="5" t="s">
        <v>7937</v>
      </c>
      <c r="E8229" s="6" t="str">
        <f>HYPERLINK("https://twitter.com/petrogustavo/status/1289961933529993224","1289961933529993224")</f>
        <v>1289961933529993224</v>
      </c>
      <c r="F8229" s="7" t="s">
        <v>17</v>
      </c>
      <c r="G8229" s="7">
        <v>3918227</v>
      </c>
      <c r="H8229" s="7">
        <v>2421</v>
      </c>
      <c r="I8229" s="7">
        <v>5</v>
      </c>
      <c r="J8229" s="7">
        <v>15</v>
      </c>
      <c r="K8229" s="7" t="s">
        <v>18</v>
      </c>
      <c r="L8229" s="8">
        <v>39987.315405092595</v>
      </c>
      <c r="M8229" s="9" t="s">
        <v>19</v>
      </c>
      <c r="N8229" s="9" t="s">
        <v>20</v>
      </c>
      <c r="O8229" s="6" t="str">
        <f>HYPERLINK("https://pbs.twimg.com/profile_images/962471262747529216/Uo8lOkRJ_normal.jpg","View")</f>
        <v>View</v>
      </c>
      <c r="P8229" s="7"/>
    </row>
    <row r="8230" spans="1:16">
      <c r="A8230" s="3">
        <v>44045.923321759255</v>
      </c>
      <c r="B8230" s="4" t="str">
        <f>HYPERLINK("https://twitter.com/petrogustavo","@petrogustavo")</f>
        <v>@petrogustavo</v>
      </c>
      <c r="C8230" s="5" t="s">
        <v>16</v>
      </c>
      <c r="D8230" s="5" t="s">
        <v>7931</v>
      </c>
      <c r="E8230" s="6" t="str">
        <f>HYPERLINK("https://twitter.com/petrogustavo/status/1289964071735955459","1289964071735955459")</f>
        <v>1289964071735955459</v>
      </c>
      <c r="F8230" s="7" t="s">
        <v>17</v>
      </c>
      <c r="G8230" s="7">
        <v>3918247</v>
      </c>
      <c r="H8230" s="7">
        <v>2421</v>
      </c>
      <c r="I8230" s="7">
        <v>296</v>
      </c>
      <c r="J8230" s="7">
        <v>0</v>
      </c>
      <c r="K8230" s="7" t="s">
        <v>18</v>
      </c>
      <c r="L8230" s="8">
        <v>39987.315405092595</v>
      </c>
      <c r="M8230" s="9" t="s">
        <v>19</v>
      </c>
      <c r="N8230" s="9" t="s">
        <v>20</v>
      </c>
      <c r="O8230" s="6" t="str">
        <f>HYPERLINK("https://pbs.twimg.com/profile_images/962471262747529216/Uo8lOkRJ_normal.jpg","View")</f>
        <v>View</v>
      </c>
      <c r="P8230" s="7"/>
    </row>
    <row r="8231" spans="1:16">
      <c r="A8231" s="3">
        <v>44045.928703703699</v>
      </c>
      <c r="B8231" s="4" t="str">
        <f>HYPERLINK("https://twitter.com/petrogustavo","@petrogustavo")</f>
        <v>@petrogustavo</v>
      </c>
      <c r="C8231" s="5" t="s">
        <v>16</v>
      </c>
      <c r="D8231" s="5" t="s">
        <v>7938</v>
      </c>
      <c r="E8231" s="6" t="str">
        <f>HYPERLINK("https://twitter.com/petrogustavo/status/1289966022905204742","1289966022905204742")</f>
        <v>1289966022905204742</v>
      </c>
      <c r="F8231" s="7" t="s">
        <v>17</v>
      </c>
      <c r="G8231" s="7">
        <v>3918247</v>
      </c>
      <c r="H8231" s="7">
        <v>2421</v>
      </c>
      <c r="I8231" s="7">
        <v>141</v>
      </c>
      <c r="J8231" s="7">
        <v>0</v>
      </c>
      <c r="K8231" s="7" t="s">
        <v>18</v>
      </c>
      <c r="L8231" s="8">
        <v>39987.315405092595</v>
      </c>
      <c r="M8231" s="9" t="s">
        <v>19</v>
      </c>
      <c r="N8231" s="9" t="s">
        <v>20</v>
      </c>
      <c r="O8231" s="6" t="str">
        <f>HYPERLINK("https://pbs.twimg.com/profile_images/962471262747529216/Uo8lOkRJ_normal.jpg","View")</f>
        <v>View</v>
      </c>
      <c r="P8231" s="7"/>
    </row>
    <row r="8232" spans="1:16">
      <c r="A8232" s="3">
        <v>44045.962002314816</v>
      </c>
      <c r="B8232" s="4" t="str">
        <f>HYPERLINK("https://twitter.com/petrogustavo","@petrogustavo")</f>
        <v>@petrogustavo</v>
      </c>
      <c r="C8232" s="5" t="s">
        <v>16</v>
      </c>
      <c r="D8232" s="5" t="s">
        <v>7939</v>
      </c>
      <c r="E8232" s="6" t="str">
        <f>HYPERLINK("https://twitter.com/petrogustavo/status/1289978089984860161","1289978089984860161")</f>
        <v>1289978089984860161</v>
      </c>
      <c r="F8232" s="7" t="s">
        <v>17</v>
      </c>
      <c r="G8232" s="7">
        <v>3918276</v>
      </c>
      <c r="H8232" s="7">
        <v>2421</v>
      </c>
      <c r="I8232" s="7">
        <v>128</v>
      </c>
      <c r="J8232" s="7">
        <v>346</v>
      </c>
      <c r="K8232" s="7" t="s">
        <v>18</v>
      </c>
      <c r="L8232" s="8">
        <v>39987.315405092595</v>
      </c>
      <c r="M8232" s="9" t="s">
        <v>19</v>
      </c>
      <c r="N8232" s="9" t="s">
        <v>20</v>
      </c>
      <c r="O8232" s="6" t="str">
        <f>HYPERLINK("https://pbs.twimg.com/profile_images/962471262747529216/Uo8lOkRJ_normal.jpg","View")</f>
        <v>View</v>
      </c>
      <c r="P8232" s="7"/>
    </row>
    <row r="8233" spans="1:16">
      <c r="A8233" s="3">
        <v>44045.963645833333</v>
      </c>
      <c r="B8233" s="4" t="str">
        <f>HYPERLINK("https://twitter.com/petrogustavo","@petrogustavo")</f>
        <v>@petrogustavo</v>
      </c>
      <c r="C8233" s="5" t="s">
        <v>16</v>
      </c>
      <c r="D8233" s="5" t="s">
        <v>7940</v>
      </c>
      <c r="E8233" s="6" t="str">
        <f>HYPERLINK("https://twitter.com/petrogustavo/status/1289978684359639040","1289978684359639040")</f>
        <v>1289978684359639040</v>
      </c>
      <c r="F8233" s="7" t="s">
        <v>17</v>
      </c>
      <c r="G8233" s="7">
        <v>3918276</v>
      </c>
      <c r="H8233" s="7">
        <v>2421</v>
      </c>
      <c r="I8233" s="7">
        <v>80</v>
      </c>
      <c r="J8233" s="7">
        <v>213</v>
      </c>
      <c r="K8233" s="7" t="s">
        <v>18</v>
      </c>
      <c r="L8233" s="8">
        <v>39987.315405092595</v>
      </c>
      <c r="M8233" s="9" t="s">
        <v>19</v>
      </c>
      <c r="N8233" s="9" t="s">
        <v>20</v>
      </c>
      <c r="O8233" s="6" t="str">
        <f>HYPERLINK("https://pbs.twimg.com/profile_images/962471262747529216/Uo8lOkRJ_normal.jpg","View")</f>
        <v>View</v>
      </c>
      <c r="P8233" s="7"/>
    </row>
    <row r="8234" spans="1:16">
      <c r="A8234" s="3">
        <v>44045.964444444442</v>
      </c>
      <c r="B8234" s="4" t="str">
        <f>HYPERLINK("https://twitter.com/petrogustavo","@petrogustavo")</f>
        <v>@petrogustavo</v>
      </c>
      <c r="C8234" s="5" t="s">
        <v>16</v>
      </c>
      <c r="D8234" s="5" t="s">
        <v>7941</v>
      </c>
      <c r="E8234" s="6" t="str">
        <f>HYPERLINK("https://twitter.com/petrogustavo/status/1289978973351542789","1289978973351542789")</f>
        <v>1289978973351542789</v>
      </c>
      <c r="F8234" s="7" t="s">
        <v>17</v>
      </c>
      <c r="G8234" s="7">
        <v>3918276</v>
      </c>
      <c r="H8234" s="7">
        <v>2421</v>
      </c>
      <c r="I8234" s="7">
        <v>128</v>
      </c>
      <c r="J8234" s="7">
        <v>0</v>
      </c>
      <c r="K8234" s="7" t="s">
        <v>18</v>
      </c>
      <c r="L8234" s="8">
        <v>39987.315405092595</v>
      </c>
      <c r="M8234" s="9" t="s">
        <v>19</v>
      </c>
      <c r="N8234" s="9" t="s">
        <v>20</v>
      </c>
      <c r="O8234" s="6" t="str">
        <f>HYPERLINK("https://pbs.twimg.com/profile_images/962471262747529216/Uo8lOkRJ_normal.jpg","View")</f>
        <v>View</v>
      </c>
      <c r="P8234" s="7"/>
    </row>
    <row r="8235" spans="1:16">
      <c r="A8235" s="3">
        <v>44045.965775462959</v>
      </c>
      <c r="B8235" s="4" t="str">
        <f>HYPERLINK("https://twitter.com/petrogustavo","@petrogustavo")</f>
        <v>@petrogustavo</v>
      </c>
      <c r="C8235" s="5" t="s">
        <v>16</v>
      </c>
      <c r="D8235" s="5" t="s">
        <v>7901</v>
      </c>
      <c r="E8235" s="6" t="str">
        <f>HYPERLINK("https://twitter.com/petrogustavo/status/1289979453511290881","1289979453511290881")</f>
        <v>1289979453511290881</v>
      </c>
      <c r="F8235" s="7" t="s">
        <v>17</v>
      </c>
      <c r="G8235" s="7">
        <v>3918276</v>
      </c>
      <c r="H8235" s="7">
        <v>2421</v>
      </c>
      <c r="I8235" s="7">
        <v>1810</v>
      </c>
      <c r="J8235" s="7">
        <v>0</v>
      </c>
      <c r="K8235" s="7" t="s">
        <v>18</v>
      </c>
      <c r="L8235" s="8">
        <v>39987.315405092595</v>
      </c>
      <c r="M8235" s="9" t="s">
        <v>19</v>
      </c>
      <c r="N8235" s="9" t="s">
        <v>20</v>
      </c>
      <c r="O8235" s="6" t="str">
        <f>HYPERLINK("https://pbs.twimg.com/profile_images/962471262747529216/Uo8lOkRJ_normal.jpg","View")</f>
        <v>View</v>
      </c>
      <c r="P8235" s="7"/>
    </row>
    <row r="8236" spans="1:16">
      <c r="A8236" s="3">
        <v>44045.968055555553</v>
      </c>
      <c r="B8236" s="4" t="str">
        <f>HYPERLINK("https://twitter.com/petrogustavo","@petrogustavo")</f>
        <v>@petrogustavo</v>
      </c>
      <c r="C8236" s="5" t="s">
        <v>16</v>
      </c>
      <c r="D8236" s="5" t="s">
        <v>7942</v>
      </c>
      <c r="E8236" s="6" t="str">
        <f>HYPERLINK("https://twitter.com/petrogustavo/status/1289980282892726272","1289980282892726272")</f>
        <v>1289980282892726272</v>
      </c>
      <c r="F8236" s="7" t="s">
        <v>17</v>
      </c>
      <c r="G8236" s="7">
        <v>3918276</v>
      </c>
      <c r="H8236" s="7">
        <v>2421</v>
      </c>
      <c r="I8236" s="7">
        <v>75</v>
      </c>
      <c r="J8236" s="7">
        <v>181</v>
      </c>
      <c r="K8236" s="7" t="s">
        <v>18</v>
      </c>
      <c r="L8236" s="8">
        <v>39987.315405092595</v>
      </c>
      <c r="M8236" s="9" t="s">
        <v>19</v>
      </c>
      <c r="N8236" s="9" t="s">
        <v>20</v>
      </c>
      <c r="O8236" s="6" t="str">
        <f>HYPERLINK("https://pbs.twimg.com/profile_images/962471262747529216/Uo8lOkRJ_normal.jpg","View")</f>
        <v>View</v>
      </c>
      <c r="P8236" s="7"/>
    </row>
    <row r="8237" spans="1:16">
      <c r="A8237" s="3">
        <v>44046.047534722224</v>
      </c>
      <c r="B8237" s="4" t="str">
        <f>HYPERLINK("https://twitter.com/petrogustavo","@petrogustavo")</f>
        <v>@petrogustavo</v>
      </c>
      <c r="C8237" s="5" t="s">
        <v>16</v>
      </c>
      <c r="D8237" s="5" t="s">
        <v>7943</v>
      </c>
      <c r="E8237" s="6" t="str">
        <f>HYPERLINK("https://twitter.com/petrogustavo/status/1290009082674348032","1290009082674348032")</f>
        <v>1290009082674348032</v>
      </c>
      <c r="F8237" s="7" t="s">
        <v>17</v>
      </c>
      <c r="G8237" s="7">
        <v>3918351</v>
      </c>
      <c r="H8237" s="7">
        <v>2421</v>
      </c>
      <c r="I8237" s="7">
        <v>420</v>
      </c>
      <c r="J8237" s="7">
        <v>0</v>
      </c>
      <c r="K8237" s="7" t="s">
        <v>18</v>
      </c>
      <c r="L8237" s="8">
        <v>39987.315405092595</v>
      </c>
      <c r="M8237" s="9" t="s">
        <v>19</v>
      </c>
      <c r="N8237" s="9" t="s">
        <v>20</v>
      </c>
      <c r="O8237" s="6" t="str">
        <f>HYPERLINK("https://pbs.twimg.com/profile_images/962471262747529216/Uo8lOkRJ_normal.jpg","View")</f>
        <v>View</v>
      </c>
      <c r="P8237" s="7"/>
    </row>
    <row r="8238" spans="1:16">
      <c r="A8238" s="3">
        <v>44046.047997685186</v>
      </c>
      <c r="B8238" s="4" t="str">
        <f>HYPERLINK("https://twitter.com/petrogustavo","@petrogustavo")</f>
        <v>@petrogustavo</v>
      </c>
      <c r="C8238" s="5" t="s">
        <v>16</v>
      </c>
      <c r="D8238" s="5" t="s">
        <v>7944</v>
      </c>
      <c r="E8238" s="6" t="str">
        <f>HYPERLINK("https://twitter.com/petrogustavo/status/1290009252887539712","1290009252887539712")</f>
        <v>1290009252887539712</v>
      </c>
      <c r="F8238" s="7" t="s">
        <v>17</v>
      </c>
      <c r="G8238" s="7">
        <v>3918351</v>
      </c>
      <c r="H8238" s="7">
        <v>2421</v>
      </c>
      <c r="I8238" s="7">
        <v>109</v>
      </c>
      <c r="J8238" s="7">
        <v>233</v>
      </c>
      <c r="K8238" s="7" t="s">
        <v>18</v>
      </c>
      <c r="L8238" s="8">
        <v>39987.315405092595</v>
      </c>
      <c r="M8238" s="9" t="s">
        <v>19</v>
      </c>
      <c r="N8238" s="9" t="s">
        <v>20</v>
      </c>
      <c r="O8238" s="6" t="str">
        <f>HYPERLINK("https://pbs.twimg.com/profile_images/962471262747529216/Uo8lOkRJ_normal.jpg","View")</f>
        <v>View</v>
      </c>
      <c r="P8238" s="7"/>
    </row>
    <row r="8239" spans="1:16">
      <c r="A8239" s="3">
        <v>44046.78805555556</v>
      </c>
      <c r="B8239" s="4" t="str">
        <f>HYPERLINK("https://twitter.com/petrogustavo","@petrogustavo")</f>
        <v>@petrogustavo</v>
      </c>
      <c r="C8239" s="5" t="s">
        <v>16</v>
      </c>
      <c r="D8239" s="5" t="s">
        <v>7945</v>
      </c>
      <c r="E8239" s="6" t="str">
        <f>HYPERLINK("https://twitter.com/petrogustavo/status/1290277439738978305","1290277439738978305")</f>
        <v>1290277439738978305</v>
      </c>
      <c r="F8239" s="7" t="s">
        <v>17</v>
      </c>
      <c r="G8239" s="7">
        <v>3918781</v>
      </c>
      <c r="H8239" s="7">
        <v>2421</v>
      </c>
      <c r="I8239" s="7">
        <v>671</v>
      </c>
      <c r="J8239" s="7">
        <v>1262</v>
      </c>
      <c r="K8239" s="7" t="s">
        <v>18</v>
      </c>
      <c r="L8239" s="8">
        <v>39987.315405092595</v>
      </c>
      <c r="M8239" s="9" t="s">
        <v>19</v>
      </c>
      <c r="N8239" s="9" t="s">
        <v>20</v>
      </c>
      <c r="O8239" s="6" t="str">
        <f>HYPERLINK("https://pbs.twimg.com/profile_images/962471262747529216/Uo8lOkRJ_normal.jpg","View")</f>
        <v>View</v>
      </c>
      <c r="P8239" s="7"/>
    </row>
    <row r="8240" spans="1:16">
      <c r="A8240" s="3">
        <v>44046.864710648151</v>
      </c>
      <c r="B8240" s="4" t="str">
        <f>HYPERLINK("https://twitter.com/petrogustavo","@petrogustavo")</f>
        <v>@petrogustavo</v>
      </c>
      <c r="C8240" s="5" t="s">
        <v>16</v>
      </c>
      <c r="D8240" s="5" t="s">
        <v>7946</v>
      </c>
      <c r="E8240" s="6" t="str">
        <f>HYPERLINK("https://twitter.com/petrogustavo/status/1290305217787879424","1290305217787879424")</f>
        <v>1290305217787879424</v>
      </c>
      <c r="F8240" s="7" t="s">
        <v>32</v>
      </c>
      <c r="G8240" s="7">
        <v>3918781</v>
      </c>
      <c r="H8240" s="7">
        <v>2421</v>
      </c>
      <c r="I8240" s="7">
        <v>87</v>
      </c>
      <c r="J8240" s="7">
        <v>270</v>
      </c>
      <c r="K8240" s="7" t="s">
        <v>18</v>
      </c>
      <c r="L8240" s="8">
        <v>39987.315405092595</v>
      </c>
      <c r="M8240" s="9" t="s">
        <v>19</v>
      </c>
      <c r="N8240" s="9" t="s">
        <v>20</v>
      </c>
      <c r="O8240" s="6" t="str">
        <f>HYPERLINK("https://pbs.twimg.com/profile_images/962471262747529216/Uo8lOkRJ_normal.jpg","View")</f>
        <v>View</v>
      </c>
      <c r="P8240" s="7"/>
    </row>
    <row r="8241" spans="1:16">
      <c r="A8241" s="3">
        <v>44046.981354166666</v>
      </c>
      <c r="B8241" s="4" t="str">
        <f>HYPERLINK("https://twitter.com/petrogustavo","@petrogustavo")</f>
        <v>@petrogustavo</v>
      </c>
      <c r="C8241" s="5" t="s">
        <v>16</v>
      </c>
      <c r="D8241" s="5" t="s">
        <v>7947</v>
      </c>
      <c r="E8241" s="6" t="str">
        <f>HYPERLINK("https://twitter.com/petrogustavo/status/1290347490475114501","1290347490475114501")</f>
        <v>1290347490475114501</v>
      </c>
      <c r="F8241" s="7" t="s">
        <v>17</v>
      </c>
      <c r="G8241" s="7">
        <v>3918933</v>
      </c>
      <c r="H8241" s="7">
        <v>2421</v>
      </c>
      <c r="I8241" s="7">
        <v>110</v>
      </c>
      <c r="J8241" s="7">
        <v>248</v>
      </c>
      <c r="K8241" s="7" t="s">
        <v>18</v>
      </c>
      <c r="L8241" s="8">
        <v>39987.315405092595</v>
      </c>
      <c r="M8241" s="9" t="s">
        <v>19</v>
      </c>
      <c r="N8241" s="9" t="s">
        <v>20</v>
      </c>
      <c r="O8241" s="6" t="str">
        <f>HYPERLINK("https://pbs.twimg.com/profile_images/962471262747529216/Uo8lOkRJ_normal.jpg","View")</f>
        <v>View</v>
      </c>
      <c r="P8241" s="7"/>
    </row>
    <row r="8242" spans="1:16">
      <c r="A8242" s="3">
        <v>44046.984097222223</v>
      </c>
      <c r="B8242" s="4" t="str">
        <f>HYPERLINK("https://twitter.com/petrogustavo","@petrogustavo")</f>
        <v>@petrogustavo</v>
      </c>
      <c r="C8242" s="5" t="s">
        <v>16</v>
      </c>
      <c r="D8242" s="5" t="s">
        <v>7948</v>
      </c>
      <c r="E8242" s="6" t="str">
        <f>HYPERLINK("https://twitter.com/petrogustavo/status/1290348483354992642","1290348483354992642")</f>
        <v>1290348483354992642</v>
      </c>
      <c r="F8242" s="7" t="s">
        <v>17</v>
      </c>
      <c r="G8242" s="7">
        <v>3918933</v>
      </c>
      <c r="H8242" s="7">
        <v>2421</v>
      </c>
      <c r="I8242" s="7">
        <v>188</v>
      </c>
      <c r="J8242" s="7">
        <v>554</v>
      </c>
      <c r="K8242" s="7" t="s">
        <v>18</v>
      </c>
      <c r="L8242" s="8">
        <v>39987.315405092595</v>
      </c>
      <c r="M8242" s="9" t="s">
        <v>19</v>
      </c>
      <c r="N8242" s="9" t="s">
        <v>20</v>
      </c>
      <c r="O8242" s="6" t="str">
        <f>HYPERLINK("https://pbs.twimg.com/profile_images/962471262747529216/Uo8lOkRJ_normal.jpg","View")</f>
        <v>View</v>
      </c>
      <c r="P8242" s="7"/>
    </row>
    <row r="8243" spans="1:16">
      <c r="A8243" s="3">
        <v>44046.984664351854</v>
      </c>
      <c r="B8243" s="4" t="str">
        <f>HYPERLINK("https://twitter.com/petrogustavo","@petrogustavo")</f>
        <v>@petrogustavo</v>
      </c>
      <c r="C8243" s="5" t="s">
        <v>16</v>
      </c>
      <c r="D8243" s="5" t="s">
        <v>7949</v>
      </c>
      <c r="E8243" s="6" t="str">
        <f>HYPERLINK("https://twitter.com/petrogustavo/status/1290348687529476098","1290348687529476098")</f>
        <v>1290348687529476098</v>
      </c>
      <c r="F8243" s="7" t="s">
        <v>17</v>
      </c>
      <c r="G8243" s="7">
        <v>3918933</v>
      </c>
      <c r="H8243" s="7">
        <v>2421</v>
      </c>
      <c r="I8243" s="7">
        <v>17</v>
      </c>
      <c r="J8243" s="7">
        <v>0</v>
      </c>
      <c r="K8243" s="7" t="s">
        <v>18</v>
      </c>
      <c r="L8243" s="8">
        <v>39987.315405092595</v>
      </c>
      <c r="M8243" s="9" t="s">
        <v>19</v>
      </c>
      <c r="N8243" s="9" t="s">
        <v>20</v>
      </c>
      <c r="O8243" s="6" t="str">
        <f>HYPERLINK("https://pbs.twimg.com/profile_images/962471262747529216/Uo8lOkRJ_normal.jpg","View")</f>
        <v>View</v>
      </c>
      <c r="P8243" s="7"/>
    </row>
    <row r="8244" spans="1:16">
      <c r="A8244" s="3">
        <v>44046.986944444448</v>
      </c>
      <c r="B8244" s="4" t="str">
        <f>HYPERLINK("https://twitter.com/petrogustavo","@petrogustavo")</f>
        <v>@petrogustavo</v>
      </c>
      <c r="C8244" s="5" t="s">
        <v>16</v>
      </c>
      <c r="D8244" s="5" t="s">
        <v>7950</v>
      </c>
      <c r="E8244" s="6" t="str">
        <f>HYPERLINK("https://twitter.com/petrogustavo/status/1290349515816546304","1290349515816546304")</f>
        <v>1290349515816546304</v>
      </c>
      <c r="F8244" s="7" t="s">
        <v>17</v>
      </c>
      <c r="G8244" s="7">
        <v>3918933</v>
      </c>
      <c r="H8244" s="7">
        <v>2421</v>
      </c>
      <c r="I8244" s="7">
        <v>69</v>
      </c>
      <c r="J8244" s="7">
        <v>216</v>
      </c>
      <c r="K8244" s="7" t="s">
        <v>18</v>
      </c>
      <c r="L8244" s="8">
        <v>39987.315405092595</v>
      </c>
      <c r="M8244" s="9" t="s">
        <v>19</v>
      </c>
      <c r="N8244" s="9" t="s">
        <v>20</v>
      </c>
      <c r="O8244" s="6" t="str">
        <f>HYPERLINK("https://pbs.twimg.com/profile_images/962471262747529216/Uo8lOkRJ_normal.jpg","View")</f>
        <v>View</v>
      </c>
      <c r="P8244" s="7"/>
    </row>
    <row r="8245" spans="1:16">
      <c r="A8245" s="3">
        <v>44047.047303240739</v>
      </c>
      <c r="B8245" s="4" t="str">
        <f>HYPERLINK("https://twitter.com/petrogustavo","@petrogustavo")</f>
        <v>@petrogustavo</v>
      </c>
      <c r="C8245" s="5" t="s">
        <v>16</v>
      </c>
      <c r="D8245" s="5" t="s">
        <v>7951</v>
      </c>
      <c r="E8245" s="6" t="str">
        <f>HYPERLINK("https://twitter.com/petrogustavo/status/1290371388088483842","1290371388088483842")</f>
        <v>1290371388088483842</v>
      </c>
      <c r="F8245" s="7" t="s">
        <v>17</v>
      </c>
      <c r="G8245" s="7">
        <v>3918981</v>
      </c>
      <c r="H8245" s="7">
        <v>2422</v>
      </c>
      <c r="I8245" s="7">
        <v>87</v>
      </c>
      <c r="J8245" s="7">
        <v>0</v>
      </c>
      <c r="K8245" s="7" t="s">
        <v>18</v>
      </c>
      <c r="L8245" s="8">
        <v>39987.315405092595</v>
      </c>
      <c r="M8245" s="9" t="s">
        <v>19</v>
      </c>
      <c r="N8245" s="9" t="s">
        <v>20</v>
      </c>
      <c r="O8245" s="6" t="str">
        <f>HYPERLINK("https://pbs.twimg.com/profile_images/962471262747529216/Uo8lOkRJ_normal.jpg","View")</f>
        <v>View</v>
      </c>
      <c r="P8245" s="7"/>
    </row>
    <row r="8246" spans="1:16">
      <c r="A8246" s="3">
        <v>44047.049305555556</v>
      </c>
      <c r="B8246" s="4" t="str">
        <f>HYPERLINK("https://twitter.com/petrogustavo","@petrogustavo")</f>
        <v>@petrogustavo</v>
      </c>
      <c r="C8246" s="5" t="s">
        <v>16</v>
      </c>
      <c r="D8246" s="5" t="s">
        <v>7952</v>
      </c>
      <c r="E8246" s="6" t="str">
        <f>HYPERLINK("https://twitter.com/petrogustavo/status/1290372115498237954","1290372115498237954")</f>
        <v>1290372115498237954</v>
      </c>
      <c r="F8246" s="7" t="s">
        <v>17</v>
      </c>
      <c r="G8246" s="7">
        <v>3918981</v>
      </c>
      <c r="H8246" s="7">
        <v>2422</v>
      </c>
      <c r="I8246" s="7">
        <v>135</v>
      </c>
      <c r="J8246" s="7">
        <v>280</v>
      </c>
      <c r="K8246" s="7" t="s">
        <v>18</v>
      </c>
      <c r="L8246" s="8">
        <v>39987.315405092595</v>
      </c>
      <c r="M8246" s="9" t="s">
        <v>19</v>
      </c>
      <c r="N8246" s="9" t="s">
        <v>20</v>
      </c>
      <c r="O8246" s="6" t="str">
        <f>HYPERLINK("https://pbs.twimg.com/profile_images/962471262747529216/Uo8lOkRJ_normal.jpg","View")</f>
        <v>View</v>
      </c>
      <c r="P8246" s="7"/>
    </row>
    <row r="8247" spans="1:16">
      <c r="A8247" s="3">
        <v>44047.056851851856</v>
      </c>
      <c r="B8247" s="4" t="str">
        <f>HYPERLINK("https://twitter.com/petrogustavo","@petrogustavo")</f>
        <v>@petrogustavo</v>
      </c>
      <c r="C8247" s="5" t="s">
        <v>16</v>
      </c>
      <c r="D8247" s="5" t="s">
        <v>7953</v>
      </c>
      <c r="E8247" s="6" t="str">
        <f>HYPERLINK("https://twitter.com/petrogustavo/status/1290374848938676225","1290374848938676225")</f>
        <v>1290374848938676225</v>
      </c>
      <c r="F8247" s="7" t="s">
        <v>17</v>
      </c>
      <c r="G8247" s="7">
        <v>3918981</v>
      </c>
      <c r="H8247" s="7">
        <v>2422</v>
      </c>
      <c r="I8247" s="7">
        <v>86</v>
      </c>
      <c r="J8247" s="7">
        <v>186</v>
      </c>
      <c r="K8247" s="7" t="s">
        <v>18</v>
      </c>
      <c r="L8247" s="8">
        <v>39987.315405092595</v>
      </c>
      <c r="M8247" s="9" t="s">
        <v>19</v>
      </c>
      <c r="N8247" s="9" t="s">
        <v>20</v>
      </c>
      <c r="O8247" s="6" t="str">
        <f>HYPERLINK("https://pbs.twimg.com/profile_images/962471262747529216/Uo8lOkRJ_normal.jpg","View")</f>
        <v>View</v>
      </c>
      <c r="P8247" s="7"/>
    </row>
    <row r="8248" spans="1:16">
      <c r="A8248" s="3">
        <v>44047.057071759264</v>
      </c>
      <c r="B8248" s="4" t="str">
        <f>HYPERLINK("https://twitter.com/petrogustavo","@petrogustavo")</f>
        <v>@petrogustavo</v>
      </c>
      <c r="C8248" s="5" t="s">
        <v>16</v>
      </c>
      <c r="D8248" s="5" t="s">
        <v>7954</v>
      </c>
      <c r="E8248" s="6" t="str">
        <f>HYPERLINK("https://twitter.com/petrogustavo/status/1290374928722796545","1290374928722796545")</f>
        <v>1290374928722796545</v>
      </c>
      <c r="F8248" s="7" t="s">
        <v>17</v>
      </c>
      <c r="G8248" s="7">
        <v>3918981</v>
      </c>
      <c r="H8248" s="7">
        <v>2422</v>
      </c>
      <c r="I8248" s="7">
        <v>427</v>
      </c>
      <c r="J8248" s="7">
        <v>0</v>
      </c>
      <c r="K8248" s="7" t="s">
        <v>18</v>
      </c>
      <c r="L8248" s="8">
        <v>39987.315405092595</v>
      </c>
      <c r="M8248" s="9" t="s">
        <v>19</v>
      </c>
      <c r="N8248" s="9" t="s">
        <v>20</v>
      </c>
      <c r="O8248" s="6" t="str">
        <f>HYPERLINK("https://pbs.twimg.com/profile_images/962471262747529216/Uo8lOkRJ_normal.jpg","View")</f>
        <v>View</v>
      </c>
      <c r="P8248" s="7"/>
    </row>
    <row r="8249" spans="1:16">
      <c r="A8249" s="3">
        <v>44047.058252314819</v>
      </c>
      <c r="B8249" s="4" t="str">
        <f>HYPERLINK("https://twitter.com/petrogustavo","@petrogustavo")</f>
        <v>@petrogustavo</v>
      </c>
      <c r="C8249" s="5" t="s">
        <v>16</v>
      </c>
      <c r="D8249" s="5" t="s">
        <v>7955</v>
      </c>
      <c r="E8249" s="6" t="str">
        <f>HYPERLINK("https://twitter.com/petrogustavo/status/1290375356202000384","1290375356202000384")</f>
        <v>1290375356202000384</v>
      </c>
      <c r="F8249" s="7" t="s">
        <v>17</v>
      </c>
      <c r="G8249" s="7">
        <v>3918981</v>
      </c>
      <c r="H8249" s="7">
        <v>2422</v>
      </c>
      <c r="I8249" s="7">
        <v>262</v>
      </c>
      <c r="J8249" s="7">
        <v>0</v>
      </c>
      <c r="K8249" s="7" t="s">
        <v>18</v>
      </c>
      <c r="L8249" s="8">
        <v>39987.315405092595</v>
      </c>
      <c r="M8249" s="9" t="s">
        <v>19</v>
      </c>
      <c r="N8249" s="9" t="s">
        <v>20</v>
      </c>
      <c r="O8249" s="6" t="str">
        <f>HYPERLINK("https://pbs.twimg.com/profile_images/962471262747529216/Uo8lOkRJ_normal.jpg","View")</f>
        <v>View</v>
      </c>
      <c r="P8249" s="7"/>
    </row>
    <row r="8250" spans="1:16">
      <c r="A8250" s="3">
        <v>44047.07435185185</v>
      </c>
      <c r="B8250" s="4" t="str">
        <f>HYPERLINK("https://twitter.com/petrogustavo","@petrogustavo")</f>
        <v>@petrogustavo</v>
      </c>
      <c r="C8250" s="5" t="s">
        <v>16</v>
      </c>
      <c r="D8250" s="5" t="s">
        <v>7956</v>
      </c>
      <c r="E8250" s="6" t="str">
        <f>HYPERLINK("https://twitter.com/petrogustavo/status/1290381188574707712","1290381188574707712")</f>
        <v>1290381188574707712</v>
      </c>
      <c r="F8250" s="7" t="s">
        <v>17</v>
      </c>
      <c r="G8250" s="7">
        <v>3918975</v>
      </c>
      <c r="H8250" s="7">
        <v>2422</v>
      </c>
      <c r="I8250" s="7">
        <v>73</v>
      </c>
      <c r="J8250" s="7">
        <v>160</v>
      </c>
      <c r="K8250" s="7" t="s">
        <v>18</v>
      </c>
      <c r="L8250" s="8">
        <v>39987.315405092595</v>
      </c>
      <c r="M8250" s="9" t="s">
        <v>19</v>
      </c>
      <c r="N8250" s="9" t="s">
        <v>20</v>
      </c>
      <c r="O8250" s="6" t="str">
        <f>HYPERLINK("https://pbs.twimg.com/profile_images/962471262747529216/Uo8lOkRJ_normal.jpg","View")</f>
        <v>View</v>
      </c>
      <c r="P8250" s="7"/>
    </row>
    <row r="8251" spans="1:16">
      <c r="A8251" s="3">
        <v>44047.090810185182</v>
      </c>
      <c r="B8251" s="4" t="str">
        <f>HYPERLINK("https://twitter.com/petrogustavo","@petrogustavo")</f>
        <v>@petrogustavo</v>
      </c>
      <c r="C8251" s="5" t="s">
        <v>16</v>
      </c>
      <c r="D8251" s="5" t="s">
        <v>7957</v>
      </c>
      <c r="E8251" s="6" t="str">
        <f>HYPERLINK("https://twitter.com/petrogustavo/status/1290387153562873864","1290387153562873864")</f>
        <v>1290387153562873864</v>
      </c>
      <c r="F8251" s="7" t="s">
        <v>17</v>
      </c>
      <c r="G8251" s="7">
        <v>3918989</v>
      </c>
      <c r="H8251" s="7">
        <v>2422</v>
      </c>
      <c r="I8251" s="7">
        <v>339</v>
      </c>
      <c r="J8251" s="7">
        <v>1075</v>
      </c>
      <c r="K8251" s="7" t="s">
        <v>18</v>
      </c>
      <c r="L8251" s="8">
        <v>39987.315405092595</v>
      </c>
      <c r="M8251" s="9" t="s">
        <v>19</v>
      </c>
      <c r="N8251" s="9" t="s">
        <v>20</v>
      </c>
      <c r="O8251" s="6" t="str">
        <f>HYPERLINK("https://pbs.twimg.com/profile_images/962471262747529216/Uo8lOkRJ_normal.jpg","View")</f>
        <v>View</v>
      </c>
      <c r="P8251" s="7"/>
    </row>
    <row r="8252" spans="1:16">
      <c r="A8252" s="3">
        <v>44047.095057870371</v>
      </c>
      <c r="B8252" s="4" t="str">
        <f>HYPERLINK("https://twitter.com/petrogustavo","@petrogustavo")</f>
        <v>@petrogustavo</v>
      </c>
      <c r="C8252" s="5" t="s">
        <v>16</v>
      </c>
      <c r="D8252" s="5" t="s">
        <v>7958</v>
      </c>
      <c r="E8252" s="6" t="str">
        <f>HYPERLINK("https://twitter.com/petrogustavo/status/1290388695321903105","1290388695321903105")</f>
        <v>1290388695321903105</v>
      </c>
      <c r="F8252" s="7" t="s">
        <v>17</v>
      </c>
      <c r="G8252" s="7">
        <v>3918989</v>
      </c>
      <c r="H8252" s="7">
        <v>2422</v>
      </c>
      <c r="I8252" s="7">
        <v>89</v>
      </c>
      <c r="J8252" s="7">
        <v>225</v>
      </c>
      <c r="K8252" s="7" t="s">
        <v>18</v>
      </c>
      <c r="L8252" s="8">
        <v>39987.315405092595</v>
      </c>
      <c r="M8252" s="9" t="s">
        <v>19</v>
      </c>
      <c r="N8252" s="9" t="s">
        <v>20</v>
      </c>
      <c r="O8252" s="6" t="str">
        <f>HYPERLINK("https://pbs.twimg.com/profile_images/962471262747529216/Uo8lOkRJ_normal.jpg","View")</f>
        <v>View</v>
      </c>
      <c r="P8252" s="7"/>
    </row>
    <row r="8253" spans="1:16">
      <c r="A8253" s="3">
        <v>44047.098761574074</v>
      </c>
      <c r="B8253" s="4" t="str">
        <f>HYPERLINK("https://twitter.com/petrogustavo","@petrogustavo")</f>
        <v>@petrogustavo</v>
      </c>
      <c r="C8253" s="5" t="s">
        <v>16</v>
      </c>
      <c r="D8253" s="5" t="s">
        <v>7959</v>
      </c>
      <c r="E8253" s="6" t="str">
        <f>HYPERLINK("https://twitter.com/petrogustavo/status/1290390034823159809","1290390034823159809")</f>
        <v>1290390034823159809</v>
      </c>
      <c r="F8253" s="7" t="s">
        <v>17</v>
      </c>
      <c r="G8253" s="7">
        <v>3918989</v>
      </c>
      <c r="H8253" s="7">
        <v>2422</v>
      </c>
      <c r="I8253" s="7">
        <v>77</v>
      </c>
      <c r="J8253" s="7">
        <v>284</v>
      </c>
      <c r="K8253" s="7" t="s">
        <v>18</v>
      </c>
      <c r="L8253" s="8">
        <v>39987.315405092595</v>
      </c>
      <c r="M8253" s="9" t="s">
        <v>19</v>
      </c>
      <c r="N8253" s="9" t="s">
        <v>20</v>
      </c>
      <c r="O8253" s="6" t="str">
        <f>HYPERLINK("https://pbs.twimg.com/profile_images/962471262747529216/Uo8lOkRJ_normal.jpg","View")</f>
        <v>View</v>
      </c>
      <c r="P8253" s="7"/>
    </row>
    <row r="8254" spans="1:16">
      <c r="A8254" s="3">
        <v>44047.110034722224</v>
      </c>
      <c r="B8254" s="4" t="str">
        <f>HYPERLINK("https://twitter.com/petrogustavo","@petrogustavo")</f>
        <v>@petrogustavo</v>
      </c>
      <c r="C8254" s="5" t="s">
        <v>16</v>
      </c>
      <c r="D8254" s="5" t="s">
        <v>7960</v>
      </c>
      <c r="E8254" s="6" t="str">
        <f>HYPERLINK("https://twitter.com/petrogustavo/status/1290394119999758336","1290394119999758336")</f>
        <v>1290394119999758336</v>
      </c>
      <c r="F8254" s="7" t="s">
        <v>17</v>
      </c>
      <c r="G8254" s="7">
        <v>3919018</v>
      </c>
      <c r="H8254" s="7">
        <v>2422</v>
      </c>
      <c r="I8254" s="7">
        <v>360</v>
      </c>
      <c r="J8254" s="7">
        <v>887</v>
      </c>
      <c r="K8254" s="7" t="s">
        <v>18</v>
      </c>
      <c r="L8254" s="8">
        <v>39987.315405092595</v>
      </c>
      <c r="M8254" s="9" t="s">
        <v>19</v>
      </c>
      <c r="N8254" s="9" t="s">
        <v>20</v>
      </c>
      <c r="O8254" s="6" t="str">
        <f>HYPERLINK("https://pbs.twimg.com/profile_images/962471262747529216/Uo8lOkRJ_normal.jpg","View")</f>
        <v>View</v>
      </c>
      <c r="P8254" s="7"/>
    </row>
    <row r="8255" spans="1:16">
      <c r="A8255" s="3">
        <v>44047.121759259258</v>
      </c>
      <c r="B8255" s="4" t="str">
        <f>HYPERLINK("https://twitter.com/petrogustavo","@petrogustavo")</f>
        <v>@petrogustavo</v>
      </c>
      <c r="C8255" s="5" t="s">
        <v>16</v>
      </c>
      <c r="D8255" s="5" t="s">
        <v>7961</v>
      </c>
      <c r="E8255" s="6" t="str">
        <f>HYPERLINK("https://twitter.com/petrogustavo/status/1290398369958055937","1290398369958055937")</f>
        <v>1290398369958055937</v>
      </c>
      <c r="F8255" s="7" t="s">
        <v>17</v>
      </c>
      <c r="G8255" s="7">
        <v>3919018</v>
      </c>
      <c r="H8255" s="7">
        <v>2422</v>
      </c>
      <c r="I8255" s="7">
        <v>62</v>
      </c>
      <c r="J8255" s="7">
        <v>167</v>
      </c>
      <c r="K8255" s="7" t="s">
        <v>18</v>
      </c>
      <c r="L8255" s="8">
        <v>39987.315405092595</v>
      </c>
      <c r="M8255" s="9" t="s">
        <v>19</v>
      </c>
      <c r="N8255" s="9" t="s">
        <v>20</v>
      </c>
      <c r="O8255" s="6" t="str">
        <f>HYPERLINK("https://pbs.twimg.com/profile_images/962471262747529216/Uo8lOkRJ_normal.jpg","View")</f>
        <v>View</v>
      </c>
      <c r="P8255" s="7"/>
    </row>
    <row r="8256" spans="1:16">
      <c r="A8256" s="3">
        <v>44047.129016203704</v>
      </c>
      <c r="B8256" s="4" t="str">
        <f>HYPERLINK("https://twitter.com/petrogustavo","@petrogustavo")</f>
        <v>@petrogustavo</v>
      </c>
      <c r="C8256" s="5" t="s">
        <v>16</v>
      </c>
      <c r="D8256" s="5" t="s">
        <v>7962</v>
      </c>
      <c r="E8256" s="6" t="str">
        <f>HYPERLINK("https://twitter.com/petrogustavo/status/1290400999207731201","1290400999207731201")</f>
        <v>1290400999207731201</v>
      </c>
      <c r="F8256" s="7" t="s">
        <v>17</v>
      </c>
      <c r="G8256" s="7">
        <v>3919038</v>
      </c>
      <c r="H8256" s="7">
        <v>2424</v>
      </c>
      <c r="I8256" s="7">
        <v>65</v>
      </c>
      <c r="J8256" s="7">
        <v>194</v>
      </c>
      <c r="K8256" s="7" t="s">
        <v>18</v>
      </c>
      <c r="L8256" s="8">
        <v>39987.315405092595</v>
      </c>
      <c r="M8256" s="9" t="s">
        <v>19</v>
      </c>
      <c r="N8256" s="9" t="s">
        <v>20</v>
      </c>
      <c r="O8256" s="6" t="str">
        <f>HYPERLINK("https://pbs.twimg.com/profile_images/962471262747529216/Uo8lOkRJ_normal.jpg","View")</f>
        <v>View</v>
      </c>
      <c r="P8256" s="7"/>
    </row>
    <row r="8257" spans="1:16">
      <c r="A8257" s="3">
        <v>44047.13989583333</v>
      </c>
      <c r="B8257" s="4" t="str">
        <f>HYPERLINK("https://twitter.com/petrogustavo","@petrogustavo")</f>
        <v>@petrogustavo</v>
      </c>
      <c r="C8257" s="5" t="s">
        <v>16</v>
      </c>
      <c r="D8257" s="5" t="s">
        <v>7963</v>
      </c>
      <c r="E8257" s="6" t="str">
        <f>HYPERLINK("https://twitter.com/petrogustavo/status/1290404942440734720","1290404942440734720")</f>
        <v>1290404942440734720</v>
      </c>
      <c r="F8257" s="7" t="s">
        <v>17</v>
      </c>
      <c r="G8257" s="7">
        <v>3919038</v>
      </c>
      <c r="H8257" s="7">
        <v>2424</v>
      </c>
      <c r="I8257" s="7">
        <v>102</v>
      </c>
      <c r="J8257" s="7">
        <v>0</v>
      </c>
      <c r="K8257" s="7" t="s">
        <v>18</v>
      </c>
      <c r="L8257" s="8">
        <v>39987.315405092595</v>
      </c>
      <c r="M8257" s="9" t="s">
        <v>19</v>
      </c>
      <c r="N8257" s="9" t="s">
        <v>20</v>
      </c>
      <c r="O8257" s="6" t="str">
        <f>HYPERLINK("https://pbs.twimg.com/profile_images/962471262747529216/Uo8lOkRJ_normal.jpg","View")</f>
        <v>View</v>
      </c>
      <c r="P8257" s="7"/>
    </row>
    <row r="8258" spans="1:16">
      <c r="A8258" s="3">
        <v>44047.140127314815</v>
      </c>
      <c r="B8258" s="4" t="str">
        <f>HYPERLINK("https://twitter.com/petrogustavo","@petrogustavo")</f>
        <v>@petrogustavo</v>
      </c>
      <c r="C8258" s="5" t="s">
        <v>16</v>
      </c>
      <c r="D8258" s="5" t="s">
        <v>7964</v>
      </c>
      <c r="E8258" s="6" t="str">
        <f>HYPERLINK("https://twitter.com/petrogustavo/status/1290405025177632768","1290405025177632768")</f>
        <v>1290405025177632768</v>
      </c>
      <c r="F8258" s="7" t="s">
        <v>17</v>
      </c>
      <c r="G8258" s="7">
        <v>3919038</v>
      </c>
      <c r="H8258" s="7">
        <v>2424</v>
      </c>
      <c r="I8258" s="7">
        <v>28</v>
      </c>
      <c r="J8258" s="7">
        <v>0</v>
      </c>
      <c r="K8258" s="7" t="s">
        <v>18</v>
      </c>
      <c r="L8258" s="8">
        <v>39987.315405092595</v>
      </c>
      <c r="M8258" s="9" t="s">
        <v>19</v>
      </c>
      <c r="N8258" s="9" t="s">
        <v>20</v>
      </c>
      <c r="O8258" s="6" t="str">
        <f>HYPERLINK("https://pbs.twimg.com/profile_images/962471262747529216/Uo8lOkRJ_normal.jpg","View")</f>
        <v>View</v>
      </c>
      <c r="P8258" s="7"/>
    </row>
    <row r="8259" spans="1:16">
      <c r="A8259" s="3">
        <v>44047.156666666662</v>
      </c>
      <c r="B8259" s="4" t="str">
        <f>HYPERLINK("https://twitter.com/petrogustavo","@petrogustavo")</f>
        <v>@petrogustavo</v>
      </c>
      <c r="C8259" s="5" t="s">
        <v>16</v>
      </c>
      <c r="D8259" s="5" t="s">
        <v>7965</v>
      </c>
      <c r="E8259" s="6" t="str">
        <f>HYPERLINK("https://twitter.com/petrogustavo/status/1290411019899154433","1290411019899154433")</f>
        <v>1290411019899154433</v>
      </c>
      <c r="F8259" s="7" t="s">
        <v>17</v>
      </c>
      <c r="G8259" s="7">
        <v>3919117</v>
      </c>
      <c r="H8259" s="7">
        <v>2425</v>
      </c>
      <c r="I8259" s="7">
        <v>82</v>
      </c>
      <c r="J8259" s="7">
        <v>0</v>
      </c>
      <c r="K8259" s="7" t="s">
        <v>18</v>
      </c>
      <c r="L8259" s="8">
        <v>39987.315405092595</v>
      </c>
      <c r="M8259" s="9" t="s">
        <v>19</v>
      </c>
      <c r="N8259" s="9" t="s">
        <v>20</v>
      </c>
      <c r="O8259" s="6" t="str">
        <f>HYPERLINK("https://pbs.twimg.com/profile_images/962471262747529216/Uo8lOkRJ_normal.jpg","View")</f>
        <v>View</v>
      </c>
      <c r="P8259" s="7"/>
    </row>
    <row r="8260" spans="1:16">
      <c r="A8260" s="3">
        <v>44047.192071759258</v>
      </c>
      <c r="B8260" s="4" t="str">
        <f>HYPERLINK("https://twitter.com/petrogustavo","@petrogustavo")</f>
        <v>@petrogustavo</v>
      </c>
      <c r="C8260" s="5" t="s">
        <v>16</v>
      </c>
      <c r="D8260" s="5" t="s">
        <v>7966</v>
      </c>
      <c r="E8260" s="6" t="str">
        <f>HYPERLINK("https://twitter.com/petrogustavo/status/1290423850359029760","1290423850359029760")</f>
        <v>1290423850359029760</v>
      </c>
      <c r="F8260" s="7" t="s">
        <v>32</v>
      </c>
      <c r="G8260" s="7">
        <v>3919117</v>
      </c>
      <c r="H8260" s="7">
        <v>2425</v>
      </c>
      <c r="I8260" s="7">
        <v>64</v>
      </c>
      <c r="J8260" s="7">
        <v>0</v>
      </c>
      <c r="K8260" s="7" t="s">
        <v>18</v>
      </c>
      <c r="L8260" s="8">
        <v>39987.315405092595</v>
      </c>
      <c r="M8260" s="9" t="s">
        <v>19</v>
      </c>
      <c r="N8260" s="9" t="s">
        <v>20</v>
      </c>
      <c r="O8260" s="6" t="str">
        <f>HYPERLINK("https://pbs.twimg.com/profile_images/962471262747529216/Uo8lOkRJ_normal.jpg","View")</f>
        <v>View</v>
      </c>
      <c r="P8260" s="7"/>
    </row>
    <row r="8261" spans="1:16">
      <c r="A8261" s="3">
        <v>44047.192372685182</v>
      </c>
      <c r="B8261" s="4" t="str">
        <f>HYPERLINK("https://twitter.com/petrogustavo","@petrogustavo")</f>
        <v>@petrogustavo</v>
      </c>
      <c r="C8261" s="5" t="s">
        <v>16</v>
      </c>
      <c r="D8261" s="5" t="s">
        <v>7967</v>
      </c>
      <c r="E8261" s="6" t="str">
        <f>HYPERLINK("https://twitter.com/petrogustavo/status/1290423960535007233","1290423960535007233")</f>
        <v>1290423960535007233</v>
      </c>
      <c r="F8261" s="7" t="s">
        <v>32</v>
      </c>
      <c r="G8261" s="7">
        <v>3919117</v>
      </c>
      <c r="H8261" s="7">
        <v>2425</v>
      </c>
      <c r="I8261" s="7">
        <v>54</v>
      </c>
      <c r="J8261" s="7">
        <v>0</v>
      </c>
      <c r="K8261" s="7" t="s">
        <v>18</v>
      </c>
      <c r="L8261" s="8">
        <v>39987.315405092595</v>
      </c>
      <c r="M8261" s="9" t="s">
        <v>19</v>
      </c>
      <c r="N8261" s="9" t="s">
        <v>20</v>
      </c>
      <c r="O8261" s="6" t="str">
        <f>HYPERLINK("https://pbs.twimg.com/profile_images/962471262747529216/Uo8lOkRJ_normal.jpg","View")</f>
        <v>View</v>
      </c>
      <c r="P8261" s="7"/>
    </row>
    <row r="8262" spans="1:16">
      <c r="A8262" s="3">
        <v>44047.218541666662</v>
      </c>
      <c r="B8262" s="4" t="str">
        <f>HYPERLINK("https://twitter.com/petrogustavo","@petrogustavo")</f>
        <v>@petrogustavo</v>
      </c>
      <c r="C8262" s="5" t="s">
        <v>16</v>
      </c>
      <c r="D8262" s="5" t="s">
        <v>7968</v>
      </c>
      <c r="E8262" s="6" t="str">
        <f>HYPERLINK("https://twitter.com/petrogustavo/status/1290433442258264064","1290433442258264064")</f>
        <v>1290433442258264064</v>
      </c>
      <c r="F8262" s="7" t="s">
        <v>32</v>
      </c>
      <c r="G8262" s="7">
        <v>3919117</v>
      </c>
      <c r="H8262" s="7">
        <v>2425</v>
      </c>
      <c r="I8262" s="7">
        <v>319</v>
      </c>
      <c r="J8262" s="7">
        <v>0</v>
      </c>
      <c r="K8262" s="7" t="s">
        <v>18</v>
      </c>
      <c r="L8262" s="8">
        <v>39987.315405092595</v>
      </c>
      <c r="M8262" s="9" t="s">
        <v>19</v>
      </c>
      <c r="N8262" s="9" t="s">
        <v>20</v>
      </c>
      <c r="O8262" s="6" t="str">
        <f>HYPERLINK("https://pbs.twimg.com/profile_images/962471262747529216/Uo8lOkRJ_normal.jpg","View")</f>
        <v>View</v>
      </c>
      <c r="P8262" s="7"/>
    </row>
    <row r="8263" spans="1:16">
      <c r="A8263" s="3">
        <v>44047.218645833331</v>
      </c>
      <c r="B8263" s="4" t="str">
        <f>HYPERLINK("https://twitter.com/petrogustavo","@petrogustavo")</f>
        <v>@petrogustavo</v>
      </c>
      <c r="C8263" s="5" t="s">
        <v>16</v>
      </c>
      <c r="D8263" s="5" t="s">
        <v>7969</v>
      </c>
      <c r="E8263" s="6" t="str">
        <f>HYPERLINK("https://twitter.com/petrogustavo/status/1290433480187314182","1290433480187314182")</f>
        <v>1290433480187314182</v>
      </c>
      <c r="F8263" s="7" t="s">
        <v>32</v>
      </c>
      <c r="G8263" s="7">
        <v>3919117</v>
      </c>
      <c r="H8263" s="7">
        <v>2425</v>
      </c>
      <c r="I8263" s="7">
        <v>313</v>
      </c>
      <c r="J8263" s="7">
        <v>0</v>
      </c>
      <c r="K8263" s="7" t="s">
        <v>18</v>
      </c>
      <c r="L8263" s="8">
        <v>39987.315405092595</v>
      </c>
      <c r="M8263" s="9" t="s">
        <v>19</v>
      </c>
      <c r="N8263" s="9" t="s">
        <v>20</v>
      </c>
      <c r="O8263" s="6" t="str">
        <f>HYPERLINK("https://pbs.twimg.com/profile_images/962471262747529216/Uo8lOkRJ_normal.jpg","View")</f>
        <v>View</v>
      </c>
      <c r="P8263" s="7"/>
    </row>
    <row r="8264" spans="1:16">
      <c r="A8264" s="3">
        <v>44047.219178240739</v>
      </c>
      <c r="B8264" s="4" t="str">
        <f>HYPERLINK("https://twitter.com/petrogustavo","@petrogustavo")</f>
        <v>@petrogustavo</v>
      </c>
      <c r="C8264" s="5" t="s">
        <v>16</v>
      </c>
      <c r="D8264" s="5" t="s">
        <v>7970</v>
      </c>
      <c r="E8264" s="6" t="str">
        <f>HYPERLINK("https://twitter.com/petrogustavo/status/1290433674345930753","1290433674345930753")</f>
        <v>1290433674345930753</v>
      </c>
      <c r="F8264" s="7" t="s">
        <v>32</v>
      </c>
      <c r="G8264" s="7">
        <v>3919117</v>
      </c>
      <c r="H8264" s="7">
        <v>2425</v>
      </c>
      <c r="I8264" s="7">
        <v>150</v>
      </c>
      <c r="J8264" s="7">
        <v>0</v>
      </c>
      <c r="K8264" s="7" t="s">
        <v>18</v>
      </c>
      <c r="L8264" s="8">
        <v>39987.315405092595</v>
      </c>
      <c r="M8264" s="9" t="s">
        <v>19</v>
      </c>
      <c r="N8264" s="9" t="s">
        <v>20</v>
      </c>
      <c r="O8264" s="6" t="str">
        <f>HYPERLINK("https://pbs.twimg.com/profile_images/962471262747529216/Uo8lOkRJ_normal.jpg","View")</f>
        <v>View</v>
      </c>
      <c r="P8264" s="7"/>
    </row>
    <row r="8265" spans="1:16">
      <c r="A8265" s="3">
        <v>44047.253900462965</v>
      </c>
      <c r="B8265" s="4" t="str">
        <f>HYPERLINK("https://twitter.com/petrogustavo","@petrogustavo")</f>
        <v>@petrogustavo</v>
      </c>
      <c r="C8265" s="5" t="s">
        <v>16</v>
      </c>
      <c r="D8265" s="5" t="s">
        <v>7971</v>
      </c>
      <c r="E8265" s="6" t="str">
        <f>HYPERLINK("https://twitter.com/petrogustavo/status/1290446256494514178","1290446256494514178")</f>
        <v>1290446256494514178</v>
      </c>
      <c r="F8265" s="7" t="s">
        <v>17</v>
      </c>
      <c r="G8265" s="7">
        <v>3919117</v>
      </c>
      <c r="H8265" s="7">
        <v>2425</v>
      </c>
      <c r="I8265" s="7">
        <v>179</v>
      </c>
      <c r="J8265" s="7">
        <v>441</v>
      </c>
      <c r="K8265" s="7" t="s">
        <v>18</v>
      </c>
      <c r="L8265" s="8">
        <v>39987.315405092595</v>
      </c>
      <c r="M8265" s="9" t="s">
        <v>19</v>
      </c>
      <c r="N8265" s="9" t="s">
        <v>20</v>
      </c>
      <c r="O8265" s="6" t="str">
        <f>HYPERLINK("https://pbs.twimg.com/profile_images/962471262747529216/Uo8lOkRJ_normal.jpg","View")</f>
        <v>View</v>
      </c>
      <c r="P8265" s="7"/>
    </row>
    <row r="8266" spans="1:16">
      <c r="A8266" s="3">
        <v>44047.327499999999</v>
      </c>
      <c r="B8266" s="4" t="str">
        <f>HYPERLINK("https://twitter.com/petrogustavo","@petrogustavo")</f>
        <v>@petrogustavo</v>
      </c>
      <c r="C8266" s="5" t="s">
        <v>16</v>
      </c>
      <c r="D8266" s="5" t="s">
        <v>7972</v>
      </c>
      <c r="E8266" s="6" t="str">
        <f>HYPERLINK("https://twitter.com/petrogustavo/status/1290472928610590720","1290472928610590720")</f>
        <v>1290472928610590720</v>
      </c>
      <c r="F8266" s="7" t="s">
        <v>17</v>
      </c>
      <c r="G8266" s="7">
        <v>3919162</v>
      </c>
      <c r="H8266" s="7">
        <v>2425</v>
      </c>
      <c r="I8266" s="7">
        <v>688</v>
      </c>
      <c r="J8266" s="7">
        <v>0</v>
      </c>
      <c r="K8266" s="7" t="s">
        <v>18</v>
      </c>
      <c r="L8266" s="8">
        <v>39987.315405092595</v>
      </c>
      <c r="M8266" s="9" t="s">
        <v>19</v>
      </c>
      <c r="N8266" s="9" t="s">
        <v>20</v>
      </c>
      <c r="O8266" s="6" t="str">
        <f>HYPERLINK("https://pbs.twimg.com/profile_images/962471262747529216/Uo8lOkRJ_normal.jpg","View")</f>
        <v>View</v>
      </c>
      <c r="P8266" s="7"/>
    </row>
    <row r="8267" spans="1:16">
      <c r="A8267" s="3">
        <v>44047.330648148149</v>
      </c>
      <c r="B8267" s="4" t="str">
        <f>HYPERLINK("https://twitter.com/petrogustavo","@petrogustavo")</f>
        <v>@petrogustavo</v>
      </c>
      <c r="C8267" s="5" t="s">
        <v>16</v>
      </c>
      <c r="D8267" s="5" t="s">
        <v>7973</v>
      </c>
      <c r="E8267" s="6" t="str">
        <f>HYPERLINK("https://twitter.com/petrogustavo/status/1290474066722328576","1290474066722328576")</f>
        <v>1290474066722328576</v>
      </c>
      <c r="F8267" s="7" t="s">
        <v>17</v>
      </c>
      <c r="G8267" s="7">
        <v>3919162</v>
      </c>
      <c r="H8267" s="7">
        <v>2425</v>
      </c>
      <c r="I8267" s="7">
        <v>193</v>
      </c>
      <c r="J8267" s="7">
        <v>326</v>
      </c>
      <c r="K8267" s="7" t="s">
        <v>18</v>
      </c>
      <c r="L8267" s="8">
        <v>39987.315405092595</v>
      </c>
      <c r="M8267" s="9" t="s">
        <v>19</v>
      </c>
      <c r="N8267" s="9" t="s">
        <v>20</v>
      </c>
      <c r="O8267" s="6" t="str">
        <f>HYPERLINK("https://pbs.twimg.com/profile_images/962471262747529216/Uo8lOkRJ_normal.jpg","View")</f>
        <v>View</v>
      </c>
      <c r="P8267" s="7"/>
    </row>
    <row r="8268" spans="1:16">
      <c r="A8268" s="3">
        <v>44047.33326388889</v>
      </c>
      <c r="B8268" s="4" t="str">
        <f>HYPERLINK("https://twitter.com/petrogustavo","@petrogustavo")</f>
        <v>@petrogustavo</v>
      </c>
      <c r="C8268" s="5" t="s">
        <v>16</v>
      </c>
      <c r="D8268" s="5" t="s">
        <v>7974</v>
      </c>
      <c r="E8268" s="6" t="str">
        <f>HYPERLINK("https://twitter.com/petrogustavo/status/1290475016069492736","1290475016069492736")</f>
        <v>1290475016069492736</v>
      </c>
      <c r="F8268" s="7" t="s">
        <v>17</v>
      </c>
      <c r="G8268" s="7">
        <v>3919162</v>
      </c>
      <c r="H8268" s="7">
        <v>2425</v>
      </c>
      <c r="I8268" s="7">
        <v>30</v>
      </c>
      <c r="J8268" s="7">
        <v>68</v>
      </c>
      <c r="K8268" s="7" t="s">
        <v>18</v>
      </c>
      <c r="L8268" s="8">
        <v>39987.315405092595</v>
      </c>
      <c r="M8268" s="9" t="s">
        <v>19</v>
      </c>
      <c r="N8268" s="9" t="s">
        <v>20</v>
      </c>
      <c r="O8268" s="6" t="str">
        <f>HYPERLINK("https://pbs.twimg.com/profile_images/962471262747529216/Uo8lOkRJ_normal.jpg","View")</f>
        <v>View</v>
      </c>
      <c r="P8268" s="7"/>
    </row>
    <row r="8269" spans="1:16">
      <c r="A8269" s="3">
        <v>44047.338078703702</v>
      </c>
      <c r="B8269" s="4" t="str">
        <f>HYPERLINK("https://twitter.com/petrogustavo","@petrogustavo")</f>
        <v>@petrogustavo</v>
      </c>
      <c r="C8269" s="5" t="s">
        <v>16</v>
      </c>
      <c r="D8269" s="5" t="s">
        <v>7975</v>
      </c>
      <c r="E8269" s="6" t="str">
        <f>HYPERLINK("https://twitter.com/petrogustavo/status/1290476762615357441","1290476762615357441")</f>
        <v>1290476762615357441</v>
      </c>
      <c r="F8269" s="7" t="s">
        <v>17</v>
      </c>
      <c r="G8269" s="7">
        <v>3919154</v>
      </c>
      <c r="H8269" s="7">
        <v>2425</v>
      </c>
      <c r="I8269" s="7">
        <v>531</v>
      </c>
      <c r="J8269" s="7">
        <v>1060</v>
      </c>
      <c r="K8269" s="7" t="s">
        <v>18</v>
      </c>
      <c r="L8269" s="8">
        <v>39987.315405092595</v>
      </c>
      <c r="M8269" s="9" t="s">
        <v>19</v>
      </c>
      <c r="N8269" s="9" t="s">
        <v>20</v>
      </c>
      <c r="O8269" s="6" t="str">
        <f>HYPERLINK("https://pbs.twimg.com/profile_images/962471262747529216/Uo8lOkRJ_normal.jpg","View")</f>
        <v>View</v>
      </c>
      <c r="P8269" s="7"/>
    </row>
    <row r="8270" spans="1:16">
      <c r="A8270" s="3">
        <v>44047.338368055556</v>
      </c>
      <c r="B8270" s="4" t="str">
        <f>HYPERLINK("https://twitter.com/petrogustavo","@petrogustavo")</f>
        <v>@petrogustavo</v>
      </c>
      <c r="C8270" s="5" t="s">
        <v>16</v>
      </c>
      <c r="D8270" s="5" t="s">
        <v>7976</v>
      </c>
      <c r="E8270" s="6" t="str">
        <f>HYPERLINK("https://twitter.com/petrogustavo/status/1290476865870688256","1290476865870688256")</f>
        <v>1290476865870688256</v>
      </c>
      <c r="F8270" s="7" t="s">
        <v>17</v>
      </c>
      <c r="G8270" s="7">
        <v>3919154</v>
      </c>
      <c r="H8270" s="7">
        <v>2425</v>
      </c>
      <c r="I8270" s="7">
        <v>1247</v>
      </c>
      <c r="J8270" s="7">
        <v>0</v>
      </c>
      <c r="K8270" s="7" t="s">
        <v>18</v>
      </c>
      <c r="L8270" s="8">
        <v>39987.315405092595</v>
      </c>
      <c r="M8270" s="9" t="s">
        <v>19</v>
      </c>
      <c r="N8270" s="9" t="s">
        <v>20</v>
      </c>
      <c r="O8270" s="6" t="str">
        <f>HYPERLINK("https://pbs.twimg.com/profile_images/962471262747529216/Uo8lOkRJ_normal.jpg","View")</f>
        <v>View</v>
      </c>
      <c r="P8270" s="7"/>
    </row>
    <row r="8271" spans="1:16">
      <c r="A8271" s="3">
        <v>44047.33866898148</v>
      </c>
      <c r="B8271" s="4" t="str">
        <f>HYPERLINK("https://twitter.com/petrogustavo","@petrogustavo")</f>
        <v>@petrogustavo</v>
      </c>
      <c r="C8271" s="5" t="s">
        <v>16</v>
      </c>
      <c r="D8271" s="5" t="s">
        <v>7977</v>
      </c>
      <c r="E8271" s="6" t="str">
        <f>HYPERLINK("https://twitter.com/petrogustavo/status/1290476976898154498","1290476976898154498")</f>
        <v>1290476976898154498</v>
      </c>
      <c r="F8271" s="7" t="s">
        <v>17</v>
      </c>
      <c r="G8271" s="7">
        <v>3919154</v>
      </c>
      <c r="H8271" s="7">
        <v>2425</v>
      </c>
      <c r="I8271" s="7">
        <v>672</v>
      </c>
      <c r="J8271" s="7">
        <v>0</v>
      </c>
      <c r="K8271" s="7" t="s">
        <v>18</v>
      </c>
      <c r="L8271" s="8">
        <v>39987.315405092595</v>
      </c>
      <c r="M8271" s="9" t="s">
        <v>19</v>
      </c>
      <c r="N8271" s="9" t="s">
        <v>20</v>
      </c>
      <c r="O8271" s="6" t="str">
        <f>HYPERLINK("https://pbs.twimg.com/profile_images/962471262747529216/Uo8lOkRJ_normal.jpg","View")</f>
        <v>View</v>
      </c>
      <c r="P8271" s="7"/>
    </row>
    <row r="8272" spans="1:16">
      <c r="A8272" s="3">
        <v>44047.339039351849</v>
      </c>
      <c r="B8272" s="4" t="str">
        <f>HYPERLINK("https://twitter.com/petrogustavo","@petrogustavo")</f>
        <v>@petrogustavo</v>
      </c>
      <c r="C8272" s="5" t="s">
        <v>16</v>
      </c>
      <c r="D8272" s="5" t="s">
        <v>7978</v>
      </c>
      <c r="E8272" s="6" t="str">
        <f>HYPERLINK("https://twitter.com/petrogustavo/status/1290477110285365254","1290477110285365254")</f>
        <v>1290477110285365254</v>
      </c>
      <c r="F8272" s="7" t="s">
        <v>17</v>
      </c>
      <c r="G8272" s="7">
        <v>3919154</v>
      </c>
      <c r="H8272" s="7">
        <v>2425</v>
      </c>
      <c r="I8272" s="7">
        <v>834</v>
      </c>
      <c r="J8272" s="7">
        <v>3161</v>
      </c>
      <c r="K8272" s="7" t="s">
        <v>18</v>
      </c>
      <c r="L8272" s="8">
        <v>39987.315405092595</v>
      </c>
      <c r="M8272" s="9" t="s">
        <v>19</v>
      </c>
      <c r="N8272" s="9" t="s">
        <v>20</v>
      </c>
      <c r="O8272" s="6" t="str">
        <f>HYPERLINK("https://pbs.twimg.com/profile_images/962471262747529216/Uo8lOkRJ_normal.jpg","View")</f>
        <v>View</v>
      </c>
      <c r="P8272" s="7"/>
    </row>
    <row r="8273" spans="1:16">
      <c r="A8273" s="3">
        <v>44047.342939814815</v>
      </c>
      <c r="B8273" s="4" t="str">
        <f>HYPERLINK("https://twitter.com/petrogustavo","@petrogustavo")</f>
        <v>@petrogustavo</v>
      </c>
      <c r="C8273" s="5" t="s">
        <v>16</v>
      </c>
      <c r="D8273" s="5" t="s">
        <v>7979</v>
      </c>
      <c r="E8273" s="6" t="str">
        <f>HYPERLINK("https://twitter.com/petrogustavo/status/1290478521152729089","1290478521152729089")</f>
        <v>1290478521152729089</v>
      </c>
      <c r="F8273" s="7" t="s">
        <v>17</v>
      </c>
      <c r="G8273" s="7">
        <v>3919154</v>
      </c>
      <c r="H8273" s="7">
        <v>2425</v>
      </c>
      <c r="I8273" s="7">
        <v>531</v>
      </c>
      <c r="J8273" s="7">
        <v>0</v>
      </c>
      <c r="K8273" s="7" t="s">
        <v>18</v>
      </c>
      <c r="L8273" s="8">
        <v>39987.315405092595</v>
      </c>
      <c r="M8273" s="9" t="s">
        <v>19</v>
      </c>
      <c r="N8273" s="9" t="s">
        <v>20</v>
      </c>
      <c r="O8273" s="6" t="str">
        <f>HYPERLINK("https://pbs.twimg.com/profile_images/962471262747529216/Uo8lOkRJ_normal.jpg","View")</f>
        <v>View</v>
      </c>
      <c r="P8273" s="7"/>
    </row>
    <row r="8274" spans="1:16">
      <c r="A8274" s="3">
        <v>44047.361493055556</v>
      </c>
      <c r="B8274" s="4" t="str">
        <f>HYPERLINK("https://twitter.com/petrogustavo","@petrogustavo")</f>
        <v>@petrogustavo</v>
      </c>
      <c r="C8274" s="5" t="s">
        <v>16</v>
      </c>
      <c r="D8274" s="5" t="s">
        <v>7980</v>
      </c>
      <c r="E8274" s="6" t="str">
        <f>HYPERLINK("https://twitter.com/petrogustavo/status/1290485244689170432","1290485244689170432")</f>
        <v>1290485244689170432</v>
      </c>
      <c r="F8274" s="7" t="s">
        <v>17</v>
      </c>
      <c r="G8274" s="7">
        <v>3919190</v>
      </c>
      <c r="H8274" s="7">
        <v>2425</v>
      </c>
      <c r="I8274" s="7">
        <v>376</v>
      </c>
      <c r="J8274" s="7">
        <v>1519</v>
      </c>
      <c r="K8274" s="7" t="s">
        <v>18</v>
      </c>
      <c r="L8274" s="8">
        <v>39987.315405092595</v>
      </c>
      <c r="M8274" s="9" t="s">
        <v>19</v>
      </c>
      <c r="N8274" s="9" t="s">
        <v>20</v>
      </c>
      <c r="O8274" s="6" t="str">
        <f>HYPERLINK("https://pbs.twimg.com/profile_images/962471262747529216/Uo8lOkRJ_normal.jpg","View")</f>
        <v>View</v>
      </c>
      <c r="P8274" s="7"/>
    </row>
    <row r="8275" spans="1:16">
      <c r="A8275" s="3">
        <v>44047.36928240741</v>
      </c>
      <c r="B8275" s="4" t="str">
        <f>HYPERLINK("https://twitter.com/petrogustavo","@petrogustavo")</f>
        <v>@petrogustavo</v>
      </c>
      <c r="C8275" s="5" t="s">
        <v>16</v>
      </c>
      <c r="D8275" s="5" t="s">
        <v>7981</v>
      </c>
      <c r="E8275" s="6" t="str">
        <f>HYPERLINK("https://twitter.com/petrogustavo/status/1290488070232399872","1290488070232399872")</f>
        <v>1290488070232399872</v>
      </c>
      <c r="F8275" s="7" t="s">
        <v>17</v>
      </c>
      <c r="G8275" s="7">
        <v>3919190</v>
      </c>
      <c r="H8275" s="7">
        <v>2425</v>
      </c>
      <c r="I8275" s="7">
        <v>319</v>
      </c>
      <c r="J8275" s="7">
        <v>776</v>
      </c>
      <c r="K8275" s="7" t="s">
        <v>18</v>
      </c>
      <c r="L8275" s="8">
        <v>39987.315405092595</v>
      </c>
      <c r="M8275" s="9" t="s">
        <v>19</v>
      </c>
      <c r="N8275" s="9" t="s">
        <v>20</v>
      </c>
      <c r="O8275" s="6" t="str">
        <f>HYPERLINK("https://pbs.twimg.com/profile_images/962471262747529216/Uo8lOkRJ_normal.jpg","View")</f>
        <v>View</v>
      </c>
      <c r="P8275" s="7"/>
    </row>
    <row r="8276" spans="1:16">
      <c r="A8276" s="3">
        <v>44047.378530092596</v>
      </c>
      <c r="B8276" s="4" t="str">
        <f>HYPERLINK("https://twitter.com/petrogustavo","@petrogustavo")</f>
        <v>@petrogustavo</v>
      </c>
      <c r="C8276" s="5" t="s">
        <v>16</v>
      </c>
      <c r="D8276" s="5" t="s">
        <v>7982</v>
      </c>
      <c r="E8276" s="6" t="str">
        <f>HYPERLINK("https://twitter.com/petrogustavo/status/1290491421523185667","1290491421523185667")</f>
        <v>1290491421523185667</v>
      </c>
      <c r="F8276" s="7" t="s">
        <v>17</v>
      </c>
      <c r="G8276" s="7">
        <v>3919201</v>
      </c>
      <c r="H8276" s="7">
        <v>2425</v>
      </c>
      <c r="I8276" s="7">
        <v>98</v>
      </c>
      <c r="J8276" s="7">
        <v>273</v>
      </c>
      <c r="K8276" s="7" t="s">
        <v>18</v>
      </c>
      <c r="L8276" s="8">
        <v>39987.315405092595</v>
      </c>
      <c r="M8276" s="9" t="s">
        <v>19</v>
      </c>
      <c r="N8276" s="9" t="s">
        <v>20</v>
      </c>
      <c r="O8276" s="6" t="str">
        <f>HYPERLINK("https://pbs.twimg.com/profile_images/962471262747529216/Uo8lOkRJ_normal.jpg","View")</f>
        <v>View</v>
      </c>
      <c r="P8276" s="7"/>
    </row>
    <row r="8277" spans="1:16">
      <c r="A8277" s="3">
        <v>44047.378900462965</v>
      </c>
      <c r="B8277" s="4" t="str">
        <f>HYPERLINK("https://twitter.com/petrogustavo","@petrogustavo")</f>
        <v>@petrogustavo</v>
      </c>
      <c r="C8277" s="5" t="s">
        <v>16</v>
      </c>
      <c r="D8277" s="5" t="s">
        <v>7977</v>
      </c>
      <c r="E8277" s="6" t="str">
        <f>HYPERLINK("https://twitter.com/petrogustavo/status/1290491555023695872","1290491555023695872")</f>
        <v>1290491555023695872</v>
      </c>
      <c r="F8277" s="7" t="s">
        <v>17</v>
      </c>
      <c r="G8277" s="7">
        <v>3919201</v>
      </c>
      <c r="H8277" s="7">
        <v>2425</v>
      </c>
      <c r="I8277" s="7">
        <v>1154</v>
      </c>
      <c r="J8277" s="7">
        <v>0</v>
      </c>
      <c r="K8277" s="7" t="s">
        <v>18</v>
      </c>
      <c r="L8277" s="8">
        <v>39987.315405092595</v>
      </c>
      <c r="M8277" s="9" t="s">
        <v>19</v>
      </c>
      <c r="N8277" s="9" t="s">
        <v>20</v>
      </c>
      <c r="O8277" s="6" t="str">
        <f>HYPERLINK("https://pbs.twimg.com/profile_images/962471262747529216/Uo8lOkRJ_normal.jpg","View")</f>
        <v>View</v>
      </c>
      <c r="P8277" s="7"/>
    </row>
    <row r="8278" spans="1:16">
      <c r="A8278" s="3">
        <v>44047.385011574079</v>
      </c>
      <c r="B8278" s="4" t="str">
        <f>HYPERLINK("https://twitter.com/petrogustavo","@petrogustavo")</f>
        <v>@petrogustavo</v>
      </c>
      <c r="C8278" s="5" t="s">
        <v>16</v>
      </c>
      <c r="D8278" s="5" t="s">
        <v>7983</v>
      </c>
      <c r="E8278" s="6" t="str">
        <f>HYPERLINK("https://twitter.com/petrogustavo/status/1290493770165710850","1290493770165710850")</f>
        <v>1290493770165710850</v>
      </c>
      <c r="F8278" s="7" t="s">
        <v>17</v>
      </c>
      <c r="G8278" s="7">
        <v>3919201</v>
      </c>
      <c r="H8278" s="7">
        <v>2425</v>
      </c>
      <c r="I8278" s="7">
        <v>203</v>
      </c>
      <c r="J8278" s="7">
        <v>546</v>
      </c>
      <c r="K8278" s="7" t="s">
        <v>18</v>
      </c>
      <c r="L8278" s="8">
        <v>39987.315405092595</v>
      </c>
      <c r="M8278" s="9" t="s">
        <v>19</v>
      </c>
      <c r="N8278" s="9" t="s">
        <v>20</v>
      </c>
      <c r="O8278" s="6" t="str">
        <f>HYPERLINK("https://pbs.twimg.com/profile_images/962471262747529216/Uo8lOkRJ_normal.jpg","View")</f>
        <v>View</v>
      </c>
      <c r="P8278" s="7"/>
    </row>
    <row r="8279" spans="1:16">
      <c r="A8279" s="3">
        <v>44047.758113425924</v>
      </c>
      <c r="B8279" s="4" t="str">
        <f>HYPERLINK("https://twitter.com/petrogustavo","@petrogustavo")</f>
        <v>@petrogustavo</v>
      </c>
      <c r="C8279" s="5" t="s">
        <v>16</v>
      </c>
      <c r="D8279" s="5" t="s">
        <v>7984</v>
      </c>
      <c r="E8279" s="6" t="str">
        <f>HYPERLINK("https://twitter.com/petrogustavo/status/1290628978680590343","1290628978680590343")</f>
        <v>1290628978680590343</v>
      </c>
      <c r="F8279" s="7" t="s">
        <v>17</v>
      </c>
      <c r="G8279" s="7">
        <v>3919375</v>
      </c>
      <c r="H8279" s="7">
        <v>2425</v>
      </c>
      <c r="I8279" s="7">
        <v>123</v>
      </c>
      <c r="J8279" s="7">
        <v>423</v>
      </c>
      <c r="K8279" s="7" t="s">
        <v>18</v>
      </c>
      <c r="L8279" s="8">
        <v>39987.315405092595</v>
      </c>
      <c r="M8279" s="9" t="s">
        <v>19</v>
      </c>
      <c r="N8279" s="9" t="s">
        <v>20</v>
      </c>
      <c r="O8279" s="6" t="str">
        <f>HYPERLINK("https://pbs.twimg.com/profile_images/962471262747529216/Uo8lOkRJ_normal.jpg","View")</f>
        <v>View</v>
      </c>
      <c r="P8279" s="7"/>
    </row>
    <row r="8280" spans="1:16">
      <c r="A8280" s="3">
        <v>44047.769629629634</v>
      </c>
      <c r="B8280" s="4" t="str">
        <f>HYPERLINK("https://twitter.com/petrogustavo","@petrogustavo")</f>
        <v>@petrogustavo</v>
      </c>
      <c r="C8280" s="5" t="s">
        <v>16</v>
      </c>
      <c r="D8280" s="5" t="s">
        <v>7985</v>
      </c>
      <c r="E8280" s="6" t="str">
        <f>HYPERLINK("https://twitter.com/petrogustavo/status/1290633151317004289","1290633151317004289")</f>
        <v>1290633151317004289</v>
      </c>
      <c r="F8280" s="7" t="s">
        <v>17</v>
      </c>
      <c r="G8280" s="7">
        <v>3919375</v>
      </c>
      <c r="H8280" s="7">
        <v>2425</v>
      </c>
      <c r="I8280" s="7">
        <v>58</v>
      </c>
      <c r="J8280" s="7">
        <v>106</v>
      </c>
      <c r="K8280" s="7" t="s">
        <v>18</v>
      </c>
      <c r="L8280" s="8">
        <v>39987.315405092595</v>
      </c>
      <c r="M8280" s="9" t="s">
        <v>19</v>
      </c>
      <c r="N8280" s="9" t="s">
        <v>20</v>
      </c>
      <c r="O8280" s="6" t="str">
        <f>HYPERLINK("https://pbs.twimg.com/profile_images/962471262747529216/Uo8lOkRJ_normal.jpg","View")</f>
        <v>View</v>
      </c>
      <c r="P8280" s="7"/>
    </row>
    <row r="8281" spans="1:16">
      <c r="A8281" s="3">
        <v>44047.772523148145</v>
      </c>
      <c r="B8281" s="4" t="str">
        <f>HYPERLINK("https://twitter.com/petrogustavo","@petrogustavo")</f>
        <v>@petrogustavo</v>
      </c>
      <c r="C8281" s="5" t="s">
        <v>16</v>
      </c>
      <c r="D8281" s="5" t="s">
        <v>7986</v>
      </c>
      <c r="E8281" s="6" t="str">
        <f>HYPERLINK("https://twitter.com/petrogustavo/status/1290634197716144129","1290634197716144129")</f>
        <v>1290634197716144129</v>
      </c>
      <c r="F8281" s="7" t="s">
        <v>17</v>
      </c>
      <c r="G8281" s="7">
        <v>3919393</v>
      </c>
      <c r="H8281" s="7">
        <v>2425</v>
      </c>
      <c r="I8281" s="7">
        <v>326</v>
      </c>
      <c r="J8281" s="7">
        <v>863</v>
      </c>
      <c r="K8281" s="7" t="s">
        <v>18</v>
      </c>
      <c r="L8281" s="8">
        <v>39987.315405092595</v>
      </c>
      <c r="M8281" s="9" t="s">
        <v>19</v>
      </c>
      <c r="N8281" s="9" t="s">
        <v>20</v>
      </c>
      <c r="O8281" s="6" t="str">
        <f>HYPERLINK("https://pbs.twimg.com/profile_images/962471262747529216/Uo8lOkRJ_normal.jpg","View")</f>
        <v>View</v>
      </c>
      <c r="P8281" s="7"/>
    </row>
    <row r="8282" spans="1:16">
      <c r="A8282" s="3">
        <v>44047.772650462968</v>
      </c>
      <c r="B8282" s="4" t="str">
        <f>HYPERLINK("https://twitter.com/petrogustavo","@petrogustavo")</f>
        <v>@petrogustavo</v>
      </c>
      <c r="C8282" s="5" t="s">
        <v>16</v>
      </c>
      <c r="D8282" s="5" t="s">
        <v>7987</v>
      </c>
      <c r="E8282" s="6" t="str">
        <f>HYPERLINK("https://twitter.com/petrogustavo/status/1290634244436430849","1290634244436430849")</f>
        <v>1290634244436430849</v>
      </c>
      <c r="F8282" s="7" t="s">
        <v>17</v>
      </c>
      <c r="G8282" s="7">
        <v>3919393</v>
      </c>
      <c r="H8282" s="7">
        <v>2425</v>
      </c>
      <c r="I8282" s="7">
        <v>233</v>
      </c>
      <c r="J8282" s="7">
        <v>0</v>
      </c>
      <c r="K8282" s="7" t="s">
        <v>18</v>
      </c>
      <c r="L8282" s="8">
        <v>39987.315405092595</v>
      </c>
      <c r="M8282" s="9" t="s">
        <v>19</v>
      </c>
      <c r="N8282" s="9" t="s">
        <v>20</v>
      </c>
      <c r="O8282" s="6" t="str">
        <f>HYPERLINK("https://pbs.twimg.com/profile_images/962471262747529216/Uo8lOkRJ_normal.jpg","View")</f>
        <v>View</v>
      </c>
      <c r="P8282" s="7"/>
    </row>
    <row r="8283" spans="1:16">
      <c r="A8283" s="3">
        <v>44047.778148148151</v>
      </c>
      <c r="B8283" s="4" t="str">
        <f>HYPERLINK("https://twitter.com/petrogustavo","@petrogustavo")</f>
        <v>@petrogustavo</v>
      </c>
      <c r="C8283" s="5" t="s">
        <v>16</v>
      </c>
      <c r="D8283" s="5" t="s">
        <v>7988</v>
      </c>
      <c r="E8283" s="6" t="str">
        <f>HYPERLINK("https://twitter.com/petrogustavo/status/1290636238962262017","1290636238962262017")</f>
        <v>1290636238962262017</v>
      </c>
      <c r="F8283" s="7" t="s">
        <v>17</v>
      </c>
      <c r="G8283" s="7">
        <v>3919393</v>
      </c>
      <c r="H8283" s="7">
        <v>2425</v>
      </c>
      <c r="I8283" s="7">
        <v>172</v>
      </c>
      <c r="J8283" s="7">
        <v>290</v>
      </c>
      <c r="K8283" s="7" t="s">
        <v>18</v>
      </c>
      <c r="L8283" s="8">
        <v>39987.315405092595</v>
      </c>
      <c r="M8283" s="9" t="s">
        <v>19</v>
      </c>
      <c r="N8283" s="9" t="s">
        <v>20</v>
      </c>
      <c r="O8283" s="6" t="str">
        <f>HYPERLINK("https://pbs.twimg.com/profile_images/962471262747529216/Uo8lOkRJ_normal.jpg","View")</f>
        <v>View</v>
      </c>
      <c r="P8283" s="7"/>
    </row>
    <row r="8284" spans="1:16">
      <c r="A8284" s="3">
        <v>44047.780624999999</v>
      </c>
      <c r="B8284" s="4" t="str">
        <f>HYPERLINK("https://twitter.com/petrogustavo","@petrogustavo")</f>
        <v>@petrogustavo</v>
      </c>
      <c r="C8284" s="5" t="s">
        <v>16</v>
      </c>
      <c r="D8284" s="5" t="s">
        <v>7989</v>
      </c>
      <c r="E8284" s="6" t="str">
        <f>HYPERLINK("https://twitter.com/petrogustavo/status/1290637135599607808","1290637135599607808")</f>
        <v>1290637135599607808</v>
      </c>
      <c r="F8284" s="7" t="s">
        <v>17</v>
      </c>
      <c r="G8284" s="7">
        <v>3919393</v>
      </c>
      <c r="H8284" s="7">
        <v>2425</v>
      </c>
      <c r="I8284" s="7">
        <v>140</v>
      </c>
      <c r="J8284" s="7">
        <v>238</v>
      </c>
      <c r="K8284" s="7" t="s">
        <v>18</v>
      </c>
      <c r="L8284" s="8">
        <v>39987.315405092595</v>
      </c>
      <c r="M8284" s="9" t="s">
        <v>19</v>
      </c>
      <c r="N8284" s="9" t="s">
        <v>20</v>
      </c>
      <c r="O8284" s="6" t="str">
        <f>HYPERLINK("https://pbs.twimg.com/profile_images/962471262747529216/Uo8lOkRJ_normal.jpg","View")</f>
        <v>View</v>
      </c>
      <c r="P8284" s="7"/>
    </row>
    <row r="8285" spans="1:16">
      <c r="A8285" s="3">
        <v>44047.781215277777</v>
      </c>
      <c r="B8285" s="4" t="str">
        <f>HYPERLINK("https://twitter.com/petrogustavo","@petrogustavo")</f>
        <v>@petrogustavo</v>
      </c>
      <c r="C8285" s="5" t="s">
        <v>16</v>
      </c>
      <c r="D8285" s="5" t="s">
        <v>7990</v>
      </c>
      <c r="E8285" s="6" t="str">
        <f>HYPERLINK("https://twitter.com/petrogustavo/status/1290637349433544710","1290637349433544710")</f>
        <v>1290637349433544710</v>
      </c>
      <c r="F8285" s="7" t="s">
        <v>17</v>
      </c>
      <c r="G8285" s="7">
        <v>3919393</v>
      </c>
      <c r="H8285" s="7">
        <v>2425</v>
      </c>
      <c r="I8285" s="7">
        <v>250</v>
      </c>
      <c r="J8285" s="7">
        <v>534</v>
      </c>
      <c r="K8285" s="7" t="s">
        <v>18</v>
      </c>
      <c r="L8285" s="8">
        <v>39987.315405092595</v>
      </c>
      <c r="M8285" s="9" t="s">
        <v>19</v>
      </c>
      <c r="N8285" s="9" t="s">
        <v>20</v>
      </c>
      <c r="O8285" s="6" t="str">
        <f>HYPERLINK("https://pbs.twimg.com/profile_images/962471262747529216/Uo8lOkRJ_normal.jpg","View")</f>
        <v>View</v>
      </c>
      <c r="P8285" s="7"/>
    </row>
    <row r="8286" spans="1:16">
      <c r="A8286" s="3">
        <v>44047.783032407402</v>
      </c>
      <c r="B8286" s="4" t="str">
        <f>HYPERLINK("https://twitter.com/petrogustavo","@petrogustavo")</f>
        <v>@petrogustavo</v>
      </c>
      <c r="C8286" s="5" t="s">
        <v>16</v>
      </c>
      <c r="D8286" s="5" t="s">
        <v>7991</v>
      </c>
      <c r="E8286" s="6" t="str">
        <f>HYPERLINK("https://twitter.com/petrogustavo/status/1290638005598920706","1290638005598920706")</f>
        <v>1290638005598920706</v>
      </c>
      <c r="F8286" s="7" t="s">
        <v>17</v>
      </c>
      <c r="G8286" s="7">
        <v>3919393</v>
      </c>
      <c r="H8286" s="7">
        <v>2425</v>
      </c>
      <c r="I8286" s="7">
        <v>519</v>
      </c>
      <c r="J8286" s="7">
        <v>1310</v>
      </c>
      <c r="K8286" s="7" t="s">
        <v>18</v>
      </c>
      <c r="L8286" s="8">
        <v>39987.315405092595</v>
      </c>
      <c r="M8286" s="9" t="s">
        <v>19</v>
      </c>
      <c r="N8286" s="9" t="s">
        <v>20</v>
      </c>
      <c r="O8286" s="6" t="str">
        <f>HYPERLINK("https://pbs.twimg.com/profile_images/962471262747529216/Uo8lOkRJ_normal.jpg","View")</f>
        <v>View</v>
      </c>
      <c r="P8286" s="7"/>
    </row>
    <row r="8287" spans="1:16">
      <c r="A8287" s="3">
        <v>44047.784039351856</v>
      </c>
      <c r="B8287" s="4" t="str">
        <f>HYPERLINK("https://twitter.com/petrogustavo","@petrogustavo")</f>
        <v>@petrogustavo</v>
      </c>
      <c r="C8287" s="5" t="s">
        <v>16</v>
      </c>
      <c r="D8287" s="5" t="s">
        <v>7992</v>
      </c>
      <c r="E8287" s="6" t="str">
        <f>HYPERLINK("https://twitter.com/petrogustavo/status/1290638372139130885","1290638372139130885")</f>
        <v>1290638372139130885</v>
      </c>
      <c r="F8287" s="7" t="s">
        <v>17</v>
      </c>
      <c r="G8287" s="7">
        <v>3919393</v>
      </c>
      <c r="H8287" s="7">
        <v>2425</v>
      </c>
      <c r="I8287" s="7">
        <v>226</v>
      </c>
      <c r="J8287" s="7">
        <v>470</v>
      </c>
      <c r="K8287" s="7" t="s">
        <v>18</v>
      </c>
      <c r="L8287" s="8">
        <v>39987.315405092595</v>
      </c>
      <c r="M8287" s="9" t="s">
        <v>19</v>
      </c>
      <c r="N8287" s="9" t="s">
        <v>20</v>
      </c>
      <c r="O8287" s="6" t="str">
        <f>HYPERLINK("https://pbs.twimg.com/profile_images/962471262747529216/Uo8lOkRJ_normal.jpg","View")</f>
        <v>View</v>
      </c>
      <c r="P8287" s="7"/>
    </row>
    <row r="8288" spans="1:16">
      <c r="A8288" s="3">
        <v>44047.784849537042</v>
      </c>
      <c r="B8288" s="4" t="str">
        <f>HYPERLINK("https://twitter.com/petrogustavo","@petrogustavo")</f>
        <v>@petrogustavo</v>
      </c>
      <c r="C8288" s="5" t="s">
        <v>16</v>
      </c>
      <c r="D8288" s="5" t="s">
        <v>7993</v>
      </c>
      <c r="E8288" s="6" t="str">
        <f>HYPERLINK("https://twitter.com/petrogustavo/status/1290638666214387713","1290638666214387713")</f>
        <v>1290638666214387713</v>
      </c>
      <c r="F8288" s="7" t="s">
        <v>17</v>
      </c>
      <c r="G8288" s="7">
        <v>3919393</v>
      </c>
      <c r="H8288" s="7">
        <v>2425</v>
      </c>
      <c r="I8288" s="7">
        <v>715</v>
      </c>
      <c r="J8288" s="7">
        <v>0</v>
      </c>
      <c r="K8288" s="7" t="s">
        <v>18</v>
      </c>
      <c r="L8288" s="8">
        <v>39987.315405092595</v>
      </c>
      <c r="M8288" s="9" t="s">
        <v>19</v>
      </c>
      <c r="N8288" s="9" t="s">
        <v>20</v>
      </c>
      <c r="O8288" s="6" t="str">
        <f>HYPERLINK("https://pbs.twimg.com/profile_images/962471262747529216/Uo8lOkRJ_normal.jpg","View")</f>
        <v>View</v>
      </c>
      <c r="P8288" s="7"/>
    </row>
    <row r="8289" spans="1:16">
      <c r="A8289" s="3">
        <v>44047.788078703699</v>
      </c>
      <c r="B8289" s="4" t="str">
        <f>HYPERLINK("https://twitter.com/petrogustavo","@petrogustavo")</f>
        <v>@petrogustavo</v>
      </c>
      <c r="C8289" s="5" t="s">
        <v>16</v>
      </c>
      <c r="D8289" s="5" t="s">
        <v>7994</v>
      </c>
      <c r="E8289" s="6" t="str">
        <f>HYPERLINK("https://twitter.com/petrogustavo/status/1290639834038636545","1290639834038636545")</f>
        <v>1290639834038636545</v>
      </c>
      <c r="F8289" s="7" t="s">
        <v>17</v>
      </c>
      <c r="G8289" s="7">
        <v>3919393</v>
      </c>
      <c r="H8289" s="7">
        <v>2425</v>
      </c>
      <c r="I8289" s="7">
        <v>112</v>
      </c>
      <c r="J8289" s="7">
        <v>201</v>
      </c>
      <c r="K8289" s="7" t="s">
        <v>18</v>
      </c>
      <c r="L8289" s="8">
        <v>39987.315405092595</v>
      </c>
      <c r="M8289" s="9" t="s">
        <v>19</v>
      </c>
      <c r="N8289" s="9" t="s">
        <v>20</v>
      </c>
      <c r="O8289" s="6" t="str">
        <f>HYPERLINK("https://pbs.twimg.com/profile_images/962471262747529216/Uo8lOkRJ_normal.jpg","View")</f>
        <v>View</v>
      </c>
      <c r="P8289" s="7"/>
    </row>
    <row r="8290" spans="1:16">
      <c r="A8290" s="3">
        <v>44047.789733796293</v>
      </c>
      <c r="B8290" s="4" t="str">
        <f>HYPERLINK("https://twitter.com/petrogustavo","@petrogustavo")</f>
        <v>@petrogustavo</v>
      </c>
      <c r="C8290" s="5" t="s">
        <v>16</v>
      </c>
      <c r="D8290" s="5" t="s">
        <v>7995</v>
      </c>
      <c r="E8290" s="6" t="str">
        <f>HYPERLINK("https://twitter.com/petrogustavo/status/1290640435484987394","1290640435484987394")</f>
        <v>1290640435484987394</v>
      </c>
      <c r="F8290" s="7" t="s">
        <v>17</v>
      </c>
      <c r="G8290" s="7">
        <v>3919393</v>
      </c>
      <c r="H8290" s="7">
        <v>2425</v>
      </c>
      <c r="I8290" s="7">
        <v>107</v>
      </c>
      <c r="J8290" s="7">
        <v>227</v>
      </c>
      <c r="K8290" s="7" t="s">
        <v>18</v>
      </c>
      <c r="L8290" s="8">
        <v>39987.315405092595</v>
      </c>
      <c r="M8290" s="9" t="s">
        <v>19</v>
      </c>
      <c r="N8290" s="9" t="s">
        <v>20</v>
      </c>
      <c r="O8290" s="6" t="str">
        <f>HYPERLINK("https://pbs.twimg.com/profile_images/962471262747529216/Uo8lOkRJ_normal.jpg","View")</f>
        <v>View</v>
      </c>
      <c r="P8290" s="7"/>
    </row>
    <row r="8291" spans="1:16">
      <c r="A8291" s="3">
        <v>44047.7972337963</v>
      </c>
      <c r="B8291" s="4" t="str">
        <f>HYPERLINK("https://twitter.com/petrogustavo","@petrogustavo")</f>
        <v>@petrogustavo</v>
      </c>
      <c r="C8291" s="5" t="s">
        <v>16</v>
      </c>
      <c r="D8291" s="5" t="s">
        <v>7996</v>
      </c>
      <c r="E8291" s="6" t="str">
        <f>HYPERLINK("https://twitter.com/petrogustavo/status/1290643151930236937","1290643151930236937")</f>
        <v>1290643151930236937</v>
      </c>
      <c r="F8291" s="7" t="s">
        <v>17</v>
      </c>
      <c r="G8291" s="7">
        <v>3919417</v>
      </c>
      <c r="H8291" s="7">
        <v>2425</v>
      </c>
      <c r="I8291" s="7">
        <v>91</v>
      </c>
      <c r="J8291" s="7">
        <v>202</v>
      </c>
      <c r="K8291" s="7" t="s">
        <v>18</v>
      </c>
      <c r="L8291" s="8">
        <v>39987.315405092595</v>
      </c>
      <c r="M8291" s="9" t="s">
        <v>19</v>
      </c>
      <c r="N8291" s="9" t="s">
        <v>20</v>
      </c>
      <c r="O8291" s="6" t="str">
        <f>HYPERLINK("https://pbs.twimg.com/profile_images/962471262747529216/Uo8lOkRJ_normal.jpg","View")</f>
        <v>View</v>
      </c>
      <c r="P8291" s="7"/>
    </row>
    <row r="8292" spans="1:16">
      <c r="A8292" s="3">
        <v>44047.800949074073</v>
      </c>
      <c r="B8292" s="4" t="str">
        <f>HYPERLINK("https://twitter.com/petrogustavo","@petrogustavo")</f>
        <v>@petrogustavo</v>
      </c>
      <c r="C8292" s="5" t="s">
        <v>16</v>
      </c>
      <c r="D8292" s="5" t="s">
        <v>7997</v>
      </c>
      <c r="E8292" s="6" t="str">
        <f>HYPERLINK("https://twitter.com/petrogustavo/status/1290644500927385602","1290644500927385602")</f>
        <v>1290644500927385602</v>
      </c>
      <c r="F8292" s="7" t="s">
        <v>17</v>
      </c>
      <c r="G8292" s="7">
        <v>3919417</v>
      </c>
      <c r="H8292" s="7">
        <v>2425</v>
      </c>
      <c r="I8292" s="7">
        <v>53</v>
      </c>
      <c r="J8292" s="7">
        <v>0</v>
      </c>
      <c r="K8292" s="7" t="s">
        <v>18</v>
      </c>
      <c r="L8292" s="8">
        <v>39987.315405092595</v>
      </c>
      <c r="M8292" s="9" t="s">
        <v>19</v>
      </c>
      <c r="N8292" s="9" t="s">
        <v>20</v>
      </c>
      <c r="O8292" s="6" t="str">
        <f>HYPERLINK("https://pbs.twimg.com/profile_images/962471262747529216/Uo8lOkRJ_normal.jpg","View")</f>
        <v>View</v>
      </c>
      <c r="P8292" s="7"/>
    </row>
    <row r="8293" spans="1:16">
      <c r="A8293" s="3">
        <v>44047.801157407404</v>
      </c>
      <c r="B8293" s="4" t="str">
        <f>HYPERLINK("https://twitter.com/petrogustavo","@petrogustavo")</f>
        <v>@petrogustavo</v>
      </c>
      <c r="C8293" s="5" t="s">
        <v>16</v>
      </c>
      <c r="D8293" s="5" t="s">
        <v>7998</v>
      </c>
      <c r="E8293" s="6" t="str">
        <f>HYPERLINK("https://twitter.com/petrogustavo/status/1290644576257138689","1290644576257138689")</f>
        <v>1290644576257138689</v>
      </c>
      <c r="F8293" s="7" t="s">
        <v>17</v>
      </c>
      <c r="G8293" s="7">
        <v>3919417</v>
      </c>
      <c r="H8293" s="7">
        <v>2425</v>
      </c>
      <c r="I8293" s="7">
        <v>73</v>
      </c>
      <c r="J8293" s="7">
        <v>0</v>
      </c>
      <c r="K8293" s="7" t="s">
        <v>18</v>
      </c>
      <c r="L8293" s="8">
        <v>39987.315405092595</v>
      </c>
      <c r="M8293" s="9" t="s">
        <v>19</v>
      </c>
      <c r="N8293" s="9" t="s">
        <v>20</v>
      </c>
      <c r="O8293" s="6" t="str">
        <f>HYPERLINK("https://pbs.twimg.com/profile_images/962471262747529216/Uo8lOkRJ_normal.jpg","View")</f>
        <v>View</v>
      </c>
      <c r="P8293" s="7"/>
    </row>
    <row r="8294" spans="1:16">
      <c r="A8294" s="3">
        <v>44047.801608796297</v>
      </c>
      <c r="B8294" s="4" t="str">
        <f>HYPERLINK("https://twitter.com/petrogustavo","@petrogustavo")</f>
        <v>@petrogustavo</v>
      </c>
      <c r="C8294" s="5" t="s">
        <v>16</v>
      </c>
      <c r="D8294" s="5" t="s">
        <v>7999</v>
      </c>
      <c r="E8294" s="6" t="str">
        <f>HYPERLINK("https://twitter.com/petrogustavo/status/1290644737997799425","1290644737997799425")</f>
        <v>1290644737997799425</v>
      </c>
      <c r="F8294" s="7" t="s">
        <v>17</v>
      </c>
      <c r="G8294" s="7">
        <v>3919417</v>
      </c>
      <c r="H8294" s="7">
        <v>2425</v>
      </c>
      <c r="I8294" s="7">
        <v>593</v>
      </c>
      <c r="J8294" s="7">
        <v>0</v>
      </c>
      <c r="K8294" s="7" t="s">
        <v>18</v>
      </c>
      <c r="L8294" s="8">
        <v>39987.315405092595</v>
      </c>
      <c r="M8294" s="9" t="s">
        <v>19</v>
      </c>
      <c r="N8294" s="9" t="s">
        <v>20</v>
      </c>
      <c r="O8294" s="6" t="str">
        <f>HYPERLINK("https://pbs.twimg.com/profile_images/962471262747529216/Uo8lOkRJ_normal.jpg","View")</f>
        <v>View</v>
      </c>
      <c r="P8294" s="7"/>
    </row>
    <row r="8295" spans="1:16">
      <c r="A8295" s="3">
        <v>44047.801990740743</v>
      </c>
      <c r="B8295" s="4" t="str">
        <f>HYPERLINK("https://twitter.com/petrogustavo","@petrogustavo")</f>
        <v>@petrogustavo</v>
      </c>
      <c r="C8295" s="5" t="s">
        <v>16</v>
      </c>
      <c r="D8295" s="5" t="s">
        <v>8000</v>
      </c>
      <c r="E8295" s="6" t="str">
        <f>HYPERLINK("https://twitter.com/petrogustavo/status/1290644876447670272","1290644876447670272")</f>
        <v>1290644876447670272</v>
      </c>
      <c r="F8295" s="7" t="s">
        <v>17</v>
      </c>
      <c r="G8295" s="7">
        <v>3919417</v>
      </c>
      <c r="H8295" s="7">
        <v>2425</v>
      </c>
      <c r="I8295" s="7">
        <v>111</v>
      </c>
      <c r="J8295" s="7">
        <v>0</v>
      </c>
      <c r="K8295" s="7" t="s">
        <v>18</v>
      </c>
      <c r="L8295" s="8">
        <v>39987.315405092595</v>
      </c>
      <c r="M8295" s="9" t="s">
        <v>19</v>
      </c>
      <c r="N8295" s="9" t="s">
        <v>20</v>
      </c>
      <c r="O8295" s="6" t="str">
        <f>HYPERLINK("https://pbs.twimg.com/profile_images/962471262747529216/Uo8lOkRJ_normal.jpg","View")</f>
        <v>View</v>
      </c>
      <c r="P8295" s="7"/>
    </row>
    <row r="8296" spans="1:16">
      <c r="A8296" s="3">
        <v>44047.805092592593</v>
      </c>
      <c r="B8296" s="4" t="str">
        <f>HYPERLINK("https://twitter.com/petrogustavo","@petrogustavo")</f>
        <v>@petrogustavo</v>
      </c>
      <c r="C8296" s="5" t="s">
        <v>16</v>
      </c>
      <c r="D8296" s="5" t="s">
        <v>8001</v>
      </c>
      <c r="E8296" s="6" t="str">
        <f>HYPERLINK("https://twitter.com/petrogustavo/status/1290646000126787584","1290646000126787584")</f>
        <v>1290646000126787584</v>
      </c>
      <c r="F8296" s="7" t="s">
        <v>17</v>
      </c>
      <c r="G8296" s="7">
        <v>3919417</v>
      </c>
      <c r="H8296" s="7">
        <v>2425</v>
      </c>
      <c r="I8296" s="7">
        <v>123</v>
      </c>
      <c r="J8296" s="7">
        <v>324</v>
      </c>
      <c r="K8296" s="7" t="s">
        <v>18</v>
      </c>
      <c r="L8296" s="8">
        <v>39987.315405092595</v>
      </c>
      <c r="M8296" s="9" t="s">
        <v>19</v>
      </c>
      <c r="N8296" s="9" t="s">
        <v>20</v>
      </c>
      <c r="O8296" s="6" t="str">
        <f>HYPERLINK("https://pbs.twimg.com/profile_images/962471262747529216/Uo8lOkRJ_normal.jpg","View")</f>
        <v>View</v>
      </c>
      <c r="P8296" s="7"/>
    </row>
    <row r="8297" spans="1:16">
      <c r="A8297" s="3">
        <v>44047.805254629631</v>
      </c>
      <c r="B8297" s="4" t="str">
        <f>HYPERLINK("https://twitter.com/petrogustavo","@petrogustavo")</f>
        <v>@petrogustavo</v>
      </c>
      <c r="C8297" s="5" t="s">
        <v>16</v>
      </c>
      <c r="D8297" s="5" t="s">
        <v>8002</v>
      </c>
      <c r="E8297" s="6" t="str">
        <f>HYPERLINK("https://twitter.com/petrogustavo/status/1290646062357786637","1290646062357786637")</f>
        <v>1290646062357786637</v>
      </c>
      <c r="F8297" s="7" t="s">
        <v>17</v>
      </c>
      <c r="G8297" s="7">
        <v>3919417</v>
      </c>
      <c r="H8297" s="7">
        <v>2425</v>
      </c>
      <c r="I8297" s="7">
        <v>175</v>
      </c>
      <c r="J8297" s="7">
        <v>0</v>
      </c>
      <c r="K8297" s="7" t="s">
        <v>18</v>
      </c>
      <c r="L8297" s="8">
        <v>39987.315405092595</v>
      </c>
      <c r="M8297" s="9" t="s">
        <v>19</v>
      </c>
      <c r="N8297" s="9" t="s">
        <v>20</v>
      </c>
      <c r="O8297" s="6" t="str">
        <f>HYPERLINK("https://pbs.twimg.com/profile_images/962471262747529216/Uo8lOkRJ_normal.jpg","View")</f>
        <v>View</v>
      </c>
      <c r="P8297" s="7"/>
    </row>
    <row r="8298" spans="1:16">
      <c r="A8298" s="3">
        <v>44047.806724537033</v>
      </c>
      <c r="B8298" s="4" t="str">
        <f>HYPERLINK("https://twitter.com/petrogustavo","@petrogustavo")</f>
        <v>@petrogustavo</v>
      </c>
      <c r="C8298" s="5" t="s">
        <v>16</v>
      </c>
      <c r="D8298" s="5" t="s">
        <v>8003</v>
      </c>
      <c r="E8298" s="6" t="str">
        <f>HYPERLINK("https://twitter.com/petrogustavo/status/1290646591125311496","1290646591125311496")</f>
        <v>1290646591125311496</v>
      </c>
      <c r="F8298" s="7" t="s">
        <v>17</v>
      </c>
      <c r="G8298" s="7">
        <v>3919417</v>
      </c>
      <c r="H8298" s="7">
        <v>2425</v>
      </c>
      <c r="I8298" s="7">
        <v>100</v>
      </c>
      <c r="J8298" s="7">
        <v>273</v>
      </c>
      <c r="K8298" s="7" t="s">
        <v>18</v>
      </c>
      <c r="L8298" s="8">
        <v>39987.315405092595</v>
      </c>
      <c r="M8298" s="9" t="s">
        <v>19</v>
      </c>
      <c r="N8298" s="9" t="s">
        <v>20</v>
      </c>
      <c r="O8298" s="6" t="str">
        <f>HYPERLINK("https://pbs.twimg.com/profile_images/962471262747529216/Uo8lOkRJ_normal.jpg","View")</f>
        <v>View</v>
      </c>
      <c r="P8298" s="7"/>
    </row>
    <row r="8299" spans="1:16">
      <c r="A8299" s="3">
        <v>44047.809907407413</v>
      </c>
      <c r="B8299" s="4" t="str">
        <f>HYPERLINK("https://twitter.com/petrogustavo","@petrogustavo")</f>
        <v>@petrogustavo</v>
      </c>
      <c r="C8299" s="5" t="s">
        <v>16</v>
      </c>
      <c r="D8299" s="5" t="s">
        <v>8004</v>
      </c>
      <c r="E8299" s="6" t="str">
        <f>HYPERLINK("https://twitter.com/petrogustavo/status/1290647745171206148","1290647745171206148")</f>
        <v>1290647745171206148</v>
      </c>
      <c r="F8299" s="7" t="s">
        <v>17</v>
      </c>
      <c r="G8299" s="7">
        <v>3919417</v>
      </c>
      <c r="H8299" s="7">
        <v>2425</v>
      </c>
      <c r="I8299" s="7">
        <v>100</v>
      </c>
      <c r="J8299" s="7">
        <v>0</v>
      </c>
      <c r="K8299" s="7" t="s">
        <v>18</v>
      </c>
      <c r="L8299" s="8">
        <v>39987.315405092595</v>
      </c>
      <c r="M8299" s="9" t="s">
        <v>19</v>
      </c>
      <c r="N8299" s="9" t="s">
        <v>20</v>
      </c>
      <c r="O8299" s="6" t="str">
        <f>HYPERLINK("https://pbs.twimg.com/profile_images/962471262747529216/Uo8lOkRJ_normal.jpg","View")</f>
        <v>View</v>
      </c>
      <c r="P8299" s="7"/>
    </row>
    <row r="8300" spans="1:16">
      <c r="A8300" s="3">
        <v>44047.814930555556</v>
      </c>
      <c r="B8300" s="4" t="str">
        <f>HYPERLINK("https://twitter.com/petrogustavo","@petrogustavo")</f>
        <v>@petrogustavo</v>
      </c>
      <c r="C8300" s="5" t="s">
        <v>16</v>
      </c>
      <c r="D8300" s="5" t="s">
        <v>8005</v>
      </c>
      <c r="E8300" s="6" t="str">
        <f>HYPERLINK("https://twitter.com/petrogustavo/status/1290649566908420108","1290649566908420108")</f>
        <v>1290649566908420108</v>
      </c>
      <c r="F8300" s="7" t="s">
        <v>17</v>
      </c>
      <c r="G8300" s="7">
        <v>3919448</v>
      </c>
      <c r="H8300" s="7">
        <v>2425</v>
      </c>
      <c r="I8300" s="7">
        <v>95</v>
      </c>
      <c r="J8300" s="7">
        <v>0</v>
      </c>
      <c r="K8300" s="7" t="s">
        <v>18</v>
      </c>
      <c r="L8300" s="8">
        <v>39987.315405092595</v>
      </c>
      <c r="M8300" s="9" t="s">
        <v>19</v>
      </c>
      <c r="N8300" s="9" t="s">
        <v>20</v>
      </c>
      <c r="O8300" s="6" t="str">
        <f>HYPERLINK("https://pbs.twimg.com/profile_images/962471262747529216/Uo8lOkRJ_normal.jpg","View")</f>
        <v>View</v>
      </c>
      <c r="P8300" s="7"/>
    </row>
    <row r="8301" spans="1:16">
      <c r="A8301" s="3">
        <v>44047.824814814812</v>
      </c>
      <c r="B8301" s="4" t="str">
        <f>HYPERLINK("https://twitter.com/petrogustavo","@petrogustavo")</f>
        <v>@petrogustavo</v>
      </c>
      <c r="C8301" s="5" t="s">
        <v>16</v>
      </c>
      <c r="D8301" s="5" t="s">
        <v>8004</v>
      </c>
      <c r="E8301" s="6" t="str">
        <f>HYPERLINK("https://twitter.com/petrogustavo/status/1290653149108285441","1290653149108285441")</f>
        <v>1290653149108285441</v>
      </c>
      <c r="F8301" s="7" t="s">
        <v>17</v>
      </c>
      <c r="G8301" s="7">
        <v>3919448</v>
      </c>
      <c r="H8301" s="7">
        <v>2425</v>
      </c>
      <c r="I8301" s="7">
        <v>217</v>
      </c>
      <c r="J8301" s="7">
        <v>0</v>
      </c>
      <c r="K8301" s="7" t="s">
        <v>18</v>
      </c>
      <c r="L8301" s="8">
        <v>39987.315405092595</v>
      </c>
      <c r="M8301" s="9" t="s">
        <v>19</v>
      </c>
      <c r="N8301" s="9" t="s">
        <v>20</v>
      </c>
      <c r="O8301" s="6" t="str">
        <f>HYPERLINK("https://pbs.twimg.com/profile_images/962471262747529216/Uo8lOkRJ_normal.jpg","View")</f>
        <v>View</v>
      </c>
      <c r="P8301" s="7"/>
    </row>
    <row r="8302" spans="1:16">
      <c r="A8302" s="3">
        <v>44047.831342592588</v>
      </c>
      <c r="B8302" s="4" t="str">
        <f>HYPERLINK("https://twitter.com/petrogustavo","@petrogustavo")</f>
        <v>@petrogustavo</v>
      </c>
      <c r="C8302" s="5" t="s">
        <v>16</v>
      </c>
      <c r="D8302" s="5" t="s">
        <v>8006</v>
      </c>
      <c r="E8302" s="6" t="str">
        <f>HYPERLINK("https://twitter.com/petrogustavo/status/1290655513617797121","1290655513617797121")</f>
        <v>1290655513617797121</v>
      </c>
      <c r="F8302" s="7" t="s">
        <v>17</v>
      </c>
      <c r="G8302" s="7">
        <v>3919448</v>
      </c>
      <c r="H8302" s="7">
        <v>2425</v>
      </c>
      <c r="I8302" s="7">
        <v>386</v>
      </c>
      <c r="J8302" s="7">
        <v>0</v>
      </c>
      <c r="K8302" s="7" t="s">
        <v>18</v>
      </c>
      <c r="L8302" s="8">
        <v>39987.315405092595</v>
      </c>
      <c r="M8302" s="9" t="s">
        <v>19</v>
      </c>
      <c r="N8302" s="9" t="s">
        <v>20</v>
      </c>
      <c r="O8302" s="6" t="str">
        <f>HYPERLINK("https://pbs.twimg.com/profile_images/962471262747529216/Uo8lOkRJ_normal.jpg","View")</f>
        <v>View</v>
      </c>
      <c r="P8302" s="7"/>
    </row>
    <row r="8303" spans="1:16">
      <c r="A8303" s="3">
        <v>44047.837048611109</v>
      </c>
      <c r="B8303" s="4" t="str">
        <f>HYPERLINK("https://twitter.com/petrogustavo","@petrogustavo")</f>
        <v>@petrogustavo</v>
      </c>
      <c r="C8303" s="5" t="s">
        <v>16</v>
      </c>
      <c r="D8303" s="5" t="s">
        <v>8007</v>
      </c>
      <c r="E8303" s="6" t="str">
        <f>HYPERLINK("https://twitter.com/petrogustavo/status/1290657582118588416","1290657582118588416")</f>
        <v>1290657582118588416</v>
      </c>
      <c r="F8303" s="7" t="s">
        <v>17</v>
      </c>
      <c r="G8303" s="7">
        <v>3919465</v>
      </c>
      <c r="H8303" s="7">
        <v>2425</v>
      </c>
      <c r="I8303" s="7">
        <v>358</v>
      </c>
      <c r="J8303" s="7">
        <v>763</v>
      </c>
      <c r="K8303" s="7" t="s">
        <v>18</v>
      </c>
      <c r="L8303" s="8">
        <v>39987.315405092595</v>
      </c>
      <c r="M8303" s="9" t="s">
        <v>19</v>
      </c>
      <c r="N8303" s="9" t="s">
        <v>20</v>
      </c>
      <c r="O8303" s="6" t="str">
        <f>HYPERLINK("https://pbs.twimg.com/profile_images/962471262747529216/Uo8lOkRJ_normal.jpg","View")</f>
        <v>View</v>
      </c>
      <c r="P8303" s="7"/>
    </row>
    <row r="8304" spans="1:16">
      <c r="A8304" s="3">
        <v>44047.841284722221</v>
      </c>
      <c r="B8304" s="4" t="str">
        <f>HYPERLINK("https://twitter.com/petrogustavo","@petrogustavo")</f>
        <v>@petrogustavo</v>
      </c>
      <c r="C8304" s="5" t="s">
        <v>16</v>
      </c>
      <c r="D8304" s="5" t="s">
        <v>8008</v>
      </c>
      <c r="E8304" s="6" t="str">
        <f>HYPERLINK("https://twitter.com/petrogustavo/status/1290659118009769986","1290659118009769986")</f>
        <v>1290659118009769986</v>
      </c>
      <c r="F8304" s="7" t="s">
        <v>17</v>
      </c>
      <c r="G8304" s="7">
        <v>3919465</v>
      </c>
      <c r="H8304" s="7">
        <v>2425</v>
      </c>
      <c r="I8304" s="7">
        <v>74</v>
      </c>
      <c r="J8304" s="7">
        <v>163</v>
      </c>
      <c r="K8304" s="7" t="s">
        <v>18</v>
      </c>
      <c r="L8304" s="8">
        <v>39987.315405092595</v>
      </c>
      <c r="M8304" s="9" t="s">
        <v>19</v>
      </c>
      <c r="N8304" s="9" t="s">
        <v>20</v>
      </c>
      <c r="O8304" s="6" t="str">
        <f>HYPERLINK("https://pbs.twimg.com/profile_images/962471262747529216/Uo8lOkRJ_normal.jpg","View")</f>
        <v>View</v>
      </c>
      <c r="P8304" s="7"/>
    </row>
    <row r="8305" spans="1:16">
      <c r="A8305" s="3">
        <v>44047.844699074078</v>
      </c>
      <c r="B8305" s="4" t="str">
        <f>HYPERLINK("https://twitter.com/petrogustavo","@petrogustavo")</f>
        <v>@petrogustavo</v>
      </c>
      <c r="C8305" s="5" t="s">
        <v>16</v>
      </c>
      <c r="D8305" s="5" t="s">
        <v>8009</v>
      </c>
      <c r="E8305" s="6" t="str">
        <f>HYPERLINK("https://twitter.com/petrogustavo/status/1290660353823703040","1290660353823703040")</f>
        <v>1290660353823703040</v>
      </c>
      <c r="F8305" s="7" t="s">
        <v>17</v>
      </c>
      <c r="G8305" s="7">
        <v>3919465</v>
      </c>
      <c r="H8305" s="7">
        <v>2425</v>
      </c>
      <c r="I8305" s="7">
        <v>84</v>
      </c>
      <c r="J8305" s="7">
        <v>173</v>
      </c>
      <c r="K8305" s="7" t="s">
        <v>18</v>
      </c>
      <c r="L8305" s="8">
        <v>39987.315405092595</v>
      </c>
      <c r="M8305" s="9" t="s">
        <v>19</v>
      </c>
      <c r="N8305" s="9" t="s">
        <v>20</v>
      </c>
      <c r="O8305" s="6" t="str">
        <f>HYPERLINK("https://pbs.twimg.com/profile_images/962471262747529216/Uo8lOkRJ_normal.jpg","View")</f>
        <v>View</v>
      </c>
      <c r="P8305" s="7"/>
    </row>
    <row r="8306" spans="1:16">
      <c r="A8306" s="3">
        <v>44047.849791666667</v>
      </c>
      <c r="B8306" s="4" t="str">
        <f>HYPERLINK("https://twitter.com/petrogustavo","@petrogustavo")</f>
        <v>@petrogustavo</v>
      </c>
      <c r="C8306" s="5" t="s">
        <v>16</v>
      </c>
      <c r="D8306" s="5" t="s">
        <v>8010</v>
      </c>
      <c r="E8306" s="6" t="str">
        <f>HYPERLINK("https://twitter.com/petrogustavo/status/1290662199099351040","1290662199099351040")</f>
        <v>1290662199099351040</v>
      </c>
      <c r="F8306" s="7" t="s">
        <v>17</v>
      </c>
      <c r="G8306" s="7">
        <v>3919465</v>
      </c>
      <c r="H8306" s="7">
        <v>2425</v>
      </c>
      <c r="I8306" s="7">
        <v>95</v>
      </c>
      <c r="J8306" s="7">
        <v>198</v>
      </c>
      <c r="K8306" s="7" t="s">
        <v>18</v>
      </c>
      <c r="L8306" s="8">
        <v>39987.315405092595</v>
      </c>
      <c r="M8306" s="9" t="s">
        <v>19</v>
      </c>
      <c r="N8306" s="9" t="s">
        <v>20</v>
      </c>
      <c r="O8306" s="6" t="str">
        <f>HYPERLINK("https://pbs.twimg.com/profile_images/962471262747529216/Uo8lOkRJ_normal.jpg","View")</f>
        <v>View</v>
      </c>
      <c r="P8306" s="7"/>
    </row>
    <row r="8307" spans="1:16">
      <c r="A8307" s="3">
        <v>44047.863379629634</v>
      </c>
      <c r="B8307" s="4" t="str">
        <f>HYPERLINK("https://twitter.com/petrogustavo","@petrogustavo")</f>
        <v>@petrogustavo</v>
      </c>
      <c r="C8307" s="5" t="s">
        <v>16</v>
      </c>
      <c r="D8307" s="5" t="s">
        <v>8011</v>
      </c>
      <c r="E8307" s="6" t="str">
        <f>HYPERLINK("https://twitter.com/petrogustavo/status/1290667126215368704","1290667126215368704")</f>
        <v>1290667126215368704</v>
      </c>
      <c r="F8307" s="7" t="s">
        <v>32</v>
      </c>
      <c r="G8307" s="7">
        <v>3919502</v>
      </c>
      <c r="H8307" s="7">
        <v>2425</v>
      </c>
      <c r="I8307" s="7">
        <v>44</v>
      </c>
      <c r="J8307" s="7">
        <v>120</v>
      </c>
      <c r="K8307" s="7" t="s">
        <v>18</v>
      </c>
      <c r="L8307" s="8">
        <v>39987.315405092595</v>
      </c>
      <c r="M8307" s="9" t="s">
        <v>19</v>
      </c>
      <c r="N8307" s="9" t="s">
        <v>20</v>
      </c>
      <c r="O8307" s="6" t="str">
        <f>HYPERLINK("https://pbs.twimg.com/profile_images/962471262747529216/Uo8lOkRJ_normal.jpg","View")</f>
        <v>View</v>
      </c>
      <c r="P8307" s="7"/>
    </row>
    <row r="8308" spans="1:16">
      <c r="A8308" s="3">
        <v>44047.864803240736</v>
      </c>
      <c r="B8308" s="4" t="str">
        <f>HYPERLINK("https://twitter.com/petrogustavo","@petrogustavo")</f>
        <v>@petrogustavo</v>
      </c>
      <c r="C8308" s="5" t="s">
        <v>16</v>
      </c>
      <c r="D8308" s="5" t="s">
        <v>8012</v>
      </c>
      <c r="E8308" s="6" t="str">
        <f>HYPERLINK("https://twitter.com/petrogustavo/status/1290667641762447362","1290667641762447362")</f>
        <v>1290667641762447362</v>
      </c>
      <c r="F8308" s="7" t="s">
        <v>32</v>
      </c>
      <c r="G8308" s="7">
        <v>3919502</v>
      </c>
      <c r="H8308" s="7">
        <v>2425</v>
      </c>
      <c r="I8308" s="7">
        <v>531</v>
      </c>
      <c r="J8308" s="7">
        <v>1502</v>
      </c>
      <c r="K8308" s="7" t="s">
        <v>18</v>
      </c>
      <c r="L8308" s="8">
        <v>39987.315405092595</v>
      </c>
      <c r="M8308" s="9" t="s">
        <v>19</v>
      </c>
      <c r="N8308" s="9" t="s">
        <v>20</v>
      </c>
      <c r="O8308" s="6" t="str">
        <f>HYPERLINK("https://pbs.twimg.com/profile_images/962471262747529216/Uo8lOkRJ_normal.jpg","View")</f>
        <v>View</v>
      </c>
      <c r="P8308" s="7"/>
    </row>
    <row r="8309" spans="1:16">
      <c r="A8309" s="3">
        <v>44047.877187499995</v>
      </c>
      <c r="B8309" s="4" t="str">
        <f>HYPERLINK("https://twitter.com/petrogustavo","@petrogustavo")</f>
        <v>@petrogustavo</v>
      </c>
      <c r="C8309" s="5" t="s">
        <v>16</v>
      </c>
      <c r="D8309" s="5" t="s">
        <v>8013</v>
      </c>
      <c r="E8309" s="6" t="str">
        <f>HYPERLINK("https://twitter.com/petrogustavo/status/1290672129818726402","1290672129818726402")</f>
        <v>1290672129818726402</v>
      </c>
      <c r="F8309" s="7" t="s">
        <v>32</v>
      </c>
      <c r="G8309" s="7">
        <v>3919502</v>
      </c>
      <c r="H8309" s="7">
        <v>2425</v>
      </c>
      <c r="I8309" s="7">
        <v>2</v>
      </c>
      <c r="J8309" s="7">
        <v>3</v>
      </c>
      <c r="K8309" s="7" t="s">
        <v>18</v>
      </c>
      <c r="L8309" s="8">
        <v>39987.315405092595</v>
      </c>
      <c r="M8309" s="9" t="s">
        <v>19</v>
      </c>
      <c r="N8309" s="9" t="s">
        <v>20</v>
      </c>
      <c r="O8309" s="6" t="str">
        <f>HYPERLINK("https://pbs.twimg.com/profile_images/962471262747529216/Uo8lOkRJ_normal.jpg","View")</f>
        <v>View</v>
      </c>
      <c r="P8309" s="7"/>
    </row>
    <row r="8310" spans="1:16">
      <c r="A8310" s="3">
        <v>44047.892754629633</v>
      </c>
      <c r="B8310" s="4" t="str">
        <f>HYPERLINK("https://twitter.com/petrogustavo","@petrogustavo")</f>
        <v>@petrogustavo</v>
      </c>
      <c r="C8310" s="5" t="s">
        <v>16</v>
      </c>
      <c r="D8310" s="5" t="s">
        <v>8014</v>
      </c>
      <c r="E8310" s="6" t="str">
        <f>HYPERLINK("https://twitter.com/petrogustavo/status/1290677770683666442","1290677770683666442")</f>
        <v>1290677770683666442</v>
      </c>
      <c r="F8310" s="7" t="s">
        <v>32</v>
      </c>
      <c r="G8310" s="7">
        <v>3919529</v>
      </c>
      <c r="H8310" s="7">
        <v>2425</v>
      </c>
      <c r="I8310" s="7">
        <v>154</v>
      </c>
      <c r="J8310" s="7">
        <v>268</v>
      </c>
      <c r="K8310" s="7" t="s">
        <v>18</v>
      </c>
      <c r="L8310" s="8">
        <v>39987.315405092595</v>
      </c>
      <c r="M8310" s="9" t="s">
        <v>19</v>
      </c>
      <c r="N8310" s="9" t="s">
        <v>20</v>
      </c>
      <c r="O8310" s="6" t="str">
        <f>HYPERLINK("https://pbs.twimg.com/profile_images/962471262747529216/Uo8lOkRJ_normal.jpg","View")</f>
        <v>View</v>
      </c>
      <c r="P8310" s="7"/>
    </row>
    <row r="8311" spans="1:16">
      <c r="A8311" s="3">
        <v>44047.89334490741</v>
      </c>
      <c r="B8311" s="4" t="str">
        <f>HYPERLINK("https://twitter.com/petrogustavo","@petrogustavo")</f>
        <v>@petrogustavo</v>
      </c>
      <c r="C8311" s="5" t="s">
        <v>16</v>
      </c>
      <c r="D8311" s="5" t="s">
        <v>8015</v>
      </c>
      <c r="E8311" s="6" t="str">
        <f>HYPERLINK("https://twitter.com/petrogustavo/status/1290677981422256129","1290677981422256129")</f>
        <v>1290677981422256129</v>
      </c>
      <c r="F8311" s="7" t="s">
        <v>32</v>
      </c>
      <c r="G8311" s="7">
        <v>3919529</v>
      </c>
      <c r="H8311" s="7">
        <v>2425</v>
      </c>
      <c r="I8311" s="7">
        <v>250</v>
      </c>
      <c r="J8311" s="7">
        <v>0</v>
      </c>
      <c r="K8311" s="7" t="s">
        <v>18</v>
      </c>
      <c r="L8311" s="8">
        <v>39987.315405092595</v>
      </c>
      <c r="M8311" s="9" t="s">
        <v>19</v>
      </c>
      <c r="N8311" s="9" t="s">
        <v>20</v>
      </c>
      <c r="O8311" s="6" t="str">
        <f>HYPERLINK("https://pbs.twimg.com/profile_images/962471262747529216/Uo8lOkRJ_normal.jpg","View")</f>
        <v>View</v>
      </c>
      <c r="P8311" s="7"/>
    </row>
    <row r="8312" spans="1:16">
      <c r="A8312" s="3">
        <v>44047.903032407412</v>
      </c>
      <c r="B8312" s="4" t="str">
        <f>HYPERLINK("https://twitter.com/petrogustavo","@petrogustavo")</f>
        <v>@petrogustavo</v>
      </c>
      <c r="C8312" s="5" t="s">
        <v>16</v>
      </c>
      <c r="D8312" s="5" t="s">
        <v>8016</v>
      </c>
      <c r="E8312" s="6" t="str">
        <f>HYPERLINK("https://twitter.com/petrogustavo/status/1290681494126592005","1290681494126592005")</f>
        <v>1290681494126592005</v>
      </c>
      <c r="F8312" s="7" t="s">
        <v>17</v>
      </c>
      <c r="G8312" s="7">
        <v>3919550</v>
      </c>
      <c r="H8312" s="7">
        <v>2425</v>
      </c>
      <c r="I8312" s="7">
        <v>33</v>
      </c>
      <c r="J8312" s="7">
        <v>104</v>
      </c>
      <c r="K8312" s="7" t="s">
        <v>18</v>
      </c>
      <c r="L8312" s="8">
        <v>39987.315405092595</v>
      </c>
      <c r="M8312" s="9" t="s">
        <v>19</v>
      </c>
      <c r="N8312" s="9" t="s">
        <v>20</v>
      </c>
      <c r="O8312" s="6" t="str">
        <f>HYPERLINK("https://pbs.twimg.com/profile_images/962471262747529216/Uo8lOkRJ_normal.jpg","View")</f>
        <v>View</v>
      </c>
      <c r="P8312" s="7"/>
    </row>
    <row r="8313" spans="1:16">
      <c r="A8313" s="3">
        <v>44047.906203703707</v>
      </c>
      <c r="B8313" s="4" t="str">
        <f>HYPERLINK("https://twitter.com/petrogustavo","@petrogustavo")</f>
        <v>@petrogustavo</v>
      </c>
      <c r="C8313" s="5" t="s">
        <v>16</v>
      </c>
      <c r="D8313" s="5" t="s">
        <v>8017</v>
      </c>
      <c r="E8313" s="6" t="str">
        <f>HYPERLINK("https://twitter.com/petrogustavo/status/1290682641138823168","1290682641138823168")</f>
        <v>1290682641138823168</v>
      </c>
      <c r="F8313" s="7" t="s">
        <v>17</v>
      </c>
      <c r="G8313" s="7">
        <v>3919550</v>
      </c>
      <c r="H8313" s="7">
        <v>2425</v>
      </c>
      <c r="I8313" s="7">
        <v>35</v>
      </c>
      <c r="J8313" s="7">
        <v>102</v>
      </c>
      <c r="K8313" s="7" t="s">
        <v>18</v>
      </c>
      <c r="L8313" s="8">
        <v>39987.315405092595</v>
      </c>
      <c r="M8313" s="9" t="s">
        <v>19</v>
      </c>
      <c r="N8313" s="9" t="s">
        <v>20</v>
      </c>
      <c r="O8313" s="6" t="str">
        <f>HYPERLINK("https://pbs.twimg.com/profile_images/962471262747529216/Uo8lOkRJ_normal.jpg","View")</f>
        <v>View</v>
      </c>
      <c r="P8313" s="7"/>
    </row>
    <row r="8314" spans="1:16">
      <c r="A8314" s="3">
        <v>44047.908043981486</v>
      </c>
      <c r="B8314" s="4" t="str">
        <f>HYPERLINK("https://twitter.com/petrogustavo","@petrogustavo")</f>
        <v>@petrogustavo</v>
      </c>
      <c r="C8314" s="5" t="s">
        <v>16</v>
      </c>
      <c r="D8314" s="5" t="s">
        <v>8018</v>
      </c>
      <c r="E8314" s="6" t="str">
        <f>HYPERLINK("https://twitter.com/petrogustavo/status/1290683312080670720","1290683312080670720")</f>
        <v>1290683312080670720</v>
      </c>
      <c r="F8314" s="7" t="s">
        <v>17</v>
      </c>
      <c r="G8314" s="7">
        <v>3919550</v>
      </c>
      <c r="H8314" s="7">
        <v>2425</v>
      </c>
      <c r="I8314" s="7">
        <v>44</v>
      </c>
      <c r="J8314" s="7">
        <v>109</v>
      </c>
      <c r="K8314" s="7" t="s">
        <v>18</v>
      </c>
      <c r="L8314" s="8">
        <v>39987.315405092595</v>
      </c>
      <c r="M8314" s="9" t="s">
        <v>19</v>
      </c>
      <c r="N8314" s="9" t="s">
        <v>20</v>
      </c>
      <c r="O8314" s="6" t="str">
        <f>HYPERLINK("https://pbs.twimg.com/profile_images/962471262747529216/Uo8lOkRJ_normal.jpg","View")</f>
        <v>View</v>
      </c>
      <c r="P8314" s="7"/>
    </row>
    <row r="8315" spans="1:16">
      <c r="A8315" s="3">
        <v>44047.936516203699</v>
      </c>
      <c r="B8315" s="4" t="str">
        <f>HYPERLINK("https://twitter.com/petrogustavo","@petrogustavo")</f>
        <v>@petrogustavo</v>
      </c>
      <c r="C8315" s="5" t="s">
        <v>16</v>
      </c>
      <c r="D8315" s="5" t="s">
        <v>8019</v>
      </c>
      <c r="E8315" s="6" t="str">
        <f>HYPERLINK("https://twitter.com/petrogustavo/status/1290693626213928962","1290693626213928962")</f>
        <v>1290693626213928962</v>
      </c>
      <c r="F8315" s="7" t="s">
        <v>17</v>
      </c>
      <c r="G8315" s="7">
        <v>3919557</v>
      </c>
      <c r="H8315" s="7">
        <v>2425</v>
      </c>
      <c r="I8315" s="7">
        <v>14</v>
      </c>
      <c r="J8315" s="7">
        <v>27</v>
      </c>
      <c r="K8315" s="7" t="s">
        <v>18</v>
      </c>
      <c r="L8315" s="8">
        <v>39987.315405092595</v>
      </c>
      <c r="M8315" s="9" t="s">
        <v>19</v>
      </c>
      <c r="N8315" s="9" t="s">
        <v>20</v>
      </c>
      <c r="O8315" s="6" t="str">
        <f>HYPERLINK("https://pbs.twimg.com/profile_images/962471262747529216/Uo8lOkRJ_normal.jpg","View")</f>
        <v>View</v>
      </c>
      <c r="P8315" s="7"/>
    </row>
    <row r="8316" spans="1:16">
      <c r="A8316" s="3">
        <v>44047.977164351847</v>
      </c>
      <c r="B8316" s="4" t="str">
        <f>HYPERLINK("https://twitter.com/petrogustavo","@petrogustavo")</f>
        <v>@petrogustavo</v>
      </c>
      <c r="C8316" s="5" t="s">
        <v>16</v>
      </c>
      <c r="D8316" s="5" t="s">
        <v>8020</v>
      </c>
      <c r="E8316" s="6" t="str">
        <f>HYPERLINK("https://twitter.com/petrogustavo/status/1290708358689951757","1290708358689951757")</f>
        <v>1290708358689951757</v>
      </c>
      <c r="F8316" s="7" t="s">
        <v>32</v>
      </c>
      <c r="G8316" s="7">
        <v>3919641</v>
      </c>
      <c r="H8316" s="7">
        <v>2426</v>
      </c>
      <c r="I8316" s="7">
        <v>114</v>
      </c>
      <c r="J8316" s="7">
        <v>285</v>
      </c>
      <c r="K8316" s="7" t="s">
        <v>18</v>
      </c>
      <c r="L8316" s="8">
        <v>39987.315405092595</v>
      </c>
      <c r="M8316" s="9" t="s">
        <v>19</v>
      </c>
      <c r="N8316" s="9" t="s">
        <v>20</v>
      </c>
      <c r="O8316" s="6" t="str">
        <f>HYPERLINK("https://pbs.twimg.com/profile_images/962471262747529216/Uo8lOkRJ_normal.jpg","View")</f>
        <v>View</v>
      </c>
      <c r="P8316" s="7"/>
    </row>
    <row r="8317" spans="1:16">
      <c r="A8317" s="3">
        <v>44047.979884259257</v>
      </c>
      <c r="B8317" s="4" t="str">
        <f>HYPERLINK("https://twitter.com/petrogustavo","@petrogustavo")</f>
        <v>@petrogustavo</v>
      </c>
      <c r="C8317" s="5" t="s">
        <v>16</v>
      </c>
      <c r="D8317" s="5" t="s">
        <v>8021</v>
      </c>
      <c r="E8317" s="6" t="str">
        <f>HYPERLINK("https://twitter.com/petrogustavo/status/1290709343583830016","1290709343583830016")</f>
        <v>1290709343583830016</v>
      </c>
      <c r="F8317" s="7" t="s">
        <v>32</v>
      </c>
      <c r="G8317" s="7">
        <v>3919641</v>
      </c>
      <c r="H8317" s="7">
        <v>2426</v>
      </c>
      <c r="I8317" s="7">
        <v>87</v>
      </c>
      <c r="J8317" s="7">
        <v>0</v>
      </c>
      <c r="K8317" s="7" t="s">
        <v>18</v>
      </c>
      <c r="L8317" s="8">
        <v>39987.315405092595</v>
      </c>
      <c r="M8317" s="9" t="s">
        <v>19</v>
      </c>
      <c r="N8317" s="9" t="s">
        <v>20</v>
      </c>
      <c r="O8317" s="6" t="str">
        <f>HYPERLINK("https://pbs.twimg.com/profile_images/962471262747529216/Uo8lOkRJ_normal.jpg","View")</f>
        <v>View</v>
      </c>
      <c r="P8317" s="7"/>
    </row>
    <row r="8318" spans="1:16">
      <c r="A8318" s="3">
        <v>44047.980856481481</v>
      </c>
      <c r="B8318" s="4" t="str">
        <f>HYPERLINK("https://twitter.com/petrogustavo","@petrogustavo")</f>
        <v>@petrogustavo</v>
      </c>
      <c r="C8318" s="5" t="s">
        <v>16</v>
      </c>
      <c r="D8318" s="5" t="s">
        <v>8022</v>
      </c>
      <c r="E8318" s="6" t="str">
        <f>HYPERLINK("https://twitter.com/petrogustavo/status/1290709696572268544","1290709696572268544")</f>
        <v>1290709696572268544</v>
      </c>
      <c r="F8318" s="7" t="s">
        <v>32</v>
      </c>
      <c r="G8318" s="7">
        <v>3919641</v>
      </c>
      <c r="H8318" s="7">
        <v>2426</v>
      </c>
      <c r="I8318" s="7">
        <v>18</v>
      </c>
      <c r="J8318" s="7">
        <v>42</v>
      </c>
      <c r="K8318" s="7" t="s">
        <v>18</v>
      </c>
      <c r="L8318" s="8">
        <v>39987.315405092595</v>
      </c>
      <c r="M8318" s="9" t="s">
        <v>19</v>
      </c>
      <c r="N8318" s="9" t="s">
        <v>20</v>
      </c>
      <c r="O8318" s="6" t="str">
        <f>HYPERLINK("https://pbs.twimg.com/profile_images/962471262747529216/Uo8lOkRJ_normal.jpg","View")</f>
        <v>View</v>
      </c>
      <c r="P8318" s="7"/>
    </row>
    <row r="8319" spans="1:16">
      <c r="A8319" s="3">
        <v>44047.98228009259</v>
      </c>
      <c r="B8319" s="4" t="str">
        <f>HYPERLINK("https://twitter.com/petrogustavo","@petrogustavo")</f>
        <v>@petrogustavo</v>
      </c>
      <c r="C8319" s="5" t="s">
        <v>16</v>
      </c>
      <c r="D8319" s="5" t="s">
        <v>8023</v>
      </c>
      <c r="E8319" s="6" t="str">
        <f>HYPERLINK("https://twitter.com/petrogustavo/status/1290710210714251266","1290710210714251266")</f>
        <v>1290710210714251266</v>
      </c>
      <c r="F8319" s="7" t="s">
        <v>32</v>
      </c>
      <c r="G8319" s="7">
        <v>3919808</v>
      </c>
      <c r="H8319" s="7">
        <v>2426</v>
      </c>
      <c r="I8319" s="7">
        <v>299</v>
      </c>
      <c r="J8319" s="7">
        <v>0</v>
      </c>
      <c r="K8319" s="7" t="s">
        <v>18</v>
      </c>
      <c r="L8319" s="8">
        <v>39987.315405092595</v>
      </c>
      <c r="M8319" s="9" t="s">
        <v>19</v>
      </c>
      <c r="N8319" s="9" t="s">
        <v>20</v>
      </c>
      <c r="O8319" s="6" t="str">
        <f>HYPERLINK("https://pbs.twimg.com/profile_images/962471262747529216/Uo8lOkRJ_normal.jpg","View")</f>
        <v>View</v>
      </c>
      <c r="P8319" s="7"/>
    </row>
    <row r="8320" spans="1:16">
      <c r="A8320" s="3">
        <v>44047.982453703706</v>
      </c>
      <c r="B8320" s="4" t="str">
        <f>HYPERLINK("https://twitter.com/petrogustavo","@petrogustavo")</f>
        <v>@petrogustavo</v>
      </c>
      <c r="C8320" s="5" t="s">
        <v>16</v>
      </c>
      <c r="D8320" s="5" t="s">
        <v>8024</v>
      </c>
      <c r="E8320" s="6" t="str">
        <f>HYPERLINK("https://twitter.com/petrogustavo/status/1290710276279545860","1290710276279545860")</f>
        <v>1290710276279545860</v>
      </c>
      <c r="F8320" s="7" t="s">
        <v>32</v>
      </c>
      <c r="G8320" s="7">
        <v>3919808</v>
      </c>
      <c r="H8320" s="7">
        <v>2426</v>
      </c>
      <c r="I8320" s="7">
        <v>211</v>
      </c>
      <c r="J8320" s="7">
        <v>0</v>
      </c>
      <c r="K8320" s="7" t="s">
        <v>18</v>
      </c>
      <c r="L8320" s="8">
        <v>39987.315405092595</v>
      </c>
      <c r="M8320" s="9" t="s">
        <v>19</v>
      </c>
      <c r="N8320" s="9" t="s">
        <v>20</v>
      </c>
      <c r="O8320" s="6" t="str">
        <f>HYPERLINK("https://pbs.twimg.com/profile_images/962471262747529216/Uo8lOkRJ_normal.jpg","View")</f>
        <v>View</v>
      </c>
      <c r="P8320" s="7"/>
    </row>
    <row r="8321" spans="1:16">
      <c r="A8321" s="3">
        <v>44047.98951388889</v>
      </c>
      <c r="B8321" s="4" t="str">
        <f>HYPERLINK("https://twitter.com/petrogustavo","@petrogustavo")</f>
        <v>@petrogustavo</v>
      </c>
      <c r="C8321" s="5" t="s">
        <v>16</v>
      </c>
      <c r="D8321" s="5" t="s">
        <v>8025</v>
      </c>
      <c r="E8321" s="6" t="str">
        <f>HYPERLINK("https://twitter.com/petrogustavo/status/1290712833336852481","1290712833336852481")</f>
        <v>1290712833336852481</v>
      </c>
      <c r="F8321" s="7" t="s">
        <v>32</v>
      </c>
      <c r="G8321" s="7">
        <v>3919808</v>
      </c>
      <c r="H8321" s="7">
        <v>2426</v>
      </c>
      <c r="I8321" s="7">
        <v>1216</v>
      </c>
      <c r="J8321" s="7">
        <v>4603</v>
      </c>
      <c r="K8321" s="7" t="s">
        <v>18</v>
      </c>
      <c r="L8321" s="8">
        <v>39987.315405092595</v>
      </c>
      <c r="M8321" s="9" t="s">
        <v>19</v>
      </c>
      <c r="N8321" s="9" t="s">
        <v>20</v>
      </c>
      <c r="O8321" s="6" t="str">
        <f>HYPERLINK("https://pbs.twimg.com/profile_images/962471262747529216/Uo8lOkRJ_normal.jpg","View")</f>
        <v>View</v>
      </c>
      <c r="P8321" s="7"/>
    </row>
    <row r="8322" spans="1:16">
      <c r="A8322" s="3">
        <v>44047.994756944448</v>
      </c>
      <c r="B8322" s="4" t="str">
        <f>HYPERLINK("https://twitter.com/petrogustavo","@petrogustavo")</f>
        <v>@petrogustavo</v>
      </c>
      <c r="C8322" s="5" t="s">
        <v>16</v>
      </c>
      <c r="D8322" s="5" t="s">
        <v>8026</v>
      </c>
      <c r="E8322" s="6" t="str">
        <f>HYPERLINK("https://twitter.com/petrogustavo/status/1290714733600022528","1290714733600022528")</f>
        <v>1290714733600022528</v>
      </c>
      <c r="F8322" s="7" t="s">
        <v>32</v>
      </c>
      <c r="G8322" s="7">
        <v>3919808</v>
      </c>
      <c r="H8322" s="7">
        <v>2426</v>
      </c>
      <c r="I8322" s="7">
        <v>41</v>
      </c>
      <c r="J8322" s="7">
        <v>0</v>
      </c>
      <c r="K8322" s="7" t="s">
        <v>18</v>
      </c>
      <c r="L8322" s="8">
        <v>39987.315405092595</v>
      </c>
      <c r="M8322" s="9" t="s">
        <v>19</v>
      </c>
      <c r="N8322" s="9" t="s">
        <v>20</v>
      </c>
      <c r="O8322" s="6" t="str">
        <f>HYPERLINK("https://pbs.twimg.com/profile_images/962471262747529216/Uo8lOkRJ_normal.jpg","View")</f>
        <v>View</v>
      </c>
      <c r="P8322" s="7"/>
    </row>
    <row r="8323" spans="1:16">
      <c r="A8323" s="3">
        <v>44047.994884259257</v>
      </c>
      <c r="B8323" s="4" t="str">
        <f>HYPERLINK("https://twitter.com/petrogustavo","@petrogustavo")</f>
        <v>@petrogustavo</v>
      </c>
      <c r="C8323" s="5" t="s">
        <v>16</v>
      </c>
      <c r="D8323" s="5" t="s">
        <v>8027</v>
      </c>
      <c r="E8323" s="6" t="str">
        <f>HYPERLINK("https://twitter.com/petrogustavo/status/1290714777858256898","1290714777858256898")</f>
        <v>1290714777858256898</v>
      </c>
      <c r="F8323" s="7" t="s">
        <v>32</v>
      </c>
      <c r="G8323" s="7">
        <v>3919808</v>
      </c>
      <c r="H8323" s="7">
        <v>2426</v>
      </c>
      <c r="I8323" s="7">
        <v>1216</v>
      </c>
      <c r="J8323" s="7">
        <v>0</v>
      </c>
      <c r="K8323" s="7" t="s">
        <v>18</v>
      </c>
      <c r="L8323" s="8">
        <v>39987.315405092595</v>
      </c>
      <c r="M8323" s="9" t="s">
        <v>19</v>
      </c>
      <c r="N8323" s="9" t="s">
        <v>20</v>
      </c>
      <c r="O8323" s="6" t="str">
        <f>HYPERLINK("https://pbs.twimg.com/profile_images/962471262747529216/Uo8lOkRJ_normal.jpg","View")</f>
        <v>View</v>
      </c>
      <c r="P8323" s="7"/>
    </row>
    <row r="8324" spans="1:16">
      <c r="A8324" s="3">
        <v>44048.045347222222</v>
      </c>
      <c r="B8324" s="4" t="str">
        <f>HYPERLINK("https://twitter.com/petrogustavo","@petrogustavo")</f>
        <v>@petrogustavo</v>
      </c>
      <c r="C8324" s="5" t="s">
        <v>16</v>
      </c>
      <c r="D8324" s="5" t="s">
        <v>8028</v>
      </c>
      <c r="E8324" s="6" t="str">
        <f>HYPERLINK("https://twitter.com/petrogustavo/status/1290733066890162179","1290733066890162179")</f>
        <v>1290733066890162179</v>
      </c>
      <c r="F8324" s="7" t="s">
        <v>17</v>
      </c>
      <c r="G8324" s="7">
        <v>3921905</v>
      </c>
      <c r="H8324" s="7">
        <v>2427</v>
      </c>
      <c r="I8324" s="7">
        <v>2253</v>
      </c>
      <c r="J8324" s="7">
        <v>9235</v>
      </c>
      <c r="K8324" s="7" t="s">
        <v>18</v>
      </c>
      <c r="L8324" s="8">
        <v>39987.315405092595</v>
      </c>
      <c r="M8324" s="9" t="s">
        <v>19</v>
      </c>
      <c r="N8324" s="9" t="s">
        <v>20</v>
      </c>
      <c r="O8324" s="6" t="str">
        <f>HYPERLINK("https://pbs.twimg.com/profile_images/962471262747529216/Uo8lOkRJ_normal.jpg","View")</f>
        <v>View</v>
      </c>
      <c r="P8324" s="7"/>
    </row>
    <row r="8325" spans="1:16">
      <c r="A8325" s="3">
        <v>44048.047384259262</v>
      </c>
      <c r="B8325" s="4" t="str">
        <f>HYPERLINK("https://twitter.com/petrogustavo","@petrogustavo")</f>
        <v>@petrogustavo</v>
      </c>
      <c r="C8325" s="5" t="s">
        <v>16</v>
      </c>
      <c r="D8325" s="5" t="s">
        <v>8029</v>
      </c>
      <c r="E8325" s="6" t="str">
        <f>HYPERLINK("https://twitter.com/petrogustavo/status/1290733803670052868","1290733803670052868")</f>
        <v>1290733803670052868</v>
      </c>
      <c r="F8325" s="7" t="s">
        <v>17</v>
      </c>
      <c r="G8325" s="7">
        <v>3921905</v>
      </c>
      <c r="H8325" s="7">
        <v>2427</v>
      </c>
      <c r="I8325" s="7">
        <v>311</v>
      </c>
      <c r="J8325" s="7">
        <v>1578</v>
      </c>
      <c r="K8325" s="7" t="s">
        <v>18</v>
      </c>
      <c r="L8325" s="8">
        <v>39987.315405092595</v>
      </c>
      <c r="M8325" s="9" t="s">
        <v>19</v>
      </c>
      <c r="N8325" s="9" t="s">
        <v>20</v>
      </c>
      <c r="O8325" s="6" t="str">
        <f>HYPERLINK("https://pbs.twimg.com/profile_images/962471262747529216/Uo8lOkRJ_normal.jpg","View")</f>
        <v>View</v>
      </c>
      <c r="P8325" s="7"/>
    </row>
    <row r="8326" spans="1:16">
      <c r="A8326" s="3">
        <v>44048.05363425926</v>
      </c>
      <c r="B8326" s="4" t="str">
        <f>HYPERLINK("https://twitter.com/petrogustavo","@petrogustavo")</f>
        <v>@petrogustavo</v>
      </c>
      <c r="C8326" s="5" t="s">
        <v>16</v>
      </c>
      <c r="D8326" s="5" t="s">
        <v>8030</v>
      </c>
      <c r="E8326" s="6" t="str">
        <f>HYPERLINK("https://twitter.com/petrogustavo/status/1290736071467204609","1290736071467204609")</f>
        <v>1290736071467204609</v>
      </c>
      <c r="F8326" s="7" t="s">
        <v>17</v>
      </c>
      <c r="G8326" s="7">
        <v>3921905</v>
      </c>
      <c r="H8326" s="7">
        <v>2427</v>
      </c>
      <c r="I8326" s="7">
        <v>681</v>
      </c>
      <c r="J8326" s="7">
        <v>2612</v>
      </c>
      <c r="K8326" s="7" t="s">
        <v>18</v>
      </c>
      <c r="L8326" s="8">
        <v>39987.315405092595</v>
      </c>
      <c r="M8326" s="9" t="s">
        <v>19</v>
      </c>
      <c r="N8326" s="9" t="s">
        <v>20</v>
      </c>
      <c r="O8326" s="6" t="str">
        <f>HYPERLINK("https://pbs.twimg.com/profile_images/962471262747529216/Uo8lOkRJ_normal.jpg","View")</f>
        <v>View</v>
      </c>
      <c r="P8326" s="7"/>
    </row>
    <row r="8327" spans="1:16">
      <c r="A8327" s="3">
        <v>44048.065613425926</v>
      </c>
      <c r="B8327" s="4" t="str">
        <f>HYPERLINK("https://twitter.com/petrogustavo","@petrogustavo")</f>
        <v>@petrogustavo</v>
      </c>
      <c r="C8327" s="5" t="s">
        <v>16</v>
      </c>
      <c r="D8327" s="5" t="s">
        <v>8031</v>
      </c>
      <c r="E8327" s="6" t="str">
        <f>HYPERLINK("https://twitter.com/petrogustavo/status/1290740409778556930","1290740409778556930")</f>
        <v>1290740409778556930</v>
      </c>
      <c r="F8327" s="7" t="s">
        <v>17</v>
      </c>
      <c r="G8327" s="7">
        <v>3922330</v>
      </c>
      <c r="H8327" s="7">
        <v>2427</v>
      </c>
      <c r="I8327" s="7">
        <v>3517</v>
      </c>
      <c r="J8327" s="7">
        <v>0</v>
      </c>
      <c r="K8327" s="7" t="s">
        <v>18</v>
      </c>
      <c r="L8327" s="8">
        <v>39987.315405092595</v>
      </c>
      <c r="M8327" s="9" t="s">
        <v>19</v>
      </c>
      <c r="N8327" s="9" t="s">
        <v>20</v>
      </c>
      <c r="O8327" s="6" t="str">
        <f>HYPERLINK("https://pbs.twimg.com/profile_images/962471262747529216/Uo8lOkRJ_normal.jpg","View")</f>
        <v>View</v>
      </c>
      <c r="P8327" s="7"/>
    </row>
    <row r="8328" spans="1:16">
      <c r="A8328" s="3">
        <v>44048.067476851851</v>
      </c>
      <c r="B8328" s="4" t="str">
        <f>HYPERLINK("https://twitter.com/petrogustavo","@petrogustavo")</f>
        <v>@petrogustavo</v>
      </c>
      <c r="C8328" s="5" t="s">
        <v>16</v>
      </c>
      <c r="D8328" s="5" t="s">
        <v>8032</v>
      </c>
      <c r="E8328" s="6" t="str">
        <f>HYPERLINK("https://twitter.com/petrogustavo/status/1290741087791919106","1290741087791919106")</f>
        <v>1290741087791919106</v>
      </c>
      <c r="F8328" s="7" t="s">
        <v>17</v>
      </c>
      <c r="G8328" s="7">
        <v>3922330</v>
      </c>
      <c r="H8328" s="7">
        <v>2427</v>
      </c>
      <c r="I8328" s="7">
        <v>1406</v>
      </c>
      <c r="J8328" s="7">
        <v>6775</v>
      </c>
      <c r="K8328" s="7" t="s">
        <v>18</v>
      </c>
      <c r="L8328" s="8">
        <v>39987.315405092595</v>
      </c>
      <c r="M8328" s="9" t="s">
        <v>19</v>
      </c>
      <c r="N8328" s="9" t="s">
        <v>20</v>
      </c>
      <c r="O8328" s="6" t="str">
        <f>HYPERLINK("https://pbs.twimg.com/profile_images/962471262747529216/Uo8lOkRJ_normal.jpg","View")</f>
        <v>View</v>
      </c>
      <c r="P8328" s="7"/>
    </row>
    <row r="8329" spans="1:16">
      <c r="A8329" s="3">
        <v>44048.068692129629</v>
      </c>
      <c r="B8329" s="4" t="str">
        <f>HYPERLINK("https://twitter.com/petrogustavo","@petrogustavo")</f>
        <v>@petrogustavo</v>
      </c>
      <c r="C8329" s="5" t="s">
        <v>16</v>
      </c>
      <c r="D8329" s="5" t="s">
        <v>8033</v>
      </c>
      <c r="E8329" s="6" t="str">
        <f>HYPERLINK("https://twitter.com/petrogustavo/status/1290741528369991681","1290741528369991681")</f>
        <v>1290741528369991681</v>
      </c>
      <c r="F8329" s="7" t="s">
        <v>17</v>
      </c>
      <c r="G8329" s="7">
        <v>3922330</v>
      </c>
      <c r="H8329" s="7">
        <v>2427</v>
      </c>
      <c r="I8329" s="7">
        <v>428</v>
      </c>
      <c r="J8329" s="7">
        <v>2578</v>
      </c>
      <c r="K8329" s="7" t="s">
        <v>18</v>
      </c>
      <c r="L8329" s="8">
        <v>39987.315405092595</v>
      </c>
      <c r="M8329" s="9" t="s">
        <v>19</v>
      </c>
      <c r="N8329" s="9" t="s">
        <v>20</v>
      </c>
      <c r="O8329" s="6" t="str">
        <f>HYPERLINK("https://pbs.twimg.com/profile_images/962471262747529216/Uo8lOkRJ_normal.jpg","View")</f>
        <v>View</v>
      </c>
      <c r="P8329" s="7"/>
    </row>
    <row r="8330" spans="1:16">
      <c r="A8330" s="3">
        <v>44048.079456018517</v>
      </c>
      <c r="B8330" s="4" t="str">
        <f>HYPERLINK("https://twitter.com/petrogustavo","@petrogustavo")</f>
        <v>@petrogustavo</v>
      </c>
      <c r="C8330" s="5" t="s">
        <v>16</v>
      </c>
      <c r="D8330" s="5" t="s">
        <v>8034</v>
      </c>
      <c r="E8330" s="6" t="str">
        <f>HYPERLINK("https://twitter.com/petrogustavo/status/1290745427189473285","1290745427189473285")</f>
        <v>1290745427189473285</v>
      </c>
      <c r="F8330" s="7" t="s">
        <v>17</v>
      </c>
      <c r="G8330" s="7">
        <v>3922330</v>
      </c>
      <c r="H8330" s="7">
        <v>2427</v>
      </c>
      <c r="I8330" s="7">
        <v>133</v>
      </c>
      <c r="J8330" s="7">
        <v>541</v>
      </c>
      <c r="K8330" s="7" t="s">
        <v>18</v>
      </c>
      <c r="L8330" s="8">
        <v>39987.315405092595</v>
      </c>
      <c r="M8330" s="9" t="s">
        <v>19</v>
      </c>
      <c r="N8330" s="9" t="s">
        <v>20</v>
      </c>
      <c r="O8330" s="6" t="str">
        <f>HYPERLINK("https://pbs.twimg.com/profile_images/962471262747529216/Uo8lOkRJ_normal.jpg","View")</f>
        <v>View</v>
      </c>
      <c r="P8330" s="7"/>
    </row>
    <row r="8331" spans="1:16">
      <c r="A8331" s="3">
        <v>44048.079768518517</v>
      </c>
      <c r="B8331" s="4" t="str">
        <f>HYPERLINK("https://twitter.com/petrogustavo","@petrogustavo")</f>
        <v>@petrogustavo</v>
      </c>
      <c r="C8331" s="5" t="s">
        <v>16</v>
      </c>
      <c r="D8331" s="5" t="s">
        <v>8035</v>
      </c>
      <c r="E8331" s="6" t="str">
        <f>HYPERLINK("https://twitter.com/petrogustavo/status/1290745539454279681","1290745539454279681")</f>
        <v>1290745539454279681</v>
      </c>
      <c r="F8331" s="7" t="s">
        <v>17</v>
      </c>
      <c r="G8331" s="7">
        <v>3922330</v>
      </c>
      <c r="H8331" s="7">
        <v>2427</v>
      </c>
      <c r="I8331" s="7">
        <v>1406</v>
      </c>
      <c r="J8331" s="7">
        <v>0</v>
      </c>
      <c r="K8331" s="7" t="s">
        <v>18</v>
      </c>
      <c r="L8331" s="8">
        <v>39987.315405092595</v>
      </c>
      <c r="M8331" s="9" t="s">
        <v>19</v>
      </c>
      <c r="N8331" s="9" t="s">
        <v>20</v>
      </c>
      <c r="O8331" s="6" t="str">
        <f>HYPERLINK("https://pbs.twimg.com/profile_images/962471262747529216/Uo8lOkRJ_normal.jpg","View")</f>
        <v>View</v>
      </c>
      <c r="P8331" s="7"/>
    </row>
    <row r="8332" spans="1:16">
      <c r="A8332" s="3">
        <v>44048.08520833333</v>
      </c>
      <c r="B8332" s="4" t="str">
        <f>HYPERLINK("https://twitter.com/petrogustavo","@petrogustavo")</f>
        <v>@petrogustavo</v>
      </c>
      <c r="C8332" s="5" t="s">
        <v>16</v>
      </c>
      <c r="D8332" s="5" t="s">
        <v>8036</v>
      </c>
      <c r="E8332" s="6" t="str">
        <f>HYPERLINK("https://twitter.com/petrogustavo/status/1290747511632781312","1290747511632781312")</f>
        <v>1290747511632781312</v>
      </c>
      <c r="F8332" s="7" t="s">
        <v>17</v>
      </c>
      <c r="G8332" s="7">
        <v>3922330</v>
      </c>
      <c r="H8332" s="7">
        <v>2427</v>
      </c>
      <c r="I8332" s="7">
        <v>8</v>
      </c>
      <c r="J8332" s="7">
        <v>38</v>
      </c>
      <c r="K8332" s="7" t="s">
        <v>18</v>
      </c>
      <c r="L8332" s="8">
        <v>39987.315405092595</v>
      </c>
      <c r="M8332" s="9" t="s">
        <v>19</v>
      </c>
      <c r="N8332" s="9" t="s">
        <v>20</v>
      </c>
      <c r="O8332" s="6" t="str">
        <f>HYPERLINK("https://pbs.twimg.com/profile_images/962471262747529216/Uo8lOkRJ_normal.jpg","View")</f>
        <v>View</v>
      </c>
      <c r="P8332" s="7"/>
    </row>
    <row r="8333" spans="1:16">
      <c r="A8333" s="3">
        <v>44048.086608796293</v>
      </c>
      <c r="B8333" s="4" t="str">
        <f>HYPERLINK("https://twitter.com/petrogustavo","@petrogustavo")</f>
        <v>@petrogustavo</v>
      </c>
      <c r="C8333" s="5" t="s">
        <v>16</v>
      </c>
      <c r="D8333" s="5" t="s">
        <v>8035</v>
      </c>
      <c r="E8333" s="6" t="str">
        <f>HYPERLINK("https://twitter.com/petrogustavo/status/1290748018392694784","1290748018392694784")</f>
        <v>1290748018392694784</v>
      </c>
      <c r="F8333" s="7" t="s">
        <v>17</v>
      </c>
      <c r="G8333" s="7">
        <v>3922625</v>
      </c>
      <c r="H8333" s="7">
        <v>2427</v>
      </c>
      <c r="I8333" s="7">
        <v>2280</v>
      </c>
      <c r="J8333" s="7">
        <v>0</v>
      </c>
      <c r="K8333" s="7" t="s">
        <v>18</v>
      </c>
      <c r="L8333" s="8">
        <v>39987.315405092595</v>
      </c>
      <c r="M8333" s="9" t="s">
        <v>19</v>
      </c>
      <c r="N8333" s="9" t="s">
        <v>20</v>
      </c>
      <c r="O8333" s="6" t="str">
        <f>HYPERLINK("https://pbs.twimg.com/profile_images/962471262747529216/Uo8lOkRJ_normal.jpg","View")</f>
        <v>View</v>
      </c>
      <c r="P8333" s="7"/>
    </row>
    <row r="8334" spans="1:16">
      <c r="A8334" s="3">
        <v>44048.125057870369</v>
      </c>
      <c r="B8334" s="4" t="str">
        <f>HYPERLINK("https://twitter.com/petrogustavo","@petrogustavo")</f>
        <v>@petrogustavo</v>
      </c>
      <c r="C8334" s="5" t="s">
        <v>16</v>
      </c>
      <c r="D8334" s="5" t="s">
        <v>8037</v>
      </c>
      <c r="E8334" s="6" t="str">
        <f>HYPERLINK("https://twitter.com/petrogustavo/status/1290761953552543749","1290761953552543749")</f>
        <v>1290761953552543749</v>
      </c>
      <c r="F8334" s="7" t="s">
        <v>17</v>
      </c>
      <c r="G8334" s="7">
        <v>3922842</v>
      </c>
      <c r="H8334" s="7">
        <v>2427</v>
      </c>
      <c r="I8334" s="7">
        <v>143</v>
      </c>
      <c r="J8334" s="7">
        <v>546</v>
      </c>
      <c r="K8334" s="7" t="s">
        <v>18</v>
      </c>
      <c r="L8334" s="8">
        <v>39987.315405092595</v>
      </c>
      <c r="M8334" s="9" t="s">
        <v>19</v>
      </c>
      <c r="N8334" s="9" t="s">
        <v>20</v>
      </c>
      <c r="O8334" s="6" t="str">
        <f>HYPERLINK("https://pbs.twimg.com/profile_images/962471262747529216/Uo8lOkRJ_normal.jpg","View")</f>
        <v>View</v>
      </c>
      <c r="P8334" s="7"/>
    </row>
    <row r="8335" spans="1:16">
      <c r="A8335" s="3">
        <v>44048.129166666666</v>
      </c>
      <c r="B8335" s="4" t="str">
        <f>HYPERLINK("https://twitter.com/petrogustavo","@petrogustavo")</f>
        <v>@petrogustavo</v>
      </c>
      <c r="C8335" s="5" t="s">
        <v>16</v>
      </c>
      <c r="D8335" s="5" t="s">
        <v>8038</v>
      </c>
      <c r="E8335" s="6" t="str">
        <f>HYPERLINK("https://twitter.com/petrogustavo/status/1290763442337480705","1290763442337480705")</f>
        <v>1290763442337480705</v>
      </c>
      <c r="F8335" s="7" t="s">
        <v>17</v>
      </c>
      <c r="G8335" s="7">
        <v>3923014</v>
      </c>
      <c r="H8335" s="7">
        <v>2427</v>
      </c>
      <c r="I8335" s="7">
        <v>935</v>
      </c>
      <c r="J8335" s="7">
        <v>3648</v>
      </c>
      <c r="K8335" s="7" t="s">
        <v>18</v>
      </c>
      <c r="L8335" s="8">
        <v>39987.315405092595</v>
      </c>
      <c r="M8335" s="9" t="s">
        <v>19</v>
      </c>
      <c r="N8335" s="9" t="s">
        <v>20</v>
      </c>
      <c r="O8335" s="6" t="str">
        <f>HYPERLINK("https://pbs.twimg.com/profile_images/962471262747529216/Uo8lOkRJ_normal.jpg","View")</f>
        <v>View</v>
      </c>
      <c r="P8335" s="7"/>
    </row>
    <row r="8336" spans="1:16">
      <c r="A8336" s="3">
        <v>44048.138831018514</v>
      </c>
      <c r="B8336" s="4" t="str">
        <f>HYPERLINK("https://twitter.com/petrogustavo","@petrogustavo")</f>
        <v>@petrogustavo</v>
      </c>
      <c r="C8336" s="5" t="s">
        <v>16</v>
      </c>
      <c r="D8336" s="5" t="s">
        <v>8035</v>
      </c>
      <c r="E8336" s="6" t="str">
        <f>HYPERLINK("https://twitter.com/petrogustavo/status/1290766942471622656","1290766942471622656")</f>
        <v>1290766942471622656</v>
      </c>
      <c r="F8336" s="7" t="s">
        <v>17</v>
      </c>
      <c r="G8336" s="7">
        <v>3923014</v>
      </c>
      <c r="H8336" s="7">
        <v>2427</v>
      </c>
      <c r="I8336" s="7">
        <v>3395</v>
      </c>
      <c r="J8336" s="7">
        <v>0</v>
      </c>
      <c r="K8336" s="7" t="s">
        <v>18</v>
      </c>
      <c r="L8336" s="8">
        <v>39987.315405092595</v>
      </c>
      <c r="M8336" s="9" t="s">
        <v>19</v>
      </c>
      <c r="N8336" s="9" t="s">
        <v>20</v>
      </c>
      <c r="O8336" s="6" t="str">
        <f>HYPERLINK("https://pbs.twimg.com/profile_images/962471262747529216/Uo8lOkRJ_normal.jpg","View")</f>
        <v>View</v>
      </c>
      <c r="P8336" s="7"/>
    </row>
    <row r="8337" spans="1:16">
      <c r="A8337" s="3">
        <v>44048.139733796299</v>
      </c>
      <c r="B8337" s="4" t="str">
        <f>HYPERLINK("https://twitter.com/petrogustavo","@petrogustavo")</f>
        <v>@petrogustavo</v>
      </c>
      <c r="C8337" s="5" t="s">
        <v>16</v>
      </c>
      <c r="D8337" s="5" t="s">
        <v>8039</v>
      </c>
      <c r="E8337" s="6" t="str">
        <f>HYPERLINK("https://twitter.com/petrogustavo/status/1290767269866483712","1290767269866483712")</f>
        <v>1290767269866483712</v>
      </c>
      <c r="F8337" s="7" t="s">
        <v>17</v>
      </c>
      <c r="G8337" s="7">
        <v>3923014</v>
      </c>
      <c r="H8337" s="7">
        <v>2427</v>
      </c>
      <c r="I8337" s="7">
        <v>502</v>
      </c>
      <c r="J8337" s="7">
        <v>2840</v>
      </c>
      <c r="K8337" s="7" t="s">
        <v>18</v>
      </c>
      <c r="L8337" s="8">
        <v>39987.315405092595</v>
      </c>
      <c r="M8337" s="9" t="s">
        <v>19</v>
      </c>
      <c r="N8337" s="9" t="s">
        <v>20</v>
      </c>
      <c r="O8337" s="6" t="str">
        <f>HYPERLINK("https://pbs.twimg.com/profile_images/962471262747529216/Uo8lOkRJ_normal.jpg","View")</f>
        <v>View</v>
      </c>
      <c r="P8337" s="7"/>
    </row>
    <row r="8338" spans="1:16">
      <c r="A8338" s="3">
        <v>44048.152314814812</v>
      </c>
      <c r="B8338" s="4" t="str">
        <f>HYPERLINK("https://twitter.com/petrogustavo","@petrogustavo")</f>
        <v>@petrogustavo</v>
      </c>
      <c r="C8338" s="5" t="s">
        <v>16</v>
      </c>
      <c r="D8338" s="5" t="s">
        <v>8040</v>
      </c>
      <c r="E8338" s="6" t="str">
        <f>HYPERLINK("https://twitter.com/petrogustavo/status/1290771829158752257","1290771829158752257")</f>
        <v>1290771829158752257</v>
      </c>
      <c r="F8338" s="7" t="s">
        <v>32</v>
      </c>
      <c r="G8338" s="7">
        <v>3923189</v>
      </c>
      <c r="H8338" s="7">
        <v>2427</v>
      </c>
      <c r="I8338" s="7">
        <v>624</v>
      </c>
      <c r="J8338" s="7">
        <v>2828</v>
      </c>
      <c r="K8338" s="7" t="s">
        <v>18</v>
      </c>
      <c r="L8338" s="8">
        <v>39987.315405092595</v>
      </c>
      <c r="M8338" s="9" t="s">
        <v>19</v>
      </c>
      <c r="N8338" s="9" t="s">
        <v>20</v>
      </c>
      <c r="O8338" s="6" t="str">
        <f>HYPERLINK("https://pbs.twimg.com/profile_images/962471262747529216/Uo8lOkRJ_normal.jpg","View")</f>
        <v>View</v>
      </c>
      <c r="P8338" s="7"/>
    </row>
    <row r="8339" spans="1:16">
      <c r="A8339" s="3">
        <v>44048.158078703702</v>
      </c>
      <c r="B8339" s="4" t="str">
        <f>HYPERLINK("https://twitter.com/petrogustavo","@petrogustavo")</f>
        <v>@petrogustavo</v>
      </c>
      <c r="C8339" s="5" t="s">
        <v>16</v>
      </c>
      <c r="D8339" s="5" t="s">
        <v>8041</v>
      </c>
      <c r="E8339" s="6" t="str">
        <f>HYPERLINK("https://twitter.com/petrogustavo/status/1290773920199696386","1290773920199696386")</f>
        <v>1290773920199696386</v>
      </c>
      <c r="F8339" s="7" t="s">
        <v>32</v>
      </c>
      <c r="G8339" s="7">
        <v>3923189</v>
      </c>
      <c r="H8339" s="7">
        <v>2427</v>
      </c>
      <c r="I8339" s="7">
        <v>51</v>
      </c>
      <c r="J8339" s="7">
        <v>0</v>
      </c>
      <c r="K8339" s="7" t="s">
        <v>18</v>
      </c>
      <c r="L8339" s="8">
        <v>39987.315405092595</v>
      </c>
      <c r="M8339" s="9" t="s">
        <v>19</v>
      </c>
      <c r="N8339" s="9" t="s">
        <v>20</v>
      </c>
      <c r="O8339" s="6" t="str">
        <f>HYPERLINK("https://pbs.twimg.com/profile_images/962471262747529216/Uo8lOkRJ_normal.jpg","View")</f>
        <v>View</v>
      </c>
      <c r="P8339" s="7"/>
    </row>
    <row r="8340" spans="1:16">
      <c r="A8340" s="3">
        <v>44048.162928240738</v>
      </c>
      <c r="B8340" s="4" t="str">
        <f>HYPERLINK("https://twitter.com/petrogustavo","@petrogustavo")</f>
        <v>@petrogustavo</v>
      </c>
      <c r="C8340" s="5" t="s">
        <v>16</v>
      </c>
      <c r="D8340" s="5" t="s">
        <v>8042</v>
      </c>
      <c r="E8340" s="6" t="str">
        <f>HYPERLINK("https://twitter.com/petrogustavo/status/1290775678871379973","1290775678871379973")</f>
        <v>1290775678871379973</v>
      </c>
      <c r="F8340" s="7" t="s">
        <v>32</v>
      </c>
      <c r="G8340" s="7">
        <v>3923189</v>
      </c>
      <c r="H8340" s="7">
        <v>2427</v>
      </c>
      <c r="I8340" s="7">
        <v>624</v>
      </c>
      <c r="J8340" s="7">
        <v>0</v>
      </c>
      <c r="K8340" s="7" t="s">
        <v>18</v>
      </c>
      <c r="L8340" s="8">
        <v>39987.315405092595</v>
      </c>
      <c r="M8340" s="9" t="s">
        <v>19</v>
      </c>
      <c r="N8340" s="9" t="s">
        <v>20</v>
      </c>
      <c r="O8340" s="6" t="str">
        <f>HYPERLINK("https://pbs.twimg.com/profile_images/962471262747529216/Uo8lOkRJ_normal.jpg","View")</f>
        <v>View</v>
      </c>
      <c r="P8340" s="7"/>
    </row>
    <row r="8341" spans="1:16">
      <c r="A8341" s="3">
        <v>44048.163460648153</v>
      </c>
      <c r="B8341" s="4" t="str">
        <f>HYPERLINK("https://twitter.com/petrogustavo","@petrogustavo")</f>
        <v>@petrogustavo</v>
      </c>
      <c r="C8341" s="5" t="s">
        <v>16</v>
      </c>
      <c r="D8341" s="5" t="s">
        <v>8043</v>
      </c>
      <c r="E8341" s="6" t="str">
        <f>HYPERLINK("https://twitter.com/petrogustavo/status/1290775868751699970","1290775868751699970")</f>
        <v>1290775868751699970</v>
      </c>
      <c r="F8341" s="7" t="s">
        <v>17</v>
      </c>
      <c r="G8341" s="7">
        <v>3923189</v>
      </c>
      <c r="H8341" s="7">
        <v>2427</v>
      </c>
      <c r="I8341" s="7">
        <v>1288</v>
      </c>
      <c r="J8341" s="7">
        <v>0</v>
      </c>
      <c r="K8341" s="7" t="s">
        <v>18</v>
      </c>
      <c r="L8341" s="8">
        <v>39987.315405092595</v>
      </c>
      <c r="M8341" s="9" t="s">
        <v>19</v>
      </c>
      <c r="N8341" s="9" t="s">
        <v>20</v>
      </c>
      <c r="O8341" s="6" t="str">
        <f>HYPERLINK("https://pbs.twimg.com/profile_images/962471262747529216/Uo8lOkRJ_normal.jpg","View")</f>
        <v>View</v>
      </c>
      <c r="P8341" s="7"/>
    </row>
    <row r="8342" spans="1:16">
      <c r="A8342" s="3">
        <v>44048.229618055557</v>
      </c>
      <c r="B8342" s="4" t="str">
        <f>HYPERLINK("https://twitter.com/petrogustavo","@petrogustavo")</f>
        <v>@petrogustavo</v>
      </c>
      <c r="C8342" s="5" t="s">
        <v>16</v>
      </c>
      <c r="D8342" s="5" t="s">
        <v>8044</v>
      </c>
      <c r="E8342" s="6" t="str">
        <f>HYPERLINK("https://twitter.com/petrogustavo/status/1290799845691789312","1290799845691789312")</f>
        <v>1290799845691789312</v>
      </c>
      <c r="F8342" s="7" t="s">
        <v>32</v>
      </c>
      <c r="G8342" s="7">
        <v>3923653</v>
      </c>
      <c r="H8342" s="7">
        <v>2427</v>
      </c>
      <c r="I8342" s="7">
        <v>29</v>
      </c>
      <c r="J8342" s="7">
        <v>0</v>
      </c>
      <c r="K8342" s="7" t="s">
        <v>18</v>
      </c>
      <c r="L8342" s="8">
        <v>39987.315405092595</v>
      </c>
      <c r="M8342" s="9" t="s">
        <v>19</v>
      </c>
      <c r="N8342" s="9" t="s">
        <v>20</v>
      </c>
      <c r="O8342" s="6" t="str">
        <f>HYPERLINK("https://pbs.twimg.com/profile_images/962471262747529216/Uo8lOkRJ_normal.jpg","View")</f>
        <v>View</v>
      </c>
      <c r="P8342" s="7"/>
    </row>
    <row r="8343" spans="1:16">
      <c r="A8343" s="3">
        <v>44048.229861111111</v>
      </c>
      <c r="B8343" s="4" t="str">
        <f>HYPERLINK("https://twitter.com/petrogustavo","@petrogustavo")</f>
        <v>@petrogustavo</v>
      </c>
      <c r="C8343" s="5" t="s">
        <v>16</v>
      </c>
      <c r="D8343" s="5" t="s">
        <v>8045</v>
      </c>
      <c r="E8343" s="6" t="str">
        <f>HYPERLINK("https://twitter.com/petrogustavo/status/1290799931930927107","1290799931930927107")</f>
        <v>1290799931930927107</v>
      </c>
      <c r="F8343" s="7" t="s">
        <v>32</v>
      </c>
      <c r="G8343" s="7">
        <v>3923653</v>
      </c>
      <c r="H8343" s="7">
        <v>2427</v>
      </c>
      <c r="I8343" s="7">
        <v>316</v>
      </c>
      <c r="J8343" s="7">
        <v>0</v>
      </c>
      <c r="K8343" s="7" t="s">
        <v>18</v>
      </c>
      <c r="L8343" s="8">
        <v>39987.315405092595</v>
      </c>
      <c r="M8343" s="9" t="s">
        <v>19</v>
      </c>
      <c r="N8343" s="9" t="s">
        <v>20</v>
      </c>
      <c r="O8343" s="6" t="str">
        <f>HYPERLINK("https://pbs.twimg.com/profile_images/962471262747529216/Uo8lOkRJ_normal.jpg","View")</f>
        <v>View</v>
      </c>
      <c r="P8343" s="7"/>
    </row>
    <row r="8344" spans="1:16">
      <c r="A8344" s="3">
        <v>44048.230115740742</v>
      </c>
      <c r="B8344" s="4" t="str">
        <f>HYPERLINK("https://twitter.com/petrogustavo","@petrogustavo")</f>
        <v>@petrogustavo</v>
      </c>
      <c r="C8344" s="5" t="s">
        <v>16</v>
      </c>
      <c r="D8344" s="5" t="s">
        <v>8046</v>
      </c>
      <c r="E8344" s="6" t="str">
        <f>HYPERLINK("https://twitter.com/petrogustavo/status/1290800025996529664","1290800025996529664")</f>
        <v>1290800025996529664</v>
      </c>
      <c r="F8344" s="7" t="s">
        <v>32</v>
      </c>
      <c r="G8344" s="7">
        <v>3923653</v>
      </c>
      <c r="H8344" s="7">
        <v>2427</v>
      </c>
      <c r="I8344" s="7">
        <v>77</v>
      </c>
      <c r="J8344" s="7">
        <v>0</v>
      </c>
      <c r="K8344" s="7" t="s">
        <v>18</v>
      </c>
      <c r="L8344" s="8">
        <v>39987.315405092595</v>
      </c>
      <c r="M8344" s="9" t="s">
        <v>19</v>
      </c>
      <c r="N8344" s="9" t="s">
        <v>20</v>
      </c>
      <c r="O8344" s="6" t="str">
        <f>HYPERLINK("https://pbs.twimg.com/profile_images/962471262747529216/Uo8lOkRJ_normal.jpg","View")</f>
        <v>View</v>
      </c>
      <c r="P8344" s="7"/>
    </row>
    <row r="8345" spans="1:16">
      <c r="A8345" s="3">
        <v>44048.230243055557</v>
      </c>
      <c r="B8345" s="4" t="str">
        <f>HYPERLINK("https://twitter.com/petrogustavo","@petrogustavo")</f>
        <v>@petrogustavo</v>
      </c>
      <c r="C8345" s="5" t="s">
        <v>16</v>
      </c>
      <c r="D8345" s="5" t="s">
        <v>8047</v>
      </c>
      <c r="E8345" s="6" t="str">
        <f>HYPERLINK("https://twitter.com/petrogustavo/status/1290800072750505984","1290800072750505984")</f>
        <v>1290800072750505984</v>
      </c>
      <c r="F8345" s="7" t="s">
        <v>32</v>
      </c>
      <c r="G8345" s="7">
        <v>3923653</v>
      </c>
      <c r="H8345" s="7">
        <v>2427</v>
      </c>
      <c r="I8345" s="7">
        <v>90</v>
      </c>
      <c r="J8345" s="7">
        <v>0</v>
      </c>
      <c r="K8345" s="7" t="s">
        <v>18</v>
      </c>
      <c r="L8345" s="8">
        <v>39987.315405092595</v>
      </c>
      <c r="M8345" s="9" t="s">
        <v>19</v>
      </c>
      <c r="N8345" s="9" t="s">
        <v>20</v>
      </c>
      <c r="O8345" s="6" t="str">
        <f>HYPERLINK("https://pbs.twimg.com/profile_images/962471262747529216/Uo8lOkRJ_normal.jpg","View")</f>
        <v>View</v>
      </c>
      <c r="P8345" s="7"/>
    </row>
    <row r="8346" spans="1:16">
      <c r="A8346" s="3">
        <v>44048.234444444446</v>
      </c>
      <c r="B8346" s="4" t="str">
        <f>HYPERLINK("https://twitter.com/petrogustavo","@petrogustavo")</f>
        <v>@petrogustavo</v>
      </c>
      <c r="C8346" s="5" t="s">
        <v>16</v>
      </c>
      <c r="D8346" s="5" t="s">
        <v>8048</v>
      </c>
      <c r="E8346" s="6" t="str">
        <f>HYPERLINK("https://twitter.com/petrogustavo/status/1290801593185689601","1290801593185689601")</f>
        <v>1290801593185689601</v>
      </c>
      <c r="F8346" s="7" t="s">
        <v>32</v>
      </c>
      <c r="G8346" s="7">
        <v>3923805</v>
      </c>
      <c r="H8346" s="7">
        <v>2427</v>
      </c>
      <c r="I8346" s="7">
        <v>459</v>
      </c>
      <c r="J8346" s="7">
        <v>1499</v>
      </c>
      <c r="K8346" s="7" t="s">
        <v>18</v>
      </c>
      <c r="L8346" s="8">
        <v>39987.315405092595</v>
      </c>
      <c r="M8346" s="9" t="s">
        <v>19</v>
      </c>
      <c r="N8346" s="9" t="s">
        <v>20</v>
      </c>
      <c r="O8346" s="6" t="str">
        <f>HYPERLINK("https://pbs.twimg.com/profile_images/962471262747529216/Uo8lOkRJ_normal.jpg","View")</f>
        <v>View</v>
      </c>
      <c r="P8346" s="7"/>
    </row>
    <row r="8347" spans="1:16">
      <c r="A8347" s="3">
        <v>44048.244849537034</v>
      </c>
      <c r="B8347" s="4" t="str">
        <f>HYPERLINK("https://twitter.com/petrogustavo","@petrogustavo")</f>
        <v>@petrogustavo</v>
      </c>
      <c r="C8347" s="5" t="s">
        <v>16</v>
      </c>
      <c r="D8347" s="5" t="s">
        <v>8049</v>
      </c>
      <c r="E8347" s="6" t="str">
        <f>HYPERLINK("https://twitter.com/petrogustavo/status/1290805365609766917","1290805365609766917")</f>
        <v>1290805365609766917</v>
      </c>
      <c r="F8347" s="7" t="s">
        <v>32</v>
      </c>
      <c r="G8347" s="7">
        <v>3923805</v>
      </c>
      <c r="H8347" s="7">
        <v>2427</v>
      </c>
      <c r="I8347" s="7">
        <v>162</v>
      </c>
      <c r="J8347" s="7">
        <v>0</v>
      </c>
      <c r="K8347" s="7" t="s">
        <v>18</v>
      </c>
      <c r="L8347" s="8">
        <v>39987.315405092595</v>
      </c>
      <c r="M8347" s="9" t="s">
        <v>19</v>
      </c>
      <c r="N8347" s="9" t="s">
        <v>20</v>
      </c>
      <c r="O8347" s="6" t="str">
        <f>HYPERLINK("https://pbs.twimg.com/profile_images/962471262747529216/Uo8lOkRJ_normal.jpg","View")</f>
        <v>View</v>
      </c>
      <c r="P8347" s="7"/>
    </row>
    <row r="8348" spans="1:16">
      <c r="A8348" s="3">
        <v>44048.247233796297</v>
      </c>
      <c r="B8348" s="4" t="str">
        <f>HYPERLINK("https://twitter.com/petrogustavo","@petrogustavo")</f>
        <v>@petrogustavo</v>
      </c>
      <c r="C8348" s="5" t="s">
        <v>16</v>
      </c>
      <c r="D8348" s="5" t="s">
        <v>8050</v>
      </c>
      <c r="E8348" s="6" t="str">
        <f>HYPERLINK("https://twitter.com/petrogustavo/status/1290806229904891904","1290806229904891904")</f>
        <v>1290806229904891904</v>
      </c>
      <c r="F8348" s="7" t="s">
        <v>32</v>
      </c>
      <c r="G8348" s="7">
        <v>3923805</v>
      </c>
      <c r="H8348" s="7">
        <v>2427</v>
      </c>
      <c r="I8348" s="7">
        <v>21</v>
      </c>
      <c r="J8348" s="7">
        <v>0</v>
      </c>
      <c r="K8348" s="7" t="s">
        <v>18</v>
      </c>
      <c r="L8348" s="8">
        <v>39987.315405092595</v>
      </c>
      <c r="M8348" s="9" t="s">
        <v>19</v>
      </c>
      <c r="N8348" s="9" t="s">
        <v>20</v>
      </c>
      <c r="O8348" s="6" t="str">
        <f>HYPERLINK("https://pbs.twimg.com/profile_images/962471262747529216/Uo8lOkRJ_normal.jpg","View")</f>
        <v>View</v>
      </c>
      <c r="P8348" s="7"/>
    </row>
    <row r="8349" spans="1:16">
      <c r="A8349" s="3">
        <v>44048.247592592597</v>
      </c>
      <c r="B8349" s="4" t="str">
        <f>HYPERLINK("https://twitter.com/petrogustavo","@petrogustavo")</f>
        <v>@petrogustavo</v>
      </c>
      <c r="C8349" s="5" t="s">
        <v>16</v>
      </c>
      <c r="D8349" s="5" t="s">
        <v>8051</v>
      </c>
      <c r="E8349" s="6" t="str">
        <f>HYPERLINK("https://twitter.com/petrogustavo/status/1290806357776568321","1290806357776568321")</f>
        <v>1290806357776568321</v>
      </c>
      <c r="F8349" s="7" t="s">
        <v>32</v>
      </c>
      <c r="G8349" s="7">
        <v>3923805</v>
      </c>
      <c r="H8349" s="7">
        <v>2427</v>
      </c>
      <c r="I8349" s="7">
        <v>59</v>
      </c>
      <c r="J8349" s="7">
        <v>431</v>
      </c>
      <c r="K8349" s="7" t="s">
        <v>18</v>
      </c>
      <c r="L8349" s="8">
        <v>39987.315405092595</v>
      </c>
      <c r="M8349" s="9" t="s">
        <v>19</v>
      </c>
      <c r="N8349" s="9" t="s">
        <v>20</v>
      </c>
      <c r="O8349" s="6" t="str">
        <f>HYPERLINK("https://pbs.twimg.com/profile_images/962471262747529216/Uo8lOkRJ_normal.jpg","View")</f>
        <v>View</v>
      </c>
      <c r="P8349" s="7"/>
    </row>
    <row r="8350" spans="1:16">
      <c r="A8350" s="3">
        <v>44048.248043981483</v>
      </c>
      <c r="B8350" s="4" t="str">
        <f>HYPERLINK("https://twitter.com/petrogustavo","@petrogustavo")</f>
        <v>@petrogustavo</v>
      </c>
      <c r="C8350" s="5" t="s">
        <v>16</v>
      </c>
      <c r="D8350" s="5" t="s">
        <v>8052</v>
      </c>
      <c r="E8350" s="6" t="str">
        <f>HYPERLINK("https://twitter.com/petrogustavo/status/1290806521111158784","1290806521111158784")</f>
        <v>1290806521111158784</v>
      </c>
      <c r="F8350" s="7" t="s">
        <v>32</v>
      </c>
      <c r="G8350" s="7">
        <v>3923805</v>
      </c>
      <c r="H8350" s="7">
        <v>2427</v>
      </c>
      <c r="I8350" s="7">
        <v>67</v>
      </c>
      <c r="J8350" s="7">
        <v>229</v>
      </c>
      <c r="K8350" s="7" t="s">
        <v>18</v>
      </c>
      <c r="L8350" s="8">
        <v>39987.315405092595</v>
      </c>
      <c r="M8350" s="9" t="s">
        <v>19</v>
      </c>
      <c r="N8350" s="9" t="s">
        <v>20</v>
      </c>
      <c r="O8350" s="6" t="str">
        <f>HYPERLINK("https://pbs.twimg.com/profile_images/962471262747529216/Uo8lOkRJ_normal.jpg","View")</f>
        <v>View</v>
      </c>
      <c r="P8350" s="7"/>
    </row>
    <row r="8351" spans="1:16">
      <c r="A8351" s="3">
        <v>44048.258668981478</v>
      </c>
      <c r="B8351" s="4" t="str">
        <f>HYPERLINK("https://twitter.com/petrogustavo","@petrogustavo")</f>
        <v>@petrogustavo</v>
      </c>
      <c r="C8351" s="5" t="s">
        <v>16</v>
      </c>
      <c r="D8351" s="5" t="s">
        <v>8053</v>
      </c>
      <c r="E8351" s="6" t="str">
        <f>HYPERLINK("https://twitter.com/petrogustavo/status/1290810373138976770","1290810373138976770")</f>
        <v>1290810373138976770</v>
      </c>
      <c r="F8351" s="7" t="s">
        <v>32</v>
      </c>
      <c r="G8351" s="7">
        <v>3923937</v>
      </c>
      <c r="H8351" s="7">
        <v>2426</v>
      </c>
      <c r="I8351" s="7">
        <v>863</v>
      </c>
      <c r="J8351" s="7">
        <v>3500</v>
      </c>
      <c r="K8351" s="7" t="s">
        <v>18</v>
      </c>
      <c r="L8351" s="8">
        <v>39987.315405092595</v>
      </c>
      <c r="M8351" s="9" t="s">
        <v>19</v>
      </c>
      <c r="N8351" s="9" t="s">
        <v>20</v>
      </c>
      <c r="O8351" s="6" t="str">
        <f>HYPERLINK("https://pbs.twimg.com/profile_images/962471262747529216/Uo8lOkRJ_normal.jpg","View")</f>
        <v>View</v>
      </c>
      <c r="P8351" s="7"/>
    </row>
    <row r="8352" spans="1:16">
      <c r="A8352" s="3">
        <v>44048.261388888888</v>
      </c>
      <c r="B8352" s="4" t="str">
        <f>HYPERLINK("https://twitter.com/petrogustavo","@petrogustavo")</f>
        <v>@petrogustavo</v>
      </c>
      <c r="C8352" s="5" t="s">
        <v>16</v>
      </c>
      <c r="D8352" s="5" t="s">
        <v>8054</v>
      </c>
      <c r="E8352" s="6" t="str">
        <f>HYPERLINK("https://twitter.com/petrogustavo/status/1290811359651930112","1290811359651930112")</f>
        <v>1290811359651930112</v>
      </c>
      <c r="F8352" s="7" t="s">
        <v>32</v>
      </c>
      <c r="G8352" s="7">
        <v>3923937</v>
      </c>
      <c r="H8352" s="7">
        <v>2426</v>
      </c>
      <c r="I8352" s="7">
        <v>395</v>
      </c>
      <c r="J8352" s="7">
        <v>1019</v>
      </c>
      <c r="K8352" s="7" t="s">
        <v>18</v>
      </c>
      <c r="L8352" s="8">
        <v>39987.315405092595</v>
      </c>
      <c r="M8352" s="9" t="s">
        <v>19</v>
      </c>
      <c r="N8352" s="9" t="s">
        <v>20</v>
      </c>
      <c r="O8352" s="6" t="str">
        <f>HYPERLINK("https://pbs.twimg.com/profile_images/962471262747529216/Uo8lOkRJ_normal.jpg","View")</f>
        <v>View</v>
      </c>
      <c r="P8352" s="7"/>
    </row>
    <row r="8353" spans="1:16">
      <c r="A8353" s="3">
        <v>44048.272233796291</v>
      </c>
      <c r="B8353" s="4" t="str">
        <f>HYPERLINK("https://twitter.com/petrogustavo","@petrogustavo")</f>
        <v>@petrogustavo</v>
      </c>
      <c r="C8353" s="5" t="s">
        <v>16</v>
      </c>
      <c r="D8353" s="5" t="s">
        <v>8055</v>
      </c>
      <c r="E8353" s="6" t="str">
        <f>HYPERLINK("https://twitter.com/petrogustavo/status/1290815287823130624","1290815287823130624")</f>
        <v>1290815287823130624</v>
      </c>
      <c r="F8353" s="7" t="s">
        <v>32</v>
      </c>
      <c r="G8353" s="7">
        <v>3923937</v>
      </c>
      <c r="H8353" s="7">
        <v>2426</v>
      </c>
      <c r="I8353" s="7">
        <v>34</v>
      </c>
      <c r="J8353" s="7">
        <v>0</v>
      </c>
      <c r="K8353" s="7" t="s">
        <v>18</v>
      </c>
      <c r="L8353" s="8">
        <v>39987.315405092595</v>
      </c>
      <c r="M8353" s="9" t="s">
        <v>19</v>
      </c>
      <c r="N8353" s="9" t="s">
        <v>20</v>
      </c>
      <c r="O8353" s="6" t="str">
        <f>HYPERLINK("https://pbs.twimg.com/profile_images/962471262747529216/Uo8lOkRJ_normal.jpg","View")</f>
        <v>View</v>
      </c>
      <c r="P8353" s="7"/>
    </row>
    <row r="8354" spans="1:16">
      <c r="A8354" s="3">
        <v>44048.275578703702</v>
      </c>
      <c r="B8354" s="4" t="str">
        <f>HYPERLINK("https://twitter.com/petrogustavo","@petrogustavo")</f>
        <v>@petrogustavo</v>
      </c>
      <c r="C8354" s="5" t="s">
        <v>16</v>
      </c>
      <c r="D8354" s="5" t="s">
        <v>8056</v>
      </c>
      <c r="E8354" s="6" t="str">
        <f>HYPERLINK("https://twitter.com/petrogustavo/status/1290816500119592961","1290816500119592961")</f>
        <v>1290816500119592961</v>
      </c>
      <c r="F8354" s="7" t="s">
        <v>32</v>
      </c>
      <c r="G8354" s="7">
        <v>3924106</v>
      </c>
      <c r="H8354" s="7">
        <v>2426</v>
      </c>
      <c r="I8354" s="7">
        <v>118</v>
      </c>
      <c r="J8354" s="7">
        <v>0</v>
      </c>
      <c r="K8354" s="7" t="s">
        <v>18</v>
      </c>
      <c r="L8354" s="8">
        <v>39987.315405092595</v>
      </c>
      <c r="M8354" s="9" t="s">
        <v>19</v>
      </c>
      <c r="N8354" s="9" t="s">
        <v>20</v>
      </c>
      <c r="O8354" s="6" t="str">
        <f>HYPERLINK("https://pbs.twimg.com/profile_images/962471262747529216/Uo8lOkRJ_normal.jpg","View")</f>
        <v>View</v>
      </c>
      <c r="P8354" s="7"/>
    </row>
    <row r="8355" spans="1:16">
      <c r="A8355" s="3">
        <v>44048.27743055555</v>
      </c>
      <c r="B8355" s="4" t="str">
        <f>HYPERLINK("https://twitter.com/petrogustavo","@petrogustavo")</f>
        <v>@petrogustavo</v>
      </c>
      <c r="C8355" s="5" t="s">
        <v>16</v>
      </c>
      <c r="D8355" s="5" t="s">
        <v>8057</v>
      </c>
      <c r="E8355" s="6" t="str">
        <f>HYPERLINK("https://twitter.com/petrogustavo/status/1290817171061460994","1290817171061460994")</f>
        <v>1290817171061460994</v>
      </c>
      <c r="F8355" s="7" t="s">
        <v>32</v>
      </c>
      <c r="G8355" s="7">
        <v>3924106</v>
      </c>
      <c r="H8355" s="7">
        <v>2426</v>
      </c>
      <c r="I8355" s="7">
        <v>1383</v>
      </c>
      <c r="J8355" s="7">
        <v>0</v>
      </c>
      <c r="K8355" s="7" t="s">
        <v>18</v>
      </c>
      <c r="L8355" s="8">
        <v>39987.315405092595</v>
      </c>
      <c r="M8355" s="9" t="s">
        <v>19</v>
      </c>
      <c r="N8355" s="9" t="s">
        <v>20</v>
      </c>
      <c r="O8355" s="6" t="str">
        <f>HYPERLINK("https://pbs.twimg.com/profile_images/962471262747529216/Uo8lOkRJ_normal.jpg","View")</f>
        <v>View</v>
      </c>
      <c r="P8355" s="7"/>
    </row>
    <row r="8356" spans="1:16">
      <c r="A8356" s="3">
        <v>44048.279085648144</v>
      </c>
      <c r="B8356" s="4" t="str">
        <f>HYPERLINK("https://twitter.com/petrogustavo","@petrogustavo")</f>
        <v>@petrogustavo</v>
      </c>
      <c r="C8356" s="5" t="s">
        <v>16</v>
      </c>
      <c r="D8356" s="5" t="s">
        <v>8058</v>
      </c>
      <c r="E8356" s="6" t="str">
        <f>HYPERLINK("https://twitter.com/petrogustavo/status/1290817770771361792","1290817770771361792")</f>
        <v>1290817770771361792</v>
      </c>
      <c r="F8356" s="7" t="s">
        <v>32</v>
      </c>
      <c r="G8356" s="7">
        <v>3924106</v>
      </c>
      <c r="H8356" s="7">
        <v>2426</v>
      </c>
      <c r="I8356" s="7">
        <v>195</v>
      </c>
      <c r="J8356" s="7">
        <v>0</v>
      </c>
      <c r="K8356" s="7" t="s">
        <v>18</v>
      </c>
      <c r="L8356" s="8">
        <v>39987.315405092595</v>
      </c>
      <c r="M8356" s="9" t="s">
        <v>19</v>
      </c>
      <c r="N8356" s="9" t="s">
        <v>20</v>
      </c>
      <c r="O8356" s="6" t="str">
        <f>HYPERLINK("https://pbs.twimg.com/profile_images/962471262747529216/Uo8lOkRJ_normal.jpg","View")</f>
        <v>View</v>
      </c>
      <c r="P8356" s="7"/>
    </row>
    <row r="8357" spans="1:16">
      <c r="A8357" s="3">
        <v>44048.279502314814</v>
      </c>
      <c r="B8357" s="4" t="str">
        <f>HYPERLINK("https://twitter.com/petrogustavo","@petrogustavo")</f>
        <v>@petrogustavo</v>
      </c>
      <c r="C8357" s="5" t="s">
        <v>16</v>
      </c>
      <c r="D8357" s="5" t="s">
        <v>8059</v>
      </c>
      <c r="E8357" s="6" t="str">
        <f>HYPERLINK("https://twitter.com/petrogustavo/status/1290817923972509696","1290817923972509696")</f>
        <v>1290817923972509696</v>
      </c>
      <c r="F8357" s="7" t="s">
        <v>32</v>
      </c>
      <c r="G8357" s="7">
        <v>3924106</v>
      </c>
      <c r="H8357" s="7">
        <v>2426</v>
      </c>
      <c r="I8357" s="7">
        <v>107</v>
      </c>
      <c r="J8357" s="7">
        <v>0</v>
      </c>
      <c r="K8357" s="7" t="s">
        <v>18</v>
      </c>
      <c r="L8357" s="8">
        <v>39987.315405092595</v>
      </c>
      <c r="M8357" s="9" t="s">
        <v>19</v>
      </c>
      <c r="N8357" s="9" t="s">
        <v>20</v>
      </c>
      <c r="O8357" s="6" t="str">
        <f>HYPERLINK("https://pbs.twimg.com/profile_images/962471262747529216/Uo8lOkRJ_normal.jpg","View")</f>
        <v>View</v>
      </c>
      <c r="P8357" s="7"/>
    </row>
    <row r="8358" spans="1:16">
      <c r="A8358" s="3">
        <v>44048.28024305556</v>
      </c>
      <c r="B8358" s="4" t="str">
        <f>HYPERLINK("https://twitter.com/petrogustavo","@petrogustavo")</f>
        <v>@petrogustavo</v>
      </c>
      <c r="C8358" s="5" t="s">
        <v>16</v>
      </c>
      <c r="D8358" s="5" t="s">
        <v>8060</v>
      </c>
      <c r="E8358" s="6" t="str">
        <f>HYPERLINK("https://twitter.com/petrogustavo/status/1290818190612860931","1290818190612860931")</f>
        <v>1290818190612860931</v>
      </c>
      <c r="F8358" s="7" t="s">
        <v>32</v>
      </c>
      <c r="G8358" s="7">
        <v>3924106</v>
      </c>
      <c r="H8358" s="7">
        <v>2426</v>
      </c>
      <c r="I8358" s="7">
        <v>267</v>
      </c>
      <c r="J8358" s="7">
        <v>0</v>
      </c>
      <c r="K8358" s="7" t="s">
        <v>18</v>
      </c>
      <c r="L8358" s="8">
        <v>39987.315405092595</v>
      </c>
      <c r="M8358" s="9" t="s">
        <v>19</v>
      </c>
      <c r="N8358" s="9" t="s">
        <v>20</v>
      </c>
      <c r="O8358" s="6" t="str">
        <f>HYPERLINK("https://pbs.twimg.com/profile_images/962471262747529216/Uo8lOkRJ_normal.jpg","View")</f>
        <v>View</v>
      </c>
      <c r="P8358" s="7"/>
    </row>
    <row r="8359" spans="1:16">
      <c r="A8359" s="3">
        <v>44048.281099537038</v>
      </c>
      <c r="B8359" s="4" t="str">
        <f>HYPERLINK("https://twitter.com/petrogustavo","@petrogustavo")</f>
        <v>@petrogustavo</v>
      </c>
      <c r="C8359" s="5" t="s">
        <v>16</v>
      </c>
      <c r="D8359" s="5" t="s">
        <v>8061</v>
      </c>
      <c r="E8359" s="6" t="str">
        <f>HYPERLINK("https://twitter.com/petrogustavo/status/1290818500332847104","1290818500332847104")</f>
        <v>1290818500332847104</v>
      </c>
      <c r="F8359" s="7" t="s">
        <v>32</v>
      </c>
      <c r="G8359" s="7">
        <v>3924106</v>
      </c>
      <c r="H8359" s="7">
        <v>2426</v>
      </c>
      <c r="I8359" s="7">
        <v>137</v>
      </c>
      <c r="J8359" s="7">
        <v>0</v>
      </c>
      <c r="K8359" s="7" t="s">
        <v>18</v>
      </c>
      <c r="L8359" s="8">
        <v>39987.315405092595</v>
      </c>
      <c r="M8359" s="9" t="s">
        <v>19</v>
      </c>
      <c r="N8359" s="9" t="s">
        <v>20</v>
      </c>
      <c r="O8359" s="6" t="str">
        <f>HYPERLINK("https://pbs.twimg.com/profile_images/962471262747529216/Uo8lOkRJ_normal.jpg","View")</f>
        <v>View</v>
      </c>
      <c r="P8359" s="7"/>
    </row>
    <row r="8360" spans="1:16">
      <c r="A8360" s="3">
        <v>44048.284444444449</v>
      </c>
      <c r="B8360" s="4" t="str">
        <f>HYPERLINK("https://twitter.com/petrogustavo","@petrogustavo")</f>
        <v>@petrogustavo</v>
      </c>
      <c r="C8360" s="5" t="s">
        <v>16</v>
      </c>
      <c r="D8360" s="5" t="s">
        <v>8062</v>
      </c>
      <c r="E8360" s="6" t="str">
        <f>HYPERLINK("https://twitter.com/petrogustavo/status/1290819714046992384","1290819714046992384")</f>
        <v>1290819714046992384</v>
      </c>
      <c r="F8360" s="7" t="s">
        <v>32</v>
      </c>
      <c r="G8360" s="7">
        <v>3924106</v>
      </c>
      <c r="H8360" s="7">
        <v>2426</v>
      </c>
      <c r="I8360" s="7">
        <v>93</v>
      </c>
      <c r="J8360" s="7">
        <v>0</v>
      </c>
      <c r="K8360" s="7" t="s">
        <v>18</v>
      </c>
      <c r="L8360" s="8">
        <v>39987.315405092595</v>
      </c>
      <c r="M8360" s="9" t="s">
        <v>19</v>
      </c>
      <c r="N8360" s="9" t="s">
        <v>20</v>
      </c>
      <c r="O8360" s="6" t="str">
        <f>HYPERLINK("https://pbs.twimg.com/profile_images/962471262747529216/Uo8lOkRJ_normal.jpg","View")</f>
        <v>View</v>
      </c>
      <c r="P8360" s="7"/>
    </row>
    <row r="8361" spans="1:16">
      <c r="A8361" s="3">
        <v>44048.286053240736</v>
      </c>
      <c r="B8361" s="4" t="str">
        <f>HYPERLINK("https://twitter.com/petrogustavo","@petrogustavo")</f>
        <v>@petrogustavo</v>
      </c>
      <c r="C8361" s="5" t="s">
        <v>16</v>
      </c>
      <c r="D8361" s="5" t="s">
        <v>8063</v>
      </c>
      <c r="E8361" s="6" t="str">
        <f>HYPERLINK("https://twitter.com/petrogustavo/status/1290820295641763840","1290820295641763840")</f>
        <v>1290820295641763840</v>
      </c>
      <c r="F8361" s="7" t="s">
        <v>32</v>
      </c>
      <c r="G8361" s="7">
        <v>3924106</v>
      </c>
      <c r="H8361" s="7">
        <v>2426</v>
      </c>
      <c r="I8361" s="7">
        <v>141</v>
      </c>
      <c r="J8361" s="7">
        <v>0</v>
      </c>
      <c r="K8361" s="7" t="s">
        <v>18</v>
      </c>
      <c r="L8361" s="8">
        <v>39987.315405092595</v>
      </c>
      <c r="M8361" s="9" t="s">
        <v>19</v>
      </c>
      <c r="N8361" s="9" t="s">
        <v>20</v>
      </c>
      <c r="O8361" s="6" t="str">
        <f>HYPERLINK("https://pbs.twimg.com/profile_images/962471262747529216/Uo8lOkRJ_normal.jpg","View")</f>
        <v>View</v>
      </c>
      <c r="P8361" s="7"/>
    </row>
    <row r="8362" spans="1:16">
      <c r="A8362" s="3">
        <v>44048.292685185181</v>
      </c>
      <c r="B8362" s="4" t="str">
        <f>HYPERLINK("https://twitter.com/petrogustavo","@petrogustavo")</f>
        <v>@petrogustavo</v>
      </c>
      <c r="C8362" s="5" t="s">
        <v>16</v>
      </c>
      <c r="D8362" s="5" t="s">
        <v>8064</v>
      </c>
      <c r="E8362" s="6" t="str">
        <f>HYPERLINK("https://twitter.com/petrogustavo/status/1290822700164931584","1290822700164931584")</f>
        <v>1290822700164931584</v>
      </c>
      <c r="F8362" s="7" t="s">
        <v>32</v>
      </c>
      <c r="G8362" s="7">
        <v>3924106</v>
      </c>
      <c r="H8362" s="7">
        <v>2426</v>
      </c>
      <c r="I8362" s="7">
        <v>15</v>
      </c>
      <c r="J8362" s="7">
        <v>0</v>
      </c>
      <c r="K8362" s="7" t="s">
        <v>18</v>
      </c>
      <c r="L8362" s="8">
        <v>39987.315405092595</v>
      </c>
      <c r="M8362" s="9" t="s">
        <v>19</v>
      </c>
      <c r="N8362" s="9" t="s">
        <v>20</v>
      </c>
      <c r="O8362" s="6" t="str">
        <f>HYPERLINK("https://pbs.twimg.com/profile_images/962471262747529216/Uo8lOkRJ_normal.jpg","View")</f>
        <v>View</v>
      </c>
      <c r="P8362" s="7"/>
    </row>
    <row r="8363" spans="1:16">
      <c r="A8363" s="3">
        <v>44048.296365740738</v>
      </c>
      <c r="B8363" s="4" t="str">
        <f>HYPERLINK("https://twitter.com/petrogustavo","@petrogustavo")</f>
        <v>@petrogustavo</v>
      </c>
      <c r="C8363" s="5" t="s">
        <v>16</v>
      </c>
      <c r="D8363" s="5" t="s">
        <v>8065</v>
      </c>
      <c r="E8363" s="6" t="str">
        <f>HYPERLINK("https://twitter.com/petrogustavo/status/1290824033752285184","1290824033752285184")</f>
        <v>1290824033752285184</v>
      </c>
      <c r="F8363" s="7" t="s">
        <v>32</v>
      </c>
      <c r="G8363" s="7">
        <v>3924277</v>
      </c>
      <c r="H8363" s="7">
        <v>2426</v>
      </c>
      <c r="I8363" s="7">
        <v>210</v>
      </c>
      <c r="J8363" s="7">
        <v>0</v>
      </c>
      <c r="K8363" s="7" t="s">
        <v>18</v>
      </c>
      <c r="L8363" s="8">
        <v>39987.315405092595</v>
      </c>
      <c r="M8363" s="9" t="s">
        <v>19</v>
      </c>
      <c r="N8363" s="9" t="s">
        <v>20</v>
      </c>
      <c r="O8363" s="6" t="str">
        <f>HYPERLINK("https://pbs.twimg.com/profile_images/962471262747529216/Uo8lOkRJ_normal.jpg","View")</f>
        <v>View</v>
      </c>
      <c r="P8363" s="7"/>
    </row>
    <row r="8364" spans="1:16">
      <c r="A8364" s="3">
        <v>44048.30537037037</v>
      </c>
      <c r="B8364" s="4" t="str">
        <f>HYPERLINK("https://twitter.com/petrogustavo","@petrogustavo")</f>
        <v>@petrogustavo</v>
      </c>
      <c r="C8364" s="5" t="s">
        <v>16</v>
      </c>
      <c r="D8364" s="5" t="s">
        <v>8066</v>
      </c>
      <c r="E8364" s="6" t="str">
        <f>HYPERLINK("https://twitter.com/petrogustavo/status/1290827295318577152","1290827295318577152")</f>
        <v>1290827295318577152</v>
      </c>
      <c r="F8364" s="7" t="s">
        <v>32</v>
      </c>
      <c r="G8364" s="7">
        <v>3924277</v>
      </c>
      <c r="H8364" s="7">
        <v>2426</v>
      </c>
      <c r="I8364" s="7">
        <v>85</v>
      </c>
      <c r="J8364" s="7">
        <v>0</v>
      </c>
      <c r="K8364" s="7" t="s">
        <v>18</v>
      </c>
      <c r="L8364" s="8">
        <v>39987.315405092595</v>
      </c>
      <c r="M8364" s="9" t="s">
        <v>19</v>
      </c>
      <c r="N8364" s="9" t="s">
        <v>20</v>
      </c>
      <c r="O8364" s="6" t="str">
        <f>HYPERLINK("https://pbs.twimg.com/profile_images/962471262747529216/Uo8lOkRJ_normal.jpg","View")</f>
        <v>View</v>
      </c>
      <c r="P8364" s="7"/>
    </row>
    <row r="8365" spans="1:16">
      <c r="A8365" s="3">
        <v>44048.312708333338</v>
      </c>
      <c r="B8365" s="4" t="str">
        <f>HYPERLINK("https://twitter.com/petrogustavo","@petrogustavo")</f>
        <v>@petrogustavo</v>
      </c>
      <c r="C8365" s="5" t="s">
        <v>16</v>
      </c>
      <c r="D8365" s="5" t="s">
        <v>8067</v>
      </c>
      <c r="E8365" s="6" t="str">
        <f>HYPERLINK("https://twitter.com/petrogustavo/status/1290829956008771584","1290829956008771584")</f>
        <v>1290829956008771584</v>
      </c>
      <c r="F8365" s="7" t="s">
        <v>21</v>
      </c>
      <c r="G8365" s="7">
        <v>3924277</v>
      </c>
      <c r="H8365" s="7">
        <v>2426</v>
      </c>
      <c r="I8365" s="7">
        <v>43</v>
      </c>
      <c r="J8365" s="7">
        <v>115</v>
      </c>
      <c r="K8365" s="7" t="s">
        <v>18</v>
      </c>
      <c r="L8365" s="8">
        <v>39987.315405092595</v>
      </c>
      <c r="M8365" s="9" t="s">
        <v>19</v>
      </c>
      <c r="N8365" s="9" t="s">
        <v>20</v>
      </c>
      <c r="O8365" s="6" t="str">
        <f>HYPERLINK("https://pbs.twimg.com/profile_images/962471262747529216/Uo8lOkRJ_normal.jpg","View")</f>
        <v>View</v>
      </c>
      <c r="P8365" s="7"/>
    </row>
    <row r="8366" spans="1:16">
      <c r="A8366" s="3">
        <v>44048.3128587963</v>
      </c>
      <c r="B8366" s="4" t="str">
        <f>HYPERLINK("https://twitter.com/petrogustavo","@petrogustavo")</f>
        <v>@petrogustavo</v>
      </c>
      <c r="C8366" s="5" t="s">
        <v>16</v>
      </c>
      <c r="D8366" s="5" t="s">
        <v>8068</v>
      </c>
      <c r="E8366" s="6" t="str">
        <f>HYPERLINK("https://twitter.com/petrogustavo/status/1290830011314864135","1290830011314864135")</f>
        <v>1290830011314864135</v>
      </c>
      <c r="F8366" s="7" t="s">
        <v>21</v>
      </c>
      <c r="G8366" s="7">
        <v>3924277</v>
      </c>
      <c r="H8366" s="7">
        <v>2426</v>
      </c>
      <c r="I8366" s="7">
        <v>46</v>
      </c>
      <c r="J8366" s="7">
        <v>122</v>
      </c>
      <c r="K8366" s="7" t="s">
        <v>18</v>
      </c>
      <c r="L8366" s="8">
        <v>39987.315405092595</v>
      </c>
      <c r="M8366" s="9" t="s">
        <v>19</v>
      </c>
      <c r="N8366" s="9" t="s">
        <v>20</v>
      </c>
      <c r="O8366" s="6" t="str">
        <f>HYPERLINK("https://pbs.twimg.com/profile_images/962471262747529216/Uo8lOkRJ_normal.jpg","View")</f>
        <v>View</v>
      </c>
      <c r="P8366" s="7"/>
    </row>
    <row r="8367" spans="1:16">
      <c r="A8367" s="3">
        <v>44048.80168981482</v>
      </c>
      <c r="B8367" s="4" t="str">
        <f>HYPERLINK("https://twitter.com/petrogustavo","@petrogustavo")</f>
        <v>@petrogustavo</v>
      </c>
      <c r="C8367" s="5" t="s">
        <v>16</v>
      </c>
      <c r="D8367" s="5" t="s">
        <v>8069</v>
      </c>
      <c r="E8367" s="6" t="str">
        <f>HYPERLINK("https://twitter.com/petrogustavo/status/1291007157710852096","1291007157710852096")</f>
        <v>1291007157710852096</v>
      </c>
      <c r="F8367" s="7" t="s">
        <v>17</v>
      </c>
      <c r="G8367" s="7">
        <v>3925587</v>
      </c>
      <c r="H8367" s="7">
        <v>2426</v>
      </c>
      <c r="I8367" s="7">
        <v>76</v>
      </c>
      <c r="J8367" s="7">
        <v>313</v>
      </c>
      <c r="K8367" s="7" t="s">
        <v>18</v>
      </c>
      <c r="L8367" s="8">
        <v>39987.315405092595</v>
      </c>
      <c r="M8367" s="9" t="s">
        <v>19</v>
      </c>
      <c r="N8367" s="9" t="s">
        <v>20</v>
      </c>
      <c r="O8367" s="6" t="str">
        <f>HYPERLINK("https://pbs.twimg.com/profile_images/962471262747529216/Uo8lOkRJ_normal.jpg","View")</f>
        <v>View</v>
      </c>
      <c r="P8367" s="7"/>
    </row>
    <row r="8368" spans="1:16">
      <c r="A8368" s="3">
        <v>44048.816678240742</v>
      </c>
      <c r="B8368" s="4" t="str">
        <f>HYPERLINK("https://twitter.com/petrogustavo","@petrogustavo")</f>
        <v>@petrogustavo</v>
      </c>
      <c r="C8368" s="5" t="s">
        <v>16</v>
      </c>
      <c r="D8368" s="5" t="s">
        <v>8070</v>
      </c>
      <c r="E8368" s="6" t="str">
        <f>HYPERLINK("https://twitter.com/petrogustavo/status/1291012586113241089","1291012586113241089")</f>
        <v>1291012586113241089</v>
      </c>
      <c r="F8368" s="7" t="s">
        <v>21</v>
      </c>
      <c r="G8368" s="7">
        <v>3925647</v>
      </c>
      <c r="H8368" s="7">
        <v>2426</v>
      </c>
      <c r="I8368" s="7">
        <v>95</v>
      </c>
      <c r="J8368" s="7">
        <v>288</v>
      </c>
      <c r="K8368" s="7" t="s">
        <v>18</v>
      </c>
      <c r="L8368" s="8">
        <v>39987.315405092595</v>
      </c>
      <c r="M8368" s="9" t="s">
        <v>19</v>
      </c>
      <c r="N8368" s="9" t="s">
        <v>20</v>
      </c>
      <c r="O8368" s="6" t="str">
        <f>HYPERLINK("https://pbs.twimg.com/profile_images/962471262747529216/Uo8lOkRJ_normal.jpg","View")</f>
        <v>View</v>
      </c>
      <c r="P8368" s="7"/>
    </row>
    <row r="8369" spans="1:16">
      <c r="A8369" s="3">
        <v>44048.835497685184</v>
      </c>
      <c r="B8369" s="4" t="str">
        <f>HYPERLINK("https://twitter.com/petrogustavo","@petrogustavo")</f>
        <v>@petrogustavo</v>
      </c>
      <c r="C8369" s="5" t="s">
        <v>16</v>
      </c>
      <c r="D8369" s="5" t="s">
        <v>8071</v>
      </c>
      <c r="E8369" s="6" t="str">
        <f>HYPERLINK("https://twitter.com/petrogustavo/status/1291019406592610307","1291019406592610307")</f>
        <v>1291019406592610307</v>
      </c>
      <c r="F8369" s="7" t="s">
        <v>17</v>
      </c>
      <c r="G8369" s="7">
        <v>3925730</v>
      </c>
      <c r="H8369" s="7">
        <v>2426</v>
      </c>
      <c r="I8369" s="7">
        <v>281</v>
      </c>
      <c r="J8369" s="7">
        <v>1085</v>
      </c>
      <c r="K8369" s="7" t="s">
        <v>18</v>
      </c>
      <c r="L8369" s="8">
        <v>39987.315405092595</v>
      </c>
      <c r="M8369" s="9" t="s">
        <v>19</v>
      </c>
      <c r="N8369" s="9" t="s">
        <v>20</v>
      </c>
      <c r="O8369" s="6" t="str">
        <f>HYPERLINK("https://pbs.twimg.com/profile_images/962471262747529216/Uo8lOkRJ_normal.jpg","View")</f>
        <v>View</v>
      </c>
      <c r="P8369" s="7"/>
    </row>
    <row r="8370" spans="1:16">
      <c r="A8370" s="3">
        <v>44048.835694444446</v>
      </c>
      <c r="B8370" s="4" t="str">
        <f>HYPERLINK("https://twitter.com/petrogustavo","@petrogustavo")</f>
        <v>@petrogustavo</v>
      </c>
      <c r="C8370" s="5" t="s">
        <v>16</v>
      </c>
      <c r="D8370" s="5" t="s">
        <v>8072</v>
      </c>
      <c r="E8370" s="6" t="str">
        <f>HYPERLINK("https://twitter.com/petrogustavo/status/1291019477996445697","1291019477996445697")</f>
        <v>1291019477996445697</v>
      </c>
      <c r="F8370" s="7" t="s">
        <v>17</v>
      </c>
      <c r="G8370" s="7">
        <v>3925730</v>
      </c>
      <c r="H8370" s="7">
        <v>2426</v>
      </c>
      <c r="I8370" s="7">
        <v>188</v>
      </c>
      <c r="J8370" s="7">
        <v>0</v>
      </c>
      <c r="K8370" s="7" t="s">
        <v>18</v>
      </c>
      <c r="L8370" s="8">
        <v>39987.315405092595</v>
      </c>
      <c r="M8370" s="9" t="s">
        <v>19</v>
      </c>
      <c r="N8370" s="9" t="s">
        <v>20</v>
      </c>
      <c r="O8370" s="6" t="str">
        <f>HYPERLINK("https://pbs.twimg.com/profile_images/962471262747529216/Uo8lOkRJ_normal.jpg","View")</f>
        <v>View</v>
      </c>
      <c r="P8370" s="7"/>
    </row>
    <row r="8371" spans="1:16">
      <c r="A8371" s="3">
        <v>44048.866064814814</v>
      </c>
      <c r="B8371" s="4" t="str">
        <f>HYPERLINK("https://twitter.com/petrogustavo","@petrogustavo")</f>
        <v>@petrogustavo</v>
      </c>
      <c r="C8371" s="5" t="s">
        <v>16</v>
      </c>
      <c r="D8371" s="5" t="s">
        <v>8072</v>
      </c>
      <c r="E8371" s="6" t="str">
        <f>HYPERLINK("https://twitter.com/petrogustavo/status/1291030484127043586","1291030484127043586")</f>
        <v>1291030484127043586</v>
      </c>
      <c r="F8371" s="7" t="s">
        <v>32</v>
      </c>
      <c r="G8371" s="7">
        <v>3925838</v>
      </c>
      <c r="H8371" s="7">
        <v>2426</v>
      </c>
      <c r="I8371" s="7">
        <v>258</v>
      </c>
      <c r="J8371" s="7">
        <v>0</v>
      </c>
      <c r="K8371" s="7" t="s">
        <v>18</v>
      </c>
      <c r="L8371" s="8">
        <v>39987.315405092595</v>
      </c>
      <c r="M8371" s="9" t="s">
        <v>19</v>
      </c>
      <c r="N8371" s="9" t="s">
        <v>20</v>
      </c>
      <c r="O8371" s="6" t="str">
        <f>HYPERLINK("https://pbs.twimg.com/profile_images/962471262747529216/Uo8lOkRJ_normal.jpg","View")</f>
        <v>View</v>
      </c>
      <c r="P8371" s="7"/>
    </row>
    <row r="8372" spans="1:16">
      <c r="A8372" s="3">
        <v>44048.902939814812</v>
      </c>
      <c r="B8372" s="4" t="str">
        <f>HYPERLINK("https://twitter.com/petrogustavo","@petrogustavo")</f>
        <v>@petrogustavo</v>
      </c>
      <c r="C8372" s="5" t="s">
        <v>16</v>
      </c>
      <c r="D8372" s="5" t="s">
        <v>8072</v>
      </c>
      <c r="E8372" s="6" t="str">
        <f>HYPERLINK("https://twitter.com/petrogustavo/status/1291043849796812802","1291043849796812802")</f>
        <v>1291043849796812802</v>
      </c>
      <c r="F8372" s="7" t="s">
        <v>32</v>
      </c>
      <c r="G8372" s="7">
        <v>3926006</v>
      </c>
      <c r="H8372" s="7">
        <v>2425</v>
      </c>
      <c r="I8372" s="7">
        <v>383</v>
      </c>
      <c r="J8372" s="7">
        <v>0</v>
      </c>
      <c r="K8372" s="7" t="s">
        <v>18</v>
      </c>
      <c r="L8372" s="8">
        <v>39987.315405092595</v>
      </c>
      <c r="M8372" s="9" t="s">
        <v>19</v>
      </c>
      <c r="N8372" s="9" t="s">
        <v>20</v>
      </c>
      <c r="O8372" s="6" t="str">
        <f>HYPERLINK("https://pbs.twimg.com/profile_images/962471262747529216/Uo8lOkRJ_normal.jpg","View")</f>
        <v>View</v>
      </c>
      <c r="P8372" s="7"/>
    </row>
    <row r="8373" spans="1:16">
      <c r="A8373" s="3">
        <v>44048.929664351846</v>
      </c>
      <c r="B8373" s="4" t="str">
        <f>HYPERLINK("https://twitter.com/petrogustavo","@petrogustavo")</f>
        <v>@petrogustavo</v>
      </c>
      <c r="C8373" s="5" t="s">
        <v>16</v>
      </c>
      <c r="D8373" s="5" t="s">
        <v>8073</v>
      </c>
      <c r="E8373" s="6" t="str">
        <f>HYPERLINK("https://twitter.com/petrogustavo/status/1291053533127757825","1291053533127757825")</f>
        <v>1291053533127757825</v>
      </c>
      <c r="F8373" s="7" t="s">
        <v>32</v>
      </c>
      <c r="G8373" s="7">
        <v>3926158</v>
      </c>
      <c r="H8373" s="7">
        <v>2425</v>
      </c>
      <c r="I8373" s="7">
        <v>98</v>
      </c>
      <c r="J8373" s="7">
        <v>0</v>
      </c>
      <c r="K8373" s="7" t="s">
        <v>18</v>
      </c>
      <c r="L8373" s="8">
        <v>39987.315405092595</v>
      </c>
      <c r="M8373" s="9" t="s">
        <v>19</v>
      </c>
      <c r="N8373" s="9" t="s">
        <v>20</v>
      </c>
      <c r="O8373" s="6" t="str">
        <f>HYPERLINK("https://pbs.twimg.com/profile_images/962471262747529216/Uo8lOkRJ_normal.jpg","View")</f>
        <v>View</v>
      </c>
      <c r="P8373" s="7"/>
    </row>
    <row r="8374" spans="1:16">
      <c r="A8374" s="3">
        <v>44048.934039351851</v>
      </c>
      <c r="B8374" s="4" t="str">
        <f>HYPERLINK("https://twitter.com/petrogustavo","@petrogustavo")</f>
        <v>@petrogustavo</v>
      </c>
      <c r="C8374" s="5" t="s">
        <v>16</v>
      </c>
      <c r="D8374" s="5" t="s">
        <v>8074</v>
      </c>
      <c r="E8374" s="6" t="str">
        <f>HYPERLINK("https://twitter.com/petrogustavo/status/1291055119291777026","1291055119291777026")</f>
        <v>1291055119291777026</v>
      </c>
      <c r="F8374" s="7" t="s">
        <v>32</v>
      </c>
      <c r="G8374" s="7">
        <v>3926158</v>
      </c>
      <c r="H8374" s="7">
        <v>2425</v>
      </c>
      <c r="I8374" s="7">
        <v>155</v>
      </c>
      <c r="J8374" s="7">
        <v>0</v>
      </c>
      <c r="K8374" s="7" t="s">
        <v>18</v>
      </c>
      <c r="L8374" s="8">
        <v>39987.315405092595</v>
      </c>
      <c r="M8374" s="9" t="s">
        <v>19</v>
      </c>
      <c r="N8374" s="9" t="s">
        <v>20</v>
      </c>
      <c r="O8374" s="6" t="str">
        <f>HYPERLINK("https://pbs.twimg.com/profile_images/962471262747529216/Uo8lOkRJ_normal.jpg","View")</f>
        <v>View</v>
      </c>
      <c r="P8374" s="7"/>
    </row>
    <row r="8375" spans="1:16">
      <c r="A8375" s="3">
        <v>44048.943807870368</v>
      </c>
      <c r="B8375" s="4" t="str">
        <f>HYPERLINK("https://twitter.com/petrogustavo","@petrogustavo")</f>
        <v>@petrogustavo</v>
      </c>
      <c r="C8375" s="5" t="s">
        <v>16</v>
      </c>
      <c r="D8375" s="5" t="s">
        <v>8072</v>
      </c>
      <c r="E8375" s="6" t="str">
        <f>HYPERLINK("https://twitter.com/petrogustavo/status/1291058658919489536","1291058658919489536")</f>
        <v>1291058658919489536</v>
      </c>
      <c r="F8375" s="7" t="s">
        <v>32</v>
      </c>
      <c r="G8375" s="7">
        <v>3926158</v>
      </c>
      <c r="H8375" s="7">
        <v>2425</v>
      </c>
      <c r="I8375" s="7">
        <v>478</v>
      </c>
      <c r="J8375" s="7">
        <v>0</v>
      </c>
      <c r="K8375" s="7" t="s">
        <v>18</v>
      </c>
      <c r="L8375" s="8">
        <v>39987.315405092595</v>
      </c>
      <c r="M8375" s="9" t="s">
        <v>19</v>
      </c>
      <c r="N8375" s="9" t="s">
        <v>20</v>
      </c>
      <c r="O8375" s="6" t="str">
        <f>HYPERLINK("https://pbs.twimg.com/profile_images/962471262747529216/Uo8lOkRJ_normal.jpg","View")</f>
        <v>View</v>
      </c>
      <c r="P8375" s="7"/>
    </row>
    <row r="8376" spans="1:16">
      <c r="A8376" s="3">
        <v>44048.946377314816</v>
      </c>
      <c r="B8376" s="4" t="str">
        <f>HYPERLINK("https://twitter.com/petrogustavo","@petrogustavo")</f>
        <v>@petrogustavo</v>
      </c>
      <c r="C8376" s="5" t="s">
        <v>16</v>
      </c>
      <c r="D8376" s="5" t="s">
        <v>8075</v>
      </c>
      <c r="E8376" s="6" t="str">
        <f>HYPERLINK("https://twitter.com/petrogustavo/status/1291059588117209089","1291059588117209089")</f>
        <v>1291059588117209089</v>
      </c>
      <c r="F8376" s="7" t="s">
        <v>32</v>
      </c>
      <c r="G8376" s="7">
        <v>3926158</v>
      </c>
      <c r="H8376" s="7">
        <v>2425</v>
      </c>
      <c r="I8376" s="7">
        <v>103</v>
      </c>
      <c r="J8376" s="7">
        <v>258</v>
      </c>
      <c r="K8376" s="7" t="s">
        <v>18</v>
      </c>
      <c r="L8376" s="8">
        <v>39987.315405092595</v>
      </c>
      <c r="M8376" s="9" t="s">
        <v>19</v>
      </c>
      <c r="N8376" s="9" t="s">
        <v>20</v>
      </c>
      <c r="O8376" s="6" t="str">
        <f>HYPERLINK("https://pbs.twimg.com/profile_images/962471262747529216/Uo8lOkRJ_normal.jpg","View")</f>
        <v>View</v>
      </c>
      <c r="P8376" s="7"/>
    </row>
    <row r="8377" spans="1:16">
      <c r="A8377" s="3">
        <v>44048.949178240742</v>
      </c>
      <c r="B8377" s="4" t="str">
        <f>HYPERLINK("https://twitter.com/petrogustavo","@petrogustavo")</f>
        <v>@petrogustavo</v>
      </c>
      <c r="C8377" s="5" t="s">
        <v>16</v>
      </c>
      <c r="D8377" s="5" t="s">
        <v>8076</v>
      </c>
      <c r="E8377" s="6" t="str">
        <f>HYPERLINK("https://twitter.com/petrogustavo/status/1291060604376174592","1291060604376174592")</f>
        <v>1291060604376174592</v>
      </c>
      <c r="F8377" s="7" t="s">
        <v>32</v>
      </c>
      <c r="G8377" s="7">
        <v>3926158</v>
      </c>
      <c r="H8377" s="7">
        <v>2425</v>
      </c>
      <c r="I8377" s="7">
        <v>839</v>
      </c>
      <c r="J8377" s="7">
        <v>0</v>
      </c>
      <c r="K8377" s="7" t="s">
        <v>18</v>
      </c>
      <c r="L8377" s="8">
        <v>39987.315405092595</v>
      </c>
      <c r="M8377" s="9" t="s">
        <v>19</v>
      </c>
      <c r="N8377" s="9" t="s">
        <v>20</v>
      </c>
      <c r="O8377" s="6" t="str">
        <f>HYPERLINK("https://pbs.twimg.com/profile_images/962471262747529216/Uo8lOkRJ_normal.jpg","View")</f>
        <v>View</v>
      </c>
      <c r="P8377" s="7"/>
    </row>
    <row r="8378" spans="1:16">
      <c r="A8378" s="3">
        <v>44048.950011574074</v>
      </c>
      <c r="B8378" s="4" t="str">
        <f>HYPERLINK("https://twitter.com/petrogustavo","@petrogustavo")</f>
        <v>@petrogustavo</v>
      </c>
      <c r="C8378" s="5" t="s">
        <v>16</v>
      </c>
      <c r="D8378" s="5" t="s">
        <v>8077</v>
      </c>
      <c r="E8378" s="6" t="str">
        <f>HYPERLINK("https://twitter.com/petrogustavo/status/1291060905380282369","1291060905380282369")</f>
        <v>1291060905380282369</v>
      </c>
      <c r="F8378" s="7" t="s">
        <v>21</v>
      </c>
      <c r="G8378" s="7">
        <v>3926158</v>
      </c>
      <c r="H8378" s="7">
        <v>2425</v>
      </c>
      <c r="I8378" s="7">
        <v>0</v>
      </c>
      <c r="J8378" s="7">
        <v>2</v>
      </c>
      <c r="K8378" s="7" t="s">
        <v>18</v>
      </c>
      <c r="L8378" s="8">
        <v>39987.315405092595</v>
      </c>
      <c r="M8378" s="9" t="s">
        <v>19</v>
      </c>
      <c r="N8378" s="9" t="s">
        <v>20</v>
      </c>
      <c r="O8378" s="6" t="str">
        <f>HYPERLINK("https://pbs.twimg.com/profile_images/962471262747529216/Uo8lOkRJ_normal.jpg","View")</f>
        <v>View</v>
      </c>
      <c r="P8378" s="7"/>
    </row>
    <row r="8379" spans="1:16">
      <c r="A8379" s="3">
        <v>44048.954282407409</v>
      </c>
      <c r="B8379" s="4" t="str">
        <f>HYPERLINK("https://twitter.com/petrogustavo","@petrogustavo")</f>
        <v>@petrogustavo</v>
      </c>
      <c r="C8379" s="5" t="s">
        <v>16</v>
      </c>
      <c r="D8379" s="5" t="s">
        <v>8078</v>
      </c>
      <c r="E8379" s="6" t="str">
        <f>HYPERLINK("https://twitter.com/petrogustavo/status/1291062454483550212","1291062454483550212")</f>
        <v>1291062454483550212</v>
      </c>
      <c r="F8379" s="7" t="s">
        <v>21</v>
      </c>
      <c r="G8379" s="7">
        <v>3926226</v>
      </c>
      <c r="H8379" s="7">
        <v>2425</v>
      </c>
      <c r="I8379" s="7">
        <v>124</v>
      </c>
      <c r="J8379" s="7">
        <v>341</v>
      </c>
      <c r="K8379" s="7" t="s">
        <v>18</v>
      </c>
      <c r="L8379" s="8">
        <v>39987.315405092595</v>
      </c>
      <c r="M8379" s="9" t="s">
        <v>19</v>
      </c>
      <c r="N8379" s="9" t="s">
        <v>20</v>
      </c>
      <c r="O8379" s="6" t="str">
        <f>HYPERLINK("https://pbs.twimg.com/profile_images/962471262747529216/Uo8lOkRJ_normal.jpg","View")</f>
        <v>View</v>
      </c>
      <c r="P8379" s="7"/>
    </row>
    <row r="8380" spans="1:16">
      <c r="A8380" s="3">
        <v>44048.996990740736</v>
      </c>
      <c r="B8380" s="4" t="str">
        <f>HYPERLINK("https://twitter.com/petrogustavo","@petrogustavo")</f>
        <v>@petrogustavo</v>
      </c>
      <c r="C8380" s="5" t="s">
        <v>16</v>
      </c>
      <c r="D8380" s="5" t="s">
        <v>8079</v>
      </c>
      <c r="E8380" s="6" t="str">
        <f>HYPERLINK("https://twitter.com/petrogustavo/status/1291077929653477378","1291077929653477378")</f>
        <v>1291077929653477378</v>
      </c>
      <c r="F8380" s="7" t="s">
        <v>17</v>
      </c>
      <c r="G8380" s="7">
        <v>3926476</v>
      </c>
      <c r="H8380" s="7">
        <v>2425</v>
      </c>
      <c r="I8380" s="7">
        <v>264</v>
      </c>
      <c r="J8380" s="7">
        <v>0</v>
      </c>
      <c r="K8380" s="7" t="s">
        <v>18</v>
      </c>
      <c r="L8380" s="8">
        <v>39987.315405092595</v>
      </c>
      <c r="M8380" s="9" t="s">
        <v>19</v>
      </c>
      <c r="N8380" s="9" t="s">
        <v>20</v>
      </c>
      <c r="O8380" s="6" t="str">
        <f>HYPERLINK("https://pbs.twimg.com/profile_images/962471262747529216/Uo8lOkRJ_normal.jpg","View")</f>
        <v>View</v>
      </c>
      <c r="P8380" s="7"/>
    </row>
    <row r="8381" spans="1:16">
      <c r="A8381" s="3">
        <v>44049.0003125</v>
      </c>
      <c r="B8381" s="4" t="str">
        <f>HYPERLINK("https://twitter.com/petrogustavo","@petrogustavo")</f>
        <v>@petrogustavo</v>
      </c>
      <c r="C8381" s="5" t="s">
        <v>16</v>
      </c>
      <c r="D8381" s="5" t="s">
        <v>8080</v>
      </c>
      <c r="E8381" s="6" t="str">
        <f>HYPERLINK("https://twitter.com/petrogustavo/status/1291079133464801280","1291079133464801280")</f>
        <v>1291079133464801280</v>
      </c>
      <c r="F8381" s="7" t="s">
        <v>17</v>
      </c>
      <c r="G8381" s="7">
        <v>3926476</v>
      </c>
      <c r="H8381" s="7">
        <v>2425</v>
      </c>
      <c r="I8381" s="7">
        <v>412</v>
      </c>
      <c r="J8381" s="7">
        <v>1456</v>
      </c>
      <c r="K8381" s="7" t="s">
        <v>18</v>
      </c>
      <c r="L8381" s="8">
        <v>39987.315405092595</v>
      </c>
      <c r="M8381" s="9" t="s">
        <v>19</v>
      </c>
      <c r="N8381" s="9" t="s">
        <v>20</v>
      </c>
      <c r="O8381" s="6" t="str">
        <f>HYPERLINK("https://pbs.twimg.com/profile_images/962471262747529216/Uo8lOkRJ_normal.jpg","View")</f>
        <v>View</v>
      </c>
      <c r="P8381" s="7"/>
    </row>
    <row r="8382" spans="1:16">
      <c r="A8382" s="3">
        <v>44049.045416666668</v>
      </c>
      <c r="B8382" s="4" t="str">
        <f>HYPERLINK("https://twitter.com/petrogustavo","@petrogustavo")</f>
        <v>@petrogustavo</v>
      </c>
      <c r="C8382" s="5" t="s">
        <v>16</v>
      </c>
      <c r="D8382" s="5" t="s">
        <v>8081</v>
      </c>
      <c r="E8382" s="6" t="str">
        <f>HYPERLINK("https://twitter.com/petrogustavo/status/1291095480269713410","1291095480269713410")</f>
        <v>1291095480269713410</v>
      </c>
      <c r="F8382" s="7" t="s">
        <v>17</v>
      </c>
      <c r="G8382" s="7">
        <v>3926594</v>
      </c>
      <c r="H8382" s="7">
        <v>2425</v>
      </c>
      <c r="I8382" s="7">
        <v>140</v>
      </c>
      <c r="J8382" s="7">
        <v>584</v>
      </c>
      <c r="K8382" s="7" t="s">
        <v>18</v>
      </c>
      <c r="L8382" s="8">
        <v>39987.315405092595</v>
      </c>
      <c r="M8382" s="9" t="s">
        <v>19</v>
      </c>
      <c r="N8382" s="9" t="s">
        <v>20</v>
      </c>
      <c r="O8382" s="6" t="str">
        <f>HYPERLINK("https://pbs.twimg.com/profile_images/962471262747529216/Uo8lOkRJ_normal.jpg","View")</f>
        <v>View</v>
      </c>
      <c r="P8382" s="7"/>
    </row>
    <row r="8383" spans="1:16">
      <c r="A8383" s="3">
        <v>44049.047002314815</v>
      </c>
      <c r="B8383" s="4" t="str">
        <f>HYPERLINK("https://twitter.com/petrogustavo","@petrogustavo")</f>
        <v>@petrogustavo</v>
      </c>
      <c r="C8383" s="5" t="s">
        <v>16</v>
      </c>
      <c r="D8383" s="5" t="s">
        <v>8082</v>
      </c>
      <c r="E8383" s="6" t="str">
        <f>HYPERLINK("https://twitter.com/petrogustavo/status/1291096055828881412","1291096055828881412")</f>
        <v>1291096055828881412</v>
      </c>
      <c r="F8383" s="7" t="s">
        <v>17</v>
      </c>
      <c r="G8383" s="7">
        <v>3926594</v>
      </c>
      <c r="H8383" s="7">
        <v>2425</v>
      </c>
      <c r="I8383" s="7">
        <v>930</v>
      </c>
      <c r="J8383" s="7">
        <v>3431</v>
      </c>
      <c r="K8383" s="7" t="s">
        <v>18</v>
      </c>
      <c r="L8383" s="8">
        <v>39987.315405092595</v>
      </c>
      <c r="M8383" s="9" t="s">
        <v>19</v>
      </c>
      <c r="N8383" s="9" t="s">
        <v>20</v>
      </c>
      <c r="O8383" s="6" t="str">
        <f>HYPERLINK("https://pbs.twimg.com/profile_images/962471262747529216/Uo8lOkRJ_normal.jpg","View")</f>
        <v>View</v>
      </c>
      <c r="P8383" s="7"/>
    </row>
    <row r="8384" spans="1:16">
      <c r="A8384" s="3">
        <v>44049.098935185189</v>
      </c>
      <c r="B8384" s="4" t="str">
        <f>HYPERLINK("https://twitter.com/petrogustavo","@petrogustavo")</f>
        <v>@petrogustavo</v>
      </c>
      <c r="C8384" s="5" t="s">
        <v>16</v>
      </c>
      <c r="D8384" s="5" t="s">
        <v>8083</v>
      </c>
      <c r="E8384" s="6" t="str">
        <f>HYPERLINK("https://twitter.com/petrogustavo/status/1291114876375531520","1291114876375531520")</f>
        <v>1291114876375531520</v>
      </c>
      <c r="F8384" s="7" t="s">
        <v>17</v>
      </c>
      <c r="G8384" s="7">
        <v>3926807</v>
      </c>
      <c r="H8384" s="7">
        <v>2425</v>
      </c>
      <c r="I8384" s="7">
        <v>136</v>
      </c>
      <c r="J8384" s="7">
        <v>473</v>
      </c>
      <c r="K8384" s="7" t="s">
        <v>18</v>
      </c>
      <c r="L8384" s="8">
        <v>39987.315405092595</v>
      </c>
      <c r="M8384" s="9" t="s">
        <v>19</v>
      </c>
      <c r="N8384" s="9" t="s">
        <v>20</v>
      </c>
      <c r="O8384" s="6" t="str">
        <f>HYPERLINK("https://pbs.twimg.com/profile_images/962471262747529216/Uo8lOkRJ_normal.jpg","View")</f>
        <v>View</v>
      </c>
      <c r="P8384" s="7"/>
    </row>
    <row r="8385" spans="1:16">
      <c r="A8385" s="3">
        <v>44049.128587962958</v>
      </c>
      <c r="B8385" s="4" t="str">
        <f>HYPERLINK("https://twitter.com/petrogustavo","@petrogustavo")</f>
        <v>@petrogustavo</v>
      </c>
      <c r="C8385" s="5" t="s">
        <v>16</v>
      </c>
      <c r="D8385" s="5" t="s">
        <v>8084</v>
      </c>
      <c r="E8385" s="6" t="str">
        <f>HYPERLINK("https://twitter.com/petrogustavo/status/1291125620039090176","1291125620039090176")</f>
        <v>1291125620039090176</v>
      </c>
      <c r="F8385" s="7" t="s">
        <v>17</v>
      </c>
      <c r="G8385" s="7">
        <v>3926844</v>
      </c>
      <c r="H8385" s="7">
        <v>2424</v>
      </c>
      <c r="I8385" s="7">
        <v>662</v>
      </c>
      <c r="J8385" s="7">
        <v>0</v>
      </c>
      <c r="K8385" s="7" t="s">
        <v>18</v>
      </c>
      <c r="L8385" s="8">
        <v>39987.315405092595</v>
      </c>
      <c r="M8385" s="9" t="s">
        <v>19</v>
      </c>
      <c r="N8385" s="9" t="s">
        <v>20</v>
      </c>
      <c r="O8385" s="6" t="str">
        <f>HYPERLINK("https://pbs.twimg.com/profile_images/962471262747529216/Uo8lOkRJ_normal.jpg","View")</f>
        <v>View</v>
      </c>
      <c r="P8385" s="7"/>
    </row>
    <row r="8386" spans="1:16">
      <c r="A8386" s="3">
        <v>44049.128842592589</v>
      </c>
      <c r="B8386" s="4" t="str">
        <f>HYPERLINK("https://twitter.com/petrogustavo","@petrogustavo")</f>
        <v>@petrogustavo</v>
      </c>
      <c r="C8386" s="5" t="s">
        <v>16</v>
      </c>
      <c r="D8386" s="5" t="s">
        <v>8085</v>
      </c>
      <c r="E8386" s="6" t="str">
        <f>HYPERLINK("https://twitter.com/petrogustavo/status/1291125714025172998","1291125714025172998")</f>
        <v>1291125714025172998</v>
      </c>
      <c r="F8386" s="7" t="s">
        <v>17</v>
      </c>
      <c r="G8386" s="7">
        <v>3926844</v>
      </c>
      <c r="H8386" s="7">
        <v>2424</v>
      </c>
      <c r="I8386" s="7">
        <v>221</v>
      </c>
      <c r="J8386" s="7">
        <v>0</v>
      </c>
      <c r="K8386" s="7" t="s">
        <v>18</v>
      </c>
      <c r="L8386" s="8">
        <v>39987.315405092595</v>
      </c>
      <c r="M8386" s="9" t="s">
        <v>19</v>
      </c>
      <c r="N8386" s="9" t="s">
        <v>20</v>
      </c>
      <c r="O8386" s="6" t="str">
        <f>HYPERLINK("https://pbs.twimg.com/profile_images/962471262747529216/Uo8lOkRJ_normal.jpg","View")</f>
        <v>View</v>
      </c>
      <c r="P8386" s="7"/>
    </row>
    <row r="8387" spans="1:16">
      <c r="A8387" s="3">
        <v>44049.132118055553</v>
      </c>
      <c r="B8387" s="4" t="str">
        <f>HYPERLINK("https://twitter.com/petrogustavo","@petrogustavo")</f>
        <v>@petrogustavo</v>
      </c>
      <c r="C8387" s="5" t="s">
        <v>16</v>
      </c>
      <c r="D8387" s="5" t="s">
        <v>8086</v>
      </c>
      <c r="E8387" s="6" t="str">
        <f>HYPERLINK("https://twitter.com/petrogustavo/status/1291126901218717696","1291126901218717696")</f>
        <v>1291126901218717696</v>
      </c>
      <c r="F8387" s="7" t="s">
        <v>17</v>
      </c>
      <c r="G8387" s="7">
        <v>3926844</v>
      </c>
      <c r="H8387" s="7">
        <v>2424</v>
      </c>
      <c r="I8387" s="7">
        <v>65</v>
      </c>
      <c r="J8387" s="7">
        <v>221</v>
      </c>
      <c r="K8387" s="7" t="s">
        <v>18</v>
      </c>
      <c r="L8387" s="8">
        <v>39987.315405092595</v>
      </c>
      <c r="M8387" s="9" t="s">
        <v>19</v>
      </c>
      <c r="N8387" s="9" t="s">
        <v>20</v>
      </c>
      <c r="O8387" s="6" t="str">
        <f>HYPERLINK("https://pbs.twimg.com/profile_images/962471262747529216/Uo8lOkRJ_normal.jpg","View")</f>
        <v>View</v>
      </c>
      <c r="P8387" s="7"/>
    </row>
    <row r="8388" spans="1:16">
      <c r="A8388" s="3">
        <v>44049.139016203699</v>
      </c>
      <c r="B8388" s="4" t="str">
        <f>HYPERLINK("https://twitter.com/petrogustavo","@petrogustavo")</f>
        <v>@petrogustavo</v>
      </c>
      <c r="C8388" s="5" t="s">
        <v>16</v>
      </c>
      <c r="D8388" s="5" t="s">
        <v>8087</v>
      </c>
      <c r="E8388" s="6" t="str">
        <f>HYPERLINK("https://twitter.com/petrogustavo/status/1291129398544994304","1291129398544994304")</f>
        <v>1291129398544994304</v>
      </c>
      <c r="F8388" s="7" t="s">
        <v>17</v>
      </c>
      <c r="G8388" s="7">
        <v>3926925</v>
      </c>
      <c r="H8388" s="7">
        <v>2424</v>
      </c>
      <c r="I8388" s="7">
        <v>269</v>
      </c>
      <c r="J8388" s="7">
        <v>1242</v>
      </c>
      <c r="K8388" s="7" t="s">
        <v>18</v>
      </c>
      <c r="L8388" s="8">
        <v>39987.315405092595</v>
      </c>
      <c r="M8388" s="9" t="s">
        <v>19</v>
      </c>
      <c r="N8388" s="9" t="s">
        <v>20</v>
      </c>
      <c r="O8388" s="6" t="str">
        <f>HYPERLINK("https://pbs.twimg.com/profile_images/962471262747529216/Uo8lOkRJ_normal.jpg","View")</f>
        <v>View</v>
      </c>
      <c r="P8388" s="7"/>
    </row>
    <row r="8389" spans="1:16">
      <c r="A8389" s="3">
        <v>44049.146851851852</v>
      </c>
      <c r="B8389" s="4" t="str">
        <f>HYPERLINK("https://twitter.com/petrogustavo","@petrogustavo")</f>
        <v>@petrogustavo</v>
      </c>
      <c r="C8389" s="5" t="s">
        <v>16</v>
      </c>
      <c r="D8389" s="5" t="s">
        <v>8088</v>
      </c>
      <c r="E8389" s="6" t="str">
        <f>HYPERLINK("https://twitter.com/petrogustavo/status/1291132237073850368","1291132237073850368")</f>
        <v>1291132237073850368</v>
      </c>
      <c r="F8389" s="7" t="s">
        <v>17</v>
      </c>
      <c r="G8389" s="7">
        <v>3926925</v>
      </c>
      <c r="H8389" s="7">
        <v>2424</v>
      </c>
      <c r="I8389" s="7">
        <v>65</v>
      </c>
      <c r="J8389" s="7">
        <v>0</v>
      </c>
      <c r="K8389" s="7" t="s">
        <v>18</v>
      </c>
      <c r="L8389" s="8">
        <v>39987.315405092595</v>
      </c>
      <c r="M8389" s="9" t="s">
        <v>19</v>
      </c>
      <c r="N8389" s="9" t="s">
        <v>20</v>
      </c>
      <c r="O8389" s="6" t="str">
        <f>HYPERLINK("https://pbs.twimg.com/profile_images/962471262747529216/Uo8lOkRJ_normal.jpg","View")</f>
        <v>View</v>
      </c>
      <c r="P8389" s="7"/>
    </row>
    <row r="8390" spans="1:16">
      <c r="A8390" s="3">
        <v>44049.153692129628</v>
      </c>
      <c r="B8390" s="4" t="str">
        <f>HYPERLINK("https://twitter.com/petrogustavo","@petrogustavo")</f>
        <v>@petrogustavo</v>
      </c>
      <c r="C8390" s="5" t="s">
        <v>16</v>
      </c>
      <c r="D8390" s="5" t="s">
        <v>8089</v>
      </c>
      <c r="E8390" s="6" t="str">
        <f>HYPERLINK("https://twitter.com/petrogustavo/status/1291134718310789121","1291134718310789121")</f>
        <v>1291134718310789121</v>
      </c>
      <c r="F8390" s="7" t="s">
        <v>17</v>
      </c>
      <c r="G8390" s="7">
        <v>3926925</v>
      </c>
      <c r="H8390" s="7">
        <v>2424</v>
      </c>
      <c r="I8390" s="7">
        <v>159</v>
      </c>
      <c r="J8390" s="7">
        <v>0</v>
      </c>
      <c r="K8390" s="7" t="s">
        <v>18</v>
      </c>
      <c r="L8390" s="8">
        <v>39987.315405092595</v>
      </c>
      <c r="M8390" s="9" t="s">
        <v>19</v>
      </c>
      <c r="N8390" s="9" t="s">
        <v>20</v>
      </c>
      <c r="O8390" s="6" t="str">
        <f>HYPERLINK("https://pbs.twimg.com/profile_images/962471262747529216/Uo8lOkRJ_normal.jpg","View")</f>
        <v>View</v>
      </c>
      <c r="P8390" s="7"/>
    </row>
    <row r="8391" spans="1:16">
      <c r="A8391" s="3">
        <v>44049.157268518524</v>
      </c>
      <c r="B8391" s="4" t="str">
        <f>HYPERLINK("https://twitter.com/petrogustavo","@petrogustavo")</f>
        <v>@petrogustavo</v>
      </c>
      <c r="C8391" s="5" t="s">
        <v>16</v>
      </c>
      <c r="D8391" s="5" t="s">
        <v>8090</v>
      </c>
      <c r="E8391" s="6" t="str">
        <f>HYPERLINK("https://twitter.com/petrogustavo/status/1291136012538859524","1291136012538859524")</f>
        <v>1291136012538859524</v>
      </c>
      <c r="F8391" s="7" t="s">
        <v>17</v>
      </c>
      <c r="G8391" s="7">
        <v>3926925</v>
      </c>
      <c r="H8391" s="7">
        <v>2424</v>
      </c>
      <c r="I8391" s="7">
        <v>20</v>
      </c>
      <c r="J8391" s="7">
        <v>44</v>
      </c>
      <c r="K8391" s="7" t="s">
        <v>18</v>
      </c>
      <c r="L8391" s="8">
        <v>39987.315405092595</v>
      </c>
      <c r="M8391" s="9" t="s">
        <v>19</v>
      </c>
      <c r="N8391" s="9" t="s">
        <v>20</v>
      </c>
      <c r="O8391" s="6" t="str">
        <f>HYPERLINK("https://pbs.twimg.com/profile_images/962471262747529216/Uo8lOkRJ_normal.jpg","View")</f>
        <v>View</v>
      </c>
      <c r="P8391" s="7"/>
    </row>
    <row r="8392" spans="1:16">
      <c r="A8392" s="3">
        <v>44049.18037037037</v>
      </c>
      <c r="B8392" s="4" t="str">
        <f>HYPERLINK("https://twitter.com/petrogustavo","@petrogustavo")</f>
        <v>@petrogustavo</v>
      </c>
      <c r="C8392" s="5" t="s">
        <v>16</v>
      </c>
      <c r="D8392" s="5" t="s">
        <v>8089</v>
      </c>
      <c r="E8392" s="6" t="str">
        <f>HYPERLINK("https://twitter.com/petrogustavo/status/1291144385342705664","1291144385342705664")</f>
        <v>1291144385342705664</v>
      </c>
      <c r="F8392" s="7" t="s">
        <v>32</v>
      </c>
      <c r="G8392" s="7">
        <v>3927046</v>
      </c>
      <c r="H8392" s="7">
        <v>2424</v>
      </c>
      <c r="I8392" s="7">
        <v>262</v>
      </c>
      <c r="J8392" s="7">
        <v>0</v>
      </c>
      <c r="K8392" s="7" t="s">
        <v>18</v>
      </c>
      <c r="L8392" s="8">
        <v>39987.315405092595</v>
      </c>
      <c r="M8392" s="9" t="s">
        <v>19</v>
      </c>
      <c r="N8392" s="9" t="s">
        <v>20</v>
      </c>
      <c r="O8392" s="6" t="str">
        <f>HYPERLINK("https://pbs.twimg.com/profile_images/962471262747529216/Uo8lOkRJ_normal.jpg","View")</f>
        <v>View</v>
      </c>
      <c r="P8392" s="7"/>
    </row>
    <row r="8393" spans="1:16">
      <c r="A8393" s="3">
        <v>44049.210891203707</v>
      </c>
      <c r="B8393" s="4" t="str">
        <f>HYPERLINK("https://twitter.com/petrogustavo","@petrogustavo")</f>
        <v>@petrogustavo</v>
      </c>
      <c r="C8393" s="5" t="s">
        <v>16</v>
      </c>
      <c r="D8393" s="5" t="s">
        <v>8091</v>
      </c>
      <c r="E8393" s="6" t="str">
        <f>HYPERLINK("https://twitter.com/petrogustavo/status/1291155445256781824","1291155445256781824")</f>
        <v>1291155445256781824</v>
      </c>
      <c r="F8393" s="7" t="s">
        <v>32</v>
      </c>
      <c r="G8393" s="7">
        <v>3927094</v>
      </c>
      <c r="H8393" s="7">
        <v>2424</v>
      </c>
      <c r="I8393" s="7">
        <v>832</v>
      </c>
      <c r="J8393" s="7">
        <v>0</v>
      </c>
      <c r="K8393" s="7" t="s">
        <v>18</v>
      </c>
      <c r="L8393" s="8">
        <v>39987.315405092595</v>
      </c>
      <c r="M8393" s="9" t="s">
        <v>19</v>
      </c>
      <c r="N8393" s="9" t="s">
        <v>20</v>
      </c>
      <c r="O8393" s="6" t="str">
        <f>HYPERLINK("https://pbs.twimg.com/profile_images/962471262747529216/Uo8lOkRJ_normal.jpg","View")</f>
        <v>View</v>
      </c>
      <c r="P8393" s="7"/>
    </row>
    <row r="8394" spans="1:16">
      <c r="A8394" s="3">
        <v>44049.237847222219</v>
      </c>
      <c r="B8394" s="4" t="str">
        <f>HYPERLINK("https://twitter.com/petrogustavo","@petrogustavo")</f>
        <v>@petrogustavo</v>
      </c>
      <c r="C8394" s="5" t="s">
        <v>16</v>
      </c>
      <c r="D8394" s="5" t="s">
        <v>8092</v>
      </c>
      <c r="E8394" s="6" t="str">
        <f>HYPERLINK("https://twitter.com/petrogustavo/status/1291165214503829504","1291165214503829504")</f>
        <v>1291165214503829504</v>
      </c>
      <c r="F8394" s="7" t="s">
        <v>32</v>
      </c>
      <c r="G8394" s="7">
        <v>3927152</v>
      </c>
      <c r="H8394" s="7">
        <v>2424</v>
      </c>
      <c r="I8394" s="7">
        <v>46</v>
      </c>
      <c r="J8394" s="7">
        <v>163</v>
      </c>
      <c r="K8394" s="7" t="s">
        <v>18</v>
      </c>
      <c r="L8394" s="8">
        <v>39987.315405092595</v>
      </c>
      <c r="M8394" s="9" t="s">
        <v>19</v>
      </c>
      <c r="N8394" s="9" t="s">
        <v>20</v>
      </c>
      <c r="O8394" s="6" t="str">
        <f>HYPERLINK("https://pbs.twimg.com/profile_images/962471262747529216/Uo8lOkRJ_normal.jpg","View")</f>
        <v>View</v>
      </c>
      <c r="P8394" s="7"/>
    </row>
    <row r="8395" spans="1:16">
      <c r="A8395" s="3">
        <v>44049.243136574078</v>
      </c>
      <c r="B8395" s="4" t="str">
        <f>HYPERLINK("https://twitter.com/petrogustavo","@petrogustavo")</f>
        <v>@petrogustavo</v>
      </c>
      <c r="C8395" s="5" t="s">
        <v>16</v>
      </c>
      <c r="D8395" s="5" t="s">
        <v>8093</v>
      </c>
      <c r="E8395" s="6" t="str">
        <f>HYPERLINK("https://twitter.com/petrogustavo/status/1291167131229466625","1291167131229466625")</f>
        <v>1291167131229466625</v>
      </c>
      <c r="F8395" s="7" t="s">
        <v>32</v>
      </c>
      <c r="G8395" s="7">
        <v>3927222</v>
      </c>
      <c r="H8395" s="7">
        <v>2424</v>
      </c>
      <c r="I8395" s="7">
        <v>180</v>
      </c>
      <c r="J8395" s="7">
        <v>0</v>
      </c>
      <c r="K8395" s="7" t="s">
        <v>18</v>
      </c>
      <c r="L8395" s="8">
        <v>39987.315405092595</v>
      </c>
      <c r="M8395" s="9" t="s">
        <v>19</v>
      </c>
      <c r="N8395" s="9" t="s">
        <v>20</v>
      </c>
      <c r="O8395" s="6" t="str">
        <f>HYPERLINK("https://pbs.twimg.com/profile_images/962471262747529216/Uo8lOkRJ_normal.jpg","View")</f>
        <v>View</v>
      </c>
      <c r="P8395" s="7"/>
    </row>
    <row r="8396" spans="1:16">
      <c r="A8396" s="3">
        <v>44049.255995370375</v>
      </c>
      <c r="B8396" s="4" t="str">
        <f>HYPERLINK("https://twitter.com/petrogustavo","@petrogustavo")</f>
        <v>@petrogustavo</v>
      </c>
      <c r="C8396" s="5" t="s">
        <v>16</v>
      </c>
      <c r="D8396" s="5" t="s">
        <v>8094</v>
      </c>
      <c r="E8396" s="6" t="str">
        <f>HYPERLINK("https://twitter.com/petrogustavo/status/1291171790849540097","1291171790849540097")</f>
        <v>1291171790849540097</v>
      </c>
      <c r="F8396" s="7" t="s">
        <v>32</v>
      </c>
      <c r="G8396" s="7">
        <v>3927222</v>
      </c>
      <c r="H8396" s="7">
        <v>2424</v>
      </c>
      <c r="I8396" s="7">
        <v>138</v>
      </c>
      <c r="J8396" s="7">
        <v>351</v>
      </c>
      <c r="K8396" s="7" t="s">
        <v>18</v>
      </c>
      <c r="L8396" s="8">
        <v>39987.315405092595</v>
      </c>
      <c r="M8396" s="9" t="s">
        <v>19</v>
      </c>
      <c r="N8396" s="9" t="s">
        <v>20</v>
      </c>
      <c r="O8396" s="6" t="str">
        <f>HYPERLINK("https://pbs.twimg.com/profile_images/962471262747529216/Uo8lOkRJ_normal.jpg","View")</f>
        <v>View</v>
      </c>
      <c r="P8396" s="7"/>
    </row>
    <row r="8397" spans="1:16">
      <c r="A8397" s="3">
        <v>44049.273113425923</v>
      </c>
      <c r="B8397" s="4" t="str">
        <f>HYPERLINK("https://twitter.com/petrogustavo","@petrogustavo")</f>
        <v>@petrogustavo</v>
      </c>
      <c r="C8397" s="5" t="s">
        <v>16</v>
      </c>
      <c r="D8397" s="5" t="s">
        <v>8095</v>
      </c>
      <c r="E8397" s="6" t="str">
        <f>HYPERLINK("https://twitter.com/petrogustavo/status/1291177995672133632","1291177995672133632")</f>
        <v>1291177995672133632</v>
      </c>
      <c r="F8397" s="7" t="s">
        <v>32</v>
      </c>
      <c r="G8397" s="7">
        <v>3927276</v>
      </c>
      <c r="H8397" s="7">
        <v>2424</v>
      </c>
      <c r="I8397" s="7">
        <v>8321</v>
      </c>
      <c r="J8397" s="7">
        <v>0</v>
      </c>
      <c r="K8397" s="7" t="s">
        <v>18</v>
      </c>
      <c r="L8397" s="8">
        <v>39987.315405092595</v>
      </c>
      <c r="M8397" s="9" t="s">
        <v>19</v>
      </c>
      <c r="N8397" s="9" t="s">
        <v>20</v>
      </c>
      <c r="O8397" s="6" t="str">
        <f>HYPERLINK("https://pbs.twimg.com/profile_images/962471262747529216/Uo8lOkRJ_normal.jpg","View")</f>
        <v>View</v>
      </c>
      <c r="P8397" s="7"/>
    </row>
    <row r="8398" spans="1:16">
      <c r="A8398" s="3">
        <v>44049.766053240739</v>
      </c>
      <c r="B8398" s="4" t="str">
        <f>HYPERLINK("https://twitter.com/petrogustavo","@petrogustavo")</f>
        <v>@petrogustavo</v>
      </c>
      <c r="C8398" s="5" t="s">
        <v>16</v>
      </c>
      <c r="D8398" s="5" t="s">
        <v>8096</v>
      </c>
      <c r="E8398" s="6" t="str">
        <f>HYPERLINK("https://twitter.com/petrogustavo/status/1291356631951958016","1291356631951958016")</f>
        <v>1291356631951958016</v>
      </c>
      <c r="F8398" s="7" t="s">
        <v>17</v>
      </c>
      <c r="G8398" s="7">
        <v>3927951</v>
      </c>
      <c r="H8398" s="7">
        <v>2424</v>
      </c>
      <c r="I8398" s="7">
        <v>114</v>
      </c>
      <c r="J8398" s="7">
        <v>364</v>
      </c>
      <c r="K8398" s="7" t="s">
        <v>18</v>
      </c>
      <c r="L8398" s="8">
        <v>39987.315405092595</v>
      </c>
      <c r="M8398" s="9" t="s">
        <v>19</v>
      </c>
      <c r="N8398" s="9" t="s">
        <v>20</v>
      </c>
      <c r="O8398" s="6" t="str">
        <f>HYPERLINK("https://pbs.twimg.com/profile_images/962471262747529216/Uo8lOkRJ_normal.jpg","View")</f>
        <v>View</v>
      </c>
      <c r="P8398" s="7"/>
    </row>
    <row r="8399" spans="1:16">
      <c r="A8399" s="3">
        <v>44049.775636574079</v>
      </c>
      <c r="B8399" s="4" t="str">
        <f>HYPERLINK("https://twitter.com/petrogustavo","@petrogustavo")</f>
        <v>@petrogustavo</v>
      </c>
      <c r="C8399" s="5" t="s">
        <v>16</v>
      </c>
      <c r="D8399" s="5" t="s">
        <v>8097</v>
      </c>
      <c r="E8399" s="6" t="str">
        <f>HYPERLINK("https://twitter.com/petrogustavo/status/1291360101371191298","1291360101371191298")</f>
        <v>1291360101371191298</v>
      </c>
      <c r="F8399" s="7" t="s">
        <v>17</v>
      </c>
      <c r="G8399" s="7">
        <v>3927951</v>
      </c>
      <c r="H8399" s="7">
        <v>2424</v>
      </c>
      <c r="I8399" s="7">
        <v>249</v>
      </c>
      <c r="J8399" s="7">
        <v>972</v>
      </c>
      <c r="K8399" s="7" t="s">
        <v>18</v>
      </c>
      <c r="L8399" s="8">
        <v>39987.315405092595</v>
      </c>
      <c r="M8399" s="9" t="s">
        <v>19</v>
      </c>
      <c r="N8399" s="9" t="s">
        <v>20</v>
      </c>
      <c r="O8399" s="6" t="str">
        <f>HYPERLINK("https://pbs.twimg.com/profile_images/962471262747529216/Uo8lOkRJ_normal.jpg","View")</f>
        <v>View</v>
      </c>
      <c r="P8399" s="7"/>
    </row>
    <row r="8400" spans="1:16">
      <c r="A8400" s="3">
        <v>44049.77915509259</v>
      </c>
      <c r="B8400" s="4" t="str">
        <f>HYPERLINK("https://twitter.com/petrogustavo","@petrogustavo")</f>
        <v>@petrogustavo</v>
      </c>
      <c r="C8400" s="5" t="s">
        <v>16</v>
      </c>
      <c r="D8400" s="5" t="s">
        <v>8098</v>
      </c>
      <c r="E8400" s="6" t="str">
        <f>HYPERLINK("https://twitter.com/petrogustavo/status/1291361378884878337","1291361378884878337")</f>
        <v>1291361378884878337</v>
      </c>
      <c r="F8400" s="7" t="s">
        <v>17</v>
      </c>
      <c r="G8400" s="7">
        <v>3927951</v>
      </c>
      <c r="H8400" s="7">
        <v>2424</v>
      </c>
      <c r="I8400" s="7">
        <v>51</v>
      </c>
      <c r="J8400" s="7">
        <v>146</v>
      </c>
      <c r="K8400" s="7" t="s">
        <v>18</v>
      </c>
      <c r="L8400" s="8">
        <v>39987.315405092595</v>
      </c>
      <c r="M8400" s="9" t="s">
        <v>19</v>
      </c>
      <c r="N8400" s="9" t="s">
        <v>20</v>
      </c>
      <c r="O8400" s="6" t="str">
        <f>HYPERLINK("https://pbs.twimg.com/profile_images/962471262747529216/Uo8lOkRJ_normal.jpg","View")</f>
        <v>View</v>
      </c>
      <c r="P8400" s="7"/>
    </row>
    <row r="8401" spans="1:16">
      <c r="A8401" s="3">
        <v>44049.784131944441</v>
      </c>
      <c r="B8401" s="4" t="str">
        <f>HYPERLINK("https://twitter.com/petrogustavo","@petrogustavo")</f>
        <v>@petrogustavo</v>
      </c>
      <c r="C8401" s="5" t="s">
        <v>16</v>
      </c>
      <c r="D8401" s="5" t="s">
        <v>8099</v>
      </c>
      <c r="E8401" s="6" t="str">
        <f>HYPERLINK("https://twitter.com/petrogustavo/status/1291363181651263488","1291363181651263488")</f>
        <v>1291363181651263488</v>
      </c>
      <c r="F8401" s="7" t="s">
        <v>17</v>
      </c>
      <c r="G8401" s="7">
        <v>3927984</v>
      </c>
      <c r="H8401" s="7">
        <v>2424</v>
      </c>
      <c r="I8401" s="7">
        <v>135</v>
      </c>
      <c r="J8401" s="7">
        <v>360</v>
      </c>
      <c r="K8401" s="7" t="s">
        <v>18</v>
      </c>
      <c r="L8401" s="8">
        <v>39987.315405092595</v>
      </c>
      <c r="M8401" s="9" t="s">
        <v>19</v>
      </c>
      <c r="N8401" s="9" t="s">
        <v>20</v>
      </c>
      <c r="O8401" s="6" t="str">
        <f>HYPERLINK("https://pbs.twimg.com/profile_images/962471262747529216/Uo8lOkRJ_normal.jpg","View")</f>
        <v>View</v>
      </c>
      <c r="P8401" s="7"/>
    </row>
    <row r="8402" spans="1:16">
      <c r="A8402" s="3">
        <v>44049.786122685182</v>
      </c>
      <c r="B8402" s="4" t="str">
        <f>HYPERLINK("https://twitter.com/petrogustavo","@petrogustavo")</f>
        <v>@petrogustavo</v>
      </c>
      <c r="C8402" s="5" t="s">
        <v>16</v>
      </c>
      <c r="D8402" s="5" t="s">
        <v>8100</v>
      </c>
      <c r="E8402" s="6" t="str">
        <f>HYPERLINK("https://twitter.com/petrogustavo/status/1291363904325640194","1291363904325640194")</f>
        <v>1291363904325640194</v>
      </c>
      <c r="F8402" s="7" t="s">
        <v>17</v>
      </c>
      <c r="G8402" s="7">
        <v>3927984</v>
      </c>
      <c r="H8402" s="7">
        <v>2424</v>
      </c>
      <c r="I8402" s="7">
        <v>118</v>
      </c>
      <c r="J8402" s="7">
        <v>323</v>
      </c>
      <c r="K8402" s="7" t="s">
        <v>18</v>
      </c>
      <c r="L8402" s="8">
        <v>39987.315405092595</v>
      </c>
      <c r="M8402" s="9" t="s">
        <v>19</v>
      </c>
      <c r="N8402" s="9" t="s">
        <v>20</v>
      </c>
      <c r="O8402" s="6" t="str">
        <f>HYPERLINK("https://pbs.twimg.com/profile_images/962471262747529216/Uo8lOkRJ_normal.jpg","View")</f>
        <v>View</v>
      </c>
      <c r="P8402" s="7"/>
    </row>
    <row r="8403" spans="1:16">
      <c r="A8403" s="3">
        <v>44049.788240740745</v>
      </c>
      <c r="B8403" s="4" t="str">
        <f>HYPERLINK("https://twitter.com/petrogustavo","@petrogustavo")</f>
        <v>@petrogustavo</v>
      </c>
      <c r="C8403" s="5" t="s">
        <v>16</v>
      </c>
      <c r="D8403" s="5" t="s">
        <v>8101</v>
      </c>
      <c r="E8403" s="6" t="str">
        <f>HYPERLINK("https://twitter.com/petrogustavo/status/1291364671723839488","1291364671723839488")</f>
        <v>1291364671723839488</v>
      </c>
      <c r="F8403" s="7" t="s">
        <v>17</v>
      </c>
      <c r="G8403" s="7">
        <v>3927984</v>
      </c>
      <c r="H8403" s="7">
        <v>2424</v>
      </c>
      <c r="I8403" s="7">
        <v>366</v>
      </c>
      <c r="J8403" s="7">
        <v>1061</v>
      </c>
      <c r="K8403" s="7" t="s">
        <v>18</v>
      </c>
      <c r="L8403" s="8">
        <v>39987.315405092595</v>
      </c>
      <c r="M8403" s="9" t="s">
        <v>19</v>
      </c>
      <c r="N8403" s="9" t="s">
        <v>20</v>
      </c>
      <c r="O8403" s="6" t="str">
        <f>HYPERLINK("https://pbs.twimg.com/profile_images/962471262747529216/Uo8lOkRJ_normal.jpg","View")</f>
        <v>View</v>
      </c>
      <c r="P8403" s="7"/>
    </row>
    <row r="8404" spans="1:16">
      <c r="A8404" s="3">
        <v>44049.790636574078</v>
      </c>
      <c r="B8404" s="4" t="str">
        <f>HYPERLINK("https://twitter.com/petrogustavo","@petrogustavo")</f>
        <v>@petrogustavo</v>
      </c>
      <c r="C8404" s="5" t="s">
        <v>16</v>
      </c>
      <c r="D8404" s="5" t="s">
        <v>8102</v>
      </c>
      <c r="E8404" s="6" t="str">
        <f>HYPERLINK("https://twitter.com/petrogustavo/status/1291365537478586374","1291365537478586374")</f>
        <v>1291365537478586374</v>
      </c>
      <c r="F8404" s="7" t="s">
        <v>17</v>
      </c>
      <c r="G8404" s="7">
        <v>3927984</v>
      </c>
      <c r="H8404" s="7">
        <v>2424</v>
      </c>
      <c r="I8404" s="7">
        <v>361</v>
      </c>
      <c r="J8404" s="7">
        <v>1682</v>
      </c>
      <c r="K8404" s="7" t="s">
        <v>18</v>
      </c>
      <c r="L8404" s="8">
        <v>39987.315405092595</v>
      </c>
      <c r="M8404" s="9" t="s">
        <v>19</v>
      </c>
      <c r="N8404" s="9" t="s">
        <v>20</v>
      </c>
      <c r="O8404" s="6" t="str">
        <f>HYPERLINK("https://pbs.twimg.com/profile_images/962471262747529216/Uo8lOkRJ_normal.jpg","View")</f>
        <v>View</v>
      </c>
      <c r="P8404" s="7"/>
    </row>
    <row r="8405" spans="1:16">
      <c r="A8405" s="3">
        <v>44049.793009259258</v>
      </c>
      <c r="B8405" s="4" t="str">
        <f>HYPERLINK("https://twitter.com/petrogustavo","@petrogustavo")</f>
        <v>@petrogustavo</v>
      </c>
      <c r="C8405" s="5" t="s">
        <v>16</v>
      </c>
      <c r="D8405" s="5" t="s">
        <v>8103</v>
      </c>
      <c r="E8405" s="6" t="str">
        <f>HYPERLINK("https://twitter.com/petrogustavo/status/1291366399357652993","1291366399357652993")</f>
        <v>1291366399357652993</v>
      </c>
      <c r="F8405" s="7" t="s">
        <v>17</v>
      </c>
      <c r="G8405" s="7">
        <v>3927984</v>
      </c>
      <c r="H8405" s="7">
        <v>2424</v>
      </c>
      <c r="I8405" s="7">
        <v>125</v>
      </c>
      <c r="J8405" s="7">
        <v>440</v>
      </c>
      <c r="K8405" s="7" t="s">
        <v>18</v>
      </c>
      <c r="L8405" s="8">
        <v>39987.315405092595</v>
      </c>
      <c r="M8405" s="9" t="s">
        <v>19</v>
      </c>
      <c r="N8405" s="9" t="s">
        <v>20</v>
      </c>
      <c r="O8405" s="6" t="str">
        <f>HYPERLINK("https://pbs.twimg.com/profile_images/962471262747529216/Uo8lOkRJ_normal.jpg","View")</f>
        <v>View</v>
      </c>
      <c r="P8405" s="7"/>
    </row>
    <row r="8406" spans="1:16">
      <c r="A8406" s="3">
        <v>44049.801145833335</v>
      </c>
      <c r="B8406" s="4" t="str">
        <f>HYPERLINK("https://twitter.com/petrogustavo","@petrogustavo")</f>
        <v>@petrogustavo</v>
      </c>
      <c r="C8406" s="5" t="s">
        <v>16</v>
      </c>
      <c r="D8406" s="5" t="s">
        <v>8104</v>
      </c>
      <c r="E8406" s="6" t="str">
        <f>HYPERLINK("https://twitter.com/petrogustavo/status/1291369346615451649","1291369346615451649")</f>
        <v>1291369346615451649</v>
      </c>
      <c r="F8406" s="7" t="s">
        <v>17</v>
      </c>
      <c r="G8406" s="7">
        <v>3927984</v>
      </c>
      <c r="H8406" s="7">
        <v>2424</v>
      </c>
      <c r="I8406" s="7">
        <v>230</v>
      </c>
      <c r="J8406" s="7">
        <v>0</v>
      </c>
      <c r="K8406" s="7" t="s">
        <v>18</v>
      </c>
      <c r="L8406" s="8">
        <v>39987.315405092595</v>
      </c>
      <c r="M8406" s="9" t="s">
        <v>19</v>
      </c>
      <c r="N8406" s="9" t="s">
        <v>20</v>
      </c>
      <c r="O8406" s="6" t="str">
        <f>HYPERLINK("https://pbs.twimg.com/profile_images/962471262747529216/Uo8lOkRJ_normal.jpg","View")</f>
        <v>View</v>
      </c>
      <c r="P8406" s="7"/>
    </row>
    <row r="8407" spans="1:16">
      <c r="A8407" s="3">
        <v>44049.803298611107</v>
      </c>
      <c r="B8407" s="4" t="str">
        <f>HYPERLINK("https://twitter.com/petrogustavo","@petrogustavo")</f>
        <v>@petrogustavo</v>
      </c>
      <c r="C8407" s="5" t="s">
        <v>16</v>
      </c>
      <c r="D8407" s="5" t="s">
        <v>8105</v>
      </c>
      <c r="E8407" s="6" t="str">
        <f>HYPERLINK("https://twitter.com/petrogustavo/status/1291370127833870336","1291370127833870336")</f>
        <v>1291370127833870336</v>
      </c>
      <c r="F8407" s="7" t="s">
        <v>17</v>
      </c>
      <c r="G8407" s="7">
        <v>3927984</v>
      </c>
      <c r="H8407" s="7">
        <v>2424</v>
      </c>
      <c r="I8407" s="7">
        <v>6</v>
      </c>
      <c r="J8407" s="7">
        <v>0</v>
      </c>
      <c r="K8407" s="7" t="s">
        <v>18</v>
      </c>
      <c r="L8407" s="8">
        <v>39987.315405092595</v>
      </c>
      <c r="M8407" s="9" t="s">
        <v>19</v>
      </c>
      <c r="N8407" s="9" t="s">
        <v>20</v>
      </c>
      <c r="O8407" s="6" t="str">
        <f>HYPERLINK("https://pbs.twimg.com/profile_images/962471262747529216/Uo8lOkRJ_normal.jpg","View")</f>
        <v>View</v>
      </c>
      <c r="P8407" s="7"/>
    </row>
    <row r="8408" spans="1:16">
      <c r="A8408" s="3">
        <v>44049.805567129632</v>
      </c>
      <c r="B8408" s="4" t="str">
        <f>HYPERLINK("https://twitter.com/petrogustavo","@petrogustavo")</f>
        <v>@petrogustavo</v>
      </c>
      <c r="C8408" s="5" t="s">
        <v>16</v>
      </c>
      <c r="D8408" s="5" t="s">
        <v>8106</v>
      </c>
      <c r="E8408" s="6" t="str">
        <f>HYPERLINK("https://twitter.com/petrogustavo/status/1291370948290129926","1291370948290129926")</f>
        <v>1291370948290129926</v>
      </c>
      <c r="F8408" s="7" t="s">
        <v>17</v>
      </c>
      <c r="G8408" s="7">
        <v>3928035</v>
      </c>
      <c r="H8408" s="7">
        <v>2424</v>
      </c>
      <c r="I8408" s="7">
        <v>442</v>
      </c>
      <c r="J8408" s="7">
        <v>1745</v>
      </c>
      <c r="K8408" s="7" t="s">
        <v>18</v>
      </c>
      <c r="L8408" s="8">
        <v>39987.315405092595</v>
      </c>
      <c r="M8408" s="9" t="s">
        <v>19</v>
      </c>
      <c r="N8408" s="9" t="s">
        <v>20</v>
      </c>
      <c r="O8408" s="6" t="str">
        <f>HYPERLINK("https://pbs.twimg.com/profile_images/962471262747529216/Uo8lOkRJ_normal.jpg","View")</f>
        <v>View</v>
      </c>
      <c r="P8408" s="7"/>
    </row>
    <row r="8409" spans="1:16">
      <c r="A8409" s="3">
        <v>44049.805856481486</v>
      </c>
      <c r="B8409" s="4" t="str">
        <f>HYPERLINK("https://twitter.com/petrogustavo","@petrogustavo")</f>
        <v>@petrogustavo</v>
      </c>
      <c r="C8409" s="5" t="s">
        <v>16</v>
      </c>
      <c r="D8409" s="5" t="s">
        <v>8107</v>
      </c>
      <c r="E8409" s="6" t="str">
        <f>HYPERLINK("https://twitter.com/petrogustavo/status/1291371054221361152","1291371054221361152")</f>
        <v>1291371054221361152</v>
      </c>
      <c r="F8409" s="7" t="s">
        <v>17</v>
      </c>
      <c r="G8409" s="7">
        <v>3928035</v>
      </c>
      <c r="H8409" s="7">
        <v>2424</v>
      </c>
      <c r="I8409" s="7">
        <v>114</v>
      </c>
      <c r="J8409" s="7">
        <v>0</v>
      </c>
      <c r="K8409" s="7" t="s">
        <v>18</v>
      </c>
      <c r="L8409" s="8">
        <v>39987.315405092595</v>
      </c>
      <c r="M8409" s="9" t="s">
        <v>19</v>
      </c>
      <c r="N8409" s="9" t="s">
        <v>20</v>
      </c>
      <c r="O8409" s="6" t="str">
        <f>HYPERLINK("https://pbs.twimg.com/profile_images/962471262747529216/Uo8lOkRJ_normal.jpg","View")</f>
        <v>View</v>
      </c>
      <c r="P8409" s="7"/>
    </row>
    <row r="8410" spans="1:16">
      <c r="A8410" s="3">
        <v>44049.808310185181</v>
      </c>
      <c r="B8410" s="4" t="str">
        <f>HYPERLINK("https://twitter.com/petrogustavo","@petrogustavo")</f>
        <v>@petrogustavo</v>
      </c>
      <c r="C8410" s="5" t="s">
        <v>16</v>
      </c>
      <c r="D8410" s="5" t="s">
        <v>4198</v>
      </c>
      <c r="E8410" s="6" t="str">
        <f>HYPERLINK("https://twitter.com/petrogustavo/status/1291371941765492737","1291371941765492737")</f>
        <v>1291371941765492737</v>
      </c>
      <c r="F8410" s="7" t="s">
        <v>17</v>
      </c>
      <c r="G8410" s="7">
        <v>3928035</v>
      </c>
      <c r="H8410" s="7">
        <v>2424</v>
      </c>
      <c r="I8410" s="7">
        <v>1301</v>
      </c>
      <c r="J8410" s="7">
        <v>0</v>
      </c>
      <c r="K8410" s="7" t="s">
        <v>18</v>
      </c>
      <c r="L8410" s="8">
        <v>39987.315405092595</v>
      </c>
      <c r="M8410" s="9" t="s">
        <v>19</v>
      </c>
      <c r="N8410" s="9" t="s">
        <v>20</v>
      </c>
      <c r="O8410" s="6" t="str">
        <f>HYPERLINK("https://pbs.twimg.com/profile_images/962471262747529216/Uo8lOkRJ_normal.jpg","View")</f>
        <v>View</v>
      </c>
      <c r="P8410" s="7"/>
    </row>
    <row r="8411" spans="1:16">
      <c r="A8411" s="3">
        <v>44049.820428240739</v>
      </c>
      <c r="B8411" s="4" t="str">
        <f>HYPERLINK("https://twitter.com/petrogustavo","@petrogustavo")</f>
        <v>@petrogustavo</v>
      </c>
      <c r="C8411" s="5" t="s">
        <v>16</v>
      </c>
      <c r="D8411" s="5" t="s">
        <v>8108</v>
      </c>
      <c r="E8411" s="6" t="str">
        <f>HYPERLINK("https://twitter.com/petrogustavo/status/1291376334883688450","1291376334883688450")</f>
        <v>1291376334883688450</v>
      </c>
      <c r="F8411" s="7" t="s">
        <v>17</v>
      </c>
      <c r="G8411" s="7">
        <v>3928035</v>
      </c>
      <c r="H8411" s="7">
        <v>2424</v>
      </c>
      <c r="I8411" s="7">
        <v>177</v>
      </c>
      <c r="J8411" s="7">
        <v>445</v>
      </c>
      <c r="K8411" s="7" t="s">
        <v>18</v>
      </c>
      <c r="L8411" s="8">
        <v>39987.315405092595</v>
      </c>
      <c r="M8411" s="9" t="s">
        <v>19</v>
      </c>
      <c r="N8411" s="9" t="s">
        <v>20</v>
      </c>
      <c r="O8411" s="6" t="str">
        <f>HYPERLINK("https://pbs.twimg.com/profile_images/962471262747529216/Uo8lOkRJ_normal.jpg","View")</f>
        <v>View</v>
      </c>
      <c r="P8411" s="7"/>
    </row>
    <row r="8412" spans="1:16">
      <c r="A8412" s="3">
        <v>44049.830891203703</v>
      </c>
      <c r="B8412" s="4" t="str">
        <f>HYPERLINK("https://twitter.com/petrogustavo","@petrogustavo")</f>
        <v>@petrogustavo</v>
      </c>
      <c r="C8412" s="5" t="s">
        <v>16</v>
      </c>
      <c r="D8412" s="5" t="s">
        <v>8109</v>
      </c>
      <c r="E8412" s="6" t="str">
        <f>HYPERLINK("https://twitter.com/petrogustavo/status/1291380124949061643","1291380124949061643")</f>
        <v>1291380124949061643</v>
      </c>
      <c r="F8412" s="7" t="s">
        <v>32</v>
      </c>
      <c r="G8412" s="7">
        <v>3928083</v>
      </c>
      <c r="H8412" s="7">
        <v>2424</v>
      </c>
      <c r="I8412" s="7">
        <v>109</v>
      </c>
      <c r="J8412" s="7">
        <v>245</v>
      </c>
      <c r="K8412" s="7" t="s">
        <v>18</v>
      </c>
      <c r="L8412" s="8">
        <v>39987.315405092595</v>
      </c>
      <c r="M8412" s="9" t="s">
        <v>19</v>
      </c>
      <c r="N8412" s="9" t="s">
        <v>20</v>
      </c>
      <c r="O8412" s="6" t="str">
        <f>HYPERLINK("https://pbs.twimg.com/profile_images/962471262747529216/Uo8lOkRJ_normal.jpg","View")</f>
        <v>View</v>
      </c>
      <c r="P8412" s="7"/>
    </row>
    <row r="8413" spans="1:16">
      <c r="A8413" s="3">
        <v>44049.833182870367</v>
      </c>
      <c r="B8413" s="4" t="str">
        <f>HYPERLINK("https://twitter.com/petrogustavo","@petrogustavo")</f>
        <v>@petrogustavo</v>
      </c>
      <c r="C8413" s="5" t="s">
        <v>16</v>
      </c>
      <c r="D8413" s="5" t="s">
        <v>8110</v>
      </c>
      <c r="E8413" s="6" t="str">
        <f>HYPERLINK("https://twitter.com/petrogustavo/status/1291380958197886978","1291380958197886978")</f>
        <v>1291380958197886978</v>
      </c>
      <c r="F8413" s="7" t="s">
        <v>32</v>
      </c>
      <c r="G8413" s="7">
        <v>3928083</v>
      </c>
      <c r="H8413" s="7">
        <v>2424</v>
      </c>
      <c r="I8413" s="7">
        <v>110</v>
      </c>
      <c r="J8413" s="7">
        <v>232</v>
      </c>
      <c r="K8413" s="7" t="s">
        <v>18</v>
      </c>
      <c r="L8413" s="8">
        <v>39987.315405092595</v>
      </c>
      <c r="M8413" s="9" t="s">
        <v>19</v>
      </c>
      <c r="N8413" s="9" t="s">
        <v>20</v>
      </c>
      <c r="O8413" s="6" t="str">
        <f>HYPERLINK("https://pbs.twimg.com/profile_images/962471262747529216/Uo8lOkRJ_normal.jpg","View")</f>
        <v>View</v>
      </c>
      <c r="P8413" s="7"/>
    </row>
    <row r="8414" spans="1:16">
      <c r="A8414" s="3">
        <v>44049.849537037036</v>
      </c>
      <c r="B8414" s="4" t="str">
        <f>HYPERLINK("https://twitter.com/petrogustavo","@petrogustavo")</f>
        <v>@petrogustavo</v>
      </c>
      <c r="C8414" s="5" t="s">
        <v>16</v>
      </c>
      <c r="D8414" s="5" t="s">
        <v>8111</v>
      </c>
      <c r="E8414" s="6" t="str">
        <f>HYPERLINK("https://twitter.com/petrogustavo/status/1291386883986120705","1291386883986120705")</f>
        <v>1291386883986120705</v>
      </c>
      <c r="F8414" s="7" t="s">
        <v>32</v>
      </c>
      <c r="G8414" s="7">
        <v>3928108</v>
      </c>
      <c r="H8414" s="7">
        <v>2424</v>
      </c>
      <c r="I8414" s="7">
        <v>254</v>
      </c>
      <c r="J8414" s="7">
        <v>0</v>
      </c>
      <c r="K8414" s="7" t="s">
        <v>18</v>
      </c>
      <c r="L8414" s="8">
        <v>39987.315405092595</v>
      </c>
      <c r="M8414" s="9" t="s">
        <v>19</v>
      </c>
      <c r="N8414" s="9" t="s">
        <v>20</v>
      </c>
      <c r="O8414" s="6" t="str">
        <f>HYPERLINK("https://pbs.twimg.com/profile_images/962471262747529216/Uo8lOkRJ_normal.jpg","View")</f>
        <v>View</v>
      </c>
      <c r="P8414" s="7"/>
    </row>
    <row r="8415" spans="1:16">
      <c r="A8415" s="3">
        <v>44049.891180555554</v>
      </c>
      <c r="B8415" s="4" t="str">
        <f>HYPERLINK("https://twitter.com/petrogustavo","@petrogustavo")</f>
        <v>@petrogustavo</v>
      </c>
      <c r="C8415" s="5" t="s">
        <v>16</v>
      </c>
      <c r="D8415" s="5" t="s">
        <v>8112</v>
      </c>
      <c r="E8415" s="6" t="str">
        <f>HYPERLINK("https://twitter.com/petrogustavo/status/1291401976450711553","1291401976450711553")</f>
        <v>1291401976450711553</v>
      </c>
      <c r="F8415" s="7" t="s">
        <v>32</v>
      </c>
      <c r="G8415" s="7">
        <v>3928216</v>
      </c>
      <c r="H8415" s="7">
        <v>2424</v>
      </c>
      <c r="I8415" s="7">
        <v>1113</v>
      </c>
      <c r="J8415" s="7">
        <v>0</v>
      </c>
      <c r="K8415" s="7" t="s">
        <v>18</v>
      </c>
      <c r="L8415" s="8">
        <v>39987.315405092595</v>
      </c>
      <c r="M8415" s="9" t="s">
        <v>19</v>
      </c>
      <c r="N8415" s="9" t="s">
        <v>20</v>
      </c>
      <c r="O8415" s="6" t="str">
        <f>HYPERLINK("https://pbs.twimg.com/profile_images/962471262747529216/Uo8lOkRJ_normal.jpg","View")</f>
        <v>View</v>
      </c>
      <c r="P8415" s="7"/>
    </row>
    <row r="8416" spans="1:16">
      <c r="A8416" s="3">
        <v>44049.892893518518</v>
      </c>
      <c r="B8416" s="4" t="str">
        <f>HYPERLINK("https://twitter.com/petrogustavo","@petrogustavo")</f>
        <v>@petrogustavo</v>
      </c>
      <c r="C8416" s="5" t="s">
        <v>16</v>
      </c>
      <c r="D8416" s="5" t="s">
        <v>8113</v>
      </c>
      <c r="E8416" s="6" t="str">
        <f>HYPERLINK("https://twitter.com/petrogustavo/status/1291402597069393920","1291402597069393920")</f>
        <v>1291402597069393920</v>
      </c>
      <c r="F8416" s="7" t="s">
        <v>32</v>
      </c>
      <c r="G8416" s="7">
        <v>3928216</v>
      </c>
      <c r="H8416" s="7">
        <v>2424</v>
      </c>
      <c r="I8416" s="7">
        <v>718</v>
      </c>
      <c r="J8416" s="7">
        <v>2101</v>
      </c>
      <c r="K8416" s="7" t="s">
        <v>18</v>
      </c>
      <c r="L8416" s="8">
        <v>39987.315405092595</v>
      </c>
      <c r="M8416" s="9" t="s">
        <v>19</v>
      </c>
      <c r="N8416" s="9" t="s">
        <v>20</v>
      </c>
      <c r="O8416" s="6" t="str">
        <f>HYPERLINK("https://pbs.twimg.com/profile_images/962471262747529216/Uo8lOkRJ_normal.jpg","View")</f>
        <v>View</v>
      </c>
      <c r="P8416" s="7"/>
    </row>
    <row r="8417" spans="1:16">
      <c r="A8417" s="3">
        <v>44049.897453703699</v>
      </c>
      <c r="B8417" s="4" t="str">
        <f>HYPERLINK("https://twitter.com/petrogustavo","@petrogustavo")</f>
        <v>@petrogustavo</v>
      </c>
      <c r="C8417" s="5" t="s">
        <v>16</v>
      </c>
      <c r="D8417" s="5" t="s">
        <v>8114</v>
      </c>
      <c r="E8417" s="6" t="str">
        <f>HYPERLINK("https://twitter.com/petrogustavo/status/1291404245959401479","1291404245959401479")</f>
        <v>1291404245959401479</v>
      </c>
      <c r="F8417" s="7" t="s">
        <v>32</v>
      </c>
      <c r="G8417" s="7">
        <v>3928216</v>
      </c>
      <c r="H8417" s="7">
        <v>2424</v>
      </c>
      <c r="I8417" s="7">
        <v>129</v>
      </c>
      <c r="J8417" s="7">
        <v>362</v>
      </c>
      <c r="K8417" s="7" t="s">
        <v>18</v>
      </c>
      <c r="L8417" s="8">
        <v>39987.315405092595</v>
      </c>
      <c r="M8417" s="9" t="s">
        <v>19</v>
      </c>
      <c r="N8417" s="9" t="s">
        <v>20</v>
      </c>
      <c r="O8417" s="6" t="str">
        <f>HYPERLINK("https://pbs.twimg.com/profile_images/962471262747529216/Uo8lOkRJ_normal.jpg","View")</f>
        <v>View</v>
      </c>
      <c r="P8417" s="7"/>
    </row>
    <row r="8418" spans="1:16">
      <c r="A8418" s="3">
        <v>44049.902175925927</v>
      </c>
      <c r="B8418" s="4" t="str">
        <f>HYPERLINK("https://twitter.com/petrogustavo","@petrogustavo")</f>
        <v>@petrogustavo</v>
      </c>
      <c r="C8418" s="5" t="s">
        <v>16</v>
      </c>
      <c r="D8418" s="5" t="s">
        <v>8115</v>
      </c>
      <c r="E8418" s="6" t="str">
        <f>HYPERLINK("https://twitter.com/petrogustavo/status/1291405958699261952","1291405958699261952")</f>
        <v>1291405958699261952</v>
      </c>
      <c r="F8418" s="7" t="s">
        <v>32</v>
      </c>
      <c r="G8418" s="7">
        <v>3928216</v>
      </c>
      <c r="H8418" s="7">
        <v>2424</v>
      </c>
      <c r="I8418" s="7">
        <v>72</v>
      </c>
      <c r="J8418" s="7">
        <v>0</v>
      </c>
      <c r="K8418" s="7" t="s">
        <v>18</v>
      </c>
      <c r="L8418" s="8">
        <v>39987.315405092595</v>
      </c>
      <c r="M8418" s="9" t="s">
        <v>19</v>
      </c>
      <c r="N8418" s="9" t="s">
        <v>20</v>
      </c>
      <c r="O8418" s="6" t="str">
        <f>HYPERLINK("https://pbs.twimg.com/profile_images/962471262747529216/Uo8lOkRJ_normal.jpg","View")</f>
        <v>View</v>
      </c>
      <c r="P8418" s="7"/>
    </row>
    <row r="8419" spans="1:16">
      <c r="A8419" s="3">
        <v>44049.928738425922</v>
      </c>
      <c r="B8419" s="4" t="str">
        <f>HYPERLINK("https://twitter.com/petrogustavo","@petrogustavo")</f>
        <v>@petrogustavo</v>
      </c>
      <c r="C8419" s="5" t="s">
        <v>16</v>
      </c>
      <c r="D8419" s="5" t="s">
        <v>8116</v>
      </c>
      <c r="E8419" s="6" t="str">
        <f>HYPERLINK("https://twitter.com/petrogustavo/status/1291415584358506498","1291415584358506498")</f>
        <v>1291415584358506498</v>
      </c>
      <c r="F8419" s="7" t="s">
        <v>32</v>
      </c>
      <c r="G8419" s="7">
        <v>3928259</v>
      </c>
      <c r="H8419" s="7">
        <v>2424</v>
      </c>
      <c r="I8419" s="7">
        <v>15</v>
      </c>
      <c r="J8419" s="7">
        <v>34</v>
      </c>
      <c r="K8419" s="7" t="s">
        <v>18</v>
      </c>
      <c r="L8419" s="8">
        <v>39987.315405092595</v>
      </c>
      <c r="M8419" s="9" t="s">
        <v>19</v>
      </c>
      <c r="N8419" s="9" t="s">
        <v>20</v>
      </c>
      <c r="O8419" s="6" t="str">
        <f>HYPERLINK("https://pbs.twimg.com/profile_images/962471262747529216/Uo8lOkRJ_normal.jpg","View")</f>
        <v>View</v>
      </c>
      <c r="P8419" s="7"/>
    </row>
    <row r="8420" spans="1:16">
      <c r="A8420" s="3">
        <v>44049.932858796295</v>
      </c>
      <c r="B8420" s="4" t="str">
        <f>HYPERLINK("https://twitter.com/petrogustavo","@petrogustavo")</f>
        <v>@petrogustavo</v>
      </c>
      <c r="C8420" s="5" t="s">
        <v>16</v>
      </c>
      <c r="D8420" s="5" t="s">
        <v>8117</v>
      </c>
      <c r="E8420" s="6" t="str">
        <f>HYPERLINK("https://twitter.com/petrogustavo/status/1291417078411464704","1291417078411464704")</f>
        <v>1291417078411464704</v>
      </c>
      <c r="F8420" s="7" t="s">
        <v>32</v>
      </c>
      <c r="G8420" s="7">
        <v>3928299</v>
      </c>
      <c r="H8420" s="7">
        <v>2424</v>
      </c>
      <c r="I8420" s="7">
        <v>118</v>
      </c>
      <c r="J8420" s="7">
        <v>255</v>
      </c>
      <c r="K8420" s="7" t="s">
        <v>18</v>
      </c>
      <c r="L8420" s="8">
        <v>39987.315405092595</v>
      </c>
      <c r="M8420" s="9" t="s">
        <v>19</v>
      </c>
      <c r="N8420" s="9" t="s">
        <v>20</v>
      </c>
      <c r="O8420" s="6" t="str">
        <f>HYPERLINK("https://pbs.twimg.com/profile_images/962471262747529216/Uo8lOkRJ_normal.jpg","View")</f>
        <v>View</v>
      </c>
      <c r="P8420" s="7"/>
    </row>
    <row r="8421" spans="1:16">
      <c r="A8421" s="3">
        <v>44049.935034722221</v>
      </c>
      <c r="B8421" s="4" t="str">
        <f>HYPERLINK("https://twitter.com/petrogustavo","@petrogustavo")</f>
        <v>@petrogustavo</v>
      </c>
      <c r="C8421" s="5" t="s">
        <v>16</v>
      </c>
      <c r="D8421" s="5" t="s">
        <v>8118</v>
      </c>
      <c r="E8421" s="6" t="str">
        <f>HYPERLINK("https://twitter.com/petrogustavo/status/1291417868056305664","1291417868056305664")</f>
        <v>1291417868056305664</v>
      </c>
      <c r="F8421" s="7" t="s">
        <v>32</v>
      </c>
      <c r="G8421" s="7">
        <v>3928299</v>
      </c>
      <c r="H8421" s="7">
        <v>2424</v>
      </c>
      <c r="I8421" s="7">
        <v>170</v>
      </c>
      <c r="J8421" s="7">
        <v>510</v>
      </c>
      <c r="K8421" s="7" t="s">
        <v>18</v>
      </c>
      <c r="L8421" s="8">
        <v>39987.315405092595</v>
      </c>
      <c r="M8421" s="9" t="s">
        <v>19</v>
      </c>
      <c r="N8421" s="9" t="s">
        <v>20</v>
      </c>
      <c r="O8421" s="6" t="str">
        <f>HYPERLINK("https://pbs.twimg.com/profile_images/962471262747529216/Uo8lOkRJ_normal.jpg","View")</f>
        <v>View</v>
      </c>
      <c r="P8421" s="7"/>
    </row>
    <row r="8422" spans="1:16">
      <c r="A8422" s="3">
        <v>44049.940011574072</v>
      </c>
      <c r="B8422" s="4" t="str">
        <f>HYPERLINK("https://twitter.com/petrogustavo","@petrogustavo")</f>
        <v>@petrogustavo</v>
      </c>
      <c r="C8422" s="5" t="s">
        <v>16</v>
      </c>
      <c r="D8422" s="5" t="s">
        <v>8119</v>
      </c>
      <c r="E8422" s="6" t="str">
        <f>HYPERLINK("https://twitter.com/petrogustavo/status/1291419671833477123","1291419671833477123")</f>
        <v>1291419671833477123</v>
      </c>
      <c r="F8422" s="7" t="s">
        <v>32</v>
      </c>
      <c r="G8422" s="7">
        <v>3928299</v>
      </c>
      <c r="H8422" s="7">
        <v>2424</v>
      </c>
      <c r="I8422" s="7">
        <v>236</v>
      </c>
      <c r="J8422" s="7">
        <v>868</v>
      </c>
      <c r="K8422" s="7" t="s">
        <v>18</v>
      </c>
      <c r="L8422" s="8">
        <v>39987.315405092595</v>
      </c>
      <c r="M8422" s="9" t="s">
        <v>19</v>
      </c>
      <c r="N8422" s="9" t="s">
        <v>20</v>
      </c>
      <c r="O8422" s="6" t="str">
        <f>HYPERLINK("https://pbs.twimg.com/profile_images/962471262747529216/Uo8lOkRJ_normal.jpg","View")</f>
        <v>View</v>
      </c>
      <c r="P8422" s="7"/>
    </row>
    <row r="8423" spans="1:16">
      <c r="A8423" s="3">
        <v>44049.997465277775</v>
      </c>
      <c r="B8423" s="4" t="str">
        <f>HYPERLINK("https://twitter.com/petrogustavo","@petrogustavo")</f>
        <v>@petrogustavo</v>
      </c>
      <c r="C8423" s="5" t="s">
        <v>16</v>
      </c>
      <c r="D8423" s="5" t="s">
        <v>8120</v>
      </c>
      <c r="E8423" s="6" t="str">
        <f>HYPERLINK("https://twitter.com/petrogustavo/status/1291440492706766853","1291440492706766853")</f>
        <v>1291440492706766853</v>
      </c>
      <c r="F8423" s="7" t="s">
        <v>32</v>
      </c>
      <c r="G8423" s="7">
        <v>3928408</v>
      </c>
      <c r="H8423" s="7">
        <v>2424</v>
      </c>
      <c r="I8423" s="7">
        <v>251</v>
      </c>
      <c r="J8423" s="7">
        <v>776</v>
      </c>
      <c r="K8423" s="7" t="s">
        <v>18</v>
      </c>
      <c r="L8423" s="8">
        <v>39987.315405092595</v>
      </c>
      <c r="M8423" s="9" t="s">
        <v>19</v>
      </c>
      <c r="N8423" s="9" t="s">
        <v>20</v>
      </c>
      <c r="O8423" s="6" t="str">
        <f>HYPERLINK("https://pbs.twimg.com/profile_images/962471262747529216/Uo8lOkRJ_normal.jpg","View")</f>
        <v>View</v>
      </c>
      <c r="P8423" s="7"/>
    </row>
    <row r="8424" spans="1:16">
      <c r="A8424" s="3">
        <v>44050.043506944443</v>
      </c>
      <c r="B8424" s="4" t="str">
        <f>HYPERLINK("https://twitter.com/petrogustavo","@petrogustavo")</f>
        <v>@petrogustavo</v>
      </c>
      <c r="C8424" s="5" t="s">
        <v>16</v>
      </c>
      <c r="D8424" s="5" t="s">
        <v>8121</v>
      </c>
      <c r="E8424" s="6" t="str">
        <f>HYPERLINK("https://twitter.com/petrogustavo/status/1291457176872132609","1291457176872132609")</f>
        <v>1291457176872132609</v>
      </c>
      <c r="F8424" s="7" t="s">
        <v>17</v>
      </c>
      <c r="G8424" s="7">
        <v>3928536</v>
      </c>
      <c r="H8424" s="7">
        <v>2424</v>
      </c>
      <c r="I8424" s="7">
        <v>746</v>
      </c>
      <c r="J8424" s="7">
        <v>2597</v>
      </c>
      <c r="K8424" s="7" t="s">
        <v>18</v>
      </c>
      <c r="L8424" s="8">
        <v>39987.315405092595</v>
      </c>
      <c r="M8424" s="9" t="s">
        <v>19</v>
      </c>
      <c r="N8424" s="9" t="s">
        <v>20</v>
      </c>
      <c r="O8424" s="6" t="str">
        <f>HYPERLINK("https://pbs.twimg.com/profile_images/962471262747529216/Uo8lOkRJ_normal.jpg","View")</f>
        <v>View</v>
      </c>
      <c r="P8424" s="7"/>
    </row>
    <row r="8425" spans="1:16">
      <c r="A8425" s="3">
        <v>44050.120451388888</v>
      </c>
      <c r="B8425" s="4" t="str">
        <f>HYPERLINK("https://twitter.com/petrogustavo","@petrogustavo")</f>
        <v>@petrogustavo</v>
      </c>
      <c r="C8425" s="5" t="s">
        <v>16</v>
      </c>
      <c r="D8425" s="5" t="s">
        <v>8122</v>
      </c>
      <c r="E8425" s="6" t="str">
        <f>HYPERLINK("https://twitter.com/petrogustavo/status/1291485061615943684","1291485061615943684")</f>
        <v>1291485061615943684</v>
      </c>
      <c r="F8425" s="7" t="s">
        <v>17</v>
      </c>
      <c r="G8425" s="7">
        <v>3928725</v>
      </c>
      <c r="H8425" s="7">
        <v>2424</v>
      </c>
      <c r="I8425" s="7">
        <v>1196</v>
      </c>
      <c r="J8425" s="7">
        <v>0</v>
      </c>
      <c r="K8425" s="7" t="s">
        <v>18</v>
      </c>
      <c r="L8425" s="8">
        <v>39987.315405092595</v>
      </c>
      <c r="M8425" s="9" t="s">
        <v>19</v>
      </c>
      <c r="N8425" s="9" t="s">
        <v>20</v>
      </c>
      <c r="O8425" s="6" t="str">
        <f>HYPERLINK("https://pbs.twimg.com/profile_images/962471262747529216/Uo8lOkRJ_normal.jpg","View")</f>
        <v>View</v>
      </c>
      <c r="P8425" s="7"/>
    </row>
    <row r="8426" spans="1:16">
      <c r="A8426" s="3">
        <v>44050.127928240741</v>
      </c>
      <c r="B8426" s="4" t="str">
        <f>HYPERLINK("https://twitter.com/petrogustavo","@petrogustavo")</f>
        <v>@petrogustavo</v>
      </c>
      <c r="C8426" s="5" t="s">
        <v>16</v>
      </c>
      <c r="D8426" s="5" t="s">
        <v>8123</v>
      </c>
      <c r="E8426" s="6" t="str">
        <f>HYPERLINK("https://twitter.com/petrogustavo/status/1291487770175852547","1291487770175852547")</f>
        <v>1291487770175852547</v>
      </c>
      <c r="F8426" s="7" t="s">
        <v>17</v>
      </c>
      <c r="G8426" s="7">
        <v>3928725</v>
      </c>
      <c r="H8426" s="7">
        <v>2424</v>
      </c>
      <c r="I8426" s="7">
        <v>122</v>
      </c>
      <c r="J8426" s="7">
        <v>0</v>
      </c>
      <c r="K8426" s="7" t="s">
        <v>18</v>
      </c>
      <c r="L8426" s="8">
        <v>39987.315405092595</v>
      </c>
      <c r="M8426" s="9" t="s">
        <v>19</v>
      </c>
      <c r="N8426" s="9" t="s">
        <v>20</v>
      </c>
      <c r="O8426" s="6" t="str">
        <f>HYPERLINK("https://pbs.twimg.com/profile_images/962471262747529216/Uo8lOkRJ_normal.jpg","View")</f>
        <v>View</v>
      </c>
      <c r="P8426" s="7"/>
    </row>
    <row r="8427" spans="1:16">
      <c r="A8427" s="3">
        <v>44050.128171296295</v>
      </c>
      <c r="B8427" s="4" t="str">
        <f>HYPERLINK("https://twitter.com/petrogustavo","@petrogustavo")</f>
        <v>@petrogustavo</v>
      </c>
      <c r="C8427" s="5" t="s">
        <v>16</v>
      </c>
      <c r="D8427" s="5" t="s">
        <v>8124</v>
      </c>
      <c r="E8427" s="6" t="str">
        <f>HYPERLINK("https://twitter.com/petrogustavo/status/1291487857408978948","1291487857408978948")</f>
        <v>1291487857408978948</v>
      </c>
      <c r="F8427" s="7" t="s">
        <v>17</v>
      </c>
      <c r="G8427" s="7">
        <v>3928725</v>
      </c>
      <c r="H8427" s="7">
        <v>2424</v>
      </c>
      <c r="I8427" s="7">
        <v>3697</v>
      </c>
      <c r="J8427" s="7">
        <v>0</v>
      </c>
      <c r="K8427" s="7" t="s">
        <v>18</v>
      </c>
      <c r="L8427" s="8">
        <v>39987.315405092595</v>
      </c>
      <c r="M8427" s="9" t="s">
        <v>19</v>
      </c>
      <c r="N8427" s="9" t="s">
        <v>20</v>
      </c>
      <c r="O8427" s="6" t="str">
        <f>HYPERLINK("https://pbs.twimg.com/profile_images/962471262747529216/Uo8lOkRJ_normal.jpg","View")</f>
        <v>View</v>
      </c>
      <c r="P8427" s="7"/>
    </row>
    <row r="8428" spans="1:16">
      <c r="A8428" s="3">
        <v>44050.201724537037</v>
      </c>
      <c r="B8428" s="4" t="str">
        <f>HYPERLINK("https://twitter.com/petrogustavo","@petrogustavo")</f>
        <v>@petrogustavo</v>
      </c>
      <c r="C8428" s="5" t="s">
        <v>16</v>
      </c>
      <c r="D8428" s="5" t="s">
        <v>8125</v>
      </c>
      <c r="E8428" s="6" t="str">
        <f>HYPERLINK("https://twitter.com/petrogustavo/status/1291514511279689728","1291514511279689728")</f>
        <v>1291514511279689728</v>
      </c>
      <c r="F8428" s="7" t="s">
        <v>17</v>
      </c>
      <c r="G8428" s="7">
        <v>3928889</v>
      </c>
      <c r="H8428" s="7">
        <v>2424</v>
      </c>
      <c r="I8428" s="7">
        <v>170</v>
      </c>
      <c r="J8428" s="7">
        <v>0</v>
      </c>
      <c r="K8428" s="7" t="s">
        <v>18</v>
      </c>
      <c r="L8428" s="8">
        <v>39987.315405092595</v>
      </c>
      <c r="M8428" s="9" t="s">
        <v>19</v>
      </c>
      <c r="N8428" s="9" t="s">
        <v>20</v>
      </c>
      <c r="O8428" s="6" t="str">
        <f>HYPERLINK("https://pbs.twimg.com/profile_images/962471262747529216/Uo8lOkRJ_normal.jpg","View")</f>
        <v>View</v>
      </c>
      <c r="P8428" s="7"/>
    </row>
    <row r="8429" spans="1:16">
      <c r="A8429" s="3">
        <v>44050.220486111109</v>
      </c>
      <c r="B8429" s="4" t="str">
        <f>HYPERLINK("https://twitter.com/petrogustavo","@petrogustavo")</f>
        <v>@petrogustavo</v>
      </c>
      <c r="C8429" s="5" t="s">
        <v>16</v>
      </c>
      <c r="D8429" s="5" t="s">
        <v>8126</v>
      </c>
      <c r="E8429" s="6" t="str">
        <f>HYPERLINK("https://twitter.com/petrogustavo/status/1291521310489825283","1291521310489825283")</f>
        <v>1291521310489825283</v>
      </c>
      <c r="F8429" s="7" t="s">
        <v>32</v>
      </c>
      <c r="G8429" s="7">
        <v>3928889</v>
      </c>
      <c r="H8429" s="7">
        <v>2424</v>
      </c>
      <c r="I8429" s="7">
        <v>54</v>
      </c>
      <c r="J8429" s="7">
        <v>0</v>
      </c>
      <c r="K8429" s="7" t="s">
        <v>18</v>
      </c>
      <c r="L8429" s="8">
        <v>39987.315405092595</v>
      </c>
      <c r="M8429" s="9" t="s">
        <v>19</v>
      </c>
      <c r="N8429" s="9" t="s">
        <v>20</v>
      </c>
      <c r="O8429" s="6" t="str">
        <f>HYPERLINK("https://pbs.twimg.com/profile_images/962471262747529216/Uo8lOkRJ_normal.jpg","View")</f>
        <v>View</v>
      </c>
      <c r="P8429" s="7"/>
    </row>
    <row r="8430" spans="1:16">
      <c r="A8430" s="3">
        <v>44050.222615740742</v>
      </c>
      <c r="B8430" s="4" t="str">
        <f>HYPERLINK("https://twitter.com/petrogustavo","@petrogustavo")</f>
        <v>@petrogustavo</v>
      </c>
      <c r="C8430" s="5" t="s">
        <v>16</v>
      </c>
      <c r="D8430" s="5" t="s">
        <v>8127</v>
      </c>
      <c r="E8430" s="6" t="str">
        <f>HYPERLINK("https://twitter.com/petrogustavo/status/1291522082895953927","1291522082895953927")</f>
        <v>1291522082895953927</v>
      </c>
      <c r="F8430" s="7" t="s">
        <v>32</v>
      </c>
      <c r="G8430" s="7">
        <v>3928922</v>
      </c>
      <c r="H8430" s="7">
        <v>2424</v>
      </c>
      <c r="I8430" s="7">
        <v>363</v>
      </c>
      <c r="J8430" s="7">
        <v>0</v>
      </c>
      <c r="K8430" s="7" t="s">
        <v>18</v>
      </c>
      <c r="L8430" s="8">
        <v>39987.315405092595</v>
      </c>
      <c r="M8430" s="9" t="s">
        <v>19</v>
      </c>
      <c r="N8430" s="9" t="s">
        <v>20</v>
      </c>
      <c r="O8430" s="6" t="str">
        <f>HYPERLINK("https://pbs.twimg.com/profile_images/962471262747529216/Uo8lOkRJ_normal.jpg","View")</f>
        <v>View</v>
      </c>
      <c r="P8430" s="7"/>
    </row>
    <row r="8431" spans="1:16">
      <c r="A8431" s="3">
        <v>44050.265972222223</v>
      </c>
      <c r="B8431" s="4" t="str">
        <f>HYPERLINK("https://twitter.com/petrogustavo","@petrogustavo")</f>
        <v>@petrogustavo</v>
      </c>
      <c r="C8431" s="5" t="s">
        <v>16</v>
      </c>
      <c r="D8431" s="5" t="s">
        <v>8128</v>
      </c>
      <c r="E8431" s="6" t="str">
        <f>HYPERLINK("https://twitter.com/petrogustavo/status/1291537792816820225","1291537792816820225")</f>
        <v>1291537792816820225</v>
      </c>
      <c r="F8431" s="7" t="s">
        <v>32</v>
      </c>
      <c r="G8431" s="7">
        <v>3929012</v>
      </c>
      <c r="H8431" s="7">
        <v>2424</v>
      </c>
      <c r="I8431" s="7">
        <v>63</v>
      </c>
      <c r="J8431" s="7">
        <v>0</v>
      </c>
      <c r="K8431" s="7" t="s">
        <v>18</v>
      </c>
      <c r="L8431" s="8">
        <v>39987.315405092595</v>
      </c>
      <c r="M8431" s="9" t="s">
        <v>19</v>
      </c>
      <c r="N8431" s="9" t="s">
        <v>20</v>
      </c>
      <c r="O8431" s="6" t="str">
        <f>HYPERLINK("https://pbs.twimg.com/profile_images/962471262747529216/Uo8lOkRJ_normal.jpg","View")</f>
        <v>View</v>
      </c>
      <c r="P8431" s="7"/>
    </row>
    <row r="8432" spans="1:16">
      <c r="A8432" s="3">
        <v>44050.270567129628</v>
      </c>
      <c r="B8432" s="4" t="str">
        <f>HYPERLINK("https://twitter.com/petrogustavo","@petrogustavo")</f>
        <v>@petrogustavo</v>
      </c>
      <c r="C8432" s="5" t="s">
        <v>16</v>
      </c>
      <c r="D8432" s="5" t="s">
        <v>8129</v>
      </c>
      <c r="E8432" s="6" t="str">
        <f>HYPERLINK("https://twitter.com/petrogustavo/status/1291539461285785600","1291539461285785600")</f>
        <v>1291539461285785600</v>
      </c>
      <c r="F8432" s="7" t="s">
        <v>32</v>
      </c>
      <c r="G8432" s="7">
        <v>3929012</v>
      </c>
      <c r="H8432" s="7">
        <v>2424</v>
      </c>
      <c r="I8432" s="7">
        <v>176</v>
      </c>
      <c r="J8432" s="7">
        <v>605</v>
      </c>
      <c r="K8432" s="7" t="s">
        <v>18</v>
      </c>
      <c r="L8432" s="8">
        <v>39987.315405092595</v>
      </c>
      <c r="M8432" s="9" t="s">
        <v>19</v>
      </c>
      <c r="N8432" s="9" t="s">
        <v>20</v>
      </c>
      <c r="O8432" s="6" t="str">
        <f>HYPERLINK("https://pbs.twimg.com/profile_images/962471262747529216/Uo8lOkRJ_normal.jpg","View")</f>
        <v>View</v>
      </c>
      <c r="P8432" s="7"/>
    </row>
    <row r="8433" spans="1:16">
      <c r="A8433" s="3">
        <v>44050.279490740737</v>
      </c>
      <c r="B8433" s="4" t="str">
        <f>HYPERLINK("https://twitter.com/petrogustavo","@petrogustavo")</f>
        <v>@petrogustavo</v>
      </c>
      <c r="C8433" s="5" t="s">
        <v>16</v>
      </c>
      <c r="D8433" s="5" t="s">
        <v>8130</v>
      </c>
      <c r="E8433" s="6" t="str">
        <f>HYPERLINK("https://twitter.com/petrogustavo/status/1291542693680762883","1291542693680762883")</f>
        <v>1291542693680762883</v>
      </c>
      <c r="F8433" s="7" t="s">
        <v>32</v>
      </c>
      <c r="G8433" s="7">
        <v>3929012</v>
      </c>
      <c r="H8433" s="7">
        <v>2424</v>
      </c>
      <c r="I8433" s="7">
        <v>125</v>
      </c>
      <c r="J8433" s="7">
        <v>513</v>
      </c>
      <c r="K8433" s="7" t="s">
        <v>18</v>
      </c>
      <c r="L8433" s="8">
        <v>39987.315405092595</v>
      </c>
      <c r="M8433" s="9" t="s">
        <v>19</v>
      </c>
      <c r="N8433" s="9" t="s">
        <v>20</v>
      </c>
      <c r="O8433" s="6" t="str">
        <f>HYPERLINK("https://pbs.twimg.com/profile_images/962471262747529216/Uo8lOkRJ_normal.jpg","View")</f>
        <v>View</v>
      </c>
      <c r="P8433" s="7"/>
    </row>
    <row r="8434" spans="1:16">
      <c r="A8434" s="3">
        <v>44050.285081018519</v>
      </c>
      <c r="B8434" s="4" t="str">
        <f>HYPERLINK("https://twitter.com/petrogustavo","@petrogustavo")</f>
        <v>@petrogustavo</v>
      </c>
      <c r="C8434" s="5" t="s">
        <v>16</v>
      </c>
      <c r="D8434" s="5" t="s">
        <v>8131</v>
      </c>
      <c r="E8434" s="6" t="str">
        <f>HYPERLINK("https://twitter.com/petrogustavo/status/1291544719135322112","1291544719135322112")</f>
        <v>1291544719135322112</v>
      </c>
      <c r="F8434" s="7" t="s">
        <v>32</v>
      </c>
      <c r="G8434" s="7">
        <v>3929067</v>
      </c>
      <c r="H8434" s="7">
        <v>2424</v>
      </c>
      <c r="I8434" s="7">
        <v>73</v>
      </c>
      <c r="J8434" s="7">
        <v>0</v>
      </c>
      <c r="K8434" s="7" t="s">
        <v>18</v>
      </c>
      <c r="L8434" s="8">
        <v>39987.315405092595</v>
      </c>
      <c r="M8434" s="9" t="s">
        <v>19</v>
      </c>
      <c r="N8434" s="9" t="s">
        <v>20</v>
      </c>
      <c r="O8434" s="6" t="str">
        <f>HYPERLINK("https://pbs.twimg.com/profile_images/962471262747529216/Uo8lOkRJ_normal.jpg","View")</f>
        <v>View</v>
      </c>
      <c r="P8434" s="7"/>
    </row>
    <row r="8435" spans="1:16">
      <c r="A8435" s="3">
        <v>44050.299351851849</v>
      </c>
      <c r="B8435" s="4" t="str">
        <f>HYPERLINK("https://twitter.com/petrogustavo","@petrogustavo")</f>
        <v>@petrogustavo</v>
      </c>
      <c r="C8435" s="5" t="s">
        <v>16</v>
      </c>
      <c r="D8435" s="5" t="s">
        <v>8132</v>
      </c>
      <c r="E8435" s="6" t="str">
        <f>HYPERLINK("https://twitter.com/petrogustavo/status/1291549889625837568","1291549889625837568")</f>
        <v>1291549889625837568</v>
      </c>
      <c r="F8435" s="7" t="s">
        <v>32</v>
      </c>
      <c r="G8435" s="7">
        <v>3929067</v>
      </c>
      <c r="H8435" s="7">
        <v>2424</v>
      </c>
      <c r="I8435" s="7">
        <v>1619</v>
      </c>
      <c r="J8435" s="7">
        <v>0</v>
      </c>
      <c r="K8435" s="7" t="s">
        <v>18</v>
      </c>
      <c r="L8435" s="8">
        <v>39987.315405092595</v>
      </c>
      <c r="M8435" s="9" t="s">
        <v>19</v>
      </c>
      <c r="N8435" s="9" t="s">
        <v>20</v>
      </c>
      <c r="O8435" s="6" t="str">
        <f>HYPERLINK("https://pbs.twimg.com/profile_images/962471262747529216/Uo8lOkRJ_normal.jpg","View")</f>
        <v>View</v>
      </c>
      <c r="P8435" s="7"/>
    </row>
    <row r="8436" spans="1:16">
      <c r="A8436" s="3">
        <v>44050.302743055552</v>
      </c>
      <c r="B8436" s="4" t="str">
        <f>HYPERLINK("https://twitter.com/petrogustavo","@petrogustavo")</f>
        <v>@petrogustavo</v>
      </c>
      <c r="C8436" s="5" t="s">
        <v>16</v>
      </c>
      <c r="D8436" s="5" t="s">
        <v>8133</v>
      </c>
      <c r="E8436" s="6" t="str">
        <f>HYPERLINK("https://twitter.com/petrogustavo/status/1291551117810204672","1291551117810204672")</f>
        <v>1291551117810204672</v>
      </c>
      <c r="F8436" s="7" t="s">
        <v>32</v>
      </c>
      <c r="G8436" s="7">
        <v>3929067</v>
      </c>
      <c r="H8436" s="7">
        <v>2424</v>
      </c>
      <c r="I8436" s="7">
        <v>18</v>
      </c>
      <c r="J8436" s="7">
        <v>0</v>
      </c>
      <c r="K8436" s="7" t="s">
        <v>18</v>
      </c>
      <c r="L8436" s="8">
        <v>39987.315405092595</v>
      </c>
      <c r="M8436" s="9" t="s">
        <v>19</v>
      </c>
      <c r="N8436" s="9" t="s">
        <v>20</v>
      </c>
      <c r="O8436" s="6" t="str">
        <f>HYPERLINK("https://pbs.twimg.com/profile_images/962471262747529216/Uo8lOkRJ_normal.jpg","View")</f>
        <v>View</v>
      </c>
      <c r="P8436" s="7"/>
    </row>
    <row r="8437" spans="1:16">
      <c r="A8437" s="3">
        <v>44050.31040509259</v>
      </c>
      <c r="B8437" s="4" t="str">
        <f>HYPERLINK("https://twitter.com/petrogustavo","@petrogustavo")</f>
        <v>@petrogustavo</v>
      </c>
      <c r="C8437" s="5" t="s">
        <v>16</v>
      </c>
      <c r="D8437" s="5" t="s">
        <v>8132</v>
      </c>
      <c r="E8437" s="6" t="str">
        <f>HYPERLINK("https://twitter.com/petrogustavo/status/1291553896033394688","1291553896033394688")</f>
        <v>1291553896033394688</v>
      </c>
      <c r="F8437" s="7" t="s">
        <v>32</v>
      </c>
      <c r="G8437" s="7">
        <v>3929085</v>
      </c>
      <c r="H8437" s="7">
        <v>2423</v>
      </c>
      <c r="I8437" s="7">
        <v>1681</v>
      </c>
      <c r="J8437" s="7">
        <v>0</v>
      </c>
      <c r="K8437" s="7" t="s">
        <v>18</v>
      </c>
      <c r="L8437" s="8">
        <v>39987.315405092595</v>
      </c>
      <c r="M8437" s="9" t="s">
        <v>19</v>
      </c>
      <c r="N8437" s="9" t="s">
        <v>20</v>
      </c>
      <c r="O8437" s="6" t="str">
        <f>HYPERLINK("https://pbs.twimg.com/profile_images/962471262747529216/Uo8lOkRJ_normal.jpg","View")</f>
        <v>View</v>
      </c>
      <c r="P8437" s="7"/>
    </row>
    <row r="8438" spans="1:16">
      <c r="A8438" s="3">
        <v>44050.314756944441</v>
      </c>
      <c r="B8438" s="4" t="str">
        <f>HYPERLINK("https://twitter.com/petrogustavo","@petrogustavo")</f>
        <v>@petrogustavo</v>
      </c>
      <c r="C8438" s="5" t="s">
        <v>16</v>
      </c>
      <c r="D8438" s="5" t="s">
        <v>8134</v>
      </c>
      <c r="E8438" s="6" t="str">
        <f>HYPERLINK("https://twitter.com/petrogustavo/status/1291555471741128704","1291555471741128704")</f>
        <v>1291555471741128704</v>
      </c>
      <c r="F8438" s="7" t="s">
        <v>17</v>
      </c>
      <c r="G8438" s="7">
        <v>3929085</v>
      </c>
      <c r="H8438" s="7">
        <v>2423</v>
      </c>
      <c r="I8438" s="7">
        <v>301</v>
      </c>
      <c r="J8438" s="7">
        <v>0</v>
      </c>
      <c r="K8438" s="7" t="s">
        <v>18</v>
      </c>
      <c r="L8438" s="8">
        <v>39987.315405092595</v>
      </c>
      <c r="M8438" s="9" t="s">
        <v>19</v>
      </c>
      <c r="N8438" s="9" t="s">
        <v>20</v>
      </c>
      <c r="O8438" s="6" t="str">
        <f>HYPERLINK("https://pbs.twimg.com/profile_images/962471262747529216/Uo8lOkRJ_normal.jpg","View")</f>
        <v>View</v>
      </c>
      <c r="P8438" s="7"/>
    </row>
    <row r="8439" spans="1:16">
      <c r="A8439" s="3">
        <v>44050.316446759258</v>
      </c>
      <c r="B8439" s="4" t="str">
        <f>HYPERLINK("https://twitter.com/petrogustavo","@petrogustavo")</f>
        <v>@petrogustavo</v>
      </c>
      <c r="C8439" s="5" t="s">
        <v>16</v>
      </c>
      <c r="D8439" s="5" t="s">
        <v>8135</v>
      </c>
      <c r="E8439" s="6" t="str">
        <f>HYPERLINK("https://twitter.com/petrogustavo/status/1291556087817265153","1291556087817265153")</f>
        <v>1291556087817265153</v>
      </c>
      <c r="F8439" s="7" t="s">
        <v>17</v>
      </c>
      <c r="G8439" s="7">
        <v>3929085</v>
      </c>
      <c r="H8439" s="7">
        <v>2423</v>
      </c>
      <c r="I8439" s="7">
        <v>169</v>
      </c>
      <c r="J8439" s="7">
        <v>562</v>
      </c>
      <c r="K8439" s="7" t="s">
        <v>18</v>
      </c>
      <c r="L8439" s="8">
        <v>39987.315405092595</v>
      </c>
      <c r="M8439" s="9" t="s">
        <v>19</v>
      </c>
      <c r="N8439" s="9" t="s">
        <v>20</v>
      </c>
      <c r="O8439" s="6" t="str">
        <f>HYPERLINK("https://pbs.twimg.com/profile_images/962471262747529216/Uo8lOkRJ_normal.jpg","View")</f>
        <v>View</v>
      </c>
      <c r="P8439" s="7"/>
    </row>
    <row r="8440" spans="1:16">
      <c r="A8440" s="3">
        <v>44050.755902777775</v>
      </c>
      <c r="B8440" s="4" t="str">
        <f>HYPERLINK("https://twitter.com/petrogustavo","@petrogustavo")</f>
        <v>@petrogustavo</v>
      </c>
      <c r="C8440" s="5" t="s">
        <v>16</v>
      </c>
      <c r="D8440" s="5" t="s">
        <v>8136</v>
      </c>
      <c r="E8440" s="6" t="str">
        <f>HYPERLINK("https://twitter.com/petrogustavo/status/1291715338204307458","1291715338204307458")</f>
        <v>1291715338204307458</v>
      </c>
      <c r="F8440" s="7" t="s">
        <v>17</v>
      </c>
      <c r="G8440" s="7">
        <v>3929400</v>
      </c>
      <c r="H8440" s="7">
        <v>2422</v>
      </c>
      <c r="I8440" s="7">
        <v>367</v>
      </c>
      <c r="J8440" s="7">
        <v>0</v>
      </c>
      <c r="K8440" s="7" t="s">
        <v>18</v>
      </c>
      <c r="L8440" s="8">
        <v>39987.315405092595</v>
      </c>
      <c r="M8440" s="9" t="s">
        <v>19</v>
      </c>
      <c r="N8440" s="9" t="s">
        <v>20</v>
      </c>
      <c r="O8440" s="6" t="str">
        <f>HYPERLINK("https://pbs.twimg.com/profile_images/962471262747529216/Uo8lOkRJ_normal.jpg","View")</f>
        <v>View</v>
      </c>
      <c r="P8440" s="7"/>
    </row>
    <row r="8441" spans="1:16">
      <c r="A8441" s="3">
        <v>44050.762395833328</v>
      </c>
      <c r="B8441" s="4" t="str">
        <f>HYPERLINK("https://twitter.com/petrogustavo","@petrogustavo")</f>
        <v>@petrogustavo</v>
      </c>
      <c r="C8441" s="5" t="s">
        <v>16</v>
      </c>
      <c r="D8441" s="5" t="s">
        <v>8137</v>
      </c>
      <c r="E8441" s="6" t="str">
        <f>HYPERLINK("https://twitter.com/petrogustavo/status/1291717693175930886","1291717693175930886")</f>
        <v>1291717693175930886</v>
      </c>
      <c r="F8441" s="7" t="s">
        <v>17</v>
      </c>
      <c r="G8441" s="7">
        <v>3929400</v>
      </c>
      <c r="H8441" s="7">
        <v>2422</v>
      </c>
      <c r="I8441" s="7">
        <v>0</v>
      </c>
      <c r="J8441" s="7">
        <v>1</v>
      </c>
      <c r="K8441" s="7" t="s">
        <v>18</v>
      </c>
      <c r="L8441" s="8">
        <v>39987.315405092595</v>
      </c>
      <c r="M8441" s="9" t="s">
        <v>19</v>
      </c>
      <c r="N8441" s="9" t="s">
        <v>20</v>
      </c>
      <c r="O8441" s="6" t="str">
        <f>HYPERLINK("https://pbs.twimg.com/profile_images/962471262747529216/Uo8lOkRJ_normal.jpg","View")</f>
        <v>View</v>
      </c>
      <c r="P8441" s="7"/>
    </row>
    <row r="8442" spans="1:16">
      <c r="A8442" s="3">
        <v>44050.769456018519</v>
      </c>
      <c r="B8442" s="4" t="str">
        <f>HYPERLINK("https://twitter.com/petrogustavo","@petrogustavo")</f>
        <v>@petrogustavo</v>
      </c>
      <c r="C8442" s="5" t="s">
        <v>16</v>
      </c>
      <c r="D8442" s="5" t="s">
        <v>8138</v>
      </c>
      <c r="E8442" s="6" t="str">
        <f>HYPERLINK("https://twitter.com/petrogustavo/status/1291720252078854144","1291720252078854144")</f>
        <v>1291720252078854144</v>
      </c>
      <c r="F8442" s="7" t="s">
        <v>17</v>
      </c>
      <c r="G8442" s="7">
        <v>3929428</v>
      </c>
      <c r="H8442" s="7">
        <v>2422</v>
      </c>
      <c r="I8442" s="7">
        <v>73</v>
      </c>
      <c r="J8442" s="7">
        <v>0</v>
      </c>
      <c r="K8442" s="7" t="s">
        <v>18</v>
      </c>
      <c r="L8442" s="8">
        <v>39987.315405092595</v>
      </c>
      <c r="M8442" s="9" t="s">
        <v>19</v>
      </c>
      <c r="N8442" s="9" t="s">
        <v>20</v>
      </c>
      <c r="O8442" s="6" t="str">
        <f>HYPERLINK("https://pbs.twimg.com/profile_images/962471262747529216/Uo8lOkRJ_normal.jpg","View")</f>
        <v>View</v>
      </c>
      <c r="P8442" s="7"/>
    </row>
    <row r="8443" spans="1:16">
      <c r="A8443" s="3">
        <v>44050.76966435185</v>
      </c>
      <c r="B8443" s="4" t="str">
        <f>HYPERLINK("https://twitter.com/petrogustavo","@petrogustavo")</f>
        <v>@petrogustavo</v>
      </c>
      <c r="C8443" s="5" t="s">
        <v>16</v>
      </c>
      <c r="D8443" s="5" t="s">
        <v>8139</v>
      </c>
      <c r="E8443" s="6" t="str">
        <f>HYPERLINK("https://twitter.com/petrogustavo/status/1291720327484121091","1291720327484121091")</f>
        <v>1291720327484121091</v>
      </c>
      <c r="F8443" s="7" t="s">
        <v>17</v>
      </c>
      <c r="G8443" s="7">
        <v>3929428</v>
      </c>
      <c r="H8443" s="7">
        <v>2422</v>
      </c>
      <c r="I8443" s="7">
        <v>594</v>
      </c>
      <c r="J8443" s="7">
        <v>0</v>
      </c>
      <c r="K8443" s="7" t="s">
        <v>18</v>
      </c>
      <c r="L8443" s="8">
        <v>39987.315405092595</v>
      </c>
      <c r="M8443" s="9" t="s">
        <v>19</v>
      </c>
      <c r="N8443" s="9" t="s">
        <v>20</v>
      </c>
      <c r="O8443" s="6" t="str">
        <f>HYPERLINK("https://pbs.twimg.com/profile_images/962471262747529216/Uo8lOkRJ_normal.jpg","View")</f>
        <v>View</v>
      </c>
      <c r="P8443" s="7"/>
    </row>
    <row r="8444" spans="1:16">
      <c r="A8444" s="3">
        <v>44050.770532407405</v>
      </c>
      <c r="B8444" s="4" t="str">
        <f>HYPERLINK("https://twitter.com/petrogustavo","@petrogustavo")</f>
        <v>@petrogustavo</v>
      </c>
      <c r="C8444" s="5" t="s">
        <v>16</v>
      </c>
      <c r="D8444" s="5" t="s">
        <v>8136</v>
      </c>
      <c r="E8444" s="6" t="str">
        <f>HYPERLINK("https://twitter.com/petrogustavo/status/1291720640521740290","1291720640521740290")</f>
        <v>1291720640521740290</v>
      </c>
      <c r="F8444" s="7" t="s">
        <v>17</v>
      </c>
      <c r="G8444" s="7">
        <v>3929428</v>
      </c>
      <c r="H8444" s="7">
        <v>2422</v>
      </c>
      <c r="I8444" s="7">
        <v>440</v>
      </c>
      <c r="J8444" s="7">
        <v>0</v>
      </c>
      <c r="K8444" s="7" t="s">
        <v>18</v>
      </c>
      <c r="L8444" s="8">
        <v>39987.315405092595</v>
      </c>
      <c r="M8444" s="9" t="s">
        <v>19</v>
      </c>
      <c r="N8444" s="9" t="s">
        <v>20</v>
      </c>
      <c r="O8444" s="6" t="str">
        <f>HYPERLINK("https://pbs.twimg.com/profile_images/962471262747529216/Uo8lOkRJ_normal.jpg","View")</f>
        <v>View</v>
      </c>
      <c r="P8444" s="7"/>
    </row>
    <row r="8445" spans="1:16">
      <c r="A8445" s="3">
        <v>44050.771365740744</v>
      </c>
      <c r="B8445" s="4" t="str">
        <f>HYPERLINK("https://twitter.com/petrogustavo","@petrogustavo")</f>
        <v>@petrogustavo</v>
      </c>
      <c r="C8445" s="5" t="s">
        <v>16</v>
      </c>
      <c r="D8445" s="5" t="s">
        <v>8132</v>
      </c>
      <c r="E8445" s="6" t="str">
        <f>HYPERLINK("https://twitter.com/petrogustavo/status/1291720944319430656","1291720944319430656")</f>
        <v>1291720944319430656</v>
      </c>
      <c r="F8445" s="7" t="s">
        <v>17</v>
      </c>
      <c r="G8445" s="7">
        <v>3929428</v>
      </c>
      <c r="H8445" s="7">
        <v>2422</v>
      </c>
      <c r="I8445" s="7">
        <v>2101</v>
      </c>
      <c r="J8445" s="7">
        <v>0</v>
      </c>
      <c r="K8445" s="7" t="s">
        <v>18</v>
      </c>
      <c r="L8445" s="8">
        <v>39987.315405092595</v>
      </c>
      <c r="M8445" s="9" t="s">
        <v>19</v>
      </c>
      <c r="N8445" s="9" t="s">
        <v>20</v>
      </c>
      <c r="O8445" s="6" t="str">
        <f>HYPERLINK("https://pbs.twimg.com/profile_images/962471262747529216/Uo8lOkRJ_normal.jpg","View")</f>
        <v>View</v>
      </c>
      <c r="P8445" s="7"/>
    </row>
    <row r="8446" spans="1:16">
      <c r="A8446" s="3">
        <v>44050.772604166668</v>
      </c>
      <c r="B8446" s="4" t="str">
        <f>HYPERLINK("https://twitter.com/petrogustavo","@petrogustavo")</f>
        <v>@petrogustavo</v>
      </c>
      <c r="C8446" s="5" t="s">
        <v>16</v>
      </c>
      <c r="D8446" s="5" t="s">
        <v>8140</v>
      </c>
      <c r="E8446" s="6" t="str">
        <f>HYPERLINK("https://twitter.com/petrogustavo/status/1291721391671259137","1291721391671259137")</f>
        <v>1291721391671259137</v>
      </c>
      <c r="F8446" s="7" t="s">
        <v>17</v>
      </c>
      <c r="G8446" s="7">
        <v>3929428</v>
      </c>
      <c r="H8446" s="7">
        <v>2422</v>
      </c>
      <c r="I8446" s="7">
        <v>320</v>
      </c>
      <c r="J8446" s="7">
        <v>0</v>
      </c>
      <c r="K8446" s="7" t="s">
        <v>18</v>
      </c>
      <c r="L8446" s="8">
        <v>39987.315405092595</v>
      </c>
      <c r="M8446" s="9" t="s">
        <v>19</v>
      </c>
      <c r="N8446" s="9" t="s">
        <v>20</v>
      </c>
      <c r="O8446" s="6" t="str">
        <f>HYPERLINK("https://pbs.twimg.com/profile_images/962471262747529216/Uo8lOkRJ_normal.jpg","View")</f>
        <v>View</v>
      </c>
      <c r="P8446" s="7"/>
    </row>
    <row r="8447" spans="1:16">
      <c r="A8447" s="3">
        <v>44050.783842592587</v>
      </c>
      <c r="B8447" s="4" t="str">
        <f>HYPERLINK("https://twitter.com/petrogustavo","@petrogustavo")</f>
        <v>@petrogustavo</v>
      </c>
      <c r="C8447" s="5" t="s">
        <v>16</v>
      </c>
      <c r="D8447" s="5" t="s">
        <v>8141</v>
      </c>
      <c r="E8447" s="6" t="str">
        <f>HYPERLINK("https://twitter.com/petrogustavo/status/1291725465271533570","1291725465271533570")</f>
        <v>1291725465271533570</v>
      </c>
      <c r="F8447" s="7" t="s">
        <v>17</v>
      </c>
      <c r="G8447" s="7">
        <v>3929447</v>
      </c>
      <c r="H8447" s="7">
        <v>2422</v>
      </c>
      <c r="I8447" s="7">
        <v>605</v>
      </c>
      <c r="J8447" s="7">
        <v>0</v>
      </c>
      <c r="K8447" s="7" t="s">
        <v>18</v>
      </c>
      <c r="L8447" s="8">
        <v>39987.315405092595</v>
      </c>
      <c r="M8447" s="9" t="s">
        <v>19</v>
      </c>
      <c r="N8447" s="9" t="s">
        <v>20</v>
      </c>
      <c r="O8447" s="6" t="str">
        <f>HYPERLINK("https://pbs.twimg.com/profile_images/962471262747529216/Uo8lOkRJ_normal.jpg","View")</f>
        <v>View</v>
      </c>
      <c r="P8447" s="7"/>
    </row>
    <row r="8448" spans="1:16">
      <c r="A8448" s="3">
        <v>44050.784050925926</v>
      </c>
      <c r="B8448" s="4" t="str">
        <f>HYPERLINK("https://twitter.com/petrogustavo","@petrogustavo")</f>
        <v>@petrogustavo</v>
      </c>
      <c r="C8448" s="5" t="s">
        <v>16</v>
      </c>
      <c r="D8448" s="5" t="s">
        <v>8142</v>
      </c>
      <c r="E8448" s="6" t="str">
        <f>HYPERLINK("https://twitter.com/petrogustavo/status/1291725541213708288","1291725541213708288")</f>
        <v>1291725541213708288</v>
      </c>
      <c r="F8448" s="7" t="s">
        <v>17</v>
      </c>
      <c r="G8448" s="7">
        <v>3929447</v>
      </c>
      <c r="H8448" s="7">
        <v>2422</v>
      </c>
      <c r="I8448" s="7">
        <v>40</v>
      </c>
      <c r="J8448" s="7">
        <v>0</v>
      </c>
      <c r="K8448" s="7" t="s">
        <v>18</v>
      </c>
      <c r="L8448" s="8">
        <v>39987.315405092595</v>
      </c>
      <c r="M8448" s="9" t="s">
        <v>19</v>
      </c>
      <c r="N8448" s="9" t="s">
        <v>20</v>
      </c>
      <c r="O8448" s="6" t="str">
        <f>HYPERLINK("https://pbs.twimg.com/profile_images/962471262747529216/Uo8lOkRJ_normal.jpg","View")</f>
        <v>View</v>
      </c>
      <c r="P8448" s="7"/>
    </row>
    <row r="8449" spans="1:16">
      <c r="A8449" s="3">
        <v>44050.786307870367</v>
      </c>
      <c r="B8449" s="4" t="str">
        <f>HYPERLINK("https://twitter.com/petrogustavo","@petrogustavo")</f>
        <v>@petrogustavo</v>
      </c>
      <c r="C8449" s="5" t="s">
        <v>16</v>
      </c>
      <c r="D8449" s="5" t="s">
        <v>8143</v>
      </c>
      <c r="E8449" s="6" t="str">
        <f>HYPERLINK("https://twitter.com/petrogustavo/status/1291726358587084802","1291726358587084802")</f>
        <v>1291726358587084802</v>
      </c>
      <c r="F8449" s="7" t="s">
        <v>17</v>
      </c>
      <c r="G8449" s="7">
        <v>3929447</v>
      </c>
      <c r="H8449" s="7">
        <v>2422</v>
      </c>
      <c r="I8449" s="7">
        <v>23</v>
      </c>
      <c r="J8449" s="7">
        <v>0</v>
      </c>
      <c r="K8449" s="7" t="s">
        <v>18</v>
      </c>
      <c r="L8449" s="8">
        <v>39987.315405092595</v>
      </c>
      <c r="M8449" s="9" t="s">
        <v>19</v>
      </c>
      <c r="N8449" s="9" t="s">
        <v>20</v>
      </c>
      <c r="O8449" s="6" t="str">
        <f>HYPERLINK("https://pbs.twimg.com/profile_images/962471262747529216/Uo8lOkRJ_normal.jpg","View")</f>
        <v>View</v>
      </c>
      <c r="P8449" s="7"/>
    </row>
    <row r="8450" spans="1:16">
      <c r="A8450" s="3">
        <v>44050.787743055553</v>
      </c>
      <c r="B8450" s="4" t="str">
        <f>HYPERLINK("https://twitter.com/petrogustavo","@petrogustavo")</f>
        <v>@petrogustavo</v>
      </c>
      <c r="C8450" s="5" t="s">
        <v>16</v>
      </c>
      <c r="D8450" s="5" t="s">
        <v>8144</v>
      </c>
      <c r="E8450" s="6" t="str">
        <f>HYPERLINK("https://twitter.com/petrogustavo/status/1291726876218667008","1291726876218667008")</f>
        <v>1291726876218667008</v>
      </c>
      <c r="F8450" s="7" t="s">
        <v>17</v>
      </c>
      <c r="G8450" s="7">
        <v>3929447</v>
      </c>
      <c r="H8450" s="7">
        <v>2422</v>
      </c>
      <c r="I8450" s="7">
        <v>60</v>
      </c>
      <c r="J8450" s="7">
        <v>230</v>
      </c>
      <c r="K8450" s="7" t="s">
        <v>18</v>
      </c>
      <c r="L8450" s="8">
        <v>39987.315405092595</v>
      </c>
      <c r="M8450" s="9" t="s">
        <v>19</v>
      </c>
      <c r="N8450" s="9" t="s">
        <v>20</v>
      </c>
      <c r="O8450" s="6" t="str">
        <f>HYPERLINK("https://pbs.twimg.com/profile_images/962471262747529216/Uo8lOkRJ_normal.jpg","View")</f>
        <v>View</v>
      </c>
      <c r="P8450" s="7"/>
    </row>
    <row r="8451" spans="1:16">
      <c r="A8451" s="3">
        <v>44050.802777777775</v>
      </c>
      <c r="B8451" s="4" t="str">
        <f>HYPERLINK("https://twitter.com/petrogustavo","@petrogustavo")</f>
        <v>@petrogustavo</v>
      </c>
      <c r="C8451" s="5" t="s">
        <v>16</v>
      </c>
      <c r="D8451" s="5" t="s">
        <v>8145</v>
      </c>
      <c r="E8451" s="6" t="str">
        <f>HYPERLINK("https://twitter.com/petrogustavo/status/1291732326993600512","1291732326993600512")</f>
        <v>1291732326993600512</v>
      </c>
      <c r="F8451" s="7" t="s">
        <v>17</v>
      </c>
      <c r="G8451" s="7">
        <v>3929447</v>
      </c>
      <c r="H8451" s="7">
        <v>2422</v>
      </c>
      <c r="I8451" s="7">
        <v>28</v>
      </c>
      <c r="J8451" s="7">
        <v>71</v>
      </c>
      <c r="K8451" s="7" t="s">
        <v>18</v>
      </c>
      <c r="L8451" s="8">
        <v>39987.315405092595</v>
      </c>
      <c r="M8451" s="9" t="s">
        <v>19</v>
      </c>
      <c r="N8451" s="9" t="s">
        <v>20</v>
      </c>
      <c r="O8451" s="6" t="str">
        <f>HYPERLINK("https://pbs.twimg.com/profile_images/962471262747529216/Uo8lOkRJ_normal.jpg","View")</f>
        <v>View</v>
      </c>
      <c r="P8451" s="7"/>
    </row>
    <row r="8452" spans="1:16">
      <c r="A8452" s="3">
        <v>44050.890173611115</v>
      </c>
      <c r="B8452" s="4" t="str">
        <f>HYPERLINK("https://twitter.com/petrogustavo","@petrogustavo")</f>
        <v>@petrogustavo</v>
      </c>
      <c r="C8452" s="5" t="s">
        <v>16</v>
      </c>
      <c r="D8452" s="5" t="s">
        <v>8146</v>
      </c>
      <c r="E8452" s="6" t="str">
        <f>HYPERLINK("https://twitter.com/petrogustavo/status/1291763998128513024","1291763998128513024")</f>
        <v>1291763998128513024</v>
      </c>
      <c r="F8452" s="7" t="s">
        <v>17</v>
      </c>
      <c r="G8452" s="7">
        <v>3929641</v>
      </c>
      <c r="H8452" s="7">
        <v>2423</v>
      </c>
      <c r="I8452" s="7">
        <v>655</v>
      </c>
      <c r="J8452" s="7">
        <v>0</v>
      </c>
      <c r="K8452" s="7" t="s">
        <v>18</v>
      </c>
      <c r="L8452" s="8">
        <v>39987.315405092595</v>
      </c>
      <c r="M8452" s="9" t="s">
        <v>19</v>
      </c>
      <c r="N8452" s="9" t="s">
        <v>20</v>
      </c>
      <c r="O8452" s="6" t="str">
        <f>HYPERLINK("https://pbs.twimg.com/profile_images/962471262747529216/Uo8lOkRJ_normal.jpg","View")</f>
        <v>View</v>
      </c>
      <c r="P8452" s="7"/>
    </row>
    <row r="8453" spans="1:16">
      <c r="A8453" s="3">
        <v>44050.952800925923</v>
      </c>
      <c r="B8453" s="4" t="str">
        <f>HYPERLINK("https://twitter.com/petrogustavo","@petrogustavo")</f>
        <v>@petrogustavo</v>
      </c>
      <c r="C8453" s="5" t="s">
        <v>16</v>
      </c>
      <c r="D8453" s="5" t="s">
        <v>8147</v>
      </c>
      <c r="E8453" s="6" t="str">
        <f>HYPERLINK("https://twitter.com/petrogustavo/status/1291786691506823168","1291786691506823168")</f>
        <v>1291786691506823168</v>
      </c>
      <c r="F8453" s="7" t="s">
        <v>17</v>
      </c>
      <c r="G8453" s="7">
        <v>3929759</v>
      </c>
      <c r="H8453" s="7">
        <v>2423</v>
      </c>
      <c r="I8453" s="7">
        <v>100</v>
      </c>
      <c r="J8453" s="7">
        <v>0</v>
      </c>
      <c r="K8453" s="7" t="s">
        <v>18</v>
      </c>
      <c r="L8453" s="8">
        <v>39987.315405092595</v>
      </c>
      <c r="M8453" s="9" t="s">
        <v>19</v>
      </c>
      <c r="N8453" s="9" t="s">
        <v>20</v>
      </c>
      <c r="O8453" s="6" t="str">
        <f>HYPERLINK("https://pbs.twimg.com/profile_images/962471262747529216/Uo8lOkRJ_normal.jpg","View")</f>
        <v>View</v>
      </c>
      <c r="P8453" s="7"/>
    </row>
    <row r="8454" spans="1:16">
      <c r="A8454" s="3">
        <v>44050.954328703709</v>
      </c>
      <c r="B8454" s="4" t="str">
        <f>HYPERLINK("https://twitter.com/petrogustavo","@petrogustavo")</f>
        <v>@petrogustavo</v>
      </c>
      <c r="C8454" s="5" t="s">
        <v>16</v>
      </c>
      <c r="D8454" s="5" t="s">
        <v>8148</v>
      </c>
      <c r="E8454" s="6" t="str">
        <f>HYPERLINK("https://twitter.com/petrogustavo/status/1291787246199349250","1291787246199349250")</f>
        <v>1291787246199349250</v>
      </c>
      <c r="F8454" s="7" t="s">
        <v>17</v>
      </c>
      <c r="G8454" s="7">
        <v>3929759</v>
      </c>
      <c r="H8454" s="7">
        <v>2423</v>
      </c>
      <c r="I8454" s="7">
        <v>105</v>
      </c>
      <c r="J8454" s="7">
        <v>0</v>
      </c>
      <c r="K8454" s="7" t="s">
        <v>18</v>
      </c>
      <c r="L8454" s="8">
        <v>39987.315405092595</v>
      </c>
      <c r="M8454" s="9" t="s">
        <v>19</v>
      </c>
      <c r="N8454" s="9" t="s">
        <v>20</v>
      </c>
      <c r="O8454" s="6" t="str">
        <f>HYPERLINK("https://pbs.twimg.com/profile_images/962471262747529216/Uo8lOkRJ_normal.jpg","View")</f>
        <v>View</v>
      </c>
      <c r="P8454" s="7"/>
    </row>
    <row r="8455" spans="1:16">
      <c r="A8455" s="3">
        <v>44050.966921296298</v>
      </c>
      <c r="B8455" s="4" t="str">
        <f>HYPERLINK("https://twitter.com/petrogustavo","@petrogustavo")</f>
        <v>@petrogustavo</v>
      </c>
      <c r="C8455" s="5" t="s">
        <v>16</v>
      </c>
      <c r="D8455" s="5" t="s">
        <v>8149</v>
      </c>
      <c r="E8455" s="6" t="str">
        <f>HYPERLINK("https://twitter.com/petrogustavo/status/1291791812068335616","1291791812068335616")</f>
        <v>1291791812068335616</v>
      </c>
      <c r="F8455" s="7" t="s">
        <v>17</v>
      </c>
      <c r="G8455" s="7">
        <v>3929759</v>
      </c>
      <c r="H8455" s="7">
        <v>2423</v>
      </c>
      <c r="I8455" s="7">
        <v>38</v>
      </c>
      <c r="J8455" s="7">
        <v>0</v>
      </c>
      <c r="K8455" s="7" t="s">
        <v>18</v>
      </c>
      <c r="L8455" s="8">
        <v>39987.315405092595</v>
      </c>
      <c r="M8455" s="9" t="s">
        <v>19</v>
      </c>
      <c r="N8455" s="9" t="s">
        <v>20</v>
      </c>
      <c r="O8455" s="6" t="str">
        <f>HYPERLINK("https://pbs.twimg.com/profile_images/962471262747529216/Uo8lOkRJ_normal.jpg","View")</f>
        <v>View</v>
      </c>
      <c r="P8455" s="7"/>
    </row>
    <row r="8456" spans="1:16">
      <c r="A8456" s="3">
        <v>44050.967314814814</v>
      </c>
      <c r="B8456" s="4" t="str">
        <f>HYPERLINK("https://twitter.com/petrogustavo","@petrogustavo")</f>
        <v>@petrogustavo</v>
      </c>
      <c r="C8456" s="5" t="s">
        <v>16</v>
      </c>
      <c r="D8456" s="5" t="s">
        <v>8150</v>
      </c>
      <c r="E8456" s="6" t="str">
        <f>HYPERLINK("https://twitter.com/petrogustavo/status/1291791953131196416","1291791953131196416")</f>
        <v>1291791953131196416</v>
      </c>
      <c r="F8456" s="7" t="s">
        <v>17</v>
      </c>
      <c r="G8456" s="7">
        <v>3929759</v>
      </c>
      <c r="H8456" s="7">
        <v>2423</v>
      </c>
      <c r="I8456" s="7">
        <v>19</v>
      </c>
      <c r="J8456" s="7">
        <v>0</v>
      </c>
      <c r="K8456" s="7" t="s">
        <v>18</v>
      </c>
      <c r="L8456" s="8">
        <v>39987.315405092595</v>
      </c>
      <c r="M8456" s="9" t="s">
        <v>19</v>
      </c>
      <c r="N8456" s="9" t="s">
        <v>20</v>
      </c>
      <c r="O8456" s="6" t="str">
        <f>HYPERLINK("https://pbs.twimg.com/profile_images/962471262747529216/Uo8lOkRJ_normal.jpg","View")</f>
        <v>View</v>
      </c>
      <c r="P8456" s="7"/>
    </row>
    <row r="8457" spans="1:16">
      <c r="A8457" s="3">
        <v>44050.972187499996</v>
      </c>
      <c r="B8457" s="4" t="str">
        <f>HYPERLINK("https://twitter.com/petrogustavo","@petrogustavo")</f>
        <v>@petrogustavo</v>
      </c>
      <c r="C8457" s="5" t="s">
        <v>16</v>
      </c>
      <c r="D8457" s="5" t="s">
        <v>8151</v>
      </c>
      <c r="E8457" s="6" t="str">
        <f>HYPERLINK("https://twitter.com/petrogustavo/status/1291793719268712449","1291793719268712449")</f>
        <v>1291793719268712449</v>
      </c>
      <c r="F8457" s="7" t="s">
        <v>17</v>
      </c>
      <c r="G8457" s="7">
        <v>3929802</v>
      </c>
      <c r="H8457" s="7">
        <v>2423</v>
      </c>
      <c r="I8457" s="7">
        <v>72</v>
      </c>
      <c r="J8457" s="7">
        <v>0</v>
      </c>
      <c r="K8457" s="7" t="s">
        <v>18</v>
      </c>
      <c r="L8457" s="8">
        <v>39987.315405092595</v>
      </c>
      <c r="M8457" s="9" t="s">
        <v>19</v>
      </c>
      <c r="N8457" s="9" t="s">
        <v>20</v>
      </c>
      <c r="O8457" s="6" t="str">
        <f>HYPERLINK("https://pbs.twimg.com/profile_images/962471262747529216/Uo8lOkRJ_normal.jpg","View")</f>
        <v>View</v>
      </c>
      <c r="P8457" s="7"/>
    </row>
    <row r="8458" spans="1:16">
      <c r="A8458" s="3">
        <v>44051.041851851856</v>
      </c>
      <c r="B8458" s="4" t="str">
        <f>HYPERLINK("https://twitter.com/petrogustavo","@petrogustavo")</f>
        <v>@petrogustavo</v>
      </c>
      <c r="C8458" s="5" t="s">
        <v>16</v>
      </c>
      <c r="D8458" s="5" t="s">
        <v>8152</v>
      </c>
      <c r="E8458" s="6" t="str">
        <f>HYPERLINK("https://twitter.com/petrogustavo/status/1291818964906061826","1291818964906061826")</f>
        <v>1291818964906061826</v>
      </c>
      <c r="F8458" s="7" t="s">
        <v>17</v>
      </c>
      <c r="G8458" s="7">
        <v>3929896</v>
      </c>
      <c r="H8458" s="7">
        <v>2423</v>
      </c>
      <c r="I8458" s="7">
        <v>31</v>
      </c>
      <c r="J8458" s="7">
        <v>0</v>
      </c>
      <c r="K8458" s="7" t="s">
        <v>18</v>
      </c>
      <c r="L8458" s="8">
        <v>39987.315405092595</v>
      </c>
      <c r="M8458" s="9" t="s">
        <v>19</v>
      </c>
      <c r="N8458" s="9" t="s">
        <v>20</v>
      </c>
      <c r="O8458" s="6" t="str">
        <f>HYPERLINK("https://pbs.twimg.com/profile_images/962471262747529216/Uo8lOkRJ_normal.jpg","View")</f>
        <v>View</v>
      </c>
      <c r="P8458" s="7"/>
    </row>
    <row r="8459" spans="1:16">
      <c r="A8459" s="3">
        <v>44051.041979166665</v>
      </c>
      <c r="B8459" s="4" t="str">
        <f>HYPERLINK("https://twitter.com/petrogustavo","@petrogustavo")</f>
        <v>@petrogustavo</v>
      </c>
      <c r="C8459" s="5" t="s">
        <v>16</v>
      </c>
      <c r="D8459" s="5" t="s">
        <v>8153</v>
      </c>
      <c r="E8459" s="6" t="str">
        <f>HYPERLINK("https://twitter.com/petrogustavo/status/1291819008610754564","1291819008610754564")</f>
        <v>1291819008610754564</v>
      </c>
      <c r="F8459" s="7" t="s">
        <v>17</v>
      </c>
      <c r="G8459" s="7">
        <v>3929896</v>
      </c>
      <c r="H8459" s="7">
        <v>2423</v>
      </c>
      <c r="I8459" s="7">
        <v>35</v>
      </c>
      <c r="J8459" s="7">
        <v>0</v>
      </c>
      <c r="K8459" s="7" t="s">
        <v>18</v>
      </c>
      <c r="L8459" s="8">
        <v>39987.315405092595</v>
      </c>
      <c r="M8459" s="9" t="s">
        <v>19</v>
      </c>
      <c r="N8459" s="9" t="s">
        <v>20</v>
      </c>
      <c r="O8459" s="6" t="str">
        <f>HYPERLINK("https://pbs.twimg.com/profile_images/962471262747529216/Uo8lOkRJ_normal.jpg","View")</f>
        <v>View</v>
      </c>
      <c r="P8459" s="7"/>
    </row>
    <row r="8460" spans="1:16">
      <c r="A8460" s="3">
        <v>44051.042175925926</v>
      </c>
      <c r="B8460" s="4" t="str">
        <f>HYPERLINK("https://twitter.com/petrogustavo","@petrogustavo")</f>
        <v>@petrogustavo</v>
      </c>
      <c r="C8460" s="5" t="s">
        <v>16</v>
      </c>
      <c r="D8460" s="5" t="s">
        <v>8154</v>
      </c>
      <c r="E8460" s="6" t="str">
        <f>HYPERLINK("https://twitter.com/petrogustavo/status/1291819082422124544","1291819082422124544")</f>
        <v>1291819082422124544</v>
      </c>
      <c r="F8460" s="7" t="s">
        <v>17</v>
      </c>
      <c r="G8460" s="7">
        <v>3929896</v>
      </c>
      <c r="H8460" s="7">
        <v>2423</v>
      </c>
      <c r="I8460" s="7">
        <v>55</v>
      </c>
      <c r="J8460" s="7">
        <v>0</v>
      </c>
      <c r="K8460" s="7" t="s">
        <v>18</v>
      </c>
      <c r="L8460" s="8">
        <v>39987.315405092595</v>
      </c>
      <c r="M8460" s="9" t="s">
        <v>19</v>
      </c>
      <c r="N8460" s="9" t="s">
        <v>20</v>
      </c>
      <c r="O8460" s="6" t="str">
        <f>HYPERLINK("https://pbs.twimg.com/profile_images/962471262747529216/Uo8lOkRJ_normal.jpg","View")</f>
        <v>View</v>
      </c>
      <c r="P8460" s="7"/>
    </row>
    <row r="8461" spans="1:16">
      <c r="A8461" s="3">
        <v>44051.04414351852</v>
      </c>
      <c r="B8461" s="4" t="str">
        <f>HYPERLINK("https://twitter.com/petrogustavo","@petrogustavo")</f>
        <v>@petrogustavo</v>
      </c>
      <c r="C8461" s="5" t="s">
        <v>16</v>
      </c>
      <c r="D8461" s="5" t="s">
        <v>8155</v>
      </c>
      <c r="E8461" s="6" t="str">
        <f>HYPERLINK("https://twitter.com/petrogustavo/status/1291819794610757634","1291819794610757634")</f>
        <v>1291819794610757634</v>
      </c>
      <c r="F8461" s="7" t="s">
        <v>17</v>
      </c>
      <c r="G8461" s="7">
        <v>3929896</v>
      </c>
      <c r="H8461" s="7">
        <v>2423</v>
      </c>
      <c r="I8461" s="7">
        <v>83</v>
      </c>
      <c r="J8461" s="7">
        <v>341</v>
      </c>
      <c r="K8461" s="7" t="s">
        <v>18</v>
      </c>
      <c r="L8461" s="8">
        <v>39987.315405092595</v>
      </c>
      <c r="M8461" s="9" t="s">
        <v>19</v>
      </c>
      <c r="N8461" s="9" t="s">
        <v>20</v>
      </c>
      <c r="O8461" s="6" t="str">
        <f>HYPERLINK("https://pbs.twimg.com/profile_images/962471262747529216/Uo8lOkRJ_normal.jpg","View")</f>
        <v>View</v>
      </c>
      <c r="P8461" s="7"/>
    </row>
    <row r="8462" spans="1:16">
      <c r="A8462" s="3">
        <v>44051.081689814819</v>
      </c>
      <c r="B8462" s="4" t="str">
        <f>HYPERLINK("https://twitter.com/petrogustavo","@petrogustavo")</f>
        <v>@petrogustavo</v>
      </c>
      <c r="C8462" s="5" t="s">
        <v>16</v>
      </c>
      <c r="D8462" s="5" t="s">
        <v>8156</v>
      </c>
      <c r="E8462" s="6" t="str">
        <f>HYPERLINK("https://twitter.com/petrogustavo/status/1291833401209692160","1291833401209692160")</f>
        <v>1291833401209692160</v>
      </c>
      <c r="F8462" s="7" t="s">
        <v>17</v>
      </c>
      <c r="G8462" s="7">
        <v>3929969</v>
      </c>
      <c r="H8462" s="7">
        <v>2423</v>
      </c>
      <c r="I8462" s="7">
        <v>8</v>
      </c>
      <c r="J8462" s="7">
        <v>0</v>
      </c>
      <c r="K8462" s="7" t="s">
        <v>18</v>
      </c>
      <c r="L8462" s="8">
        <v>39987.315405092595</v>
      </c>
      <c r="M8462" s="9" t="s">
        <v>19</v>
      </c>
      <c r="N8462" s="9" t="s">
        <v>20</v>
      </c>
      <c r="O8462" s="6" t="str">
        <f>HYPERLINK("https://pbs.twimg.com/profile_images/962471262747529216/Uo8lOkRJ_normal.jpg","View")</f>
        <v>View</v>
      </c>
      <c r="P8462" s="7"/>
    </row>
    <row r="8463" spans="1:16">
      <c r="A8463" s="3">
        <v>44051.081828703704</v>
      </c>
      <c r="B8463" s="4" t="str">
        <f>HYPERLINK("https://twitter.com/petrogustavo","@petrogustavo")</f>
        <v>@petrogustavo</v>
      </c>
      <c r="C8463" s="5" t="s">
        <v>16</v>
      </c>
      <c r="D8463" s="5" t="s">
        <v>8157</v>
      </c>
      <c r="E8463" s="6" t="str">
        <f>HYPERLINK("https://twitter.com/petrogustavo/status/1291833449775542272","1291833449775542272")</f>
        <v>1291833449775542272</v>
      </c>
      <c r="F8463" s="7" t="s">
        <v>17</v>
      </c>
      <c r="G8463" s="7">
        <v>3929969</v>
      </c>
      <c r="H8463" s="7">
        <v>2423</v>
      </c>
      <c r="I8463" s="7">
        <v>33</v>
      </c>
      <c r="J8463" s="7">
        <v>0</v>
      </c>
      <c r="K8463" s="7" t="s">
        <v>18</v>
      </c>
      <c r="L8463" s="8">
        <v>39987.315405092595</v>
      </c>
      <c r="M8463" s="9" t="s">
        <v>19</v>
      </c>
      <c r="N8463" s="9" t="s">
        <v>20</v>
      </c>
      <c r="O8463" s="6" t="str">
        <f>HYPERLINK("https://pbs.twimg.com/profile_images/962471262747529216/Uo8lOkRJ_normal.jpg","View")</f>
        <v>View</v>
      </c>
      <c r="P8463" s="7"/>
    </row>
    <row r="8464" spans="1:16">
      <c r="A8464" s="3">
        <v>44051.082094907411</v>
      </c>
      <c r="B8464" s="4" t="str">
        <f>HYPERLINK("https://twitter.com/petrogustavo","@petrogustavo")</f>
        <v>@petrogustavo</v>
      </c>
      <c r="C8464" s="5" t="s">
        <v>16</v>
      </c>
      <c r="D8464" s="5" t="s">
        <v>8158</v>
      </c>
      <c r="E8464" s="6" t="str">
        <f>HYPERLINK("https://twitter.com/petrogustavo/status/1291833546894712834","1291833546894712834")</f>
        <v>1291833546894712834</v>
      </c>
      <c r="F8464" s="7" t="s">
        <v>17</v>
      </c>
      <c r="G8464" s="7">
        <v>3929969</v>
      </c>
      <c r="H8464" s="7">
        <v>2423</v>
      </c>
      <c r="I8464" s="7">
        <v>1460</v>
      </c>
      <c r="J8464" s="7">
        <v>0</v>
      </c>
      <c r="K8464" s="7" t="s">
        <v>18</v>
      </c>
      <c r="L8464" s="8">
        <v>39987.315405092595</v>
      </c>
      <c r="M8464" s="9" t="s">
        <v>19</v>
      </c>
      <c r="N8464" s="9" t="s">
        <v>20</v>
      </c>
      <c r="O8464" s="6" t="str">
        <f>HYPERLINK("https://pbs.twimg.com/profile_images/962471262747529216/Uo8lOkRJ_normal.jpg","View")</f>
        <v>View</v>
      </c>
      <c r="P8464" s="7"/>
    </row>
    <row r="8465" spans="1:16">
      <c r="A8465" s="3">
        <v>44051.082500000004</v>
      </c>
      <c r="B8465" s="4" t="str">
        <f>HYPERLINK("https://twitter.com/petrogustavo","@petrogustavo")</f>
        <v>@petrogustavo</v>
      </c>
      <c r="C8465" s="5" t="s">
        <v>16</v>
      </c>
      <c r="D8465" s="5" t="s">
        <v>8159</v>
      </c>
      <c r="E8465" s="6" t="str">
        <f>HYPERLINK("https://twitter.com/petrogustavo/status/1291833693502308353","1291833693502308353")</f>
        <v>1291833693502308353</v>
      </c>
      <c r="F8465" s="7" t="s">
        <v>17</v>
      </c>
      <c r="G8465" s="7">
        <v>3929969</v>
      </c>
      <c r="H8465" s="7">
        <v>2423</v>
      </c>
      <c r="I8465" s="7">
        <v>69</v>
      </c>
      <c r="J8465" s="7">
        <v>0</v>
      </c>
      <c r="K8465" s="7" t="s">
        <v>18</v>
      </c>
      <c r="L8465" s="8">
        <v>39987.315405092595</v>
      </c>
      <c r="M8465" s="9" t="s">
        <v>19</v>
      </c>
      <c r="N8465" s="9" t="s">
        <v>20</v>
      </c>
      <c r="O8465" s="6" t="str">
        <f>HYPERLINK("https://pbs.twimg.com/profile_images/962471262747529216/Uo8lOkRJ_normal.jpg","View")</f>
        <v>View</v>
      </c>
      <c r="P8465" s="7"/>
    </row>
    <row r="8466" spans="1:16">
      <c r="A8466" s="3">
        <v>44051.158460648148</v>
      </c>
      <c r="B8466" s="4" t="str">
        <f>HYPERLINK("https://twitter.com/petrogustavo","@petrogustavo")</f>
        <v>@petrogustavo</v>
      </c>
      <c r="C8466" s="5" t="s">
        <v>16</v>
      </c>
      <c r="D8466" s="5" t="s">
        <v>8160</v>
      </c>
      <c r="E8466" s="6" t="str">
        <f>HYPERLINK("https://twitter.com/petrogustavo/status/1291861221378068483","1291861221378068483")</f>
        <v>1291861221378068483</v>
      </c>
      <c r="F8466" s="7" t="s">
        <v>21</v>
      </c>
      <c r="G8466" s="7">
        <v>3930068</v>
      </c>
      <c r="H8466" s="7">
        <v>2423</v>
      </c>
      <c r="I8466" s="7">
        <v>157</v>
      </c>
      <c r="J8466" s="7">
        <v>472</v>
      </c>
      <c r="K8466" s="7" t="s">
        <v>18</v>
      </c>
      <c r="L8466" s="8">
        <v>39987.315405092595</v>
      </c>
      <c r="M8466" s="9" t="s">
        <v>19</v>
      </c>
      <c r="N8466" s="9" t="s">
        <v>20</v>
      </c>
      <c r="O8466" s="6" t="str">
        <f>HYPERLINK("https://pbs.twimg.com/profile_images/962471262747529216/Uo8lOkRJ_normal.jpg","View")</f>
        <v>View</v>
      </c>
      <c r="P8466" s="7"/>
    </row>
    <row r="8467" spans="1:16">
      <c r="A8467" s="3">
        <v>44051.158587962964</v>
      </c>
      <c r="B8467" s="4" t="str">
        <f>HYPERLINK("https://twitter.com/petrogustavo","@petrogustavo")</f>
        <v>@petrogustavo</v>
      </c>
      <c r="C8467" s="5" t="s">
        <v>16</v>
      </c>
      <c r="D8467" s="5" t="s">
        <v>8161</v>
      </c>
      <c r="E8467" s="6" t="str">
        <f>HYPERLINK("https://twitter.com/petrogustavo/status/1291861269356699654","1291861269356699654")</f>
        <v>1291861269356699654</v>
      </c>
      <c r="F8467" s="7" t="s">
        <v>21</v>
      </c>
      <c r="G8467" s="7">
        <v>3930068</v>
      </c>
      <c r="H8467" s="7">
        <v>2423</v>
      </c>
      <c r="I8467" s="7">
        <v>97</v>
      </c>
      <c r="J8467" s="7">
        <v>232</v>
      </c>
      <c r="K8467" s="7" t="s">
        <v>18</v>
      </c>
      <c r="L8467" s="8">
        <v>39987.315405092595</v>
      </c>
      <c r="M8467" s="9" t="s">
        <v>19</v>
      </c>
      <c r="N8467" s="9" t="s">
        <v>20</v>
      </c>
      <c r="O8467" s="6" t="str">
        <f>HYPERLINK("https://pbs.twimg.com/profile_images/962471262747529216/Uo8lOkRJ_normal.jpg","View")</f>
        <v>View</v>
      </c>
      <c r="P8467" s="7"/>
    </row>
    <row r="8468" spans="1:16">
      <c r="A8468" s="3">
        <v>44051.158738425926</v>
      </c>
      <c r="B8468" s="4" t="str">
        <f>HYPERLINK("https://twitter.com/petrogustavo","@petrogustavo")</f>
        <v>@petrogustavo</v>
      </c>
      <c r="C8468" s="5" t="s">
        <v>16</v>
      </c>
      <c r="D8468" s="5" t="s">
        <v>8162</v>
      </c>
      <c r="E8468" s="6" t="str">
        <f>HYPERLINK("https://twitter.com/petrogustavo/status/1291861321584119814","1291861321584119814")</f>
        <v>1291861321584119814</v>
      </c>
      <c r="F8468" s="7" t="s">
        <v>21</v>
      </c>
      <c r="G8468" s="7">
        <v>3930068</v>
      </c>
      <c r="H8468" s="7">
        <v>2423</v>
      </c>
      <c r="I8468" s="7">
        <v>195</v>
      </c>
      <c r="J8468" s="7">
        <v>472</v>
      </c>
      <c r="K8468" s="7" t="s">
        <v>18</v>
      </c>
      <c r="L8468" s="8">
        <v>39987.315405092595</v>
      </c>
      <c r="M8468" s="9" t="s">
        <v>19</v>
      </c>
      <c r="N8468" s="9" t="s">
        <v>20</v>
      </c>
      <c r="O8468" s="6" t="str">
        <f>HYPERLINK("https://pbs.twimg.com/profile_images/962471262747529216/Uo8lOkRJ_normal.jpg","View")</f>
        <v>View</v>
      </c>
      <c r="P8468" s="7"/>
    </row>
    <row r="8469" spans="1:16">
      <c r="A8469" s="3">
        <v>44051.228680555556</v>
      </c>
      <c r="B8469" s="4" t="str">
        <f>HYPERLINK("https://twitter.com/petrogustavo","@petrogustavo")</f>
        <v>@petrogustavo</v>
      </c>
      <c r="C8469" s="5" t="s">
        <v>16</v>
      </c>
      <c r="D8469" s="5" t="s">
        <v>8163</v>
      </c>
      <c r="E8469" s="6" t="str">
        <f>HYPERLINK("https://twitter.com/petrogustavo/status/1291886668732084226","1291886668732084226")</f>
        <v>1291886668732084226</v>
      </c>
      <c r="F8469" s="7" t="s">
        <v>32</v>
      </c>
      <c r="G8469" s="7">
        <v>3930120</v>
      </c>
      <c r="H8469" s="7">
        <v>2423</v>
      </c>
      <c r="I8469" s="7">
        <v>575</v>
      </c>
      <c r="J8469" s="7">
        <v>0</v>
      </c>
      <c r="K8469" s="7" t="s">
        <v>18</v>
      </c>
      <c r="L8469" s="8">
        <v>39987.315405092595</v>
      </c>
      <c r="M8469" s="9" t="s">
        <v>19</v>
      </c>
      <c r="N8469" s="9" t="s">
        <v>20</v>
      </c>
      <c r="O8469" s="6" t="str">
        <f>HYPERLINK("https://pbs.twimg.com/profile_images/962471262747529216/Uo8lOkRJ_normal.jpg","View")</f>
        <v>View</v>
      </c>
      <c r="P8469" s="7"/>
    </row>
    <row r="8470" spans="1:16">
      <c r="A8470" s="3">
        <v>44051.228726851856</v>
      </c>
      <c r="B8470" s="4" t="str">
        <f>HYPERLINK("https://twitter.com/petrogustavo","@petrogustavo")</f>
        <v>@petrogustavo</v>
      </c>
      <c r="C8470" s="5" t="s">
        <v>16</v>
      </c>
      <c r="D8470" s="5" t="s">
        <v>8164</v>
      </c>
      <c r="E8470" s="6" t="str">
        <f>HYPERLINK("https://twitter.com/petrogustavo/status/1291886685236715520","1291886685236715520")</f>
        <v>1291886685236715520</v>
      </c>
      <c r="F8470" s="7" t="s">
        <v>32</v>
      </c>
      <c r="G8470" s="7">
        <v>3930120</v>
      </c>
      <c r="H8470" s="7">
        <v>2423</v>
      </c>
      <c r="I8470" s="7">
        <v>238</v>
      </c>
      <c r="J8470" s="7">
        <v>0</v>
      </c>
      <c r="K8470" s="7" t="s">
        <v>18</v>
      </c>
      <c r="L8470" s="8">
        <v>39987.315405092595</v>
      </c>
      <c r="M8470" s="9" t="s">
        <v>19</v>
      </c>
      <c r="N8470" s="9" t="s">
        <v>20</v>
      </c>
      <c r="O8470" s="6" t="str">
        <f>HYPERLINK("https://pbs.twimg.com/profile_images/962471262747529216/Uo8lOkRJ_normal.jpg","View")</f>
        <v>View</v>
      </c>
      <c r="P8470" s="7"/>
    </row>
    <row r="8471" spans="1:16">
      <c r="A8471" s="3">
        <v>44051.228773148148</v>
      </c>
      <c r="B8471" s="4" t="str">
        <f>HYPERLINK("https://twitter.com/petrogustavo","@petrogustavo")</f>
        <v>@petrogustavo</v>
      </c>
      <c r="C8471" s="5" t="s">
        <v>16</v>
      </c>
      <c r="D8471" s="5" t="s">
        <v>8165</v>
      </c>
      <c r="E8471" s="6" t="str">
        <f>HYPERLINK("https://twitter.com/petrogustavo/status/1291886702227750917","1291886702227750917")</f>
        <v>1291886702227750917</v>
      </c>
      <c r="F8471" s="7" t="s">
        <v>32</v>
      </c>
      <c r="G8471" s="7">
        <v>3930120</v>
      </c>
      <c r="H8471" s="7">
        <v>2423</v>
      </c>
      <c r="I8471" s="7">
        <v>467</v>
      </c>
      <c r="J8471" s="7">
        <v>0</v>
      </c>
      <c r="K8471" s="7" t="s">
        <v>18</v>
      </c>
      <c r="L8471" s="8">
        <v>39987.315405092595</v>
      </c>
      <c r="M8471" s="9" t="s">
        <v>19</v>
      </c>
      <c r="N8471" s="9" t="s">
        <v>20</v>
      </c>
      <c r="O8471" s="6" t="str">
        <f>HYPERLINK("https://pbs.twimg.com/profile_images/962471262747529216/Uo8lOkRJ_normal.jpg","View")</f>
        <v>View</v>
      </c>
      <c r="P8471" s="7"/>
    </row>
    <row r="8472" spans="1:16">
      <c r="A8472" s="3">
        <v>44051.313460648147</v>
      </c>
      <c r="B8472" s="4" t="str">
        <f>HYPERLINK("https://twitter.com/petrogustavo","@petrogustavo")</f>
        <v>@petrogustavo</v>
      </c>
      <c r="C8472" s="5" t="s">
        <v>16</v>
      </c>
      <c r="D8472" s="5" t="s">
        <v>8163</v>
      </c>
      <c r="E8472" s="6" t="str">
        <f>HYPERLINK("https://twitter.com/petrogustavo/status/1291917392021422080","1291917392021422080")</f>
        <v>1291917392021422080</v>
      </c>
      <c r="F8472" s="7" t="s">
        <v>32</v>
      </c>
      <c r="G8472" s="7">
        <v>3930260</v>
      </c>
      <c r="H8472" s="7">
        <v>2423</v>
      </c>
      <c r="I8472" s="7">
        <v>913</v>
      </c>
      <c r="J8472" s="7">
        <v>0</v>
      </c>
      <c r="K8472" s="7" t="s">
        <v>18</v>
      </c>
      <c r="L8472" s="8">
        <v>39987.315405092595</v>
      </c>
      <c r="M8472" s="9" t="s">
        <v>19</v>
      </c>
      <c r="N8472" s="9" t="s">
        <v>20</v>
      </c>
      <c r="O8472" s="6" t="str">
        <f>HYPERLINK("https://pbs.twimg.com/profile_images/962471262747529216/Uo8lOkRJ_normal.jpg","View")</f>
        <v>View</v>
      </c>
      <c r="P8472" s="7"/>
    </row>
    <row r="8473" spans="1:16">
      <c r="A8473" s="3">
        <v>44051.313564814816</v>
      </c>
      <c r="B8473" s="4" t="str">
        <f>HYPERLINK("https://twitter.com/petrogustavo","@petrogustavo")</f>
        <v>@petrogustavo</v>
      </c>
      <c r="C8473" s="5" t="s">
        <v>16</v>
      </c>
      <c r="D8473" s="5" t="s">
        <v>8164</v>
      </c>
      <c r="E8473" s="6" t="str">
        <f>HYPERLINK("https://twitter.com/petrogustavo/status/1291917430684516357","1291917430684516357")</f>
        <v>1291917430684516357</v>
      </c>
      <c r="F8473" s="7" t="s">
        <v>32</v>
      </c>
      <c r="G8473" s="7">
        <v>3930260</v>
      </c>
      <c r="H8473" s="7">
        <v>2423</v>
      </c>
      <c r="I8473" s="7">
        <v>354</v>
      </c>
      <c r="J8473" s="7">
        <v>0</v>
      </c>
      <c r="K8473" s="7" t="s">
        <v>18</v>
      </c>
      <c r="L8473" s="8">
        <v>39987.315405092595</v>
      </c>
      <c r="M8473" s="9" t="s">
        <v>19</v>
      </c>
      <c r="N8473" s="9" t="s">
        <v>20</v>
      </c>
      <c r="O8473" s="6" t="str">
        <f>HYPERLINK("https://pbs.twimg.com/profile_images/962471262747529216/Uo8lOkRJ_normal.jpg","View")</f>
        <v>View</v>
      </c>
      <c r="P8473" s="7"/>
    </row>
    <row r="8474" spans="1:16">
      <c r="A8474" s="3">
        <v>44051.313622685186</v>
      </c>
      <c r="B8474" s="4" t="str">
        <f>HYPERLINK("https://twitter.com/petrogustavo","@petrogustavo")</f>
        <v>@petrogustavo</v>
      </c>
      <c r="C8474" s="5" t="s">
        <v>16</v>
      </c>
      <c r="D8474" s="5" t="s">
        <v>8165</v>
      </c>
      <c r="E8474" s="6" t="str">
        <f>HYPERLINK("https://twitter.com/petrogustavo/status/1291917450523676673","1291917450523676673")</f>
        <v>1291917450523676673</v>
      </c>
      <c r="F8474" s="7" t="s">
        <v>32</v>
      </c>
      <c r="G8474" s="7">
        <v>3930260</v>
      </c>
      <c r="H8474" s="7">
        <v>2423</v>
      </c>
      <c r="I8474" s="7">
        <v>645</v>
      </c>
      <c r="J8474" s="7">
        <v>0</v>
      </c>
      <c r="K8474" s="7" t="s">
        <v>18</v>
      </c>
      <c r="L8474" s="8">
        <v>39987.315405092595</v>
      </c>
      <c r="M8474" s="9" t="s">
        <v>19</v>
      </c>
      <c r="N8474" s="9" t="s">
        <v>20</v>
      </c>
      <c r="O8474" s="6" t="str">
        <f>HYPERLINK("https://pbs.twimg.com/profile_images/962471262747529216/Uo8lOkRJ_normal.jpg","View")</f>
        <v>View</v>
      </c>
      <c r="P8474" s="7"/>
    </row>
    <row r="8475" spans="1:16">
      <c r="A8475" s="3">
        <v>44051.754837962959</v>
      </c>
      <c r="B8475" s="4" t="str">
        <f>HYPERLINK("https://twitter.com/petrogustavo","@petrogustavo")</f>
        <v>@petrogustavo</v>
      </c>
      <c r="C8475" s="5" t="s">
        <v>16</v>
      </c>
      <c r="D8475" s="5" t="s">
        <v>8166</v>
      </c>
      <c r="E8475" s="6" t="str">
        <f>HYPERLINK("https://twitter.com/petrogustavo/status/1292077341594845189","1292077341594845189")</f>
        <v>1292077341594845189</v>
      </c>
      <c r="F8475" s="7" t="s">
        <v>17</v>
      </c>
      <c r="G8475" s="7">
        <v>3930529</v>
      </c>
      <c r="H8475" s="7">
        <v>2423</v>
      </c>
      <c r="I8475" s="7">
        <v>871</v>
      </c>
      <c r="J8475" s="7">
        <v>0</v>
      </c>
      <c r="K8475" s="7" t="s">
        <v>18</v>
      </c>
      <c r="L8475" s="8">
        <v>39987.315405092595</v>
      </c>
      <c r="M8475" s="9" t="s">
        <v>19</v>
      </c>
      <c r="N8475" s="9" t="s">
        <v>20</v>
      </c>
      <c r="O8475" s="6" t="str">
        <f>HYPERLINK("https://pbs.twimg.com/profile_images/962471262747529216/Uo8lOkRJ_normal.jpg","View")</f>
        <v>View</v>
      </c>
      <c r="P8475" s="7"/>
    </row>
    <row r="8476" spans="1:16">
      <c r="A8476" s="3">
        <v>44051.756516203706</v>
      </c>
      <c r="B8476" s="4" t="str">
        <f>HYPERLINK("https://twitter.com/petrogustavo","@petrogustavo")</f>
        <v>@petrogustavo</v>
      </c>
      <c r="C8476" s="5" t="s">
        <v>16</v>
      </c>
      <c r="D8476" s="5" t="s">
        <v>8167</v>
      </c>
      <c r="E8476" s="6" t="str">
        <f>HYPERLINK("https://twitter.com/petrogustavo/status/1292077951119437824","1292077951119437824")</f>
        <v>1292077951119437824</v>
      </c>
      <c r="F8476" s="7" t="s">
        <v>17</v>
      </c>
      <c r="G8476" s="7">
        <v>3930529</v>
      </c>
      <c r="H8476" s="7">
        <v>2423</v>
      </c>
      <c r="I8476" s="7">
        <v>396</v>
      </c>
      <c r="J8476" s="7">
        <v>0</v>
      </c>
      <c r="K8476" s="7" t="s">
        <v>18</v>
      </c>
      <c r="L8476" s="8">
        <v>39987.315405092595</v>
      </c>
      <c r="M8476" s="9" t="s">
        <v>19</v>
      </c>
      <c r="N8476" s="9" t="s">
        <v>20</v>
      </c>
      <c r="O8476" s="6" t="str">
        <f>HYPERLINK("https://pbs.twimg.com/profile_images/962471262747529216/Uo8lOkRJ_normal.jpg","View")</f>
        <v>View</v>
      </c>
      <c r="P8476" s="7"/>
    </row>
    <row r="8477" spans="1:16">
      <c r="A8477" s="3">
        <v>44051.765150462961</v>
      </c>
      <c r="B8477" s="4" t="str">
        <f>HYPERLINK("https://twitter.com/petrogustavo","@petrogustavo")</f>
        <v>@petrogustavo</v>
      </c>
      <c r="C8477" s="5" t="s">
        <v>16</v>
      </c>
      <c r="D8477" s="5" t="s">
        <v>8168</v>
      </c>
      <c r="E8477" s="6" t="str">
        <f>HYPERLINK("https://twitter.com/petrogustavo/status/1292081076920360960","1292081076920360960")</f>
        <v>1292081076920360960</v>
      </c>
      <c r="F8477" s="7" t="s">
        <v>17</v>
      </c>
      <c r="G8477" s="7">
        <v>3930529</v>
      </c>
      <c r="H8477" s="7">
        <v>2423</v>
      </c>
      <c r="I8477" s="7">
        <v>101</v>
      </c>
      <c r="J8477" s="7">
        <v>323</v>
      </c>
      <c r="K8477" s="7" t="s">
        <v>18</v>
      </c>
      <c r="L8477" s="8">
        <v>39987.315405092595</v>
      </c>
      <c r="M8477" s="9" t="s">
        <v>19</v>
      </c>
      <c r="N8477" s="9" t="s">
        <v>20</v>
      </c>
      <c r="O8477" s="6" t="str">
        <f>HYPERLINK("https://pbs.twimg.com/profile_images/962471262747529216/Uo8lOkRJ_normal.jpg","View")</f>
        <v>View</v>
      </c>
      <c r="P8477" s="7"/>
    </row>
    <row r="8478" spans="1:16">
      <c r="A8478" s="3">
        <v>44051.77244212963</v>
      </c>
      <c r="B8478" s="4" t="str">
        <f>HYPERLINK("https://twitter.com/petrogustavo","@petrogustavo")</f>
        <v>@petrogustavo</v>
      </c>
      <c r="C8478" s="5" t="s">
        <v>16</v>
      </c>
      <c r="D8478" s="5" t="s">
        <v>8169</v>
      </c>
      <c r="E8478" s="6" t="str">
        <f>HYPERLINK("https://twitter.com/petrogustavo/status/1292083719189168128","1292083719189168128")</f>
        <v>1292083719189168128</v>
      </c>
      <c r="F8478" s="7" t="s">
        <v>17</v>
      </c>
      <c r="G8478" s="7">
        <v>3930529</v>
      </c>
      <c r="H8478" s="7">
        <v>2423</v>
      </c>
      <c r="I8478" s="7">
        <v>53</v>
      </c>
      <c r="J8478" s="7">
        <v>0</v>
      </c>
      <c r="K8478" s="7" t="s">
        <v>18</v>
      </c>
      <c r="L8478" s="8">
        <v>39987.315405092595</v>
      </c>
      <c r="M8478" s="9" t="s">
        <v>19</v>
      </c>
      <c r="N8478" s="9" t="s">
        <v>20</v>
      </c>
      <c r="O8478" s="6" t="str">
        <f>HYPERLINK("https://pbs.twimg.com/profile_images/962471262747529216/Uo8lOkRJ_normal.jpg","View")</f>
        <v>View</v>
      </c>
      <c r="P8478" s="7"/>
    </row>
    <row r="8479" spans="1:16">
      <c r="A8479" s="3">
        <v>44051.778113425928</v>
      </c>
      <c r="B8479" s="4" t="str">
        <f>HYPERLINK("https://twitter.com/petrogustavo","@petrogustavo")</f>
        <v>@petrogustavo</v>
      </c>
      <c r="C8479" s="5" t="s">
        <v>16</v>
      </c>
      <c r="D8479" s="5" t="s">
        <v>8170</v>
      </c>
      <c r="E8479" s="6" t="str">
        <f>HYPERLINK("https://twitter.com/petrogustavo/status/1292085775572652037","1292085775572652037")</f>
        <v>1292085775572652037</v>
      </c>
      <c r="F8479" s="7" t="s">
        <v>17</v>
      </c>
      <c r="G8479" s="7">
        <v>3930536</v>
      </c>
      <c r="H8479" s="7">
        <v>2423</v>
      </c>
      <c r="I8479" s="7">
        <v>44</v>
      </c>
      <c r="J8479" s="7">
        <v>0</v>
      </c>
      <c r="K8479" s="7" t="s">
        <v>18</v>
      </c>
      <c r="L8479" s="8">
        <v>39987.315405092595</v>
      </c>
      <c r="M8479" s="9" t="s">
        <v>19</v>
      </c>
      <c r="N8479" s="9" t="s">
        <v>20</v>
      </c>
      <c r="O8479" s="6" t="str">
        <f>HYPERLINK("https://pbs.twimg.com/profile_images/962471262747529216/Uo8lOkRJ_normal.jpg","View")</f>
        <v>View</v>
      </c>
      <c r="P8479" s="7"/>
    </row>
    <row r="8480" spans="1:16">
      <c r="A8480" s="3">
        <v>44051.781168981484</v>
      </c>
      <c r="B8480" s="4" t="str">
        <f>HYPERLINK("https://twitter.com/petrogustavo","@petrogustavo")</f>
        <v>@petrogustavo</v>
      </c>
      <c r="C8480" s="5" t="s">
        <v>16</v>
      </c>
      <c r="D8480" s="5" t="s">
        <v>8171</v>
      </c>
      <c r="E8480" s="6" t="str">
        <f>HYPERLINK("https://twitter.com/petrogustavo/status/1292086883938443265","1292086883938443265")</f>
        <v>1292086883938443265</v>
      </c>
      <c r="F8480" s="7" t="s">
        <v>17</v>
      </c>
      <c r="G8480" s="7">
        <v>3930536</v>
      </c>
      <c r="H8480" s="7">
        <v>2423</v>
      </c>
      <c r="I8480" s="7">
        <v>213</v>
      </c>
      <c r="J8480" s="7">
        <v>0</v>
      </c>
      <c r="K8480" s="7" t="s">
        <v>18</v>
      </c>
      <c r="L8480" s="8">
        <v>39987.315405092595</v>
      </c>
      <c r="M8480" s="9" t="s">
        <v>19</v>
      </c>
      <c r="N8480" s="9" t="s">
        <v>20</v>
      </c>
      <c r="O8480" s="6" t="str">
        <f>HYPERLINK("https://pbs.twimg.com/profile_images/962471262747529216/Uo8lOkRJ_normal.jpg","View")</f>
        <v>View</v>
      </c>
      <c r="P8480" s="7"/>
    </row>
    <row r="8481" spans="1:16">
      <c r="A8481" s="3">
        <v>44051.783067129625</v>
      </c>
      <c r="B8481" s="4" t="str">
        <f>HYPERLINK("https://twitter.com/petrogustavo","@petrogustavo")</f>
        <v>@petrogustavo</v>
      </c>
      <c r="C8481" s="5" t="s">
        <v>16</v>
      </c>
      <c r="D8481" s="5" t="s">
        <v>8172</v>
      </c>
      <c r="E8481" s="6" t="str">
        <f>HYPERLINK("https://twitter.com/petrogustavo/status/1292087570558590976","1292087570558590976")</f>
        <v>1292087570558590976</v>
      </c>
      <c r="F8481" s="7" t="s">
        <v>17</v>
      </c>
      <c r="G8481" s="7">
        <v>3930536</v>
      </c>
      <c r="H8481" s="7">
        <v>2423</v>
      </c>
      <c r="I8481" s="7">
        <v>50</v>
      </c>
      <c r="J8481" s="7">
        <v>0</v>
      </c>
      <c r="K8481" s="7" t="s">
        <v>18</v>
      </c>
      <c r="L8481" s="8">
        <v>39987.315405092595</v>
      </c>
      <c r="M8481" s="9" t="s">
        <v>19</v>
      </c>
      <c r="N8481" s="9" t="s">
        <v>20</v>
      </c>
      <c r="O8481" s="6" t="str">
        <f>HYPERLINK("https://pbs.twimg.com/profile_images/962471262747529216/Uo8lOkRJ_normal.jpg","View")</f>
        <v>View</v>
      </c>
      <c r="P8481" s="7"/>
    </row>
    <row r="8482" spans="1:16">
      <c r="A8482" s="3">
        <v>44051.786736111113</v>
      </c>
      <c r="B8482" s="4" t="str">
        <f>HYPERLINK("https://twitter.com/petrogustavo","@petrogustavo")</f>
        <v>@petrogustavo</v>
      </c>
      <c r="C8482" s="5" t="s">
        <v>16</v>
      </c>
      <c r="D8482" s="5" t="s">
        <v>8173</v>
      </c>
      <c r="E8482" s="6" t="str">
        <f>HYPERLINK("https://twitter.com/petrogustavo/status/1292088900115210240","1292088900115210240")</f>
        <v>1292088900115210240</v>
      </c>
      <c r="F8482" s="7" t="s">
        <v>17</v>
      </c>
      <c r="G8482" s="7">
        <v>3930536</v>
      </c>
      <c r="H8482" s="7">
        <v>2423</v>
      </c>
      <c r="I8482" s="7">
        <v>265</v>
      </c>
      <c r="J8482" s="7">
        <v>0</v>
      </c>
      <c r="K8482" s="7" t="s">
        <v>18</v>
      </c>
      <c r="L8482" s="8">
        <v>39987.315405092595</v>
      </c>
      <c r="M8482" s="9" t="s">
        <v>19</v>
      </c>
      <c r="N8482" s="9" t="s">
        <v>20</v>
      </c>
      <c r="O8482" s="6" t="str">
        <f>HYPERLINK("https://pbs.twimg.com/profile_images/962471262747529216/Uo8lOkRJ_normal.jpg","View")</f>
        <v>View</v>
      </c>
      <c r="P8482" s="7"/>
    </row>
    <row r="8483" spans="1:16">
      <c r="A8483" s="3">
        <v>44051.791712962964</v>
      </c>
      <c r="B8483" s="4" t="str">
        <f>HYPERLINK("https://twitter.com/petrogustavo","@petrogustavo")</f>
        <v>@petrogustavo</v>
      </c>
      <c r="C8483" s="5" t="s">
        <v>16</v>
      </c>
      <c r="D8483" s="5" t="s">
        <v>8174</v>
      </c>
      <c r="E8483" s="6" t="str">
        <f>HYPERLINK("https://twitter.com/petrogustavo/status/1292090705175883776","1292090705175883776")</f>
        <v>1292090705175883776</v>
      </c>
      <c r="F8483" s="7" t="s">
        <v>17</v>
      </c>
      <c r="G8483" s="7">
        <v>3930536</v>
      </c>
      <c r="H8483" s="7">
        <v>2423</v>
      </c>
      <c r="I8483" s="7">
        <v>18</v>
      </c>
      <c r="J8483" s="7">
        <v>0</v>
      </c>
      <c r="K8483" s="7" t="s">
        <v>18</v>
      </c>
      <c r="L8483" s="8">
        <v>39987.315405092595</v>
      </c>
      <c r="M8483" s="9" t="s">
        <v>19</v>
      </c>
      <c r="N8483" s="9" t="s">
        <v>20</v>
      </c>
      <c r="O8483" s="6" t="str">
        <f>HYPERLINK("https://pbs.twimg.com/profile_images/962471262747529216/Uo8lOkRJ_normal.jpg","View")</f>
        <v>View</v>
      </c>
      <c r="P8483" s="7"/>
    </row>
    <row r="8484" spans="1:16">
      <c r="A8484" s="3">
        <v>44051.79210648148</v>
      </c>
      <c r="B8484" s="4" t="str">
        <f>HYPERLINK("https://twitter.com/petrogustavo","@petrogustavo")</f>
        <v>@petrogustavo</v>
      </c>
      <c r="C8484" s="5" t="s">
        <v>16</v>
      </c>
      <c r="D8484" s="5" t="s">
        <v>8175</v>
      </c>
      <c r="E8484" s="6" t="str">
        <f>HYPERLINK("https://twitter.com/petrogustavo/status/1292090848444899328","1292090848444899328")</f>
        <v>1292090848444899328</v>
      </c>
      <c r="F8484" s="7" t="s">
        <v>17</v>
      </c>
      <c r="G8484" s="7">
        <v>3930536</v>
      </c>
      <c r="H8484" s="7">
        <v>2423</v>
      </c>
      <c r="I8484" s="7">
        <v>769</v>
      </c>
      <c r="J8484" s="7">
        <v>0</v>
      </c>
      <c r="K8484" s="7" t="s">
        <v>18</v>
      </c>
      <c r="L8484" s="8">
        <v>39987.315405092595</v>
      </c>
      <c r="M8484" s="9" t="s">
        <v>19</v>
      </c>
      <c r="N8484" s="9" t="s">
        <v>20</v>
      </c>
      <c r="O8484" s="6" t="str">
        <f>HYPERLINK("https://pbs.twimg.com/profile_images/962471262747529216/Uo8lOkRJ_normal.jpg","View")</f>
        <v>View</v>
      </c>
      <c r="P8484" s="7"/>
    </row>
    <row r="8485" spans="1:16">
      <c r="A8485" s="3">
        <v>44051.794409722221</v>
      </c>
      <c r="B8485" s="4" t="str">
        <f>HYPERLINK("https://twitter.com/petrogustavo","@petrogustavo")</f>
        <v>@petrogustavo</v>
      </c>
      <c r="C8485" s="5" t="s">
        <v>16</v>
      </c>
      <c r="D8485" s="5" t="s">
        <v>8176</v>
      </c>
      <c r="E8485" s="6" t="str">
        <f>HYPERLINK("https://twitter.com/petrogustavo/status/1292091683233046530","1292091683233046530")</f>
        <v>1292091683233046530</v>
      </c>
      <c r="F8485" s="7" t="s">
        <v>17</v>
      </c>
      <c r="G8485" s="7">
        <v>3930563</v>
      </c>
      <c r="H8485" s="7">
        <v>2423</v>
      </c>
      <c r="I8485" s="7">
        <v>456</v>
      </c>
      <c r="J8485" s="7">
        <v>0</v>
      </c>
      <c r="K8485" s="7" t="s">
        <v>18</v>
      </c>
      <c r="L8485" s="8">
        <v>39987.315405092595</v>
      </c>
      <c r="M8485" s="9" t="s">
        <v>19</v>
      </c>
      <c r="N8485" s="9" t="s">
        <v>20</v>
      </c>
      <c r="O8485" s="6" t="str">
        <f>HYPERLINK("https://pbs.twimg.com/profile_images/962471262747529216/Uo8lOkRJ_normal.jpg","View")</f>
        <v>View</v>
      </c>
      <c r="P8485" s="7"/>
    </row>
    <row r="8486" spans="1:16">
      <c r="A8486" s="3">
        <v>44051.794756944444</v>
      </c>
      <c r="B8486" s="4" t="str">
        <f>HYPERLINK("https://twitter.com/petrogustavo","@petrogustavo")</f>
        <v>@petrogustavo</v>
      </c>
      <c r="C8486" s="5" t="s">
        <v>16</v>
      </c>
      <c r="D8486" s="5" t="s">
        <v>8163</v>
      </c>
      <c r="E8486" s="6" t="str">
        <f>HYPERLINK("https://twitter.com/petrogustavo/status/1292091809712177153","1292091809712177153")</f>
        <v>1292091809712177153</v>
      </c>
      <c r="F8486" s="7" t="s">
        <v>17</v>
      </c>
      <c r="G8486" s="7">
        <v>3930563</v>
      </c>
      <c r="H8486" s="7">
        <v>2423</v>
      </c>
      <c r="I8486" s="7">
        <v>1383</v>
      </c>
      <c r="J8486" s="7">
        <v>0</v>
      </c>
      <c r="K8486" s="7" t="s">
        <v>18</v>
      </c>
      <c r="L8486" s="8">
        <v>39987.315405092595</v>
      </c>
      <c r="M8486" s="9" t="s">
        <v>19</v>
      </c>
      <c r="N8486" s="9" t="s">
        <v>20</v>
      </c>
      <c r="O8486" s="6" t="str">
        <f>HYPERLINK("https://pbs.twimg.com/profile_images/962471262747529216/Uo8lOkRJ_normal.jpg","View")</f>
        <v>View</v>
      </c>
      <c r="P8486" s="7"/>
    </row>
    <row r="8487" spans="1:16">
      <c r="A8487" s="3">
        <v>44051.79487268519</v>
      </c>
      <c r="B8487" s="4" t="str">
        <f>HYPERLINK("https://twitter.com/petrogustavo","@petrogustavo")</f>
        <v>@petrogustavo</v>
      </c>
      <c r="C8487" s="5" t="s">
        <v>16</v>
      </c>
      <c r="D8487" s="5" t="s">
        <v>8164</v>
      </c>
      <c r="E8487" s="6" t="str">
        <f>HYPERLINK("https://twitter.com/petrogustavo/status/1292091849151258624","1292091849151258624")</f>
        <v>1292091849151258624</v>
      </c>
      <c r="F8487" s="7" t="s">
        <v>17</v>
      </c>
      <c r="G8487" s="7">
        <v>3930563</v>
      </c>
      <c r="H8487" s="7">
        <v>2423</v>
      </c>
      <c r="I8487" s="7">
        <v>539</v>
      </c>
      <c r="J8487" s="7">
        <v>0</v>
      </c>
      <c r="K8487" s="7" t="s">
        <v>18</v>
      </c>
      <c r="L8487" s="8">
        <v>39987.315405092595</v>
      </c>
      <c r="M8487" s="9" t="s">
        <v>19</v>
      </c>
      <c r="N8487" s="9" t="s">
        <v>20</v>
      </c>
      <c r="O8487" s="6" t="str">
        <f>HYPERLINK("https://pbs.twimg.com/profile_images/962471262747529216/Uo8lOkRJ_normal.jpg","View")</f>
        <v>View</v>
      </c>
      <c r="P8487" s="7"/>
    </row>
    <row r="8488" spans="1:16">
      <c r="A8488" s="3">
        <v>44051.794976851852</v>
      </c>
      <c r="B8488" s="4" t="str">
        <f>HYPERLINK("https://twitter.com/petrogustavo","@petrogustavo")</f>
        <v>@petrogustavo</v>
      </c>
      <c r="C8488" s="5" t="s">
        <v>16</v>
      </c>
      <c r="D8488" s="5" t="s">
        <v>8165</v>
      </c>
      <c r="E8488" s="6" t="str">
        <f>HYPERLINK("https://twitter.com/petrogustavo/status/1292091888313470978","1292091888313470978")</f>
        <v>1292091888313470978</v>
      </c>
      <c r="F8488" s="7" t="s">
        <v>17</v>
      </c>
      <c r="G8488" s="7">
        <v>3930563</v>
      </c>
      <c r="H8488" s="7">
        <v>2423</v>
      </c>
      <c r="I8488" s="7">
        <v>925</v>
      </c>
      <c r="J8488" s="7">
        <v>0</v>
      </c>
      <c r="K8488" s="7" t="s">
        <v>18</v>
      </c>
      <c r="L8488" s="8">
        <v>39987.315405092595</v>
      </c>
      <c r="M8488" s="9" t="s">
        <v>19</v>
      </c>
      <c r="N8488" s="9" t="s">
        <v>20</v>
      </c>
      <c r="O8488" s="6" t="str">
        <f>HYPERLINK("https://pbs.twimg.com/profile_images/962471262747529216/Uo8lOkRJ_normal.jpg","View")</f>
        <v>View</v>
      </c>
      <c r="P8488" s="7"/>
    </row>
    <row r="8489" spans="1:16">
      <c r="A8489" s="3">
        <v>44051.916886574079</v>
      </c>
      <c r="B8489" s="4" t="str">
        <f>HYPERLINK("https://twitter.com/petrogustavo","@petrogustavo")</f>
        <v>@petrogustavo</v>
      </c>
      <c r="C8489" s="5" t="s">
        <v>16</v>
      </c>
      <c r="D8489" s="5" t="s">
        <v>8163</v>
      </c>
      <c r="E8489" s="6" t="str">
        <f>HYPERLINK("https://twitter.com/petrogustavo/status/1292136065130795008","1292136065130795008")</f>
        <v>1292136065130795008</v>
      </c>
      <c r="F8489" s="7" t="s">
        <v>17</v>
      </c>
      <c r="G8489" s="7">
        <v>3930750</v>
      </c>
      <c r="H8489" s="7">
        <v>2423</v>
      </c>
      <c r="I8489" s="7">
        <v>1492</v>
      </c>
      <c r="J8489" s="7">
        <v>0</v>
      </c>
      <c r="K8489" s="7" t="s">
        <v>18</v>
      </c>
      <c r="L8489" s="8">
        <v>39987.315405092595</v>
      </c>
      <c r="M8489" s="9" t="s">
        <v>19</v>
      </c>
      <c r="N8489" s="9" t="s">
        <v>20</v>
      </c>
      <c r="O8489" s="6" t="str">
        <f>HYPERLINK("https://pbs.twimg.com/profile_images/962471262747529216/Uo8lOkRJ_normal.jpg","View")</f>
        <v>View</v>
      </c>
      <c r="P8489" s="7"/>
    </row>
    <row r="8490" spans="1:16">
      <c r="A8490" s="3">
        <v>44051.916979166665</v>
      </c>
      <c r="B8490" s="4" t="str">
        <f>HYPERLINK("https://twitter.com/petrogustavo","@petrogustavo")</f>
        <v>@petrogustavo</v>
      </c>
      <c r="C8490" s="5" t="s">
        <v>16</v>
      </c>
      <c r="D8490" s="5" t="s">
        <v>8164</v>
      </c>
      <c r="E8490" s="6" t="str">
        <f>HYPERLINK("https://twitter.com/petrogustavo/status/1292136097644974080","1292136097644974080")</f>
        <v>1292136097644974080</v>
      </c>
      <c r="F8490" s="7" t="s">
        <v>17</v>
      </c>
      <c r="G8490" s="7">
        <v>3930750</v>
      </c>
      <c r="H8490" s="7">
        <v>2423</v>
      </c>
      <c r="I8490" s="7">
        <v>571</v>
      </c>
      <c r="J8490" s="7">
        <v>0</v>
      </c>
      <c r="K8490" s="7" t="s">
        <v>18</v>
      </c>
      <c r="L8490" s="8">
        <v>39987.315405092595</v>
      </c>
      <c r="M8490" s="9" t="s">
        <v>19</v>
      </c>
      <c r="N8490" s="9" t="s">
        <v>20</v>
      </c>
      <c r="O8490" s="6" t="str">
        <f>HYPERLINK("https://pbs.twimg.com/profile_images/962471262747529216/Uo8lOkRJ_normal.jpg","View")</f>
        <v>View</v>
      </c>
      <c r="P8490" s="7"/>
    </row>
    <row r="8491" spans="1:16">
      <c r="A8491" s="3">
        <v>44051.917187500003</v>
      </c>
      <c r="B8491" s="4" t="str">
        <f>HYPERLINK("https://twitter.com/petrogustavo","@petrogustavo")</f>
        <v>@petrogustavo</v>
      </c>
      <c r="C8491" s="5" t="s">
        <v>16</v>
      </c>
      <c r="D8491" s="5" t="s">
        <v>8165</v>
      </c>
      <c r="E8491" s="6" t="str">
        <f>HYPERLINK("https://twitter.com/petrogustavo/status/1292136174090432512","1292136174090432512")</f>
        <v>1292136174090432512</v>
      </c>
      <c r="F8491" s="7" t="s">
        <v>17</v>
      </c>
      <c r="G8491" s="7">
        <v>3930750</v>
      </c>
      <c r="H8491" s="7">
        <v>2423</v>
      </c>
      <c r="I8491" s="7">
        <v>972</v>
      </c>
      <c r="J8491" s="7">
        <v>0</v>
      </c>
      <c r="K8491" s="7" t="s">
        <v>18</v>
      </c>
      <c r="L8491" s="8">
        <v>39987.315405092595</v>
      </c>
      <c r="M8491" s="9" t="s">
        <v>19</v>
      </c>
      <c r="N8491" s="9" t="s">
        <v>20</v>
      </c>
      <c r="O8491" s="6" t="str">
        <f>HYPERLINK("https://pbs.twimg.com/profile_images/962471262747529216/Uo8lOkRJ_normal.jpg","View")</f>
        <v>View</v>
      </c>
      <c r="P8491" s="7"/>
    </row>
    <row r="8492" spans="1:16">
      <c r="A8492" s="3">
        <v>44052.075833333336</v>
      </c>
      <c r="B8492" s="4" t="str">
        <f>HYPERLINK("https://twitter.com/petrogustavo","@petrogustavo")</f>
        <v>@petrogustavo</v>
      </c>
      <c r="C8492" s="5" t="s">
        <v>16</v>
      </c>
      <c r="D8492" s="5" t="s">
        <v>8177</v>
      </c>
      <c r="E8492" s="6" t="str">
        <f>HYPERLINK("https://twitter.com/petrogustavo/status/1292193665486651393","1292193665486651393")</f>
        <v>1292193665486651393</v>
      </c>
      <c r="F8492" s="7" t="s">
        <v>17</v>
      </c>
      <c r="G8492" s="7">
        <v>3931022</v>
      </c>
      <c r="H8492" s="7">
        <v>2424</v>
      </c>
      <c r="I8492" s="7">
        <v>472</v>
      </c>
      <c r="J8492" s="7">
        <v>0</v>
      </c>
      <c r="K8492" s="7" t="s">
        <v>18</v>
      </c>
      <c r="L8492" s="8">
        <v>39987.315405092595</v>
      </c>
      <c r="M8492" s="9" t="s">
        <v>19</v>
      </c>
      <c r="N8492" s="9" t="s">
        <v>20</v>
      </c>
      <c r="O8492" s="6" t="str">
        <f>HYPERLINK("https://pbs.twimg.com/profile_images/962471262747529216/Uo8lOkRJ_normal.jpg","View")</f>
        <v>View</v>
      </c>
      <c r="P8492" s="7"/>
    </row>
    <row r="8493" spans="1:16">
      <c r="A8493" s="3">
        <v>44052.076168981483</v>
      </c>
      <c r="B8493" s="4" t="str">
        <f>HYPERLINK("https://twitter.com/petrogustavo","@petrogustavo")</f>
        <v>@petrogustavo</v>
      </c>
      <c r="C8493" s="5" t="s">
        <v>16</v>
      </c>
      <c r="D8493" s="5" t="s">
        <v>8178</v>
      </c>
      <c r="E8493" s="6" t="str">
        <f>HYPERLINK("https://twitter.com/petrogustavo/status/1292193786169380864","1292193786169380864")</f>
        <v>1292193786169380864</v>
      </c>
      <c r="F8493" s="7" t="s">
        <v>17</v>
      </c>
      <c r="G8493" s="7">
        <v>3931022</v>
      </c>
      <c r="H8493" s="7">
        <v>2424</v>
      </c>
      <c r="I8493" s="7">
        <v>34</v>
      </c>
      <c r="J8493" s="7">
        <v>0</v>
      </c>
      <c r="K8493" s="7" t="s">
        <v>18</v>
      </c>
      <c r="L8493" s="8">
        <v>39987.315405092595</v>
      </c>
      <c r="M8493" s="9" t="s">
        <v>19</v>
      </c>
      <c r="N8493" s="9" t="s">
        <v>20</v>
      </c>
      <c r="O8493" s="6" t="str">
        <f>HYPERLINK("https://pbs.twimg.com/profile_images/962471262747529216/Uo8lOkRJ_normal.jpg","View")</f>
        <v>View</v>
      </c>
      <c r="P8493" s="7"/>
    </row>
    <row r="8494" spans="1:16">
      <c r="A8494" s="3">
        <v>44052.079988425925</v>
      </c>
      <c r="B8494" s="4" t="str">
        <f>HYPERLINK("https://twitter.com/petrogustavo","@petrogustavo")</f>
        <v>@petrogustavo</v>
      </c>
      <c r="C8494" s="5" t="s">
        <v>16</v>
      </c>
      <c r="D8494" s="5" t="s">
        <v>8179</v>
      </c>
      <c r="E8494" s="6" t="str">
        <f>HYPERLINK("https://twitter.com/petrogustavo/status/1292195171975692289","1292195171975692289")</f>
        <v>1292195171975692289</v>
      </c>
      <c r="F8494" s="7" t="s">
        <v>17</v>
      </c>
      <c r="G8494" s="7">
        <v>3931022</v>
      </c>
      <c r="H8494" s="7">
        <v>2424</v>
      </c>
      <c r="I8494" s="7">
        <v>173</v>
      </c>
      <c r="J8494" s="7">
        <v>369</v>
      </c>
      <c r="K8494" s="7" t="s">
        <v>18</v>
      </c>
      <c r="L8494" s="8">
        <v>39987.315405092595</v>
      </c>
      <c r="M8494" s="9" t="s">
        <v>19</v>
      </c>
      <c r="N8494" s="9" t="s">
        <v>20</v>
      </c>
      <c r="O8494" s="6" t="str">
        <f>HYPERLINK("https://pbs.twimg.com/profile_images/962471262747529216/Uo8lOkRJ_normal.jpg","View")</f>
        <v>View</v>
      </c>
      <c r="P8494" s="7"/>
    </row>
    <row r="8495" spans="1:16">
      <c r="A8495" s="3">
        <v>44052.131747685184</v>
      </c>
      <c r="B8495" s="4" t="str">
        <f>HYPERLINK("https://twitter.com/petrogustavo","@petrogustavo")</f>
        <v>@petrogustavo</v>
      </c>
      <c r="C8495" s="5" t="s">
        <v>16</v>
      </c>
      <c r="D8495" s="5" t="s">
        <v>8180</v>
      </c>
      <c r="E8495" s="6" t="str">
        <f>HYPERLINK("https://twitter.com/petrogustavo/status/1292213929012342785","1292213929012342785")</f>
        <v>1292213929012342785</v>
      </c>
      <c r="F8495" s="7" t="s">
        <v>17</v>
      </c>
      <c r="G8495" s="7">
        <v>3931111</v>
      </c>
      <c r="H8495" s="7">
        <v>2424</v>
      </c>
      <c r="I8495" s="7">
        <v>161</v>
      </c>
      <c r="J8495" s="7">
        <v>483</v>
      </c>
      <c r="K8495" s="7" t="s">
        <v>18</v>
      </c>
      <c r="L8495" s="8">
        <v>39987.315405092595</v>
      </c>
      <c r="M8495" s="9" t="s">
        <v>19</v>
      </c>
      <c r="N8495" s="9" t="s">
        <v>20</v>
      </c>
      <c r="O8495" s="6" t="str">
        <f>HYPERLINK("https://pbs.twimg.com/profile_images/962471262747529216/Uo8lOkRJ_normal.jpg","View")</f>
        <v>View</v>
      </c>
      <c r="P8495" s="7"/>
    </row>
    <row r="8496" spans="1:16">
      <c r="A8496" s="3">
        <v>44052.335729166662</v>
      </c>
      <c r="B8496" s="4" t="str">
        <f>HYPERLINK("https://twitter.com/petrogustavo","@petrogustavo")</f>
        <v>@petrogustavo</v>
      </c>
      <c r="C8496" s="5" t="s">
        <v>16</v>
      </c>
      <c r="D8496" s="5" t="s">
        <v>8163</v>
      </c>
      <c r="E8496" s="6" t="str">
        <f>HYPERLINK("https://twitter.com/petrogustavo/status/1292287850554302464","1292287850554302464")</f>
        <v>1292287850554302464</v>
      </c>
      <c r="F8496" s="7" t="s">
        <v>17</v>
      </c>
      <c r="G8496" s="7">
        <v>3931453</v>
      </c>
      <c r="H8496" s="7">
        <v>2424</v>
      </c>
      <c r="I8496" s="7">
        <v>1625</v>
      </c>
      <c r="J8496" s="7">
        <v>0</v>
      </c>
      <c r="K8496" s="7" t="s">
        <v>18</v>
      </c>
      <c r="L8496" s="8">
        <v>39987.315405092595</v>
      </c>
      <c r="M8496" s="9" t="s">
        <v>19</v>
      </c>
      <c r="N8496" s="9" t="s">
        <v>20</v>
      </c>
      <c r="O8496" s="6" t="str">
        <f>HYPERLINK("https://pbs.twimg.com/profile_images/962471262747529216/Uo8lOkRJ_normal.jpg","View")</f>
        <v>View</v>
      </c>
      <c r="P8496" s="7"/>
    </row>
    <row r="8497" spans="1:16">
      <c r="A8497" s="3">
        <v>44052.335821759261</v>
      </c>
      <c r="B8497" s="4" t="str">
        <f>HYPERLINK("https://twitter.com/petrogustavo","@petrogustavo")</f>
        <v>@petrogustavo</v>
      </c>
      <c r="C8497" s="5" t="s">
        <v>16</v>
      </c>
      <c r="D8497" s="5" t="s">
        <v>8164</v>
      </c>
      <c r="E8497" s="6" t="str">
        <f>HYPERLINK("https://twitter.com/petrogustavo/status/1292287882896515072","1292287882896515072")</f>
        <v>1292287882896515072</v>
      </c>
      <c r="F8497" s="7" t="s">
        <v>17</v>
      </c>
      <c r="G8497" s="7">
        <v>3931453</v>
      </c>
      <c r="H8497" s="7">
        <v>2424</v>
      </c>
      <c r="I8497" s="7">
        <v>634</v>
      </c>
      <c r="J8497" s="7">
        <v>0</v>
      </c>
      <c r="K8497" s="7" t="s">
        <v>18</v>
      </c>
      <c r="L8497" s="8">
        <v>39987.315405092595</v>
      </c>
      <c r="M8497" s="9" t="s">
        <v>19</v>
      </c>
      <c r="N8497" s="9" t="s">
        <v>20</v>
      </c>
      <c r="O8497" s="6" t="str">
        <f>HYPERLINK("https://pbs.twimg.com/profile_images/962471262747529216/Uo8lOkRJ_normal.jpg","View")</f>
        <v>View</v>
      </c>
      <c r="P8497" s="7"/>
    </row>
    <row r="8498" spans="1:16">
      <c r="A8498" s="3">
        <v>44052.33592592593</v>
      </c>
      <c r="B8498" s="4" t="str">
        <f>HYPERLINK("https://twitter.com/petrogustavo","@petrogustavo")</f>
        <v>@petrogustavo</v>
      </c>
      <c r="C8498" s="5" t="s">
        <v>16</v>
      </c>
      <c r="D8498" s="5" t="s">
        <v>8165</v>
      </c>
      <c r="E8498" s="6" t="str">
        <f>HYPERLINK("https://twitter.com/petrogustavo/status/1292287921161199617","1292287921161199617")</f>
        <v>1292287921161199617</v>
      </c>
      <c r="F8498" s="7" t="s">
        <v>17</v>
      </c>
      <c r="G8498" s="7">
        <v>3931453</v>
      </c>
      <c r="H8498" s="7">
        <v>2424</v>
      </c>
      <c r="I8498" s="7">
        <v>1054</v>
      </c>
      <c r="J8498" s="7">
        <v>0</v>
      </c>
      <c r="K8498" s="7" t="s">
        <v>18</v>
      </c>
      <c r="L8498" s="8">
        <v>39987.315405092595</v>
      </c>
      <c r="M8498" s="9" t="s">
        <v>19</v>
      </c>
      <c r="N8498" s="9" t="s">
        <v>20</v>
      </c>
      <c r="O8498" s="6" t="str">
        <f>HYPERLINK("https://pbs.twimg.com/profile_images/962471262747529216/Uo8lOkRJ_normal.jpg","View")</f>
        <v>View</v>
      </c>
      <c r="P8498" s="7"/>
    </row>
    <row r="8499" spans="1:16">
      <c r="A8499" s="3">
        <v>44052.777650462958</v>
      </c>
      <c r="B8499" s="4" t="str">
        <f>HYPERLINK("https://twitter.com/petrogustavo","@petrogustavo")</f>
        <v>@petrogustavo</v>
      </c>
      <c r="C8499" s="5" t="s">
        <v>16</v>
      </c>
      <c r="D8499" s="5" t="s">
        <v>8181</v>
      </c>
      <c r="E8499" s="6" t="str">
        <f>HYPERLINK("https://twitter.com/petrogustavo/status/1292447997066973185","1292447997066973185")</f>
        <v>1292447997066973185</v>
      </c>
      <c r="F8499" s="7" t="s">
        <v>32</v>
      </c>
      <c r="G8499" s="7">
        <v>3931712</v>
      </c>
      <c r="H8499" s="7">
        <v>2424</v>
      </c>
      <c r="I8499" s="7">
        <v>35</v>
      </c>
      <c r="J8499" s="7">
        <v>113</v>
      </c>
      <c r="K8499" s="7" t="s">
        <v>18</v>
      </c>
      <c r="L8499" s="8">
        <v>39987.315405092595</v>
      </c>
      <c r="M8499" s="9" t="s">
        <v>19</v>
      </c>
      <c r="N8499" s="9" t="s">
        <v>20</v>
      </c>
      <c r="O8499" s="6" t="str">
        <f>HYPERLINK("https://pbs.twimg.com/profile_images/962471262747529216/Uo8lOkRJ_normal.jpg","View")</f>
        <v>View</v>
      </c>
      <c r="P8499" s="7"/>
    </row>
    <row r="8500" spans="1:16">
      <c r="A8500" s="3">
        <v>44052.778634259259</v>
      </c>
      <c r="B8500" s="4" t="str">
        <f>HYPERLINK("https://twitter.com/petrogustavo","@petrogustavo")</f>
        <v>@petrogustavo</v>
      </c>
      <c r="C8500" s="5" t="s">
        <v>16</v>
      </c>
      <c r="D8500" s="5" t="s">
        <v>8182</v>
      </c>
      <c r="E8500" s="6" t="str">
        <f>HYPERLINK("https://twitter.com/petrogustavo/status/1292448351493992450","1292448351493992450")</f>
        <v>1292448351493992450</v>
      </c>
      <c r="F8500" s="7" t="s">
        <v>32</v>
      </c>
      <c r="G8500" s="7">
        <v>3931712</v>
      </c>
      <c r="H8500" s="7">
        <v>2424</v>
      </c>
      <c r="I8500" s="7">
        <v>100</v>
      </c>
      <c r="J8500" s="7">
        <v>0</v>
      </c>
      <c r="K8500" s="7" t="s">
        <v>18</v>
      </c>
      <c r="L8500" s="8">
        <v>39987.315405092595</v>
      </c>
      <c r="M8500" s="9" t="s">
        <v>19</v>
      </c>
      <c r="N8500" s="9" t="s">
        <v>20</v>
      </c>
      <c r="O8500" s="6" t="str">
        <f>HYPERLINK("https://pbs.twimg.com/profile_images/962471262747529216/Uo8lOkRJ_normal.jpg","View")</f>
        <v>View</v>
      </c>
      <c r="P8500" s="7"/>
    </row>
    <row r="8501" spans="1:16">
      <c r="A8501" s="3">
        <v>44052.780729166669</v>
      </c>
      <c r="B8501" s="4" t="str">
        <f>HYPERLINK("https://twitter.com/petrogustavo","@petrogustavo")</f>
        <v>@petrogustavo</v>
      </c>
      <c r="C8501" s="5" t="s">
        <v>16</v>
      </c>
      <c r="D8501" s="5" t="s">
        <v>8183</v>
      </c>
      <c r="E8501" s="6" t="str">
        <f>HYPERLINK("https://twitter.com/petrogustavo/status/1292449112219160578","1292449112219160578")</f>
        <v>1292449112219160578</v>
      </c>
      <c r="F8501" s="7" t="s">
        <v>32</v>
      </c>
      <c r="G8501" s="7">
        <v>3931712</v>
      </c>
      <c r="H8501" s="7">
        <v>2424</v>
      </c>
      <c r="I8501" s="7">
        <v>58</v>
      </c>
      <c r="J8501" s="7">
        <v>158</v>
      </c>
      <c r="K8501" s="7" t="s">
        <v>18</v>
      </c>
      <c r="L8501" s="8">
        <v>39987.315405092595</v>
      </c>
      <c r="M8501" s="9" t="s">
        <v>19</v>
      </c>
      <c r="N8501" s="9" t="s">
        <v>20</v>
      </c>
      <c r="O8501" s="6" t="str">
        <f>HYPERLINK("https://pbs.twimg.com/profile_images/962471262747529216/Uo8lOkRJ_normal.jpg","View")</f>
        <v>View</v>
      </c>
      <c r="P8501" s="7"/>
    </row>
    <row r="8502" spans="1:16">
      <c r="A8502" s="3">
        <v>44052.82340277778</v>
      </c>
      <c r="B8502" s="4" t="str">
        <f>HYPERLINK("https://twitter.com/petrogustavo","@petrogustavo")</f>
        <v>@petrogustavo</v>
      </c>
      <c r="C8502" s="5" t="s">
        <v>16</v>
      </c>
      <c r="D8502" s="5" t="s">
        <v>8184</v>
      </c>
      <c r="E8502" s="6" t="str">
        <f>HYPERLINK("https://twitter.com/petrogustavo/status/1292464575468703744","1292464575468703744")</f>
        <v>1292464575468703744</v>
      </c>
      <c r="F8502" s="7" t="s">
        <v>32</v>
      </c>
      <c r="G8502" s="7">
        <v>3931777</v>
      </c>
      <c r="H8502" s="7">
        <v>2424</v>
      </c>
      <c r="I8502" s="7">
        <v>13</v>
      </c>
      <c r="J8502" s="7">
        <v>31</v>
      </c>
      <c r="K8502" s="7" t="s">
        <v>18</v>
      </c>
      <c r="L8502" s="8">
        <v>39987.315405092595</v>
      </c>
      <c r="M8502" s="9" t="s">
        <v>19</v>
      </c>
      <c r="N8502" s="9" t="s">
        <v>20</v>
      </c>
      <c r="O8502" s="6" t="str">
        <f>HYPERLINK("https://pbs.twimg.com/profile_images/962471262747529216/Uo8lOkRJ_normal.jpg","View")</f>
        <v>View</v>
      </c>
      <c r="P8502" s="7"/>
    </row>
    <row r="8503" spans="1:16">
      <c r="A8503" s="3">
        <v>44052.879664351851</v>
      </c>
      <c r="B8503" s="4" t="str">
        <f>HYPERLINK("https://twitter.com/petrogustavo","@petrogustavo")</f>
        <v>@petrogustavo</v>
      </c>
      <c r="C8503" s="5" t="s">
        <v>16</v>
      </c>
      <c r="D8503" s="5" t="s">
        <v>8185</v>
      </c>
      <c r="E8503" s="6" t="str">
        <f>HYPERLINK("https://twitter.com/petrogustavo/status/1292484963573608449","1292484963573608449")</f>
        <v>1292484963573608449</v>
      </c>
      <c r="F8503" s="7" t="s">
        <v>32</v>
      </c>
      <c r="G8503" s="7">
        <v>3931881</v>
      </c>
      <c r="H8503" s="7">
        <v>2424</v>
      </c>
      <c r="I8503" s="7">
        <v>71</v>
      </c>
      <c r="J8503" s="7">
        <v>235</v>
      </c>
      <c r="K8503" s="7" t="s">
        <v>18</v>
      </c>
      <c r="L8503" s="8">
        <v>39987.315405092595</v>
      </c>
      <c r="M8503" s="9" t="s">
        <v>19</v>
      </c>
      <c r="N8503" s="9" t="s">
        <v>20</v>
      </c>
      <c r="O8503" s="6" t="str">
        <f>HYPERLINK("https://pbs.twimg.com/profile_images/962471262747529216/Uo8lOkRJ_normal.jpg","View")</f>
        <v>View</v>
      </c>
      <c r="P8503" s="7"/>
    </row>
    <row r="8504" spans="1:16">
      <c r="A8504" s="3">
        <v>44053.0075</v>
      </c>
      <c r="B8504" s="4" t="str">
        <f>HYPERLINK("https://twitter.com/petrogustavo","@petrogustavo")</f>
        <v>@petrogustavo</v>
      </c>
      <c r="C8504" s="5" t="s">
        <v>16</v>
      </c>
      <c r="D8504" s="5" t="s">
        <v>8186</v>
      </c>
      <c r="E8504" s="6" t="str">
        <f>HYPERLINK("https://twitter.com/petrogustavo/status/1292531290663788552","1292531290663788552")</f>
        <v>1292531290663788552</v>
      </c>
      <c r="F8504" s="7" t="s">
        <v>17</v>
      </c>
      <c r="G8504" s="7">
        <v>3932135</v>
      </c>
      <c r="H8504" s="7">
        <v>2424</v>
      </c>
      <c r="I8504" s="7">
        <v>191</v>
      </c>
      <c r="J8504" s="7">
        <v>437</v>
      </c>
      <c r="K8504" s="7" t="s">
        <v>18</v>
      </c>
      <c r="L8504" s="8">
        <v>39987.315405092595</v>
      </c>
      <c r="M8504" s="9" t="s">
        <v>19</v>
      </c>
      <c r="N8504" s="9" t="s">
        <v>20</v>
      </c>
      <c r="O8504" s="6" t="str">
        <f>HYPERLINK("https://pbs.twimg.com/profile_images/962471262747529216/Uo8lOkRJ_normal.jpg","View")</f>
        <v>View</v>
      </c>
      <c r="P8504" s="7"/>
    </row>
    <row r="8505" spans="1:16">
      <c r="A8505" s="3">
        <v>44053.011597222227</v>
      </c>
      <c r="B8505" s="4" t="str">
        <f>HYPERLINK("https://twitter.com/petrogustavo","@petrogustavo")</f>
        <v>@petrogustavo</v>
      </c>
      <c r="C8505" s="5" t="s">
        <v>16</v>
      </c>
      <c r="D8505" s="5" t="s">
        <v>8187</v>
      </c>
      <c r="E8505" s="6" t="str">
        <f>HYPERLINK("https://twitter.com/petrogustavo/status/1292532773991796741","1292532773991796741")</f>
        <v>1292532773991796741</v>
      </c>
      <c r="F8505" s="7" t="s">
        <v>17</v>
      </c>
      <c r="G8505" s="7">
        <v>3932135</v>
      </c>
      <c r="H8505" s="7">
        <v>2424</v>
      </c>
      <c r="I8505" s="7">
        <v>16</v>
      </c>
      <c r="J8505" s="7">
        <v>46</v>
      </c>
      <c r="K8505" s="7" t="s">
        <v>18</v>
      </c>
      <c r="L8505" s="8">
        <v>39987.315405092595</v>
      </c>
      <c r="M8505" s="9" t="s">
        <v>19</v>
      </c>
      <c r="N8505" s="9" t="s">
        <v>20</v>
      </c>
      <c r="O8505" s="6" t="str">
        <f>HYPERLINK("https://pbs.twimg.com/profile_images/962471262747529216/Uo8lOkRJ_normal.jpg","View")</f>
        <v>View</v>
      </c>
      <c r="P8505" s="7"/>
    </row>
    <row r="8506" spans="1:16">
      <c r="A8506" s="3">
        <v>44053.020949074074</v>
      </c>
      <c r="B8506" s="4" t="str">
        <f>HYPERLINK("https://twitter.com/petrogustavo","@petrogustavo")</f>
        <v>@petrogustavo</v>
      </c>
      <c r="C8506" s="5" t="s">
        <v>16</v>
      </c>
      <c r="D8506" s="5" t="s">
        <v>8188</v>
      </c>
      <c r="E8506" s="6" t="str">
        <f>HYPERLINK("https://twitter.com/petrogustavo/status/1292536165850140672","1292536165850140672")</f>
        <v>1292536165850140672</v>
      </c>
      <c r="F8506" s="7" t="s">
        <v>17</v>
      </c>
      <c r="G8506" s="7">
        <v>3932174</v>
      </c>
      <c r="H8506" s="7">
        <v>2424</v>
      </c>
      <c r="I8506" s="7">
        <v>2295</v>
      </c>
      <c r="J8506" s="7">
        <v>0</v>
      </c>
      <c r="K8506" s="7" t="s">
        <v>18</v>
      </c>
      <c r="L8506" s="8">
        <v>39987.315405092595</v>
      </c>
      <c r="M8506" s="9" t="s">
        <v>19</v>
      </c>
      <c r="N8506" s="9" t="s">
        <v>20</v>
      </c>
      <c r="O8506" s="6" t="str">
        <f>HYPERLINK("https://pbs.twimg.com/profile_images/962471262747529216/Uo8lOkRJ_normal.jpg","View")</f>
        <v>View</v>
      </c>
      <c r="P8506" s="7"/>
    </row>
    <row r="8507" spans="1:16">
      <c r="A8507" s="3">
        <v>44053.021087962959</v>
      </c>
      <c r="B8507" s="4" t="str">
        <f>HYPERLINK("https://twitter.com/petrogustavo","@petrogustavo")</f>
        <v>@petrogustavo</v>
      </c>
      <c r="C8507" s="5" t="s">
        <v>16</v>
      </c>
      <c r="D8507" s="5" t="s">
        <v>8189</v>
      </c>
      <c r="E8507" s="6" t="str">
        <f>HYPERLINK("https://twitter.com/petrogustavo/status/1292536214499790848","1292536214499790848")</f>
        <v>1292536214499790848</v>
      </c>
      <c r="F8507" s="7" t="s">
        <v>17</v>
      </c>
      <c r="G8507" s="7">
        <v>3932174</v>
      </c>
      <c r="H8507" s="7">
        <v>2424</v>
      </c>
      <c r="I8507" s="7">
        <v>844</v>
      </c>
      <c r="J8507" s="7">
        <v>0</v>
      </c>
      <c r="K8507" s="7" t="s">
        <v>18</v>
      </c>
      <c r="L8507" s="8">
        <v>39987.315405092595</v>
      </c>
      <c r="M8507" s="9" t="s">
        <v>19</v>
      </c>
      <c r="N8507" s="9" t="s">
        <v>20</v>
      </c>
      <c r="O8507" s="6" t="str">
        <f>HYPERLINK("https://pbs.twimg.com/profile_images/962471262747529216/Uo8lOkRJ_normal.jpg","View")</f>
        <v>View</v>
      </c>
      <c r="P8507" s="7"/>
    </row>
    <row r="8508" spans="1:16">
      <c r="A8508" s="3">
        <v>44053.021168981482</v>
      </c>
      <c r="B8508" s="4" t="str">
        <f>HYPERLINK("https://twitter.com/petrogustavo","@petrogustavo")</f>
        <v>@petrogustavo</v>
      </c>
      <c r="C8508" s="5" t="s">
        <v>16</v>
      </c>
      <c r="D8508" s="5" t="s">
        <v>8190</v>
      </c>
      <c r="E8508" s="6" t="str">
        <f>HYPERLINK("https://twitter.com/petrogustavo/status/1292536244036145154","1292536244036145154")</f>
        <v>1292536244036145154</v>
      </c>
      <c r="F8508" s="7" t="s">
        <v>17</v>
      </c>
      <c r="G8508" s="7">
        <v>3932174</v>
      </c>
      <c r="H8508" s="7">
        <v>2424</v>
      </c>
      <c r="I8508" s="7">
        <v>1108</v>
      </c>
      <c r="J8508" s="7">
        <v>0</v>
      </c>
      <c r="K8508" s="7" t="s">
        <v>18</v>
      </c>
      <c r="L8508" s="8">
        <v>39987.315405092595</v>
      </c>
      <c r="M8508" s="9" t="s">
        <v>19</v>
      </c>
      <c r="N8508" s="9" t="s">
        <v>20</v>
      </c>
      <c r="O8508" s="6" t="str">
        <f>HYPERLINK("https://pbs.twimg.com/profile_images/962471262747529216/Uo8lOkRJ_normal.jpg","View")</f>
        <v>View</v>
      </c>
      <c r="P8508" s="7"/>
    </row>
    <row r="8509" spans="1:16">
      <c r="A8509" s="3">
        <v>44053.022986111115</v>
      </c>
      <c r="B8509" s="4" t="str">
        <f>HYPERLINK("https://twitter.com/petrogustavo","@petrogustavo")</f>
        <v>@petrogustavo</v>
      </c>
      <c r="C8509" s="5" t="s">
        <v>16</v>
      </c>
      <c r="D8509" s="5" t="s">
        <v>8191</v>
      </c>
      <c r="E8509" s="6" t="str">
        <f>HYPERLINK("https://twitter.com/petrogustavo/status/1292536904383168513","1292536904383168513")</f>
        <v>1292536904383168513</v>
      </c>
      <c r="F8509" s="7" t="s">
        <v>17</v>
      </c>
      <c r="G8509" s="7">
        <v>3932174</v>
      </c>
      <c r="H8509" s="7">
        <v>2424</v>
      </c>
      <c r="I8509" s="7">
        <v>152</v>
      </c>
      <c r="J8509" s="7">
        <v>340</v>
      </c>
      <c r="K8509" s="7" t="s">
        <v>18</v>
      </c>
      <c r="L8509" s="8">
        <v>39987.315405092595</v>
      </c>
      <c r="M8509" s="9" t="s">
        <v>19</v>
      </c>
      <c r="N8509" s="9" t="s">
        <v>20</v>
      </c>
      <c r="O8509" s="6" t="str">
        <f>HYPERLINK("https://pbs.twimg.com/profile_images/962471262747529216/Uo8lOkRJ_normal.jpg","View")</f>
        <v>View</v>
      </c>
      <c r="P8509" s="7"/>
    </row>
    <row r="8510" spans="1:16">
      <c r="A8510" s="3">
        <v>44053.078009259261</v>
      </c>
      <c r="B8510" s="4" t="str">
        <f>HYPERLINK("https://twitter.com/petrogustavo","@petrogustavo")</f>
        <v>@petrogustavo</v>
      </c>
      <c r="C8510" s="5" t="s">
        <v>16</v>
      </c>
      <c r="D8510" s="5" t="s">
        <v>8192</v>
      </c>
      <c r="E8510" s="6" t="str">
        <f>HYPERLINK("https://twitter.com/petrogustavo/status/1292556841197752324","1292556841197752324")</f>
        <v>1292556841197752324</v>
      </c>
      <c r="F8510" s="7" t="s">
        <v>17</v>
      </c>
      <c r="G8510" s="7">
        <v>3932252</v>
      </c>
      <c r="H8510" s="7">
        <v>2424</v>
      </c>
      <c r="I8510" s="7">
        <v>237</v>
      </c>
      <c r="J8510" s="7">
        <v>711</v>
      </c>
      <c r="K8510" s="7" t="s">
        <v>18</v>
      </c>
      <c r="L8510" s="8">
        <v>39987.315405092595</v>
      </c>
      <c r="M8510" s="9" t="s">
        <v>19</v>
      </c>
      <c r="N8510" s="9" t="s">
        <v>20</v>
      </c>
      <c r="O8510" s="6" t="str">
        <f>HYPERLINK("https://pbs.twimg.com/profile_images/962471262747529216/Uo8lOkRJ_normal.jpg","View")</f>
        <v>View</v>
      </c>
      <c r="P8510" s="7"/>
    </row>
    <row r="8511" spans="1:16">
      <c r="A8511" s="3">
        <v>44053.143414351856</v>
      </c>
      <c r="B8511" s="4" t="str">
        <f>HYPERLINK("https://twitter.com/petrogustavo","@petrogustavo")</f>
        <v>@petrogustavo</v>
      </c>
      <c r="C8511" s="5" t="s">
        <v>16</v>
      </c>
      <c r="D8511" s="5" t="s">
        <v>8193</v>
      </c>
      <c r="E8511" s="6" t="str">
        <f>HYPERLINK("https://twitter.com/petrogustavo/status/1292580542857261056","1292580542857261056")</f>
        <v>1292580542857261056</v>
      </c>
      <c r="F8511" s="7" t="s">
        <v>32</v>
      </c>
      <c r="G8511" s="7">
        <v>3932343</v>
      </c>
      <c r="H8511" s="7">
        <v>2424</v>
      </c>
      <c r="I8511" s="7">
        <v>221</v>
      </c>
      <c r="J8511" s="7">
        <v>0</v>
      </c>
      <c r="K8511" s="7" t="s">
        <v>18</v>
      </c>
      <c r="L8511" s="8">
        <v>39987.315405092595</v>
      </c>
      <c r="M8511" s="9" t="s">
        <v>19</v>
      </c>
      <c r="N8511" s="9" t="s">
        <v>20</v>
      </c>
      <c r="O8511" s="6" t="str">
        <f>HYPERLINK("https://pbs.twimg.com/profile_images/962471262747529216/Uo8lOkRJ_normal.jpg","View")</f>
        <v>View</v>
      </c>
      <c r="P8511" s="7"/>
    </row>
    <row r="8512" spans="1:16">
      <c r="A8512" s="3">
        <v>44053.147673611107</v>
      </c>
      <c r="B8512" s="4" t="str">
        <f>HYPERLINK("https://twitter.com/petrogustavo","@petrogustavo")</f>
        <v>@petrogustavo</v>
      </c>
      <c r="C8512" s="5" t="s">
        <v>16</v>
      </c>
      <c r="D8512" s="5" t="s">
        <v>8194</v>
      </c>
      <c r="E8512" s="6" t="str">
        <f>HYPERLINK("https://twitter.com/petrogustavo/status/1292582088995229698","1292582088995229698")</f>
        <v>1292582088995229698</v>
      </c>
      <c r="F8512" s="7" t="s">
        <v>32</v>
      </c>
      <c r="G8512" s="7">
        <v>3932343</v>
      </c>
      <c r="H8512" s="7">
        <v>2424</v>
      </c>
      <c r="I8512" s="7">
        <v>165</v>
      </c>
      <c r="J8512" s="7">
        <v>335</v>
      </c>
      <c r="K8512" s="7" t="s">
        <v>18</v>
      </c>
      <c r="L8512" s="8">
        <v>39987.315405092595</v>
      </c>
      <c r="M8512" s="9" t="s">
        <v>19</v>
      </c>
      <c r="N8512" s="9" t="s">
        <v>20</v>
      </c>
      <c r="O8512" s="6" t="str">
        <f>HYPERLINK("https://pbs.twimg.com/profile_images/962471262747529216/Uo8lOkRJ_normal.jpg","View")</f>
        <v>View</v>
      </c>
      <c r="P8512" s="7"/>
    </row>
    <row r="8513" spans="1:16">
      <c r="A8513" s="3">
        <v>44053.159328703703</v>
      </c>
      <c r="B8513" s="4" t="str">
        <f>HYPERLINK("https://twitter.com/petrogustavo","@petrogustavo")</f>
        <v>@petrogustavo</v>
      </c>
      <c r="C8513" s="5" t="s">
        <v>16</v>
      </c>
      <c r="D8513" s="5" t="s">
        <v>8195</v>
      </c>
      <c r="E8513" s="6" t="str">
        <f>HYPERLINK("https://twitter.com/petrogustavo/status/1292586312445329414","1292586312445329414")</f>
        <v>1292586312445329414</v>
      </c>
      <c r="F8513" s="7" t="s">
        <v>32</v>
      </c>
      <c r="G8513" s="7">
        <v>3932372</v>
      </c>
      <c r="H8513" s="7">
        <v>2424</v>
      </c>
      <c r="I8513" s="7">
        <v>283</v>
      </c>
      <c r="J8513" s="7">
        <v>809</v>
      </c>
      <c r="K8513" s="7" t="s">
        <v>18</v>
      </c>
      <c r="L8513" s="8">
        <v>39987.315405092595</v>
      </c>
      <c r="M8513" s="9" t="s">
        <v>19</v>
      </c>
      <c r="N8513" s="9" t="s">
        <v>20</v>
      </c>
      <c r="O8513" s="6" t="str">
        <f>HYPERLINK("https://pbs.twimg.com/profile_images/962471262747529216/Uo8lOkRJ_normal.jpg","View")</f>
        <v>View</v>
      </c>
      <c r="P8513" s="7"/>
    </row>
    <row r="8514" spans="1:16">
      <c r="A8514" s="3">
        <v>44053.334664351853</v>
      </c>
      <c r="B8514" s="4" t="str">
        <f>HYPERLINK("https://twitter.com/petrogustavo","@petrogustavo")</f>
        <v>@petrogustavo</v>
      </c>
      <c r="C8514" s="5" t="s">
        <v>16</v>
      </c>
      <c r="D8514" s="5" t="s">
        <v>8196</v>
      </c>
      <c r="E8514" s="6" t="str">
        <f>HYPERLINK("https://twitter.com/petrogustavo/status/1292649850312499200","1292649850312499200")</f>
        <v>1292649850312499200</v>
      </c>
      <c r="F8514" s="7" t="s">
        <v>17</v>
      </c>
      <c r="G8514" s="7">
        <v>3932626</v>
      </c>
      <c r="H8514" s="7">
        <v>2424</v>
      </c>
      <c r="I8514" s="7">
        <v>79</v>
      </c>
      <c r="J8514" s="7">
        <v>0</v>
      </c>
      <c r="K8514" s="7" t="s">
        <v>18</v>
      </c>
      <c r="L8514" s="8">
        <v>39987.315405092595</v>
      </c>
      <c r="M8514" s="9" t="s">
        <v>19</v>
      </c>
      <c r="N8514" s="9" t="s">
        <v>20</v>
      </c>
      <c r="O8514" s="6" t="str">
        <f>HYPERLINK("https://pbs.twimg.com/profile_images/962471262747529216/Uo8lOkRJ_normal.jpg","View")</f>
        <v>View</v>
      </c>
      <c r="P8514" s="7"/>
    </row>
    <row r="8515" spans="1:16">
      <c r="A8515" s="3">
        <v>44053.335509259261</v>
      </c>
      <c r="B8515" s="4" t="str">
        <f>HYPERLINK("https://twitter.com/petrogustavo","@petrogustavo")</f>
        <v>@petrogustavo</v>
      </c>
      <c r="C8515" s="5" t="s">
        <v>16</v>
      </c>
      <c r="D8515" s="5" t="s">
        <v>8197</v>
      </c>
      <c r="E8515" s="6" t="str">
        <f>HYPERLINK("https://twitter.com/petrogustavo/status/1292650157692129280","1292650157692129280")</f>
        <v>1292650157692129280</v>
      </c>
      <c r="F8515" s="7" t="s">
        <v>17</v>
      </c>
      <c r="G8515" s="7">
        <v>3932626</v>
      </c>
      <c r="H8515" s="7">
        <v>2424</v>
      </c>
      <c r="I8515" s="7">
        <v>36</v>
      </c>
      <c r="J8515" s="7">
        <v>0</v>
      </c>
      <c r="K8515" s="7" t="s">
        <v>18</v>
      </c>
      <c r="L8515" s="8">
        <v>39987.315405092595</v>
      </c>
      <c r="M8515" s="9" t="s">
        <v>19</v>
      </c>
      <c r="N8515" s="9" t="s">
        <v>20</v>
      </c>
      <c r="O8515" s="6" t="str">
        <f>HYPERLINK("https://pbs.twimg.com/profile_images/962471262747529216/Uo8lOkRJ_normal.jpg","View")</f>
        <v>View</v>
      </c>
      <c r="P8515" s="7"/>
    </row>
    <row r="8516" spans="1:16">
      <c r="A8516" s="3">
        <v>44053.336076388892</v>
      </c>
      <c r="B8516" s="4" t="str">
        <f>HYPERLINK("https://twitter.com/petrogustavo","@petrogustavo")</f>
        <v>@petrogustavo</v>
      </c>
      <c r="C8516" s="5" t="s">
        <v>16</v>
      </c>
      <c r="D8516" s="5" t="s">
        <v>8198</v>
      </c>
      <c r="E8516" s="6" t="str">
        <f>HYPERLINK("https://twitter.com/petrogustavo/status/1292650361908584448","1292650361908584448")</f>
        <v>1292650361908584448</v>
      </c>
      <c r="F8516" s="7" t="s">
        <v>17</v>
      </c>
      <c r="G8516" s="7">
        <v>3932626</v>
      </c>
      <c r="H8516" s="7">
        <v>2424</v>
      </c>
      <c r="I8516" s="7">
        <v>22</v>
      </c>
      <c r="J8516" s="7">
        <v>0</v>
      </c>
      <c r="K8516" s="7" t="s">
        <v>18</v>
      </c>
      <c r="L8516" s="8">
        <v>39987.315405092595</v>
      </c>
      <c r="M8516" s="9" t="s">
        <v>19</v>
      </c>
      <c r="N8516" s="9" t="s">
        <v>20</v>
      </c>
      <c r="O8516" s="6" t="str">
        <f>HYPERLINK("https://pbs.twimg.com/profile_images/962471262747529216/Uo8lOkRJ_normal.jpg","View")</f>
        <v>View</v>
      </c>
      <c r="P8516" s="7"/>
    </row>
    <row r="8517" spans="1:16">
      <c r="A8517" s="3">
        <v>44053.336747685185</v>
      </c>
      <c r="B8517" s="4" t="str">
        <f>HYPERLINK("https://twitter.com/petrogustavo","@petrogustavo")</f>
        <v>@petrogustavo</v>
      </c>
      <c r="C8517" s="5" t="s">
        <v>16</v>
      </c>
      <c r="D8517" s="5" t="s">
        <v>8199</v>
      </c>
      <c r="E8517" s="6" t="str">
        <f>HYPERLINK("https://twitter.com/petrogustavo/status/1292650606327402498","1292650606327402498")</f>
        <v>1292650606327402498</v>
      </c>
      <c r="F8517" s="7" t="s">
        <v>17</v>
      </c>
      <c r="G8517" s="7">
        <v>3932626</v>
      </c>
      <c r="H8517" s="7">
        <v>2424</v>
      </c>
      <c r="I8517" s="7">
        <v>28</v>
      </c>
      <c r="J8517" s="7">
        <v>0</v>
      </c>
      <c r="K8517" s="7" t="s">
        <v>18</v>
      </c>
      <c r="L8517" s="8">
        <v>39987.315405092595</v>
      </c>
      <c r="M8517" s="9" t="s">
        <v>19</v>
      </c>
      <c r="N8517" s="9" t="s">
        <v>20</v>
      </c>
      <c r="O8517" s="6" t="str">
        <f>HYPERLINK("https://pbs.twimg.com/profile_images/962471262747529216/Uo8lOkRJ_normal.jpg","View")</f>
        <v>View</v>
      </c>
      <c r="P8517" s="7"/>
    </row>
    <row r="8518" spans="1:16">
      <c r="A8518" s="3">
        <v>44053.337233796294</v>
      </c>
      <c r="B8518" s="4" t="str">
        <f>HYPERLINK("https://twitter.com/petrogustavo","@petrogustavo")</f>
        <v>@petrogustavo</v>
      </c>
      <c r="C8518" s="5" t="s">
        <v>16</v>
      </c>
      <c r="D8518" s="5" t="s">
        <v>8200</v>
      </c>
      <c r="E8518" s="6" t="str">
        <f>HYPERLINK("https://twitter.com/petrogustavo/status/1292650780772544513","1292650780772544513")</f>
        <v>1292650780772544513</v>
      </c>
      <c r="F8518" s="7" t="s">
        <v>17</v>
      </c>
      <c r="G8518" s="7">
        <v>3932626</v>
      </c>
      <c r="H8518" s="7">
        <v>2424</v>
      </c>
      <c r="I8518" s="7">
        <v>335</v>
      </c>
      <c r="J8518" s="7">
        <v>0</v>
      </c>
      <c r="K8518" s="7" t="s">
        <v>18</v>
      </c>
      <c r="L8518" s="8">
        <v>39987.315405092595</v>
      </c>
      <c r="M8518" s="9" t="s">
        <v>19</v>
      </c>
      <c r="N8518" s="9" t="s">
        <v>20</v>
      </c>
      <c r="O8518" s="6" t="str">
        <f>HYPERLINK("https://pbs.twimg.com/profile_images/962471262747529216/Uo8lOkRJ_normal.jpg","View")</f>
        <v>View</v>
      </c>
      <c r="P8518" s="7"/>
    </row>
    <row r="8519" spans="1:16">
      <c r="A8519" s="3">
        <v>44053.337916666671</v>
      </c>
      <c r="B8519" s="4" t="str">
        <f>HYPERLINK("https://twitter.com/petrogustavo","@petrogustavo")</f>
        <v>@petrogustavo</v>
      </c>
      <c r="C8519" s="5" t="s">
        <v>16</v>
      </c>
      <c r="D8519" s="5" t="s">
        <v>8201</v>
      </c>
      <c r="E8519" s="6" t="str">
        <f>HYPERLINK("https://twitter.com/petrogustavo/status/1292651030308630528","1292651030308630528")</f>
        <v>1292651030308630528</v>
      </c>
      <c r="F8519" s="7" t="s">
        <v>17</v>
      </c>
      <c r="G8519" s="7">
        <v>3932626</v>
      </c>
      <c r="H8519" s="7">
        <v>2424</v>
      </c>
      <c r="I8519" s="7">
        <v>701</v>
      </c>
      <c r="J8519" s="7">
        <v>0</v>
      </c>
      <c r="K8519" s="7" t="s">
        <v>18</v>
      </c>
      <c r="L8519" s="8">
        <v>39987.315405092595</v>
      </c>
      <c r="M8519" s="9" t="s">
        <v>19</v>
      </c>
      <c r="N8519" s="9" t="s">
        <v>20</v>
      </c>
      <c r="O8519" s="6" t="str">
        <f>HYPERLINK("https://pbs.twimg.com/profile_images/962471262747529216/Uo8lOkRJ_normal.jpg","View")</f>
        <v>View</v>
      </c>
      <c r="P8519" s="7"/>
    </row>
    <row r="8520" spans="1:16">
      <c r="A8520" s="3">
        <v>44053.338437500002</v>
      </c>
      <c r="B8520" s="4" t="str">
        <f>HYPERLINK("https://twitter.com/petrogustavo","@petrogustavo")</f>
        <v>@petrogustavo</v>
      </c>
      <c r="C8520" s="5" t="s">
        <v>16</v>
      </c>
      <c r="D8520" s="5" t="s">
        <v>8202</v>
      </c>
      <c r="E8520" s="6" t="str">
        <f>HYPERLINK("https://twitter.com/petrogustavo/status/1292651219111096320","1292651219111096320")</f>
        <v>1292651219111096320</v>
      </c>
      <c r="F8520" s="7" t="s">
        <v>17</v>
      </c>
      <c r="G8520" s="7">
        <v>3932626</v>
      </c>
      <c r="H8520" s="7">
        <v>2424</v>
      </c>
      <c r="I8520" s="7">
        <v>104</v>
      </c>
      <c r="J8520" s="7">
        <v>0</v>
      </c>
      <c r="K8520" s="7" t="s">
        <v>18</v>
      </c>
      <c r="L8520" s="8">
        <v>39987.315405092595</v>
      </c>
      <c r="M8520" s="9" t="s">
        <v>19</v>
      </c>
      <c r="N8520" s="9" t="s">
        <v>20</v>
      </c>
      <c r="O8520" s="6" t="str">
        <f>HYPERLINK("https://pbs.twimg.com/profile_images/962471262747529216/Uo8lOkRJ_normal.jpg","View")</f>
        <v>View</v>
      </c>
      <c r="P8520" s="7"/>
    </row>
    <row r="8521" spans="1:16">
      <c r="A8521" s="3">
        <v>44053.803310185191</v>
      </c>
      <c r="B8521" s="4" t="str">
        <f>HYPERLINK("https://twitter.com/petrogustavo","@petrogustavo")</f>
        <v>@petrogustavo</v>
      </c>
      <c r="C8521" s="5" t="s">
        <v>16</v>
      </c>
      <c r="D8521" s="5" t="s">
        <v>8203</v>
      </c>
      <c r="E8521" s="6" t="str">
        <f>HYPERLINK("https://twitter.com/petrogustavo/status/1292819683310174210","1292819683310174210")</f>
        <v>1292819683310174210</v>
      </c>
      <c r="F8521" s="7" t="s">
        <v>17</v>
      </c>
      <c r="G8521" s="7">
        <v>3932919</v>
      </c>
      <c r="H8521" s="7">
        <v>2424</v>
      </c>
      <c r="I8521" s="7">
        <v>26</v>
      </c>
      <c r="J8521" s="7">
        <v>57</v>
      </c>
      <c r="K8521" s="7" t="s">
        <v>18</v>
      </c>
      <c r="L8521" s="8">
        <v>39987.315405092595</v>
      </c>
      <c r="M8521" s="9" t="s">
        <v>19</v>
      </c>
      <c r="N8521" s="9" t="s">
        <v>20</v>
      </c>
      <c r="O8521" s="6" t="str">
        <f>HYPERLINK("https://pbs.twimg.com/profile_images/962471262747529216/Uo8lOkRJ_normal.jpg","View")</f>
        <v>View</v>
      </c>
      <c r="P8521" s="7"/>
    </row>
    <row r="8522" spans="1:16">
      <c r="A8522" s="3">
        <v>44054.033287037033</v>
      </c>
      <c r="B8522" s="4" t="str">
        <f>HYPERLINK("https://twitter.com/petrogustavo","@petrogustavo")</f>
        <v>@petrogustavo</v>
      </c>
      <c r="C8522" s="5" t="s">
        <v>16</v>
      </c>
      <c r="D8522" s="5" t="s">
        <v>8204</v>
      </c>
      <c r="E8522" s="6" t="str">
        <f>HYPERLINK("https://twitter.com/petrogustavo/status/1292903024931811334","1292903024931811334")</f>
        <v>1292903024931811334</v>
      </c>
      <c r="F8522" s="7" t="s">
        <v>32</v>
      </c>
      <c r="G8522" s="7">
        <v>3933301</v>
      </c>
      <c r="H8522" s="7">
        <v>2424</v>
      </c>
      <c r="I8522" s="7">
        <v>91</v>
      </c>
      <c r="J8522" s="7">
        <v>0</v>
      </c>
      <c r="K8522" s="7" t="s">
        <v>18</v>
      </c>
      <c r="L8522" s="8">
        <v>39987.315405092595</v>
      </c>
      <c r="M8522" s="9" t="s">
        <v>19</v>
      </c>
      <c r="N8522" s="9" t="s">
        <v>20</v>
      </c>
      <c r="O8522" s="6" t="str">
        <f>HYPERLINK("https://pbs.twimg.com/profile_images/962471262747529216/Uo8lOkRJ_normal.jpg","View")</f>
        <v>View</v>
      </c>
      <c r="P8522" s="7"/>
    </row>
    <row r="8523" spans="1:16">
      <c r="A8523" s="3">
        <v>44054.034618055557</v>
      </c>
      <c r="B8523" s="4" t="str">
        <f>HYPERLINK("https://twitter.com/petrogustavo","@petrogustavo")</f>
        <v>@petrogustavo</v>
      </c>
      <c r="C8523" s="5" t="s">
        <v>16</v>
      </c>
      <c r="D8523" s="5" t="s">
        <v>8205</v>
      </c>
      <c r="E8523" s="6" t="str">
        <f>HYPERLINK("https://twitter.com/petrogustavo/status/1292903505930391561","1292903505930391561")</f>
        <v>1292903505930391561</v>
      </c>
      <c r="F8523" s="7" t="s">
        <v>32</v>
      </c>
      <c r="G8523" s="7">
        <v>3933333</v>
      </c>
      <c r="H8523" s="7">
        <v>2424</v>
      </c>
      <c r="I8523" s="7">
        <v>49</v>
      </c>
      <c r="J8523" s="7">
        <v>0</v>
      </c>
      <c r="K8523" s="7" t="s">
        <v>18</v>
      </c>
      <c r="L8523" s="8">
        <v>39987.315405092595</v>
      </c>
      <c r="M8523" s="9" t="s">
        <v>19</v>
      </c>
      <c r="N8523" s="9" t="s">
        <v>20</v>
      </c>
      <c r="O8523" s="6" t="str">
        <f>HYPERLINK("https://pbs.twimg.com/profile_images/962471262747529216/Uo8lOkRJ_normal.jpg","View")</f>
        <v>View</v>
      </c>
      <c r="P8523" s="7"/>
    </row>
    <row r="8524" spans="1:16">
      <c r="A8524" s="3">
        <v>44054.037372685183</v>
      </c>
      <c r="B8524" s="4" t="str">
        <f>HYPERLINK("https://twitter.com/petrogustavo","@petrogustavo")</f>
        <v>@petrogustavo</v>
      </c>
      <c r="C8524" s="5" t="s">
        <v>16</v>
      </c>
      <c r="D8524" s="5" t="s">
        <v>8206</v>
      </c>
      <c r="E8524" s="6" t="str">
        <f>HYPERLINK("https://twitter.com/petrogustavo/status/1292904504535461893","1292904504535461893")</f>
        <v>1292904504535461893</v>
      </c>
      <c r="F8524" s="7" t="s">
        <v>32</v>
      </c>
      <c r="G8524" s="7">
        <v>3933333</v>
      </c>
      <c r="H8524" s="7">
        <v>2424</v>
      </c>
      <c r="I8524" s="7">
        <v>50</v>
      </c>
      <c r="J8524" s="7">
        <v>0</v>
      </c>
      <c r="K8524" s="7" t="s">
        <v>18</v>
      </c>
      <c r="L8524" s="8">
        <v>39987.315405092595</v>
      </c>
      <c r="M8524" s="9" t="s">
        <v>19</v>
      </c>
      <c r="N8524" s="9" t="s">
        <v>20</v>
      </c>
      <c r="O8524" s="6" t="str">
        <f>HYPERLINK("https://pbs.twimg.com/profile_images/962471262747529216/Uo8lOkRJ_normal.jpg","View")</f>
        <v>View</v>
      </c>
      <c r="P8524" s="7"/>
    </row>
    <row r="8525" spans="1:16">
      <c r="A8525" s="3">
        <v>44054.045254629629</v>
      </c>
      <c r="B8525" s="4" t="str">
        <f>HYPERLINK("https://twitter.com/petrogustavo","@petrogustavo")</f>
        <v>@petrogustavo</v>
      </c>
      <c r="C8525" s="5" t="s">
        <v>16</v>
      </c>
      <c r="D8525" s="5" t="s">
        <v>8207</v>
      </c>
      <c r="E8525" s="6" t="str">
        <f>HYPERLINK("https://twitter.com/petrogustavo/status/1292907359111712768","1292907359111712768")</f>
        <v>1292907359111712768</v>
      </c>
      <c r="F8525" s="7" t="s">
        <v>32</v>
      </c>
      <c r="G8525" s="7">
        <v>3933333</v>
      </c>
      <c r="H8525" s="7">
        <v>2424</v>
      </c>
      <c r="I8525" s="7">
        <v>4015</v>
      </c>
      <c r="J8525" s="7">
        <v>0</v>
      </c>
      <c r="K8525" s="7" t="s">
        <v>18</v>
      </c>
      <c r="L8525" s="8">
        <v>39987.315405092595</v>
      </c>
      <c r="M8525" s="9" t="s">
        <v>19</v>
      </c>
      <c r="N8525" s="9" t="s">
        <v>20</v>
      </c>
      <c r="O8525" s="6" t="str">
        <f>HYPERLINK("https://pbs.twimg.com/profile_images/962471262747529216/Uo8lOkRJ_normal.jpg","View")</f>
        <v>View</v>
      </c>
      <c r="P8525" s="7"/>
    </row>
    <row r="8526" spans="1:16">
      <c r="A8526" s="3">
        <v>44054.077060185184</v>
      </c>
      <c r="B8526" s="4" t="str">
        <f>HYPERLINK("https://twitter.com/petrogustavo","@petrogustavo")</f>
        <v>@petrogustavo</v>
      </c>
      <c r="C8526" s="5" t="s">
        <v>16</v>
      </c>
      <c r="D8526" s="5" t="s">
        <v>8208</v>
      </c>
      <c r="E8526" s="6" t="str">
        <f>HYPERLINK("https://twitter.com/petrogustavo/status/1292918885373665283","1292918885373665283")</f>
        <v>1292918885373665283</v>
      </c>
      <c r="F8526" s="7" t="s">
        <v>32</v>
      </c>
      <c r="G8526" s="7">
        <v>3933377</v>
      </c>
      <c r="H8526" s="7">
        <v>2424</v>
      </c>
      <c r="I8526" s="7">
        <v>83</v>
      </c>
      <c r="J8526" s="7">
        <v>259</v>
      </c>
      <c r="K8526" s="7" t="s">
        <v>18</v>
      </c>
      <c r="L8526" s="8">
        <v>39987.315405092595</v>
      </c>
      <c r="M8526" s="9" t="s">
        <v>19</v>
      </c>
      <c r="N8526" s="9" t="s">
        <v>20</v>
      </c>
      <c r="O8526" s="6" t="str">
        <f>HYPERLINK("https://pbs.twimg.com/profile_images/962471262747529216/Uo8lOkRJ_normal.jpg","View")</f>
        <v>View</v>
      </c>
      <c r="P8526" s="7"/>
    </row>
    <row r="8527" spans="1:16">
      <c r="A8527" s="3">
        <v>44054.317708333328</v>
      </c>
      <c r="B8527" s="4" t="str">
        <f>HYPERLINK("https://twitter.com/petrogustavo","@petrogustavo")</f>
        <v>@petrogustavo</v>
      </c>
      <c r="C8527" s="5" t="s">
        <v>16</v>
      </c>
      <c r="D8527" s="5" t="s">
        <v>8209</v>
      </c>
      <c r="E8527" s="6" t="str">
        <f>HYPERLINK("https://twitter.com/petrogustavo/status/1293006094198091781","1293006094198091781")</f>
        <v>1293006094198091781</v>
      </c>
      <c r="F8527" s="7" t="s">
        <v>17</v>
      </c>
      <c r="G8527" s="7">
        <v>3933650</v>
      </c>
      <c r="H8527" s="7">
        <v>2424</v>
      </c>
      <c r="I8527" s="7">
        <v>1687</v>
      </c>
      <c r="J8527" s="7">
        <v>0</v>
      </c>
      <c r="K8527" s="7" t="s">
        <v>18</v>
      </c>
      <c r="L8527" s="8">
        <v>39987.315405092595</v>
      </c>
      <c r="M8527" s="9" t="s">
        <v>19</v>
      </c>
      <c r="N8527" s="9" t="s">
        <v>20</v>
      </c>
      <c r="O8527" s="6" t="str">
        <f>HYPERLINK("https://pbs.twimg.com/profile_images/962471262747529216/Uo8lOkRJ_normal.jpg","View")</f>
        <v>View</v>
      </c>
      <c r="P8527" s="7"/>
    </row>
    <row r="8528" spans="1:16">
      <c r="A8528" s="3">
        <v>44054.318761574075</v>
      </c>
      <c r="B8528" s="4" t="str">
        <f>HYPERLINK("https://twitter.com/petrogustavo","@petrogustavo")</f>
        <v>@petrogustavo</v>
      </c>
      <c r="C8528" s="5" t="s">
        <v>16</v>
      </c>
      <c r="D8528" s="5" t="s">
        <v>8210</v>
      </c>
      <c r="E8528" s="6" t="str">
        <f>HYPERLINK("https://twitter.com/petrogustavo/status/1293006478001963008","1293006478001963008")</f>
        <v>1293006478001963008</v>
      </c>
      <c r="F8528" s="7" t="s">
        <v>17</v>
      </c>
      <c r="G8528" s="7">
        <v>3933650</v>
      </c>
      <c r="H8528" s="7">
        <v>2424</v>
      </c>
      <c r="I8528" s="7">
        <v>44</v>
      </c>
      <c r="J8528" s="7">
        <v>169</v>
      </c>
      <c r="K8528" s="7" t="s">
        <v>18</v>
      </c>
      <c r="L8528" s="8">
        <v>39987.315405092595</v>
      </c>
      <c r="M8528" s="9" t="s">
        <v>19</v>
      </c>
      <c r="N8528" s="9" t="s">
        <v>20</v>
      </c>
      <c r="O8528" s="6" t="str">
        <f>HYPERLINK("https://pbs.twimg.com/profile_images/962471262747529216/Uo8lOkRJ_normal.jpg","View")</f>
        <v>View</v>
      </c>
      <c r="P8528" s="7"/>
    </row>
    <row r="8529" spans="1:16">
      <c r="A8529" s="3">
        <v>44054.327025462961</v>
      </c>
      <c r="B8529" s="4" t="str">
        <f>HYPERLINK("https://twitter.com/petrogustavo","@petrogustavo")</f>
        <v>@petrogustavo</v>
      </c>
      <c r="C8529" s="5" t="s">
        <v>16</v>
      </c>
      <c r="D8529" s="5" t="s">
        <v>8211</v>
      </c>
      <c r="E8529" s="6" t="str">
        <f>HYPERLINK("https://twitter.com/petrogustavo/status/1293009472185606151","1293009472185606151")</f>
        <v>1293009472185606151</v>
      </c>
      <c r="F8529" s="7" t="s">
        <v>17</v>
      </c>
      <c r="G8529" s="7">
        <v>3933679</v>
      </c>
      <c r="H8529" s="7">
        <v>2424</v>
      </c>
      <c r="I8529" s="7">
        <v>155</v>
      </c>
      <c r="J8529" s="7">
        <v>539</v>
      </c>
      <c r="K8529" s="7" t="s">
        <v>18</v>
      </c>
      <c r="L8529" s="8">
        <v>39987.315405092595</v>
      </c>
      <c r="M8529" s="9" t="s">
        <v>19</v>
      </c>
      <c r="N8529" s="9" t="s">
        <v>20</v>
      </c>
      <c r="O8529" s="6" t="str">
        <f>HYPERLINK("https://pbs.twimg.com/profile_images/962471262747529216/Uo8lOkRJ_normal.jpg","View")</f>
        <v>View</v>
      </c>
      <c r="P8529" s="7"/>
    </row>
    <row r="8530" spans="1:16">
      <c r="A8530" s="3">
        <v>44054.354699074072</v>
      </c>
      <c r="B8530" s="4" t="str">
        <f>HYPERLINK("https://twitter.com/petrogustavo","@petrogustavo")</f>
        <v>@petrogustavo</v>
      </c>
      <c r="C8530" s="5" t="s">
        <v>16</v>
      </c>
      <c r="D8530" s="5" t="s">
        <v>8212</v>
      </c>
      <c r="E8530" s="6" t="str">
        <f>HYPERLINK("https://twitter.com/petrogustavo/status/1293019499856355334","1293019499856355334")</f>
        <v>1293019499856355334</v>
      </c>
      <c r="F8530" s="7" t="s">
        <v>17</v>
      </c>
      <c r="G8530" s="7">
        <v>3933706</v>
      </c>
      <c r="H8530" s="7">
        <v>2424</v>
      </c>
      <c r="I8530" s="7">
        <v>336</v>
      </c>
      <c r="J8530" s="7">
        <v>0</v>
      </c>
      <c r="K8530" s="7" t="s">
        <v>18</v>
      </c>
      <c r="L8530" s="8">
        <v>39987.315405092595</v>
      </c>
      <c r="M8530" s="9" t="s">
        <v>19</v>
      </c>
      <c r="N8530" s="9" t="s">
        <v>20</v>
      </c>
      <c r="O8530" s="6" t="str">
        <f>HYPERLINK("https://pbs.twimg.com/profile_images/962471262747529216/Uo8lOkRJ_normal.jpg","View")</f>
        <v>View</v>
      </c>
      <c r="P8530" s="7"/>
    </row>
    <row r="8531" spans="1:16">
      <c r="A8531" s="3">
        <v>44054.360914351855</v>
      </c>
      <c r="B8531" s="4" t="str">
        <f>HYPERLINK("https://twitter.com/petrogustavo","@petrogustavo")</f>
        <v>@petrogustavo</v>
      </c>
      <c r="C8531" s="5" t="s">
        <v>16</v>
      </c>
      <c r="D8531" s="5" t="s">
        <v>8213</v>
      </c>
      <c r="E8531" s="6" t="str">
        <f>HYPERLINK("https://twitter.com/petrogustavo/status/1293021751799144449","1293021751799144449")</f>
        <v>1293021751799144449</v>
      </c>
      <c r="F8531" s="7" t="s">
        <v>17</v>
      </c>
      <c r="G8531" s="7">
        <v>3933706</v>
      </c>
      <c r="H8531" s="7">
        <v>2424</v>
      </c>
      <c r="I8531" s="7">
        <v>59</v>
      </c>
      <c r="J8531" s="7">
        <v>166</v>
      </c>
      <c r="K8531" s="7" t="s">
        <v>18</v>
      </c>
      <c r="L8531" s="8">
        <v>39987.315405092595</v>
      </c>
      <c r="M8531" s="9" t="s">
        <v>19</v>
      </c>
      <c r="N8531" s="9" t="s">
        <v>20</v>
      </c>
      <c r="O8531" s="6" t="str">
        <f>HYPERLINK("https://pbs.twimg.com/profile_images/962471262747529216/Uo8lOkRJ_normal.jpg","View")</f>
        <v>View</v>
      </c>
      <c r="P8531" s="7"/>
    </row>
    <row r="8532" spans="1:16">
      <c r="A8532" s="3">
        <v>44054.362534722226</v>
      </c>
      <c r="B8532" s="4" t="str">
        <f>HYPERLINK("https://twitter.com/petrogustavo","@petrogustavo")</f>
        <v>@petrogustavo</v>
      </c>
      <c r="C8532" s="5" t="s">
        <v>16</v>
      </c>
      <c r="D8532" s="5" t="s">
        <v>8214</v>
      </c>
      <c r="E8532" s="6" t="str">
        <f>HYPERLINK("https://twitter.com/petrogustavo/status/1293022339253379072","1293022339253379072")</f>
        <v>1293022339253379072</v>
      </c>
      <c r="F8532" s="7" t="s">
        <v>17</v>
      </c>
      <c r="G8532" s="7">
        <v>3933706</v>
      </c>
      <c r="H8532" s="7">
        <v>2424</v>
      </c>
      <c r="I8532" s="7">
        <v>424</v>
      </c>
      <c r="J8532" s="7">
        <v>0</v>
      </c>
      <c r="K8532" s="7" t="s">
        <v>18</v>
      </c>
      <c r="L8532" s="8">
        <v>39987.315405092595</v>
      </c>
      <c r="M8532" s="9" t="s">
        <v>19</v>
      </c>
      <c r="N8532" s="9" t="s">
        <v>20</v>
      </c>
      <c r="O8532" s="6" t="str">
        <f>HYPERLINK("https://pbs.twimg.com/profile_images/962471262747529216/Uo8lOkRJ_normal.jpg","View")</f>
        <v>View</v>
      </c>
      <c r="P8532" s="7"/>
    </row>
    <row r="8533" spans="1:16">
      <c r="A8533" s="3">
        <v>44054.775833333333</v>
      </c>
      <c r="B8533" s="4" t="str">
        <f>HYPERLINK("https://twitter.com/petrogustavo","@petrogustavo")</f>
        <v>@petrogustavo</v>
      </c>
      <c r="C8533" s="5" t="s">
        <v>16</v>
      </c>
      <c r="D8533" s="5" t="s">
        <v>8215</v>
      </c>
      <c r="E8533" s="6" t="str">
        <f>HYPERLINK("https://twitter.com/petrogustavo/status/1293172115080990722","1293172115080990722")</f>
        <v>1293172115080990722</v>
      </c>
      <c r="F8533" s="7" t="s">
        <v>17</v>
      </c>
      <c r="G8533" s="7">
        <v>3933871</v>
      </c>
      <c r="H8533" s="7">
        <v>2424</v>
      </c>
      <c r="I8533" s="7">
        <v>168</v>
      </c>
      <c r="J8533" s="7">
        <v>595</v>
      </c>
      <c r="K8533" s="7" t="s">
        <v>18</v>
      </c>
      <c r="L8533" s="8">
        <v>39987.315405092595</v>
      </c>
      <c r="M8533" s="9" t="s">
        <v>19</v>
      </c>
      <c r="N8533" s="9" t="s">
        <v>20</v>
      </c>
      <c r="O8533" s="6" t="str">
        <f>HYPERLINK("https://pbs.twimg.com/profile_images/962471262747529216/Uo8lOkRJ_normal.jpg","View")</f>
        <v>View</v>
      </c>
      <c r="P8533" s="7"/>
    </row>
    <row r="8534" spans="1:16">
      <c r="A8534" s="3">
        <v>44054.779293981483</v>
      </c>
      <c r="B8534" s="4" t="str">
        <f>HYPERLINK("https://twitter.com/petrogustavo","@petrogustavo")</f>
        <v>@petrogustavo</v>
      </c>
      <c r="C8534" s="5" t="s">
        <v>16</v>
      </c>
      <c r="D8534" s="5" t="s">
        <v>8216</v>
      </c>
      <c r="E8534" s="6" t="str">
        <f>HYPERLINK("https://twitter.com/petrogustavo/status/1293173368842149888","1293173368842149888")</f>
        <v>1293173368842149888</v>
      </c>
      <c r="F8534" s="7" t="s">
        <v>17</v>
      </c>
      <c r="G8534" s="7">
        <v>3933871</v>
      </c>
      <c r="H8534" s="7">
        <v>2424</v>
      </c>
      <c r="I8534" s="7">
        <v>31</v>
      </c>
      <c r="J8534" s="7">
        <v>102</v>
      </c>
      <c r="K8534" s="7" t="s">
        <v>18</v>
      </c>
      <c r="L8534" s="8">
        <v>39987.315405092595</v>
      </c>
      <c r="M8534" s="9" t="s">
        <v>19</v>
      </c>
      <c r="N8534" s="9" t="s">
        <v>20</v>
      </c>
      <c r="O8534" s="6" t="str">
        <f>HYPERLINK("https://pbs.twimg.com/profile_images/962471262747529216/Uo8lOkRJ_normal.jpg","View")</f>
        <v>View</v>
      </c>
      <c r="P8534" s="7"/>
    </row>
    <row r="8535" spans="1:16">
      <c r="A8535" s="3">
        <v>44054.785567129627</v>
      </c>
      <c r="B8535" s="4" t="str">
        <f>HYPERLINK("https://twitter.com/petrogustavo","@petrogustavo")</f>
        <v>@petrogustavo</v>
      </c>
      <c r="C8535" s="5" t="s">
        <v>16</v>
      </c>
      <c r="D8535" s="5" t="s">
        <v>8217</v>
      </c>
      <c r="E8535" s="6" t="str">
        <f>HYPERLINK("https://twitter.com/petrogustavo/status/1293175640481583104","1293175640481583104")</f>
        <v>1293175640481583104</v>
      </c>
      <c r="F8535" s="7" t="s">
        <v>17</v>
      </c>
      <c r="G8535" s="7">
        <v>3933882</v>
      </c>
      <c r="H8535" s="7">
        <v>2424</v>
      </c>
      <c r="I8535" s="7">
        <v>137</v>
      </c>
      <c r="J8535" s="7">
        <v>0</v>
      </c>
      <c r="K8535" s="7" t="s">
        <v>18</v>
      </c>
      <c r="L8535" s="8">
        <v>39987.315405092595</v>
      </c>
      <c r="M8535" s="9" t="s">
        <v>19</v>
      </c>
      <c r="N8535" s="9" t="s">
        <v>20</v>
      </c>
      <c r="O8535" s="6" t="str">
        <f>HYPERLINK("https://pbs.twimg.com/profile_images/962471262747529216/Uo8lOkRJ_normal.jpg","View")</f>
        <v>View</v>
      </c>
      <c r="P8535" s="7"/>
    </row>
    <row r="8536" spans="1:16">
      <c r="A8536" s="3">
        <v>44054.790671296301</v>
      </c>
      <c r="B8536" s="4" t="str">
        <f>HYPERLINK("https://twitter.com/petrogustavo","@petrogustavo")</f>
        <v>@petrogustavo</v>
      </c>
      <c r="C8536" s="5" t="s">
        <v>16</v>
      </c>
      <c r="D8536" s="5" t="s">
        <v>8218</v>
      </c>
      <c r="E8536" s="6" t="str">
        <f>HYPERLINK("https://twitter.com/petrogustavo/status/1293177492598071297","1293177492598071297")</f>
        <v>1293177492598071297</v>
      </c>
      <c r="F8536" s="7" t="s">
        <v>17</v>
      </c>
      <c r="G8536" s="7">
        <v>3933882</v>
      </c>
      <c r="H8536" s="7">
        <v>2424</v>
      </c>
      <c r="I8536" s="7">
        <v>184</v>
      </c>
      <c r="J8536" s="7">
        <v>514</v>
      </c>
      <c r="K8536" s="7" t="s">
        <v>18</v>
      </c>
      <c r="L8536" s="8">
        <v>39987.315405092595</v>
      </c>
      <c r="M8536" s="9" t="s">
        <v>19</v>
      </c>
      <c r="N8536" s="9" t="s">
        <v>20</v>
      </c>
      <c r="O8536" s="6" t="str">
        <f>HYPERLINK("https://pbs.twimg.com/profile_images/962471262747529216/Uo8lOkRJ_normal.jpg","View")</f>
        <v>View</v>
      </c>
      <c r="P8536" s="7"/>
    </row>
    <row r="8537" spans="1:16">
      <c r="A8537" s="3">
        <v>44054.79315972222</v>
      </c>
      <c r="B8537" s="4" t="str">
        <f>HYPERLINK("https://twitter.com/petrogustavo","@petrogustavo")</f>
        <v>@petrogustavo</v>
      </c>
      <c r="C8537" s="5" t="s">
        <v>16</v>
      </c>
      <c r="D8537" s="5" t="s">
        <v>8219</v>
      </c>
      <c r="E8537" s="6" t="str">
        <f>HYPERLINK("https://twitter.com/petrogustavo/status/1293178391810760704","1293178391810760704")</f>
        <v>1293178391810760704</v>
      </c>
      <c r="F8537" s="7" t="s">
        <v>17</v>
      </c>
      <c r="G8537" s="7">
        <v>3933882</v>
      </c>
      <c r="H8537" s="7">
        <v>2424</v>
      </c>
      <c r="I8537" s="7">
        <v>681</v>
      </c>
      <c r="J8537" s="7">
        <v>0</v>
      </c>
      <c r="K8537" s="7" t="s">
        <v>18</v>
      </c>
      <c r="L8537" s="8">
        <v>39987.315405092595</v>
      </c>
      <c r="M8537" s="9" t="s">
        <v>19</v>
      </c>
      <c r="N8537" s="9" t="s">
        <v>20</v>
      </c>
      <c r="O8537" s="6" t="str">
        <f>HYPERLINK("https://pbs.twimg.com/profile_images/962471262747529216/Uo8lOkRJ_normal.jpg","View")</f>
        <v>View</v>
      </c>
      <c r="P8537" s="7"/>
    </row>
    <row r="8538" spans="1:16">
      <c r="A8538" s="3">
        <v>44054.799282407403</v>
      </c>
      <c r="B8538" s="4" t="str">
        <f>HYPERLINK("https://twitter.com/petrogustavo","@petrogustavo")</f>
        <v>@petrogustavo</v>
      </c>
      <c r="C8538" s="5" t="s">
        <v>16</v>
      </c>
      <c r="D8538" s="5" t="s">
        <v>8220</v>
      </c>
      <c r="E8538" s="6" t="str">
        <f>HYPERLINK("https://twitter.com/petrogustavo/status/1293180610140426240","1293180610140426240")</f>
        <v>1293180610140426240</v>
      </c>
      <c r="F8538" s="7" t="s">
        <v>17</v>
      </c>
      <c r="G8538" s="7">
        <v>3933882</v>
      </c>
      <c r="H8538" s="7">
        <v>2424</v>
      </c>
      <c r="I8538" s="7">
        <v>58</v>
      </c>
      <c r="J8538" s="7">
        <v>139</v>
      </c>
      <c r="K8538" s="7" t="s">
        <v>18</v>
      </c>
      <c r="L8538" s="8">
        <v>39987.315405092595</v>
      </c>
      <c r="M8538" s="9" t="s">
        <v>19</v>
      </c>
      <c r="N8538" s="9" t="s">
        <v>20</v>
      </c>
      <c r="O8538" s="6" t="str">
        <f>HYPERLINK("https://pbs.twimg.com/profile_images/962471262747529216/Uo8lOkRJ_normal.jpg","View")</f>
        <v>View</v>
      </c>
      <c r="P8538" s="7"/>
    </row>
    <row r="8539" spans="1:16">
      <c r="A8539" s="3">
        <v>44054.804502314815</v>
      </c>
      <c r="B8539" s="4" t="str">
        <f>HYPERLINK("https://twitter.com/petrogustavo","@petrogustavo")</f>
        <v>@petrogustavo</v>
      </c>
      <c r="C8539" s="5" t="s">
        <v>16</v>
      </c>
      <c r="D8539" s="5" t="s">
        <v>8221</v>
      </c>
      <c r="E8539" s="6" t="str">
        <f>HYPERLINK("https://twitter.com/petrogustavo/status/1293182503004512263","1293182503004512263")</f>
        <v>1293182503004512263</v>
      </c>
      <c r="F8539" s="7" t="s">
        <v>17</v>
      </c>
      <c r="G8539" s="7">
        <v>3933908</v>
      </c>
      <c r="H8539" s="7">
        <v>2424</v>
      </c>
      <c r="I8539" s="7">
        <v>250</v>
      </c>
      <c r="J8539" s="7">
        <v>749</v>
      </c>
      <c r="K8539" s="7" t="s">
        <v>18</v>
      </c>
      <c r="L8539" s="8">
        <v>39987.315405092595</v>
      </c>
      <c r="M8539" s="9" t="s">
        <v>19</v>
      </c>
      <c r="N8539" s="9" t="s">
        <v>20</v>
      </c>
      <c r="O8539" s="6" t="str">
        <f>HYPERLINK("https://pbs.twimg.com/profile_images/962471262747529216/Uo8lOkRJ_normal.jpg","View")</f>
        <v>View</v>
      </c>
      <c r="P8539" s="7"/>
    </row>
    <row r="8540" spans="1:16">
      <c r="A8540" s="3">
        <v>44054.806979166664</v>
      </c>
      <c r="B8540" s="4" t="str">
        <f>HYPERLINK("https://twitter.com/petrogustavo","@petrogustavo")</f>
        <v>@petrogustavo</v>
      </c>
      <c r="C8540" s="5" t="s">
        <v>16</v>
      </c>
      <c r="D8540" s="5" t="s">
        <v>8222</v>
      </c>
      <c r="E8540" s="6" t="str">
        <f>HYPERLINK("https://twitter.com/petrogustavo/status/1293183401684418561","1293183401684418561")</f>
        <v>1293183401684418561</v>
      </c>
      <c r="F8540" s="7" t="s">
        <v>17</v>
      </c>
      <c r="G8540" s="7">
        <v>3933908</v>
      </c>
      <c r="H8540" s="7">
        <v>2424</v>
      </c>
      <c r="I8540" s="7">
        <v>20</v>
      </c>
      <c r="J8540" s="7">
        <v>0</v>
      </c>
      <c r="K8540" s="7" t="s">
        <v>18</v>
      </c>
      <c r="L8540" s="8">
        <v>39987.315405092595</v>
      </c>
      <c r="M8540" s="9" t="s">
        <v>19</v>
      </c>
      <c r="N8540" s="9" t="s">
        <v>20</v>
      </c>
      <c r="O8540" s="6" t="str">
        <f>HYPERLINK("https://pbs.twimg.com/profile_images/962471262747529216/Uo8lOkRJ_normal.jpg","View")</f>
        <v>View</v>
      </c>
      <c r="P8540" s="7"/>
    </row>
    <row r="8541" spans="1:16">
      <c r="A8541" s="3">
        <v>44054.807222222225</v>
      </c>
      <c r="B8541" s="4" t="str">
        <f>HYPERLINK("https://twitter.com/petrogustavo","@petrogustavo")</f>
        <v>@petrogustavo</v>
      </c>
      <c r="C8541" s="5" t="s">
        <v>16</v>
      </c>
      <c r="D8541" s="5" t="s">
        <v>8223</v>
      </c>
      <c r="E8541" s="6" t="str">
        <f>HYPERLINK("https://twitter.com/petrogustavo/status/1293183487139147776","1293183487139147776")</f>
        <v>1293183487139147776</v>
      </c>
      <c r="F8541" s="7" t="s">
        <v>17</v>
      </c>
      <c r="G8541" s="7">
        <v>3933908</v>
      </c>
      <c r="H8541" s="7">
        <v>2424</v>
      </c>
      <c r="I8541" s="7">
        <v>269</v>
      </c>
      <c r="J8541" s="7">
        <v>0</v>
      </c>
      <c r="K8541" s="7" t="s">
        <v>18</v>
      </c>
      <c r="L8541" s="8">
        <v>39987.315405092595</v>
      </c>
      <c r="M8541" s="9" t="s">
        <v>19</v>
      </c>
      <c r="N8541" s="9" t="s">
        <v>20</v>
      </c>
      <c r="O8541" s="6" t="str">
        <f>HYPERLINK("https://pbs.twimg.com/profile_images/962471262747529216/Uo8lOkRJ_normal.jpg","View")</f>
        <v>View</v>
      </c>
      <c r="P8541" s="7"/>
    </row>
    <row r="8542" spans="1:16">
      <c r="A8542" s="3">
        <v>44054.808275462958</v>
      </c>
      <c r="B8542" s="4" t="str">
        <f>HYPERLINK("https://twitter.com/petrogustavo","@petrogustavo")</f>
        <v>@petrogustavo</v>
      </c>
      <c r="C8542" s="5" t="s">
        <v>16</v>
      </c>
      <c r="D8542" s="5" t="s">
        <v>8224</v>
      </c>
      <c r="E8542" s="6" t="str">
        <f>HYPERLINK("https://twitter.com/petrogustavo/status/1293183870670475268","1293183870670475268")</f>
        <v>1293183870670475268</v>
      </c>
      <c r="F8542" s="7" t="s">
        <v>17</v>
      </c>
      <c r="G8542" s="7">
        <v>3933908</v>
      </c>
      <c r="H8542" s="7">
        <v>2424</v>
      </c>
      <c r="I8542" s="7">
        <v>129</v>
      </c>
      <c r="J8542" s="7">
        <v>612</v>
      </c>
      <c r="K8542" s="7" t="s">
        <v>18</v>
      </c>
      <c r="L8542" s="8">
        <v>39987.315405092595</v>
      </c>
      <c r="M8542" s="9" t="s">
        <v>19</v>
      </c>
      <c r="N8542" s="9" t="s">
        <v>20</v>
      </c>
      <c r="O8542" s="6" t="str">
        <f>HYPERLINK("https://pbs.twimg.com/profile_images/962471262747529216/Uo8lOkRJ_normal.jpg","View")</f>
        <v>View</v>
      </c>
      <c r="P8542" s="7"/>
    </row>
    <row r="8543" spans="1:16">
      <c r="A8543" s="3">
        <v>44054.808564814812</v>
      </c>
      <c r="B8543" s="4" t="str">
        <f>HYPERLINK("https://twitter.com/petrogustavo","@petrogustavo")</f>
        <v>@petrogustavo</v>
      </c>
      <c r="C8543" s="5" t="s">
        <v>16</v>
      </c>
      <c r="D8543" s="5" t="s">
        <v>8225</v>
      </c>
      <c r="E8543" s="6" t="str">
        <f>HYPERLINK("https://twitter.com/petrogustavo/status/1293183976408936449","1293183976408936449")</f>
        <v>1293183976408936449</v>
      </c>
      <c r="F8543" s="7" t="s">
        <v>17</v>
      </c>
      <c r="G8543" s="7">
        <v>3933908</v>
      </c>
      <c r="H8543" s="7">
        <v>2424</v>
      </c>
      <c r="I8543" s="7">
        <v>26</v>
      </c>
      <c r="J8543" s="7">
        <v>0</v>
      </c>
      <c r="K8543" s="7" t="s">
        <v>18</v>
      </c>
      <c r="L8543" s="8">
        <v>39987.315405092595</v>
      </c>
      <c r="M8543" s="9" t="s">
        <v>19</v>
      </c>
      <c r="N8543" s="9" t="s">
        <v>20</v>
      </c>
      <c r="O8543" s="6" t="str">
        <f>HYPERLINK("https://pbs.twimg.com/profile_images/962471262747529216/Uo8lOkRJ_normal.jpg","View")</f>
        <v>View</v>
      </c>
      <c r="P8543" s="7"/>
    </row>
    <row r="8544" spans="1:16">
      <c r="A8544" s="3">
        <v>44054.812962962962</v>
      </c>
      <c r="B8544" s="4" t="str">
        <f>HYPERLINK("https://twitter.com/petrogustavo","@petrogustavo")</f>
        <v>@petrogustavo</v>
      </c>
      <c r="C8544" s="5" t="s">
        <v>16</v>
      </c>
      <c r="D8544" s="5" t="s">
        <v>8226</v>
      </c>
      <c r="E8544" s="6" t="str">
        <f>HYPERLINK("https://twitter.com/petrogustavo/status/1293185568323461121","1293185568323461121")</f>
        <v>1293185568323461121</v>
      </c>
      <c r="F8544" s="7" t="s">
        <v>17</v>
      </c>
      <c r="G8544" s="7">
        <v>3933908</v>
      </c>
      <c r="H8544" s="7">
        <v>2424</v>
      </c>
      <c r="I8544" s="7">
        <v>31</v>
      </c>
      <c r="J8544" s="7">
        <v>89</v>
      </c>
      <c r="K8544" s="7" t="s">
        <v>18</v>
      </c>
      <c r="L8544" s="8">
        <v>39987.315405092595</v>
      </c>
      <c r="M8544" s="9" t="s">
        <v>19</v>
      </c>
      <c r="N8544" s="9" t="s">
        <v>20</v>
      </c>
      <c r="O8544" s="6" t="str">
        <f>HYPERLINK("https://pbs.twimg.com/profile_images/962471262747529216/Uo8lOkRJ_normal.jpg","View")</f>
        <v>View</v>
      </c>
      <c r="P8544" s="7"/>
    </row>
    <row r="8545" spans="1:16">
      <c r="A8545" s="3">
        <v>44054.819826388892</v>
      </c>
      <c r="B8545" s="4" t="str">
        <f>HYPERLINK("https://twitter.com/petrogustavo","@petrogustavo")</f>
        <v>@petrogustavo</v>
      </c>
      <c r="C8545" s="5" t="s">
        <v>16</v>
      </c>
      <c r="D8545" s="5" t="s">
        <v>8227</v>
      </c>
      <c r="E8545" s="6" t="str">
        <f>HYPERLINK("https://twitter.com/petrogustavo/status/1293188056871133187","1293188056871133187")</f>
        <v>1293188056871133187</v>
      </c>
      <c r="F8545" s="7" t="s">
        <v>17</v>
      </c>
      <c r="G8545" s="7">
        <v>3933908</v>
      </c>
      <c r="H8545" s="7">
        <v>2424</v>
      </c>
      <c r="I8545" s="7">
        <v>29</v>
      </c>
      <c r="J8545" s="7">
        <v>0</v>
      </c>
      <c r="K8545" s="7" t="s">
        <v>18</v>
      </c>
      <c r="L8545" s="8">
        <v>39987.315405092595</v>
      </c>
      <c r="M8545" s="9" t="s">
        <v>19</v>
      </c>
      <c r="N8545" s="9" t="s">
        <v>20</v>
      </c>
      <c r="O8545" s="6" t="str">
        <f>HYPERLINK("https://pbs.twimg.com/profile_images/962471262747529216/Uo8lOkRJ_normal.jpg","View")</f>
        <v>View</v>
      </c>
      <c r="P8545" s="7"/>
    </row>
    <row r="8546" spans="1:16">
      <c r="A8546" s="3">
        <v>44054.825787037036</v>
      </c>
      <c r="B8546" s="4" t="str">
        <f>HYPERLINK("https://twitter.com/petrogustavo","@petrogustavo")</f>
        <v>@petrogustavo</v>
      </c>
      <c r="C8546" s="5" t="s">
        <v>16</v>
      </c>
      <c r="D8546" s="5" t="s">
        <v>8228</v>
      </c>
      <c r="E8546" s="6" t="str">
        <f>HYPERLINK("https://twitter.com/petrogustavo/status/1293190215981465600","1293190215981465600")</f>
        <v>1293190215981465600</v>
      </c>
      <c r="F8546" s="7" t="s">
        <v>17</v>
      </c>
      <c r="G8546" s="7">
        <v>3933933</v>
      </c>
      <c r="H8546" s="7">
        <v>2424</v>
      </c>
      <c r="I8546" s="7">
        <v>247</v>
      </c>
      <c r="J8546" s="7">
        <v>612</v>
      </c>
      <c r="K8546" s="7" t="s">
        <v>18</v>
      </c>
      <c r="L8546" s="8">
        <v>39987.315405092595</v>
      </c>
      <c r="M8546" s="9" t="s">
        <v>19</v>
      </c>
      <c r="N8546" s="9" t="s">
        <v>20</v>
      </c>
      <c r="O8546" s="6" t="str">
        <f>HYPERLINK("https://pbs.twimg.com/profile_images/962471262747529216/Uo8lOkRJ_normal.jpg","View")</f>
        <v>View</v>
      </c>
      <c r="P8546" s="7"/>
    </row>
    <row r="8547" spans="1:16">
      <c r="A8547" s="3">
        <v>44054.850300925929</v>
      </c>
      <c r="B8547" s="4" t="str">
        <f>HYPERLINK("https://twitter.com/petrogustavo","@petrogustavo")</f>
        <v>@petrogustavo</v>
      </c>
      <c r="C8547" s="5" t="s">
        <v>16</v>
      </c>
      <c r="D8547" s="5" t="s">
        <v>8229</v>
      </c>
      <c r="E8547" s="6" t="str">
        <f>HYPERLINK("https://twitter.com/petrogustavo/status/1293199099416780805","1293199099416780805")</f>
        <v>1293199099416780805</v>
      </c>
      <c r="F8547" s="7" t="s">
        <v>21</v>
      </c>
      <c r="G8547" s="7">
        <v>3933966</v>
      </c>
      <c r="H8547" s="7">
        <v>2424</v>
      </c>
      <c r="I8547" s="7">
        <v>107</v>
      </c>
      <c r="J8547" s="7">
        <v>299</v>
      </c>
      <c r="K8547" s="7" t="s">
        <v>18</v>
      </c>
      <c r="L8547" s="8">
        <v>39987.315405092595</v>
      </c>
      <c r="M8547" s="9" t="s">
        <v>19</v>
      </c>
      <c r="N8547" s="9" t="s">
        <v>20</v>
      </c>
      <c r="O8547" s="6" t="str">
        <f>HYPERLINK("https://pbs.twimg.com/profile_images/962471262747529216/Uo8lOkRJ_normal.jpg","View")</f>
        <v>View</v>
      </c>
      <c r="P8547" s="7"/>
    </row>
    <row r="8548" spans="1:16">
      <c r="A8548" s="3">
        <v>44054.867372685185</v>
      </c>
      <c r="B8548" s="4" t="str">
        <f>HYPERLINK("https://twitter.com/petrogustavo","@petrogustavo")</f>
        <v>@petrogustavo</v>
      </c>
      <c r="C8548" s="5" t="s">
        <v>16</v>
      </c>
      <c r="D8548" s="5" t="s">
        <v>8230</v>
      </c>
      <c r="E8548" s="6" t="str">
        <f>HYPERLINK("https://twitter.com/petrogustavo/status/1293205287399231488","1293205287399231488")</f>
        <v>1293205287399231488</v>
      </c>
      <c r="F8548" s="7" t="s">
        <v>32</v>
      </c>
      <c r="G8548" s="7">
        <v>3933985</v>
      </c>
      <c r="H8548" s="7">
        <v>2424</v>
      </c>
      <c r="I8548" s="7">
        <v>41</v>
      </c>
      <c r="J8548" s="7">
        <v>147</v>
      </c>
      <c r="K8548" s="7" t="s">
        <v>18</v>
      </c>
      <c r="L8548" s="8">
        <v>39987.315405092595</v>
      </c>
      <c r="M8548" s="9" t="s">
        <v>19</v>
      </c>
      <c r="N8548" s="9" t="s">
        <v>20</v>
      </c>
      <c r="O8548" s="6" t="str">
        <f>HYPERLINK("https://pbs.twimg.com/profile_images/962471262747529216/Uo8lOkRJ_normal.jpg","View")</f>
        <v>View</v>
      </c>
      <c r="P8548" s="7"/>
    </row>
    <row r="8549" spans="1:16">
      <c r="A8549" s="3">
        <v>44054.869675925926</v>
      </c>
      <c r="B8549" s="4" t="str">
        <f>HYPERLINK("https://twitter.com/petrogustavo","@petrogustavo")</f>
        <v>@petrogustavo</v>
      </c>
      <c r="C8549" s="5" t="s">
        <v>16</v>
      </c>
      <c r="D8549" s="5" t="s">
        <v>8231</v>
      </c>
      <c r="E8549" s="6" t="str">
        <f>HYPERLINK("https://twitter.com/petrogustavo/status/1293206119217803264","1293206119217803264")</f>
        <v>1293206119217803264</v>
      </c>
      <c r="F8549" s="7" t="s">
        <v>32</v>
      </c>
      <c r="G8549" s="7">
        <v>3933985</v>
      </c>
      <c r="H8549" s="7">
        <v>2424</v>
      </c>
      <c r="I8549" s="7">
        <v>599</v>
      </c>
      <c r="J8549" s="7">
        <v>0</v>
      </c>
      <c r="K8549" s="7" t="s">
        <v>18</v>
      </c>
      <c r="L8549" s="8">
        <v>39987.315405092595</v>
      </c>
      <c r="M8549" s="9" t="s">
        <v>19</v>
      </c>
      <c r="N8549" s="9" t="s">
        <v>20</v>
      </c>
      <c r="O8549" s="6" t="str">
        <f>HYPERLINK("https://pbs.twimg.com/profile_images/962471262747529216/Uo8lOkRJ_normal.jpg","View")</f>
        <v>View</v>
      </c>
      <c r="P8549" s="7"/>
    </row>
    <row r="8550" spans="1:16">
      <c r="A8550" s="3">
        <v>44055.213900462964</v>
      </c>
      <c r="B8550" s="4" t="str">
        <f>HYPERLINK("https://twitter.com/petrogustavo","@petrogustavo")</f>
        <v>@petrogustavo</v>
      </c>
      <c r="C8550" s="5" t="s">
        <v>16</v>
      </c>
      <c r="D8550" s="5" t="s">
        <v>8232</v>
      </c>
      <c r="E8550" s="6" t="str">
        <f>HYPERLINK("https://twitter.com/petrogustavo/status/1293330865280503812","1293330865280503812")</f>
        <v>1293330865280503812</v>
      </c>
      <c r="F8550" s="7" t="s">
        <v>17</v>
      </c>
      <c r="G8550" s="7">
        <v>3934417</v>
      </c>
      <c r="H8550" s="7">
        <v>2424</v>
      </c>
      <c r="I8550" s="7">
        <v>892</v>
      </c>
      <c r="J8550" s="7">
        <v>0</v>
      </c>
      <c r="K8550" s="7" t="s">
        <v>18</v>
      </c>
      <c r="L8550" s="8">
        <v>39987.315405092595</v>
      </c>
      <c r="M8550" s="9" t="s">
        <v>19</v>
      </c>
      <c r="N8550" s="9" t="s">
        <v>20</v>
      </c>
      <c r="O8550" s="6" t="str">
        <f>HYPERLINK("https://pbs.twimg.com/profile_images/962471262747529216/Uo8lOkRJ_normal.jpg","View")</f>
        <v>View</v>
      </c>
      <c r="P8550" s="7"/>
    </row>
    <row r="8551" spans="1:16">
      <c r="A8551" s="3">
        <v>44055.220046296294</v>
      </c>
      <c r="B8551" s="4" t="str">
        <f>HYPERLINK("https://twitter.com/petrogustavo","@petrogustavo")</f>
        <v>@petrogustavo</v>
      </c>
      <c r="C8551" s="5" t="s">
        <v>16</v>
      </c>
      <c r="D8551" s="5" t="s">
        <v>8233</v>
      </c>
      <c r="E8551" s="6" t="str">
        <f>HYPERLINK("https://twitter.com/petrogustavo/status/1293333090828529664","1293333090828529664")</f>
        <v>1293333090828529664</v>
      </c>
      <c r="F8551" s="7" t="s">
        <v>17</v>
      </c>
      <c r="G8551" s="7">
        <v>3934417</v>
      </c>
      <c r="H8551" s="7">
        <v>2424</v>
      </c>
      <c r="I8551" s="7">
        <v>38</v>
      </c>
      <c r="J8551" s="7">
        <v>0</v>
      </c>
      <c r="K8551" s="7" t="s">
        <v>18</v>
      </c>
      <c r="L8551" s="8">
        <v>39987.315405092595</v>
      </c>
      <c r="M8551" s="9" t="s">
        <v>19</v>
      </c>
      <c r="N8551" s="9" t="s">
        <v>20</v>
      </c>
      <c r="O8551" s="6" t="str">
        <f>HYPERLINK("https://pbs.twimg.com/profile_images/962471262747529216/Uo8lOkRJ_normal.jpg","View")</f>
        <v>View</v>
      </c>
      <c r="P8551" s="7"/>
    </row>
    <row r="8552" spans="1:16">
      <c r="A8552" s="3">
        <v>44055.222199074073</v>
      </c>
      <c r="B8552" s="4" t="str">
        <f>HYPERLINK("https://twitter.com/petrogustavo","@petrogustavo")</f>
        <v>@petrogustavo</v>
      </c>
      <c r="C8552" s="5" t="s">
        <v>16</v>
      </c>
      <c r="D8552" s="5" t="s">
        <v>8234</v>
      </c>
      <c r="E8552" s="6" t="str">
        <f>HYPERLINK("https://twitter.com/petrogustavo/status/1293333872739004419","1293333872739004419")</f>
        <v>1293333872739004419</v>
      </c>
      <c r="F8552" s="7" t="s">
        <v>17</v>
      </c>
      <c r="G8552" s="7">
        <v>3934446</v>
      </c>
      <c r="H8552" s="7">
        <v>2424</v>
      </c>
      <c r="I8552" s="7">
        <v>988</v>
      </c>
      <c r="J8552" s="7">
        <v>0</v>
      </c>
      <c r="K8552" s="7" t="s">
        <v>18</v>
      </c>
      <c r="L8552" s="8">
        <v>39987.315405092595</v>
      </c>
      <c r="M8552" s="9" t="s">
        <v>19</v>
      </c>
      <c r="N8552" s="9" t="s">
        <v>20</v>
      </c>
      <c r="O8552" s="6" t="str">
        <f>HYPERLINK("https://pbs.twimg.com/profile_images/962471262747529216/Uo8lOkRJ_normal.jpg","View")</f>
        <v>View</v>
      </c>
      <c r="P8552" s="7"/>
    </row>
    <row r="8553" spans="1:16">
      <c r="A8553" s="3">
        <v>44055.223368055551</v>
      </c>
      <c r="B8553" s="4" t="str">
        <f>HYPERLINK("https://twitter.com/petrogustavo","@petrogustavo")</f>
        <v>@petrogustavo</v>
      </c>
      <c r="C8553" s="5" t="s">
        <v>16</v>
      </c>
      <c r="D8553" s="5" t="s">
        <v>8235</v>
      </c>
      <c r="E8553" s="6" t="str">
        <f>HYPERLINK("https://twitter.com/petrogustavo/status/1293334295575171072","1293334295575171072")</f>
        <v>1293334295575171072</v>
      </c>
      <c r="F8553" s="7" t="s">
        <v>17</v>
      </c>
      <c r="G8553" s="7">
        <v>3934446</v>
      </c>
      <c r="H8553" s="7">
        <v>2424</v>
      </c>
      <c r="I8553" s="7">
        <v>109</v>
      </c>
      <c r="J8553" s="7">
        <v>254</v>
      </c>
      <c r="K8553" s="7" t="s">
        <v>18</v>
      </c>
      <c r="L8553" s="8">
        <v>39987.315405092595</v>
      </c>
      <c r="M8553" s="9" t="s">
        <v>19</v>
      </c>
      <c r="N8553" s="9" t="s">
        <v>20</v>
      </c>
      <c r="O8553" s="6" t="str">
        <f>HYPERLINK("https://pbs.twimg.com/profile_images/962471262747529216/Uo8lOkRJ_normal.jpg","View")</f>
        <v>View</v>
      </c>
      <c r="P8553" s="7"/>
    </row>
    <row r="8554" spans="1:16">
      <c r="A8554" s="3">
        <v>44055.223750000005</v>
      </c>
      <c r="B8554" s="4" t="str">
        <f>HYPERLINK("https://twitter.com/petrogustavo","@petrogustavo")</f>
        <v>@petrogustavo</v>
      </c>
      <c r="C8554" s="5" t="s">
        <v>16</v>
      </c>
      <c r="D8554" s="5" t="s">
        <v>8236</v>
      </c>
      <c r="E8554" s="6" t="str">
        <f>HYPERLINK("https://twitter.com/petrogustavo/status/1293334433366446087","1293334433366446087")</f>
        <v>1293334433366446087</v>
      </c>
      <c r="F8554" s="7" t="s">
        <v>17</v>
      </c>
      <c r="G8554" s="7">
        <v>3934446</v>
      </c>
      <c r="H8554" s="7">
        <v>2424</v>
      </c>
      <c r="I8554" s="7">
        <v>2772</v>
      </c>
      <c r="J8554" s="7">
        <v>0</v>
      </c>
      <c r="K8554" s="7" t="s">
        <v>18</v>
      </c>
      <c r="L8554" s="8">
        <v>39987.315405092595</v>
      </c>
      <c r="M8554" s="9" t="s">
        <v>19</v>
      </c>
      <c r="N8554" s="9" t="s">
        <v>20</v>
      </c>
      <c r="O8554" s="6" t="str">
        <f>HYPERLINK("https://pbs.twimg.com/profile_images/962471262747529216/Uo8lOkRJ_normal.jpg","View")</f>
        <v>View</v>
      </c>
      <c r="P8554" s="7"/>
    </row>
    <row r="8555" spans="1:16">
      <c r="A8555" s="3">
        <v>44055.226145833338</v>
      </c>
      <c r="B8555" s="4" t="str">
        <f>HYPERLINK("https://twitter.com/petrogustavo","@petrogustavo")</f>
        <v>@petrogustavo</v>
      </c>
      <c r="C8555" s="5" t="s">
        <v>16</v>
      </c>
      <c r="D8555" s="5" t="s">
        <v>8237</v>
      </c>
      <c r="E8555" s="6" t="str">
        <f>HYPERLINK("https://twitter.com/petrogustavo/status/1293335302363373568","1293335302363373568")</f>
        <v>1293335302363373568</v>
      </c>
      <c r="F8555" s="7" t="s">
        <v>17</v>
      </c>
      <c r="G8555" s="7">
        <v>3934446</v>
      </c>
      <c r="H8555" s="7">
        <v>2424</v>
      </c>
      <c r="I8555" s="7">
        <v>135</v>
      </c>
      <c r="J8555" s="7">
        <v>359</v>
      </c>
      <c r="K8555" s="7" t="s">
        <v>18</v>
      </c>
      <c r="L8555" s="8">
        <v>39987.315405092595</v>
      </c>
      <c r="M8555" s="9" t="s">
        <v>19</v>
      </c>
      <c r="N8555" s="9" t="s">
        <v>20</v>
      </c>
      <c r="O8555" s="6" t="str">
        <f>HYPERLINK("https://pbs.twimg.com/profile_images/962471262747529216/Uo8lOkRJ_normal.jpg","View")</f>
        <v>View</v>
      </c>
      <c r="P8555" s="7"/>
    </row>
    <row r="8556" spans="1:16">
      <c r="A8556" s="3">
        <v>44055.795185185183</v>
      </c>
      <c r="B8556" s="4" t="str">
        <f>HYPERLINK("https://twitter.com/petrogustavo","@petrogustavo")</f>
        <v>@petrogustavo</v>
      </c>
      <c r="C8556" s="5" t="s">
        <v>16</v>
      </c>
      <c r="D8556" s="5" t="s">
        <v>8238</v>
      </c>
      <c r="E8556" s="6" t="str">
        <f>HYPERLINK("https://twitter.com/petrogustavo/status/1293541514002468864","1293541514002468864")</f>
        <v>1293541514002468864</v>
      </c>
      <c r="F8556" s="7" t="s">
        <v>17</v>
      </c>
      <c r="G8556" s="7">
        <v>3934971</v>
      </c>
      <c r="H8556" s="7">
        <v>2424</v>
      </c>
      <c r="I8556" s="7">
        <v>1350</v>
      </c>
      <c r="J8556" s="7">
        <v>0</v>
      </c>
      <c r="K8556" s="7" t="s">
        <v>18</v>
      </c>
      <c r="L8556" s="8">
        <v>39987.315405092595</v>
      </c>
      <c r="M8556" s="9" t="s">
        <v>19</v>
      </c>
      <c r="N8556" s="9" t="s">
        <v>20</v>
      </c>
      <c r="O8556" s="6" t="str">
        <f>HYPERLINK("https://pbs.twimg.com/profile_images/962471262747529216/Uo8lOkRJ_normal.jpg","View")</f>
        <v>View</v>
      </c>
      <c r="P8556" s="7"/>
    </row>
    <row r="8557" spans="1:16">
      <c r="A8557" s="3">
        <v>44055.79614583333</v>
      </c>
      <c r="B8557" s="4" t="str">
        <f>HYPERLINK("https://twitter.com/petrogustavo","@petrogustavo")</f>
        <v>@petrogustavo</v>
      </c>
      <c r="C8557" s="5" t="s">
        <v>16</v>
      </c>
      <c r="D8557" s="5" t="s">
        <v>8239</v>
      </c>
      <c r="E8557" s="6" t="str">
        <f>HYPERLINK("https://twitter.com/petrogustavo/status/1293541861064355845","1293541861064355845")</f>
        <v>1293541861064355845</v>
      </c>
      <c r="F8557" s="7" t="s">
        <v>17</v>
      </c>
      <c r="G8557" s="7">
        <v>3934971</v>
      </c>
      <c r="H8557" s="7">
        <v>2424</v>
      </c>
      <c r="I8557" s="7">
        <v>68</v>
      </c>
      <c r="J8557" s="7">
        <v>174</v>
      </c>
      <c r="K8557" s="7" t="s">
        <v>18</v>
      </c>
      <c r="L8557" s="8">
        <v>39987.315405092595</v>
      </c>
      <c r="M8557" s="9" t="s">
        <v>19</v>
      </c>
      <c r="N8557" s="9" t="s">
        <v>20</v>
      </c>
      <c r="O8557" s="6" t="str">
        <f>HYPERLINK("https://pbs.twimg.com/profile_images/962471262747529216/Uo8lOkRJ_normal.jpg","View")</f>
        <v>View</v>
      </c>
      <c r="P8557" s="7"/>
    </row>
    <row r="8558" spans="1:16">
      <c r="A8558" s="3">
        <v>44055.805706018524</v>
      </c>
      <c r="B8558" s="4" t="str">
        <f>HYPERLINK("https://twitter.com/petrogustavo","@petrogustavo")</f>
        <v>@petrogustavo</v>
      </c>
      <c r="C8558" s="5" t="s">
        <v>16</v>
      </c>
      <c r="D8558" s="5" t="s">
        <v>8240</v>
      </c>
      <c r="E8558" s="6" t="str">
        <f>HYPERLINK("https://twitter.com/petrogustavo/status/1293545325987344385","1293545325987344385")</f>
        <v>1293545325987344385</v>
      </c>
      <c r="F8558" s="7" t="s">
        <v>17</v>
      </c>
      <c r="G8558" s="7">
        <v>3934978</v>
      </c>
      <c r="H8558" s="7">
        <v>2424</v>
      </c>
      <c r="I8558" s="7">
        <v>76</v>
      </c>
      <c r="J8558" s="7">
        <v>0</v>
      </c>
      <c r="K8558" s="7" t="s">
        <v>18</v>
      </c>
      <c r="L8558" s="8">
        <v>39987.315405092595</v>
      </c>
      <c r="M8558" s="9" t="s">
        <v>19</v>
      </c>
      <c r="N8558" s="9" t="s">
        <v>20</v>
      </c>
      <c r="O8558" s="6" t="str">
        <f>HYPERLINK("https://pbs.twimg.com/profile_images/962471262747529216/Uo8lOkRJ_normal.jpg","View")</f>
        <v>View</v>
      </c>
      <c r="P8558" s="7"/>
    </row>
    <row r="8559" spans="1:16">
      <c r="A8559" s="3">
        <v>44055.806261574078</v>
      </c>
      <c r="B8559" s="4" t="str">
        <f>HYPERLINK("https://twitter.com/petrogustavo","@petrogustavo")</f>
        <v>@petrogustavo</v>
      </c>
      <c r="C8559" s="5" t="s">
        <v>16</v>
      </c>
      <c r="D8559" s="5" t="s">
        <v>8241</v>
      </c>
      <c r="E8559" s="6" t="str">
        <f>HYPERLINK("https://twitter.com/petrogustavo/status/1293545527070658566","1293545527070658566")</f>
        <v>1293545527070658566</v>
      </c>
      <c r="F8559" s="7" t="s">
        <v>17</v>
      </c>
      <c r="G8559" s="7">
        <v>3934978</v>
      </c>
      <c r="H8559" s="7">
        <v>2424</v>
      </c>
      <c r="I8559" s="7">
        <v>164</v>
      </c>
      <c r="J8559" s="7">
        <v>0</v>
      </c>
      <c r="K8559" s="7" t="s">
        <v>18</v>
      </c>
      <c r="L8559" s="8">
        <v>39987.315405092595</v>
      </c>
      <c r="M8559" s="9" t="s">
        <v>19</v>
      </c>
      <c r="N8559" s="9" t="s">
        <v>20</v>
      </c>
      <c r="O8559" s="6" t="str">
        <f>HYPERLINK("https://pbs.twimg.com/profile_images/962471262747529216/Uo8lOkRJ_normal.jpg","View")</f>
        <v>View</v>
      </c>
      <c r="P8559" s="7"/>
    </row>
    <row r="8560" spans="1:16">
      <c r="A8560" s="3">
        <v>44055.842164351852</v>
      </c>
      <c r="B8560" s="4" t="str">
        <f>HYPERLINK("https://twitter.com/petrogustavo","@petrogustavo")</f>
        <v>@petrogustavo</v>
      </c>
      <c r="C8560" s="5" t="s">
        <v>16</v>
      </c>
      <c r="D8560" s="5" t="s">
        <v>8241</v>
      </c>
      <c r="E8560" s="6" t="str">
        <f>HYPERLINK("https://twitter.com/petrogustavo/status/1293558540997726208","1293558540997726208")</f>
        <v>1293558540997726208</v>
      </c>
      <c r="F8560" s="7" t="s">
        <v>17</v>
      </c>
      <c r="G8560" s="7">
        <v>3935003</v>
      </c>
      <c r="H8560" s="7">
        <v>2424</v>
      </c>
      <c r="I8560" s="7">
        <v>211</v>
      </c>
      <c r="J8560" s="7">
        <v>0</v>
      </c>
      <c r="K8560" s="7" t="s">
        <v>18</v>
      </c>
      <c r="L8560" s="8">
        <v>39987.315405092595</v>
      </c>
      <c r="M8560" s="9" t="s">
        <v>19</v>
      </c>
      <c r="N8560" s="9" t="s">
        <v>20</v>
      </c>
      <c r="O8560" s="6" t="str">
        <f>HYPERLINK("https://pbs.twimg.com/profile_images/962471262747529216/Uo8lOkRJ_normal.jpg","View")</f>
        <v>View</v>
      </c>
      <c r="P8560" s="7"/>
    </row>
    <row r="8561" spans="1:16">
      <c r="A8561" s="3">
        <v>44055.926631944443</v>
      </c>
      <c r="B8561" s="4" t="str">
        <f>HYPERLINK("https://twitter.com/petrogustavo","@petrogustavo")</f>
        <v>@petrogustavo</v>
      </c>
      <c r="C8561" s="5" t="s">
        <v>16</v>
      </c>
      <c r="D8561" s="5" t="s">
        <v>8242</v>
      </c>
      <c r="E8561" s="6" t="str">
        <f>HYPERLINK("https://twitter.com/petrogustavo/status/1293589148239106049","1293589148239106049")</f>
        <v>1293589148239106049</v>
      </c>
      <c r="F8561" s="7" t="s">
        <v>17</v>
      </c>
      <c r="G8561" s="7">
        <v>3935159</v>
      </c>
      <c r="H8561" s="7">
        <v>2424</v>
      </c>
      <c r="I8561" s="7">
        <v>38</v>
      </c>
      <c r="J8561" s="7">
        <v>0</v>
      </c>
      <c r="K8561" s="7" t="s">
        <v>18</v>
      </c>
      <c r="L8561" s="8">
        <v>39987.315405092595</v>
      </c>
      <c r="M8561" s="9" t="s">
        <v>19</v>
      </c>
      <c r="N8561" s="9" t="s">
        <v>20</v>
      </c>
      <c r="O8561" s="6" t="str">
        <f>HYPERLINK("https://pbs.twimg.com/profile_images/962471262747529216/Uo8lOkRJ_normal.jpg","View")</f>
        <v>View</v>
      </c>
      <c r="P8561" s="7"/>
    </row>
    <row r="8562" spans="1:16">
      <c r="A8562" s="3">
        <v>44055.926724537036</v>
      </c>
      <c r="B8562" s="4" t="str">
        <f>HYPERLINK("https://twitter.com/petrogustavo","@petrogustavo")</f>
        <v>@petrogustavo</v>
      </c>
      <c r="C8562" s="5" t="s">
        <v>16</v>
      </c>
      <c r="D8562" s="5" t="s">
        <v>8243</v>
      </c>
      <c r="E8562" s="6" t="str">
        <f>HYPERLINK("https://twitter.com/petrogustavo/status/1293589182124896258","1293589182124896258")</f>
        <v>1293589182124896258</v>
      </c>
      <c r="F8562" s="7" t="s">
        <v>17</v>
      </c>
      <c r="G8562" s="7">
        <v>3935159</v>
      </c>
      <c r="H8562" s="7">
        <v>2424</v>
      </c>
      <c r="I8562" s="7">
        <v>41</v>
      </c>
      <c r="J8562" s="7">
        <v>0</v>
      </c>
      <c r="K8562" s="7" t="s">
        <v>18</v>
      </c>
      <c r="L8562" s="8">
        <v>39987.315405092595</v>
      </c>
      <c r="M8562" s="9" t="s">
        <v>19</v>
      </c>
      <c r="N8562" s="9" t="s">
        <v>20</v>
      </c>
      <c r="O8562" s="6" t="str">
        <f>HYPERLINK("https://pbs.twimg.com/profile_images/962471262747529216/Uo8lOkRJ_normal.jpg","View")</f>
        <v>View</v>
      </c>
      <c r="P8562" s="7"/>
    </row>
    <row r="8563" spans="1:16">
      <c r="A8563" s="3">
        <v>44055.926805555559</v>
      </c>
      <c r="B8563" s="4" t="str">
        <f>HYPERLINK("https://twitter.com/petrogustavo","@petrogustavo")</f>
        <v>@petrogustavo</v>
      </c>
      <c r="C8563" s="5" t="s">
        <v>16</v>
      </c>
      <c r="D8563" s="5" t="s">
        <v>8244</v>
      </c>
      <c r="E8563" s="6" t="str">
        <f>HYPERLINK("https://twitter.com/petrogustavo/status/1293589210319003648","1293589210319003648")</f>
        <v>1293589210319003648</v>
      </c>
      <c r="F8563" s="7" t="s">
        <v>17</v>
      </c>
      <c r="G8563" s="7">
        <v>3935159</v>
      </c>
      <c r="H8563" s="7">
        <v>2424</v>
      </c>
      <c r="I8563" s="7">
        <v>30</v>
      </c>
      <c r="J8563" s="7">
        <v>0</v>
      </c>
      <c r="K8563" s="7" t="s">
        <v>18</v>
      </c>
      <c r="L8563" s="8">
        <v>39987.315405092595</v>
      </c>
      <c r="M8563" s="9" t="s">
        <v>19</v>
      </c>
      <c r="N8563" s="9" t="s">
        <v>20</v>
      </c>
      <c r="O8563" s="6" t="str">
        <f>HYPERLINK("https://pbs.twimg.com/profile_images/962471262747529216/Uo8lOkRJ_normal.jpg","View")</f>
        <v>View</v>
      </c>
      <c r="P8563" s="7"/>
    </row>
    <row r="8564" spans="1:16">
      <c r="A8564" s="3">
        <v>44055.927094907413</v>
      </c>
      <c r="B8564" s="4" t="str">
        <f>HYPERLINK("https://twitter.com/petrogustavo","@petrogustavo")</f>
        <v>@petrogustavo</v>
      </c>
      <c r="C8564" s="5" t="s">
        <v>16</v>
      </c>
      <c r="D8564" s="5" t="s">
        <v>8245</v>
      </c>
      <c r="E8564" s="6" t="str">
        <f>HYPERLINK("https://twitter.com/petrogustavo/status/1293589318834032642","1293589318834032642")</f>
        <v>1293589318834032642</v>
      </c>
      <c r="F8564" s="7" t="s">
        <v>17</v>
      </c>
      <c r="G8564" s="7">
        <v>3935159</v>
      </c>
      <c r="H8564" s="7">
        <v>2424</v>
      </c>
      <c r="I8564" s="7">
        <v>14</v>
      </c>
      <c r="J8564" s="7">
        <v>0</v>
      </c>
      <c r="K8564" s="7" t="s">
        <v>18</v>
      </c>
      <c r="L8564" s="8">
        <v>39987.315405092595</v>
      </c>
      <c r="M8564" s="9" t="s">
        <v>19</v>
      </c>
      <c r="N8564" s="9" t="s">
        <v>20</v>
      </c>
      <c r="O8564" s="6" t="str">
        <f>HYPERLINK("https://pbs.twimg.com/profile_images/962471262747529216/Uo8lOkRJ_normal.jpg","View")</f>
        <v>View</v>
      </c>
      <c r="P8564" s="7"/>
    </row>
    <row r="8565" spans="1:16">
      <c r="A8565" s="3">
        <v>44055.927268518513</v>
      </c>
      <c r="B8565" s="4" t="str">
        <f>HYPERLINK("https://twitter.com/petrogustavo","@petrogustavo")</f>
        <v>@petrogustavo</v>
      </c>
      <c r="C8565" s="5" t="s">
        <v>16</v>
      </c>
      <c r="D8565" s="5" t="s">
        <v>8246</v>
      </c>
      <c r="E8565" s="6" t="str">
        <f>HYPERLINK("https://twitter.com/petrogustavo/status/1293589380809072640","1293589380809072640")</f>
        <v>1293589380809072640</v>
      </c>
      <c r="F8565" s="7" t="s">
        <v>17</v>
      </c>
      <c r="G8565" s="7">
        <v>3935159</v>
      </c>
      <c r="H8565" s="7">
        <v>2424</v>
      </c>
      <c r="I8565" s="7">
        <v>27</v>
      </c>
      <c r="J8565" s="7">
        <v>0</v>
      </c>
      <c r="K8565" s="7" t="s">
        <v>18</v>
      </c>
      <c r="L8565" s="8">
        <v>39987.315405092595</v>
      </c>
      <c r="M8565" s="9" t="s">
        <v>19</v>
      </c>
      <c r="N8565" s="9" t="s">
        <v>20</v>
      </c>
      <c r="O8565" s="6" t="str">
        <f>HYPERLINK("https://pbs.twimg.com/profile_images/962471262747529216/Uo8lOkRJ_normal.jpg","View")</f>
        <v>View</v>
      </c>
      <c r="P8565" s="7"/>
    </row>
    <row r="8566" spans="1:16">
      <c r="A8566" s="3">
        <v>44055.975902777776</v>
      </c>
      <c r="B8566" s="4" t="str">
        <f>HYPERLINK("https://twitter.com/petrogustavo","@petrogustavo")</f>
        <v>@petrogustavo</v>
      </c>
      <c r="C8566" s="5" t="s">
        <v>16</v>
      </c>
      <c r="D8566" s="5" t="s">
        <v>8247</v>
      </c>
      <c r="E8566" s="6" t="str">
        <f>HYPERLINK("https://twitter.com/petrogustavo/status/1293607005723262977","1293607005723262977")</f>
        <v>1293607005723262977</v>
      </c>
      <c r="F8566" s="7" t="s">
        <v>17</v>
      </c>
      <c r="G8566" s="7">
        <v>3935292</v>
      </c>
      <c r="H8566" s="7">
        <v>2424</v>
      </c>
      <c r="I8566" s="7">
        <v>70</v>
      </c>
      <c r="J8566" s="7">
        <v>0</v>
      </c>
      <c r="K8566" s="7" t="s">
        <v>18</v>
      </c>
      <c r="L8566" s="8">
        <v>39987.315405092595</v>
      </c>
      <c r="M8566" s="9" t="s">
        <v>19</v>
      </c>
      <c r="N8566" s="9" t="s">
        <v>20</v>
      </c>
      <c r="O8566" s="6" t="str">
        <f>HYPERLINK("https://pbs.twimg.com/profile_images/962471262747529216/Uo8lOkRJ_normal.jpg","View")</f>
        <v>View</v>
      </c>
      <c r="P8566" s="7"/>
    </row>
    <row r="8567" spans="1:16">
      <c r="A8567" s="3">
        <v>44055.976018518515</v>
      </c>
      <c r="B8567" s="4" t="str">
        <f>HYPERLINK("https://twitter.com/petrogustavo","@petrogustavo")</f>
        <v>@petrogustavo</v>
      </c>
      <c r="C8567" s="5" t="s">
        <v>16</v>
      </c>
      <c r="D8567" s="5" t="s">
        <v>8248</v>
      </c>
      <c r="E8567" s="6" t="str">
        <f>HYPERLINK("https://twitter.com/petrogustavo/status/1293607044147220480","1293607044147220480")</f>
        <v>1293607044147220480</v>
      </c>
      <c r="F8567" s="7" t="s">
        <v>17</v>
      </c>
      <c r="G8567" s="7">
        <v>3935292</v>
      </c>
      <c r="H8567" s="7">
        <v>2424</v>
      </c>
      <c r="I8567" s="7">
        <v>64</v>
      </c>
      <c r="J8567" s="7">
        <v>0</v>
      </c>
      <c r="K8567" s="7" t="s">
        <v>18</v>
      </c>
      <c r="L8567" s="8">
        <v>39987.315405092595</v>
      </c>
      <c r="M8567" s="9" t="s">
        <v>19</v>
      </c>
      <c r="N8567" s="9" t="s">
        <v>20</v>
      </c>
      <c r="O8567" s="6" t="str">
        <f>HYPERLINK("https://pbs.twimg.com/profile_images/962471262747529216/Uo8lOkRJ_normal.jpg","View")</f>
        <v>View</v>
      </c>
      <c r="P8567" s="7"/>
    </row>
    <row r="8568" spans="1:16">
      <c r="A8568" s="3">
        <v>44055.976145833338</v>
      </c>
      <c r="B8568" s="4" t="str">
        <f>HYPERLINK("https://twitter.com/petrogustavo","@petrogustavo")</f>
        <v>@petrogustavo</v>
      </c>
      <c r="C8568" s="5" t="s">
        <v>16</v>
      </c>
      <c r="D8568" s="5" t="s">
        <v>8249</v>
      </c>
      <c r="E8568" s="6" t="str">
        <f>HYPERLINK("https://twitter.com/petrogustavo/status/1293607093140938753","1293607093140938753")</f>
        <v>1293607093140938753</v>
      </c>
      <c r="F8568" s="7" t="s">
        <v>17</v>
      </c>
      <c r="G8568" s="7">
        <v>3935292</v>
      </c>
      <c r="H8568" s="7">
        <v>2424</v>
      </c>
      <c r="I8568" s="7">
        <v>112</v>
      </c>
      <c r="J8568" s="7">
        <v>0</v>
      </c>
      <c r="K8568" s="7" t="s">
        <v>18</v>
      </c>
      <c r="L8568" s="8">
        <v>39987.315405092595</v>
      </c>
      <c r="M8568" s="9" t="s">
        <v>19</v>
      </c>
      <c r="N8568" s="9" t="s">
        <v>20</v>
      </c>
      <c r="O8568" s="6" t="str">
        <f>HYPERLINK("https://pbs.twimg.com/profile_images/962471262747529216/Uo8lOkRJ_normal.jpg","View")</f>
        <v>View</v>
      </c>
      <c r="P8568" s="7"/>
    </row>
    <row r="8569" spans="1:16">
      <c r="A8569" s="3">
        <v>44055.976770833338</v>
      </c>
      <c r="B8569" s="4" t="str">
        <f>HYPERLINK("https://twitter.com/petrogustavo","@petrogustavo")</f>
        <v>@petrogustavo</v>
      </c>
      <c r="C8569" s="5" t="s">
        <v>16</v>
      </c>
      <c r="D8569" s="5" t="s">
        <v>8250</v>
      </c>
      <c r="E8569" s="6" t="str">
        <f>HYPERLINK("https://twitter.com/petrogustavo/status/1293607316856737792","1293607316856737792")</f>
        <v>1293607316856737792</v>
      </c>
      <c r="F8569" s="7" t="s">
        <v>17</v>
      </c>
      <c r="G8569" s="7">
        <v>3935292</v>
      </c>
      <c r="H8569" s="7">
        <v>2424</v>
      </c>
      <c r="I8569" s="7">
        <v>345</v>
      </c>
      <c r="J8569" s="7">
        <v>1401</v>
      </c>
      <c r="K8569" s="7" t="s">
        <v>18</v>
      </c>
      <c r="L8569" s="8">
        <v>39987.315405092595</v>
      </c>
      <c r="M8569" s="9" t="s">
        <v>19</v>
      </c>
      <c r="N8569" s="9" t="s">
        <v>20</v>
      </c>
      <c r="O8569" s="6" t="str">
        <f>HYPERLINK("https://pbs.twimg.com/profile_images/962471262747529216/Uo8lOkRJ_normal.jpg","View")</f>
        <v>View</v>
      </c>
      <c r="P8569" s="7"/>
    </row>
    <row r="8570" spans="1:16">
      <c r="A8570" s="3">
        <v>44055.976898148147</v>
      </c>
      <c r="B8570" s="4" t="str">
        <f>HYPERLINK("https://twitter.com/petrogustavo","@petrogustavo")</f>
        <v>@petrogustavo</v>
      </c>
      <c r="C8570" s="5" t="s">
        <v>16</v>
      </c>
      <c r="D8570" s="5" t="s">
        <v>8251</v>
      </c>
      <c r="E8570" s="6" t="str">
        <f>HYPERLINK("https://twitter.com/petrogustavo/status/1293607364331999235","1293607364331999235")</f>
        <v>1293607364331999235</v>
      </c>
      <c r="F8570" s="7" t="s">
        <v>17</v>
      </c>
      <c r="G8570" s="7">
        <v>3935292</v>
      </c>
      <c r="H8570" s="7">
        <v>2424</v>
      </c>
      <c r="I8570" s="7">
        <v>47</v>
      </c>
      <c r="J8570" s="7">
        <v>0</v>
      </c>
      <c r="K8570" s="7" t="s">
        <v>18</v>
      </c>
      <c r="L8570" s="8">
        <v>39987.315405092595</v>
      </c>
      <c r="M8570" s="9" t="s">
        <v>19</v>
      </c>
      <c r="N8570" s="9" t="s">
        <v>20</v>
      </c>
      <c r="O8570" s="6" t="str">
        <f>HYPERLINK("https://pbs.twimg.com/profile_images/962471262747529216/Uo8lOkRJ_normal.jpg","View")</f>
        <v>View</v>
      </c>
      <c r="P8570" s="7"/>
    </row>
    <row r="8571" spans="1:16">
      <c r="A8571" s="3">
        <v>44055.977002314816</v>
      </c>
      <c r="B8571" s="4" t="str">
        <f>HYPERLINK("https://twitter.com/petrogustavo","@petrogustavo")</f>
        <v>@petrogustavo</v>
      </c>
      <c r="C8571" s="5" t="s">
        <v>16</v>
      </c>
      <c r="D8571" s="5" t="s">
        <v>8252</v>
      </c>
      <c r="E8571" s="6" t="str">
        <f>HYPERLINK("https://twitter.com/petrogustavo/status/1293607403116736514","1293607403116736514")</f>
        <v>1293607403116736514</v>
      </c>
      <c r="F8571" s="7" t="s">
        <v>17</v>
      </c>
      <c r="G8571" s="7">
        <v>3935292</v>
      </c>
      <c r="H8571" s="7">
        <v>2424</v>
      </c>
      <c r="I8571" s="7">
        <v>55</v>
      </c>
      <c r="J8571" s="7">
        <v>0</v>
      </c>
      <c r="K8571" s="7" t="s">
        <v>18</v>
      </c>
      <c r="L8571" s="8">
        <v>39987.315405092595</v>
      </c>
      <c r="M8571" s="9" t="s">
        <v>19</v>
      </c>
      <c r="N8571" s="9" t="s">
        <v>20</v>
      </c>
      <c r="O8571" s="6" t="str">
        <f>HYPERLINK("https://pbs.twimg.com/profile_images/962471262747529216/Uo8lOkRJ_normal.jpg","View")</f>
        <v>View</v>
      </c>
      <c r="P8571" s="7"/>
    </row>
    <row r="8572" spans="1:16">
      <c r="A8572" s="3">
        <v>44055.977094907408</v>
      </c>
      <c r="B8572" s="4" t="str">
        <f>HYPERLINK("https://twitter.com/petrogustavo","@petrogustavo")</f>
        <v>@petrogustavo</v>
      </c>
      <c r="C8572" s="5" t="s">
        <v>16</v>
      </c>
      <c r="D8572" s="5" t="s">
        <v>8253</v>
      </c>
      <c r="E8572" s="6" t="str">
        <f>HYPERLINK("https://twitter.com/petrogustavo/status/1293607437153579009","1293607437153579009")</f>
        <v>1293607437153579009</v>
      </c>
      <c r="F8572" s="7" t="s">
        <v>17</v>
      </c>
      <c r="G8572" s="7">
        <v>3935292</v>
      </c>
      <c r="H8572" s="7">
        <v>2424</v>
      </c>
      <c r="I8572" s="7">
        <v>26</v>
      </c>
      <c r="J8572" s="7">
        <v>0</v>
      </c>
      <c r="K8572" s="7" t="s">
        <v>18</v>
      </c>
      <c r="L8572" s="8">
        <v>39987.315405092595</v>
      </c>
      <c r="M8572" s="9" t="s">
        <v>19</v>
      </c>
      <c r="N8572" s="9" t="s">
        <v>20</v>
      </c>
      <c r="O8572" s="6" t="str">
        <f>HYPERLINK("https://pbs.twimg.com/profile_images/962471262747529216/Uo8lOkRJ_normal.jpg","View")</f>
        <v>View</v>
      </c>
      <c r="P8572" s="7"/>
    </row>
    <row r="8573" spans="1:16">
      <c r="A8573" s="3">
        <v>44055.977256944447</v>
      </c>
      <c r="B8573" s="4" t="str">
        <f>HYPERLINK("https://twitter.com/petrogustavo","@petrogustavo")</f>
        <v>@petrogustavo</v>
      </c>
      <c r="C8573" s="5" t="s">
        <v>16</v>
      </c>
      <c r="D8573" s="5" t="s">
        <v>8254</v>
      </c>
      <c r="E8573" s="6" t="str">
        <f>HYPERLINK("https://twitter.com/petrogustavo/status/1293607494372265985","1293607494372265985")</f>
        <v>1293607494372265985</v>
      </c>
      <c r="F8573" s="7" t="s">
        <v>17</v>
      </c>
      <c r="G8573" s="7">
        <v>3935292</v>
      </c>
      <c r="H8573" s="7">
        <v>2424</v>
      </c>
      <c r="I8573" s="7">
        <v>39</v>
      </c>
      <c r="J8573" s="7">
        <v>0</v>
      </c>
      <c r="K8573" s="7" t="s">
        <v>18</v>
      </c>
      <c r="L8573" s="8">
        <v>39987.315405092595</v>
      </c>
      <c r="M8573" s="9" t="s">
        <v>19</v>
      </c>
      <c r="N8573" s="9" t="s">
        <v>20</v>
      </c>
      <c r="O8573" s="6" t="str">
        <f>HYPERLINK("https://pbs.twimg.com/profile_images/962471262747529216/Uo8lOkRJ_normal.jpg","View")</f>
        <v>View</v>
      </c>
      <c r="P8573" s="7"/>
    </row>
    <row r="8574" spans="1:16">
      <c r="A8574" s="3">
        <v>44055.977407407408</v>
      </c>
      <c r="B8574" s="4" t="str">
        <f>HYPERLINK("https://twitter.com/petrogustavo","@petrogustavo")</f>
        <v>@petrogustavo</v>
      </c>
      <c r="C8574" s="5" t="s">
        <v>16</v>
      </c>
      <c r="D8574" s="5" t="s">
        <v>8255</v>
      </c>
      <c r="E8574" s="6" t="str">
        <f>HYPERLINK("https://twitter.com/petrogustavo/status/1293607550890508289","1293607550890508289")</f>
        <v>1293607550890508289</v>
      </c>
      <c r="F8574" s="7" t="s">
        <v>17</v>
      </c>
      <c r="G8574" s="7">
        <v>3935292</v>
      </c>
      <c r="H8574" s="7">
        <v>2424</v>
      </c>
      <c r="I8574" s="7">
        <v>40</v>
      </c>
      <c r="J8574" s="7">
        <v>0</v>
      </c>
      <c r="K8574" s="7" t="s">
        <v>18</v>
      </c>
      <c r="L8574" s="8">
        <v>39987.315405092595</v>
      </c>
      <c r="M8574" s="9" t="s">
        <v>19</v>
      </c>
      <c r="N8574" s="9" t="s">
        <v>20</v>
      </c>
      <c r="O8574" s="6" t="str">
        <f>HYPERLINK("https://pbs.twimg.com/profile_images/962471262747529216/Uo8lOkRJ_normal.jpg","View")</f>
        <v>View</v>
      </c>
      <c r="P8574" s="7"/>
    </row>
    <row r="8575" spans="1:16">
      <c r="A8575" s="3">
        <v>44055.97756944444</v>
      </c>
      <c r="B8575" s="4" t="str">
        <f>HYPERLINK("https://twitter.com/petrogustavo","@petrogustavo")</f>
        <v>@petrogustavo</v>
      </c>
      <c r="C8575" s="5" t="s">
        <v>16</v>
      </c>
      <c r="D8575" s="5" t="s">
        <v>8256</v>
      </c>
      <c r="E8575" s="6" t="str">
        <f>HYPERLINK("https://twitter.com/petrogustavo/status/1293607608604151811","1293607608604151811")</f>
        <v>1293607608604151811</v>
      </c>
      <c r="F8575" s="7" t="s">
        <v>17</v>
      </c>
      <c r="G8575" s="7">
        <v>3935292</v>
      </c>
      <c r="H8575" s="7">
        <v>2424</v>
      </c>
      <c r="I8575" s="7">
        <v>42</v>
      </c>
      <c r="J8575" s="7">
        <v>0</v>
      </c>
      <c r="K8575" s="7" t="s">
        <v>18</v>
      </c>
      <c r="L8575" s="8">
        <v>39987.315405092595</v>
      </c>
      <c r="M8575" s="9" t="s">
        <v>19</v>
      </c>
      <c r="N8575" s="9" t="s">
        <v>20</v>
      </c>
      <c r="O8575" s="6" t="str">
        <f>HYPERLINK("https://pbs.twimg.com/profile_images/962471262747529216/Uo8lOkRJ_normal.jpg","View")</f>
        <v>View</v>
      </c>
      <c r="P8575" s="7"/>
    </row>
    <row r="8576" spans="1:16">
      <c r="A8576" s="3">
        <v>44055.977835648147</v>
      </c>
      <c r="B8576" s="4" t="str">
        <f>HYPERLINK("https://twitter.com/petrogustavo","@petrogustavo")</f>
        <v>@petrogustavo</v>
      </c>
      <c r="C8576" s="5" t="s">
        <v>16</v>
      </c>
      <c r="D8576" s="5" t="s">
        <v>8257</v>
      </c>
      <c r="E8576" s="6" t="str">
        <f>HYPERLINK("https://twitter.com/petrogustavo/status/1293607705236639752","1293607705236639752")</f>
        <v>1293607705236639752</v>
      </c>
      <c r="F8576" s="7" t="s">
        <v>17</v>
      </c>
      <c r="G8576" s="7">
        <v>3935292</v>
      </c>
      <c r="H8576" s="7">
        <v>2424</v>
      </c>
      <c r="I8576" s="7">
        <v>31</v>
      </c>
      <c r="J8576" s="7">
        <v>0</v>
      </c>
      <c r="K8576" s="7" t="s">
        <v>18</v>
      </c>
      <c r="L8576" s="8">
        <v>39987.315405092595</v>
      </c>
      <c r="M8576" s="9" t="s">
        <v>19</v>
      </c>
      <c r="N8576" s="9" t="s">
        <v>20</v>
      </c>
      <c r="O8576" s="6" t="str">
        <f>HYPERLINK("https://pbs.twimg.com/profile_images/962471262747529216/Uo8lOkRJ_normal.jpg","View")</f>
        <v>View</v>
      </c>
      <c r="P8576" s="7"/>
    </row>
    <row r="8577" spans="1:16">
      <c r="A8577" s="3">
        <v>44056.001076388886</v>
      </c>
      <c r="B8577" s="4" t="str">
        <f>HYPERLINK("https://twitter.com/petrogustavo","@petrogustavo")</f>
        <v>@petrogustavo</v>
      </c>
      <c r="C8577" s="5" t="s">
        <v>16</v>
      </c>
      <c r="D8577" s="5" t="s">
        <v>8258</v>
      </c>
      <c r="E8577" s="6" t="str">
        <f>HYPERLINK("https://twitter.com/petrogustavo/status/1293616124832223232","1293616124832223232")</f>
        <v>1293616124832223232</v>
      </c>
      <c r="F8577" s="7" t="s">
        <v>17</v>
      </c>
      <c r="G8577" s="7">
        <v>3935339</v>
      </c>
      <c r="H8577" s="7">
        <v>2424</v>
      </c>
      <c r="I8577" s="7">
        <v>20</v>
      </c>
      <c r="J8577" s="7">
        <v>0</v>
      </c>
      <c r="K8577" s="7" t="s">
        <v>18</v>
      </c>
      <c r="L8577" s="8">
        <v>39987.315405092595</v>
      </c>
      <c r="M8577" s="9" t="s">
        <v>19</v>
      </c>
      <c r="N8577" s="9" t="s">
        <v>20</v>
      </c>
      <c r="O8577" s="6" t="str">
        <f>HYPERLINK("https://pbs.twimg.com/profile_images/962471262747529216/Uo8lOkRJ_normal.jpg","View")</f>
        <v>View</v>
      </c>
      <c r="P8577" s="7"/>
    </row>
    <row r="8578" spans="1:16">
      <c r="A8578" s="3">
        <v>44056.001342592594</v>
      </c>
      <c r="B8578" s="4" t="str">
        <f>HYPERLINK("https://twitter.com/petrogustavo","@petrogustavo")</f>
        <v>@petrogustavo</v>
      </c>
      <c r="C8578" s="5" t="s">
        <v>16</v>
      </c>
      <c r="D8578" s="5" t="s">
        <v>8259</v>
      </c>
      <c r="E8578" s="6" t="str">
        <f>HYPERLINK("https://twitter.com/petrogustavo/status/1293616223486455808","1293616223486455808")</f>
        <v>1293616223486455808</v>
      </c>
      <c r="F8578" s="7" t="s">
        <v>17</v>
      </c>
      <c r="G8578" s="7">
        <v>3935339</v>
      </c>
      <c r="H8578" s="7">
        <v>2424</v>
      </c>
      <c r="I8578" s="7">
        <v>20</v>
      </c>
      <c r="J8578" s="7">
        <v>0</v>
      </c>
      <c r="K8578" s="7" t="s">
        <v>18</v>
      </c>
      <c r="L8578" s="8">
        <v>39987.315405092595</v>
      </c>
      <c r="M8578" s="9" t="s">
        <v>19</v>
      </c>
      <c r="N8578" s="9" t="s">
        <v>20</v>
      </c>
      <c r="O8578" s="6" t="str">
        <f>HYPERLINK("https://pbs.twimg.com/profile_images/962471262747529216/Uo8lOkRJ_normal.jpg","View")</f>
        <v>View</v>
      </c>
      <c r="P8578" s="7"/>
    </row>
    <row r="8579" spans="1:16">
      <c r="A8579" s="3">
        <v>44056.001539351855</v>
      </c>
      <c r="B8579" s="4" t="str">
        <f>HYPERLINK("https://twitter.com/petrogustavo","@petrogustavo")</f>
        <v>@petrogustavo</v>
      </c>
      <c r="C8579" s="5" t="s">
        <v>16</v>
      </c>
      <c r="D8579" s="5" t="s">
        <v>8260</v>
      </c>
      <c r="E8579" s="6" t="str">
        <f>HYPERLINK("https://twitter.com/petrogustavo/status/1293616294261030912","1293616294261030912")</f>
        <v>1293616294261030912</v>
      </c>
      <c r="F8579" s="7" t="s">
        <v>17</v>
      </c>
      <c r="G8579" s="7">
        <v>3935339</v>
      </c>
      <c r="H8579" s="7">
        <v>2424</v>
      </c>
      <c r="I8579" s="7">
        <v>24</v>
      </c>
      <c r="J8579" s="7">
        <v>0</v>
      </c>
      <c r="K8579" s="7" t="s">
        <v>18</v>
      </c>
      <c r="L8579" s="8">
        <v>39987.315405092595</v>
      </c>
      <c r="M8579" s="9" t="s">
        <v>19</v>
      </c>
      <c r="N8579" s="9" t="s">
        <v>20</v>
      </c>
      <c r="O8579" s="6" t="str">
        <f>HYPERLINK("https://pbs.twimg.com/profile_images/962471262747529216/Uo8lOkRJ_normal.jpg","View")</f>
        <v>View</v>
      </c>
      <c r="P8579" s="7"/>
    </row>
    <row r="8580" spans="1:16">
      <c r="A8580" s="3">
        <v>44056.001689814817</v>
      </c>
      <c r="B8580" s="4" t="str">
        <f>HYPERLINK("https://twitter.com/petrogustavo","@petrogustavo")</f>
        <v>@petrogustavo</v>
      </c>
      <c r="C8580" s="5" t="s">
        <v>16</v>
      </c>
      <c r="D8580" s="5" t="s">
        <v>8261</v>
      </c>
      <c r="E8580" s="6" t="str">
        <f>HYPERLINK("https://twitter.com/petrogustavo/status/1293616350615740417","1293616350615740417")</f>
        <v>1293616350615740417</v>
      </c>
      <c r="F8580" s="7" t="s">
        <v>17</v>
      </c>
      <c r="G8580" s="7">
        <v>3935339</v>
      </c>
      <c r="H8580" s="7">
        <v>2424</v>
      </c>
      <c r="I8580" s="7">
        <v>31</v>
      </c>
      <c r="J8580" s="7">
        <v>0</v>
      </c>
      <c r="K8580" s="7" t="s">
        <v>18</v>
      </c>
      <c r="L8580" s="8">
        <v>39987.315405092595</v>
      </c>
      <c r="M8580" s="9" t="s">
        <v>19</v>
      </c>
      <c r="N8580" s="9" t="s">
        <v>20</v>
      </c>
      <c r="O8580" s="6" t="str">
        <f>HYPERLINK("https://pbs.twimg.com/profile_images/962471262747529216/Uo8lOkRJ_normal.jpg","View")</f>
        <v>View</v>
      </c>
      <c r="P8580" s="7"/>
    </row>
    <row r="8581" spans="1:16">
      <c r="A8581" s="3">
        <v>44056.001828703702</v>
      </c>
      <c r="B8581" s="4" t="str">
        <f>HYPERLINK("https://twitter.com/petrogustavo","@petrogustavo")</f>
        <v>@petrogustavo</v>
      </c>
      <c r="C8581" s="5" t="s">
        <v>16</v>
      </c>
      <c r="D8581" s="5" t="s">
        <v>8262</v>
      </c>
      <c r="E8581" s="6" t="str">
        <f>HYPERLINK("https://twitter.com/petrogustavo/status/1293616399911473152","1293616399911473152")</f>
        <v>1293616399911473152</v>
      </c>
      <c r="F8581" s="7" t="s">
        <v>17</v>
      </c>
      <c r="G8581" s="7">
        <v>3935339</v>
      </c>
      <c r="H8581" s="7">
        <v>2424</v>
      </c>
      <c r="I8581" s="7">
        <v>19</v>
      </c>
      <c r="J8581" s="7">
        <v>0</v>
      </c>
      <c r="K8581" s="7" t="s">
        <v>18</v>
      </c>
      <c r="L8581" s="8">
        <v>39987.315405092595</v>
      </c>
      <c r="M8581" s="9" t="s">
        <v>19</v>
      </c>
      <c r="N8581" s="9" t="s">
        <v>20</v>
      </c>
      <c r="O8581" s="6" t="str">
        <f>HYPERLINK("https://pbs.twimg.com/profile_images/962471262747529216/Uo8lOkRJ_normal.jpg","View")</f>
        <v>View</v>
      </c>
      <c r="P8581" s="7"/>
    </row>
    <row r="8582" spans="1:16">
      <c r="A8582" s="3">
        <v>44056.001967592594</v>
      </c>
      <c r="B8582" s="4" t="str">
        <f>HYPERLINK("https://twitter.com/petrogustavo","@petrogustavo")</f>
        <v>@petrogustavo</v>
      </c>
      <c r="C8582" s="5" t="s">
        <v>16</v>
      </c>
      <c r="D8582" s="5" t="s">
        <v>8263</v>
      </c>
      <c r="E8582" s="6" t="str">
        <f>HYPERLINK("https://twitter.com/petrogustavo/status/1293616447961391104","1293616447961391104")</f>
        <v>1293616447961391104</v>
      </c>
      <c r="F8582" s="7" t="s">
        <v>17</v>
      </c>
      <c r="G8582" s="7">
        <v>3935339</v>
      </c>
      <c r="H8582" s="7">
        <v>2424</v>
      </c>
      <c r="I8582" s="7">
        <v>17</v>
      </c>
      <c r="J8582" s="7">
        <v>0</v>
      </c>
      <c r="K8582" s="7" t="s">
        <v>18</v>
      </c>
      <c r="L8582" s="8">
        <v>39987.315405092595</v>
      </c>
      <c r="M8582" s="9" t="s">
        <v>19</v>
      </c>
      <c r="N8582" s="9" t="s">
        <v>20</v>
      </c>
      <c r="O8582" s="6" t="str">
        <f>HYPERLINK("https://pbs.twimg.com/profile_images/962471262747529216/Uo8lOkRJ_normal.jpg","View")</f>
        <v>View</v>
      </c>
      <c r="P8582" s="7"/>
    </row>
    <row r="8583" spans="1:16">
      <c r="A8583" s="3">
        <v>44056.002210648148</v>
      </c>
      <c r="B8583" s="4" t="str">
        <f>HYPERLINK("https://twitter.com/petrogustavo","@petrogustavo")</f>
        <v>@petrogustavo</v>
      </c>
      <c r="C8583" s="5" t="s">
        <v>16</v>
      </c>
      <c r="D8583" s="5" t="s">
        <v>8264</v>
      </c>
      <c r="E8583" s="6" t="str">
        <f>HYPERLINK("https://twitter.com/petrogustavo/status/1293616538239602689","1293616538239602689")</f>
        <v>1293616538239602689</v>
      </c>
      <c r="F8583" s="7" t="s">
        <v>17</v>
      </c>
      <c r="G8583" s="7">
        <v>3935339</v>
      </c>
      <c r="H8583" s="7">
        <v>2424</v>
      </c>
      <c r="I8583" s="7">
        <v>29</v>
      </c>
      <c r="J8583" s="7">
        <v>0</v>
      </c>
      <c r="K8583" s="7" t="s">
        <v>18</v>
      </c>
      <c r="L8583" s="8">
        <v>39987.315405092595</v>
      </c>
      <c r="M8583" s="9" t="s">
        <v>19</v>
      </c>
      <c r="N8583" s="9" t="s">
        <v>20</v>
      </c>
      <c r="O8583" s="6" t="str">
        <f>HYPERLINK("https://pbs.twimg.com/profile_images/962471262747529216/Uo8lOkRJ_normal.jpg","View")</f>
        <v>View</v>
      </c>
      <c r="P8583" s="7"/>
    </row>
    <row r="8584" spans="1:16">
      <c r="A8584" s="3">
        <v>44056.002407407403</v>
      </c>
      <c r="B8584" s="4" t="str">
        <f>HYPERLINK("https://twitter.com/petrogustavo","@petrogustavo")</f>
        <v>@petrogustavo</v>
      </c>
      <c r="C8584" s="5" t="s">
        <v>16</v>
      </c>
      <c r="D8584" s="5" t="s">
        <v>8265</v>
      </c>
      <c r="E8584" s="6" t="str">
        <f>HYPERLINK("https://twitter.com/petrogustavo/status/1293616610280984579","1293616610280984579")</f>
        <v>1293616610280984579</v>
      </c>
      <c r="F8584" s="7" t="s">
        <v>17</v>
      </c>
      <c r="G8584" s="7">
        <v>3935339</v>
      </c>
      <c r="H8584" s="7">
        <v>2424</v>
      </c>
      <c r="I8584" s="7">
        <v>27</v>
      </c>
      <c r="J8584" s="7">
        <v>0</v>
      </c>
      <c r="K8584" s="7" t="s">
        <v>18</v>
      </c>
      <c r="L8584" s="8">
        <v>39987.315405092595</v>
      </c>
      <c r="M8584" s="9" t="s">
        <v>19</v>
      </c>
      <c r="N8584" s="9" t="s">
        <v>20</v>
      </c>
      <c r="O8584" s="6" t="str">
        <f>HYPERLINK("https://pbs.twimg.com/profile_images/962471262747529216/Uo8lOkRJ_normal.jpg","View")</f>
        <v>View</v>
      </c>
      <c r="P8584" s="7"/>
    </row>
    <row r="8585" spans="1:16">
      <c r="A8585" s="3">
        <v>44056.003263888888</v>
      </c>
      <c r="B8585" s="4" t="str">
        <f>HYPERLINK("https://twitter.com/petrogustavo","@petrogustavo")</f>
        <v>@petrogustavo</v>
      </c>
      <c r="C8585" s="5" t="s">
        <v>16</v>
      </c>
      <c r="D8585" s="5" t="s">
        <v>8266</v>
      </c>
      <c r="E8585" s="6" t="str">
        <f>HYPERLINK("https://twitter.com/petrogustavo/status/1293616920344834048","1293616920344834048")</f>
        <v>1293616920344834048</v>
      </c>
      <c r="F8585" s="7" t="s">
        <v>17</v>
      </c>
      <c r="G8585" s="7">
        <v>3935339</v>
      </c>
      <c r="H8585" s="7">
        <v>2424</v>
      </c>
      <c r="I8585" s="7">
        <v>14</v>
      </c>
      <c r="J8585" s="7">
        <v>0</v>
      </c>
      <c r="K8585" s="7" t="s">
        <v>18</v>
      </c>
      <c r="L8585" s="8">
        <v>39987.315405092595</v>
      </c>
      <c r="M8585" s="9" t="s">
        <v>19</v>
      </c>
      <c r="N8585" s="9" t="s">
        <v>20</v>
      </c>
      <c r="O8585" s="6" t="str">
        <f>HYPERLINK("https://pbs.twimg.com/profile_images/962471262747529216/Uo8lOkRJ_normal.jpg","View")</f>
        <v>View</v>
      </c>
      <c r="P8585" s="7"/>
    </row>
    <row r="8586" spans="1:16">
      <c r="A8586" s="3">
        <v>44056.003414351857</v>
      </c>
      <c r="B8586" s="4" t="str">
        <f>HYPERLINK("https://twitter.com/petrogustavo","@petrogustavo")</f>
        <v>@petrogustavo</v>
      </c>
      <c r="C8586" s="5" t="s">
        <v>16</v>
      </c>
      <c r="D8586" s="5" t="s">
        <v>8267</v>
      </c>
      <c r="E8586" s="6" t="str">
        <f>HYPERLINK("https://twitter.com/petrogustavo/status/1293616972245209088","1293616972245209088")</f>
        <v>1293616972245209088</v>
      </c>
      <c r="F8586" s="7" t="s">
        <v>17</v>
      </c>
      <c r="G8586" s="7">
        <v>3935339</v>
      </c>
      <c r="H8586" s="7">
        <v>2424</v>
      </c>
      <c r="I8586" s="7">
        <v>20</v>
      </c>
      <c r="J8586" s="7">
        <v>0</v>
      </c>
      <c r="K8586" s="7" t="s">
        <v>18</v>
      </c>
      <c r="L8586" s="8">
        <v>39987.315405092595</v>
      </c>
      <c r="M8586" s="9" t="s">
        <v>19</v>
      </c>
      <c r="N8586" s="9" t="s">
        <v>20</v>
      </c>
      <c r="O8586" s="6" t="str">
        <f>HYPERLINK("https://pbs.twimg.com/profile_images/962471262747529216/Uo8lOkRJ_normal.jpg","View")</f>
        <v>View</v>
      </c>
      <c r="P8586" s="7"/>
    </row>
    <row r="8587" spans="1:16">
      <c r="A8587" s="3">
        <v>44056.166562500002</v>
      </c>
      <c r="B8587" s="4" t="str">
        <f>HYPERLINK("https://twitter.com/petrogustavo","@petrogustavo")</f>
        <v>@petrogustavo</v>
      </c>
      <c r="C8587" s="5" t="s">
        <v>16</v>
      </c>
      <c r="D8587" s="5" t="s">
        <v>8268</v>
      </c>
      <c r="E8587" s="6" t="str">
        <f>HYPERLINK("https://twitter.com/petrogustavo/status/1293676097733828609","1293676097733828609")</f>
        <v>1293676097733828609</v>
      </c>
      <c r="F8587" s="7" t="s">
        <v>17</v>
      </c>
      <c r="G8587" s="7">
        <v>3935616</v>
      </c>
      <c r="H8587" s="7">
        <v>2424</v>
      </c>
      <c r="I8587" s="7">
        <v>243</v>
      </c>
      <c r="J8587" s="7">
        <v>617</v>
      </c>
      <c r="K8587" s="7" t="s">
        <v>18</v>
      </c>
      <c r="L8587" s="8">
        <v>39987.315405092595</v>
      </c>
      <c r="M8587" s="9" t="s">
        <v>19</v>
      </c>
      <c r="N8587" s="9" t="s">
        <v>20</v>
      </c>
      <c r="O8587" s="6" t="str">
        <f>HYPERLINK("https://pbs.twimg.com/profile_images/962471262747529216/Uo8lOkRJ_normal.jpg","View")</f>
        <v>View</v>
      </c>
      <c r="P8587" s="7"/>
    </row>
    <row r="8588" spans="1:16">
      <c r="A8588" s="3">
        <v>44056.17832175926</v>
      </c>
      <c r="B8588" s="4" t="str">
        <f>HYPERLINK("https://twitter.com/petrogustavo","@petrogustavo")</f>
        <v>@petrogustavo</v>
      </c>
      <c r="C8588" s="5" t="s">
        <v>16</v>
      </c>
      <c r="D8588" s="5" t="s">
        <v>8269</v>
      </c>
      <c r="E8588" s="6" t="str">
        <f>HYPERLINK("https://twitter.com/petrogustavo/status/1293680358546866176","1293680358546866176")</f>
        <v>1293680358546866176</v>
      </c>
      <c r="F8588" s="7" t="s">
        <v>32</v>
      </c>
      <c r="G8588" s="7">
        <v>3935616</v>
      </c>
      <c r="H8588" s="7">
        <v>2424</v>
      </c>
      <c r="I8588" s="7">
        <v>1</v>
      </c>
      <c r="J8588" s="7">
        <v>14</v>
      </c>
      <c r="K8588" s="7" t="s">
        <v>18</v>
      </c>
      <c r="L8588" s="8">
        <v>39987.315405092595</v>
      </c>
      <c r="M8588" s="9" t="s">
        <v>19</v>
      </c>
      <c r="N8588" s="9" t="s">
        <v>20</v>
      </c>
      <c r="O8588" s="6" t="str">
        <f>HYPERLINK("https://pbs.twimg.com/profile_images/962471262747529216/Uo8lOkRJ_normal.jpg","View")</f>
        <v>View</v>
      </c>
      <c r="P8588" s="7"/>
    </row>
    <row r="8589" spans="1:16">
      <c r="A8589" s="3">
        <v>44056.19530092593</v>
      </c>
      <c r="B8589" s="4" t="str">
        <f>HYPERLINK("https://twitter.com/petrogustavo","@petrogustavo")</f>
        <v>@petrogustavo</v>
      </c>
      <c r="C8589" s="5" t="s">
        <v>16</v>
      </c>
      <c r="D8589" s="5" t="s">
        <v>8270</v>
      </c>
      <c r="E8589" s="6" t="str">
        <f>HYPERLINK("https://twitter.com/petrogustavo/status/1293686513012809728","1293686513012809728")</f>
        <v>1293686513012809728</v>
      </c>
      <c r="F8589" s="7" t="s">
        <v>32</v>
      </c>
      <c r="G8589" s="7">
        <v>3935625</v>
      </c>
      <c r="H8589" s="7">
        <v>2423</v>
      </c>
      <c r="I8589" s="7">
        <v>27</v>
      </c>
      <c r="J8589" s="7">
        <v>73</v>
      </c>
      <c r="K8589" s="7" t="s">
        <v>18</v>
      </c>
      <c r="L8589" s="8">
        <v>39987.315405092595</v>
      </c>
      <c r="M8589" s="9" t="s">
        <v>19</v>
      </c>
      <c r="N8589" s="9" t="s">
        <v>20</v>
      </c>
      <c r="O8589" s="6" t="str">
        <f>HYPERLINK("https://pbs.twimg.com/profile_images/962471262747529216/Uo8lOkRJ_normal.jpg","View")</f>
        <v>View</v>
      </c>
      <c r="P8589" s="7"/>
    </row>
    <row r="8590" spans="1:16">
      <c r="A8590" s="3">
        <v>44056.207326388889</v>
      </c>
      <c r="B8590" s="4" t="str">
        <f>HYPERLINK("https://twitter.com/petrogustavo","@petrogustavo")</f>
        <v>@petrogustavo</v>
      </c>
      <c r="C8590" s="5" t="s">
        <v>16</v>
      </c>
      <c r="D8590" s="5" t="s">
        <v>8271</v>
      </c>
      <c r="E8590" s="6" t="str">
        <f>HYPERLINK("https://twitter.com/petrogustavo/status/1293690870148009989","1293690870148009989")</f>
        <v>1293690870148009989</v>
      </c>
      <c r="F8590" s="7" t="s">
        <v>32</v>
      </c>
      <c r="G8590" s="7">
        <v>3935665</v>
      </c>
      <c r="H8590" s="7">
        <v>2423</v>
      </c>
      <c r="I8590" s="7">
        <v>201</v>
      </c>
      <c r="J8590" s="7">
        <v>430</v>
      </c>
      <c r="K8590" s="7" t="s">
        <v>18</v>
      </c>
      <c r="L8590" s="8">
        <v>39987.315405092595</v>
      </c>
      <c r="M8590" s="9" t="s">
        <v>19</v>
      </c>
      <c r="N8590" s="9" t="s">
        <v>20</v>
      </c>
      <c r="O8590" s="6" t="str">
        <f>HYPERLINK("https://pbs.twimg.com/profile_images/962471262747529216/Uo8lOkRJ_normal.jpg","View")</f>
        <v>View</v>
      </c>
      <c r="P8590" s="7"/>
    </row>
    <row r="8591" spans="1:16">
      <c r="A8591" s="3">
        <v>44056.247118055559</v>
      </c>
      <c r="B8591" s="4" t="str">
        <f>HYPERLINK("https://twitter.com/petrogustavo","@petrogustavo")</f>
        <v>@petrogustavo</v>
      </c>
      <c r="C8591" s="5" t="s">
        <v>16</v>
      </c>
      <c r="D8591" s="5" t="s">
        <v>8272</v>
      </c>
      <c r="E8591" s="6" t="str">
        <f>HYPERLINK("https://twitter.com/petrogustavo/status/1293705288772718592","1293705288772718592")</f>
        <v>1293705288772718592</v>
      </c>
      <c r="F8591" s="7" t="s">
        <v>32</v>
      </c>
      <c r="G8591" s="7">
        <v>3935703</v>
      </c>
      <c r="H8591" s="7">
        <v>2423</v>
      </c>
      <c r="I8591" s="7">
        <v>21</v>
      </c>
      <c r="J8591" s="7">
        <v>0</v>
      </c>
      <c r="K8591" s="7" t="s">
        <v>18</v>
      </c>
      <c r="L8591" s="8">
        <v>39987.315405092595</v>
      </c>
      <c r="M8591" s="9" t="s">
        <v>19</v>
      </c>
      <c r="N8591" s="9" t="s">
        <v>20</v>
      </c>
      <c r="O8591" s="6" t="str">
        <f>HYPERLINK("https://pbs.twimg.com/profile_images/962471262747529216/Uo8lOkRJ_normal.jpg","View")</f>
        <v>View</v>
      </c>
      <c r="P8591" s="7"/>
    </row>
    <row r="8592" spans="1:16">
      <c r="A8592" s="3">
        <v>44056.256793981476</v>
      </c>
      <c r="B8592" s="4" t="str">
        <f>HYPERLINK("https://twitter.com/petrogustavo","@petrogustavo")</f>
        <v>@petrogustavo</v>
      </c>
      <c r="C8592" s="5" t="s">
        <v>16</v>
      </c>
      <c r="D8592" s="5" t="s">
        <v>8273</v>
      </c>
      <c r="E8592" s="6" t="str">
        <f>HYPERLINK("https://twitter.com/petrogustavo/status/1293708796716625921","1293708796716625921")</f>
        <v>1293708796716625921</v>
      </c>
      <c r="F8592" s="7" t="s">
        <v>32</v>
      </c>
      <c r="G8592" s="7">
        <v>3935733</v>
      </c>
      <c r="H8592" s="7">
        <v>2423</v>
      </c>
      <c r="I8592" s="7">
        <v>50</v>
      </c>
      <c r="J8592" s="7">
        <v>0</v>
      </c>
      <c r="K8592" s="7" t="s">
        <v>18</v>
      </c>
      <c r="L8592" s="8">
        <v>39987.315405092595</v>
      </c>
      <c r="M8592" s="9" t="s">
        <v>19</v>
      </c>
      <c r="N8592" s="9" t="s">
        <v>20</v>
      </c>
      <c r="O8592" s="6" t="str">
        <f>HYPERLINK("https://pbs.twimg.com/profile_images/962471262747529216/Uo8lOkRJ_normal.jpg","View")</f>
        <v>View</v>
      </c>
      <c r="P8592" s="7"/>
    </row>
    <row r="8593" spans="1:16">
      <c r="A8593" s="3">
        <v>44056.25712962963</v>
      </c>
      <c r="B8593" s="4" t="str">
        <f>HYPERLINK("https://twitter.com/petrogustavo","@petrogustavo")</f>
        <v>@petrogustavo</v>
      </c>
      <c r="C8593" s="5" t="s">
        <v>16</v>
      </c>
      <c r="D8593" s="5" t="s">
        <v>8274</v>
      </c>
      <c r="E8593" s="6" t="str">
        <f>HYPERLINK("https://twitter.com/petrogustavo/status/1293708915788713984","1293708915788713984")</f>
        <v>1293708915788713984</v>
      </c>
      <c r="F8593" s="7" t="s">
        <v>32</v>
      </c>
      <c r="G8593" s="7">
        <v>3935733</v>
      </c>
      <c r="H8593" s="7">
        <v>2423</v>
      </c>
      <c r="I8593" s="7">
        <v>1025</v>
      </c>
      <c r="J8593" s="7">
        <v>0</v>
      </c>
      <c r="K8593" s="7" t="s">
        <v>18</v>
      </c>
      <c r="L8593" s="8">
        <v>39987.315405092595</v>
      </c>
      <c r="M8593" s="9" t="s">
        <v>19</v>
      </c>
      <c r="N8593" s="9" t="s">
        <v>20</v>
      </c>
      <c r="O8593" s="6" t="str">
        <f>HYPERLINK("https://pbs.twimg.com/profile_images/962471262747529216/Uo8lOkRJ_normal.jpg","View")</f>
        <v>View</v>
      </c>
      <c r="P8593" s="7"/>
    </row>
    <row r="8594" spans="1:16">
      <c r="A8594" s="3">
        <v>44056.265011574069</v>
      </c>
      <c r="B8594" s="4" t="str">
        <f>HYPERLINK("https://twitter.com/petrogustavo","@petrogustavo")</f>
        <v>@petrogustavo</v>
      </c>
      <c r="C8594" s="5" t="s">
        <v>16</v>
      </c>
      <c r="D8594" s="5" t="s">
        <v>8275</v>
      </c>
      <c r="E8594" s="6" t="str">
        <f>HYPERLINK("https://twitter.com/petrogustavo/status/1293711772696956929","1293711772696956929")</f>
        <v>1293711772696956929</v>
      </c>
      <c r="F8594" s="7" t="s">
        <v>32</v>
      </c>
      <c r="G8594" s="7">
        <v>3935733</v>
      </c>
      <c r="H8594" s="7">
        <v>2423</v>
      </c>
      <c r="I8594" s="7">
        <v>64</v>
      </c>
      <c r="J8594" s="7">
        <v>250</v>
      </c>
      <c r="K8594" s="7" t="s">
        <v>18</v>
      </c>
      <c r="L8594" s="8">
        <v>39987.315405092595</v>
      </c>
      <c r="M8594" s="9" t="s">
        <v>19</v>
      </c>
      <c r="N8594" s="9" t="s">
        <v>20</v>
      </c>
      <c r="O8594" s="6" t="str">
        <f>HYPERLINK("https://pbs.twimg.com/profile_images/962471262747529216/Uo8lOkRJ_normal.jpg","View")</f>
        <v>View</v>
      </c>
      <c r="P8594" s="7"/>
    </row>
    <row r="8595" spans="1:16">
      <c r="A8595" s="3">
        <v>44056.267442129625</v>
      </c>
      <c r="B8595" s="4" t="str">
        <f>HYPERLINK("https://twitter.com/petrogustavo","@petrogustavo")</f>
        <v>@petrogustavo</v>
      </c>
      <c r="C8595" s="5" t="s">
        <v>16</v>
      </c>
      <c r="D8595" s="5" t="s">
        <v>8276</v>
      </c>
      <c r="E8595" s="6" t="str">
        <f>HYPERLINK("https://twitter.com/petrogustavo/status/1293712653748187136","1293712653748187136")</f>
        <v>1293712653748187136</v>
      </c>
      <c r="F8595" s="7" t="s">
        <v>32</v>
      </c>
      <c r="G8595" s="7">
        <v>3935733</v>
      </c>
      <c r="H8595" s="7">
        <v>2423</v>
      </c>
      <c r="I8595" s="7">
        <v>29</v>
      </c>
      <c r="J8595" s="7">
        <v>111</v>
      </c>
      <c r="K8595" s="7" t="s">
        <v>18</v>
      </c>
      <c r="L8595" s="8">
        <v>39987.315405092595</v>
      </c>
      <c r="M8595" s="9" t="s">
        <v>19</v>
      </c>
      <c r="N8595" s="9" t="s">
        <v>20</v>
      </c>
      <c r="O8595" s="6" t="str">
        <f>HYPERLINK("https://pbs.twimg.com/profile_images/962471262747529216/Uo8lOkRJ_normal.jpg","View")</f>
        <v>View</v>
      </c>
      <c r="P8595" s="7"/>
    </row>
    <row r="8596" spans="1:16">
      <c r="A8596" s="3">
        <v>44056.272465277776</v>
      </c>
      <c r="B8596" s="4" t="str">
        <f>HYPERLINK("https://twitter.com/petrogustavo","@petrogustavo")</f>
        <v>@petrogustavo</v>
      </c>
      <c r="C8596" s="5" t="s">
        <v>16</v>
      </c>
      <c r="D8596" s="5" t="s">
        <v>8277</v>
      </c>
      <c r="E8596" s="6" t="str">
        <f>HYPERLINK("https://twitter.com/petrogustavo/status/1293714476424994816","1293714476424994816")</f>
        <v>1293714476424994816</v>
      </c>
      <c r="F8596" s="7" t="s">
        <v>32</v>
      </c>
      <c r="G8596" s="7">
        <v>3935733</v>
      </c>
      <c r="H8596" s="7">
        <v>2423</v>
      </c>
      <c r="I8596" s="7">
        <v>363</v>
      </c>
      <c r="J8596" s="7">
        <v>0</v>
      </c>
      <c r="K8596" s="7" t="s">
        <v>18</v>
      </c>
      <c r="L8596" s="8">
        <v>39987.315405092595</v>
      </c>
      <c r="M8596" s="9" t="s">
        <v>19</v>
      </c>
      <c r="N8596" s="9" t="s">
        <v>20</v>
      </c>
      <c r="O8596" s="6" t="str">
        <f>HYPERLINK("https://pbs.twimg.com/profile_images/962471262747529216/Uo8lOkRJ_normal.jpg","View")</f>
        <v>View</v>
      </c>
      <c r="P8596" s="7"/>
    </row>
    <row r="8597" spans="1:16">
      <c r="A8597" s="3">
        <v>44056.292476851857</v>
      </c>
      <c r="B8597" s="4" t="str">
        <f>HYPERLINK("https://twitter.com/petrogustavo","@petrogustavo")</f>
        <v>@petrogustavo</v>
      </c>
      <c r="C8597" s="5" t="s">
        <v>16</v>
      </c>
      <c r="D8597" s="5" t="s">
        <v>8278</v>
      </c>
      <c r="E8597" s="6" t="str">
        <f>HYPERLINK("https://twitter.com/petrogustavo/status/1293721728053583876","1293721728053583876")</f>
        <v>1293721728053583876</v>
      </c>
      <c r="F8597" s="7" t="s">
        <v>17</v>
      </c>
      <c r="G8597" s="7">
        <v>3935765</v>
      </c>
      <c r="H8597" s="7">
        <v>2423</v>
      </c>
      <c r="I8597" s="7">
        <v>17</v>
      </c>
      <c r="J8597" s="7">
        <v>0</v>
      </c>
      <c r="K8597" s="7" t="s">
        <v>18</v>
      </c>
      <c r="L8597" s="8">
        <v>39987.315405092595</v>
      </c>
      <c r="M8597" s="9" t="s">
        <v>19</v>
      </c>
      <c r="N8597" s="9" t="s">
        <v>20</v>
      </c>
      <c r="O8597" s="6" t="str">
        <f>HYPERLINK("https://pbs.twimg.com/profile_images/962471262747529216/Uo8lOkRJ_normal.jpg","View")</f>
        <v>View</v>
      </c>
      <c r="P8597" s="7"/>
    </row>
    <row r="8598" spans="1:16">
      <c r="A8598" s="3">
        <v>44056.29409722222</v>
      </c>
      <c r="B8598" s="4" t="str">
        <f>HYPERLINK("https://twitter.com/petrogustavo","@petrogustavo")</f>
        <v>@petrogustavo</v>
      </c>
      <c r="C8598" s="5" t="s">
        <v>16</v>
      </c>
      <c r="D8598" s="5" t="s">
        <v>8279</v>
      </c>
      <c r="E8598" s="6" t="str">
        <f>HYPERLINK("https://twitter.com/petrogustavo/status/1293722313800798208","1293722313800798208")</f>
        <v>1293722313800798208</v>
      </c>
      <c r="F8598" s="7" t="s">
        <v>17</v>
      </c>
      <c r="G8598" s="7">
        <v>3935765</v>
      </c>
      <c r="H8598" s="7">
        <v>2423</v>
      </c>
      <c r="I8598" s="7">
        <v>10</v>
      </c>
      <c r="J8598" s="7">
        <v>29</v>
      </c>
      <c r="K8598" s="7" t="s">
        <v>18</v>
      </c>
      <c r="L8598" s="8">
        <v>39987.315405092595</v>
      </c>
      <c r="M8598" s="9" t="s">
        <v>19</v>
      </c>
      <c r="N8598" s="9" t="s">
        <v>20</v>
      </c>
      <c r="O8598" s="6" t="str">
        <f>HYPERLINK("https://pbs.twimg.com/profile_images/962471262747529216/Uo8lOkRJ_normal.jpg","View")</f>
        <v>View</v>
      </c>
      <c r="P8598" s="7"/>
    </row>
    <row r="8599" spans="1:16">
      <c r="A8599" s="3">
        <v>44056.294641203705</v>
      </c>
      <c r="B8599" s="4" t="str">
        <f>HYPERLINK("https://twitter.com/petrogustavo","@petrogustavo")</f>
        <v>@petrogustavo</v>
      </c>
      <c r="C8599" s="5" t="s">
        <v>16</v>
      </c>
      <c r="D8599" s="5" t="s">
        <v>8280</v>
      </c>
      <c r="E8599" s="6" t="str">
        <f>HYPERLINK("https://twitter.com/petrogustavo/status/1293722509980901377","1293722509980901377")</f>
        <v>1293722509980901377</v>
      </c>
      <c r="F8599" s="7" t="s">
        <v>17</v>
      </c>
      <c r="G8599" s="7">
        <v>3935800</v>
      </c>
      <c r="H8599" s="7">
        <v>2423</v>
      </c>
      <c r="I8599" s="7">
        <v>74</v>
      </c>
      <c r="J8599" s="7">
        <v>0</v>
      </c>
      <c r="K8599" s="7" t="s">
        <v>18</v>
      </c>
      <c r="L8599" s="8">
        <v>39987.315405092595</v>
      </c>
      <c r="M8599" s="9" t="s">
        <v>19</v>
      </c>
      <c r="N8599" s="9" t="s">
        <v>20</v>
      </c>
      <c r="O8599" s="6" t="str">
        <f>HYPERLINK("https://pbs.twimg.com/profile_images/962471262747529216/Uo8lOkRJ_normal.jpg","View")</f>
        <v>View</v>
      </c>
      <c r="P8599" s="7"/>
    </row>
    <row r="8600" spans="1:16">
      <c r="A8600" s="3">
        <v>44056.29482638889</v>
      </c>
      <c r="B8600" s="4" t="str">
        <f>HYPERLINK("https://twitter.com/petrogustavo","@petrogustavo")</f>
        <v>@petrogustavo</v>
      </c>
      <c r="C8600" s="5" t="s">
        <v>16</v>
      </c>
      <c r="D8600" s="5" t="s">
        <v>8281</v>
      </c>
      <c r="E8600" s="6" t="str">
        <f>HYPERLINK("https://twitter.com/petrogustavo/status/1293722579581243400","1293722579581243400")</f>
        <v>1293722579581243400</v>
      </c>
      <c r="F8600" s="7" t="s">
        <v>17</v>
      </c>
      <c r="G8600" s="7">
        <v>3935800</v>
      </c>
      <c r="H8600" s="7">
        <v>2423</v>
      </c>
      <c r="I8600" s="7">
        <v>58</v>
      </c>
      <c r="J8600" s="7">
        <v>0</v>
      </c>
      <c r="K8600" s="7" t="s">
        <v>18</v>
      </c>
      <c r="L8600" s="8">
        <v>39987.315405092595</v>
      </c>
      <c r="M8600" s="9" t="s">
        <v>19</v>
      </c>
      <c r="N8600" s="9" t="s">
        <v>20</v>
      </c>
      <c r="O8600" s="6" t="str">
        <f>HYPERLINK("https://pbs.twimg.com/profile_images/962471262747529216/Uo8lOkRJ_normal.jpg","View")</f>
        <v>View</v>
      </c>
      <c r="P8600" s="7"/>
    </row>
    <row r="8601" spans="1:16">
      <c r="A8601" s="3">
        <v>44056.295613425929</v>
      </c>
      <c r="B8601" s="4" t="str">
        <f>HYPERLINK("https://twitter.com/petrogustavo","@petrogustavo")</f>
        <v>@petrogustavo</v>
      </c>
      <c r="C8601" s="5" t="s">
        <v>16</v>
      </c>
      <c r="D8601" s="5" t="s">
        <v>8282</v>
      </c>
      <c r="E8601" s="6" t="str">
        <f>HYPERLINK("https://twitter.com/petrogustavo/status/1293722863573389313","1293722863573389313")</f>
        <v>1293722863573389313</v>
      </c>
      <c r="F8601" s="7" t="s">
        <v>17</v>
      </c>
      <c r="G8601" s="7">
        <v>3935800</v>
      </c>
      <c r="H8601" s="7">
        <v>2423</v>
      </c>
      <c r="I8601" s="7">
        <v>3857</v>
      </c>
      <c r="J8601" s="7">
        <v>0</v>
      </c>
      <c r="K8601" s="7" t="s">
        <v>18</v>
      </c>
      <c r="L8601" s="8">
        <v>39987.315405092595</v>
      </c>
      <c r="M8601" s="9" t="s">
        <v>19</v>
      </c>
      <c r="N8601" s="9" t="s">
        <v>20</v>
      </c>
      <c r="O8601" s="6" t="str">
        <f>HYPERLINK("https://pbs.twimg.com/profile_images/962471262747529216/Uo8lOkRJ_normal.jpg","View")</f>
        <v>View</v>
      </c>
      <c r="P8601" s="7"/>
    </row>
    <row r="8602" spans="1:16">
      <c r="A8602" s="3">
        <v>44056.297974537039</v>
      </c>
      <c r="B8602" s="4" t="str">
        <f>HYPERLINK("https://twitter.com/petrogustavo","@petrogustavo")</f>
        <v>@petrogustavo</v>
      </c>
      <c r="C8602" s="5" t="s">
        <v>16</v>
      </c>
      <c r="D8602" s="5" t="s">
        <v>8283</v>
      </c>
      <c r="E8602" s="6" t="str">
        <f>HYPERLINK("https://twitter.com/petrogustavo/status/1293723720587120640","1293723720587120640")</f>
        <v>1293723720587120640</v>
      </c>
      <c r="F8602" s="7" t="s">
        <v>17</v>
      </c>
      <c r="G8602" s="7">
        <v>3935800</v>
      </c>
      <c r="H8602" s="7">
        <v>2423</v>
      </c>
      <c r="I8602" s="7">
        <v>1195</v>
      </c>
      <c r="J8602" s="7">
        <v>0</v>
      </c>
      <c r="K8602" s="7" t="s">
        <v>18</v>
      </c>
      <c r="L8602" s="8">
        <v>39987.315405092595</v>
      </c>
      <c r="M8602" s="9" t="s">
        <v>19</v>
      </c>
      <c r="N8602" s="9" t="s">
        <v>20</v>
      </c>
      <c r="O8602" s="6" t="str">
        <f>HYPERLINK("https://pbs.twimg.com/profile_images/962471262747529216/Uo8lOkRJ_normal.jpg","View")</f>
        <v>View</v>
      </c>
      <c r="P8602" s="7"/>
    </row>
    <row r="8603" spans="1:16">
      <c r="A8603" s="3">
        <v>44056.302118055552</v>
      </c>
      <c r="B8603" s="4" t="str">
        <f>HYPERLINK("https://twitter.com/petrogustavo","@petrogustavo")</f>
        <v>@petrogustavo</v>
      </c>
      <c r="C8603" s="5" t="s">
        <v>16</v>
      </c>
      <c r="D8603" s="5" t="s">
        <v>8284</v>
      </c>
      <c r="E8603" s="6" t="str">
        <f>HYPERLINK("https://twitter.com/petrogustavo/status/1293725220793208838","1293725220793208838")</f>
        <v>1293725220793208838</v>
      </c>
      <c r="F8603" s="7" t="s">
        <v>17</v>
      </c>
      <c r="G8603" s="7">
        <v>3935800</v>
      </c>
      <c r="H8603" s="7">
        <v>2423</v>
      </c>
      <c r="I8603" s="7">
        <v>405</v>
      </c>
      <c r="J8603" s="7">
        <v>0</v>
      </c>
      <c r="K8603" s="7" t="s">
        <v>18</v>
      </c>
      <c r="L8603" s="8">
        <v>39987.315405092595</v>
      </c>
      <c r="M8603" s="9" t="s">
        <v>19</v>
      </c>
      <c r="N8603" s="9" t="s">
        <v>20</v>
      </c>
      <c r="O8603" s="6" t="str">
        <f>HYPERLINK("https://pbs.twimg.com/profile_images/962471262747529216/Uo8lOkRJ_normal.jpg","View")</f>
        <v>View</v>
      </c>
      <c r="P8603" s="7"/>
    </row>
    <row r="8604" spans="1:16">
      <c r="A8604" s="3">
        <v>44056.304849537039</v>
      </c>
      <c r="B8604" s="4" t="str">
        <f>HYPERLINK("https://twitter.com/petrogustavo","@petrogustavo")</f>
        <v>@petrogustavo</v>
      </c>
      <c r="C8604" s="5" t="s">
        <v>16</v>
      </c>
      <c r="D8604" s="5" t="s">
        <v>8285</v>
      </c>
      <c r="E8604" s="6" t="str">
        <f>HYPERLINK("https://twitter.com/petrogustavo/status/1293726212032995328","1293726212032995328")</f>
        <v>1293726212032995328</v>
      </c>
      <c r="F8604" s="7" t="s">
        <v>17</v>
      </c>
      <c r="G8604" s="7">
        <v>3935800</v>
      </c>
      <c r="H8604" s="7">
        <v>2423</v>
      </c>
      <c r="I8604" s="7">
        <v>97</v>
      </c>
      <c r="J8604" s="7">
        <v>190</v>
      </c>
      <c r="K8604" s="7" t="s">
        <v>18</v>
      </c>
      <c r="L8604" s="8">
        <v>39987.315405092595</v>
      </c>
      <c r="M8604" s="9" t="s">
        <v>19</v>
      </c>
      <c r="N8604" s="9" t="s">
        <v>20</v>
      </c>
      <c r="O8604" s="6" t="str">
        <f>HYPERLINK("https://pbs.twimg.com/profile_images/962471262747529216/Uo8lOkRJ_normal.jpg","View")</f>
        <v>View</v>
      </c>
      <c r="P8604" s="7"/>
    </row>
    <row r="8605" spans="1:16">
      <c r="A8605" s="3">
        <v>44056.308611111112</v>
      </c>
      <c r="B8605" s="4" t="str">
        <f>HYPERLINK("https://twitter.com/petrogustavo","@petrogustavo")</f>
        <v>@petrogustavo</v>
      </c>
      <c r="C8605" s="5" t="s">
        <v>16</v>
      </c>
      <c r="D8605" s="5" t="s">
        <v>8286</v>
      </c>
      <c r="E8605" s="6" t="str">
        <f>HYPERLINK("https://twitter.com/petrogustavo/status/1293727571734142976","1293727571734142976")</f>
        <v>1293727571734142976</v>
      </c>
      <c r="F8605" s="7" t="s">
        <v>17</v>
      </c>
      <c r="G8605" s="7">
        <v>3935800</v>
      </c>
      <c r="H8605" s="7">
        <v>2423</v>
      </c>
      <c r="I8605" s="7">
        <v>286</v>
      </c>
      <c r="J8605" s="7">
        <v>824</v>
      </c>
      <c r="K8605" s="7" t="s">
        <v>18</v>
      </c>
      <c r="L8605" s="8">
        <v>39987.315405092595</v>
      </c>
      <c r="M8605" s="9" t="s">
        <v>19</v>
      </c>
      <c r="N8605" s="9" t="s">
        <v>20</v>
      </c>
      <c r="O8605" s="6" t="str">
        <f>HYPERLINK("https://pbs.twimg.com/profile_images/962471262747529216/Uo8lOkRJ_normal.jpg","View")</f>
        <v>View</v>
      </c>
      <c r="P8605" s="7"/>
    </row>
    <row r="8606" spans="1:16">
      <c r="A8606" s="3">
        <v>44056.312245370369</v>
      </c>
      <c r="B8606" s="4" t="str">
        <f>HYPERLINK("https://twitter.com/petrogustavo","@petrogustavo")</f>
        <v>@petrogustavo</v>
      </c>
      <c r="C8606" s="5" t="s">
        <v>16</v>
      </c>
      <c r="D8606" s="5" t="s">
        <v>8287</v>
      </c>
      <c r="E8606" s="6" t="str">
        <f>HYPERLINK("https://twitter.com/petrogustavo/status/1293728889299181571","1293728889299181571")</f>
        <v>1293728889299181571</v>
      </c>
      <c r="F8606" s="7" t="s">
        <v>17</v>
      </c>
      <c r="G8606" s="7">
        <v>3935800</v>
      </c>
      <c r="H8606" s="7">
        <v>2423</v>
      </c>
      <c r="I8606" s="7">
        <v>19</v>
      </c>
      <c r="J8606" s="7">
        <v>46</v>
      </c>
      <c r="K8606" s="7" t="s">
        <v>18</v>
      </c>
      <c r="L8606" s="8">
        <v>39987.315405092595</v>
      </c>
      <c r="M8606" s="9" t="s">
        <v>19</v>
      </c>
      <c r="N8606" s="9" t="s">
        <v>20</v>
      </c>
      <c r="O8606" s="6" t="str">
        <f>HYPERLINK("https://pbs.twimg.com/profile_images/962471262747529216/Uo8lOkRJ_normal.jpg","View")</f>
        <v>View</v>
      </c>
      <c r="P8606" s="7"/>
    </row>
    <row r="8607" spans="1:16">
      <c r="A8607" s="3">
        <v>44056.778993055559</v>
      </c>
      <c r="B8607" s="4" t="str">
        <f>HYPERLINK("https://twitter.com/petrogustavo","@petrogustavo")</f>
        <v>@petrogustavo</v>
      </c>
      <c r="C8607" s="5" t="s">
        <v>16</v>
      </c>
      <c r="D8607" s="5" t="s">
        <v>8288</v>
      </c>
      <c r="E8607" s="6" t="str">
        <f>HYPERLINK("https://twitter.com/petrogustavo/status/1293898035693584385","1293898035693584385")</f>
        <v>1293898035693584385</v>
      </c>
      <c r="F8607" s="7" t="s">
        <v>17</v>
      </c>
      <c r="G8607" s="7">
        <v>3936111</v>
      </c>
      <c r="H8607" s="7">
        <v>2423</v>
      </c>
      <c r="I8607" s="7">
        <v>224</v>
      </c>
      <c r="J8607" s="7">
        <v>0</v>
      </c>
      <c r="K8607" s="7" t="s">
        <v>18</v>
      </c>
      <c r="L8607" s="8">
        <v>39987.315405092595</v>
      </c>
      <c r="M8607" s="9" t="s">
        <v>19</v>
      </c>
      <c r="N8607" s="9" t="s">
        <v>20</v>
      </c>
      <c r="O8607" s="6" t="str">
        <f>HYPERLINK("https://pbs.twimg.com/profile_images/962471262747529216/Uo8lOkRJ_normal.jpg","View")</f>
        <v>View</v>
      </c>
      <c r="P8607" s="7"/>
    </row>
    <row r="8608" spans="1:16">
      <c r="A8608" s="3">
        <v>44056.7809837963</v>
      </c>
      <c r="B8608" s="4" t="str">
        <f>HYPERLINK("https://twitter.com/petrogustavo","@petrogustavo")</f>
        <v>@petrogustavo</v>
      </c>
      <c r="C8608" s="5" t="s">
        <v>16</v>
      </c>
      <c r="D8608" s="5" t="s">
        <v>8289</v>
      </c>
      <c r="E8608" s="6" t="str">
        <f>HYPERLINK("https://twitter.com/petrogustavo/status/1293898755276709890","1293898755276709890")</f>
        <v>1293898755276709890</v>
      </c>
      <c r="F8608" s="7" t="s">
        <v>17</v>
      </c>
      <c r="G8608" s="7">
        <v>3936111</v>
      </c>
      <c r="H8608" s="7">
        <v>2423</v>
      </c>
      <c r="I8608" s="7">
        <v>158</v>
      </c>
      <c r="J8608" s="7">
        <v>434</v>
      </c>
      <c r="K8608" s="7" t="s">
        <v>18</v>
      </c>
      <c r="L8608" s="8">
        <v>39987.315405092595</v>
      </c>
      <c r="M8608" s="9" t="s">
        <v>19</v>
      </c>
      <c r="N8608" s="9" t="s">
        <v>20</v>
      </c>
      <c r="O8608" s="6" t="str">
        <f>HYPERLINK("https://pbs.twimg.com/profile_images/962471262747529216/Uo8lOkRJ_normal.jpg","View")</f>
        <v>View</v>
      </c>
      <c r="P8608" s="7"/>
    </row>
    <row r="8609" spans="1:16">
      <c r="A8609" s="3">
        <v>44056.782071759255</v>
      </c>
      <c r="B8609" s="4" t="str">
        <f>HYPERLINK("https://twitter.com/petrogustavo","@petrogustavo")</f>
        <v>@petrogustavo</v>
      </c>
      <c r="C8609" s="5" t="s">
        <v>16</v>
      </c>
      <c r="D8609" s="5" t="s">
        <v>8290</v>
      </c>
      <c r="E8609" s="6" t="str">
        <f>HYPERLINK("https://twitter.com/petrogustavo/status/1293899148396236800","1293899148396236800")</f>
        <v>1293899148396236800</v>
      </c>
      <c r="F8609" s="7" t="s">
        <v>17</v>
      </c>
      <c r="G8609" s="7">
        <v>3936111</v>
      </c>
      <c r="H8609" s="7">
        <v>2423</v>
      </c>
      <c r="I8609" s="7">
        <v>239</v>
      </c>
      <c r="J8609" s="7">
        <v>0</v>
      </c>
      <c r="K8609" s="7" t="s">
        <v>18</v>
      </c>
      <c r="L8609" s="8">
        <v>39987.315405092595</v>
      </c>
      <c r="M8609" s="9" t="s">
        <v>19</v>
      </c>
      <c r="N8609" s="9" t="s">
        <v>20</v>
      </c>
      <c r="O8609" s="6" t="str">
        <f>HYPERLINK("https://pbs.twimg.com/profile_images/962471262747529216/Uo8lOkRJ_normal.jpg","View")</f>
        <v>View</v>
      </c>
      <c r="P8609" s="7"/>
    </row>
    <row r="8610" spans="1:16">
      <c r="A8610" s="3">
        <v>44056.78497685185</v>
      </c>
      <c r="B8610" s="4" t="str">
        <f>HYPERLINK("https://twitter.com/petrogustavo","@petrogustavo")</f>
        <v>@petrogustavo</v>
      </c>
      <c r="C8610" s="5" t="s">
        <v>16</v>
      </c>
      <c r="D8610" s="5" t="s">
        <v>8291</v>
      </c>
      <c r="E8610" s="6" t="str">
        <f>HYPERLINK("https://twitter.com/petrogustavo/status/1293900202047352832","1293900202047352832")</f>
        <v>1293900202047352832</v>
      </c>
      <c r="F8610" s="7" t="s">
        <v>17</v>
      </c>
      <c r="G8610" s="7">
        <v>3936111</v>
      </c>
      <c r="H8610" s="7">
        <v>2423</v>
      </c>
      <c r="I8610" s="7">
        <v>51</v>
      </c>
      <c r="J8610" s="7">
        <v>165</v>
      </c>
      <c r="K8610" s="7" t="s">
        <v>18</v>
      </c>
      <c r="L8610" s="8">
        <v>39987.315405092595</v>
      </c>
      <c r="M8610" s="9" t="s">
        <v>19</v>
      </c>
      <c r="N8610" s="9" t="s">
        <v>20</v>
      </c>
      <c r="O8610" s="6" t="str">
        <f>HYPERLINK("https://pbs.twimg.com/profile_images/962471262747529216/Uo8lOkRJ_normal.jpg","View")</f>
        <v>View</v>
      </c>
      <c r="P8610" s="7"/>
    </row>
    <row r="8611" spans="1:16">
      <c r="A8611" s="3">
        <v>44056.79005787037</v>
      </c>
      <c r="B8611" s="4" t="str">
        <f>HYPERLINK("https://twitter.com/petrogustavo","@petrogustavo")</f>
        <v>@petrogustavo</v>
      </c>
      <c r="C8611" s="5" t="s">
        <v>16</v>
      </c>
      <c r="D8611" s="5" t="s">
        <v>8292</v>
      </c>
      <c r="E8611" s="6" t="str">
        <f>HYPERLINK("https://twitter.com/petrogustavo/status/1293902044500242432","1293902044500242432")</f>
        <v>1293902044500242432</v>
      </c>
      <c r="F8611" s="7" t="s">
        <v>17</v>
      </c>
      <c r="G8611" s="7">
        <v>3936111</v>
      </c>
      <c r="H8611" s="7">
        <v>2423</v>
      </c>
      <c r="I8611" s="7">
        <v>20</v>
      </c>
      <c r="J8611" s="7">
        <v>39</v>
      </c>
      <c r="K8611" s="7" t="s">
        <v>18</v>
      </c>
      <c r="L8611" s="8">
        <v>39987.315405092595</v>
      </c>
      <c r="M8611" s="9" t="s">
        <v>19</v>
      </c>
      <c r="N8611" s="9" t="s">
        <v>20</v>
      </c>
      <c r="O8611" s="6" t="str">
        <f>HYPERLINK("https://pbs.twimg.com/profile_images/962471262747529216/Uo8lOkRJ_normal.jpg","View")</f>
        <v>View</v>
      </c>
      <c r="P8611" s="7"/>
    </row>
    <row r="8612" spans="1:16">
      <c r="A8612" s="3">
        <v>44056.790231481486</v>
      </c>
      <c r="B8612" s="4" t="str">
        <f>HYPERLINK("https://twitter.com/petrogustavo","@petrogustavo")</f>
        <v>@petrogustavo</v>
      </c>
      <c r="C8612" s="5" t="s">
        <v>16</v>
      </c>
      <c r="D8612" s="5" t="s">
        <v>8293</v>
      </c>
      <c r="E8612" s="6" t="str">
        <f>HYPERLINK("https://twitter.com/petrogustavo/status/1293902105745465344","1293902105745465344")</f>
        <v>1293902105745465344</v>
      </c>
      <c r="F8612" s="7" t="s">
        <v>17</v>
      </c>
      <c r="G8612" s="7">
        <v>3936111</v>
      </c>
      <c r="H8612" s="7">
        <v>2423</v>
      </c>
      <c r="I8612" s="7">
        <v>203</v>
      </c>
      <c r="J8612" s="7">
        <v>0</v>
      </c>
      <c r="K8612" s="7" t="s">
        <v>18</v>
      </c>
      <c r="L8612" s="8">
        <v>39987.315405092595</v>
      </c>
      <c r="M8612" s="9" t="s">
        <v>19</v>
      </c>
      <c r="N8612" s="9" t="s">
        <v>20</v>
      </c>
      <c r="O8612" s="6" t="str">
        <f>HYPERLINK("https://pbs.twimg.com/profile_images/962471262747529216/Uo8lOkRJ_normal.jpg","View")</f>
        <v>View</v>
      </c>
      <c r="P8612" s="7"/>
    </row>
    <row r="8613" spans="1:16">
      <c r="A8613" s="3">
        <v>44056.794537037036</v>
      </c>
      <c r="B8613" s="4" t="str">
        <f>HYPERLINK("https://twitter.com/petrogustavo","@petrogustavo")</f>
        <v>@petrogustavo</v>
      </c>
      <c r="C8613" s="5" t="s">
        <v>16</v>
      </c>
      <c r="D8613" s="5" t="s">
        <v>8294</v>
      </c>
      <c r="E8613" s="6" t="str">
        <f>HYPERLINK("https://twitter.com/petrogustavo/status/1293903665367904259","1293903665367904259")</f>
        <v>1293903665367904259</v>
      </c>
      <c r="F8613" s="7" t="s">
        <v>17</v>
      </c>
      <c r="G8613" s="7">
        <v>3936127</v>
      </c>
      <c r="H8613" s="7">
        <v>2424</v>
      </c>
      <c r="I8613" s="7">
        <v>82</v>
      </c>
      <c r="J8613" s="7">
        <v>252</v>
      </c>
      <c r="K8613" s="7" t="s">
        <v>18</v>
      </c>
      <c r="L8613" s="8">
        <v>39987.315405092595</v>
      </c>
      <c r="M8613" s="9" t="s">
        <v>19</v>
      </c>
      <c r="N8613" s="9" t="s">
        <v>20</v>
      </c>
      <c r="O8613" s="6" t="str">
        <f>HYPERLINK("https://pbs.twimg.com/profile_images/962471262747529216/Uo8lOkRJ_normal.jpg","View")</f>
        <v>View</v>
      </c>
      <c r="P8613" s="7"/>
    </row>
    <row r="8614" spans="1:16">
      <c r="A8614" s="3">
        <v>44056.798819444448</v>
      </c>
      <c r="B8614" s="4" t="str">
        <f>HYPERLINK("https://twitter.com/petrogustavo","@petrogustavo")</f>
        <v>@petrogustavo</v>
      </c>
      <c r="C8614" s="5" t="s">
        <v>16</v>
      </c>
      <c r="D8614" s="5" t="s">
        <v>8295</v>
      </c>
      <c r="E8614" s="6" t="str">
        <f>HYPERLINK("https://twitter.com/petrogustavo/status/1293905219403669504","1293905219403669504")</f>
        <v>1293905219403669504</v>
      </c>
      <c r="F8614" s="7" t="s">
        <v>17</v>
      </c>
      <c r="G8614" s="7">
        <v>3936127</v>
      </c>
      <c r="H8614" s="7">
        <v>2424</v>
      </c>
      <c r="I8614" s="7">
        <v>112</v>
      </c>
      <c r="J8614" s="7">
        <v>261</v>
      </c>
      <c r="K8614" s="7" t="s">
        <v>18</v>
      </c>
      <c r="L8614" s="8">
        <v>39987.315405092595</v>
      </c>
      <c r="M8614" s="9" t="s">
        <v>19</v>
      </c>
      <c r="N8614" s="9" t="s">
        <v>20</v>
      </c>
      <c r="O8614" s="6" t="str">
        <f>HYPERLINK("https://pbs.twimg.com/profile_images/962471262747529216/Uo8lOkRJ_normal.jpg","View")</f>
        <v>View</v>
      </c>
      <c r="P8614" s="7"/>
    </row>
    <row r="8615" spans="1:16">
      <c r="A8615" s="3">
        <v>44056.801458333328</v>
      </c>
      <c r="B8615" s="4" t="str">
        <f>HYPERLINK("https://twitter.com/petrogustavo","@petrogustavo")</f>
        <v>@petrogustavo</v>
      </c>
      <c r="C8615" s="5" t="s">
        <v>16</v>
      </c>
      <c r="D8615" s="5" t="s">
        <v>8296</v>
      </c>
      <c r="E8615" s="6" t="str">
        <f>HYPERLINK("https://twitter.com/petrogustavo/status/1293906173809184769","1293906173809184769")</f>
        <v>1293906173809184769</v>
      </c>
      <c r="F8615" s="7" t="s">
        <v>17</v>
      </c>
      <c r="G8615" s="7">
        <v>3936127</v>
      </c>
      <c r="H8615" s="7">
        <v>2424</v>
      </c>
      <c r="I8615" s="7">
        <v>34</v>
      </c>
      <c r="J8615" s="7">
        <v>174</v>
      </c>
      <c r="K8615" s="7" t="s">
        <v>18</v>
      </c>
      <c r="L8615" s="8">
        <v>39987.315405092595</v>
      </c>
      <c r="M8615" s="9" t="s">
        <v>19</v>
      </c>
      <c r="N8615" s="9" t="s">
        <v>20</v>
      </c>
      <c r="O8615" s="6" t="str">
        <f>HYPERLINK("https://pbs.twimg.com/profile_images/962471262747529216/Uo8lOkRJ_normal.jpg","View")</f>
        <v>View</v>
      </c>
      <c r="P8615" s="7"/>
    </row>
    <row r="8616" spans="1:16">
      <c r="A8616" s="3">
        <v>44056.803263888884</v>
      </c>
      <c r="B8616" s="4" t="str">
        <f>HYPERLINK("https://twitter.com/petrogustavo","@petrogustavo")</f>
        <v>@petrogustavo</v>
      </c>
      <c r="C8616" s="5" t="s">
        <v>16</v>
      </c>
      <c r="D8616" s="5" t="s">
        <v>8297</v>
      </c>
      <c r="E8616" s="6" t="str">
        <f>HYPERLINK("https://twitter.com/petrogustavo/status/1293906828934299651","1293906828934299651")</f>
        <v>1293906828934299651</v>
      </c>
      <c r="F8616" s="7" t="s">
        <v>17</v>
      </c>
      <c r="G8616" s="7">
        <v>3936127</v>
      </c>
      <c r="H8616" s="7">
        <v>2424</v>
      </c>
      <c r="I8616" s="7">
        <v>304</v>
      </c>
      <c r="J8616" s="7">
        <v>0</v>
      </c>
      <c r="K8616" s="7" t="s">
        <v>18</v>
      </c>
      <c r="L8616" s="8">
        <v>39987.315405092595</v>
      </c>
      <c r="M8616" s="9" t="s">
        <v>19</v>
      </c>
      <c r="N8616" s="9" t="s">
        <v>20</v>
      </c>
      <c r="O8616" s="6" t="str">
        <f>HYPERLINK("https://pbs.twimg.com/profile_images/962471262747529216/Uo8lOkRJ_normal.jpg","View")</f>
        <v>View</v>
      </c>
      <c r="P8616" s="7"/>
    </row>
    <row r="8617" spans="1:16">
      <c r="A8617" s="3">
        <v>44056.808090277773</v>
      </c>
      <c r="B8617" s="4" t="str">
        <f>HYPERLINK("https://twitter.com/petrogustavo","@petrogustavo")</f>
        <v>@petrogustavo</v>
      </c>
      <c r="C8617" s="5" t="s">
        <v>16</v>
      </c>
      <c r="D8617" s="5" t="s">
        <v>8298</v>
      </c>
      <c r="E8617" s="6" t="str">
        <f>HYPERLINK("https://twitter.com/petrogustavo/status/1293908579875827713","1293908579875827713")</f>
        <v>1293908579875827713</v>
      </c>
      <c r="F8617" s="7" t="s">
        <v>17</v>
      </c>
      <c r="G8617" s="7">
        <v>3936127</v>
      </c>
      <c r="H8617" s="7">
        <v>2424</v>
      </c>
      <c r="I8617" s="7">
        <v>73</v>
      </c>
      <c r="J8617" s="7">
        <v>180</v>
      </c>
      <c r="K8617" s="7" t="s">
        <v>18</v>
      </c>
      <c r="L8617" s="8">
        <v>39987.315405092595</v>
      </c>
      <c r="M8617" s="9" t="s">
        <v>19</v>
      </c>
      <c r="N8617" s="9" t="s">
        <v>20</v>
      </c>
      <c r="O8617" s="6" t="str">
        <f>HYPERLINK("https://pbs.twimg.com/profile_images/962471262747529216/Uo8lOkRJ_normal.jpg","View")</f>
        <v>View</v>
      </c>
      <c r="P8617" s="7"/>
    </row>
    <row r="8618" spans="1:16">
      <c r="A8618" s="3">
        <v>44056.824641203704</v>
      </c>
      <c r="B8618" s="4" t="str">
        <f>HYPERLINK("https://twitter.com/petrogustavo","@petrogustavo")</f>
        <v>@petrogustavo</v>
      </c>
      <c r="C8618" s="5" t="s">
        <v>16</v>
      </c>
      <c r="D8618" s="5" t="s">
        <v>8299</v>
      </c>
      <c r="E8618" s="6" t="str">
        <f>HYPERLINK("https://twitter.com/petrogustavo/status/1293914575306280963","1293914575306280963")</f>
        <v>1293914575306280963</v>
      </c>
      <c r="F8618" s="7" t="s">
        <v>17</v>
      </c>
      <c r="G8618" s="7">
        <v>3936149</v>
      </c>
      <c r="H8618" s="7">
        <v>2424</v>
      </c>
      <c r="I8618" s="7">
        <v>382</v>
      </c>
      <c r="J8618" s="7">
        <v>1294</v>
      </c>
      <c r="K8618" s="7" t="s">
        <v>18</v>
      </c>
      <c r="L8618" s="8">
        <v>39987.315405092595</v>
      </c>
      <c r="M8618" s="9" t="s">
        <v>19</v>
      </c>
      <c r="N8618" s="9" t="s">
        <v>20</v>
      </c>
      <c r="O8618" s="6" t="str">
        <f>HYPERLINK("https://pbs.twimg.com/profile_images/962471262747529216/Uo8lOkRJ_normal.jpg","View")</f>
        <v>View</v>
      </c>
      <c r="P8618" s="7"/>
    </row>
    <row r="8619" spans="1:16">
      <c r="A8619" s="3">
        <v>44056.833414351851</v>
      </c>
      <c r="B8619" s="4" t="str">
        <f>HYPERLINK("https://twitter.com/petrogustavo","@petrogustavo")</f>
        <v>@petrogustavo</v>
      </c>
      <c r="C8619" s="5" t="s">
        <v>16</v>
      </c>
      <c r="D8619" s="5" t="s">
        <v>8300</v>
      </c>
      <c r="E8619" s="6" t="str">
        <f>HYPERLINK("https://twitter.com/petrogustavo/status/1293917754899050496","1293917754899050496")</f>
        <v>1293917754899050496</v>
      </c>
      <c r="F8619" s="7" t="s">
        <v>17</v>
      </c>
      <c r="G8619" s="7">
        <v>3936149</v>
      </c>
      <c r="H8619" s="7">
        <v>2424</v>
      </c>
      <c r="I8619" s="7">
        <v>36</v>
      </c>
      <c r="J8619" s="7">
        <v>120</v>
      </c>
      <c r="K8619" s="7" t="s">
        <v>18</v>
      </c>
      <c r="L8619" s="8">
        <v>39987.315405092595</v>
      </c>
      <c r="M8619" s="9" t="s">
        <v>19</v>
      </c>
      <c r="N8619" s="9" t="s">
        <v>20</v>
      </c>
      <c r="O8619" s="6" t="str">
        <f>HYPERLINK("https://pbs.twimg.com/profile_images/962471262747529216/Uo8lOkRJ_normal.jpg","View")</f>
        <v>View</v>
      </c>
      <c r="P8619" s="7"/>
    </row>
    <row r="8620" spans="1:16">
      <c r="A8620" s="3">
        <v>44056.834652777776</v>
      </c>
      <c r="B8620" s="4" t="str">
        <f>HYPERLINK("https://twitter.com/petrogustavo","@petrogustavo")</f>
        <v>@petrogustavo</v>
      </c>
      <c r="C8620" s="5" t="s">
        <v>16</v>
      </c>
      <c r="D8620" s="5" t="s">
        <v>8301</v>
      </c>
      <c r="E8620" s="6" t="str">
        <f>HYPERLINK("https://twitter.com/petrogustavo/status/1293918203551207426","1293918203551207426")</f>
        <v>1293918203551207426</v>
      </c>
      <c r="F8620" s="7" t="s">
        <v>17</v>
      </c>
      <c r="G8620" s="7">
        <v>3936149</v>
      </c>
      <c r="H8620" s="7">
        <v>2424</v>
      </c>
      <c r="I8620" s="7">
        <v>9</v>
      </c>
      <c r="J8620" s="7">
        <v>30</v>
      </c>
      <c r="K8620" s="7" t="s">
        <v>18</v>
      </c>
      <c r="L8620" s="8">
        <v>39987.315405092595</v>
      </c>
      <c r="M8620" s="9" t="s">
        <v>19</v>
      </c>
      <c r="N8620" s="9" t="s">
        <v>20</v>
      </c>
      <c r="O8620" s="6" t="str">
        <f>HYPERLINK("https://pbs.twimg.com/profile_images/962471262747529216/Uo8lOkRJ_normal.jpg","View")</f>
        <v>View</v>
      </c>
      <c r="P8620" s="7"/>
    </row>
    <row r="8621" spans="1:16">
      <c r="A8621" s="3">
        <v>44056.840879629628</v>
      </c>
      <c r="B8621" s="4" t="str">
        <f>HYPERLINK("https://twitter.com/petrogustavo","@petrogustavo")</f>
        <v>@petrogustavo</v>
      </c>
      <c r="C8621" s="5" t="s">
        <v>16</v>
      </c>
      <c r="D8621" s="5" t="s">
        <v>8302</v>
      </c>
      <c r="E8621" s="6" t="str">
        <f>HYPERLINK("https://twitter.com/petrogustavo/status/1293920460569292803","1293920460569292803")</f>
        <v>1293920460569292803</v>
      </c>
      <c r="F8621" s="7" t="s">
        <v>17</v>
      </c>
      <c r="G8621" s="7">
        <v>3936170</v>
      </c>
      <c r="H8621" s="7">
        <v>2424</v>
      </c>
      <c r="I8621" s="7">
        <v>854</v>
      </c>
      <c r="J8621" s="7">
        <v>0</v>
      </c>
      <c r="K8621" s="7" t="s">
        <v>18</v>
      </c>
      <c r="L8621" s="8">
        <v>39987.315405092595</v>
      </c>
      <c r="M8621" s="9" t="s">
        <v>19</v>
      </c>
      <c r="N8621" s="9" t="s">
        <v>20</v>
      </c>
      <c r="O8621" s="6" t="str">
        <f>HYPERLINK("https://pbs.twimg.com/profile_images/962471262747529216/Uo8lOkRJ_normal.jpg","View")</f>
        <v>View</v>
      </c>
      <c r="P8621" s="7"/>
    </row>
    <row r="8622" spans="1:16">
      <c r="A8622" s="3">
        <v>44056.841643518521</v>
      </c>
      <c r="B8622" s="4" t="str">
        <f>HYPERLINK("https://twitter.com/petrogustavo","@petrogustavo")</f>
        <v>@petrogustavo</v>
      </c>
      <c r="C8622" s="5" t="s">
        <v>16</v>
      </c>
      <c r="D8622" s="5" t="s">
        <v>8303</v>
      </c>
      <c r="E8622" s="6" t="str">
        <f>HYPERLINK("https://twitter.com/petrogustavo/status/1293920736189587456","1293920736189587456")</f>
        <v>1293920736189587456</v>
      </c>
      <c r="F8622" s="7" t="s">
        <v>17</v>
      </c>
      <c r="G8622" s="7">
        <v>3936170</v>
      </c>
      <c r="H8622" s="7">
        <v>2424</v>
      </c>
      <c r="I8622" s="7">
        <v>185</v>
      </c>
      <c r="J8622" s="7">
        <v>0</v>
      </c>
      <c r="K8622" s="7" t="s">
        <v>18</v>
      </c>
      <c r="L8622" s="8">
        <v>39987.315405092595</v>
      </c>
      <c r="M8622" s="9" t="s">
        <v>19</v>
      </c>
      <c r="N8622" s="9" t="s">
        <v>20</v>
      </c>
      <c r="O8622" s="6" t="str">
        <f>HYPERLINK("https://pbs.twimg.com/profile_images/962471262747529216/Uo8lOkRJ_normal.jpg","View")</f>
        <v>View</v>
      </c>
      <c r="P8622" s="7"/>
    </row>
    <row r="8623" spans="1:16">
      <c r="A8623" s="3">
        <v>44056.842604166668</v>
      </c>
      <c r="B8623" s="4" t="str">
        <f>HYPERLINK("https://twitter.com/petrogustavo","@petrogustavo")</f>
        <v>@petrogustavo</v>
      </c>
      <c r="C8623" s="5" t="s">
        <v>16</v>
      </c>
      <c r="D8623" s="5" t="s">
        <v>8304</v>
      </c>
      <c r="E8623" s="6" t="str">
        <f>HYPERLINK("https://twitter.com/petrogustavo/status/1293921087995207686","1293921087995207686")</f>
        <v>1293921087995207686</v>
      </c>
      <c r="F8623" s="7" t="s">
        <v>17</v>
      </c>
      <c r="G8623" s="7">
        <v>3936170</v>
      </c>
      <c r="H8623" s="7">
        <v>2424</v>
      </c>
      <c r="I8623" s="7">
        <v>136</v>
      </c>
      <c r="J8623" s="7">
        <v>0</v>
      </c>
      <c r="K8623" s="7" t="s">
        <v>18</v>
      </c>
      <c r="L8623" s="8">
        <v>39987.315405092595</v>
      </c>
      <c r="M8623" s="9" t="s">
        <v>19</v>
      </c>
      <c r="N8623" s="9" t="s">
        <v>20</v>
      </c>
      <c r="O8623" s="6" t="str">
        <f>HYPERLINK("https://pbs.twimg.com/profile_images/962471262747529216/Uo8lOkRJ_normal.jpg","View")</f>
        <v>View</v>
      </c>
      <c r="P8623" s="7"/>
    </row>
    <row r="8624" spans="1:16">
      <c r="A8624" s="3">
        <v>44056.844351851847</v>
      </c>
      <c r="B8624" s="4" t="str">
        <f>HYPERLINK("https://twitter.com/petrogustavo","@petrogustavo")</f>
        <v>@petrogustavo</v>
      </c>
      <c r="C8624" s="5" t="s">
        <v>16</v>
      </c>
      <c r="D8624" s="5" t="s">
        <v>8305</v>
      </c>
      <c r="E8624" s="6" t="str">
        <f>HYPERLINK("https://twitter.com/petrogustavo/status/1293921719644758018","1293921719644758018")</f>
        <v>1293921719644758018</v>
      </c>
      <c r="F8624" s="7" t="s">
        <v>17</v>
      </c>
      <c r="G8624" s="7">
        <v>3936170</v>
      </c>
      <c r="H8624" s="7">
        <v>2424</v>
      </c>
      <c r="I8624" s="7">
        <v>144</v>
      </c>
      <c r="J8624" s="7">
        <v>361</v>
      </c>
      <c r="K8624" s="7" t="s">
        <v>18</v>
      </c>
      <c r="L8624" s="8">
        <v>39987.315405092595</v>
      </c>
      <c r="M8624" s="9" t="s">
        <v>19</v>
      </c>
      <c r="N8624" s="9" t="s">
        <v>20</v>
      </c>
      <c r="O8624" s="6" t="str">
        <f>HYPERLINK("https://pbs.twimg.com/profile_images/962471262747529216/Uo8lOkRJ_normal.jpg","View")</f>
        <v>View</v>
      </c>
      <c r="P8624" s="7"/>
    </row>
    <row r="8625" spans="1:16">
      <c r="A8625" s="3">
        <v>44056.847118055557</v>
      </c>
      <c r="B8625" s="4" t="str">
        <f>HYPERLINK("https://twitter.com/petrogustavo","@petrogustavo")</f>
        <v>@petrogustavo</v>
      </c>
      <c r="C8625" s="5" t="s">
        <v>16</v>
      </c>
      <c r="D8625" s="5" t="s">
        <v>8306</v>
      </c>
      <c r="E8625" s="6" t="str">
        <f>HYPERLINK("https://twitter.com/petrogustavo/status/1293922723316596736","1293922723316596736")</f>
        <v>1293922723316596736</v>
      </c>
      <c r="F8625" s="7" t="s">
        <v>17</v>
      </c>
      <c r="G8625" s="7">
        <v>3936170</v>
      </c>
      <c r="H8625" s="7">
        <v>2424</v>
      </c>
      <c r="I8625" s="7">
        <v>34</v>
      </c>
      <c r="J8625" s="7">
        <v>0</v>
      </c>
      <c r="K8625" s="7" t="s">
        <v>18</v>
      </c>
      <c r="L8625" s="8">
        <v>39987.315405092595</v>
      </c>
      <c r="M8625" s="9" t="s">
        <v>19</v>
      </c>
      <c r="N8625" s="9" t="s">
        <v>20</v>
      </c>
      <c r="O8625" s="6" t="str">
        <f>HYPERLINK("https://pbs.twimg.com/profile_images/962471262747529216/Uo8lOkRJ_normal.jpg","View")</f>
        <v>View</v>
      </c>
      <c r="P8625" s="7"/>
    </row>
    <row r="8626" spans="1:16">
      <c r="A8626" s="3">
        <v>44056.84993055556</v>
      </c>
      <c r="B8626" s="4" t="str">
        <f>HYPERLINK("https://twitter.com/petrogustavo","@petrogustavo")</f>
        <v>@petrogustavo</v>
      </c>
      <c r="C8626" s="5" t="s">
        <v>16</v>
      </c>
      <c r="D8626" s="5" t="s">
        <v>8307</v>
      </c>
      <c r="E8626" s="6" t="str">
        <f>HYPERLINK("https://twitter.com/petrogustavo/status/1293923739575504898","1293923739575504898")</f>
        <v>1293923739575504898</v>
      </c>
      <c r="F8626" s="7" t="s">
        <v>17</v>
      </c>
      <c r="G8626" s="7">
        <v>3936170</v>
      </c>
      <c r="H8626" s="7">
        <v>2424</v>
      </c>
      <c r="I8626" s="7">
        <v>105</v>
      </c>
      <c r="J8626" s="7">
        <v>318</v>
      </c>
      <c r="K8626" s="7" t="s">
        <v>18</v>
      </c>
      <c r="L8626" s="8">
        <v>39987.315405092595</v>
      </c>
      <c r="M8626" s="9" t="s">
        <v>19</v>
      </c>
      <c r="N8626" s="9" t="s">
        <v>20</v>
      </c>
      <c r="O8626" s="6" t="str">
        <f>HYPERLINK("https://pbs.twimg.com/profile_images/962471262747529216/Uo8lOkRJ_normal.jpg","View")</f>
        <v>View</v>
      </c>
      <c r="P8626" s="7"/>
    </row>
    <row r="8627" spans="1:16">
      <c r="A8627" s="3">
        <v>44056.852951388893</v>
      </c>
      <c r="B8627" s="4" t="str">
        <f>HYPERLINK("https://twitter.com/petrogustavo","@petrogustavo")</f>
        <v>@petrogustavo</v>
      </c>
      <c r="C8627" s="5" t="s">
        <v>16</v>
      </c>
      <c r="D8627" s="5" t="s">
        <v>8308</v>
      </c>
      <c r="E8627" s="6" t="str">
        <f>HYPERLINK("https://twitter.com/petrogustavo/status/1293924837686206464","1293924837686206464")</f>
        <v>1293924837686206464</v>
      </c>
      <c r="F8627" s="7" t="s">
        <v>17</v>
      </c>
      <c r="G8627" s="7">
        <v>3936170</v>
      </c>
      <c r="H8627" s="7">
        <v>2424</v>
      </c>
      <c r="I8627" s="7">
        <v>56</v>
      </c>
      <c r="J8627" s="7">
        <v>168</v>
      </c>
      <c r="K8627" s="7" t="s">
        <v>18</v>
      </c>
      <c r="L8627" s="8">
        <v>39987.315405092595</v>
      </c>
      <c r="M8627" s="9" t="s">
        <v>19</v>
      </c>
      <c r="N8627" s="9" t="s">
        <v>20</v>
      </c>
      <c r="O8627" s="6" t="str">
        <f>HYPERLINK("https://pbs.twimg.com/profile_images/962471262747529216/Uo8lOkRJ_normal.jpg","View")</f>
        <v>View</v>
      </c>
      <c r="P8627" s="7"/>
    </row>
    <row r="8628" spans="1:16">
      <c r="A8628" s="3">
        <v>44056.85434027778</v>
      </c>
      <c r="B8628" s="4" t="str">
        <f>HYPERLINK("https://twitter.com/petrogustavo","@petrogustavo")</f>
        <v>@petrogustavo</v>
      </c>
      <c r="C8628" s="5" t="s">
        <v>16</v>
      </c>
      <c r="D8628" s="5" t="s">
        <v>8309</v>
      </c>
      <c r="E8628" s="6" t="str">
        <f>HYPERLINK("https://twitter.com/petrogustavo/status/1293925338133733376","1293925338133733376")</f>
        <v>1293925338133733376</v>
      </c>
      <c r="F8628" s="7" t="s">
        <v>17</v>
      </c>
      <c r="G8628" s="7">
        <v>3936170</v>
      </c>
      <c r="H8628" s="7">
        <v>2424</v>
      </c>
      <c r="I8628" s="7">
        <v>24</v>
      </c>
      <c r="J8628" s="7">
        <v>44</v>
      </c>
      <c r="K8628" s="7" t="s">
        <v>18</v>
      </c>
      <c r="L8628" s="8">
        <v>39987.315405092595</v>
      </c>
      <c r="M8628" s="9" t="s">
        <v>19</v>
      </c>
      <c r="N8628" s="9" t="s">
        <v>20</v>
      </c>
      <c r="O8628" s="6" t="str">
        <f>HYPERLINK("https://pbs.twimg.com/profile_images/962471262747529216/Uo8lOkRJ_normal.jpg","View")</f>
        <v>View</v>
      </c>
      <c r="P8628" s="7"/>
    </row>
    <row r="8629" spans="1:16">
      <c r="A8629" s="3">
        <v>44056.86241898148</v>
      </c>
      <c r="B8629" s="4" t="str">
        <f>HYPERLINK("https://twitter.com/petrogustavo","@petrogustavo")</f>
        <v>@petrogustavo</v>
      </c>
      <c r="C8629" s="5" t="s">
        <v>16</v>
      </c>
      <c r="D8629" s="5" t="s">
        <v>8310</v>
      </c>
      <c r="E8629" s="6" t="str">
        <f>HYPERLINK("https://twitter.com/petrogustavo/status/1293928267569860608","1293928267569860608")</f>
        <v>1293928267569860608</v>
      </c>
      <c r="F8629" s="7" t="s">
        <v>17</v>
      </c>
      <c r="G8629" s="7">
        <v>3936192</v>
      </c>
      <c r="H8629" s="7">
        <v>2424</v>
      </c>
      <c r="I8629" s="7">
        <v>59</v>
      </c>
      <c r="J8629" s="7">
        <v>115</v>
      </c>
      <c r="K8629" s="7" t="s">
        <v>18</v>
      </c>
      <c r="L8629" s="8">
        <v>39987.315405092595</v>
      </c>
      <c r="M8629" s="9" t="s">
        <v>19</v>
      </c>
      <c r="N8629" s="9" t="s">
        <v>20</v>
      </c>
      <c r="O8629" s="6" t="str">
        <f>HYPERLINK("https://pbs.twimg.com/profile_images/962471262747529216/Uo8lOkRJ_normal.jpg","View")</f>
        <v>View</v>
      </c>
      <c r="P8629" s="7"/>
    </row>
    <row r="8630" spans="1:16">
      <c r="A8630" s="3">
        <v>44056.863807870366</v>
      </c>
      <c r="B8630" s="4" t="str">
        <f>HYPERLINK("https://twitter.com/petrogustavo","@petrogustavo")</f>
        <v>@petrogustavo</v>
      </c>
      <c r="C8630" s="5" t="s">
        <v>16</v>
      </c>
      <c r="D8630" s="5" t="s">
        <v>8311</v>
      </c>
      <c r="E8630" s="6" t="str">
        <f>HYPERLINK("https://twitter.com/petrogustavo/status/1293928768147542017","1293928768147542017")</f>
        <v>1293928768147542017</v>
      </c>
      <c r="F8630" s="7" t="s">
        <v>17</v>
      </c>
      <c r="G8630" s="7">
        <v>3936192</v>
      </c>
      <c r="H8630" s="7">
        <v>2424</v>
      </c>
      <c r="I8630" s="7">
        <v>131</v>
      </c>
      <c r="J8630" s="7">
        <v>0</v>
      </c>
      <c r="K8630" s="7" t="s">
        <v>18</v>
      </c>
      <c r="L8630" s="8">
        <v>39987.315405092595</v>
      </c>
      <c r="M8630" s="9" t="s">
        <v>19</v>
      </c>
      <c r="N8630" s="9" t="s">
        <v>20</v>
      </c>
      <c r="O8630" s="6" t="str">
        <f>HYPERLINK("https://pbs.twimg.com/profile_images/962471262747529216/Uo8lOkRJ_normal.jpg","View")</f>
        <v>View</v>
      </c>
      <c r="P8630" s="7"/>
    </row>
    <row r="8631" spans="1:16">
      <c r="A8631" s="3">
        <v>44056.864907407406</v>
      </c>
      <c r="B8631" s="4" t="str">
        <f>HYPERLINK("https://twitter.com/petrogustavo","@petrogustavo")</f>
        <v>@petrogustavo</v>
      </c>
      <c r="C8631" s="5" t="s">
        <v>16</v>
      </c>
      <c r="D8631" s="5" t="s">
        <v>8303</v>
      </c>
      <c r="E8631" s="6" t="str">
        <f>HYPERLINK("https://twitter.com/petrogustavo/status/1293929166669336576","1293929166669336576")</f>
        <v>1293929166669336576</v>
      </c>
      <c r="F8631" s="7" t="s">
        <v>17</v>
      </c>
      <c r="G8631" s="7">
        <v>3936192</v>
      </c>
      <c r="H8631" s="7">
        <v>2424</v>
      </c>
      <c r="I8631" s="7">
        <v>215</v>
      </c>
      <c r="J8631" s="7">
        <v>0</v>
      </c>
      <c r="K8631" s="7" t="s">
        <v>18</v>
      </c>
      <c r="L8631" s="8">
        <v>39987.315405092595</v>
      </c>
      <c r="M8631" s="9" t="s">
        <v>19</v>
      </c>
      <c r="N8631" s="9" t="s">
        <v>20</v>
      </c>
      <c r="O8631" s="6" t="str">
        <f>HYPERLINK("https://pbs.twimg.com/profile_images/962471262747529216/Uo8lOkRJ_normal.jpg","View")</f>
        <v>View</v>
      </c>
      <c r="P8631" s="7"/>
    </row>
    <row r="8632" spans="1:16">
      <c r="A8632" s="3">
        <v>44056.865034722221</v>
      </c>
      <c r="B8632" s="4" t="str">
        <f>HYPERLINK("https://twitter.com/petrogustavo","@petrogustavo")</f>
        <v>@petrogustavo</v>
      </c>
      <c r="C8632" s="5" t="s">
        <v>16</v>
      </c>
      <c r="D8632" s="5" t="s">
        <v>8302</v>
      </c>
      <c r="E8632" s="6" t="str">
        <f>HYPERLINK("https://twitter.com/petrogustavo/status/1293929215621050370","1293929215621050370")</f>
        <v>1293929215621050370</v>
      </c>
      <c r="F8632" s="7" t="s">
        <v>17</v>
      </c>
      <c r="G8632" s="7">
        <v>3936192</v>
      </c>
      <c r="H8632" s="7">
        <v>2424</v>
      </c>
      <c r="I8632" s="7">
        <v>1224</v>
      </c>
      <c r="J8632" s="7">
        <v>0</v>
      </c>
      <c r="K8632" s="7" t="s">
        <v>18</v>
      </c>
      <c r="L8632" s="8">
        <v>39987.315405092595</v>
      </c>
      <c r="M8632" s="9" t="s">
        <v>19</v>
      </c>
      <c r="N8632" s="9" t="s">
        <v>20</v>
      </c>
      <c r="O8632" s="6" t="str">
        <f>HYPERLINK("https://pbs.twimg.com/profile_images/962471262747529216/Uo8lOkRJ_normal.jpg","View")</f>
        <v>View</v>
      </c>
      <c r="P8632" s="7"/>
    </row>
    <row r="8633" spans="1:16">
      <c r="A8633" s="3">
        <v>44056.946331018524</v>
      </c>
      <c r="B8633" s="4" t="str">
        <f>HYPERLINK("https://twitter.com/petrogustavo","@petrogustavo")</f>
        <v>@petrogustavo</v>
      </c>
      <c r="C8633" s="5" t="s">
        <v>16</v>
      </c>
      <c r="D8633" s="5" t="s">
        <v>8312</v>
      </c>
      <c r="E8633" s="6" t="str">
        <f>HYPERLINK("https://twitter.com/petrogustavo/status/1293958676588396545","1293958676588396545")</f>
        <v>1293958676588396545</v>
      </c>
      <c r="F8633" s="7" t="s">
        <v>17</v>
      </c>
      <c r="G8633" s="7">
        <v>3936320</v>
      </c>
      <c r="H8633" s="7">
        <v>2424</v>
      </c>
      <c r="I8633" s="7">
        <v>233</v>
      </c>
      <c r="J8633" s="7">
        <v>598</v>
      </c>
      <c r="K8633" s="7" t="s">
        <v>18</v>
      </c>
      <c r="L8633" s="8">
        <v>39987.315405092595</v>
      </c>
      <c r="M8633" s="9" t="s">
        <v>19</v>
      </c>
      <c r="N8633" s="9" t="s">
        <v>20</v>
      </c>
      <c r="O8633" s="6" t="str">
        <f>HYPERLINK("https://pbs.twimg.com/profile_images/962471262747529216/Uo8lOkRJ_normal.jpg","View")</f>
        <v>View</v>
      </c>
      <c r="P8633" s="7"/>
    </row>
    <row r="8634" spans="1:16">
      <c r="A8634" s="3">
        <v>44056.980405092589</v>
      </c>
      <c r="B8634" s="4" t="str">
        <f>HYPERLINK("https://twitter.com/petrogustavo","@petrogustavo")</f>
        <v>@petrogustavo</v>
      </c>
      <c r="C8634" s="5" t="s">
        <v>16</v>
      </c>
      <c r="D8634" s="5" t="s">
        <v>8313</v>
      </c>
      <c r="E8634" s="6" t="str">
        <f>HYPERLINK("https://twitter.com/petrogustavo/status/1293971024300711944","1293971024300711944")</f>
        <v>1293971024300711944</v>
      </c>
      <c r="F8634" s="7" t="s">
        <v>17</v>
      </c>
      <c r="G8634" s="7">
        <v>3936351</v>
      </c>
      <c r="H8634" s="7">
        <v>2424</v>
      </c>
      <c r="I8634" s="7">
        <v>11</v>
      </c>
      <c r="J8634" s="7">
        <v>40</v>
      </c>
      <c r="K8634" s="7" t="s">
        <v>18</v>
      </c>
      <c r="L8634" s="8">
        <v>39987.315405092595</v>
      </c>
      <c r="M8634" s="9" t="s">
        <v>19</v>
      </c>
      <c r="N8634" s="9" t="s">
        <v>20</v>
      </c>
      <c r="O8634" s="6" t="str">
        <f>HYPERLINK("https://pbs.twimg.com/profile_images/962471262747529216/Uo8lOkRJ_normal.jpg","View")</f>
        <v>View</v>
      </c>
      <c r="P8634" s="7"/>
    </row>
    <row r="8635" spans="1:16">
      <c r="A8635" s="3">
        <v>44056.995092592595</v>
      </c>
      <c r="B8635" s="4" t="str">
        <f>HYPERLINK("https://twitter.com/petrogustavo","@petrogustavo")</f>
        <v>@petrogustavo</v>
      </c>
      <c r="C8635" s="5" t="s">
        <v>16</v>
      </c>
      <c r="D8635" s="5" t="s">
        <v>8314</v>
      </c>
      <c r="E8635" s="6" t="str">
        <f>HYPERLINK("https://twitter.com/petrogustavo/status/1293976345727381507","1293976345727381507")</f>
        <v>1293976345727381507</v>
      </c>
      <c r="F8635" s="7" t="s">
        <v>17</v>
      </c>
      <c r="G8635" s="7">
        <v>3936361</v>
      </c>
      <c r="H8635" s="7">
        <v>2424</v>
      </c>
      <c r="I8635" s="7">
        <v>66</v>
      </c>
      <c r="J8635" s="7">
        <v>246</v>
      </c>
      <c r="K8635" s="7" t="s">
        <v>18</v>
      </c>
      <c r="L8635" s="8">
        <v>39987.315405092595</v>
      </c>
      <c r="M8635" s="9" t="s">
        <v>19</v>
      </c>
      <c r="N8635" s="9" t="s">
        <v>20</v>
      </c>
      <c r="O8635" s="6" t="str">
        <f>HYPERLINK("https://pbs.twimg.com/profile_images/962471262747529216/Uo8lOkRJ_normal.jpg","View")</f>
        <v>View</v>
      </c>
      <c r="P8635" s="7"/>
    </row>
    <row r="8636" spans="1:16">
      <c r="A8636" s="3">
        <v>44056.995706018519</v>
      </c>
      <c r="B8636" s="4" t="str">
        <f>HYPERLINK("https://twitter.com/petrogustavo","@petrogustavo")</f>
        <v>@petrogustavo</v>
      </c>
      <c r="C8636" s="5" t="s">
        <v>16</v>
      </c>
      <c r="D8636" s="5" t="s">
        <v>8315</v>
      </c>
      <c r="E8636" s="6" t="str">
        <f>HYPERLINK("https://twitter.com/petrogustavo/status/1293976568814018561","1293976568814018561")</f>
        <v>1293976568814018561</v>
      </c>
      <c r="F8636" s="7" t="s">
        <v>17</v>
      </c>
      <c r="G8636" s="7">
        <v>3936361</v>
      </c>
      <c r="H8636" s="7">
        <v>2424</v>
      </c>
      <c r="I8636" s="7">
        <v>97</v>
      </c>
      <c r="J8636" s="7">
        <v>0</v>
      </c>
      <c r="K8636" s="7" t="s">
        <v>18</v>
      </c>
      <c r="L8636" s="8">
        <v>39987.315405092595</v>
      </c>
      <c r="M8636" s="9" t="s">
        <v>19</v>
      </c>
      <c r="N8636" s="9" t="s">
        <v>20</v>
      </c>
      <c r="O8636" s="6" t="str">
        <f>HYPERLINK("https://pbs.twimg.com/profile_images/962471262747529216/Uo8lOkRJ_normal.jpg","View")</f>
        <v>View</v>
      </c>
      <c r="P8636" s="7"/>
    </row>
    <row r="8637" spans="1:16">
      <c r="A8637" s="3">
        <v>44057.074884259258</v>
      </c>
      <c r="B8637" s="4" t="str">
        <f>HYPERLINK("https://twitter.com/petrogustavo","@petrogustavo")</f>
        <v>@petrogustavo</v>
      </c>
      <c r="C8637" s="5" t="s">
        <v>16</v>
      </c>
      <c r="D8637" s="5" t="s">
        <v>8316</v>
      </c>
      <c r="E8637" s="6" t="str">
        <f>HYPERLINK("https://twitter.com/petrogustavo/status/1294005263217889280","1294005263217889280")</f>
        <v>1294005263217889280</v>
      </c>
      <c r="F8637" s="7" t="s">
        <v>32</v>
      </c>
      <c r="G8637" s="7">
        <v>3936458</v>
      </c>
      <c r="H8637" s="7">
        <v>2424</v>
      </c>
      <c r="I8637" s="7">
        <v>85</v>
      </c>
      <c r="J8637" s="7">
        <v>0</v>
      </c>
      <c r="K8637" s="7" t="s">
        <v>18</v>
      </c>
      <c r="L8637" s="8">
        <v>39987.315405092595</v>
      </c>
      <c r="M8637" s="9" t="s">
        <v>19</v>
      </c>
      <c r="N8637" s="9" t="s">
        <v>20</v>
      </c>
      <c r="O8637" s="6" t="str">
        <f>HYPERLINK("https://pbs.twimg.com/profile_images/962471262747529216/Uo8lOkRJ_normal.jpg","View")</f>
        <v>View</v>
      </c>
      <c r="P8637" s="7"/>
    </row>
    <row r="8638" spans="1:16">
      <c r="A8638" s="3">
        <v>44057.200416666667</v>
      </c>
      <c r="B8638" s="4" t="str">
        <f>HYPERLINK("https://twitter.com/petrogustavo","@petrogustavo")</f>
        <v>@petrogustavo</v>
      </c>
      <c r="C8638" s="5" t="s">
        <v>16</v>
      </c>
      <c r="D8638" s="5" t="s">
        <v>8317</v>
      </c>
      <c r="E8638" s="6" t="str">
        <f>HYPERLINK("https://twitter.com/petrogustavo/status/1294050751183048705","1294050751183048705")</f>
        <v>1294050751183048705</v>
      </c>
      <c r="F8638" s="7" t="s">
        <v>17</v>
      </c>
      <c r="G8638" s="7">
        <v>3936590</v>
      </c>
      <c r="H8638" s="7">
        <v>2424</v>
      </c>
      <c r="I8638" s="7">
        <v>148</v>
      </c>
      <c r="J8638" s="7">
        <v>464</v>
      </c>
      <c r="K8638" s="7" t="s">
        <v>18</v>
      </c>
      <c r="L8638" s="8">
        <v>39987.315405092595</v>
      </c>
      <c r="M8638" s="9" t="s">
        <v>19</v>
      </c>
      <c r="N8638" s="9" t="s">
        <v>20</v>
      </c>
      <c r="O8638" s="6" t="str">
        <f>HYPERLINK("https://pbs.twimg.com/profile_images/962471262747529216/Uo8lOkRJ_normal.jpg","View")</f>
        <v>View</v>
      </c>
      <c r="P8638" s="7"/>
    </row>
    <row r="8639" spans="1:16">
      <c r="A8639" s="3">
        <v>44057.206620370373</v>
      </c>
      <c r="B8639" s="4" t="str">
        <f>HYPERLINK("https://twitter.com/petrogustavo","@petrogustavo")</f>
        <v>@petrogustavo</v>
      </c>
      <c r="C8639" s="5" t="s">
        <v>16</v>
      </c>
      <c r="D8639" s="5" t="s">
        <v>8318</v>
      </c>
      <c r="E8639" s="6" t="str">
        <f>HYPERLINK("https://twitter.com/petrogustavo/status/1294053002647568385","1294053002647568385")</f>
        <v>1294053002647568385</v>
      </c>
      <c r="F8639" s="7" t="s">
        <v>32</v>
      </c>
      <c r="G8639" s="7">
        <v>3936590</v>
      </c>
      <c r="H8639" s="7">
        <v>2424</v>
      </c>
      <c r="I8639" s="7">
        <v>724</v>
      </c>
      <c r="J8639" s="7">
        <v>0</v>
      </c>
      <c r="K8639" s="7" t="s">
        <v>18</v>
      </c>
      <c r="L8639" s="8">
        <v>39987.315405092595</v>
      </c>
      <c r="M8639" s="9" t="s">
        <v>19</v>
      </c>
      <c r="N8639" s="9" t="s">
        <v>20</v>
      </c>
      <c r="O8639" s="6" t="str">
        <f>HYPERLINK("https://pbs.twimg.com/profile_images/962471262747529216/Uo8lOkRJ_normal.jpg","View")</f>
        <v>View</v>
      </c>
      <c r="P8639" s="7"/>
    </row>
    <row r="8640" spans="1:16">
      <c r="A8640" s="3">
        <v>44057.212025462963</v>
      </c>
      <c r="B8640" s="4" t="str">
        <f>HYPERLINK("https://twitter.com/petrogustavo","@petrogustavo")</f>
        <v>@petrogustavo</v>
      </c>
      <c r="C8640" s="5" t="s">
        <v>16</v>
      </c>
      <c r="D8640" s="5" t="s">
        <v>8319</v>
      </c>
      <c r="E8640" s="6" t="str">
        <f>HYPERLINK("https://twitter.com/petrogustavo/status/1294054958556418050","1294054958556418050")</f>
        <v>1294054958556418050</v>
      </c>
      <c r="F8640" s="7" t="s">
        <v>32</v>
      </c>
      <c r="G8640" s="7">
        <v>3936594</v>
      </c>
      <c r="H8640" s="7">
        <v>2424</v>
      </c>
      <c r="I8640" s="7">
        <v>23</v>
      </c>
      <c r="J8640" s="7">
        <v>0</v>
      </c>
      <c r="K8640" s="7" t="s">
        <v>18</v>
      </c>
      <c r="L8640" s="8">
        <v>39987.315405092595</v>
      </c>
      <c r="M8640" s="9" t="s">
        <v>19</v>
      </c>
      <c r="N8640" s="9" t="s">
        <v>20</v>
      </c>
      <c r="O8640" s="6" t="str">
        <f>HYPERLINK("https://pbs.twimg.com/profile_images/962471262747529216/Uo8lOkRJ_normal.jpg","View")</f>
        <v>View</v>
      </c>
      <c r="P8640" s="7"/>
    </row>
    <row r="8641" spans="1:16">
      <c r="A8641" s="3">
        <v>44057.764652777776</v>
      </c>
      <c r="B8641" s="4" t="str">
        <f>HYPERLINK("https://twitter.com/petrogustavo","@petrogustavo")</f>
        <v>@petrogustavo</v>
      </c>
      <c r="C8641" s="5" t="s">
        <v>16</v>
      </c>
      <c r="D8641" s="5" t="s">
        <v>8320</v>
      </c>
      <c r="E8641" s="6" t="str">
        <f>HYPERLINK("https://twitter.com/petrogustavo/status/1294255225273036800","1294255225273036800")</f>
        <v>1294255225273036800</v>
      </c>
      <c r="F8641" s="7" t="s">
        <v>17</v>
      </c>
      <c r="G8641" s="7">
        <v>3936983</v>
      </c>
      <c r="H8641" s="7">
        <v>2424</v>
      </c>
      <c r="I8641" s="7">
        <v>101</v>
      </c>
      <c r="J8641" s="7">
        <v>0</v>
      </c>
      <c r="K8641" s="7" t="s">
        <v>18</v>
      </c>
      <c r="L8641" s="8">
        <v>39987.315405092595</v>
      </c>
      <c r="M8641" s="9" t="s">
        <v>19</v>
      </c>
      <c r="N8641" s="9" t="s">
        <v>20</v>
      </c>
      <c r="O8641" s="6" t="str">
        <f>HYPERLINK("https://pbs.twimg.com/profile_images/962471262747529216/Uo8lOkRJ_normal.jpg","View")</f>
        <v>View</v>
      </c>
      <c r="P8641" s="7"/>
    </row>
    <row r="8642" spans="1:16">
      <c r="A8642" s="3">
        <v>44057.76525462963</v>
      </c>
      <c r="B8642" s="4" t="str">
        <f>HYPERLINK("https://twitter.com/petrogustavo","@petrogustavo")</f>
        <v>@petrogustavo</v>
      </c>
      <c r="C8642" s="5" t="s">
        <v>16</v>
      </c>
      <c r="D8642" s="5" t="s">
        <v>8321</v>
      </c>
      <c r="E8642" s="6" t="str">
        <f>HYPERLINK("https://twitter.com/petrogustavo/status/1294255444261834752","1294255444261834752")</f>
        <v>1294255444261834752</v>
      </c>
      <c r="F8642" s="7" t="s">
        <v>17</v>
      </c>
      <c r="G8642" s="7">
        <v>3936983</v>
      </c>
      <c r="H8642" s="7">
        <v>2424</v>
      </c>
      <c r="I8642" s="7">
        <v>84</v>
      </c>
      <c r="J8642" s="7">
        <v>0</v>
      </c>
      <c r="K8642" s="7" t="s">
        <v>18</v>
      </c>
      <c r="L8642" s="8">
        <v>39987.315405092595</v>
      </c>
      <c r="M8642" s="9" t="s">
        <v>19</v>
      </c>
      <c r="N8642" s="9" t="s">
        <v>20</v>
      </c>
      <c r="O8642" s="6" t="str">
        <f>HYPERLINK("https://pbs.twimg.com/profile_images/962471262747529216/Uo8lOkRJ_normal.jpg","View")</f>
        <v>View</v>
      </c>
      <c r="P8642" s="7"/>
    </row>
    <row r="8643" spans="1:16">
      <c r="A8643" s="3">
        <v>44057.768078703702</v>
      </c>
      <c r="B8643" s="4" t="str">
        <f>HYPERLINK("https://twitter.com/petrogustavo","@petrogustavo")</f>
        <v>@petrogustavo</v>
      </c>
      <c r="C8643" s="5" t="s">
        <v>16</v>
      </c>
      <c r="D8643" s="5" t="s">
        <v>8322</v>
      </c>
      <c r="E8643" s="6" t="str">
        <f>HYPERLINK("https://twitter.com/petrogustavo/status/1294256469043544069","1294256469043544069")</f>
        <v>1294256469043544069</v>
      </c>
      <c r="F8643" s="7" t="s">
        <v>17</v>
      </c>
      <c r="G8643" s="7">
        <v>3936983</v>
      </c>
      <c r="H8643" s="7">
        <v>2424</v>
      </c>
      <c r="I8643" s="7">
        <v>61</v>
      </c>
      <c r="J8643" s="7">
        <v>135</v>
      </c>
      <c r="K8643" s="7" t="s">
        <v>18</v>
      </c>
      <c r="L8643" s="8">
        <v>39987.315405092595</v>
      </c>
      <c r="M8643" s="9" t="s">
        <v>19</v>
      </c>
      <c r="N8643" s="9" t="s">
        <v>20</v>
      </c>
      <c r="O8643" s="6" t="str">
        <f>HYPERLINK("https://pbs.twimg.com/profile_images/962471262747529216/Uo8lOkRJ_normal.jpg","View")</f>
        <v>View</v>
      </c>
      <c r="P8643" s="7"/>
    </row>
    <row r="8644" spans="1:16">
      <c r="A8644" s="3">
        <v>44057.7809837963</v>
      </c>
      <c r="B8644" s="4" t="str">
        <f>HYPERLINK("https://twitter.com/petrogustavo","@petrogustavo")</f>
        <v>@petrogustavo</v>
      </c>
      <c r="C8644" s="5" t="s">
        <v>16</v>
      </c>
      <c r="D8644" s="5" t="s">
        <v>8323</v>
      </c>
      <c r="E8644" s="6" t="str">
        <f>HYPERLINK("https://twitter.com/petrogustavo/status/1294261143872176128","1294261143872176128")</f>
        <v>1294261143872176128</v>
      </c>
      <c r="F8644" s="7" t="s">
        <v>17</v>
      </c>
      <c r="G8644" s="7">
        <v>3937013</v>
      </c>
      <c r="H8644" s="7">
        <v>2424</v>
      </c>
      <c r="I8644" s="7">
        <v>55</v>
      </c>
      <c r="J8644" s="7">
        <v>145</v>
      </c>
      <c r="K8644" s="7" t="s">
        <v>18</v>
      </c>
      <c r="L8644" s="8">
        <v>39987.315405092595</v>
      </c>
      <c r="M8644" s="9" t="s">
        <v>19</v>
      </c>
      <c r="N8644" s="9" t="s">
        <v>20</v>
      </c>
      <c r="O8644" s="6" t="str">
        <f>HYPERLINK("https://pbs.twimg.com/profile_images/962471262747529216/Uo8lOkRJ_normal.jpg","View")</f>
        <v>View</v>
      </c>
      <c r="P8644" s="7"/>
    </row>
    <row r="8645" spans="1:16">
      <c r="A8645" s="3">
        <v>44057.7893287037</v>
      </c>
      <c r="B8645" s="4" t="str">
        <f>HYPERLINK("https://twitter.com/petrogustavo","@petrogustavo")</f>
        <v>@petrogustavo</v>
      </c>
      <c r="C8645" s="5" t="s">
        <v>16</v>
      </c>
      <c r="D8645" s="5" t="s">
        <v>8324</v>
      </c>
      <c r="E8645" s="6" t="str">
        <f>HYPERLINK("https://twitter.com/petrogustavo/status/1294264167923417088","1294264167923417088")</f>
        <v>1294264167923417088</v>
      </c>
      <c r="F8645" s="7" t="s">
        <v>17</v>
      </c>
      <c r="G8645" s="7">
        <v>3937013</v>
      </c>
      <c r="H8645" s="7">
        <v>2424</v>
      </c>
      <c r="I8645" s="7">
        <v>66</v>
      </c>
      <c r="J8645" s="7">
        <v>170</v>
      </c>
      <c r="K8645" s="7" t="s">
        <v>18</v>
      </c>
      <c r="L8645" s="8">
        <v>39987.315405092595</v>
      </c>
      <c r="M8645" s="9" t="s">
        <v>19</v>
      </c>
      <c r="N8645" s="9" t="s">
        <v>20</v>
      </c>
      <c r="O8645" s="6" t="str">
        <f>HYPERLINK("https://pbs.twimg.com/profile_images/962471262747529216/Uo8lOkRJ_normal.jpg","View")</f>
        <v>View</v>
      </c>
      <c r="P8645" s="7"/>
    </row>
    <row r="8646" spans="1:16">
      <c r="A8646" s="3">
        <v>44057.79586805556</v>
      </c>
      <c r="B8646" s="4" t="str">
        <f>HYPERLINK("https://twitter.com/petrogustavo","@petrogustavo")</f>
        <v>@petrogustavo</v>
      </c>
      <c r="C8646" s="5" t="s">
        <v>16</v>
      </c>
      <c r="D8646" s="5" t="s">
        <v>8325</v>
      </c>
      <c r="E8646" s="6" t="str">
        <f>HYPERLINK("https://twitter.com/petrogustavo/status/1294266538657284096","1294266538657284096")</f>
        <v>1294266538657284096</v>
      </c>
      <c r="F8646" s="7" t="s">
        <v>17</v>
      </c>
      <c r="G8646" s="7">
        <v>3937038</v>
      </c>
      <c r="H8646" s="7">
        <v>2424</v>
      </c>
      <c r="I8646" s="7">
        <v>208</v>
      </c>
      <c r="J8646" s="7">
        <v>723</v>
      </c>
      <c r="K8646" s="7" t="s">
        <v>18</v>
      </c>
      <c r="L8646" s="8">
        <v>39987.315405092595</v>
      </c>
      <c r="M8646" s="9" t="s">
        <v>19</v>
      </c>
      <c r="N8646" s="9" t="s">
        <v>20</v>
      </c>
      <c r="O8646" s="6" t="str">
        <f>HYPERLINK("https://pbs.twimg.com/profile_images/962471262747529216/Uo8lOkRJ_normal.jpg","View")</f>
        <v>View</v>
      </c>
      <c r="P8646" s="7"/>
    </row>
    <row r="8647" spans="1:16">
      <c r="A8647" s="3">
        <v>44057.806087962963</v>
      </c>
      <c r="B8647" s="4" t="str">
        <f>HYPERLINK("https://twitter.com/petrogustavo","@petrogustavo")</f>
        <v>@petrogustavo</v>
      </c>
      <c r="C8647" s="5" t="s">
        <v>16</v>
      </c>
      <c r="D8647" s="5" t="s">
        <v>8326</v>
      </c>
      <c r="E8647" s="6" t="str">
        <f>HYPERLINK("https://twitter.com/petrogustavo/status/1294270239140610050","1294270239140610050")</f>
        <v>1294270239140610050</v>
      </c>
      <c r="F8647" s="7" t="s">
        <v>17</v>
      </c>
      <c r="G8647" s="7">
        <v>3937038</v>
      </c>
      <c r="H8647" s="7">
        <v>2424</v>
      </c>
      <c r="I8647" s="7">
        <v>29</v>
      </c>
      <c r="J8647" s="7">
        <v>89</v>
      </c>
      <c r="K8647" s="7" t="s">
        <v>18</v>
      </c>
      <c r="L8647" s="8">
        <v>39987.315405092595</v>
      </c>
      <c r="M8647" s="9" t="s">
        <v>19</v>
      </c>
      <c r="N8647" s="9" t="s">
        <v>20</v>
      </c>
      <c r="O8647" s="6" t="str">
        <f>HYPERLINK("https://pbs.twimg.com/profile_images/962471262747529216/Uo8lOkRJ_normal.jpg","View")</f>
        <v>View</v>
      </c>
      <c r="P8647" s="7"/>
    </row>
    <row r="8648" spans="1:16">
      <c r="A8648" s="3">
        <v>44057.825949074075</v>
      </c>
      <c r="B8648" s="4" t="str">
        <f>HYPERLINK("https://twitter.com/petrogustavo","@petrogustavo")</f>
        <v>@petrogustavo</v>
      </c>
      <c r="C8648" s="5" t="s">
        <v>16</v>
      </c>
      <c r="D8648" s="5" t="s">
        <v>8327</v>
      </c>
      <c r="E8648" s="6" t="str">
        <f>HYPERLINK("https://twitter.com/petrogustavo/status/1294277438416060416","1294277438416060416")</f>
        <v>1294277438416060416</v>
      </c>
      <c r="F8648" s="7" t="s">
        <v>17</v>
      </c>
      <c r="G8648" s="7">
        <v>3937069</v>
      </c>
      <c r="H8648" s="7">
        <v>2424</v>
      </c>
      <c r="I8648" s="7">
        <v>63</v>
      </c>
      <c r="J8648" s="7">
        <v>189</v>
      </c>
      <c r="K8648" s="7" t="s">
        <v>18</v>
      </c>
      <c r="L8648" s="8">
        <v>39987.315405092595</v>
      </c>
      <c r="M8648" s="9" t="s">
        <v>19</v>
      </c>
      <c r="N8648" s="9" t="s">
        <v>20</v>
      </c>
      <c r="O8648" s="6" t="str">
        <f>HYPERLINK("https://pbs.twimg.com/profile_images/962471262747529216/Uo8lOkRJ_normal.jpg","View")</f>
        <v>View</v>
      </c>
      <c r="P8648" s="7"/>
    </row>
    <row r="8649" spans="1:16">
      <c r="A8649" s="3">
        <v>44057.826145833329</v>
      </c>
      <c r="B8649" s="4" t="str">
        <f>HYPERLINK("https://twitter.com/petrogustavo","@petrogustavo")</f>
        <v>@petrogustavo</v>
      </c>
      <c r="C8649" s="5" t="s">
        <v>16</v>
      </c>
      <c r="D8649" s="5" t="s">
        <v>8328</v>
      </c>
      <c r="E8649" s="6" t="str">
        <f>HYPERLINK("https://twitter.com/petrogustavo/status/1294277510289661952","1294277510289661952")</f>
        <v>1294277510289661952</v>
      </c>
      <c r="F8649" s="7" t="s">
        <v>17</v>
      </c>
      <c r="G8649" s="7">
        <v>3937069</v>
      </c>
      <c r="H8649" s="7">
        <v>2424</v>
      </c>
      <c r="I8649" s="7">
        <v>364</v>
      </c>
      <c r="J8649" s="7">
        <v>0</v>
      </c>
      <c r="K8649" s="7" t="s">
        <v>18</v>
      </c>
      <c r="L8649" s="8">
        <v>39987.315405092595</v>
      </c>
      <c r="M8649" s="9" t="s">
        <v>19</v>
      </c>
      <c r="N8649" s="9" t="s">
        <v>20</v>
      </c>
      <c r="O8649" s="6" t="str">
        <f>HYPERLINK("https://pbs.twimg.com/profile_images/962471262747529216/Uo8lOkRJ_normal.jpg","View")</f>
        <v>View</v>
      </c>
      <c r="P8649" s="7"/>
    </row>
    <row r="8650" spans="1:16">
      <c r="A8650" s="3">
        <v>44057.838703703703</v>
      </c>
      <c r="B8650" s="4" t="str">
        <f>HYPERLINK("https://twitter.com/petrogustavo","@petrogustavo")</f>
        <v>@petrogustavo</v>
      </c>
      <c r="C8650" s="5" t="s">
        <v>16</v>
      </c>
      <c r="D8650" s="5" t="s">
        <v>8329</v>
      </c>
      <c r="E8650" s="6" t="str">
        <f>HYPERLINK("https://twitter.com/petrogustavo/status/1294282059964461056","1294282059964461056")</f>
        <v>1294282059964461056</v>
      </c>
      <c r="F8650" s="7" t="s">
        <v>17</v>
      </c>
      <c r="G8650" s="7">
        <v>3937112</v>
      </c>
      <c r="H8650" s="7">
        <v>2424</v>
      </c>
      <c r="I8650" s="7">
        <v>85</v>
      </c>
      <c r="J8650" s="7">
        <v>263</v>
      </c>
      <c r="K8650" s="7" t="s">
        <v>18</v>
      </c>
      <c r="L8650" s="8">
        <v>39987.315405092595</v>
      </c>
      <c r="M8650" s="9" t="s">
        <v>19</v>
      </c>
      <c r="N8650" s="9" t="s">
        <v>20</v>
      </c>
      <c r="O8650" s="6" t="str">
        <f>HYPERLINK("https://pbs.twimg.com/profile_images/962471262747529216/Uo8lOkRJ_normal.jpg","View")</f>
        <v>View</v>
      </c>
      <c r="P8650" s="7"/>
    </row>
    <row r="8651" spans="1:16">
      <c r="A8651" s="3">
        <v>44057.841840277775</v>
      </c>
      <c r="B8651" s="4" t="str">
        <f>HYPERLINK("https://twitter.com/petrogustavo","@petrogustavo")</f>
        <v>@petrogustavo</v>
      </c>
      <c r="C8651" s="5" t="s">
        <v>16</v>
      </c>
      <c r="D8651" s="5" t="s">
        <v>8330</v>
      </c>
      <c r="E8651" s="6" t="str">
        <f>HYPERLINK("https://twitter.com/petrogustavo/status/1294283197858091009","1294283197858091009")</f>
        <v>1294283197858091009</v>
      </c>
      <c r="F8651" s="7" t="s">
        <v>17</v>
      </c>
      <c r="G8651" s="7">
        <v>3937112</v>
      </c>
      <c r="H8651" s="7">
        <v>2424</v>
      </c>
      <c r="I8651" s="7">
        <v>39</v>
      </c>
      <c r="J8651" s="7">
        <v>132</v>
      </c>
      <c r="K8651" s="7" t="s">
        <v>18</v>
      </c>
      <c r="L8651" s="8">
        <v>39987.315405092595</v>
      </c>
      <c r="M8651" s="9" t="s">
        <v>19</v>
      </c>
      <c r="N8651" s="9" t="s">
        <v>20</v>
      </c>
      <c r="O8651" s="6" t="str">
        <f>HYPERLINK("https://pbs.twimg.com/profile_images/962471262747529216/Uo8lOkRJ_normal.jpg","View")</f>
        <v>View</v>
      </c>
      <c r="P8651" s="7"/>
    </row>
    <row r="8652" spans="1:16">
      <c r="A8652" s="3">
        <v>44057.891539351855</v>
      </c>
      <c r="B8652" s="4" t="str">
        <f>HYPERLINK("https://twitter.com/petrogustavo","@petrogustavo")</f>
        <v>@petrogustavo</v>
      </c>
      <c r="C8652" s="5" t="s">
        <v>16</v>
      </c>
      <c r="D8652" s="5" t="s">
        <v>8331</v>
      </c>
      <c r="E8652" s="6" t="str">
        <f>HYPERLINK("https://twitter.com/petrogustavo/status/1294301206131679232","1294301206131679232")</f>
        <v>1294301206131679232</v>
      </c>
      <c r="F8652" s="7" t="s">
        <v>32</v>
      </c>
      <c r="G8652" s="7">
        <v>3937167</v>
      </c>
      <c r="H8652" s="7">
        <v>2424</v>
      </c>
      <c r="I8652" s="7">
        <v>61</v>
      </c>
      <c r="J8652" s="7">
        <v>190</v>
      </c>
      <c r="K8652" s="7" t="s">
        <v>18</v>
      </c>
      <c r="L8652" s="8">
        <v>39987.315405092595</v>
      </c>
      <c r="M8652" s="9" t="s">
        <v>19</v>
      </c>
      <c r="N8652" s="9" t="s">
        <v>20</v>
      </c>
      <c r="O8652" s="6" t="str">
        <f>HYPERLINK("https://pbs.twimg.com/profile_images/962471262747529216/Uo8lOkRJ_normal.jpg","View")</f>
        <v>View</v>
      </c>
      <c r="P8652" s="7"/>
    </row>
    <row r="8653" spans="1:16">
      <c r="A8653" s="3">
        <v>44057.897245370375</v>
      </c>
      <c r="B8653" s="4" t="str">
        <f>HYPERLINK("https://twitter.com/petrogustavo","@petrogustavo")</f>
        <v>@petrogustavo</v>
      </c>
      <c r="C8653" s="5" t="s">
        <v>16</v>
      </c>
      <c r="D8653" s="5" t="s">
        <v>8332</v>
      </c>
      <c r="E8653" s="6" t="str">
        <f>HYPERLINK("https://twitter.com/petrogustavo/status/1294303276658114563","1294303276658114563")</f>
        <v>1294303276658114563</v>
      </c>
      <c r="F8653" s="7" t="s">
        <v>32</v>
      </c>
      <c r="G8653" s="7">
        <v>3937167</v>
      </c>
      <c r="H8653" s="7">
        <v>2424</v>
      </c>
      <c r="I8653" s="7">
        <v>12</v>
      </c>
      <c r="J8653" s="7">
        <v>37</v>
      </c>
      <c r="K8653" s="7" t="s">
        <v>18</v>
      </c>
      <c r="L8653" s="8">
        <v>39987.315405092595</v>
      </c>
      <c r="M8653" s="9" t="s">
        <v>19</v>
      </c>
      <c r="N8653" s="9" t="s">
        <v>20</v>
      </c>
      <c r="O8653" s="6" t="str">
        <f>HYPERLINK("https://pbs.twimg.com/profile_images/962471262747529216/Uo8lOkRJ_normal.jpg","View")</f>
        <v>View</v>
      </c>
      <c r="P8653" s="7"/>
    </row>
    <row r="8654" spans="1:16">
      <c r="A8654" s="3">
        <v>44057.941342592589</v>
      </c>
      <c r="B8654" s="4" t="str">
        <f>HYPERLINK("https://twitter.com/petrogustavo","@petrogustavo")</f>
        <v>@petrogustavo</v>
      </c>
      <c r="C8654" s="5" t="s">
        <v>16</v>
      </c>
      <c r="D8654" s="5" t="s">
        <v>8333</v>
      </c>
      <c r="E8654" s="6" t="str">
        <f>HYPERLINK("https://twitter.com/petrogustavo/status/1294319255568228353","1294319255568228353")</f>
        <v>1294319255568228353</v>
      </c>
      <c r="F8654" s="7" t="s">
        <v>17</v>
      </c>
      <c r="G8654" s="7">
        <v>3937267</v>
      </c>
      <c r="H8654" s="7">
        <v>2424</v>
      </c>
      <c r="I8654" s="7">
        <v>71</v>
      </c>
      <c r="J8654" s="7">
        <v>277</v>
      </c>
      <c r="K8654" s="7" t="s">
        <v>18</v>
      </c>
      <c r="L8654" s="8">
        <v>39987.315405092595</v>
      </c>
      <c r="M8654" s="9" t="s">
        <v>19</v>
      </c>
      <c r="N8654" s="9" t="s">
        <v>20</v>
      </c>
      <c r="O8654" s="6" t="str">
        <f>HYPERLINK("https://pbs.twimg.com/profile_images/962471262747529216/Uo8lOkRJ_normal.jpg","View")</f>
        <v>View</v>
      </c>
      <c r="P8654" s="7"/>
    </row>
    <row r="8655" spans="1:16">
      <c r="A8655" s="3">
        <v>44057.95475694444</v>
      </c>
      <c r="B8655" s="4" t="str">
        <f>HYPERLINK("https://twitter.com/petrogustavo","@petrogustavo")</f>
        <v>@petrogustavo</v>
      </c>
      <c r="C8655" s="5" t="s">
        <v>16</v>
      </c>
      <c r="D8655" s="5" t="s">
        <v>8328</v>
      </c>
      <c r="E8655" s="6" t="str">
        <f>HYPERLINK("https://twitter.com/petrogustavo/status/1294324115059486721","1294324115059486721")</f>
        <v>1294324115059486721</v>
      </c>
      <c r="F8655" s="7" t="s">
        <v>32</v>
      </c>
      <c r="G8655" s="7">
        <v>3937267</v>
      </c>
      <c r="H8655" s="7">
        <v>2424</v>
      </c>
      <c r="I8655" s="7">
        <v>825</v>
      </c>
      <c r="J8655" s="7">
        <v>0</v>
      </c>
      <c r="K8655" s="7" t="s">
        <v>18</v>
      </c>
      <c r="L8655" s="8">
        <v>39987.315405092595</v>
      </c>
      <c r="M8655" s="9" t="s">
        <v>19</v>
      </c>
      <c r="N8655" s="9" t="s">
        <v>20</v>
      </c>
      <c r="O8655" s="6" t="str">
        <f>HYPERLINK("https://pbs.twimg.com/profile_images/962471262747529216/Uo8lOkRJ_normal.jpg","View")</f>
        <v>View</v>
      </c>
      <c r="P8655" s="7"/>
    </row>
    <row r="8656" spans="1:16">
      <c r="A8656" s="3">
        <v>44057.962118055555</v>
      </c>
      <c r="B8656" s="4" t="str">
        <f>HYPERLINK("https://twitter.com/petrogustavo","@petrogustavo")</f>
        <v>@petrogustavo</v>
      </c>
      <c r="C8656" s="5" t="s">
        <v>16</v>
      </c>
      <c r="D8656" s="5" t="s">
        <v>8334</v>
      </c>
      <c r="E8656" s="6" t="str">
        <f>HYPERLINK("https://twitter.com/petrogustavo/status/1294326784239034368","1294326784239034368")</f>
        <v>1294326784239034368</v>
      </c>
      <c r="F8656" s="7" t="s">
        <v>32</v>
      </c>
      <c r="G8656" s="7">
        <v>3937308</v>
      </c>
      <c r="H8656" s="7">
        <v>2424</v>
      </c>
      <c r="I8656" s="7">
        <v>176</v>
      </c>
      <c r="J8656" s="7">
        <v>369</v>
      </c>
      <c r="K8656" s="7" t="s">
        <v>18</v>
      </c>
      <c r="L8656" s="8">
        <v>39987.315405092595</v>
      </c>
      <c r="M8656" s="9" t="s">
        <v>19</v>
      </c>
      <c r="N8656" s="9" t="s">
        <v>20</v>
      </c>
      <c r="O8656" s="6" t="str">
        <f>HYPERLINK("https://pbs.twimg.com/profile_images/962471262747529216/Uo8lOkRJ_normal.jpg","View")</f>
        <v>View</v>
      </c>
      <c r="P8656" s="7"/>
    </row>
    <row r="8657" spans="1:16">
      <c r="A8657" s="3">
        <v>44057.962395833332</v>
      </c>
      <c r="B8657" s="4" t="str">
        <f>HYPERLINK("https://twitter.com/petrogustavo","@petrogustavo")</f>
        <v>@petrogustavo</v>
      </c>
      <c r="C8657" s="5" t="s">
        <v>16</v>
      </c>
      <c r="D8657" s="5" t="s">
        <v>8335</v>
      </c>
      <c r="E8657" s="6" t="str">
        <f>HYPERLINK("https://twitter.com/petrogustavo/status/1294326884566786049","1294326884566786049")</f>
        <v>1294326884566786049</v>
      </c>
      <c r="F8657" s="7" t="s">
        <v>32</v>
      </c>
      <c r="G8657" s="7">
        <v>3937308</v>
      </c>
      <c r="H8657" s="7">
        <v>2424</v>
      </c>
      <c r="I8657" s="7">
        <v>146</v>
      </c>
      <c r="J8657" s="7">
        <v>0</v>
      </c>
      <c r="K8657" s="7" t="s">
        <v>18</v>
      </c>
      <c r="L8657" s="8">
        <v>39987.315405092595</v>
      </c>
      <c r="M8657" s="9" t="s">
        <v>19</v>
      </c>
      <c r="N8657" s="9" t="s">
        <v>20</v>
      </c>
      <c r="O8657" s="6" t="str">
        <f>HYPERLINK("https://pbs.twimg.com/profile_images/962471262747529216/Uo8lOkRJ_normal.jpg","View")</f>
        <v>View</v>
      </c>
      <c r="P8657" s="7"/>
    </row>
    <row r="8658" spans="1:16">
      <c r="A8658" s="3">
        <v>44058.000590277778</v>
      </c>
      <c r="B8658" s="4" t="str">
        <f>HYPERLINK("https://twitter.com/petrogustavo","@petrogustavo")</f>
        <v>@petrogustavo</v>
      </c>
      <c r="C8658" s="5" t="s">
        <v>16</v>
      </c>
      <c r="D8658" s="5" t="s">
        <v>8336</v>
      </c>
      <c r="E8658" s="6" t="str">
        <f>HYPERLINK("https://twitter.com/petrogustavo/status/1294340725690245127","1294340725690245127")</f>
        <v>1294340725690245127</v>
      </c>
      <c r="F8658" s="7" t="s">
        <v>17</v>
      </c>
      <c r="G8658" s="7">
        <v>3937347</v>
      </c>
      <c r="H8658" s="7">
        <v>2424</v>
      </c>
      <c r="I8658" s="7">
        <v>281</v>
      </c>
      <c r="J8658" s="7">
        <v>0</v>
      </c>
      <c r="K8658" s="7" t="s">
        <v>18</v>
      </c>
      <c r="L8658" s="8">
        <v>39987.315405092595</v>
      </c>
      <c r="M8658" s="9" t="s">
        <v>19</v>
      </c>
      <c r="N8658" s="9" t="s">
        <v>20</v>
      </c>
      <c r="O8658" s="6" t="str">
        <f>HYPERLINK("https://pbs.twimg.com/profile_images/962471262747529216/Uo8lOkRJ_normal.jpg","View")</f>
        <v>View</v>
      </c>
      <c r="P8658" s="7"/>
    </row>
    <row r="8659" spans="1:16">
      <c r="A8659" s="3">
        <v>44058.003136574072</v>
      </c>
      <c r="B8659" s="4" t="str">
        <f>HYPERLINK("https://twitter.com/petrogustavo","@petrogustavo")</f>
        <v>@petrogustavo</v>
      </c>
      <c r="C8659" s="5" t="s">
        <v>16</v>
      </c>
      <c r="D8659" s="5" t="s">
        <v>8337</v>
      </c>
      <c r="E8659" s="6" t="str">
        <f>HYPERLINK("https://twitter.com/petrogustavo/status/1294341650114924547","1294341650114924547")</f>
        <v>1294341650114924547</v>
      </c>
      <c r="F8659" s="7" t="s">
        <v>17</v>
      </c>
      <c r="G8659" s="7">
        <v>3937356</v>
      </c>
      <c r="H8659" s="7">
        <v>2424</v>
      </c>
      <c r="I8659" s="7">
        <v>244</v>
      </c>
      <c r="J8659" s="7">
        <v>451</v>
      </c>
      <c r="K8659" s="7" t="s">
        <v>18</v>
      </c>
      <c r="L8659" s="8">
        <v>39987.315405092595</v>
      </c>
      <c r="M8659" s="9" t="s">
        <v>19</v>
      </c>
      <c r="N8659" s="9" t="s">
        <v>20</v>
      </c>
      <c r="O8659" s="6" t="str">
        <f>HYPERLINK("https://pbs.twimg.com/profile_images/962471262747529216/Uo8lOkRJ_normal.jpg","View")</f>
        <v>View</v>
      </c>
      <c r="P8659" s="7"/>
    </row>
    <row r="8660" spans="1:16">
      <c r="A8660" s="3">
        <v>44058.143182870372</v>
      </c>
      <c r="B8660" s="4" t="str">
        <f>HYPERLINK("https://twitter.com/petrogustavo","@petrogustavo")</f>
        <v>@petrogustavo</v>
      </c>
      <c r="C8660" s="5" t="s">
        <v>16</v>
      </c>
      <c r="D8660" s="5" t="s">
        <v>8338</v>
      </c>
      <c r="E8660" s="6" t="str">
        <f>HYPERLINK("https://twitter.com/petrogustavo/status/1294392400312438789","1294392400312438789")</f>
        <v>1294392400312438789</v>
      </c>
      <c r="F8660" s="7" t="s">
        <v>17</v>
      </c>
      <c r="G8660" s="7">
        <v>3937531</v>
      </c>
      <c r="H8660" s="7">
        <v>2424</v>
      </c>
      <c r="I8660" s="7">
        <v>792</v>
      </c>
      <c r="J8660" s="7">
        <v>0</v>
      </c>
      <c r="K8660" s="7" t="s">
        <v>18</v>
      </c>
      <c r="L8660" s="8">
        <v>39987.315405092595</v>
      </c>
      <c r="M8660" s="9" t="s">
        <v>19</v>
      </c>
      <c r="N8660" s="9" t="s">
        <v>20</v>
      </c>
      <c r="O8660" s="6" t="str">
        <f>HYPERLINK("https://pbs.twimg.com/profile_images/962471262747529216/Uo8lOkRJ_normal.jpg","View")</f>
        <v>View</v>
      </c>
      <c r="P8660" s="7"/>
    </row>
    <row r="8661" spans="1:16">
      <c r="A8661" s="3">
        <v>44058.14471064815</v>
      </c>
      <c r="B8661" s="4" t="str">
        <f>HYPERLINK("https://twitter.com/petrogustavo","@petrogustavo")</f>
        <v>@petrogustavo</v>
      </c>
      <c r="C8661" s="5" t="s">
        <v>16</v>
      </c>
      <c r="D8661" s="5" t="s">
        <v>8339</v>
      </c>
      <c r="E8661" s="6" t="str">
        <f>HYPERLINK("https://twitter.com/petrogustavo/status/1294392953998397442","1294392953998397442")</f>
        <v>1294392953998397442</v>
      </c>
      <c r="F8661" s="7" t="s">
        <v>17</v>
      </c>
      <c r="G8661" s="7">
        <v>3937531</v>
      </c>
      <c r="H8661" s="7">
        <v>2424</v>
      </c>
      <c r="I8661" s="7">
        <v>33</v>
      </c>
      <c r="J8661" s="7">
        <v>64</v>
      </c>
      <c r="K8661" s="7" t="s">
        <v>18</v>
      </c>
      <c r="L8661" s="8">
        <v>39987.315405092595</v>
      </c>
      <c r="M8661" s="9" t="s">
        <v>19</v>
      </c>
      <c r="N8661" s="9" t="s">
        <v>20</v>
      </c>
      <c r="O8661" s="6" t="str">
        <f>HYPERLINK("https://pbs.twimg.com/profile_images/962471262747529216/Uo8lOkRJ_normal.jpg","View")</f>
        <v>View</v>
      </c>
      <c r="P8661" s="7"/>
    </row>
    <row r="8662" spans="1:16">
      <c r="A8662" s="3">
        <v>44058.146041666667</v>
      </c>
      <c r="B8662" s="4" t="str">
        <f>HYPERLINK("https://twitter.com/petrogustavo","@petrogustavo")</f>
        <v>@petrogustavo</v>
      </c>
      <c r="C8662" s="5" t="s">
        <v>16</v>
      </c>
      <c r="D8662" s="5" t="s">
        <v>8340</v>
      </c>
      <c r="E8662" s="6" t="str">
        <f>HYPERLINK("https://twitter.com/petrogustavo/status/1294393436095819778","1294393436095819778")</f>
        <v>1294393436095819778</v>
      </c>
      <c r="F8662" s="7" t="s">
        <v>17</v>
      </c>
      <c r="G8662" s="7">
        <v>3937531</v>
      </c>
      <c r="H8662" s="7">
        <v>2424</v>
      </c>
      <c r="I8662" s="7">
        <v>730</v>
      </c>
      <c r="J8662" s="7">
        <v>0</v>
      </c>
      <c r="K8662" s="7" t="s">
        <v>18</v>
      </c>
      <c r="L8662" s="8">
        <v>39987.315405092595</v>
      </c>
      <c r="M8662" s="9" t="s">
        <v>19</v>
      </c>
      <c r="N8662" s="9" t="s">
        <v>20</v>
      </c>
      <c r="O8662" s="6" t="str">
        <f>HYPERLINK("https://pbs.twimg.com/profile_images/962471262747529216/Uo8lOkRJ_normal.jpg","View")</f>
        <v>View</v>
      </c>
      <c r="P8662" s="7"/>
    </row>
    <row r="8663" spans="1:16">
      <c r="A8663" s="3">
        <v>44058.18346064815</v>
      </c>
      <c r="B8663" s="4" t="str">
        <f>HYPERLINK("https://twitter.com/petrogustavo","@petrogustavo")</f>
        <v>@petrogustavo</v>
      </c>
      <c r="C8663" s="5" t="s">
        <v>16</v>
      </c>
      <c r="D8663" s="5" t="s">
        <v>8341</v>
      </c>
      <c r="E8663" s="6" t="str">
        <f>HYPERLINK("https://twitter.com/petrogustavo/status/1294406995899027458","1294406995899027458")</f>
        <v>1294406995899027458</v>
      </c>
      <c r="F8663" s="7" t="s">
        <v>32</v>
      </c>
      <c r="G8663" s="7">
        <v>3937569</v>
      </c>
      <c r="H8663" s="7">
        <v>2424</v>
      </c>
      <c r="I8663" s="7">
        <v>146</v>
      </c>
      <c r="J8663" s="7">
        <v>414</v>
      </c>
      <c r="K8663" s="7" t="s">
        <v>18</v>
      </c>
      <c r="L8663" s="8">
        <v>39987.315405092595</v>
      </c>
      <c r="M8663" s="9" t="s">
        <v>19</v>
      </c>
      <c r="N8663" s="9" t="s">
        <v>20</v>
      </c>
      <c r="O8663" s="6" t="str">
        <f>HYPERLINK("https://pbs.twimg.com/profile_images/962471262747529216/Uo8lOkRJ_normal.jpg","View")</f>
        <v>View</v>
      </c>
      <c r="P8663" s="7"/>
    </row>
    <row r="8664" spans="1:16">
      <c r="A8664" s="3">
        <v>44058.193969907406</v>
      </c>
      <c r="B8664" s="4" t="str">
        <f>HYPERLINK("https://twitter.com/petrogustavo","@petrogustavo")</f>
        <v>@petrogustavo</v>
      </c>
      <c r="C8664" s="5" t="s">
        <v>16</v>
      </c>
      <c r="D8664" s="5" t="s">
        <v>8342</v>
      </c>
      <c r="E8664" s="6" t="str">
        <f>HYPERLINK("https://twitter.com/petrogustavo/status/1294410802921984002","1294410802921984002")</f>
        <v>1294410802921984002</v>
      </c>
      <c r="F8664" s="7" t="s">
        <v>32</v>
      </c>
      <c r="G8664" s="7">
        <v>3937600</v>
      </c>
      <c r="H8664" s="7">
        <v>2424</v>
      </c>
      <c r="I8664" s="7">
        <v>18</v>
      </c>
      <c r="J8664" s="7">
        <v>0</v>
      </c>
      <c r="K8664" s="7" t="s">
        <v>18</v>
      </c>
      <c r="L8664" s="8">
        <v>39987.315405092595</v>
      </c>
      <c r="M8664" s="9" t="s">
        <v>19</v>
      </c>
      <c r="N8664" s="9" t="s">
        <v>20</v>
      </c>
      <c r="O8664" s="6" t="str">
        <f>HYPERLINK("https://pbs.twimg.com/profile_images/962471262747529216/Uo8lOkRJ_normal.jpg","View")</f>
        <v>View</v>
      </c>
      <c r="P8664" s="7"/>
    </row>
    <row r="8665" spans="1:16">
      <c r="A8665" s="3">
        <v>44058.195787037039</v>
      </c>
      <c r="B8665" s="4" t="str">
        <f>HYPERLINK("https://twitter.com/petrogustavo","@petrogustavo")</f>
        <v>@petrogustavo</v>
      </c>
      <c r="C8665" s="5" t="s">
        <v>16</v>
      </c>
      <c r="D8665" s="5" t="s">
        <v>8343</v>
      </c>
      <c r="E8665" s="6" t="str">
        <f>HYPERLINK("https://twitter.com/petrogustavo/status/1294411461457051649","1294411461457051649")</f>
        <v>1294411461457051649</v>
      </c>
      <c r="F8665" s="7" t="s">
        <v>32</v>
      </c>
      <c r="G8665" s="7">
        <v>3937600</v>
      </c>
      <c r="H8665" s="7">
        <v>2424</v>
      </c>
      <c r="I8665" s="7">
        <v>119</v>
      </c>
      <c r="J8665" s="7">
        <v>0</v>
      </c>
      <c r="K8665" s="7" t="s">
        <v>18</v>
      </c>
      <c r="L8665" s="8">
        <v>39987.315405092595</v>
      </c>
      <c r="M8665" s="9" t="s">
        <v>19</v>
      </c>
      <c r="N8665" s="9" t="s">
        <v>20</v>
      </c>
      <c r="O8665" s="6" t="str">
        <f>HYPERLINK("https://pbs.twimg.com/profile_images/962471262747529216/Uo8lOkRJ_normal.jpg","View")</f>
        <v>View</v>
      </c>
      <c r="P8665" s="7"/>
    </row>
    <row r="8666" spans="1:16">
      <c r="A8666" s="3">
        <v>44058.195937500001</v>
      </c>
      <c r="B8666" s="4" t="str">
        <f>HYPERLINK("https://twitter.com/petrogustavo","@petrogustavo")</f>
        <v>@petrogustavo</v>
      </c>
      <c r="C8666" s="5" t="s">
        <v>16</v>
      </c>
      <c r="D8666" s="5" t="s">
        <v>8344</v>
      </c>
      <c r="E8666" s="6" t="str">
        <f>HYPERLINK("https://twitter.com/petrogustavo/status/1294411517086109696","1294411517086109696")</f>
        <v>1294411517086109696</v>
      </c>
      <c r="F8666" s="7" t="s">
        <v>32</v>
      </c>
      <c r="G8666" s="7">
        <v>3937600</v>
      </c>
      <c r="H8666" s="7">
        <v>2424</v>
      </c>
      <c r="I8666" s="7">
        <v>459</v>
      </c>
      <c r="J8666" s="7">
        <v>0</v>
      </c>
      <c r="K8666" s="7" t="s">
        <v>18</v>
      </c>
      <c r="L8666" s="8">
        <v>39987.315405092595</v>
      </c>
      <c r="M8666" s="9" t="s">
        <v>19</v>
      </c>
      <c r="N8666" s="9" t="s">
        <v>20</v>
      </c>
      <c r="O8666" s="6" t="str">
        <f>HYPERLINK("https://pbs.twimg.com/profile_images/962471262747529216/Uo8lOkRJ_normal.jpg","View")</f>
        <v>View</v>
      </c>
      <c r="P8666" s="7"/>
    </row>
    <row r="8667" spans="1:16">
      <c r="A8667" s="3">
        <v>44058.196493055555</v>
      </c>
      <c r="B8667" s="4" t="str">
        <f>HYPERLINK("https://twitter.com/petrogustavo","@petrogustavo")</f>
        <v>@petrogustavo</v>
      </c>
      <c r="C8667" s="5" t="s">
        <v>16</v>
      </c>
      <c r="D8667" s="5" t="s">
        <v>8345</v>
      </c>
      <c r="E8667" s="6" t="str">
        <f>HYPERLINK("https://twitter.com/petrogustavo/status/1294411718429421570","1294411718429421570")</f>
        <v>1294411718429421570</v>
      </c>
      <c r="F8667" s="7" t="s">
        <v>32</v>
      </c>
      <c r="G8667" s="7">
        <v>3937600</v>
      </c>
      <c r="H8667" s="7">
        <v>2424</v>
      </c>
      <c r="I8667" s="7">
        <v>683</v>
      </c>
      <c r="J8667" s="7">
        <v>0</v>
      </c>
      <c r="K8667" s="7" t="s">
        <v>18</v>
      </c>
      <c r="L8667" s="8">
        <v>39987.315405092595</v>
      </c>
      <c r="M8667" s="9" t="s">
        <v>19</v>
      </c>
      <c r="N8667" s="9" t="s">
        <v>20</v>
      </c>
      <c r="O8667" s="6" t="str">
        <f>HYPERLINK("https://pbs.twimg.com/profile_images/962471262747529216/Uo8lOkRJ_normal.jpg","View")</f>
        <v>View</v>
      </c>
      <c r="P8667" s="7"/>
    </row>
    <row r="8668" spans="1:16">
      <c r="A8668" s="3">
        <v>44058.204814814817</v>
      </c>
      <c r="B8668" s="4" t="str">
        <f>HYPERLINK("https://twitter.com/petrogustavo","@petrogustavo")</f>
        <v>@petrogustavo</v>
      </c>
      <c r="C8668" s="5" t="s">
        <v>16</v>
      </c>
      <c r="D8668" s="5" t="s">
        <v>8346</v>
      </c>
      <c r="E8668" s="6" t="str">
        <f>HYPERLINK("https://twitter.com/petrogustavo/status/1294414733186084864","1294414733186084864")</f>
        <v>1294414733186084864</v>
      </c>
      <c r="F8668" s="7" t="s">
        <v>32</v>
      </c>
      <c r="G8668" s="7">
        <v>3937600</v>
      </c>
      <c r="H8668" s="7">
        <v>2424</v>
      </c>
      <c r="I8668" s="7">
        <v>165</v>
      </c>
      <c r="J8668" s="7">
        <v>278</v>
      </c>
      <c r="K8668" s="7" t="s">
        <v>18</v>
      </c>
      <c r="L8668" s="8">
        <v>39987.315405092595</v>
      </c>
      <c r="M8668" s="9" t="s">
        <v>19</v>
      </c>
      <c r="N8668" s="9" t="s">
        <v>20</v>
      </c>
      <c r="O8668" s="6" t="str">
        <f>HYPERLINK("https://pbs.twimg.com/profile_images/962471262747529216/Uo8lOkRJ_normal.jpg","View")</f>
        <v>View</v>
      </c>
      <c r="P8668" s="7"/>
    </row>
    <row r="8669" spans="1:16">
      <c r="A8669" s="3">
        <v>44058.205474537041</v>
      </c>
      <c r="B8669" s="4" t="str">
        <f>HYPERLINK("https://twitter.com/petrogustavo","@petrogustavo")</f>
        <v>@petrogustavo</v>
      </c>
      <c r="C8669" s="5" t="s">
        <v>16</v>
      </c>
      <c r="D8669" s="5" t="s">
        <v>8347</v>
      </c>
      <c r="E8669" s="6" t="str">
        <f>HYPERLINK("https://twitter.com/petrogustavo/status/1294414974144716800","1294414974144716800")</f>
        <v>1294414974144716800</v>
      </c>
      <c r="F8669" s="7" t="s">
        <v>32</v>
      </c>
      <c r="G8669" s="7">
        <v>3937600</v>
      </c>
      <c r="H8669" s="7">
        <v>2424</v>
      </c>
      <c r="I8669" s="7">
        <v>25</v>
      </c>
      <c r="J8669" s="7">
        <v>0</v>
      </c>
      <c r="K8669" s="7" t="s">
        <v>18</v>
      </c>
      <c r="L8669" s="8">
        <v>39987.315405092595</v>
      </c>
      <c r="M8669" s="9" t="s">
        <v>19</v>
      </c>
      <c r="N8669" s="9" t="s">
        <v>20</v>
      </c>
      <c r="O8669" s="6" t="str">
        <f>HYPERLINK("https://pbs.twimg.com/profile_images/962471262747529216/Uo8lOkRJ_normal.jpg","View")</f>
        <v>View</v>
      </c>
      <c r="P8669" s="7"/>
    </row>
    <row r="8670" spans="1:16">
      <c r="A8670" s="3">
        <v>44058.207824074074</v>
      </c>
      <c r="B8670" s="4" t="str">
        <f>HYPERLINK("https://twitter.com/petrogustavo","@petrogustavo")</f>
        <v>@petrogustavo</v>
      </c>
      <c r="C8670" s="5" t="s">
        <v>16</v>
      </c>
      <c r="D8670" s="5" t="s">
        <v>8348</v>
      </c>
      <c r="E8670" s="6" t="str">
        <f>HYPERLINK("https://twitter.com/petrogustavo/status/1294415826817359873","1294415826817359873")</f>
        <v>1294415826817359873</v>
      </c>
      <c r="F8670" s="7" t="s">
        <v>32</v>
      </c>
      <c r="G8670" s="7">
        <v>3937600</v>
      </c>
      <c r="H8670" s="7">
        <v>2424</v>
      </c>
      <c r="I8670" s="7">
        <v>24</v>
      </c>
      <c r="J8670" s="7">
        <v>0</v>
      </c>
      <c r="K8670" s="7" t="s">
        <v>18</v>
      </c>
      <c r="L8670" s="8">
        <v>39987.315405092595</v>
      </c>
      <c r="M8670" s="9" t="s">
        <v>19</v>
      </c>
      <c r="N8670" s="9" t="s">
        <v>20</v>
      </c>
      <c r="O8670" s="6" t="str">
        <f>HYPERLINK("https://pbs.twimg.com/profile_images/962471262747529216/Uo8lOkRJ_normal.jpg","View")</f>
        <v>View</v>
      </c>
      <c r="P8670" s="7"/>
    </row>
    <row r="8671" spans="1:16">
      <c r="A8671" s="3">
        <v>44058.230416666665</v>
      </c>
      <c r="B8671" s="4" t="str">
        <f>HYPERLINK("https://twitter.com/petrogustavo","@petrogustavo")</f>
        <v>@petrogustavo</v>
      </c>
      <c r="C8671" s="5" t="s">
        <v>16</v>
      </c>
      <c r="D8671" s="5" t="s">
        <v>8349</v>
      </c>
      <c r="E8671" s="6" t="str">
        <f>HYPERLINK("https://twitter.com/petrogustavo/status/1294424013599580166","1294424013599580166")</f>
        <v>1294424013599580166</v>
      </c>
      <c r="F8671" s="7" t="s">
        <v>32</v>
      </c>
      <c r="G8671" s="7">
        <v>3937638</v>
      </c>
      <c r="H8671" s="7">
        <v>2424</v>
      </c>
      <c r="I8671" s="7">
        <v>9</v>
      </c>
      <c r="J8671" s="7">
        <v>0</v>
      </c>
      <c r="K8671" s="7" t="s">
        <v>18</v>
      </c>
      <c r="L8671" s="8">
        <v>39987.315405092595</v>
      </c>
      <c r="M8671" s="9" t="s">
        <v>19</v>
      </c>
      <c r="N8671" s="9" t="s">
        <v>20</v>
      </c>
      <c r="O8671" s="6" t="str">
        <f>HYPERLINK("https://pbs.twimg.com/profile_images/962471262747529216/Uo8lOkRJ_normal.jpg","View")</f>
        <v>View</v>
      </c>
      <c r="P8671" s="7"/>
    </row>
    <row r="8672" spans="1:16">
      <c r="A8672" s="3">
        <v>44058.234942129631</v>
      </c>
      <c r="B8672" s="4" t="str">
        <f>HYPERLINK("https://twitter.com/petrogustavo","@petrogustavo")</f>
        <v>@petrogustavo</v>
      </c>
      <c r="C8672" s="5" t="s">
        <v>16</v>
      </c>
      <c r="D8672" s="5" t="s">
        <v>8350</v>
      </c>
      <c r="E8672" s="6" t="str">
        <f>HYPERLINK("https://twitter.com/petrogustavo/status/1294425654113558528","1294425654113558528")</f>
        <v>1294425654113558528</v>
      </c>
      <c r="F8672" s="7" t="s">
        <v>32</v>
      </c>
      <c r="G8672" s="7">
        <v>3937674</v>
      </c>
      <c r="H8672" s="7">
        <v>2424</v>
      </c>
      <c r="I8672" s="7">
        <v>45</v>
      </c>
      <c r="J8672" s="7">
        <v>92</v>
      </c>
      <c r="K8672" s="7" t="s">
        <v>18</v>
      </c>
      <c r="L8672" s="8">
        <v>39987.315405092595</v>
      </c>
      <c r="M8672" s="9" t="s">
        <v>19</v>
      </c>
      <c r="N8672" s="9" t="s">
        <v>20</v>
      </c>
      <c r="O8672" s="6" t="str">
        <f>HYPERLINK("https://pbs.twimg.com/profile_images/962471262747529216/Uo8lOkRJ_normal.jpg","View")</f>
        <v>View</v>
      </c>
      <c r="P8672" s="7"/>
    </row>
    <row r="8673" spans="1:16">
      <c r="A8673" s="3">
        <v>44058.238668981481</v>
      </c>
      <c r="B8673" s="4" t="str">
        <f>HYPERLINK("https://twitter.com/petrogustavo","@petrogustavo")</f>
        <v>@petrogustavo</v>
      </c>
      <c r="C8673" s="5" t="s">
        <v>16</v>
      </c>
      <c r="D8673" s="5" t="s">
        <v>8351</v>
      </c>
      <c r="E8673" s="6" t="str">
        <f>HYPERLINK("https://twitter.com/petrogustavo/status/1294427004427816965","1294427004427816965")</f>
        <v>1294427004427816965</v>
      </c>
      <c r="F8673" s="7" t="s">
        <v>32</v>
      </c>
      <c r="G8673" s="7">
        <v>3937674</v>
      </c>
      <c r="H8673" s="7">
        <v>2424</v>
      </c>
      <c r="I8673" s="7">
        <v>991</v>
      </c>
      <c r="J8673" s="7">
        <v>0</v>
      </c>
      <c r="K8673" s="7" t="s">
        <v>18</v>
      </c>
      <c r="L8673" s="8">
        <v>39987.315405092595</v>
      </c>
      <c r="M8673" s="9" t="s">
        <v>19</v>
      </c>
      <c r="N8673" s="9" t="s">
        <v>20</v>
      </c>
      <c r="O8673" s="6" t="str">
        <f>HYPERLINK("https://pbs.twimg.com/profile_images/962471262747529216/Uo8lOkRJ_normal.jpg","View")</f>
        <v>View</v>
      </c>
      <c r="P8673" s="7"/>
    </row>
    <row r="8674" spans="1:16">
      <c r="A8674" s="3">
        <v>44058.239212962959</v>
      </c>
      <c r="B8674" s="4" t="str">
        <f>HYPERLINK("https://twitter.com/petrogustavo","@petrogustavo")</f>
        <v>@petrogustavo</v>
      </c>
      <c r="C8674" s="5" t="s">
        <v>16</v>
      </c>
      <c r="D8674" s="5" t="s">
        <v>8344</v>
      </c>
      <c r="E8674" s="6" t="str">
        <f>HYPERLINK("https://twitter.com/petrogustavo/status/1294427198263304193","1294427198263304193")</f>
        <v>1294427198263304193</v>
      </c>
      <c r="F8674" s="7" t="s">
        <v>32</v>
      </c>
      <c r="G8674" s="7">
        <v>3937674</v>
      </c>
      <c r="H8674" s="7">
        <v>2424</v>
      </c>
      <c r="I8674" s="7">
        <v>833</v>
      </c>
      <c r="J8674" s="7">
        <v>0</v>
      </c>
      <c r="K8674" s="7" t="s">
        <v>18</v>
      </c>
      <c r="L8674" s="8">
        <v>39987.315405092595</v>
      </c>
      <c r="M8674" s="9" t="s">
        <v>19</v>
      </c>
      <c r="N8674" s="9" t="s">
        <v>20</v>
      </c>
      <c r="O8674" s="6" t="str">
        <f>HYPERLINK("https://pbs.twimg.com/profile_images/962471262747529216/Uo8lOkRJ_normal.jpg","View")</f>
        <v>View</v>
      </c>
      <c r="P8674" s="7"/>
    </row>
    <row r="8675" spans="1:16">
      <c r="A8675" s="3">
        <v>44058.263368055559</v>
      </c>
      <c r="B8675" s="4" t="str">
        <f>HYPERLINK("https://twitter.com/petrogustavo","@petrogustavo")</f>
        <v>@petrogustavo</v>
      </c>
      <c r="C8675" s="5" t="s">
        <v>16</v>
      </c>
      <c r="D8675" s="5" t="s">
        <v>8352</v>
      </c>
      <c r="E8675" s="6" t="str">
        <f>HYPERLINK("https://twitter.com/petrogustavo/status/1294435953226977280","1294435953226977280")</f>
        <v>1294435953226977280</v>
      </c>
      <c r="F8675" s="7" t="s">
        <v>17</v>
      </c>
      <c r="G8675" s="7">
        <v>3937714</v>
      </c>
      <c r="H8675" s="7">
        <v>2424</v>
      </c>
      <c r="I8675" s="7">
        <v>156</v>
      </c>
      <c r="J8675" s="7">
        <v>0</v>
      </c>
      <c r="K8675" s="7" t="s">
        <v>18</v>
      </c>
      <c r="L8675" s="8">
        <v>39987.315405092595</v>
      </c>
      <c r="M8675" s="9" t="s">
        <v>19</v>
      </c>
      <c r="N8675" s="9" t="s">
        <v>20</v>
      </c>
      <c r="O8675" s="6" t="str">
        <f>HYPERLINK("https://pbs.twimg.com/profile_images/962471262747529216/Uo8lOkRJ_normal.jpg","View")</f>
        <v>View</v>
      </c>
      <c r="P8675" s="7"/>
    </row>
    <row r="8676" spans="1:16">
      <c r="A8676" s="3">
        <v>44058.263680555552</v>
      </c>
      <c r="B8676" s="4" t="str">
        <f>HYPERLINK("https://twitter.com/petrogustavo","@petrogustavo")</f>
        <v>@petrogustavo</v>
      </c>
      <c r="C8676" s="5" t="s">
        <v>16</v>
      </c>
      <c r="D8676" s="5" t="s">
        <v>8353</v>
      </c>
      <c r="E8676" s="6" t="str">
        <f>HYPERLINK("https://twitter.com/petrogustavo/status/1294436068566196225","1294436068566196225")</f>
        <v>1294436068566196225</v>
      </c>
      <c r="F8676" s="7" t="s">
        <v>17</v>
      </c>
      <c r="G8676" s="7">
        <v>3937714</v>
      </c>
      <c r="H8676" s="7">
        <v>2424</v>
      </c>
      <c r="I8676" s="7">
        <v>49</v>
      </c>
      <c r="J8676" s="7">
        <v>0</v>
      </c>
      <c r="K8676" s="7" t="s">
        <v>18</v>
      </c>
      <c r="L8676" s="8">
        <v>39987.315405092595</v>
      </c>
      <c r="M8676" s="9" t="s">
        <v>19</v>
      </c>
      <c r="N8676" s="9" t="s">
        <v>20</v>
      </c>
      <c r="O8676" s="6" t="str">
        <f>HYPERLINK("https://pbs.twimg.com/profile_images/962471262747529216/Uo8lOkRJ_normal.jpg","View")</f>
        <v>View</v>
      </c>
      <c r="P8676" s="7"/>
    </row>
    <row r="8677" spans="1:16">
      <c r="A8677" s="3">
        <v>44058.263784722221</v>
      </c>
      <c r="B8677" s="4" t="str">
        <f>HYPERLINK("https://twitter.com/petrogustavo","@petrogustavo")</f>
        <v>@petrogustavo</v>
      </c>
      <c r="C8677" s="5" t="s">
        <v>16</v>
      </c>
      <c r="D8677" s="5" t="s">
        <v>8354</v>
      </c>
      <c r="E8677" s="6" t="str">
        <f>HYPERLINK("https://twitter.com/petrogustavo/status/1294436104171642881","1294436104171642881")</f>
        <v>1294436104171642881</v>
      </c>
      <c r="F8677" s="7" t="s">
        <v>17</v>
      </c>
      <c r="G8677" s="7">
        <v>3937714</v>
      </c>
      <c r="H8677" s="7">
        <v>2424</v>
      </c>
      <c r="I8677" s="7">
        <v>28</v>
      </c>
      <c r="J8677" s="7">
        <v>0</v>
      </c>
      <c r="K8677" s="7" t="s">
        <v>18</v>
      </c>
      <c r="L8677" s="8">
        <v>39987.315405092595</v>
      </c>
      <c r="M8677" s="9" t="s">
        <v>19</v>
      </c>
      <c r="N8677" s="9" t="s">
        <v>20</v>
      </c>
      <c r="O8677" s="6" t="str">
        <f>HYPERLINK("https://pbs.twimg.com/profile_images/962471262747529216/Uo8lOkRJ_normal.jpg","View")</f>
        <v>View</v>
      </c>
      <c r="P8677" s="7"/>
    </row>
    <row r="8678" spans="1:16">
      <c r="A8678" s="3">
        <v>44058.26394675926</v>
      </c>
      <c r="B8678" s="4" t="str">
        <f>HYPERLINK("https://twitter.com/petrogustavo","@petrogustavo")</f>
        <v>@petrogustavo</v>
      </c>
      <c r="C8678" s="5" t="s">
        <v>16</v>
      </c>
      <c r="D8678" s="5" t="s">
        <v>8355</v>
      </c>
      <c r="E8678" s="6" t="str">
        <f>HYPERLINK("https://twitter.com/petrogustavo/status/1294436165391720448","1294436165391720448")</f>
        <v>1294436165391720448</v>
      </c>
      <c r="F8678" s="7" t="s">
        <v>17</v>
      </c>
      <c r="G8678" s="7">
        <v>3937714</v>
      </c>
      <c r="H8678" s="7">
        <v>2424</v>
      </c>
      <c r="I8678" s="7">
        <v>294</v>
      </c>
      <c r="J8678" s="7">
        <v>0</v>
      </c>
      <c r="K8678" s="7" t="s">
        <v>18</v>
      </c>
      <c r="L8678" s="8">
        <v>39987.315405092595</v>
      </c>
      <c r="M8678" s="9" t="s">
        <v>19</v>
      </c>
      <c r="N8678" s="9" t="s">
        <v>20</v>
      </c>
      <c r="O8678" s="6" t="str">
        <f>HYPERLINK("https://pbs.twimg.com/profile_images/962471262747529216/Uo8lOkRJ_normal.jpg","View")</f>
        <v>View</v>
      </c>
      <c r="P8678" s="7"/>
    </row>
    <row r="8679" spans="1:16">
      <c r="A8679" s="3">
        <v>44058.264513888891</v>
      </c>
      <c r="B8679" s="4" t="str">
        <f>HYPERLINK("https://twitter.com/petrogustavo","@petrogustavo")</f>
        <v>@petrogustavo</v>
      </c>
      <c r="C8679" s="5" t="s">
        <v>16</v>
      </c>
      <c r="D8679" s="5" t="s">
        <v>8356</v>
      </c>
      <c r="E8679" s="6" t="str">
        <f>HYPERLINK("https://twitter.com/petrogustavo/status/1294436367729131520","1294436367729131520")</f>
        <v>1294436367729131520</v>
      </c>
      <c r="F8679" s="7" t="s">
        <v>17</v>
      </c>
      <c r="G8679" s="7">
        <v>3937714</v>
      </c>
      <c r="H8679" s="7">
        <v>2424</v>
      </c>
      <c r="I8679" s="7">
        <v>38</v>
      </c>
      <c r="J8679" s="7">
        <v>0</v>
      </c>
      <c r="K8679" s="7" t="s">
        <v>18</v>
      </c>
      <c r="L8679" s="8">
        <v>39987.315405092595</v>
      </c>
      <c r="M8679" s="9" t="s">
        <v>19</v>
      </c>
      <c r="N8679" s="9" t="s">
        <v>20</v>
      </c>
      <c r="O8679" s="6" t="str">
        <f>HYPERLINK("https://pbs.twimg.com/profile_images/962471262747529216/Uo8lOkRJ_normal.jpg","View")</f>
        <v>View</v>
      </c>
      <c r="P8679" s="7"/>
    </row>
    <row r="8680" spans="1:16">
      <c r="A8680" s="3">
        <v>44058.265231481477</v>
      </c>
      <c r="B8680" s="4" t="str">
        <f>HYPERLINK("https://twitter.com/petrogustavo","@petrogustavo")</f>
        <v>@petrogustavo</v>
      </c>
      <c r="C8680" s="5" t="s">
        <v>16</v>
      </c>
      <c r="D8680" s="5" t="s">
        <v>8357</v>
      </c>
      <c r="E8680" s="6" t="str">
        <f>HYPERLINK("https://twitter.com/petrogustavo/status/1294436628300169217","1294436628300169217")</f>
        <v>1294436628300169217</v>
      </c>
      <c r="F8680" s="7" t="s">
        <v>17</v>
      </c>
      <c r="G8680" s="7">
        <v>3937714</v>
      </c>
      <c r="H8680" s="7">
        <v>2424</v>
      </c>
      <c r="I8680" s="7">
        <v>14</v>
      </c>
      <c r="J8680" s="7">
        <v>0</v>
      </c>
      <c r="K8680" s="7" t="s">
        <v>18</v>
      </c>
      <c r="L8680" s="8">
        <v>39987.315405092595</v>
      </c>
      <c r="M8680" s="9" t="s">
        <v>19</v>
      </c>
      <c r="N8680" s="9" t="s">
        <v>20</v>
      </c>
      <c r="O8680" s="6" t="str">
        <f>HYPERLINK("https://pbs.twimg.com/profile_images/962471262747529216/Uo8lOkRJ_normal.jpg","View")</f>
        <v>View</v>
      </c>
      <c r="P8680" s="7"/>
    </row>
    <row r="8681" spans="1:16">
      <c r="A8681" s="3">
        <v>44058.269930555558</v>
      </c>
      <c r="B8681" s="4" t="str">
        <f>HYPERLINK("https://twitter.com/petrogustavo","@petrogustavo")</f>
        <v>@petrogustavo</v>
      </c>
      <c r="C8681" s="5" t="s">
        <v>16</v>
      </c>
      <c r="D8681" s="5" t="s">
        <v>8358</v>
      </c>
      <c r="E8681" s="6" t="str">
        <f>HYPERLINK("https://twitter.com/petrogustavo/status/1294438331116400652","1294438331116400652")</f>
        <v>1294438331116400652</v>
      </c>
      <c r="F8681" s="7" t="s">
        <v>17</v>
      </c>
      <c r="G8681" s="7">
        <v>3937714</v>
      </c>
      <c r="H8681" s="7">
        <v>2424</v>
      </c>
      <c r="I8681" s="7">
        <v>42</v>
      </c>
      <c r="J8681" s="7">
        <v>0</v>
      </c>
      <c r="K8681" s="7" t="s">
        <v>18</v>
      </c>
      <c r="L8681" s="8">
        <v>39987.315405092595</v>
      </c>
      <c r="M8681" s="9" t="s">
        <v>19</v>
      </c>
      <c r="N8681" s="9" t="s">
        <v>20</v>
      </c>
      <c r="O8681" s="6" t="str">
        <f>HYPERLINK("https://pbs.twimg.com/profile_images/962471262747529216/Uo8lOkRJ_normal.jpg","View")</f>
        <v>View</v>
      </c>
      <c r="P8681" s="7"/>
    </row>
    <row r="8682" spans="1:16">
      <c r="A8682" s="3">
        <v>44058.273611111115</v>
      </c>
      <c r="B8682" s="4" t="str">
        <f>HYPERLINK("https://twitter.com/petrogustavo","@petrogustavo")</f>
        <v>@petrogustavo</v>
      </c>
      <c r="C8682" s="5" t="s">
        <v>16</v>
      </c>
      <c r="D8682" s="5" t="s">
        <v>8359</v>
      </c>
      <c r="E8682" s="6" t="str">
        <f>HYPERLINK("https://twitter.com/petrogustavo/status/1294439666293387264","1294439666293387264")</f>
        <v>1294439666293387264</v>
      </c>
      <c r="F8682" s="7" t="s">
        <v>17</v>
      </c>
      <c r="G8682" s="7">
        <v>3937757</v>
      </c>
      <c r="H8682" s="7">
        <v>2424</v>
      </c>
      <c r="I8682" s="7">
        <v>407</v>
      </c>
      <c r="J8682" s="7">
        <v>1213</v>
      </c>
      <c r="K8682" s="7" t="s">
        <v>18</v>
      </c>
      <c r="L8682" s="8">
        <v>39987.315405092595</v>
      </c>
      <c r="M8682" s="9" t="s">
        <v>19</v>
      </c>
      <c r="N8682" s="9" t="s">
        <v>20</v>
      </c>
      <c r="O8682" s="6" t="str">
        <f>HYPERLINK("https://pbs.twimg.com/profile_images/962471262747529216/Uo8lOkRJ_normal.jpg","View")</f>
        <v>View</v>
      </c>
      <c r="P8682" s="7"/>
    </row>
    <row r="8683" spans="1:16">
      <c r="A8683" s="3">
        <v>44058.281944444447</v>
      </c>
      <c r="B8683" s="4" t="str">
        <f>HYPERLINK("https://twitter.com/petrogustavo","@petrogustavo")</f>
        <v>@petrogustavo</v>
      </c>
      <c r="C8683" s="5" t="s">
        <v>16</v>
      </c>
      <c r="D8683" s="5" t="s">
        <v>8360</v>
      </c>
      <c r="E8683" s="6" t="str">
        <f>HYPERLINK("https://twitter.com/petrogustavo/status/1294442685210779650","1294442685210779650")</f>
        <v>1294442685210779650</v>
      </c>
      <c r="F8683" s="7" t="s">
        <v>17</v>
      </c>
      <c r="G8683" s="7">
        <v>3937757</v>
      </c>
      <c r="H8683" s="7">
        <v>2424</v>
      </c>
      <c r="I8683" s="7">
        <v>37</v>
      </c>
      <c r="J8683" s="7">
        <v>110</v>
      </c>
      <c r="K8683" s="7" t="s">
        <v>18</v>
      </c>
      <c r="L8683" s="8">
        <v>39987.315405092595</v>
      </c>
      <c r="M8683" s="9" t="s">
        <v>19</v>
      </c>
      <c r="N8683" s="9" t="s">
        <v>20</v>
      </c>
      <c r="O8683" s="6" t="str">
        <f>HYPERLINK("https://pbs.twimg.com/profile_images/962471262747529216/Uo8lOkRJ_normal.jpg","View")</f>
        <v>View</v>
      </c>
      <c r="P8683" s="7"/>
    </row>
    <row r="8684" spans="1:16">
      <c r="A8684" s="3">
        <v>44058.77076388889</v>
      </c>
      <c r="B8684" s="4" t="str">
        <f>HYPERLINK("https://twitter.com/petrogustavo","@petrogustavo")</f>
        <v>@petrogustavo</v>
      </c>
      <c r="C8684" s="5" t="s">
        <v>16</v>
      </c>
      <c r="D8684" s="5" t="s">
        <v>8361</v>
      </c>
      <c r="E8684" s="6" t="str">
        <f>HYPERLINK("https://twitter.com/petrogustavo/status/1294619826556739584","1294619826556739584")</f>
        <v>1294619826556739584</v>
      </c>
      <c r="F8684" s="7" t="s">
        <v>17</v>
      </c>
      <c r="G8684" s="7">
        <v>3938030</v>
      </c>
      <c r="H8684" s="7">
        <v>2424</v>
      </c>
      <c r="I8684" s="7">
        <v>17</v>
      </c>
      <c r="J8684" s="7">
        <v>45</v>
      </c>
      <c r="K8684" s="7" t="s">
        <v>18</v>
      </c>
      <c r="L8684" s="8">
        <v>39987.315405092595</v>
      </c>
      <c r="M8684" s="9" t="s">
        <v>19</v>
      </c>
      <c r="N8684" s="9" t="s">
        <v>20</v>
      </c>
      <c r="O8684" s="6" t="str">
        <f>HYPERLINK("https://pbs.twimg.com/profile_images/962471262747529216/Uo8lOkRJ_normal.jpg","View")</f>
        <v>View</v>
      </c>
      <c r="P8684" s="7"/>
    </row>
    <row r="8685" spans="1:16">
      <c r="A8685" s="3">
        <v>44058.775810185187</v>
      </c>
      <c r="B8685" s="4" t="str">
        <f>HYPERLINK("https://twitter.com/petrogustavo","@petrogustavo")</f>
        <v>@petrogustavo</v>
      </c>
      <c r="C8685" s="5" t="s">
        <v>16</v>
      </c>
      <c r="D8685" s="5" t="s">
        <v>8362</v>
      </c>
      <c r="E8685" s="6" t="str">
        <f>HYPERLINK("https://twitter.com/petrogustavo/status/1294621658033131520","1294621658033131520")</f>
        <v>1294621658033131520</v>
      </c>
      <c r="F8685" s="7" t="s">
        <v>17</v>
      </c>
      <c r="G8685" s="7">
        <v>3938050</v>
      </c>
      <c r="H8685" s="7">
        <v>2424</v>
      </c>
      <c r="I8685" s="7">
        <v>308</v>
      </c>
      <c r="J8685" s="7">
        <v>849</v>
      </c>
      <c r="K8685" s="7" t="s">
        <v>18</v>
      </c>
      <c r="L8685" s="8">
        <v>39987.315405092595</v>
      </c>
      <c r="M8685" s="9" t="s">
        <v>19</v>
      </c>
      <c r="N8685" s="9" t="s">
        <v>20</v>
      </c>
      <c r="O8685" s="6" t="str">
        <f>HYPERLINK("https://pbs.twimg.com/profile_images/962471262747529216/Uo8lOkRJ_normal.jpg","View")</f>
        <v>View</v>
      </c>
      <c r="P8685" s="7"/>
    </row>
    <row r="8686" spans="1:16">
      <c r="A8686" s="3">
        <v>44058.776979166665</v>
      </c>
      <c r="B8686" s="4" t="str">
        <f>HYPERLINK("https://twitter.com/petrogustavo","@petrogustavo")</f>
        <v>@petrogustavo</v>
      </c>
      <c r="C8686" s="5" t="s">
        <v>16</v>
      </c>
      <c r="D8686" s="5" t="s">
        <v>8363</v>
      </c>
      <c r="E8686" s="6" t="str">
        <f>HYPERLINK("https://twitter.com/petrogustavo/status/1294622080625971200","1294622080625971200")</f>
        <v>1294622080625971200</v>
      </c>
      <c r="F8686" s="7" t="s">
        <v>17</v>
      </c>
      <c r="G8686" s="7">
        <v>3938050</v>
      </c>
      <c r="H8686" s="7">
        <v>2424</v>
      </c>
      <c r="I8686" s="7">
        <v>190</v>
      </c>
      <c r="J8686" s="7">
        <v>0</v>
      </c>
      <c r="K8686" s="7" t="s">
        <v>18</v>
      </c>
      <c r="L8686" s="8">
        <v>39987.315405092595</v>
      </c>
      <c r="M8686" s="9" t="s">
        <v>19</v>
      </c>
      <c r="N8686" s="9" t="s">
        <v>20</v>
      </c>
      <c r="O8686" s="6" t="str">
        <f>HYPERLINK("https://pbs.twimg.com/profile_images/962471262747529216/Uo8lOkRJ_normal.jpg","View")</f>
        <v>View</v>
      </c>
      <c r="P8686" s="7"/>
    </row>
    <row r="8687" spans="1:16">
      <c r="A8687" s="3">
        <v>44058.780138888891</v>
      </c>
      <c r="B8687" s="4" t="str">
        <f>HYPERLINK("https://twitter.com/petrogustavo","@petrogustavo")</f>
        <v>@petrogustavo</v>
      </c>
      <c r="C8687" s="5" t="s">
        <v>16</v>
      </c>
      <c r="D8687" s="5" t="s">
        <v>8364</v>
      </c>
      <c r="E8687" s="6" t="str">
        <f>HYPERLINK("https://twitter.com/petrogustavo/status/1294623226539184131","1294623226539184131")</f>
        <v>1294623226539184131</v>
      </c>
      <c r="F8687" s="7" t="s">
        <v>17</v>
      </c>
      <c r="G8687" s="7">
        <v>3938050</v>
      </c>
      <c r="H8687" s="7">
        <v>2424</v>
      </c>
      <c r="I8687" s="7">
        <v>232</v>
      </c>
      <c r="J8687" s="7">
        <v>0</v>
      </c>
      <c r="K8687" s="7" t="s">
        <v>18</v>
      </c>
      <c r="L8687" s="8">
        <v>39987.315405092595</v>
      </c>
      <c r="M8687" s="9" t="s">
        <v>19</v>
      </c>
      <c r="N8687" s="9" t="s">
        <v>20</v>
      </c>
      <c r="O8687" s="6" t="str">
        <f>HYPERLINK("https://pbs.twimg.com/profile_images/962471262747529216/Uo8lOkRJ_normal.jpg","View")</f>
        <v>View</v>
      </c>
      <c r="P8687" s="7"/>
    </row>
    <row r="8688" spans="1:16">
      <c r="A8688" s="3">
        <v>44058.796689814815</v>
      </c>
      <c r="B8688" s="4" t="str">
        <f>HYPERLINK("https://twitter.com/petrogustavo","@petrogustavo")</f>
        <v>@petrogustavo</v>
      </c>
      <c r="C8688" s="5" t="s">
        <v>16</v>
      </c>
      <c r="D8688" s="5" t="s">
        <v>8365</v>
      </c>
      <c r="E8688" s="6" t="str">
        <f>HYPERLINK("https://twitter.com/petrogustavo/status/1294629221814489088","1294629221814489088")</f>
        <v>1294629221814489088</v>
      </c>
      <c r="F8688" s="7" t="s">
        <v>17</v>
      </c>
      <c r="G8688" s="7">
        <v>3938072</v>
      </c>
      <c r="H8688" s="7">
        <v>2424</v>
      </c>
      <c r="I8688" s="7">
        <v>274</v>
      </c>
      <c r="J8688" s="7">
        <v>648</v>
      </c>
      <c r="K8688" s="7" t="s">
        <v>18</v>
      </c>
      <c r="L8688" s="8">
        <v>39987.315405092595</v>
      </c>
      <c r="M8688" s="9" t="s">
        <v>19</v>
      </c>
      <c r="N8688" s="9" t="s">
        <v>20</v>
      </c>
      <c r="O8688" s="6" t="str">
        <f>HYPERLINK("https://pbs.twimg.com/profile_images/962471262747529216/Uo8lOkRJ_normal.jpg","View")</f>
        <v>View</v>
      </c>
      <c r="P8688" s="7"/>
    </row>
    <row r="8689" spans="1:16">
      <c r="A8689" s="3">
        <v>44058.80023148148</v>
      </c>
      <c r="B8689" s="4" t="str">
        <f>HYPERLINK("https://twitter.com/petrogustavo","@petrogustavo")</f>
        <v>@petrogustavo</v>
      </c>
      <c r="C8689" s="5" t="s">
        <v>16</v>
      </c>
      <c r="D8689" s="5" t="s">
        <v>8366</v>
      </c>
      <c r="E8689" s="6" t="str">
        <f>HYPERLINK("https://twitter.com/petrogustavo/status/1294630506554949633","1294630506554949633")</f>
        <v>1294630506554949633</v>
      </c>
      <c r="F8689" s="7" t="s">
        <v>17</v>
      </c>
      <c r="G8689" s="7">
        <v>3938072</v>
      </c>
      <c r="H8689" s="7">
        <v>2424</v>
      </c>
      <c r="I8689" s="7">
        <v>168</v>
      </c>
      <c r="J8689" s="7">
        <v>0</v>
      </c>
      <c r="K8689" s="7" t="s">
        <v>18</v>
      </c>
      <c r="L8689" s="8">
        <v>39987.315405092595</v>
      </c>
      <c r="M8689" s="9" t="s">
        <v>19</v>
      </c>
      <c r="N8689" s="9" t="s">
        <v>20</v>
      </c>
      <c r="O8689" s="6" t="str">
        <f>HYPERLINK("https://pbs.twimg.com/profile_images/962471262747529216/Uo8lOkRJ_normal.jpg","View")</f>
        <v>View</v>
      </c>
      <c r="P8689" s="7"/>
    </row>
    <row r="8690" spans="1:16">
      <c r="A8690" s="3">
        <v>44058.802349537036</v>
      </c>
      <c r="B8690" s="4" t="str">
        <f>HYPERLINK("https://twitter.com/petrogustavo","@petrogustavo")</f>
        <v>@petrogustavo</v>
      </c>
      <c r="C8690" s="5" t="s">
        <v>16</v>
      </c>
      <c r="D8690" s="5" t="s">
        <v>8367</v>
      </c>
      <c r="E8690" s="6" t="str">
        <f>HYPERLINK("https://twitter.com/petrogustavo/status/1294631275471556610","1294631275471556610")</f>
        <v>1294631275471556610</v>
      </c>
      <c r="F8690" s="7" t="s">
        <v>17</v>
      </c>
      <c r="G8690" s="7">
        <v>3938072</v>
      </c>
      <c r="H8690" s="7">
        <v>2424</v>
      </c>
      <c r="I8690" s="7">
        <v>122</v>
      </c>
      <c r="J8690" s="7">
        <v>359</v>
      </c>
      <c r="K8690" s="7" t="s">
        <v>18</v>
      </c>
      <c r="L8690" s="8">
        <v>39987.315405092595</v>
      </c>
      <c r="M8690" s="9" t="s">
        <v>19</v>
      </c>
      <c r="N8690" s="9" t="s">
        <v>20</v>
      </c>
      <c r="O8690" s="6" t="str">
        <f>HYPERLINK("https://pbs.twimg.com/profile_images/962471262747529216/Uo8lOkRJ_normal.jpg","View")</f>
        <v>View</v>
      </c>
      <c r="P8690" s="7"/>
    </row>
    <row r="8691" spans="1:16">
      <c r="A8691" s="3">
        <v>44058.809618055559</v>
      </c>
      <c r="B8691" s="4" t="str">
        <f>HYPERLINK("https://twitter.com/petrogustavo","@petrogustavo")</f>
        <v>@petrogustavo</v>
      </c>
      <c r="C8691" s="5" t="s">
        <v>16</v>
      </c>
      <c r="D8691" s="5" t="s">
        <v>8368</v>
      </c>
      <c r="E8691" s="6" t="str">
        <f>HYPERLINK("https://twitter.com/petrogustavo/status/1294633907229425666","1294633907229425666")</f>
        <v>1294633907229425666</v>
      </c>
      <c r="F8691" s="7" t="s">
        <v>17</v>
      </c>
      <c r="G8691" s="7">
        <v>3938072</v>
      </c>
      <c r="H8691" s="7">
        <v>2424</v>
      </c>
      <c r="I8691" s="7">
        <v>27</v>
      </c>
      <c r="J8691" s="7">
        <v>88</v>
      </c>
      <c r="K8691" s="7" t="s">
        <v>18</v>
      </c>
      <c r="L8691" s="8">
        <v>39987.315405092595</v>
      </c>
      <c r="M8691" s="9" t="s">
        <v>19</v>
      </c>
      <c r="N8691" s="9" t="s">
        <v>20</v>
      </c>
      <c r="O8691" s="6" t="str">
        <f>HYPERLINK("https://pbs.twimg.com/profile_images/962471262747529216/Uo8lOkRJ_normal.jpg","View")</f>
        <v>View</v>
      </c>
      <c r="P8691" s="7"/>
    </row>
    <row r="8692" spans="1:16">
      <c r="A8692" s="3">
        <v>44058.811192129629</v>
      </c>
      <c r="B8692" s="4" t="str">
        <f>HYPERLINK("https://twitter.com/petrogustavo","@petrogustavo")</f>
        <v>@petrogustavo</v>
      </c>
      <c r="C8692" s="5" t="s">
        <v>16</v>
      </c>
      <c r="D8692" s="5" t="s">
        <v>8369</v>
      </c>
      <c r="E8692" s="6" t="str">
        <f>HYPERLINK("https://twitter.com/petrogustavo/status/1294634478309191681","1294634478309191681")</f>
        <v>1294634478309191681</v>
      </c>
      <c r="F8692" s="7" t="s">
        <v>17</v>
      </c>
      <c r="G8692" s="7">
        <v>3938072</v>
      </c>
      <c r="H8692" s="7">
        <v>2424</v>
      </c>
      <c r="I8692" s="7">
        <v>24</v>
      </c>
      <c r="J8692" s="7">
        <v>61</v>
      </c>
      <c r="K8692" s="7" t="s">
        <v>18</v>
      </c>
      <c r="L8692" s="8">
        <v>39987.315405092595</v>
      </c>
      <c r="M8692" s="9" t="s">
        <v>19</v>
      </c>
      <c r="N8692" s="9" t="s">
        <v>20</v>
      </c>
      <c r="O8692" s="6" t="str">
        <f>HYPERLINK("https://pbs.twimg.com/profile_images/962471262747529216/Uo8lOkRJ_normal.jpg","View")</f>
        <v>View</v>
      </c>
      <c r="P8692" s="7"/>
    </row>
    <row r="8693" spans="1:16">
      <c r="A8693" s="3">
        <v>44058.816898148143</v>
      </c>
      <c r="B8693" s="4" t="str">
        <f>HYPERLINK("https://twitter.com/petrogustavo","@petrogustavo")</f>
        <v>@petrogustavo</v>
      </c>
      <c r="C8693" s="5" t="s">
        <v>16</v>
      </c>
      <c r="D8693" s="5" t="s">
        <v>8370</v>
      </c>
      <c r="E8693" s="6" t="str">
        <f>HYPERLINK("https://twitter.com/petrogustavo/status/1294636546453377025","1294636546453377025")</f>
        <v>1294636546453377025</v>
      </c>
      <c r="F8693" s="7" t="s">
        <v>17</v>
      </c>
      <c r="G8693" s="7">
        <v>3938080</v>
      </c>
      <c r="H8693" s="7">
        <v>2424</v>
      </c>
      <c r="I8693" s="7">
        <v>1208</v>
      </c>
      <c r="J8693" s="7">
        <v>3566</v>
      </c>
      <c r="K8693" s="7" t="s">
        <v>18</v>
      </c>
      <c r="L8693" s="8">
        <v>39987.315405092595</v>
      </c>
      <c r="M8693" s="9" t="s">
        <v>19</v>
      </c>
      <c r="N8693" s="9" t="s">
        <v>20</v>
      </c>
      <c r="O8693" s="6" t="str">
        <f>HYPERLINK("https://pbs.twimg.com/profile_images/962471262747529216/Uo8lOkRJ_normal.jpg","View")</f>
        <v>View</v>
      </c>
      <c r="P8693" s="7"/>
    </row>
    <row r="8694" spans="1:16">
      <c r="A8694" s="3">
        <v>44058.81894675926</v>
      </c>
      <c r="B8694" s="4" t="str">
        <f>HYPERLINK("https://twitter.com/petrogustavo","@petrogustavo")</f>
        <v>@petrogustavo</v>
      </c>
      <c r="C8694" s="5" t="s">
        <v>16</v>
      </c>
      <c r="D8694" s="5" t="s">
        <v>8371</v>
      </c>
      <c r="E8694" s="6" t="str">
        <f>HYPERLINK("https://twitter.com/petrogustavo/status/1294637288933203969","1294637288933203969")</f>
        <v>1294637288933203969</v>
      </c>
      <c r="F8694" s="7" t="s">
        <v>17</v>
      </c>
      <c r="G8694" s="7">
        <v>3938080</v>
      </c>
      <c r="H8694" s="7">
        <v>2424</v>
      </c>
      <c r="I8694" s="7">
        <v>147</v>
      </c>
      <c r="J8694" s="7">
        <v>374</v>
      </c>
      <c r="K8694" s="7" t="s">
        <v>18</v>
      </c>
      <c r="L8694" s="8">
        <v>39987.315405092595</v>
      </c>
      <c r="M8694" s="9" t="s">
        <v>19</v>
      </c>
      <c r="N8694" s="9" t="s">
        <v>20</v>
      </c>
      <c r="O8694" s="6" t="str">
        <f>HYPERLINK("https://pbs.twimg.com/profile_images/962471262747529216/Uo8lOkRJ_normal.jpg","View")</f>
        <v>View</v>
      </c>
      <c r="P8694" s="7"/>
    </row>
    <row r="8695" spans="1:16">
      <c r="A8695" s="3">
        <v>44058.836851851855</v>
      </c>
      <c r="B8695" s="4" t="str">
        <f>HYPERLINK("https://twitter.com/petrogustavo","@petrogustavo")</f>
        <v>@petrogustavo</v>
      </c>
      <c r="C8695" s="5" t="s">
        <v>16</v>
      </c>
      <c r="D8695" s="5" t="s">
        <v>8372</v>
      </c>
      <c r="E8695" s="6" t="str">
        <f>HYPERLINK("https://twitter.com/petrogustavo/status/1294643777920012288","1294643777920012288")</f>
        <v>1294643777920012288</v>
      </c>
      <c r="F8695" s="7" t="s">
        <v>17</v>
      </c>
      <c r="G8695" s="7">
        <v>3938098</v>
      </c>
      <c r="H8695" s="7">
        <v>2424</v>
      </c>
      <c r="I8695" s="7">
        <v>87</v>
      </c>
      <c r="J8695" s="7">
        <v>258</v>
      </c>
      <c r="K8695" s="7" t="s">
        <v>18</v>
      </c>
      <c r="L8695" s="8">
        <v>39987.315405092595</v>
      </c>
      <c r="M8695" s="9" t="s">
        <v>19</v>
      </c>
      <c r="N8695" s="9" t="s">
        <v>20</v>
      </c>
      <c r="O8695" s="6" t="str">
        <f>HYPERLINK("https://pbs.twimg.com/profile_images/962471262747529216/Uo8lOkRJ_normal.jpg","View")</f>
        <v>View</v>
      </c>
      <c r="P8695" s="7"/>
    </row>
    <row r="8696" spans="1:16">
      <c r="A8696" s="3">
        <v>44058.896030092597</v>
      </c>
      <c r="B8696" s="4" t="str">
        <f>HYPERLINK("https://twitter.com/petrogustavo","@petrogustavo")</f>
        <v>@petrogustavo</v>
      </c>
      <c r="C8696" s="5" t="s">
        <v>16</v>
      </c>
      <c r="D8696" s="5" t="s">
        <v>8373</v>
      </c>
      <c r="E8696" s="6" t="str">
        <f>HYPERLINK("https://twitter.com/petrogustavo/status/1294665224495259649","1294665224495259649")</f>
        <v>1294665224495259649</v>
      </c>
      <c r="F8696" s="7" t="s">
        <v>17</v>
      </c>
      <c r="G8696" s="7">
        <v>3938157</v>
      </c>
      <c r="H8696" s="7">
        <v>2424</v>
      </c>
      <c r="I8696" s="7">
        <v>40</v>
      </c>
      <c r="J8696" s="7">
        <v>0</v>
      </c>
      <c r="K8696" s="7" t="s">
        <v>18</v>
      </c>
      <c r="L8696" s="8">
        <v>39987.315405092595</v>
      </c>
      <c r="M8696" s="9" t="s">
        <v>19</v>
      </c>
      <c r="N8696" s="9" t="s">
        <v>20</v>
      </c>
      <c r="O8696" s="6" t="str">
        <f>HYPERLINK("https://pbs.twimg.com/profile_images/962471262747529216/Uo8lOkRJ_normal.jpg","View")</f>
        <v>View</v>
      </c>
      <c r="P8696" s="7"/>
    </row>
    <row r="8697" spans="1:16">
      <c r="A8697" s="3">
        <v>44058.901203703703</v>
      </c>
      <c r="B8697" s="4" t="str">
        <f>HYPERLINK("https://twitter.com/petrogustavo","@petrogustavo")</f>
        <v>@petrogustavo</v>
      </c>
      <c r="C8697" s="5" t="s">
        <v>16</v>
      </c>
      <c r="D8697" s="5" t="s">
        <v>8374</v>
      </c>
      <c r="E8697" s="6" t="str">
        <f>HYPERLINK("https://twitter.com/petrogustavo/status/1294667097960853505","1294667097960853505")</f>
        <v>1294667097960853505</v>
      </c>
      <c r="F8697" s="7" t="s">
        <v>17</v>
      </c>
      <c r="G8697" s="7">
        <v>3938189</v>
      </c>
      <c r="H8697" s="7">
        <v>2425</v>
      </c>
      <c r="I8697" s="7">
        <v>369</v>
      </c>
      <c r="J8697" s="7">
        <v>0</v>
      </c>
      <c r="K8697" s="7" t="s">
        <v>18</v>
      </c>
      <c r="L8697" s="8">
        <v>39987.315405092595</v>
      </c>
      <c r="M8697" s="9" t="s">
        <v>19</v>
      </c>
      <c r="N8697" s="9" t="s">
        <v>20</v>
      </c>
      <c r="O8697" s="6" t="str">
        <f>HYPERLINK("https://pbs.twimg.com/profile_images/962471262747529216/Uo8lOkRJ_normal.jpg","View")</f>
        <v>View</v>
      </c>
      <c r="P8697" s="7"/>
    </row>
    <row r="8698" spans="1:16">
      <c r="A8698" s="3">
        <v>44058.901504629626</v>
      </c>
      <c r="B8698" s="4" t="str">
        <f>HYPERLINK("https://twitter.com/petrogustavo","@petrogustavo")</f>
        <v>@petrogustavo</v>
      </c>
      <c r="C8698" s="5" t="s">
        <v>16</v>
      </c>
      <c r="D8698" s="5" t="s">
        <v>8373</v>
      </c>
      <c r="E8698" s="6" t="str">
        <f>HYPERLINK("https://twitter.com/petrogustavo/status/1294667208577056768","1294667208577056768")</f>
        <v>1294667208577056768</v>
      </c>
      <c r="F8698" s="7" t="s">
        <v>17</v>
      </c>
      <c r="G8698" s="7">
        <v>3938189</v>
      </c>
      <c r="H8698" s="7">
        <v>2425</v>
      </c>
      <c r="I8698" s="7">
        <v>88</v>
      </c>
      <c r="J8698" s="7">
        <v>0</v>
      </c>
      <c r="K8698" s="7" t="s">
        <v>18</v>
      </c>
      <c r="L8698" s="8">
        <v>39987.315405092595</v>
      </c>
      <c r="M8698" s="9" t="s">
        <v>19</v>
      </c>
      <c r="N8698" s="9" t="s">
        <v>20</v>
      </c>
      <c r="O8698" s="6" t="str">
        <f>HYPERLINK("https://pbs.twimg.com/profile_images/962471262747529216/Uo8lOkRJ_normal.jpg","View")</f>
        <v>View</v>
      </c>
      <c r="P8698" s="7"/>
    </row>
    <row r="8699" spans="1:16">
      <c r="A8699" s="3">
        <v>44058.902673611112</v>
      </c>
      <c r="B8699" s="4" t="str">
        <f>HYPERLINK("https://twitter.com/petrogustavo","@petrogustavo")</f>
        <v>@petrogustavo</v>
      </c>
      <c r="C8699" s="5" t="s">
        <v>16</v>
      </c>
      <c r="D8699" s="5" t="s">
        <v>8375</v>
      </c>
      <c r="E8699" s="6" t="str">
        <f>HYPERLINK("https://twitter.com/petrogustavo/status/1294667631212081155","1294667631212081155")</f>
        <v>1294667631212081155</v>
      </c>
      <c r="F8699" s="7" t="s">
        <v>17</v>
      </c>
      <c r="G8699" s="7">
        <v>3938189</v>
      </c>
      <c r="H8699" s="7">
        <v>2425</v>
      </c>
      <c r="I8699" s="7">
        <v>284</v>
      </c>
      <c r="J8699" s="7">
        <v>0</v>
      </c>
      <c r="K8699" s="7" t="s">
        <v>18</v>
      </c>
      <c r="L8699" s="8">
        <v>39987.315405092595</v>
      </c>
      <c r="M8699" s="9" t="s">
        <v>19</v>
      </c>
      <c r="N8699" s="9" t="s">
        <v>20</v>
      </c>
      <c r="O8699" s="6" t="str">
        <f>HYPERLINK("https://pbs.twimg.com/profile_images/962471262747529216/Uo8lOkRJ_normal.jpg","View")</f>
        <v>View</v>
      </c>
      <c r="P8699" s="7"/>
    </row>
    <row r="8700" spans="1:16">
      <c r="A8700" s="3">
        <v>44058.974421296298</v>
      </c>
      <c r="B8700" s="4" t="str">
        <f>HYPERLINK("https://twitter.com/petrogustavo","@petrogustavo")</f>
        <v>@petrogustavo</v>
      </c>
      <c r="C8700" s="5" t="s">
        <v>16</v>
      </c>
      <c r="D8700" s="5" t="s">
        <v>8376</v>
      </c>
      <c r="E8700" s="6" t="str">
        <f>HYPERLINK("https://twitter.com/petrogustavo/status/1294693631224360961","1294693631224360961")</f>
        <v>1294693631224360961</v>
      </c>
      <c r="F8700" s="7" t="s">
        <v>32</v>
      </c>
      <c r="G8700" s="7">
        <v>3938269</v>
      </c>
      <c r="H8700" s="7">
        <v>2425</v>
      </c>
      <c r="I8700" s="7">
        <v>573</v>
      </c>
      <c r="J8700" s="7">
        <v>0</v>
      </c>
      <c r="K8700" s="7" t="s">
        <v>18</v>
      </c>
      <c r="L8700" s="8">
        <v>39987.315405092595</v>
      </c>
      <c r="M8700" s="9" t="s">
        <v>19</v>
      </c>
      <c r="N8700" s="9" t="s">
        <v>20</v>
      </c>
      <c r="O8700" s="6" t="str">
        <f>HYPERLINK("https://pbs.twimg.com/profile_images/962471262747529216/Uo8lOkRJ_normal.jpg","View")</f>
        <v>View</v>
      </c>
      <c r="P8700" s="7"/>
    </row>
    <row r="8701" spans="1:16">
      <c r="A8701" s="3">
        <v>44059.229907407411</v>
      </c>
      <c r="B8701" s="4" t="str">
        <f>HYPERLINK("https://twitter.com/petrogustavo","@petrogustavo")</f>
        <v>@petrogustavo</v>
      </c>
      <c r="C8701" s="5" t="s">
        <v>16</v>
      </c>
      <c r="D8701" s="5" t="s">
        <v>8377</v>
      </c>
      <c r="E8701" s="6" t="str">
        <f>HYPERLINK("https://twitter.com/petrogustavo/status/1294786215733010433","1294786215733010433")</f>
        <v>1294786215733010433</v>
      </c>
      <c r="F8701" s="7" t="s">
        <v>17</v>
      </c>
      <c r="G8701" s="7">
        <v>3938548</v>
      </c>
      <c r="H8701" s="7">
        <v>2425</v>
      </c>
      <c r="I8701" s="7">
        <v>579</v>
      </c>
      <c r="J8701" s="7">
        <v>0</v>
      </c>
      <c r="K8701" s="7" t="s">
        <v>18</v>
      </c>
      <c r="L8701" s="8">
        <v>39987.315405092595</v>
      </c>
      <c r="M8701" s="9" t="s">
        <v>19</v>
      </c>
      <c r="N8701" s="9" t="s">
        <v>20</v>
      </c>
      <c r="O8701" s="6" t="str">
        <f>HYPERLINK("https://pbs.twimg.com/profile_images/962471262747529216/Uo8lOkRJ_normal.jpg","View")</f>
        <v>View</v>
      </c>
      <c r="P8701" s="7"/>
    </row>
    <row r="8702" spans="1:16">
      <c r="A8702" s="3">
        <v>44059.231504629628</v>
      </c>
      <c r="B8702" s="4" t="str">
        <f>HYPERLINK("https://twitter.com/petrogustavo","@petrogustavo")</f>
        <v>@petrogustavo</v>
      </c>
      <c r="C8702" s="5" t="s">
        <v>16</v>
      </c>
      <c r="D8702" s="5" t="s">
        <v>8378</v>
      </c>
      <c r="E8702" s="6" t="str">
        <f>HYPERLINK("https://twitter.com/petrogustavo/status/1294786793108312065","1294786793108312065")</f>
        <v>1294786793108312065</v>
      </c>
      <c r="F8702" s="7" t="s">
        <v>17</v>
      </c>
      <c r="G8702" s="7">
        <v>3938563</v>
      </c>
      <c r="H8702" s="7">
        <v>2425</v>
      </c>
      <c r="I8702" s="7">
        <v>601</v>
      </c>
      <c r="J8702" s="7">
        <v>0</v>
      </c>
      <c r="K8702" s="7" t="s">
        <v>18</v>
      </c>
      <c r="L8702" s="8">
        <v>39987.315405092595</v>
      </c>
      <c r="M8702" s="9" t="s">
        <v>19</v>
      </c>
      <c r="N8702" s="9" t="s">
        <v>20</v>
      </c>
      <c r="O8702" s="6" t="str">
        <f>HYPERLINK("https://pbs.twimg.com/profile_images/962471262747529216/Uo8lOkRJ_normal.jpg","View")</f>
        <v>View</v>
      </c>
      <c r="P8702" s="7"/>
    </row>
    <row r="8703" spans="1:16">
      <c r="A8703" s="3">
        <v>44059.231678240743</v>
      </c>
      <c r="B8703" s="4" t="str">
        <f>HYPERLINK("https://twitter.com/petrogustavo","@petrogustavo")</f>
        <v>@petrogustavo</v>
      </c>
      <c r="C8703" s="5" t="s">
        <v>16</v>
      </c>
      <c r="D8703" s="5" t="s">
        <v>8379</v>
      </c>
      <c r="E8703" s="6" t="str">
        <f>HYPERLINK("https://twitter.com/petrogustavo/status/1294786858308849666","1294786858308849666")</f>
        <v>1294786858308849666</v>
      </c>
      <c r="F8703" s="7" t="s">
        <v>17</v>
      </c>
      <c r="G8703" s="7">
        <v>3938563</v>
      </c>
      <c r="H8703" s="7">
        <v>2425</v>
      </c>
      <c r="I8703" s="7">
        <v>365</v>
      </c>
      <c r="J8703" s="7">
        <v>0</v>
      </c>
      <c r="K8703" s="7" t="s">
        <v>18</v>
      </c>
      <c r="L8703" s="8">
        <v>39987.315405092595</v>
      </c>
      <c r="M8703" s="9" t="s">
        <v>19</v>
      </c>
      <c r="N8703" s="9" t="s">
        <v>20</v>
      </c>
      <c r="O8703" s="6" t="str">
        <f>HYPERLINK("https://pbs.twimg.com/profile_images/962471262747529216/Uo8lOkRJ_normal.jpg","View")</f>
        <v>View</v>
      </c>
      <c r="P8703" s="7"/>
    </row>
    <row r="8704" spans="1:16">
      <c r="A8704" s="3">
        <v>44059.236539351856</v>
      </c>
      <c r="B8704" s="4" t="str">
        <f>HYPERLINK("https://twitter.com/petrogustavo","@petrogustavo")</f>
        <v>@petrogustavo</v>
      </c>
      <c r="C8704" s="5" t="s">
        <v>16</v>
      </c>
      <c r="D8704" s="5" t="s">
        <v>8380</v>
      </c>
      <c r="E8704" s="6" t="str">
        <f>HYPERLINK("https://twitter.com/petrogustavo/status/1294788618700161024","1294788618700161024")</f>
        <v>1294788618700161024</v>
      </c>
      <c r="F8704" s="7" t="s">
        <v>17</v>
      </c>
      <c r="G8704" s="7">
        <v>3938563</v>
      </c>
      <c r="H8704" s="7">
        <v>2425</v>
      </c>
      <c r="I8704" s="7">
        <v>385</v>
      </c>
      <c r="J8704" s="7">
        <v>815</v>
      </c>
      <c r="K8704" s="7" t="s">
        <v>18</v>
      </c>
      <c r="L8704" s="8">
        <v>39987.315405092595</v>
      </c>
      <c r="M8704" s="9" t="s">
        <v>19</v>
      </c>
      <c r="N8704" s="9" t="s">
        <v>20</v>
      </c>
      <c r="O8704" s="6" t="str">
        <f>HYPERLINK("https://pbs.twimg.com/profile_images/962471262747529216/Uo8lOkRJ_normal.jpg","View")</f>
        <v>View</v>
      </c>
      <c r="P8704" s="7"/>
    </row>
    <row r="8705" spans="1:16">
      <c r="A8705" s="3">
        <v>44059.271956018521</v>
      </c>
      <c r="B8705" s="4" t="str">
        <f>HYPERLINK("https://twitter.com/petrogustavo","@petrogustavo")</f>
        <v>@petrogustavo</v>
      </c>
      <c r="C8705" s="5" t="s">
        <v>16</v>
      </c>
      <c r="D8705" s="5" t="s">
        <v>8381</v>
      </c>
      <c r="E8705" s="6" t="str">
        <f>HYPERLINK("https://twitter.com/petrogustavo/status/1294801455208173568","1294801455208173568")</f>
        <v>1294801455208173568</v>
      </c>
      <c r="F8705" s="7" t="s">
        <v>32</v>
      </c>
      <c r="G8705" s="7">
        <v>3938585</v>
      </c>
      <c r="H8705" s="7">
        <v>2425</v>
      </c>
      <c r="I8705" s="7">
        <v>66</v>
      </c>
      <c r="J8705" s="7">
        <v>0</v>
      </c>
      <c r="K8705" s="7" t="s">
        <v>18</v>
      </c>
      <c r="L8705" s="8">
        <v>39987.315405092595</v>
      </c>
      <c r="M8705" s="9" t="s">
        <v>19</v>
      </c>
      <c r="N8705" s="9" t="s">
        <v>20</v>
      </c>
      <c r="O8705" s="6" t="str">
        <f>HYPERLINK("https://pbs.twimg.com/profile_images/962471262747529216/Uo8lOkRJ_normal.jpg","View")</f>
        <v>View</v>
      </c>
      <c r="P8705" s="7"/>
    </row>
    <row r="8706" spans="1:16">
      <c r="A8706" s="3">
        <v>44059.289675925931</v>
      </c>
      <c r="B8706" s="4" t="str">
        <f>HYPERLINK("https://twitter.com/petrogustavo","@petrogustavo")</f>
        <v>@petrogustavo</v>
      </c>
      <c r="C8706" s="5" t="s">
        <v>16</v>
      </c>
      <c r="D8706" s="5" t="s">
        <v>8382</v>
      </c>
      <c r="E8706" s="6" t="str">
        <f>HYPERLINK("https://twitter.com/petrogustavo/status/1294807874863083520","1294807874863083520")</f>
        <v>1294807874863083520</v>
      </c>
      <c r="F8706" s="7" t="s">
        <v>32</v>
      </c>
      <c r="G8706" s="7">
        <v>3938613</v>
      </c>
      <c r="H8706" s="7">
        <v>2425</v>
      </c>
      <c r="I8706" s="7">
        <v>389</v>
      </c>
      <c r="J8706" s="7">
        <v>0</v>
      </c>
      <c r="K8706" s="7" t="s">
        <v>18</v>
      </c>
      <c r="L8706" s="8">
        <v>39987.315405092595</v>
      </c>
      <c r="M8706" s="9" t="s">
        <v>19</v>
      </c>
      <c r="N8706" s="9" t="s">
        <v>20</v>
      </c>
      <c r="O8706" s="6" t="str">
        <f>HYPERLINK("https://pbs.twimg.com/profile_images/962471262747529216/Uo8lOkRJ_normal.jpg","View")</f>
        <v>View</v>
      </c>
      <c r="P8706" s="7"/>
    </row>
    <row r="8707" spans="1:16">
      <c r="A8707" s="3">
        <v>44059.290208333332</v>
      </c>
      <c r="B8707" s="4" t="str">
        <f>HYPERLINK("https://twitter.com/petrogustavo","@petrogustavo")</f>
        <v>@petrogustavo</v>
      </c>
      <c r="C8707" s="5" t="s">
        <v>16</v>
      </c>
      <c r="D8707" s="5" t="s">
        <v>8383</v>
      </c>
      <c r="E8707" s="6" t="str">
        <f>HYPERLINK("https://twitter.com/petrogustavo/status/1294808069420048384","1294808069420048384")</f>
        <v>1294808069420048384</v>
      </c>
      <c r="F8707" s="7" t="s">
        <v>32</v>
      </c>
      <c r="G8707" s="7">
        <v>3938613</v>
      </c>
      <c r="H8707" s="7">
        <v>2425</v>
      </c>
      <c r="I8707" s="7">
        <v>1026</v>
      </c>
      <c r="J8707" s="7">
        <v>0</v>
      </c>
      <c r="K8707" s="7" t="s">
        <v>18</v>
      </c>
      <c r="L8707" s="8">
        <v>39987.315405092595</v>
      </c>
      <c r="M8707" s="9" t="s">
        <v>19</v>
      </c>
      <c r="N8707" s="9" t="s">
        <v>20</v>
      </c>
      <c r="O8707" s="6" t="str">
        <f>HYPERLINK("https://pbs.twimg.com/profile_images/962471262747529216/Uo8lOkRJ_normal.jpg","View")</f>
        <v>View</v>
      </c>
      <c r="P8707" s="7"/>
    </row>
    <row r="8708" spans="1:16">
      <c r="A8708" s="3">
        <v>44059.327847222223</v>
      </c>
      <c r="B8708" s="4" t="str">
        <f>HYPERLINK("https://twitter.com/petrogustavo","@petrogustavo")</f>
        <v>@petrogustavo</v>
      </c>
      <c r="C8708" s="5" t="s">
        <v>16</v>
      </c>
      <c r="D8708" s="5" t="s">
        <v>8384</v>
      </c>
      <c r="E8708" s="6" t="str">
        <f>HYPERLINK("https://twitter.com/petrogustavo/status/1294821709489602560","1294821709489602560")</f>
        <v>1294821709489602560</v>
      </c>
      <c r="F8708" s="7" t="s">
        <v>32</v>
      </c>
      <c r="G8708" s="7">
        <v>3938666</v>
      </c>
      <c r="H8708" s="7">
        <v>2425</v>
      </c>
      <c r="I8708" s="7">
        <v>303</v>
      </c>
      <c r="J8708" s="7">
        <v>517</v>
      </c>
      <c r="K8708" s="7" t="s">
        <v>18</v>
      </c>
      <c r="L8708" s="8">
        <v>39987.315405092595</v>
      </c>
      <c r="M8708" s="9" t="s">
        <v>19</v>
      </c>
      <c r="N8708" s="9" t="s">
        <v>20</v>
      </c>
      <c r="O8708" s="6" t="str">
        <f>HYPERLINK("https://pbs.twimg.com/profile_images/962471262747529216/Uo8lOkRJ_normal.jpg","View")</f>
        <v>View</v>
      </c>
      <c r="P8708" s="7"/>
    </row>
    <row r="8709" spans="1:16">
      <c r="A8709" s="3">
        <v>44059.367800925931</v>
      </c>
      <c r="B8709" s="4" t="str">
        <f>HYPERLINK("https://twitter.com/petrogustavo","@petrogustavo")</f>
        <v>@petrogustavo</v>
      </c>
      <c r="C8709" s="5" t="s">
        <v>16</v>
      </c>
      <c r="D8709" s="5" t="s">
        <v>8385</v>
      </c>
      <c r="E8709" s="6" t="str">
        <f>HYPERLINK("https://twitter.com/petrogustavo/status/1294836185618092032","1294836185618092032")</f>
        <v>1294836185618092032</v>
      </c>
      <c r="F8709" s="7" t="s">
        <v>17</v>
      </c>
      <c r="G8709" s="7">
        <v>3938713</v>
      </c>
      <c r="H8709" s="7">
        <v>2425</v>
      </c>
      <c r="I8709" s="7">
        <v>33</v>
      </c>
      <c r="J8709" s="7">
        <v>0</v>
      </c>
      <c r="K8709" s="7" t="s">
        <v>18</v>
      </c>
      <c r="L8709" s="8">
        <v>39987.315405092595</v>
      </c>
      <c r="M8709" s="9" t="s">
        <v>19</v>
      </c>
      <c r="N8709" s="9" t="s">
        <v>20</v>
      </c>
      <c r="O8709" s="6" t="str">
        <f>HYPERLINK("https://pbs.twimg.com/profile_images/962471262747529216/Uo8lOkRJ_normal.jpg","View")</f>
        <v>View</v>
      </c>
      <c r="P8709" s="7"/>
    </row>
    <row r="8710" spans="1:16">
      <c r="A8710" s="3">
        <v>44059.369374999995</v>
      </c>
      <c r="B8710" s="4" t="str">
        <f>HYPERLINK("https://twitter.com/petrogustavo","@petrogustavo")</f>
        <v>@petrogustavo</v>
      </c>
      <c r="C8710" s="5" t="s">
        <v>16</v>
      </c>
      <c r="D8710" s="5" t="s">
        <v>8386</v>
      </c>
      <c r="E8710" s="6" t="str">
        <f>HYPERLINK("https://twitter.com/petrogustavo/status/1294836756395823104","1294836756395823104")</f>
        <v>1294836756395823104</v>
      </c>
      <c r="F8710" s="7" t="s">
        <v>17</v>
      </c>
      <c r="G8710" s="7">
        <v>3938713</v>
      </c>
      <c r="H8710" s="7">
        <v>2425</v>
      </c>
      <c r="I8710" s="7">
        <v>56</v>
      </c>
      <c r="J8710" s="7">
        <v>0</v>
      </c>
      <c r="K8710" s="7" t="s">
        <v>18</v>
      </c>
      <c r="L8710" s="8">
        <v>39987.315405092595</v>
      </c>
      <c r="M8710" s="9" t="s">
        <v>19</v>
      </c>
      <c r="N8710" s="9" t="s">
        <v>20</v>
      </c>
      <c r="O8710" s="6" t="str">
        <f>HYPERLINK("https://pbs.twimg.com/profile_images/962471262747529216/Uo8lOkRJ_normal.jpg","View")</f>
        <v>View</v>
      </c>
      <c r="P8710" s="7"/>
    </row>
    <row r="8711" spans="1:16">
      <c r="A8711" s="3">
        <v>44059.375810185185</v>
      </c>
      <c r="B8711" s="4" t="str">
        <f>HYPERLINK("https://twitter.com/petrogustavo","@petrogustavo")</f>
        <v>@petrogustavo</v>
      </c>
      <c r="C8711" s="5" t="s">
        <v>16</v>
      </c>
      <c r="D8711" s="5" t="s">
        <v>8383</v>
      </c>
      <c r="E8711" s="6" t="str">
        <f>HYPERLINK("https://twitter.com/petrogustavo/status/1294839087266922497","1294839087266922497")</f>
        <v>1294839087266922497</v>
      </c>
      <c r="F8711" s="7" t="s">
        <v>17</v>
      </c>
      <c r="G8711" s="7">
        <v>3938713</v>
      </c>
      <c r="H8711" s="7">
        <v>2425</v>
      </c>
      <c r="I8711" s="7">
        <v>1737</v>
      </c>
      <c r="J8711" s="7">
        <v>0</v>
      </c>
      <c r="K8711" s="7" t="s">
        <v>18</v>
      </c>
      <c r="L8711" s="8">
        <v>39987.315405092595</v>
      </c>
      <c r="M8711" s="9" t="s">
        <v>19</v>
      </c>
      <c r="N8711" s="9" t="s">
        <v>20</v>
      </c>
      <c r="O8711" s="6" t="str">
        <f>HYPERLINK("https://pbs.twimg.com/profile_images/962471262747529216/Uo8lOkRJ_normal.jpg","View")</f>
        <v>View</v>
      </c>
      <c r="P8711" s="7"/>
    </row>
    <row r="8712" spans="1:16">
      <c r="A8712" s="3">
        <v>44059.761412037042</v>
      </c>
      <c r="B8712" s="4" t="str">
        <f>HYPERLINK("https://twitter.com/petrogustavo","@petrogustavo")</f>
        <v>@petrogustavo</v>
      </c>
      <c r="C8712" s="5" t="s">
        <v>16</v>
      </c>
      <c r="D8712" s="5" t="s">
        <v>8387</v>
      </c>
      <c r="E8712" s="6" t="str">
        <f>HYPERLINK("https://twitter.com/petrogustavo/status/1294978827718983684","1294978827718983684")</f>
        <v>1294978827718983684</v>
      </c>
      <c r="F8712" s="7" t="s">
        <v>17</v>
      </c>
      <c r="G8712" s="7">
        <v>3938834</v>
      </c>
      <c r="H8712" s="7">
        <v>2425</v>
      </c>
      <c r="I8712" s="7">
        <v>295</v>
      </c>
      <c r="J8712" s="7">
        <v>668</v>
      </c>
      <c r="K8712" s="7" t="s">
        <v>18</v>
      </c>
      <c r="L8712" s="8">
        <v>39987.315405092595</v>
      </c>
      <c r="M8712" s="9" t="s">
        <v>19</v>
      </c>
      <c r="N8712" s="9" t="s">
        <v>20</v>
      </c>
      <c r="O8712" s="6" t="str">
        <f>HYPERLINK("https://pbs.twimg.com/profile_images/962471262747529216/Uo8lOkRJ_normal.jpg","View")</f>
        <v>View</v>
      </c>
      <c r="P8712" s="7"/>
    </row>
    <row r="8713" spans="1:16">
      <c r="A8713" s="3">
        <v>44059.763206018513</v>
      </c>
      <c r="B8713" s="4" t="str">
        <f>HYPERLINK("https://twitter.com/petrogustavo","@petrogustavo")</f>
        <v>@petrogustavo</v>
      </c>
      <c r="C8713" s="5" t="s">
        <v>16</v>
      </c>
      <c r="D8713" s="5" t="s">
        <v>8388</v>
      </c>
      <c r="E8713" s="6" t="str">
        <f>HYPERLINK("https://twitter.com/petrogustavo/status/1294979478666477568","1294979478666477568")</f>
        <v>1294979478666477568</v>
      </c>
      <c r="F8713" s="7" t="s">
        <v>17</v>
      </c>
      <c r="G8713" s="7">
        <v>3938834</v>
      </c>
      <c r="H8713" s="7">
        <v>2425</v>
      </c>
      <c r="I8713" s="7">
        <v>108</v>
      </c>
      <c r="J8713" s="7">
        <v>290</v>
      </c>
      <c r="K8713" s="7" t="s">
        <v>18</v>
      </c>
      <c r="L8713" s="8">
        <v>39987.315405092595</v>
      </c>
      <c r="M8713" s="9" t="s">
        <v>19</v>
      </c>
      <c r="N8713" s="9" t="s">
        <v>20</v>
      </c>
      <c r="O8713" s="6" t="str">
        <f>HYPERLINK("https://pbs.twimg.com/profile_images/962471262747529216/Uo8lOkRJ_normal.jpg","View")</f>
        <v>View</v>
      </c>
      <c r="P8713" s="7"/>
    </row>
    <row r="8714" spans="1:16">
      <c r="A8714" s="3">
        <v>44059.775729166664</v>
      </c>
      <c r="B8714" s="4" t="str">
        <f>HYPERLINK("https://twitter.com/petrogustavo","@petrogustavo")</f>
        <v>@petrogustavo</v>
      </c>
      <c r="C8714" s="5" t="s">
        <v>16</v>
      </c>
      <c r="D8714" s="5" t="s">
        <v>8389</v>
      </c>
      <c r="E8714" s="6" t="str">
        <f>HYPERLINK("https://twitter.com/petrogustavo/status/1294984015007682560","1294984015007682560")</f>
        <v>1294984015007682560</v>
      </c>
      <c r="F8714" s="7" t="s">
        <v>17</v>
      </c>
      <c r="G8714" s="7">
        <v>3938881</v>
      </c>
      <c r="H8714" s="7">
        <v>2425</v>
      </c>
      <c r="I8714" s="7">
        <v>339</v>
      </c>
      <c r="J8714" s="7">
        <v>678</v>
      </c>
      <c r="K8714" s="7" t="s">
        <v>18</v>
      </c>
      <c r="L8714" s="8">
        <v>39987.315405092595</v>
      </c>
      <c r="M8714" s="9" t="s">
        <v>19</v>
      </c>
      <c r="N8714" s="9" t="s">
        <v>20</v>
      </c>
      <c r="O8714" s="6" t="str">
        <f>HYPERLINK("https://pbs.twimg.com/profile_images/962471262747529216/Uo8lOkRJ_normal.jpg","View")</f>
        <v>View</v>
      </c>
      <c r="P8714" s="7"/>
    </row>
    <row r="8715" spans="1:16">
      <c r="A8715" s="3">
        <v>44059.778449074074</v>
      </c>
      <c r="B8715" s="4" t="str">
        <f>HYPERLINK("https://twitter.com/petrogustavo","@petrogustavo")</f>
        <v>@petrogustavo</v>
      </c>
      <c r="C8715" s="5" t="s">
        <v>16</v>
      </c>
      <c r="D8715" s="5" t="s">
        <v>8390</v>
      </c>
      <c r="E8715" s="6" t="str">
        <f>HYPERLINK("https://twitter.com/petrogustavo/status/1294985002653016064","1294985002653016064")</f>
        <v>1294985002653016064</v>
      </c>
      <c r="F8715" s="7" t="s">
        <v>17</v>
      </c>
      <c r="G8715" s="7">
        <v>3938881</v>
      </c>
      <c r="H8715" s="7">
        <v>2425</v>
      </c>
      <c r="I8715" s="7">
        <v>85</v>
      </c>
      <c r="J8715" s="7">
        <v>178</v>
      </c>
      <c r="K8715" s="7" t="s">
        <v>18</v>
      </c>
      <c r="L8715" s="8">
        <v>39987.315405092595</v>
      </c>
      <c r="M8715" s="9" t="s">
        <v>19</v>
      </c>
      <c r="N8715" s="9" t="s">
        <v>20</v>
      </c>
      <c r="O8715" s="6" t="str">
        <f>HYPERLINK("https://pbs.twimg.com/profile_images/962471262747529216/Uo8lOkRJ_normal.jpg","View")</f>
        <v>View</v>
      </c>
      <c r="P8715" s="7"/>
    </row>
    <row r="8716" spans="1:16">
      <c r="A8716" s="3">
        <v>44059.806562500002</v>
      </c>
      <c r="B8716" s="4" t="str">
        <f>HYPERLINK("https://twitter.com/petrogustavo","@petrogustavo")</f>
        <v>@petrogustavo</v>
      </c>
      <c r="C8716" s="5" t="s">
        <v>16</v>
      </c>
      <c r="D8716" s="5" t="s">
        <v>8391</v>
      </c>
      <c r="E8716" s="6" t="str">
        <f>HYPERLINK("https://twitter.com/petrogustavo/status/1294995187412934656","1294995187412934656")</f>
        <v>1294995187412934656</v>
      </c>
      <c r="F8716" s="7" t="s">
        <v>17</v>
      </c>
      <c r="G8716" s="7">
        <v>3938899</v>
      </c>
      <c r="H8716" s="7">
        <v>2425</v>
      </c>
      <c r="I8716" s="7">
        <v>51</v>
      </c>
      <c r="J8716" s="7">
        <v>114</v>
      </c>
      <c r="K8716" s="7" t="s">
        <v>18</v>
      </c>
      <c r="L8716" s="8">
        <v>39987.315405092595</v>
      </c>
      <c r="M8716" s="9" t="s">
        <v>19</v>
      </c>
      <c r="N8716" s="9" t="s">
        <v>20</v>
      </c>
      <c r="O8716" s="6" t="str">
        <f>HYPERLINK("https://pbs.twimg.com/profile_images/962471262747529216/Uo8lOkRJ_normal.jpg","View")</f>
        <v>View</v>
      </c>
      <c r="P8716" s="7"/>
    </row>
    <row r="8717" spans="1:16">
      <c r="A8717" s="3">
        <v>44059.812372685185</v>
      </c>
      <c r="B8717" s="4" t="str">
        <f>HYPERLINK("https://twitter.com/petrogustavo","@petrogustavo")</f>
        <v>@petrogustavo</v>
      </c>
      <c r="C8717" s="5" t="s">
        <v>16</v>
      </c>
      <c r="D8717" s="5" t="s">
        <v>8392</v>
      </c>
      <c r="E8717" s="6" t="str">
        <f>HYPERLINK("https://twitter.com/petrogustavo/status/1294997295759609857","1294997295759609857")</f>
        <v>1294997295759609857</v>
      </c>
      <c r="F8717" s="7" t="s">
        <v>17</v>
      </c>
      <c r="G8717" s="7">
        <v>3938899</v>
      </c>
      <c r="H8717" s="7">
        <v>2425</v>
      </c>
      <c r="I8717" s="7">
        <v>24</v>
      </c>
      <c r="J8717" s="7">
        <v>47</v>
      </c>
      <c r="K8717" s="7" t="s">
        <v>18</v>
      </c>
      <c r="L8717" s="8">
        <v>39987.315405092595</v>
      </c>
      <c r="M8717" s="9" t="s">
        <v>19</v>
      </c>
      <c r="N8717" s="9" t="s">
        <v>20</v>
      </c>
      <c r="O8717" s="6" t="str">
        <f>HYPERLINK("https://pbs.twimg.com/profile_images/962471262747529216/Uo8lOkRJ_normal.jpg","View")</f>
        <v>View</v>
      </c>
      <c r="P8717" s="7"/>
    </row>
    <row r="8718" spans="1:16">
      <c r="A8718" s="3">
        <v>44059.814259259263</v>
      </c>
      <c r="B8718" s="4" t="str">
        <f>HYPERLINK("https://twitter.com/petrogustavo","@petrogustavo")</f>
        <v>@petrogustavo</v>
      </c>
      <c r="C8718" s="5" t="s">
        <v>16</v>
      </c>
      <c r="D8718" s="5" t="s">
        <v>8393</v>
      </c>
      <c r="E8718" s="6" t="str">
        <f>HYPERLINK("https://twitter.com/petrogustavo/status/1294997977942102016","1294997977942102016")</f>
        <v>1294997977942102016</v>
      </c>
      <c r="F8718" s="7" t="s">
        <v>17</v>
      </c>
      <c r="G8718" s="7">
        <v>3938899</v>
      </c>
      <c r="H8718" s="7">
        <v>2425</v>
      </c>
      <c r="I8718" s="7">
        <v>19</v>
      </c>
      <c r="J8718" s="7">
        <v>33</v>
      </c>
      <c r="K8718" s="7" t="s">
        <v>18</v>
      </c>
      <c r="L8718" s="8">
        <v>39987.315405092595</v>
      </c>
      <c r="M8718" s="9" t="s">
        <v>19</v>
      </c>
      <c r="N8718" s="9" t="s">
        <v>20</v>
      </c>
      <c r="O8718" s="6" t="str">
        <f>HYPERLINK("https://pbs.twimg.com/profile_images/962471262747529216/Uo8lOkRJ_normal.jpg","View")</f>
        <v>View</v>
      </c>
      <c r="P8718" s="7"/>
    </row>
    <row r="8719" spans="1:16">
      <c r="A8719" s="3">
        <v>44059.817685185189</v>
      </c>
      <c r="B8719" s="4" t="str">
        <f>HYPERLINK("https://twitter.com/petrogustavo","@petrogustavo")</f>
        <v>@petrogustavo</v>
      </c>
      <c r="C8719" s="5" t="s">
        <v>16</v>
      </c>
      <c r="D8719" s="5" t="s">
        <v>8394</v>
      </c>
      <c r="E8719" s="6" t="str">
        <f>HYPERLINK("https://twitter.com/petrogustavo/status/1294999220634759169","1294999220634759169")</f>
        <v>1294999220634759169</v>
      </c>
      <c r="F8719" s="7" t="s">
        <v>17</v>
      </c>
      <c r="G8719" s="7">
        <v>3938922</v>
      </c>
      <c r="H8719" s="7">
        <v>2425</v>
      </c>
      <c r="I8719" s="7">
        <v>247</v>
      </c>
      <c r="J8719" s="7">
        <v>657</v>
      </c>
      <c r="K8719" s="7" t="s">
        <v>18</v>
      </c>
      <c r="L8719" s="8">
        <v>39987.315405092595</v>
      </c>
      <c r="M8719" s="9" t="s">
        <v>19</v>
      </c>
      <c r="N8719" s="9" t="s">
        <v>20</v>
      </c>
      <c r="O8719" s="6" t="str">
        <f>HYPERLINK("https://pbs.twimg.com/profile_images/962471262747529216/Uo8lOkRJ_normal.jpg","View")</f>
        <v>View</v>
      </c>
      <c r="P8719" s="7"/>
    </row>
    <row r="8720" spans="1:16">
      <c r="A8720" s="3">
        <v>44059.818807870368</v>
      </c>
      <c r="B8720" s="4" t="str">
        <f>HYPERLINK("https://twitter.com/petrogustavo","@petrogustavo")</f>
        <v>@petrogustavo</v>
      </c>
      <c r="C8720" s="5" t="s">
        <v>16</v>
      </c>
      <c r="D8720" s="5" t="s">
        <v>8395</v>
      </c>
      <c r="E8720" s="6" t="str">
        <f>HYPERLINK("https://twitter.com/petrogustavo/status/1294999624676237314","1294999624676237314")</f>
        <v>1294999624676237314</v>
      </c>
      <c r="F8720" s="7" t="s">
        <v>17</v>
      </c>
      <c r="G8720" s="7">
        <v>3938922</v>
      </c>
      <c r="H8720" s="7">
        <v>2425</v>
      </c>
      <c r="I8720" s="7">
        <v>525</v>
      </c>
      <c r="J8720" s="7">
        <v>0</v>
      </c>
      <c r="K8720" s="7" t="s">
        <v>18</v>
      </c>
      <c r="L8720" s="8">
        <v>39987.315405092595</v>
      </c>
      <c r="M8720" s="9" t="s">
        <v>19</v>
      </c>
      <c r="N8720" s="9" t="s">
        <v>20</v>
      </c>
      <c r="O8720" s="6" t="str">
        <f>HYPERLINK("https://pbs.twimg.com/profile_images/962471262747529216/Uo8lOkRJ_normal.jpg","View")</f>
        <v>View</v>
      </c>
      <c r="P8720" s="7"/>
    </row>
    <row r="8721" spans="1:16">
      <c r="A8721" s="3">
        <v>44059.82</v>
      </c>
      <c r="B8721" s="4" t="str">
        <f>HYPERLINK("https://twitter.com/petrogustavo","@petrogustavo")</f>
        <v>@petrogustavo</v>
      </c>
      <c r="C8721" s="5" t="s">
        <v>16</v>
      </c>
      <c r="D8721" s="5" t="s">
        <v>8396</v>
      </c>
      <c r="E8721" s="6" t="str">
        <f>HYPERLINK("https://twitter.com/petrogustavo/status/1295000058891558914","1295000058891558914")</f>
        <v>1295000058891558914</v>
      </c>
      <c r="F8721" s="7" t="s">
        <v>17</v>
      </c>
      <c r="G8721" s="7">
        <v>3938922</v>
      </c>
      <c r="H8721" s="7">
        <v>2425</v>
      </c>
      <c r="I8721" s="7">
        <v>72</v>
      </c>
      <c r="J8721" s="7">
        <v>302</v>
      </c>
      <c r="K8721" s="7" t="s">
        <v>18</v>
      </c>
      <c r="L8721" s="8">
        <v>39987.315405092595</v>
      </c>
      <c r="M8721" s="9" t="s">
        <v>19</v>
      </c>
      <c r="N8721" s="9" t="s">
        <v>20</v>
      </c>
      <c r="O8721" s="6" t="str">
        <f>HYPERLINK("https://pbs.twimg.com/profile_images/962471262747529216/Uo8lOkRJ_normal.jpg","View")</f>
        <v>View</v>
      </c>
      <c r="P8721" s="7"/>
    </row>
    <row r="8722" spans="1:16">
      <c r="A8722" s="3">
        <v>44059.823796296296</v>
      </c>
      <c r="B8722" s="4" t="str">
        <f>HYPERLINK("https://twitter.com/petrogustavo","@petrogustavo")</f>
        <v>@petrogustavo</v>
      </c>
      <c r="C8722" s="5" t="s">
        <v>16</v>
      </c>
      <c r="D8722" s="5" t="s">
        <v>8397</v>
      </c>
      <c r="E8722" s="6" t="str">
        <f>HYPERLINK("https://twitter.com/petrogustavo/status/1295001432978907136","1295001432978907136")</f>
        <v>1295001432978907136</v>
      </c>
      <c r="F8722" s="7" t="s">
        <v>17</v>
      </c>
      <c r="G8722" s="7">
        <v>3938922</v>
      </c>
      <c r="H8722" s="7">
        <v>2425</v>
      </c>
      <c r="I8722" s="7">
        <v>376</v>
      </c>
      <c r="J8722" s="7">
        <v>1570</v>
      </c>
      <c r="K8722" s="7" t="s">
        <v>18</v>
      </c>
      <c r="L8722" s="8">
        <v>39987.315405092595</v>
      </c>
      <c r="M8722" s="9" t="s">
        <v>19</v>
      </c>
      <c r="N8722" s="9" t="s">
        <v>20</v>
      </c>
      <c r="O8722" s="6" t="str">
        <f>HYPERLINK("https://pbs.twimg.com/profile_images/962471262747529216/Uo8lOkRJ_normal.jpg","View")</f>
        <v>View</v>
      </c>
      <c r="P8722" s="7"/>
    </row>
    <row r="8723" spans="1:16">
      <c r="A8723" s="3">
        <v>44059.824629629627</v>
      </c>
      <c r="B8723" s="4" t="str">
        <f>HYPERLINK("https://twitter.com/petrogustavo","@petrogustavo")</f>
        <v>@petrogustavo</v>
      </c>
      <c r="C8723" s="5" t="s">
        <v>16</v>
      </c>
      <c r="D8723" s="5" t="s">
        <v>8398</v>
      </c>
      <c r="E8723" s="6" t="str">
        <f>HYPERLINK("https://twitter.com/petrogustavo/status/1295001738035044355","1295001738035044355")</f>
        <v>1295001738035044355</v>
      </c>
      <c r="F8723" s="7" t="s">
        <v>17</v>
      </c>
      <c r="G8723" s="7">
        <v>3938922</v>
      </c>
      <c r="H8723" s="7">
        <v>2425</v>
      </c>
      <c r="I8723" s="7">
        <v>1200</v>
      </c>
      <c r="J8723" s="7">
        <v>0</v>
      </c>
      <c r="K8723" s="7" t="s">
        <v>18</v>
      </c>
      <c r="L8723" s="8">
        <v>39987.315405092595</v>
      </c>
      <c r="M8723" s="9" t="s">
        <v>19</v>
      </c>
      <c r="N8723" s="9" t="s">
        <v>20</v>
      </c>
      <c r="O8723" s="6" t="str">
        <f>HYPERLINK("https://pbs.twimg.com/profile_images/962471262747529216/Uo8lOkRJ_normal.jpg","View")</f>
        <v>View</v>
      </c>
      <c r="P8723" s="7"/>
    </row>
    <row r="8724" spans="1:16">
      <c r="A8724" s="3">
        <v>44059.828101851846</v>
      </c>
      <c r="B8724" s="4" t="str">
        <f>HYPERLINK("https://twitter.com/petrogustavo","@petrogustavo")</f>
        <v>@petrogustavo</v>
      </c>
      <c r="C8724" s="5" t="s">
        <v>16</v>
      </c>
      <c r="D8724" s="5" t="s">
        <v>8399</v>
      </c>
      <c r="E8724" s="6" t="str">
        <f>HYPERLINK("https://twitter.com/petrogustavo/status/1295002993578905600","1295002993578905600")</f>
        <v>1295002993578905600</v>
      </c>
      <c r="F8724" s="7" t="s">
        <v>17</v>
      </c>
      <c r="G8724" s="7">
        <v>3938922</v>
      </c>
      <c r="H8724" s="7">
        <v>2425</v>
      </c>
      <c r="I8724" s="7">
        <v>191</v>
      </c>
      <c r="J8724" s="7">
        <v>742</v>
      </c>
      <c r="K8724" s="7" t="s">
        <v>18</v>
      </c>
      <c r="L8724" s="8">
        <v>39987.315405092595</v>
      </c>
      <c r="M8724" s="9" t="s">
        <v>19</v>
      </c>
      <c r="N8724" s="9" t="s">
        <v>20</v>
      </c>
      <c r="O8724" s="6" t="str">
        <f>HYPERLINK("https://pbs.twimg.com/profile_images/962471262747529216/Uo8lOkRJ_normal.jpg","View")</f>
        <v>View</v>
      </c>
      <c r="P8724" s="7"/>
    </row>
    <row r="8725" spans="1:16">
      <c r="A8725" s="3">
        <v>44059.851099537038</v>
      </c>
      <c r="B8725" s="4" t="str">
        <f>HYPERLINK("https://twitter.com/petrogustavo","@petrogustavo")</f>
        <v>@petrogustavo</v>
      </c>
      <c r="C8725" s="5" t="s">
        <v>16</v>
      </c>
      <c r="D8725" s="5" t="s">
        <v>8400</v>
      </c>
      <c r="E8725" s="6" t="str">
        <f>HYPERLINK("https://twitter.com/petrogustavo/status/1295011329066098689","1295011329066098689")</f>
        <v>1295011329066098689</v>
      </c>
      <c r="F8725" s="7" t="s">
        <v>17</v>
      </c>
      <c r="G8725" s="7">
        <v>3938941</v>
      </c>
      <c r="H8725" s="7">
        <v>2425</v>
      </c>
      <c r="I8725" s="7">
        <v>111</v>
      </c>
      <c r="J8725" s="7">
        <v>0</v>
      </c>
      <c r="K8725" s="7" t="s">
        <v>18</v>
      </c>
      <c r="L8725" s="8">
        <v>39987.315405092595</v>
      </c>
      <c r="M8725" s="9" t="s">
        <v>19</v>
      </c>
      <c r="N8725" s="9" t="s">
        <v>20</v>
      </c>
      <c r="O8725" s="6" t="str">
        <f>HYPERLINK("https://pbs.twimg.com/profile_images/962471262747529216/Uo8lOkRJ_normal.jpg","View")</f>
        <v>View</v>
      </c>
      <c r="P8725" s="7"/>
    </row>
    <row r="8726" spans="1:16">
      <c r="A8726" s="3">
        <v>44059.85565972222</v>
      </c>
      <c r="B8726" s="4" t="str">
        <f>HYPERLINK("https://twitter.com/petrogustavo","@petrogustavo")</f>
        <v>@petrogustavo</v>
      </c>
      <c r="C8726" s="5" t="s">
        <v>16</v>
      </c>
      <c r="D8726" s="5" t="s">
        <v>8401</v>
      </c>
      <c r="E8726" s="6" t="str">
        <f>HYPERLINK("https://twitter.com/petrogustavo/status/1295012979939971072","1295012979939971072")</f>
        <v>1295012979939971072</v>
      </c>
      <c r="F8726" s="7" t="s">
        <v>17</v>
      </c>
      <c r="G8726" s="7">
        <v>3938941</v>
      </c>
      <c r="H8726" s="7">
        <v>2425</v>
      </c>
      <c r="I8726" s="7">
        <v>238</v>
      </c>
      <c r="J8726" s="7">
        <v>0</v>
      </c>
      <c r="K8726" s="7" t="s">
        <v>18</v>
      </c>
      <c r="L8726" s="8">
        <v>39987.315405092595</v>
      </c>
      <c r="M8726" s="9" t="s">
        <v>19</v>
      </c>
      <c r="N8726" s="9" t="s">
        <v>20</v>
      </c>
      <c r="O8726" s="6" t="str">
        <f>HYPERLINK("https://pbs.twimg.com/profile_images/962471262747529216/Uo8lOkRJ_normal.jpg","View")</f>
        <v>View</v>
      </c>
      <c r="P8726" s="7"/>
    </row>
    <row r="8727" spans="1:16">
      <c r="A8727" s="3">
        <v>44059.880567129629</v>
      </c>
      <c r="B8727" s="4" t="str">
        <f>HYPERLINK("https://twitter.com/petrogustavo","@petrogustavo")</f>
        <v>@petrogustavo</v>
      </c>
      <c r="C8727" s="5" t="s">
        <v>16</v>
      </c>
      <c r="D8727" s="5" t="s">
        <v>8402</v>
      </c>
      <c r="E8727" s="6" t="str">
        <f>HYPERLINK("https://twitter.com/petrogustavo/status/1295022007424253952","1295022007424253952")</f>
        <v>1295022007424253952</v>
      </c>
      <c r="F8727" s="7" t="s">
        <v>17</v>
      </c>
      <c r="G8727" s="7">
        <v>3939010</v>
      </c>
      <c r="H8727" s="7">
        <v>2425</v>
      </c>
      <c r="I8727" s="7">
        <v>68</v>
      </c>
      <c r="J8727" s="7">
        <v>0</v>
      </c>
      <c r="K8727" s="7" t="s">
        <v>18</v>
      </c>
      <c r="L8727" s="8">
        <v>39987.315405092595</v>
      </c>
      <c r="M8727" s="9" t="s">
        <v>19</v>
      </c>
      <c r="N8727" s="9" t="s">
        <v>20</v>
      </c>
      <c r="O8727" s="6" t="str">
        <f>HYPERLINK("https://pbs.twimg.com/profile_images/962471262747529216/Uo8lOkRJ_normal.jpg","View")</f>
        <v>View</v>
      </c>
      <c r="P8727" s="7"/>
    </row>
    <row r="8728" spans="1:16">
      <c r="A8728" s="3">
        <v>44059.882465277777</v>
      </c>
      <c r="B8728" s="4" t="str">
        <f>HYPERLINK("https://twitter.com/petrogustavo","@petrogustavo")</f>
        <v>@petrogustavo</v>
      </c>
      <c r="C8728" s="5" t="s">
        <v>16</v>
      </c>
      <c r="D8728" s="5" t="s">
        <v>8403</v>
      </c>
      <c r="E8728" s="6" t="str">
        <f>HYPERLINK("https://twitter.com/petrogustavo/status/1295022696204558336","1295022696204558336")</f>
        <v>1295022696204558336</v>
      </c>
      <c r="F8728" s="7" t="s">
        <v>17</v>
      </c>
      <c r="G8728" s="7">
        <v>3939010</v>
      </c>
      <c r="H8728" s="7">
        <v>2425</v>
      </c>
      <c r="I8728" s="7">
        <v>614</v>
      </c>
      <c r="J8728" s="7">
        <v>2203</v>
      </c>
      <c r="K8728" s="7" t="s">
        <v>18</v>
      </c>
      <c r="L8728" s="8">
        <v>39987.315405092595</v>
      </c>
      <c r="M8728" s="9" t="s">
        <v>19</v>
      </c>
      <c r="N8728" s="9" t="s">
        <v>20</v>
      </c>
      <c r="O8728" s="6" t="str">
        <f>HYPERLINK("https://pbs.twimg.com/profile_images/962471262747529216/Uo8lOkRJ_normal.jpg","View")</f>
        <v>View</v>
      </c>
      <c r="P8728" s="7"/>
    </row>
    <row r="8729" spans="1:16">
      <c r="A8729" s="3">
        <v>44059.915150462963</v>
      </c>
      <c r="B8729" s="4" t="str">
        <f>HYPERLINK("https://twitter.com/petrogustavo","@petrogustavo")</f>
        <v>@petrogustavo</v>
      </c>
      <c r="C8729" s="5" t="s">
        <v>16</v>
      </c>
      <c r="D8729" s="5" t="s">
        <v>8404</v>
      </c>
      <c r="E8729" s="6" t="str">
        <f>HYPERLINK("https://twitter.com/petrogustavo/status/1295034539564294152","1295034539564294152")</f>
        <v>1295034539564294152</v>
      </c>
      <c r="F8729" s="7" t="s">
        <v>17</v>
      </c>
      <c r="G8729" s="7">
        <v>3939050</v>
      </c>
      <c r="H8729" s="7">
        <v>2425</v>
      </c>
      <c r="I8729" s="7">
        <v>11</v>
      </c>
      <c r="J8729" s="7">
        <v>0</v>
      </c>
      <c r="K8729" s="7" t="s">
        <v>18</v>
      </c>
      <c r="L8729" s="8">
        <v>39987.315405092595</v>
      </c>
      <c r="M8729" s="9" t="s">
        <v>19</v>
      </c>
      <c r="N8729" s="9" t="s">
        <v>20</v>
      </c>
      <c r="O8729" s="6" t="str">
        <f>HYPERLINK("https://pbs.twimg.com/profile_images/962471262747529216/Uo8lOkRJ_normal.jpg","View")</f>
        <v>View</v>
      </c>
      <c r="P8729" s="7"/>
    </row>
    <row r="8730" spans="1:16">
      <c r="A8730" s="3">
        <v>44059.920462962968</v>
      </c>
      <c r="B8730" s="4" t="str">
        <f>HYPERLINK("https://twitter.com/petrogustavo","@petrogustavo")</f>
        <v>@petrogustavo</v>
      </c>
      <c r="C8730" s="5" t="s">
        <v>16</v>
      </c>
      <c r="D8730" s="5" t="s">
        <v>8405</v>
      </c>
      <c r="E8730" s="6" t="str">
        <f>HYPERLINK("https://twitter.com/petrogustavo/status/1295036465496444930","1295036465496444930")</f>
        <v>1295036465496444930</v>
      </c>
      <c r="F8730" s="7" t="s">
        <v>17</v>
      </c>
      <c r="G8730" s="7">
        <v>3939102</v>
      </c>
      <c r="H8730" s="7">
        <v>2425</v>
      </c>
      <c r="I8730" s="7">
        <v>278</v>
      </c>
      <c r="J8730" s="7">
        <v>910</v>
      </c>
      <c r="K8730" s="7" t="s">
        <v>18</v>
      </c>
      <c r="L8730" s="8">
        <v>39987.315405092595</v>
      </c>
      <c r="M8730" s="9" t="s">
        <v>19</v>
      </c>
      <c r="N8730" s="9" t="s">
        <v>20</v>
      </c>
      <c r="O8730" s="6" t="str">
        <f>HYPERLINK("https://pbs.twimg.com/profile_images/962471262747529216/Uo8lOkRJ_normal.jpg","View")</f>
        <v>View</v>
      </c>
      <c r="P8730" s="7"/>
    </row>
    <row r="8731" spans="1:16">
      <c r="A8731" s="3">
        <v>44059.950891203705</v>
      </c>
      <c r="B8731" s="4" t="str">
        <f>HYPERLINK("https://twitter.com/petrogustavo","@petrogustavo")</f>
        <v>@petrogustavo</v>
      </c>
      <c r="C8731" s="5" t="s">
        <v>16</v>
      </c>
      <c r="D8731" s="5" t="s">
        <v>8401</v>
      </c>
      <c r="E8731" s="6" t="str">
        <f>HYPERLINK("https://twitter.com/petrogustavo/status/1295047493659525124","1295047493659525124")</f>
        <v>1295047493659525124</v>
      </c>
      <c r="F8731" s="7" t="s">
        <v>17</v>
      </c>
      <c r="G8731" s="7">
        <v>3939148</v>
      </c>
      <c r="H8731" s="7">
        <v>2425</v>
      </c>
      <c r="I8731" s="7">
        <v>431</v>
      </c>
      <c r="J8731" s="7">
        <v>0</v>
      </c>
      <c r="K8731" s="7" t="s">
        <v>18</v>
      </c>
      <c r="L8731" s="8">
        <v>39987.315405092595</v>
      </c>
      <c r="M8731" s="9" t="s">
        <v>19</v>
      </c>
      <c r="N8731" s="9" t="s">
        <v>20</v>
      </c>
      <c r="O8731" s="6" t="str">
        <f>HYPERLINK("https://pbs.twimg.com/profile_images/962471262747529216/Uo8lOkRJ_normal.jpg","View")</f>
        <v>View</v>
      </c>
      <c r="P8731" s="7"/>
    </row>
    <row r="8732" spans="1:16">
      <c r="A8732" s="3">
        <v>44059.96094907407</v>
      </c>
      <c r="B8732" s="4" t="str">
        <f>HYPERLINK("https://twitter.com/petrogustavo","@petrogustavo")</f>
        <v>@petrogustavo</v>
      </c>
      <c r="C8732" s="5" t="s">
        <v>16</v>
      </c>
      <c r="D8732" s="5" t="s">
        <v>8406</v>
      </c>
      <c r="E8732" s="6" t="str">
        <f>HYPERLINK("https://twitter.com/petrogustavo/status/1295051138363019278","1295051138363019278")</f>
        <v>1295051138363019278</v>
      </c>
      <c r="F8732" s="7" t="s">
        <v>17</v>
      </c>
      <c r="G8732" s="7">
        <v>3939199</v>
      </c>
      <c r="H8732" s="7">
        <v>2425</v>
      </c>
      <c r="I8732" s="7">
        <v>104</v>
      </c>
      <c r="J8732" s="7">
        <v>0</v>
      </c>
      <c r="K8732" s="7" t="s">
        <v>18</v>
      </c>
      <c r="L8732" s="8">
        <v>39987.315405092595</v>
      </c>
      <c r="M8732" s="9" t="s">
        <v>19</v>
      </c>
      <c r="N8732" s="9" t="s">
        <v>20</v>
      </c>
      <c r="O8732" s="6" t="str">
        <f>HYPERLINK("https://pbs.twimg.com/profile_images/962471262747529216/Uo8lOkRJ_normal.jpg","View")</f>
        <v>View</v>
      </c>
      <c r="P8732" s="7"/>
    </row>
    <row r="8733" spans="1:16">
      <c r="A8733" s="3">
        <v>44059.971192129626</v>
      </c>
      <c r="B8733" s="4" t="str">
        <f>HYPERLINK("https://twitter.com/petrogustavo","@petrogustavo")</f>
        <v>@petrogustavo</v>
      </c>
      <c r="C8733" s="5" t="s">
        <v>16</v>
      </c>
      <c r="D8733" s="5" t="s">
        <v>8407</v>
      </c>
      <c r="E8733" s="6" t="str">
        <f>HYPERLINK("https://twitter.com/petrogustavo/status/1295054846727467014","1295054846727467014")</f>
        <v>1295054846727467014</v>
      </c>
      <c r="F8733" s="7" t="s">
        <v>17</v>
      </c>
      <c r="G8733" s="7">
        <v>3939199</v>
      </c>
      <c r="H8733" s="7">
        <v>2425</v>
      </c>
      <c r="I8733" s="7">
        <v>88</v>
      </c>
      <c r="J8733" s="7">
        <v>0</v>
      </c>
      <c r="K8733" s="7" t="s">
        <v>18</v>
      </c>
      <c r="L8733" s="8">
        <v>39987.315405092595</v>
      </c>
      <c r="M8733" s="9" t="s">
        <v>19</v>
      </c>
      <c r="N8733" s="9" t="s">
        <v>20</v>
      </c>
      <c r="O8733" s="6" t="str">
        <f>HYPERLINK("https://pbs.twimg.com/profile_images/962471262747529216/Uo8lOkRJ_normal.jpg","View")</f>
        <v>View</v>
      </c>
      <c r="P8733" s="7"/>
    </row>
    <row r="8734" spans="1:16">
      <c r="A8734" s="3">
        <v>44059.976273148146</v>
      </c>
      <c r="B8734" s="4" t="str">
        <f>HYPERLINK("https://twitter.com/petrogustavo","@petrogustavo")</f>
        <v>@petrogustavo</v>
      </c>
      <c r="C8734" s="5" t="s">
        <v>16</v>
      </c>
      <c r="D8734" s="5" t="s">
        <v>8401</v>
      </c>
      <c r="E8734" s="6" t="str">
        <f>HYPERLINK("https://twitter.com/petrogustavo/status/1295056690275115013","1295056690275115013")</f>
        <v>1295056690275115013</v>
      </c>
      <c r="F8734" s="7" t="s">
        <v>17</v>
      </c>
      <c r="G8734" s="7">
        <v>3939199</v>
      </c>
      <c r="H8734" s="7">
        <v>2425</v>
      </c>
      <c r="I8734" s="7">
        <v>463</v>
      </c>
      <c r="J8734" s="7">
        <v>0</v>
      </c>
      <c r="K8734" s="7" t="s">
        <v>18</v>
      </c>
      <c r="L8734" s="8">
        <v>39987.315405092595</v>
      </c>
      <c r="M8734" s="9" t="s">
        <v>19</v>
      </c>
      <c r="N8734" s="9" t="s">
        <v>20</v>
      </c>
      <c r="O8734" s="6" t="str">
        <f>HYPERLINK("https://pbs.twimg.com/profile_images/962471262747529216/Uo8lOkRJ_normal.jpg","View")</f>
        <v>View</v>
      </c>
      <c r="P8734" s="7"/>
    </row>
    <row r="8735" spans="1:16">
      <c r="A8735" s="3">
        <v>44059.978472222225</v>
      </c>
      <c r="B8735" s="4" t="str">
        <f>HYPERLINK("https://twitter.com/petrogustavo","@petrogustavo")</f>
        <v>@petrogustavo</v>
      </c>
      <c r="C8735" s="5" t="s">
        <v>16</v>
      </c>
      <c r="D8735" s="5" t="s">
        <v>8408</v>
      </c>
      <c r="E8735" s="6" t="str">
        <f>HYPERLINK("https://twitter.com/petrogustavo/status/1295057488040079360","1295057488040079360")</f>
        <v>1295057488040079360</v>
      </c>
      <c r="F8735" s="7" t="s">
        <v>17</v>
      </c>
      <c r="G8735" s="7">
        <v>3939199</v>
      </c>
      <c r="H8735" s="7">
        <v>2425</v>
      </c>
      <c r="I8735" s="7">
        <v>98</v>
      </c>
      <c r="J8735" s="7">
        <v>285</v>
      </c>
      <c r="K8735" s="7" t="s">
        <v>18</v>
      </c>
      <c r="L8735" s="8">
        <v>39987.315405092595</v>
      </c>
      <c r="M8735" s="9" t="s">
        <v>19</v>
      </c>
      <c r="N8735" s="9" t="s">
        <v>20</v>
      </c>
      <c r="O8735" s="6" t="str">
        <f>HYPERLINK("https://pbs.twimg.com/profile_images/962471262747529216/Uo8lOkRJ_normal.jpg","View")</f>
        <v>View</v>
      </c>
      <c r="P8735" s="7"/>
    </row>
    <row r="8736" spans="1:16">
      <c r="A8736" s="3">
        <v>44060.023379629631</v>
      </c>
      <c r="B8736" s="4" t="str">
        <f>HYPERLINK("https://twitter.com/petrogustavo","@petrogustavo")</f>
        <v>@petrogustavo</v>
      </c>
      <c r="C8736" s="5" t="s">
        <v>16</v>
      </c>
      <c r="D8736" s="5" t="s">
        <v>8409</v>
      </c>
      <c r="E8736" s="6" t="str">
        <f>HYPERLINK("https://twitter.com/petrogustavo/status/1295073759129477123","1295073759129477123")</f>
        <v>1295073759129477123</v>
      </c>
      <c r="F8736" s="7" t="s">
        <v>17</v>
      </c>
      <c r="G8736" s="7">
        <v>3939322</v>
      </c>
      <c r="H8736" s="7">
        <v>2425</v>
      </c>
      <c r="I8736" s="7">
        <v>122</v>
      </c>
      <c r="J8736" s="7">
        <v>0</v>
      </c>
      <c r="K8736" s="7" t="s">
        <v>18</v>
      </c>
      <c r="L8736" s="8">
        <v>39987.315405092595</v>
      </c>
      <c r="M8736" s="9" t="s">
        <v>19</v>
      </c>
      <c r="N8736" s="9" t="s">
        <v>20</v>
      </c>
      <c r="O8736" s="6" t="str">
        <f>HYPERLINK("https://pbs.twimg.com/profile_images/962471262747529216/Uo8lOkRJ_normal.jpg","View")</f>
        <v>View</v>
      </c>
      <c r="P8736" s="7"/>
    </row>
    <row r="8737" spans="1:16">
      <c r="A8737" s="3">
        <v>44060.025844907403</v>
      </c>
      <c r="B8737" s="4" t="str">
        <f>HYPERLINK("https://twitter.com/petrogustavo","@petrogustavo")</f>
        <v>@petrogustavo</v>
      </c>
      <c r="C8737" s="5" t="s">
        <v>16</v>
      </c>
      <c r="D8737" s="5" t="s">
        <v>8410</v>
      </c>
      <c r="E8737" s="6" t="str">
        <f>HYPERLINK("https://twitter.com/petrogustavo/status/1295074654621765633","1295074654621765633")</f>
        <v>1295074654621765633</v>
      </c>
      <c r="F8737" s="7" t="s">
        <v>17</v>
      </c>
      <c r="G8737" s="7">
        <v>3939322</v>
      </c>
      <c r="H8737" s="7">
        <v>2425</v>
      </c>
      <c r="I8737" s="7">
        <v>568</v>
      </c>
      <c r="J8737" s="7">
        <v>1869</v>
      </c>
      <c r="K8737" s="7" t="s">
        <v>18</v>
      </c>
      <c r="L8737" s="8">
        <v>39987.315405092595</v>
      </c>
      <c r="M8737" s="9" t="s">
        <v>19</v>
      </c>
      <c r="N8737" s="9" t="s">
        <v>20</v>
      </c>
      <c r="O8737" s="6" t="str">
        <f>HYPERLINK("https://pbs.twimg.com/profile_images/962471262747529216/Uo8lOkRJ_normal.jpg","View")</f>
        <v>View</v>
      </c>
      <c r="P8737" s="7"/>
    </row>
    <row r="8738" spans="1:16">
      <c r="A8738" s="3">
        <v>44060.032326388886</v>
      </c>
      <c r="B8738" s="4" t="str">
        <f>HYPERLINK("https://twitter.com/petrogustavo","@petrogustavo")</f>
        <v>@petrogustavo</v>
      </c>
      <c r="C8738" s="5" t="s">
        <v>16</v>
      </c>
      <c r="D8738" s="5" t="s">
        <v>8411</v>
      </c>
      <c r="E8738" s="6" t="str">
        <f>HYPERLINK("https://twitter.com/petrogustavo/status/1295077004874862593","1295077004874862593")</f>
        <v>1295077004874862593</v>
      </c>
      <c r="F8738" s="7" t="s">
        <v>17</v>
      </c>
      <c r="G8738" s="7">
        <v>3939322</v>
      </c>
      <c r="H8738" s="7">
        <v>2425</v>
      </c>
      <c r="I8738" s="7">
        <v>48</v>
      </c>
      <c r="J8738" s="7">
        <v>0</v>
      </c>
      <c r="K8738" s="7" t="s">
        <v>18</v>
      </c>
      <c r="L8738" s="8">
        <v>39987.315405092595</v>
      </c>
      <c r="M8738" s="9" t="s">
        <v>19</v>
      </c>
      <c r="N8738" s="9" t="s">
        <v>20</v>
      </c>
      <c r="O8738" s="6" t="str">
        <f>HYPERLINK("https://pbs.twimg.com/profile_images/962471262747529216/Uo8lOkRJ_normal.jpg","View")</f>
        <v>View</v>
      </c>
      <c r="P8738" s="7"/>
    </row>
    <row r="8739" spans="1:16">
      <c r="A8739" s="3">
        <v>44060.032835648148</v>
      </c>
      <c r="B8739" s="4" t="str">
        <f>HYPERLINK("https://twitter.com/petrogustavo","@petrogustavo")</f>
        <v>@petrogustavo</v>
      </c>
      <c r="C8739" s="5" t="s">
        <v>16</v>
      </c>
      <c r="D8739" s="5" t="s">
        <v>8412</v>
      </c>
      <c r="E8739" s="6" t="str">
        <f>HYPERLINK("https://twitter.com/petrogustavo/status/1295077186056134657","1295077186056134657")</f>
        <v>1295077186056134657</v>
      </c>
      <c r="F8739" s="7" t="s">
        <v>17</v>
      </c>
      <c r="G8739" s="7">
        <v>3939322</v>
      </c>
      <c r="H8739" s="7">
        <v>2425</v>
      </c>
      <c r="I8739" s="7">
        <v>67</v>
      </c>
      <c r="J8739" s="7">
        <v>0</v>
      </c>
      <c r="K8739" s="7" t="s">
        <v>18</v>
      </c>
      <c r="L8739" s="8">
        <v>39987.315405092595</v>
      </c>
      <c r="M8739" s="9" t="s">
        <v>19</v>
      </c>
      <c r="N8739" s="9" t="s">
        <v>20</v>
      </c>
      <c r="O8739" s="6" t="str">
        <f>HYPERLINK("https://pbs.twimg.com/profile_images/962471262747529216/Uo8lOkRJ_normal.jpg","View")</f>
        <v>View</v>
      </c>
      <c r="P8739" s="7"/>
    </row>
    <row r="8740" spans="1:16">
      <c r="A8740" s="3">
        <v>44060.037581018521</v>
      </c>
      <c r="B8740" s="4" t="str">
        <f>HYPERLINK("https://twitter.com/petrogustavo","@petrogustavo")</f>
        <v>@petrogustavo</v>
      </c>
      <c r="C8740" s="5" t="s">
        <v>16</v>
      </c>
      <c r="D8740" s="5" t="s">
        <v>8413</v>
      </c>
      <c r="E8740" s="6" t="str">
        <f>HYPERLINK("https://twitter.com/petrogustavo/status/1295078907297910784","1295078907297910784")</f>
        <v>1295078907297910784</v>
      </c>
      <c r="F8740" s="7" t="s">
        <v>17</v>
      </c>
      <c r="G8740" s="7">
        <v>3939322</v>
      </c>
      <c r="H8740" s="7">
        <v>2425</v>
      </c>
      <c r="I8740" s="7">
        <v>46</v>
      </c>
      <c r="J8740" s="7">
        <v>0</v>
      </c>
      <c r="K8740" s="7" t="s">
        <v>18</v>
      </c>
      <c r="L8740" s="8">
        <v>39987.315405092595</v>
      </c>
      <c r="M8740" s="9" t="s">
        <v>19</v>
      </c>
      <c r="N8740" s="9" t="s">
        <v>20</v>
      </c>
      <c r="O8740" s="6" t="str">
        <f>HYPERLINK("https://pbs.twimg.com/profile_images/962471262747529216/Uo8lOkRJ_normal.jpg","View")</f>
        <v>View</v>
      </c>
      <c r="P8740" s="7"/>
    </row>
    <row r="8741" spans="1:16">
      <c r="A8741" s="3">
        <v>44060.043634259258</v>
      </c>
      <c r="B8741" s="4" t="str">
        <f>HYPERLINK("https://twitter.com/petrogustavo","@petrogustavo")</f>
        <v>@petrogustavo</v>
      </c>
      <c r="C8741" s="5" t="s">
        <v>16</v>
      </c>
      <c r="D8741" s="5" t="s">
        <v>8414</v>
      </c>
      <c r="E8741" s="6" t="str">
        <f>HYPERLINK("https://twitter.com/petrogustavo/status/1295081102030381058","1295081102030381058")</f>
        <v>1295081102030381058</v>
      </c>
      <c r="F8741" s="7" t="s">
        <v>17</v>
      </c>
      <c r="G8741" s="7">
        <v>3939322</v>
      </c>
      <c r="H8741" s="7">
        <v>2425</v>
      </c>
      <c r="I8741" s="7">
        <v>1</v>
      </c>
      <c r="J8741" s="7">
        <v>7</v>
      </c>
      <c r="K8741" s="7" t="s">
        <v>18</v>
      </c>
      <c r="L8741" s="8">
        <v>39987.315405092595</v>
      </c>
      <c r="M8741" s="9" t="s">
        <v>19</v>
      </c>
      <c r="N8741" s="9" t="s">
        <v>20</v>
      </c>
      <c r="O8741" s="6" t="str">
        <f>HYPERLINK("https://pbs.twimg.com/profile_images/962471262747529216/Uo8lOkRJ_normal.jpg","View")</f>
        <v>View</v>
      </c>
      <c r="P8741" s="7"/>
    </row>
    <row r="8742" spans="1:16">
      <c r="A8742" s="3">
        <v>44060.045532407406</v>
      </c>
      <c r="B8742" s="4" t="str">
        <f>HYPERLINK("https://twitter.com/petrogustavo","@petrogustavo")</f>
        <v>@petrogustavo</v>
      </c>
      <c r="C8742" s="5" t="s">
        <v>16</v>
      </c>
      <c r="D8742" s="5" t="s">
        <v>8415</v>
      </c>
      <c r="E8742" s="6" t="str">
        <f>HYPERLINK("https://twitter.com/petrogustavo/status/1295081790273736709","1295081790273736709")</f>
        <v>1295081790273736709</v>
      </c>
      <c r="F8742" s="7" t="s">
        <v>17</v>
      </c>
      <c r="G8742" s="7">
        <v>3939333</v>
      </c>
      <c r="H8742" s="7">
        <v>2425</v>
      </c>
      <c r="I8742" s="7">
        <v>65</v>
      </c>
      <c r="J8742" s="7">
        <v>0</v>
      </c>
      <c r="K8742" s="7" t="s">
        <v>18</v>
      </c>
      <c r="L8742" s="8">
        <v>39987.315405092595</v>
      </c>
      <c r="M8742" s="9" t="s">
        <v>19</v>
      </c>
      <c r="N8742" s="9" t="s">
        <v>20</v>
      </c>
      <c r="O8742" s="6" t="str">
        <f>HYPERLINK("https://pbs.twimg.com/profile_images/962471262747529216/Uo8lOkRJ_normal.jpg","View")</f>
        <v>View</v>
      </c>
      <c r="P8742" s="7"/>
    </row>
    <row r="8743" spans="1:16">
      <c r="A8743" s="3">
        <v>44060.046307870369</v>
      </c>
      <c r="B8743" s="4" t="str">
        <f>HYPERLINK("https://twitter.com/petrogustavo","@petrogustavo")</f>
        <v>@petrogustavo</v>
      </c>
      <c r="C8743" s="5" t="s">
        <v>16</v>
      </c>
      <c r="D8743" s="5" t="s">
        <v>8416</v>
      </c>
      <c r="E8743" s="6" t="str">
        <f>HYPERLINK("https://twitter.com/petrogustavo/status/1295082071581433856","1295082071581433856")</f>
        <v>1295082071581433856</v>
      </c>
      <c r="F8743" s="7" t="s">
        <v>17</v>
      </c>
      <c r="G8743" s="7">
        <v>3939333</v>
      </c>
      <c r="H8743" s="7">
        <v>2425</v>
      </c>
      <c r="I8743" s="7">
        <v>40</v>
      </c>
      <c r="J8743" s="7">
        <v>0</v>
      </c>
      <c r="K8743" s="7" t="s">
        <v>18</v>
      </c>
      <c r="L8743" s="8">
        <v>39987.315405092595</v>
      </c>
      <c r="M8743" s="9" t="s">
        <v>19</v>
      </c>
      <c r="N8743" s="9" t="s">
        <v>20</v>
      </c>
      <c r="O8743" s="6" t="str">
        <f>HYPERLINK("https://pbs.twimg.com/profile_images/962471262747529216/Uo8lOkRJ_normal.jpg","View")</f>
        <v>View</v>
      </c>
      <c r="P8743" s="7"/>
    </row>
    <row r="8744" spans="1:16">
      <c r="A8744" s="3">
        <v>44060.047951388886</v>
      </c>
      <c r="B8744" s="4" t="str">
        <f>HYPERLINK("https://twitter.com/petrogustavo","@petrogustavo")</f>
        <v>@petrogustavo</v>
      </c>
      <c r="C8744" s="5" t="s">
        <v>16</v>
      </c>
      <c r="D8744" s="5" t="s">
        <v>8417</v>
      </c>
      <c r="E8744" s="6" t="str">
        <f>HYPERLINK("https://twitter.com/petrogustavo/status/1295082665029312523","1295082665029312523")</f>
        <v>1295082665029312523</v>
      </c>
      <c r="F8744" s="7" t="s">
        <v>17</v>
      </c>
      <c r="G8744" s="7">
        <v>3939333</v>
      </c>
      <c r="H8744" s="7">
        <v>2425</v>
      </c>
      <c r="I8744" s="7">
        <v>403</v>
      </c>
      <c r="J8744" s="7">
        <v>1213</v>
      </c>
      <c r="K8744" s="7" t="s">
        <v>18</v>
      </c>
      <c r="L8744" s="8">
        <v>39987.315405092595</v>
      </c>
      <c r="M8744" s="9" t="s">
        <v>19</v>
      </c>
      <c r="N8744" s="9" t="s">
        <v>20</v>
      </c>
      <c r="O8744" s="6" t="str">
        <f>HYPERLINK("https://pbs.twimg.com/profile_images/962471262747529216/Uo8lOkRJ_normal.jpg","View")</f>
        <v>View</v>
      </c>
      <c r="P8744" s="7"/>
    </row>
    <row r="8745" spans="1:16">
      <c r="A8745" s="3">
        <v>44060.055335648147</v>
      </c>
      <c r="B8745" s="4" t="str">
        <f>HYPERLINK("https://twitter.com/petrogustavo","@petrogustavo")</f>
        <v>@petrogustavo</v>
      </c>
      <c r="C8745" s="5" t="s">
        <v>16</v>
      </c>
      <c r="D8745" s="5" t="s">
        <v>8418</v>
      </c>
      <c r="E8745" s="6" t="str">
        <f>HYPERLINK("https://twitter.com/petrogustavo/status/1295085340924026881","1295085340924026881")</f>
        <v>1295085340924026881</v>
      </c>
      <c r="F8745" s="7" t="s">
        <v>17</v>
      </c>
      <c r="G8745" s="7">
        <v>3939333</v>
      </c>
      <c r="H8745" s="7">
        <v>2425</v>
      </c>
      <c r="I8745" s="7">
        <v>49</v>
      </c>
      <c r="J8745" s="7">
        <v>0</v>
      </c>
      <c r="K8745" s="7" t="s">
        <v>18</v>
      </c>
      <c r="L8745" s="8">
        <v>39987.315405092595</v>
      </c>
      <c r="M8745" s="9" t="s">
        <v>19</v>
      </c>
      <c r="N8745" s="9" t="s">
        <v>20</v>
      </c>
      <c r="O8745" s="6" t="str">
        <f>HYPERLINK("https://pbs.twimg.com/profile_images/962471262747529216/Uo8lOkRJ_normal.jpg","View")</f>
        <v>View</v>
      </c>
      <c r="P8745" s="7"/>
    </row>
    <row r="8746" spans="1:16">
      <c r="A8746" s="3">
        <v>44060.056018518517</v>
      </c>
      <c r="B8746" s="4" t="str">
        <f>HYPERLINK("https://twitter.com/petrogustavo","@petrogustavo")</f>
        <v>@petrogustavo</v>
      </c>
      <c r="C8746" s="5" t="s">
        <v>16</v>
      </c>
      <c r="D8746" s="5" t="s">
        <v>8419</v>
      </c>
      <c r="E8746" s="6" t="str">
        <f>HYPERLINK("https://twitter.com/petrogustavo/status/1295085589407117312","1295085589407117312")</f>
        <v>1295085589407117312</v>
      </c>
      <c r="F8746" s="7" t="s">
        <v>17</v>
      </c>
      <c r="G8746" s="7">
        <v>3939333</v>
      </c>
      <c r="H8746" s="7">
        <v>2425</v>
      </c>
      <c r="I8746" s="7">
        <v>48</v>
      </c>
      <c r="J8746" s="7">
        <v>0</v>
      </c>
      <c r="K8746" s="7" t="s">
        <v>18</v>
      </c>
      <c r="L8746" s="8">
        <v>39987.315405092595</v>
      </c>
      <c r="M8746" s="9" t="s">
        <v>19</v>
      </c>
      <c r="N8746" s="9" t="s">
        <v>20</v>
      </c>
      <c r="O8746" s="6" t="str">
        <f>HYPERLINK("https://pbs.twimg.com/profile_images/962471262747529216/Uo8lOkRJ_normal.jpg","View")</f>
        <v>View</v>
      </c>
      <c r="P8746" s="7"/>
    </row>
    <row r="8747" spans="1:16">
      <c r="A8747" s="3">
        <v>44060.058275462958</v>
      </c>
      <c r="B8747" s="4" t="str">
        <f>HYPERLINK("https://twitter.com/petrogustavo","@petrogustavo")</f>
        <v>@petrogustavo</v>
      </c>
      <c r="C8747" s="5" t="s">
        <v>16</v>
      </c>
      <c r="D8747" s="5" t="s">
        <v>8420</v>
      </c>
      <c r="E8747" s="6" t="str">
        <f>HYPERLINK("https://twitter.com/petrogustavo/status/1295086407761956879","1295086407761956879")</f>
        <v>1295086407761956879</v>
      </c>
      <c r="F8747" s="7" t="s">
        <v>17</v>
      </c>
      <c r="G8747" s="7">
        <v>3939333</v>
      </c>
      <c r="H8747" s="7">
        <v>2425</v>
      </c>
      <c r="I8747" s="7">
        <v>54</v>
      </c>
      <c r="J8747" s="7">
        <v>0</v>
      </c>
      <c r="K8747" s="7" t="s">
        <v>18</v>
      </c>
      <c r="L8747" s="8">
        <v>39987.315405092595</v>
      </c>
      <c r="M8747" s="9" t="s">
        <v>19</v>
      </c>
      <c r="N8747" s="9" t="s">
        <v>20</v>
      </c>
      <c r="O8747" s="6" t="str">
        <f>HYPERLINK("https://pbs.twimg.com/profile_images/962471262747529216/Uo8lOkRJ_normal.jpg","View")</f>
        <v>View</v>
      </c>
      <c r="P8747" s="7"/>
    </row>
    <row r="8748" spans="1:16">
      <c r="A8748" s="3">
        <v>44060.058692129634</v>
      </c>
      <c r="B8748" s="4" t="str">
        <f>HYPERLINK("https://twitter.com/petrogustavo","@petrogustavo")</f>
        <v>@petrogustavo</v>
      </c>
      <c r="C8748" s="5" t="s">
        <v>16</v>
      </c>
      <c r="D8748" s="5" t="s">
        <v>8421</v>
      </c>
      <c r="E8748" s="6" t="str">
        <f>HYPERLINK("https://twitter.com/petrogustavo/status/1295086558568165383","1295086558568165383")</f>
        <v>1295086558568165383</v>
      </c>
      <c r="F8748" s="7" t="s">
        <v>17</v>
      </c>
      <c r="G8748" s="7">
        <v>3939333</v>
      </c>
      <c r="H8748" s="7">
        <v>2425</v>
      </c>
      <c r="I8748" s="7">
        <v>98</v>
      </c>
      <c r="J8748" s="7">
        <v>0</v>
      </c>
      <c r="K8748" s="7" t="s">
        <v>18</v>
      </c>
      <c r="L8748" s="8">
        <v>39987.315405092595</v>
      </c>
      <c r="M8748" s="9" t="s">
        <v>19</v>
      </c>
      <c r="N8748" s="9" t="s">
        <v>20</v>
      </c>
      <c r="O8748" s="6" t="str">
        <f>HYPERLINK("https://pbs.twimg.com/profile_images/962471262747529216/Uo8lOkRJ_normal.jpg","View")</f>
        <v>View</v>
      </c>
      <c r="P8748" s="7"/>
    </row>
    <row r="8749" spans="1:16">
      <c r="A8749" s="3">
        <v>44060.061423611114</v>
      </c>
      <c r="B8749" s="4" t="str">
        <f>HYPERLINK("https://twitter.com/petrogustavo","@petrogustavo")</f>
        <v>@petrogustavo</v>
      </c>
      <c r="C8749" s="5" t="s">
        <v>16</v>
      </c>
      <c r="D8749" s="5" t="s">
        <v>8422</v>
      </c>
      <c r="E8749" s="6" t="str">
        <f>HYPERLINK("https://twitter.com/petrogustavo/status/1295087547157184512","1295087547157184512")</f>
        <v>1295087547157184512</v>
      </c>
      <c r="F8749" s="7" t="s">
        <v>17</v>
      </c>
      <c r="G8749" s="7">
        <v>3939333</v>
      </c>
      <c r="H8749" s="7">
        <v>2425</v>
      </c>
      <c r="I8749" s="7">
        <v>9</v>
      </c>
      <c r="J8749" s="7">
        <v>0</v>
      </c>
      <c r="K8749" s="7" t="s">
        <v>18</v>
      </c>
      <c r="L8749" s="8">
        <v>39987.315405092595</v>
      </c>
      <c r="M8749" s="9" t="s">
        <v>19</v>
      </c>
      <c r="N8749" s="9" t="s">
        <v>20</v>
      </c>
      <c r="O8749" s="6" t="str">
        <f>HYPERLINK("https://pbs.twimg.com/profile_images/962471262747529216/Uo8lOkRJ_normal.jpg","View")</f>
        <v>View</v>
      </c>
      <c r="P8749" s="7"/>
    </row>
    <row r="8750" spans="1:16">
      <c r="A8750" s="3">
        <v>44060.065682870365</v>
      </c>
      <c r="B8750" s="4" t="str">
        <f>HYPERLINK("https://twitter.com/petrogustavo","@petrogustavo")</f>
        <v>@petrogustavo</v>
      </c>
      <c r="C8750" s="5" t="s">
        <v>16</v>
      </c>
      <c r="D8750" s="5" t="s">
        <v>8423</v>
      </c>
      <c r="E8750" s="6" t="str">
        <f>HYPERLINK("https://twitter.com/petrogustavo/status/1295089092259123201","1295089092259123201")</f>
        <v>1295089092259123201</v>
      </c>
      <c r="F8750" s="7" t="s">
        <v>17</v>
      </c>
      <c r="G8750" s="7">
        <v>3939336</v>
      </c>
      <c r="H8750" s="7">
        <v>2425</v>
      </c>
      <c r="I8750" s="7">
        <v>771</v>
      </c>
      <c r="J8750" s="7">
        <v>0</v>
      </c>
      <c r="K8750" s="7" t="s">
        <v>18</v>
      </c>
      <c r="L8750" s="8">
        <v>39987.315405092595</v>
      </c>
      <c r="M8750" s="9" t="s">
        <v>19</v>
      </c>
      <c r="N8750" s="9" t="s">
        <v>20</v>
      </c>
      <c r="O8750" s="6" t="str">
        <f>HYPERLINK("https://pbs.twimg.com/profile_images/962471262747529216/Uo8lOkRJ_normal.jpg","View")</f>
        <v>View</v>
      </c>
      <c r="P8750" s="7"/>
    </row>
    <row r="8751" spans="1:16">
      <c r="A8751" s="3">
        <v>44060.071064814816</v>
      </c>
      <c r="B8751" s="4" t="str">
        <f>HYPERLINK("https://twitter.com/petrogustavo","@petrogustavo")</f>
        <v>@petrogustavo</v>
      </c>
      <c r="C8751" s="5" t="s">
        <v>16</v>
      </c>
      <c r="D8751" s="5" t="s">
        <v>8424</v>
      </c>
      <c r="E8751" s="6" t="str">
        <f>HYPERLINK("https://twitter.com/petrogustavo/status/1295091041524166656","1295091041524166656")</f>
        <v>1295091041524166656</v>
      </c>
      <c r="F8751" s="7" t="s">
        <v>17</v>
      </c>
      <c r="G8751" s="7">
        <v>3939336</v>
      </c>
      <c r="H8751" s="7">
        <v>2425</v>
      </c>
      <c r="I8751" s="7">
        <v>65</v>
      </c>
      <c r="J8751" s="7">
        <v>0</v>
      </c>
      <c r="K8751" s="7" t="s">
        <v>18</v>
      </c>
      <c r="L8751" s="8">
        <v>39987.315405092595</v>
      </c>
      <c r="M8751" s="9" t="s">
        <v>19</v>
      </c>
      <c r="N8751" s="9" t="s">
        <v>20</v>
      </c>
      <c r="O8751" s="6" t="str">
        <f>HYPERLINK("https://pbs.twimg.com/profile_images/962471262747529216/Uo8lOkRJ_normal.jpg","View")</f>
        <v>View</v>
      </c>
      <c r="P8751" s="7"/>
    </row>
    <row r="8752" spans="1:16">
      <c r="A8752" s="3">
        <v>44060.072430555556</v>
      </c>
      <c r="B8752" s="4" t="str">
        <f>HYPERLINK("https://twitter.com/petrogustavo","@petrogustavo")</f>
        <v>@petrogustavo</v>
      </c>
      <c r="C8752" s="5" t="s">
        <v>16</v>
      </c>
      <c r="D8752" s="5" t="s">
        <v>8425</v>
      </c>
      <c r="E8752" s="6" t="str">
        <f>HYPERLINK("https://twitter.com/petrogustavo/status/1295091534602395650","1295091534602395650")</f>
        <v>1295091534602395650</v>
      </c>
      <c r="F8752" s="7" t="s">
        <v>17</v>
      </c>
      <c r="G8752" s="7">
        <v>3939336</v>
      </c>
      <c r="H8752" s="7">
        <v>2425</v>
      </c>
      <c r="I8752" s="7">
        <v>2947</v>
      </c>
      <c r="J8752" s="7">
        <v>0</v>
      </c>
      <c r="K8752" s="7" t="s">
        <v>18</v>
      </c>
      <c r="L8752" s="8">
        <v>39987.315405092595</v>
      </c>
      <c r="M8752" s="9" t="s">
        <v>19</v>
      </c>
      <c r="N8752" s="9" t="s">
        <v>20</v>
      </c>
      <c r="O8752" s="6" t="str">
        <f>HYPERLINK("https://pbs.twimg.com/profile_images/962471262747529216/Uo8lOkRJ_normal.jpg","View")</f>
        <v>View</v>
      </c>
      <c r="P8752" s="7"/>
    </row>
    <row r="8753" spans="1:16">
      <c r="A8753" s="3">
        <v>44060.077615740738</v>
      </c>
      <c r="B8753" s="4" t="str">
        <f>HYPERLINK("https://twitter.com/petrogustavo","@petrogustavo")</f>
        <v>@petrogustavo</v>
      </c>
      <c r="C8753" s="5" t="s">
        <v>16</v>
      </c>
      <c r="D8753" s="5" t="s">
        <v>8426</v>
      </c>
      <c r="E8753" s="6" t="str">
        <f>HYPERLINK("https://twitter.com/petrogustavo/status/1295093413457596417","1295093413457596417")</f>
        <v>1295093413457596417</v>
      </c>
      <c r="F8753" s="7" t="s">
        <v>17</v>
      </c>
      <c r="G8753" s="7">
        <v>3939336</v>
      </c>
      <c r="H8753" s="7">
        <v>2425</v>
      </c>
      <c r="I8753" s="7">
        <v>31</v>
      </c>
      <c r="J8753" s="7">
        <v>0</v>
      </c>
      <c r="K8753" s="7" t="s">
        <v>18</v>
      </c>
      <c r="L8753" s="8">
        <v>39987.315405092595</v>
      </c>
      <c r="M8753" s="9" t="s">
        <v>19</v>
      </c>
      <c r="N8753" s="9" t="s">
        <v>20</v>
      </c>
      <c r="O8753" s="6" t="str">
        <f>HYPERLINK("https://pbs.twimg.com/profile_images/962471262747529216/Uo8lOkRJ_normal.jpg","View")</f>
        <v>View</v>
      </c>
      <c r="P8753" s="7"/>
    </row>
    <row r="8754" spans="1:16">
      <c r="A8754" s="3">
        <v>44060.080706018518</v>
      </c>
      <c r="B8754" s="4" t="str">
        <f>HYPERLINK("https://twitter.com/petrogustavo","@petrogustavo")</f>
        <v>@petrogustavo</v>
      </c>
      <c r="C8754" s="5" t="s">
        <v>16</v>
      </c>
      <c r="D8754" s="5" t="s">
        <v>8427</v>
      </c>
      <c r="E8754" s="6" t="str">
        <f>HYPERLINK("https://twitter.com/petrogustavo/status/1295094533953396742","1295094533953396742")</f>
        <v>1295094533953396742</v>
      </c>
      <c r="F8754" s="7" t="s">
        <v>17</v>
      </c>
      <c r="G8754" s="7">
        <v>3939336</v>
      </c>
      <c r="H8754" s="7">
        <v>2425</v>
      </c>
      <c r="I8754" s="7">
        <v>81</v>
      </c>
      <c r="J8754" s="7">
        <v>0</v>
      </c>
      <c r="K8754" s="7" t="s">
        <v>18</v>
      </c>
      <c r="L8754" s="8">
        <v>39987.315405092595</v>
      </c>
      <c r="M8754" s="9" t="s">
        <v>19</v>
      </c>
      <c r="N8754" s="9" t="s">
        <v>20</v>
      </c>
      <c r="O8754" s="6" t="str">
        <f>HYPERLINK("https://pbs.twimg.com/profile_images/962471262747529216/Uo8lOkRJ_normal.jpg","View")</f>
        <v>View</v>
      </c>
      <c r="P8754" s="7"/>
    </row>
    <row r="8755" spans="1:16">
      <c r="A8755" s="3">
        <v>44060.081296296295</v>
      </c>
      <c r="B8755" s="4" t="str">
        <f>HYPERLINK("https://twitter.com/petrogustavo","@petrogustavo")</f>
        <v>@petrogustavo</v>
      </c>
      <c r="C8755" s="5" t="s">
        <v>16</v>
      </c>
      <c r="D8755" s="5" t="s">
        <v>8428</v>
      </c>
      <c r="E8755" s="6" t="str">
        <f>HYPERLINK("https://twitter.com/petrogustavo/status/1295094748051628036","1295094748051628036")</f>
        <v>1295094748051628036</v>
      </c>
      <c r="F8755" s="7" t="s">
        <v>17</v>
      </c>
      <c r="G8755" s="7">
        <v>3939336</v>
      </c>
      <c r="H8755" s="7">
        <v>2425</v>
      </c>
      <c r="I8755" s="7">
        <v>66</v>
      </c>
      <c r="J8755" s="7">
        <v>0</v>
      </c>
      <c r="K8755" s="7" t="s">
        <v>18</v>
      </c>
      <c r="L8755" s="8">
        <v>39987.315405092595</v>
      </c>
      <c r="M8755" s="9" t="s">
        <v>19</v>
      </c>
      <c r="N8755" s="9" t="s">
        <v>20</v>
      </c>
      <c r="O8755" s="6" t="str">
        <f>HYPERLINK("https://pbs.twimg.com/profile_images/962471262747529216/Uo8lOkRJ_normal.jpg","View")</f>
        <v>View</v>
      </c>
      <c r="P8755" s="7"/>
    </row>
    <row r="8756" spans="1:16">
      <c r="A8756" s="3">
        <v>44060.082812499997</v>
      </c>
      <c r="B8756" s="4" t="str">
        <f>HYPERLINK("https://twitter.com/petrogustavo","@petrogustavo")</f>
        <v>@petrogustavo</v>
      </c>
      <c r="C8756" s="5" t="s">
        <v>16</v>
      </c>
      <c r="D8756" s="5" t="s">
        <v>8429</v>
      </c>
      <c r="E8756" s="6" t="str">
        <f>HYPERLINK("https://twitter.com/petrogustavo/status/1295095296792375296","1295095296792375296")</f>
        <v>1295095296792375296</v>
      </c>
      <c r="F8756" s="7" t="s">
        <v>17</v>
      </c>
      <c r="G8756" s="7">
        <v>3939336</v>
      </c>
      <c r="H8756" s="7">
        <v>2425</v>
      </c>
      <c r="I8756" s="7">
        <v>22</v>
      </c>
      <c r="J8756" s="7">
        <v>0</v>
      </c>
      <c r="K8756" s="7" t="s">
        <v>18</v>
      </c>
      <c r="L8756" s="8">
        <v>39987.315405092595</v>
      </c>
      <c r="M8756" s="9" t="s">
        <v>19</v>
      </c>
      <c r="N8756" s="9" t="s">
        <v>20</v>
      </c>
      <c r="O8756" s="6" t="str">
        <f>HYPERLINK("https://pbs.twimg.com/profile_images/962471262747529216/Uo8lOkRJ_normal.jpg","View")</f>
        <v>View</v>
      </c>
      <c r="P8756" s="7"/>
    </row>
    <row r="8757" spans="1:16">
      <c r="A8757" s="3">
        <v>44060.08699074074</v>
      </c>
      <c r="B8757" s="4" t="str">
        <f>HYPERLINK("https://twitter.com/petrogustavo","@petrogustavo")</f>
        <v>@petrogustavo</v>
      </c>
      <c r="C8757" s="5" t="s">
        <v>16</v>
      </c>
      <c r="D8757" s="5" t="s">
        <v>8430</v>
      </c>
      <c r="E8757" s="6" t="str">
        <f>HYPERLINK("https://twitter.com/petrogustavo/status/1295096812114784256","1295096812114784256")</f>
        <v>1295096812114784256</v>
      </c>
      <c r="F8757" s="7" t="s">
        <v>17</v>
      </c>
      <c r="G8757" s="7">
        <v>3939373</v>
      </c>
      <c r="H8757" s="7">
        <v>2425</v>
      </c>
      <c r="I8757" s="7">
        <v>493</v>
      </c>
      <c r="J8757" s="7">
        <v>0</v>
      </c>
      <c r="K8757" s="7" t="s">
        <v>18</v>
      </c>
      <c r="L8757" s="8">
        <v>39987.315405092595</v>
      </c>
      <c r="M8757" s="9" t="s">
        <v>19</v>
      </c>
      <c r="N8757" s="9" t="s">
        <v>20</v>
      </c>
      <c r="O8757" s="6" t="str">
        <f>HYPERLINK("https://pbs.twimg.com/profile_images/962471262747529216/Uo8lOkRJ_normal.jpg","View")</f>
        <v>View</v>
      </c>
      <c r="P8757" s="7"/>
    </row>
    <row r="8758" spans="1:16">
      <c r="A8758" s="3">
        <v>44060.097118055557</v>
      </c>
      <c r="B8758" s="4" t="str">
        <f>HYPERLINK("https://twitter.com/petrogustavo","@petrogustavo")</f>
        <v>@petrogustavo</v>
      </c>
      <c r="C8758" s="5" t="s">
        <v>16</v>
      </c>
      <c r="D8758" s="5" t="s">
        <v>8431</v>
      </c>
      <c r="E8758" s="6" t="str">
        <f>HYPERLINK("https://twitter.com/petrogustavo/status/1295100482726383619","1295100482726383619")</f>
        <v>1295100482726383619</v>
      </c>
      <c r="F8758" s="7" t="s">
        <v>17</v>
      </c>
      <c r="G8758" s="7">
        <v>3939373</v>
      </c>
      <c r="H8758" s="7">
        <v>2425</v>
      </c>
      <c r="I8758" s="7">
        <v>40</v>
      </c>
      <c r="J8758" s="7">
        <v>0</v>
      </c>
      <c r="K8758" s="7" t="s">
        <v>18</v>
      </c>
      <c r="L8758" s="8">
        <v>39987.315405092595</v>
      </c>
      <c r="M8758" s="9" t="s">
        <v>19</v>
      </c>
      <c r="N8758" s="9" t="s">
        <v>20</v>
      </c>
      <c r="O8758" s="6" t="str">
        <f>HYPERLINK("https://pbs.twimg.com/profile_images/962471262747529216/Uo8lOkRJ_normal.jpg","View")</f>
        <v>View</v>
      </c>
      <c r="P8758" s="7"/>
    </row>
    <row r="8759" spans="1:16">
      <c r="A8759" s="3">
        <v>44060.098726851851</v>
      </c>
      <c r="B8759" s="4" t="str">
        <f>HYPERLINK("https://twitter.com/petrogustavo","@petrogustavo")</f>
        <v>@petrogustavo</v>
      </c>
      <c r="C8759" s="5" t="s">
        <v>16</v>
      </c>
      <c r="D8759" s="5" t="s">
        <v>8432</v>
      </c>
      <c r="E8759" s="6" t="str">
        <f>HYPERLINK("https://twitter.com/petrogustavo/status/1295101066351173635","1295101066351173635")</f>
        <v>1295101066351173635</v>
      </c>
      <c r="F8759" s="7" t="s">
        <v>17</v>
      </c>
      <c r="G8759" s="7">
        <v>3939373</v>
      </c>
      <c r="H8759" s="7">
        <v>2425</v>
      </c>
      <c r="I8759" s="7">
        <v>237</v>
      </c>
      <c r="J8759" s="7">
        <v>0</v>
      </c>
      <c r="K8759" s="7" t="s">
        <v>18</v>
      </c>
      <c r="L8759" s="8">
        <v>39987.315405092595</v>
      </c>
      <c r="M8759" s="9" t="s">
        <v>19</v>
      </c>
      <c r="N8759" s="9" t="s">
        <v>20</v>
      </c>
      <c r="O8759" s="6" t="str">
        <f>HYPERLINK("https://pbs.twimg.com/profile_images/962471262747529216/Uo8lOkRJ_normal.jpg","View")</f>
        <v>View</v>
      </c>
      <c r="P8759" s="7"/>
    </row>
    <row r="8760" spans="1:16">
      <c r="A8760" s="3">
        <v>44060.101493055554</v>
      </c>
      <c r="B8760" s="4" t="str">
        <f>HYPERLINK("https://twitter.com/petrogustavo","@petrogustavo")</f>
        <v>@petrogustavo</v>
      </c>
      <c r="C8760" s="5" t="s">
        <v>16</v>
      </c>
      <c r="D8760" s="5" t="s">
        <v>8423</v>
      </c>
      <c r="E8760" s="6" t="str">
        <f>HYPERLINK("https://twitter.com/petrogustavo/status/1295102068416446466","1295102068416446466")</f>
        <v>1295102068416446466</v>
      </c>
      <c r="F8760" s="7" t="s">
        <v>17</v>
      </c>
      <c r="G8760" s="7">
        <v>3939373</v>
      </c>
      <c r="H8760" s="7">
        <v>2425</v>
      </c>
      <c r="I8760" s="7">
        <v>1054</v>
      </c>
      <c r="J8760" s="7">
        <v>0</v>
      </c>
      <c r="K8760" s="7" t="s">
        <v>18</v>
      </c>
      <c r="L8760" s="8">
        <v>39987.315405092595</v>
      </c>
      <c r="M8760" s="9" t="s">
        <v>19</v>
      </c>
      <c r="N8760" s="9" t="s">
        <v>20</v>
      </c>
      <c r="O8760" s="6" t="str">
        <f>HYPERLINK("https://pbs.twimg.com/profile_images/962471262747529216/Uo8lOkRJ_normal.jpg","View")</f>
        <v>View</v>
      </c>
      <c r="P8760" s="7"/>
    </row>
    <row r="8761" spans="1:16">
      <c r="A8761" s="3">
        <v>44060.134155092594</v>
      </c>
      <c r="B8761" s="4" t="str">
        <f>HYPERLINK("https://twitter.com/petrogustavo","@petrogustavo")</f>
        <v>@petrogustavo</v>
      </c>
      <c r="C8761" s="5" t="s">
        <v>16</v>
      </c>
      <c r="D8761" s="5" t="s">
        <v>8433</v>
      </c>
      <c r="E8761" s="6" t="str">
        <f>HYPERLINK("https://twitter.com/petrogustavo/status/1295113905874886656","1295113905874886656")</f>
        <v>1295113905874886656</v>
      </c>
      <c r="F8761" s="7" t="s">
        <v>17</v>
      </c>
      <c r="G8761" s="7">
        <v>3939434</v>
      </c>
      <c r="H8761" s="7">
        <v>2425</v>
      </c>
      <c r="I8761" s="7">
        <v>47</v>
      </c>
      <c r="J8761" s="7">
        <v>0</v>
      </c>
      <c r="K8761" s="7" t="s">
        <v>18</v>
      </c>
      <c r="L8761" s="8">
        <v>39987.315405092595</v>
      </c>
      <c r="M8761" s="9" t="s">
        <v>19</v>
      </c>
      <c r="N8761" s="9" t="s">
        <v>20</v>
      </c>
      <c r="O8761" s="6" t="str">
        <f>HYPERLINK("https://pbs.twimg.com/profile_images/962471262747529216/Uo8lOkRJ_normal.jpg","View")</f>
        <v>View</v>
      </c>
      <c r="P8761" s="7"/>
    </row>
    <row r="8762" spans="1:16">
      <c r="A8762" s="3">
        <v>44060.135509259257</v>
      </c>
      <c r="B8762" s="4" t="str">
        <f>HYPERLINK("https://twitter.com/petrogustavo","@petrogustavo")</f>
        <v>@petrogustavo</v>
      </c>
      <c r="C8762" s="5" t="s">
        <v>16</v>
      </c>
      <c r="D8762" s="5" t="s">
        <v>8434</v>
      </c>
      <c r="E8762" s="6" t="str">
        <f>HYPERLINK("https://twitter.com/petrogustavo/status/1295114397073973248","1295114397073973248")</f>
        <v>1295114397073973248</v>
      </c>
      <c r="F8762" s="7" t="s">
        <v>17</v>
      </c>
      <c r="G8762" s="7">
        <v>3939434</v>
      </c>
      <c r="H8762" s="7">
        <v>2425</v>
      </c>
      <c r="I8762" s="7">
        <v>85</v>
      </c>
      <c r="J8762" s="7">
        <v>0</v>
      </c>
      <c r="K8762" s="7" t="s">
        <v>18</v>
      </c>
      <c r="L8762" s="8">
        <v>39987.315405092595</v>
      </c>
      <c r="M8762" s="9" t="s">
        <v>19</v>
      </c>
      <c r="N8762" s="9" t="s">
        <v>20</v>
      </c>
      <c r="O8762" s="6" t="str">
        <f>HYPERLINK("https://pbs.twimg.com/profile_images/962471262747529216/Uo8lOkRJ_normal.jpg","View")</f>
        <v>View</v>
      </c>
      <c r="P8762" s="7"/>
    </row>
    <row r="8763" spans="1:16">
      <c r="A8763" s="3">
        <v>44060.135752314818</v>
      </c>
      <c r="B8763" s="4" t="str">
        <f>HYPERLINK("https://twitter.com/petrogustavo","@petrogustavo")</f>
        <v>@petrogustavo</v>
      </c>
      <c r="C8763" s="5" t="s">
        <v>16</v>
      </c>
      <c r="D8763" s="5" t="s">
        <v>8435</v>
      </c>
      <c r="E8763" s="6" t="str">
        <f>HYPERLINK("https://twitter.com/petrogustavo/status/1295114482629390336","1295114482629390336")</f>
        <v>1295114482629390336</v>
      </c>
      <c r="F8763" s="7" t="s">
        <v>17</v>
      </c>
      <c r="G8763" s="7">
        <v>3939434</v>
      </c>
      <c r="H8763" s="7">
        <v>2425</v>
      </c>
      <c r="I8763" s="7">
        <v>76</v>
      </c>
      <c r="J8763" s="7">
        <v>0</v>
      </c>
      <c r="K8763" s="7" t="s">
        <v>18</v>
      </c>
      <c r="L8763" s="8">
        <v>39987.315405092595</v>
      </c>
      <c r="M8763" s="9" t="s">
        <v>19</v>
      </c>
      <c r="N8763" s="9" t="s">
        <v>20</v>
      </c>
      <c r="O8763" s="6" t="str">
        <f>HYPERLINK("https://pbs.twimg.com/profile_images/962471262747529216/Uo8lOkRJ_normal.jpg","View")</f>
        <v>View</v>
      </c>
      <c r="P8763" s="7"/>
    </row>
    <row r="8764" spans="1:16">
      <c r="A8764" s="3">
        <v>44060.140486111108</v>
      </c>
      <c r="B8764" s="4" t="str">
        <f>HYPERLINK("https://twitter.com/petrogustavo","@petrogustavo")</f>
        <v>@petrogustavo</v>
      </c>
      <c r="C8764" s="5" t="s">
        <v>16</v>
      </c>
      <c r="D8764" s="5" t="s">
        <v>8423</v>
      </c>
      <c r="E8764" s="6" t="str">
        <f>HYPERLINK("https://twitter.com/petrogustavo/status/1295116200582750211","1295116200582750211")</f>
        <v>1295116200582750211</v>
      </c>
      <c r="F8764" s="7" t="s">
        <v>17</v>
      </c>
      <c r="G8764" s="7">
        <v>3939434</v>
      </c>
      <c r="H8764" s="7">
        <v>2425</v>
      </c>
      <c r="I8764" s="7">
        <v>1551</v>
      </c>
      <c r="J8764" s="7">
        <v>0</v>
      </c>
      <c r="K8764" s="7" t="s">
        <v>18</v>
      </c>
      <c r="L8764" s="8">
        <v>39987.315405092595</v>
      </c>
      <c r="M8764" s="9" t="s">
        <v>19</v>
      </c>
      <c r="N8764" s="9" t="s">
        <v>20</v>
      </c>
      <c r="O8764" s="6" t="str">
        <f>HYPERLINK("https://pbs.twimg.com/profile_images/962471262747529216/Uo8lOkRJ_normal.jpg","View")</f>
        <v>View</v>
      </c>
      <c r="P8764" s="7"/>
    </row>
    <row r="8765" spans="1:16">
      <c r="A8765" s="3">
        <v>44060.223993055552</v>
      </c>
      <c r="B8765" s="4" t="str">
        <f>HYPERLINK("https://twitter.com/petrogustavo","@petrogustavo")</f>
        <v>@petrogustavo</v>
      </c>
      <c r="C8765" s="5" t="s">
        <v>16</v>
      </c>
      <c r="D8765" s="5" t="s">
        <v>8436</v>
      </c>
      <c r="E8765" s="6" t="str">
        <f>HYPERLINK("https://twitter.com/petrogustavo/status/1295146458463768576","1295146458463768576")</f>
        <v>1295146458463768576</v>
      </c>
      <c r="F8765" s="7" t="s">
        <v>32</v>
      </c>
      <c r="G8765" s="7">
        <v>3939572</v>
      </c>
      <c r="H8765" s="7">
        <v>2424</v>
      </c>
      <c r="I8765" s="7">
        <v>36</v>
      </c>
      <c r="J8765" s="7">
        <v>0</v>
      </c>
      <c r="K8765" s="7" t="s">
        <v>18</v>
      </c>
      <c r="L8765" s="8">
        <v>39987.315405092595</v>
      </c>
      <c r="M8765" s="9" t="s">
        <v>19</v>
      </c>
      <c r="N8765" s="9" t="s">
        <v>20</v>
      </c>
      <c r="O8765" s="6" t="str">
        <f>HYPERLINK("https://pbs.twimg.com/profile_images/962471262747529216/Uo8lOkRJ_normal.jpg","View")</f>
        <v>View</v>
      </c>
      <c r="P8765" s="7"/>
    </row>
    <row r="8766" spans="1:16">
      <c r="A8766" s="3">
        <v>44060.224189814813</v>
      </c>
      <c r="B8766" s="4" t="str">
        <f>HYPERLINK("https://twitter.com/petrogustavo","@petrogustavo")</f>
        <v>@petrogustavo</v>
      </c>
      <c r="C8766" s="5" t="s">
        <v>16</v>
      </c>
      <c r="D8766" s="5" t="s">
        <v>8437</v>
      </c>
      <c r="E8766" s="6" t="str">
        <f>HYPERLINK("https://twitter.com/petrogustavo/status/1295146529947295747","1295146529947295747")</f>
        <v>1295146529947295747</v>
      </c>
      <c r="F8766" s="7" t="s">
        <v>32</v>
      </c>
      <c r="G8766" s="7">
        <v>3939572</v>
      </c>
      <c r="H8766" s="7">
        <v>2424</v>
      </c>
      <c r="I8766" s="7">
        <v>38</v>
      </c>
      <c r="J8766" s="7">
        <v>0</v>
      </c>
      <c r="K8766" s="7" t="s">
        <v>18</v>
      </c>
      <c r="L8766" s="8">
        <v>39987.315405092595</v>
      </c>
      <c r="M8766" s="9" t="s">
        <v>19</v>
      </c>
      <c r="N8766" s="9" t="s">
        <v>20</v>
      </c>
      <c r="O8766" s="6" t="str">
        <f>HYPERLINK("https://pbs.twimg.com/profile_images/962471262747529216/Uo8lOkRJ_normal.jpg","View")</f>
        <v>View</v>
      </c>
      <c r="P8766" s="7"/>
    </row>
    <row r="8767" spans="1:16">
      <c r="A8767" s="3">
        <v>44060.225810185184</v>
      </c>
      <c r="B8767" s="4" t="str">
        <f>HYPERLINK("https://twitter.com/petrogustavo","@petrogustavo")</f>
        <v>@petrogustavo</v>
      </c>
      <c r="C8767" s="5" t="s">
        <v>16</v>
      </c>
      <c r="D8767" s="5" t="s">
        <v>8438</v>
      </c>
      <c r="E8767" s="6" t="str">
        <f>HYPERLINK("https://twitter.com/petrogustavo/status/1295147119486042113","1295147119486042113")</f>
        <v>1295147119486042113</v>
      </c>
      <c r="F8767" s="7" t="s">
        <v>32</v>
      </c>
      <c r="G8767" s="7">
        <v>3939572</v>
      </c>
      <c r="H8767" s="7">
        <v>2424</v>
      </c>
      <c r="I8767" s="7">
        <v>35</v>
      </c>
      <c r="J8767" s="7">
        <v>0</v>
      </c>
      <c r="K8767" s="7" t="s">
        <v>18</v>
      </c>
      <c r="L8767" s="8">
        <v>39987.315405092595</v>
      </c>
      <c r="M8767" s="9" t="s">
        <v>19</v>
      </c>
      <c r="N8767" s="9" t="s">
        <v>20</v>
      </c>
      <c r="O8767" s="6" t="str">
        <f>HYPERLINK("https://pbs.twimg.com/profile_images/962471262747529216/Uo8lOkRJ_normal.jpg","View")</f>
        <v>View</v>
      </c>
      <c r="P8767" s="7"/>
    </row>
    <row r="8768" spans="1:16">
      <c r="A8768" s="3">
        <v>44060.231226851851</v>
      </c>
      <c r="B8768" s="4" t="str">
        <f>HYPERLINK("https://twitter.com/petrogustavo","@petrogustavo")</f>
        <v>@petrogustavo</v>
      </c>
      <c r="C8768" s="5" t="s">
        <v>16</v>
      </c>
      <c r="D8768" s="5" t="s">
        <v>8439</v>
      </c>
      <c r="E8768" s="6" t="str">
        <f>HYPERLINK("https://twitter.com/petrogustavo/status/1295149083095642114","1295149083095642114")</f>
        <v>1295149083095642114</v>
      </c>
      <c r="F8768" s="7" t="s">
        <v>32</v>
      </c>
      <c r="G8768" s="7">
        <v>3939572</v>
      </c>
      <c r="H8768" s="7">
        <v>2424</v>
      </c>
      <c r="I8768" s="7">
        <v>1</v>
      </c>
      <c r="J8768" s="7">
        <v>0</v>
      </c>
      <c r="K8768" s="7" t="s">
        <v>18</v>
      </c>
      <c r="L8768" s="8">
        <v>39987.315405092595</v>
      </c>
      <c r="M8768" s="9" t="s">
        <v>19</v>
      </c>
      <c r="N8768" s="9" t="s">
        <v>20</v>
      </c>
      <c r="O8768" s="6" t="str">
        <f>HYPERLINK("https://pbs.twimg.com/profile_images/962471262747529216/Uo8lOkRJ_normal.jpg","View")</f>
        <v>View</v>
      </c>
      <c r="P8768" s="7"/>
    </row>
    <row r="8769" spans="1:16">
      <c r="A8769" s="3">
        <v>44060.23574074074</v>
      </c>
      <c r="B8769" s="4" t="str">
        <f>HYPERLINK("https://twitter.com/petrogustavo","@petrogustavo")</f>
        <v>@petrogustavo</v>
      </c>
      <c r="C8769" s="5" t="s">
        <v>16</v>
      </c>
      <c r="D8769" s="5" t="s">
        <v>8440</v>
      </c>
      <c r="E8769" s="6" t="str">
        <f>HYPERLINK("https://twitter.com/petrogustavo/status/1295150715963420672","1295150715963420672")</f>
        <v>1295150715963420672</v>
      </c>
      <c r="F8769" s="7" t="s">
        <v>32</v>
      </c>
      <c r="G8769" s="7">
        <v>3939614</v>
      </c>
      <c r="H8769" s="7">
        <v>2424</v>
      </c>
      <c r="I8769" s="7">
        <v>80</v>
      </c>
      <c r="J8769" s="7">
        <v>0</v>
      </c>
      <c r="K8769" s="7" t="s">
        <v>18</v>
      </c>
      <c r="L8769" s="8">
        <v>39987.315405092595</v>
      </c>
      <c r="M8769" s="9" t="s">
        <v>19</v>
      </c>
      <c r="N8769" s="9" t="s">
        <v>20</v>
      </c>
      <c r="O8769" s="6" t="str">
        <f>HYPERLINK("https://pbs.twimg.com/profile_images/962471262747529216/Uo8lOkRJ_normal.jpg","View")</f>
        <v>View</v>
      </c>
      <c r="P8769" s="7"/>
    </row>
    <row r="8770" spans="1:16">
      <c r="A8770" s="3">
        <v>44060.23737268518</v>
      </c>
      <c r="B8770" s="4" t="str">
        <f>HYPERLINK("https://twitter.com/petrogustavo","@petrogustavo")</f>
        <v>@petrogustavo</v>
      </c>
      <c r="C8770" s="5" t="s">
        <v>16</v>
      </c>
      <c r="D8770" s="5" t="s">
        <v>8441</v>
      </c>
      <c r="E8770" s="6" t="str">
        <f>HYPERLINK("https://twitter.com/petrogustavo/status/1295151307066613760","1295151307066613760")</f>
        <v>1295151307066613760</v>
      </c>
      <c r="F8770" s="7" t="s">
        <v>32</v>
      </c>
      <c r="G8770" s="7">
        <v>3939614</v>
      </c>
      <c r="H8770" s="7">
        <v>2424</v>
      </c>
      <c r="I8770" s="7">
        <v>58</v>
      </c>
      <c r="J8770" s="7">
        <v>0</v>
      </c>
      <c r="K8770" s="7" t="s">
        <v>18</v>
      </c>
      <c r="L8770" s="8">
        <v>39987.315405092595</v>
      </c>
      <c r="M8770" s="9" t="s">
        <v>19</v>
      </c>
      <c r="N8770" s="9" t="s">
        <v>20</v>
      </c>
      <c r="O8770" s="6" t="str">
        <f>HYPERLINK("https://pbs.twimg.com/profile_images/962471262747529216/Uo8lOkRJ_normal.jpg","View")</f>
        <v>View</v>
      </c>
      <c r="P8770" s="7"/>
    </row>
    <row r="8771" spans="1:16">
      <c r="A8771" s="3">
        <v>44060.238993055551</v>
      </c>
      <c r="B8771" s="4" t="str">
        <f>HYPERLINK("https://twitter.com/petrogustavo","@petrogustavo")</f>
        <v>@petrogustavo</v>
      </c>
      <c r="C8771" s="5" t="s">
        <v>16</v>
      </c>
      <c r="D8771" s="5" t="s">
        <v>8442</v>
      </c>
      <c r="E8771" s="6" t="str">
        <f>HYPERLINK("https://twitter.com/petrogustavo/status/1295151898190897152","1295151898190897152")</f>
        <v>1295151898190897152</v>
      </c>
      <c r="F8771" s="7" t="s">
        <v>32</v>
      </c>
      <c r="G8771" s="7">
        <v>3939614</v>
      </c>
      <c r="H8771" s="7">
        <v>2424</v>
      </c>
      <c r="I8771" s="7">
        <v>75</v>
      </c>
      <c r="J8771" s="7">
        <v>0</v>
      </c>
      <c r="K8771" s="7" t="s">
        <v>18</v>
      </c>
      <c r="L8771" s="8">
        <v>39987.315405092595</v>
      </c>
      <c r="M8771" s="9" t="s">
        <v>19</v>
      </c>
      <c r="N8771" s="9" t="s">
        <v>20</v>
      </c>
      <c r="O8771" s="6" t="str">
        <f>HYPERLINK("https://pbs.twimg.com/profile_images/962471262747529216/Uo8lOkRJ_normal.jpg","View")</f>
        <v>View</v>
      </c>
      <c r="P8771" s="7"/>
    </row>
    <row r="8772" spans="1:16">
      <c r="A8772" s="3">
        <v>44060.239479166667</v>
      </c>
      <c r="B8772" s="4" t="str">
        <f>HYPERLINK("https://twitter.com/petrogustavo","@petrogustavo")</f>
        <v>@petrogustavo</v>
      </c>
      <c r="C8772" s="5" t="s">
        <v>16</v>
      </c>
      <c r="D8772" s="5" t="s">
        <v>8443</v>
      </c>
      <c r="E8772" s="6" t="str">
        <f>HYPERLINK("https://twitter.com/petrogustavo/status/1295152073500168193","1295152073500168193")</f>
        <v>1295152073500168193</v>
      </c>
      <c r="F8772" s="7" t="s">
        <v>32</v>
      </c>
      <c r="G8772" s="7">
        <v>3939614</v>
      </c>
      <c r="H8772" s="7">
        <v>2424</v>
      </c>
      <c r="I8772" s="7">
        <v>108</v>
      </c>
      <c r="J8772" s="7">
        <v>0</v>
      </c>
      <c r="K8772" s="7" t="s">
        <v>18</v>
      </c>
      <c r="L8772" s="8">
        <v>39987.315405092595</v>
      </c>
      <c r="M8772" s="9" t="s">
        <v>19</v>
      </c>
      <c r="N8772" s="9" t="s">
        <v>20</v>
      </c>
      <c r="O8772" s="6" t="str">
        <f>HYPERLINK("https://pbs.twimg.com/profile_images/962471262747529216/Uo8lOkRJ_normal.jpg","View")</f>
        <v>View</v>
      </c>
      <c r="P8772" s="7"/>
    </row>
    <row r="8773" spans="1:16">
      <c r="A8773" s="3">
        <v>44060.241562499999</v>
      </c>
      <c r="B8773" s="4" t="str">
        <f>HYPERLINK("https://twitter.com/petrogustavo","@petrogustavo")</f>
        <v>@petrogustavo</v>
      </c>
      <c r="C8773" s="5" t="s">
        <v>16</v>
      </c>
      <c r="D8773" s="5" t="s">
        <v>8444</v>
      </c>
      <c r="E8773" s="6" t="str">
        <f>HYPERLINK("https://twitter.com/petrogustavo/status/1295152825408860161","1295152825408860161")</f>
        <v>1295152825408860161</v>
      </c>
      <c r="F8773" s="7" t="s">
        <v>32</v>
      </c>
      <c r="G8773" s="7">
        <v>3939614</v>
      </c>
      <c r="H8773" s="7">
        <v>2424</v>
      </c>
      <c r="I8773" s="7">
        <v>157</v>
      </c>
      <c r="J8773" s="7">
        <v>0</v>
      </c>
      <c r="K8773" s="7" t="s">
        <v>18</v>
      </c>
      <c r="L8773" s="8">
        <v>39987.315405092595</v>
      </c>
      <c r="M8773" s="9" t="s">
        <v>19</v>
      </c>
      <c r="N8773" s="9" t="s">
        <v>20</v>
      </c>
      <c r="O8773" s="6" t="str">
        <f>HYPERLINK("https://pbs.twimg.com/profile_images/962471262747529216/Uo8lOkRJ_normal.jpg","View")</f>
        <v>View</v>
      </c>
      <c r="P8773" s="7"/>
    </row>
    <row r="8774" spans="1:16">
      <c r="A8774" s="3">
        <v>44060.246145833335</v>
      </c>
      <c r="B8774" s="4" t="str">
        <f>HYPERLINK("https://twitter.com/petrogustavo","@petrogustavo")</f>
        <v>@petrogustavo</v>
      </c>
      <c r="C8774" s="5" t="s">
        <v>16</v>
      </c>
      <c r="D8774" s="5" t="s">
        <v>8445</v>
      </c>
      <c r="E8774" s="6" t="str">
        <f>HYPERLINK("https://twitter.com/petrogustavo/status/1295154486651113474","1295154486651113474")</f>
        <v>1295154486651113474</v>
      </c>
      <c r="F8774" s="7" t="s">
        <v>32</v>
      </c>
      <c r="G8774" s="7">
        <v>3939614</v>
      </c>
      <c r="H8774" s="7">
        <v>2424</v>
      </c>
      <c r="I8774" s="7">
        <v>103</v>
      </c>
      <c r="J8774" s="7">
        <v>0</v>
      </c>
      <c r="K8774" s="7" t="s">
        <v>18</v>
      </c>
      <c r="L8774" s="8">
        <v>39987.315405092595</v>
      </c>
      <c r="M8774" s="9" t="s">
        <v>19</v>
      </c>
      <c r="N8774" s="9" t="s">
        <v>20</v>
      </c>
      <c r="O8774" s="6" t="str">
        <f>HYPERLINK("https://pbs.twimg.com/profile_images/962471262747529216/Uo8lOkRJ_normal.jpg","View")</f>
        <v>View</v>
      </c>
      <c r="P8774" s="7"/>
    </row>
    <row r="8775" spans="1:16">
      <c r="A8775" s="3">
        <v>44060.247673611113</v>
      </c>
      <c r="B8775" s="4" t="str">
        <f>HYPERLINK("https://twitter.com/petrogustavo","@petrogustavo")</f>
        <v>@petrogustavo</v>
      </c>
      <c r="C8775" s="5" t="s">
        <v>16</v>
      </c>
      <c r="D8775" s="5" t="s">
        <v>8446</v>
      </c>
      <c r="E8775" s="6" t="str">
        <f>HYPERLINK("https://twitter.com/petrogustavo/status/1295155041377169408","1295155041377169408")</f>
        <v>1295155041377169408</v>
      </c>
      <c r="F8775" s="7" t="s">
        <v>32</v>
      </c>
      <c r="G8775" s="7">
        <v>3939614</v>
      </c>
      <c r="H8775" s="7">
        <v>2424</v>
      </c>
      <c r="I8775" s="7">
        <v>33</v>
      </c>
      <c r="J8775" s="7">
        <v>0</v>
      </c>
      <c r="K8775" s="7" t="s">
        <v>18</v>
      </c>
      <c r="L8775" s="8">
        <v>39987.315405092595</v>
      </c>
      <c r="M8775" s="9" t="s">
        <v>19</v>
      </c>
      <c r="N8775" s="9" t="s">
        <v>20</v>
      </c>
      <c r="O8775" s="6" t="str">
        <f>HYPERLINK("https://pbs.twimg.com/profile_images/962471262747529216/Uo8lOkRJ_normal.jpg","View")</f>
        <v>View</v>
      </c>
      <c r="P8775" s="7"/>
    </row>
    <row r="8776" spans="1:16">
      <c r="A8776" s="3">
        <v>44060.248078703706</v>
      </c>
      <c r="B8776" s="4" t="str">
        <f>HYPERLINK("https://twitter.com/petrogustavo","@petrogustavo")</f>
        <v>@petrogustavo</v>
      </c>
      <c r="C8776" s="5" t="s">
        <v>16</v>
      </c>
      <c r="D8776" s="5" t="s">
        <v>8447</v>
      </c>
      <c r="E8776" s="6" t="str">
        <f>HYPERLINK("https://twitter.com/petrogustavo/status/1295155186902675462","1295155186902675462")</f>
        <v>1295155186902675462</v>
      </c>
      <c r="F8776" s="7" t="s">
        <v>32</v>
      </c>
      <c r="G8776" s="7">
        <v>3939614</v>
      </c>
      <c r="H8776" s="7">
        <v>2424</v>
      </c>
      <c r="I8776" s="7">
        <v>53</v>
      </c>
      <c r="J8776" s="7">
        <v>0</v>
      </c>
      <c r="K8776" s="7" t="s">
        <v>18</v>
      </c>
      <c r="L8776" s="8">
        <v>39987.315405092595</v>
      </c>
      <c r="M8776" s="9" t="s">
        <v>19</v>
      </c>
      <c r="N8776" s="9" t="s">
        <v>20</v>
      </c>
      <c r="O8776" s="6" t="str">
        <f>HYPERLINK("https://pbs.twimg.com/profile_images/962471262747529216/Uo8lOkRJ_normal.jpg","View")</f>
        <v>View</v>
      </c>
      <c r="P8776" s="7"/>
    </row>
    <row r="8777" spans="1:16">
      <c r="A8777" s="3">
        <v>44060.248611111107</v>
      </c>
      <c r="B8777" s="4" t="str">
        <f>HYPERLINK("https://twitter.com/petrogustavo","@petrogustavo")</f>
        <v>@petrogustavo</v>
      </c>
      <c r="C8777" s="5" t="s">
        <v>16</v>
      </c>
      <c r="D8777" s="5" t="s">
        <v>8448</v>
      </c>
      <c r="E8777" s="6" t="str">
        <f>HYPERLINK("https://twitter.com/petrogustavo/status/1295155383766482944","1295155383766482944")</f>
        <v>1295155383766482944</v>
      </c>
      <c r="F8777" s="7" t="s">
        <v>32</v>
      </c>
      <c r="G8777" s="7">
        <v>3939614</v>
      </c>
      <c r="H8777" s="7">
        <v>2424</v>
      </c>
      <c r="I8777" s="7">
        <v>25</v>
      </c>
      <c r="J8777" s="7">
        <v>0</v>
      </c>
      <c r="K8777" s="7" t="s">
        <v>18</v>
      </c>
      <c r="L8777" s="8">
        <v>39987.315405092595</v>
      </c>
      <c r="M8777" s="9" t="s">
        <v>19</v>
      </c>
      <c r="N8777" s="9" t="s">
        <v>20</v>
      </c>
      <c r="O8777" s="6" t="str">
        <f>HYPERLINK("https://pbs.twimg.com/profile_images/962471262747529216/Uo8lOkRJ_normal.jpg","View")</f>
        <v>View</v>
      </c>
      <c r="P8777" s="7"/>
    </row>
    <row r="8778" spans="1:16">
      <c r="A8778" s="3">
        <v>44060.248773148152</v>
      </c>
      <c r="B8778" s="4" t="str">
        <f>HYPERLINK("https://twitter.com/petrogustavo","@petrogustavo")</f>
        <v>@petrogustavo</v>
      </c>
      <c r="C8778" s="5" t="s">
        <v>16</v>
      </c>
      <c r="D8778" s="5" t="s">
        <v>8449</v>
      </c>
      <c r="E8778" s="6" t="str">
        <f>HYPERLINK("https://twitter.com/petrogustavo/status/1295155439374675973","1295155439374675973")</f>
        <v>1295155439374675973</v>
      </c>
      <c r="F8778" s="7" t="s">
        <v>32</v>
      </c>
      <c r="G8778" s="7">
        <v>3939614</v>
      </c>
      <c r="H8778" s="7">
        <v>2424</v>
      </c>
      <c r="I8778" s="7">
        <v>35</v>
      </c>
      <c r="J8778" s="7">
        <v>0</v>
      </c>
      <c r="K8778" s="7" t="s">
        <v>18</v>
      </c>
      <c r="L8778" s="8">
        <v>39987.315405092595</v>
      </c>
      <c r="M8778" s="9" t="s">
        <v>19</v>
      </c>
      <c r="N8778" s="9" t="s">
        <v>20</v>
      </c>
      <c r="O8778" s="6" t="str">
        <f>HYPERLINK("https://pbs.twimg.com/profile_images/962471262747529216/Uo8lOkRJ_normal.jpg","View")</f>
        <v>View</v>
      </c>
      <c r="P8778" s="7"/>
    </row>
    <row r="8779" spans="1:16">
      <c r="A8779" s="3">
        <v>44060.250428240739</v>
      </c>
      <c r="B8779" s="4" t="str">
        <f>HYPERLINK("https://twitter.com/petrogustavo","@petrogustavo")</f>
        <v>@petrogustavo</v>
      </c>
      <c r="C8779" s="5" t="s">
        <v>16</v>
      </c>
      <c r="D8779" s="5" t="s">
        <v>8450</v>
      </c>
      <c r="E8779" s="6" t="str">
        <f>HYPERLINK("https://twitter.com/petrogustavo/status/1295156039185309696","1295156039185309696")</f>
        <v>1295156039185309696</v>
      </c>
      <c r="F8779" s="7" t="s">
        <v>32</v>
      </c>
      <c r="G8779" s="7">
        <v>3939614</v>
      </c>
      <c r="H8779" s="7">
        <v>2424</v>
      </c>
      <c r="I8779" s="7">
        <v>25</v>
      </c>
      <c r="J8779" s="7">
        <v>0</v>
      </c>
      <c r="K8779" s="7" t="s">
        <v>18</v>
      </c>
      <c r="L8779" s="8">
        <v>39987.315405092595</v>
      </c>
      <c r="M8779" s="9" t="s">
        <v>19</v>
      </c>
      <c r="N8779" s="9" t="s">
        <v>20</v>
      </c>
      <c r="O8779" s="6" t="str">
        <f>HYPERLINK("https://pbs.twimg.com/profile_images/962471262747529216/Uo8lOkRJ_normal.jpg","View")</f>
        <v>View</v>
      </c>
      <c r="P8779" s="7"/>
    </row>
    <row r="8780" spans="1:16">
      <c r="A8780" s="3">
        <v>44060.251180555555</v>
      </c>
      <c r="B8780" s="4" t="str">
        <f>HYPERLINK("https://twitter.com/petrogustavo","@petrogustavo")</f>
        <v>@petrogustavo</v>
      </c>
      <c r="C8780" s="5" t="s">
        <v>16</v>
      </c>
      <c r="D8780" s="5" t="s">
        <v>8451</v>
      </c>
      <c r="E8780" s="6" t="str">
        <f>HYPERLINK("https://twitter.com/petrogustavo/status/1295156314373599232","1295156314373599232")</f>
        <v>1295156314373599232</v>
      </c>
      <c r="F8780" s="7" t="s">
        <v>32</v>
      </c>
      <c r="G8780" s="7">
        <v>3939614</v>
      </c>
      <c r="H8780" s="7">
        <v>2424</v>
      </c>
      <c r="I8780" s="7">
        <v>10</v>
      </c>
      <c r="J8780" s="7">
        <v>0</v>
      </c>
      <c r="K8780" s="7" t="s">
        <v>18</v>
      </c>
      <c r="L8780" s="8">
        <v>39987.315405092595</v>
      </c>
      <c r="M8780" s="9" t="s">
        <v>19</v>
      </c>
      <c r="N8780" s="9" t="s">
        <v>20</v>
      </c>
      <c r="O8780" s="6" t="str">
        <f>HYPERLINK("https://pbs.twimg.com/profile_images/962471262747529216/Uo8lOkRJ_normal.jpg","View")</f>
        <v>View</v>
      </c>
      <c r="P8780" s="7"/>
    </row>
    <row r="8781" spans="1:16">
      <c r="A8781" s="3">
        <v>44060.251261574071</v>
      </c>
      <c r="B8781" s="4" t="str">
        <f>HYPERLINK("https://twitter.com/petrogustavo","@petrogustavo")</f>
        <v>@petrogustavo</v>
      </c>
      <c r="C8781" s="5" t="s">
        <v>16</v>
      </c>
      <c r="D8781" s="5" t="s">
        <v>8452</v>
      </c>
      <c r="E8781" s="6" t="str">
        <f>HYPERLINK("https://twitter.com/petrogustavo/status/1295156342529957889","1295156342529957889")</f>
        <v>1295156342529957889</v>
      </c>
      <c r="F8781" s="7" t="s">
        <v>32</v>
      </c>
      <c r="G8781" s="7">
        <v>3939614</v>
      </c>
      <c r="H8781" s="7">
        <v>2424</v>
      </c>
      <c r="I8781" s="7">
        <v>14</v>
      </c>
      <c r="J8781" s="7">
        <v>0</v>
      </c>
      <c r="K8781" s="7" t="s">
        <v>18</v>
      </c>
      <c r="L8781" s="8">
        <v>39987.315405092595</v>
      </c>
      <c r="M8781" s="9" t="s">
        <v>19</v>
      </c>
      <c r="N8781" s="9" t="s">
        <v>20</v>
      </c>
      <c r="O8781" s="6" t="str">
        <f>HYPERLINK("https://pbs.twimg.com/profile_images/962471262747529216/Uo8lOkRJ_normal.jpg","View")</f>
        <v>View</v>
      </c>
      <c r="P8781" s="7"/>
    </row>
    <row r="8782" spans="1:16">
      <c r="A8782" s="3">
        <v>44060.251388888893</v>
      </c>
      <c r="B8782" s="4" t="str">
        <f>HYPERLINK("https://twitter.com/petrogustavo","@petrogustavo")</f>
        <v>@petrogustavo</v>
      </c>
      <c r="C8782" s="5" t="s">
        <v>16</v>
      </c>
      <c r="D8782" s="5" t="s">
        <v>8453</v>
      </c>
      <c r="E8782" s="6" t="str">
        <f>HYPERLINK("https://twitter.com/petrogustavo/status/1295156387488632832","1295156387488632832")</f>
        <v>1295156387488632832</v>
      </c>
      <c r="F8782" s="7" t="s">
        <v>32</v>
      </c>
      <c r="G8782" s="7">
        <v>3939614</v>
      </c>
      <c r="H8782" s="7">
        <v>2424</v>
      </c>
      <c r="I8782" s="7">
        <v>18</v>
      </c>
      <c r="J8782" s="7">
        <v>0</v>
      </c>
      <c r="K8782" s="7" t="s">
        <v>18</v>
      </c>
      <c r="L8782" s="8">
        <v>39987.315405092595</v>
      </c>
      <c r="M8782" s="9" t="s">
        <v>19</v>
      </c>
      <c r="N8782" s="9" t="s">
        <v>20</v>
      </c>
      <c r="O8782" s="6" t="str">
        <f>HYPERLINK("https://pbs.twimg.com/profile_images/962471262747529216/Uo8lOkRJ_normal.jpg","View")</f>
        <v>View</v>
      </c>
      <c r="P8782" s="7"/>
    </row>
    <row r="8783" spans="1:16">
      <c r="A8783" s="3">
        <v>44060.26054398148</v>
      </c>
      <c r="B8783" s="4" t="str">
        <f>HYPERLINK("https://twitter.com/petrogustavo","@petrogustavo")</f>
        <v>@petrogustavo</v>
      </c>
      <c r="C8783" s="5" t="s">
        <v>16</v>
      </c>
      <c r="D8783" s="5" t="s">
        <v>8454</v>
      </c>
      <c r="E8783" s="6" t="str">
        <f>HYPERLINK("https://twitter.com/petrogustavo/status/1295159704142909445","1295159704142909445")</f>
        <v>1295159704142909445</v>
      </c>
      <c r="F8783" s="7" t="s">
        <v>32</v>
      </c>
      <c r="G8783" s="7">
        <v>3939644</v>
      </c>
      <c r="H8783" s="7">
        <v>2424</v>
      </c>
      <c r="I8783" s="7">
        <v>71</v>
      </c>
      <c r="J8783" s="7">
        <v>0</v>
      </c>
      <c r="K8783" s="7" t="s">
        <v>18</v>
      </c>
      <c r="L8783" s="8">
        <v>39987.315405092595</v>
      </c>
      <c r="M8783" s="9" t="s">
        <v>19</v>
      </c>
      <c r="N8783" s="9" t="s">
        <v>20</v>
      </c>
      <c r="O8783" s="6" t="str">
        <f>HYPERLINK("https://pbs.twimg.com/profile_images/962471262747529216/Uo8lOkRJ_normal.jpg","View")</f>
        <v>View</v>
      </c>
      <c r="P8783" s="7"/>
    </row>
    <row r="8784" spans="1:16">
      <c r="A8784" s="3">
        <v>44060.260601851856</v>
      </c>
      <c r="B8784" s="4" t="str">
        <f>HYPERLINK("https://twitter.com/petrogustavo","@petrogustavo")</f>
        <v>@petrogustavo</v>
      </c>
      <c r="C8784" s="5" t="s">
        <v>16</v>
      </c>
      <c r="D8784" s="5" t="s">
        <v>8455</v>
      </c>
      <c r="E8784" s="6" t="str">
        <f>HYPERLINK("https://twitter.com/petrogustavo/status/1295159725584257033","1295159725584257033")</f>
        <v>1295159725584257033</v>
      </c>
      <c r="F8784" s="7" t="s">
        <v>32</v>
      </c>
      <c r="G8784" s="7">
        <v>3939644</v>
      </c>
      <c r="H8784" s="7">
        <v>2424</v>
      </c>
      <c r="I8784" s="7">
        <v>47</v>
      </c>
      <c r="J8784" s="7">
        <v>0</v>
      </c>
      <c r="K8784" s="7" t="s">
        <v>18</v>
      </c>
      <c r="L8784" s="8">
        <v>39987.315405092595</v>
      </c>
      <c r="M8784" s="9" t="s">
        <v>19</v>
      </c>
      <c r="N8784" s="9" t="s">
        <v>20</v>
      </c>
      <c r="O8784" s="6" t="str">
        <f>HYPERLINK("https://pbs.twimg.com/profile_images/962471262747529216/Uo8lOkRJ_normal.jpg","View")</f>
        <v>View</v>
      </c>
      <c r="P8784" s="7"/>
    </row>
    <row r="8785" spans="1:16">
      <c r="A8785" s="3">
        <v>44060.260706018518</v>
      </c>
      <c r="B8785" s="4" t="str">
        <f>HYPERLINK("https://twitter.com/petrogustavo","@petrogustavo")</f>
        <v>@petrogustavo</v>
      </c>
      <c r="C8785" s="5" t="s">
        <v>16</v>
      </c>
      <c r="D8785" s="5" t="s">
        <v>8456</v>
      </c>
      <c r="E8785" s="6" t="str">
        <f>HYPERLINK("https://twitter.com/petrogustavo/status/1295159766881374209","1295159766881374209")</f>
        <v>1295159766881374209</v>
      </c>
      <c r="F8785" s="7" t="s">
        <v>32</v>
      </c>
      <c r="G8785" s="7">
        <v>3939644</v>
      </c>
      <c r="H8785" s="7">
        <v>2424</v>
      </c>
      <c r="I8785" s="7">
        <v>47</v>
      </c>
      <c r="J8785" s="7">
        <v>0</v>
      </c>
      <c r="K8785" s="7" t="s">
        <v>18</v>
      </c>
      <c r="L8785" s="8">
        <v>39987.315405092595</v>
      </c>
      <c r="M8785" s="9" t="s">
        <v>19</v>
      </c>
      <c r="N8785" s="9" t="s">
        <v>20</v>
      </c>
      <c r="O8785" s="6" t="str">
        <f>HYPERLINK("https://pbs.twimg.com/profile_images/962471262747529216/Uo8lOkRJ_normal.jpg","View")</f>
        <v>View</v>
      </c>
      <c r="P8785" s="7"/>
    </row>
    <row r="8786" spans="1:16">
      <c r="A8786" s="3">
        <v>44060.260891203703</v>
      </c>
      <c r="B8786" s="4" t="str">
        <f>HYPERLINK("https://twitter.com/petrogustavo","@petrogustavo")</f>
        <v>@petrogustavo</v>
      </c>
      <c r="C8786" s="5" t="s">
        <v>16</v>
      </c>
      <c r="D8786" s="5" t="s">
        <v>8457</v>
      </c>
      <c r="E8786" s="6" t="str">
        <f>HYPERLINK("https://twitter.com/petrogustavo/status/1295159830844526592","1295159830844526592")</f>
        <v>1295159830844526592</v>
      </c>
      <c r="F8786" s="7" t="s">
        <v>32</v>
      </c>
      <c r="G8786" s="7">
        <v>3939644</v>
      </c>
      <c r="H8786" s="7">
        <v>2424</v>
      </c>
      <c r="I8786" s="7">
        <v>52</v>
      </c>
      <c r="J8786" s="7">
        <v>0</v>
      </c>
      <c r="K8786" s="7" t="s">
        <v>18</v>
      </c>
      <c r="L8786" s="8">
        <v>39987.315405092595</v>
      </c>
      <c r="M8786" s="9" t="s">
        <v>19</v>
      </c>
      <c r="N8786" s="9" t="s">
        <v>20</v>
      </c>
      <c r="O8786" s="6" t="str">
        <f>HYPERLINK("https://pbs.twimg.com/profile_images/962471262747529216/Uo8lOkRJ_normal.jpg","View")</f>
        <v>View</v>
      </c>
      <c r="P8786" s="7"/>
    </row>
    <row r="8787" spans="1:16">
      <c r="A8787" s="3">
        <v>44060.269756944443</v>
      </c>
      <c r="B8787" s="4" t="str">
        <f>HYPERLINK("https://twitter.com/petrogustavo","@petrogustavo")</f>
        <v>@petrogustavo</v>
      </c>
      <c r="C8787" s="5" t="s">
        <v>16</v>
      </c>
      <c r="D8787" s="5" t="s">
        <v>8458</v>
      </c>
      <c r="E8787" s="6" t="str">
        <f>HYPERLINK("https://twitter.com/petrogustavo/status/1295163045724000256","1295163045724000256")</f>
        <v>1295163045724000256</v>
      </c>
      <c r="F8787" s="7" t="s">
        <v>32</v>
      </c>
      <c r="G8787" s="7">
        <v>3939644</v>
      </c>
      <c r="H8787" s="7">
        <v>2424</v>
      </c>
      <c r="I8787" s="7">
        <v>53</v>
      </c>
      <c r="J8787" s="7">
        <v>0</v>
      </c>
      <c r="K8787" s="7" t="s">
        <v>18</v>
      </c>
      <c r="L8787" s="8">
        <v>39987.315405092595</v>
      </c>
      <c r="M8787" s="9" t="s">
        <v>19</v>
      </c>
      <c r="N8787" s="9" t="s">
        <v>20</v>
      </c>
      <c r="O8787" s="6" t="str">
        <f>HYPERLINK("https://pbs.twimg.com/profile_images/962471262747529216/Uo8lOkRJ_normal.jpg","View")</f>
        <v>View</v>
      </c>
      <c r="P8787" s="7"/>
    </row>
    <row r="8788" spans="1:16">
      <c r="A8788" s="3">
        <v>44060.286608796298</v>
      </c>
      <c r="B8788" s="4" t="str">
        <f>HYPERLINK("https://twitter.com/petrogustavo","@petrogustavo")</f>
        <v>@petrogustavo</v>
      </c>
      <c r="C8788" s="5" t="s">
        <v>16</v>
      </c>
      <c r="D8788" s="5" t="s">
        <v>8459</v>
      </c>
      <c r="E8788" s="6" t="str">
        <f>HYPERLINK("https://twitter.com/petrogustavo/status/1295169152789942272","1295169152789942272")</f>
        <v>1295169152789942272</v>
      </c>
      <c r="F8788" s="7" t="s">
        <v>32</v>
      </c>
      <c r="G8788" s="7">
        <v>3939671</v>
      </c>
      <c r="H8788" s="7">
        <v>2424</v>
      </c>
      <c r="I8788" s="7">
        <v>39</v>
      </c>
      <c r="J8788" s="7">
        <v>0</v>
      </c>
      <c r="K8788" s="7" t="s">
        <v>18</v>
      </c>
      <c r="L8788" s="8">
        <v>39987.315405092595</v>
      </c>
      <c r="M8788" s="9" t="s">
        <v>19</v>
      </c>
      <c r="N8788" s="9" t="s">
        <v>20</v>
      </c>
      <c r="O8788" s="6" t="str">
        <f>HYPERLINK("https://pbs.twimg.com/profile_images/962471262747529216/Uo8lOkRJ_normal.jpg","View")</f>
        <v>View</v>
      </c>
      <c r="P8788" s="7"/>
    </row>
    <row r="8789" spans="1:16">
      <c r="A8789" s="3">
        <v>44060.287152777775</v>
      </c>
      <c r="B8789" s="4" t="str">
        <f>HYPERLINK("https://twitter.com/petrogustavo","@petrogustavo")</f>
        <v>@petrogustavo</v>
      </c>
      <c r="C8789" s="5" t="s">
        <v>16</v>
      </c>
      <c r="D8789" s="5" t="s">
        <v>8460</v>
      </c>
      <c r="E8789" s="6" t="str">
        <f>HYPERLINK("https://twitter.com/petrogustavo/status/1295169350513627142","1295169350513627142")</f>
        <v>1295169350513627142</v>
      </c>
      <c r="F8789" s="7" t="s">
        <v>32</v>
      </c>
      <c r="G8789" s="7">
        <v>3939671</v>
      </c>
      <c r="H8789" s="7">
        <v>2424</v>
      </c>
      <c r="I8789" s="7">
        <v>36</v>
      </c>
      <c r="J8789" s="7">
        <v>0</v>
      </c>
      <c r="K8789" s="7" t="s">
        <v>18</v>
      </c>
      <c r="L8789" s="8">
        <v>39987.315405092595</v>
      </c>
      <c r="M8789" s="9" t="s">
        <v>19</v>
      </c>
      <c r="N8789" s="9" t="s">
        <v>20</v>
      </c>
      <c r="O8789" s="6" t="str">
        <f>HYPERLINK("https://pbs.twimg.com/profile_images/962471262747529216/Uo8lOkRJ_normal.jpg","View")</f>
        <v>View</v>
      </c>
      <c r="P8789" s="7"/>
    </row>
    <row r="8790" spans="1:16">
      <c r="A8790" s="3">
        <v>44060.312106481477</v>
      </c>
      <c r="B8790" s="4" t="str">
        <f>HYPERLINK("https://twitter.com/petrogustavo","@petrogustavo")</f>
        <v>@petrogustavo</v>
      </c>
      <c r="C8790" s="5" t="s">
        <v>16</v>
      </c>
      <c r="D8790" s="5" t="s">
        <v>8461</v>
      </c>
      <c r="E8790" s="6" t="str">
        <f>HYPERLINK("https://twitter.com/petrogustavo/status/1295178389972832257","1295178389972832257")</f>
        <v>1295178389972832257</v>
      </c>
      <c r="F8790" s="7" t="s">
        <v>32</v>
      </c>
      <c r="G8790" s="7">
        <v>3939717</v>
      </c>
      <c r="H8790" s="7">
        <v>2424</v>
      </c>
      <c r="I8790" s="7">
        <v>39</v>
      </c>
      <c r="J8790" s="7">
        <v>0</v>
      </c>
      <c r="K8790" s="7" t="s">
        <v>18</v>
      </c>
      <c r="L8790" s="8">
        <v>39987.315405092595</v>
      </c>
      <c r="M8790" s="9" t="s">
        <v>19</v>
      </c>
      <c r="N8790" s="9" t="s">
        <v>20</v>
      </c>
      <c r="O8790" s="6" t="str">
        <f>HYPERLINK("https://pbs.twimg.com/profile_images/962471262747529216/Uo8lOkRJ_normal.jpg","View")</f>
        <v>View</v>
      </c>
      <c r="P8790" s="7"/>
    </row>
    <row r="8791" spans="1:16">
      <c r="A8791" s="3">
        <v>44060.322916666672</v>
      </c>
      <c r="B8791" s="4" t="str">
        <f>HYPERLINK("https://twitter.com/petrogustavo","@petrogustavo")</f>
        <v>@petrogustavo</v>
      </c>
      <c r="C8791" s="5" t="s">
        <v>16</v>
      </c>
      <c r="D8791" s="5" t="s">
        <v>8462</v>
      </c>
      <c r="E8791" s="6" t="str">
        <f>HYPERLINK("https://twitter.com/petrogustavo/status/1295182310233509895","1295182310233509895")</f>
        <v>1295182310233509895</v>
      </c>
      <c r="F8791" s="7" t="s">
        <v>32</v>
      </c>
      <c r="G8791" s="7">
        <v>3939729</v>
      </c>
      <c r="H8791" s="7">
        <v>2424</v>
      </c>
      <c r="I8791" s="7">
        <v>36</v>
      </c>
      <c r="J8791" s="7">
        <v>0</v>
      </c>
      <c r="K8791" s="7" t="s">
        <v>18</v>
      </c>
      <c r="L8791" s="8">
        <v>39987.315405092595</v>
      </c>
      <c r="M8791" s="9" t="s">
        <v>19</v>
      </c>
      <c r="N8791" s="9" t="s">
        <v>20</v>
      </c>
      <c r="O8791" s="6" t="str">
        <f>HYPERLINK("https://pbs.twimg.com/profile_images/962471262747529216/Uo8lOkRJ_normal.jpg","View")</f>
        <v>View</v>
      </c>
      <c r="P8791" s="7"/>
    </row>
    <row r="8792" spans="1:16">
      <c r="A8792" s="3">
        <v>44060.323101851856</v>
      </c>
      <c r="B8792" s="4" t="str">
        <f>HYPERLINK("https://twitter.com/petrogustavo","@petrogustavo")</f>
        <v>@petrogustavo</v>
      </c>
      <c r="C8792" s="5" t="s">
        <v>16</v>
      </c>
      <c r="D8792" s="5" t="s">
        <v>8463</v>
      </c>
      <c r="E8792" s="6" t="str">
        <f>HYPERLINK("https://twitter.com/petrogustavo/status/1295182375052349441","1295182375052349441")</f>
        <v>1295182375052349441</v>
      </c>
      <c r="F8792" s="7" t="s">
        <v>32</v>
      </c>
      <c r="G8792" s="7">
        <v>3939729</v>
      </c>
      <c r="H8792" s="7">
        <v>2424</v>
      </c>
      <c r="I8792" s="7">
        <v>259</v>
      </c>
      <c r="J8792" s="7">
        <v>0</v>
      </c>
      <c r="K8792" s="7" t="s">
        <v>18</v>
      </c>
      <c r="L8792" s="8">
        <v>39987.315405092595</v>
      </c>
      <c r="M8792" s="9" t="s">
        <v>19</v>
      </c>
      <c r="N8792" s="9" t="s">
        <v>20</v>
      </c>
      <c r="O8792" s="6" t="str">
        <f>HYPERLINK("https://pbs.twimg.com/profile_images/962471262747529216/Uo8lOkRJ_normal.jpg","View")</f>
        <v>View</v>
      </c>
      <c r="P8792" s="7"/>
    </row>
    <row r="8793" spans="1:16">
      <c r="A8793" s="3">
        <v>44060.328009259261</v>
      </c>
      <c r="B8793" s="4" t="str">
        <f>HYPERLINK("https://twitter.com/petrogustavo","@petrogustavo")</f>
        <v>@petrogustavo</v>
      </c>
      <c r="C8793" s="5" t="s">
        <v>16</v>
      </c>
      <c r="D8793" s="5" t="s">
        <v>8464</v>
      </c>
      <c r="E8793" s="6" t="str">
        <f>HYPERLINK("https://twitter.com/petrogustavo/status/1295184156058624000","1295184156058624000")</f>
        <v>1295184156058624000</v>
      </c>
      <c r="F8793" s="7" t="s">
        <v>32</v>
      </c>
      <c r="G8793" s="7">
        <v>3939729</v>
      </c>
      <c r="H8793" s="7">
        <v>2424</v>
      </c>
      <c r="I8793" s="7">
        <v>175</v>
      </c>
      <c r="J8793" s="7">
        <v>534</v>
      </c>
      <c r="K8793" s="7" t="s">
        <v>18</v>
      </c>
      <c r="L8793" s="8">
        <v>39987.315405092595</v>
      </c>
      <c r="M8793" s="9" t="s">
        <v>19</v>
      </c>
      <c r="N8793" s="9" t="s">
        <v>20</v>
      </c>
      <c r="O8793" s="6" t="str">
        <f>HYPERLINK("https://pbs.twimg.com/profile_images/962471262747529216/Uo8lOkRJ_normal.jpg","View")</f>
        <v>View</v>
      </c>
      <c r="P8793" s="7"/>
    </row>
    <row r="8794" spans="1:16">
      <c r="A8794" s="3">
        <v>44060.345949074079</v>
      </c>
      <c r="B8794" s="4" t="str">
        <f>HYPERLINK("https://twitter.com/petrogustavo","@petrogustavo")</f>
        <v>@petrogustavo</v>
      </c>
      <c r="C8794" s="5" t="s">
        <v>16</v>
      </c>
      <c r="D8794" s="5" t="s">
        <v>8465</v>
      </c>
      <c r="E8794" s="6" t="str">
        <f>HYPERLINK("https://twitter.com/petrogustavo/status/1295190656332320771","1295190656332320771")</f>
        <v>1295190656332320771</v>
      </c>
      <c r="F8794" s="7" t="s">
        <v>32</v>
      </c>
      <c r="G8794" s="7">
        <v>3939777</v>
      </c>
      <c r="H8794" s="7">
        <v>2424</v>
      </c>
      <c r="I8794" s="7">
        <v>301</v>
      </c>
      <c r="J8794" s="7">
        <v>0</v>
      </c>
      <c r="K8794" s="7" t="s">
        <v>18</v>
      </c>
      <c r="L8794" s="8">
        <v>39987.315405092595</v>
      </c>
      <c r="M8794" s="9" t="s">
        <v>19</v>
      </c>
      <c r="N8794" s="9" t="s">
        <v>20</v>
      </c>
      <c r="O8794" s="6" t="str">
        <f>HYPERLINK("https://pbs.twimg.com/profile_images/962471262747529216/Uo8lOkRJ_normal.jpg","View")</f>
        <v>View</v>
      </c>
      <c r="P8794" s="7"/>
    </row>
    <row r="8795" spans="1:16">
      <c r="A8795" s="3">
        <v>44060.34648148148</v>
      </c>
      <c r="B8795" s="4" t="str">
        <f>HYPERLINK("https://twitter.com/petrogustavo","@petrogustavo")</f>
        <v>@petrogustavo</v>
      </c>
      <c r="C8795" s="5" t="s">
        <v>16</v>
      </c>
      <c r="D8795" s="5" t="s">
        <v>8466</v>
      </c>
      <c r="E8795" s="6" t="str">
        <f>HYPERLINK("https://twitter.com/petrogustavo/status/1295190847219105792","1295190847219105792")</f>
        <v>1295190847219105792</v>
      </c>
      <c r="F8795" s="7" t="s">
        <v>32</v>
      </c>
      <c r="G8795" s="7">
        <v>3939777</v>
      </c>
      <c r="H8795" s="7">
        <v>2424</v>
      </c>
      <c r="I8795" s="7">
        <v>446</v>
      </c>
      <c r="J8795" s="7">
        <v>0</v>
      </c>
      <c r="K8795" s="7" t="s">
        <v>18</v>
      </c>
      <c r="L8795" s="8">
        <v>39987.315405092595</v>
      </c>
      <c r="M8795" s="9" t="s">
        <v>19</v>
      </c>
      <c r="N8795" s="9" t="s">
        <v>20</v>
      </c>
      <c r="O8795" s="6" t="str">
        <f>HYPERLINK("https://pbs.twimg.com/profile_images/962471262747529216/Uo8lOkRJ_normal.jpg","View")</f>
        <v>View</v>
      </c>
      <c r="P8795" s="7"/>
    </row>
    <row r="8796" spans="1:16">
      <c r="A8796" s="3">
        <v>44060.351793981477</v>
      </c>
      <c r="B8796" s="4" t="str">
        <f>HYPERLINK("https://twitter.com/petrogustavo","@petrogustavo")</f>
        <v>@petrogustavo</v>
      </c>
      <c r="C8796" s="5" t="s">
        <v>16</v>
      </c>
      <c r="D8796" s="5" t="s">
        <v>8467</v>
      </c>
      <c r="E8796" s="6" t="str">
        <f>HYPERLINK("https://twitter.com/petrogustavo/status/1295192775642750976","1295192775642750976")</f>
        <v>1295192775642750976</v>
      </c>
      <c r="F8796" s="7" t="s">
        <v>32</v>
      </c>
      <c r="G8796" s="7">
        <v>3939777</v>
      </c>
      <c r="H8796" s="7">
        <v>2424</v>
      </c>
      <c r="I8796" s="7">
        <v>18</v>
      </c>
      <c r="J8796" s="7">
        <v>0</v>
      </c>
      <c r="K8796" s="7" t="s">
        <v>18</v>
      </c>
      <c r="L8796" s="8">
        <v>39987.315405092595</v>
      </c>
      <c r="M8796" s="9" t="s">
        <v>19</v>
      </c>
      <c r="N8796" s="9" t="s">
        <v>20</v>
      </c>
      <c r="O8796" s="6" t="str">
        <f>HYPERLINK("https://pbs.twimg.com/profile_images/962471262747529216/Uo8lOkRJ_normal.jpg","View")</f>
        <v>View</v>
      </c>
      <c r="P8796" s="7"/>
    </row>
    <row r="8797" spans="1:16">
      <c r="A8797" s="3">
        <v>44060.354398148149</v>
      </c>
      <c r="B8797" s="4" t="str">
        <f>HYPERLINK("https://twitter.com/petrogustavo","@petrogustavo")</f>
        <v>@petrogustavo</v>
      </c>
      <c r="C8797" s="5" t="s">
        <v>16</v>
      </c>
      <c r="D8797" s="5" t="s">
        <v>8468</v>
      </c>
      <c r="E8797" s="6" t="str">
        <f>HYPERLINK("https://twitter.com/petrogustavo/status/1295193719088521222","1295193719088521222")</f>
        <v>1295193719088521222</v>
      </c>
      <c r="F8797" s="7" t="s">
        <v>32</v>
      </c>
      <c r="G8797" s="7">
        <v>3939777</v>
      </c>
      <c r="H8797" s="7">
        <v>2424</v>
      </c>
      <c r="I8797" s="7">
        <v>6</v>
      </c>
      <c r="J8797" s="7">
        <v>0</v>
      </c>
      <c r="K8797" s="7" t="s">
        <v>18</v>
      </c>
      <c r="L8797" s="8">
        <v>39987.315405092595</v>
      </c>
      <c r="M8797" s="9" t="s">
        <v>19</v>
      </c>
      <c r="N8797" s="9" t="s">
        <v>20</v>
      </c>
      <c r="O8797" s="6" t="str">
        <f>HYPERLINK("https://pbs.twimg.com/profile_images/962471262747529216/Uo8lOkRJ_normal.jpg","View")</f>
        <v>View</v>
      </c>
      <c r="P8797" s="7"/>
    </row>
    <row r="8798" spans="1:16">
      <c r="A8798" s="3">
        <v>44060.37332175926</v>
      </c>
      <c r="B8798" s="4" t="str">
        <f>HYPERLINK("https://twitter.com/petrogustavo","@petrogustavo")</f>
        <v>@petrogustavo</v>
      </c>
      <c r="C8798" s="5" t="s">
        <v>16</v>
      </c>
      <c r="D8798" s="5" t="s">
        <v>8401</v>
      </c>
      <c r="E8798" s="6" t="str">
        <f>HYPERLINK("https://twitter.com/petrogustavo/status/1295200575240495107","1295200575240495107")</f>
        <v>1295200575240495107</v>
      </c>
      <c r="F8798" s="7" t="s">
        <v>17</v>
      </c>
      <c r="G8798" s="7">
        <v>3939886</v>
      </c>
      <c r="H8798" s="7">
        <v>2423</v>
      </c>
      <c r="I8798" s="7">
        <v>811</v>
      </c>
      <c r="J8798" s="7">
        <v>0</v>
      </c>
      <c r="K8798" s="7" t="s">
        <v>18</v>
      </c>
      <c r="L8798" s="8">
        <v>39987.315405092595</v>
      </c>
      <c r="M8798" s="9" t="s">
        <v>19</v>
      </c>
      <c r="N8798" s="9" t="s">
        <v>20</v>
      </c>
      <c r="O8798" s="6" t="str">
        <f>HYPERLINK("https://pbs.twimg.com/profile_images/962471262747529216/Uo8lOkRJ_normal.jpg","View")</f>
        <v>View</v>
      </c>
      <c r="P8798" s="7"/>
    </row>
    <row r="8799" spans="1:16">
      <c r="A8799" s="3">
        <v>44060.3746875</v>
      </c>
      <c r="B8799" s="4" t="str">
        <f>HYPERLINK("https://twitter.com/petrogustavo","@petrogustavo")</f>
        <v>@petrogustavo</v>
      </c>
      <c r="C8799" s="5" t="s">
        <v>16</v>
      </c>
      <c r="D8799" s="5" t="s">
        <v>8375</v>
      </c>
      <c r="E8799" s="6" t="str">
        <f>HYPERLINK("https://twitter.com/petrogustavo/status/1295201070478761986","1295201070478761986")</f>
        <v>1295201070478761986</v>
      </c>
      <c r="F8799" s="7" t="s">
        <v>17</v>
      </c>
      <c r="G8799" s="7">
        <v>3939886</v>
      </c>
      <c r="H8799" s="7">
        <v>2423</v>
      </c>
      <c r="I8799" s="7">
        <v>391</v>
      </c>
      <c r="J8799" s="7">
        <v>0</v>
      </c>
      <c r="K8799" s="7" t="s">
        <v>18</v>
      </c>
      <c r="L8799" s="8">
        <v>39987.315405092595</v>
      </c>
      <c r="M8799" s="9" t="s">
        <v>19</v>
      </c>
      <c r="N8799" s="9" t="s">
        <v>20</v>
      </c>
      <c r="O8799" s="6" t="str">
        <f>HYPERLINK("https://pbs.twimg.com/profile_images/962471262747529216/Uo8lOkRJ_normal.jpg","View")</f>
        <v>View</v>
      </c>
      <c r="P8799" s="7"/>
    </row>
    <row r="8800" spans="1:16">
      <c r="A8800" s="3">
        <v>44060.768773148149</v>
      </c>
      <c r="B8800" s="4" t="str">
        <f>HYPERLINK("https://twitter.com/petrogustavo","@petrogustavo")</f>
        <v>@petrogustavo</v>
      </c>
      <c r="C8800" s="5" t="s">
        <v>16</v>
      </c>
      <c r="D8800" s="5" t="s">
        <v>8469</v>
      </c>
      <c r="E8800" s="6" t="str">
        <f>HYPERLINK("https://twitter.com/petrogustavo/status/1295343882595717120","1295343882595717120")</f>
        <v>1295343882595717120</v>
      </c>
      <c r="F8800" s="7" t="s">
        <v>17</v>
      </c>
      <c r="G8800" s="7">
        <v>3940071</v>
      </c>
      <c r="H8800" s="7">
        <v>2423</v>
      </c>
      <c r="I8800" s="7">
        <v>909</v>
      </c>
      <c r="J8800" s="7">
        <v>0</v>
      </c>
      <c r="K8800" s="7" t="s">
        <v>18</v>
      </c>
      <c r="L8800" s="8">
        <v>39987.315405092595</v>
      </c>
      <c r="M8800" s="9" t="s">
        <v>19</v>
      </c>
      <c r="N8800" s="9" t="s">
        <v>20</v>
      </c>
      <c r="O8800" s="6" t="str">
        <f>HYPERLINK("https://pbs.twimg.com/profile_images/962471262747529216/Uo8lOkRJ_normal.jpg","View")</f>
        <v>View</v>
      </c>
      <c r="P8800" s="7"/>
    </row>
    <row r="8801" spans="1:16">
      <c r="A8801" s="3">
        <v>44060.77548611111</v>
      </c>
      <c r="B8801" s="4" t="str">
        <f>HYPERLINK("https://twitter.com/petrogustavo","@petrogustavo")</f>
        <v>@petrogustavo</v>
      </c>
      <c r="C8801" s="5" t="s">
        <v>16</v>
      </c>
      <c r="D8801" s="5" t="s">
        <v>8470</v>
      </c>
      <c r="E8801" s="6" t="str">
        <f>HYPERLINK("https://twitter.com/petrogustavo/status/1295346314478342145","1295346314478342145")</f>
        <v>1295346314478342145</v>
      </c>
      <c r="F8801" s="7" t="s">
        <v>17</v>
      </c>
      <c r="G8801" s="7">
        <v>3940102</v>
      </c>
      <c r="H8801" s="7">
        <v>2423</v>
      </c>
      <c r="I8801" s="7">
        <v>224</v>
      </c>
      <c r="J8801" s="7">
        <v>0</v>
      </c>
      <c r="K8801" s="7" t="s">
        <v>18</v>
      </c>
      <c r="L8801" s="8">
        <v>39987.315405092595</v>
      </c>
      <c r="M8801" s="9" t="s">
        <v>19</v>
      </c>
      <c r="N8801" s="9" t="s">
        <v>20</v>
      </c>
      <c r="O8801" s="6" t="str">
        <f>HYPERLINK("https://pbs.twimg.com/profile_images/962471262747529216/Uo8lOkRJ_normal.jpg","View")</f>
        <v>View</v>
      </c>
      <c r="P8801" s="7"/>
    </row>
    <row r="8802" spans="1:16">
      <c r="A8802" s="3">
        <v>44060.775706018518</v>
      </c>
      <c r="B8802" s="4" t="str">
        <f>HYPERLINK("https://twitter.com/petrogustavo","@petrogustavo")</f>
        <v>@petrogustavo</v>
      </c>
      <c r="C8802" s="5" t="s">
        <v>16</v>
      </c>
      <c r="D8802" s="5" t="s">
        <v>8471</v>
      </c>
      <c r="E8802" s="6" t="str">
        <f>HYPERLINK("https://twitter.com/petrogustavo/status/1295346394220371973","1295346394220371973")</f>
        <v>1295346394220371973</v>
      </c>
      <c r="F8802" s="7" t="s">
        <v>17</v>
      </c>
      <c r="G8802" s="7">
        <v>3940102</v>
      </c>
      <c r="H8802" s="7">
        <v>2423</v>
      </c>
      <c r="I8802" s="7">
        <v>123</v>
      </c>
      <c r="J8802" s="7">
        <v>0</v>
      </c>
      <c r="K8802" s="7" t="s">
        <v>18</v>
      </c>
      <c r="L8802" s="8">
        <v>39987.315405092595</v>
      </c>
      <c r="M8802" s="9" t="s">
        <v>19</v>
      </c>
      <c r="N8802" s="9" t="s">
        <v>20</v>
      </c>
      <c r="O8802" s="6" t="str">
        <f>HYPERLINK("https://pbs.twimg.com/profile_images/962471262747529216/Uo8lOkRJ_normal.jpg","View")</f>
        <v>View</v>
      </c>
      <c r="P8802" s="7"/>
    </row>
    <row r="8803" spans="1:16">
      <c r="A8803" s="3">
        <v>44060.778113425928</v>
      </c>
      <c r="B8803" s="4" t="str">
        <f>HYPERLINK("https://twitter.com/petrogustavo","@petrogustavo")</f>
        <v>@petrogustavo</v>
      </c>
      <c r="C8803" s="5" t="s">
        <v>16</v>
      </c>
      <c r="D8803" s="5" t="s">
        <v>8472</v>
      </c>
      <c r="E8803" s="6" t="str">
        <f>HYPERLINK("https://twitter.com/petrogustavo/status/1295347265977155588","1295347265977155588")</f>
        <v>1295347265977155588</v>
      </c>
      <c r="F8803" s="7" t="s">
        <v>17</v>
      </c>
      <c r="G8803" s="7">
        <v>3940102</v>
      </c>
      <c r="H8803" s="7">
        <v>2423</v>
      </c>
      <c r="I8803" s="7">
        <v>692</v>
      </c>
      <c r="J8803" s="7">
        <v>2220</v>
      </c>
      <c r="K8803" s="7" t="s">
        <v>18</v>
      </c>
      <c r="L8803" s="8">
        <v>39987.315405092595</v>
      </c>
      <c r="M8803" s="9" t="s">
        <v>19</v>
      </c>
      <c r="N8803" s="9" t="s">
        <v>20</v>
      </c>
      <c r="O8803" s="6" t="str">
        <f>HYPERLINK("https://pbs.twimg.com/profile_images/962471262747529216/Uo8lOkRJ_normal.jpg","View")</f>
        <v>View</v>
      </c>
      <c r="P8803" s="7"/>
    </row>
    <row r="8804" spans="1:16">
      <c r="A8804" s="3">
        <v>44060.783877314811</v>
      </c>
      <c r="B8804" s="4" t="str">
        <f>HYPERLINK("https://twitter.com/petrogustavo","@petrogustavo")</f>
        <v>@petrogustavo</v>
      </c>
      <c r="C8804" s="5" t="s">
        <v>16</v>
      </c>
      <c r="D8804" s="5" t="s">
        <v>8473</v>
      </c>
      <c r="E8804" s="6" t="str">
        <f>HYPERLINK("https://twitter.com/petrogustavo/status/1295349355130621954","1295349355130621954")</f>
        <v>1295349355130621954</v>
      </c>
      <c r="F8804" s="7" t="s">
        <v>17</v>
      </c>
      <c r="G8804" s="7">
        <v>3940102</v>
      </c>
      <c r="H8804" s="7">
        <v>2423</v>
      </c>
      <c r="I8804" s="7">
        <v>219</v>
      </c>
      <c r="J8804" s="7">
        <v>750</v>
      </c>
      <c r="K8804" s="7" t="s">
        <v>18</v>
      </c>
      <c r="L8804" s="8">
        <v>39987.315405092595</v>
      </c>
      <c r="M8804" s="9" t="s">
        <v>19</v>
      </c>
      <c r="N8804" s="9" t="s">
        <v>20</v>
      </c>
      <c r="O8804" s="6" t="str">
        <f>HYPERLINK("https://pbs.twimg.com/profile_images/962471262747529216/Uo8lOkRJ_normal.jpg","View")</f>
        <v>View</v>
      </c>
      <c r="P8804" s="7"/>
    </row>
    <row r="8805" spans="1:16">
      <c r="A8805" s="3">
        <v>44060.805567129632</v>
      </c>
      <c r="B8805" s="4" t="str">
        <f>HYPERLINK("https://twitter.com/petrogustavo","@petrogustavo")</f>
        <v>@petrogustavo</v>
      </c>
      <c r="C8805" s="5" t="s">
        <v>16</v>
      </c>
      <c r="D8805" s="5" t="s">
        <v>8474</v>
      </c>
      <c r="E8805" s="6" t="str">
        <f>HYPERLINK("https://twitter.com/petrogustavo/status/1295357216187457536","1295357216187457536")</f>
        <v>1295357216187457536</v>
      </c>
      <c r="F8805" s="7" t="s">
        <v>17</v>
      </c>
      <c r="G8805" s="7">
        <v>3940125</v>
      </c>
      <c r="H8805" s="7">
        <v>2423</v>
      </c>
      <c r="I8805" s="7">
        <v>83</v>
      </c>
      <c r="J8805" s="7">
        <v>166</v>
      </c>
      <c r="K8805" s="7" t="s">
        <v>18</v>
      </c>
      <c r="L8805" s="8">
        <v>39987.315405092595</v>
      </c>
      <c r="M8805" s="9" t="s">
        <v>19</v>
      </c>
      <c r="N8805" s="9" t="s">
        <v>20</v>
      </c>
      <c r="O8805" s="6" t="str">
        <f>HYPERLINK("https://pbs.twimg.com/profile_images/962471262747529216/Uo8lOkRJ_normal.jpg","View")</f>
        <v>View</v>
      </c>
      <c r="P8805" s="7"/>
    </row>
    <row r="8806" spans="1:16">
      <c r="A8806" s="3">
        <v>44060.810162037036</v>
      </c>
      <c r="B8806" s="4" t="str">
        <f>HYPERLINK("https://twitter.com/petrogustavo","@petrogustavo")</f>
        <v>@petrogustavo</v>
      </c>
      <c r="C8806" s="5" t="s">
        <v>16</v>
      </c>
      <c r="D8806" s="5" t="s">
        <v>8475</v>
      </c>
      <c r="E8806" s="6" t="str">
        <f>HYPERLINK("https://twitter.com/petrogustavo/status/1295358882274041856","1295358882274041856")</f>
        <v>1295358882274041856</v>
      </c>
      <c r="F8806" s="7" t="s">
        <v>17</v>
      </c>
      <c r="G8806" s="7">
        <v>3940125</v>
      </c>
      <c r="H8806" s="7">
        <v>2423</v>
      </c>
      <c r="I8806" s="7">
        <v>959</v>
      </c>
      <c r="J8806" s="7">
        <v>0</v>
      </c>
      <c r="K8806" s="7" t="s">
        <v>18</v>
      </c>
      <c r="L8806" s="8">
        <v>39987.315405092595</v>
      </c>
      <c r="M8806" s="9" t="s">
        <v>19</v>
      </c>
      <c r="N8806" s="9" t="s">
        <v>20</v>
      </c>
      <c r="O8806" s="6" t="str">
        <f>HYPERLINK("https://pbs.twimg.com/profile_images/962471262747529216/Uo8lOkRJ_normal.jpg","View")</f>
        <v>View</v>
      </c>
      <c r="P8806" s="7"/>
    </row>
    <row r="8807" spans="1:16">
      <c r="A8807" s="3">
        <v>44060.91207175926</v>
      </c>
      <c r="B8807" s="4" t="str">
        <f>HYPERLINK("https://twitter.com/petrogustavo","@petrogustavo")</f>
        <v>@petrogustavo</v>
      </c>
      <c r="C8807" s="5" t="s">
        <v>16</v>
      </c>
      <c r="D8807" s="5" t="s">
        <v>8476</v>
      </c>
      <c r="E8807" s="6" t="str">
        <f>HYPERLINK("https://twitter.com/petrogustavo/status/1295395813200363520","1295395813200363520")</f>
        <v>1295395813200363520</v>
      </c>
      <c r="F8807" s="7" t="s">
        <v>32</v>
      </c>
      <c r="G8807" s="7">
        <v>3940328</v>
      </c>
      <c r="H8807" s="7">
        <v>2422</v>
      </c>
      <c r="I8807" s="7">
        <v>205</v>
      </c>
      <c r="J8807" s="7">
        <v>700</v>
      </c>
      <c r="K8807" s="7" t="s">
        <v>18</v>
      </c>
      <c r="L8807" s="8">
        <v>39987.315405092595</v>
      </c>
      <c r="M8807" s="9" t="s">
        <v>19</v>
      </c>
      <c r="N8807" s="9" t="s">
        <v>20</v>
      </c>
      <c r="O8807" s="6" t="str">
        <f>HYPERLINK("https://pbs.twimg.com/profile_images/962471262747529216/Uo8lOkRJ_normal.jpg","View")</f>
        <v>View</v>
      </c>
      <c r="P8807" s="7"/>
    </row>
    <row r="8808" spans="1:16">
      <c r="A8808" s="3">
        <v>44060.912256944444</v>
      </c>
      <c r="B8808" s="4" t="str">
        <f>HYPERLINK("https://twitter.com/petrogustavo","@petrogustavo")</f>
        <v>@petrogustavo</v>
      </c>
      <c r="C8808" s="5" t="s">
        <v>16</v>
      </c>
      <c r="D8808" s="5" t="s">
        <v>8477</v>
      </c>
      <c r="E8808" s="6" t="str">
        <f>HYPERLINK("https://twitter.com/petrogustavo/status/1295395879009038338","1295395879009038338")</f>
        <v>1295395879009038338</v>
      </c>
      <c r="F8808" s="7" t="s">
        <v>32</v>
      </c>
      <c r="G8808" s="7">
        <v>3940328</v>
      </c>
      <c r="H8808" s="7">
        <v>2422</v>
      </c>
      <c r="I8808" s="7">
        <v>82</v>
      </c>
      <c r="J8808" s="7">
        <v>0</v>
      </c>
      <c r="K8808" s="7" t="s">
        <v>18</v>
      </c>
      <c r="L8808" s="8">
        <v>39987.315405092595</v>
      </c>
      <c r="M8808" s="9" t="s">
        <v>19</v>
      </c>
      <c r="N8808" s="9" t="s">
        <v>20</v>
      </c>
      <c r="O8808" s="6" t="str">
        <f>HYPERLINK("https://pbs.twimg.com/profile_images/962471262747529216/Uo8lOkRJ_normal.jpg","View")</f>
        <v>View</v>
      </c>
      <c r="P8808" s="7"/>
    </row>
    <row r="8809" spans="1:16">
      <c r="A8809" s="3">
        <v>44060.913275462968</v>
      </c>
      <c r="B8809" s="4" t="str">
        <f>HYPERLINK("https://twitter.com/petrogustavo","@petrogustavo")</f>
        <v>@petrogustavo</v>
      </c>
      <c r="C8809" s="5" t="s">
        <v>16</v>
      </c>
      <c r="D8809" s="5" t="s">
        <v>8478</v>
      </c>
      <c r="E8809" s="6" t="str">
        <f>HYPERLINK("https://twitter.com/petrogustavo/status/1295396249257103365","1295396249257103365")</f>
        <v>1295396249257103365</v>
      </c>
      <c r="F8809" s="7" t="s">
        <v>32</v>
      </c>
      <c r="G8809" s="7">
        <v>3940328</v>
      </c>
      <c r="H8809" s="7">
        <v>2422</v>
      </c>
      <c r="I8809" s="7">
        <v>47</v>
      </c>
      <c r="J8809" s="7">
        <v>122</v>
      </c>
      <c r="K8809" s="7" t="s">
        <v>18</v>
      </c>
      <c r="L8809" s="8">
        <v>39987.315405092595</v>
      </c>
      <c r="M8809" s="9" t="s">
        <v>19</v>
      </c>
      <c r="N8809" s="9" t="s">
        <v>20</v>
      </c>
      <c r="O8809" s="6" t="str">
        <f>HYPERLINK("https://pbs.twimg.com/profile_images/962471262747529216/Uo8lOkRJ_normal.jpg","View")</f>
        <v>View</v>
      </c>
      <c r="P8809" s="7"/>
    </row>
    <row r="8810" spans="1:16">
      <c r="A8810" s="3">
        <v>44060.916689814811</v>
      </c>
      <c r="B8810" s="4" t="str">
        <f>HYPERLINK("https://twitter.com/petrogustavo","@petrogustavo")</f>
        <v>@petrogustavo</v>
      </c>
      <c r="C8810" s="5" t="s">
        <v>16</v>
      </c>
      <c r="D8810" s="5" t="s">
        <v>8479</v>
      </c>
      <c r="E8810" s="6" t="str">
        <f>HYPERLINK("https://twitter.com/petrogustavo/status/1295397486966853637","1295397486966853637")</f>
        <v>1295397486966853637</v>
      </c>
      <c r="F8810" s="7" t="s">
        <v>32</v>
      </c>
      <c r="G8810" s="7">
        <v>3940328</v>
      </c>
      <c r="H8810" s="7">
        <v>2422</v>
      </c>
      <c r="I8810" s="7">
        <v>52</v>
      </c>
      <c r="J8810" s="7">
        <v>167</v>
      </c>
      <c r="K8810" s="7" t="s">
        <v>18</v>
      </c>
      <c r="L8810" s="8">
        <v>39987.315405092595</v>
      </c>
      <c r="M8810" s="9" t="s">
        <v>19</v>
      </c>
      <c r="N8810" s="9" t="s">
        <v>20</v>
      </c>
      <c r="O8810" s="6" t="str">
        <f>HYPERLINK("https://pbs.twimg.com/profile_images/962471262747529216/Uo8lOkRJ_normal.jpg","View")</f>
        <v>View</v>
      </c>
      <c r="P8810" s="7"/>
    </row>
    <row r="8811" spans="1:16">
      <c r="A8811" s="3">
        <v>44060.918287037042</v>
      </c>
      <c r="B8811" s="4" t="str">
        <f>HYPERLINK("https://twitter.com/petrogustavo","@petrogustavo")</f>
        <v>@petrogustavo</v>
      </c>
      <c r="C8811" s="5" t="s">
        <v>16</v>
      </c>
      <c r="D8811" s="5" t="s">
        <v>8480</v>
      </c>
      <c r="E8811" s="6" t="str">
        <f>HYPERLINK("https://twitter.com/petrogustavo/status/1295398064895729670","1295398064895729670")</f>
        <v>1295398064895729670</v>
      </c>
      <c r="F8811" s="7" t="s">
        <v>32</v>
      </c>
      <c r="G8811" s="7">
        <v>3940328</v>
      </c>
      <c r="H8811" s="7">
        <v>2422</v>
      </c>
      <c r="I8811" s="7">
        <v>20</v>
      </c>
      <c r="J8811" s="7">
        <v>47</v>
      </c>
      <c r="K8811" s="7" t="s">
        <v>18</v>
      </c>
      <c r="L8811" s="8">
        <v>39987.315405092595</v>
      </c>
      <c r="M8811" s="9" t="s">
        <v>19</v>
      </c>
      <c r="N8811" s="9" t="s">
        <v>20</v>
      </c>
      <c r="O8811" s="6" t="str">
        <f>HYPERLINK("https://pbs.twimg.com/profile_images/962471262747529216/Uo8lOkRJ_normal.jpg","View")</f>
        <v>View</v>
      </c>
      <c r="P8811" s="7"/>
    </row>
    <row r="8812" spans="1:16">
      <c r="A8812" s="3">
        <v>44061.062361111108</v>
      </c>
      <c r="B8812" s="4" t="str">
        <f>HYPERLINK("https://twitter.com/petrogustavo","@petrogustavo")</f>
        <v>@petrogustavo</v>
      </c>
      <c r="C8812" s="5" t="s">
        <v>16</v>
      </c>
      <c r="D8812" s="5" t="s">
        <v>8481</v>
      </c>
      <c r="E8812" s="6" t="str">
        <f>HYPERLINK("https://twitter.com/petrogustavo/status/1295450276888023040","1295450276888023040")</f>
        <v>1295450276888023040</v>
      </c>
      <c r="F8812" s="7" t="s">
        <v>17</v>
      </c>
      <c r="G8812" s="7">
        <v>3940534</v>
      </c>
      <c r="H8812" s="7">
        <v>2423</v>
      </c>
      <c r="I8812" s="7">
        <v>766</v>
      </c>
      <c r="J8812" s="7">
        <v>0</v>
      </c>
      <c r="K8812" s="7" t="s">
        <v>18</v>
      </c>
      <c r="L8812" s="8">
        <v>39987.315405092595</v>
      </c>
      <c r="M8812" s="9" t="s">
        <v>19</v>
      </c>
      <c r="N8812" s="9" t="s">
        <v>20</v>
      </c>
      <c r="O8812" s="6" t="str">
        <f>HYPERLINK("https://pbs.twimg.com/profile_images/962471262747529216/Uo8lOkRJ_normal.jpg","View")</f>
        <v>View</v>
      </c>
      <c r="P8812" s="7"/>
    </row>
    <row r="8813" spans="1:16">
      <c r="A8813" s="3">
        <v>44061.06251157407</v>
      </c>
      <c r="B8813" s="4" t="str">
        <f>HYPERLINK("https://twitter.com/petrogustavo","@petrogustavo")</f>
        <v>@petrogustavo</v>
      </c>
      <c r="C8813" s="5" t="s">
        <v>16</v>
      </c>
      <c r="D8813" s="5" t="s">
        <v>8482</v>
      </c>
      <c r="E8813" s="6" t="str">
        <f>HYPERLINK("https://twitter.com/petrogustavo/status/1295450328746393601","1295450328746393601")</f>
        <v>1295450328746393601</v>
      </c>
      <c r="F8813" s="7" t="s">
        <v>17</v>
      </c>
      <c r="G8813" s="7">
        <v>3940534</v>
      </c>
      <c r="H8813" s="7">
        <v>2423</v>
      </c>
      <c r="I8813" s="7">
        <v>218</v>
      </c>
      <c r="J8813" s="7">
        <v>0</v>
      </c>
      <c r="K8813" s="7" t="s">
        <v>18</v>
      </c>
      <c r="L8813" s="8">
        <v>39987.315405092595</v>
      </c>
      <c r="M8813" s="9" t="s">
        <v>19</v>
      </c>
      <c r="N8813" s="9" t="s">
        <v>20</v>
      </c>
      <c r="O8813" s="6" t="str">
        <f>HYPERLINK("https://pbs.twimg.com/profile_images/962471262747529216/Uo8lOkRJ_normal.jpg","View")</f>
        <v>View</v>
      </c>
      <c r="P8813" s="7"/>
    </row>
    <row r="8814" spans="1:16">
      <c r="A8814" s="3">
        <v>44061.062638888892</v>
      </c>
      <c r="B8814" s="4" t="str">
        <f>HYPERLINK("https://twitter.com/petrogustavo","@petrogustavo")</f>
        <v>@petrogustavo</v>
      </c>
      <c r="C8814" s="5" t="s">
        <v>16</v>
      </c>
      <c r="D8814" s="5" t="s">
        <v>8483</v>
      </c>
      <c r="E8814" s="6" t="str">
        <f>HYPERLINK("https://twitter.com/petrogustavo/status/1295450374971826176","1295450374971826176")</f>
        <v>1295450374971826176</v>
      </c>
      <c r="F8814" s="7" t="s">
        <v>17</v>
      </c>
      <c r="G8814" s="7">
        <v>3940534</v>
      </c>
      <c r="H8814" s="7">
        <v>2423</v>
      </c>
      <c r="I8814" s="7">
        <v>838</v>
      </c>
      <c r="J8814" s="7">
        <v>0</v>
      </c>
      <c r="K8814" s="7" t="s">
        <v>18</v>
      </c>
      <c r="L8814" s="8">
        <v>39987.315405092595</v>
      </c>
      <c r="M8814" s="9" t="s">
        <v>19</v>
      </c>
      <c r="N8814" s="9" t="s">
        <v>20</v>
      </c>
      <c r="O8814" s="6" t="str">
        <f>HYPERLINK("https://pbs.twimg.com/profile_images/962471262747529216/Uo8lOkRJ_normal.jpg","View")</f>
        <v>View</v>
      </c>
      <c r="P8814" s="7"/>
    </row>
    <row r="8815" spans="1:16">
      <c r="A8815" s="3">
        <v>44061.063425925924</v>
      </c>
      <c r="B8815" s="4" t="str">
        <f>HYPERLINK("https://twitter.com/petrogustavo","@petrogustavo")</f>
        <v>@petrogustavo</v>
      </c>
      <c r="C8815" s="5" t="s">
        <v>16</v>
      </c>
      <c r="D8815" s="5" t="s">
        <v>8484</v>
      </c>
      <c r="E8815" s="6" t="str">
        <f>HYPERLINK("https://twitter.com/petrogustavo/status/1295450660297682946","1295450660297682946")</f>
        <v>1295450660297682946</v>
      </c>
      <c r="F8815" s="7" t="s">
        <v>17</v>
      </c>
      <c r="G8815" s="7">
        <v>3940534</v>
      </c>
      <c r="H8815" s="7">
        <v>2423</v>
      </c>
      <c r="I8815" s="7">
        <v>43</v>
      </c>
      <c r="J8815" s="7">
        <v>123</v>
      </c>
      <c r="K8815" s="7" t="s">
        <v>18</v>
      </c>
      <c r="L8815" s="8">
        <v>39987.315405092595</v>
      </c>
      <c r="M8815" s="9" t="s">
        <v>19</v>
      </c>
      <c r="N8815" s="9" t="s">
        <v>20</v>
      </c>
      <c r="O8815" s="6" t="str">
        <f>HYPERLINK("https://pbs.twimg.com/profile_images/962471262747529216/Uo8lOkRJ_normal.jpg","View")</f>
        <v>View</v>
      </c>
      <c r="P8815" s="7"/>
    </row>
    <row r="8816" spans="1:16">
      <c r="A8816" s="3">
        <v>44061.065879629634</v>
      </c>
      <c r="B8816" s="4" t="str">
        <f>HYPERLINK("https://twitter.com/petrogustavo","@petrogustavo")</f>
        <v>@petrogustavo</v>
      </c>
      <c r="C8816" s="5" t="s">
        <v>16</v>
      </c>
      <c r="D8816" s="5" t="s">
        <v>8485</v>
      </c>
      <c r="E8816" s="6" t="str">
        <f>HYPERLINK("https://twitter.com/petrogustavo/status/1295451551432167431","1295451551432167431")</f>
        <v>1295451551432167431</v>
      </c>
      <c r="F8816" s="7" t="s">
        <v>17</v>
      </c>
      <c r="G8816" s="7">
        <v>3940565</v>
      </c>
      <c r="H8816" s="7">
        <v>2423</v>
      </c>
      <c r="I8816" s="7">
        <v>54</v>
      </c>
      <c r="J8816" s="7">
        <v>0</v>
      </c>
      <c r="K8816" s="7" t="s">
        <v>18</v>
      </c>
      <c r="L8816" s="8">
        <v>39987.315405092595</v>
      </c>
      <c r="M8816" s="9" t="s">
        <v>19</v>
      </c>
      <c r="N8816" s="9" t="s">
        <v>20</v>
      </c>
      <c r="O8816" s="6" t="str">
        <f>HYPERLINK("https://pbs.twimg.com/profile_images/962471262747529216/Uo8lOkRJ_normal.jpg","View")</f>
        <v>View</v>
      </c>
      <c r="P8816" s="7"/>
    </row>
    <row r="8817" spans="1:16">
      <c r="A8817" s="3">
        <v>44061.066562499997</v>
      </c>
      <c r="B8817" s="4" t="str">
        <f>HYPERLINK("https://twitter.com/petrogustavo","@petrogustavo")</f>
        <v>@petrogustavo</v>
      </c>
      <c r="C8817" s="5" t="s">
        <v>16</v>
      </c>
      <c r="D8817" s="5" t="s">
        <v>8486</v>
      </c>
      <c r="E8817" s="6" t="str">
        <f>HYPERLINK("https://twitter.com/petrogustavo/status/1295451798690570241","1295451798690570241")</f>
        <v>1295451798690570241</v>
      </c>
      <c r="F8817" s="7" t="s">
        <v>17</v>
      </c>
      <c r="G8817" s="7">
        <v>3940565</v>
      </c>
      <c r="H8817" s="7">
        <v>2423</v>
      </c>
      <c r="I8817" s="7">
        <v>128</v>
      </c>
      <c r="J8817" s="7">
        <v>0</v>
      </c>
      <c r="K8817" s="7" t="s">
        <v>18</v>
      </c>
      <c r="L8817" s="8">
        <v>39987.315405092595</v>
      </c>
      <c r="M8817" s="9" t="s">
        <v>19</v>
      </c>
      <c r="N8817" s="9" t="s">
        <v>20</v>
      </c>
      <c r="O8817" s="6" t="str">
        <f>HYPERLINK("https://pbs.twimg.com/profile_images/962471262747529216/Uo8lOkRJ_normal.jpg","View")</f>
        <v>View</v>
      </c>
      <c r="P8817" s="7"/>
    </row>
    <row r="8818" spans="1:16">
      <c r="A8818" s="3">
        <v>44061.067037037035</v>
      </c>
      <c r="B8818" s="4" t="str">
        <f>HYPERLINK("https://twitter.com/petrogustavo","@petrogustavo")</f>
        <v>@petrogustavo</v>
      </c>
      <c r="C8818" s="5" t="s">
        <v>16</v>
      </c>
      <c r="D8818" s="5" t="s">
        <v>8487</v>
      </c>
      <c r="E8818" s="6" t="str">
        <f>HYPERLINK("https://twitter.com/petrogustavo/status/1295451970795446278","1295451970795446278")</f>
        <v>1295451970795446278</v>
      </c>
      <c r="F8818" s="7" t="s">
        <v>17</v>
      </c>
      <c r="G8818" s="7">
        <v>3940565</v>
      </c>
      <c r="H8818" s="7">
        <v>2423</v>
      </c>
      <c r="I8818" s="7">
        <v>48</v>
      </c>
      <c r="J8818" s="7">
        <v>0</v>
      </c>
      <c r="K8818" s="7" t="s">
        <v>18</v>
      </c>
      <c r="L8818" s="8">
        <v>39987.315405092595</v>
      </c>
      <c r="M8818" s="9" t="s">
        <v>19</v>
      </c>
      <c r="N8818" s="9" t="s">
        <v>20</v>
      </c>
      <c r="O8818" s="6" t="str">
        <f>HYPERLINK("https://pbs.twimg.com/profile_images/962471262747529216/Uo8lOkRJ_normal.jpg","View")</f>
        <v>View</v>
      </c>
      <c r="P8818" s="7"/>
    </row>
    <row r="8819" spans="1:16">
      <c r="A8819" s="3">
        <v>44061.067152777774</v>
      </c>
      <c r="B8819" s="4" t="str">
        <f>HYPERLINK("https://twitter.com/petrogustavo","@petrogustavo")</f>
        <v>@petrogustavo</v>
      </c>
      <c r="C8819" s="5" t="s">
        <v>16</v>
      </c>
      <c r="D8819" s="5" t="s">
        <v>8488</v>
      </c>
      <c r="E8819" s="6" t="str">
        <f>HYPERLINK("https://twitter.com/petrogustavo/status/1295452010649722880","1295452010649722880")</f>
        <v>1295452010649722880</v>
      </c>
      <c r="F8819" s="7" t="s">
        <v>17</v>
      </c>
      <c r="G8819" s="7">
        <v>3940565</v>
      </c>
      <c r="H8819" s="7">
        <v>2423</v>
      </c>
      <c r="I8819" s="7">
        <v>60</v>
      </c>
      <c r="J8819" s="7">
        <v>0</v>
      </c>
      <c r="K8819" s="7" t="s">
        <v>18</v>
      </c>
      <c r="L8819" s="8">
        <v>39987.315405092595</v>
      </c>
      <c r="M8819" s="9" t="s">
        <v>19</v>
      </c>
      <c r="N8819" s="9" t="s">
        <v>20</v>
      </c>
      <c r="O8819" s="6" t="str">
        <f>HYPERLINK("https://pbs.twimg.com/profile_images/962471262747529216/Uo8lOkRJ_normal.jpg","View")</f>
        <v>View</v>
      </c>
      <c r="P8819" s="7"/>
    </row>
    <row r="8820" spans="1:16">
      <c r="A8820" s="3">
        <v>44061.067418981482</v>
      </c>
      <c r="B8820" s="4" t="str">
        <f>HYPERLINK("https://twitter.com/petrogustavo","@petrogustavo")</f>
        <v>@petrogustavo</v>
      </c>
      <c r="C8820" s="5" t="s">
        <v>16</v>
      </c>
      <c r="D8820" s="5" t="s">
        <v>8489</v>
      </c>
      <c r="E8820" s="6" t="str">
        <f>HYPERLINK("https://twitter.com/petrogustavo/status/1295452108662157314","1295452108662157314")</f>
        <v>1295452108662157314</v>
      </c>
      <c r="F8820" s="7" t="s">
        <v>17</v>
      </c>
      <c r="G8820" s="7">
        <v>3940565</v>
      </c>
      <c r="H8820" s="7">
        <v>2423</v>
      </c>
      <c r="I8820" s="7">
        <v>55</v>
      </c>
      <c r="J8820" s="7">
        <v>0</v>
      </c>
      <c r="K8820" s="7" t="s">
        <v>18</v>
      </c>
      <c r="L8820" s="8">
        <v>39987.315405092595</v>
      </c>
      <c r="M8820" s="9" t="s">
        <v>19</v>
      </c>
      <c r="N8820" s="9" t="s">
        <v>20</v>
      </c>
      <c r="O8820" s="6" t="str">
        <f>HYPERLINK("https://pbs.twimg.com/profile_images/962471262747529216/Uo8lOkRJ_normal.jpg","View")</f>
        <v>View</v>
      </c>
      <c r="P8820" s="7"/>
    </row>
    <row r="8821" spans="1:16">
      <c r="A8821" s="3">
        <v>44061.069849537038</v>
      </c>
      <c r="B8821" s="4" t="str">
        <f>HYPERLINK("https://twitter.com/petrogustavo","@petrogustavo")</f>
        <v>@petrogustavo</v>
      </c>
      <c r="C8821" s="5" t="s">
        <v>16</v>
      </c>
      <c r="D8821" s="5" t="s">
        <v>8490</v>
      </c>
      <c r="E8821" s="6" t="str">
        <f>HYPERLINK("https://twitter.com/petrogustavo/status/1295452987691806723","1295452987691806723")</f>
        <v>1295452987691806723</v>
      </c>
      <c r="F8821" s="7" t="s">
        <v>17</v>
      </c>
      <c r="G8821" s="7">
        <v>3940565</v>
      </c>
      <c r="H8821" s="7">
        <v>2423</v>
      </c>
      <c r="I8821" s="7">
        <v>52</v>
      </c>
      <c r="J8821" s="7">
        <v>0</v>
      </c>
      <c r="K8821" s="7" t="s">
        <v>18</v>
      </c>
      <c r="L8821" s="8">
        <v>39987.315405092595</v>
      </c>
      <c r="M8821" s="9" t="s">
        <v>19</v>
      </c>
      <c r="N8821" s="9" t="s">
        <v>20</v>
      </c>
      <c r="O8821" s="6" t="str">
        <f>HYPERLINK("https://pbs.twimg.com/profile_images/962471262747529216/Uo8lOkRJ_normal.jpg","View")</f>
        <v>View</v>
      </c>
      <c r="P8821" s="7"/>
    </row>
    <row r="8822" spans="1:16">
      <c r="A8822" s="3">
        <v>44061.07104166667</v>
      </c>
      <c r="B8822" s="4" t="str">
        <f>HYPERLINK("https://twitter.com/petrogustavo","@petrogustavo")</f>
        <v>@petrogustavo</v>
      </c>
      <c r="C8822" s="5" t="s">
        <v>16</v>
      </c>
      <c r="D8822" s="5" t="s">
        <v>8491</v>
      </c>
      <c r="E8822" s="6" t="str">
        <f>HYPERLINK("https://twitter.com/petrogustavo/status/1295453418727890947","1295453418727890947")</f>
        <v>1295453418727890947</v>
      </c>
      <c r="F8822" s="7" t="s">
        <v>17</v>
      </c>
      <c r="G8822" s="7">
        <v>3940565</v>
      </c>
      <c r="H8822" s="7">
        <v>2423</v>
      </c>
      <c r="I8822" s="7">
        <v>80</v>
      </c>
      <c r="J8822" s="7">
        <v>0</v>
      </c>
      <c r="K8822" s="7" t="s">
        <v>18</v>
      </c>
      <c r="L8822" s="8">
        <v>39987.315405092595</v>
      </c>
      <c r="M8822" s="9" t="s">
        <v>19</v>
      </c>
      <c r="N8822" s="9" t="s">
        <v>20</v>
      </c>
      <c r="O8822" s="6" t="str">
        <f>HYPERLINK("https://pbs.twimg.com/profile_images/962471262747529216/Uo8lOkRJ_normal.jpg","View")</f>
        <v>View</v>
      </c>
      <c r="P8822" s="7"/>
    </row>
    <row r="8823" spans="1:16">
      <c r="A8823" s="3">
        <v>44061.071087962962</v>
      </c>
      <c r="B8823" s="4" t="str">
        <f>HYPERLINK("https://twitter.com/petrogustavo","@petrogustavo")</f>
        <v>@petrogustavo</v>
      </c>
      <c r="C8823" s="5" t="s">
        <v>16</v>
      </c>
      <c r="D8823" s="5" t="s">
        <v>8492</v>
      </c>
      <c r="E8823" s="6" t="str">
        <f>HYPERLINK("https://twitter.com/petrogustavo/status/1295453439439372289","1295453439439372289")</f>
        <v>1295453439439372289</v>
      </c>
      <c r="F8823" s="7" t="s">
        <v>17</v>
      </c>
      <c r="G8823" s="7">
        <v>3940565</v>
      </c>
      <c r="H8823" s="7">
        <v>2423</v>
      </c>
      <c r="I8823" s="7">
        <v>57</v>
      </c>
      <c r="J8823" s="7">
        <v>0</v>
      </c>
      <c r="K8823" s="7" t="s">
        <v>18</v>
      </c>
      <c r="L8823" s="8">
        <v>39987.315405092595</v>
      </c>
      <c r="M8823" s="9" t="s">
        <v>19</v>
      </c>
      <c r="N8823" s="9" t="s">
        <v>20</v>
      </c>
      <c r="O8823" s="6" t="str">
        <f>HYPERLINK("https://pbs.twimg.com/profile_images/962471262747529216/Uo8lOkRJ_normal.jpg","View")</f>
        <v>View</v>
      </c>
      <c r="P8823" s="7"/>
    </row>
    <row r="8824" spans="1:16">
      <c r="A8824" s="3">
        <v>44061.071192129632</v>
      </c>
      <c r="B8824" s="4" t="str">
        <f>HYPERLINK("https://twitter.com/petrogustavo","@petrogustavo")</f>
        <v>@petrogustavo</v>
      </c>
      <c r="C8824" s="5" t="s">
        <v>16</v>
      </c>
      <c r="D8824" s="5" t="s">
        <v>8493</v>
      </c>
      <c r="E8824" s="6" t="str">
        <f>HYPERLINK("https://twitter.com/petrogustavo/status/1295453473560039424","1295453473560039424")</f>
        <v>1295453473560039424</v>
      </c>
      <c r="F8824" s="7" t="s">
        <v>17</v>
      </c>
      <c r="G8824" s="7">
        <v>3940565</v>
      </c>
      <c r="H8824" s="7">
        <v>2423</v>
      </c>
      <c r="I8824" s="7">
        <v>52</v>
      </c>
      <c r="J8824" s="7">
        <v>0</v>
      </c>
      <c r="K8824" s="7" t="s">
        <v>18</v>
      </c>
      <c r="L8824" s="8">
        <v>39987.315405092595</v>
      </c>
      <c r="M8824" s="9" t="s">
        <v>19</v>
      </c>
      <c r="N8824" s="9" t="s">
        <v>20</v>
      </c>
      <c r="O8824" s="6" t="str">
        <f>HYPERLINK("https://pbs.twimg.com/profile_images/962471262747529216/Uo8lOkRJ_normal.jpg","View")</f>
        <v>View</v>
      </c>
      <c r="P8824" s="7"/>
    </row>
    <row r="8825" spans="1:16">
      <c r="A8825" s="3">
        <v>44061.071446759262</v>
      </c>
      <c r="B8825" s="4" t="str">
        <f>HYPERLINK("https://twitter.com/petrogustavo","@petrogustavo")</f>
        <v>@petrogustavo</v>
      </c>
      <c r="C8825" s="5" t="s">
        <v>16</v>
      </c>
      <c r="D8825" s="5" t="s">
        <v>8494</v>
      </c>
      <c r="E8825" s="6" t="str">
        <f>HYPERLINK("https://twitter.com/petrogustavo/status/1295453569282342913","1295453569282342913")</f>
        <v>1295453569282342913</v>
      </c>
      <c r="F8825" s="7" t="s">
        <v>17</v>
      </c>
      <c r="G8825" s="7">
        <v>3940565</v>
      </c>
      <c r="H8825" s="7">
        <v>2423</v>
      </c>
      <c r="I8825" s="7">
        <v>65</v>
      </c>
      <c r="J8825" s="7">
        <v>0</v>
      </c>
      <c r="K8825" s="7" t="s">
        <v>18</v>
      </c>
      <c r="L8825" s="8">
        <v>39987.315405092595</v>
      </c>
      <c r="M8825" s="9" t="s">
        <v>19</v>
      </c>
      <c r="N8825" s="9" t="s">
        <v>20</v>
      </c>
      <c r="O8825" s="6" t="str">
        <f>HYPERLINK("https://pbs.twimg.com/profile_images/962471262747529216/Uo8lOkRJ_normal.jpg","View")</f>
        <v>View</v>
      </c>
      <c r="P8825" s="7"/>
    </row>
    <row r="8826" spans="1:16">
      <c r="A8826" s="3">
        <v>44061.071504629625</v>
      </c>
      <c r="B8826" s="4" t="str">
        <f>HYPERLINK("https://twitter.com/petrogustavo","@petrogustavo")</f>
        <v>@petrogustavo</v>
      </c>
      <c r="C8826" s="5" t="s">
        <v>16</v>
      </c>
      <c r="D8826" s="5" t="s">
        <v>8495</v>
      </c>
      <c r="E8826" s="6" t="str">
        <f>HYPERLINK("https://twitter.com/petrogustavo/status/1295453587078811650","1295453587078811650")</f>
        <v>1295453587078811650</v>
      </c>
      <c r="F8826" s="7" t="s">
        <v>17</v>
      </c>
      <c r="G8826" s="7">
        <v>3940565</v>
      </c>
      <c r="H8826" s="7">
        <v>2423</v>
      </c>
      <c r="I8826" s="7">
        <v>52</v>
      </c>
      <c r="J8826" s="7">
        <v>0</v>
      </c>
      <c r="K8826" s="7" t="s">
        <v>18</v>
      </c>
      <c r="L8826" s="8">
        <v>39987.315405092595</v>
      </c>
      <c r="M8826" s="9" t="s">
        <v>19</v>
      </c>
      <c r="N8826" s="9" t="s">
        <v>20</v>
      </c>
      <c r="O8826" s="6" t="str">
        <f>HYPERLINK("https://pbs.twimg.com/profile_images/962471262747529216/Uo8lOkRJ_normal.jpg","View")</f>
        <v>View</v>
      </c>
      <c r="P8826" s="7"/>
    </row>
    <row r="8827" spans="1:16">
      <c r="A8827" s="3">
        <v>44061.076249999998</v>
      </c>
      <c r="B8827" s="4" t="str">
        <f>HYPERLINK("https://twitter.com/petrogustavo","@petrogustavo")</f>
        <v>@petrogustavo</v>
      </c>
      <c r="C8827" s="5" t="s">
        <v>16</v>
      </c>
      <c r="D8827" s="5" t="s">
        <v>8496</v>
      </c>
      <c r="E8827" s="6" t="str">
        <f>HYPERLINK("https://twitter.com/petrogustavo/status/1295455310086316038","1295455310086316038")</f>
        <v>1295455310086316038</v>
      </c>
      <c r="F8827" s="7" t="s">
        <v>17</v>
      </c>
      <c r="G8827" s="7">
        <v>3940565</v>
      </c>
      <c r="H8827" s="7">
        <v>2423</v>
      </c>
      <c r="I8827" s="7">
        <v>1528</v>
      </c>
      <c r="J8827" s="7">
        <v>0</v>
      </c>
      <c r="K8827" s="7" t="s">
        <v>18</v>
      </c>
      <c r="L8827" s="8">
        <v>39987.315405092595</v>
      </c>
      <c r="M8827" s="9" t="s">
        <v>19</v>
      </c>
      <c r="N8827" s="9" t="s">
        <v>20</v>
      </c>
      <c r="O8827" s="6" t="str">
        <f>HYPERLINK("https://pbs.twimg.com/profile_images/962471262747529216/Uo8lOkRJ_normal.jpg","View")</f>
        <v>View</v>
      </c>
      <c r="P8827" s="7"/>
    </row>
    <row r="8828" spans="1:16">
      <c r="A8828" s="3">
        <v>44061.087604166663</v>
      </c>
      <c r="B8828" s="4" t="str">
        <f>HYPERLINK("https://twitter.com/petrogustavo","@petrogustavo")</f>
        <v>@petrogustavo</v>
      </c>
      <c r="C8828" s="5" t="s">
        <v>16</v>
      </c>
      <c r="D8828" s="5" t="s">
        <v>8497</v>
      </c>
      <c r="E8828" s="6" t="str">
        <f>HYPERLINK("https://twitter.com/petrogustavo/status/1295459424295956482","1295459424295956482")</f>
        <v>1295459424295956482</v>
      </c>
      <c r="F8828" s="7" t="s">
        <v>32</v>
      </c>
      <c r="G8828" s="7">
        <v>3940590</v>
      </c>
      <c r="H8828" s="7">
        <v>2423</v>
      </c>
      <c r="I8828" s="7">
        <v>20</v>
      </c>
      <c r="J8828" s="7">
        <v>0</v>
      </c>
      <c r="K8828" s="7" t="s">
        <v>18</v>
      </c>
      <c r="L8828" s="8">
        <v>39987.315405092595</v>
      </c>
      <c r="M8828" s="9" t="s">
        <v>19</v>
      </c>
      <c r="N8828" s="9" t="s">
        <v>20</v>
      </c>
      <c r="O8828" s="6" t="str">
        <f>HYPERLINK("https://pbs.twimg.com/profile_images/962471262747529216/Uo8lOkRJ_normal.jpg","View")</f>
        <v>View</v>
      </c>
      <c r="P8828" s="7"/>
    </row>
    <row r="8829" spans="1:16">
      <c r="A8829" s="3">
        <v>44061.087766203702</v>
      </c>
      <c r="B8829" s="4" t="str">
        <f>HYPERLINK("https://twitter.com/petrogustavo","@petrogustavo")</f>
        <v>@petrogustavo</v>
      </c>
      <c r="C8829" s="5" t="s">
        <v>16</v>
      </c>
      <c r="D8829" s="5" t="s">
        <v>8498</v>
      </c>
      <c r="E8829" s="6" t="str">
        <f>HYPERLINK("https://twitter.com/petrogustavo/status/1295459480008888320","1295459480008888320")</f>
        <v>1295459480008888320</v>
      </c>
      <c r="F8829" s="7" t="s">
        <v>32</v>
      </c>
      <c r="G8829" s="7">
        <v>3940590</v>
      </c>
      <c r="H8829" s="7">
        <v>2423</v>
      </c>
      <c r="I8829" s="7">
        <v>51</v>
      </c>
      <c r="J8829" s="7">
        <v>0</v>
      </c>
      <c r="K8829" s="7" t="s">
        <v>18</v>
      </c>
      <c r="L8829" s="8">
        <v>39987.315405092595</v>
      </c>
      <c r="M8829" s="9" t="s">
        <v>19</v>
      </c>
      <c r="N8829" s="9" t="s">
        <v>20</v>
      </c>
      <c r="O8829" s="6" t="str">
        <f>HYPERLINK("https://pbs.twimg.com/profile_images/962471262747529216/Uo8lOkRJ_normal.jpg","View")</f>
        <v>View</v>
      </c>
      <c r="P8829" s="7"/>
    </row>
    <row r="8830" spans="1:16">
      <c r="A8830" s="3">
        <v>44061.089097222226</v>
      </c>
      <c r="B8830" s="4" t="str">
        <f>HYPERLINK("https://twitter.com/petrogustavo","@petrogustavo")</f>
        <v>@petrogustavo</v>
      </c>
      <c r="C8830" s="5" t="s">
        <v>16</v>
      </c>
      <c r="D8830" s="5" t="s">
        <v>8499</v>
      </c>
      <c r="E8830" s="6" t="str">
        <f>HYPERLINK("https://twitter.com/petrogustavo/status/1295459964568428545","1295459964568428545")</f>
        <v>1295459964568428545</v>
      </c>
      <c r="F8830" s="7" t="s">
        <v>32</v>
      </c>
      <c r="G8830" s="7">
        <v>3940590</v>
      </c>
      <c r="H8830" s="7">
        <v>2423</v>
      </c>
      <c r="I8830" s="7">
        <v>75</v>
      </c>
      <c r="J8830" s="7">
        <v>0</v>
      </c>
      <c r="K8830" s="7" t="s">
        <v>18</v>
      </c>
      <c r="L8830" s="8">
        <v>39987.315405092595</v>
      </c>
      <c r="M8830" s="9" t="s">
        <v>19</v>
      </c>
      <c r="N8830" s="9" t="s">
        <v>20</v>
      </c>
      <c r="O8830" s="6" t="str">
        <f>HYPERLINK("https://pbs.twimg.com/profile_images/962471262747529216/Uo8lOkRJ_normal.jpg","View")</f>
        <v>View</v>
      </c>
      <c r="P8830" s="7"/>
    </row>
    <row r="8831" spans="1:16">
      <c r="A8831" s="3">
        <v>44061.090150462958</v>
      </c>
      <c r="B8831" s="4" t="str">
        <f>HYPERLINK("https://twitter.com/petrogustavo","@petrogustavo")</f>
        <v>@petrogustavo</v>
      </c>
      <c r="C8831" s="5" t="s">
        <v>16</v>
      </c>
      <c r="D8831" s="5" t="s">
        <v>8500</v>
      </c>
      <c r="E8831" s="6" t="str">
        <f>HYPERLINK("https://twitter.com/petrogustavo/status/1295460345977413633","1295460345977413633")</f>
        <v>1295460345977413633</v>
      </c>
      <c r="F8831" s="7" t="s">
        <v>32</v>
      </c>
      <c r="G8831" s="7">
        <v>3940590</v>
      </c>
      <c r="H8831" s="7">
        <v>2423</v>
      </c>
      <c r="I8831" s="7">
        <v>59</v>
      </c>
      <c r="J8831" s="7">
        <v>0</v>
      </c>
      <c r="K8831" s="7" t="s">
        <v>18</v>
      </c>
      <c r="L8831" s="8">
        <v>39987.315405092595</v>
      </c>
      <c r="M8831" s="9" t="s">
        <v>19</v>
      </c>
      <c r="N8831" s="9" t="s">
        <v>20</v>
      </c>
      <c r="O8831" s="6" t="str">
        <f>HYPERLINK("https://pbs.twimg.com/profile_images/962471262747529216/Uo8lOkRJ_normal.jpg","View")</f>
        <v>View</v>
      </c>
      <c r="P8831" s="7"/>
    </row>
    <row r="8832" spans="1:16">
      <c r="A8832" s="3">
        <v>44061.095243055555</v>
      </c>
      <c r="B8832" s="4" t="str">
        <f>HYPERLINK("https://twitter.com/petrogustavo","@petrogustavo")</f>
        <v>@petrogustavo</v>
      </c>
      <c r="C8832" s="5" t="s">
        <v>16</v>
      </c>
      <c r="D8832" s="5" t="s">
        <v>8496</v>
      </c>
      <c r="E8832" s="6" t="str">
        <f>HYPERLINK("https://twitter.com/petrogustavo/status/1295462190774988800","1295462190774988800")</f>
        <v>1295462190774988800</v>
      </c>
      <c r="F8832" s="7" t="s">
        <v>32</v>
      </c>
      <c r="G8832" s="7">
        <v>3940590</v>
      </c>
      <c r="H8832" s="7">
        <v>2423</v>
      </c>
      <c r="I8832" s="7">
        <v>2554</v>
      </c>
      <c r="J8832" s="7">
        <v>0</v>
      </c>
      <c r="K8832" s="7" t="s">
        <v>18</v>
      </c>
      <c r="L8832" s="8">
        <v>39987.315405092595</v>
      </c>
      <c r="M8832" s="9" t="s">
        <v>19</v>
      </c>
      <c r="N8832" s="9" t="s">
        <v>20</v>
      </c>
      <c r="O8832" s="6" t="str">
        <f>HYPERLINK("https://pbs.twimg.com/profile_images/962471262747529216/Uo8lOkRJ_normal.jpg","View")</f>
        <v>View</v>
      </c>
      <c r="P8832" s="7"/>
    </row>
    <row r="8833" spans="1:16">
      <c r="A8833" s="3">
        <v>44061.143159722225</v>
      </c>
      <c r="B8833" s="4" t="str">
        <f>HYPERLINK("https://twitter.com/petrogustavo","@petrogustavo")</f>
        <v>@petrogustavo</v>
      </c>
      <c r="C8833" s="5" t="s">
        <v>16</v>
      </c>
      <c r="D8833" s="5" t="s">
        <v>8501</v>
      </c>
      <c r="E8833" s="6" t="str">
        <f>HYPERLINK("https://twitter.com/petrogustavo/status/1295479557248765952","1295479557248765952")</f>
        <v>1295479557248765952</v>
      </c>
      <c r="F8833" s="7" t="s">
        <v>32</v>
      </c>
      <c r="G8833" s="7">
        <v>3940614</v>
      </c>
      <c r="H8833" s="7">
        <v>2423</v>
      </c>
      <c r="I8833" s="7">
        <v>255</v>
      </c>
      <c r="J8833" s="7">
        <v>0</v>
      </c>
      <c r="K8833" s="7" t="s">
        <v>18</v>
      </c>
      <c r="L8833" s="8">
        <v>39987.315405092595</v>
      </c>
      <c r="M8833" s="9" t="s">
        <v>19</v>
      </c>
      <c r="N8833" s="9" t="s">
        <v>20</v>
      </c>
      <c r="O8833" s="6" t="str">
        <f>HYPERLINK("https://pbs.twimg.com/profile_images/962471262747529216/Uo8lOkRJ_normal.jpg","View")</f>
        <v>View</v>
      </c>
      <c r="P8833" s="7"/>
    </row>
    <row r="8834" spans="1:16">
      <c r="A8834" s="3">
        <v>44061.143865740742</v>
      </c>
      <c r="B8834" s="4" t="str">
        <f>HYPERLINK("https://twitter.com/petrogustavo","@petrogustavo")</f>
        <v>@petrogustavo</v>
      </c>
      <c r="C8834" s="5" t="s">
        <v>16</v>
      </c>
      <c r="D8834" s="5" t="s">
        <v>8502</v>
      </c>
      <c r="E8834" s="6" t="str">
        <f>HYPERLINK("https://twitter.com/petrogustavo/status/1295479811201216512","1295479811201216512")</f>
        <v>1295479811201216512</v>
      </c>
      <c r="F8834" s="7" t="s">
        <v>32</v>
      </c>
      <c r="G8834" s="7">
        <v>3940614</v>
      </c>
      <c r="H8834" s="7">
        <v>2423</v>
      </c>
      <c r="I8834" s="7">
        <v>34</v>
      </c>
      <c r="J8834" s="7">
        <v>0</v>
      </c>
      <c r="K8834" s="7" t="s">
        <v>18</v>
      </c>
      <c r="L8834" s="8">
        <v>39987.315405092595</v>
      </c>
      <c r="M8834" s="9" t="s">
        <v>19</v>
      </c>
      <c r="N8834" s="9" t="s">
        <v>20</v>
      </c>
      <c r="O8834" s="6" t="str">
        <f>HYPERLINK("https://pbs.twimg.com/profile_images/962471262747529216/Uo8lOkRJ_normal.jpg","View")</f>
        <v>View</v>
      </c>
      <c r="P8834" s="7"/>
    </row>
    <row r="8835" spans="1:16">
      <c r="A8835" s="3">
        <v>44061.143993055557</v>
      </c>
      <c r="B8835" s="4" t="str">
        <f>HYPERLINK("https://twitter.com/petrogustavo","@petrogustavo")</f>
        <v>@petrogustavo</v>
      </c>
      <c r="C8835" s="5" t="s">
        <v>16</v>
      </c>
      <c r="D8835" s="5" t="s">
        <v>8503</v>
      </c>
      <c r="E8835" s="6" t="str">
        <f>HYPERLINK("https://twitter.com/petrogustavo/status/1295479855417565184","1295479855417565184")</f>
        <v>1295479855417565184</v>
      </c>
      <c r="F8835" s="7" t="s">
        <v>32</v>
      </c>
      <c r="G8835" s="7">
        <v>3940614</v>
      </c>
      <c r="H8835" s="7">
        <v>2423</v>
      </c>
      <c r="I8835" s="7">
        <v>30</v>
      </c>
      <c r="J8835" s="7">
        <v>0</v>
      </c>
      <c r="K8835" s="7" t="s">
        <v>18</v>
      </c>
      <c r="L8835" s="8">
        <v>39987.315405092595</v>
      </c>
      <c r="M8835" s="9" t="s">
        <v>19</v>
      </c>
      <c r="N8835" s="9" t="s">
        <v>20</v>
      </c>
      <c r="O8835" s="6" t="str">
        <f>HYPERLINK("https://pbs.twimg.com/profile_images/962471262747529216/Uo8lOkRJ_normal.jpg","View")</f>
        <v>View</v>
      </c>
      <c r="P8835" s="7"/>
    </row>
    <row r="8836" spans="1:16">
      <c r="A8836" s="3">
        <v>44061.144861111112</v>
      </c>
      <c r="B8836" s="4" t="str">
        <f>HYPERLINK("https://twitter.com/petrogustavo","@petrogustavo")</f>
        <v>@petrogustavo</v>
      </c>
      <c r="C8836" s="5" t="s">
        <v>16</v>
      </c>
      <c r="D8836" s="5" t="s">
        <v>8504</v>
      </c>
      <c r="E8836" s="6" t="str">
        <f>HYPERLINK("https://twitter.com/petrogustavo/status/1295480172238512130","1295480172238512130")</f>
        <v>1295480172238512130</v>
      </c>
      <c r="F8836" s="7" t="s">
        <v>32</v>
      </c>
      <c r="G8836" s="7">
        <v>3940614</v>
      </c>
      <c r="H8836" s="7">
        <v>2423</v>
      </c>
      <c r="I8836" s="7">
        <v>18</v>
      </c>
      <c r="J8836" s="7">
        <v>0</v>
      </c>
      <c r="K8836" s="7" t="s">
        <v>18</v>
      </c>
      <c r="L8836" s="8">
        <v>39987.315405092595</v>
      </c>
      <c r="M8836" s="9" t="s">
        <v>19</v>
      </c>
      <c r="N8836" s="9" t="s">
        <v>20</v>
      </c>
      <c r="O8836" s="6" t="str">
        <f>HYPERLINK("https://pbs.twimg.com/profile_images/962471262747529216/Uo8lOkRJ_normal.jpg","View")</f>
        <v>View</v>
      </c>
      <c r="P8836" s="7"/>
    </row>
    <row r="8837" spans="1:16">
      <c r="A8837" s="3">
        <v>44061.145023148143</v>
      </c>
      <c r="B8837" s="4" t="str">
        <f>HYPERLINK("https://twitter.com/petrogustavo","@petrogustavo")</f>
        <v>@petrogustavo</v>
      </c>
      <c r="C8837" s="5" t="s">
        <v>16</v>
      </c>
      <c r="D8837" s="5" t="s">
        <v>8505</v>
      </c>
      <c r="E8837" s="6" t="str">
        <f>HYPERLINK("https://twitter.com/petrogustavo/status/1295480231998959623","1295480231998959623")</f>
        <v>1295480231998959623</v>
      </c>
      <c r="F8837" s="7" t="s">
        <v>32</v>
      </c>
      <c r="G8837" s="7">
        <v>3940614</v>
      </c>
      <c r="H8837" s="7">
        <v>2423</v>
      </c>
      <c r="I8837" s="7">
        <v>24</v>
      </c>
      <c r="J8837" s="7">
        <v>0</v>
      </c>
      <c r="K8837" s="7" t="s">
        <v>18</v>
      </c>
      <c r="L8837" s="8">
        <v>39987.315405092595</v>
      </c>
      <c r="M8837" s="9" t="s">
        <v>19</v>
      </c>
      <c r="N8837" s="9" t="s">
        <v>20</v>
      </c>
      <c r="O8837" s="6" t="str">
        <f>HYPERLINK("https://pbs.twimg.com/profile_images/962471262747529216/Uo8lOkRJ_normal.jpg","View")</f>
        <v>View</v>
      </c>
      <c r="P8837" s="7"/>
    </row>
    <row r="8838" spans="1:16">
      <c r="A8838" s="3">
        <v>44061.14508101852</v>
      </c>
      <c r="B8838" s="4" t="str">
        <f>HYPERLINK("https://twitter.com/petrogustavo","@petrogustavo")</f>
        <v>@petrogustavo</v>
      </c>
      <c r="C8838" s="5" t="s">
        <v>16</v>
      </c>
      <c r="D8838" s="5" t="s">
        <v>8506</v>
      </c>
      <c r="E8838" s="6" t="str">
        <f>HYPERLINK("https://twitter.com/petrogustavo/status/1295480251569639427","1295480251569639427")</f>
        <v>1295480251569639427</v>
      </c>
      <c r="F8838" s="7" t="s">
        <v>32</v>
      </c>
      <c r="G8838" s="7">
        <v>3940614</v>
      </c>
      <c r="H8838" s="7">
        <v>2423</v>
      </c>
      <c r="I8838" s="7">
        <v>17</v>
      </c>
      <c r="J8838" s="7">
        <v>0</v>
      </c>
      <c r="K8838" s="7" t="s">
        <v>18</v>
      </c>
      <c r="L8838" s="8">
        <v>39987.315405092595</v>
      </c>
      <c r="M8838" s="9" t="s">
        <v>19</v>
      </c>
      <c r="N8838" s="9" t="s">
        <v>20</v>
      </c>
      <c r="O8838" s="6" t="str">
        <f>HYPERLINK("https://pbs.twimg.com/profile_images/962471262747529216/Uo8lOkRJ_normal.jpg","View")</f>
        <v>View</v>
      </c>
      <c r="P8838" s="7"/>
    </row>
    <row r="8839" spans="1:16">
      <c r="A8839" s="3">
        <v>44061.14570601852</v>
      </c>
      <c r="B8839" s="4" t="str">
        <f>HYPERLINK("https://twitter.com/petrogustavo","@petrogustavo")</f>
        <v>@petrogustavo</v>
      </c>
      <c r="C8839" s="5" t="s">
        <v>16</v>
      </c>
      <c r="D8839" s="5" t="s">
        <v>8507</v>
      </c>
      <c r="E8839" s="6" t="str">
        <f>HYPERLINK("https://twitter.com/petrogustavo/status/1295480480113074176","1295480480113074176")</f>
        <v>1295480480113074176</v>
      </c>
      <c r="F8839" s="7" t="s">
        <v>32</v>
      </c>
      <c r="G8839" s="7">
        <v>3940614</v>
      </c>
      <c r="H8839" s="7">
        <v>2423</v>
      </c>
      <c r="I8839" s="7">
        <v>28</v>
      </c>
      <c r="J8839" s="7">
        <v>0</v>
      </c>
      <c r="K8839" s="7" t="s">
        <v>18</v>
      </c>
      <c r="L8839" s="8">
        <v>39987.315405092595</v>
      </c>
      <c r="M8839" s="9" t="s">
        <v>19</v>
      </c>
      <c r="N8839" s="9" t="s">
        <v>20</v>
      </c>
      <c r="O8839" s="6" t="str">
        <f>HYPERLINK("https://pbs.twimg.com/profile_images/962471262747529216/Uo8lOkRJ_normal.jpg","View")</f>
        <v>View</v>
      </c>
      <c r="P8839" s="7"/>
    </row>
    <row r="8840" spans="1:16">
      <c r="A8840" s="3">
        <v>44061.148761574077</v>
      </c>
      <c r="B8840" s="4" t="str">
        <f>HYPERLINK("https://twitter.com/petrogustavo","@petrogustavo")</f>
        <v>@petrogustavo</v>
      </c>
      <c r="C8840" s="5" t="s">
        <v>16</v>
      </c>
      <c r="D8840" s="5" t="s">
        <v>8508</v>
      </c>
      <c r="E8840" s="6" t="str">
        <f>HYPERLINK("https://twitter.com/petrogustavo/status/1295481584695627777","1295481584695627777")</f>
        <v>1295481584695627777</v>
      </c>
      <c r="F8840" s="7" t="s">
        <v>32</v>
      </c>
      <c r="G8840" s="7">
        <v>3940651</v>
      </c>
      <c r="H8840" s="7">
        <v>2423</v>
      </c>
      <c r="I8840" s="7">
        <v>4161</v>
      </c>
      <c r="J8840" s="7">
        <v>0</v>
      </c>
      <c r="K8840" s="7" t="s">
        <v>18</v>
      </c>
      <c r="L8840" s="8">
        <v>39987.315405092595</v>
      </c>
      <c r="M8840" s="9" t="s">
        <v>19</v>
      </c>
      <c r="N8840" s="9" t="s">
        <v>20</v>
      </c>
      <c r="O8840" s="6" t="str">
        <f>HYPERLINK("https://pbs.twimg.com/profile_images/962471262747529216/Uo8lOkRJ_normal.jpg","View")</f>
        <v>View</v>
      </c>
      <c r="P8840" s="7"/>
    </row>
    <row r="8841" spans="1:16">
      <c r="A8841" s="3">
        <v>44061.149189814816</v>
      </c>
      <c r="B8841" s="4" t="str">
        <f>HYPERLINK("https://twitter.com/petrogustavo","@petrogustavo")</f>
        <v>@petrogustavo</v>
      </c>
      <c r="C8841" s="5" t="s">
        <v>16</v>
      </c>
      <c r="D8841" s="5" t="s">
        <v>8509</v>
      </c>
      <c r="E8841" s="6" t="str">
        <f>HYPERLINK("https://twitter.com/petrogustavo/status/1295481741734555649","1295481741734555649")</f>
        <v>1295481741734555649</v>
      </c>
      <c r="F8841" s="7" t="s">
        <v>32</v>
      </c>
      <c r="G8841" s="7">
        <v>3940651</v>
      </c>
      <c r="H8841" s="7">
        <v>2423</v>
      </c>
      <c r="I8841" s="7">
        <v>52</v>
      </c>
      <c r="J8841" s="7">
        <v>0</v>
      </c>
      <c r="K8841" s="7" t="s">
        <v>18</v>
      </c>
      <c r="L8841" s="8">
        <v>39987.315405092595</v>
      </c>
      <c r="M8841" s="9" t="s">
        <v>19</v>
      </c>
      <c r="N8841" s="9" t="s">
        <v>20</v>
      </c>
      <c r="O8841" s="6" t="str">
        <f>HYPERLINK("https://pbs.twimg.com/profile_images/962471262747529216/Uo8lOkRJ_normal.jpg","View")</f>
        <v>View</v>
      </c>
      <c r="P8841" s="7"/>
    </row>
    <row r="8842" spans="1:16">
      <c r="A8842" s="3">
        <v>44061.150787037041</v>
      </c>
      <c r="B8842" s="4" t="str">
        <f>HYPERLINK("https://twitter.com/petrogustavo","@petrogustavo")</f>
        <v>@petrogustavo</v>
      </c>
      <c r="C8842" s="5" t="s">
        <v>16</v>
      </c>
      <c r="D8842" s="5" t="s">
        <v>8510</v>
      </c>
      <c r="E8842" s="6" t="str">
        <f>HYPERLINK("https://twitter.com/petrogustavo/status/1295482318870712327","1295482318870712327")</f>
        <v>1295482318870712327</v>
      </c>
      <c r="F8842" s="7" t="s">
        <v>32</v>
      </c>
      <c r="G8842" s="7">
        <v>3940651</v>
      </c>
      <c r="H8842" s="7">
        <v>2423</v>
      </c>
      <c r="I8842" s="7">
        <v>66</v>
      </c>
      <c r="J8842" s="7">
        <v>0</v>
      </c>
      <c r="K8842" s="7" t="s">
        <v>18</v>
      </c>
      <c r="L8842" s="8">
        <v>39987.315405092595</v>
      </c>
      <c r="M8842" s="9" t="s">
        <v>19</v>
      </c>
      <c r="N8842" s="9" t="s">
        <v>20</v>
      </c>
      <c r="O8842" s="6" t="str">
        <f>HYPERLINK("https://pbs.twimg.com/profile_images/962471262747529216/Uo8lOkRJ_normal.jpg","View")</f>
        <v>View</v>
      </c>
      <c r="P8842" s="7"/>
    </row>
    <row r="8843" spans="1:16">
      <c r="A8843" s="3">
        <v>44061.153564814813</v>
      </c>
      <c r="B8843" s="4" t="str">
        <f>HYPERLINK("https://twitter.com/petrogustavo","@petrogustavo")</f>
        <v>@petrogustavo</v>
      </c>
      <c r="C8843" s="5" t="s">
        <v>16</v>
      </c>
      <c r="D8843" s="5" t="s">
        <v>8496</v>
      </c>
      <c r="E8843" s="6" t="str">
        <f>HYPERLINK("https://twitter.com/petrogustavo/status/1295483325453340675","1295483325453340675")</f>
        <v>1295483325453340675</v>
      </c>
      <c r="F8843" s="7" t="s">
        <v>32</v>
      </c>
      <c r="G8843" s="7">
        <v>3940651</v>
      </c>
      <c r="H8843" s="7">
        <v>2423</v>
      </c>
      <c r="I8843" s="7">
        <v>4650</v>
      </c>
      <c r="J8843" s="7">
        <v>0</v>
      </c>
      <c r="K8843" s="7" t="s">
        <v>18</v>
      </c>
      <c r="L8843" s="8">
        <v>39987.315405092595</v>
      </c>
      <c r="M8843" s="9" t="s">
        <v>19</v>
      </c>
      <c r="N8843" s="9" t="s">
        <v>20</v>
      </c>
      <c r="O8843" s="6" t="str">
        <f>HYPERLINK("https://pbs.twimg.com/profile_images/962471262747529216/Uo8lOkRJ_normal.jpg","View")</f>
        <v>View</v>
      </c>
      <c r="P8843" s="7"/>
    </row>
    <row r="8844" spans="1:16">
      <c r="A8844" s="3">
        <v>44061.228032407409</v>
      </c>
      <c r="B8844" s="4" t="str">
        <f>HYPERLINK("https://twitter.com/petrogustavo","@petrogustavo")</f>
        <v>@petrogustavo</v>
      </c>
      <c r="C8844" s="5" t="s">
        <v>16</v>
      </c>
      <c r="D8844" s="5" t="s">
        <v>8511</v>
      </c>
      <c r="E8844" s="6" t="str">
        <f>HYPERLINK("https://twitter.com/petrogustavo/status/1295510313803153408","1295510313803153408")</f>
        <v>1295510313803153408</v>
      </c>
      <c r="F8844" s="7" t="s">
        <v>32</v>
      </c>
      <c r="G8844" s="7">
        <v>3940712</v>
      </c>
      <c r="H8844" s="7">
        <v>2423</v>
      </c>
      <c r="I8844" s="7">
        <v>664</v>
      </c>
      <c r="J8844" s="7">
        <v>0</v>
      </c>
      <c r="K8844" s="7" t="s">
        <v>18</v>
      </c>
      <c r="L8844" s="8">
        <v>39987.315405092595</v>
      </c>
      <c r="M8844" s="9" t="s">
        <v>19</v>
      </c>
      <c r="N8844" s="9" t="s">
        <v>20</v>
      </c>
      <c r="O8844" s="6" t="str">
        <f>HYPERLINK("https://pbs.twimg.com/profile_images/962471262747529216/Uo8lOkRJ_normal.jpg","View")</f>
        <v>View</v>
      </c>
      <c r="P8844" s="7"/>
    </row>
    <row r="8845" spans="1:16">
      <c r="A8845" s="3">
        <v>44061.24832175926</v>
      </c>
      <c r="B8845" s="4" t="str">
        <f>HYPERLINK("https://twitter.com/petrogustavo","@petrogustavo")</f>
        <v>@petrogustavo</v>
      </c>
      <c r="C8845" s="5" t="s">
        <v>16</v>
      </c>
      <c r="D8845" s="5" t="s">
        <v>8512</v>
      </c>
      <c r="E8845" s="6" t="str">
        <f>HYPERLINK("https://twitter.com/petrogustavo/status/1295517664216002560","1295517664216002560")</f>
        <v>1295517664216002560</v>
      </c>
      <c r="F8845" s="7" t="s">
        <v>32</v>
      </c>
      <c r="G8845" s="7">
        <v>3940750</v>
      </c>
      <c r="H8845" s="7">
        <v>2423</v>
      </c>
      <c r="I8845" s="7">
        <v>44</v>
      </c>
      <c r="J8845" s="7">
        <v>208</v>
      </c>
      <c r="K8845" s="7" t="s">
        <v>18</v>
      </c>
      <c r="L8845" s="8">
        <v>39987.315405092595</v>
      </c>
      <c r="M8845" s="9" t="s">
        <v>19</v>
      </c>
      <c r="N8845" s="9" t="s">
        <v>20</v>
      </c>
      <c r="O8845" s="6" t="str">
        <f>HYPERLINK("https://pbs.twimg.com/profile_images/962471262747529216/Uo8lOkRJ_normal.jpg","View")</f>
        <v>View</v>
      </c>
      <c r="P8845" s="7"/>
    </row>
    <row r="8846" spans="1:16">
      <c r="A8846" s="3">
        <v>44061.355451388888</v>
      </c>
      <c r="B8846" s="4" t="str">
        <f>HYPERLINK("https://twitter.com/petrogustavo","@petrogustavo")</f>
        <v>@petrogustavo</v>
      </c>
      <c r="C8846" s="5" t="s">
        <v>16</v>
      </c>
      <c r="D8846" s="5" t="s">
        <v>8513</v>
      </c>
      <c r="E8846" s="6" t="str">
        <f>HYPERLINK("https://twitter.com/petrogustavo/status/1295556485838245890","1295556485838245890")</f>
        <v>1295556485838245890</v>
      </c>
      <c r="F8846" s="7" t="s">
        <v>17</v>
      </c>
      <c r="G8846" s="7">
        <v>3940933</v>
      </c>
      <c r="H8846" s="7">
        <v>2423</v>
      </c>
      <c r="I8846" s="7">
        <v>1081</v>
      </c>
      <c r="J8846" s="7">
        <v>0</v>
      </c>
      <c r="K8846" s="7" t="s">
        <v>18</v>
      </c>
      <c r="L8846" s="8">
        <v>39987.315405092595</v>
      </c>
      <c r="M8846" s="9" t="s">
        <v>19</v>
      </c>
      <c r="N8846" s="9" t="s">
        <v>20</v>
      </c>
      <c r="O8846" s="6" t="str">
        <f>HYPERLINK("https://pbs.twimg.com/profile_images/962471262747529216/Uo8lOkRJ_normal.jpg","View")</f>
        <v>View</v>
      </c>
      <c r="P8846" s="7"/>
    </row>
    <row r="8847" spans="1:16">
      <c r="A8847" s="3">
        <v>44061.355624999997</v>
      </c>
      <c r="B8847" s="4" t="str">
        <f>HYPERLINK("https://twitter.com/petrogustavo","@petrogustavo")</f>
        <v>@petrogustavo</v>
      </c>
      <c r="C8847" s="5" t="s">
        <v>16</v>
      </c>
      <c r="D8847" s="5" t="s">
        <v>8514</v>
      </c>
      <c r="E8847" s="6" t="str">
        <f>HYPERLINK("https://twitter.com/petrogustavo/status/1295556552011796482","1295556552011796482")</f>
        <v>1295556552011796482</v>
      </c>
      <c r="F8847" s="7" t="s">
        <v>17</v>
      </c>
      <c r="G8847" s="7">
        <v>3940933</v>
      </c>
      <c r="H8847" s="7">
        <v>2423</v>
      </c>
      <c r="I8847" s="7">
        <v>86</v>
      </c>
      <c r="J8847" s="7">
        <v>0</v>
      </c>
      <c r="K8847" s="7" t="s">
        <v>18</v>
      </c>
      <c r="L8847" s="8">
        <v>39987.315405092595</v>
      </c>
      <c r="M8847" s="9" t="s">
        <v>19</v>
      </c>
      <c r="N8847" s="9" t="s">
        <v>20</v>
      </c>
      <c r="O8847" s="6" t="str">
        <f>HYPERLINK("https://pbs.twimg.com/profile_images/962471262747529216/Uo8lOkRJ_normal.jpg","View")</f>
        <v>View</v>
      </c>
      <c r="P8847" s="7"/>
    </row>
    <row r="8848" spans="1:16">
      <c r="A8848" s="3">
        <v>44061.357511574075</v>
      </c>
      <c r="B8848" s="4" t="str">
        <f>HYPERLINK("https://twitter.com/petrogustavo","@petrogustavo")</f>
        <v>@petrogustavo</v>
      </c>
      <c r="C8848" s="5" t="s">
        <v>16</v>
      </c>
      <c r="D8848" s="5" t="s">
        <v>8515</v>
      </c>
      <c r="E8848" s="6" t="str">
        <f>HYPERLINK("https://twitter.com/petrogustavo/status/1295557232889925633","1295557232889925633")</f>
        <v>1295557232889925633</v>
      </c>
      <c r="F8848" s="7" t="s">
        <v>17</v>
      </c>
      <c r="G8848" s="7">
        <v>3940953</v>
      </c>
      <c r="H8848" s="7">
        <v>2423</v>
      </c>
      <c r="I8848" s="7">
        <v>449</v>
      </c>
      <c r="J8848" s="7">
        <v>0</v>
      </c>
      <c r="K8848" s="7" t="s">
        <v>18</v>
      </c>
      <c r="L8848" s="8">
        <v>39987.315405092595</v>
      </c>
      <c r="M8848" s="9" t="s">
        <v>19</v>
      </c>
      <c r="N8848" s="9" t="s">
        <v>20</v>
      </c>
      <c r="O8848" s="6" t="str">
        <f>HYPERLINK("https://pbs.twimg.com/profile_images/962471262747529216/Uo8lOkRJ_normal.jpg","View")</f>
        <v>View</v>
      </c>
      <c r="P8848" s="7"/>
    </row>
    <row r="8849" spans="1:16">
      <c r="A8849" s="3">
        <v>44061.361597222218</v>
      </c>
      <c r="B8849" s="4" t="str">
        <f>HYPERLINK("https://twitter.com/petrogustavo","@petrogustavo")</f>
        <v>@petrogustavo</v>
      </c>
      <c r="C8849" s="5" t="s">
        <v>16</v>
      </c>
      <c r="D8849" s="5" t="s">
        <v>8516</v>
      </c>
      <c r="E8849" s="6" t="str">
        <f>HYPERLINK("https://twitter.com/petrogustavo/status/1295558715110817794","1295558715110817794")</f>
        <v>1295558715110817794</v>
      </c>
      <c r="F8849" s="7" t="s">
        <v>17</v>
      </c>
      <c r="G8849" s="7">
        <v>3940953</v>
      </c>
      <c r="H8849" s="7">
        <v>2423</v>
      </c>
      <c r="I8849" s="7">
        <v>87</v>
      </c>
      <c r="J8849" s="7">
        <v>0</v>
      </c>
      <c r="K8849" s="7" t="s">
        <v>18</v>
      </c>
      <c r="L8849" s="8">
        <v>39987.315405092595</v>
      </c>
      <c r="M8849" s="9" t="s">
        <v>19</v>
      </c>
      <c r="N8849" s="9" t="s">
        <v>20</v>
      </c>
      <c r="O8849" s="6" t="str">
        <f>HYPERLINK("https://pbs.twimg.com/profile_images/962471262747529216/Uo8lOkRJ_normal.jpg","View")</f>
        <v>View</v>
      </c>
      <c r="P8849" s="7"/>
    </row>
    <row r="8850" spans="1:16">
      <c r="A8850" s="3">
        <v>44061.362256944441</v>
      </c>
      <c r="B8850" s="4" t="str">
        <f>HYPERLINK("https://twitter.com/petrogustavo","@petrogustavo")</f>
        <v>@petrogustavo</v>
      </c>
      <c r="C8850" s="5" t="s">
        <v>16</v>
      </c>
      <c r="D8850" s="5" t="s">
        <v>8517</v>
      </c>
      <c r="E8850" s="6" t="str">
        <f>HYPERLINK("https://twitter.com/petrogustavo/status/1295558954286829568","1295558954286829568")</f>
        <v>1295558954286829568</v>
      </c>
      <c r="F8850" s="7" t="s">
        <v>17</v>
      </c>
      <c r="G8850" s="7">
        <v>3940953</v>
      </c>
      <c r="H8850" s="7">
        <v>2423</v>
      </c>
      <c r="I8850" s="7">
        <v>65</v>
      </c>
      <c r="J8850" s="7">
        <v>0</v>
      </c>
      <c r="K8850" s="7" t="s">
        <v>18</v>
      </c>
      <c r="L8850" s="8">
        <v>39987.315405092595</v>
      </c>
      <c r="M8850" s="9" t="s">
        <v>19</v>
      </c>
      <c r="N8850" s="9" t="s">
        <v>20</v>
      </c>
      <c r="O8850" s="6" t="str">
        <f>HYPERLINK("https://pbs.twimg.com/profile_images/962471262747529216/Uo8lOkRJ_normal.jpg","View")</f>
        <v>View</v>
      </c>
      <c r="P8850" s="7"/>
    </row>
    <row r="8851" spans="1:16">
      <c r="A8851" s="3">
        <v>44061.362546296295</v>
      </c>
      <c r="B8851" s="4" t="str">
        <f>HYPERLINK("https://twitter.com/petrogustavo","@petrogustavo")</f>
        <v>@petrogustavo</v>
      </c>
      <c r="C8851" s="5" t="s">
        <v>16</v>
      </c>
      <c r="D8851" s="5" t="s">
        <v>8518</v>
      </c>
      <c r="E8851" s="6" t="str">
        <f>HYPERLINK("https://twitter.com/petrogustavo/status/1295559057152122882","1295559057152122882")</f>
        <v>1295559057152122882</v>
      </c>
      <c r="F8851" s="7" t="s">
        <v>17</v>
      </c>
      <c r="G8851" s="7">
        <v>3940953</v>
      </c>
      <c r="H8851" s="7">
        <v>2423</v>
      </c>
      <c r="I8851" s="7">
        <v>42</v>
      </c>
      <c r="J8851" s="7">
        <v>0</v>
      </c>
      <c r="K8851" s="7" t="s">
        <v>18</v>
      </c>
      <c r="L8851" s="8">
        <v>39987.315405092595</v>
      </c>
      <c r="M8851" s="9" t="s">
        <v>19</v>
      </c>
      <c r="N8851" s="9" t="s">
        <v>20</v>
      </c>
      <c r="O8851" s="6" t="str">
        <f>HYPERLINK("https://pbs.twimg.com/profile_images/962471262747529216/Uo8lOkRJ_normal.jpg","View")</f>
        <v>View</v>
      </c>
      <c r="P8851" s="7"/>
    </row>
    <row r="8852" spans="1:16">
      <c r="A8852" s="3">
        <v>44061.362870370373</v>
      </c>
      <c r="B8852" s="4" t="str">
        <f>HYPERLINK("https://twitter.com/petrogustavo","@petrogustavo")</f>
        <v>@petrogustavo</v>
      </c>
      <c r="C8852" s="5" t="s">
        <v>16</v>
      </c>
      <c r="D8852" s="5" t="s">
        <v>8519</v>
      </c>
      <c r="E8852" s="6" t="str">
        <f>HYPERLINK("https://twitter.com/petrogustavo/status/1295559175351742473","1295559175351742473")</f>
        <v>1295559175351742473</v>
      </c>
      <c r="F8852" s="7" t="s">
        <v>17</v>
      </c>
      <c r="G8852" s="7">
        <v>3940953</v>
      </c>
      <c r="H8852" s="7">
        <v>2423</v>
      </c>
      <c r="I8852" s="7">
        <v>97</v>
      </c>
      <c r="J8852" s="7">
        <v>0</v>
      </c>
      <c r="K8852" s="7" t="s">
        <v>18</v>
      </c>
      <c r="L8852" s="8">
        <v>39987.315405092595</v>
      </c>
      <c r="M8852" s="9" t="s">
        <v>19</v>
      </c>
      <c r="N8852" s="9" t="s">
        <v>20</v>
      </c>
      <c r="O8852" s="6" t="str">
        <f>HYPERLINK("https://pbs.twimg.com/profile_images/962471262747529216/Uo8lOkRJ_normal.jpg","View")</f>
        <v>View</v>
      </c>
      <c r="P8852" s="7"/>
    </row>
    <row r="8853" spans="1:16">
      <c r="A8853" s="3">
        <v>44061.36314814815</v>
      </c>
      <c r="B8853" s="4" t="str">
        <f>HYPERLINK("https://twitter.com/petrogustavo","@petrogustavo")</f>
        <v>@petrogustavo</v>
      </c>
      <c r="C8853" s="5" t="s">
        <v>16</v>
      </c>
      <c r="D8853" s="5" t="s">
        <v>8520</v>
      </c>
      <c r="E8853" s="6" t="str">
        <f>HYPERLINK("https://twitter.com/petrogustavo/status/1295559275650088961","1295559275650088961")</f>
        <v>1295559275650088961</v>
      </c>
      <c r="F8853" s="7" t="s">
        <v>17</v>
      </c>
      <c r="G8853" s="7">
        <v>3940953</v>
      </c>
      <c r="H8853" s="7">
        <v>2423</v>
      </c>
      <c r="I8853" s="7">
        <v>69</v>
      </c>
      <c r="J8853" s="7">
        <v>0</v>
      </c>
      <c r="K8853" s="7" t="s">
        <v>18</v>
      </c>
      <c r="L8853" s="8">
        <v>39987.315405092595</v>
      </c>
      <c r="M8853" s="9" t="s">
        <v>19</v>
      </c>
      <c r="N8853" s="9" t="s">
        <v>20</v>
      </c>
      <c r="O8853" s="6" t="str">
        <f>HYPERLINK("https://pbs.twimg.com/profile_images/962471262747529216/Uo8lOkRJ_normal.jpg","View")</f>
        <v>View</v>
      </c>
      <c r="P8853" s="7"/>
    </row>
    <row r="8854" spans="1:16">
      <c r="A8854" s="3">
        <v>44061.37903935185</v>
      </c>
      <c r="B8854" s="4" t="str">
        <f>HYPERLINK("https://twitter.com/petrogustavo","@petrogustavo")</f>
        <v>@petrogustavo</v>
      </c>
      <c r="C8854" s="5" t="s">
        <v>16</v>
      </c>
      <c r="D8854" s="5" t="s">
        <v>8521</v>
      </c>
      <c r="E8854" s="6" t="str">
        <f>HYPERLINK("https://twitter.com/petrogustavo/status/1295565033498435584","1295565033498435584")</f>
        <v>1295565033498435584</v>
      </c>
      <c r="F8854" s="7" t="s">
        <v>17</v>
      </c>
      <c r="G8854" s="7">
        <v>3940984</v>
      </c>
      <c r="H8854" s="7">
        <v>2424</v>
      </c>
      <c r="I8854" s="7">
        <v>79</v>
      </c>
      <c r="J8854" s="7">
        <v>0</v>
      </c>
      <c r="K8854" s="7" t="s">
        <v>18</v>
      </c>
      <c r="L8854" s="8">
        <v>39987.315405092595</v>
      </c>
      <c r="M8854" s="9" t="s">
        <v>19</v>
      </c>
      <c r="N8854" s="9" t="s">
        <v>20</v>
      </c>
      <c r="O8854" s="6" t="str">
        <f>HYPERLINK("https://pbs.twimg.com/profile_images/962471262747529216/Uo8lOkRJ_normal.jpg","View")</f>
        <v>View</v>
      </c>
      <c r="P8854" s="7"/>
    </row>
    <row r="8855" spans="1:16">
      <c r="A8855" s="3">
        <v>44061.387800925921</v>
      </c>
      <c r="B8855" s="4" t="str">
        <f>HYPERLINK("https://twitter.com/petrogustavo","@petrogustavo")</f>
        <v>@petrogustavo</v>
      </c>
      <c r="C8855" s="5" t="s">
        <v>16</v>
      </c>
      <c r="D8855" s="5" t="s">
        <v>8522</v>
      </c>
      <c r="E8855" s="6" t="str">
        <f>HYPERLINK("https://twitter.com/petrogustavo/status/1295568208716587009","1295568208716587009")</f>
        <v>1295568208716587009</v>
      </c>
      <c r="F8855" s="7" t="s">
        <v>17</v>
      </c>
      <c r="G8855" s="7">
        <v>3940984</v>
      </c>
      <c r="H8855" s="7">
        <v>2424</v>
      </c>
      <c r="I8855" s="7">
        <v>631</v>
      </c>
      <c r="J8855" s="7">
        <v>0</v>
      </c>
      <c r="K8855" s="7" t="s">
        <v>18</v>
      </c>
      <c r="L8855" s="8">
        <v>39987.315405092595</v>
      </c>
      <c r="M8855" s="9" t="s">
        <v>19</v>
      </c>
      <c r="N8855" s="9" t="s">
        <v>20</v>
      </c>
      <c r="O8855" s="6" t="str">
        <f>HYPERLINK("https://pbs.twimg.com/profile_images/962471262747529216/Uo8lOkRJ_normal.jpg","View")</f>
        <v>View</v>
      </c>
      <c r="P8855" s="7"/>
    </row>
    <row r="8856" spans="1:16">
      <c r="A8856" s="3">
        <v>44061.746527777781</v>
      </c>
      <c r="B8856" s="4" t="str">
        <f>HYPERLINK("https://twitter.com/petrogustavo","@petrogustavo")</f>
        <v>@petrogustavo</v>
      </c>
      <c r="C8856" s="5" t="s">
        <v>16</v>
      </c>
      <c r="D8856" s="5" t="s">
        <v>8523</v>
      </c>
      <c r="E8856" s="6" t="str">
        <f>HYPERLINK("https://twitter.com/petrogustavo/status/1295698210485424131","1295698210485424131")</f>
        <v>1295698210485424131</v>
      </c>
      <c r="F8856" s="7" t="s">
        <v>17</v>
      </c>
      <c r="G8856" s="7">
        <v>3941114</v>
      </c>
      <c r="H8856" s="7">
        <v>2424</v>
      </c>
      <c r="I8856" s="7">
        <v>209</v>
      </c>
      <c r="J8856" s="7">
        <v>0</v>
      </c>
      <c r="K8856" s="7" t="s">
        <v>18</v>
      </c>
      <c r="L8856" s="8">
        <v>39987.315405092595</v>
      </c>
      <c r="M8856" s="9" t="s">
        <v>19</v>
      </c>
      <c r="N8856" s="9" t="s">
        <v>20</v>
      </c>
      <c r="O8856" s="6" t="str">
        <f>HYPERLINK("https://pbs.twimg.com/profile_images/962471262747529216/Uo8lOkRJ_normal.jpg","View")</f>
        <v>View</v>
      </c>
      <c r="P8856" s="7"/>
    </row>
    <row r="8857" spans="1:16">
      <c r="A8857" s="3">
        <v>44061.749699074076</v>
      </c>
      <c r="B8857" s="4" t="str">
        <f>HYPERLINK("https://twitter.com/petrogustavo","@petrogustavo")</f>
        <v>@petrogustavo</v>
      </c>
      <c r="C8857" s="5" t="s">
        <v>16</v>
      </c>
      <c r="D8857" s="5" t="s">
        <v>8524</v>
      </c>
      <c r="E8857" s="6" t="str">
        <f>HYPERLINK("https://twitter.com/petrogustavo/status/1295699357505859585","1295699357505859585")</f>
        <v>1295699357505859585</v>
      </c>
      <c r="F8857" s="7" t="s">
        <v>17</v>
      </c>
      <c r="G8857" s="7">
        <v>3941114</v>
      </c>
      <c r="H8857" s="7">
        <v>2424</v>
      </c>
      <c r="I8857" s="7">
        <v>53</v>
      </c>
      <c r="J8857" s="7">
        <v>129</v>
      </c>
      <c r="K8857" s="7" t="s">
        <v>18</v>
      </c>
      <c r="L8857" s="8">
        <v>39987.315405092595</v>
      </c>
      <c r="M8857" s="9" t="s">
        <v>19</v>
      </c>
      <c r="N8857" s="9" t="s">
        <v>20</v>
      </c>
      <c r="O8857" s="6" t="str">
        <f>HYPERLINK("https://pbs.twimg.com/profile_images/962471262747529216/Uo8lOkRJ_normal.jpg","View")</f>
        <v>View</v>
      </c>
      <c r="P8857" s="7"/>
    </row>
    <row r="8858" spans="1:16">
      <c r="A8858" s="3">
        <v>44061.750324074077</v>
      </c>
      <c r="B8858" s="4" t="str">
        <f>HYPERLINK("https://twitter.com/petrogustavo","@petrogustavo")</f>
        <v>@petrogustavo</v>
      </c>
      <c r="C8858" s="5" t="s">
        <v>16</v>
      </c>
      <c r="D8858" s="5" t="s">
        <v>8525</v>
      </c>
      <c r="E8858" s="6" t="str">
        <f>HYPERLINK("https://twitter.com/petrogustavo/status/1295699584661028864","1295699584661028864")</f>
        <v>1295699584661028864</v>
      </c>
      <c r="F8858" s="7" t="s">
        <v>17</v>
      </c>
      <c r="G8858" s="7">
        <v>3941114</v>
      </c>
      <c r="H8858" s="7">
        <v>2424</v>
      </c>
      <c r="I8858" s="7">
        <v>12</v>
      </c>
      <c r="J8858" s="7">
        <v>87</v>
      </c>
      <c r="K8858" s="7" t="s">
        <v>18</v>
      </c>
      <c r="L8858" s="8">
        <v>39987.315405092595</v>
      </c>
      <c r="M8858" s="9" t="s">
        <v>19</v>
      </c>
      <c r="N8858" s="9" t="s">
        <v>20</v>
      </c>
      <c r="O8858" s="6" t="str">
        <f>HYPERLINK("https://pbs.twimg.com/profile_images/962471262747529216/Uo8lOkRJ_normal.jpg","View")</f>
        <v>View</v>
      </c>
      <c r="P8858" s="7"/>
    </row>
    <row r="8859" spans="1:16">
      <c r="A8859" s="3">
        <v>44061.75377314815</v>
      </c>
      <c r="B8859" s="4" t="str">
        <f>HYPERLINK("https://twitter.com/petrogustavo","@petrogustavo")</f>
        <v>@petrogustavo</v>
      </c>
      <c r="C8859" s="5" t="s">
        <v>16</v>
      </c>
      <c r="D8859" s="5" t="s">
        <v>8526</v>
      </c>
      <c r="E8859" s="6" t="str">
        <f>HYPERLINK("https://twitter.com/petrogustavo/status/1295700835972915201","1295700835972915201")</f>
        <v>1295700835972915201</v>
      </c>
      <c r="F8859" s="7" t="s">
        <v>17</v>
      </c>
      <c r="G8859" s="7">
        <v>3941119</v>
      </c>
      <c r="H8859" s="7">
        <v>2424</v>
      </c>
      <c r="I8859" s="7">
        <v>50</v>
      </c>
      <c r="J8859" s="7">
        <v>121</v>
      </c>
      <c r="K8859" s="7" t="s">
        <v>18</v>
      </c>
      <c r="L8859" s="8">
        <v>39987.315405092595</v>
      </c>
      <c r="M8859" s="9" t="s">
        <v>19</v>
      </c>
      <c r="N8859" s="9" t="s">
        <v>20</v>
      </c>
      <c r="O8859" s="6" t="str">
        <f>HYPERLINK("https://pbs.twimg.com/profile_images/962471262747529216/Uo8lOkRJ_normal.jpg","View")</f>
        <v>View</v>
      </c>
      <c r="P8859" s="7"/>
    </row>
    <row r="8860" spans="1:16">
      <c r="A8860" s="3">
        <v>44061.759965277779</v>
      </c>
      <c r="B8860" s="4" t="str">
        <f>HYPERLINK("https://twitter.com/petrogustavo","@petrogustavo")</f>
        <v>@petrogustavo</v>
      </c>
      <c r="C8860" s="5" t="s">
        <v>16</v>
      </c>
      <c r="D8860" s="5" t="s">
        <v>8527</v>
      </c>
      <c r="E8860" s="6" t="str">
        <f>HYPERLINK("https://twitter.com/petrogustavo/status/1295703078017150976","1295703078017150976")</f>
        <v>1295703078017150976</v>
      </c>
      <c r="F8860" s="7" t="s">
        <v>17</v>
      </c>
      <c r="G8860" s="7">
        <v>3941119</v>
      </c>
      <c r="H8860" s="7">
        <v>2424</v>
      </c>
      <c r="I8860" s="7">
        <v>105</v>
      </c>
      <c r="J8860" s="7">
        <v>234</v>
      </c>
      <c r="K8860" s="7" t="s">
        <v>18</v>
      </c>
      <c r="L8860" s="8">
        <v>39987.315405092595</v>
      </c>
      <c r="M8860" s="9" t="s">
        <v>19</v>
      </c>
      <c r="N8860" s="9" t="s">
        <v>20</v>
      </c>
      <c r="O8860" s="6" t="str">
        <f>HYPERLINK("https://pbs.twimg.com/profile_images/962471262747529216/Uo8lOkRJ_normal.jpg","View")</f>
        <v>View</v>
      </c>
      <c r="P8860" s="7"/>
    </row>
    <row r="8861" spans="1:16">
      <c r="A8861" s="3">
        <v>44061.763761574075</v>
      </c>
      <c r="B8861" s="4" t="str">
        <f>HYPERLINK("https://twitter.com/petrogustavo","@petrogustavo")</f>
        <v>@petrogustavo</v>
      </c>
      <c r="C8861" s="5" t="s">
        <v>16</v>
      </c>
      <c r="D8861" s="5" t="s">
        <v>8528</v>
      </c>
      <c r="E8861" s="6" t="str">
        <f>HYPERLINK("https://twitter.com/petrogustavo/status/1295704454222811136","1295704454222811136")</f>
        <v>1295704454222811136</v>
      </c>
      <c r="F8861" s="7" t="s">
        <v>17</v>
      </c>
      <c r="G8861" s="7">
        <v>3941119</v>
      </c>
      <c r="H8861" s="7">
        <v>2424</v>
      </c>
      <c r="I8861" s="7">
        <v>60</v>
      </c>
      <c r="J8861" s="7">
        <v>179</v>
      </c>
      <c r="K8861" s="7" t="s">
        <v>18</v>
      </c>
      <c r="L8861" s="8">
        <v>39987.315405092595</v>
      </c>
      <c r="M8861" s="9" t="s">
        <v>19</v>
      </c>
      <c r="N8861" s="9" t="s">
        <v>20</v>
      </c>
      <c r="O8861" s="6" t="str">
        <f>HYPERLINK("https://pbs.twimg.com/profile_images/962471262747529216/Uo8lOkRJ_normal.jpg","View")</f>
        <v>View</v>
      </c>
      <c r="P8861" s="7"/>
    </row>
    <row r="8862" spans="1:16">
      <c r="A8862" s="3">
        <v>44061.766180555554</v>
      </c>
      <c r="B8862" s="4" t="str">
        <f>HYPERLINK("https://twitter.com/petrogustavo","@petrogustavo")</f>
        <v>@petrogustavo</v>
      </c>
      <c r="C8862" s="5" t="s">
        <v>16</v>
      </c>
      <c r="D8862" s="5" t="s">
        <v>8529</v>
      </c>
      <c r="E8862" s="6" t="str">
        <f>HYPERLINK("https://twitter.com/petrogustavo/status/1295705329536204800","1295705329536204800")</f>
        <v>1295705329536204800</v>
      </c>
      <c r="F8862" s="7" t="s">
        <v>17</v>
      </c>
      <c r="G8862" s="7">
        <v>3941119</v>
      </c>
      <c r="H8862" s="7">
        <v>2424</v>
      </c>
      <c r="I8862" s="7">
        <v>26</v>
      </c>
      <c r="J8862" s="7">
        <v>73</v>
      </c>
      <c r="K8862" s="7" t="s">
        <v>18</v>
      </c>
      <c r="L8862" s="8">
        <v>39987.315405092595</v>
      </c>
      <c r="M8862" s="9" t="s">
        <v>19</v>
      </c>
      <c r="N8862" s="9" t="s">
        <v>20</v>
      </c>
      <c r="O8862" s="6" t="str">
        <f>HYPERLINK("https://pbs.twimg.com/profile_images/962471262747529216/Uo8lOkRJ_normal.jpg","View")</f>
        <v>View</v>
      </c>
      <c r="P8862" s="7"/>
    </row>
    <row r="8863" spans="1:16">
      <c r="A8863" s="3">
        <v>44061.768391203703</v>
      </c>
      <c r="B8863" s="4" t="str">
        <f>HYPERLINK("https://twitter.com/petrogustavo","@petrogustavo")</f>
        <v>@petrogustavo</v>
      </c>
      <c r="C8863" s="5" t="s">
        <v>16</v>
      </c>
      <c r="D8863" s="5" t="s">
        <v>8530</v>
      </c>
      <c r="E8863" s="6" t="str">
        <f>HYPERLINK("https://twitter.com/petrogustavo/status/1295706129994055680","1295706129994055680")</f>
        <v>1295706129994055680</v>
      </c>
      <c r="F8863" s="7" t="s">
        <v>17</v>
      </c>
      <c r="G8863" s="7">
        <v>3941119</v>
      </c>
      <c r="H8863" s="7">
        <v>2424</v>
      </c>
      <c r="I8863" s="7">
        <v>74</v>
      </c>
      <c r="J8863" s="7">
        <v>0</v>
      </c>
      <c r="K8863" s="7" t="s">
        <v>18</v>
      </c>
      <c r="L8863" s="8">
        <v>39987.315405092595</v>
      </c>
      <c r="M8863" s="9" t="s">
        <v>19</v>
      </c>
      <c r="N8863" s="9" t="s">
        <v>20</v>
      </c>
      <c r="O8863" s="6" t="str">
        <f>HYPERLINK("https://pbs.twimg.com/profile_images/962471262747529216/Uo8lOkRJ_normal.jpg","View")</f>
        <v>View</v>
      </c>
      <c r="P8863" s="7"/>
    </row>
    <row r="8864" spans="1:16">
      <c r="A8864" s="3">
        <v>44061.777766203704</v>
      </c>
      <c r="B8864" s="4" t="str">
        <f>HYPERLINK("https://twitter.com/petrogustavo","@petrogustavo")</f>
        <v>@petrogustavo</v>
      </c>
      <c r="C8864" s="5" t="s">
        <v>16</v>
      </c>
      <c r="D8864" s="5" t="s">
        <v>8531</v>
      </c>
      <c r="E8864" s="6" t="str">
        <f>HYPERLINK("https://twitter.com/petrogustavo/status/1295709528646979585","1295709528646979585")</f>
        <v>1295709528646979585</v>
      </c>
      <c r="F8864" s="7" t="s">
        <v>17</v>
      </c>
      <c r="G8864" s="7">
        <v>3941143</v>
      </c>
      <c r="H8864" s="7">
        <v>2424</v>
      </c>
      <c r="I8864" s="7">
        <v>33</v>
      </c>
      <c r="J8864" s="7">
        <v>89</v>
      </c>
      <c r="K8864" s="7" t="s">
        <v>18</v>
      </c>
      <c r="L8864" s="8">
        <v>39987.315405092595</v>
      </c>
      <c r="M8864" s="9" t="s">
        <v>19</v>
      </c>
      <c r="N8864" s="9" t="s">
        <v>20</v>
      </c>
      <c r="O8864" s="6" t="str">
        <f>HYPERLINK("https://pbs.twimg.com/profile_images/962471262747529216/Uo8lOkRJ_normal.jpg","View")</f>
        <v>View</v>
      </c>
      <c r="P8864" s="7"/>
    </row>
    <row r="8865" spans="1:16">
      <c r="A8865" s="3">
        <v>44061.77924768519</v>
      </c>
      <c r="B8865" s="4" t="str">
        <f>HYPERLINK("https://twitter.com/petrogustavo","@petrogustavo")</f>
        <v>@petrogustavo</v>
      </c>
      <c r="C8865" s="5" t="s">
        <v>16</v>
      </c>
      <c r="D8865" s="5" t="s">
        <v>8532</v>
      </c>
      <c r="E8865" s="6" t="str">
        <f>HYPERLINK("https://twitter.com/petrogustavo/status/1295710066256076802","1295710066256076802")</f>
        <v>1295710066256076802</v>
      </c>
      <c r="F8865" s="7" t="s">
        <v>17</v>
      </c>
      <c r="G8865" s="7">
        <v>3941143</v>
      </c>
      <c r="H8865" s="7">
        <v>2424</v>
      </c>
      <c r="I8865" s="7">
        <v>62</v>
      </c>
      <c r="J8865" s="7">
        <v>0</v>
      </c>
      <c r="K8865" s="7" t="s">
        <v>18</v>
      </c>
      <c r="L8865" s="8">
        <v>39987.315405092595</v>
      </c>
      <c r="M8865" s="9" t="s">
        <v>19</v>
      </c>
      <c r="N8865" s="9" t="s">
        <v>20</v>
      </c>
      <c r="O8865" s="6" t="str">
        <f>HYPERLINK("https://pbs.twimg.com/profile_images/962471262747529216/Uo8lOkRJ_normal.jpg","View")</f>
        <v>View</v>
      </c>
      <c r="P8865" s="7"/>
    </row>
    <row r="8866" spans="1:16">
      <c r="A8866" s="3">
        <v>44061.781504629631</v>
      </c>
      <c r="B8866" s="4" t="str">
        <f>HYPERLINK("https://twitter.com/petrogustavo","@petrogustavo")</f>
        <v>@petrogustavo</v>
      </c>
      <c r="C8866" s="5" t="s">
        <v>16</v>
      </c>
      <c r="D8866" s="5" t="s">
        <v>8533</v>
      </c>
      <c r="E8866" s="6" t="str">
        <f>HYPERLINK("https://twitter.com/petrogustavo/status/1295710885093281793","1295710885093281793")</f>
        <v>1295710885093281793</v>
      </c>
      <c r="F8866" s="7" t="s">
        <v>17</v>
      </c>
      <c r="G8866" s="7">
        <v>3941143</v>
      </c>
      <c r="H8866" s="7">
        <v>2424</v>
      </c>
      <c r="I8866" s="7">
        <v>149</v>
      </c>
      <c r="J8866" s="7">
        <v>385</v>
      </c>
      <c r="K8866" s="7" t="s">
        <v>18</v>
      </c>
      <c r="L8866" s="8">
        <v>39987.315405092595</v>
      </c>
      <c r="M8866" s="9" t="s">
        <v>19</v>
      </c>
      <c r="N8866" s="9" t="s">
        <v>20</v>
      </c>
      <c r="O8866" s="6" t="str">
        <f>HYPERLINK("https://pbs.twimg.com/profile_images/962471262747529216/Uo8lOkRJ_normal.jpg","View")</f>
        <v>View</v>
      </c>
      <c r="P8866" s="7"/>
    </row>
    <row r="8867" spans="1:16">
      <c r="A8867" s="3">
        <v>44061.785393518519</v>
      </c>
      <c r="B8867" s="4" t="str">
        <f>HYPERLINK("https://twitter.com/petrogustavo","@petrogustavo")</f>
        <v>@petrogustavo</v>
      </c>
      <c r="C8867" s="5" t="s">
        <v>16</v>
      </c>
      <c r="D8867" s="5" t="s">
        <v>8534</v>
      </c>
      <c r="E8867" s="6" t="str">
        <f>HYPERLINK("https://twitter.com/petrogustavo/status/1295712292336742401","1295712292336742401")</f>
        <v>1295712292336742401</v>
      </c>
      <c r="F8867" s="7" t="s">
        <v>17</v>
      </c>
      <c r="G8867" s="7">
        <v>3941143</v>
      </c>
      <c r="H8867" s="7">
        <v>2424</v>
      </c>
      <c r="I8867" s="7">
        <v>81</v>
      </c>
      <c r="J8867" s="7">
        <v>301</v>
      </c>
      <c r="K8867" s="7" t="s">
        <v>18</v>
      </c>
      <c r="L8867" s="8">
        <v>39987.315405092595</v>
      </c>
      <c r="M8867" s="9" t="s">
        <v>19</v>
      </c>
      <c r="N8867" s="9" t="s">
        <v>20</v>
      </c>
      <c r="O8867" s="6" t="str">
        <f>HYPERLINK("https://pbs.twimg.com/profile_images/962471262747529216/Uo8lOkRJ_normal.jpg","View")</f>
        <v>View</v>
      </c>
      <c r="P8867" s="7"/>
    </row>
    <row r="8868" spans="1:16">
      <c r="A8868" s="3">
        <v>44061.787210648152</v>
      </c>
      <c r="B8868" s="4" t="str">
        <f>HYPERLINK("https://twitter.com/petrogustavo","@petrogustavo")</f>
        <v>@petrogustavo</v>
      </c>
      <c r="C8868" s="5" t="s">
        <v>16</v>
      </c>
      <c r="D8868" s="5" t="s">
        <v>8535</v>
      </c>
      <c r="E8868" s="6" t="str">
        <f>HYPERLINK("https://twitter.com/petrogustavo/status/1295712953518489608","1295712953518489608")</f>
        <v>1295712953518489608</v>
      </c>
      <c r="F8868" s="7" t="s">
        <v>17</v>
      </c>
      <c r="G8868" s="7">
        <v>3941143</v>
      </c>
      <c r="H8868" s="7">
        <v>2424</v>
      </c>
      <c r="I8868" s="7">
        <v>90</v>
      </c>
      <c r="J8868" s="7">
        <v>0</v>
      </c>
      <c r="K8868" s="7" t="s">
        <v>18</v>
      </c>
      <c r="L8868" s="8">
        <v>39987.315405092595</v>
      </c>
      <c r="M8868" s="9" t="s">
        <v>19</v>
      </c>
      <c r="N8868" s="9" t="s">
        <v>20</v>
      </c>
      <c r="O8868" s="6" t="str">
        <f>HYPERLINK("https://pbs.twimg.com/profile_images/962471262747529216/Uo8lOkRJ_normal.jpg","View")</f>
        <v>View</v>
      </c>
      <c r="P8868" s="7"/>
    </row>
    <row r="8869" spans="1:16">
      <c r="A8869" s="3">
        <v>44061.789629629631</v>
      </c>
      <c r="B8869" s="4" t="str">
        <f>HYPERLINK("https://twitter.com/petrogustavo","@petrogustavo")</f>
        <v>@petrogustavo</v>
      </c>
      <c r="C8869" s="5" t="s">
        <v>16</v>
      </c>
      <c r="D8869" s="5" t="s">
        <v>8536</v>
      </c>
      <c r="E8869" s="6" t="str">
        <f>HYPERLINK("https://twitter.com/petrogustavo/status/1295713827108130817","1295713827108130817")</f>
        <v>1295713827108130817</v>
      </c>
      <c r="F8869" s="7" t="s">
        <v>17</v>
      </c>
      <c r="G8869" s="7">
        <v>3941143</v>
      </c>
      <c r="H8869" s="7">
        <v>2424</v>
      </c>
      <c r="I8869" s="7">
        <v>59</v>
      </c>
      <c r="J8869" s="7">
        <v>176</v>
      </c>
      <c r="K8869" s="7" t="s">
        <v>18</v>
      </c>
      <c r="L8869" s="8">
        <v>39987.315405092595</v>
      </c>
      <c r="M8869" s="9" t="s">
        <v>19</v>
      </c>
      <c r="N8869" s="9" t="s">
        <v>20</v>
      </c>
      <c r="O8869" s="6" t="str">
        <f>HYPERLINK("https://pbs.twimg.com/profile_images/962471262747529216/Uo8lOkRJ_normal.jpg","View")</f>
        <v>View</v>
      </c>
      <c r="P8869" s="7"/>
    </row>
    <row r="8870" spans="1:16">
      <c r="A8870" s="3">
        <v>44061.792037037041</v>
      </c>
      <c r="B8870" s="4" t="str">
        <f>HYPERLINK("https://twitter.com/petrogustavo","@petrogustavo")</f>
        <v>@petrogustavo</v>
      </c>
      <c r="C8870" s="5" t="s">
        <v>16</v>
      </c>
      <c r="D8870" s="5" t="s">
        <v>8537</v>
      </c>
      <c r="E8870" s="6" t="str">
        <f>HYPERLINK("https://twitter.com/petrogustavo/status/1295714699946995715","1295714699946995715")</f>
        <v>1295714699946995715</v>
      </c>
      <c r="F8870" s="7" t="s">
        <v>17</v>
      </c>
      <c r="G8870" s="7">
        <v>3941143</v>
      </c>
      <c r="H8870" s="7">
        <v>2424</v>
      </c>
      <c r="I8870" s="7">
        <v>21</v>
      </c>
      <c r="J8870" s="7">
        <v>80</v>
      </c>
      <c r="K8870" s="7" t="s">
        <v>18</v>
      </c>
      <c r="L8870" s="8">
        <v>39987.315405092595</v>
      </c>
      <c r="M8870" s="9" t="s">
        <v>19</v>
      </c>
      <c r="N8870" s="9" t="s">
        <v>20</v>
      </c>
      <c r="O8870" s="6" t="str">
        <f>HYPERLINK("https://pbs.twimg.com/profile_images/962471262747529216/Uo8lOkRJ_normal.jpg","View")</f>
        <v>View</v>
      </c>
      <c r="P8870" s="7"/>
    </row>
    <row r="8871" spans="1:16">
      <c r="A8871" s="3">
        <v>44061.800104166672</v>
      </c>
      <c r="B8871" s="4" t="str">
        <f>HYPERLINK("https://twitter.com/petrogustavo","@petrogustavo")</f>
        <v>@petrogustavo</v>
      </c>
      <c r="C8871" s="5" t="s">
        <v>16</v>
      </c>
      <c r="D8871" s="5" t="s">
        <v>8538</v>
      </c>
      <c r="E8871" s="6" t="str">
        <f>HYPERLINK("https://twitter.com/petrogustavo/status/1295717622886129664","1295717622886129664")</f>
        <v>1295717622886129664</v>
      </c>
      <c r="F8871" s="7" t="s">
        <v>17</v>
      </c>
      <c r="G8871" s="7">
        <v>3941158</v>
      </c>
      <c r="H8871" s="7">
        <v>2424</v>
      </c>
      <c r="I8871" s="7">
        <v>237</v>
      </c>
      <c r="J8871" s="7">
        <v>768</v>
      </c>
      <c r="K8871" s="7" t="s">
        <v>18</v>
      </c>
      <c r="L8871" s="8">
        <v>39987.315405092595</v>
      </c>
      <c r="M8871" s="9" t="s">
        <v>19</v>
      </c>
      <c r="N8871" s="9" t="s">
        <v>20</v>
      </c>
      <c r="O8871" s="6" t="str">
        <f>HYPERLINK("https://pbs.twimg.com/profile_images/962471262747529216/Uo8lOkRJ_normal.jpg","View")</f>
        <v>View</v>
      </c>
      <c r="P8871" s="7"/>
    </row>
    <row r="8872" spans="1:16">
      <c r="A8872" s="3">
        <v>44061.808877314819</v>
      </c>
      <c r="B8872" s="4" t="str">
        <f>HYPERLINK("https://twitter.com/petrogustavo","@petrogustavo")</f>
        <v>@petrogustavo</v>
      </c>
      <c r="C8872" s="5" t="s">
        <v>16</v>
      </c>
      <c r="D8872" s="5" t="s">
        <v>8539</v>
      </c>
      <c r="E8872" s="6" t="str">
        <f>HYPERLINK("https://twitter.com/petrogustavo/status/1295720804215394305","1295720804215394305")</f>
        <v>1295720804215394305</v>
      </c>
      <c r="F8872" s="7" t="s">
        <v>17</v>
      </c>
      <c r="G8872" s="7">
        <v>3941158</v>
      </c>
      <c r="H8872" s="7">
        <v>2424</v>
      </c>
      <c r="I8872" s="7">
        <v>41</v>
      </c>
      <c r="J8872" s="7">
        <v>0</v>
      </c>
      <c r="K8872" s="7" t="s">
        <v>18</v>
      </c>
      <c r="L8872" s="8">
        <v>39987.315405092595</v>
      </c>
      <c r="M8872" s="9" t="s">
        <v>19</v>
      </c>
      <c r="N8872" s="9" t="s">
        <v>20</v>
      </c>
      <c r="O8872" s="6" t="str">
        <f>HYPERLINK("https://pbs.twimg.com/profile_images/962471262747529216/Uo8lOkRJ_normal.jpg","View")</f>
        <v>View</v>
      </c>
      <c r="P8872" s="7"/>
    </row>
    <row r="8873" spans="1:16">
      <c r="A8873" s="3">
        <v>44061.809062500004</v>
      </c>
      <c r="B8873" s="4" t="str">
        <f>HYPERLINK("https://twitter.com/petrogustavo","@petrogustavo")</f>
        <v>@petrogustavo</v>
      </c>
      <c r="C8873" s="5" t="s">
        <v>16</v>
      </c>
      <c r="D8873" s="5" t="s">
        <v>8540</v>
      </c>
      <c r="E8873" s="6" t="str">
        <f>HYPERLINK("https://twitter.com/petrogustavo/status/1295720872167247872","1295720872167247872")</f>
        <v>1295720872167247872</v>
      </c>
      <c r="F8873" s="7" t="s">
        <v>17</v>
      </c>
      <c r="G8873" s="7">
        <v>3941158</v>
      </c>
      <c r="H8873" s="7">
        <v>2424</v>
      </c>
      <c r="I8873" s="7">
        <v>237</v>
      </c>
      <c r="J8873" s="7">
        <v>0</v>
      </c>
      <c r="K8873" s="7" t="s">
        <v>18</v>
      </c>
      <c r="L8873" s="8">
        <v>39987.315405092595</v>
      </c>
      <c r="M8873" s="9" t="s">
        <v>19</v>
      </c>
      <c r="N8873" s="9" t="s">
        <v>20</v>
      </c>
      <c r="O8873" s="6" t="str">
        <f>HYPERLINK("https://pbs.twimg.com/profile_images/962471262747529216/Uo8lOkRJ_normal.jpg","View")</f>
        <v>View</v>
      </c>
      <c r="P8873" s="7"/>
    </row>
    <row r="8874" spans="1:16">
      <c r="A8874" s="3">
        <v>44061.811018518521</v>
      </c>
      <c r="B8874" s="4" t="str">
        <f>HYPERLINK("https://twitter.com/petrogustavo","@petrogustavo")</f>
        <v>@petrogustavo</v>
      </c>
      <c r="C8874" s="5" t="s">
        <v>16</v>
      </c>
      <c r="D8874" s="5" t="s">
        <v>8522</v>
      </c>
      <c r="E8874" s="6" t="str">
        <f>HYPERLINK("https://twitter.com/petrogustavo/status/1295721577666027520","1295721577666027520")</f>
        <v>1295721577666027520</v>
      </c>
      <c r="F8874" s="7" t="s">
        <v>17</v>
      </c>
      <c r="G8874" s="7">
        <v>3941158</v>
      </c>
      <c r="H8874" s="7">
        <v>2424</v>
      </c>
      <c r="I8874" s="7">
        <v>903</v>
      </c>
      <c r="J8874" s="7">
        <v>0</v>
      </c>
      <c r="K8874" s="7" t="s">
        <v>18</v>
      </c>
      <c r="L8874" s="8">
        <v>39987.315405092595</v>
      </c>
      <c r="M8874" s="9" t="s">
        <v>19</v>
      </c>
      <c r="N8874" s="9" t="s">
        <v>20</v>
      </c>
      <c r="O8874" s="6" t="str">
        <f>HYPERLINK("https://pbs.twimg.com/profile_images/962471262747529216/Uo8lOkRJ_normal.jpg","View")</f>
        <v>View</v>
      </c>
      <c r="P8874" s="7"/>
    </row>
    <row r="8875" spans="1:16">
      <c r="A8875" s="3">
        <v>44061.819710648153</v>
      </c>
      <c r="B8875" s="4" t="str">
        <f>HYPERLINK("https://twitter.com/petrogustavo","@petrogustavo")</f>
        <v>@petrogustavo</v>
      </c>
      <c r="C8875" s="5" t="s">
        <v>16</v>
      </c>
      <c r="D8875" s="5" t="s">
        <v>8541</v>
      </c>
      <c r="E8875" s="6" t="str">
        <f>HYPERLINK("https://twitter.com/petrogustavo/status/1295724729140219906","1295724729140219906")</f>
        <v>1295724729140219906</v>
      </c>
      <c r="F8875" s="7" t="s">
        <v>17</v>
      </c>
      <c r="G8875" s="7">
        <v>3941182</v>
      </c>
      <c r="H8875" s="7">
        <v>2424</v>
      </c>
      <c r="I8875" s="7">
        <v>520</v>
      </c>
      <c r="J8875" s="7">
        <v>0</v>
      </c>
      <c r="K8875" s="7" t="s">
        <v>18</v>
      </c>
      <c r="L8875" s="8">
        <v>39987.315405092595</v>
      </c>
      <c r="M8875" s="9" t="s">
        <v>19</v>
      </c>
      <c r="N8875" s="9" t="s">
        <v>20</v>
      </c>
      <c r="O8875" s="6" t="str">
        <f>HYPERLINK("https://pbs.twimg.com/profile_images/962471262747529216/Uo8lOkRJ_normal.jpg","View")</f>
        <v>View</v>
      </c>
      <c r="P8875" s="7"/>
    </row>
    <row r="8876" spans="1:16">
      <c r="A8876" s="3">
        <v>44061.820092592592</v>
      </c>
      <c r="B8876" s="4" t="str">
        <f>HYPERLINK("https://twitter.com/petrogustavo","@petrogustavo")</f>
        <v>@petrogustavo</v>
      </c>
      <c r="C8876" s="5" t="s">
        <v>16</v>
      </c>
      <c r="D8876" s="5" t="s">
        <v>8522</v>
      </c>
      <c r="E8876" s="6" t="str">
        <f>HYPERLINK("https://twitter.com/petrogustavo/status/1295724869087367169","1295724869087367169")</f>
        <v>1295724869087367169</v>
      </c>
      <c r="F8876" s="7" t="s">
        <v>17</v>
      </c>
      <c r="G8876" s="7">
        <v>3941182</v>
      </c>
      <c r="H8876" s="7">
        <v>2424</v>
      </c>
      <c r="I8876" s="7">
        <v>925</v>
      </c>
      <c r="J8876" s="7">
        <v>0</v>
      </c>
      <c r="K8876" s="7" t="s">
        <v>18</v>
      </c>
      <c r="L8876" s="8">
        <v>39987.315405092595</v>
      </c>
      <c r="M8876" s="9" t="s">
        <v>19</v>
      </c>
      <c r="N8876" s="9" t="s">
        <v>20</v>
      </c>
      <c r="O8876" s="6" t="str">
        <f>HYPERLINK("https://pbs.twimg.com/profile_images/962471262747529216/Uo8lOkRJ_normal.jpg","View")</f>
        <v>View</v>
      </c>
      <c r="P8876" s="7"/>
    </row>
    <row r="8877" spans="1:16">
      <c r="A8877" s="3">
        <v>44061.838090277779</v>
      </c>
      <c r="B8877" s="4" t="str">
        <f>HYPERLINK("https://twitter.com/petrogustavo","@petrogustavo")</f>
        <v>@petrogustavo</v>
      </c>
      <c r="C8877" s="5" t="s">
        <v>16</v>
      </c>
      <c r="D8877" s="5" t="s">
        <v>8542</v>
      </c>
      <c r="E8877" s="6" t="str">
        <f>HYPERLINK("https://twitter.com/petrogustavo/status/1295731388092690432","1295731388092690432")</f>
        <v>1295731388092690432</v>
      </c>
      <c r="F8877" s="7" t="s">
        <v>32</v>
      </c>
      <c r="G8877" s="7">
        <v>3941209</v>
      </c>
      <c r="H8877" s="7">
        <v>2424</v>
      </c>
      <c r="I8877" s="7">
        <v>302</v>
      </c>
      <c r="J8877" s="7">
        <v>0</v>
      </c>
      <c r="K8877" s="7" t="s">
        <v>18</v>
      </c>
      <c r="L8877" s="8">
        <v>39987.315405092595</v>
      </c>
      <c r="M8877" s="9" t="s">
        <v>19</v>
      </c>
      <c r="N8877" s="9" t="s">
        <v>20</v>
      </c>
      <c r="O8877" s="6" t="str">
        <f>HYPERLINK("https://pbs.twimg.com/profile_images/962471262747529216/Uo8lOkRJ_normal.jpg","View")</f>
        <v>View</v>
      </c>
      <c r="P8877" s="7"/>
    </row>
    <row r="8878" spans="1:16">
      <c r="A8878" s="3">
        <v>44061.865451388891</v>
      </c>
      <c r="B8878" s="4" t="str">
        <f>HYPERLINK("https://twitter.com/petrogustavo","@petrogustavo")</f>
        <v>@petrogustavo</v>
      </c>
      <c r="C8878" s="5" t="s">
        <v>16</v>
      </c>
      <c r="D8878" s="5" t="s">
        <v>8543</v>
      </c>
      <c r="E8878" s="6" t="str">
        <f>HYPERLINK("https://twitter.com/petrogustavo/status/1295741304714952704","1295741304714952704")</f>
        <v>1295741304714952704</v>
      </c>
      <c r="F8878" s="7" t="s">
        <v>32</v>
      </c>
      <c r="G8878" s="7">
        <v>3941232</v>
      </c>
      <c r="H8878" s="7">
        <v>2424</v>
      </c>
      <c r="I8878" s="7">
        <v>152</v>
      </c>
      <c r="J8878" s="7">
        <v>540</v>
      </c>
      <c r="K8878" s="7" t="s">
        <v>18</v>
      </c>
      <c r="L8878" s="8">
        <v>39987.315405092595</v>
      </c>
      <c r="M8878" s="9" t="s">
        <v>19</v>
      </c>
      <c r="N8878" s="9" t="s">
        <v>20</v>
      </c>
      <c r="O8878" s="6" t="str">
        <f>HYPERLINK("https://pbs.twimg.com/profile_images/962471262747529216/Uo8lOkRJ_normal.jpg","View")</f>
        <v>View</v>
      </c>
      <c r="P8878" s="7"/>
    </row>
    <row r="8879" spans="1:16">
      <c r="A8879" s="3">
        <v>44061.914768518516</v>
      </c>
      <c r="B8879" s="4" t="str">
        <f>HYPERLINK("https://twitter.com/petrogustavo","@petrogustavo")</f>
        <v>@petrogustavo</v>
      </c>
      <c r="C8879" s="5" t="s">
        <v>16</v>
      </c>
      <c r="D8879" s="5" t="s">
        <v>8544</v>
      </c>
      <c r="E8879" s="6" t="str">
        <f>HYPERLINK("https://twitter.com/petrogustavo/status/1295759178242445317","1295759178242445317")</f>
        <v>1295759178242445317</v>
      </c>
      <c r="F8879" s="7" t="s">
        <v>32</v>
      </c>
      <c r="G8879" s="7">
        <v>3941301</v>
      </c>
      <c r="H8879" s="7">
        <v>2424</v>
      </c>
      <c r="I8879" s="7">
        <v>94</v>
      </c>
      <c r="J8879" s="7">
        <v>165</v>
      </c>
      <c r="K8879" s="7" t="s">
        <v>18</v>
      </c>
      <c r="L8879" s="8">
        <v>39987.315405092595</v>
      </c>
      <c r="M8879" s="9" t="s">
        <v>19</v>
      </c>
      <c r="N8879" s="9" t="s">
        <v>20</v>
      </c>
      <c r="O8879" s="6" t="str">
        <f>HYPERLINK("https://pbs.twimg.com/profile_images/962471262747529216/Uo8lOkRJ_normal.jpg","View")</f>
        <v>View</v>
      </c>
      <c r="P8879" s="7"/>
    </row>
    <row r="8880" spans="1:16">
      <c r="A8880" s="3">
        <v>44061.919594907406</v>
      </c>
      <c r="B8880" s="4" t="str">
        <f>HYPERLINK("https://twitter.com/petrogustavo","@petrogustavo")</f>
        <v>@petrogustavo</v>
      </c>
      <c r="C8880" s="5" t="s">
        <v>16</v>
      </c>
      <c r="D8880" s="5" t="s">
        <v>8545</v>
      </c>
      <c r="E8880" s="6" t="str">
        <f>HYPERLINK("https://twitter.com/petrogustavo/status/1295760924960317440","1295760924960317440")</f>
        <v>1295760924960317440</v>
      </c>
      <c r="F8880" s="7" t="s">
        <v>32</v>
      </c>
      <c r="G8880" s="7">
        <v>3941323</v>
      </c>
      <c r="H8880" s="7">
        <v>2424</v>
      </c>
      <c r="I8880" s="7">
        <v>192</v>
      </c>
      <c r="J8880" s="7">
        <v>371</v>
      </c>
      <c r="K8880" s="7" t="s">
        <v>18</v>
      </c>
      <c r="L8880" s="8">
        <v>39987.315405092595</v>
      </c>
      <c r="M8880" s="9" t="s">
        <v>19</v>
      </c>
      <c r="N8880" s="9" t="s">
        <v>20</v>
      </c>
      <c r="O8880" s="6" t="str">
        <f>HYPERLINK("https://pbs.twimg.com/profile_images/962471262747529216/Uo8lOkRJ_normal.jpg","View")</f>
        <v>View</v>
      </c>
      <c r="P8880" s="7"/>
    </row>
    <row r="8881" spans="1:16">
      <c r="A8881" s="3">
        <v>44061.978738425925</v>
      </c>
      <c r="B8881" s="4" t="str">
        <f>HYPERLINK("https://twitter.com/petrogustavo","@petrogustavo")</f>
        <v>@petrogustavo</v>
      </c>
      <c r="C8881" s="5" t="s">
        <v>16</v>
      </c>
      <c r="D8881" s="5" t="s">
        <v>8546</v>
      </c>
      <c r="E8881" s="6" t="str">
        <f>HYPERLINK("https://twitter.com/petrogustavo/status/1295782359187492864","1295782359187492864")</f>
        <v>1295782359187492864</v>
      </c>
      <c r="F8881" s="7" t="s">
        <v>32</v>
      </c>
      <c r="G8881" s="7">
        <v>3941385</v>
      </c>
      <c r="H8881" s="7">
        <v>2424</v>
      </c>
      <c r="I8881" s="7">
        <v>26</v>
      </c>
      <c r="J8881" s="7">
        <v>0</v>
      </c>
      <c r="K8881" s="7" t="s">
        <v>18</v>
      </c>
      <c r="L8881" s="8">
        <v>39987.315405092595</v>
      </c>
      <c r="M8881" s="9" t="s">
        <v>19</v>
      </c>
      <c r="N8881" s="9" t="s">
        <v>20</v>
      </c>
      <c r="O8881" s="6" t="str">
        <f>HYPERLINK("https://pbs.twimg.com/profile_images/962471262747529216/Uo8lOkRJ_normal.jpg","View")</f>
        <v>View</v>
      </c>
      <c r="P8881" s="7"/>
    </row>
    <row r="8882" spans="1:16">
      <c r="A8882" s="3">
        <v>44061.985277777778</v>
      </c>
      <c r="B8882" s="4" t="str">
        <f>HYPERLINK("https://twitter.com/petrogustavo","@petrogustavo")</f>
        <v>@petrogustavo</v>
      </c>
      <c r="C8882" s="5" t="s">
        <v>16</v>
      </c>
      <c r="D8882" s="5" t="s">
        <v>8547</v>
      </c>
      <c r="E8882" s="6" t="str">
        <f>HYPERLINK("https://twitter.com/petrogustavo/status/1295784726645608448","1295784726645608448")</f>
        <v>1295784726645608448</v>
      </c>
      <c r="F8882" s="7" t="s">
        <v>32</v>
      </c>
      <c r="G8882" s="7">
        <v>3941407</v>
      </c>
      <c r="H8882" s="7">
        <v>2424</v>
      </c>
      <c r="I8882" s="7">
        <v>587</v>
      </c>
      <c r="J8882" s="7">
        <v>0</v>
      </c>
      <c r="K8882" s="7" t="s">
        <v>18</v>
      </c>
      <c r="L8882" s="8">
        <v>39987.315405092595</v>
      </c>
      <c r="M8882" s="9" t="s">
        <v>19</v>
      </c>
      <c r="N8882" s="9" t="s">
        <v>20</v>
      </c>
      <c r="O8882" s="6" t="str">
        <f>HYPERLINK("https://pbs.twimg.com/profile_images/962471262747529216/Uo8lOkRJ_normal.jpg","View")</f>
        <v>View</v>
      </c>
      <c r="P8882" s="7"/>
    </row>
    <row r="8883" spans="1:16">
      <c r="A8883" s="3">
        <v>44062.057372685187</v>
      </c>
      <c r="B8883" s="4" t="str">
        <f>HYPERLINK("https://twitter.com/petrogustavo","@petrogustavo")</f>
        <v>@petrogustavo</v>
      </c>
      <c r="C8883" s="5" t="s">
        <v>16</v>
      </c>
      <c r="D8883" s="5" t="s">
        <v>8548</v>
      </c>
      <c r="E8883" s="6" t="str">
        <f>HYPERLINK("https://twitter.com/petrogustavo/status/1295810853980307456","1295810853980307456")</f>
        <v>1295810853980307456</v>
      </c>
      <c r="F8883" s="7" t="s">
        <v>32</v>
      </c>
      <c r="G8883" s="7">
        <v>3941476</v>
      </c>
      <c r="H8883" s="7">
        <v>2424</v>
      </c>
      <c r="I8883" s="7">
        <v>313</v>
      </c>
      <c r="J8883" s="7">
        <v>0</v>
      </c>
      <c r="K8883" s="7" t="s">
        <v>18</v>
      </c>
      <c r="L8883" s="8">
        <v>39987.315405092595</v>
      </c>
      <c r="M8883" s="9" t="s">
        <v>19</v>
      </c>
      <c r="N8883" s="9" t="s">
        <v>20</v>
      </c>
      <c r="O8883" s="6" t="str">
        <f>HYPERLINK("https://pbs.twimg.com/profile_images/962471262747529216/Uo8lOkRJ_normal.jpg","View")</f>
        <v>View</v>
      </c>
      <c r="P8883" s="7"/>
    </row>
    <row r="8884" spans="1:16">
      <c r="A8884" s="3">
        <v>44062.152847222227</v>
      </c>
      <c r="B8884" s="4" t="str">
        <f>HYPERLINK("https://twitter.com/petrogustavo","@petrogustavo")</f>
        <v>@petrogustavo</v>
      </c>
      <c r="C8884" s="5" t="s">
        <v>16</v>
      </c>
      <c r="D8884" s="5" t="s">
        <v>8549</v>
      </c>
      <c r="E8884" s="6" t="str">
        <f>HYPERLINK("https://twitter.com/petrogustavo/status/1295845452571652097","1295845452571652097")</f>
        <v>1295845452571652097</v>
      </c>
      <c r="F8884" s="7" t="s">
        <v>32</v>
      </c>
      <c r="G8884" s="7">
        <v>3941612</v>
      </c>
      <c r="H8884" s="7">
        <v>2425</v>
      </c>
      <c r="I8884" s="7">
        <v>467</v>
      </c>
      <c r="J8884" s="7">
        <v>1524</v>
      </c>
      <c r="K8884" s="7" t="s">
        <v>18</v>
      </c>
      <c r="L8884" s="8">
        <v>39987.315405092595</v>
      </c>
      <c r="M8884" s="9" t="s">
        <v>19</v>
      </c>
      <c r="N8884" s="9" t="s">
        <v>20</v>
      </c>
      <c r="O8884" s="6" t="str">
        <f>HYPERLINK("https://pbs.twimg.com/profile_images/962471262747529216/Uo8lOkRJ_normal.jpg","View")</f>
        <v>View</v>
      </c>
      <c r="P8884" s="7"/>
    </row>
    <row r="8885" spans="1:16">
      <c r="A8885" s="3">
        <v>44062.158194444448</v>
      </c>
      <c r="B8885" s="4" t="str">
        <f>HYPERLINK("https://twitter.com/petrogustavo","@petrogustavo")</f>
        <v>@petrogustavo</v>
      </c>
      <c r="C8885" s="5" t="s">
        <v>16</v>
      </c>
      <c r="D8885" s="5" t="s">
        <v>8550</v>
      </c>
      <c r="E8885" s="6" t="str">
        <f>HYPERLINK("https://twitter.com/petrogustavo/status/1295847392856678404","1295847392856678404")</f>
        <v>1295847392856678404</v>
      </c>
      <c r="F8885" s="7" t="s">
        <v>32</v>
      </c>
      <c r="G8885" s="7">
        <v>3941612</v>
      </c>
      <c r="H8885" s="7">
        <v>2425</v>
      </c>
      <c r="I8885" s="7">
        <v>136</v>
      </c>
      <c r="J8885" s="7">
        <v>334</v>
      </c>
      <c r="K8885" s="7" t="s">
        <v>18</v>
      </c>
      <c r="L8885" s="8">
        <v>39987.315405092595</v>
      </c>
      <c r="M8885" s="9" t="s">
        <v>19</v>
      </c>
      <c r="N8885" s="9" t="s">
        <v>20</v>
      </c>
      <c r="O8885" s="6" t="str">
        <f>HYPERLINK("https://pbs.twimg.com/profile_images/962471262747529216/Uo8lOkRJ_normal.jpg","View")</f>
        <v>View</v>
      </c>
      <c r="P8885" s="7"/>
    </row>
    <row r="8886" spans="1:16">
      <c r="A8886" s="3">
        <v>44062.160821759258</v>
      </c>
      <c r="B8886" s="4" t="str">
        <f>HYPERLINK("https://twitter.com/petrogustavo","@petrogustavo")</f>
        <v>@petrogustavo</v>
      </c>
      <c r="C8886" s="5" t="s">
        <v>16</v>
      </c>
      <c r="D8886" s="5" t="s">
        <v>8551</v>
      </c>
      <c r="E8886" s="6" t="str">
        <f>HYPERLINK("https://twitter.com/petrogustavo/status/1295848343378288640","1295848343378288640")</f>
        <v>1295848343378288640</v>
      </c>
      <c r="F8886" s="7" t="s">
        <v>32</v>
      </c>
      <c r="G8886" s="7">
        <v>3941612</v>
      </c>
      <c r="H8886" s="7">
        <v>2425</v>
      </c>
      <c r="I8886" s="7">
        <v>120</v>
      </c>
      <c r="J8886" s="7">
        <v>280</v>
      </c>
      <c r="K8886" s="7" t="s">
        <v>18</v>
      </c>
      <c r="L8886" s="8">
        <v>39987.315405092595</v>
      </c>
      <c r="M8886" s="9" t="s">
        <v>19</v>
      </c>
      <c r="N8886" s="9" t="s">
        <v>20</v>
      </c>
      <c r="O8886" s="6" t="str">
        <f>HYPERLINK("https://pbs.twimg.com/profile_images/962471262747529216/Uo8lOkRJ_normal.jpg","View")</f>
        <v>View</v>
      </c>
      <c r="P8886" s="7"/>
    </row>
    <row r="8887" spans="1:16">
      <c r="A8887" s="3">
        <v>44062.173275462963</v>
      </c>
      <c r="B8887" s="4" t="str">
        <f>HYPERLINK("https://twitter.com/petrogustavo","@petrogustavo")</f>
        <v>@petrogustavo</v>
      </c>
      <c r="C8887" s="5" t="s">
        <v>16</v>
      </c>
      <c r="D8887" s="5" t="s">
        <v>8552</v>
      </c>
      <c r="E8887" s="6" t="str">
        <f>HYPERLINK("https://twitter.com/petrogustavo/status/1295852854914224141","1295852854914224141")</f>
        <v>1295852854914224141</v>
      </c>
      <c r="F8887" s="7" t="s">
        <v>32</v>
      </c>
      <c r="G8887" s="7">
        <v>3941655</v>
      </c>
      <c r="H8887" s="7">
        <v>2425</v>
      </c>
      <c r="I8887" s="7">
        <v>339</v>
      </c>
      <c r="J8887" s="7">
        <v>1067</v>
      </c>
      <c r="K8887" s="7" t="s">
        <v>18</v>
      </c>
      <c r="L8887" s="8">
        <v>39987.315405092595</v>
      </c>
      <c r="M8887" s="9" t="s">
        <v>19</v>
      </c>
      <c r="N8887" s="9" t="s">
        <v>20</v>
      </c>
      <c r="O8887" s="6" t="str">
        <f>HYPERLINK("https://pbs.twimg.com/profile_images/962471262747529216/Uo8lOkRJ_normal.jpg","View")</f>
        <v>View</v>
      </c>
      <c r="P8887" s="7"/>
    </row>
    <row r="8888" spans="1:16">
      <c r="A8888" s="3">
        <v>44062.188981481479</v>
      </c>
      <c r="B8888" s="4" t="str">
        <f>HYPERLINK("https://twitter.com/petrogustavo","@petrogustavo")</f>
        <v>@petrogustavo</v>
      </c>
      <c r="C8888" s="5" t="s">
        <v>16</v>
      </c>
      <c r="D8888" s="5" t="s">
        <v>8553</v>
      </c>
      <c r="E8888" s="6" t="str">
        <f>HYPERLINK("https://twitter.com/petrogustavo/status/1295858547704639490","1295858547704639490")</f>
        <v>1295858547704639490</v>
      </c>
      <c r="F8888" s="7" t="s">
        <v>32</v>
      </c>
      <c r="G8888" s="7">
        <v>3941655</v>
      </c>
      <c r="H8888" s="7">
        <v>2425</v>
      </c>
      <c r="I8888" s="7">
        <v>19</v>
      </c>
      <c r="J8888" s="7">
        <v>40</v>
      </c>
      <c r="K8888" s="7" t="s">
        <v>18</v>
      </c>
      <c r="L8888" s="8">
        <v>39987.315405092595</v>
      </c>
      <c r="M8888" s="9" t="s">
        <v>19</v>
      </c>
      <c r="N8888" s="9" t="s">
        <v>20</v>
      </c>
      <c r="O8888" s="6" t="str">
        <f>HYPERLINK("https://pbs.twimg.com/profile_images/962471262747529216/Uo8lOkRJ_normal.jpg","View")</f>
        <v>View</v>
      </c>
      <c r="P8888" s="7"/>
    </row>
    <row r="8889" spans="1:16">
      <c r="A8889" s="3">
        <v>44062.208425925928</v>
      </c>
      <c r="B8889" s="4" t="str">
        <f>HYPERLINK("https://twitter.com/petrogustavo","@petrogustavo")</f>
        <v>@petrogustavo</v>
      </c>
      <c r="C8889" s="5" t="s">
        <v>16</v>
      </c>
      <c r="D8889" s="5" t="s">
        <v>8554</v>
      </c>
      <c r="E8889" s="6" t="str">
        <f>HYPERLINK("https://twitter.com/petrogustavo/status/1295865596580630528","1295865596580630528")</f>
        <v>1295865596580630528</v>
      </c>
      <c r="F8889" s="7" t="s">
        <v>17</v>
      </c>
      <c r="G8889" s="7">
        <v>3941692</v>
      </c>
      <c r="H8889" s="7">
        <v>2425</v>
      </c>
      <c r="I8889" s="7">
        <v>28</v>
      </c>
      <c r="J8889" s="7">
        <v>0</v>
      </c>
      <c r="K8889" s="7" t="s">
        <v>18</v>
      </c>
      <c r="L8889" s="8">
        <v>39987.315405092595</v>
      </c>
      <c r="M8889" s="9" t="s">
        <v>19</v>
      </c>
      <c r="N8889" s="9" t="s">
        <v>20</v>
      </c>
      <c r="O8889" s="6" t="str">
        <f>HYPERLINK("https://pbs.twimg.com/profile_images/962471262747529216/Uo8lOkRJ_normal.jpg","View")</f>
        <v>View</v>
      </c>
      <c r="P8889" s="7"/>
    </row>
    <row r="8890" spans="1:16">
      <c r="A8890" s="3">
        <v>44062.208726851852</v>
      </c>
      <c r="B8890" s="4" t="str">
        <f>HYPERLINK("https://twitter.com/petrogustavo","@petrogustavo")</f>
        <v>@petrogustavo</v>
      </c>
      <c r="C8890" s="5" t="s">
        <v>16</v>
      </c>
      <c r="D8890" s="5" t="s">
        <v>8555</v>
      </c>
      <c r="E8890" s="6" t="str">
        <f>HYPERLINK("https://twitter.com/petrogustavo/status/1295865704231710721","1295865704231710721")</f>
        <v>1295865704231710721</v>
      </c>
      <c r="F8890" s="7" t="s">
        <v>17</v>
      </c>
      <c r="G8890" s="7">
        <v>3941692</v>
      </c>
      <c r="H8890" s="7">
        <v>2425</v>
      </c>
      <c r="I8890" s="7">
        <v>276</v>
      </c>
      <c r="J8890" s="7">
        <v>0</v>
      </c>
      <c r="K8890" s="7" t="s">
        <v>18</v>
      </c>
      <c r="L8890" s="8">
        <v>39987.315405092595</v>
      </c>
      <c r="M8890" s="9" t="s">
        <v>19</v>
      </c>
      <c r="N8890" s="9" t="s">
        <v>20</v>
      </c>
      <c r="O8890" s="6" t="str">
        <f>HYPERLINK("https://pbs.twimg.com/profile_images/962471262747529216/Uo8lOkRJ_normal.jpg","View")</f>
        <v>View</v>
      </c>
      <c r="P8890" s="7"/>
    </row>
    <row r="8891" spans="1:16">
      <c r="A8891" s="3">
        <v>44062.209293981483</v>
      </c>
      <c r="B8891" s="4" t="str">
        <f>HYPERLINK("https://twitter.com/petrogustavo","@petrogustavo")</f>
        <v>@petrogustavo</v>
      </c>
      <c r="C8891" s="5" t="s">
        <v>16</v>
      </c>
      <c r="D8891" s="5" t="s">
        <v>8556</v>
      </c>
      <c r="E8891" s="6" t="str">
        <f>HYPERLINK("https://twitter.com/petrogustavo/status/1295865907953180672","1295865907953180672")</f>
        <v>1295865907953180672</v>
      </c>
      <c r="F8891" s="7" t="s">
        <v>17</v>
      </c>
      <c r="G8891" s="7">
        <v>3941692</v>
      </c>
      <c r="H8891" s="7">
        <v>2425</v>
      </c>
      <c r="I8891" s="7">
        <v>857</v>
      </c>
      <c r="J8891" s="7">
        <v>0</v>
      </c>
      <c r="K8891" s="7" t="s">
        <v>18</v>
      </c>
      <c r="L8891" s="8">
        <v>39987.315405092595</v>
      </c>
      <c r="M8891" s="9" t="s">
        <v>19</v>
      </c>
      <c r="N8891" s="9" t="s">
        <v>20</v>
      </c>
      <c r="O8891" s="6" t="str">
        <f>HYPERLINK("https://pbs.twimg.com/profile_images/962471262747529216/Uo8lOkRJ_normal.jpg","View")</f>
        <v>View</v>
      </c>
      <c r="P8891" s="7"/>
    </row>
    <row r="8892" spans="1:16">
      <c r="A8892" s="3">
        <v>44062.262233796297</v>
      </c>
      <c r="B8892" s="4" t="str">
        <f>HYPERLINK("https://twitter.com/petrogustavo","@petrogustavo")</f>
        <v>@petrogustavo</v>
      </c>
      <c r="C8892" s="5" t="s">
        <v>16</v>
      </c>
      <c r="D8892" s="5" t="s">
        <v>8557</v>
      </c>
      <c r="E8892" s="6" t="str">
        <f>HYPERLINK("https://twitter.com/petrogustavo/status/1295885094784294912","1295885094784294912")</f>
        <v>1295885094784294912</v>
      </c>
      <c r="F8892" s="7" t="s">
        <v>32</v>
      </c>
      <c r="G8892" s="7">
        <v>3941789</v>
      </c>
      <c r="H8892" s="7">
        <v>2425</v>
      </c>
      <c r="I8892" s="7">
        <v>125</v>
      </c>
      <c r="J8892" s="7">
        <v>0</v>
      </c>
      <c r="K8892" s="7" t="s">
        <v>18</v>
      </c>
      <c r="L8892" s="8">
        <v>39987.315405092595</v>
      </c>
      <c r="M8892" s="9" t="s">
        <v>19</v>
      </c>
      <c r="N8892" s="9" t="s">
        <v>20</v>
      </c>
      <c r="O8892" s="6" t="str">
        <f>HYPERLINK("https://pbs.twimg.com/profile_images/962471262747529216/Uo8lOkRJ_normal.jpg","View")</f>
        <v>View</v>
      </c>
      <c r="P8892" s="7"/>
    </row>
    <row r="8893" spans="1:16">
      <c r="A8893" s="3">
        <v>44062.264201388884</v>
      </c>
      <c r="B8893" s="4" t="str">
        <f>HYPERLINK("https://twitter.com/petrogustavo","@petrogustavo")</f>
        <v>@petrogustavo</v>
      </c>
      <c r="C8893" s="5" t="s">
        <v>16</v>
      </c>
      <c r="D8893" s="5" t="s">
        <v>8558</v>
      </c>
      <c r="E8893" s="6" t="str">
        <f>HYPERLINK("https://twitter.com/petrogustavo/status/1295885807954403331","1295885807954403331")</f>
        <v>1295885807954403331</v>
      </c>
      <c r="F8893" s="7" t="s">
        <v>32</v>
      </c>
      <c r="G8893" s="7">
        <v>3941789</v>
      </c>
      <c r="H8893" s="7">
        <v>2425</v>
      </c>
      <c r="I8893" s="7">
        <v>148</v>
      </c>
      <c r="J8893" s="7">
        <v>0</v>
      </c>
      <c r="K8893" s="7" t="s">
        <v>18</v>
      </c>
      <c r="L8893" s="8">
        <v>39987.315405092595</v>
      </c>
      <c r="M8893" s="9" t="s">
        <v>19</v>
      </c>
      <c r="N8893" s="9" t="s">
        <v>20</v>
      </c>
      <c r="O8893" s="6" t="str">
        <f>HYPERLINK("https://pbs.twimg.com/profile_images/962471262747529216/Uo8lOkRJ_normal.jpg","View")</f>
        <v>View</v>
      </c>
      <c r="P8893" s="7"/>
    </row>
    <row r="8894" spans="1:16">
      <c r="A8894" s="3">
        <v>44062.276006944448</v>
      </c>
      <c r="B8894" s="4" t="str">
        <f>HYPERLINK("https://twitter.com/petrogustavo","@petrogustavo")</f>
        <v>@petrogustavo</v>
      </c>
      <c r="C8894" s="5" t="s">
        <v>16</v>
      </c>
      <c r="D8894" s="5" t="s">
        <v>8559</v>
      </c>
      <c r="E8894" s="6" t="str">
        <f>HYPERLINK("https://twitter.com/petrogustavo/status/1295890083963445248","1295890083963445248")</f>
        <v>1295890083963445248</v>
      </c>
      <c r="F8894" s="7" t="s">
        <v>32</v>
      </c>
      <c r="G8894" s="7">
        <v>3941825</v>
      </c>
      <c r="H8894" s="7">
        <v>2425</v>
      </c>
      <c r="I8894" s="7">
        <v>100</v>
      </c>
      <c r="J8894" s="7">
        <v>0</v>
      </c>
      <c r="K8894" s="7" t="s">
        <v>18</v>
      </c>
      <c r="L8894" s="8">
        <v>39987.315405092595</v>
      </c>
      <c r="M8894" s="9" t="s">
        <v>19</v>
      </c>
      <c r="N8894" s="9" t="s">
        <v>20</v>
      </c>
      <c r="O8894" s="6" t="str">
        <f>HYPERLINK("https://pbs.twimg.com/profile_images/962471262747529216/Uo8lOkRJ_normal.jpg","View")</f>
        <v>View</v>
      </c>
      <c r="P8894" s="7"/>
    </row>
    <row r="8895" spans="1:16">
      <c r="A8895" s="3">
        <v>44062.309212962966</v>
      </c>
      <c r="B8895" s="4" t="str">
        <f>HYPERLINK("https://twitter.com/petrogustavo","@petrogustavo")</f>
        <v>@petrogustavo</v>
      </c>
      <c r="C8895" s="5" t="s">
        <v>16</v>
      </c>
      <c r="D8895" s="5" t="s">
        <v>8560</v>
      </c>
      <c r="E8895" s="6" t="str">
        <f>HYPERLINK("https://twitter.com/petrogustavo/status/1295902119053099008","1295902119053099008")</f>
        <v>1295902119053099008</v>
      </c>
      <c r="F8895" s="7" t="s">
        <v>32</v>
      </c>
      <c r="G8895" s="7">
        <v>3941872</v>
      </c>
      <c r="H8895" s="7">
        <v>2425</v>
      </c>
      <c r="I8895" s="7">
        <v>63</v>
      </c>
      <c r="J8895" s="7">
        <v>0</v>
      </c>
      <c r="K8895" s="7" t="s">
        <v>18</v>
      </c>
      <c r="L8895" s="8">
        <v>39987.315405092595</v>
      </c>
      <c r="M8895" s="9" t="s">
        <v>19</v>
      </c>
      <c r="N8895" s="9" t="s">
        <v>20</v>
      </c>
      <c r="O8895" s="6" t="str">
        <f>HYPERLINK("https://pbs.twimg.com/profile_images/962471262747529216/Uo8lOkRJ_normal.jpg","View")</f>
        <v>View</v>
      </c>
      <c r="P8895" s="7"/>
    </row>
    <row r="8896" spans="1:16">
      <c r="A8896" s="3">
        <v>44062.309733796297</v>
      </c>
      <c r="B8896" s="4" t="str">
        <f>HYPERLINK("https://twitter.com/petrogustavo","@petrogustavo")</f>
        <v>@petrogustavo</v>
      </c>
      <c r="C8896" s="5" t="s">
        <v>16</v>
      </c>
      <c r="D8896" s="5" t="s">
        <v>8561</v>
      </c>
      <c r="E8896" s="6" t="str">
        <f>HYPERLINK("https://twitter.com/petrogustavo/status/1295902309696798721","1295902309696798721")</f>
        <v>1295902309696798721</v>
      </c>
      <c r="F8896" s="7" t="s">
        <v>32</v>
      </c>
      <c r="G8896" s="7">
        <v>3941872</v>
      </c>
      <c r="H8896" s="7">
        <v>2425</v>
      </c>
      <c r="I8896" s="7">
        <v>24</v>
      </c>
      <c r="J8896" s="7">
        <v>0</v>
      </c>
      <c r="K8896" s="7" t="s">
        <v>18</v>
      </c>
      <c r="L8896" s="8">
        <v>39987.315405092595</v>
      </c>
      <c r="M8896" s="9" t="s">
        <v>19</v>
      </c>
      <c r="N8896" s="9" t="s">
        <v>20</v>
      </c>
      <c r="O8896" s="6" t="str">
        <f>HYPERLINK("https://pbs.twimg.com/profile_images/962471262747529216/Uo8lOkRJ_normal.jpg","View")</f>
        <v>View</v>
      </c>
      <c r="P8896" s="7"/>
    </row>
    <row r="8897" spans="1:16">
      <c r="A8897" s="3">
        <v>44062.312962962962</v>
      </c>
      <c r="B8897" s="4" t="str">
        <f>HYPERLINK("https://twitter.com/petrogustavo","@petrogustavo")</f>
        <v>@petrogustavo</v>
      </c>
      <c r="C8897" s="5" t="s">
        <v>16</v>
      </c>
      <c r="D8897" s="5" t="s">
        <v>8562</v>
      </c>
      <c r="E8897" s="6" t="str">
        <f>HYPERLINK("https://twitter.com/petrogustavo/status/1295903479249227776","1295903479249227776")</f>
        <v>1295903479249227776</v>
      </c>
      <c r="F8897" s="7" t="s">
        <v>32</v>
      </c>
      <c r="G8897" s="7">
        <v>3941872</v>
      </c>
      <c r="H8897" s="7">
        <v>2425</v>
      </c>
      <c r="I8897" s="7">
        <v>1190</v>
      </c>
      <c r="J8897" s="7">
        <v>0</v>
      </c>
      <c r="K8897" s="7" t="s">
        <v>18</v>
      </c>
      <c r="L8897" s="8">
        <v>39987.315405092595</v>
      </c>
      <c r="M8897" s="9" t="s">
        <v>19</v>
      </c>
      <c r="N8897" s="9" t="s">
        <v>20</v>
      </c>
      <c r="O8897" s="6" t="str">
        <f>HYPERLINK("https://pbs.twimg.com/profile_images/962471262747529216/Uo8lOkRJ_normal.jpg","View")</f>
        <v>View</v>
      </c>
      <c r="P8897" s="7"/>
    </row>
    <row r="8898" spans="1:16">
      <c r="A8898" s="3">
        <v>44062.313807870371</v>
      </c>
      <c r="B8898" s="4" t="str">
        <f>HYPERLINK("https://twitter.com/petrogustavo","@petrogustavo")</f>
        <v>@petrogustavo</v>
      </c>
      <c r="C8898" s="5" t="s">
        <v>16</v>
      </c>
      <c r="D8898" s="5" t="s">
        <v>8563</v>
      </c>
      <c r="E8898" s="6" t="str">
        <f>HYPERLINK("https://twitter.com/petrogustavo/status/1295903783608778752","1295903783608778752")</f>
        <v>1295903783608778752</v>
      </c>
      <c r="F8898" s="7" t="s">
        <v>32</v>
      </c>
      <c r="G8898" s="7">
        <v>3941872</v>
      </c>
      <c r="H8898" s="7">
        <v>2425</v>
      </c>
      <c r="I8898" s="7">
        <v>10</v>
      </c>
      <c r="J8898" s="7">
        <v>0</v>
      </c>
      <c r="K8898" s="7" t="s">
        <v>18</v>
      </c>
      <c r="L8898" s="8">
        <v>39987.315405092595</v>
      </c>
      <c r="M8898" s="9" t="s">
        <v>19</v>
      </c>
      <c r="N8898" s="9" t="s">
        <v>20</v>
      </c>
      <c r="O8898" s="6" t="str">
        <f>HYPERLINK("https://pbs.twimg.com/profile_images/962471262747529216/Uo8lOkRJ_normal.jpg","View")</f>
        <v>View</v>
      </c>
      <c r="P8898" s="7"/>
    </row>
    <row r="8899" spans="1:16">
      <c r="A8899" s="3">
        <v>44062.318055555559</v>
      </c>
      <c r="B8899" s="4" t="str">
        <f>HYPERLINK("https://twitter.com/petrogustavo","@petrogustavo")</f>
        <v>@petrogustavo</v>
      </c>
      <c r="C8899" s="5" t="s">
        <v>16</v>
      </c>
      <c r="D8899" s="5" t="s">
        <v>8564</v>
      </c>
      <c r="E8899" s="6" t="str">
        <f>HYPERLINK("https://twitter.com/petrogustavo/status/1295905324994617350","1295905324994617350")</f>
        <v>1295905324994617350</v>
      </c>
      <c r="F8899" s="7" t="s">
        <v>32</v>
      </c>
      <c r="G8899" s="7">
        <v>3941901</v>
      </c>
      <c r="H8899" s="7">
        <v>2426</v>
      </c>
      <c r="I8899" s="7">
        <v>183</v>
      </c>
      <c r="J8899" s="7">
        <v>0</v>
      </c>
      <c r="K8899" s="7" t="s">
        <v>18</v>
      </c>
      <c r="L8899" s="8">
        <v>39987.315405092595</v>
      </c>
      <c r="M8899" s="9" t="s">
        <v>19</v>
      </c>
      <c r="N8899" s="9" t="s">
        <v>20</v>
      </c>
      <c r="O8899" s="6" t="str">
        <f>HYPERLINK("https://pbs.twimg.com/profile_images/962471262747529216/Uo8lOkRJ_normal.jpg","View")</f>
        <v>View</v>
      </c>
      <c r="P8899" s="7"/>
    </row>
    <row r="8900" spans="1:16">
      <c r="A8900" s="3">
        <v>44062.330081018517</v>
      </c>
      <c r="B8900" s="4" t="str">
        <f>HYPERLINK("https://twitter.com/petrogustavo","@petrogustavo")</f>
        <v>@petrogustavo</v>
      </c>
      <c r="C8900" s="5" t="s">
        <v>16</v>
      </c>
      <c r="D8900" s="5" t="s">
        <v>26</v>
      </c>
      <c r="E8900" s="6" t="str">
        <f>HYPERLINK("https://twitter.com/petrogustavo/status/1295909679747538944","1295909679747538944")</f>
        <v>1295909679747538944</v>
      </c>
      <c r="F8900" s="7" t="s">
        <v>32</v>
      </c>
      <c r="G8900" s="7">
        <v>3941901</v>
      </c>
      <c r="H8900" s="7">
        <v>2426</v>
      </c>
      <c r="I8900" s="7">
        <v>3533</v>
      </c>
      <c r="J8900" s="7">
        <v>0</v>
      </c>
      <c r="K8900" s="7" t="s">
        <v>18</v>
      </c>
      <c r="L8900" s="8">
        <v>39987.315405092595</v>
      </c>
      <c r="M8900" s="9" t="s">
        <v>19</v>
      </c>
      <c r="N8900" s="9" t="s">
        <v>20</v>
      </c>
      <c r="O8900" s="6" t="str">
        <f>HYPERLINK("https://pbs.twimg.com/profile_images/962471262747529216/Uo8lOkRJ_normal.jpg","View")</f>
        <v>View</v>
      </c>
      <c r="P8900" s="7"/>
    </row>
    <row r="8901" spans="1:16">
      <c r="A8901" s="3">
        <v>44062.370428240742</v>
      </c>
      <c r="B8901" s="4" t="str">
        <f>HYPERLINK("https://twitter.com/petrogustavo","@petrogustavo")</f>
        <v>@petrogustavo</v>
      </c>
      <c r="C8901" s="5" t="s">
        <v>16</v>
      </c>
      <c r="D8901" s="5" t="s">
        <v>8565</v>
      </c>
      <c r="E8901" s="6" t="str">
        <f>HYPERLINK("https://twitter.com/petrogustavo/status/1295924300726370306","1295924300726370306")</f>
        <v>1295924300726370306</v>
      </c>
      <c r="F8901" s="7" t="s">
        <v>32</v>
      </c>
      <c r="G8901" s="7">
        <v>3941964</v>
      </c>
      <c r="H8901" s="7">
        <v>2426</v>
      </c>
      <c r="I8901" s="7">
        <v>45</v>
      </c>
      <c r="J8901" s="7">
        <v>0</v>
      </c>
      <c r="K8901" s="7" t="s">
        <v>18</v>
      </c>
      <c r="L8901" s="8">
        <v>39987.315405092595</v>
      </c>
      <c r="M8901" s="9" t="s">
        <v>19</v>
      </c>
      <c r="N8901" s="9" t="s">
        <v>20</v>
      </c>
      <c r="O8901" s="6" t="str">
        <f>HYPERLINK("https://pbs.twimg.com/profile_images/962471262747529216/Uo8lOkRJ_normal.jpg","View")</f>
        <v>View</v>
      </c>
      <c r="P8901" s="7"/>
    </row>
    <row r="8902" spans="1:16">
      <c r="A8902" s="3">
        <v>44062.371898148151</v>
      </c>
      <c r="B8902" s="4" t="str">
        <f>HYPERLINK("https://twitter.com/petrogustavo","@petrogustavo")</f>
        <v>@petrogustavo</v>
      </c>
      <c r="C8902" s="5" t="s">
        <v>16</v>
      </c>
      <c r="D8902" s="5" t="s">
        <v>8566</v>
      </c>
      <c r="E8902" s="6" t="str">
        <f>HYPERLINK("https://twitter.com/petrogustavo/status/1295924834896089088","1295924834896089088")</f>
        <v>1295924834896089088</v>
      </c>
      <c r="F8902" s="7" t="s">
        <v>32</v>
      </c>
      <c r="G8902" s="7">
        <v>3941964</v>
      </c>
      <c r="H8902" s="7">
        <v>2426</v>
      </c>
      <c r="I8902" s="7">
        <v>90</v>
      </c>
      <c r="J8902" s="7">
        <v>318</v>
      </c>
      <c r="K8902" s="7" t="s">
        <v>18</v>
      </c>
      <c r="L8902" s="8">
        <v>39987.315405092595</v>
      </c>
      <c r="M8902" s="9" t="s">
        <v>19</v>
      </c>
      <c r="N8902" s="9" t="s">
        <v>20</v>
      </c>
      <c r="O8902" s="6" t="str">
        <f>HYPERLINK("https://pbs.twimg.com/profile_images/962471262747529216/Uo8lOkRJ_normal.jpg","View")</f>
        <v>View</v>
      </c>
      <c r="P8902" s="7"/>
    </row>
    <row r="8903" spans="1:16">
      <c r="A8903" s="3">
        <v>44062.378865740742</v>
      </c>
      <c r="B8903" s="4" t="str">
        <f>HYPERLINK("https://twitter.com/petrogustavo","@petrogustavo")</f>
        <v>@petrogustavo</v>
      </c>
      <c r="C8903" s="5" t="s">
        <v>16</v>
      </c>
      <c r="D8903" s="5" t="s">
        <v>8567</v>
      </c>
      <c r="E8903" s="6" t="str">
        <f>HYPERLINK("https://twitter.com/petrogustavo/status/1295927361888833536","1295927361888833536")</f>
        <v>1295927361888833536</v>
      </c>
      <c r="F8903" s="7" t="s">
        <v>32</v>
      </c>
      <c r="G8903" s="7">
        <v>3941993</v>
      </c>
      <c r="H8903" s="7">
        <v>2426</v>
      </c>
      <c r="I8903" s="7">
        <v>94</v>
      </c>
      <c r="J8903" s="7">
        <v>0</v>
      </c>
      <c r="K8903" s="7" t="s">
        <v>18</v>
      </c>
      <c r="L8903" s="8">
        <v>39987.315405092595</v>
      </c>
      <c r="M8903" s="9" t="s">
        <v>19</v>
      </c>
      <c r="N8903" s="9" t="s">
        <v>20</v>
      </c>
      <c r="O8903" s="6" t="str">
        <f>HYPERLINK("https://pbs.twimg.com/profile_images/962471262747529216/Uo8lOkRJ_normal.jpg","View")</f>
        <v>View</v>
      </c>
      <c r="P8903" s="7"/>
    </row>
    <row r="8904" spans="1:16">
      <c r="A8904" s="3">
        <v>44062.722037037034</v>
      </c>
      <c r="B8904" s="4" t="str">
        <f>HYPERLINK("https://twitter.com/petrogustavo","@petrogustavo")</f>
        <v>@petrogustavo</v>
      </c>
      <c r="C8904" s="5" t="s">
        <v>16</v>
      </c>
      <c r="D8904" s="5" t="s">
        <v>8568</v>
      </c>
      <c r="E8904" s="6" t="str">
        <f>HYPERLINK("https://twitter.com/petrogustavo/status/1296051722410917889","1296051722410917889")</f>
        <v>1296051722410917889</v>
      </c>
      <c r="F8904" s="7" t="s">
        <v>17</v>
      </c>
      <c r="G8904" s="7">
        <v>3942103</v>
      </c>
      <c r="H8904" s="7">
        <v>2426</v>
      </c>
      <c r="I8904" s="7">
        <v>900</v>
      </c>
      <c r="J8904" s="7">
        <v>0</v>
      </c>
      <c r="K8904" s="7" t="s">
        <v>18</v>
      </c>
      <c r="L8904" s="8">
        <v>39987.315405092595</v>
      </c>
      <c r="M8904" s="9" t="s">
        <v>19</v>
      </c>
      <c r="N8904" s="9" t="s">
        <v>20</v>
      </c>
      <c r="O8904" s="6" t="str">
        <f>HYPERLINK("https://pbs.twimg.com/profile_images/962471262747529216/Uo8lOkRJ_normal.jpg","View")</f>
        <v>View</v>
      </c>
      <c r="P8904" s="7"/>
    </row>
    <row r="8905" spans="1:16">
      <c r="A8905" s="3">
        <v>44062.722222222219</v>
      </c>
      <c r="B8905" s="4" t="str">
        <f>HYPERLINK("https://twitter.com/petrogustavo","@petrogustavo")</f>
        <v>@petrogustavo</v>
      </c>
      <c r="C8905" s="5" t="s">
        <v>16</v>
      </c>
      <c r="D8905" s="5" t="s">
        <v>8569</v>
      </c>
      <c r="E8905" s="6" t="str">
        <f>HYPERLINK("https://twitter.com/petrogustavo/status/1296051788089626624","1296051788089626624")</f>
        <v>1296051788089626624</v>
      </c>
      <c r="F8905" s="7" t="s">
        <v>17</v>
      </c>
      <c r="G8905" s="7">
        <v>3942103</v>
      </c>
      <c r="H8905" s="7">
        <v>2426</v>
      </c>
      <c r="I8905" s="7">
        <v>254</v>
      </c>
      <c r="J8905" s="7">
        <v>0</v>
      </c>
      <c r="K8905" s="7" t="s">
        <v>18</v>
      </c>
      <c r="L8905" s="8">
        <v>39987.315405092595</v>
      </c>
      <c r="M8905" s="9" t="s">
        <v>19</v>
      </c>
      <c r="N8905" s="9" t="s">
        <v>20</v>
      </c>
      <c r="O8905" s="6" t="str">
        <f>HYPERLINK("https://pbs.twimg.com/profile_images/962471262747529216/Uo8lOkRJ_normal.jpg","View")</f>
        <v>View</v>
      </c>
      <c r="P8905" s="7"/>
    </row>
    <row r="8906" spans="1:16">
      <c r="A8906" s="3">
        <v>44062.724918981483</v>
      </c>
      <c r="B8906" s="4" t="str">
        <f>HYPERLINK("https://twitter.com/petrogustavo","@petrogustavo")</f>
        <v>@petrogustavo</v>
      </c>
      <c r="C8906" s="5" t="s">
        <v>16</v>
      </c>
      <c r="D8906" s="5" t="s">
        <v>8570</v>
      </c>
      <c r="E8906" s="6" t="str">
        <f>HYPERLINK("https://twitter.com/petrogustavo/status/1296052766121615360","1296052766121615360")</f>
        <v>1296052766121615360</v>
      </c>
      <c r="F8906" s="7" t="s">
        <v>17</v>
      </c>
      <c r="G8906" s="7">
        <v>3942103</v>
      </c>
      <c r="H8906" s="7">
        <v>2426</v>
      </c>
      <c r="I8906" s="7">
        <v>415</v>
      </c>
      <c r="J8906" s="7">
        <v>0</v>
      </c>
      <c r="K8906" s="7" t="s">
        <v>18</v>
      </c>
      <c r="L8906" s="8">
        <v>39987.315405092595</v>
      </c>
      <c r="M8906" s="9" t="s">
        <v>19</v>
      </c>
      <c r="N8906" s="9" t="s">
        <v>20</v>
      </c>
      <c r="O8906" s="6" t="str">
        <f>HYPERLINK("https://pbs.twimg.com/profile_images/962471262747529216/Uo8lOkRJ_normal.jpg","View")</f>
        <v>View</v>
      </c>
      <c r="P8906" s="7"/>
    </row>
    <row r="8907" spans="1:16">
      <c r="A8907" s="3">
        <v>44062.72655092593</v>
      </c>
      <c r="B8907" s="4" t="str">
        <f>HYPERLINK("https://twitter.com/petrogustavo","@petrogustavo")</f>
        <v>@petrogustavo</v>
      </c>
      <c r="C8907" s="5" t="s">
        <v>16</v>
      </c>
      <c r="D8907" s="5" t="s">
        <v>8571</v>
      </c>
      <c r="E8907" s="6" t="str">
        <f>HYPERLINK("https://twitter.com/petrogustavo/status/1296053356323012610","1296053356323012610")</f>
        <v>1296053356323012610</v>
      </c>
      <c r="F8907" s="7" t="s">
        <v>17</v>
      </c>
      <c r="G8907" s="7">
        <v>3942103</v>
      </c>
      <c r="H8907" s="7">
        <v>2426</v>
      </c>
      <c r="I8907" s="7">
        <v>73</v>
      </c>
      <c r="J8907" s="7">
        <v>163</v>
      </c>
      <c r="K8907" s="7" t="s">
        <v>18</v>
      </c>
      <c r="L8907" s="8">
        <v>39987.315405092595</v>
      </c>
      <c r="M8907" s="9" t="s">
        <v>19</v>
      </c>
      <c r="N8907" s="9" t="s">
        <v>20</v>
      </c>
      <c r="O8907" s="6" t="str">
        <f>HYPERLINK("https://pbs.twimg.com/profile_images/962471262747529216/Uo8lOkRJ_normal.jpg","View")</f>
        <v>View</v>
      </c>
      <c r="P8907" s="7"/>
    </row>
    <row r="8908" spans="1:16">
      <c r="A8908" s="3">
        <v>44062.726747685185</v>
      </c>
      <c r="B8908" s="4" t="str">
        <f>HYPERLINK("https://twitter.com/petrogustavo","@petrogustavo")</f>
        <v>@petrogustavo</v>
      </c>
      <c r="C8908" s="5" t="s">
        <v>16</v>
      </c>
      <c r="D8908" s="5" t="s">
        <v>8572</v>
      </c>
      <c r="E8908" s="6" t="str">
        <f>HYPERLINK("https://twitter.com/petrogustavo/status/1296053426632241155","1296053426632241155")</f>
        <v>1296053426632241155</v>
      </c>
      <c r="F8908" s="7" t="s">
        <v>17</v>
      </c>
      <c r="G8908" s="7">
        <v>3942103</v>
      </c>
      <c r="H8908" s="7">
        <v>2426</v>
      </c>
      <c r="I8908" s="7">
        <v>32</v>
      </c>
      <c r="J8908" s="7">
        <v>0</v>
      </c>
      <c r="K8908" s="7" t="s">
        <v>18</v>
      </c>
      <c r="L8908" s="8">
        <v>39987.315405092595</v>
      </c>
      <c r="M8908" s="9" t="s">
        <v>19</v>
      </c>
      <c r="N8908" s="9" t="s">
        <v>20</v>
      </c>
      <c r="O8908" s="6" t="str">
        <f>HYPERLINK("https://pbs.twimg.com/profile_images/962471262747529216/Uo8lOkRJ_normal.jpg","View")</f>
        <v>View</v>
      </c>
      <c r="P8908" s="7"/>
    </row>
    <row r="8909" spans="1:16">
      <c r="A8909" s="3">
        <v>44062.726875</v>
      </c>
      <c r="B8909" s="4" t="str">
        <f>HYPERLINK("https://twitter.com/petrogustavo","@petrogustavo")</f>
        <v>@petrogustavo</v>
      </c>
      <c r="C8909" s="5" t="s">
        <v>16</v>
      </c>
      <c r="D8909" s="5" t="s">
        <v>8573</v>
      </c>
      <c r="E8909" s="6" t="str">
        <f>HYPERLINK("https://twitter.com/petrogustavo/status/1296053475751714821","1296053475751714821")</f>
        <v>1296053475751714821</v>
      </c>
      <c r="F8909" s="7" t="s">
        <v>17</v>
      </c>
      <c r="G8909" s="7">
        <v>3942103</v>
      </c>
      <c r="H8909" s="7">
        <v>2426</v>
      </c>
      <c r="I8909" s="7">
        <v>44</v>
      </c>
      <c r="J8909" s="7">
        <v>0</v>
      </c>
      <c r="K8909" s="7" t="s">
        <v>18</v>
      </c>
      <c r="L8909" s="8">
        <v>39987.315405092595</v>
      </c>
      <c r="M8909" s="9" t="s">
        <v>19</v>
      </c>
      <c r="N8909" s="9" t="s">
        <v>20</v>
      </c>
      <c r="O8909" s="6" t="str">
        <f>HYPERLINK("https://pbs.twimg.com/profile_images/962471262747529216/Uo8lOkRJ_normal.jpg","View")</f>
        <v>View</v>
      </c>
      <c r="P8909" s="7"/>
    </row>
    <row r="8910" spans="1:16">
      <c r="A8910" s="3">
        <v>44062.72719907407</v>
      </c>
      <c r="B8910" s="4" t="str">
        <f>HYPERLINK("https://twitter.com/petrogustavo","@petrogustavo")</f>
        <v>@petrogustavo</v>
      </c>
      <c r="C8910" s="5" t="s">
        <v>16</v>
      </c>
      <c r="D8910" s="5" t="s">
        <v>8574</v>
      </c>
      <c r="E8910" s="6" t="str">
        <f>HYPERLINK("https://twitter.com/petrogustavo/status/1296053591241826304","1296053591241826304")</f>
        <v>1296053591241826304</v>
      </c>
      <c r="F8910" s="7" t="s">
        <v>17</v>
      </c>
      <c r="G8910" s="7">
        <v>3942103</v>
      </c>
      <c r="H8910" s="7">
        <v>2426</v>
      </c>
      <c r="I8910" s="7">
        <v>33</v>
      </c>
      <c r="J8910" s="7">
        <v>0</v>
      </c>
      <c r="K8910" s="7" t="s">
        <v>18</v>
      </c>
      <c r="L8910" s="8">
        <v>39987.315405092595</v>
      </c>
      <c r="M8910" s="9" t="s">
        <v>19</v>
      </c>
      <c r="N8910" s="9" t="s">
        <v>20</v>
      </c>
      <c r="O8910" s="6" t="str">
        <f>HYPERLINK("https://pbs.twimg.com/profile_images/962471262747529216/Uo8lOkRJ_normal.jpg","View")</f>
        <v>View</v>
      </c>
      <c r="P8910" s="7"/>
    </row>
    <row r="8911" spans="1:16">
      <c r="A8911" s="3">
        <v>44062.729212962964</v>
      </c>
      <c r="B8911" s="4" t="str">
        <f>HYPERLINK("https://twitter.com/petrogustavo","@petrogustavo")</f>
        <v>@petrogustavo</v>
      </c>
      <c r="C8911" s="5" t="s">
        <v>16</v>
      </c>
      <c r="D8911" s="5" t="s">
        <v>8575</v>
      </c>
      <c r="E8911" s="6" t="str">
        <f>HYPERLINK("https://twitter.com/petrogustavo/status/1296054322531381249","1296054322531381249")</f>
        <v>1296054322531381249</v>
      </c>
      <c r="F8911" s="7" t="s">
        <v>17</v>
      </c>
      <c r="G8911" s="7">
        <v>3942103</v>
      </c>
      <c r="H8911" s="7">
        <v>2426</v>
      </c>
      <c r="I8911" s="7">
        <v>12</v>
      </c>
      <c r="J8911" s="7">
        <v>23</v>
      </c>
      <c r="K8911" s="7" t="s">
        <v>18</v>
      </c>
      <c r="L8911" s="8">
        <v>39987.315405092595</v>
      </c>
      <c r="M8911" s="9" t="s">
        <v>19</v>
      </c>
      <c r="N8911" s="9" t="s">
        <v>20</v>
      </c>
      <c r="O8911" s="6" t="str">
        <f>HYPERLINK("https://pbs.twimg.com/profile_images/962471262747529216/Uo8lOkRJ_normal.jpg","View")</f>
        <v>View</v>
      </c>
      <c r="P8911" s="7"/>
    </row>
    <row r="8912" spans="1:16">
      <c r="A8912" s="3">
        <v>44062.730254629627</v>
      </c>
      <c r="B8912" s="4" t="str">
        <f>HYPERLINK("https://twitter.com/petrogustavo","@petrogustavo")</f>
        <v>@petrogustavo</v>
      </c>
      <c r="C8912" s="5" t="s">
        <v>16</v>
      </c>
      <c r="D8912" s="5" t="s">
        <v>8576</v>
      </c>
      <c r="E8912" s="6" t="str">
        <f>HYPERLINK("https://twitter.com/petrogustavo/status/1296054700698218496","1296054700698218496")</f>
        <v>1296054700698218496</v>
      </c>
      <c r="F8912" s="7" t="s">
        <v>17</v>
      </c>
      <c r="G8912" s="7">
        <v>3942103</v>
      </c>
      <c r="H8912" s="7">
        <v>2426</v>
      </c>
      <c r="I8912" s="7">
        <v>3</v>
      </c>
      <c r="J8912" s="7">
        <v>9</v>
      </c>
      <c r="K8912" s="7" t="s">
        <v>18</v>
      </c>
      <c r="L8912" s="8">
        <v>39987.315405092595</v>
      </c>
      <c r="M8912" s="9" t="s">
        <v>19</v>
      </c>
      <c r="N8912" s="9" t="s">
        <v>20</v>
      </c>
      <c r="O8912" s="6" t="str">
        <f>HYPERLINK("https://pbs.twimg.com/profile_images/962471262747529216/Uo8lOkRJ_normal.jpg","View")</f>
        <v>View</v>
      </c>
      <c r="P8912" s="7"/>
    </row>
    <row r="8913" spans="1:16">
      <c r="A8913" s="3">
        <v>44062.730624999997</v>
      </c>
      <c r="B8913" s="4" t="str">
        <f>HYPERLINK("https://twitter.com/petrogustavo","@petrogustavo")</f>
        <v>@petrogustavo</v>
      </c>
      <c r="C8913" s="5" t="s">
        <v>16</v>
      </c>
      <c r="D8913" s="5" t="s">
        <v>8577</v>
      </c>
      <c r="E8913" s="6" t="str">
        <f>HYPERLINK("https://twitter.com/petrogustavo/status/1296054834450358275","1296054834450358275")</f>
        <v>1296054834450358275</v>
      </c>
      <c r="F8913" s="7" t="s">
        <v>17</v>
      </c>
      <c r="G8913" s="7">
        <v>3942103</v>
      </c>
      <c r="H8913" s="7">
        <v>2426</v>
      </c>
      <c r="I8913" s="7">
        <v>523</v>
      </c>
      <c r="J8913" s="7">
        <v>0</v>
      </c>
      <c r="K8913" s="7" t="s">
        <v>18</v>
      </c>
      <c r="L8913" s="8">
        <v>39987.315405092595</v>
      </c>
      <c r="M8913" s="9" t="s">
        <v>19</v>
      </c>
      <c r="N8913" s="9" t="s">
        <v>20</v>
      </c>
      <c r="O8913" s="6" t="str">
        <f>HYPERLINK("https://pbs.twimg.com/profile_images/962471262747529216/Uo8lOkRJ_normal.jpg","View")</f>
        <v>View</v>
      </c>
      <c r="P8913" s="7"/>
    </row>
    <row r="8914" spans="1:16">
      <c r="A8914" s="3">
        <v>44062.736909722225</v>
      </c>
      <c r="B8914" s="4" t="str">
        <f>HYPERLINK("https://twitter.com/petrogustavo","@petrogustavo")</f>
        <v>@petrogustavo</v>
      </c>
      <c r="C8914" s="5" t="s">
        <v>16</v>
      </c>
      <c r="D8914" s="5" t="s">
        <v>8578</v>
      </c>
      <c r="E8914" s="6" t="str">
        <f>HYPERLINK("https://twitter.com/petrogustavo/status/1296057112326475777","1296057112326475777")</f>
        <v>1296057112326475777</v>
      </c>
      <c r="F8914" s="7" t="s">
        <v>17</v>
      </c>
      <c r="G8914" s="7">
        <v>3942117</v>
      </c>
      <c r="H8914" s="7">
        <v>2426</v>
      </c>
      <c r="I8914" s="7">
        <v>243</v>
      </c>
      <c r="J8914" s="7">
        <v>470</v>
      </c>
      <c r="K8914" s="7" t="s">
        <v>18</v>
      </c>
      <c r="L8914" s="8">
        <v>39987.315405092595</v>
      </c>
      <c r="M8914" s="9" t="s">
        <v>19</v>
      </c>
      <c r="N8914" s="9" t="s">
        <v>20</v>
      </c>
      <c r="O8914" s="6" t="str">
        <f>HYPERLINK("https://pbs.twimg.com/profile_images/962471262747529216/Uo8lOkRJ_normal.jpg","View")</f>
        <v>View</v>
      </c>
      <c r="P8914" s="7"/>
    </row>
    <row r="8915" spans="1:16">
      <c r="A8915" s="3">
        <v>44062.747256944444</v>
      </c>
      <c r="B8915" s="4" t="str">
        <f>HYPERLINK("https://twitter.com/petrogustavo","@petrogustavo")</f>
        <v>@petrogustavo</v>
      </c>
      <c r="C8915" s="5" t="s">
        <v>16</v>
      </c>
      <c r="D8915" s="5" t="s">
        <v>8579</v>
      </c>
      <c r="E8915" s="6" t="str">
        <f>HYPERLINK("https://twitter.com/petrogustavo/status/1296060861921067008","1296060861921067008")</f>
        <v>1296060861921067008</v>
      </c>
      <c r="F8915" s="7" t="s">
        <v>17</v>
      </c>
      <c r="G8915" s="7">
        <v>3942117</v>
      </c>
      <c r="H8915" s="7">
        <v>2426</v>
      </c>
      <c r="I8915" s="7">
        <v>30</v>
      </c>
      <c r="J8915" s="7">
        <v>95</v>
      </c>
      <c r="K8915" s="7" t="s">
        <v>18</v>
      </c>
      <c r="L8915" s="8">
        <v>39987.315405092595</v>
      </c>
      <c r="M8915" s="9" t="s">
        <v>19</v>
      </c>
      <c r="N8915" s="9" t="s">
        <v>20</v>
      </c>
      <c r="O8915" s="6" t="str">
        <f>HYPERLINK("https://pbs.twimg.com/profile_images/962471262747529216/Uo8lOkRJ_normal.jpg","View")</f>
        <v>View</v>
      </c>
      <c r="P8915" s="7"/>
    </row>
    <row r="8916" spans="1:16">
      <c r="A8916" s="3">
        <v>44062.74962962963</v>
      </c>
      <c r="B8916" s="4" t="str">
        <f>HYPERLINK("https://twitter.com/petrogustavo","@petrogustavo")</f>
        <v>@petrogustavo</v>
      </c>
      <c r="C8916" s="5" t="s">
        <v>16</v>
      </c>
      <c r="D8916" s="5" t="s">
        <v>8580</v>
      </c>
      <c r="E8916" s="6" t="str">
        <f>HYPERLINK("https://twitter.com/petrogustavo/status/1296061721602334720","1296061721602334720")</f>
        <v>1296061721602334720</v>
      </c>
      <c r="F8916" s="7" t="s">
        <v>17</v>
      </c>
      <c r="G8916" s="7">
        <v>3942117</v>
      </c>
      <c r="H8916" s="7">
        <v>2426</v>
      </c>
      <c r="I8916" s="7">
        <v>30</v>
      </c>
      <c r="J8916" s="7">
        <v>70</v>
      </c>
      <c r="K8916" s="7" t="s">
        <v>18</v>
      </c>
      <c r="L8916" s="8">
        <v>39987.315405092595</v>
      </c>
      <c r="M8916" s="9" t="s">
        <v>19</v>
      </c>
      <c r="N8916" s="9" t="s">
        <v>20</v>
      </c>
      <c r="O8916" s="6" t="str">
        <f>HYPERLINK("https://pbs.twimg.com/profile_images/962471262747529216/Uo8lOkRJ_normal.jpg","View")</f>
        <v>View</v>
      </c>
      <c r="P8916" s="7"/>
    </row>
    <row r="8917" spans="1:16">
      <c r="A8917" s="3">
        <v>44062.751435185186</v>
      </c>
      <c r="B8917" s="4" t="str">
        <f>HYPERLINK("https://twitter.com/petrogustavo","@petrogustavo")</f>
        <v>@petrogustavo</v>
      </c>
      <c r="C8917" s="5" t="s">
        <v>16</v>
      </c>
      <c r="D8917" s="5" t="s">
        <v>8581</v>
      </c>
      <c r="E8917" s="6" t="str">
        <f>HYPERLINK("https://twitter.com/petrogustavo/status/1296062372948434945","1296062372948434945")</f>
        <v>1296062372948434945</v>
      </c>
      <c r="F8917" s="7" t="s">
        <v>17</v>
      </c>
      <c r="G8917" s="7">
        <v>3942117</v>
      </c>
      <c r="H8917" s="7">
        <v>2426</v>
      </c>
      <c r="I8917" s="7">
        <v>24</v>
      </c>
      <c r="J8917" s="7">
        <v>0</v>
      </c>
      <c r="K8917" s="7" t="s">
        <v>18</v>
      </c>
      <c r="L8917" s="8">
        <v>39987.315405092595</v>
      </c>
      <c r="M8917" s="9" t="s">
        <v>19</v>
      </c>
      <c r="N8917" s="9" t="s">
        <v>20</v>
      </c>
      <c r="O8917" s="6" t="str">
        <f>HYPERLINK("https://pbs.twimg.com/profile_images/962471262747529216/Uo8lOkRJ_normal.jpg","View")</f>
        <v>View</v>
      </c>
      <c r="P8917" s="7"/>
    </row>
    <row r="8918" spans="1:16">
      <c r="A8918" s="3">
        <v>44062.754953703705</v>
      </c>
      <c r="B8918" s="4" t="str">
        <f>HYPERLINK("https://twitter.com/petrogustavo","@petrogustavo")</f>
        <v>@petrogustavo</v>
      </c>
      <c r="C8918" s="5" t="s">
        <v>16</v>
      </c>
      <c r="D8918" s="5" t="s">
        <v>8582</v>
      </c>
      <c r="E8918" s="6" t="str">
        <f>HYPERLINK("https://twitter.com/petrogustavo/status/1296063651976290304","1296063651976290304")</f>
        <v>1296063651976290304</v>
      </c>
      <c r="F8918" s="7" t="s">
        <v>17</v>
      </c>
      <c r="G8918" s="7">
        <v>3942146</v>
      </c>
      <c r="H8918" s="7">
        <v>2426</v>
      </c>
      <c r="I8918" s="7">
        <v>304</v>
      </c>
      <c r="J8918" s="7">
        <v>823</v>
      </c>
      <c r="K8918" s="7" t="s">
        <v>18</v>
      </c>
      <c r="L8918" s="8">
        <v>39987.315405092595</v>
      </c>
      <c r="M8918" s="9" t="s">
        <v>19</v>
      </c>
      <c r="N8918" s="9" t="s">
        <v>20</v>
      </c>
      <c r="O8918" s="6" t="str">
        <f>HYPERLINK("https://pbs.twimg.com/profile_images/962471262747529216/Uo8lOkRJ_normal.jpg","View")</f>
        <v>View</v>
      </c>
      <c r="P8918" s="7"/>
    </row>
    <row r="8919" spans="1:16">
      <c r="A8919" s="3">
        <v>44062.757488425923</v>
      </c>
      <c r="B8919" s="4" t="str">
        <f>HYPERLINK("https://twitter.com/petrogustavo","@petrogustavo")</f>
        <v>@petrogustavo</v>
      </c>
      <c r="C8919" s="5" t="s">
        <v>16</v>
      </c>
      <c r="D8919" s="5" t="s">
        <v>8583</v>
      </c>
      <c r="E8919" s="6" t="str">
        <f>HYPERLINK("https://twitter.com/petrogustavo/status/1296064570310701062","1296064570310701062")</f>
        <v>1296064570310701062</v>
      </c>
      <c r="F8919" s="7" t="s">
        <v>17</v>
      </c>
      <c r="G8919" s="7">
        <v>3942146</v>
      </c>
      <c r="H8919" s="7">
        <v>2426</v>
      </c>
      <c r="I8919" s="7">
        <v>161</v>
      </c>
      <c r="J8919" s="7">
        <v>472</v>
      </c>
      <c r="K8919" s="7" t="s">
        <v>18</v>
      </c>
      <c r="L8919" s="8">
        <v>39987.315405092595</v>
      </c>
      <c r="M8919" s="9" t="s">
        <v>19</v>
      </c>
      <c r="N8919" s="9" t="s">
        <v>20</v>
      </c>
      <c r="O8919" s="6" t="str">
        <f>HYPERLINK("https://pbs.twimg.com/profile_images/962471262747529216/Uo8lOkRJ_normal.jpg","View")</f>
        <v>View</v>
      </c>
      <c r="P8919" s="7"/>
    </row>
    <row r="8920" spans="1:16">
      <c r="A8920" s="3">
        <v>44062.758888888886</v>
      </c>
      <c r="B8920" s="4" t="str">
        <f>HYPERLINK("https://twitter.com/petrogustavo","@petrogustavo")</f>
        <v>@petrogustavo</v>
      </c>
      <c r="C8920" s="5" t="s">
        <v>16</v>
      </c>
      <c r="D8920" s="5" t="s">
        <v>8584</v>
      </c>
      <c r="E8920" s="6" t="str">
        <f>HYPERLINK("https://twitter.com/petrogustavo/status/1296065074881269771","1296065074881269771")</f>
        <v>1296065074881269771</v>
      </c>
      <c r="F8920" s="7" t="s">
        <v>17</v>
      </c>
      <c r="G8920" s="7">
        <v>3942146</v>
      </c>
      <c r="H8920" s="7">
        <v>2426</v>
      </c>
      <c r="I8920" s="7">
        <v>67</v>
      </c>
      <c r="J8920" s="7">
        <v>226</v>
      </c>
      <c r="K8920" s="7" t="s">
        <v>18</v>
      </c>
      <c r="L8920" s="8">
        <v>39987.315405092595</v>
      </c>
      <c r="M8920" s="9" t="s">
        <v>19</v>
      </c>
      <c r="N8920" s="9" t="s">
        <v>20</v>
      </c>
      <c r="O8920" s="6" t="str">
        <f>HYPERLINK("https://pbs.twimg.com/profile_images/962471262747529216/Uo8lOkRJ_normal.jpg","View")</f>
        <v>View</v>
      </c>
      <c r="P8920" s="7"/>
    </row>
    <row r="8921" spans="1:16">
      <c r="A8921" s="3">
        <v>44062.760659722218</v>
      </c>
      <c r="B8921" s="4" t="str">
        <f>HYPERLINK("https://twitter.com/petrogustavo","@petrogustavo")</f>
        <v>@petrogustavo</v>
      </c>
      <c r="C8921" s="5" t="s">
        <v>16</v>
      </c>
      <c r="D8921" s="5" t="s">
        <v>8585</v>
      </c>
      <c r="E8921" s="6" t="str">
        <f>HYPERLINK("https://twitter.com/petrogustavo/status/1296065719193526273","1296065719193526273")</f>
        <v>1296065719193526273</v>
      </c>
      <c r="F8921" s="7" t="s">
        <v>17</v>
      </c>
      <c r="G8921" s="7">
        <v>3942146</v>
      </c>
      <c r="H8921" s="7">
        <v>2426</v>
      </c>
      <c r="I8921" s="7">
        <v>59</v>
      </c>
      <c r="J8921" s="7">
        <v>201</v>
      </c>
      <c r="K8921" s="7" t="s">
        <v>18</v>
      </c>
      <c r="L8921" s="8">
        <v>39987.315405092595</v>
      </c>
      <c r="M8921" s="9" t="s">
        <v>19</v>
      </c>
      <c r="N8921" s="9" t="s">
        <v>20</v>
      </c>
      <c r="O8921" s="6" t="str">
        <f>HYPERLINK("https://pbs.twimg.com/profile_images/962471262747529216/Uo8lOkRJ_normal.jpg","View")</f>
        <v>View</v>
      </c>
      <c r="P8921" s="7"/>
    </row>
    <row r="8922" spans="1:16">
      <c r="A8922" s="3">
        <v>44062.769375000003</v>
      </c>
      <c r="B8922" s="4" t="str">
        <f>HYPERLINK("https://twitter.com/petrogustavo","@petrogustavo")</f>
        <v>@petrogustavo</v>
      </c>
      <c r="C8922" s="5" t="s">
        <v>16</v>
      </c>
      <c r="D8922" s="5" t="s">
        <v>8586</v>
      </c>
      <c r="E8922" s="6" t="str">
        <f>HYPERLINK("https://twitter.com/petrogustavo/status/1296068874333491200","1296068874333491200")</f>
        <v>1296068874333491200</v>
      </c>
      <c r="F8922" s="7" t="s">
        <v>17</v>
      </c>
      <c r="G8922" s="7">
        <v>3942146</v>
      </c>
      <c r="H8922" s="7">
        <v>2426</v>
      </c>
      <c r="I8922" s="7">
        <v>27</v>
      </c>
      <c r="J8922" s="7">
        <v>117</v>
      </c>
      <c r="K8922" s="7" t="s">
        <v>18</v>
      </c>
      <c r="L8922" s="8">
        <v>39987.315405092595</v>
      </c>
      <c r="M8922" s="9" t="s">
        <v>19</v>
      </c>
      <c r="N8922" s="9" t="s">
        <v>20</v>
      </c>
      <c r="O8922" s="6" t="str">
        <f>HYPERLINK("https://pbs.twimg.com/profile_images/962471262747529216/Uo8lOkRJ_normal.jpg","View")</f>
        <v>View</v>
      </c>
      <c r="P8922" s="7"/>
    </row>
    <row r="8923" spans="1:16">
      <c r="A8923" s="3">
        <v>44062.77034722222</v>
      </c>
      <c r="B8923" s="4" t="str">
        <f>HYPERLINK("https://twitter.com/petrogustavo","@petrogustavo")</f>
        <v>@petrogustavo</v>
      </c>
      <c r="C8923" s="5" t="s">
        <v>16</v>
      </c>
      <c r="D8923" s="5" t="s">
        <v>8587</v>
      </c>
      <c r="E8923" s="6" t="str">
        <f>HYPERLINK("https://twitter.com/petrogustavo/status/1296069229289058306","1296069229289058306")</f>
        <v>1296069229289058306</v>
      </c>
      <c r="F8923" s="7" t="s">
        <v>17</v>
      </c>
      <c r="G8923" s="7">
        <v>3942146</v>
      </c>
      <c r="H8923" s="7">
        <v>2426</v>
      </c>
      <c r="I8923" s="7">
        <v>21</v>
      </c>
      <c r="J8923" s="7">
        <v>115</v>
      </c>
      <c r="K8923" s="7" t="s">
        <v>18</v>
      </c>
      <c r="L8923" s="8">
        <v>39987.315405092595</v>
      </c>
      <c r="M8923" s="9" t="s">
        <v>19</v>
      </c>
      <c r="N8923" s="9" t="s">
        <v>20</v>
      </c>
      <c r="O8923" s="6" t="str">
        <f>HYPERLINK("https://pbs.twimg.com/profile_images/962471262747529216/Uo8lOkRJ_normal.jpg","View")</f>
        <v>View</v>
      </c>
      <c r="P8923" s="7"/>
    </row>
    <row r="8924" spans="1:16">
      <c r="A8924" s="3">
        <v>44062.963240740741</v>
      </c>
      <c r="B8924" s="4" t="str">
        <f>HYPERLINK("https://twitter.com/petrogustavo","@petrogustavo")</f>
        <v>@petrogustavo</v>
      </c>
      <c r="C8924" s="5" t="s">
        <v>16</v>
      </c>
      <c r="D8924" s="5" t="s">
        <v>8588</v>
      </c>
      <c r="E8924" s="6" t="str">
        <f>HYPERLINK("https://twitter.com/petrogustavo/status/1296139128959098885","1296139128959098885")</f>
        <v>1296139128959098885</v>
      </c>
      <c r="F8924" s="7" t="s">
        <v>32</v>
      </c>
      <c r="G8924" s="7">
        <v>3942385</v>
      </c>
      <c r="H8924" s="7">
        <v>2426</v>
      </c>
      <c r="I8924" s="7">
        <v>211</v>
      </c>
      <c r="J8924" s="7">
        <v>0</v>
      </c>
      <c r="K8924" s="7" t="s">
        <v>18</v>
      </c>
      <c r="L8924" s="8">
        <v>39987.315405092595</v>
      </c>
      <c r="M8924" s="9" t="s">
        <v>19</v>
      </c>
      <c r="N8924" s="9" t="s">
        <v>20</v>
      </c>
      <c r="O8924" s="6" t="str">
        <f>HYPERLINK("https://pbs.twimg.com/profile_images/962471262747529216/Uo8lOkRJ_normal.jpg","View")</f>
        <v>View</v>
      </c>
      <c r="P8924" s="7"/>
    </row>
    <row r="8925" spans="1:16">
      <c r="A8925" s="3">
        <v>44063.006874999999</v>
      </c>
      <c r="B8925" s="4" t="str">
        <f>HYPERLINK("https://twitter.com/petrogustavo","@petrogustavo")</f>
        <v>@petrogustavo</v>
      </c>
      <c r="C8925" s="5" t="s">
        <v>16</v>
      </c>
      <c r="D8925" s="5" t="s">
        <v>8589</v>
      </c>
      <c r="E8925" s="6" t="str">
        <f>HYPERLINK("https://twitter.com/petrogustavo/status/1296154942110150666","1296154942110150666")</f>
        <v>1296154942110150666</v>
      </c>
      <c r="F8925" s="7" t="s">
        <v>32</v>
      </c>
      <c r="G8925" s="7">
        <v>3942435</v>
      </c>
      <c r="H8925" s="7">
        <v>2426</v>
      </c>
      <c r="I8925" s="7">
        <v>21</v>
      </c>
      <c r="J8925" s="7">
        <v>0</v>
      </c>
      <c r="K8925" s="7" t="s">
        <v>18</v>
      </c>
      <c r="L8925" s="8">
        <v>39987.315405092595</v>
      </c>
      <c r="M8925" s="9" t="s">
        <v>19</v>
      </c>
      <c r="N8925" s="9" t="s">
        <v>20</v>
      </c>
      <c r="O8925" s="6" t="str">
        <f>HYPERLINK("https://pbs.twimg.com/profile_images/962471262747529216/Uo8lOkRJ_normal.jpg","View")</f>
        <v>View</v>
      </c>
      <c r="P8925" s="7"/>
    </row>
    <row r="8926" spans="1:16">
      <c r="A8926" s="3">
        <v>44063.007106481484</v>
      </c>
      <c r="B8926" s="4" t="str">
        <f>HYPERLINK("https://twitter.com/petrogustavo","@petrogustavo")</f>
        <v>@petrogustavo</v>
      </c>
      <c r="C8926" s="5" t="s">
        <v>16</v>
      </c>
      <c r="D8926" s="5" t="s">
        <v>8590</v>
      </c>
      <c r="E8926" s="6" t="str">
        <f>HYPERLINK("https://twitter.com/petrogustavo/status/1296155027791384576","1296155027791384576")</f>
        <v>1296155027791384576</v>
      </c>
      <c r="F8926" s="7" t="s">
        <v>32</v>
      </c>
      <c r="G8926" s="7">
        <v>3942435</v>
      </c>
      <c r="H8926" s="7">
        <v>2426</v>
      </c>
      <c r="I8926" s="7">
        <v>5265</v>
      </c>
      <c r="J8926" s="7">
        <v>0</v>
      </c>
      <c r="K8926" s="7" t="s">
        <v>18</v>
      </c>
      <c r="L8926" s="8">
        <v>39987.315405092595</v>
      </c>
      <c r="M8926" s="9" t="s">
        <v>19</v>
      </c>
      <c r="N8926" s="9" t="s">
        <v>20</v>
      </c>
      <c r="O8926" s="6" t="str">
        <f>HYPERLINK("https://pbs.twimg.com/profile_images/962471262747529216/Uo8lOkRJ_normal.jpg","View")</f>
        <v>View</v>
      </c>
      <c r="P8926" s="7"/>
    </row>
    <row r="8927" spans="1:16">
      <c r="A8927" s="3">
        <v>44063.013541666667</v>
      </c>
      <c r="B8927" s="4" t="str">
        <f>HYPERLINK("https://twitter.com/petrogustavo","@petrogustavo")</f>
        <v>@petrogustavo</v>
      </c>
      <c r="C8927" s="5" t="s">
        <v>16</v>
      </c>
      <c r="D8927" s="5" t="s">
        <v>8591</v>
      </c>
      <c r="E8927" s="6" t="str">
        <f>HYPERLINK("https://twitter.com/petrogustavo/status/1296157360914944006","1296157360914944006")</f>
        <v>1296157360914944006</v>
      </c>
      <c r="F8927" s="7" t="s">
        <v>32</v>
      </c>
      <c r="G8927" s="7">
        <v>3942464</v>
      </c>
      <c r="H8927" s="7">
        <v>2426</v>
      </c>
      <c r="I8927" s="7">
        <v>36</v>
      </c>
      <c r="J8927" s="7">
        <v>0</v>
      </c>
      <c r="K8927" s="7" t="s">
        <v>18</v>
      </c>
      <c r="L8927" s="8">
        <v>39987.315405092595</v>
      </c>
      <c r="M8927" s="9" t="s">
        <v>19</v>
      </c>
      <c r="N8927" s="9" t="s">
        <v>20</v>
      </c>
      <c r="O8927" s="6" t="str">
        <f>HYPERLINK("https://pbs.twimg.com/profile_images/962471262747529216/Uo8lOkRJ_normal.jpg","View")</f>
        <v>View</v>
      </c>
      <c r="P8927" s="7"/>
    </row>
    <row r="8928" spans="1:16">
      <c r="A8928" s="3">
        <v>44063.018819444449</v>
      </c>
      <c r="B8928" s="4" t="str">
        <f>HYPERLINK("https://twitter.com/petrogustavo","@petrogustavo")</f>
        <v>@petrogustavo</v>
      </c>
      <c r="C8928" s="5" t="s">
        <v>16</v>
      </c>
      <c r="D8928" s="5" t="s">
        <v>8592</v>
      </c>
      <c r="E8928" s="6" t="str">
        <f>HYPERLINK("https://twitter.com/petrogustavo/status/1296159271596548098","1296159271596548098")</f>
        <v>1296159271596548098</v>
      </c>
      <c r="F8928" s="7" t="s">
        <v>32</v>
      </c>
      <c r="G8928" s="7">
        <v>3942464</v>
      </c>
      <c r="H8928" s="7">
        <v>2426</v>
      </c>
      <c r="I8928" s="7">
        <v>562</v>
      </c>
      <c r="J8928" s="7">
        <v>1341</v>
      </c>
      <c r="K8928" s="7" t="s">
        <v>18</v>
      </c>
      <c r="L8928" s="8">
        <v>39987.315405092595</v>
      </c>
      <c r="M8928" s="9" t="s">
        <v>19</v>
      </c>
      <c r="N8928" s="9" t="s">
        <v>20</v>
      </c>
      <c r="O8928" s="6" t="str">
        <f>HYPERLINK("https://pbs.twimg.com/profile_images/962471262747529216/Uo8lOkRJ_normal.jpg","View")</f>
        <v>View</v>
      </c>
      <c r="P8928" s="7"/>
    </row>
    <row r="8929" spans="1:16">
      <c r="A8929" s="3">
        <v>44063.02375</v>
      </c>
      <c r="B8929" s="4" t="str">
        <f>HYPERLINK("https://twitter.com/petrogustavo","@petrogustavo")</f>
        <v>@petrogustavo</v>
      </c>
      <c r="C8929" s="5" t="s">
        <v>16</v>
      </c>
      <c r="D8929" s="5" t="s">
        <v>8593</v>
      </c>
      <c r="E8929" s="6" t="str">
        <f>HYPERLINK("https://twitter.com/petrogustavo/status/1296161056398749702","1296161056398749702")</f>
        <v>1296161056398749702</v>
      </c>
      <c r="F8929" s="7" t="s">
        <v>17</v>
      </c>
      <c r="G8929" s="7">
        <v>3942464</v>
      </c>
      <c r="H8929" s="7">
        <v>2426</v>
      </c>
      <c r="I8929" s="7">
        <v>88</v>
      </c>
      <c r="J8929" s="7">
        <v>0</v>
      </c>
      <c r="K8929" s="7" t="s">
        <v>18</v>
      </c>
      <c r="L8929" s="8">
        <v>39987.315405092595</v>
      </c>
      <c r="M8929" s="9" t="s">
        <v>19</v>
      </c>
      <c r="N8929" s="9" t="s">
        <v>20</v>
      </c>
      <c r="O8929" s="6" t="str">
        <f>HYPERLINK("https://pbs.twimg.com/profile_images/962471262747529216/Uo8lOkRJ_normal.jpg","View")</f>
        <v>View</v>
      </c>
      <c r="P8929" s="7"/>
    </row>
    <row r="8930" spans="1:16">
      <c r="A8930" s="3">
        <v>44063.023981481485</v>
      </c>
      <c r="B8930" s="4" t="str">
        <f>HYPERLINK("https://twitter.com/petrogustavo","@petrogustavo")</f>
        <v>@petrogustavo</v>
      </c>
      <c r="C8930" s="5" t="s">
        <v>16</v>
      </c>
      <c r="D8930" s="5" t="s">
        <v>8594</v>
      </c>
      <c r="E8930" s="6" t="str">
        <f>HYPERLINK("https://twitter.com/petrogustavo/status/1296161140691603457","1296161140691603457")</f>
        <v>1296161140691603457</v>
      </c>
      <c r="F8930" s="7" t="s">
        <v>17</v>
      </c>
      <c r="G8930" s="7">
        <v>3942464</v>
      </c>
      <c r="H8930" s="7">
        <v>2426</v>
      </c>
      <c r="I8930" s="7">
        <v>832</v>
      </c>
      <c r="J8930" s="7">
        <v>0</v>
      </c>
      <c r="K8930" s="7" t="s">
        <v>18</v>
      </c>
      <c r="L8930" s="8">
        <v>39987.315405092595</v>
      </c>
      <c r="M8930" s="9" t="s">
        <v>19</v>
      </c>
      <c r="N8930" s="9" t="s">
        <v>20</v>
      </c>
      <c r="O8930" s="6" t="str">
        <f>HYPERLINK("https://pbs.twimg.com/profile_images/962471262747529216/Uo8lOkRJ_normal.jpg","View")</f>
        <v>View</v>
      </c>
      <c r="P8930" s="7"/>
    </row>
    <row r="8931" spans="1:16">
      <c r="A8931" s="3">
        <v>44063.025520833333</v>
      </c>
      <c r="B8931" s="4" t="str">
        <f>HYPERLINK("https://twitter.com/petrogustavo","@petrogustavo")</f>
        <v>@petrogustavo</v>
      </c>
      <c r="C8931" s="5" t="s">
        <v>16</v>
      </c>
      <c r="D8931" s="5" t="s">
        <v>8595</v>
      </c>
      <c r="E8931" s="6" t="str">
        <f>HYPERLINK("https://twitter.com/petrogustavo/status/1296161699557515269","1296161699557515269")</f>
        <v>1296161699557515269</v>
      </c>
      <c r="F8931" s="7" t="s">
        <v>17</v>
      </c>
      <c r="G8931" s="7">
        <v>3942464</v>
      </c>
      <c r="H8931" s="7">
        <v>2426</v>
      </c>
      <c r="I8931" s="7">
        <v>164</v>
      </c>
      <c r="J8931" s="7">
        <v>570</v>
      </c>
      <c r="K8931" s="7" t="s">
        <v>18</v>
      </c>
      <c r="L8931" s="8">
        <v>39987.315405092595</v>
      </c>
      <c r="M8931" s="9" t="s">
        <v>19</v>
      </c>
      <c r="N8931" s="9" t="s">
        <v>20</v>
      </c>
      <c r="O8931" s="6" t="str">
        <f>HYPERLINK("https://pbs.twimg.com/profile_images/962471262747529216/Uo8lOkRJ_normal.jpg","View")</f>
        <v>View</v>
      </c>
      <c r="P8931" s="7"/>
    </row>
    <row r="8932" spans="1:16">
      <c r="A8932" s="3">
        <v>44063.028009259258</v>
      </c>
      <c r="B8932" s="4" t="str">
        <f>HYPERLINK("https://twitter.com/petrogustavo","@petrogustavo")</f>
        <v>@petrogustavo</v>
      </c>
      <c r="C8932" s="5" t="s">
        <v>16</v>
      </c>
      <c r="D8932" s="5" t="s">
        <v>8596</v>
      </c>
      <c r="E8932" s="6" t="str">
        <f>HYPERLINK("https://twitter.com/petrogustavo/status/1296162602511405057","1296162602511405057")</f>
        <v>1296162602511405057</v>
      </c>
      <c r="F8932" s="7" t="s">
        <v>17</v>
      </c>
      <c r="G8932" s="7">
        <v>3942464</v>
      </c>
      <c r="H8932" s="7">
        <v>2426</v>
      </c>
      <c r="I8932" s="7">
        <v>12</v>
      </c>
      <c r="J8932" s="7">
        <v>0</v>
      </c>
      <c r="K8932" s="7" t="s">
        <v>18</v>
      </c>
      <c r="L8932" s="8">
        <v>39987.315405092595</v>
      </c>
      <c r="M8932" s="9" t="s">
        <v>19</v>
      </c>
      <c r="N8932" s="9" t="s">
        <v>20</v>
      </c>
      <c r="O8932" s="6" t="str">
        <f>HYPERLINK("https://pbs.twimg.com/profile_images/962471262747529216/Uo8lOkRJ_normal.jpg","View")</f>
        <v>View</v>
      </c>
      <c r="P8932" s="7"/>
    </row>
    <row r="8933" spans="1:16">
      <c r="A8933" s="3">
        <v>44063.039097222223</v>
      </c>
      <c r="B8933" s="4" t="str">
        <f>HYPERLINK("https://twitter.com/petrogustavo","@petrogustavo")</f>
        <v>@petrogustavo</v>
      </c>
      <c r="C8933" s="5" t="s">
        <v>16</v>
      </c>
      <c r="D8933" s="5" t="s">
        <v>8597</v>
      </c>
      <c r="E8933" s="6" t="str">
        <f>HYPERLINK("https://twitter.com/petrogustavo/status/1296166618947563522","1296166618947563522")</f>
        <v>1296166618947563522</v>
      </c>
      <c r="F8933" s="7" t="s">
        <v>32</v>
      </c>
      <c r="G8933" s="7">
        <v>3942459</v>
      </c>
      <c r="H8933" s="7">
        <v>2426</v>
      </c>
      <c r="I8933" s="7">
        <v>135</v>
      </c>
      <c r="J8933" s="7">
        <v>387</v>
      </c>
      <c r="K8933" s="7" t="s">
        <v>18</v>
      </c>
      <c r="L8933" s="8">
        <v>39987.315405092595</v>
      </c>
      <c r="M8933" s="9" t="s">
        <v>19</v>
      </c>
      <c r="N8933" s="9" t="s">
        <v>20</v>
      </c>
      <c r="O8933" s="6" t="str">
        <f>HYPERLINK("https://pbs.twimg.com/profile_images/962471262747529216/Uo8lOkRJ_normal.jpg","View")</f>
        <v>View</v>
      </c>
      <c r="P8933" s="7"/>
    </row>
    <row r="8934" spans="1:16">
      <c r="A8934" s="3">
        <v>44063.041261574079</v>
      </c>
      <c r="B8934" s="4" t="str">
        <f>HYPERLINK("https://twitter.com/petrogustavo","@petrogustavo")</f>
        <v>@petrogustavo</v>
      </c>
      <c r="C8934" s="5" t="s">
        <v>16</v>
      </c>
      <c r="D8934" s="5" t="s">
        <v>8598</v>
      </c>
      <c r="E8934" s="6" t="str">
        <f>HYPERLINK("https://twitter.com/petrogustavo/status/1296167404758863873","1296167404758863873")</f>
        <v>1296167404758863873</v>
      </c>
      <c r="F8934" s="7" t="s">
        <v>32</v>
      </c>
      <c r="G8934" s="7">
        <v>3942459</v>
      </c>
      <c r="H8934" s="7">
        <v>2426</v>
      </c>
      <c r="I8934" s="7">
        <v>68</v>
      </c>
      <c r="J8934" s="7">
        <v>214</v>
      </c>
      <c r="K8934" s="7" t="s">
        <v>18</v>
      </c>
      <c r="L8934" s="8">
        <v>39987.315405092595</v>
      </c>
      <c r="M8934" s="9" t="s">
        <v>19</v>
      </c>
      <c r="N8934" s="9" t="s">
        <v>20</v>
      </c>
      <c r="O8934" s="6" t="str">
        <f>HYPERLINK("https://pbs.twimg.com/profile_images/962471262747529216/Uo8lOkRJ_normal.jpg","View")</f>
        <v>View</v>
      </c>
      <c r="P8934" s="7"/>
    </row>
    <row r="8935" spans="1:16">
      <c r="A8935" s="3">
        <v>44063.048900462964</v>
      </c>
      <c r="B8935" s="4" t="str">
        <f>HYPERLINK("https://twitter.com/petrogustavo","@petrogustavo")</f>
        <v>@petrogustavo</v>
      </c>
      <c r="C8935" s="5" t="s">
        <v>16</v>
      </c>
      <c r="D8935" s="5" t="s">
        <v>8599</v>
      </c>
      <c r="E8935" s="6" t="str">
        <f>HYPERLINK("https://twitter.com/petrogustavo/status/1296170171053285382","1296170171053285382")</f>
        <v>1296170171053285382</v>
      </c>
      <c r="F8935" s="7" t="s">
        <v>32</v>
      </c>
      <c r="G8935" s="7">
        <v>3942459</v>
      </c>
      <c r="H8935" s="7">
        <v>2426</v>
      </c>
      <c r="I8935" s="7">
        <v>29</v>
      </c>
      <c r="J8935" s="7">
        <v>0</v>
      </c>
      <c r="K8935" s="7" t="s">
        <v>18</v>
      </c>
      <c r="L8935" s="8">
        <v>39987.315405092595</v>
      </c>
      <c r="M8935" s="9" t="s">
        <v>19</v>
      </c>
      <c r="N8935" s="9" t="s">
        <v>20</v>
      </c>
      <c r="O8935" s="6" t="str">
        <f>HYPERLINK("https://pbs.twimg.com/profile_images/962471262747529216/Uo8lOkRJ_normal.jpg","View")</f>
        <v>View</v>
      </c>
      <c r="P8935" s="7"/>
    </row>
    <row r="8936" spans="1:16">
      <c r="A8936" s="3">
        <v>44063.050335648149</v>
      </c>
      <c r="B8936" s="4" t="str">
        <f>HYPERLINK("https://twitter.com/petrogustavo","@petrogustavo")</f>
        <v>@petrogustavo</v>
      </c>
      <c r="C8936" s="5" t="s">
        <v>16</v>
      </c>
      <c r="D8936" s="5" t="s">
        <v>8600</v>
      </c>
      <c r="E8936" s="6" t="str">
        <f>HYPERLINK("https://twitter.com/petrogustavo/status/1296170691440631808","1296170691440631808")</f>
        <v>1296170691440631808</v>
      </c>
      <c r="F8936" s="7" t="s">
        <v>32</v>
      </c>
      <c r="G8936" s="7">
        <v>3942459</v>
      </c>
      <c r="H8936" s="7">
        <v>2426</v>
      </c>
      <c r="I8936" s="7">
        <v>73</v>
      </c>
      <c r="J8936" s="7">
        <v>225</v>
      </c>
      <c r="K8936" s="7" t="s">
        <v>18</v>
      </c>
      <c r="L8936" s="8">
        <v>39987.315405092595</v>
      </c>
      <c r="M8936" s="9" t="s">
        <v>19</v>
      </c>
      <c r="N8936" s="9" t="s">
        <v>20</v>
      </c>
      <c r="O8936" s="6" t="str">
        <f>HYPERLINK("https://pbs.twimg.com/profile_images/962471262747529216/Uo8lOkRJ_normal.jpg","View")</f>
        <v>View</v>
      </c>
      <c r="P8936" s="7"/>
    </row>
    <row r="8937" spans="1:16">
      <c r="A8937" s="3">
        <v>44063.06144675926</v>
      </c>
      <c r="B8937" s="4" t="str">
        <f>HYPERLINK("https://twitter.com/petrogustavo","@petrogustavo")</f>
        <v>@petrogustavo</v>
      </c>
      <c r="C8937" s="5" t="s">
        <v>16</v>
      </c>
      <c r="D8937" s="5" t="s">
        <v>8601</v>
      </c>
      <c r="E8937" s="6" t="str">
        <f>HYPERLINK("https://twitter.com/petrogustavo/status/1296174720044367875","1296174720044367875")</f>
        <v>1296174720044367875</v>
      </c>
      <c r="F8937" s="7" t="s">
        <v>32</v>
      </c>
      <c r="G8937" s="7">
        <v>3942488</v>
      </c>
      <c r="H8937" s="7">
        <v>2426</v>
      </c>
      <c r="I8937" s="7">
        <v>59</v>
      </c>
      <c r="J8937" s="7">
        <v>0</v>
      </c>
      <c r="K8937" s="7" t="s">
        <v>18</v>
      </c>
      <c r="L8937" s="8">
        <v>39987.315405092595</v>
      </c>
      <c r="M8937" s="9" t="s">
        <v>19</v>
      </c>
      <c r="N8937" s="9" t="s">
        <v>20</v>
      </c>
      <c r="O8937" s="6" t="str">
        <f>HYPERLINK("https://pbs.twimg.com/profile_images/962471262747529216/Uo8lOkRJ_normal.jpg","View")</f>
        <v>View</v>
      </c>
      <c r="P8937" s="7"/>
    </row>
    <row r="8938" spans="1:16">
      <c r="A8938" s="3">
        <v>44063.061608796299</v>
      </c>
      <c r="B8938" s="4" t="str">
        <f>HYPERLINK("https://twitter.com/petrogustavo","@petrogustavo")</f>
        <v>@petrogustavo</v>
      </c>
      <c r="C8938" s="5" t="s">
        <v>16</v>
      </c>
      <c r="D8938" s="5" t="s">
        <v>8602</v>
      </c>
      <c r="E8938" s="6" t="str">
        <f>HYPERLINK("https://twitter.com/petrogustavo/status/1296174776449458198","1296174776449458198")</f>
        <v>1296174776449458198</v>
      </c>
      <c r="F8938" s="7" t="s">
        <v>32</v>
      </c>
      <c r="G8938" s="7">
        <v>3942488</v>
      </c>
      <c r="H8938" s="7">
        <v>2426</v>
      </c>
      <c r="I8938" s="7">
        <v>253</v>
      </c>
      <c r="J8938" s="7">
        <v>0</v>
      </c>
      <c r="K8938" s="7" t="s">
        <v>18</v>
      </c>
      <c r="L8938" s="8">
        <v>39987.315405092595</v>
      </c>
      <c r="M8938" s="9" t="s">
        <v>19</v>
      </c>
      <c r="N8938" s="9" t="s">
        <v>20</v>
      </c>
      <c r="O8938" s="6" t="str">
        <f>HYPERLINK("https://pbs.twimg.com/profile_images/962471262747529216/Uo8lOkRJ_normal.jpg","View")</f>
        <v>View</v>
      </c>
      <c r="P8938" s="7"/>
    </row>
    <row r="8939" spans="1:16">
      <c r="A8939" s="3">
        <v>44063.065613425926</v>
      </c>
      <c r="B8939" s="4" t="str">
        <f>HYPERLINK("https://twitter.com/petrogustavo","@petrogustavo")</f>
        <v>@petrogustavo</v>
      </c>
      <c r="C8939" s="5" t="s">
        <v>16</v>
      </c>
      <c r="D8939" s="5" t="s">
        <v>8603</v>
      </c>
      <c r="E8939" s="6" t="str">
        <f>HYPERLINK("https://twitter.com/petrogustavo/status/1296176231038226437","1296176231038226437")</f>
        <v>1296176231038226437</v>
      </c>
      <c r="F8939" s="7" t="s">
        <v>32</v>
      </c>
      <c r="G8939" s="7">
        <v>3942488</v>
      </c>
      <c r="H8939" s="7">
        <v>2426</v>
      </c>
      <c r="I8939" s="7">
        <v>90</v>
      </c>
      <c r="J8939" s="7">
        <v>0</v>
      </c>
      <c r="K8939" s="7" t="s">
        <v>18</v>
      </c>
      <c r="L8939" s="8">
        <v>39987.315405092595</v>
      </c>
      <c r="M8939" s="9" t="s">
        <v>19</v>
      </c>
      <c r="N8939" s="9" t="s">
        <v>20</v>
      </c>
      <c r="O8939" s="6" t="str">
        <f>HYPERLINK("https://pbs.twimg.com/profile_images/962471262747529216/Uo8lOkRJ_normal.jpg","View")</f>
        <v>View</v>
      </c>
      <c r="P8939" s="7"/>
    </row>
    <row r="8940" spans="1:16">
      <c r="A8940" s="3">
        <v>44063.066111111111</v>
      </c>
      <c r="B8940" s="4" t="str">
        <f>HYPERLINK("https://twitter.com/petrogustavo","@petrogustavo")</f>
        <v>@petrogustavo</v>
      </c>
      <c r="C8940" s="5" t="s">
        <v>16</v>
      </c>
      <c r="D8940" s="5" t="s">
        <v>8604</v>
      </c>
      <c r="E8940" s="6" t="str">
        <f>HYPERLINK("https://twitter.com/petrogustavo/status/1296176408658616320","1296176408658616320")</f>
        <v>1296176408658616320</v>
      </c>
      <c r="F8940" s="7" t="s">
        <v>32</v>
      </c>
      <c r="G8940" s="7">
        <v>3942488</v>
      </c>
      <c r="H8940" s="7">
        <v>2426</v>
      </c>
      <c r="I8940" s="7">
        <v>365</v>
      </c>
      <c r="J8940" s="7">
        <v>0</v>
      </c>
      <c r="K8940" s="7" t="s">
        <v>18</v>
      </c>
      <c r="L8940" s="8">
        <v>39987.315405092595</v>
      </c>
      <c r="M8940" s="9" t="s">
        <v>19</v>
      </c>
      <c r="N8940" s="9" t="s">
        <v>20</v>
      </c>
      <c r="O8940" s="6" t="str">
        <f>HYPERLINK("https://pbs.twimg.com/profile_images/962471262747529216/Uo8lOkRJ_normal.jpg","View")</f>
        <v>View</v>
      </c>
      <c r="P8940" s="7"/>
    </row>
    <row r="8941" spans="1:16">
      <c r="A8941" s="3">
        <v>44063.067442129628</v>
      </c>
      <c r="B8941" s="4" t="str">
        <f>HYPERLINK("https://twitter.com/petrogustavo","@petrogustavo")</f>
        <v>@petrogustavo</v>
      </c>
      <c r="C8941" s="5" t="s">
        <v>16</v>
      </c>
      <c r="D8941" s="5" t="s">
        <v>8605</v>
      </c>
      <c r="E8941" s="6" t="str">
        <f>HYPERLINK("https://twitter.com/petrogustavo/status/1296176892106637317","1296176892106637317")</f>
        <v>1296176892106637317</v>
      </c>
      <c r="F8941" s="7" t="s">
        <v>32</v>
      </c>
      <c r="G8941" s="7">
        <v>3942488</v>
      </c>
      <c r="H8941" s="7">
        <v>2426</v>
      </c>
      <c r="I8941" s="7">
        <v>174</v>
      </c>
      <c r="J8941" s="7">
        <v>469</v>
      </c>
      <c r="K8941" s="7" t="s">
        <v>18</v>
      </c>
      <c r="L8941" s="8">
        <v>39987.315405092595</v>
      </c>
      <c r="M8941" s="9" t="s">
        <v>19</v>
      </c>
      <c r="N8941" s="9" t="s">
        <v>20</v>
      </c>
      <c r="O8941" s="6" t="str">
        <f>HYPERLINK("https://pbs.twimg.com/profile_images/962471262747529216/Uo8lOkRJ_normal.jpg","View")</f>
        <v>View</v>
      </c>
      <c r="P8941" s="7"/>
    </row>
    <row r="8942" spans="1:16">
      <c r="A8942" s="3">
        <v>44063.077881944446</v>
      </c>
      <c r="B8942" s="4" t="str">
        <f>HYPERLINK("https://twitter.com/petrogustavo","@petrogustavo")</f>
        <v>@petrogustavo</v>
      </c>
      <c r="C8942" s="5" t="s">
        <v>16</v>
      </c>
      <c r="D8942" s="5" t="s">
        <v>8606</v>
      </c>
      <c r="E8942" s="6" t="str">
        <f>HYPERLINK("https://twitter.com/petrogustavo/status/1296180674634735616","1296180674634735616")</f>
        <v>1296180674634735616</v>
      </c>
      <c r="F8942" s="7" t="s">
        <v>32</v>
      </c>
      <c r="G8942" s="7">
        <v>3942524</v>
      </c>
      <c r="H8942" s="7">
        <v>2426</v>
      </c>
      <c r="I8942" s="7">
        <v>30</v>
      </c>
      <c r="J8942" s="7">
        <v>0</v>
      </c>
      <c r="K8942" s="7" t="s">
        <v>18</v>
      </c>
      <c r="L8942" s="8">
        <v>39987.315405092595</v>
      </c>
      <c r="M8942" s="9" t="s">
        <v>19</v>
      </c>
      <c r="N8942" s="9" t="s">
        <v>20</v>
      </c>
      <c r="O8942" s="6" t="str">
        <f>HYPERLINK("https://pbs.twimg.com/profile_images/962471262747529216/Uo8lOkRJ_normal.jpg","View")</f>
        <v>View</v>
      </c>
      <c r="P8942" s="7"/>
    </row>
    <row r="8943" spans="1:16">
      <c r="A8943" s="3">
        <v>44063.08430555556</v>
      </c>
      <c r="B8943" s="4" t="str">
        <f>HYPERLINK("https://twitter.com/petrogustavo","@petrogustavo")</f>
        <v>@petrogustavo</v>
      </c>
      <c r="C8943" s="5" t="s">
        <v>16</v>
      </c>
      <c r="D8943" s="5" t="s">
        <v>8607</v>
      </c>
      <c r="E8943" s="6" t="str">
        <f>HYPERLINK("https://twitter.com/petrogustavo/status/1296183002725220352","1296183002725220352")</f>
        <v>1296183002725220352</v>
      </c>
      <c r="F8943" s="7" t="s">
        <v>32</v>
      </c>
      <c r="G8943" s="7">
        <v>3942524</v>
      </c>
      <c r="H8943" s="7">
        <v>2426</v>
      </c>
      <c r="I8943" s="7">
        <v>42</v>
      </c>
      <c r="J8943" s="7">
        <v>0</v>
      </c>
      <c r="K8943" s="7" t="s">
        <v>18</v>
      </c>
      <c r="L8943" s="8">
        <v>39987.315405092595</v>
      </c>
      <c r="M8943" s="9" t="s">
        <v>19</v>
      </c>
      <c r="N8943" s="9" t="s">
        <v>20</v>
      </c>
      <c r="O8943" s="6" t="str">
        <f>HYPERLINK("https://pbs.twimg.com/profile_images/962471262747529216/Uo8lOkRJ_normal.jpg","View")</f>
        <v>View</v>
      </c>
      <c r="P8943" s="7"/>
    </row>
    <row r="8944" spans="1:16">
      <c r="A8944" s="3">
        <v>44063.104710648149</v>
      </c>
      <c r="B8944" s="4" t="str">
        <f>HYPERLINK("https://twitter.com/petrogustavo","@petrogustavo")</f>
        <v>@petrogustavo</v>
      </c>
      <c r="C8944" s="5" t="s">
        <v>16</v>
      </c>
      <c r="D8944" s="5" t="s">
        <v>8608</v>
      </c>
      <c r="E8944" s="6" t="str">
        <f>HYPERLINK("https://twitter.com/petrogustavo/status/1296190396050149376","1296190396050149376")</f>
        <v>1296190396050149376</v>
      </c>
      <c r="F8944" s="7" t="s">
        <v>32</v>
      </c>
      <c r="G8944" s="7">
        <v>3942549</v>
      </c>
      <c r="H8944" s="7">
        <v>2427</v>
      </c>
      <c r="I8944" s="7">
        <v>398</v>
      </c>
      <c r="J8944" s="7">
        <v>1637</v>
      </c>
      <c r="K8944" s="7" t="s">
        <v>18</v>
      </c>
      <c r="L8944" s="8">
        <v>39987.315405092595</v>
      </c>
      <c r="M8944" s="9" t="s">
        <v>19</v>
      </c>
      <c r="N8944" s="9" t="s">
        <v>20</v>
      </c>
      <c r="O8944" s="6" t="str">
        <f>HYPERLINK("https://pbs.twimg.com/profile_images/962471262747529216/Uo8lOkRJ_normal.jpg","View")</f>
        <v>View</v>
      </c>
      <c r="P8944" s="7"/>
    </row>
    <row r="8945" spans="1:16">
      <c r="A8945" s="3">
        <v>44063.119525462964</v>
      </c>
      <c r="B8945" s="4" t="str">
        <f>HYPERLINK("https://twitter.com/petrogustavo","@petrogustavo")</f>
        <v>@petrogustavo</v>
      </c>
      <c r="C8945" s="5" t="s">
        <v>16</v>
      </c>
      <c r="D8945" s="5" t="s">
        <v>8609</v>
      </c>
      <c r="E8945" s="6" t="str">
        <f>HYPERLINK("https://twitter.com/petrogustavo/status/1296195768118841345","1296195768118841345")</f>
        <v>1296195768118841345</v>
      </c>
      <c r="F8945" s="7" t="s">
        <v>32</v>
      </c>
      <c r="G8945" s="7">
        <v>3942568</v>
      </c>
      <c r="H8945" s="7">
        <v>2427</v>
      </c>
      <c r="I8945" s="7">
        <v>57</v>
      </c>
      <c r="J8945" s="7">
        <v>0</v>
      </c>
      <c r="K8945" s="7" t="s">
        <v>18</v>
      </c>
      <c r="L8945" s="8">
        <v>39987.315405092595</v>
      </c>
      <c r="M8945" s="9" t="s">
        <v>19</v>
      </c>
      <c r="N8945" s="9" t="s">
        <v>20</v>
      </c>
      <c r="O8945" s="6" t="str">
        <f>HYPERLINK("https://pbs.twimg.com/profile_images/962471262747529216/Uo8lOkRJ_normal.jpg","View")</f>
        <v>View</v>
      </c>
      <c r="P8945" s="7"/>
    </row>
    <row r="8946" spans="1:16">
      <c r="A8946" s="3">
        <v>44063.168553240743</v>
      </c>
      <c r="B8946" s="4" t="str">
        <f>HYPERLINK("https://twitter.com/petrogustavo","@petrogustavo")</f>
        <v>@petrogustavo</v>
      </c>
      <c r="C8946" s="5" t="s">
        <v>16</v>
      </c>
      <c r="D8946" s="5" t="s">
        <v>8610</v>
      </c>
      <c r="E8946" s="6" t="str">
        <f>HYPERLINK("https://twitter.com/petrogustavo/status/1296213534108454912","1296213534108454912")</f>
        <v>1296213534108454912</v>
      </c>
      <c r="F8946" s="7" t="s">
        <v>17</v>
      </c>
      <c r="G8946" s="7">
        <v>3942642</v>
      </c>
      <c r="H8946" s="7">
        <v>2427</v>
      </c>
      <c r="I8946" s="7">
        <v>40</v>
      </c>
      <c r="J8946" s="7">
        <v>0</v>
      </c>
      <c r="K8946" s="7" t="s">
        <v>18</v>
      </c>
      <c r="L8946" s="8">
        <v>39987.315405092595</v>
      </c>
      <c r="M8946" s="9" t="s">
        <v>19</v>
      </c>
      <c r="N8946" s="9" t="s">
        <v>20</v>
      </c>
      <c r="O8946" s="6" t="str">
        <f>HYPERLINK("https://pbs.twimg.com/profile_images/962471262747529216/Uo8lOkRJ_normal.jpg","View")</f>
        <v>View</v>
      </c>
      <c r="P8946" s="7"/>
    </row>
    <row r="8947" spans="1:16">
      <c r="A8947" s="3">
        <v>44063.36681712963</v>
      </c>
      <c r="B8947" s="4" t="str">
        <f>HYPERLINK("https://twitter.com/petrogustavo","@petrogustavo")</f>
        <v>@petrogustavo</v>
      </c>
      <c r="C8947" s="5" t="s">
        <v>16</v>
      </c>
      <c r="D8947" s="5" t="s">
        <v>8611</v>
      </c>
      <c r="E8947" s="6" t="str">
        <f>HYPERLINK("https://twitter.com/petrogustavo/status/1296285381005062144","1296285381005062144")</f>
        <v>1296285381005062144</v>
      </c>
      <c r="F8947" s="7" t="s">
        <v>17</v>
      </c>
      <c r="G8947" s="7">
        <v>3942926</v>
      </c>
      <c r="H8947" s="7">
        <v>2427</v>
      </c>
      <c r="I8947" s="7">
        <v>248</v>
      </c>
      <c r="J8947" s="7">
        <v>725</v>
      </c>
      <c r="K8947" s="7" t="s">
        <v>18</v>
      </c>
      <c r="L8947" s="8">
        <v>39987.315405092595</v>
      </c>
      <c r="M8947" s="9" t="s">
        <v>19</v>
      </c>
      <c r="N8947" s="9" t="s">
        <v>20</v>
      </c>
      <c r="O8947" s="6" t="str">
        <f>HYPERLINK("https://pbs.twimg.com/profile_images/962471262747529216/Uo8lOkRJ_normal.jpg","View")</f>
        <v>View</v>
      </c>
      <c r="P8947" s="7"/>
    </row>
    <row r="8948" spans="1:16">
      <c r="A8948" s="3">
        <v>44063.38826388889</v>
      </c>
      <c r="B8948" s="4" t="str">
        <f>HYPERLINK("https://twitter.com/petrogustavo","@petrogustavo")</f>
        <v>@petrogustavo</v>
      </c>
      <c r="C8948" s="5" t="s">
        <v>16</v>
      </c>
      <c r="D8948" s="5" t="s">
        <v>8612</v>
      </c>
      <c r="E8948" s="6" t="str">
        <f>HYPERLINK("https://twitter.com/petrogustavo/status/1296293155801890818","1296293155801890818")</f>
        <v>1296293155801890818</v>
      </c>
      <c r="F8948" s="7" t="s">
        <v>17</v>
      </c>
      <c r="G8948" s="7">
        <v>3942946</v>
      </c>
      <c r="H8948" s="7">
        <v>2427</v>
      </c>
      <c r="I8948" s="7">
        <v>352</v>
      </c>
      <c r="J8948" s="7">
        <v>0</v>
      </c>
      <c r="K8948" s="7" t="s">
        <v>18</v>
      </c>
      <c r="L8948" s="8">
        <v>39987.315405092595</v>
      </c>
      <c r="M8948" s="9" t="s">
        <v>19</v>
      </c>
      <c r="N8948" s="9" t="s">
        <v>20</v>
      </c>
      <c r="O8948" s="6" t="str">
        <f>HYPERLINK("https://pbs.twimg.com/profile_images/962471262747529216/Uo8lOkRJ_normal.jpg","View")</f>
        <v>View</v>
      </c>
      <c r="P8948" s="7"/>
    </row>
    <row r="8949" spans="1:16">
      <c r="A8949" s="3">
        <v>44063.74863425926</v>
      </c>
      <c r="B8949" s="4" t="str">
        <f>HYPERLINK("https://twitter.com/petrogustavo","@petrogustavo")</f>
        <v>@petrogustavo</v>
      </c>
      <c r="C8949" s="5" t="s">
        <v>16</v>
      </c>
      <c r="D8949" s="5" t="s">
        <v>8613</v>
      </c>
      <c r="E8949" s="6" t="str">
        <f>HYPERLINK("https://twitter.com/petrogustavo/status/1296423749500260354","1296423749500260354")</f>
        <v>1296423749500260354</v>
      </c>
      <c r="F8949" s="7" t="s">
        <v>32</v>
      </c>
      <c r="G8949" s="7">
        <v>3943050</v>
      </c>
      <c r="H8949" s="7">
        <v>2428</v>
      </c>
      <c r="I8949" s="7">
        <v>72</v>
      </c>
      <c r="J8949" s="7">
        <v>330</v>
      </c>
      <c r="K8949" s="7" t="s">
        <v>18</v>
      </c>
      <c r="L8949" s="8">
        <v>39987.315405092595</v>
      </c>
      <c r="M8949" s="9" t="s">
        <v>19</v>
      </c>
      <c r="N8949" s="9" t="s">
        <v>20</v>
      </c>
      <c r="O8949" s="6" t="str">
        <f>HYPERLINK("https://pbs.twimg.com/profile_images/962471262747529216/Uo8lOkRJ_normal.jpg","View")</f>
        <v>View</v>
      </c>
      <c r="P8949" s="7"/>
    </row>
    <row r="8950" spans="1:16">
      <c r="A8950" s="3">
        <v>44063.750937500001</v>
      </c>
      <c r="B8950" s="4" t="str">
        <f>HYPERLINK("https://twitter.com/petrogustavo","@petrogustavo")</f>
        <v>@petrogustavo</v>
      </c>
      <c r="C8950" s="5" t="s">
        <v>16</v>
      </c>
      <c r="D8950" s="5" t="s">
        <v>8614</v>
      </c>
      <c r="E8950" s="6" t="str">
        <f>HYPERLINK("https://twitter.com/petrogustavo/status/1296424580786069504","1296424580786069504")</f>
        <v>1296424580786069504</v>
      </c>
      <c r="F8950" s="7" t="s">
        <v>32</v>
      </c>
      <c r="G8950" s="7">
        <v>3943050</v>
      </c>
      <c r="H8950" s="7">
        <v>2428</v>
      </c>
      <c r="I8950" s="7">
        <v>193</v>
      </c>
      <c r="J8950" s="7">
        <v>0</v>
      </c>
      <c r="K8950" s="7" t="s">
        <v>18</v>
      </c>
      <c r="L8950" s="8">
        <v>39987.315405092595</v>
      </c>
      <c r="M8950" s="9" t="s">
        <v>19</v>
      </c>
      <c r="N8950" s="9" t="s">
        <v>20</v>
      </c>
      <c r="O8950" s="6" t="str">
        <f>HYPERLINK("https://pbs.twimg.com/profile_images/962471262747529216/Uo8lOkRJ_normal.jpg","View")</f>
        <v>View</v>
      </c>
      <c r="P8950" s="7"/>
    </row>
    <row r="8951" spans="1:16">
      <c r="A8951" s="3">
        <v>44063.752349537041</v>
      </c>
      <c r="B8951" s="4" t="str">
        <f>HYPERLINK("https://twitter.com/petrogustavo","@petrogustavo")</f>
        <v>@petrogustavo</v>
      </c>
      <c r="C8951" s="5" t="s">
        <v>16</v>
      </c>
      <c r="D8951" s="5" t="s">
        <v>8615</v>
      </c>
      <c r="E8951" s="6" t="str">
        <f>HYPERLINK("https://twitter.com/petrogustavo/status/1296425095188164610","1296425095188164610")</f>
        <v>1296425095188164610</v>
      </c>
      <c r="F8951" s="7" t="s">
        <v>32</v>
      </c>
      <c r="G8951" s="7">
        <v>3943050</v>
      </c>
      <c r="H8951" s="7">
        <v>2428</v>
      </c>
      <c r="I8951" s="7">
        <v>106</v>
      </c>
      <c r="J8951" s="7">
        <v>240</v>
      </c>
      <c r="K8951" s="7" t="s">
        <v>18</v>
      </c>
      <c r="L8951" s="8">
        <v>39987.315405092595</v>
      </c>
      <c r="M8951" s="9" t="s">
        <v>19</v>
      </c>
      <c r="N8951" s="9" t="s">
        <v>20</v>
      </c>
      <c r="O8951" s="6" t="str">
        <f>HYPERLINK("https://pbs.twimg.com/profile_images/962471262747529216/Uo8lOkRJ_normal.jpg","View")</f>
        <v>View</v>
      </c>
      <c r="P8951" s="7"/>
    </row>
    <row r="8952" spans="1:16">
      <c r="A8952" s="3">
        <v>44063.753275462965</v>
      </c>
      <c r="B8952" s="4" t="str">
        <f>HYPERLINK("https://twitter.com/petrogustavo","@petrogustavo")</f>
        <v>@petrogustavo</v>
      </c>
      <c r="C8952" s="5" t="s">
        <v>16</v>
      </c>
      <c r="D8952" s="5" t="s">
        <v>8616</v>
      </c>
      <c r="E8952" s="6" t="str">
        <f>HYPERLINK("https://twitter.com/petrogustavo/status/1296425431210627072","1296425431210627072")</f>
        <v>1296425431210627072</v>
      </c>
      <c r="F8952" s="7" t="s">
        <v>32</v>
      </c>
      <c r="G8952" s="7">
        <v>3943050</v>
      </c>
      <c r="H8952" s="7">
        <v>2428</v>
      </c>
      <c r="I8952" s="7">
        <v>568</v>
      </c>
      <c r="J8952" s="7">
        <v>0</v>
      </c>
      <c r="K8952" s="7" t="s">
        <v>18</v>
      </c>
      <c r="L8952" s="8">
        <v>39987.315405092595</v>
      </c>
      <c r="M8952" s="9" t="s">
        <v>19</v>
      </c>
      <c r="N8952" s="9" t="s">
        <v>20</v>
      </c>
      <c r="O8952" s="6" t="str">
        <f>HYPERLINK("https://pbs.twimg.com/profile_images/962471262747529216/Uo8lOkRJ_normal.jpg","View")</f>
        <v>View</v>
      </c>
      <c r="P8952" s="7"/>
    </row>
    <row r="8953" spans="1:16">
      <c r="A8953" s="3">
        <v>44063.756018518514</v>
      </c>
      <c r="B8953" s="4" t="str">
        <f>HYPERLINK("https://twitter.com/petrogustavo","@petrogustavo")</f>
        <v>@petrogustavo</v>
      </c>
      <c r="C8953" s="5" t="s">
        <v>16</v>
      </c>
      <c r="D8953" s="5" t="s">
        <v>8617</v>
      </c>
      <c r="E8953" s="6" t="str">
        <f>HYPERLINK("https://twitter.com/petrogustavo/status/1296426422987362305","1296426422987362305")</f>
        <v>1296426422987362305</v>
      </c>
      <c r="F8953" s="7" t="s">
        <v>32</v>
      </c>
      <c r="G8953" s="7">
        <v>3943050</v>
      </c>
      <c r="H8953" s="7">
        <v>2428</v>
      </c>
      <c r="I8953" s="7">
        <v>51</v>
      </c>
      <c r="J8953" s="7">
        <v>155</v>
      </c>
      <c r="K8953" s="7" t="s">
        <v>18</v>
      </c>
      <c r="L8953" s="8">
        <v>39987.315405092595</v>
      </c>
      <c r="M8953" s="9" t="s">
        <v>19</v>
      </c>
      <c r="N8953" s="9" t="s">
        <v>20</v>
      </c>
      <c r="O8953" s="6" t="str">
        <f>HYPERLINK("https://pbs.twimg.com/profile_images/962471262747529216/Uo8lOkRJ_normal.jpg","View")</f>
        <v>View</v>
      </c>
      <c r="P8953" s="7"/>
    </row>
    <row r="8954" spans="1:16">
      <c r="A8954" s="3">
        <v>44063.758472222224</v>
      </c>
      <c r="B8954" s="4" t="str">
        <f>HYPERLINK("https://twitter.com/petrogustavo","@petrogustavo")</f>
        <v>@petrogustavo</v>
      </c>
      <c r="C8954" s="5" t="s">
        <v>16</v>
      </c>
      <c r="D8954" s="5" t="s">
        <v>8618</v>
      </c>
      <c r="E8954" s="6" t="str">
        <f>HYPERLINK("https://twitter.com/petrogustavo/status/1296427314155270144","1296427314155270144")</f>
        <v>1296427314155270144</v>
      </c>
      <c r="F8954" s="7" t="s">
        <v>32</v>
      </c>
      <c r="G8954" s="7">
        <v>3943050</v>
      </c>
      <c r="H8954" s="7">
        <v>2428</v>
      </c>
      <c r="I8954" s="7">
        <v>604</v>
      </c>
      <c r="J8954" s="7">
        <v>0</v>
      </c>
      <c r="K8954" s="7" t="s">
        <v>18</v>
      </c>
      <c r="L8954" s="8">
        <v>39987.315405092595</v>
      </c>
      <c r="M8954" s="9" t="s">
        <v>19</v>
      </c>
      <c r="N8954" s="9" t="s">
        <v>20</v>
      </c>
      <c r="O8954" s="6" t="str">
        <f>HYPERLINK("https://pbs.twimg.com/profile_images/962471262747529216/Uo8lOkRJ_normal.jpg","View")</f>
        <v>View</v>
      </c>
      <c r="P8954" s="7"/>
    </row>
    <row r="8955" spans="1:16">
      <c r="A8955" s="3">
        <v>44063.771539351852</v>
      </c>
      <c r="B8955" s="4" t="str">
        <f>HYPERLINK("https://twitter.com/petrogustavo","@petrogustavo")</f>
        <v>@petrogustavo</v>
      </c>
      <c r="C8955" s="5" t="s">
        <v>16</v>
      </c>
      <c r="D8955" s="5" t="s">
        <v>8619</v>
      </c>
      <c r="E8955" s="6" t="str">
        <f>HYPERLINK("https://twitter.com/petrogustavo/status/1296432046521364480","1296432046521364480")</f>
        <v>1296432046521364480</v>
      </c>
      <c r="F8955" s="7" t="s">
        <v>32</v>
      </c>
      <c r="G8955" s="7">
        <v>3943075</v>
      </c>
      <c r="H8955" s="7">
        <v>2428</v>
      </c>
      <c r="I8955" s="7">
        <v>71</v>
      </c>
      <c r="J8955" s="7">
        <v>145</v>
      </c>
      <c r="K8955" s="7" t="s">
        <v>18</v>
      </c>
      <c r="L8955" s="8">
        <v>39987.315405092595</v>
      </c>
      <c r="M8955" s="9" t="s">
        <v>19</v>
      </c>
      <c r="N8955" s="9" t="s">
        <v>20</v>
      </c>
      <c r="O8955" s="6" t="str">
        <f>HYPERLINK("https://pbs.twimg.com/profile_images/962471262747529216/Uo8lOkRJ_normal.jpg","View")</f>
        <v>View</v>
      </c>
      <c r="P8955" s="7"/>
    </row>
    <row r="8956" spans="1:16">
      <c r="A8956" s="3">
        <v>44063.773981481485</v>
      </c>
      <c r="B8956" s="4" t="str">
        <f>HYPERLINK("https://twitter.com/petrogustavo","@petrogustavo")</f>
        <v>@petrogustavo</v>
      </c>
      <c r="C8956" s="5" t="s">
        <v>16</v>
      </c>
      <c r="D8956" s="5" t="s">
        <v>8620</v>
      </c>
      <c r="E8956" s="6" t="str">
        <f>HYPERLINK("https://twitter.com/petrogustavo/status/1296432935000854528","1296432935000854528")</f>
        <v>1296432935000854528</v>
      </c>
      <c r="F8956" s="7" t="s">
        <v>32</v>
      </c>
      <c r="G8956" s="7">
        <v>3943075</v>
      </c>
      <c r="H8956" s="7">
        <v>2428</v>
      </c>
      <c r="I8956" s="7">
        <v>77</v>
      </c>
      <c r="J8956" s="7">
        <v>280</v>
      </c>
      <c r="K8956" s="7" t="s">
        <v>18</v>
      </c>
      <c r="L8956" s="8">
        <v>39987.315405092595</v>
      </c>
      <c r="M8956" s="9" t="s">
        <v>19</v>
      </c>
      <c r="N8956" s="9" t="s">
        <v>20</v>
      </c>
      <c r="O8956" s="6" t="str">
        <f>HYPERLINK("https://pbs.twimg.com/profile_images/962471262747529216/Uo8lOkRJ_normal.jpg","View")</f>
        <v>View</v>
      </c>
      <c r="P8956" s="7"/>
    </row>
    <row r="8957" spans="1:16">
      <c r="A8957" s="3">
        <v>44063.781527777777</v>
      </c>
      <c r="B8957" s="4" t="str">
        <f>HYPERLINK("https://twitter.com/petrogustavo","@petrogustavo")</f>
        <v>@petrogustavo</v>
      </c>
      <c r="C8957" s="5" t="s">
        <v>16</v>
      </c>
      <c r="D8957" s="5" t="s">
        <v>8621</v>
      </c>
      <c r="E8957" s="6" t="str">
        <f>HYPERLINK("https://twitter.com/petrogustavo/status/1296435667296231429","1296435667296231429")</f>
        <v>1296435667296231429</v>
      </c>
      <c r="F8957" s="7" t="s">
        <v>17</v>
      </c>
      <c r="G8957" s="7">
        <v>3943075</v>
      </c>
      <c r="H8957" s="7">
        <v>2428</v>
      </c>
      <c r="I8957" s="7">
        <v>16</v>
      </c>
      <c r="J8957" s="7">
        <v>35</v>
      </c>
      <c r="K8957" s="7" t="s">
        <v>18</v>
      </c>
      <c r="L8957" s="8">
        <v>39987.315405092595</v>
      </c>
      <c r="M8957" s="9" t="s">
        <v>19</v>
      </c>
      <c r="N8957" s="9" t="s">
        <v>20</v>
      </c>
      <c r="O8957" s="6" t="str">
        <f>HYPERLINK("https://pbs.twimg.com/profile_images/962471262747529216/Uo8lOkRJ_normal.jpg","View")</f>
        <v>View</v>
      </c>
      <c r="P8957" s="7"/>
    </row>
    <row r="8958" spans="1:16">
      <c r="A8958" s="3">
        <v>44063.853958333333</v>
      </c>
      <c r="B8958" s="4" t="str">
        <f>HYPERLINK("https://twitter.com/petrogustavo","@petrogustavo")</f>
        <v>@petrogustavo</v>
      </c>
      <c r="C8958" s="5" t="s">
        <v>16</v>
      </c>
      <c r="D8958" s="5" t="s">
        <v>8622</v>
      </c>
      <c r="E8958" s="6" t="str">
        <f>HYPERLINK("https://twitter.com/petrogustavo/status/1296461913782657025","1296461913782657025")</f>
        <v>1296461913782657025</v>
      </c>
      <c r="F8958" s="7" t="s">
        <v>32</v>
      </c>
      <c r="G8958" s="7">
        <v>3943184</v>
      </c>
      <c r="H8958" s="7">
        <v>2428</v>
      </c>
      <c r="I8958" s="7">
        <v>2383</v>
      </c>
      <c r="J8958" s="7">
        <v>0</v>
      </c>
      <c r="K8958" s="7" t="s">
        <v>18</v>
      </c>
      <c r="L8958" s="8">
        <v>39987.315405092595</v>
      </c>
      <c r="M8958" s="9" t="s">
        <v>19</v>
      </c>
      <c r="N8958" s="9" t="s">
        <v>20</v>
      </c>
      <c r="O8958" s="6" t="str">
        <f>HYPERLINK("https://pbs.twimg.com/profile_images/962471262747529216/Uo8lOkRJ_normal.jpg","View")</f>
        <v>View</v>
      </c>
      <c r="P8958" s="7"/>
    </row>
    <row r="8959" spans="1:16">
      <c r="A8959" s="3">
        <v>44063.854571759264</v>
      </c>
      <c r="B8959" s="4" t="str">
        <f>HYPERLINK("https://twitter.com/petrogustavo","@petrogustavo")</f>
        <v>@petrogustavo</v>
      </c>
      <c r="C8959" s="5" t="s">
        <v>16</v>
      </c>
      <c r="D8959" s="5" t="s">
        <v>8623</v>
      </c>
      <c r="E8959" s="6" t="str">
        <f>HYPERLINK("https://twitter.com/petrogustavo/status/1296462138605699072","1296462138605699072")</f>
        <v>1296462138605699072</v>
      </c>
      <c r="F8959" s="7" t="s">
        <v>32</v>
      </c>
      <c r="G8959" s="7">
        <v>3943184</v>
      </c>
      <c r="H8959" s="7">
        <v>2428</v>
      </c>
      <c r="I8959" s="7">
        <v>122</v>
      </c>
      <c r="J8959" s="7">
        <v>0</v>
      </c>
      <c r="K8959" s="7" t="s">
        <v>18</v>
      </c>
      <c r="L8959" s="8">
        <v>39987.315405092595</v>
      </c>
      <c r="M8959" s="9" t="s">
        <v>19</v>
      </c>
      <c r="N8959" s="9" t="s">
        <v>20</v>
      </c>
      <c r="O8959" s="6" t="str">
        <f>HYPERLINK("https://pbs.twimg.com/profile_images/962471262747529216/Uo8lOkRJ_normal.jpg","View")</f>
        <v>View</v>
      </c>
      <c r="P8959" s="7"/>
    </row>
    <row r="8960" spans="1:16">
      <c r="A8960" s="3">
        <v>44063.859224537038</v>
      </c>
      <c r="B8960" s="4" t="str">
        <f>HYPERLINK("https://twitter.com/petrogustavo","@petrogustavo")</f>
        <v>@petrogustavo</v>
      </c>
      <c r="C8960" s="5" t="s">
        <v>16</v>
      </c>
      <c r="D8960" s="5" t="s">
        <v>8624</v>
      </c>
      <c r="E8960" s="6" t="str">
        <f>HYPERLINK("https://twitter.com/petrogustavo/status/1296463823126355970","1296463823126355970")</f>
        <v>1296463823126355970</v>
      </c>
      <c r="F8960" s="7" t="s">
        <v>32</v>
      </c>
      <c r="G8960" s="7">
        <v>3943184</v>
      </c>
      <c r="H8960" s="7">
        <v>2428</v>
      </c>
      <c r="I8960" s="7">
        <v>193</v>
      </c>
      <c r="J8960" s="7">
        <v>427</v>
      </c>
      <c r="K8960" s="7" t="s">
        <v>18</v>
      </c>
      <c r="L8960" s="8">
        <v>39987.315405092595</v>
      </c>
      <c r="M8960" s="9" t="s">
        <v>19</v>
      </c>
      <c r="N8960" s="9" t="s">
        <v>20</v>
      </c>
      <c r="O8960" s="6" t="str">
        <f>HYPERLINK("https://pbs.twimg.com/profile_images/962471262747529216/Uo8lOkRJ_normal.jpg","View")</f>
        <v>View</v>
      </c>
      <c r="P8960" s="7"/>
    </row>
    <row r="8961" spans="1:16">
      <c r="A8961" s="3">
        <v>44063.859432870369</v>
      </c>
      <c r="B8961" s="4" t="str">
        <f>HYPERLINK("https://twitter.com/petrogustavo","@petrogustavo")</f>
        <v>@petrogustavo</v>
      </c>
      <c r="C8961" s="5" t="s">
        <v>16</v>
      </c>
      <c r="D8961" s="5" t="s">
        <v>8625</v>
      </c>
      <c r="E8961" s="6" t="str">
        <f>HYPERLINK("https://twitter.com/petrogustavo/status/1296463901790547972","1296463901790547972")</f>
        <v>1296463901790547972</v>
      </c>
      <c r="F8961" s="7" t="s">
        <v>32</v>
      </c>
      <c r="G8961" s="7">
        <v>3943184</v>
      </c>
      <c r="H8961" s="7">
        <v>2428</v>
      </c>
      <c r="I8961" s="7">
        <v>36</v>
      </c>
      <c r="J8961" s="7">
        <v>0</v>
      </c>
      <c r="K8961" s="7" t="s">
        <v>18</v>
      </c>
      <c r="L8961" s="8">
        <v>39987.315405092595</v>
      </c>
      <c r="M8961" s="9" t="s">
        <v>19</v>
      </c>
      <c r="N8961" s="9" t="s">
        <v>20</v>
      </c>
      <c r="O8961" s="6" t="str">
        <f>HYPERLINK("https://pbs.twimg.com/profile_images/962471262747529216/Uo8lOkRJ_normal.jpg","View")</f>
        <v>View</v>
      </c>
      <c r="P8961" s="7"/>
    </row>
    <row r="8962" spans="1:16">
      <c r="A8962" s="3">
        <v>44063.864814814813</v>
      </c>
      <c r="B8962" s="4" t="str">
        <f>HYPERLINK("https://twitter.com/petrogustavo","@petrogustavo")</f>
        <v>@petrogustavo</v>
      </c>
      <c r="C8962" s="5" t="s">
        <v>16</v>
      </c>
      <c r="D8962" s="5" t="s">
        <v>8626</v>
      </c>
      <c r="E8962" s="6" t="str">
        <f>HYPERLINK("https://twitter.com/petrogustavo/status/1296465850355060739","1296465850355060739")</f>
        <v>1296465850355060739</v>
      </c>
      <c r="F8962" s="7" t="s">
        <v>32</v>
      </c>
      <c r="G8962" s="7">
        <v>3943184</v>
      </c>
      <c r="H8962" s="7">
        <v>2428</v>
      </c>
      <c r="I8962" s="7">
        <v>39</v>
      </c>
      <c r="J8962" s="7">
        <v>109</v>
      </c>
      <c r="K8962" s="7" t="s">
        <v>18</v>
      </c>
      <c r="L8962" s="8">
        <v>39987.315405092595</v>
      </c>
      <c r="M8962" s="9" t="s">
        <v>19</v>
      </c>
      <c r="N8962" s="9" t="s">
        <v>20</v>
      </c>
      <c r="O8962" s="6" t="str">
        <f>HYPERLINK("https://pbs.twimg.com/profile_images/962471262747529216/Uo8lOkRJ_normal.jpg","View")</f>
        <v>View</v>
      </c>
      <c r="P8962" s="7"/>
    </row>
    <row r="8963" spans="1:16">
      <c r="A8963" s="3">
        <v>44063.949108796296</v>
      </c>
      <c r="B8963" s="4" t="str">
        <f>HYPERLINK("https://twitter.com/petrogustavo","@petrogustavo")</f>
        <v>@petrogustavo</v>
      </c>
      <c r="C8963" s="5" t="s">
        <v>16</v>
      </c>
      <c r="D8963" s="5" t="s">
        <v>8627</v>
      </c>
      <c r="E8963" s="6" t="str">
        <f>HYPERLINK("https://twitter.com/petrogustavo/status/1296496397898993664","1296496397898993664")</f>
        <v>1296496397898993664</v>
      </c>
      <c r="F8963" s="7" t="s">
        <v>32</v>
      </c>
      <c r="G8963" s="7">
        <v>3943276</v>
      </c>
      <c r="H8963" s="7">
        <v>2428</v>
      </c>
      <c r="I8963" s="7">
        <v>1</v>
      </c>
      <c r="J8963" s="7">
        <v>0</v>
      </c>
      <c r="K8963" s="7" t="s">
        <v>18</v>
      </c>
      <c r="L8963" s="8">
        <v>39987.315405092595</v>
      </c>
      <c r="M8963" s="9" t="s">
        <v>19</v>
      </c>
      <c r="N8963" s="9" t="s">
        <v>20</v>
      </c>
      <c r="O8963" s="6" t="str">
        <f>HYPERLINK("https://pbs.twimg.com/profile_images/962471262747529216/Uo8lOkRJ_normal.jpg","View")</f>
        <v>View</v>
      </c>
      <c r="P8963" s="7"/>
    </row>
    <row r="8964" spans="1:16">
      <c r="A8964" s="3">
        <v>44064.249583333338</v>
      </c>
      <c r="B8964" s="4" t="str">
        <f>HYPERLINK("https://twitter.com/petrogustavo","@petrogustavo")</f>
        <v>@petrogustavo</v>
      </c>
      <c r="C8964" s="5" t="s">
        <v>16</v>
      </c>
      <c r="D8964" s="5" t="s">
        <v>8628</v>
      </c>
      <c r="E8964" s="6" t="str">
        <f>HYPERLINK("https://twitter.com/petrogustavo/status/1296605285595983873","1296605285595983873")</f>
        <v>1296605285595983873</v>
      </c>
      <c r="F8964" s="7" t="s">
        <v>32</v>
      </c>
      <c r="G8964" s="7">
        <v>3943561</v>
      </c>
      <c r="H8964" s="7">
        <v>2428</v>
      </c>
      <c r="I8964" s="7">
        <v>909</v>
      </c>
      <c r="J8964" s="7">
        <v>0</v>
      </c>
      <c r="K8964" s="7" t="s">
        <v>18</v>
      </c>
      <c r="L8964" s="8">
        <v>39987.315405092595</v>
      </c>
      <c r="M8964" s="9" t="s">
        <v>19</v>
      </c>
      <c r="N8964" s="9" t="s">
        <v>20</v>
      </c>
      <c r="O8964" s="6" t="str">
        <f>HYPERLINK("https://pbs.twimg.com/profile_images/962471262747529216/Uo8lOkRJ_normal.jpg","View")</f>
        <v>View</v>
      </c>
      <c r="P8964" s="7"/>
    </row>
    <row r="8965" spans="1:16">
      <c r="A8965" s="3">
        <v>44064.253402777773</v>
      </c>
      <c r="B8965" s="4" t="str">
        <f>HYPERLINK("https://twitter.com/petrogustavo","@petrogustavo")</f>
        <v>@petrogustavo</v>
      </c>
      <c r="C8965" s="5" t="s">
        <v>16</v>
      </c>
      <c r="D8965" s="5" t="s">
        <v>8629</v>
      </c>
      <c r="E8965" s="6" t="str">
        <f>HYPERLINK("https://twitter.com/petrogustavo/status/1296606670802624512","1296606670802624512")</f>
        <v>1296606670802624512</v>
      </c>
      <c r="F8965" s="7" t="s">
        <v>32</v>
      </c>
      <c r="G8965" s="7">
        <v>3943561</v>
      </c>
      <c r="H8965" s="7">
        <v>2428</v>
      </c>
      <c r="I8965" s="7">
        <v>270</v>
      </c>
      <c r="J8965" s="7">
        <v>499</v>
      </c>
      <c r="K8965" s="7" t="s">
        <v>18</v>
      </c>
      <c r="L8965" s="8">
        <v>39987.315405092595</v>
      </c>
      <c r="M8965" s="9" t="s">
        <v>19</v>
      </c>
      <c r="N8965" s="9" t="s">
        <v>20</v>
      </c>
      <c r="O8965" s="6" t="str">
        <f>HYPERLINK("https://pbs.twimg.com/profile_images/962471262747529216/Uo8lOkRJ_normal.jpg","View")</f>
        <v>View</v>
      </c>
      <c r="P8965" s="7"/>
    </row>
    <row r="8966" spans="1:16">
      <c r="A8966" s="3">
        <v>44064.262592592597</v>
      </c>
      <c r="B8966" s="4" t="str">
        <f>HYPERLINK("https://twitter.com/petrogustavo","@petrogustavo")</f>
        <v>@petrogustavo</v>
      </c>
      <c r="C8966" s="5" t="s">
        <v>16</v>
      </c>
      <c r="D8966" s="5" t="s">
        <v>8630</v>
      </c>
      <c r="E8966" s="6" t="str">
        <f>HYPERLINK("https://twitter.com/petrogustavo/status/1296610001168084992","1296610001168084992")</f>
        <v>1296610001168084992</v>
      </c>
      <c r="F8966" s="7" t="s">
        <v>32</v>
      </c>
      <c r="G8966" s="7">
        <v>3943591</v>
      </c>
      <c r="H8966" s="7">
        <v>2428</v>
      </c>
      <c r="I8966" s="7">
        <v>174</v>
      </c>
      <c r="J8966" s="7">
        <v>412</v>
      </c>
      <c r="K8966" s="7" t="s">
        <v>18</v>
      </c>
      <c r="L8966" s="8">
        <v>39987.315405092595</v>
      </c>
      <c r="M8966" s="9" t="s">
        <v>19</v>
      </c>
      <c r="N8966" s="9" t="s">
        <v>20</v>
      </c>
      <c r="O8966" s="6" t="str">
        <f>HYPERLINK("https://pbs.twimg.com/profile_images/962471262747529216/Uo8lOkRJ_normal.jpg","View")</f>
        <v>View</v>
      </c>
      <c r="P8966" s="7"/>
    </row>
    <row r="8967" spans="1:16">
      <c r="A8967" s="3">
        <v>44064.729965277773</v>
      </c>
      <c r="B8967" s="4" t="str">
        <f>HYPERLINK("https://twitter.com/petrogustavo","@petrogustavo")</f>
        <v>@petrogustavo</v>
      </c>
      <c r="C8967" s="5" t="s">
        <v>16</v>
      </c>
      <c r="D8967" s="5" t="s">
        <v>8631</v>
      </c>
      <c r="E8967" s="6" t="str">
        <f>HYPERLINK("https://twitter.com/petrogustavo/status/1296779370439352322","1296779370439352322")</f>
        <v>1296779370439352322</v>
      </c>
      <c r="F8967" s="7" t="s">
        <v>17</v>
      </c>
      <c r="G8967" s="7">
        <v>3943861</v>
      </c>
      <c r="H8967" s="7">
        <v>2428</v>
      </c>
      <c r="I8967" s="7">
        <v>144</v>
      </c>
      <c r="J8967" s="7">
        <v>290</v>
      </c>
      <c r="K8967" s="7" t="s">
        <v>18</v>
      </c>
      <c r="L8967" s="8">
        <v>39987.315405092595</v>
      </c>
      <c r="M8967" s="9" t="s">
        <v>19</v>
      </c>
      <c r="N8967" s="9" t="s">
        <v>20</v>
      </c>
      <c r="O8967" s="6" t="str">
        <f>HYPERLINK("https://pbs.twimg.com/profile_images/962471262747529216/Uo8lOkRJ_normal.jpg","View")</f>
        <v>View</v>
      </c>
      <c r="P8967" s="7"/>
    </row>
    <row r="8968" spans="1:16">
      <c r="A8968" s="3">
        <v>44064.733530092592</v>
      </c>
      <c r="B8968" s="4" t="str">
        <f>HYPERLINK("https://twitter.com/petrogustavo","@petrogustavo")</f>
        <v>@petrogustavo</v>
      </c>
      <c r="C8968" s="5" t="s">
        <v>16</v>
      </c>
      <c r="D8968" s="5" t="s">
        <v>8632</v>
      </c>
      <c r="E8968" s="6" t="str">
        <f>HYPERLINK("https://twitter.com/petrogustavo/status/1296780661706182657","1296780661706182657")</f>
        <v>1296780661706182657</v>
      </c>
      <c r="F8968" s="7" t="s">
        <v>17</v>
      </c>
      <c r="G8968" s="7">
        <v>3943861</v>
      </c>
      <c r="H8968" s="7">
        <v>2428</v>
      </c>
      <c r="I8968" s="7">
        <v>120</v>
      </c>
      <c r="J8968" s="7">
        <v>251</v>
      </c>
      <c r="K8968" s="7" t="s">
        <v>18</v>
      </c>
      <c r="L8968" s="8">
        <v>39987.315405092595</v>
      </c>
      <c r="M8968" s="9" t="s">
        <v>19</v>
      </c>
      <c r="N8968" s="9" t="s">
        <v>20</v>
      </c>
      <c r="O8968" s="6" t="str">
        <f>HYPERLINK("https://pbs.twimg.com/profile_images/962471262747529216/Uo8lOkRJ_normal.jpg","View")</f>
        <v>View</v>
      </c>
      <c r="P8968" s="7"/>
    </row>
    <row r="8969" spans="1:16">
      <c r="A8969" s="3">
        <v>44064.735578703709</v>
      </c>
      <c r="B8969" s="4" t="str">
        <f>HYPERLINK("https://twitter.com/petrogustavo","@petrogustavo")</f>
        <v>@petrogustavo</v>
      </c>
      <c r="C8969" s="5" t="s">
        <v>16</v>
      </c>
      <c r="D8969" s="5" t="s">
        <v>8633</v>
      </c>
      <c r="E8969" s="6" t="str">
        <f>HYPERLINK("https://twitter.com/petrogustavo/status/1296781402915196928","1296781402915196928")</f>
        <v>1296781402915196928</v>
      </c>
      <c r="F8969" s="7" t="s">
        <v>17</v>
      </c>
      <c r="G8969" s="7">
        <v>3943861</v>
      </c>
      <c r="H8969" s="7">
        <v>2428</v>
      </c>
      <c r="I8969" s="7">
        <v>75</v>
      </c>
      <c r="J8969" s="7">
        <v>177</v>
      </c>
      <c r="K8969" s="7" t="s">
        <v>18</v>
      </c>
      <c r="L8969" s="8">
        <v>39987.315405092595</v>
      </c>
      <c r="M8969" s="9" t="s">
        <v>19</v>
      </c>
      <c r="N8969" s="9" t="s">
        <v>20</v>
      </c>
      <c r="O8969" s="6" t="str">
        <f>HYPERLINK("https://pbs.twimg.com/profile_images/962471262747529216/Uo8lOkRJ_normal.jpg","View")</f>
        <v>View</v>
      </c>
      <c r="P8969" s="7"/>
    </row>
    <row r="8970" spans="1:16">
      <c r="A8970" s="3">
        <v>44064.75</v>
      </c>
      <c r="B8970" s="4" t="str">
        <f>HYPERLINK("https://twitter.com/petrogustavo","@petrogustavo")</f>
        <v>@petrogustavo</v>
      </c>
      <c r="C8970" s="5" t="s">
        <v>16</v>
      </c>
      <c r="D8970" s="5" t="s">
        <v>8634</v>
      </c>
      <c r="E8970" s="6" t="str">
        <f>HYPERLINK("https://twitter.com/petrogustavo/status/1296786629609377795","1296786629609377795")</f>
        <v>1296786629609377795</v>
      </c>
      <c r="F8970" s="7" t="s">
        <v>17</v>
      </c>
      <c r="G8970" s="7">
        <v>3943874</v>
      </c>
      <c r="H8970" s="7">
        <v>2428</v>
      </c>
      <c r="I8970" s="7">
        <v>112</v>
      </c>
      <c r="J8970" s="7">
        <v>242</v>
      </c>
      <c r="K8970" s="7" t="s">
        <v>18</v>
      </c>
      <c r="L8970" s="8">
        <v>39987.315405092595</v>
      </c>
      <c r="M8970" s="9" t="s">
        <v>19</v>
      </c>
      <c r="N8970" s="9" t="s">
        <v>20</v>
      </c>
      <c r="O8970" s="6" t="str">
        <f>HYPERLINK("https://pbs.twimg.com/profile_images/962471262747529216/Uo8lOkRJ_normal.jpg","View")</f>
        <v>View</v>
      </c>
      <c r="P8970" s="7"/>
    </row>
    <row r="8971" spans="1:16">
      <c r="A8971" s="3">
        <v>44064.75508101852</v>
      </c>
      <c r="B8971" s="4" t="str">
        <f>HYPERLINK("https://twitter.com/petrogustavo","@petrogustavo")</f>
        <v>@petrogustavo</v>
      </c>
      <c r="C8971" s="5" t="s">
        <v>16</v>
      </c>
      <c r="D8971" s="5" t="s">
        <v>8635</v>
      </c>
      <c r="E8971" s="6" t="str">
        <f>HYPERLINK("https://twitter.com/petrogustavo/status/1296788473291186176","1296788473291186176")</f>
        <v>1296788473291186176</v>
      </c>
      <c r="F8971" s="7" t="s">
        <v>17</v>
      </c>
      <c r="G8971" s="7">
        <v>3943874</v>
      </c>
      <c r="H8971" s="7">
        <v>2428</v>
      </c>
      <c r="I8971" s="7">
        <v>96</v>
      </c>
      <c r="J8971" s="7">
        <v>212</v>
      </c>
      <c r="K8971" s="7" t="s">
        <v>18</v>
      </c>
      <c r="L8971" s="8">
        <v>39987.315405092595</v>
      </c>
      <c r="M8971" s="9" t="s">
        <v>19</v>
      </c>
      <c r="N8971" s="9" t="s">
        <v>20</v>
      </c>
      <c r="O8971" s="6" t="str">
        <f>HYPERLINK("https://pbs.twimg.com/profile_images/962471262747529216/Uo8lOkRJ_normal.jpg","View")</f>
        <v>View</v>
      </c>
      <c r="P8971" s="7"/>
    </row>
    <row r="8972" spans="1:16">
      <c r="A8972" s="3">
        <v>44064.757303240738</v>
      </c>
      <c r="B8972" s="4" t="str">
        <f>HYPERLINK("https://twitter.com/petrogustavo","@petrogustavo")</f>
        <v>@petrogustavo</v>
      </c>
      <c r="C8972" s="5" t="s">
        <v>16</v>
      </c>
      <c r="D8972" s="5" t="s">
        <v>8636</v>
      </c>
      <c r="E8972" s="6" t="str">
        <f>HYPERLINK("https://twitter.com/petrogustavo/status/1296789278584905728","1296789278584905728")</f>
        <v>1296789278584905728</v>
      </c>
      <c r="F8972" s="7" t="s">
        <v>17</v>
      </c>
      <c r="G8972" s="7">
        <v>3943874</v>
      </c>
      <c r="H8972" s="7">
        <v>2428</v>
      </c>
      <c r="I8972" s="7">
        <v>88</v>
      </c>
      <c r="J8972" s="7">
        <v>0</v>
      </c>
      <c r="K8972" s="7" t="s">
        <v>18</v>
      </c>
      <c r="L8972" s="8">
        <v>39987.315405092595</v>
      </c>
      <c r="M8972" s="9" t="s">
        <v>19</v>
      </c>
      <c r="N8972" s="9" t="s">
        <v>20</v>
      </c>
      <c r="O8972" s="6" t="str">
        <f>HYPERLINK("https://pbs.twimg.com/profile_images/962471262747529216/Uo8lOkRJ_normal.jpg","View")</f>
        <v>View</v>
      </c>
      <c r="P8972" s="7"/>
    </row>
    <row r="8973" spans="1:16">
      <c r="A8973" s="3">
        <v>44064.758981481486</v>
      </c>
      <c r="B8973" s="4" t="str">
        <f>HYPERLINK("https://twitter.com/petrogustavo","@petrogustavo")</f>
        <v>@petrogustavo</v>
      </c>
      <c r="C8973" s="5" t="s">
        <v>16</v>
      </c>
      <c r="D8973" s="5" t="s">
        <v>8637</v>
      </c>
      <c r="E8973" s="6" t="str">
        <f>HYPERLINK("https://twitter.com/petrogustavo/status/1296789886188560384","1296789886188560384")</f>
        <v>1296789886188560384</v>
      </c>
      <c r="F8973" s="7" t="s">
        <v>17</v>
      </c>
      <c r="G8973" s="7">
        <v>3943874</v>
      </c>
      <c r="H8973" s="7">
        <v>2428</v>
      </c>
      <c r="I8973" s="7">
        <v>55</v>
      </c>
      <c r="J8973" s="7">
        <v>118</v>
      </c>
      <c r="K8973" s="7" t="s">
        <v>18</v>
      </c>
      <c r="L8973" s="8">
        <v>39987.315405092595</v>
      </c>
      <c r="M8973" s="9" t="s">
        <v>19</v>
      </c>
      <c r="N8973" s="9" t="s">
        <v>20</v>
      </c>
      <c r="O8973" s="6" t="str">
        <f>HYPERLINK("https://pbs.twimg.com/profile_images/962471262747529216/Uo8lOkRJ_normal.jpg","View")</f>
        <v>View</v>
      </c>
      <c r="P8973" s="7"/>
    </row>
    <row r="8974" spans="1:16">
      <c r="A8974" s="3">
        <v>44064.763564814813</v>
      </c>
      <c r="B8974" s="4" t="str">
        <f>HYPERLINK("https://twitter.com/petrogustavo","@petrogustavo")</f>
        <v>@petrogustavo</v>
      </c>
      <c r="C8974" s="5" t="s">
        <v>16</v>
      </c>
      <c r="D8974" s="5" t="s">
        <v>8638</v>
      </c>
      <c r="E8974" s="6" t="str">
        <f>HYPERLINK("https://twitter.com/petrogustavo/status/1296791547770548224","1296791547770548224")</f>
        <v>1296791547770548224</v>
      </c>
      <c r="F8974" s="7" t="s">
        <v>17</v>
      </c>
      <c r="G8974" s="7">
        <v>3943903</v>
      </c>
      <c r="H8974" s="7">
        <v>2428</v>
      </c>
      <c r="I8974" s="7">
        <v>127</v>
      </c>
      <c r="J8974" s="7">
        <v>0</v>
      </c>
      <c r="K8974" s="7" t="s">
        <v>18</v>
      </c>
      <c r="L8974" s="8">
        <v>39987.315405092595</v>
      </c>
      <c r="M8974" s="9" t="s">
        <v>19</v>
      </c>
      <c r="N8974" s="9" t="s">
        <v>20</v>
      </c>
      <c r="O8974" s="6" t="str">
        <f>HYPERLINK("https://pbs.twimg.com/profile_images/962471262747529216/Uo8lOkRJ_normal.jpg","View")</f>
        <v>View</v>
      </c>
      <c r="P8974" s="7"/>
    </row>
    <row r="8975" spans="1:16">
      <c r="A8975" s="3">
        <v>44064.765393518523</v>
      </c>
      <c r="B8975" s="4" t="str">
        <f>HYPERLINK("https://twitter.com/petrogustavo","@petrogustavo")</f>
        <v>@petrogustavo</v>
      </c>
      <c r="C8975" s="5" t="s">
        <v>16</v>
      </c>
      <c r="D8975" s="5" t="s">
        <v>8639</v>
      </c>
      <c r="E8975" s="6" t="str">
        <f>HYPERLINK("https://twitter.com/petrogustavo/status/1296792206855077889","1296792206855077889")</f>
        <v>1296792206855077889</v>
      </c>
      <c r="F8975" s="7" t="s">
        <v>17</v>
      </c>
      <c r="G8975" s="7">
        <v>3943903</v>
      </c>
      <c r="H8975" s="7">
        <v>2428</v>
      </c>
      <c r="I8975" s="7">
        <v>67</v>
      </c>
      <c r="J8975" s="7">
        <v>159</v>
      </c>
      <c r="K8975" s="7" t="s">
        <v>18</v>
      </c>
      <c r="L8975" s="8">
        <v>39987.315405092595</v>
      </c>
      <c r="M8975" s="9" t="s">
        <v>19</v>
      </c>
      <c r="N8975" s="9" t="s">
        <v>20</v>
      </c>
      <c r="O8975" s="6" t="str">
        <f>HYPERLINK("https://pbs.twimg.com/profile_images/962471262747529216/Uo8lOkRJ_normal.jpg","View")</f>
        <v>View</v>
      </c>
      <c r="P8975" s="7"/>
    </row>
    <row r="8976" spans="1:16">
      <c r="A8976" s="3">
        <v>44064.765810185185</v>
      </c>
      <c r="B8976" s="4" t="str">
        <f>HYPERLINK("https://twitter.com/petrogustavo","@petrogustavo")</f>
        <v>@petrogustavo</v>
      </c>
      <c r="C8976" s="5" t="s">
        <v>16</v>
      </c>
      <c r="D8976" s="5" t="s">
        <v>8640</v>
      </c>
      <c r="E8976" s="6" t="str">
        <f>HYPERLINK("https://twitter.com/petrogustavo/status/1296792358022000641","1296792358022000641")</f>
        <v>1296792358022000641</v>
      </c>
      <c r="F8976" s="7" t="s">
        <v>17</v>
      </c>
      <c r="G8976" s="7">
        <v>3943903</v>
      </c>
      <c r="H8976" s="7">
        <v>2428</v>
      </c>
      <c r="I8976" s="7">
        <v>81</v>
      </c>
      <c r="J8976" s="7">
        <v>0</v>
      </c>
      <c r="K8976" s="7" t="s">
        <v>18</v>
      </c>
      <c r="L8976" s="8">
        <v>39987.315405092595</v>
      </c>
      <c r="M8976" s="9" t="s">
        <v>19</v>
      </c>
      <c r="N8976" s="9" t="s">
        <v>20</v>
      </c>
      <c r="O8976" s="6" t="str">
        <f>HYPERLINK("https://pbs.twimg.com/profile_images/962471262747529216/Uo8lOkRJ_normal.jpg","View")</f>
        <v>View</v>
      </c>
      <c r="P8976" s="7"/>
    </row>
    <row r="8977" spans="1:16">
      <c r="A8977" s="3">
        <v>44064.829155092593</v>
      </c>
      <c r="B8977" s="4" t="str">
        <f>HYPERLINK("https://twitter.com/petrogustavo","@petrogustavo")</f>
        <v>@petrogustavo</v>
      </c>
      <c r="C8977" s="5" t="s">
        <v>16</v>
      </c>
      <c r="D8977" s="5" t="s">
        <v>8641</v>
      </c>
      <c r="E8977" s="6" t="str">
        <f>HYPERLINK("https://twitter.com/petrogustavo/status/1296815316421443585","1296815316421443585")</f>
        <v>1296815316421443585</v>
      </c>
      <c r="F8977" s="7" t="s">
        <v>17</v>
      </c>
      <c r="G8977" s="7">
        <v>3943979</v>
      </c>
      <c r="H8977" s="7">
        <v>2428</v>
      </c>
      <c r="I8977" s="7">
        <v>61</v>
      </c>
      <c r="J8977" s="7">
        <v>118</v>
      </c>
      <c r="K8977" s="7" t="s">
        <v>18</v>
      </c>
      <c r="L8977" s="8">
        <v>39987.315405092595</v>
      </c>
      <c r="M8977" s="9" t="s">
        <v>19</v>
      </c>
      <c r="N8977" s="9" t="s">
        <v>20</v>
      </c>
      <c r="O8977" s="6" t="str">
        <f>HYPERLINK("https://pbs.twimg.com/profile_images/962471262747529216/Uo8lOkRJ_normal.jpg","View")</f>
        <v>View</v>
      </c>
      <c r="P8977" s="7"/>
    </row>
    <row r="8978" spans="1:16">
      <c r="A8978" s="3">
        <v>44064.829340277778</v>
      </c>
      <c r="B8978" s="4" t="str">
        <f>HYPERLINK("https://twitter.com/petrogustavo","@petrogustavo")</f>
        <v>@petrogustavo</v>
      </c>
      <c r="C8978" s="5" t="s">
        <v>16</v>
      </c>
      <c r="D8978" s="5" t="s">
        <v>8642</v>
      </c>
      <c r="E8978" s="6" t="str">
        <f>HYPERLINK("https://twitter.com/petrogustavo/status/1296815381429051396","1296815381429051396")</f>
        <v>1296815381429051396</v>
      </c>
      <c r="F8978" s="7" t="s">
        <v>17</v>
      </c>
      <c r="G8978" s="7">
        <v>3943979</v>
      </c>
      <c r="H8978" s="7">
        <v>2428</v>
      </c>
      <c r="I8978" s="7">
        <v>25</v>
      </c>
      <c r="J8978" s="7">
        <v>0</v>
      </c>
      <c r="K8978" s="7" t="s">
        <v>18</v>
      </c>
      <c r="L8978" s="8">
        <v>39987.315405092595</v>
      </c>
      <c r="M8978" s="9" t="s">
        <v>19</v>
      </c>
      <c r="N8978" s="9" t="s">
        <v>20</v>
      </c>
      <c r="O8978" s="6" t="str">
        <f>HYPERLINK("https://pbs.twimg.com/profile_images/962471262747529216/Uo8lOkRJ_normal.jpg","View")</f>
        <v>View</v>
      </c>
      <c r="P8978" s="7"/>
    </row>
    <row r="8979" spans="1:16">
      <c r="A8979" s="3">
        <v>44064.829375000001</v>
      </c>
      <c r="B8979" s="4" t="str">
        <f>HYPERLINK("https://twitter.com/petrogustavo","@petrogustavo")</f>
        <v>@petrogustavo</v>
      </c>
      <c r="C8979" s="5" t="s">
        <v>16</v>
      </c>
      <c r="D8979" s="5" t="s">
        <v>8643</v>
      </c>
      <c r="E8979" s="6" t="str">
        <f>HYPERLINK("https://twitter.com/petrogustavo/status/1296815393412177920","1296815393412177920")</f>
        <v>1296815393412177920</v>
      </c>
      <c r="F8979" s="7" t="s">
        <v>17</v>
      </c>
      <c r="G8979" s="7">
        <v>3943979</v>
      </c>
      <c r="H8979" s="7">
        <v>2428</v>
      </c>
      <c r="I8979" s="7">
        <v>21</v>
      </c>
      <c r="J8979" s="7">
        <v>0</v>
      </c>
      <c r="K8979" s="7" t="s">
        <v>18</v>
      </c>
      <c r="L8979" s="8">
        <v>39987.315405092595</v>
      </c>
      <c r="M8979" s="9" t="s">
        <v>19</v>
      </c>
      <c r="N8979" s="9" t="s">
        <v>20</v>
      </c>
      <c r="O8979" s="6" t="str">
        <f>HYPERLINK("https://pbs.twimg.com/profile_images/962471262747529216/Uo8lOkRJ_normal.jpg","View")</f>
        <v>View</v>
      </c>
      <c r="P8979" s="7"/>
    </row>
    <row r="8980" spans="1:16">
      <c r="A8980" s="3">
        <v>44064.833969907406</v>
      </c>
      <c r="B8980" s="4" t="str">
        <f>HYPERLINK("https://twitter.com/petrogustavo","@petrogustavo")</f>
        <v>@petrogustavo</v>
      </c>
      <c r="C8980" s="5" t="s">
        <v>16</v>
      </c>
      <c r="D8980" s="5" t="s">
        <v>8644</v>
      </c>
      <c r="E8980" s="6" t="str">
        <f>HYPERLINK("https://twitter.com/petrogustavo/status/1296817059662376962","1296817059662376962")</f>
        <v>1296817059662376962</v>
      </c>
      <c r="F8980" s="7" t="s">
        <v>17</v>
      </c>
      <c r="G8980" s="7">
        <v>3943979</v>
      </c>
      <c r="H8980" s="7">
        <v>2428</v>
      </c>
      <c r="I8980" s="7">
        <v>45</v>
      </c>
      <c r="J8980" s="7">
        <v>143</v>
      </c>
      <c r="K8980" s="7" t="s">
        <v>18</v>
      </c>
      <c r="L8980" s="8">
        <v>39987.315405092595</v>
      </c>
      <c r="M8980" s="9" t="s">
        <v>19</v>
      </c>
      <c r="N8980" s="9" t="s">
        <v>20</v>
      </c>
      <c r="O8980" s="6" t="str">
        <f>HYPERLINK("https://pbs.twimg.com/profile_images/962471262747529216/Uo8lOkRJ_normal.jpg","View")</f>
        <v>View</v>
      </c>
      <c r="P8980" s="7"/>
    </row>
    <row r="8981" spans="1:16">
      <c r="A8981" s="3">
        <v>44064.839965277773</v>
      </c>
      <c r="B8981" s="4" t="str">
        <f>HYPERLINK("https://twitter.com/petrogustavo","@petrogustavo")</f>
        <v>@petrogustavo</v>
      </c>
      <c r="C8981" s="5" t="s">
        <v>16</v>
      </c>
      <c r="D8981" s="5" t="s">
        <v>8645</v>
      </c>
      <c r="E8981" s="6" t="str">
        <f>HYPERLINK("https://twitter.com/petrogustavo/status/1296819231061954560","1296819231061954560")</f>
        <v>1296819231061954560</v>
      </c>
      <c r="F8981" s="7" t="s">
        <v>17</v>
      </c>
      <c r="G8981" s="7">
        <v>3943979</v>
      </c>
      <c r="H8981" s="7">
        <v>2428</v>
      </c>
      <c r="I8981" s="7">
        <v>164</v>
      </c>
      <c r="J8981" s="7">
        <v>339</v>
      </c>
      <c r="K8981" s="7" t="s">
        <v>18</v>
      </c>
      <c r="L8981" s="8">
        <v>39987.315405092595</v>
      </c>
      <c r="M8981" s="9" t="s">
        <v>19</v>
      </c>
      <c r="N8981" s="9" t="s">
        <v>20</v>
      </c>
      <c r="O8981" s="6" t="str">
        <f>HYPERLINK("https://pbs.twimg.com/profile_images/962471262747529216/Uo8lOkRJ_normal.jpg","View")</f>
        <v>View</v>
      </c>
      <c r="P8981" s="7"/>
    </row>
    <row r="8982" spans="1:16">
      <c r="A8982" s="3">
        <v>44064.841793981483</v>
      </c>
      <c r="B8982" s="4" t="str">
        <f>HYPERLINK("https://twitter.com/petrogustavo","@petrogustavo")</f>
        <v>@petrogustavo</v>
      </c>
      <c r="C8982" s="5" t="s">
        <v>16</v>
      </c>
      <c r="D8982" s="5" t="s">
        <v>8646</v>
      </c>
      <c r="E8982" s="6" t="str">
        <f>HYPERLINK("https://twitter.com/petrogustavo/status/1296819897163550720","1296819897163550720")</f>
        <v>1296819897163550720</v>
      </c>
      <c r="F8982" s="7" t="s">
        <v>17</v>
      </c>
      <c r="G8982" s="7">
        <v>3943979</v>
      </c>
      <c r="H8982" s="7">
        <v>2428</v>
      </c>
      <c r="I8982" s="7">
        <v>68</v>
      </c>
      <c r="J8982" s="7">
        <v>133</v>
      </c>
      <c r="K8982" s="7" t="s">
        <v>18</v>
      </c>
      <c r="L8982" s="8">
        <v>39987.315405092595</v>
      </c>
      <c r="M8982" s="9" t="s">
        <v>19</v>
      </c>
      <c r="N8982" s="9" t="s">
        <v>20</v>
      </c>
      <c r="O8982" s="6" t="str">
        <f>HYPERLINK("https://pbs.twimg.com/profile_images/962471262747529216/Uo8lOkRJ_normal.jpg","View")</f>
        <v>View</v>
      </c>
      <c r="P8982" s="7"/>
    </row>
    <row r="8983" spans="1:16">
      <c r="A8983" s="3">
        <v>44064.846319444448</v>
      </c>
      <c r="B8983" s="4" t="str">
        <f>HYPERLINK("https://twitter.com/petrogustavo","@petrogustavo")</f>
        <v>@petrogustavo</v>
      </c>
      <c r="C8983" s="5" t="s">
        <v>16</v>
      </c>
      <c r="D8983" s="5" t="s">
        <v>8647</v>
      </c>
      <c r="E8983" s="6" t="str">
        <f>HYPERLINK("https://twitter.com/petrogustavo/status/1296821535357964290","1296821535357964290")</f>
        <v>1296821535357964290</v>
      </c>
      <c r="F8983" s="7" t="s">
        <v>17</v>
      </c>
      <c r="G8983" s="7">
        <v>3943999</v>
      </c>
      <c r="H8983" s="7">
        <v>2428</v>
      </c>
      <c r="I8983" s="7">
        <v>200</v>
      </c>
      <c r="J8983" s="7">
        <v>543</v>
      </c>
      <c r="K8983" s="7" t="s">
        <v>18</v>
      </c>
      <c r="L8983" s="8">
        <v>39987.315405092595</v>
      </c>
      <c r="M8983" s="9" t="s">
        <v>19</v>
      </c>
      <c r="N8983" s="9" t="s">
        <v>20</v>
      </c>
      <c r="O8983" s="6" t="str">
        <f>HYPERLINK("https://pbs.twimg.com/profile_images/962471262747529216/Uo8lOkRJ_normal.jpg","View")</f>
        <v>View</v>
      </c>
      <c r="P8983" s="7"/>
    </row>
    <row r="8984" spans="1:16">
      <c r="A8984" s="3">
        <v>44064.851053240738</v>
      </c>
      <c r="B8984" s="4" t="str">
        <f>HYPERLINK("https://twitter.com/petrogustavo","@petrogustavo")</f>
        <v>@petrogustavo</v>
      </c>
      <c r="C8984" s="5" t="s">
        <v>16</v>
      </c>
      <c r="D8984" s="5" t="s">
        <v>8648</v>
      </c>
      <c r="E8984" s="6" t="str">
        <f>HYPERLINK("https://twitter.com/petrogustavo/status/1296823251042213893","1296823251042213893")</f>
        <v>1296823251042213893</v>
      </c>
      <c r="F8984" s="7" t="s">
        <v>17</v>
      </c>
      <c r="G8984" s="7">
        <v>3943999</v>
      </c>
      <c r="H8984" s="7">
        <v>2428</v>
      </c>
      <c r="I8984" s="7">
        <v>123</v>
      </c>
      <c r="J8984" s="7">
        <v>411</v>
      </c>
      <c r="K8984" s="7" t="s">
        <v>18</v>
      </c>
      <c r="L8984" s="8">
        <v>39987.315405092595</v>
      </c>
      <c r="M8984" s="9" t="s">
        <v>19</v>
      </c>
      <c r="N8984" s="9" t="s">
        <v>20</v>
      </c>
      <c r="O8984" s="6" t="str">
        <f>HYPERLINK("https://pbs.twimg.com/profile_images/962471262747529216/Uo8lOkRJ_normal.jpg","View")</f>
        <v>View</v>
      </c>
      <c r="P8984" s="7"/>
    </row>
    <row r="8985" spans="1:16">
      <c r="A8985" s="3">
        <v>44064.854050925926</v>
      </c>
      <c r="B8985" s="4" t="str">
        <f>HYPERLINK("https://twitter.com/petrogustavo","@petrogustavo")</f>
        <v>@petrogustavo</v>
      </c>
      <c r="C8985" s="5" t="s">
        <v>16</v>
      </c>
      <c r="D8985" s="5" t="s">
        <v>8649</v>
      </c>
      <c r="E8985" s="6" t="str">
        <f>HYPERLINK("https://twitter.com/petrogustavo/status/1296824338663038978","1296824338663038978")</f>
        <v>1296824338663038978</v>
      </c>
      <c r="F8985" s="7" t="s">
        <v>17</v>
      </c>
      <c r="G8985" s="7">
        <v>3943999</v>
      </c>
      <c r="H8985" s="7">
        <v>2428</v>
      </c>
      <c r="I8985" s="7">
        <v>42</v>
      </c>
      <c r="J8985" s="7">
        <v>157</v>
      </c>
      <c r="K8985" s="7" t="s">
        <v>18</v>
      </c>
      <c r="L8985" s="8">
        <v>39987.315405092595</v>
      </c>
      <c r="M8985" s="9" t="s">
        <v>19</v>
      </c>
      <c r="N8985" s="9" t="s">
        <v>20</v>
      </c>
      <c r="O8985" s="6" t="str">
        <f>HYPERLINK("https://pbs.twimg.com/profile_images/962471262747529216/Uo8lOkRJ_normal.jpg","View")</f>
        <v>View</v>
      </c>
      <c r="P8985" s="7"/>
    </row>
    <row r="8986" spans="1:16">
      <c r="A8986" s="3">
        <v>44064.856585648144</v>
      </c>
      <c r="B8986" s="4" t="str">
        <f>HYPERLINK("https://twitter.com/petrogustavo","@petrogustavo")</f>
        <v>@petrogustavo</v>
      </c>
      <c r="C8986" s="5" t="s">
        <v>16</v>
      </c>
      <c r="D8986" s="5" t="s">
        <v>8650</v>
      </c>
      <c r="E8986" s="6" t="str">
        <f>HYPERLINK("https://twitter.com/petrogustavo/status/1296825255491784705","1296825255491784705")</f>
        <v>1296825255491784705</v>
      </c>
      <c r="F8986" s="7" t="s">
        <v>17</v>
      </c>
      <c r="G8986" s="7">
        <v>3943999</v>
      </c>
      <c r="H8986" s="7">
        <v>2428</v>
      </c>
      <c r="I8986" s="7">
        <v>18</v>
      </c>
      <c r="J8986" s="7">
        <v>87</v>
      </c>
      <c r="K8986" s="7" t="s">
        <v>18</v>
      </c>
      <c r="L8986" s="8">
        <v>39987.315405092595</v>
      </c>
      <c r="M8986" s="9" t="s">
        <v>19</v>
      </c>
      <c r="N8986" s="9" t="s">
        <v>20</v>
      </c>
      <c r="O8986" s="6" t="str">
        <f>HYPERLINK("https://pbs.twimg.com/profile_images/962471262747529216/Uo8lOkRJ_normal.jpg","View")</f>
        <v>View</v>
      </c>
      <c r="P8986" s="7"/>
    </row>
    <row r="8987" spans="1:16">
      <c r="A8987" s="3">
        <v>44064.859907407408</v>
      </c>
      <c r="B8987" s="4" t="str">
        <f>HYPERLINK("https://twitter.com/petrogustavo","@petrogustavo")</f>
        <v>@petrogustavo</v>
      </c>
      <c r="C8987" s="5" t="s">
        <v>16</v>
      </c>
      <c r="D8987" s="5" t="s">
        <v>8651</v>
      </c>
      <c r="E8987" s="6" t="str">
        <f>HYPERLINK("https://twitter.com/petrogustavo/status/1296826459454144512","1296826459454144512")</f>
        <v>1296826459454144512</v>
      </c>
      <c r="F8987" s="7" t="s">
        <v>17</v>
      </c>
      <c r="G8987" s="7">
        <v>3943999</v>
      </c>
      <c r="H8987" s="7">
        <v>2428</v>
      </c>
      <c r="I8987" s="7">
        <v>46</v>
      </c>
      <c r="J8987" s="7">
        <v>143</v>
      </c>
      <c r="K8987" s="7" t="s">
        <v>18</v>
      </c>
      <c r="L8987" s="8">
        <v>39987.315405092595</v>
      </c>
      <c r="M8987" s="9" t="s">
        <v>19</v>
      </c>
      <c r="N8987" s="9" t="s">
        <v>20</v>
      </c>
      <c r="O8987" s="6" t="str">
        <f>HYPERLINK("https://pbs.twimg.com/profile_images/962471262747529216/Uo8lOkRJ_normal.jpg","View")</f>
        <v>View</v>
      </c>
      <c r="P8987" s="7"/>
    </row>
    <row r="8988" spans="1:16">
      <c r="A8988" s="3">
        <v>44064.86010416667</v>
      </c>
      <c r="B8988" s="4" t="str">
        <f>HYPERLINK("https://twitter.com/petrogustavo","@petrogustavo")</f>
        <v>@petrogustavo</v>
      </c>
      <c r="C8988" s="5" t="s">
        <v>16</v>
      </c>
      <c r="D8988" s="5" t="s">
        <v>8652</v>
      </c>
      <c r="E8988" s="6" t="str">
        <f>HYPERLINK("https://twitter.com/petrogustavo/status/1296826530526633984","1296826530526633984")</f>
        <v>1296826530526633984</v>
      </c>
      <c r="F8988" s="7" t="s">
        <v>17</v>
      </c>
      <c r="G8988" s="7">
        <v>3943999</v>
      </c>
      <c r="H8988" s="7">
        <v>2428</v>
      </c>
      <c r="I8988" s="7">
        <v>39</v>
      </c>
      <c r="J8988" s="7">
        <v>0</v>
      </c>
      <c r="K8988" s="7" t="s">
        <v>18</v>
      </c>
      <c r="L8988" s="8">
        <v>39987.315405092595</v>
      </c>
      <c r="M8988" s="9" t="s">
        <v>19</v>
      </c>
      <c r="N8988" s="9" t="s">
        <v>20</v>
      </c>
      <c r="O8988" s="6" t="str">
        <f>HYPERLINK("https://pbs.twimg.com/profile_images/962471262747529216/Uo8lOkRJ_normal.jpg","View")</f>
        <v>View</v>
      </c>
      <c r="P8988" s="7"/>
    </row>
    <row r="8989" spans="1:16">
      <c r="A8989" s="3">
        <v>44064.930439814816</v>
      </c>
      <c r="B8989" s="4" t="str">
        <f>HYPERLINK("https://twitter.com/petrogustavo","@petrogustavo")</f>
        <v>@petrogustavo</v>
      </c>
      <c r="C8989" s="5" t="s">
        <v>16</v>
      </c>
      <c r="D8989" s="5" t="s">
        <v>8653</v>
      </c>
      <c r="E8989" s="6" t="str">
        <f>HYPERLINK("https://twitter.com/petrogustavo/status/1296852020767477760","1296852020767477760")</f>
        <v>1296852020767477760</v>
      </c>
      <c r="F8989" s="7" t="s">
        <v>17</v>
      </c>
      <c r="G8989" s="7">
        <v>3944076</v>
      </c>
      <c r="H8989" s="7">
        <v>2428</v>
      </c>
      <c r="I8989" s="7">
        <v>232</v>
      </c>
      <c r="J8989" s="7">
        <v>557</v>
      </c>
      <c r="K8989" s="7" t="s">
        <v>18</v>
      </c>
      <c r="L8989" s="8">
        <v>39987.315405092595</v>
      </c>
      <c r="M8989" s="9" t="s">
        <v>19</v>
      </c>
      <c r="N8989" s="9" t="s">
        <v>20</v>
      </c>
      <c r="O8989" s="6" t="str">
        <f>HYPERLINK("https://pbs.twimg.com/profile_images/962471262747529216/Uo8lOkRJ_normal.jpg","View")</f>
        <v>View</v>
      </c>
      <c r="P8989" s="7"/>
    </row>
    <row r="8990" spans="1:16">
      <c r="A8990" s="3">
        <v>44064.931192129632</v>
      </c>
      <c r="B8990" s="4" t="str">
        <f>HYPERLINK("https://twitter.com/petrogustavo","@petrogustavo")</f>
        <v>@petrogustavo</v>
      </c>
      <c r="C8990" s="5" t="s">
        <v>16</v>
      </c>
      <c r="D8990" s="5" t="s">
        <v>8654</v>
      </c>
      <c r="E8990" s="6" t="str">
        <f>HYPERLINK("https://twitter.com/petrogustavo/status/1296852292847767554","1296852292847767554")</f>
        <v>1296852292847767554</v>
      </c>
      <c r="F8990" s="7" t="s">
        <v>17</v>
      </c>
      <c r="G8990" s="7">
        <v>3944076</v>
      </c>
      <c r="H8990" s="7">
        <v>2428</v>
      </c>
      <c r="I8990" s="7">
        <v>46</v>
      </c>
      <c r="J8990" s="7">
        <v>253</v>
      </c>
      <c r="K8990" s="7" t="s">
        <v>18</v>
      </c>
      <c r="L8990" s="8">
        <v>39987.315405092595</v>
      </c>
      <c r="M8990" s="9" t="s">
        <v>19</v>
      </c>
      <c r="N8990" s="9" t="s">
        <v>20</v>
      </c>
      <c r="O8990" s="6" t="str">
        <f>HYPERLINK("https://pbs.twimg.com/profile_images/962471262747529216/Uo8lOkRJ_normal.jpg","View")</f>
        <v>View</v>
      </c>
      <c r="P8990" s="7"/>
    </row>
    <row r="8991" spans="1:16">
      <c r="A8991" s="3">
        <v>44065.048287037032</v>
      </c>
      <c r="B8991" s="4" t="str">
        <f>HYPERLINK("https://twitter.com/petrogustavo","@petrogustavo")</f>
        <v>@petrogustavo</v>
      </c>
      <c r="C8991" s="5" t="s">
        <v>16</v>
      </c>
      <c r="D8991" s="5" t="s">
        <v>8655</v>
      </c>
      <c r="E8991" s="6" t="str">
        <f>HYPERLINK("https://twitter.com/petrogustavo/status/1296894728097665027","1296894728097665027")</f>
        <v>1296894728097665027</v>
      </c>
      <c r="F8991" s="7" t="s">
        <v>17</v>
      </c>
      <c r="G8991" s="7">
        <v>3944167</v>
      </c>
      <c r="H8991" s="7">
        <v>2428</v>
      </c>
      <c r="I8991" s="7">
        <v>717</v>
      </c>
      <c r="J8991" s="7">
        <v>0</v>
      </c>
      <c r="K8991" s="7" t="s">
        <v>18</v>
      </c>
      <c r="L8991" s="8">
        <v>39987.315405092595</v>
      </c>
      <c r="M8991" s="9" t="s">
        <v>19</v>
      </c>
      <c r="N8991" s="9" t="s">
        <v>20</v>
      </c>
      <c r="O8991" s="6" t="str">
        <f>HYPERLINK("https://pbs.twimg.com/profile_images/962471262747529216/Uo8lOkRJ_normal.jpg","View")</f>
        <v>View</v>
      </c>
      <c r="P8991" s="7"/>
    </row>
    <row r="8992" spans="1:16">
      <c r="A8992" s="3">
        <v>44065.055543981478</v>
      </c>
      <c r="B8992" s="4" t="str">
        <f>HYPERLINK("https://twitter.com/petrogustavo","@petrogustavo")</f>
        <v>@petrogustavo</v>
      </c>
      <c r="C8992" s="5" t="s">
        <v>16</v>
      </c>
      <c r="D8992" s="5" t="s">
        <v>8656</v>
      </c>
      <c r="E8992" s="6" t="str">
        <f>HYPERLINK("https://twitter.com/petrogustavo/status/1296897356470919168","1296897356470919168")</f>
        <v>1296897356470919168</v>
      </c>
      <c r="F8992" s="7" t="s">
        <v>17</v>
      </c>
      <c r="G8992" s="7">
        <v>3944188</v>
      </c>
      <c r="H8992" s="7">
        <v>2428</v>
      </c>
      <c r="I8992" s="7">
        <v>31</v>
      </c>
      <c r="J8992" s="7">
        <v>0</v>
      </c>
      <c r="K8992" s="7" t="s">
        <v>18</v>
      </c>
      <c r="L8992" s="8">
        <v>39987.315405092595</v>
      </c>
      <c r="M8992" s="9" t="s">
        <v>19</v>
      </c>
      <c r="N8992" s="9" t="s">
        <v>20</v>
      </c>
      <c r="O8992" s="6" t="str">
        <f>HYPERLINK("https://pbs.twimg.com/profile_images/962471262747529216/Uo8lOkRJ_normal.jpg","View")</f>
        <v>View</v>
      </c>
      <c r="P8992" s="7"/>
    </row>
    <row r="8993" spans="1:16">
      <c r="A8993" s="3">
        <v>44065.055925925924</v>
      </c>
      <c r="B8993" s="4" t="str">
        <f>HYPERLINK("https://twitter.com/petrogustavo","@petrogustavo")</f>
        <v>@petrogustavo</v>
      </c>
      <c r="C8993" s="5" t="s">
        <v>16</v>
      </c>
      <c r="D8993" s="5" t="s">
        <v>8657</v>
      </c>
      <c r="E8993" s="6" t="str">
        <f>HYPERLINK("https://twitter.com/petrogustavo/status/1296897496132788224","1296897496132788224")</f>
        <v>1296897496132788224</v>
      </c>
      <c r="F8993" s="7" t="s">
        <v>17</v>
      </c>
      <c r="G8993" s="7">
        <v>3944188</v>
      </c>
      <c r="H8993" s="7">
        <v>2428</v>
      </c>
      <c r="I8993" s="7">
        <v>76</v>
      </c>
      <c r="J8993" s="7">
        <v>0</v>
      </c>
      <c r="K8993" s="7" t="s">
        <v>18</v>
      </c>
      <c r="L8993" s="8">
        <v>39987.315405092595</v>
      </c>
      <c r="M8993" s="9" t="s">
        <v>19</v>
      </c>
      <c r="N8993" s="9" t="s">
        <v>20</v>
      </c>
      <c r="O8993" s="6" t="str">
        <f>HYPERLINK("https://pbs.twimg.com/profile_images/962471262747529216/Uo8lOkRJ_normal.jpg","View")</f>
        <v>View</v>
      </c>
      <c r="P8993" s="7"/>
    </row>
    <row r="8994" spans="1:16">
      <c r="A8994" s="3">
        <v>44065.056203703702</v>
      </c>
      <c r="B8994" s="4" t="str">
        <f>HYPERLINK("https://twitter.com/petrogustavo","@petrogustavo")</f>
        <v>@petrogustavo</v>
      </c>
      <c r="C8994" s="5" t="s">
        <v>16</v>
      </c>
      <c r="D8994" s="5" t="s">
        <v>8658</v>
      </c>
      <c r="E8994" s="6" t="str">
        <f>HYPERLINK("https://twitter.com/petrogustavo/status/1296897597022638080","1296897597022638080")</f>
        <v>1296897597022638080</v>
      </c>
      <c r="F8994" s="7" t="s">
        <v>17</v>
      </c>
      <c r="G8994" s="7">
        <v>3944188</v>
      </c>
      <c r="H8994" s="7">
        <v>2428</v>
      </c>
      <c r="I8994" s="7">
        <v>115</v>
      </c>
      <c r="J8994" s="7">
        <v>0</v>
      </c>
      <c r="K8994" s="7" t="s">
        <v>18</v>
      </c>
      <c r="L8994" s="8">
        <v>39987.315405092595</v>
      </c>
      <c r="M8994" s="9" t="s">
        <v>19</v>
      </c>
      <c r="N8994" s="9" t="s">
        <v>20</v>
      </c>
      <c r="O8994" s="6" t="str">
        <f>HYPERLINK("https://pbs.twimg.com/profile_images/962471262747529216/Uo8lOkRJ_normal.jpg","View")</f>
        <v>View</v>
      </c>
      <c r="P8994" s="7"/>
    </row>
    <row r="8995" spans="1:16">
      <c r="A8995" s="3">
        <v>44065.094849537039</v>
      </c>
      <c r="B8995" s="4" t="str">
        <f>HYPERLINK("https://twitter.com/petrogustavo","@petrogustavo")</f>
        <v>@petrogustavo</v>
      </c>
      <c r="C8995" s="5" t="s">
        <v>16</v>
      </c>
      <c r="D8995" s="5" t="s">
        <v>8659</v>
      </c>
      <c r="E8995" s="6" t="str">
        <f>HYPERLINK("https://twitter.com/petrogustavo/status/1296911600872558595","1296911600872558595")</f>
        <v>1296911600872558595</v>
      </c>
      <c r="F8995" s="7" t="s">
        <v>32</v>
      </c>
      <c r="G8995" s="7">
        <v>3944210</v>
      </c>
      <c r="H8995" s="7">
        <v>2428</v>
      </c>
      <c r="I8995" s="7">
        <v>60</v>
      </c>
      <c r="J8995" s="7">
        <v>0</v>
      </c>
      <c r="K8995" s="7" t="s">
        <v>18</v>
      </c>
      <c r="L8995" s="8">
        <v>39987.315405092595</v>
      </c>
      <c r="M8995" s="9" t="s">
        <v>19</v>
      </c>
      <c r="N8995" s="9" t="s">
        <v>20</v>
      </c>
      <c r="O8995" s="6" t="str">
        <f>HYPERLINK("https://pbs.twimg.com/profile_images/962471262747529216/Uo8lOkRJ_normal.jpg","View")</f>
        <v>View</v>
      </c>
      <c r="P8995" s="7"/>
    </row>
    <row r="8996" spans="1:16">
      <c r="A8996" s="3">
        <v>44065.095625000002</v>
      </c>
      <c r="B8996" s="4" t="str">
        <f>HYPERLINK("https://twitter.com/petrogustavo","@petrogustavo")</f>
        <v>@petrogustavo</v>
      </c>
      <c r="C8996" s="5" t="s">
        <v>16</v>
      </c>
      <c r="D8996" s="5" t="s">
        <v>8660</v>
      </c>
      <c r="E8996" s="6" t="str">
        <f>HYPERLINK("https://twitter.com/petrogustavo/status/1296911880431251457","1296911880431251457")</f>
        <v>1296911880431251457</v>
      </c>
      <c r="F8996" s="7" t="s">
        <v>32</v>
      </c>
      <c r="G8996" s="7">
        <v>3944210</v>
      </c>
      <c r="H8996" s="7">
        <v>2428</v>
      </c>
      <c r="I8996" s="7">
        <v>6</v>
      </c>
      <c r="J8996" s="7">
        <v>21</v>
      </c>
      <c r="K8996" s="7" t="s">
        <v>18</v>
      </c>
      <c r="L8996" s="8">
        <v>39987.315405092595</v>
      </c>
      <c r="M8996" s="9" t="s">
        <v>19</v>
      </c>
      <c r="N8996" s="9" t="s">
        <v>20</v>
      </c>
      <c r="O8996" s="6" t="str">
        <f>HYPERLINK("https://pbs.twimg.com/profile_images/962471262747529216/Uo8lOkRJ_normal.jpg","View")</f>
        <v>View</v>
      </c>
      <c r="P8996" s="7"/>
    </row>
    <row r="8997" spans="1:16">
      <c r="A8997" s="3">
        <v>44065.096134259264</v>
      </c>
      <c r="B8997" s="4" t="str">
        <f>HYPERLINK("https://twitter.com/petrogustavo","@petrogustavo")</f>
        <v>@petrogustavo</v>
      </c>
      <c r="C8997" s="5" t="s">
        <v>16</v>
      </c>
      <c r="D8997" s="5" t="s">
        <v>8661</v>
      </c>
      <c r="E8997" s="6" t="str">
        <f>HYPERLINK("https://twitter.com/petrogustavo/status/1296912066557640704","1296912066557640704")</f>
        <v>1296912066557640704</v>
      </c>
      <c r="F8997" s="7" t="s">
        <v>32</v>
      </c>
      <c r="G8997" s="7">
        <v>3944219</v>
      </c>
      <c r="H8997" s="7">
        <v>2428</v>
      </c>
      <c r="I8997" s="7">
        <v>171</v>
      </c>
      <c r="J8997" s="7">
        <v>0</v>
      </c>
      <c r="K8997" s="7" t="s">
        <v>18</v>
      </c>
      <c r="L8997" s="8">
        <v>39987.315405092595</v>
      </c>
      <c r="M8997" s="9" t="s">
        <v>19</v>
      </c>
      <c r="N8997" s="9" t="s">
        <v>20</v>
      </c>
      <c r="O8997" s="6" t="str">
        <f>HYPERLINK("https://pbs.twimg.com/profile_images/962471262747529216/Uo8lOkRJ_normal.jpg","View")</f>
        <v>View</v>
      </c>
      <c r="P8997" s="7"/>
    </row>
    <row r="8998" spans="1:16">
      <c r="A8998" s="3">
        <v>44065.209340277783</v>
      </c>
      <c r="B8998" s="4" t="str">
        <f>HYPERLINK("https://twitter.com/petrogustavo","@petrogustavo")</f>
        <v>@petrogustavo</v>
      </c>
      <c r="C8998" s="5" t="s">
        <v>16</v>
      </c>
      <c r="D8998" s="5" t="s">
        <v>8662</v>
      </c>
      <c r="E8998" s="6" t="str">
        <f>HYPERLINK("https://twitter.com/petrogustavo/status/1296953089497485312","1296953089497485312")</f>
        <v>1296953089497485312</v>
      </c>
      <c r="F8998" s="7" t="s">
        <v>32</v>
      </c>
      <c r="G8998" s="7">
        <v>3944304</v>
      </c>
      <c r="H8998" s="7">
        <v>2428</v>
      </c>
      <c r="I8998" s="7">
        <v>156</v>
      </c>
      <c r="J8998" s="7">
        <v>0</v>
      </c>
      <c r="K8998" s="7" t="s">
        <v>18</v>
      </c>
      <c r="L8998" s="8">
        <v>39987.315405092595</v>
      </c>
      <c r="M8998" s="9" t="s">
        <v>19</v>
      </c>
      <c r="N8998" s="9" t="s">
        <v>20</v>
      </c>
      <c r="O8998" s="6" t="str">
        <f>HYPERLINK("https://pbs.twimg.com/profile_images/962471262747529216/Uo8lOkRJ_normal.jpg","View")</f>
        <v>View</v>
      </c>
      <c r="P8998" s="7"/>
    </row>
    <row r="8999" spans="1:16">
      <c r="A8999" s="3">
        <v>44065.315439814818</v>
      </c>
      <c r="B8999" s="4" t="str">
        <f>HYPERLINK("https://twitter.com/petrogustavo","@petrogustavo")</f>
        <v>@petrogustavo</v>
      </c>
      <c r="C8999" s="5" t="s">
        <v>16</v>
      </c>
      <c r="D8999" s="5" t="s">
        <v>8663</v>
      </c>
      <c r="E8999" s="6" t="str">
        <f>HYPERLINK("https://twitter.com/petrogustavo/status/1296991537998503937","1296991537998503937")</f>
        <v>1296991537998503937</v>
      </c>
      <c r="F8999" s="7" t="s">
        <v>17</v>
      </c>
      <c r="G8999" s="7">
        <v>3944435</v>
      </c>
      <c r="H8999" s="7">
        <v>2428</v>
      </c>
      <c r="I8999" s="7">
        <v>138</v>
      </c>
      <c r="J8999" s="7">
        <v>416</v>
      </c>
      <c r="K8999" s="7" t="s">
        <v>18</v>
      </c>
      <c r="L8999" s="8">
        <v>39987.315405092595</v>
      </c>
      <c r="M8999" s="9" t="s">
        <v>19</v>
      </c>
      <c r="N8999" s="9" t="s">
        <v>20</v>
      </c>
      <c r="O8999" s="6" t="str">
        <f>HYPERLINK("https://pbs.twimg.com/profile_images/962471262747529216/Uo8lOkRJ_normal.jpg","View")</f>
        <v>View</v>
      </c>
      <c r="P8999" s="7"/>
    </row>
    <row r="9000" spans="1:16">
      <c r="A9000" s="3">
        <v>44065.734664351854</v>
      </c>
      <c r="B9000" s="4" t="str">
        <f>HYPERLINK("https://twitter.com/petrogustavo","@petrogustavo")</f>
        <v>@petrogustavo</v>
      </c>
      <c r="C9000" s="5" t="s">
        <v>16</v>
      </c>
      <c r="D9000" s="5" t="s">
        <v>8664</v>
      </c>
      <c r="E9000" s="6" t="str">
        <f>HYPERLINK("https://twitter.com/petrogustavo/status/1297143460642918400","1297143460642918400")</f>
        <v>1297143460642918400</v>
      </c>
      <c r="F9000" s="7" t="s">
        <v>17</v>
      </c>
      <c r="G9000" s="7">
        <v>3944568</v>
      </c>
      <c r="H9000" s="7">
        <v>2428</v>
      </c>
      <c r="I9000" s="7">
        <v>114</v>
      </c>
      <c r="J9000" s="7">
        <v>248</v>
      </c>
      <c r="K9000" s="7" t="s">
        <v>18</v>
      </c>
      <c r="L9000" s="8">
        <v>39987.315405092595</v>
      </c>
      <c r="M9000" s="9" t="s">
        <v>19</v>
      </c>
      <c r="N9000" s="9" t="s">
        <v>20</v>
      </c>
      <c r="O9000" s="6" t="str">
        <f>HYPERLINK("https://pbs.twimg.com/profile_images/962471262747529216/Uo8lOkRJ_normal.jpg","View")</f>
        <v>View</v>
      </c>
      <c r="P9000" s="7"/>
    </row>
    <row r="9001" spans="1:16">
      <c r="A9001" s="3">
        <v>44065.736203703702</v>
      </c>
      <c r="B9001" s="4" t="str">
        <f>HYPERLINK("https://twitter.com/petrogustavo","@petrogustavo")</f>
        <v>@petrogustavo</v>
      </c>
      <c r="C9001" s="5" t="s">
        <v>16</v>
      </c>
      <c r="D9001" s="5" t="s">
        <v>8665</v>
      </c>
      <c r="E9001" s="6" t="str">
        <f>HYPERLINK("https://twitter.com/petrogustavo/status/1297144020745977856","1297144020745977856")</f>
        <v>1297144020745977856</v>
      </c>
      <c r="F9001" s="7" t="s">
        <v>17</v>
      </c>
      <c r="G9001" s="7">
        <v>3944568</v>
      </c>
      <c r="H9001" s="7">
        <v>2428</v>
      </c>
      <c r="I9001" s="7">
        <v>96</v>
      </c>
      <c r="J9001" s="7">
        <v>0</v>
      </c>
      <c r="K9001" s="7" t="s">
        <v>18</v>
      </c>
      <c r="L9001" s="8">
        <v>39987.315405092595</v>
      </c>
      <c r="M9001" s="9" t="s">
        <v>19</v>
      </c>
      <c r="N9001" s="9" t="s">
        <v>20</v>
      </c>
      <c r="O9001" s="6" t="str">
        <f>HYPERLINK("https://pbs.twimg.com/profile_images/962471262747529216/Uo8lOkRJ_normal.jpg","View")</f>
        <v>View</v>
      </c>
      <c r="P9001" s="7"/>
    </row>
    <row r="9002" spans="1:16">
      <c r="A9002" s="3">
        <v>44065.739282407405</v>
      </c>
      <c r="B9002" s="4" t="str">
        <f>HYPERLINK("https://twitter.com/petrogustavo","@petrogustavo")</f>
        <v>@petrogustavo</v>
      </c>
      <c r="C9002" s="5" t="s">
        <v>16</v>
      </c>
      <c r="D9002" s="5" t="s">
        <v>8666</v>
      </c>
      <c r="E9002" s="6" t="str">
        <f>HYPERLINK("https://twitter.com/petrogustavo/status/1297145132748242945","1297145132748242945")</f>
        <v>1297145132748242945</v>
      </c>
      <c r="F9002" s="7" t="s">
        <v>17</v>
      </c>
      <c r="G9002" s="7">
        <v>3944568</v>
      </c>
      <c r="H9002" s="7">
        <v>2428</v>
      </c>
      <c r="I9002" s="7">
        <v>72</v>
      </c>
      <c r="J9002" s="7">
        <v>114</v>
      </c>
      <c r="K9002" s="7" t="s">
        <v>18</v>
      </c>
      <c r="L9002" s="8">
        <v>39987.315405092595</v>
      </c>
      <c r="M9002" s="9" t="s">
        <v>19</v>
      </c>
      <c r="N9002" s="9" t="s">
        <v>20</v>
      </c>
      <c r="O9002" s="6" t="str">
        <f>HYPERLINK("https://pbs.twimg.com/profile_images/962471262747529216/Uo8lOkRJ_normal.jpg","View")</f>
        <v>View</v>
      </c>
      <c r="P9002" s="7"/>
    </row>
    <row r="9003" spans="1:16">
      <c r="A9003" s="3">
        <v>44065.750092592592</v>
      </c>
      <c r="B9003" s="4" t="str">
        <f>HYPERLINK("https://twitter.com/petrogustavo","@petrogustavo")</f>
        <v>@petrogustavo</v>
      </c>
      <c r="C9003" s="5" t="s">
        <v>16</v>
      </c>
      <c r="D9003" s="5" t="s">
        <v>8667</v>
      </c>
      <c r="E9003" s="6" t="str">
        <f>HYPERLINK("https://twitter.com/petrogustavo/status/1297149050152771589","1297149050152771589")</f>
        <v>1297149050152771589</v>
      </c>
      <c r="F9003" s="7" t="s">
        <v>17</v>
      </c>
      <c r="G9003" s="7">
        <v>3944583</v>
      </c>
      <c r="H9003" s="7">
        <v>2428</v>
      </c>
      <c r="I9003" s="7">
        <v>401</v>
      </c>
      <c r="J9003" s="7">
        <v>0</v>
      </c>
      <c r="K9003" s="7" t="s">
        <v>18</v>
      </c>
      <c r="L9003" s="8">
        <v>39987.315405092595</v>
      </c>
      <c r="M9003" s="9" t="s">
        <v>19</v>
      </c>
      <c r="N9003" s="9" t="s">
        <v>20</v>
      </c>
      <c r="O9003" s="6" t="str">
        <f>HYPERLINK("https://pbs.twimg.com/profile_images/962471262747529216/Uo8lOkRJ_normal.jpg","View")</f>
        <v>View</v>
      </c>
      <c r="P9003" s="7"/>
    </row>
    <row r="9004" spans="1:16">
      <c r="A9004" s="3">
        <v>44065.761342592596</v>
      </c>
      <c r="B9004" s="4" t="str">
        <f>HYPERLINK("https://twitter.com/petrogustavo","@petrogustavo")</f>
        <v>@petrogustavo</v>
      </c>
      <c r="C9004" s="5" t="s">
        <v>16</v>
      </c>
      <c r="D9004" s="5" t="s">
        <v>8668</v>
      </c>
      <c r="E9004" s="6" t="str">
        <f>HYPERLINK("https://twitter.com/petrogustavo/status/1297153130128449536","1297153130128449536")</f>
        <v>1297153130128449536</v>
      </c>
      <c r="F9004" s="7" t="s">
        <v>17</v>
      </c>
      <c r="G9004" s="7">
        <v>3944583</v>
      </c>
      <c r="H9004" s="7">
        <v>2428</v>
      </c>
      <c r="I9004" s="7">
        <v>13</v>
      </c>
      <c r="J9004" s="7">
        <v>18</v>
      </c>
      <c r="K9004" s="7" t="s">
        <v>18</v>
      </c>
      <c r="L9004" s="8">
        <v>39987.315405092595</v>
      </c>
      <c r="M9004" s="9" t="s">
        <v>19</v>
      </c>
      <c r="N9004" s="9" t="s">
        <v>20</v>
      </c>
      <c r="O9004" s="6" t="str">
        <f>HYPERLINK("https://pbs.twimg.com/profile_images/962471262747529216/Uo8lOkRJ_normal.jpg","View")</f>
        <v>View</v>
      </c>
      <c r="P9004" s="7"/>
    </row>
    <row r="9005" spans="1:16">
      <c r="A9005" s="3">
        <v>44065.764699074076</v>
      </c>
      <c r="B9005" s="4" t="str">
        <f>HYPERLINK("https://twitter.com/petrogustavo","@petrogustavo")</f>
        <v>@petrogustavo</v>
      </c>
      <c r="C9005" s="5" t="s">
        <v>16</v>
      </c>
      <c r="D9005" s="5" t="s">
        <v>8669</v>
      </c>
      <c r="E9005" s="6" t="str">
        <f>HYPERLINK("https://twitter.com/petrogustavo/status/1297154346090733568","1297154346090733568")</f>
        <v>1297154346090733568</v>
      </c>
      <c r="F9005" s="7" t="s">
        <v>17</v>
      </c>
      <c r="G9005" s="7">
        <v>3944606</v>
      </c>
      <c r="H9005" s="7">
        <v>2429</v>
      </c>
      <c r="I9005" s="7">
        <v>233</v>
      </c>
      <c r="J9005" s="7">
        <v>458</v>
      </c>
      <c r="K9005" s="7" t="s">
        <v>18</v>
      </c>
      <c r="L9005" s="8">
        <v>39987.315405092595</v>
      </c>
      <c r="M9005" s="9" t="s">
        <v>19</v>
      </c>
      <c r="N9005" s="9" t="s">
        <v>20</v>
      </c>
      <c r="O9005" s="6" t="str">
        <f>HYPERLINK("https://pbs.twimg.com/profile_images/962471262747529216/Uo8lOkRJ_normal.jpg","View")</f>
        <v>View</v>
      </c>
      <c r="P9005" s="7"/>
    </row>
    <row r="9006" spans="1:16">
      <c r="A9006" s="3">
        <v>44065.777071759258</v>
      </c>
      <c r="B9006" s="4" t="str">
        <f>HYPERLINK("https://twitter.com/petrogustavo","@petrogustavo")</f>
        <v>@petrogustavo</v>
      </c>
      <c r="C9006" s="5" t="s">
        <v>16</v>
      </c>
      <c r="D9006" s="5" t="s">
        <v>8670</v>
      </c>
      <c r="E9006" s="6" t="str">
        <f>HYPERLINK("https://twitter.com/petrogustavo/status/1297158830455959552","1297158830455959552")</f>
        <v>1297158830455959552</v>
      </c>
      <c r="F9006" s="7" t="s">
        <v>17</v>
      </c>
      <c r="G9006" s="7">
        <v>3944606</v>
      </c>
      <c r="H9006" s="7">
        <v>2429</v>
      </c>
      <c r="I9006" s="7">
        <v>345</v>
      </c>
      <c r="J9006" s="7">
        <v>0</v>
      </c>
      <c r="K9006" s="7" t="s">
        <v>18</v>
      </c>
      <c r="L9006" s="8">
        <v>39987.315405092595</v>
      </c>
      <c r="M9006" s="9" t="s">
        <v>19</v>
      </c>
      <c r="N9006" s="9" t="s">
        <v>20</v>
      </c>
      <c r="O9006" s="6" t="str">
        <f>HYPERLINK("https://pbs.twimg.com/profile_images/962471262747529216/Uo8lOkRJ_normal.jpg","View")</f>
        <v>View</v>
      </c>
      <c r="P9006" s="7"/>
    </row>
    <row r="9007" spans="1:16">
      <c r="A9007" s="3">
        <v>44065.777187500003</v>
      </c>
      <c r="B9007" s="4" t="str">
        <f>HYPERLINK("https://twitter.com/petrogustavo","@petrogustavo")</f>
        <v>@petrogustavo</v>
      </c>
      <c r="C9007" s="5" t="s">
        <v>16</v>
      </c>
      <c r="D9007" s="5" t="s">
        <v>8667</v>
      </c>
      <c r="E9007" s="6" t="str">
        <f>HYPERLINK("https://twitter.com/petrogustavo/status/1297158871987957760","1297158871987957760")</f>
        <v>1297158871987957760</v>
      </c>
      <c r="F9007" s="7" t="s">
        <v>17</v>
      </c>
      <c r="G9007" s="7">
        <v>3944606</v>
      </c>
      <c r="H9007" s="7">
        <v>2429</v>
      </c>
      <c r="I9007" s="7">
        <v>628</v>
      </c>
      <c r="J9007" s="7">
        <v>0</v>
      </c>
      <c r="K9007" s="7" t="s">
        <v>18</v>
      </c>
      <c r="L9007" s="8">
        <v>39987.315405092595</v>
      </c>
      <c r="M9007" s="9" t="s">
        <v>19</v>
      </c>
      <c r="N9007" s="9" t="s">
        <v>20</v>
      </c>
      <c r="O9007" s="6" t="str">
        <f>HYPERLINK("https://pbs.twimg.com/profile_images/962471262747529216/Uo8lOkRJ_normal.jpg","View")</f>
        <v>View</v>
      </c>
      <c r="P9007" s="7"/>
    </row>
    <row r="9008" spans="1:16">
      <c r="A9008" s="3">
        <v>44065.878958333335</v>
      </c>
      <c r="B9008" s="4" t="str">
        <f>HYPERLINK("https://twitter.com/petrogustavo","@petrogustavo")</f>
        <v>@petrogustavo</v>
      </c>
      <c r="C9008" s="5" t="s">
        <v>16</v>
      </c>
      <c r="D9008" s="5" t="s">
        <v>8671</v>
      </c>
      <c r="E9008" s="6" t="str">
        <f>HYPERLINK("https://twitter.com/petrogustavo/status/1297195749235666944","1297195749235666944")</f>
        <v>1297195749235666944</v>
      </c>
      <c r="F9008" s="7" t="s">
        <v>17</v>
      </c>
      <c r="G9008" s="7">
        <v>3944734</v>
      </c>
      <c r="H9008" s="7">
        <v>2429</v>
      </c>
      <c r="I9008" s="7">
        <v>239</v>
      </c>
      <c r="J9008" s="7">
        <v>677</v>
      </c>
      <c r="K9008" s="7" t="s">
        <v>18</v>
      </c>
      <c r="L9008" s="8">
        <v>39987.315405092595</v>
      </c>
      <c r="M9008" s="9" t="s">
        <v>19</v>
      </c>
      <c r="N9008" s="9" t="s">
        <v>20</v>
      </c>
      <c r="O9008" s="6" t="str">
        <f>HYPERLINK("https://pbs.twimg.com/profile_images/962471262747529216/Uo8lOkRJ_normal.jpg","View")</f>
        <v>View</v>
      </c>
      <c r="P9008" s="7"/>
    </row>
    <row r="9009" spans="1:16">
      <c r="A9009" s="3">
        <v>44065.880347222221</v>
      </c>
      <c r="B9009" s="4" t="str">
        <f>HYPERLINK("https://twitter.com/petrogustavo","@petrogustavo")</f>
        <v>@petrogustavo</v>
      </c>
      <c r="C9009" s="5" t="s">
        <v>16</v>
      </c>
      <c r="D9009" s="5" t="s">
        <v>8672</v>
      </c>
      <c r="E9009" s="6" t="str">
        <f>HYPERLINK("https://twitter.com/petrogustavo/status/1297196254158565378","1297196254158565378")</f>
        <v>1297196254158565378</v>
      </c>
      <c r="F9009" s="7" t="s">
        <v>17</v>
      </c>
      <c r="G9009" s="7">
        <v>3944734</v>
      </c>
      <c r="H9009" s="7">
        <v>2429</v>
      </c>
      <c r="I9009" s="7">
        <v>34</v>
      </c>
      <c r="J9009" s="7">
        <v>86</v>
      </c>
      <c r="K9009" s="7" t="s">
        <v>18</v>
      </c>
      <c r="L9009" s="8">
        <v>39987.315405092595</v>
      </c>
      <c r="M9009" s="9" t="s">
        <v>19</v>
      </c>
      <c r="N9009" s="9" t="s">
        <v>20</v>
      </c>
      <c r="O9009" s="6" t="str">
        <f>HYPERLINK("https://pbs.twimg.com/profile_images/962471262747529216/Uo8lOkRJ_normal.jpg","View")</f>
        <v>View</v>
      </c>
      <c r="P9009" s="7"/>
    </row>
    <row r="9010" spans="1:16">
      <c r="A9010" s="3">
        <v>44065.880520833336</v>
      </c>
      <c r="B9010" s="4" t="str">
        <f>HYPERLINK("https://twitter.com/petrogustavo","@petrogustavo")</f>
        <v>@petrogustavo</v>
      </c>
      <c r="C9010" s="5" t="s">
        <v>16</v>
      </c>
      <c r="D9010" s="5" t="s">
        <v>8667</v>
      </c>
      <c r="E9010" s="6" t="str">
        <f>HYPERLINK("https://twitter.com/petrogustavo/status/1297196316934774786","1297196316934774786")</f>
        <v>1297196316934774786</v>
      </c>
      <c r="F9010" s="7" t="s">
        <v>17</v>
      </c>
      <c r="G9010" s="7">
        <v>3944734</v>
      </c>
      <c r="H9010" s="7">
        <v>2429</v>
      </c>
      <c r="I9010" s="7">
        <v>1421</v>
      </c>
      <c r="J9010" s="7">
        <v>0</v>
      </c>
      <c r="K9010" s="7" t="s">
        <v>18</v>
      </c>
      <c r="L9010" s="8">
        <v>39987.315405092595</v>
      </c>
      <c r="M9010" s="9" t="s">
        <v>19</v>
      </c>
      <c r="N9010" s="9" t="s">
        <v>20</v>
      </c>
      <c r="O9010" s="6" t="str">
        <f>HYPERLINK("https://pbs.twimg.com/profile_images/962471262747529216/Uo8lOkRJ_normal.jpg","View")</f>
        <v>View</v>
      </c>
      <c r="P9010" s="7"/>
    </row>
    <row r="9011" spans="1:16">
      <c r="A9011" s="3">
        <v>44065.883715277778</v>
      </c>
      <c r="B9011" s="4" t="str">
        <f>HYPERLINK("https://twitter.com/petrogustavo","@petrogustavo")</f>
        <v>@petrogustavo</v>
      </c>
      <c r="C9011" s="5" t="s">
        <v>16</v>
      </c>
      <c r="D9011" s="5" t="s">
        <v>8673</v>
      </c>
      <c r="E9011" s="6" t="str">
        <f>HYPERLINK("https://twitter.com/petrogustavo/status/1297197474818523136","1297197474818523136")</f>
        <v>1297197474818523136</v>
      </c>
      <c r="F9011" s="7" t="s">
        <v>17</v>
      </c>
      <c r="G9011" s="7">
        <v>3944734</v>
      </c>
      <c r="H9011" s="7">
        <v>2429</v>
      </c>
      <c r="I9011" s="7">
        <v>19</v>
      </c>
      <c r="J9011" s="7">
        <v>57</v>
      </c>
      <c r="K9011" s="7" t="s">
        <v>18</v>
      </c>
      <c r="L9011" s="8">
        <v>39987.315405092595</v>
      </c>
      <c r="M9011" s="9" t="s">
        <v>19</v>
      </c>
      <c r="N9011" s="9" t="s">
        <v>20</v>
      </c>
      <c r="O9011" s="6" t="str">
        <f>HYPERLINK("https://pbs.twimg.com/profile_images/962471262747529216/Uo8lOkRJ_normal.jpg","View")</f>
        <v>View</v>
      </c>
      <c r="P9011" s="7"/>
    </row>
    <row r="9012" spans="1:16">
      <c r="A9012" s="3">
        <v>44065.883981481486</v>
      </c>
      <c r="B9012" s="4" t="str">
        <f>HYPERLINK("https://twitter.com/petrogustavo","@petrogustavo")</f>
        <v>@petrogustavo</v>
      </c>
      <c r="C9012" s="5" t="s">
        <v>16</v>
      </c>
      <c r="D9012" s="5" t="s">
        <v>8674</v>
      </c>
      <c r="E9012" s="6" t="str">
        <f>HYPERLINK("https://twitter.com/petrogustavo/status/1297197569957822464","1297197569957822464")</f>
        <v>1297197569957822464</v>
      </c>
      <c r="F9012" s="7" t="s">
        <v>17</v>
      </c>
      <c r="G9012" s="7">
        <v>3944734</v>
      </c>
      <c r="H9012" s="7">
        <v>2429</v>
      </c>
      <c r="I9012" s="7">
        <v>239</v>
      </c>
      <c r="J9012" s="7">
        <v>0</v>
      </c>
      <c r="K9012" s="7" t="s">
        <v>18</v>
      </c>
      <c r="L9012" s="8">
        <v>39987.315405092595</v>
      </c>
      <c r="M9012" s="9" t="s">
        <v>19</v>
      </c>
      <c r="N9012" s="9" t="s">
        <v>20</v>
      </c>
      <c r="O9012" s="6" t="str">
        <f>HYPERLINK("https://pbs.twimg.com/profile_images/962471262747529216/Uo8lOkRJ_normal.jpg","View")</f>
        <v>View</v>
      </c>
      <c r="P9012" s="7"/>
    </row>
    <row r="9013" spans="1:16">
      <c r="A9013" s="3">
        <v>44065.887916666667</v>
      </c>
      <c r="B9013" s="4" t="str">
        <f>HYPERLINK("https://twitter.com/petrogustavo","@petrogustavo")</f>
        <v>@petrogustavo</v>
      </c>
      <c r="C9013" s="5" t="s">
        <v>16</v>
      </c>
      <c r="D9013" s="5" t="s">
        <v>8675</v>
      </c>
      <c r="E9013" s="6" t="str">
        <f>HYPERLINK("https://twitter.com/petrogustavo/status/1297198996646252544","1297198996646252544")</f>
        <v>1297198996646252544</v>
      </c>
      <c r="F9013" s="7" t="s">
        <v>17</v>
      </c>
      <c r="G9013" s="7">
        <v>3944754</v>
      </c>
      <c r="H9013" s="7">
        <v>2429</v>
      </c>
      <c r="I9013" s="7">
        <v>181</v>
      </c>
      <c r="J9013" s="7">
        <v>412</v>
      </c>
      <c r="K9013" s="7" t="s">
        <v>18</v>
      </c>
      <c r="L9013" s="8">
        <v>39987.315405092595</v>
      </c>
      <c r="M9013" s="9" t="s">
        <v>19</v>
      </c>
      <c r="N9013" s="9" t="s">
        <v>20</v>
      </c>
      <c r="O9013" s="6" t="str">
        <f>HYPERLINK("https://pbs.twimg.com/profile_images/962471262747529216/Uo8lOkRJ_normal.jpg","View")</f>
        <v>View</v>
      </c>
      <c r="P9013" s="7"/>
    </row>
    <row r="9014" spans="1:16">
      <c r="A9014" s="3">
        <v>44065.890405092592</v>
      </c>
      <c r="B9014" s="4" t="str">
        <f>HYPERLINK("https://twitter.com/petrogustavo","@petrogustavo")</f>
        <v>@petrogustavo</v>
      </c>
      <c r="C9014" s="5" t="s">
        <v>16</v>
      </c>
      <c r="D9014" s="5" t="s">
        <v>8676</v>
      </c>
      <c r="E9014" s="6" t="str">
        <f>HYPERLINK("https://twitter.com/petrogustavo/status/1297199899826626560","1297199899826626560")</f>
        <v>1297199899826626560</v>
      </c>
      <c r="F9014" s="7" t="s">
        <v>17</v>
      </c>
      <c r="G9014" s="7">
        <v>3944754</v>
      </c>
      <c r="H9014" s="7">
        <v>2429</v>
      </c>
      <c r="I9014" s="7">
        <v>133</v>
      </c>
      <c r="J9014" s="7">
        <v>263</v>
      </c>
      <c r="K9014" s="7" t="s">
        <v>18</v>
      </c>
      <c r="L9014" s="8">
        <v>39987.315405092595</v>
      </c>
      <c r="M9014" s="9" t="s">
        <v>19</v>
      </c>
      <c r="N9014" s="9" t="s">
        <v>20</v>
      </c>
      <c r="O9014" s="6" t="str">
        <f>HYPERLINK("https://pbs.twimg.com/profile_images/962471262747529216/Uo8lOkRJ_normal.jpg","View")</f>
        <v>View</v>
      </c>
      <c r="P9014" s="7"/>
    </row>
    <row r="9015" spans="1:16">
      <c r="A9015" s="3">
        <v>44065.89638888889</v>
      </c>
      <c r="B9015" s="4" t="str">
        <f>HYPERLINK("https://twitter.com/petrogustavo","@petrogustavo")</f>
        <v>@petrogustavo</v>
      </c>
      <c r="C9015" s="5" t="s">
        <v>16</v>
      </c>
      <c r="D9015" s="5" t="s">
        <v>8677</v>
      </c>
      <c r="E9015" s="6" t="str">
        <f>HYPERLINK("https://twitter.com/petrogustavo/status/1297202067438796801","1297202067438796801")</f>
        <v>1297202067438796801</v>
      </c>
      <c r="F9015" s="7" t="s">
        <v>17</v>
      </c>
      <c r="G9015" s="7">
        <v>3944754</v>
      </c>
      <c r="H9015" s="7">
        <v>2429</v>
      </c>
      <c r="I9015" s="7">
        <v>1197</v>
      </c>
      <c r="J9015" s="7">
        <v>0</v>
      </c>
      <c r="K9015" s="7" t="s">
        <v>18</v>
      </c>
      <c r="L9015" s="8">
        <v>39987.315405092595</v>
      </c>
      <c r="M9015" s="9" t="s">
        <v>19</v>
      </c>
      <c r="N9015" s="9" t="s">
        <v>20</v>
      </c>
      <c r="O9015" s="6" t="str">
        <f>HYPERLINK("https://pbs.twimg.com/profile_images/962471262747529216/Uo8lOkRJ_normal.jpg","View")</f>
        <v>View</v>
      </c>
      <c r="P9015" s="7"/>
    </row>
    <row r="9016" spans="1:16">
      <c r="A9016" s="3">
        <v>44065.897291666668</v>
      </c>
      <c r="B9016" s="4" t="str">
        <f>HYPERLINK("https://twitter.com/petrogustavo","@petrogustavo")</f>
        <v>@petrogustavo</v>
      </c>
      <c r="C9016" s="5" t="s">
        <v>16</v>
      </c>
      <c r="D9016" s="5" t="s">
        <v>8678</v>
      </c>
      <c r="E9016" s="6" t="str">
        <f>HYPERLINK("https://twitter.com/petrogustavo/status/1297202394519015424","1297202394519015424")</f>
        <v>1297202394519015424</v>
      </c>
      <c r="F9016" s="7" t="s">
        <v>17</v>
      </c>
      <c r="G9016" s="7">
        <v>3944754</v>
      </c>
      <c r="H9016" s="7">
        <v>2429</v>
      </c>
      <c r="I9016" s="7">
        <v>181</v>
      </c>
      <c r="J9016" s="7">
        <v>0</v>
      </c>
      <c r="K9016" s="7" t="s">
        <v>18</v>
      </c>
      <c r="L9016" s="8">
        <v>39987.315405092595</v>
      </c>
      <c r="M9016" s="9" t="s">
        <v>19</v>
      </c>
      <c r="N9016" s="9" t="s">
        <v>20</v>
      </c>
      <c r="O9016" s="6" t="str">
        <f>HYPERLINK("https://pbs.twimg.com/profile_images/962471262747529216/Uo8lOkRJ_normal.jpg","View")</f>
        <v>View</v>
      </c>
      <c r="P9016" s="7"/>
    </row>
    <row r="9017" spans="1:16">
      <c r="A9017" s="3">
        <v>44065.900856481487</v>
      </c>
      <c r="B9017" s="4" t="str">
        <f>HYPERLINK("https://twitter.com/petrogustavo","@petrogustavo")</f>
        <v>@petrogustavo</v>
      </c>
      <c r="C9017" s="5" t="s">
        <v>16</v>
      </c>
      <c r="D9017" s="5" t="s">
        <v>8679</v>
      </c>
      <c r="E9017" s="6" t="str">
        <f>HYPERLINK("https://twitter.com/petrogustavo/status/1297203687681597440","1297203687681597440")</f>
        <v>1297203687681597440</v>
      </c>
      <c r="F9017" s="7" t="s">
        <v>17</v>
      </c>
      <c r="G9017" s="7">
        <v>3944754</v>
      </c>
      <c r="H9017" s="7">
        <v>2429</v>
      </c>
      <c r="I9017" s="7">
        <v>133</v>
      </c>
      <c r="J9017" s="7">
        <v>0</v>
      </c>
      <c r="K9017" s="7" t="s">
        <v>18</v>
      </c>
      <c r="L9017" s="8">
        <v>39987.315405092595</v>
      </c>
      <c r="M9017" s="9" t="s">
        <v>19</v>
      </c>
      <c r="N9017" s="9" t="s">
        <v>20</v>
      </c>
      <c r="O9017" s="6" t="str">
        <f>HYPERLINK("https://pbs.twimg.com/profile_images/962471262747529216/Uo8lOkRJ_normal.jpg","View")</f>
        <v>View</v>
      </c>
      <c r="P9017" s="7"/>
    </row>
    <row r="9018" spans="1:16">
      <c r="A9018" s="3">
        <v>44065.932581018518</v>
      </c>
      <c r="B9018" s="4" t="str">
        <f>HYPERLINK("https://twitter.com/petrogustavo","@petrogustavo")</f>
        <v>@petrogustavo</v>
      </c>
      <c r="C9018" s="5" t="s">
        <v>16</v>
      </c>
      <c r="D9018" s="5" t="s">
        <v>8680</v>
      </c>
      <c r="E9018" s="6" t="str">
        <f>HYPERLINK("https://twitter.com/petrogustavo/status/1297215184340168704","1297215184340168704")</f>
        <v>1297215184340168704</v>
      </c>
      <c r="F9018" s="7" t="s">
        <v>17</v>
      </c>
      <c r="G9018" s="7">
        <v>3944815</v>
      </c>
      <c r="H9018" s="7">
        <v>2429</v>
      </c>
      <c r="I9018" s="7">
        <v>61</v>
      </c>
      <c r="J9018" s="7">
        <v>0</v>
      </c>
      <c r="K9018" s="7" t="s">
        <v>18</v>
      </c>
      <c r="L9018" s="8">
        <v>39987.315405092595</v>
      </c>
      <c r="M9018" s="9" t="s">
        <v>19</v>
      </c>
      <c r="N9018" s="9" t="s">
        <v>20</v>
      </c>
      <c r="O9018" s="6" t="str">
        <f>HYPERLINK("https://pbs.twimg.com/profile_images/962471262747529216/Uo8lOkRJ_normal.jpg","View")</f>
        <v>View</v>
      </c>
      <c r="P9018" s="7"/>
    </row>
    <row r="9019" spans="1:16">
      <c r="A9019" s="3">
        <v>44065.932650462964</v>
      </c>
      <c r="B9019" s="4" t="str">
        <f>HYPERLINK("https://twitter.com/petrogustavo","@petrogustavo")</f>
        <v>@petrogustavo</v>
      </c>
      <c r="C9019" s="5" t="s">
        <v>16</v>
      </c>
      <c r="D9019" s="5" t="s">
        <v>8681</v>
      </c>
      <c r="E9019" s="6" t="str">
        <f>HYPERLINK("https://twitter.com/petrogustavo/status/1297215209795354625","1297215209795354625")</f>
        <v>1297215209795354625</v>
      </c>
      <c r="F9019" s="7" t="s">
        <v>17</v>
      </c>
      <c r="G9019" s="7">
        <v>3944815</v>
      </c>
      <c r="H9019" s="7">
        <v>2429</v>
      </c>
      <c r="I9019" s="7">
        <v>89</v>
      </c>
      <c r="J9019" s="7">
        <v>0</v>
      </c>
      <c r="K9019" s="7" t="s">
        <v>18</v>
      </c>
      <c r="L9019" s="8">
        <v>39987.315405092595</v>
      </c>
      <c r="M9019" s="9" t="s">
        <v>19</v>
      </c>
      <c r="N9019" s="9" t="s">
        <v>20</v>
      </c>
      <c r="O9019" s="6" t="str">
        <f>HYPERLINK("https://pbs.twimg.com/profile_images/962471262747529216/Uo8lOkRJ_normal.jpg","View")</f>
        <v>View</v>
      </c>
      <c r="P9019" s="7"/>
    </row>
    <row r="9020" spans="1:16">
      <c r="A9020" s="3">
        <v>44065.93277777778</v>
      </c>
      <c r="B9020" s="4" t="str">
        <f>HYPERLINK("https://twitter.com/petrogustavo","@petrogustavo")</f>
        <v>@petrogustavo</v>
      </c>
      <c r="C9020" s="5" t="s">
        <v>16</v>
      </c>
      <c r="D9020" s="5" t="s">
        <v>8682</v>
      </c>
      <c r="E9020" s="6" t="str">
        <f>HYPERLINK("https://twitter.com/petrogustavo/status/1297215255957962753","1297215255957962753")</f>
        <v>1297215255957962753</v>
      </c>
      <c r="F9020" s="7" t="s">
        <v>17</v>
      </c>
      <c r="G9020" s="7">
        <v>3944815</v>
      </c>
      <c r="H9020" s="7">
        <v>2429</v>
      </c>
      <c r="I9020" s="7">
        <v>38</v>
      </c>
      <c r="J9020" s="7">
        <v>0</v>
      </c>
      <c r="K9020" s="7" t="s">
        <v>18</v>
      </c>
      <c r="L9020" s="8">
        <v>39987.315405092595</v>
      </c>
      <c r="M9020" s="9" t="s">
        <v>19</v>
      </c>
      <c r="N9020" s="9" t="s">
        <v>20</v>
      </c>
      <c r="O9020" s="6" t="str">
        <f>HYPERLINK("https://pbs.twimg.com/profile_images/962471262747529216/Uo8lOkRJ_normal.jpg","View")</f>
        <v>View</v>
      </c>
      <c r="P9020" s="7"/>
    </row>
    <row r="9021" spans="1:16">
      <c r="A9021" s="3">
        <v>44065.932812500003</v>
      </c>
      <c r="B9021" s="4" t="str">
        <f>HYPERLINK("https://twitter.com/petrogustavo","@petrogustavo")</f>
        <v>@petrogustavo</v>
      </c>
      <c r="C9021" s="5" t="s">
        <v>16</v>
      </c>
      <c r="D9021" s="5" t="s">
        <v>8683</v>
      </c>
      <c r="E9021" s="6" t="str">
        <f>HYPERLINK("https://twitter.com/petrogustavo/status/1297215267244777472","1297215267244777472")</f>
        <v>1297215267244777472</v>
      </c>
      <c r="F9021" s="7" t="s">
        <v>17</v>
      </c>
      <c r="G9021" s="7">
        <v>3944815</v>
      </c>
      <c r="H9021" s="7">
        <v>2429</v>
      </c>
      <c r="I9021" s="7">
        <v>59</v>
      </c>
      <c r="J9021" s="7">
        <v>0</v>
      </c>
      <c r="K9021" s="7" t="s">
        <v>18</v>
      </c>
      <c r="L9021" s="8">
        <v>39987.315405092595</v>
      </c>
      <c r="M9021" s="9" t="s">
        <v>19</v>
      </c>
      <c r="N9021" s="9" t="s">
        <v>20</v>
      </c>
      <c r="O9021" s="6" t="str">
        <f>HYPERLINK("https://pbs.twimg.com/profile_images/962471262747529216/Uo8lOkRJ_normal.jpg","View")</f>
        <v>View</v>
      </c>
      <c r="P9021" s="7"/>
    </row>
    <row r="9022" spans="1:16">
      <c r="A9022" s="3">
        <v>44065.940185185187</v>
      </c>
      <c r="B9022" s="4" t="str">
        <f>HYPERLINK("https://twitter.com/petrogustavo","@petrogustavo")</f>
        <v>@petrogustavo</v>
      </c>
      <c r="C9022" s="5" t="s">
        <v>16</v>
      </c>
      <c r="D9022" s="5" t="s">
        <v>8684</v>
      </c>
      <c r="E9022" s="6" t="str">
        <f>HYPERLINK("https://twitter.com/petrogustavo/status/1297217941046468614","1297217941046468614")</f>
        <v>1297217941046468614</v>
      </c>
      <c r="F9022" s="7" t="s">
        <v>17</v>
      </c>
      <c r="G9022" s="7">
        <v>3944815</v>
      </c>
      <c r="H9022" s="7">
        <v>2429</v>
      </c>
      <c r="I9022" s="7">
        <v>56</v>
      </c>
      <c r="J9022" s="7">
        <v>0</v>
      </c>
      <c r="K9022" s="7" t="s">
        <v>18</v>
      </c>
      <c r="L9022" s="8">
        <v>39987.315405092595</v>
      </c>
      <c r="M9022" s="9" t="s">
        <v>19</v>
      </c>
      <c r="N9022" s="9" t="s">
        <v>20</v>
      </c>
      <c r="O9022" s="6" t="str">
        <f>HYPERLINK("https://pbs.twimg.com/profile_images/962471262747529216/Uo8lOkRJ_normal.jpg","View")</f>
        <v>View</v>
      </c>
      <c r="P9022" s="7"/>
    </row>
    <row r="9023" spans="1:16">
      <c r="A9023" s="3">
        <v>44065.944513888884</v>
      </c>
      <c r="B9023" s="4" t="str">
        <f>HYPERLINK("https://twitter.com/petrogustavo","@petrogustavo")</f>
        <v>@petrogustavo</v>
      </c>
      <c r="C9023" s="5" t="s">
        <v>16</v>
      </c>
      <c r="D9023" s="4" t="s">
        <v>8685</v>
      </c>
      <c r="E9023" s="6" t="str">
        <f>HYPERLINK("https://twitter.com/petrogustavo/status/1297219506805366785","1297219506805366785")</f>
        <v>1297219506805366785</v>
      </c>
      <c r="F9023" s="7" t="s">
        <v>17</v>
      </c>
      <c r="G9023" s="7">
        <v>3944815</v>
      </c>
      <c r="H9023" s="7">
        <v>2429</v>
      </c>
      <c r="I9023" s="7">
        <v>33</v>
      </c>
      <c r="J9023" s="7">
        <v>74</v>
      </c>
      <c r="K9023" s="7" t="s">
        <v>18</v>
      </c>
      <c r="L9023" s="8">
        <v>39987.315405092595</v>
      </c>
      <c r="M9023" s="9" t="s">
        <v>19</v>
      </c>
      <c r="N9023" s="9" t="s">
        <v>20</v>
      </c>
      <c r="O9023" s="6" t="str">
        <f>HYPERLINK("https://pbs.twimg.com/profile_images/962471262747529216/Uo8lOkRJ_normal.jpg","View")</f>
        <v>View</v>
      </c>
      <c r="P9023" s="7"/>
    </row>
    <row r="9024" spans="1:16">
      <c r="A9024" s="3">
        <v>44065.971296296295</v>
      </c>
      <c r="B9024" s="4" t="str">
        <f>HYPERLINK("https://twitter.com/petrogustavo","@petrogustavo")</f>
        <v>@petrogustavo</v>
      </c>
      <c r="C9024" s="5" t="s">
        <v>16</v>
      </c>
      <c r="D9024" s="5" t="s">
        <v>8686</v>
      </c>
      <c r="E9024" s="6" t="str">
        <f>HYPERLINK("https://twitter.com/petrogustavo/status/1297229211762073602","1297229211762073602")</f>
        <v>1297229211762073602</v>
      </c>
      <c r="F9024" s="7" t="s">
        <v>17</v>
      </c>
      <c r="G9024" s="7">
        <v>3944862</v>
      </c>
      <c r="H9024" s="7">
        <v>2429</v>
      </c>
      <c r="I9024" s="7">
        <v>338</v>
      </c>
      <c r="J9024" s="7">
        <v>0</v>
      </c>
      <c r="K9024" s="7" t="s">
        <v>18</v>
      </c>
      <c r="L9024" s="8">
        <v>39987.315405092595</v>
      </c>
      <c r="M9024" s="9" t="s">
        <v>19</v>
      </c>
      <c r="N9024" s="9" t="s">
        <v>20</v>
      </c>
      <c r="O9024" s="6" t="str">
        <f>HYPERLINK("https://pbs.twimg.com/profile_images/962471262747529216/Uo8lOkRJ_normal.jpg","View")</f>
        <v>View</v>
      </c>
      <c r="P9024" s="7"/>
    </row>
    <row r="9025" spans="1:16">
      <c r="A9025" s="3">
        <v>44065.971990740742</v>
      </c>
      <c r="B9025" s="4" t="str">
        <f>HYPERLINK("https://twitter.com/petrogustavo","@petrogustavo")</f>
        <v>@petrogustavo</v>
      </c>
      <c r="C9025" s="5" t="s">
        <v>16</v>
      </c>
      <c r="D9025" s="5" t="s">
        <v>8687</v>
      </c>
      <c r="E9025" s="6" t="str">
        <f>HYPERLINK("https://twitter.com/petrogustavo/status/1297229464565317637","1297229464565317637")</f>
        <v>1297229464565317637</v>
      </c>
      <c r="F9025" s="7" t="s">
        <v>17</v>
      </c>
      <c r="G9025" s="7">
        <v>3944862</v>
      </c>
      <c r="H9025" s="7">
        <v>2429</v>
      </c>
      <c r="I9025" s="7">
        <v>1640</v>
      </c>
      <c r="J9025" s="7">
        <v>0</v>
      </c>
      <c r="K9025" s="7" t="s">
        <v>18</v>
      </c>
      <c r="L9025" s="8">
        <v>39987.315405092595</v>
      </c>
      <c r="M9025" s="9" t="s">
        <v>19</v>
      </c>
      <c r="N9025" s="9" t="s">
        <v>20</v>
      </c>
      <c r="O9025" s="6" t="str">
        <f>HYPERLINK("https://pbs.twimg.com/profile_images/962471262747529216/Uo8lOkRJ_normal.jpg","View")</f>
        <v>View</v>
      </c>
      <c r="P9025" s="7"/>
    </row>
    <row r="9026" spans="1:16">
      <c r="A9026" s="3">
        <v>44065.982916666668</v>
      </c>
      <c r="B9026" s="4" t="str">
        <f>HYPERLINK("https://twitter.com/petrogustavo","@petrogustavo")</f>
        <v>@petrogustavo</v>
      </c>
      <c r="C9026" s="5" t="s">
        <v>16</v>
      </c>
      <c r="D9026" s="5" t="s">
        <v>8688</v>
      </c>
      <c r="E9026" s="6" t="str">
        <f>HYPERLINK("https://twitter.com/petrogustavo/status/1297233426148466689","1297233426148466689")</f>
        <v>1297233426148466689</v>
      </c>
      <c r="F9026" s="7" t="s">
        <v>17</v>
      </c>
      <c r="G9026" s="7">
        <v>3944862</v>
      </c>
      <c r="H9026" s="7">
        <v>2429</v>
      </c>
      <c r="I9026" s="7">
        <v>197</v>
      </c>
      <c r="J9026" s="7">
        <v>0</v>
      </c>
      <c r="K9026" s="7" t="s">
        <v>18</v>
      </c>
      <c r="L9026" s="8">
        <v>39987.315405092595</v>
      </c>
      <c r="M9026" s="9" t="s">
        <v>19</v>
      </c>
      <c r="N9026" s="9" t="s">
        <v>20</v>
      </c>
      <c r="O9026" s="6" t="str">
        <f>HYPERLINK("https://pbs.twimg.com/profile_images/962471262747529216/Uo8lOkRJ_normal.jpg","View")</f>
        <v>View</v>
      </c>
      <c r="P9026" s="7"/>
    </row>
    <row r="9027" spans="1:16">
      <c r="A9027" s="3">
        <v>44065.983460648145</v>
      </c>
      <c r="B9027" s="4" t="str">
        <f>HYPERLINK("https://twitter.com/petrogustavo","@petrogustavo")</f>
        <v>@petrogustavo</v>
      </c>
      <c r="C9027" s="5" t="s">
        <v>16</v>
      </c>
      <c r="D9027" s="5" t="s">
        <v>8689</v>
      </c>
      <c r="E9027" s="6" t="str">
        <f>HYPERLINK("https://twitter.com/petrogustavo/status/1297233620701085697","1297233620701085697")</f>
        <v>1297233620701085697</v>
      </c>
      <c r="F9027" s="7" t="s">
        <v>17</v>
      </c>
      <c r="G9027" s="7">
        <v>3944862</v>
      </c>
      <c r="H9027" s="7">
        <v>2429</v>
      </c>
      <c r="I9027" s="7">
        <v>235</v>
      </c>
      <c r="J9027" s="7">
        <v>0</v>
      </c>
      <c r="K9027" s="7" t="s">
        <v>18</v>
      </c>
      <c r="L9027" s="8">
        <v>39987.315405092595</v>
      </c>
      <c r="M9027" s="9" t="s">
        <v>19</v>
      </c>
      <c r="N9027" s="9" t="s">
        <v>20</v>
      </c>
      <c r="O9027" s="6" t="str">
        <f>HYPERLINK("https://pbs.twimg.com/profile_images/962471262747529216/Uo8lOkRJ_normal.jpg","View")</f>
        <v>View</v>
      </c>
      <c r="P9027" s="7"/>
    </row>
    <row r="9028" spans="1:16">
      <c r="A9028" s="3">
        <v>44065.983530092592</v>
      </c>
      <c r="B9028" s="4" t="str">
        <f>HYPERLINK("https://twitter.com/petrogustavo","@petrogustavo")</f>
        <v>@petrogustavo</v>
      </c>
      <c r="C9028" s="5" t="s">
        <v>16</v>
      </c>
      <c r="D9028" s="5" t="s">
        <v>8690</v>
      </c>
      <c r="E9028" s="6" t="str">
        <f>HYPERLINK("https://twitter.com/petrogustavo/status/1297233647079235584","1297233647079235584")</f>
        <v>1297233647079235584</v>
      </c>
      <c r="F9028" s="7" t="s">
        <v>17</v>
      </c>
      <c r="G9028" s="7">
        <v>3944862</v>
      </c>
      <c r="H9028" s="7">
        <v>2429</v>
      </c>
      <c r="I9028" s="7">
        <v>163</v>
      </c>
      <c r="J9028" s="7">
        <v>0</v>
      </c>
      <c r="K9028" s="7" t="s">
        <v>18</v>
      </c>
      <c r="L9028" s="8">
        <v>39987.315405092595</v>
      </c>
      <c r="M9028" s="9" t="s">
        <v>19</v>
      </c>
      <c r="N9028" s="9" t="s">
        <v>20</v>
      </c>
      <c r="O9028" s="6" t="str">
        <f>HYPERLINK("https://pbs.twimg.com/profile_images/962471262747529216/Uo8lOkRJ_normal.jpg","View")</f>
        <v>View</v>
      </c>
      <c r="P9028" s="7"/>
    </row>
    <row r="9029" spans="1:16">
      <c r="A9029" s="3">
        <v>44065.986539351856</v>
      </c>
      <c r="B9029" s="4" t="str">
        <f>HYPERLINK("https://twitter.com/petrogustavo","@petrogustavo")</f>
        <v>@petrogustavo</v>
      </c>
      <c r="C9029" s="5" t="s">
        <v>16</v>
      </c>
      <c r="D9029" s="5" t="s">
        <v>8691</v>
      </c>
      <c r="E9029" s="6" t="str">
        <f>HYPERLINK("https://twitter.com/petrogustavo/status/1297234736188985352","1297234736188985352")</f>
        <v>1297234736188985352</v>
      </c>
      <c r="F9029" s="7" t="s">
        <v>17</v>
      </c>
      <c r="G9029" s="7">
        <v>3944862</v>
      </c>
      <c r="H9029" s="7">
        <v>2429</v>
      </c>
      <c r="I9029" s="7">
        <v>107</v>
      </c>
      <c r="J9029" s="7">
        <v>213</v>
      </c>
      <c r="K9029" s="7" t="s">
        <v>18</v>
      </c>
      <c r="L9029" s="8">
        <v>39987.315405092595</v>
      </c>
      <c r="M9029" s="9" t="s">
        <v>19</v>
      </c>
      <c r="N9029" s="9" t="s">
        <v>20</v>
      </c>
      <c r="O9029" s="6" t="str">
        <f>HYPERLINK("https://pbs.twimg.com/profile_images/962471262747529216/Uo8lOkRJ_normal.jpg","View")</f>
        <v>View</v>
      </c>
      <c r="P9029" s="7"/>
    </row>
    <row r="9030" spans="1:16">
      <c r="A9030" s="3">
        <v>44066.027974537035</v>
      </c>
      <c r="B9030" s="4" t="str">
        <f>HYPERLINK("https://twitter.com/petrogustavo","@petrogustavo")</f>
        <v>@petrogustavo</v>
      </c>
      <c r="C9030" s="5" t="s">
        <v>16</v>
      </c>
      <c r="D9030" s="5" t="s">
        <v>8692</v>
      </c>
      <c r="E9030" s="6" t="str">
        <f>HYPERLINK("https://twitter.com/petrogustavo/status/1297249751210102786","1297249751210102786")</f>
        <v>1297249751210102786</v>
      </c>
      <c r="F9030" s="7" t="s">
        <v>17</v>
      </c>
      <c r="G9030" s="7">
        <v>3944908</v>
      </c>
      <c r="H9030" s="7">
        <v>2429</v>
      </c>
      <c r="I9030" s="7">
        <v>44</v>
      </c>
      <c r="J9030" s="7">
        <v>174</v>
      </c>
      <c r="K9030" s="7" t="s">
        <v>18</v>
      </c>
      <c r="L9030" s="8">
        <v>39987.315405092595</v>
      </c>
      <c r="M9030" s="9" t="s">
        <v>19</v>
      </c>
      <c r="N9030" s="9" t="s">
        <v>20</v>
      </c>
      <c r="O9030" s="6" t="str">
        <f>HYPERLINK("https://pbs.twimg.com/profile_images/962471262747529216/Uo8lOkRJ_normal.jpg","View")</f>
        <v>View</v>
      </c>
      <c r="P9030" s="7"/>
    </row>
    <row r="9031" spans="1:16">
      <c r="A9031" s="3">
        <v>44066.038206018522</v>
      </c>
      <c r="B9031" s="4" t="str">
        <f>HYPERLINK("https://twitter.com/petrogustavo","@petrogustavo")</f>
        <v>@petrogustavo</v>
      </c>
      <c r="C9031" s="5" t="s">
        <v>16</v>
      </c>
      <c r="D9031" s="5" t="s">
        <v>8693</v>
      </c>
      <c r="E9031" s="6" t="str">
        <f>HYPERLINK("https://twitter.com/petrogustavo/status/1297253461973774336","1297253461973774336")</f>
        <v>1297253461973774336</v>
      </c>
      <c r="F9031" s="7" t="s">
        <v>17</v>
      </c>
      <c r="G9031" s="7">
        <v>3944935</v>
      </c>
      <c r="H9031" s="7">
        <v>2429</v>
      </c>
      <c r="I9031" s="7">
        <v>842</v>
      </c>
      <c r="J9031" s="7">
        <v>0</v>
      </c>
      <c r="K9031" s="7" t="s">
        <v>18</v>
      </c>
      <c r="L9031" s="8">
        <v>39987.315405092595</v>
      </c>
      <c r="M9031" s="9" t="s">
        <v>19</v>
      </c>
      <c r="N9031" s="9" t="s">
        <v>20</v>
      </c>
      <c r="O9031" s="6" t="str">
        <f>HYPERLINK("https://pbs.twimg.com/profile_images/962471262747529216/Uo8lOkRJ_normal.jpg","View")</f>
        <v>View</v>
      </c>
      <c r="P9031" s="7"/>
    </row>
    <row r="9032" spans="1:16">
      <c r="A9032" s="3">
        <v>44066.041562500002</v>
      </c>
      <c r="B9032" s="4" t="str">
        <f>HYPERLINK("https://twitter.com/petrogustavo","@petrogustavo")</f>
        <v>@petrogustavo</v>
      </c>
      <c r="C9032" s="5" t="s">
        <v>16</v>
      </c>
      <c r="D9032" s="5" t="s">
        <v>8694</v>
      </c>
      <c r="E9032" s="6" t="str">
        <f>HYPERLINK("https://twitter.com/petrogustavo/status/1297254675826212864","1297254675826212864")</f>
        <v>1297254675826212864</v>
      </c>
      <c r="F9032" s="7" t="s">
        <v>17</v>
      </c>
      <c r="G9032" s="7">
        <v>3944935</v>
      </c>
      <c r="H9032" s="7">
        <v>2429</v>
      </c>
      <c r="I9032" s="7">
        <v>229</v>
      </c>
      <c r="J9032" s="7">
        <v>561</v>
      </c>
      <c r="K9032" s="7" t="s">
        <v>18</v>
      </c>
      <c r="L9032" s="8">
        <v>39987.315405092595</v>
      </c>
      <c r="M9032" s="9" t="s">
        <v>19</v>
      </c>
      <c r="N9032" s="9" t="s">
        <v>20</v>
      </c>
      <c r="O9032" s="6" t="str">
        <f>HYPERLINK("https://pbs.twimg.com/profile_images/962471262747529216/Uo8lOkRJ_normal.jpg","View")</f>
        <v>View</v>
      </c>
      <c r="P9032" s="7"/>
    </row>
    <row r="9033" spans="1:16">
      <c r="A9033" s="3">
        <v>44066.043298611112</v>
      </c>
      <c r="B9033" s="4" t="str">
        <f>HYPERLINK("https://twitter.com/petrogustavo","@petrogustavo")</f>
        <v>@petrogustavo</v>
      </c>
      <c r="C9033" s="5" t="s">
        <v>16</v>
      </c>
      <c r="D9033" s="5" t="s">
        <v>8695</v>
      </c>
      <c r="E9033" s="6" t="str">
        <f>HYPERLINK("https://twitter.com/petrogustavo/status/1297255304820916226","1297255304820916226")</f>
        <v>1297255304820916226</v>
      </c>
      <c r="F9033" s="7" t="s">
        <v>17</v>
      </c>
      <c r="G9033" s="7">
        <v>3944935</v>
      </c>
      <c r="H9033" s="7">
        <v>2429</v>
      </c>
      <c r="I9033" s="7">
        <v>26</v>
      </c>
      <c r="J9033" s="7">
        <v>53</v>
      </c>
      <c r="K9033" s="7" t="s">
        <v>18</v>
      </c>
      <c r="L9033" s="8">
        <v>39987.315405092595</v>
      </c>
      <c r="M9033" s="9" t="s">
        <v>19</v>
      </c>
      <c r="N9033" s="9" t="s">
        <v>20</v>
      </c>
      <c r="O9033" s="6" t="str">
        <f>HYPERLINK("https://pbs.twimg.com/profile_images/962471262747529216/Uo8lOkRJ_normal.jpg","View")</f>
        <v>View</v>
      </c>
      <c r="P9033" s="7"/>
    </row>
    <row r="9034" spans="1:16">
      <c r="A9034" s="3">
        <v>44066.045474537037</v>
      </c>
      <c r="B9034" s="4" t="str">
        <f>HYPERLINK("https://twitter.com/petrogustavo","@petrogustavo")</f>
        <v>@petrogustavo</v>
      </c>
      <c r="C9034" s="5" t="s">
        <v>16</v>
      </c>
      <c r="D9034" s="5" t="s">
        <v>8696</v>
      </c>
      <c r="E9034" s="6" t="str">
        <f>HYPERLINK("https://twitter.com/petrogustavo/status/1297256095430344705","1297256095430344705")</f>
        <v>1297256095430344705</v>
      </c>
      <c r="F9034" s="7" t="s">
        <v>17</v>
      </c>
      <c r="G9034" s="7">
        <v>3944935</v>
      </c>
      <c r="H9034" s="7">
        <v>2429</v>
      </c>
      <c r="I9034" s="7">
        <v>73</v>
      </c>
      <c r="J9034" s="7">
        <v>157</v>
      </c>
      <c r="K9034" s="7" t="s">
        <v>18</v>
      </c>
      <c r="L9034" s="8">
        <v>39987.315405092595</v>
      </c>
      <c r="M9034" s="9" t="s">
        <v>19</v>
      </c>
      <c r="N9034" s="9" t="s">
        <v>20</v>
      </c>
      <c r="O9034" s="6" t="str">
        <f>HYPERLINK("https://pbs.twimg.com/profile_images/962471262747529216/Uo8lOkRJ_normal.jpg","View")</f>
        <v>View</v>
      </c>
      <c r="P9034" s="7"/>
    </row>
    <row r="9035" spans="1:16">
      <c r="A9035" s="3">
        <v>44066.045995370368</v>
      </c>
      <c r="B9035" s="4" t="str">
        <f>HYPERLINK("https://twitter.com/petrogustavo","@petrogustavo")</f>
        <v>@petrogustavo</v>
      </c>
      <c r="C9035" s="5" t="s">
        <v>16</v>
      </c>
      <c r="D9035" s="5" t="s">
        <v>8697</v>
      </c>
      <c r="E9035" s="6" t="str">
        <f>HYPERLINK("https://twitter.com/petrogustavo/status/1297256283205230592","1297256283205230592")</f>
        <v>1297256283205230592</v>
      </c>
      <c r="F9035" s="7" t="s">
        <v>17</v>
      </c>
      <c r="G9035" s="7">
        <v>3944935</v>
      </c>
      <c r="H9035" s="7">
        <v>2429</v>
      </c>
      <c r="I9035" s="7">
        <v>667</v>
      </c>
      <c r="J9035" s="7">
        <v>0</v>
      </c>
      <c r="K9035" s="7" t="s">
        <v>18</v>
      </c>
      <c r="L9035" s="8">
        <v>39987.315405092595</v>
      </c>
      <c r="M9035" s="9" t="s">
        <v>19</v>
      </c>
      <c r="N9035" s="9" t="s">
        <v>20</v>
      </c>
      <c r="O9035" s="6" t="str">
        <f>HYPERLINK("https://pbs.twimg.com/profile_images/962471262747529216/Uo8lOkRJ_normal.jpg","View")</f>
        <v>View</v>
      </c>
      <c r="P9035" s="7"/>
    </row>
    <row r="9036" spans="1:16">
      <c r="A9036" s="3">
        <v>44066.070057870369</v>
      </c>
      <c r="B9036" s="4" t="str">
        <f>HYPERLINK("https://twitter.com/petrogustavo","@petrogustavo")</f>
        <v>@petrogustavo</v>
      </c>
      <c r="C9036" s="5" t="s">
        <v>16</v>
      </c>
      <c r="D9036" s="5" t="s">
        <v>8698</v>
      </c>
      <c r="E9036" s="6" t="str">
        <f>HYPERLINK("https://twitter.com/petrogustavo/status/1297265004111106050","1297265004111106050")</f>
        <v>1297265004111106050</v>
      </c>
      <c r="F9036" s="7" t="s">
        <v>32</v>
      </c>
      <c r="G9036" s="7">
        <v>3944968</v>
      </c>
      <c r="H9036" s="7">
        <v>2430</v>
      </c>
      <c r="I9036" s="7">
        <v>153</v>
      </c>
      <c r="J9036" s="7">
        <v>406</v>
      </c>
      <c r="K9036" s="7" t="s">
        <v>18</v>
      </c>
      <c r="L9036" s="8">
        <v>39987.315405092595</v>
      </c>
      <c r="M9036" s="9" t="s">
        <v>19</v>
      </c>
      <c r="N9036" s="9" t="s">
        <v>20</v>
      </c>
      <c r="O9036" s="6" t="str">
        <f>HYPERLINK("https://pbs.twimg.com/profile_images/962471262747529216/Uo8lOkRJ_normal.jpg","View")</f>
        <v>View</v>
      </c>
      <c r="P9036" s="7"/>
    </row>
    <row r="9037" spans="1:16">
      <c r="A9037" s="3">
        <v>44066.076712962968</v>
      </c>
      <c r="B9037" s="4" t="str">
        <f>HYPERLINK("https://twitter.com/petrogustavo","@petrogustavo")</f>
        <v>@petrogustavo</v>
      </c>
      <c r="C9037" s="5" t="s">
        <v>16</v>
      </c>
      <c r="D9037" s="5" t="s">
        <v>8699</v>
      </c>
      <c r="E9037" s="6" t="str">
        <f>HYPERLINK("https://twitter.com/petrogustavo/status/1297267413109612553","1297267413109612553")</f>
        <v>1297267413109612553</v>
      </c>
      <c r="F9037" s="7" t="s">
        <v>32</v>
      </c>
      <c r="G9037" s="7">
        <v>3944994</v>
      </c>
      <c r="H9037" s="7">
        <v>2430</v>
      </c>
      <c r="I9037" s="7">
        <v>235</v>
      </c>
      <c r="J9037" s="7">
        <v>625</v>
      </c>
      <c r="K9037" s="7" t="s">
        <v>18</v>
      </c>
      <c r="L9037" s="8">
        <v>39987.315405092595</v>
      </c>
      <c r="M9037" s="9" t="s">
        <v>19</v>
      </c>
      <c r="N9037" s="9" t="s">
        <v>20</v>
      </c>
      <c r="O9037" s="6" t="str">
        <f>HYPERLINK("https://pbs.twimg.com/profile_images/962471262747529216/Uo8lOkRJ_normal.jpg","View")</f>
        <v>View</v>
      </c>
      <c r="P9037" s="7"/>
    </row>
    <row r="9038" spans="1:16">
      <c r="A9038" s="3">
        <v>44066.077731481477</v>
      </c>
      <c r="B9038" s="4" t="str">
        <f>HYPERLINK("https://twitter.com/petrogustavo","@petrogustavo")</f>
        <v>@petrogustavo</v>
      </c>
      <c r="C9038" s="5" t="s">
        <v>16</v>
      </c>
      <c r="D9038" s="5" t="s">
        <v>8700</v>
      </c>
      <c r="E9038" s="6" t="str">
        <f>HYPERLINK("https://twitter.com/petrogustavo/status/1297267786192957444","1297267786192957444")</f>
        <v>1297267786192957444</v>
      </c>
      <c r="F9038" s="7" t="s">
        <v>32</v>
      </c>
      <c r="G9038" s="7">
        <v>3944994</v>
      </c>
      <c r="H9038" s="7">
        <v>2430</v>
      </c>
      <c r="I9038" s="7">
        <v>53</v>
      </c>
      <c r="J9038" s="7">
        <v>0</v>
      </c>
      <c r="K9038" s="7" t="s">
        <v>18</v>
      </c>
      <c r="L9038" s="8">
        <v>39987.315405092595</v>
      </c>
      <c r="M9038" s="9" t="s">
        <v>19</v>
      </c>
      <c r="N9038" s="9" t="s">
        <v>20</v>
      </c>
      <c r="O9038" s="6" t="str">
        <f>HYPERLINK("https://pbs.twimg.com/profile_images/962471262747529216/Uo8lOkRJ_normal.jpg","View")</f>
        <v>View</v>
      </c>
      <c r="P9038" s="7"/>
    </row>
    <row r="9039" spans="1:16">
      <c r="A9039" s="3">
        <v>44066.082083333335</v>
      </c>
      <c r="B9039" s="4" t="str">
        <f>HYPERLINK("https://twitter.com/petrogustavo","@petrogustavo")</f>
        <v>@petrogustavo</v>
      </c>
      <c r="C9039" s="5" t="s">
        <v>16</v>
      </c>
      <c r="D9039" s="5" t="s">
        <v>8701</v>
      </c>
      <c r="E9039" s="6" t="str">
        <f>HYPERLINK("https://twitter.com/petrogustavo/status/1297269362110468098","1297269362110468098")</f>
        <v>1297269362110468098</v>
      </c>
      <c r="F9039" s="7" t="s">
        <v>32</v>
      </c>
      <c r="G9039" s="7">
        <v>3944994</v>
      </c>
      <c r="H9039" s="7">
        <v>2430</v>
      </c>
      <c r="I9039" s="7">
        <v>164</v>
      </c>
      <c r="J9039" s="7">
        <v>397</v>
      </c>
      <c r="K9039" s="7" t="s">
        <v>18</v>
      </c>
      <c r="L9039" s="8">
        <v>39987.315405092595</v>
      </c>
      <c r="M9039" s="9" t="s">
        <v>19</v>
      </c>
      <c r="N9039" s="9" t="s">
        <v>20</v>
      </c>
      <c r="O9039" s="6" t="str">
        <f>HYPERLINK("https://pbs.twimg.com/profile_images/962471262747529216/Uo8lOkRJ_normal.jpg","View")</f>
        <v>View</v>
      </c>
      <c r="P9039" s="7"/>
    </row>
    <row r="9040" spans="1:16">
      <c r="A9040" s="3">
        <v>44066.12431712963</v>
      </c>
      <c r="B9040" s="4" t="str">
        <f>HYPERLINK("https://twitter.com/petrogustavo","@petrogustavo")</f>
        <v>@petrogustavo</v>
      </c>
      <c r="C9040" s="5" t="s">
        <v>16</v>
      </c>
      <c r="D9040" s="5" t="s">
        <v>8697</v>
      </c>
      <c r="E9040" s="6" t="str">
        <f>HYPERLINK("https://twitter.com/petrogustavo/status/1297284667423576070","1297284667423576070")</f>
        <v>1297284667423576070</v>
      </c>
      <c r="F9040" s="7" t="s">
        <v>32</v>
      </c>
      <c r="G9040" s="7">
        <v>3945057</v>
      </c>
      <c r="H9040" s="7">
        <v>2430</v>
      </c>
      <c r="I9040" s="7">
        <v>970</v>
      </c>
      <c r="J9040" s="7">
        <v>0</v>
      </c>
      <c r="K9040" s="7" t="s">
        <v>18</v>
      </c>
      <c r="L9040" s="8">
        <v>39987.315405092595</v>
      </c>
      <c r="M9040" s="9" t="s">
        <v>19</v>
      </c>
      <c r="N9040" s="9" t="s">
        <v>20</v>
      </c>
      <c r="O9040" s="6" t="str">
        <f>HYPERLINK("https://pbs.twimg.com/profile_images/962471262747529216/Uo8lOkRJ_normal.jpg","View")</f>
        <v>View</v>
      </c>
      <c r="P9040" s="7"/>
    </row>
    <row r="9041" spans="1:16">
      <c r="A9041" s="3">
        <v>44066.183287037042</v>
      </c>
      <c r="B9041" s="4" t="str">
        <f>HYPERLINK("https://twitter.com/petrogustavo","@petrogustavo")</f>
        <v>@petrogustavo</v>
      </c>
      <c r="C9041" s="5" t="s">
        <v>16</v>
      </c>
      <c r="D9041" s="5" t="s">
        <v>8697</v>
      </c>
      <c r="E9041" s="6" t="str">
        <f>HYPERLINK("https://twitter.com/petrogustavo/status/1297306035259166720","1297306035259166720")</f>
        <v>1297306035259166720</v>
      </c>
      <c r="F9041" s="7" t="s">
        <v>32</v>
      </c>
      <c r="G9041" s="7">
        <v>3945131</v>
      </c>
      <c r="H9041" s="7">
        <v>2429</v>
      </c>
      <c r="I9041" s="7">
        <v>1131</v>
      </c>
      <c r="J9041" s="7">
        <v>0</v>
      </c>
      <c r="K9041" s="7" t="s">
        <v>18</v>
      </c>
      <c r="L9041" s="8">
        <v>39987.315405092595</v>
      </c>
      <c r="M9041" s="9" t="s">
        <v>19</v>
      </c>
      <c r="N9041" s="9" t="s">
        <v>20</v>
      </c>
      <c r="O9041" s="6" t="str">
        <f>HYPERLINK("https://pbs.twimg.com/profile_images/962471262747529216/Uo8lOkRJ_normal.jpg","View")</f>
        <v>View</v>
      </c>
      <c r="P9041" s="7"/>
    </row>
    <row r="9042" spans="1:16">
      <c r="A9042" s="3">
        <v>44066.198483796295</v>
      </c>
      <c r="B9042" s="4" t="str">
        <f>HYPERLINK("https://twitter.com/petrogustavo","@petrogustavo")</f>
        <v>@petrogustavo</v>
      </c>
      <c r="C9042" s="5" t="s">
        <v>16</v>
      </c>
      <c r="D9042" s="5" t="s">
        <v>8702</v>
      </c>
      <c r="E9042" s="6" t="str">
        <f>HYPERLINK("https://twitter.com/petrogustavo/status/1297311544477462529","1297311544477462529")</f>
        <v>1297311544477462529</v>
      </c>
      <c r="F9042" s="7" t="s">
        <v>32</v>
      </c>
      <c r="G9042" s="7">
        <v>3945131</v>
      </c>
      <c r="H9042" s="7">
        <v>2429</v>
      </c>
      <c r="I9042" s="7">
        <v>15</v>
      </c>
      <c r="J9042" s="7">
        <v>67</v>
      </c>
      <c r="K9042" s="7" t="s">
        <v>18</v>
      </c>
      <c r="L9042" s="8">
        <v>39987.315405092595</v>
      </c>
      <c r="M9042" s="9" t="s">
        <v>19</v>
      </c>
      <c r="N9042" s="9" t="s">
        <v>20</v>
      </c>
      <c r="O9042" s="6" t="str">
        <f>HYPERLINK("https://pbs.twimg.com/profile_images/962471262747529216/Uo8lOkRJ_normal.jpg","View")</f>
        <v>View</v>
      </c>
      <c r="P9042" s="7"/>
    </row>
    <row r="9043" spans="1:16">
      <c r="A9043" s="3">
        <v>44066.253263888888</v>
      </c>
      <c r="B9043" s="4" t="str">
        <f>HYPERLINK("https://twitter.com/petrogustavo","@petrogustavo")</f>
        <v>@petrogustavo</v>
      </c>
      <c r="C9043" s="5" t="s">
        <v>16</v>
      </c>
      <c r="D9043" s="5" t="s">
        <v>8703</v>
      </c>
      <c r="E9043" s="6" t="str">
        <f>HYPERLINK("https://twitter.com/petrogustavo/status/1297331394591502338","1297331394591502338")</f>
        <v>1297331394591502338</v>
      </c>
      <c r="F9043" s="7" t="s">
        <v>32</v>
      </c>
      <c r="G9043" s="7">
        <v>3945209</v>
      </c>
      <c r="H9043" s="7">
        <v>2429</v>
      </c>
      <c r="I9043" s="7">
        <v>51</v>
      </c>
      <c r="J9043" s="7">
        <v>0</v>
      </c>
      <c r="K9043" s="7" t="s">
        <v>18</v>
      </c>
      <c r="L9043" s="8">
        <v>39987.315405092595</v>
      </c>
      <c r="M9043" s="9" t="s">
        <v>19</v>
      </c>
      <c r="N9043" s="9" t="s">
        <v>20</v>
      </c>
      <c r="O9043" s="6" t="str">
        <f>HYPERLINK("https://pbs.twimg.com/profile_images/962471262747529216/Uo8lOkRJ_normal.jpg","View")</f>
        <v>View</v>
      </c>
      <c r="P9043" s="7"/>
    </row>
    <row r="9044" spans="1:16">
      <c r="A9044" s="3">
        <v>44066.253912037035</v>
      </c>
      <c r="B9044" s="4" t="str">
        <f>HYPERLINK("https://twitter.com/petrogustavo","@petrogustavo")</f>
        <v>@petrogustavo</v>
      </c>
      <c r="C9044" s="5" t="s">
        <v>16</v>
      </c>
      <c r="D9044" s="5" t="s">
        <v>8704</v>
      </c>
      <c r="E9044" s="6" t="str">
        <f>HYPERLINK("https://twitter.com/petrogustavo/status/1297331631099871234","1297331631099871234")</f>
        <v>1297331631099871234</v>
      </c>
      <c r="F9044" s="7" t="s">
        <v>32</v>
      </c>
      <c r="G9044" s="7">
        <v>3945209</v>
      </c>
      <c r="H9044" s="7">
        <v>2429</v>
      </c>
      <c r="I9044" s="7">
        <v>90</v>
      </c>
      <c r="J9044" s="7">
        <v>0</v>
      </c>
      <c r="K9044" s="7" t="s">
        <v>18</v>
      </c>
      <c r="L9044" s="8">
        <v>39987.315405092595</v>
      </c>
      <c r="M9044" s="9" t="s">
        <v>19</v>
      </c>
      <c r="N9044" s="9" t="s">
        <v>20</v>
      </c>
      <c r="O9044" s="6" t="str">
        <f>HYPERLINK("https://pbs.twimg.com/profile_images/962471262747529216/Uo8lOkRJ_normal.jpg","View")</f>
        <v>View</v>
      </c>
      <c r="P9044" s="7"/>
    </row>
    <row r="9045" spans="1:16">
      <c r="A9045" s="3">
        <v>44066.254050925927</v>
      </c>
      <c r="B9045" s="4" t="str">
        <f>HYPERLINK("https://twitter.com/petrogustavo","@petrogustavo")</f>
        <v>@petrogustavo</v>
      </c>
      <c r="C9045" s="5" t="s">
        <v>16</v>
      </c>
      <c r="D9045" s="5" t="s">
        <v>8705</v>
      </c>
      <c r="E9045" s="6" t="str">
        <f>HYPERLINK("https://twitter.com/petrogustavo/status/1297331679678402566","1297331679678402566")</f>
        <v>1297331679678402566</v>
      </c>
      <c r="F9045" s="7" t="s">
        <v>32</v>
      </c>
      <c r="G9045" s="7">
        <v>3945209</v>
      </c>
      <c r="H9045" s="7">
        <v>2429</v>
      </c>
      <c r="I9045" s="7">
        <v>61</v>
      </c>
      <c r="J9045" s="7">
        <v>0</v>
      </c>
      <c r="K9045" s="7" t="s">
        <v>18</v>
      </c>
      <c r="L9045" s="8">
        <v>39987.315405092595</v>
      </c>
      <c r="M9045" s="9" t="s">
        <v>19</v>
      </c>
      <c r="N9045" s="9" t="s">
        <v>20</v>
      </c>
      <c r="O9045" s="6" t="str">
        <f>HYPERLINK("https://pbs.twimg.com/profile_images/962471262747529216/Uo8lOkRJ_normal.jpg","View")</f>
        <v>View</v>
      </c>
      <c r="P9045" s="7"/>
    </row>
    <row r="9046" spans="1:16">
      <c r="A9046" s="3">
        <v>44066.254178240742</v>
      </c>
      <c r="B9046" s="4" t="str">
        <f>HYPERLINK("https://twitter.com/petrogustavo","@petrogustavo")</f>
        <v>@petrogustavo</v>
      </c>
      <c r="C9046" s="5" t="s">
        <v>16</v>
      </c>
      <c r="D9046" s="5" t="s">
        <v>8706</v>
      </c>
      <c r="E9046" s="6" t="str">
        <f>HYPERLINK("https://twitter.com/petrogustavo/status/1297331724427329543","1297331724427329543")</f>
        <v>1297331724427329543</v>
      </c>
      <c r="F9046" s="7" t="s">
        <v>32</v>
      </c>
      <c r="G9046" s="7">
        <v>3945209</v>
      </c>
      <c r="H9046" s="7">
        <v>2429</v>
      </c>
      <c r="I9046" s="7">
        <v>45</v>
      </c>
      <c r="J9046" s="7">
        <v>0</v>
      </c>
      <c r="K9046" s="7" t="s">
        <v>18</v>
      </c>
      <c r="L9046" s="8">
        <v>39987.315405092595</v>
      </c>
      <c r="M9046" s="9" t="s">
        <v>19</v>
      </c>
      <c r="N9046" s="9" t="s">
        <v>20</v>
      </c>
      <c r="O9046" s="6" t="str">
        <f>HYPERLINK("https://pbs.twimg.com/profile_images/962471262747529216/Uo8lOkRJ_normal.jpg","View")</f>
        <v>View</v>
      </c>
      <c r="P9046" s="7"/>
    </row>
    <row r="9047" spans="1:16">
      <c r="A9047" s="3">
        <v>44066.254270833335</v>
      </c>
      <c r="B9047" s="4" t="str">
        <f>HYPERLINK("https://twitter.com/petrogustavo","@petrogustavo")</f>
        <v>@petrogustavo</v>
      </c>
      <c r="C9047" s="5" t="s">
        <v>16</v>
      </c>
      <c r="D9047" s="5" t="s">
        <v>8707</v>
      </c>
      <c r="E9047" s="6" t="str">
        <f>HYPERLINK("https://twitter.com/petrogustavo/status/1297331758199967744","1297331758199967744")</f>
        <v>1297331758199967744</v>
      </c>
      <c r="F9047" s="7" t="s">
        <v>32</v>
      </c>
      <c r="G9047" s="7">
        <v>3945209</v>
      </c>
      <c r="H9047" s="7">
        <v>2429</v>
      </c>
      <c r="I9047" s="7">
        <v>133</v>
      </c>
      <c r="J9047" s="7">
        <v>0</v>
      </c>
      <c r="K9047" s="7" t="s">
        <v>18</v>
      </c>
      <c r="L9047" s="8">
        <v>39987.315405092595</v>
      </c>
      <c r="M9047" s="9" t="s">
        <v>19</v>
      </c>
      <c r="N9047" s="9" t="s">
        <v>20</v>
      </c>
      <c r="O9047" s="6" t="str">
        <f>HYPERLINK("https://pbs.twimg.com/profile_images/962471262747529216/Uo8lOkRJ_normal.jpg","View")</f>
        <v>View</v>
      </c>
      <c r="P9047" s="7"/>
    </row>
    <row r="9048" spans="1:16">
      <c r="A9048" s="3">
        <v>44066.254386574074</v>
      </c>
      <c r="B9048" s="4" t="str">
        <f>HYPERLINK("https://twitter.com/petrogustavo","@petrogustavo")</f>
        <v>@petrogustavo</v>
      </c>
      <c r="C9048" s="5" t="s">
        <v>16</v>
      </c>
      <c r="D9048" s="5" t="s">
        <v>8708</v>
      </c>
      <c r="E9048" s="6" t="str">
        <f>HYPERLINK("https://twitter.com/petrogustavo/status/1297331800411377666","1297331800411377666")</f>
        <v>1297331800411377666</v>
      </c>
      <c r="F9048" s="7" t="s">
        <v>32</v>
      </c>
      <c r="G9048" s="7">
        <v>3945209</v>
      </c>
      <c r="H9048" s="7">
        <v>2429</v>
      </c>
      <c r="I9048" s="7">
        <v>84</v>
      </c>
      <c r="J9048" s="7">
        <v>0</v>
      </c>
      <c r="K9048" s="7" t="s">
        <v>18</v>
      </c>
      <c r="L9048" s="8">
        <v>39987.315405092595</v>
      </c>
      <c r="M9048" s="9" t="s">
        <v>19</v>
      </c>
      <c r="N9048" s="9" t="s">
        <v>20</v>
      </c>
      <c r="O9048" s="6" t="str">
        <f>HYPERLINK("https://pbs.twimg.com/profile_images/962471262747529216/Uo8lOkRJ_normal.jpg","View")</f>
        <v>View</v>
      </c>
      <c r="P9048" s="7"/>
    </row>
    <row r="9049" spans="1:16">
      <c r="A9049" s="3">
        <v>44066.254513888889</v>
      </c>
      <c r="B9049" s="4" t="str">
        <f>HYPERLINK("https://twitter.com/petrogustavo","@petrogustavo")</f>
        <v>@petrogustavo</v>
      </c>
      <c r="C9049" s="5" t="s">
        <v>16</v>
      </c>
      <c r="D9049" s="5" t="s">
        <v>8709</v>
      </c>
      <c r="E9049" s="6" t="str">
        <f>HYPERLINK("https://twitter.com/petrogustavo/status/1297331846917828613","1297331846917828613")</f>
        <v>1297331846917828613</v>
      </c>
      <c r="F9049" s="7" t="s">
        <v>32</v>
      </c>
      <c r="G9049" s="7">
        <v>3945209</v>
      </c>
      <c r="H9049" s="7">
        <v>2429</v>
      </c>
      <c r="I9049" s="7">
        <v>133</v>
      </c>
      <c r="J9049" s="7">
        <v>0</v>
      </c>
      <c r="K9049" s="7" t="s">
        <v>18</v>
      </c>
      <c r="L9049" s="8">
        <v>39987.315405092595</v>
      </c>
      <c r="M9049" s="9" t="s">
        <v>19</v>
      </c>
      <c r="N9049" s="9" t="s">
        <v>20</v>
      </c>
      <c r="O9049" s="6" t="str">
        <f>HYPERLINK("https://pbs.twimg.com/profile_images/962471262747529216/Uo8lOkRJ_normal.jpg","View")</f>
        <v>View</v>
      </c>
      <c r="P9049" s="7"/>
    </row>
    <row r="9050" spans="1:16">
      <c r="A9050" s="3">
        <v>44066.254629629635</v>
      </c>
      <c r="B9050" s="4" t="str">
        <f>HYPERLINK("https://twitter.com/petrogustavo","@petrogustavo")</f>
        <v>@petrogustavo</v>
      </c>
      <c r="C9050" s="5" t="s">
        <v>16</v>
      </c>
      <c r="D9050" s="5" t="s">
        <v>8710</v>
      </c>
      <c r="E9050" s="6" t="str">
        <f>HYPERLINK("https://twitter.com/petrogustavo/status/1297331888810610688","1297331888810610688")</f>
        <v>1297331888810610688</v>
      </c>
      <c r="F9050" s="7" t="s">
        <v>32</v>
      </c>
      <c r="G9050" s="7">
        <v>3945209</v>
      </c>
      <c r="H9050" s="7">
        <v>2429</v>
      </c>
      <c r="I9050" s="7">
        <v>117</v>
      </c>
      <c r="J9050" s="7">
        <v>0</v>
      </c>
      <c r="K9050" s="7" t="s">
        <v>18</v>
      </c>
      <c r="L9050" s="8">
        <v>39987.315405092595</v>
      </c>
      <c r="M9050" s="9" t="s">
        <v>19</v>
      </c>
      <c r="N9050" s="9" t="s">
        <v>20</v>
      </c>
      <c r="O9050" s="6" t="str">
        <f>HYPERLINK("https://pbs.twimg.com/profile_images/962471262747529216/Uo8lOkRJ_normal.jpg","View")</f>
        <v>View</v>
      </c>
      <c r="P9050" s="7"/>
    </row>
    <row r="9051" spans="1:16">
      <c r="A9051" s="3">
        <v>44066.254699074074</v>
      </c>
      <c r="B9051" s="4" t="str">
        <f>HYPERLINK("https://twitter.com/petrogustavo","@petrogustavo")</f>
        <v>@petrogustavo</v>
      </c>
      <c r="C9051" s="5" t="s">
        <v>16</v>
      </c>
      <c r="D9051" s="5" t="s">
        <v>8711</v>
      </c>
      <c r="E9051" s="6" t="str">
        <f>HYPERLINK("https://twitter.com/petrogustavo/status/1297331916140617735","1297331916140617735")</f>
        <v>1297331916140617735</v>
      </c>
      <c r="F9051" s="7" t="s">
        <v>32</v>
      </c>
      <c r="G9051" s="7">
        <v>3945209</v>
      </c>
      <c r="H9051" s="7">
        <v>2429</v>
      </c>
      <c r="I9051" s="7">
        <v>38</v>
      </c>
      <c r="J9051" s="7">
        <v>0</v>
      </c>
      <c r="K9051" s="7" t="s">
        <v>18</v>
      </c>
      <c r="L9051" s="8">
        <v>39987.315405092595</v>
      </c>
      <c r="M9051" s="9" t="s">
        <v>19</v>
      </c>
      <c r="N9051" s="9" t="s">
        <v>20</v>
      </c>
      <c r="O9051" s="6" t="str">
        <f>HYPERLINK("https://pbs.twimg.com/profile_images/962471262747529216/Uo8lOkRJ_normal.jpg","View")</f>
        <v>View</v>
      </c>
      <c r="P9051" s="7"/>
    </row>
    <row r="9052" spans="1:16">
      <c r="A9052" s="3">
        <v>44066.255185185189</v>
      </c>
      <c r="B9052" s="4" t="str">
        <f>HYPERLINK("https://twitter.com/petrogustavo","@petrogustavo")</f>
        <v>@petrogustavo</v>
      </c>
      <c r="C9052" s="5" t="s">
        <v>16</v>
      </c>
      <c r="D9052" s="5" t="s">
        <v>8712</v>
      </c>
      <c r="E9052" s="6" t="str">
        <f>HYPERLINK("https://twitter.com/petrogustavo/status/1297332089713565697","1297332089713565697")</f>
        <v>1297332089713565697</v>
      </c>
      <c r="F9052" s="7" t="s">
        <v>32</v>
      </c>
      <c r="G9052" s="7">
        <v>3945209</v>
      </c>
      <c r="H9052" s="7">
        <v>2429</v>
      </c>
      <c r="I9052" s="7">
        <v>101</v>
      </c>
      <c r="J9052" s="7">
        <v>0</v>
      </c>
      <c r="K9052" s="7" t="s">
        <v>18</v>
      </c>
      <c r="L9052" s="8">
        <v>39987.315405092595</v>
      </c>
      <c r="M9052" s="9" t="s">
        <v>19</v>
      </c>
      <c r="N9052" s="9" t="s">
        <v>20</v>
      </c>
      <c r="O9052" s="6" t="str">
        <f>HYPERLINK("https://pbs.twimg.com/profile_images/962471262747529216/Uo8lOkRJ_normal.jpg","View")</f>
        <v>View</v>
      </c>
      <c r="P9052" s="7"/>
    </row>
    <row r="9053" spans="1:16">
      <c r="A9053" s="3">
        <v>44066.255324074074</v>
      </c>
      <c r="B9053" s="4" t="str">
        <f>HYPERLINK("https://twitter.com/petrogustavo","@petrogustavo")</f>
        <v>@petrogustavo</v>
      </c>
      <c r="C9053" s="5" t="s">
        <v>16</v>
      </c>
      <c r="D9053" s="5" t="s">
        <v>8713</v>
      </c>
      <c r="E9053" s="6" t="str">
        <f>HYPERLINK("https://twitter.com/petrogustavo/status/1297332142842707971","1297332142842707971")</f>
        <v>1297332142842707971</v>
      </c>
      <c r="F9053" s="7" t="s">
        <v>32</v>
      </c>
      <c r="G9053" s="7">
        <v>3945209</v>
      </c>
      <c r="H9053" s="7">
        <v>2429</v>
      </c>
      <c r="I9053" s="7">
        <v>91</v>
      </c>
      <c r="J9053" s="7">
        <v>0</v>
      </c>
      <c r="K9053" s="7" t="s">
        <v>18</v>
      </c>
      <c r="L9053" s="8">
        <v>39987.315405092595</v>
      </c>
      <c r="M9053" s="9" t="s">
        <v>19</v>
      </c>
      <c r="N9053" s="9" t="s">
        <v>20</v>
      </c>
      <c r="O9053" s="6" t="str">
        <f>HYPERLINK("https://pbs.twimg.com/profile_images/962471262747529216/Uo8lOkRJ_normal.jpg","View")</f>
        <v>View</v>
      </c>
      <c r="P9053" s="7"/>
    </row>
    <row r="9054" spans="1:16">
      <c r="A9054" s="3">
        <v>44066.255520833336</v>
      </c>
      <c r="B9054" s="4" t="str">
        <f>HYPERLINK("https://twitter.com/petrogustavo","@petrogustavo")</f>
        <v>@petrogustavo</v>
      </c>
      <c r="C9054" s="5" t="s">
        <v>16</v>
      </c>
      <c r="D9054" s="5" t="s">
        <v>8714</v>
      </c>
      <c r="E9054" s="6" t="str">
        <f>HYPERLINK("https://twitter.com/petrogustavo/status/1297332211893624838","1297332211893624838")</f>
        <v>1297332211893624838</v>
      </c>
      <c r="F9054" s="7" t="s">
        <v>32</v>
      </c>
      <c r="G9054" s="7">
        <v>3945209</v>
      </c>
      <c r="H9054" s="7">
        <v>2429</v>
      </c>
      <c r="I9054" s="7">
        <v>155</v>
      </c>
      <c r="J9054" s="7">
        <v>0</v>
      </c>
      <c r="K9054" s="7" t="s">
        <v>18</v>
      </c>
      <c r="L9054" s="8">
        <v>39987.315405092595</v>
      </c>
      <c r="M9054" s="9" t="s">
        <v>19</v>
      </c>
      <c r="N9054" s="9" t="s">
        <v>20</v>
      </c>
      <c r="O9054" s="6" t="str">
        <f>HYPERLINK("https://pbs.twimg.com/profile_images/962471262747529216/Uo8lOkRJ_normal.jpg","View")</f>
        <v>View</v>
      </c>
      <c r="P9054" s="7"/>
    </row>
    <row r="9055" spans="1:16">
      <c r="A9055" s="3">
        <v>44066.256192129629</v>
      </c>
      <c r="B9055" s="4" t="str">
        <f>HYPERLINK("https://twitter.com/petrogustavo","@petrogustavo")</f>
        <v>@petrogustavo</v>
      </c>
      <c r="C9055" s="5" t="s">
        <v>16</v>
      </c>
      <c r="D9055" s="5" t="s">
        <v>8715</v>
      </c>
      <c r="E9055" s="6" t="str">
        <f>HYPERLINK("https://twitter.com/petrogustavo/status/1297332455825969161","1297332455825969161")</f>
        <v>1297332455825969161</v>
      </c>
      <c r="F9055" s="7" t="s">
        <v>32</v>
      </c>
      <c r="G9055" s="7">
        <v>3945209</v>
      </c>
      <c r="H9055" s="7">
        <v>2429</v>
      </c>
      <c r="I9055" s="7">
        <v>66</v>
      </c>
      <c r="J9055" s="7">
        <v>0</v>
      </c>
      <c r="K9055" s="7" t="s">
        <v>18</v>
      </c>
      <c r="L9055" s="8">
        <v>39987.315405092595</v>
      </c>
      <c r="M9055" s="9" t="s">
        <v>19</v>
      </c>
      <c r="N9055" s="9" t="s">
        <v>20</v>
      </c>
      <c r="O9055" s="6" t="str">
        <f>HYPERLINK("https://pbs.twimg.com/profile_images/962471262747529216/Uo8lOkRJ_normal.jpg","View")</f>
        <v>View</v>
      </c>
      <c r="P9055" s="7"/>
    </row>
    <row r="9056" spans="1:16">
      <c r="A9056" s="3">
        <v>44066.261678240742</v>
      </c>
      <c r="B9056" s="4" t="str">
        <f>HYPERLINK("https://twitter.com/petrogustavo","@petrogustavo")</f>
        <v>@petrogustavo</v>
      </c>
      <c r="C9056" s="5" t="s">
        <v>16</v>
      </c>
      <c r="D9056" s="5" t="s">
        <v>8716</v>
      </c>
      <c r="E9056" s="6" t="str">
        <f>HYPERLINK("https://twitter.com/petrogustavo/status/1297334446081925120","1297334446081925120")</f>
        <v>1297334446081925120</v>
      </c>
      <c r="F9056" s="7" t="s">
        <v>32</v>
      </c>
      <c r="G9056" s="7">
        <v>3945209</v>
      </c>
      <c r="H9056" s="7">
        <v>2429</v>
      </c>
      <c r="I9056" s="7">
        <v>12</v>
      </c>
      <c r="J9056" s="7">
        <v>0</v>
      </c>
      <c r="K9056" s="7" t="s">
        <v>18</v>
      </c>
      <c r="L9056" s="8">
        <v>39987.315405092595</v>
      </c>
      <c r="M9056" s="9" t="s">
        <v>19</v>
      </c>
      <c r="N9056" s="9" t="s">
        <v>20</v>
      </c>
      <c r="O9056" s="6" t="str">
        <f>HYPERLINK("https://pbs.twimg.com/profile_images/962471262747529216/Uo8lOkRJ_normal.jpg","View")</f>
        <v>View</v>
      </c>
      <c r="P9056" s="7"/>
    </row>
    <row r="9057" spans="1:16">
      <c r="A9057" s="3">
        <v>44066.263587962967</v>
      </c>
      <c r="B9057" s="4" t="str">
        <f>HYPERLINK("https://twitter.com/petrogustavo","@petrogustavo")</f>
        <v>@petrogustavo</v>
      </c>
      <c r="C9057" s="5" t="s">
        <v>16</v>
      </c>
      <c r="D9057" s="5" t="s">
        <v>8717</v>
      </c>
      <c r="E9057" s="6" t="str">
        <f>HYPERLINK("https://twitter.com/petrogustavo/status/1297335136078438402","1297335136078438402")</f>
        <v>1297335136078438402</v>
      </c>
      <c r="F9057" s="7" t="s">
        <v>32</v>
      </c>
      <c r="G9057" s="7">
        <v>3945243</v>
      </c>
      <c r="H9057" s="7">
        <v>2429</v>
      </c>
      <c r="I9057" s="7">
        <v>50</v>
      </c>
      <c r="J9057" s="7">
        <v>0</v>
      </c>
      <c r="K9057" s="7" t="s">
        <v>18</v>
      </c>
      <c r="L9057" s="8">
        <v>39987.315405092595</v>
      </c>
      <c r="M9057" s="9" t="s">
        <v>19</v>
      </c>
      <c r="N9057" s="9" t="s">
        <v>20</v>
      </c>
      <c r="O9057" s="6" t="str">
        <f>HYPERLINK("https://pbs.twimg.com/profile_images/962471262747529216/Uo8lOkRJ_normal.jpg","View")</f>
        <v>View</v>
      </c>
      <c r="P9057" s="7"/>
    </row>
    <row r="9058" spans="1:16">
      <c r="A9058" s="3">
        <v>44066.263668981483</v>
      </c>
      <c r="B9058" s="4" t="str">
        <f>HYPERLINK("https://twitter.com/petrogustavo","@petrogustavo")</f>
        <v>@petrogustavo</v>
      </c>
      <c r="C9058" s="5" t="s">
        <v>16</v>
      </c>
      <c r="D9058" s="5" t="s">
        <v>8718</v>
      </c>
      <c r="E9058" s="6" t="str">
        <f>HYPERLINK("https://twitter.com/petrogustavo/status/1297335167783141376","1297335167783141376")</f>
        <v>1297335167783141376</v>
      </c>
      <c r="F9058" s="7" t="s">
        <v>32</v>
      </c>
      <c r="G9058" s="7">
        <v>3945243</v>
      </c>
      <c r="H9058" s="7">
        <v>2429</v>
      </c>
      <c r="I9058" s="7">
        <v>65</v>
      </c>
      <c r="J9058" s="7">
        <v>0</v>
      </c>
      <c r="K9058" s="7" t="s">
        <v>18</v>
      </c>
      <c r="L9058" s="8">
        <v>39987.315405092595</v>
      </c>
      <c r="M9058" s="9" t="s">
        <v>19</v>
      </c>
      <c r="N9058" s="9" t="s">
        <v>20</v>
      </c>
      <c r="O9058" s="6" t="str">
        <f>HYPERLINK("https://pbs.twimg.com/profile_images/962471262747529216/Uo8lOkRJ_normal.jpg","View")</f>
        <v>View</v>
      </c>
      <c r="P9058" s="7"/>
    </row>
    <row r="9059" spans="1:16">
      <c r="A9059" s="3">
        <v>44066.270324074074</v>
      </c>
      <c r="B9059" s="4" t="str">
        <f>HYPERLINK("https://twitter.com/petrogustavo","@petrogustavo")</f>
        <v>@petrogustavo</v>
      </c>
      <c r="C9059" s="5" t="s">
        <v>16</v>
      </c>
      <c r="D9059" s="5" t="s">
        <v>8719</v>
      </c>
      <c r="E9059" s="6" t="str">
        <f>HYPERLINK("https://twitter.com/petrogustavo/status/1297337577125695488","1297337577125695488")</f>
        <v>1297337577125695488</v>
      </c>
      <c r="F9059" s="7" t="s">
        <v>32</v>
      </c>
      <c r="G9059" s="7">
        <v>3945243</v>
      </c>
      <c r="H9059" s="7">
        <v>2429</v>
      </c>
      <c r="I9059" s="7">
        <v>48</v>
      </c>
      <c r="J9059" s="7">
        <v>0</v>
      </c>
      <c r="K9059" s="7" t="s">
        <v>18</v>
      </c>
      <c r="L9059" s="8">
        <v>39987.315405092595</v>
      </c>
      <c r="M9059" s="9" t="s">
        <v>19</v>
      </c>
      <c r="N9059" s="9" t="s">
        <v>20</v>
      </c>
      <c r="O9059" s="6" t="str">
        <f>HYPERLINK("https://pbs.twimg.com/profile_images/962471262747529216/Uo8lOkRJ_normal.jpg","View")</f>
        <v>View</v>
      </c>
      <c r="P9059" s="7"/>
    </row>
    <row r="9060" spans="1:16">
      <c r="A9060" s="3">
        <v>44066.270474537036</v>
      </c>
      <c r="B9060" s="4" t="str">
        <f>HYPERLINK("https://twitter.com/petrogustavo","@petrogustavo")</f>
        <v>@petrogustavo</v>
      </c>
      <c r="C9060" s="5" t="s">
        <v>16</v>
      </c>
      <c r="D9060" s="5" t="s">
        <v>8720</v>
      </c>
      <c r="E9060" s="6" t="str">
        <f>HYPERLINK("https://twitter.com/petrogustavo/status/1297337633102860288","1297337633102860288")</f>
        <v>1297337633102860288</v>
      </c>
      <c r="F9060" s="7" t="s">
        <v>32</v>
      </c>
      <c r="G9060" s="7">
        <v>3945243</v>
      </c>
      <c r="H9060" s="7">
        <v>2429</v>
      </c>
      <c r="I9060" s="7">
        <v>43</v>
      </c>
      <c r="J9060" s="7">
        <v>0</v>
      </c>
      <c r="K9060" s="7" t="s">
        <v>18</v>
      </c>
      <c r="L9060" s="8">
        <v>39987.315405092595</v>
      </c>
      <c r="M9060" s="9" t="s">
        <v>19</v>
      </c>
      <c r="N9060" s="9" t="s">
        <v>20</v>
      </c>
      <c r="O9060" s="6" t="str">
        <f>HYPERLINK("https://pbs.twimg.com/profile_images/962471262747529216/Uo8lOkRJ_normal.jpg","View")</f>
        <v>View</v>
      </c>
      <c r="P9060" s="7"/>
    </row>
    <row r="9061" spans="1:16">
      <c r="A9061" s="3">
        <v>44066.271909722222</v>
      </c>
      <c r="B9061" s="4" t="str">
        <f>HYPERLINK("https://twitter.com/petrogustavo","@petrogustavo")</f>
        <v>@petrogustavo</v>
      </c>
      <c r="C9061" s="5" t="s">
        <v>16</v>
      </c>
      <c r="D9061" s="5" t="s">
        <v>8721</v>
      </c>
      <c r="E9061" s="6" t="str">
        <f>HYPERLINK("https://twitter.com/petrogustavo/status/1297338150805741573","1297338150805741573")</f>
        <v>1297338150805741573</v>
      </c>
      <c r="F9061" s="7" t="s">
        <v>32</v>
      </c>
      <c r="G9061" s="7">
        <v>3945243</v>
      </c>
      <c r="H9061" s="7">
        <v>2429</v>
      </c>
      <c r="I9061" s="7">
        <v>25</v>
      </c>
      <c r="J9061" s="7">
        <v>0</v>
      </c>
      <c r="K9061" s="7" t="s">
        <v>18</v>
      </c>
      <c r="L9061" s="8">
        <v>39987.315405092595</v>
      </c>
      <c r="M9061" s="9" t="s">
        <v>19</v>
      </c>
      <c r="N9061" s="9" t="s">
        <v>20</v>
      </c>
      <c r="O9061" s="6" t="str">
        <f>HYPERLINK("https://pbs.twimg.com/profile_images/962471262747529216/Uo8lOkRJ_normal.jpg","View")</f>
        <v>View</v>
      </c>
      <c r="P9061" s="7"/>
    </row>
    <row r="9062" spans="1:16">
      <c r="A9062" s="3">
        <v>44066.291701388887</v>
      </c>
      <c r="B9062" s="4" t="str">
        <f>HYPERLINK("https://twitter.com/petrogustavo","@petrogustavo")</f>
        <v>@petrogustavo</v>
      </c>
      <c r="C9062" s="5" t="s">
        <v>16</v>
      </c>
      <c r="D9062" s="5" t="s">
        <v>8722</v>
      </c>
      <c r="E9062" s="6" t="str">
        <f>HYPERLINK("https://twitter.com/petrogustavo/status/1297345324311351296","1297345324311351296")</f>
        <v>1297345324311351296</v>
      </c>
      <c r="F9062" s="7" t="s">
        <v>32</v>
      </c>
      <c r="G9062" s="7">
        <v>3945258</v>
      </c>
      <c r="H9062" s="7">
        <v>2429</v>
      </c>
      <c r="I9062" s="7">
        <v>72</v>
      </c>
      <c r="J9062" s="7">
        <v>0</v>
      </c>
      <c r="K9062" s="7" t="s">
        <v>18</v>
      </c>
      <c r="L9062" s="8">
        <v>39987.315405092595</v>
      </c>
      <c r="M9062" s="9" t="s">
        <v>19</v>
      </c>
      <c r="N9062" s="9" t="s">
        <v>20</v>
      </c>
      <c r="O9062" s="6" t="str">
        <f>HYPERLINK("https://pbs.twimg.com/profile_images/962471262747529216/Uo8lOkRJ_normal.jpg","View")</f>
        <v>View</v>
      </c>
      <c r="P9062" s="7"/>
    </row>
    <row r="9063" spans="1:16">
      <c r="A9063" s="3">
        <v>44066.291817129633</v>
      </c>
      <c r="B9063" s="4" t="str">
        <f>HYPERLINK("https://twitter.com/petrogustavo","@petrogustavo")</f>
        <v>@petrogustavo</v>
      </c>
      <c r="C9063" s="5" t="s">
        <v>16</v>
      </c>
      <c r="D9063" s="5" t="s">
        <v>8723</v>
      </c>
      <c r="E9063" s="6" t="str">
        <f>HYPERLINK("https://twitter.com/petrogustavo/status/1297345367504289793","1297345367504289793")</f>
        <v>1297345367504289793</v>
      </c>
      <c r="F9063" s="7" t="s">
        <v>32</v>
      </c>
      <c r="G9063" s="7">
        <v>3945258</v>
      </c>
      <c r="H9063" s="7">
        <v>2429</v>
      </c>
      <c r="I9063" s="7">
        <v>123</v>
      </c>
      <c r="J9063" s="7">
        <v>0</v>
      </c>
      <c r="K9063" s="7" t="s">
        <v>18</v>
      </c>
      <c r="L9063" s="8">
        <v>39987.315405092595</v>
      </c>
      <c r="M9063" s="9" t="s">
        <v>19</v>
      </c>
      <c r="N9063" s="9" t="s">
        <v>20</v>
      </c>
      <c r="O9063" s="6" t="str">
        <f>HYPERLINK("https://pbs.twimg.com/profile_images/962471262747529216/Uo8lOkRJ_normal.jpg","View")</f>
        <v>View</v>
      </c>
      <c r="P9063" s="7"/>
    </row>
    <row r="9064" spans="1:16">
      <c r="A9064" s="3">
        <v>44066.292141203703</v>
      </c>
      <c r="B9064" s="4" t="str">
        <f>HYPERLINK("https://twitter.com/petrogustavo","@petrogustavo")</f>
        <v>@petrogustavo</v>
      </c>
      <c r="C9064" s="5" t="s">
        <v>16</v>
      </c>
      <c r="D9064" s="5" t="s">
        <v>8724</v>
      </c>
      <c r="E9064" s="6" t="str">
        <f>HYPERLINK("https://twitter.com/petrogustavo/status/1297345482482688005","1297345482482688005")</f>
        <v>1297345482482688005</v>
      </c>
      <c r="F9064" s="7" t="s">
        <v>32</v>
      </c>
      <c r="G9064" s="7">
        <v>3945258</v>
      </c>
      <c r="H9064" s="7">
        <v>2429</v>
      </c>
      <c r="I9064" s="7">
        <v>44</v>
      </c>
      <c r="J9064" s="7">
        <v>0</v>
      </c>
      <c r="K9064" s="7" t="s">
        <v>18</v>
      </c>
      <c r="L9064" s="8">
        <v>39987.315405092595</v>
      </c>
      <c r="M9064" s="9" t="s">
        <v>19</v>
      </c>
      <c r="N9064" s="9" t="s">
        <v>20</v>
      </c>
      <c r="O9064" s="6" t="str">
        <f>HYPERLINK("https://pbs.twimg.com/profile_images/962471262747529216/Uo8lOkRJ_normal.jpg","View")</f>
        <v>View</v>
      </c>
      <c r="P9064" s="7"/>
    </row>
    <row r="9065" spans="1:16">
      <c r="A9065" s="3">
        <v>44066.292372685188</v>
      </c>
      <c r="B9065" s="4" t="str">
        <f>HYPERLINK("https://twitter.com/petrogustavo","@petrogustavo")</f>
        <v>@petrogustavo</v>
      </c>
      <c r="C9065" s="5" t="s">
        <v>16</v>
      </c>
      <c r="D9065" s="5" t="s">
        <v>8725</v>
      </c>
      <c r="E9065" s="6" t="str">
        <f>HYPERLINK("https://twitter.com/petrogustavo/status/1297345569409699840","1297345569409699840")</f>
        <v>1297345569409699840</v>
      </c>
      <c r="F9065" s="7" t="s">
        <v>32</v>
      </c>
      <c r="G9065" s="7">
        <v>3945258</v>
      </c>
      <c r="H9065" s="7">
        <v>2429</v>
      </c>
      <c r="I9065" s="7">
        <v>31</v>
      </c>
      <c r="J9065" s="7">
        <v>0</v>
      </c>
      <c r="K9065" s="7" t="s">
        <v>18</v>
      </c>
      <c r="L9065" s="8">
        <v>39987.315405092595</v>
      </c>
      <c r="M9065" s="9" t="s">
        <v>19</v>
      </c>
      <c r="N9065" s="9" t="s">
        <v>20</v>
      </c>
      <c r="O9065" s="6" t="str">
        <f>HYPERLINK("https://pbs.twimg.com/profile_images/962471262747529216/Uo8lOkRJ_normal.jpg","View")</f>
        <v>View</v>
      </c>
      <c r="P9065" s="7"/>
    </row>
    <row r="9066" spans="1:16">
      <c r="A9066" s="3">
        <v>44066.292557870373</v>
      </c>
      <c r="B9066" s="4" t="str">
        <f>HYPERLINK("https://twitter.com/petrogustavo","@petrogustavo")</f>
        <v>@petrogustavo</v>
      </c>
      <c r="C9066" s="5" t="s">
        <v>16</v>
      </c>
      <c r="D9066" s="5" t="s">
        <v>8726</v>
      </c>
      <c r="E9066" s="6" t="str">
        <f>HYPERLINK("https://twitter.com/petrogustavo/status/1297345633150537730","1297345633150537730")</f>
        <v>1297345633150537730</v>
      </c>
      <c r="F9066" s="7" t="s">
        <v>32</v>
      </c>
      <c r="G9066" s="7">
        <v>3945258</v>
      </c>
      <c r="H9066" s="7">
        <v>2429</v>
      </c>
      <c r="I9066" s="7">
        <v>37</v>
      </c>
      <c r="J9066" s="7">
        <v>0</v>
      </c>
      <c r="K9066" s="7" t="s">
        <v>18</v>
      </c>
      <c r="L9066" s="8">
        <v>39987.315405092595</v>
      </c>
      <c r="M9066" s="9" t="s">
        <v>19</v>
      </c>
      <c r="N9066" s="9" t="s">
        <v>20</v>
      </c>
      <c r="O9066" s="6" t="str">
        <f>HYPERLINK("https://pbs.twimg.com/profile_images/962471262747529216/Uo8lOkRJ_normal.jpg","View")</f>
        <v>View</v>
      </c>
      <c r="P9066" s="7"/>
    </row>
    <row r="9067" spans="1:16">
      <c r="A9067" s="3">
        <v>44066.29278935185</v>
      </c>
      <c r="B9067" s="4" t="str">
        <f>HYPERLINK("https://twitter.com/petrogustavo","@petrogustavo")</f>
        <v>@petrogustavo</v>
      </c>
      <c r="C9067" s="5" t="s">
        <v>16</v>
      </c>
      <c r="D9067" s="5" t="s">
        <v>8727</v>
      </c>
      <c r="E9067" s="6" t="str">
        <f>HYPERLINK("https://twitter.com/petrogustavo/status/1297345718034800640","1297345718034800640")</f>
        <v>1297345718034800640</v>
      </c>
      <c r="F9067" s="7" t="s">
        <v>32</v>
      </c>
      <c r="G9067" s="7">
        <v>3945258</v>
      </c>
      <c r="H9067" s="7">
        <v>2429</v>
      </c>
      <c r="I9067" s="7">
        <v>47</v>
      </c>
      <c r="J9067" s="7">
        <v>0</v>
      </c>
      <c r="K9067" s="7" t="s">
        <v>18</v>
      </c>
      <c r="L9067" s="8">
        <v>39987.315405092595</v>
      </c>
      <c r="M9067" s="9" t="s">
        <v>19</v>
      </c>
      <c r="N9067" s="9" t="s">
        <v>20</v>
      </c>
      <c r="O9067" s="6" t="str">
        <f>HYPERLINK("https://pbs.twimg.com/profile_images/962471262747529216/Uo8lOkRJ_normal.jpg","View")</f>
        <v>View</v>
      </c>
      <c r="P9067" s="7"/>
    </row>
    <row r="9068" spans="1:16">
      <c r="A9068" s="3">
        <v>44066.292962962965</v>
      </c>
      <c r="B9068" s="4" t="str">
        <f>HYPERLINK("https://twitter.com/petrogustavo","@petrogustavo")</f>
        <v>@petrogustavo</v>
      </c>
      <c r="C9068" s="5" t="s">
        <v>16</v>
      </c>
      <c r="D9068" s="5" t="s">
        <v>8728</v>
      </c>
      <c r="E9068" s="6" t="str">
        <f>HYPERLINK("https://twitter.com/petrogustavo/status/1297345779875684359","1297345779875684359")</f>
        <v>1297345779875684359</v>
      </c>
      <c r="F9068" s="7" t="s">
        <v>32</v>
      </c>
      <c r="G9068" s="7">
        <v>3945258</v>
      </c>
      <c r="H9068" s="7">
        <v>2429</v>
      </c>
      <c r="I9068" s="7">
        <v>38</v>
      </c>
      <c r="J9068" s="7">
        <v>0</v>
      </c>
      <c r="K9068" s="7" t="s">
        <v>18</v>
      </c>
      <c r="L9068" s="8">
        <v>39987.315405092595</v>
      </c>
      <c r="M9068" s="9" t="s">
        <v>19</v>
      </c>
      <c r="N9068" s="9" t="s">
        <v>20</v>
      </c>
      <c r="O9068" s="6" t="str">
        <f>HYPERLINK("https://pbs.twimg.com/profile_images/962471262747529216/Uo8lOkRJ_normal.jpg","View")</f>
        <v>View</v>
      </c>
      <c r="P9068" s="7"/>
    </row>
    <row r="9069" spans="1:16">
      <c r="A9069" s="3">
        <v>44066.29305555555</v>
      </c>
      <c r="B9069" s="4" t="str">
        <f>HYPERLINK("https://twitter.com/petrogustavo","@petrogustavo")</f>
        <v>@petrogustavo</v>
      </c>
      <c r="C9069" s="5" t="s">
        <v>16</v>
      </c>
      <c r="D9069" s="5" t="s">
        <v>8729</v>
      </c>
      <c r="E9069" s="6" t="str">
        <f>HYPERLINK("https://twitter.com/petrogustavo/status/1297345815896260610","1297345815896260610")</f>
        <v>1297345815896260610</v>
      </c>
      <c r="F9069" s="7" t="s">
        <v>32</v>
      </c>
      <c r="G9069" s="7">
        <v>3945258</v>
      </c>
      <c r="H9069" s="7">
        <v>2429</v>
      </c>
      <c r="I9069" s="7">
        <v>43</v>
      </c>
      <c r="J9069" s="7">
        <v>0</v>
      </c>
      <c r="K9069" s="7" t="s">
        <v>18</v>
      </c>
      <c r="L9069" s="8">
        <v>39987.315405092595</v>
      </c>
      <c r="M9069" s="9" t="s">
        <v>19</v>
      </c>
      <c r="N9069" s="9" t="s">
        <v>20</v>
      </c>
      <c r="O9069" s="6" t="str">
        <f>HYPERLINK("https://pbs.twimg.com/profile_images/962471262747529216/Uo8lOkRJ_normal.jpg","View")</f>
        <v>View</v>
      </c>
      <c r="P9069" s="7"/>
    </row>
    <row r="9070" spans="1:16">
      <c r="A9070" s="3">
        <v>44066.293252314819</v>
      </c>
      <c r="B9070" s="4" t="str">
        <f>HYPERLINK("https://twitter.com/petrogustavo","@petrogustavo")</f>
        <v>@petrogustavo</v>
      </c>
      <c r="C9070" s="5" t="s">
        <v>16</v>
      </c>
      <c r="D9070" s="5" t="s">
        <v>8730</v>
      </c>
      <c r="E9070" s="6" t="str">
        <f>HYPERLINK("https://twitter.com/petrogustavo/status/1297345886473932800","1297345886473932800")</f>
        <v>1297345886473932800</v>
      </c>
      <c r="F9070" s="7" t="s">
        <v>32</v>
      </c>
      <c r="G9070" s="7">
        <v>3945258</v>
      </c>
      <c r="H9070" s="7">
        <v>2429</v>
      </c>
      <c r="I9070" s="7">
        <v>42</v>
      </c>
      <c r="J9070" s="7">
        <v>0</v>
      </c>
      <c r="K9070" s="7" t="s">
        <v>18</v>
      </c>
      <c r="L9070" s="8">
        <v>39987.315405092595</v>
      </c>
      <c r="M9070" s="9" t="s">
        <v>19</v>
      </c>
      <c r="N9070" s="9" t="s">
        <v>20</v>
      </c>
      <c r="O9070" s="6" t="str">
        <f>HYPERLINK("https://pbs.twimg.com/profile_images/962471262747529216/Uo8lOkRJ_normal.jpg","View")</f>
        <v>View</v>
      </c>
      <c r="P9070" s="7"/>
    </row>
    <row r="9071" spans="1:16">
      <c r="A9071" s="3">
        <v>44066.293333333335</v>
      </c>
      <c r="B9071" s="4" t="str">
        <f>HYPERLINK("https://twitter.com/petrogustavo","@petrogustavo")</f>
        <v>@petrogustavo</v>
      </c>
      <c r="C9071" s="5" t="s">
        <v>16</v>
      </c>
      <c r="D9071" s="5" t="s">
        <v>8731</v>
      </c>
      <c r="E9071" s="6" t="str">
        <f>HYPERLINK("https://twitter.com/petrogustavo/status/1297345917532672002","1297345917532672002")</f>
        <v>1297345917532672002</v>
      </c>
      <c r="F9071" s="7" t="s">
        <v>32</v>
      </c>
      <c r="G9071" s="7">
        <v>3945258</v>
      </c>
      <c r="H9071" s="7">
        <v>2429</v>
      </c>
      <c r="I9071" s="7">
        <v>38</v>
      </c>
      <c r="J9071" s="7">
        <v>0</v>
      </c>
      <c r="K9071" s="7" t="s">
        <v>18</v>
      </c>
      <c r="L9071" s="8">
        <v>39987.315405092595</v>
      </c>
      <c r="M9071" s="9" t="s">
        <v>19</v>
      </c>
      <c r="N9071" s="9" t="s">
        <v>20</v>
      </c>
      <c r="O9071" s="6" t="str">
        <f>HYPERLINK("https://pbs.twimg.com/profile_images/962471262747529216/Uo8lOkRJ_normal.jpg","View")</f>
        <v>View</v>
      </c>
      <c r="P9071" s="7"/>
    </row>
    <row r="9072" spans="1:16">
      <c r="A9072" s="3">
        <v>44066.295057870375</v>
      </c>
      <c r="B9072" s="4" t="str">
        <f>HYPERLINK("https://twitter.com/petrogustavo","@petrogustavo")</f>
        <v>@petrogustavo</v>
      </c>
      <c r="C9072" s="5" t="s">
        <v>16</v>
      </c>
      <c r="D9072" s="5" t="s">
        <v>8732</v>
      </c>
      <c r="E9072" s="6" t="str">
        <f>HYPERLINK("https://twitter.com/petrogustavo/status/1297346538939789312","1297346538939789312")</f>
        <v>1297346538939789312</v>
      </c>
      <c r="F9072" s="7" t="s">
        <v>32</v>
      </c>
      <c r="G9072" s="7">
        <v>3945258</v>
      </c>
      <c r="H9072" s="7">
        <v>2429</v>
      </c>
      <c r="I9072" s="7">
        <v>33</v>
      </c>
      <c r="J9072" s="7">
        <v>0</v>
      </c>
      <c r="K9072" s="7" t="s">
        <v>18</v>
      </c>
      <c r="L9072" s="8">
        <v>39987.315405092595</v>
      </c>
      <c r="M9072" s="9" t="s">
        <v>19</v>
      </c>
      <c r="N9072" s="9" t="s">
        <v>20</v>
      </c>
      <c r="O9072" s="6" t="str">
        <f>HYPERLINK("https://pbs.twimg.com/profile_images/962471262747529216/Uo8lOkRJ_normal.jpg","View")</f>
        <v>View</v>
      </c>
      <c r="P9072" s="7"/>
    </row>
    <row r="9073" spans="1:16">
      <c r="A9073" s="3">
        <v>44066.306770833333</v>
      </c>
      <c r="B9073" s="4" t="str">
        <f>HYPERLINK("https://twitter.com/petrogustavo","@petrogustavo")</f>
        <v>@petrogustavo</v>
      </c>
      <c r="C9073" s="5" t="s">
        <v>16</v>
      </c>
      <c r="D9073" s="5" t="s">
        <v>8733</v>
      </c>
      <c r="E9073" s="6" t="str">
        <f>HYPERLINK("https://twitter.com/petrogustavo/status/1297350785936785408","1297350785936785408")</f>
        <v>1297350785936785408</v>
      </c>
      <c r="F9073" s="7" t="s">
        <v>32</v>
      </c>
      <c r="G9073" s="7">
        <v>3945258</v>
      </c>
      <c r="H9073" s="7">
        <v>2429</v>
      </c>
      <c r="I9073" s="7">
        <v>60</v>
      </c>
      <c r="J9073" s="7">
        <v>0</v>
      </c>
      <c r="K9073" s="7" t="s">
        <v>18</v>
      </c>
      <c r="L9073" s="8">
        <v>39987.315405092595</v>
      </c>
      <c r="M9073" s="9" t="s">
        <v>19</v>
      </c>
      <c r="N9073" s="9" t="s">
        <v>20</v>
      </c>
      <c r="O9073" s="6" t="str">
        <f>HYPERLINK("https://pbs.twimg.com/profile_images/962471262747529216/Uo8lOkRJ_normal.jpg","View")</f>
        <v>View</v>
      </c>
      <c r="P9073" s="7"/>
    </row>
    <row r="9074" spans="1:16">
      <c r="A9074" s="3">
        <v>44066.764016203699</v>
      </c>
      <c r="B9074" s="4" t="str">
        <f>HYPERLINK("https://twitter.com/petrogustavo","@petrogustavo")</f>
        <v>@petrogustavo</v>
      </c>
      <c r="C9074" s="5" t="s">
        <v>16</v>
      </c>
      <c r="D9074" s="5" t="s">
        <v>8734</v>
      </c>
      <c r="E9074" s="6" t="str">
        <f>HYPERLINK("https://twitter.com/petrogustavo/status/1297516485015896076","1297516485015896076")</f>
        <v>1297516485015896076</v>
      </c>
      <c r="F9074" s="7" t="s">
        <v>17</v>
      </c>
      <c r="G9074" s="7">
        <v>3945445</v>
      </c>
      <c r="H9074" s="7">
        <v>2429</v>
      </c>
      <c r="I9074" s="7">
        <v>2513</v>
      </c>
      <c r="J9074" s="7">
        <v>0</v>
      </c>
      <c r="K9074" s="7" t="s">
        <v>18</v>
      </c>
      <c r="L9074" s="8">
        <v>39987.315405092595</v>
      </c>
      <c r="M9074" s="9" t="s">
        <v>19</v>
      </c>
      <c r="N9074" s="9" t="s">
        <v>20</v>
      </c>
      <c r="O9074" s="6" t="str">
        <f>HYPERLINK("https://pbs.twimg.com/profile_images/962471262747529216/Uo8lOkRJ_normal.jpg","View")</f>
        <v>View</v>
      </c>
      <c r="P9074" s="7"/>
    </row>
    <row r="9075" spans="1:16">
      <c r="A9075" s="3">
        <v>44066.764328703706</v>
      </c>
      <c r="B9075" s="4" t="str">
        <f>HYPERLINK("https://twitter.com/petrogustavo","@petrogustavo")</f>
        <v>@petrogustavo</v>
      </c>
      <c r="C9075" s="5" t="s">
        <v>16</v>
      </c>
      <c r="D9075" s="5" t="s">
        <v>8735</v>
      </c>
      <c r="E9075" s="6" t="str">
        <f>HYPERLINK("https://twitter.com/petrogustavo/status/1297516596869705729","1297516596869705729")</f>
        <v>1297516596869705729</v>
      </c>
      <c r="F9075" s="7" t="s">
        <v>17</v>
      </c>
      <c r="G9075" s="7">
        <v>3945445</v>
      </c>
      <c r="H9075" s="7">
        <v>2429</v>
      </c>
      <c r="I9075" s="7">
        <v>355</v>
      </c>
      <c r="J9075" s="7">
        <v>0</v>
      </c>
      <c r="K9075" s="7" t="s">
        <v>18</v>
      </c>
      <c r="L9075" s="8">
        <v>39987.315405092595</v>
      </c>
      <c r="M9075" s="9" t="s">
        <v>19</v>
      </c>
      <c r="N9075" s="9" t="s">
        <v>20</v>
      </c>
      <c r="O9075" s="6" t="str">
        <f>HYPERLINK("https://pbs.twimg.com/profile_images/962471262747529216/Uo8lOkRJ_normal.jpg","View")</f>
        <v>View</v>
      </c>
      <c r="P9075" s="7"/>
    </row>
    <row r="9076" spans="1:16">
      <c r="A9076" s="3">
        <v>44066.778807870374</v>
      </c>
      <c r="B9076" s="4" t="str">
        <f>HYPERLINK("https://twitter.com/petrogustavo","@petrogustavo")</f>
        <v>@petrogustavo</v>
      </c>
      <c r="C9076" s="5" t="s">
        <v>16</v>
      </c>
      <c r="D9076" s="5" t="s">
        <v>8736</v>
      </c>
      <c r="E9076" s="6" t="str">
        <f>HYPERLINK("https://twitter.com/petrogustavo/status/1297521847223951366","1297521847223951366")</f>
        <v>1297521847223951366</v>
      </c>
      <c r="F9076" s="7" t="s">
        <v>17</v>
      </c>
      <c r="G9076" s="7">
        <v>3945468</v>
      </c>
      <c r="H9076" s="7">
        <v>2429</v>
      </c>
      <c r="I9076" s="7">
        <v>114</v>
      </c>
      <c r="J9076" s="7">
        <v>282</v>
      </c>
      <c r="K9076" s="7" t="s">
        <v>18</v>
      </c>
      <c r="L9076" s="8">
        <v>39987.315405092595</v>
      </c>
      <c r="M9076" s="9" t="s">
        <v>19</v>
      </c>
      <c r="N9076" s="9" t="s">
        <v>20</v>
      </c>
      <c r="O9076" s="6" t="str">
        <f>HYPERLINK("https://pbs.twimg.com/profile_images/962471262747529216/Uo8lOkRJ_normal.jpg","View")</f>
        <v>View</v>
      </c>
      <c r="P9076" s="7"/>
    </row>
    <row r="9077" spans="1:16">
      <c r="A9077" s="3">
        <v>44066.793310185181</v>
      </c>
      <c r="B9077" s="4" t="str">
        <f>HYPERLINK("https://twitter.com/petrogustavo","@petrogustavo")</f>
        <v>@petrogustavo</v>
      </c>
      <c r="C9077" s="5" t="s">
        <v>16</v>
      </c>
      <c r="D9077" s="5" t="s">
        <v>8737</v>
      </c>
      <c r="E9077" s="6" t="str">
        <f>HYPERLINK("https://twitter.com/petrogustavo/status/1297527101978009600","1297527101978009600")</f>
        <v>1297527101978009600</v>
      </c>
      <c r="F9077" s="7" t="s">
        <v>17</v>
      </c>
      <c r="G9077" s="7">
        <v>3945468</v>
      </c>
      <c r="H9077" s="7">
        <v>2429</v>
      </c>
      <c r="I9077" s="7">
        <v>7</v>
      </c>
      <c r="J9077" s="7">
        <v>13</v>
      </c>
      <c r="K9077" s="7" t="s">
        <v>18</v>
      </c>
      <c r="L9077" s="8">
        <v>39987.315405092595</v>
      </c>
      <c r="M9077" s="9" t="s">
        <v>19</v>
      </c>
      <c r="N9077" s="9" t="s">
        <v>20</v>
      </c>
      <c r="O9077" s="6" t="str">
        <f>HYPERLINK("https://pbs.twimg.com/profile_images/962471262747529216/Uo8lOkRJ_normal.jpg","View")</f>
        <v>View</v>
      </c>
      <c r="P9077" s="7"/>
    </row>
    <row r="9078" spans="1:16">
      <c r="A9078" s="3">
        <v>44066.864606481482</v>
      </c>
      <c r="B9078" s="4" t="str">
        <f>HYPERLINK("https://twitter.com/petrogustavo","@petrogustavo")</f>
        <v>@petrogustavo</v>
      </c>
      <c r="C9078" s="5" t="s">
        <v>16</v>
      </c>
      <c r="D9078" s="5" t="s">
        <v>8738</v>
      </c>
      <c r="E9078" s="6" t="str">
        <f>HYPERLINK("https://twitter.com/petrogustavo/status/1297552939398160385","1297552939398160385")</f>
        <v>1297552939398160385</v>
      </c>
      <c r="F9078" s="7" t="s">
        <v>17</v>
      </c>
      <c r="G9078" s="7">
        <v>3945554</v>
      </c>
      <c r="H9078" s="7">
        <v>2429</v>
      </c>
      <c r="I9078" s="7">
        <v>114</v>
      </c>
      <c r="J9078" s="7">
        <v>0</v>
      </c>
      <c r="K9078" s="7" t="s">
        <v>18</v>
      </c>
      <c r="L9078" s="8">
        <v>39987.315405092595</v>
      </c>
      <c r="M9078" s="9" t="s">
        <v>19</v>
      </c>
      <c r="N9078" s="9" t="s">
        <v>20</v>
      </c>
      <c r="O9078" s="6" t="str">
        <f>HYPERLINK("https://pbs.twimg.com/profile_images/962471262747529216/Uo8lOkRJ_normal.jpg","View")</f>
        <v>View</v>
      </c>
      <c r="P9078" s="7"/>
    </row>
    <row r="9079" spans="1:16">
      <c r="A9079" s="3">
        <v>44066.865937499999</v>
      </c>
      <c r="B9079" s="4" t="str">
        <f>HYPERLINK("https://twitter.com/petrogustavo","@petrogustavo")</f>
        <v>@petrogustavo</v>
      </c>
      <c r="C9079" s="5" t="s">
        <v>16</v>
      </c>
      <c r="D9079" s="5" t="s">
        <v>8739</v>
      </c>
      <c r="E9079" s="6" t="str">
        <f>HYPERLINK("https://twitter.com/petrogustavo/status/1297553420296101888","1297553420296101888")</f>
        <v>1297553420296101888</v>
      </c>
      <c r="F9079" s="7" t="s">
        <v>17</v>
      </c>
      <c r="G9079" s="7">
        <v>3945554</v>
      </c>
      <c r="H9079" s="7">
        <v>2429</v>
      </c>
      <c r="I9079" s="7">
        <v>382</v>
      </c>
      <c r="J9079" s="7">
        <v>0</v>
      </c>
      <c r="K9079" s="7" t="s">
        <v>18</v>
      </c>
      <c r="L9079" s="8">
        <v>39987.315405092595</v>
      </c>
      <c r="M9079" s="9" t="s">
        <v>19</v>
      </c>
      <c r="N9079" s="9" t="s">
        <v>20</v>
      </c>
      <c r="O9079" s="6" t="str">
        <f>HYPERLINK("https://pbs.twimg.com/profile_images/962471262747529216/Uo8lOkRJ_normal.jpg","View")</f>
        <v>View</v>
      </c>
      <c r="P9079" s="7"/>
    </row>
    <row r="9080" spans="1:16">
      <c r="A9080" s="3">
        <v>44066.866053240738</v>
      </c>
      <c r="B9080" s="4" t="str">
        <f>HYPERLINK("https://twitter.com/petrogustavo","@petrogustavo")</f>
        <v>@petrogustavo</v>
      </c>
      <c r="C9080" s="5" t="s">
        <v>16</v>
      </c>
      <c r="D9080" s="5" t="s">
        <v>8740</v>
      </c>
      <c r="E9080" s="6" t="str">
        <f>HYPERLINK("https://twitter.com/petrogustavo/status/1297553463539388416","1297553463539388416")</f>
        <v>1297553463539388416</v>
      </c>
      <c r="F9080" s="7" t="s">
        <v>17</v>
      </c>
      <c r="G9080" s="7">
        <v>3945554</v>
      </c>
      <c r="H9080" s="7">
        <v>2429</v>
      </c>
      <c r="I9080" s="7">
        <v>71</v>
      </c>
      <c r="J9080" s="7">
        <v>0</v>
      </c>
      <c r="K9080" s="7" t="s">
        <v>18</v>
      </c>
      <c r="L9080" s="8">
        <v>39987.315405092595</v>
      </c>
      <c r="M9080" s="9" t="s">
        <v>19</v>
      </c>
      <c r="N9080" s="9" t="s">
        <v>20</v>
      </c>
      <c r="O9080" s="6" t="str">
        <f>HYPERLINK("https://pbs.twimg.com/profile_images/962471262747529216/Uo8lOkRJ_normal.jpg","View")</f>
        <v>View</v>
      </c>
      <c r="P9080" s="7"/>
    </row>
    <row r="9081" spans="1:16">
      <c r="A9081" s="3">
        <v>44066.877766203703</v>
      </c>
      <c r="B9081" s="4" t="str">
        <f>HYPERLINK("https://twitter.com/petrogustavo","@petrogustavo")</f>
        <v>@petrogustavo</v>
      </c>
      <c r="C9081" s="5" t="s">
        <v>16</v>
      </c>
      <c r="D9081" s="5" t="s">
        <v>8741</v>
      </c>
      <c r="E9081" s="6" t="str">
        <f>HYPERLINK("https://twitter.com/petrogustavo/status/1297557709164863488","1297557709164863488")</f>
        <v>1297557709164863488</v>
      </c>
      <c r="F9081" s="7" t="s">
        <v>17</v>
      </c>
      <c r="G9081" s="7">
        <v>3945578</v>
      </c>
      <c r="H9081" s="7">
        <v>2429</v>
      </c>
      <c r="I9081" s="7">
        <v>588</v>
      </c>
      <c r="J9081" s="7">
        <v>0</v>
      </c>
      <c r="K9081" s="7" t="s">
        <v>18</v>
      </c>
      <c r="L9081" s="8">
        <v>39987.315405092595</v>
      </c>
      <c r="M9081" s="9" t="s">
        <v>19</v>
      </c>
      <c r="N9081" s="9" t="s">
        <v>20</v>
      </c>
      <c r="O9081" s="6" t="str">
        <f>HYPERLINK("https://pbs.twimg.com/profile_images/962471262747529216/Uo8lOkRJ_normal.jpg","View")</f>
        <v>View</v>
      </c>
      <c r="P9081" s="7"/>
    </row>
    <row r="9082" spans="1:16">
      <c r="A9082" s="3">
        <v>44066.88009259259</v>
      </c>
      <c r="B9082" s="4" t="str">
        <f>HYPERLINK("https://twitter.com/petrogustavo","@petrogustavo")</f>
        <v>@petrogustavo</v>
      </c>
      <c r="C9082" s="5" t="s">
        <v>16</v>
      </c>
      <c r="D9082" s="5" t="s">
        <v>8742</v>
      </c>
      <c r="E9082" s="6" t="str">
        <f>HYPERLINK("https://twitter.com/petrogustavo/status/1297558549023936512","1297558549023936512")</f>
        <v>1297558549023936512</v>
      </c>
      <c r="F9082" s="7" t="s">
        <v>17</v>
      </c>
      <c r="G9082" s="7">
        <v>3945578</v>
      </c>
      <c r="H9082" s="7">
        <v>2429</v>
      </c>
      <c r="I9082" s="7">
        <v>204</v>
      </c>
      <c r="J9082" s="7">
        <v>750</v>
      </c>
      <c r="K9082" s="7" t="s">
        <v>18</v>
      </c>
      <c r="L9082" s="8">
        <v>39987.315405092595</v>
      </c>
      <c r="M9082" s="9" t="s">
        <v>19</v>
      </c>
      <c r="N9082" s="9" t="s">
        <v>20</v>
      </c>
      <c r="O9082" s="6" t="str">
        <f>HYPERLINK("https://pbs.twimg.com/profile_images/962471262747529216/Uo8lOkRJ_normal.jpg","View")</f>
        <v>View</v>
      </c>
      <c r="P9082" s="7"/>
    </row>
    <row r="9083" spans="1:16">
      <c r="A9083" s="3">
        <v>44066.881747685184</v>
      </c>
      <c r="B9083" s="4" t="str">
        <f>HYPERLINK("https://twitter.com/petrogustavo","@petrogustavo")</f>
        <v>@petrogustavo</v>
      </c>
      <c r="C9083" s="5" t="s">
        <v>16</v>
      </c>
      <c r="D9083" s="5" t="s">
        <v>8743</v>
      </c>
      <c r="E9083" s="6" t="str">
        <f>HYPERLINK("https://twitter.com/petrogustavo/status/1297559148322869254","1297559148322869254")</f>
        <v>1297559148322869254</v>
      </c>
      <c r="F9083" s="7" t="s">
        <v>17</v>
      </c>
      <c r="G9083" s="7">
        <v>3945578</v>
      </c>
      <c r="H9083" s="7">
        <v>2429</v>
      </c>
      <c r="I9083" s="7">
        <v>61</v>
      </c>
      <c r="J9083" s="7">
        <v>203</v>
      </c>
      <c r="K9083" s="7" t="s">
        <v>18</v>
      </c>
      <c r="L9083" s="8">
        <v>39987.315405092595</v>
      </c>
      <c r="M9083" s="9" t="s">
        <v>19</v>
      </c>
      <c r="N9083" s="9" t="s">
        <v>20</v>
      </c>
      <c r="O9083" s="6" t="str">
        <f>HYPERLINK("https://pbs.twimg.com/profile_images/962471262747529216/Uo8lOkRJ_normal.jpg","View")</f>
        <v>View</v>
      </c>
      <c r="P9083" s="7"/>
    </row>
    <row r="9084" spans="1:16">
      <c r="A9084" s="3">
        <v>44066.893449074079</v>
      </c>
      <c r="B9084" s="4" t="str">
        <f>HYPERLINK("https://twitter.com/petrogustavo","@petrogustavo")</f>
        <v>@petrogustavo</v>
      </c>
      <c r="C9084" s="5" t="s">
        <v>16</v>
      </c>
      <c r="D9084" s="5" t="s">
        <v>8744</v>
      </c>
      <c r="E9084" s="6" t="str">
        <f>HYPERLINK("https://twitter.com/petrogustavo/status/1297563388655144960","1297563388655144960")</f>
        <v>1297563388655144960</v>
      </c>
      <c r="F9084" s="7" t="s">
        <v>17</v>
      </c>
      <c r="G9084" s="7">
        <v>3945578</v>
      </c>
      <c r="H9084" s="7">
        <v>2429</v>
      </c>
      <c r="I9084" s="7">
        <v>428</v>
      </c>
      <c r="J9084" s="7">
        <v>0</v>
      </c>
      <c r="K9084" s="7" t="s">
        <v>18</v>
      </c>
      <c r="L9084" s="8">
        <v>39987.315405092595</v>
      </c>
      <c r="M9084" s="9" t="s">
        <v>19</v>
      </c>
      <c r="N9084" s="9" t="s">
        <v>20</v>
      </c>
      <c r="O9084" s="6" t="str">
        <f>HYPERLINK("https://pbs.twimg.com/profile_images/962471262747529216/Uo8lOkRJ_normal.jpg","View")</f>
        <v>View</v>
      </c>
      <c r="P9084" s="7"/>
    </row>
    <row r="9085" spans="1:16">
      <c r="A9085" s="3">
        <v>44066.893495370372</v>
      </c>
      <c r="B9085" s="4" t="str">
        <f>HYPERLINK("https://twitter.com/petrogustavo","@petrogustavo")</f>
        <v>@petrogustavo</v>
      </c>
      <c r="C9085" s="5" t="s">
        <v>16</v>
      </c>
      <c r="D9085" s="5" t="s">
        <v>8745</v>
      </c>
      <c r="E9085" s="6" t="str">
        <f>HYPERLINK("https://twitter.com/petrogustavo/status/1297563407412088837","1297563407412088837")</f>
        <v>1297563407412088837</v>
      </c>
      <c r="F9085" s="7" t="s">
        <v>17</v>
      </c>
      <c r="G9085" s="7">
        <v>3945578</v>
      </c>
      <c r="H9085" s="7">
        <v>2429</v>
      </c>
      <c r="I9085" s="7">
        <v>488</v>
      </c>
      <c r="J9085" s="7">
        <v>0</v>
      </c>
      <c r="K9085" s="7" t="s">
        <v>18</v>
      </c>
      <c r="L9085" s="8">
        <v>39987.315405092595</v>
      </c>
      <c r="M9085" s="9" t="s">
        <v>19</v>
      </c>
      <c r="N9085" s="9" t="s">
        <v>20</v>
      </c>
      <c r="O9085" s="6" t="str">
        <f>HYPERLINK("https://pbs.twimg.com/profile_images/962471262747529216/Uo8lOkRJ_normal.jpg","View")</f>
        <v>View</v>
      </c>
      <c r="P9085" s="7"/>
    </row>
    <row r="9086" spans="1:16">
      <c r="A9086" s="3">
        <v>44067.011678240742</v>
      </c>
      <c r="B9086" s="4" t="str">
        <f>HYPERLINK("https://twitter.com/petrogustavo","@petrogustavo")</f>
        <v>@petrogustavo</v>
      </c>
      <c r="C9086" s="5" t="s">
        <v>16</v>
      </c>
      <c r="D9086" s="5" t="s">
        <v>8744</v>
      </c>
      <c r="E9086" s="6" t="str">
        <f>HYPERLINK("https://twitter.com/petrogustavo/status/1297606234619731969","1297606234619731969")</f>
        <v>1297606234619731969</v>
      </c>
      <c r="F9086" s="7" t="s">
        <v>17</v>
      </c>
      <c r="G9086" s="7">
        <v>3945740</v>
      </c>
      <c r="H9086" s="7">
        <v>2429</v>
      </c>
      <c r="I9086" s="7">
        <v>630</v>
      </c>
      <c r="J9086" s="7">
        <v>0</v>
      </c>
      <c r="K9086" s="7" t="s">
        <v>18</v>
      </c>
      <c r="L9086" s="8">
        <v>39987.315405092595</v>
      </c>
      <c r="M9086" s="9" t="s">
        <v>19</v>
      </c>
      <c r="N9086" s="9" t="s">
        <v>20</v>
      </c>
      <c r="O9086" s="6" t="str">
        <f>HYPERLINK("https://pbs.twimg.com/profile_images/962471262747529216/Uo8lOkRJ_normal.jpg","View")</f>
        <v>View</v>
      </c>
      <c r="P9086" s="7"/>
    </row>
    <row r="9087" spans="1:16">
      <c r="A9087" s="3">
        <v>44067.011793981481</v>
      </c>
      <c r="B9087" s="4" t="str">
        <f>HYPERLINK("https://twitter.com/petrogustavo","@petrogustavo")</f>
        <v>@petrogustavo</v>
      </c>
      <c r="C9087" s="5" t="s">
        <v>16</v>
      </c>
      <c r="D9087" s="5" t="s">
        <v>8745</v>
      </c>
      <c r="E9087" s="6" t="str">
        <f>HYPERLINK("https://twitter.com/petrogustavo/status/1297606276554293249","1297606276554293249")</f>
        <v>1297606276554293249</v>
      </c>
      <c r="F9087" s="7" t="s">
        <v>17</v>
      </c>
      <c r="G9087" s="7">
        <v>3945740</v>
      </c>
      <c r="H9087" s="7">
        <v>2429</v>
      </c>
      <c r="I9087" s="7">
        <v>789</v>
      </c>
      <c r="J9087" s="7">
        <v>0</v>
      </c>
      <c r="K9087" s="7" t="s">
        <v>18</v>
      </c>
      <c r="L9087" s="8">
        <v>39987.315405092595</v>
      </c>
      <c r="M9087" s="9" t="s">
        <v>19</v>
      </c>
      <c r="N9087" s="9" t="s">
        <v>20</v>
      </c>
      <c r="O9087" s="6" t="str">
        <f>HYPERLINK("https://pbs.twimg.com/profile_images/962471262747529216/Uo8lOkRJ_normal.jpg","View")</f>
        <v>View</v>
      </c>
      <c r="P9087" s="7"/>
    </row>
    <row r="9088" spans="1:16">
      <c r="A9088" s="3">
        <v>44067.103298611109</v>
      </c>
      <c r="B9088" s="4" t="str">
        <f>HYPERLINK("https://twitter.com/petrogustavo","@petrogustavo")</f>
        <v>@petrogustavo</v>
      </c>
      <c r="C9088" s="5" t="s">
        <v>16</v>
      </c>
      <c r="D9088" s="5" t="s">
        <v>8746</v>
      </c>
      <c r="E9088" s="6" t="str">
        <f>HYPERLINK("https://twitter.com/petrogustavo/status/1297639439079014400","1297639439079014400")</f>
        <v>1297639439079014400</v>
      </c>
      <c r="F9088" s="7" t="s">
        <v>17</v>
      </c>
      <c r="G9088" s="7">
        <v>3945802</v>
      </c>
      <c r="H9088" s="7">
        <v>2429</v>
      </c>
      <c r="I9088" s="7">
        <v>81</v>
      </c>
      <c r="J9088" s="7">
        <v>0</v>
      </c>
      <c r="K9088" s="7" t="s">
        <v>18</v>
      </c>
      <c r="L9088" s="8">
        <v>39987.315405092595</v>
      </c>
      <c r="M9088" s="9" t="s">
        <v>19</v>
      </c>
      <c r="N9088" s="9" t="s">
        <v>20</v>
      </c>
      <c r="O9088" s="6" t="str">
        <f>HYPERLINK("https://pbs.twimg.com/profile_images/962471262747529216/Uo8lOkRJ_normal.jpg","View")</f>
        <v>View</v>
      </c>
      <c r="P9088" s="7"/>
    </row>
    <row r="9089" spans="1:16">
      <c r="A9089" s="3">
        <v>44067.108807870369</v>
      </c>
      <c r="B9089" s="4" t="str">
        <f>HYPERLINK("https://twitter.com/petrogustavo","@petrogustavo")</f>
        <v>@petrogustavo</v>
      </c>
      <c r="C9089" s="5" t="s">
        <v>16</v>
      </c>
      <c r="D9089" s="5" t="s">
        <v>8747</v>
      </c>
      <c r="E9089" s="6" t="str">
        <f>HYPERLINK("https://twitter.com/petrogustavo/status/1297641435324469248","1297641435324469248")</f>
        <v>1297641435324469248</v>
      </c>
      <c r="F9089" s="7" t="s">
        <v>17</v>
      </c>
      <c r="G9089" s="7">
        <v>3945824</v>
      </c>
      <c r="H9089" s="7">
        <v>2429</v>
      </c>
      <c r="I9089" s="7">
        <v>147</v>
      </c>
      <c r="J9089" s="7">
        <v>0</v>
      </c>
      <c r="K9089" s="7" t="s">
        <v>18</v>
      </c>
      <c r="L9089" s="8">
        <v>39987.315405092595</v>
      </c>
      <c r="M9089" s="9" t="s">
        <v>19</v>
      </c>
      <c r="N9089" s="9" t="s">
        <v>20</v>
      </c>
      <c r="O9089" s="6" t="str">
        <f>HYPERLINK("https://pbs.twimg.com/profile_images/962471262747529216/Uo8lOkRJ_normal.jpg","View")</f>
        <v>View</v>
      </c>
      <c r="P9089" s="7"/>
    </row>
    <row r="9090" spans="1:16">
      <c r="A9090" s="3">
        <v>44067.113645833335</v>
      </c>
      <c r="B9090" s="4" t="str">
        <f>HYPERLINK("https://twitter.com/petrogustavo","@petrogustavo")</f>
        <v>@petrogustavo</v>
      </c>
      <c r="C9090" s="5" t="s">
        <v>16</v>
      </c>
      <c r="D9090" s="5" t="s">
        <v>8744</v>
      </c>
      <c r="E9090" s="6" t="str">
        <f>HYPERLINK("https://twitter.com/petrogustavo/status/1297643186471473152","1297643186471473152")</f>
        <v>1297643186471473152</v>
      </c>
      <c r="F9090" s="7" t="s">
        <v>17</v>
      </c>
      <c r="G9090" s="7">
        <v>3945824</v>
      </c>
      <c r="H9090" s="7">
        <v>2429</v>
      </c>
      <c r="I9090" s="7">
        <v>733</v>
      </c>
      <c r="J9090" s="7">
        <v>0</v>
      </c>
      <c r="K9090" s="7" t="s">
        <v>18</v>
      </c>
      <c r="L9090" s="8">
        <v>39987.315405092595</v>
      </c>
      <c r="M9090" s="9" t="s">
        <v>19</v>
      </c>
      <c r="N9090" s="9" t="s">
        <v>20</v>
      </c>
      <c r="O9090" s="6" t="str">
        <f>HYPERLINK("https://pbs.twimg.com/profile_images/962471262747529216/Uo8lOkRJ_normal.jpg","View")</f>
        <v>View</v>
      </c>
      <c r="P9090" s="7"/>
    </row>
    <row r="9091" spans="1:16">
      <c r="A9091" s="3">
        <v>44067.113773148143</v>
      </c>
      <c r="B9091" s="4" t="str">
        <f>HYPERLINK("https://twitter.com/petrogustavo","@petrogustavo")</f>
        <v>@petrogustavo</v>
      </c>
      <c r="C9091" s="5" t="s">
        <v>16</v>
      </c>
      <c r="D9091" s="5" t="s">
        <v>8745</v>
      </c>
      <c r="E9091" s="6" t="str">
        <f>HYPERLINK("https://twitter.com/petrogustavo/status/1297643233053376514","1297643233053376514")</f>
        <v>1297643233053376514</v>
      </c>
      <c r="F9091" s="7" t="s">
        <v>17</v>
      </c>
      <c r="G9091" s="7">
        <v>3945824</v>
      </c>
      <c r="H9091" s="7">
        <v>2429</v>
      </c>
      <c r="I9091" s="7">
        <v>953</v>
      </c>
      <c r="J9091" s="7">
        <v>0</v>
      </c>
      <c r="K9091" s="7" t="s">
        <v>18</v>
      </c>
      <c r="L9091" s="8">
        <v>39987.315405092595</v>
      </c>
      <c r="M9091" s="9" t="s">
        <v>19</v>
      </c>
      <c r="N9091" s="9" t="s">
        <v>20</v>
      </c>
      <c r="O9091" s="6" t="str">
        <f>HYPERLINK("https://pbs.twimg.com/profile_images/962471262747529216/Uo8lOkRJ_normal.jpg","View")</f>
        <v>View</v>
      </c>
      <c r="P9091" s="7"/>
    </row>
    <row r="9092" spans="1:16">
      <c r="A9092" s="3">
        <v>44067.259710648148</v>
      </c>
      <c r="B9092" s="4" t="str">
        <f>HYPERLINK("https://twitter.com/petrogustavo","@petrogustavo")</f>
        <v>@petrogustavo</v>
      </c>
      <c r="C9092" s="5" t="s">
        <v>16</v>
      </c>
      <c r="D9092" s="5" t="s">
        <v>8748</v>
      </c>
      <c r="E9092" s="6" t="str">
        <f>HYPERLINK("https://twitter.com/petrogustavo/status/1297696118139232257","1297696118139232257")</f>
        <v>1297696118139232257</v>
      </c>
      <c r="F9092" s="7" t="s">
        <v>32</v>
      </c>
      <c r="G9092" s="7">
        <v>3946013</v>
      </c>
      <c r="H9092" s="7">
        <v>2429</v>
      </c>
      <c r="I9092" s="7">
        <v>53</v>
      </c>
      <c r="J9092" s="7">
        <v>235</v>
      </c>
      <c r="K9092" s="7" t="s">
        <v>18</v>
      </c>
      <c r="L9092" s="8">
        <v>39987.315405092595</v>
      </c>
      <c r="M9092" s="9" t="s">
        <v>19</v>
      </c>
      <c r="N9092" s="9" t="s">
        <v>20</v>
      </c>
      <c r="O9092" s="6" t="str">
        <f>HYPERLINK("https://pbs.twimg.com/profile_images/962471262747529216/Uo8lOkRJ_normal.jpg","View")</f>
        <v>View</v>
      </c>
      <c r="P9092" s="7"/>
    </row>
    <row r="9093" spans="1:16">
      <c r="A9093" s="3">
        <v>44067.284710648149</v>
      </c>
      <c r="B9093" s="4" t="str">
        <f>HYPERLINK("https://twitter.com/petrogustavo","@petrogustavo")</f>
        <v>@petrogustavo</v>
      </c>
      <c r="C9093" s="5" t="s">
        <v>16</v>
      </c>
      <c r="D9093" s="5" t="s">
        <v>8749</v>
      </c>
      <c r="E9093" s="6" t="str">
        <f>HYPERLINK("https://twitter.com/petrogustavo/status/1297705178423074817","1297705178423074817")</f>
        <v>1297705178423074817</v>
      </c>
      <c r="F9093" s="7" t="s">
        <v>32</v>
      </c>
      <c r="G9093" s="7">
        <v>3946074</v>
      </c>
      <c r="H9093" s="7">
        <v>2429</v>
      </c>
      <c r="I9093" s="7">
        <v>130</v>
      </c>
      <c r="J9093" s="7">
        <v>0</v>
      </c>
      <c r="K9093" s="7" t="s">
        <v>18</v>
      </c>
      <c r="L9093" s="8">
        <v>39987.315405092595</v>
      </c>
      <c r="M9093" s="9" t="s">
        <v>19</v>
      </c>
      <c r="N9093" s="9" t="s">
        <v>20</v>
      </c>
      <c r="O9093" s="6" t="str">
        <f>HYPERLINK("https://pbs.twimg.com/profile_images/962471262747529216/Uo8lOkRJ_normal.jpg","View")</f>
        <v>View</v>
      </c>
      <c r="P9093" s="7"/>
    </row>
    <row r="9094" spans="1:16">
      <c r="A9094" s="3">
        <v>44067.349108796298</v>
      </c>
      <c r="B9094" s="4" t="str">
        <f>HYPERLINK("https://twitter.com/petrogustavo","@petrogustavo")</f>
        <v>@petrogustavo</v>
      </c>
      <c r="C9094" s="5" t="s">
        <v>16</v>
      </c>
      <c r="D9094" s="5" t="s">
        <v>8750</v>
      </c>
      <c r="E9094" s="6" t="str">
        <f>HYPERLINK("https://twitter.com/petrogustavo/status/1297728516621062145","1297728516621062145")</f>
        <v>1297728516621062145</v>
      </c>
      <c r="F9094" s="7" t="s">
        <v>32</v>
      </c>
      <c r="G9094" s="7">
        <v>3946171</v>
      </c>
      <c r="H9094" s="7">
        <v>2429</v>
      </c>
      <c r="I9094" s="7">
        <v>959</v>
      </c>
      <c r="J9094" s="7">
        <v>3911</v>
      </c>
      <c r="K9094" s="7" t="s">
        <v>18</v>
      </c>
      <c r="L9094" s="8">
        <v>39987.315405092595</v>
      </c>
      <c r="M9094" s="9" t="s">
        <v>19</v>
      </c>
      <c r="N9094" s="9" t="s">
        <v>20</v>
      </c>
      <c r="O9094" s="6" t="str">
        <f>HYPERLINK("https://pbs.twimg.com/profile_images/962471262747529216/Uo8lOkRJ_normal.jpg","View")</f>
        <v>View</v>
      </c>
      <c r="P9094" s="7"/>
    </row>
    <row r="9095" spans="1:16">
      <c r="A9095" s="3">
        <v>44067.759606481486</v>
      </c>
      <c r="B9095" s="4" t="str">
        <f>HYPERLINK("https://twitter.com/petrogustavo","@petrogustavo")</f>
        <v>@petrogustavo</v>
      </c>
      <c r="C9095" s="5" t="s">
        <v>16</v>
      </c>
      <c r="D9095" s="5" t="s">
        <v>8751</v>
      </c>
      <c r="E9095" s="6" t="str">
        <f>HYPERLINK("https://twitter.com/petrogustavo/status/1297877273782226946","1297877273782226946")</f>
        <v>1297877273782226946</v>
      </c>
      <c r="F9095" s="7" t="s">
        <v>17</v>
      </c>
      <c r="G9095" s="7">
        <v>3946405</v>
      </c>
      <c r="H9095" s="7">
        <v>2429</v>
      </c>
      <c r="I9095" s="7">
        <v>38</v>
      </c>
      <c r="J9095" s="7">
        <v>103</v>
      </c>
      <c r="K9095" s="7" t="s">
        <v>18</v>
      </c>
      <c r="L9095" s="8">
        <v>39987.315405092595</v>
      </c>
      <c r="M9095" s="9" t="s">
        <v>19</v>
      </c>
      <c r="N9095" s="9" t="s">
        <v>20</v>
      </c>
      <c r="O9095" s="6" t="str">
        <f>HYPERLINK("https://pbs.twimg.com/profile_images/962471262747529216/Uo8lOkRJ_normal.jpg","View")</f>
        <v>View</v>
      </c>
      <c r="P9095" s="7"/>
    </row>
    <row r="9096" spans="1:16">
      <c r="A9096" s="3">
        <v>44067.769791666666</v>
      </c>
      <c r="B9096" s="4" t="str">
        <f>HYPERLINK("https://twitter.com/petrogustavo","@petrogustavo")</f>
        <v>@petrogustavo</v>
      </c>
      <c r="C9096" s="5" t="s">
        <v>16</v>
      </c>
      <c r="D9096" s="5" t="s">
        <v>8752</v>
      </c>
      <c r="E9096" s="6" t="str">
        <f>HYPERLINK("https://twitter.com/petrogustavo/status/1297880965747015686","1297880965747015686")</f>
        <v>1297880965747015686</v>
      </c>
      <c r="F9096" s="7" t="s">
        <v>17</v>
      </c>
      <c r="G9096" s="7">
        <v>3946440</v>
      </c>
      <c r="H9096" s="7">
        <v>2429</v>
      </c>
      <c r="I9096" s="7">
        <v>34</v>
      </c>
      <c r="J9096" s="7">
        <v>0</v>
      </c>
      <c r="K9096" s="7" t="s">
        <v>18</v>
      </c>
      <c r="L9096" s="8">
        <v>39987.315405092595</v>
      </c>
      <c r="M9096" s="9" t="s">
        <v>19</v>
      </c>
      <c r="N9096" s="9" t="s">
        <v>20</v>
      </c>
      <c r="O9096" s="6" t="str">
        <f>HYPERLINK("https://pbs.twimg.com/profile_images/962471262747529216/Uo8lOkRJ_normal.jpg","View")</f>
        <v>View</v>
      </c>
      <c r="P9096" s="7"/>
    </row>
    <row r="9097" spans="1:16">
      <c r="A9097" s="3">
        <v>44067.771817129629</v>
      </c>
      <c r="B9097" s="4" t="str">
        <f>HYPERLINK("https://twitter.com/petrogustavo","@petrogustavo")</f>
        <v>@petrogustavo</v>
      </c>
      <c r="C9097" s="5" t="s">
        <v>16</v>
      </c>
      <c r="D9097" s="5" t="s">
        <v>8753</v>
      </c>
      <c r="E9097" s="6" t="str">
        <f>HYPERLINK("https://twitter.com/petrogustavo/status/1297881701910220800","1297881701910220800")</f>
        <v>1297881701910220800</v>
      </c>
      <c r="F9097" s="7" t="s">
        <v>17</v>
      </c>
      <c r="G9097" s="7">
        <v>3946440</v>
      </c>
      <c r="H9097" s="7">
        <v>2429</v>
      </c>
      <c r="I9097" s="7">
        <v>128</v>
      </c>
      <c r="J9097" s="7">
        <v>0</v>
      </c>
      <c r="K9097" s="7" t="s">
        <v>18</v>
      </c>
      <c r="L9097" s="8">
        <v>39987.315405092595</v>
      </c>
      <c r="M9097" s="9" t="s">
        <v>19</v>
      </c>
      <c r="N9097" s="9" t="s">
        <v>20</v>
      </c>
      <c r="O9097" s="6" t="str">
        <f>HYPERLINK("https://pbs.twimg.com/profile_images/962471262747529216/Uo8lOkRJ_normal.jpg","View")</f>
        <v>View</v>
      </c>
      <c r="P9097" s="7"/>
    </row>
    <row r="9098" spans="1:16">
      <c r="A9098" s="3">
        <v>44067.773020833338</v>
      </c>
      <c r="B9098" s="4" t="str">
        <f>HYPERLINK("https://twitter.com/petrogustavo","@petrogustavo")</f>
        <v>@petrogustavo</v>
      </c>
      <c r="C9098" s="5" t="s">
        <v>16</v>
      </c>
      <c r="D9098" s="5" t="s">
        <v>8754</v>
      </c>
      <c r="E9098" s="6" t="str">
        <f>HYPERLINK("https://twitter.com/petrogustavo/status/1297882134808600577","1297882134808600577")</f>
        <v>1297882134808600577</v>
      </c>
      <c r="F9098" s="7" t="s">
        <v>17</v>
      </c>
      <c r="G9098" s="7">
        <v>3946440</v>
      </c>
      <c r="H9098" s="7">
        <v>2429</v>
      </c>
      <c r="I9098" s="7">
        <v>110</v>
      </c>
      <c r="J9098" s="7">
        <v>214</v>
      </c>
      <c r="K9098" s="7" t="s">
        <v>18</v>
      </c>
      <c r="L9098" s="8">
        <v>39987.315405092595</v>
      </c>
      <c r="M9098" s="9" t="s">
        <v>19</v>
      </c>
      <c r="N9098" s="9" t="s">
        <v>20</v>
      </c>
      <c r="O9098" s="6" t="str">
        <f>HYPERLINK("https://pbs.twimg.com/profile_images/962471262747529216/Uo8lOkRJ_normal.jpg","View")</f>
        <v>View</v>
      </c>
      <c r="P9098" s="7"/>
    </row>
    <row r="9099" spans="1:16">
      <c r="A9099" s="3">
        <v>44067.774930555555</v>
      </c>
      <c r="B9099" s="4" t="str">
        <f>HYPERLINK("https://twitter.com/petrogustavo","@petrogustavo")</f>
        <v>@petrogustavo</v>
      </c>
      <c r="C9099" s="5" t="s">
        <v>16</v>
      </c>
      <c r="D9099" s="5" t="s">
        <v>8755</v>
      </c>
      <c r="E9099" s="6" t="str">
        <f>HYPERLINK("https://twitter.com/petrogustavo/status/1297882827825061888","1297882827825061888")</f>
        <v>1297882827825061888</v>
      </c>
      <c r="F9099" s="7" t="s">
        <v>17</v>
      </c>
      <c r="G9099" s="7">
        <v>3946440</v>
      </c>
      <c r="H9099" s="7">
        <v>2429</v>
      </c>
      <c r="I9099" s="7">
        <v>58</v>
      </c>
      <c r="J9099" s="7">
        <v>161</v>
      </c>
      <c r="K9099" s="7" t="s">
        <v>18</v>
      </c>
      <c r="L9099" s="8">
        <v>39987.315405092595</v>
      </c>
      <c r="M9099" s="9" t="s">
        <v>19</v>
      </c>
      <c r="N9099" s="9" t="s">
        <v>20</v>
      </c>
      <c r="O9099" s="6" t="str">
        <f>HYPERLINK("https://pbs.twimg.com/profile_images/962471262747529216/Uo8lOkRJ_normal.jpg","View")</f>
        <v>View</v>
      </c>
      <c r="P9099" s="7"/>
    </row>
    <row r="9100" spans="1:16">
      <c r="A9100" s="3">
        <v>44067.776701388888</v>
      </c>
      <c r="B9100" s="4" t="str">
        <f>HYPERLINK("https://twitter.com/petrogustavo","@petrogustavo")</f>
        <v>@petrogustavo</v>
      </c>
      <c r="C9100" s="5" t="s">
        <v>16</v>
      </c>
      <c r="D9100" s="5" t="s">
        <v>8756</v>
      </c>
      <c r="E9100" s="6" t="str">
        <f>HYPERLINK("https://twitter.com/petrogustavo/status/1297883471864569856","1297883471864569856")</f>
        <v>1297883471864569856</v>
      </c>
      <c r="F9100" s="7" t="s">
        <v>17</v>
      </c>
      <c r="G9100" s="7">
        <v>3946440</v>
      </c>
      <c r="H9100" s="7">
        <v>2429</v>
      </c>
      <c r="I9100" s="7">
        <v>188</v>
      </c>
      <c r="J9100" s="7">
        <v>625</v>
      </c>
      <c r="K9100" s="7" t="s">
        <v>18</v>
      </c>
      <c r="L9100" s="8">
        <v>39987.315405092595</v>
      </c>
      <c r="M9100" s="9" t="s">
        <v>19</v>
      </c>
      <c r="N9100" s="9" t="s">
        <v>20</v>
      </c>
      <c r="O9100" s="6" t="str">
        <f>HYPERLINK("https://pbs.twimg.com/profile_images/962471262747529216/Uo8lOkRJ_normal.jpg","View")</f>
        <v>View</v>
      </c>
      <c r="P9100" s="7"/>
    </row>
    <row r="9101" spans="1:16">
      <c r="A9101" s="3">
        <v>44067.811006944445</v>
      </c>
      <c r="B9101" s="4" t="str">
        <f>HYPERLINK("https://twitter.com/petrogustavo","@petrogustavo")</f>
        <v>@petrogustavo</v>
      </c>
      <c r="C9101" s="5" t="s">
        <v>16</v>
      </c>
      <c r="D9101" s="5" t="s">
        <v>8757</v>
      </c>
      <c r="E9101" s="6" t="str">
        <f>HYPERLINK("https://twitter.com/petrogustavo/status/1297895900359131141","1297895900359131141")</f>
        <v>1297895900359131141</v>
      </c>
      <c r="F9101" s="7" t="s">
        <v>17</v>
      </c>
      <c r="G9101" s="7">
        <v>3946498</v>
      </c>
      <c r="H9101" s="7">
        <v>2429</v>
      </c>
      <c r="I9101" s="7">
        <v>3803</v>
      </c>
      <c r="J9101" s="7">
        <v>0</v>
      </c>
      <c r="K9101" s="7" t="s">
        <v>18</v>
      </c>
      <c r="L9101" s="8">
        <v>39987.315405092595</v>
      </c>
      <c r="M9101" s="9" t="s">
        <v>19</v>
      </c>
      <c r="N9101" s="9" t="s">
        <v>20</v>
      </c>
      <c r="O9101" s="6" t="str">
        <f>HYPERLINK("https://pbs.twimg.com/profile_images/962471262747529216/Uo8lOkRJ_normal.jpg","View")</f>
        <v>View</v>
      </c>
      <c r="P9101" s="7"/>
    </row>
    <row r="9102" spans="1:16">
      <c r="A9102" s="3">
        <v>44067.974872685183</v>
      </c>
      <c r="B9102" s="4" t="str">
        <f>HYPERLINK("https://twitter.com/petrogustavo","@petrogustavo")</f>
        <v>@petrogustavo</v>
      </c>
      <c r="C9102" s="5" t="s">
        <v>16</v>
      </c>
      <c r="D9102" s="5" t="s">
        <v>8758</v>
      </c>
      <c r="E9102" s="6" t="str">
        <f>HYPERLINK("https://twitter.com/petrogustavo/status/1297955283675865095","1297955283675865095")</f>
        <v>1297955283675865095</v>
      </c>
      <c r="F9102" s="7" t="s">
        <v>32</v>
      </c>
      <c r="G9102" s="7">
        <v>3946809</v>
      </c>
      <c r="H9102" s="7">
        <v>2429</v>
      </c>
      <c r="I9102" s="7">
        <v>239</v>
      </c>
      <c r="J9102" s="7">
        <v>0</v>
      </c>
      <c r="K9102" s="7" t="s">
        <v>18</v>
      </c>
      <c r="L9102" s="8">
        <v>39987.315405092595</v>
      </c>
      <c r="M9102" s="9" t="s">
        <v>19</v>
      </c>
      <c r="N9102" s="9" t="s">
        <v>20</v>
      </c>
      <c r="O9102" s="6" t="str">
        <f>HYPERLINK("https://pbs.twimg.com/profile_images/962471262747529216/Uo8lOkRJ_normal.jpg","View")</f>
        <v>View</v>
      </c>
      <c r="P9102" s="7"/>
    </row>
    <row r="9103" spans="1:16">
      <c r="A9103" s="3">
        <v>44067.989305555559</v>
      </c>
      <c r="B9103" s="4" t="str">
        <f>HYPERLINK("https://twitter.com/petrogustavo","@petrogustavo")</f>
        <v>@petrogustavo</v>
      </c>
      <c r="C9103" s="5" t="s">
        <v>16</v>
      </c>
      <c r="D9103" s="5" t="s">
        <v>8759</v>
      </c>
      <c r="E9103" s="6" t="str">
        <f>HYPERLINK("https://twitter.com/petrogustavo/status/1297960515994624000","1297960515994624000")</f>
        <v>1297960515994624000</v>
      </c>
      <c r="F9103" s="7" t="s">
        <v>32</v>
      </c>
      <c r="G9103" s="7">
        <v>3946809</v>
      </c>
      <c r="H9103" s="7">
        <v>2429</v>
      </c>
      <c r="I9103" s="7">
        <v>1859</v>
      </c>
      <c r="J9103" s="7">
        <v>0</v>
      </c>
      <c r="K9103" s="7" t="s">
        <v>18</v>
      </c>
      <c r="L9103" s="8">
        <v>39987.315405092595</v>
      </c>
      <c r="M9103" s="9" t="s">
        <v>19</v>
      </c>
      <c r="N9103" s="9" t="s">
        <v>20</v>
      </c>
      <c r="O9103" s="6" t="str">
        <f>HYPERLINK("https://pbs.twimg.com/profile_images/962471262747529216/Uo8lOkRJ_normal.jpg","View")</f>
        <v>View</v>
      </c>
      <c r="P9103" s="7"/>
    </row>
    <row r="9104" spans="1:16">
      <c r="A9104" s="3">
        <v>44068.15834490741</v>
      </c>
      <c r="B9104" s="4" t="str">
        <f>HYPERLINK("https://twitter.com/petrogustavo","@petrogustavo")</f>
        <v>@petrogustavo</v>
      </c>
      <c r="C9104" s="5" t="s">
        <v>16</v>
      </c>
      <c r="D9104" s="5" t="s">
        <v>8760</v>
      </c>
      <c r="E9104" s="6" t="str">
        <f>HYPERLINK("https://twitter.com/petrogustavo/status/1298021772495933441","1298021772495933441")</f>
        <v>1298021772495933441</v>
      </c>
      <c r="F9104" s="7" t="s">
        <v>32</v>
      </c>
      <c r="G9104" s="7">
        <v>3947076</v>
      </c>
      <c r="H9104" s="7">
        <v>2429</v>
      </c>
      <c r="I9104" s="7">
        <v>242</v>
      </c>
      <c r="J9104" s="7">
        <v>0</v>
      </c>
      <c r="K9104" s="7" t="s">
        <v>18</v>
      </c>
      <c r="L9104" s="8">
        <v>39987.315405092595</v>
      </c>
      <c r="M9104" s="9" t="s">
        <v>19</v>
      </c>
      <c r="N9104" s="9" t="s">
        <v>20</v>
      </c>
      <c r="O9104" s="6" t="str">
        <f>HYPERLINK("https://pbs.twimg.com/profile_images/962471262747529216/Uo8lOkRJ_normal.jpg","View")</f>
        <v>View</v>
      </c>
      <c r="P9104" s="7"/>
    </row>
    <row r="9105" spans="1:16">
      <c r="A9105" s="3">
        <v>44068.205972222218</v>
      </c>
      <c r="B9105" s="4" t="str">
        <f>HYPERLINK("https://twitter.com/petrogustavo","@petrogustavo")</f>
        <v>@petrogustavo</v>
      </c>
      <c r="C9105" s="5" t="s">
        <v>16</v>
      </c>
      <c r="D9105" s="5" t="s">
        <v>8761</v>
      </c>
      <c r="E9105" s="6" t="str">
        <f>HYPERLINK("https://twitter.com/petrogustavo/status/1298039033269035014","1298039033269035014")</f>
        <v>1298039033269035014</v>
      </c>
      <c r="F9105" s="7" t="s">
        <v>17</v>
      </c>
      <c r="G9105" s="7">
        <v>3947117</v>
      </c>
      <c r="H9105" s="7">
        <v>2429</v>
      </c>
      <c r="I9105" s="7">
        <v>191</v>
      </c>
      <c r="J9105" s="7">
        <v>437</v>
      </c>
      <c r="K9105" s="7" t="s">
        <v>18</v>
      </c>
      <c r="L9105" s="8">
        <v>39987.315405092595</v>
      </c>
      <c r="M9105" s="9" t="s">
        <v>19</v>
      </c>
      <c r="N9105" s="9" t="s">
        <v>20</v>
      </c>
      <c r="O9105" s="6" t="str">
        <f>HYPERLINK("https://pbs.twimg.com/profile_images/962471262747529216/Uo8lOkRJ_normal.jpg","View")</f>
        <v>View</v>
      </c>
      <c r="P9105" s="7"/>
    </row>
    <row r="9106" spans="1:16">
      <c r="A9106" s="3">
        <v>44068.214641203704</v>
      </c>
      <c r="B9106" s="4" t="str">
        <f>HYPERLINK("https://twitter.com/petrogustavo","@petrogustavo")</f>
        <v>@petrogustavo</v>
      </c>
      <c r="C9106" s="5" t="s">
        <v>16</v>
      </c>
      <c r="D9106" s="5" t="s">
        <v>8762</v>
      </c>
      <c r="E9106" s="6" t="str">
        <f>HYPERLINK("https://twitter.com/petrogustavo/status/1298042172994924554","1298042172994924554")</f>
        <v>1298042172994924554</v>
      </c>
      <c r="F9106" s="7" t="s">
        <v>32</v>
      </c>
      <c r="G9106" s="7">
        <v>3947117</v>
      </c>
      <c r="H9106" s="7">
        <v>2429</v>
      </c>
      <c r="I9106" s="7">
        <v>315</v>
      </c>
      <c r="J9106" s="7">
        <v>847</v>
      </c>
      <c r="K9106" s="7" t="s">
        <v>18</v>
      </c>
      <c r="L9106" s="8">
        <v>39987.315405092595</v>
      </c>
      <c r="M9106" s="9" t="s">
        <v>19</v>
      </c>
      <c r="N9106" s="9" t="s">
        <v>20</v>
      </c>
      <c r="O9106" s="6" t="str">
        <f>HYPERLINK("https://pbs.twimg.com/profile_images/962471262747529216/Uo8lOkRJ_normal.jpg","View")</f>
        <v>View</v>
      </c>
      <c r="P9106" s="7"/>
    </row>
    <row r="9107" spans="1:16">
      <c r="A9107" s="3">
        <v>44068.233206018514</v>
      </c>
      <c r="B9107" s="4" t="str">
        <f>HYPERLINK("https://twitter.com/petrogustavo","@petrogustavo")</f>
        <v>@petrogustavo</v>
      </c>
      <c r="C9107" s="5" t="s">
        <v>16</v>
      </c>
      <c r="D9107" s="5" t="s">
        <v>8763</v>
      </c>
      <c r="E9107" s="6" t="str">
        <f>HYPERLINK("https://twitter.com/petrogustavo/status/1298048901996519424","1298048901996519424")</f>
        <v>1298048901996519424</v>
      </c>
      <c r="F9107" s="7" t="s">
        <v>32</v>
      </c>
      <c r="G9107" s="7">
        <v>3947143</v>
      </c>
      <c r="H9107" s="7">
        <v>2429</v>
      </c>
      <c r="I9107" s="7">
        <v>175</v>
      </c>
      <c r="J9107" s="7">
        <v>485</v>
      </c>
      <c r="K9107" s="7" t="s">
        <v>18</v>
      </c>
      <c r="L9107" s="8">
        <v>39987.315405092595</v>
      </c>
      <c r="M9107" s="9" t="s">
        <v>19</v>
      </c>
      <c r="N9107" s="9" t="s">
        <v>20</v>
      </c>
      <c r="O9107" s="6" t="str">
        <f>HYPERLINK("https://pbs.twimg.com/profile_images/962471262747529216/Uo8lOkRJ_normal.jpg","View")</f>
        <v>View</v>
      </c>
      <c r="P9107" s="7"/>
    </row>
    <row r="9108" spans="1:16">
      <c r="A9108" s="3">
        <v>44068.274606481486</v>
      </c>
      <c r="B9108" s="4" t="str">
        <f>HYPERLINK("https://twitter.com/petrogustavo","@petrogustavo")</f>
        <v>@petrogustavo</v>
      </c>
      <c r="C9108" s="5" t="s">
        <v>16</v>
      </c>
      <c r="D9108" s="5" t="s">
        <v>8764</v>
      </c>
      <c r="E9108" s="6" t="str">
        <f>HYPERLINK("https://twitter.com/petrogustavo/status/1298063903734333442","1298063903734333442")</f>
        <v>1298063903734333442</v>
      </c>
      <c r="F9108" s="7" t="s">
        <v>32</v>
      </c>
      <c r="G9108" s="7">
        <v>3947210</v>
      </c>
      <c r="H9108" s="7">
        <v>2429</v>
      </c>
      <c r="I9108" s="7">
        <v>80</v>
      </c>
      <c r="J9108" s="7">
        <v>0</v>
      </c>
      <c r="K9108" s="7" t="s">
        <v>18</v>
      </c>
      <c r="L9108" s="8">
        <v>39987.315405092595</v>
      </c>
      <c r="M9108" s="9" t="s">
        <v>19</v>
      </c>
      <c r="N9108" s="9" t="s">
        <v>20</v>
      </c>
      <c r="O9108" s="6" t="str">
        <f>HYPERLINK("https://pbs.twimg.com/profile_images/962471262747529216/Uo8lOkRJ_normal.jpg","View")</f>
        <v>View</v>
      </c>
      <c r="P9108" s="7"/>
    </row>
    <row r="9109" spans="1:16">
      <c r="A9109" s="3">
        <v>44068.276469907403</v>
      </c>
      <c r="B9109" s="4" t="str">
        <f>HYPERLINK("https://twitter.com/petrogustavo","@petrogustavo")</f>
        <v>@petrogustavo</v>
      </c>
      <c r="C9109" s="5" t="s">
        <v>16</v>
      </c>
      <c r="D9109" s="5" t="s">
        <v>8765</v>
      </c>
      <c r="E9109" s="6" t="str">
        <f>HYPERLINK("https://twitter.com/petrogustavo/status/1298064582112616450","1298064582112616450")</f>
        <v>1298064582112616450</v>
      </c>
      <c r="F9109" s="7" t="s">
        <v>32</v>
      </c>
      <c r="G9109" s="7">
        <v>3947210</v>
      </c>
      <c r="H9109" s="7">
        <v>2429</v>
      </c>
      <c r="I9109" s="7">
        <v>450</v>
      </c>
      <c r="J9109" s="7">
        <v>0</v>
      </c>
      <c r="K9109" s="7" t="s">
        <v>18</v>
      </c>
      <c r="L9109" s="8">
        <v>39987.315405092595</v>
      </c>
      <c r="M9109" s="9" t="s">
        <v>19</v>
      </c>
      <c r="N9109" s="9" t="s">
        <v>20</v>
      </c>
      <c r="O9109" s="6" t="str">
        <f>HYPERLINK("https://pbs.twimg.com/profile_images/962471262747529216/Uo8lOkRJ_normal.jpg","View")</f>
        <v>View</v>
      </c>
      <c r="P9109" s="7"/>
    </row>
    <row r="9110" spans="1:16">
      <c r="A9110" s="3">
        <v>44068.748773148152</v>
      </c>
      <c r="B9110" s="4" t="str">
        <f>HYPERLINK("https://twitter.com/petrogustavo","@petrogustavo")</f>
        <v>@petrogustavo</v>
      </c>
      <c r="C9110" s="5" t="s">
        <v>16</v>
      </c>
      <c r="D9110" s="5" t="s">
        <v>8766</v>
      </c>
      <c r="E9110" s="6" t="str">
        <f>HYPERLINK("https://twitter.com/petrogustavo/status/1298235738039910400","1298235738039910400")</f>
        <v>1298235738039910400</v>
      </c>
      <c r="F9110" s="7" t="s">
        <v>32</v>
      </c>
      <c r="G9110" s="7">
        <v>3947515</v>
      </c>
      <c r="H9110" s="7">
        <v>2428</v>
      </c>
      <c r="I9110" s="7">
        <v>363</v>
      </c>
      <c r="J9110" s="7">
        <v>658</v>
      </c>
      <c r="K9110" s="7" t="s">
        <v>18</v>
      </c>
      <c r="L9110" s="8">
        <v>39987.315405092595</v>
      </c>
      <c r="M9110" s="9" t="s">
        <v>19</v>
      </c>
      <c r="N9110" s="9" t="s">
        <v>20</v>
      </c>
      <c r="O9110" s="6" t="str">
        <f>HYPERLINK("https://pbs.twimg.com/profile_images/962471262747529216/Uo8lOkRJ_normal.jpg","View")</f>
        <v>View</v>
      </c>
      <c r="P9110" s="7"/>
    </row>
    <row r="9111" spans="1:16">
      <c r="A9111" s="3">
        <v>44068.760150462964</v>
      </c>
      <c r="B9111" s="4" t="str">
        <f>HYPERLINK("https://twitter.com/petrogustavo","@petrogustavo")</f>
        <v>@petrogustavo</v>
      </c>
      <c r="C9111" s="5" t="s">
        <v>16</v>
      </c>
      <c r="D9111" s="5" t="s">
        <v>8767</v>
      </c>
      <c r="E9111" s="6" t="str">
        <f>HYPERLINK("https://twitter.com/petrogustavo/status/1298239859476369408","1298239859476369408")</f>
        <v>1298239859476369408</v>
      </c>
      <c r="F9111" s="7" t="s">
        <v>32</v>
      </c>
      <c r="G9111" s="7">
        <v>3947515</v>
      </c>
      <c r="H9111" s="7">
        <v>2428</v>
      </c>
      <c r="I9111" s="7">
        <v>61</v>
      </c>
      <c r="J9111" s="7">
        <v>165</v>
      </c>
      <c r="K9111" s="7" t="s">
        <v>18</v>
      </c>
      <c r="L9111" s="8">
        <v>39987.315405092595</v>
      </c>
      <c r="M9111" s="9" t="s">
        <v>19</v>
      </c>
      <c r="N9111" s="9" t="s">
        <v>20</v>
      </c>
      <c r="O9111" s="6" t="str">
        <f>HYPERLINK("https://pbs.twimg.com/profile_images/962471262747529216/Uo8lOkRJ_normal.jpg","View")</f>
        <v>View</v>
      </c>
      <c r="P9111" s="7"/>
    </row>
    <row r="9112" spans="1:16">
      <c r="A9112" s="3">
        <v>44068.760393518518</v>
      </c>
      <c r="B9112" s="4" t="str">
        <f>HYPERLINK("https://twitter.com/petrogustavo","@petrogustavo")</f>
        <v>@petrogustavo</v>
      </c>
      <c r="C9112" s="5" t="s">
        <v>16</v>
      </c>
      <c r="D9112" s="5" t="s">
        <v>8768</v>
      </c>
      <c r="E9112" s="6" t="str">
        <f>HYPERLINK("https://twitter.com/petrogustavo/status/1298239946671751174","1298239946671751174")</f>
        <v>1298239946671751174</v>
      </c>
      <c r="F9112" s="7" t="s">
        <v>32</v>
      </c>
      <c r="G9112" s="7">
        <v>3947515</v>
      </c>
      <c r="H9112" s="7">
        <v>2428</v>
      </c>
      <c r="I9112" s="7">
        <v>363</v>
      </c>
      <c r="J9112" s="7">
        <v>0</v>
      </c>
      <c r="K9112" s="7" t="s">
        <v>18</v>
      </c>
      <c r="L9112" s="8">
        <v>39987.315405092595</v>
      </c>
      <c r="M9112" s="9" t="s">
        <v>19</v>
      </c>
      <c r="N9112" s="9" t="s">
        <v>20</v>
      </c>
      <c r="O9112" s="6" t="str">
        <f>HYPERLINK("https://pbs.twimg.com/profile_images/962471262747529216/Uo8lOkRJ_normal.jpg","View")</f>
        <v>View</v>
      </c>
      <c r="P9112" s="7"/>
    </row>
    <row r="9113" spans="1:16">
      <c r="A9113" s="3">
        <v>44068.776643518519</v>
      </c>
      <c r="B9113" s="4" t="str">
        <f>HYPERLINK("https://twitter.com/petrogustavo","@petrogustavo")</f>
        <v>@petrogustavo</v>
      </c>
      <c r="C9113" s="5" t="s">
        <v>16</v>
      </c>
      <c r="D9113" s="5" t="s">
        <v>8769</v>
      </c>
      <c r="E9113" s="6" t="str">
        <f>HYPERLINK("https://twitter.com/petrogustavo/status/1298245838498668546","1298245838498668546")</f>
        <v>1298245838498668546</v>
      </c>
      <c r="F9113" s="7" t="s">
        <v>17</v>
      </c>
      <c r="G9113" s="7">
        <v>3947547</v>
      </c>
      <c r="H9113" s="7">
        <v>2428</v>
      </c>
      <c r="I9113" s="7">
        <v>88</v>
      </c>
      <c r="J9113" s="7">
        <v>216</v>
      </c>
      <c r="K9113" s="7" t="s">
        <v>18</v>
      </c>
      <c r="L9113" s="8">
        <v>39987.315405092595</v>
      </c>
      <c r="M9113" s="9" t="s">
        <v>19</v>
      </c>
      <c r="N9113" s="9" t="s">
        <v>20</v>
      </c>
      <c r="O9113" s="6" t="str">
        <f>HYPERLINK("https://pbs.twimg.com/profile_images/962471262747529216/Uo8lOkRJ_normal.jpg","View")</f>
        <v>View</v>
      </c>
      <c r="P9113" s="7"/>
    </row>
    <row r="9114" spans="1:16">
      <c r="A9114" s="3">
        <v>44068.778900462959</v>
      </c>
      <c r="B9114" s="4" t="str">
        <f>HYPERLINK("https://twitter.com/petrogustavo","@petrogustavo")</f>
        <v>@petrogustavo</v>
      </c>
      <c r="C9114" s="5" t="s">
        <v>16</v>
      </c>
      <c r="D9114" s="5" t="s">
        <v>8770</v>
      </c>
      <c r="E9114" s="6" t="str">
        <f>HYPERLINK("https://twitter.com/petrogustavo/status/1298246655410675713","1298246655410675713")</f>
        <v>1298246655410675713</v>
      </c>
      <c r="F9114" s="7" t="s">
        <v>17</v>
      </c>
      <c r="G9114" s="7">
        <v>3947547</v>
      </c>
      <c r="H9114" s="7">
        <v>2428</v>
      </c>
      <c r="I9114" s="7">
        <v>116</v>
      </c>
      <c r="J9114" s="7">
        <v>282</v>
      </c>
      <c r="K9114" s="7" t="s">
        <v>18</v>
      </c>
      <c r="L9114" s="8">
        <v>39987.315405092595</v>
      </c>
      <c r="M9114" s="9" t="s">
        <v>19</v>
      </c>
      <c r="N9114" s="9" t="s">
        <v>20</v>
      </c>
      <c r="O9114" s="6" t="str">
        <f>HYPERLINK("https://pbs.twimg.com/profile_images/962471262747529216/Uo8lOkRJ_normal.jpg","View")</f>
        <v>View</v>
      </c>
      <c r="P9114" s="7"/>
    </row>
    <row r="9115" spans="1:16">
      <c r="A9115" s="3">
        <v>44068.781689814816</v>
      </c>
      <c r="B9115" s="4" t="str">
        <f>HYPERLINK("https://twitter.com/petrogustavo","@petrogustavo")</f>
        <v>@petrogustavo</v>
      </c>
      <c r="C9115" s="5" t="s">
        <v>16</v>
      </c>
      <c r="D9115" s="5" t="s">
        <v>8771</v>
      </c>
      <c r="E9115" s="6" t="str">
        <f>HYPERLINK("https://twitter.com/petrogustavo/status/1298247667567546368","1298247667567546368")</f>
        <v>1298247667567546368</v>
      </c>
      <c r="F9115" s="7" t="s">
        <v>17</v>
      </c>
      <c r="G9115" s="7">
        <v>3947547</v>
      </c>
      <c r="H9115" s="7">
        <v>2428</v>
      </c>
      <c r="I9115" s="7">
        <v>68</v>
      </c>
      <c r="J9115" s="7">
        <v>136</v>
      </c>
      <c r="K9115" s="7" t="s">
        <v>18</v>
      </c>
      <c r="L9115" s="8">
        <v>39987.315405092595</v>
      </c>
      <c r="M9115" s="9" t="s">
        <v>19</v>
      </c>
      <c r="N9115" s="9" t="s">
        <v>20</v>
      </c>
      <c r="O9115" s="6" t="str">
        <f>HYPERLINK("https://pbs.twimg.com/profile_images/962471262747529216/Uo8lOkRJ_normal.jpg","View")</f>
        <v>View</v>
      </c>
      <c r="P9115" s="7"/>
    </row>
    <row r="9116" spans="1:16">
      <c r="A9116" s="3">
        <v>44068.792083333334</v>
      </c>
      <c r="B9116" s="4" t="str">
        <f>HYPERLINK("https://twitter.com/petrogustavo","@petrogustavo")</f>
        <v>@petrogustavo</v>
      </c>
      <c r="C9116" s="5" t="s">
        <v>16</v>
      </c>
      <c r="D9116" s="5" t="s">
        <v>8772</v>
      </c>
      <c r="E9116" s="6" t="str">
        <f>HYPERLINK("https://twitter.com/petrogustavo/status/1298251432643223553","1298251432643223553")</f>
        <v>1298251432643223553</v>
      </c>
      <c r="F9116" s="7" t="s">
        <v>17</v>
      </c>
      <c r="G9116" s="7">
        <v>3947567</v>
      </c>
      <c r="H9116" s="7">
        <v>2428</v>
      </c>
      <c r="I9116" s="7">
        <v>137</v>
      </c>
      <c r="J9116" s="7">
        <v>291</v>
      </c>
      <c r="K9116" s="7" t="s">
        <v>18</v>
      </c>
      <c r="L9116" s="8">
        <v>39987.315405092595</v>
      </c>
      <c r="M9116" s="9" t="s">
        <v>19</v>
      </c>
      <c r="N9116" s="9" t="s">
        <v>20</v>
      </c>
      <c r="O9116" s="6" t="str">
        <f>HYPERLINK("https://pbs.twimg.com/profile_images/962471262747529216/Uo8lOkRJ_normal.jpg","View")</f>
        <v>View</v>
      </c>
      <c r="P9116" s="7"/>
    </row>
    <row r="9117" spans="1:16">
      <c r="A9117" s="3">
        <v>44068.795567129629</v>
      </c>
      <c r="B9117" s="4" t="str">
        <f>HYPERLINK("https://twitter.com/petrogustavo","@petrogustavo")</f>
        <v>@petrogustavo</v>
      </c>
      <c r="C9117" s="5" t="s">
        <v>16</v>
      </c>
      <c r="D9117" s="5" t="s">
        <v>8773</v>
      </c>
      <c r="E9117" s="6" t="str">
        <f>HYPERLINK("https://twitter.com/petrogustavo/status/1298252693832704002","1298252693832704002")</f>
        <v>1298252693832704002</v>
      </c>
      <c r="F9117" s="7" t="s">
        <v>17</v>
      </c>
      <c r="G9117" s="7">
        <v>3947567</v>
      </c>
      <c r="H9117" s="7">
        <v>2428</v>
      </c>
      <c r="I9117" s="7">
        <v>88</v>
      </c>
      <c r="J9117" s="7">
        <v>0</v>
      </c>
      <c r="K9117" s="7" t="s">
        <v>18</v>
      </c>
      <c r="L9117" s="8">
        <v>39987.315405092595</v>
      </c>
      <c r="M9117" s="9" t="s">
        <v>19</v>
      </c>
      <c r="N9117" s="9" t="s">
        <v>20</v>
      </c>
      <c r="O9117" s="6" t="str">
        <f>HYPERLINK("https://pbs.twimg.com/profile_images/962471262747529216/Uo8lOkRJ_normal.jpg","View")</f>
        <v>View</v>
      </c>
      <c r="P9117" s="7"/>
    </row>
    <row r="9118" spans="1:16">
      <c r="A9118" s="3">
        <v>44068.797974537039</v>
      </c>
      <c r="B9118" s="4" t="str">
        <f>HYPERLINK("https://twitter.com/petrogustavo","@petrogustavo")</f>
        <v>@petrogustavo</v>
      </c>
      <c r="C9118" s="5" t="s">
        <v>16</v>
      </c>
      <c r="D9118" s="5" t="s">
        <v>8774</v>
      </c>
      <c r="E9118" s="6" t="str">
        <f>HYPERLINK("https://twitter.com/petrogustavo/status/1298253568730968064","1298253568730968064")</f>
        <v>1298253568730968064</v>
      </c>
      <c r="F9118" s="7" t="s">
        <v>17</v>
      </c>
      <c r="G9118" s="7">
        <v>3947567</v>
      </c>
      <c r="H9118" s="7">
        <v>2428</v>
      </c>
      <c r="I9118" s="7">
        <v>66</v>
      </c>
      <c r="J9118" s="7">
        <v>165</v>
      </c>
      <c r="K9118" s="7" t="s">
        <v>18</v>
      </c>
      <c r="L9118" s="8">
        <v>39987.315405092595</v>
      </c>
      <c r="M9118" s="9" t="s">
        <v>19</v>
      </c>
      <c r="N9118" s="9" t="s">
        <v>20</v>
      </c>
      <c r="O9118" s="6" t="str">
        <f>HYPERLINK("https://pbs.twimg.com/profile_images/962471262747529216/Uo8lOkRJ_normal.jpg","View")</f>
        <v>View</v>
      </c>
      <c r="P9118" s="7"/>
    </row>
    <row r="9119" spans="1:16">
      <c r="A9119" s="3">
        <v>44068.803935185184</v>
      </c>
      <c r="B9119" s="4" t="str">
        <f>HYPERLINK("https://twitter.com/petrogustavo","@petrogustavo")</f>
        <v>@petrogustavo</v>
      </c>
      <c r="C9119" s="5" t="s">
        <v>16</v>
      </c>
      <c r="D9119" s="5" t="s">
        <v>8775</v>
      </c>
      <c r="E9119" s="6" t="str">
        <f>HYPERLINK("https://twitter.com/petrogustavo/status/1298255727748714504","1298255727748714504")</f>
        <v>1298255727748714504</v>
      </c>
      <c r="F9119" s="7" t="s">
        <v>17</v>
      </c>
      <c r="G9119" s="7">
        <v>3947567</v>
      </c>
      <c r="H9119" s="7">
        <v>2428</v>
      </c>
      <c r="I9119" s="7">
        <v>9</v>
      </c>
      <c r="J9119" s="7">
        <v>10</v>
      </c>
      <c r="K9119" s="7" t="s">
        <v>18</v>
      </c>
      <c r="L9119" s="8">
        <v>39987.315405092595</v>
      </c>
      <c r="M9119" s="9" t="s">
        <v>19</v>
      </c>
      <c r="N9119" s="9" t="s">
        <v>20</v>
      </c>
      <c r="O9119" s="6" t="str">
        <f>HYPERLINK("https://pbs.twimg.com/profile_images/962471262747529216/Uo8lOkRJ_normal.jpg","View")</f>
        <v>View</v>
      </c>
      <c r="P9119" s="7"/>
    </row>
    <row r="9120" spans="1:16">
      <c r="A9120" s="3">
        <v>44068.824189814812</v>
      </c>
      <c r="B9120" s="4" t="str">
        <f>HYPERLINK("https://twitter.com/petrogustavo","@petrogustavo")</f>
        <v>@petrogustavo</v>
      </c>
      <c r="C9120" s="5" t="s">
        <v>16</v>
      </c>
      <c r="D9120" s="5" t="s">
        <v>8776</v>
      </c>
      <c r="E9120" s="6" t="str">
        <f>HYPERLINK("https://twitter.com/petrogustavo/status/1298263068804227073","1298263068804227073")</f>
        <v>1298263068804227073</v>
      </c>
      <c r="F9120" s="7" t="s">
        <v>17</v>
      </c>
      <c r="G9120" s="7">
        <v>3947583</v>
      </c>
      <c r="H9120" s="7">
        <v>2428</v>
      </c>
      <c r="I9120" s="7">
        <v>8</v>
      </c>
      <c r="J9120" s="7">
        <v>0</v>
      </c>
      <c r="K9120" s="7" t="s">
        <v>18</v>
      </c>
      <c r="L9120" s="8">
        <v>39987.315405092595</v>
      </c>
      <c r="M9120" s="9" t="s">
        <v>19</v>
      </c>
      <c r="N9120" s="9" t="s">
        <v>20</v>
      </c>
      <c r="O9120" s="6" t="str">
        <f>HYPERLINK("https://pbs.twimg.com/profile_images/962471262747529216/Uo8lOkRJ_normal.jpg","View")</f>
        <v>View</v>
      </c>
      <c r="P9120" s="7"/>
    </row>
    <row r="9121" spans="1:16">
      <c r="A9121" s="3">
        <v>44068.825243055559</v>
      </c>
      <c r="B9121" s="4" t="str">
        <f>HYPERLINK("https://twitter.com/petrogustavo","@petrogustavo")</f>
        <v>@petrogustavo</v>
      </c>
      <c r="C9121" s="5" t="s">
        <v>16</v>
      </c>
      <c r="D9121" s="5" t="s">
        <v>8777</v>
      </c>
      <c r="E9121" s="6" t="str">
        <f>HYPERLINK("https://twitter.com/petrogustavo/status/1298263447168155648","1298263447168155648")</f>
        <v>1298263447168155648</v>
      </c>
      <c r="F9121" s="7" t="s">
        <v>17</v>
      </c>
      <c r="G9121" s="7">
        <v>3947520</v>
      </c>
      <c r="H9121" s="7">
        <v>2428</v>
      </c>
      <c r="I9121" s="7">
        <v>1001</v>
      </c>
      <c r="J9121" s="7">
        <v>0</v>
      </c>
      <c r="K9121" s="7" t="s">
        <v>18</v>
      </c>
      <c r="L9121" s="8">
        <v>39987.315405092595</v>
      </c>
      <c r="M9121" s="9" t="s">
        <v>19</v>
      </c>
      <c r="N9121" s="9" t="s">
        <v>20</v>
      </c>
      <c r="O9121" s="6" t="str">
        <f>HYPERLINK("https://pbs.twimg.com/profile_images/962471262747529216/Uo8lOkRJ_normal.jpg","View")</f>
        <v>View</v>
      </c>
      <c r="P9121" s="7"/>
    </row>
    <row r="9122" spans="1:16">
      <c r="A9122" s="3">
        <v>44068.827870370369</v>
      </c>
      <c r="B9122" s="4" t="str">
        <f>HYPERLINK("https://twitter.com/petrogustavo","@petrogustavo")</f>
        <v>@petrogustavo</v>
      </c>
      <c r="C9122" s="5" t="s">
        <v>16</v>
      </c>
      <c r="D9122" s="5" t="s">
        <v>8778</v>
      </c>
      <c r="E9122" s="6" t="str">
        <f>HYPERLINK("https://twitter.com/petrogustavo/status/1298264400822853634","1298264400822853634")</f>
        <v>1298264400822853634</v>
      </c>
      <c r="F9122" s="7" t="s">
        <v>17</v>
      </c>
      <c r="G9122" s="7">
        <v>3947520</v>
      </c>
      <c r="H9122" s="7">
        <v>2428</v>
      </c>
      <c r="I9122" s="7">
        <v>24</v>
      </c>
      <c r="J9122" s="7">
        <v>0</v>
      </c>
      <c r="K9122" s="7" t="s">
        <v>18</v>
      </c>
      <c r="L9122" s="8">
        <v>39987.315405092595</v>
      </c>
      <c r="M9122" s="9" t="s">
        <v>19</v>
      </c>
      <c r="N9122" s="9" t="s">
        <v>20</v>
      </c>
      <c r="O9122" s="6" t="str">
        <f>HYPERLINK("https://pbs.twimg.com/profile_images/962471262747529216/Uo8lOkRJ_normal.jpg","View")</f>
        <v>View</v>
      </c>
      <c r="P9122" s="7"/>
    </row>
    <row r="9123" spans="1:16">
      <c r="A9123" s="3">
        <v>44068.843715277777</v>
      </c>
      <c r="B9123" s="4" t="str">
        <f>HYPERLINK("https://twitter.com/petrogustavo","@petrogustavo")</f>
        <v>@petrogustavo</v>
      </c>
      <c r="C9123" s="5" t="s">
        <v>16</v>
      </c>
      <c r="D9123" s="5" t="s">
        <v>8779</v>
      </c>
      <c r="E9123" s="6" t="str">
        <f>HYPERLINK("https://twitter.com/petrogustavo/status/1298270143810646016","1298270143810646016")</f>
        <v>1298270143810646016</v>
      </c>
      <c r="F9123" s="7" t="s">
        <v>17</v>
      </c>
      <c r="G9123" s="7">
        <v>3947520</v>
      </c>
      <c r="H9123" s="7">
        <v>2428</v>
      </c>
      <c r="I9123" s="7">
        <v>64</v>
      </c>
      <c r="J9123" s="7">
        <v>149</v>
      </c>
      <c r="K9123" s="7" t="s">
        <v>18</v>
      </c>
      <c r="L9123" s="8">
        <v>39987.315405092595</v>
      </c>
      <c r="M9123" s="9" t="s">
        <v>19</v>
      </c>
      <c r="N9123" s="9" t="s">
        <v>20</v>
      </c>
      <c r="O9123" s="6" t="str">
        <f>HYPERLINK("https://pbs.twimg.com/profile_images/962471262747529216/Uo8lOkRJ_normal.jpg","View")</f>
        <v>View</v>
      </c>
      <c r="P9123" s="7"/>
    </row>
    <row r="9124" spans="1:16">
      <c r="A9124" s="3">
        <v>44068.844618055555</v>
      </c>
      <c r="B9124" s="4" t="str">
        <f>HYPERLINK("https://twitter.com/petrogustavo","@petrogustavo")</f>
        <v>@petrogustavo</v>
      </c>
      <c r="C9124" s="5" t="s">
        <v>16</v>
      </c>
      <c r="D9124" s="5" t="s">
        <v>8780</v>
      </c>
      <c r="E9124" s="6" t="str">
        <f>HYPERLINK("https://twitter.com/petrogustavo/status/1298270469724860422","1298270469724860422")</f>
        <v>1298270469724860422</v>
      </c>
      <c r="F9124" s="7" t="s">
        <v>17</v>
      </c>
      <c r="G9124" s="7">
        <v>3947520</v>
      </c>
      <c r="H9124" s="7">
        <v>2428</v>
      </c>
      <c r="I9124" s="7">
        <v>16</v>
      </c>
      <c r="J9124" s="7">
        <v>41</v>
      </c>
      <c r="K9124" s="7" t="s">
        <v>18</v>
      </c>
      <c r="L9124" s="8">
        <v>39987.315405092595</v>
      </c>
      <c r="M9124" s="9" t="s">
        <v>19</v>
      </c>
      <c r="N9124" s="9" t="s">
        <v>20</v>
      </c>
      <c r="O9124" s="6" t="str">
        <f>HYPERLINK("https://pbs.twimg.com/profile_images/962471262747529216/Uo8lOkRJ_normal.jpg","View")</f>
        <v>View</v>
      </c>
      <c r="P9124" s="7"/>
    </row>
    <row r="9125" spans="1:16">
      <c r="A9125" s="3">
        <v>44068.847627314812</v>
      </c>
      <c r="B9125" s="4" t="str">
        <f>HYPERLINK("https://twitter.com/petrogustavo","@petrogustavo")</f>
        <v>@petrogustavo</v>
      </c>
      <c r="C9125" s="5" t="s">
        <v>16</v>
      </c>
      <c r="D9125" s="5" t="s">
        <v>8781</v>
      </c>
      <c r="E9125" s="6" t="str">
        <f>HYPERLINK("https://twitter.com/petrogustavo/status/1298271561846153230","1298271561846153230")</f>
        <v>1298271561846153230</v>
      </c>
      <c r="F9125" s="7" t="s">
        <v>17</v>
      </c>
      <c r="G9125" s="7">
        <v>3947549</v>
      </c>
      <c r="H9125" s="7">
        <v>2428</v>
      </c>
      <c r="I9125" s="7">
        <v>323</v>
      </c>
      <c r="J9125" s="7">
        <v>726</v>
      </c>
      <c r="K9125" s="7" t="s">
        <v>18</v>
      </c>
      <c r="L9125" s="8">
        <v>39987.315405092595</v>
      </c>
      <c r="M9125" s="9" t="s">
        <v>19</v>
      </c>
      <c r="N9125" s="9" t="s">
        <v>20</v>
      </c>
      <c r="O9125" s="6" t="str">
        <f>HYPERLINK("https://pbs.twimg.com/profile_images/962471262747529216/Uo8lOkRJ_normal.jpg","View")</f>
        <v>View</v>
      </c>
      <c r="P9125" s="7"/>
    </row>
    <row r="9126" spans="1:16">
      <c r="A9126" s="3">
        <v>44068.848310185189</v>
      </c>
      <c r="B9126" s="4" t="str">
        <f>HYPERLINK("https://twitter.com/petrogustavo","@petrogustavo")</f>
        <v>@petrogustavo</v>
      </c>
      <c r="C9126" s="5" t="s">
        <v>16</v>
      </c>
      <c r="D9126" s="5" t="s">
        <v>8782</v>
      </c>
      <c r="E9126" s="6" t="str">
        <f>HYPERLINK("https://twitter.com/petrogustavo/status/1298271810023116802","1298271810023116802")</f>
        <v>1298271810023116802</v>
      </c>
      <c r="F9126" s="7" t="s">
        <v>17</v>
      </c>
      <c r="G9126" s="7">
        <v>3947549</v>
      </c>
      <c r="H9126" s="7">
        <v>2428</v>
      </c>
      <c r="I9126" s="7">
        <v>41</v>
      </c>
      <c r="J9126" s="7">
        <v>0</v>
      </c>
      <c r="K9126" s="7" t="s">
        <v>18</v>
      </c>
      <c r="L9126" s="8">
        <v>39987.315405092595</v>
      </c>
      <c r="M9126" s="9" t="s">
        <v>19</v>
      </c>
      <c r="N9126" s="9" t="s">
        <v>20</v>
      </c>
      <c r="O9126" s="6" t="str">
        <f>HYPERLINK("https://pbs.twimg.com/profile_images/962471262747529216/Uo8lOkRJ_normal.jpg","View")</f>
        <v>View</v>
      </c>
      <c r="P9126" s="7"/>
    </row>
    <row r="9127" spans="1:16">
      <c r="A9127" s="3">
        <v>44068.849965277783</v>
      </c>
      <c r="B9127" s="4" t="str">
        <f>HYPERLINK("https://twitter.com/petrogustavo","@petrogustavo")</f>
        <v>@petrogustavo</v>
      </c>
      <c r="C9127" s="5" t="s">
        <v>16</v>
      </c>
      <c r="D9127" s="5" t="s">
        <v>8783</v>
      </c>
      <c r="E9127" s="6" t="str">
        <f>HYPERLINK("https://twitter.com/petrogustavo/status/1298272410076975107","1298272410076975107")</f>
        <v>1298272410076975107</v>
      </c>
      <c r="F9127" s="7" t="s">
        <v>17</v>
      </c>
      <c r="G9127" s="7">
        <v>3947549</v>
      </c>
      <c r="H9127" s="7">
        <v>2428</v>
      </c>
      <c r="I9127" s="7">
        <v>83</v>
      </c>
      <c r="J9127" s="7">
        <v>241</v>
      </c>
      <c r="K9127" s="7" t="s">
        <v>18</v>
      </c>
      <c r="L9127" s="8">
        <v>39987.315405092595</v>
      </c>
      <c r="M9127" s="9" t="s">
        <v>19</v>
      </c>
      <c r="N9127" s="9" t="s">
        <v>20</v>
      </c>
      <c r="O9127" s="6" t="str">
        <f>HYPERLINK("https://pbs.twimg.com/profile_images/962471262747529216/Uo8lOkRJ_normal.jpg","View")</f>
        <v>View</v>
      </c>
      <c r="P9127" s="7"/>
    </row>
    <row r="9128" spans="1:16">
      <c r="A9128" s="3">
        <v>44068.852581018524</v>
      </c>
      <c r="B9128" s="4" t="str">
        <f>HYPERLINK("https://twitter.com/petrogustavo","@petrogustavo")</f>
        <v>@petrogustavo</v>
      </c>
      <c r="C9128" s="5" t="s">
        <v>16</v>
      </c>
      <c r="D9128" s="5" t="s">
        <v>8784</v>
      </c>
      <c r="E9128" s="6" t="str">
        <f>HYPERLINK("https://twitter.com/petrogustavo/status/1298273355791863811","1298273355791863811")</f>
        <v>1298273355791863811</v>
      </c>
      <c r="F9128" s="7" t="s">
        <v>17</v>
      </c>
      <c r="G9128" s="7">
        <v>3947549</v>
      </c>
      <c r="H9128" s="7">
        <v>2428</v>
      </c>
      <c r="I9128" s="7">
        <v>193</v>
      </c>
      <c r="J9128" s="7">
        <v>594</v>
      </c>
      <c r="K9128" s="7" t="s">
        <v>18</v>
      </c>
      <c r="L9128" s="8">
        <v>39987.315405092595</v>
      </c>
      <c r="M9128" s="9" t="s">
        <v>19</v>
      </c>
      <c r="N9128" s="9" t="s">
        <v>20</v>
      </c>
      <c r="O9128" s="6" t="str">
        <f>HYPERLINK("https://pbs.twimg.com/profile_images/962471262747529216/Uo8lOkRJ_normal.jpg","View")</f>
        <v>View</v>
      </c>
      <c r="P9128" s="7"/>
    </row>
    <row r="9129" spans="1:16">
      <c r="A9129" s="3">
        <v>44068.853946759264</v>
      </c>
      <c r="B9129" s="4" t="str">
        <f>HYPERLINK("https://twitter.com/petrogustavo","@petrogustavo")</f>
        <v>@petrogustavo</v>
      </c>
      <c r="C9129" s="5" t="s">
        <v>16</v>
      </c>
      <c r="D9129" s="5" t="s">
        <v>8785</v>
      </c>
      <c r="E9129" s="6" t="str">
        <f>HYPERLINK("https://twitter.com/petrogustavo/status/1298273850669453313","1298273850669453313")</f>
        <v>1298273850669453313</v>
      </c>
      <c r="F9129" s="7" t="s">
        <v>17</v>
      </c>
      <c r="G9129" s="7">
        <v>3947549</v>
      </c>
      <c r="H9129" s="7">
        <v>2428</v>
      </c>
      <c r="I9129" s="7">
        <v>332</v>
      </c>
      <c r="J9129" s="7">
        <v>0</v>
      </c>
      <c r="K9129" s="7" t="s">
        <v>18</v>
      </c>
      <c r="L9129" s="8">
        <v>39987.315405092595</v>
      </c>
      <c r="M9129" s="9" t="s">
        <v>19</v>
      </c>
      <c r="N9129" s="9" t="s">
        <v>20</v>
      </c>
      <c r="O9129" s="6" t="str">
        <f>HYPERLINK("https://pbs.twimg.com/profile_images/962471262747529216/Uo8lOkRJ_normal.jpg","View")</f>
        <v>View</v>
      </c>
      <c r="P9129" s="7"/>
    </row>
    <row r="9130" spans="1:16">
      <c r="A9130" s="3">
        <v>44068.855844907404</v>
      </c>
      <c r="B9130" s="4" t="str">
        <f>HYPERLINK("https://twitter.com/petrogustavo","@petrogustavo")</f>
        <v>@petrogustavo</v>
      </c>
      <c r="C9130" s="5" t="s">
        <v>16</v>
      </c>
      <c r="D9130" s="5" t="s">
        <v>8786</v>
      </c>
      <c r="E9130" s="6" t="str">
        <f>HYPERLINK("https://twitter.com/petrogustavo/status/1298274539726450694","1298274539726450694")</f>
        <v>1298274539726450694</v>
      </c>
      <c r="F9130" s="7" t="s">
        <v>17</v>
      </c>
      <c r="G9130" s="7">
        <v>3947549</v>
      </c>
      <c r="H9130" s="7">
        <v>2428</v>
      </c>
      <c r="I9130" s="7">
        <v>48</v>
      </c>
      <c r="J9130" s="7">
        <v>109</v>
      </c>
      <c r="K9130" s="7" t="s">
        <v>18</v>
      </c>
      <c r="L9130" s="8">
        <v>39987.315405092595</v>
      </c>
      <c r="M9130" s="9" t="s">
        <v>19</v>
      </c>
      <c r="N9130" s="9" t="s">
        <v>20</v>
      </c>
      <c r="O9130" s="6" t="str">
        <f>HYPERLINK("https://pbs.twimg.com/profile_images/962471262747529216/Uo8lOkRJ_normal.jpg","View")</f>
        <v>View</v>
      </c>
      <c r="P9130" s="7"/>
    </row>
    <row r="9131" spans="1:16">
      <c r="A9131" s="3">
        <v>44068.857071759259</v>
      </c>
      <c r="B9131" s="4" t="str">
        <f>HYPERLINK("https://twitter.com/petrogustavo","@petrogustavo")</f>
        <v>@petrogustavo</v>
      </c>
      <c r="C9131" s="5" t="s">
        <v>16</v>
      </c>
      <c r="D9131" s="5" t="s">
        <v>8787</v>
      </c>
      <c r="E9131" s="6" t="str">
        <f>HYPERLINK("https://twitter.com/petrogustavo/status/1298274983076966400","1298274983076966400")</f>
        <v>1298274983076966400</v>
      </c>
      <c r="F9131" s="7" t="s">
        <v>17</v>
      </c>
      <c r="G9131" s="7">
        <v>3947549</v>
      </c>
      <c r="H9131" s="7">
        <v>2428</v>
      </c>
      <c r="I9131" s="7">
        <v>72</v>
      </c>
      <c r="J9131" s="7">
        <v>0</v>
      </c>
      <c r="K9131" s="7" t="s">
        <v>18</v>
      </c>
      <c r="L9131" s="8">
        <v>39987.315405092595</v>
      </c>
      <c r="M9131" s="9" t="s">
        <v>19</v>
      </c>
      <c r="N9131" s="9" t="s">
        <v>20</v>
      </c>
      <c r="O9131" s="6" t="str">
        <f>HYPERLINK("https://pbs.twimg.com/profile_images/962471262747529216/Uo8lOkRJ_normal.jpg","View")</f>
        <v>View</v>
      </c>
      <c r="P9131" s="7"/>
    </row>
    <row r="9132" spans="1:16">
      <c r="A9132" s="3">
        <v>44068.861203703702</v>
      </c>
      <c r="B9132" s="4" t="str">
        <f>HYPERLINK("https://twitter.com/petrogustavo","@petrogustavo")</f>
        <v>@petrogustavo</v>
      </c>
      <c r="C9132" s="5" t="s">
        <v>16</v>
      </c>
      <c r="D9132" s="5" t="s">
        <v>8788</v>
      </c>
      <c r="E9132" s="6" t="str">
        <f>HYPERLINK("https://twitter.com/petrogustavo/status/1298276482339438592","1298276482339438592")</f>
        <v>1298276482339438592</v>
      </c>
      <c r="F9132" s="7" t="s">
        <v>17</v>
      </c>
      <c r="G9132" s="7">
        <v>3947549</v>
      </c>
      <c r="H9132" s="7">
        <v>2428</v>
      </c>
      <c r="I9132" s="7">
        <v>84</v>
      </c>
      <c r="J9132" s="7">
        <v>217</v>
      </c>
      <c r="K9132" s="7" t="s">
        <v>18</v>
      </c>
      <c r="L9132" s="8">
        <v>39987.315405092595</v>
      </c>
      <c r="M9132" s="9" t="s">
        <v>19</v>
      </c>
      <c r="N9132" s="9" t="s">
        <v>20</v>
      </c>
      <c r="O9132" s="6" t="str">
        <f>HYPERLINK("https://pbs.twimg.com/profile_images/962471262747529216/Uo8lOkRJ_normal.jpg","View")</f>
        <v>View</v>
      </c>
      <c r="P9132" s="7"/>
    </row>
    <row r="9133" spans="1:16">
      <c r="A9133" s="3">
        <v>44068.865393518514</v>
      </c>
      <c r="B9133" s="4" t="str">
        <f>HYPERLINK("https://twitter.com/petrogustavo","@petrogustavo")</f>
        <v>@petrogustavo</v>
      </c>
      <c r="C9133" s="5" t="s">
        <v>16</v>
      </c>
      <c r="D9133" s="5" t="s">
        <v>8777</v>
      </c>
      <c r="E9133" s="6" t="str">
        <f>HYPERLINK("https://twitter.com/petrogustavo/status/1298277999033364482","1298277999033364482")</f>
        <v>1298277999033364482</v>
      </c>
      <c r="F9133" s="7" t="s">
        <v>17</v>
      </c>
      <c r="G9133" s="7">
        <v>3947549</v>
      </c>
      <c r="H9133" s="7">
        <v>2428</v>
      </c>
      <c r="I9133" s="7">
        <v>1117</v>
      </c>
      <c r="J9133" s="7">
        <v>0</v>
      </c>
      <c r="K9133" s="7" t="s">
        <v>18</v>
      </c>
      <c r="L9133" s="8">
        <v>39987.315405092595</v>
      </c>
      <c r="M9133" s="9" t="s">
        <v>19</v>
      </c>
      <c r="N9133" s="9" t="s">
        <v>20</v>
      </c>
      <c r="O9133" s="6" t="str">
        <f>HYPERLINK("https://pbs.twimg.com/profile_images/962471262747529216/Uo8lOkRJ_normal.jpg","View")</f>
        <v>View</v>
      </c>
      <c r="P9133" s="7"/>
    </row>
    <row r="9134" spans="1:16">
      <c r="A9134" s="3">
        <v>44068.870694444442</v>
      </c>
      <c r="B9134" s="4" t="str">
        <f>HYPERLINK("https://twitter.com/petrogustavo","@petrogustavo")</f>
        <v>@petrogustavo</v>
      </c>
      <c r="C9134" s="5" t="s">
        <v>16</v>
      </c>
      <c r="D9134" s="5" t="s">
        <v>8789</v>
      </c>
      <c r="E9134" s="6" t="str">
        <f>HYPERLINK("https://twitter.com/petrogustavo/status/1298279921144475648","1298279921144475648")</f>
        <v>1298279921144475648</v>
      </c>
      <c r="F9134" s="7" t="s">
        <v>17</v>
      </c>
      <c r="G9134" s="7">
        <v>3947582</v>
      </c>
      <c r="H9134" s="7">
        <v>2428</v>
      </c>
      <c r="I9134" s="7">
        <v>200</v>
      </c>
      <c r="J9134" s="7">
        <v>535</v>
      </c>
      <c r="K9134" s="7" t="s">
        <v>18</v>
      </c>
      <c r="L9134" s="8">
        <v>39987.315405092595</v>
      </c>
      <c r="M9134" s="9" t="s">
        <v>19</v>
      </c>
      <c r="N9134" s="9" t="s">
        <v>20</v>
      </c>
      <c r="O9134" s="6" t="str">
        <f>HYPERLINK("https://pbs.twimg.com/profile_images/962471262747529216/Uo8lOkRJ_normal.jpg","View")</f>
        <v>View</v>
      </c>
      <c r="P9134" s="7"/>
    </row>
    <row r="9135" spans="1:16">
      <c r="A9135" s="3">
        <v>44068.875740740739</v>
      </c>
      <c r="B9135" s="4" t="str">
        <f>HYPERLINK("https://twitter.com/petrogustavo","@petrogustavo")</f>
        <v>@petrogustavo</v>
      </c>
      <c r="C9135" s="5" t="s">
        <v>16</v>
      </c>
      <c r="D9135" s="5" t="s">
        <v>8790</v>
      </c>
      <c r="E9135" s="6" t="str">
        <f>HYPERLINK("https://twitter.com/petrogustavo/status/1298281749416378369","1298281749416378369")</f>
        <v>1298281749416378369</v>
      </c>
      <c r="F9135" s="7" t="s">
        <v>17</v>
      </c>
      <c r="G9135" s="7">
        <v>3947582</v>
      </c>
      <c r="H9135" s="7">
        <v>2428</v>
      </c>
      <c r="I9135" s="7">
        <v>177</v>
      </c>
      <c r="J9135" s="7">
        <v>422</v>
      </c>
      <c r="K9135" s="7" t="s">
        <v>18</v>
      </c>
      <c r="L9135" s="8">
        <v>39987.315405092595</v>
      </c>
      <c r="M9135" s="9" t="s">
        <v>19</v>
      </c>
      <c r="N9135" s="9" t="s">
        <v>20</v>
      </c>
      <c r="O9135" s="6" t="str">
        <f>HYPERLINK("https://pbs.twimg.com/profile_images/962471262747529216/Uo8lOkRJ_normal.jpg","View")</f>
        <v>View</v>
      </c>
      <c r="P9135" s="7"/>
    </row>
    <row r="9136" spans="1:16">
      <c r="A9136" s="3">
        <v>44068.878287037034</v>
      </c>
      <c r="B9136" s="4" t="str">
        <f>HYPERLINK("https://twitter.com/petrogustavo","@petrogustavo")</f>
        <v>@petrogustavo</v>
      </c>
      <c r="C9136" s="5" t="s">
        <v>16</v>
      </c>
      <c r="D9136" s="5" t="s">
        <v>8791</v>
      </c>
      <c r="E9136" s="6" t="str">
        <f>HYPERLINK("https://twitter.com/petrogustavo/status/1298282673476112385","1298282673476112385")</f>
        <v>1298282673476112385</v>
      </c>
      <c r="F9136" s="7" t="s">
        <v>17</v>
      </c>
      <c r="G9136" s="7">
        <v>3947582</v>
      </c>
      <c r="H9136" s="7">
        <v>2428</v>
      </c>
      <c r="I9136" s="7">
        <v>50</v>
      </c>
      <c r="J9136" s="7">
        <v>109</v>
      </c>
      <c r="K9136" s="7" t="s">
        <v>18</v>
      </c>
      <c r="L9136" s="8">
        <v>39987.315405092595</v>
      </c>
      <c r="M9136" s="9" t="s">
        <v>19</v>
      </c>
      <c r="N9136" s="9" t="s">
        <v>20</v>
      </c>
      <c r="O9136" s="6" t="str">
        <f>HYPERLINK("https://pbs.twimg.com/profile_images/962471262747529216/Uo8lOkRJ_normal.jpg","View")</f>
        <v>View</v>
      </c>
      <c r="P9136" s="7"/>
    </row>
    <row r="9137" spans="1:16">
      <c r="A9137" s="3">
        <v>44068.894652777773</v>
      </c>
      <c r="B9137" s="4" t="str">
        <f>HYPERLINK("https://twitter.com/petrogustavo","@petrogustavo")</f>
        <v>@petrogustavo</v>
      </c>
      <c r="C9137" s="5" t="s">
        <v>16</v>
      </c>
      <c r="D9137" s="5" t="s">
        <v>8792</v>
      </c>
      <c r="E9137" s="6" t="str">
        <f>HYPERLINK("https://twitter.com/petrogustavo/status/1298288603974467591","1298288603974467591")</f>
        <v>1298288603974467591</v>
      </c>
      <c r="F9137" s="7" t="s">
        <v>17</v>
      </c>
      <c r="G9137" s="7">
        <v>3947591</v>
      </c>
      <c r="H9137" s="7">
        <v>2428</v>
      </c>
      <c r="I9137" s="7">
        <v>133</v>
      </c>
      <c r="J9137" s="7">
        <v>490</v>
      </c>
      <c r="K9137" s="7" t="s">
        <v>18</v>
      </c>
      <c r="L9137" s="8">
        <v>39987.315405092595</v>
      </c>
      <c r="M9137" s="9" t="s">
        <v>19</v>
      </c>
      <c r="N9137" s="9" t="s">
        <v>20</v>
      </c>
      <c r="O9137" s="6" t="str">
        <f>HYPERLINK("https://pbs.twimg.com/profile_images/962471262747529216/Uo8lOkRJ_normal.jpg","View")</f>
        <v>View</v>
      </c>
      <c r="P9137" s="7"/>
    </row>
    <row r="9138" spans="1:16">
      <c r="A9138" s="3">
        <v>44068.898900462962</v>
      </c>
      <c r="B9138" s="4" t="str">
        <f>HYPERLINK("https://twitter.com/petrogustavo","@petrogustavo")</f>
        <v>@petrogustavo</v>
      </c>
      <c r="C9138" s="5" t="s">
        <v>16</v>
      </c>
      <c r="D9138" s="5" t="s">
        <v>8793</v>
      </c>
      <c r="E9138" s="6" t="str">
        <f>HYPERLINK("https://twitter.com/petrogustavo/status/1298290143577681923","1298290143577681923")</f>
        <v>1298290143577681923</v>
      </c>
      <c r="F9138" s="7" t="s">
        <v>32</v>
      </c>
      <c r="G9138" s="7">
        <v>3947591</v>
      </c>
      <c r="H9138" s="7">
        <v>2428</v>
      </c>
      <c r="I9138" s="7">
        <v>1686</v>
      </c>
      <c r="J9138" s="7">
        <v>0</v>
      </c>
      <c r="K9138" s="7" t="s">
        <v>18</v>
      </c>
      <c r="L9138" s="8">
        <v>39987.315405092595</v>
      </c>
      <c r="M9138" s="9" t="s">
        <v>19</v>
      </c>
      <c r="N9138" s="9" t="s">
        <v>20</v>
      </c>
      <c r="O9138" s="6" t="str">
        <f>HYPERLINK("https://pbs.twimg.com/profile_images/962471262747529216/Uo8lOkRJ_normal.jpg","View")</f>
        <v>View</v>
      </c>
      <c r="P9138" s="7"/>
    </row>
    <row r="9139" spans="1:16">
      <c r="A9139" s="3">
        <v>44068.914201388892</v>
      </c>
      <c r="B9139" s="4" t="str">
        <f>HYPERLINK("https://twitter.com/petrogustavo","@petrogustavo")</f>
        <v>@petrogustavo</v>
      </c>
      <c r="C9139" s="5" t="s">
        <v>16</v>
      </c>
      <c r="D9139" s="5" t="s">
        <v>8794</v>
      </c>
      <c r="E9139" s="6" t="str">
        <f>HYPERLINK("https://twitter.com/petrogustavo/status/1298295685469687808","1298295685469687808")</f>
        <v>1298295685469687808</v>
      </c>
      <c r="F9139" s="7" t="s">
        <v>32</v>
      </c>
      <c r="G9139" s="7">
        <v>3947589</v>
      </c>
      <c r="H9139" s="7">
        <v>2428</v>
      </c>
      <c r="I9139" s="7">
        <v>289</v>
      </c>
      <c r="J9139" s="7">
        <v>619</v>
      </c>
      <c r="K9139" s="7" t="s">
        <v>18</v>
      </c>
      <c r="L9139" s="8">
        <v>39987.315405092595</v>
      </c>
      <c r="M9139" s="9" t="s">
        <v>19</v>
      </c>
      <c r="N9139" s="9" t="s">
        <v>20</v>
      </c>
      <c r="O9139" s="6" t="str">
        <f>HYPERLINK("https://pbs.twimg.com/profile_images/962471262747529216/Uo8lOkRJ_normal.jpg","View")</f>
        <v>View</v>
      </c>
      <c r="P9139" s="7"/>
    </row>
    <row r="9140" spans="1:16">
      <c r="A9140" s="3">
        <v>44068.993784722217</v>
      </c>
      <c r="B9140" s="4" t="str">
        <f>HYPERLINK("https://twitter.com/petrogustavo","@petrogustavo")</f>
        <v>@petrogustavo</v>
      </c>
      <c r="C9140" s="5" t="s">
        <v>16</v>
      </c>
      <c r="D9140" s="5" t="s">
        <v>8795</v>
      </c>
      <c r="E9140" s="6" t="str">
        <f>HYPERLINK("https://twitter.com/petrogustavo/status/1298324525894049795","1298324525894049795")</f>
        <v>1298324525894049795</v>
      </c>
      <c r="F9140" s="7" t="s">
        <v>17</v>
      </c>
      <c r="G9140" s="7">
        <v>3947716</v>
      </c>
      <c r="H9140" s="7">
        <v>2428</v>
      </c>
      <c r="I9140" s="7">
        <v>143</v>
      </c>
      <c r="J9140" s="7">
        <v>0</v>
      </c>
      <c r="K9140" s="7" t="s">
        <v>18</v>
      </c>
      <c r="L9140" s="8">
        <v>39987.315405092595</v>
      </c>
      <c r="M9140" s="9" t="s">
        <v>19</v>
      </c>
      <c r="N9140" s="9" t="s">
        <v>20</v>
      </c>
      <c r="O9140" s="6" t="str">
        <f>HYPERLINK("https://pbs.twimg.com/profile_images/962471262747529216/Uo8lOkRJ_normal.jpg","View")</f>
        <v>View</v>
      </c>
      <c r="P9140" s="7"/>
    </row>
    <row r="9141" spans="1:16">
      <c r="A9141" s="3">
        <v>44068.993888888886</v>
      </c>
      <c r="B9141" s="4" t="str">
        <f>HYPERLINK("https://twitter.com/petrogustavo","@petrogustavo")</f>
        <v>@petrogustavo</v>
      </c>
      <c r="C9141" s="5" t="s">
        <v>16</v>
      </c>
      <c r="D9141" s="5" t="s">
        <v>8796</v>
      </c>
      <c r="E9141" s="6" t="str">
        <f>HYPERLINK("https://twitter.com/petrogustavo/status/1298324564116672513","1298324564116672513")</f>
        <v>1298324564116672513</v>
      </c>
      <c r="F9141" s="7" t="s">
        <v>17</v>
      </c>
      <c r="G9141" s="7">
        <v>3947716</v>
      </c>
      <c r="H9141" s="7">
        <v>2428</v>
      </c>
      <c r="I9141" s="7">
        <v>34</v>
      </c>
      <c r="J9141" s="7">
        <v>0</v>
      </c>
      <c r="K9141" s="7" t="s">
        <v>18</v>
      </c>
      <c r="L9141" s="8">
        <v>39987.315405092595</v>
      </c>
      <c r="M9141" s="9" t="s">
        <v>19</v>
      </c>
      <c r="N9141" s="9" t="s">
        <v>20</v>
      </c>
      <c r="O9141" s="6" t="str">
        <f>HYPERLINK("https://pbs.twimg.com/profile_images/962471262747529216/Uo8lOkRJ_normal.jpg","View")</f>
        <v>View</v>
      </c>
      <c r="P9141" s="7"/>
    </row>
    <row r="9142" spans="1:16">
      <c r="A9142" s="3">
        <v>44068.99428240741</v>
      </c>
      <c r="B9142" s="4" t="str">
        <f>HYPERLINK("https://twitter.com/petrogustavo","@petrogustavo")</f>
        <v>@petrogustavo</v>
      </c>
      <c r="C9142" s="5" t="s">
        <v>16</v>
      </c>
      <c r="D9142" s="5" t="s">
        <v>8797</v>
      </c>
      <c r="E9142" s="6" t="str">
        <f>HYPERLINK("https://twitter.com/petrogustavo/status/1298324706102321152","1298324706102321152")</f>
        <v>1298324706102321152</v>
      </c>
      <c r="F9142" s="7" t="s">
        <v>17</v>
      </c>
      <c r="G9142" s="7">
        <v>3947716</v>
      </c>
      <c r="H9142" s="7">
        <v>2428</v>
      </c>
      <c r="I9142" s="7">
        <v>47</v>
      </c>
      <c r="J9142" s="7">
        <v>0</v>
      </c>
      <c r="K9142" s="7" t="s">
        <v>18</v>
      </c>
      <c r="L9142" s="8">
        <v>39987.315405092595</v>
      </c>
      <c r="M9142" s="9" t="s">
        <v>19</v>
      </c>
      <c r="N9142" s="9" t="s">
        <v>20</v>
      </c>
      <c r="O9142" s="6" t="str">
        <f>HYPERLINK("https://pbs.twimg.com/profile_images/962471262747529216/Uo8lOkRJ_normal.jpg","View")</f>
        <v>View</v>
      </c>
      <c r="P9142" s="7"/>
    </row>
    <row r="9143" spans="1:16">
      <c r="A9143" s="3">
        <v>44068.994479166664</v>
      </c>
      <c r="B9143" s="4" t="str">
        <f>HYPERLINK("https://twitter.com/petrogustavo","@petrogustavo")</f>
        <v>@petrogustavo</v>
      </c>
      <c r="C9143" s="5" t="s">
        <v>16</v>
      </c>
      <c r="D9143" s="5" t="s">
        <v>8798</v>
      </c>
      <c r="E9143" s="6" t="str">
        <f>HYPERLINK("https://twitter.com/petrogustavo/status/1298324778105933827","1298324778105933827")</f>
        <v>1298324778105933827</v>
      </c>
      <c r="F9143" s="7" t="s">
        <v>17</v>
      </c>
      <c r="G9143" s="7">
        <v>3947716</v>
      </c>
      <c r="H9143" s="7">
        <v>2428</v>
      </c>
      <c r="I9143" s="7">
        <v>55</v>
      </c>
      <c r="J9143" s="7">
        <v>0</v>
      </c>
      <c r="K9143" s="7" t="s">
        <v>18</v>
      </c>
      <c r="L9143" s="8">
        <v>39987.315405092595</v>
      </c>
      <c r="M9143" s="9" t="s">
        <v>19</v>
      </c>
      <c r="N9143" s="9" t="s">
        <v>20</v>
      </c>
      <c r="O9143" s="6" t="str">
        <f>HYPERLINK("https://pbs.twimg.com/profile_images/962471262747529216/Uo8lOkRJ_normal.jpg","View")</f>
        <v>View</v>
      </c>
      <c r="P9143" s="7"/>
    </row>
    <row r="9144" spans="1:16">
      <c r="A9144" s="3">
        <v>44068.996921296297</v>
      </c>
      <c r="B9144" s="4" t="str">
        <f>HYPERLINK("https://twitter.com/petrogustavo","@petrogustavo")</f>
        <v>@petrogustavo</v>
      </c>
      <c r="C9144" s="5" t="s">
        <v>16</v>
      </c>
      <c r="D9144" s="5" t="s">
        <v>8799</v>
      </c>
      <c r="E9144" s="6" t="str">
        <f>HYPERLINK("https://twitter.com/petrogustavo/status/1298325665247367168","1298325665247367168")</f>
        <v>1298325665247367168</v>
      </c>
      <c r="F9144" s="7" t="s">
        <v>17</v>
      </c>
      <c r="G9144" s="7">
        <v>3947716</v>
      </c>
      <c r="H9144" s="7">
        <v>2428</v>
      </c>
      <c r="I9144" s="7">
        <v>239</v>
      </c>
      <c r="J9144" s="7">
        <v>0</v>
      </c>
      <c r="K9144" s="7" t="s">
        <v>18</v>
      </c>
      <c r="L9144" s="8">
        <v>39987.315405092595</v>
      </c>
      <c r="M9144" s="9" t="s">
        <v>19</v>
      </c>
      <c r="N9144" s="9" t="s">
        <v>20</v>
      </c>
      <c r="O9144" s="6" t="str">
        <f>HYPERLINK("https://pbs.twimg.com/profile_images/962471262747529216/Uo8lOkRJ_normal.jpg","View")</f>
        <v>View</v>
      </c>
      <c r="P9144" s="7"/>
    </row>
    <row r="9145" spans="1:16">
      <c r="A9145" s="3">
        <v>44068.999074074076</v>
      </c>
      <c r="B9145" s="4" t="str">
        <f>HYPERLINK("https://twitter.com/petrogustavo","@petrogustavo")</f>
        <v>@petrogustavo</v>
      </c>
      <c r="C9145" s="5" t="s">
        <v>16</v>
      </c>
      <c r="D9145" s="5" t="s">
        <v>8800</v>
      </c>
      <c r="E9145" s="6" t="str">
        <f>HYPERLINK("https://twitter.com/petrogustavo/status/1298326443559133184","1298326443559133184")</f>
        <v>1298326443559133184</v>
      </c>
      <c r="F9145" s="7" t="s">
        <v>17</v>
      </c>
      <c r="G9145" s="7">
        <v>3947716</v>
      </c>
      <c r="H9145" s="7">
        <v>2428</v>
      </c>
      <c r="I9145" s="7">
        <v>51</v>
      </c>
      <c r="J9145" s="7">
        <v>206</v>
      </c>
      <c r="K9145" s="7" t="s">
        <v>18</v>
      </c>
      <c r="L9145" s="8">
        <v>39987.315405092595</v>
      </c>
      <c r="M9145" s="9" t="s">
        <v>19</v>
      </c>
      <c r="N9145" s="9" t="s">
        <v>20</v>
      </c>
      <c r="O9145" s="6" t="str">
        <f>HYPERLINK("https://pbs.twimg.com/profile_images/962471262747529216/Uo8lOkRJ_normal.jpg","View")</f>
        <v>View</v>
      </c>
      <c r="P9145" s="7"/>
    </row>
    <row r="9146" spans="1:16">
      <c r="A9146" s="3">
        <v>44068.999328703707</v>
      </c>
      <c r="B9146" s="4" t="str">
        <f>HYPERLINK("https://twitter.com/petrogustavo","@petrogustavo")</f>
        <v>@petrogustavo</v>
      </c>
      <c r="C9146" s="5" t="s">
        <v>16</v>
      </c>
      <c r="D9146" s="5" t="s">
        <v>8801</v>
      </c>
      <c r="E9146" s="6" t="str">
        <f>HYPERLINK("https://twitter.com/petrogustavo/status/1298326536421089287","1298326536421089287")</f>
        <v>1298326536421089287</v>
      </c>
      <c r="F9146" s="7" t="s">
        <v>17</v>
      </c>
      <c r="G9146" s="7">
        <v>3947716</v>
      </c>
      <c r="H9146" s="7">
        <v>2428</v>
      </c>
      <c r="I9146" s="7">
        <v>256</v>
      </c>
      <c r="J9146" s="7">
        <v>0</v>
      </c>
      <c r="K9146" s="7" t="s">
        <v>18</v>
      </c>
      <c r="L9146" s="8">
        <v>39987.315405092595</v>
      </c>
      <c r="M9146" s="9" t="s">
        <v>19</v>
      </c>
      <c r="N9146" s="9" t="s">
        <v>20</v>
      </c>
      <c r="O9146" s="6" t="str">
        <f>HYPERLINK("https://pbs.twimg.com/profile_images/962471262747529216/Uo8lOkRJ_normal.jpg","View")</f>
        <v>View</v>
      </c>
      <c r="P9146" s="7"/>
    </row>
    <row r="9147" spans="1:16">
      <c r="A9147" s="3">
        <v>44069.000578703708</v>
      </c>
      <c r="B9147" s="4" t="str">
        <f>HYPERLINK("https://twitter.com/petrogustavo","@petrogustavo")</f>
        <v>@petrogustavo</v>
      </c>
      <c r="C9147" s="5" t="s">
        <v>16</v>
      </c>
      <c r="D9147" s="5" t="s">
        <v>8802</v>
      </c>
      <c r="E9147" s="6" t="str">
        <f>HYPERLINK("https://twitter.com/petrogustavo/status/1298326987740786691","1298326987740786691")</f>
        <v>1298326987740786691</v>
      </c>
      <c r="F9147" s="7" t="s">
        <v>17</v>
      </c>
      <c r="G9147" s="7">
        <v>3947716</v>
      </c>
      <c r="H9147" s="7">
        <v>2428</v>
      </c>
      <c r="I9147" s="7">
        <v>187</v>
      </c>
      <c r="J9147" s="7">
        <v>0</v>
      </c>
      <c r="K9147" s="7" t="s">
        <v>18</v>
      </c>
      <c r="L9147" s="8">
        <v>39987.315405092595</v>
      </c>
      <c r="M9147" s="9" t="s">
        <v>19</v>
      </c>
      <c r="N9147" s="9" t="s">
        <v>20</v>
      </c>
      <c r="O9147" s="6" t="str">
        <f>HYPERLINK("https://pbs.twimg.com/profile_images/962471262747529216/Uo8lOkRJ_normal.jpg","View")</f>
        <v>View</v>
      </c>
      <c r="P9147" s="7"/>
    </row>
    <row r="9148" spans="1:16">
      <c r="A9148" s="3">
        <v>44069.003587962958</v>
      </c>
      <c r="B9148" s="4" t="str">
        <f>HYPERLINK("https://twitter.com/petrogustavo","@petrogustavo")</f>
        <v>@petrogustavo</v>
      </c>
      <c r="C9148" s="5" t="s">
        <v>16</v>
      </c>
      <c r="D9148" s="5" t="s">
        <v>8803</v>
      </c>
      <c r="E9148" s="6" t="str">
        <f>HYPERLINK("https://twitter.com/petrogustavo/status/1298328079396413446","1298328079396413446")</f>
        <v>1298328079396413446</v>
      </c>
      <c r="F9148" s="7" t="s">
        <v>17</v>
      </c>
      <c r="G9148" s="7">
        <v>3947716</v>
      </c>
      <c r="H9148" s="7">
        <v>2428</v>
      </c>
      <c r="I9148" s="7">
        <v>35</v>
      </c>
      <c r="J9148" s="7">
        <v>0</v>
      </c>
      <c r="K9148" s="7" t="s">
        <v>18</v>
      </c>
      <c r="L9148" s="8">
        <v>39987.315405092595</v>
      </c>
      <c r="M9148" s="9" t="s">
        <v>19</v>
      </c>
      <c r="N9148" s="9" t="s">
        <v>20</v>
      </c>
      <c r="O9148" s="6" t="str">
        <f>HYPERLINK("https://pbs.twimg.com/profile_images/962471262747529216/Uo8lOkRJ_normal.jpg","View")</f>
        <v>View</v>
      </c>
      <c r="P9148" s="7"/>
    </row>
    <row r="9149" spans="1:16">
      <c r="A9149" s="3">
        <v>44069.025138888886</v>
      </c>
      <c r="B9149" s="4" t="str">
        <f>HYPERLINK("https://twitter.com/petrogustavo","@petrogustavo")</f>
        <v>@petrogustavo</v>
      </c>
      <c r="C9149" s="5" t="s">
        <v>16</v>
      </c>
      <c r="D9149" s="5" t="s">
        <v>8804</v>
      </c>
      <c r="E9149" s="6" t="str">
        <f>HYPERLINK("https://twitter.com/petrogustavo/status/1298335888246792198","1298335888246792198")</f>
        <v>1298335888246792198</v>
      </c>
      <c r="F9149" s="7" t="s">
        <v>17</v>
      </c>
      <c r="G9149" s="7">
        <v>3947765</v>
      </c>
      <c r="H9149" s="7">
        <v>2428</v>
      </c>
      <c r="I9149" s="7">
        <v>27</v>
      </c>
      <c r="J9149" s="7">
        <v>0</v>
      </c>
      <c r="K9149" s="7" t="s">
        <v>18</v>
      </c>
      <c r="L9149" s="8">
        <v>39987.315405092595</v>
      </c>
      <c r="M9149" s="9" t="s">
        <v>19</v>
      </c>
      <c r="N9149" s="9" t="s">
        <v>20</v>
      </c>
      <c r="O9149" s="6" t="str">
        <f>HYPERLINK("https://pbs.twimg.com/profile_images/962471262747529216/Uo8lOkRJ_normal.jpg","View")</f>
        <v>View</v>
      </c>
      <c r="P9149" s="7"/>
    </row>
    <row r="9150" spans="1:16">
      <c r="A9150" s="3">
        <v>44069.027418981481</v>
      </c>
      <c r="B9150" s="4" t="str">
        <f>HYPERLINK("https://twitter.com/petrogustavo","@petrogustavo")</f>
        <v>@petrogustavo</v>
      </c>
      <c r="C9150" s="5" t="s">
        <v>16</v>
      </c>
      <c r="D9150" s="5" t="s">
        <v>8805</v>
      </c>
      <c r="E9150" s="6" t="str">
        <f>HYPERLINK("https://twitter.com/petrogustavo/status/1298336715149631489","1298336715149631489")</f>
        <v>1298336715149631489</v>
      </c>
      <c r="F9150" s="7" t="s">
        <v>17</v>
      </c>
      <c r="G9150" s="7">
        <v>3947765</v>
      </c>
      <c r="H9150" s="7">
        <v>2428</v>
      </c>
      <c r="I9150" s="7">
        <v>1178</v>
      </c>
      <c r="J9150" s="7">
        <v>0</v>
      </c>
      <c r="K9150" s="7" t="s">
        <v>18</v>
      </c>
      <c r="L9150" s="8">
        <v>39987.315405092595</v>
      </c>
      <c r="M9150" s="9" t="s">
        <v>19</v>
      </c>
      <c r="N9150" s="9" t="s">
        <v>20</v>
      </c>
      <c r="O9150" s="6" t="str">
        <f>HYPERLINK("https://pbs.twimg.com/profile_images/962471262747529216/Uo8lOkRJ_normal.jpg","View")</f>
        <v>View</v>
      </c>
      <c r="P9150" s="7"/>
    </row>
    <row r="9151" spans="1:16">
      <c r="A9151" s="3">
        <v>44069.039317129631</v>
      </c>
      <c r="B9151" s="4" t="str">
        <f>HYPERLINK("https://twitter.com/petrogustavo","@petrogustavo")</f>
        <v>@petrogustavo</v>
      </c>
      <c r="C9151" s="5" t="s">
        <v>16</v>
      </c>
      <c r="D9151" s="5" t="s">
        <v>8806</v>
      </c>
      <c r="E9151" s="6" t="str">
        <f>HYPERLINK("https://twitter.com/petrogustavo/status/1298341026336313346","1298341026336313346")</f>
        <v>1298341026336313346</v>
      </c>
      <c r="F9151" s="7" t="s">
        <v>17</v>
      </c>
      <c r="G9151" s="7">
        <v>3947801</v>
      </c>
      <c r="H9151" s="7">
        <v>2428</v>
      </c>
      <c r="I9151" s="7">
        <v>61</v>
      </c>
      <c r="J9151" s="7">
        <v>0</v>
      </c>
      <c r="K9151" s="7" t="s">
        <v>18</v>
      </c>
      <c r="L9151" s="8">
        <v>39987.315405092595</v>
      </c>
      <c r="M9151" s="9" t="s">
        <v>19</v>
      </c>
      <c r="N9151" s="9" t="s">
        <v>20</v>
      </c>
      <c r="O9151" s="6" t="str">
        <f>HYPERLINK("https://pbs.twimg.com/profile_images/962471262747529216/Uo8lOkRJ_normal.jpg","View")</f>
        <v>View</v>
      </c>
      <c r="P9151" s="7"/>
    </row>
    <row r="9152" spans="1:16">
      <c r="A9152" s="3">
        <v>44069.052708333329</v>
      </c>
      <c r="B9152" s="4" t="str">
        <f>HYPERLINK("https://twitter.com/petrogustavo","@petrogustavo")</f>
        <v>@petrogustavo</v>
      </c>
      <c r="C9152" s="5" t="s">
        <v>16</v>
      </c>
      <c r="D9152" s="5" t="s">
        <v>8807</v>
      </c>
      <c r="E9152" s="6" t="str">
        <f>HYPERLINK("https://twitter.com/petrogustavo/status/1298345878957240321","1298345878957240321")</f>
        <v>1298345878957240321</v>
      </c>
      <c r="F9152" s="7" t="s">
        <v>17</v>
      </c>
      <c r="G9152" s="7">
        <v>3947801</v>
      </c>
      <c r="H9152" s="7">
        <v>2428</v>
      </c>
      <c r="I9152" s="7">
        <v>26</v>
      </c>
      <c r="J9152" s="7">
        <v>77</v>
      </c>
      <c r="K9152" s="7" t="s">
        <v>18</v>
      </c>
      <c r="L9152" s="8">
        <v>39987.315405092595</v>
      </c>
      <c r="M9152" s="9" t="s">
        <v>19</v>
      </c>
      <c r="N9152" s="9" t="s">
        <v>20</v>
      </c>
      <c r="O9152" s="6" t="str">
        <f>HYPERLINK("https://pbs.twimg.com/profile_images/962471262747529216/Uo8lOkRJ_normal.jpg","View")</f>
        <v>View</v>
      </c>
      <c r="P9152" s="7"/>
    </row>
    <row r="9153" spans="1:16">
      <c r="A9153" s="3">
        <v>44069.053541666668</v>
      </c>
      <c r="B9153" s="4" t="str">
        <f>HYPERLINK("https://twitter.com/petrogustavo","@petrogustavo")</f>
        <v>@petrogustavo</v>
      </c>
      <c r="C9153" s="5" t="s">
        <v>16</v>
      </c>
      <c r="D9153" s="5" t="s">
        <v>8808</v>
      </c>
      <c r="E9153" s="6" t="str">
        <f>HYPERLINK("https://twitter.com/petrogustavo/status/1298346182033498114","1298346182033498114")</f>
        <v>1298346182033498114</v>
      </c>
      <c r="F9153" s="7" t="s">
        <v>17</v>
      </c>
      <c r="G9153" s="7">
        <v>3947801</v>
      </c>
      <c r="H9153" s="7">
        <v>2428</v>
      </c>
      <c r="I9153" s="7">
        <v>21</v>
      </c>
      <c r="J9153" s="7">
        <v>0</v>
      </c>
      <c r="K9153" s="7" t="s">
        <v>18</v>
      </c>
      <c r="L9153" s="8">
        <v>39987.315405092595</v>
      </c>
      <c r="M9153" s="9" t="s">
        <v>19</v>
      </c>
      <c r="N9153" s="9" t="s">
        <v>20</v>
      </c>
      <c r="O9153" s="6" t="str">
        <f>HYPERLINK("https://pbs.twimg.com/profile_images/962471262747529216/Uo8lOkRJ_normal.jpg","View")</f>
        <v>View</v>
      </c>
      <c r="P9153" s="7"/>
    </row>
    <row r="9154" spans="1:16">
      <c r="A9154" s="3">
        <v>44069.204942129625</v>
      </c>
      <c r="B9154" s="4" t="str">
        <f>HYPERLINK("https://twitter.com/petrogustavo","@petrogustavo")</f>
        <v>@petrogustavo</v>
      </c>
      <c r="C9154" s="5" t="s">
        <v>16</v>
      </c>
      <c r="D9154" s="5" t="s">
        <v>8809</v>
      </c>
      <c r="E9154" s="6" t="str">
        <f>HYPERLINK("https://twitter.com/petrogustavo/status/1298401047799627776","1298401047799627776")</f>
        <v>1298401047799627776</v>
      </c>
      <c r="F9154" s="7" t="s">
        <v>32</v>
      </c>
      <c r="G9154" s="7">
        <v>3948041</v>
      </c>
      <c r="H9154" s="7">
        <v>2428</v>
      </c>
      <c r="I9154" s="7">
        <v>320</v>
      </c>
      <c r="J9154" s="7">
        <v>783</v>
      </c>
      <c r="K9154" s="7" t="s">
        <v>18</v>
      </c>
      <c r="L9154" s="8">
        <v>39987.315405092595</v>
      </c>
      <c r="M9154" s="9" t="s">
        <v>19</v>
      </c>
      <c r="N9154" s="9" t="s">
        <v>20</v>
      </c>
      <c r="O9154" s="6" t="str">
        <f>HYPERLINK("https://pbs.twimg.com/profile_images/962471262747529216/Uo8lOkRJ_normal.jpg","View")</f>
        <v>View</v>
      </c>
      <c r="P9154" s="7"/>
    </row>
    <row r="9155" spans="1:16">
      <c r="A9155" s="3">
        <v>44069.278148148151</v>
      </c>
      <c r="B9155" s="4" t="str">
        <f>HYPERLINK("https://twitter.com/petrogustavo","@petrogustavo")</f>
        <v>@petrogustavo</v>
      </c>
      <c r="C9155" s="5" t="s">
        <v>16</v>
      </c>
      <c r="D9155" s="5" t="s">
        <v>8810</v>
      </c>
      <c r="E9155" s="6" t="str">
        <f>HYPERLINK("https://twitter.com/petrogustavo/status/1298427575702822912","1298427575702822912")</f>
        <v>1298427575702822912</v>
      </c>
      <c r="F9155" s="7" t="s">
        <v>17</v>
      </c>
      <c r="G9155" s="7">
        <v>3948134</v>
      </c>
      <c r="H9155" s="7">
        <v>2428</v>
      </c>
      <c r="I9155" s="7">
        <v>77</v>
      </c>
      <c r="J9155" s="7">
        <v>139</v>
      </c>
      <c r="K9155" s="7" t="s">
        <v>18</v>
      </c>
      <c r="L9155" s="8">
        <v>39987.315405092595</v>
      </c>
      <c r="M9155" s="9" t="s">
        <v>19</v>
      </c>
      <c r="N9155" s="9" t="s">
        <v>20</v>
      </c>
      <c r="O9155" s="6" t="str">
        <f>HYPERLINK("https://pbs.twimg.com/profile_images/962471262747529216/Uo8lOkRJ_normal.jpg","View")</f>
        <v>View</v>
      </c>
      <c r="P9155" s="7"/>
    </row>
    <row r="9156" spans="1:16">
      <c r="A9156" s="3">
        <v>44069.29619212963</v>
      </c>
      <c r="B9156" s="4" t="str">
        <f>HYPERLINK("https://twitter.com/petrogustavo","@petrogustavo")</f>
        <v>@petrogustavo</v>
      </c>
      <c r="C9156" s="5" t="s">
        <v>16</v>
      </c>
      <c r="D9156" s="5" t="s">
        <v>8811</v>
      </c>
      <c r="E9156" s="6" t="str">
        <f>HYPERLINK("https://twitter.com/petrogustavo/status/1298434116845805568","1298434116845805568")</f>
        <v>1298434116845805568</v>
      </c>
      <c r="F9156" s="7" t="s">
        <v>32</v>
      </c>
      <c r="G9156" s="7">
        <v>3948164</v>
      </c>
      <c r="H9156" s="7">
        <v>2428</v>
      </c>
      <c r="I9156" s="7">
        <v>959</v>
      </c>
      <c r="J9156" s="7">
        <v>0</v>
      </c>
      <c r="K9156" s="7" t="s">
        <v>18</v>
      </c>
      <c r="L9156" s="8">
        <v>39987.315405092595</v>
      </c>
      <c r="M9156" s="9" t="s">
        <v>19</v>
      </c>
      <c r="N9156" s="9" t="s">
        <v>20</v>
      </c>
      <c r="O9156" s="6" t="str">
        <f>HYPERLINK("https://pbs.twimg.com/profile_images/962471262747529216/Uo8lOkRJ_normal.jpg","View")</f>
        <v>View</v>
      </c>
      <c r="P9156" s="7"/>
    </row>
    <row r="9157" spans="1:16">
      <c r="A9157" s="3">
        <v>44069.296574074076</v>
      </c>
      <c r="B9157" s="4" t="str">
        <f>HYPERLINK("https://twitter.com/petrogustavo","@petrogustavo")</f>
        <v>@petrogustavo</v>
      </c>
      <c r="C9157" s="5" t="s">
        <v>16</v>
      </c>
      <c r="D9157" s="5" t="s">
        <v>8812</v>
      </c>
      <c r="E9157" s="6" t="str">
        <f>HYPERLINK("https://twitter.com/petrogustavo/status/1298434255660421121","1298434255660421121")</f>
        <v>1298434255660421121</v>
      </c>
      <c r="F9157" s="7" t="s">
        <v>32</v>
      </c>
      <c r="G9157" s="7">
        <v>3948164</v>
      </c>
      <c r="H9157" s="7">
        <v>2428</v>
      </c>
      <c r="I9157" s="7">
        <v>19</v>
      </c>
      <c r="J9157" s="7">
        <v>0</v>
      </c>
      <c r="K9157" s="7" t="s">
        <v>18</v>
      </c>
      <c r="L9157" s="8">
        <v>39987.315405092595</v>
      </c>
      <c r="M9157" s="9" t="s">
        <v>19</v>
      </c>
      <c r="N9157" s="9" t="s">
        <v>20</v>
      </c>
      <c r="O9157" s="6" t="str">
        <f>HYPERLINK("https://pbs.twimg.com/profile_images/962471262747529216/Uo8lOkRJ_normal.jpg","View")</f>
        <v>View</v>
      </c>
      <c r="P9157" s="7"/>
    </row>
    <row r="9158" spans="1:16">
      <c r="A9158" s="3">
        <v>44069.313726851848</v>
      </c>
      <c r="B9158" s="4" t="str">
        <f>HYPERLINK("https://twitter.com/petrogustavo","@petrogustavo")</f>
        <v>@petrogustavo</v>
      </c>
      <c r="C9158" s="5" t="s">
        <v>16</v>
      </c>
      <c r="D9158" s="5" t="s">
        <v>8813</v>
      </c>
      <c r="E9158" s="6" t="str">
        <f>HYPERLINK("https://twitter.com/petrogustavo/status/1298440471124082689","1298440471124082689")</f>
        <v>1298440471124082689</v>
      </c>
      <c r="F9158" s="7" t="s">
        <v>17</v>
      </c>
      <c r="G9158" s="7">
        <v>3948206</v>
      </c>
      <c r="H9158" s="7">
        <v>2428</v>
      </c>
      <c r="I9158" s="7">
        <v>80</v>
      </c>
      <c r="J9158" s="7">
        <v>0</v>
      </c>
      <c r="K9158" s="7" t="s">
        <v>18</v>
      </c>
      <c r="L9158" s="8">
        <v>39987.315405092595</v>
      </c>
      <c r="M9158" s="9" t="s">
        <v>19</v>
      </c>
      <c r="N9158" s="9" t="s">
        <v>20</v>
      </c>
      <c r="O9158" s="6" t="str">
        <f>HYPERLINK("https://pbs.twimg.com/profile_images/962471262747529216/Uo8lOkRJ_normal.jpg","View")</f>
        <v>View</v>
      </c>
      <c r="P9158" s="7"/>
    </row>
    <row r="9159" spans="1:16">
      <c r="A9159" s="3">
        <v>44069.352962962963</v>
      </c>
      <c r="B9159" s="4" t="str">
        <f>HYPERLINK("https://twitter.com/petrogustavo","@petrogustavo")</f>
        <v>@petrogustavo</v>
      </c>
      <c r="C9159" s="5" t="s">
        <v>16</v>
      </c>
      <c r="D9159" s="5" t="s">
        <v>8814</v>
      </c>
      <c r="E9159" s="6" t="str">
        <f>HYPERLINK("https://twitter.com/petrogustavo/status/1298454686933168128","1298454686933168128")</f>
        <v>1298454686933168128</v>
      </c>
      <c r="F9159" s="7" t="s">
        <v>32</v>
      </c>
      <c r="G9159" s="7">
        <v>3948266</v>
      </c>
      <c r="H9159" s="7">
        <v>2428</v>
      </c>
      <c r="I9159" s="7">
        <v>140</v>
      </c>
      <c r="J9159" s="7">
        <v>399</v>
      </c>
      <c r="K9159" s="7" t="s">
        <v>18</v>
      </c>
      <c r="L9159" s="8">
        <v>39987.315405092595</v>
      </c>
      <c r="M9159" s="9" t="s">
        <v>19</v>
      </c>
      <c r="N9159" s="9" t="s">
        <v>20</v>
      </c>
      <c r="O9159" s="6" t="str">
        <f>HYPERLINK("https://pbs.twimg.com/profile_images/962471262747529216/Uo8lOkRJ_normal.jpg","View")</f>
        <v>View</v>
      </c>
      <c r="P9159" s="7"/>
    </row>
    <row r="9160" spans="1:16">
      <c r="A9160" s="3">
        <v>44069.364594907413</v>
      </c>
      <c r="B9160" s="4" t="str">
        <f>HYPERLINK("https://twitter.com/petrogustavo","@petrogustavo")</f>
        <v>@petrogustavo</v>
      </c>
      <c r="C9160" s="5" t="s">
        <v>16</v>
      </c>
      <c r="D9160" s="5" t="s">
        <v>8815</v>
      </c>
      <c r="E9160" s="6" t="str">
        <f>HYPERLINK("https://twitter.com/petrogustavo/status/1298458903164919810","1298458903164919810")</f>
        <v>1298458903164919810</v>
      </c>
      <c r="F9160" s="7" t="s">
        <v>32</v>
      </c>
      <c r="G9160" s="7">
        <v>3948266</v>
      </c>
      <c r="H9160" s="7">
        <v>2428</v>
      </c>
      <c r="I9160" s="7">
        <v>753</v>
      </c>
      <c r="J9160" s="7">
        <v>0</v>
      </c>
      <c r="K9160" s="7" t="s">
        <v>18</v>
      </c>
      <c r="L9160" s="8">
        <v>39987.315405092595</v>
      </c>
      <c r="M9160" s="9" t="s">
        <v>19</v>
      </c>
      <c r="N9160" s="9" t="s">
        <v>20</v>
      </c>
      <c r="O9160" s="6" t="str">
        <f>HYPERLINK("https://pbs.twimg.com/profile_images/962471262747529216/Uo8lOkRJ_normal.jpg","View")</f>
        <v>View</v>
      </c>
      <c r="P9160" s="7"/>
    </row>
    <row r="9161" spans="1:16">
      <c r="A9161" s="3">
        <v>44069.365763888884</v>
      </c>
      <c r="B9161" s="4" t="str">
        <f>HYPERLINK("https://twitter.com/petrogustavo","@petrogustavo")</f>
        <v>@petrogustavo</v>
      </c>
      <c r="C9161" s="5" t="s">
        <v>16</v>
      </c>
      <c r="D9161" s="5" t="s">
        <v>8816</v>
      </c>
      <c r="E9161" s="6" t="str">
        <f>HYPERLINK("https://twitter.com/petrogustavo/status/1298459325703364608","1298459325703364608")</f>
        <v>1298459325703364608</v>
      </c>
      <c r="F9161" s="7" t="s">
        <v>32</v>
      </c>
      <c r="G9161" s="7">
        <v>3948266</v>
      </c>
      <c r="H9161" s="7">
        <v>2428</v>
      </c>
      <c r="I9161" s="7">
        <v>432</v>
      </c>
      <c r="J9161" s="7">
        <v>0</v>
      </c>
      <c r="K9161" s="7" t="s">
        <v>18</v>
      </c>
      <c r="L9161" s="8">
        <v>39987.315405092595</v>
      </c>
      <c r="M9161" s="9" t="s">
        <v>19</v>
      </c>
      <c r="N9161" s="9" t="s">
        <v>20</v>
      </c>
      <c r="O9161" s="6" t="str">
        <f>HYPERLINK("https://pbs.twimg.com/profile_images/962471262747529216/Uo8lOkRJ_normal.jpg","View")</f>
        <v>View</v>
      </c>
      <c r="P9161" s="7"/>
    </row>
    <row r="9162" spans="1:16">
      <c r="A9162" s="3">
        <v>44069.378020833334</v>
      </c>
      <c r="B9162" s="4" t="str">
        <f>HYPERLINK("https://twitter.com/petrogustavo","@petrogustavo")</f>
        <v>@petrogustavo</v>
      </c>
      <c r="C9162" s="5" t="s">
        <v>16</v>
      </c>
      <c r="D9162" s="5" t="s">
        <v>8817</v>
      </c>
      <c r="E9162" s="6" t="str">
        <f>HYPERLINK("https://twitter.com/petrogustavo/status/1298463768842776583","1298463768842776583")</f>
        <v>1298463768842776583</v>
      </c>
      <c r="F9162" s="7" t="s">
        <v>32</v>
      </c>
      <c r="G9162" s="7">
        <v>3948302</v>
      </c>
      <c r="H9162" s="7">
        <v>2428</v>
      </c>
      <c r="I9162" s="7">
        <v>98</v>
      </c>
      <c r="J9162" s="7">
        <v>315</v>
      </c>
      <c r="K9162" s="7" t="s">
        <v>18</v>
      </c>
      <c r="L9162" s="8">
        <v>39987.315405092595</v>
      </c>
      <c r="M9162" s="9" t="s">
        <v>19</v>
      </c>
      <c r="N9162" s="9" t="s">
        <v>20</v>
      </c>
      <c r="O9162" s="6" t="str">
        <f>HYPERLINK("https://pbs.twimg.com/profile_images/962471262747529216/Uo8lOkRJ_normal.jpg","View")</f>
        <v>View</v>
      </c>
      <c r="P9162" s="7"/>
    </row>
    <row r="9163" spans="1:16">
      <c r="A9163" s="3">
        <v>44069.378541666665</v>
      </c>
      <c r="B9163" s="4" t="str">
        <f>HYPERLINK("https://twitter.com/petrogustavo","@petrogustavo")</f>
        <v>@petrogustavo</v>
      </c>
      <c r="C9163" s="5" t="s">
        <v>16</v>
      </c>
      <c r="D9163" s="5" t="s">
        <v>8816</v>
      </c>
      <c r="E9163" s="6" t="str">
        <f>HYPERLINK("https://twitter.com/petrogustavo/status/1298463957909479425","1298463957909479425")</f>
        <v>1298463957909479425</v>
      </c>
      <c r="F9163" s="7" t="s">
        <v>32</v>
      </c>
      <c r="G9163" s="7">
        <v>3948302</v>
      </c>
      <c r="H9163" s="7">
        <v>2428</v>
      </c>
      <c r="I9163" s="7">
        <v>451</v>
      </c>
      <c r="J9163" s="7">
        <v>0</v>
      </c>
      <c r="K9163" s="7" t="s">
        <v>18</v>
      </c>
      <c r="L9163" s="8">
        <v>39987.315405092595</v>
      </c>
      <c r="M9163" s="9" t="s">
        <v>19</v>
      </c>
      <c r="N9163" s="9" t="s">
        <v>20</v>
      </c>
      <c r="O9163" s="6" t="str">
        <f>HYPERLINK("https://pbs.twimg.com/profile_images/962471262747529216/Uo8lOkRJ_normal.jpg","View")</f>
        <v>View</v>
      </c>
      <c r="P9163" s="7"/>
    </row>
    <row r="9164" spans="1:16">
      <c r="A9164" s="3">
        <v>44069.710740740746</v>
      </c>
      <c r="B9164" s="4" t="str">
        <f>HYPERLINK("https://twitter.com/petrogustavo","@petrogustavo")</f>
        <v>@petrogustavo</v>
      </c>
      <c r="C9164" s="5" t="s">
        <v>16</v>
      </c>
      <c r="D9164" s="5" t="s">
        <v>8818</v>
      </c>
      <c r="E9164" s="6" t="str">
        <f>HYPERLINK("https://twitter.com/petrogustavo/status/1298584340713156613","1298584340713156613")</f>
        <v>1298584340713156613</v>
      </c>
      <c r="F9164" s="7" t="s">
        <v>17</v>
      </c>
      <c r="G9164" s="7">
        <v>3948402</v>
      </c>
      <c r="H9164" s="7">
        <v>2428</v>
      </c>
      <c r="I9164" s="7">
        <v>107</v>
      </c>
      <c r="J9164" s="7">
        <v>0</v>
      </c>
      <c r="K9164" s="7" t="s">
        <v>18</v>
      </c>
      <c r="L9164" s="8">
        <v>39987.315405092595</v>
      </c>
      <c r="M9164" s="9" t="s">
        <v>19</v>
      </c>
      <c r="N9164" s="9" t="s">
        <v>20</v>
      </c>
      <c r="O9164" s="6" t="str">
        <f>HYPERLINK("https://pbs.twimg.com/profile_images/962471262747529216/Uo8lOkRJ_normal.jpg","View")</f>
        <v>View</v>
      </c>
      <c r="P9164" s="7"/>
    </row>
    <row r="9165" spans="1:16">
      <c r="A9165" s="3">
        <v>44069.716909722221</v>
      </c>
      <c r="B9165" s="4" t="str">
        <f>HYPERLINK("https://twitter.com/petrogustavo","@petrogustavo")</f>
        <v>@petrogustavo</v>
      </c>
      <c r="C9165" s="5" t="s">
        <v>16</v>
      </c>
      <c r="D9165" s="5" t="s">
        <v>8819</v>
      </c>
      <c r="E9165" s="6" t="str">
        <f>HYPERLINK("https://twitter.com/petrogustavo/status/1298586577371897857","1298586577371897857")</f>
        <v>1298586577371897857</v>
      </c>
      <c r="F9165" s="7" t="s">
        <v>17</v>
      </c>
      <c r="G9165" s="7">
        <v>3948402</v>
      </c>
      <c r="H9165" s="7">
        <v>2428</v>
      </c>
      <c r="I9165" s="7">
        <v>6</v>
      </c>
      <c r="J9165" s="7">
        <v>0</v>
      </c>
      <c r="K9165" s="7" t="s">
        <v>18</v>
      </c>
      <c r="L9165" s="8">
        <v>39987.315405092595</v>
      </c>
      <c r="M9165" s="9" t="s">
        <v>19</v>
      </c>
      <c r="N9165" s="9" t="s">
        <v>20</v>
      </c>
      <c r="O9165" s="6" t="str">
        <f>HYPERLINK("https://pbs.twimg.com/profile_images/962471262747529216/Uo8lOkRJ_normal.jpg","View")</f>
        <v>View</v>
      </c>
      <c r="P9165" s="7"/>
    </row>
    <row r="9166" spans="1:16">
      <c r="A9166" s="3">
        <v>44069.718240740738</v>
      </c>
      <c r="B9166" s="4" t="str">
        <f>HYPERLINK("https://twitter.com/petrogustavo","@petrogustavo")</f>
        <v>@petrogustavo</v>
      </c>
      <c r="C9166" s="5" t="s">
        <v>16</v>
      </c>
      <c r="D9166" s="5" t="s">
        <v>8820</v>
      </c>
      <c r="E9166" s="6" t="str">
        <f>HYPERLINK("https://twitter.com/petrogustavo/status/1298587060652187648","1298587060652187648")</f>
        <v>1298587060652187648</v>
      </c>
      <c r="F9166" s="7" t="s">
        <v>17</v>
      </c>
      <c r="G9166" s="7">
        <v>3948402</v>
      </c>
      <c r="H9166" s="7">
        <v>2428</v>
      </c>
      <c r="I9166" s="7">
        <v>1786</v>
      </c>
      <c r="J9166" s="7">
        <v>0</v>
      </c>
      <c r="K9166" s="7" t="s">
        <v>18</v>
      </c>
      <c r="L9166" s="8">
        <v>39987.315405092595</v>
      </c>
      <c r="M9166" s="9" t="s">
        <v>19</v>
      </c>
      <c r="N9166" s="9" t="s">
        <v>20</v>
      </c>
      <c r="O9166" s="6" t="str">
        <f>HYPERLINK("https://pbs.twimg.com/profile_images/962471262747529216/Uo8lOkRJ_normal.jpg","View")</f>
        <v>View</v>
      </c>
      <c r="P9166" s="7"/>
    </row>
    <row r="9167" spans="1:16">
      <c r="A9167" s="3">
        <v>44069.728530092594</v>
      </c>
      <c r="B9167" s="4" t="str">
        <f>HYPERLINK("https://twitter.com/petrogustavo","@petrogustavo")</f>
        <v>@petrogustavo</v>
      </c>
      <c r="C9167" s="5" t="s">
        <v>16</v>
      </c>
      <c r="D9167" s="5" t="s">
        <v>8821</v>
      </c>
      <c r="E9167" s="6" t="str">
        <f>HYPERLINK("https://twitter.com/petrogustavo/status/1298590790235684866","1298590790235684866")</f>
        <v>1298590790235684866</v>
      </c>
      <c r="F9167" s="7" t="s">
        <v>17</v>
      </c>
      <c r="G9167" s="7">
        <v>3948425</v>
      </c>
      <c r="H9167" s="7">
        <v>2428</v>
      </c>
      <c r="I9167" s="7">
        <v>119</v>
      </c>
      <c r="J9167" s="7">
        <v>330</v>
      </c>
      <c r="K9167" s="7" t="s">
        <v>18</v>
      </c>
      <c r="L9167" s="8">
        <v>39987.315405092595</v>
      </c>
      <c r="M9167" s="9" t="s">
        <v>19</v>
      </c>
      <c r="N9167" s="9" t="s">
        <v>20</v>
      </c>
      <c r="O9167" s="6" t="str">
        <f>HYPERLINK("https://pbs.twimg.com/profile_images/962471262747529216/Uo8lOkRJ_normal.jpg","View")</f>
        <v>View</v>
      </c>
      <c r="P9167" s="7"/>
    </row>
    <row r="9168" spans="1:16">
      <c r="A9168" s="3">
        <v>44069.730138888888</v>
      </c>
      <c r="B9168" s="4" t="str">
        <f>HYPERLINK("https://twitter.com/petrogustavo","@petrogustavo")</f>
        <v>@petrogustavo</v>
      </c>
      <c r="C9168" s="5" t="s">
        <v>16</v>
      </c>
      <c r="D9168" s="5" t="s">
        <v>8822</v>
      </c>
      <c r="E9168" s="6" t="str">
        <f>HYPERLINK("https://twitter.com/petrogustavo/status/1298591372514074624","1298591372514074624")</f>
        <v>1298591372514074624</v>
      </c>
      <c r="F9168" s="7" t="s">
        <v>17</v>
      </c>
      <c r="G9168" s="7">
        <v>3948425</v>
      </c>
      <c r="H9168" s="7">
        <v>2428</v>
      </c>
      <c r="I9168" s="7">
        <v>1971</v>
      </c>
      <c r="J9168" s="7">
        <v>0</v>
      </c>
      <c r="K9168" s="7" t="s">
        <v>18</v>
      </c>
      <c r="L9168" s="8">
        <v>39987.315405092595</v>
      </c>
      <c r="M9168" s="9" t="s">
        <v>19</v>
      </c>
      <c r="N9168" s="9" t="s">
        <v>20</v>
      </c>
      <c r="O9168" s="6" t="str">
        <f>HYPERLINK("https://pbs.twimg.com/profile_images/962471262747529216/Uo8lOkRJ_normal.jpg","View")</f>
        <v>View</v>
      </c>
      <c r="P9168" s="7"/>
    </row>
    <row r="9169" spans="1:16">
      <c r="A9169" s="3">
        <v>44069.732870370368</v>
      </c>
      <c r="B9169" s="4" t="str">
        <f>HYPERLINK("https://twitter.com/petrogustavo","@petrogustavo")</f>
        <v>@petrogustavo</v>
      </c>
      <c r="C9169" s="5" t="s">
        <v>16</v>
      </c>
      <c r="D9169" s="5" t="s">
        <v>8823</v>
      </c>
      <c r="E9169" s="6" t="str">
        <f>HYPERLINK("https://twitter.com/petrogustavo/status/1298592360708833281","1298592360708833281")</f>
        <v>1298592360708833281</v>
      </c>
      <c r="F9169" s="7" t="s">
        <v>17</v>
      </c>
      <c r="G9169" s="7">
        <v>3948425</v>
      </c>
      <c r="H9169" s="7">
        <v>2428</v>
      </c>
      <c r="I9169" s="7">
        <v>31</v>
      </c>
      <c r="J9169" s="7">
        <v>89</v>
      </c>
      <c r="K9169" s="7" t="s">
        <v>18</v>
      </c>
      <c r="L9169" s="8">
        <v>39987.315405092595</v>
      </c>
      <c r="M9169" s="9" t="s">
        <v>19</v>
      </c>
      <c r="N9169" s="9" t="s">
        <v>20</v>
      </c>
      <c r="O9169" s="6" t="str">
        <f>HYPERLINK("https://pbs.twimg.com/profile_images/962471262747529216/Uo8lOkRJ_normal.jpg","View")</f>
        <v>View</v>
      </c>
      <c r="P9169" s="7"/>
    </row>
    <row r="9170" spans="1:16">
      <c r="A9170" s="3">
        <v>44069.763877314814</v>
      </c>
      <c r="B9170" s="4" t="str">
        <f>HYPERLINK("https://twitter.com/petrogustavo","@petrogustavo")</f>
        <v>@petrogustavo</v>
      </c>
      <c r="C9170" s="5" t="s">
        <v>16</v>
      </c>
      <c r="D9170" s="5" t="s">
        <v>8824</v>
      </c>
      <c r="E9170" s="6" t="str">
        <f>HYPERLINK("https://twitter.com/petrogustavo/status/1298603598989991937","1298603598989991937")</f>
        <v>1298603598989991937</v>
      </c>
      <c r="F9170" s="7" t="s">
        <v>17</v>
      </c>
      <c r="G9170" s="7">
        <v>3948479</v>
      </c>
      <c r="H9170" s="7">
        <v>2428</v>
      </c>
      <c r="I9170" s="7">
        <v>81</v>
      </c>
      <c r="J9170" s="7">
        <v>0</v>
      </c>
      <c r="K9170" s="7" t="s">
        <v>18</v>
      </c>
      <c r="L9170" s="8">
        <v>39987.315405092595</v>
      </c>
      <c r="M9170" s="9" t="s">
        <v>19</v>
      </c>
      <c r="N9170" s="9" t="s">
        <v>20</v>
      </c>
      <c r="O9170" s="6" t="str">
        <f>HYPERLINK("https://pbs.twimg.com/profile_images/962471262747529216/Uo8lOkRJ_normal.jpg","View")</f>
        <v>View</v>
      </c>
      <c r="P9170" s="7"/>
    </row>
    <row r="9171" spans="1:16">
      <c r="A9171" s="3">
        <v>44069.799328703702</v>
      </c>
      <c r="B9171" s="4" t="str">
        <f>HYPERLINK("https://twitter.com/petrogustavo","@petrogustavo")</f>
        <v>@petrogustavo</v>
      </c>
      <c r="C9171" s="5" t="s">
        <v>16</v>
      </c>
      <c r="D9171" s="5" t="s">
        <v>8825</v>
      </c>
      <c r="E9171" s="6" t="str">
        <f>HYPERLINK("https://twitter.com/petrogustavo/status/1298616446407319552","1298616446407319552")</f>
        <v>1298616446407319552</v>
      </c>
      <c r="F9171" s="7" t="s">
        <v>32</v>
      </c>
      <c r="G9171" s="7">
        <v>3948510</v>
      </c>
      <c r="H9171" s="7">
        <v>2428</v>
      </c>
      <c r="I9171" s="7">
        <v>26</v>
      </c>
      <c r="J9171" s="7">
        <v>0</v>
      </c>
      <c r="K9171" s="7" t="s">
        <v>18</v>
      </c>
      <c r="L9171" s="8">
        <v>39987.315405092595</v>
      </c>
      <c r="M9171" s="9" t="s">
        <v>19</v>
      </c>
      <c r="N9171" s="9" t="s">
        <v>20</v>
      </c>
      <c r="O9171" s="6" t="str">
        <f>HYPERLINK("https://pbs.twimg.com/profile_images/962471262747529216/Uo8lOkRJ_normal.jpg","View")</f>
        <v>View</v>
      </c>
      <c r="P9171" s="7"/>
    </row>
    <row r="9172" spans="1:16">
      <c r="A9172" s="3">
        <v>44069.800046296295</v>
      </c>
      <c r="B9172" s="4" t="str">
        <f>HYPERLINK("https://twitter.com/petrogustavo","@petrogustavo")</f>
        <v>@petrogustavo</v>
      </c>
      <c r="C9172" s="5" t="s">
        <v>16</v>
      </c>
      <c r="D9172" s="5" t="s">
        <v>8826</v>
      </c>
      <c r="E9172" s="6" t="str">
        <f>HYPERLINK("https://twitter.com/petrogustavo/status/1298616708073230337","1298616708073230337")</f>
        <v>1298616708073230337</v>
      </c>
      <c r="F9172" s="7" t="s">
        <v>32</v>
      </c>
      <c r="G9172" s="7">
        <v>3948510</v>
      </c>
      <c r="H9172" s="7">
        <v>2428</v>
      </c>
      <c r="I9172" s="7">
        <v>477</v>
      </c>
      <c r="J9172" s="7">
        <v>0</v>
      </c>
      <c r="K9172" s="7" t="s">
        <v>18</v>
      </c>
      <c r="L9172" s="8">
        <v>39987.315405092595</v>
      </c>
      <c r="M9172" s="9" t="s">
        <v>19</v>
      </c>
      <c r="N9172" s="9" t="s">
        <v>20</v>
      </c>
      <c r="O9172" s="6" t="str">
        <f>HYPERLINK("https://pbs.twimg.com/profile_images/962471262747529216/Uo8lOkRJ_normal.jpg","View")</f>
        <v>View</v>
      </c>
      <c r="P9172" s="7"/>
    </row>
    <row r="9173" spans="1:16">
      <c r="A9173" s="3">
        <v>44069.801585648151</v>
      </c>
      <c r="B9173" s="4" t="str">
        <f>HYPERLINK("https://twitter.com/petrogustavo","@petrogustavo")</f>
        <v>@petrogustavo</v>
      </c>
      <c r="C9173" s="5" t="s">
        <v>16</v>
      </c>
      <c r="D9173" s="5" t="s">
        <v>8827</v>
      </c>
      <c r="E9173" s="6" t="str">
        <f>HYPERLINK("https://twitter.com/petrogustavo/status/1298617265747894273","1298617265747894273")</f>
        <v>1298617265747894273</v>
      </c>
      <c r="F9173" s="7" t="s">
        <v>32</v>
      </c>
      <c r="G9173" s="7">
        <v>3948510</v>
      </c>
      <c r="H9173" s="7">
        <v>2428</v>
      </c>
      <c r="I9173" s="7">
        <v>42</v>
      </c>
      <c r="J9173" s="7">
        <v>134</v>
      </c>
      <c r="K9173" s="7" t="s">
        <v>18</v>
      </c>
      <c r="L9173" s="8">
        <v>39987.315405092595</v>
      </c>
      <c r="M9173" s="9" t="s">
        <v>19</v>
      </c>
      <c r="N9173" s="9" t="s">
        <v>20</v>
      </c>
      <c r="O9173" s="6" t="str">
        <f>HYPERLINK("https://pbs.twimg.com/profile_images/962471262747529216/Uo8lOkRJ_normal.jpg","View")</f>
        <v>View</v>
      </c>
      <c r="P9173" s="7"/>
    </row>
    <row r="9174" spans="1:16">
      <c r="A9174" s="3">
        <v>44069.828240740739</v>
      </c>
      <c r="B9174" s="4" t="str">
        <f>HYPERLINK("https://twitter.com/petrogustavo","@petrogustavo")</f>
        <v>@petrogustavo</v>
      </c>
      <c r="C9174" s="5" t="s">
        <v>16</v>
      </c>
      <c r="D9174" s="5" t="s">
        <v>8828</v>
      </c>
      <c r="E9174" s="6" t="str">
        <f>HYPERLINK("https://twitter.com/petrogustavo/status/1298626923237724160","1298626923237724160")</f>
        <v>1298626923237724160</v>
      </c>
      <c r="F9174" s="7" t="s">
        <v>32</v>
      </c>
      <c r="G9174" s="7">
        <v>3948555</v>
      </c>
      <c r="H9174" s="7">
        <v>2428</v>
      </c>
      <c r="I9174" s="7">
        <v>120</v>
      </c>
      <c r="J9174" s="7">
        <v>341</v>
      </c>
      <c r="K9174" s="7" t="s">
        <v>18</v>
      </c>
      <c r="L9174" s="8">
        <v>39987.315405092595</v>
      </c>
      <c r="M9174" s="9" t="s">
        <v>19</v>
      </c>
      <c r="N9174" s="9" t="s">
        <v>20</v>
      </c>
      <c r="O9174" s="6" t="str">
        <f>HYPERLINK("https://pbs.twimg.com/profile_images/962471262747529216/Uo8lOkRJ_normal.jpg","View")</f>
        <v>View</v>
      </c>
      <c r="P9174" s="7"/>
    </row>
    <row r="9175" spans="1:16">
      <c r="A9175" s="3">
        <v>44069.841817129629</v>
      </c>
      <c r="B9175" s="4" t="str">
        <f>HYPERLINK("https://twitter.com/petrogustavo","@petrogustavo")</f>
        <v>@petrogustavo</v>
      </c>
      <c r="C9175" s="5" t="s">
        <v>16</v>
      </c>
      <c r="D9175" s="5" t="s">
        <v>8829</v>
      </c>
      <c r="E9175" s="6" t="str">
        <f>HYPERLINK("https://twitter.com/petrogustavo/status/1298631845278605312","1298631845278605312")</f>
        <v>1298631845278605312</v>
      </c>
      <c r="F9175" s="7" t="s">
        <v>32</v>
      </c>
      <c r="G9175" s="7">
        <v>3948555</v>
      </c>
      <c r="H9175" s="7">
        <v>2428</v>
      </c>
      <c r="I9175" s="7">
        <v>43</v>
      </c>
      <c r="J9175" s="7">
        <v>0</v>
      </c>
      <c r="K9175" s="7" t="s">
        <v>18</v>
      </c>
      <c r="L9175" s="8">
        <v>39987.315405092595</v>
      </c>
      <c r="M9175" s="9" t="s">
        <v>19</v>
      </c>
      <c r="N9175" s="9" t="s">
        <v>20</v>
      </c>
      <c r="O9175" s="6" t="str">
        <f>HYPERLINK("https://pbs.twimg.com/profile_images/962471262747529216/Uo8lOkRJ_normal.jpg","View")</f>
        <v>View</v>
      </c>
      <c r="P9175" s="7"/>
    </row>
    <row r="9176" spans="1:16">
      <c r="A9176" s="3">
        <v>44069.856793981482</v>
      </c>
      <c r="B9176" s="4" t="str">
        <f>HYPERLINK("https://twitter.com/petrogustavo","@petrogustavo")</f>
        <v>@petrogustavo</v>
      </c>
      <c r="C9176" s="5" t="s">
        <v>16</v>
      </c>
      <c r="D9176" s="5" t="s">
        <v>8830</v>
      </c>
      <c r="E9176" s="6" t="str">
        <f>HYPERLINK("https://twitter.com/petrogustavo/status/1298637272510849024","1298637272510849024")</f>
        <v>1298637272510849024</v>
      </c>
      <c r="F9176" s="7" t="s">
        <v>32</v>
      </c>
      <c r="G9176" s="7">
        <v>3948583</v>
      </c>
      <c r="H9176" s="7">
        <v>2428</v>
      </c>
      <c r="I9176" s="7">
        <v>33</v>
      </c>
      <c r="J9176" s="7">
        <v>0</v>
      </c>
      <c r="K9176" s="7" t="s">
        <v>18</v>
      </c>
      <c r="L9176" s="8">
        <v>39987.315405092595</v>
      </c>
      <c r="M9176" s="9" t="s">
        <v>19</v>
      </c>
      <c r="N9176" s="9" t="s">
        <v>20</v>
      </c>
      <c r="O9176" s="6" t="str">
        <f>HYPERLINK("https://pbs.twimg.com/profile_images/962471262747529216/Uo8lOkRJ_normal.jpg","View")</f>
        <v>View</v>
      </c>
      <c r="P9176" s="7"/>
    </row>
    <row r="9177" spans="1:16">
      <c r="A9177" s="3">
        <v>44069.888078703705</v>
      </c>
      <c r="B9177" s="4" t="str">
        <f>HYPERLINK("https://twitter.com/petrogustavo","@petrogustavo")</f>
        <v>@petrogustavo</v>
      </c>
      <c r="C9177" s="5" t="s">
        <v>16</v>
      </c>
      <c r="D9177" s="5" t="s">
        <v>8831</v>
      </c>
      <c r="E9177" s="6" t="str">
        <f>HYPERLINK("https://twitter.com/petrogustavo/status/1298648606489161733","1298648606489161733")</f>
        <v>1298648606489161733</v>
      </c>
      <c r="F9177" s="7" t="s">
        <v>32</v>
      </c>
      <c r="G9177" s="7">
        <v>3948623</v>
      </c>
      <c r="H9177" s="7">
        <v>2428</v>
      </c>
      <c r="I9177" s="7">
        <v>277</v>
      </c>
      <c r="J9177" s="7">
        <v>485</v>
      </c>
      <c r="K9177" s="7" t="s">
        <v>18</v>
      </c>
      <c r="L9177" s="8">
        <v>39987.315405092595</v>
      </c>
      <c r="M9177" s="9" t="s">
        <v>19</v>
      </c>
      <c r="N9177" s="9" t="s">
        <v>20</v>
      </c>
      <c r="O9177" s="6" t="str">
        <f>HYPERLINK("https://pbs.twimg.com/profile_images/962471262747529216/Uo8lOkRJ_normal.jpg","View")</f>
        <v>View</v>
      </c>
      <c r="P9177" s="7"/>
    </row>
    <row r="9178" spans="1:16">
      <c r="A9178" s="3">
        <v>44069.982569444444</v>
      </c>
      <c r="B9178" s="4" t="str">
        <f>HYPERLINK("https://twitter.com/petrogustavo","@petrogustavo")</f>
        <v>@petrogustavo</v>
      </c>
      <c r="C9178" s="5" t="s">
        <v>16</v>
      </c>
      <c r="D9178" s="5" t="s">
        <v>8832</v>
      </c>
      <c r="E9178" s="6" t="str">
        <f>HYPERLINK("https://twitter.com/petrogustavo/status/1298682848153657344","1298682848153657344")</f>
        <v>1298682848153657344</v>
      </c>
      <c r="F9178" s="7" t="s">
        <v>32</v>
      </c>
      <c r="G9178" s="7">
        <v>3948693</v>
      </c>
      <c r="H9178" s="7">
        <v>2428</v>
      </c>
      <c r="I9178" s="7">
        <v>79</v>
      </c>
      <c r="J9178" s="7">
        <v>285</v>
      </c>
      <c r="K9178" s="7" t="s">
        <v>18</v>
      </c>
      <c r="L9178" s="8">
        <v>39987.315405092595</v>
      </c>
      <c r="M9178" s="9" t="s">
        <v>19</v>
      </c>
      <c r="N9178" s="9" t="s">
        <v>20</v>
      </c>
      <c r="O9178" s="6" t="str">
        <f>HYPERLINK("https://pbs.twimg.com/profile_images/962471262747529216/Uo8lOkRJ_normal.jpg","View")</f>
        <v>View</v>
      </c>
      <c r="P9178" s="7"/>
    </row>
    <row r="9179" spans="1:16">
      <c r="A9179" s="3">
        <v>44069.986817129626</v>
      </c>
      <c r="B9179" s="4" t="str">
        <f>HYPERLINK("https://twitter.com/petrogustavo","@petrogustavo")</f>
        <v>@petrogustavo</v>
      </c>
      <c r="C9179" s="5" t="s">
        <v>16</v>
      </c>
      <c r="D9179" s="5" t="s">
        <v>8833</v>
      </c>
      <c r="E9179" s="6" t="str">
        <f>HYPERLINK("https://twitter.com/petrogustavo/status/1298684389879144448","1298684389879144448")</f>
        <v>1298684389879144448</v>
      </c>
      <c r="F9179" s="7" t="s">
        <v>17</v>
      </c>
      <c r="G9179" s="7">
        <v>3948693</v>
      </c>
      <c r="H9179" s="7">
        <v>2428</v>
      </c>
      <c r="I9179" s="7">
        <v>119</v>
      </c>
      <c r="J9179" s="7">
        <v>388</v>
      </c>
      <c r="K9179" s="7" t="s">
        <v>18</v>
      </c>
      <c r="L9179" s="8">
        <v>39987.315405092595</v>
      </c>
      <c r="M9179" s="9" t="s">
        <v>19</v>
      </c>
      <c r="N9179" s="9" t="s">
        <v>20</v>
      </c>
      <c r="O9179" s="6" t="str">
        <f>HYPERLINK("https://pbs.twimg.com/profile_images/962471262747529216/Uo8lOkRJ_normal.jpg","View")</f>
        <v>View</v>
      </c>
      <c r="P9179" s="7"/>
    </row>
    <row r="9180" spans="1:16">
      <c r="A9180" s="3">
        <v>44069.989930555559</v>
      </c>
      <c r="B9180" s="4" t="str">
        <f>HYPERLINK("https://twitter.com/petrogustavo","@petrogustavo")</f>
        <v>@petrogustavo</v>
      </c>
      <c r="C9180" s="5" t="s">
        <v>16</v>
      </c>
      <c r="D9180" s="5" t="s">
        <v>8834</v>
      </c>
      <c r="E9180" s="6" t="str">
        <f>HYPERLINK("https://twitter.com/petrogustavo/status/1298685516045602818","1298685516045602818")</f>
        <v>1298685516045602818</v>
      </c>
      <c r="F9180" s="7" t="s">
        <v>17</v>
      </c>
      <c r="G9180" s="7">
        <v>3948693</v>
      </c>
      <c r="H9180" s="7">
        <v>2428</v>
      </c>
      <c r="I9180" s="7">
        <v>50</v>
      </c>
      <c r="J9180" s="7">
        <v>167</v>
      </c>
      <c r="K9180" s="7" t="s">
        <v>18</v>
      </c>
      <c r="L9180" s="8">
        <v>39987.315405092595</v>
      </c>
      <c r="M9180" s="9" t="s">
        <v>19</v>
      </c>
      <c r="N9180" s="9" t="s">
        <v>20</v>
      </c>
      <c r="O9180" s="6" t="str">
        <f>HYPERLINK("https://pbs.twimg.com/profile_images/962471262747529216/Uo8lOkRJ_normal.jpg","View")</f>
        <v>View</v>
      </c>
      <c r="P9180" s="7"/>
    </row>
    <row r="9181" spans="1:16">
      <c r="A9181" s="3">
        <v>44070.001064814816</v>
      </c>
      <c r="B9181" s="4" t="str">
        <f>HYPERLINK("https://twitter.com/petrogustavo","@petrogustavo")</f>
        <v>@petrogustavo</v>
      </c>
      <c r="C9181" s="5" t="s">
        <v>16</v>
      </c>
      <c r="D9181" s="5" t="s">
        <v>8835</v>
      </c>
      <c r="E9181" s="6" t="str">
        <f>HYPERLINK("https://twitter.com/petrogustavo/status/1298689550953394178","1298689550953394178")</f>
        <v>1298689550953394178</v>
      </c>
      <c r="F9181" s="7" t="s">
        <v>17</v>
      </c>
      <c r="G9181" s="7">
        <v>3948724</v>
      </c>
      <c r="H9181" s="7">
        <v>2428</v>
      </c>
      <c r="I9181" s="7">
        <v>105</v>
      </c>
      <c r="J9181" s="7">
        <v>0</v>
      </c>
      <c r="K9181" s="7" t="s">
        <v>18</v>
      </c>
      <c r="L9181" s="8">
        <v>39987.315405092595</v>
      </c>
      <c r="M9181" s="9" t="s">
        <v>19</v>
      </c>
      <c r="N9181" s="9" t="s">
        <v>20</v>
      </c>
      <c r="O9181" s="6" t="str">
        <f>HYPERLINK("https://pbs.twimg.com/profile_images/962471262747529216/Uo8lOkRJ_normal.jpg","View")</f>
        <v>View</v>
      </c>
      <c r="P9181" s="7"/>
    </row>
    <row r="9182" spans="1:16">
      <c r="A9182" s="3">
        <v>44070.002766203703</v>
      </c>
      <c r="B9182" s="4" t="str">
        <f>HYPERLINK("https://twitter.com/petrogustavo","@petrogustavo")</f>
        <v>@petrogustavo</v>
      </c>
      <c r="C9182" s="5" t="s">
        <v>16</v>
      </c>
      <c r="D9182" s="5" t="s">
        <v>8836</v>
      </c>
      <c r="E9182" s="6" t="str">
        <f>HYPERLINK("https://twitter.com/petrogustavo/status/1298690167948148747","1298690167948148747")</f>
        <v>1298690167948148747</v>
      </c>
      <c r="F9182" s="7" t="s">
        <v>17</v>
      </c>
      <c r="G9182" s="7">
        <v>3948724</v>
      </c>
      <c r="H9182" s="7">
        <v>2428</v>
      </c>
      <c r="I9182" s="7">
        <v>73</v>
      </c>
      <c r="J9182" s="7">
        <v>135</v>
      </c>
      <c r="K9182" s="7" t="s">
        <v>18</v>
      </c>
      <c r="L9182" s="8">
        <v>39987.315405092595</v>
      </c>
      <c r="M9182" s="9" t="s">
        <v>19</v>
      </c>
      <c r="N9182" s="9" t="s">
        <v>20</v>
      </c>
      <c r="O9182" s="6" t="str">
        <f>HYPERLINK("https://pbs.twimg.com/profile_images/962471262747529216/Uo8lOkRJ_normal.jpg","View")</f>
        <v>View</v>
      </c>
      <c r="P9182" s="7"/>
    </row>
    <row r="9183" spans="1:16">
      <c r="A9183" s="3">
        <v>44070.014189814814</v>
      </c>
      <c r="B9183" s="4" t="str">
        <f>HYPERLINK("https://twitter.com/petrogustavo","@petrogustavo")</f>
        <v>@petrogustavo</v>
      </c>
      <c r="C9183" s="5" t="s">
        <v>16</v>
      </c>
      <c r="D9183" s="5" t="s">
        <v>8837</v>
      </c>
      <c r="E9183" s="6" t="str">
        <f>HYPERLINK("https://twitter.com/petrogustavo/status/1298694308527329284","1298694308527329284")</f>
        <v>1298694308527329284</v>
      </c>
      <c r="F9183" s="7" t="s">
        <v>17</v>
      </c>
      <c r="G9183" s="7">
        <v>3948742</v>
      </c>
      <c r="H9183" s="7">
        <v>2428</v>
      </c>
      <c r="I9183" s="7">
        <v>120</v>
      </c>
      <c r="J9183" s="7">
        <v>304</v>
      </c>
      <c r="K9183" s="7" t="s">
        <v>18</v>
      </c>
      <c r="L9183" s="8">
        <v>39987.315405092595</v>
      </c>
      <c r="M9183" s="9" t="s">
        <v>19</v>
      </c>
      <c r="N9183" s="9" t="s">
        <v>20</v>
      </c>
      <c r="O9183" s="6" t="str">
        <f>HYPERLINK("https://pbs.twimg.com/profile_images/962471262747529216/Uo8lOkRJ_normal.jpg","View")</f>
        <v>View</v>
      </c>
      <c r="P9183" s="7"/>
    </row>
    <row r="9184" spans="1:16">
      <c r="A9184" s="3">
        <v>44070.015011574069</v>
      </c>
      <c r="B9184" s="4" t="str">
        <f>HYPERLINK("https://twitter.com/petrogustavo","@petrogustavo")</f>
        <v>@petrogustavo</v>
      </c>
      <c r="C9184" s="5" t="s">
        <v>16</v>
      </c>
      <c r="D9184" s="5" t="s">
        <v>8838</v>
      </c>
      <c r="E9184" s="6" t="str">
        <f>HYPERLINK("https://twitter.com/petrogustavo/status/1298694606620696577","1298694606620696577")</f>
        <v>1298694606620696577</v>
      </c>
      <c r="F9184" s="7" t="s">
        <v>17</v>
      </c>
      <c r="G9184" s="7">
        <v>3948742</v>
      </c>
      <c r="H9184" s="7">
        <v>2428</v>
      </c>
      <c r="I9184" s="7">
        <v>145</v>
      </c>
      <c r="J9184" s="7">
        <v>0</v>
      </c>
      <c r="K9184" s="7" t="s">
        <v>18</v>
      </c>
      <c r="L9184" s="8">
        <v>39987.315405092595</v>
      </c>
      <c r="M9184" s="9" t="s">
        <v>19</v>
      </c>
      <c r="N9184" s="9" t="s">
        <v>20</v>
      </c>
      <c r="O9184" s="6" t="str">
        <f>HYPERLINK("https://pbs.twimg.com/profile_images/962471262747529216/Uo8lOkRJ_normal.jpg","View")</f>
        <v>View</v>
      </c>
      <c r="P9184" s="7"/>
    </row>
    <row r="9185" spans="1:16">
      <c r="A9185" s="3">
        <v>44070.018854166672</v>
      </c>
      <c r="B9185" s="4" t="str">
        <f>HYPERLINK("https://twitter.com/petrogustavo","@petrogustavo")</f>
        <v>@petrogustavo</v>
      </c>
      <c r="C9185" s="5" t="s">
        <v>16</v>
      </c>
      <c r="D9185" s="5" t="s">
        <v>8839</v>
      </c>
      <c r="E9185" s="6" t="str">
        <f>HYPERLINK("https://twitter.com/petrogustavo/status/1298696000169811969","1298696000169811969")</f>
        <v>1298696000169811969</v>
      </c>
      <c r="F9185" s="7" t="s">
        <v>17</v>
      </c>
      <c r="G9185" s="7">
        <v>3948742</v>
      </c>
      <c r="H9185" s="7">
        <v>2428</v>
      </c>
      <c r="I9185" s="7">
        <v>132</v>
      </c>
      <c r="J9185" s="7">
        <v>0</v>
      </c>
      <c r="K9185" s="7" t="s">
        <v>18</v>
      </c>
      <c r="L9185" s="8">
        <v>39987.315405092595</v>
      </c>
      <c r="M9185" s="9" t="s">
        <v>19</v>
      </c>
      <c r="N9185" s="9" t="s">
        <v>20</v>
      </c>
      <c r="O9185" s="6" t="str">
        <f>HYPERLINK("https://pbs.twimg.com/profile_images/962471262747529216/Uo8lOkRJ_normal.jpg","View")</f>
        <v>View</v>
      </c>
      <c r="P9185" s="7"/>
    </row>
    <row r="9186" spans="1:16">
      <c r="A9186" s="3">
        <v>44070.019270833334</v>
      </c>
      <c r="B9186" s="4" t="str">
        <f>HYPERLINK("https://twitter.com/petrogustavo","@petrogustavo")</f>
        <v>@petrogustavo</v>
      </c>
      <c r="C9186" s="5" t="s">
        <v>16</v>
      </c>
      <c r="D9186" s="5" t="s">
        <v>8840</v>
      </c>
      <c r="E9186" s="6" t="str">
        <f>HYPERLINK("https://twitter.com/petrogustavo/status/1298696152334897152","1298696152334897152")</f>
        <v>1298696152334897152</v>
      </c>
      <c r="F9186" s="7" t="s">
        <v>17</v>
      </c>
      <c r="G9186" s="7">
        <v>3948742</v>
      </c>
      <c r="H9186" s="7">
        <v>2428</v>
      </c>
      <c r="I9186" s="7">
        <v>120</v>
      </c>
      <c r="J9186" s="7">
        <v>0</v>
      </c>
      <c r="K9186" s="7" t="s">
        <v>18</v>
      </c>
      <c r="L9186" s="8">
        <v>39987.315405092595</v>
      </c>
      <c r="M9186" s="9" t="s">
        <v>19</v>
      </c>
      <c r="N9186" s="9" t="s">
        <v>20</v>
      </c>
      <c r="O9186" s="6" t="str">
        <f>HYPERLINK("https://pbs.twimg.com/profile_images/962471262747529216/Uo8lOkRJ_normal.jpg","View")</f>
        <v>View</v>
      </c>
      <c r="P9186" s="7"/>
    </row>
    <row r="9187" spans="1:16">
      <c r="A9187" s="3">
        <v>44070.019687499997</v>
      </c>
      <c r="B9187" s="4" t="str">
        <f>HYPERLINK("https://twitter.com/petrogustavo","@petrogustavo")</f>
        <v>@petrogustavo</v>
      </c>
      <c r="C9187" s="5" t="s">
        <v>16</v>
      </c>
      <c r="D9187" s="5" t="s">
        <v>8841</v>
      </c>
      <c r="E9187" s="6" t="str">
        <f>HYPERLINK("https://twitter.com/petrogustavo/status/1298696302088331266","1298696302088331266")</f>
        <v>1298696302088331266</v>
      </c>
      <c r="F9187" s="7" t="s">
        <v>17</v>
      </c>
      <c r="G9187" s="7">
        <v>3948742</v>
      </c>
      <c r="H9187" s="7">
        <v>2428</v>
      </c>
      <c r="I9187" s="7">
        <v>522</v>
      </c>
      <c r="J9187" s="7">
        <v>0</v>
      </c>
      <c r="K9187" s="7" t="s">
        <v>18</v>
      </c>
      <c r="L9187" s="8">
        <v>39987.315405092595</v>
      </c>
      <c r="M9187" s="9" t="s">
        <v>19</v>
      </c>
      <c r="N9187" s="9" t="s">
        <v>20</v>
      </c>
      <c r="O9187" s="6" t="str">
        <f>HYPERLINK("https://pbs.twimg.com/profile_images/962471262747529216/Uo8lOkRJ_normal.jpg","View")</f>
        <v>View</v>
      </c>
      <c r="P9187" s="7"/>
    </row>
    <row r="9188" spans="1:16">
      <c r="A9188" s="3">
        <v>44070.043391203704</v>
      </c>
      <c r="B9188" s="4" t="str">
        <f>HYPERLINK("https://twitter.com/petrogustavo","@petrogustavo")</f>
        <v>@petrogustavo</v>
      </c>
      <c r="C9188" s="5" t="s">
        <v>16</v>
      </c>
      <c r="D9188" s="5" t="s">
        <v>8842</v>
      </c>
      <c r="E9188" s="6" t="str">
        <f>HYPERLINK("https://twitter.com/petrogustavo/status/1298704892127858690","1298704892127858690")</f>
        <v>1298704892127858690</v>
      </c>
      <c r="F9188" s="7" t="s">
        <v>32</v>
      </c>
      <c r="G9188" s="7">
        <v>3948748</v>
      </c>
      <c r="H9188" s="7">
        <v>2428</v>
      </c>
      <c r="I9188" s="7">
        <v>58</v>
      </c>
      <c r="J9188" s="7">
        <v>0</v>
      </c>
      <c r="K9188" s="7" t="s">
        <v>18</v>
      </c>
      <c r="L9188" s="8">
        <v>39987.315405092595</v>
      </c>
      <c r="M9188" s="9" t="s">
        <v>19</v>
      </c>
      <c r="N9188" s="9" t="s">
        <v>20</v>
      </c>
      <c r="O9188" s="6" t="str">
        <f>HYPERLINK("https://pbs.twimg.com/profile_images/962471262747529216/Uo8lOkRJ_normal.jpg","View")</f>
        <v>View</v>
      </c>
      <c r="P9188" s="7"/>
    </row>
    <row r="9189" spans="1:16">
      <c r="A9189" s="3">
        <v>44070.052395833336</v>
      </c>
      <c r="B9189" s="4" t="str">
        <f>HYPERLINK("https://twitter.com/petrogustavo","@petrogustavo")</f>
        <v>@petrogustavo</v>
      </c>
      <c r="C9189" s="5" t="s">
        <v>16</v>
      </c>
      <c r="D9189" s="5" t="s">
        <v>8843</v>
      </c>
      <c r="E9189" s="6" t="str">
        <f>HYPERLINK("https://twitter.com/petrogustavo/status/1298708155166150656","1298708155166150656")</f>
        <v>1298708155166150656</v>
      </c>
      <c r="F9189" s="7" t="s">
        <v>32</v>
      </c>
      <c r="G9189" s="7">
        <v>3948748</v>
      </c>
      <c r="H9189" s="7">
        <v>2428</v>
      </c>
      <c r="I9189" s="7">
        <v>43</v>
      </c>
      <c r="J9189" s="7">
        <v>145</v>
      </c>
      <c r="K9189" s="7" t="s">
        <v>18</v>
      </c>
      <c r="L9189" s="8">
        <v>39987.315405092595</v>
      </c>
      <c r="M9189" s="9" t="s">
        <v>19</v>
      </c>
      <c r="N9189" s="9" t="s">
        <v>20</v>
      </c>
      <c r="O9189" s="6" t="str">
        <f>HYPERLINK("https://pbs.twimg.com/profile_images/962471262747529216/Uo8lOkRJ_normal.jpg","View")</f>
        <v>View</v>
      </c>
      <c r="P9189" s="7"/>
    </row>
    <row r="9190" spans="1:16">
      <c r="A9190" s="3">
        <v>44070.058541666665</v>
      </c>
      <c r="B9190" s="4" t="str">
        <f>HYPERLINK("https://twitter.com/petrogustavo","@petrogustavo")</f>
        <v>@petrogustavo</v>
      </c>
      <c r="C9190" s="5" t="s">
        <v>16</v>
      </c>
      <c r="D9190" s="5" t="s">
        <v>8844</v>
      </c>
      <c r="E9190" s="6" t="str">
        <f>HYPERLINK("https://twitter.com/petrogustavo/status/1298710379535593478","1298710379535593478")</f>
        <v>1298710379535593478</v>
      </c>
      <c r="F9190" s="7" t="s">
        <v>32</v>
      </c>
      <c r="G9190" s="7">
        <v>3948788</v>
      </c>
      <c r="H9190" s="7">
        <v>2428</v>
      </c>
      <c r="I9190" s="7">
        <v>51</v>
      </c>
      <c r="J9190" s="7">
        <v>0</v>
      </c>
      <c r="K9190" s="7" t="s">
        <v>18</v>
      </c>
      <c r="L9190" s="8">
        <v>39987.315405092595</v>
      </c>
      <c r="M9190" s="9" t="s">
        <v>19</v>
      </c>
      <c r="N9190" s="9" t="s">
        <v>20</v>
      </c>
      <c r="O9190" s="6" t="str">
        <f>HYPERLINK("https://pbs.twimg.com/profile_images/962471262747529216/Uo8lOkRJ_normal.jpg","View")</f>
        <v>View</v>
      </c>
      <c r="P9190" s="7"/>
    </row>
    <row r="9191" spans="1:16">
      <c r="A9191" s="3">
        <v>44070.059803240743</v>
      </c>
      <c r="B9191" s="4" t="str">
        <f>HYPERLINK("https://twitter.com/petrogustavo","@petrogustavo")</f>
        <v>@petrogustavo</v>
      </c>
      <c r="C9191" s="5" t="s">
        <v>16</v>
      </c>
      <c r="D9191" s="5" t="s">
        <v>8845</v>
      </c>
      <c r="E9191" s="6" t="str">
        <f>HYPERLINK("https://twitter.com/petrogustavo/status/1298710838946099209","1298710838946099209")</f>
        <v>1298710838946099209</v>
      </c>
      <c r="F9191" s="7" t="s">
        <v>32</v>
      </c>
      <c r="G9191" s="7">
        <v>3948788</v>
      </c>
      <c r="H9191" s="7">
        <v>2428</v>
      </c>
      <c r="I9191" s="7">
        <v>348</v>
      </c>
      <c r="J9191" s="7">
        <v>0</v>
      </c>
      <c r="K9191" s="7" t="s">
        <v>18</v>
      </c>
      <c r="L9191" s="8">
        <v>39987.315405092595</v>
      </c>
      <c r="M9191" s="9" t="s">
        <v>19</v>
      </c>
      <c r="N9191" s="9" t="s">
        <v>20</v>
      </c>
      <c r="O9191" s="6" t="str">
        <f>HYPERLINK("https://pbs.twimg.com/profile_images/962471262747529216/Uo8lOkRJ_normal.jpg","View")</f>
        <v>View</v>
      </c>
      <c r="P9191" s="7"/>
    </row>
    <row r="9192" spans="1:16">
      <c r="A9192" s="3">
        <v>44070.101238425923</v>
      </c>
      <c r="B9192" s="4" t="str">
        <f>HYPERLINK("https://twitter.com/petrogustavo","@petrogustavo")</f>
        <v>@petrogustavo</v>
      </c>
      <c r="C9192" s="5" t="s">
        <v>16</v>
      </c>
      <c r="D9192" s="5" t="s">
        <v>8846</v>
      </c>
      <c r="E9192" s="6" t="str">
        <f>HYPERLINK("https://twitter.com/petrogustavo/status/1298725854688747521","1298725854688747521")</f>
        <v>1298725854688747521</v>
      </c>
      <c r="F9192" s="7" t="s">
        <v>32</v>
      </c>
      <c r="G9192" s="7">
        <v>3948797</v>
      </c>
      <c r="H9192" s="7">
        <v>2428</v>
      </c>
      <c r="I9192" s="7">
        <v>171</v>
      </c>
      <c r="J9192" s="7">
        <v>408</v>
      </c>
      <c r="K9192" s="7" t="s">
        <v>18</v>
      </c>
      <c r="L9192" s="8">
        <v>39987.315405092595</v>
      </c>
      <c r="M9192" s="9" t="s">
        <v>19</v>
      </c>
      <c r="N9192" s="9" t="s">
        <v>20</v>
      </c>
      <c r="O9192" s="6" t="str">
        <f>HYPERLINK("https://pbs.twimg.com/profile_images/962471262747529216/Uo8lOkRJ_normal.jpg","View")</f>
        <v>View</v>
      </c>
      <c r="P9192" s="7"/>
    </row>
    <row r="9193" spans="1:16">
      <c r="A9193" s="3">
        <v>44070.19467592593</v>
      </c>
      <c r="B9193" s="4" t="str">
        <f>HYPERLINK("https://twitter.com/petrogustavo","@petrogustavo")</f>
        <v>@petrogustavo</v>
      </c>
      <c r="C9193" s="5" t="s">
        <v>16</v>
      </c>
      <c r="D9193" s="5" t="s">
        <v>8847</v>
      </c>
      <c r="E9193" s="6" t="str">
        <f>HYPERLINK("https://twitter.com/petrogustavo/status/1298759715133022208","1298759715133022208")</f>
        <v>1298759715133022208</v>
      </c>
      <c r="F9193" s="7" t="s">
        <v>32</v>
      </c>
      <c r="G9193" s="7">
        <v>3948804</v>
      </c>
      <c r="H9193" s="7">
        <v>2429</v>
      </c>
      <c r="I9193" s="7">
        <v>134</v>
      </c>
      <c r="J9193" s="7">
        <v>0</v>
      </c>
      <c r="K9193" s="7" t="s">
        <v>18</v>
      </c>
      <c r="L9193" s="8">
        <v>39987.315405092595</v>
      </c>
      <c r="M9193" s="9" t="s">
        <v>19</v>
      </c>
      <c r="N9193" s="9" t="s">
        <v>20</v>
      </c>
      <c r="O9193" s="6" t="str">
        <f>HYPERLINK("https://pbs.twimg.com/profile_images/962471262747529216/Uo8lOkRJ_normal.jpg","View")</f>
        <v>View</v>
      </c>
      <c r="P9193" s="7"/>
    </row>
    <row r="9194" spans="1:16">
      <c r="A9194" s="3">
        <v>44070.198078703703</v>
      </c>
      <c r="B9194" s="4" t="str">
        <f>HYPERLINK("https://twitter.com/petrogustavo","@petrogustavo")</f>
        <v>@petrogustavo</v>
      </c>
      <c r="C9194" s="5" t="s">
        <v>16</v>
      </c>
      <c r="D9194" s="5" t="s">
        <v>8848</v>
      </c>
      <c r="E9194" s="6" t="str">
        <f>HYPERLINK("https://twitter.com/petrogustavo/status/1298760950154227712","1298760950154227712")</f>
        <v>1298760950154227712</v>
      </c>
      <c r="F9194" s="7" t="s">
        <v>32</v>
      </c>
      <c r="G9194" s="7">
        <v>3948804</v>
      </c>
      <c r="H9194" s="7">
        <v>2429</v>
      </c>
      <c r="I9194" s="7">
        <v>24</v>
      </c>
      <c r="J9194" s="7">
        <v>64</v>
      </c>
      <c r="K9194" s="7" t="s">
        <v>18</v>
      </c>
      <c r="L9194" s="8">
        <v>39987.315405092595</v>
      </c>
      <c r="M9194" s="9" t="s">
        <v>19</v>
      </c>
      <c r="N9194" s="9" t="s">
        <v>20</v>
      </c>
      <c r="O9194" s="6" t="str">
        <f>HYPERLINK("https://pbs.twimg.com/profile_images/962471262747529216/Uo8lOkRJ_normal.jpg","View")</f>
        <v>View</v>
      </c>
      <c r="P9194" s="7"/>
    </row>
    <row r="9195" spans="1:16">
      <c r="A9195" s="3">
        <v>44070.213749999995</v>
      </c>
      <c r="B9195" s="4" t="str">
        <f>HYPERLINK("https://twitter.com/petrogustavo","@petrogustavo")</f>
        <v>@petrogustavo</v>
      </c>
      <c r="C9195" s="5" t="s">
        <v>16</v>
      </c>
      <c r="D9195" s="5" t="s">
        <v>8849</v>
      </c>
      <c r="E9195" s="6" t="str">
        <f>HYPERLINK("https://twitter.com/petrogustavo/status/1298766625198559232","1298766625198559232")</f>
        <v>1298766625198559232</v>
      </c>
      <c r="F9195" s="7" t="s">
        <v>17</v>
      </c>
      <c r="G9195" s="7">
        <v>3948827</v>
      </c>
      <c r="H9195" s="7">
        <v>2429</v>
      </c>
      <c r="I9195" s="7">
        <v>44</v>
      </c>
      <c r="J9195" s="7">
        <v>0</v>
      </c>
      <c r="K9195" s="7" t="s">
        <v>18</v>
      </c>
      <c r="L9195" s="8">
        <v>39987.315405092595</v>
      </c>
      <c r="M9195" s="9" t="s">
        <v>19</v>
      </c>
      <c r="N9195" s="9" t="s">
        <v>20</v>
      </c>
      <c r="O9195" s="6" t="str">
        <f>HYPERLINK("https://pbs.twimg.com/profile_images/962471262747529216/Uo8lOkRJ_normal.jpg","View")</f>
        <v>View</v>
      </c>
      <c r="P9195" s="7"/>
    </row>
    <row r="9196" spans="1:16">
      <c r="A9196" s="3">
        <v>44070.21398148148</v>
      </c>
      <c r="B9196" s="4" t="str">
        <f>HYPERLINK("https://twitter.com/petrogustavo","@petrogustavo")</f>
        <v>@petrogustavo</v>
      </c>
      <c r="C9196" s="5" t="s">
        <v>16</v>
      </c>
      <c r="D9196" s="5" t="s">
        <v>8850</v>
      </c>
      <c r="E9196" s="6" t="str">
        <f>HYPERLINK("https://twitter.com/petrogustavo/status/1298766711416590336","1298766711416590336")</f>
        <v>1298766711416590336</v>
      </c>
      <c r="F9196" s="7" t="s">
        <v>17</v>
      </c>
      <c r="G9196" s="7">
        <v>3948827</v>
      </c>
      <c r="H9196" s="7">
        <v>2429</v>
      </c>
      <c r="I9196" s="7">
        <v>47</v>
      </c>
      <c r="J9196" s="7">
        <v>0</v>
      </c>
      <c r="K9196" s="7" t="s">
        <v>18</v>
      </c>
      <c r="L9196" s="8">
        <v>39987.315405092595</v>
      </c>
      <c r="M9196" s="9" t="s">
        <v>19</v>
      </c>
      <c r="N9196" s="9" t="s">
        <v>20</v>
      </c>
      <c r="O9196" s="6" t="str">
        <f>HYPERLINK("https://pbs.twimg.com/profile_images/962471262747529216/Uo8lOkRJ_normal.jpg","View")</f>
        <v>View</v>
      </c>
      <c r="P9196" s="7"/>
    </row>
    <row r="9197" spans="1:16">
      <c r="A9197" s="3">
        <v>44070.214861111112</v>
      </c>
      <c r="B9197" s="4" t="str">
        <f>HYPERLINK("https://twitter.com/petrogustavo","@petrogustavo")</f>
        <v>@petrogustavo</v>
      </c>
      <c r="C9197" s="5" t="s">
        <v>16</v>
      </c>
      <c r="D9197" s="5" t="s">
        <v>8851</v>
      </c>
      <c r="E9197" s="6" t="str">
        <f>HYPERLINK("https://twitter.com/petrogustavo/status/1298767028317282304","1298767028317282304")</f>
        <v>1298767028317282304</v>
      </c>
      <c r="F9197" s="7" t="s">
        <v>17</v>
      </c>
      <c r="G9197" s="7">
        <v>3948827</v>
      </c>
      <c r="H9197" s="7">
        <v>2429</v>
      </c>
      <c r="I9197" s="7">
        <v>181</v>
      </c>
      <c r="J9197" s="7">
        <v>0</v>
      </c>
      <c r="K9197" s="7" t="s">
        <v>18</v>
      </c>
      <c r="L9197" s="8">
        <v>39987.315405092595</v>
      </c>
      <c r="M9197" s="9" t="s">
        <v>19</v>
      </c>
      <c r="N9197" s="9" t="s">
        <v>20</v>
      </c>
      <c r="O9197" s="6" t="str">
        <f>HYPERLINK("https://pbs.twimg.com/profile_images/962471262747529216/Uo8lOkRJ_normal.jpg","View")</f>
        <v>View</v>
      </c>
      <c r="P9197" s="7"/>
    </row>
    <row r="9198" spans="1:16">
      <c r="A9198" s="3">
        <v>44070.216956018514</v>
      </c>
      <c r="B9198" s="4" t="str">
        <f>HYPERLINK("https://twitter.com/petrogustavo","@petrogustavo")</f>
        <v>@petrogustavo</v>
      </c>
      <c r="C9198" s="5" t="s">
        <v>16</v>
      </c>
      <c r="D9198" s="5" t="s">
        <v>8852</v>
      </c>
      <c r="E9198" s="6" t="str">
        <f>HYPERLINK("https://twitter.com/petrogustavo/status/1298767789998702592","1298767789998702592")</f>
        <v>1298767789998702592</v>
      </c>
      <c r="F9198" s="7" t="s">
        <v>17</v>
      </c>
      <c r="G9198" s="7">
        <v>3948827</v>
      </c>
      <c r="H9198" s="7">
        <v>2429</v>
      </c>
      <c r="I9198" s="7">
        <v>38</v>
      </c>
      <c r="J9198" s="7">
        <v>89</v>
      </c>
      <c r="K9198" s="7" t="s">
        <v>18</v>
      </c>
      <c r="L9198" s="8">
        <v>39987.315405092595</v>
      </c>
      <c r="M9198" s="9" t="s">
        <v>19</v>
      </c>
      <c r="N9198" s="9" t="s">
        <v>20</v>
      </c>
      <c r="O9198" s="6" t="str">
        <f>HYPERLINK("https://pbs.twimg.com/profile_images/962471262747529216/Uo8lOkRJ_normal.jpg","View")</f>
        <v>View</v>
      </c>
      <c r="P9198" s="7"/>
    </row>
    <row r="9199" spans="1:16">
      <c r="A9199" s="3">
        <v>44070.217337962968</v>
      </c>
      <c r="B9199" s="4" t="str">
        <f>HYPERLINK("https://twitter.com/petrogustavo","@petrogustavo")</f>
        <v>@petrogustavo</v>
      </c>
      <c r="C9199" s="5" t="s">
        <v>16</v>
      </c>
      <c r="D9199" s="5" t="s">
        <v>8845</v>
      </c>
      <c r="E9199" s="6" t="str">
        <f>HYPERLINK("https://twitter.com/petrogustavo/status/1298767929140535297","1298767929140535297")</f>
        <v>1298767929140535297</v>
      </c>
      <c r="F9199" s="7" t="s">
        <v>17</v>
      </c>
      <c r="G9199" s="7">
        <v>3948827</v>
      </c>
      <c r="H9199" s="7">
        <v>2429</v>
      </c>
      <c r="I9199" s="7">
        <v>1995</v>
      </c>
      <c r="J9199" s="7">
        <v>0</v>
      </c>
      <c r="K9199" s="7" t="s">
        <v>18</v>
      </c>
      <c r="L9199" s="8">
        <v>39987.315405092595</v>
      </c>
      <c r="M9199" s="9" t="s">
        <v>19</v>
      </c>
      <c r="N9199" s="9" t="s">
        <v>20</v>
      </c>
      <c r="O9199" s="6" t="str">
        <f>HYPERLINK("https://pbs.twimg.com/profile_images/962471262747529216/Uo8lOkRJ_normal.jpg","View")</f>
        <v>View</v>
      </c>
      <c r="P9199" s="7"/>
    </row>
    <row r="9200" spans="1:16">
      <c r="A9200" s="3">
        <v>44070.348935185189</v>
      </c>
      <c r="B9200" s="4" t="str">
        <f>HYPERLINK("https://twitter.com/petrogustavo","@petrogustavo")</f>
        <v>@petrogustavo</v>
      </c>
      <c r="C9200" s="5" t="s">
        <v>16</v>
      </c>
      <c r="D9200" s="5" t="s">
        <v>8853</v>
      </c>
      <c r="E9200" s="6" t="str">
        <f>HYPERLINK("https://twitter.com/petrogustavo/status/1298815615990464514","1298815615990464514")</f>
        <v>1298815615990464514</v>
      </c>
      <c r="F9200" s="7" t="s">
        <v>32</v>
      </c>
      <c r="G9200" s="7">
        <v>3949018</v>
      </c>
      <c r="H9200" s="7">
        <v>2429</v>
      </c>
      <c r="I9200" s="7">
        <v>304</v>
      </c>
      <c r="J9200" s="7">
        <v>0</v>
      </c>
      <c r="K9200" s="7" t="s">
        <v>18</v>
      </c>
      <c r="L9200" s="8">
        <v>39987.315405092595</v>
      </c>
      <c r="M9200" s="9" t="s">
        <v>19</v>
      </c>
      <c r="N9200" s="9" t="s">
        <v>20</v>
      </c>
      <c r="O9200" s="6" t="str">
        <f>HYPERLINK("https://pbs.twimg.com/profile_images/962471262747529216/Uo8lOkRJ_normal.jpg","View")</f>
        <v>View</v>
      </c>
      <c r="P9200" s="7"/>
    </row>
    <row r="9201" spans="1:16">
      <c r="A9201" s="3">
        <v>44070.356412037036</v>
      </c>
      <c r="B9201" s="4" t="str">
        <f>HYPERLINK("https://twitter.com/petrogustavo","@petrogustavo")</f>
        <v>@petrogustavo</v>
      </c>
      <c r="C9201" s="5" t="s">
        <v>16</v>
      </c>
      <c r="D9201" s="5" t="s">
        <v>8854</v>
      </c>
      <c r="E9201" s="6" t="str">
        <f>HYPERLINK("https://twitter.com/petrogustavo/status/1298818327662546944","1298818327662546944")</f>
        <v>1298818327662546944</v>
      </c>
      <c r="F9201" s="7" t="s">
        <v>17</v>
      </c>
      <c r="G9201" s="7">
        <v>3949018</v>
      </c>
      <c r="H9201" s="7">
        <v>2429</v>
      </c>
      <c r="I9201" s="7">
        <v>139</v>
      </c>
      <c r="J9201" s="7">
        <v>559</v>
      </c>
      <c r="K9201" s="7" t="s">
        <v>18</v>
      </c>
      <c r="L9201" s="8">
        <v>39987.315405092595</v>
      </c>
      <c r="M9201" s="9" t="s">
        <v>19</v>
      </c>
      <c r="N9201" s="9" t="s">
        <v>20</v>
      </c>
      <c r="O9201" s="6" t="str">
        <f>HYPERLINK("https://pbs.twimg.com/profile_images/962471262747529216/Uo8lOkRJ_normal.jpg","View")</f>
        <v>View</v>
      </c>
      <c r="P9201" s="7"/>
    </row>
    <row r="9202" spans="1:16">
      <c r="A9202" s="3">
        <v>44070.357824074075</v>
      </c>
      <c r="B9202" s="4" t="str">
        <f>HYPERLINK("https://twitter.com/petrogustavo","@petrogustavo")</f>
        <v>@petrogustavo</v>
      </c>
      <c r="C9202" s="5" t="s">
        <v>16</v>
      </c>
      <c r="D9202" s="5" t="s">
        <v>8855</v>
      </c>
      <c r="E9202" s="6" t="str">
        <f>HYPERLINK("https://twitter.com/petrogustavo/status/1298818837379506178","1298818837379506178")</f>
        <v>1298818837379506178</v>
      </c>
      <c r="F9202" s="7" t="s">
        <v>32</v>
      </c>
      <c r="G9202" s="7">
        <v>3949018</v>
      </c>
      <c r="H9202" s="7">
        <v>2429</v>
      </c>
      <c r="I9202" s="7">
        <v>155</v>
      </c>
      <c r="J9202" s="7">
        <v>441</v>
      </c>
      <c r="K9202" s="7" t="s">
        <v>18</v>
      </c>
      <c r="L9202" s="8">
        <v>39987.315405092595</v>
      </c>
      <c r="M9202" s="9" t="s">
        <v>19</v>
      </c>
      <c r="N9202" s="9" t="s">
        <v>20</v>
      </c>
      <c r="O9202" s="6" t="str">
        <f>HYPERLINK("https://pbs.twimg.com/profile_images/962471262747529216/Uo8lOkRJ_normal.jpg","View")</f>
        <v>View</v>
      </c>
      <c r="P9202" s="7"/>
    </row>
    <row r="9203" spans="1:16">
      <c r="A9203" s="3">
        <v>44070.359872685185</v>
      </c>
      <c r="B9203" s="4" t="str">
        <f>HYPERLINK("https://twitter.com/petrogustavo","@petrogustavo")</f>
        <v>@petrogustavo</v>
      </c>
      <c r="C9203" s="5" t="s">
        <v>16</v>
      </c>
      <c r="D9203" s="5" t="s">
        <v>8856</v>
      </c>
      <c r="E9203" s="6" t="str">
        <f>HYPERLINK("https://twitter.com/petrogustavo/status/1298819581155434496","1298819581155434496")</f>
        <v>1298819581155434496</v>
      </c>
      <c r="F9203" s="7" t="s">
        <v>32</v>
      </c>
      <c r="G9203" s="7">
        <v>3949018</v>
      </c>
      <c r="H9203" s="7">
        <v>2429</v>
      </c>
      <c r="I9203" s="7">
        <v>51</v>
      </c>
      <c r="J9203" s="7">
        <v>111</v>
      </c>
      <c r="K9203" s="7" t="s">
        <v>18</v>
      </c>
      <c r="L9203" s="8">
        <v>39987.315405092595</v>
      </c>
      <c r="M9203" s="9" t="s">
        <v>19</v>
      </c>
      <c r="N9203" s="9" t="s">
        <v>20</v>
      </c>
      <c r="O9203" s="6" t="str">
        <f>HYPERLINK("https://pbs.twimg.com/profile_images/962471262747529216/Uo8lOkRJ_normal.jpg","View")</f>
        <v>View</v>
      </c>
      <c r="P9203" s="7"/>
    </row>
    <row r="9204" spans="1:16">
      <c r="A9204" s="3">
        <v>44070.360115740739</v>
      </c>
      <c r="B9204" s="4" t="str">
        <f>HYPERLINK("https://twitter.com/petrogustavo","@petrogustavo")</f>
        <v>@petrogustavo</v>
      </c>
      <c r="C9204" s="5" t="s">
        <v>16</v>
      </c>
      <c r="D9204" s="5" t="s">
        <v>8857</v>
      </c>
      <c r="E9204" s="6" t="str">
        <f>HYPERLINK("https://twitter.com/petrogustavo/status/1298819669101608961","1298819669101608961")</f>
        <v>1298819669101608961</v>
      </c>
      <c r="F9204" s="7" t="s">
        <v>32</v>
      </c>
      <c r="G9204" s="7">
        <v>3949018</v>
      </c>
      <c r="H9204" s="7">
        <v>2429</v>
      </c>
      <c r="I9204" s="7">
        <v>155</v>
      </c>
      <c r="J9204" s="7">
        <v>0</v>
      </c>
      <c r="K9204" s="7" t="s">
        <v>18</v>
      </c>
      <c r="L9204" s="8">
        <v>39987.315405092595</v>
      </c>
      <c r="M9204" s="9" t="s">
        <v>19</v>
      </c>
      <c r="N9204" s="9" t="s">
        <v>20</v>
      </c>
      <c r="O9204" s="6" t="str">
        <f>HYPERLINK("https://pbs.twimg.com/profile_images/962471262747529216/Uo8lOkRJ_normal.jpg","View")</f>
        <v>View</v>
      </c>
      <c r="P9204" s="7"/>
    </row>
    <row r="9205" spans="1:16">
      <c r="A9205" s="3">
        <v>44070.766724537039</v>
      </c>
      <c r="B9205" s="4" t="str">
        <f>HYPERLINK("https://twitter.com/petrogustavo","@petrogustavo")</f>
        <v>@petrogustavo</v>
      </c>
      <c r="C9205" s="5" t="s">
        <v>16</v>
      </c>
      <c r="D9205" s="5" t="s">
        <v>8858</v>
      </c>
      <c r="E9205" s="6" t="str">
        <f>HYPERLINK("https://twitter.com/petrogustavo/status/1298967019199631362","1298967019199631362")</f>
        <v>1298967019199631362</v>
      </c>
      <c r="F9205" s="7" t="s">
        <v>17</v>
      </c>
      <c r="G9205" s="7">
        <v>3949200</v>
      </c>
      <c r="H9205" s="7">
        <v>2429</v>
      </c>
      <c r="I9205" s="7">
        <v>38</v>
      </c>
      <c r="J9205" s="7">
        <v>148</v>
      </c>
      <c r="K9205" s="7" t="s">
        <v>18</v>
      </c>
      <c r="L9205" s="8">
        <v>39987.315405092595</v>
      </c>
      <c r="M9205" s="9" t="s">
        <v>19</v>
      </c>
      <c r="N9205" s="9" t="s">
        <v>20</v>
      </c>
      <c r="O9205" s="6" t="str">
        <f>HYPERLINK("https://pbs.twimg.com/profile_images/962471262747529216/Uo8lOkRJ_normal.jpg","View")</f>
        <v>View</v>
      </c>
      <c r="P9205" s="7"/>
    </row>
    <row r="9206" spans="1:16">
      <c r="A9206" s="3">
        <v>44070.771516203706</v>
      </c>
      <c r="B9206" s="4" t="str">
        <f>HYPERLINK("https://twitter.com/petrogustavo","@petrogustavo")</f>
        <v>@petrogustavo</v>
      </c>
      <c r="C9206" s="5" t="s">
        <v>16</v>
      </c>
      <c r="D9206" s="5" t="s">
        <v>8859</v>
      </c>
      <c r="E9206" s="6" t="str">
        <f>HYPERLINK("https://twitter.com/petrogustavo/status/1298968756253790208","1298968756253790208")</f>
        <v>1298968756253790208</v>
      </c>
      <c r="F9206" s="7" t="s">
        <v>17</v>
      </c>
      <c r="G9206" s="7">
        <v>3949200</v>
      </c>
      <c r="H9206" s="7">
        <v>2429</v>
      </c>
      <c r="I9206" s="7">
        <v>170</v>
      </c>
      <c r="J9206" s="7">
        <v>332</v>
      </c>
      <c r="K9206" s="7" t="s">
        <v>18</v>
      </c>
      <c r="L9206" s="8">
        <v>39987.315405092595</v>
      </c>
      <c r="M9206" s="9" t="s">
        <v>19</v>
      </c>
      <c r="N9206" s="9" t="s">
        <v>20</v>
      </c>
      <c r="O9206" s="6" t="str">
        <f>HYPERLINK("https://pbs.twimg.com/profile_images/962471262747529216/Uo8lOkRJ_normal.jpg","View")</f>
        <v>View</v>
      </c>
      <c r="P9206" s="7"/>
    </row>
    <row r="9207" spans="1:16">
      <c r="A9207" s="3">
        <v>44070.77275462963</v>
      </c>
      <c r="B9207" s="4" t="str">
        <f>HYPERLINK("https://twitter.com/petrogustavo","@petrogustavo")</f>
        <v>@petrogustavo</v>
      </c>
      <c r="C9207" s="5" t="s">
        <v>16</v>
      </c>
      <c r="D9207" s="5" t="s">
        <v>8860</v>
      </c>
      <c r="E9207" s="6" t="str">
        <f>HYPERLINK("https://twitter.com/petrogustavo/status/1298969202762620928","1298969202762620928")</f>
        <v>1298969202762620928</v>
      </c>
      <c r="F9207" s="7" t="s">
        <v>17</v>
      </c>
      <c r="G9207" s="7">
        <v>3949200</v>
      </c>
      <c r="H9207" s="7">
        <v>2429</v>
      </c>
      <c r="I9207" s="7">
        <v>266</v>
      </c>
      <c r="J9207" s="7">
        <v>678</v>
      </c>
      <c r="K9207" s="7" t="s">
        <v>18</v>
      </c>
      <c r="L9207" s="8">
        <v>39987.315405092595</v>
      </c>
      <c r="M9207" s="9" t="s">
        <v>19</v>
      </c>
      <c r="N9207" s="9" t="s">
        <v>20</v>
      </c>
      <c r="O9207" s="6" t="str">
        <f>HYPERLINK("https://pbs.twimg.com/profile_images/962471262747529216/Uo8lOkRJ_normal.jpg","View")</f>
        <v>View</v>
      </c>
      <c r="P9207" s="7"/>
    </row>
    <row r="9208" spans="1:16">
      <c r="A9208" s="3">
        <v>44070.774895833332</v>
      </c>
      <c r="B9208" s="4" t="str">
        <f>HYPERLINK("https://twitter.com/petrogustavo","@petrogustavo")</f>
        <v>@petrogustavo</v>
      </c>
      <c r="C9208" s="5" t="s">
        <v>16</v>
      </c>
      <c r="D9208" s="5" t="s">
        <v>8861</v>
      </c>
      <c r="E9208" s="6" t="str">
        <f>HYPERLINK("https://twitter.com/petrogustavo/status/1298969981443624960","1298969981443624960")</f>
        <v>1298969981443624960</v>
      </c>
      <c r="F9208" s="7" t="s">
        <v>17</v>
      </c>
      <c r="G9208" s="7">
        <v>3949200</v>
      </c>
      <c r="H9208" s="7">
        <v>2429</v>
      </c>
      <c r="I9208" s="7">
        <v>68</v>
      </c>
      <c r="J9208" s="7">
        <v>0</v>
      </c>
      <c r="K9208" s="7" t="s">
        <v>18</v>
      </c>
      <c r="L9208" s="8">
        <v>39987.315405092595</v>
      </c>
      <c r="M9208" s="9" t="s">
        <v>19</v>
      </c>
      <c r="N9208" s="9" t="s">
        <v>20</v>
      </c>
      <c r="O9208" s="6" t="str">
        <f>HYPERLINK("https://pbs.twimg.com/profile_images/962471262747529216/Uo8lOkRJ_normal.jpg","View")</f>
        <v>View</v>
      </c>
      <c r="P9208" s="7"/>
    </row>
    <row r="9209" spans="1:16">
      <c r="A9209" s="3">
        <v>44070.77888888889</v>
      </c>
      <c r="B9209" s="4" t="str">
        <f>HYPERLINK("https://twitter.com/petrogustavo","@petrogustavo")</f>
        <v>@petrogustavo</v>
      </c>
      <c r="C9209" s="5" t="s">
        <v>16</v>
      </c>
      <c r="D9209" s="5" t="s">
        <v>8862</v>
      </c>
      <c r="E9209" s="6" t="str">
        <f>HYPERLINK("https://twitter.com/petrogustavo/status/1298971424623919105","1298971424623919105")</f>
        <v>1298971424623919105</v>
      </c>
      <c r="F9209" s="7" t="s">
        <v>17</v>
      </c>
      <c r="G9209" s="7">
        <v>3949200</v>
      </c>
      <c r="H9209" s="7">
        <v>2429</v>
      </c>
      <c r="I9209" s="7">
        <v>81</v>
      </c>
      <c r="J9209" s="7">
        <v>152</v>
      </c>
      <c r="K9209" s="7" t="s">
        <v>18</v>
      </c>
      <c r="L9209" s="8">
        <v>39987.315405092595</v>
      </c>
      <c r="M9209" s="9" t="s">
        <v>19</v>
      </c>
      <c r="N9209" s="9" t="s">
        <v>20</v>
      </c>
      <c r="O9209" s="6" t="str">
        <f>HYPERLINK("https://pbs.twimg.com/profile_images/962471262747529216/Uo8lOkRJ_normal.jpg","View")</f>
        <v>View</v>
      </c>
      <c r="P9209" s="7"/>
    </row>
    <row r="9210" spans="1:16">
      <c r="A9210" s="3">
        <v>44070.780694444446</v>
      </c>
      <c r="B9210" s="4" t="str">
        <f>HYPERLINK("https://twitter.com/petrogustavo","@petrogustavo")</f>
        <v>@petrogustavo</v>
      </c>
      <c r="C9210" s="5" t="s">
        <v>16</v>
      </c>
      <c r="D9210" s="5" t="s">
        <v>8863</v>
      </c>
      <c r="E9210" s="6" t="str">
        <f>HYPERLINK("https://twitter.com/petrogustavo/status/1298972079589658624","1298972079589658624")</f>
        <v>1298972079589658624</v>
      </c>
      <c r="F9210" s="7" t="s">
        <v>17</v>
      </c>
      <c r="G9210" s="7">
        <v>3949200</v>
      </c>
      <c r="H9210" s="7">
        <v>2429</v>
      </c>
      <c r="I9210" s="7">
        <v>89</v>
      </c>
      <c r="J9210" s="7">
        <v>258</v>
      </c>
      <c r="K9210" s="7" t="s">
        <v>18</v>
      </c>
      <c r="L9210" s="8">
        <v>39987.315405092595</v>
      </c>
      <c r="M9210" s="9" t="s">
        <v>19</v>
      </c>
      <c r="N9210" s="9" t="s">
        <v>20</v>
      </c>
      <c r="O9210" s="6" t="str">
        <f>HYPERLINK("https://pbs.twimg.com/profile_images/962471262747529216/Uo8lOkRJ_normal.jpg","View")</f>
        <v>View</v>
      </c>
      <c r="P9210" s="7"/>
    </row>
    <row r="9211" spans="1:16">
      <c r="A9211" s="3">
        <v>44070.781875000001</v>
      </c>
      <c r="B9211" s="4" t="str">
        <f>HYPERLINK("https://twitter.com/petrogustavo","@petrogustavo")</f>
        <v>@petrogustavo</v>
      </c>
      <c r="C9211" s="5" t="s">
        <v>16</v>
      </c>
      <c r="D9211" s="5" t="s">
        <v>8864</v>
      </c>
      <c r="E9211" s="6" t="str">
        <f>HYPERLINK("https://twitter.com/petrogustavo/status/1298972507966504960","1298972507966504960")</f>
        <v>1298972507966504960</v>
      </c>
      <c r="F9211" s="7" t="s">
        <v>17</v>
      </c>
      <c r="G9211" s="7">
        <v>3949200</v>
      </c>
      <c r="H9211" s="7">
        <v>2429</v>
      </c>
      <c r="I9211" s="7">
        <v>37</v>
      </c>
      <c r="J9211" s="7">
        <v>137</v>
      </c>
      <c r="K9211" s="7" t="s">
        <v>18</v>
      </c>
      <c r="L9211" s="8">
        <v>39987.315405092595</v>
      </c>
      <c r="M9211" s="9" t="s">
        <v>19</v>
      </c>
      <c r="N9211" s="9" t="s">
        <v>20</v>
      </c>
      <c r="O9211" s="6" t="str">
        <f>HYPERLINK("https://pbs.twimg.com/profile_images/962471262747529216/Uo8lOkRJ_normal.jpg","View")</f>
        <v>View</v>
      </c>
      <c r="P9211" s="7"/>
    </row>
    <row r="9212" spans="1:16">
      <c r="A9212" s="3">
        <v>44070.796979166669</v>
      </c>
      <c r="B9212" s="4" t="str">
        <f>HYPERLINK("https://twitter.com/petrogustavo","@petrogustavo")</f>
        <v>@petrogustavo</v>
      </c>
      <c r="C9212" s="5" t="s">
        <v>16</v>
      </c>
      <c r="D9212" s="5" t="s">
        <v>8865</v>
      </c>
      <c r="E9212" s="6" t="str">
        <f>HYPERLINK("https://twitter.com/petrogustavo/status/1298977980375371786","1298977980375371786")</f>
        <v>1298977980375371786</v>
      </c>
      <c r="F9212" s="7" t="s">
        <v>17</v>
      </c>
      <c r="G9212" s="7">
        <v>3949195</v>
      </c>
      <c r="H9212" s="7">
        <v>2429</v>
      </c>
      <c r="I9212" s="7">
        <v>146</v>
      </c>
      <c r="J9212" s="7">
        <v>0</v>
      </c>
      <c r="K9212" s="7" t="s">
        <v>18</v>
      </c>
      <c r="L9212" s="8">
        <v>39987.315405092595</v>
      </c>
      <c r="M9212" s="9" t="s">
        <v>19</v>
      </c>
      <c r="N9212" s="9" t="s">
        <v>20</v>
      </c>
      <c r="O9212" s="6" t="str">
        <f>HYPERLINK("https://pbs.twimg.com/profile_images/962471262747529216/Uo8lOkRJ_normal.jpg","View")</f>
        <v>View</v>
      </c>
      <c r="P9212" s="7"/>
    </row>
    <row r="9213" spans="1:16">
      <c r="A9213" s="3">
        <v>44070.797314814816</v>
      </c>
      <c r="B9213" s="4" t="str">
        <f>HYPERLINK("https://twitter.com/petrogustavo","@petrogustavo")</f>
        <v>@petrogustavo</v>
      </c>
      <c r="C9213" s="5" t="s">
        <v>16</v>
      </c>
      <c r="D9213" s="5" t="s">
        <v>8866</v>
      </c>
      <c r="E9213" s="6" t="str">
        <f>HYPERLINK("https://twitter.com/petrogustavo/status/1298978104870727682","1298978104870727682")</f>
        <v>1298978104870727682</v>
      </c>
      <c r="F9213" s="7" t="s">
        <v>17</v>
      </c>
      <c r="G9213" s="7">
        <v>3949195</v>
      </c>
      <c r="H9213" s="7">
        <v>2429</v>
      </c>
      <c r="I9213" s="7">
        <v>206</v>
      </c>
      <c r="J9213" s="7">
        <v>0</v>
      </c>
      <c r="K9213" s="7" t="s">
        <v>18</v>
      </c>
      <c r="L9213" s="8">
        <v>39987.315405092595</v>
      </c>
      <c r="M9213" s="9" t="s">
        <v>19</v>
      </c>
      <c r="N9213" s="9" t="s">
        <v>20</v>
      </c>
      <c r="O9213" s="6" t="str">
        <f>HYPERLINK("https://pbs.twimg.com/profile_images/962471262747529216/Uo8lOkRJ_normal.jpg","View")</f>
        <v>View</v>
      </c>
      <c r="P9213" s="7"/>
    </row>
    <row r="9214" spans="1:16">
      <c r="A9214" s="3">
        <v>44070.80773148148</v>
      </c>
      <c r="B9214" s="4" t="str">
        <f>HYPERLINK("https://twitter.com/petrogustavo","@petrogustavo")</f>
        <v>@petrogustavo</v>
      </c>
      <c r="C9214" s="5" t="s">
        <v>16</v>
      </c>
      <c r="D9214" s="5" t="s">
        <v>8867</v>
      </c>
      <c r="E9214" s="6" t="str">
        <f>HYPERLINK("https://twitter.com/petrogustavo/status/1298981879710806017","1298981879710806017")</f>
        <v>1298981879710806017</v>
      </c>
      <c r="F9214" s="7" t="s">
        <v>17</v>
      </c>
      <c r="G9214" s="7">
        <v>3949218</v>
      </c>
      <c r="H9214" s="7">
        <v>2429</v>
      </c>
      <c r="I9214" s="7">
        <v>185</v>
      </c>
      <c r="J9214" s="7">
        <v>0</v>
      </c>
      <c r="K9214" s="7" t="s">
        <v>18</v>
      </c>
      <c r="L9214" s="8">
        <v>39987.315405092595</v>
      </c>
      <c r="M9214" s="9" t="s">
        <v>19</v>
      </c>
      <c r="N9214" s="9" t="s">
        <v>20</v>
      </c>
      <c r="O9214" s="6" t="str">
        <f>HYPERLINK("https://pbs.twimg.com/profile_images/962471262747529216/Uo8lOkRJ_normal.jpg","View")</f>
        <v>View</v>
      </c>
      <c r="P9214" s="7"/>
    </row>
    <row r="9215" spans="1:16">
      <c r="A9215" s="3">
        <v>44070.809351851851</v>
      </c>
      <c r="B9215" s="4" t="str">
        <f>HYPERLINK("https://twitter.com/petrogustavo","@petrogustavo")</f>
        <v>@petrogustavo</v>
      </c>
      <c r="C9215" s="5" t="s">
        <v>16</v>
      </c>
      <c r="D9215" s="5" t="s">
        <v>8868</v>
      </c>
      <c r="E9215" s="6" t="str">
        <f>HYPERLINK("https://twitter.com/petrogustavo/status/1298982465113960453","1298982465113960453")</f>
        <v>1298982465113960453</v>
      </c>
      <c r="F9215" s="7" t="s">
        <v>17</v>
      </c>
      <c r="G9215" s="7">
        <v>3949218</v>
      </c>
      <c r="H9215" s="7">
        <v>2429</v>
      </c>
      <c r="I9215" s="7">
        <v>100</v>
      </c>
      <c r="J9215" s="7">
        <v>215</v>
      </c>
      <c r="K9215" s="7" t="s">
        <v>18</v>
      </c>
      <c r="L9215" s="8">
        <v>39987.315405092595</v>
      </c>
      <c r="M9215" s="9" t="s">
        <v>19</v>
      </c>
      <c r="N9215" s="9" t="s">
        <v>20</v>
      </c>
      <c r="O9215" s="6" t="str">
        <f>HYPERLINK("https://pbs.twimg.com/profile_images/962471262747529216/Uo8lOkRJ_normal.jpg","View")</f>
        <v>View</v>
      </c>
      <c r="P9215" s="7"/>
    </row>
    <row r="9216" spans="1:16">
      <c r="A9216" s="3">
        <v>44070.809571759259</v>
      </c>
      <c r="B9216" s="4" t="str">
        <f>HYPERLINK("https://twitter.com/petrogustavo","@petrogustavo")</f>
        <v>@petrogustavo</v>
      </c>
      <c r="C9216" s="5" t="s">
        <v>16</v>
      </c>
      <c r="D9216" s="5" t="s">
        <v>8869</v>
      </c>
      <c r="E9216" s="6" t="str">
        <f>HYPERLINK("https://twitter.com/petrogustavo/status/1298982543799197699","1298982543799197699")</f>
        <v>1298982543799197699</v>
      </c>
      <c r="F9216" s="7" t="s">
        <v>17</v>
      </c>
      <c r="G9216" s="7">
        <v>3949218</v>
      </c>
      <c r="H9216" s="7">
        <v>2429</v>
      </c>
      <c r="I9216" s="7">
        <v>699</v>
      </c>
      <c r="J9216" s="7">
        <v>0</v>
      </c>
      <c r="K9216" s="7" t="s">
        <v>18</v>
      </c>
      <c r="L9216" s="8">
        <v>39987.315405092595</v>
      </c>
      <c r="M9216" s="9" t="s">
        <v>19</v>
      </c>
      <c r="N9216" s="9" t="s">
        <v>20</v>
      </c>
      <c r="O9216" s="6" t="str">
        <f>HYPERLINK("https://pbs.twimg.com/profile_images/962471262747529216/Uo8lOkRJ_normal.jpg","View")</f>
        <v>View</v>
      </c>
      <c r="P9216" s="7"/>
    </row>
    <row r="9217" spans="1:16">
      <c r="A9217" s="3">
        <v>44070.960706018523</v>
      </c>
      <c r="B9217" s="4" t="str">
        <f>HYPERLINK("https://twitter.com/petrogustavo","@petrogustavo")</f>
        <v>@petrogustavo</v>
      </c>
      <c r="C9217" s="5" t="s">
        <v>16</v>
      </c>
      <c r="D9217" s="5" t="s">
        <v>8870</v>
      </c>
      <c r="E9217" s="6" t="str">
        <f>HYPERLINK("https://twitter.com/petrogustavo/status/1299037316967784448","1299037316967784448")</f>
        <v>1299037316967784448</v>
      </c>
      <c r="F9217" s="7" t="s">
        <v>17</v>
      </c>
      <c r="G9217" s="7">
        <v>3949347</v>
      </c>
      <c r="H9217" s="7">
        <v>2429</v>
      </c>
      <c r="I9217" s="7">
        <v>59</v>
      </c>
      <c r="J9217" s="7">
        <v>0</v>
      </c>
      <c r="K9217" s="7" t="s">
        <v>18</v>
      </c>
      <c r="L9217" s="8">
        <v>39987.315405092595</v>
      </c>
      <c r="M9217" s="9" t="s">
        <v>19</v>
      </c>
      <c r="N9217" s="9" t="s">
        <v>20</v>
      </c>
      <c r="O9217" s="6" t="str">
        <f>HYPERLINK("https://pbs.twimg.com/profile_images/962471262747529216/Uo8lOkRJ_normal.jpg","View")</f>
        <v>View</v>
      </c>
      <c r="P9217" s="7"/>
    </row>
    <row r="9218" spans="1:16">
      <c r="A9218" s="3">
        <v>44070.987349537041</v>
      </c>
      <c r="B9218" s="4" t="str">
        <f>HYPERLINK("https://twitter.com/petrogustavo","@petrogustavo")</f>
        <v>@petrogustavo</v>
      </c>
      <c r="C9218" s="5" t="s">
        <v>16</v>
      </c>
      <c r="D9218" s="5" t="s">
        <v>8871</v>
      </c>
      <c r="E9218" s="6" t="str">
        <f>HYPERLINK("https://twitter.com/petrogustavo/status/1299046971278331904","1299046971278331904")</f>
        <v>1299046971278331904</v>
      </c>
      <c r="F9218" s="7" t="s">
        <v>17</v>
      </c>
      <c r="G9218" s="7">
        <v>3949372</v>
      </c>
      <c r="H9218" s="7">
        <v>2429</v>
      </c>
      <c r="I9218" s="7">
        <v>58</v>
      </c>
      <c r="J9218" s="7">
        <v>0</v>
      </c>
      <c r="K9218" s="7" t="s">
        <v>18</v>
      </c>
      <c r="L9218" s="8">
        <v>39987.315405092595</v>
      </c>
      <c r="M9218" s="9" t="s">
        <v>19</v>
      </c>
      <c r="N9218" s="9" t="s">
        <v>20</v>
      </c>
      <c r="O9218" s="6" t="str">
        <f>HYPERLINK("https://pbs.twimg.com/profile_images/962471262747529216/Uo8lOkRJ_normal.jpg","View")</f>
        <v>View</v>
      </c>
      <c r="P9218" s="7"/>
    </row>
    <row r="9219" spans="1:16">
      <c r="A9219" s="3">
        <v>44070.988449074073</v>
      </c>
      <c r="B9219" s="4" t="str">
        <f>HYPERLINK("https://twitter.com/petrogustavo","@petrogustavo")</f>
        <v>@petrogustavo</v>
      </c>
      <c r="C9219" s="5" t="s">
        <v>16</v>
      </c>
      <c r="D9219" s="5" t="s">
        <v>8872</v>
      </c>
      <c r="E9219" s="6" t="str">
        <f>HYPERLINK("https://twitter.com/petrogustavo/status/1299047368390832130","1299047368390832130")</f>
        <v>1299047368390832130</v>
      </c>
      <c r="F9219" s="7" t="s">
        <v>17</v>
      </c>
      <c r="G9219" s="7">
        <v>3949372</v>
      </c>
      <c r="H9219" s="7">
        <v>2429</v>
      </c>
      <c r="I9219" s="7">
        <v>158</v>
      </c>
      <c r="J9219" s="7">
        <v>442</v>
      </c>
      <c r="K9219" s="7" t="s">
        <v>18</v>
      </c>
      <c r="L9219" s="8">
        <v>39987.315405092595</v>
      </c>
      <c r="M9219" s="9" t="s">
        <v>19</v>
      </c>
      <c r="N9219" s="9" t="s">
        <v>20</v>
      </c>
      <c r="O9219" s="6" t="str">
        <f>HYPERLINK("https://pbs.twimg.com/profile_images/962471262747529216/Uo8lOkRJ_normal.jpg","View")</f>
        <v>View</v>
      </c>
      <c r="P9219" s="7"/>
    </row>
    <row r="9220" spans="1:16">
      <c r="A9220" s="3">
        <v>44071.024976851855</v>
      </c>
      <c r="B9220" s="4" t="str">
        <f>HYPERLINK("https://twitter.com/petrogustavo","@petrogustavo")</f>
        <v>@petrogustavo</v>
      </c>
      <c r="C9220" s="5" t="s">
        <v>16</v>
      </c>
      <c r="D9220" s="5" t="s">
        <v>8873</v>
      </c>
      <c r="E9220" s="6" t="str">
        <f>HYPERLINK("https://twitter.com/petrogustavo/status/1299060605731704835","1299060605731704835")</f>
        <v>1299060605731704835</v>
      </c>
      <c r="F9220" s="7" t="s">
        <v>17</v>
      </c>
      <c r="G9220" s="7">
        <v>3949451</v>
      </c>
      <c r="H9220" s="7">
        <v>2429</v>
      </c>
      <c r="I9220" s="7">
        <v>2116</v>
      </c>
      <c r="J9220" s="7">
        <v>0</v>
      </c>
      <c r="K9220" s="7" t="s">
        <v>18</v>
      </c>
      <c r="L9220" s="8">
        <v>39987.315405092595</v>
      </c>
      <c r="M9220" s="9" t="s">
        <v>19</v>
      </c>
      <c r="N9220" s="9" t="s">
        <v>20</v>
      </c>
      <c r="O9220" s="6" t="str">
        <f>HYPERLINK("https://pbs.twimg.com/profile_images/962471262747529216/Uo8lOkRJ_normal.jpg","View")</f>
        <v>View</v>
      </c>
      <c r="P9220" s="7"/>
    </row>
    <row r="9221" spans="1:16">
      <c r="A9221" s="3">
        <v>44071.025960648149</v>
      </c>
      <c r="B9221" s="4" t="str">
        <f>HYPERLINK("https://twitter.com/petrogustavo","@petrogustavo")</f>
        <v>@petrogustavo</v>
      </c>
      <c r="C9221" s="5" t="s">
        <v>16</v>
      </c>
      <c r="D9221" s="5" t="s">
        <v>8874</v>
      </c>
      <c r="E9221" s="6" t="str">
        <f>HYPERLINK("https://twitter.com/petrogustavo/status/1299060964319473667","1299060964319473667")</f>
        <v>1299060964319473667</v>
      </c>
      <c r="F9221" s="7" t="s">
        <v>17</v>
      </c>
      <c r="G9221" s="7">
        <v>3949451</v>
      </c>
      <c r="H9221" s="7">
        <v>2429</v>
      </c>
      <c r="I9221" s="7">
        <v>43</v>
      </c>
      <c r="J9221" s="7">
        <v>0</v>
      </c>
      <c r="K9221" s="7" t="s">
        <v>18</v>
      </c>
      <c r="L9221" s="8">
        <v>39987.315405092595</v>
      </c>
      <c r="M9221" s="9" t="s">
        <v>19</v>
      </c>
      <c r="N9221" s="9" t="s">
        <v>20</v>
      </c>
      <c r="O9221" s="6" t="str">
        <f>HYPERLINK("https://pbs.twimg.com/profile_images/962471262747529216/Uo8lOkRJ_normal.jpg","View")</f>
        <v>View</v>
      </c>
      <c r="P9221" s="7"/>
    </row>
    <row r="9222" spans="1:16">
      <c r="A9222" s="3">
        <v>44071.02853009259</v>
      </c>
      <c r="B9222" s="4" t="str">
        <f>HYPERLINK("https://twitter.com/petrogustavo","@petrogustavo")</f>
        <v>@petrogustavo</v>
      </c>
      <c r="C9222" s="5" t="s">
        <v>16</v>
      </c>
      <c r="D9222" s="5" t="s">
        <v>8875</v>
      </c>
      <c r="E9222" s="6" t="str">
        <f>HYPERLINK("https://twitter.com/petrogustavo/status/1299061891822759937","1299061891822759937")</f>
        <v>1299061891822759937</v>
      </c>
      <c r="F9222" s="7" t="s">
        <v>17</v>
      </c>
      <c r="G9222" s="7">
        <v>3949451</v>
      </c>
      <c r="H9222" s="7">
        <v>2429</v>
      </c>
      <c r="I9222" s="7">
        <v>162</v>
      </c>
      <c r="J9222" s="7">
        <v>408</v>
      </c>
      <c r="K9222" s="7" t="s">
        <v>18</v>
      </c>
      <c r="L9222" s="8">
        <v>39987.315405092595</v>
      </c>
      <c r="M9222" s="9" t="s">
        <v>19</v>
      </c>
      <c r="N9222" s="9" t="s">
        <v>20</v>
      </c>
      <c r="O9222" s="6" t="str">
        <f>HYPERLINK("https://pbs.twimg.com/profile_images/962471262747529216/Uo8lOkRJ_normal.jpg","View")</f>
        <v>View</v>
      </c>
      <c r="P9222" s="7"/>
    </row>
    <row r="9223" spans="1:16">
      <c r="A9223" s="3">
        <v>44071.288124999999</v>
      </c>
      <c r="B9223" s="4" t="str">
        <f>HYPERLINK("https://twitter.com/petrogustavo","@petrogustavo")</f>
        <v>@petrogustavo</v>
      </c>
      <c r="C9223" s="5" t="s">
        <v>16</v>
      </c>
      <c r="D9223" s="5" t="s">
        <v>8874</v>
      </c>
      <c r="E9223" s="6" t="str">
        <f>HYPERLINK("https://twitter.com/petrogustavo/status/1299155967339311104","1299155967339311104")</f>
        <v>1299155967339311104</v>
      </c>
      <c r="F9223" s="7" t="s">
        <v>17</v>
      </c>
      <c r="G9223" s="7">
        <v>3949743</v>
      </c>
      <c r="H9223" s="7">
        <v>2428</v>
      </c>
      <c r="I9223" s="7">
        <v>156</v>
      </c>
      <c r="J9223" s="7">
        <v>0</v>
      </c>
      <c r="K9223" s="7" t="s">
        <v>18</v>
      </c>
      <c r="L9223" s="8">
        <v>39987.315405092595</v>
      </c>
      <c r="M9223" s="9" t="s">
        <v>19</v>
      </c>
      <c r="N9223" s="9" t="s">
        <v>20</v>
      </c>
      <c r="O9223" s="6" t="str">
        <f>HYPERLINK("https://pbs.twimg.com/profile_images/962471262747529216/Uo8lOkRJ_normal.jpg","View")</f>
        <v>View</v>
      </c>
      <c r="P9223" s="7"/>
    </row>
    <row r="9224" spans="1:16">
      <c r="A9224" s="3">
        <v>44071.288472222222</v>
      </c>
      <c r="B9224" s="4" t="str">
        <f>HYPERLINK("https://twitter.com/petrogustavo","@petrogustavo")</f>
        <v>@petrogustavo</v>
      </c>
      <c r="C9224" s="5" t="s">
        <v>16</v>
      </c>
      <c r="D9224" s="5" t="s">
        <v>8876</v>
      </c>
      <c r="E9224" s="6" t="str">
        <f>HYPERLINK("https://twitter.com/petrogustavo/status/1299156095211048962","1299156095211048962")</f>
        <v>1299156095211048962</v>
      </c>
      <c r="F9224" s="7" t="s">
        <v>17</v>
      </c>
      <c r="G9224" s="7">
        <v>3949743</v>
      </c>
      <c r="H9224" s="7">
        <v>2428</v>
      </c>
      <c r="I9224" s="7">
        <v>31</v>
      </c>
      <c r="J9224" s="7">
        <v>0</v>
      </c>
      <c r="K9224" s="7" t="s">
        <v>18</v>
      </c>
      <c r="L9224" s="8">
        <v>39987.315405092595</v>
      </c>
      <c r="M9224" s="9" t="s">
        <v>19</v>
      </c>
      <c r="N9224" s="9" t="s">
        <v>20</v>
      </c>
      <c r="O9224" s="6" t="str">
        <f>HYPERLINK("https://pbs.twimg.com/profile_images/962471262747529216/Uo8lOkRJ_normal.jpg","View")</f>
        <v>View</v>
      </c>
      <c r="P9224" s="7"/>
    </row>
    <row r="9225" spans="1:16">
      <c r="A9225" s="3">
        <v>44071.289120370369</v>
      </c>
      <c r="B9225" s="4" t="str">
        <f>HYPERLINK("https://twitter.com/petrogustavo","@petrogustavo")</f>
        <v>@petrogustavo</v>
      </c>
      <c r="C9225" s="5" t="s">
        <v>16</v>
      </c>
      <c r="D9225" s="5" t="s">
        <v>8877</v>
      </c>
      <c r="E9225" s="6" t="str">
        <f>HYPERLINK("https://twitter.com/petrogustavo/status/1299156330310139905","1299156330310139905")</f>
        <v>1299156330310139905</v>
      </c>
      <c r="F9225" s="7" t="s">
        <v>17</v>
      </c>
      <c r="G9225" s="7">
        <v>3949743</v>
      </c>
      <c r="H9225" s="7">
        <v>2428</v>
      </c>
      <c r="I9225" s="7">
        <v>696</v>
      </c>
      <c r="J9225" s="7">
        <v>0</v>
      </c>
      <c r="K9225" s="7" t="s">
        <v>18</v>
      </c>
      <c r="L9225" s="8">
        <v>39987.315405092595</v>
      </c>
      <c r="M9225" s="9" t="s">
        <v>19</v>
      </c>
      <c r="N9225" s="9" t="s">
        <v>20</v>
      </c>
      <c r="O9225" s="6" t="str">
        <f>HYPERLINK("https://pbs.twimg.com/profile_images/962471262747529216/Uo8lOkRJ_normal.jpg","View")</f>
        <v>View</v>
      </c>
      <c r="P9225" s="7"/>
    </row>
    <row r="9226" spans="1:16">
      <c r="A9226" s="3">
        <v>44071.290844907402</v>
      </c>
      <c r="B9226" s="4" t="str">
        <f>HYPERLINK("https://twitter.com/petrogustavo","@petrogustavo")</f>
        <v>@petrogustavo</v>
      </c>
      <c r="C9226" s="5" t="s">
        <v>16</v>
      </c>
      <c r="D9226" s="5" t="s">
        <v>8878</v>
      </c>
      <c r="E9226" s="6" t="str">
        <f>HYPERLINK("https://twitter.com/petrogustavo/status/1299156954795962368","1299156954795962368")</f>
        <v>1299156954795962368</v>
      </c>
      <c r="F9226" s="7" t="s">
        <v>17</v>
      </c>
      <c r="G9226" s="7">
        <v>3949743</v>
      </c>
      <c r="H9226" s="7">
        <v>2428</v>
      </c>
      <c r="I9226" s="7">
        <v>69</v>
      </c>
      <c r="J9226" s="7">
        <v>109</v>
      </c>
      <c r="K9226" s="7" t="s">
        <v>18</v>
      </c>
      <c r="L9226" s="8">
        <v>39987.315405092595</v>
      </c>
      <c r="M9226" s="9" t="s">
        <v>19</v>
      </c>
      <c r="N9226" s="9" t="s">
        <v>20</v>
      </c>
      <c r="O9226" s="6" t="str">
        <f>HYPERLINK("https://pbs.twimg.com/profile_images/962471262747529216/Uo8lOkRJ_normal.jpg","View")</f>
        <v>View</v>
      </c>
      <c r="P9226" s="7"/>
    </row>
    <row r="9227" spans="1:16">
      <c r="A9227" s="3">
        <v>44071.756782407407</v>
      </c>
      <c r="B9227" s="4" t="str">
        <f>HYPERLINK("https://twitter.com/petrogustavo","@petrogustavo")</f>
        <v>@petrogustavo</v>
      </c>
      <c r="C9227" s="5" t="s">
        <v>16</v>
      </c>
      <c r="D9227" s="5" t="s">
        <v>8879</v>
      </c>
      <c r="E9227" s="6" t="str">
        <f>HYPERLINK("https://twitter.com/petrogustavo/status/1299325802195169280","1299325802195169280")</f>
        <v>1299325802195169280</v>
      </c>
      <c r="F9227" s="7" t="s">
        <v>17</v>
      </c>
      <c r="G9227" s="7">
        <v>3949997</v>
      </c>
      <c r="H9227" s="7">
        <v>2426</v>
      </c>
      <c r="I9227" s="7">
        <v>229</v>
      </c>
      <c r="J9227" s="7">
        <v>871</v>
      </c>
      <c r="K9227" s="7" t="s">
        <v>18</v>
      </c>
      <c r="L9227" s="8">
        <v>39987.315405092595</v>
      </c>
      <c r="M9227" s="9" t="s">
        <v>19</v>
      </c>
      <c r="N9227" s="9" t="s">
        <v>20</v>
      </c>
      <c r="O9227" s="6" t="str">
        <f>HYPERLINK("https://pbs.twimg.com/profile_images/962471262747529216/Uo8lOkRJ_normal.jpg","View")</f>
        <v>View</v>
      </c>
      <c r="P9227" s="7"/>
    </row>
    <row r="9228" spans="1:16">
      <c r="A9228" s="3">
        <v>44071.758229166662</v>
      </c>
      <c r="B9228" s="4" t="str">
        <f>HYPERLINK("https://twitter.com/petrogustavo","@petrogustavo")</f>
        <v>@petrogustavo</v>
      </c>
      <c r="C9228" s="5" t="s">
        <v>16</v>
      </c>
      <c r="D9228" s="5" t="s">
        <v>8880</v>
      </c>
      <c r="E9228" s="6" t="str">
        <f>HYPERLINK("https://twitter.com/petrogustavo/status/1299326328177659904","1299326328177659904")</f>
        <v>1299326328177659904</v>
      </c>
      <c r="F9228" s="7" t="s">
        <v>17</v>
      </c>
      <c r="G9228" s="7">
        <v>3949997</v>
      </c>
      <c r="H9228" s="7">
        <v>2426</v>
      </c>
      <c r="I9228" s="7">
        <v>127</v>
      </c>
      <c r="J9228" s="7">
        <v>250</v>
      </c>
      <c r="K9228" s="7" t="s">
        <v>18</v>
      </c>
      <c r="L9228" s="8">
        <v>39987.315405092595</v>
      </c>
      <c r="M9228" s="9" t="s">
        <v>19</v>
      </c>
      <c r="N9228" s="9" t="s">
        <v>20</v>
      </c>
      <c r="O9228" s="6" t="str">
        <f>HYPERLINK("https://pbs.twimg.com/profile_images/962471262747529216/Uo8lOkRJ_normal.jpg","View")</f>
        <v>View</v>
      </c>
      <c r="P9228" s="7"/>
    </row>
    <row r="9229" spans="1:16">
      <c r="A9229" s="3">
        <v>44071.760104166664</v>
      </c>
      <c r="B9229" s="4" t="str">
        <f>HYPERLINK("https://twitter.com/petrogustavo","@petrogustavo")</f>
        <v>@petrogustavo</v>
      </c>
      <c r="C9229" s="5" t="s">
        <v>16</v>
      </c>
      <c r="D9229" s="5" t="s">
        <v>8881</v>
      </c>
      <c r="E9229" s="6" t="str">
        <f>HYPERLINK("https://twitter.com/petrogustavo/status/1299327007889731584","1299327007889731584")</f>
        <v>1299327007889731584</v>
      </c>
      <c r="F9229" s="7" t="s">
        <v>17</v>
      </c>
      <c r="G9229" s="7">
        <v>3949997</v>
      </c>
      <c r="H9229" s="7">
        <v>2426</v>
      </c>
      <c r="I9229" s="7">
        <v>163</v>
      </c>
      <c r="J9229" s="7">
        <v>493</v>
      </c>
      <c r="K9229" s="7" t="s">
        <v>18</v>
      </c>
      <c r="L9229" s="8">
        <v>39987.315405092595</v>
      </c>
      <c r="M9229" s="9" t="s">
        <v>19</v>
      </c>
      <c r="N9229" s="9" t="s">
        <v>20</v>
      </c>
      <c r="O9229" s="6" t="str">
        <f>HYPERLINK("https://pbs.twimg.com/profile_images/962471262747529216/Uo8lOkRJ_normal.jpg","View")</f>
        <v>View</v>
      </c>
      <c r="P9229" s="7"/>
    </row>
    <row r="9230" spans="1:16">
      <c r="A9230" s="3">
        <v>44071.763159722221</v>
      </c>
      <c r="B9230" s="4" t="str">
        <f>HYPERLINK("https://twitter.com/petrogustavo","@petrogustavo")</f>
        <v>@petrogustavo</v>
      </c>
      <c r="C9230" s="5" t="s">
        <v>16</v>
      </c>
      <c r="D9230" s="5" t="s">
        <v>8882</v>
      </c>
      <c r="E9230" s="6" t="str">
        <f>HYPERLINK("https://twitter.com/petrogustavo/status/1299328116532355072","1299328116532355072")</f>
        <v>1299328116532355072</v>
      </c>
      <c r="F9230" s="7" t="s">
        <v>17</v>
      </c>
      <c r="G9230" s="7">
        <v>3949997</v>
      </c>
      <c r="H9230" s="7">
        <v>2426</v>
      </c>
      <c r="I9230" s="7">
        <v>192</v>
      </c>
      <c r="J9230" s="7">
        <v>379</v>
      </c>
      <c r="K9230" s="7" t="s">
        <v>18</v>
      </c>
      <c r="L9230" s="8">
        <v>39987.315405092595</v>
      </c>
      <c r="M9230" s="9" t="s">
        <v>19</v>
      </c>
      <c r="N9230" s="9" t="s">
        <v>20</v>
      </c>
      <c r="O9230" s="6" t="str">
        <f>HYPERLINK("https://pbs.twimg.com/profile_images/962471262747529216/Uo8lOkRJ_normal.jpg","View")</f>
        <v>View</v>
      </c>
      <c r="P9230" s="7"/>
    </row>
    <row r="9231" spans="1:16">
      <c r="A9231" s="3">
        <v>44071.764178240745</v>
      </c>
      <c r="B9231" s="4" t="str">
        <f>HYPERLINK("https://twitter.com/petrogustavo","@petrogustavo")</f>
        <v>@petrogustavo</v>
      </c>
      <c r="C9231" s="5" t="s">
        <v>16</v>
      </c>
      <c r="D9231" s="5" t="s">
        <v>8883</v>
      </c>
      <c r="E9231" s="6" t="str">
        <f>HYPERLINK("https://twitter.com/petrogustavo/status/1299328485354344449","1299328485354344449")</f>
        <v>1299328485354344449</v>
      </c>
      <c r="F9231" s="7" t="s">
        <v>17</v>
      </c>
      <c r="G9231" s="7">
        <v>3949997</v>
      </c>
      <c r="H9231" s="7">
        <v>2426</v>
      </c>
      <c r="I9231" s="7">
        <v>92</v>
      </c>
      <c r="J9231" s="7">
        <v>222</v>
      </c>
      <c r="K9231" s="7" t="s">
        <v>18</v>
      </c>
      <c r="L9231" s="8">
        <v>39987.315405092595</v>
      </c>
      <c r="M9231" s="9" t="s">
        <v>19</v>
      </c>
      <c r="N9231" s="9" t="s">
        <v>20</v>
      </c>
      <c r="O9231" s="6" t="str">
        <f>HYPERLINK("https://pbs.twimg.com/profile_images/962471262747529216/Uo8lOkRJ_normal.jpg","View")</f>
        <v>View</v>
      </c>
      <c r="P9231" s="7"/>
    </row>
    <row r="9232" spans="1:16">
      <c r="A9232" s="3">
        <v>44071.76835648148</v>
      </c>
      <c r="B9232" s="4" t="str">
        <f>HYPERLINK("https://twitter.com/petrogustavo","@petrogustavo")</f>
        <v>@petrogustavo</v>
      </c>
      <c r="C9232" s="5" t="s">
        <v>16</v>
      </c>
      <c r="D9232" s="5" t="s">
        <v>8884</v>
      </c>
      <c r="E9232" s="6" t="str">
        <f>HYPERLINK("https://twitter.com/petrogustavo/status/1299329996742418442","1299329996742418442")</f>
        <v>1299329996742418442</v>
      </c>
      <c r="F9232" s="7" t="s">
        <v>17</v>
      </c>
      <c r="G9232" s="7">
        <v>3949997</v>
      </c>
      <c r="H9232" s="7">
        <v>2426</v>
      </c>
      <c r="I9232" s="7">
        <v>62</v>
      </c>
      <c r="J9232" s="7">
        <v>102</v>
      </c>
      <c r="K9232" s="7" t="s">
        <v>18</v>
      </c>
      <c r="L9232" s="8">
        <v>39987.315405092595</v>
      </c>
      <c r="M9232" s="9" t="s">
        <v>19</v>
      </c>
      <c r="N9232" s="9" t="s">
        <v>20</v>
      </c>
      <c r="O9232" s="6" t="str">
        <f>HYPERLINK("https://pbs.twimg.com/profile_images/962471262747529216/Uo8lOkRJ_normal.jpg","View")</f>
        <v>View</v>
      </c>
      <c r="P9232" s="7"/>
    </row>
    <row r="9233" spans="1:16">
      <c r="A9233" s="3">
        <v>44071.771064814813</v>
      </c>
      <c r="B9233" s="4" t="str">
        <f>HYPERLINK("https://twitter.com/petrogustavo","@petrogustavo")</f>
        <v>@petrogustavo</v>
      </c>
      <c r="C9233" s="5" t="s">
        <v>16</v>
      </c>
      <c r="D9233" s="5" t="s">
        <v>8885</v>
      </c>
      <c r="E9233" s="6" t="str">
        <f>HYPERLINK("https://twitter.com/petrogustavo/status/1299330977785929730","1299330977785929730")</f>
        <v>1299330977785929730</v>
      </c>
      <c r="F9233" s="7" t="s">
        <v>17</v>
      </c>
      <c r="G9233" s="7">
        <v>3949997</v>
      </c>
      <c r="H9233" s="7">
        <v>2426</v>
      </c>
      <c r="I9233" s="7">
        <v>22</v>
      </c>
      <c r="J9233" s="7">
        <v>69</v>
      </c>
      <c r="K9233" s="7" t="s">
        <v>18</v>
      </c>
      <c r="L9233" s="8">
        <v>39987.315405092595</v>
      </c>
      <c r="M9233" s="9" t="s">
        <v>19</v>
      </c>
      <c r="N9233" s="9" t="s">
        <v>20</v>
      </c>
      <c r="O9233" s="6" t="str">
        <f>HYPERLINK("https://pbs.twimg.com/profile_images/962471262747529216/Uo8lOkRJ_normal.jpg","View")</f>
        <v>View</v>
      </c>
      <c r="P9233" s="7"/>
    </row>
    <row r="9234" spans="1:16">
      <c r="A9234" s="3">
        <v>44071.771990740745</v>
      </c>
      <c r="B9234" s="4" t="str">
        <f>HYPERLINK("https://twitter.com/petrogustavo","@petrogustavo")</f>
        <v>@petrogustavo</v>
      </c>
      <c r="C9234" s="5" t="s">
        <v>16</v>
      </c>
      <c r="D9234" s="5" t="s">
        <v>8886</v>
      </c>
      <c r="E9234" s="6" t="str">
        <f>HYPERLINK("https://twitter.com/petrogustavo/status/1299331314697621508","1299331314697621508")</f>
        <v>1299331314697621508</v>
      </c>
      <c r="F9234" s="7" t="s">
        <v>17</v>
      </c>
      <c r="G9234" s="7">
        <v>3949997</v>
      </c>
      <c r="H9234" s="7">
        <v>2426</v>
      </c>
      <c r="I9234" s="7">
        <v>2</v>
      </c>
      <c r="J9234" s="7">
        <v>6</v>
      </c>
      <c r="K9234" s="7" t="s">
        <v>18</v>
      </c>
      <c r="L9234" s="8">
        <v>39987.315405092595</v>
      </c>
      <c r="M9234" s="9" t="s">
        <v>19</v>
      </c>
      <c r="N9234" s="9" t="s">
        <v>20</v>
      </c>
      <c r="O9234" s="6" t="str">
        <f>HYPERLINK("https://pbs.twimg.com/profile_images/962471262747529216/Uo8lOkRJ_normal.jpg","View")</f>
        <v>View</v>
      </c>
      <c r="P9234" s="7"/>
    </row>
    <row r="9235" spans="1:16">
      <c r="A9235" s="3">
        <v>44071.773391203707</v>
      </c>
      <c r="B9235" s="4" t="str">
        <f>HYPERLINK("https://twitter.com/petrogustavo","@petrogustavo")</f>
        <v>@petrogustavo</v>
      </c>
      <c r="C9235" s="5" t="s">
        <v>16</v>
      </c>
      <c r="D9235" s="5" t="s">
        <v>8887</v>
      </c>
      <c r="E9235" s="6" t="str">
        <f>HYPERLINK("https://twitter.com/petrogustavo/status/1299331822891999234","1299331822891999234")</f>
        <v>1299331822891999234</v>
      </c>
      <c r="F9235" s="7" t="s">
        <v>17</v>
      </c>
      <c r="G9235" s="7">
        <v>3950022</v>
      </c>
      <c r="H9235" s="7">
        <v>2426</v>
      </c>
      <c r="I9235" s="7">
        <v>90</v>
      </c>
      <c r="J9235" s="7">
        <v>152</v>
      </c>
      <c r="K9235" s="7" t="s">
        <v>18</v>
      </c>
      <c r="L9235" s="8">
        <v>39987.315405092595</v>
      </c>
      <c r="M9235" s="9" t="s">
        <v>19</v>
      </c>
      <c r="N9235" s="9" t="s">
        <v>20</v>
      </c>
      <c r="O9235" s="6" t="str">
        <f>HYPERLINK("https://pbs.twimg.com/profile_images/962471262747529216/Uo8lOkRJ_normal.jpg","View")</f>
        <v>View</v>
      </c>
      <c r="P9235" s="7"/>
    </row>
    <row r="9236" spans="1:16">
      <c r="A9236" s="3">
        <v>44071.782708333332</v>
      </c>
      <c r="B9236" s="4" t="str">
        <f>HYPERLINK("https://twitter.com/petrogustavo","@petrogustavo")</f>
        <v>@petrogustavo</v>
      </c>
      <c r="C9236" s="5" t="s">
        <v>16</v>
      </c>
      <c r="D9236" s="5" t="s">
        <v>8888</v>
      </c>
      <c r="E9236" s="6" t="str">
        <f>HYPERLINK("https://twitter.com/petrogustavo/status/1299335200384716801","1299335200384716801")</f>
        <v>1299335200384716801</v>
      </c>
      <c r="F9236" s="7" t="s">
        <v>17</v>
      </c>
      <c r="G9236" s="7">
        <v>3950022</v>
      </c>
      <c r="H9236" s="7">
        <v>2426</v>
      </c>
      <c r="I9236" s="7">
        <v>85</v>
      </c>
      <c r="J9236" s="7">
        <v>350</v>
      </c>
      <c r="K9236" s="7" t="s">
        <v>18</v>
      </c>
      <c r="L9236" s="8">
        <v>39987.315405092595</v>
      </c>
      <c r="M9236" s="9" t="s">
        <v>19</v>
      </c>
      <c r="N9236" s="9" t="s">
        <v>20</v>
      </c>
      <c r="O9236" s="6" t="str">
        <f>HYPERLINK("https://pbs.twimg.com/profile_images/962471262747529216/Uo8lOkRJ_normal.jpg","View")</f>
        <v>View</v>
      </c>
      <c r="P9236" s="7"/>
    </row>
    <row r="9237" spans="1:16">
      <c r="A9237" s="3">
        <v>44071.792453703703</v>
      </c>
      <c r="B9237" s="4" t="str">
        <f>HYPERLINK("https://twitter.com/petrogustavo","@petrogustavo")</f>
        <v>@petrogustavo</v>
      </c>
      <c r="C9237" s="5" t="s">
        <v>16</v>
      </c>
      <c r="D9237" s="5" t="s">
        <v>8889</v>
      </c>
      <c r="E9237" s="6" t="str">
        <f>HYPERLINK("https://twitter.com/petrogustavo/status/1299338730730332165","1299338730730332165")</f>
        <v>1299338730730332165</v>
      </c>
      <c r="F9237" s="7" t="s">
        <v>17</v>
      </c>
      <c r="G9237" s="7">
        <v>3950022</v>
      </c>
      <c r="H9237" s="7">
        <v>2426</v>
      </c>
      <c r="I9237" s="7">
        <v>24</v>
      </c>
      <c r="J9237" s="7">
        <v>38</v>
      </c>
      <c r="K9237" s="7" t="s">
        <v>18</v>
      </c>
      <c r="L9237" s="8">
        <v>39987.315405092595</v>
      </c>
      <c r="M9237" s="9" t="s">
        <v>19</v>
      </c>
      <c r="N9237" s="9" t="s">
        <v>20</v>
      </c>
      <c r="O9237" s="6" t="str">
        <f>HYPERLINK("https://pbs.twimg.com/profile_images/962471262747529216/Uo8lOkRJ_normal.jpg","View")</f>
        <v>View</v>
      </c>
      <c r="P9237" s="7"/>
    </row>
    <row r="9238" spans="1:16">
      <c r="A9238" s="3">
        <v>44071.820497685185</v>
      </c>
      <c r="B9238" s="4" t="str">
        <f>HYPERLINK("https://twitter.com/petrogustavo","@petrogustavo")</f>
        <v>@petrogustavo</v>
      </c>
      <c r="C9238" s="5" t="s">
        <v>16</v>
      </c>
      <c r="D9238" s="5" t="s">
        <v>8890</v>
      </c>
      <c r="E9238" s="6" t="str">
        <f>HYPERLINK("https://twitter.com/petrogustavo/status/1299348894791368706","1299348894791368706")</f>
        <v>1299348894791368706</v>
      </c>
      <c r="F9238" s="7" t="s">
        <v>17</v>
      </c>
      <c r="G9238" s="7">
        <v>3950070</v>
      </c>
      <c r="H9238" s="7">
        <v>2426</v>
      </c>
      <c r="I9238" s="7">
        <v>212</v>
      </c>
      <c r="J9238" s="7">
        <v>0</v>
      </c>
      <c r="K9238" s="7" t="s">
        <v>18</v>
      </c>
      <c r="L9238" s="8">
        <v>39987.315405092595</v>
      </c>
      <c r="M9238" s="9" t="s">
        <v>19</v>
      </c>
      <c r="N9238" s="9" t="s">
        <v>20</v>
      </c>
      <c r="O9238" s="6" t="str">
        <f>HYPERLINK("https://pbs.twimg.com/profile_images/962471262747529216/Uo8lOkRJ_normal.jpg","View")</f>
        <v>View</v>
      </c>
      <c r="P9238" s="7"/>
    </row>
    <row r="9239" spans="1:16">
      <c r="A9239" s="3">
        <v>44071.82267361111</v>
      </c>
      <c r="B9239" s="4" t="str">
        <f>HYPERLINK("https://twitter.com/petrogustavo","@petrogustavo")</f>
        <v>@petrogustavo</v>
      </c>
      <c r="C9239" s="5" t="s">
        <v>16</v>
      </c>
      <c r="D9239" s="5" t="s">
        <v>8891</v>
      </c>
      <c r="E9239" s="6" t="str">
        <f>HYPERLINK("https://twitter.com/petrogustavo/status/1299349682276233218","1299349682276233218")</f>
        <v>1299349682276233218</v>
      </c>
      <c r="F9239" s="7" t="s">
        <v>17</v>
      </c>
      <c r="G9239" s="7">
        <v>3950070</v>
      </c>
      <c r="H9239" s="7">
        <v>2426</v>
      </c>
      <c r="I9239" s="7">
        <v>150</v>
      </c>
      <c r="J9239" s="7">
        <v>305</v>
      </c>
      <c r="K9239" s="7" t="s">
        <v>18</v>
      </c>
      <c r="L9239" s="8">
        <v>39987.315405092595</v>
      </c>
      <c r="M9239" s="9" t="s">
        <v>19</v>
      </c>
      <c r="N9239" s="9" t="s">
        <v>20</v>
      </c>
      <c r="O9239" s="6" t="str">
        <f>HYPERLINK("https://pbs.twimg.com/profile_images/962471262747529216/Uo8lOkRJ_normal.jpg","View")</f>
        <v>View</v>
      </c>
      <c r="P9239" s="7"/>
    </row>
    <row r="9240" spans="1:16">
      <c r="A9240" s="3">
        <v>44071.831493055557</v>
      </c>
      <c r="B9240" s="4" t="str">
        <f>HYPERLINK("https://twitter.com/petrogustavo","@petrogustavo")</f>
        <v>@petrogustavo</v>
      </c>
      <c r="C9240" s="5" t="s">
        <v>16</v>
      </c>
      <c r="D9240" s="5" t="s">
        <v>8892</v>
      </c>
      <c r="E9240" s="6" t="str">
        <f>HYPERLINK("https://twitter.com/petrogustavo/status/1299352879493533696","1299352879493533696")</f>
        <v>1299352879493533696</v>
      </c>
      <c r="F9240" s="7" t="s">
        <v>17</v>
      </c>
      <c r="G9240" s="7">
        <v>3950070</v>
      </c>
      <c r="H9240" s="7">
        <v>2426</v>
      </c>
      <c r="I9240" s="7">
        <v>31</v>
      </c>
      <c r="J9240" s="7">
        <v>110</v>
      </c>
      <c r="K9240" s="7" t="s">
        <v>18</v>
      </c>
      <c r="L9240" s="8">
        <v>39987.315405092595</v>
      </c>
      <c r="M9240" s="9" t="s">
        <v>19</v>
      </c>
      <c r="N9240" s="9" t="s">
        <v>20</v>
      </c>
      <c r="O9240" s="6" t="str">
        <f>HYPERLINK("https://pbs.twimg.com/profile_images/962471262747529216/Uo8lOkRJ_normal.jpg","View")</f>
        <v>View</v>
      </c>
      <c r="P9240" s="7"/>
    </row>
    <row r="9241" spans="1:16">
      <c r="A9241" s="3">
        <v>44071.832048611112</v>
      </c>
      <c r="B9241" s="4" t="str">
        <f>HYPERLINK("https://twitter.com/petrogustavo","@petrogustavo")</f>
        <v>@petrogustavo</v>
      </c>
      <c r="C9241" s="5" t="s">
        <v>16</v>
      </c>
      <c r="D9241" s="5" t="s">
        <v>8893</v>
      </c>
      <c r="E9241" s="6" t="str">
        <f>HYPERLINK("https://twitter.com/petrogustavo/status/1299353079775662080","1299353079775662080")</f>
        <v>1299353079775662080</v>
      </c>
      <c r="F9241" s="7" t="s">
        <v>17</v>
      </c>
      <c r="G9241" s="7">
        <v>3950070</v>
      </c>
      <c r="H9241" s="7">
        <v>2426</v>
      </c>
      <c r="I9241" s="7">
        <v>150</v>
      </c>
      <c r="J9241" s="7">
        <v>0</v>
      </c>
      <c r="K9241" s="7" t="s">
        <v>18</v>
      </c>
      <c r="L9241" s="8">
        <v>39987.315405092595</v>
      </c>
      <c r="M9241" s="9" t="s">
        <v>19</v>
      </c>
      <c r="N9241" s="9" t="s">
        <v>20</v>
      </c>
      <c r="O9241" s="6" t="str">
        <f>HYPERLINK("https://pbs.twimg.com/profile_images/962471262747529216/Uo8lOkRJ_normal.jpg","View")</f>
        <v>View</v>
      </c>
      <c r="P9241" s="7"/>
    </row>
    <row r="9242" spans="1:16">
      <c r="A9242" s="3">
        <v>44071.832418981481</v>
      </c>
      <c r="B9242" s="4" t="str">
        <f>HYPERLINK("https://twitter.com/petrogustavo","@petrogustavo")</f>
        <v>@petrogustavo</v>
      </c>
      <c r="C9242" s="5" t="s">
        <v>16</v>
      </c>
      <c r="D9242" s="5" t="s">
        <v>8894</v>
      </c>
      <c r="E9242" s="6" t="str">
        <f>HYPERLINK("https://twitter.com/petrogustavo/status/1299353214316355585","1299353214316355585")</f>
        <v>1299353214316355585</v>
      </c>
      <c r="F9242" s="7" t="s">
        <v>17</v>
      </c>
      <c r="G9242" s="7">
        <v>3950070</v>
      </c>
      <c r="H9242" s="7">
        <v>2426</v>
      </c>
      <c r="I9242" s="7">
        <v>559</v>
      </c>
      <c r="J9242" s="7">
        <v>0</v>
      </c>
      <c r="K9242" s="7" t="s">
        <v>18</v>
      </c>
      <c r="L9242" s="8">
        <v>39987.315405092595</v>
      </c>
      <c r="M9242" s="9" t="s">
        <v>19</v>
      </c>
      <c r="N9242" s="9" t="s">
        <v>20</v>
      </c>
      <c r="O9242" s="6" t="str">
        <f>HYPERLINK("https://pbs.twimg.com/profile_images/962471262747529216/Uo8lOkRJ_normal.jpg","View")</f>
        <v>View</v>
      </c>
      <c r="P9242" s="7"/>
    </row>
    <row r="9243" spans="1:16">
      <c r="A9243" s="3">
        <v>44071.836770833332</v>
      </c>
      <c r="B9243" s="4" t="str">
        <f>HYPERLINK("https://twitter.com/petrogustavo","@petrogustavo")</f>
        <v>@petrogustavo</v>
      </c>
      <c r="C9243" s="5" t="s">
        <v>16</v>
      </c>
      <c r="D9243" s="5" t="s">
        <v>8895</v>
      </c>
      <c r="E9243" s="6" t="str">
        <f>HYPERLINK("https://twitter.com/petrogustavo/status/1299354788824526850","1299354788824526850")</f>
        <v>1299354788824526850</v>
      </c>
      <c r="F9243" s="7" t="s">
        <v>17</v>
      </c>
      <c r="G9243" s="7">
        <v>3950096</v>
      </c>
      <c r="H9243" s="7">
        <v>2427</v>
      </c>
      <c r="I9243" s="7">
        <v>72</v>
      </c>
      <c r="J9243" s="7">
        <v>137</v>
      </c>
      <c r="K9243" s="7" t="s">
        <v>18</v>
      </c>
      <c r="L9243" s="8">
        <v>39987.315405092595</v>
      </c>
      <c r="M9243" s="9" t="s">
        <v>19</v>
      </c>
      <c r="N9243" s="9" t="s">
        <v>20</v>
      </c>
      <c r="O9243" s="6" t="str">
        <f>HYPERLINK("https://pbs.twimg.com/profile_images/962471262747529216/Uo8lOkRJ_normal.jpg","View")</f>
        <v>View</v>
      </c>
      <c r="P9243" s="7"/>
    </row>
    <row r="9244" spans="1:16">
      <c r="A9244" s="3">
        <v>44071.838923611111</v>
      </c>
      <c r="B9244" s="4" t="str">
        <f>HYPERLINK("https://twitter.com/petrogustavo","@petrogustavo")</f>
        <v>@petrogustavo</v>
      </c>
      <c r="C9244" s="5" t="s">
        <v>16</v>
      </c>
      <c r="D9244" s="5" t="s">
        <v>8896</v>
      </c>
      <c r="E9244" s="6" t="str">
        <f>HYPERLINK("https://twitter.com/petrogustavo/status/1299355569086771200","1299355569086771200")</f>
        <v>1299355569086771200</v>
      </c>
      <c r="F9244" s="7" t="s">
        <v>17</v>
      </c>
      <c r="G9244" s="7">
        <v>3950096</v>
      </c>
      <c r="H9244" s="7">
        <v>2427</v>
      </c>
      <c r="I9244" s="7">
        <v>982</v>
      </c>
      <c r="J9244" s="7">
        <v>0</v>
      </c>
      <c r="K9244" s="7" t="s">
        <v>18</v>
      </c>
      <c r="L9244" s="8">
        <v>39987.315405092595</v>
      </c>
      <c r="M9244" s="9" t="s">
        <v>19</v>
      </c>
      <c r="N9244" s="9" t="s">
        <v>20</v>
      </c>
      <c r="O9244" s="6" t="str">
        <f>HYPERLINK("https://pbs.twimg.com/profile_images/962471262747529216/Uo8lOkRJ_normal.jpg","View")</f>
        <v>View</v>
      </c>
      <c r="P9244" s="7"/>
    </row>
    <row r="9245" spans="1:16">
      <c r="A9245" s="3">
        <v>44071.839849537035</v>
      </c>
      <c r="B9245" s="4" t="str">
        <f>HYPERLINK("https://twitter.com/petrogustavo","@petrogustavo")</f>
        <v>@petrogustavo</v>
      </c>
      <c r="C9245" s="5" t="s">
        <v>16</v>
      </c>
      <c r="D9245" s="5" t="s">
        <v>8897</v>
      </c>
      <c r="E9245" s="6" t="str">
        <f>HYPERLINK("https://twitter.com/petrogustavo/status/1299355904450625536","1299355904450625536")</f>
        <v>1299355904450625536</v>
      </c>
      <c r="F9245" s="7" t="s">
        <v>17</v>
      </c>
      <c r="G9245" s="7">
        <v>3950096</v>
      </c>
      <c r="H9245" s="7">
        <v>2427</v>
      </c>
      <c r="I9245" s="7">
        <v>114</v>
      </c>
      <c r="J9245" s="7">
        <v>369</v>
      </c>
      <c r="K9245" s="7" t="s">
        <v>18</v>
      </c>
      <c r="L9245" s="8">
        <v>39987.315405092595</v>
      </c>
      <c r="M9245" s="9" t="s">
        <v>19</v>
      </c>
      <c r="N9245" s="9" t="s">
        <v>20</v>
      </c>
      <c r="O9245" s="6" t="str">
        <f>HYPERLINK("https://pbs.twimg.com/profile_images/962471262747529216/Uo8lOkRJ_normal.jpg","View")</f>
        <v>View</v>
      </c>
      <c r="P9245" s="7"/>
    </row>
    <row r="9246" spans="1:16">
      <c r="A9246" s="3">
        <v>44071.842337962968</v>
      </c>
      <c r="B9246" s="4" t="str">
        <f>HYPERLINK("https://twitter.com/petrogustavo","@petrogustavo")</f>
        <v>@petrogustavo</v>
      </c>
      <c r="C9246" s="5" t="s">
        <v>16</v>
      </c>
      <c r="D9246" s="5" t="s">
        <v>8898</v>
      </c>
      <c r="E9246" s="6" t="str">
        <f>HYPERLINK("https://twitter.com/petrogustavo/status/1299356808902041600","1299356808902041600")</f>
        <v>1299356808902041600</v>
      </c>
      <c r="F9246" s="7" t="s">
        <v>17</v>
      </c>
      <c r="G9246" s="7">
        <v>3950096</v>
      </c>
      <c r="H9246" s="7">
        <v>2427</v>
      </c>
      <c r="I9246" s="7">
        <v>86</v>
      </c>
      <c r="J9246" s="7">
        <v>172</v>
      </c>
      <c r="K9246" s="7" t="s">
        <v>18</v>
      </c>
      <c r="L9246" s="8">
        <v>39987.315405092595</v>
      </c>
      <c r="M9246" s="9" t="s">
        <v>19</v>
      </c>
      <c r="N9246" s="9" t="s">
        <v>20</v>
      </c>
      <c r="O9246" s="6" t="str">
        <f>HYPERLINK("https://pbs.twimg.com/profile_images/962471262747529216/Uo8lOkRJ_normal.jpg","View")</f>
        <v>View</v>
      </c>
      <c r="P9246" s="7"/>
    </row>
    <row r="9247" spans="1:16">
      <c r="A9247" s="3">
        <v>44071.846666666665</v>
      </c>
      <c r="B9247" s="4" t="str">
        <f>HYPERLINK("https://twitter.com/petrogustavo","@petrogustavo")</f>
        <v>@petrogustavo</v>
      </c>
      <c r="C9247" s="5" t="s">
        <v>16</v>
      </c>
      <c r="D9247" s="5" t="s">
        <v>8899</v>
      </c>
      <c r="E9247" s="6" t="str">
        <f>HYPERLINK("https://twitter.com/petrogustavo/status/1299358374388289546","1299358374388289546")</f>
        <v>1299358374388289546</v>
      </c>
      <c r="F9247" s="7" t="s">
        <v>17</v>
      </c>
      <c r="G9247" s="7">
        <v>3950096</v>
      </c>
      <c r="H9247" s="7">
        <v>2427</v>
      </c>
      <c r="I9247" s="7">
        <v>51</v>
      </c>
      <c r="J9247" s="7">
        <v>151</v>
      </c>
      <c r="K9247" s="7" t="s">
        <v>18</v>
      </c>
      <c r="L9247" s="8">
        <v>39987.315405092595</v>
      </c>
      <c r="M9247" s="9" t="s">
        <v>19</v>
      </c>
      <c r="N9247" s="9" t="s">
        <v>20</v>
      </c>
      <c r="O9247" s="6" t="str">
        <f>HYPERLINK("https://pbs.twimg.com/profile_images/962471262747529216/Uo8lOkRJ_normal.jpg","View")</f>
        <v>View</v>
      </c>
      <c r="P9247" s="7"/>
    </row>
    <row r="9248" spans="1:16">
      <c r="A9248" s="3">
        <v>44071.853298611109</v>
      </c>
      <c r="B9248" s="4" t="str">
        <f>HYPERLINK("https://twitter.com/petrogustavo","@petrogustavo")</f>
        <v>@petrogustavo</v>
      </c>
      <c r="C9248" s="5" t="s">
        <v>16</v>
      </c>
      <c r="D9248" s="5" t="s">
        <v>8900</v>
      </c>
      <c r="E9248" s="6" t="str">
        <f>HYPERLINK("https://twitter.com/petrogustavo/status/1299360777749565440","1299360777749565440")</f>
        <v>1299360777749565440</v>
      </c>
      <c r="F9248" s="7" t="s">
        <v>17</v>
      </c>
      <c r="G9248" s="7">
        <v>3950096</v>
      </c>
      <c r="H9248" s="7">
        <v>2427</v>
      </c>
      <c r="I9248" s="7">
        <v>62</v>
      </c>
      <c r="J9248" s="7">
        <v>153</v>
      </c>
      <c r="K9248" s="7" t="s">
        <v>18</v>
      </c>
      <c r="L9248" s="8">
        <v>39987.315405092595</v>
      </c>
      <c r="M9248" s="9" t="s">
        <v>19</v>
      </c>
      <c r="N9248" s="9" t="s">
        <v>20</v>
      </c>
      <c r="O9248" s="6" t="str">
        <f>HYPERLINK("https://pbs.twimg.com/profile_images/962471262747529216/Uo8lOkRJ_normal.jpg","View")</f>
        <v>View</v>
      </c>
      <c r="P9248" s="7"/>
    </row>
    <row r="9249" spans="1:16">
      <c r="A9249" s="3">
        <v>44071.876388888893</v>
      </c>
      <c r="B9249" s="4" t="str">
        <f>HYPERLINK("https://twitter.com/petrogustavo","@petrogustavo")</f>
        <v>@petrogustavo</v>
      </c>
      <c r="C9249" s="5" t="s">
        <v>16</v>
      </c>
      <c r="D9249" s="5" t="s">
        <v>8901</v>
      </c>
      <c r="E9249" s="6" t="str">
        <f>HYPERLINK("https://twitter.com/petrogustavo/status/1299369147437113346","1299369147437113346")</f>
        <v>1299369147437113346</v>
      </c>
      <c r="F9249" s="7" t="s">
        <v>17</v>
      </c>
      <c r="G9249" s="7">
        <v>3950126</v>
      </c>
      <c r="H9249" s="7">
        <v>2427</v>
      </c>
      <c r="I9249" s="7">
        <v>7</v>
      </c>
      <c r="J9249" s="7">
        <v>0</v>
      </c>
      <c r="K9249" s="7" t="s">
        <v>18</v>
      </c>
      <c r="L9249" s="8">
        <v>39987.315405092595</v>
      </c>
      <c r="M9249" s="9" t="s">
        <v>19</v>
      </c>
      <c r="N9249" s="9" t="s">
        <v>20</v>
      </c>
      <c r="O9249" s="6" t="str">
        <f>HYPERLINK("https://pbs.twimg.com/profile_images/962471262747529216/Uo8lOkRJ_normal.jpg","View")</f>
        <v>View</v>
      </c>
      <c r="P9249" s="7"/>
    </row>
    <row r="9250" spans="1:16">
      <c r="A9250" s="3">
        <v>44071.900011574078</v>
      </c>
      <c r="B9250" s="4" t="str">
        <f>HYPERLINK("https://twitter.com/petrogustavo","@petrogustavo")</f>
        <v>@petrogustavo</v>
      </c>
      <c r="C9250" s="5" t="s">
        <v>16</v>
      </c>
      <c r="D9250" s="5" t="s">
        <v>8902</v>
      </c>
      <c r="E9250" s="6" t="str">
        <f>HYPERLINK("https://twitter.com/petrogustavo/status/1299377708804321287","1299377708804321287")</f>
        <v>1299377708804321287</v>
      </c>
      <c r="F9250" s="7" t="s">
        <v>32</v>
      </c>
      <c r="G9250" s="7">
        <v>3950163</v>
      </c>
      <c r="H9250" s="7">
        <v>2428</v>
      </c>
      <c r="I9250" s="7">
        <v>34</v>
      </c>
      <c r="J9250" s="7">
        <v>81</v>
      </c>
      <c r="K9250" s="7" t="s">
        <v>18</v>
      </c>
      <c r="L9250" s="8">
        <v>39987.315405092595</v>
      </c>
      <c r="M9250" s="9" t="s">
        <v>19</v>
      </c>
      <c r="N9250" s="9" t="s">
        <v>20</v>
      </c>
      <c r="O9250" s="6" t="str">
        <f>HYPERLINK("https://pbs.twimg.com/profile_images/962471262747529216/Uo8lOkRJ_normal.jpg","View")</f>
        <v>View</v>
      </c>
      <c r="P9250" s="7"/>
    </row>
    <row r="9251" spans="1:16">
      <c r="A9251" s="3">
        <v>44071.909224537041</v>
      </c>
      <c r="B9251" s="4" t="str">
        <f>HYPERLINK("https://twitter.com/petrogustavo","@petrogustavo")</f>
        <v>@petrogustavo</v>
      </c>
      <c r="C9251" s="5" t="s">
        <v>16</v>
      </c>
      <c r="D9251" s="5" t="s">
        <v>8903</v>
      </c>
      <c r="E9251" s="6" t="str">
        <f>HYPERLINK("https://twitter.com/petrogustavo/status/1299381046895575040","1299381046895575040")</f>
        <v>1299381046895575040</v>
      </c>
      <c r="F9251" s="7" t="s">
        <v>32</v>
      </c>
      <c r="G9251" s="7">
        <v>3950163</v>
      </c>
      <c r="H9251" s="7">
        <v>2428</v>
      </c>
      <c r="I9251" s="7">
        <v>225</v>
      </c>
      <c r="J9251" s="7">
        <v>669</v>
      </c>
      <c r="K9251" s="7" t="s">
        <v>18</v>
      </c>
      <c r="L9251" s="8">
        <v>39987.315405092595</v>
      </c>
      <c r="M9251" s="9" t="s">
        <v>19</v>
      </c>
      <c r="N9251" s="9" t="s">
        <v>20</v>
      </c>
      <c r="O9251" s="6" t="str">
        <f>HYPERLINK("https://pbs.twimg.com/profile_images/962471262747529216/Uo8lOkRJ_normal.jpg","View")</f>
        <v>View</v>
      </c>
      <c r="P9251" s="7"/>
    </row>
    <row r="9252" spans="1:16">
      <c r="A9252" s="3">
        <v>44071.910578703704</v>
      </c>
      <c r="B9252" s="4" t="str">
        <f>HYPERLINK("https://twitter.com/petrogustavo","@petrogustavo")</f>
        <v>@petrogustavo</v>
      </c>
      <c r="C9252" s="5" t="s">
        <v>16</v>
      </c>
      <c r="D9252" s="5" t="s">
        <v>8904</v>
      </c>
      <c r="E9252" s="6" t="str">
        <f>HYPERLINK("https://twitter.com/petrogustavo/status/1299381536492584961","1299381536492584961")</f>
        <v>1299381536492584961</v>
      </c>
      <c r="F9252" s="7" t="s">
        <v>32</v>
      </c>
      <c r="G9252" s="7">
        <v>3950163</v>
      </c>
      <c r="H9252" s="7">
        <v>2428</v>
      </c>
      <c r="I9252" s="7">
        <v>35</v>
      </c>
      <c r="J9252" s="7">
        <v>104</v>
      </c>
      <c r="K9252" s="7" t="s">
        <v>18</v>
      </c>
      <c r="L9252" s="8">
        <v>39987.315405092595</v>
      </c>
      <c r="M9252" s="9" t="s">
        <v>19</v>
      </c>
      <c r="N9252" s="9" t="s">
        <v>20</v>
      </c>
      <c r="O9252" s="6" t="str">
        <f>HYPERLINK("https://pbs.twimg.com/profile_images/962471262747529216/Uo8lOkRJ_normal.jpg","View")</f>
        <v>View</v>
      </c>
      <c r="P9252" s="7"/>
    </row>
    <row r="9253" spans="1:16">
      <c r="A9253" s="3">
        <v>44071.917592592596</v>
      </c>
      <c r="B9253" s="4" t="str">
        <f>HYPERLINK("https://twitter.com/petrogustavo","@petrogustavo")</f>
        <v>@petrogustavo</v>
      </c>
      <c r="C9253" s="5" t="s">
        <v>16</v>
      </c>
      <c r="D9253" s="5" t="s">
        <v>8905</v>
      </c>
      <c r="E9253" s="6" t="str">
        <f>HYPERLINK("https://twitter.com/petrogustavo/status/1299384078416973825","1299384078416973825")</f>
        <v>1299384078416973825</v>
      </c>
      <c r="F9253" s="7" t="s">
        <v>32</v>
      </c>
      <c r="G9253" s="7">
        <v>3950163</v>
      </c>
      <c r="H9253" s="7">
        <v>2428</v>
      </c>
      <c r="I9253" s="7">
        <v>18</v>
      </c>
      <c r="J9253" s="7">
        <v>45</v>
      </c>
      <c r="K9253" s="7" t="s">
        <v>18</v>
      </c>
      <c r="L9253" s="8">
        <v>39987.315405092595</v>
      </c>
      <c r="M9253" s="9" t="s">
        <v>19</v>
      </c>
      <c r="N9253" s="9" t="s">
        <v>20</v>
      </c>
      <c r="O9253" s="6" t="str">
        <f>HYPERLINK("https://pbs.twimg.com/profile_images/962471262747529216/Uo8lOkRJ_normal.jpg","View")</f>
        <v>View</v>
      </c>
      <c r="P9253" s="7"/>
    </row>
    <row r="9254" spans="1:16">
      <c r="A9254" s="3">
        <v>44071.918321759258</v>
      </c>
      <c r="B9254" s="4" t="str">
        <f>HYPERLINK("https://twitter.com/petrogustavo","@petrogustavo")</f>
        <v>@petrogustavo</v>
      </c>
      <c r="C9254" s="5" t="s">
        <v>16</v>
      </c>
      <c r="D9254" s="5" t="s">
        <v>8906</v>
      </c>
      <c r="E9254" s="6" t="str">
        <f>HYPERLINK("https://twitter.com/petrogustavo/status/1299384344797208576","1299384344797208576")</f>
        <v>1299384344797208576</v>
      </c>
      <c r="F9254" s="7" t="s">
        <v>32</v>
      </c>
      <c r="G9254" s="7">
        <v>3950163</v>
      </c>
      <c r="H9254" s="7">
        <v>2428</v>
      </c>
      <c r="I9254" s="7">
        <v>140</v>
      </c>
      <c r="J9254" s="7">
        <v>0</v>
      </c>
      <c r="K9254" s="7" t="s">
        <v>18</v>
      </c>
      <c r="L9254" s="8">
        <v>39987.315405092595</v>
      </c>
      <c r="M9254" s="9" t="s">
        <v>19</v>
      </c>
      <c r="N9254" s="9" t="s">
        <v>20</v>
      </c>
      <c r="O9254" s="6" t="str">
        <f>HYPERLINK("https://pbs.twimg.com/profile_images/962471262747529216/Uo8lOkRJ_normal.jpg","View")</f>
        <v>View</v>
      </c>
      <c r="P9254" s="7"/>
    </row>
    <row r="9255" spans="1:16">
      <c r="A9255" s="3">
        <v>44071.946284722224</v>
      </c>
      <c r="B9255" s="4" t="str">
        <f>HYPERLINK("https://twitter.com/petrogustavo","@petrogustavo")</f>
        <v>@petrogustavo</v>
      </c>
      <c r="C9255" s="5" t="s">
        <v>16</v>
      </c>
      <c r="D9255" s="5" t="s">
        <v>8907</v>
      </c>
      <c r="E9255" s="6" t="str">
        <f>HYPERLINK("https://twitter.com/petrogustavo/status/1299394476948049927","1299394476948049927")</f>
        <v>1299394476948049927</v>
      </c>
      <c r="F9255" s="7" t="s">
        <v>32</v>
      </c>
      <c r="G9255" s="7">
        <v>3950217</v>
      </c>
      <c r="H9255" s="7">
        <v>2428</v>
      </c>
      <c r="I9255" s="7">
        <v>105</v>
      </c>
      <c r="J9255" s="7">
        <v>202</v>
      </c>
      <c r="K9255" s="7" t="s">
        <v>18</v>
      </c>
      <c r="L9255" s="8">
        <v>39987.315405092595</v>
      </c>
      <c r="M9255" s="9" t="s">
        <v>19</v>
      </c>
      <c r="N9255" s="9" t="s">
        <v>20</v>
      </c>
      <c r="O9255" s="6" t="str">
        <f>HYPERLINK("https://pbs.twimg.com/profile_images/962471262747529216/Uo8lOkRJ_normal.jpg","View")</f>
        <v>View</v>
      </c>
      <c r="P9255" s="7"/>
    </row>
    <row r="9256" spans="1:16">
      <c r="A9256" s="3">
        <v>44071.947662037041</v>
      </c>
      <c r="B9256" s="4" t="str">
        <f>HYPERLINK("https://twitter.com/petrogustavo","@petrogustavo")</f>
        <v>@petrogustavo</v>
      </c>
      <c r="C9256" s="5" t="s">
        <v>16</v>
      </c>
      <c r="D9256" s="5" t="s">
        <v>8894</v>
      </c>
      <c r="E9256" s="6" t="str">
        <f>HYPERLINK("https://twitter.com/petrogustavo/status/1299394977357848578","1299394977357848578")</f>
        <v>1299394977357848578</v>
      </c>
      <c r="F9256" s="7" t="s">
        <v>17</v>
      </c>
      <c r="G9256" s="7">
        <v>3950217</v>
      </c>
      <c r="H9256" s="7">
        <v>2428</v>
      </c>
      <c r="I9256" s="7">
        <v>958</v>
      </c>
      <c r="J9256" s="7">
        <v>0</v>
      </c>
      <c r="K9256" s="7" t="s">
        <v>18</v>
      </c>
      <c r="L9256" s="8">
        <v>39987.315405092595</v>
      </c>
      <c r="M9256" s="9" t="s">
        <v>19</v>
      </c>
      <c r="N9256" s="9" t="s">
        <v>20</v>
      </c>
      <c r="O9256" s="6" t="str">
        <f>HYPERLINK("https://pbs.twimg.com/profile_images/962471262747529216/Uo8lOkRJ_normal.jpg","View")</f>
        <v>View</v>
      </c>
      <c r="P9256" s="7"/>
    </row>
    <row r="9257" spans="1:16">
      <c r="A9257" s="3">
        <v>44071.992476851854</v>
      </c>
      <c r="B9257" s="4" t="str">
        <f>HYPERLINK("https://twitter.com/petrogustavo","@petrogustavo")</f>
        <v>@petrogustavo</v>
      </c>
      <c r="C9257" s="5" t="s">
        <v>16</v>
      </c>
      <c r="D9257" s="5" t="s">
        <v>8908</v>
      </c>
      <c r="E9257" s="6" t="str">
        <f>HYPERLINK("https://twitter.com/petrogustavo/status/1299411217031856128","1299411217031856128")</f>
        <v>1299411217031856128</v>
      </c>
      <c r="F9257" s="7" t="s">
        <v>32</v>
      </c>
      <c r="G9257" s="7">
        <v>3950249</v>
      </c>
      <c r="H9257" s="7">
        <v>2428</v>
      </c>
      <c r="I9257" s="7">
        <v>142</v>
      </c>
      <c r="J9257" s="7">
        <v>0</v>
      </c>
      <c r="K9257" s="7" t="s">
        <v>18</v>
      </c>
      <c r="L9257" s="8">
        <v>39987.315405092595</v>
      </c>
      <c r="M9257" s="9" t="s">
        <v>19</v>
      </c>
      <c r="N9257" s="9" t="s">
        <v>20</v>
      </c>
      <c r="O9257" s="6" t="str">
        <f>HYPERLINK("https://pbs.twimg.com/profile_images/962471262747529216/Uo8lOkRJ_normal.jpg","View")</f>
        <v>View</v>
      </c>
      <c r="P9257" s="7"/>
    </row>
    <row r="9258" spans="1:16">
      <c r="A9258" s="3">
        <v>44072.002962962964</v>
      </c>
      <c r="B9258" s="4" t="str">
        <f>HYPERLINK("https://twitter.com/petrogustavo","@petrogustavo")</f>
        <v>@petrogustavo</v>
      </c>
      <c r="C9258" s="5" t="s">
        <v>16</v>
      </c>
      <c r="D9258" s="5" t="s">
        <v>8909</v>
      </c>
      <c r="E9258" s="6" t="str">
        <f>HYPERLINK("https://twitter.com/petrogustavo/status/1299415014466613254","1299415014466613254")</f>
        <v>1299415014466613254</v>
      </c>
      <c r="F9258" s="7" t="s">
        <v>32</v>
      </c>
      <c r="G9258" s="7">
        <v>3950276</v>
      </c>
      <c r="H9258" s="7">
        <v>2428</v>
      </c>
      <c r="I9258" s="7">
        <v>2528</v>
      </c>
      <c r="J9258" s="7">
        <v>0</v>
      </c>
      <c r="K9258" s="7" t="s">
        <v>18</v>
      </c>
      <c r="L9258" s="8">
        <v>39987.315405092595</v>
      </c>
      <c r="M9258" s="9" t="s">
        <v>19</v>
      </c>
      <c r="N9258" s="9" t="s">
        <v>20</v>
      </c>
      <c r="O9258" s="6" t="str">
        <f>HYPERLINK("https://pbs.twimg.com/profile_images/962471262747529216/Uo8lOkRJ_normal.jpg","View")</f>
        <v>View</v>
      </c>
      <c r="P9258" s="7"/>
    </row>
    <row r="9259" spans="1:16">
      <c r="A9259" s="3">
        <v>44072.003935185188</v>
      </c>
      <c r="B9259" s="4" t="str">
        <f>HYPERLINK("https://twitter.com/petrogustavo","@petrogustavo")</f>
        <v>@petrogustavo</v>
      </c>
      <c r="C9259" s="5" t="s">
        <v>16</v>
      </c>
      <c r="D9259" s="5" t="s">
        <v>8910</v>
      </c>
      <c r="E9259" s="6" t="str">
        <f>HYPERLINK("https://twitter.com/petrogustavo/status/1299415368470007808","1299415368470007808")</f>
        <v>1299415368470007808</v>
      </c>
      <c r="F9259" s="7" t="s">
        <v>32</v>
      </c>
      <c r="G9259" s="7">
        <v>3950276</v>
      </c>
      <c r="H9259" s="7">
        <v>2428</v>
      </c>
      <c r="I9259" s="7">
        <v>46</v>
      </c>
      <c r="J9259" s="7">
        <v>0</v>
      </c>
      <c r="K9259" s="7" t="s">
        <v>18</v>
      </c>
      <c r="L9259" s="8">
        <v>39987.315405092595</v>
      </c>
      <c r="M9259" s="9" t="s">
        <v>19</v>
      </c>
      <c r="N9259" s="9" t="s">
        <v>20</v>
      </c>
      <c r="O9259" s="6" t="str">
        <f>HYPERLINK("https://pbs.twimg.com/profile_images/962471262747529216/Uo8lOkRJ_normal.jpg","View")</f>
        <v>View</v>
      </c>
      <c r="P9259" s="7"/>
    </row>
    <row r="9260" spans="1:16">
      <c r="A9260" s="3">
        <v>44072.010092592594</v>
      </c>
      <c r="B9260" s="4" t="str">
        <f>HYPERLINK("https://twitter.com/petrogustavo","@petrogustavo")</f>
        <v>@petrogustavo</v>
      </c>
      <c r="C9260" s="5" t="s">
        <v>16</v>
      </c>
      <c r="D9260" s="5" t="s">
        <v>8911</v>
      </c>
      <c r="E9260" s="6" t="str">
        <f>HYPERLINK("https://twitter.com/petrogustavo/status/1299417598858350599","1299417598858350599")</f>
        <v>1299417598858350599</v>
      </c>
      <c r="F9260" s="7" t="s">
        <v>32</v>
      </c>
      <c r="G9260" s="7">
        <v>3950276</v>
      </c>
      <c r="H9260" s="7">
        <v>2428</v>
      </c>
      <c r="I9260" s="7">
        <v>20</v>
      </c>
      <c r="J9260" s="7">
        <v>0</v>
      </c>
      <c r="K9260" s="7" t="s">
        <v>18</v>
      </c>
      <c r="L9260" s="8">
        <v>39987.315405092595</v>
      </c>
      <c r="M9260" s="9" t="s">
        <v>19</v>
      </c>
      <c r="N9260" s="9" t="s">
        <v>20</v>
      </c>
      <c r="O9260" s="6" t="str">
        <f>HYPERLINK("https://pbs.twimg.com/profile_images/962471262747529216/Uo8lOkRJ_normal.jpg","View")</f>
        <v>View</v>
      </c>
      <c r="P9260" s="7"/>
    </row>
    <row r="9261" spans="1:16">
      <c r="A9261" s="3">
        <v>44072.012569444443</v>
      </c>
      <c r="B9261" s="4" t="str">
        <f>HYPERLINK("https://twitter.com/petrogustavo","@petrogustavo")</f>
        <v>@petrogustavo</v>
      </c>
      <c r="C9261" s="5" t="s">
        <v>16</v>
      </c>
      <c r="D9261" s="5" t="s">
        <v>8912</v>
      </c>
      <c r="E9261" s="6" t="str">
        <f>HYPERLINK("https://twitter.com/petrogustavo/status/1299418497450151939","1299418497450151939")</f>
        <v>1299418497450151939</v>
      </c>
      <c r="F9261" s="7" t="s">
        <v>32</v>
      </c>
      <c r="G9261" s="7">
        <v>3950276</v>
      </c>
      <c r="H9261" s="7">
        <v>2428</v>
      </c>
      <c r="I9261" s="7">
        <v>18</v>
      </c>
      <c r="J9261" s="7">
        <v>0</v>
      </c>
      <c r="K9261" s="7" t="s">
        <v>18</v>
      </c>
      <c r="L9261" s="8">
        <v>39987.315405092595</v>
      </c>
      <c r="M9261" s="9" t="s">
        <v>19</v>
      </c>
      <c r="N9261" s="9" t="s">
        <v>20</v>
      </c>
      <c r="O9261" s="6" t="str">
        <f>HYPERLINK("https://pbs.twimg.com/profile_images/962471262747529216/Uo8lOkRJ_normal.jpg","View")</f>
        <v>View</v>
      </c>
      <c r="P9261" s="7"/>
    </row>
    <row r="9262" spans="1:16">
      <c r="A9262" s="3">
        <v>44072.117488425924</v>
      </c>
      <c r="B9262" s="4" t="str">
        <f>HYPERLINK("https://twitter.com/petrogustavo","@petrogustavo")</f>
        <v>@petrogustavo</v>
      </c>
      <c r="C9262" s="5" t="s">
        <v>16</v>
      </c>
      <c r="D9262" s="5" t="s">
        <v>8913</v>
      </c>
      <c r="E9262" s="6" t="str">
        <f>HYPERLINK("https://twitter.com/petrogustavo/status/1299456519348649991","1299456519348649991")</f>
        <v>1299456519348649991</v>
      </c>
      <c r="F9262" s="7" t="s">
        <v>21</v>
      </c>
      <c r="G9262" s="7">
        <v>3950378</v>
      </c>
      <c r="H9262" s="7">
        <v>2428</v>
      </c>
      <c r="I9262" s="7">
        <v>57</v>
      </c>
      <c r="J9262" s="7">
        <v>108</v>
      </c>
      <c r="K9262" s="7" t="s">
        <v>18</v>
      </c>
      <c r="L9262" s="8">
        <v>39987.315405092595</v>
      </c>
      <c r="M9262" s="9" t="s">
        <v>19</v>
      </c>
      <c r="N9262" s="9" t="s">
        <v>20</v>
      </c>
      <c r="O9262" s="6" t="str">
        <f>HYPERLINK("https://pbs.twimg.com/profile_images/962471262747529216/Uo8lOkRJ_normal.jpg","View")</f>
        <v>View</v>
      </c>
      <c r="P9262" s="7"/>
    </row>
    <row r="9263" spans="1:16">
      <c r="A9263" s="3">
        <v>44072.117696759262</v>
      </c>
      <c r="B9263" s="4" t="str">
        <f>HYPERLINK("https://twitter.com/petrogustavo","@petrogustavo")</f>
        <v>@petrogustavo</v>
      </c>
      <c r="C9263" s="5" t="s">
        <v>16</v>
      </c>
      <c r="D9263" s="5" t="s">
        <v>8914</v>
      </c>
      <c r="E9263" s="6" t="str">
        <f>HYPERLINK("https://twitter.com/petrogustavo/status/1299456595722678275","1299456595722678275")</f>
        <v>1299456595722678275</v>
      </c>
      <c r="F9263" s="7" t="s">
        <v>21</v>
      </c>
      <c r="G9263" s="7">
        <v>3950378</v>
      </c>
      <c r="H9263" s="7">
        <v>2428</v>
      </c>
      <c r="I9263" s="7">
        <v>53</v>
      </c>
      <c r="J9263" s="7">
        <v>132</v>
      </c>
      <c r="K9263" s="7" t="s">
        <v>18</v>
      </c>
      <c r="L9263" s="8">
        <v>39987.315405092595</v>
      </c>
      <c r="M9263" s="9" t="s">
        <v>19</v>
      </c>
      <c r="N9263" s="9" t="s">
        <v>20</v>
      </c>
      <c r="O9263" s="6" t="str">
        <f>HYPERLINK("https://pbs.twimg.com/profile_images/962471262747529216/Uo8lOkRJ_normal.jpg","View")</f>
        <v>View</v>
      </c>
      <c r="P9263" s="7"/>
    </row>
    <row r="9264" spans="1:16">
      <c r="A9264" s="3">
        <v>44072.118252314816</v>
      </c>
      <c r="B9264" s="4" t="str">
        <f>HYPERLINK("https://twitter.com/petrogustavo","@petrogustavo")</f>
        <v>@petrogustavo</v>
      </c>
      <c r="C9264" s="5" t="s">
        <v>16</v>
      </c>
      <c r="D9264" s="5" t="s">
        <v>8915</v>
      </c>
      <c r="E9264" s="6" t="str">
        <f>HYPERLINK("https://twitter.com/petrogustavo/status/1299456795442806785","1299456795442806785")</f>
        <v>1299456795442806785</v>
      </c>
      <c r="F9264" s="7" t="s">
        <v>32</v>
      </c>
      <c r="G9264" s="7">
        <v>3950378</v>
      </c>
      <c r="H9264" s="7">
        <v>2428</v>
      </c>
      <c r="I9264" s="7">
        <v>57</v>
      </c>
      <c r="J9264" s="7">
        <v>0</v>
      </c>
      <c r="K9264" s="7" t="s">
        <v>18</v>
      </c>
      <c r="L9264" s="8">
        <v>39987.315405092595</v>
      </c>
      <c r="M9264" s="9" t="s">
        <v>19</v>
      </c>
      <c r="N9264" s="9" t="s">
        <v>20</v>
      </c>
      <c r="O9264" s="6" t="str">
        <f>HYPERLINK("https://pbs.twimg.com/profile_images/962471262747529216/Uo8lOkRJ_normal.jpg","View")</f>
        <v>View</v>
      </c>
      <c r="P9264" s="7"/>
    </row>
    <row r="9265" spans="1:16">
      <c r="A9265" s="3">
        <v>44072.15760416667</v>
      </c>
      <c r="B9265" s="4" t="str">
        <f>HYPERLINK("https://twitter.com/petrogustavo","@petrogustavo")</f>
        <v>@petrogustavo</v>
      </c>
      <c r="C9265" s="5" t="s">
        <v>16</v>
      </c>
      <c r="D9265" s="5" t="s">
        <v>8916</v>
      </c>
      <c r="E9265" s="6" t="str">
        <f>HYPERLINK("https://twitter.com/petrogustavo/status/1299471056294621184","1299471056294621184")</f>
        <v>1299471056294621184</v>
      </c>
      <c r="F9265" s="7" t="s">
        <v>32</v>
      </c>
      <c r="G9265" s="7">
        <v>3950389</v>
      </c>
      <c r="H9265" s="7">
        <v>2428</v>
      </c>
      <c r="I9265" s="7">
        <v>105</v>
      </c>
      <c r="J9265" s="7">
        <v>247</v>
      </c>
      <c r="K9265" s="7" t="s">
        <v>18</v>
      </c>
      <c r="L9265" s="8">
        <v>39987.315405092595</v>
      </c>
      <c r="M9265" s="9" t="s">
        <v>19</v>
      </c>
      <c r="N9265" s="9" t="s">
        <v>20</v>
      </c>
      <c r="O9265" s="6" t="str">
        <f>HYPERLINK("https://pbs.twimg.com/profile_images/962471262747529216/Uo8lOkRJ_normal.jpg","View")</f>
        <v>View</v>
      </c>
      <c r="P9265" s="7"/>
    </row>
    <row r="9266" spans="1:16">
      <c r="A9266" s="3">
        <v>44072.249247685184</v>
      </c>
      <c r="B9266" s="4" t="str">
        <f>HYPERLINK("https://twitter.com/petrogustavo","@petrogustavo")</f>
        <v>@petrogustavo</v>
      </c>
      <c r="C9266" s="5" t="s">
        <v>16</v>
      </c>
      <c r="D9266" s="5" t="s">
        <v>8917</v>
      </c>
      <c r="E9266" s="6" t="str">
        <f>HYPERLINK("https://twitter.com/petrogustavo/status/1299504268538515459","1299504268538515459")</f>
        <v>1299504268538515459</v>
      </c>
      <c r="F9266" s="7" t="s">
        <v>32</v>
      </c>
      <c r="G9266" s="7">
        <v>3950463</v>
      </c>
      <c r="H9266" s="7">
        <v>2427</v>
      </c>
      <c r="I9266" s="7">
        <v>255</v>
      </c>
      <c r="J9266" s="7">
        <v>0</v>
      </c>
      <c r="K9266" s="7" t="s">
        <v>18</v>
      </c>
      <c r="L9266" s="8">
        <v>39987.315405092595</v>
      </c>
      <c r="M9266" s="9" t="s">
        <v>19</v>
      </c>
      <c r="N9266" s="9" t="s">
        <v>20</v>
      </c>
      <c r="O9266" s="6" t="str">
        <f>HYPERLINK("https://pbs.twimg.com/profile_images/962471262747529216/Uo8lOkRJ_normal.jpg","View")</f>
        <v>View</v>
      </c>
      <c r="P9266" s="7"/>
    </row>
    <row r="9267" spans="1:16">
      <c r="A9267" s="3">
        <v>44072.24936342593</v>
      </c>
      <c r="B9267" s="4" t="str">
        <f>HYPERLINK("https://twitter.com/petrogustavo","@petrogustavo")</f>
        <v>@petrogustavo</v>
      </c>
      <c r="C9267" s="5" t="s">
        <v>16</v>
      </c>
      <c r="D9267" s="5" t="s">
        <v>8915</v>
      </c>
      <c r="E9267" s="6" t="str">
        <f>HYPERLINK("https://twitter.com/petrogustavo/status/1299504309772718085","1299504309772718085")</f>
        <v>1299504309772718085</v>
      </c>
      <c r="F9267" s="7" t="s">
        <v>32</v>
      </c>
      <c r="G9267" s="7">
        <v>3950463</v>
      </c>
      <c r="H9267" s="7">
        <v>2427</v>
      </c>
      <c r="I9267" s="7">
        <v>184</v>
      </c>
      <c r="J9267" s="7">
        <v>0</v>
      </c>
      <c r="K9267" s="7" t="s">
        <v>18</v>
      </c>
      <c r="L9267" s="8">
        <v>39987.315405092595</v>
      </c>
      <c r="M9267" s="9" t="s">
        <v>19</v>
      </c>
      <c r="N9267" s="9" t="s">
        <v>20</v>
      </c>
      <c r="O9267" s="6" t="str">
        <f>HYPERLINK("https://pbs.twimg.com/profile_images/962471262747529216/Uo8lOkRJ_normal.jpg","View")</f>
        <v>View</v>
      </c>
      <c r="P9267" s="7"/>
    </row>
    <row r="9268" spans="1:16">
      <c r="A9268" s="3">
        <v>44072.310347222221</v>
      </c>
      <c r="B9268" s="4" t="str">
        <f>HYPERLINK("https://twitter.com/petrogustavo","@petrogustavo")</f>
        <v>@petrogustavo</v>
      </c>
      <c r="C9268" s="5" t="s">
        <v>16</v>
      </c>
      <c r="D9268" s="5" t="s">
        <v>8918</v>
      </c>
      <c r="E9268" s="6" t="str">
        <f>HYPERLINK("https://twitter.com/petrogustavo/status/1299526407274532865","1299526407274532865")</f>
        <v>1299526407274532865</v>
      </c>
      <c r="F9268" s="7" t="s">
        <v>32</v>
      </c>
      <c r="G9268" s="7">
        <v>3950515</v>
      </c>
      <c r="H9268" s="7">
        <v>2427</v>
      </c>
      <c r="I9268" s="7">
        <v>14</v>
      </c>
      <c r="J9268" s="7">
        <v>0</v>
      </c>
      <c r="K9268" s="7" t="s">
        <v>18</v>
      </c>
      <c r="L9268" s="8">
        <v>39987.315405092595</v>
      </c>
      <c r="M9268" s="9" t="s">
        <v>19</v>
      </c>
      <c r="N9268" s="9" t="s">
        <v>20</v>
      </c>
      <c r="O9268" s="6" t="str">
        <f>HYPERLINK("https://pbs.twimg.com/profile_images/962471262747529216/Uo8lOkRJ_normal.jpg","View")</f>
        <v>View</v>
      </c>
      <c r="P9268" s="7"/>
    </row>
    <row r="9269" spans="1:16">
      <c r="A9269" s="3">
        <v>44072.32603009259</v>
      </c>
      <c r="B9269" s="4" t="str">
        <f>HYPERLINK("https://twitter.com/petrogustavo","@petrogustavo")</f>
        <v>@petrogustavo</v>
      </c>
      <c r="C9269" s="5" t="s">
        <v>16</v>
      </c>
      <c r="D9269" s="5" t="s">
        <v>8919</v>
      </c>
      <c r="E9269" s="6" t="str">
        <f>HYPERLINK("https://twitter.com/petrogustavo/status/1299532093903507457","1299532093903507457")</f>
        <v>1299532093903507457</v>
      </c>
      <c r="F9269" s="7" t="s">
        <v>32</v>
      </c>
      <c r="G9269" s="7">
        <v>3950548</v>
      </c>
      <c r="H9269" s="7">
        <v>2427</v>
      </c>
      <c r="I9269" s="7">
        <v>83</v>
      </c>
      <c r="J9269" s="7">
        <v>340</v>
      </c>
      <c r="K9269" s="7" t="s">
        <v>18</v>
      </c>
      <c r="L9269" s="8">
        <v>39987.315405092595</v>
      </c>
      <c r="M9269" s="9" t="s">
        <v>19</v>
      </c>
      <c r="N9269" s="9" t="s">
        <v>20</v>
      </c>
      <c r="O9269" s="6" t="str">
        <f>HYPERLINK("https://pbs.twimg.com/profile_images/962471262747529216/Uo8lOkRJ_normal.jpg","View")</f>
        <v>View</v>
      </c>
      <c r="P9269" s="7"/>
    </row>
    <row r="9270" spans="1:16">
      <c r="A9270" s="3">
        <v>44072.337187500001</v>
      </c>
      <c r="B9270" s="4" t="str">
        <f>HYPERLINK("https://twitter.com/petrogustavo","@petrogustavo")</f>
        <v>@petrogustavo</v>
      </c>
      <c r="C9270" s="5" t="s">
        <v>16</v>
      </c>
      <c r="D9270" s="5" t="s">
        <v>8920</v>
      </c>
      <c r="E9270" s="6" t="str">
        <f>HYPERLINK("https://twitter.com/petrogustavo/status/1299536133227937798","1299536133227937798")</f>
        <v>1299536133227937798</v>
      </c>
      <c r="F9270" s="7" t="s">
        <v>32</v>
      </c>
      <c r="G9270" s="7">
        <v>3950561</v>
      </c>
      <c r="H9270" s="7">
        <v>2427</v>
      </c>
      <c r="I9270" s="7">
        <v>132</v>
      </c>
      <c r="J9270" s="7">
        <v>416</v>
      </c>
      <c r="K9270" s="7" t="s">
        <v>18</v>
      </c>
      <c r="L9270" s="8">
        <v>39987.315405092595</v>
      </c>
      <c r="M9270" s="9" t="s">
        <v>19</v>
      </c>
      <c r="N9270" s="9" t="s">
        <v>20</v>
      </c>
      <c r="O9270" s="6" t="str">
        <f>HYPERLINK("https://pbs.twimg.com/profile_images/962471262747529216/Uo8lOkRJ_normal.jpg","View")</f>
        <v>View</v>
      </c>
      <c r="P9270" s="7"/>
    </row>
    <row r="9271" spans="1:16">
      <c r="A9271" s="3">
        <v>44072.360208333332</v>
      </c>
      <c r="B9271" s="4" t="str">
        <f>HYPERLINK("https://twitter.com/petrogustavo","@petrogustavo")</f>
        <v>@petrogustavo</v>
      </c>
      <c r="C9271" s="5" t="s">
        <v>16</v>
      </c>
      <c r="D9271" s="5" t="s">
        <v>8921</v>
      </c>
      <c r="E9271" s="6" t="str">
        <f>HYPERLINK("https://twitter.com/petrogustavo/status/1299544475820265473","1299544475820265473")</f>
        <v>1299544475820265473</v>
      </c>
      <c r="F9271" s="7" t="s">
        <v>32</v>
      </c>
      <c r="G9271" s="7">
        <v>3950593</v>
      </c>
      <c r="H9271" s="7">
        <v>2426</v>
      </c>
      <c r="I9271" s="7">
        <v>21</v>
      </c>
      <c r="J9271" s="7">
        <v>0</v>
      </c>
      <c r="K9271" s="7" t="s">
        <v>18</v>
      </c>
      <c r="L9271" s="8">
        <v>39987.315405092595</v>
      </c>
      <c r="M9271" s="9" t="s">
        <v>19</v>
      </c>
      <c r="N9271" s="9" t="s">
        <v>20</v>
      </c>
      <c r="O9271" s="6" t="str">
        <f>HYPERLINK("https://pbs.twimg.com/profile_images/962471262747529216/Uo8lOkRJ_normal.jpg","View")</f>
        <v>View</v>
      </c>
      <c r="P9271" s="7"/>
    </row>
    <row r="9272" spans="1:16">
      <c r="A9272" s="3">
        <v>44072.379675925928</v>
      </c>
      <c r="B9272" s="4" t="str">
        <f>HYPERLINK("https://twitter.com/petrogustavo","@petrogustavo")</f>
        <v>@petrogustavo</v>
      </c>
      <c r="C9272" s="5" t="s">
        <v>16</v>
      </c>
      <c r="D9272" s="5" t="s">
        <v>8922</v>
      </c>
      <c r="E9272" s="6" t="str">
        <f>HYPERLINK("https://twitter.com/petrogustavo/status/1299551531268739072","1299551531268739072")</f>
        <v>1299551531268739072</v>
      </c>
      <c r="F9272" s="7" t="s">
        <v>32</v>
      </c>
      <c r="G9272" s="7">
        <v>3950621</v>
      </c>
      <c r="H9272" s="7">
        <v>2426</v>
      </c>
      <c r="I9272" s="7">
        <v>522</v>
      </c>
      <c r="J9272" s="7">
        <v>0</v>
      </c>
      <c r="K9272" s="7" t="s">
        <v>18</v>
      </c>
      <c r="L9272" s="8">
        <v>39987.315405092595</v>
      </c>
      <c r="M9272" s="9" t="s">
        <v>19</v>
      </c>
      <c r="N9272" s="9" t="s">
        <v>20</v>
      </c>
      <c r="O9272" s="6" t="str">
        <f>HYPERLINK("https://pbs.twimg.com/profile_images/962471262747529216/Uo8lOkRJ_normal.jpg","View")</f>
        <v>View</v>
      </c>
      <c r="P9272" s="7"/>
    </row>
    <row r="9273" spans="1:16">
      <c r="A9273" s="3">
        <v>44072.396226851852</v>
      </c>
      <c r="B9273" s="4" t="str">
        <f>HYPERLINK("https://twitter.com/petrogustavo","@petrogustavo")</f>
        <v>@petrogustavo</v>
      </c>
      <c r="C9273" s="5" t="s">
        <v>16</v>
      </c>
      <c r="D9273" s="5" t="s">
        <v>8923</v>
      </c>
      <c r="E9273" s="6" t="str">
        <f>HYPERLINK("https://twitter.com/petrogustavo/status/1299557532302798848","1299557532302798848")</f>
        <v>1299557532302798848</v>
      </c>
      <c r="F9273" s="7" t="s">
        <v>32</v>
      </c>
      <c r="G9273" s="7">
        <v>3950621</v>
      </c>
      <c r="H9273" s="7">
        <v>2426</v>
      </c>
      <c r="I9273" s="7">
        <v>33</v>
      </c>
      <c r="J9273" s="7">
        <v>72</v>
      </c>
      <c r="K9273" s="7" t="s">
        <v>18</v>
      </c>
      <c r="L9273" s="8">
        <v>39987.315405092595</v>
      </c>
      <c r="M9273" s="9" t="s">
        <v>19</v>
      </c>
      <c r="N9273" s="9" t="s">
        <v>20</v>
      </c>
      <c r="O9273" s="6" t="str">
        <f>HYPERLINK("https://pbs.twimg.com/profile_images/962471262747529216/Uo8lOkRJ_normal.jpg","View")</f>
        <v>View</v>
      </c>
      <c r="P9273" s="7"/>
    </row>
    <row r="9274" spans="1:16">
      <c r="A9274" s="3">
        <v>44072.40896990741</v>
      </c>
      <c r="B9274" s="4" t="str">
        <f>HYPERLINK("https://twitter.com/petrogustavo","@petrogustavo")</f>
        <v>@petrogustavo</v>
      </c>
      <c r="C9274" s="5" t="s">
        <v>16</v>
      </c>
      <c r="D9274" s="5" t="s">
        <v>8924</v>
      </c>
      <c r="E9274" s="6" t="str">
        <f>HYPERLINK("https://twitter.com/petrogustavo/status/1299562147433844739","1299562147433844739")</f>
        <v>1299562147433844739</v>
      </c>
      <c r="F9274" s="7" t="s">
        <v>32</v>
      </c>
      <c r="G9274" s="7">
        <v>3950636</v>
      </c>
      <c r="H9274" s="7">
        <v>2426</v>
      </c>
      <c r="I9274" s="7">
        <v>1429</v>
      </c>
      <c r="J9274" s="7">
        <v>0</v>
      </c>
      <c r="K9274" s="7" t="s">
        <v>18</v>
      </c>
      <c r="L9274" s="8">
        <v>39987.315405092595</v>
      </c>
      <c r="M9274" s="9" t="s">
        <v>19</v>
      </c>
      <c r="N9274" s="9" t="s">
        <v>20</v>
      </c>
      <c r="O9274" s="6" t="str">
        <f>HYPERLINK("https://pbs.twimg.com/profile_images/962471262747529216/Uo8lOkRJ_normal.jpg","View")</f>
        <v>View</v>
      </c>
      <c r="P9274" s="7"/>
    </row>
    <row r="9275" spans="1:16">
      <c r="A9275" s="3">
        <v>44072.41106481482</v>
      </c>
      <c r="B9275" s="4" t="str">
        <f>HYPERLINK("https://twitter.com/petrogustavo","@petrogustavo")</f>
        <v>@petrogustavo</v>
      </c>
      <c r="C9275" s="5" t="s">
        <v>16</v>
      </c>
      <c r="D9275" s="5" t="s">
        <v>8925</v>
      </c>
      <c r="E9275" s="6" t="str">
        <f>HYPERLINK("https://twitter.com/petrogustavo/status/1299562909056618496","1299562909056618496")</f>
        <v>1299562909056618496</v>
      </c>
      <c r="F9275" s="7" t="s">
        <v>32</v>
      </c>
      <c r="G9275" s="7">
        <v>3950636</v>
      </c>
      <c r="H9275" s="7">
        <v>2426</v>
      </c>
      <c r="I9275" s="7">
        <v>143</v>
      </c>
      <c r="J9275" s="7">
        <v>589</v>
      </c>
      <c r="K9275" s="7" t="s">
        <v>18</v>
      </c>
      <c r="L9275" s="8">
        <v>39987.315405092595</v>
      </c>
      <c r="M9275" s="9" t="s">
        <v>19</v>
      </c>
      <c r="N9275" s="9" t="s">
        <v>20</v>
      </c>
      <c r="O9275" s="6" t="str">
        <f>HYPERLINK("https://pbs.twimg.com/profile_images/962471262747529216/Uo8lOkRJ_normal.jpg","View")</f>
        <v>View</v>
      </c>
      <c r="P9275" s="7"/>
    </row>
    <row r="9276" spans="1:16">
      <c r="A9276" s="3">
        <v>44072.418090277773</v>
      </c>
      <c r="B9276" s="4" t="str">
        <f>HYPERLINK("https://twitter.com/petrogustavo","@petrogustavo")</f>
        <v>@petrogustavo</v>
      </c>
      <c r="C9276" s="5" t="s">
        <v>16</v>
      </c>
      <c r="D9276" s="5" t="s">
        <v>8926</v>
      </c>
      <c r="E9276" s="6" t="str">
        <f>HYPERLINK("https://twitter.com/petrogustavo/status/1299565452377698305","1299565452377698305")</f>
        <v>1299565452377698305</v>
      </c>
      <c r="F9276" s="7" t="s">
        <v>32</v>
      </c>
      <c r="G9276" s="7">
        <v>3950636</v>
      </c>
      <c r="H9276" s="7">
        <v>2426</v>
      </c>
      <c r="I9276" s="7">
        <v>13</v>
      </c>
      <c r="J9276" s="7">
        <v>20</v>
      </c>
      <c r="K9276" s="7" t="s">
        <v>18</v>
      </c>
      <c r="L9276" s="8">
        <v>39987.315405092595</v>
      </c>
      <c r="M9276" s="9" t="s">
        <v>19</v>
      </c>
      <c r="N9276" s="9" t="s">
        <v>20</v>
      </c>
      <c r="O9276" s="6" t="str">
        <f>HYPERLINK("https://pbs.twimg.com/profile_images/962471262747529216/Uo8lOkRJ_normal.jpg","View")</f>
        <v>View</v>
      </c>
      <c r="P9276" s="7"/>
    </row>
    <row r="9277" spans="1:16">
      <c r="A9277" s="3">
        <v>44072.759432870371</v>
      </c>
      <c r="B9277" s="4" t="str">
        <f>HYPERLINK("https://twitter.com/petrogustavo","@petrogustavo")</f>
        <v>@petrogustavo</v>
      </c>
      <c r="C9277" s="5" t="s">
        <v>16</v>
      </c>
      <c r="D9277" s="5" t="s">
        <v>8927</v>
      </c>
      <c r="E9277" s="6" t="str">
        <f>HYPERLINK("https://twitter.com/petrogustavo/status/1299689153865678848","1299689153865678848")</f>
        <v>1299689153865678848</v>
      </c>
      <c r="F9277" s="7" t="s">
        <v>17</v>
      </c>
      <c r="G9277" s="7">
        <v>3950664</v>
      </c>
      <c r="H9277" s="7">
        <v>2426</v>
      </c>
      <c r="I9277" s="7">
        <v>1663</v>
      </c>
      <c r="J9277" s="7">
        <v>0</v>
      </c>
      <c r="K9277" s="7" t="s">
        <v>18</v>
      </c>
      <c r="L9277" s="8">
        <v>39987.315405092595</v>
      </c>
      <c r="M9277" s="9" t="s">
        <v>19</v>
      </c>
      <c r="N9277" s="9" t="s">
        <v>20</v>
      </c>
      <c r="O9277" s="6" t="str">
        <f>HYPERLINK("https://pbs.twimg.com/profile_images/962471262747529216/Uo8lOkRJ_normal.jpg","View")</f>
        <v>View</v>
      </c>
      <c r="P9277" s="7"/>
    </row>
    <row r="9278" spans="1:16">
      <c r="A9278" s="3">
        <v>44072.764351851853</v>
      </c>
      <c r="B9278" s="4" t="str">
        <f>HYPERLINK("https://twitter.com/petrogustavo","@petrogustavo")</f>
        <v>@petrogustavo</v>
      </c>
      <c r="C9278" s="5" t="s">
        <v>16</v>
      </c>
      <c r="D9278" s="5" t="s">
        <v>8928</v>
      </c>
      <c r="E9278" s="6" t="str">
        <f>HYPERLINK("https://twitter.com/petrogustavo/status/1299690935404703746","1299690935404703746")</f>
        <v>1299690935404703746</v>
      </c>
      <c r="F9278" s="7" t="s">
        <v>17</v>
      </c>
      <c r="G9278" s="7">
        <v>3950664</v>
      </c>
      <c r="H9278" s="7">
        <v>2426</v>
      </c>
      <c r="I9278" s="7">
        <v>284</v>
      </c>
      <c r="J9278" s="7">
        <v>726</v>
      </c>
      <c r="K9278" s="7" t="s">
        <v>18</v>
      </c>
      <c r="L9278" s="8">
        <v>39987.315405092595</v>
      </c>
      <c r="M9278" s="9" t="s">
        <v>19</v>
      </c>
      <c r="N9278" s="9" t="s">
        <v>20</v>
      </c>
      <c r="O9278" s="6" t="str">
        <f>HYPERLINK("https://pbs.twimg.com/profile_images/962471262747529216/Uo8lOkRJ_normal.jpg","View")</f>
        <v>View</v>
      </c>
      <c r="P9278" s="7"/>
    </row>
    <row r="9279" spans="1:16">
      <c r="A9279" s="3">
        <v>44072.799756944441</v>
      </c>
      <c r="B9279" s="4" t="str">
        <f>HYPERLINK("https://twitter.com/petrogustavo","@petrogustavo")</f>
        <v>@petrogustavo</v>
      </c>
      <c r="C9279" s="5" t="s">
        <v>16</v>
      </c>
      <c r="D9279" s="5" t="s">
        <v>8929</v>
      </c>
      <c r="E9279" s="6" t="str">
        <f>HYPERLINK("https://twitter.com/petrogustavo/status/1299703764664889344","1299703764664889344")</f>
        <v>1299703764664889344</v>
      </c>
      <c r="F9279" s="7" t="s">
        <v>17</v>
      </c>
      <c r="G9279" s="7">
        <v>3950704</v>
      </c>
      <c r="H9279" s="7">
        <v>2426</v>
      </c>
      <c r="I9279" s="7">
        <v>312</v>
      </c>
      <c r="J9279" s="7">
        <v>978</v>
      </c>
      <c r="K9279" s="7" t="s">
        <v>18</v>
      </c>
      <c r="L9279" s="8">
        <v>39987.315405092595</v>
      </c>
      <c r="M9279" s="9" t="s">
        <v>19</v>
      </c>
      <c r="N9279" s="9" t="s">
        <v>20</v>
      </c>
      <c r="O9279" s="6" t="str">
        <f>HYPERLINK("https://pbs.twimg.com/profile_images/962471262747529216/Uo8lOkRJ_normal.jpg","View")</f>
        <v>View</v>
      </c>
      <c r="P9279" s="7"/>
    </row>
    <row r="9280" spans="1:16">
      <c r="A9280" s="3">
        <v>44072.806979166664</v>
      </c>
      <c r="B9280" s="4" t="str">
        <f>HYPERLINK("https://twitter.com/petrogustavo","@petrogustavo")</f>
        <v>@petrogustavo</v>
      </c>
      <c r="C9280" s="5" t="s">
        <v>16</v>
      </c>
      <c r="D9280" s="5" t="s">
        <v>8930</v>
      </c>
      <c r="E9280" s="6" t="str">
        <f>HYPERLINK("https://twitter.com/petrogustavo/status/1299706381549932544","1299706381549932544")</f>
        <v>1299706381549932544</v>
      </c>
      <c r="F9280" s="7" t="s">
        <v>17</v>
      </c>
      <c r="G9280" s="7">
        <v>3950704</v>
      </c>
      <c r="H9280" s="7">
        <v>2426</v>
      </c>
      <c r="I9280" s="7">
        <v>33</v>
      </c>
      <c r="J9280" s="7">
        <v>77</v>
      </c>
      <c r="K9280" s="7" t="s">
        <v>18</v>
      </c>
      <c r="L9280" s="8">
        <v>39987.315405092595</v>
      </c>
      <c r="M9280" s="9" t="s">
        <v>19</v>
      </c>
      <c r="N9280" s="9" t="s">
        <v>20</v>
      </c>
      <c r="O9280" s="6" t="str">
        <f>HYPERLINK("https://pbs.twimg.com/profile_images/962471262747529216/Uo8lOkRJ_normal.jpg","View")</f>
        <v>View</v>
      </c>
      <c r="P9280" s="7"/>
    </row>
    <row r="9281" spans="1:16">
      <c r="A9281" s="3">
        <v>44072.807581018518</v>
      </c>
      <c r="B9281" s="4" t="str">
        <f>HYPERLINK("https://twitter.com/petrogustavo","@petrogustavo")</f>
        <v>@petrogustavo</v>
      </c>
      <c r="C9281" s="5" t="s">
        <v>16</v>
      </c>
      <c r="D9281" s="5" t="s">
        <v>8931</v>
      </c>
      <c r="E9281" s="6" t="str">
        <f>HYPERLINK("https://twitter.com/petrogustavo/status/1299706598873591808","1299706598873591808")</f>
        <v>1299706598873591808</v>
      </c>
      <c r="F9281" s="7" t="s">
        <v>17</v>
      </c>
      <c r="G9281" s="7">
        <v>3950704</v>
      </c>
      <c r="H9281" s="7">
        <v>2426</v>
      </c>
      <c r="I9281" s="7">
        <v>357</v>
      </c>
      <c r="J9281" s="7">
        <v>0</v>
      </c>
      <c r="K9281" s="7" t="s">
        <v>18</v>
      </c>
      <c r="L9281" s="8">
        <v>39987.315405092595</v>
      </c>
      <c r="M9281" s="9" t="s">
        <v>19</v>
      </c>
      <c r="N9281" s="9" t="s">
        <v>20</v>
      </c>
      <c r="O9281" s="6" t="str">
        <f>HYPERLINK("https://pbs.twimg.com/profile_images/962471262747529216/Uo8lOkRJ_normal.jpg","View")</f>
        <v>View</v>
      </c>
      <c r="P9281" s="7"/>
    </row>
    <row r="9282" spans="1:16">
      <c r="A9282" s="3">
        <v>44072.808483796296</v>
      </c>
      <c r="B9282" s="4" t="str">
        <f>HYPERLINK("https://twitter.com/petrogustavo","@petrogustavo")</f>
        <v>@petrogustavo</v>
      </c>
      <c r="C9282" s="5" t="s">
        <v>16</v>
      </c>
      <c r="D9282" s="5" t="s">
        <v>8932</v>
      </c>
      <c r="E9282" s="6" t="str">
        <f>HYPERLINK("https://twitter.com/petrogustavo/status/1299706928411471872","1299706928411471872")</f>
        <v>1299706928411471872</v>
      </c>
      <c r="F9282" s="7" t="s">
        <v>17</v>
      </c>
      <c r="G9282" s="7">
        <v>3950704</v>
      </c>
      <c r="H9282" s="7">
        <v>2426</v>
      </c>
      <c r="I9282" s="7">
        <v>384</v>
      </c>
      <c r="J9282" s="7">
        <v>0</v>
      </c>
      <c r="K9282" s="7" t="s">
        <v>18</v>
      </c>
      <c r="L9282" s="8">
        <v>39987.315405092595</v>
      </c>
      <c r="M9282" s="9" t="s">
        <v>19</v>
      </c>
      <c r="N9282" s="9" t="s">
        <v>20</v>
      </c>
      <c r="O9282" s="6" t="str">
        <f>HYPERLINK("https://pbs.twimg.com/profile_images/962471262747529216/Uo8lOkRJ_normal.jpg","View")</f>
        <v>View</v>
      </c>
      <c r="P9282" s="7"/>
    </row>
    <row r="9283" spans="1:16">
      <c r="A9283" s="3">
        <v>44072.814895833333</v>
      </c>
      <c r="B9283" s="4" t="str">
        <f>HYPERLINK("https://twitter.com/petrogustavo","@petrogustavo")</f>
        <v>@petrogustavo</v>
      </c>
      <c r="C9283" s="5" t="s">
        <v>16</v>
      </c>
      <c r="D9283" s="5" t="s">
        <v>8933</v>
      </c>
      <c r="E9283" s="6" t="str">
        <f>HYPERLINK("https://twitter.com/petrogustavo/status/1299709250634215425","1299709250634215425")</f>
        <v>1299709250634215425</v>
      </c>
      <c r="F9283" s="7" t="s">
        <v>17</v>
      </c>
      <c r="G9283" s="7">
        <v>3950729</v>
      </c>
      <c r="H9283" s="7">
        <v>2426</v>
      </c>
      <c r="I9283" s="7">
        <v>611</v>
      </c>
      <c r="J9283" s="7">
        <v>0</v>
      </c>
      <c r="K9283" s="7" t="s">
        <v>18</v>
      </c>
      <c r="L9283" s="8">
        <v>39987.315405092595</v>
      </c>
      <c r="M9283" s="9" t="s">
        <v>19</v>
      </c>
      <c r="N9283" s="9" t="s">
        <v>20</v>
      </c>
      <c r="O9283" s="6" t="str">
        <f>HYPERLINK("https://pbs.twimg.com/profile_images/962471262747529216/Uo8lOkRJ_normal.jpg","View")</f>
        <v>View</v>
      </c>
      <c r="P9283" s="7"/>
    </row>
    <row r="9284" spans="1:16">
      <c r="A9284" s="3">
        <v>44072.821273148147</v>
      </c>
      <c r="B9284" s="4" t="str">
        <f>HYPERLINK("https://twitter.com/petrogustavo","@petrogustavo")</f>
        <v>@petrogustavo</v>
      </c>
      <c r="C9284" s="5" t="s">
        <v>16</v>
      </c>
      <c r="D9284" s="5" t="s">
        <v>8934</v>
      </c>
      <c r="E9284" s="6" t="str">
        <f>HYPERLINK("https://twitter.com/petrogustavo/status/1299711563511848961","1299711563511848961")</f>
        <v>1299711563511848961</v>
      </c>
      <c r="F9284" s="7" t="s">
        <v>17</v>
      </c>
      <c r="G9284" s="7">
        <v>3950729</v>
      </c>
      <c r="H9284" s="7">
        <v>2426</v>
      </c>
      <c r="I9284" s="7">
        <v>265</v>
      </c>
      <c r="J9284" s="7">
        <v>724</v>
      </c>
      <c r="K9284" s="7" t="s">
        <v>18</v>
      </c>
      <c r="L9284" s="8">
        <v>39987.315405092595</v>
      </c>
      <c r="M9284" s="9" t="s">
        <v>19</v>
      </c>
      <c r="N9284" s="9" t="s">
        <v>20</v>
      </c>
      <c r="O9284" s="6" t="str">
        <f>HYPERLINK("https://pbs.twimg.com/profile_images/962471262747529216/Uo8lOkRJ_normal.jpg","View")</f>
        <v>View</v>
      </c>
      <c r="P9284" s="7"/>
    </row>
    <row r="9285" spans="1:16">
      <c r="A9285" s="3">
        <v>44072.854641203703</v>
      </c>
      <c r="B9285" s="4" t="str">
        <f>HYPERLINK("https://twitter.com/petrogustavo","@petrogustavo")</f>
        <v>@petrogustavo</v>
      </c>
      <c r="C9285" s="5" t="s">
        <v>16</v>
      </c>
      <c r="D9285" s="5" t="s">
        <v>8935</v>
      </c>
      <c r="E9285" s="6" t="str">
        <f>HYPERLINK("https://twitter.com/petrogustavo/status/1299723655354736640","1299723655354736640")</f>
        <v>1299723655354736640</v>
      </c>
      <c r="F9285" s="7" t="s">
        <v>32</v>
      </c>
      <c r="G9285" s="7">
        <v>3950756</v>
      </c>
      <c r="H9285" s="7">
        <v>2426</v>
      </c>
      <c r="I9285" s="7">
        <v>23</v>
      </c>
      <c r="J9285" s="7">
        <v>63</v>
      </c>
      <c r="K9285" s="7" t="s">
        <v>18</v>
      </c>
      <c r="L9285" s="8">
        <v>39987.315405092595</v>
      </c>
      <c r="M9285" s="9" t="s">
        <v>19</v>
      </c>
      <c r="N9285" s="9" t="s">
        <v>20</v>
      </c>
      <c r="O9285" s="6" t="str">
        <f>HYPERLINK("https://pbs.twimg.com/profile_images/962471262747529216/Uo8lOkRJ_normal.jpg","View")</f>
        <v>View</v>
      </c>
      <c r="P9285" s="7"/>
    </row>
    <row r="9286" spans="1:16">
      <c r="A9286" s="3">
        <v>44072.912037037036</v>
      </c>
      <c r="B9286" s="4" t="str">
        <f>HYPERLINK("https://twitter.com/petrogustavo","@petrogustavo")</f>
        <v>@petrogustavo</v>
      </c>
      <c r="C9286" s="5" t="s">
        <v>16</v>
      </c>
      <c r="D9286" s="5" t="s">
        <v>8936</v>
      </c>
      <c r="E9286" s="6" t="str">
        <f>HYPERLINK("https://twitter.com/petrogustavo/status/1299744452848898050","1299744452848898050")</f>
        <v>1299744452848898050</v>
      </c>
      <c r="F9286" s="7" t="s">
        <v>32</v>
      </c>
      <c r="G9286" s="7">
        <v>3950823</v>
      </c>
      <c r="H9286" s="7">
        <v>2426</v>
      </c>
      <c r="I9286" s="7">
        <v>57</v>
      </c>
      <c r="J9286" s="7">
        <v>134</v>
      </c>
      <c r="K9286" s="7" t="s">
        <v>18</v>
      </c>
      <c r="L9286" s="8">
        <v>39987.315405092595</v>
      </c>
      <c r="M9286" s="9" t="s">
        <v>19</v>
      </c>
      <c r="N9286" s="9" t="s">
        <v>20</v>
      </c>
      <c r="O9286" s="6" t="str">
        <f>HYPERLINK("https://pbs.twimg.com/profile_images/962471262747529216/Uo8lOkRJ_normal.jpg","View")</f>
        <v>View</v>
      </c>
      <c r="P9286" s="7"/>
    </row>
    <row r="9287" spans="1:16">
      <c r="A9287" s="3">
        <v>44073.087245370371</v>
      </c>
      <c r="B9287" s="4" t="str">
        <f>HYPERLINK("https://twitter.com/petrogustavo","@petrogustavo")</f>
        <v>@petrogustavo</v>
      </c>
      <c r="C9287" s="5" t="s">
        <v>16</v>
      </c>
      <c r="D9287" s="5" t="s">
        <v>8937</v>
      </c>
      <c r="E9287" s="6" t="str">
        <f>HYPERLINK("https://twitter.com/petrogustavo/status/1299807945895612417","1299807945895612417")</f>
        <v>1299807945895612417</v>
      </c>
      <c r="F9287" s="7" t="s">
        <v>17</v>
      </c>
      <c r="G9287" s="7">
        <v>3950946</v>
      </c>
      <c r="H9287" s="7">
        <v>2426</v>
      </c>
      <c r="I9287" s="7">
        <v>73</v>
      </c>
      <c r="J9287" s="7">
        <v>254</v>
      </c>
      <c r="K9287" s="7" t="s">
        <v>18</v>
      </c>
      <c r="L9287" s="8">
        <v>39987.315405092595</v>
      </c>
      <c r="M9287" s="9" t="s">
        <v>19</v>
      </c>
      <c r="N9287" s="9" t="s">
        <v>20</v>
      </c>
      <c r="O9287" s="6" t="str">
        <f>HYPERLINK("https://pbs.twimg.com/profile_images/962471262747529216/Uo8lOkRJ_normal.jpg","View")</f>
        <v>View</v>
      </c>
      <c r="P9287" s="7"/>
    </row>
    <row r="9288" spans="1:16">
      <c r="A9288" s="3">
        <v>44073.089490740742</v>
      </c>
      <c r="B9288" s="4" t="str">
        <f>HYPERLINK("https://twitter.com/petrogustavo","@petrogustavo")</f>
        <v>@petrogustavo</v>
      </c>
      <c r="C9288" s="5" t="s">
        <v>16</v>
      </c>
      <c r="D9288" s="5" t="s">
        <v>8938</v>
      </c>
      <c r="E9288" s="6" t="str">
        <f>HYPERLINK("https://twitter.com/petrogustavo/status/1299808759695511552","1299808759695511552")</f>
        <v>1299808759695511552</v>
      </c>
      <c r="F9288" s="7" t="s">
        <v>17</v>
      </c>
      <c r="G9288" s="7">
        <v>3950946</v>
      </c>
      <c r="H9288" s="7">
        <v>2426</v>
      </c>
      <c r="I9288" s="7">
        <v>227</v>
      </c>
      <c r="J9288" s="7">
        <v>593</v>
      </c>
      <c r="K9288" s="7" t="s">
        <v>18</v>
      </c>
      <c r="L9288" s="8">
        <v>39987.315405092595</v>
      </c>
      <c r="M9288" s="9" t="s">
        <v>19</v>
      </c>
      <c r="N9288" s="9" t="s">
        <v>20</v>
      </c>
      <c r="O9288" s="6" t="str">
        <f>HYPERLINK("https://pbs.twimg.com/profile_images/962471262747529216/Uo8lOkRJ_normal.jpg","View")</f>
        <v>View</v>
      </c>
      <c r="P9288" s="7"/>
    </row>
    <row r="9289" spans="1:16">
      <c r="A9289" s="3">
        <v>44073.786053240736</v>
      </c>
      <c r="B9289" s="4" t="str">
        <f>HYPERLINK("https://twitter.com/petrogustavo","@petrogustavo")</f>
        <v>@petrogustavo</v>
      </c>
      <c r="C9289" s="5" t="s">
        <v>16</v>
      </c>
      <c r="D9289" s="5" t="s">
        <v>8939</v>
      </c>
      <c r="E9289" s="6" t="str">
        <f>HYPERLINK("https://twitter.com/petrogustavo/status/1300061187481141249","1300061187481141249")</f>
        <v>1300061187481141249</v>
      </c>
      <c r="F9289" s="7" t="s">
        <v>17</v>
      </c>
      <c r="G9289" s="7">
        <v>3951239</v>
      </c>
      <c r="H9289" s="7">
        <v>2426</v>
      </c>
      <c r="I9289" s="7">
        <v>330</v>
      </c>
      <c r="J9289" s="7">
        <v>606</v>
      </c>
      <c r="K9289" s="7" t="s">
        <v>18</v>
      </c>
      <c r="L9289" s="8">
        <v>39987.315405092595</v>
      </c>
      <c r="M9289" s="9" t="s">
        <v>19</v>
      </c>
      <c r="N9289" s="9" t="s">
        <v>20</v>
      </c>
      <c r="O9289" s="6" t="str">
        <f>HYPERLINK("https://pbs.twimg.com/profile_images/962471262747529216/Uo8lOkRJ_normal.jpg","View")</f>
        <v>View</v>
      </c>
      <c r="P9289" s="7"/>
    </row>
    <row r="9290" spans="1:16">
      <c r="A9290" s="3">
        <v>44073.790312500001</v>
      </c>
      <c r="B9290" s="4" t="str">
        <f>HYPERLINK("https://twitter.com/petrogustavo","@petrogustavo")</f>
        <v>@petrogustavo</v>
      </c>
      <c r="C9290" s="5" t="s">
        <v>16</v>
      </c>
      <c r="D9290" s="5" t="s">
        <v>8940</v>
      </c>
      <c r="E9290" s="6" t="str">
        <f>HYPERLINK("https://twitter.com/petrogustavo/status/1300062729999446026","1300062729999446026")</f>
        <v>1300062729999446026</v>
      </c>
      <c r="F9290" s="7" t="s">
        <v>17</v>
      </c>
      <c r="G9290" s="7">
        <v>3951239</v>
      </c>
      <c r="H9290" s="7">
        <v>2426</v>
      </c>
      <c r="I9290" s="7">
        <v>126</v>
      </c>
      <c r="J9290" s="7">
        <v>255</v>
      </c>
      <c r="K9290" s="7" t="s">
        <v>18</v>
      </c>
      <c r="L9290" s="8">
        <v>39987.315405092595</v>
      </c>
      <c r="M9290" s="9" t="s">
        <v>19</v>
      </c>
      <c r="N9290" s="9" t="s">
        <v>20</v>
      </c>
      <c r="O9290" s="6" t="str">
        <f>HYPERLINK("https://pbs.twimg.com/profile_images/962471262747529216/Uo8lOkRJ_normal.jpg","View")</f>
        <v>View</v>
      </c>
      <c r="P9290" s="7"/>
    </row>
    <row r="9291" spans="1:16">
      <c r="A9291" s="3">
        <v>44073.83222222222</v>
      </c>
      <c r="B9291" s="4" t="str">
        <f>HYPERLINK("https://twitter.com/petrogustavo","@petrogustavo")</f>
        <v>@petrogustavo</v>
      </c>
      <c r="C9291" s="5" t="s">
        <v>16</v>
      </c>
      <c r="D9291" s="5" t="s">
        <v>8941</v>
      </c>
      <c r="E9291" s="6" t="str">
        <f>HYPERLINK("https://twitter.com/petrogustavo/status/1300077917461008386","1300077917461008386")</f>
        <v>1300077917461008386</v>
      </c>
      <c r="F9291" s="7" t="s">
        <v>17</v>
      </c>
      <c r="G9291" s="7">
        <v>3951279</v>
      </c>
      <c r="H9291" s="7">
        <v>2426</v>
      </c>
      <c r="I9291" s="7">
        <v>82</v>
      </c>
      <c r="J9291" s="7">
        <v>179</v>
      </c>
      <c r="K9291" s="7" t="s">
        <v>18</v>
      </c>
      <c r="L9291" s="8">
        <v>39987.315405092595</v>
      </c>
      <c r="M9291" s="9" t="s">
        <v>19</v>
      </c>
      <c r="N9291" s="9" t="s">
        <v>20</v>
      </c>
      <c r="O9291" s="6" t="str">
        <f>HYPERLINK("https://pbs.twimg.com/profile_images/962471262747529216/Uo8lOkRJ_normal.jpg","View")</f>
        <v>View</v>
      </c>
      <c r="P9291" s="7"/>
    </row>
    <row r="9292" spans="1:16">
      <c r="A9292" s="3">
        <v>44073.839803240742</v>
      </c>
      <c r="B9292" s="4" t="str">
        <f>HYPERLINK("https://twitter.com/petrogustavo","@petrogustavo")</f>
        <v>@petrogustavo</v>
      </c>
      <c r="C9292" s="5" t="s">
        <v>16</v>
      </c>
      <c r="D9292" s="5" t="s">
        <v>8942</v>
      </c>
      <c r="E9292" s="6" t="str">
        <f>HYPERLINK("https://twitter.com/petrogustavo/status/1300080666558763009","1300080666558763009")</f>
        <v>1300080666558763009</v>
      </c>
      <c r="F9292" s="7" t="s">
        <v>17</v>
      </c>
      <c r="G9292" s="7">
        <v>3951279</v>
      </c>
      <c r="H9292" s="7">
        <v>2426</v>
      </c>
      <c r="I9292" s="7">
        <v>171</v>
      </c>
      <c r="J9292" s="7">
        <v>541</v>
      </c>
      <c r="K9292" s="7" t="s">
        <v>18</v>
      </c>
      <c r="L9292" s="8">
        <v>39987.315405092595</v>
      </c>
      <c r="M9292" s="9" t="s">
        <v>19</v>
      </c>
      <c r="N9292" s="9" t="s">
        <v>20</v>
      </c>
      <c r="O9292" s="6" t="str">
        <f>HYPERLINK("https://pbs.twimg.com/profile_images/962471262747529216/Uo8lOkRJ_normal.jpg","View")</f>
        <v>View</v>
      </c>
      <c r="P9292" s="7"/>
    </row>
    <row r="9293" spans="1:16">
      <c r="A9293" s="3">
        <v>44073.849039351851</v>
      </c>
      <c r="B9293" s="4" t="str">
        <f>HYPERLINK("https://twitter.com/petrogustavo","@petrogustavo")</f>
        <v>@petrogustavo</v>
      </c>
      <c r="C9293" s="5" t="s">
        <v>16</v>
      </c>
      <c r="D9293" s="5" t="s">
        <v>8943</v>
      </c>
      <c r="E9293" s="6" t="str">
        <f>HYPERLINK("https://twitter.com/petrogustavo/status/1300084010689933312","1300084010689933312")</f>
        <v>1300084010689933312</v>
      </c>
      <c r="F9293" s="7" t="s">
        <v>17</v>
      </c>
      <c r="G9293" s="7">
        <v>3951294</v>
      </c>
      <c r="H9293" s="7">
        <v>2426</v>
      </c>
      <c r="I9293" s="7">
        <v>90</v>
      </c>
      <c r="J9293" s="7">
        <v>251</v>
      </c>
      <c r="K9293" s="7" t="s">
        <v>18</v>
      </c>
      <c r="L9293" s="8">
        <v>39987.315405092595</v>
      </c>
      <c r="M9293" s="9" t="s">
        <v>19</v>
      </c>
      <c r="N9293" s="9" t="s">
        <v>20</v>
      </c>
      <c r="O9293" s="6" t="str">
        <f>HYPERLINK("https://pbs.twimg.com/profile_images/962471262747529216/Uo8lOkRJ_normal.jpg","View")</f>
        <v>View</v>
      </c>
      <c r="P9293" s="7"/>
    </row>
    <row r="9294" spans="1:16">
      <c r="A9294" s="3">
        <v>44073.850381944445</v>
      </c>
      <c r="B9294" s="4" t="str">
        <f>HYPERLINK("https://twitter.com/petrogustavo","@petrogustavo")</f>
        <v>@petrogustavo</v>
      </c>
      <c r="C9294" s="5" t="s">
        <v>16</v>
      </c>
      <c r="D9294" s="5" t="s">
        <v>8944</v>
      </c>
      <c r="E9294" s="6" t="str">
        <f>HYPERLINK("https://twitter.com/petrogustavo/status/1300084496553959427","1300084496553959427")</f>
        <v>1300084496553959427</v>
      </c>
      <c r="F9294" s="7" t="s">
        <v>17</v>
      </c>
      <c r="G9294" s="7">
        <v>3951294</v>
      </c>
      <c r="H9294" s="7">
        <v>2426</v>
      </c>
      <c r="I9294" s="7">
        <v>149</v>
      </c>
      <c r="J9294" s="7">
        <v>0</v>
      </c>
      <c r="K9294" s="7" t="s">
        <v>18</v>
      </c>
      <c r="L9294" s="8">
        <v>39987.315405092595</v>
      </c>
      <c r="M9294" s="9" t="s">
        <v>19</v>
      </c>
      <c r="N9294" s="9" t="s">
        <v>20</v>
      </c>
      <c r="O9294" s="6" t="str">
        <f>HYPERLINK("https://pbs.twimg.com/profile_images/962471262747529216/Uo8lOkRJ_normal.jpg","View")</f>
        <v>View</v>
      </c>
      <c r="P9294" s="7"/>
    </row>
    <row r="9295" spans="1:16">
      <c r="A9295" s="3">
        <v>44073.858263888891</v>
      </c>
      <c r="B9295" s="4" t="str">
        <f>HYPERLINK("https://twitter.com/petrogustavo","@petrogustavo")</f>
        <v>@petrogustavo</v>
      </c>
      <c r="C9295" s="5" t="s">
        <v>16</v>
      </c>
      <c r="D9295" s="5" t="s">
        <v>8945</v>
      </c>
      <c r="E9295" s="6" t="str">
        <f>HYPERLINK("https://twitter.com/petrogustavo/status/1300087354665979906","1300087354665979906")</f>
        <v>1300087354665979906</v>
      </c>
      <c r="F9295" s="7" t="s">
        <v>17</v>
      </c>
      <c r="G9295" s="7">
        <v>3951294</v>
      </c>
      <c r="H9295" s="7">
        <v>2426</v>
      </c>
      <c r="I9295" s="7">
        <v>256</v>
      </c>
      <c r="J9295" s="7">
        <v>764</v>
      </c>
      <c r="K9295" s="7" t="s">
        <v>18</v>
      </c>
      <c r="L9295" s="8">
        <v>39987.315405092595</v>
      </c>
      <c r="M9295" s="9" t="s">
        <v>19</v>
      </c>
      <c r="N9295" s="9" t="s">
        <v>20</v>
      </c>
      <c r="O9295" s="6" t="str">
        <f>HYPERLINK("https://pbs.twimg.com/profile_images/962471262747529216/Uo8lOkRJ_normal.jpg","View")</f>
        <v>View</v>
      </c>
      <c r="P9295" s="7"/>
    </row>
    <row r="9296" spans="1:16">
      <c r="A9296" s="3">
        <v>44073.864050925928</v>
      </c>
      <c r="B9296" s="4" t="str">
        <f>HYPERLINK("https://twitter.com/petrogustavo","@petrogustavo")</f>
        <v>@petrogustavo</v>
      </c>
      <c r="C9296" s="5" t="s">
        <v>16</v>
      </c>
      <c r="D9296" s="5" t="s">
        <v>8946</v>
      </c>
      <c r="E9296" s="6" t="str">
        <f>HYPERLINK("https://twitter.com/petrogustavo/status/1300089450823847936","1300089450823847936")</f>
        <v>1300089450823847936</v>
      </c>
      <c r="F9296" s="7" t="s">
        <v>17</v>
      </c>
      <c r="G9296" s="7">
        <v>3951294</v>
      </c>
      <c r="H9296" s="7">
        <v>2426</v>
      </c>
      <c r="I9296" s="7">
        <v>103</v>
      </c>
      <c r="J9296" s="7">
        <v>209</v>
      </c>
      <c r="K9296" s="7" t="s">
        <v>18</v>
      </c>
      <c r="L9296" s="8">
        <v>39987.315405092595</v>
      </c>
      <c r="M9296" s="9" t="s">
        <v>19</v>
      </c>
      <c r="N9296" s="9" t="s">
        <v>20</v>
      </c>
      <c r="O9296" s="6" t="str">
        <f>HYPERLINK("https://pbs.twimg.com/profile_images/962471262747529216/Uo8lOkRJ_normal.jpg","View")</f>
        <v>View</v>
      </c>
      <c r="P9296" s="7"/>
    </row>
    <row r="9297" spans="1:16">
      <c r="A9297" s="3">
        <v>44073.866851851853</v>
      </c>
      <c r="B9297" s="4" t="str">
        <f>HYPERLINK("https://twitter.com/petrogustavo","@petrogustavo")</f>
        <v>@petrogustavo</v>
      </c>
      <c r="C9297" s="5" t="s">
        <v>16</v>
      </c>
      <c r="D9297" s="5" t="s">
        <v>8947</v>
      </c>
      <c r="E9297" s="6" t="str">
        <f>HYPERLINK("https://twitter.com/petrogustavo/status/1300090467170816000","1300090467170816000")</f>
        <v>1300090467170816000</v>
      </c>
      <c r="F9297" s="7" t="s">
        <v>17</v>
      </c>
      <c r="G9297" s="7">
        <v>3951327</v>
      </c>
      <c r="H9297" s="7">
        <v>2426</v>
      </c>
      <c r="I9297" s="7">
        <v>45</v>
      </c>
      <c r="J9297" s="7">
        <v>0</v>
      </c>
      <c r="K9297" s="7" t="s">
        <v>18</v>
      </c>
      <c r="L9297" s="8">
        <v>39987.315405092595</v>
      </c>
      <c r="M9297" s="9" t="s">
        <v>19</v>
      </c>
      <c r="N9297" s="9" t="s">
        <v>20</v>
      </c>
      <c r="O9297" s="6" t="str">
        <f>HYPERLINK("https://pbs.twimg.com/profile_images/962471262747529216/Uo8lOkRJ_normal.jpg","View")</f>
        <v>View</v>
      </c>
      <c r="P9297" s="7"/>
    </row>
    <row r="9298" spans="1:16">
      <c r="A9298" s="3">
        <v>44073.867141203707</v>
      </c>
      <c r="B9298" s="4" t="str">
        <f>HYPERLINK("https://twitter.com/petrogustavo","@petrogustavo")</f>
        <v>@petrogustavo</v>
      </c>
      <c r="C9298" s="5" t="s">
        <v>16</v>
      </c>
      <c r="D9298" s="5" t="s">
        <v>8948</v>
      </c>
      <c r="E9298" s="6" t="str">
        <f>HYPERLINK("https://twitter.com/petrogustavo/status/1300090572707901440","1300090572707901440")</f>
        <v>1300090572707901440</v>
      </c>
      <c r="F9298" s="7" t="s">
        <v>17</v>
      </c>
      <c r="G9298" s="7">
        <v>3951327</v>
      </c>
      <c r="H9298" s="7">
        <v>2426</v>
      </c>
      <c r="I9298" s="7">
        <v>191</v>
      </c>
      <c r="J9298" s="7">
        <v>0</v>
      </c>
      <c r="K9298" s="7" t="s">
        <v>18</v>
      </c>
      <c r="L9298" s="8">
        <v>39987.315405092595</v>
      </c>
      <c r="M9298" s="9" t="s">
        <v>19</v>
      </c>
      <c r="N9298" s="9" t="s">
        <v>20</v>
      </c>
      <c r="O9298" s="6" t="str">
        <f>HYPERLINK("https://pbs.twimg.com/profile_images/962471262747529216/Uo8lOkRJ_normal.jpg","View")</f>
        <v>View</v>
      </c>
      <c r="P9298" s="7"/>
    </row>
    <row r="9299" spans="1:16">
      <c r="A9299" s="3">
        <v>44073.868726851855</v>
      </c>
      <c r="B9299" s="4" t="str">
        <f>HYPERLINK("https://twitter.com/petrogustavo","@petrogustavo")</f>
        <v>@petrogustavo</v>
      </c>
      <c r="C9299" s="5" t="s">
        <v>16</v>
      </c>
      <c r="D9299" s="5" t="s">
        <v>8949</v>
      </c>
      <c r="E9299" s="6" t="str">
        <f>HYPERLINK("https://twitter.com/petrogustavo/status/1300091148283895811","1300091148283895811")</f>
        <v>1300091148283895811</v>
      </c>
      <c r="F9299" s="7" t="s">
        <v>17</v>
      </c>
      <c r="G9299" s="7">
        <v>3951327</v>
      </c>
      <c r="H9299" s="7">
        <v>2426</v>
      </c>
      <c r="I9299" s="7">
        <v>120</v>
      </c>
      <c r="J9299" s="7">
        <v>265</v>
      </c>
      <c r="K9299" s="7" t="s">
        <v>18</v>
      </c>
      <c r="L9299" s="8">
        <v>39987.315405092595</v>
      </c>
      <c r="M9299" s="9" t="s">
        <v>19</v>
      </c>
      <c r="N9299" s="9" t="s">
        <v>20</v>
      </c>
      <c r="O9299" s="6" t="str">
        <f>HYPERLINK("https://pbs.twimg.com/profile_images/962471262747529216/Uo8lOkRJ_normal.jpg","View")</f>
        <v>View</v>
      </c>
      <c r="P9299" s="7"/>
    </row>
    <row r="9300" spans="1:16">
      <c r="A9300" s="3">
        <v>44073.906493055554</v>
      </c>
      <c r="B9300" s="4" t="str">
        <f>HYPERLINK("https://twitter.com/petrogustavo","@petrogustavo")</f>
        <v>@petrogustavo</v>
      </c>
      <c r="C9300" s="5" t="s">
        <v>16</v>
      </c>
      <c r="D9300" s="5" t="s">
        <v>8944</v>
      </c>
      <c r="E9300" s="6" t="str">
        <f>HYPERLINK("https://twitter.com/petrogustavo/status/1300104830543966209","1300104830543966209")</f>
        <v>1300104830543966209</v>
      </c>
      <c r="F9300" s="7" t="s">
        <v>17</v>
      </c>
      <c r="G9300" s="7">
        <v>3951353</v>
      </c>
      <c r="H9300" s="7">
        <v>2426</v>
      </c>
      <c r="I9300" s="7">
        <v>214</v>
      </c>
      <c r="J9300" s="7">
        <v>0</v>
      </c>
      <c r="K9300" s="7" t="s">
        <v>18</v>
      </c>
      <c r="L9300" s="8">
        <v>39987.315405092595</v>
      </c>
      <c r="M9300" s="9" t="s">
        <v>19</v>
      </c>
      <c r="N9300" s="9" t="s">
        <v>20</v>
      </c>
      <c r="O9300" s="6" t="str">
        <f>HYPERLINK("https://pbs.twimg.com/profile_images/962471262747529216/Uo8lOkRJ_normal.jpg","View")</f>
        <v>View</v>
      </c>
      <c r="P9300" s="7"/>
    </row>
    <row r="9301" spans="1:16">
      <c r="A9301" s="3">
        <v>44073.906643518523</v>
      </c>
      <c r="B9301" s="4" t="str">
        <f>HYPERLINK("https://twitter.com/petrogustavo","@petrogustavo")</f>
        <v>@petrogustavo</v>
      </c>
      <c r="C9301" s="5" t="s">
        <v>16</v>
      </c>
      <c r="D9301" s="5" t="s">
        <v>8950</v>
      </c>
      <c r="E9301" s="6" t="str">
        <f>HYPERLINK("https://twitter.com/petrogustavo/status/1300104887506788352","1300104887506788352")</f>
        <v>1300104887506788352</v>
      </c>
      <c r="F9301" s="7" t="s">
        <v>17</v>
      </c>
      <c r="G9301" s="7">
        <v>3951353</v>
      </c>
      <c r="H9301" s="7">
        <v>2426</v>
      </c>
      <c r="I9301" s="7">
        <v>176</v>
      </c>
      <c r="J9301" s="7">
        <v>0</v>
      </c>
      <c r="K9301" s="7" t="s">
        <v>18</v>
      </c>
      <c r="L9301" s="8">
        <v>39987.315405092595</v>
      </c>
      <c r="M9301" s="9" t="s">
        <v>19</v>
      </c>
      <c r="N9301" s="9" t="s">
        <v>20</v>
      </c>
      <c r="O9301" s="6" t="str">
        <f>HYPERLINK("https://pbs.twimg.com/profile_images/962471262747529216/Uo8lOkRJ_normal.jpg","View")</f>
        <v>View</v>
      </c>
      <c r="P9301" s="7"/>
    </row>
    <row r="9302" spans="1:16">
      <c r="A9302" s="3">
        <v>44074.072349537033</v>
      </c>
      <c r="B9302" s="4" t="str">
        <f>HYPERLINK("https://twitter.com/petrogustavo","@petrogustavo")</f>
        <v>@petrogustavo</v>
      </c>
      <c r="C9302" s="5" t="s">
        <v>16</v>
      </c>
      <c r="D9302" s="5" t="s">
        <v>8951</v>
      </c>
      <c r="E9302" s="6" t="str">
        <f>HYPERLINK("https://twitter.com/petrogustavo/status/1300164935381549057","1300164935381549057")</f>
        <v>1300164935381549057</v>
      </c>
      <c r="F9302" s="7" t="s">
        <v>17</v>
      </c>
      <c r="G9302" s="7">
        <v>3951497</v>
      </c>
      <c r="H9302" s="7">
        <v>2427</v>
      </c>
      <c r="I9302" s="7">
        <v>259</v>
      </c>
      <c r="J9302" s="7">
        <v>896</v>
      </c>
      <c r="K9302" s="7" t="s">
        <v>18</v>
      </c>
      <c r="L9302" s="8">
        <v>39987.315405092595</v>
      </c>
      <c r="M9302" s="9" t="s">
        <v>19</v>
      </c>
      <c r="N9302" s="9" t="s">
        <v>20</v>
      </c>
      <c r="O9302" s="6" t="str">
        <f>HYPERLINK("https://pbs.twimg.com/profile_images/962471262747529216/Uo8lOkRJ_normal.jpg","View")</f>
        <v>View</v>
      </c>
      <c r="P9302" s="7"/>
    </row>
    <row r="9303" spans="1:16">
      <c r="A9303" s="3">
        <v>44074.119467592594</v>
      </c>
      <c r="B9303" s="4" t="str">
        <f>HYPERLINK("https://twitter.com/petrogustavo","@petrogustavo")</f>
        <v>@petrogustavo</v>
      </c>
      <c r="C9303" s="5" t="s">
        <v>16</v>
      </c>
      <c r="D9303" s="5" t="s">
        <v>8952</v>
      </c>
      <c r="E9303" s="6" t="str">
        <f>HYPERLINK("https://twitter.com/petrogustavo/status/1300182012020617216","1300182012020617216")</f>
        <v>1300182012020617216</v>
      </c>
      <c r="F9303" s="7" t="s">
        <v>17</v>
      </c>
      <c r="G9303" s="7">
        <v>3951525</v>
      </c>
      <c r="H9303" s="7">
        <v>2427</v>
      </c>
      <c r="I9303" s="7">
        <v>751</v>
      </c>
      <c r="J9303" s="7">
        <v>0</v>
      </c>
      <c r="K9303" s="7" t="s">
        <v>18</v>
      </c>
      <c r="L9303" s="8">
        <v>39987.315405092595</v>
      </c>
      <c r="M9303" s="9" t="s">
        <v>19</v>
      </c>
      <c r="N9303" s="9" t="s">
        <v>20</v>
      </c>
      <c r="O9303" s="6" t="str">
        <f>HYPERLINK("https://pbs.twimg.com/profile_images/962471262747529216/Uo8lOkRJ_normal.jpg","View")</f>
        <v>View</v>
      </c>
      <c r="P9303" s="7"/>
    </row>
    <row r="9304" spans="1:16">
      <c r="A9304" s="3">
        <v>44074.184594907405</v>
      </c>
      <c r="B9304" s="4" t="str">
        <f>HYPERLINK("https://twitter.com/petrogustavo","@petrogustavo")</f>
        <v>@petrogustavo</v>
      </c>
      <c r="C9304" s="5" t="s">
        <v>16</v>
      </c>
      <c r="D9304" s="5" t="s">
        <v>8953</v>
      </c>
      <c r="E9304" s="6" t="str">
        <f>HYPERLINK("https://twitter.com/petrogustavo/status/1300205611976712192","1300205611976712192")</f>
        <v>1300205611976712192</v>
      </c>
      <c r="F9304" s="7" t="s">
        <v>17</v>
      </c>
      <c r="G9304" s="7">
        <v>3951577</v>
      </c>
      <c r="H9304" s="7">
        <v>2427</v>
      </c>
      <c r="I9304" s="7">
        <v>782</v>
      </c>
      <c r="J9304" s="7">
        <v>0</v>
      </c>
      <c r="K9304" s="7" t="s">
        <v>18</v>
      </c>
      <c r="L9304" s="8">
        <v>39987.315405092595</v>
      </c>
      <c r="M9304" s="9" t="s">
        <v>19</v>
      </c>
      <c r="N9304" s="9" t="s">
        <v>20</v>
      </c>
      <c r="O9304" s="6" t="str">
        <f>HYPERLINK("https://pbs.twimg.com/profile_images/962471262747529216/Uo8lOkRJ_normal.jpg","View")</f>
        <v>View</v>
      </c>
      <c r="P9304" s="7"/>
    </row>
    <row r="9305" spans="1:16">
      <c r="A9305" s="3">
        <v>44074.216087962966</v>
      </c>
      <c r="B9305" s="4" t="str">
        <f>HYPERLINK("https://twitter.com/petrogustavo","@petrogustavo")</f>
        <v>@petrogustavo</v>
      </c>
      <c r="C9305" s="5" t="s">
        <v>16</v>
      </c>
      <c r="D9305" s="5" t="s">
        <v>8954</v>
      </c>
      <c r="E9305" s="6" t="str">
        <f>HYPERLINK("https://twitter.com/petrogustavo/status/1300217025550258177","1300217025550258177")</f>
        <v>1300217025550258177</v>
      </c>
      <c r="F9305" s="7" t="s">
        <v>17</v>
      </c>
      <c r="G9305" s="7">
        <v>3951632</v>
      </c>
      <c r="H9305" s="7">
        <v>2427</v>
      </c>
      <c r="I9305" s="7">
        <v>404</v>
      </c>
      <c r="J9305" s="7">
        <v>744</v>
      </c>
      <c r="K9305" s="7" t="s">
        <v>18</v>
      </c>
      <c r="L9305" s="8">
        <v>39987.315405092595</v>
      </c>
      <c r="M9305" s="9" t="s">
        <v>19</v>
      </c>
      <c r="N9305" s="9" t="s">
        <v>20</v>
      </c>
      <c r="O9305" s="6" t="str">
        <f>HYPERLINK("https://pbs.twimg.com/profile_images/962471262747529216/Uo8lOkRJ_normal.jpg","View")</f>
        <v>View</v>
      </c>
      <c r="P9305" s="7"/>
    </row>
    <row r="9306" spans="1:16">
      <c r="A9306" s="3">
        <v>44074.237222222218</v>
      </c>
      <c r="B9306" s="4" t="str">
        <f>HYPERLINK("https://twitter.com/petrogustavo","@petrogustavo")</f>
        <v>@petrogustavo</v>
      </c>
      <c r="C9306" s="5" t="s">
        <v>16</v>
      </c>
      <c r="D9306" s="5" t="s">
        <v>8950</v>
      </c>
      <c r="E9306" s="6" t="str">
        <f>HYPERLINK("https://twitter.com/petrogustavo/status/1300224683963494400","1300224683963494400")</f>
        <v>1300224683963494400</v>
      </c>
      <c r="F9306" s="7" t="s">
        <v>32</v>
      </c>
      <c r="G9306" s="7">
        <v>3951643</v>
      </c>
      <c r="H9306" s="7">
        <v>2427</v>
      </c>
      <c r="I9306" s="7">
        <v>702</v>
      </c>
      <c r="J9306" s="7">
        <v>0</v>
      </c>
      <c r="K9306" s="7" t="s">
        <v>18</v>
      </c>
      <c r="L9306" s="8">
        <v>39987.315405092595</v>
      </c>
      <c r="M9306" s="9" t="s">
        <v>19</v>
      </c>
      <c r="N9306" s="9" t="s">
        <v>20</v>
      </c>
      <c r="O9306" s="6" t="str">
        <f>HYPERLINK("https://pbs.twimg.com/profile_images/962471262747529216/Uo8lOkRJ_normal.jpg","View")</f>
        <v>View</v>
      </c>
      <c r="P9306" s="7"/>
    </row>
    <row r="9307" spans="1:16">
      <c r="A9307" s="3">
        <v>44074.258912037039</v>
      </c>
      <c r="B9307" s="4" t="str">
        <f>HYPERLINK("https://twitter.com/petrogustavo","@petrogustavo")</f>
        <v>@petrogustavo</v>
      </c>
      <c r="C9307" s="5" t="s">
        <v>16</v>
      </c>
      <c r="D9307" s="5" t="s">
        <v>8955</v>
      </c>
      <c r="E9307" s="6" t="str">
        <f>HYPERLINK("https://twitter.com/petrogustavo/status/1300232543682400257","1300232543682400257")</f>
        <v>1300232543682400257</v>
      </c>
      <c r="F9307" s="7" t="s">
        <v>32</v>
      </c>
      <c r="G9307" s="7">
        <v>3951677</v>
      </c>
      <c r="H9307" s="7">
        <v>2427</v>
      </c>
      <c r="I9307" s="7">
        <v>60</v>
      </c>
      <c r="J9307" s="7">
        <v>0</v>
      </c>
      <c r="K9307" s="7" t="s">
        <v>18</v>
      </c>
      <c r="L9307" s="8">
        <v>39987.315405092595</v>
      </c>
      <c r="M9307" s="9" t="s">
        <v>19</v>
      </c>
      <c r="N9307" s="9" t="s">
        <v>20</v>
      </c>
      <c r="O9307" s="6" t="str">
        <f>HYPERLINK("https://pbs.twimg.com/profile_images/962471262747529216/Uo8lOkRJ_normal.jpg","View")</f>
        <v>View</v>
      </c>
      <c r="P9307" s="7"/>
    </row>
    <row r="9308" spans="1:16">
      <c r="A9308" s="3">
        <v>44074.332013888888</v>
      </c>
      <c r="B9308" s="4" t="str">
        <f>HYPERLINK("https://twitter.com/petrogustavo","@petrogustavo")</f>
        <v>@petrogustavo</v>
      </c>
      <c r="C9308" s="5" t="s">
        <v>16</v>
      </c>
      <c r="D9308" s="5" t="s">
        <v>8956</v>
      </c>
      <c r="E9308" s="6" t="str">
        <f>HYPERLINK("https://twitter.com/petrogustavo/status/1300259036860948485","1300259036860948485")</f>
        <v>1300259036860948485</v>
      </c>
      <c r="F9308" s="7" t="s">
        <v>32</v>
      </c>
      <c r="G9308" s="7">
        <v>3951746</v>
      </c>
      <c r="H9308" s="7">
        <v>2427</v>
      </c>
      <c r="I9308" s="7">
        <v>57</v>
      </c>
      <c r="J9308" s="7">
        <v>0</v>
      </c>
      <c r="K9308" s="7" t="s">
        <v>18</v>
      </c>
      <c r="L9308" s="8">
        <v>39987.315405092595</v>
      </c>
      <c r="M9308" s="9" t="s">
        <v>19</v>
      </c>
      <c r="N9308" s="9" t="s">
        <v>20</v>
      </c>
      <c r="O9308" s="6" t="str">
        <f>HYPERLINK("https://pbs.twimg.com/profile_images/962471262747529216/Uo8lOkRJ_normal.jpg","View")</f>
        <v>View</v>
      </c>
      <c r="P9308" s="7"/>
    </row>
    <row r="9309" spans="1:16">
      <c r="A9309" s="3">
        <v>44074.335243055553</v>
      </c>
      <c r="B9309" s="4" t="str">
        <f>HYPERLINK("https://twitter.com/petrogustavo","@petrogustavo")</f>
        <v>@petrogustavo</v>
      </c>
      <c r="C9309" s="5" t="s">
        <v>16</v>
      </c>
      <c r="D9309" s="5" t="s">
        <v>8957</v>
      </c>
      <c r="E9309" s="6" t="str">
        <f>HYPERLINK("https://twitter.com/petrogustavo/status/1300260206732079110","1300260206732079110")</f>
        <v>1300260206732079110</v>
      </c>
      <c r="F9309" s="7" t="s">
        <v>32</v>
      </c>
      <c r="G9309" s="7">
        <v>3951746</v>
      </c>
      <c r="H9309" s="7">
        <v>2427</v>
      </c>
      <c r="I9309" s="7">
        <v>231</v>
      </c>
      <c r="J9309" s="7">
        <v>717</v>
      </c>
      <c r="K9309" s="7" t="s">
        <v>18</v>
      </c>
      <c r="L9309" s="8">
        <v>39987.315405092595</v>
      </c>
      <c r="M9309" s="9" t="s">
        <v>19</v>
      </c>
      <c r="N9309" s="9" t="s">
        <v>20</v>
      </c>
      <c r="O9309" s="6" t="str">
        <f>HYPERLINK("https://pbs.twimg.com/profile_images/962471262747529216/Uo8lOkRJ_normal.jpg","View")</f>
        <v>View</v>
      </c>
      <c r="P9309" s="7"/>
    </row>
    <row r="9310" spans="1:16">
      <c r="A9310" s="3">
        <v>44074.757893518516</v>
      </c>
      <c r="B9310" s="4" t="str">
        <f>HYPERLINK("https://twitter.com/petrogustavo","@petrogustavo")</f>
        <v>@petrogustavo</v>
      </c>
      <c r="C9310" s="5" t="s">
        <v>16</v>
      </c>
      <c r="D9310" s="5" t="s">
        <v>8958</v>
      </c>
      <c r="E9310" s="6" t="str">
        <f>HYPERLINK("https://twitter.com/petrogustavo/status/1300413368440938497","1300413368440938497")</f>
        <v>1300413368440938497</v>
      </c>
      <c r="F9310" s="7" t="s">
        <v>17</v>
      </c>
      <c r="G9310" s="7">
        <v>3951899</v>
      </c>
      <c r="H9310" s="7">
        <v>2427</v>
      </c>
      <c r="I9310" s="7">
        <v>323</v>
      </c>
      <c r="J9310" s="7">
        <v>613</v>
      </c>
      <c r="K9310" s="7" t="s">
        <v>18</v>
      </c>
      <c r="L9310" s="8">
        <v>39987.315405092595</v>
      </c>
      <c r="M9310" s="9" t="s">
        <v>19</v>
      </c>
      <c r="N9310" s="9" t="s">
        <v>20</v>
      </c>
      <c r="O9310" s="6" t="str">
        <f>HYPERLINK("https://pbs.twimg.com/profile_images/962471262747529216/Uo8lOkRJ_normal.jpg","View")</f>
        <v>View</v>
      </c>
      <c r="P9310" s="7"/>
    </row>
    <row r="9311" spans="1:16">
      <c r="A9311" s="3">
        <v>44074.766597222224</v>
      </c>
      <c r="B9311" s="4" t="str">
        <f>HYPERLINK("https://twitter.com/petrogustavo","@petrogustavo")</f>
        <v>@petrogustavo</v>
      </c>
      <c r="C9311" s="5" t="s">
        <v>16</v>
      </c>
      <c r="D9311" s="5" t="s">
        <v>8959</v>
      </c>
      <c r="E9311" s="6" t="str">
        <f>HYPERLINK("https://twitter.com/petrogustavo/status/1300416522607824896","1300416522607824896")</f>
        <v>1300416522607824896</v>
      </c>
      <c r="F9311" s="7" t="s">
        <v>17</v>
      </c>
      <c r="G9311" s="7">
        <v>3951899</v>
      </c>
      <c r="H9311" s="7">
        <v>2427</v>
      </c>
      <c r="I9311" s="7">
        <v>84</v>
      </c>
      <c r="J9311" s="7">
        <v>143</v>
      </c>
      <c r="K9311" s="7" t="s">
        <v>18</v>
      </c>
      <c r="L9311" s="8">
        <v>39987.315405092595</v>
      </c>
      <c r="M9311" s="9" t="s">
        <v>19</v>
      </c>
      <c r="N9311" s="9" t="s">
        <v>20</v>
      </c>
      <c r="O9311" s="6" t="str">
        <f>HYPERLINK("https://pbs.twimg.com/profile_images/962471262747529216/Uo8lOkRJ_normal.jpg","View")</f>
        <v>View</v>
      </c>
      <c r="P9311" s="7"/>
    </row>
    <row r="9312" spans="1:16">
      <c r="A9312" s="3">
        <v>44074.781435185185</v>
      </c>
      <c r="B9312" s="4" t="str">
        <f>HYPERLINK("https://twitter.com/petrogustavo","@petrogustavo")</f>
        <v>@petrogustavo</v>
      </c>
      <c r="C9312" s="5" t="s">
        <v>16</v>
      </c>
      <c r="D9312" s="5" t="s">
        <v>8960</v>
      </c>
      <c r="E9312" s="6" t="str">
        <f>HYPERLINK("https://twitter.com/petrogustavo/status/1300421898975825922","1300421898975825922")</f>
        <v>1300421898975825922</v>
      </c>
      <c r="F9312" s="7" t="s">
        <v>17</v>
      </c>
      <c r="G9312" s="7">
        <v>3951920</v>
      </c>
      <c r="H9312" s="7">
        <v>2427</v>
      </c>
      <c r="I9312" s="7">
        <v>153</v>
      </c>
      <c r="J9312" s="7">
        <v>461</v>
      </c>
      <c r="K9312" s="7" t="s">
        <v>18</v>
      </c>
      <c r="L9312" s="8">
        <v>39987.315405092595</v>
      </c>
      <c r="M9312" s="9" t="s">
        <v>19</v>
      </c>
      <c r="N9312" s="9" t="s">
        <v>20</v>
      </c>
      <c r="O9312" s="6" t="str">
        <f>HYPERLINK("https://pbs.twimg.com/profile_images/962471262747529216/Uo8lOkRJ_normal.jpg","View")</f>
        <v>View</v>
      </c>
      <c r="P9312" s="7"/>
    </row>
    <row r="9313" spans="1:16">
      <c r="A9313" s="3">
        <v>44074.792488425926</v>
      </c>
      <c r="B9313" s="4" t="str">
        <f>HYPERLINK("https://twitter.com/petrogustavo","@petrogustavo")</f>
        <v>@petrogustavo</v>
      </c>
      <c r="C9313" s="5" t="s">
        <v>16</v>
      </c>
      <c r="D9313" s="5" t="s">
        <v>8961</v>
      </c>
      <c r="E9313" s="6" t="str">
        <f>HYPERLINK("https://twitter.com/petrogustavo/status/1300425905525981184","1300425905525981184")</f>
        <v>1300425905525981184</v>
      </c>
      <c r="F9313" s="7" t="s">
        <v>17</v>
      </c>
      <c r="G9313" s="7">
        <v>3951920</v>
      </c>
      <c r="H9313" s="7">
        <v>2427</v>
      </c>
      <c r="I9313" s="7">
        <v>25</v>
      </c>
      <c r="J9313" s="7">
        <v>52</v>
      </c>
      <c r="K9313" s="7" t="s">
        <v>18</v>
      </c>
      <c r="L9313" s="8">
        <v>39987.315405092595</v>
      </c>
      <c r="M9313" s="9" t="s">
        <v>19</v>
      </c>
      <c r="N9313" s="9" t="s">
        <v>20</v>
      </c>
      <c r="O9313" s="6" t="str">
        <f>HYPERLINK("https://pbs.twimg.com/profile_images/962471262747529216/Uo8lOkRJ_normal.jpg","View")</f>
        <v>View</v>
      </c>
      <c r="P9313" s="7"/>
    </row>
    <row r="9314" spans="1:16">
      <c r="A9314" s="3">
        <v>44074.813101851847</v>
      </c>
      <c r="B9314" s="4" t="str">
        <f>HYPERLINK("https://twitter.com/petrogustavo","@petrogustavo")</f>
        <v>@petrogustavo</v>
      </c>
      <c r="C9314" s="5" t="s">
        <v>16</v>
      </c>
      <c r="D9314" s="5" t="s">
        <v>8962</v>
      </c>
      <c r="E9314" s="6" t="str">
        <f>HYPERLINK("https://twitter.com/petrogustavo/status/1300433374465716226","1300433374465716226")</f>
        <v>1300433374465716226</v>
      </c>
      <c r="F9314" s="7" t="s">
        <v>32</v>
      </c>
      <c r="G9314" s="7">
        <v>3951943</v>
      </c>
      <c r="H9314" s="7">
        <v>2427</v>
      </c>
      <c r="I9314" s="7">
        <v>18</v>
      </c>
      <c r="J9314" s="7">
        <v>60</v>
      </c>
      <c r="K9314" s="7" t="s">
        <v>18</v>
      </c>
      <c r="L9314" s="8">
        <v>39987.315405092595</v>
      </c>
      <c r="M9314" s="9" t="s">
        <v>19</v>
      </c>
      <c r="N9314" s="9" t="s">
        <v>20</v>
      </c>
      <c r="O9314" s="6" t="str">
        <f>HYPERLINK("https://pbs.twimg.com/profile_images/962471262747529216/Uo8lOkRJ_normal.jpg","View")</f>
        <v>View</v>
      </c>
      <c r="P9314" s="7"/>
    </row>
    <row r="9315" spans="1:16">
      <c r="A9315" s="3">
        <v>44074.859953703708</v>
      </c>
      <c r="B9315" s="4" t="str">
        <f>HYPERLINK("https://twitter.com/petrogustavo","@petrogustavo")</f>
        <v>@petrogustavo</v>
      </c>
      <c r="C9315" s="5" t="s">
        <v>16</v>
      </c>
      <c r="D9315" s="5" t="s">
        <v>8963</v>
      </c>
      <c r="E9315" s="6" t="str">
        <f>HYPERLINK("https://twitter.com/petrogustavo/status/1300450355428372481","1300450355428372481")</f>
        <v>1300450355428372481</v>
      </c>
      <c r="F9315" s="7" t="s">
        <v>21</v>
      </c>
      <c r="G9315" s="7">
        <v>3952004</v>
      </c>
      <c r="H9315" s="7">
        <v>2427</v>
      </c>
      <c r="I9315" s="7">
        <v>123</v>
      </c>
      <c r="J9315" s="7">
        <v>288</v>
      </c>
      <c r="K9315" s="7" t="s">
        <v>18</v>
      </c>
      <c r="L9315" s="8">
        <v>39987.315405092595</v>
      </c>
      <c r="M9315" s="9" t="s">
        <v>19</v>
      </c>
      <c r="N9315" s="9" t="s">
        <v>20</v>
      </c>
      <c r="O9315" s="6" t="str">
        <f>HYPERLINK("https://pbs.twimg.com/profile_images/962471262747529216/Uo8lOkRJ_normal.jpg","View")</f>
        <v>View</v>
      </c>
      <c r="P9315" s="7"/>
    </row>
    <row r="9316" spans="1:16">
      <c r="A9316" s="3">
        <v>44074.870763888888</v>
      </c>
      <c r="B9316" s="4" t="str">
        <f>HYPERLINK("https://twitter.com/petrogustavo","@petrogustavo")</f>
        <v>@petrogustavo</v>
      </c>
      <c r="C9316" s="5" t="s">
        <v>16</v>
      </c>
      <c r="D9316" s="5" t="s">
        <v>8964</v>
      </c>
      <c r="E9316" s="6" t="str">
        <f>HYPERLINK("https://twitter.com/petrogustavo/status/1300454273139040257","1300454273139040257")</f>
        <v>1300454273139040257</v>
      </c>
      <c r="F9316" s="7" t="s">
        <v>32</v>
      </c>
      <c r="G9316" s="7">
        <v>3952004</v>
      </c>
      <c r="H9316" s="7">
        <v>2427</v>
      </c>
      <c r="I9316" s="7">
        <v>92</v>
      </c>
      <c r="J9316" s="7">
        <v>0</v>
      </c>
      <c r="K9316" s="7" t="s">
        <v>18</v>
      </c>
      <c r="L9316" s="8">
        <v>39987.315405092595</v>
      </c>
      <c r="M9316" s="9" t="s">
        <v>19</v>
      </c>
      <c r="N9316" s="9" t="s">
        <v>20</v>
      </c>
      <c r="O9316" s="6" t="str">
        <f>HYPERLINK("https://pbs.twimg.com/profile_images/962471262747529216/Uo8lOkRJ_normal.jpg","View")</f>
        <v>View</v>
      </c>
      <c r="P9316" s="7"/>
    </row>
    <row r="9317" spans="1:16">
      <c r="A9317" s="3">
        <v>44074.871770833328</v>
      </c>
      <c r="B9317" s="4" t="str">
        <f>HYPERLINK("https://twitter.com/petrogustavo","@petrogustavo")</f>
        <v>@petrogustavo</v>
      </c>
      <c r="C9317" s="5" t="s">
        <v>16</v>
      </c>
      <c r="D9317" s="5" t="s">
        <v>8965</v>
      </c>
      <c r="E9317" s="6" t="str">
        <f>HYPERLINK("https://twitter.com/petrogustavo/status/1300454636596453378","1300454636596453378")</f>
        <v>1300454636596453378</v>
      </c>
      <c r="F9317" s="7" t="s">
        <v>32</v>
      </c>
      <c r="G9317" s="7">
        <v>3952004</v>
      </c>
      <c r="H9317" s="7">
        <v>2427</v>
      </c>
      <c r="I9317" s="7">
        <v>123</v>
      </c>
      <c r="J9317" s="7">
        <v>0</v>
      </c>
      <c r="K9317" s="7" t="s">
        <v>18</v>
      </c>
      <c r="L9317" s="8">
        <v>39987.315405092595</v>
      </c>
      <c r="M9317" s="9" t="s">
        <v>19</v>
      </c>
      <c r="N9317" s="9" t="s">
        <v>20</v>
      </c>
      <c r="O9317" s="6" t="str">
        <f>HYPERLINK("https://pbs.twimg.com/profile_images/962471262747529216/Uo8lOkRJ_normal.jpg","View")</f>
        <v>View</v>
      </c>
      <c r="P9317" s="7"/>
    </row>
    <row r="9318" spans="1:16">
      <c r="A9318" s="3">
        <v>44074.871944444443</v>
      </c>
      <c r="B9318" s="4" t="str">
        <f>HYPERLINK("https://twitter.com/petrogustavo","@petrogustavo")</f>
        <v>@petrogustavo</v>
      </c>
      <c r="C9318" s="5" t="s">
        <v>16</v>
      </c>
      <c r="D9318" s="5" t="s">
        <v>8966</v>
      </c>
      <c r="E9318" s="6" t="str">
        <f>HYPERLINK("https://twitter.com/petrogustavo/status/1300454701004136452","1300454701004136452")</f>
        <v>1300454701004136452</v>
      </c>
      <c r="F9318" s="7" t="s">
        <v>32</v>
      </c>
      <c r="G9318" s="7">
        <v>3952004</v>
      </c>
      <c r="H9318" s="7">
        <v>2427</v>
      </c>
      <c r="I9318" s="7">
        <v>745</v>
      </c>
      <c r="J9318" s="7">
        <v>0</v>
      </c>
      <c r="K9318" s="7" t="s">
        <v>18</v>
      </c>
      <c r="L9318" s="8">
        <v>39987.315405092595</v>
      </c>
      <c r="M9318" s="9" t="s">
        <v>19</v>
      </c>
      <c r="N9318" s="9" t="s">
        <v>20</v>
      </c>
      <c r="O9318" s="6" t="str">
        <f>HYPERLINK("https://pbs.twimg.com/profile_images/962471262747529216/Uo8lOkRJ_normal.jpg","View")</f>
        <v>View</v>
      </c>
      <c r="P9318" s="7"/>
    </row>
    <row r="9319" spans="1:16">
      <c r="A9319" s="3">
        <v>44074.948067129633</v>
      </c>
      <c r="B9319" s="4" t="str">
        <f>HYPERLINK("https://twitter.com/petrogustavo","@petrogustavo")</f>
        <v>@petrogustavo</v>
      </c>
      <c r="C9319" s="5" t="s">
        <v>16</v>
      </c>
      <c r="D9319" s="5" t="s">
        <v>8966</v>
      </c>
      <c r="E9319" s="6" t="str">
        <f>HYPERLINK("https://twitter.com/petrogustavo/status/1300482285825929218","1300482285825929218")</f>
        <v>1300482285825929218</v>
      </c>
      <c r="F9319" s="7" t="s">
        <v>32</v>
      </c>
      <c r="G9319" s="7">
        <v>3952063</v>
      </c>
      <c r="H9319" s="7">
        <v>2427</v>
      </c>
      <c r="I9319" s="7">
        <v>1119</v>
      </c>
      <c r="J9319" s="7">
        <v>0</v>
      </c>
      <c r="K9319" s="7" t="s">
        <v>18</v>
      </c>
      <c r="L9319" s="8">
        <v>39987.315405092595</v>
      </c>
      <c r="M9319" s="9" t="s">
        <v>19</v>
      </c>
      <c r="N9319" s="9" t="s">
        <v>20</v>
      </c>
      <c r="O9319" s="6" t="str">
        <f>HYPERLINK("https://pbs.twimg.com/profile_images/962471262747529216/Uo8lOkRJ_normal.jpg","View")</f>
        <v>View</v>
      </c>
      <c r="P9319" s="7"/>
    </row>
    <row r="9320" spans="1:16">
      <c r="A9320" s="3">
        <v>44074.952615740738</v>
      </c>
      <c r="B9320" s="4" t="str">
        <f>HYPERLINK("https://twitter.com/petrogustavo","@petrogustavo")</f>
        <v>@petrogustavo</v>
      </c>
      <c r="C9320" s="5" t="s">
        <v>16</v>
      </c>
      <c r="D9320" s="5" t="s">
        <v>8967</v>
      </c>
      <c r="E9320" s="6" t="str">
        <f>HYPERLINK("https://twitter.com/petrogustavo/status/1300483932786393096","1300483932786393096")</f>
        <v>1300483932786393096</v>
      </c>
      <c r="F9320" s="7" t="s">
        <v>32</v>
      </c>
      <c r="G9320" s="7">
        <v>3952077</v>
      </c>
      <c r="H9320" s="7">
        <v>2427</v>
      </c>
      <c r="I9320" s="7">
        <v>306</v>
      </c>
      <c r="J9320" s="7">
        <v>602</v>
      </c>
      <c r="K9320" s="7" t="s">
        <v>18</v>
      </c>
      <c r="L9320" s="8">
        <v>39987.315405092595</v>
      </c>
      <c r="M9320" s="9" t="s">
        <v>19</v>
      </c>
      <c r="N9320" s="9" t="s">
        <v>20</v>
      </c>
      <c r="O9320" s="6" t="str">
        <f>HYPERLINK("https://pbs.twimg.com/profile_images/962471262747529216/Uo8lOkRJ_normal.jpg","View")</f>
        <v>View</v>
      </c>
      <c r="P9320" s="7"/>
    </row>
    <row r="9321" spans="1:16">
      <c r="A9321" s="3">
        <v>44074.97792824074</v>
      </c>
      <c r="B9321" s="4" t="str">
        <f>HYPERLINK("https://twitter.com/petrogustavo","@petrogustavo")</f>
        <v>@petrogustavo</v>
      </c>
      <c r="C9321" s="5" t="s">
        <v>16</v>
      </c>
      <c r="D9321" s="5" t="s">
        <v>8968</v>
      </c>
      <c r="E9321" s="6" t="str">
        <f>HYPERLINK("https://twitter.com/petrogustavo/status/1300493106844925952","1300493106844925952")</f>
        <v>1300493106844925952</v>
      </c>
      <c r="F9321" s="7" t="s">
        <v>17</v>
      </c>
      <c r="G9321" s="7">
        <v>3952103</v>
      </c>
      <c r="H9321" s="7">
        <v>2427</v>
      </c>
      <c r="I9321" s="7">
        <v>27</v>
      </c>
      <c r="J9321" s="7">
        <v>0</v>
      </c>
      <c r="K9321" s="7" t="s">
        <v>18</v>
      </c>
      <c r="L9321" s="8">
        <v>39987.315405092595</v>
      </c>
      <c r="M9321" s="9" t="s">
        <v>19</v>
      </c>
      <c r="N9321" s="9" t="s">
        <v>20</v>
      </c>
      <c r="O9321" s="6" t="str">
        <f>HYPERLINK("https://pbs.twimg.com/profile_images/962471262747529216/Uo8lOkRJ_normal.jpg","View")</f>
        <v>View</v>
      </c>
      <c r="P9321" s="7"/>
    </row>
    <row r="9322" spans="1:16">
      <c r="A9322" s="3">
        <v>44075.044594907406</v>
      </c>
      <c r="B9322" s="4" t="str">
        <f>HYPERLINK("https://twitter.com/petrogustavo","@petrogustavo")</f>
        <v>@petrogustavo</v>
      </c>
      <c r="C9322" s="5" t="s">
        <v>16</v>
      </c>
      <c r="D9322" s="5" t="s">
        <v>8969</v>
      </c>
      <c r="E9322" s="6" t="str">
        <f>HYPERLINK("https://twitter.com/petrogustavo/status/1300517268858769414","1300517268858769414")</f>
        <v>1300517268858769414</v>
      </c>
      <c r="F9322" s="7" t="s">
        <v>32</v>
      </c>
      <c r="G9322" s="7">
        <v>3952167</v>
      </c>
      <c r="H9322" s="7">
        <v>2428</v>
      </c>
      <c r="I9322" s="7">
        <v>137</v>
      </c>
      <c r="J9322" s="7">
        <v>0</v>
      </c>
      <c r="K9322" s="7" t="s">
        <v>18</v>
      </c>
      <c r="L9322" s="8">
        <v>39987.315405092595</v>
      </c>
      <c r="M9322" s="9" t="s">
        <v>19</v>
      </c>
      <c r="N9322" s="9" t="s">
        <v>20</v>
      </c>
      <c r="O9322" s="6" t="str">
        <f>HYPERLINK("https://pbs.twimg.com/profile_images/962471262747529216/Uo8lOkRJ_normal.jpg","View")</f>
        <v>View</v>
      </c>
      <c r="P9322" s="7"/>
    </row>
    <row r="9323" spans="1:16">
      <c r="A9323" s="3">
        <v>44075.045775462961</v>
      </c>
      <c r="B9323" s="4" t="str">
        <f>HYPERLINK("https://twitter.com/petrogustavo","@petrogustavo")</f>
        <v>@petrogustavo</v>
      </c>
      <c r="C9323" s="5" t="s">
        <v>16</v>
      </c>
      <c r="D9323" s="5" t="s">
        <v>8970</v>
      </c>
      <c r="E9323" s="6" t="str">
        <f>HYPERLINK("https://twitter.com/petrogustavo/status/1300517694186422272","1300517694186422272")</f>
        <v>1300517694186422272</v>
      </c>
      <c r="F9323" s="7" t="s">
        <v>32</v>
      </c>
      <c r="G9323" s="7">
        <v>3952167</v>
      </c>
      <c r="H9323" s="7">
        <v>2428</v>
      </c>
      <c r="I9323" s="7">
        <v>273</v>
      </c>
      <c r="J9323" s="7">
        <v>0</v>
      </c>
      <c r="K9323" s="7" t="s">
        <v>18</v>
      </c>
      <c r="L9323" s="8">
        <v>39987.315405092595</v>
      </c>
      <c r="M9323" s="9" t="s">
        <v>19</v>
      </c>
      <c r="N9323" s="9" t="s">
        <v>20</v>
      </c>
      <c r="O9323" s="6" t="str">
        <f>HYPERLINK("https://pbs.twimg.com/profile_images/962471262747529216/Uo8lOkRJ_normal.jpg","View")</f>
        <v>View</v>
      </c>
      <c r="P9323" s="7"/>
    </row>
    <row r="9324" spans="1:16">
      <c r="A9324" s="3">
        <v>44075.047002314815</v>
      </c>
      <c r="B9324" s="4" t="str">
        <f>HYPERLINK("https://twitter.com/petrogustavo","@petrogustavo")</f>
        <v>@petrogustavo</v>
      </c>
      <c r="C9324" s="5" t="s">
        <v>16</v>
      </c>
      <c r="D9324" s="5" t="s">
        <v>8971</v>
      </c>
      <c r="E9324" s="6" t="str">
        <f>HYPERLINK("https://twitter.com/petrogustavo/status/1300518138266767361","1300518138266767361")</f>
        <v>1300518138266767361</v>
      </c>
      <c r="F9324" s="7" t="s">
        <v>32</v>
      </c>
      <c r="G9324" s="7">
        <v>3952167</v>
      </c>
      <c r="H9324" s="7">
        <v>2428</v>
      </c>
      <c r="I9324" s="7">
        <v>294</v>
      </c>
      <c r="J9324" s="7">
        <v>804</v>
      </c>
      <c r="K9324" s="7" t="s">
        <v>18</v>
      </c>
      <c r="L9324" s="8">
        <v>39987.315405092595</v>
      </c>
      <c r="M9324" s="9" t="s">
        <v>19</v>
      </c>
      <c r="N9324" s="9" t="s">
        <v>20</v>
      </c>
      <c r="O9324" s="6" t="str">
        <f>HYPERLINK("https://pbs.twimg.com/profile_images/962471262747529216/Uo8lOkRJ_normal.jpg","View")</f>
        <v>View</v>
      </c>
      <c r="P9324" s="7"/>
    </row>
    <row r="9325" spans="1:16">
      <c r="A9325" s="3">
        <v>44075.294814814813</v>
      </c>
      <c r="B9325" s="4" t="str">
        <f>HYPERLINK("https://twitter.com/petrogustavo","@petrogustavo")</f>
        <v>@petrogustavo</v>
      </c>
      <c r="C9325" s="5" t="s">
        <v>16</v>
      </c>
      <c r="D9325" s="5" t="s">
        <v>8972</v>
      </c>
      <c r="E9325" s="6" t="str">
        <f>HYPERLINK("https://twitter.com/petrogustavo/status/1300607943499550723","1300607943499550723")</f>
        <v>1300607943499550723</v>
      </c>
      <c r="F9325" s="7" t="s">
        <v>32</v>
      </c>
      <c r="G9325" s="7">
        <v>3952300</v>
      </c>
      <c r="H9325" s="7">
        <v>2429</v>
      </c>
      <c r="I9325" s="7">
        <v>170</v>
      </c>
      <c r="J9325" s="7">
        <v>335</v>
      </c>
      <c r="K9325" s="7" t="s">
        <v>18</v>
      </c>
      <c r="L9325" s="8">
        <v>39987.315405092595</v>
      </c>
      <c r="M9325" s="9" t="s">
        <v>19</v>
      </c>
      <c r="N9325" s="9" t="s">
        <v>20</v>
      </c>
      <c r="O9325" s="6" t="str">
        <f>HYPERLINK("https://pbs.twimg.com/profile_images/962471262747529216/Uo8lOkRJ_normal.jpg","View")</f>
        <v>View</v>
      </c>
      <c r="P9325" s="7"/>
    </row>
    <row r="9326" spans="1:16">
      <c r="A9326" s="3">
        <v>44075.299583333333</v>
      </c>
      <c r="B9326" s="4" t="str">
        <f>HYPERLINK("https://twitter.com/petrogustavo","@petrogustavo")</f>
        <v>@petrogustavo</v>
      </c>
      <c r="C9326" s="5" t="s">
        <v>16</v>
      </c>
      <c r="D9326" s="5" t="s">
        <v>8973</v>
      </c>
      <c r="E9326" s="6" t="str">
        <f>HYPERLINK("https://twitter.com/petrogustavo/status/1300609670307028993","1300609670307028993")</f>
        <v>1300609670307028993</v>
      </c>
      <c r="F9326" s="7" t="s">
        <v>32</v>
      </c>
      <c r="G9326" s="7">
        <v>3952300</v>
      </c>
      <c r="H9326" s="7">
        <v>2429</v>
      </c>
      <c r="I9326" s="7">
        <v>86</v>
      </c>
      <c r="J9326" s="7">
        <v>178</v>
      </c>
      <c r="K9326" s="7" t="s">
        <v>18</v>
      </c>
      <c r="L9326" s="8">
        <v>39987.315405092595</v>
      </c>
      <c r="M9326" s="9" t="s">
        <v>19</v>
      </c>
      <c r="N9326" s="9" t="s">
        <v>20</v>
      </c>
      <c r="O9326" s="6" t="str">
        <f>HYPERLINK("https://pbs.twimg.com/profile_images/962471262747529216/Uo8lOkRJ_normal.jpg","View")</f>
        <v>View</v>
      </c>
      <c r="P9326" s="7"/>
    </row>
    <row r="9327" spans="1:16">
      <c r="A9327" s="3">
        <v>44075.320185185185</v>
      </c>
      <c r="B9327" s="4" t="str">
        <f>HYPERLINK("https://twitter.com/petrogustavo","@petrogustavo")</f>
        <v>@petrogustavo</v>
      </c>
      <c r="C9327" s="5" t="s">
        <v>16</v>
      </c>
      <c r="D9327" s="5" t="s">
        <v>8966</v>
      </c>
      <c r="E9327" s="6" t="str">
        <f>HYPERLINK("https://twitter.com/petrogustavo/status/1300617135782330375","1300617135782330375")</f>
        <v>1300617135782330375</v>
      </c>
      <c r="F9327" s="7" t="s">
        <v>17</v>
      </c>
      <c r="G9327" s="7">
        <v>3952323</v>
      </c>
      <c r="H9327" s="7">
        <v>2429</v>
      </c>
      <c r="I9327" s="7">
        <v>1770</v>
      </c>
      <c r="J9327" s="7">
        <v>0</v>
      </c>
      <c r="K9327" s="7" t="s">
        <v>18</v>
      </c>
      <c r="L9327" s="8">
        <v>39987.315405092595</v>
      </c>
      <c r="M9327" s="9" t="s">
        <v>19</v>
      </c>
      <c r="N9327" s="9" t="s">
        <v>20</v>
      </c>
      <c r="O9327" s="6" t="str">
        <f>HYPERLINK("https://pbs.twimg.com/profile_images/962471262747529216/Uo8lOkRJ_normal.jpg","View")</f>
        <v>View</v>
      </c>
      <c r="P9327" s="7"/>
    </row>
    <row r="9328" spans="1:16">
      <c r="A9328" s="3">
        <v>44075.330081018517</v>
      </c>
      <c r="B9328" s="4" t="str">
        <f>HYPERLINK("https://twitter.com/petrogustavo","@petrogustavo")</f>
        <v>@petrogustavo</v>
      </c>
      <c r="C9328" s="5" t="s">
        <v>16</v>
      </c>
      <c r="D9328" s="5" t="s">
        <v>8974</v>
      </c>
      <c r="E9328" s="6" t="str">
        <f>HYPERLINK("https://twitter.com/petrogustavo/status/1300620723048906752","1300620723048906752")</f>
        <v>1300620723048906752</v>
      </c>
      <c r="F9328" s="7" t="s">
        <v>17</v>
      </c>
      <c r="G9328" s="7">
        <v>3952355</v>
      </c>
      <c r="H9328" s="7">
        <v>2429</v>
      </c>
      <c r="I9328" s="7">
        <v>901</v>
      </c>
      <c r="J9328" s="7">
        <v>2022</v>
      </c>
      <c r="K9328" s="7" t="s">
        <v>18</v>
      </c>
      <c r="L9328" s="8">
        <v>39987.315405092595</v>
      </c>
      <c r="M9328" s="9" t="s">
        <v>19</v>
      </c>
      <c r="N9328" s="9" t="s">
        <v>20</v>
      </c>
      <c r="O9328" s="6" t="str">
        <f>HYPERLINK("https://pbs.twimg.com/profile_images/962471262747529216/Uo8lOkRJ_normal.jpg","View")</f>
        <v>View</v>
      </c>
      <c r="P9328" s="7"/>
    </row>
    <row r="9329" spans="1:16">
      <c r="A9329" s="3">
        <v>44075.741678240738</v>
      </c>
      <c r="B9329" s="4" t="str">
        <f>HYPERLINK("https://twitter.com/petrogustavo","@petrogustavo")</f>
        <v>@petrogustavo</v>
      </c>
      <c r="C9329" s="5" t="s">
        <v>16</v>
      </c>
      <c r="D9329" s="5" t="s">
        <v>8975</v>
      </c>
      <c r="E9329" s="6" t="str">
        <f>HYPERLINK("https://twitter.com/petrogustavo/status/1300769883349749763","1300769883349749763")</f>
        <v>1300769883349749763</v>
      </c>
      <c r="F9329" s="7" t="s">
        <v>17</v>
      </c>
      <c r="G9329" s="7">
        <v>3952490</v>
      </c>
      <c r="H9329" s="7">
        <v>2429</v>
      </c>
      <c r="I9329" s="7">
        <v>147</v>
      </c>
      <c r="J9329" s="7">
        <v>0</v>
      </c>
      <c r="K9329" s="7" t="s">
        <v>18</v>
      </c>
      <c r="L9329" s="8">
        <v>39987.315405092595</v>
      </c>
      <c r="M9329" s="9" t="s">
        <v>19</v>
      </c>
      <c r="N9329" s="9" t="s">
        <v>20</v>
      </c>
      <c r="O9329" s="6" t="str">
        <f>HYPERLINK("https://pbs.twimg.com/profile_images/962471262747529216/Uo8lOkRJ_normal.jpg","View")</f>
        <v>View</v>
      </c>
      <c r="P9329" s="7"/>
    </row>
    <row r="9330" spans="1:16">
      <c r="A9330" s="3">
        <v>44075.743726851855</v>
      </c>
      <c r="B9330" s="4" t="str">
        <f>HYPERLINK("https://twitter.com/petrogustavo","@petrogustavo")</f>
        <v>@petrogustavo</v>
      </c>
      <c r="C9330" s="5" t="s">
        <v>16</v>
      </c>
      <c r="D9330" s="5" t="s">
        <v>8976</v>
      </c>
      <c r="E9330" s="6" t="str">
        <f>HYPERLINK("https://twitter.com/petrogustavo/status/1300770624550432775","1300770624550432775")</f>
        <v>1300770624550432775</v>
      </c>
      <c r="F9330" s="7" t="s">
        <v>17</v>
      </c>
      <c r="G9330" s="7">
        <v>3952511</v>
      </c>
      <c r="H9330" s="7">
        <v>2429</v>
      </c>
      <c r="I9330" s="7">
        <v>148</v>
      </c>
      <c r="J9330" s="7">
        <v>434</v>
      </c>
      <c r="K9330" s="7" t="s">
        <v>18</v>
      </c>
      <c r="L9330" s="8">
        <v>39987.315405092595</v>
      </c>
      <c r="M9330" s="9" t="s">
        <v>19</v>
      </c>
      <c r="N9330" s="9" t="s">
        <v>20</v>
      </c>
      <c r="O9330" s="6" t="str">
        <f>HYPERLINK("https://pbs.twimg.com/profile_images/962471262747529216/Uo8lOkRJ_normal.jpg","View")</f>
        <v>View</v>
      </c>
      <c r="P9330" s="7"/>
    </row>
    <row r="9331" spans="1:16">
      <c r="A9331" s="3">
        <v>44075.74523148148</v>
      </c>
      <c r="B9331" s="4" t="str">
        <f>HYPERLINK("https://twitter.com/petrogustavo","@petrogustavo")</f>
        <v>@petrogustavo</v>
      </c>
      <c r="C9331" s="5" t="s">
        <v>16</v>
      </c>
      <c r="D9331" s="5" t="s">
        <v>8977</v>
      </c>
      <c r="E9331" s="6" t="str">
        <f>HYPERLINK("https://twitter.com/petrogustavo/status/1300771168648134659","1300771168648134659")</f>
        <v>1300771168648134659</v>
      </c>
      <c r="F9331" s="7" t="s">
        <v>17</v>
      </c>
      <c r="G9331" s="7">
        <v>3952511</v>
      </c>
      <c r="H9331" s="7">
        <v>2429</v>
      </c>
      <c r="I9331" s="7">
        <v>113</v>
      </c>
      <c r="J9331" s="7">
        <v>339</v>
      </c>
      <c r="K9331" s="7" t="s">
        <v>18</v>
      </c>
      <c r="L9331" s="8">
        <v>39987.315405092595</v>
      </c>
      <c r="M9331" s="9" t="s">
        <v>19</v>
      </c>
      <c r="N9331" s="9" t="s">
        <v>20</v>
      </c>
      <c r="O9331" s="6" t="str">
        <f>HYPERLINK("https://pbs.twimg.com/profile_images/962471262747529216/Uo8lOkRJ_normal.jpg","View")</f>
        <v>View</v>
      </c>
      <c r="P9331" s="7"/>
    </row>
    <row r="9332" spans="1:16">
      <c r="A9332" s="3">
        <v>44075.753530092596</v>
      </c>
      <c r="B9332" s="4" t="str">
        <f>HYPERLINK("https://twitter.com/petrogustavo","@petrogustavo")</f>
        <v>@petrogustavo</v>
      </c>
      <c r="C9332" s="5" t="s">
        <v>16</v>
      </c>
      <c r="D9332" s="5" t="s">
        <v>8978</v>
      </c>
      <c r="E9332" s="6" t="str">
        <f>HYPERLINK("https://twitter.com/petrogustavo/status/1300774174458347522","1300774174458347522")</f>
        <v>1300774174458347522</v>
      </c>
      <c r="F9332" s="7" t="s">
        <v>17</v>
      </c>
      <c r="G9332" s="7">
        <v>3952511</v>
      </c>
      <c r="H9332" s="7">
        <v>2429</v>
      </c>
      <c r="I9332" s="7">
        <v>67</v>
      </c>
      <c r="J9332" s="7">
        <v>164</v>
      </c>
      <c r="K9332" s="7" t="s">
        <v>18</v>
      </c>
      <c r="L9332" s="8">
        <v>39987.315405092595</v>
      </c>
      <c r="M9332" s="9" t="s">
        <v>19</v>
      </c>
      <c r="N9332" s="9" t="s">
        <v>20</v>
      </c>
      <c r="O9332" s="6" t="str">
        <f>HYPERLINK("https://pbs.twimg.com/profile_images/962471262747529216/Uo8lOkRJ_normal.jpg","View")</f>
        <v>View</v>
      </c>
      <c r="P9332" s="7"/>
    </row>
    <row r="9333" spans="1:16">
      <c r="A9333" s="3">
        <v>44075.756736111114</v>
      </c>
      <c r="B9333" s="4" t="str">
        <f>HYPERLINK("https://twitter.com/petrogustavo","@petrogustavo")</f>
        <v>@petrogustavo</v>
      </c>
      <c r="C9333" s="5" t="s">
        <v>16</v>
      </c>
      <c r="D9333" s="5" t="s">
        <v>8979</v>
      </c>
      <c r="E9333" s="6" t="str">
        <f>HYPERLINK("https://twitter.com/petrogustavo/status/1300775339032018945","1300775339032018945")</f>
        <v>1300775339032018945</v>
      </c>
      <c r="F9333" s="7" t="s">
        <v>17</v>
      </c>
      <c r="G9333" s="7">
        <v>3952511</v>
      </c>
      <c r="H9333" s="7">
        <v>2429</v>
      </c>
      <c r="I9333" s="7">
        <v>78</v>
      </c>
      <c r="J9333" s="7">
        <v>205</v>
      </c>
      <c r="K9333" s="7" t="s">
        <v>18</v>
      </c>
      <c r="L9333" s="8">
        <v>39987.315405092595</v>
      </c>
      <c r="M9333" s="9" t="s">
        <v>19</v>
      </c>
      <c r="N9333" s="9" t="s">
        <v>20</v>
      </c>
      <c r="O9333" s="6" t="str">
        <f>HYPERLINK("https://pbs.twimg.com/profile_images/962471262747529216/Uo8lOkRJ_normal.jpg","View")</f>
        <v>View</v>
      </c>
      <c r="P9333" s="7"/>
    </row>
    <row r="9334" spans="1:16">
      <c r="A9334" s="3">
        <v>44075.759872685187</v>
      </c>
      <c r="B9334" s="4" t="str">
        <f>HYPERLINK("https://twitter.com/petrogustavo","@petrogustavo")</f>
        <v>@petrogustavo</v>
      </c>
      <c r="C9334" s="5" t="s">
        <v>16</v>
      </c>
      <c r="D9334" s="5" t="s">
        <v>8980</v>
      </c>
      <c r="E9334" s="6" t="str">
        <f>HYPERLINK("https://twitter.com/petrogustavo/status/1300776476439183373","1300776476439183373")</f>
        <v>1300776476439183373</v>
      </c>
      <c r="F9334" s="7" t="s">
        <v>17</v>
      </c>
      <c r="G9334" s="7">
        <v>3952511</v>
      </c>
      <c r="H9334" s="7">
        <v>2429</v>
      </c>
      <c r="I9334" s="7">
        <v>12</v>
      </c>
      <c r="J9334" s="7">
        <v>59</v>
      </c>
      <c r="K9334" s="7" t="s">
        <v>18</v>
      </c>
      <c r="L9334" s="8">
        <v>39987.315405092595</v>
      </c>
      <c r="M9334" s="9" t="s">
        <v>19</v>
      </c>
      <c r="N9334" s="9" t="s">
        <v>20</v>
      </c>
      <c r="O9334" s="6" t="str">
        <f>HYPERLINK("https://pbs.twimg.com/profile_images/962471262747529216/Uo8lOkRJ_normal.jpg","View")</f>
        <v>View</v>
      </c>
      <c r="P9334" s="7"/>
    </row>
    <row r="9335" spans="1:16">
      <c r="A9335" s="3">
        <v>44075.762060185181</v>
      </c>
      <c r="B9335" s="4" t="str">
        <f>HYPERLINK("https://twitter.com/petrogustavo","@petrogustavo")</f>
        <v>@petrogustavo</v>
      </c>
      <c r="C9335" s="5" t="s">
        <v>16</v>
      </c>
      <c r="D9335" s="5" t="s">
        <v>8981</v>
      </c>
      <c r="E9335" s="6" t="str">
        <f>HYPERLINK("https://twitter.com/petrogustavo/status/1300777266352455683","1300777266352455683")</f>
        <v>1300777266352455683</v>
      </c>
      <c r="F9335" s="7" t="s">
        <v>17</v>
      </c>
      <c r="G9335" s="7">
        <v>3952511</v>
      </c>
      <c r="H9335" s="7">
        <v>2429</v>
      </c>
      <c r="I9335" s="7">
        <v>5</v>
      </c>
      <c r="J9335" s="7">
        <v>16</v>
      </c>
      <c r="K9335" s="7" t="s">
        <v>18</v>
      </c>
      <c r="L9335" s="8">
        <v>39987.315405092595</v>
      </c>
      <c r="M9335" s="9" t="s">
        <v>19</v>
      </c>
      <c r="N9335" s="9" t="s">
        <v>20</v>
      </c>
      <c r="O9335" s="6" t="str">
        <f>HYPERLINK("https://pbs.twimg.com/profile_images/962471262747529216/Uo8lOkRJ_normal.jpg","View")</f>
        <v>View</v>
      </c>
      <c r="P9335" s="7"/>
    </row>
    <row r="9336" spans="1:16">
      <c r="A9336" s="3">
        <v>44075.766516203701</v>
      </c>
      <c r="B9336" s="4" t="str">
        <f>HYPERLINK("https://twitter.com/petrogustavo","@petrogustavo")</f>
        <v>@petrogustavo</v>
      </c>
      <c r="C9336" s="5" t="s">
        <v>16</v>
      </c>
      <c r="D9336" s="5" t="s">
        <v>8982</v>
      </c>
      <c r="E9336" s="6" t="str">
        <f>HYPERLINK("https://twitter.com/petrogustavo/status/1300778882245832707","1300778882245832707")</f>
        <v>1300778882245832707</v>
      </c>
      <c r="F9336" s="7" t="s">
        <v>17</v>
      </c>
      <c r="G9336" s="7">
        <v>3952507</v>
      </c>
      <c r="H9336" s="7">
        <v>2429</v>
      </c>
      <c r="I9336" s="7">
        <v>126</v>
      </c>
      <c r="J9336" s="7">
        <v>275</v>
      </c>
      <c r="K9336" s="7" t="s">
        <v>18</v>
      </c>
      <c r="L9336" s="8">
        <v>39987.315405092595</v>
      </c>
      <c r="M9336" s="9" t="s">
        <v>19</v>
      </c>
      <c r="N9336" s="9" t="s">
        <v>20</v>
      </c>
      <c r="O9336" s="6" t="str">
        <f>HYPERLINK("https://pbs.twimg.com/profile_images/962471262747529216/Uo8lOkRJ_normal.jpg","View")</f>
        <v>View</v>
      </c>
      <c r="P9336" s="7"/>
    </row>
    <row r="9337" spans="1:16">
      <c r="A9337" s="3">
        <v>44075.774386574078</v>
      </c>
      <c r="B9337" s="4" t="str">
        <f>HYPERLINK("https://twitter.com/petrogustavo","@petrogustavo")</f>
        <v>@petrogustavo</v>
      </c>
      <c r="C9337" s="5" t="s">
        <v>16</v>
      </c>
      <c r="D9337" s="5" t="s">
        <v>8983</v>
      </c>
      <c r="E9337" s="6" t="str">
        <f>HYPERLINK("https://twitter.com/petrogustavo/status/1300781735664381953","1300781735664381953")</f>
        <v>1300781735664381953</v>
      </c>
      <c r="F9337" s="7" t="s">
        <v>17</v>
      </c>
      <c r="G9337" s="7">
        <v>3952507</v>
      </c>
      <c r="H9337" s="7">
        <v>2429</v>
      </c>
      <c r="I9337" s="7">
        <v>40</v>
      </c>
      <c r="J9337" s="7">
        <v>100</v>
      </c>
      <c r="K9337" s="7" t="s">
        <v>18</v>
      </c>
      <c r="L9337" s="8">
        <v>39987.315405092595</v>
      </c>
      <c r="M9337" s="9" t="s">
        <v>19</v>
      </c>
      <c r="N9337" s="9" t="s">
        <v>20</v>
      </c>
      <c r="O9337" s="6" t="str">
        <f>HYPERLINK("https://pbs.twimg.com/profile_images/962471262747529216/Uo8lOkRJ_normal.jpg","View")</f>
        <v>View</v>
      </c>
      <c r="P9337" s="7"/>
    </row>
    <row r="9338" spans="1:16">
      <c r="A9338" s="3">
        <v>44075.776064814811</v>
      </c>
      <c r="B9338" s="4" t="str">
        <f>HYPERLINK("https://twitter.com/petrogustavo","@petrogustavo")</f>
        <v>@petrogustavo</v>
      </c>
      <c r="C9338" s="5" t="s">
        <v>16</v>
      </c>
      <c r="D9338" s="5" t="s">
        <v>8984</v>
      </c>
      <c r="E9338" s="6" t="str">
        <f>HYPERLINK("https://twitter.com/petrogustavo/status/1300782341271572482","1300782341271572482")</f>
        <v>1300782341271572482</v>
      </c>
      <c r="F9338" s="7" t="s">
        <v>17</v>
      </c>
      <c r="G9338" s="7">
        <v>3952507</v>
      </c>
      <c r="H9338" s="7">
        <v>2429</v>
      </c>
      <c r="I9338" s="7">
        <v>464</v>
      </c>
      <c r="J9338" s="7">
        <v>1143</v>
      </c>
      <c r="K9338" s="7" t="s">
        <v>18</v>
      </c>
      <c r="L9338" s="8">
        <v>39987.315405092595</v>
      </c>
      <c r="M9338" s="9" t="s">
        <v>19</v>
      </c>
      <c r="N9338" s="9" t="s">
        <v>20</v>
      </c>
      <c r="O9338" s="6" t="str">
        <f>HYPERLINK("https://pbs.twimg.com/profile_images/962471262747529216/Uo8lOkRJ_normal.jpg","View")</f>
        <v>View</v>
      </c>
      <c r="P9338" s="7"/>
    </row>
    <row r="9339" spans="1:16">
      <c r="A9339" s="3">
        <v>44075.819027777776</v>
      </c>
      <c r="B9339" s="4" t="str">
        <f>HYPERLINK("https://twitter.com/petrogustavo","@petrogustavo")</f>
        <v>@petrogustavo</v>
      </c>
      <c r="C9339" s="5" t="s">
        <v>16</v>
      </c>
      <c r="D9339" s="5" t="s">
        <v>8985</v>
      </c>
      <c r="E9339" s="6" t="str">
        <f>HYPERLINK("https://twitter.com/petrogustavo/status/1300797913300447237","1300797913300447237")</f>
        <v>1300797913300447237</v>
      </c>
      <c r="F9339" s="7" t="s">
        <v>17</v>
      </c>
      <c r="G9339" s="7">
        <v>3952544</v>
      </c>
      <c r="H9339" s="7">
        <v>2429</v>
      </c>
      <c r="I9339" s="7">
        <v>175</v>
      </c>
      <c r="J9339" s="7">
        <v>433</v>
      </c>
      <c r="K9339" s="7" t="s">
        <v>18</v>
      </c>
      <c r="L9339" s="8">
        <v>39987.315405092595</v>
      </c>
      <c r="M9339" s="9" t="s">
        <v>19</v>
      </c>
      <c r="N9339" s="9" t="s">
        <v>20</v>
      </c>
      <c r="O9339" s="6" t="str">
        <f>HYPERLINK("https://pbs.twimg.com/profile_images/962471262747529216/Uo8lOkRJ_normal.jpg","View")</f>
        <v>View</v>
      </c>
      <c r="P9339" s="7"/>
    </row>
    <row r="9340" spans="1:16">
      <c r="A9340" s="3">
        <v>44075.820590277777</v>
      </c>
      <c r="B9340" s="4" t="str">
        <f>HYPERLINK("https://twitter.com/petrogustavo","@petrogustavo")</f>
        <v>@petrogustavo</v>
      </c>
      <c r="C9340" s="5" t="s">
        <v>16</v>
      </c>
      <c r="D9340" s="5" t="s">
        <v>8986</v>
      </c>
      <c r="E9340" s="6" t="str">
        <f>HYPERLINK("https://twitter.com/petrogustavo/status/1300798479300800514","1300798479300800514")</f>
        <v>1300798479300800514</v>
      </c>
      <c r="F9340" s="7" t="s">
        <v>17</v>
      </c>
      <c r="G9340" s="7">
        <v>3952544</v>
      </c>
      <c r="H9340" s="7">
        <v>2429</v>
      </c>
      <c r="I9340" s="7">
        <v>83</v>
      </c>
      <c r="J9340" s="7">
        <v>223</v>
      </c>
      <c r="K9340" s="7" t="s">
        <v>18</v>
      </c>
      <c r="L9340" s="8">
        <v>39987.315405092595</v>
      </c>
      <c r="M9340" s="9" t="s">
        <v>19</v>
      </c>
      <c r="N9340" s="9" t="s">
        <v>20</v>
      </c>
      <c r="O9340" s="6" t="str">
        <f>HYPERLINK("https://pbs.twimg.com/profile_images/962471262747529216/Uo8lOkRJ_normal.jpg","View")</f>
        <v>View</v>
      </c>
      <c r="P9340" s="7"/>
    </row>
    <row r="9341" spans="1:16">
      <c r="A9341" s="3">
        <v>44075.862916666665</v>
      </c>
      <c r="B9341" s="4" t="str">
        <f>HYPERLINK("https://twitter.com/petrogustavo","@petrogustavo")</f>
        <v>@petrogustavo</v>
      </c>
      <c r="C9341" s="5" t="s">
        <v>16</v>
      </c>
      <c r="D9341" s="5" t="s">
        <v>8987</v>
      </c>
      <c r="E9341" s="6" t="str">
        <f>HYPERLINK("https://twitter.com/petrogustavo/status/1300813817174257670","1300813817174257670")</f>
        <v>1300813817174257670</v>
      </c>
      <c r="F9341" s="7" t="s">
        <v>32</v>
      </c>
      <c r="G9341" s="7">
        <v>3952589</v>
      </c>
      <c r="H9341" s="7">
        <v>2429</v>
      </c>
      <c r="I9341" s="7">
        <v>122</v>
      </c>
      <c r="J9341" s="7">
        <v>0</v>
      </c>
      <c r="K9341" s="7" t="s">
        <v>18</v>
      </c>
      <c r="L9341" s="8">
        <v>39987.315405092595</v>
      </c>
      <c r="M9341" s="9" t="s">
        <v>19</v>
      </c>
      <c r="N9341" s="9" t="s">
        <v>20</v>
      </c>
      <c r="O9341" s="6" t="str">
        <f>HYPERLINK("https://pbs.twimg.com/profile_images/962471262747529216/Uo8lOkRJ_normal.jpg","View")</f>
        <v>View</v>
      </c>
      <c r="P9341" s="7"/>
    </row>
    <row r="9342" spans="1:16">
      <c r="A9342" s="3">
        <v>44075.867835648147</v>
      </c>
      <c r="B9342" s="4" t="str">
        <f>HYPERLINK("https://twitter.com/petrogustavo","@petrogustavo")</f>
        <v>@petrogustavo</v>
      </c>
      <c r="C9342" s="5" t="s">
        <v>16</v>
      </c>
      <c r="D9342" s="5" t="s">
        <v>8988</v>
      </c>
      <c r="E9342" s="6" t="str">
        <f>HYPERLINK("https://twitter.com/petrogustavo/status/1300815600105787397","1300815600105787397")</f>
        <v>1300815600105787397</v>
      </c>
      <c r="F9342" s="7" t="s">
        <v>17</v>
      </c>
      <c r="G9342" s="7">
        <v>3952615</v>
      </c>
      <c r="H9342" s="7">
        <v>2429</v>
      </c>
      <c r="I9342" s="7">
        <v>125</v>
      </c>
      <c r="J9342" s="7">
        <v>342</v>
      </c>
      <c r="K9342" s="7" t="s">
        <v>18</v>
      </c>
      <c r="L9342" s="8">
        <v>39987.315405092595</v>
      </c>
      <c r="M9342" s="9" t="s">
        <v>19</v>
      </c>
      <c r="N9342" s="9" t="s">
        <v>20</v>
      </c>
      <c r="O9342" s="6" t="str">
        <f>HYPERLINK("https://pbs.twimg.com/profile_images/962471262747529216/Uo8lOkRJ_normal.jpg","View")</f>
        <v>View</v>
      </c>
      <c r="P9342" s="7"/>
    </row>
    <row r="9343" spans="1:16">
      <c r="A9343" s="3">
        <v>44076.07613425926</v>
      </c>
      <c r="B9343" s="4" t="str">
        <f>HYPERLINK("https://twitter.com/petrogustavo","@petrogustavo")</f>
        <v>@petrogustavo</v>
      </c>
      <c r="C9343" s="5" t="s">
        <v>16</v>
      </c>
      <c r="D9343" s="5" t="s">
        <v>8989</v>
      </c>
      <c r="E9343" s="6" t="str">
        <f>HYPERLINK("https://twitter.com/petrogustavo/status/1300891082344071171","1300891082344071171")</f>
        <v>1300891082344071171</v>
      </c>
      <c r="F9343" s="7" t="s">
        <v>32</v>
      </c>
      <c r="G9343" s="7">
        <v>3952867</v>
      </c>
      <c r="H9343" s="7">
        <v>2428</v>
      </c>
      <c r="I9343" s="7">
        <v>7570</v>
      </c>
      <c r="J9343" s="7">
        <v>0</v>
      </c>
      <c r="K9343" s="7" t="s">
        <v>18</v>
      </c>
      <c r="L9343" s="8">
        <v>39987.315405092595</v>
      </c>
      <c r="M9343" s="9" t="s">
        <v>19</v>
      </c>
      <c r="N9343" s="9" t="s">
        <v>20</v>
      </c>
      <c r="O9343" s="6" t="str">
        <f>HYPERLINK("https://pbs.twimg.com/profile_images/962471262747529216/Uo8lOkRJ_normal.jpg","View")</f>
        <v>View</v>
      </c>
      <c r="P9343" s="7"/>
    </row>
    <row r="9344" spans="1:16">
      <c r="A9344" s="3">
        <v>44076.122418981482</v>
      </c>
      <c r="B9344" s="4" t="str">
        <f>HYPERLINK("https://twitter.com/petrogustavo","@petrogustavo")</f>
        <v>@petrogustavo</v>
      </c>
      <c r="C9344" s="5" t="s">
        <v>16</v>
      </c>
      <c r="D9344" s="5" t="s">
        <v>8990</v>
      </c>
      <c r="E9344" s="6" t="str">
        <f>HYPERLINK("https://twitter.com/petrogustavo/status/1300907858742128648","1300907858742128648")</f>
        <v>1300907858742128648</v>
      </c>
      <c r="F9344" s="7" t="s">
        <v>17</v>
      </c>
      <c r="G9344" s="7">
        <v>3952914</v>
      </c>
      <c r="H9344" s="7">
        <v>2428</v>
      </c>
      <c r="I9344" s="7">
        <v>127</v>
      </c>
      <c r="J9344" s="7">
        <v>294</v>
      </c>
      <c r="K9344" s="7" t="s">
        <v>18</v>
      </c>
      <c r="L9344" s="8">
        <v>39987.315405092595</v>
      </c>
      <c r="M9344" s="9" t="s">
        <v>19</v>
      </c>
      <c r="N9344" s="9" t="s">
        <v>20</v>
      </c>
      <c r="O9344" s="6" t="str">
        <f>HYPERLINK("https://pbs.twimg.com/profile_images/962471262747529216/Uo8lOkRJ_normal.jpg","View")</f>
        <v>View</v>
      </c>
      <c r="P9344" s="7"/>
    </row>
    <row r="9345" spans="1:16">
      <c r="A9345" s="3">
        <v>44076.161539351851</v>
      </c>
      <c r="B9345" s="4" t="str">
        <f>HYPERLINK("https://twitter.com/petrogustavo","@petrogustavo")</f>
        <v>@petrogustavo</v>
      </c>
      <c r="C9345" s="5" t="s">
        <v>16</v>
      </c>
      <c r="D9345" s="5" t="s">
        <v>8991</v>
      </c>
      <c r="E9345" s="6" t="str">
        <f>HYPERLINK("https://twitter.com/petrogustavo/status/1300922033359015936","1300922033359015936")</f>
        <v>1300922033359015936</v>
      </c>
      <c r="F9345" s="7" t="s">
        <v>32</v>
      </c>
      <c r="G9345" s="7">
        <v>3952956</v>
      </c>
      <c r="H9345" s="7">
        <v>2428</v>
      </c>
      <c r="I9345" s="7">
        <v>5821</v>
      </c>
      <c r="J9345" s="7">
        <v>0</v>
      </c>
      <c r="K9345" s="7" t="s">
        <v>18</v>
      </c>
      <c r="L9345" s="8">
        <v>39987.315405092595</v>
      </c>
      <c r="M9345" s="9" t="s">
        <v>19</v>
      </c>
      <c r="N9345" s="9" t="s">
        <v>20</v>
      </c>
      <c r="O9345" s="6" t="str">
        <f>HYPERLINK("https://pbs.twimg.com/profile_images/962471262747529216/Uo8lOkRJ_normal.jpg","View")</f>
        <v>View</v>
      </c>
      <c r="P9345" s="7"/>
    </row>
    <row r="9346" spans="1:16">
      <c r="A9346" s="3">
        <v>44076.166747685187</v>
      </c>
      <c r="B9346" s="4" t="str">
        <f>HYPERLINK("https://twitter.com/petrogustavo","@petrogustavo")</f>
        <v>@petrogustavo</v>
      </c>
      <c r="C9346" s="5" t="s">
        <v>16</v>
      </c>
      <c r="D9346" s="5" t="s">
        <v>8992</v>
      </c>
      <c r="E9346" s="6" t="str">
        <f>HYPERLINK("https://twitter.com/petrogustavo/status/1300923919956836354","1300923919956836354")</f>
        <v>1300923919956836354</v>
      </c>
      <c r="F9346" s="7" t="s">
        <v>32</v>
      </c>
      <c r="G9346" s="7">
        <v>3952956</v>
      </c>
      <c r="H9346" s="7">
        <v>2428</v>
      </c>
      <c r="I9346" s="7">
        <v>168</v>
      </c>
      <c r="J9346" s="7">
        <v>362</v>
      </c>
      <c r="K9346" s="7" t="s">
        <v>18</v>
      </c>
      <c r="L9346" s="8">
        <v>39987.315405092595</v>
      </c>
      <c r="M9346" s="9" t="s">
        <v>19</v>
      </c>
      <c r="N9346" s="9" t="s">
        <v>20</v>
      </c>
      <c r="O9346" s="6" t="str">
        <f>HYPERLINK("https://pbs.twimg.com/profile_images/962471262747529216/Uo8lOkRJ_normal.jpg","View")</f>
        <v>View</v>
      </c>
      <c r="P9346" s="7"/>
    </row>
    <row r="9347" spans="1:16">
      <c r="A9347" s="3">
        <v>44076.188402777778</v>
      </c>
      <c r="B9347" s="4" t="str">
        <f>HYPERLINK("https://twitter.com/petrogustavo","@petrogustavo")</f>
        <v>@petrogustavo</v>
      </c>
      <c r="C9347" s="5" t="s">
        <v>16</v>
      </c>
      <c r="D9347" s="5" t="s">
        <v>8993</v>
      </c>
      <c r="E9347" s="6" t="str">
        <f>HYPERLINK("https://twitter.com/petrogustavo/status/1300931769181581317","1300931769181581317")</f>
        <v>1300931769181581317</v>
      </c>
      <c r="F9347" s="7" t="s">
        <v>21</v>
      </c>
      <c r="G9347" s="7">
        <v>3952971</v>
      </c>
      <c r="H9347" s="7">
        <v>2428</v>
      </c>
      <c r="I9347" s="7">
        <v>57</v>
      </c>
      <c r="J9347" s="7">
        <v>166</v>
      </c>
      <c r="K9347" s="7" t="s">
        <v>18</v>
      </c>
      <c r="L9347" s="8">
        <v>39987.315405092595</v>
      </c>
      <c r="M9347" s="9" t="s">
        <v>19</v>
      </c>
      <c r="N9347" s="9" t="s">
        <v>20</v>
      </c>
      <c r="O9347" s="6" t="str">
        <f>HYPERLINK("https://pbs.twimg.com/profile_images/962471262747529216/Uo8lOkRJ_normal.jpg","View")</f>
        <v>View</v>
      </c>
      <c r="P9347" s="7"/>
    </row>
    <row r="9348" spans="1:16">
      <c r="A9348" s="3">
        <v>44076.189143518517</v>
      </c>
      <c r="B9348" s="4" t="str">
        <f>HYPERLINK("https://twitter.com/petrogustavo","@petrogustavo")</f>
        <v>@petrogustavo</v>
      </c>
      <c r="C9348" s="5" t="s">
        <v>16</v>
      </c>
      <c r="D9348" s="5" t="s">
        <v>8994</v>
      </c>
      <c r="E9348" s="6" t="str">
        <f>HYPERLINK("https://twitter.com/petrogustavo/status/1300932036090359808","1300932036090359808")</f>
        <v>1300932036090359808</v>
      </c>
      <c r="F9348" s="7" t="s">
        <v>21</v>
      </c>
      <c r="G9348" s="7">
        <v>3952971</v>
      </c>
      <c r="H9348" s="7">
        <v>2428</v>
      </c>
      <c r="I9348" s="7">
        <v>32</v>
      </c>
      <c r="J9348" s="7">
        <v>96</v>
      </c>
      <c r="K9348" s="7" t="s">
        <v>18</v>
      </c>
      <c r="L9348" s="8">
        <v>39987.315405092595</v>
      </c>
      <c r="M9348" s="9" t="s">
        <v>19</v>
      </c>
      <c r="N9348" s="9" t="s">
        <v>20</v>
      </c>
      <c r="O9348" s="6" t="str">
        <f>HYPERLINK("https://pbs.twimg.com/profile_images/962471262747529216/Uo8lOkRJ_normal.jpg","View")</f>
        <v>View</v>
      </c>
      <c r="P9348" s="7"/>
    </row>
    <row r="9349" spans="1:16">
      <c r="A9349" s="3">
        <v>44076.282407407409</v>
      </c>
      <c r="B9349" s="4" t="str">
        <f>HYPERLINK("https://twitter.com/petrogustavo","@petrogustavo")</f>
        <v>@petrogustavo</v>
      </c>
      <c r="C9349" s="5" t="s">
        <v>16</v>
      </c>
      <c r="D9349" s="5" t="s">
        <v>8995</v>
      </c>
      <c r="E9349" s="6" t="str">
        <f>HYPERLINK("https://twitter.com/petrogustavo/status/1300965834723123200","1300965834723123200")</f>
        <v>1300965834723123200</v>
      </c>
      <c r="F9349" s="7" t="s">
        <v>32</v>
      </c>
      <c r="G9349" s="7">
        <v>3953072</v>
      </c>
      <c r="H9349" s="7">
        <v>2428</v>
      </c>
      <c r="I9349" s="7">
        <v>495</v>
      </c>
      <c r="J9349" s="7">
        <v>0</v>
      </c>
      <c r="K9349" s="7" t="s">
        <v>18</v>
      </c>
      <c r="L9349" s="8">
        <v>39987.315405092595</v>
      </c>
      <c r="M9349" s="9" t="s">
        <v>19</v>
      </c>
      <c r="N9349" s="9" t="s">
        <v>20</v>
      </c>
      <c r="O9349" s="6" t="str">
        <f>HYPERLINK("https://pbs.twimg.com/profile_images/962471262747529216/Uo8lOkRJ_normal.jpg","View")</f>
        <v>View</v>
      </c>
      <c r="P9349" s="7"/>
    </row>
    <row r="9350" spans="1:16">
      <c r="A9350" s="3">
        <v>44076.314918981487</v>
      </c>
      <c r="B9350" s="4" t="str">
        <f>HYPERLINK("https://twitter.com/petrogustavo","@petrogustavo")</f>
        <v>@petrogustavo</v>
      </c>
      <c r="C9350" s="5" t="s">
        <v>16</v>
      </c>
      <c r="D9350" s="5" t="s">
        <v>8996</v>
      </c>
      <c r="E9350" s="6" t="str">
        <f>HYPERLINK("https://twitter.com/petrogustavo/status/1300977618725081091","1300977618725081091")</f>
        <v>1300977618725081091</v>
      </c>
      <c r="F9350" s="7" t="s">
        <v>32</v>
      </c>
      <c r="G9350" s="7">
        <v>3953122</v>
      </c>
      <c r="H9350" s="7">
        <v>2428</v>
      </c>
      <c r="I9350" s="7">
        <v>296</v>
      </c>
      <c r="J9350" s="7">
        <v>0</v>
      </c>
      <c r="K9350" s="7" t="s">
        <v>18</v>
      </c>
      <c r="L9350" s="8">
        <v>39987.315405092595</v>
      </c>
      <c r="M9350" s="9" t="s">
        <v>19</v>
      </c>
      <c r="N9350" s="9" t="s">
        <v>20</v>
      </c>
      <c r="O9350" s="6" t="str">
        <f>HYPERLINK("https://pbs.twimg.com/profile_images/962471262747529216/Uo8lOkRJ_normal.jpg","View")</f>
        <v>View</v>
      </c>
      <c r="P9350" s="7"/>
    </row>
    <row r="9351" spans="1:16">
      <c r="A9351" s="3">
        <v>44076.314953703702</v>
      </c>
      <c r="B9351" s="4" t="str">
        <f>HYPERLINK("https://twitter.com/petrogustavo","@petrogustavo")</f>
        <v>@petrogustavo</v>
      </c>
      <c r="C9351" s="5" t="s">
        <v>16</v>
      </c>
      <c r="D9351" s="5" t="s">
        <v>8997</v>
      </c>
      <c r="E9351" s="6" t="str">
        <f>HYPERLINK("https://twitter.com/petrogustavo/status/1300977629777072131","1300977629777072131")</f>
        <v>1300977629777072131</v>
      </c>
      <c r="F9351" s="7" t="s">
        <v>32</v>
      </c>
      <c r="G9351" s="7">
        <v>3953122</v>
      </c>
      <c r="H9351" s="7">
        <v>2428</v>
      </c>
      <c r="I9351" s="7">
        <v>213</v>
      </c>
      <c r="J9351" s="7">
        <v>0</v>
      </c>
      <c r="K9351" s="7" t="s">
        <v>18</v>
      </c>
      <c r="L9351" s="8">
        <v>39987.315405092595</v>
      </c>
      <c r="M9351" s="9" t="s">
        <v>19</v>
      </c>
      <c r="N9351" s="9" t="s">
        <v>20</v>
      </c>
      <c r="O9351" s="6" t="str">
        <f>HYPERLINK("https://pbs.twimg.com/profile_images/962471262747529216/Uo8lOkRJ_normal.jpg","View")</f>
        <v>View</v>
      </c>
      <c r="P9351" s="7"/>
    </row>
    <row r="9352" spans="1:16">
      <c r="A9352" s="3">
        <v>44076.776203703703</v>
      </c>
      <c r="B9352" s="4" t="str">
        <f>HYPERLINK("https://twitter.com/petrogustavo","@petrogustavo")</f>
        <v>@petrogustavo</v>
      </c>
      <c r="C9352" s="5" t="s">
        <v>16</v>
      </c>
      <c r="D9352" s="5" t="s">
        <v>8998</v>
      </c>
      <c r="E9352" s="6" t="str">
        <f>HYPERLINK("https://twitter.com/petrogustavo/status/1301144782052511744","1301144782052511744")</f>
        <v>1301144782052511744</v>
      </c>
      <c r="F9352" s="7" t="s">
        <v>17</v>
      </c>
      <c r="G9352" s="7">
        <v>3953318</v>
      </c>
      <c r="H9352" s="7">
        <v>2428</v>
      </c>
      <c r="I9352" s="7">
        <v>225</v>
      </c>
      <c r="J9352" s="7">
        <v>0</v>
      </c>
      <c r="K9352" s="7" t="s">
        <v>18</v>
      </c>
      <c r="L9352" s="8">
        <v>39987.315405092595</v>
      </c>
      <c r="M9352" s="9" t="s">
        <v>19</v>
      </c>
      <c r="N9352" s="9" t="s">
        <v>20</v>
      </c>
      <c r="O9352" s="6" t="str">
        <f>HYPERLINK("https://pbs.twimg.com/profile_images/962471262747529216/Uo8lOkRJ_normal.jpg","View")</f>
        <v>View</v>
      </c>
      <c r="P9352" s="7"/>
    </row>
    <row r="9353" spans="1:16">
      <c r="A9353" s="3">
        <v>44076.781724537039</v>
      </c>
      <c r="B9353" s="4" t="str">
        <f>HYPERLINK("https://twitter.com/petrogustavo","@petrogustavo")</f>
        <v>@petrogustavo</v>
      </c>
      <c r="C9353" s="5" t="s">
        <v>16</v>
      </c>
      <c r="D9353" s="5" t="s">
        <v>8999</v>
      </c>
      <c r="E9353" s="6" t="str">
        <f>HYPERLINK("https://twitter.com/petrogustavo/status/1301146782639050753","1301146782639050753")</f>
        <v>1301146782639050753</v>
      </c>
      <c r="F9353" s="7" t="s">
        <v>17</v>
      </c>
      <c r="G9353" s="7">
        <v>3953318</v>
      </c>
      <c r="H9353" s="7">
        <v>2428</v>
      </c>
      <c r="I9353" s="7">
        <v>22</v>
      </c>
      <c r="J9353" s="7">
        <v>43</v>
      </c>
      <c r="K9353" s="7" t="s">
        <v>18</v>
      </c>
      <c r="L9353" s="8">
        <v>39987.315405092595</v>
      </c>
      <c r="M9353" s="9" t="s">
        <v>19</v>
      </c>
      <c r="N9353" s="9" t="s">
        <v>20</v>
      </c>
      <c r="O9353" s="6" t="str">
        <f>HYPERLINK("https://pbs.twimg.com/profile_images/962471262747529216/Uo8lOkRJ_normal.jpg","View")</f>
        <v>View</v>
      </c>
      <c r="P9353" s="7"/>
    </row>
    <row r="9354" spans="1:16">
      <c r="A9354" s="3">
        <v>44076.785925925928</v>
      </c>
      <c r="B9354" s="4" t="str">
        <f>HYPERLINK("https://twitter.com/petrogustavo","@petrogustavo")</f>
        <v>@petrogustavo</v>
      </c>
      <c r="C9354" s="5" t="s">
        <v>16</v>
      </c>
      <c r="D9354" s="5" t="s">
        <v>9000</v>
      </c>
      <c r="E9354" s="6" t="str">
        <f>HYPERLINK("https://twitter.com/petrogustavo/status/1301148305393684480","1301148305393684480")</f>
        <v>1301148305393684480</v>
      </c>
      <c r="F9354" s="7" t="s">
        <v>17</v>
      </c>
      <c r="G9354" s="7">
        <v>3953344</v>
      </c>
      <c r="H9354" s="7">
        <v>2429</v>
      </c>
      <c r="I9354" s="7">
        <v>280</v>
      </c>
      <c r="J9354" s="7">
        <v>543</v>
      </c>
      <c r="K9354" s="7" t="s">
        <v>18</v>
      </c>
      <c r="L9354" s="8">
        <v>39987.315405092595</v>
      </c>
      <c r="M9354" s="9" t="s">
        <v>19</v>
      </c>
      <c r="N9354" s="9" t="s">
        <v>20</v>
      </c>
      <c r="O9354" s="6" t="str">
        <f>HYPERLINK("https://pbs.twimg.com/profile_images/962471262747529216/Uo8lOkRJ_normal.jpg","View")</f>
        <v>View</v>
      </c>
      <c r="P9354" s="7"/>
    </row>
    <row r="9355" spans="1:16">
      <c r="A9355" s="3">
        <v>44076.788819444446</v>
      </c>
      <c r="B9355" s="4" t="str">
        <f>HYPERLINK("https://twitter.com/petrogustavo","@petrogustavo")</f>
        <v>@petrogustavo</v>
      </c>
      <c r="C9355" s="5" t="s">
        <v>16</v>
      </c>
      <c r="D9355" s="5" t="s">
        <v>9001</v>
      </c>
      <c r="E9355" s="6" t="str">
        <f>HYPERLINK("https://twitter.com/petrogustavo/status/1301149353206218759","1301149353206218759")</f>
        <v>1301149353206218759</v>
      </c>
      <c r="F9355" s="7" t="s">
        <v>17</v>
      </c>
      <c r="G9355" s="7">
        <v>3953344</v>
      </c>
      <c r="H9355" s="7">
        <v>2429</v>
      </c>
      <c r="I9355" s="7">
        <v>146</v>
      </c>
      <c r="J9355" s="7">
        <v>315</v>
      </c>
      <c r="K9355" s="7" t="s">
        <v>18</v>
      </c>
      <c r="L9355" s="8">
        <v>39987.315405092595</v>
      </c>
      <c r="M9355" s="9" t="s">
        <v>19</v>
      </c>
      <c r="N9355" s="9" t="s">
        <v>20</v>
      </c>
      <c r="O9355" s="6" t="str">
        <f>HYPERLINK("https://pbs.twimg.com/profile_images/962471262747529216/Uo8lOkRJ_normal.jpg","View")</f>
        <v>View</v>
      </c>
      <c r="P9355" s="7"/>
    </row>
    <row r="9356" spans="1:16">
      <c r="A9356" s="3">
        <v>44076.798680555556</v>
      </c>
      <c r="B9356" s="4" t="str">
        <f>HYPERLINK("https://twitter.com/petrogustavo","@petrogustavo")</f>
        <v>@petrogustavo</v>
      </c>
      <c r="C9356" s="5" t="s">
        <v>16</v>
      </c>
      <c r="D9356" s="5" t="s">
        <v>9002</v>
      </c>
      <c r="E9356" s="6" t="str">
        <f>HYPERLINK("https://twitter.com/petrogustavo/status/1301152924689719296","1301152924689719296")</f>
        <v>1301152924689719296</v>
      </c>
      <c r="F9356" s="7" t="s">
        <v>17</v>
      </c>
      <c r="G9356" s="7">
        <v>3953344</v>
      </c>
      <c r="H9356" s="7">
        <v>2429</v>
      </c>
      <c r="I9356" s="7">
        <v>62</v>
      </c>
      <c r="J9356" s="7">
        <v>120</v>
      </c>
      <c r="K9356" s="7" t="s">
        <v>18</v>
      </c>
      <c r="L9356" s="8">
        <v>39987.315405092595</v>
      </c>
      <c r="M9356" s="9" t="s">
        <v>19</v>
      </c>
      <c r="N9356" s="9" t="s">
        <v>20</v>
      </c>
      <c r="O9356" s="6" t="str">
        <f>HYPERLINK("https://pbs.twimg.com/profile_images/962471262747529216/Uo8lOkRJ_normal.jpg","View")</f>
        <v>View</v>
      </c>
      <c r="P9356" s="7"/>
    </row>
    <row r="9357" spans="1:16">
      <c r="A9357" s="3">
        <v>44076.806909722218</v>
      </c>
      <c r="B9357" s="4" t="str">
        <f>HYPERLINK("https://twitter.com/petrogustavo","@petrogustavo")</f>
        <v>@petrogustavo</v>
      </c>
      <c r="C9357" s="5" t="s">
        <v>16</v>
      </c>
      <c r="D9357" s="5" t="s">
        <v>9003</v>
      </c>
      <c r="E9357" s="6" t="str">
        <f>HYPERLINK("https://twitter.com/petrogustavo/status/1301155910191063040","1301155910191063040")</f>
        <v>1301155910191063040</v>
      </c>
      <c r="F9357" s="7" t="s">
        <v>17</v>
      </c>
      <c r="G9357" s="7">
        <v>3953371</v>
      </c>
      <c r="H9357" s="7">
        <v>2429</v>
      </c>
      <c r="I9357" s="7">
        <v>98</v>
      </c>
      <c r="J9357" s="7">
        <v>0</v>
      </c>
      <c r="K9357" s="7" t="s">
        <v>18</v>
      </c>
      <c r="L9357" s="8">
        <v>39987.315405092595</v>
      </c>
      <c r="M9357" s="9" t="s">
        <v>19</v>
      </c>
      <c r="N9357" s="9" t="s">
        <v>20</v>
      </c>
      <c r="O9357" s="6" t="str">
        <f>HYPERLINK("https://pbs.twimg.com/profile_images/962471262747529216/Uo8lOkRJ_normal.jpg","View")</f>
        <v>View</v>
      </c>
      <c r="P9357" s="7"/>
    </row>
    <row r="9358" spans="1:16">
      <c r="A9358" s="3">
        <v>44076.807152777779</v>
      </c>
      <c r="B9358" s="4" t="str">
        <f>HYPERLINK("https://twitter.com/petrogustavo","@petrogustavo")</f>
        <v>@petrogustavo</v>
      </c>
      <c r="C9358" s="5" t="s">
        <v>16</v>
      </c>
      <c r="D9358" s="5" t="s">
        <v>9004</v>
      </c>
      <c r="E9358" s="6" t="str">
        <f>HYPERLINK("https://twitter.com/petrogustavo/status/1301155995482193921","1301155995482193921")</f>
        <v>1301155995482193921</v>
      </c>
      <c r="F9358" s="7" t="s">
        <v>17</v>
      </c>
      <c r="G9358" s="7">
        <v>3953371</v>
      </c>
      <c r="H9358" s="7">
        <v>2429</v>
      </c>
      <c r="I9358" s="7">
        <v>172</v>
      </c>
      <c r="J9358" s="7">
        <v>0</v>
      </c>
      <c r="K9358" s="7" t="s">
        <v>18</v>
      </c>
      <c r="L9358" s="8">
        <v>39987.315405092595</v>
      </c>
      <c r="M9358" s="9" t="s">
        <v>19</v>
      </c>
      <c r="N9358" s="9" t="s">
        <v>20</v>
      </c>
      <c r="O9358" s="6" t="str">
        <f>HYPERLINK("https://pbs.twimg.com/profile_images/962471262747529216/Uo8lOkRJ_normal.jpg","View")</f>
        <v>View</v>
      </c>
      <c r="P9358" s="7"/>
    </row>
    <row r="9359" spans="1:16">
      <c r="A9359" s="3">
        <v>44076.807303240741</v>
      </c>
      <c r="B9359" s="4" t="str">
        <f>HYPERLINK("https://twitter.com/petrogustavo","@petrogustavo")</f>
        <v>@petrogustavo</v>
      </c>
      <c r="C9359" s="5" t="s">
        <v>16</v>
      </c>
      <c r="D9359" s="5" t="s">
        <v>9005</v>
      </c>
      <c r="E9359" s="6" t="str">
        <f>HYPERLINK("https://twitter.com/petrogustavo/status/1301156049093890058","1301156049093890058")</f>
        <v>1301156049093890058</v>
      </c>
      <c r="F9359" s="7" t="s">
        <v>17</v>
      </c>
      <c r="G9359" s="7">
        <v>3953371</v>
      </c>
      <c r="H9359" s="7">
        <v>2429</v>
      </c>
      <c r="I9359" s="7">
        <v>426</v>
      </c>
      <c r="J9359" s="7">
        <v>0</v>
      </c>
      <c r="K9359" s="7" t="s">
        <v>18</v>
      </c>
      <c r="L9359" s="8">
        <v>39987.315405092595</v>
      </c>
      <c r="M9359" s="9" t="s">
        <v>19</v>
      </c>
      <c r="N9359" s="9" t="s">
        <v>20</v>
      </c>
      <c r="O9359" s="6" t="str">
        <f>HYPERLINK("https://pbs.twimg.com/profile_images/962471262747529216/Uo8lOkRJ_normal.jpg","View")</f>
        <v>View</v>
      </c>
      <c r="P9359" s="7"/>
    </row>
    <row r="9360" spans="1:16">
      <c r="A9360" s="3">
        <v>44076.816342592589</v>
      </c>
      <c r="B9360" s="4" t="str">
        <f>HYPERLINK("https://twitter.com/petrogustavo","@petrogustavo")</f>
        <v>@petrogustavo</v>
      </c>
      <c r="C9360" s="5" t="s">
        <v>16</v>
      </c>
      <c r="D9360" s="5" t="s">
        <v>9006</v>
      </c>
      <c r="E9360" s="6" t="str">
        <f>HYPERLINK("https://twitter.com/petrogustavo/status/1301159325931536384","1301159325931536384")</f>
        <v>1301159325931536384</v>
      </c>
      <c r="F9360" s="7" t="s">
        <v>17</v>
      </c>
      <c r="G9360" s="7">
        <v>3953371</v>
      </c>
      <c r="H9360" s="7">
        <v>2429</v>
      </c>
      <c r="I9360" s="7">
        <v>84</v>
      </c>
      <c r="J9360" s="7">
        <v>232</v>
      </c>
      <c r="K9360" s="7" t="s">
        <v>18</v>
      </c>
      <c r="L9360" s="8">
        <v>39987.315405092595</v>
      </c>
      <c r="M9360" s="9" t="s">
        <v>19</v>
      </c>
      <c r="N9360" s="9" t="s">
        <v>20</v>
      </c>
      <c r="O9360" s="6" t="str">
        <f>HYPERLINK("https://pbs.twimg.com/profile_images/962471262747529216/Uo8lOkRJ_normal.jpg","View")</f>
        <v>View</v>
      </c>
      <c r="P9360" s="7"/>
    </row>
    <row r="9361" spans="1:16">
      <c r="A9361" s="3">
        <v>44076.832453703704</v>
      </c>
      <c r="B9361" s="4" t="str">
        <f>HYPERLINK("https://twitter.com/petrogustavo","@petrogustavo")</f>
        <v>@petrogustavo</v>
      </c>
      <c r="C9361" s="5" t="s">
        <v>16</v>
      </c>
      <c r="D9361" s="5" t="s">
        <v>9007</v>
      </c>
      <c r="E9361" s="6" t="str">
        <f>HYPERLINK("https://twitter.com/petrogustavo/status/1301165167049355264","1301165167049355264")</f>
        <v>1301165167049355264</v>
      </c>
      <c r="F9361" s="7" t="s">
        <v>32</v>
      </c>
      <c r="G9361" s="7">
        <v>3953395</v>
      </c>
      <c r="H9361" s="7">
        <v>2429</v>
      </c>
      <c r="I9361" s="7">
        <v>84</v>
      </c>
      <c r="J9361" s="7">
        <v>0</v>
      </c>
      <c r="K9361" s="7" t="s">
        <v>18</v>
      </c>
      <c r="L9361" s="8">
        <v>39987.315405092595</v>
      </c>
      <c r="M9361" s="9" t="s">
        <v>19</v>
      </c>
      <c r="N9361" s="9" t="s">
        <v>20</v>
      </c>
      <c r="O9361" s="6" t="str">
        <f>HYPERLINK("https://pbs.twimg.com/profile_images/962471262747529216/Uo8lOkRJ_normal.jpg","View")</f>
        <v>View</v>
      </c>
      <c r="P9361" s="7"/>
    </row>
    <row r="9362" spans="1:16">
      <c r="A9362" s="3">
        <v>44076.83258101852</v>
      </c>
      <c r="B9362" s="4" t="str">
        <f>HYPERLINK("https://twitter.com/petrogustavo","@petrogustavo")</f>
        <v>@petrogustavo</v>
      </c>
      <c r="C9362" s="5" t="s">
        <v>16</v>
      </c>
      <c r="D9362" s="5" t="s">
        <v>9008</v>
      </c>
      <c r="E9362" s="6" t="str">
        <f>HYPERLINK("https://twitter.com/petrogustavo/status/1301165212972834817","1301165212972834817")</f>
        <v>1301165212972834817</v>
      </c>
      <c r="F9362" s="7" t="s">
        <v>32</v>
      </c>
      <c r="G9362" s="7">
        <v>3953395</v>
      </c>
      <c r="H9362" s="7">
        <v>2429</v>
      </c>
      <c r="I9362" s="7">
        <v>197</v>
      </c>
      <c r="J9362" s="7">
        <v>0</v>
      </c>
      <c r="K9362" s="7" t="s">
        <v>18</v>
      </c>
      <c r="L9362" s="8">
        <v>39987.315405092595</v>
      </c>
      <c r="M9362" s="9" t="s">
        <v>19</v>
      </c>
      <c r="N9362" s="9" t="s">
        <v>20</v>
      </c>
      <c r="O9362" s="6" t="str">
        <f>HYPERLINK("https://pbs.twimg.com/profile_images/962471262747529216/Uo8lOkRJ_normal.jpg","View")</f>
        <v>View</v>
      </c>
      <c r="P9362" s="7"/>
    </row>
    <row r="9363" spans="1:16">
      <c r="A9363" s="3">
        <v>44076.832754629635</v>
      </c>
      <c r="B9363" s="4" t="str">
        <f>HYPERLINK("https://twitter.com/petrogustavo","@petrogustavo")</f>
        <v>@petrogustavo</v>
      </c>
      <c r="C9363" s="5" t="s">
        <v>16</v>
      </c>
      <c r="D9363" s="5" t="s">
        <v>9005</v>
      </c>
      <c r="E9363" s="6" t="str">
        <f>HYPERLINK("https://twitter.com/petrogustavo/status/1301165274482212866","1301165274482212866")</f>
        <v>1301165274482212866</v>
      </c>
      <c r="F9363" s="7" t="s">
        <v>32</v>
      </c>
      <c r="G9363" s="7">
        <v>3953395</v>
      </c>
      <c r="H9363" s="7">
        <v>2429</v>
      </c>
      <c r="I9363" s="7">
        <v>543</v>
      </c>
      <c r="J9363" s="7">
        <v>0</v>
      </c>
      <c r="K9363" s="7" t="s">
        <v>18</v>
      </c>
      <c r="L9363" s="8">
        <v>39987.315405092595</v>
      </c>
      <c r="M9363" s="9" t="s">
        <v>19</v>
      </c>
      <c r="N9363" s="9" t="s">
        <v>20</v>
      </c>
      <c r="O9363" s="6" t="str">
        <f>HYPERLINK("https://pbs.twimg.com/profile_images/962471262747529216/Uo8lOkRJ_normal.jpg","View")</f>
        <v>View</v>
      </c>
      <c r="P9363" s="7"/>
    </row>
    <row r="9364" spans="1:16">
      <c r="A9364" s="3">
        <v>44076.845416666663</v>
      </c>
      <c r="B9364" s="4" t="str">
        <f>HYPERLINK("https://twitter.com/petrogustavo","@petrogustavo")</f>
        <v>@petrogustavo</v>
      </c>
      <c r="C9364" s="5" t="s">
        <v>16</v>
      </c>
      <c r="D9364" s="5" t="s">
        <v>9009</v>
      </c>
      <c r="E9364" s="6" t="str">
        <f>HYPERLINK("https://twitter.com/petrogustavo/status/1301169860689432576","1301169860689432576")</f>
        <v>1301169860689432576</v>
      </c>
      <c r="F9364" s="7" t="s">
        <v>32</v>
      </c>
      <c r="G9364" s="7">
        <v>3953395</v>
      </c>
      <c r="H9364" s="7">
        <v>2429</v>
      </c>
      <c r="I9364" s="7">
        <v>16</v>
      </c>
      <c r="J9364" s="7">
        <v>37</v>
      </c>
      <c r="K9364" s="7" t="s">
        <v>18</v>
      </c>
      <c r="L9364" s="8">
        <v>39987.315405092595</v>
      </c>
      <c r="M9364" s="9" t="s">
        <v>19</v>
      </c>
      <c r="N9364" s="9" t="s">
        <v>20</v>
      </c>
      <c r="O9364" s="6" t="str">
        <f>HYPERLINK("https://pbs.twimg.com/profile_images/962471262747529216/Uo8lOkRJ_normal.jpg","View")</f>
        <v>View</v>
      </c>
      <c r="P9364" s="7"/>
    </row>
    <row r="9365" spans="1:16">
      <c r="A9365" s="3">
        <v>44076.845567129625</v>
      </c>
      <c r="B9365" s="4" t="str">
        <f>HYPERLINK("https://twitter.com/petrogustavo","@petrogustavo")</f>
        <v>@petrogustavo</v>
      </c>
      <c r="C9365" s="5" t="s">
        <v>16</v>
      </c>
      <c r="D9365" s="5" t="s">
        <v>9010</v>
      </c>
      <c r="E9365" s="6" t="str">
        <f>HYPERLINK("https://twitter.com/petrogustavo/status/1301169919111950336","1301169919111950336")</f>
        <v>1301169919111950336</v>
      </c>
      <c r="F9365" s="7" t="s">
        <v>32</v>
      </c>
      <c r="G9365" s="7">
        <v>3953395</v>
      </c>
      <c r="H9365" s="7">
        <v>2429</v>
      </c>
      <c r="I9365" s="7">
        <v>102</v>
      </c>
      <c r="J9365" s="7">
        <v>0</v>
      </c>
      <c r="K9365" s="7" t="s">
        <v>18</v>
      </c>
      <c r="L9365" s="8">
        <v>39987.315405092595</v>
      </c>
      <c r="M9365" s="9" t="s">
        <v>19</v>
      </c>
      <c r="N9365" s="9" t="s">
        <v>20</v>
      </c>
      <c r="O9365" s="6" t="str">
        <f>HYPERLINK("https://pbs.twimg.com/profile_images/962471262747529216/Uo8lOkRJ_normal.jpg","View")</f>
        <v>View</v>
      </c>
      <c r="P9365" s="7"/>
    </row>
    <row r="9366" spans="1:16">
      <c r="A9366" s="3">
        <v>44076.847384259258</v>
      </c>
      <c r="B9366" s="4" t="str">
        <f>HYPERLINK("https://twitter.com/petrogustavo","@petrogustavo")</f>
        <v>@petrogustavo</v>
      </c>
      <c r="C9366" s="5" t="s">
        <v>16</v>
      </c>
      <c r="D9366" s="5" t="s">
        <v>9011</v>
      </c>
      <c r="E9366" s="6" t="str">
        <f>HYPERLINK("https://twitter.com/petrogustavo/status/1301170574492925952","1301170574492925952")</f>
        <v>1301170574492925952</v>
      </c>
      <c r="F9366" s="7" t="s">
        <v>32</v>
      </c>
      <c r="G9366" s="7">
        <v>3953421</v>
      </c>
      <c r="H9366" s="7">
        <v>2429</v>
      </c>
      <c r="I9366" s="7">
        <v>381</v>
      </c>
      <c r="J9366" s="7">
        <v>575</v>
      </c>
      <c r="K9366" s="7" t="s">
        <v>18</v>
      </c>
      <c r="L9366" s="8">
        <v>39987.315405092595</v>
      </c>
      <c r="M9366" s="9" t="s">
        <v>19</v>
      </c>
      <c r="N9366" s="9" t="s">
        <v>20</v>
      </c>
      <c r="O9366" s="6" t="str">
        <f>HYPERLINK("https://pbs.twimg.com/profile_images/962471262747529216/Uo8lOkRJ_normal.jpg","View")</f>
        <v>View</v>
      </c>
      <c r="P9366" s="7"/>
    </row>
    <row r="9367" spans="1:16">
      <c r="A9367" s="3">
        <v>44076.866354166668</v>
      </c>
      <c r="B9367" s="4" t="str">
        <f>HYPERLINK("https://twitter.com/petrogustavo","@petrogustavo")</f>
        <v>@petrogustavo</v>
      </c>
      <c r="C9367" s="5" t="s">
        <v>16</v>
      </c>
      <c r="D9367" s="5" t="s">
        <v>9005</v>
      </c>
      <c r="E9367" s="6" t="str">
        <f>HYPERLINK("https://twitter.com/petrogustavo/status/1301177452102901762","1301177452102901762")</f>
        <v>1301177452102901762</v>
      </c>
      <c r="F9367" s="7" t="s">
        <v>32</v>
      </c>
      <c r="G9367" s="7">
        <v>3953421</v>
      </c>
      <c r="H9367" s="7">
        <v>2429</v>
      </c>
      <c r="I9367" s="7">
        <v>618</v>
      </c>
      <c r="J9367" s="7">
        <v>0</v>
      </c>
      <c r="K9367" s="7" t="s">
        <v>18</v>
      </c>
      <c r="L9367" s="8">
        <v>39987.315405092595</v>
      </c>
      <c r="M9367" s="9" t="s">
        <v>19</v>
      </c>
      <c r="N9367" s="9" t="s">
        <v>20</v>
      </c>
      <c r="O9367" s="6" t="str">
        <f>HYPERLINK("https://pbs.twimg.com/profile_images/962471262747529216/Uo8lOkRJ_normal.jpg","View")</f>
        <v>View</v>
      </c>
      <c r="P9367" s="7"/>
    </row>
    <row r="9368" spans="1:16">
      <c r="A9368" s="3">
        <v>44076.870416666672</v>
      </c>
      <c r="B9368" s="4" t="str">
        <f>HYPERLINK("https://twitter.com/petrogustavo","@petrogustavo")</f>
        <v>@petrogustavo</v>
      </c>
      <c r="C9368" s="5" t="s">
        <v>16</v>
      </c>
      <c r="D9368" s="5" t="s">
        <v>9005</v>
      </c>
      <c r="E9368" s="6" t="str">
        <f>HYPERLINK("https://twitter.com/petrogustavo/status/1301178921732509698","1301178921732509698")</f>
        <v>1301178921732509698</v>
      </c>
      <c r="F9368" s="7" t="s">
        <v>32</v>
      </c>
      <c r="G9368" s="7">
        <v>3953447</v>
      </c>
      <c r="H9368" s="7">
        <v>2429</v>
      </c>
      <c r="I9368" s="7">
        <v>677</v>
      </c>
      <c r="J9368" s="7">
        <v>0</v>
      </c>
      <c r="K9368" s="7" t="s">
        <v>18</v>
      </c>
      <c r="L9368" s="8">
        <v>39987.315405092595</v>
      </c>
      <c r="M9368" s="9" t="s">
        <v>19</v>
      </c>
      <c r="N9368" s="9" t="s">
        <v>20</v>
      </c>
      <c r="O9368" s="6" t="str">
        <f>HYPERLINK("https://pbs.twimg.com/profile_images/962471262747529216/Uo8lOkRJ_normal.jpg","View")</f>
        <v>View</v>
      </c>
      <c r="P9368" s="7"/>
    </row>
    <row r="9369" spans="1:16">
      <c r="A9369" s="3">
        <v>44076.928310185191</v>
      </c>
      <c r="B9369" s="4" t="str">
        <f>HYPERLINK("https://twitter.com/petrogustavo","@petrogustavo")</f>
        <v>@petrogustavo</v>
      </c>
      <c r="C9369" s="5" t="s">
        <v>16</v>
      </c>
      <c r="D9369" s="5" t="s">
        <v>9005</v>
      </c>
      <c r="E9369" s="6" t="str">
        <f>HYPERLINK("https://twitter.com/petrogustavo/status/1301199902081519618","1301199902081519618")</f>
        <v>1301199902081519618</v>
      </c>
      <c r="F9369" s="7" t="s">
        <v>17</v>
      </c>
      <c r="G9369" s="7">
        <v>3953501</v>
      </c>
      <c r="H9369" s="7">
        <v>2429</v>
      </c>
      <c r="I9369" s="7">
        <v>784</v>
      </c>
      <c r="J9369" s="7">
        <v>0</v>
      </c>
      <c r="K9369" s="7" t="s">
        <v>18</v>
      </c>
      <c r="L9369" s="8">
        <v>39987.315405092595</v>
      </c>
      <c r="M9369" s="9" t="s">
        <v>19</v>
      </c>
      <c r="N9369" s="9" t="s">
        <v>20</v>
      </c>
      <c r="O9369" s="6" t="str">
        <f>HYPERLINK("https://pbs.twimg.com/profile_images/962471262747529216/Uo8lOkRJ_normal.jpg","View")</f>
        <v>View</v>
      </c>
      <c r="P9369" s="7"/>
    </row>
    <row r="9370" spans="1:16">
      <c r="A9370" s="3">
        <v>44077.203622685185</v>
      </c>
      <c r="B9370" s="4" t="str">
        <f>HYPERLINK("https://twitter.com/petrogustavo","@petrogustavo")</f>
        <v>@petrogustavo</v>
      </c>
      <c r="C9370" s="5" t="s">
        <v>16</v>
      </c>
      <c r="D9370" s="5" t="s">
        <v>9012</v>
      </c>
      <c r="E9370" s="6" t="str">
        <f>HYPERLINK("https://twitter.com/petrogustavo/status/1301299671076397057","1301299671076397057")</f>
        <v>1301299671076397057</v>
      </c>
      <c r="F9370" s="7" t="s">
        <v>32</v>
      </c>
      <c r="G9370" s="7">
        <v>3953781</v>
      </c>
      <c r="H9370" s="7">
        <v>2430</v>
      </c>
      <c r="I9370" s="7">
        <v>210</v>
      </c>
      <c r="J9370" s="7">
        <v>519</v>
      </c>
      <c r="K9370" s="7" t="s">
        <v>18</v>
      </c>
      <c r="L9370" s="8">
        <v>39987.315405092595</v>
      </c>
      <c r="M9370" s="9" t="s">
        <v>19</v>
      </c>
      <c r="N9370" s="9" t="s">
        <v>20</v>
      </c>
      <c r="O9370" s="6" t="str">
        <f>HYPERLINK("https://pbs.twimg.com/profile_images/962471262747529216/Uo8lOkRJ_normal.jpg","View")</f>
        <v>View</v>
      </c>
      <c r="P9370" s="7"/>
    </row>
    <row r="9371" spans="1:16">
      <c r="A9371" s="3">
        <v>44077.238599537042</v>
      </c>
      <c r="B9371" s="4" t="str">
        <f>HYPERLINK("https://twitter.com/petrogustavo","@petrogustavo")</f>
        <v>@petrogustavo</v>
      </c>
      <c r="C9371" s="5" t="s">
        <v>16</v>
      </c>
      <c r="D9371" s="5" t="s">
        <v>9013</v>
      </c>
      <c r="E9371" s="6" t="str">
        <f>HYPERLINK("https://twitter.com/petrogustavo/status/1301312346401406977","1301312346401406977")</f>
        <v>1301312346401406977</v>
      </c>
      <c r="F9371" s="7" t="s">
        <v>32</v>
      </c>
      <c r="G9371" s="7">
        <v>3953800</v>
      </c>
      <c r="H9371" s="7">
        <v>2430</v>
      </c>
      <c r="I9371" s="7">
        <v>38</v>
      </c>
      <c r="J9371" s="7">
        <v>0</v>
      </c>
      <c r="K9371" s="7" t="s">
        <v>18</v>
      </c>
      <c r="L9371" s="8">
        <v>39987.315405092595</v>
      </c>
      <c r="M9371" s="9" t="s">
        <v>19</v>
      </c>
      <c r="N9371" s="9" t="s">
        <v>20</v>
      </c>
      <c r="O9371" s="6" t="str">
        <f>HYPERLINK("https://pbs.twimg.com/profile_images/962471262747529216/Uo8lOkRJ_normal.jpg","View")</f>
        <v>View</v>
      </c>
      <c r="P9371" s="7"/>
    </row>
    <row r="9372" spans="1:16">
      <c r="A9372" s="3">
        <v>44077.250613425931</v>
      </c>
      <c r="B9372" s="4" t="str">
        <f>HYPERLINK("https://twitter.com/petrogustavo","@petrogustavo")</f>
        <v>@petrogustavo</v>
      </c>
      <c r="C9372" s="5" t="s">
        <v>16</v>
      </c>
      <c r="D9372" s="5" t="s">
        <v>9014</v>
      </c>
      <c r="E9372" s="6" t="str">
        <f>HYPERLINK("https://twitter.com/petrogustavo/status/1301316702932733958","1301316702932733958")</f>
        <v>1301316702932733958</v>
      </c>
      <c r="F9372" s="7" t="s">
        <v>32</v>
      </c>
      <c r="G9372" s="7">
        <v>3953834</v>
      </c>
      <c r="H9372" s="7">
        <v>2430</v>
      </c>
      <c r="I9372" s="7">
        <v>478</v>
      </c>
      <c r="J9372" s="7">
        <v>1074</v>
      </c>
      <c r="K9372" s="7" t="s">
        <v>18</v>
      </c>
      <c r="L9372" s="8">
        <v>39987.315405092595</v>
      </c>
      <c r="M9372" s="9" t="s">
        <v>19</v>
      </c>
      <c r="N9372" s="9" t="s">
        <v>20</v>
      </c>
      <c r="O9372" s="6" t="str">
        <f>HYPERLINK("https://pbs.twimg.com/profile_images/962471262747529216/Uo8lOkRJ_normal.jpg","View")</f>
        <v>View</v>
      </c>
      <c r="P9372" s="7"/>
    </row>
    <row r="9373" spans="1:16">
      <c r="A9373" s="3">
        <v>44077.418530092589</v>
      </c>
      <c r="B9373" s="4" t="str">
        <f>HYPERLINK("https://twitter.com/petrogustavo","@petrogustavo")</f>
        <v>@petrogustavo</v>
      </c>
      <c r="C9373" s="5" t="s">
        <v>16</v>
      </c>
      <c r="D9373" s="5" t="s">
        <v>9015</v>
      </c>
      <c r="E9373" s="6" t="str">
        <f>HYPERLINK("https://twitter.com/petrogustavo/status/1301377553597333504","1301377553597333504")</f>
        <v>1301377553597333504</v>
      </c>
      <c r="F9373" s="7" t="s">
        <v>17</v>
      </c>
      <c r="G9373" s="7">
        <v>3954014</v>
      </c>
      <c r="H9373" s="7">
        <v>2430</v>
      </c>
      <c r="I9373" s="7">
        <v>272</v>
      </c>
      <c r="J9373" s="7">
        <v>1240</v>
      </c>
      <c r="K9373" s="7" t="s">
        <v>18</v>
      </c>
      <c r="L9373" s="8">
        <v>39987.315405092595</v>
      </c>
      <c r="M9373" s="9" t="s">
        <v>19</v>
      </c>
      <c r="N9373" s="9" t="s">
        <v>20</v>
      </c>
      <c r="O9373" s="6" t="str">
        <f>HYPERLINK("https://pbs.twimg.com/profile_images/962471262747529216/Uo8lOkRJ_normal.jpg","View")</f>
        <v>View</v>
      </c>
      <c r="P9373" s="7"/>
    </row>
    <row r="9374" spans="1:16">
      <c r="A9374" s="3">
        <v>44077.791712962964</v>
      </c>
      <c r="B9374" s="4" t="str">
        <f>HYPERLINK("https://twitter.com/petrogustavo","@petrogustavo")</f>
        <v>@petrogustavo</v>
      </c>
      <c r="C9374" s="5" t="s">
        <v>16</v>
      </c>
      <c r="D9374" s="5" t="s">
        <v>9016</v>
      </c>
      <c r="E9374" s="6" t="str">
        <f>HYPERLINK("https://twitter.com/petrogustavo/status/1301512790021210112","1301512790021210112")</f>
        <v>1301512790021210112</v>
      </c>
      <c r="F9374" s="7" t="s">
        <v>17</v>
      </c>
      <c r="G9374" s="7">
        <v>3954120</v>
      </c>
      <c r="H9374" s="7">
        <v>2430</v>
      </c>
      <c r="I9374" s="7">
        <v>57</v>
      </c>
      <c r="J9374" s="7">
        <v>240</v>
      </c>
      <c r="K9374" s="7" t="s">
        <v>18</v>
      </c>
      <c r="L9374" s="8">
        <v>39987.315405092595</v>
      </c>
      <c r="M9374" s="9" t="s">
        <v>19</v>
      </c>
      <c r="N9374" s="9" t="s">
        <v>20</v>
      </c>
      <c r="O9374" s="6" t="str">
        <f>HYPERLINK("https://pbs.twimg.com/profile_images/962471262747529216/Uo8lOkRJ_normal.jpg","View")</f>
        <v>View</v>
      </c>
      <c r="P9374" s="7"/>
    </row>
    <row r="9375" spans="1:16">
      <c r="A9375" s="3">
        <v>44077.801574074074</v>
      </c>
      <c r="B9375" s="4" t="str">
        <f>HYPERLINK("https://twitter.com/petrogustavo","@petrogustavo")</f>
        <v>@petrogustavo</v>
      </c>
      <c r="C9375" s="5" t="s">
        <v>16</v>
      </c>
      <c r="D9375" s="5" t="s">
        <v>9017</v>
      </c>
      <c r="E9375" s="6" t="str">
        <f>HYPERLINK("https://twitter.com/petrogustavo/status/1301516364218273799","1301516364218273799")</f>
        <v>1301516364218273799</v>
      </c>
      <c r="F9375" s="7" t="s">
        <v>17</v>
      </c>
      <c r="G9375" s="7">
        <v>3954120</v>
      </c>
      <c r="H9375" s="7">
        <v>2430</v>
      </c>
      <c r="I9375" s="7">
        <v>54</v>
      </c>
      <c r="J9375" s="7">
        <v>167</v>
      </c>
      <c r="K9375" s="7" t="s">
        <v>18</v>
      </c>
      <c r="L9375" s="8">
        <v>39987.315405092595</v>
      </c>
      <c r="M9375" s="9" t="s">
        <v>19</v>
      </c>
      <c r="N9375" s="9" t="s">
        <v>20</v>
      </c>
      <c r="O9375" s="6" t="str">
        <f>HYPERLINK("https://pbs.twimg.com/profile_images/962471262747529216/Uo8lOkRJ_normal.jpg","View")</f>
        <v>View</v>
      </c>
      <c r="P9375" s="7"/>
    </row>
    <row r="9376" spans="1:16">
      <c r="A9376" s="3">
        <v>44077.802152777775</v>
      </c>
      <c r="B9376" s="4" t="str">
        <f>HYPERLINK("https://twitter.com/petrogustavo","@petrogustavo")</f>
        <v>@petrogustavo</v>
      </c>
      <c r="C9376" s="5" t="s">
        <v>16</v>
      </c>
      <c r="D9376" s="5" t="s">
        <v>9018</v>
      </c>
      <c r="E9376" s="6" t="str">
        <f>HYPERLINK("https://twitter.com/petrogustavo/status/1301516571333013504","1301516571333013504")</f>
        <v>1301516571333013504</v>
      </c>
      <c r="F9376" s="7" t="s">
        <v>17</v>
      </c>
      <c r="G9376" s="7">
        <v>3954120</v>
      </c>
      <c r="H9376" s="7">
        <v>2430</v>
      </c>
      <c r="I9376" s="7">
        <v>32</v>
      </c>
      <c r="J9376" s="7">
        <v>0</v>
      </c>
      <c r="K9376" s="7" t="s">
        <v>18</v>
      </c>
      <c r="L9376" s="8">
        <v>39987.315405092595</v>
      </c>
      <c r="M9376" s="9" t="s">
        <v>19</v>
      </c>
      <c r="N9376" s="9" t="s">
        <v>20</v>
      </c>
      <c r="O9376" s="6" t="str">
        <f>HYPERLINK("https://pbs.twimg.com/profile_images/962471262747529216/Uo8lOkRJ_normal.jpg","View")</f>
        <v>View</v>
      </c>
      <c r="P9376" s="7"/>
    </row>
    <row r="9377" spans="1:16">
      <c r="A9377" s="3">
        <v>44077.804201388892</v>
      </c>
      <c r="B9377" s="4" t="str">
        <f>HYPERLINK("https://twitter.com/petrogustavo","@petrogustavo")</f>
        <v>@petrogustavo</v>
      </c>
      <c r="C9377" s="5" t="s">
        <v>16</v>
      </c>
      <c r="D9377" s="5" t="s">
        <v>9019</v>
      </c>
      <c r="E9377" s="6" t="str">
        <f>HYPERLINK("https://twitter.com/petrogustavo/status/1301517314555346947","1301517314555346947")</f>
        <v>1301517314555346947</v>
      </c>
      <c r="F9377" s="7" t="s">
        <v>17</v>
      </c>
      <c r="G9377" s="7">
        <v>3954145</v>
      </c>
      <c r="H9377" s="7">
        <v>2430</v>
      </c>
      <c r="I9377" s="7">
        <v>83</v>
      </c>
      <c r="J9377" s="7">
        <v>191</v>
      </c>
      <c r="K9377" s="7" t="s">
        <v>18</v>
      </c>
      <c r="L9377" s="8">
        <v>39987.315405092595</v>
      </c>
      <c r="M9377" s="9" t="s">
        <v>19</v>
      </c>
      <c r="N9377" s="9" t="s">
        <v>20</v>
      </c>
      <c r="O9377" s="6" t="str">
        <f>HYPERLINK("https://pbs.twimg.com/profile_images/962471262747529216/Uo8lOkRJ_normal.jpg","View")</f>
        <v>View</v>
      </c>
      <c r="P9377" s="7"/>
    </row>
    <row r="9378" spans="1:16">
      <c r="A9378" s="3">
        <v>44078.08865740741</v>
      </c>
      <c r="B9378" s="4" t="str">
        <f>HYPERLINK("https://twitter.com/petrogustavo","@petrogustavo")</f>
        <v>@petrogustavo</v>
      </c>
      <c r="C9378" s="5" t="s">
        <v>16</v>
      </c>
      <c r="D9378" s="5" t="s">
        <v>9020</v>
      </c>
      <c r="E9378" s="6" t="str">
        <f>HYPERLINK("https://twitter.com/petrogustavo/status/1301620398405148676","1301620398405148676")</f>
        <v>1301620398405148676</v>
      </c>
      <c r="F9378" s="7" t="s">
        <v>17</v>
      </c>
      <c r="G9378" s="7">
        <v>3954483</v>
      </c>
      <c r="H9378" s="7">
        <v>2430</v>
      </c>
      <c r="I9378" s="7">
        <v>126</v>
      </c>
      <c r="J9378" s="7">
        <v>323</v>
      </c>
      <c r="K9378" s="7" t="s">
        <v>18</v>
      </c>
      <c r="L9378" s="8">
        <v>39987.315405092595</v>
      </c>
      <c r="M9378" s="9" t="s">
        <v>19</v>
      </c>
      <c r="N9378" s="9" t="s">
        <v>20</v>
      </c>
      <c r="O9378" s="6" t="str">
        <f>HYPERLINK("https://pbs.twimg.com/profile_images/962471262747529216/Uo8lOkRJ_normal.jpg","View")</f>
        <v>View</v>
      </c>
      <c r="P9378" s="7"/>
    </row>
    <row r="9379" spans="1:16">
      <c r="A9379" s="3">
        <v>44078.151851851857</v>
      </c>
      <c r="B9379" s="4" t="str">
        <f>HYPERLINK("https://twitter.com/petrogustavo","@petrogustavo")</f>
        <v>@petrogustavo</v>
      </c>
      <c r="C9379" s="5" t="s">
        <v>16</v>
      </c>
      <c r="D9379" s="5" t="s">
        <v>9021</v>
      </c>
      <c r="E9379" s="6" t="str">
        <f>HYPERLINK("https://twitter.com/petrogustavo/status/1301643300236075009","1301643300236075009")</f>
        <v>1301643300236075009</v>
      </c>
      <c r="F9379" s="7" t="s">
        <v>32</v>
      </c>
      <c r="G9379" s="7">
        <v>3954512</v>
      </c>
      <c r="H9379" s="7">
        <v>2430</v>
      </c>
      <c r="I9379" s="7">
        <v>101</v>
      </c>
      <c r="J9379" s="7">
        <v>178</v>
      </c>
      <c r="K9379" s="7" t="s">
        <v>18</v>
      </c>
      <c r="L9379" s="8">
        <v>39987.315405092595</v>
      </c>
      <c r="M9379" s="9" t="s">
        <v>19</v>
      </c>
      <c r="N9379" s="9" t="s">
        <v>20</v>
      </c>
      <c r="O9379" s="6" t="str">
        <f>HYPERLINK("https://pbs.twimg.com/profile_images/962471262747529216/Uo8lOkRJ_normal.jpg","View")</f>
        <v>View</v>
      </c>
      <c r="P9379" s="7"/>
    </row>
    <row r="9380" spans="1:16">
      <c r="A9380" s="3">
        <v>44078.746111111112</v>
      </c>
      <c r="B9380" s="4" t="str">
        <f>HYPERLINK("https://twitter.com/petrogustavo","@petrogustavo")</f>
        <v>@petrogustavo</v>
      </c>
      <c r="C9380" s="5" t="s">
        <v>16</v>
      </c>
      <c r="D9380" s="5" t="s">
        <v>9022</v>
      </c>
      <c r="E9380" s="6" t="str">
        <f>HYPERLINK("https://twitter.com/petrogustavo/status/1301858651158839296","1301858651158839296")</f>
        <v>1301858651158839296</v>
      </c>
      <c r="F9380" s="7" t="s">
        <v>17</v>
      </c>
      <c r="G9380" s="7">
        <v>3954800</v>
      </c>
      <c r="H9380" s="7">
        <v>2429</v>
      </c>
      <c r="I9380" s="7">
        <v>618</v>
      </c>
      <c r="J9380" s="7">
        <v>1781</v>
      </c>
      <c r="K9380" s="7" t="s">
        <v>18</v>
      </c>
      <c r="L9380" s="8">
        <v>39987.315405092595</v>
      </c>
      <c r="M9380" s="9" t="s">
        <v>19</v>
      </c>
      <c r="N9380" s="9" t="s">
        <v>20</v>
      </c>
      <c r="O9380" s="6" t="str">
        <f>HYPERLINK("https://pbs.twimg.com/profile_images/962471262747529216/Uo8lOkRJ_normal.jpg","View")</f>
        <v>View</v>
      </c>
      <c r="P9380" s="7"/>
    </row>
    <row r="9381" spans="1:16">
      <c r="A9381" s="3">
        <v>44078.749849537038</v>
      </c>
      <c r="B9381" s="4" t="str">
        <f>HYPERLINK("https://twitter.com/petrogustavo","@petrogustavo")</f>
        <v>@petrogustavo</v>
      </c>
      <c r="C9381" s="5" t="s">
        <v>16</v>
      </c>
      <c r="D9381" s="5" t="s">
        <v>9023</v>
      </c>
      <c r="E9381" s="6" t="str">
        <f>HYPERLINK("https://twitter.com/petrogustavo/status/1301860008116793344","1301860008116793344")</f>
        <v>1301860008116793344</v>
      </c>
      <c r="F9381" s="7" t="s">
        <v>17</v>
      </c>
      <c r="G9381" s="7">
        <v>3954800</v>
      </c>
      <c r="H9381" s="7">
        <v>2429</v>
      </c>
      <c r="I9381" s="7">
        <v>113</v>
      </c>
      <c r="J9381" s="7">
        <v>330</v>
      </c>
      <c r="K9381" s="7" t="s">
        <v>18</v>
      </c>
      <c r="L9381" s="8">
        <v>39987.315405092595</v>
      </c>
      <c r="M9381" s="9" t="s">
        <v>19</v>
      </c>
      <c r="N9381" s="9" t="s">
        <v>20</v>
      </c>
      <c r="O9381" s="6" t="str">
        <f>HYPERLINK("https://pbs.twimg.com/profile_images/962471262747529216/Uo8lOkRJ_normal.jpg","View")</f>
        <v>View</v>
      </c>
      <c r="P9381" s="7"/>
    </row>
    <row r="9382" spans="1:16">
      <c r="A9382" s="3">
        <v>44078.751597222217</v>
      </c>
      <c r="B9382" s="4" t="str">
        <f>HYPERLINK("https://twitter.com/petrogustavo","@petrogustavo")</f>
        <v>@petrogustavo</v>
      </c>
      <c r="C9382" s="5" t="s">
        <v>16</v>
      </c>
      <c r="D9382" s="5" t="s">
        <v>9024</v>
      </c>
      <c r="E9382" s="6" t="str">
        <f>HYPERLINK("https://twitter.com/petrogustavo/status/1301860638889857024","1301860638889857024")</f>
        <v>1301860638889857024</v>
      </c>
      <c r="F9382" s="7" t="s">
        <v>17</v>
      </c>
      <c r="G9382" s="7">
        <v>3954800</v>
      </c>
      <c r="H9382" s="7">
        <v>2429</v>
      </c>
      <c r="I9382" s="7">
        <v>75</v>
      </c>
      <c r="J9382" s="7">
        <v>259</v>
      </c>
      <c r="K9382" s="7" t="s">
        <v>18</v>
      </c>
      <c r="L9382" s="8">
        <v>39987.315405092595</v>
      </c>
      <c r="M9382" s="9" t="s">
        <v>19</v>
      </c>
      <c r="N9382" s="9" t="s">
        <v>20</v>
      </c>
      <c r="O9382" s="6" t="str">
        <f>HYPERLINK("https://pbs.twimg.com/profile_images/962471262747529216/Uo8lOkRJ_normal.jpg","View")</f>
        <v>View</v>
      </c>
      <c r="P9382" s="7"/>
    </row>
    <row r="9383" spans="1:16">
      <c r="A9383" s="3">
        <v>44078.753125000003</v>
      </c>
      <c r="B9383" s="4" t="str">
        <f>HYPERLINK("https://twitter.com/petrogustavo","@petrogustavo")</f>
        <v>@petrogustavo</v>
      </c>
      <c r="C9383" s="5" t="s">
        <v>16</v>
      </c>
      <c r="D9383" s="5" t="s">
        <v>9025</v>
      </c>
      <c r="E9383" s="6" t="str">
        <f>HYPERLINK("https://twitter.com/petrogustavo/status/1301861194224013313","1301861194224013313")</f>
        <v>1301861194224013313</v>
      </c>
      <c r="F9383" s="7" t="s">
        <v>17</v>
      </c>
      <c r="G9383" s="7">
        <v>3954800</v>
      </c>
      <c r="H9383" s="7">
        <v>2429</v>
      </c>
      <c r="I9383" s="7">
        <v>194</v>
      </c>
      <c r="J9383" s="7">
        <v>468</v>
      </c>
      <c r="K9383" s="7" t="s">
        <v>18</v>
      </c>
      <c r="L9383" s="8">
        <v>39987.315405092595</v>
      </c>
      <c r="M9383" s="9" t="s">
        <v>19</v>
      </c>
      <c r="N9383" s="9" t="s">
        <v>20</v>
      </c>
      <c r="O9383" s="6" t="str">
        <f>HYPERLINK("https://pbs.twimg.com/profile_images/962471262747529216/Uo8lOkRJ_normal.jpg","View")</f>
        <v>View</v>
      </c>
      <c r="P9383" s="7"/>
    </row>
    <row r="9384" spans="1:16">
      <c r="A9384" s="3">
        <v>44078.76116898148</v>
      </c>
      <c r="B9384" s="4" t="str">
        <f>HYPERLINK("https://twitter.com/petrogustavo","@petrogustavo")</f>
        <v>@petrogustavo</v>
      </c>
      <c r="C9384" s="5" t="s">
        <v>16</v>
      </c>
      <c r="D9384" s="5" t="s">
        <v>9026</v>
      </c>
      <c r="E9384" s="6" t="str">
        <f>HYPERLINK("https://twitter.com/petrogustavo/status/1301864109395382272","1301864109395382272")</f>
        <v>1301864109395382272</v>
      </c>
      <c r="F9384" s="7" t="s">
        <v>17</v>
      </c>
      <c r="G9384" s="7">
        <v>3954800</v>
      </c>
      <c r="H9384" s="7">
        <v>2429</v>
      </c>
      <c r="I9384" s="7">
        <v>18</v>
      </c>
      <c r="J9384" s="7">
        <v>35</v>
      </c>
      <c r="K9384" s="7" t="s">
        <v>18</v>
      </c>
      <c r="L9384" s="8">
        <v>39987.315405092595</v>
      </c>
      <c r="M9384" s="9" t="s">
        <v>19</v>
      </c>
      <c r="N9384" s="9" t="s">
        <v>20</v>
      </c>
      <c r="O9384" s="6" t="str">
        <f>HYPERLINK("https://pbs.twimg.com/profile_images/962471262747529216/Uo8lOkRJ_normal.jpg","View")</f>
        <v>View</v>
      </c>
      <c r="P9384" s="7"/>
    </row>
    <row r="9385" spans="1:16">
      <c r="A9385" s="3">
        <v>44078.762013888889</v>
      </c>
      <c r="B9385" s="4" t="str">
        <f>HYPERLINK("https://twitter.com/petrogustavo","@petrogustavo")</f>
        <v>@petrogustavo</v>
      </c>
      <c r="C9385" s="5" t="s">
        <v>16</v>
      </c>
      <c r="D9385" s="5" t="s">
        <v>9027</v>
      </c>
      <c r="E9385" s="6" t="str">
        <f>HYPERLINK("https://twitter.com/petrogustavo/status/1301864414627454977","1301864414627454977")</f>
        <v>1301864414627454977</v>
      </c>
      <c r="F9385" s="7" t="s">
        <v>17</v>
      </c>
      <c r="G9385" s="7">
        <v>3954800</v>
      </c>
      <c r="H9385" s="7">
        <v>2429</v>
      </c>
      <c r="I9385" s="7">
        <v>4</v>
      </c>
      <c r="J9385" s="7">
        <v>19</v>
      </c>
      <c r="K9385" s="7" t="s">
        <v>18</v>
      </c>
      <c r="L9385" s="8">
        <v>39987.315405092595</v>
      </c>
      <c r="M9385" s="9" t="s">
        <v>19</v>
      </c>
      <c r="N9385" s="9" t="s">
        <v>20</v>
      </c>
      <c r="O9385" s="6" t="str">
        <f>HYPERLINK("https://pbs.twimg.com/profile_images/962471262747529216/Uo8lOkRJ_normal.jpg","View")</f>
        <v>View</v>
      </c>
      <c r="P9385" s="7"/>
    </row>
    <row r="9386" spans="1:16">
      <c r="A9386" s="3">
        <v>44078.763738425929</v>
      </c>
      <c r="B9386" s="4" t="str">
        <f>HYPERLINK("https://twitter.com/petrogustavo","@petrogustavo")</f>
        <v>@petrogustavo</v>
      </c>
      <c r="C9386" s="5" t="s">
        <v>16</v>
      </c>
      <c r="D9386" s="5" t="s">
        <v>9028</v>
      </c>
      <c r="E9386" s="6" t="str">
        <f>HYPERLINK("https://twitter.com/petrogustavo/status/1301865038878212096","1301865038878212096")</f>
        <v>1301865038878212096</v>
      </c>
      <c r="F9386" s="7" t="s">
        <v>17</v>
      </c>
      <c r="G9386" s="7">
        <v>3954822</v>
      </c>
      <c r="H9386" s="7">
        <v>2429</v>
      </c>
      <c r="I9386" s="7">
        <v>154</v>
      </c>
      <c r="J9386" s="7">
        <v>359</v>
      </c>
      <c r="K9386" s="7" t="s">
        <v>18</v>
      </c>
      <c r="L9386" s="8">
        <v>39987.315405092595</v>
      </c>
      <c r="M9386" s="9" t="s">
        <v>19</v>
      </c>
      <c r="N9386" s="9" t="s">
        <v>20</v>
      </c>
      <c r="O9386" s="6" t="str">
        <f>HYPERLINK("https://pbs.twimg.com/profile_images/962471262747529216/Uo8lOkRJ_normal.jpg","View")</f>
        <v>View</v>
      </c>
      <c r="P9386" s="7"/>
    </row>
    <row r="9387" spans="1:16">
      <c r="A9387" s="3">
        <v>44078.768831018519</v>
      </c>
      <c r="B9387" s="4" t="str">
        <f>HYPERLINK("https://twitter.com/petrogustavo","@petrogustavo")</f>
        <v>@petrogustavo</v>
      </c>
      <c r="C9387" s="5" t="s">
        <v>16</v>
      </c>
      <c r="D9387" s="5" t="s">
        <v>9029</v>
      </c>
      <c r="E9387" s="6" t="str">
        <f>HYPERLINK("https://twitter.com/petrogustavo/status/1301866885248618496","1301866885248618496")</f>
        <v>1301866885248618496</v>
      </c>
      <c r="F9387" s="7" t="s">
        <v>17</v>
      </c>
      <c r="G9387" s="7">
        <v>3954822</v>
      </c>
      <c r="H9387" s="7">
        <v>2429</v>
      </c>
      <c r="I9387" s="7">
        <v>432</v>
      </c>
      <c r="J9387" s="7">
        <v>0</v>
      </c>
      <c r="K9387" s="7" t="s">
        <v>18</v>
      </c>
      <c r="L9387" s="8">
        <v>39987.315405092595</v>
      </c>
      <c r="M9387" s="9" t="s">
        <v>19</v>
      </c>
      <c r="N9387" s="9" t="s">
        <v>20</v>
      </c>
      <c r="O9387" s="6" t="str">
        <f>HYPERLINK("https://pbs.twimg.com/profile_images/962471262747529216/Uo8lOkRJ_normal.jpg","View")</f>
        <v>View</v>
      </c>
      <c r="P9387" s="7"/>
    </row>
    <row r="9388" spans="1:16">
      <c r="A9388" s="3">
        <v>44078.770150462966</v>
      </c>
      <c r="B9388" s="4" t="str">
        <f>HYPERLINK("https://twitter.com/petrogustavo","@petrogustavo")</f>
        <v>@petrogustavo</v>
      </c>
      <c r="C9388" s="5" t="s">
        <v>16</v>
      </c>
      <c r="D9388" s="5" t="s">
        <v>9030</v>
      </c>
      <c r="E9388" s="6" t="str">
        <f>HYPERLINK("https://twitter.com/petrogustavo/status/1301867363416113154","1301867363416113154")</f>
        <v>1301867363416113154</v>
      </c>
      <c r="F9388" s="7" t="s">
        <v>17</v>
      </c>
      <c r="G9388" s="7">
        <v>3954822</v>
      </c>
      <c r="H9388" s="7">
        <v>2429</v>
      </c>
      <c r="I9388" s="7">
        <v>131</v>
      </c>
      <c r="J9388" s="7">
        <v>302</v>
      </c>
      <c r="K9388" s="7" t="s">
        <v>18</v>
      </c>
      <c r="L9388" s="8">
        <v>39987.315405092595</v>
      </c>
      <c r="M9388" s="9" t="s">
        <v>19</v>
      </c>
      <c r="N9388" s="9" t="s">
        <v>20</v>
      </c>
      <c r="O9388" s="6" t="str">
        <f>HYPERLINK("https://pbs.twimg.com/profile_images/962471262747529216/Uo8lOkRJ_normal.jpg","View")</f>
        <v>View</v>
      </c>
      <c r="P9388" s="7"/>
    </row>
    <row r="9389" spans="1:16">
      <c r="A9389" s="3">
        <v>44078.779386574075</v>
      </c>
      <c r="B9389" s="4" t="str">
        <f>HYPERLINK("https://twitter.com/petrogustavo","@petrogustavo")</f>
        <v>@petrogustavo</v>
      </c>
      <c r="C9389" s="5" t="s">
        <v>16</v>
      </c>
      <c r="D9389" s="5" t="s">
        <v>9031</v>
      </c>
      <c r="E9389" s="6" t="str">
        <f>HYPERLINK("https://twitter.com/petrogustavo/status/1301870708394307584","1301870708394307584")</f>
        <v>1301870708394307584</v>
      </c>
      <c r="F9389" s="7" t="s">
        <v>17</v>
      </c>
      <c r="G9389" s="7">
        <v>3954822</v>
      </c>
      <c r="H9389" s="7">
        <v>2429</v>
      </c>
      <c r="I9389" s="7">
        <v>32</v>
      </c>
      <c r="J9389" s="7">
        <v>75</v>
      </c>
      <c r="K9389" s="7" t="s">
        <v>18</v>
      </c>
      <c r="L9389" s="8">
        <v>39987.315405092595</v>
      </c>
      <c r="M9389" s="9" t="s">
        <v>19</v>
      </c>
      <c r="N9389" s="9" t="s">
        <v>20</v>
      </c>
      <c r="O9389" s="6" t="str">
        <f>HYPERLINK("https://pbs.twimg.com/profile_images/962471262747529216/Uo8lOkRJ_normal.jpg","View")</f>
        <v>View</v>
      </c>
      <c r="P9389" s="7"/>
    </row>
    <row r="9390" spans="1:16">
      <c r="A9390" s="3">
        <v>44078.785208333335</v>
      </c>
      <c r="B9390" s="4" t="str">
        <f>HYPERLINK("https://twitter.com/petrogustavo","@petrogustavo")</f>
        <v>@petrogustavo</v>
      </c>
      <c r="C9390" s="5" t="s">
        <v>16</v>
      </c>
      <c r="D9390" s="5" t="s">
        <v>9032</v>
      </c>
      <c r="E9390" s="6" t="str">
        <f>HYPERLINK("https://twitter.com/petrogustavo/status/1301872821715562497","1301872821715562497")</f>
        <v>1301872821715562497</v>
      </c>
      <c r="F9390" s="7" t="s">
        <v>17</v>
      </c>
      <c r="G9390" s="7">
        <v>3954839</v>
      </c>
      <c r="H9390" s="7">
        <v>2429</v>
      </c>
      <c r="I9390" s="7">
        <v>76</v>
      </c>
      <c r="J9390" s="7">
        <v>148</v>
      </c>
      <c r="K9390" s="7" t="s">
        <v>18</v>
      </c>
      <c r="L9390" s="8">
        <v>39987.315405092595</v>
      </c>
      <c r="M9390" s="9" t="s">
        <v>19</v>
      </c>
      <c r="N9390" s="9" t="s">
        <v>20</v>
      </c>
      <c r="O9390" s="6" t="str">
        <f>HYPERLINK("https://pbs.twimg.com/profile_images/962471262747529216/Uo8lOkRJ_normal.jpg","View")</f>
        <v>View</v>
      </c>
      <c r="P9390" s="7"/>
    </row>
    <row r="9391" spans="1:16">
      <c r="A9391" s="3">
        <v>44078.787164351852</v>
      </c>
      <c r="B9391" s="4" t="str">
        <f>HYPERLINK("https://twitter.com/petrogustavo","@petrogustavo")</f>
        <v>@petrogustavo</v>
      </c>
      <c r="C9391" s="5" t="s">
        <v>16</v>
      </c>
      <c r="D9391" s="5" t="s">
        <v>9033</v>
      </c>
      <c r="E9391" s="6" t="str">
        <f>HYPERLINK("https://twitter.com/petrogustavo/status/1301873529806303232","1301873529806303232")</f>
        <v>1301873529806303232</v>
      </c>
      <c r="F9391" s="7" t="s">
        <v>17</v>
      </c>
      <c r="G9391" s="7">
        <v>3954839</v>
      </c>
      <c r="H9391" s="7">
        <v>2429</v>
      </c>
      <c r="I9391" s="7">
        <v>42</v>
      </c>
      <c r="J9391" s="7">
        <v>96</v>
      </c>
      <c r="K9391" s="7" t="s">
        <v>18</v>
      </c>
      <c r="L9391" s="8">
        <v>39987.315405092595</v>
      </c>
      <c r="M9391" s="9" t="s">
        <v>19</v>
      </c>
      <c r="N9391" s="9" t="s">
        <v>20</v>
      </c>
      <c r="O9391" s="6" t="str">
        <f>HYPERLINK("https://pbs.twimg.com/profile_images/962471262747529216/Uo8lOkRJ_normal.jpg","View")</f>
        <v>View</v>
      </c>
      <c r="P9391" s="7"/>
    </row>
    <row r="9392" spans="1:16">
      <c r="A9392" s="3">
        <v>44078.788495370369</v>
      </c>
      <c r="B9392" s="4" t="str">
        <f>HYPERLINK("https://twitter.com/petrogustavo","@petrogustavo")</f>
        <v>@petrogustavo</v>
      </c>
      <c r="C9392" s="5" t="s">
        <v>16</v>
      </c>
      <c r="D9392" s="5" t="s">
        <v>9034</v>
      </c>
      <c r="E9392" s="6" t="str">
        <f>HYPERLINK("https://twitter.com/petrogustavo/status/1301874009903108098","1301874009903108098")</f>
        <v>1301874009903108098</v>
      </c>
      <c r="F9392" s="7" t="s">
        <v>17</v>
      </c>
      <c r="G9392" s="7">
        <v>3954839</v>
      </c>
      <c r="H9392" s="7">
        <v>2429</v>
      </c>
      <c r="I9392" s="7">
        <v>101</v>
      </c>
      <c r="J9392" s="7">
        <v>120</v>
      </c>
      <c r="K9392" s="7" t="s">
        <v>18</v>
      </c>
      <c r="L9392" s="8">
        <v>39987.315405092595</v>
      </c>
      <c r="M9392" s="9" t="s">
        <v>19</v>
      </c>
      <c r="N9392" s="9" t="s">
        <v>20</v>
      </c>
      <c r="O9392" s="6" t="str">
        <f>HYPERLINK("https://pbs.twimg.com/profile_images/962471262747529216/Uo8lOkRJ_normal.jpg","View")</f>
        <v>View</v>
      </c>
      <c r="P9392" s="7"/>
    </row>
    <row r="9393" spans="1:16">
      <c r="A9393" s="3">
        <v>44078.789444444439</v>
      </c>
      <c r="B9393" s="4" t="str">
        <f>HYPERLINK("https://twitter.com/petrogustavo","@petrogustavo")</f>
        <v>@petrogustavo</v>
      </c>
      <c r="C9393" s="5" t="s">
        <v>16</v>
      </c>
      <c r="D9393" s="5" t="s">
        <v>9035</v>
      </c>
      <c r="E9393" s="6" t="str">
        <f>HYPERLINK("https://twitter.com/petrogustavo/status/1301874354750459904","1301874354750459904")</f>
        <v>1301874354750459904</v>
      </c>
      <c r="F9393" s="7" t="s">
        <v>17</v>
      </c>
      <c r="G9393" s="7">
        <v>3954839</v>
      </c>
      <c r="H9393" s="7">
        <v>2429</v>
      </c>
      <c r="I9393" s="7">
        <v>46</v>
      </c>
      <c r="J9393" s="7">
        <v>77</v>
      </c>
      <c r="K9393" s="7" t="s">
        <v>18</v>
      </c>
      <c r="L9393" s="8">
        <v>39987.315405092595</v>
      </c>
      <c r="M9393" s="9" t="s">
        <v>19</v>
      </c>
      <c r="N9393" s="9" t="s">
        <v>20</v>
      </c>
      <c r="O9393" s="6" t="str">
        <f>HYPERLINK("https://pbs.twimg.com/profile_images/962471262747529216/Uo8lOkRJ_normal.jpg","View")</f>
        <v>View</v>
      </c>
      <c r="P9393" s="7"/>
    </row>
    <row r="9394" spans="1:16">
      <c r="A9394" s="3">
        <v>44078.810335648144</v>
      </c>
      <c r="B9394" s="4" t="str">
        <f>HYPERLINK("https://twitter.com/petrogustavo","@petrogustavo")</f>
        <v>@petrogustavo</v>
      </c>
      <c r="C9394" s="5" t="s">
        <v>16</v>
      </c>
      <c r="D9394" s="5" t="s">
        <v>9036</v>
      </c>
      <c r="E9394" s="6" t="str">
        <f>HYPERLINK("https://twitter.com/petrogustavo/status/1301881927604019200","1301881927604019200")</f>
        <v>1301881927604019200</v>
      </c>
      <c r="F9394" s="7" t="s">
        <v>17</v>
      </c>
      <c r="G9394" s="7">
        <v>3954852</v>
      </c>
      <c r="H9394" s="7">
        <v>2429</v>
      </c>
      <c r="I9394" s="7">
        <v>436</v>
      </c>
      <c r="J9394" s="7">
        <v>0</v>
      </c>
      <c r="K9394" s="7" t="s">
        <v>18</v>
      </c>
      <c r="L9394" s="8">
        <v>39987.315405092595</v>
      </c>
      <c r="M9394" s="9" t="s">
        <v>19</v>
      </c>
      <c r="N9394" s="9" t="s">
        <v>20</v>
      </c>
      <c r="O9394" s="6" t="str">
        <f>HYPERLINK("https://pbs.twimg.com/profile_images/962471262747529216/Uo8lOkRJ_normal.jpg","View")</f>
        <v>View</v>
      </c>
      <c r="P9394" s="7"/>
    </row>
    <row r="9395" spans="1:16">
      <c r="A9395" s="3">
        <v>44078.810682870375</v>
      </c>
      <c r="B9395" s="4" t="str">
        <f>HYPERLINK("https://twitter.com/petrogustavo","@petrogustavo")</f>
        <v>@petrogustavo</v>
      </c>
      <c r="C9395" s="5" t="s">
        <v>16</v>
      </c>
      <c r="D9395" s="5" t="s">
        <v>9037</v>
      </c>
      <c r="E9395" s="6" t="str">
        <f>HYPERLINK("https://twitter.com/petrogustavo/status/1301882052430757890","1301882052430757890")</f>
        <v>1301882052430757890</v>
      </c>
      <c r="F9395" s="7" t="s">
        <v>17</v>
      </c>
      <c r="G9395" s="7">
        <v>3954852</v>
      </c>
      <c r="H9395" s="7">
        <v>2429</v>
      </c>
      <c r="I9395" s="7">
        <v>102</v>
      </c>
      <c r="J9395" s="7">
        <v>0</v>
      </c>
      <c r="K9395" s="7" t="s">
        <v>18</v>
      </c>
      <c r="L9395" s="8">
        <v>39987.315405092595</v>
      </c>
      <c r="M9395" s="9" t="s">
        <v>19</v>
      </c>
      <c r="N9395" s="9" t="s">
        <v>20</v>
      </c>
      <c r="O9395" s="6" t="str">
        <f>HYPERLINK("https://pbs.twimg.com/profile_images/962471262747529216/Uo8lOkRJ_normal.jpg","View")</f>
        <v>View</v>
      </c>
      <c r="P9395" s="7"/>
    </row>
    <row r="9396" spans="1:16">
      <c r="A9396" s="3">
        <v>44078.816932870366</v>
      </c>
      <c r="B9396" s="4" t="str">
        <f>HYPERLINK("https://twitter.com/petrogustavo","@petrogustavo")</f>
        <v>@petrogustavo</v>
      </c>
      <c r="C9396" s="5" t="s">
        <v>16</v>
      </c>
      <c r="D9396" s="5" t="s">
        <v>9038</v>
      </c>
      <c r="E9396" s="6" t="str">
        <f>HYPERLINK("https://twitter.com/petrogustavo/status/1301884315375198209","1301884315375198209")</f>
        <v>1301884315375198209</v>
      </c>
      <c r="F9396" s="7" t="s">
        <v>17</v>
      </c>
      <c r="G9396" s="7">
        <v>3954852</v>
      </c>
      <c r="H9396" s="7">
        <v>2429</v>
      </c>
      <c r="I9396" s="7">
        <v>75</v>
      </c>
      <c r="J9396" s="7">
        <v>219</v>
      </c>
      <c r="K9396" s="7" t="s">
        <v>18</v>
      </c>
      <c r="L9396" s="8">
        <v>39987.315405092595</v>
      </c>
      <c r="M9396" s="9" t="s">
        <v>19</v>
      </c>
      <c r="N9396" s="9" t="s">
        <v>20</v>
      </c>
      <c r="O9396" s="6" t="str">
        <f>HYPERLINK("https://pbs.twimg.com/profile_images/962471262747529216/Uo8lOkRJ_normal.jpg","View")</f>
        <v>View</v>
      </c>
      <c r="P9396" s="7"/>
    </row>
    <row r="9397" spans="1:16">
      <c r="A9397" s="3">
        <v>44078.817627314813</v>
      </c>
      <c r="B9397" s="4" t="str">
        <f>HYPERLINK("https://twitter.com/petrogustavo","@petrogustavo")</f>
        <v>@petrogustavo</v>
      </c>
      <c r="C9397" s="5" t="s">
        <v>16</v>
      </c>
      <c r="D9397" s="5" t="s">
        <v>9039</v>
      </c>
      <c r="E9397" s="6" t="str">
        <f>HYPERLINK("https://twitter.com/petrogustavo/status/1301884568300064773","1301884568300064773")</f>
        <v>1301884568300064773</v>
      </c>
      <c r="F9397" s="7" t="s">
        <v>17</v>
      </c>
      <c r="G9397" s="7">
        <v>3954852</v>
      </c>
      <c r="H9397" s="7">
        <v>2429</v>
      </c>
      <c r="I9397" s="7">
        <v>152</v>
      </c>
      <c r="J9397" s="7">
        <v>0</v>
      </c>
      <c r="K9397" s="7" t="s">
        <v>18</v>
      </c>
      <c r="L9397" s="8">
        <v>39987.315405092595</v>
      </c>
      <c r="M9397" s="9" t="s">
        <v>19</v>
      </c>
      <c r="N9397" s="9" t="s">
        <v>20</v>
      </c>
      <c r="O9397" s="6" t="str">
        <f>HYPERLINK("https://pbs.twimg.com/profile_images/962471262747529216/Uo8lOkRJ_normal.jpg","View")</f>
        <v>View</v>
      </c>
      <c r="P9397" s="7"/>
    </row>
    <row r="9398" spans="1:16">
      <c r="A9398" s="3">
        <v>44078.819768518515</v>
      </c>
      <c r="B9398" s="4" t="str">
        <f>HYPERLINK("https://twitter.com/petrogustavo","@petrogustavo")</f>
        <v>@petrogustavo</v>
      </c>
      <c r="C9398" s="5" t="s">
        <v>16</v>
      </c>
      <c r="D9398" s="5" t="s">
        <v>9040</v>
      </c>
      <c r="E9398" s="6" t="str">
        <f>HYPERLINK("https://twitter.com/petrogustavo/status/1301885345668247559","1301885345668247559")</f>
        <v>1301885345668247559</v>
      </c>
      <c r="F9398" s="7" t="s">
        <v>17</v>
      </c>
      <c r="G9398" s="7">
        <v>3954852</v>
      </c>
      <c r="H9398" s="7">
        <v>2429</v>
      </c>
      <c r="I9398" s="7">
        <v>31</v>
      </c>
      <c r="J9398" s="7">
        <v>0</v>
      </c>
      <c r="K9398" s="7" t="s">
        <v>18</v>
      </c>
      <c r="L9398" s="8">
        <v>39987.315405092595</v>
      </c>
      <c r="M9398" s="9" t="s">
        <v>19</v>
      </c>
      <c r="N9398" s="9" t="s">
        <v>20</v>
      </c>
      <c r="O9398" s="6" t="str">
        <f>HYPERLINK("https://pbs.twimg.com/profile_images/962471262747529216/Uo8lOkRJ_normal.jpg","View")</f>
        <v>View</v>
      </c>
      <c r="P9398" s="7"/>
    </row>
    <row r="9399" spans="1:16">
      <c r="A9399" s="3">
        <v>44078.833125000005</v>
      </c>
      <c r="B9399" s="4" t="str">
        <f>HYPERLINK("https://twitter.com/petrogustavo","@petrogustavo")</f>
        <v>@petrogustavo</v>
      </c>
      <c r="C9399" s="5" t="s">
        <v>16</v>
      </c>
      <c r="D9399" s="5" t="s">
        <v>9041</v>
      </c>
      <c r="E9399" s="6" t="str">
        <f>HYPERLINK("https://twitter.com/petrogustavo/status/1301890185731420160","1301890185731420160")</f>
        <v>1301890185731420160</v>
      </c>
      <c r="F9399" s="7" t="s">
        <v>17</v>
      </c>
      <c r="G9399" s="7">
        <v>3954836</v>
      </c>
      <c r="H9399" s="7">
        <v>2429</v>
      </c>
      <c r="I9399" s="7">
        <v>236</v>
      </c>
      <c r="J9399" s="7">
        <v>0</v>
      </c>
      <c r="K9399" s="7" t="s">
        <v>18</v>
      </c>
      <c r="L9399" s="8">
        <v>39987.315405092595</v>
      </c>
      <c r="M9399" s="9" t="s">
        <v>19</v>
      </c>
      <c r="N9399" s="9" t="s">
        <v>20</v>
      </c>
      <c r="O9399" s="6" t="str">
        <f>HYPERLINK("https://pbs.twimg.com/profile_images/962471262747529216/Uo8lOkRJ_normal.jpg","View")</f>
        <v>View</v>
      </c>
      <c r="P9399" s="7"/>
    </row>
    <row r="9400" spans="1:16">
      <c r="A9400" s="3">
        <v>44078.847696759258</v>
      </c>
      <c r="B9400" s="4" t="str">
        <f>HYPERLINK("https://twitter.com/petrogustavo","@petrogustavo")</f>
        <v>@petrogustavo</v>
      </c>
      <c r="C9400" s="5" t="s">
        <v>16</v>
      </c>
      <c r="D9400" s="5" t="s">
        <v>9042</v>
      </c>
      <c r="E9400" s="6" t="str">
        <f>HYPERLINK("https://twitter.com/petrogustavo/status/1301895464778899459","1301895464778899459")</f>
        <v>1301895464778899459</v>
      </c>
      <c r="F9400" s="7" t="s">
        <v>17</v>
      </c>
      <c r="G9400" s="7">
        <v>3954851</v>
      </c>
      <c r="H9400" s="7">
        <v>2429</v>
      </c>
      <c r="I9400" s="7">
        <v>52</v>
      </c>
      <c r="J9400" s="7">
        <v>135</v>
      </c>
      <c r="K9400" s="7" t="s">
        <v>18</v>
      </c>
      <c r="L9400" s="8">
        <v>39987.315405092595</v>
      </c>
      <c r="M9400" s="9" t="s">
        <v>19</v>
      </c>
      <c r="N9400" s="9" t="s">
        <v>20</v>
      </c>
      <c r="O9400" s="6" t="str">
        <f>HYPERLINK("https://pbs.twimg.com/profile_images/962471262747529216/Uo8lOkRJ_normal.jpg","View")</f>
        <v>View</v>
      </c>
      <c r="P9400" s="7"/>
    </row>
    <row r="9401" spans="1:16">
      <c r="A9401" s="3">
        <v>44078.85119212963</v>
      </c>
      <c r="B9401" s="4" t="str">
        <f>HYPERLINK("https://twitter.com/petrogustavo","@petrogustavo")</f>
        <v>@petrogustavo</v>
      </c>
      <c r="C9401" s="5" t="s">
        <v>16</v>
      </c>
      <c r="D9401" s="5" t="s">
        <v>9043</v>
      </c>
      <c r="E9401" s="6" t="str">
        <f>HYPERLINK("https://twitter.com/petrogustavo/status/1301896731794305025","1301896731794305025")</f>
        <v>1301896731794305025</v>
      </c>
      <c r="F9401" s="7" t="s">
        <v>17</v>
      </c>
      <c r="G9401" s="7">
        <v>3954851</v>
      </c>
      <c r="H9401" s="7">
        <v>2429</v>
      </c>
      <c r="I9401" s="7">
        <v>50</v>
      </c>
      <c r="J9401" s="7">
        <v>111</v>
      </c>
      <c r="K9401" s="7" t="s">
        <v>18</v>
      </c>
      <c r="L9401" s="8">
        <v>39987.315405092595</v>
      </c>
      <c r="M9401" s="9" t="s">
        <v>19</v>
      </c>
      <c r="N9401" s="9" t="s">
        <v>20</v>
      </c>
      <c r="O9401" s="6" t="str">
        <f>HYPERLINK("https://pbs.twimg.com/profile_images/962471262747529216/Uo8lOkRJ_normal.jpg","View")</f>
        <v>View</v>
      </c>
      <c r="P9401" s="7"/>
    </row>
    <row r="9402" spans="1:16">
      <c r="A9402" s="3">
        <v>44078.851886574077</v>
      </c>
      <c r="B9402" s="4" t="str">
        <f>HYPERLINK("https://twitter.com/petrogustavo","@petrogustavo")</f>
        <v>@petrogustavo</v>
      </c>
      <c r="C9402" s="5" t="s">
        <v>16</v>
      </c>
      <c r="D9402" s="5" t="s">
        <v>9044</v>
      </c>
      <c r="E9402" s="6" t="str">
        <f>HYPERLINK("https://twitter.com/petrogustavo/status/1301896983771312131","1301896983771312131")</f>
        <v>1301896983771312131</v>
      </c>
      <c r="F9402" s="7" t="s">
        <v>17</v>
      </c>
      <c r="G9402" s="7">
        <v>3954851</v>
      </c>
      <c r="H9402" s="7">
        <v>2429</v>
      </c>
      <c r="I9402" s="7">
        <v>284</v>
      </c>
      <c r="J9402" s="7">
        <v>0</v>
      </c>
      <c r="K9402" s="7" t="s">
        <v>18</v>
      </c>
      <c r="L9402" s="8">
        <v>39987.315405092595</v>
      </c>
      <c r="M9402" s="9" t="s">
        <v>19</v>
      </c>
      <c r="N9402" s="9" t="s">
        <v>20</v>
      </c>
      <c r="O9402" s="6" t="str">
        <f>HYPERLINK("https://pbs.twimg.com/profile_images/962471262747529216/Uo8lOkRJ_normal.jpg","View")</f>
        <v>View</v>
      </c>
      <c r="P9402" s="7"/>
    </row>
    <row r="9403" spans="1:16">
      <c r="A9403" s="3">
        <v>44078.853935185187</v>
      </c>
      <c r="B9403" s="4" t="str">
        <f>HYPERLINK("https://twitter.com/petrogustavo","@petrogustavo")</f>
        <v>@petrogustavo</v>
      </c>
      <c r="C9403" s="5" t="s">
        <v>16</v>
      </c>
      <c r="D9403" s="5" t="s">
        <v>9045</v>
      </c>
      <c r="E9403" s="6" t="str">
        <f>HYPERLINK("https://twitter.com/petrogustavo/status/1301897725131345921","1301897725131345921")</f>
        <v>1301897725131345921</v>
      </c>
      <c r="F9403" s="7" t="s">
        <v>17</v>
      </c>
      <c r="G9403" s="7">
        <v>3954851</v>
      </c>
      <c r="H9403" s="7">
        <v>2429</v>
      </c>
      <c r="I9403" s="7">
        <v>168</v>
      </c>
      <c r="J9403" s="7">
        <v>0</v>
      </c>
      <c r="K9403" s="7" t="s">
        <v>18</v>
      </c>
      <c r="L9403" s="8">
        <v>39987.315405092595</v>
      </c>
      <c r="M9403" s="9" t="s">
        <v>19</v>
      </c>
      <c r="N9403" s="9" t="s">
        <v>20</v>
      </c>
      <c r="O9403" s="6" t="str">
        <f>HYPERLINK("https://pbs.twimg.com/profile_images/962471262747529216/Uo8lOkRJ_normal.jpg","View")</f>
        <v>View</v>
      </c>
      <c r="P9403" s="7"/>
    </row>
    <row r="9404" spans="1:16">
      <c r="A9404" s="3">
        <v>44078.89680555556</v>
      </c>
      <c r="B9404" s="4" t="str">
        <f>HYPERLINK("https://twitter.com/petrogustavo","@petrogustavo")</f>
        <v>@petrogustavo</v>
      </c>
      <c r="C9404" s="5" t="s">
        <v>16</v>
      </c>
      <c r="D9404" s="5" t="s">
        <v>9046</v>
      </c>
      <c r="E9404" s="6" t="str">
        <f>HYPERLINK("https://twitter.com/petrogustavo/status/1301913263005892615","1301913263005892615")</f>
        <v>1301913263005892615</v>
      </c>
      <c r="F9404" s="7" t="s">
        <v>32</v>
      </c>
      <c r="G9404" s="7">
        <v>3954873</v>
      </c>
      <c r="H9404" s="7">
        <v>2430</v>
      </c>
      <c r="I9404" s="7">
        <v>66</v>
      </c>
      <c r="J9404" s="7">
        <v>0</v>
      </c>
      <c r="K9404" s="7" t="s">
        <v>18</v>
      </c>
      <c r="L9404" s="8">
        <v>39987.315405092595</v>
      </c>
      <c r="M9404" s="9" t="s">
        <v>19</v>
      </c>
      <c r="N9404" s="9" t="s">
        <v>20</v>
      </c>
      <c r="O9404" s="6" t="str">
        <f>HYPERLINK("https://pbs.twimg.com/profile_images/962471262747529216/Uo8lOkRJ_normal.jpg","View")</f>
        <v>View</v>
      </c>
      <c r="P9404" s="7"/>
    </row>
    <row r="9405" spans="1:16">
      <c r="A9405" s="3">
        <v>44078.937997685185</v>
      </c>
      <c r="B9405" s="4" t="str">
        <f>HYPERLINK("https://twitter.com/petrogustavo","@petrogustavo")</f>
        <v>@petrogustavo</v>
      </c>
      <c r="C9405" s="5" t="s">
        <v>16</v>
      </c>
      <c r="D9405" s="5" t="s">
        <v>9047</v>
      </c>
      <c r="E9405" s="6" t="str">
        <f>HYPERLINK("https://twitter.com/petrogustavo/status/1301928190592659457","1301928190592659457")</f>
        <v>1301928190592659457</v>
      </c>
      <c r="F9405" s="7" t="s">
        <v>32</v>
      </c>
      <c r="G9405" s="7">
        <v>3954898</v>
      </c>
      <c r="H9405" s="7">
        <v>2430</v>
      </c>
      <c r="I9405" s="7">
        <v>115</v>
      </c>
      <c r="J9405" s="7">
        <v>410</v>
      </c>
      <c r="K9405" s="7" t="s">
        <v>18</v>
      </c>
      <c r="L9405" s="8">
        <v>39987.315405092595</v>
      </c>
      <c r="M9405" s="9" t="s">
        <v>19</v>
      </c>
      <c r="N9405" s="9" t="s">
        <v>20</v>
      </c>
      <c r="O9405" s="6" t="str">
        <f>HYPERLINK("https://pbs.twimg.com/profile_images/962471262747529216/Uo8lOkRJ_normal.jpg","View")</f>
        <v>View</v>
      </c>
      <c r="P9405" s="7"/>
    </row>
    <row r="9406" spans="1:16">
      <c r="A9406" s="3">
        <v>44078.941099537042</v>
      </c>
      <c r="B9406" s="4" t="str">
        <f>HYPERLINK("https://twitter.com/petrogustavo","@petrogustavo")</f>
        <v>@petrogustavo</v>
      </c>
      <c r="C9406" s="5" t="s">
        <v>16</v>
      </c>
      <c r="D9406" s="5" t="s">
        <v>9048</v>
      </c>
      <c r="E9406" s="6" t="str">
        <f>HYPERLINK("https://twitter.com/petrogustavo/status/1301929312883535874","1301929312883535874")</f>
        <v>1301929312883535874</v>
      </c>
      <c r="F9406" s="7" t="s">
        <v>32</v>
      </c>
      <c r="G9406" s="7">
        <v>3954898</v>
      </c>
      <c r="H9406" s="7">
        <v>2430</v>
      </c>
      <c r="I9406" s="7">
        <v>88</v>
      </c>
      <c r="J9406" s="7">
        <v>165</v>
      </c>
      <c r="K9406" s="7" t="s">
        <v>18</v>
      </c>
      <c r="L9406" s="8">
        <v>39987.315405092595</v>
      </c>
      <c r="M9406" s="9" t="s">
        <v>19</v>
      </c>
      <c r="N9406" s="9" t="s">
        <v>20</v>
      </c>
      <c r="O9406" s="6" t="str">
        <f>HYPERLINK("https://pbs.twimg.com/profile_images/962471262747529216/Uo8lOkRJ_normal.jpg","View")</f>
        <v>View</v>
      </c>
      <c r="P9406" s="7"/>
    </row>
    <row r="9407" spans="1:16">
      <c r="A9407" s="3">
        <v>44078.949155092589</v>
      </c>
      <c r="B9407" s="4" t="str">
        <f>HYPERLINK("https://twitter.com/petrogustavo","@petrogustavo")</f>
        <v>@petrogustavo</v>
      </c>
      <c r="C9407" s="5" t="s">
        <v>16</v>
      </c>
      <c r="D9407" s="5" t="s">
        <v>9049</v>
      </c>
      <c r="E9407" s="6" t="str">
        <f>HYPERLINK("https://twitter.com/petrogustavo/status/1301932233595461632","1301932233595461632")</f>
        <v>1301932233595461632</v>
      </c>
      <c r="F9407" s="7" t="s">
        <v>32</v>
      </c>
      <c r="G9407" s="7">
        <v>3954898</v>
      </c>
      <c r="H9407" s="7">
        <v>2430</v>
      </c>
      <c r="I9407" s="7">
        <v>11</v>
      </c>
      <c r="J9407" s="7">
        <v>29</v>
      </c>
      <c r="K9407" s="7" t="s">
        <v>18</v>
      </c>
      <c r="L9407" s="8">
        <v>39987.315405092595</v>
      </c>
      <c r="M9407" s="9" t="s">
        <v>19</v>
      </c>
      <c r="N9407" s="9" t="s">
        <v>20</v>
      </c>
      <c r="O9407" s="6" t="str">
        <f>HYPERLINK("https://pbs.twimg.com/profile_images/962471262747529216/Uo8lOkRJ_normal.jpg","View")</f>
        <v>View</v>
      </c>
      <c r="P9407" s="7"/>
    </row>
    <row r="9408" spans="1:16">
      <c r="A9408" s="3">
        <v>44079.050706018519</v>
      </c>
      <c r="B9408" s="4" t="str">
        <f>HYPERLINK("https://twitter.com/petrogustavo","@petrogustavo")</f>
        <v>@petrogustavo</v>
      </c>
      <c r="C9408" s="5" t="s">
        <v>16</v>
      </c>
      <c r="D9408" s="5" t="s">
        <v>9050</v>
      </c>
      <c r="E9408" s="6" t="str">
        <f>HYPERLINK("https://twitter.com/petrogustavo/status/1301969032686514176","1301969032686514176")</f>
        <v>1301969032686514176</v>
      </c>
      <c r="F9408" s="7" t="s">
        <v>17</v>
      </c>
      <c r="G9408" s="7">
        <v>3954982</v>
      </c>
      <c r="H9408" s="7">
        <v>2430</v>
      </c>
      <c r="I9408" s="7">
        <v>131</v>
      </c>
      <c r="J9408" s="7">
        <v>435</v>
      </c>
      <c r="K9408" s="7" t="s">
        <v>18</v>
      </c>
      <c r="L9408" s="8">
        <v>39987.315405092595</v>
      </c>
      <c r="M9408" s="9" t="s">
        <v>19</v>
      </c>
      <c r="N9408" s="9" t="s">
        <v>20</v>
      </c>
      <c r="O9408" s="6" t="str">
        <f>HYPERLINK("https://pbs.twimg.com/profile_images/962471262747529216/Uo8lOkRJ_normal.jpg","View")</f>
        <v>View</v>
      </c>
      <c r="P9408" s="7"/>
    </row>
    <row r="9409" spans="1:16">
      <c r="A9409" s="3">
        <v>44079.059618055559</v>
      </c>
      <c r="B9409" s="4" t="str">
        <f>HYPERLINK("https://twitter.com/petrogustavo","@petrogustavo")</f>
        <v>@petrogustavo</v>
      </c>
      <c r="C9409" s="5" t="s">
        <v>16</v>
      </c>
      <c r="D9409" s="5" t="s">
        <v>9051</v>
      </c>
      <c r="E9409" s="6" t="str">
        <f>HYPERLINK("https://twitter.com/petrogustavo/status/1301972262413893634","1301972262413893634")</f>
        <v>1301972262413893634</v>
      </c>
      <c r="F9409" s="7" t="s">
        <v>17</v>
      </c>
      <c r="G9409" s="7">
        <v>3954983</v>
      </c>
      <c r="H9409" s="7">
        <v>2430</v>
      </c>
      <c r="I9409" s="7">
        <v>135</v>
      </c>
      <c r="J9409" s="7">
        <v>303</v>
      </c>
      <c r="K9409" s="7" t="s">
        <v>18</v>
      </c>
      <c r="L9409" s="8">
        <v>39987.315405092595</v>
      </c>
      <c r="M9409" s="9" t="s">
        <v>19</v>
      </c>
      <c r="N9409" s="9" t="s">
        <v>20</v>
      </c>
      <c r="O9409" s="6" t="str">
        <f>HYPERLINK("https://pbs.twimg.com/profile_images/962471262747529216/Uo8lOkRJ_normal.jpg","View")</f>
        <v>View</v>
      </c>
      <c r="P9409" s="7"/>
    </row>
    <row r="9410" spans="1:16">
      <c r="A9410" s="3">
        <v>44079.071759259255</v>
      </c>
      <c r="B9410" s="4" t="str">
        <f>HYPERLINK("https://twitter.com/petrogustavo","@petrogustavo")</f>
        <v>@petrogustavo</v>
      </c>
      <c r="C9410" s="5" t="s">
        <v>16</v>
      </c>
      <c r="D9410" s="5" t="s">
        <v>9052</v>
      </c>
      <c r="E9410" s="6" t="str">
        <f>HYPERLINK("https://twitter.com/petrogustavo/status/1301976662683377665","1301976662683377665")</f>
        <v>1301976662683377665</v>
      </c>
      <c r="F9410" s="7" t="s">
        <v>17</v>
      </c>
      <c r="G9410" s="7">
        <v>3954983</v>
      </c>
      <c r="H9410" s="7">
        <v>2430</v>
      </c>
      <c r="I9410" s="7">
        <v>54</v>
      </c>
      <c r="J9410" s="7">
        <v>137</v>
      </c>
      <c r="K9410" s="7" t="s">
        <v>18</v>
      </c>
      <c r="L9410" s="8">
        <v>39987.315405092595</v>
      </c>
      <c r="M9410" s="9" t="s">
        <v>19</v>
      </c>
      <c r="N9410" s="9" t="s">
        <v>20</v>
      </c>
      <c r="O9410" s="6" t="str">
        <f>HYPERLINK("https://pbs.twimg.com/profile_images/962471262747529216/Uo8lOkRJ_normal.jpg","View")</f>
        <v>View</v>
      </c>
      <c r="P9410" s="7"/>
    </row>
    <row r="9411" spans="1:16">
      <c r="A9411" s="3">
        <v>44079.100127314814</v>
      </c>
      <c r="B9411" s="4" t="str">
        <f>HYPERLINK("https://twitter.com/petrogustavo","@petrogustavo")</f>
        <v>@petrogustavo</v>
      </c>
      <c r="C9411" s="5" t="s">
        <v>16</v>
      </c>
      <c r="D9411" s="5" t="s">
        <v>9053</v>
      </c>
      <c r="E9411" s="6" t="str">
        <f>HYPERLINK("https://twitter.com/petrogustavo/status/1301986944453357568","1301986944453357568")</f>
        <v>1301986944453357568</v>
      </c>
      <c r="F9411" s="7" t="s">
        <v>32</v>
      </c>
      <c r="G9411" s="7">
        <v>3955012</v>
      </c>
      <c r="H9411" s="7">
        <v>2430</v>
      </c>
      <c r="I9411" s="7">
        <v>158</v>
      </c>
      <c r="J9411" s="7">
        <v>278</v>
      </c>
      <c r="K9411" s="7" t="s">
        <v>18</v>
      </c>
      <c r="L9411" s="8">
        <v>39987.315405092595</v>
      </c>
      <c r="M9411" s="9" t="s">
        <v>19</v>
      </c>
      <c r="N9411" s="9" t="s">
        <v>20</v>
      </c>
      <c r="O9411" s="6" t="str">
        <f>HYPERLINK("https://pbs.twimg.com/profile_images/962471262747529216/Uo8lOkRJ_normal.jpg","View")</f>
        <v>View</v>
      </c>
      <c r="P9411" s="7"/>
    </row>
    <row r="9412" spans="1:16">
      <c r="A9412" s="3">
        <v>44079.147488425922</v>
      </c>
      <c r="B9412" s="4" t="str">
        <f>HYPERLINK("https://twitter.com/petrogustavo","@petrogustavo")</f>
        <v>@petrogustavo</v>
      </c>
      <c r="C9412" s="5" t="s">
        <v>16</v>
      </c>
      <c r="D9412" s="5" t="s">
        <v>9054</v>
      </c>
      <c r="E9412" s="6" t="str">
        <f>HYPERLINK("https://twitter.com/petrogustavo/status/1302004106719100929","1302004106719100929")</f>
        <v>1302004106719100929</v>
      </c>
      <c r="F9412" s="7" t="s">
        <v>32</v>
      </c>
      <c r="G9412" s="7">
        <v>3955012</v>
      </c>
      <c r="H9412" s="7">
        <v>2430</v>
      </c>
      <c r="I9412" s="7">
        <v>167</v>
      </c>
      <c r="J9412" s="7">
        <v>272</v>
      </c>
      <c r="K9412" s="7" t="s">
        <v>18</v>
      </c>
      <c r="L9412" s="8">
        <v>39987.315405092595</v>
      </c>
      <c r="M9412" s="9" t="s">
        <v>19</v>
      </c>
      <c r="N9412" s="9" t="s">
        <v>20</v>
      </c>
      <c r="O9412" s="6" t="str">
        <f>HYPERLINK("https://pbs.twimg.com/profile_images/962471262747529216/Uo8lOkRJ_normal.jpg","View")</f>
        <v>View</v>
      </c>
      <c r="P9412" s="7"/>
    </row>
    <row r="9413" spans="1:16">
      <c r="A9413" s="3">
        <v>44079.162638888884</v>
      </c>
      <c r="B9413" s="4" t="str">
        <f>HYPERLINK("https://twitter.com/petrogustavo","@petrogustavo")</f>
        <v>@petrogustavo</v>
      </c>
      <c r="C9413" s="5" t="s">
        <v>16</v>
      </c>
      <c r="D9413" s="5" t="s">
        <v>9055</v>
      </c>
      <c r="E9413" s="6" t="str">
        <f>HYPERLINK("https://twitter.com/petrogustavo/status/1302009594584104960","1302009594584104960")</f>
        <v>1302009594584104960</v>
      </c>
      <c r="F9413" s="7" t="s">
        <v>17</v>
      </c>
      <c r="G9413" s="7">
        <v>3955025</v>
      </c>
      <c r="H9413" s="7">
        <v>2430</v>
      </c>
      <c r="I9413" s="7">
        <v>39</v>
      </c>
      <c r="J9413" s="7">
        <v>119</v>
      </c>
      <c r="K9413" s="7" t="s">
        <v>18</v>
      </c>
      <c r="L9413" s="8">
        <v>39987.315405092595</v>
      </c>
      <c r="M9413" s="9" t="s">
        <v>19</v>
      </c>
      <c r="N9413" s="9" t="s">
        <v>20</v>
      </c>
      <c r="O9413" s="6" t="str">
        <f>HYPERLINK("https://pbs.twimg.com/profile_images/962471262747529216/Uo8lOkRJ_normal.jpg","View")</f>
        <v>View</v>
      </c>
      <c r="P9413" s="7"/>
    </row>
    <row r="9414" spans="1:16">
      <c r="A9414" s="3">
        <v>44079.212650462963</v>
      </c>
      <c r="B9414" s="4" t="str">
        <f>HYPERLINK("https://twitter.com/petrogustavo","@petrogustavo")</f>
        <v>@petrogustavo</v>
      </c>
      <c r="C9414" s="5" t="s">
        <v>16</v>
      </c>
      <c r="D9414" s="5" t="s">
        <v>9056</v>
      </c>
      <c r="E9414" s="6" t="str">
        <f>HYPERLINK("https://twitter.com/petrogustavo/status/1302027720675733507","1302027720675733507")</f>
        <v>1302027720675733507</v>
      </c>
      <c r="F9414" s="7" t="s">
        <v>32</v>
      </c>
      <c r="G9414" s="7">
        <v>3955053</v>
      </c>
      <c r="H9414" s="7">
        <v>2430</v>
      </c>
      <c r="I9414" s="7">
        <v>21</v>
      </c>
      <c r="J9414" s="7">
        <v>0</v>
      </c>
      <c r="K9414" s="7" t="s">
        <v>18</v>
      </c>
      <c r="L9414" s="8">
        <v>39987.315405092595</v>
      </c>
      <c r="M9414" s="9" t="s">
        <v>19</v>
      </c>
      <c r="N9414" s="9" t="s">
        <v>20</v>
      </c>
      <c r="O9414" s="6" t="str">
        <f>HYPERLINK("https://pbs.twimg.com/profile_images/962471262747529216/Uo8lOkRJ_normal.jpg","View")</f>
        <v>View</v>
      </c>
      <c r="P9414" s="7"/>
    </row>
    <row r="9415" spans="1:16">
      <c r="A9415" s="3">
        <v>44079.213136574079</v>
      </c>
      <c r="B9415" s="4" t="str">
        <f>HYPERLINK("https://twitter.com/petrogustavo","@petrogustavo")</f>
        <v>@petrogustavo</v>
      </c>
      <c r="C9415" s="5" t="s">
        <v>16</v>
      </c>
      <c r="D9415" s="5" t="s">
        <v>9057</v>
      </c>
      <c r="E9415" s="6" t="str">
        <f>HYPERLINK("https://twitter.com/petrogustavo/status/1302027897566310406","1302027897566310406")</f>
        <v>1302027897566310406</v>
      </c>
      <c r="F9415" s="7" t="s">
        <v>32</v>
      </c>
      <c r="G9415" s="7">
        <v>3955053</v>
      </c>
      <c r="H9415" s="7">
        <v>2430</v>
      </c>
      <c r="I9415" s="7">
        <v>33</v>
      </c>
      <c r="J9415" s="7">
        <v>0</v>
      </c>
      <c r="K9415" s="7" t="s">
        <v>18</v>
      </c>
      <c r="L9415" s="8">
        <v>39987.315405092595</v>
      </c>
      <c r="M9415" s="9" t="s">
        <v>19</v>
      </c>
      <c r="N9415" s="9" t="s">
        <v>20</v>
      </c>
      <c r="O9415" s="6" t="str">
        <f>HYPERLINK("https://pbs.twimg.com/profile_images/962471262747529216/Uo8lOkRJ_normal.jpg","View")</f>
        <v>View</v>
      </c>
      <c r="P9415" s="7"/>
    </row>
    <row r="9416" spans="1:16">
      <c r="A9416" s="3">
        <v>44079.213506944448</v>
      </c>
      <c r="B9416" s="4" t="str">
        <f>HYPERLINK("https://twitter.com/petrogustavo","@petrogustavo")</f>
        <v>@petrogustavo</v>
      </c>
      <c r="C9416" s="5" t="s">
        <v>16</v>
      </c>
      <c r="D9416" s="5" t="s">
        <v>9058</v>
      </c>
      <c r="E9416" s="6" t="str">
        <f>HYPERLINK("https://twitter.com/petrogustavo/status/1302028030009802752","1302028030009802752")</f>
        <v>1302028030009802752</v>
      </c>
      <c r="F9416" s="7" t="s">
        <v>32</v>
      </c>
      <c r="G9416" s="7">
        <v>3955053</v>
      </c>
      <c r="H9416" s="7">
        <v>2430</v>
      </c>
      <c r="I9416" s="7">
        <v>40</v>
      </c>
      <c r="J9416" s="7">
        <v>0</v>
      </c>
      <c r="K9416" s="7" t="s">
        <v>18</v>
      </c>
      <c r="L9416" s="8">
        <v>39987.315405092595</v>
      </c>
      <c r="M9416" s="9" t="s">
        <v>19</v>
      </c>
      <c r="N9416" s="9" t="s">
        <v>20</v>
      </c>
      <c r="O9416" s="6" t="str">
        <f>HYPERLINK("https://pbs.twimg.com/profile_images/962471262747529216/Uo8lOkRJ_normal.jpg","View")</f>
        <v>View</v>
      </c>
      <c r="P9416" s="7"/>
    </row>
    <row r="9417" spans="1:16">
      <c r="A9417" s="3">
        <v>44079.213784722218</v>
      </c>
      <c r="B9417" s="4" t="str">
        <f>HYPERLINK("https://twitter.com/petrogustavo","@petrogustavo")</f>
        <v>@petrogustavo</v>
      </c>
      <c r="C9417" s="5" t="s">
        <v>16</v>
      </c>
      <c r="D9417" s="5" t="s">
        <v>9059</v>
      </c>
      <c r="E9417" s="6" t="str">
        <f>HYPERLINK("https://twitter.com/petrogustavo/status/1302028131868565511","1302028131868565511")</f>
        <v>1302028131868565511</v>
      </c>
      <c r="F9417" s="7" t="s">
        <v>32</v>
      </c>
      <c r="G9417" s="7">
        <v>3955053</v>
      </c>
      <c r="H9417" s="7">
        <v>2430</v>
      </c>
      <c r="I9417" s="7">
        <v>46</v>
      </c>
      <c r="J9417" s="7">
        <v>0</v>
      </c>
      <c r="K9417" s="7" t="s">
        <v>18</v>
      </c>
      <c r="L9417" s="8">
        <v>39987.315405092595</v>
      </c>
      <c r="M9417" s="9" t="s">
        <v>19</v>
      </c>
      <c r="N9417" s="9" t="s">
        <v>20</v>
      </c>
      <c r="O9417" s="6" t="str">
        <f>HYPERLINK("https://pbs.twimg.com/profile_images/962471262747529216/Uo8lOkRJ_normal.jpg","View")</f>
        <v>View</v>
      </c>
      <c r="P9417" s="7"/>
    </row>
    <row r="9418" spans="1:16">
      <c r="A9418" s="3">
        <v>44079.213865740741</v>
      </c>
      <c r="B9418" s="4" t="str">
        <f>HYPERLINK("https://twitter.com/petrogustavo","@petrogustavo")</f>
        <v>@petrogustavo</v>
      </c>
      <c r="C9418" s="5" t="s">
        <v>16</v>
      </c>
      <c r="D9418" s="5" t="s">
        <v>9060</v>
      </c>
      <c r="E9418" s="6" t="str">
        <f>HYPERLINK("https://twitter.com/petrogustavo/status/1302028159429283843","1302028159429283843")</f>
        <v>1302028159429283843</v>
      </c>
      <c r="F9418" s="7" t="s">
        <v>32</v>
      </c>
      <c r="G9418" s="7">
        <v>3955053</v>
      </c>
      <c r="H9418" s="7">
        <v>2430</v>
      </c>
      <c r="I9418" s="7">
        <v>37</v>
      </c>
      <c r="J9418" s="7">
        <v>0</v>
      </c>
      <c r="K9418" s="7" t="s">
        <v>18</v>
      </c>
      <c r="L9418" s="8">
        <v>39987.315405092595</v>
      </c>
      <c r="M9418" s="9" t="s">
        <v>19</v>
      </c>
      <c r="N9418" s="9" t="s">
        <v>20</v>
      </c>
      <c r="O9418" s="6" t="str">
        <f>HYPERLINK("https://pbs.twimg.com/profile_images/962471262747529216/Uo8lOkRJ_normal.jpg","View")</f>
        <v>View</v>
      </c>
      <c r="P9418" s="7"/>
    </row>
    <row r="9419" spans="1:16">
      <c r="A9419" s="3">
        <v>44079.215543981481</v>
      </c>
      <c r="B9419" s="4" t="str">
        <f>HYPERLINK("https://twitter.com/petrogustavo","@petrogustavo")</f>
        <v>@petrogustavo</v>
      </c>
      <c r="C9419" s="5" t="s">
        <v>16</v>
      </c>
      <c r="D9419" s="5" t="s">
        <v>9061</v>
      </c>
      <c r="E9419" s="6" t="str">
        <f>HYPERLINK("https://twitter.com/petrogustavo/status/1302028766257065984","1302028766257065984")</f>
        <v>1302028766257065984</v>
      </c>
      <c r="F9419" s="7" t="s">
        <v>32</v>
      </c>
      <c r="G9419" s="7">
        <v>3955053</v>
      </c>
      <c r="H9419" s="7">
        <v>2430</v>
      </c>
      <c r="I9419" s="7">
        <v>40</v>
      </c>
      <c r="J9419" s="7">
        <v>0</v>
      </c>
      <c r="K9419" s="7" t="s">
        <v>18</v>
      </c>
      <c r="L9419" s="8">
        <v>39987.315405092595</v>
      </c>
      <c r="M9419" s="9" t="s">
        <v>19</v>
      </c>
      <c r="N9419" s="9" t="s">
        <v>20</v>
      </c>
      <c r="O9419" s="6" t="str">
        <f>HYPERLINK("https://pbs.twimg.com/profile_images/962471262747529216/Uo8lOkRJ_normal.jpg","View")</f>
        <v>View</v>
      </c>
      <c r="P9419" s="7"/>
    </row>
    <row r="9420" spans="1:16">
      <c r="A9420" s="3">
        <v>44079.216874999998</v>
      </c>
      <c r="B9420" s="4" t="str">
        <f>HYPERLINK("https://twitter.com/petrogustavo","@petrogustavo")</f>
        <v>@petrogustavo</v>
      </c>
      <c r="C9420" s="5" t="s">
        <v>16</v>
      </c>
      <c r="D9420" s="5" t="s">
        <v>9062</v>
      </c>
      <c r="E9420" s="6" t="str">
        <f>HYPERLINK("https://twitter.com/petrogustavo/status/1302029250309033984","1302029250309033984")</f>
        <v>1302029250309033984</v>
      </c>
      <c r="F9420" s="7" t="s">
        <v>32</v>
      </c>
      <c r="G9420" s="7">
        <v>3955053</v>
      </c>
      <c r="H9420" s="7">
        <v>2430</v>
      </c>
      <c r="I9420" s="7">
        <v>40</v>
      </c>
      <c r="J9420" s="7">
        <v>0</v>
      </c>
      <c r="K9420" s="7" t="s">
        <v>18</v>
      </c>
      <c r="L9420" s="8">
        <v>39987.315405092595</v>
      </c>
      <c r="M9420" s="9" t="s">
        <v>19</v>
      </c>
      <c r="N9420" s="9" t="s">
        <v>20</v>
      </c>
      <c r="O9420" s="6" t="str">
        <f>HYPERLINK("https://pbs.twimg.com/profile_images/962471262747529216/Uo8lOkRJ_normal.jpg","View")</f>
        <v>View</v>
      </c>
      <c r="P9420" s="7"/>
    </row>
    <row r="9421" spans="1:16">
      <c r="A9421" s="3">
        <v>44079.243425925924</v>
      </c>
      <c r="B9421" s="4" t="str">
        <f>HYPERLINK("https://twitter.com/petrogustavo","@petrogustavo")</f>
        <v>@petrogustavo</v>
      </c>
      <c r="C9421" s="5" t="s">
        <v>16</v>
      </c>
      <c r="D9421" s="5" t="s">
        <v>9063</v>
      </c>
      <c r="E9421" s="6" t="str">
        <f>HYPERLINK("https://twitter.com/petrogustavo/status/1302038872524759041","1302038872524759041")</f>
        <v>1302038872524759041</v>
      </c>
      <c r="F9421" s="7" t="s">
        <v>32</v>
      </c>
      <c r="G9421" s="7">
        <v>3955068</v>
      </c>
      <c r="H9421" s="7">
        <v>2430</v>
      </c>
      <c r="I9421" s="7">
        <v>164</v>
      </c>
      <c r="J9421" s="7">
        <v>0</v>
      </c>
      <c r="K9421" s="7" t="s">
        <v>18</v>
      </c>
      <c r="L9421" s="8">
        <v>39987.315405092595</v>
      </c>
      <c r="M9421" s="9" t="s">
        <v>19</v>
      </c>
      <c r="N9421" s="9" t="s">
        <v>20</v>
      </c>
      <c r="O9421" s="6" t="str">
        <f>HYPERLINK("https://pbs.twimg.com/profile_images/962471262747529216/Uo8lOkRJ_normal.jpg","View")</f>
        <v>View</v>
      </c>
      <c r="P9421" s="7"/>
    </row>
    <row r="9422" spans="1:16">
      <c r="A9422" s="3">
        <v>44079.243981481486</v>
      </c>
      <c r="B9422" s="4" t="str">
        <f>HYPERLINK("https://twitter.com/petrogustavo","@petrogustavo")</f>
        <v>@petrogustavo</v>
      </c>
      <c r="C9422" s="5" t="s">
        <v>16</v>
      </c>
      <c r="D9422" s="5" t="s">
        <v>9064</v>
      </c>
      <c r="E9422" s="6" t="str">
        <f>HYPERLINK("https://twitter.com/petrogustavo/status/1302039071481569280","1302039071481569280")</f>
        <v>1302039071481569280</v>
      </c>
      <c r="F9422" s="7" t="s">
        <v>32</v>
      </c>
      <c r="G9422" s="7">
        <v>3955068</v>
      </c>
      <c r="H9422" s="7">
        <v>2430</v>
      </c>
      <c r="I9422" s="7">
        <v>207</v>
      </c>
      <c r="J9422" s="7">
        <v>0</v>
      </c>
      <c r="K9422" s="7" t="s">
        <v>18</v>
      </c>
      <c r="L9422" s="8">
        <v>39987.315405092595</v>
      </c>
      <c r="M9422" s="9" t="s">
        <v>19</v>
      </c>
      <c r="N9422" s="9" t="s">
        <v>20</v>
      </c>
      <c r="O9422" s="6" t="str">
        <f>HYPERLINK("https://pbs.twimg.com/profile_images/962471262747529216/Uo8lOkRJ_normal.jpg","View")</f>
        <v>View</v>
      </c>
      <c r="P9422" s="7"/>
    </row>
    <row r="9423" spans="1:16">
      <c r="A9423" s="3">
        <v>44079.244027777779</v>
      </c>
      <c r="B9423" s="4" t="str">
        <f>HYPERLINK("https://twitter.com/petrogustavo","@petrogustavo")</f>
        <v>@petrogustavo</v>
      </c>
      <c r="C9423" s="5" t="s">
        <v>16</v>
      </c>
      <c r="D9423" s="5" t="s">
        <v>9065</v>
      </c>
      <c r="E9423" s="6" t="str">
        <f>HYPERLINK("https://twitter.com/petrogustavo/status/1302039089940762624","1302039089940762624")</f>
        <v>1302039089940762624</v>
      </c>
      <c r="F9423" s="7" t="s">
        <v>32</v>
      </c>
      <c r="G9423" s="7">
        <v>3955068</v>
      </c>
      <c r="H9423" s="7">
        <v>2430</v>
      </c>
      <c r="I9423" s="7">
        <v>50</v>
      </c>
      <c r="J9423" s="7">
        <v>0</v>
      </c>
      <c r="K9423" s="7" t="s">
        <v>18</v>
      </c>
      <c r="L9423" s="8">
        <v>39987.315405092595</v>
      </c>
      <c r="M9423" s="9" t="s">
        <v>19</v>
      </c>
      <c r="N9423" s="9" t="s">
        <v>20</v>
      </c>
      <c r="O9423" s="6" t="str">
        <f>HYPERLINK("https://pbs.twimg.com/profile_images/962471262747529216/Uo8lOkRJ_normal.jpg","View")</f>
        <v>View</v>
      </c>
      <c r="P9423" s="7"/>
    </row>
    <row r="9424" spans="1:16">
      <c r="A9424" s="3">
        <v>44079.244143518517</v>
      </c>
      <c r="B9424" s="4" t="str">
        <f>HYPERLINK("https://twitter.com/petrogustavo","@petrogustavo")</f>
        <v>@petrogustavo</v>
      </c>
      <c r="C9424" s="5" t="s">
        <v>16</v>
      </c>
      <c r="D9424" s="5" t="s">
        <v>9066</v>
      </c>
      <c r="E9424" s="6" t="str">
        <f>HYPERLINK("https://twitter.com/petrogustavo/status/1302039131661402112","1302039131661402112")</f>
        <v>1302039131661402112</v>
      </c>
      <c r="F9424" s="7" t="s">
        <v>32</v>
      </c>
      <c r="G9424" s="7">
        <v>3955068</v>
      </c>
      <c r="H9424" s="7">
        <v>2430</v>
      </c>
      <c r="I9424" s="7">
        <v>40</v>
      </c>
      <c r="J9424" s="7">
        <v>0</v>
      </c>
      <c r="K9424" s="7" t="s">
        <v>18</v>
      </c>
      <c r="L9424" s="8">
        <v>39987.315405092595</v>
      </c>
      <c r="M9424" s="9" t="s">
        <v>19</v>
      </c>
      <c r="N9424" s="9" t="s">
        <v>20</v>
      </c>
      <c r="O9424" s="6" t="str">
        <f>HYPERLINK("https://pbs.twimg.com/profile_images/962471262747529216/Uo8lOkRJ_normal.jpg","View")</f>
        <v>View</v>
      </c>
      <c r="P9424" s="7"/>
    </row>
    <row r="9425" spans="1:16">
      <c r="A9425" s="3">
        <v>44079.245219907403</v>
      </c>
      <c r="B9425" s="4" t="str">
        <f>HYPERLINK("https://twitter.com/petrogustavo","@petrogustavo")</f>
        <v>@petrogustavo</v>
      </c>
      <c r="C9425" s="5" t="s">
        <v>16</v>
      </c>
      <c r="D9425" s="5" t="s">
        <v>9067</v>
      </c>
      <c r="E9425" s="6" t="str">
        <f>HYPERLINK("https://twitter.com/petrogustavo/status/1302039520393785344","1302039520393785344")</f>
        <v>1302039520393785344</v>
      </c>
      <c r="F9425" s="7" t="s">
        <v>32</v>
      </c>
      <c r="G9425" s="7">
        <v>3955068</v>
      </c>
      <c r="H9425" s="7">
        <v>2430</v>
      </c>
      <c r="I9425" s="7">
        <v>78</v>
      </c>
      <c r="J9425" s="7">
        <v>0</v>
      </c>
      <c r="K9425" s="7" t="s">
        <v>18</v>
      </c>
      <c r="L9425" s="8">
        <v>39987.315405092595</v>
      </c>
      <c r="M9425" s="9" t="s">
        <v>19</v>
      </c>
      <c r="N9425" s="9" t="s">
        <v>20</v>
      </c>
      <c r="O9425" s="6" t="str">
        <f>HYPERLINK("https://pbs.twimg.com/profile_images/962471262747529216/Uo8lOkRJ_normal.jpg","View")</f>
        <v>View</v>
      </c>
      <c r="P9425" s="7"/>
    </row>
    <row r="9426" spans="1:16">
      <c r="A9426" s="3">
        <v>44079.245289351849</v>
      </c>
      <c r="B9426" s="4" t="str">
        <f>HYPERLINK("https://twitter.com/petrogustavo","@petrogustavo")</f>
        <v>@petrogustavo</v>
      </c>
      <c r="C9426" s="5" t="s">
        <v>16</v>
      </c>
      <c r="D9426" s="5" t="s">
        <v>9068</v>
      </c>
      <c r="E9426" s="6" t="str">
        <f>HYPERLINK("https://twitter.com/petrogustavo/status/1302039546188754945","1302039546188754945")</f>
        <v>1302039546188754945</v>
      </c>
      <c r="F9426" s="7" t="s">
        <v>32</v>
      </c>
      <c r="G9426" s="7">
        <v>3955068</v>
      </c>
      <c r="H9426" s="7">
        <v>2430</v>
      </c>
      <c r="I9426" s="7">
        <v>52</v>
      </c>
      <c r="J9426" s="7">
        <v>0</v>
      </c>
      <c r="K9426" s="7" t="s">
        <v>18</v>
      </c>
      <c r="L9426" s="8">
        <v>39987.315405092595</v>
      </c>
      <c r="M9426" s="9" t="s">
        <v>19</v>
      </c>
      <c r="N9426" s="9" t="s">
        <v>20</v>
      </c>
      <c r="O9426" s="6" t="str">
        <f>HYPERLINK("https://pbs.twimg.com/profile_images/962471262747529216/Uo8lOkRJ_normal.jpg","View")</f>
        <v>View</v>
      </c>
      <c r="P9426" s="7"/>
    </row>
    <row r="9427" spans="1:16">
      <c r="A9427" s="3">
        <v>44079.245370370365</v>
      </c>
      <c r="B9427" s="4" t="str">
        <f>HYPERLINK("https://twitter.com/petrogustavo","@petrogustavo")</f>
        <v>@petrogustavo</v>
      </c>
      <c r="C9427" s="5" t="s">
        <v>16</v>
      </c>
      <c r="D9427" s="5" t="s">
        <v>9069</v>
      </c>
      <c r="E9427" s="6" t="str">
        <f>HYPERLINK("https://twitter.com/petrogustavo/status/1302039577805443073","1302039577805443073")</f>
        <v>1302039577805443073</v>
      </c>
      <c r="F9427" s="7" t="s">
        <v>32</v>
      </c>
      <c r="G9427" s="7">
        <v>3955068</v>
      </c>
      <c r="H9427" s="7">
        <v>2430</v>
      </c>
      <c r="I9427" s="7">
        <v>47</v>
      </c>
      <c r="J9427" s="7">
        <v>0</v>
      </c>
      <c r="K9427" s="7" t="s">
        <v>18</v>
      </c>
      <c r="L9427" s="8">
        <v>39987.315405092595</v>
      </c>
      <c r="M9427" s="9" t="s">
        <v>19</v>
      </c>
      <c r="N9427" s="9" t="s">
        <v>20</v>
      </c>
      <c r="O9427" s="6" t="str">
        <f>HYPERLINK("https://pbs.twimg.com/profile_images/962471262747529216/Uo8lOkRJ_normal.jpg","View")</f>
        <v>View</v>
      </c>
      <c r="P9427" s="7"/>
    </row>
    <row r="9428" spans="1:16">
      <c r="A9428" s="3">
        <v>44079.245844907404</v>
      </c>
      <c r="B9428" s="4" t="str">
        <f>HYPERLINK("https://twitter.com/petrogustavo","@petrogustavo")</f>
        <v>@petrogustavo</v>
      </c>
      <c r="C9428" s="5" t="s">
        <v>16</v>
      </c>
      <c r="D9428" s="5" t="s">
        <v>9070</v>
      </c>
      <c r="E9428" s="6" t="str">
        <f>HYPERLINK("https://twitter.com/petrogustavo/status/1302039748379369475","1302039748379369475")</f>
        <v>1302039748379369475</v>
      </c>
      <c r="F9428" s="7" t="s">
        <v>32</v>
      </c>
      <c r="G9428" s="7">
        <v>3955068</v>
      </c>
      <c r="H9428" s="7">
        <v>2430</v>
      </c>
      <c r="I9428" s="7">
        <v>71</v>
      </c>
      <c r="J9428" s="7">
        <v>0</v>
      </c>
      <c r="K9428" s="7" t="s">
        <v>18</v>
      </c>
      <c r="L9428" s="8">
        <v>39987.315405092595</v>
      </c>
      <c r="M9428" s="9" t="s">
        <v>19</v>
      </c>
      <c r="N9428" s="9" t="s">
        <v>20</v>
      </c>
      <c r="O9428" s="6" t="str">
        <f>HYPERLINK("https://pbs.twimg.com/profile_images/962471262747529216/Uo8lOkRJ_normal.jpg","View")</f>
        <v>View</v>
      </c>
      <c r="P9428" s="7"/>
    </row>
    <row r="9429" spans="1:16">
      <c r="A9429" s="3">
        <v>44079.246076388888</v>
      </c>
      <c r="B9429" s="4" t="str">
        <f>HYPERLINK("https://twitter.com/petrogustavo","@petrogustavo")</f>
        <v>@petrogustavo</v>
      </c>
      <c r="C9429" s="5" t="s">
        <v>16</v>
      </c>
      <c r="D9429" s="5" t="s">
        <v>9071</v>
      </c>
      <c r="E9429" s="6" t="str">
        <f>HYPERLINK("https://twitter.com/petrogustavo/status/1302039832005431296","1302039832005431296")</f>
        <v>1302039832005431296</v>
      </c>
      <c r="F9429" s="7" t="s">
        <v>32</v>
      </c>
      <c r="G9429" s="7">
        <v>3955068</v>
      </c>
      <c r="H9429" s="7">
        <v>2430</v>
      </c>
      <c r="I9429" s="7">
        <v>62</v>
      </c>
      <c r="J9429" s="7">
        <v>0</v>
      </c>
      <c r="K9429" s="7" t="s">
        <v>18</v>
      </c>
      <c r="L9429" s="8">
        <v>39987.315405092595</v>
      </c>
      <c r="M9429" s="9" t="s">
        <v>19</v>
      </c>
      <c r="N9429" s="9" t="s">
        <v>20</v>
      </c>
      <c r="O9429" s="6" t="str">
        <f>HYPERLINK("https://pbs.twimg.com/profile_images/962471262747529216/Uo8lOkRJ_normal.jpg","View")</f>
        <v>View</v>
      </c>
      <c r="P9429" s="7"/>
    </row>
    <row r="9430" spans="1:16">
      <c r="A9430" s="3">
        <v>44079.246944444443</v>
      </c>
      <c r="B9430" s="4" t="str">
        <f>HYPERLINK("https://twitter.com/petrogustavo","@petrogustavo")</f>
        <v>@petrogustavo</v>
      </c>
      <c r="C9430" s="5" t="s">
        <v>16</v>
      </c>
      <c r="D9430" s="5" t="s">
        <v>9072</v>
      </c>
      <c r="E9430" s="6" t="str">
        <f>HYPERLINK("https://twitter.com/petrogustavo/status/1302040148843130881","1302040148843130881")</f>
        <v>1302040148843130881</v>
      </c>
      <c r="F9430" s="7" t="s">
        <v>32</v>
      </c>
      <c r="G9430" s="7">
        <v>3955068</v>
      </c>
      <c r="H9430" s="7">
        <v>2430</v>
      </c>
      <c r="I9430" s="7">
        <v>42</v>
      </c>
      <c r="J9430" s="7">
        <v>0</v>
      </c>
      <c r="K9430" s="7" t="s">
        <v>18</v>
      </c>
      <c r="L9430" s="8">
        <v>39987.315405092595</v>
      </c>
      <c r="M9430" s="9" t="s">
        <v>19</v>
      </c>
      <c r="N9430" s="9" t="s">
        <v>20</v>
      </c>
      <c r="O9430" s="6" t="str">
        <f>HYPERLINK("https://pbs.twimg.com/profile_images/962471262747529216/Uo8lOkRJ_normal.jpg","View")</f>
        <v>View</v>
      </c>
      <c r="P9430" s="7"/>
    </row>
    <row r="9431" spans="1:16">
      <c r="A9431" s="3">
        <v>44079.247025462959</v>
      </c>
      <c r="B9431" s="4" t="str">
        <f>HYPERLINK("https://twitter.com/petrogustavo","@petrogustavo")</f>
        <v>@petrogustavo</v>
      </c>
      <c r="C9431" s="5" t="s">
        <v>16</v>
      </c>
      <c r="D9431" s="5" t="s">
        <v>9073</v>
      </c>
      <c r="E9431" s="6" t="str">
        <f>HYPERLINK("https://twitter.com/petrogustavo/status/1302040176651317248","1302040176651317248")</f>
        <v>1302040176651317248</v>
      </c>
      <c r="F9431" s="7" t="s">
        <v>32</v>
      </c>
      <c r="G9431" s="7">
        <v>3955068</v>
      </c>
      <c r="H9431" s="7">
        <v>2430</v>
      </c>
      <c r="I9431" s="7">
        <v>31</v>
      </c>
      <c r="J9431" s="7">
        <v>0</v>
      </c>
      <c r="K9431" s="7" t="s">
        <v>18</v>
      </c>
      <c r="L9431" s="8">
        <v>39987.315405092595</v>
      </c>
      <c r="M9431" s="9" t="s">
        <v>19</v>
      </c>
      <c r="N9431" s="9" t="s">
        <v>20</v>
      </c>
      <c r="O9431" s="6" t="str">
        <f>HYPERLINK("https://pbs.twimg.com/profile_images/962471262747529216/Uo8lOkRJ_normal.jpg","View")</f>
        <v>View</v>
      </c>
      <c r="P9431" s="7"/>
    </row>
    <row r="9432" spans="1:16">
      <c r="A9432" s="3">
        <v>44079.247534722221</v>
      </c>
      <c r="B9432" s="4" t="str">
        <f>HYPERLINK("https://twitter.com/petrogustavo","@petrogustavo")</f>
        <v>@petrogustavo</v>
      </c>
      <c r="C9432" s="5" t="s">
        <v>16</v>
      </c>
      <c r="D9432" s="5" t="s">
        <v>9074</v>
      </c>
      <c r="E9432" s="6" t="str">
        <f>HYPERLINK("https://twitter.com/petrogustavo/status/1302040360252772353","1302040360252772353")</f>
        <v>1302040360252772353</v>
      </c>
      <c r="F9432" s="7" t="s">
        <v>32</v>
      </c>
      <c r="G9432" s="7">
        <v>3955068</v>
      </c>
      <c r="H9432" s="7">
        <v>2430</v>
      </c>
      <c r="I9432" s="7">
        <v>63</v>
      </c>
      <c r="J9432" s="7">
        <v>0</v>
      </c>
      <c r="K9432" s="7" t="s">
        <v>18</v>
      </c>
      <c r="L9432" s="8">
        <v>39987.315405092595</v>
      </c>
      <c r="M9432" s="9" t="s">
        <v>19</v>
      </c>
      <c r="N9432" s="9" t="s">
        <v>20</v>
      </c>
      <c r="O9432" s="6" t="str">
        <f>HYPERLINK("https://pbs.twimg.com/profile_images/962471262747529216/Uo8lOkRJ_normal.jpg","View")</f>
        <v>View</v>
      </c>
      <c r="P9432" s="7"/>
    </row>
    <row r="9433" spans="1:16">
      <c r="A9433" s="3">
        <v>44079.248078703706</v>
      </c>
      <c r="B9433" s="4" t="str">
        <f>HYPERLINK("https://twitter.com/petrogustavo","@petrogustavo")</f>
        <v>@petrogustavo</v>
      </c>
      <c r="C9433" s="5" t="s">
        <v>16</v>
      </c>
      <c r="D9433" s="5" t="s">
        <v>9075</v>
      </c>
      <c r="E9433" s="6" t="str">
        <f>HYPERLINK("https://twitter.com/petrogustavo/status/1302040559947845634","1302040559947845634")</f>
        <v>1302040559947845634</v>
      </c>
      <c r="F9433" s="7" t="s">
        <v>32</v>
      </c>
      <c r="G9433" s="7">
        <v>3955068</v>
      </c>
      <c r="H9433" s="7">
        <v>2430</v>
      </c>
      <c r="I9433" s="7">
        <v>61</v>
      </c>
      <c r="J9433" s="7">
        <v>0</v>
      </c>
      <c r="K9433" s="7" t="s">
        <v>18</v>
      </c>
      <c r="L9433" s="8">
        <v>39987.315405092595</v>
      </c>
      <c r="M9433" s="9" t="s">
        <v>19</v>
      </c>
      <c r="N9433" s="9" t="s">
        <v>20</v>
      </c>
      <c r="O9433" s="6" t="str">
        <f>HYPERLINK("https://pbs.twimg.com/profile_images/962471262747529216/Uo8lOkRJ_normal.jpg","View")</f>
        <v>View</v>
      </c>
      <c r="P9433" s="7"/>
    </row>
    <row r="9434" spans="1:16">
      <c r="A9434" s="3">
        <v>44079.248159722221</v>
      </c>
      <c r="B9434" s="4" t="str">
        <f>HYPERLINK("https://twitter.com/petrogustavo","@petrogustavo")</f>
        <v>@petrogustavo</v>
      </c>
      <c r="C9434" s="5" t="s">
        <v>16</v>
      </c>
      <c r="D9434" s="5" t="s">
        <v>9076</v>
      </c>
      <c r="E9434" s="6" t="str">
        <f>HYPERLINK("https://twitter.com/petrogustavo/status/1302040589043671045","1302040589043671045")</f>
        <v>1302040589043671045</v>
      </c>
      <c r="F9434" s="7" t="s">
        <v>32</v>
      </c>
      <c r="G9434" s="7">
        <v>3955068</v>
      </c>
      <c r="H9434" s="7">
        <v>2430</v>
      </c>
      <c r="I9434" s="7">
        <v>48</v>
      </c>
      <c r="J9434" s="7">
        <v>0</v>
      </c>
      <c r="K9434" s="7" t="s">
        <v>18</v>
      </c>
      <c r="L9434" s="8">
        <v>39987.315405092595</v>
      </c>
      <c r="M9434" s="9" t="s">
        <v>19</v>
      </c>
      <c r="N9434" s="9" t="s">
        <v>20</v>
      </c>
      <c r="O9434" s="6" t="str">
        <f>HYPERLINK("https://pbs.twimg.com/profile_images/962471262747529216/Uo8lOkRJ_normal.jpg","View")</f>
        <v>View</v>
      </c>
      <c r="P9434" s="7"/>
    </row>
    <row r="9435" spans="1:16">
      <c r="A9435" s="3">
        <v>44079.248229166667</v>
      </c>
      <c r="B9435" s="4" t="str">
        <f>HYPERLINK("https://twitter.com/petrogustavo","@petrogustavo")</f>
        <v>@petrogustavo</v>
      </c>
      <c r="C9435" s="5" t="s">
        <v>16</v>
      </c>
      <c r="D9435" s="5" t="s">
        <v>9077</v>
      </c>
      <c r="E9435" s="6" t="str">
        <f>HYPERLINK("https://twitter.com/petrogustavo/status/1302040612036923392","1302040612036923392")</f>
        <v>1302040612036923392</v>
      </c>
      <c r="F9435" s="7" t="s">
        <v>32</v>
      </c>
      <c r="G9435" s="7">
        <v>3955068</v>
      </c>
      <c r="H9435" s="7">
        <v>2430</v>
      </c>
      <c r="I9435" s="7">
        <v>42</v>
      </c>
      <c r="J9435" s="7">
        <v>0</v>
      </c>
      <c r="K9435" s="7" t="s">
        <v>18</v>
      </c>
      <c r="L9435" s="8">
        <v>39987.315405092595</v>
      </c>
      <c r="M9435" s="9" t="s">
        <v>19</v>
      </c>
      <c r="N9435" s="9" t="s">
        <v>20</v>
      </c>
      <c r="O9435" s="6" t="str">
        <f>HYPERLINK("https://pbs.twimg.com/profile_images/962471262747529216/Uo8lOkRJ_normal.jpg","View")</f>
        <v>View</v>
      </c>
      <c r="P9435" s="7"/>
    </row>
    <row r="9436" spans="1:16">
      <c r="A9436" s="3">
        <v>44079.24864583333</v>
      </c>
      <c r="B9436" s="4" t="str">
        <f>HYPERLINK("https://twitter.com/petrogustavo","@petrogustavo")</f>
        <v>@petrogustavo</v>
      </c>
      <c r="C9436" s="5" t="s">
        <v>16</v>
      </c>
      <c r="D9436" s="5" t="s">
        <v>9078</v>
      </c>
      <c r="E9436" s="6" t="str">
        <f>HYPERLINK("https://twitter.com/petrogustavo/status/1302040762385866761","1302040762385866761")</f>
        <v>1302040762385866761</v>
      </c>
      <c r="F9436" s="7" t="s">
        <v>32</v>
      </c>
      <c r="G9436" s="7">
        <v>3955068</v>
      </c>
      <c r="H9436" s="7">
        <v>2430</v>
      </c>
      <c r="I9436" s="7">
        <v>537</v>
      </c>
      <c r="J9436" s="7">
        <v>0</v>
      </c>
      <c r="K9436" s="7" t="s">
        <v>18</v>
      </c>
      <c r="L9436" s="8">
        <v>39987.315405092595</v>
      </c>
      <c r="M9436" s="9" t="s">
        <v>19</v>
      </c>
      <c r="N9436" s="9" t="s">
        <v>20</v>
      </c>
      <c r="O9436" s="6" t="str">
        <f>HYPERLINK("https://pbs.twimg.com/profile_images/962471262747529216/Uo8lOkRJ_normal.jpg","View")</f>
        <v>View</v>
      </c>
      <c r="P9436" s="7"/>
    </row>
    <row r="9437" spans="1:16">
      <c r="A9437" s="3">
        <v>44079.250601851847</v>
      </c>
      <c r="B9437" s="4" t="str">
        <f>HYPERLINK("https://twitter.com/petrogustavo","@petrogustavo")</f>
        <v>@petrogustavo</v>
      </c>
      <c r="C9437" s="5" t="s">
        <v>16</v>
      </c>
      <c r="D9437" s="5" t="s">
        <v>9079</v>
      </c>
      <c r="E9437" s="6" t="str">
        <f>HYPERLINK("https://twitter.com/petrogustavo/status/1302041473718902787","1302041473718902787")</f>
        <v>1302041473718902787</v>
      </c>
      <c r="F9437" s="7" t="s">
        <v>32</v>
      </c>
      <c r="G9437" s="7">
        <v>3955068</v>
      </c>
      <c r="H9437" s="7">
        <v>2430</v>
      </c>
      <c r="I9437" s="7">
        <v>42</v>
      </c>
      <c r="J9437" s="7">
        <v>0</v>
      </c>
      <c r="K9437" s="7" t="s">
        <v>18</v>
      </c>
      <c r="L9437" s="8">
        <v>39987.315405092595</v>
      </c>
      <c r="M9437" s="9" t="s">
        <v>19</v>
      </c>
      <c r="N9437" s="9" t="s">
        <v>20</v>
      </c>
      <c r="O9437" s="6" t="str">
        <f>HYPERLINK("https://pbs.twimg.com/profile_images/962471262747529216/Uo8lOkRJ_normal.jpg","View")</f>
        <v>View</v>
      </c>
      <c r="P9437" s="7"/>
    </row>
    <row r="9438" spans="1:16">
      <c r="A9438" s="3">
        <v>44079.250960648147</v>
      </c>
      <c r="B9438" s="4" t="str">
        <f>HYPERLINK("https://twitter.com/petrogustavo","@petrogustavo")</f>
        <v>@petrogustavo</v>
      </c>
      <c r="C9438" s="5" t="s">
        <v>16</v>
      </c>
      <c r="D9438" s="5" t="s">
        <v>9080</v>
      </c>
      <c r="E9438" s="6" t="str">
        <f>HYPERLINK("https://twitter.com/petrogustavo/status/1302041602718916608","1302041602718916608")</f>
        <v>1302041602718916608</v>
      </c>
      <c r="F9438" s="7" t="s">
        <v>32</v>
      </c>
      <c r="G9438" s="7">
        <v>3955068</v>
      </c>
      <c r="H9438" s="7">
        <v>2430</v>
      </c>
      <c r="I9438" s="7">
        <v>64</v>
      </c>
      <c r="J9438" s="7">
        <v>0</v>
      </c>
      <c r="K9438" s="7" t="s">
        <v>18</v>
      </c>
      <c r="L9438" s="8">
        <v>39987.315405092595</v>
      </c>
      <c r="M9438" s="9" t="s">
        <v>19</v>
      </c>
      <c r="N9438" s="9" t="s">
        <v>20</v>
      </c>
      <c r="O9438" s="6" t="str">
        <f>HYPERLINK("https://pbs.twimg.com/profile_images/962471262747529216/Uo8lOkRJ_normal.jpg","View")</f>
        <v>View</v>
      </c>
      <c r="P9438" s="7"/>
    </row>
    <row r="9439" spans="1:16">
      <c r="A9439" s="3">
        <v>44079.253761574073</v>
      </c>
      <c r="B9439" s="4" t="str">
        <f>HYPERLINK("https://twitter.com/petrogustavo","@petrogustavo")</f>
        <v>@petrogustavo</v>
      </c>
      <c r="C9439" s="5" t="s">
        <v>16</v>
      </c>
      <c r="D9439" s="5" t="s">
        <v>9081</v>
      </c>
      <c r="E9439" s="6" t="str">
        <f>HYPERLINK("https://twitter.com/petrogustavo/status/1302042617878896648","1302042617878896648")</f>
        <v>1302042617878896648</v>
      </c>
      <c r="F9439" s="7" t="s">
        <v>32</v>
      </c>
      <c r="G9439" s="7">
        <v>3955068</v>
      </c>
      <c r="H9439" s="7">
        <v>2430</v>
      </c>
      <c r="I9439" s="7">
        <v>35</v>
      </c>
      <c r="J9439" s="7">
        <v>0</v>
      </c>
      <c r="K9439" s="7" t="s">
        <v>18</v>
      </c>
      <c r="L9439" s="8">
        <v>39987.315405092595</v>
      </c>
      <c r="M9439" s="9" t="s">
        <v>19</v>
      </c>
      <c r="N9439" s="9" t="s">
        <v>20</v>
      </c>
      <c r="O9439" s="6" t="str">
        <f>HYPERLINK("https://pbs.twimg.com/profile_images/962471262747529216/Uo8lOkRJ_normal.jpg","View")</f>
        <v>View</v>
      </c>
      <c r="P9439" s="7"/>
    </row>
    <row r="9440" spans="1:16">
      <c r="A9440" s="3">
        <v>44079.259027777778</v>
      </c>
      <c r="B9440" s="4" t="str">
        <f>HYPERLINK("https://twitter.com/petrogustavo","@petrogustavo")</f>
        <v>@petrogustavo</v>
      </c>
      <c r="C9440" s="5" t="s">
        <v>16</v>
      </c>
      <c r="D9440" s="5" t="s">
        <v>9082</v>
      </c>
      <c r="E9440" s="6" t="str">
        <f>HYPERLINK("https://twitter.com/petrogustavo/status/1302044526656344064","1302044526656344064")</f>
        <v>1302044526656344064</v>
      </c>
      <c r="F9440" s="7" t="s">
        <v>32</v>
      </c>
      <c r="G9440" s="7">
        <v>3955068</v>
      </c>
      <c r="H9440" s="7">
        <v>2430</v>
      </c>
      <c r="I9440" s="7">
        <v>31</v>
      </c>
      <c r="J9440" s="7">
        <v>0</v>
      </c>
      <c r="K9440" s="7" t="s">
        <v>18</v>
      </c>
      <c r="L9440" s="8">
        <v>39987.315405092595</v>
      </c>
      <c r="M9440" s="9" t="s">
        <v>19</v>
      </c>
      <c r="N9440" s="9" t="s">
        <v>20</v>
      </c>
      <c r="O9440" s="6" t="str">
        <f>HYPERLINK("https://pbs.twimg.com/profile_images/962471262747529216/Uo8lOkRJ_normal.jpg","View")</f>
        <v>View</v>
      </c>
      <c r="P9440" s="7"/>
    </row>
    <row r="9441" spans="1:16">
      <c r="A9441" s="3">
        <v>44079.260682870372</v>
      </c>
      <c r="B9441" s="4" t="str">
        <f>HYPERLINK("https://twitter.com/petrogustavo","@petrogustavo")</f>
        <v>@petrogustavo</v>
      </c>
      <c r="C9441" s="5" t="s">
        <v>16</v>
      </c>
      <c r="D9441" s="5" t="s">
        <v>9083</v>
      </c>
      <c r="E9441" s="6" t="str">
        <f>HYPERLINK("https://twitter.com/petrogustavo/status/1302045124621410305","1302045124621410305")</f>
        <v>1302045124621410305</v>
      </c>
      <c r="F9441" s="7" t="s">
        <v>32</v>
      </c>
      <c r="G9441" s="7">
        <v>3955068</v>
      </c>
      <c r="H9441" s="7">
        <v>2430</v>
      </c>
      <c r="I9441" s="7">
        <v>692</v>
      </c>
      <c r="J9441" s="7">
        <v>0</v>
      </c>
      <c r="K9441" s="7" t="s">
        <v>18</v>
      </c>
      <c r="L9441" s="8">
        <v>39987.315405092595</v>
      </c>
      <c r="M9441" s="9" t="s">
        <v>19</v>
      </c>
      <c r="N9441" s="9" t="s">
        <v>20</v>
      </c>
      <c r="O9441" s="6" t="str">
        <f>HYPERLINK("https://pbs.twimg.com/profile_images/962471262747529216/Uo8lOkRJ_normal.jpg","View")</f>
        <v>View</v>
      </c>
      <c r="P9441" s="7"/>
    </row>
    <row r="9442" spans="1:16">
      <c r="A9442" s="3">
        <v>44079.262337962966</v>
      </c>
      <c r="B9442" s="4" t="str">
        <f>HYPERLINK("https://twitter.com/petrogustavo","@petrogustavo")</f>
        <v>@petrogustavo</v>
      </c>
      <c r="C9442" s="5" t="s">
        <v>16</v>
      </c>
      <c r="D9442" s="5" t="s">
        <v>9084</v>
      </c>
      <c r="E9442" s="6" t="str">
        <f>HYPERLINK("https://twitter.com/petrogustavo/status/1302045726697041921","1302045726697041921")</f>
        <v>1302045726697041921</v>
      </c>
      <c r="F9442" s="7" t="s">
        <v>32</v>
      </c>
      <c r="G9442" s="7">
        <v>3955068</v>
      </c>
      <c r="H9442" s="7">
        <v>2430</v>
      </c>
      <c r="I9442" s="7">
        <v>3</v>
      </c>
      <c r="J9442" s="7">
        <v>7</v>
      </c>
      <c r="K9442" s="7" t="s">
        <v>18</v>
      </c>
      <c r="L9442" s="8">
        <v>39987.315405092595</v>
      </c>
      <c r="M9442" s="9" t="s">
        <v>19</v>
      </c>
      <c r="N9442" s="9" t="s">
        <v>20</v>
      </c>
      <c r="O9442" s="6" t="str">
        <f>HYPERLINK("https://pbs.twimg.com/profile_images/962471262747529216/Uo8lOkRJ_normal.jpg","View")</f>
        <v>View</v>
      </c>
      <c r="P9442" s="7"/>
    </row>
    <row r="9443" spans="1:16">
      <c r="A9443" s="3">
        <v>44079.760277777779</v>
      </c>
      <c r="B9443" s="4" t="str">
        <f>HYPERLINK("https://twitter.com/petrogustavo","@petrogustavo")</f>
        <v>@petrogustavo</v>
      </c>
      <c r="C9443" s="5" t="s">
        <v>16</v>
      </c>
      <c r="D9443" s="5" t="s">
        <v>9085</v>
      </c>
      <c r="E9443" s="6" t="str">
        <f>HYPERLINK("https://twitter.com/petrogustavo/status/1302226172558946312","1302226172558946312")</f>
        <v>1302226172558946312</v>
      </c>
      <c r="F9443" s="7" t="s">
        <v>17</v>
      </c>
      <c r="G9443" s="7">
        <v>3955174</v>
      </c>
      <c r="H9443" s="7">
        <v>2431</v>
      </c>
      <c r="I9443" s="7">
        <v>14</v>
      </c>
      <c r="J9443" s="7">
        <v>47</v>
      </c>
      <c r="K9443" s="7" t="s">
        <v>18</v>
      </c>
      <c r="L9443" s="8">
        <v>39987.315405092595</v>
      </c>
      <c r="M9443" s="9" t="s">
        <v>19</v>
      </c>
      <c r="N9443" s="9" t="s">
        <v>20</v>
      </c>
      <c r="O9443" s="6" t="str">
        <f>HYPERLINK("https://pbs.twimg.com/profile_images/962471262747529216/Uo8lOkRJ_normal.jpg","View")</f>
        <v>View</v>
      </c>
      <c r="P9443" s="7"/>
    </row>
    <row r="9444" spans="1:16">
      <c r="A9444" s="3">
        <v>44079.765150462961</v>
      </c>
      <c r="B9444" s="4" t="str">
        <f>HYPERLINK("https://twitter.com/petrogustavo","@petrogustavo")</f>
        <v>@petrogustavo</v>
      </c>
      <c r="C9444" s="5" t="s">
        <v>16</v>
      </c>
      <c r="D9444" s="5" t="s">
        <v>9086</v>
      </c>
      <c r="E9444" s="6" t="str">
        <f>HYPERLINK("https://twitter.com/petrogustavo/status/1302227938906173445","1302227938906173445")</f>
        <v>1302227938906173445</v>
      </c>
      <c r="F9444" s="7" t="s">
        <v>17</v>
      </c>
      <c r="G9444" s="7">
        <v>3955166</v>
      </c>
      <c r="H9444" s="7">
        <v>2431</v>
      </c>
      <c r="I9444" s="7">
        <v>78</v>
      </c>
      <c r="J9444" s="7">
        <v>142</v>
      </c>
      <c r="K9444" s="7" t="s">
        <v>18</v>
      </c>
      <c r="L9444" s="8">
        <v>39987.315405092595</v>
      </c>
      <c r="M9444" s="9" t="s">
        <v>19</v>
      </c>
      <c r="N9444" s="9" t="s">
        <v>20</v>
      </c>
      <c r="O9444" s="6" t="str">
        <f>HYPERLINK("https://pbs.twimg.com/profile_images/962471262747529216/Uo8lOkRJ_normal.jpg","View")</f>
        <v>View</v>
      </c>
      <c r="P9444" s="7"/>
    </row>
    <row r="9445" spans="1:16">
      <c r="A9445" s="3">
        <v>44079.767395833333</v>
      </c>
      <c r="B9445" s="4" t="str">
        <f>HYPERLINK("https://twitter.com/petrogustavo","@petrogustavo")</f>
        <v>@petrogustavo</v>
      </c>
      <c r="C9445" s="5" t="s">
        <v>16</v>
      </c>
      <c r="D9445" s="5" t="s">
        <v>9087</v>
      </c>
      <c r="E9445" s="6" t="str">
        <f>HYPERLINK("https://twitter.com/petrogustavo/status/1302228752945098754","1302228752945098754")</f>
        <v>1302228752945098754</v>
      </c>
      <c r="F9445" s="7" t="s">
        <v>17</v>
      </c>
      <c r="G9445" s="7">
        <v>3955166</v>
      </c>
      <c r="H9445" s="7">
        <v>2431</v>
      </c>
      <c r="I9445" s="7">
        <v>131</v>
      </c>
      <c r="J9445" s="7">
        <v>216</v>
      </c>
      <c r="K9445" s="7" t="s">
        <v>18</v>
      </c>
      <c r="L9445" s="8">
        <v>39987.315405092595</v>
      </c>
      <c r="M9445" s="9" t="s">
        <v>19</v>
      </c>
      <c r="N9445" s="9" t="s">
        <v>20</v>
      </c>
      <c r="O9445" s="6" t="str">
        <f>HYPERLINK("https://pbs.twimg.com/profile_images/962471262747529216/Uo8lOkRJ_normal.jpg","View")</f>
        <v>View</v>
      </c>
      <c r="P9445" s="7"/>
    </row>
    <row r="9446" spans="1:16">
      <c r="A9446" s="3">
        <v>44079.771226851852</v>
      </c>
      <c r="B9446" s="4" t="str">
        <f>HYPERLINK("https://twitter.com/petrogustavo","@petrogustavo")</f>
        <v>@petrogustavo</v>
      </c>
      <c r="C9446" s="5" t="s">
        <v>16</v>
      </c>
      <c r="D9446" s="5" t="s">
        <v>9088</v>
      </c>
      <c r="E9446" s="6" t="str">
        <f>HYPERLINK("https://twitter.com/petrogustavo/status/1302230140408258560","1302230140408258560")</f>
        <v>1302230140408258560</v>
      </c>
      <c r="F9446" s="7" t="s">
        <v>17</v>
      </c>
      <c r="G9446" s="7">
        <v>3955166</v>
      </c>
      <c r="H9446" s="7">
        <v>2431</v>
      </c>
      <c r="I9446" s="7">
        <v>139</v>
      </c>
      <c r="J9446" s="7">
        <v>316</v>
      </c>
      <c r="K9446" s="7" t="s">
        <v>18</v>
      </c>
      <c r="L9446" s="8">
        <v>39987.315405092595</v>
      </c>
      <c r="M9446" s="9" t="s">
        <v>19</v>
      </c>
      <c r="N9446" s="9" t="s">
        <v>20</v>
      </c>
      <c r="O9446" s="6" t="str">
        <f>HYPERLINK("https://pbs.twimg.com/profile_images/962471262747529216/Uo8lOkRJ_normal.jpg","View")</f>
        <v>View</v>
      </c>
      <c r="P9446" s="7"/>
    </row>
    <row r="9447" spans="1:16">
      <c r="A9447" s="3">
        <v>44079.773692129631</v>
      </c>
      <c r="B9447" s="4" t="str">
        <f>HYPERLINK("https://twitter.com/petrogustavo","@petrogustavo")</f>
        <v>@petrogustavo</v>
      </c>
      <c r="C9447" s="5" t="s">
        <v>16</v>
      </c>
      <c r="D9447" s="5" t="s">
        <v>9089</v>
      </c>
      <c r="E9447" s="6" t="str">
        <f>HYPERLINK("https://twitter.com/petrogustavo/status/1302231035862822912","1302231035862822912")</f>
        <v>1302231035862822912</v>
      </c>
      <c r="F9447" s="7" t="s">
        <v>17</v>
      </c>
      <c r="G9447" s="7">
        <v>3955166</v>
      </c>
      <c r="H9447" s="7">
        <v>2431</v>
      </c>
      <c r="I9447" s="7">
        <v>51</v>
      </c>
      <c r="J9447" s="7">
        <v>0</v>
      </c>
      <c r="K9447" s="7" t="s">
        <v>18</v>
      </c>
      <c r="L9447" s="8">
        <v>39987.315405092595</v>
      </c>
      <c r="M9447" s="9" t="s">
        <v>19</v>
      </c>
      <c r="N9447" s="9" t="s">
        <v>20</v>
      </c>
      <c r="O9447" s="6" t="str">
        <f>HYPERLINK("https://pbs.twimg.com/profile_images/962471262747529216/Uo8lOkRJ_normal.jpg","View")</f>
        <v>View</v>
      </c>
      <c r="P9447" s="7"/>
    </row>
    <row r="9448" spans="1:16">
      <c r="A9448" s="3">
        <v>44079.775902777779</v>
      </c>
      <c r="B9448" s="4" t="str">
        <f>HYPERLINK("https://twitter.com/petrogustavo","@petrogustavo")</f>
        <v>@petrogustavo</v>
      </c>
      <c r="C9448" s="5" t="s">
        <v>16</v>
      </c>
      <c r="D9448" s="5" t="s">
        <v>9090</v>
      </c>
      <c r="E9448" s="6" t="str">
        <f>HYPERLINK("https://twitter.com/petrogustavo/status/1302231834953158657","1302231834953158657")</f>
        <v>1302231834953158657</v>
      </c>
      <c r="F9448" s="7" t="s">
        <v>17</v>
      </c>
      <c r="G9448" s="7">
        <v>3955166</v>
      </c>
      <c r="H9448" s="7">
        <v>2431</v>
      </c>
      <c r="I9448" s="7">
        <v>56</v>
      </c>
      <c r="J9448" s="7">
        <v>167</v>
      </c>
      <c r="K9448" s="7" t="s">
        <v>18</v>
      </c>
      <c r="L9448" s="8">
        <v>39987.315405092595</v>
      </c>
      <c r="M9448" s="9" t="s">
        <v>19</v>
      </c>
      <c r="N9448" s="9" t="s">
        <v>20</v>
      </c>
      <c r="O9448" s="6" t="str">
        <f>HYPERLINK("https://pbs.twimg.com/profile_images/962471262747529216/Uo8lOkRJ_normal.jpg","View")</f>
        <v>View</v>
      </c>
      <c r="P9448" s="7"/>
    </row>
    <row r="9449" spans="1:16">
      <c r="A9449" s="3">
        <v>44079.779097222221</v>
      </c>
      <c r="B9449" s="4" t="str">
        <f>HYPERLINK("https://twitter.com/petrogustavo","@petrogustavo")</f>
        <v>@petrogustavo</v>
      </c>
      <c r="C9449" s="5" t="s">
        <v>16</v>
      </c>
      <c r="D9449" s="5" t="s">
        <v>9091</v>
      </c>
      <c r="E9449" s="6" t="str">
        <f>HYPERLINK("https://twitter.com/petrogustavo/status/1302232991050194944","1302232991050194944")</f>
        <v>1302232991050194944</v>
      </c>
      <c r="F9449" s="7" t="s">
        <v>17</v>
      </c>
      <c r="G9449" s="7">
        <v>3955166</v>
      </c>
      <c r="H9449" s="7">
        <v>2431</v>
      </c>
      <c r="I9449" s="7">
        <v>51</v>
      </c>
      <c r="J9449" s="7">
        <v>149</v>
      </c>
      <c r="K9449" s="7" t="s">
        <v>18</v>
      </c>
      <c r="L9449" s="8">
        <v>39987.315405092595</v>
      </c>
      <c r="M9449" s="9" t="s">
        <v>19</v>
      </c>
      <c r="N9449" s="9" t="s">
        <v>20</v>
      </c>
      <c r="O9449" s="6" t="str">
        <f>HYPERLINK("https://pbs.twimg.com/profile_images/962471262747529216/Uo8lOkRJ_normal.jpg","View")</f>
        <v>View</v>
      </c>
      <c r="P9449" s="7"/>
    </row>
    <row r="9450" spans="1:16">
      <c r="A9450" s="3">
        <v>44079.782939814817</v>
      </c>
      <c r="B9450" s="4" t="str">
        <f>HYPERLINK("https://twitter.com/petrogustavo","@petrogustavo")</f>
        <v>@petrogustavo</v>
      </c>
      <c r="C9450" s="5" t="s">
        <v>16</v>
      </c>
      <c r="D9450" s="5" t="s">
        <v>9092</v>
      </c>
      <c r="E9450" s="6" t="str">
        <f>HYPERLINK("https://twitter.com/petrogustavo/status/1302234383458406400","1302234383458406400")</f>
        <v>1302234383458406400</v>
      </c>
      <c r="F9450" s="7" t="s">
        <v>17</v>
      </c>
      <c r="G9450" s="7">
        <v>3955170</v>
      </c>
      <c r="H9450" s="7">
        <v>2431</v>
      </c>
      <c r="I9450" s="7">
        <v>71</v>
      </c>
      <c r="J9450" s="7">
        <v>128</v>
      </c>
      <c r="K9450" s="7" t="s">
        <v>18</v>
      </c>
      <c r="L9450" s="8">
        <v>39987.315405092595</v>
      </c>
      <c r="M9450" s="9" t="s">
        <v>19</v>
      </c>
      <c r="N9450" s="9" t="s">
        <v>20</v>
      </c>
      <c r="O9450" s="6" t="str">
        <f>HYPERLINK("https://pbs.twimg.com/profile_images/962471262747529216/Uo8lOkRJ_normal.jpg","View")</f>
        <v>View</v>
      </c>
      <c r="P9450" s="7"/>
    </row>
    <row r="9451" spans="1:16">
      <c r="A9451" s="3">
        <v>44079.784004629633</v>
      </c>
      <c r="B9451" s="4" t="str">
        <f>HYPERLINK("https://twitter.com/petrogustavo","@petrogustavo")</f>
        <v>@petrogustavo</v>
      </c>
      <c r="C9451" s="5" t="s">
        <v>16</v>
      </c>
      <c r="D9451" s="5" t="s">
        <v>9093</v>
      </c>
      <c r="E9451" s="6" t="str">
        <f>HYPERLINK("https://twitter.com/petrogustavo/status/1302234773230964736","1302234773230964736")</f>
        <v>1302234773230964736</v>
      </c>
      <c r="F9451" s="7" t="s">
        <v>17</v>
      </c>
      <c r="G9451" s="7">
        <v>3955170</v>
      </c>
      <c r="H9451" s="7">
        <v>2431</v>
      </c>
      <c r="I9451" s="7">
        <v>118</v>
      </c>
      <c r="J9451" s="7">
        <v>212</v>
      </c>
      <c r="K9451" s="7" t="s">
        <v>18</v>
      </c>
      <c r="L9451" s="8">
        <v>39987.315405092595</v>
      </c>
      <c r="M9451" s="9" t="s">
        <v>19</v>
      </c>
      <c r="N9451" s="9" t="s">
        <v>20</v>
      </c>
      <c r="O9451" s="6" t="str">
        <f>HYPERLINK("https://pbs.twimg.com/profile_images/962471262747529216/Uo8lOkRJ_normal.jpg","View")</f>
        <v>View</v>
      </c>
      <c r="P9451" s="7"/>
    </row>
    <row r="9452" spans="1:16">
      <c r="A9452" s="3">
        <v>44079.786770833336</v>
      </c>
      <c r="B9452" s="4" t="str">
        <f>HYPERLINK("https://twitter.com/petrogustavo","@petrogustavo")</f>
        <v>@petrogustavo</v>
      </c>
      <c r="C9452" s="5" t="s">
        <v>16</v>
      </c>
      <c r="D9452" s="5" t="s">
        <v>9094</v>
      </c>
      <c r="E9452" s="6" t="str">
        <f>HYPERLINK("https://twitter.com/petrogustavo/status/1302235772985184256","1302235772985184256")</f>
        <v>1302235772985184256</v>
      </c>
      <c r="F9452" s="7" t="s">
        <v>17</v>
      </c>
      <c r="G9452" s="7">
        <v>3955170</v>
      </c>
      <c r="H9452" s="7">
        <v>2431</v>
      </c>
      <c r="I9452" s="7">
        <v>283</v>
      </c>
      <c r="J9452" s="7">
        <v>767</v>
      </c>
      <c r="K9452" s="7" t="s">
        <v>18</v>
      </c>
      <c r="L9452" s="8">
        <v>39987.315405092595</v>
      </c>
      <c r="M9452" s="9" t="s">
        <v>19</v>
      </c>
      <c r="N9452" s="9" t="s">
        <v>20</v>
      </c>
      <c r="O9452" s="6" t="str">
        <f>HYPERLINK("https://pbs.twimg.com/profile_images/962471262747529216/Uo8lOkRJ_normal.jpg","View")</f>
        <v>View</v>
      </c>
      <c r="P9452" s="7"/>
    </row>
    <row r="9453" spans="1:16">
      <c r="A9453" s="3">
        <v>44079.790324074071</v>
      </c>
      <c r="B9453" s="4" t="str">
        <f>HYPERLINK("https://twitter.com/petrogustavo","@petrogustavo")</f>
        <v>@petrogustavo</v>
      </c>
      <c r="C9453" s="5" t="s">
        <v>16</v>
      </c>
      <c r="D9453" s="5" t="s">
        <v>9095</v>
      </c>
      <c r="E9453" s="6" t="str">
        <f>HYPERLINK("https://twitter.com/petrogustavo/status/1302237063249625089","1302237063249625089")</f>
        <v>1302237063249625089</v>
      </c>
      <c r="F9453" s="7" t="s">
        <v>17</v>
      </c>
      <c r="G9453" s="7">
        <v>3955170</v>
      </c>
      <c r="H9453" s="7">
        <v>2431</v>
      </c>
      <c r="I9453" s="7">
        <v>74</v>
      </c>
      <c r="J9453" s="7">
        <v>129</v>
      </c>
      <c r="K9453" s="7" t="s">
        <v>18</v>
      </c>
      <c r="L9453" s="8">
        <v>39987.315405092595</v>
      </c>
      <c r="M9453" s="9" t="s">
        <v>19</v>
      </c>
      <c r="N9453" s="9" t="s">
        <v>20</v>
      </c>
      <c r="O9453" s="6" t="str">
        <f>HYPERLINK("https://pbs.twimg.com/profile_images/962471262747529216/Uo8lOkRJ_normal.jpg","View")</f>
        <v>View</v>
      </c>
      <c r="P9453" s="7"/>
    </row>
    <row r="9454" spans="1:16">
      <c r="A9454" s="3">
        <v>44079.793379629627</v>
      </c>
      <c r="B9454" s="4" t="str">
        <f>HYPERLINK("https://twitter.com/petrogustavo","@petrogustavo")</f>
        <v>@petrogustavo</v>
      </c>
      <c r="C9454" s="5" t="s">
        <v>16</v>
      </c>
      <c r="D9454" s="5" t="s">
        <v>9096</v>
      </c>
      <c r="E9454" s="6" t="str">
        <f>HYPERLINK("https://twitter.com/petrogustavo/status/1302238169363079169","1302238169363079169")</f>
        <v>1302238169363079169</v>
      </c>
      <c r="F9454" s="7" t="s">
        <v>17</v>
      </c>
      <c r="G9454" s="7">
        <v>3955170</v>
      </c>
      <c r="H9454" s="7">
        <v>2431</v>
      </c>
      <c r="I9454" s="7">
        <v>433</v>
      </c>
      <c r="J9454" s="7">
        <v>1126</v>
      </c>
      <c r="K9454" s="7" t="s">
        <v>18</v>
      </c>
      <c r="L9454" s="8">
        <v>39987.315405092595</v>
      </c>
      <c r="M9454" s="9" t="s">
        <v>19</v>
      </c>
      <c r="N9454" s="9" t="s">
        <v>20</v>
      </c>
      <c r="O9454" s="6" t="str">
        <f>HYPERLINK("https://pbs.twimg.com/profile_images/962471262747529216/Uo8lOkRJ_normal.jpg","View")</f>
        <v>View</v>
      </c>
      <c r="P9454" s="7"/>
    </row>
    <row r="9455" spans="1:16">
      <c r="A9455" s="3">
        <v>44079.797638888893</v>
      </c>
      <c r="B9455" s="4" t="str">
        <f>HYPERLINK("https://twitter.com/petrogustavo","@petrogustavo")</f>
        <v>@petrogustavo</v>
      </c>
      <c r="C9455" s="5" t="s">
        <v>16</v>
      </c>
      <c r="D9455" s="5" t="s">
        <v>9097</v>
      </c>
      <c r="E9455" s="6" t="str">
        <f>HYPERLINK("https://twitter.com/petrogustavo/status/1302239712816566274","1302239712816566274")</f>
        <v>1302239712816566274</v>
      </c>
      <c r="F9455" s="7" t="s">
        <v>17</v>
      </c>
      <c r="G9455" s="7">
        <v>3955170</v>
      </c>
      <c r="H9455" s="7">
        <v>2431</v>
      </c>
      <c r="I9455" s="7">
        <v>107</v>
      </c>
      <c r="J9455" s="7">
        <v>254</v>
      </c>
      <c r="K9455" s="7" t="s">
        <v>18</v>
      </c>
      <c r="L9455" s="8">
        <v>39987.315405092595</v>
      </c>
      <c r="M9455" s="9" t="s">
        <v>19</v>
      </c>
      <c r="N9455" s="9" t="s">
        <v>20</v>
      </c>
      <c r="O9455" s="6" t="str">
        <f>HYPERLINK("https://pbs.twimg.com/profile_images/962471262747529216/Uo8lOkRJ_normal.jpg","View")</f>
        <v>View</v>
      </c>
      <c r="P9455" s="7"/>
    </row>
    <row r="9456" spans="1:16">
      <c r="A9456" s="3">
        <v>44079.867430555554</v>
      </c>
      <c r="B9456" s="4" t="str">
        <f>HYPERLINK("https://twitter.com/petrogustavo","@petrogustavo")</f>
        <v>@petrogustavo</v>
      </c>
      <c r="C9456" s="5" t="s">
        <v>16</v>
      </c>
      <c r="D9456" s="5" t="s">
        <v>9098</v>
      </c>
      <c r="E9456" s="6" t="str">
        <f>HYPERLINK("https://twitter.com/petrogustavo/status/1302265004478074881","1302265004478074881")</f>
        <v>1302265004478074881</v>
      </c>
      <c r="F9456" s="7" t="s">
        <v>32</v>
      </c>
      <c r="G9456" s="7">
        <v>3955200</v>
      </c>
      <c r="H9456" s="7">
        <v>2430</v>
      </c>
      <c r="I9456" s="7">
        <v>114</v>
      </c>
      <c r="J9456" s="7">
        <v>231</v>
      </c>
      <c r="K9456" s="7" t="s">
        <v>18</v>
      </c>
      <c r="L9456" s="8">
        <v>39987.315405092595</v>
      </c>
      <c r="M9456" s="9" t="s">
        <v>19</v>
      </c>
      <c r="N9456" s="9" t="s">
        <v>20</v>
      </c>
      <c r="O9456" s="6" t="str">
        <f>HYPERLINK("https://pbs.twimg.com/profile_images/962471262747529216/Uo8lOkRJ_normal.jpg","View")</f>
        <v>View</v>
      </c>
      <c r="P9456" s="7"/>
    </row>
    <row r="9457" spans="1:16">
      <c r="A9457" s="3">
        <v>44079.867766203708</v>
      </c>
      <c r="B9457" s="4" t="str">
        <f>HYPERLINK("https://twitter.com/petrogustavo","@petrogustavo")</f>
        <v>@petrogustavo</v>
      </c>
      <c r="C9457" s="5" t="s">
        <v>16</v>
      </c>
      <c r="D9457" s="5" t="s">
        <v>9099</v>
      </c>
      <c r="E9457" s="6" t="str">
        <f>HYPERLINK("https://twitter.com/petrogustavo/status/1302265124619771904","1302265124619771904")</f>
        <v>1302265124619771904</v>
      </c>
      <c r="F9457" s="7" t="s">
        <v>32</v>
      </c>
      <c r="G9457" s="7">
        <v>3955200</v>
      </c>
      <c r="H9457" s="7">
        <v>2430</v>
      </c>
      <c r="I9457" s="7">
        <v>49</v>
      </c>
      <c r="J9457" s="7">
        <v>0</v>
      </c>
      <c r="K9457" s="7" t="s">
        <v>18</v>
      </c>
      <c r="L9457" s="8">
        <v>39987.315405092595</v>
      </c>
      <c r="M9457" s="9" t="s">
        <v>19</v>
      </c>
      <c r="N9457" s="9" t="s">
        <v>20</v>
      </c>
      <c r="O9457" s="6" t="str">
        <f>HYPERLINK("https://pbs.twimg.com/profile_images/962471262747529216/Uo8lOkRJ_normal.jpg","View")</f>
        <v>View</v>
      </c>
      <c r="P9457" s="7"/>
    </row>
    <row r="9458" spans="1:16">
      <c r="A9458" s="3">
        <v>44079.871805555551</v>
      </c>
      <c r="B9458" s="4" t="str">
        <f>HYPERLINK("https://twitter.com/petrogustavo","@petrogustavo")</f>
        <v>@petrogustavo</v>
      </c>
      <c r="C9458" s="5" t="s">
        <v>16</v>
      </c>
      <c r="D9458" s="5" t="s">
        <v>9100</v>
      </c>
      <c r="E9458" s="6" t="str">
        <f>HYPERLINK("https://twitter.com/petrogustavo/status/1302266587332964358","1302266587332964358")</f>
        <v>1302266587332964358</v>
      </c>
      <c r="F9458" s="7" t="s">
        <v>32</v>
      </c>
      <c r="G9458" s="7">
        <v>3955200</v>
      </c>
      <c r="H9458" s="7">
        <v>2430</v>
      </c>
      <c r="I9458" s="7">
        <v>409</v>
      </c>
      <c r="J9458" s="7">
        <v>902</v>
      </c>
      <c r="K9458" s="7" t="s">
        <v>18</v>
      </c>
      <c r="L9458" s="8">
        <v>39987.315405092595</v>
      </c>
      <c r="M9458" s="9" t="s">
        <v>19</v>
      </c>
      <c r="N9458" s="9" t="s">
        <v>20</v>
      </c>
      <c r="O9458" s="6" t="str">
        <f>HYPERLINK("https://pbs.twimg.com/profile_images/962471262747529216/Uo8lOkRJ_normal.jpg","View")</f>
        <v>View</v>
      </c>
      <c r="P9458" s="7"/>
    </row>
    <row r="9459" spans="1:16">
      <c r="A9459" s="3">
        <v>44080.182222222225</v>
      </c>
      <c r="B9459" s="4" t="str">
        <f>HYPERLINK("https://twitter.com/petrogustavo","@petrogustavo")</f>
        <v>@petrogustavo</v>
      </c>
      <c r="C9459" s="5" t="s">
        <v>16</v>
      </c>
      <c r="D9459" s="5" t="s">
        <v>9101</v>
      </c>
      <c r="E9459" s="6" t="str">
        <f>HYPERLINK("https://twitter.com/petrogustavo/status/1302379081758113793","1302379081758113793")</f>
        <v>1302379081758113793</v>
      </c>
      <c r="F9459" s="7" t="s">
        <v>17</v>
      </c>
      <c r="G9459" s="7">
        <v>3955335</v>
      </c>
      <c r="H9459" s="7">
        <v>2430</v>
      </c>
      <c r="I9459" s="7">
        <v>302</v>
      </c>
      <c r="J9459" s="7">
        <v>647</v>
      </c>
      <c r="K9459" s="7" t="s">
        <v>18</v>
      </c>
      <c r="L9459" s="8">
        <v>39987.315405092595</v>
      </c>
      <c r="M9459" s="9" t="s">
        <v>19</v>
      </c>
      <c r="N9459" s="9" t="s">
        <v>20</v>
      </c>
      <c r="O9459" s="6" t="str">
        <f>HYPERLINK("https://pbs.twimg.com/profile_images/962471262747529216/Uo8lOkRJ_normal.jpg","View")</f>
        <v>View</v>
      </c>
      <c r="P9459" s="7"/>
    </row>
    <row r="9460" spans="1:16">
      <c r="A9460" s="3">
        <v>44080.783715277779</v>
      </c>
      <c r="B9460" s="4" t="str">
        <f>HYPERLINK("https://twitter.com/petrogustavo","@petrogustavo")</f>
        <v>@petrogustavo</v>
      </c>
      <c r="C9460" s="5" t="s">
        <v>16</v>
      </c>
      <c r="D9460" s="5" t="s">
        <v>9102</v>
      </c>
      <c r="E9460" s="6" t="str">
        <f>HYPERLINK("https://twitter.com/petrogustavo/status/1302597056121499648","1302597056121499648")</f>
        <v>1302597056121499648</v>
      </c>
      <c r="F9460" s="7" t="s">
        <v>17</v>
      </c>
      <c r="G9460" s="7">
        <v>3955494</v>
      </c>
      <c r="H9460" s="7">
        <v>2431</v>
      </c>
      <c r="I9460" s="7">
        <v>57</v>
      </c>
      <c r="J9460" s="7">
        <v>152</v>
      </c>
      <c r="K9460" s="7" t="s">
        <v>18</v>
      </c>
      <c r="L9460" s="8">
        <v>39987.315405092595</v>
      </c>
      <c r="M9460" s="9" t="s">
        <v>19</v>
      </c>
      <c r="N9460" s="9" t="s">
        <v>20</v>
      </c>
      <c r="O9460" s="6" t="str">
        <f>HYPERLINK("https://pbs.twimg.com/profile_images/962471262747529216/Uo8lOkRJ_normal.jpg","View")</f>
        <v>View</v>
      </c>
      <c r="P9460" s="7"/>
    </row>
    <row r="9461" spans="1:16">
      <c r="A9461" s="3">
        <v>44080.794386574074</v>
      </c>
      <c r="B9461" s="4" t="str">
        <f>HYPERLINK("https://twitter.com/petrogustavo","@petrogustavo")</f>
        <v>@petrogustavo</v>
      </c>
      <c r="C9461" s="5" t="s">
        <v>16</v>
      </c>
      <c r="D9461" s="5" t="s">
        <v>9103</v>
      </c>
      <c r="E9461" s="6" t="str">
        <f>HYPERLINK("https://twitter.com/petrogustavo/status/1302600922745524225","1302600922745524225")</f>
        <v>1302600922745524225</v>
      </c>
      <c r="F9461" s="7" t="s">
        <v>17</v>
      </c>
      <c r="G9461" s="7">
        <v>3955494</v>
      </c>
      <c r="H9461" s="7">
        <v>2431</v>
      </c>
      <c r="I9461" s="7">
        <v>81</v>
      </c>
      <c r="J9461" s="7">
        <v>173</v>
      </c>
      <c r="K9461" s="7" t="s">
        <v>18</v>
      </c>
      <c r="L9461" s="8">
        <v>39987.315405092595</v>
      </c>
      <c r="M9461" s="9" t="s">
        <v>19</v>
      </c>
      <c r="N9461" s="9" t="s">
        <v>20</v>
      </c>
      <c r="O9461" s="6" t="str">
        <f>HYPERLINK("https://pbs.twimg.com/profile_images/962471262747529216/Uo8lOkRJ_normal.jpg","View")</f>
        <v>View</v>
      </c>
      <c r="P9461" s="7"/>
    </row>
    <row r="9462" spans="1:16">
      <c r="A9462" s="3">
        <v>44080.79724537037</v>
      </c>
      <c r="B9462" s="4" t="str">
        <f>HYPERLINK("https://twitter.com/petrogustavo","@petrogustavo")</f>
        <v>@petrogustavo</v>
      </c>
      <c r="C9462" s="5" t="s">
        <v>16</v>
      </c>
      <c r="D9462" s="5" t="s">
        <v>9104</v>
      </c>
      <c r="E9462" s="6" t="str">
        <f>HYPERLINK("https://twitter.com/petrogustavo/status/1302601959539646468","1302601959539646468")</f>
        <v>1302601959539646468</v>
      </c>
      <c r="F9462" s="7" t="s">
        <v>17</v>
      </c>
      <c r="G9462" s="7">
        <v>3955494</v>
      </c>
      <c r="H9462" s="7">
        <v>2431</v>
      </c>
      <c r="I9462" s="7">
        <v>82</v>
      </c>
      <c r="J9462" s="7">
        <v>165</v>
      </c>
      <c r="K9462" s="7" t="s">
        <v>18</v>
      </c>
      <c r="L9462" s="8">
        <v>39987.315405092595</v>
      </c>
      <c r="M9462" s="9" t="s">
        <v>19</v>
      </c>
      <c r="N9462" s="9" t="s">
        <v>20</v>
      </c>
      <c r="O9462" s="6" t="str">
        <f>HYPERLINK("https://pbs.twimg.com/profile_images/962471262747529216/Uo8lOkRJ_normal.jpg","View")</f>
        <v>View</v>
      </c>
      <c r="P9462" s="7"/>
    </row>
    <row r="9463" spans="1:16">
      <c r="A9463" s="3">
        <v>44080.801886574074</v>
      </c>
      <c r="B9463" s="4" t="str">
        <f>HYPERLINK("https://twitter.com/petrogustavo","@petrogustavo")</f>
        <v>@petrogustavo</v>
      </c>
      <c r="C9463" s="5" t="s">
        <v>16</v>
      </c>
      <c r="D9463" s="5" t="s">
        <v>9105</v>
      </c>
      <c r="E9463" s="6" t="str">
        <f>HYPERLINK("https://twitter.com/petrogustavo/status/1302603639471640577","1302603639471640577")</f>
        <v>1302603639471640577</v>
      </c>
      <c r="F9463" s="7" t="s">
        <v>17</v>
      </c>
      <c r="G9463" s="7">
        <v>3955494</v>
      </c>
      <c r="H9463" s="7">
        <v>2431</v>
      </c>
      <c r="I9463" s="7">
        <v>4092</v>
      </c>
      <c r="J9463" s="7">
        <v>0</v>
      </c>
      <c r="K9463" s="7" t="s">
        <v>18</v>
      </c>
      <c r="L9463" s="8">
        <v>39987.315405092595</v>
      </c>
      <c r="M9463" s="9" t="s">
        <v>19</v>
      </c>
      <c r="N9463" s="9" t="s">
        <v>20</v>
      </c>
      <c r="O9463" s="6" t="str">
        <f>HYPERLINK("https://pbs.twimg.com/profile_images/962471262747529216/Uo8lOkRJ_normal.jpg","View")</f>
        <v>View</v>
      </c>
      <c r="P9463" s="7"/>
    </row>
    <row r="9464" spans="1:16">
      <c r="A9464" s="3">
        <v>44080.829201388886</v>
      </c>
      <c r="B9464" s="4" t="str">
        <f>HYPERLINK("https://twitter.com/petrogustavo","@petrogustavo")</f>
        <v>@petrogustavo</v>
      </c>
      <c r="C9464" s="5" t="s">
        <v>16</v>
      </c>
      <c r="D9464" s="5" t="s">
        <v>9106</v>
      </c>
      <c r="E9464" s="6" t="str">
        <f>HYPERLINK("https://twitter.com/petrogustavo/status/1302613538322739200","1302613538322739200")</f>
        <v>1302613538322739200</v>
      </c>
      <c r="F9464" s="7" t="s">
        <v>17</v>
      </c>
      <c r="G9464" s="7">
        <v>3955504</v>
      </c>
      <c r="H9464" s="7">
        <v>2431</v>
      </c>
      <c r="I9464" s="7">
        <v>77</v>
      </c>
      <c r="J9464" s="7">
        <v>197</v>
      </c>
      <c r="K9464" s="7" t="s">
        <v>18</v>
      </c>
      <c r="L9464" s="8">
        <v>39987.315405092595</v>
      </c>
      <c r="M9464" s="9" t="s">
        <v>19</v>
      </c>
      <c r="N9464" s="9" t="s">
        <v>20</v>
      </c>
      <c r="O9464" s="6" t="str">
        <f>HYPERLINK("https://pbs.twimg.com/profile_images/962471262747529216/Uo8lOkRJ_normal.jpg","View")</f>
        <v>View</v>
      </c>
      <c r="P9464" s="7"/>
    </row>
    <row r="9465" spans="1:16">
      <c r="A9465" s="3">
        <v>44080.831655092596</v>
      </c>
      <c r="B9465" s="4" t="str">
        <f>HYPERLINK("https://twitter.com/petrogustavo","@petrogustavo")</f>
        <v>@petrogustavo</v>
      </c>
      <c r="C9465" s="5" t="s">
        <v>16</v>
      </c>
      <c r="D9465" s="5" t="s">
        <v>9107</v>
      </c>
      <c r="E9465" s="6" t="str">
        <f>HYPERLINK("https://twitter.com/petrogustavo/status/1302614428232413184","1302614428232413184")</f>
        <v>1302614428232413184</v>
      </c>
      <c r="F9465" s="7" t="s">
        <v>17</v>
      </c>
      <c r="G9465" s="7">
        <v>3955504</v>
      </c>
      <c r="H9465" s="7">
        <v>2431</v>
      </c>
      <c r="I9465" s="7">
        <v>276</v>
      </c>
      <c r="J9465" s="7">
        <v>958</v>
      </c>
      <c r="K9465" s="7" t="s">
        <v>18</v>
      </c>
      <c r="L9465" s="8">
        <v>39987.315405092595</v>
      </c>
      <c r="M9465" s="9" t="s">
        <v>19</v>
      </c>
      <c r="N9465" s="9" t="s">
        <v>20</v>
      </c>
      <c r="O9465" s="6" t="str">
        <f>HYPERLINK("https://pbs.twimg.com/profile_images/962471262747529216/Uo8lOkRJ_normal.jpg","View")</f>
        <v>View</v>
      </c>
      <c r="P9465" s="7"/>
    </row>
    <row r="9466" spans="1:16">
      <c r="A9466" s="3">
        <v>44080.832199074073</v>
      </c>
      <c r="B9466" s="4" t="str">
        <f>HYPERLINK("https://twitter.com/petrogustavo","@petrogustavo")</f>
        <v>@petrogustavo</v>
      </c>
      <c r="C9466" s="5" t="s">
        <v>16</v>
      </c>
      <c r="D9466" s="5" t="s">
        <v>9108</v>
      </c>
      <c r="E9466" s="6" t="str">
        <f>HYPERLINK("https://twitter.com/petrogustavo/status/1302614623208837120","1302614623208837120")</f>
        <v>1302614623208837120</v>
      </c>
      <c r="F9466" s="7" t="s">
        <v>17</v>
      </c>
      <c r="G9466" s="7">
        <v>3955504</v>
      </c>
      <c r="H9466" s="7">
        <v>2431</v>
      </c>
      <c r="I9466" s="7">
        <v>77</v>
      </c>
      <c r="J9466" s="7">
        <v>0</v>
      </c>
      <c r="K9466" s="7" t="s">
        <v>18</v>
      </c>
      <c r="L9466" s="8">
        <v>39987.315405092595</v>
      </c>
      <c r="M9466" s="9" t="s">
        <v>19</v>
      </c>
      <c r="N9466" s="9" t="s">
        <v>20</v>
      </c>
      <c r="O9466" s="6" t="str">
        <f>HYPERLINK("https://pbs.twimg.com/profile_images/962471262747529216/Uo8lOkRJ_normal.jpg","View")</f>
        <v>View</v>
      </c>
      <c r="P9466" s="7"/>
    </row>
    <row r="9467" spans="1:16">
      <c r="A9467" s="3">
        <v>44080.847928240742</v>
      </c>
      <c r="B9467" s="4" t="str">
        <f>HYPERLINK("https://twitter.com/petrogustavo","@petrogustavo")</f>
        <v>@petrogustavo</v>
      </c>
      <c r="C9467" s="5" t="s">
        <v>16</v>
      </c>
      <c r="D9467" s="5" t="s">
        <v>9109</v>
      </c>
      <c r="E9467" s="6" t="str">
        <f>HYPERLINK("https://twitter.com/petrogustavo/status/1302620326027767808","1302620326027767808")</f>
        <v>1302620326027767808</v>
      </c>
      <c r="F9467" s="7" t="s">
        <v>17</v>
      </c>
      <c r="G9467" s="7">
        <v>3955516</v>
      </c>
      <c r="H9467" s="7">
        <v>2432</v>
      </c>
      <c r="I9467" s="7">
        <v>60</v>
      </c>
      <c r="J9467" s="7">
        <v>172</v>
      </c>
      <c r="K9467" s="7" t="s">
        <v>18</v>
      </c>
      <c r="L9467" s="8">
        <v>39987.315405092595</v>
      </c>
      <c r="M9467" s="9" t="s">
        <v>19</v>
      </c>
      <c r="N9467" s="9" t="s">
        <v>20</v>
      </c>
      <c r="O9467" s="6" t="str">
        <f>HYPERLINK("https://pbs.twimg.com/profile_images/962471262747529216/Uo8lOkRJ_normal.jpg","View")</f>
        <v>View</v>
      </c>
      <c r="P9467" s="7"/>
    </row>
    <row r="9468" spans="1:16">
      <c r="A9468" s="3">
        <v>44080.853506944448</v>
      </c>
      <c r="B9468" s="4" t="str">
        <f>HYPERLINK("https://twitter.com/petrogustavo","@petrogustavo")</f>
        <v>@petrogustavo</v>
      </c>
      <c r="C9468" s="5" t="s">
        <v>16</v>
      </c>
      <c r="D9468" s="5" t="s">
        <v>9110</v>
      </c>
      <c r="E9468" s="6" t="str">
        <f>HYPERLINK("https://twitter.com/petrogustavo/status/1302622346654691328","1302622346654691328")</f>
        <v>1302622346654691328</v>
      </c>
      <c r="F9468" s="7" t="s">
        <v>17</v>
      </c>
      <c r="G9468" s="7">
        <v>3955516</v>
      </c>
      <c r="H9468" s="7">
        <v>2432</v>
      </c>
      <c r="I9468" s="7">
        <v>102</v>
      </c>
      <c r="J9468" s="7">
        <v>276</v>
      </c>
      <c r="K9468" s="7" t="s">
        <v>18</v>
      </c>
      <c r="L9468" s="8">
        <v>39987.315405092595</v>
      </c>
      <c r="M9468" s="9" t="s">
        <v>19</v>
      </c>
      <c r="N9468" s="9" t="s">
        <v>20</v>
      </c>
      <c r="O9468" s="6" t="str">
        <f>HYPERLINK("https://pbs.twimg.com/profile_images/962471262747529216/Uo8lOkRJ_normal.jpg","View")</f>
        <v>View</v>
      </c>
      <c r="P9468" s="7"/>
    </row>
    <row r="9469" spans="1:16">
      <c r="A9469" s="3">
        <v>44080.859710648147</v>
      </c>
      <c r="B9469" s="4" t="str">
        <f>HYPERLINK("https://twitter.com/petrogustavo","@petrogustavo")</f>
        <v>@petrogustavo</v>
      </c>
      <c r="C9469" s="5" t="s">
        <v>16</v>
      </c>
      <c r="D9469" s="5" t="s">
        <v>9111</v>
      </c>
      <c r="E9469" s="6" t="str">
        <f>HYPERLINK("https://twitter.com/petrogustavo/status/1302624593400811521","1302624593400811521")</f>
        <v>1302624593400811521</v>
      </c>
      <c r="F9469" s="7" t="s">
        <v>17</v>
      </c>
      <c r="G9469" s="7">
        <v>3955516</v>
      </c>
      <c r="H9469" s="7">
        <v>2432</v>
      </c>
      <c r="I9469" s="7">
        <v>60</v>
      </c>
      <c r="J9469" s="7">
        <v>112</v>
      </c>
      <c r="K9469" s="7" t="s">
        <v>18</v>
      </c>
      <c r="L9469" s="8">
        <v>39987.315405092595</v>
      </c>
      <c r="M9469" s="9" t="s">
        <v>19</v>
      </c>
      <c r="N9469" s="9" t="s">
        <v>20</v>
      </c>
      <c r="O9469" s="6" t="str">
        <f>HYPERLINK("https://pbs.twimg.com/profile_images/962471262747529216/Uo8lOkRJ_normal.jpg","View")</f>
        <v>View</v>
      </c>
      <c r="P9469" s="7"/>
    </row>
    <row r="9470" spans="1:16">
      <c r="A9470" s="3">
        <v>44080.870057870372</v>
      </c>
      <c r="B9470" s="4" t="str">
        <f>HYPERLINK("https://twitter.com/petrogustavo","@petrogustavo")</f>
        <v>@petrogustavo</v>
      </c>
      <c r="C9470" s="5" t="s">
        <v>16</v>
      </c>
      <c r="D9470" s="5" t="s">
        <v>9112</v>
      </c>
      <c r="E9470" s="6" t="str">
        <f>HYPERLINK("https://twitter.com/petrogustavo/status/1302628342303264768","1302628342303264768")</f>
        <v>1302628342303264768</v>
      </c>
      <c r="F9470" s="7" t="s">
        <v>17</v>
      </c>
      <c r="G9470" s="7">
        <v>3955532</v>
      </c>
      <c r="H9470" s="7">
        <v>2432</v>
      </c>
      <c r="I9470" s="7">
        <v>52</v>
      </c>
      <c r="J9470" s="7">
        <v>133</v>
      </c>
      <c r="K9470" s="7" t="s">
        <v>18</v>
      </c>
      <c r="L9470" s="8">
        <v>39987.315405092595</v>
      </c>
      <c r="M9470" s="9" t="s">
        <v>19</v>
      </c>
      <c r="N9470" s="9" t="s">
        <v>20</v>
      </c>
      <c r="O9470" s="6" t="str">
        <f>HYPERLINK("https://pbs.twimg.com/profile_images/962471262747529216/Uo8lOkRJ_normal.jpg","View")</f>
        <v>View</v>
      </c>
      <c r="P9470" s="7"/>
    </row>
    <row r="9471" spans="1:16">
      <c r="A9471" s="3">
        <v>44080.87200231482</v>
      </c>
      <c r="B9471" s="4" t="str">
        <f>HYPERLINK("https://twitter.com/petrogustavo","@petrogustavo")</f>
        <v>@petrogustavo</v>
      </c>
      <c r="C9471" s="5" t="s">
        <v>16</v>
      </c>
      <c r="D9471" s="5" t="s">
        <v>9108</v>
      </c>
      <c r="E9471" s="6" t="str">
        <f>HYPERLINK("https://twitter.com/petrogustavo/status/1302629047118303232","1302629047118303232")</f>
        <v>1302629047118303232</v>
      </c>
      <c r="F9471" s="7" t="s">
        <v>17</v>
      </c>
      <c r="G9471" s="7">
        <v>3955532</v>
      </c>
      <c r="H9471" s="7">
        <v>2432</v>
      </c>
      <c r="I9471" s="7">
        <v>183</v>
      </c>
      <c r="J9471" s="7">
        <v>0</v>
      </c>
      <c r="K9471" s="7" t="s">
        <v>18</v>
      </c>
      <c r="L9471" s="8">
        <v>39987.315405092595</v>
      </c>
      <c r="M9471" s="9" t="s">
        <v>19</v>
      </c>
      <c r="N9471" s="9" t="s">
        <v>20</v>
      </c>
      <c r="O9471" s="6" t="str">
        <f>HYPERLINK("https://pbs.twimg.com/profile_images/962471262747529216/Uo8lOkRJ_normal.jpg","View")</f>
        <v>View</v>
      </c>
      <c r="P9471" s="7"/>
    </row>
    <row r="9472" spans="1:16">
      <c r="A9472" s="3">
        <v>44080.944328703699</v>
      </c>
      <c r="B9472" s="4" t="str">
        <f>HYPERLINK("https://twitter.com/petrogustavo","@petrogustavo")</f>
        <v>@petrogustavo</v>
      </c>
      <c r="C9472" s="5" t="s">
        <v>16</v>
      </c>
      <c r="D9472" s="5" t="s">
        <v>9113</v>
      </c>
      <c r="E9472" s="6" t="str">
        <f>HYPERLINK("https://twitter.com/petrogustavo/status/1302655257932111872","1302655257932111872")</f>
        <v>1302655257932111872</v>
      </c>
      <c r="F9472" s="7" t="s">
        <v>17</v>
      </c>
      <c r="G9472" s="7">
        <v>3955571</v>
      </c>
      <c r="H9472" s="7">
        <v>2432</v>
      </c>
      <c r="I9472" s="7">
        <v>825</v>
      </c>
      <c r="J9472" s="7">
        <v>0</v>
      </c>
      <c r="K9472" s="7" t="s">
        <v>18</v>
      </c>
      <c r="L9472" s="8">
        <v>39987.315405092595</v>
      </c>
      <c r="M9472" s="9" t="s">
        <v>19</v>
      </c>
      <c r="N9472" s="9" t="s">
        <v>20</v>
      </c>
      <c r="O9472" s="6" t="str">
        <f>HYPERLINK("https://pbs.twimg.com/profile_images/962471262747529216/Uo8lOkRJ_normal.jpg","View")</f>
        <v>View</v>
      </c>
      <c r="P9472" s="7"/>
    </row>
    <row r="9473" spans="1:16">
      <c r="A9473" s="3">
        <v>44080.952650462961</v>
      </c>
      <c r="B9473" s="4" t="str">
        <f>HYPERLINK("https://twitter.com/petrogustavo","@petrogustavo")</f>
        <v>@petrogustavo</v>
      </c>
      <c r="C9473" s="5" t="s">
        <v>16</v>
      </c>
      <c r="D9473" s="5" t="s">
        <v>9114</v>
      </c>
      <c r="E9473" s="6" t="str">
        <f>HYPERLINK("https://twitter.com/petrogustavo/status/1302658272743350272","1302658272743350272")</f>
        <v>1302658272743350272</v>
      </c>
      <c r="F9473" s="7" t="s">
        <v>17</v>
      </c>
      <c r="G9473" s="7">
        <v>3955593</v>
      </c>
      <c r="H9473" s="7">
        <v>2433</v>
      </c>
      <c r="I9473" s="7">
        <v>13</v>
      </c>
      <c r="J9473" s="7">
        <v>0</v>
      </c>
      <c r="K9473" s="7" t="s">
        <v>18</v>
      </c>
      <c r="L9473" s="8">
        <v>39987.315405092595</v>
      </c>
      <c r="M9473" s="9" t="s">
        <v>19</v>
      </c>
      <c r="N9473" s="9" t="s">
        <v>20</v>
      </c>
      <c r="O9473" s="6" t="str">
        <f>HYPERLINK("https://pbs.twimg.com/profile_images/962471262747529216/Uo8lOkRJ_normal.jpg","View")</f>
        <v>View</v>
      </c>
      <c r="P9473" s="7"/>
    </row>
    <row r="9474" spans="1:16">
      <c r="A9474" s="3">
        <v>44080.955011574071</v>
      </c>
      <c r="B9474" s="4" t="str">
        <f>HYPERLINK("https://twitter.com/petrogustavo","@petrogustavo")</f>
        <v>@petrogustavo</v>
      </c>
      <c r="C9474" s="5" t="s">
        <v>16</v>
      </c>
      <c r="D9474" s="5" t="s">
        <v>9115</v>
      </c>
      <c r="E9474" s="6" t="str">
        <f>HYPERLINK("https://twitter.com/petrogustavo/status/1302659130432380928","1302659130432380928")</f>
        <v>1302659130432380928</v>
      </c>
      <c r="F9474" s="7" t="s">
        <v>17</v>
      </c>
      <c r="G9474" s="7">
        <v>3955593</v>
      </c>
      <c r="H9474" s="7">
        <v>2433</v>
      </c>
      <c r="I9474" s="7">
        <v>220</v>
      </c>
      <c r="J9474" s="7">
        <v>541</v>
      </c>
      <c r="K9474" s="7" t="s">
        <v>18</v>
      </c>
      <c r="L9474" s="8">
        <v>39987.315405092595</v>
      </c>
      <c r="M9474" s="9" t="s">
        <v>19</v>
      </c>
      <c r="N9474" s="9" t="s">
        <v>20</v>
      </c>
      <c r="O9474" s="6" t="str">
        <f>HYPERLINK("https://pbs.twimg.com/profile_images/962471262747529216/Uo8lOkRJ_normal.jpg","View")</f>
        <v>View</v>
      </c>
      <c r="P9474" s="7"/>
    </row>
    <row r="9475" spans="1:16">
      <c r="A9475" s="3">
        <v>44080.967013888891</v>
      </c>
      <c r="B9475" s="4" t="str">
        <f>HYPERLINK("https://twitter.com/petrogustavo","@petrogustavo")</f>
        <v>@petrogustavo</v>
      </c>
      <c r="C9475" s="5" t="s">
        <v>16</v>
      </c>
      <c r="D9475" s="5" t="s">
        <v>9116</v>
      </c>
      <c r="E9475" s="6" t="str">
        <f>HYPERLINK("https://twitter.com/petrogustavo/status/1302663480139558917","1302663480139558917")</f>
        <v>1302663480139558917</v>
      </c>
      <c r="F9475" s="7" t="s">
        <v>17</v>
      </c>
      <c r="G9475" s="7">
        <v>3955593</v>
      </c>
      <c r="H9475" s="7">
        <v>2433</v>
      </c>
      <c r="I9475" s="7">
        <v>31</v>
      </c>
      <c r="J9475" s="7">
        <v>89</v>
      </c>
      <c r="K9475" s="7" t="s">
        <v>18</v>
      </c>
      <c r="L9475" s="8">
        <v>39987.315405092595</v>
      </c>
      <c r="M9475" s="9" t="s">
        <v>19</v>
      </c>
      <c r="N9475" s="9" t="s">
        <v>20</v>
      </c>
      <c r="O9475" s="6" t="str">
        <f>HYPERLINK("https://pbs.twimg.com/profile_images/962471262747529216/Uo8lOkRJ_normal.jpg","View")</f>
        <v>View</v>
      </c>
      <c r="P9475" s="7"/>
    </row>
    <row r="9476" spans="1:16">
      <c r="A9476" s="3">
        <v>44080.975543981476</v>
      </c>
      <c r="B9476" s="4" t="str">
        <f>HYPERLINK("https://twitter.com/petrogustavo","@petrogustavo")</f>
        <v>@petrogustavo</v>
      </c>
      <c r="C9476" s="5" t="s">
        <v>16</v>
      </c>
      <c r="D9476" s="5" t="s">
        <v>9117</v>
      </c>
      <c r="E9476" s="6" t="str">
        <f>HYPERLINK("https://twitter.com/petrogustavo/status/1302666569647038464","1302666569647038464")</f>
        <v>1302666569647038464</v>
      </c>
      <c r="F9476" s="7" t="s">
        <v>17</v>
      </c>
      <c r="G9476" s="7">
        <v>3955608</v>
      </c>
      <c r="H9476" s="7">
        <v>2433</v>
      </c>
      <c r="I9476" s="7">
        <v>150</v>
      </c>
      <c r="J9476" s="7">
        <v>0</v>
      </c>
      <c r="K9476" s="7" t="s">
        <v>18</v>
      </c>
      <c r="L9476" s="8">
        <v>39987.315405092595</v>
      </c>
      <c r="M9476" s="9" t="s">
        <v>19</v>
      </c>
      <c r="N9476" s="9" t="s">
        <v>20</v>
      </c>
      <c r="O9476" s="6" t="str">
        <f>HYPERLINK("https://pbs.twimg.com/profile_images/962471262747529216/Uo8lOkRJ_normal.jpg","View")</f>
        <v>View</v>
      </c>
      <c r="P9476" s="7"/>
    </row>
    <row r="9477" spans="1:16">
      <c r="A9477" s="3">
        <v>44080.975671296299</v>
      </c>
      <c r="B9477" s="4" t="str">
        <f>HYPERLINK("https://twitter.com/petrogustavo","@petrogustavo")</f>
        <v>@petrogustavo</v>
      </c>
      <c r="C9477" s="5" t="s">
        <v>16</v>
      </c>
      <c r="D9477" s="5" t="s">
        <v>9108</v>
      </c>
      <c r="E9477" s="6" t="str">
        <f>HYPERLINK("https://twitter.com/petrogustavo/status/1302666615155290113","1302666615155290113")</f>
        <v>1302666615155290113</v>
      </c>
      <c r="F9477" s="7" t="s">
        <v>17</v>
      </c>
      <c r="G9477" s="7">
        <v>3955608</v>
      </c>
      <c r="H9477" s="7">
        <v>2433</v>
      </c>
      <c r="I9477" s="7">
        <v>377</v>
      </c>
      <c r="J9477" s="7">
        <v>0</v>
      </c>
      <c r="K9477" s="7" t="s">
        <v>18</v>
      </c>
      <c r="L9477" s="8">
        <v>39987.315405092595</v>
      </c>
      <c r="M9477" s="9" t="s">
        <v>19</v>
      </c>
      <c r="N9477" s="9" t="s">
        <v>20</v>
      </c>
      <c r="O9477" s="6" t="str">
        <f>HYPERLINK("https://pbs.twimg.com/profile_images/962471262747529216/Uo8lOkRJ_normal.jpg","View")</f>
        <v>View</v>
      </c>
      <c r="P9477" s="7"/>
    </row>
    <row r="9478" spans="1:16">
      <c r="A9478" s="3">
        <v>44081.094097222223</v>
      </c>
      <c r="B9478" s="4" t="str">
        <f>HYPERLINK("https://twitter.com/petrogustavo","@petrogustavo")</f>
        <v>@petrogustavo</v>
      </c>
      <c r="C9478" s="5" t="s">
        <v>16</v>
      </c>
      <c r="D9478" s="5" t="s">
        <v>9118</v>
      </c>
      <c r="E9478" s="6" t="str">
        <f>HYPERLINK("https://twitter.com/petrogustavo/status/1302709532779520000","1302709532779520000")</f>
        <v>1302709532779520000</v>
      </c>
      <c r="F9478" s="7" t="s">
        <v>17</v>
      </c>
      <c r="G9478" s="7">
        <v>3955685</v>
      </c>
      <c r="H9478" s="7">
        <v>2433</v>
      </c>
      <c r="I9478" s="7">
        <v>14</v>
      </c>
      <c r="J9478" s="7">
        <v>0</v>
      </c>
      <c r="K9478" s="7" t="s">
        <v>18</v>
      </c>
      <c r="L9478" s="8">
        <v>39987.315405092595</v>
      </c>
      <c r="M9478" s="9" t="s">
        <v>19</v>
      </c>
      <c r="N9478" s="9" t="s">
        <v>20</v>
      </c>
      <c r="O9478" s="6" t="str">
        <f>HYPERLINK("https://pbs.twimg.com/profile_images/962471262747529216/Uo8lOkRJ_normal.jpg","View")</f>
        <v>View</v>
      </c>
      <c r="P9478" s="7"/>
    </row>
    <row r="9479" spans="1:16">
      <c r="A9479" s="3">
        <v>44081.095567129625</v>
      </c>
      <c r="B9479" s="4" t="str">
        <f>HYPERLINK("https://twitter.com/petrogustavo","@petrogustavo")</f>
        <v>@petrogustavo</v>
      </c>
      <c r="C9479" s="5" t="s">
        <v>16</v>
      </c>
      <c r="D9479" s="5" t="s">
        <v>9119</v>
      </c>
      <c r="E9479" s="6" t="str">
        <f>HYPERLINK("https://twitter.com/petrogustavo/status/1302710066081136646","1302710066081136646")</f>
        <v>1302710066081136646</v>
      </c>
      <c r="F9479" s="7" t="s">
        <v>17</v>
      </c>
      <c r="G9479" s="7">
        <v>3955685</v>
      </c>
      <c r="H9479" s="7">
        <v>2433</v>
      </c>
      <c r="I9479" s="7">
        <v>3303</v>
      </c>
      <c r="J9479" s="7">
        <v>0</v>
      </c>
      <c r="K9479" s="7" t="s">
        <v>18</v>
      </c>
      <c r="L9479" s="8">
        <v>39987.315405092595</v>
      </c>
      <c r="M9479" s="9" t="s">
        <v>19</v>
      </c>
      <c r="N9479" s="9" t="s">
        <v>20</v>
      </c>
      <c r="O9479" s="6" t="str">
        <f>HYPERLINK("https://pbs.twimg.com/profile_images/962471262747529216/Uo8lOkRJ_normal.jpg","View")</f>
        <v>View</v>
      </c>
      <c r="P9479" s="7"/>
    </row>
    <row r="9480" spans="1:16">
      <c r="A9480" s="3">
        <v>44081.096805555557</v>
      </c>
      <c r="B9480" s="4" t="str">
        <f>HYPERLINK("https://twitter.com/petrogustavo","@petrogustavo")</f>
        <v>@petrogustavo</v>
      </c>
      <c r="C9480" s="5" t="s">
        <v>16</v>
      </c>
      <c r="D9480" s="5" t="s">
        <v>9120</v>
      </c>
      <c r="E9480" s="6" t="str">
        <f>HYPERLINK("https://twitter.com/petrogustavo/status/1302710515110735873","1302710515110735873")</f>
        <v>1302710515110735873</v>
      </c>
      <c r="F9480" s="7" t="s">
        <v>17</v>
      </c>
      <c r="G9480" s="7">
        <v>3955695</v>
      </c>
      <c r="H9480" s="7">
        <v>2434</v>
      </c>
      <c r="I9480" s="7">
        <v>389</v>
      </c>
      <c r="J9480" s="7">
        <v>0</v>
      </c>
      <c r="K9480" s="7" t="s">
        <v>18</v>
      </c>
      <c r="L9480" s="8">
        <v>39987.315405092595</v>
      </c>
      <c r="M9480" s="9" t="s">
        <v>19</v>
      </c>
      <c r="N9480" s="9" t="s">
        <v>20</v>
      </c>
      <c r="O9480" s="6" t="str">
        <f>HYPERLINK("https://pbs.twimg.com/profile_images/962471262747529216/Uo8lOkRJ_normal.jpg","View")</f>
        <v>View</v>
      </c>
      <c r="P9480" s="7"/>
    </row>
    <row r="9481" spans="1:16">
      <c r="A9481" s="3">
        <v>44081.099814814814</v>
      </c>
      <c r="B9481" s="4" t="str">
        <f>HYPERLINK("https://twitter.com/petrogustavo","@petrogustavo")</f>
        <v>@petrogustavo</v>
      </c>
      <c r="C9481" s="5" t="s">
        <v>16</v>
      </c>
      <c r="D9481" s="5" t="s">
        <v>9121</v>
      </c>
      <c r="E9481" s="6" t="str">
        <f>HYPERLINK("https://twitter.com/petrogustavo/status/1302711606074322945","1302711606074322945")</f>
        <v>1302711606074322945</v>
      </c>
      <c r="F9481" s="7" t="s">
        <v>17</v>
      </c>
      <c r="G9481" s="7">
        <v>3955695</v>
      </c>
      <c r="H9481" s="7">
        <v>2434</v>
      </c>
      <c r="I9481" s="7">
        <v>564</v>
      </c>
      <c r="J9481" s="7">
        <v>0</v>
      </c>
      <c r="K9481" s="7" t="s">
        <v>18</v>
      </c>
      <c r="L9481" s="8">
        <v>39987.315405092595</v>
      </c>
      <c r="M9481" s="9" t="s">
        <v>19</v>
      </c>
      <c r="N9481" s="9" t="s">
        <v>20</v>
      </c>
      <c r="O9481" s="6" t="str">
        <f>HYPERLINK("https://pbs.twimg.com/profile_images/962471262747529216/Uo8lOkRJ_normal.jpg","View")</f>
        <v>View</v>
      </c>
      <c r="P9481" s="7"/>
    </row>
    <row r="9482" spans="1:16">
      <c r="A9482" s="3">
        <v>44081.100219907406</v>
      </c>
      <c r="B9482" s="4" t="str">
        <f>HYPERLINK("https://twitter.com/petrogustavo","@petrogustavo")</f>
        <v>@petrogustavo</v>
      </c>
      <c r="C9482" s="5" t="s">
        <v>16</v>
      </c>
      <c r="D9482" s="5" t="s">
        <v>9122</v>
      </c>
      <c r="E9482" s="6" t="str">
        <f>HYPERLINK("https://twitter.com/petrogustavo/status/1302711750966550529","1302711750966550529")</f>
        <v>1302711750966550529</v>
      </c>
      <c r="F9482" s="7" t="s">
        <v>17</v>
      </c>
      <c r="G9482" s="7">
        <v>3955695</v>
      </c>
      <c r="H9482" s="7">
        <v>2434</v>
      </c>
      <c r="I9482" s="7">
        <v>250</v>
      </c>
      <c r="J9482" s="7">
        <v>0</v>
      </c>
      <c r="K9482" s="7" t="s">
        <v>18</v>
      </c>
      <c r="L9482" s="8">
        <v>39987.315405092595</v>
      </c>
      <c r="M9482" s="9" t="s">
        <v>19</v>
      </c>
      <c r="N9482" s="9" t="s">
        <v>20</v>
      </c>
      <c r="O9482" s="6" t="str">
        <f>HYPERLINK("https://pbs.twimg.com/profile_images/962471262747529216/Uo8lOkRJ_normal.jpg","View")</f>
        <v>View</v>
      </c>
      <c r="P9482" s="7"/>
    </row>
    <row r="9483" spans="1:16">
      <c r="A9483" s="3">
        <v>44081.134722222225</v>
      </c>
      <c r="B9483" s="4" t="str">
        <f>HYPERLINK("https://twitter.com/petrogustavo","@petrogustavo")</f>
        <v>@petrogustavo</v>
      </c>
      <c r="C9483" s="5" t="s">
        <v>16</v>
      </c>
      <c r="D9483" s="5" t="s">
        <v>9123</v>
      </c>
      <c r="E9483" s="6" t="str">
        <f>HYPERLINK("https://twitter.com/petrogustavo/status/1302724252936871938","1302724252936871938")</f>
        <v>1302724252936871938</v>
      </c>
      <c r="F9483" s="7" t="s">
        <v>17</v>
      </c>
      <c r="G9483" s="7">
        <v>3955715</v>
      </c>
      <c r="H9483" s="7">
        <v>2434</v>
      </c>
      <c r="I9483" s="7">
        <v>24</v>
      </c>
      <c r="J9483" s="7">
        <v>0</v>
      </c>
      <c r="K9483" s="7" t="s">
        <v>18</v>
      </c>
      <c r="L9483" s="8">
        <v>39987.315405092595</v>
      </c>
      <c r="M9483" s="9" t="s">
        <v>19</v>
      </c>
      <c r="N9483" s="9" t="s">
        <v>20</v>
      </c>
      <c r="O9483" s="6" t="str">
        <f>HYPERLINK("https://pbs.twimg.com/profile_images/962471262747529216/Uo8lOkRJ_normal.jpg","View")</f>
        <v>View</v>
      </c>
      <c r="P9483" s="7"/>
    </row>
    <row r="9484" spans="1:16">
      <c r="A9484" s="3">
        <v>44081.221331018518</v>
      </c>
      <c r="B9484" s="4" t="str">
        <f>HYPERLINK("https://twitter.com/petrogustavo","@petrogustavo")</f>
        <v>@petrogustavo</v>
      </c>
      <c r="C9484" s="5" t="s">
        <v>16</v>
      </c>
      <c r="D9484" s="5" t="s">
        <v>9124</v>
      </c>
      <c r="E9484" s="6" t="str">
        <f>HYPERLINK("https://twitter.com/petrogustavo/status/1302755639672877057","1302755639672877057")</f>
        <v>1302755639672877057</v>
      </c>
      <c r="F9484" s="7" t="s">
        <v>32</v>
      </c>
      <c r="G9484" s="7">
        <v>3955760</v>
      </c>
      <c r="H9484" s="7">
        <v>2435</v>
      </c>
      <c r="I9484" s="7">
        <v>46</v>
      </c>
      <c r="J9484" s="7">
        <v>0</v>
      </c>
      <c r="K9484" s="7" t="s">
        <v>18</v>
      </c>
      <c r="L9484" s="8">
        <v>39987.315405092595</v>
      </c>
      <c r="M9484" s="9" t="s">
        <v>19</v>
      </c>
      <c r="N9484" s="9" t="s">
        <v>20</v>
      </c>
      <c r="O9484" s="6" t="str">
        <f>HYPERLINK("https://pbs.twimg.com/profile_images/962471262747529216/Uo8lOkRJ_normal.jpg","View")</f>
        <v>View</v>
      </c>
      <c r="P9484" s="7"/>
    </row>
    <row r="9485" spans="1:16">
      <c r="A9485" s="3">
        <v>44081.221620370372</v>
      </c>
      <c r="B9485" s="4" t="str">
        <f>HYPERLINK("https://twitter.com/petrogustavo","@petrogustavo")</f>
        <v>@petrogustavo</v>
      </c>
      <c r="C9485" s="5" t="s">
        <v>16</v>
      </c>
      <c r="D9485" s="5" t="s">
        <v>9117</v>
      </c>
      <c r="E9485" s="6" t="str">
        <f>HYPERLINK("https://twitter.com/petrogustavo/status/1302755744438255617","1302755744438255617")</f>
        <v>1302755744438255617</v>
      </c>
      <c r="F9485" s="7" t="s">
        <v>32</v>
      </c>
      <c r="G9485" s="7">
        <v>3955760</v>
      </c>
      <c r="H9485" s="7">
        <v>2435</v>
      </c>
      <c r="I9485" s="7">
        <v>296</v>
      </c>
      <c r="J9485" s="7">
        <v>0</v>
      </c>
      <c r="K9485" s="7" t="s">
        <v>18</v>
      </c>
      <c r="L9485" s="8">
        <v>39987.315405092595</v>
      </c>
      <c r="M9485" s="9" t="s">
        <v>19</v>
      </c>
      <c r="N9485" s="9" t="s">
        <v>20</v>
      </c>
      <c r="O9485" s="6" t="str">
        <f>HYPERLINK("https://pbs.twimg.com/profile_images/962471262747529216/Uo8lOkRJ_normal.jpg","View")</f>
        <v>View</v>
      </c>
      <c r="P9485" s="7"/>
    </row>
    <row r="9486" spans="1:16">
      <c r="A9486" s="3">
        <v>44081.242939814816</v>
      </c>
      <c r="B9486" s="4" t="str">
        <f>HYPERLINK("https://twitter.com/petrogustavo","@petrogustavo")</f>
        <v>@petrogustavo</v>
      </c>
      <c r="C9486" s="5" t="s">
        <v>16</v>
      </c>
      <c r="D9486" s="5" t="s">
        <v>9125</v>
      </c>
      <c r="E9486" s="6" t="str">
        <f>HYPERLINK("https://twitter.com/petrogustavo/status/1302763470165864449","1302763470165864449")</f>
        <v>1302763470165864449</v>
      </c>
      <c r="F9486" s="7" t="s">
        <v>17</v>
      </c>
      <c r="G9486" s="7">
        <v>3955795</v>
      </c>
      <c r="H9486" s="7">
        <v>2435</v>
      </c>
      <c r="I9486" s="7">
        <v>151</v>
      </c>
      <c r="J9486" s="7">
        <v>412</v>
      </c>
      <c r="K9486" s="7" t="s">
        <v>18</v>
      </c>
      <c r="L9486" s="8">
        <v>39987.315405092595</v>
      </c>
      <c r="M9486" s="9" t="s">
        <v>19</v>
      </c>
      <c r="N9486" s="9" t="s">
        <v>20</v>
      </c>
      <c r="O9486" s="6" t="str">
        <f>HYPERLINK("https://pbs.twimg.com/profile_images/962471262747529216/Uo8lOkRJ_normal.jpg","View")</f>
        <v>View</v>
      </c>
      <c r="P9486" s="7"/>
    </row>
    <row r="9487" spans="1:16">
      <c r="A9487" s="3">
        <v>44081.24728009259</v>
      </c>
      <c r="B9487" s="4" t="str">
        <f>HYPERLINK("https://twitter.com/petrogustavo","@petrogustavo")</f>
        <v>@petrogustavo</v>
      </c>
      <c r="C9487" s="5" t="s">
        <v>16</v>
      </c>
      <c r="D9487" s="5" t="s">
        <v>9126</v>
      </c>
      <c r="E9487" s="6" t="str">
        <f>HYPERLINK("https://twitter.com/petrogustavo/status/1302765043323416580","1302765043323416580")</f>
        <v>1302765043323416580</v>
      </c>
      <c r="F9487" s="7" t="s">
        <v>17</v>
      </c>
      <c r="G9487" s="7">
        <v>3955795</v>
      </c>
      <c r="H9487" s="7">
        <v>2435</v>
      </c>
      <c r="I9487" s="7">
        <v>70</v>
      </c>
      <c r="J9487" s="7">
        <v>154</v>
      </c>
      <c r="K9487" s="7" t="s">
        <v>18</v>
      </c>
      <c r="L9487" s="8">
        <v>39987.315405092595</v>
      </c>
      <c r="M9487" s="9" t="s">
        <v>19</v>
      </c>
      <c r="N9487" s="9" t="s">
        <v>20</v>
      </c>
      <c r="O9487" s="6" t="str">
        <f>HYPERLINK("https://pbs.twimg.com/profile_images/962471262747529216/Uo8lOkRJ_normal.jpg","View")</f>
        <v>View</v>
      </c>
      <c r="P9487" s="7"/>
    </row>
    <row r="9488" spans="1:16">
      <c r="A9488" s="3">
        <v>44081.249513888892</v>
      </c>
      <c r="B9488" s="4" t="str">
        <f>HYPERLINK("https://twitter.com/petrogustavo","@petrogustavo")</f>
        <v>@petrogustavo</v>
      </c>
      <c r="C9488" s="5" t="s">
        <v>16</v>
      </c>
      <c r="D9488" s="5" t="s">
        <v>9127</v>
      </c>
      <c r="E9488" s="6" t="str">
        <f>HYPERLINK("https://twitter.com/petrogustavo/status/1302765852744454144","1302765852744454144")</f>
        <v>1302765852744454144</v>
      </c>
      <c r="F9488" s="7" t="s">
        <v>17</v>
      </c>
      <c r="G9488" s="7">
        <v>3955795</v>
      </c>
      <c r="H9488" s="7">
        <v>2435</v>
      </c>
      <c r="I9488" s="7">
        <v>90</v>
      </c>
      <c r="J9488" s="7">
        <v>186</v>
      </c>
      <c r="K9488" s="7" t="s">
        <v>18</v>
      </c>
      <c r="L9488" s="8">
        <v>39987.315405092595</v>
      </c>
      <c r="M9488" s="9" t="s">
        <v>19</v>
      </c>
      <c r="N9488" s="9" t="s">
        <v>20</v>
      </c>
      <c r="O9488" s="6" t="str">
        <f>HYPERLINK("https://pbs.twimg.com/profile_images/962471262747529216/Uo8lOkRJ_normal.jpg","View")</f>
        <v>View</v>
      </c>
      <c r="P9488" s="7"/>
    </row>
    <row r="9489" spans="1:16">
      <c r="A9489" s="3">
        <v>44081.775324074071</v>
      </c>
      <c r="B9489" s="4" t="str">
        <f>HYPERLINK("https://twitter.com/petrogustavo","@petrogustavo")</f>
        <v>@petrogustavo</v>
      </c>
      <c r="C9489" s="5" t="s">
        <v>16</v>
      </c>
      <c r="D9489" s="5" t="s">
        <v>9128</v>
      </c>
      <c r="E9489" s="6" t="str">
        <f>HYPERLINK("https://twitter.com/petrogustavo/status/1302956401707413506","1302956401707413506")</f>
        <v>1302956401707413506</v>
      </c>
      <c r="F9489" s="7" t="s">
        <v>32</v>
      </c>
      <c r="G9489" s="7">
        <v>3955936</v>
      </c>
      <c r="H9489" s="7">
        <v>2435</v>
      </c>
      <c r="I9489" s="7">
        <v>213</v>
      </c>
      <c r="J9489" s="7">
        <v>435</v>
      </c>
      <c r="K9489" s="7" t="s">
        <v>18</v>
      </c>
      <c r="L9489" s="8">
        <v>39987.315405092595</v>
      </c>
      <c r="M9489" s="9" t="s">
        <v>19</v>
      </c>
      <c r="N9489" s="9" t="s">
        <v>20</v>
      </c>
      <c r="O9489" s="6" t="str">
        <f>HYPERLINK("https://pbs.twimg.com/profile_images/962471262747529216/Uo8lOkRJ_normal.jpg","View")</f>
        <v>View</v>
      </c>
      <c r="P9489" s="7"/>
    </row>
    <row r="9490" spans="1:16">
      <c r="A9490" s="3">
        <v>44081.788715277777</v>
      </c>
      <c r="B9490" s="4" t="str">
        <f>HYPERLINK("https://twitter.com/petrogustavo","@petrogustavo")</f>
        <v>@petrogustavo</v>
      </c>
      <c r="C9490" s="5" t="s">
        <v>16</v>
      </c>
      <c r="D9490" s="5" t="s">
        <v>9129</v>
      </c>
      <c r="E9490" s="6" t="str">
        <f>HYPERLINK("https://twitter.com/petrogustavo/status/1302961255620268033","1302961255620268033")</f>
        <v>1302961255620268033</v>
      </c>
      <c r="F9490" s="7" t="s">
        <v>32</v>
      </c>
      <c r="G9490" s="7">
        <v>3955954</v>
      </c>
      <c r="H9490" s="7">
        <v>2435</v>
      </c>
      <c r="I9490" s="7">
        <v>135</v>
      </c>
      <c r="J9490" s="7">
        <v>357</v>
      </c>
      <c r="K9490" s="7" t="s">
        <v>18</v>
      </c>
      <c r="L9490" s="8">
        <v>39987.315405092595</v>
      </c>
      <c r="M9490" s="9" t="s">
        <v>19</v>
      </c>
      <c r="N9490" s="9" t="s">
        <v>20</v>
      </c>
      <c r="O9490" s="6" t="str">
        <f>HYPERLINK("https://pbs.twimg.com/profile_images/962471262747529216/Uo8lOkRJ_normal.jpg","View")</f>
        <v>View</v>
      </c>
      <c r="P9490" s="7"/>
    </row>
    <row r="9491" spans="1:16">
      <c r="A9491" s="3">
        <v>44081.81994212963</v>
      </c>
      <c r="B9491" s="4" t="str">
        <f>HYPERLINK("https://twitter.com/petrogustavo","@petrogustavo")</f>
        <v>@petrogustavo</v>
      </c>
      <c r="C9491" s="5" t="s">
        <v>16</v>
      </c>
      <c r="D9491" s="5" t="s">
        <v>9130</v>
      </c>
      <c r="E9491" s="6" t="str">
        <f>HYPERLINK("https://twitter.com/petrogustavo/status/1302972568455049216","1302972568455049216")</f>
        <v>1302972568455049216</v>
      </c>
      <c r="F9491" s="7" t="s">
        <v>32</v>
      </c>
      <c r="G9491" s="7">
        <v>3955968</v>
      </c>
      <c r="H9491" s="7">
        <v>2435</v>
      </c>
      <c r="I9491" s="7">
        <v>98</v>
      </c>
      <c r="J9491" s="7">
        <v>0</v>
      </c>
      <c r="K9491" s="7" t="s">
        <v>18</v>
      </c>
      <c r="L9491" s="8">
        <v>39987.315405092595</v>
      </c>
      <c r="M9491" s="9" t="s">
        <v>19</v>
      </c>
      <c r="N9491" s="9" t="s">
        <v>20</v>
      </c>
      <c r="O9491" s="6" t="str">
        <f>HYPERLINK("https://pbs.twimg.com/profile_images/962471262747529216/Uo8lOkRJ_normal.jpg","View")</f>
        <v>View</v>
      </c>
      <c r="P9491" s="7"/>
    </row>
    <row r="9492" spans="1:16">
      <c r="A9492" s="3">
        <v>44081.825162037036</v>
      </c>
      <c r="B9492" s="4" t="str">
        <f>HYPERLINK("https://twitter.com/petrogustavo","@petrogustavo")</f>
        <v>@petrogustavo</v>
      </c>
      <c r="C9492" s="5" t="s">
        <v>16</v>
      </c>
      <c r="D9492" s="5" t="s">
        <v>9131</v>
      </c>
      <c r="E9492" s="6" t="str">
        <f>HYPERLINK("https://twitter.com/petrogustavo/status/1302974462346788868","1302974462346788868")</f>
        <v>1302974462346788868</v>
      </c>
      <c r="F9492" s="7" t="s">
        <v>32</v>
      </c>
      <c r="G9492" s="7">
        <v>3955979</v>
      </c>
      <c r="H9492" s="7">
        <v>2435</v>
      </c>
      <c r="I9492" s="7">
        <v>295</v>
      </c>
      <c r="J9492" s="7">
        <v>570</v>
      </c>
      <c r="K9492" s="7" t="s">
        <v>18</v>
      </c>
      <c r="L9492" s="8">
        <v>39987.315405092595</v>
      </c>
      <c r="M9492" s="9" t="s">
        <v>19</v>
      </c>
      <c r="N9492" s="9" t="s">
        <v>20</v>
      </c>
      <c r="O9492" s="6" t="str">
        <f>HYPERLINK("https://pbs.twimg.com/profile_images/962471262747529216/Uo8lOkRJ_normal.jpg","View")</f>
        <v>View</v>
      </c>
      <c r="P9492" s="7"/>
    </row>
    <row r="9493" spans="1:16">
      <c r="A9493" s="3">
        <v>44081.8284375</v>
      </c>
      <c r="B9493" s="4" t="str">
        <f>HYPERLINK("https://twitter.com/petrogustavo","@petrogustavo")</f>
        <v>@petrogustavo</v>
      </c>
      <c r="C9493" s="5" t="s">
        <v>16</v>
      </c>
      <c r="D9493" s="5" t="s">
        <v>9132</v>
      </c>
      <c r="E9493" s="6" t="str">
        <f>HYPERLINK("https://twitter.com/petrogustavo/status/1302975648294723585","1302975648294723585")</f>
        <v>1302975648294723585</v>
      </c>
      <c r="F9493" s="7" t="s">
        <v>17</v>
      </c>
      <c r="G9493" s="7">
        <v>3955979</v>
      </c>
      <c r="H9493" s="7">
        <v>2435</v>
      </c>
      <c r="I9493" s="7">
        <v>82</v>
      </c>
      <c r="J9493" s="7">
        <v>239</v>
      </c>
      <c r="K9493" s="7" t="s">
        <v>18</v>
      </c>
      <c r="L9493" s="8">
        <v>39987.315405092595</v>
      </c>
      <c r="M9493" s="9" t="s">
        <v>19</v>
      </c>
      <c r="N9493" s="9" t="s">
        <v>20</v>
      </c>
      <c r="O9493" s="6" t="str">
        <f>HYPERLINK("https://pbs.twimg.com/profile_images/962471262747529216/Uo8lOkRJ_normal.jpg","View")</f>
        <v>View</v>
      </c>
      <c r="P9493" s="7"/>
    </row>
    <row r="9494" spans="1:16">
      <c r="A9494" s="3">
        <v>44081.829907407402</v>
      </c>
      <c r="B9494" s="4" t="str">
        <f>HYPERLINK("https://twitter.com/petrogustavo","@petrogustavo")</f>
        <v>@petrogustavo</v>
      </c>
      <c r="C9494" s="5" t="s">
        <v>16</v>
      </c>
      <c r="D9494" s="5" t="s">
        <v>9133</v>
      </c>
      <c r="E9494" s="6" t="str">
        <f>HYPERLINK("https://twitter.com/petrogustavo/status/1302976180778397703","1302976180778397703")</f>
        <v>1302976180778397703</v>
      </c>
      <c r="F9494" s="7" t="s">
        <v>17</v>
      </c>
      <c r="G9494" s="7">
        <v>3955979</v>
      </c>
      <c r="H9494" s="7">
        <v>2435</v>
      </c>
      <c r="I9494" s="7">
        <v>77</v>
      </c>
      <c r="J9494" s="7">
        <v>216</v>
      </c>
      <c r="K9494" s="7" t="s">
        <v>18</v>
      </c>
      <c r="L9494" s="8">
        <v>39987.315405092595</v>
      </c>
      <c r="M9494" s="9" t="s">
        <v>19</v>
      </c>
      <c r="N9494" s="9" t="s">
        <v>20</v>
      </c>
      <c r="O9494" s="6" t="str">
        <f>HYPERLINK("https://pbs.twimg.com/profile_images/962471262747529216/Uo8lOkRJ_normal.jpg","View")</f>
        <v>View</v>
      </c>
      <c r="P9494" s="7"/>
    </row>
    <row r="9495" spans="1:16">
      <c r="A9495" s="3">
        <v>44081.890300925923</v>
      </c>
      <c r="B9495" s="4" t="str">
        <f>HYPERLINK("https://twitter.com/petrogustavo","@petrogustavo")</f>
        <v>@petrogustavo</v>
      </c>
      <c r="C9495" s="5" t="s">
        <v>16</v>
      </c>
      <c r="D9495" s="5" t="s">
        <v>9134</v>
      </c>
      <c r="E9495" s="6" t="str">
        <f>HYPERLINK("https://twitter.com/petrogustavo/status/1302998068325953536","1302998068325953536")</f>
        <v>1302998068325953536</v>
      </c>
      <c r="F9495" s="7" t="s">
        <v>32</v>
      </c>
      <c r="G9495" s="7">
        <v>3956113</v>
      </c>
      <c r="H9495" s="7">
        <v>2435</v>
      </c>
      <c r="I9495" s="7">
        <v>408</v>
      </c>
      <c r="J9495" s="7">
        <v>805</v>
      </c>
      <c r="K9495" s="7" t="s">
        <v>18</v>
      </c>
      <c r="L9495" s="8">
        <v>39987.315405092595</v>
      </c>
      <c r="M9495" s="9" t="s">
        <v>19</v>
      </c>
      <c r="N9495" s="9" t="s">
        <v>20</v>
      </c>
      <c r="O9495" s="6" t="str">
        <f>HYPERLINK("https://pbs.twimg.com/profile_images/962471262747529216/Uo8lOkRJ_normal.jpg","View")</f>
        <v>View</v>
      </c>
      <c r="P9495" s="7"/>
    </row>
    <row r="9496" spans="1:16">
      <c r="A9496" s="3">
        <v>44081.978182870371</v>
      </c>
      <c r="B9496" s="4" t="str">
        <f>HYPERLINK("https://twitter.com/petrogustavo","@petrogustavo")</f>
        <v>@petrogustavo</v>
      </c>
      <c r="C9496" s="5" t="s">
        <v>16</v>
      </c>
      <c r="D9496" s="5" t="s">
        <v>9135</v>
      </c>
      <c r="E9496" s="6" t="str">
        <f>HYPERLINK("https://twitter.com/petrogustavo/status/1303029916573798401","1303029916573798401")</f>
        <v>1303029916573798401</v>
      </c>
      <c r="F9496" s="7" t="s">
        <v>32</v>
      </c>
      <c r="G9496" s="7">
        <v>3956172</v>
      </c>
      <c r="H9496" s="7">
        <v>2435</v>
      </c>
      <c r="I9496" s="7">
        <v>68</v>
      </c>
      <c r="J9496" s="7">
        <v>135</v>
      </c>
      <c r="K9496" s="7" t="s">
        <v>18</v>
      </c>
      <c r="L9496" s="8">
        <v>39987.315405092595</v>
      </c>
      <c r="M9496" s="9" t="s">
        <v>19</v>
      </c>
      <c r="N9496" s="9" t="s">
        <v>20</v>
      </c>
      <c r="O9496" s="6" t="str">
        <f>HYPERLINK("https://pbs.twimg.com/profile_images/962471262747529216/Uo8lOkRJ_normal.jpg","View")</f>
        <v>View</v>
      </c>
      <c r="P9496" s="7"/>
    </row>
    <row r="9497" spans="1:16">
      <c r="A9497" s="3">
        <v>44081.980532407411</v>
      </c>
      <c r="B9497" s="4" t="str">
        <f>HYPERLINK("https://twitter.com/petrogustavo","@petrogustavo")</f>
        <v>@petrogustavo</v>
      </c>
      <c r="C9497" s="5" t="s">
        <v>16</v>
      </c>
      <c r="D9497" s="5" t="s">
        <v>9136</v>
      </c>
      <c r="E9497" s="6" t="str">
        <f>HYPERLINK("https://twitter.com/petrogustavo/status/1303030765979086851","1303030765979086851")</f>
        <v>1303030765979086851</v>
      </c>
      <c r="F9497" s="7" t="s">
        <v>32</v>
      </c>
      <c r="G9497" s="7">
        <v>3956172</v>
      </c>
      <c r="H9497" s="7">
        <v>2435</v>
      </c>
      <c r="I9497" s="7">
        <v>1004</v>
      </c>
      <c r="J9497" s="7">
        <v>0</v>
      </c>
      <c r="K9497" s="7" t="s">
        <v>18</v>
      </c>
      <c r="L9497" s="8">
        <v>39987.315405092595</v>
      </c>
      <c r="M9497" s="9" t="s">
        <v>19</v>
      </c>
      <c r="N9497" s="9" t="s">
        <v>20</v>
      </c>
      <c r="O9497" s="6" t="str">
        <f>HYPERLINK("https://pbs.twimg.com/profile_images/962471262747529216/Uo8lOkRJ_normal.jpg","View")</f>
        <v>View</v>
      </c>
      <c r="P9497" s="7"/>
    </row>
    <row r="9498" spans="1:16">
      <c r="A9498" s="3">
        <v>44082.032581018517</v>
      </c>
      <c r="B9498" s="4" t="str">
        <f>HYPERLINK("https://twitter.com/petrogustavo","@petrogustavo")</f>
        <v>@petrogustavo</v>
      </c>
      <c r="C9498" s="5" t="s">
        <v>16</v>
      </c>
      <c r="D9498" s="5" t="s">
        <v>9137</v>
      </c>
      <c r="E9498" s="6" t="str">
        <f>HYPERLINK("https://twitter.com/petrogustavo/status/1303049630092087302","1303049630092087302")</f>
        <v>1303049630092087302</v>
      </c>
      <c r="F9498" s="7" t="s">
        <v>17</v>
      </c>
      <c r="G9498" s="7">
        <v>3956237</v>
      </c>
      <c r="H9498" s="7">
        <v>2435</v>
      </c>
      <c r="I9498" s="7">
        <v>19</v>
      </c>
      <c r="J9498" s="7">
        <v>42</v>
      </c>
      <c r="K9498" s="7" t="s">
        <v>18</v>
      </c>
      <c r="L9498" s="8">
        <v>39987.315405092595</v>
      </c>
      <c r="M9498" s="9" t="s">
        <v>19</v>
      </c>
      <c r="N9498" s="9" t="s">
        <v>20</v>
      </c>
      <c r="O9498" s="6" t="str">
        <f>HYPERLINK("https://pbs.twimg.com/profile_images/962471262747529216/Uo8lOkRJ_normal.jpg","View")</f>
        <v>View</v>
      </c>
      <c r="P9498" s="7"/>
    </row>
    <row r="9499" spans="1:16">
      <c r="A9499" s="3">
        <v>44082.034594907411</v>
      </c>
      <c r="B9499" s="4" t="str">
        <f>HYPERLINK("https://twitter.com/petrogustavo","@petrogustavo")</f>
        <v>@petrogustavo</v>
      </c>
      <c r="C9499" s="5" t="s">
        <v>16</v>
      </c>
      <c r="D9499" s="5" t="s">
        <v>9138</v>
      </c>
      <c r="E9499" s="6" t="str">
        <f>HYPERLINK("https://twitter.com/petrogustavo/status/1303050357057236992","1303050357057236992")</f>
        <v>1303050357057236992</v>
      </c>
      <c r="F9499" s="7" t="s">
        <v>17</v>
      </c>
      <c r="G9499" s="7">
        <v>3956258</v>
      </c>
      <c r="H9499" s="7">
        <v>2435</v>
      </c>
      <c r="I9499" s="7">
        <v>100</v>
      </c>
      <c r="J9499" s="7">
        <v>238</v>
      </c>
      <c r="K9499" s="7" t="s">
        <v>18</v>
      </c>
      <c r="L9499" s="8">
        <v>39987.315405092595</v>
      </c>
      <c r="M9499" s="9" t="s">
        <v>19</v>
      </c>
      <c r="N9499" s="9" t="s">
        <v>20</v>
      </c>
      <c r="O9499" s="6" t="str">
        <f>HYPERLINK("https://pbs.twimg.com/profile_images/962471262747529216/Uo8lOkRJ_normal.jpg","View")</f>
        <v>View</v>
      </c>
      <c r="P9499" s="7"/>
    </row>
    <row r="9500" spans="1:16">
      <c r="A9500" s="3">
        <v>44082.035613425927</v>
      </c>
      <c r="B9500" s="4" t="str">
        <f>HYPERLINK("https://twitter.com/petrogustavo","@petrogustavo")</f>
        <v>@petrogustavo</v>
      </c>
      <c r="C9500" s="5" t="s">
        <v>16</v>
      </c>
      <c r="D9500" s="5" t="s">
        <v>9139</v>
      </c>
      <c r="E9500" s="6" t="str">
        <f>HYPERLINK("https://twitter.com/petrogustavo/status/1303050726852177920","1303050726852177920")</f>
        <v>1303050726852177920</v>
      </c>
      <c r="F9500" s="7" t="s">
        <v>17</v>
      </c>
      <c r="G9500" s="7">
        <v>3956258</v>
      </c>
      <c r="H9500" s="7">
        <v>2435</v>
      </c>
      <c r="I9500" s="7">
        <v>76</v>
      </c>
      <c r="J9500" s="7">
        <v>192</v>
      </c>
      <c r="K9500" s="7" t="s">
        <v>18</v>
      </c>
      <c r="L9500" s="8">
        <v>39987.315405092595</v>
      </c>
      <c r="M9500" s="9" t="s">
        <v>19</v>
      </c>
      <c r="N9500" s="9" t="s">
        <v>20</v>
      </c>
      <c r="O9500" s="6" t="str">
        <f>HYPERLINK("https://pbs.twimg.com/profile_images/962471262747529216/Uo8lOkRJ_normal.jpg","View")</f>
        <v>View</v>
      </c>
      <c r="P9500" s="7"/>
    </row>
    <row r="9501" spans="1:16">
      <c r="A9501" s="3">
        <v>44082.043553240743</v>
      </c>
      <c r="B9501" s="4" t="str">
        <f>HYPERLINK("https://twitter.com/petrogustavo","@petrogustavo")</f>
        <v>@petrogustavo</v>
      </c>
      <c r="C9501" s="5" t="s">
        <v>16</v>
      </c>
      <c r="D9501" s="5" t="s">
        <v>9140</v>
      </c>
      <c r="E9501" s="6" t="str">
        <f>HYPERLINK("https://twitter.com/petrogustavo/status/1303053603289128962","1303053603289128962")</f>
        <v>1303053603289128962</v>
      </c>
      <c r="F9501" s="7" t="s">
        <v>17</v>
      </c>
      <c r="G9501" s="7">
        <v>3956258</v>
      </c>
      <c r="H9501" s="7">
        <v>2435</v>
      </c>
      <c r="I9501" s="7">
        <v>38</v>
      </c>
      <c r="J9501" s="7">
        <v>94</v>
      </c>
      <c r="K9501" s="7" t="s">
        <v>18</v>
      </c>
      <c r="L9501" s="8">
        <v>39987.315405092595</v>
      </c>
      <c r="M9501" s="9" t="s">
        <v>19</v>
      </c>
      <c r="N9501" s="9" t="s">
        <v>20</v>
      </c>
      <c r="O9501" s="6" t="str">
        <f>HYPERLINK("https://pbs.twimg.com/profile_images/962471262747529216/Uo8lOkRJ_normal.jpg","View")</f>
        <v>View</v>
      </c>
      <c r="P9501" s="7"/>
    </row>
    <row r="9502" spans="1:16">
      <c r="A9502" s="3">
        <v>44082.044953703706</v>
      </c>
      <c r="B9502" s="4" t="str">
        <f>HYPERLINK("https://twitter.com/petrogustavo","@petrogustavo")</f>
        <v>@petrogustavo</v>
      </c>
      <c r="C9502" s="5" t="s">
        <v>16</v>
      </c>
      <c r="D9502" s="5" t="s">
        <v>9141</v>
      </c>
      <c r="E9502" s="6" t="str">
        <f>HYPERLINK("https://twitter.com/petrogustavo/status/1303054112242704384","1303054112242704384")</f>
        <v>1303054112242704384</v>
      </c>
      <c r="F9502" s="7" t="s">
        <v>17</v>
      </c>
      <c r="G9502" s="7">
        <v>3956258</v>
      </c>
      <c r="H9502" s="7">
        <v>2435</v>
      </c>
      <c r="I9502" s="7">
        <v>23</v>
      </c>
      <c r="J9502" s="7">
        <v>73</v>
      </c>
      <c r="K9502" s="7" t="s">
        <v>18</v>
      </c>
      <c r="L9502" s="8">
        <v>39987.315405092595</v>
      </c>
      <c r="M9502" s="9" t="s">
        <v>19</v>
      </c>
      <c r="N9502" s="9" t="s">
        <v>20</v>
      </c>
      <c r="O9502" s="6" t="str">
        <f>HYPERLINK("https://pbs.twimg.com/profile_images/962471262747529216/Uo8lOkRJ_normal.jpg","View")</f>
        <v>View</v>
      </c>
      <c r="P9502" s="7"/>
    </row>
    <row r="9503" spans="1:16">
      <c r="A9503" s="3">
        <v>44082.113935185189</v>
      </c>
      <c r="B9503" s="4" t="str">
        <f>HYPERLINK("https://twitter.com/petrogustavo","@petrogustavo")</f>
        <v>@petrogustavo</v>
      </c>
      <c r="C9503" s="5" t="s">
        <v>16</v>
      </c>
      <c r="D9503" s="5" t="s">
        <v>9142</v>
      </c>
      <c r="E9503" s="6" t="str">
        <f>HYPERLINK("https://twitter.com/petrogustavo/status/1303079111963873282","1303079111963873282")</f>
        <v>1303079111963873282</v>
      </c>
      <c r="F9503" s="7" t="s">
        <v>17</v>
      </c>
      <c r="G9503" s="7">
        <v>3956309</v>
      </c>
      <c r="H9503" s="7">
        <v>2435</v>
      </c>
      <c r="I9503" s="7">
        <v>35</v>
      </c>
      <c r="J9503" s="7">
        <v>0</v>
      </c>
      <c r="K9503" s="7" t="s">
        <v>18</v>
      </c>
      <c r="L9503" s="8">
        <v>39987.315405092595</v>
      </c>
      <c r="M9503" s="9" t="s">
        <v>19</v>
      </c>
      <c r="N9503" s="9" t="s">
        <v>20</v>
      </c>
      <c r="O9503" s="6" t="str">
        <f>HYPERLINK("https://pbs.twimg.com/profile_images/962471262747529216/Uo8lOkRJ_normal.jpg","View")</f>
        <v>View</v>
      </c>
      <c r="P9503" s="7"/>
    </row>
    <row r="9504" spans="1:16">
      <c r="A9504" s="3">
        <v>44082.117430555554</v>
      </c>
      <c r="B9504" s="4" t="str">
        <f>HYPERLINK("https://twitter.com/petrogustavo","@petrogustavo")</f>
        <v>@petrogustavo</v>
      </c>
      <c r="C9504" s="5" t="s">
        <v>16</v>
      </c>
      <c r="D9504" s="5" t="s">
        <v>9143</v>
      </c>
      <c r="E9504" s="6" t="str">
        <f>HYPERLINK("https://twitter.com/petrogustavo/status/1303080376898908162","1303080376898908162")</f>
        <v>1303080376898908162</v>
      </c>
      <c r="F9504" s="7" t="s">
        <v>17</v>
      </c>
      <c r="G9504" s="7">
        <v>3956309</v>
      </c>
      <c r="H9504" s="7">
        <v>2435</v>
      </c>
      <c r="I9504" s="7">
        <v>220</v>
      </c>
      <c r="J9504" s="7">
        <v>407</v>
      </c>
      <c r="K9504" s="7" t="s">
        <v>18</v>
      </c>
      <c r="L9504" s="8">
        <v>39987.315405092595</v>
      </c>
      <c r="M9504" s="9" t="s">
        <v>19</v>
      </c>
      <c r="N9504" s="9" t="s">
        <v>20</v>
      </c>
      <c r="O9504" s="6" t="str">
        <f>HYPERLINK("https://pbs.twimg.com/profile_images/962471262747529216/Uo8lOkRJ_normal.jpg","View")</f>
        <v>View</v>
      </c>
      <c r="P9504" s="7"/>
    </row>
    <row r="9505" spans="1:16">
      <c r="A9505" s="3">
        <v>44082.171851851846</v>
      </c>
      <c r="B9505" s="4" t="str">
        <f>HYPERLINK("https://twitter.com/petrogustavo","@petrogustavo")</f>
        <v>@petrogustavo</v>
      </c>
      <c r="C9505" s="5" t="s">
        <v>16</v>
      </c>
      <c r="D9505" s="5" t="s">
        <v>9144</v>
      </c>
      <c r="E9505" s="6" t="str">
        <f>HYPERLINK("https://twitter.com/petrogustavo/status/1303100100017881088","1303100100017881088")</f>
        <v>1303100100017881088</v>
      </c>
      <c r="F9505" s="7" t="s">
        <v>32</v>
      </c>
      <c r="G9505" s="7">
        <v>3956339</v>
      </c>
      <c r="H9505" s="7">
        <v>2435</v>
      </c>
      <c r="I9505" s="7">
        <v>21</v>
      </c>
      <c r="J9505" s="7">
        <v>0</v>
      </c>
      <c r="K9505" s="7" t="s">
        <v>18</v>
      </c>
      <c r="L9505" s="8">
        <v>39987.315405092595</v>
      </c>
      <c r="M9505" s="9" t="s">
        <v>19</v>
      </c>
      <c r="N9505" s="9" t="s">
        <v>20</v>
      </c>
      <c r="O9505" s="6" t="str">
        <f>HYPERLINK("https://pbs.twimg.com/profile_images/962471262747529216/Uo8lOkRJ_normal.jpg","View")</f>
        <v>View</v>
      </c>
      <c r="P9505" s="7"/>
    </row>
    <row r="9506" spans="1:16">
      <c r="A9506" s="3">
        <v>44082.173171296294</v>
      </c>
      <c r="B9506" s="4" t="str">
        <f>HYPERLINK("https://twitter.com/petrogustavo","@petrogustavo")</f>
        <v>@petrogustavo</v>
      </c>
      <c r="C9506" s="5" t="s">
        <v>16</v>
      </c>
      <c r="D9506" s="5" t="s">
        <v>9145</v>
      </c>
      <c r="E9506" s="6" t="str">
        <f>HYPERLINK("https://twitter.com/petrogustavo/status/1303100576260030465","1303100576260030465")</f>
        <v>1303100576260030465</v>
      </c>
      <c r="F9506" s="7" t="s">
        <v>32</v>
      </c>
      <c r="G9506" s="7">
        <v>3956339</v>
      </c>
      <c r="H9506" s="7">
        <v>2435</v>
      </c>
      <c r="I9506" s="7">
        <v>172</v>
      </c>
      <c r="J9506" s="7">
        <v>0</v>
      </c>
      <c r="K9506" s="7" t="s">
        <v>18</v>
      </c>
      <c r="L9506" s="8">
        <v>39987.315405092595</v>
      </c>
      <c r="M9506" s="9" t="s">
        <v>19</v>
      </c>
      <c r="N9506" s="9" t="s">
        <v>20</v>
      </c>
      <c r="O9506" s="6" t="str">
        <f>HYPERLINK("https://pbs.twimg.com/profile_images/962471262747529216/Uo8lOkRJ_normal.jpg","View")</f>
        <v>View</v>
      </c>
      <c r="P9506" s="7"/>
    </row>
    <row r="9507" spans="1:16">
      <c r="A9507" s="3">
        <v>44082.174375000002</v>
      </c>
      <c r="B9507" s="4" t="str">
        <f>HYPERLINK("https://twitter.com/petrogustavo","@petrogustavo")</f>
        <v>@petrogustavo</v>
      </c>
      <c r="C9507" s="5" t="s">
        <v>16</v>
      </c>
      <c r="D9507" s="5" t="s">
        <v>9146</v>
      </c>
      <c r="E9507" s="6" t="str">
        <f>HYPERLINK("https://twitter.com/petrogustavo/status/1303101014195793927","1303101014195793927")</f>
        <v>1303101014195793927</v>
      </c>
      <c r="F9507" s="7" t="s">
        <v>32</v>
      </c>
      <c r="G9507" s="7">
        <v>3956339</v>
      </c>
      <c r="H9507" s="7">
        <v>2435</v>
      </c>
      <c r="I9507" s="7">
        <v>722</v>
      </c>
      <c r="J9507" s="7">
        <v>0</v>
      </c>
      <c r="K9507" s="7" t="s">
        <v>18</v>
      </c>
      <c r="L9507" s="8">
        <v>39987.315405092595</v>
      </c>
      <c r="M9507" s="9" t="s">
        <v>19</v>
      </c>
      <c r="N9507" s="9" t="s">
        <v>20</v>
      </c>
      <c r="O9507" s="6" t="str">
        <f>HYPERLINK("https://pbs.twimg.com/profile_images/962471262747529216/Uo8lOkRJ_normal.jpg","View")</f>
        <v>View</v>
      </c>
      <c r="P9507" s="7"/>
    </row>
    <row r="9508" spans="1:16">
      <c r="A9508" s="3">
        <v>44082.187962962962</v>
      </c>
      <c r="B9508" s="4" t="str">
        <f>HYPERLINK("https://twitter.com/petrogustavo","@petrogustavo")</f>
        <v>@petrogustavo</v>
      </c>
      <c r="C9508" s="5" t="s">
        <v>16</v>
      </c>
      <c r="D9508" s="5" t="s">
        <v>9147</v>
      </c>
      <c r="E9508" s="6" t="str">
        <f>HYPERLINK("https://twitter.com/petrogustavo/status/1303105936328986625","1303105936328986625")</f>
        <v>1303105936328986625</v>
      </c>
      <c r="F9508" s="7" t="s">
        <v>32</v>
      </c>
      <c r="G9508" s="7">
        <v>3956370</v>
      </c>
      <c r="H9508" s="7">
        <v>2435</v>
      </c>
      <c r="I9508" s="7">
        <v>683</v>
      </c>
      <c r="J9508" s="7">
        <v>0</v>
      </c>
      <c r="K9508" s="7" t="s">
        <v>18</v>
      </c>
      <c r="L9508" s="8">
        <v>39987.315405092595</v>
      </c>
      <c r="M9508" s="9" t="s">
        <v>19</v>
      </c>
      <c r="N9508" s="9" t="s">
        <v>20</v>
      </c>
      <c r="O9508" s="6" t="str">
        <f>HYPERLINK("https://pbs.twimg.com/profile_images/962471262747529216/Uo8lOkRJ_normal.jpg","View")</f>
        <v>View</v>
      </c>
      <c r="P9508" s="7"/>
    </row>
    <row r="9509" spans="1:16">
      <c r="A9509" s="3">
        <v>44082.24899305556</v>
      </c>
      <c r="B9509" s="4" t="str">
        <f>HYPERLINK("https://twitter.com/petrogustavo","@petrogustavo")</f>
        <v>@petrogustavo</v>
      </c>
      <c r="C9509" s="5" t="s">
        <v>16</v>
      </c>
      <c r="D9509" s="5" t="s">
        <v>9147</v>
      </c>
      <c r="E9509" s="6" t="str">
        <f>HYPERLINK("https://twitter.com/petrogustavo/status/1303128052457766912","1303128052457766912")</f>
        <v>1303128052457766912</v>
      </c>
      <c r="F9509" s="7" t="s">
        <v>17</v>
      </c>
      <c r="G9509" s="7">
        <v>3956412</v>
      </c>
      <c r="H9509" s="7">
        <v>2436</v>
      </c>
      <c r="I9509" s="7">
        <v>822</v>
      </c>
      <c r="J9509" s="7">
        <v>0</v>
      </c>
      <c r="K9509" s="7" t="s">
        <v>18</v>
      </c>
      <c r="L9509" s="8">
        <v>39987.315405092595</v>
      </c>
      <c r="M9509" s="9" t="s">
        <v>19</v>
      </c>
      <c r="N9509" s="9" t="s">
        <v>20</v>
      </c>
      <c r="O9509" s="6" t="str">
        <f>HYPERLINK("https://pbs.twimg.com/profile_images/962471262747529216/Uo8lOkRJ_normal.jpg","View")</f>
        <v>View</v>
      </c>
      <c r="P9509" s="7"/>
    </row>
    <row r="9510" spans="1:16">
      <c r="A9510" s="3">
        <v>44082.730196759258</v>
      </c>
      <c r="B9510" s="4" t="str">
        <f>HYPERLINK("https://twitter.com/petrogustavo","@petrogustavo")</f>
        <v>@petrogustavo</v>
      </c>
      <c r="C9510" s="5" t="s">
        <v>16</v>
      </c>
      <c r="D9510" s="5" t="s">
        <v>9147</v>
      </c>
      <c r="E9510" s="6" t="str">
        <f>HYPERLINK("https://twitter.com/petrogustavo/status/1303302436195651587","1303302436195651587")</f>
        <v>1303302436195651587</v>
      </c>
      <c r="F9510" s="7" t="s">
        <v>17</v>
      </c>
      <c r="G9510" s="7">
        <v>3956633</v>
      </c>
      <c r="H9510" s="7">
        <v>2436</v>
      </c>
      <c r="I9510" s="7">
        <v>1136</v>
      </c>
      <c r="J9510" s="7">
        <v>0</v>
      </c>
      <c r="K9510" s="7" t="s">
        <v>18</v>
      </c>
      <c r="L9510" s="8">
        <v>39987.315405092595</v>
      </c>
      <c r="M9510" s="9" t="s">
        <v>19</v>
      </c>
      <c r="N9510" s="9" t="s">
        <v>20</v>
      </c>
      <c r="O9510" s="6" t="str">
        <f>HYPERLINK("https://pbs.twimg.com/profile_images/962471262747529216/Uo8lOkRJ_normal.jpg","View")</f>
        <v>View</v>
      </c>
      <c r="P9510" s="7"/>
    </row>
    <row r="9511" spans="1:16">
      <c r="A9511" s="3">
        <v>44083.007523148146</v>
      </c>
      <c r="B9511" s="4" t="str">
        <f>HYPERLINK("https://twitter.com/petrogustavo","@petrogustavo")</f>
        <v>@petrogustavo</v>
      </c>
      <c r="C9511" s="5" t="s">
        <v>16</v>
      </c>
      <c r="D9511" s="5" t="s">
        <v>9148</v>
      </c>
      <c r="E9511" s="6" t="str">
        <f>HYPERLINK("https://twitter.com/petrogustavo/status/1303402935506919426","1303402935506919426")</f>
        <v>1303402935506919426</v>
      </c>
      <c r="F9511" s="7" t="s">
        <v>32</v>
      </c>
      <c r="G9511" s="7">
        <v>3956929</v>
      </c>
      <c r="H9511" s="7">
        <v>2435</v>
      </c>
      <c r="I9511" s="7">
        <v>51</v>
      </c>
      <c r="J9511" s="7">
        <v>133</v>
      </c>
      <c r="K9511" s="7" t="s">
        <v>18</v>
      </c>
      <c r="L9511" s="8">
        <v>39987.315405092595</v>
      </c>
      <c r="M9511" s="9" t="s">
        <v>19</v>
      </c>
      <c r="N9511" s="9" t="s">
        <v>20</v>
      </c>
      <c r="O9511" s="6" t="str">
        <f>HYPERLINK("https://pbs.twimg.com/profile_images/962471262747529216/Uo8lOkRJ_normal.jpg","View")</f>
        <v>View</v>
      </c>
      <c r="P9511" s="7"/>
    </row>
    <row r="9512" spans="1:16">
      <c r="A9512" s="3">
        <v>44083.012604166666</v>
      </c>
      <c r="B9512" s="4" t="str">
        <f>HYPERLINK("https://twitter.com/petrogustavo","@petrogustavo")</f>
        <v>@petrogustavo</v>
      </c>
      <c r="C9512" s="5" t="s">
        <v>16</v>
      </c>
      <c r="D9512" s="5" t="s">
        <v>9149</v>
      </c>
      <c r="E9512" s="6" t="str">
        <f>HYPERLINK("https://twitter.com/petrogustavo/status/1303404777024434176","1303404777024434176")</f>
        <v>1303404777024434176</v>
      </c>
      <c r="F9512" s="7" t="s">
        <v>32</v>
      </c>
      <c r="G9512" s="7">
        <v>3956937</v>
      </c>
      <c r="H9512" s="7">
        <v>2435</v>
      </c>
      <c r="I9512" s="7">
        <v>852</v>
      </c>
      <c r="J9512" s="7">
        <v>0</v>
      </c>
      <c r="K9512" s="7" t="s">
        <v>18</v>
      </c>
      <c r="L9512" s="8">
        <v>39987.315405092595</v>
      </c>
      <c r="M9512" s="9" t="s">
        <v>19</v>
      </c>
      <c r="N9512" s="9" t="s">
        <v>20</v>
      </c>
      <c r="O9512" s="6" t="str">
        <f>HYPERLINK("https://pbs.twimg.com/profile_images/962471262747529216/Uo8lOkRJ_normal.jpg","View")</f>
        <v>View</v>
      </c>
      <c r="P9512" s="7"/>
    </row>
    <row r="9513" spans="1:16">
      <c r="A9513" s="3">
        <v>44083.013275462959</v>
      </c>
      <c r="B9513" s="4" t="str">
        <f>HYPERLINK("https://twitter.com/petrogustavo","@petrogustavo")</f>
        <v>@petrogustavo</v>
      </c>
      <c r="C9513" s="5" t="s">
        <v>16</v>
      </c>
      <c r="D9513" s="5" t="s">
        <v>9150</v>
      </c>
      <c r="E9513" s="6" t="str">
        <f>HYPERLINK("https://twitter.com/petrogustavo/status/1303405018964426752","1303405018964426752")</f>
        <v>1303405018964426752</v>
      </c>
      <c r="F9513" s="7" t="s">
        <v>32</v>
      </c>
      <c r="G9513" s="7">
        <v>3956937</v>
      </c>
      <c r="H9513" s="7">
        <v>2435</v>
      </c>
      <c r="I9513" s="7">
        <v>129</v>
      </c>
      <c r="J9513" s="7">
        <v>0</v>
      </c>
      <c r="K9513" s="7" t="s">
        <v>18</v>
      </c>
      <c r="L9513" s="8">
        <v>39987.315405092595</v>
      </c>
      <c r="M9513" s="9" t="s">
        <v>19</v>
      </c>
      <c r="N9513" s="9" t="s">
        <v>20</v>
      </c>
      <c r="O9513" s="6" t="str">
        <f>HYPERLINK("https://pbs.twimg.com/profile_images/962471262747529216/Uo8lOkRJ_normal.jpg","View")</f>
        <v>View</v>
      </c>
      <c r="P9513" s="7"/>
    </row>
    <row r="9514" spans="1:16">
      <c r="A9514" s="3">
        <v>44083.014837962968</v>
      </c>
      <c r="B9514" s="4" t="str">
        <f>HYPERLINK("https://twitter.com/petrogustavo","@petrogustavo")</f>
        <v>@petrogustavo</v>
      </c>
      <c r="C9514" s="5" t="s">
        <v>16</v>
      </c>
      <c r="D9514" s="5" t="s">
        <v>9151</v>
      </c>
      <c r="E9514" s="6" t="str">
        <f>HYPERLINK("https://twitter.com/petrogustavo/status/1303405588068564992","1303405588068564992")</f>
        <v>1303405588068564992</v>
      </c>
      <c r="F9514" s="7" t="s">
        <v>32</v>
      </c>
      <c r="G9514" s="7">
        <v>3956937</v>
      </c>
      <c r="H9514" s="7">
        <v>2435</v>
      </c>
      <c r="I9514" s="7">
        <v>75</v>
      </c>
      <c r="J9514" s="7">
        <v>199</v>
      </c>
      <c r="K9514" s="7" t="s">
        <v>18</v>
      </c>
      <c r="L9514" s="8">
        <v>39987.315405092595</v>
      </c>
      <c r="M9514" s="9" t="s">
        <v>19</v>
      </c>
      <c r="N9514" s="9" t="s">
        <v>20</v>
      </c>
      <c r="O9514" s="6" t="str">
        <f>HYPERLINK("https://pbs.twimg.com/profile_images/962471262747529216/Uo8lOkRJ_normal.jpg","View")</f>
        <v>View</v>
      </c>
      <c r="P9514" s="7"/>
    </row>
    <row r="9515" spans="1:16">
      <c r="A9515" s="3">
        <v>44083.015081018515</v>
      </c>
      <c r="B9515" s="4" t="str">
        <f>HYPERLINK("https://twitter.com/petrogustavo","@petrogustavo")</f>
        <v>@petrogustavo</v>
      </c>
      <c r="C9515" s="5" t="s">
        <v>16</v>
      </c>
      <c r="D9515" s="5" t="s">
        <v>9152</v>
      </c>
      <c r="E9515" s="6" t="str">
        <f>HYPERLINK("https://twitter.com/petrogustavo/status/1303405675180105728","1303405675180105728")</f>
        <v>1303405675180105728</v>
      </c>
      <c r="F9515" s="7" t="s">
        <v>32</v>
      </c>
      <c r="G9515" s="7">
        <v>3956937</v>
      </c>
      <c r="H9515" s="7">
        <v>2435</v>
      </c>
      <c r="I9515" s="7">
        <v>1710</v>
      </c>
      <c r="J9515" s="7">
        <v>0</v>
      </c>
      <c r="K9515" s="7" t="s">
        <v>18</v>
      </c>
      <c r="L9515" s="8">
        <v>39987.315405092595</v>
      </c>
      <c r="M9515" s="9" t="s">
        <v>19</v>
      </c>
      <c r="N9515" s="9" t="s">
        <v>20</v>
      </c>
      <c r="O9515" s="6" t="str">
        <f>HYPERLINK("https://pbs.twimg.com/profile_images/962471262747529216/Uo8lOkRJ_normal.jpg","View")</f>
        <v>View</v>
      </c>
      <c r="P9515" s="7"/>
    </row>
    <row r="9516" spans="1:16">
      <c r="A9516" s="3">
        <v>44083.27715277778</v>
      </c>
      <c r="B9516" s="4" t="str">
        <f>HYPERLINK("https://twitter.com/petrogustavo","@petrogustavo")</f>
        <v>@petrogustavo</v>
      </c>
      <c r="C9516" s="5" t="s">
        <v>16</v>
      </c>
      <c r="D9516" s="5" t="s">
        <v>9153</v>
      </c>
      <c r="E9516" s="6" t="str">
        <f>HYPERLINK("https://twitter.com/petrogustavo/status/1303500647057313793","1303500647057313793")</f>
        <v>1303500647057313793</v>
      </c>
      <c r="F9516" s="7" t="s">
        <v>32</v>
      </c>
      <c r="G9516" s="7">
        <v>3957143</v>
      </c>
      <c r="H9516" s="7">
        <v>2435</v>
      </c>
      <c r="I9516" s="7">
        <v>27</v>
      </c>
      <c r="J9516" s="7">
        <v>0</v>
      </c>
      <c r="K9516" s="7" t="s">
        <v>18</v>
      </c>
      <c r="L9516" s="8">
        <v>39987.315405092595</v>
      </c>
      <c r="M9516" s="9" t="s">
        <v>19</v>
      </c>
      <c r="N9516" s="9" t="s">
        <v>20</v>
      </c>
      <c r="O9516" s="6" t="str">
        <f>HYPERLINK("https://pbs.twimg.com/profile_images/962471262747529216/Uo8lOkRJ_normal.jpg","View")</f>
        <v>View</v>
      </c>
      <c r="P9516" s="7"/>
    </row>
    <row r="9517" spans="1:16">
      <c r="A9517" s="3">
        <v>44083.760509259257</v>
      </c>
      <c r="B9517" s="4" t="str">
        <f>HYPERLINK("https://twitter.com/petrogustavo","@petrogustavo")</f>
        <v>@petrogustavo</v>
      </c>
      <c r="C9517" s="5" t="s">
        <v>16</v>
      </c>
      <c r="D9517" s="5" t="s">
        <v>9154</v>
      </c>
      <c r="E9517" s="6" t="str">
        <f>HYPERLINK("https://twitter.com/petrogustavo/status/1303675807324405760","1303675807324405760")</f>
        <v>1303675807324405760</v>
      </c>
      <c r="F9517" s="7" t="s">
        <v>17</v>
      </c>
      <c r="G9517" s="7">
        <v>3957198</v>
      </c>
      <c r="H9517" s="7">
        <v>2434</v>
      </c>
      <c r="I9517" s="7">
        <v>32</v>
      </c>
      <c r="J9517" s="7">
        <v>0</v>
      </c>
      <c r="K9517" s="7" t="s">
        <v>18</v>
      </c>
      <c r="L9517" s="8">
        <v>39987.315405092595</v>
      </c>
      <c r="M9517" s="9" t="s">
        <v>19</v>
      </c>
      <c r="N9517" s="9" t="s">
        <v>20</v>
      </c>
      <c r="O9517" s="6" t="str">
        <f>HYPERLINK("https://pbs.twimg.com/profile_images/962471262747529216/Uo8lOkRJ_normal.jpg","View")</f>
        <v>View</v>
      </c>
      <c r="P9517" s="7"/>
    </row>
    <row r="9518" spans="1:16">
      <c r="A9518" s="3">
        <v>44083.767858796295</v>
      </c>
      <c r="B9518" s="4" t="str">
        <f>HYPERLINK("https://twitter.com/petrogustavo","@petrogustavo")</f>
        <v>@petrogustavo</v>
      </c>
      <c r="C9518" s="5" t="s">
        <v>16</v>
      </c>
      <c r="D9518" s="5" t="s">
        <v>9155</v>
      </c>
      <c r="E9518" s="6" t="str">
        <f>HYPERLINK("https://twitter.com/petrogustavo/status/1303678471349116929","1303678471349116929")</f>
        <v>1303678471349116929</v>
      </c>
      <c r="F9518" s="7" t="s">
        <v>17</v>
      </c>
      <c r="G9518" s="7">
        <v>3957224</v>
      </c>
      <c r="H9518" s="7">
        <v>2434</v>
      </c>
      <c r="I9518" s="7">
        <v>535</v>
      </c>
      <c r="J9518" s="7">
        <v>1212</v>
      </c>
      <c r="K9518" s="7" t="s">
        <v>18</v>
      </c>
      <c r="L9518" s="8">
        <v>39987.315405092595</v>
      </c>
      <c r="M9518" s="9" t="s">
        <v>19</v>
      </c>
      <c r="N9518" s="9" t="s">
        <v>20</v>
      </c>
      <c r="O9518" s="6" t="str">
        <f>HYPERLINK("https://pbs.twimg.com/profile_images/962471262747529216/Uo8lOkRJ_normal.jpg","View")</f>
        <v>View</v>
      </c>
      <c r="P9518" s="7"/>
    </row>
    <row r="9519" spans="1:16">
      <c r="A9519" s="3">
        <v>44083.773865740739</v>
      </c>
      <c r="B9519" s="4" t="str">
        <f>HYPERLINK("https://twitter.com/petrogustavo","@petrogustavo")</f>
        <v>@petrogustavo</v>
      </c>
      <c r="C9519" s="5" t="s">
        <v>16</v>
      </c>
      <c r="D9519" s="5" t="s">
        <v>9156</v>
      </c>
      <c r="E9519" s="6" t="str">
        <f>HYPERLINK("https://twitter.com/petrogustavo/status/1303680650445291525","1303680650445291525")</f>
        <v>1303680650445291525</v>
      </c>
      <c r="F9519" s="7" t="s">
        <v>17</v>
      </c>
      <c r="G9519" s="7">
        <v>3957224</v>
      </c>
      <c r="H9519" s="7">
        <v>2434</v>
      </c>
      <c r="I9519" s="7">
        <v>1013</v>
      </c>
      <c r="J9519" s="7">
        <v>0</v>
      </c>
      <c r="K9519" s="7" t="s">
        <v>18</v>
      </c>
      <c r="L9519" s="8">
        <v>39987.315405092595</v>
      </c>
      <c r="M9519" s="9" t="s">
        <v>19</v>
      </c>
      <c r="N9519" s="9" t="s">
        <v>20</v>
      </c>
      <c r="O9519" s="6" t="str">
        <f>HYPERLINK("https://pbs.twimg.com/profile_images/962471262747529216/Uo8lOkRJ_normal.jpg","View")</f>
        <v>View</v>
      </c>
      <c r="P9519" s="7"/>
    </row>
    <row r="9520" spans="1:16">
      <c r="A9520" s="3">
        <v>44083.776307870372</v>
      </c>
      <c r="B9520" s="4" t="str">
        <f>HYPERLINK("https://twitter.com/petrogustavo","@petrogustavo")</f>
        <v>@petrogustavo</v>
      </c>
      <c r="C9520" s="5" t="s">
        <v>16</v>
      </c>
      <c r="D9520" s="5" t="s">
        <v>9157</v>
      </c>
      <c r="E9520" s="6" t="str">
        <f>HYPERLINK("https://twitter.com/petrogustavo/status/1303681533035851776","1303681533035851776")</f>
        <v>1303681533035851776</v>
      </c>
      <c r="F9520" s="7" t="s">
        <v>17</v>
      </c>
      <c r="G9520" s="7">
        <v>3957224</v>
      </c>
      <c r="H9520" s="7">
        <v>2434</v>
      </c>
      <c r="I9520" s="7">
        <v>110</v>
      </c>
      <c r="J9520" s="7">
        <v>303</v>
      </c>
      <c r="K9520" s="7" t="s">
        <v>18</v>
      </c>
      <c r="L9520" s="8">
        <v>39987.315405092595</v>
      </c>
      <c r="M9520" s="9" t="s">
        <v>19</v>
      </c>
      <c r="N9520" s="9" t="s">
        <v>20</v>
      </c>
      <c r="O9520" s="6" t="str">
        <f>HYPERLINK("https://pbs.twimg.com/profile_images/962471262747529216/Uo8lOkRJ_normal.jpg","View")</f>
        <v>View</v>
      </c>
      <c r="P9520" s="7"/>
    </row>
    <row r="9521" spans="1:16">
      <c r="A9521" s="3">
        <v>44083.790659722217</v>
      </c>
      <c r="B9521" s="4" t="str">
        <f>HYPERLINK("https://twitter.com/petrogustavo","@petrogustavo")</f>
        <v>@petrogustavo</v>
      </c>
      <c r="C9521" s="5" t="s">
        <v>16</v>
      </c>
      <c r="D9521" s="5" t="s">
        <v>9158</v>
      </c>
      <c r="E9521" s="6" t="str">
        <f>HYPERLINK("https://twitter.com/petrogustavo/status/1303686733100449793","1303686733100449793")</f>
        <v>1303686733100449793</v>
      </c>
      <c r="F9521" s="7" t="s">
        <v>17</v>
      </c>
      <c r="G9521" s="7">
        <v>3957266</v>
      </c>
      <c r="H9521" s="7">
        <v>2434</v>
      </c>
      <c r="I9521" s="7">
        <v>125</v>
      </c>
      <c r="J9521" s="7">
        <v>345</v>
      </c>
      <c r="K9521" s="7" t="s">
        <v>18</v>
      </c>
      <c r="L9521" s="8">
        <v>39987.315405092595</v>
      </c>
      <c r="M9521" s="9" t="s">
        <v>19</v>
      </c>
      <c r="N9521" s="9" t="s">
        <v>20</v>
      </c>
      <c r="O9521" s="6" t="str">
        <f>HYPERLINK("https://pbs.twimg.com/profile_images/962471262747529216/Uo8lOkRJ_normal.jpg","View")</f>
        <v>View</v>
      </c>
      <c r="P9521" s="7"/>
    </row>
    <row r="9522" spans="1:16">
      <c r="A9522" s="3">
        <v>44083.895219907412</v>
      </c>
      <c r="B9522" s="4" t="str">
        <f>HYPERLINK("https://twitter.com/petrogustavo","@petrogustavo")</f>
        <v>@petrogustavo</v>
      </c>
      <c r="C9522" s="5" t="s">
        <v>16</v>
      </c>
      <c r="D9522" s="5" t="s">
        <v>9159</v>
      </c>
      <c r="E9522" s="6" t="str">
        <f>HYPERLINK("https://twitter.com/petrogustavo/status/1303724625575251970","1303724625575251970")</f>
        <v>1303724625575251970</v>
      </c>
      <c r="F9522" s="7" t="s">
        <v>32</v>
      </c>
      <c r="G9522" s="7">
        <v>3957429</v>
      </c>
      <c r="H9522" s="7">
        <v>2434</v>
      </c>
      <c r="I9522" s="7">
        <v>998</v>
      </c>
      <c r="J9522" s="7">
        <v>0</v>
      </c>
      <c r="K9522" s="7" t="s">
        <v>18</v>
      </c>
      <c r="L9522" s="8">
        <v>39987.315405092595</v>
      </c>
      <c r="M9522" s="9" t="s">
        <v>19</v>
      </c>
      <c r="N9522" s="9" t="s">
        <v>20</v>
      </c>
      <c r="O9522" s="6" t="str">
        <f>HYPERLINK("https://pbs.twimg.com/profile_images/962471262747529216/Uo8lOkRJ_normal.jpg","View")</f>
        <v>View</v>
      </c>
      <c r="P9522" s="7"/>
    </row>
    <row r="9523" spans="1:16">
      <c r="A9523" s="3">
        <v>44083.970393518517</v>
      </c>
      <c r="B9523" s="4" t="str">
        <f>HYPERLINK("https://twitter.com/petrogustavo","@petrogustavo")</f>
        <v>@petrogustavo</v>
      </c>
      <c r="C9523" s="5" t="s">
        <v>16</v>
      </c>
      <c r="D9523" s="5" t="s">
        <v>9160</v>
      </c>
      <c r="E9523" s="6" t="str">
        <f>HYPERLINK("https://twitter.com/petrogustavo/status/1303751868053676036","1303751868053676036")</f>
        <v>1303751868053676036</v>
      </c>
      <c r="F9523" s="7" t="s">
        <v>32</v>
      </c>
      <c r="G9523" s="7">
        <v>3957531</v>
      </c>
      <c r="H9523" s="7">
        <v>2434</v>
      </c>
      <c r="I9523" s="7">
        <v>24</v>
      </c>
      <c r="J9523" s="7">
        <v>80</v>
      </c>
      <c r="K9523" s="7" t="s">
        <v>18</v>
      </c>
      <c r="L9523" s="8">
        <v>39987.315405092595</v>
      </c>
      <c r="M9523" s="9" t="s">
        <v>19</v>
      </c>
      <c r="N9523" s="9" t="s">
        <v>20</v>
      </c>
      <c r="O9523" s="6" t="str">
        <f>HYPERLINK("https://pbs.twimg.com/profile_images/962471262747529216/Uo8lOkRJ_normal.jpg","View")</f>
        <v>View</v>
      </c>
      <c r="P9523" s="7"/>
    </row>
    <row r="9524" spans="1:16">
      <c r="A9524" s="3">
        <v>44083.984826388885</v>
      </c>
      <c r="B9524" s="4" t="str">
        <f>HYPERLINK("https://twitter.com/petrogustavo","@petrogustavo")</f>
        <v>@petrogustavo</v>
      </c>
      <c r="C9524" s="5" t="s">
        <v>16</v>
      </c>
      <c r="D9524" s="5" t="s">
        <v>9161</v>
      </c>
      <c r="E9524" s="6" t="str">
        <f>HYPERLINK("https://twitter.com/petrogustavo/status/1303757099143487488","1303757099143487488")</f>
        <v>1303757099143487488</v>
      </c>
      <c r="F9524" s="7" t="s">
        <v>32</v>
      </c>
      <c r="G9524" s="7">
        <v>3957570</v>
      </c>
      <c r="H9524" s="7">
        <v>2434</v>
      </c>
      <c r="I9524" s="7">
        <v>241</v>
      </c>
      <c r="J9524" s="7">
        <v>945</v>
      </c>
      <c r="K9524" s="7" t="s">
        <v>18</v>
      </c>
      <c r="L9524" s="8">
        <v>39987.315405092595</v>
      </c>
      <c r="M9524" s="9" t="s">
        <v>19</v>
      </c>
      <c r="N9524" s="9" t="s">
        <v>20</v>
      </c>
      <c r="O9524" s="6" t="str">
        <f>HYPERLINK("https://pbs.twimg.com/profile_images/962471262747529216/Uo8lOkRJ_normal.jpg","View")</f>
        <v>View</v>
      </c>
      <c r="P9524" s="7"/>
    </row>
    <row r="9525" spans="1:16">
      <c r="A9525" s="3">
        <v>44083.995428240742</v>
      </c>
      <c r="B9525" s="4" t="str">
        <f>HYPERLINK("https://twitter.com/petrogustavo","@petrogustavo")</f>
        <v>@petrogustavo</v>
      </c>
      <c r="C9525" s="5" t="s">
        <v>16</v>
      </c>
      <c r="D9525" s="5" t="s">
        <v>9162</v>
      </c>
      <c r="E9525" s="6" t="str">
        <f>HYPERLINK("https://twitter.com/petrogustavo/status/1303760939448238080","1303760939448238080")</f>
        <v>1303760939448238080</v>
      </c>
      <c r="F9525" s="7" t="s">
        <v>32</v>
      </c>
      <c r="G9525" s="7">
        <v>3957620</v>
      </c>
      <c r="H9525" s="7">
        <v>2434</v>
      </c>
      <c r="I9525" s="7">
        <v>193</v>
      </c>
      <c r="J9525" s="7">
        <v>0</v>
      </c>
      <c r="K9525" s="7" t="s">
        <v>18</v>
      </c>
      <c r="L9525" s="8">
        <v>39987.315405092595</v>
      </c>
      <c r="M9525" s="9" t="s">
        <v>19</v>
      </c>
      <c r="N9525" s="9" t="s">
        <v>20</v>
      </c>
      <c r="O9525" s="6" t="str">
        <f>HYPERLINK("https://pbs.twimg.com/profile_images/962471262747529216/Uo8lOkRJ_normal.jpg","View")</f>
        <v>View</v>
      </c>
      <c r="P9525" s="7"/>
    </row>
    <row r="9526" spans="1:16">
      <c r="A9526" s="3">
        <v>44083.995937500003</v>
      </c>
      <c r="B9526" s="4" t="str">
        <f>HYPERLINK("https://twitter.com/petrogustavo","@petrogustavo")</f>
        <v>@petrogustavo</v>
      </c>
      <c r="C9526" s="5" t="s">
        <v>16</v>
      </c>
      <c r="D9526" s="5" t="s">
        <v>9163</v>
      </c>
      <c r="E9526" s="6" t="str">
        <f>HYPERLINK("https://twitter.com/petrogustavo/status/1303761124622565378","1303761124622565378")</f>
        <v>1303761124622565378</v>
      </c>
      <c r="F9526" s="7" t="s">
        <v>32</v>
      </c>
      <c r="G9526" s="7">
        <v>3957620</v>
      </c>
      <c r="H9526" s="7">
        <v>2434</v>
      </c>
      <c r="I9526" s="7">
        <v>47</v>
      </c>
      <c r="J9526" s="7">
        <v>0</v>
      </c>
      <c r="K9526" s="7" t="s">
        <v>18</v>
      </c>
      <c r="L9526" s="8">
        <v>39987.315405092595</v>
      </c>
      <c r="M9526" s="9" t="s">
        <v>19</v>
      </c>
      <c r="N9526" s="9" t="s">
        <v>20</v>
      </c>
      <c r="O9526" s="6" t="str">
        <f>HYPERLINK("https://pbs.twimg.com/profile_images/962471262747529216/Uo8lOkRJ_normal.jpg","View")</f>
        <v>View</v>
      </c>
      <c r="P9526" s="7"/>
    </row>
    <row r="9527" spans="1:16">
      <c r="A9527" s="3">
        <v>44083.996134259258</v>
      </c>
      <c r="B9527" s="4" t="str">
        <f>HYPERLINK("https://twitter.com/petrogustavo","@petrogustavo")</f>
        <v>@petrogustavo</v>
      </c>
      <c r="C9527" s="5" t="s">
        <v>16</v>
      </c>
      <c r="D9527" s="5" t="s">
        <v>9164</v>
      </c>
      <c r="E9527" s="6" t="str">
        <f>HYPERLINK("https://twitter.com/petrogustavo/status/1303761197272117248","1303761197272117248")</f>
        <v>1303761197272117248</v>
      </c>
      <c r="F9527" s="7" t="s">
        <v>32</v>
      </c>
      <c r="G9527" s="7">
        <v>3957620</v>
      </c>
      <c r="H9527" s="7">
        <v>2434</v>
      </c>
      <c r="I9527" s="7">
        <v>382</v>
      </c>
      <c r="J9527" s="7">
        <v>0</v>
      </c>
      <c r="K9527" s="7" t="s">
        <v>18</v>
      </c>
      <c r="L9527" s="8">
        <v>39987.315405092595</v>
      </c>
      <c r="M9527" s="9" t="s">
        <v>19</v>
      </c>
      <c r="N9527" s="9" t="s">
        <v>20</v>
      </c>
      <c r="O9527" s="6" t="str">
        <f>HYPERLINK("https://pbs.twimg.com/profile_images/962471262747529216/Uo8lOkRJ_normal.jpg","View")</f>
        <v>View</v>
      </c>
      <c r="P9527" s="7"/>
    </row>
    <row r="9528" spans="1:16">
      <c r="A9528" s="3">
        <v>44084.002233796295</v>
      </c>
      <c r="B9528" s="4" t="str">
        <f>HYPERLINK("https://twitter.com/petrogustavo","@petrogustavo")</f>
        <v>@petrogustavo</v>
      </c>
      <c r="C9528" s="5" t="s">
        <v>16</v>
      </c>
      <c r="D9528" s="5" t="s">
        <v>9165</v>
      </c>
      <c r="E9528" s="6" t="str">
        <f>HYPERLINK("https://twitter.com/petrogustavo/status/1303763406793699335","1303763406793699335")</f>
        <v>1303763406793699335</v>
      </c>
      <c r="F9528" s="7" t="s">
        <v>32</v>
      </c>
      <c r="G9528" s="7">
        <v>3957620</v>
      </c>
      <c r="H9528" s="7">
        <v>2434</v>
      </c>
      <c r="I9528" s="7">
        <v>221</v>
      </c>
      <c r="J9528" s="7">
        <v>619</v>
      </c>
      <c r="K9528" s="7" t="s">
        <v>18</v>
      </c>
      <c r="L9528" s="8">
        <v>39987.315405092595</v>
      </c>
      <c r="M9528" s="9" t="s">
        <v>19</v>
      </c>
      <c r="N9528" s="9" t="s">
        <v>20</v>
      </c>
      <c r="O9528" s="6" t="str">
        <f>HYPERLINK("https://pbs.twimg.com/profile_images/962471262747529216/Uo8lOkRJ_normal.jpg","View")</f>
        <v>View</v>
      </c>
      <c r="P9528" s="7"/>
    </row>
    <row r="9529" spans="1:16">
      <c r="A9529" s="3">
        <v>44084.003310185188</v>
      </c>
      <c r="B9529" s="4" t="str">
        <f>HYPERLINK("https://twitter.com/petrogustavo","@petrogustavo")</f>
        <v>@petrogustavo</v>
      </c>
      <c r="C9529" s="5" t="s">
        <v>16</v>
      </c>
      <c r="D9529" s="5" t="s">
        <v>9166</v>
      </c>
      <c r="E9529" s="6" t="str">
        <f>HYPERLINK("https://twitter.com/petrogustavo/status/1303763797979680769","1303763797979680769")</f>
        <v>1303763797979680769</v>
      </c>
      <c r="F9529" s="7" t="s">
        <v>32</v>
      </c>
      <c r="G9529" s="7">
        <v>3957620</v>
      </c>
      <c r="H9529" s="7">
        <v>2434</v>
      </c>
      <c r="I9529" s="7">
        <v>74</v>
      </c>
      <c r="J9529" s="7">
        <v>0</v>
      </c>
      <c r="K9529" s="7" t="s">
        <v>18</v>
      </c>
      <c r="L9529" s="8">
        <v>39987.315405092595</v>
      </c>
      <c r="M9529" s="9" t="s">
        <v>19</v>
      </c>
      <c r="N9529" s="9" t="s">
        <v>20</v>
      </c>
      <c r="O9529" s="6" t="str">
        <f>HYPERLINK("https://pbs.twimg.com/profile_images/962471262747529216/Uo8lOkRJ_normal.jpg","View")</f>
        <v>View</v>
      </c>
      <c r="P9529" s="7"/>
    </row>
    <row r="9530" spans="1:16">
      <c r="A9530" s="3">
        <v>44084.010879629626</v>
      </c>
      <c r="B9530" s="4" t="str">
        <f>HYPERLINK("https://twitter.com/petrogustavo","@petrogustavo")</f>
        <v>@petrogustavo</v>
      </c>
      <c r="C9530" s="5" t="s">
        <v>16</v>
      </c>
      <c r="D9530" s="5" t="s">
        <v>9167</v>
      </c>
      <c r="E9530" s="6" t="str">
        <f>HYPERLINK("https://twitter.com/petrogustavo/status/1303766537820606467","1303766537820606467")</f>
        <v>1303766537820606467</v>
      </c>
      <c r="F9530" s="7" t="s">
        <v>32</v>
      </c>
      <c r="G9530" s="7">
        <v>3957620</v>
      </c>
      <c r="H9530" s="7">
        <v>2434</v>
      </c>
      <c r="I9530" s="7">
        <v>633</v>
      </c>
      <c r="J9530" s="7">
        <v>0</v>
      </c>
      <c r="K9530" s="7" t="s">
        <v>18</v>
      </c>
      <c r="L9530" s="8">
        <v>39987.315405092595</v>
      </c>
      <c r="M9530" s="9" t="s">
        <v>19</v>
      </c>
      <c r="N9530" s="9" t="s">
        <v>20</v>
      </c>
      <c r="O9530" s="6" t="str">
        <f>HYPERLINK("https://pbs.twimg.com/profile_images/962471262747529216/Uo8lOkRJ_normal.jpg","View")</f>
        <v>View</v>
      </c>
      <c r="P9530" s="7"/>
    </row>
    <row r="9531" spans="1:16">
      <c r="A9531" s="3">
        <v>44084.020520833335</v>
      </c>
      <c r="B9531" s="4" t="str">
        <f>HYPERLINK("https://twitter.com/petrogustavo","@petrogustavo")</f>
        <v>@petrogustavo</v>
      </c>
      <c r="C9531" s="5" t="s">
        <v>16</v>
      </c>
      <c r="D9531" s="5" t="s">
        <v>9168</v>
      </c>
      <c r="E9531" s="6" t="str">
        <f>HYPERLINK("https://twitter.com/petrogustavo/status/1303770033546461191","1303770033546461191")</f>
        <v>1303770033546461191</v>
      </c>
      <c r="F9531" s="7" t="s">
        <v>32</v>
      </c>
      <c r="G9531" s="7">
        <v>3957661</v>
      </c>
      <c r="H9531" s="7">
        <v>2434</v>
      </c>
      <c r="I9531" s="7">
        <v>60</v>
      </c>
      <c r="J9531" s="7">
        <v>162</v>
      </c>
      <c r="K9531" s="7" t="s">
        <v>18</v>
      </c>
      <c r="L9531" s="8">
        <v>39987.315405092595</v>
      </c>
      <c r="M9531" s="9" t="s">
        <v>19</v>
      </c>
      <c r="N9531" s="9" t="s">
        <v>20</v>
      </c>
      <c r="O9531" s="6" t="str">
        <f>HYPERLINK("https://pbs.twimg.com/profile_images/962471262747529216/Uo8lOkRJ_normal.jpg","View")</f>
        <v>View</v>
      </c>
      <c r="P9531" s="7"/>
    </row>
    <row r="9532" spans="1:16">
      <c r="A9532" s="3">
        <v>44084.023020833338</v>
      </c>
      <c r="B9532" s="4" t="str">
        <f>HYPERLINK("https://twitter.com/petrogustavo","@petrogustavo")</f>
        <v>@petrogustavo</v>
      </c>
      <c r="C9532" s="5" t="s">
        <v>16</v>
      </c>
      <c r="D9532" s="5" t="s">
        <v>9169</v>
      </c>
      <c r="E9532" s="6" t="str">
        <f>HYPERLINK("https://twitter.com/petrogustavo/status/1303770938970906625","1303770938970906625")</f>
        <v>1303770938970906625</v>
      </c>
      <c r="F9532" s="7" t="s">
        <v>32</v>
      </c>
      <c r="G9532" s="7">
        <v>3957661</v>
      </c>
      <c r="H9532" s="7">
        <v>2434</v>
      </c>
      <c r="I9532" s="7">
        <v>176</v>
      </c>
      <c r="J9532" s="7">
        <v>0</v>
      </c>
      <c r="K9532" s="7" t="s">
        <v>18</v>
      </c>
      <c r="L9532" s="8">
        <v>39987.315405092595</v>
      </c>
      <c r="M9532" s="9" t="s">
        <v>19</v>
      </c>
      <c r="N9532" s="9" t="s">
        <v>20</v>
      </c>
      <c r="O9532" s="6" t="str">
        <f>HYPERLINK("https://pbs.twimg.com/profile_images/962471262747529216/Uo8lOkRJ_normal.jpg","View")</f>
        <v>View</v>
      </c>
      <c r="P9532" s="7"/>
    </row>
    <row r="9533" spans="1:16">
      <c r="A9533" s="3">
        <v>44084.023217592592</v>
      </c>
      <c r="B9533" s="4" t="str">
        <f>HYPERLINK("https://twitter.com/petrogustavo","@petrogustavo")</f>
        <v>@petrogustavo</v>
      </c>
      <c r="C9533" s="5" t="s">
        <v>16</v>
      </c>
      <c r="D9533" s="5" t="s">
        <v>9170</v>
      </c>
      <c r="E9533" s="6" t="str">
        <f>HYPERLINK("https://twitter.com/petrogustavo/status/1303771011180122118","1303771011180122118")</f>
        <v>1303771011180122118</v>
      </c>
      <c r="F9533" s="7" t="s">
        <v>32</v>
      </c>
      <c r="G9533" s="7">
        <v>3957661</v>
      </c>
      <c r="H9533" s="7">
        <v>2434</v>
      </c>
      <c r="I9533" s="7">
        <v>144</v>
      </c>
      <c r="J9533" s="7">
        <v>0</v>
      </c>
      <c r="K9533" s="7" t="s">
        <v>18</v>
      </c>
      <c r="L9533" s="8">
        <v>39987.315405092595</v>
      </c>
      <c r="M9533" s="9" t="s">
        <v>19</v>
      </c>
      <c r="N9533" s="9" t="s">
        <v>20</v>
      </c>
      <c r="O9533" s="6" t="str">
        <f>HYPERLINK("https://pbs.twimg.com/profile_images/962471262747529216/Uo8lOkRJ_normal.jpg","View")</f>
        <v>View</v>
      </c>
      <c r="P9533" s="7"/>
    </row>
    <row r="9534" spans="1:16">
      <c r="A9534" s="3">
        <v>44084.027442129634</v>
      </c>
      <c r="B9534" s="4" t="str">
        <f>HYPERLINK("https://twitter.com/petrogustavo","@petrogustavo")</f>
        <v>@petrogustavo</v>
      </c>
      <c r="C9534" s="5" t="s">
        <v>16</v>
      </c>
      <c r="D9534" s="5" t="s">
        <v>9171</v>
      </c>
      <c r="E9534" s="6" t="str">
        <f>HYPERLINK("https://twitter.com/petrogustavo/status/1303772541178261506","1303772541178261506")</f>
        <v>1303772541178261506</v>
      </c>
      <c r="F9534" s="7" t="s">
        <v>32</v>
      </c>
      <c r="G9534" s="7">
        <v>3957661</v>
      </c>
      <c r="H9534" s="7">
        <v>2434</v>
      </c>
      <c r="I9534" s="7">
        <v>96</v>
      </c>
      <c r="J9534" s="7">
        <v>320</v>
      </c>
      <c r="K9534" s="7" t="s">
        <v>18</v>
      </c>
      <c r="L9534" s="8">
        <v>39987.315405092595</v>
      </c>
      <c r="M9534" s="9" t="s">
        <v>19</v>
      </c>
      <c r="N9534" s="9" t="s">
        <v>20</v>
      </c>
      <c r="O9534" s="6" t="str">
        <f>HYPERLINK("https://pbs.twimg.com/profile_images/962471262747529216/Uo8lOkRJ_normal.jpg","View")</f>
        <v>View</v>
      </c>
      <c r="P9534" s="7"/>
    </row>
    <row r="9535" spans="1:16">
      <c r="A9535" s="3">
        <v>44084.113391203704</v>
      </c>
      <c r="B9535" s="4" t="str">
        <f>HYPERLINK("https://twitter.com/petrogustavo","@petrogustavo")</f>
        <v>@petrogustavo</v>
      </c>
      <c r="C9535" s="5" t="s">
        <v>16</v>
      </c>
      <c r="D9535" s="5" t="s">
        <v>9172</v>
      </c>
      <c r="E9535" s="6" t="str">
        <f>HYPERLINK("https://twitter.com/petrogustavo/status/1303803689015152647","1303803689015152647")</f>
        <v>1303803689015152647</v>
      </c>
      <c r="F9535" s="7" t="s">
        <v>32</v>
      </c>
      <c r="G9535" s="7">
        <v>3957827</v>
      </c>
      <c r="H9535" s="7">
        <v>2434</v>
      </c>
      <c r="I9535" s="7">
        <v>58</v>
      </c>
      <c r="J9535" s="7">
        <v>0</v>
      </c>
      <c r="K9535" s="7" t="s">
        <v>18</v>
      </c>
      <c r="L9535" s="8">
        <v>39987.315405092595</v>
      </c>
      <c r="M9535" s="9" t="s">
        <v>19</v>
      </c>
      <c r="N9535" s="9" t="s">
        <v>20</v>
      </c>
      <c r="O9535" s="6" t="str">
        <f>HYPERLINK("https://pbs.twimg.com/profile_images/962471262747529216/Uo8lOkRJ_normal.jpg","View")</f>
        <v>View</v>
      </c>
      <c r="P9535" s="7"/>
    </row>
    <row r="9536" spans="1:16">
      <c r="A9536" s="3">
        <v>44084.11917824074</v>
      </c>
      <c r="B9536" s="4" t="str">
        <f>HYPERLINK("https://twitter.com/petrogustavo","@petrogustavo")</f>
        <v>@petrogustavo</v>
      </c>
      <c r="C9536" s="5" t="s">
        <v>16</v>
      </c>
      <c r="D9536" s="5" t="s">
        <v>9173</v>
      </c>
      <c r="E9536" s="6" t="str">
        <f>HYPERLINK("https://twitter.com/petrogustavo/status/1303805787714867200","1303805787714867200")</f>
        <v>1303805787714867200</v>
      </c>
      <c r="F9536" s="7" t="s">
        <v>32</v>
      </c>
      <c r="G9536" s="7">
        <v>3957872</v>
      </c>
      <c r="H9536" s="7">
        <v>2434</v>
      </c>
      <c r="I9536" s="7">
        <v>112</v>
      </c>
      <c r="J9536" s="7">
        <v>0</v>
      </c>
      <c r="K9536" s="7" t="s">
        <v>18</v>
      </c>
      <c r="L9536" s="8">
        <v>39987.315405092595</v>
      </c>
      <c r="M9536" s="9" t="s">
        <v>19</v>
      </c>
      <c r="N9536" s="9" t="s">
        <v>20</v>
      </c>
      <c r="O9536" s="6" t="str">
        <f>HYPERLINK("https://pbs.twimg.com/profile_images/962471262747529216/Uo8lOkRJ_normal.jpg","View")</f>
        <v>View</v>
      </c>
      <c r="P9536" s="7"/>
    </row>
    <row r="9537" spans="1:16">
      <c r="A9537" s="3">
        <v>44084.120671296296</v>
      </c>
      <c r="B9537" s="4" t="str">
        <f>HYPERLINK("https://twitter.com/petrogustavo","@petrogustavo")</f>
        <v>@petrogustavo</v>
      </c>
      <c r="C9537" s="5" t="s">
        <v>16</v>
      </c>
      <c r="D9537" s="5" t="s">
        <v>9174</v>
      </c>
      <c r="E9537" s="6" t="str">
        <f>HYPERLINK("https://twitter.com/petrogustavo/status/1303806327731425280","1303806327731425280")</f>
        <v>1303806327731425280</v>
      </c>
      <c r="F9537" s="7" t="s">
        <v>32</v>
      </c>
      <c r="G9537" s="7">
        <v>3957872</v>
      </c>
      <c r="H9537" s="7">
        <v>2434</v>
      </c>
      <c r="I9537" s="7">
        <v>869</v>
      </c>
      <c r="J9537" s="7">
        <v>0</v>
      </c>
      <c r="K9537" s="7" t="s">
        <v>18</v>
      </c>
      <c r="L9537" s="8">
        <v>39987.315405092595</v>
      </c>
      <c r="M9537" s="9" t="s">
        <v>19</v>
      </c>
      <c r="N9537" s="9" t="s">
        <v>20</v>
      </c>
      <c r="O9537" s="6" t="str">
        <f>HYPERLINK("https://pbs.twimg.com/profile_images/962471262747529216/Uo8lOkRJ_normal.jpg","View")</f>
        <v>View</v>
      </c>
      <c r="P9537" s="7"/>
    </row>
    <row r="9538" spans="1:16">
      <c r="A9538" s="3">
        <v>44084.121678240743</v>
      </c>
      <c r="B9538" s="4" t="str">
        <f>HYPERLINK("https://twitter.com/petrogustavo","@petrogustavo")</f>
        <v>@petrogustavo</v>
      </c>
      <c r="C9538" s="5" t="s">
        <v>16</v>
      </c>
      <c r="D9538" s="5" t="s">
        <v>9175</v>
      </c>
      <c r="E9538" s="6" t="str">
        <f>HYPERLINK("https://twitter.com/petrogustavo/status/1303806690224156672","1303806690224156672")</f>
        <v>1303806690224156672</v>
      </c>
      <c r="F9538" s="7" t="s">
        <v>32</v>
      </c>
      <c r="G9538" s="7">
        <v>3957872</v>
      </c>
      <c r="H9538" s="7">
        <v>2434</v>
      </c>
      <c r="I9538" s="7">
        <v>173</v>
      </c>
      <c r="J9538" s="7">
        <v>0</v>
      </c>
      <c r="K9538" s="7" t="s">
        <v>18</v>
      </c>
      <c r="L9538" s="8">
        <v>39987.315405092595</v>
      </c>
      <c r="M9538" s="9" t="s">
        <v>19</v>
      </c>
      <c r="N9538" s="9" t="s">
        <v>20</v>
      </c>
      <c r="O9538" s="6" t="str">
        <f>HYPERLINK("https://pbs.twimg.com/profile_images/962471262747529216/Uo8lOkRJ_normal.jpg","View")</f>
        <v>View</v>
      </c>
      <c r="P9538" s="7"/>
    </row>
    <row r="9539" spans="1:16">
      <c r="A9539" s="3">
        <v>44084.123344907406</v>
      </c>
      <c r="B9539" s="4" t="str">
        <f>HYPERLINK("https://twitter.com/petrogustavo","@petrogustavo")</f>
        <v>@petrogustavo</v>
      </c>
      <c r="C9539" s="5" t="s">
        <v>16</v>
      </c>
      <c r="D9539" s="5" t="s">
        <v>9176</v>
      </c>
      <c r="E9539" s="6" t="str">
        <f>HYPERLINK("https://twitter.com/petrogustavo/status/1303807294493388801","1303807294493388801")</f>
        <v>1303807294493388801</v>
      </c>
      <c r="F9539" s="7" t="s">
        <v>32</v>
      </c>
      <c r="G9539" s="7">
        <v>3957872</v>
      </c>
      <c r="H9539" s="7">
        <v>2434</v>
      </c>
      <c r="I9539" s="7">
        <v>127</v>
      </c>
      <c r="J9539" s="7">
        <v>0</v>
      </c>
      <c r="K9539" s="7" t="s">
        <v>18</v>
      </c>
      <c r="L9539" s="8">
        <v>39987.315405092595</v>
      </c>
      <c r="M9539" s="9" t="s">
        <v>19</v>
      </c>
      <c r="N9539" s="9" t="s">
        <v>20</v>
      </c>
      <c r="O9539" s="6" t="str">
        <f>HYPERLINK("https://pbs.twimg.com/profile_images/962471262747529216/Uo8lOkRJ_normal.jpg","View")</f>
        <v>View</v>
      </c>
      <c r="P9539" s="7"/>
    </row>
    <row r="9540" spans="1:16">
      <c r="A9540" s="3">
        <v>44084.137962962966</v>
      </c>
      <c r="B9540" s="4" t="str">
        <f>HYPERLINK("https://twitter.com/petrogustavo","@petrogustavo")</f>
        <v>@petrogustavo</v>
      </c>
      <c r="C9540" s="5" t="s">
        <v>16</v>
      </c>
      <c r="D9540" s="5" t="s">
        <v>9177</v>
      </c>
      <c r="E9540" s="6" t="str">
        <f>HYPERLINK("https://twitter.com/petrogustavo/status/1303812591840616448","1303812591840616448")</f>
        <v>1303812591840616448</v>
      </c>
      <c r="F9540" s="7" t="s">
        <v>32</v>
      </c>
      <c r="G9540" s="7">
        <v>3957905</v>
      </c>
      <c r="H9540" s="7">
        <v>2434</v>
      </c>
      <c r="I9540" s="7">
        <v>42</v>
      </c>
      <c r="J9540" s="7">
        <v>0</v>
      </c>
      <c r="K9540" s="7" t="s">
        <v>18</v>
      </c>
      <c r="L9540" s="8">
        <v>39987.315405092595</v>
      </c>
      <c r="M9540" s="9" t="s">
        <v>19</v>
      </c>
      <c r="N9540" s="9" t="s">
        <v>20</v>
      </c>
      <c r="O9540" s="6" t="str">
        <f>HYPERLINK("https://pbs.twimg.com/profile_images/962471262747529216/Uo8lOkRJ_normal.jpg","View")</f>
        <v>View</v>
      </c>
      <c r="P9540" s="7"/>
    </row>
    <row r="9541" spans="1:16">
      <c r="A9541" s="3">
        <v>44084.14135416667</v>
      </c>
      <c r="B9541" s="4" t="str">
        <f>HYPERLINK("https://twitter.com/petrogustavo","@petrogustavo")</f>
        <v>@petrogustavo</v>
      </c>
      <c r="C9541" s="5" t="s">
        <v>16</v>
      </c>
      <c r="D9541" s="5" t="s">
        <v>9178</v>
      </c>
      <c r="E9541" s="6" t="str">
        <f>HYPERLINK("https://twitter.com/petrogustavo/status/1303813820725506048","1303813820725506048")</f>
        <v>1303813820725506048</v>
      </c>
      <c r="F9541" s="7" t="s">
        <v>32</v>
      </c>
      <c r="G9541" s="7">
        <v>3957905</v>
      </c>
      <c r="H9541" s="7">
        <v>2434</v>
      </c>
      <c r="I9541" s="7">
        <v>534</v>
      </c>
      <c r="J9541" s="7">
        <v>0</v>
      </c>
      <c r="K9541" s="7" t="s">
        <v>18</v>
      </c>
      <c r="L9541" s="8">
        <v>39987.315405092595</v>
      </c>
      <c r="M9541" s="9" t="s">
        <v>19</v>
      </c>
      <c r="N9541" s="9" t="s">
        <v>20</v>
      </c>
      <c r="O9541" s="6" t="str">
        <f>HYPERLINK("https://pbs.twimg.com/profile_images/962471262747529216/Uo8lOkRJ_normal.jpg","View")</f>
        <v>View</v>
      </c>
      <c r="P9541" s="7"/>
    </row>
    <row r="9542" spans="1:16">
      <c r="A9542" s="3">
        <v>44084.141550925924</v>
      </c>
      <c r="B9542" s="4" t="str">
        <f>HYPERLINK("https://twitter.com/petrogustavo","@petrogustavo")</f>
        <v>@petrogustavo</v>
      </c>
      <c r="C9542" s="5" t="s">
        <v>16</v>
      </c>
      <c r="D9542" s="5" t="s">
        <v>9179</v>
      </c>
      <c r="E9542" s="6" t="str">
        <f>HYPERLINK("https://twitter.com/petrogustavo/status/1303813893639335937","1303813893639335937")</f>
        <v>1303813893639335937</v>
      </c>
      <c r="F9542" s="7" t="s">
        <v>32</v>
      </c>
      <c r="G9542" s="7">
        <v>3957905</v>
      </c>
      <c r="H9542" s="7">
        <v>2434</v>
      </c>
      <c r="I9542" s="7">
        <v>511</v>
      </c>
      <c r="J9542" s="7">
        <v>0</v>
      </c>
      <c r="K9542" s="7" t="s">
        <v>18</v>
      </c>
      <c r="L9542" s="8">
        <v>39987.315405092595</v>
      </c>
      <c r="M9542" s="9" t="s">
        <v>19</v>
      </c>
      <c r="N9542" s="9" t="s">
        <v>20</v>
      </c>
      <c r="O9542" s="6" t="str">
        <f>HYPERLINK("https://pbs.twimg.com/profile_images/962471262747529216/Uo8lOkRJ_normal.jpg","View")</f>
        <v>View</v>
      </c>
      <c r="P9542" s="7"/>
    </row>
    <row r="9543" spans="1:16">
      <c r="A9543" s="3">
        <v>44084.199293981481</v>
      </c>
      <c r="B9543" s="4" t="str">
        <f>HYPERLINK("https://twitter.com/petrogustavo","@petrogustavo")</f>
        <v>@petrogustavo</v>
      </c>
      <c r="C9543" s="5" t="s">
        <v>16</v>
      </c>
      <c r="D9543" s="5" t="s">
        <v>9180</v>
      </c>
      <c r="E9543" s="6" t="str">
        <f>HYPERLINK("https://twitter.com/petrogustavo/status/1303834820422889474","1303834820422889474")</f>
        <v>1303834820422889474</v>
      </c>
      <c r="F9543" s="7" t="s">
        <v>21</v>
      </c>
      <c r="G9543" s="7">
        <v>3957971</v>
      </c>
      <c r="H9543" s="7">
        <v>2434</v>
      </c>
      <c r="I9543" s="7">
        <v>19</v>
      </c>
      <c r="J9543" s="7">
        <v>39</v>
      </c>
      <c r="K9543" s="7" t="s">
        <v>18</v>
      </c>
      <c r="L9543" s="8">
        <v>39987.315405092595</v>
      </c>
      <c r="M9543" s="9" t="s">
        <v>19</v>
      </c>
      <c r="N9543" s="9" t="s">
        <v>20</v>
      </c>
      <c r="O9543" s="6" t="str">
        <f>HYPERLINK("https://pbs.twimg.com/profile_images/962471262747529216/Uo8lOkRJ_normal.jpg","View")</f>
        <v>View</v>
      </c>
      <c r="P9543" s="7"/>
    </row>
    <row r="9544" spans="1:16">
      <c r="A9544" s="3">
        <v>44084.199872685189</v>
      </c>
      <c r="B9544" s="4" t="str">
        <f>HYPERLINK("https://twitter.com/petrogustavo","@petrogustavo")</f>
        <v>@petrogustavo</v>
      </c>
      <c r="C9544" s="5" t="s">
        <v>16</v>
      </c>
      <c r="D9544" s="5" t="s">
        <v>9181</v>
      </c>
      <c r="E9544" s="6" t="str">
        <f>HYPERLINK("https://twitter.com/petrogustavo/status/1303835026841366528","1303835026841366528")</f>
        <v>1303835026841366528</v>
      </c>
      <c r="F9544" s="7" t="s">
        <v>32</v>
      </c>
      <c r="G9544" s="7">
        <v>3957971</v>
      </c>
      <c r="H9544" s="7">
        <v>2434</v>
      </c>
      <c r="I9544" s="7">
        <v>10</v>
      </c>
      <c r="J9544" s="7">
        <v>0</v>
      </c>
      <c r="K9544" s="7" t="s">
        <v>18</v>
      </c>
      <c r="L9544" s="8">
        <v>39987.315405092595</v>
      </c>
      <c r="M9544" s="9" t="s">
        <v>19</v>
      </c>
      <c r="N9544" s="9" t="s">
        <v>20</v>
      </c>
      <c r="O9544" s="6" t="str">
        <f>HYPERLINK("https://pbs.twimg.com/profile_images/962471262747529216/Uo8lOkRJ_normal.jpg","View")</f>
        <v>View</v>
      </c>
      <c r="P9544" s="7"/>
    </row>
    <row r="9545" spans="1:16">
      <c r="A9545" s="3">
        <v>44084.201261574075</v>
      </c>
      <c r="B9545" s="4" t="str">
        <f>HYPERLINK("https://twitter.com/petrogustavo","@petrogustavo")</f>
        <v>@petrogustavo</v>
      </c>
      <c r="C9545" s="5" t="s">
        <v>16</v>
      </c>
      <c r="D9545" s="5" t="s">
        <v>9182</v>
      </c>
      <c r="E9545" s="6" t="str">
        <f>HYPERLINK("https://twitter.com/petrogustavo/status/1303835530065477633","1303835530065477633")</f>
        <v>1303835530065477633</v>
      </c>
      <c r="F9545" s="7" t="s">
        <v>32</v>
      </c>
      <c r="G9545" s="7">
        <v>3958039</v>
      </c>
      <c r="H9545" s="7">
        <v>2435</v>
      </c>
      <c r="I9545" s="7">
        <v>83</v>
      </c>
      <c r="J9545" s="7">
        <v>0</v>
      </c>
      <c r="K9545" s="7" t="s">
        <v>18</v>
      </c>
      <c r="L9545" s="8">
        <v>39987.315405092595</v>
      </c>
      <c r="M9545" s="9" t="s">
        <v>19</v>
      </c>
      <c r="N9545" s="9" t="s">
        <v>20</v>
      </c>
      <c r="O9545" s="6" t="str">
        <f>HYPERLINK("https://pbs.twimg.com/profile_images/962471262747529216/Uo8lOkRJ_normal.jpg","View")</f>
        <v>View</v>
      </c>
      <c r="P9545" s="7"/>
    </row>
    <row r="9546" spans="1:16">
      <c r="A9546" s="3">
        <v>44084.201539351852</v>
      </c>
      <c r="B9546" s="4" t="str">
        <f>HYPERLINK("https://twitter.com/petrogustavo","@petrogustavo")</f>
        <v>@petrogustavo</v>
      </c>
      <c r="C9546" s="5" t="s">
        <v>16</v>
      </c>
      <c r="D9546" s="5" t="s">
        <v>9183</v>
      </c>
      <c r="E9546" s="6" t="str">
        <f>HYPERLINK("https://twitter.com/petrogustavo/status/1303835632406536196","1303835632406536196")</f>
        <v>1303835632406536196</v>
      </c>
      <c r="F9546" s="7" t="s">
        <v>32</v>
      </c>
      <c r="G9546" s="7">
        <v>3958039</v>
      </c>
      <c r="H9546" s="7">
        <v>2435</v>
      </c>
      <c r="I9546" s="7">
        <v>59</v>
      </c>
      <c r="J9546" s="7">
        <v>0</v>
      </c>
      <c r="K9546" s="7" t="s">
        <v>18</v>
      </c>
      <c r="L9546" s="8">
        <v>39987.315405092595</v>
      </c>
      <c r="M9546" s="9" t="s">
        <v>19</v>
      </c>
      <c r="N9546" s="9" t="s">
        <v>20</v>
      </c>
      <c r="O9546" s="6" t="str">
        <f>HYPERLINK("https://pbs.twimg.com/profile_images/962471262747529216/Uo8lOkRJ_normal.jpg","View")</f>
        <v>View</v>
      </c>
      <c r="P9546" s="7"/>
    </row>
    <row r="9547" spans="1:16">
      <c r="A9547" s="3">
        <v>44084.201840277776</v>
      </c>
      <c r="B9547" s="4" t="str">
        <f>HYPERLINK("https://twitter.com/petrogustavo","@petrogustavo")</f>
        <v>@petrogustavo</v>
      </c>
      <c r="C9547" s="5" t="s">
        <v>16</v>
      </c>
      <c r="D9547" s="5" t="s">
        <v>9184</v>
      </c>
      <c r="E9547" s="6" t="str">
        <f>HYPERLINK("https://twitter.com/petrogustavo/status/1303835739390648320","1303835739390648320")</f>
        <v>1303835739390648320</v>
      </c>
      <c r="F9547" s="7" t="s">
        <v>32</v>
      </c>
      <c r="G9547" s="7">
        <v>3958039</v>
      </c>
      <c r="H9547" s="7">
        <v>2435</v>
      </c>
      <c r="I9547" s="7">
        <v>104</v>
      </c>
      <c r="J9547" s="7">
        <v>0</v>
      </c>
      <c r="K9547" s="7" t="s">
        <v>18</v>
      </c>
      <c r="L9547" s="8">
        <v>39987.315405092595</v>
      </c>
      <c r="M9547" s="9" t="s">
        <v>19</v>
      </c>
      <c r="N9547" s="9" t="s">
        <v>20</v>
      </c>
      <c r="O9547" s="6" t="str">
        <f>HYPERLINK("https://pbs.twimg.com/profile_images/962471262747529216/Uo8lOkRJ_normal.jpg","View")</f>
        <v>View</v>
      </c>
      <c r="P9547" s="7"/>
    </row>
    <row r="9548" spans="1:16">
      <c r="A9548" s="3">
        <v>44084.201932870375</v>
      </c>
      <c r="B9548" s="4" t="str">
        <f>HYPERLINK("https://twitter.com/petrogustavo","@petrogustavo")</f>
        <v>@petrogustavo</v>
      </c>
      <c r="C9548" s="5" t="s">
        <v>16</v>
      </c>
      <c r="D9548" s="5" t="s">
        <v>9185</v>
      </c>
      <c r="E9548" s="6" t="str">
        <f>HYPERLINK("https://twitter.com/petrogustavo/status/1303835774664704000","1303835774664704000")</f>
        <v>1303835774664704000</v>
      </c>
      <c r="F9548" s="7" t="s">
        <v>32</v>
      </c>
      <c r="G9548" s="7">
        <v>3958039</v>
      </c>
      <c r="H9548" s="7">
        <v>2435</v>
      </c>
      <c r="I9548" s="7">
        <v>260</v>
      </c>
      <c r="J9548" s="7">
        <v>0</v>
      </c>
      <c r="K9548" s="7" t="s">
        <v>18</v>
      </c>
      <c r="L9548" s="8">
        <v>39987.315405092595</v>
      </c>
      <c r="M9548" s="9" t="s">
        <v>19</v>
      </c>
      <c r="N9548" s="9" t="s">
        <v>20</v>
      </c>
      <c r="O9548" s="6" t="str">
        <f>HYPERLINK("https://pbs.twimg.com/profile_images/962471262747529216/Uo8lOkRJ_normal.jpg","View")</f>
        <v>View</v>
      </c>
      <c r="P9548" s="7"/>
    </row>
    <row r="9549" spans="1:16">
      <c r="A9549" s="3">
        <v>44084.203784722224</v>
      </c>
      <c r="B9549" s="4" t="str">
        <f>HYPERLINK("https://twitter.com/petrogustavo","@petrogustavo")</f>
        <v>@petrogustavo</v>
      </c>
      <c r="C9549" s="5" t="s">
        <v>16</v>
      </c>
      <c r="D9549" s="5" t="s">
        <v>9186</v>
      </c>
      <c r="E9549" s="6" t="str">
        <f>HYPERLINK("https://twitter.com/petrogustavo/status/1303836445354885122","1303836445354885122")</f>
        <v>1303836445354885122</v>
      </c>
      <c r="F9549" s="7" t="s">
        <v>32</v>
      </c>
      <c r="G9549" s="7">
        <v>3958039</v>
      </c>
      <c r="H9549" s="7">
        <v>2435</v>
      </c>
      <c r="I9549" s="7">
        <v>79</v>
      </c>
      <c r="J9549" s="7">
        <v>0</v>
      </c>
      <c r="K9549" s="7" t="s">
        <v>18</v>
      </c>
      <c r="L9549" s="8">
        <v>39987.315405092595</v>
      </c>
      <c r="M9549" s="9" t="s">
        <v>19</v>
      </c>
      <c r="N9549" s="9" t="s">
        <v>20</v>
      </c>
      <c r="O9549" s="6" t="str">
        <f>HYPERLINK("https://pbs.twimg.com/profile_images/962471262747529216/Uo8lOkRJ_normal.jpg","View")</f>
        <v>View</v>
      </c>
      <c r="P9549" s="7"/>
    </row>
    <row r="9550" spans="1:16">
      <c r="A9550" s="3">
        <v>44084.207511574074</v>
      </c>
      <c r="B9550" s="4" t="str">
        <f>HYPERLINK("https://twitter.com/petrogustavo","@petrogustavo")</f>
        <v>@petrogustavo</v>
      </c>
      <c r="C9550" s="5" t="s">
        <v>16</v>
      </c>
      <c r="D9550" s="5" t="s">
        <v>9187</v>
      </c>
      <c r="E9550" s="6" t="str">
        <f>HYPERLINK("https://twitter.com/petrogustavo/status/1303837796407410688","1303837796407410688")</f>
        <v>1303837796407410688</v>
      </c>
      <c r="F9550" s="7" t="s">
        <v>32</v>
      </c>
      <c r="G9550" s="7">
        <v>3958039</v>
      </c>
      <c r="H9550" s="7">
        <v>2435</v>
      </c>
      <c r="I9550" s="7">
        <v>127</v>
      </c>
      <c r="J9550" s="7">
        <v>0</v>
      </c>
      <c r="K9550" s="7" t="s">
        <v>18</v>
      </c>
      <c r="L9550" s="8">
        <v>39987.315405092595</v>
      </c>
      <c r="M9550" s="9" t="s">
        <v>19</v>
      </c>
      <c r="N9550" s="9" t="s">
        <v>20</v>
      </c>
      <c r="O9550" s="6" t="str">
        <f>HYPERLINK("https://pbs.twimg.com/profile_images/962471262747529216/Uo8lOkRJ_normal.jpg","View")</f>
        <v>View</v>
      </c>
      <c r="P9550" s="7"/>
    </row>
    <row r="9551" spans="1:16">
      <c r="A9551" s="3">
        <v>44084.207905092597</v>
      </c>
      <c r="B9551" s="4" t="str">
        <f>HYPERLINK("https://twitter.com/petrogustavo","@petrogustavo")</f>
        <v>@petrogustavo</v>
      </c>
      <c r="C9551" s="5" t="s">
        <v>16</v>
      </c>
      <c r="D9551" s="5" t="s">
        <v>9188</v>
      </c>
      <c r="E9551" s="6" t="str">
        <f>HYPERLINK("https://twitter.com/petrogustavo/status/1303837939860996096","1303837939860996096")</f>
        <v>1303837939860996096</v>
      </c>
      <c r="F9551" s="7" t="s">
        <v>32</v>
      </c>
      <c r="G9551" s="7">
        <v>3958039</v>
      </c>
      <c r="H9551" s="7">
        <v>2435</v>
      </c>
      <c r="I9551" s="7">
        <v>105</v>
      </c>
      <c r="J9551" s="7">
        <v>0</v>
      </c>
      <c r="K9551" s="7" t="s">
        <v>18</v>
      </c>
      <c r="L9551" s="8">
        <v>39987.315405092595</v>
      </c>
      <c r="M9551" s="9" t="s">
        <v>19</v>
      </c>
      <c r="N9551" s="9" t="s">
        <v>20</v>
      </c>
      <c r="O9551" s="6" t="str">
        <f>HYPERLINK("https://pbs.twimg.com/profile_images/962471262747529216/Uo8lOkRJ_normal.jpg","View")</f>
        <v>View</v>
      </c>
      <c r="P9551" s="7"/>
    </row>
    <row r="9552" spans="1:16">
      <c r="A9552" s="3">
        <v>44084.212916666671</v>
      </c>
      <c r="B9552" s="4" t="str">
        <f>HYPERLINK("https://twitter.com/petrogustavo","@petrogustavo")</f>
        <v>@petrogustavo</v>
      </c>
      <c r="C9552" s="5" t="s">
        <v>16</v>
      </c>
      <c r="D9552" s="5" t="s">
        <v>9189</v>
      </c>
      <c r="E9552" s="6" t="str">
        <f>HYPERLINK("https://twitter.com/petrogustavo/status/1303839753293443072","1303839753293443072")</f>
        <v>1303839753293443072</v>
      </c>
      <c r="F9552" s="7" t="s">
        <v>32</v>
      </c>
      <c r="G9552" s="7">
        <v>3958039</v>
      </c>
      <c r="H9552" s="7">
        <v>2435</v>
      </c>
      <c r="I9552" s="7">
        <v>246</v>
      </c>
      <c r="J9552" s="7">
        <v>0</v>
      </c>
      <c r="K9552" s="7" t="s">
        <v>18</v>
      </c>
      <c r="L9552" s="8">
        <v>39987.315405092595</v>
      </c>
      <c r="M9552" s="9" t="s">
        <v>19</v>
      </c>
      <c r="N9552" s="9" t="s">
        <v>20</v>
      </c>
      <c r="O9552" s="6" t="str">
        <f>HYPERLINK("https://pbs.twimg.com/profile_images/962471262747529216/Uo8lOkRJ_normal.jpg","View")</f>
        <v>View</v>
      </c>
      <c r="P9552" s="7"/>
    </row>
    <row r="9553" spans="1:16">
      <c r="A9553" s="3">
        <v>44084.213356481487</v>
      </c>
      <c r="B9553" s="4" t="str">
        <f>HYPERLINK("https://twitter.com/petrogustavo","@petrogustavo")</f>
        <v>@petrogustavo</v>
      </c>
      <c r="C9553" s="5" t="s">
        <v>16</v>
      </c>
      <c r="D9553" s="5" t="s">
        <v>25</v>
      </c>
      <c r="E9553" s="6" t="str">
        <f>HYPERLINK("https://twitter.com/petrogustavo/status/1303839915143303168","1303839915143303168")</f>
        <v>1303839915143303168</v>
      </c>
      <c r="F9553" s="7" t="s">
        <v>32</v>
      </c>
      <c r="G9553" s="7">
        <v>3958039</v>
      </c>
      <c r="H9553" s="7">
        <v>2435</v>
      </c>
      <c r="I9553" s="7">
        <v>4407</v>
      </c>
      <c r="J9553" s="7">
        <v>0</v>
      </c>
      <c r="K9553" s="7" t="s">
        <v>18</v>
      </c>
      <c r="L9553" s="8">
        <v>39987.315405092595</v>
      </c>
      <c r="M9553" s="9" t="s">
        <v>19</v>
      </c>
      <c r="N9553" s="9" t="s">
        <v>20</v>
      </c>
      <c r="O9553" s="6" t="str">
        <f>HYPERLINK("https://pbs.twimg.com/profile_images/962471262747529216/Uo8lOkRJ_normal.jpg","View")</f>
        <v>View</v>
      </c>
      <c r="P9553" s="7"/>
    </row>
    <row r="9554" spans="1:16">
      <c r="A9554" s="3">
        <v>44084.214618055557</v>
      </c>
      <c r="B9554" s="4" t="str">
        <f>HYPERLINK("https://twitter.com/petrogustavo","@petrogustavo")</f>
        <v>@petrogustavo</v>
      </c>
      <c r="C9554" s="5" t="s">
        <v>16</v>
      </c>
      <c r="D9554" s="5" t="s">
        <v>9190</v>
      </c>
      <c r="E9554" s="6" t="str">
        <f>HYPERLINK("https://twitter.com/petrogustavo/status/1303840370141396995","1303840370141396995")</f>
        <v>1303840370141396995</v>
      </c>
      <c r="F9554" s="7" t="s">
        <v>32</v>
      </c>
      <c r="G9554" s="7">
        <v>3958039</v>
      </c>
      <c r="H9554" s="7">
        <v>2435</v>
      </c>
      <c r="I9554" s="7">
        <v>69</v>
      </c>
      <c r="J9554" s="7">
        <v>0</v>
      </c>
      <c r="K9554" s="7" t="s">
        <v>18</v>
      </c>
      <c r="L9554" s="8">
        <v>39987.315405092595</v>
      </c>
      <c r="M9554" s="9" t="s">
        <v>19</v>
      </c>
      <c r="N9554" s="9" t="s">
        <v>20</v>
      </c>
      <c r="O9554" s="6" t="str">
        <f>HYPERLINK("https://pbs.twimg.com/profile_images/962471262747529216/Uo8lOkRJ_normal.jpg","View")</f>
        <v>View</v>
      </c>
      <c r="P9554" s="7"/>
    </row>
    <row r="9555" spans="1:16">
      <c r="A9555" s="3">
        <v>44084.214675925927</v>
      </c>
      <c r="B9555" s="4" t="str">
        <f>HYPERLINK("https://twitter.com/petrogustavo","@petrogustavo")</f>
        <v>@petrogustavo</v>
      </c>
      <c r="C9555" s="5" t="s">
        <v>16</v>
      </c>
      <c r="D9555" s="5" t="s">
        <v>9191</v>
      </c>
      <c r="E9555" s="6" t="str">
        <f>HYPERLINK("https://twitter.com/petrogustavo/status/1303840393751138312","1303840393751138312")</f>
        <v>1303840393751138312</v>
      </c>
      <c r="F9555" s="7" t="s">
        <v>32</v>
      </c>
      <c r="G9555" s="7">
        <v>3958039</v>
      </c>
      <c r="H9555" s="7">
        <v>2435</v>
      </c>
      <c r="I9555" s="7">
        <v>40</v>
      </c>
      <c r="J9555" s="7">
        <v>0</v>
      </c>
      <c r="K9555" s="7" t="s">
        <v>18</v>
      </c>
      <c r="L9555" s="8">
        <v>39987.315405092595</v>
      </c>
      <c r="M9555" s="9" t="s">
        <v>19</v>
      </c>
      <c r="N9555" s="9" t="s">
        <v>20</v>
      </c>
      <c r="O9555" s="6" t="str">
        <f>HYPERLINK("https://pbs.twimg.com/profile_images/962471262747529216/Uo8lOkRJ_normal.jpg","View")</f>
        <v>View</v>
      </c>
      <c r="P9555" s="7"/>
    </row>
    <row r="9556" spans="1:16">
      <c r="A9556" s="3">
        <v>44084.215520833328</v>
      </c>
      <c r="B9556" s="4" t="str">
        <f>HYPERLINK("https://twitter.com/petrogustavo","@petrogustavo")</f>
        <v>@petrogustavo</v>
      </c>
      <c r="C9556" s="5" t="s">
        <v>16</v>
      </c>
      <c r="D9556" s="5" t="s">
        <v>9192</v>
      </c>
      <c r="E9556" s="6" t="str">
        <f>HYPERLINK("https://twitter.com/petrogustavo/status/1303840698182111232","1303840698182111232")</f>
        <v>1303840698182111232</v>
      </c>
      <c r="F9556" s="7" t="s">
        <v>32</v>
      </c>
      <c r="G9556" s="7">
        <v>3958039</v>
      </c>
      <c r="H9556" s="7">
        <v>2435</v>
      </c>
      <c r="I9556" s="7">
        <v>93</v>
      </c>
      <c r="J9556" s="7">
        <v>0</v>
      </c>
      <c r="K9556" s="7" t="s">
        <v>18</v>
      </c>
      <c r="L9556" s="8">
        <v>39987.315405092595</v>
      </c>
      <c r="M9556" s="9" t="s">
        <v>19</v>
      </c>
      <c r="N9556" s="9" t="s">
        <v>20</v>
      </c>
      <c r="O9556" s="6" t="str">
        <f>HYPERLINK("https://pbs.twimg.com/profile_images/962471262747529216/Uo8lOkRJ_normal.jpg","View")</f>
        <v>View</v>
      </c>
      <c r="P9556" s="7"/>
    </row>
    <row r="9557" spans="1:16">
      <c r="A9557" s="3">
        <v>44084.216168981482</v>
      </c>
      <c r="B9557" s="4" t="str">
        <f>HYPERLINK("https://twitter.com/petrogustavo","@petrogustavo")</f>
        <v>@petrogustavo</v>
      </c>
      <c r="C9557" s="5" t="s">
        <v>16</v>
      </c>
      <c r="D9557" s="5" t="s">
        <v>9193</v>
      </c>
      <c r="E9557" s="6" t="str">
        <f>HYPERLINK("https://twitter.com/petrogustavo/status/1303840935571226624","1303840935571226624")</f>
        <v>1303840935571226624</v>
      </c>
      <c r="F9557" s="7" t="s">
        <v>32</v>
      </c>
      <c r="G9557" s="7">
        <v>3958039</v>
      </c>
      <c r="H9557" s="7">
        <v>2435</v>
      </c>
      <c r="I9557" s="7">
        <v>76</v>
      </c>
      <c r="J9557" s="7">
        <v>0</v>
      </c>
      <c r="K9557" s="7" t="s">
        <v>18</v>
      </c>
      <c r="L9557" s="8">
        <v>39987.315405092595</v>
      </c>
      <c r="M9557" s="9" t="s">
        <v>19</v>
      </c>
      <c r="N9557" s="9" t="s">
        <v>20</v>
      </c>
      <c r="O9557" s="6" t="str">
        <f>HYPERLINK("https://pbs.twimg.com/profile_images/962471262747529216/Uo8lOkRJ_normal.jpg","View")</f>
        <v>View</v>
      </c>
      <c r="P9557" s="7"/>
    </row>
    <row r="9558" spans="1:16">
      <c r="A9558" s="3">
        <v>44084.217939814815</v>
      </c>
      <c r="B9558" s="4" t="str">
        <f>HYPERLINK("https://twitter.com/petrogustavo","@petrogustavo")</f>
        <v>@petrogustavo</v>
      </c>
      <c r="C9558" s="5" t="s">
        <v>16</v>
      </c>
      <c r="D9558" s="5" t="s">
        <v>9194</v>
      </c>
      <c r="E9558" s="6" t="str">
        <f>HYPERLINK("https://twitter.com/petrogustavo/status/1303841574472777728","1303841574472777728")</f>
        <v>1303841574472777728</v>
      </c>
      <c r="F9558" s="7" t="s">
        <v>32</v>
      </c>
      <c r="G9558" s="7">
        <v>3958039</v>
      </c>
      <c r="H9558" s="7">
        <v>2435</v>
      </c>
      <c r="I9558" s="7">
        <v>35</v>
      </c>
      <c r="J9558" s="7">
        <v>0</v>
      </c>
      <c r="K9558" s="7" t="s">
        <v>18</v>
      </c>
      <c r="L9558" s="8">
        <v>39987.315405092595</v>
      </c>
      <c r="M9558" s="9" t="s">
        <v>19</v>
      </c>
      <c r="N9558" s="9" t="s">
        <v>20</v>
      </c>
      <c r="O9558" s="6" t="str">
        <f>HYPERLINK("https://pbs.twimg.com/profile_images/962471262747529216/Uo8lOkRJ_normal.jpg","View")</f>
        <v>View</v>
      </c>
      <c r="P9558" s="7"/>
    </row>
    <row r="9559" spans="1:16">
      <c r="A9559" s="3">
        <v>44084.22146990741</v>
      </c>
      <c r="B9559" s="4" t="str">
        <f>HYPERLINK("https://twitter.com/petrogustavo","@petrogustavo")</f>
        <v>@petrogustavo</v>
      </c>
      <c r="C9559" s="5" t="s">
        <v>16</v>
      </c>
      <c r="D9559" s="5" t="s">
        <v>9195</v>
      </c>
      <c r="E9559" s="6" t="str">
        <f>HYPERLINK("https://twitter.com/petrogustavo/status/1303842854045995009","1303842854045995009")</f>
        <v>1303842854045995009</v>
      </c>
      <c r="F9559" s="7" t="s">
        <v>32</v>
      </c>
      <c r="G9559" s="7">
        <v>3958096</v>
      </c>
      <c r="H9559" s="7">
        <v>2435</v>
      </c>
      <c r="I9559" s="7">
        <v>222</v>
      </c>
      <c r="J9559" s="7">
        <v>0</v>
      </c>
      <c r="K9559" s="7" t="s">
        <v>18</v>
      </c>
      <c r="L9559" s="8">
        <v>39987.315405092595</v>
      </c>
      <c r="M9559" s="9" t="s">
        <v>19</v>
      </c>
      <c r="N9559" s="9" t="s">
        <v>20</v>
      </c>
      <c r="O9559" s="6" t="str">
        <f>HYPERLINK("https://pbs.twimg.com/profile_images/962471262747529216/Uo8lOkRJ_normal.jpg","View")</f>
        <v>View</v>
      </c>
      <c r="P9559" s="7"/>
    </row>
    <row r="9560" spans="1:16">
      <c r="A9560" s="3">
        <v>44084.222187499996</v>
      </c>
      <c r="B9560" s="4" t="str">
        <f>HYPERLINK("https://twitter.com/petrogustavo","@petrogustavo")</f>
        <v>@petrogustavo</v>
      </c>
      <c r="C9560" s="5" t="s">
        <v>16</v>
      </c>
      <c r="D9560" s="5" t="s">
        <v>9196</v>
      </c>
      <c r="E9560" s="6" t="str">
        <f>HYPERLINK("https://twitter.com/petrogustavo/status/1303843116865200128","1303843116865200128")</f>
        <v>1303843116865200128</v>
      </c>
      <c r="F9560" s="7" t="s">
        <v>32</v>
      </c>
      <c r="G9560" s="7">
        <v>3958096</v>
      </c>
      <c r="H9560" s="7">
        <v>2435</v>
      </c>
      <c r="I9560" s="7">
        <v>131</v>
      </c>
      <c r="J9560" s="7">
        <v>0</v>
      </c>
      <c r="K9560" s="7" t="s">
        <v>18</v>
      </c>
      <c r="L9560" s="8">
        <v>39987.315405092595</v>
      </c>
      <c r="M9560" s="9" t="s">
        <v>19</v>
      </c>
      <c r="N9560" s="9" t="s">
        <v>20</v>
      </c>
      <c r="O9560" s="6" t="str">
        <f>HYPERLINK("https://pbs.twimg.com/profile_images/962471262747529216/Uo8lOkRJ_normal.jpg","View")</f>
        <v>View</v>
      </c>
      <c r="P9560" s="7"/>
    </row>
    <row r="9561" spans="1:16">
      <c r="A9561" s="3">
        <v>44084.223935185189</v>
      </c>
      <c r="B9561" s="4" t="str">
        <f>HYPERLINK("https://twitter.com/petrogustavo","@petrogustavo")</f>
        <v>@petrogustavo</v>
      </c>
      <c r="C9561" s="5" t="s">
        <v>16</v>
      </c>
      <c r="D9561" s="5" t="s">
        <v>9197</v>
      </c>
      <c r="E9561" s="6" t="str">
        <f>HYPERLINK("https://twitter.com/petrogustavo/status/1303843747420155905","1303843747420155905")</f>
        <v>1303843747420155905</v>
      </c>
      <c r="F9561" s="7" t="s">
        <v>32</v>
      </c>
      <c r="G9561" s="7">
        <v>3958096</v>
      </c>
      <c r="H9561" s="7">
        <v>2435</v>
      </c>
      <c r="I9561" s="7">
        <v>339</v>
      </c>
      <c r="J9561" s="7">
        <v>0</v>
      </c>
      <c r="K9561" s="7" t="s">
        <v>18</v>
      </c>
      <c r="L9561" s="8">
        <v>39987.315405092595</v>
      </c>
      <c r="M9561" s="9" t="s">
        <v>19</v>
      </c>
      <c r="N9561" s="9" t="s">
        <v>20</v>
      </c>
      <c r="O9561" s="6" t="str">
        <f>HYPERLINK("https://pbs.twimg.com/profile_images/962471262747529216/Uo8lOkRJ_normal.jpg","View")</f>
        <v>View</v>
      </c>
      <c r="P9561" s="7"/>
    </row>
    <row r="9562" spans="1:16">
      <c r="A9562" s="3">
        <v>44084.224097222221</v>
      </c>
      <c r="B9562" s="4" t="str">
        <f>HYPERLINK("https://twitter.com/petrogustavo","@petrogustavo")</f>
        <v>@petrogustavo</v>
      </c>
      <c r="C9562" s="5" t="s">
        <v>16</v>
      </c>
      <c r="D9562" s="5" t="s">
        <v>9198</v>
      </c>
      <c r="E9562" s="6" t="str">
        <f>HYPERLINK("https://twitter.com/petrogustavo/status/1303843805779685378","1303843805779685378")</f>
        <v>1303843805779685378</v>
      </c>
      <c r="F9562" s="7" t="s">
        <v>32</v>
      </c>
      <c r="G9562" s="7">
        <v>3958096</v>
      </c>
      <c r="H9562" s="7">
        <v>2435</v>
      </c>
      <c r="I9562" s="7">
        <v>102</v>
      </c>
      <c r="J9562" s="7">
        <v>0</v>
      </c>
      <c r="K9562" s="7" t="s">
        <v>18</v>
      </c>
      <c r="L9562" s="8">
        <v>39987.315405092595</v>
      </c>
      <c r="M9562" s="9" t="s">
        <v>19</v>
      </c>
      <c r="N9562" s="9" t="s">
        <v>20</v>
      </c>
      <c r="O9562" s="6" t="str">
        <f>HYPERLINK("https://pbs.twimg.com/profile_images/962471262747529216/Uo8lOkRJ_normal.jpg","View")</f>
        <v>View</v>
      </c>
      <c r="P9562" s="7"/>
    </row>
    <row r="9563" spans="1:16">
      <c r="A9563" s="3">
        <v>44084.224409722221</v>
      </c>
      <c r="B9563" s="4" t="str">
        <f>HYPERLINK("https://twitter.com/petrogustavo","@petrogustavo")</f>
        <v>@petrogustavo</v>
      </c>
      <c r="C9563" s="5" t="s">
        <v>16</v>
      </c>
      <c r="D9563" s="5" t="s">
        <v>9199</v>
      </c>
      <c r="E9563" s="6" t="str">
        <f>HYPERLINK("https://twitter.com/petrogustavo/status/1303843918241558529","1303843918241558529")</f>
        <v>1303843918241558529</v>
      </c>
      <c r="F9563" s="7" t="s">
        <v>32</v>
      </c>
      <c r="G9563" s="7">
        <v>3958096</v>
      </c>
      <c r="H9563" s="7">
        <v>2435</v>
      </c>
      <c r="I9563" s="7">
        <v>78</v>
      </c>
      <c r="J9563" s="7">
        <v>0</v>
      </c>
      <c r="K9563" s="7" t="s">
        <v>18</v>
      </c>
      <c r="L9563" s="8">
        <v>39987.315405092595</v>
      </c>
      <c r="M9563" s="9" t="s">
        <v>19</v>
      </c>
      <c r="N9563" s="9" t="s">
        <v>20</v>
      </c>
      <c r="O9563" s="6" t="str">
        <f>HYPERLINK("https://pbs.twimg.com/profile_images/962471262747529216/Uo8lOkRJ_normal.jpg","View")</f>
        <v>View</v>
      </c>
      <c r="P9563" s="7"/>
    </row>
    <row r="9564" spans="1:16">
      <c r="A9564" s="3">
        <v>44084.225428240738</v>
      </c>
      <c r="B9564" s="4" t="str">
        <f>HYPERLINK("https://twitter.com/petrogustavo","@petrogustavo")</f>
        <v>@petrogustavo</v>
      </c>
      <c r="C9564" s="5" t="s">
        <v>16</v>
      </c>
      <c r="D9564" s="5" t="s">
        <v>9200</v>
      </c>
      <c r="E9564" s="6" t="str">
        <f>HYPERLINK("https://twitter.com/petrogustavo/status/1303844289772953602","1303844289772953602")</f>
        <v>1303844289772953602</v>
      </c>
      <c r="F9564" s="7" t="s">
        <v>32</v>
      </c>
      <c r="G9564" s="7">
        <v>3958096</v>
      </c>
      <c r="H9564" s="7">
        <v>2435</v>
      </c>
      <c r="I9564" s="7">
        <v>498</v>
      </c>
      <c r="J9564" s="7">
        <v>1588</v>
      </c>
      <c r="K9564" s="7" t="s">
        <v>18</v>
      </c>
      <c r="L9564" s="8">
        <v>39987.315405092595</v>
      </c>
      <c r="M9564" s="9" t="s">
        <v>19</v>
      </c>
      <c r="N9564" s="9" t="s">
        <v>20</v>
      </c>
      <c r="O9564" s="6" t="str">
        <f>HYPERLINK("https://pbs.twimg.com/profile_images/962471262747529216/Uo8lOkRJ_normal.jpg","View")</f>
        <v>View</v>
      </c>
      <c r="P9564" s="7"/>
    </row>
    <row r="9565" spans="1:16">
      <c r="A9565" s="3">
        <v>44084.225914351853</v>
      </c>
      <c r="B9565" s="4" t="str">
        <f>HYPERLINK("https://twitter.com/petrogustavo","@petrogustavo")</f>
        <v>@petrogustavo</v>
      </c>
      <c r="C9565" s="5" t="s">
        <v>16</v>
      </c>
      <c r="D9565" s="5" t="s">
        <v>9201</v>
      </c>
      <c r="E9565" s="6" t="str">
        <f>HYPERLINK("https://twitter.com/petrogustavo/status/1303844466722308097","1303844466722308097")</f>
        <v>1303844466722308097</v>
      </c>
      <c r="F9565" s="7" t="s">
        <v>32</v>
      </c>
      <c r="G9565" s="7">
        <v>3958096</v>
      </c>
      <c r="H9565" s="7">
        <v>2435</v>
      </c>
      <c r="I9565" s="7">
        <v>130</v>
      </c>
      <c r="J9565" s="7">
        <v>0</v>
      </c>
      <c r="K9565" s="7" t="s">
        <v>18</v>
      </c>
      <c r="L9565" s="8">
        <v>39987.315405092595</v>
      </c>
      <c r="M9565" s="9" t="s">
        <v>19</v>
      </c>
      <c r="N9565" s="9" t="s">
        <v>20</v>
      </c>
      <c r="O9565" s="6" t="str">
        <f>HYPERLINK("https://pbs.twimg.com/profile_images/962471262747529216/Uo8lOkRJ_normal.jpg","View")</f>
        <v>View</v>
      </c>
      <c r="P9565" s="7"/>
    </row>
    <row r="9566" spans="1:16">
      <c r="A9566" s="3">
        <v>44084.226064814815</v>
      </c>
      <c r="B9566" s="4" t="str">
        <f>HYPERLINK("https://twitter.com/petrogustavo","@petrogustavo")</f>
        <v>@petrogustavo</v>
      </c>
      <c r="C9566" s="5" t="s">
        <v>16</v>
      </c>
      <c r="D9566" s="5" t="s">
        <v>9202</v>
      </c>
      <c r="E9566" s="6" t="str">
        <f>HYPERLINK("https://twitter.com/petrogustavo/status/1303844520438661121","1303844520438661121")</f>
        <v>1303844520438661121</v>
      </c>
      <c r="F9566" s="7" t="s">
        <v>32</v>
      </c>
      <c r="G9566" s="7">
        <v>3958096</v>
      </c>
      <c r="H9566" s="7">
        <v>2435</v>
      </c>
      <c r="I9566" s="7">
        <v>83</v>
      </c>
      <c r="J9566" s="7">
        <v>0</v>
      </c>
      <c r="K9566" s="7" t="s">
        <v>18</v>
      </c>
      <c r="L9566" s="8">
        <v>39987.315405092595</v>
      </c>
      <c r="M9566" s="9" t="s">
        <v>19</v>
      </c>
      <c r="N9566" s="9" t="s">
        <v>20</v>
      </c>
      <c r="O9566" s="6" t="str">
        <f>HYPERLINK("https://pbs.twimg.com/profile_images/962471262747529216/Uo8lOkRJ_normal.jpg","View")</f>
        <v>View</v>
      </c>
      <c r="P9566" s="7"/>
    </row>
    <row r="9567" spans="1:16">
      <c r="A9567" s="3">
        <v>44084.227175925931</v>
      </c>
      <c r="B9567" s="4" t="str">
        <f>HYPERLINK("https://twitter.com/petrogustavo","@petrogustavo")</f>
        <v>@petrogustavo</v>
      </c>
      <c r="C9567" s="5" t="s">
        <v>16</v>
      </c>
      <c r="D9567" s="5" t="s">
        <v>9203</v>
      </c>
      <c r="E9567" s="6" t="str">
        <f>HYPERLINK("https://twitter.com/petrogustavo/status/1303844922227859456","1303844922227859456")</f>
        <v>1303844922227859456</v>
      </c>
      <c r="F9567" s="7" t="s">
        <v>32</v>
      </c>
      <c r="G9567" s="7">
        <v>3958096</v>
      </c>
      <c r="H9567" s="7">
        <v>2435</v>
      </c>
      <c r="I9567" s="7">
        <v>204</v>
      </c>
      <c r="J9567" s="7">
        <v>0</v>
      </c>
      <c r="K9567" s="7" t="s">
        <v>18</v>
      </c>
      <c r="L9567" s="8">
        <v>39987.315405092595</v>
      </c>
      <c r="M9567" s="9" t="s">
        <v>19</v>
      </c>
      <c r="N9567" s="9" t="s">
        <v>20</v>
      </c>
      <c r="O9567" s="6" t="str">
        <f>HYPERLINK("https://pbs.twimg.com/profile_images/962471262747529216/Uo8lOkRJ_normal.jpg","View")</f>
        <v>View</v>
      </c>
      <c r="P9567" s="7"/>
    </row>
    <row r="9568" spans="1:16">
      <c r="A9568" s="3">
        <v>44084.228043981479</v>
      </c>
      <c r="B9568" s="4" t="str">
        <f>HYPERLINK("https://twitter.com/petrogustavo","@petrogustavo")</f>
        <v>@petrogustavo</v>
      </c>
      <c r="C9568" s="5" t="s">
        <v>16</v>
      </c>
      <c r="D9568" s="5" t="s">
        <v>9204</v>
      </c>
      <c r="E9568" s="6" t="str">
        <f>HYPERLINK("https://twitter.com/petrogustavo/status/1303845238331637761","1303845238331637761")</f>
        <v>1303845238331637761</v>
      </c>
      <c r="F9568" s="7" t="s">
        <v>32</v>
      </c>
      <c r="G9568" s="7">
        <v>3958096</v>
      </c>
      <c r="H9568" s="7">
        <v>2435</v>
      </c>
      <c r="I9568" s="7">
        <v>117</v>
      </c>
      <c r="J9568" s="7">
        <v>0</v>
      </c>
      <c r="K9568" s="7" t="s">
        <v>18</v>
      </c>
      <c r="L9568" s="8">
        <v>39987.315405092595</v>
      </c>
      <c r="M9568" s="9" t="s">
        <v>19</v>
      </c>
      <c r="N9568" s="9" t="s">
        <v>20</v>
      </c>
      <c r="O9568" s="6" t="str">
        <f>HYPERLINK("https://pbs.twimg.com/profile_images/962471262747529216/Uo8lOkRJ_normal.jpg","View")</f>
        <v>View</v>
      </c>
      <c r="P9568" s="7"/>
    </row>
    <row r="9569" spans="1:16">
      <c r="A9569" s="3">
        <v>44084.228576388894</v>
      </c>
      <c r="B9569" s="4" t="str">
        <f>HYPERLINK("https://twitter.com/petrogustavo","@petrogustavo")</f>
        <v>@petrogustavo</v>
      </c>
      <c r="C9569" s="5" t="s">
        <v>16</v>
      </c>
      <c r="D9569" s="5" t="s">
        <v>9205</v>
      </c>
      <c r="E9569" s="6" t="str">
        <f>HYPERLINK("https://twitter.com/petrogustavo/status/1303845429113688064","1303845429113688064")</f>
        <v>1303845429113688064</v>
      </c>
      <c r="F9569" s="7" t="s">
        <v>32</v>
      </c>
      <c r="G9569" s="7">
        <v>3958096</v>
      </c>
      <c r="H9569" s="7">
        <v>2435</v>
      </c>
      <c r="I9569" s="7">
        <v>67</v>
      </c>
      <c r="J9569" s="7">
        <v>0</v>
      </c>
      <c r="K9569" s="7" t="s">
        <v>18</v>
      </c>
      <c r="L9569" s="8">
        <v>39987.315405092595</v>
      </c>
      <c r="M9569" s="9" t="s">
        <v>19</v>
      </c>
      <c r="N9569" s="9" t="s">
        <v>20</v>
      </c>
      <c r="O9569" s="6" t="str">
        <f>HYPERLINK("https://pbs.twimg.com/profile_images/962471262747529216/Uo8lOkRJ_normal.jpg","View")</f>
        <v>View</v>
      </c>
      <c r="P9569" s="7"/>
    </row>
    <row r="9570" spans="1:16">
      <c r="A9570" s="3">
        <v>44084.228831018518</v>
      </c>
      <c r="B9570" s="4" t="str">
        <f>HYPERLINK("https://twitter.com/petrogustavo","@petrogustavo")</f>
        <v>@petrogustavo</v>
      </c>
      <c r="C9570" s="5" t="s">
        <v>16</v>
      </c>
      <c r="D9570" s="5" t="s">
        <v>9206</v>
      </c>
      <c r="E9570" s="6" t="str">
        <f>HYPERLINK("https://twitter.com/petrogustavo/status/1303845523322032128","1303845523322032128")</f>
        <v>1303845523322032128</v>
      </c>
      <c r="F9570" s="7" t="s">
        <v>32</v>
      </c>
      <c r="G9570" s="7">
        <v>3958096</v>
      </c>
      <c r="H9570" s="7">
        <v>2435</v>
      </c>
      <c r="I9570" s="7">
        <v>113</v>
      </c>
      <c r="J9570" s="7">
        <v>0</v>
      </c>
      <c r="K9570" s="7" t="s">
        <v>18</v>
      </c>
      <c r="L9570" s="8">
        <v>39987.315405092595</v>
      </c>
      <c r="M9570" s="9" t="s">
        <v>19</v>
      </c>
      <c r="N9570" s="9" t="s">
        <v>20</v>
      </c>
      <c r="O9570" s="6" t="str">
        <f>HYPERLINK("https://pbs.twimg.com/profile_images/962471262747529216/Uo8lOkRJ_normal.jpg","View")</f>
        <v>View</v>
      </c>
      <c r="P9570" s="7"/>
    </row>
    <row r="9571" spans="1:16">
      <c r="A9571" s="3">
        <v>44084.229421296295</v>
      </c>
      <c r="B9571" s="4" t="str">
        <f>HYPERLINK("https://twitter.com/petrogustavo","@petrogustavo")</f>
        <v>@petrogustavo</v>
      </c>
      <c r="C9571" s="5" t="s">
        <v>16</v>
      </c>
      <c r="D9571" s="5" t="s">
        <v>9207</v>
      </c>
      <c r="E9571" s="6" t="str">
        <f>HYPERLINK("https://twitter.com/petrogustavo/status/1303845735805452288","1303845735805452288")</f>
        <v>1303845735805452288</v>
      </c>
      <c r="F9571" s="7" t="s">
        <v>32</v>
      </c>
      <c r="G9571" s="7">
        <v>3958096</v>
      </c>
      <c r="H9571" s="7">
        <v>2435</v>
      </c>
      <c r="I9571" s="7">
        <v>42</v>
      </c>
      <c r="J9571" s="7">
        <v>0</v>
      </c>
      <c r="K9571" s="7" t="s">
        <v>18</v>
      </c>
      <c r="L9571" s="8">
        <v>39987.315405092595</v>
      </c>
      <c r="M9571" s="9" t="s">
        <v>19</v>
      </c>
      <c r="N9571" s="9" t="s">
        <v>20</v>
      </c>
      <c r="O9571" s="6" t="str">
        <f>HYPERLINK("https://pbs.twimg.com/profile_images/962471262747529216/Uo8lOkRJ_normal.jpg","View")</f>
        <v>View</v>
      </c>
      <c r="P9571" s="7"/>
    </row>
    <row r="9572" spans="1:16">
      <c r="A9572" s="3">
        <v>44084.229618055557</v>
      </c>
      <c r="B9572" s="4" t="str">
        <f>HYPERLINK("https://twitter.com/petrogustavo","@petrogustavo")</f>
        <v>@petrogustavo</v>
      </c>
      <c r="C9572" s="5" t="s">
        <v>16</v>
      </c>
      <c r="D9572" s="5" t="s">
        <v>9208</v>
      </c>
      <c r="E9572" s="6" t="str">
        <f>HYPERLINK("https://twitter.com/petrogustavo/status/1303845807108632576","1303845807108632576")</f>
        <v>1303845807108632576</v>
      </c>
      <c r="F9572" s="7" t="s">
        <v>32</v>
      </c>
      <c r="G9572" s="7">
        <v>3958096</v>
      </c>
      <c r="H9572" s="7">
        <v>2435</v>
      </c>
      <c r="I9572" s="7">
        <v>89</v>
      </c>
      <c r="J9572" s="7">
        <v>0</v>
      </c>
      <c r="K9572" s="7" t="s">
        <v>18</v>
      </c>
      <c r="L9572" s="8">
        <v>39987.315405092595</v>
      </c>
      <c r="M9572" s="9" t="s">
        <v>19</v>
      </c>
      <c r="N9572" s="9" t="s">
        <v>20</v>
      </c>
      <c r="O9572" s="6" t="str">
        <f>HYPERLINK("https://pbs.twimg.com/profile_images/962471262747529216/Uo8lOkRJ_normal.jpg","View")</f>
        <v>View</v>
      </c>
      <c r="P9572" s="7"/>
    </row>
    <row r="9573" spans="1:16">
      <c r="A9573" s="3">
        <v>44084.230300925927</v>
      </c>
      <c r="B9573" s="4" t="str">
        <f>HYPERLINK("https://twitter.com/petrogustavo","@petrogustavo")</f>
        <v>@petrogustavo</v>
      </c>
      <c r="C9573" s="5" t="s">
        <v>16</v>
      </c>
      <c r="D9573" s="5" t="s">
        <v>9209</v>
      </c>
      <c r="E9573" s="6" t="str">
        <f>HYPERLINK("https://twitter.com/petrogustavo/status/1303846056090841088","1303846056090841088")</f>
        <v>1303846056090841088</v>
      </c>
      <c r="F9573" s="7" t="s">
        <v>32</v>
      </c>
      <c r="G9573" s="7">
        <v>3958096</v>
      </c>
      <c r="H9573" s="7">
        <v>2435</v>
      </c>
      <c r="I9573" s="7">
        <v>243</v>
      </c>
      <c r="J9573" s="7">
        <v>781</v>
      </c>
      <c r="K9573" s="7" t="s">
        <v>18</v>
      </c>
      <c r="L9573" s="8">
        <v>39987.315405092595</v>
      </c>
      <c r="M9573" s="9" t="s">
        <v>19</v>
      </c>
      <c r="N9573" s="9" t="s">
        <v>20</v>
      </c>
      <c r="O9573" s="6" t="str">
        <f>HYPERLINK("https://pbs.twimg.com/profile_images/962471262747529216/Uo8lOkRJ_normal.jpg","View")</f>
        <v>View</v>
      </c>
      <c r="P9573" s="7"/>
    </row>
    <row r="9574" spans="1:16">
      <c r="A9574" s="3">
        <v>44084.230439814812</v>
      </c>
      <c r="B9574" s="4" t="str">
        <f>HYPERLINK("https://twitter.com/petrogustavo","@petrogustavo")</f>
        <v>@petrogustavo</v>
      </c>
      <c r="C9574" s="5" t="s">
        <v>16</v>
      </c>
      <c r="D9574" s="5" t="s">
        <v>9210</v>
      </c>
      <c r="E9574" s="6" t="str">
        <f>HYPERLINK("https://twitter.com/petrogustavo/status/1303846106602893312","1303846106602893312")</f>
        <v>1303846106602893312</v>
      </c>
      <c r="F9574" s="7" t="s">
        <v>32</v>
      </c>
      <c r="G9574" s="7">
        <v>3958096</v>
      </c>
      <c r="H9574" s="7">
        <v>2435</v>
      </c>
      <c r="I9574" s="7">
        <v>172</v>
      </c>
      <c r="J9574" s="7">
        <v>0</v>
      </c>
      <c r="K9574" s="7" t="s">
        <v>18</v>
      </c>
      <c r="L9574" s="8">
        <v>39987.315405092595</v>
      </c>
      <c r="M9574" s="9" t="s">
        <v>19</v>
      </c>
      <c r="N9574" s="9" t="s">
        <v>20</v>
      </c>
      <c r="O9574" s="6" t="str">
        <f>HYPERLINK("https://pbs.twimg.com/profile_images/962471262747529216/Uo8lOkRJ_normal.jpg","View")</f>
        <v>View</v>
      </c>
      <c r="P9574" s="7"/>
    </row>
    <row r="9575" spans="1:16">
      <c r="A9575" s="3">
        <v>44084.231111111112</v>
      </c>
      <c r="B9575" s="4" t="str">
        <f>HYPERLINK("https://twitter.com/petrogustavo","@petrogustavo")</f>
        <v>@petrogustavo</v>
      </c>
      <c r="C9575" s="5" t="s">
        <v>16</v>
      </c>
      <c r="D9575" s="5" t="s">
        <v>9211</v>
      </c>
      <c r="E9575" s="6" t="str">
        <f>HYPERLINK("https://twitter.com/petrogustavo/status/1303846350874972160","1303846350874972160")</f>
        <v>1303846350874972160</v>
      </c>
      <c r="F9575" s="7" t="s">
        <v>32</v>
      </c>
      <c r="G9575" s="7">
        <v>3958096</v>
      </c>
      <c r="H9575" s="7">
        <v>2435</v>
      </c>
      <c r="I9575" s="7">
        <v>117</v>
      </c>
      <c r="J9575" s="7">
        <v>0</v>
      </c>
      <c r="K9575" s="7" t="s">
        <v>18</v>
      </c>
      <c r="L9575" s="8">
        <v>39987.315405092595</v>
      </c>
      <c r="M9575" s="9" t="s">
        <v>19</v>
      </c>
      <c r="N9575" s="9" t="s">
        <v>20</v>
      </c>
      <c r="O9575" s="6" t="str">
        <f>HYPERLINK("https://pbs.twimg.com/profile_images/962471262747529216/Uo8lOkRJ_normal.jpg","View")</f>
        <v>View</v>
      </c>
      <c r="P9575" s="7"/>
    </row>
    <row r="9576" spans="1:16">
      <c r="A9576" s="3">
        <v>44084.232222222221</v>
      </c>
      <c r="B9576" s="4" t="str">
        <f>HYPERLINK("https://twitter.com/petrogustavo","@petrogustavo")</f>
        <v>@petrogustavo</v>
      </c>
      <c r="C9576" s="5" t="s">
        <v>16</v>
      </c>
      <c r="D9576" s="5" t="s">
        <v>9212</v>
      </c>
      <c r="E9576" s="6" t="str">
        <f>HYPERLINK("https://twitter.com/petrogustavo/status/1303846753410723840","1303846753410723840")</f>
        <v>1303846753410723840</v>
      </c>
      <c r="F9576" s="7" t="s">
        <v>32</v>
      </c>
      <c r="G9576" s="7">
        <v>3958096</v>
      </c>
      <c r="H9576" s="7">
        <v>2435</v>
      </c>
      <c r="I9576" s="7">
        <v>85</v>
      </c>
      <c r="J9576" s="7">
        <v>0</v>
      </c>
      <c r="K9576" s="7" t="s">
        <v>18</v>
      </c>
      <c r="L9576" s="8">
        <v>39987.315405092595</v>
      </c>
      <c r="M9576" s="9" t="s">
        <v>19</v>
      </c>
      <c r="N9576" s="9" t="s">
        <v>20</v>
      </c>
      <c r="O9576" s="6" t="str">
        <f>HYPERLINK("https://pbs.twimg.com/profile_images/962471262747529216/Uo8lOkRJ_normal.jpg","View")</f>
        <v>View</v>
      </c>
      <c r="P9576" s="7"/>
    </row>
    <row r="9577" spans="1:16">
      <c r="A9577" s="3">
        <v>44084.232442129629</v>
      </c>
      <c r="B9577" s="4" t="str">
        <f>HYPERLINK("https://twitter.com/petrogustavo","@petrogustavo")</f>
        <v>@petrogustavo</v>
      </c>
      <c r="C9577" s="5" t="s">
        <v>16</v>
      </c>
      <c r="D9577" s="5" t="s">
        <v>9213</v>
      </c>
      <c r="E9577" s="6" t="str">
        <f>HYPERLINK("https://twitter.com/petrogustavo/status/1303846829700907008","1303846829700907008")</f>
        <v>1303846829700907008</v>
      </c>
      <c r="F9577" s="7" t="s">
        <v>32</v>
      </c>
      <c r="G9577" s="7">
        <v>3958096</v>
      </c>
      <c r="H9577" s="7">
        <v>2435</v>
      </c>
      <c r="I9577" s="7">
        <v>40</v>
      </c>
      <c r="J9577" s="7">
        <v>0</v>
      </c>
      <c r="K9577" s="7" t="s">
        <v>18</v>
      </c>
      <c r="L9577" s="8">
        <v>39987.315405092595</v>
      </c>
      <c r="M9577" s="9" t="s">
        <v>19</v>
      </c>
      <c r="N9577" s="9" t="s">
        <v>20</v>
      </c>
      <c r="O9577" s="6" t="str">
        <f>HYPERLINK("https://pbs.twimg.com/profile_images/962471262747529216/Uo8lOkRJ_normal.jpg","View")</f>
        <v>View</v>
      </c>
      <c r="P9577" s="7"/>
    </row>
    <row r="9578" spans="1:16">
      <c r="A9578" s="3">
        <v>44084.23302083333</v>
      </c>
      <c r="B9578" s="4" t="str">
        <f>HYPERLINK("https://twitter.com/petrogustavo","@petrogustavo")</f>
        <v>@petrogustavo</v>
      </c>
      <c r="C9578" s="5" t="s">
        <v>16</v>
      </c>
      <c r="D9578" s="5" t="s">
        <v>9214</v>
      </c>
      <c r="E9578" s="6" t="str">
        <f>HYPERLINK("https://twitter.com/petrogustavo/status/1303847041118998529","1303847041118998529")</f>
        <v>1303847041118998529</v>
      </c>
      <c r="F9578" s="7" t="s">
        <v>32</v>
      </c>
      <c r="G9578" s="7">
        <v>3958096</v>
      </c>
      <c r="H9578" s="7">
        <v>2435</v>
      </c>
      <c r="I9578" s="7">
        <v>189</v>
      </c>
      <c r="J9578" s="7">
        <v>0</v>
      </c>
      <c r="K9578" s="7" t="s">
        <v>18</v>
      </c>
      <c r="L9578" s="8">
        <v>39987.315405092595</v>
      </c>
      <c r="M9578" s="9" t="s">
        <v>19</v>
      </c>
      <c r="N9578" s="9" t="s">
        <v>20</v>
      </c>
      <c r="O9578" s="6" t="str">
        <f>HYPERLINK("https://pbs.twimg.com/profile_images/962471262747529216/Uo8lOkRJ_normal.jpg","View")</f>
        <v>View</v>
      </c>
      <c r="P9578" s="7"/>
    </row>
    <row r="9579" spans="1:16">
      <c r="A9579" s="3">
        <v>44084.234039351853</v>
      </c>
      <c r="B9579" s="4" t="str">
        <f>HYPERLINK("https://twitter.com/petrogustavo","@petrogustavo")</f>
        <v>@petrogustavo</v>
      </c>
      <c r="C9579" s="5" t="s">
        <v>16</v>
      </c>
      <c r="D9579" s="5" t="s">
        <v>9215</v>
      </c>
      <c r="E9579" s="6" t="str">
        <f>HYPERLINK("https://twitter.com/petrogustavo/status/1303847410460962817","1303847410460962817")</f>
        <v>1303847410460962817</v>
      </c>
      <c r="F9579" s="7" t="s">
        <v>32</v>
      </c>
      <c r="G9579" s="7">
        <v>3958096</v>
      </c>
      <c r="H9579" s="7">
        <v>2435</v>
      </c>
      <c r="I9579" s="7">
        <v>531</v>
      </c>
      <c r="J9579" s="7">
        <v>0</v>
      </c>
      <c r="K9579" s="7" t="s">
        <v>18</v>
      </c>
      <c r="L9579" s="8">
        <v>39987.315405092595</v>
      </c>
      <c r="M9579" s="9" t="s">
        <v>19</v>
      </c>
      <c r="N9579" s="9" t="s">
        <v>20</v>
      </c>
      <c r="O9579" s="6" t="str">
        <f>HYPERLINK("https://pbs.twimg.com/profile_images/962471262747529216/Uo8lOkRJ_normal.jpg","View")</f>
        <v>View</v>
      </c>
      <c r="P9579" s="7"/>
    </row>
    <row r="9580" spans="1:16">
      <c r="A9580" s="3">
        <v>44084.2346875</v>
      </c>
      <c r="B9580" s="4" t="str">
        <f>HYPERLINK("https://twitter.com/petrogustavo","@petrogustavo")</f>
        <v>@petrogustavo</v>
      </c>
      <c r="C9580" s="5" t="s">
        <v>16</v>
      </c>
      <c r="D9580" s="5" t="s">
        <v>9216</v>
      </c>
      <c r="E9580" s="6" t="str">
        <f>HYPERLINK("https://twitter.com/petrogustavo/status/1303847643358138368","1303847643358138368")</f>
        <v>1303847643358138368</v>
      </c>
      <c r="F9580" s="7" t="s">
        <v>32</v>
      </c>
      <c r="G9580" s="7">
        <v>3958096</v>
      </c>
      <c r="H9580" s="7">
        <v>2435</v>
      </c>
      <c r="I9580" s="7">
        <v>154</v>
      </c>
      <c r="J9580" s="7">
        <v>0</v>
      </c>
      <c r="K9580" s="7" t="s">
        <v>18</v>
      </c>
      <c r="L9580" s="8">
        <v>39987.315405092595</v>
      </c>
      <c r="M9580" s="9" t="s">
        <v>19</v>
      </c>
      <c r="N9580" s="9" t="s">
        <v>20</v>
      </c>
      <c r="O9580" s="6" t="str">
        <f>HYPERLINK("https://pbs.twimg.com/profile_images/962471262747529216/Uo8lOkRJ_normal.jpg","View")</f>
        <v>View</v>
      </c>
      <c r="P9580" s="7"/>
    </row>
    <row r="9581" spans="1:16">
      <c r="A9581" s="3">
        <v>44084.235983796301</v>
      </c>
      <c r="B9581" s="4" t="str">
        <f>HYPERLINK("https://twitter.com/petrogustavo","@petrogustavo")</f>
        <v>@petrogustavo</v>
      </c>
      <c r="C9581" s="5" t="s">
        <v>16</v>
      </c>
      <c r="D9581" s="5" t="s">
        <v>9217</v>
      </c>
      <c r="E9581" s="6" t="str">
        <f>HYPERLINK("https://twitter.com/petrogustavo/status/1303848112604274688","1303848112604274688")</f>
        <v>1303848112604274688</v>
      </c>
      <c r="F9581" s="7" t="s">
        <v>32</v>
      </c>
      <c r="G9581" s="7">
        <v>3958096</v>
      </c>
      <c r="H9581" s="7">
        <v>2435</v>
      </c>
      <c r="I9581" s="7">
        <v>79</v>
      </c>
      <c r="J9581" s="7">
        <v>0</v>
      </c>
      <c r="K9581" s="7" t="s">
        <v>18</v>
      </c>
      <c r="L9581" s="8">
        <v>39987.315405092595</v>
      </c>
      <c r="M9581" s="9" t="s">
        <v>19</v>
      </c>
      <c r="N9581" s="9" t="s">
        <v>20</v>
      </c>
      <c r="O9581" s="6" t="str">
        <f>HYPERLINK("https://pbs.twimg.com/profile_images/962471262747529216/Uo8lOkRJ_normal.jpg","View")</f>
        <v>View</v>
      </c>
      <c r="P9581" s="7"/>
    </row>
    <row r="9582" spans="1:16">
      <c r="A9582" s="3">
        <v>44084.236747685187</v>
      </c>
      <c r="B9582" s="4" t="str">
        <f>HYPERLINK("https://twitter.com/petrogustavo","@petrogustavo")</f>
        <v>@petrogustavo</v>
      </c>
      <c r="C9582" s="5" t="s">
        <v>16</v>
      </c>
      <c r="D9582" s="5" t="s">
        <v>9218</v>
      </c>
      <c r="E9582" s="6" t="str">
        <f>HYPERLINK("https://twitter.com/petrogustavo/status/1303848391621980165","1303848391621980165")</f>
        <v>1303848391621980165</v>
      </c>
      <c r="F9582" s="7" t="s">
        <v>32</v>
      </c>
      <c r="G9582" s="7">
        <v>3958096</v>
      </c>
      <c r="H9582" s="7">
        <v>2435</v>
      </c>
      <c r="I9582" s="7">
        <v>15</v>
      </c>
      <c r="J9582" s="7">
        <v>0</v>
      </c>
      <c r="K9582" s="7" t="s">
        <v>18</v>
      </c>
      <c r="L9582" s="8">
        <v>39987.315405092595</v>
      </c>
      <c r="M9582" s="9" t="s">
        <v>19</v>
      </c>
      <c r="N9582" s="9" t="s">
        <v>20</v>
      </c>
      <c r="O9582" s="6" t="str">
        <f>HYPERLINK("https://pbs.twimg.com/profile_images/962471262747529216/Uo8lOkRJ_normal.jpg","View")</f>
        <v>View</v>
      </c>
      <c r="P9582" s="7"/>
    </row>
    <row r="9583" spans="1:16">
      <c r="A9583" s="3">
        <v>44084.237083333333</v>
      </c>
      <c r="B9583" s="4" t="str">
        <f>HYPERLINK("https://twitter.com/petrogustavo","@petrogustavo")</f>
        <v>@petrogustavo</v>
      </c>
      <c r="C9583" s="5" t="s">
        <v>16</v>
      </c>
      <c r="D9583" s="5" t="s">
        <v>9219</v>
      </c>
      <c r="E9583" s="6" t="str">
        <f>HYPERLINK("https://twitter.com/petrogustavo/status/1303848513936257025","1303848513936257025")</f>
        <v>1303848513936257025</v>
      </c>
      <c r="F9583" s="7" t="s">
        <v>32</v>
      </c>
      <c r="G9583" s="7">
        <v>3958096</v>
      </c>
      <c r="H9583" s="7">
        <v>2435</v>
      </c>
      <c r="I9583" s="7">
        <v>62</v>
      </c>
      <c r="J9583" s="7">
        <v>0</v>
      </c>
      <c r="K9583" s="7" t="s">
        <v>18</v>
      </c>
      <c r="L9583" s="8">
        <v>39987.315405092595</v>
      </c>
      <c r="M9583" s="9" t="s">
        <v>19</v>
      </c>
      <c r="N9583" s="9" t="s">
        <v>20</v>
      </c>
      <c r="O9583" s="6" t="str">
        <f>HYPERLINK("https://pbs.twimg.com/profile_images/962471262747529216/Uo8lOkRJ_normal.jpg","View")</f>
        <v>View</v>
      </c>
      <c r="P9583" s="7"/>
    </row>
    <row r="9584" spans="1:16">
      <c r="A9584" s="3">
        <v>44084.237893518519</v>
      </c>
      <c r="B9584" s="4" t="str">
        <f>HYPERLINK("https://twitter.com/petrogustavo","@petrogustavo")</f>
        <v>@petrogustavo</v>
      </c>
      <c r="C9584" s="5" t="s">
        <v>16</v>
      </c>
      <c r="D9584" s="5" t="s">
        <v>9220</v>
      </c>
      <c r="E9584" s="6" t="str">
        <f>HYPERLINK("https://twitter.com/petrogustavo/status/1303848806920880131","1303848806920880131")</f>
        <v>1303848806920880131</v>
      </c>
      <c r="F9584" s="7" t="s">
        <v>32</v>
      </c>
      <c r="G9584" s="7">
        <v>3958096</v>
      </c>
      <c r="H9584" s="7">
        <v>2435</v>
      </c>
      <c r="I9584" s="7">
        <v>49</v>
      </c>
      <c r="J9584" s="7">
        <v>0</v>
      </c>
      <c r="K9584" s="7" t="s">
        <v>18</v>
      </c>
      <c r="L9584" s="8">
        <v>39987.315405092595</v>
      </c>
      <c r="M9584" s="9" t="s">
        <v>19</v>
      </c>
      <c r="N9584" s="9" t="s">
        <v>20</v>
      </c>
      <c r="O9584" s="6" t="str">
        <f>HYPERLINK("https://pbs.twimg.com/profile_images/962471262747529216/Uo8lOkRJ_normal.jpg","View")</f>
        <v>View</v>
      </c>
      <c r="P9584" s="7"/>
    </row>
    <row r="9585" spans="1:16">
      <c r="A9585" s="3">
        <v>44084.238611111112</v>
      </c>
      <c r="B9585" s="4" t="str">
        <f>HYPERLINK("https://twitter.com/petrogustavo","@petrogustavo")</f>
        <v>@petrogustavo</v>
      </c>
      <c r="C9585" s="5" t="s">
        <v>16</v>
      </c>
      <c r="D9585" s="5" t="s">
        <v>9221</v>
      </c>
      <c r="E9585" s="6" t="str">
        <f>HYPERLINK("https://twitter.com/petrogustavo/status/1303849064849698818","1303849064849698818")</f>
        <v>1303849064849698818</v>
      </c>
      <c r="F9585" s="7" t="s">
        <v>32</v>
      </c>
      <c r="G9585" s="7">
        <v>3958096</v>
      </c>
      <c r="H9585" s="7">
        <v>2435</v>
      </c>
      <c r="I9585" s="7">
        <v>55</v>
      </c>
      <c r="J9585" s="7">
        <v>0</v>
      </c>
      <c r="K9585" s="7" t="s">
        <v>18</v>
      </c>
      <c r="L9585" s="8">
        <v>39987.315405092595</v>
      </c>
      <c r="M9585" s="9" t="s">
        <v>19</v>
      </c>
      <c r="N9585" s="9" t="s">
        <v>20</v>
      </c>
      <c r="O9585" s="6" t="str">
        <f>HYPERLINK("https://pbs.twimg.com/profile_images/962471262747529216/Uo8lOkRJ_normal.jpg","View")</f>
        <v>View</v>
      </c>
      <c r="P9585" s="7"/>
    </row>
    <row r="9586" spans="1:16">
      <c r="A9586" s="3">
        <v>44084.239548611113</v>
      </c>
      <c r="B9586" s="4" t="str">
        <f>HYPERLINK("https://twitter.com/petrogustavo","@petrogustavo")</f>
        <v>@petrogustavo</v>
      </c>
      <c r="C9586" s="5" t="s">
        <v>16</v>
      </c>
      <c r="D9586" s="5" t="s">
        <v>9222</v>
      </c>
      <c r="E9586" s="6" t="str">
        <f>HYPERLINK("https://twitter.com/petrogustavo/status/1303849404760297473","1303849404760297473")</f>
        <v>1303849404760297473</v>
      </c>
      <c r="F9586" s="7" t="s">
        <v>32</v>
      </c>
      <c r="G9586" s="7">
        <v>3958096</v>
      </c>
      <c r="H9586" s="7">
        <v>2435</v>
      </c>
      <c r="I9586" s="7">
        <v>30</v>
      </c>
      <c r="J9586" s="7">
        <v>0</v>
      </c>
      <c r="K9586" s="7" t="s">
        <v>18</v>
      </c>
      <c r="L9586" s="8">
        <v>39987.315405092595</v>
      </c>
      <c r="M9586" s="9" t="s">
        <v>19</v>
      </c>
      <c r="N9586" s="9" t="s">
        <v>20</v>
      </c>
      <c r="O9586" s="6" t="str">
        <f>HYPERLINK("https://pbs.twimg.com/profile_images/962471262747529216/Uo8lOkRJ_normal.jpg","View")</f>
        <v>View</v>
      </c>
      <c r="P9586" s="7"/>
    </row>
    <row r="9587" spans="1:16">
      <c r="A9587" s="3">
        <v>44084.239606481482</v>
      </c>
      <c r="B9587" s="4" t="str">
        <f>HYPERLINK("https://twitter.com/petrogustavo","@petrogustavo")</f>
        <v>@petrogustavo</v>
      </c>
      <c r="C9587" s="5" t="s">
        <v>16</v>
      </c>
      <c r="D9587" s="5" t="s">
        <v>9223</v>
      </c>
      <c r="E9587" s="6" t="str">
        <f>HYPERLINK("https://twitter.com/petrogustavo/status/1303849426612559873","1303849426612559873")</f>
        <v>1303849426612559873</v>
      </c>
      <c r="F9587" s="7" t="s">
        <v>32</v>
      </c>
      <c r="G9587" s="7">
        <v>3958096</v>
      </c>
      <c r="H9587" s="7">
        <v>2435</v>
      </c>
      <c r="I9587" s="7">
        <v>21</v>
      </c>
      <c r="J9587" s="7">
        <v>0</v>
      </c>
      <c r="K9587" s="7" t="s">
        <v>18</v>
      </c>
      <c r="L9587" s="8">
        <v>39987.315405092595</v>
      </c>
      <c r="M9587" s="9" t="s">
        <v>19</v>
      </c>
      <c r="N9587" s="9" t="s">
        <v>20</v>
      </c>
      <c r="O9587" s="6" t="str">
        <f>HYPERLINK("https://pbs.twimg.com/profile_images/962471262747529216/Uo8lOkRJ_normal.jpg","View")</f>
        <v>View</v>
      </c>
      <c r="P9587" s="7"/>
    </row>
    <row r="9588" spans="1:16">
      <c r="A9588" s="3">
        <v>44084.241388888884</v>
      </c>
      <c r="B9588" s="4" t="str">
        <f>HYPERLINK("https://twitter.com/petrogustavo","@petrogustavo")</f>
        <v>@petrogustavo</v>
      </c>
      <c r="C9588" s="5" t="s">
        <v>16</v>
      </c>
      <c r="D9588" s="5" t="s">
        <v>9224</v>
      </c>
      <c r="E9588" s="6" t="str">
        <f>HYPERLINK("https://twitter.com/petrogustavo/status/1303850073625944066","1303850073625944066")</f>
        <v>1303850073625944066</v>
      </c>
      <c r="F9588" s="7" t="s">
        <v>32</v>
      </c>
      <c r="G9588" s="7">
        <v>3958096</v>
      </c>
      <c r="H9588" s="7">
        <v>2435</v>
      </c>
      <c r="I9588" s="7">
        <v>4</v>
      </c>
      <c r="J9588" s="7">
        <v>0</v>
      </c>
      <c r="K9588" s="7" t="s">
        <v>18</v>
      </c>
      <c r="L9588" s="8">
        <v>39987.315405092595</v>
      </c>
      <c r="M9588" s="9" t="s">
        <v>19</v>
      </c>
      <c r="N9588" s="9" t="s">
        <v>20</v>
      </c>
      <c r="O9588" s="6" t="str">
        <f>HYPERLINK("https://pbs.twimg.com/profile_images/962471262747529216/Uo8lOkRJ_normal.jpg","View")</f>
        <v>View</v>
      </c>
      <c r="P9588" s="7"/>
    </row>
    <row r="9589" spans="1:16">
      <c r="A9589" s="3">
        <v>44084.242789351847</v>
      </c>
      <c r="B9589" s="4" t="str">
        <f>HYPERLINK("https://twitter.com/petrogustavo","@petrogustavo")</f>
        <v>@petrogustavo</v>
      </c>
      <c r="C9589" s="5" t="s">
        <v>16</v>
      </c>
      <c r="D9589" s="5" t="s">
        <v>9225</v>
      </c>
      <c r="E9589" s="6" t="str">
        <f>HYPERLINK("https://twitter.com/petrogustavo/status/1303850581249974273","1303850581249974273")</f>
        <v>1303850581249974273</v>
      </c>
      <c r="F9589" s="7" t="s">
        <v>32</v>
      </c>
      <c r="G9589" s="7">
        <v>3958170</v>
      </c>
      <c r="H9589" s="7">
        <v>2435</v>
      </c>
      <c r="I9589" s="7">
        <v>129</v>
      </c>
      <c r="J9589" s="7">
        <v>0</v>
      </c>
      <c r="K9589" s="7" t="s">
        <v>18</v>
      </c>
      <c r="L9589" s="8">
        <v>39987.315405092595</v>
      </c>
      <c r="M9589" s="9" t="s">
        <v>19</v>
      </c>
      <c r="N9589" s="9" t="s">
        <v>20</v>
      </c>
      <c r="O9589" s="6" t="str">
        <f>HYPERLINK("https://pbs.twimg.com/profile_images/962471262747529216/Uo8lOkRJ_normal.jpg","View")</f>
        <v>View</v>
      </c>
      <c r="P9589" s="7"/>
    </row>
    <row r="9590" spans="1:16">
      <c r="A9590" s="3">
        <v>44084.242974537032</v>
      </c>
      <c r="B9590" s="4" t="str">
        <f>HYPERLINK("https://twitter.com/petrogustavo","@petrogustavo")</f>
        <v>@petrogustavo</v>
      </c>
      <c r="C9590" s="5" t="s">
        <v>16</v>
      </c>
      <c r="D9590" s="5" t="s">
        <v>9226</v>
      </c>
      <c r="E9590" s="6" t="str">
        <f>HYPERLINK("https://twitter.com/petrogustavo/status/1303850649004789760","1303850649004789760")</f>
        <v>1303850649004789760</v>
      </c>
      <c r="F9590" s="7" t="s">
        <v>32</v>
      </c>
      <c r="G9590" s="7">
        <v>3958170</v>
      </c>
      <c r="H9590" s="7">
        <v>2435</v>
      </c>
      <c r="I9590" s="7">
        <v>82</v>
      </c>
      <c r="J9590" s="7">
        <v>0</v>
      </c>
      <c r="K9590" s="7" t="s">
        <v>18</v>
      </c>
      <c r="L9590" s="8">
        <v>39987.315405092595</v>
      </c>
      <c r="M9590" s="9" t="s">
        <v>19</v>
      </c>
      <c r="N9590" s="9" t="s">
        <v>20</v>
      </c>
      <c r="O9590" s="6" t="str">
        <f>HYPERLINK("https://pbs.twimg.com/profile_images/962471262747529216/Uo8lOkRJ_normal.jpg","View")</f>
        <v>View</v>
      </c>
      <c r="P9590" s="7"/>
    </row>
    <row r="9591" spans="1:16">
      <c r="A9591" s="3">
        <v>44084.243877314817</v>
      </c>
      <c r="B9591" s="4" t="str">
        <f>HYPERLINK("https://twitter.com/petrogustavo","@petrogustavo")</f>
        <v>@petrogustavo</v>
      </c>
      <c r="C9591" s="5" t="s">
        <v>16</v>
      </c>
      <c r="D9591" s="5" t="s">
        <v>9227</v>
      </c>
      <c r="E9591" s="6" t="str">
        <f>HYPERLINK("https://twitter.com/petrogustavo/status/1303850977150332928","1303850977150332928")</f>
        <v>1303850977150332928</v>
      </c>
      <c r="F9591" s="7" t="s">
        <v>32</v>
      </c>
      <c r="G9591" s="7">
        <v>3958170</v>
      </c>
      <c r="H9591" s="7">
        <v>2435</v>
      </c>
      <c r="I9591" s="7">
        <v>934</v>
      </c>
      <c r="J9591" s="7">
        <v>3715</v>
      </c>
      <c r="K9591" s="7" t="s">
        <v>18</v>
      </c>
      <c r="L9591" s="8">
        <v>39987.315405092595</v>
      </c>
      <c r="M9591" s="9" t="s">
        <v>19</v>
      </c>
      <c r="N9591" s="9" t="s">
        <v>20</v>
      </c>
      <c r="O9591" s="6" t="str">
        <f>HYPERLINK("https://pbs.twimg.com/profile_images/962471262747529216/Uo8lOkRJ_normal.jpg","View")</f>
        <v>View</v>
      </c>
      <c r="P9591" s="7"/>
    </row>
    <row r="9592" spans="1:16">
      <c r="A9592" s="3">
        <v>44084.244398148148</v>
      </c>
      <c r="B9592" s="4" t="str">
        <f>HYPERLINK("https://twitter.com/petrogustavo","@petrogustavo")</f>
        <v>@petrogustavo</v>
      </c>
      <c r="C9592" s="5" t="s">
        <v>16</v>
      </c>
      <c r="D9592" s="5" t="s">
        <v>9228</v>
      </c>
      <c r="E9592" s="6" t="str">
        <f>HYPERLINK("https://twitter.com/petrogustavo/status/1303851162651721728","1303851162651721728")</f>
        <v>1303851162651721728</v>
      </c>
      <c r="F9592" s="7" t="s">
        <v>32</v>
      </c>
      <c r="G9592" s="7">
        <v>3958170</v>
      </c>
      <c r="H9592" s="7">
        <v>2435</v>
      </c>
      <c r="I9592" s="7">
        <v>77</v>
      </c>
      <c r="J9592" s="7">
        <v>0</v>
      </c>
      <c r="K9592" s="7" t="s">
        <v>18</v>
      </c>
      <c r="L9592" s="8">
        <v>39987.315405092595</v>
      </c>
      <c r="M9592" s="9" t="s">
        <v>19</v>
      </c>
      <c r="N9592" s="9" t="s">
        <v>20</v>
      </c>
      <c r="O9592" s="6" t="str">
        <f>HYPERLINK("https://pbs.twimg.com/profile_images/962471262747529216/Uo8lOkRJ_normal.jpg","View")</f>
        <v>View</v>
      </c>
      <c r="P9592" s="7"/>
    </row>
    <row r="9593" spans="1:16">
      <c r="A9593" s="3">
        <v>44084.245717592596</v>
      </c>
      <c r="B9593" s="4" t="str">
        <f>HYPERLINK("https://twitter.com/petrogustavo","@petrogustavo")</f>
        <v>@petrogustavo</v>
      </c>
      <c r="C9593" s="5" t="s">
        <v>16</v>
      </c>
      <c r="D9593" s="5" t="s">
        <v>9229</v>
      </c>
      <c r="E9593" s="6" t="str">
        <f>HYPERLINK("https://twitter.com/petrogustavo/status/1303851640420790273","1303851640420790273")</f>
        <v>1303851640420790273</v>
      </c>
      <c r="F9593" s="7" t="s">
        <v>32</v>
      </c>
      <c r="G9593" s="7">
        <v>3958170</v>
      </c>
      <c r="H9593" s="7">
        <v>2435</v>
      </c>
      <c r="I9593" s="7">
        <v>139</v>
      </c>
      <c r="J9593" s="7">
        <v>0</v>
      </c>
      <c r="K9593" s="7" t="s">
        <v>18</v>
      </c>
      <c r="L9593" s="8">
        <v>39987.315405092595</v>
      </c>
      <c r="M9593" s="9" t="s">
        <v>19</v>
      </c>
      <c r="N9593" s="9" t="s">
        <v>20</v>
      </c>
      <c r="O9593" s="6" t="str">
        <f>HYPERLINK("https://pbs.twimg.com/profile_images/962471262747529216/Uo8lOkRJ_normal.jpg","View")</f>
        <v>View</v>
      </c>
      <c r="P9593" s="7"/>
    </row>
    <row r="9594" spans="1:16">
      <c r="A9594" s="3">
        <v>44084.245775462958</v>
      </c>
      <c r="B9594" s="4" t="str">
        <f>HYPERLINK("https://twitter.com/petrogustavo","@petrogustavo")</f>
        <v>@petrogustavo</v>
      </c>
      <c r="C9594" s="5" t="s">
        <v>16</v>
      </c>
      <c r="D9594" s="5" t="s">
        <v>9230</v>
      </c>
      <c r="E9594" s="6" t="str">
        <f>HYPERLINK("https://twitter.com/petrogustavo/status/1303851661631291393","1303851661631291393")</f>
        <v>1303851661631291393</v>
      </c>
      <c r="F9594" s="7" t="s">
        <v>32</v>
      </c>
      <c r="G9594" s="7">
        <v>3958170</v>
      </c>
      <c r="H9594" s="7">
        <v>2435</v>
      </c>
      <c r="I9594" s="7">
        <v>139</v>
      </c>
      <c r="J9594" s="7">
        <v>0</v>
      </c>
      <c r="K9594" s="7" t="s">
        <v>18</v>
      </c>
      <c r="L9594" s="8">
        <v>39987.315405092595</v>
      </c>
      <c r="M9594" s="9" t="s">
        <v>19</v>
      </c>
      <c r="N9594" s="9" t="s">
        <v>20</v>
      </c>
      <c r="O9594" s="6" t="str">
        <f>HYPERLINK("https://pbs.twimg.com/profile_images/962471262747529216/Uo8lOkRJ_normal.jpg","View")</f>
        <v>View</v>
      </c>
      <c r="P9594" s="7"/>
    </row>
    <row r="9595" spans="1:16">
      <c r="A9595" s="3">
        <v>44084.246678240743</v>
      </c>
      <c r="B9595" s="4" t="str">
        <f>HYPERLINK("https://twitter.com/petrogustavo","@petrogustavo")</f>
        <v>@petrogustavo</v>
      </c>
      <c r="C9595" s="5" t="s">
        <v>16</v>
      </c>
      <c r="D9595" s="5" t="s">
        <v>9231</v>
      </c>
      <c r="E9595" s="6" t="str">
        <f>HYPERLINK("https://twitter.com/petrogustavo/status/1303851991081406464","1303851991081406464")</f>
        <v>1303851991081406464</v>
      </c>
      <c r="F9595" s="7" t="s">
        <v>32</v>
      </c>
      <c r="G9595" s="7">
        <v>3958170</v>
      </c>
      <c r="H9595" s="7">
        <v>2435</v>
      </c>
      <c r="I9595" s="7">
        <v>896</v>
      </c>
      <c r="J9595" s="7">
        <v>0</v>
      </c>
      <c r="K9595" s="7" t="s">
        <v>18</v>
      </c>
      <c r="L9595" s="8">
        <v>39987.315405092595</v>
      </c>
      <c r="M9595" s="9" t="s">
        <v>19</v>
      </c>
      <c r="N9595" s="9" t="s">
        <v>20</v>
      </c>
      <c r="O9595" s="6" t="str">
        <f>HYPERLINK("https://pbs.twimg.com/profile_images/962471262747529216/Uo8lOkRJ_normal.jpg","View")</f>
        <v>View</v>
      </c>
      <c r="P9595" s="7"/>
    </row>
    <row r="9596" spans="1:16">
      <c r="A9596" s="3">
        <v>44084.24690972222</v>
      </c>
      <c r="B9596" s="4" t="str">
        <f>HYPERLINK("https://twitter.com/petrogustavo","@petrogustavo")</f>
        <v>@petrogustavo</v>
      </c>
      <c r="C9596" s="5" t="s">
        <v>16</v>
      </c>
      <c r="D9596" s="5" t="s">
        <v>9232</v>
      </c>
      <c r="E9596" s="6" t="str">
        <f>HYPERLINK("https://twitter.com/petrogustavo/status/1303852073088364546","1303852073088364546")</f>
        <v>1303852073088364546</v>
      </c>
      <c r="F9596" s="7" t="s">
        <v>32</v>
      </c>
      <c r="G9596" s="7">
        <v>3958170</v>
      </c>
      <c r="H9596" s="7">
        <v>2435</v>
      </c>
      <c r="I9596" s="7">
        <v>55</v>
      </c>
      <c r="J9596" s="7">
        <v>0</v>
      </c>
      <c r="K9596" s="7" t="s">
        <v>18</v>
      </c>
      <c r="L9596" s="8">
        <v>39987.315405092595</v>
      </c>
      <c r="M9596" s="9" t="s">
        <v>19</v>
      </c>
      <c r="N9596" s="9" t="s">
        <v>20</v>
      </c>
      <c r="O9596" s="6" t="str">
        <f>HYPERLINK("https://pbs.twimg.com/profile_images/962471262747529216/Uo8lOkRJ_normal.jpg","View")</f>
        <v>View</v>
      </c>
      <c r="P9596" s="7"/>
    </row>
    <row r="9597" spans="1:16">
      <c r="A9597" s="3">
        <v>44084.247048611112</v>
      </c>
      <c r="B9597" s="4" t="str">
        <f>HYPERLINK("https://twitter.com/petrogustavo","@petrogustavo")</f>
        <v>@petrogustavo</v>
      </c>
      <c r="C9597" s="5" t="s">
        <v>16</v>
      </c>
      <c r="D9597" s="5" t="s">
        <v>9233</v>
      </c>
      <c r="E9597" s="6" t="str">
        <f>HYPERLINK("https://twitter.com/petrogustavo/status/1303852125571645440","1303852125571645440")</f>
        <v>1303852125571645440</v>
      </c>
      <c r="F9597" s="7" t="s">
        <v>32</v>
      </c>
      <c r="G9597" s="7">
        <v>3958170</v>
      </c>
      <c r="H9597" s="7">
        <v>2435</v>
      </c>
      <c r="I9597" s="7">
        <v>408</v>
      </c>
      <c r="J9597" s="7">
        <v>0</v>
      </c>
      <c r="K9597" s="7" t="s">
        <v>18</v>
      </c>
      <c r="L9597" s="8">
        <v>39987.315405092595</v>
      </c>
      <c r="M9597" s="9" t="s">
        <v>19</v>
      </c>
      <c r="N9597" s="9" t="s">
        <v>20</v>
      </c>
      <c r="O9597" s="6" t="str">
        <f>HYPERLINK("https://pbs.twimg.com/profile_images/962471262747529216/Uo8lOkRJ_normal.jpg","View")</f>
        <v>View</v>
      </c>
      <c r="P9597" s="7"/>
    </row>
    <row r="9598" spans="1:16">
      <c r="A9598" s="3">
        <v>44084.253171296295</v>
      </c>
      <c r="B9598" s="4" t="str">
        <f>HYPERLINK("https://twitter.com/petrogustavo","@petrogustavo")</f>
        <v>@petrogustavo</v>
      </c>
      <c r="C9598" s="5" t="s">
        <v>16</v>
      </c>
      <c r="D9598" s="5" t="s">
        <v>9234</v>
      </c>
      <c r="E9598" s="6" t="str">
        <f>HYPERLINK("https://twitter.com/petrogustavo/status/1303854342039011335","1303854342039011335")</f>
        <v>1303854342039011335</v>
      </c>
      <c r="F9598" s="7" t="s">
        <v>32</v>
      </c>
      <c r="G9598" s="7">
        <v>3958170</v>
      </c>
      <c r="H9598" s="7">
        <v>2435</v>
      </c>
      <c r="I9598" s="7">
        <v>293</v>
      </c>
      <c r="J9598" s="7">
        <v>585</v>
      </c>
      <c r="K9598" s="7" t="s">
        <v>18</v>
      </c>
      <c r="L9598" s="8">
        <v>39987.315405092595</v>
      </c>
      <c r="M9598" s="9" t="s">
        <v>19</v>
      </c>
      <c r="N9598" s="9" t="s">
        <v>20</v>
      </c>
      <c r="O9598" s="6" t="str">
        <f>HYPERLINK("https://pbs.twimg.com/profile_images/962471262747529216/Uo8lOkRJ_normal.jpg","View")</f>
        <v>View</v>
      </c>
      <c r="P9598" s="7"/>
    </row>
    <row r="9599" spans="1:16">
      <c r="A9599" s="3">
        <v>44084.254108796296</v>
      </c>
      <c r="B9599" s="4" t="str">
        <f>HYPERLINK("https://twitter.com/petrogustavo","@petrogustavo")</f>
        <v>@petrogustavo</v>
      </c>
      <c r="C9599" s="5" t="s">
        <v>16</v>
      </c>
      <c r="D9599" s="5" t="s">
        <v>9235</v>
      </c>
      <c r="E9599" s="6" t="str">
        <f>HYPERLINK("https://twitter.com/petrogustavo/status/1303854683535093761","1303854683535093761")</f>
        <v>1303854683535093761</v>
      </c>
      <c r="F9599" s="7" t="s">
        <v>32</v>
      </c>
      <c r="G9599" s="7">
        <v>3958170</v>
      </c>
      <c r="H9599" s="7">
        <v>2435</v>
      </c>
      <c r="I9599" s="7">
        <v>47</v>
      </c>
      <c r="J9599" s="7">
        <v>0</v>
      </c>
      <c r="K9599" s="7" t="s">
        <v>18</v>
      </c>
      <c r="L9599" s="8">
        <v>39987.315405092595</v>
      </c>
      <c r="M9599" s="9" t="s">
        <v>19</v>
      </c>
      <c r="N9599" s="9" t="s">
        <v>20</v>
      </c>
      <c r="O9599" s="6" t="str">
        <f>HYPERLINK("https://pbs.twimg.com/profile_images/962471262747529216/Uo8lOkRJ_normal.jpg","View")</f>
        <v>View</v>
      </c>
      <c r="P9599" s="7"/>
    </row>
    <row r="9600" spans="1:16">
      <c r="A9600" s="3">
        <v>44084.254375000004</v>
      </c>
      <c r="B9600" s="4" t="str">
        <f>HYPERLINK("https://twitter.com/petrogustavo","@petrogustavo")</f>
        <v>@petrogustavo</v>
      </c>
      <c r="C9600" s="5" t="s">
        <v>16</v>
      </c>
      <c r="D9600" s="5" t="s">
        <v>9236</v>
      </c>
      <c r="E9600" s="6" t="str">
        <f>HYPERLINK("https://twitter.com/petrogustavo/status/1303854778678751234","1303854778678751234")</f>
        <v>1303854778678751234</v>
      </c>
      <c r="F9600" s="7" t="s">
        <v>32</v>
      </c>
      <c r="G9600" s="7">
        <v>3958170</v>
      </c>
      <c r="H9600" s="7">
        <v>2435</v>
      </c>
      <c r="I9600" s="7">
        <v>51</v>
      </c>
      <c r="J9600" s="7">
        <v>0</v>
      </c>
      <c r="K9600" s="7" t="s">
        <v>18</v>
      </c>
      <c r="L9600" s="8">
        <v>39987.315405092595</v>
      </c>
      <c r="M9600" s="9" t="s">
        <v>19</v>
      </c>
      <c r="N9600" s="9" t="s">
        <v>20</v>
      </c>
      <c r="O9600" s="6" t="str">
        <f>HYPERLINK("https://pbs.twimg.com/profile_images/962471262747529216/Uo8lOkRJ_normal.jpg","View")</f>
        <v>View</v>
      </c>
      <c r="P9600" s="7"/>
    </row>
    <row r="9601" spans="1:16">
      <c r="A9601" s="3">
        <v>44084.256944444445</v>
      </c>
      <c r="B9601" s="4" t="str">
        <f>HYPERLINK("https://twitter.com/petrogustavo","@petrogustavo")</f>
        <v>@petrogustavo</v>
      </c>
      <c r="C9601" s="5" t="s">
        <v>16</v>
      </c>
      <c r="D9601" s="5" t="s">
        <v>9237</v>
      </c>
      <c r="E9601" s="6" t="str">
        <f>HYPERLINK("https://twitter.com/petrogustavo/status/1303855711018012674","1303855711018012674")</f>
        <v>1303855711018012674</v>
      </c>
      <c r="F9601" s="7" t="s">
        <v>32</v>
      </c>
      <c r="G9601" s="7">
        <v>3958170</v>
      </c>
      <c r="H9601" s="7">
        <v>2435</v>
      </c>
      <c r="I9601" s="7">
        <v>195</v>
      </c>
      <c r="J9601" s="7">
        <v>352</v>
      </c>
      <c r="K9601" s="7" t="s">
        <v>18</v>
      </c>
      <c r="L9601" s="8">
        <v>39987.315405092595</v>
      </c>
      <c r="M9601" s="9" t="s">
        <v>19</v>
      </c>
      <c r="N9601" s="9" t="s">
        <v>20</v>
      </c>
      <c r="O9601" s="6" t="str">
        <f>HYPERLINK("https://pbs.twimg.com/profile_images/962471262747529216/Uo8lOkRJ_normal.jpg","View")</f>
        <v>View</v>
      </c>
      <c r="P9601" s="7"/>
    </row>
    <row r="9602" spans="1:16">
      <c r="A9602" s="3">
        <v>44084.258356481485</v>
      </c>
      <c r="B9602" s="4" t="str">
        <f>HYPERLINK("https://twitter.com/petrogustavo","@petrogustavo")</f>
        <v>@petrogustavo</v>
      </c>
      <c r="C9602" s="5" t="s">
        <v>16</v>
      </c>
      <c r="D9602" s="5" t="s">
        <v>9238</v>
      </c>
      <c r="E9602" s="6" t="str">
        <f>HYPERLINK("https://twitter.com/petrogustavo/status/1303856222949584896","1303856222949584896")</f>
        <v>1303856222949584896</v>
      </c>
      <c r="F9602" s="7" t="s">
        <v>32</v>
      </c>
      <c r="G9602" s="7">
        <v>3958170</v>
      </c>
      <c r="H9602" s="7">
        <v>2435</v>
      </c>
      <c r="I9602" s="7">
        <v>145</v>
      </c>
      <c r="J9602" s="7">
        <v>400</v>
      </c>
      <c r="K9602" s="7" t="s">
        <v>18</v>
      </c>
      <c r="L9602" s="8">
        <v>39987.315405092595</v>
      </c>
      <c r="M9602" s="9" t="s">
        <v>19</v>
      </c>
      <c r="N9602" s="9" t="s">
        <v>20</v>
      </c>
      <c r="O9602" s="6" t="str">
        <f>HYPERLINK("https://pbs.twimg.com/profile_images/962471262747529216/Uo8lOkRJ_normal.jpg","View")</f>
        <v>View</v>
      </c>
      <c r="P9602" s="7"/>
    </row>
    <row r="9603" spans="1:16">
      <c r="A9603" s="3">
        <v>44084.262002314819</v>
      </c>
      <c r="B9603" s="4" t="str">
        <f>HYPERLINK("https://twitter.com/petrogustavo","@petrogustavo")</f>
        <v>@petrogustavo</v>
      </c>
      <c r="C9603" s="5" t="s">
        <v>16</v>
      </c>
      <c r="D9603" s="5" t="s">
        <v>9239</v>
      </c>
      <c r="E9603" s="6" t="str">
        <f>HYPERLINK("https://twitter.com/petrogustavo/status/1303857544520232960","1303857544520232960")</f>
        <v>1303857544520232960</v>
      </c>
      <c r="F9603" s="7" t="s">
        <v>32</v>
      </c>
      <c r="G9603" s="7">
        <v>3958170</v>
      </c>
      <c r="H9603" s="7">
        <v>2435</v>
      </c>
      <c r="I9603" s="7">
        <v>28</v>
      </c>
      <c r="J9603" s="7">
        <v>0</v>
      </c>
      <c r="K9603" s="7" t="s">
        <v>18</v>
      </c>
      <c r="L9603" s="8">
        <v>39987.315405092595</v>
      </c>
      <c r="M9603" s="9" t="s">
        <v>19</v>
      </c>
      <c r="N9603" s="9" t="s">
        <v>20</v>
      </c>
      <c r="O9603" s="6" t="str">
        <f>HYPERLINK("https://pbs.twimg.com/profile_images/962471262747529216/Uo8lOkRJ_normal.jpg","View")</f>
        <v>View</v>
      </c>
      <c r="P9603" s="7"/>
    </row>
    <row r="9604" spans="1:16">
      <c r="A9604" s="3">
        <v>44084.264849537038</v>
      </c>
      <c r="B9604" s="4" t="str">
        <f>HYPERLINK("https://twitter.com/petrogustavo","@petrogustavo")</f>
        <v>@petrogustavo</v>
      </c>
      <c r="C9604" s="5" t="s">
        <v>16</v>
      </c>
      <c r="D9604" s="5" t="s">
        <v>9240</v>
      </c>
      <c r="E9604" s="6" t="str">
        <f>HYPERLINK("https://twitter.com/petrogustavo/status/1303858574326718464","1303858574326718464")</f>
        <v>1303858574326718464</v>
      </c>
      <c r="F9604" s="7" t="s">
        <v>32</v>
      </c>
      <c r="G9604" s="7">
        <v>3958236</v>
      </c>
      <c r="H9604" s="7">
        <v>2434</v>
      </c>
      <c r="I9604" s="7">
        <v>413</v>
      </c>
      <c r="J9604" s="7">
        <v>1487</v>
      </c>
      <c r="K9604" s="7" t="s">
        <v>18</v>
      </c>
      <c r="L9604" s="8">
        <v>39987.315405092595</v>
      </c>
      <c r="M9604" s="9" t="s">
        <v>19</v>
      </c>
      <c r="N9604" s="9" t="s">
        <v>20</v>
      </c>
      <c r="O9604" s="6" t="str">
        <f>HYPERLINK("https://pbs.twimg.com/profile_images/962471262747529216/Uo8lOkRJ_normal.jpg","View")</f>
        <v>View</v>
      </c>
      <c r="P9604" s="7"/>
    </row>
    <row r="9605" spans="1:16">
      <c r="A9605" s="3">
        <v>44084.265416666662</v>
      </c>
      <c r="B9605" s="4" t="str">
        <f>HYPERLINK("https://twitter.com/petrogustavo","@petrogustavo")</f>
        <v>@petrogustavo</v>
      </c>
      <c r="C9605" s="5" t="s">
        <v>16</v>
      </c>
      <c r="D9605" s="5" t="s">
        <v>9241</v>
      </c>
      <c r="E9605" s="6" t="str">
        <f>HYPERLINK("https://twitter.com/petrogustavo/status/1303858778715152386","1303858778715152386")</f>
        <v>1303858778715152386</v>
      </c>
      <c r="F9605" s="7" t="s">
        <v>32</v>
      </c>
      <c r="G9605" s="7">
        <v>3958236</v>
      </c>
      <c r="H9605" s="7">
        <v>2434</v>
      </c>
      <c r="I9605" s="7">
        <v>184</v>
      </c>
      <c r="J9605" s="7">
        <v>569</v>
      </c>
      <c r="K9605" s="7" t="s">
        <v>18</v>
      </c>
      <c r="L9605" s="8">
        <v>39987.315405092595</v>
      </c>
      <c r="M9605" s="9" t="s">
        <v>19</v>
      </c>
      <c r="N9605" s="9" t="s">
        <v>20</v>
      </c>
      <c r="O9605" s="6" t="str">
        <f>HYPERLINK("https://pbs.twimg.com/profile_images/962471262747529216/Uo8lOkRJ_normal.jpg","View")</f>
        <v>View</v>
      </c>
      <c r="P9605" s="7"/>
    </row>
    <row r="9606" spans="1:16">
      <c r="A9606" s="3">
        <v>44084.267476851848</v>
      </c>
      <c r="B9606" s="4" t="str">
        <f>HYPERLINK("https://twitter.com/petrogustavo","@petrogustavo")</f>
        <v>@petrogustavo</v>
      </c>
      <c r="C9606" s="5" t="s">
        <v>16</v>
      </c>
      <c r="D9606" s="5" t="s">
        <v>9242</v>
      </c>
      <c r="E9606" s="6" t="str">
        <f>HYPERLINK("https://twitter.com/petrogustavo/status/1303859527490719746","1303859527490719746")</f>
        <v>1303859527490719746</v>
      </c>
      <c r="F9606" s="7" t="s">
        <v>32</v>
      </c>
      <c r="G9606" s="7">
        <v>3958236</v>
      </c>
      <c r="H9606" s="7">
        <v>2434</v>
      </c>
      <c r="I9606" s="7">
        <v>221</v>
      </c>
      <c r="J9606" s="7">
        <v>0</v>
      </c>
      <c r="K9606" s="7" t="s">
        <v>18</v>
      </c>
      <c r="L9606" s="8">
        <v>39987.315405092595</v>
      </c>
      <c r="M9606" s="9" t="s">
        <v>19</v>
      </c>
      <c r="N9606" s="9" t="s">
        <v>20</v>
      </c>
      <c r="O9606" s="6" t="str">
        <f>HYPERLINK("https://pbs.twimg.com/profile_images/962471262747529216/Uo8lOkRJ_normal.jpg","View")</f>
        <v>View</v>
      </c>
      <c r="P9606" s="7"/>
    </row>
    <row r="9607" spans="1:16">
      <c r="A9607" s="3">
        <v>44084.268206018518</v>
      </c>
      <c r="B9607" s="4" t="str">
        <f>HYPERLINK("https://twitter.com/petrogustavo","@petrogustavo")</f>
        <v>@petrogustavo</v>
      </c>
      <c r="C9607" s="5" t="s">
        <v>16</v>
      </c>
      <c r="D9607" s="5" t="s">
        <v>9243</v>
      </c>
      <c r="E9607" s="6" t="str">
        <f>HYPERLINK("https://twitter.com/petrogustavo/status/1303859793602510854","1303859793602510854")</f>
        <v>1303859793602510854</v>
      </c>
      <c r="F9607" s="7" t="s">
        <v>32</v>
      </c>
      <c r="G9607" s="7">
        <v>3958236</v>
      </c>
      <c r="H9607" s="7">
        <v>2434</v>
      </c>
      <c r="I9607" s="7">
        <v>176</v>
      </c>
      <c r="J9607" s="7">
        <v>600</v>
      </c>
      <c r="K9607" s="7" t="s">
        <v>18</v>
      </c>
      <c r="L9607" s="8">
        <v>39987.315405092595</v>
      </c>
      <c r="M9607" s="9" t="s">
        <v>19</v>
      </c>
      <c r="N9607" s="9" t="s">
        <v>20</v>
      </c>
      <c r="O9607" s="6" t="str">
        <f>HYPERLINK("https://pbs.twimg.com/profile_images/962471262747529216/Uo8lOkRJ_normal.jpg","View")</f>
        <v>View</v>
      </c>
      <c r="P9607" s="7"/>
    </row>
    <row r="9608" spans="1:16">
      <c r="A9608" s="3">
        <v>44084.272812499999</v>
      </c>
      <c r="B9608" s="4" t="str">
        <f>HYPERLINK("https://twitter.com/petrogustavo","@petrogustavo")</f>
        <v>@petrogustavo</v>
      </c>
      <c r="C9608" s="5" t="s">
        <v>16</v>
      </c>
      <c r="D9608" s="5" t="s">
        <v>9244</v>
      </c>
      <c r="E9608" s="6" t="str">
        <f>HYPERLINK("https://twitter.com/petrogustavo/status/1303861461412909056","1303861461412909056")</f>
        <v>1303861461412909056</v>
      </c>
      <c r="F9608" s="7" t="s">
        <v>32</v>
      </c>
      <c r="G9608" s="7">
        <v>3958236</v>
      </c>
      <c r="H9608" s="7">
        <v>2434</v>
      </c>
      <c r="I9608" s="7">
        <v>383</v>
      </c>
      <c r="J9608" s="7">
        <v>0</v>
      </c>
      <c r="K9608" s="7" t="s">
        <v>18</v>
      </c>
      <c r="L9608" s="8">
        <v>39987.315405092595</v>
      </c>
      <c r="M9608" s="9" t="s">
        <v>19</v>
      </c>
      <c r="N9608" s="9" t="s">
        <v>20</v>
      </c>
      <c r="O9608" s="6" t="str">
        <f>HYPERLINK("https://pbs.twimg.com/profile_images/962471262747529216/Uo8lOkRJ_normal.jpg","View")</f>
        <v>View</v>
      </c>
      <c r="P9608" s="7"/>
    </row>
    <row r="9609" spans="1:16">
      <c r="A9609" s="3">
        <v>44084.273379629631</v>
      </c>
      <c r="B9609" s="4" t="str">
        <f>HYPERLINK("https://twitter.com/petrogustavo","@petrogustavo")</f>
        <v>@petrogustavo</v>
      </c>
      <c r="C9609" s="5" t="s">
        <v>16</v>
      </c>
      <c r="D9609" s="5" t="s">
        <v>9245</v>
      </c>
      <c r="E9609" s="6" t="str">
        <f>HYPERLINK("https://twitter.com/petrogustavo/status/1303861668422848512","1303861668422848512")</f>
        <v>1303861668422848512</v>
      </c>
      <c r="F9609" s="7" t="s">
        <v>32</v>
      </c>
      <c r="G9609" s="7">
        <v>3958236</v>
      </c>
      <c r="H9609" s="7">
        <v>2434</v>
      </c>
      <c r="I9609" s="7">
        <v>45</v>
      </c>
      <c r="J9609" s="7">
        <v>0</v>
      </c>
      <c r="K9609" s="7" t="s">
        <v>18</v>
      </c>
      <c r="L9609" s="8">
        <v>39987.315405092595</v>
      </c>
      <c r="M9609" s="9" t="s">
        <v>19</v>
      </c>
      <c r="N9609" s="9" t="s">
        <v>20</v>
      </c>
      <c r="O9609" s="6" t="str">
        <f>HYPERLINK("https://pbs.twimg.com/profile_images/962471262747529216/Uo8lOkRJ_normal.jpg","View")</f>
        <v>View</v>
      </c>
      <c r="P9609" s="7"/>
    </row>
    <row r="9610" spans="1:16">
      <c r="A9610" s="3">
        <v>44084.273506944446</v>
      </c>
      <c r="B9610" s="4" t="str">
        <f>HYPERLINK("https://twitter.com/petrogustavo","@petrogustavo")</f>
        <v>@petrogustavo</v>
      </c>
      <c r="C9610" s="5" t="s">
        <v>16</v>
      </c>
      <c r="D9610" s="5" t="s">
        <v>9246</v>
      </c>
      <c r="E9610" s="6" t="str">
        <f>HYPERLINK("https://twitter.com/petrogustavo/status/1303861714207809539","1303861714207809539")</f>
        <v>1303861714207809539</v>
      </c>
      <c r="F9610" s="7" t="s">
        <v>32</v>
      </c>
      <c r="G9610" s="7">
        <v>3958236</v>
      </c>
      <c r="H9610" s="7">
        <v>2434</v>
      </c>
      <c r="I9610" s="7">
        <v>298</v>
      </c>
      <c r="J9610" s="7">
        <v>0</v>
      </c>
      <c r="K9610" s="7" t="s">
        <v>18</v>
      </c>
      <c r="L9610" s="8">
        <v>39987.315405092595</v>
      </c>
      <c r="M9610" s="9" t="s">
        <v>19</v>
      </c>
      <c r="N9610" s="9" t="s">
        <v>20</v>
      </c>
      <c r="O9610" s="6" t="str">
        <f>HYPERLINK("https://pbs.twimg.com/profile_images/962471262747529216/Uo8lOkRJ_normal.jpg","View")</f>
        <v>View</v>
      </c>
      <c r="P9610" s="7"/>
    </row>
    <row r="9611" spans="1:16">
      <c r="A9611" s="3">
        <v>44084.274965277778</v>
      </c>
      <c r="B9611" s="4" t="str">
        <f>HYPERLINK("https://twitter.com/petrogustavo","@petrogustavo")</f>
        <v>@petrogustavo</v>
      </c>
      <c r="C9611" s="5" t="s">
        <v>16</v>
      </c>
      <c r="D9611" s="5" t="s">
        <v>9247</v>
      </c>
      <c r="E9611" s="6" t="str">
        <f>HYPERLINK("https://twitter.com/petrogustavo/status/1303862242790703104","1303862242790703104")</f>
        <v>1303862242790703104</v>
      </c>
      <c r="F9611" s="7" t="s">
        <v>32</v>
      </c>
      <c r="G9611" s="7">
        <v>3958236</v>
      </c>
      <c r="H9611" s="7">
        <v>2434</v>
      </c>
      <c r="I9611" s="7">
        <v>216</v>
      </c>
      <c r="J9611" s="7">
        <v>660</v>
      </c>
      <c r="K9611" s="7" t="s">
        <v>18</v>
      </c>
      <c r="L9611" s="8">
        <v>39987.315405092595</v>
      </c>
      <c r="M9611" s="9" t="s">
        <v>19</v>
      </c>
      <c r="N9611" s="9" t="s">
        <v>20</v>
      </c>
      <c r="O9611" s="6" t="str">
        <f>HYPERLINK("https://pbs.twimg.com/profile_images/962471262747529216/Uo8lOkRJ_normal.jpg","View")</f>
        <v>View</v>
      </c>
      <c r="P9611" s="7"/>
    </row>
    <row r="9612" spans="1:16">
      <c r="A9612" s="3">
        <v>44084.275138888886</v>
      </c>
      <c r="B9612" s="4" t="str">
        <f>HYPERLINK("https://twitter.com/petrogustavo","@petrogustavo")</f>
        <v>@petrogustavo</v>
      </c>
      <c r="C9612" s="5" t="s">
        <v>16</v>
      </c>
      <c r="D9612" s="5" t="s">
        <v>9248</v>
      </c>
      <c r="E9612" s="6" t="str">
        <f>HYPERLINK("https://twitter.com/petrogustavo/status/1303862304929349633","1303862304929349633")</f>
        <v>1303862304929349633</v>
      </c>
      <c r="F9612" s="7" t="s">
        <v>32</v>
      </c>
      <c r="G9612" s="7">
        <v>3958236</v>
      </c>
      <c r="H9612" s="7">
        <v>2434</v>
      </c>
      <c r="I9612" s="7">
        <v>176</v>
      </c>
      <c r="J9612" s="7">
        <v>0</v>
      </c>
      <c r="K9612" s="7" t="s">
        <v>18</v>
      </c>
      <c r="L9612" s="8">
        <v>39987.315405092595</v>
      </c>
      <c r="M9612" s="9" t="s">
        <v>19</v>
      </c>
      <c r="N9612" s="9" t="s">
        <v>20</v>
      </c>
      <c r="O9612" s="6" t="str">
        <f>HYPERLINK("https://pbs.twimg.com/profile_images/962471262747529216/Uo8lOkRJ_normal.jpg","View")</f>
        <v>View</v>
      </c>
      <c r="P9612" s="7"/>
    </row>
    <row r="9613" spans="1:16">
      <c r="A9613" s="3">
        <v>44084.27753472222</v>
      </c>
      <c r="B9613" s="4" t="str">
        <f>HYPERLINK("https://twitter.com/petrogustavo","@petrogustavo")</f>
        <v>@petrogustavo</v>
      </c>
      <c r="C9613" s="5" t="s">
        <v>16</v>
      </c>
      <c r="D9613" s="5" t="s">
        <v>9249</v>
      </c>
      <c r="E9613" s="6" t="str">
        <f>HYPERLINK("https://twitter.com/petrogustavo/status/1303863170864492546","1303863170864492546")</f>
        <v>1303863170864492546</v>
      </c>
      <c r="F9613" s="7" t="s">
        <v>32</v>
      </c>
      <c r="G9613" s="7">
        <v>3958236</v>
      </c>
      <c r="H9613" s="7">
        <v>2434</v>
      </c>
      <c r="I9613" s="7">
        <v>353</v>
      </c>
      <c r="J9613" s="7">
        <v>0</v>
      </c>
      <c r="K9613" s="7" t="s">
        <v>18</v>
      </c>
      <c r="L9613" s="8">
        <v>39987.315405092595</v>
      </c>
      <c r="M9613" s="9" t="s">
        <v>19</v>
      </c>
      <c r="N9613" s="9" t="s">
        <v>20</v>
      </c>
      <c r="O9613" s="6" t="str">
        <f>HYPERLINK("https://pbs.twimg.com/profile_images/962471262747529216/Uo8lOkRJ_normal.jpg","View")</f>
        <v>View</v>
      </c>
      <c r="P9613" s="7"/>
    </row>
    <row r="9614" spans="1:16">
      <c r="A9614" s="3">
        <v>44084.278124999997</v>
      </c>
      <c r="B9614" s="4" t="str">
        <f>HYPERLINK("https://twitter.com/petrogustavo","@petrogustavo")</f>
        <v>@petrogustavo</v>
      </c>
      <c r="C9614" s="5" t="s">
        <v>16</v>
      </c>
      <c r="D9614" s="5" t="s">
        <v>9250</v>
      </c>
      <c r="E9614" s="6" t="str">
        <f>HYPERLINK("https://twitter.com/petrogustavo/status/1303863386195800065","1303863386195800065")</f>
        <v>1303863386195800065</v>
      </c>
      <c r="F9614" s="7" t="s">
        <v>32</v>
      </c>
      <c r="G9614" s="7">
        <v>3958236</v>
      </c>
      <c r="H9614" s="7">
        <v>2434</v>
      </c>
      <c r="I9614" s="7">
        <v>109</v>
      </c>
      <c r="J9614" s="7">
        <v>0</v>
      </c>
      <c r="K9614" s="7" t="s">
        <v>18</v>
      </c>
      <c r="L9614" s="8">
        <v>39987.315405092595</v>
      </c>
      <c r="M9614" s="9" t="s">
        <v>19</v>
      </c>
      <c r="N9614" s="9" t="s">
        <v>20</v>
      </c>
      <c r="O9614" s="6" t="str">
        <f>HYPERLINK("https://pbs.twimg.com/profile_images/962471262747529216/Uo8lOkRJ_normal.jpg","View")</f>
        <v>View</v>
      </c>
      <c r="P9614" s="7"/>
    </row>
    <row r="9615" spans="1:16">
      <c r="A9615" s="3">
        <v>44084.281296296293</v>
      </c>
      <c r="B9615" s="4" t="str">
        <f>HYPERLINK("https://twitter.com/petrogustavo","@petrogustavo")</f>
        <v>@petrogustavo</v>
      </c>
      <c r="C9615" s="5" t="s">
        <v>16</v>
      </c>
      <c r="D9615" s="5" t="s">
        <v>9251</v>
      </c>
      <c r="E9615" s="6" t="str">
        <f>HYPERLINK("https://twitter.com/petrogustavo/status/1303864536664023040","1303864536664023040")</f>
        <v>1303864536664023040</v>
      </c>
      <c r="F9615" s="7" t="s">
        <v>32</v>
      </c>
      <c r="G9615" s="7">
        <v>3958236</v>
      </c>
      <c r="H9615" s="7">
        <v>2434</v>
      </c>
      <c r="I9615" s="7">
        <v>58</v>
      </c>
      <c r="J9615" s="7">
        <v>182</v>
      </c>
      <c r="K9615" s="7" t="s">
        <v>18</v>
      </c>
      <c r="L9615" s="8">
        <v>39987.315405092595</v>
      </c>
      <c r="M9615" s="9" t="s">
        <v>19</v>
      </c>
      <c r="N9615" s="9" t="s">
        <v>20</v>
      </c>
      <c r="O9615" s="6" t="str">
        <f>HYPERLINK("https://pbs.twimg.com/profile_images/962471262747529216/Uo8lOkRJ_normal.jpg","View")</f>
        <v>View</v>
      </c>
      <c r="P9615" s="7"/>
    </row>
    <row r="9616" spans="1:16">
      <c r="A9616" s="3">
        <v>44084.282592592594</v>
      </c>
      <c r="B9616" s="4" t="str">
        <f>HYPERLINK("https://twitter.com/petrogustavo","@petrogustavo")</f>
        <v>@petrogustavo</v>
      </c>
      <c r="C9616" s="5" t="s">
        <v>16</v>
      </c>
      <c r="D9616" s="5" t="s">
        <v>9252</v>
      </c>
      <c r="E9616" s="6" t="str">
        <f>HYPERLINK("https://twitter.com/petrogustavo/status/1303865004073115648","1303865004073115648")</f>
        <v>1303865004073115648</v>
      </c>
      <c r="F9616" s="7" t="s">
        <v>32</v>
      </c>
      <c r="G9616" s="7">
        <v>3958236</v>
      </c>
      <c r="H9616" s="7">
        <v>2434</v>
      </c>
      <c r="I9616" s="7">
        <v>8</v>
      </c>
      <c r="J9616" s="7">
        <v>0</v>
      </c>
      <c r="K9616" s="7" t="s">
        <v>18</v>
      </c>
      <c r="L9616" s="8">
        <v>39987.315405092595</v>
      </c>
      <c r="M9616" s="9" t="s">
        <v>19</v>
      </c>
      <c r="N9616" s="9" t="s">
        <v>20</v>
      </c>
      <c r="O9616" s="6" t="str">
        <f>HYPERLINK("https://pbs.twimg.com/profile_images/962471262747529216/Uo8lOkRJ_normal.jpg","View")</f>
        <v>View</v>
      </c>
      <c r="P9616" s="7"/>
    </row>
    <row r="9617" spans="1:16">
      <c r="A9617" s="3">
        <v>44084.282719907409</v>
      </c>
      <c r="B9617" s="4" t="str">
        <f>HYPERLINK("https://twitter.com/petrogustavo","@petrogustavo")</f>
        <v>@petrogustavo</v>
      </c>
      <c r="C9617" s="5" t="s">
        <v>16</v>
      </c>
      <c r="D9617" s="5" t="s">
        <v>9253</v>
      </c>
      <c r="E9617" s="6" t="str">
        <f>HYPERLINK("https://twitter.com/petrogustavo/status/1303865049988161541","1303865049988161541")</f>
        <v>1303865049988161541</v>
      </c>
      <c r="F9617" s="7" t="s">
        <v>32</v>
      </c>
      <c r="G9617" s="7">
        <v>3958236</v>
      </c>
      <c r="H9617" s="7">
        <v>2434</v>
      </c>
      <c r="I9617" s="7">
        <v>6</v>
      </c>
      <c r="J9617" s="7">
        <v>0</v>
      </c>
      <c r="K9617" s="7" t="s">
        <v>18</v>
      </c>
      <c r="L9617" s="8">
        <v>39987.315405092595</v>
      </c>
      <c r="M9617" s="9" t="s">
        <v>19</v>
      </c>
      <c r="N9617" s="9" t="s">
        <v>20</v>
      </c>
      <c r="O9617" s="6" t="str">
        <f>HYPERLINK("https://pbs.twimg.com/profile_images/962471262747529216/Uo8lOkRJ_normal.jpg","View")</f>
        <v>View</v>
      </c>
      <c r="P9617" s="7"/>
    </row>
    <row r="9618" spans="1:16">
      <c r="A9618" s="3">
        <v>44084.283750000002</v>
      </c>
      <c r="B9618" s="4" t="str">
        <f>HYPERLINK("https://twitter.com/petrogustavo","@petrogustavo")</f>
        <v>@petrogustavo</v>
      </c>
      <c r="C9618" s="5" t="s">
        <v>16</v>
      </c>
      <c r="D9618" s="5" t="s">
        <v>9254</v>
      </c>
      <c r="E9618" s="6" t="str">
        <f>HYPERLINK("https://twitter.com/petrogustavo/status/1303865424229138432","1303865424229138432")</f>
        <v>1303865424229138432</v>
      </c>
      <c r="F9618" s="7" t="s">
        <v>32</v>
      </c>
      <c r="G9618" s="7">
        <v>3958366</v>
      </c>
      <c r="H9618" s="7">
        <v>2434</v>
      </c>
      <c r="I9618" s="7">
        <v>2775</v>
      </c>
      <c r="J9618" s="7">
        <v>0</v>
      </c>
      <c r="K9618" s="7" t="s">
        <v>18</v>
      </c>
      <c r="L9618" s="8">
        <v>39987.315405092595</v>
      </c>
      <c r="M9618" s="9" t="s">
        <v>19</v>
      </c>
      <c r="N9618" s="9" t="s">
        <v>20</v>
      </c>
      <c r="O9618" s="6" t="str">
        <f>HYPERLINK("https://pbs.twimg.com/profile_images/962471262747529216/Uo8lOkRJ_normal.jpg","View")</f>
        <v>View</v>
      </c>
      <c r="P9618" s="7"/>
    </row>
    <row r="9619" spans="1:16">
      <c r="A9619" s="3">
        <v>44084.285439814819</v>
      </c>
      <c r="B9619" s="4" t="str">
        <f>HYPERLINK("https://twitter.com/petrogustavo","@petrogustavo")</f>
        <v>@petrogustavo</v>
      </c>
      <c r="C9619" s="5" t="s">
        <v>16</v>
      </c>
      <c r="D9619" s="5" t="s">
        <v>9255</v>
      </c>
      <c r="E9619" s="6" t="str">
        <f>HYPERLINK("https://twitter.com/petrogustavo/status/1303866034764554244","1303866034764554244")</f>
        <v>1303866034764554244</v>
      </c>
      <c r="F9619" s="7" t="s">
        <v>32</v>
      </c>
      <c r="G9619" s="7">
        <v>3958366</v>
      </c>
      <c r="H9619" s="7">
        <v>2434</v>
      </c>
      <c r="I9619" s="7">
        <v>187</v>
      </c>
      <c r="J9619" s="7">
        <v>580</v>
      </c>
      <c r="K9619" s="7" t="s">
        <v>18</v>
      </c>
      <c r="L9619" s="8">
        <v>39987.315405092595</v>
      </c>
      <c r="M9619" s="9" t="s">
        <v>19</v>
      </c>
      <c r="N9619" s="9" t="s">
        <v>20</v>
      </c>
      <c r="O9619" s="6" t="str">
        <f>HYPERLINK("https://pbs.twimg.com/profile_images/962471262747529216/Uo8lOkRJ_normal.jpg","View")</f>
        <v>View</v>
      </c>
      <c r="P9619" s="7"/>
    </row>
    <row r="9620" spans="1:16">
      <c r="A9620" s="3">
        <v>44084.286215277782</v>
      </c>
      <c r="B9620" s="4" t="str">
        <f>HYPERLINK("https://twitter.com/petrogustavo","@petrogustavo")</f>
        <v>@petrogustavo</v>
      </c>
      <c r="C9620" s="5" t="s">
        <v>16</v>
      </c>
      <c r="D9620" s="5" t="s">
        <v>9256</v>
      </c>
      <c r="E9620" s="6" t="str">
        <f>HYPERLINK("https://twitter.com/petrogustavo/status/1303866316911259648","1303866316911259648")</f>
        <v>1303866316911259648</v>
      </c>
      <c r="F9620" s="7" t="s">
        <v>32</v>
      </c>
      <c r="G9620" s="7">
        <v>3958366</v>
      </c>
      <c r="H9620" s="7">
        <v>2434</v>
      </c>
      <c r="I9620" s="7">
        <v>230</v>
      </c>
      <c r="J9620" s="7">
        <v>635</v>
      </c>
      <c r="K9620" s="7" t="s">
        <v>18</v>
      </c>
      <c r="L9620" s="8">
        <v>39987.315405092595</v>
      </c>
      <c r="M9620" s="9" t="s">
        <v>19</v>
      </c>
      <c r="N9620" s="9" t="s">
        <v>20</v>
      </c>
      <c r="O9620" s="6" t="str">
        <f>HYPERLINK("https://pbs.twimg.com/profile_images/962471262747529216/Uo8lOkRJ_normal.jpg","View")</f>
        <v>View</v>
      </c>
      <c r="P9620" s="7"/>
    </row>
    <row r="9621" spans="1:16">
      <c r="A9621" s="3">
        <v>44084.288414351853</v>
      </c>
      <c r="B9621" s="4" t="str">
        <f>HYPERLINK("https://twitter.com/petrogustavo","@petrogustavo")</f>
        <v>@petrogustavo</v>
      </c>
      <c r="C9621" s="5" t="s">
        <v>16</v>
      </c>
      <c r="D9621" s="5" t="s">
        <v>9257</v>
      </c>
      <c r="E9621" s="6" t="str">
        <f>HYPERLINK("https://twitter.com/petrogustavo/status/1303867116416884736","1303867116416884736")</f>
        <v>1303867116416884736</v>
      </c>
      <c r="F9621" s="7" t="s">
        <v>32</v>
      </c>
      <c r="G9621" s="7">
        <v>3958366</v>
      </c>
      <c r="H9621" s="7">
        <v>2434</v>
      </c>
      <c r="I9621" s="7">
        <v>303</v>
      </c>
      <c r="J9621" s="7">
        <v>0</v>
      </c>
      <c r="K9621" s="7" t="s">
        <v>18</v>
      </c>
      <c r="L9621" s="8">
        <v>39987.315405092595</v>
      </c>
      <c r="M9621" s="9" t="s">
        <v>19</v>
      </c>
      <c r="N9621" s="9" t="s">
        <v>20</v>
      </c>
      <c r="O9621" s="6" t="str">
        <f>HYPERLINK("https://pbs.twimg.com/profile_images/962471262747529216/Uo8lOkRJ_normal.jpg","View")</f>
        <v>View</v>
      </c>
      <c r="P9621" s="7"/>
    </row>
    <row r="9622" spans="1:16">
      <c r="A9622" s="3">
        <v>44084.288541666669</v>
      </c>
      <c r="B9622" s="4" t="str">
        <f>HYPERLINK("https://twitter.com/petrogustavo","@petrogustavo")</f>
        <v>@petrogustavo</v>
      </c>
      <c r="C9622" s="5" t="s">
        <v>16</v>
      </c>
      <c r="D9622" s="5" t="s">
        <v>9258</v>
      </c>
      <c r="E9622" s="6" t="str">
        <f>HYPERLINK("https://twitter.com/petrogustavo/status/1303867160519946242","1303867160519946242")</f>
        <v>1303867160519946242</v>
      </c>
      <c r="F9622" s="7" t="s">
        <v>32</v>
      </c>
      <c r="G9622" s="7">
        <v>3958366</v>
      </c>
      <c r="H9622" s="7">
        <v>2434</v>
      </c>
      <c r="I9622" s="7">
        <v>122</v>
      </c>
      <c r="J9622" s="7">
        <v>0</v>
      </c>
      <c r="K9622" s="7" t="s">
        <v>18</v>
      </c>
      <c r="L9622" s="8">
        <v>39987.315405092595</v>
      </c>
      <c r="M9622" s="9" t="s">
        <v>19</v>
      </c>
      <c r="N9622" s="9" t="s">
        <v>20</v>
      </c>
      <c r="O9622" s="6" t="str">
        <f>HYPERLINK("https://pbs.twimg.com/profile_images/962471262747529216/Uo8lOkRJ_normal.jpg","View")</f>
        <v>View</v>
      </c>
      <c r="P9622" s="7"/>
    </row>
    <row r="9623" spans="1:16">
      <c r="A9623" s="3">
        <v>44084.289282407408</v>
      </c>
      <c r="B9623" s="4" t="str">
        <f>HYPERLINK("https://twitter.com/petrogustavo","@petrogustavo")</f>
        <v>@petrogustavo</v>
      </c>
      <c r="C9623" s="5" t="s">
        <v>16</v>
      </c>
      <c r="D9623" s="5" t="s">
        <v>9259</v>
      </c>
      <c r="E9623" s="6" t="str">
        <f>HYPERLINK("https://twitter.com/petrogustavo/status/1303867430326939648","1303867430326939648")</f>
        <v>1303867430326939648</v>
      </c>
      <c r="F9623" s="7" t="s">
        <v>32</v>
      </c>
      <c r="G9623" s="7">
        <v>3958366</v>
      </c>
      <c r="H9623" s="7">
        <v>2434</v>
      </c>
      <c r="I9623" s="7">
        <v>328</v>
      </c>
      <c r="J9623" s="7">
        <v>608</v>
      </c>
      <c r="K9623" s="7" t="s">
        <v>18</v>
      </c>
      <c r="L9623" s="8">
        <v>39987.315405092595</v>
      </c>
      <c r="M9623" s="9" t="s">
        <v>19</v>
      </c>
      <c r="N9623" s="9" t="s">
        <v>20</v>
      </c>
      <c r="O9623" s="6" t="str">
        <f>HYPERLINK("https://pbs.twimg.com/profile_images/962471262747529216/Uo8lOkRJ_normal.jpg","View")</f>
        <v>View</v>
      </c>
      <c r="P9623" s="7"/>
    </row>
    <row r="9624" spans="1:16">
      <c r="A9624" s="3">
        <v>44084.290034722224</v>
      </c>
      <c r="B9624" s="4" t="str">
        <f>HYPERLINK("https://twitter.com/petrogustavo","@petrogustavo")</f>
        <v>@petrogustavo</v>
      </c>
      <c r="C9624" s="5" t="s">
        <v>16</v>
      </c>
      <c r="D9624" s="5" t="s">
        <v>9260</v>
      </c>
      <c r="E9624" s="6" t="str">
        <f>HYPERLINK("https://twitter.com/petrogustavo/status/1303867701018923008","1303867701018923008")</f>
        <v>1303867701018923008</v>
      </c>
      <c r="F9624" s="7" t="s">
        <v>32</v>
      </c>
      <c r="G9624" s="7">
        <v>3958366</v>
      </c>
      <c r="H9624" s="7">
        <v>2434</v>
      </c>
      <c r="I9624" s="7">
        <v>349</v>
      </c>
      <c r="J9624" s="7">
        <v>1256</v>
      </c>
      <c r="K9624" s="7" t="s">
        <v>18</v>
      </c>
      <c r="L9624" s="8">
        <v>39987.315405092595</v>
      </c>
      <c r="M9624" s="9" t="s">
        <v>19</v>
      </c>
      <c r="N9624" s="9" t="s">
        <v>20</v>
      </c>
      <c r="O9624" s="6" t="str">
        <f>HYPERLINK("https://pbs.twimg.com/profile_images/962471262747529216/Uo8lOkRJ_normal.jpg","View")</f>
        <v>View</v>
      </c>
      <c r="P9624" s="7"/>
    </row>
    <row r="9625" spans="1:16">
      <c r="A9625" s="3">
        <v>44084.29383101852</v>
      </c>
      <c r="B9625" s="4" t="str">
        <f>HYPERLINK("https://twitter.com/petrogustavo","@petrogustavo")</f>
        <v>@petrogustavo</v>
      </c>
      <c r="C9625" s="5" t="s">
        <v>16</v>
      </c>
      <c r="D9625" s="5" t="s">
        <v>9261</v>
      </c>
      <c r="E9625" s="6" t="str">
        <f>HYPERLINK("https://twitter.com/petrogustavo/status/1303869078864527361","1303869078864527361")</f>
        <v>1303869078864527361</v>
      </c>
      <c r="F9625" s="7" t="s">
        <v>32</v>
      </c>
      <c r="G9625" s="7">
        <v>3958366</v>
      </c>
      <c r="H9625" s="7">
        <v>2434</v>
      </c>
      <c r="I9625" s="7">
        <v>578</v>
      </c>
      <c r="J9625" s="7">
        <v>1122</v>
      </c>
      <c r="K9625" s="7" t="s">
        <v>18</v>
      </c>
      <c r="L9625" s="8">
        <v>39987.315405092595</v>
      </c>
      <c r="M9625" s="9" t="s">
        <v>19</v>
      </c>
      <c r="N9625" s="9" t="s">
        <v>20</v>
      </c>
      <c r="O9625" s="6" t="str">
        <f>HYPERLINK("https://pbs.twimg.com/profile_images/962471262747529216/Uo8lOkRJ_normal.jpg","View")</f>
        <v>View</v>
      </c>
      <c r="P9625" s="7"/>
    </row>
    <row r="9626" spans="1:16">
      <c r="A9626" s="3">
        <v>44084.295011574075</v>
      </c>
      <c r="B9626" s="4" t="str">
        <f>HYPERLINK("https://twitter.com/petrogustavo","@petrogustavo")</f>
        <v>@petrogustavo</v>
      </c>
      <c r="C9626" s="5" t="s">
        <v>16</v>
      </c>
      <c r="D9626" s="5" t="s">
        <v>9262</v>
      </c>
      <c r="E9626" s="6" t="str">
        <f>HYPERLINK("https://twitter.com/petrogustavo/status/1303869507266584578","1303869507266584578")</f>
        <v>1303869507266584578</v>
      </c>
      <c r="F9626" s="7" t="s">
        <v>32</v>
      </c>
      <c r="G9626" s="7">
        <v>3958366</v>
      </c>
      <c r="H9626" s="7">
        <v>2434</v>
      </c>
      <c r="I9626" s="7">
        <v>302</v>
      </c>
      <c r="J9626" s="7">
        <v>489</v>
      </c>
      <c r="K9626" s="7" t="s">
        <v>18</v>
      </c>
      <c r="L9626" s="8">
        <v>39987.315405092595</v>
      </c>
      <c r="M9626" s="9" t="s">
        <v>19</v>
      </c>
      <c r="N9626" s="9" t="s">
        <v>20</v>
      </c>
      <c r="O9626" s="6" t="str">
        <f>HYPERLINK("https://pbs.twimg.com/profile_images/962471262747529216/Uo8lOkRJ_normal.jpg","View")</f>
        <v>View</v>
      </c>
      <c r="P9626" s="7"/>
    </row>
    <row r="9627" spans="1:16">
      <c r="A9627" s="3">
        <v>44084.296550925923</v>
      </c>
      <c r="B9627" s="4" t="str">
        <f>HYPERLINK("https://twitter.com/petrogustavo","@petrogustavo")</f>
        <v>@petrogustavo</v>
      </c>
      <c r="C9627" s="5" t="s">
        <v>16</v>
      </c>
      <c r="D9627" s="5" t="s">
        <v>9263</v>
      </c>
      <c r="E9627" s="6" t="str">
        <f>HYPERLINK("https://twitter.com/petrogustavo/status/1303870064689664000","1303870064689664000")</f>
        <v>1303870064689664000</v>
      </c>
      <c r="F9627" s="7" t="s">
        <v>32</v>
      </c>
      <c r="G9627" s="7">
        <v>3958366</v>
      </c>
      <c r="H9627" s="7">
        <v>2434</v>
      </c>
      <c r="I9627" s="7">
        <v>372</v>
      </c>
      <c r="J9627" s="7">
        <v>680</v>
      </c>
      <c r="K9627" s="7" t="s">
        <v>18</v>
      </c>
      <c r="L9627" s="8">
        <v>39987.315405092595</v>
      </c>
      <c r="M9627" s="9" t="s">
        <v>19</v>
      </c>
      <c r="N9627" s="9" t="s">
        <v>20</v>
      </c>
      <c r="O9627" s="6" t="str">
        <f>HYPERLINK("https://pbs.twimg.com/profile_images/962471262747529216/Uo8lOkRJ_normal.jpg","View")</f>
        <v>View</v>
      </c>
      <c r="P9627" s="7"/>
    </row>
    <row r="9628" spans="1:16">
      <c r="A9628" s="3">
        <v>44084.296840277777</v>
      </c>
      <c r="B9628" s="4" t="str">
        <f>HYPERLINK("https://twitter.com/petrogustavo","@petrogustavo")</f>
        <v>@petrogustavo</v>
      </c>
      <c r="C9628" s="5" t="s">
        <v>16</v>
      </c>
      <c r="D9628" s="5" t="s">
        <v>9264</v>
      </c>
      <c r="E9628" s="6" t="str">
        <f>HYPERLINK("https://twitter.com/petrogustavo/status/1303870166808264704","1303870166808264704")</f>
        <v>1303870166808264704</v>
      </c>
      <c r="F9628" s="7" t="s">
        <v>32</v>
      </c>
      <c r="G9628" s="7">
        <v>3958366</v>
      </c>
      <c r="H9628" s="7">
        <v>2434</v>
      </c>
      <c r="I9628" s="7">
        <v>578</v>
      </c>
      <c r="J9628" s="7">
        <v>0</v>
      </c>
      <c r="K9628" s="7" t="s">
        <v>18</v>
      </c>
      <c r="L9628" s="8">
        <v>39987.315405092595</v>
      </c>
      <c r="M9628" s="9" t="s">
        <v>19</v>
      </c>
      <c r="N9628" s="9" t="s">
        <v>20</v>
      </c>
      <c r="O9628" s="6" t="str">
        <f>HYPERLINK("https://pbs.twimg.com/profile_images/962471262747529216/Uo8lOkRJ_normal.jpg","View")</f>
        <v>View</v>
      </c>
      <c r="P9628" s="7"/>
    </row>
    <row r="9629" spans="1:16">
      <c r="A9629" s="3">
        <v>44084.300324074073</v>
      </c>
      <c r="B9629" s="4" t="str">
        <f>HYPERLINK("https://twitter.com/petrogustavo","@petrogustavo")</f>
        <v>@petrogustavo</v>
      </c>
      <c r="C9629" s="5" t="s">
        <v>16</v>
      </c>
      <c r="D9629" s="5" t="s">
        <v>9265</v>
      </c>
      <c r="E9629" s="6" t="str">
        <f>HYPERLINK("https://twitter.com/petrogustavo/status/1303871430334001153","1303871430334001153")</f>
        <v>1303871430334001153</v>
      </c>
      <c r="F9629" s="7" t="s">
        <v>21</v>
      </c>
      <c r="G9629" s="7">
        <v>3958366</v>
      </c>
      <c r="H9629" s="7">
        <v>2434</v>
      </c>
      <c r="I9629" s="7">
        <v>102</v>
      </c>
      <c r="J9629" s="7">
        <v>257</v>
      </c>
      <c r="K9629" s="7" t="s">
        <v>18</v>
      </c>
      <c r="L9629" s="8">
        <v>39987.315405092595</v>
      </c>
      <c r="M9629" s="9" t="s">
        <v>19</v>
      </c>
      <c r="N9629" s="9" t="s">
        <v>20</v>
      </c>
      <c r="O9629" s="6" t="str">
        <f>HYPERLINK("https://pbs.twimg.com/profile_images/962471262747529216/Uo8lOkRJ_normal.jpg","View")</f>
        <v>View</v>
      </c>
      <c r="P9629" s="7"/>
    </row>
    <row r="9630" spans="1:16">
      <c r="A9630" s="3">
        <v>44084.30190972222</v>
      </c>
      <c r="B9630" s="4" t="str">
        <f>HYPERLINK("https://twitter.com/petrogustavo","@petrogustavo")</f>
        <v>@petrogustavo</v>
      </c>
      <c r="C9630" s="5" t="s">
        <v>16</v>
      </c>
      <c r="D9630" s="5" t="s">
        <v>9266</v>
      </c>
      <c r="E9630" s="6" t="str">
        <f>HYPERLINK("https://twitter.com/petrogustavo/status/1303872005276565504","1303872005276565504")</f>
        <v>1303872005276565504</v>
      </c>
      <c r="F9630" s="7" t="s">
        <v>32</v>
      </c>
      <c r="G9630" s="7">
        <v>3958366</v>
      </c>
      <c r="H9630" s="7">
        <v>2434</v>
      </c>
      <c r="I9630" s="7">
        <v>59</v>
      </c>
      <c r="J9630" s="7">
        <v>176</v>
      </c>
      <c r="K9630" s="7" t="s">
        <v>18</v>
      </c>
      <c r="L9630" s="8">
        <v>39987.315405092595</v>
      </c>
      <c r="M9630" s="9" t="s">
        <v>19</v>
      </c>
      <c r="N9630" s="9" t="s">
        <v>20</v>
      </c>
      <c r="O9630" s="6" t="str">
        <f>HYPERLINK("https://pbs.twimg.com/profile_images/962471262747529216/Uo8lOkRJ_normal.jpg","View")</f>
        <v>View</v>
      </c>
      <c r="P9630" s="7"/>
    </row>
    <row r="9631" spans="1:16">
      <c r="A9631" s="3">
        <v>44084.302511574075</v>
      </c>
      <c r="B9631" s="4" t="str">
        <f>HYPERLINK("https://twitter.com/petrogustavo","@petrogustavo")</f>
        <v>@petrogustavo</v>
      </c>
      <c r="C9631" s="5" t="s">
        <v>16</v>
      </c>
      <c r="D9631" s="5" t="s">
        <v>9267</v>
      </c>
      <c r="E9631" s="6" t="str">
        <f>HYPERLINK("https://twitter.com/petrogustavo/status/1303872224970014720","1303872224970014720")</f>
        <v>1303872224970014720</v>
      </c>
      <c r="F9631" s="7" t="s">
        <v>32</v>
      </c>
      <c r="G9631" s="7">
        <v>3958366</v>
      </c>
      <c r="H9631" s="7">
        <v>2434</v>
      </c>
      <c r="I9631" s="7">
        <v>72</v>
      </c>
      <c r="J9631" s="7">
        <v>274</v>
      </c>
      <c r="K9631" s="7" t="s">
        <v>18</v>
      </c>
      <c r="L9631" s="8">
        <v>39987.315405092595</v>
      </c>
      <c r="M9631" s="9" t="s">
        <v>19</v>
      </c>
      <c r="N9631" s="9" t="s">
        <v>20</v>
      </c>
      <c r="O9631" s="6" t="str">
        <f>HYPERLINK("https://pbs.twimg.com/profile_images/962471262747529216/Uo8lOkRJ_normal.jpg","View")</f>
        <v>View</v>
      </c>
      <c r="P9631" s="7"/>
    </row>
    <row r="9632" spans="1:16">
      <c r="A9632" s="3">
        <v>44084.303831018522</v>
      </c>
      <c r="B9632" s="4" t="str">
        <f>HYPERLINK("https://twitter.com/petrogustavo","@petrogustavo")</f>
        <v>@petrogustavo</v>
      </c>
      <c r="C9632" s="5" t="s">
        <v>16</v>
      </c>
      <c r="D9632" s="5" t="s">
        <v>9268</v>
      </c>
      <c r="E9632" s="6" t="str">
        <f>HYPERLINK("https://twitter.com/petrogustavo/status/1303872700218306560","1303872700218306560")</f>
        <v>1303872700218306560</v>
      </c>
      <c r="F9632" s="7" t="s">
        <v>32</v>
      </c>
      <c r="G9632" s="7">
        <v>3958366</v>
      </c>
      <c r="H9632" s="7">
        <v>2434</v>
      </c>
      <c r="I9632" s="7">
        <v>12</v>
      </c>
      <c r="J9632" s="7">
        <v>49</v>
      </c>
      <c r="K9632" s="7" t="s">
        <v>18</v>
      </c>
      <c r="L9632" s="8">
        <v>39987.315405092595</v>
      </c>
      <c r="M9632" s="9" t="s">
        <v>19</v>
      </c>
      <c r="N9632" s="9" t="s">
        <v>20</v>
      </c>
      <c r="O9632" s="6" t="str">
        <f>HYPERLINK("https://pbs.twimg.com/profile_images/962471262747529216/Uo8lOkRJ_normal.jpg","View")</f>
        <v>View</v>
      </c>
      <c r="P9632" s="7"/>
    </row>
    <row r="9633" spans="1:16">
      <c r="A9633" s="3">
        <v>44084.304756944446</v>
      </c>
      <c r="B9633" s="4" t="str">
        <f>HYPERLINK("https://twitter.com/petrogustavo","@petrogustavo")</f>
        <v>@petrogustavo</v>
      </c>
      <c r="C9633" s="5" t="s">
        <v>16</v>
      </c>
      <c r="D9633" s="5" t="s">
        <v>9269</v>
      </c>
      <c r="E9633" s="6" t="str">
        <f>HYPERLINK("https://twitter.com/petrogustavo/status/1303873036249071617","1303873036249071617")</f>
        <v>1303873036249071617</v>
      </c>
      <c r="F9633" s="7" t="s">
        <v>32</v>
      </c>
      <c r="G9633" s="7">
        <v>3958545</v>
      </c>
      <c r="H9633" s="7">
        <v>2434</v>
      </c>
      <c r="I9633" s="7">
        <v>448</v>
      </c>
      <c r="J9633" s="7">
        <v>1614</v>
      </c>
      <c r="K9633" s="7" t="s">
        <v>18</v>
      </c>
      <c r="L9633" s="8">
        <v>39987.315405092595</v>
      </c>
      <c r="M9633" s="9" t="s">
        <v>19</v>
      </c>
      <c r="N9633" s="9" t="s">
        <v>20</v>
      </c>
      <c r="O9633" s="6" t="str">
        <f>HYPERLINK("https://pbs.twimg.com/profile_images/962471262747529216/Uo8lOkRJ_normal.jpg","View")</f>
        <v>View</v>
      </c>
      <c r="P9633" s="7"/>
    </row>
    <row r="9634" spans="1:16">
      <c r="A9634" s="3">
        <v>44084.304884259254</v>
      </c>
      <c r="B9634" s="4" t="str">
        <f>HYPERLINK("https://twitter.com/petrogustavo","@petrogustavo")</f>
        <v>@petrogustavo</v>
      </c>
      <c r="C9634" s="5" t="s">
        <v>16</v>
      </c>
      <c r="D9634" s="5" t="s">
        <v>9270</v>
      </c>
      <c r="E9634" s="6" t="str">
        <f>HYPERLINK("https://twitter.com/petrogustavo/status/1303873082491273217","1303873082491273217")</f>
        <v>1303873082491273217</v>
      </c>
      <c r="F9634" s="7" t="s">
        <v>32</v>
      </c>
      <c r="G9634" s="7">
        <v>3958545</v>
      </c>
      <c r="H9634" s="7">
        <v>2434</v>
      </c>
      <c r="I9634" s="7">
        <v>220</v>
      </c>
      <c r="J9634" s="7">
        <v>0</v>
      </c>
      <c r="K9634" s="7" t="s">
        <v>18</v>
      </c>
      <c r="L9634" s="8">
        <v>39987.315405092595</v>
      </c>
      <c r="M9634" s="9" t="s">
        <v>19</v>
      </c>
      <c r="N9634" s="9" t="s">
        <v>20</v>
      </c>
      <c r="O9634" s="6" t="str">
        <f>HYPERLINK("https://pbs.twimg.com/profile_images/962471262747529216/Uo8lOkRJ_normal.jpg","View")</f>
        <v>View</v>
      </c>
      <c r="P9634" s="7"/>
    </row>
    <row r="9635" spans="1:16">
      <c r="A9635" s="3">
        <v>44084.307291666672</v>
      </c>
      <c r="B9635" s="4" t="str">
        <f>HYPERLINK("https://twitter.com/petrogustavo","@petrogustavo")</f>
        <v>@petrogustavo</v>
      </c>
      <c r="C9635" s="5" t="s">
        <v>16</v>
      </c>
      <c r="D9635" s="5" t="s">
        <v>9271</v>
      </c>
      <c r="E9635" s="6" t="str">
        <f>HYPERLINK("https://twitter.com/petrogustavo/status/1303873954361290754","1303873954361290754")</f>
        <v>1303873954361290754</v>
      </c>
      <c r="F9635" s="7" t="s">
        <v>32</v>
      </c>
      <c r="G9635" s="7">
        <v>3958545</v>
      </c>
      <c r="H9635" s="7">
        <v>2434</v>
      </c>
      <c r="I9635" s="7">
        <v>154</v>
      </c>
      <c r="J9635" s="7">
        <v>0</v>
      </c>
      <c r="K9635" s="7" t="s">
        <v>18</v>
      </c>
      <c r="L9635" s="8">
        <v>39987.315405092595</v>
      </c>
      <c r="M9635" s="9" t="s">
        <v>19</v>
      </c>
      <c r="N9635" s="9" t="s">
        <v>20</v>
      </c>
      <c r="O9635" s="6" t="str">
        <f>HYPERLINK("https://pbs.twimg.com/profile_images/962471262747529216/Uo8lOkRJ_normal.jpg","View")</f>
        <v>View</v>
      </c>
      <c r="P9635" s="7"/>
    </row>
    <row r="9636" spans="1:16">
      <c r="A9636" s="3">
        <v>44084.308101851857</v>
      </c>
      <c r="B9636" s="4" t="str">
        <f>HYPERLINK("https://twitter.com/petrogustavo","@petrogustavo")</f>
        <v>@petrogustavo</v>
      </c>
      <c r="C9636" s="5" t="s">
        <v>16</v>
      </c>
      <c r="D9636" s="5" t="s">
        <v>9272</v>
      </c>
      <c r="E9636" s="6" t="str">
        <f>HYPERLINK("https://twitter.com/petrogustavo/status/1303874250869297159","1303874250869297159")</f>
        <v>1303874250869297159</v>
      </c>
      <c r="F9636" s="7" t="s">
        <v>32</v>
      </c>
      <c r="G9636" s="7">
        <v>3958545</v>
      </c>
      <c r="H9636" s="7">
        <v>2434</v>
      </c>
      <c r="I9636" s="7">
        <v>175</v>
      </c>
      <c r="J9636" s="7">
        <v>559</v>
      </c>
      <c r="K9636" s="7" t="s">
        <v>18</v>
      </c>
      <c r="L9636" s="8">
        <v>39987.315405092595</v>
      </c>
      <c r="M9636" s="9" t="s">
        <v>19</v>
      </c>
      <c r="N9636" s="9" t="s">
        <v>20</v>
      </c>
      <c r="O9636" s="6" t="str">
        <f>HYPERLINK("https://pbs.twimg.com/profile_images/962471262747529216/Uo8lOkRJ_normal.jpg","View")</f>
        <v>View</v>
      </c>
      <c r="P9636" s="7"/>
    </row>
    <row r="9637" spans="1:16">
      <c r="A9637" s="3">
        <v>44084.31086805556</v>
      </c>
      <c r="B9637" s="4" t="str">
        <f>HYPERLINK("https://twitter.com/petrogustavo","@petrogustavo")</f>
        <v>@petrogustavo</v>
      </c>
      <c r="C9637" s="5" t="s">
        <v>16</v>
      </c>
      <c r="D9637" s="5" t="s">
        <v>9273</v>
      </c>
      <c r="E9637" s="6" t="str">
        <f>HYPERLINK("https://twitter.com/petrogustavo/status/1303875250996883459","1303875250996883459")</f>
        <v>1303875250996883459</v>
      </c>
      <c r="F9637" s="7" t="s">
        <v>32</v>
      </c>
      <c r="G9637" s="7">
        <v>3958545</v>
      </c>
      <c r="H9637" s="7">
        <v>2434</v>
      </c>
      <c r="I9637" s="7">
        <v>909</v>
      </c>
      <c r="J9637" s="7">
        <v>1467</v>
      </c>
      <c r="K9637" s="7" t="s">
        <v>18</v>
      </c>
      <c r="L9637" s="8">
        <v>39987.315405092595</v>
      </c>
      <c r="M9637" s="9" t="s">
        <v>19</v>
      </c>
      <c r="N9637" s="9" t="s">
        <v>20</v>
      </c>
      <c r="O9637" s="6" t="str">
        <f>HYPERLINK("https://pbs.twimg.com/profile_images/962471262747529216/Uo8lOkRJ_normal.jpg","View")</f>
        <v>View</v>
      </c>
      <c r="P9637" s="7"/>
    </row>
    <row r="9638" spans="1:16">
      <c r="A9638" s="3">
        <v>44084.312592592592</v>
      </c>
      <c r="B9638" s="4" t="str">
        <f>HYPERLINK("https://twitter.com/petrogustavo","@petrogustavo")</f>
        <v>@petrogustavo</v>
      </c>
      <c r="C9638" s="5" t="s">
        <v>16</v>
      </c>
      <c r="D9638" s="5" t="s">
        <v>9274</v>
      </c>
      <c r="E9638" s="6" t="str">
        <f>HYPERLINK("https://twitter.com/petrogustavo/status/1303875874723426305","1303875874723426305")</f>
        <v>1303875874723426305</v>
      </c>
      <c r="F9638" s="7" t="s">
        <v>32</v>
      </c>
      <c r="G9638" s="7">
        <v>3958545</v>
      </c>
      <c r="H9638" s="7">
        <v>2434</v>
      </c>
      <c r="I9638" s="7">
        <v>315</v>
      </c>
      <c r="J9638" s="7">
        <v>960</v>
      </c>
      <c r="K9638" s="7" t="s">
        <v>18</v>
      </c>
      <c r="L9638" s="8">
        <v>39987.315405092595</v>
      </c>
      <c r="M9638" s="9" t="s">
        <v>19</v>
      </c>
      <c r="N9638" s="9" t="s">
        <v>20</v>
      </c>
      <c r="O9638" s="6" t="str">
        <f>HYPERLINK("https://pbs.twimg.com/profile_images/962471262747529216/Uo8lOkRJ_normal.jpg","View")</f>
        <v>View</v>
      </c>
      <c r="P9638" s="7"/>
    </row>
    <row r="9639" spans="1:16">
      <c r="A9639" s="3">
        <v>44084.317303240736</v>
      </c>
      <c r="B9639" s="4" t="str">
        <f>HYPERLINK("https://twitter.com/petrogustavo","@petrogustavo")</f>
        <v>@petrogustavo</v>
      </c>
      <c r="C9639" s="5" t="s">
        <v>16</v>
      </c>
      <c r="D9639" s="5" t="s">
        <v>9275</v>
      </c>
      <c r="E9639" s="6" t="str">
        <f>HYPERLINK("https://twitter.com/petrogustavo/status/1303877584674054144","1303877584674054144")</f>
        <v>1303877584674054144</v>
      </c>
      <c r="F9639" s="7" t="s">
        <v>32</v>
      </c>
      <c r="G9639" s="7">
        <v>3958545</v>
      </c>
      <c r="H9639" s="7">
        <v>2434</v>
      </c>
      <c r="I9639" s="7">
        <v>257</v>
      </c>
      <c r="J9639" s="7">
        <v>692</v>
      </c>
      <c r="K9639" s="7" t="s">
        <v>18</v>
      </c>
      <c r="L9639" s="8">
        <v>39987.315405092595</v>
      </c>
      <c r="M9639" s="9" t="s">
        <v>19</v>
      </c>
      <c r="N9639" s="9" t="s">
        <v>20</v>
      </c>
      <c r="O9639" s="6" t="str">
        <f>HYPERLINK("https://pbs.twimg.com/profile_images/962471262747529216/Uo8lOkRJ_normal.jpg","View")</f>
        <v>View</v>
      </c>
      <c r="P9639" s="7"/>
    </row>
    <row r="9640" spans="1:16">
      <c r="A9640" s="3">
        <v>44084.319560185184</v>
      </c>
      <c r="B9640" s="4" t="str">
        <f>HYPERLINK("https://twitter.com/petrogustavo","@petrogustavo")</f>
        <v>@petrogustavo</v>
      </c>
      <c r="C9640" s="5" t="s">
        <v>16</v>
      </c>
      <c r="D9640" s="5" t="s">
        <v>9276</v>
      </c>
      <c r="E9640" s="6" t="str">
        <f>HYPERLINK("https://twitter.com/petrogustavo/status/1303878401787396097","1303878401787396097")</f>
        <v>1303878401787396097</v>
      </c>
      <c r="F9640" s="7" t="s">
        <v>32</v>
      </c>
      <c r="G9640" s="7">
        <v>3958545</v>
      </c>
      <c r="H9640" s="7">
        <v>2434</v>
      </c>
      <c r="I9640" s="7">
        <v>186</v>
      </c>
      <c r="J9640" s="7">
        <v>443</v>
      </c>
      <c r="K9640" s="7" t="s">
        <v>18</v>
      </c>
      <c r="L9640" s="8">
        <v>39987.315405092595</v>
      </c>
      <c r="M9640" s="9" t="s">
        <v>19</v>
      </c>
      <c r="N9640" s="9" t="s">
        <v>20</v>
      </c>
      <c r="O9640" s="6" t="str">
        <f>HYPERLINK("https://pbs.twimg.com/profile_images/962471262747529216/Uo8lOkRJ_normal.jpg","View")</f>
        <v>View</v>
      </c>
      <c r="P9640" s="7"/>
    </row>
    <row r="9641" spans="1:16">
      <c r="A9641" s="3">
        <v>44084.32131944444</v>
      </c>
      <c r="B9641" s="4" t="str">
        <f>HYPERLINK("https://twitter.com/petrogustavo","@petrogustavo")</f>
        <v>@petrogustavo</v>
      </c>
      <c r="C9641" s="5" t="s">
        <v>16</v>
      </c>
      <c r="D9641" s="5" t="s">
        <v>9277</v>
      </c>
      <c r="E9641" s="6" t="str">
        <f>HYPERLINK("https://twitter.com/petrogustavo/status/1303879040324063233","1303879040324063233")</f>
        <v>1303879040324063233</v>
      </c>
      <c r="F9641" s="7" t="s">
        <v>32</v>
      </c>
      <c r="G9641" s="7">
        <v>3958545</v>
      </c>
      <c r="H9641" s="7">
        <v>2434</v>
      </c>
      <c r="I9641" s="7">
        <v>266</v>
      </c>
      <c r="J9641" s="7">
        <v>1039</v>
      </c>
      <c r="K9641" s="7" t="s">
        <v>18</v>
      </c>
      <c r="L9641" s="8">
        <v>39987.315405092595</v>
      </c>
      <c r="M9641" s="9" t="s">
        <v>19</v>
      </c>
      <c r="N9641" s="9" t="s">
        <v>20</v>
      </c>
      <c r="O9641" s="6" t="str">
        <f>HYPERLINK("https://pbs.twimg.com/profile_images/962471262747529216/Uo8lOkRJ_normal.jpg","View")</f>
        <v>View</v>
      </c>
      <c r="P9641" s="7"/>
    </row>
    <row r="9642" spans="1:16">
      <c r="A9642" s="3">
        <v>44084.325219907405</v>
      </c>
      <c r="B9642" s="4" t="str">
        <f>HYPERLINK("https://twitter.com/petrogustavo","@petrogustavo")</f>
        <v>@petrogustavo</v>
      </c>
      <c r="C9642" s="5" t="s">
        <v>16</v>
      </c>
      <c r="D9642" s="5" t="s">
        <v>9278</v>
      </c>
      <c r="E9642" s="6" t="str">
        <f>HYPERLINK("https://twitter.com/petrogustavo/status/1303880451224997889","1303880451224997889")</f>
        <v>1303880451224997889</v>
      </c>
      <c r="F9642" s="7" t="s">
        <v>32</v>
      </c>
      <c r="G9642" s="7">
        <v>3958770</v>
      </c>
      <c r="H9642" s="7">
        <v>2434</v>
      </c>
      <c r="I9642" s="7">
        <v>331</v>
      </c>
      <c r="J9642" s="7">
        <v>1102</v>
      </c>
      <c r="K9642" s="7" t="s">
        <v>18</v>
      </c>
      <c r="L9642" s="8">
        <v>39987.315405092595</v>
      </c>
      <c r="M9642" s="9" t="s">
        <v>19</v>
      </c>
      <c r="N9642" s="9" t="s">
        <v>20</v>
      </c>
      <c r="O9642" s="6" t="str">
        <f>HYPERLINK("https://pbs.twimg.com/profile_images/962471262747529216/Uo8lOkRJ_normal.jpg","View")</f>
        <v>View</v>
      </c>
      <c r="P9642" s="7"/>
    </row>
    <row r="9643" spans="1:16">
      <c r="A9643" s="3">
        <v>44084.327222222222</v>
      </c>
      <c r="B9643" s="4" t="str">
        <f>HYPERLINK("https://twitter.com/petrogustavo","@petrogustavo")</f>
        <v>@petrogustavo</v>
      </c>
      <c r="C9643" s="5" t="s">
        <v>16</v>
      </c>
      <c r="D9643" s="5" t="s">
        <v>9279</v>
      </c>
      <c r="E9643" s="6" t="str">
        <f>HYPERLINK("https://twitter.com/petrogustavo/status/1303881180211818496","1303881180211818496")</f>
        <v>1303881180211818496</v>
      </c>
      <c r="F9643" s="7" t="s">
        <v>32</v>
      </c>
      <c r="G9643" s="7">
        <v>3958770</v>
      </c>
      <c r="H9643" s="7">
        <v>2434</v>
      </c>
      <c r="I9643" s="7">
        <v>3012</v>
      </c>
      <c r="J9643" s="7">
        <v>0</v>
      </c>
      <c r="K9643" s="7" t="s">
        <v>18</v>
      </c>
      <c r="L9643" s="8">
        <v>39987.315405092595</v>
      </c>
      <c r="M9643" s="9" t="s">
        <v>19</v>
      </c>
      <c r="N9643" s="9" t="s">
        <v>20</v>
      </c>
      <c r="O9643" s="6" t="str">
        <f>HYPERLINK("https://pbs.twimg.com/profile_images/962471262747529216/Uo8lOkRJ_normal.jpg","View")</f>
        <v>View</v>
      </c>
      <c r="P9643" s="7"/>
    </row>
    <row r="9644" spans="1:16">
      <c r="A9644" s="3">
        <v>44084.327708333338</v>
      </c>
      <c r="B9644" s="4" t="str">
        <f>HYPERLINK("https://twitter.com/petrogustavo","@petrogustavo")</f>
        <v>@petrogustavo</v>
      </c>
      <c r="C9644" s="5" t="s">
        <v>16</v>
      </c>
      <c r="D9644" s="5" t="s">
        <v>9280</v>
      </c>
      <c r="E9644" s="6" t="str">
        <f>HYPERLINK("https://twitter.com/petrogustavo/status/1303881356221583360","1303881356221583360")</f>
        <v>1303881356221583360</v>
      </c>
      <c r="F9644" s="7" t="s">
        <v>32</v>
      </c>
      <c r="G9644" s="7">
        <v>3958770</v>
      </c>
      <c r="H9644" s="7">
        <v>2434</v>
      </c>
      <c r="I9644" s="7">
        <v>735</v>
      </c>
      <c r="J9644" s="7">
        <v>0</v>
      </c>
      <c r="K9644" s="7" t="s">
        <v>18</v>
      </c>
      <c r="L9644" s="8">
        <v>39987.315405092595</v>
      </c>
      <c r="M9644" s="9" t="s">
        <v>19</v>
      </c>
      <c r="N9644" s="9" t="s">
        <v>20</v>
      </c>
      <c r="O9644" s="6" t="str">
        <f>HYPERLINK("https://pbs.twimg.com/profile_images/962471262747529216/Uo8lOkRJ_normal.jpg","View")</f>
        <v>View</v>
      </c>
      <c r="P9644" s="7"/>
    </row>
    <row r="9645" spans="1:16">
      <c r="A9645" s="3">
        <v>44084.331562499996</v>
      </c>
      <c r="B9645" s="4" t="str">
        <f>HYPERLINK("https://twitter.com/petrogustavo","@petrogustavo")</f>
        <v>@petrogustavo</v>
      </c>
      <c r="C9645" s="5" t="s">
        <v>16</v>
      </c>
      <c r="D9645" s="5" t="s">
        <v>9281</v>
      </c>
      <c r="E9645" s="6" t="str">
        <f>HYPERLINK("https://twitter.com/petrogustavo/status/1303882749950951429","1303882749950951429")</f>
        <v>1303882749950951429</v>
      </c>
      <c r="F9645" s="7" t="s">
        <v>32</v>
      </c>
      <c r="G9645" s="7">
        <v>3958770</v>
      </c>
      <c r="H9645" s="7">
        <v>2434</v>
      </c>
      <c r="I9645" s="7">
        <v>453</v>
      </c>
      <c r="J9645" s="7">
        <v>0</v>
      </c>
      <c r="K9645" s="7" t="s">
        <v>18</v>
      </c>
      <c r="L9645" s="8">
        <v>39987.315405092595</v>
      </c>
      <c r="M9645" s="9" t="s">
        <v>19</v>
      </c>
      <c r="N9645" s="9" t="s">
        <v>20</v>
      </c>
      <c r="O9645" s="6" t="str">
        <f>HYPERLINK("https://pbs.twimg.com/profile_images/962471262747529216/Uo8lOkRJ_normal.jpg","View")</f>
        <v>View</v>
      </c>
      <c r="P9645" s="7"/>
    </row>
    <row r="9646" spans="1:16">
      <c r="A9646" s="3">
        <v>44084.332800925928</v>
      </c>
      <c r="B9646" s="4" t="str">
        <f>HYPERLINK("https://twitter.com/petrogustavo","@petrogustavo")</f>
        <v>@petrogustavo</v>
      </c>
      <c r="C9646" s="5" t="s">
        <v>16</v>
      </c>
      <c r="D9646" s="5" t="s">
        <v>9282</v>
      </c>
      <c r="E9646" s="6" t="str">
        <f>HYPERLINK("https://twitter.com/petrogustavo/status/1303883201308434432","1303883201308434432")</f>
        <v>1303883201308434432</v>
      </c>
      <c r="F9646" s="7" t="s">
        <v>32</v>
      </c>
      <c r="G9646" s="7">
        <v>3958770</v>
      </c>
      <c r="H9646" s="7">
        <v>2434</v>
      </c>
      <c r="I9646" s="7">
        <v>747</v>
      </c>
      <c r="J9646" s="7">
        <v>1072</v>
      </c>
      <c r="K9646" s="7" t="s">
        <v>18</v>
      </c>
      <c r="L9646" s="8">
        <v>39987.315405092595</v>
      </c>
      <c r="M9646" s="9" t="s">
        <v>19</v>
      </c>
      <c r="N9646" s="9" t="s">
        <v>20</v>
      </c>
      <c r="O9646" s="6" t="str">
        <f>HYPERLINK("https://pbs.twimg.com/profile_images/962471262747529216/Uo8lOkRJ_normal.jpg","View")</f>
        <v>View</v>
      </c>
      <c r="P9646" s="7"/>
    </row>
    <row r="9647" spans="1:16">
      <c r="A9647" s="3">
        <v>44084.333379629628</v>
      </c>
      <c r="B9647" s="4" t="str">
        <f>HYPERLINK("https://twitter.com/petrogustavo","@petrogustavo")</f>
        <v>@petrogustavo</v>
      </c>
      <c r="C9647" s="5" t="s">
        <v>16</v>
      </c>
      <c r="D9647" s="5" t="s">
        <v>9283</v>
      </c>
      <c r="E9647" s="6" t="str">
        <f>HYPERLINK("https://twitter.com/petrogustavo/status/1303883408834277383","1303883408834277383")</f>
        <v>1303883408834277383</v>
      </c>
      <c r="F9647" s="7" t="s">
        <v>32</v>
      </c>
      <c r="G9647" s="7">
        <v>3958770</v>
      </c>
      <c r="H9647" s="7">
        <v>2434</v>
      </c>
      <c r="I9647" s="7">
        <v>122</v>
      </c>
      <c r="J9647" s="7">
        <v>321</v>
      </c>
      <c r="K9647" s="7" t="s">
        <v>18</v>
      </c>
      <c r="L9647" s="8">
        <v>39987.315405092595</v>
      </c>
      <c r="M9647" s="9" t="s">
        <v>19</v>
      </c>
      <c r="N9647" s="9" t="s">
        <v>20</v>
      </c>
      <c r="O9647" s="6" t="str">
        <f>HYPERLINK("https://pbs.twimg.com/profile_images/962471262747529216/Uo8lOkRJ_normal.jpg","View")</f>
        <v>View</v>
      </c>
      <c r="P9647" s="7"/>
    </row>
    <row r="9648" spans="1:16">
      <c r="A9648" s="3">
        <v>44084.336585648147</v>
      </c>
      <c r="B9648" s="4" t="str">
        <f>HYPERLINK("https://twitter.com/petrogustavo","@petrogustavo")</f>
        <v>@petrogustavo</v>
      </c>
      <c r="C9648" s="5" t="s">
        <v>16</v>
      </c>
      <c r="D9648" s="5" t="s">
        <v>9284</v>
      </c>
      <c r="E9648" s="6" t="str">
        <f>HYPERLINK("https://twitter.com/petrogustavo/status/1303884571717627906","1303884571717627906")</f>
        <v>1303884571717627906</v>
      </c>
      <c r="F9648" s="7" t="s">
        <v>32</v>
      </c>
      <c r="G9648" s="7">
        <v>3958770</v>
      </c>
      <c r="H9648" s="7">
        <v>2434</v>
      </c>
      <c r="I9648" s="7">
        <v>592</v>
      </c>
      <c r="J9648" s="7">
        <v>2177</v>
      </c>
      <c r="K9648" s="7" t="s">
        <v>18</v>
      </c>
      <c r="L9648" s="8">
        <v>39987.315405092595</v>
      </c>
      <c r="M9648" s="9" t="s">
        <v>19</v>
      </c>
      <c r="N9648" s="9" t="s">
        <v>20</v>
      </c>
      <c r="O9648" s="6" t="str">
        <f>HYPERLINK("https://pbs.twimg.com/profile_images/962471262747529216/Uo8lOkRJ_normal.jpg","View")</f>
        <v>View</v>
      </c>
      <c r="P9648" s="7"/>
    </row>
    <row r="9649" spans="1:16">
      <c r="A9649" s="3">
        <v>44084.339085648149</v>
      </c>
      <c r="B9649" s="4" t="str">
        <f>HYPERLINK("https://twitter.com/petrogustavo","@petrogustavo")</f>
        <v>@petrogustavo</v>
      </c>
      <c r="C9649" s="5" t="s">
        <v>16</v>
      </c>
      <c r="D9649" s="5" t="s">
        <v>9285</v>
      </c>
      <c r="E9649" s="6" t="str">
        <f>HYPERLINK("https://twitter.com/petrogustavo/status/1303885477288779778","1303885477288779778")</f>
        <v>1303885477288779778</v>
      </c>
      <c r="F9649" s="7" t="s">
        <v>32</v>
      </c>
      <c r="G9649" s="7">
        <v>3958770</v>
      </c>
      <c r="H9649" s="7">
        <v>2434</v>
      </c>
      <c r="I9649" s="7">
        <v>199</v>
      </c>
      <c r="J9649" s="7">
        <v>734</v>
      </c>
      <c r="K9649" s="7" t="s">
        <v>18</v>
      </c>
      <c r="L9649" s="8">
        <v>39987.315405092595</v>
      </c>
      <c r="M9649" s="9" t="s">
        <v>19</v>
      </c>
      <c r="N9649" s="9" t="s">
        <v>20</v>
      </c>
      <c r="O9649" s="6" t="str">
        <f>HYPERLINK("https://pbs.twimg.com/profile_images/962471262747529216/Uo8lOkRJ_normal.jpg","View")</f>
        <v>View</v>
      </c>
      <c r="P9649" s="7"/>
    </row>
    <row r="9650" spans="1:16">
      <c r="A9650" s="3">
        <v>44084.340451388889</v>
      </c>
      <c r="B9650" s="4" t="str">
        <f>HYPERLINK("https://twitter.com/petrogustavo","@petrogustavo")</f>
        <v>@petrogustavo</v>
      </c>
      <c r="C9650" s="5" t="s">
        <v>16</v>
      </c>
      <c r="D9650" s="5" t="s">
        <v>9286</v>
      </c>
      <c r="E9650" s="6" t="str">
        <f>HYPERLINK("https://twitter.com/petrogustavo/status/1303885972137037824","1303885972137037824")</f>
        <v>1303885972137037824</v>
      </c>
      <c r="F9650" s="7" t="s">
        <v>32</v>
      </c>
      <c r="G9650" s="7">
        <v>3958770</v>
      </c>
      <c r="H9650" s="7">
        <v>2434</v>
      </c>
      <c r="I9650" s="7">
        <v>232</v>
      </c>
      <c r="J9650" s="7">
        <v>417</v>
      </c>
      <c r="K9650" s="7" t="s">
        <v>18</v>
      </c>
      <c r="L9650" s="8">
        <v>39987.315405092595</v>
      </c>
      <c r="M9650" s="9" t="s">
        <v>19</v>
      </c>
      <c r="N9650" s="9" t="s">
        <v>20</v>
      </c>
      <c r="O9650" s="6" t="str">
        <f>HYPERLINK("https://pbs.twimg.com/profile_images/962471262747529216/Uo8lOkRJ_normal.jpg","View")</f>
        <v>View</v>
      </c>
      <c r="P9650" s="7"/>
    </row>
    <row r="9651" spans="1:16">
      <c r="A9651" s="3">
        <v>44084.343356481477</v>
      </c>
      <c r="B9651" s="4" t="str">
        <f>HYPERLINK("https://twitter.com/petrogustavo","@petrogustavo")</f>
        <v>@petrogustavo</v>
      </c>
      <c r="C9651" s="5" t="s">
        <v>16</v>
      </c>
      <c r="D9651" s="5" t="s">
        <v>9287</v>
      </c>
      <c r="E9651" s="6" t="str">
        <f>HYPERLINK("https://twitter.com/petrogustavo/status/1303887027209895936","1303887027209895936")</f>
        <v>1303887027209895936</v>
      </c>
      <c r="F9651" s="7" t="s">
        <v>32</v>
      </c>
      <c r="G9651" s="7">
        <v>3958770</v>
      </c>
      <c r="H9651" s="7">
        <v>2434</v>
      </c>
      <c r="I9651" s="7">
        <v>181</v>
      </c>
      <c r="J9651" s="7">
        <v>666</v>
      </c>
      <c r="K9651" s="7" t="s">
        <v>18</v>
      </c>
      <c r="L9651" s="8">
        <v>39987.315405092595</v>
      </c>
      <c r="M9651" s="9" t="s">
        <v>19</v>
      </c>
      <c r="N9651" s="9" t="s">
        <v>20</v>
      </c>
      <c r="O9651" s="6" t="str">
        <f>HYPERLINK("https://pbs.twimg.com/profile_images/962471262747529216/Uo8lOkRJ_normal.jpg","View")</f>
        <v>View</v>
      </c>
      <c r="P9651" s="7"/>
    </row>
    <row r="9652" spans="1:16">
      <c r="A9652" s="3">
        <v>44084.344502314816</v>
      </c>
      <c r="B9652" s="4" t="str">
        <f>HYPERLINK("https://twitter.com/petrogustavo","@petrogustavo")</f>
        <v>@petrogustavo</v>
      </c>
      <c r="C9652" s="5" t="s">
        <v>16</v>
      </c>
      <c r="D9652" s="5" t="s">
        <v>9288</v>
      </c>
      <c r="E9652" s="6" t="str">
        <f>HYPERLINK("https://twitter.com/petrogustavo/status/1303887441141673984","1303887441141673984")</f>
        <v>1303887441141673984</v>
      </c>
      <c r="F9652" s="7" t="s">
        <v>32</v>
      </c>
      <c r="G9652" s="7">
        <v>3958770</v>
      </c>
      <c r="H9652" s="7">
        <v>2434</v>
      </c>
      <c r="I9652" s="7">
        <v>65</v>
      </c>
      <c r="J9652" s="7">
        <v>228</v>
      </c>
      <c r="K9652" s="7" t="s">
        <v>18</v>
      </c>
      <c r="L9652" s="8">
        <v>39987.315405092595</v>
      </c>
      <c r="M9652" s="9" t="s">
        <v>19</v>
      </c>
      <c r="N9652" s="9" t="s">
        <v>20</v>
      </c>
      <c r="O9652" s="6" t="str">
        <f>HYPERLINK("https://pbs.twimg.com/profile_images/962471262747529216/Uo8lOkRJ_normal.jpg","View")</f>
        <v>View</v>
      </c>
      <c r="P9652" s="7"/>
    </row>
    <row r="9653" spans="1:16">
      <c r="A9653" s="3">
        <v>44084.344895833332</v>
      </c>
      <c r="B9653" s="4" t="str">
        <f>HYPERLINK("https://twitter.com/petrogustavo","@petrogustavo")</f>
        <v>@petrogustavo</v>
      </c>
      <c r="C9653" s="5" t="s">
        <v>16</v>
      </c>
      <c r="D9653" s="5" t="s">
        <v>9289</v>
      </c>
      <c r="E9653" s="6" t="str">
        <f>HYPERLINK("https://twitter.com/petrogustavo/status/1303887583253069824","1303887583253069824")</f>
        <v>1303887583253069824</v>
      </c>
      <c r="F9653" s="7" t="s">
        <v>32</v>
      </c>
      <c r="G9653" s="7">
        <v>3958770</v>
      </c>
      <c r="H9653" s="7">
        <v>2434</v>
      </c>
      <c r="I9653" s="7">
        <v>97</v>
      </c>
      <c r="J9653" s="7">
        <v>0</v>
      </c>
      <c r="K9653" s="7" t="s">
        <v>18</v>
      </c>
      <c r="L9653" s="8">
        <v>39987.315405092595</v>
      </c>
      <c r="M9653" s="9" t="s">
        <v>19</v>
      </c>
      <c r="N9653" s="9" t="s">
        <v>20</v>
      </c>
      <c r="O9653" s="6" t="str">
        <f>HYPERLINK("https://pbs.twimg.com/profile_images/962471262747529216/Uo8lOkRJ_normal.jpg","View")</f>
        <v>View</v>
      </c>
      <c r="P9653" s="7"/>
    </row>
    <row r="9654" spans="1:16">
      <c r="A9654" s="3">
        <v>44084.348599537036</v>
      </c>
      <c r="B9654" s="4" t="str">
        <f>HYPERLINK("https://twitter.com/petrogustavo","@petrogustavo")</f>
        <v>@petrogustavo</v>
      </c>
      <c r="C9654" s="5" t="s">
        <v>16</v>
      </c>
      <c r="D9654" s="5" t="s">
        <v>9290</v>
      </c>
      <c r="E9654" s="6" t="str">
        <f>HYPERLINK("https://twitter.com/petrogustavo/status/1303888923425468418","1303888923425468418")</f>
        <v>1303888923425468418</v>
      </c>
      <c r="F9654" s="7" t="s">
        <v>32</v>
      </c>
      <c r="G9654" s="7">
        <v>3959102</v>
      </c>
      <c r="H9654" s="7">
        <v>2434</v>
      </c>
      <c r="I9654" s="7">
        <v>1581</v>
      </c>
      <c r="J9654" s="7">
        <v>2729</v>
      </c>
      <c r="K9654" s="7" t="s">
        <v>18</v>
      </c>
      <c r="L9654" s="8">
        <v>39987.315405092595</v>
      </c>
      <c r="M9654" s="9" t="s">
        <v>19</v>
      </c>
      <c r="N9654" s="9" t="s">
        <v>20</v>
      </c>
      <c r="O9654" s="6" t="str">
        <f>HYPERLINK("https://pbs.twimg.com/profile_images/962471262747529216/Uo8lOkRJ_normal.jpg","View")</f>
        <v>View</v>
      </c>
      <c r="P9654" s="7"/>
    </row>
    <row r="9655" spans="1:16">
      <c r="A9655" s="3">
        <v>44084.35456018518</v>
      </c>
      <c r="B9655" s="4" t="str">
        <f>HYPERLINK("https://twitter.com/petrogustavo","@petrogustavo")</f>
        <v>@petrogustavo</v>
      </c>
      <c r="C9655" s="5" t="s">
        <v>16</v>
      </c>
      <c r="D9655" s="5" t="s">
        <v>9291</v>
      </c>
      <c r="E9655" s="6" t="str">
        <f>HYPERLINK("https://twitter.com/petrogustavo/status/1303891085564022786","1303891085564022786")</f>
        <v>1303891085564022786</v>
      </c>
      <c r="F9655" s="7" t="s">
        <v>32</v>
      </c>
      <c r="G9655" s="7">
        <v>3959102</v>
      </c>
      <c r="H9655" s="7">
        <v>2434</v>
      </c>
      <c r="I9655" s="7">
        <v>1145</v>
      </c>
      <c r="J9655" s="7">
        <v>3521</v>
      </c>
      <c r="K9655" s="7" t="s">
        <v>18</v>
      </c>
      <c r="L9655" s="8">
        <v>39987.315405092595</v>
      </c>
      <c r="M9655" s="9" t="s">
        <v>19</v>
      </c>
      <c r="N9655" s="9" t="s">
        <v>20</v>
      </c>
      <c r="O9655" s="6" t="str">
        <f>HYPERLINK("https://pbs.twimg.com/profile_images/962471262747529216/Uo8lOkRJ_normal.jpg","View")</f>
        <v>View</v>
      </c>
      <c r="P9655" s="7"/>
    </row>
    <row r="9656" spans="1:16">
      <c r="A9656" s="3">
        <v>44084.355219907404</v>
      </c>
      <c r="B9656" s="4" t="str">
        <f>HYPERLINK("https://twitter.com/petrogustavo","@petrogustavo")</f>
        <v>@petrogustavo</v>
      </c>
      <c r="C9656" s="5" t="s">
        <v>16</v>
      </c>
      <c r="D9656" s="5" t="s">
        <v>9292</v>
      </c>
      <c r="E9656" s="6" t="str">
        <f>HYPERLINK("https://twitter.com/petrogustavo/status/1303891323527794689","1303891323527794689")</f>
        <v>1303891323527794689</v>
      </c>
      <c r="F9656" s="7" t="s">
        <v>32</v>
      </c>
      <c r="G9656" s="7">
        <v>3959102</v>
      </c>
      <c r="H9656" s="7">
        <v>2434</v>
      </c>
      <c r="I9656" s="7">
        <v>354</v>
      </c>
      <c r="J9656" s="7">
        <v>0</v>
      </c>
      <c r="K9656" s="7" t="s">
        <v>18</v>
      </c>
      <c r="L9656" s="8">
        <v>39987.315405092595</v>
      </c>
      <c r="M9656" s="9" t="s">
        <v>19</v>
      </c>
      <c r="N9656" s="9" t="s">
        <v>20</v>
      </c>
      <c r="O9656" s="6" t="str">
        <f>HYPERLINK("https://pbs.twimg.com/profile_images/962471262747529216/Uo8lOkRJ_normal.jpg","View")</f>
        <v>View</v>
      </c>
      <c r="P9656" s="7"/>
    </row>
    <row r="9657" spans="1:16">
      <c r="A9657" s="3">
        <v>44084.356215277774</v>
      </c>
      <c r="B9657" s="4" t="str">
        <f>HYPERLINK("https://twitter.com/petrogustavo","@petrogustavo")</f>
        <v>@petrogustavo</v>
      </c>
      <c r="C9657" s="5" t="s">
        <v>16</v>
      </c>
      <c r="D9657" s="5" t="s">
        <v>9293</v>
      </c>
      <c r="E9657" s="6" t="str">
        <f>HYPERLINK("https://twitter.com/petrogustavo/status/1303891683789205504","1303891683789205504")</f>
        <v>1303891683789205504</v>
      </c>
      <c r="F9657" s="7" t="s">
        <v>32</v>
      </c>
      <c r="G9657" s="7">
        <v>3959102</v>
      </c>
      <c r="H9657" s="7">
        <v>2434</v>
      </c>
      <c r="I9657" s="7">
        <v>252</v>
      </c>
      <c r="J9657" s="7">
        <v>0</v>
      </c>
      <c r="K9657" s="7" t="s">
        <v>18</v>
      </c>
      <c r="L9657" s="8">
        <v>39987.315405092595</v>
      </c>
      <c r="M9657" s="9" t="s">
        <v>19</v>
      </c>
      <c r="N9657" s="9" t="s">
        <v>20</v>
      </c>
      <c r="O9657" s="6" t="str">
        <f>HYPERLINK("https://pbs.twimg.com/profile_images/962471262747529216/Uo8lOkRJ_normal.jpg","View")</f>
        <v>View</v>
      </c>
      <c r="P9657" s="7"/>
    </row>
    <row r="9658" spans="1:16">
      <c r="A9658" s="3">
        <v>44084.35701388889</v>
      </c>
      <c r="B9658" s="4" t="str">
        <f>HYPERLINK("https://twitter.com/petrogustavo","@petrogustavo")</f>
        <v>@petrogustavo</v>
      </c>
      <c r="C9658" s="5" t="s">
        <v>16</v>
      </c>
      <c r="D9658" s="5" t="s">
        <v>9294</v>
      </c>
      <c r="E9658" s="6" t="str">
        <f>HYPERLINK("https://twitter.com/petrogustavo/status/1303891974639030272","1303891974639030272")</f>
        <v>1303891974639030272</v>
      </c>
      <c r="F9658" s="7" t="s">
        <v>32</v>
      </c>
      <c r="G9658" s="7">
        <v>3959102</v>
      </c>
      <c r="H9658" s="7">
        <v>2434</v>
      </c>
      <c r="I9658" s="7">
        <v>613</v>
      </c>
      <c r="J9658" s="7">
        <v>1352</v>
      </c>
      <c r="K9658" s="7" t="s">
        <v>18</v>
      </c>
      <c r="L9658" s="8">
        <v>39987.315405092595</v>
      </c>
      <c r="M9658" s="9" t="s">
        <v>19</v>
      </c>
      <c r="N9658" s="9" t="s">
        <v>20</v>
      </c>
      <c r="O9658" s="6" t="str">
        <f>HYPERLINK("https://pbs.twimg.com/profile_images/962471262747529216/Uo8lOkRJ_normal.jpg","View")</f>
        <v>View</v>
      </c>
      <c r="P9658" s="7"/>
    </row>
    <row r="9659" spans="1:16">
      <c r="A9659" s="3">
        <v>44084.357997685191</v>
      </c>
      <c r="B9659" s="4" t="str">
        <f>HYPERLINK("https://twitter.com/petrogustavo","@petrogustavo")</f>
        <v>@petrogustavo</v>
      </c>
      <c r="C9659" s="5" t="s">
        <v>16</v>
      </c>
      <c r="D9659" s="5" t="s">
        <v>9295</v>
      </c>
      <c r="E9659" s="6" t="str">
        <f>HYPERLINK("https://twitter.com/petrogustavo/status/1303892330777374720","1303892330777374720")</f>
        <v>1303892330777374720</v>
      </c>
      <c r="F9659" s="7" t="s">
        <v>32</v>
      </c>
      <c r="G9659" s="7">
        <v>3959102</v>
      </c>
      <c r="H9659" s="7">
        <v>2434</v>
      </c>
      <c r="I9659" s="7">
        <v>939</v>
      </c>
      <c r="J9659" s="7">
        <v>3444</v>
      </c>
      <c r="K9659" s="7" t="s">
        <v>18</v>
      </c>
      <c r="L9659" s="8">
        <v>39987.315405092595</v>
      </c>
      <c r="M9659" s="9" t="s">
        <v>19</v>
      </c>
      <c r="N9659" s="9" t="s">
        <v>20</v>
      </c>
      <c r="O9659" s="6" t="str">
        <f>HYPERLINK("https://pbs.twimg.com/profile_images/962471262747529216/Uo8lOkRJ_normal.jpg","View")</f>
        <v>View</v>
      </c>
      <c r="P9659" s="7"/>
    </row>
    <row r="9660" spans="1:16">
      <c r="A9660" s="3">
        <v>44084.359722222223</v>
      </c>
      <c r="B9660" s="4" t="str">
        <f>HYPERLINK("https://twitter.com/petrogustavo","@petrogustavo")</f>
        <v>@petrogustavo</v>
      </c>
      <c r="C9660" s="5" t="s">
        <v>16</v>
      </c>
      <c r="D9660" s="5" t="s">
        <v>9296</v>
      </c>
      <c r="E9660" s="6" t="str">
        <f>HYPERLINK("https://twitter.com/petrogustavo/status/1303892957603430401","1303892957603430401")</f>
        <v>1303892957603430401</v>
      </c>
      <c r="F9660" s="7" t="s">
        <v>32</v>
      </c>
      <c r="G9660" s="7">
        <v>3959102</v>
      </c>
      <c r="H9660" s="7">
        <v>2434</v>
      </c>
      <c r="I9660" s="7">
        <v>551</v>
      </c>
      <c r="J9660" s="7">
        <v>0</v>
      </c>
      <c r="K9660" s="7" t="s">
        <v>18</v>
      </c>
      <c r="L9660" s="8">
        <v>39987.315405092595</v>
      </c>
      <c r="M9660" s="9" t="s">
        <v>19</v>
      </c>
      <c r="N9660" s="9" t="s">
        <v>20</v>
      </c>
      <c r="O9660" s="6" t="str">
        <f>HYPERLINK("https://pbs.twimg.com/profile_images/962471262747529216/Uo8lOkRJ_normal.jpg","View")</f>
        <v>View</v>
      </c>
      <c r="P9660" s="7"/>
    </row>
    <row r="9661" spans="1:16">
      <c r="A9661" s="3">
        <v>44084.364212962959</v>
      </c>
      <c r="B9661" s="4" t="str">
        <f>HYPERLINK("https://twitter.com/petrogustavo","@petrogustavo")</f>
        <v>@petrogustavo</v>
      </c>
      <c r="C9661" s="5" t="s">
        <v>16</v>
      </c>
      <c r="D9661" s="5" t="s">
        <v>9297</v>
      </c>
      <c r="E9661" s="6" t="str">
        <f>HYPERLINK("https://twitter.com/petrogustavo/status/1303894584758501376","1303894584758501376")</f>
        <v>1303894584758501376</v>
      </c>
      <c r="F9661" s="7" t="s">
        <v>32</v>
      </c>
      <c r="G9661" s="7">
        <v>3959102</v>
      </c>
      <c r="H9661" s="7">
        <v>2434</v>
      </c>
      <c r="I9661" s="7">
        <v>207</v>
      </c>
      <c r="J9661" s="7">
        <v>867</v>
      </c>
      <c r="K9661" s="7" t="s">
        <v>18</v>
      </c>
      <c r="L9661" s="8">
        <v>39987.315405092595</v>
      </c>
      <c r="M9661" s="9" t="s">
        <v>19</v>
      </c>
      <c r="N9661" s="9" t="s">
        <v>20</v>
      </c>
      <c r="O9661" s="6" t="str">
        <f>HYPERLINK("https://pbs.twimg.com/profile_images/962471262747529216/Uo8lOkRJ_normal.jpg","View")</f>
        <v>View</v>
      </c>
      <c r="P9661" s="7"/>
    </row>
    <row r="9662" spans="1:16">
      <c r="A9662" s="3">
        <v>44084.365081018521</v>
      </c>
      <c r="B9662" s="4" t="str">
        <f>HYPERLINK("https://twitter.com/petrogustavo","@petrogustavo")</f>
        <v>@petrogustavo</v>
      </c>
      <c r="C9662" s="5" t="s">
        <v>16</v>
      </c>
      <c r="D9662" s="5" t="s">
        <v>9298</v>
      </c>
      <c r="E9662" s="6" t="str">
        <f>HYPERLINK("https://twitter.com/petrogustavo/status/1303894895829057542","1303894895829057542")</f>
        <v>1303894895829057542</v>
      </c>
      <c r="F9662" s="7" t="s">
        <v>32</v>
      </c>
      <c r="G9662" s="7">
        <v>3959102</v>
      </c>
      <c r="H9662" s="7">
        <v>2434</v>
      </c>
      <c r="I9662" s="7">
        <v>182</v>
      </c>
      <c r="J9662" s="7">
        <v>0</v>
      </c>
      <c r="K9662" s="7" t="s">
        <v>18</v>
      </c>
      <c r="L9662" s="8">
        <v>39987.315405092595</v>
      </c>
      <c r="M9662" s="9" t="s">
        <v>19</v>
      </c>
      <c r="N9662" s="9" t="s">
        <v>20</v>
      </c>
      <c r="O9662" s="6" t="str">
        <f>HYPERLINK("https://pbs.twimg.com/profile_images/962471262747529216/Uo8lOkRJ_normal.jpg","View")</f>
        <v>View</v>
      </c>
      <c r="P9662" s="7"/>
    </row>
    <row r="9663" spans="1:16">
      <c r="A9663" s="3">
        <v>44084.367291666669</v>
      </c>
      <c r="B9663" s="4" t="str">
        <f>HYPERLINK("https://twitter.com/petrogustavo","@petrogustavo")</f>
        <v>@petrogustavo</v>
      </c>
      <c r="C9663" s="5" t="s">
        <v>16</v>
      </c>
      <c r="D9663" s="5" t="s">
        <v>9299</v>
      </c>
      <c r="E9663" s="6" t="str">
        <f>HYPERLINK("https://twitter.com/petrogustavo/status/1303895697855524865","1303895697855524865")</f>
        <v>1303895697855524865</v>
      </c>
      <c r="F9663" s="7" t="s">
        <v>32</v>
      </c>
      <c r="G9663" s="7">
        <v>3959599</v>
      </c>
      <c r="H9663" s="7">
        <v>2434</v>
      </c>
      <c r="I9663" s="7">
        <v>543</v>
      </c>
      <c r="J9663" s="7">
        <v>0</v>
      </c>
      <c r="K9663" s="7" t="s">
        <v>18</v>
      </c>
      <c r="L9663" s="8">
        <v>39987.315405092595</v>
      </c>
      <c r="M9663" s="9" t="s">
        <v>19</v>
      </c>
      <c r="N9663" s="9" t="s">
        <v>20</v>
      </c>
      <c r="O9663" s="6" t="str">
        <f>HYPERLINK("https://pbs.twimg.com/profile_images/962471262747529216/Uo8lOkRJ_normal.jpg","View")</f>
        <v>View</v>
      </c>
      <c r="P9663" s="7"/>
    </row>
    <row r="9664" spans="1:16">
      <c r="A9664" s="3">
        <v>44084.368171296301</v>
      </c>
      <c r="B9664" s="4" t="str">
        <f>HYPERLINK("https://twitter.com/petrogustavo","@petrogustavo")</f>
        <v>@petrogustavo</v>
      </c>
      <c r="C9664" s="5" t="s">
        <v>16</v>
      </c>
      <c r="D9664" s="5" t="s">
        <v>9300</v>
      </c>
      <c r="E9664" s="6" t="str">
        <f>HYPERLINK("https://twitter.com/petrogustavo/status/1303896016249380870","1303896016249380870")</f>
        <v>1303896016249380870</v>
      </c>
      <c r="F9664" s="7" t="s">
        <v>32</v>
      </c>
      <c r="G9664" s="7">
        <v>3959599</v>
      </c>
      <c r="H9664" s="7">
        <v>2434</v>
      </c>
      <c r="I9664" s="7">
        <v>1022</v>
      </c>
      <c r="J9664" s="7">
        <v>0</v>
      </c>
      <c r="K9664" s="7" t="s">
        <v>18</v>
      </c>
      <c r="L9664" s="8">
        <v>39987.315405092595</v>
      </c>
      <c r="M9664" s="9" t="s">
        <v>19</v>
      </c>
      <c r="N9664" s="9" t="s">
        <v>20</v>
      </c>
      <c r="O9664" s="6" t="str">
        <f>HYPERLINK("https://pbs.twimg.com/profile_images/962471262747529216/Uo8lOkRJ_normal.jpg","View")</f>
        <v>View</v>
      </c>
      <c r="P9664" s="7"/>
    </row>
    <row r="9665" spans="1:16">
      <c r="A9665" s="3">
        <v>44084.374097222222</v>
      </c>
      <c r="B9665" s="4" t="str">
        <f>HYPERLINK("https://twitter.com/petrogustavo","@petrogustavo")</f>
        <v>@petrogustavo</v>
      </c>
      <c r="C9665" s="5" t="s">
        <v>16</v>
      </c>
      <c r="D9665" s="5" t="s">
        <v>9301</v>
      </c>
      <c r="E9665" s="6" t="str">
        <f>HYPERLINK("https://twitter.com/petrogustavo/status/1303898164932546561","1303898164932546561")</f>
        <v>1303898164932546561</v>
      </c>
      <c r="F9665" s="7" t="s">
        <v>32</v>
      </c>
      <c r="G9665" s="7">
        <v>3959599</v>
      </c>
      <c r="H9665" s="7">
        <v>2434</v>
      </c>
      <c r="I9665" s="7">
        <v>797</v>
      </c>
      <c r="J9665" s="7">
        <v>1816</v>
      </c>
      <c r="K9665" s="7" t="s">
        <v>18</v>
      </c>
      <c r="L9665" s="8">
        <v>39987.315405092595</v>
      </c>
      <c r="M9665" s="9" t="s">
        <v>19</v>
      </c>
      <c r="N9665" s="9" t="s">
        <v>20</v>
      </c>
      <c r="O9665" s="6" t="str">
        <f>HYPERLINK("https://pbs.twimg.com/profile_images/962471262747529216/Uo8lOkRJ_normal.jpg","View")</f>
        <v>View</v>
      </c>
      <c r="P9665" s="7"/>
    </row>
    <row r="9666" spans="1:16">
      <c r="A9666" s="3">
        <v>44084.37537037037</v>
      </c>
      <c r="B9666" s="4" t="str">
        <f>HYPERLINK("https://twitter.com/petrogustavo","@petrogustavo")</f>
        <v>@petrogustavo</v>
      </c>
      <c r="C9666" s="5" t="s">
        <v>16</v>
      </c>
      <c r="D9666" s="5" t="s">
        <v>9302</v>
      </c>
      <c r="E9666" s="6" t="str">
        <f>HYPERLINK("https://twitter.com/petrogustavo/status/1303898628357005315","1303898628357005315")</f>
        <v>1303898628357005315</v>
      </c>
      <c r="F9666" s="7" t="s">
        <v>32</v>
      </c>
      <c r="G9666" s="7">
        <v>3959599</v>
      </c>
      <c r="H9666" s="7">
        <v>2434</v>
      </c>
      <c r="I9666" s="7">
        <v>563</v>
      </c>
      <c r="J9666" s="7">
        <v>1169</v>
      </c>
      <c r="K9666" s="7" t="s">
        <v>18</v>
      </c>
      <c r="L9666" s="8">
        <v>39987.315405092595</v>
      </c>
      <c r="M9666" s="9" t="s">
        <v>19</v>
      </c>
      <c r="N9666" s="9" t="s">
        <v>20</v>
      </c>
      <c r="O9666" s="6" t="str">
        <f>HYPERLINK("https://pbs.twimg.com/profile_images/962471262747529216/Uo8lOkRJ_normal.jpg","View")</f>
        <v>View</v>
      </c>
      <c r="P9666" s="7"/>
    </row>
    <row r="9667" spans="1:16">
      <c r="A9667" s="3">
        <v>44084.379189814819</v>
      </c>
      <c r="B9667" s="4" t="str">
        <f>HYPERLINK("https://twitter.com/petrogustavo","@petrogustavo")</f>
        <v>@petrogustavo</v>
      </c>
      <c r="C9667" s="5" t="s">
        <v>16</v>
      </c>
      <c r="D9667" s="5" t="s">
        <v>9303</v>
      </c>
      <c r="E9667" s="6" t="str">
        <f>HYPERLINK("https://twitter.com/petrogustavo/status/1303900011751780352","1303900011751780352")</f>
        <v>1303900011751780352</v>
      </c>
      <c r="F9667" s="7" t="s">
        <v>32</v>
      </c>
      <c r="G9667" s="7">
        <v>3959599</v>
      </c>
      <c r="H9667" s="7">
        <v>2434</v>
      </c>
      <c r="I9667" s="7">
        <v>1061</v>
      </c>
      <c r="J9667" s="7">
        <v>3694</v>
      </c>
      <c r="K9667" s="7" t="s">
        <v>18</v>
      </c>
      <c r="L9667" s="8">
        <v>39987.315405092595</v>
      </c>
      <c r="M9667" s="9" t="s">
        <v>19</v>
      </c>
      <c r="N9667" s="9" t="s">
        <v>20</v>
      </c>
      <c r="O9667" s="6" t="str">
        <f>HYPERLINK("https://pbs.twimg.com/profile_images/962471262747529216/Uo8lOkRJ_normal.jpg","View")</f>
        <v>View</v>
      </c>
      <c r="P9667" s="7"/>
    </row>
    <row r="9668" spans="1:16">
      <c r="A9668" s="3">
        <v>44084.382291666669</v>
      </c>
      <c r="B9668" s="4" t="str">
        <f>HYPERLINK("https://twitter.com/petrogustavo","@petrogustavo")</f>
        <v>@petrogustavo</v>
      </c>
      <c r="C9668" s="5" t="s">
        <v>16</v>
      </c>
      <c r="D9668" s="5" t="s">
        <v>9304</v>
      </c>
      <c r="E9668" s="6" t="str">
        <f>HYPERLINK("https://twitter.com/petrogustavo/status/1303901132750716936","1303901132750716936")</f>
        <v>1303901132750716936</v>
      </c>
      <c r="F9668" s="7" t="s">
        <v>32</v>
      </c>
      <c r="G9668" s="7">
        <v>3959599</v>
      </c>
      <c r="H9668" s="7">
        <v>2434</v>
      </c>
      <c r="I9668" s="7">
        <v>670</v>
      </c>
      <c r="J9668" s="7">
        <v>1165</v>
      </c>
      <c r="K9668" s="7" t="s">
        <v>18</v>
      </c>
      <c r="L9668" s="8">
        <v>39987.315405092595</v>
      </c>
      <c r="M9668" s="9" t="s">
        <v>19</v>
      </c>
      <c r="N9668" s="9" t="s">
        <v>20</v>
      </c>
      <c r="O9668" s="6" t="str">
        <f>HYPERLINK("https://pbs.twimg.com/profile_images/962471262747529216/Uo8lOkRJ_normal.jpg","View")</f>
        <v>View</v>
      </c>
      <c r="P9668" s="7"/>
    </row>
    <row r="9669" spans="1:16">
      <c r="A9669" s="3">
        <v>44084.383946759262</v>
      </c>
      <c r="B9669" s="4" t="str">
        <f>HYPERLINK("https://twitter.com/petrogustavo","@petrogustavo")</f>
        <v>@petrogustavo</v>
      </c>
      <c r="C9669" s="5" t="s">
        <v>16</v>
      </c>
      <c r="D9669" s="5" t="s">
        <v>9305</v>
      </c>
      <c r="E9669" s="6" t="str">
        <f>HYPERLINK("https://twitter.com/petrogustavo/status/1303901733878484995","1303901733878484995")</f>
        <v>1303901733878484995</v>
      </c>
      <c r="F9669" s="7" t="s">
        <v>32</v>
      </c>
      <c r="G9669" s="7">
        <v>3959599</v>
      </c>
      <c r="H9669" s="7">
        <v>2434</v>
      </c>
      <c r="I9669" s="7">
        <v>463</v>
      </c>
      <c r="J9669" s="7">
        <v>841</v>
      </c>
      <c r="K9669" s="7" t="s">
        <v>18</v>
      </c>
      <c r="L9669" s="8">
        <v>39987.315405092595</v>
      </c>
      <c r="M9669" s="9" t="s">
        <v>19</v>
      </c>
      <c r="N9669" s="9" t="s">
        <v>20</v>
      </c>
      <c r="O9669" s="6" t="str">
        <f>HYPERLINK("https://pbs.twimg.com/profile_images/962471262747529216/Uo8lOkRJ_normal.jpg","View")</f>
        <v>View</v>
      </c>
      <c r="P9669" s="7"/>
    </row>
    <row r="9670" spans="1:16">
      <c r="A9670" s="3">
        <v>44084.385347222225</v>
      </c>
      <c r="B9670" s="4" t="str">
        <f>HYPERLINK("https://twitter.com/petrogustavo","@petrogustavo")</f>
        <v>@petrogustavo</v>
      </c>
      <c r="C9670" s="5" t="s">
        <v>16</v>
      </c>
      <c r="D9670" s="5" t="s">
        <v>9306</v>
      </c>
      <c r="E9670" s="6" t="str">
        <f>HYPERLINK("https://twitter.com/petrogustavo/status/1303902240856584193","1303902240856584193")</f>
        <v>1303902240856584193</v>
      </c>
      <c r="F9670" s="7" t="s">
        <v>32</v>
      </c>
      <c r="G9670" s="7">
        <v>3959599</v>
      </c>
      <c r="H9670" s="7">
        <v>2434</v>
      </c>
      <c r="I9670" s="7">
        <v>202</v>
      </c>
      <c r="J9670" s="7">
        <v>753</v>
      </c>
      <c r="K9670" s="7" t="s">
        <v>18</v>
      </c>
      <c r="L9670" s="8">
        <v>39987.315405092595</v>
      </c>
      <c r="M9670" s="9" t="s">
        <v>19</v>
      </c>
      <c r="N9670" s="9" t="s">
        <v>20</v>
      </c>
      <c r="O9670" s="6" t="str">
        <f>HYPERLINK("https://pbs.twimg.com/profile_images/962471262747529216/Uo8lOkRJ_normal.jpg","View")</f>
        <v>View</v>
      </c>
      <c r="P9670" s="7"/>
    </row>
    <row r="9671" spans="1:16">
      <c r="A9671" s="3">
        <v>44084.386550925927</v>
      </c>
      <c r="B9671" s="4" t="str">
        <f>HYPERLINK("https://twitter.com/petrogustavo","@petrogustavo")</f>
        <v>@petrogustavo</v>
      </c>
      <c r="C9671" s="5" t="s">
        <v>16</v>
      </c>
      <c r="D9671" s="5" t="s">
        <v>9307</v>
      </c>
      <c r="E9671" s="6" t="str">
        <f>HYPERLINK("https://twitter.com/petrogustavo/status/1303902676690841600","1303902676690841600")</f>
        <v>1303902676690841600</v>
      </c>
      <c r="F9671" s="7" t="s">
        <v>32</v>
      </c>
      <c r="G9671" s="7">
        <v>3959599</v>
      </c>
      <c r="H9671" s="7">
        <v>2434</v>
      </c>
      <c r="I9671" s="7">
        <v>190</v>
      </c>
      <c r="J9671" s="7">
        <v>0</v>
      </c>
      <c r="K9671" s="7" t="s">
        <v>18</v>
      </c>
      <c r="L9671" s="8">
        <v>39987.315405092595</v>
      </c>
      <c r="M9671" s="9" t="s">
        <v>19</v>
      </c>
      <c r="N9671" s="9" t="s">
        <v>20</v>
      </c>
      <c r="O9671" s="6" t="str">
        <f>HYPERLINK("https://pbs.twimg.com/profile_images/962471262747529216/Uo8lOkRJ_normal.jpg","View")</f>
        <v>View</v>
      </c>
      <c r="P9671" s="7"/>
    </row>
    <row r="9672" spans="1:16">
      <c r="A9672" s="3">
        <v>44084.3908912037</v>
      </c>
      <c r="B9672" s="4" t="str">
        <f>HYPERLINK("https://twitter.com/petrogustavo","@petrogustavo")</f>
        <v>@petrogustavo</v>
      </c>
      <c r="C9672" s="5" t="s">
        <v>16</v>
      </c>
      <c r="D9672" s="5" t="s">
        <v>9308</v>
      </c>
      <c r="E9672" s="6" t="str">
        <f>HYPERLINK("https://twitter.com/petrogustavo/status/1303904250532171778","1303904250532171778")</f>
        <v>1303904250532171778</v>
      </c>
      <c r="F9672" s="7" t="s">
        <v>32</v>
      </c>
      <c r="G9672" s="7">
        <v>3960065</v>
      </c>
      <c r="H9672" s="7">
        <v>2434</v>
      </c>
      <c r="I9672" s="7">
        <v>337</v>
      </c>
      <c r="J9672" s="7">
        <v>1048</v>
      </c>
      <c r="K9672" s="7" t="s">
        <v>18</v>
      </c>
      <c r="L9672" s="8">
        <v>39987.315405092595</v>
      </c>
      <c r="M9672" s="9" t="s">
        <v>19</v>
      </c>
      <c r="N9672" s="9" t="s">
        <v>20</v>
      </c>
      <c r="O9672" s="6" t="str">
        <f>HYPERLINK("https://pbs.twimg.com/profile_images/962471262747529216/Uo8lOkRJ_normal.jpg","View")</f>
        <v>View</v>
      </c>
      <c r="P9672" s="7"/>
    </row>
    <row r="9673" spans="1:16">
      <c r="A9673" s="3">
        <v>44084.392569444448</v>
      </c>
      <c r="B9673" s="4" t="str">
        <f>HYPERLINK("https://twitter.com/petrogustavo","@petrogustavo")</f>
        <v>@petrogustavo</v>
      </c>
      <c r="C9673" s="5" t="s">
        <v>16</v>
      </c>
      <c r="D9673" s="5" t="s">
        <v>9309</v>
      </c>
      <c r="E9673" s="6" t="str">
        <f>HYPERLINK("https://twitter.com/petrogustavo/status/1303904860245549056","1303904860245549056")</f>
        <v>1303904860245549056</v>
      </c>
      <c r="F9673" s="7" t="s">
        <v>32</v>
      </c>
      <c r="G9673" s="7">
        <v>3960065</v>
      </c>
      <c r="H9673" s="7">
        <v>2434</v>
      </c>
      <c r="I9673" s="7">
        <v>1319</v>
      </c>
      <c r="J9673" s="7">
        <v>5953</v>
      </c>
      <c r="K9673" s="7" t="s">
        <v>18</v>
      </c>
      <c r="L9673" s="8">
        <v>39987.315405092595</v>
      </c>
      <c r="M9673" s="9" t="s">
        <v>19</v>
      </c>
      <c r="N9673" s="9" t="s">
        <v>20</v>
      </c>
      <c r="O9673" s="6" t="str">
        <f>HYPERLINK("https://pbs.twimg.com/profile_images/962471262747529216/Uo8lOkRJ_normal.jpg","View")</f>
        <v>View</v>
      </c>
      <c r="P9673" s="7"/>
    </row>
    <row r="9674" spans="1:16">
      <c r="A9674" s="3">
        <v>44084.402870370366</v>
      </c>
      <c r="B9674" s="4" t="str">
        <f>HYPERLINK("https://twitter.com/petrogustavo","@petrogustavo")</f>
        <v>@petrogustavo</v>
      </c>
      <c r="C9674" s="5" t="s">
        <v>16</v>
      </c>
      <c r="D9674" s="5" t="s">
        <v>9310</v>
      </c>
      <c r="E9674" s="6" t="str">
        <f>HYPERLINK("https://twitter.com/petrogustavo/status/1303908594216247296","1303908594216247296")</f>
        <v>1303908594216247296</v>
      </c>
      <c r="F9674" s="7" t="s">
        <v>32</v>
      </c>
      <c r="G9674" s="7">
        <v>3960065</v>
      </c>
      <c r="H9674" s="7">
        <v>2434</v>
      </c>
      <c r="I9674" s="7">
        <v>221</v>
      </c>
      <c r="J9674" s="7">
        <v>0</v>
      </c>
      <c r="K9674" s="7" t="s">
        <v>18</v>
      </c>
      <c r="L9674" s="8">
        <v>39987.315405092595</v>
      </c>
      <c r="M9674" s="9" t="s">
        <v>19</v>
      </c>
      <c r="N9674" s="9" t="s">
        <v>20</v>
      </c>
      <c r="O9674" s="6" t="str">
        <f>HYPERLINK("https://pbs.twimg.com/profile_images/962471262747529216/Uo8lOkRJ_normal.jpg","View")</f>
        <v>View</v>
      </c>
      <c r="P9674" s="7"/>
    </row>
    <row r="9675" spans="1:16">
      <c r="A9675" s="3">
        <v>44084.404641203699</v>
      </c>
      <c r="B9675" s="4" t="str">
        <f>HYPERLINK("https://twitter.com/petrogustavo","@petrogustavo")</f>
        <v>@petrogustavo</v>
      </c>
      <c r="C9675" s="5" t="s">
        <v>16</v>
      </c>
      <c r="D9675" s="5" t="s">
        <v>9311</v>
      </c>
      <c r="E9675" s="6" t="str">
        <f>HYPERLINK("https://twitter.com/petrogustavo/status/1303909234657165312","1303909234657165312")</f>
        <v>1303909234657165312</v>
      </c>
      <c r="F9675" s="7" t="s">
        <v>32</v>
      </c>
      <c r="G9675" s="7">
        <v>3960065</v>
      </c>
      <c r="H9675" s="7">
        <v>2434</v>
      </c>
      <c r="I9675" s="7">
        <v>731</v>
      </c>
      <c r="J9675" s="7">
        <v>2133</v>
      </c>
      <c r="K9675" s="7" t="s">
        <v>18</v>
      </c>
      <c r="L9675" s="8">
        <v>39987.315405092595</v>
      </c>
      <c r="M9675" s="9" t="s">
        <v>19</v>
      </c>
      <c r="N9675" s="9" t="s">
        <v>20</v>
      </c>
      <c r="O9675" s="6" t="str">
        <f>HYPERLINK("https://pbs.twimg.com/profile_images/962471262747529216/Uo8lOkRJ_normal.jpg","View")</f>
        <v>View</v>
      </c>
      <c r="P9675" s="7"/>
    </row>
    <row r="9676" spans="1:16">
      <c r="A9676" s="3">
        <v>44084.4059837963</v>
      </c>
      <c r="B9676" s="4" t="str">
        <f>HYPERLINK("https://twitter.com/petrogustavo","@petrogustavo")</f>
        <v>@petrogustavo</v>
      </c>
      <c r="C9676" s="5" t="s">
        <v>16</v>
      </c>
      <c r="D9676" s="5" t="s">
        <v>9312</v>
      </c>
      <c r="E9676" s="6" t="str">
        <f>HYPERLINK("https://twitter.com/petrogustavo/status/1303909720118431745","1303909720118431745")</f>
        <v>1303909720118431745</v>
      </c>
      <c r="F9676" s="7" t="s">
        <v>32</v>
      </c>
      <c r="G9676" s="7">
        <v>3960065</v>
      </c>
      <c r="H9676" s="7">
        <v>2434</v>
      </c>
      <c r="I9676" s="7">
        <v>231</v>
      </c>
      <c r="J9676" s="7">
        <v>463</v>
      </c>
      <c r="K9676" s="7" t="s">
        <v>18</v>
      </c>
      <c r="L9676" s="8">
        <v>39987.315405092595</v>
      </c>
      <c r="M9676" s="9" t="s">
        <v>19</v>
      </c>
      <c r="N9676" s="9" t="s">
        <v>20</v>
      </c>
      <c r="O9676" s="6" t="str">
        <f>HYPERLINK("https://pbs.twimg.com/profile_images/962471262747529216/Uo8lOkRJ_normal.jpg","View")</f>
        <v>View</v>
      </c>
      <c r="P9676" s="7"/>
    </row>
    <row r="9677" spans="1:16">
      <c r="A9677" s="3">
        <v>44084.408414351856</v>
      </c>
      <c r="B9677" s="4" t="str">
        <f>HYPERLINK("https://twitter.com/petrogustavo","@petrogustavo")</f>
        <v>@petrogustavo</v>
      </c>
      <c r="C9677" s="5" t="s">
        <v>16</v>
      </c>
      <c r="D9677" s="5" t="s">
        <v>9313</v>
      </c>
      <c r="E9677" s="6" t="str">
        <f>HYPERLINK("https://twitter.com/petrogustavo/status/1303910600217710592","1303910600217710592")</f>
        <v>1303910600217710592</v>
      </c>
      <c r="F9677" s="7" t="s">
        <v>32</v>
      </c>
      <c r="G9677" s="7">
        <v>3960616</v>
      </c>
      <c r="H9677" s="7">
        <v>2435</v>
      </c>
      <c r="I9677" s="7">
        <v>438</v>
      </c>
      <c r="J9677" s="7">
        <v>1667</v>
      </c>
      <c r="K9677" s="7" t="s">
        <v>18</v>
      </c>
      <c r="L9677" s="8">
        <v>39987.315405092595</v>
      </c>
      <c r="M9677" s="9" t="s">
        <v>19</v>
      </c>
      <c r="N9677" s="9" t="s">
        <v>20</v>
      </c>
      <c r="O9677" s="6" t="str">
        <f>HYPERLINK("https://pbs.twimg.com/profile_images/962471262747529216/Uo8lOkRJ_normal.jpg","View")</f>
        <v>View</v>
      </c>
      <c r="P9677" s="7"/>
    </row>
    <row r="9678" spans="1:16">
      <c r="A9678" s="3">
        <v>44084.409756944442</v>
      </c>
      <c r="B9678" s="4" t="str">
        <f>HYPERLINK("https://twitter.com/petrogustavo","@petrogustavo")</f>
        <v>@petrogustavo</v>
      </c>
      <c r="C9678" s="5" t="s">
        <v>16</v>
      </c>
      <c r="D9678" s="5" t="s">
        <v>9314</v>
      </c>
      <c r="E9678" s="6" t="str">
        <f>HYPERLINK("https://twitter.com/petrogustavo/status/1303911088656986112","1303911088656986112")</f>
        <v>1303911088656986112</v>
      </c>
      <c r="F9678" s="7" t="s">
        <v>32</v>
      </c>
      <c r="G9678" s="7">
        <v>3960616</v>
      </c>
      <c r="H9678" s="7">
        <v>2435</v>
      </c>
      <c r="I9678" s="7">
        <v>1003</v>
      </c>
      <c r="J9678" s="7">
        <v>3595</v>
      </c>
      <c r="K9678" s="7" t="s">
        <v>18</v>
      </c>
      <c r="L9678" s="8">
        <v>39987.315405092595</v>
      </c>
      <c r="M9678" s="9" t="s">
        <v>19</v>
      </c>
      <c r="N9678" s="9" t="s">
        <v>20</v>
      </c>
      <c r="O9678" s="6" t="str">
        <f>HYPERLINK("https://pbs.twimg.com/profile_images/962471262747529216/Uo8lOkRJ_normal.jpg","View")</f>
        <v>View</v>
      </c>
      <c r="P9678" s="7"/>
    </row>
    <row r="9679" spans="1:16">
      <c r="A9679" s="3">
        <v>44084.410497685181</v>
      </c>
      <c r="B9679" s="4" t="str">
        <f>HYPERLINK("https://twitter.com/petrogustavo","@petrogustavo")</f>
        <v>@petrogustavo</v>
      </c>
      <c r="C9679" s="5" t="s">
        <v>16</v>
      </c>
      <c r="D9679" s="5" t="s">
        <v>9315</v>
      </c>
      <c r="E9679" s="6" t="str">
        <f>HYPERLINK("https://twitter.com/petrogustavo/status/1303911355041427456","1303911355041427456")</f>
        <v>1303911355041427456</v>
      </c>
      <c r="F9679" s="7" t="s">
        <v>21</v>
      </c>
      <c r="G9679" s="7">
        <v>3960616</v>
      </c>
      <c r="H9679" s="7">
        <v>2435</v>
      </c>
      <c r="I9679" s="7">
        <v>588</v>
      </c>
      <c r="J9679" s="7">
        <v>1870</v>
      </c>
      <c r="K9679" s="7" t="s">
        <v>18</v>
      </c>
      <c r="L9679" s="8">
        <v>39987.315405092595</v>
      </c>
      <c r="M9679" s="9" t="s">
        <v>19</v>
      </c>
      <c r="N9679" s="9" t="s">
        <v>20</v>
      </c>
      <c r="O9679" s="6" t="str">
        <f>HYPERLINK("https://pbs.twimg.com/profile_images/962471262747529216/Uo8lOkRJ_normal.jpg","View")</f>
        <v>View</v>
      </c>
      <c r="P9679" s="7"/>
    </row>
    <row r="9680" spans="1:16">
      <c r="A9680" s="3">
        <v>44084.41407407407</v>
      </c>
      <c r="B9680" s="4" t="str">
        <f>HYPERLINK("https://twitter.com/petrogustavo","@petrogustavo")</f>
        <v>@petrogustavo</v>
      </c>
      <c r="C9680" s="5" t="s">
        <v>16</v>
      </c>
      <c r="D9680" s="5" t="s">
        <v>9316</v>
      </c>
      <c r="E9680" s="6" t="str">
        <f>HYPERLINK("https://twitter.com/petrogustavo/status/1303912653362999301","1303912653362999301")</f>
        <v>1303912653362999301</v>
      </c>
      <c r="F9680" s="7" t="s">
        <v>32</v>
      </c>
      <c r="G9680" s="7">
        <v>3960616</v>
      </c>
      <c r="H9680" s="7">
        <v>2435</v>
      </c>
      <c r="I9680" s="7">
        <v>1646</v>
      </c>
      <c r="J9680" s="7">
        <v>0</v>
      </c>
      <c r="K9680" s="7" t="s">
        <v>18</v>
      </c>
      <c r="L9680" s="8">
        <v>39987.315405092595</v>
      </c>
      <c r="M9680" s="9" t="s">
        <v>19</v>
      </c>
      <c r="N9680" s="9" t="s">
        <v>20</v>
      </c>
      <c r="O9680" s="6" t="str">
        <f>HYPERLINK("https://pbs.twimg.com/profile_images/962471262747529216/Uo8lOkRJ_normal.jpg","View")</f>
        <v>View</v>
      </c>
      <c r="P9680" s="7"/>
    </row>
    <row r="9681" spans="1:16">
      <c r="A9681" s="3">
        <v>44084.41569444444</v>
      </c>
      <c r="B9681" s="4" t="str">
        <f>HYPERLINK("https://twitter.com/petrogustavo","@petrogustavo")</f>
        <v>@petrogustavo</v>
      </c>
      <c r="C9681" s="5" t="s">
        <v>16</v>
      </c>
      <c r="D9681" s="5" t="s">
        <v>9317</v>
      </c>
      <c r="E9681" s="6" t="str">
        <f>HYPERLINK("https://twitter.com/petrogustavo/status/1303913238166482944","1303913238166482944")</f>
        <v>1303913238166482944</v>
      </c>
      <c r="F9681" s="7" t="s">
        <v>32</v>
      </c>
      <c r="G9681" s="7">
        <v>3960616</v>
      </c>
      <c r="H9681" s="7">
        <v>2435</v>
      </c>
      <c r="I9681" s="7">
        <v>271</v>
      </c>
      <c r="J9681" s="7">
        <v>0</v>
      </c>
      <c r="K9681" s="7" t="s">
        <v>18</v>
      </c>
      <c r="L9681" s="8">
        <v>39987.315405092595</v>
      </c>
      <c r="M9681" s="9" t="s">
        <v>19</v>
      </c>
      <c r="N9681" s="9" t="s">
        <v>20</v>
      </c>
      <c r="O9681" s="6" t="str">
        <f>HYPERLINK("https://pbs.twimg.com/profile_images/962471262747529216/Uo8lOkRJ_normal.jpg","View")</f>
        <v>View</v>
      </c>
      <c r="P9681" s="7"/>
    </row>
    <row r="9682" spans="1:16">
      <c r="A9682" s="3">
        <v>44084.416099537033</v>
      </c>
      <c r="B9682" s="4" t="str">
        <f>HYPERLINK("https://twitter.com/petrogustavo","@petrogustavo")</f>
        <v>@petrogustavo</v>
      </c>
      <c r="C9682" s="5" t="s">
        <v>16</v>
      </c>
      <c r="D9682" s="5" t="s">
        <v>9318</v>
      </c>
      <c r="E9682" s="6" t="str">
        <f>HYPERLINK("https://twitter.com/petrogustavo/status/1303913384472178688","1303913384472178688")</f>
        <v>1303913384472178688</v>
      </c>
      <c r="F9682" s="7" t="s">
        <v>32</v>
      </c>
      <c r="G9682" s="7">
        <v>3960616</v>
      </c>
      <c r="H9682" s="7">
        <v>2435</v>
      </c>
      <c r="I9682" s="7">
        <v>588</v>
      </c>
      <c r="J9682" s="7">
        <v>0</v>
      </c>
      <c r="K9682" s="7" t="s">
        <v>18</v>
      </c>
      <c r="L9682" s="8">
        <v>39987.315405092595</v>
      </c>
      <c r="M9682" s="9" t="s">
        <v>19</v>
      </c>
      <c r="N9682" s="9" t="s">
        <v>20</v>
      </c>
      <c r="O9682" s="6" t="str">
        <f>HYPERLINK("https://pbs.twimg.com/profile_images/962471262747529216/Uo8lOkRJ_normal.jpg","View")</f>
        <v>View</v>
      </c>
      <c r="P9682" s="7"/>
    </row>
    <row r="9683" spans="1:16">
      <c r="A9683" s="3">
        <v>44084.420393518521</v>
      </c>
      <c r="B9683" s="4" t="str">
        <f>HYPERLINK("https://twitter.com/petrogustavo","@petrogustavo")</f>
        <v>@petrogustavo</v>
      </c>
      <c r="C9683" s="5" t="s">
        <v>16</v>
      </c>
      <c r="D9683" s="5" t="s">
        <v>9319</v>
      </c>
      <c r="E9683" s="6" t="str">
        <f>HYPERLINK("https://twitter.com/petrogustavo/status/1303914940684787713","1303914940684787713")</f>
        <v>1303914940684787713</v>
      </c>
      <c r="F9683" s="7" t="s">
        <v>32</v>
      </c>
      <c r="G9683" s="7">
        <v>3960616</v>
      </c>
      <c r="H9683" s="7">
        <v>2435</v>
      </c>
      <c r="I9683" s="7">
        <v>1153</v>
      </c>
      <c r="J9683" s="7">
        <v>0</v>
      </c>
      <c r="K9683" s="7" t="s">
        <v>18</v>
      </c>
      <c r="L9683" s="8">
        <v>39987.315405092595</v>
      </c>
      <c r="M9683" s="9" t="s">
        <v>19</v>
      </c>
      <c r="N9683" s="9" t="s">
        <v>20</v>
      </c>
      <c r="O9683" s="6" t="str">
        <f>HYPERLINK("https://pbs.twimg.com/profile_images/962471262747529216/Uo8lOkRJ_normal.jpg","View")</f>
        <v>View</v>
      </c>
      <c r="P9683" s="7"/>
    </row>
    <row r="9684" spans="1:16">
      <c r="A9684" s="3">
        <v>44084.420752314814</v>
      </c>
      <c r="B9684" s="4" t="str">
        <f>HYPERLINK("https://twitter.com/petrogustavo","@petrogustavo")</f>
        <v>@petrogustavo</v>
      </c>
      <c r="C9684" s="5" t="s">
        <v>16</v>
      </c>
      <c r="D9684" s="5" t="s">
        <v>9320</v>
      </c>
      <c r="E9684" s="6" t="str">
        <f>HYPERLINK("https://twitter.com/petrogustavo/status/1303915074508161024","1303915074508161024")</f>
        <v>1303915074508161024</v>
      </c>
      <c r="F9684" s="7" t="s">
        <v>32</v>
      </c>
      <c r="G9684" s="7">
        <v>3960616</v>
      </c>
      <c r="H9684" s="7">
        <v>2435</v>
      </c>
      <c r="I9684" s="7">
        <v>2040</v>
      </c>
      <c r="J9684" s="7">
        <v>0</v>
      </c>
      <c r="K9684" s="7" t="s">
        <v>18</v>
      </c>
      <c r="L9684" s="8">
        <v>39987.315405092595</v>
      </c>
      <c r="M9684" s="9" t="s">
        <v>19</v>
      </c>
      <c r="N9684" s="9" t="s">
        <v>20</v>
      </c>
      <c r="O9684" s="6" t="str">
        <f>HYPERLINK("https://pbs.twimg.com/profile_images/962471262747529216/Uo8lOkRJ_normal.jpg","View")</f>
        <v>View</v>
      </c>
      <c r="P9684" s="7"/>
    </row>
    <row r="9685" spans="1:16">
      <c r="A9685" s="3">
        <v>44084.423310185186</v>
      </c>
      <c r="B9685" s="4" t="str">
        <f>HYPERLINK("https://twitter.com/petrogustavo","@petrogustavo")</f>
        <v>@petrogustavo</v>
      </c>
      <c r="C9685" s="5" t="s">
        <v>16</v>
      </c>
      <c r="D9685" s="5" t="s">
        <v>9321</v>
      </c>
      <c r="E9685" s="6" t="str">
        <f>HYPERLINK("https://twitter.com/petrogustavo/status/1303916000186859520","1303916000186859520")</f>
        <v>1303916000186859520</v>
      </c>
      <c r="F9685" s="7" t="s">
        <v>32</v>
      </c>
      <c r="G9685" s="7">
        <v>3960616</v>
      </c>
      <c r="H9685" s="7">
        <v>2435</v>
      </c>
      <c r="I9685" s="7">
        <v>529</v>
      </c>
      <c r="J9685" s="7">
        <v>1023</v>
      </c>
      <c r="K9685" s="7" t="s">
        <v>18</v>
      </c>
      <c r="L9685" s="8">
        <v>39987.315405092595</v>
      </c>
      <c r="M9685" s="9" t="s">
        <v>19</v>
      </c>
      <c r="N9685" s="9" t="s">
        <v>20</v>
      </c>
      <c r="O9685" s="6" t="str">
        <f>HYPERLINK("https://pbs.twimg.com/profile_images/962471262747529216/Uo8lOkRJ_normal.jpg","View")</f>
        <v>View</v>
      </c>
      <c r="P9685" s="7"/>
    </row>
    <row r="9686" spans="1:16">
      <c r="A9686" s="3">
        <v>44084.42759259259</v>
      </c>
      <c r="B9686" s="4" t="str">
        <f>HYPERLINK("https://twitter.com/petrogustavo","@petrogustavo")</f>
        <v>@petrogustavo</v>
      </c>
      <c r="C9686" s="5" t="s">
        <v>16</v>
      </c>
      <c r="D9686" s="5" t="s">
        <v>9322</v>
      </c>
      <c r="E9686" s="6" t="str">
        <f>HYPERLINK("https://twitter.com/petrogustavo/status/1303917552138100736","1303917552138100736")</f>
        <v>1303917552138100736</v>
      </c>
      <c r="F9686" s="7" t="s">
        <v>32</v>
      </c>
      <c r="G9686" s="7">
        <v>3960616</v>
      </c>
      <c r="H9686" s="7">
        <v>2435</v>
      </c>
      <c r="I9686" s="7">
        <v>82</v>
      </c>
      <c r="J9686" s="7">
        <v>206</v>
      </c>
      <c r="K9686" s="7" t="s">
        <v>18</v>
      </c>
      <c r="L9686" s="8">
        <v>39987.315405092595</v>
      </c>
      <c r="M9686" s="9" t="s">
        <v>19</v>
      </c>
      <c r="N9686" s="9" t="s">
        <v>20</v>
      </c>
      <c r="O9686" s="6" t="str">
        <f>HYPERLINK("https://pbs.twimg.com/profile_images/962471262747529216/Uo8lOkRJ_normal.jpg","View")</f>
        <v>View</v>
      </c>
      <c r="P9686" s="7"/>
    </row>
    <row r="9687" spans="1:16">
      <c r="A9687" s="3">
        <v>44084.428576388891</v>
      </c>
      <c r="B9687" s="4" t="str">
        <f>HYPERLINK("https://twitter.com/petrogustavo","@petrogustavo")</f>
        <v>@petrogustavo</v>
      </c>
      <c r="C9687" s="5" t="s">
        <v>16</v>
      </c>
      <c r="D9687" s="5" t="s">
        <v>9323</v>
      </c>
      <c r="E9687" s="6" t="str">
        <f>HYPERLINK("https://twitter.com/petrogustavo/status/1303917905709617156","1303917905709617156")</f>
        <v>1303917905709617156</v>
      </c>
      <c r="F9687" s="7" t="s">
        <v>32</v>
      </c>
      <c r="G9687" s="7">
        <v>3960616</v>
      </c>
      <c r="H9687" s="7">
        <v>2435</v>
      </c>
      <c r="I9687" s="7">
        <v>529</v>
      </c>
      <c r="J9687" s="7">
        <v>0</v>
      </c>
      <c r="K9687" s="7" t="s">
        <v>18</v>
      </c>
      <c r="L9687" s="8">
        <v>39987.315405092595</v>
      </c>
      <c r="M9687" s="9" t="s">
        <v>19</v>
      </c>
      <c r="N9687" s="9" t="s">
        <v>20</v>
      </c>
      <c r="O9687" s="6" t="str">
        <f>HYPERLINK("https://pbs.twimg.com/profile_images/962471262747529216/Uo8lOkRJ_normal.jpg","View")</f>
        <v>View</v>
      </c>
      <c r="P9687" s="7"/>
    </row>
    <row r="9688" spans="1:16">
      <c r="A9688" s="3">
        <v>44084.434421296297</v>
      </c>
      <c r="B9688" s="4" t="str">
        <f>HYPERLINK("https://twitter.com/petrogustavo","@petrogustavo")</f>
        <v>@petrogustavo</v>
      </c>
      <c r="C9688" s="5" t="s">
        <v>16</v>
      </c>
      <c r="D9688" s="5" t="s">
        <v>9324</v>
      </c>
      <c r="E9688" s="6" t="str">
        <f>HYPERLINK("https://twitter.com/petrogustavo/status/1303920024680357888","1303920024680357888")</f>
        <v>1303920024680357888</v>
      </c>
      <c r="F9688" s="7" t="s">
        <v>32</v>
      </c>
      <c r="G9688" s="7">
        <v>3961083</v>
      </c>
      <c r="H9688" s="7">
        <v>2435</v>
      </c>
      <c r="I9688" s="7">
        <v>832</v>
      </c>
      <c r="J9688" s="7">
        <v>1429</v>
      </c>
      <c r="K9688" s="7" t="s">
        <v>18</v>
      </c>
      <c r="L9688" s="8">
        <v>39987.315405092595</v>
      </c>
      <c r="M9688" s="9" t="s">
        <v>19</v>
      </c>
      <c r="N9688" s="9" t="s">
        <v>20</v>
      </c>
      <c r="O9688" s="6" t="str">
        <f>HYPERLINK("https://pbs.twimg.com/profile_images/962471262747529216/Uo8lOkRJ_normal.jpg","View")</f>
        <v>View</v>
      </c>
      <c r="P9688" s="7"/>
    </row>
    <row r="9689" spans="1:16">
      <c r="A9689" s="3">
        <v>44084.437395833331</v>
      </c>
      <c r="B9689" s="4" t="str">
        <f>HYPERLINK("https://twitter.com/petrogustavo","@petrogustavo")</f>
        <v>@petrogustavo</v>
      </c>
      <c r="C9689" s="5" t="s">
        <v>16</v>
      </c>
      <c r="D9689" s="5" t="s">
        <v>9318</v>
      </c>
      <c r="E9689" s="6" t="str">
        <f>HYPERLINK("https://twitter.com/petrogustavo/status/1303921104638160896","1303921104638160896")</f>
        <v>1303921104638160896</v>
      </c>
      <c r="F9689" s="7" t="s">
        <v>32</v>
      </c>
      <c r="G9689" s="7">
        <v>3961083</v>
      </c>
      <c r="H9689" s="7">
        <v>2435</v>
      </c>
      <c r="I9689" s="7">
        <v>840</v>
      </c>
      <c r="J9689" s="7">
        <v>0</v>
      </c>
      <c r="K9689" s="7" t="s">
        <v>18</v>
      </c>
      <c r="L9689" s="8">
        <v>39987.315405092595</v>
      </c>
      <c r="M9689" s="9" t="s">
        <v>19</v>
      </c>
      <c r="N9689" s="9" t="s">
        <v>20</v>
      </c>
      <c r="O9689" s="6" t="str">
        <f>HYPERLINK("https://pbs.twimg.com/profile_images/962471262747529216/Uo8lOkRJ_normal.jpg","View")</f>
        <v>View</v>
      </c>
      <c r="P9689" s="7"/>
    </row>
    <row r="9690" spans="1:16">
      <c r="A9690" s="3">
        <v>44084.680266203708</v>
      </c>
      <c r="B9690" s="4" t="str">
        <f>HYPERLINK("https://twitter.com/petrogustavo","@petrogustavo")</f>
        <v>@petrogustavo</v>
      </c>
      <c r="C9690" s="5" t="s">
        <v>16</v>
      </c>
      <c r="D9690" s="5" t="s">
        <v>9325</v>
      </c>
      <c r="E9690" s="6" t="str">
        <f>HYPERLINK("https://twitter.com/petrogustavo/status/1304009117200195591","1304009117200195591")</f>
        <v>1304009117200195591</v>
      </c>
      <c r="F9690" s="7" t="s">
        <v>32</v>
      </c>
      <c r="G9690" s="7">
        <v>3962258</v>
      </c>
      <c r="H9690" s="7">
        <v>2435</v>
      </c>
      <c r="I9690" s="7">
        <v>638</v>
      </c>
      <c r="J9690" s="7">
        <v>0</v>
      </c>
      <c r="K9690" s="7" t="s">
        <v>18</v>
      </c>
      <c r="L9690" s="8">
        <v>39987.315405092595</v>
      </c>
      <c r="M9690" s="9" t="s">
        <v>19</v>
      </c>
      <c r="N9690" s="9" t="s">
        <v>20</v>
      </c>
      <c r="O9690" s="6" t="str">
        <f>HYPERLINK("https://pbs.twimg.com/profile_images/962471262747529216/Uo8lOkRJ_normal.jpg","View")</f>
        <v>View</v>
      </c>
      <c r="P9690" s="7"/>
    </row>
    <row r="9691" spans="1:16">
      <c r="A9691" s="3">
        <v>44084.68068287037</v>
      </c>
      <c r="B9691" s="4" t="str">
        <f>HYPERLINK("https://twitter.com/petrogustavo","@petrogustavo")</f>
        <v>@petrogustavo</v>
      </c>
      <c r="C9691" s="5" t="s">
        <v>16</v>
      </c>
      <c r="D9691" s="5" t="s">
        <v>9318</v>
      </c>
      <c r="E9691" s="6" t="str">
        <f>HYPERLINK("https://twitter.com/petrogustavo/status/1304009266135793666","1304009266135793666")</f>
        <v>1304009266135793666</v>
      </c>
      <c r="F9691" s="7" t="s">
        <v>32</v>
      </c>
      <c r="G9691" s="7">
        <v>3962258</v>
      </c>
      <c r="H9691" s="7">
        <v>2435</v>
      </c>
      <c r="I9691" s="7">
        <v>1491</v>
      </c>
      <c r="J9691" s="7">
        <v>0</v>
      </c>
      <c r="K9691" s="7" t="s">
        <v>18</v>
      </c>
      <c r="L9691" s="8">
        <v>39987.315405092595</v>
      </c>
      <c r="M9691" s="9" t="s">
        <v>19</v>
      </c>
      <c r="N9691" s="9" t="s">
        <v>20</v>
      </c>
      <c r="O9691" s="6" t="str">
        <f>HYPERLINK("https://pbs.twimg.com/profile_images/962471262747529216/Uo8lOkRJ_normal.jpg","View")</f>
        <v>View</v>
      </c>
      <c r="P9691" s="7"/>
    </row>
    <row r="9692" spans="1:16">
      <c r="A9692" s="3">
        <v>44084.716967592598</v>
      </c>
      <c r="B9692" s="4" t="str">
        <f>HYPERLINK("https://twitter.com/petrogustavo","@petrogustavo")</f>
        <v>@petrogustavo</v>
      </c>
      <c r="C9692" s="5" t="s">
        <v>16</v>
      </c>
      <c r="D9692" s="5" t="s">
        <v>9326</v>
      </c>
      <c r="E9692" s="6" t="str">
        <f>HYPERLINK("https://twitter.com/petrogustavo/status/1304022417476595712","1304022417476595712")</f>
        <v>1304022417476595712</v>
      </c>
      <c r="F9692" s="7" t="s">
        <v>17</v>
      </c>
      <c r="G9692" s="7">
        <v>3962326</v>
      </c>
      <c r="H9692" s="7">
        <v>2435</v>
      </c>
      <c r="I9692" s="7">
        <v>240</v>
      </c>
      <c r="J9692" s="7">
        <v>740</v>
      </c>
      <c r="K9692" s="7" t="s">
        <v>18</v>
      </c>
      <c r="L9692" s="8">
        <v>39987.315405092595</v>
      </c>
      <c r="M9692" s="9" t="s">
        <v>19</v>
      </c>
      <c r="N9692" s="9" t="s">
        <v>20</v>
      </c>
      <c r="O9692" s="6" t="str">
        <f>HYPERLINK("https://pbs.twimg.com/profile_images/962471262747529216/Uo8lOkRJ_normal.jpg","View")</f>
        <v>View</v>
      </c>
      <c r="P9692" s="7"/>
    </row>
    <row r="9693" spans="1:16">
      <c r="A9693" s="3">
        <v>44084.719687500001</v>
      </c>
      <c r="B9693" s="4" t="str">
        <f>HYPERLINK("https://twitter.com/petrogustavo","@petrogustavo")</f>
        <v>@petrogustavo</v>
      </c>
      <c r="C9693" s="5" t="s">
        <v>16</v>
      </c>
      <c r="D9693" s="5" t="s">
        <v>9327</v>
      </c>
      <c r="E9693" s="6" t="str">
        <f>HYPERLINK("https://twitter.com/petrogustavo/status/1304023402911608832","1304023402911608832")</f>
        <v>1304023402911608832</v>
      </c>
      <c r="F9693" s="7" t="s">
        <v>17</v>
      </c>
      <c r="G9693" s="7">
        <v>3962326</v>
      </c>
      <c r="H9693" s="7">
        <v>2435</v>
      </c>
      <c r="I9693" s="7">
        <v>30</v>
      </c>
      <c r="J9693" s="7">
        <v>73</v>
      </c>
      <c r="K9693" s="7" t="s">
        <v>18</v>
      </c>
      <c r="L9693" s="8">
        <v>39987.315405092595</v>
      </c>
      <c r="M9693" s="9" t="s">
        <v>19</v>
      </c>
      <c r="N9693" s="9" t="s">
        <v>20</v>
      </c>
      <c r="O9693" s="6" t="str">
        <f>HYPERLINK("https://pbs.twimg.com/profile_images/962471262747529216/Uo8lOkRJ_normal.jpg","View")</f>
        <v>View</v>
      </c>
      <c r="P9693" s="7"/>
    </row>
    <row r="9694" spans="1:16">
      <c r="A9694" s="3">
        <v>44084.721643518518</v>
      </c>
      <c r="B9694" s="4" t="str">
        <f>HYPERLINK("https://twitter.com/petrogustavo","@petrogustavo")</f>
        <v>@petrogustavo</v>
      </c>
      <c r="C9694" s="5" t="s">
        <v>16</v>
      </c>
      <c r="D9694" s="5" t="s">
        <v>9328</v>
      </c>
      <c r="E9694" s="6" t="str">
        <f>HYPERLINK("https://twitter.com/petrogustavo/status/1304024111027490817","1304024111027490817")</f>
        <v>1304024111027490817</v>
      </c>
      <c r="F9694" s="7" t="s">
        <v>17</v>
      </c>
      <c r="G9694" s="7">
        <v>3962450</v>
      </c>
      <c r="H9694" s="7">
        <v>2435</v>
      </c>
      <c r="I9694" s="7">
        <v>433</v>
      </c>
      <c r="J9694" s="7">
        <v>0</v>
      </c>
      <c r="K9694" s="7" t="s">
        <v>18</v>
      </c>
      <c r="L9694" s="8">
        <v>39987.315405092595</v>
      </c>
      <c r="M9694" s="9" t="s">
        <v>19</v>
      </c>
      <c r="N9694" s="9" t="s">
        <v>20</v>
      </c>
      <c r="O9694" s="6" t="str">
        <f>HYPERLINK("https://pbs.twimg.com/profile_images/962471262747529216/Uo8lOkRJ_normal.jpg","View")</f>
        <v>View</v>
      </c>
      <c r="P9694" s="7"/>
    </row>
    <row r="9695" spans="1:16">
      <c r="A9695" s="3">
        <v>44084.722314814819</v>
      </c>
      <c r="B9695" s="4" t="str">
        <f>HYPERLINK("https://twitter.com/petrogustavo","@petrogustavo")</f>
        <v>@petrogustavo</v>
      </c>
      <c r="C9695" s="5" t="s">
        <v>16</v>
      </c>
      <c r="D9695" s="5" t="s">
        <v>9329</v>
      </c>
      <c r="E9695" s="6" t="str">
        <f>HYPERLINK("https://twitter.com/petrogustavo/status/1304024356188811267","1304024356188811267")</f>
        <v>1304024356188811267</v>
      </c>
      <c r="F9695" s="7" t="s">
        <v>17</v>
      </c>
      <c r="G9695" s="7">
        <v>3962450</v>
      </c>
      <c r="H9695" s="7">
        <v>2435</v>
      </c>
      <c r="I9695" s="7">
        <v>724</v>
      </c>
      <c r="J9695" s="7">
        <v>0</v>
      </c>
      <c r="K9695" s="7" t="s">
        <v>18</v>
      </c>
      <c r="L9695" s="8">
        <v>39987.315405092595</v>
      </c>
      <c r="M9695" s="9" t="s">
        <v>19</v>
      </c>
      <c r="N9695" s="9" t="s">
        <v>20</v>
      </c>
      <c r="O9695" s="6" t="str">
        <f>HYPERLINK("https://pbs.twimg.com/profile_images/962471262747529216/Uo8lOkRJ_normal.jpg","View")</f>
        <v>View</v>
      </c>
      <c r="P9695" s="7"/>
    </row>
    <row r="9696" spans="1:16">
      <c r="A9696" s="3">
        <v>44084.742303240739</v>
      </c>
      <c r="B9696" s="4" t="str">
        <f>HYPERLINK("https://twitter.com/petrogustavo","@petrogustavo")</f>
        <v>@petrogustavo</v>
      </c>
      <c r="C9696" s="5" t="s">
        <v>16</v>
      </c>
      <c r="D9696" s="5" t="s">
        <v>9330</v>
      </c>
      <c r="E9696" s="6" t="str">
        <f>HYPERLINK("https://twitter.com/petrogustavo/status/1304031597340037120","1304031597340037120")</f>
        <v>1304031597340037120</v>
      </c>
      <c r="F9696" s="7" t="s">
        <v>17</v>
      </c>
      <c r="G9696" s="7">
        <v>3962639</v>
      </c>
      <c r="H9696" s="7">
        <v>2435</v>
      </c>
      <c r="I9696" s="7">
        <v>306</v>
      </c>
      <c r="J9696" s="7">
        <v>741</v>
      </c>
      <c r="K9696" s="7" t="s">
        <v>18</v>
      </c>
      <c r="L9696" s="8">
        <v>39987.315405092595</v>
      </c>
      <c r="M9696" s="9" t="s">
        <v>19</v>
      </c>
      <c r="N9696" s="9" t="s">
        <v>20</v>
      </c>
      <c r="O9696" s="6" t="str">
        <f>HYPERLINK("https://pbs.twimg.com/profile_images/962471262747529216/Uo8lOkRJ_normal.jpg","View")</f>
        <v>View</v>
      </c>
      <c r="P9696" s="7"/>
    </row>
    <row r="9697" spans="1:16">
      <c r="A9697" s="3">
        <v>44084.747314814813</v>
      </c>
      <c r="B9697" s="4" t="str">
        <f>HYPERLINK("https://twitter.com/petrogustavo","@petrogustavo")</f>
        <v>@petrogustavo</v>
      </c>
      <c r="C9697" s="5" t="s">
        <v>16</v>
      </c>
      <c r="D9697" s="5" t="s">
        <v>9331</v>
      </c>
      <c r="E9697" s="6" t="str">
        <f>HYPERLINK("https://twitter.com/petrogustavo/status/1304033414597799941","1304033414597799941")</f>
        <v>1304033414597799941</v>
      </c>
      <c r="F9697" s="7" t="s">
        <v>17</v>
      </c>
      <c r="G9697" s="7">
        <v>3962639</v>
      </c>
      <c r="H9697" s="7">
        <v>2435</v>
      </c>
      <c r="I9697" s="7">
        <v>913</v>
      </c>
      <c r="J9697" s="7">
        <v>2561</v>
      </c>
      <c r="K9697" s="7" t="s">
        <v>18</v>
      </c>
      <c r="L9697" s="8">
        <v>39987.315405092595</v>
      </c>
      <c r="M9697" s="9" t="s">
        <v>19</v>
      </c>
      <c r="N9697" s="9" t="s">
        <v>20</v>
      </c>
      <c r="O9697" s="6" t="str">
        <f>HYPERLINK("https://pbs.twimg.com/profile_images/962471262747529216/Uo8lOkRJ_normal.jpg","View")</f>
        <v>View</v>
      </c>
      <c r="P9697" s="7"/>
    </row>
    <row r="9698" spans="1:16">
      <c r="A9698" s="3">
        <v>44084.750231481477</v>
      </c>
      <c r="B9698" s="4" t="str">
        <f>HYPERLINK("https://twitter.com/petrogustavo","@petrogustavo")</f>
        <v>@petrogustavo</v>
      </c>
      <c r="C9698" s="5" t="s">
        <v>16</v>
      </c>
      <c r="D9698" s="5" t="s">
        <v>9332</v>
      </c>
      <c r="E9698" s="6" t="str">
        <f>HYPERLINK("https://twitter.com/petrogustavo/status/1304034472384495616","1304034472384495616")</f>
        <v>1304034472384495616</v>
      </c>
      <c r="F9698" s="7" t="s">
        <v>17</v>
      </c>
      <c r="G9698" s="7">
        <v>3962639</v>
      </c>
      <c r="H9698" s="7">
        <v>2435</v>
      </c>
      <c r="I9698" s="7">
        <v>260</v>
      </c>
      <c r="J9698" s="7">
        <v>874</v>
      </c>
      <c r="K9698" s="7" t="s">
        <v>18</v>
      </c>
      <c r="L9698" s="8">
        <v>39987.315405092595</v>
      </c>
      <c r="M9698" s="9" t="s">
        <v>19</v>
      </c>
      <c r="N9698" s="9" t="s">
        <v>20</v>
      </c>
      <c r="O9698" s="6" t="str">
        <f>HYPERLINK("https://pbs.twimg.com/profile_images/962471262747529216/Uo8lOkRJ_normal.jpg","View")</f>
        <v>View</v>
      </c>
      <c r="P9698" s="7"/>
    </row>
    <row r="9699" spans="1:16">
      <c r="A9699" s="3">
        <v>44084.837164351848</v>
      </c>
      <c r="B9699" s="4" t="str">
        <f>HYPERLINK("https://twitter.com/petrogustavo","@petrogustavo")</f>
        <v>@petrogustavo</v>
      </c>
      <c r="C9699" s="5" t="s">
        <v>16</v>
      </c>
      <c r="D9699" s="5" t="s">
        <v>9333</v>
      </c>
      <c r="E9699" s="6" t="str">
        <f>HYPERLINK("https://twitter.com/petrogustavo/status/1304065976619597824","1304065976619597824")</f>
        <v>1304065976619597824</v>
      </c>
      <c r="F9699" s="7" t="s">
        <v>17</v>
      </c>
      <c r="G9699" s="7">
        <v>3963581</v>
      </c>
      <c r="H9699" s="7">
        <v>2435</v>
      </c>
      <c r="I9699" s="7">
        <v>309</v>
      </c>
      <c r="J9699" s="7">
        <v>674</v>
      </c>
      <c r="K9699" s="7" t="s">
        <v>18</v>
      </c>
      <c r="L9699" s="8">
        <v>39987.315405092595</v>
      </c>
      <c r="M9699" s="9" t="s">
        <v>19</v>
      </c>
      <c r="N9699" s="9" t="s">
        <v>20</v>
      </c>
      <c r="O9699" s="6" t="str">
        <f>HYPERLINK("https://pbs.twimg.com/profile_images/962471262747529216/Uo8lOkRJ_normal.jpg","View")</f>
        <v>View</v>
      </c>
      <c r="P9699" s="7"/>
    </row>
    <row r="9700" spans="1:16">
      <c r="A9700" s="3">
        <v>44084.842349537037</v>
      </c>
      <c r="B9700" s="4" t="str">
        <f>HYPERLINK("https://twitter.com/petrogustavo","@petrogustavo")</f>
        <v>@petrogustavo</v>
      </c>
      <c r="C9700" s="5" t="s">
        <v>16</v>
      </c>
      <c r="D9700" s="5" t="s">
        <v>9334</v>
      </c>
      <c r="E9700" s="6" t="str">
        <f>HYPERLINK("https://twitter.com/petrogustavo/status/1304067854896107520","1304067854896107520")</f>
        <v>1304067854896107520</v>
      </c>
      <c r="F9700" s="7" t="s">
        <v>17</v>
      </c>
      <c r="G9700" s="7">
        <v>3963581</v>
      </c>
      <c r="H9700" s="7">
        <v>2435</v>
      </c>
      <c r="I9700" s="7">
        <v>363</v>
      </c>
      <c r="J9700" s="7">
        <v>1060</v>
      </c>
      <c r="K9700" s="7" t="s">
        <v>18</v>
      </c>
      <c r="L9700" s="8">
        <v>39987.315405092595</v>
      </c>
      <c r="M9700" s="9" t="s">
        <v>19</v>
      </c>
      <c r="N9700" s="9" t="s">
        <v>20</v>
      </c>
      <c r="O9700" s="6" t="str">
        <f>HYPERLINK("https://pbs.twimg.com/profile_images/962471262747529216/Uo8lOkRJ_normal.jpg","View")</f>
        <v>View</v>
      </c>
      <c r="P9700" s="7"/>
    </row>
    <row r="9701" spans="1:16">
      <c r="A9701" s="3">
        <v>44084.848287037035</v>
      </c>
      <c r="B9701" s="4" t="str">
        <f>HYPERLINK("https://twitter.com/petrogustavo","@petrogustavo")</f>
        <v>@petrogustavo</v>
      </c>
      <c r="C9701" s="5" t="s">
        <v>16</v>
      </c>
      <c r="D9701" s="5" t="s">
        <v>9335</v>
      </c>
      <c r="E9701" s="6" t="str">
        <f>HYPERLINK("https://twitter.com/petrogustavo/status/1304070006318268417","1304070006318268417")</f>
        <v>1304070006318268417</v>
      </c>
      <c r="F9701" s="7" t="s">
        <v>17</v>
      </c>
      <c r="G9701" s="7">
        <v>3963836</v>
      </c>
      <c r="H9701" s="7">
        <v>2435</v>
      </c>
      <c r="I9701" s="7">
        <v>666</v>
      </c>
      <c r="J9701" s="7">
        <v>1951</v>
      </c>
      <c r="K9701" s="7" t="s">
        <v>18</v>
      </c>
      <c r="L9701" s="8">
        <v>39987.315405092595</v>
      </c>
      <c r="M9701" s="9" t="s">
        <v>19</v>
      </c>
      <c r="N9701" s="9" t="s">
        <v>20</v>
      </c>
      <c r="O9701" s="6" t="str">
        <f>HYPERLINK("https://pbs.twimg.com/profile_images/962471262747529216/Uo8lOkRJ_normal.jpg","View")</f>
        <v>View</v>
      </c>
      <c r="P9701" s="7"/>
    </row>
    <row r="9702" spans="1:16">
      <c r="A9702" s="3">
        <v>44084.853854166664</v>
      </c>
      <c r="B9702" s="4" t="str">
        <f>HYPERLINK("https://twitter.com/petrogustavo","@petrogustavo")</f>
        <v>@petrogustavo</v>
      </c>
      <c r="C9702" s="5" t="s">
        <v>16</v>
      </c>
      <c r="D9702" s="5" t="s">
        <v>9336</v>
      </c>
      <c r="E9702" s="6" t="str">
        <f>HYPERLINK("https://twitter.com/petrogustavo/status/1304072022113345539","1304072022113345539")</f>
        <v>1304072022113345539</v>
      </c>
      <c r="F9702" s="7" t="s">
        <v>17</v>
      </c>
      <c r="G9702" s="7">
        <v>3963836</v>
      </c>
      <c r="H9702" s="7">
        <v>2435</v>
      </c>
      <c r="I9702" s="7">
        <v>260</v>
      </c>
      <c r="J9702" s="7">
        <v>662</v>
      </c>
      <c r="K9702" s="7" t="s">
        <v>18</v>
      </c>
      <c r="L9702" s="8">
        <v>39987.315405092595</v>
      </c>
      <c r="M9702" s="9" t="s">
        <v>19</v>
      </c>
      <c r="N9702" s="9" t="s">
        <v>20</v>
      </c>
      <c r="O9702" s="6" t="str">
        <f>HYPERLINK("https://pbs.twimg.com/profile_images/962471262747529216/Uo8lOkRJ_normal.jpg","View")</f>
        <v>View</v>
      </c>
      <c r="P9702" s="7"/>
    </row>
    <row r="9703" spans="1:16">
      <c r="A9703" s="3">
        <v>44084.855150462958</v>
      </c>
      <c r="B9703" s="4" t="str">
        <f>HYPERLINK("https://twitter.com/petrogustavo","@petrogustavo")</f>
        <v>@petrogustavo</v>
      </c>
      <c r="C9703" s="5" t="s">
        <v>16</v>
      </c>
      <c r="D9703" s="5" t="s">
        <v>9337</v>
      </c>
      <c r="E9703" s="6" t="str">
        <f>HYPERLINK("https://twitter.com/petrogustavo/status/1304072494379397125","1304072494379397125")</f>
        <v>1304072494379397125</v>
      </c>
      <c r="F9703" s="7" t="s">
        <v>17</v>
      </c>
      <c r="G9703" s="7">
        <v>3963836</v>
      </c>
      <c r="H9703" s="7">
        <v>2435</v>
      </c>
      <c r="I9703" s="7">
        <v>666</v>
      </c>
      <c r="J9703" s="7">
        <v>0</v>
      </c>
      <c r="K9703" s="7" t="s">
        <v>18</v>
      </c>
      <c r="L9703" s="8">
        <v>39987.315405092595</v>
      </c>
      <c r="M9703" s="9" t="s">
        <v>19</v>
      </c>
      <c r="N9703" s="9" t="s">
        <v>20</v>
      </c>
      <c r="O9703" s="6" t="str">
        <f>HYPERLINK("https://pbs.twimg.com/profile_images/962471262747529216/Uo8lOkRJ_normal.jpg","View")</f>
        <v>View</v>
      </c>
      <c r="P9703" s="7"/>
    </row>
    <row r="9704" spans="1:16">
      <c r="A9704" s="3">
        <v>44084.861215277779</v>
      </c>
      <c r="B9704" s="4" t="str">
        <f>HYPERLINK("https://twitter.com/petrogustavo","@petrogustavo")</f>
        <v>@petrogustavo</v>
      </c>
      <c r="C9704" s="5" t="s">
        <v>16</v>
      </c>
      <c r="D9704" s="5" t="s">
        <v>9338</v>
      </c>
      <c r="E9704" s="6" t="str">
        <f>HYPERLINK("https://twitter.com/petrogustavo/status/1304074689984311297","1304074689984311297")</f>
        <v>1304074689984311297</v>
      </c>
      <c r="F9704" s="7" t="s">
        <v>17</v>
      </c>
      <c r="G9704" s="7">
        <v>3963836</v>
      </c>
      <c r="H9704" s="7">
        <v>2435</v>
      </c>
      <c r="I9704" s="7">
        <v>240</v>
      </c>
      <c r="J9704" s="7">
        <v>537</v>
      </c>
      <c r="K9704" s="7" t="s">
        <v>18</v>
      </c>
      <c r="L9704" s="8">
        <v>39987.315405092595</v>
      </c>
      <c r="M9704" s="9" t="s">
        <v>19</v>
      </c>
      <c r="N9704" s="9" t="s">
        <v>20</v>
      </c>
      <c r="O9704" s="6" t="str">
        <f>HYPERLINK("https://pbs.twimg.com/profile_images/962471262747529216/Uo8lOkRJ_normal.jpg","View")</f>
        <v>View</v>
      </c>
      <c r="P9704" s="7"/>
    </row>
    <row r="9705" spans="1:16">
      <c r="A9705" s="3">
        <v>44084.862326388888</v>
      </c>
      <c r="B9705" s="4" t="str">
        <f>HYPERLINK("https://twitter.com/petrogustavo","@petrogustavo")</f>
        <v>@petrogustavo</v>
      </c>
      <c r="C9705" s="5" t="s">
        <v>16</v>
      </c>
      <c r="D9705" s="5" t="s">
        <v>9339</v>
      </c>
      <c r="E9705" s="6" t="str">
        <f>HYPERLINK("https://twitter.com/petrogustavo/status/1304075094776582145","1304075094776582145")</f>
        <v>1304075094776582145</v>
      </c>
      <c r="F9705" s="7" t="s">
        <v>17</v>
      </c>
      <c r="G9705" s="7">
        <v>3963836</v>
      </c>
      <c r="H9705" s="7">
        <v>2435</v>
      </c>
      <c r="I9705" s="7">
        <v>226</v>
      </c>
      <c r="J9705" s="7">
        <v>470</v>
      </c>
      <c r="K9705" s="7" t="s">
        <v>18</v>
      </c>
      <c r="L9705" s="8">
        <v>39987.315405092595</v>
      </c>
      <c r="M9705" s="9" t="s">
        <v>19</v>
      </c>
      <c r="N9705" s="9" t="s">
        <v>20</v>
      </c>
      <c r="O9705" s="6" t="str">
        <f>HYPERLINK("https://pbs.twimg.com/profile_images/962471262747529216/Uo8lOkRJ_normal.jpg","View")</f>
        <v>View</v>
      </c>
      <c r="P9705" s="7"/>
    </row>
    <row r="9706" spans="1:16">
      <c r="A9706" s="3">
        <v>44084.863391203704</v>
      </c>
      <c r="B9706" s="4" t="str">
        <f>HYPERLINK("https://twitter.com/petrogustavo","@petrogustavo")</f>
        <v>@petrogustavo</v>
      </c>
      <c r="C9706" s="5" t="s">
        <v>16</v>
      </c>
      <c r="D9706" s="5" t="s">
        <v>9340</v>
      </c>
      <c r="E9706" s="6" t="str">
        <f>HYPERLINK("https://twitter.com/petrogustavo/status/1304075480749015042","1304075480749015042")</f>
        <v>1304075480749015042</v>
      </c>
      <c r="F9706" s="7" t="s">
        <v>17</v>
      </c>
      <c r="G9706" s="7">
        <v>3963836</v>
      </c>
      <c r="H9706" s="7">
        <v>2435</v>
      </c>
      <c r="I9706" s="7">
        <v>155</v>
      </c>
      <c r="J9706" s="7">
        <v>321</v>
      </c>
      <c r="K9706" s="7" t="s">
        <v>18</v>
      </c>
      <c r="L9706" s="8">
        <v>39987.315405092595</v>
      </c>
      <c r="M9706" s="9" t="s">
        <v>19</v>
      </c>
      <c r="N9706" s="9" t="s">
        <v>20</v>
      </c>
      <c r="O9706" s="6" t="str">
        <f>HYPERLINK("https://pbs.twimg.com/profile_images/962471262747529216/Uo8lOkRJ_normal.jpg","View")</f>
        <v>View</v>
      </c>
      <c r="P9706" s="7"/>
    </row>
    <row r="9707" spans="1:16">
      <c r="A9707" s="3">
        <v>44084.872233796297</v>
      </c>
      <c r="B9707" s="4" t="str">
        <f>HYPERLINK("https://twitter.com/petrogustavo","@petrogustavo")</f>
        <v>@petrogustavo</v>
      </c>
      <c r="C9707" s="5" t="s">
        <v>16</v>
      </c>
      <c r="D9707" s="5" t="s">
        <v>9341</v>
      </c>
      <c r="E9707" s="6" t="str">
        <f>HYPERLINK("https://twitter.com/petrogustavo/status/1304078682986811392","1304078682986811392")</f>
        <v>1304078682986811392</v>
      </c>
      <c r="F9707" s="7" t="s">
        <v>17</v>
      </c>
      <c r="G9707" s="7">
        <v>3964027</v>
      </c>
      <c r="H9707" s="7">
        <v>2435</v>
      </c>
      <c r="I9707" s="7">
        <v>424</v>
      </c>
      <c r="J9707" s="7">
        <v>921</v>
      </c>
      <c r="K9707" s="7" t="s">
        <v>18</v>
      </c>
      <c r="L9707" s="8">
        <v>39987.315405092595</v>
      </c>
      <c r="M9707" s="9" t="s">
        <v>19</v>
      </c>
      <c r="N9707" s="9" t="s">
        <v>20</v>
      </c>
      <c r="O9707" s="6" t="str">
        <f>HYPERLINK("https://pbs.twimg.com/profile_images/962471262747529216/Uo8lOkRJ_normal.jpg","View")</f>
        <v>View</v>
      </c>
      <c r="P9707" s="7"/>
    </row>
    <row r="9708" spans="1:16">
      <c r="A9708" s="3">
        <v>44084.888749999998</v>
      </c>
      <c r="B9708" s="4" t="str">
        <f>HYPERLINK("https://twitter.com/petrogustavo","@petrogustavo")</f>
        <v>@petrogustavo</v>
      </c>
      <c r="C9708" s="5" t="s">
        <v>16</v>
      </c>
      <c r="D9708" s="5" t="s">
        <v>9342</v>
      </c>
      <c r="E9708" s="6" t="str">
        <f>HYPERLINK("https://twitter.com/petrogustavo/status/1304084667461783552","1304084667461783552")</f>
        <v>1304084667461783552</v>
      </c>
      <c r="F9708" s="7" t="s">
        <v>17</v>
      </c>
      <c r="G9708" s="7">
        <v>3964316</v>
      </c>
      <c r="H9708" s="7">
        <v>2435</v>
      </c>
      <c r="I9708" s="7">
        <v>4998</v>
      </c>
      <c r="J9708" s="7">
        <v>0</v>
      </c>
      <c r="K9708" s="7" t="s">
        <v>18</v>
      </c>
      <c r="L9708" s="8">
        <v>39987.315405092595</v>
      </c>
      <c r="M9708" s="9" t="s">
        <v>19</v>
      </c>
      <c r="N9708" s="9" t="s">
        <v>20</v>
      </c>
      <c r="O9708" s="6" t="str">
        <f>HYPERLINK("https://pbs.twimg.com/profile_images/962471262747529216/Uo8lOkRJ_normal.jpg","View")</f>
        <v>View</v>
      </c>
      <c r="P9708" s="7"/>
    </row>
    <row r="9709" spans="1:16">
      <c r="A9709" s="3">
        <v>44084.888796296298</v>
      </c>
      <c r="B9709" s="4" t="str">
        <f>HYPERLINK("https://twitter.com/petrogustavo","@petrogustavo")</f>
        <v>@petrogustavo</v>
      </c>
      <c r="C9709" s="5" t="s">
        <v>16</v>
      </c>
      <c r="D9709" s="5" t="s">
        <v>9343</v>
      </c>
      <c r="E9709" s="6" t="str">
        <f>HYPERLINK("https://twitter.com/petrogustavo/status/1304084685732143105","1304084685732143105")</f>
        <v>1304084685732143105</v>
      </c>
      <c r="F9709" s="7" t="s">
        <v>17</v>
      </c>
      <c r="G9709" s="7">
        <v>3964316</v>
      </c>
      <c r="H9709" s="7">
        <v>2435</v>
      </c>
      <c r="I9709" s="7">
        <v>446</v>
      </c>
      <c r="J9709" s="7">
        <v>0</v>
      </c>
      <c r="K9709" s="7" t="s">
        <v>18</v>
      </c>
      <c r="L9709" s="8">
        <v>39987.315405092595</v>
      </c>
      <c r="M9709" s="9" t="s">
        <v>19</v>
      </c>
      <c r="N9709" s="9" t="s">
        <v>20</v>
      </c>
      <c r="O9709" s="6" t="str">
        <f>HYPERLINK("https://pbs.twimg.com/profile_images/962471262747529216/Uo8lOkRJ_normal.jpg","View")</f>
        <v>View</v>
      </c>
      <c r="P9709" s="7"/>
    </row>
    <row r="9710" spans="1:16">
      <c r="A9710" s="3">
        <v>44084.888831018514</v>
      </c>
      <c r="B9710" s="4" t="str">
        <f>HYPERLINK("https://twitter.com/petrogustavo","@petrogustavo")</f>
        <v>@petrogustavo</v>
      </c>
      <c r="C9710" s="5" t="s">
        <v>16</v>
      </c>
      <c r="D9710" s="5" t="s">
        <v>9344</v>
      </c>
      <c r="E9710" s="6" t="str">
        <f>HYPERLINK("https://twitter.com/petrogustavo/status/1304084698247946244","1304084698247946244")</f>
        <v>1304084698247946244</v>
      </c>
      <c r="F9710" s="7" t="s">
        <v>17</v>
      </c>
      <c r="G9710" s="7">
        <v>3964316</v>
      </c>
      <c r="H9710" s="7">
        <v>2435</v>
      </c>
      <c r="I9710" s="7">
        <v>441</v>
      </c>
      <c r="J9710" s="7">
        <v>0</v>
      </c>
      <c r="K9710" s="7" t="s">
        <v>18</v>
      </c>
      <c r="L9710" s="8">
        <v>39987.315405092595</v>
      </c>
      <c r="M9710" s="9" t="s">
        <v>19</v>
      </c>
      <c r="N9710" s="9" t="s">
        <v>20</v>
      </c>
      <c r="O9710" s="6" t="str">
        <f>HYPERLINK("https://pbs.twimg.com/profile_images/962471262747529216/Uo8lOkRJ_normal.jpg","View")</f>
        <v>View</v>
      </c>
      <c r="P9710" s="7"/>
    </row>
    <row r="9711" spans="1:16">
      <c r="A9711" s="3">
        <v>44084.888865740737</v>
      </c>
      <c r="B9711" s="4" t="str">
        <f>HYPERLINK("https://twitter.com/petrogustavo","@petrogustavo")</f>
        <v>@petrogustavo</v>
      </c>
      <c r="C9711" s="5" t="s">
        <v>16</v>
      </c>
      <c r="D9711" s="5" t="s">
        <v>9345</v>
      </c>
      <c r="E9711" s="6" t="str">
        <f>HYPERLINK("https://twitter.com/petrogustavo/status/1304084709316722691","1304084709316722691")</f>
        <v>1304084709316722691</v>
      </c>
      <c r="F9711" s="7" t="s">
        <v>17</v>
      </c>
      <c r="G9711" s="7">
        <v>3964316</v>
      </c>
      <c r="H9711" s="7">
        <v>2435</v>
      </c>
      <c r="I9711" s="7">
        <v>442</v>
      </c>
      <c r="J9711" s="7">
        <v>0</v>
      </c>
      <c r="K9711" s="7" t="s">
        <v>18</v>
      </c>
      <c r="L9711" s="8">
        <v>39987.315405092595</v>
      </c>
      <c r="M9711" s="9" t="s">
        <v>19</v>
      </c>
      <c r="N9711" s="9" t="s">
        <v>20</v>
      </c>
      <c r="O9711" s="6" t="str">
        <f>HYPERLINK("https://pbs.twimg.com/profile_images/962471262747529216/Uo8lOkRJ_normal.jpg","View")</f>
        <v>View</v>
      </c>
      <c r="P9711" s="7"/>
    </row>
    <row r="9712" spans="1:16">
      <c r="A9712" s="3">
        <v>44084.88890046296</v>
      </c>
      <c r="B9712" s="4" t="str">
        <f>HYPERLINK("https://twitter.com/petrogustavo","@petrogustavo")</f>
        <v>@petrogustavo</v>
      </c>
      <c r="C9712" s="5" t="s">
        <v>16</v>
      </c>
      <c r="D9712" s="5" t="s">
        <v>9346</v>
      </c>
      <c r="E9712" s="6" t="str">
        <f>HYPERLINK("https://twitter.com/petrogustavo/status/1304084721903833091","1304084721903833091")</f>
        <v>1304084721903833091</v>
      </c>
      <c r="F9712" s="7" t="s">
        <v>17</v>
      </c>
      <c r="G9712" s="7">
        <v>3964316</v>
      </c>
      <c r="H9712" s="7">
        <v>2435</v>
      </c>
      <c r="I9712" s="7">
        <v>400</v>
      </c>
      <c r="J9712" s="7">
        <v>0</v>
      </c>
      <c r="K9712" s="7" t="s">
        <v>18</v>
      </c>
      <c r="L9712" s="8">
        <v>39987.315405092595</v>
      </c>
      <c r="M9712" s="9" t="s">
        <v>19</v>
      </c>
      <c r="N9712" s="9" t="s">
        <v>20</v>
      </c>
      <c r="O9712" s="6" t="str">
        <f>HYPERLINK("https://pbs.twimg.com/profile_images/962471262747529216/Uo8lOkRJ_normal.jpg","View")</f>
        <v>View</v>
      </c>
      <c r="P9712" s="7"/>
    </row>
    <row r="9713" spans="1:16">
      <c r="A9713" s="3">
        <v>44084.888935185183</v>
      </c>
      <c r="B9713" s="4" t="str">
        <f>HYPERLINK("https://twitter.com/petrogustavo","@petrogustavo")</f>
        <v>@petrogustavo</v>
      </c>
      <c r="C9713" s="5" t="s">
        <v>16</v>
      </c>
      <c r="D9713" s="5" t="s">
        <v>9347</v>
      </c>
      <c r="E9713" s="6" t="str">
        <f>HYPERLINK("https://twitter.com/petrogustavo/status/1304084735505903623","1304084735505903623")</f>
        <v>1304084735505903623</v>
      </c>
      <c r="F9713" s="7" t="s">
        <v>17</v>
      </c>
      <c r="G9713" s="7">
        <v>3964316</v>
      </c>
      <c r="H9713" s="7">
        <v>2435</v>
      </c>
      <c r="I9713" s="7">
        <v>382</v>
      </c>
      <c r="J9713" s="7">
        <v>0</v>
      </c>
      <c r="K9713" s="7" t="s">
        <v>18</v>
      </c>
      <c r="L9713" s="8">
        <v>39987.315405092595</v>
      </c>
      <c r="M9713" s="9" t="s">
        <v>19</v>
      </c>
      <c r="N9713" s="9" t="s">
        <v>20</v>
      </c>
      <c r="O9713" s="6" t="str">
        <f>HYPERLINK("https://pbs.twimg.com/profile_images/962471262747529216/Uo8lOkRJ_normal.jpg","View")</f>
        <v>View</v>
      </c>
      <c r="P9713" s="7"/>
    </row>
    <row r="9714" spans="1:16">
      <c r="A9714" s="3">
        <v>44084.888981481483</v>
      </c>
      <c r="B9714" s="4" t="str">
        <f>HYPERLINK("https://twitter.com/petrogustavo","@petrogustavo")</f>
        <v>@petrogustavo</v>
      </c>
      <c r="C9714" s="5" t="s">
        <v>16</v>
      </c>
      <c r="D9714" s="5" t="s">
        <v>9348</v>
      </c>
      <c r="E9714" s="6" t="str">
        <f>HYPERLINK("https://twitter.com/petrogustavo/status/1304084754162216960","1304084754162216960")</f>
        <v>1304084754162216960</v>
      </c>
      <c r="F9714" s="7" t="s">
        <v>17</v>
      </c>
      <c r="G9714" s="7">
        <v>3964316</v>
      </c>
      <c r="H9714" s="7">
        <v>2435</v>
      </c>
      <c r="I9714" s="7">
        <v>330</v>
      </c>
      <c r="J9714" s="7">
        <v>0</v>
      </c>
      <c r="K9714" s="7" t="s">
        <v>18</v>
      </c>
      <c r="L9714" s="8">
        <v>39987.315405092595</v>
      </c>
      <c r="M9714" s="9" t="s">
        <v>19</v>
      </c>
      <c r="N9714" s="9" t="s">
        <v>20</v>
      </c>
      <c r="O9714" s="6" t="str">
        <f>HYPERLINK("https://pbs.twimg.com/profile_images/962471262747529216/Uo8lOkRJ_normal.jpg","View")</f>
        <v>View</v>
      </c>
      <c r="P9714" s="7"/>
    </row>
    <row r="9715" spans="1:16">
      <c r="A9715" s="3">
        <v>44084.889050925922</v>
      </c>
      <c r="B9715" s="4" t="str">
        <f>HYPERLINK("https://twitter.com/petrogustavo","@petrogustavo")</f>
        <v>@petrogustavo</v>
      </c>
      <c r="C9715" s="5" t="s">
        <v>16</v>
      </c>
      <c r="D9715" s="5" t="s">
        <v>9349</v>
      </c>
      <c r="E9715" s="6" t="str">
        <f>HYPERLINK("https://twitter.com/petrogustavo/status/1304084777335742464","1304084777335742464")</f>
        <v>1304084777335742464</v>
      </c>
      <c r="F9715" s="7" t="s">
        <v>17</v>
      </c>
      <c r="G9715" s="7">
        <v>3964316</v>
      </c>
      <c r="H9715" s="7">
        <v>2435</v>
      </c>
      <c r="I9715" s="7">
        <v>387</v>
      </c>
      <c r="J9715" s="7">
        <v>0</v>
      </c>
      <c r="K9715" s="7" t="s">
        <v>18</v>
      </c>
      <c r="L9715" s="8">
        <v>39987.315405092595</v>
      </c>
      <c r="M9715" s="9" t="s">
        <v>19</v>
      </c>
      <c r="N9715" s="9" t="s">
        <v>20</v>
      </c>
      <c r="O9715" s="6" t="str">
        <f>HYPERLINK("https://pbs.twimg.com/profile_images/962471262747529216/Uo8lOkRJ_normal.jpg","View")</f>
        <v>View</v>
      </c>
      <c r="P9715" s="7"/>
    </row>
    <row r="9716" spans="1:16">
      <c r="A9716" s="3">
        <v>44084.889085648145</v>
      </c>
      <c r="B9716" s="4" t="str">
        <f>HYPERLINK("https://twitter.com/petrogustavo","@petrogustavo")</f>
        <v>@petrogustavo</v>
      </c>
      <c r="C9716" s="5" t="s">
        <v>16</v>
      </c>
      <c r="D9716" s="5" t="s">
        <v>9350</v>
      </c>
      <c r="E9716" s="6" t="str">
        <f>HYPERLINK("https://twitter.com/petrogustavo/status/1304084792254889984","1304084792254889984")</f>
        <v>1304084792254889984</v>
      </c>
      <c r="F9716" s="7" t="s">
        <v>17</v>
      </c>
      <c r="G9716" s="7">
        <v>3964316</v>
      </c>
      <c r="H9716" s="7">
        <v>2435</v>
      </c>
      <c r="I9716" s="7">
        <v>295</v>
      </c>
      <c r="J9716" s="7">
        <v>0</v>
      </c>
      <c r="K9716" s="7" t="s">
        <v>18</v>
      </c>
      <c r="L9716" s="8">
        <v>39987.315405092595</v>
      </c>
      <c r="M9716" s="9" t="s">
        <v>19</v>
      </c>
      <c r="N9716" s="9" t="s">
        <v>20</v>
      </c>
      <c r="O9716" s="6" t="str">
        <f>HYPERLINK("https://pbs.twimg.com/profile_images/962471262747529216/Uo8lOkRJ_normal.jpg","View")</f>
        <v>View</v>
      </c>
      <c r="P9716" s="7"/>
    </row>
    <row r="9717" spans="1:16">
      <c r="A9717" s="3">
        <v>44084.889143518521</v>
      </c>
      <c r="B9717" s="4" t="str">
        <f>HYPERLINK("https://twitter.com/petrogustavo","@petrogustavo")</f>
        <v>@petrogustavo</v>
      </c>
      <c r="C9717" s="5" t="s">
        <v>16</v>
      </c>
      <c r="D9717" s="5" t="s">
        <v>9351</v>
      </c>
      <c r="E9717" s="6" t="str">
        <f>HYPERLINK("https://twitter.com/petrogustavo/status/1304084813268344834","1304084813268344834")</f>
        <v>1304084813268344834</v>
      </c>
      <c r="F9717" s="7" t="s">
        <v>17</v>
      </c>
      <c r="G9717" s="7">
        <v>3964316</v>
      </c>
      <c r="H9717" s="7">
        <v>2435</v>
      </c>
      <c r="I9717" s="7">
        <v>221</v>
      </c>
      <c r="J9717" s="7">
        <v>0</v>
      </c>
      <c r="K9717" s="7" t="s">
        <v>18</v>
      </c>
      <c r="L9717" s="8">
        <v>39987.315405092595</v>
      </c>
      <c r="M9717" s="9" t="s">
        <v>19</v>
      </c>
      <c r="N9717" s="9" t="s">
        <v>20</v>
      </c>
      <c r="O9717" s="6" t="str">
        <f>HYPERLINK("https://pbs.twimg.com/profile_images/962471262747529216/Uo8lOkRJ_normal.jpg","View")</f>
        <v>View</v>
      </c>
      <c r="P9717" s="7"/>
    </row>
    <row r="9718" spans="1:16">
      <c r="A9718" s="3">
        <v>44084.889212962968</v>
      </c>
      <c r="B9718" s="4" t="str">
        <f>HYPERLINK("https://twitter.com/petrogustavo","@petrogustavo")</f>
        <v>@petrogustavo</v>
      </c>
      <c r="C9718" s="5" t="s">
        <v>16</v>
      </c>
      <c r="D9718" s="5" t="s">
        <v>9352</v>
      </c>
      <c r="E9718" s="6" t="str">
        <f>HYPERLINK("https://twitter.com/petrogustavo/status/1304084837549170690","1304084837549170690")</f>
        <v>1304084837549170690</v>
      </c>
      <c r="F9718" s="7" t="s">
        <v>17</v>
      </c>
      <c r="G9718" s="7">
        <v>3964316</v>
      </c>
      <c r="H9718" s="7">
        <v>2435</v>
      </c>
      <c r="I9718" s="7">
        <v>127</v>
      </c>
      <c r="J9718" s="7">
        <v>0</v>
      </c>
      <c r="K9718" s="7" t="s">
        <v>18</v>
      </c>
      <c r="L9718" s="8">
        <v>39987.315405092595</v>
      </c>
      <c r="M9718" s="9" t="s">
        <v>19</v>
      </c>
      <c r="N9718" s="9" t="s">
        <v>20</v>
      </c>
      <c r="O9718" s="6" t="str">
        <f>HYPERLINK("https://pbs.twimg.com/profile_images/962471262747529216/Uo8lOkRJ_normal.jpg","View")</f>
        <v>View</v>
      </c>
      <c r="P9718" s="7"/>
    </row>
    <row r="9719" spans="1:16">
      <c r="A9719" s="3">
        <v>44084.896504629629</v>
      </c>
      <c r="B9719" s="4" t="str">
        <f>HYPERLINK("https://twitter.com/petrogustavo","@petrogustavo")</f>
        <v>@petrogustavo</v>
      </c>
      <c r="C9719" s="5" t="s">
        <v>16</v>
      </c>
      <c r="D9719" s="5" t="s">
        <v>9353</v>
      </c>
      <c r="E9719" s="6" t="str">
        <f>HYPERLINK("https://twitter.com/petrogustavo/status/1304087477829988354","1304087477829988354")</f>
        <v>1304087477829988354</v>
      </c>
      <c r="F9719" s="7" t="s">
        <v>17</v>
      </c>
      <c r="G9719" s="7">
        <v>3964316</v>
      </c>
      <c r="H9719" s="7">
        <v>2435</v>
      </c>
      <c r="I9719" s="7">
        <v>286</v>
      </c>
      <c r="J9719" s="7">
        <v>696</v>
      </c>
      <c r="K9719" s="7" t="s">
        <v>18</v>
      </c>
      <c r="L9719" s="8">
        <v>39987.315405092595</v>
      </c>
      <c r="M9719" s="9" t="s">
        <v>19</v>
      </c>
      <c r="N9719" s="9" t="s">
        <v>20</v>
      </c>
      <c r="O9719" s="6" t="str">
        <f>HYPERLINK("https://pbs.twimg.com/profile_images/962471262747529216/Uo8lOkRJ_normal.jpg","View")</f>
        <v>View</v>
      </c>
      <c r="P9719" s="7"/>
    </row>
    <row r="9720" spans="1:16">
      <c r="A9720" s="3">
        <v>44084.917650462958</v>
      </c>
      <c r="B9720" s="4" t="str">
        <f>HYPERLINK("https://twitter.com/petrogustavo","@petrogustavo")</f>
        <v>@petrogustavo</v>
      </c>
      <c r="C9720" s="5" t="s">
        <v>16</v>
      </c>
      <c r="D9720" s="5" t="s">
        <v>9354</v>
      </c>
      <c r="E9720" s="6" t="str">
        <f>HYPERLINK("https://twitter.com/petrogustavo/status/1304095142266142722","1304095142266142722")</f>
        <v>1304095142266142722</v>
      </c>
      <c r="F9720" s="7" t="s">
        <v>17</v>
      </c>
      <c r="G9720" s="7">
        <v>3964548</v>
      </c>
      <c r="H9720" s="7">
        <v>2435</v>
      </c>
      <c r="I9720" s="7">
        <v>217</v>
      </c>
      <c r="J9720" s="7">
        <v>625</v>
      </c>
      <c r="K9720" s="7" t="s">
        <v>18</v>
      </c>
      <c r="L9720" s="8">
        <v>39987.315405092595</v>
      </c>
      <c r="M9720" s="9" t="s">
        <v>19</v>
      </c>
      <c r="N9720" s="9" t="s">
        <v>20</v>
      </c>
      <c r="O9720" s="6" t="str">
        <f>HYPERLINK("https://pbs.twimg.com/profile_images/962471262747529216/Uo8lOkRJ_normal.jpg","View")</f>
        <v>View</v>
      </c>
      <c r="P9720" s="7"/>
    </row>
    <row r="9721" spans="1:16">
      <c r="A9721" s="3">
        <v>44084.930925925924</v>
      </c>
      <c r="B9721" s="4" t="str">
        <f>HYPERLINK("https://twitter.com/petrogustavo","@petrogustavo")</f>
        <v>@petrogustavo</v>
      </c>
      <c r="C9721" s="5" t="s">
        <v>16</v>
      </c>
      <c r="D9721" s="5" t="s">
        <v>9355</v>
      </c>
      <c r="E9721" s="6" t="str">
        <f>HYPERLINK("https://twitter.com/petrogustavo/status/1304099951715254272","1304099951715254272")</f>
        <v>1304099951715254272</v>
      </c>
      <c r="F9721" s="7" t="s">
        <v>17</v>
      </c>
      <c r="G9721" s="7">
        <v>3964760</v>
      </c>
      <c r="H9721" s="7">
        <v>2435</v>
      </c>
      <c r="I9721" s="7">
        <v>242</v>
      </c>
      <c r="J9721" s="7">
        <v>621</v>
      </c>
      <c r="K9721" s="7" t="s">
        <v>18</v>
      </c>
      <c r="L9721" s="8">
        <v>39987.315405092595</v>
      </c>
      <c r="M9721" s="9" t="s">
        <v>19</v>
      </c>
      <c r="N9721" s="9" t="s">
        <v>20</v>
      </c>
      <c r="O9721" s="6" t="str">
        <f>HYPERLINK("https://pbs.twimg.com/profile_images/962471262747529216/Uo8lOkRJ_normal.jpg","View")</f>
        <v>View</v>
      </c>
      <c r="P9721" s="7"/>
    </row>
    <row r="9722" spans="1:16">
      <c r="A9722" s="3">
        <v>44084.932349537034</v>
      </c>
      <c r="B9722" s="4" t="str">
        <f>HYPERLINK("https://twitter.com/petrogustavo","@petrogustavo")</f>
        <v>@petrogustavo</v>
      </c>
      <c r="C9722" s="5" t="s">
        <v>16</v>
      </c>
      <c r="D9722" s="5" t="s">
        <v>9337</v>
      </c>
      <c r="E9722" s="6" t="str">
        <f>HYPERLINK("https://twitter.com/petrogustavo/status/1304100469325824001","1304100469325824001")</f>
        <v>1304100469325824001</v>
      </c>
      <c r="F9722" s="7" t="s">
        <v>17</v>
      </c>
      <c r="G9722" s="7">
        <v>3964760</v>
      </c>
      <c r="H9722" s="7">
        <v>2435</v>
      </c>
      <c r="I9722" s="7">
        <v>1384</v>
      </c>
      <c r="J9722" s="7">
        <v>0</v>
      </c>
      <c r="K9722" s="7" t="s">
        <v>18</v>
      </c>
      <c r="L9722" s="8">
        <v>39987.315405092595</v>
      </c>
      <c r="M9722" s="9" t="s">
        <v>19</v>
      </c>
      <c r="N9722" s="9" t="s">
        <v>20</v>
      </c>
      <c r="O9722" s="6" t="str">
        <f>HYPERLINK("https://pbs.twimg.com/profile_images/962471262747529216/Uo8lOkRJ_normal.jpg","View")</f>
        <v>View</v>
      </c>
      <c r="P9722" s="7"/>
    </row>
    <row r="9723" spans="1:16">
      <c r="A9723" s="3">
        <v>44084.932488425926</v>
      </c>
      <c r="B9723" s="4" t="str">
        <f>HYPERLINK("https://twitter.com/petrogustavo","@petrogustavo")</f>
        <v>@petrogustavo</v>
      </c>
      <c r="C9723" s="5" t="s">
        <v>16</v>
      </c>
      <c r="D9723" s="5" t="s">
        <v>9318</v>
      </c>
      <c r="E9723" s="6" t="str">
        <f>HYPERLINK("https://twitter.com/petrogustavo/status/1304100520399962113","1304100520399962113")</f>
        <v>1304100520399962113</v>
      </c>
      <c r="F9723" s="7" t="s">
        <v>17</v>
      </c>
      <c r="G9723" s="7">
        <v>3964760</v>
      </c>
      <c r="H9723" s="7">
        <v>2435</v>
      </c>
      <c r="I9723" s="7">
        <v>2190</v>
      </c>
      <c r="J9723" s="7">
        <v>0</v>
      </c>
      <c r="K9723" s="7" t="s">
        <v>18</v>
      </c>
      <c r="L9723" s="8">
        <v>39987.315405092595</v>
      </c>
      <c r="M9723" s="9" t="s">
        <v>19</v>
      </c>
      <c r="N9723" s="9" t="s">
        <v>20</v>
      </c>
      <c r="O9723" s="6" t="str">
        <f>HYPERLINK("https://pbs.twimg.com/profile_images/962471262747529216/Uo8lOkRJ_normal.jpg","View")</f>
        <v>View</v>
      </c>
      <c r="P9723" s="7"/>
    </row>
    <row r="9724" spans="1:16">
      <c r="A9724" s="3">
        <v>44084.93350694445</v>
      </c>
      <c r="B9724" s="4" t="str">
        <f>HYPERLINK("https://twitter.com/petrogustavo","@petrogustavo")</f>
        <v>@petrogustavo</v>
      </c>
      <c r="C9724" s="5" t="s">
        <v>16</v>
      </c>
      <c r="D9724" s="5" t="s">
        <v>9356</v>
      </c>
      <c r="E9724" s="6" t="str">
        <f>HYPERLINK("https://twitter.com/petrogustavo/status/1304100890442375168","1304100890442375168")</f>
        <v>1304100890442375168</v>
      </c>
      <c r="F9724" s="7" t="s">
        <v>17</v>
      </c>
      <c r="G9724" s="7">
        <v>3964760</v>
      </c>
      <c r="H9724" s="7">
        <v>2435</v>
      </c>
      <c r="I9724" s="7">
        <v>132</v>
      </c>
      <c r="J9724" s="7">
        <v>0</v>
      </c>
      <c r="K9724" s="7" t="s">
        <v>18</v>
      </c>
      <c r="L9724" s="8">
        <v>39987.315405092595</v>
      </c>
      <c r="M9724" s="9" t="s">
        <v>19</v>
      </c>
      <c r="N9724" s="9" t="s">
        <v>20</v>
      </c>
      <c r="O9724" s="6" t="str">
        <f>HYPERLINK("https://pbs.twimg.com/profile_images/962471262747529216/Uo8lOkRJ_normal.jpg","View")</f>
        <v>View</v>
      </c>
      <c r="P9724" s="7"/>
    </row>
    <row r="9725" spans="1:16">
      <c r="A9725" s="3">
        <v>44084.935324074075</v>
      </c>
      <c r="B9725" s="4" t="str">
        <f>HYPERLINK("https://twitter.com/petrogustavo","@petrogustavo")</f>
        <v>@petrogustavo</v>
      </c>
      <c r="C9725" s="5" t="s">
        <v>16</v>
      </c>
      <c r="D9725" s="5" t="s">
        <v>9357</v>
      </c>
      <c r="E9725" s="6" t="str">
        <f>HYPERLINK("https://twitter.com/petrogustavo/status/1304101545441665028","1304101545441665028")</f>
        <v>1304101545441665028</v>
      </c>
      <c r="F9725" s="7" t="s">
        <v>17</v>
      </c>
      <c r="G9725" s="7">
        <v>3964760</v>
      </c>
      <c r="H9725" s="7">
        <v>2435</v>
      </c>
      <c r="I9725" s="7">
        <v>296</v>
      </c>
      <c r="J9725" s="7">
        <v>1007</v>
      </c>
      <c r="K9725" s="7" t="s">
        <v>18</v>
      </c>
      <c r="L9725" s="8">
        <v>39987.315405092595</v>
      </c>
      <c r="M9725" s="9" t="s">
        <v>19</v>
      </c>
      <c r="N9725" s="9" t="s">
        <v>20</v>
      </c>
      <c r="O9725" s="6" t="str">
        <f>HYPERLINK("https://pbs.twimg.com/profile_images/962471262747529216/Uo8lOkRJ_normal.jpg","View")</f>
        <v>View</v>
      </c>
      <c r="P9725" s="7"/>
    </row>
    <row r="9726" spans="1:16">
      <c r="A9726" s="3">
        <v>44084.93954861111</v>
      </c>
      <c r="B9726" s="4" t="str">
        <f>HYPERLINK("https://twitter.com/petrogustavo","@petrogustavo")</f>
        <v>@petrogustavo</v>
      </c>
      <c r="C9726" s="5" t="s">
        <v>16</v>
      </c>
      <c r="D9726" s="5" t="s">
        <v>9358</v>
      </c>
      <c r="E9726" s="6" t="str">
        <f>HYPERLINK("https://twitter.com/petrogustavo/status/1304103076937240578","1304103076937240578")</f>
        <v>1304103076937240578</v>
      </c>
      <c r="F9726" s="7" t="s">
        <v>17</v>
      </c>
      <c r="G9726" s="7">
        <v>3964760</v>
      </c>
      <c r="H9726" s="7">
        <v>2435</v>
      </c>
      <c r="I9726" s="7">
        <v>278</v>
      </c>
      <c r="J9726" s="7">
        <v>640</v>
      </c>
      <c r="K9726" s="7" t="s">
        <v>18</v>
      </c>
      <c r="L9726" s="8">
        <v>39987.315405092595</v>
      </c>
      <c r="M9726" s="9" t="s">
        <v>19</v>
      </c>
      <c r="N9726" s="9" t="s">
        <v>20</v>
      </c>
      <c r="O9726" s="6" t="str">
        <f>HYPERLINK("https://pbs.twimg.com/profile_images/962471262747529216/Uo8lOkRJ_normal.jpg","View")</f>
        <v>View</v>
      </c>
      <c r="P9726" s="7"/>
    </row>
    <row r="9727" spans="1:16">
      <c r="A9727" s="3">
        <v>44084.940370370372</v>
      </c>
      <c r="B9727" s="4" t="str">
        <f>HYPERLINK("https://twitter.com/petrogustavo","@petrogustavo")</f>
        <v>@petrogustavo</v>
      </c>
      <c r="C9727" s="5" t="s">
        <v>16</v>
      </c>
      <c r="D9727" s="5" t="s">
        <v>9359</v>
      </c>
      <c r="E9727" s="6" t="str">
        <f>HYPERLINK("https://twitter.com/petrogustavo/status/1304103375638851586","1304103375638851586")</f>
        <v>1304103375638851586</v>
      </c>
      <c r="F9727" s="7" t="s">
        <v>17</v>
      </c>
      <c r="G9727" s="7">
        <v>3964760</v>
      </c>
      <c r="H9727" s="7">
        <v>2435</v>
      </c>
      <c r="I9727" s="7">
        <v>515</v>
      </c>
      <c r="J9727" s="7">
        <v>2318</v>
      </c>
      <c r="K9727" s="7" t="s">
        <v>18</v>
      </c>
      <c r="L9727" s="8">
        <v>39987.315405092595</v>
      </c>
      <c r="M9727" s="9" t="s">
        <v>19</v>
      </c>
      <c r="N9727" s="9" t="s">
        <v>20</v>
      </c>
      <c r="O9727" s="6" t="str">
        <f>HYPERLINK("https://pbs.twimg.com/profile_images/962471262747529216/Uo8lOkRJ_normal.jpg","View")</f>
        <v>View</v>
      </c>
      <c r="P9727" s="7"/>
    </row>
    <row r="9728" spans="1:16">
      <c r="A9728" s="3">
        <v>44084.947800925926</v>
      </c>
      <c r="B9728" s="4" t="str">
        <f>HYPERLINK("https://twitter.com/petrogustavo","@petrogustavo")</f>
        <v>@petrogustavo</v>
      </c>
      <c r="C9728" s="5" t="s">
        <v>16</v>
      </c>
      <c r="D9728" s="5" t="s">
        <v>9360</v>
      </c>
      <c r="E9728" s="6" t="str">
        <f>HYPERLINK("https://twitter.com/petrogustavo/status/1304106068302323712","1304106068302323712")</f>
        <v>1304106068302323712</v>
      </c>
      <c r="F9728" s="7" t="s">
        <v>17</v>
      </c>
      <c r="G9728" s="7">
        <v>3964760</v>
      </c>
      <c r="H9728" s="7">
        <v>2435</v>
      </c>
      <c r="I9728" s="7">
        <v>188</v>
      </c>
      <c r="J9728" s="7">
        <v>734</v>
      </c>
      <c r="K9728" s="7" t="s">
        <v>18</v>
      </c>
      <c r="L9728" s="8">
        <v>39987.315405092595</v>
      </c>
      <c r="M9728" s="9" t="s">
        <v>19</v>
      </c>
      <c r="N9728" s="9" t="s">
        <v>20</v>
      </c>
      <c r="O9728" s="6" t="str">
        <f>HYPERLINK("https://pbs.twimg.com/profile_images/962471262747529216/Uo8lOkRJ_normal.jpg","View")</f>
        <v>View</v>
      </c>
      <c r="P9728" s="7"/>
    </row>
    <row r="9729" spans="1:16">
      <c r="A9729" s="3">
        <v>44084.948611111111</v>
      </c>
      <c r="B9729" s="4" t="str">
        <f>HYPERLINK("https://twitter.com/petrogustavo","@petrogustavo")</f>
        <v>@petrogustavo</v>
      </c>
      <c r="C9729" s="5" t="s">
        <v>16</v>
      </c>
      <c r="D9729" s="5" t="s">
        <v>9361</v>
      </c>
      <c r="E9729" s="6" t="str">
        <f>HYPERLINK("https://twitter.com/petrogustavo/status/1304106361605718018","1304106361605718018")</f>
        <v>1304106361605718018</v>
      </c>
      <c r="F9729" s="7" t="s">
        <v>17</v>
      </c>
      <c r="G9729" s="7">
        <v>3964760</v>
      </c>
      <c r="H9729" s="7">
        <v>2435</v>
      </c>
      <c r="I9729" s="7">
        <v>296</v>
      </c>
      <c r="J9729" s="7">
        <v>0</v>
      </c>
      <c r="K9729" s="7" t="s">
        <v>18</v>
      </c>
      <c r="L9729" s="8">
        <v>39987.315405092595</v>
      </c>
      <c r="M9729" s="9" t="s">
        <v>19</v>
      </c>
      <c r="N9729" s="9" t="s">
        <v>20</v>
      </c>
      <c r="O9729" s="6" t="str">
        <f>HYPERLINK("https://pbs.twimg.com/profile_images/962471262747529216/Uo8lOkRJ_normal.jpg","View")</f>
        <v>View</v>
      </c>
      <c r="P9729" s="7"/>
    </row>
    <row r="9730" spans="1:16">
      <c r="A9730" s="3">
        <v>44084.952511574069</v>
      </c>
      <c r="B9730" s="4" t="str">
        <f>HYPERLINK("https://twitter.com/petrogustavo","@petrogustavo")</f>
        <v>@petrogustavo</v>
      </c>
      <c r="C9730" s="5" t="s">
        <v>16</v>
      </c>
      <c r="D9730" s="5" t="s">
        <v>9362</v>
      </c>
      <c r="E9730" s="6" t="str">
        <f>HYPERLINK("https://twitter.com/petrogustavo/status/1304107776969498630","1304107776969498630")</f>
        <v>1304107776969498630</v>
      </c>
      <c r="F9730" s="7" t="s">
        <v>17</v>
      </c>
      <c r="G9730" s="7">
        <v>3964947</v>
      </c>
      <c r="H9730" s="7">
        <v>2434</v>
      </c>
      <c r="I9730" s="7">
        <v>305</v>
      </c>
      <c r="J9730" s="7">
        <v>625</v>
      </c>
      <c r="K9730" s="7" t="s">
        <v>18</v>
      </c>
      <c r="L9730" s="8">
        <v>39987.315405092595</v>
      </c>
      <c r="M9730" s="9" t="s">
        <v>19</v>
      </c>
      <c r="N9730" s="9" t="s">
        <v>20</v>
      </c>
      <c r="O9730" s="6" t="str">
        <f>HYPERLINK("https://pbs.twimg.com/profile_images/962471262747529216/Uo8lOkRJ_normal.jpg","View")</f>
        <v>View</v>
      </c>
      <c r="P9730" s="7"/>
    </row>
    <row r="9731" spans="1:16">
      <c r="A9731" s="3">
        <v>44084.952557870369</v>
      </c>
      <c r="B9731" s="4" t="str">
        <f>HYPERLINK("https://twitter.com/petrogustavo","@petrogustavo")</f>
        <v>@petrogustavo</v>
      </c>
      <c r="C9731" s="5" t="s">
        <v>16</v>
      </c>
      <c r="D9731" s="5" t="s">
        <v>9363</v>
      </c>
      <c r="E9731" s="6" t="str">
        <f>HYPERLINK("https://twitter.com/petrogustavo/status/1304107792266145794","1304107792266145794")</f>
        <v>1304107792266145794</v>
      </c>
      <c r="F9731" s="7" t="s">
        <v>17</v>
      </c>
      <c r="G9731" s="7">
        <v>3964947</v>
      </c>
      <c r="H9731" s="7">
        <v>2434</v>
      </c>
      <c r="I9731" s="7">
        <v>1373</v>
      </c>
      <c r="J9731" s="7">
        <v>0</v>
      </c>
      <c r="K9731" s="7" t="s">
        <v>18</v>
      </c>
      <c r="L9731" s="8">
        <v>39987.315405092595</v>
      </c>
      <c r="M9731" s="9" t="s">
        <v>19</v>
      </c>
      <c r="N9731" s="9" t="s">
        <v>20</v>
      </c>
      <c r="O9731" s="6" t="str">
        <f>HYPERLINK("https://pbs.twimg.com/profile_images/962471262747529216/Uo8lOkRJ_normal.jpg","View")</f>
        <v>View</v>
      </c>
      <c r="P9731" s="7"/>
    </row>
    <row r="9732" spans="1:16">
      <c r="A9732" s="3">
        <v>44084.956192129626</v>
      </c>
      <c r="B9732" s="4" t="str">
        <f>HYPERLINK("https://twitter.com/petrogustavo","@petrogustavo")</f>
        <v>@petrogustavo</v>
      </c>
      <c r="C9732" s="5" t="s">
        <v>16</v>
      </c>
      <c r="D9732" s="5" t="s">
        <v>9364</v>
      </c>
      <c r="E9732" s="6" t="str">
        <f>HYPERLINK("https://twitter.com/petrogustavo/status/1304109108325421058","1304109108325421058")</f>
        <v>1304109108325421058</v>
      </c>
      <c r="F9732" s="7" t="s">
        <v>17</v>
      </c>
      <c r="G9732" s="7">
        <v>3964947</v>
      </c>
      <c r="H9732" s="7">
        <v>2434</v>
      </c>
      <c r="I9732" s="7">
        <v>404</v>
      </c>
      <c r="J9732" s="7">
        <v>0</v>
      </c>
      <c r="K9732" s="7" t="s">
        <v>18</v>
      </c>
      <c r="L9732" s="8">
        <v>39987.315405092595</v>
      </c>
      <c r="M9732" s="9" t="s">
        <v>19</v>
      </c>
      <c r="N9732" s="9" t="s">
        <v>20</v>
      </c>
      <c r="O9732" s="6" t="str">
        <f>HYPERLINK("https://pbs.twimg.com/profile_images/962471262747529216/Uo8lOkRJ_normal.jpg","View")</f>
        <v>View</v>
      </c>
      <c r="P9732" s="7"/>
    </row>
    <row r="9733" spans="1:16">
      <c r="A9733" s="3">
        <v>44084.956932870366</v>
      </c>
      <c r="B9733" s="4" t="str">
        <f>HYPERLINK("https://twitter.com/petrogustavo","@petrogustavo")</f>
        <v>@petrogustavo</v>
      </c>
      <c r="C9733" s="5" t="s">
        <v>16</v>
      </c>
      <c r="D9733" s="5" t="s">
        <v>9318</v>
      </c>
      <c r="E9733" s="6" t="str">
        <f>HYPERLINK("https://twitter.com/petrogustavo/status/1304109379646619648","1304109379646619648")</f>
        <v>1304109379646619648</v>
      </c>
      <c r="F9733" s="7" t="s">
        <v>17</v>
      </c>
      <c r="G9733" s="7">
        <v>3964947</v>
      </c>
      <c r="H9733" s="7">
        <v>2434</v>
      </c>
      <c r="I9733" s="7">
        <v>2247</v>
      </c>
      <c r="J9733" s="7">
        <v>0</v>
      </c>
      <c r="K9733" s="7" t="s">
        <v>18</v>
      </c>
      <c r="L9733" s="8">
        <v>39987.315405092595</v>
      </c>
      <c r="M9733" s="9" t="s">
        <v>19</v>
      </c>
      <c r="N9733" s="9" t="s">
        <v>20</v>
      </c>
      <c r="O9733" s="6" t="str">
        <f>HYPERLINK("https://pbs.twimg.com/profile_images/962471262747529216/Uo8lOkRJ_normal.jpg","View")</f>
        <v>View</v>
      </c>
      <c r="P9733" s="7"/>
    </row>
    <row r="9734" spans="1:16">
      <c r="A9734" s="3">
        <v>44085.090671296297</v>
      </c>
      <c r="B9734" s="4" t="str">
        <f>HYPERLINK("https://twitter.com/petrogustavo","@petrogustavo")</f>
        <v>@petrogustavo</v>
      </c>
      <c r="C9734" s="5" t="s">
        <v>16</v>
      </c>
      <c r="D9734" s="5" t="s">
        <v>9365</v>
      </c>
      <c r="E9734" s="6" t="str">
        <f>HYPERLINK("https://twitter.com/petrogustavo/status/1304157843982036992","1304157843982036992")</f>
        <v>1304157843982036992</v>
      </c>
      <c r="F9734" s="7" t="s">
        <v>17</v>
      </c>
      <c r="G9734" s="7">
        <v>3966016</v>
      </c>
      <c r="H9734" s="7">
        <v>2434</v>
      </c>
      <c r="I9734" s="7">
        <v>383</v>
      </c>
      <c r="J9734" s="7">
        <v>1380</v>
      </c>
      <c r="K9734" s="7" t="s">
        <v>18</v>
      </c>
      <c r="L9734" s="8">
        <v>39987.315405092595</v>
      </c>
      <c r="M9734" s="9" t="s">
        <v>19</v>
      </c>
      <c r="N9734" s="9" t="s">
        <v>20</v>
      </c>
      <c r="O9734" s="6" t="str">
        <f>HYPERLINK("https://pbs.twimg.com/profile_images/962471262747529216/Uo8lOkRJ_normal.jpg","View")</f>
        <v>View</v>
      </c>
      <c r="P9734" s="7"/>
    </row>
    <row r="9735" spans="1:16">
      <c r="A9735" s="3">
        <v>44085.0934375</v>
      </c>
      <c r="B9735" s="4" t="str">
        <f>HYPERLINK("https://twitter.com/petrogustavo","@petrogustavo")</f>
        <v>@petrogustavo</v>
      </c>
      <c r="C9735" s="5" t="s">
        <v>16</v>
      </c>
      <c r="D9735" s="5" t="s">
        <v>9366</v>
      </c>
      <c r="E9735" s="6" t="str">
        <f>HYPERLINK("https://twitter.com/petrogustavo/status/1304158844520718338","1304158844520718338")</f>
        <v>1304158844520718338</v>
      </c>
      <c r="F9735" s="7" t="s">
        <v>17</v>
      </c>
      <c r="G9735" s="7">
        <v>3966016</v>
      </c>
      <c r="H9735" s="7">
        <v>2434</v>
      </c>
      <c r="I9735" s="7">
        <v>128</v>
      </c>
      <c r="J9735" s="7">
        <v>295</v>
      </c>
      <c r="K9735" s="7" t="s">
        <v>18</v>
      </c>
      <c r="L9735" s="8">
        <v>39987.315405092595</v>
      </c>
      <c r="M9735" s="9" t="s">
        <v>19</v>
      </c>
      <c r="N9735" s="9" t="s">
        <v>20</v>
      </c>
      <c r="O9735" s="6" t="str">
        <f>HYPERLINK("https://pbs.twimg.com/profile_images/962471262747529216/Uo8lOkRJ_normal.jpg","View")</f>
        <v>View</v>
      </c>
      <c r="P9735" s="7"/>
    </row>
    <row r="9736" spans="1:16">
      <c r="A9736" s="3">
        <v>44085.096261574072</v>
      </c>
      <c r="B9736" s="4" t="str">
        <f>HYPERLINK("https://twitter.com/petrogustavo","@petrogustavo")</f>
        <v>@petrogustavo</v>
      </c>
      <c r="C9736" s="5" t="s">
        <v>16</v>
      </c>
      <c r="D9736" s="5" t="s">
        <v>9367</v>
      </c>
      <c r="E9736" s="6" t="str">
        <f>HYPERLINK("https://twitter.com/petrogustavo/status/1304159868211924993","1304159868211924993")</f>
        <v>1304159868211924993</v>
      </c>
      <c r="F9736" s="7" t="s">
        <v>17</v>
      </c>
      <c r="G9736" s="7">
        <v>3966016</v>
      </c>
      <c r="H9736" s="7">
        <v>2434</v>
      </c>
      <c r="I9736" s="7">
        <v>0</v>
      </c>
      <c r="J9736" s="7">
        <v>5</v>
      </c>
      <c r="K9736" s="7" t="s">
        <v>18</v>
      </c>
      <c r="L9736" s="8">
        <v>39987.315405092595</v>
      </c>
      <c r="M9736" s="9" t="s">
        <v>19</v>
      </c>
      <c r="N9736" s="9" t="s">
        <v>20</v>
      </c>
      <c r="O9736" s="6" t="str">
        <f>HYPERLINK("https://pbs.twimg.com/profile_images/962471262747529216/Uo8lOkRJ_normal.jpg","View")</f>
        <v>View</v>
      </c>
      <c r="P9736" s="7"/>
    </row>
    <row r="9737" spans="1:16">
      <c r="A9737" s="3">
        <v>44085.09988425926</v>
      </c>
      <c r="B9737" s="4" t="str">
        <f>HYPERLINK("https://twitter.com/petrogustavo","@petrogustavo")</f>
        <v>@petrogustavo</v>
      </c>
      <c r="C9737" s="5" t="s">
        <v>16</v>
      </c>
      <c r="D9737" s="5" t="s">
        <v>9368</v>
      </c>
      <c r="E9737" s="6" t="str">
        <f>HYPERLINK("https://twitter.com/petrogustavo/status/1304161183650451458","1304161183650451458")</f>
        <v>1304161183650451458</v>
      </c>
      <c r="F9737" s="7" t="s">
        <v>17</v>
      </c>
      <c r="G9737" s="7">
        <v>3966115</v>
      </c>
      <c r="H9737" s="7">
        <v>2435</v>
      </c>
      <c r="I9737" s="7">
        <v>291</v>
      </c>
      <c r="J9737" s="7">
        <v>1031</v>
      </c>
      <c r="K9737" s="7" t="s">
        <v>18</v>
      </c>
      <c r="L9737" s="8">
        <v>39987.315405092595</v>
      </c>
      <c r="M9737" s="9" t="s">
        <v>19</v>
      </c>
      <c r="N9737" s="9" t="s">
        <v>20</v>
      </c>
      <c r="O9737" s="6" t="str">
        <f>HYPERLINK("https://pbs.twimg.com/profile_images/962471262747529216/Uo8lOkRJ_normal.jpg","View")</f>
        <v>View</v>
      </c>
      <c r="P9737" s="7"/>
    </row>
    <row r="9738" spans="1:16">
      <c r="A9738" s="3">
        <v>44085.106979166667</v>
      </c>
      <c r="B9738" s="4" t="str">
        <f>HYPERLINK("https://twitter.com/petrogustavo","@petrogustavo")</f>
        <v>@petrogustavo</v>
      </c>
      <c r="C9738" s="5" t="s">
        <v>16</v>
      </c>
      <c r="D9738" s="5" t="s">
        <v>9318</v>
      </c>
      <c r="E9738" s="6" t="str">
        <f>HYPERLINK("https://twitter.com/petrogustavo/status/1304163751340519425","1304163751340519425")</f>
        <v>1304163751340519425</v>
      </c>
      <c r="F9738" s="7" t="s">
        <v>17</v>
      </c>
      <c r="G9738" s="7">
        <v>3966115</v>
      </c>
      <c r="H9738" s="7">
        <v>2435</v>
      </c>
      <c r="I9738" s="7">
        <v>2463</v>
      </c>
      <c r="J9738" s="7">
        <v>0</v>
      </c>
      <c r="K9738" s="7" t="s">
        <v>18</v>
      </c>
      <c r="L9738" s="8">
        <v>39987.315405092595</v>
      </c>
      <c r="M9738" s="9" t="s">
        <v>19</v>
      </c>
      <c r="N9738" s="9" t="s">
        <v>20</v>
      </c>
      <c r="O9738" s="6" t="str">
        <f>HYPERLINK("https://pbs.twimg.com/profile_images/962471262747529216/Uo8lOkRJ_normal.jpg","View")</f>
        <v>View</v>
      </c>
      <c r="P9738" s="7"/>
    </row>
    <row r="9739" spans="1:16">
      <c r="A9739" s="3">
        <v>44085.107152777782</v>
      </c>
      <c r="B9739" s="4" t="str">
        <f>HYPERLINK("https://twitter.com/petrogustavo","@petrogustavo")</f>
        <v>@petrogustavo</v>
      </c>
      <c r="C9739" s="5" t="s">
        <v>16</v>
      </c>
      <c r="D9739" s="5" t="s">
        <v>9369</v>
      </c>
      <c r="E9739" s="6" t="str">
        <f>HYPERLINK("https://twitter.com/petrogustavo/status/1304163817497268224","1304163817497268224")</f>
        <v>1304163817497268224</v>
      </c>
      <c r="F9739" s="7" t="s">
        <v>17</v>
      </c>
      <c r="G9739" s="7">
        <v>3966115</v>
      </c>
      <c r="H9739" s="7">
        <v>2435</v>
      </c>
      <c r="I9739" s="7">
        <v>1119</v>
      </c>
      <c r="J9739" s="7">
        <v>0</v>
      </c>
      <c r="K9739" s="7" t="s">
        <v>18</v>
      </c>
      <c r="L9739" s="8">
        <v>39987.315405092595</v>
      </c>
      <c r="M9739" s="9" t="s">
        <v>19</v>
      </c>
      <c r="N9739" s="9" t="s">
        <v>20</v>
      </c>
      <c r="O9739" s="6" t="str">
        <f>HYPERLINK("https://pbs.twimg.com/profile_images/962471262747529216/Uo8lOkRJ_normal.jpg","View")</f>
        <v>View</v>
      </c>
      <c r="P9739" s="7"/>
    </row>
    <row r="9740" spans="1:16">
      <c r="A9740" s="3">
        <v>44085.123877314814</v>
      </c>
      <c r="B9740" s="4" t="str">
        <f>HYPERLINK("https://twitter.com/petrogustavo","@petrogustavo")</f>
        <v>@petrogustavo</v>
      </c>
      <c r="C9740" s="5" t="s">
        <v>16</v>
      </c>
      <c r="D9740" s="5" t="s">
        <v>9370</v>
      </c>
      <c r="E9740" s="6" t="str">
        <f>HYPERLINK("https://twitter.com/petrogustavo/status/1304169876110614529","1304169876110614529")</f>
        <v>1304169876110614529</v>
      </c>
      <c r="F9740" s="7" t="s">
        <v>17</v>
      </c>
      <c r="G9740" s="7">
        <v>3966243</v>
      </c>
      <c r="H9740" s="7">
        <v>2435</v>
      </c>
      <c r="I9740" s="7">
        <v>393</v>
      </c>
      <c r="J9740" s="7">
        <v>1107</v>
      </c>
      <c r="K9740" s="7" t="s">
        <v>18</v>
      </c>
      <c r="L9740" s="8">
        <v>39987.315405092595</v>
      </c>
      <c r="M9740" s="9" t="s">
        <v>19</v>
      </c>
      <c r="N9740" s="9" t="s">
        <v>20</v>
      </c>
      <c r="O9740" s="6" t="str">
        <f>HYPERLINK("https://pbs.twimg.com/profile_images/962471262747529216/Uo8lOkRJ_normal.jpg","View")</f>
        <v>View</v>
      </c>
      <c r="P9740" s="7"/>
    </row>
    <row r="9741" spans="1:16">
      <c r="A9741" s="3">
        <v>44085.126076388886</v>
      </c>
      <c r="B9741" s="4" t="str">
        <f>HYPERLINK("https://twitter.com/petrogustavo","@petrogustavo")</f>
        <v>@petrogustavo</v>
      </c>
      <c r="C9741" s="5" t="s">
        <v>16</v>
      </c>
      <c r="D9741" s="5" t="s">
        <v>9371</v>
      </c>
      <c r="E9741" s="6" t="str">
        <f>HYPERLINK("https://twitter.com/petrogustavo/status/1304170671803715586","1304170671803715586")</f>
        <v>1304170671803715586</v>
      </c>
      <c r="F9741" s="7" t="s">
        <v>17</v>
      </c>
      <c r="G9741" s="7">
        <v>3966243</v>
      </c>
      <c r="H9741" s="7">
        <v>2435</v>
      </c>
      <c r="I9741" s="7">
        <v>196</v>
      </c>
      <c r="J9741" s="7">
        <v>543</v>
      </c>
      <c r="K9741" s="7" t="s">
        <v>18</v>
      </c>
      <c r="L9741" s="8">
        <v>39987.315405092595</v>
      </c>
      <c r="M9741" s="9" t="s">
        <v>19</v>
      </c>
      <c r="N9741" s="9" t="s">
        <v>20</v>
      </c>
      <c r="O9741" s="6" t="str">
        <f>HYPERLINK("https://pbs.twimg.com/profile_images/962471262747529216/Uo8lOkRJ_normal.jpg","View")</f>
        <v>View</v>
      </c>
      <c r="P9741" s="7"/>
    </row>
    <row r="9742" spans="1:16">
      <c r="A9742" s="3">
        <v>44085.128750000003</v>
      </c>
      <c r="B9742" s="4" t="str">
        <f>HYPERLINK("https://twitter.com/petrogustavo","@petrogustavo")</f>
        <v>@petrogustavo</v>
      </c>
      <c r="C9742" s="5" t="s">
        <v>16</v>
      </c>
      <c r="D9742" s="5" t="s">
        <v>9372</v>
      </c>
      <c r="E9742" s="6" t="str">
        <f>HYPERLINK("https://twitter.com/petrogustavo/status/1304171643477143552","1304171643477143552")</f>
        <v>1304171643477143552</v>
      </c>
      <c r="F9742" s="7" t="s">
        <v>17</v>
      </c>
      <c r="G9742" s="7">
        <v>3966243</v>
      </c>
      <c r="H9742" s="7">
        <v>2435</v>
      </c>
      <c r="I9742" s="7">
        <v>400</v>
      </c>
      <c r="J9742" s="7">
        <v>1325</v>
      </c>
      <c r="K9742" s="7" t="s">
        <v>18</v>
      </c>
      <c r="L9742" s="8">
        <v>39987.315405092595</v>
      </c>
      <c r="M9742" s="9" t="s">
        <v>19</v>
      </c>
      <c r="N9742" s="9" t="s">
        <v>20</v>
      </c>
      <c r="O9742" s="6" t="str">
        <f>HYPERLINK("https://pbs.twimg.com/profile_images/962471262747529216/Uo8lOkRJ_normal.jpg","View")</f>
        <v>View</v>
      </c>
      <c r="P9742" s="7"/>
    </row>
    <row r="9743" spans="1:16">
      <c r="A9743" s="3">
        <v>44085.138101851851</v>
      </c>
      <c r="B9743" s="4" t="str">
        <f>HYPERLINK("https://twitter.com/petrogustavo","@petrogustavo")</f>
        <v>@petrogustavo</v>
      </c>
      <c r="C9743" s="5" t="s">
        <v>16</v>
      </c>
      <c r="D9743" s="5" t="s">
        <v>9373</v>
      </c>
      <c r="E9743" s="6" t="str">
        <f>HYPERLINK("https://twitter.com/petrogustavo/status/1304175031451353088","1304175031451353088")</f>
        <v>1304175031451353088</v>
      </c>
      <c r="F9743" s="7" t="s">
        <v>17</v>
      </c>
      <c r="G9743" s="7">
        <v>3966331</v>
      </c>
      <c r="H9743" s="7">
        <v>2435</v>
      </c>
      <c r="I9743" s="7">
        <v>311</v>
      </c>
      <c r="J9743" s="7">
        <v>686</v>
      </c>
      <c r="K9743" s="7" t="s">
        <v>18</v>
      </c>
      <c r="L9743" s="8">
        <v>39987.315405092595</v>
      </c>
      <c r="M9743" s="9" t="s">
        <v>19</v>
      </c>
      <c r="N9743" s="9" t="s">
        <v>20</v>
      </c>
      <c r="O9743" s="6" t="str">
        <f>HYPERLINK("https://pbs.twimg.com/profile_images/962471262747529216/Uo8lOkRJ_normal.jpg","View")</f>
        <v>View</v>
      </c>
      <c r="P9743" s="7"/>
    </row>
    <row r="9744" spans="1:16">
      <c r="A9744" s="3">
        <v>44085.139340277776</v>
      </c>
      <c r="B9744" s="4" t="str">
        <f>HYPERLINK("https://twitter.com/petrogustavo","@petrogustavo")</f>
        <v>@petrogustavo</v>
      </c>
      <c r="C9744" s="5" t="s">
        <v>16</v>
      </c>
      <c r="D9744" s="5" t="s">
        <v>9374</v>
      </c>
      <c r="E9744" s="6" t="str">
        <f>HYPERLINK("https://twitter.com/petrogustavo/status/1304175478367031298","1304175478367031298")</f>
        <v>1304175478367031298</v>
      </c>
      <c r="F9744" s="7" t="s">
        <v>17</v>
      </c>
      <c r="G9744" s="7">
        <v>3966331</v>
      </c>
      <c r="H9744" s="7">
        <v>2435</v>
      </c>
      <c r="I9744" s="7">
        <v>127</v>
      </c>
      <c r="J9744" s="7">
        <v>350</v>
      </c>
      <c r="K9744" s="7" t="s">
        <v>18</v>
      </c>
      <c r="L9744" s="8">
        <v>39987.315405092595</v>
      </c>
      <c r="M9744" s="9" t="s">
        <v>19</v>
      </c>
      <c r="N9744" s="9" t="s">
        <v>20</v>
      </c>
      <c r="O9744" s="6" t="str">
        <f>HYPERLINK("https://pbs.twimg.com/profile_images/962471262747529216/Uo8lOkRJ_normal.jpg","View")</f>
        <v>View</v>
      </c>
      <c r="P9744" s="7"/>
    </row>
    <row r="9745" spans="1:16">
      <c r="A9745" s="3">
        <v>44085.141087962962</v>
      </c>
      <c r="B9745" s="4" t="str">
        <f>HYPERLINK("https://twitter.com/petrogustavo","@petrogustavo")</f>
        <v>@petrogustavo</v>
      </c>
      <c r="C9745" s="5" t="s">
        <v>16</v>
      </c>
      <c r="D9745" s="5" t="s">
        <v>9375</v>
      </c>
      <c r="E9745" s="6" t="str">
        <f>HYPERLINK("https://twitter.com/petrogustavo/status/1304176114886156290","1304176114886156290")</f>
        <v>1304176114886156290</v>
      </c>
      <c r="F9745" s="7" t="s">
        <v>17</v>
      </c>
      <c r="G9745" s="7">
        <v>3966331</v>
      </c>
      <c r="H9745" s="7">
        <v>2435</v>
      </c>
      <c r="I9745" s="7">
        <v>90</v>
      </c>
      <c r="J9745" s="7">
        <v>292</v>
      </c>
      <c r="K9745" s="7" t="s">
        <v>18</v>
      </c>
      <c r="L9745" s="8">
        <v>39987.315405092595</v>
      </c>
      <c r="M9745" s="9" t="s">
        <v>19</v>
      </c>
      <c r="N9745" s="9" t="s">
        <v>20</v>
      </c>
      <c r="O9745" s="6" t="str">
        <f>HYPERLINK("https://pbs.twimg.com/profile_images/962471262747529216/Uo8lOkRJ_normal.jpg","View")</f>
        <v>View</v>
      </c>
      <c r="P9745" s="7"/>
    </row>
    <row r="9746" spans="1:16">
      <c r="A9746" s="3">
        <v>44085.142523148148</v>
      </c>
      <c r="B9746" s="4" t="str">
        <f>HYPERLINK("https://twitter.com/petrogustavo","@petrogustavo")</f>
        <v>@petrogustavo</v>
      </c>
      <c r="C9746" s="5" t="s">
        <v>16</v>
      </c>
      <c r="D9746" s="5" t="s">
        <v>9376</v>
      </c>
      <c r="E9746" s="6" t="str">
        <f>HYPERLINK("https://twitter.com/petrogustavo/status/1304176633457315842","1304176633457315842")</f>
        <v>1304176633457315842</v>
      </c>
      <c r="F9746" s="7" t="s">
        <v>17</v>
      </c>
      <c r="G9746" s="7">
        <v>3966331</v>
      </c>
      <c r="H9746" s="7">
        <v>2435</v>
      </c>
      <c r="I9746" s="7">
        <v>293</v>
      </c>
      <c r="J9746" s="7">
        <v>577</v>
      </c>
      <c r="K9746" s="7" t="s">
        <v>18</v>
      </c>
      <c r="L9746" s="8">
        <v>39987.315405092595</v>
      </c>
      <c r="M9746" s="9" t="s">
        <v>19</v>
      </c>
      <c r="N9746" s="9" t="s">
        <v>20</v>
      </c>
      <c r="O9746" s="6" t="str">
        <f>HYPERLINK("https://pbs.twimg.com/profile_images/962471262747529216/Uo8lOkRJ_normal.jpg","View")</f>
        <v>View</v>
      </c>
      <c r="P9746" s="7"/>
    </row>
    <row r="9747" spans="1:16">
      <c r="A9747" s="3">
        <v>44085.151099537034</v>
      </c>
      <c r="B9747" s="4" t="str">
        <f>HYPERLINK("https://twitter.com/petrogustavo","@petrogustavo")</f>
        <v>@petrogustavo</v>
      </c>
      <c r="C9747" s="5" t="s">
        <v>16</v>
      </c>
      <c r="D9747" s="5" t="s">
        <v>9377</v>
      </c>
      <c r="E9747" s="6" t="str">
        <f>HYPERLINK("https://twitter.com/petrogustavo/status/1304179742787203075","1304179742787203075")</f>
        <v>1304179742787203075</v>
      </c>
      <c r="F9747" s="7" t="s">
        <v>17</v>
      </c>
      <c r="G9747" s="7">
        <v>3966331</v>
      </c>
      <c r="H9747" s="7">
        <v>2435</v>
      </c>
      <c r="I9747" s="7">
        <v>311</v>
      </c>
      <c r="J9747" s="7">
        <v>0</v>
      </c>
      <c r="K9747" s="7" t="s">
        <v>18</v>
      </c>
      <c r="L9747" s="8">
        <v>39987.315405092595</v>
      </c>
      <c r="M9747" s="9" t="s">
        <v>19</v>
      </c>
      <c r="N9747" s="9" t="s">
        <v>20</v>
      </c>
      <c r="O9747" s="6" t="str">
        <f>HYPERLINK("https://pbs.twimg.com/profile_images/962471262747529216/Uo8lOkRJ_normal.jpg","View")</f>
        <v>View</v>
      </c>
      <c r="P9747" s="7"/>
    </row>
    <row r="9748" spans="1:16">
      <c r="A9748" s="3">
        <v>44085.15420138889</v>
      </c>
      <c r="B9748" s="4" t="str">
        <f>HYPERLINK("https://twitter.com/petrogustavo","@petrogustavo")</f>
        <v>@petrogustavo</v>
      </c>
      <c r="C9748" s="5" t="s">
        <v>16</v>
      </c>
      <c r="D9748" s="5" t="s">
        <v>9378</v>
      </c>
      <c r="E9748" s="6" t="str">
        <f>HYPERLINK("https://twitter.com/petrogustavo/status/1304180865086488580","1304180865086488580")</f>
        <v>1304180865086488580</v>
      </c>
      <c r="F9748" s="7" t="s">
        <v>17</v>
      </c>
      <c r="G9748" s="7">
        <v>3966331</v>
      </c>
      <c r="H9748" s="7">
        <v>2435</v>
      </c>
      <c r="I9748" s="7">
        <v>128</v>
      </c>
      <c r="J9748" s="7">
        <v>270</v>
      </c>
      <c r="K9748" s="7" t="s">
        <v>18</v>
      </c>
      <c r="L9748" s="8">
        <v>39987.315405092595</v>
      </c>
      <c r="M9748" s="9" t="s">
        <v>19</v>
      </c>
      <c r="N9748" s="9" t="s">
        <v>20</v>
      </c>
      <c r="O9748" s="6" t="str">
        <f>HYPERLINK("https://pbs.twimg.com/profile_images/962471262747529216/Uo8lOkRJ_normal.jpg","View")</f>
        <v>View</v>
      </c>
      <c r="P9748" s="7"/>
    </row>
    <row r="9749" spans="1:16">
      <c r="A9749" s="3">
        <v>44085.158263888894</v>
      </c>
      <c r="B9749" s="4" t="str">
        <f>HYPERLINK("https://twitter.com/petrogustavo","@petrogustavo")</f>
        <v>@petrogustavo</v>
      </c>
      <c r="C9749" s="5" t="s">
        <v>16</v>
      </c>
      <c r="D9749" s="5" t="s">
        <v>9379</v>
      </c>
      <c r="E9749" s="6" t="str">
        <f>HYPERLINK("https://twitter.com/petrogustavo/status/1304182339375976449","1304182339375976449")</f>
        <v>1304182339375976449</v>
      </c>
      <c r="F9749" s="7" t="s">
        <v>17</v>
      </c>
      <c r="G9749" s="7">
        <v>3966331</v>
      </c>
      <c r="H9749" s="7">
        <v>2435</v>
      </c>
      <c r="I9749" s="7">
        <v>1</v>
      </c>
      <c r="J9749" s="7">
        <v>2</v>
      </c>
      <c r="K9749" s="7" t="s">
        <v>18</v>
      </c>
      <c r="L9749" s="8">
        <v>39987.315405092595</v>
      </c>
      <c r="M9749" s="9" t="s">
        <v>19</v>
      </c>
      <c r="N9749" s="9" t="s">
        <v>20</v>
      </c>
      <c r="O9749" s="6" t="str">
        <f>HYPERLINK("https://pbs.twimg.com/profile_images/962471262747529216/Uo8lOkRJ_normal.jpg","View")</f>
        <v>View</v>
      </c>
      <c r="P9749" s="7"/>
    </row>
    <row r="9750" spans="1:16">
      <c r="A9750" s="3">
        <v>44085.160868055551</v>
      </c>
      <c r="B9750" s="4" t="str">
        <f>HYPERLINK("https://twitter.com/petrogustavo","@petrogustavo")</f>
        <v>@petrogustavo</v>
      </c>
      <c r="C9750" s="5" t="s">
        <v>16</v>
      </c>
      <c r="D9750" s="5" t="s">
        <v>9380</v>
      </c>
      <c r="E9750" s="6" t="str">
        <f>HYPERLINK("https://twitter.com/petrogustavo/status/1304183280879783936","1304183280879783936")</f>
        <v>1304183280879783936</v>
      </c>
      <c r="F9750" s="7" t="s">
        <v>17</v>
      </c>
      <c r="G9750" s="7">
        <v>3966449</v>
      </c>
      <c r="H9750" s="7">
        <v>2435</v>
      </c>
      <c r="I9750" s="7">
        <v>209</v>
      </c>
      <c r="J9750" s="7">
        <v>619</v>
      </c>
      <c r="K9750" s="7" t="s">
        <v>18</v>
      </c>
      <c r="L9750" s="8">
        <v>39987.315405092595</v>
      </c>
      <c r="M9750" s="9" t="s">
        <v>19</v>
      </c>
      <c r="N9750" s="9" t="s">
        <v>20</v>
      </c>
      <c r="O9750" s="6" t="str">
        <f>HYPERLINK("https://pbs.twimg.com/profile_images/962471262747529216/Uo8lOkRJ_normal.jpg","View")</f>
        <v>View</v>
      </c>
      <c r="P9750" s="7"/>
    </row>
    <row r="9751" spans="1:16">
      <c r="A9751" s="3">
        <v>44085.165300925924</v>
      </c>
      <c r="B9751" s="4" t="str">
        <f>HYPERLINK("https://twitter.com/petrogustavo","@petrogustavo")</f>
        <v>@petrogustavo</v>
      </c>
      <c r="C9751" s="5" t="s">
        <v>16</v>
      </c>
      <c r="D9751" s="5" t="s">
        <v>9381</v>
      </c>
      <c r="E9751" s="6" t="str">
        <f>HYPERLINK("https://twitter.com/petrogustavo/status/1304184887600128000","1304184887600128000")</f>
        <v>1304184887600128000</v>
      </c>
      <c r="F9751" s="7" t="s">
        <v>17</v>
      </c>
      <c r="G9751" s="7">
        <v>3966449</v>
      </c>
      <c r="H9751" s="7">
        <v>2435</v>
      </c>
      <c r="I9751" s="7">
        <v>251</v>
      </c>
      <c r="J9751" s="7">
        <v>463</v>
      </c>
      <c r="K9751" s="7" t="s">
        <v>18</v>
      </c>
      <c r="L9751" s="8">
        <v>39987.315405092595</v>
      </c>
      <c r="M9751" s="9" t="s">
        <v>19</v>
      </c>
      <c r="N9751" s="9" t="s">
        <v>20</v>
      </c>
      <c r="O9751" s="6" t="str">
        <f>HYPERLINK("https://pbs.twimg.com/profile_images/962471262747529216/Uo8lOkRJ_normal.jpg","View")</f>
        <v>View</v>
      </c>
      <c r="P9751" s="7"/>
    </row>
    <row r="9752" spans="1:16">
      <c r="A9752" s="3">
        <v>44085.170856481476</v>
      </c>
      <c r="B9752" s="4" t="str">
        <f>HYPERLINK("https://twitter.com/petrogustavo","@petrogustavo")</f>
        <v>@petrogustavo</v>
      </c>
      <c r="C9752" s="5" t="s">
        <v>16</v>
      </c>
      <c r="D9752" s="5" t="s">
        <v>9382</v>
      </c>
      <c r="E9752" s="6" t="str">
        <f>HYPERLINK("https://twitter.com/petrogustavo/status/1304186902698962944","1304186902698962944")</f>
        <v>1304186902698962944</v>
      </c>
      <c r="F9752" s="7" t="s">
        <v>17</v>
      </c>
      <c r="G9752" s="7">
        <v>3966449</v>
      </c>
      <c r="H9752" s="7">
        <v>2435</v>
      </c>
      <c r="I9752" s="7">
        <v>132</v>
      </c>
      <c r="J9752" s="7">
        <v>259</v>
      </c>
      <c r="K9752" s="7" t="s">
        <v>18</v>
      </c>
      <c r="L9752" s="8">
        <v>39987.315405092595</v>
      </c>
      <c r="M9752" s="9" t="s">
        <v>19</v>
      </c>
      <c r="N9752" s="9" t="s">
        <v>20</v>
      </c>
      <c r="O9752" s="6" t="str">
        <f>HYPERLINK("https://pbs.twimg.com/profile_images/962471262747529216/Uo8lOkRJ_normal.jpg","View")</f>
        <v>View</v>
      </c>
      <c r="P9752" s="7"/>
    </row>
    <row r="9753" spans="1:16">
      <c r="A9753" s="3">
        <v>44085.172488425931</v>
      </c>
      <c r="B9753" s="4" t="str">
        <f>HYPERLINK("https://twitter.com/petrogustavo","@petrogustavo")</f>
        <v>@petrogustavo</v>
      </c>
      <c r="C9753" s="5" t="s">
        <v>16</v>
      </c>
      <c r="D9753" s="5" t="s">
        <v>9383</v>
      </c>
      <c r="E9753" s="6" t="str">
        <f>HYPERLINK("https://twitter.com/petrogustavo/status/1304187491839348744","1304187491839348744")</f>
        <v>1304187491839348744</v>
      </c>
      <c r="F9753" s="7" t="s">
        <v>17</v>
      </c>
      <c r="G9753" s="7">
        <v>3966449</v>
      </c>
      <c r="H9753" s="7">
        <v>2435</v>
      </c>
      <c r="I9753" s="7">
        <v>233</v>
      </c>
      <c r="J9753" s="7">
        <v>599</v>
      </c>
      <c r="K9753" s="7" t="s">
        <v>18</v>
      </c>
      <c r="L9753" s="8">
        <v>39987.315405092595</v>
      </c>
      <c r="M9753" s="9" t="s">
        <v>19</v>
      </c>
      <c r="N9753" s="9" t="s">
        <v>20</v>
      </c>
      <c r="O9753" s="6" t="str">
        <f>HYPERLINK("https://pbs.twimg.com/profile_images/962471262747529216/Uo8lOkRJ_normal.jpg","View")</f>
        <v>View</v>
      </c>
      <c r="P9753" s="7"/>
    </row>
    <row r="9754" spans="1:16">
      <c r="A9754" s="3">
        <v>44085.179259259261</v>
      </c>
      <c r="B9754" s="4" t="str">
        <f>HYPERLINK("https://twitter.com/petrogustavo","@petrogustavo")</f>
        <v>@petrogustavo</v>
      </c>
      <c r="C9754" s="5" t="s">
        <v>16</v>
      </c>
      <c r="D9754" s="5" t="s">
        <v>9384</v>
      </c>
      <c r="E9754" s="6" t="str">
        <f>HYPERLINK("https://twitter.com/petrogustavo/status/1304189944924176385","1304189944924176385")</f>
        <v>1304189944924176385</v>
      </c>
      <c r="F9754" s="7" t="s">
        <v>17</v>
      </c>
      <c r="G9754" s="7">
        <v>3966603</v>
      </c>
      <c r="H9754" s="7">
        <v>2435</v>
      </c>
      <c r="I9754" s="7">
        <v>218</v>
      </c>
      <c r="J9754" s="7">
        <v>422</v>
      </c>
      <c r="K9754" s="7" t="s">
        <v>18</v>
      </c>
      <c r="L9754" s="8">
        <v>39987.315405092595</v>
      </c>
      <c r="M9754" s="9" t="s">
        <v>19</v>
      </c>
      <c r="N9754" s="9" t="s">
        <v>20</v>
      </c>
      <c r="O9754" s="6" t="str">
        <f>HYPERLINK("https://pbs.twimg.com/profile_images/962471262747529216/Uo8lOkRJ_normal.jpg","View")</f>
        <v>View</v>
      </c>
      <c r="P9754" s="7"/>
    </row>
    <row r="9755" spans="1:16">
      <c r="A9755" s="3">
        <v>44085.180717592593</v>
      </c>
      <c r="B9755" s="4" t="str">
        <f>HYPERLINK("https://twitter.com/petrogustavo","@petrogustavo")</f>
        <v>@petrogustavo</v>
      </c>
      <c r="C9755" s="5" t="s">
        <v>16</v>
      </c>
      <c r="D9755" s="5" t="s">
        <v>9385</v>
      </c>
      <c r="E9755" s="6" t="str">
        <f>HYPERLINK("https://twitter.com/petrogustavo/status/1304190475050668032","1304190475050668032")</f>
        <v>1304190475050668032</v>
      </c>
      <c r="F9755" s="7" t="s">
        <v>17</v>
      </c>
      <c r="G9755" s="7">
        <v>3966603</v>
      </c>
      <c r="H9755" s="7">
        <v>2435</v>
      </c>
      <c r="I9755" s="7">
        <v>422</v>
      </c>
      <c r="J9755" s="7">
        <v>776</v>
      </c>
      <c r="K9755" s="7" t="s">
        <v>18</v>
      </c>
      <c r="L9755" s="8">
        <v>39987.315405092595</v>
      </c>
      <c r="M9755" s="9" t="s">
        <v>19</v>
      </c>
      <c r="N9755" s="9" t="s">
        <v>20</v>
      </c>
      <c r="O9755" s="6" t="str">
        <f>HYPERLINK("https://pbs.twimg.com/profile_images/962471262747529216/Uo8lOkRJ_normal.jpg","View")</f>
        <v>View</v>
      </c>
      <c r="P9755" s="7"/>
    </row>
    <row r="9756" spans="1:16">
      <c r="A9756" s="3">
        <v>44085.185706018514</v>
      </c>
      <c r="B9756" s="4" t="str">
        <f>HYPERLINK("https://twitter.com/petrogustavo","@petrogustavo")</f>
        <v>@petrogustavo</v>
      </c>
      <c r="C9756" s="5" t="s">
        <v>16</v>
      </c>
      <c r="D9756" s="5" t="s">
        <v>9386</v>
      </c>
      <c r="E9756" s="6" t="str">
        <f>HYPERLINK("https://twitter.com/petrogustavo/status/1304192284326612992","1304192284326612992")</f>
        <v>1304192284326612992</v>
      </c>
      <c r="F9756" s="7" t="s">
        <v>17</v>
      </c>
      <c r="G9756" s="7">
        <v>3966603</v>
      </c>
      <c r="H9756" s="7">
        <v>2435</v>
      </c>
      <c r="I9756" s="7">
        <v>1153</v>
      </c>
      <c r="J9756" s="7">
        <v>1798</v>
      </c>
      <c r="K9756" s="7" t="s">
        <v>18</v>
      </c>
      <c r="L9756" s="8">
        <v>39987.315405092595</v>
      </c>
      <c r="M9756" s="9" t="s">
        <v>19</v>
      </c>
      <c r="N9756" s="9" t="s">
        <v>20</v>
      </c>
      <c r="O9756" s="6" t="str">
        <f>HYPERLINK("https://pbs.twimg.com/profile_images/962471262747529216/Uo8lOkRJ_normal.jpg","View")</f>
        <v>View</v>
      </c>
      <c r="P9756" s="7"/>
    </row>
    <row r="9757" spans="1:16">
      <c r="A9757" s="3">
        <v>44085.186990740738</v>
      </c>
      <c r="B9757" s="4" t="str">
        <f>HYPERLINK("https://twitter.com/petrogustavo","@petrogustavo")</f>
        <v>@petrogustavo</v>
      </c>
      <c r="C9757" s="5" t="s">
        <v>16</v>
      </c>
      <c r="D9757" s="5" t="s">
        <v>9387</v>
      </c>
      <c r="E9757" s="6" t="str">
        <f>HYPERLINK("https://twitter.com/petrogustavo/status/1304192750020108296","1304192750020108296")</f>
        <v>1304192750020108296</v>
      </c>
      <c r="F9757" s="7" t="s">
        <v>17</v>
      </c>
      <c r="G9757" s="7">
        <v>3966603</v>
      </c>
      <c r="H9757" s="7">
        <v>2435</v>
      </c>
      <c r="I9757" s="7">
        <v>670</v>
      </c>
      <c r="J9757" s="7">
        <v>0</v>
      </c>
      <c r="K9757" s="7" t="s">
        <v>18</v>
      </c>
      <c r="L9757" s="8">
        <v>39987.315405092595</v>
      </c>
      <c r="M9757" s="9" t="s">
        <v>19</v>
      </c>
      <c r="N9757" s="9" t="s">
        <v>20</v>
      </c>
      <c r="O9757" s="6" t="str">
        <f>HYPERLINK("https://pbs.twimg.com/profile_images/962471262747529216/Uo8lOkRJ_normal.jpg","View")</f>
        <v>View</v>
      </c>
      <c r="P9757" s="7"/>
    </row>
    <row r="9758" spans="1:16">
      <c r="A9758" s="3">
        <v>44085.188391203701</v>
      </c>
      <c r="B9758" s="4" t="str">
        <f>HYPERLINK("https://twitter.com/petrogustavo","@petrogustavo")</f>
        <v>@petrogustavo</v>
      </c>
      <c r="C9758" s="5" t="s">
        <v>16</v>
      </c>
      <c r="D9758" s="5" t="s">
        <v>9388</v>
      </c>
      <c r="E9758" s="6" t="str">
        <f>HYPERLINK("https://twitter.com/petrogustavo/status/1304193255643512832","1304193255643512832")</f>
        <v>1304193255643512832</v>
      </c>
      <c r="F9758" s="7" t="s">
        <v>17</v>
      </c>
      <c r="G9758" s="7">
        <v>3966603</v>
      </c>
      <c r="H9758" s="7">
        <v>2435</v>
      </c>
      <c r="I9758" s="7">
        <v>422</v>
      </c>
      <c r="J9758" s="7">
        <v>0</v>
      </c>
      <c r="K9758" s="7" t="s">
        <v>18</v>
      </c>
      <c r="L9758" s="8">
        <v>39987.315405092595</v>
      </c>
      <c r="M9758" s="9" t="s">
        <v>19</v>
      </c>
      <c r="N9758" s="9" t="s">
        <v>20</v>
      </c>
      <c r="O9758" s="6" t="str">
        <f>HYPERLINK("https://pbs.twimg.com/profile_images/962471262747529216/Uo8lOkRJ_normal.jpg","View")</f>
        <v>View</v>
      </c>
      <c r="P9758" s="7"/>
    </row>
    <row r="9759" spans="1:16">
      <c r="A9759" s="3">
        <v>44085.189837962964</v>
      </c>
      <c r="B9759" s="4" t="str">
        <f>HYPERLINK("https://twitter.com/petrogustavo","@petrogustavo")</f>
        <v>@petrogustavo</v>
      </c>
      <c r="C9759" s="5" t="s">
        <v>16</v>
      </c>
      <c r="D9759" s="5" t="s">
        <v>9389</v>
      </c>
      <c r="E9759" s="6" t="str">
        <f>HYPERLINK("https://twitter.com/petrogustavo/status/1304193780480987136","1304193780480987136")</f>
        <v>1304193780480987136</v>
      </c>
      <c r="F9759" s="7" t="s">
        <v>17</v>
      </c>
      <c r="G9759" s="7">
        <v>3966603</v>
      </c>
      <c r="H9759" s="7">
        <v>2435</v>
      </c>
      <c r="I9759" s="7">
        <v>130</v>
      </c>
      <c r="J9759" s="7">
        <v>267</v>
      </c>
      <c r="K9759" s="7" t="s">
        <v>18</v>
      </c>
      <c r="L9759" s="8">
        <v>39987.315405092595</v>
      </c>
      <c r="M9759" s="9" t="s">
        <v>19</v>
      </c>
      <c r="N9759" s="9" t="s">
        <v>20</v>
      </c>
      <c r="O9759" s="6" t="str">
        <f>HYPERLINK("https://pbs.twimg.com/profile_images/962471262747529216/Uo8lOkRJ_normal.jpg","View")</f>
        <v>View</v>
      </c>
      <c r="P9759" s="7"/>
    </row>
    <row r="9760" spans="1:16">
      <c r="A9760" s="3">
        <v>44085.194212962961</v>
      </c>
      <c r="B9760" s="4" t="str">
        <f>HYPERLINK("https://twitter.com/petrogustavo","@petrogustavo")</f>
        <v>@petrogustavo</v>
      </c>
      <c r="C9760" s="5" t="s">
        <v>16</v>
      </c>
      <c r="D9760" s="5" t="s">
        <v>9390</v>
      </c>
      <c r="E9760" s="6" t="str">
        <f>HYPERLINK("https://twitter.com/petrogustavo/status/1304195363553894405","1304195363553894405")</f>
        <v>1304195363553894405</v>
      </c>
      <c r="F9760" s="7" t="s">
        <v>17</v>
      </c>
      <c r="G9760" s="7">
        <v>3966603</v>
      </c>
      <c r="H9760" s="7">
        <v>2435</v>
      </c>
      <c r="I9760" s="7">
        <v>154</v>
      </c>
      <c r="J9760" s="7">
        <v>238</v>
      </c>
      <c r="K9760" s="7" t="s">
        <v>18</v>
      </c>
      <c r="L9760" s="8">
        <v>39987.315405092595</v>
      </c>
      <c r="M9760" s="9" t="s">
        <v>19</v>
      </c>
      <c r="N9760" s="9" t="s">
        <v>20</v>
      </c>
      <c r="O9760" s="6" t="str">
        <f>HYPERLINK("https://pbs.twimg.com/profile_images/962471262747529216/Uo8lOkRJ_normal.jpg","View")</f>
        <v>View</v>
      </c>
      <c r="P9760" s="7"/>
    </row>
    <row r="9761" spans="1:16">
      <c r="A9761" s="3">
        <v>44085.243495370371</v>
      </c>
      <c r="B9761" s="4" t="str">
        <f>HYPERLINK("https://twitter.com/petrogustavo","@petrogustavo")</f>
        <v>@petrogustavo</v>
      </c>
      <c r="C9761" s="5" t="s">
        <v>16</v>
      </c>
      <c r="D9761" s="5" t="s">
        <v>9391</v>
      </c>
      <c r="E9761" s="6" t="str">
        <f>HYPERLINK("https://twitter.com/petrogustavo/status/1304213224909352965","1304213224909352965")</f>
        <v>1304213224909352965</v>
      </c>
      <c r="F9761" s="7" t="s">
        <v>17</v>
      </c>
      <c r="G9761" s="7">
        <v>3966993</v>
      </c>
      <c r="H9761" s="7">
        <v>2435</v>
      </c>
      <c r="I9761" s="7">
        <v>696</v>
      </c>
      <c r="J9761" s="7">
        <v>1179</v>
      </c>
      <c r="K9761" s="7" t="s">
        <v>18</v>
      </c>
      <c r="L9761" s="8">
        <v>39987.315405092595</v>
      </c>
      <c r="M9761" s="9" t="s">
        <v>19</v>
      </c>
      <c r="N9761" s="9" t="s">
        <v>20</v>
      </c>
      <c r="O9761" s="6" t="str">
        <f>HYPERLINK("https://pbs.twimg.com/profile_images/962471262747529216/Uo8lOkRJ_normal.jpg","View")</f>
        <v>View</v>
      </c>
      <c r="P9761" s="7"/>
    </row>
    <row r="9762" spans="1:16">
      <c r="A9762" s="3">
        <v>44085.244479166664</v>
      </c>
      <c r="B9762" s="4" t="str">
        <f>HYPERLINK("https://twitter.com/petrogustavo","@petrogustavo")</f>
        <v>@petrogustavo</v>
      </c>
      <c r="C9762" s="5" t="s">
        <v>16</v>
      </c>
      <c r="D9762" s="5" t="s">
        <v>9392</v>
      </c>
      <c r="E9762" s="6" t="str">
        <f>HYPERLINK("https://twitter.com/petrogustavo/status/1304213580963885057","1304213580963885057")</f>
        <v>1304213580963885057</v>
      </c>
      <c r="F9762" s="7" t="s">
        <v>17</v>
      </c>
      <c r="G9762" s="7">
        <v>3966993</v>
      </c>
      <c r="H9762" s="7">
        <v>2435</v>
      </c>
      <c r="I9762" s="7">
        <v>730</v>
      </c>
      <c r="J9762" s="7">
        <v>1130</v>
      </c>
      <c r="K9762" s="7" t="s">
        <v>18</v>
      </c>
      <c r="L9762" s="8">
        <v>39987.315405092595</v>
      </c>
      <c r="M9762" s="9" t="s">
        <v>19</v>
      </c>
      <c r="N9762" s="9" t="s">
        <v>20</v>
      </c>
      <c r="O9762" s="6" t="str">
        <f>HYPERLINK("https://pbs.twimg.com/profile_images/962471262747529216/Uo8lOkRJ_normal.jpg","View")</f>
        <v>View</v>
      </c>
      <c r="P9762" s="7"/>
    </row>
    <row r="9763" spans="1:16">
      <c r="A9763" s="3">
        <v>44085.248888888891</v>
      </c>
      <c r="B9763" s="4" t="str">
        <f>HYPERLINK("https://twitter.com/petrogustavo","@petrogustavo")</f>
        <v>@petrogustavo</v>
      </c>
      <c r="C9763" s="5" t="s">
        <v>16</v>
      </c>
      <c r="D9763" s="5" t="s">
        <v>9393</v>
      </c>
      <c r="E9763" s="6" t="str">
        <f>HYPERLINK("https://twitter.com/petrogustavo/status/1304215179639623682","1304215179639623682")</f>
        <v>1304215179639623682</v>
      </c>
      <c r="F9763" s="7" t="s">
        <v>17</v>
      </c>
      <c r="G9763" s="7">
        <v>3966993</v>
      </c>
      <c r="H9763" s="7">
        <v>2435</v>
      </c>
      <c r="I9763" s="7">
        <v>194</v>
      </c>
      <c r="J9763" s="7">
        <v>563</v>
      </c>
      <c r="K9763" s="7" t="s">
        <v>18</v>
      </c>
      <c r="L9763" s="8">
        <v>39987.315405092595</v>
      </c>
      <c r="M9763" s="9" t="s">
        <v>19</v>
      </c>
      <c r="N9763" s="9" t="s">
        <v>20</v>
      </c>
      <c r="O9763" s="6" t="str">
        <f>HYPERLINK("https://pbs.twimg.com/profile_images/962471262747529216/Uo8lOkRJ_normal.jpg","View")</f>
        <v>View</v>
      </c>
      <c r="P9763" s="7"/>
    </row>
    <row r="9764" spans="1:16">
      <c r="A9764" s="3">
        <v>44085.250127314815</v>
      </c>
      <c r="B9764" s="4" t="str">
        <f>HYPERLINK("https://twitter.com/petrogustavo","@petrogustavo")</f>
        <v>@petrogustavo</v>
      </c>
      <c r="C9764" s="5" t="s">
        <v>16</v>
      </c>
      <c r="D9764" s="5" t="s">
        <v>9394</v>
      </c>
      <c r="E9764" s="6" t="str">
        <f>HYPERLINK("https://twitter.com/petrogustavo/status/1304215628996382720","1304215628996382720")</f>
        <v>1304215628996382720</v>
      </c>
      <c r="F9764" s="7" t="s">
        <v>17</v>
      </c>
      <c r="G9764" s="7">
        <v>3966993</v>
      </c>
      <c r="H9764" s="7">
        <v>2435</v>
      </c>
      <c r="I9764" s="7">
        <v>151</v>
      </c>
      <c r="J9764" s="7">
        <v>394</v>
      </c>
      <c r="K9764" s="7" t="s">
        <v>18</v>
      </c>
      <c r="L9764" s="8">
        <v>39987.315405092595</v>
      </c>
      <c r="M9764" s="9" t="s">
        <v>19</v>
      </c>
      <c r="N9764" s="9" t="s">
        <v>20</v>
      </c>
      <c r="O9764" s="6" t="str">
        <f>HYPERLINK("https://pbs.twimg.com/profile_images/962471262747529216/Uo8lOkRJ_normal.jpg","View")</f>
        <v>View</v>
      </c>
      <c r="P9764" s="7"/>
    </row>
    <row r="9765" spans="1:16">
      <c r="A9765" s="3">
        <v>44085.250821759255</v>
      </c>
      <c r="B9765" s="4" t="str">
        <f>HYPERLINK("https://twitter.com/petrogustavo","@petrogustavo")</f>
        <v>@petrogustavo</v>
      </c>
      <c r="C9765" s="5" t="s">
        <v>16</v>
      </c>
      <c r="D9765" s="5" t="s">
        <v>9395</v>
      </c>
      <c r="E9765" s="6" t="str">
        <f>HYPERLINK("https://twitter.com/petrogustavo/status/1304215877685055488","1304215877685055488")</f>
        <v>1304215877685055488</v>
      </c>
      <c r="F9765" s="7" t="s">
        <v>17</v>
      </c>
      <c r="G9765" s="7">
        <v>3966993</v>
      </c>
      <c r="H9765" s="7">
        <v>2435</v>
      </c>
      <c r="I9765" s="7">
        <v>162</v>
      </c>
      <c r="J9765" s="7">
        <v>413</v>
      </c>
      <c r="K9765" s="7" t="s">
        <v>18</v>
      </c>
      <c r="L9765" s="8">
        <v>39987.315405092595</v>
      </c>
      <c r="M9765" s="9" t="s">
        <v>19</v>
      </c>
      <c r="N9765" s="9" t="s">
        <v>20</v>
      </c>
      <c r="O9765" s="6" t="str">
        <f>HYPERLINK("https://pbs.twimg.com/profile_images/962471262747529216/Uo8lOkRJ_normal.jpg","View")</f>
        <v>View</v>
      </c>
      <c r="P9765" s="7"/>
    </row>
    <row r="9766" spans="1:16">
      <c r="A9766" s="3">
        <v>44085.256678240738</v>
      </c>
      <c r="B9766" s="4" t="str">
        <f>HYPERLINK("https://twitter.com/petrogustavo","@petrogustavo")</f>
        <v>@petrogustavo</v>
      </c>
      <c r="C9766" s="5" t="s">
        <v>16</v>
      </c>
      <c r="D9766" s="5" t="s">
        <v>9396</v>
      </c>
      <c r="E9766" s="6" t="str">
        <f>HYPERLINK("https://twitter.com/petrogustavo/status/1304218001949028352","1304218001949028352")</f>
        <v>1304218001949028352</v>
      </c>
      <c r="F9766" s="7" t="s">
        <v>17</v>
      </c>
      <c r="G9766" s="7">
        <v>3966993</v>
      </c>
      <c r="H9766" s="7">
        <v>2435</v>
      </c>
      <c r="I9766" s="7">
        <v>189</v>
      </c>
      <c r="J9766" s="7">
        <v>556</v>
      </c>
      <c r="K9766" s="7" t="s">
        <v>18</v>
      </c>
      <c r="L9766" s="8">
        <v>39987.315405092595</v>
      </c>
      <c r="M9766" s="9" t="s">
        <v>19</v>
      </c>
      <c r="N9766" s="9" t="s">
        <v>20</v>
      </c>
      <c r="O9766" s="6" t="str">
        <f>HYPERLINK("https://pbs.twimg.com/profile_images/962471262747529216/Uo8lOkRJ_normal.jpg","View")</f>
        <v>View</v>
      </c>
      <c r="P9766" s="7"/>
    </row>
    <row r="9767" spans="1:16">
      <c r="A9767" s="3">
        <v>44085.257511574076</v>
      </c>
      <c r="B9767" s="4" t="str">
        <f>HYPERLINK("https://twitter.com/petrogustavo","@petrogustavo")</f>
        <v>@petrogustavo</v>
      </c>
      <c r="C9767" s="5" t="s">
        <v>16</v>
      </c>
      <c r="D9767" s="5" t="s">
        <v>9397</v>
      </c>
      <c r="E9767" s="6" t="str">
        <f>HYPERLINK("https://twitter.com/petrogustavo/status/1304218301959200771","1304218301959200771")</f>
        <v>1304218301959200771</v>
      </c>
      <c r="F9767" s="7" t="s">
        <v>17</v>
      </c>
      <c r="G9767" s="7">
        <v>3966993</v>
      </c>
      <c r="H9767" s="7">
        <v>2435</v>
      </c>
      <c r="I9767" s="7">
        <v>135</v>
      </c>
      <c r="J9767" s="7">
        <v>381</v>
      </c>
      <c r="K9767" s="7" t="s">
        <v>18</v>
      </c>
      <c r="L9767" s="8">
        <v>39987.315405092595</v>
      </c>
      <c r="M9767" s="9" t="s">
        <v>19</v>
      </c>
      <c r="N9767" s="9" t="s">
        <v>20</v>
      </c>
      <c r="O9767" s="6" t="str">
        <f>HYPERLINK("https://pbs.twimg.com/profile_images/962471262747529216/Uo8lOkRJ_normal.jpg","View")</f>
        <v>View</v>
      </c>
      <c r="P9767" s="7"/>
    </row>
    <row r="9768" spans="1:16">
      <c r="A9768" s="3">
        <v>44085.258379629631</v>
      </c>
      <c r="B9768" s="4" t="str">
        <f>HYPERLINK("https://twitter.com/petrogustavo","@petrogustavo")</f>
        <v>@petrogustavo</v>
      </c>
      <c r="C9768" s="5" t="s">
        <v>16</v>
      </c>
      <c r="D9768" s="5" t="s">
        <v>9398</v>
      </c>
      <c r="E9768" s="6" t="str">
        <f>HYPERLINK("https://twitter.com/petrogustavo/status/1304218618272665600","1304218618272665600")</f>
        <v>1304218618272665600</v>
      </c>
      <c r="F9768" s="7" t="s">
        <v>17</v>
      </c>
      <c r="G9768" s="7">
        <v>3966993</v>
      </c>
      <c r="H9768" s="7">
        <v>2435</v>
      </c>
      <c r="I9768" s="7">
        <v>106</v>
      </c>
      <c r="J9768" s="7">
        <v>237</v>
      </c>
      <c r="K9768" s="7" t="s">
        <v>18</v>
      </c>
      <c r="L9768" s="8">
        <v>39987.315405092595</v>
      </c>
      <c r="M9768" s="9" t="s">
        <v>19</v>
      </c>
      <c r="N9768" s="9" t="s">
        <v>20</v>
      </c>
      <c r="O9768" s="6" t="str">
        <f>HYPERLINK("https://pbs.twimg.com/profile_images/962471262747529216/Uo8lOkRJ_normal.jpg","View")</f>
        <v>View</v>
      </c>
      <c r="P9768" s="7"/>
    </row>
    <row r="9769" spans="1:16">
      <c r="A9769" s="3">
        <v>44085.289039351846</v>
      </c>
      <c r="B9769" s="4" t="str">
        <f>HYPERLINK("https://twitter.com/petrogustavo","@petrogustavo")</f>
        <v>@petrogustavo</v>
      </c>
      <c r="C9769" s="5" t="s">
        <v>16</v>
      </c>
      <c r="D9769" s="5" t="s">
        <v>9399</v>
      </c>
      <c r="E9769" s="6" t="str">
        <f>HYPERLINK("https://twitter.com/petrogustavo/status/1304229728157659137","1304229728157659137")</f>
        <v>1304229728157659137</v>
      </c>
      <c r="F9769" s="7" t="s">
        <v>17</v>
      </c>
      <c r="G9769" s="7">
        <v>3967364</v>
      </c>
      <c r="H9769" s="7">
        <v>2436</v>
      </c>
      <c r="I9769" s="7">
        <v>568</v>
      </c>
      <c r="J9769" s="7">
        <v>914</v>
      </c>
      <c r="K9769" s="7" t="s">
        <v>18</v>
      </c>
      <c r="L9769" s="8">
        <v>39987.315405092595</v>
      </c>
      <c r="M9769" s="9" t="s">
        <v>19</v>
      </c>
      <c r="N9769" s="9" t="s">
        <v>20</v>
      </c>
      <c r="O9769" s="6" t="str">
        <f>HYPERLINK("https://pbs.twimg.com/profile_images/962471262747529216/Uo8lOkRJ_normal.jpg","View")</f>
        <v>View</v>
      </c>
      <c r="P9769" s="7"/>
    </row>
    <row r="9770" spans="1:16">
      <c r="A9770" s="3">
        <v>44085.290243055555</v>
      </c>
      <c r="B9770" s="4" t="str">
        <f>HYPERLINK("https://twitter.com/petrogustavo","@petrogustavo")</f>
        <v>@petrogustavo</v>
      </c>
      <c r="C9770" s="5" t="s">
        <v>16</v>
      </c>
      <c r="D9770" s="5" t="s">
        <v>9400</v>
      </c>
      <c r="E9770" s="6" t="str">
        <f>HYPERLINK("https://twitter.com/petrogustavo/status/1304230165325787139","1304230165325787139")</f>
        <v>1304230165325787139</v>
      </c>
      <c r="F9770" s="7" t="s">
        <v>17</v>
      </c>
      <c r="G9770" s="7">
        <v>3967364</v>
      </c>
      <c r="H9770" s="7">
        <v>2436</v>
      </c>
      <c r="I9770" s="7">
        <v>213</v>
      </c>
      <c r="J9770" s="7">
        <v>591</v>
      </c>
      <c r="K9770" s="7" t="s">
        <v>18</v>
      </c>
      <c r="L9770" s="8">
        <v>39987.315405092595</v>
      </c>
      <c r="M9770" s="9" t="s">
        <v>19</v>
      </c>
      <c r="N9770" s="9" t="s">
        <v>20</v>
      </c>
      <c r="O9770" s="6" t="str">
        <f>HYPERLINK("https://pbs.twimg.com/profile_images/962471262747529216/Uo8lOkRJ_normal.jpg","View")</f>
        <v>View</v>
      </c>
      <c r="P9770" s="7"/>
    </row>
    <row r="9771" spans="1:16">
      <c r="A9771" s="3">
        <v>44085.294120370367</v>
      </c>
      <c r="B9771" s="4" t="str">
        <f>HYPERLINK("https://twitter.com/petrogustavo","@petrogustavo")</f>
        <v>@petrogustavo</v>
      </c>
      <c r="C9771" s="5" t="s">
        <v>16</v>
      </c>
      <c r="D9771" s="5" t="s">
        <v>9401</v>
      </c>
      <c r="E9771" s="6" t="str">
        <f>HYPERLINK("https://twitter.com/petrogustavo/status/1304231571109576704","1304231571109576704")</f>
        <v>1304231571109576704</v>
      </c>
      <c r="F9771" s="7" t="s">
        <v>17</v>
      </c>
      <c r="G9771" s="7">
        <v>3967364</v>
      </c>
      <c r="H9771" s="7">
        <v>2436</v>
      </c>
      <c r="I9771" s="7">
        <v>294</v>
      </c>
      <c r="J9771" s="7">
        <v>788</v>
      </c>
      <c r="K9771" s="7" t="s">
        <v>18</v>
      </c>
      <c r="L9771" s="8">
        <v>39987.315405092595</v>
      </c>
      <c r="M9771" s="9" t="s">
        <v>19</v>
      </c>
      <c r="N9771" s="9" t="s">
        <v>20</v>
      </c>
      <c r="O9771" s="6" t="str">
        <f>HYPERLINK("https://pbs.twimg.com/profile_images/962471262747529216/Uo8lOkRJ_normal.jpg","View")</f>
        <v>View</v>
      </c>
      <c r="P9771" s="7"/>
    </row>
    <row r="9772" spans="1:16">
      <c r="A9772" s="3">
        <v>44085.295162037037</v>
      </c>
      <c r="B9772" s="4" t="str">
        <f>HYPERLINK("https://twitter.com/petrogustavo","@petrogustavo")</f>
        <v>@petrogustavo</v>
      </c>
      <c r="C9772" s="5" t="s">
        <v>16</v>
      </c>
      <c r="D9772" s="5" t="s">
        <v>9402</v>
      </c>
      <c r="E9772" s="6" t="str">
        <f>HYPERLINK("https://twitter.com/petrogustavo/status/1304231948345315329","1304231948345315329")</f>
        <v>1304231948345315329</v>
      </c>
      <c r="F9772" s="7" t="s">
        <v>17</v>
      </c>
      <c r="G9772" s="7">
        <v>3967364</v>
      </c>
      <c r="H9772" s="7">
        <v>2436</v>
      </c>
      <c r="I9772" s="7">
        <v>215</v>
      </c>
      <c r="J9772" s="7">
        <v>538</v>
      </c>
      <c r="K9772" s="7" t="s">
        <v>18</v>
      </c>
      <c r="L9772" s="8">
        <v>39987.315405092595</v>
      </c>
      <c r="M9772" s="9" t="s">
        <v>19</v>
      </c>
      <c r="N9772" s="9" t="s">
        <v>20</v>
      </c>
      <c r="O9772" s="6" t="str">
        <f>HYPERLINK("https://pbs.twimg.com/profile_images/962471262747529216/Uo8lOkRJ_normal.jpg","View")</f>
        <v>View</v>
      </c>
      <c r="P9772" s="7"/>
    </row>
    <row r="9773" spans="1:16">
      <c r="A9773" s="3">
        <v>44085.299710648149</v>
      </c>
      <c r="B9773" s="4" t="str">
        <f>HYPERLINK("https://twitter.com/petrogustavo","@petrogustavo")</f>
        <v>@petrogustavo</v>
      </c>
      <c r="C9773" s="5" t="s">
        <v>16</v>
      </c>
      <c r="D9773" s="5" t="s">
        <v>9403</v>
      </c>
      <c r="E9773" s="6" t="str">
        <f>HYPERLINK("https://twitter.com/petrogustavo/status/1304233595918331909","1304233595918331909")</f>
        <v>1304233595918331909</v>
      </c>
      <c r="F9773" s="7" t="s">
        <v>17</v>
      </c>
      <c r="G9773" s="7">
        <v>3967364</v>
      </c>
      <c r="H9773" s="7">
        <v>2436</v>
      </c>
      <c r="I9773" s="7">
        <v>132</v>
      </c>
      <c r="J9773" s="7">
        <v>291</v>
      </c>
      <c r="K9773" s="7" t="s">
        <v>18</v>
      </c>
      <c r="L9773" s="8">
        <v>39987.315405092595</v>
      </c>
      <c r="M9773" s="9" t="s">
        <v>19</v>
      </c>
      <c r="N9773" s="9" t="s">
        <v>20</v>
      </c>
      <c r="O9773" s="6" t="str">
        <f>HYPERLINK("https://pbs.twimg.com/profile_images/962471262747529216/Uo8lOkRJ_normal.jpg","View")</f>
        <v>View</v>
      </c>
      <c r="P9773" s="7"/>
    </row>
    <row r="9774" spans="1:16">
      <c r="A9774" s="3">
        <v>44085.301527777774</v>
      </c>
      <c r="B9774" s="4" t="str">
        <f>HYPERLINK("https://twitter.com/petrogustavo","@petrogustavo")</f>
        <v>@petrogustavo</v>
      </c>
      <c r="C9774" s="5" t="s">
        <v>16</v>
      </c>
      <c r="D9774" s="5" t="s">
        <v>9404</v>
      </c>
      <c r="E9774" s="6" t="str">
        <f>HYPERLINK("https://twitter.com/petrogustavo/status/1304234252935008256","1304234252935008256")</f>
        <v>1304234252935008256</v>
      </c>
      <c r="F9774" s="7" t="s">
        <v>17</v>
      </c>
      <c r="G9774" s="7">
        <v>3967364</v>
      </c>
      <c r="H9774" s="7">
        <v>2436</v>
      </c>
      <c r="I9774" s="7">
        <v>103</v>
      </c>
      <c r="J9774" s="7">
        <v>197</v>
      </c>
      <c r="K9774" s="7" t="s">
        <v>18</v>
      </c>
      <c r="L9774" s="8">
        <v>39987.315405092595</v>
      </c>
      <c r="M9774" s="9" t="s">
        <v>19</v>
      </c>
      <c r="N9774" s="9" t="s">
        <v>20</v>
      </c>
      <c r="O9774" s="6" t="str">
        <f>HYPERLINK("https://pbs.twimg.com/profile_images/962471262747529216/Uo8lOkRJ_normal.jpg","View")</f>
        <v>View</v>
      </c>
      <c r="P9774" s="7"/>
    </row>
    <row r="9775" spans="1:16">
      <c r="A9775" s="3">
        <v>44085.304930555554</v>
      </c>
      <c r="B9775" s="4" t="str">
        <f>HYPERLINK("https://twitter.com/petrogustavo","@petrogustavo")</f>
        <v>@petrogustavo</v>
      </c>
      <c r="C9775" s="5" t="s">
        <v>16</v>
      </c>
      <c r="D9775" s="5" t="s">
        <v>9405</v>
      </c>
      <c r="E9775" s="6" t="str">
        <f>HYPERLINK("https://twitter.com/petrogustavo/status/1304235487574462464","1304235487574462464")</f>
        <v>1304235487574462464</v>
      </c>
      <c r="F9775" s="7" t="s">
        <v>17</v>
      </c>
      <c r="G9775" s="7">
        <v>3967522</v>
      </c>
      <c r="H9775" s="7">
        <v>2436</v>
      </c>
      <c r="I9775" s="7">
        <v>442</v>
      </c>
      <c r="J9775" s="7">
        <v>665</v>
      </c>
      <c r="K9775" s="7" t="s">
        <v>18</v>
      </c>
      <c r="L9775" s="8">
        <v>39987.315405092595</v>
      </c>
      <c r="M9775" s="9" t="s">
        <v>19</v>
      </c>
      <c r="N9775" s="9" t="s">
        <v>20</v>
      </c>
      <c r="O9775" s="6" t="str">
        <f>HYPERLINK("https://pbs.twimg.com/profile_images/962471262747529216/Uo8lOkRJ_normal.jpg","View")</f>
        <v>View</v>
      </c>
      <c r="P9775" s="7"/>
    </row>
    <row r="9776" spans="1:16">
      <c r="A9776" s="3">
        <v>44085.306493055556</v>
      </c>
      <c r="B9776" s="4" t="str">
        <f>HYPERLINK("https://twitter.com/petrogustavo","@petrogustavo")</f>
        <v>@petrogustavo</v>
      </c>
      <c r="C9776" s="5" t="s">
        <v>16</v>
      </c>
      <c r="D9776" s="5" t="s">
        <v>9406</v>
      </c>
      <c r="E9776" s="6" t="str">
        <f>HYPERLINK("https://twitter.com/petrogustavo/status/1304236055684669445","1304236055684669445")</f>
        <v>1304236055684669445</v>
      </c>
      <c r="F9776" s="7" t="s">
        <v>17</v>
      </c>
      <c r="G9776" s="7">
        <v>3967522</v>
      </c>
      <c r="H9776" s="7">
        <v>2436</v>
      </c>
      <c r="I9776" s="7">
        <v>855</v>
      </c>
      <c r="J9776" s="7">
        <v>1213</v>
      </c>
      <c r="K9776" s="7" t="s">
        <v>18</v>
      </c>
      <c r="L9776" s="8">
        <v>39987.315405092595</v>
      </c>
      <c r="M9776" s="9" t="s">
        <v>19</v>
      </c>
      <c r="N9776" s="9" t="s">
        <v>20</v>
      </c>
      <c r="O9776" s="6" t="str">
        <f>HYPERLINK("https://pbs.twimg.com/profile_images/962471262747529216/Uo8lOkRJ_normal.jpg","View")</f>
        <v>View</v>
      </c>
      <c r="P9776" s="7"/>
    </row>
    <row r="9777" spans="1:16">
      <c r="A9777" s="3">
        <v>44085.308946759258</v>
      </c>
      <c r="B9777" s="4" t="str">
        <f>HYPERLINK("https://twitter.com/petrogustavo","@petrogustavo")</f>
        <v>@petrogustavo</v>
      </c>
      <c r="C9777" s="5" t="s">
        <v>16</v>
      </c>
      <c r="D9777" s="5" t="s">
        <v>9407</v>
      </c>
      <c r="E9777" s="6" t="str">
        <f>HYPERLINK("https://twitter.com/petrogustavo/status/1304236944373800961","1304236944373800961")</f>
        <v>1304236944373800961</v>
      </c>
      <c r="F9777" s="7" t="s">
        <v>17</v>
      </c>
      <c r="G9777" s="7">
        <v>3967522</v>
      </c>
      <c r="H9777" s="7">
        <v>2436</v>
      </c>
      <c r="I9777" s="7">
        <v>348</v>
      </c>
      <c r="J9777" s="7">
        <v>502</v>
      </c>
      <c r="K9777" s="7" t="s">
        <v>18</v>
      </c>
      <c r="L9777" s="8">
        <v>39987.315405092595</v>
      </c>
      <c r="M9777" s="9" t="s">
        <v>19</v>
      </c>
      <c r="N9777" s="9" t="s">
        <v>20</v>
      </c>
      <c r="O9777" s="6" t="str">
        <f>HYPERLINK("https://pbs.twimg.com/profile_images/962471262747529216/Uo8lOkRJ_normal.jpg","View")</f>
        <v>View</v>
      </c>
      <c r="P9777" s="7"/>
    </row>
    <row r="9778" spans="1:16">
      <c r="A9778" s="3">
        <v>44085.309699074074</v>
      </c>
      <c r="B9778" s="4" t="str">
        <f>HYPERLINK("https://twitter.com/petrogustavo","@petrogustavo")</f>
        <v>@petrogustavo</v>
      </c>
      <c r="C9778" s="5" t="s">
        <v>16</v>
      </c>
      <c r="D9778" s="5" t="s">
        <v>9408</v>
      </c>
      <c r="E9778" s="6" t="str">
        <f>HYPERLINK("https://twitter.com/petrogustavo/status/1304237215703347201","1304237215703347201")</f>
        <v>1304237215703347201</v>
      </c>
      <c r="F9778" s="7" t="s">
        <v>17</v>
      </c>
      <c r="G9778" s="7">
        <v>3967522</v>
      </c>
      <c r="H9778" s="7">
        <v>2436</v>
      </c>
      <c r="I9778" s="7">
        <v>662</v>
      </c>
      <c r="J9778" s="7">
        <v>2410</v>
      </c>
      <c r="K9778" s="7" t="s">
        <v>18</v>
      </c>
      <c r="L9778" s="8">
        <v>39987.315405092595</v>
      </c>
      <c r="M9778" s="9" t="s">
        <v>19</v>
      </c>
      <c r="N9778" s="9" t="s">
        <v>20</v>
      </c>
      <c r="O9778" s="6" t="str">
        <f>HYPERLINK("https://pbs.twimg.com/profile_images/962471262747529216/Uo8lOkRJ_normal.jpg","View")</f>
        <v>View</v>
      </c>
      <c r="P9778" s="7"/>
    </row>
    <row r="9779" spans="1:16">
      <c r="A9779" s="3">
        <v>44085.310613425929</v>
      </c>
      <c r="B9779" s="4" t="str">
        <f>HYPERLINK("https://twitter.com/petrogustavo","@petrogustavo")</f>
        <v>@petrogustavo</v>
      </c>
      <c r="C9779" s="5" t="s">
        <v>16</v>
      </c>
      <c r="D9779" s="5" t="s">
        <v>9409</v>
      </c>
      <c r="E9779" s="6" t="str">
        <f>HYPERLINK("https://twitter.com/petrogustavo/status/1304237546738724865","1304237546738724865")</f>
        <v>1304237546738724865</v>
      </c>
      <c r="F9779" s="7" t="s">
        <v>17</v>
      </c>
      <c r="G9779" s="7">
        <v>3967522</v>
      </c>
      <c r="H9779" s="7">
        <v>2436</v>
      </c>
      <c r="I9779" s="7">
        <v>658</v>
      </c>
      <c r="J9779" s="7">
        <v>0</v>
      </c>
      <c r="K9779" s="7" t="s">
        <v>18</v>
      </c>
      <c r="L9779" s="8">
        <v>39987.315405092595</v>
      </c>
      <c r="M9779" s="9" t="s">
        <v>19</v>
      </c>
      <c r="N9779" s="9" t="s">
        <v>20</v>
      </c>
      <c r="O9779" s="6" t="str">
        <f>HYPERLINK("https://pbs.twimg.com/profile_images/962471262747529216/Uo8lOkRJ_normal.jpg","View")</f>
        <v>View</v>
      </c>
      <c r="P9779" s="7"/>
    </row>
    <row r="9780" spans="1:16">
      <c r="A9780" s="3">
        <v>44085.311979166669</v>
      </c>
      <c r="B9780" s="4" t="str">
        <f>HYPERLINK("https://twitter.com/petrogustavo","@petrogustavo")</f>
        <v>@petrogustavo</v>
      </c>
      <c r="C9780" s="5" t="s">
        <v>16</v>
      </c>
      <c r="D9780" s="5" t="s">
        <v>9410</v>
      </c>
      <c r="E9780" s="6" t="str">
        <f>HYPERLINK("https://twitter.com/petrogustavo/status/1304238041624645632","1304238041624645632")</f>
        <v>1304238041624645632</v>
      </c>
      <c r="F9780" s="7" t="s">
        <v>17</v>
      </c>
      <c r="G9780" s="7">
        <v>3967522</v>
      </c>
      <c r="H9780" s="7">
        <v>2436</v>
      </c>
      <c r="I9780" s="7">
        <v>452</v>
      </c>
      <c r="J9780" s="7">
        <v>792</v>
      </c>
      <c r="K9780" s="7" t="s">
        <v>18</v>
      </c>
      <c r="L9780" s="8">
        <v>39987.315405092595</v>
      </c>
      <c r="M9780" s="9" t="s">
        <v>19</v>
      </c>
      <c r="N9780" s="9" t="s">
        <v>20</v>
      </c>
      <c r="O9780" s="6" t="str">
        <f>HYPERLINK("https://pbs.twimg.com/profile_images/962471262747529216/Uo8lOkRJ_normal.jpg","View")</f>
        <v>View</v>
      </c>
      <c r="P9780" s="7"/>
    </row>
    <row r="9781" spans="1:16">
      <c r="A9781" s="3">
        <v>44085.314826388887</v>
      </c>
      <c r="B9781" s="4" t="str">
        <f>HYPERLINK("https://twitter.com/petrogustavo","@petrogustavo")</f>
        <v>@petrogustavo</v>
      </c>
      <c r="C9781" s="5" t="s">
        <v>16</v>
      </c>
      <c r="D9781" s="5" t="s">
        <v>9411</v>
      </c>
      <c r="E9781" s="6" t="str">
        <f>HYPERLINK("https://twitter.com/petrogustavo/status/1304239075738648576","1304239075738648576")</f>
        <v>1304239075738648576</v>
      </c>
      <c r="F9781" s="7" t="s">
        <v>17</v>
      </c>
      <c r="G9781" s="7">
        <v>3967522</v>
      </c>
      <c r="H9781" s="7">
        <v>2436</v>
      </c>
      <c r="I9781" s="7">
        <v>292</v>
      </c>
      <c r="J9781" s="7">
        <v>501</v>
      </c>
      <c r="K9781" s="7" t="s">
        <v>18</v>
      </c>
      <c r="L9781" s="8">
        <v>39987.315405092595</v>
      </c>
      <c r="M9781" s="9" t="s">
        <v>19</v>
      </c>
      <c r="N9781" s="9" t="s">
        <v>20</v>
      </c>
      <c r="O9781" s="6" t="str">
        <f>HYPERLINK("https://pbs.twimg.com/profile_images/962471262747529216/Uo8lOkRJ_normal.jpg","View")</f>
        <v>View</v>
      </c>
      <c r="P9781" s="7"/>
    </row>
    <row r="9782" spans="1:16">
      <c r="A9782" s="3">
        <v>44085.317812499998</v>
      </c>
      <c r="B9782" s="4" t="str">
        <f>HYPERLINK("https://twitter.com/petrogustavo","@petrogustavo")</f>
        <v>@petrogustavo</v>
      </c>
      <c r="C9782" s="5" t="s">
        <v>16</v>
      </c>
      <c r="D9782" s="5" t="s">
        <v>9412</v>
      </c>
      <c r="E9782" s="6" t="str">
        <f>HYPERLINK("https://twitter.com/petrogustavo/status/1304240156237590530","1304240156237590530")</f>
        <v>1304240156237590530</v>
      </c>
      <c r="F9782" s="7" t="s">
        <v>17</v>
      </c>
      <c r="G9782" s="7">
        <v>3967522</v>
      </c>
      <c r="H9782" s="7">
        <v>2436</v>
      </c>
      <c r="I9782" s="7">
        <v>694</v>
      </c>
      <c r="J9782" s="7">
        <v>2035</v>
      </c>
      <c r="K9782" s="7" t="s">
        <v>18</v>
      </c>
      <c r="L9782" s="8">
        <v>39987.315405092595</v>
      </c>
      <c r="M9782" s="9" t="s">
        <v>19</v>
      </c>
      <c r="N9782" s="9" t="s">
        <v>20</v>
      </c>
      <c r="O9782" s="6" t="str">
        <f>HYPERLINK("https://pbs.twimg.com/profile_images/962471262747529216/Uo8lOkRJ_normal.jpg","View")</f>
        <v>View</v>
      </c>
      <c r="P9782" s="7"/>
    </row>
    <row r="9783" spans="1:16">
      <c r="A9783" s="3">
        <v>44085.320717592593</v>
      </c>
      <c r="B9783" s="4" t="str">
        <f>HYPERLINK("https://twitter.com/petrogustavo","@petrogustavo")</f>
        <v>@petrogustavo</v>
      </c>
      <c r="C9783" s="5" t="s">
        <v>16</v>
      </c>
      <c r="D9783" s="5" t="s">
        <v>9413</v>
      </c>
      <c r="E9783" s="6" t="str">
        <f>HYPERLINK("https://twitter.com/petrogustavo/status/1304241210303877120","1304241210303877120")</f>
        <v>1304241210303877120</v>
      </c>
      <c r="F9783" s="7" t="s">
        <v>17</v>
      </c>
      <c r="G9783" s="7">
        <v>3967522</v>
      </c>
      <c r="H9783" s="7">
        <v>2436</v>
      </c>
      <c r="I9783" s="7">
        <v>323</v>
      </c>
      <c r="J9783" s="7">
        <v>501</v>
      </c>
      <c r="K9783" s="7" t="s">
        <v>18</v>
      </c>
      <c r="L9783" s="8">
        <v>39987.315405092595</v>
      </c>
      <c r="M9783" s="9" t="s">
        <v>19</v>
      </c>
      <c r="N9783" s="9" t="s">
        <v>20</v>
      </c>
      <c r="O9783" s="6" t="str">
        <f>HYPERLINK("https://pbs.twimg.com/profile_images/962471262747529216/Uo8lOkRJ_normal.jpg","View")</f>
        <v>View</v>
      </c>
      <c r="P9783" s="7"/>
    </row>
    <row r="9784" spans="1:16">
      <c r="A9784" s="3">
        <v>44085.322997685187</v>
      </c>
      <c r="B9784" s="4" t="str">
        <f>HYPERLINK("https://twitter.com/petrogustavo","@petrogustavo")</f>
        <v>@petrogustavo</v>
      </c>
      <c r="C9784" s="5" t="s">
        <v>16</v>
      </c>
      <c r="D9784" s="5" t="s">
        <v>9414</v>
      </c>
      <c r="E9784" s="6" t="str">
        <f>HYPERLINK("https://twitter.com/petrogustavo/status/1304242037311578113","1304242037311578113")</f>
        <v>1304242037311578113</v>
      </c>
      <c r="F9784" s="7" t="s">
        <v>17</v>
      </c>
      <c r="G9784" s="7">
        <v>3967522</v>
      </c>
      <c r="H9784" s="7">
        <v>2436</v>
      </c>
      <c r="I9784" s="7">
        <v>155</v>
      </c>
      <c r="J9784" s="7">
        <v>307</v>
      </c>
      <c r="K9784" s="7" t="s">
        <v>18</v>
      </c>
      <c r="L9784" s="8">
        <v>39987.315405092595</v>
      </c>
      <c r="M9784" s="9" t="s">
        <v>19</v>
      </c>
      <c r="N9784" s="9" t="s">
        <v>20</v>
      </c>
      <c r="O9784" s="6" t="str">
        <f>HYPERLINK("https://pbs.twimg.com/profile_images/962471262747529216/Uo8lOkRJ_normal.jpg","View")</f>
        <v>View</v>
      </c>
      <c r="P9784" s="7"/>
    </row>
    <row r="9785" spans="1:16">
      <c r="A9785" s="3">
        <v>44085.324293981481</v>
      </c>
      <c r="B9785" s="4" t="str">
        <f>HYPERLINK("https://twitter.com/petrogustavo","@petrogustavo")</f>
        <v>@petrogustavo</v>
      </c>
      <c r="C9785" s="5" t="s">
        <v>16</v>
      </c>
      <c r="D9785" s="5" t="s">
        <v>9415</v>
      </c>
      <c r="E9785" s="6" t="str">
        <f>HYPERLINK("https://twitter.com/petrogustavo/status/1304242504372551680","1304242504372551680")</f>
        <v>1304242504372551680</v>
      </c>
      <c r="F9785" s="7" t="s">
        <v>17</v>
      </c>
      <c r="G9785" s="7">
        <v>3967522</v>
      </c>
      <c r="H9785" s="7">
        <v>2436</v>
      </c>
      <c r="I9785" s="7">
        <v>66</v>
      </c>
      <c r="J9785" s="7">
        <v>128</v>
      </c>
      <c r="K9785" s="7" t="s">
        <v>18</v>
      </c>
      <c r="L9785" s="8">
        <v>39987.315405092595</v>
      </c>
      <c r="M9785" s="9" t="s">
        <v>19</v>
      </c>
      <c r="N9785" s="9" t="s">
        <v>20</v>
      </c>
      <c r="O9785" s="6" t="str">
        <f>HYPERLINK("https://pbs.twimg.com/profile_images/962471262747529216/Uo8lOkRJ_normal.jpg","View")</f>
        <v>View</v>
      </c>
      <c r="P9785" s="7"/>
    </row>
    <row r="9786" spans="1:16">
      <c r="A9786" s="3">
        <v>44085.324884259258</v>
      </c>
      <c r="B9786" s="4" t="str">
        <f>HYPERLINK("https://twitter.com/petrogustavo","@petrogustavo")</f>
        <v>@petrogustavo</v>
      </c>
      <c r="C9786" s="5" t="s">
        <v>16</v>
      </c>
      <c r="D9786" s="5" t="s">
        <v>9416</v>
      </c>
      <c r="E9786" s="6" t="str">
        <f>HYPERLINK("https://twitter.com/petrogustavo/status/1304242718676258817","1304242718676258817")</f>
        <v>1304242718676258817</v>
      </c>
      <c r="F9786" s="7" t="s">
        <v>17</v>
      </c>
      <c r="G9786" s="7">
        <v>3967522</v>
      </c>
      <c r="H9786" s="7">
        <v>2436</v>
      </c>
      <c r="I9786" s="7">
        <v>14</v>
      </c>
      <c r="J9786" s="7">
        <v>27</v>
      </c>
      <c r="K9786" s="7" t="s">
        <v>18</v>
      </c>
      <c r="L9786" s="8">
        <v>39987.315405092595</v>
      </c>
      <c r="M9786" s="9" t="s">
        <v>19</v>
      </c>
      <c r="N9786" s="9" t="s">
        <v>20</v>
      </c>
      <c r="O9786" s="6" t="str">
        <f>HYPERLINK("https://pbs.twimg.com/profile_images/962471262747529216/Uo8lOkRJ_normal.jpg","View")</f>
        <v>View</v>
      </c>
      <c r="P9786" s="7"/>
    </row>
    <row r="9787" spans="1:16">
      <c r="A9787" s="3">
        <v>44085.325590277775</v>
      </c>
      <c r="B9787" s="4" t="str">
        <f>HYPERLINK("https://twitter.com/petrogustavo","@petrogustavo")</f>
        <v>@petrogustavo</v>
      </c>
      <c r="C9787" s="5" t="s">
        <v>16</v>
      </c>
      <c r="D9787" s="5" t="s">
        <v>9417</v>
      </c>
      <c r="E9787" s="6" t="str">
        <f>HYPERLINK("https://twitter.com/petrogustavo/status/1304242976055529472","1304242976055529472")</f>
        <v>1304242976055529472</v>
      </c>
      <c r="F9787" s="7" t="s">
        <v>17</v>
      </c>
      <c r="G9787" s="7">
        <v>3967713</v>
      </c>
      <c r="H9787" s="7">
        <v>2436</v>
      </c>
      <c r="I9787" s="7">
        <v>309</v>
      </c>
      <c r="J9787" s="7">
        <v>526</v>
      </c>
      <c r="K9787" s="7" t="s">
        <v>18</v>
      </c>
      <c r="L9787" s="8">
        <v>39987.315405092595</v>
      </c>
      <c r="M9787" s="9" t="s">
        <v>19</v>
      </c>
      <c r="N9787" s="9" t="s">
        <v>20</v>
      </c>
      <c r="O9787" s="6" t="str">
        <f>HYPERLINK("https://pbs.twimg.com/profile_images/962471262747529216/Uo8lOkRJ_normal.jpg","View")</f>
        <v>View</v>
      </c>
      <c r="P9787" s="7"/>
    </row>
    <row r="9788" spans="1:16">
      <c r="A9788" s="3">
        <v>44085.329108796301</v>
      </c>
      <c r="B9788" s="4" t="str">
        <f>HYPERLINK("https://twitter.com/petrogustavo","@petrogustavo")</f>
        <v>@petrogustavo</v>
      </c>
      <c r="C9788" s="5" t="s">
        <v>16</v>
      </c>
      <c r="D9788" s="5" t="s">
        <v>9418</v>
      </c>
      <c r="E9788" s="6" t="str">
        <f>HYPERLINK("https://twitter.com/petrogustavo/status/1304244251761541121","1304244251761541121")</f>
        <v>1304244251761541121</v>
      </c>
      <c r="F9788" s="7" t="s">
        <v>17</v>
      </c>
      <c r="G9788" s="7">
        <v>3967713</v>
      </c>
      <c r="H9788" s="7">
        <v>2436</v>
      </c>
      <c r="I9788" s="7">
        <v>230</v>
      </c>
      <c r="J9788" s="7">
        <v>501</v>
      </c>
      <c r="K9788" s="7" t="s">
        <v>18</v>
      </c>
      <c r="L9788" s="8">
        <v>39987.315405092595</v>
      </c>
      <c r="M9788" s="9" t="s">
        <v>19</v>
      </c>
      <c r="N9788" s="9" t="s">
        <v>20</v>
      </c>
      <c r="O9788" s="6" t="str">
        <f>HYPERLINK("https://pbs.twimg.com/profile_images/962471262747529216/Uo8lOkRJ_normal.jpg","View")</f>
        <v>View</v>
      </c>
      <c r="P9788" s="7"/>
    </row>
    <row r="9789" spans="1:16">
      <c r="A9789" s="3">
        <v>44085.330810185187</v>
      </c>
      <c r="B9789" s="4" t="str">
        <f>HYPERLINK("https://twitter.com/petrogustavo","@petrogustavo")</f>
        <v>@petrogustavo</v>
      </c>
      <c r="C9789" s="5" t="s">
        <v>16</v>
      </c>
      <c r="D9789" s="5" t="s">
        <v>9419</v>
      </c>
      <c r="E9789" s="6" t="str">
        <f>HYPERLINK("https://twitter.com/petrogustavo/status/1304244866608660480","1304244866608660480")</f>
        <v>1304244866608660480</v>
      </c>
      <c r="F9789" s="7" t="s">
        <v>17</v>
      </c>
      <c r="G9789" s="7">
        <v>3967713</v>
      </c>
      <c r="H9789" s="7">
        <v>2436</v>
      </c>
      <c r="I9789" s="7">
        <v>248</v>
      </c>
      <c r="J9789" s="7">
        <v>479</v>
      </c>
      <c r="K9789" s="7" t="s">
        <v>18</v>
      </c>
      <c r="L9789" s="8">
        <v>39987.315405092595</v>
      </c>
      <c r="M9789" s="9" t="s">
        <v>19</v>
      </c>
      <c r="N9789" s="9" t="s">
        <v>20</v>
      </c>
      <c r="O9789" s="6" t="str">
        <f>HYPERLINK("https://pbs.twimg.com/profile_images/962471262747529216/Uo8lOkRJ_normal.jpg","View")</f>
        <v>View</v>
      </c>
      <c r="P9789" s="7"/>
    </row>
    <row r="9790" spans="1:16">
      <c r="A9790" s="3">
        <v>44085.33211805555</v>
      </c>
      <c r="B9790" s="4" t="str">
        <f>HYPERLINK("https://twitter.com/petrogustavo","@petrogustavo")</f>
        <v>@petrogustavo</v>
      </c>
      <c r="C9790" s="5" t="s">
        <v>16</v>
      </c>
      <c r="D9790" s="5" t="s">
        <v>9420</v>
      </c>
      <c r="E9790" s="6" t="str">
        <f>HYPERLINK("https://twitter.com/petrogustavo/status/1304245340711858176","1304245340711858176")</f>
        <v>1304245340711858176</v>
      </c>
      <c r="F9790" s="7" t="s">
        <v>17</v>
      </c>
      <c r="G9790" s="7">
        <v>3967713</v>
      </c>
      <c r="H9790" s="7">
        <v>2436</v>
      </c>
      <c r="I9790" s="7">
        <v>1637</v>
      </c>
      <c r="J9790" s="7">
        <v>0</v>
      </c>
      <c r="K9790" s="7" t="s">
        <v>18</v>
      </c>
      <c r="L9790" s="8">
        <v>39987.315405092595</v>
      </c>
      <c r="M9790" s="9" t="s">
        <v>19</v>
      </c>
      <c r="N9790" s="9" t="s">
        <v>20</v>
      </c>
      <c r="O9790" s="6" t="str">
        <f>HYPERLINK("https://pbs.twimg.com/profile_images/962471262747529216/Uo8lOkRJ_normal.jpg","View")</f>
        <v>View</v>
      </c>
      <c r="P9790" s="7"/>
    </row>
    <row r="9791" spans="1:16">
      <c r="A9791" s="3">
        <v>44085.335648148146</v>
      </c>
      <c r="B9791" s="4" t="str">
        <f>HYPERLINK("https://twitter.com/petrogustavo","@petrogustavo")</f>
        <v>@petrogustavo</v>
      </c>
      <c r="C9791" s="5" t="s">
        <v>16</v>
      </c>
      <c r="D9791" s="5" t="s">
        <v>9421</v>
      </c>
      <c r="E9791" s="6" t="str">
        <f>HYPERLINK("https://twitter.com/petrogustavo/status/1304246621664956416","1304246621664956416")</f>
        <v>1304246621664956416</v>
      </c>
      <c r="F9791" s="7" t="s">
        <v>17</v>
      </c>
      <c r="G9791" s="7">
        <v>3967713</v>
      </c>
      <c r="H9791" s="7">
        <v>2436</v>
      </c>
      <c r="I9791" s="7">
        <v>141</v>
      </c>
      <c r="J9791" s="7">
        <v>379</v>
      </c>
      <c r="K9791" s="7" t="s">
        <v>18</v>
      </c>
      <c r="L9791" s="8">
        <v>39987.315405092595</v>
      </c>
      <c r="M9791" s="9" t="s">
        <v>19</v>
      </c>
      <c r="N9791" s="9" t="s">
        <v>20</v>
      </c>
      <c r="O9791" s="6" t="str">
        <f>HYPERLINK("https://pbs.twimg.com/profile_images/962471262747529216/Uo8lOkRJ_normal.jpg","View")</f>
        <v>View</v>
      </c>
      <c r="P9791" s="7"/>
    </row>
    <row r="9792" spans="1:16">
      <c r="A9792" s="3">
        <v>44085.337789351848</v>
      </c>
      <c r="B9792" s="4" t="str">
        <f>HYPERLINK("https://twitter.com/petrogustavo","@petrogustavo")</f>
        <v>@petrogustavo</v>
      </c>
      <c r="C9792" s="5" t="s">
        <v>16</v>
      </c>
      <c r="D9792" s="5" t="s">
        <v>9422</v>
      </c>
      <c r="E9792" s="6" t="str">
        <f>HYPERLINK("https://twitter.com/petrogustavo/status/1304247394511523841","1304247394511523841")</f>
        <v>1304247394511523841</v>
      </c>
      <c r="F9792" s="7" t="s">
        <v>17</v>
      </c>
      <c r="G9792" s="7">
        <v>3967713</v>
      </c>
      <c r="H9792" s="7">
        <v>2436</v>
      </c>
      <c r="I9792" s="7">
        <v>397</v>
      </c>
      <c r="J9792" s="7">
        <v>575</v>
      </c>
      <c r="K9792" s="7" t="s">
        <v>18</v>
      </c>
      <c r="L9792" s="8">
        <v>39987.315405092595</v>
      </c>
      <c r="M9792" s="9" t="s">
        <v>19</v>
      </c>
      <c r="N9792" s="9" t="s">
        <v>20</v>
      </c>
      <c r="O9792" s="6" t="str">
        <f>HYPERLINK("https://pbs.twimg.com/profile_images/962471262747529216/Uo8lOkRJ_normal.jpg","View")</f>
        <v>View</v>
      </c>
      <c r="P9792" s="7"/>
    </row>
    <row r="9793" spans="1:16">
      <c r="A9793" s="3">
        <v>44085.341053240743</v>
      </c>
      <c r="B9793" s="4" t="str">
        <f>HYPERLINK("https://twitter.com/petrogustavo","@petrogustavo")</f>
        <v>@petrogustavo</v>
      </c>
      <c r="C9793" s="5" t="s">
        <v>16</v>
      </c>
      <c r="D9793" s="5" t="s">
        <v>9423</v>
      </c>
      <c r="E9793" s="6" t="str">
        <f>HYPERLINK("https://twitter.com/petrogustavo/status/1304248576743219200","1304248576743219200")</f>
        <v>1304248576743219200</v>
      </c>
      <c r="F9793" s="7" t="s">
        <v>17</v>
      </c>
      <c r="G9793" s="7">
        <v>3967713</v>
      </c>
      <c r="H9793" s="7">
        <v>2436</v>
      </c>
      <c r="I9793" s="7">
        <v>191</v>
      </c>
      <c r="J9793" s="7">
        <v>645</v>
      </c>
      <c r="K9793" s="7" t="s">
        <v>18</v>
      </c>
      <c r="L9793" s="8">
        <v>39987.315405092595</v>
      </c>
      <c r="M9793" s="9" t="s">
        <v>19</v>
      </c>
      <c r="N9793" s="9" t="s">
        <v>20</v>
      </c>
      <c r="O9793" s="6" t="str">
        <f>HYPERLINK("https://pbs.twimg.com/profile_images/962471262747529216/Uo8lOkRJ_normal.jpg","View")</f>
        <v>View</v>
      </c>
      <c r="P9793" s="7"/>
    </row>
    <row r="9794" spans="1:16">
      <c r="A9794" s="3">
        <v>44085.344027777777</v>
      </c>
      <c r="B9794" s="4" t="str">
        <f>HYPERLINK("https://twitter.com/petrogustavo","@petrogustavo")</f>
        <v>@petrogustavo</v>
      </c>
      <c r="C9794" s="5" t="s">
        <v>16</v>
      </c>
      <c r="D9794" s="5" t="s">
        <v>9424</v>
      </c>
      <c r="E9794" s="6" t="str">
        <f>HYPERLINK("https://twitter.com/petrogustavo/status/1304249654838800384","1304249654838800384")</f>
        <v>1304249654838800384</v>
      </c>
      <c r="F9794" s="7" t="s">
        <v>17</v>
      </c>
      <c r="G9794" s="7">
        <v>3967713</v>
      </c>
      <c r="H9794" s="7">
        <v>2436</v>
      </c>
      <c r="I9794" s="7">
        <v>78</v>
      </c>
      <c r="J9794" s="7">
        <v>160</v>
      </c>
      <c r="K9794" s="7" t="s">
        <v>18</v>
      </c>
      <c r="L9794" s="8">
        <v>39987.315405092595</v>
      </c>
      <c r="M9794" s="9" t="s">
        <v>19</v>
      </c>
      <c r="N9794" s="9" t="s">
        <v>20</v>
      </c>
      <c r="O9794" s="6" t="str">
        <f>HYPERLINK("https://pbs.twimg.com/profile_images/962471262747529216/Uo8lOkRJ_normal.jpg","View")</f>
        <v>View</v>
      </c>
      <c r="P9794" s="7"/>
    </row>
    <row r="9795" spans="1:16">
      <c r="A9795" s="3">
        <v>44085.348263888889</v>
      </c>
      <c r="B9795" s="4" t="str">
        <f>HYPERLINK("https://twitter.com/petrogustavo","@petrogustavo")</f>
        <v>@petrogustavo</v>
      </c>
      <c r="C9795" s="5" t="s">
        <v>16</v>
      </c>
      <c r="D9795" s="5" t="s">
        <v>9425</v>
      </c>
      <c r="E9795" s="6" t="str">
        <f>HYPERLINK("https://twitter.com/petrogustavo/status/1304251192856510465","1304251192856510465")</f>
        <v>1304251192856510465</v>
      </c>
      <c r="F9795" s="7" t="s">
        <v>17</v>
      </c>
      <c r="G9795" s="7">
        <v>3967884</v>
      </c>
      <c r="H9795" s="7">
        <v>2436</v>
      </c>
      <c r="I9795" s="7">
        <v>313</v>
      </c>
      <c r="J9795" s="7">
        <v>645</v>
      </c>
      <c r="K9795" s="7" t="s">
        <v>18</v>
      </c>
      <c r="L9795" s="8">
        <v>39987.315405092595</v>
      </c>
      <c r="M9795" s="9" t="s">
        <v>19</v>
      </c>
      <c r="N9795" s="9" t="s">
        <v>20</v>
      </c>
      <c r="O9795" s="6" t="str">
        <f>HYPERLINK("https://pbs.twimg.com/profile_images/962471262747529216/Uo8lOkRJ_normal.jpg","View")</f>
        <v>View</v>
      </c>
      <c r="P9795" s="7"/>
    </row>
    <row r="9796" spans="1:16">
      <c r="A9796" s="3">
        <v>44085.349340277782</v>
      </c>
      <c r="B9796" s="4" t="str">
        <f>HYPERLINK("https://twitter.com/petrogustavo","@petrogustavo")</f>
        <v>@petrogustavo</v>
      </c>
      <c r="C9796" s="5" t="s">
        <v>16</v>
      </c>
      <c r="D9796" s="5" t="s">
        <v>9426</v>
      </c>
      <c r="E9796" s="6" t="str">
        <f>HYPERLINK("https://twitter.com/petrogustavo/status/1304251581232222211","1304251581232222211")</f>
        <v>1304251581232222211</v>
      </c>
      <c r="F9796" s="7" t="s">
        <v>17</v>
      </c>
      <c r="G9796" s="7">
        <v>3967884</v>
      </c>
      <c r="H9796" s="7">
        <v>2436</v>
      </c>
      <c r="I9796" s="7">
        <v>390</v>
      </c>
      <c r="J9796" s="7">
        <v>715</v>
      </c>
      <c r="K9796" s="7" t="s">
        <v>18</v>
      </c>
      <c r="L9796" s="8">
        <v>39987.315405092595</v>
      </c>
      <c r="M9796" s="9" t="s">
        <v>19</v>
      </c>
      <c r="N9796" s="9" t="s">
        <v>20</v>
      </c>
      <c r="O9796" s="6" t="str">
        <f>HYPERLINK("https://pbs.twimg.com/profile_images/962471262747529216/Uo8lOkRJ_normal.jpg","View")</f>
        <v>View</v>
      </c>
      <c r="P9796" s="7"/>
    </row>
    <row r="9797" spans="1:16">
      <c r="A9797" s="3">
        <v>44085.350057870368</v>
      </c>
      <c r="B9797" s="4" t="str">
        <f>HYPERLINK("https://twitter.com/petrogustavo","@petrogustavo")</f>
        <v>@petrogustavo</v>
      </c>
      <c r="C9797" s="5" t="s">
        <v>16</v>
      </c>
      <c r="D9797" s="5" t="s">
        <v>9427</v>
      </c>
      <c r="E9797" s="6" t="str">
        <f>HYPERLINK("https://twitter.com/petrogustavo/status/1304251842541563905","1304251842541563905")</f>
        <v>1304251842541563905</v>
      </c>
      <c r="F9797" s="7" t="s">
        <v>17</v>
      </c>
      <c r="G9797" s="7">
        <v>3967884</v>
      </c>
      <c r="H9797" s="7">
        <v>2436</v>
      </c>
      <c r="I9797" s="7">
        <v>765</v>
      </c>
      <c r="J9797" s="7">
        <v>1954</v>
      </c>
      <c r="K9797" s="7" t="s">
        <v>18</v>
      </c>
      <c r="L9797" s="8">
        <v>39987.315405092595</v>
      </c>
      <c r="M9797" s="9" t="s">
        <v>19</v>
      </c>
      <c r="N9797" s="9" t="s">
        <v>20</v>
      </c>
      <c r="O9797" s="6" t="str">
        <f>HYPERLINK("https://pbs.twimg.com/profile_images/962471262747529216/Uo8lOkRJ_normal.jpg","View")</f>
        <v>View</v>
      </c>
      <c r="P9797" s="7"/>
    </row>
    <row r="9798" spans="1:16">
      <c r="A9798" s="3">
        <v>44085.355694444443</v>
      </c>
      <c r="B9798" s="4" t="str">
        <f>HYPERLINK("https://twitter.com/petrogustavo","@petrogustavo")</f>
        <v>@petrogustavo</v>
      </c>
      <c r="C9798" s="5" t="s">
        <v>16</v>
      </c>
      <c r="D9798" s="5" t="s">
        <v>9428</v>
      </c>
      <c r="E9798" s="6" t="str">
        <f>HYPERLINK("https://twitter.com/petrogustavo/status/1304253883229839360","1304253883229839360")</f>
        <v>1304253883229839360</v>
      </c>
      <c r="F9798" s="7" t="s">
        <v>17</v>
      </c>
      <c r="G9798" s="7">
        <v>3967884</v>
      </c>
      <c r="H9798" s="7">
        <v>2436</v>
      </c>
      <c r="I9798" s="7">
        <v>849</v>
      </c>
      <c r="J9798" s="7">
        <v>0</v>
      </c>
      <c r="K9798" s="7" t="s">
        <v>18</v>
      </c>
      <c r="L9798" s="8">
        <v>39987.315405092595</v>
      </c>
      <c r="M9798" s="9" t="s">
        <v>19</v>
      </c>
      <c r="N9798" s="9" t="s">
        <v>20</v>
      </c>
      <c r="O9798" s="6" t="str">
        <f>HYPERLINK("https://pbs.twimg.com/profile_images/962471262747529216/Uo8lOkRJ_normal.jpg","View")</f>
        <v>View</v>
      </c>
      <c r="P9798" s="7"/>
    </row>
    <row r="9799" spans="1:16">
      <c r="A9799" s="3">
        <v>44085.356215277774</v>
      </c>
      <c r="B9799" s="4" t="str">
        <f>HYPERLINK("https://twitter.com/petrogustavo","@petrogustavo")</f>
        <v>@petrogustavo</v>
      </c>
      <c r="C9799" s="5" t="s">
        <v>16</v>
      </c>
      <c r="D9799" s="5" t="s">
        <v>9429</v>
      </c>
      <c r="E9799" s="6" t="str">
        <f>HYPERLINK("https://twitter.com/petrogustavo/status/1304254074557169664","1304254074557169664")</f>
        <v>1304254074557169664</v>
      </c>
      <c r="F9799" s="7" t="s">
        <v>17</v>
      </c>
      <c r="G9799" s="7">
        <v>3967884</v>
      </c>
      <c r="H9799" s="7">
        <v>2436</v>
      </c>
      <c r="I9799" s="7">
        <v>353</v>
      </c>
      <c r="J9799" s="7">
        <v>629</v>
      </c>
      <c r="K9799" s="7" t="s">
        <v>18</v>
      </c>
      <c r="L9799" s="8">
        <v>39987.315405092595</v>
      </c>
      <c r="M9799" s="9" t="s">
        <v>19</v>
      </c>
      <c r="N9799" s="9" t="s">
        <v>20</v>
      </c>
      <c r="O9799" s="6" t="str">
        <f>HYPERLINK("https://pbs.twimg.com/profile_images/962471262747529216/Uo8lOkRJ_normal.jpg","View")</f>
        <v>View</v>
      </c>
      <c r="P9799" s="7"/>
    </row>
    <row r="9800" spans="1:16">
      <c r="A9800" s="3">
        <v>44085.35728009259</v>
      </c>
      <c r="B9800" s="4" t="str">
        <f>HYPERLINK("https://twitter.com/petrogustavo","@petrogustavo")</f>
        <v>@petrogustavo</v>
      </c>
      <c r="C9800" s="5" t="s">
        <v>16</v>
      </c>
      <c r="D9800" s="5" t="s">
        <v>9430</v>
      </c>
      <c r="E9800" s="6" t="str">
        <f>HYPERLINK("https://twitter.com/petrogustavo/status/1304254460286431235","1304254460286431235")</f>
        <v>1304254460286431235</v>
      </c>
      <c r="F9800" s="7" t="s">
        <v>17</v>
      </c>
      <c r="G9800" s="7">
        <v>3967884</v>
      </c>
      <c r="H9800" s="7">
        <v>2436</v>
      </c>
      <c r="I9800" s="7">
        <v>380</v>
      </c>
      <c r="J9800" s="7">
        <v>525</v>
      </c>
      <c r="K9800" s="7" t="s">
        <v>18</v>
      </c>
      <c r="L9800" s="8">
        <v>39987.315405092595</v>
      </c>
      <c r="M9800" s="9" t="s">
        <v>19</v>
      </c>
      <c r="N9800" s="9" t="s">
        <v>20</v>
      </c>
      <c r="O9800" s="6" t="str">
        <f>HYPERLINK("https://pbs.twimg.com/profile_images/962471262747529216/Uo8lOkRJ_normal.jpg","View")</f>
        <v>View</v>
      </c>
      <c r="P9800" s="7"/>
    </row>
    <row r="9801" spans="1:16">
      <c r="A9801" s="3">
        <v>44085.358622685184</v>
      </c>
      <c r="B9801" s="4" t="str">
        <f>HYPERLINK("https://twitter.com/petrogustavo","@petrogustavo")</f>
        <v>@petrogustavo</v>
      </c>
      <c r="C9801" s="5" t="s">
        <v>16</v>
      </c>
      <c r="D9801" s="5" t="s">
        <v>9431</v>
      </c>
      <c r="E9801" s="6" t="str">
        <f>HYPERLINK("https://twitter.com/petrogustavo/status/1304254945043066880","1304254945043066880")</f>
        <v>1304254945043066880</v>
      </c>
      <c r="F9801" s="7" t="s">
        <v>17</v>
      </c>
      <c r="G9801" s="7">
        <v>3967884</v>
      </c>
      <c r="H9801" s="7">
        <v>2436</v>
      </c>
      <c r="I9801" s="7">
        <v>254</v>
      </c>
      <c r="J9801" s="7">
        <v>623</v>
      </c>
      <c r="K9801" s="7" t="s">
        <v>18</v>
      </c>
      <c r="L9801" s="8">
        <v>39987.315405092595</v>
      </c>
      <c r="M9801" s="9" t="s">
        <v>19</v>
      </c>
      <c r="N9801" s="9" t="s">
        <v>20</v>
      </c>
      <c r="O9801" s="6" t="str">
        <f>HYPERLINK("https://pbs.twimg.com/profile_images/962471262747529216/Uo8lOkRJ_normal.jpg","View")</f>
        <v>View</v>
      </c>
      <c r="P9801" s="7"/>
    </row>
    <row r="9802" spans="1:16">
      <c r="A9802" s="3">
        <v>44085.360567129625</v>
      </c>
      <c r="B9802" s="4" t="str">
        <f>HYPERLINK("https://twitter.com/petrogustavo","@petrogustavo")</f>
        <v>@petrogustavo</v>
      </c>
      <c r="C9802" s="5" t="s">
        <v>16</v>
      </c>
      <c r="D9802" s="5" t="s">
        <v>9432</v>
      </c>
      <c r="E9802" s="6" t="str">
        <f>HYPERLINK("https://twitter.com/petrogustavo/status/1304255649736544258","1304255649736544258")</f>
        <v>1304255649736544258</v>
      </c>
      <c r="F9802" s="7" t="s">
        <v>17</v>
      </c>
      <c r="G9802" s="7">
        <v>3967884</v>
      </c>
      <c r="H9802" s="7">
        <v>2436</v>
      </c>
      <c r="I9802" s="7">
        <v>261</v>
      </c>
      <c r="J9802" s="7">
        <v>496</v>
      </c>
      <c r="K9802" s="7" t="s">
        <v>18</v>
      </c>
      <c r="L9802" s="8">
        <v>39987.315405092595</v>
      </c>
      <c r="M9802" s="9" t="s">
        <v>19</v>
      </c>
      <c r="N9802" s="9" t="s">
        <v>20</v>
      </c>
      <c r="O9802" s="6" t="str">
        <f>HYPERLINK("https://pbs.twimg.com/profile_images/962471262747529216/Uo8lOkRJ_normal.jpg","View")</f>
        <v>View</v>
      </c>
      <c r="P9802" s="7"/>
    </row>
    <row r="9803" spans="1:16">
      <c r="A9803" s="3">
        <v>44085.36319444445</v>
      </c>
      <c r="B9803" s="4" t="str">
        <f>HYPERLINK("https://twitter.com/petrogustavo","@petrogustavo")</f>
        <v>@petrogustavo</v>
      </c>
      <c r="C9803" s="5" t="s">
        <v>16</v>
      </c>
      <c r="D9803" s="5" t="s">
        <v>9433</v>
      </c>
      <c r="E9803" s="6" t="str">
        <f>HYPERLINK("https://twitter.com/petrogustavo/status/1304256601122115585","1304256601122115585")</f>
        <v>1304256601122115585</v>
      </c>
      <c r="F9803" s="7" t="s">
        <v>17</v>
      </c>
      <c r="G9803" s="7">
        <v>3967884</v>
      </c>
      <c r="H9803" s="7">
        <v>2436</v>
      </c>
      <c r="I9803" s="7">
        <v>291</v>
      </c>
      <c r="J9803" s="7">
        <v>451</v>
      </c>
      <c r="K9803" s="7" t="s">
        <v>18</v>
      </c>
      <c r="L9803" s="8">
        <v>39987.315405092595</v>
      </c>
      <c r="M9803" s="9" t="s">
        <v>19</v>
      </c>
      <c r="N9803" s="9" t="s">
        <v>20</v>
      </c>
      <c r="O9803" s="6" t="str">
        <f>HYPERLINK("https://pbs.twimg.com/profile_images/962471262747529216/Uo8lOkRJ_normal.jpg","View")</f>
        <v>View</v>
      </c>
      <c r="P9803" s="7"/>
    </row>
    <row r="9804" spans="1:16">
      <c r="A9804" s="3">
        <v>44085.364594907413</v>
      </c>
      <c r="B9804" s="4" t="str">
        <f>HYPERLINK("https://twitter.com/petrogustavo","@petrogustavo")</f>
        <v>@petrogustavo</v>
      </c>
      <c r="C9804" s="5" t="s">
        <v>16</v>
      </c>
      <c r="D9804" s="5" t="s">
        <v>9434</v>
      </c>
      <c r="E9804" s="6" t="str">
        <f>HYPERLINK("https://twitter.com/petrogustavo/status/1304257109673082880","1304257109673082880")</f>
        <v>1304257109673082880</v>
      </c>
      <c r="F9804" s="7" t="s">
        <v>17</v>
      </c>
      <c r="G9804" s="7">
        <v>3967884</v>
      </c>
      <c r="H9804" s="7">
        <v>2436</v>
      </c>
      <c r="I9804" s="7">
        <v>92</v>
      </c>
      <c r="J9804" s="7">
        <v>184</v>
      </c>
      <c r="K9804" s="7" t="s">
        <v>18</v>
      </c>
      <c r="L9804" s="8">
        <v>39987.315405092595</v>
      </c>
      <c r="M9804" s="9" t="s">
        <v>19</v>
      </c>
      <c r="N9804" s="9" t="s">
        <v>20</v>
      </c>
      <c r="O9804" s="6" t="str">
        <f>HYPERLINK("https://pbs.twimg.com/profile_images/962471262747529216/Uo8lOkRJ_normal.jpg","View")</f>
        <v>View</v>
      </c>
      <c r="P9804" s="7"/>
    </row>
    <row r="9805" spans="1:16">
      <c r="A9805" s="3">
        <v>44085.365219907406</v>
      </c>
      <c r="B9805" s="4" t="str">
        <f>HYPERLINK("https://twitter.com/petrogustavo","@petrogustavo")</f>
        <v>@petrogustavo</v>
      </c>
      <c r="C9805" s="5" t="s">
        <v>16</v>
      </c>
      <c r="D9805" s="5" t="s">
        <v>9435</v>
      </c>
      <c r="E9805" s="6" t="str">
        <f>HYPERLINK("https://twitter.com/petrogustavo/status/1304257335381176321","1304257335381176321")</f>
        <v>1304257335381176321</v>
      </c>
      <c r="F9805" s="7" t="s">
        <v>17</v>
      </c>
      <c r="G9805" s="7">
        <v>3967884</v>
      </c>
      <c r="H9805" s="7">
        <v>2436</v>
      </c>
      <c r="I9805" s="7">
        <v>117</v>
      </c>
      <c r="J9805" s="7">
        <v>181</v>
      </c>
      <c r="K9805" s="7" t="s">
        <v>18</v>
      </c>
      <c r="L9805" s="8">
        <v>39987.315405092595</v>
      </c>
      <c r="M9805" s="9" t="s">
        <v>19</v>
      </c>
      <c r="N9805" s="9" t="s">
        <v>20</v>
      </c>
      <c r="O9805" s="6" t="str">
        <f>HYPERLINK("https://pbs.twimg.com/profile_images/962471262747529216/Uo8lOkRJ_normal.jpg","View")</f>
        <v>View</v>
      </c>
      <c r="P9805" s="7"/>
    </row>
    <row r="9806" spans="1:16">
      <c r="A9806" s="3">
        <v>44085.367233796293</v>
      </c>
      <c r="B9806" s="4" t="str">
        <f>HYPERLINK("https://twitter.com/petrogustavo","@petrogustavo")</f>
        <v>@petrogustavo</v>
      </c>
      <c r="C9806" s="5" t="s">
        <v>16</v>
      </c>
      <c r="D9806" s="5" t="s">
        <v>9436</v>
      </c>
      <c r="E9806" s="6" t="str">
        <f>HYPERLINK("https://twitter.com/petrogustavo/status/1304258064539881472","1304258064539881472")</f>
        <v>1304258064539881472</v>
      </c>
      <c r="F9806" s="7" t="s">
        <v>17</v>
      </c>
      <c r="G9806" s="7">
        <v>3968011</v>
      </c>
      <c r="H9806" s="7">
        <v>2437</v>
      </c>
      <c r="I9806" s="7">
        <v>268</v>
      </c>
      <c r="J9806" s="7">
        <v>546</v>
      </c>
      <c r="K9806" s="7" t="s">
        <v>18</v>
      </c>
      <c r="L9806" s="8">
        <v>39987.315405092595</v>
      </c>
      <c r="M9806" s="9" t="s">
        <v>19</v>
      </c>
      <c r="N9806" s="9" t="s">
        <v>20</v>
      </c>
      <c r="O9806" s="6" t="str">
        <f>HYPERLINK("https://pbs.twimg.com/profile_images/962471262747529216/Uo8lOkRJ_normal.jpg","View")</f>
        <v>View</v>
      </c>
      <c r="P9806" s="7"/>
    </row>
    <row r="9807" spans="1:16">
      <c r="A9807" s="3">
        <v>44085.367430555554</v>
      </c>
      <c r="B9807" s="4" t="str">
        <f>HYPERLINK("https://twitter.com/petrogustavo","@petrogustavo")</f>
        <v>@petrogustavo</v>
      </c>
      <c r="C9807" s="5" t="s">
        <v>16</v>
      </c>
      <c r="D9807" s="5" t="s">
        <v>9437</v>
      </c>
      <c r="E9807" s="6" t="str">
        <f>HYPERLINK("https://twitter.com/petrogustavo/status/1304258137113927680","1304258137113927680")</f>
        <v>1304258137113927680</v>
      </c>
      <c r="F9807" s="7" t="s">
        <v>17</v>
      </c>
      <c r="G9807" s="7">
        <v>3968011</v>
      </c>
      <c r="H9807" s="7">
        <v>2437</v>
      </c>
      <c r="I9807" s="7">
        <v>979</v>
      </c>
      <c r="J9807" s="7">
        <v>0</v>
      </c>
      <c r="K9807" s="7" t="s">
        <v>18</v>
      </c>
      <c r="L9807" s="8">
        <v>39987.315405092595</v>
      </c>
      <c r="M9807" s="9" t="s">
        <v>19</v>
      </c>
      <c r="N9807" s="9" t="s">
        <v>20</v>
      </c>
      <c r="O9807" s="6" t="str">
        <f>HYPERLINK("https://pbs.twimg.com/profile_images/962471262747529216/Uo8lOkRJ_normal.jpg","View")</f>
        <v>View</v>
      </c>
      <c r="P9807" s="7"/>
    </row>
    <row r="9808" spans="1:16">
      <c r="A9808" s="3">
        <v>44085.369884259257</v>
      </c>
      <c r="B9808" s="4" t="str">
        <f>HYPERLINK("https://twitter.com/petrogustavo","@petrogustavo")</f>
        <v>@petrogustavo</v>
      </c>
      <c r="C9808" s="5" t="s">
        <v>16</v>
      </c>
      <c r="D9808" s="5" t="s">
        <v>9438</v>
      </c>
      <c r="E9808" s="6" t="str">
        <f>HYPERLINK("https://twitter.com/petrogustavo/status/1304259026071564289","1304259026071564289")</f>
        <v>1304259026071564289</v>
      </c>
      <c r="F9808" s="7" t="s">
        <v>17</v>
      </c>
      <c r="G9808" s="7">
        <v>3968011</v>
      </c>
      <c r="H9808" s="7">
        <v>2437</v>
      </c>
      <c r="I9808" s="7">
        <v>925</v>
      </c>
      <c r="J9808" s="7">
        <v>1390</v>
      </c>
      <c r="K9808" s="7" t="s">
        <v>18</v>
      </c>
      <c r="L9808" s="8">
        <v>39987.315405092595</v>
      </c>
      <c r="M9808" s="9" t="s">
        <v>19</v>
      </c>
      <c r="N9808" s="9" t="s">
        <v>20</v>
      </c>
      <c r="O9808" s="6" t="str">
        <f>HYPERLINK("https://pbs.twimg.com/profile_images/962471262747529216/Uo8lOkRJ_normal.jpg","View")</f>
        <v>View</v>
      </c>
      <c r="P9808" s="7"/>
    </row>
    <row r="9809" spans="1:16">
      <c r="A9809" s="3">
        <v>44085.374421296292</v>
      </c>
      <c r="B9809" s="4" t="str">
        <f>HYPERLINK("https://twitter.com/petrogustavo","@petrogustavo")</f>
        <v>@petrogustavo</v>
      </c>
      <c r="C9809" s="5" t="s">
        <v>16</v>
      </c>
      <c r="D9809" s="5" t="s">
        <v>9439</v>
      </c>
      <c r="E9809" s="6" t="str">
        <f>HYPERLINK("https://twitter.com/petrogustavo/status/1304260671908052992","1304260671908052992")</f>
        <v>1304260671908052992</v>
      </c>
      <c r="F9809" s="7" t="s">
        <v>17</v>
      </c>
      <c r="G9809" s="7">
        <v>3968011</v>
      </c>
      <c r="H9809" s="7">
        <v>2437</v>
      </c>
      <c r="I9809" s="7">
        <v>419</v>
      </c>
      <c r="J9809" s="7">
        <v>748</v>
      </c>
      <c r="K9809" s="7" t="s">
        <v>18</v>
      </c>
      <c r="L9809" s="8">
        <v>39987.315405092595</v>
      </c>
      <c r="M9809" s="9" t="s">
        <v>19</v>
      </c>
      <c r="N9809" s="9" t="s">
        <v>20</v>
      </c>
      <c r="O9809" s="6" t="str">
        <f>HYPERLINK("https://pbs.twimg.com/profile_images/962471262747529216/Uo8lOkRJ_normal.jpg","View")</f>
        <v>View</v>
      </c>
      <c r="P9809" s="7"/>
    </row>
    <row r="9810" spans="1:16">
      <c r="A9810" s="3">
        <v>44085.378692129627</v>
      </c>
      <c r="B9810" s="4" t="str">
        <f>HYPERLINK("https://twitter.com/petrogustavo","@petrogustavo")</f>
        <v>@petrogustavo</v>
      </c>
      <c r="C9810" s="5" t="s">
        <v>16</v>
      </c>
      <c r="D9810" s="5" t="s">
        <v>9440</v>
      </c>
      <c r="E9810" s="6" t="str">
        <f>HYPERLINK("https://twitter.com/petrogustavo/status/1304262220021469184","1304262220021469184")</f>
        <v>1304262220021469184</v>
      </c>
      <c r="F9810" s="7" t="s">
        <v>17</v>
      </c>
      <c r="G9810" s="7">
        <v>3968011</v>
      </c>
      <c r="H9810" s="7">
        <v>2437</v>
      </c>
      <c r="I9810" s="7">
        <v>414</v>
      </c>
      <c r="J9810" s="7">
        <v>692</v>
      </c>
      <c r="K9810" s="7" t="s">
        <v>18</v>
      </c>
      <c r="L9810" s="8">
        <v>39987.315405092595</v>
      </c>
      <c r="M9810" s="9" t="s">
        <v>19</v>
      </c>
      <c r="N9810" s="9" t="s">
        <v>20</v>
      </c>
      <c r="O9810" s="6" t="str">
        <f>HYPERLINK("https://pbs.twimg.com/profile_images/962471262747529216/Uo8lOkRJ_normal.jpg","View")</f>
        <v>View</v>
      </c>
      <c r="P9810" s="7"/>
    </row>
    <row r="9811" spans="1:16">
      <c r="A9811" s="3">
        <v>44085.380347222221</v>
      </c>
      <c r="B9811" s="4" t="str">
        <f>HYPERLINK("https://twitter.com/petrogustavo","@petrogustavo")</f>
        <v>@petrogustavo</v>
      </c>
      <c r="C9811" s="5" t="s">
        <v>16</v>
      </c>
      <c r="D9811" s="5" t="s">
        <v>9441</v>
      </c>
      <c r="E9811" s="6" t="str">
        <f>HYPERLINK("https://twitter.com/petrogustavo/status/1304262818074628097","1304262818074628097")</f>
        <v>1304262818074628097</v>
      </c>
      <c r="F9811" s="7" t="s">
        <v>17</v>
      </c>
      <c r="G9811" s="7">
        <v>3968011</v>
      </c>
      <c r="H9811" s="7">
        <v>2437</v>
      </c>
      <c r="I9811" s="7">
        <v>156</v>
      </c>
      <c r="J9811" s="7">
        <v>386</v>
      </c>
      <c r="K9811" s="7" t="s">
        <v>18</v>
      </c>
      <c r="L9811" s="8">
        <v>39987.315405092595</v>
      </c>
      <c r="M9811" s="9" t="s">
        <v>19</v>
      </c>
      <c r="N9811" s="9" t="s">
        <v>20</v>
      </c>
      <c r="O9811" s="6" t="str">
        <f>HYPERLINK("https://pbs.twimg.com/profile_images/962471262747529216/Uo8lOkRJ_normal.jpg","View")</f>
        <v>View</v>
      </c>
      <c r="P9811" s="7"/>
    </row>
    <row r="9812" spans="1:16">
      <c r="A9812" s="3">
        <v>44085.381770833337</v>
      </c>
      <c r="B9812" s="4" t="str">
        <f>HYPERLINK("https://twitter.com/petrogustavo","@petrogustavo")</f>
        <v>@petrogustavo</v>
      </c>
      <c r="C9812" s="5" t="s">
        <v>16</v>
      </c>
      <c r="D9812" s="5" t="s">
        <v>9442</v>
      </c>
      <c r="E9812" s="6" t="str">
        <f>HYPERLINK("https://twitter.com/petrogustavo/status/1304263334255104006","1304263334255104006")</f>
        <v>1304263334255104006</v>
      </c>
      <c r="F9812" s="7" t="s">
        <v>17</v>
      </c>
      <c r="G9812" s="7">
        <v>3968011</v>
      </c>
      <c r="H9812" s="7">
        <v>2437</v>
      </c>
      <c r="I9812" s="7">
        <v>152</v>
      </c>
      <c r="J9812" s="7">
        <v>435</v>
      </c>
      <c r="K9812" s="7" t="s">
        <v>18</v>
      </c>
      <c r="L9812" s="8">
        <v>39987.315405092595</v>
      </c>
      <c r="M9812" s="9" t="s">
        <v>19</v>
      </c>
      <c r="N9812" s="9" t="s">
        <v>20</v>
      </c>
      <c r="O9812" s="6" t="str">
        <f>HYPERLINK("https://pbs.twimg.com/profile_images/962471262747529216/Uo8lOkRJ_normal.jpg","View")</f>
        <v>View</v>
      </c>
      <c r="P9812" s="7"/>
    </row>
    <row r="9813" spans="1:16">
      <c r="A9813" s="3">
        <v>44085.383703703701</v>
      </c>
      <c r="B9813" s="4" t="str">
        <f>HYPERLINK("https://twitter.com/petrogustavo","@petrogustavo")</f>
        <v>@petrogustavo</v>
      </c>
      <c r="C9813" s="5" t="s">
        <v>16</v>
      </c>
      <c r="D9813" s="5" t="s">
        <v>9443</v>
      </c>
      <c r="E9813" s="6" t="str">
        <f>HYPERLINK("https://twitter.com/petrogustavo/status/1304264036360613889","1304264036360613889")</f>
        <v>1304264036360613889</v>
      </c>
      <c r="F9813" s="7" t="s">
        <v>17</v>
      </c>
      <c r="G9813" s="7">
        <v>3968011</v>
      </c>
      <c r="H9813" s="7">
        <v>2437</v>
      </c>
      <c r="I9813" s="7">
        <v>425</v>
      </c>
      <c r="J9813" s="7">
        <v>1309</v>
      </c>
      <c r="K9813" s="7" t="s">
        <v>18</v>
      </c>
      <c r="L9813" s="8">
        <v>39987.315405092595</v>
      </c>
      <c r="M9813" s="9" t="s">
        <v>19</v>
      </c>
      <c r="N9813" s="9" t="s">
        <v>20</v>
      </c>
      <c r="O9813" s="6" t="str">
        <f>HYPERLINK("https://pbs.twimg.com/profile_images/962471262747529216/Uo8lOkRJ_normal.jpg","View")</f>
        <v>View</v>
      </c>
      <c r="P9813" s="7"/>
    </row>
    <row r="9814" spans="1:16">
      <c r="A9814" s="3">
        <v>44085.385694444441</v>
      </c>
      <c r="B9814" s="4" t="str">
        <f>HYPERLINK("https://twitter.com/petrogustavo","@petrogustavo")</f>
        <v>@petrogustavo</v>
      </c>
      <c r="C9814" s="5" t="s">
        <v>16</v>
      </c>
      <c r="D9814" s="5" t="s">
        <v>9444</v>
      </c>
      <c r="E9814" s="6" t="str">
        <f>HYPERLINK("https://twitter.com/petrogustavo/status/1304264753838260224","1304264753838260224")</f>
        <v>1304264753838260224</v>
      </c>
      <c r="F9814" s="7" t="s">
        <v>17</v>
      </c>
      <c r="G9814" s="7">
        <v>3968011</v>
      </c>
      <c r="H9814" s="7">
        <v>2437</v>
      </c>
      <c r="I9814" s="7">
        <v>925</v>
      </c>
      <c r="J9814" s="7">
        <v>0</v>
      </c>
      <c r="K9814" s="7" t="s">
        <v>18</v>
      </c>
      <c r="L9814" s="8">
        <v>39987.315405092595</v>
      </c>
      <c r="M9814" s="9" t="s">
        <v>19</v>
      </c>
      <c r="N9814" s="9" t="s">
        <v>20</v>
      </c>
      <c r="O9814" s="6" t="str">
        <f>HYPERLINK("https://pbs.twimg.com/profile_images/962471262747529216/Uo8lOkRJ_normal.jpg","View")</f>
        <v>View</v>
      </c>
      <c r="P9814" s="7"/>
    </row>
    <row r="9815" spans="1:16">
      <c r="A9815" s="3">
        <v>44085.38863425926</v>
      </c>
      <c r="B9815" s="4" t="str">
        <f>HYPERLINK("https://twitter.com/petrogustavo","@petrogustavo")</f>
        <v>@petrogustavo</v>
      </c>
      <c r="C9815" s="5" t="s">
        <v>16</v>
      </c>
      <c r="D9815" s="5" t="s">
        <v>9420</v>
      </c>
      <c r="E9815" s="6" t="str">
        <f>HYPERLINK("https://twitter.com/petrogustavo/status/1304265822261649408","1304265822261649408")</f>
        <v>1304265822261649408</v>
      </c>
      <c r="F9815" s="7" t="s">
        <v>17</v>
      </c>
      <c r="G9815" s="7">
        <v>3968170</v>
      </c>
      <c r="H9815" s="7">
        <v>2437</v>
      </c>
      <c r="I9815" s="7">
        <v>3030</v>
      </c>
      <c r="J9815" s="7">
        <v>0</v>
      </c>
      <c r="K9815" s="7" t="s">
        <v>18</v>
      </c>
      <c r="L9815" s="8">
        <v>39987.315405092595</v>
      </c>
      <c r="M9815" s="9" t="s">
        <v>19</v>
      </c>
      <c r="N9815" s="9" t="s">
        <v>20</v>
      </c>
      <c r="O9815" s="6" t="str">
        <f>HYPERLINK("https://pbs.twimg.com/profile_images/962471262747529216/Uo8lOkRJ_normal.jpg","View")</f>
        <v>View</v>
      </c>
      <c r="P9815" s="7"/>
    </row>
    <row r="9816" spans="1:16">
      <c r="A9816" s="3">
        <v>44085.39025462963</v>
      </c>
      <c r="B9816" s="4" t="str">
        <f>HYPERLINK("https://twitter.com/petrogustavo","@petrogustavo")</f>
        <v>@petrogustavo</v>
      </c>
      <c r="C9816" s="5" t="s">
        <v>16</v>
      </c>
      <c r="D9816" s="5" t="s">
        <v>9445</v>
      </c>
      <c r="E9816" s="6" t="str">
        <f>HYPERLINK("https://twitter.com/petrogustavo/status/1304266407471976448","1304266407471976448")</f>
        <v>1304266407471976448</v>
      </c>
      <c r="F9816" s="7" t="s">
        <v>17</v>
      </c>
      <c r="G9816" s="7">
        <v>3968170</v>
      </c>
      <c r="H9816" s="7">
        <v>2437</v>
      </c>
      <c r="I9816" s="7">
        <v>267</v>
      </c>
      <c r="J9816" s="7">
        <v>848</v>
      </c>
      <c r="K9816" s="7" t="s">
        <v>18</v>
      </c>
      <c r="L9816" s="8">
        <v>39987.315405092595</v>
      </c>
      <c r="M9816" s="9" t="s">
        <v>19</v>
      </c>
      <c r="N9816" s="9" t="s">
        <v>20</v>
      </c>
      <c r="O9816" s="6" t="str">
        <f>HYPERLINK("https://pbs.twimg.com/profile_images/962471262747529216/Uo8lOkRJ_normal.jpg","View")</f>
        <v>View</v>
      </c>
      <c r="P9816" s="7"/>
    </row>
    <row r="9817" spans="1:16">
      <c r="A9817" s="3">
        <v>44085.393495370372</v>
      </c>
      <c r="B9817" s="4" t="str">
        <f>HYPERLINK("https://twitter.com/petrogustavo","@petrogustavo")</f>
        <v>@petrogustavo</v>
      </c>
      <c r="C9817" s="5" t="s">
        <v>16</v>
      </c>
      <c r="D9817" s="5" t="s">
        <v>9446</v>
      </c>
      <c r="E9817" s="6" t="str">
        <f>HYPERLINK("https://twitter.com/petrogustavo/status/1304267582808248320","1304267582808248320")</f>
        <v>1304267582808248320</v>
      </c>
      <c r="F9817" s="7" t="s">
        <v>17</v>
      </c>
      <c r="G9817" s="7">
        <v>3968170</v>
      </c>
      <c r="H9817" s="7">
        <v>2437</v>
      </c>
      <c r="I9817" s="7">
        <v>263</v>
      </c>
      <c r="J9817" s="7">
        <v>0</v>
      </c>
      <c r="K9817" s="7" t="s">
        <v>18</v>
      </c>
      <c r="L9817" s="8">
        <v>39987.315405092595</v>
      </c>
      <c r="M9817" s="9" t="s">
        <v>19</v>
      </c>
      <c r="N9817" s="9" t="s">
        <v>20</v>
      </c>
      <c r="O9817" s="6" t="str">
        <f>HYPERLINK("https://pbs.twimg.com/profile_images/962471262747529216/Uo8lOkRJ_normal.jpg","View")</f>
        <v>View</v>
      </c>
      <c r="P9817" s="7"/>
    </row>
    <row r="9818" spans="1:16">
      <c r="A9818" s="3">
        <v>44085.394050925926</v>
      </c>
      <c r="B9818" s="4" t="str">
        <f>HYPERLINK("https://twitter.com/petrogustavo","@petrogustavo")</f>
        <v>@petrogustavo</v>
      </c>
      <c r="C9818" s="5" t="s">
        <v>16</v>
      </c>
      <c r="D9818" s="5" t="s">
        <v>9447</v>
      </c>
      <c r="E9818" s="6" t="str">
        <f>HYPERLINK("https://twitter.com/petrogustavo/status/1304267782415101953","1304267782415101953")</f>
        <v>1304267782415101953</v>
      </c>
      <c r="F9818" s="7" t="s">
        <v>17</v>
      </c>
      <c r="G9818" s="7">
        <v>3968170</v>
      </c>
      <c r="H9818" s="7">
        <v>2437</v>
      </c>
      <c r="I9818" s="7">
        <v>660</v>
      </c>
      <c r="J9818" s="7">
        <v>1098</v>
      </c>
      <c r="K9818" s="7" t="s">
        <v>18</v>
      </c>
      <c r="L9818" s="8">
        <v>39987.315405092595</v>
      </c>
      <c r="M9818" s="9" t="s">
        <v>19</v>
      </c>
      <c r="N9818" s="9" t="s">
        <v>20</v>
      </c>
      <c r="O9818" s="6" t="str">
        <f>HYPERLINK("https://pbs.twimg.com/profile_images/962471262747529216/Uo8lOkRJ_normal.jpg","View")</f>
        <v>View</v>
      </c>
      <c r="P9818" s="7"/>
    </row>
    <row r="9819" spans="1:16">
      <c r="A9819" s="3">
        <v>44085.395949074074</v>
      </c>
      <c r="B9819" s="4" t="str">
        <f>HYPERLINK("https://twitter.com/petrogustavo","@petrogustavo")</f>
        <v>@petrogustavo</v>
      </c>
      <c r="C9819" s="5" t="s">
        <v>16</v>
      </c>
      <c r="D9819" s="5" t="s">
        <v>9448</v>
      </c>
      <c r="E9819" s="6" t="str">
        <f>HYPERLINK("https://twitter.com/petrogustavo/status/1304268471564488709","1304268471564488709")</f>
        <v>1304268471564488709</v>
      </c>
      <c r="F9819" s="7" t="s">
        <v>17</v>
      </c>
      <c r="G9819" s="7">
        <v>3968170</v>
      </c>
      <c r="H9819" s="7">
        <v>2437</v>
      </c>
      <c r="I9819" s="7">
        <v>268</v>
      </c>
      <c r="J9819" s="7">
        <v>666</v>
      </c>
      <c r="K9819" s="7" t="s">
        <v>18</v>
      </c>
      <c r="L9819" s="8">
        <v>39987.315405092595</v>
      </c>
      <c r="M9819" s="9" t="s">
        <v>19</v>
      </c>
      <c r="N9819" s="9" t="s">
        <v>20</v>
      </c>
      <c r="O9819" s="6" t="str">
        <f>HYPERLINK("https://pbs.twimg.com/profile_images/962471262747529216/Uo8lOkRJ_normal.jpg","View")</f>
        <v>View</v>
      </c>
      <c r="P9819" s="7"/>
    </row>
    <row r="9820" spans="1:16">
      <c r="A9820" s="3">
        <v>44085.404444444444</v>
      </c>
      <c r="B9820" s="4" t="str">
        <f>HYPERLINK("https://twitter.com/petrogustavo","@petrogustavo")</f>
        <v>@petrogustavo</v>
      </c>
      <c r="C9820" s="5" t="s">
        <v>16</v>
      </c>
      <c r="D9820" s="5" t="s">
        <v>9449</v>
      </c>
      <c r="E9820" s="6" t="str">
        <f>HYPERLINK("https://twitter.com/petrogustavo/status/1304271548665270272","1304271548665270272")</f>
        <v>1304271548665270272</v>
      </c>
      <c r="F9820" s="7" t="s">
        <v>17</v>
      </c>
      <c r="G9820" s="7">
        <v>3968170</v>
      </c>
      <c r="H9820" s="7">
        <v>2437</v>
      </c>
      <c r="I9820" s="7">
        <v>267</v>
      </c>
      <c r="J9820" s="7">
        <v>0</v>
      </c>
      <c r="K9820" s="7" t="s">
        <v>18</v>
      </c>
      <c r="L9820" s="8">
        <v>39987.315405092595</v>
      </c>
      <c r="M9820" s="9" t="s">
        <v>19</v>
      </c>
      <c r="N9820" s="9" t="s">
        <v>20</v>
      </c>
      <c r="O9820" s="6" t="str">
        <f>HYPERLINK("https://pbs.twimg.com/profile_images/962471262747529216/Uo8lOkRJ_normal.jpg","View")</f>
        <v>View</v>
      </c>
      <c r="P9820" s="7"/>
    </row>
    <row r="9821" spans="1:16">
      <c r="A9821" s="3">
        <v>44085.404641203699</v>
      </c>
      <c r="B9821" s="4" t="str">
        <f>HYPERLINK("https://twitter.com/petrogustavo","@petrogustavo")</f>
        <v>@petrogustavo</v>
      </c>
      <c r="C9821" s="5" t="s">
        <v>16</v>
      </c>
      <c r="D9821" s="5" t="s">
        <v>9444</v>
      </c>
      <c r="E9821" s="6" t="str">
        <f>HYPERLINK("https://twitter.com/petrogustavo/status/1304271620652048385","1304271620652048385")</f>
        <v>1304271620652048385</v>
      </c>
      <c r="F9821" s="7" t="s">
        <v>17</v>
      </c>
      <c r="G9821" s="7">
        <v>3968170</v>
      </c>
      <c r="H9821" s="7">
        <v>2437</v>
      </c>
      <c r="I9821" s="7">
        <v>1278</v>
      </c>
      <c r="J9821" s="7">
        <v>0</v>
      </c>
      <c r="K9821" s="7" t="s">
        <v>18</v>
      </c>
      <c r="L9821" s="8">
        <v>39987.315405092595</v>
      </c>
      <c r="M9821" s="9" t="s">
        <v>19</v>
      </c>
      <c r="N9821" s="9" t="s">
        <v>20</v>
      </c>
      <c r="O9821" s="6" t="str">
        <f>HYPERLINK("https://pbs.twimg.com/profile_images/962471262747529216/Uo8lOkRJ_normal.jpg","View")</f>
        <v>View</v>
      </c>
      <c r="P9821" s="7"/>
    </row>
    <row r="9822" spans="1:16">
      <c r="A9822" s="3">
        <v>44085.405324074076</v>
      </c>
      <c r="B9822" s="4" t="str">
        <f>HYPERLINK("https://twitter.com/petrogustavo","@petrogustavo")</f>
        <v>@petrogustavo</v>
      </c>
      <c r="C9822" s="5" t="s">
        <v>16</v>
      </c>
      <c r="D9822" s="5" t="s">
        <v>9450</v>
      </c>
      <c r="E9822" s="6" t="str">
        <f>HYPERLINK("https://twitter.com/petrogustavo/status/1304271871144333313","1304271871144333313")</f>
        <v>1304271871144333313</v>
      </c>
      <c r="F9822" s="7" t="s">
        <v>17</v>
      </c>
      <c r="G9822" s="7">
        <v>3968170</v>
      </c>
      <c r="H9822" s="7">
        <v>2437</v>
      </c>
      <c r="I9822" s="7">
        <v>1536</v>
      </c>
      <c r="J9822" s="7">
        <v>0</v>
      </c>
      <c r="K9822" s="7" t="s">
        <v>18</v>
      </c>
      <c r="L9822" s="8">
        <v>39987.315405092595</v>
      </c>
      <c r="M9822" s="9" t="s">
        <v>19</v>
      </c>
      <c r="N9822" s="9" t="s">
        <v>20</v>
      </c>
      <c r="O9822" s="6" t="str">
        <f>HYPERLINK("https://pbs.twimg.com/profile_images/962471262747529216/Uo8lOkRJ_normal.jpg","View")</f>
        <v>View</v>
      </c>
      <c r="P9822" s="7"/>
    </row>
    <row r="9823" spans="1:16">
      <c r="A9823" s="3">
        <v>44085.40760416667</v>
      </c>
      <c r="B9823" s="4" t="str">
        <f>HYPERLINK("https://twitter.com/petrogustavo","@petrogustavo")</f>
        <v>@petrogustavo</v>
      </c>
      <c r="C9823" s="5" t="s">
        <v>16</v>
      </c>
      <c r="D9823" s="5" t="s">
        <v>9451</v>
      </c>
      <c r="E9823" s="6" t="str">
        <f>HYPERLINK("https://twitter.com/petrogustavo/status/1304272693844418561","1304272693844418561")</f>
        <v>1304272693844418561</v>
      </c>
      <c r="F9823" s="7" t="s">
        <v>17</v>
      </c>
      <c r="G9823" s="7">
        <v>3968170</v>
      </c>
      <c r="H9823" s="7">
        <v>2437</v>
      </c>
      <c r="I9823" s="7">
        <v>3</v>
      </c>
      <c r="J9823" s="7">
        <v>15</v>
      </c>
      <c r="K9823" s="7" t="s">
        <v>18</v>
      </c>
      <c r="L9823" s="8">
        <v>39987.315405092595</v>
      </c>
      <c r="M9823" s="9" t="s">
        <v>19</v>
      </c>
      <c r="N9823" s="9" t="s">
        <v>20</v>
      </c>
      <c r="O9823" s="6" t="str">
        <f>HYPERLINK("https://pbs.twimg.com/profile_images/962471262747529216/Uo8lOkRJ_normal.jpg","View")</f>
        <v>View</v>
      </c>
      <c r="P9823" s="7"/>
    </row>
    <row r="9824" spans="1:16">
      <c r="A9824" s="3">
        <v>44085.412511574075</v>
      </c>
      <c r="B9824" s="4" t="str">
        <f>HYPERLINK("https://twitter.com/petrogustavo","@petrogustavo")</f>
        <v>@petrogustavo</v>
      </c>
      <c r="C9824" s="5" t="s">
        <v>16</v>
      </c>
      <c r="D9824" s="5" t="s">
        <v>9452</v>
      </c>
      <c r="E9824" s="6" t="str">
        <f>HYPERLINK("https://twitter.com/petrogustavo/status/1304274475861577730","1304274475861577730")</f>
        <v>1304274475861577730</v>
      </c>
      <c r="F9824" s="7" t="s">
        <v>17</v>
      </c>
      <c r="G9824" s="7">
        <v>3968298</v>
      </c>
      <c r="H9824" s="7">
        <v>2438</v>
      </c>
      <c r="I9824" s="7">
        <v>586</v>
      </c>
      <c r="J9824" s="7">
        <v>2081</v>
      </c>
      <c r="K9824" s="7" t="s">
        <v>18</v>
      </c>
      <c r="L9824" s="8">
        <v>39987.315405092595</v>
      </c>
      <c r="M9824" s="9" t="s">
        <v>19</v>
      </c>
      <c r="N9824" s="9" t="s">
        <v>20</v>
      </c>
      <c r="O9824" s="6" t="str">
        <f>HYPERLINK("https://pbs.twimg.com/profile_images/962471262747529216/Uo8lOkRJ_normal.jpg","View")</f>
        <v>View</v>
      </c>
      <c r="P9824" s="7"/>
    </row>
    <row r="9825" spans="1:16">
      <c r="A9825" s="3">
        <v>44085.41505787037</v>
      </c>
      <c r="B9825" s="4" t="str">
        <f>HYPERLINK("https://twitter.com/petrogustavo","@petrogustavo")</f>
        <v>@petrogustavo</v>
      </c>
      <c r="C9825" s="5" t="s">
        <v>16</v>
      </c>
      <c r="D9825" s="5" t="s">
        <v>9453</v>
      </c>
      <c r="E9825" s="6" t="str">
        <f>HYPERLINK("https://twitter.com/petrogustavo/status/1304275395022331904","1304275395022331904")</f>
        <v>1304275395022331904</v>
      </c>
      <c r="F9825" s="7" t="s">
        <v>17</v>
      </c>
      <c r="G9825" s="7">
        <v>3968298</v>
      </c>
      <c r="H9825" s="7">
        <v>2438</v>
      </c>
      <c r="I9825" s="7">
        <v>289</v>
      </c>
      <c r="J9825" s="7">
        <v>604</v>
      </c>
      <c r="K9825" s="7" t="s">
        <v>18</v>
      </c>
      <c r="L9825" s="8">
        <v>39987.315405092595</v>
      </c>
      <c r="M9825" s="9" t="s">
        <v>19</v>
      </c>
      <c r="N9825" s="9" t="s">
        <v>20</v>
      </c>
      <c r="O9825" s="6" t="str">
        <f>HYPERLINK("https://pbs.twimg.com/profile_images/962471262747529216/Uo8lOkRJ_normal.jpg","View")</f>
        <v>View</v>
      </c>
      <c r="P9825" s="7"/>
    </row>
    <row r="9826" spans="1:16">
      <c r="A9826" s="3">
        <v>44085.418726851851</v>
      </c>
      <c r="B9826" s="4" t="str">
        <f>HYPERLINK("https://twitter.com/petrogustavo","@petrogustavo")</f>
        <v>@petrogustavo</v>
      </c>
      <c r="C9826" s="5" t="s">
        <v>16</v>
      </c>
      <c r="D9826" s="5" t="s">
        <v>9454</v>
      </c>
      <c r="E9826" s="6" t="str">
        <f>HYPERLINK("https://twitter.com/petrogustavo/status/1304276726764261376","1304276726764261376")</f>
        <v>1304276726764261376</v>
      </c>
      <c r="F9826" s="7" t="s">
        <v>17</v>
      </c>
      <c r="G9826" s="7">
        <v>3968298</v>
      </c>
      <c r="H9826" s="7">
        <v>2438</v>
      </c>
      <c r="I9826" s="7">
        <v>479</v>
      </c>
      <c r="J9826" s="7">
        <v>813</v>
      </c>
      <c r="K9826" s="7" t="s">
        <v>18</v>
      </c>
      <c r="L9826" s="8">
        <v>39987.315405092595</v>
      </c>
      <c r="M9826" s="9" t="s">
        <v>19</v>
      </c>
      <c r="N9826" s="9" t="s">
        <v>20</v>
      </c>
      <c r="O9826" s="6" t="str">
        <f>HYPERLINK("https://pbs.twimg.com/profile_images/962471262747529216/Uo8lOkRJ_normal.jpg","View")</f>
        <v>View</v>
      </c>
      <c r="P9826" s="7"/>
    </row>
    <row r="9827" spans="1:16">
      <c r="A9827" s="3">
        <v>44085.421574074076</v>
      </c>
      <c r="B9827" s="4" t="str">
        <f>HYPERLINK("https://twitter.com/petrogustavo","@petrogustavo")</f>
        <v>@petrogustavo</v>
      </c>
      <c r="C9827" s="5" t="s">
        <v>16</v>
      </c>
      <c r="D9827" s="5" t="s">
        <v>9455</v>
      </c>
      <c r="E9827" s="6" t="str">
        <f>HYPERLINK("https://twitter.com/petrogustavo/status/1304277758210703360","1304277758210703360")</f>
        <v>1304277758210703360</v>
      </c>
      <c r="F9827" s="7" t="s">
        <v>17</v>
      </c>
      <c r="G9827" s="7">
        <v>3968298</v>
      </c>
      <c r="H9827" s="7">
        <v>2438</v>
      </c>
      <c r="I9827" s="7">
        <v>284</v>
      </c>
      <c r="J9827" s="7">
        <v>788</v>
      </c>
      <c r="K9827" s="7" t="s">
        <v>18</v>
      </c>
      <c r="L9827" s="8">
        <v>39987.315405092595</v>
      </c>
      <c r="M9827" s="9" t="s">
        <v>19</v>
      </c>
      <c r="N9827" s="9" t="s">
        <v>20</v>
      </c>
      <c r="O9827" s="6" t="str">
        <f>HYPERLINK("https://pbs.twimg.com/profile_images/962471262747529216/Uo8lOkRJ_normal.jpg","View")</f>
        <v>View</v>
      </c>
      <c r="P9827" s="7"/>
    </row>
    <row r="9828" spans="1:16">
      <c r="A9828" s="3">
        <v>44085.423460648148</v>
      </c>
      <c r="B9828" s="4" t="str">
        <f>HYPERLINK("https://twitter.com/petrogustavo","@petrogustavo")</f>
        <v>@petrogustavo</v>
      </c>
      <c r="C9828" s="5" t="s">
        <v>16</v>
      </c>
      <c r="D9828" s="5" t="s">
        <v>9456</v>
      </c>
      <c r="E9828" s="6" t="str">
        <f>HYPERLINK("https://twitter.com/petrogustavo/status/1304278442075197441","1304278442075197441")</f>
        <v>1304278442075197441</v>
      </c>
      <c r="F9828" s="7" t="s">
        <v>17</v>
      </c>
      <c r="G9828" s="7">
        <v>3968298</v>
      </c>
      <c r="H9828" s="7">
        <v>2438</v>
      </c>
      <c r="I9828" s="7">
        <v>112</v>
      </c>
      <c r="J9828" s="7">
        <v>382</v>
      </c>
      <c r="K9828" s="7" t="s">
        <v>18</v>
      </c>
      <c r="L9828" s="8">
        <v>39987.315405092595</v>
      </c>
      <c r="M9828" s="9" t="s">
        <v>19</v>
      </c>
      <c r="N9828" s="9" t="s">
        <v>20</v>
      </c>
      <c r="O9828" s="6" t="str">
        <f>HYPERLINK("https://pbs.twimg.com/profile_images/962471262747529216/Uo8lOkRJ_normal.jpg","View")</f>
        <v>View</v>
      </c>
      <c r="P9828" s="7"/>
    </row>
    <row r="9829" spans="1:16">
      <c r="A9829" s="3">
        <v>44085.428124999999</v>
      </c>
      <c r="B9829" s="4" t="str">
        <f>HYPERLINK("https://twitter.com/petrogustavo","@petrogustavo")</f>
        <v>@petrogustavo</v>
      </c>
      <c r="C9829" s="5" t="s">
        <v>16</v>
      </c>
      <c r="D9829" s="5" t="s">
        <v>9457</v>
      </c>
      <c r="E9829" s="6" t="str">
        <f>HYPERLINK("https://twitter.com/petrogustavo/status/1304280131192709121","1304280131192709121")</f>
        <v>1304280131192709121</v>
      </c>
      <c r="F9829" s="7" t="s">
        <v>17</v>
      </c>
      <c r="G9829" s="7">
        <v>3968298</v>
      </c>
      <c r="H9829" s="7">
        <v>2438</v>
      </c>
      <c r="I9829" s="7">
        <v>284</v>
      </c>
      <c r="J9829" s="7">
        <v>0</v>
      </c>
      <c r="K9829" s="7" t="s">
        <v>18</v>
      </c>
      <c r="L9829" s="8">
        <v>39987.315405092595</v>
      </c>
      <c r="M9829" s="9" t="s">
        <v>19</v>
      </c>
      <c r="N9829" s="9" t="s">
        <v>20</v>
      </c>
      <c r="O9829" s="6" t="str">
        <f>HYPERLINK("https://pbs.twimg.com/profile_images/962471262747529216/Uo8lOkRJ_normal.jpg","View")</f>
        <v>View</v>
      </c>
      <c r="P9829" s="7"/>
    </row>
    <row r="9830" spans="1:16">
      <c r="A9830" s="3">
        <v>44085.428379629629</v>
      </c>
      <c r="B9830" s="4" t="str">
        <f>HYPERLINK("https://twitter.com/petrogustavo","@petrogustavo")</f>
        <v>@petrogustavo</v>
      </c>
      <c r="C9830" s="5" t="s">
        <v>16</v>
      </c>
      <c r="D9830" s="5" t="s">
        <v>9458</v>
      </c>
      <c r="E9830" s="6" t="str">
        <f>HYPERLINK("https://twitter.com/petrogustavo/status/1304280222662119425","1304280222662119425")</f>
        <v>1304280222662119425</v>
      </c>
      <c r="F9830" s="7" t="s">
        <v>17</v>
      </c>
      <c r="G9830" s="7">
        <v>3968298</v>
      </c>
      <c r="H9830" s="7">
        <v>2438</v>
      </c>
      <c r="I9830" s="7">
        <v>586</v>
      </c>
      <c r="J9830" s="7">
        <v>0</v>
      </c>
      <c r="K9830" s="7" t="s">
        <v>18</v>
      </c>
      <c r="L9830" s="8">
        <v>39987.315405092595</v>
      </c>
      <c r="M9830" s="9" t="s">
        <v>19</v>
      </c>
      <c r="N9830" s="9" t="s">
        <v>20</v>
      </c>
      <c r="O9830" s="6" t="str">
        <f>HYPERLINK("https://pbs.twimg.com/profile_images/962471262747529216/Uo8lOkRJ_normal.jpg","View")</f>
        <v>View</v>
      </c>
      <c r="P9830" s="7"/>
    </row>
    <row r="9831" spans="1:16">
      <c r="A9831" s="3">
        <v>44085.43037037037</v>
      </c>
      <c r="B9831" s="4" t="str">
        <f>HYPERLINK("https://twitter.com/petrogustavo","@petrogustavo")</f>
        <v>@petrogustavo</v>
      </c>
      <c r="C9831" s="5" t="s">
        <v>16</v>
      </c>
      <c r="D9831" s="5" t="s">
        <v>9459</v>
      </c>
      <c r="E9831" s="6" t="str">
        <f>HYPERLINK("https://twitter.com/petrogustavo/status/1304280945093152769","1304280945093152769")</f>
        <v>1304280945093152769</v>
      </c>
      <c r="F9831" s="7" t="s">
        <v>17</v>
      </c>
      <c r="G9831" s="7">
        <v>3968415</v>
      </c>
      <c r="H9831" s="7">
        <v>2438</v>
      </c>
      <c r="I9831" s="7">
        <v>815</v>
      </c>
      <c r="J9831" s="7">
        <v>1349</v>
      </c>
      <c r="K9831" s="7" t="s">
        <v>18</v>
      </c>
      <c r="L9831" s="8">
        <v>39987.315405092595</v>
      </c>
      <c r="M9831" s="9" t="s">
        <v>19</v>
      </c>
      <c r="N9831" s="9" t="s">
        <v>20</v>
      </c>
      <c r="O9831" s="6" t="str">
        <f>HYPERLINK("https://pbs.twimg.com/profile_images/962471262747529216/Uo8lOkRJ_normal.jpg","View")</f>
        <v>View</v>
      </c>
      <c r="P9831" s="7"/>
    </row>
    <row r="9832" spans="1:16">
      <c r="A9832" s="3">
        <v>44085.437094907407</v>
      </c>
      <c r="B9832" s="4" t="str">
        <f>HYPERLINK("https://twitter.com/petrogustavo","@petrogustavo")</f>
        <v>@petrogustavo</v>
      </c>
      <c r="C9832" s="5" t="s">
        <v>16</v>
      </c>
      <c r="D9832" s="5" t="s">
        <v>9460</v>
      </c>
      <c r="E9832" s="6" t="str">
        <f>HYPERLINK("https://twitter.com/petrogustavo/status/1304283381681840128","1304283381681840128")</f>
        <v>1304283381681840128</v>
      </c>
      <c r="F9832" s="7" t="s">
        <v>17</v>
      </c>
      <c r="G9832" s="7">
        <v>3968415</v>
      </c>
      <c r="H9832" s="7">
        <v>2438</v>
      </c>
      <c r="I9832" s="7">
        <v>244</v>
      </c>
      <c r="J9832" s="7">
        <v>681</v>
      </c>
      <c r="K9832" s="7" t="s">
        <v>18</v>
      </c>
      <c r="L9832" s="8">
        <v>39987.315405092595</v>
      </c>
      <c r="M9832" s="9" t="s">
        <v>19</v>
      </c>
      <c r="N9832" s="9" t="s">
        <v>20</v>
      </c>
      <c r="O9832" s="6" t="str">
        <f>HYPERLINK("https://pbs.twimg.com/profile_images/962471262747529216/Uo8lOkRJ_normal.jpg","View")</f>
        <v>View</v>
      </c>
      <c r="P9832" s="7"/>
    </row>
    <row r="9833" spans="1:16">
      <c r="A9833" s="3">
        <v>44085.43850694444</v>
      </c>
      <c r="B9833" s="4" t="str">
        <f>HYPERLINK("https://twitter.com/petrogustavo","@petrogustavo")</f>
        <v>@petrogustavo</v>
      </c>
      <c r="C9833" s="5" t="s">
        <v>16</v>
      </c>
      <c r="D9833" s="5" t="s">
        <v>9461</v>
      </c>
      <c r="E9833" s="6" t="str">
        <f>HYPERLINK("https://twitter.com/petrogustavo/status/1304283893353381888","1304283893353381888")</f>
        <v>1304283893353381888</v>
      </c>
      <c r="F9833" s="7" t="s">
        <v>17</v>
      </c>
      <c r="G9833" s="7">
        <v>3968415</v>
      </c>
      <c r="H9833" s="7">
        <v>2438</v>
      </c>
      <c r="I9833" s="7">
        <v>281</v>
      </c>
      <c r="J9833" s="7">
        <v>565</v>
      </c>
      <c r="K9833" s="7" t="s">
        <v>18</v>
      </c>
      <c r="L9833" s="8">
        <v>39987.315405092595</v>
      </c>
      <c r="M9833" s="9" t="s">
        <v>19</v>
      </c>
      <c r="N9833" s="9" t="s">
        <v>20</v>
      </c>
      <c r="O9833" s="6" t="str">
        <f>HYPERLINK("https://pbs.twimg.com/profile_images/962471262747529216/Uo8lOkRJ_normal.jpg","View")</f>
        <v>View</v>
      </c>
      <c r="P9833" s="7"/>
    </row>
    <row r="9834" spans="1:16">
      <c r="A9834" s="3">
        <v>44085.442025462966</v>
      </c>
      <c r="B9834" s="4" t="str">
        <f>HYPERLINK("https://twitter.com/petrogustavo","@petrogustavo")</f>
        <v>@petrogustavo</v>
      </c>
      <c r="C9834" s="5" t="s">
        <v>16</v>
      </c>
      <c r="D9834" s="5" t="s">
        <v>9449</v>
      </c>
      <c r="E9834" s="6" t="str">
        <f>HYPERLINK("https://twitter.com/petrogustavo/status/1304285170447642626","1304285170447642626")</f>
        <v>1304285170447642626</v>
      </c>
      <c r="F9834" s="7" t="s">
        <v>17</v>
      </c>
      <c r="G9834" s="7">
        <v>3968415</v>
      </c>
      <c r="H9834" s="7">
        <v>2438</v>
      </c>
      <c r="I9834" s="7">
        <v>417</v>
      </c>
      <c r="J9834" s="7">
        <v>0</v>
      </c>
      <c r="K9834" s="7" t="s">
        <v>18</v>
      </c>
      <c r="L9834" s="8">
        <v>39987.315405092595</v>
      </c>
      <c r="M9834" s="9" t="s">
        <v>19</v>
      </c>
      <c r="N9834" s="9" t="s">
        <v>20</v>
      </c>
      <c r="O9834" s="6" t="str">
        <f>HYPERLINK("https://pbs.twimg.com/profile_images/962471262747529216/Uo8lOkRJ_normal.jpg","View")</f>
        <v>View</v>
      </c>
      <c r="P9834" s="7"/>
    </row>
    <row r="9835" spans="1:16">
      <c r="A9835" s="3">
        <v>44085.442465277782</v>
      </c>
      <c r="B9835" s="4" t="str">
        <f>HYPERLINK("https://twitter.com/petrogustavo","@petrogustavo")</f>
        <v>@petrogustavo</v>
      </c>
      <c r="C9835" s="5" t="s">
        <v>16</v>
      </c>
      <c r="D9835" s="5" t="s">
        <v>9457</v>
      </c>
      <c r="E9835" s="6" t="str">
        <f>HYPERLINK("https://twitter.com/petrogustavo/status/1304285327994032128","1304285327994032128")</f>
        <v>1304285327994032128</v>
      </c>
      <c r="F9835" s="7" t="s">
        <v>17</v>
      </c>
      <c r="G9835" s="7">
        <v>3968415</v>
      </c>
      <c r="H9835" s="7">
        <v>2438</v>
      </c>
      <c r="I9835" s="7">
        <v>548</v>
      </c>
      <c r="J9835" s="7">
        <v>0</v>
      </c>
      <c r="K9835" s="7" t="s">
        <v>18</v>
      </c>
      <c r="L9835" s="8">
        <v>39987.315405092595</v>
      </c>
      <c r="M9835" s="9" t="s">
        <v>19</v>
      </c>
      <c r="N9835" s="9" t="s">
        <v>20</v>
      </c>
      <c r="O9835" s="6" t="str">
        <f>HYPERLINK("https://pbs.twimg.com/profile_images/962471262747529216/Uo8lOkRJ_normal.jpg","View")</f>
        <v>View</v>
      </c>
      <c r="P9835" s="7"/>
    </row>
    <row r="9836" spans="1:16">
      <c r="A9836" s="3">
        <v>44085.44258101852</v>
      </c>
      <c r="B9836" s="4" t="str">
        <f>HYPERLINK("https://twitter.com/petrogustavo","@petrogustavo")</f>
        <v>@petrogustavo</v>
      </c>
      <c r="C9836" s="5" t="s">
        <v>16</v>
      </c>
      <c r="D9836" s="5" t="s">
        <v>9458</v>
      </c>
      <c r="E9836" s="6" t="str">
        <f>HYPERLINK("https://twitter.com/petrogustavo/status/1304285368691326979","1304285368691326979")</f>
        <v>1304285368691326979</v>
      </c>
      <c r="F9836" s="7" t="s">
        <v>17</v>
      </c>
      <c r="G9836" s="7">
        <v>3968415</v>
      </c>
      <c r="H9836" s="7">
        <v>2438</v>
      </c>
      <c r="I9836" s="7">
        <v>836</v>
      </c>
      <c r="J9836" s="7">
        <v>0</v>
      </c>
      <c r="K9836" s="7" t="s">
        <v>18</v>
      </c>
      <c r="L9836" s="8">
        <v>39987.315405092595</v>
      </c>
      <c r="M9836" s="9" t="s">
        <v>19</v>
      </c>
      <c r="N9836" s="9" t="s">
        <v>20</v>
      </c>
      <c r="O9836" s="6" t="str">
        <f>HYPERLINK("https://pbs.twimg.com/profile_images/962471262747529216/Uo8lOkRJ_normal.jpg","View")</f>
        <v>View</v>
      </c>
      <c r="P9836" s="7"/>
    </row>
    <row r="9837" spans="1:16">
      <c r="A9837" s="3">
        <v>44085.451944444445</v>
      </c>
      <c r="B9837" s="4" t="str">
        <f>HYPERLINK("https://twitter.com/petrogustavo","@petrogustavo")</f>
        <v>@petrogustavo</v>
      </c>
      <c r="C9837" s="5" t="s">
        <v>16</v>
      </c>
      <c r="D9837" s="5" t="s">
        <v>9462</v>
      </c>
      <c r="E9837" s="6" t="str">
        <f>HYPERLINK("https://twitter.com/petrogustavo/status/1304288764999729152","1304288764999729152")</f>
        <v>1304288764999729152</v>
      </c>
      <c r="F9837" s="7" t="s">
        <v>17</v>
      </c>
      <c r="G9837" s="7">
        <v>3968508</v>
      </c>
      <c r="H9837" s="7">
        <v>2438</v>
      </c>
      <c r="I9837" s="7">
        <v>564</v>
      </c>
      <c r="J9837" s="7">
        <v>1001</v>
      </c>
      <c r="K9837" s="7" t="s">
        <v>18</v>
      </c>
      <c r="L9837" s="8">
        <v>39987.315405092595</v>
      </c>
      <c r="M9837" s="9" t="s">
        <v>19</v>
      </c>
      <c r="N9837" s="9" t="s">
        <v>20</v>
      </c>
      <c r="O9837" s="6" t="str">
        <f>HYPERLINK("https://pbs.twimg.com/profile_images/962471262747529216/Uo8lOkRJ_normal.jpg","View")</f>
        <v>View</v>
      </c>
      <c r="P9837" s="7"/>
    </row>
    <row r="9838" spans="1:16">
      <c r="A9838" s="3">
        <v>44085.4528587963</v>
      </c>
      <c r="B9838" s="4" t="str">
        <f>HYPERLINK("https://twitter.com/petrogustavo","@petrogustavo")</f>
        <v>@petrogustavo</v>
      </c>
      <c r="C9838" s="5" t="s">
        <v>16</v>
      </c>
      <c r="D9838" s="5" t="s">
        <v>9463</v>
      </c>
      <c r="E9838" s="6" t="str">
        <f>HYPERLINK("https://twitter.com/petrogustavo/status/1304289094428745731","1304289094428745731")</f>
        <v>1304289094428745731</v>
      </c>
      <c r="F9838" s="7" t="s">
        <v>17</v>
      </c>
      <c r="G9838" s="7">
        <v>3968508</v>
      </c>
      <c r="H9838" s="7">
        <v>2438</v>
      </c>
      <c r="I9838" s="7">
        <v>1012</v>
      </c>
      <c r="J9838" s="7">
        <v>0</v>
      </c>
      <c r="K9838" s="7" t="s">
        <v>18</v>
      </c>
      <c r="L9838" s="8">
        <v>39987.315405092595</v>
      </c>
      <c r="M9838" s="9" t="s">
        <v>19</v>
      </c>
      <c r="N9838" s="9" t="s">
        <v>20</v>
      </c>
      <c r="O9838" s="6" t="str">
        <f>HYPERLINK("https://pbs.twimg.com/profile_images/962471262747529216/Uo8lOkRJ_normal.jpg","View")</f>
        <v>View</v>
      </c>
      <c r="P9838" s="7"/>
    </row>
    <row r="9839" spans="1:16">
      <c r="A9839" s="3">
        <v>44085.454837962963</v>
      </c>
      <c r="B9839" s="4" t="str">
        <f>HYPERLINK("https://twitter.com/petrogustavo","@petrogustavo")</f>
        <v>@petrogustavo</v>
      </c>
      <c r="C9839" s="5" t="s">
        <v>16</v>
      </c>
      <c r="D9839" s="5" t="s">
        <v>9464</v>
      </c>
      <c r="E9839" s="6" t="str">
        <f>HYPERLINK("https://twitter.com/petrogustavo/status/1304289812229304320","1304289812229304320")</f>
        <v>1304289812229304320</v>
      </c>
      <c r="F9839" s="7" t="s">
        <v>17</v>
      </c>
      <c r="G9839" s="7">
        <v>3968508</v>
      </c>
      <c r="H9839" s="7">
        <v>2438</v>
      </c>
      <c r="I9839" s="7">
        <v>576</v>
      </c>
      <c r="J9839" s="7">
        <v>1966</v>
      </c>
      <c r="K9839" s="7" t="s">
        <v>18</v>
      </c>
      <c r="L9839" s="8">
        <v>39987.315405092595</v>
      </c>
      <c r="M9839" s="9" t="s">
        <v>19</v>
      </c>
      <c r="N9839" s="9" t="s">
        <v>20</v>
      </c>
      <c r="O9839" s="6" t="str">
        <f>HYPERLINK("https://pbs.twimg.com/profile_images/962471262747529216/Uo8lOkRJ_normal.jpg","View")</f>
        <v>View</v>
      </c>
      <c r="P9839" s="7"/>
    </row>
    <row r="9840" spans="1:16">
      <c r="A9840" s="3">
        <v>44085.751493055555</v>
      </c>
      <c r="B9840" s="4" t="str">
        <f>HYPERLINK("https://twitter.com/petrogustavo","@petrogustavo")</f>
        <v>@petrogustavo</v>
      </c>
      <c r="C9840" s="5" t="s">
        <v>16</v>
      </c>
      <c r="D9840" s="5" t="s">
        <v>9465</v>
      </c>
      <c r="E9840" s="6" t="str">
        <f>HYPERLINK("https://twitter.com/petrogustavo/status/1304397316217081856","1304397316217081856")</f>
        <v>1304397316217081856</v>
      </c>
      <c r="F9840" s="7" t="s">
        <v>17</v>
      </c>
      <c r="G9840" s="7">
        <v>3968941</v>
      </c>
      <c r="H9840" s="7">
        <v>2439</v>
      </c>
      <c r="I9840" s="7">
        <v>189</v>
      </c>
      <c r="J9840" s="7">
        <v>497</v>
      </c>
      <c r="K9840" s="7" t="s">
        <v>18</v>
      </c>
      <c r="L9840" s="8">
        <v>39987.315405092595</v>
      </c>
      <c r="M9840" s="9" t="s">
        <v>19</v>
      </c>
      <c r="N9840" s="9" t="s">
        <v>20</v>
      </c>
      <c r="O9840" s="6" t="str">
        <f>HYPERLINK("https://pbs.twimg.com/profile_images/962471262747529216/Uo8lOkRJ_normal.jpg","View")</f>
        <v>View</v>
      </c>
      <c r="P9840" s="7"/>
    </row>
    <row r="9841" spans="1:16">
      <c r="A9841" s="3">
        <v>44085.75273148148</v>
      </c>
      <c r="B9841" s="4" t="str">
        <f>HYPERLINK("https://twitter.com/petrogustavo","@petrogustavo")</f>
        <v>@petrogustavo</v>
      </c>
      <c r="C9841" s="5" t="s">
        <v>16</v>
      </c>
      <c r="D9841" s="5" t="s">
        <v>9466</v>
      </c>
      <c r="E9841" s="6" t="str">
        <f>HYPERLINK("https://twitter.com/petrogustavo/status/1304397763875139584","1304397763875139584")</f>
        <v>1304397763875139584</v>
      </c>
      <c r="F9841" s="7" t="s">
        <v>17</v>
      </c>
      <c r="G9841" s="7">
        <v>3968941</v>
      </c>
      <c r="H9841" s="7">
        <v>2439</v>
      </c>
      <c r="I9841" s="7">
        <v>134</v>
      </c>
      <c r="J9841" s="7">
        <v>412</v>
      </c>
      <c r="K9841" s="7" t="s">
        <v>18</v>
      </c>
      <c r="L9841" s="8">
        <v>39987.315405092595</v>
      </c>
      <c r="M9841" s="9" t="s">
        <v>19</v>
      </c>
      <c r="N9841" s="9" t="s">
        <v>20</v>
      </c>
      <c r="O9841" s="6" t="str">
        <f>HYPERLINK("https://pbs.twimg.com/profile_images/962471262747529216/Uo8lOkRJ_normal.jpg","View")</f>
        <v>View</v>
      </c>
      <c r="P9841" s="7"/>
    </row>
    <row r="9842" spans="1:16">
      <c r="A9842" s="3">
        <v>44085.755914351852</v>
      </c>
      <c r="B9842" s="4" t="str">
        <f>HYPERLINK("https://twitter.com/petrogustavo","@petrogustavo")</f>
        <v>@petrogustavo</v>
      </c>
      <c r="C9842" s="5" t="s">
        <v>16</v>
      </c>
      <c r="D9842" s="5" t="s">
        <v>9467</v>
      </c>
      <c r="E9842" s="6" t="str">
        <f>HYPERLINK("https://twitter.com/petrogustavo/status/1304398917824647168","1304398917824647168")</f>
        <v>1304398917824647168</v>
      </c>
      <c r="F9842" s="7" t="s">
        <v>17</v>
      </c>
      <c r="G9842" s="7">
        <v>3968941</v>
      </c>
      <c r="H9842" s="7">
        <v>2439</v>
      </c>
      <c r="I9842" s="7">
        <v>322</v>
      </c>
      <c r="J9842" s="7">
        <v>0</v>
      </c>
      <c r="K9842" s="7" t="s">
        <v>18</v>
      </c>
      <c r="L9842" s="8">
        <v>39987.315405092595</v>
      </c>
      <c r="M9842" s="9" t="s">
        <v>19</v>
      </c>
      <c r="N9842" s="9" t="s">
        <v>20</v>
      </c>
      <c r="O9842" s="6" t="str">
        <f>HYPERLINK("https://pbs.twimg.com/profile_images/962471262747529216/Uo8lOkRJ_normal.jpg","View")</f>
        <v>View</v>
      </c>
      <c r="P9842" s="7"/>
    </row>
    <row r="9843" spans="1:16">
      <c r="A9843" s="3">
        <v>44085.757673611108</v>
      </c>
      <c r="B9843" s="4" t="str">
        <f>HYPERLINK("https://twitter.com/petrogustavo","@petrogustavo")</f>
        <v>@petrogustavo</v>
      </c>
      <c r="C9843" s="5" t="s">
        <v>16</v>
      </c>
      <c r="D9843" s="5" t="s">
        <v>9468</v>
      </c>
      <c r="E9843" s="6" t="str">
        <f>HYPERLINK("https://twitter.com/petrogustavo/status/1304399554591236097","1304399554591236097")</f>
        <v>1304399554591236097</v>
      </c>
      <c r="F9843" s="7" t="s">
        <v>17</v>
      </c>
      <c r="G9843" s="7">
        <v>3968941</v>
      </c>
      <c r="H9843" s="7">
        <v>2439</v>
      </c>
      <c r="I9843" s="7">
        <v>134</v>
      </c>
      <c r="J9843" s="7">
        <v>0</v>
      </c>
      <c r="K9843" s="7" t="s">
        <v>18</v>
      </c>
      <c r="L9843" s="8">
        <v>39987.315405092595</v>
      </c>
      <c r="M9843" s="9" t="s">
        <v>19</v>
      </c>
      <c r="N9843" s="9" t="s">
        <v>20</v>
      </c>
      <c r="O9843" s="6" t="str">
        <f>HYPERLINK("https://pbs.twimg.com/profile_images/962471262747529216/Uo8lOkRJ_normal.jpg","View")</f>
        <v>View</v>
      </c>
      <c r="P9843" s="7"/>
    </row>
    <row r="9844" spans="1:16">
      <c r="A9844" s="3">
        <v>44085.758784722224</v>
      </c>
      <c r="B9844" s="4" t="str">
        <f>HYPERLINK("https://twitter.com/petrogustavo","@petrogustavo")</f>
        <v>@petrogustavo</v>
      </c>
      <c r="C9844" s="5" t="s">
        <v>16</v>
      </c>
      <c r="D9844" s="5" t="s">
        <v>9469</v>
      </c>
      <c r="E9844" s="6" t="str">
        <f>HYPERLINK("https://twitter.com/petrogustavo/status/1304399960142680066","1304399960142680066")</f>
        <v>1304399960142680066</v>
      </c>
      <c r="F9844" s="7" t="s">
        <v>17</v>
      </c>
      <c r="G9844" s="7">
        <v>3968941</v>
      </c>
      <c r="H9844" s="7">
        <v>2439</v>
      </c>
      <c r="I9844" s="7">
        <v>110</v>
      </c>
      <c r="J9844" s="7">
        <v>0</v>
      </c>
      <c r="K9844" s="7" t="s">
        <v>18</v>
      </c>
      <c r="L9844" s="8">
        <v>39987.315405092595</v>
      </c>
      <c r="M9844" s="9" t="s">
        <v>19</v>
      </c>
      <c r="N9844" s="9" t="s">
        <v>20</v>
      </c>
      <c r="O9844" s="6" t="str">
        <f>HYPERLINK("https://pbs.twimg.com/profile_images/962471262747529216/Uo8lOkRJ_normal.jpg","View")</f>
        <v>View</v>
      </c>
      <c r="P9844" s="7"/>
    </row>
    <row r="9845" spans="1:16">
      <c r="A9845" s="3">
        <v>44085.761041666672</v>
      </c>
      <c r="B9845" s="4" t="str">
        <f>HYPERLINK("https://twitter.com/petrogustavo","@petrogustavo")</f>
        <v>@petrogustavo</v>
      </c>
      <c r="C9845" s="5" t="s">
        <v>16</v>
      </c>
      <c r="D9845" s="5" t="s">
        <v>9470</v>
      </c>
      <c r="E9845" s="6" t="str">
        <f>HYPERLINK("https://twitter.com/petrogustavo/status/1304400775821565958","1304400775821565958")</f>
        <v>1304400775821565958</v>
      </c>
      <c r="F9845" s="7" t="s">
        <v>17</v>
      </c>
      <c r="G9845" s="7">
        <v>3968941</v>
      </c>
      <c r="H9845" s="7">
        <v>2439</v>
      </c>
      <c r="I9845" s="7">
        <v>60</v>
      </c>
      <c r="J9845" s="7">
        <v>142</v>
      </c>
      <c r="K9845" s="7" t="s">
        <v>18</v>
      </c>
      <c r="L9845" s="8">
        <v>39987.315405092595</v>
      </c>
      <c r="M9845" s="9" t="s">
        <v>19</v>
      </c>
      <c r="N9845" s="9" t="s">
        <v>20</v>
      </c>
      <c r="O9845" s="6" t="str">
        <f>HYPERLINK("https://pbs.twimg.com/profile_images/962471262747529216/Uo8lOkRJ_normal.jpg","View")</f>
        <v>View</v>
      </c>
      <c r="P9845" s="7"/>
    </row>
    <row r="9846" spans="1:16">
      <c r="A9846" s="3">
        <v>44085.769282407404</v>
      </c>
      <c r="B9846" s="4" t="str">
        <f>HYPERLINK("https://twitter.com/petrogustavo","@petrogustavo")</f>
        <v>@petrogustavo</v>
      </c>
      <c r="C9846" s="5" t="s">
        <v>16</v>
      </c>
      <c r="D9846" s="5" t="s">
        <v>9471</v>
      </c>
      <c r="E9846" s="6" t="str">
        <f>HYPERLINK("https://twitter.com/petrogustavo/status/1304403764544245760","1304403764544245760")</f>
        <v>1304403764544245760</v>
      </c>
      <c r="F9846" s="7" t="s">
        <v>17</v>
      </c>
      <c r="G9846" s="7">
        <v>3969015</v>
      </c>
      <c r="H9846" s="7">
        <v>2439</v>
      </c>
      <c r="I9846" s="7">
        <v>550</v>
      </c>
      <c r="J9846" s="7">
        <v>1574</v>
      </c>
      <c r="K9846" s="7" t="s">
        <v>18</v>
      </c>
      <c r="L9846" s="8">
        <v>39987.315405092595</v>
      </c>
      <c r="M9846" s="9" t="s">
        <v>19</v>
      </c>
      <c r="N9846" s="9" t="s">
        <v>20</v>
      </c>
      <c r="O9846" s="6" t="str">
        <f>HYPERLINK("https://pbs.twimg.com/profile_images/962471262747529216/Uo8lOkRJ_normal.jpg","View")</f>
        <v>View</v>
      </c>
      <c r="P9846" s="7"/>
    </row>
    <row r="9847" spans="1:16">
      <c r="A9847" s="3">
        <v>44085.770578703705</v>
      </c>
      <c r="B9847" s="4" t="str">
        <f>HYPERLINK("https://twitter.com/petrogustavo","@petrogustavo")</f>
        <v>@petrogustavo</v>
      </c>
      <c r="C9847" s="5" t="s">
        <v>16</v>
      </c>
      <c r="D9847" s="5" t="s">
        <v>9472</v>
      </c>
      <c r="E9847" s="6" t="str">
        <f>HYPERLINK("https://twitter.com/petrogustavo/status/1304404232439844867","1304404232439844867")</f>
        <v>1304404232439844867</v>
      </c>
      <c r="F9847" s="7" t="s">
        <v>17</v>
      </c>
      <c r="G9847" s="7">
        <v>3969015</v>
      </c>
      <c r="H9847" s="7">
        <v>2439</v>
      </c>
      <c r="I9847" s="7">
        <v>250</v>
      </c>
      <c r="J9847" s="7">
        <v>848</v>
      </c>
      <c r="K9847" s="7" t="s">
        <v>18</v>
      </c>
      <c r="L9847" s="8">
        <v>39987.315405092595</v>
      </c>
      <c r="M9847" s="9" t="s">
        <v>19</v>
      </c>
      <c r="N9847" s="9" t="s">
        <v>20</v>
      </c>
      <c r="O9847" s="6" t="str">
        <f>HYPERLINK("https://pbs.twimg.com/profile_images/962471262747529216/Uo8lOkRJ_normal.jpg","View")</f>
        <v>View</v>
      </c>
      <c r="P9847" s="7"/>
    </row>
    <row r="9848" spans="1:16">
      <c r="A9848" s="3">
        <v>44085.772164351853</v>
      </c>
      <c r="B9848" s="4" t="str">
        <f>HYPERLINK("https://twitter.com/petrogustavo","@petrogustavo")</f>
        <v>@petrogustavo</v>
      </c>
      <c r="C9848" s="5" t="s">
        <v>16</v>
      </c>
      <c r="D9848" s="5" t="s">
        <v>9473</v>
      </c>
      <c r="E9848" s="6" t="str">
        <f>HYPERLINK("https://twitter.com/petrogustavo/status/1304404806698762242","1304404806698762242")</f>
        <v>1304404806698762242</v>
      </c>
      <c r="F9848" s="7" t="s">
        <v>17</v>
      </c>
      <c r="G9848" s="7">
        <v>3969015</v>
      </c>
      <c r="H9848" s="7">
        <v>2439</v>
      </c>
      <c r="I9848" s="7">
        <v>135</v>
      </c>
      <c r="J9848" s="7">
        <v>538</v>
      </c>
      <c r="K9848" s="7" t="s">
        <v>18</v>
      </c>
      <c r="L9848" s="8">
        <v>39987.315405092595</v>
      </c>
      <c r="M9848" s="9" t="s">
        <v>19</v>
      </c>
      <c r="N9848" s="9" t="s">
        <v>20</v>
      </c>
      <c r="O9848" s="6" t="str">
        <f>HYPERLINK("https://pbs.twimg.com/profile_images/962471262747529216/Uo8lOkRJ_normal.jpg","View")</f>
        <v>View</v>
      </c>
      <c r="P9848" s="7"/>
    </row>
    <row r="9849" spans="1:16">
      <c r="A9849" s="3">
        <v>44085.799791666665</v>
      </c>
      <c r="B9849" s="4" t="str">
        <f>HYPERLINK("https://twitter.com/petrogustavo","@petrogustavo")</f>
        <v>@petrogustavo</v>
      </c>
      <c r="C9849" s="5" t="s">
        <v>16</v>
      </c>
      <c r="D9849" s="5" t="s">
        <v>9474</v>
      </c>
      <c r="E9849" s="6" t="str">
        <f>HYPERLINK("https://twitter.com/petrogustavo/status/1304414818980552704","1304414818980552704")</f>
        <v>1304414818980552704</v>
      </c>
      <c r="F9849" s="7" t="s">
        <v>17</v>
      </c>
      <c r="G9849" s="7">
        <v>3969135</v>
      </c>
      <c r="H9849" s="7">
        <v>2439</v>
      </c>
      <c r="I9849" s="7">
        <v>750</v>
      </c>
      <c r="J9849" s="7">
        <v>0</v>
      </c>
      <c r="K9849" s="7" t="s">
        <v>18</v>
      </c>
      <c r="L9849" s="8">
        <v>39987.315405092595</v>
      </c>
      <c r="M9849" s="9" t="s">
        <v>19</v>
      </c>
      <c r="N9849" s="9" t="s">
        <v>20</v>
      </c>
      <c r="O9849" s="6" t="str">
        <f>HYPERLINK("https://pbs.twimg.com/profile_images/962471262747529216/Uo8lOkRJ_normal.jpg","View")</f>
        <v>View</v>
      </c>
      <c r="P9849" s="7"/>
    </row>
    <row r="9850" spans="1:16">
      <c r="A9850" s="3">
        <v>44085.802743055552</v>
      </c>
      <c r="B9850" s="4" t="str">
        <f>HYPERLINK("https://twitter.com/petrogustavo","@petrogustavo")</f>
        <v>@petrogustavo</v>
      </c>
      <c r="C9850" s="5" t="s">
        <v>16</v>
      </c>
      <c r="D9850" s="5" t="s">
        <v>9475</v>
      </c>
      <c r="E9850" s="6" t="str">
        <f>HYPERLINK("https://twitter.com/petrogustavo/status/1304415889874444291","1304415889874444291")</f>
        <v>1304415889874444291</v>
      </c>
      <c r="F9850" s="7" t="s">
        <v>17</v>
      </c>
      <c r="G9850" s="7">
        <v>3969135</v>
      </c>
      <c r="H9850" s="7">
        <v>2439</v>
      </c>
      <c r="I9850" s="7">
        <v>190</v>
      </c>
      <c r="J9850" s="7">
        <v>517</v>
      </c>
      <c r="K9850" s="7" t="s">
        <v>18</v>
      </c>
      <c r="L9850" s="8">
        <v>39987.315405092595</v>
      </c>
      <c r="M9850" s="9" t="s">
        <v>19</v>
      </c>
      <c r="N9850" s="9" t="s">
        <v>20</v>
      </c>
      <c r="O9850" s="6" t="str">
        <f>HYPERLINK("https://pbs.twimg.com/profile_images/962471262747529216/Uo8lOkRJ_normal.jpg","View")</f>
        <v>View</v>
      </c>
      <c r="P9850" s="7"/>
    </row>
    <row r="9851" spans="1:16">
      <c r="A9851" s="3">
        <v>44085.804363425923</v>
      </c>
      <c r="B9851" s="4" t="str">
        <f>HYPERLINK("https://twitter.com/petrogustavo","@petrogustavo")</f>
        <v>@petrogustavo</v>
      </c>
      <c r="C9851" s="5" t="s">
        <v>16</v>
      </c>
      <c r="D9851" s="5" t="s">
        <v>9476</v>
      </c>
      <c r="E9851" s="6" t="str">
        <f>HYPERLINK("https://twitter.com/petrogustavo/status/1304416475512532997","1304416475512532997")</f>
        <v>1304416475512532997</v>
      </c>
      <c r="F9851" s="7" t="s">
        <v>17</v>
      </c>
      <c r="G9851" s="7">
        <v>3969135</v>
      </c>
      <c r="H9851" s="7">
        <v>2439</v>
      </c>
      <c r="I9851" s="7">
        <v>394</v>
      </c>
      <c r="J9851" s="7">
        <v>0</v>
      </c>
      <c r="K9851" s="7" t="s">
        <v>18</v>
      </c>
      <c r="L9851" s="8">
        <v>39987.315405092595</v>
      </c>
      <c r="M9851" s="9" t="s">
        <v>19</v>
      </c>
      <c r="N9851" s="9" t="s">
        <v>20</v>
      </c>
      <c r="O9851" s="6" t="str">
        <f>HYPERLINK("https://pbs.twimg.com/profile_images/962471262747529216/Uo8lOkRJ_normal.jpg","View")</f>
        <v>View</v>
      </c>
      <c r="P9851" s="7"/>
    </row>
    <row r="9852" spans="1:16">
      <c r="A9852" s="3">
        <v>44085.804745370369</v>
      </c>
      <c r="B9852" s="4" t="str">
        <f>HYPERLINK("https://twitter.com/petrogustavo","@petrogustavo")</f>
        <v>@petrogustavo</v>
      </c>
      <c r="C9852" s="5" t="s">
        <v>16</v>
      </c>
      <c r="D9852" s="5" t="s">
        <v>9477</v>
      </c>
      <c r="E9852" s="6" t="str">
        <f>HYPERLINK("https://twitter.com/petrogustavo/status/1304416613307953153","1304416613307953153")</f>
        <v>1304416613307953153</v>
      </c>
      <c r="F9852" s="7" t="s">
        <v>17</v>
      </c>
      <c r="G9852" s="7">
        <v>3969229</v>
      </c>
      <c r="H9852" s="7">
        <v>2439</v>
      </c>
      <c r="I9852" s="7">
        <v>1713</v>
      </c>
      <c r="J9852" s="7">
        <v>0</v>
      </c>
      <c r="K9852" s="7" t="s">
        <v>18</v>
      </c>
      <c r="L9852" s="8">
        <v>39987.315405092595</v>
      </c>
      <c r="M9852" s="9" t="s">
        <v>19</v>
      </c>
      <c r="N9852" s="9" t="s">
        <v>20</v>
      </c>
      <c r="O9852" s="6" t="str">
        <f>HYPERLINK("https://pbs.twimg.com/profile_images/962471262747529216/Uo8lOkRJ_normal.jpg","View")</f>
        <v>View</v>
      </c>
      <c r="P9852" s="7"/>
    </row>
    <row r="9853" spans="1:16">
      <c r="A9853" s="3">
        <v>44085.819236111114</v>
      </c>
      <c r="B9853" s="4" t="str">
        <f>HYPERLINK("https://twitter.com/petrogustavo","@petrogustavo")</f>
        <v>@petrogustavo</v>
      </c>
      <c r="C9853" s="5" t="s">
        <v>16</v>
      </c>
      <c r="D9853" s="5" t="s">
        <v>9478</v>
      </c>
      <c r="E9853" s="6" t="str">
        <f>HYPERLINK("https://twitter.com/petrogustavo/status/1304421864345829377","1304421864345829377")</f>
        <v>1304421864345829377</v>
      </c>
      <c r="F9853" s="7" t="s">
        <v>17</v>
      </c>
      <c r="G9853" s="7">
        <v>3969229</v>
      </c>
      <c r="H9853" s="7">
        <v>2439</v>
      </c>
      <c r="I9853" s="7">
        <v>169</v>
      </c>
      <c r="J9853" s="7">
        <v>429</v>
      </c>
      <c r="K9853" s="7" t="s">
        <v>18</v>
      </c>
      <c r="L9853" s="8">
        <v>39987.315405092595</v>
      </c>
      <c r="M9853" s="9" t="s">
        <v>19</v>
      </c>
      <c r="N9853" s="9" t="s">
        <v>20</v>
      </c>
      <c r="O9853" s="6" t="str">
        <f>HYPERLINK("https://pbs.twimg.com/profile_images/962471262747529216/Uo8lOkRJ_normal.jpg","View")</f>
        <v>View</v>
      </c>
      <c r="P9853" s="7"/>
    </row>
    <row r="9854" spans="1:16">
      <c r="A9854" s="3">
        <v>44085.832442129627</v>
      </c>
      <c r="B9854" s="4" t="str">
        <f>HYPERLINK("https://twitter.com/petrogustavo","@petrogustavo")</f>
        <v>@petrogustavo</v>
      </c>
      <c r="C9854" s="5" t="s">
        <v>16</v>
      </c>
      <c r="D9854" s="5" t="s">
        <v>9479</v>
      </c>
      <c r="E9854" s="6" t="str">
        <f>HYPERLINK("https://twitter.com/petrogustavo/status/1304426652454318080","1304426652454318080")</f>
        <v>1304426652454318080</v>
      </c>
      <c r="F9854" s="7" t="s">
        <v>17</v>
      </c>
      <c r="G9854" s="7">
        <v>3969339</v>
      </c>
      <c r="H9854" s="7">
        <v>2439</v>
      </c>
      <c r="I9854" s="7">
        <v>537</v>
      </c>
      <c r="J9854" s="7">
        <v>1565</v>
      </c>
      <c r="K9854" s="7" t="s">
        <v>18</v>
      </c>
      <c r="L9854" s="8">
        <v>39987.315405092595</v>
      </c>
      <c r="M9854" s="9" t="s">
        <v>19</v>
      </c>
      <c r="N9854" s="9" t="s">
        <v>20</v>
      </c>
      <c r="O9854" s="6" t="str">
        <f>HYPERLINK("https://pbs.twimg.com/profile_images/962471262747529216/Uo8lOkRJ_normal.jpg","View")</f>
        <v>View</v>
      </c>
      <c r="P9854" s="7"/>
    </row>
    <row r="9855" spans="1:16">
      <c r="A9855" s="3">
        <v>44085.840104166666</v>
      </c>
      <c r="B9855" s="4" t="str">
        <f>HYPERLINK("https://twitter.com/petrogustavo","@petrogustavo")</f>
        <v>@petrogustavo</v>
      </c>
      <c r="C9855" s="5" t="s">
        <v>16</v>
      </c>
      <c r="D9855" s="5" t="s">
        <v>9480</v>
      </c>
      <c r="E9855" s="6" t="str">
        <f>HYPERLINK("https://twitter.com/petrogustavo/status/1304429429372989440","1304429429372989440")</f>
        <v>1304429429372989440</v>
      </c>
      <c r="F9855" s="7" t="s">
        <v>17</v>
      </c>
      <c r="G9855" s="7">
        <v>3969339</v>
      </c>
      <c r="H9855" s="7">
        <v>2439</v>
      </c>
      <c r="I9855" s="7">
        <v>165</v>
      </c>
      <c r="J9855" s="7">
        <v>557</v>
      </c>
      <c r="K9855" s="7" t="s">
        <v>18</v>
      </c>
      <c r="L9855" s="8">
        <v>39987.315405092595</v>
      </c>
      <c r="M9855" s="9" t="s">
        <v>19</v>
      </c>
      <c r="N9855" s="9" t="s">
        <v>20</v>
      </c>
      <c r="O9855" s="6" t="str">
        <f>HYPERLINK("https://pbs.twimg.com/profile_images/962471262747529216/Uo8lOkRJ_normal.jpg","View")</f>
        <v>View</v>
      </c>
      <c r="P9855" s="7"/>
    </row>
    <row r="9856" spans="1:16">
      <c r="A9856" s="3">
        <v>44085.850659722222</v>
      </c>
      <c r="B9856" s="4" t="str">
        <f>HYPERLINK("https://twitter.com/petrogustavo","@petrogustavo")</f>
        <v>@petrogustavo</v>
      </c>
      <c r="C9856" s="5" t="s">
        <v>16</v>
      </c>
      <c r="D9856" s="5" t="s">
        <v>9481</v>
      </c>
      <c r="E9856" s="6" t="str">
        <f>HYPERLINK("https://twitter.com/petrogustavo/status/1304433253689044992","1304433253689044992")</f>
        <v>1304433253689044992</v>
      </c>
      <c r="F9856" s="7" t="s">
        <v>17</v>
      </c>
      <c r="G9856" s="7">
        <v>3969447</v>
      </c>
      <c r="H9856" s="7">
        <v>2439</v>
      </c>
      <c r="I9856" s="7">
        <v>162</v>
      </c>
      <c r="J9856" s="7">
        <v>553</v>
      </c>
      <c r="K9856" s="7" t="s">
        <v>18</v>
      </c>
      <c r="L9856" s="8">
        <v>39987.315405092595</v>
      </c>
      <c r="M9856" s="9" t="s">
        <v>19</v>
      </c>
      <c r="N9856" s="9" t="s">
        <v>20</v>
      </c>
      <c r="O9856" s="6" t="str">
        <f>HYPERLINK("https://pbs.twimg.com/profile_images/962471262747529216/Uo8lOkRJ_normal.jpg","View")</f>
        <v>View</v>
      </c>
      <c r="P9856" s="7"/>
    </row>
    <row r="9857" spans="1:16">
      <c r="A9857" s="3">
        <v>44085.857916666668</v>
      </c>
      <c r="B9857" s="4" t="str">
        <f>HYPERLINK("https://twitter.com/petrogustavo","@petrogustavo")</f>
        <v>@petrogustavo</v>
      </c>
      <c r="C9857" s="5" t="s">
        <v>16</v>
      </c>
      <c r="D9857" s="5" t="s">
        <v>9482</v>
      </c>
      <c r="E9857" s="6" t="str">
        <f>HYPERLINK("https://twitter.com/petrogustavo/status/1304435882842370048","1304435882842370048")</f>
        <v>1304435882842370048</v>
      </c>
      <c r="F9857" s="7" t="s">
        <v>17</v>
      </c>
      <c r="G9857" s="7">
        <v>3969447</v>
      </c>
      <c r="H9857" s="7">
        <v>2439</v>
      </c>
      <c r="I9857" s="7">
        <v>134</v>
      </c>
      <c r="J9857" s="7">
        <v>535</v>
      </c>
      <c r="K9857" s="7" t="s">
        <v>18</v>
      </c>
      <c r="L9857" s="8">
        <v>39987.315405092595</v>
      </c>
      <c r="M9857" s="9" t="s">
        <v>19</v>
      </c>
      <c r="N9857" s="9" t="s">
        <v>20</v>
      </c>
      <c r="O9857" s="6" t="str">
        <f>HYPERLINK("https://pbs.twimg.com/profile_images/962471262747529216/Uo8lOkRJ_normal.jpg","View")</f>
        <v>View</v>
      </c>
      <c r="P9857" s="7"/>
    </row>
    <row r="9858" spans="1:16">
      <c r="A9858" s="3">
        <v>44085.861504629633</v>
      </c>
      <c r="B9858" s="4" t="str">
        <f>HYPERLINK("https://twitter.com/petrogustavo","@petrogustavo")</f>
        <v>@petrogustavo</v>
      </c>
      <c r="C9858" s="5" t="s">
        <v>16</v>
      </c>
      <c r="D9858" s="5" t="s">
        <v>9483</v>
      </c>
      <c r="E9858" s="6" t="str">
        <f>HYPERLINK("https://twitter.com/petrogustavo/status/1304437183722512386","1304437183722512386")</f>
        <v>1304437183722512386</v>
      </c>
      <c r="F9858" s="7" t="s">
        <v>17</v>
      </c>
      <c r="G9858" s="7">
        <v>3969447</v>
      </c>
      <c r="H9858" s="7">
        <v>2439</v>
      </c>
      <c r="I9858" s="7">
        <v>227</v>
      </c>
      <c r="J9858" s="7">
        <v>1211</v>
      </c>
      <c r="K9858" s="7" t="s">
        <v>18</v>
      </c>
      <c r="L9858" s="8">
        <v>39987.315405092595</v>
      </c>
      <c r="M9858" s="9" t="s">
        <v>19</v>
      </c>
      <c r="N9858" s="9" t="s">
        <v>20</v>
      </c>
      <c r="O9858" s="6" t="str">
        <f>HYPERLINK("https://pbs.twimg.com/profile_images/962471262747529216/Uo8lOkRJ_normal.jpg","View")</f>
        <v>View</v>
      </c>
      <c r="P9858" s="7"/>
    </row>
    <row r="9859" spans="1:16">
      <c r="A9859" s="3">
        <v>44085.865081018521</v>
      </c>
      <c r="B9859" s="4" t="str">
        <f>HYPERLINK("https://twitter.com/petrogustavo","@petrogustavo")</f>
        <v>@petrogustavo</v>
      </c>
      <c r="C9859" s="5" t="s">
        <v>16</v>
      </c>
      <c r="D9859" s="5" t="s">
        <v>9484</v>
      </c>
      <c r="E9859" s="6" t="str">
        <f>HYPERLINK("https://twitter.com/petrogustavo/status/1304438478663569411","1304438478663569411")</f>
        <v>1304438478663569411</v>
      </c>
      <c r="F9859" s="7" t="s">
        <v>17</v>
      </c>
      <c r="G9859" s="7">
        <v>3969447</v>
      </c>
      <c r="H9859" s="7">
        <v>2439</v>
      </c>
      <c r="I9859" s="7">
        <v>80</v>
      </c>
      <c r="J9859" s="7">
        <v>271</v>
      </c>
      <c r="K9859" s="7" t="s">
        <v>18</v>
      </c>
      <c r="L9859" s="8">
        <v>39987.315405092595</v>
      </c>
      <c r="M9859" s="9" t="s">
        <v>19</v>
      </c>
      <c r="N9859" s="9" t="s">
        <v>20</v>
      </c>
      <c r="O9859" s="6" t="str">
        <f>HYPERLINK("https://pbs.twimg.com/profile_images/962471262747529216/Uo8lOkRJ_normal.jpg","View")</f>
        <v>View</v>
      </c>
      <c r="P9859" s="7"/>
    </row>
    <row r="9860" spans="1:16">
      <c r="A9860" s="3">
        <v>44085.873622685191</v>
      </c>
      <c r="B9860" s="4" t="str">
        <f>HYPERLINK("https://twitter.com/petrogustavo","@petrogustavo")</f>
        <v>@petrogustavo</v>
      </c>
      <c r="C9860" s="5" t="s">
        <v>16</v>
      </c>
      <c r="D9860" s="5" t="s">
        <v>9485</v>
      </c>
      <c r="E9860" s="6" t="str">
        <f>HYPERLINK("https://twitter.com/petrogustavo/status/1304441574399635456","1304441574399635456")</f>
        <v>1304441574399635456</v>
      </c>
      <c r="F9860" s="7" t="s">
        <v>17</v>
      </c>
      <c r="G9860" s="7">
        <v>3969562</v>
      </c>
      <c r="H9860" s="7">
        <v>2439</v>
      </c>
      <c r="I9860" s="7">
        <v>556</v>
      </c>
      <c r="J9860" s="7">
        <v>2060</v>
      </c>
      <c r="K9860" s="7" t="s">
        <v>18</v>
      </c>
      <c r="L9860" s="8">
        <v>39987.315405092595</v>
      </c>
      <c r="M9860" s="9" t="s">
        <v>19</v>
      </c>
      <c r="N9860" s="9" t="s">
        <v>20</v>
      </c>
      <c r="O9860" s="6" t="str">
        <f>HYPERLINK("https://pbs.twimg.com/profile_images/962471262747529216/Uo8lOkRJ_normal.jpg","View")</f>
        <v>View</v>
      </c>
      <c r="P9860" s="7"/>
    </row>
    <row r="9861" spans="1:16">
      <c r="A9861" s="3">
        <v>44086.060254629629</v>
      </c>
      <c r="B9861" s="4" t="str">
        <f>HYPERLINK("https://twitter.com/petrogustavo","@petrogustavo")</f>
        <v>@petrogustavo</v>
      </c>
      <c r="C9861" s="5" t="s">
        <v>16</v>
      </c>
      <c r="D9861" s="5" t="s">
        <v>9486</v>
      </c>
      <c r="E9861" s="6" t="str">
        <f>HYPERLINK("https://twitter.com/petrogustavo/status/1304509210152128512","1304509210152128512")</f>
        <v>1304509210152128512</v>
      </c>
      <c r="F9861" s="7" t="s">
        <v>17</v>
      </c>
      <c r="G9861" s="7">
        <v>3970582</v>
      </c>
      <c r="H9861" s="7">
        <v>2439</v>
      </c>
      <c r="I9861" s="7">
        <v>293</v>
      </c>
      <c r="J9861" s="7">
        <v>659</v>
      </c>
      <c r="K9861" s="7" t="s">
        <v>18</v>
      </c>
      <c r="L9861" s="8">
        <v>39987.315405092595</v>
      </c>
      <c r="M9861" s="9" t="s">
        <v>19</v>
      </c>
      <c r="N9861" s="9" t="s">
        <v>20</v>
      </c>
      <c r="O9861" s="6" t="str">
        <f>HYPERLINK("https://pbs.twimg.com/profile_images/962471262747529216/Uo8lOkRJ_normal.jpg","View")</f>
        <v>View</v>
      </c>
      <c r="P9861" s="7"/>
    </row>
    <row r="9862" spans="1:16">
      <c r="A9862" s="3">
        <v>44086.070277777777</v>
      </c>
      <c r="B9862" s="4" t="str">
        <f>HYPERLINK("https://twitter.com/petrogustavo","@petrogustavo")</f>
        <v>@petrogustavo</v>
      </c>
      <c r="C9862" s="5" t="s">
        <v>16</v>
      </c>
      <c r="D9862" s="5" t="s">
        <v>9487</v>
      </c>
      <c r="E9862" s="6" t="str">
        <f>HYPERLINK("https://twitter.com/petrogustavo/status/1304512841475665925","1304512841475665925")</f>
        <v>1304512841475665925</v>
      </c>
      <c r="F9862" s="7" t="s">
        <v>17</v>
      </c>
      <c r="G9862" s="7">
        <v>3970582</v>
      </c>
      <c r="H9862" s="7">
        <v>2439</v>
      </c>
      <c r="I9862" s="7">
        <v>227</v>
      </c>
      <c r="J9862" s="7">
        <v>559</v>
      </c>
      <c r="K9862" s="7" t="s">
        <v>18</v>
      </c>
      <c r="L9862" s="8">
        <v>39987.315405092595</v>
      </c>
      <c r="M9862" s="9" t="s">
        <v>19</v>
      </c>
      <c r="N9862" s="9" t="s">
        <v>20</v>
      </c>
      <c r="O9862" s="6" t="str">
        <f>HYPERLINK("https://pbs.twimg.com/profile_images/962471262747529216/Uo8lOkRJ_normal.jpg","View")</f>
        <v>View</v>
      </c>
      <c r="P9862" s="7"/>
    </row>
    <row r="9863" spans="1:16">
      <c r="A9863" s="3">
        <v>44086.07402777778</v>
      </c>
      <c r="B9863" s="4" t="str">
        <f>HYPERLINK("https://twitter.com/petrogustavo","@petrogustavo")</f>
        <v>@petrogustavo</v>
      </c>
      <c r="C9863" s="5" t="s">
        <v>16</v>
      </c>
      <c r="D9863" s="5" t="s">
        <v>9488</v>
      </c>
      <c r="E9863" s="6" t="str">
        <f>HYPERLINK("https://twitter.com/petrogustavo/status/1304514199704539138","1304514199704539138")</f>
        <v>1304514199704539138</v>
      </c>
      <c r="F9863" s="7" t="s">
        <v>17</v>
      </c>
      <c r="G9863" s="7">
        <v>3970582</v>
      </c>
      <c r="H9863" s="7">
        <v>2439</v>
      </c>
      <c r="I9863" s="7">
        <v>32</v>
      </c>
      <c r="J9863" s="7">
        <v>81</v>
      </c>
      <c r="K9863" s="7" t="s">
        <v>18</v>
      </c>
      <c r="L9863" s="8">
        <v>39987.315405092595</v>
      </c>
      <c r="M9863" s="9" t="s">
        <v>19</v>
      </c>
      <c r="N9863" s="9" t="s">
        <v>20</v>
      </c>
      <c r="O9863" s="6" t="str">
        <f>HYPERLINK("https://pbs.twimg.com/profile_images/962471262747529216/Uo8lOkRJ_normal.jpg","View")</f>
        <v>View</v>
      </c>
      <c r="P9863" s="7"/>
    </row>
    <row r="9864" spans="1:16">
      <c r="A9864" s="3">
        <v>44086.080046296294</v>
      </c>
      <c r="B9864" s="4" t="str">
        <f>HYPERLINK("https://twitter.com/petrogustavo","@petrogustavo")</f>
        <v>@petrogustavo</v>
      </c>
      <c r="C9864" s="5" t="s">
        <v>16</v>
      </c>
      <c r="D9864" s="5" t="s">
        <v>9489</v>
      </c>
      <c r="E9864" s="6" t="str">
        <f>HYPERLINK("https://twitter.com/petrogustavo/status/1304516382365802501","1304516382365802501")</f>
        <v>1304516382365802501</v>
      </c>
      <c r="F9864" s="7" t="s">
        <v>17</v>
      </c>
      <c r="G9864" s="7">
        <v>3970649</v>
      </c>
      <c r="H9864" s="7">
        <v>2440</v>
      </c>
      <c r="I9864" s="7">
        <v>864</v>
      </c>
      <c r="J9864" s="7">
        <v>0</v>
      </c>
      <c r="K9864" s="7" t="s">
        <v>18</v>
      </c>
      <c r="L9864" s="8">
        <v>39987.315405092595</v>
      </c>
      <c r="M9864" s="9" t="s">
        <v>19</v>
      </c>
      <c r="N9864" s="9" t="s">
        <v>20</v>
      </c>
      <c r="O9864" s="6" t="str">
        <f>HYPERLINK("https://pbs.twimg.com/profile_images/962471262747529216/Uo8lOkRJ_normal.jpg","View")</f>
        <v>View</v>
      </c>
      <c r="P9864" s="7"/>
    </row>
    <row r="9865" spans="1:16">
      <c r="A9865" s="3">
        <v>44086.083530092597</v>
      </c>
      <c r="B9865" s="4" t="str">
        <f>HYPERLINK("https://twitter.com/petrogustavo","@petrogustavo")</f>
        <v>@petrogustavo</v>
      </c>
      <c r="C9865" s="5" t="s">
        <v>16</v>
      </c>
      <c r="D9865" s="5" t="s">
        <v>9490</v>
      </c>
      <c r="E9865" s="6" t="str">
        <f>HYPERLINK("https://twitter.com/petrogustavo/status/1304517644037562368","1304517644037562368")</f>
        <v>1304517644037562368</v>
      </c>
      <c r="F9865" s="7" t="s">
        <v>17</v>
      </c>
      <c r="G9865" s="7">
        <v>3970649</v>
      </c>
      <c r="H9865" s="7">
        <v>2440</v>
      </c>
      <c r="I9865" s="7">
        <v>1143</v>
      </c>
      <c r="J9865" s="7">
        <v>0</v>
      </c>
      <c r="K9865" s="7" t="s">
        <v>18</v>
      </c>
      <c r="L9865" s="8">
        <v>39987.315405092595</v>
      </c>
      <c r="M9865" s="9" t="s">
        <v>19</v>
      </c>
      <c r="N9865" s="9" t="s">
        <v>20</v>
      </c>
      <c r="O9865" s="6" t="str">
        <f>HYPERLINK("https://pbs.twimg.com/profile_images/962471262747529216/Uo8lOkRJ_normal.jpg","View")</f>
        <v>View</v>
      </c>
      <c r="P9865" s="7"/>
    </row>
    <row r="9866" spans="1:16">
      <c r="A9866" s="3">
        <v>44086.086759259255</v>
      </c>
      <c r="B9866" s="4" t="str">
        <f>HYPERLINK("https://twitter.com/petrogustavo","@petrogustavo")</f>
        <v>@petrogustavo</v>
      </c>
      <c r="C9866" s="5" t="s">
        <v>16</v>
      </c>
      <c r="D9866" s="5" t="s">
        <v>9491</v>
      </c>
      <c r="E9866" s="6" t="str">
        <f>HYPERLINK("https://twitter.com/petrogustavo/status/1304518813048766464","1304518813048766464")</f>
        <v>1304518813048766464</v>
      </c>
      <c r="F9866" s="7" t="s">
        <v>17</v>
      </c>
      <c r="G9866" s="7">
        <v>3970649</v>
      </c>
      <c r="H9866" s="7">
        <v>2440</v>
      </c>
      <c r="I9866" s="7">
        <v>458</v>
      </c>
      <c r="J9866" s="7">
        <v>0</v>
      </c>
      <c r="K9866" s="7" t="s">
        <v>18</v>
      </c>
      <c r="L9866" s="8">
        <v>39987.315405092595</v>
      </c>
      <c r="M9866" s="9" t="s">
        <v>19</v>
      </c>
      <c r="N9866" s="9" t="s">
        <v>20</v>
      </c>
      <c r="O9866" s="6" t="str">
        <f>HYPERLINK("https://pbs.twimg.com/profile_images/962471262747529216/Uo8lOkRJ_normal.jpg","View")</f>
        <v>View</v>
      </c>
      <c r="P9866" s="7"/>
    </row>
    <row r="9867" spans="1:16">
      <c r="A9867" s="3">
        <v>44086.093645833331</v>
      </c>
      <c r="B9867" s="4" t="str">
        <f>HYPERLINK("https://twitter.com/petrogustavo","@petrogustavo")</f>
        <v>@petrogustavo</v>
      </c>
      <c r="C9867" s="5" t="s">
        <v>16</v>
      </c>
      <c r="D9867" s="5" t="s">
        <v>9492</v>
      </c>
      <c r="E9867" s="6" t="str">
        <f>HYPERLINK("https://twitter.com/petrogustavo/status/1304521308982718465","1304521308982718465")</f>
        <v>1304521308982718465</v>
      </c>
      <c r="F9867" s="7" t="s">
        <v>17</v>
      </c>
      <c r="G9867" s="7">
        <v>3970649</v>
      </c>
      <c r="H9867" s="7">
        <v>2440</v>
      </c>
      <c r="I9867" s="7">
        <v>3826</v>
      </c>
      <c r="J9867" s="7">
        <v>0</v>
      </c>
      <c r="K9867" s="7" t="s">
        <v>18</v>
      </c>
      <c r="L9867" s="8">
        <v>39987.315405092595</v>
      </c>
      <c r="M9867" s="9" t="s">
        <v>19</v>
      </c>
      <c r="N9867" s="9" t="s">
        <v>20</v>
      </c>
      <c r="O9867" s="6" t="str">
        <f>HYPERLINK("https://pbs.twimg.com/profile_images/962471262747529216/Uo8lOkRJ_normal.jpg","View")</f>
        <v>View</v>
      </c>
      <c r="P9867" s="7"/>
    </row>
    <row r="9868" spans="1:16">
      <c r="A9868" s="3">
        <v>44086.155509259261</v>
      </c>
      <c r="B9868" s="4" t="str">
        <f>HYPERLINK("https://twitter.com/petrogustavo","@petrogustavo")</f>
        <v>@petrogustavo</v>
      </c>
      <c r="C9868" s="5" t="s">
        <v>16</v>
      </c>
      <c r="D9868" s="5" t="s">
        <v>9493</v>
      </c>
      <c r="E9868" s="6" t="str">
        <f>HYPERLINK("https://twitter.com/petrogustavo/status/1304543728690966529","1304543728690966529")</f>
        <v>1304543728690966529</v>
      </c>
      <c r="F9868" s="7" t="s">
        <v>17</v>
      </c>
      <c r="G9868" s="7">
        <v>3970894</v>
      </c>
      <c r="H9868" s="7">
        <v>2440</v>
      </c>
      <c r="I9868" s="7">
        <v>36</v>
      </c>
      <c r="J9868" s="7">
        <v>132</v>
      </c>
      <c r="K9868" s="7" t="s">
        <v>18</v>
      </c>
      <c r="L9868" s="8">
        <v>39987.315405092595</v>
      </c>
      <c r="M9868" s="9" t="s">
        <v>19</v>
      </c>
      <c r="N9868" s="9" t="s">
        <v>20</v>
      </c>
      <c r="O9868" s="6" t="str">
        <f>HYPERLINK("https://pbs.twimg.com/profile_images/962471262747529216/Uo8lOkRJ_normal.jpg","View")</f>
        <v>View</v>
      </c>
      <c r="P9868" s="7"/>
    </row>
    <row r="9869" spans="1:16">
      <c r="A9869" s="3">
        <v>44086.199490740742</v>
      </c>
      <c r="B9869" s="4" t="str">
        <f>HYPERLINK("https://twitter.com/petrogustavo","@petrogustavo")</f>
        <v>@petrogustavo</v>
      </c>
      <c r="C9869" s="5" t="s">
        <v>16</v>
      </c>
      <c r="D9869" s="5" t="s">
        <v>9494</v>
      </c>
      <c r="E9869" s="6" t="str">
        <f>HYPERLINK("https://twitter.com/petrogustavo/status/1304559667738275840","1304559667738275840")</f>
        <v>1304559667738275840</v>
      </c>
      <c r="F9869" s="7" t="s">
        <v>17</v>
      </c>
      <c r="G9869" s="7">
        <v>3971036</v>
      </c>
      <c r="H9869" s="7">
        <v>2440</v>
      </c>
      <c r="I9869" s="7">
        <v>9</v>
      </c>
      <c r="J9869" s="7">
        <v>52</v>
      </c>
      <c r="K9869" s="7" t="s">
        <v>18</v>
      </c>
      <c r="L9869" s="8">
        <v>39987.315405092595</v>
      </c>
      <c r="M9869" s="9" t="s">
        <v>19</v>
      </c>
      <c r="N9869" s="9" t="s">
        <v>20</v>
      </c>
      <c r="O9869" s="6" t="str">
        <f>HYPERLINK("https://pbs.twimg.com/profile_images/962471262747529216/Uo8lOkRJ_normal.jpg","View")</f>
        <v>View</v>
      </c>
      <c r="P9869" s="7"/>
    </row>
    <row r="9870" spans="1:16">
      <c r="A9870" s="3">
        <v>44086.24618055555</v>
      </c>
      <c r="B9870" s="4" t="str">
        <f>HYPERLINK("https://twitter.com/petrogustavo","@petrogustavo")</f>
        <v>@petrogustavo</v>
      </c>
      <c r="C9870" s="5" t="s">
        <v>16</v>
      </c>
      <c r="D9870" s="5" t="s">
        <v>9495</v>
      </c>
      <c r="E9870" s="6" t="str">
        <f>HYPERLINK("https://twitter.com/petrogustavo/status/1304576586902122496","1304576586902122496")</f>
        <v>1304576586902122496</v>
      </c>
      <c r="F9870" s="7" t="s">
        <v>17</v>
      </c>
      <c r="G9870" s="7">
        <v>3971245</v>
      </c>
      <c r="H9870" s="7">
        <v>2440</v>
      </c>
      <c r="I9870" s="7">
        <v>556</v>
      </c>
      <c r="J9870" s="7">
        <v>879</v>
      </c>
      <c r="K9870" s="7" t="s">
        <v>18</v>
      </c>
      <c r="L9870" s="8">
        <v>39987.315405092595</v>
      </c>
      <c r="M9870" s="9" t="s">
        <v>19</v>
      </c>
      <c r="N9870" s="9" t="s">
        <v>20</v>
      </c>
      <c r="O9870" s="6" t="str">
        <f>HYPERLINK("https://pbs.twimg.com/profile_images/962471262747529216/Uo8lOkRJ_normal.jpg","View")</f>
        <v>View</v>
      </c>
      <c r="P9870" s="7"/>
    </row>
    <row r="9871" spans="1:16">
      <c r="A9871" s="3">
        <v>44086.254895833335</v>
      </c>
      <c r="B9871" s="4" t="str">
        <f>HYPERLINK("https://twitter.com/petrogustavo","@petrogustavo")</f>
        <v>@petrogustavo</v>
      </c>
      <c r="C9871" s="5" t="s">
        <v>16</v>
      </c>
      <c r="D9871" s="5" t="s">
        <v>9496</v>
      </c>
      <c r="E9871" s="6" t="str">
        <f>HYPERLINK("https://twitter.com/petrogustavo/status/1304579743690481665","1304579743690481665")</f>
        <v>1304579743690481665</v>
      </c>
      <c r="F9871" s="7" t="s">
        <v>17</v>
      </c>
      <c r="G9871" s="7">
        <v>3971245</v>
      </c>
      <c r="H9871" s="7">
        <v>2440</v>
      </c>
      <c r="I9871" s="7">
        <v>316</v>
      </c>
      <c r="J9871" s="7">
        <v>1308</v>
      </c>
      <c r="K9871" s="7" t="s">
        <v>18</v>
      </c>
      <c r="L9871" s="8">
        <v>39987.315405092595</v>
      </c>
      <c r="M9871" s="9" t="s">
        <v>19</v>
      </c>
      <c r="N9871" s="9" t="s">
        <v>20</v>
      </c>
      <c r="O9871" s="6" t="str">
        <f>HYPERLINK("https://pbs.twimg.com/profile_images/962471262747529216/Uo8lOkRJ_normal.jpg","View")</f>
        <v>View</v>
      </c>
      <c r="P9871" s="7"/>
    </row>
    <row r="9872" spans="1:16">
      <c r="A9872" s="3">
        <v>44086.255416666667</v>
      </c>
      <c r="B9872" s="4" t="str">
        <f>HYPERLINK("https://twitter.com/petrogustavo","@petrogustavo")</f>
        <v>@petrogustavo</v>
      </c>
      <c r="C9872" s="5" t="s">
        <v>16</v>
      </c>
      <c r="D9872" s="5" t="s">
        <v>9497</v>
      </c>
      <c r="E9872" s="6" t="str">
        <f>HYPERLINK("https://twitter.com/petrogustavo/status/1304579933323382784","1304579933323382784")</f>
        <v>1304579933323382784</v>
      </c>
      <c r="F9872" s="7" t="s">
        <v>17</v>
      </c>
      <c r="G9872" s="7">
        <v>3971245</v>
      </c>
      <c r="H9872" s="7">
        <v>2440</v>
      </c>
      <c r="I9872" s="7">
        <v>106</v>
      </c>
      <c r="J9872" s="7">
        <v>0</v>
      </c>
      <c r="K9872" s="7" t="s">
        <v>18</v>
      </c>
      <c r="L9872" s="8">
        <v>39987.315405092595</v>
      </c>
      <c r="M9872" s="9" t="s">
        <v>19</v>
      </c>
      <c r="N9872" s="9" t="s">
        <v>20</v>
      </c>
      <c r="O9872" s="6" t="str">
        <f>HYPERLINK("https://pbs.twimg.com/profile_images/962471262747529216/Uo8lOkRJ_normal.jpg","View")</f>
        <v>View</v>
      </c>
      <c r="P9872" s="7"/>
    </row>
    <row r="9873" spans="1:16">
      <c r="A9873" s="3">
        <v>44086.270023148143</v>
      </c>
      <c r="B9873" s="4" t="str">
        <f>HYPERLINK("https://twitter.com/petrogustavo","@petrogustavo")</f>
        <v>@petrogustavo</v>
      </c>
      <c r="C9873" s="5" t="s">
        <v>16</v>
      </c>
      <c r="D9873" s="5" t="s">
        <v>9498</v>
      </c>
      <c r="E9873" s="6" t="str">
        <f>HYPERLINK("https://twitter.com/petrogustavo/status/1304585226753105925","1304585226753105925")</f>
        <v>1304585226753105925</v>
      </c>
      <c r="F9873" s="7" t="s">
        <v>17</v>
      </c>
      <c r="G9873" s="7">
        <v>3971329</v>
      </c>
      <c r="H9873" s="7">
        <v>2440</v>
      </c>
      <c r="I9873" s="7">
        <v>1676</v>
      </c>
      <c r="J9873" s="7">
        <v>0</v>
      </c>
      <c r="K9873" s="7" t="s">
        <v>18</v>
      </c>
      <c r="L9873" s="8">
        <v>39987.315405092595</v>
      </c>
      <c r="M9873" s="9" t="s">
        <v>19</v>
      </c>
      <c r="N9873" s="9" t="s">
        <v>20</v>
      </c>
      <c r="O9873" s="6" t="str">
        <f>HYPERLINK("https://pbs.twimg.com/profile_images/962471262747529216/Uo8lOkRJ_normal.jpg","View")</f>
        <v>View</v>
      </c>
      <c r="P9873" s="7"/>
    </row>
    <row r="9874" spans="1:16">
      <c r="A9874" s="3">
        <v>44086.271099537036</v>
      </c>
      <c r="B9874" s="4" t="str">
        <f>HYPERLINK("https://twitter.com/petrogustavo","@petrogustavo")</f>
        <v>@petrogustavo</v>
      </c>
      <c r="C9874" s="5" t="s">
        <v>16</v>
      </c>
      <c r="D9874" s="5" t="s">
        <v>9499</v>
      </c>
      <c r="E9874" s="6" t="str">
        <f>HYPERLINK("https://twitter.com/petrogustavo/status/1304585615204376576","1304585615204376576")</f>
        <v>1304585615204376576</v>
      </c>
      <c r="F9874" s="7" t="s">
        <v>17</v>
      </c>
      <c r="G9874" s="7">
        <v>3971329</v>
      </c>
      <c r="H9874" s="7">
        <v>2440</v>
      </c>
      <c r="I9874" s="7">
        <v>325</v>
      </c>
      <c r="J9874" s="7">
        <v>0</v>
      </c>
      <c r="K9874" s="7" t="s">
        <v>18</v>
      </c>
      <c r="L9874" s="8">
        <v>39987.315405092595</v>
      </c>
      <c r="M9874" s="9" t="s">
        <v>19</v>
      </c>
      <c r="N9874" s="9" t="s">
        <v>20</v>
      </c>
      <c r="O9874" s="6" t="str">
        <f>HYPERLINK("https://pbs.twimg.com/profile_images/962471262747529216/Uo8lOkRJ_normal.jpg","View")</f>
        <v>View</v>
      </c>
      <c r="P9874" s="7"/>
    </row>
    <row r="9875" spans="1:16">
      <c r="A9875" s="3">
        <v>44086.271354166667</v>
      </c>
      <c r="B9875" s="4" t="str">
        <f>HYPERLINK("https://twitter.com/petrogustavo","@petrogustavo")</f>
        <v>@petrogustavo</v>
      </c>
      <c r="C9875" s="5" t="s">
        <v>16</v>
      </c>
      <c r="D9875" s="5" t="s">
        <v>9500</v>
      </c>
      <c r="E9875" s="6" t="str">
        <f>HYPERLINK("https://twitter.com/petrogustavo/status/1304585706828947456","1304585706828947456")</f>
        <v>1304585706828947456</v>
      </c>
      <c r="F9875" s="7" t="s">
        <v>17</v>
      </c>
      <c r="G9875" s="7">
        <v>3971329</v>
      </c>
      <c r="H9875" s="7">
        <v>2440</v>
      </c>
      <c r="I9875" s="7">
        <v>166</v>
      </c>
      <c r="J9875" s="7">
        <v>0</v>
      </c>
      <c r="K9875" s="7" t="s">
        <v>18</v>
      </c>
      <c r="L9875" s="8">
        <v>39987.315405092595</v>
      </c>
      <c r="M9875" s="9" t="s">
        <v>19</v>
      </c>
      <c r="N9875" s="9" t="s">
        <v>20</v>
      </c>
      <c r="O9875" s="6" t="str">
        <f>HYPERLINK("https://pbs.twimg.com/profile_images/962471262747529216/Uo8lOkRJ_normal.jpg","View")</f>
        <v>View</v>
      </c>
      <c r="P9875" s="7"/>
    </row>
    <row r="9876" spans="1:16">
      <c r="A9876" s="3">
        <v>44086.274050925931</v>
      </c>
      <c r="B9876" s="4" t="str">
        <f>HYPERLINK("https://twitter.com/petrogustavo","@petrogustavo")</f>
        <v>@petrogustavo</v>
      </c>
      <c r="C9876" s="5" t="s">
        <v>16</v>
      </c>
      <c r="D9876" s="5" t="s">
        <v>9501</v>
      </c>
      <c r="E9876" s="6" t="str">
        <f>HYPERLINK("https://twitter.com/petrogustavo/status/1304586685691441153","1304586685691441153")</f>
        <v>1304586685691441153</v>
      </c>
      <c r="F9876" s="7" t="s">
        <v>17</v>
      </c>
      <c r="G9876" s="7">
        <v>3971329</v>
      </c>
      <c r="H9876" s="7">
        <v>2440</v>
      </c>
      <c r="I9876" s="7">
        <v>339</v>
      </c>
      <c r="J9876" s="7">
        <v>433</v>
      </c>
      <c r="K9876" s="7" t="s">
        <v>18</v>
      </c>
      <c r="L9876" s="8">
        <v>39987.315405092595</v>
      </c>
      <c r="M9876" s="9" t="s">
        <v>19</v>
      </c>
      <c r="N9876" s="9" t="s">
        <v>20</v>
      </c>
      <c r="O9876" s="6" t="str">
        <f>HYPERLINK("https://pbs.twimg.com/profile_images/962471262747529216/Uo8lOkRJ_normal.jpg","View")</f>
        <v>View</v>
      </c>
      <c r="P9876" s="7"/>
    </row>
    <row r="9877" spans="1:16">
      <c r="A9877" s="3">
        <v>44086.275509259256</v>
      </c>
      <c r="B9877" s="4" t="str">
        <f>HYPERLINK("https://twitter.com/petrogustavo","@petrogustavo")</f>
        <v>@petrogustavo</v>
      </c>
      <c r="C9877" s="5" t="s">
        <v>16</v>
      </c>
      <c r="D9877" s="5" t="s">
        <v>9502</v>
      </c>
      <c r="E9877" s="6" t="str">
        <f>HYPERLINK("https://twitter.com/petrogustavo/status/1304587213506740228","1304587213506740228")</f>
        <v>1304587213506740228</v>
      </c>
      <c r="F9877" s="7" t="s">
        <v>17</v>
      </c>
      <c r="G9877" s="7">
        <v>3971329</v>
      </c>
      <c r="H9877" s="7">
        <v>2440</v>
      </c>
      <c r="I9877" s="7">
        <v>154</v>
      </c>
      <c r="J9877" s="7">
        <v>567</v>
      </c>
      <c r="K9877" s="7" t="s">
        <v>18</v>
      </c>
      <c r="L9877" s="8">
        <v>39987.315405092595</v>
      </c>
      <c r="M9877" s="9" t="s">
        <v>19</v>
      </c>
      <c r="N9877" s="9" t="s">
        <v>20</v>
      </c>
      <c r="O9877" s="6" t="str">
        <f>HYPERLINK("https://pbs.twimg.com/profile_images/962471262747529216/Uo8lOkRJ_normal.jpg","View")</f>
        <v>View</v>
      </c>
      <c r="P9877" s="7"/>
    </row>
    <row r="9878" spans="1:16">
      <c r="A9878" s="3">
        <v>44086.277002314819</v>
      </c>
      <c r="B9878" s="4" t="str">
        <f>HYPERLINK("https://twitter.com/petrogustavo","@petrogustavo")</f>
        <v>@petrogustavo</v>
      </c>
      <c r="C9878" s="5" t="s">
        <v>16</v>
      </c>
      <c r="D9878" s="5" t="s">
        <v>9503</v>
      </c>
      <c r="E9878" s="6" t="str">
        <f>HYPERLINK("https://twitter.com/petrogustavo/status/1304587753229873159","1304587753229873159")</f>
        <v>1304587753229873159</v>
      </c>
      <c r="F9878" s="7" t="s">
        <v>17</v>
      </c>
      <c r="G9878" s="7">
        <v>3971329</v>
      </c>
      <c r="H9878" s="7">
        <v>2440</v>
      </c>
      <c r="I9878" s="7">
        <v>157</v>
      </c>
      <c r="J9878" s="7">
        <v>484</v>
      </c>
      <c r="K9878" s="7" t="s">
        <v>18</v>
      </c>
      <c r="L9878" s="8">
        <v>39987.315405092595</v>
      </c>
      <c r="M9878" s="9" t="s">
        <v>19</v>
      </c>
      <c r="N9878" s="9" t="s">
        <v>20</v>
      </c>
      <c r="O9878" s="6" t="str">
        <f>HYPERLINK("https://pbs.twimg.com/profile_images/962471262747529216/Uo8lOkRJ_normal.jpg","View")</f>
        <v>View</v>
      </c>
      <c r="P9878" s="7"/>
    </row>
    <row r="9879" spans="1:16">
      <c r="A9879" s="3">
        <v>44086.277800925927</v>
      </c>
      <c r="B9879" s="4" t="str">
        <f>HYPERLINK("https://twitter.com/petrogustavo","@petrogustavo")</f>
        <v>@petrogustavo</v>
      </c>
      <c r="C9879" s="5" t="s">
        <v>16</v>
      </c>
      <c r="D9879" s="5" t="s">
        <v>9504</v>
      </c>
      <c r="E9879" s="6" t="str">
        <f>HYPERLINK("https://twitter.com/petrogustavo/status/1304588043588898816","1304588043588898816")</f>
        <v>1304588043588898816</v>
      </c>
      <c r="F9879" s="7" t="s">
        <v>17</v>
      </c>
      <c r="G9879" s="7">
        <v>3971329</v>
      </c>
      <c r="H9879" s="7">
        <v>2440</v>
      </c>
      <c r="I9879" s="7">
        <v>56</v>
      </c>
      <c r="J9879" s="7">
        <v>0</v>
      </c>
      <c r="K9879" s="7" t="s">
        <v>18</v>
      </c>
      <c r="L9879" s="8">
        <v>39987.315405092595</v>
      </c>
      <c r="M9879" s="9" t="s">
        <v>19</v>
      </c>
      <c r="N9879" s="9" t="s">
        <v>20</v>
      </c>
      <c r="O9879" s="6" t="str">
        <f>HYPERLINK("https://pbs.twimg.com/profile_images/962471262747529216/Uo8lOkRJ_normal.jpg","View")</f>
        <v>View</v>
      </c>
      <c r="P9879" s="7"/>
    </row>
    <row r="9880" spans="1:16">
      <c r="A9880" s="3">
        <v>44086.27924768519</v>
      </c>
      <c r="B9880" s="4" t="str">
        <f>HYPERLINK("https://twitter.com/petrogustavo","@petrogustavo")</f>
        <v>@petrogustavo</v>
      </c>
      <c r="C9880" s="5" t="s">
        <v>16</v>
      </c>
      <c r="D9880" s="5" t="s">
        <v>9505</v>
      </c>
      <c r="E9880" s="6" t="str">
        <f>HYPERLINK("https://twitter.com/petrogustavo/status/1304588566882902021","1304588566882902021")</f>
        <v>1304588566882902021</v>
      </c>
      <c r="F9880" s="7" t="s">
        <v>17</v>
      </c>
      <c r="G9880" s="7">
        <v>3971329</v>
      </c>
      <c r="H9880" s="7">
        <v>2440</v>
      </c>
      <c r="I9880" s="7">
        <v>183</v>
      </c>
      <c r="J9880" s="7">
        <v>0</v>
      </c>
      <c r="K9880" s="7" t="s">
        <v>18</v>
      </c>
      <c r="L9880" s="8">
        <v>39987.315405092595</v>
      </c>
      <c r="M9880" s="9" t="s">
        <v>19</v>
      </c>
      <c r="N9880" s="9" t="s">
        <v>20</v>
      </c>
      <c r="O9880" s="6" t="str">
        <f>HYPERLINK("https://pbs.twimg.com/profile_images/962471262747529216/Uo8lOkRJ_normal.jpg","View")</f>
        <v>View</v>
      </c>
      <c r="P9880" s="7"/>
    </row>
    <row r="9881" spans="1:16">
      <c r="A9881" s="3">
        <v>44086.279722222222</v>
      </c>
      <c r="B9881" s="4" t="str">
        <f>HYPERLINK("https://twitter.com/petrogustavo","@petrogustavo")</f>
        <v>@petrogustavo</v>
      </c>
      <c r="C9881" s="5" t="s">
        <v>16</v>
      </c>
      <c r="D9881" s="5" t="s">
        <v>9506</v>
      </c>
      <c r="E9881" s="6" t="str">
        <f>HYPERLINK("https://twitter.com/petrogustavo/status/1304588740363522048","1304588740363522048")</f>
        <v>1304588740363522048</v>
      </c>
      <c r="F9881" s="7" t="s">
        <v>17</v>
      </c>
      <c r="G9881" s="7">
        <v>3971329</v>
      </c>
      <c r="H9881" s="7">
        <v>2440</v>
      </c>
      <c r="I9881" s="7">
        <v>135</v>
      </c>
      <c r="J9881" s="7">
        <v>208</v>
      </c>
      <c r="K9881" s="7" t="s">
        <v>18</v>
      </c>
      <c r="L9881" s="8">
        <v>39987.315405092595</v>
      </c>
      <c r="M9881" s="9" t="s">
        <v>19</v>
      </c>
      <c r="N9881" s="9" t="s">
        <v>20</v>
      </c>
      <c r="O9881" s="6" t="str">
        <f>HYPERLINK("https://pbs.twimg.com/profile_images/962471262747529216/Uo8lOkRJ_normal.jpg","View")</f>
        <v>View</v>
      </c>
      <c r="P9881" s="7"/>
    </row>
    <row r="9882" spans="1:16">
      <c r="A9882" s="3">
        <v>44086.36445601852</v>
      </c>
      <c r="B9882" s="4" t="str">
        <f>HYPERLINK("https://twitter.com/petrogustavo","@petrogustavo")</f>
        <v>@petrogustavo</v>
      </c>
      <c r="C9882" s="5" t="s">
        <v>16</v>
      </c>
      <c r="D9882" s="5" t="s">
        <v>9507</v>
      </c>
      <c r="E9882" s="6" t="str">
        <f>HYPERLINK("https://twitter.com/petrogustavo/status/1304619448352079872","1304619448352079872")</f>
        <v>1304619448352079872</v>
      </c>
      <c r="F9882" s="7" t="s">
        <v>17</v>
      </c>
      <c r="G9882" s="7">
        <v>3971630</v>
      </c>
      <c r="H9882" s="7">
        <v>2441</v>
      </c>
      <c r="I9882" s="7">
        <v>82</v>
      </c>
      <c r="J9882" s="7">
        <v>283</v>
      </c>
      <c r="K9882" s="7" t="s">
        <v>18</v>
      </c>
      <c r="L9882" s="8">
        <v>39987.315405092595</v>
      </c>
      <c r="M9882" s="9" t="s">
        <v>19</v>
      </c>
      <c r="N9882" s="9" t="s">
        <v>20</v>
      </c>
      <c r="O9882" s="6" t="str">
        <f>HYPERLINK("https://pbs.twimg.com/profile_images/962471262747529216/Uo8lOkRJ_normal.jpg","View")</f>
        <v>View</v>
      </c>
      <c r="P9882" s="7"/>
    </row>
    <row r="9883" spans="1:16">
      <c r="A9883" s="3">
        <v>44086.36818287037</v>
      </c>
      <c r="B9883" s="4" t="str">
        <f>HYPERLINK("https://twitter.com/petrogustavo","@petrogustavo")</f>
        <v>@petrogustavo</v>
      </c>
      <c r="C9883" s="5" t="s">
        <v>16</v>
      </c>
      <c r="D9883" s="5" t="s">
        <v>9508</v>
      </c>
      <c r="E9883" s="6" t="str">
        <f>HYPERLINK("https://twitter.com/petrogustavo/status/1304620795600211968","1304620795600211968")</f>
        <v>1304620795600211968</v>
      </c>
      <c r="F9883" s="7" t="s">
        <v>17</v>
      </c>
      <c r="G9883" s="7">
        <v>3971685</v>
      </c>
      <c r="H9883" s="7">
        <v>2441</v>
      </c>
      <c r="I9883" s="7">
        <v>270</v>
      </c>
      <c r="J9883" s="7">
        <v>448</v>
      </c>
      <c r="K9883" s="7" t="s">
        <v>18</v>
      </c>
      <c r="L9883" s="8">
        <v>39987.315405092595</v>
      </c>
      <c r="M9883" s="9" t="s">
        <v>19</v>
      </c>
      <c r="N9883" s="9" t="s">
        <v>20</v>
      </c>
      <c r="O9883" s="6" t="str">
        <f>HYPERLINK("https://pbs.twimg.com/profile_images/962471262747529216/Uo8lOkRJ_normal.jpg","View")</f>
        <v>View</v>
      </c>
      <c r="P9883" s="7"/>
    </row>
    <row r="9884" spans="1:16">
      <c r="A9884" s="3">
        <v>44086.370115740741</v>
      </c>
      <c r="B9884" s="4" t="str">
        <f>HYPERLINK("https://twitter.com/petrogustavo","@petrogustavo")</f>
        <v>@petrogustavo</v>
      </c>
      <c r="C9884" s="5" t="s">
        <v>16</v>
      </c>
      <c r="D9884" s="5" t="s">
        <v>9509</v>
      </c>
      <c r="E9884" s="6" t="str">
        <f>HYPERLINK("https://twitter.com/petrogustavo/status/1304621499408670722","1304621499408670722")</f>
        <v>1304621499408670722</v>
      </c>
      <c r="F9884" s="7" t="s">
        <v>17</v>
      </c>
      <c r="G9884" s="7">
        <v>3971685</v>
      </c>
      <c r="H9884" s="7">
        <v>2441</v>
      </c>
      <c r="I9884" s="7">
        <v>291</v>
      </c>
      <c r="J9884" s="7">
        <v>720</v>
      </c>
      <c r="K9884" s="7" t="s">
        <v>18</v>
      </c>
      <c r="L9884" s="8">
        <v>39987.315405092595</v>
      </c>
      <c r="M9884" s="9" t="s">
        <v>19</v>
      </c>
      <c r="N9884" s="9" t="s">
        <v>20</v>
      </c>
      <c r="O9884" s="6" t="str">
        <f>HYPERLINK("https://pbs.twimg.com/profile_images/962471262747529216/Uo8lOkRJ_normal.jpg","View")</f>
        <v>View</v>
      </c>
      <c r="P9884" s="7"/>
    </row>
    <row r="9885" spans="1:16">
      <c r="A9885" s="3">
        <v>44086.371782407412</v>
      </c>
      <c r="B9885" s="4" t="str">
        <f>HYPERLINK("https://twitter.com/petrogustavo","@petrogustavo")</f>
        <v>@petrogustavo</v>
      </c>
      <c r="C9885" s="5" t="s">
        <v>16</v>
      </c>
      <c r="D9885" s="5" t="s">
        <v>9510</v>
      </c>
      <c r="E9885" s="6" t="str">
        <f>HYPERLINK("https://twitter.com/petrogustavo/status/1304622102952185857","1304622102952185857")</f>
        <v>1304622102952185857</v>
      </c>
      <c r="F9885" s="7" t="s">
        <v>17</v>
      </c>
      <c r="G9885" s="7">
        <v>3971685</v>
      </c>
      <c r="H9885" s="7">
        <v>2441</v>
      </c>
      <c r="I9885" s="7">
        <v>381</v>
      </c>
      <c r="J9885" s="7">
        <v>1865</v>
      </c>
      <c r="K9885" s="7" t="s">
        <v>18</v>
      </c>
      <c r="L9885" s="8">
        <v>39987.315405092595</v>
      </c>
      <c r="M9885" s="9" t="s">
        <v>19</v>
      </c>
      <c r="N9885" s="9" t="s">
        <v>20</v>
      </c>
      <c r="O9885" s="6" t="str">
        <f>HYPERLINK("https://pbs.twimg.com/profile_images/962471262747529216/Uo8lOkRJ_normal.jpg","View")</f>
        <v>View</v>
      </c>
      <c r="P9885" s="7"/>
    </row>
    <row r="9886" spans="1:16">
      <c r="A9886" s="3">
        <v>44086.373611111107</v>
      </c>
      <c r="B9886" s="4" t="str">
        <f>HYPERLINK("https://twitter.com/petrogustavo","@petrogustavo")</f>
        <v>@petrogustavo</v>
      </c>
      <c r="C9886" s="5" t="s">
        <v>16</v>
      </c>
      <c r="D9886" s="5" t="s">
        <v>9511</v>
      </c>
      <c r="E9886" s="6" t="str">
        <f>HYPERLINK("https://twitter.com/petrogustavo/status/1304622763764789248","1304622763764789248")</f>
        <v>1304622763764789248</v>
      </c>
      <c r="F9886" s="7" t="s">
        <v>17</v>
      </c>
      <c r="G9886" s="7">
        <v>3971685</v>
      </c>
      <c r="H9886" s="7">
        <v>2441</v>
      </c>
      <c r="I9886" s="7">
        <v>140</v>
      </c>
      <c r="J9886" s="7">
        <v>0</v>
      </c>
      <c r="K9886" s="7" t="s">
        <v>18</v>
      </c>
      <c r="L9886" s="8">
        <v>39987.315405092595</v>
      </c>
      <c r="M9886" s="9" t="s">
        <v>19</v>
      </c>
      <c r="N9886" s="9" t="s">
        <v>20</v>
      </c>
      <c r="O9886" s="6" t="str">
        <f>HYPERLINK("https://pbs.twimg.com/profile_images/962471262747529216/Uo8lOkRJ_normal.jpg","View")</f>
        <v>View</v>
      </c>
      <c r="P9886" s="7"/>
    </row>
    <row r="9887" spans="1:16">
      <c r="A9887" s="3">
        <v>44086.373738425929</v>
      </c>
      <c r="B9887" s="4" t="str">
        <f>HYPERLINK("https://twitter.com/petrogustavo","@petrogustavo")</f>
        <v>@petrogustavo</v>
      </c>
      <c r="C9887" s="5" t="s">
        <v>16</v>
      </c>
      <c r="D9887" s="5" t="s">
        <v>9512</v>
      </c>
      <c r="E9887" s="6" t="str">
        <f>HYPERLINK("https://twitter.com/petrogustavo/status/1304622810728460289","1304622810728460289")</f>
        <v>1304622810728460289</v>
      </c>
      <c r="F9887" s="7" t="s">
        <v>17</v>
      </c>
      <c r="G9887" s="7">
        <v>3971685</v>
      </c>
      <c r="H9887" s="7">
        <v>2441</v>
      </c>
      <c r="I9887" s="7">
        <v>101</v>
      </c>
      <c r="J9887" s="7">
        <v>0</v>
      </c>
      <c r="K9887" s="7" t="s">
        <v>18</v>
      </c>
      <c r="L9887" s="8">
        <v>39987.315405092595</v>
      </c>
      <c r="M9887" s="9" t="s">
        <v>19</v>
      </c>
      <c r="N9887" s="9" t="s">
        <v>20</v>
      </c>
      <c r="O9887" s="6" t="str">
        <f>HYPERLINK("https://pbs.twimg.com/profile_images/962471262747529216/Uo8lOkRJ_normal.jpg","View")</f>
        <v>View</v>
      </c>
      <c r="P9887" s="7"/>
    </row>
    <row r="9888" spans="1:16">
      <c r="A9888" s="3">
        <v>44086.375578703708</v>
      </c>
      <c r="B9888" s="4" t="str">
        <f>HYPERLINK("https://twitter.com/petrogustavo","@petrogustavo")</f>
        <v>@petrogustavo</v>
      </c>
      <c r="C9888" s="5" t="s">
        <v>16</v>
      </c>
      <c r="D9888" s="5" t="s">
        <v>9513</v>
      </c>
      <c r="E9888" s="6" t="str">
        <f>HYPERLINK("https://twitter.com/petrogustavo/status/1304623477685710848","1304623477685710848")</f>
        <v>1304623477685710848</v>
      </c>
      <c r="F9888" s="7" t="s">
        <v>17</v>
      </c>
      <c r="G9888" s="7">
        <v>3971685</v>
      </c>
      <c r="H9888" s="7">
        <v>2441</v>
      </c>
      <c r="I9888" s="7">
        <v>167</v>
      </c>
      <c r="J9888" s="7">
        <v>396</v>
      </c>
      <c r="K9888" s="7" t="s">
        <v>18</v>
      </c>
      <c r="L9888" s="8">
        <v>39987.315405092595</v>
      </c>
      <c r="M9888" s="9" t="s">
        <v>19</v>
      </c>
      <c r="N9888" s="9" t="s">
        <v>20</v>
      </c>
      <c r="O9888" s="6" t="str">
        <f>HYPERLINK("https://pbs.twimg.com/profile_images/962471262747529216/Uo8lOkRJ_normal.jpg","View")</f>
        <v>View</v>
      </c>
      <c r="P9888" s="7"/>
    </row>
    <row r="9889" spans="1:16">
      <c r="A9889" s="3">
        <v>44086.376469907409</v>
      </c>
      <c r="B9889" s="4" t="str">
        <f>HYPERLINK("https://twitter.com/petrogustavo","@petrogustavo")</f>
        <v>@petrogustavo</v>
      </c>
      <c r="C9889" s="5" t="s">
        <v>16</v>
      </c>
      <c r="D9889" s="5" t="s">
        <v>9514</v>
      </c>
      <c r="E9889" s="6" t="str">
        <f>HYPERLINK("https://twitter.com/petrogustavo/status/1304623800231788551","1304623800231788551")</f>
        <v>1304623800231788551</v>
      </c>
      <c r="F9889" s="7" t="s">
        <v>17</v>
      </c>
      <c r="G9889" s="7">
        <v>3971685</v>
      </c>
      <c r="H9889" s="7">
        <v>2441</v>
      </c>
      <c r="I9889" s="7">
        <v>239</v>
      </c>
      <c r="J9889" s="7">
        <v>383</v>
      </c>
      <c r="K9889" s="7" t="s">
        <v>18</v>
      </c>
      <c r="L9889" s="8">
        <v>39987.315405092595</v>
      </c>
      <c r="M9889" s="9" t="s">
        <v>19</v>
      </c>
      <c r="N9889" s="9" t="s">
        <v>20</v>
      </c>
      <c r="O9889" s="6" t="str">
        <f>HYPERLINK("https://pbs.twimg.com/profile_images/962471262747529216/Uo8lOkRJ_normal.jpg","View")</f>
        <v>View</v>
      </c>
      <c r="P9889" s="7"/>
    </row>
    <row r="9890" spans="1:16">
      <c r="A9890" s="3">
        <v>44086.378391203703</v>
      </c>
      <c r="B9890" s="4" t="str">
        <f>HYPERLINK("https://twitter.com/petrogustavo","@petrogustavo")</f>
        <v>@petrogustavo</v>
      </c>
      <c r="C9890" s="5" t="s">
        <v>16</v>
      </c>
      <c r="D9890" s="5" t="s">
        <v>9515</v>
      </c>
      <c r="E9890" s="6" t="str">
        <f>HYPERLINK("https://twitter.com/petrogustavo/status/1304624497228734471","1304624497228734471")</f>
        <v>1304624497228734471</v>
      </c>
      <c r="F9890" s="7" t="s">
        <v>17</v>
      </c>
      <c r="G9890" s="7">
        <v>3971685</v>
      </c>
      <c r="H9890" s="7">
        <v>2441</v>
      </c>
      <c r="I9890" s="7">
        <v>229</v>
      </c>
      <c r="J9890" s="7">
        <v>372</v>
      </c>
      <c r="K9890" s="7" t="s">
        <v>18</v>
      </c>
      <c r="L9890" s="8">
        <v>39987.315405092595</v>
      </c>
      <c r="M9890" s="9" t="s">
        <v>19</v>
      </c>
      <c r="N9890" s="9" t="s">
        <v>20</v>
      </c>
      <c r="O9890" s="6" t="str">
        <f>HYPERLINK("https://pbs.twimg.com/profile_images/962471262747529216/Uo8lOkRJ_normal.jpg","View")</f>
        <v>View</v>
      </c>
      <c r="P9890" s="7"/>
    </row>
    <row r="9891" spans="1:16">
      <c r="A9891" s="3">
        <v>44086.381481481483</v>
      </c>
      <c r="B9891" s="4" t="str">
        <f>HYPERLINK("https://twitter.com/petrogustavo","@petrogustavo")</f>
        <v>@petrogustavo</v>
      </c>
      <c r="C9891" s="5" t="s">
        <v>16</v>
      </c>
      <c r="D9891" s="5" t="s">
        <v>9516</v>
      </c>
      <c r="E9891" s="6" t="str">
        <f>HYPERLINK("https://twitter.com/petrogustavo/status/1304625618206765057","1304625618206765057")</f>
        <v>1304625618206765057</v>
      </c>
      <c r="F9891" s="7" t="s">
        <v>17</v>
      </c>
      <c r="G9891" s="7">
        <v>3971685</v>
      </c>
      <c r="H9891" s="7">
        <v>2441</v>
      </c>
      <c r="I9891" s="7">
        <v>207</v>
      </c>
      <c r="J9891" s="7">
        <v>0</v>
      </c>
      <c r="K9891" s="7" t="s">
        <v>18</v>
      </c>
      <c r="L9891" s="8">
        <v>39987.315405092595</v>
      </c>
      <c r="M9891" s="9" t="s">
        <v>19</v>
      </c>
      <c r="N9891" s="9" t="s">
        <v>20</v>
      </c>
      <c r="O9891" s="6" t="str">
        <f>HYPERLINK("https://pbs.twimg.com/profile_images/962471262747529216/Uo8lOkRJ_normal.jpg","View")</f>
        <v>View</v>
      </c>
      <c r="P9891" s="7"/>
    </row>
    <row r="9892" spans="1:16">
      <c r="A9892" s="3">
        <v>44086.384560185186</v>
      </c>
      <c r="B9892" s="4" t="str">
        <f>HYPERLINK("https://twitter.com/petrogustavo","@petrogustavo")</f>
        <v>@petrogustavo</v>
      </c>
      <c r="C9892" s="5" t="s">
        <v>16</v>
      </c>
      <c r="D9892" s="5" t="s">
        <v>9517</v>
      </c>
      <c r="E9892" s="6" t="str">
        <f>HYPERLINK("https://twitter.com/petrogustavo/status/1304626731253403650","1304626731253403650")</f>
        <v>1304626731253403650</v>
      </c>
      <c r="F9892" s="7" t="s">
        <v>17</v>
      </c>
      <c r="G9892" s="7">
        <v>3971685</v>
      </c>
      <c r="H9892" s="7">
        <v>2441</v>
      </c>
      <c r="I9892" s="7">
        <v>162</v>
      </c>
      <c r="J9892" s="7">
        <v>538</v>
      </c>
      <c r="K9892" s="7" t="s">
        <v>18</v>
      </c>
      <c r="L9892" s="8">
        <v>39987.315405092595</v>
      </c>
      <c r="M9892" s="9" t="s">
        <v>19</v>
      </c>
      <c r="N9892" s="9" t="s">
        <v>20</v>
      </c>
      <c r="O9892" s="6" t="str">
        <f>HYPERLINK("https://pbs.twimg.com/profile_images/962471262747529216/Uo8lOkRJ_normal.jpg","View")</f>
        <v>View</v>
      </c>
      <c r="P9892" s="7"/>
    </row>
    <row r="9893" spans="1:16">
      <c r="A9893" s="3">
        <v>44086.386400462958</v>
      </c>
      <c r="B9893" s="4" t="str">
        <f>HYPERLINK("https://twitter.com/petrogustavo","@petrogustavo")</f>
        <v>@petrogustavo</v>
      </c>
      <c r="C9893" s="5" t="s">
        <v>16</v>
      </c>
      <c r="D9893" s="5" t="s">
        <v>9518</v>
      </c>
      <c r="E9893" s="6" t="str">
        <f>HYPERLINK("https://twitter.com/petrogustavo/status/1304627401427689473","1304627401427689473")</f>
        <v>1304627401427689473</v>
      </c>
      <c r="F9893" s="7" t="s">
        <v>17</v>
      </c>
      <c r="G9893" s="7">
        <v>3971685</v>
      </c>
      <c r="H9893" s="7">
        <v>2441</v>
      </c>
      <c r="I9893" s="7">
        <v>20</v>
      </c>
      <c r="J9893" s="7">
        <v>36</v>
      </c>
      <c r="K9893" s="7" t="s">
        <v>18</v>
      </c>
      <c r="L9893" s="8">
        <v>39987.315405092595</v>
      </c>
      <c r="M9893" s="9" t="s">
        <v>19</v>
      </c>
      <c r="N9893" s="9" t="s">
        <v>20</v>
      </c>
      <c r="O9893" s="6" t="str">
        <f>HYPERLINK("https://pbs.twimg.com/profile_images/962471262747529216/Uo8lOkRJ_normal.jpg","View")</f>
        <v>View</v>
      </c>
      <c r="P9893" s="7"/>
    </row>
    <row r="9894" spans="1:16">
      <c r="A9894" s="3">
        <v>44086.387465277774</v>
      </c>
      <c r="B9894" s="4" t="str">
        <f>HYPERLINK("https://twitter.com/petrogustavo","@petrogustavo")</f>
        <v>@petrogustavo</v>
      </c>
      <c r="C9894" s="5" t="s">
        <v>16</v>
      </c>
      <c r="D9894" s="5" t="s">
        <v>9519</v>
      </c>
      <c r="E9894" s="6" t="str">
        <f>HYPERLINK("https://twitter.com/petrogustavo/status/1304627785474945025","1304627785474945025")</f>
        <v>1304627785474945025</v>
      </c>
      <c r="F9894" s="7" t="s">
        <v>17</v>
      </c>
      <c r="G9894" s="7">
        <v>3971724</v>
      </c>
      <c r="H9894" s="7">
        <v>2440</v>
      </c>
      <c r="I9894" s="7">
        <v>740</v>
      </c>
      <c r="J9894" s="7">
        <v>0</v>
      </c>
      <c r="K9894" s="7" t="s">
        <v>18</v>
      </c>
      <c r="L9894" s="8">
        <v>39987.315405092595</v>
      </c>
      <c r="M9894" s="9" t="s">
        <v>19</v>
      </c>
      <c r="N9894" s="9" t="s">
        <v>20</v>
      </c>
      <c r="O9894" s="6" t="str">
        <f>HYPERLINK("https://pbs.twimg.com/profile_images/962471262747529216/Uo8lOkRJ_normal.jpg","View")</f>
        <v>View</v>
      </c>
      <c r="P9894" s="7"/>
    </row>
    <row r="9895" spans="1:16">
      <c r="A9895" s="3">
        <v>44086.389513888891</v>
      </c>
      <c r="B9895" s="4" t="str">
        <f>HYPERLINK("https://twitter.com/petrogustavo","@petrogustavo")</f>
        <v>@petrogustavo</v>
      </c>
      <c r="C9895" s="5" t="s">
        <v>16</v>
      </c>
      <c r="D9895" s="5" t="s">
        <v>9520</v>
      </c>
      <c r="E9895" s="6" t="str">
        <f>HYPERLINK("https://twitter.com/petrogustavo/status/1304628526012915712","1304628526012915712")</f>
        <v>1304628526012915712</v>
      </c>
      <c r="F9895" s="7" t="s">
        <v>17</v>
      </c>
      <c r="G9895" s="7">
        <v>3971724</v>
      </c>
      <c r="H9895" s="7">
        <v>2440</v>
      </c>
      <c r="I9895" s="7">
        <v>159</v>
      </c>
      <c r="J9895" s="7">
        <v>485</v>
      </c>
      <c r="K9895" s="7" t="s">
        <v>18</v>
      </c>
      <c r="L9895" s="8">
        <v>39987.315405092595</v>
      </c>
      <c r="M9895" s="9" t="s">
        <v>19</v>
      </c>
      <c r="N9895" s="9" t="s">
        <v>20</v>
      </c>
      <c r="O9895" s="6" t="str">
        <f>HYPERLINK("https://pbs.twimg.com/profile_images/962471262747529216/Uo8lOkRJ_normal.jpg","View")</f>
        <v>View</v>
      </c>
      <c r="P9895" s="7"/>
    </row>
    <row r="9896" spans="1:16">
      <c r="A9896" s="3">
        <v>44086.39197916667</v>
      </c>
      <c r="B9896" s="4" t="str">
        <f>HYPERLINK("https://twitter.com/petrogustavo","@petrogustavo")</f>
        <v>@petrogustavo</v>
      </c>
      <c r="C9896" s="5" t="s">
        <v>16</v>
      </c>
      <c r="D9896" s="5" t="s">
        <v>9521</v>
      </c>
      <c r="E9896" s="6" t="str">
        <f>HYPERLINK("https://twitter.com/petrogustavo/status/1304629421127667712","1304629421127667712")</f>
        <v>1304629421127667712</v>
      </c>
      <c r="F9896" s="7" t="s">
        <v>17</v>
      </c>
      <c r="G9896" s="7">
        <v>3971724</v>
      </c>
      <c r="H9896" s="7">
        <v>2440</v>
      </c>
      <c r="I9896" s="7">
        <v>213</v>
      </c>
      <c r="J9896" s="7">
        <v>576</v>
      </c>
      <c r="K9896" s="7" t="s">
        <v>18</v>
      </c>
      <c r="L9896" s="8">
        <v>39987.315405092595</v>
      </c>
      <c r="M9896" s="9" t="s">
        <v>19</v>
      </c>
      <c r="N9896" s="9" t="s">
        <v>20</v>
      </c>
      <c r="O9896" s="6" t="str">
        <f>HYPERLINK("https://pbs.twimg.com/profile_images/962471262747529216/Uo8lOkRJ_normal.jpg","View")</f>
        <v>View</v>
      </c>
      <c r="P9896" s="7"/>
    </row>
    <row r="9897" spans="1:16">
      <c r="A9897" s="3">
        <v>44086.394490740742</v>
      </c>
      <c r="B9897" s="4" t="str">
        <f>HYPERLINK("https://twitter.com/petrogustavo","@petrogustavo")</f>
        <v>@petrogustavo</v>
      </c>
      <c r="C9897" s="5" t="s">
        <v>16</v>
      </c>
      <c r="D9897" s="5" t="s">
        <v>9522</v>
      </c>
      <c r="E9897" s="6" t="str">
        <f>HYPERLINK("https://twitter.com/petrogustavo/status/1304630330368942084","1304630330368942084")</f>
        <v>1304630330368942084</v>
      </c>
      <c r="F9897" s="7" t="s">
        <v>17</v>
      </c>
      <c r="G9897" s="7">
        <v>3971724</v>
      </c>
      <c r="H9897" s="7">
        <v>2440</v>
      </c>
      <c r="I9897" s="7">
        <v>185</v>
      </c>
      <c r="J9897" s="7">
        <v>581</v>
      </c>
      <c r="K9897" s="7" t="s">
        <v>18</v>
      </c>
      <c r="L9897" s="8">
        <v>39987.315405092595</v>
      </c>
      <c r="M9897" s="9" t="s">
        <v>19</v>
      </c>
      <c r="N9897" s="9" t="s">
        <v>20</v>
      </c>
      <c r="O9897" s="6" t="str">
        <f>HYPERLINK("https://pbs.twimg.com/profile_images/962471262747529216/Uo8lOkRJ_normal.jpg","View")</f>
        <v>View</v>
      </c>
      <c r="P9897" s="7"/>
    </row>
    <row r="9898" spans="1:16">
      <c r="A9898" s="3">
        <v>44086.395949074074</v>
      </c>
      <c r="B9898" s="4" t="str">
        <f>HYPERLINK("https://twitter.com/petrogustavo","@petrogustavo")</f>
        <v>@petrogustavo</v>
      </c>
      <c r="C9898" s="5" t="s">
        <v>16</v>
      </c>
      <c r="D9898" s="5" t="s">
        <v>9523</v>
      </c>
      <c r="E9898" s="6" t="str">
        <f>HYPERLINK("https://twitter.com/petrogustavo/status/1304630860092710913","1304630860092710913")</f>
        <v>1304630860092710913</v>
      </c>
      <c r="F9898" s="7" t="s">
        <v>17</v>
      </c>
      <c r="G9898" s="7">
        <v>3971724</v>
      </c>
      <c r="H9898" s="7">
        <v>2440</v>
      </c>
      <c r="I9898" s="7">
        <v>95</v>
      </c>
      <c r="J9898" s="7">
        <v>443</v>
      </c>
      <c r="K9898" s="7" t="s">
        <v>18</v>
      </c>
      <c r="L9898" s="8">
        <v>39987.315405092595</v>
      </c>
      <c r="M9898" s="9" t="s">
        <v>19</v>
      </c>
      <c r="N9898" s="9" t="s">
        <v>20</v>
      </c>
      <c r="O9898" s="6" t="str">
        <f>HYPERLINK("https://pbs.twimg.com/profile_images/962471262747529216/Uo8lOkRJ_normal.jpg","View")</f>
        <v>View</v>
      </c>
      <c r="P9898" s="7"/>
    </row>
    <row r="9899" spans="1:16">
      <c r="A9899" s="3">
        <v>44086.397129629629</v>
      </c>
      <c r="B9899" s="4" t="str">
        <f>HYPERLINK("https://twitter.com/petrogustavo","@petrogustavo")</f>
        <v>@petrogustavo</v>
      </c>
      <c r="C9899" s="5" t="s">
        <v>16</v>
      </c>
      <c r="D9899" s="5" t="s">
        <v>9524</v>
      </c>
      <c r="E9899" s="6" t="str">
        <f>HYPERLINK("https://twitter.com/petrogustavo/status/1304631289664937985","1304631289664937985")</f>
        <v>1304631289664937985</v>
      </c>
      <c r="F9899" s="7" t="s">
        <v>17</v>
      </c>
      <c r="G9899" s="7">
        <v>3971724</v>
      </c>
      <c r="H9899" s="7">
        <v>2440</v>
      </c>
      <c r="I9899" s="7">
        <v>360</v>
      </c>
      <c r="J9899" s="7">
        <v>681</v>
      </c>
      <c r="K9899" s="7" t="s">
        <v>18</v>
      </c>
      <c r="L9899" s="8">
        <v>39987.315405092595</v>
      </c>
      <c r="M9899" s="9" t="s">
        <v>19</v>
      </c>
      <c r="N9899" s="9" t="s">
        <v>20</v>
      </c>
      <c r="O9899" s="6" t="str">
        <f>HYPERLINK("https://pbs.twimg.com/profile_images/962471262747529216/Uo8lOkRJ_normal.jpg","View")</f>
        <v>View</v>
      </c>
      <c r="P9899" s="7"/>
    </row>
    <row r="9900" spans="1:16">
      <c r="A9900" s="3">
        <v>44086.405717592592</v>
      </c>
      <c r="B9900" s="4" t="str">
        <f>HYPERLINK("https://twitter.com/petrogustavo","@petrogustavo")</f>
        <v>@petrogustavo</v>
      </c>
      <c r="C9900" s="5" t="s">
        <v>16</v>
      </c>
      <c r="D9900" s="5" t="s">
        <v>9525</v>
      </c>
      <c r="E9900" s="6" t="str">
        <f>HYPERLINK("https://twitter.com/petrogustavo/status/1304634401012277248","1304634401012277248")</f>
        <v>1304634401012277248</v>
      </c>
      <c r="F9900" s="7" t="s">
        <v>17</v>
      </c>
      <c r="G9900" s="7">
        <v>3971724</v>
      </c>
      <c r="H9900" s="7">
        <v>2440</v>
      </c>
      <c r="I9900" s="7">
        <v>71</v>
      </c>
      <c r="J9900" s="7">
        <v>167</v>
      </c>
      <c r="K9900" s="7" t="s">
        <v>18</v>
      </c>
      <c r="L9900" s="8">
        <v>39987.315405092595</v>
      </c>
      <c r="M9900" s="9" t="s">
        <v>19</v>
      </c>
      <c r="N9900" s="9" t="s">
        <v>20</v>
      </c>
      <c r="O9900" s="6" t="str">
        <f>HYPERLINK("https://pbs.twimg.com/profile_images/962471262747529216/Uo8lOkRJ_normal.jpg","View")</f>
        <v>View</v>
      </c>
      <c r="P9900" s="7"/>
    </row>
    <row r="9901" spans="1:16">
      <c r="A9901" s="3">
        <v>44086.424155092594</v>
      </c>
      <c r="B9901" s="4" t="str">
        <f>HYPERLINK("https://twitter.com/petrogustavo","@petrogustavo")</f>
        <v>@petrogustavo</v>
      </c>
      <c r="C9901" s="5" t="s">
        <v>16</v>
      </c>
      <c r="D9901" s="5" t="s">
        <v>9526</v>
      </c>
      <c r="E9901" s="6" t="str">
        <f>HYPERLINK("https://twitter.com/petrogustavo/status/1304641081129213957","1304641081129213957")</f>
        <v>1304641081129213957</v>
      </c>
      <c r="F9901" s="7" t="s">
        <v>17</v>
      </c>
      <c r="G9901" s="7">
        <v>3971768</v>
      </c>
      <c r="H9901" s="7">
        <v>2440</v>
      </c>
      <c r="I9901" s="7">
        <v>142</v>
      </c>
      <c r="J9901" s="7">
        <v>237</v>
      </c>
      <c r="K9901" s="7" t="s">
        <v>18</v>
      </c>
      <c r="L9901" s="8">
        <v>39987.315405092595</v>
      </c>
      <c r="M9901" s="9" t="s">
        <v>19</v>
      </c>
      <c r="N9901" s="9" t="s">
        <v>20</v>
      </c>
      <c r="O9901" s="6" t="str">
        <f>HYPERLINK("https://pbs.twimg.com/profile_images/962471262747529216/Uo8lOkRJ_normal.jpg","View")</f>
        <v>View</v>
      </c>
      <c r="P9901" s="7"/>
    </row>
    <row r="9902" spans="1:16">
      <c r="A9902" s="3">
        <v>44086.427187499998</v>
      </c>
      <c r="B9902" s="4" t="str">
        <f>HYPERLINK("https://twitter.com/petrogustavo","@petrogustavo")</f>
        <v>@petrogustavo</v>
      </c>
      <c r="C9902" s="5" t="s">
        <v>16</v>
      </c>
      <c r="D9902" s="5" t="s">
        <v>9527</v>
      </c>
      <c r="E9902" s="6" t="str">
        <f>HYPERLINK("https://twitter.com/petrogustavo/status/1304642180322070528","1304642180322070528")</f>
        <v>1304642180322070528</v>
      </c>
      <c r="F9902" s="7" t="s">
        <v>17</v>
      </c>
      <c r="G9902" s="7">
        <v>3971768</v>
      </c>
      <c r="H9902" s="7">
        <v>2440</v>
      </c>
      <c r="I9902" s="7">
        <v>45</v>
      </c>
      <c r="J9902" s="7">
        <v>107</v>
      </c>
      <c r="K9902" s="7" t="s">
        <v>18</v>
      </c>
      <c r="L9902" s="8">
        <v>39987.315405092595</v>
      </c>
      <c r="M9902" s="9" t="s">
        <v>19</v>
      </c>
      <c r="N9902" s="9" t="s">
        <v>20</v>
      </c>
      <c r="O9902" s="6" t="str">
        <f>HYPERLINK("https://pbs.twimg.com/profile_images/962471262747529216/Uo8lOkRJ_normal.jpg","View")</f>
        <v>View</v>
      </c>
      <c r="P9902" s="7"/>
    </row>
    <row r="9903" spans="1:16">
      <c r="A9903" s="3">
        <v>44086.780925925923</v>
      </c>
      <c r="B9903" s="4" t="str">
        <f>HYPERLINK("https://twitter.com/petrogustavo","@petrogustavo")</f>
        <v>@petrogustavo</v>
      </c>
      <c r="C9903" s="5" t="s">
        <v>16</v>
      </c>
      <c r="D9903" s="5" t="s">
        <v>9528</v>
      </c>
      <c r="E9903" s="6" t="str">
        <f>HYPERLINK("https://twitter.com/petrogustavo/status/1304770371309240320","1304770371309240320")</f>
        <v>1304770371309240320</v>
      </c>
      <c r="F9903" s="7" t="s">
        <v>17</v>
      </c>
      <c r="G9903" s="7">
        <v>3972064</v>
      </c>
      <c r="H9903" s="7">
        <v>2440</v>
      </c>
      <c r="I9903" s="7">
        <v>2086</v>
      </c>
      <c r="J9903" s="7">
        <v>0</v>
      </c>
      <c r="K9903" s="7" t="s">
        <v>18</v>
      </c>
      <c r="L9903" s="8">
        <v>39987.315405092595</v>
      </c>
      <c r="M9903" s="9" t="s">
        <v>19</v>
      </c>
      <c r="N9903" s="9" t="s">
        <v>20</v>
      </c>
      <c r="O9903" s="6" t="str">
        <f>HYPERLINK("https://pbs.twimg.com/profile_images/962471262747529216/Uo8lOkRJ_normal.jpg","View")</f>
        <v>View</v>
      </c>
      <c r="P9903" s="7"/>
    </row>
    <row r="9904" spans="1:16">
      <c r="A9904" s="3">
        <v>44086.781273148154</v>
      </c>
      <c r="B9904" s="4" t="str">
        <f>HYPERLINK("https://twitter.com/petrogustavo","@petrogustavo")</f>
        <v>@petrogustavo</v>
      </c>
      <c r="C9904" s="5" t="s">
        <v>16</v>
      </c>
      <c r="D9904" s="5" t="s">
        <v>9529</v>
      </c>
      <c r="E9904" s="6" t="str">
        <f>HYPERLINK("https://twitter.com/petrogustavo/status/1304770495787794432","1304770495787794432")</f>
        <v>1304770495787794432</v>
      </c>
      <c r="F9904" s="7" t="s">
        <v>17</v>
      </c>
      <c r="G9904" s="7">
        <v>3972064</v>
      </c>
      <c r="H9904" s="7">
        <v>2440</v>
      </c>
      <c r="I9904" s="7">
        <v>327</v>
      </c>
      <c r="J9904" s="7">
        <v>0</v>
      </c>
      <c r="K9904" s="7" t="s">
        <v>18</v>
      </c>
      <c r="L9904" s="8">
        <v>39987.315405092595</v>
      </c>
      <c r="M9904" s="9" t="s">
        <v>19</v>
      </c>
      <c r="N9904" s="9" t="s">
        <v>20</v>
      </c>
      <c r="O9904" s="6" t="str">
        <f>HYPERLINK("https://pbs.twimg.com/profile_images/962471262747529216/Uo8lOkRJ_normal.jpg","View")</f>
        <v>View</v>
      </c>
      <c r="P9904" s="7"/>
    </row>
    <row r="9905" spans="1:16">
      <c r="A9905" s="3">
        <v>44086.78224537037</v>
      </c>
      <c r="B9905" s="4" t="str">
        <f>HYPERLINK("https://twitter.com/petrogustavo","@petrogustavo")</f>
        <v>@petrogustavo</v>
      </c>
      <c r="C9905" s="5" t="s">
        <v>16</v>
      </c>
      <c r="D9905" s="5" t="s">
        <v>9530</v>
      </c>
      <c r="E9905" s="6" t="str">
        <f>HYPERLINK("https://twitter.com/petrogustavo/status/1304770848218394624","1304770848218394624")</f>
        <v>1304770848218394624</v>
      </c>
      <c r="F9905" s="7" t="s">
        <v>17</v>
      </c>
      <c r="G9905" s="7">
        <v>3972064</v>
      </c>
      <c r="H9905" s="7">
        <v>2440</v>
      </c>
      <c r="I9905" s="7">
        <v>15</v>
      </c>
      <c r="J9905" s="7">
        <v>0</v>
      </c>
      <c r="K9905" s="7" t="s">
        <v>18</v>
      </c>
      <c r="L9905" s="8">
        <v>39987.315405092595</v>
      </c>
      <c r="M9905" s="9" t="s">
        <v>19</v>
      </c>
      <c r="N9905" s="9" t="s">
        <v>20</v>
      </c>
      <c r="O9905" s="6" t="str">
        <f>HYPERLINK("https://pbs.twimg.com/profile_images/962471262747529216/Uo8lOkRJ_normal.jpg","View")</f>
        <v>View</v>
      </c>
      <c r="P9905" s="7"/>
    </row>
    <row r="9906" spans="1:16">
      <c r="A9906" s="3">
        <v>44086.782847222217</v>
      </c>
      <c r="B9906" s="4" t="str">
        <f>HYPERLINK("https://twitter.com/petrogustavo","@petrogustavo")</f>
        <v>@petrogustavo</v>
      </c>
      <c r="C9906" s="5" t="s">
        <v>16</v>
      </c>
      <c r="D9906" s="5" t="s">
        <v>9531</v>
      </c>
      <c r="E9906" s="6" t="str">
        <f>HYPERLINK("https://twitter.com/petrogustavo/status/1304771064942260227","1304771064942260227")</f>
        <v>1304771064942260227</v>
      </c>
      <c r="F9906" s="7" t="s">
        <v>17</v>
      </c>
      <c r="G9906" s="7">
        <v>3972064</v>
      </c>
      <c r="H9906" s="7">
        <v>2440</v>
      </c>
      <c r="I9906" s="7">
        <v>158</v>
      </c>
      <c r="J9906" s="7">
        <v>0</v>
      </c>
      <c r="K9906" s="7" t="s">
        <v>18</v>
      </c>
      <c r="L9906" s="8">
        <v>39987.315405092595</v>
      </c>
      <c r="M9906" s="9" t="s">
        <v>19</v>
      </c>
      <c r="N9906" s="9" t="s">
        <v>20</v>
      </c>
      <c r="O9906" s="6" t="str">
        <f>HYPERLINK("https://pbs.twimg.com/profile_images/962471262747529216/Uo8lOkRJ_normal.jpg","View")</f>
        <v>View</v>
      </c>
      <c r="P9906" s="7"/>
    </row>
    <row r="9907" spans="1:16">
      <c r="A9907" s="3">
        <v>44086.783865740741</v>
      </c>
      <c r="B9907" s="4" t="str">
        <f>HYPERLINK("https://twitter.com/petrogustavo","@petrogustavo")</f>
        <v>@petrogustavo</v>
      </c>
      <c r="C9907" s="5" t="s">
        <v>16</v>
      </c>
      <c r="D9907" s="5" t="s">
        <v>9532</v>
      </c>
      <c r="E9907" s="6" t="str">
        <f>HYPERLINK("https://twitter.com/petrogustavo/status/1304771436490489856","1304771436490489856")</f>
        <v>1304771436490489856</v>
      </c>
      <c r="F9907" s="7" t="s">
        <v>17</v>
      </c>
      <c r="G9907" s="7">
        <v>3972097</v>
      </c>
      <c r="H9907" s="7">
        <v>2439</v>
      </c>
      <c r="I9907" s="7">
        <v>202</v>
      </c>
      <c r="J9907" s="7">
        <v>0</v>
      </c>
      <c r="K9907" s="7" t="s">
        <v>18</v>
      </c>
      <c r="L9907" s="8">
        <v>39987.315405092595</v>
      </c>
      <c r="M9907" s="9" t="s">
        <v>19</v>
      </c>
      <c r="N9907" s="9" t="s">
        <v>20</v>
      </c>
      <c r="O9907" s="6" t="str">
        <f>HYPERLINK("https://pbs.twimg.com/profile_images/962471262747529216/Uo8lOkRJ_normal.jpg","View")</f>
        <v>View</v>
      </c>
      <c r="P9907" s="7"/>
    </row>
    <row r="9908" spans="1:16">
      <c r="A9908" s="3">
        <v>44086.785057870366</v>
      </c>
      <c r="B9908" s="4" t="str">
        <f>HYPERLINK("https://twitter.com/petrogustavo","@petrogustavo")</f>
        <v>@petrogustavo</v>
      </c>
      <c r="C9908" s="5" t="s">
        <v>16</v>
      </c>
      <c r="D9908" s="5" t="s">
        <v>9533</v>
      </c>
      <c r="E9908" s="6" t="str">
        <f>HYPERLINK("https://twitter.com/petrogustavo/status/1304771866758963200","1304771866758963200")</f>
        <v>1304771866758963200</v>
      </c>
      <c r="F9908" s="7" t="s">
        <v>17</v>
      </c>
      <c r="G9908" s="7">
        <v>3972097</v>
      </c>
      <c r="H9908" s="7">
        <v>2439</v>
      </c>
      <c r="I9908" s="7">
        <v>90</v>
      </c>
      <c r="J9908" s="7">
        <v>0</v>
      </c>
      <c r="K9908" s="7" t="s">
        <v>18</v>
      </c>
      <c r="L9908" s="8">
        <v>39987.315405092595</v>
      </c>
      <c r="M9908" s="9" t="s">
        <v>19</v>
      </c>
      <c r="N9908" s="9" t="s">
        <v>20</v>
      </c>
      <c r="O9908" s="6" t="str">
        <f>HYPERLINK("https://pbs.twimg.com/profile_images/962471262747529216/Uo8lOkRJ_normal.jpg","View")</f>
        <v>View</v>
      </c>
      <c r="P9908" s="7"/>
    </row>
    <row r="9909" spans="1:16">
      <c r="A9909" s="3">
        <v>44086.785381944443</v>
      </c>
      <c r="B9909" s="4" t="str">
        <f>HYPERLINK("https://twitter.com/petrogustavo","@petrogustavo")</f>
        <v>@petrogustavo</v>
      </c>
      <c r="C9909" s="5" t="s">
        <v>16</v>
      </c>
      <c r="D9909" s="5" t="s">
        <v>9534</v>
      </c>
      <c r="E9909" s="6" t="str">
        <f>HYPERLINK("https://twitter.com/petrogustavo/status/1304771985218600961","1304771985218600961")</f>
        <v>1304771985218600961</v>
      </c>
      <c r="F9909" s="7" t="s">
        <v>17</v>
      </c>
      <c r="G9909" s="7">
        <v>3972097</v>
      </c>
      <c r="H9909" s="7">
        <v>2439</v>
      </c>
      <c r="I9909" s="7">
        <v>223</v>
      </c>
      <c r="J9909" s="7">
        <v>0</v>
      </c>
      <c r="K9909" s="7" t="s">
        <v>18</v>
      </c>
      <c r="L9909" s="8">
        <v>39987.315405092595</v>
      </c>
      <c r="M9909" s="9" t="s">
        <v>19</v>
      </c>
      <c r="N9909" s="9" t="s">
        <v>20</v>
      </c>
      <c r="O9909" s="6" t="str">
        <f>HYPERLINK("https://pbs.twimg.com/profile_images/962471262747529216/Uo8lOkRJ_normal.jpg","View")</f>
        <v>View</v>
      </c>
      <c r="P9909" s="7"/>
    </row>
    <row r="9910" spans="1:16">
      <c r="A9910" s="3">
        <v>44086.787025462967</v>
      </c>
      <c r="B9910" s="4" t="str">
        <f>HYPERLINK("https://twitter.com/petrogustavo","@petrogustavo")</f>
        <v>@petrogustavo</v>
      </c>
      <c r="C9910" s="5" t="s">
        <v>16</v>
      </c>
      <c r="D9910" s="5" t="s">
        <v>9535</v>
      </c>
      <c r="E9910" s="6" t="str">
        <f>HYPERLINK("https://twitter.com/petrogustavo/status/1304772580998549505","1304772580998549505")</f>
        <v>1304772580998549505</v>
      </c>
      <c r="F9910" s="7" t="s">
        <v>17</v>
      </c>
      <c r="G9910" s="7">
        <v>3972097</v>
      </c>
      <c r="H9910" s="7">
        <v>2439</v>
      </c>
      <c r="I9910" s="7">
        <v>230</v>
      </c>
      <c r="J9910" s="7">
        <v>368</v>
      </c>
      <c r="K9910" s="7" t="s">
        <v>18</v>
      </c>
      <c r="L9910" s="8">
        <v>39987.315405092595</v>
      </c>
      <c r="M9910" s="9" t="s">
        <v>19</v>
      </c>
      <c r="N9910" s="9" t="s">
        <v>20</v>
      </c>
      <c r="O9910" s="6" t="str">
        <f>HYPERLINK("https://pbs.twimg.com/profile_images/962471262747529216/Uo8lOkRJ_normal.jpg","View")</f>
        <v>View</v>
      </c>
      <c r="P9910" s="7"/>
    </row>
    <row r="9911" spans="1:16">
      <c r="A9911" s="3">
        <v>44086.789872685185</v>
      </c>
      <c r="B9911" s="4" t="str">
        <f>HYPERLINK("https://twitter.com/petrogustavo","@petrogustavo")</f>
        <v>@petrogustavo</v>
      </c>
      <c r="C9911" s="5" t="s">
        <v>16</v>
      </c>
      <c r="D9911" s="5" t="s">
        <v>9536</v>
      </c>
      <c r="E9911" s="6" t="str">
        <f>HYPERLINK("https://twitter.com/petrogustavo/status/1304773613711585282","1304773613711585282")</f>
        <v>1304773613711585282</v>
      </c>
      <c r="F9911" s="7" t="s">
        <v>17</v>
      </c>
      <c r="G9911" s="7">
        <v>3972097</v>
      </c>
      <c r="H9911" s="7">
        <v>2439</v>
      </c>
      <c r="I9911" s="7">
        <v>86</v>
      </c>
      <c r="J9911" s="7">
        <v>0</v>
      </c>
      <c r="K9911" s="7" t="s">
        <v>18</v>
      </c>
      <c r="L9911" s="8">
        <v>39987.315405092595</v>
      </c>
      <c r="M9911" s="9" t="s">
        <v>19</v>
      </c>
      <c r="N9911" s="9" t="s">
        <v>20</v>
      </c>
      <c r="O9911" s="6" t="str">
        <f>HYPERLINK("https://pbs.twimg.com/profile_images/962471262747529216/Uo8lOkRJ_normal.jpg","View")</f>
        <v>View</v>
      </c>
      <c r="P9911" s="7"/>
    </row>
    <row r="9912" spans="1:16">
      <c r="A9912" s="3">
        <v>44086.791770833333</v>
      </c>
      <c r="B9912" s="4" t="str">
        <f>HYPERLINK("https://twitter.com/petrogustavo","@petrogustavo")</f>
        <v>@petrogustavo</v>
      </c>
      <c r="C9912" s="5" t="s">
        <v>16</v>
      </c>
      <c r="D9912" s="5" t="s">
        <v>9537</v>
      </c>
      <c r="E9912" s="6" t="str">
        <f>HYPERLINK("https://twitter.com/petrogustavo/status/1304774301258854405","1304774301258854405")</f>
        <v>1304774301258854405</v>
      </c>
      <c r="F9912" s="7" t="s">
        <v>17</v>
      </c>
      <c r="G9912" s="7">
        <v>3972097</v>
      </c>
      <c r="H9912" s="7">
        <v>2439</v>
      </c>
      <c r="I9912" s="7">
        <v>444</v>
      </c>
      <c r="J9912" s="7">
        <v>1573</v>
      </c>
      <c r="K9912" s="7" t="s">
        <v>18</v>
      </c>
      <c r="L9912" s="8">
        <v>39987.315405092595</v>
      </c>
      <c r="M9912" s="9" t="s">
        <v>19</v>
      </c>
      <c r="N9912" s="9" t="s">
        <v>20</v>
      </c>
      <c r="O9912" s="6" t="str">
        <f>HYPERLINK("https://pbs.twimg.com/profile_images/962471262747529216/Uo8lOkRJ_normal.jpg","View")</f>
        <v>View</v>
      </c>
      <c r="P9912" s="7"/>
    </row>
    <row r="9913" spans="1:16">
      <c r="A9913" s="3">
        <v>44086.800856481481</v>
      </c>
      <c r="B9913" s="4" t="str">
        <f>HYPERLINK("https://twitter.com/petrogustavo","@petrogustavo")</f>
        <v>@petrogustavo</v>
      </c>
      <c r="C9913" s="5" t="s">
        <v>16</v>
      </c>
      <c r="D9913" s="5" t="s">
        <v>9538</v>
      </c>
      <c r="E9913" s="6" t="str">
        <f>HYPERLINK("https://twitter.com/petrogustavo/status/1304777593724469258","1304777593724469258")</f>
        <v>1304777593724469258</v>
      </c>
      <c r="F9913" s="7" t="s">
        <v>17</v>
      </c>
      <c r="G9913" s="7">
        <v>3972097</v>
      </c>
      <c r="H9913" s="7">
        <v>2439</v>
      </c>
      <c r="I9913" s="7">
        <v>178</v>
      </c>
      <c r="J9913" s="7">
        <v>526</v>
      </c>
      <c r="K9913" s="7" t="s">
        <v>18</v>
      </c>
      <c r="L9913" s="8">
        <v>39987.315405092595</v>
      </c>
      <c r="M9913" s="9" t="s">
        <v>19</v>
      </c>
      <c r="N9913" s="9" t="s">
        <v>20</v>
      </c>
      <c r="O9913" s="6" t="str">
        <f>HYPERLINK("https://pbs.twimg.com/profile_images/962471262747529216/Uo8lOkRJ_normal.jpg","View")</f>
        <v>View</v>
      </c>
      <c r="P9913" s="7"/>
    </row>
    <row r="9914" spans="1:16">
      <c r="A9914" s="3">
        <v>44086.940648148149</v>
      </c>
      <c r="B9914" s="4" t="str">
        <f>HYPERLINK("https://twitter.com/petrogustavo","@petrogustavo")</f>
        <v>@petrogustavo</v>
      </c>
      <c r="C9914" s="5" t="s">
        <v>16</v>
      </c>
      <c r="D9914" s="5" t="s">
        <v>9539</v>
      </c>
      <c r="E9914" s="6" t="str">
        <f>HYPERLINK("https://twitter.com/petrogustavo/status/1304828252045926400","1304828252045926400")</f>
        <v>1304828252045926400</v>
      </c>
      <c r="F9914" s="7" t="s">
        <v>17</v>
      </c>
      <c r="G9914" s="7">
        <v>3972455</v>
      </c>
      <c r="H9914" s="7">
        <v>2439</v>
      </c>
      <c r="I9914" s="7">
        <v>897</v>
      </c>
      <c r="J9914" s="7">
        <v>0</v>
      </c>
      <c r="K9914" s="7" t="s">
        <v>18</v>
      </c>
      <c r="L9914" s="8">
        <v>39987.315405092595</v>
      </c>
      <c r="M9914" s="9" t="s">
        <v>19</v>
      </c>
      <c r="N9914" s="9" t="s">
        <v>20</v>
      </c>
      <c r="O9914" s="6" t="str">
        <f>HYPERLINK("https://pbs.twimg.com/profile_images/962471262747529216/Uo8lOkRJ_normal.jpg","View")</f>
        <v>View</v>
      </c>
      <c r="P9914" s="7"/>
    </row>
    <row r="9915" spans="1:16">
      <c r="A9915" s="3">
        <v>44086.941944444443</v>
      </c>
      <c r="B9915" s="4" t="str">
        <f>HYPERLINK("https://twitter.com/petrogustavo","@petrogustavo")</f>
        <v>@petrogustavo</v>
      </c>
      <c r="C9915" s="5" t="s">
        <v>16</v>
      </c>
      <c r="D9915" s="5" t="s">
        <v>9540</v>
      </c>
      <c r="E9915" s="6" t="str">
        <f>HYPERLINK("https://twitter.com/petrogustavo/status/1304828722701312005","1304828722701312005")</f>
        <v>1304828722701312005</v>
      </c>
      <c r="F9915" s="7" t="s">
        <v>17</v>
      </c>
      <c r="G9915" s="7">
        <v>3972455</v>
      </c>
      <c r="H9915" s="7">
        <v>2439</v>
      </c>
      <c r="I9915" s="7">
        <v>214</v>
      </c>
      <c r="J9915" s="7">
        <v>604</v>
      </c>
      <c r="K9915" s="7" t="s">
        <v>18</v>
      </c>
      <c r="L9915" s="8">
        <v>39987.315405092595</v>
      </c>
      <c r="M9915" s="9" t="s">
        <v>19</v>
      </c>
      <c r="N9915" s="9" t="s">
        <v>20</v>
      </c>
      <c r="O9915" s="6" t="str">
        <f>HYPERLINK("https://pbs.twimg.com/profile_images/962471262747529216/Uo8lOkRJ_normal.jpg","View")</f>
        <v>View</v>
      </c>
      <c r="P9915" s="7"/>
    </row>
    <row r="9916" spans="1:16">
      <c r="A9916" s="3">
        <v>44086.943842592591</v>
      </c>
      <c r="B9916" s="4" t="str">
        <f>HYPERLINK("https://twitter.com/petrogustavo","@petrogustavo")</f>
        <v>@petrogustavo</v>
      </c>
      <c r="C9916" s="5" t="s">
        <v>16</v>
      </c>
      <c r="D9916" s="5" t="s">
        <v>9541</v>
      </c>
      <c r="E9916" s="6" t="str">
        <f>HYPERLINK("https://twitter.com/petrogustavo/status/1304829410449776640","1304829410449776640")</f>
        <v>1304829410449776640</v>
      </c>
      <c r="F9916" s="7" t="s">
        <v>17</v>
      </c>
      <c r="G9916" s="7">
        <v>3972455</v>
      </c>
      <c r="H9916" s="7">
        <v>2439</v>
      </c>
      <c r="I9916" s="7">
        <v>91</v>
      </c>
      <c r="J9916" s="7">
        <v>280</v>
      </c>
      <c r="K9916" s="7" t="s">
        <v>18</v>
      </c>
      <c r="L9916" s="8">
        <v>39987.315405092595</v>
      </c>
      <c r="M9916" s="9" t="s">
        <v>19</v>
      </c>
      <c r="N9916" s="9" t="s">
        <v>20</v>
      </c>
      <c r="O9916" s="6" t="str">
        <f>HYPERLINK("https://pbs.twimg.com/profile_images/962471262747529216/Uo8lOkRJ_normal.jpg","View")</f>
        <v>View</v>
      </c>
      <c r="P9916" s="7"/>
    </row>
    <row r="9917" spans="1:16">
      <c r="A9917" s="3">
        <v>44086.947858796295</v>
      </c>
      <c r="B9917" s="4" t="str">
        <f>HYPERLINK("https://twitter.com/petrogustavo","@petrogustavo")</f>
        <v>@petrogustavo</v>
      </c>
      <c r="C9917" s="5" t="s">
        <v>16</v>
      </c>
      <c r="D9917" s="5" t="s">
        <v>9542</v>
      </c>
      <c r="E9917" s="6" t="str">
        <f>HYPERLINK("https://twitter.com/petrogustavo/status/1304830866993156096","1304830866993156096")</f>
        <v>1304830866993156096</v>
      </c>
      <c r="F9917" s="7" t="s">
        <v>17</v>
      </c>
      <c r="G9917" s="7">
        <v>3972455</v>
      </c>
      <c r="H9917" s="7">
        <v>2439</v>
      </c>
      <c r="I9917" s="7">
        <v>89</v>
      </c>
      <c r="J9917" s="7">
        <v>230</v>
      </c>
      <c r="K9917" s="7" t="s">
        <v>18</v>
      </c>
      <c r="L9917" s="8">
        <v>39987.315405092595</v>
      </c>
      <c r="M9917" s="9" t="s">
        <v>19</v>
      </c>
      <c r="N9917" s="9" t="s">
        <v>20</v>
      </c>
      <c r="O9917" s="6" t="str">
        <f>HYPERLINK("https://pbs.twimg.com/profile_images/962471262747529216/Uo8lOkRJ_normal.jpg","View")</f>
        <v>View</v>
      </c>
      <c r="P9917" s="7"/>
    </row>
    <row r="9918" spans="1:16">
      <c r="A9918" s="3">
        <v>44086.963877314818</v>
      </c>
      <c r="B9918" s="4" t="str">
        <f>HYPERLINK("https://twitter.com/petrogustavo","@petrogustavo")</f>
        <v>@petrogustavo</v>
      </c>
      <c r="C9918" s="5" t="s">
        <v>16</v>
      </c>
      <c r="D9918" s="5" t="s">
        <v>9543</v>
      </c>
      <c r="E9918" s="6" t="str">
        <f>HYPERLINK("https://twitter.com/petrogustavo/status/1304836668588019714","1304836668588019714")</f>
        <v>1304836668588019714</v>
      </c>
      <c r="F9918" s="7" t="s">
        <v>17</v>
      </c>
      <c r="G9918" s="7">
        <v>3972499</v>
      </c>
      <c r="H9918" s="7">
        <v>2438</v>
      </c>
      <c r="I9918" s="7">
        <v>186</v>
      </c>
      <c r="J9918" s="7">
        <v>366</v>
      </c>
      <c r="K9918" s="7" t="s">
        <v>18</v>
      </c>
      <c r="L9918" s="8">
        <v>39987.315405092595</v>
      </c>
      <c r="M9918" s="9" t="s">
        <v>19</v>
      </c>
      <c r="N9918" s="9" t="s">
        <v>20</v>
      </c>
      <c r="O9918" s="6" t="str">
        <f>HYPERLINK("https://pbs.twimg.com/profile_images/962471262747529216/Uo8lOkRJ_normal.jpg","View")</f>
        <v>View</v>
      </c>
      <c r="P9918" s="7"/>
    </row>
    <row r="9919" spans="1:16">
      <c r="A9919" s="3">
        <v>44086.968472222223</v>
      </c>
      <c r="B9919" s="4" t="str">
        <f>HYPERLINK("https://twitter.com/petrogustavo","@petrogustavo")</f>
        <v>@petrogustavo</v>
      </c>
      <c r="C9919" s="5" t="s">
        <v>16</v>
      </c>
      <c r="D9919" s="5" t="s">
        <v>9544</v>
      </c>
      <c r="E9919" s="6" t="str">
        <f>HYPERLINK("https://twitter.com/petrogustavo/status/1304838333969895424","1304838333969895424")</f>
        <v>1304838333969895424</v>
      </c>
      <c r="F9919" s="7" t="s">
        <v>17</v>
      </c>
      <c r="G9919" s="7">
        <v>3972499</v>
      </c>
      <c r="H9919" s="7">
        <v>2438</v>
      </c>
      <c r="I9919" s="7">
        <v>71</v>
      </c>
      <c r="J9919" s="7">
        <v>189</v>
      </c>
      <c r="K9919" s="7" t="s">
        <v>18</v>
      </c>
      <c r="L9919" s="8">
        <v>39987.315405092595</v>
      </c>
      <c r="M9919" s="9" t="s">
        <v>19</v>
      </c>
      <c r="N9919" s="9" t="s">
        <v>20</v>
      </c>
      <c r="O9919" s="6" t="str">
        <f>HYPERLINK("https://pbs.twimg.com/profile_images/962471262747529216/Uo8lOkRJ_normal.jpg","View")</f>
        <v>View</v>
      </c>
      <c r="P9919" s="7"/>
    </row>
    <row r="9920" spans="1:16">
      <c r="A9920" s="3">
        <v>44086.992719907408</v>
      </c>
      <c r="B9920" s="4" t="str">
        <f>HYPERLINK("https://twitter.com/petrogustavo","@petrogustavo")</f>
        <v>@petrogustavo</v>
      </c>
      <c r="C9920" s="5" t="s">
        <v>16</v>
      </c>
      <c r="D9920" s="5" t="s">
        <v>9545</v>
      </c>
      <c r="E9920" s="6" t="str">
        <f>HYPERLINK("https://twitter.com/petrogustavo/status/1304847123788238849","1304847123788238849")</f>
        <v>1304847123788238849</v>
      </c>
      <c r="F9920" s="7" t="s">
        <v>17</v>
      </c>
      <c r="G9920" s="7">
        <v>3972599</v>
      </c>
      <c r="H9920" s="7">
        <v>2438</v>
      </c>
      <c r="I9920" s="7">
        <v>192</v>
      </c>
      <c r="J9920" s="7">
        <v>0</v>
      </c>
      <c r="K9920" s="7" t="s">
        <v>18</v>
      </c>
      <c r="L9920" s="8">
        <v>39987.315405092595</v>
      </c>
      <c r="M9920" s="9" t="s">
        <v>19</v>
      </c>
      <c r="N9920" s="9" t="s">
        <v>20</v>
      </c>
      <c r="O9920" s="6" t="str">
        <f>HYPERLINK("https://pbs.twimg.com/profile_images/962471262747529216/Uo8lOkRJ_normal.jpg","View")</f>
        <v>View</v>
      </c>
      <c r="P9920" s="7"/>
    </row>
    <row r="9921" spans="1:16">
      <c r="A9921" s="3">
        <v>44087.041747685187</v>
      </c>
      <c r="B9921" s="4" t="str">
        <f>HYPERLINK("https://twitter.com/petrogustavo","@petrogustavo")</f>
        <v>@petrogustavo</v>
      </c>
      <c r="C9921" s="5" t="s">
        <v>16</v>
      </c>
      <c r="D9921" s="5" t="s">
        <v>9546</v>
      </c>
      <c r="E9921" s="6" t="str">
        <f>HYPERLINK("https://twitter.com/petrogustavo/status/1304864889635328000","1304864889635328000")</f>
        <v>1304864889635328000</v>
      </c>
      <c r="F9921" s="7" t="s">
        <v>17</v>
      </c>
      <c r="G9921" s="7">
        <v>3972697</v>
      </c>
      <c r="H9921" s="7">
        <v>2439</v>
      </c>
      <c r="I9921" s="7">
        <v>1419</v>
      </c>
      <c r="J9921" s="7">
        <v>0</v>
      </c>
      <c r="K9921" s="7" t="s">
        <v>18</v>
      </c>
      <c r="L9921" s="8">
        <v>39987.315405092595</v>
      </c>
      <c r="M9921" s="9" t="s">
        <v>19</v>
      </c>
      <c r="N9921" s="9" t="s">
        <v>20</v>
      </c>
      <c r="O9921" s="6" t="str">
        <f>HYPERLINK("https://pbs.twimg.com/profile_images/962471262747529216/Uo8lOkRJ_normal.jpg","View")</f>
        <v>View</v>
      </c>
      <c r="P9921" s="7"/>
    </row>
    <row r="9922" spans="1:16">
      <c r="A9922" s="3">
        <v>44087.046215277776</v>
      </c>
      <c r="B9922" s="4" t="str">
        <f>HYPERLINK("https://twitter.com/petrogustavo","@petrogustavo")</f>
        <v>@petrogustavo</v>
      </c>
      <c r="C9922" s="5" t="s">
        <v>16</v>
      </c>
      <c r="D9922" s="5" t="s">
        <v>9547</v>
      </c>
      <c r="E9922" s="6" t="str">
        <f>HYPERLINK("https://twitter.com/petrogustavo/status/1304866510079504384","1304866510079504384")</f>
        <v>1304866510079504384</v>
      </c>
      <c r="F9922" s="7" t="s">
        <v>17</v>
      </c>
      <c r="G9922" s="7">
        <v>3972697</v>
      </c>
      <c r="H9922" s="7">
        <v>2439</v>
      </c>
      <c r="I9922" s="7">
        <v>68</v>
      </c>
      <c r="J9922" s="7">
        <v>0</v>
      </c>
      <c r="K9922" s="7" t="s">
        <v>18</v>
      </c>
      <c r="L9922" s="8">
        <v>39987.315405092595</v>
      </c>
      <c r="M9922" s="9" t="s">
        <v>19</v>
      </c>
      <c r="N9922" s="9" t="s">
        <v>20</v>
      </c>
      <c r="O9922" s="6" t="str">
        <f>HYPERLINK("https://pbs.twimg.com/profile_images/962471262747529216/Uo8lOkRJ_normal.jpg","View")</f>
        <v>View</v>
      </c>
      <c r="P9922" s="7"/>
    </row>
    <row r="9923" spans="1:16">
      <c r="A9923" s="3">
        <v>44087.046875</v>
      </c>
      <c r="B9923" s="4" t="str">
        <f>HYPERLINK("https://twitter.com/petrogustavo","@petrogustavo")</f>
        <v>@petrogustavo</v>
      </c>
      <c r="C9923" s="5" t="s">
        <v>16</v>
      </c>
      <c r="D9923" s="5" t="s">
        <v>9548</v>
      </c>
      <c r="E9923" s="6" t="str">
        <f>HYPERLINK("https://twitter.com/petrogustavo/status/1304866746210320384","1304866746210320384")</f>
        <v>1304866746210320384</v>
      </c>
      <c r="F9923" s="7" t="s">
        <v>17</v>
      </c>
      <c r="G9923" s="7">
        <v>3972697</v>
      </c>
      <c r="H9923" s="7">
        <v>2439</v>
      </c>
      <c r="I9923" s="7">
        <v>390</v>
      </c>
      <c r="J9923" s="7">
        <v>1217</v>
      </c>
      <c r="K9923" s="7" t="s">
        <v>18</v>
      </c>
      <c r="L9923" s="8">
        <v>39987.315405092595</v>
      </c>
      <c r="M9923" s="9" t="s">
        <v>19</v>
      </c>
      <c r="N9923" s="9" t="s">
        <v>20</v>
      </c>
      <c r="O9923" s="6" t="str">
        <f>HYPERLINK("https://pbs.twimg.com/profile_images/962471262747529216/Uo8lOkRJ_normal.jpg","View")</f>
        <v>View</v>
      </c>
      <c r="P9923" s="7"/>
    </row>
    <row r="9924" spans="1:16">
      <c r="A9924" s="3">
        <v>44087.049756944441</v>
      </c>
      <c r="B9924" s="4" t="str">
        <f>HYPERLINK("https://twitter.com/petrogustavo","@petrogustavo")</f>
        <v>@petrogustavo</v>
      </c>
      <c r="C9924" s="5" t="s">
        <v>16</v>
      </c>
      <c r="D9924" s="5" t="s">
        <v>9549</v>
      </c>
      <c r="E9924" s="6" t="str">
        <f>HYPERLINK("https://twitter.com/petrogustavo/status/1304867791711932422","1304867791711932422")</f>
        <v>1304867791711932422</v>
      </c>
      <c r="F9924" s="7" t="s">
        <v>17</v>
      </c>
      <c r="G9924" s="7">
        <v>3972697</v>
      </c>
      <c r="H9924" s="7">
        <v>2439</v>
      </c>
      <c r="I9924" s="7">
        <v>51</v>
      </c>
      <c r="J9924" s="7">
        <v>83</v>
      </c>
      <c r="K9924" s="7" t="s">
        <v>18</v>
      </c>
      <c r="L9924" s="8">
        <v>39987.315405092595</v>
      </c>
      <c r="M9924" s="9" t="s">
        <v>19</v>
      </c>
      <c r="N9924" s="9" t="s">
        <v>20</v>
      </c>
      <c r="O9924" s="6" t="str">
        <f>HYPERLINK("https://pbs.twimg.com/profile_images/962471262747529216/Uo8lOkRJ_normal.jpg","View")</f>
        <v>View</v>
      </c>
      <c r="P9924" s="7"/>
    </row>
    <row r="9925" spans="1:16">
      <c r="A9925" s="3">
        <v>44087.114502314813</v>
      </c>
      <c r="B9925" s="4" t="str">
        <f>HYPERLINK("https://twitter.com/petrogustavo","@petrogustavo")</f>
        <v>@petrogustavo</v>
      </c>
      <c r="C9925" s="5" t="s">
        <v>16</v>
      </c>
      <c r="D9925" s="5" t="s">
        <v>9550</v>
      </c>
      <c r="E9925" s="6" t="str">
        <f>HYPERLINK("https://twitter.com/petrogustavo/status/1304891253549654016","1304891253549654016")</f>
        <v>1304891253549654016</v>
      </c>
      <c r="F9925" s="7" t="s">
        <v>17</v>
      </c>
      <c r="G9925" s="7">
        <v>3972801</v>
      </c>
      <c r="H9925" s="7">
        <v>2439</v>
      </c>
      <c r="I9925" s="7">
        <v>2186</v>
      </c>
      <c r="J9925" s="7">
        <v>0</v>
      </c>
      <c r="K9925" s="7" t="s">
        <v>18</v>
      </c>
      <c r="L9925" s="8">
        <v>39987.315405092595</v>
      </c>
      <c r="M9925" s="9" t="s">
        <v>19</v>
      </c>
      <c r="N9925" s="9" t="s">
        <v>20</v>
      </c>
      <c r="O9925" s="6" t="str">
        <f>HYPERLINK("https://pbs.twimg.com/profile_images/962471262747529216/Uo8lOkRJ_normal.jpg","View")</f>
        <v>View</v>
      </c>
      <c r="P9925" s="7"/>
    </row>
    <row r="9926" spans="1:16">
      <c r="A9926" s="3">
        <v>44087.114664351851</v>
      </c>
      <c r="B9926" s="4" t="str">
        <f>HYPERLINK("https://twitter.com/petrogustavo","@petrogustavo")</f>
        <v>@petrogustavo</v>
      </c>
      <c r="C9926" s="5" t="s">
        <v>16</v>
      </c>
      <c r="D9926" s="5" t="s">
        <v>9551</v>
      </c>
      <c r="E9926" s="6" t="str">
        <f>HYPERLINK("https://twitter.com/petrogustavo/status/1304891314765471744","1304891314765471744")</f>
        <v>1304891314765471744</v>
      </c>
      <c r="F9926" s="7" t="s">
        <v>17</v>
      </c>
      <c r="G9926" s="7">
        <v>3972801</v>
      </c>
      <c r="H9926" s="7">
        <v>2439</v>
      </c>
      <c r="I9926" s="7">
        <v>845</v>
      </c>
      <c r="J9926" s="7">
        <v>0</v>
      </c>
      <c r="K9926" s="7" t="s">
        <v>18</v>
      </c>
      <c r="L9926" s="8">
        <v>39987.315405092595</v>
      </c>
      <c r="M9926" s="9" t="s">
        <v>19</v>
      </c>
      <c r="N9926" s="9" t="s">
        <v>20</v>
      </c>
      <c r="O9926" s="6" t="str">
        <f>HYPERLINK("https://pbs.twimg.com/profile_images/962471262747529216/Uo8lOkRJ_normal.jpg","View")</f>
        <v>View</v>
      </c>
      <c r="P9926" s="7"/>
    </row>
    <row r="9927" spans="1:16">
      <c r="A9927" s="3">
        <v>44087.23028935185</v>
      </c>
      <c r="B9927" s="4" t="str">
        <f>HYPERLINK("https://twitter.com/petrogustavo","@petrogustavo")</f>
        <v>@petrogustavo</v>
      </c>
      <c r="C9927" s="5" t="s">
        <v>16</v>
      </c>
      <c r="D9927" s="5" t="s">
        <v>9552</v>
      </c>
      <c r="E9927" s="6" t="str">
        <f>HYPERLINK("https://twitter.com/petrogustavo/status/1304933214717345794","1304933214717345794")</f>
        <v>1304933214717345794</v>
      </c>
      <c r="F9927" s="7" t="s">
        <v>17</v>
      </c>
      <c r="G9927" s="7">
        <v>3973019</v>
      </c>
      <c r="H9927" s="7">
        <v>2439</v>
      </c>
      <c r="I9927" s="7">
        <v>279</v>
      </c>
      <c r="J9927" s="7">
        <v>0</v>
      </c>
      <c r="K9927" s="7" t="s">
        <v>18</v>
      </c>
      <c r="L9927" s="8">
        <v>39987.315405092595</v>
      </c>
      <c r="M9927" s="9" t="s">
        <v>19</v>
      </c>
      <c r="N9927" s="9" t="s">
        <v>20</v>
      </c>
      <c r="O9927" s="6" t="str">
        <f>HYPERLINK("https://pbs.twimg.com/profile_images/962471262747529216/Uo8lOkRJ_normal.jpg","View")</f>
        <v>View</v>
      </c>
      <c r="P9927" s="7"/>
    </row>
    <row r="9928" spans="1:16">
      <c r="A9928" s="3">
        <v>44087.230428240742</v>
      </c>
      <c r="B9928" s="4" t="str">
        <f>HYPERLINK("https://twitter.com/petrogustavo","@petrogustavo")</f>
        <v>@petrogustavo</v>
      </c>
      <c r="C9928" s="5" t="s">
        <v>16</v>
      </c>
      <c r="D9928" s="5" t="s">
        <v>9553</v>
      </c>
      <c r="E9928" s="6" t="str">
        <f>HYPERLINK("https://twitter.com/petrogustavo/status/1304933266525507586","1304933266525507586")</f>
        <v>1304933266525507586</v>
      </c>
      <c r="F9928" s="7" t="s">
        <v>17</v>
      </c>
      <c r="G9928" s="7">
        <v>3973019</v>
      </c>
      <c r="H9928" s="7">
        <v>2439</v>
      </c>
      <c r="I9928" s="7">
        <v>179</v>
      </c>
      <c r="J9928" s="7">
        <v>0</v>
      </c>
      <c r="K9928" s="7" t="s">
        <v>18</v>
      </c>
      <c r="L9928" s="8">
        <v>39987.315405092595</v>
      </c>
      <c r="M9928" s="9" t="s">
        <v>19</v>
      </c>
      <c r="N9928" s="9" t="s">
        <v>20</v>
      </c>
      <c r="O9928" s="6" t="str">
        <f>HYPERLINK("https://pbs.twimg.com/profile_images/962471262747529216/Uo8lOkRJ_normal.jpg","View")</f>
        <v>View</v>
      </c>
      <c r="P9928" s="7"/>
    </row>
    <row r="9929" spans="1:16">
      <c r="A9929" s="3">
        <v>44087.230543981481</v>
      </c>
      <c r="B9929" s="4" t="str">
        <f>HYPERLINK("https://twitter.com/petrogustavo","@petrogustavo")</f>
        <v>@petrogustavo</v>
      </c>
      <c r="C9929" s="5" t="s">
        <v>16</v>
      </c>
      <c r="D9929" s="5" t="s">
        <v>9554</v>
      </c>
      <c r="E9929" s="6" t="str">
        <f>HYPERLINK("https://twitter.com/petrogustavo/status/1304933305134075910","1304933305134075910")</f>
        <v>1304933305134075910</v>
      </c>
      <c r="F9929" s="7" t="s">
        <v>17</v>
      </c>
      <c r="G9929" s="7">
        <v>3973019</v>
      </c>
      <c r="H9929" s="7">
        <v>2439</v>
      </c>
      <c r="I9929" s="7">
        <v>145</v>
      </c>
      <c r="J9929" s="7">
        <v>0</v>
      </c>
      <c r="K9929" s="7" t="s">
        <v>18</v>
      </c>
      <c r="L9929" s="8">
        <v>39987.315405092595</v>
      </c>
      <c r="M9929" s="9" t="s">
        <v>19</v>
      </c>
      <c r="N9929" s="9" t="s">
        <v>20</v>
      </c>
      <c r="O9929" s="6" t="str">
        <f>HYPERLINK("https://pbs.twimg.com/profile_images/962471262747529216/Uo8lOkRJ_normal.jpg","View")</f>
        <v>View</v>
      </c>
      <c r="P9929" s="7"/>
    </row>
    <row r="9930" spans="1:16">
      <c r="A9930" s="3">
        <v>44087.230694444443</v>
      </c>
      <c r="B9930" s="4" t="str">
        <f>HYPERLINK("https://twitter.com/petrogustavo","@petrogustavo")</f>
        <v>@petrogustavo</v>
      </c>
      <c r="C9930" s="5" t="s">
        <v>16</v>
      </c>
      <c r="D9930" s="5" t="s">
        <v>9555</v>
      </c>
      <c r="E9930" s="6" t="str">
        <f>HYPERLINK("https://twitter.com/petrogustavo/status/1304933360897265665","1304933360897265665")</f>
        <v>1304933360897265665</v>
      </c>
      <c r="F9930" s="7" t="s">
        <v>17</v>
      </c>
      <c r="G9930" s="7">
        <v>3973019</v>
      </c>
      <c r="H9930" s="7">
        <v>2439</v>
      </c>
      <c r="I9930" s="7">
        <v>147</v>
      </c>
      <c r="J9930" s="7">
        <v>0</v>
      </c>
      <c r="K9930" s="7" t="s">
        <v>18</v>
      </c>
      <c r="L9930" s="8">
        <v>39987.315405092595</v>
      </c>
      <c r="M9930" s="9" t="s">
        <v>19</v>
      </c>
      <c r="N9930" s="9" t="s">
        <v>20</v>
      </c>
      <c r="O9930" s="6" t="str">
        <f>HYPERLINK("https://pbs.twimg.com/profile_images/962471262747529216/Uo8lOkRJ_normal.jpg","View")</f>
        <v>View</v>
      </c>
      <c r="P9930" s="7"/>
    </row>
    <row r="9931" spans="1:16">
      <c r="A9931" s="3">
        <v>44087.231400462959</v>
      </c>
      <c r="B9931" s="4" t="str">
        <f>HYPERLINK("https://twitter.com/petrogustavo","@petrogustavo")</f>
        <v>@petrogustavo</v>
      </c>
      <c r="C9931" s="5" t="s">
        <v>16</v>
      </c>
      <c r="D9931" s="5" t="s">
        <v>9556</v>
      </c>
      <c r="E9931" s="6" t="str">
        <f>HYPERLINK("https://twitter.com/petrogustavo/status/1304933617546735616","1304933617546735616")</f>
        <v>1304933617546735616</v>
      </c>
      <c r="F9931" s="7" t="s">
        <v>17</v>
      </c>
      <c r="G9931" s="7">
        <v>3973019</v>
      </c>
      <c r="H9931" s="7">
        <v>2439</v>
      </c>
      <c r="I9931" s="7">
        <v>171</v>
      </c>
      <c r="J9931" s="7">
        <v>743</v>
      </c>
      <c r="K9931" s="7" t="s">
        <v>18</v>
      </c>
      <c r="L9931" s="8">
        <v>39987.315405092595</v>
      </c>
      <c r="M9931" s="9" t="s">
        <v>19</v>
      </c>
      <c r="N9931" s="9" t="s">
        <v>20</v>
      </c>
      <c r="O9931" s="6" t="str">
        <f>HYPERLINK("https://pbs.twimg.com/profile_images/962471262747529216/Uo8lOkRJ_normal.jpg","View")</f>
        <v>View</v>
      </c>
      <c r="P9931" s="7"/>
    </row>
    <row r="9932" spans="1:16">
      <c r="A9932" s="3">
        <v>44087.236018518517</v>
      </c>
      <c r="B9932" s="4" t="str">
        <f>HYPERLINK("https://twitter.com/petrogustavo","@petrogustavo")</f>
        <v>@petrogustavo</v>
      </c>
      <c r="C9932" s="5" t="s">
        <v>16</v>
      </c>
      <c r="D9932" s="5" t="s">
        <v>9557</v>
      </c>
      <c r="E9932" s="6" t="str">
        <f>HYPERLINK("https://twitter.com/petrogustavo/status/1304935289178202113","1304935289178202113")</f>
        <v>1304935289178202113</v>
      </c>
      <c r="F9932" s="7" t="s">
        <v>17</v>
      </c>
      <c r="G9932" s="7">
        <v>3973019</v>
      </c>
      <c r="H9932" s="7">
        <v>2439</v>
      </c>
      <c r="I9932" s="7">
        <v>110</v>
      </c>
      <c r="J9932" s="7">
        <v>0</v>
      </c>
      <c r="K9932" s="7" t="s">
        <v>18</v>
      </c>
      <c r="L9932" s="8">
        <v>39987.315405092595</v>
      </c>
      <c r="M9932" s="9" t="s">
        <v>19</v>
      </c>
      <c r="N9932" s="9" t="s">
        <v>20</v>
      </c>
      <c r="O9932" s="6" t="str">
        <f>HYPERLINK("https://pbs.twimg.com/profile_images/962471262747529216/Uo8lOkRJ_normal.jpg","View")</f>
        <v>View</v>
      </c>
      <c r="P9932" s="7"/>
    </row>
    <row r="9933" spans="1:16">
      <c r="A9933" s="3">
        <v>44087.319097222222</v>
      </c>
      <c r="B9933" s="4" t="str">
        <f>HYPERLINK("https://twitter.com/petrogustavo","@petrogustavo")</f>
        <v>@petrogustavo</v>
      </c>
      <c r="C9933" s="5" t="s">
        <v>16</v>
      </c>
      <c r="D9933" s="5" t="s">
        <v>9558</v>
      </c>
      <c r="E9933" s="6" t="str">
        <f>HYPERLINK("https://twitter.com/petrogustavo/status/1304965399033851904","1304965399033851904")</f>
        <v>1304965399033851904</v>
      </c>
      <c r="F9933" s="7" t="s">
        <v>17</v>
      </c>
      <c r="G9933" s="7">
        <v>3973212</v>
      </c>
      <c r="H9933" s="7">
        <v>2439</v>
      </c>
      <c r="I9933" s="7">
        <v>247</v>
      </c>
      <c r="J9933" s="7">
        <v>805</v>
      </c>
      <c r="K9933" s="7" t="s">
        <v>18</v>
      </c>
      <c r="L9933" s="8">
        <v>39987.315405092595</v>
      </c>
      <c r="M9933" s="9" t="s">
        <v>19</v>
      </c>
      <c r="N9933" s="9" t="s">
        <v>20</v>
      </c>
      <c r="O9933" s="6" t="str">
        <f>HYPERLINK("https://pbs.twimg.com/profile_images/962471262747529216/Uo8lOkRJ_normal.jpg","View")</f>
        <v>View</v>
      </c>
      <c r="P9933" s="7"/>
    </row>
    <row r="9934" spans="1:16">
      <c r="A9934" s="3">
        <v>44087.319594907407</v>
      </c>
      <c r="B9934" s="4" t="str">
        <f>HYPERLINK("https://twitter.com/petrogustavo","@petrogustavo")</f>
        <v>@petrogustavo</v>
      </c>
      <c r="C9934" s="5" t="s">
        <v>16</v>
      </c>
      <c r="D9934" s="5" t="s">
        <v>9559</v>
      </c>
      <c r="E9934" s="6" t="str">
        <f>HYPERLINK("https://twitter.com/petrogustavo/status/1304965576599633921","1304965576599633921")</f>
        <v>1304965576599633921</v>
      </c>
      <c r="F9934" s="7" t="s">
        <v>17</v>
      </c>
      <c r="G9934" s="7">
        <v>3973212</v>
      </c>
      <c r="H9934" s="7">
        <v>2439</v>
      </c>
      <c r="I9934" s="7">
        <v>431</v>
      </c>
      <c r="J9934" s="7">
        <v>0</v>
      </c>
      <c r="K9934" s="7" t="s">
        <v>18</v>
      </c>
      <c r="L9934" s="8">
        <v>39987.315405092595</v>
      </c>
      <c r="M9934" s="9" t="s">
        <v>19</v>
      </c>
      <c r="N9934" s="9" t="s">
        <v>20</v>
      </c>
      <c r="O9934" s="6" t="str">
        <f>HYPERLINK("https://pbs.twimg.com/profile_images/962471262747529216/Uo8lOkRJ_normal.jpg","View")</f>
        <v>View</v>
      </c>
      <c r="P9934" s="7"/>
    </row>
    <row r="9935" spans="1:16">
      <c r="A9935" s="3">
        <v>44087.323321759264</v>
      </c>
      <c r="B9935" s="4" t="str">
        <f>HYPERLINK("https://twitter.com/petrogustavo","@petrogustavo")</f>
        <v>@petrogustavo</v>
      </c>
      <c r="C9935" s="5" t="s">
        <v>16</v>
      </c>
      <c r="D9935" s="5" t="s">
        <v>9560</v>
      </c>
      <c r="E9935" s="6" t="str">
        <f>HYPERLINK("https://twitter.com/petrogustavo/status/1304966929841565702","1304966929841565702")</f>
        <v>1304966929841565702</v>
      </c>
      <c r="F9935" s="7" t="s">
        <v>17</v>
      </c>
      <c r="G9935" s="7">
        <v>3973212</v>
      </c>
      <c r="H9935" s="7">
        <v>2439</v>
      </c>
      <c r="I9935" s="7">
        <v>81</v>
      </c>
      <c r="J9935" s="7">
        <v>247</v>
      </c>
      <c r="K9935" s="7" t="s">
        <v>18</v>
      </c>
      <c r="L9935" s="8">
        <v>39987.315405092595</v>
      </c>
      <c r="M9935" s="9" t="s">
        <v>19</v>
      </c>
      <c r="N9935" s="9" t="s">
        <v>20</v>
      </c>
      <c r="O9935" s="6" t="str">
        <f>HYPERLINK("https://pbs.twimg.com/profile_images/962471262747529216/Uo8lOkRJ_normal.jpg","View")</f>
        <v>View</v>
      </c>
      <c r="P9935" s="7"/>
    </row>
    <row r="9936" spans="1:16">
      <c r="A9936" s="3">
        <v>44087.323981481481</v>
      </c>
      <c r="B9936" s="4" t="str">
        <f>HYPERLINK("https://twitter.com/petrogustavo","@petrogustavo")</f>
        <v>@petrogustavo</v>
      </c>
      <c r="C9936" s="5" t="s">
        <v>16</v>
      </c>
      <c r="D9936" s="5" t="s">
        <v>9561</v>
      </c>
      <c r="E9936" s="6" t="str">
        <f>HYPERLINK("https://twitter.com/petrogustavo/status/1304967166819790848","1304967166819790848")</f>
        <v>1304967166819790848</v>
      </c>
      <c r="F9936" s="7" t="s">
        <v>17</v>
      </c>
      <c r="G9936" s="7">
        <v>3973212</v>
      </c>
      <c r="H9936" s="7">
        <v>2439</v>
      </c>
      <c r="I9936" s="7">
        <v>252</v>
      </c>
      <c r="J9936" s="7">
        <v>0</v>
      </c>
      <c r="K9936" s="7" t="s">
        <v>18</v>
      </c>
      <c r="L9936" s="8">
        <v>39987.315405092595</v>
      </c>
      <c r="M9936" s="9" t="s">
        <v>19</v>
      </c>
      <c r="N9936" s="9" t="s">
        <v>20</v>
      </c>
      <c r="O9936" s="6" t="str">
        <f>HYPERLINK("https://pbs.twimg.com/profile_images/962471262747529216/Uo8lOkRJ_normal.jpg","View")</f>
        <v>View</v>
      </c>
      <c r="P9936" s="7"/>
    </row>
    <row r="9937" spans="1:16">
      <c r="A9937" s="3">
        <v>44087.326481481483</v>
      </c>
      <c r="B9937" s="4" t="str">
        <f>HYPERLINK("https://twitter.com/petrogustavo","@petrogustavo")</f>
        <v>@petrogustavo</v>
      </c>
      <c r="C9937" s="5" t="s">
        <v>16</v>
      </c>
      <c r="D9937" s="5" t="s">
        <v>9562</v>
      </c>
      <c r="E9937" s="6" t="str">
        <f>HYPERLINK("https://twitter.com/petrogustavo/status/1304968072936198144","1304968072936198144")</f>
        <v>1304968072936198144</v>
      </c>
      <c r="F9937" s="7" t="s">
        <v>17</v>
      </c>
      <c r="G9937" s="7">
        <v>3973233</v>
      </c>
      <c r="H9937" s="7">
        <v>2439</v>
      </c>
      <c r="I9937" s="7">
        <v>734</v>
      </c>
      <c r="J9937" s="7">
        <v>2112</v>
      </c>
      <c r="K9937" s="7" t="s">
        <v>18</v>
      </c>
      <c r="L9937" s="8">
        <v>39987.315405092595</v>
      </c>
      <c r="M9937" s="9" t="s">
        <v>19</v>
      </c>
      <c r="N9937" s="9" t="s">
        <v>20</v>
      </c>
      <c r="O9937" s="6" t="str">
        <f>HYPERLINK("https://pbs.twimg.com/profile_images/962471262747529216/Uo8lOkRJ_normal.jpg","View")</f>
        <v>View</v>
      </c>
      <c r="P9937" s="7"/>
    </row>
    <row r="9938" spans="1:16">
      <c r="A9938" s="3">
        <v>44087.326747685191</v>
      </c>
      <c r="B9938" s="4" t="str">
        <f>HYPERLINK("https://twitter.com/petrogustavo","@petrogustavo")</f>
        <v>@petrogustavo</v>
      </c>
      <c r="C9938" s="5" t="s">
        <v>16</v>
      </c>
      <c r="D9938" s="5" t="s">
        <v>9563</v>
      </c>
      <c r="E9938" s="6" t="str">
        <f>HYPERLINK("https://twitter.com/petrogustavo/status/1304968168595746817","1304968168595746817")</f>
        <v>1304968168595746817</v>
      </c>
      <c r="F9938" s="7" t="s">
        <v>17</v>
      </c>
      <c r="G9938" s="7">
        <v>3973233</v>
      </c>
      <c r="H9938" s="7">
        <v>2439</v>
      </c>
      <c r="I9938" s="7">
        <v>519</v>
      </c>
      <c r="J9938" s="7">
        <v>0</v>
      </c>
      <c r="K9938" s="7" t="s">
        <v>18</v>
      </c>
      <c r="L9938" s="8">
        <v>39987.315405092595</v>
      </c>
      <c r="M9938" s="9" t="s">
        <v>19</v>
      </c>
      <c r="N9938" s="9" t="s">
        <v>20</v>
      </c>
      <c r="O9938" s="6" t="str">
        <f>HYPERLINK("https://pbs.twimg.com/profile_images/962471262747529216/Uo8lOkRJ_normal.jpg","View")</f>
        <v>View</v>
      </c>
      <c r="P9938" s="7"/>
    </row>
    <row r="9939" spans="1:16">
      <c r="A9939" s="3">
        <v>44087.784641203703</v>
      </c>
      <c r="B9939" s="4" t="str">
        <f>HYPERLINK("https://twitter.com/petrogustavo","@petrogustavo")</f>
        <v>@petrogustavo</v>
      </c>
      <c r="C9939" s="5" t="s">
        <v>16</v>
      </c>
      <c r="D9939" s="5" t="s">
        <v>9564</v>
      </c>
      <c r="E9939" s="6" t="str">
        <f>HYPERLINK("https://twitter.com/petrogustavo/status/1305134103944138753","1305134103944138753")</f>
        <v>1305134103944138753</v>
      </c>
      <c r="F9939" s="7" t="s">
        <v>17</v>
      </c>
      <c r="G9939" s="7">
        <v>3973609</v>
      </c>
      <c r="H9939" s="7">
        <v>2439</v>
      </c>
      <c r="I9939" s="7">
        <v>80</v>
      </c>
      <c r="J9939" s="7">
        <v>192</v>
      </c>
      <c r="K9939" s="7" t="s">
        <v>18</v>
      </c>
      <c r="L9939" s="8">
        <v>39987.315405092595</v>
      </c>
      <c r="M9939" s="9" t="s">
        <v>19</v>
      </c>
      <c r="N9939" s="9" t="s">
        <v>20</v>
      </c>
      <c r="O9939" s="6" t="str">
        <f>HYPERLINK("https://pbs.twimg.com/profile_images/962471262747529216/Uo8lOkRJ_normal.jpg","View")</f>
        <v>View</v>
      </c>
      <c r="P9939" s="7"/>
    </row>
    <row r="9940" spans="1:16">
      <c r="A9940" s="3">
        <v>44087.813449074078</v>
      </c>
      <c r="B9940" s="4" t="str">
        <f>HYPERLINK("https://twitter.com/petrogustavo","@petrogustavo")</f>
        <v>@petrogustavo</v>
      </c>
      <c r="C9940" s="5" t="s">
        <v>16</v>
      </c>
      <c r="D9940" s="5" t="s">
        <v>9565</v>
      </c>
      <c r="E9940" s="6" t="str">
        <f>HYPERLINK("https://twitter.com/petrogustavo/status/1305144545877737475","1305144545877737475")</f>
        <v>1305144545877737475</v>
      </c>
      <c r="F9940" s="7" t="s">
        <v>17</v>
      </c>
      <c r="G9940" s="7">
        <v>3973661</v>
      </c>
      <c r="H9940" s="7">
        <v>2439</v>
      </c>
      <c r="I9940" s="7">
        <v>116</v>
      </c>
      <c r="J9940" s="7">
        <v>264</v>
      </c>
      <c r="K9940" s="7" t="s">
        <v>18</v>
      </c>
      <c r="L9940" s="8">
        <v>39987.315405092595</v>
      </c>
      <c r="M9940" s="9" t="s">
        <v>19</v>
      </c>
      <c r="N9940" s="9" t="s">
        <v>20</v>
      </c>
      <c r="O9940" s="6" t="str">
        <f>HYPERLINK("https://pbs.twimg.com/profile_images/962471262747529216/Uo8lOkRJ_normal.jpg","View")</f>
        <v>View</v>
      </c>
      <c r="P9940" s="7"/>
    </row>
    <row r="9941" spans="1:16">
      <c r="A9941" s="3">
        <v>44087.873032407406</v>
      </c>
      <c r="B9941" s="4" t="str">
        <f>HYPERLINK("https://twitter.com/petrogustavo","@petrogustavo")</f>
        <v>@petrogustavo</v>
      </c>
      <c r="C9941" s="5" t="s">
        <v>16</v>
      </c>
      <c r="D9941" s="5" t="s">
        <v>9566</v>
      </c>
      <c r="E9941" s="6" t="str">
        <f>HYPERLINK("https://twitter.com/petrogustavo/status/1305166136066048002","1305166136066048002")</f>
        <v>1305166136066048002</v>
      </c>
      <c r="F9941" s="7" t="s">
        <v>17</v>
      </c>
      <c r="G9941" s="7">
        <v>3973759</v>
      </c>
      <c r="H9941" s="7">
        <v>2439</v>
      </c>
      <c r="I9941" s="7">
        <v>249</v>
      </c>
      <c r="J9941" s="7">
        <v>965</v>
      </c>
      <c r="K9941" s="7" t="s">
        <v>18</v>
      </c>
      <c r="L9941" s="8">
        <v>39987.315405092595</v>
      </c>
      <c r="M9941" s="9" t="s">
        <v>19</v>
      </c>
      <c r="N9941" s="9" t="s">
        <v>20</v>
      </c>
      <c r="O9941" s="6" t="str">
        <f>HYPERLINK("https://pbs.twimg.com/profile_images/962471262747529216/Uo8lOkRJ_normal.jpg","View")</f>
        <v>View</v>
      </c>
      <c r="P9941" s="7"/>
    </row>
    <row r="9942" spans="1:16">
      <c r="A9942" s="3">
        <v>44087.878252314811</v>
      </c>
      <c r="B9942" s="4" t="str">
        <f>HYPERLINK("https://twitter.com/petrogustavo","@petrogustavo")</f>
        <v>@petrogustavo</v>
      </c>
      <c r="C9942" s="5" t="s">
        <v>16</v>
      </c>
      <c r="D9942" s="5" t="s">
        <v>9567</v>
      </c>
      <c r="E9942" s="6" t="str">
        <f>HYPERLINK("https://twitter.com/petrogustavo/status/1305168027315470337","1305168027315470337")</f>
        <v>1305168027315470337</v>
      </c>
      <c r="F9942" s="7" t="s">
        <v>17</v>
      </c>
      <c r="G9942" s="7">
        <v>3973759</v>
      </c>
      <c r="H9942" s="7">
        <v>2439</v>
      </c>
      <c r="I9942" s="7">
        <v>80</v>
      </c>
      <c r="J9942" s="7">
        <v>185</v>
      </c>
      <c r="K9942" s="7" t="s">
        <v>18</v>
      </c>
      <c r="L9942" s="8">
        <v>39987.315405092595</v>
      </c>
      <c r="M9942" s="9" t="s">
        <v>19</v>
      </c>
      <c r="N9942" s="9" t="s">
        <v>20</v>
      </c>
      <c r="O9942" s="6" t="str">
        <f>HYPERLINK("https://pbs.twimg.com/profile_images/962471262747529216/Uo8lOkRJ_normal.jpg","View")</f>
        <v>View</v>
      </c>
      <c r="P9942" s="7"/>
    </row>
    <row r="9943" spans="1:16">
      <c r="A9943" s="3">
        <v>44087.890914351854</v>
      </c>
      <c r="B9943" s="4" t="str">
        <f>HYPERLINK("https://twitter.com/petrogustavo","@petrogustavo")</f>
        <v>@petrogustavo</v>
      </c>
      <c r="C9943" s="5" t="s">
        <v>16</v>
      </c>
      <c r="D9943" s="5" t="s">
        <v>9568</v>
      </c>
      <c r="E9943" s="6" t="str">
        <f>HYPERLINK("https://twitter.com/petrogustavo/status/1305172615368257540","1305172615368257540")</f>
        <v>1305172615368257540</v>
      </c>
      <c r="F9943" s="7" t="s">
        <v>17</v>
      </c>
      <c r="G9943" s="7">
        <v>3973777</v>
      </c>
      <c r="H9943" s="7">
        <v>2439</v>
      </c>
      <c r="I9943" s="7">
        <v>506</v>
      </c>
      <c r="J9943" s="7">
        <v>0</v>
      </c>
      <c r="K9943" s="7" t="s">
        <v>18</v>
      </c>
      <c r="L9943" s="8">
        <v>39987.315405092595</v>
      </c>
      <c r="M9943" s="9" t="s">
        <v>19</v>
      </c>
      <c r="N9943" s="9" t="s">
        <v>20</v>
      </c>
      <c r="O9943" s="6" t="str">
        <f>HYPERLINK("https://pbs.twimg.com/profile_images/962471262747529216/Uo8lOkRJ_normal.jpg","View")</f>
        <v>View</v>
      </c>
      <c r="P9943" s="7"/>
    </row>
    <row r="9944" spans="1:16">
      <c r="A9944" s="3">
        <v>44087.905381944445</v>
      </c>
      <c r="B9944" s="4" t="str">
        <f>HYPERLINK("https://twitter.com/petrogustavo","@petrogustavo")</f>
        <v>@petrogustavo</v>
      </c>
      <c r="C9944" s="5" t="s">
        <v>16</v>
      </c>
      <c r="D9944" s="5" t="s">
        <v>9569</v>
      </c>
      <c r="E9944" s="6" t="str">
        <f>HYPERLINK("https://twitter.com/petrogustavo/status/1305177862002085890","1305177862002085890")</f>
        <v>1305177862002085890</v>
      </c>
      <c r="F9944" s="7" t="s">
        <v>17</v>
      </c>
      <c r="G9944" s="7">
        <v>3973777</v>
      </c>
      <c r="H9944" s="7">
        <v>2439</v>
      </c>
      <c r="I9944" s="7">
        <v>48</v>
      </c>
      <c r="J9944" s="7">
        <v>0</v>
      </c>
      <c r="K9944" s="7" t="s">
        <v>18</v>
      </c>
      <c r="L9944" s="8">
        <v>39987.315405092595</v>
      </c>
      <c r="M9944" s="9" t="s">
        <v>19</v>
      </c>
      <c r="N9944" s="9" t="s">
        <v>20</v>
      </c>
      <c r="O9944" s="6" t="str">
        <f>HYPERLINK("https://pbs.twimg.com/profile_images/962471262747529216/Uo8lOkRJ_normal.jpg","View")</f>
        <v>View</v>
      </c>
      <c r="P9944" s="7"/>
    </row>
    <row r="9945" spans="1:16">
      <c r="A9945" s="3">
        <v>44087.907916666663</v>
      </c>
      <c r="B9945" s="4" t="str">
        <f>HYPERLINK("https://twitter.com/petrogustavo","@petrogustavo")</f>
        <v>@petrogustavo</v>
      </c>
      <c r="C9945" s="5" t="s">
        <v>16</v>
      </c>
      <c r="D9945" s="5" t="s">
        <v>9570</v>
      </c>
      <c r="E9945" s="6" t="str">
        <f>HYPERLINK("https://twitter.com/petrogustavo/status/1305178779778678786","1305178779778678786")</f>
        <v>1305178779778678786</v>
      </c>
      <c r="F9945" s="7" t="s">
        <v>17</v>
      </c>
      <c r="G9945" s="7">
        <v>3973777</v>
      </c>
      <c r="H9945" s="7">
        <v>2439</v>
      </c>
      <c r="I9945" s="7">
        <v>9</v>
      </c>
      <c r="J9945" s="7">
        <v>12</v>
      </c>
      <c r="K9945" s="7" t="s">
        <v>18</v>
      </c>
      <c r="L9945" s="8">
        <v>39987.315405092595</v>
      </c>
      <c r="M9945" s="9" t="s">
        <v>19</v>
      </c>
      <c r="N9945" s="9" t="s">
        <v>20</v>
      </c>
      <c r="O9945" s="6" t="str">
        <f>HYPERLINK("https://pbs.twimg.com/profile_images/962471262747529216/Uo8lOkRJ_normal.jpg","View")</f>
        <v>View</v>
      </c>
      <c r="P9945" s="7"/>
    </row>
    <row r="9946" spans="1:16">
      <c r="A9946" s="3">
        <v>44087.909884259258</v>
      </c>
      <c r="B9946" s="4" t="str">
        <f>HYPERLINK("https://twitter.com/petrogustavo","@petrogustavo")</f>
        <v>@petrogustavo</v>
      </c>
      <c r="C9946" s="5" t="s">
        <v>16</v>
      </c>
      <c r="D9946" s="5" t="s">
        <v>9571</v>
      </c>
      <c r="E9946" s="6" t="str">
        <f>HYPERLINK("https://twitter.com/petrogustavo/status/1305179490159652866","1305179490159652866")</f>
        <v>1305179490159652866</v>
      </c>
      <c r="F9946" s="7" t="s">
        <v>17</v>
      </c>
      <c r="G9946" s="7">
        <v>3973818</v>
      </c>
      <c r="H9946" s="7">
        <v>2439</v>
      </c>
      <c r="I9946" s="7">
        <v>270</v>
      </c>
      <c r="J9946" s="7">
        <v>723</v>
      </c>
      <c r="K9946" s="7" t="s">
        <v>18</v>
      </c>
      <c r="L9946" s="8">
        <v>39987.315405092595</v>
      </c>
      <c r="M9946" s="9" t="s">
        <v>19</v>
      </c>
      <c r="N9946" s="9" t="s">
        <v>20</v>
      </c>
      <c r="O9946" s="6" t="str">
        <f>HYPERLINK("https://pbs.twimg.com/profile_images/962471262747529216/Uo8lOkRJ_normal.jpg","View")</f>
        <v>View</v>
      </c>
      <c r="P9946" s="7"/>
    </row>
    <row r="9947" spans="1:16">
      <c r="A9947" s="3">
        <v>44087.920682870375</v>
      </c>
      <c r="B9947" s="4" t="str">
        <f>HYPERLINK("https://twitter.com/petrogustavo","@petrogustavo")</f>
        <v>@petrogustavo</v>
      </c>
      <c r="C9947" s="5" t="s">
        <v>16</v>
      </c>
      <c r="D9947" s="5" t="s">
        <v>9572</v>
      </c>
      <c r="E9947" s="6" t="str">
        <f>HYPERLINK("https://twitter.com/petrogustavo/status/1305183404015710213","1305183404015710213")</f>
        <v>1305183404015710213</v>
      </c>
      <c r="F9947" s="7" t="s">
        <v>17</v>
      </c>
      <c r="G9947" s="7">
        <v>3973818</v>
      </c>
      <c r="H9947" s="7">
        <v>2439</v>
      </c>
      <c r="I9947" s="7">
        <v>370</v>
      </c>
      <c r="J9947" s="7">
        <v>946</v>
      </c>
      <c r="K9947" s="7" t="s">
        <v>18</v>
      </c>
      <c r="L9947" s="8">
        <v>39987.315405092595</v>
      </c>
      <c r="M9947" s="9" t="s">
        <v>19</v>
      </c>
      <c r="N9947" s="9" t="s">
        <v>20</v>
      </c>
      <c r="O9947" s="6" t="str">
        <f>HYPERLINK("https://pbs.twimg.com/profile_images/962471262747529216/Uo8lOkRJ_normal.jpg","View")</f>
        <v>View</v>
      </c>
      <c r="P9947" s="7"/>
    </row>
    <row r="9948" spans="1:16">
      <c r="A9948" s="3">
        <v>44087.921655092592</v>
      </c>
      <c r="B9948" s="4" t="str">
        <f>HYPERLINK("https://twitter.com/petrogustavo","@petrogustavo")</f>
        <v>@petrogustavo</v>
      </c>
      <c r="C9948" s="5" t="s">
        <v>16</v>
      </c>
      <c r="D9948" s="5" t="s">
        <v>9573</v>
      </c>
      <c r="E9948" s="6" t="str">
        <f>HYPERLINK("https://twitter.com/petrogustavo/status/1305183757884895233","1305183757884895233")</f>
        <v>1305183757884895233</v>
      </c>
      <c r="F9948" s="7" t="s">
        <v>17</v>
      </c>
      <c r="G9948" s="7">
        <v>3973818</v>
      </c>
      <c r="H9948" s="7">
        <v>2439</v>
      </c>
      <c r="I9948" s="7">
        <v>354</v>
      </c>
      <c r="J9948" s="7">
        <v>0</v>
      </c>
      <c r="K9948" s="7" t="s">
        <v>18</v>
      </c>
      <c r="L9948" s="8">
        <v>39987.315405092595</v>
      </c>
      <c r="M9948" s="9" t="s">
        <v>19</v>
      </c>
      <c r="N9948" s="9" t="s">
        <v>20</v>
      </c>
      <c r="O9948" s="6" t="str">
        <f>HYPERLINK("https://pbs.twimg.com/profile_images/962471262747529216/Uo8lOkRJ_normal.jpg","View")</f>
        <v>View</v>
      </c>
      <c r="P9948" s="7"/>
    </row>
    <row r="9949" spans="1:16">
      <c r="A9949" s="3">
        <v>44087.927152777775</v>
      </c>
      <c r="B9949" s="4" t="str">
        <f>HYPERLINK("https://twitter.com/petrogustavo","@petrogustavo")</f>
        <v>@petrogustavo</v>
      </c>
      <c r="C9949" s="5" t="s">
        <v>16</v>
      </c>
      <c r="D9949" s="5" t="s">
        <v>9574</v>
      </c>
      <c r="E9949" s="6" t="str">
        <f>HYPERLINK("https://twitter.com/petrogustavo/status/1305185748837113857","1305185748837113857")</f>
        <v>1305185748837113857</v>
      </c>
      <c r="F9949" s="7" t="s">
        <v>17</v>
      </c>
      <c r="G9949" s="7">
        <v>3973818</v>
      </c>
      <c r="H9949" s="7">
        <v>2439</v>
      </c>
      <c r="I9949" s="7">
        <v>30</v>
      </c>
      <c r="J9949" s="7">
        <v>80</v>
      </c>
      <c r="K9949" s="7" t="s">
        <v>18</v>
      </c>
      <c r="L9949" s="8">
        <v>39987.315405092595</v>
      </c>
      <c r="M9949" s="9" t="s">
        <v>19</v>
      </c>
      <c r="N9949" s="9" t="s">
        <v>20</v>
      </c>
      <c r="O9949" s="6" t="str">
        <f>HYPERLINK("https://pbs.twimg.com/profile_images/962471262747529216/Uo8lOkRJ_normal.jpg","View")</f>
        <v>View</v>
      </c>
      <c r="P9949" s="7"/>
    </row>
    <row r="9950" spans="1:16">
      <c r="A9950" s="3">
        <v>44087.939085648148</v>
      </c>
      <c r="B9950" s="4" t="str">
        <f>HYPERLINK("https://twitter.com/petrogustavo","@petrogustavo")</f>
        <v>@petrogustavo</v>
      </c>
      <c r="C9950" s="5" t="s">
        <v>16</v>
      </c>
      <c r="D9950" s="5" t="s">
        <v>9575</v>
      </c>
      <c r="E9950" s="6" t="str">
        <f>HYPERLINK("https://twitter.com/petrogustavo/status/1305190071730135048","1305190071730135048")</f>
        <v>1305190071730135048</v>
      </c>
      <c r="F9950" s="7" t="s">
        <v>17</v>
      </c>
      <c r="G9950" s="7">
        <v>3973859</v>
      </c>
      <c r="H9950" s="7">
        <v>2439</v>
      </c>
      <c r="I9950" s="7">
        <v>795</v>
      </c>
      <c r="J9950" s="7">
        <v>0</v>
      </c>
      <c r="K9950" s="7" t="s">
        <v>18</v>
      </c>
      <c r="L9950" s="8">
        <v>39987.315405092595</v>
      </c>
      <c r="M9950" s="9" t="s">
        <v>19</v>
      </c>
      <c r="N9950" s="9" t="s">
        <v>20</v>
      </c>
      <c r="O9950" s="6" t="str">
        <f>HYPERLINK("https://pbs.twimg.com/profile_images/962471262747529216/Uo8lOkRJ_normal.jpg","View")</f>
        <v>View</v>
      </c>
      <c r="P9950" s="7"/>
    </row>
    <row r="9951" spans="1:16">
      <c r="A9951" s="3">
        <v>44087.957199074073</v>
      </c>
      <c r="B9951" s="4" t="str">
        <f>HYPERLINK("https://twitter.com/petrogustavo","@petrogustavo")</f>
        <v>@petrogustavo</v>
      </c>
      <c r="C9951" s="5" t="s">
        <v>16</v>
      </c>
      <c r="D9951" s="5" t="s">
        <v>9576</v>
      </c>
      <c r="E9951" s="6" t="str">
        <f>HYPERLINK("https://twitter.com/petrogustavo/status/1305196639913750529","1305196639913750529")</f>
        <v>1305196639913750529</v>
      </c>
      <c r="F9951" s="7" t="s">
        <v>17</v>
      </c>
      <c r="G9951" s="7">
        <v>3973888</v>
      </c>
      <c r="H9951" s="7">
        <v>2439</v>
      </c>
      <c r="I9951" s="7">
        <v>256</v>
      </c>
      <c r="J9951" s="7">
        <v>0</v>
      </c>
      <c r="K9951" s="7" t="s">
        <v>18</v>
      </c>
      <c r="L9951" s="8">
        <v>39987.315405092595</v>
      </c>
      <c r="M9951" s="9" t="s">
        <v>19</v>
      </c>
      <c r="N9951" s="9" t="s">
        <v>20</v>
      </c>
      <c r="O9951" s="6" t="str">
        <f>HYPERLINK("https://pbs.twimg.com/profile_images/962471262747529216/Uo8lOkRJ_normal.jpg","View")</f>
        <v>View</v>
      </c>
      <c r="P9951" s="7"/>
    </row>
    <row r="9952" spans="1:16">
      <c r="A9952" s="3">
        <v>44087.957268518519</v>
      </c>
      <c r="B9952" s="4" t="str">
        <f>HYPERLINK("https://twitter.com/petrogustavo","@petrogustavo")</f>
        <v>@petrogustavo</v>
      </c>
      <c r="C9952" s="5" t="s">
        <v>16</v>
      </c>
      <c r="D9952" s="5" t="s">
        <v>9568</v>
      </c>
      <c r="E9952" s="6" t="str">
        <f>HYPERLINK("https://twitter.com/petrogustavo/status/1305196664744009731","1305196664744009731")</f>
        <v>1305196664744009731</v>
      </c>
      <c r="F9952" s="7" t="s">
        <v>17</v>
      </c>
      <c r="G9952" s="7">
        <v>3973888</v>
      </c>
      <c r="H9952" s="7">
        <v>2439</v>
      </c>
      <c r="I9952" s="7">
        <v>626</v>
      </c>
      <c r="J9952" s="7">
        <v>0</v>
      </c>
      <c r="K9952" s="7" t="s">
        <v>18</v>
      </c>
      <c r="L9952" s="8">
        <v>39987.315405092595</v>
      </c>
      <c r="M9952" s="9" t="s">
        <v>19</v>
      </c>
      <c r="N9952" s="9" t="s">
        <v>20</v>
      </c>
      <c r="O9952" s="6" t="str">
        <f>HYPERLINK("https://pbs.twimg.com/profile_images/962471262747529216/Uo8lOkRJ_normal.jpg","View")</f>
        <v>View</v>
      </c>
      <c r="P9952" s="7"/>
    </row>
    <row r="9953" spans="1:16">
      <c r="A9953" s="3">
        <v>44087.98028935185</v>
      </c>
      <c r="B9953" s="4" t="str">
        <f>HYPERLINK("https://twitter.com/petrogustavo","@petrogustavo")</f>
        <v>@petrogustavo</v>
      </c>
      <c r="C9953" s="5" t="s">
        <v>16</v>
      </c>
      <c r="D9953" s="5" t="s">
        <v>9577</v>
      </c>
      <c r="E9953" s="6" t="str">
        <f>HYPERLINK("https://twitter.com/petrogustavo/status/1305205003917971459","1305205003917971459")</f>
        <v>1305205003917971459</v>
      </c>
      <c r="F9953" s="7" t="s">
        <v>17</v>
      </c>
      <c r="G9953" s="7">
        <v>3973913</v>
      </c>
      <c r="H9953" s="7">
        <v>2439</v>
      </c>
      <c r="I9953" s="7">
        <v>259</v>
      </c>
      <c r="J9953" s="7">
        <v>0</v>
      </c>
      <c r="K9953" s="7" t="s">
        <v>18</v>
      </c>
      <c r="L9953" s="8">
        <v>39987.315405092595</v>
      </c>
      <c r="M9953" s="9" t="s">
        <v>19</v>
      </c>
      <c r="N9953" s="9" t="s">
        <v>20</v>
      </c>
      <c r="O9953" s="6" t="str">
        <f>HYPERLINK("https://pbs.twimg.com/profile_images/962471262747529216/Uo8lOkRJ_normal.jpg","View")</f>
        <v>View</v>
      </c>
      <c r="P9953" s="7"/>
    </row>
    <row r="9954" spans="1:16">
      <c r="A9954" s="3">
        <v>44087.981203703705</v>
      </c>
      <c r="B9954" s="4" t="str">
        <f>HYPERLINK("https://twitter.com/petrogustavo","@petrogustavo")</f>
        <v>@petrogustavo</v>
      </c>
      <c r="C9954" s="5" t="s">
        <v>16</v>
      </c>
      <c r="D9954" s="5" t="s">
        <v>9578</v>
      </c>
      <c r="E9954" s="6" t="str">
        <f>HYPERLINK("https://twitter.com/petrogustavo/status/1305205336480124928","1305205336480124928")</f>
        <v>1305205336480124928</v>
      </c>
      <c r="F9954" s="7" t="s">
        <v>17</v>
      </c>
      <c r="G9954" s="7">
        <v>3973913</v>
      </c>
      <c r="H9954" s="7">
        <v>2439</v>
      </c>
      <c r="I9954" s="7">
        <v>56</v>
      </c>
      <c r="J9954" s="7">
        <v>0</v>
      </c>
      <c r="K9954" s="7" t="s">
        <v>18</v>
      </c>
      <c r="L9954" s="8">
        <v>39987.315405092595</v>
      </c>
      <c r="M9954" s="9" t="s">
        <v>19</v>
      </c>
      <c r="N9954" s="9" t="s">
        <v>20</v>
      </c>
      <c r="O9954" s="6" t="str">
        <f>HYPERLINK("https://pbs.twimg.com/profile_images/962471262747529216/Uo8lOkRJ_normal.jpg","View")</f>
        <v>View</v>
      </c>
      <c r="P9954" s="7"/>
    </row>
    <row r="9955" spans="1:16">
      <c r="A9955" s="3">
        <v>44087.983472222222</v>
      </c>
      <c r="B9955" s="4" t="str">
        <f>HYPERLINK("https://twitter.com/petrogustavo","@petrogustavo")</f>
        <v>@petrogustavo</v>
      </c>
      <c r="C9955" s="5" t="s">
        <v>16</v>
      </c>
      <c r="D9955" s="5" t="s">
        <v>9579</v>
      </c>
      <c r="E9955" s="6" t="str">
        <f>HYPERLINK("https://twitter.com/petrogustavo/status/1305206158232367105","1305206158232367105")</f>
        <v>1305206158232367105</v>
      </c>
      <c r="F9955" s="7" t="s">
        <v>17</v>
      </c>
      <c r="G9955" s="7">
        <v>3973913</v>
      </c>
      <c r="H9955" s="7">
        <v>2439</v>
      </c>
      <c r="I9955" s="7">
        <v>255</v>
      </c>
      <c r="J9955" s="7">
        <v>0</v>
      </c>
      <c r="K9955" s="7" t="s">
        <v>18</v>
      </c>
      <c r="L9955" s="8">
        <v>39987.315405092595</v>
      </c>
      <c r="M9955" s="9" t="s">
        <v>19</v>
      </c>
      <c r="N9955" s="9" t="s">
        <v>20</v>
      </c>
      <c r="O9955" s="6" t="str">
        <f>HYPERLINK("https://pbs.twimg.com/profile_images/962471262747529216/Uo8lOkRJ_normal.jpg","View")</f>
        <v>View</v>
      </c>
      <c r="P9955" s="7"/>
    </row>
    <row r="9956" spans="1:16">
      <c r="A9956" s="3">
        <v>44087.985069444447</v>
      </c>
      <c r="B9956" s="4" t="str">
        <f>HYPERLINK("https://twitter.com/petrogustavo","@petrogustavo")</f>
        <v>@petrogustavo</v>
      </c>
      <c r="C9956" s="5" t="s">
        <v>16</v>
      </c>
      <c r="D9956" s="5" t="s">
        <v>9580</v>
      </c>
      <c r="E9956" s="6" t="str">
        <f>HYPERLINK("https://twitter.com/petrogustavo/status/1305206737562226690","1305206737562226690")</f>
        <v>1305206737562226690</v>
      </c>
      <c r="F9956" s="7" t="s">
        <v>17</v>
      </c>
      <c r="G9956" s="7">
        <v>3973913</v>
      </c>
      <c r="H9956" s="7">
        <v>2439</v>
      </c>
      <c r="I9956" s="7">
        <v>99</v>
      </c>
      <c r="J9956" s="7">
        <v>0</v>
      </c>
      <c r="K9956" s="7" t="s">
        <v>18</v>
      </c>
      <c r="L9956" s="8">
        <v>39987.315405092595</v>
      </c>
      <c r="M9956" s="9" t="s">
        <v>19</v>
      </c>
      <c r="N9956" s="9" t="s">
        <v>20</v>
      </c>
      <c r="O9956" s="6" t="str">
        <f>HYPERLINK("https://pbs.twimg.com/profile_images/962471262747529216/Uo8lOkRJ_normal.jpg","View")</f>
        <v>View</v>
      </c>
      <c r="P9956" s="7"/>
    </row>
    <row r="9957" spans="1:16">
      <c r="A9957" s="3">
        <v>44087.987662037034</v>
      </c>
      <c r="B9957" s="4" t="str">
        <f>HYPERLINK("https://twitter.com/petrogustavo","@petrogustavo")</f>
        <v>@petrogustavo</v>
      </c>
      <c r="C9957" s="5" t="s">
        <v>16</v>
      </c>
      <c r="D9957" s="5" t="s">
        <v>9581</v>
      </c>
      <c r="E9957" s="6" t="str">
        <f>HYPERLINK("https://twitter.com/petrogustavo/status/1305207675664433154","1305207675664433154")</f>
        <v>1305207675664433154</v>
      </c>
      <c r="F9957" s="7" t="s">
        <v>17</v>
      </c>
      <c r="G9957" s="7">
        <v>3973913</v>
      </c>
      <c r="H9957" s="7">
        <v>2439</v>
      </c>
      <c r="I9957" s="7">
        <v>116</v>
      </c>
      <c r="J9957" s="7">
        <v>337</v>
      </c>
      <c r="K9957" s="7" t="s">
        <v>18</v>
      </c>
      <c r="L9957" s="8">
        <v>39987.315405092595</v>
      </c>
      <c r="M9957" s="9" t="s">
        <v>19</v>
      </c>
      <c r="N9957" s="9" t="s">
        <v>20</v>
      </c>
      <c r="O9957" s="6" t="str">
        <f>HYPERLINK("https://pbs.twimg.com/profile_images/962471262747529216/Uo8lOkRJ_normal.jpg","View")</f>
        <v>View</v>
      </c>
      <c r="P9957" s="7"/>
    </row>
    <row r="9958" spans="1:16">
      <c r="A9958" s="3">
        <v>44087.989918981482</v>
      </c>
      <c r="B9958" s="4" t="str">
        <f>HYPERLINK("https://twitter.com/petrogustavo","@petrogustavo")</f>
        <v>@petrogustavo</v>
      </c>
      <c r="C9958" s="5" t="s">
        <v>16</v>
      </c>
      <c r="D9958" s="5" t="s">
        <v>9582</v>
      </c>
      <c r="E9958" s="6" t="str">
        <f>HYPERLINK("https://twitter.com/petrogustavo/status/1305208495311065094","1305208495311065094")</f>
        <v>1305208495311065094</v>
      </c>
      <c r="F9958" s="7" t="s">
        <v>17</v>
      </c>
      <c r="G9958" s="7">
        <v>3973913</v>
      </c>
      <c r="H9958" s="7">
        <v>2439</v>
      </c>
      <c r="I9958" s="7">
        <v>52</v>
      </c>
      <c r="J9958" s="7">
        <v>76</v>
      </c>
      <c r="K9958" s="7" t="s">
        <v>18</v>
      </c>
      <c r="L9958" s="8">
        <v>39987.315405092595</v>
      </c>
      <c r="M9958" s="9" t="s">
        <v>19</v>
      </c>
      <c r="N9958" s="9" t="s">
        <v>20</v>
      </c>
      <c r="O9958" s="6" t="str">
        <f>HYPERLINK("https://pbs.twimg.com/profile_images/962471262747529216/Uo8lOkRJ_normal.jpg","View")</f>
        <v>View</v>
      </c>
      <c r="P9958" s="7"/>
    </row>
    <row r="9959" spans="1:16">
      <c r="A9959" s="3">
        <v>44087.991597222222</v>
      </c>
      <c r="B9959" s="4" t="str">
        <f>HYPERLINK("https://twitter.com/petrogustavo","@petrogustavo")</f>
        <v>@petrogustavo</v>
      </c>
      <c r="C9959" s="5" t="s">
        <v>16</v>
      </c>
      <c r="D9959" s="5" t="s">
        <v>9576</v>
      </c>
      <c r="E9959" s="6" t="str">
        <f>HYPERLINK("https://twitter.com/petrogustavo/status/1305209105045426177","1305209105045426177")</f>
        <v>1305209105045426177</v>
      </c>
      <c r="F9959" s="7" t="s">
        <v>17</v>
      </c>
      <c r="G9959" s="7">
        <v>3973913</v>
      </c>
      <c r="H9959" s="7">
        <v>2439</v>
      </c>
      <c r="I9959" s="7">
        <v>265</v>
      </c>
      <c r="J9959" s="7">
        <v>0</v>
      </c>
      <c r="K9959" s="7" t="s">
        <v>18</v>
      </c>
      <c r="L9959" s="8">
        <v>39987.315405092595</v>
      </c>
      <c r="M9959" s="9" t="s">
        <v>19</v>
      </c>
      <c r="N9959" s="9" t="s">
        <v>20</v>
      </c>
      <c r="O9959" s="6" t="str">
        <f>HYPERLINK("https://pbs.twimg.com/profile_images/962471262747529216/Uo8lOkRJ_normal.jpg","View")</f>
        <v>View</v>
      </c>
      <c r="P9959" s="7"/>
    </row>
    <row r="9960" spans="1:16">
      <c r="A9960" s="3">
        <v>44087.991712962961</v>
      </c>
      <c r="B9960" s="4" t="str">
        <f>HYPERLINK("https://twitter.com/petrogustavo","@petrogustavo")</f>
        <v>@petrogustavo</v>
      </c>
      <c r="C9960" s="5" t="s">
        <v>16</v>
      </c>
      <c r="D9960" s="5" t="s">
        <v>9568</v>
      </c>
      <c r="E9960" s="6" t="str">
        <f>HYPERLINK("https://twitter.com/petrogustavo/status/1305209143993790464","1305209143993790464")</f>
        <v>1305209143993790464</v>
      </c>
      <c r="F9960" s="7" t="s">
        <v>17</v>
      </c>
      <c r="G9960" s="7">
        <v>3973913</v>
      </c>
      <c r="H9960" s="7">
        <v>2439</v>
      </c>
      <c r="I9960" s="7">
        <v>657</v>
      </c>
      <c r="J9960" s="7">
        <v>0</v>
      </c>
      <c r="K9960" s="7" t="s">
        <v>18</v>
      </c>
      <c r="L9960" s="8">
        <v>39987.315405092595</v>
      </c>
      <c r="M9960" s="9" t="s">
        <v>19</v>
      </c>
      <c r="N9960" s="9" t="s">
        <v>20</v>
      </c>
      <c r="O9960" s="6" t="str">
        <f>HYPERLINK("https://pbs.twimg.com/profile_images/962471262747529216/Uo8lOkRJ_normal.jpg","View")</f>
        <v>View</v>
      </c>
      <c r="P9960" s="7"/>
    </row>
    <row r="9961" spans="1:16">
      <c r="A9961" s="3">
        <v>44088.071273148147</v>
      </c>
      <c r="B9961" s="4" t="str">
        <f>HYPERLINK("https://twitter.com/petrogustavo","@petrogustavo")</f>
        <v>@petrogustavo</v>
      </c>
      <c r="C9961" s="5" t="s">
        <v>16</v>
      </c>
      <c r="D9961" s="5" t="s">
        <v>9583</v>
      </c>
      <c r="E9961" s="6" t="str">
        <f>HYPERLINK("https://twitter.com/petrogustavo/status/1305237975693955073","1305237975693955073")</f>
        <v>1305237975693955073</v>
      </c>
      <c r="F9961" s="7" t="s">
        <v>17</v>
      </c>
      <c r="G9961" s="7">
        <v>3974024</v>
      </c>
      <c r="H9961" s="7">
        <v>2439</v>
      </c>
      <c r="I9961" s="7">
        <v>21</v>
      </c>
      <c r="J9961" s="7">
        <v>61</v>
      </c>
      <c r="K9961" s="7" t="s">
        <v>18</v>
      </c>
      <c r="L9961" s="8">
        <v>39987.315405092595</v>
      </c>
      <c r="M9961" s="9" t="s">
        <v>19</v>
      </c>
      <c r="N9961" s="9" t="s">
        <v>20</v>
      </c>
      <c r="O9961" s="6" t="str">
        <f>HYPERLINK("https://pbs.twimg.com/profile_images/962471262747529216/Uo8lOkRJ_normal.jpg","View")</f>
        <v>View</v>
      </c>
      <c r="P9961" s="7"/>
    </row>
    <row r="9962" spans="1:16">
      <c r="A9962" s="3">
        <v>44088.072164351848</v>
      </c>
      <c r="B9962" s="4" t="str">
        <f>HYPERLINK("https://twitter.com/petrogustavo","@petrogustavo")</f>
        <v>@petrogustavo</v>
      </c>
      <c r="C9962" s="5" t="s">
        <v>16</v>
      </c>
      <c r="D9962" s="5" t="s">
        <v>9584</v>
      </c>
      <c r="E9962" s="6" t="str">
        <f>HYPERLINK("https://twitter.com/petrogustavo/status/1305238298844106753","1305238298844106753")</f>
        <v>1305238298844106753</v>
      </c>
      <c r="F9962" s="7" t="s">
        <v>17</v>
      </c>
      <c r="G9962" s="7">
        <v>3974024</v>
      </c>
      <c r="H9962" s="7">
        <v>2439</v>
      </c>
      <c r="I9962" s="7">
        <v>87</v>
      </c>
      <c r="J9962" s="7">
        <v>122</v>
      </c>
      <c r="K9962" s="7" t="s">
        <v>18</v>
      </c>
      <c r="L9962" s="8">
        <v>39987.315405092595</v>
      </c>
      <c r="M9962" s="9" t="s">
        <v>19</v>
      </c>
      <c r="N9962" s="9" t="s">
        <v>20</v>
      </c>
      <c r="O9962" s="6" t="str">
        <f>HYPERLINK("https://pbs.twimg.com/profile_images/962471262747529216/Uo8lOkRJ_normal.jpg","View")</f>
        <v>View</v>
      </c>
      <c r="P9962" s="7"/>
    </row>
    <row r="9963" spans="1:16">
      <c r="A9963" s="3">
        <v>44088.073831018519</v>
      </c>
      <c r="B9963" s="4" t="str">
        <f>HYPERLINK("https://twitter.com/petrogustavo","@petrogustavo")</f>
        <v>@petrogustavo</v>
      </c>
      <c r="C9963" s="5" t="s">
        <v>16</v>
      </c>
      <c r="D9963" s="5" t="s">
        <v>9585</v>
      </c>
      <c r="E9963" s="6" t="str">
        <f>HYPERLINK("https://twitter.com/petrogustavo/status/1305238904816177153","1305238904816177153")</f>
        <v>1305238904816177153</v>
      </c>
      <c r="F9963" s="7" t="s">
        <v>17</v>
      </c>
      <c r="G9963" s="7">
        <v>3974024</v>
      </c>
      <c r="H9963" s="7">
        <v>2439</v>
      </c>
      <c r="I9963" s="7">
        <v>33</v>
      </c>
      <c r="J9963" s="7">
        <v>60</v>
      </c>
      <c r="K9963" s="7" t="s">
        <v>18</v>
      </c>
      <c r="L9963" s="8">
        <v>39987.315405092595</v>
      </c>
      <c r="M9963" s="9" t="s">
        <v>19</v>
      </c>
      <c r="N9963" s="9" t="s">
        <v>20</v>
      </c>
      <c r="O9963" s="6" t="str">
        <f>HYPERLINK("https://pbs.twimg.com/profile_images/962471262747529216/Uo8lOkRJ_normal.jpg","View")</f>
        <v>View</v>
      </c>
      <c r="P9963" s="7"/>
    </row>
    <row r="9964" spans="1:16">
      <c r="A9964" s="3">
        <v>44088.078194444446</v>
      </c>
      <c r="B9964" s="4" t="str">
        <f>HYPERLINK("https://twitter.com/petrogustavo","@petrogustavo")</f>
        <v>@petrogustavo</v>
      </c>
      <c r="C9964" s="5" t="s">
        <v>16</v>
      </c>
      <c r="D9964" s="5" t="s">
        <v>9586</v>
      </c>
      <c r="E9964" s="6" t="str">
        <f>HYPERLINK("https://twitter.com/petrogustavo/status/1305240483627708418","1305240483627708418")</f>
        <v>1305240483627708418</v>
      </c>
      <c r="F9964" s="7" t="s">
        <v>17</v>
      </c>
      <c r="G9964" s="7">
        <v>3974066</v>
      </c>
      <c r="H9964" s="7">
        <v>2439</v>
      </c>
      <c r="I9964" s="7">
        <v>174</v>
      </c>
      <c r="J9964" s="7">
        <v>299</v>
      </c>
      <c r="K9964" s="7" t="s">
        <v>18</v>
      </c>
      <c r="L9964" s="8">
        <v>39987.315405092595</v>
      </c>
      <c r="M9964" s="9" t="s">
        <v>19</v>
      </c>
      <c r="N9964" s="9" t="s">
        <v>20</v>
      </c>
      <c r="O9964" s="6" t="str">
        <f>HYPERLINK("https://pbs.twimg.com/profile_images/962471262747529216/Uo8lOkRJ_normal.jpg","View")</f>
        <v>View</v>
      </c>
      <c r="P9964" s="7"/>
    </row>
    <row r="9965" spans="1:16">
      <c r="A9965" s="3">
        <v>44088.081782407404</v>
      </c>
      <c r="B9965" s="4" t="str">
        <f>HYPERLINK("https://twitter.com/petrogustavo","@petrogustavo")</f>
        <v>@petrogustavo</v>
      </c>
      <c r="C9965" s="5" t="s">
        <v>16</v>
      </c>
      <c r="D9965" s="5" t="s">
        <v>9587</v>
      </c>
      <c r="E9965" s="6" t="str">
        <f>HYPERLINK("https://twitter.com/petrogustavo/status/1305241784054951938","1305241784054951938")</f>
        <v>1305241784054951938</v>
      </c>
      <c r="F9965" s="7" t="s">
        <v>17</v>
      </c>
      <c r="G9965" s="7">
        <v>3974066</v>
      </c>
      <c r="H9965" s="7">
        <v>2439</v>
      </c>
      <c r="I9965" s="7">
        <v>71</v>
      </c>
      <c r="J9965" s="7">
        <v>198</v>
      </c>
      <c r="K9965" s="7" t="s">
        <v>18</v>
      </c>
      <c r="L9965" s="8">
        <v>39987.315405092595</v>
      </c>
      <c r="M9965" s="9" t="s">
        <v>19</v>
      </c>
      <c r="N9965" s="9" t="s">
        <v>20</v>
      </c>
      <c r="O9965" s="6" t="str">
        <f>HYPERLINK("https://pbs.twimg.com/profile_images/962471262747529216/Uo8lOkRJ_normal.jpg","View")</f>
        <v>View</v>
      </c>
      <c r="P9965" s="7"/>
    </row>
    <row r="9966" spans="1:16">
      <c r="A9966" s="3">
        <v>44088.08289351852</v>
      </c>
      <c r="B9966" s="4" t="str">
        <f>HYPERLINK("https://twitter.com/petrogustavo","@petrogustavo")</f>
        <v>@petrogustavo</v>
      </c>
      <c r="C9966" s="5" t="s">
        <v>16</v>
      </c>
      <c r="D9966" s="5" t="s">
        <v>9588</v>
      </c>
      <c r="E9966" s="6" t="str">
        <f>HYPERLINK("https://twitter.com/petrogustavo/status/1305242187551117313","1305242187551117313")</f>
        <v>1305242187551117313</v>
      </c>
      <c r="F9966" s="7" t="s">
        <v>17</v>
      </c>
      <c r="G9966" s="7">
        <v>3974066</v>
      </c>
      <c r="H9966" s="7">
        <v>2439</v>
      </c>
      <c r="I9966" s="7">
        <v>216</v>
      </c>
      <c r="J9966" s="7">
        <v>0</v>
      </c>
      <c r="K9966" s="7" t="s">
        <v>18</v>
      </c>
      <c r="L9966" s="8">
        <v>39987.315405092595</v>
      </c>
      <c r="M9966" s="9" t="s">
        <v>19</v>
      </c>
      <c r="N9966" s="9" t="s">
        <v>20</v>
      </c>
      <c r="O9966" s="6" t="str">
        <f>HYPERLINK("https://pbs.twimg.com/profile_images/962471262747529216/Uo8lOkRJ_normal.jpg","View")</f>
        <v>View</v>
      </c>
      <c r="P9966" s="7"/>
    </row>
    <row r="9967" spans="1:16">
      <c r="A9967" s="3">
        <v>44088.083622685182</v>
      </c>
      <c r="B9967" s="4" t="str">
        <f>HYPERLINK("https://twitter.com/petrogustavo","@petrogustavo")</f>
        <v>@petrogustavo</v>
      </c>
      <c r="C9967" s="5" t="s">
        <v>16</v>
      </c>
      <c r="D9967" s="5" t="s">
        <v>9589</v>
      </c>
      <c r="E9967" s="6" t="str">
        <f>HYPERLINK("https://twitter.com/petrogustavo/status/1305242453692289024","1305242453692289024")</f>
        <v>1305242453692289024</v>
      </c>
      <c r="F9967" s="7" t="s">
        <v>17</v>
      </c>
      <c r="G9967" s="7">
        <v>3974066</v>
      </c>
      <c r="H9967" s="7">
        <v>2439</v>
      </c>
      <c r="I9967" s="7">
        <v>182</v>
      </c>
      <c r="J9967" s="7">
        <v>297</v>
      </c>
      <c r="K9967" s="7" t="s">
        <v>18</v>
      </c>
      <c r="L9967" s="8">
        <v>39987.315405092595</v>
      </c>
      <c r="M9967" s="9" t="s">
        <v>19</v>
      </c>
      <c r="N9967" s="9" t="s">
        <v>20</v>
      </c>
      <c r="O9967" s="6" t="str">
        <f>HYPERLINK("https://pbs.twimg.com/profile_images/962471262747529216/Uo8lOkRJ_normal.jpg","View")</f>
        <v>View</v>
      </c>
      <c r="P9967" s="7"/>
    </row>
    <row r="9968" spans="1:16">
      <c r="A9968" s="3">
        <v>44088.085983796293</v>
      </c>
      <c r="B9968" s="4" t="str">
        <f>HYPERLINK("https://twitter.com/petrogustavo","@petrogustavo")</f>
        <v>@petrogustavo</v>
      </c>
      <c r="C9968" s="5" t="s">
        <v>16</v>
      </c>
      <c r="D9968" s="5" t="s">
        <v>9590</v>
      </c>
      <c r="E9968" s="6" t="str">
        <f>HYPERLINK("https://twitter.com/petrogustavo/status/1305243308114018304","1305243308114018304")</f>
        <v>1305243308114018304</v>
      </c>
      <c r="F9968" s="7" t="s">
        <v>17</v>
      </c>
      <c r="G9968" s="7">
        <v>3974066</v>
      </c>
      <c r="H9968" s="7">
        <v>2439</v>
      </c>
      <c r="I9968" s="7">
        <v>147</v>
      </c>
      <c r="J9968" s="7">
        <v>358</v>
      </c>
      <c r="K9968" s="7" t="s">
        <v>18</v>
      </c>
      <c r="L9968" s="8">
        <v>39987.315405092595</v>
      </c>
      <c r="M9968" s="9" t="s">
        <v>19</v>
      </c>
      <c r="N9968" s="9" t="s">
        <v>20</v>
      </c>
      <c r="O9968" s="6" t="str">
        <f>HYPERLINK("https://pbs.twimg.com/profile_images/962471262747529216/Uo8lOkRJ_normal.jpg","View")</f>
        <v>View</v>
      </c>
      <c r="P9968" s="7"/>
    </row>
    <row r="9969" spans="1:16">
      <c r="A9969" s="3">
        <v>44088.086956018524</v>
      </c>
      <c r="B9969" s="4" t="str">
        <f>HYPERLINK("https://twitter.com/petrogustavo","@petrogustavo")</f>
        <v>@petrogustavo</v>
      </c>
      <c r="C9969" s="5" t="s">
        <v>16</v>
      </c>
      <c r="D9969" s="5" t="s">
        <v>9591</v>
      </c>
      <c r="E9969" s="6" t="str">
        <f>HYPERLINK("https://twitter.com/petrogustavo/status/1305243658917236736","1305243658917236736")</f>
        <v>1305243658917236736</v>
      </c>
      <c r="F9969" s="7" t="s">
        <v>17</v>
      </c>
      <c r="G9969" s="7">
        <v>3974066</v>
      </c>
      <c r="H9969" s="7">
        <v>2439</v>
      </c>
      <c r="I9969" s="7">
        <v>77</v>
      </c>
      <c r="J9969" s="7">
        <v>210</v>
      </c>
      <c r="K9969" s="7" t="s">
        <v>18</v>
      </c>
      <c r="L9969" s="8">
        <v>39987.315405092595</v>
      </c>
      <c r="M9969" s="9" t="s">
        <v>19</v>
      </c>
      <c r="N9969" s="9" t="s">
        <v>20</v>
      </c>
      <c r="O9969" s="6" t="str">
        <f>HYPERLINK("https://pbs.twimg.com/profile_images/962471262747529216/Uo8lOkRJ_normal.jpg","View")</f>
        <v>View</v>
      </c>
      <c r="P9969" s="7"/>
    </row>
    <row r="9970" spans="1:16">
      <c r="A9970" s="3">
        <v>44088.121678240743</v>
      </c>
      <c r="B9970" s="4" t="str">
        <f>HYPERLINK("https://twitter.com/petrogustavo","@petrogustavo")</f>
        <v>@petrogustavo</v>
      </c>
      <c r="C9970" s="5" t="s">
        <v>16</v>
      </c>
      <c r="D9970" s="5" t="s">
        <v>9592</v>
      </c>
      <c r="E9970" s="6" t="str">
        <f>HYPERLINK("https://twitter.com/petrogustavo/status/1305256242059849728","1305256242059849728")</f>
        <v>1305256242059849728</v>
      </c>
      <c r="F9970" s="7" t="s">
        <v>17</v>
      </c>
      <c r="G9970" s="7">
        <v>3974110</v>
      </c>
      <c r="H9970" s="7">
        <v>2439</v>
      </c>
      <c r="I9970" s="7">
        <v>82</v>
      </c>
      <c r="J9970" s="7">
        <v>0</v>
      </c>
      <c r="K9970" s="7" t="s">
        <v>18</v>
      </c>
      <c r="L9970" s="8">
        <v>39987.315405092595</v>
      </c>
      <c r="M9970" s="9" t="s">
        <v>19</v>
      </c>
      <c r="N9970" s="9" t="s">
        <v>20</v>
      </c>
      <c r="O9970" s="6" t="str">
        <f>HYPERLINK("https://pbs.twimg.com/profile_images/962471262747529216/Uo8lOkRJ_normal.jpg","View")</f>
        <v>View</v>
      </c>
      <c r="P9970" s="7"/>
    </row>
    <row r="9971" spans="1:16">
      <c r="A9971" s="3">
        <v>44088.122303240743</v>
      </c>
      <c r="B9971" s="4" t="str">
        <f>HYPERLINK("https://twitter.com/petrogustavo","@petrogustavo")</f>
        <v>@petrogustavo</v>
      </c>
      <c r="C9971" s="5" t="s">
        <v>16</v>
      </c>
      <c r="D9971" s="5" t="s">
        <v>9593</v>
      </c>
      <c r="E9971" s="6" t="str">
        <f>HYPERLINK("https://twitter.com/petrogustavo/status/1305256471358312449","1305256471358312449")</f>
        <v>1305256471358312449</v>
      </c>
      <c r="F9971" s="7" t="s">
        <v>17</v>
      </c>
      <c r="G9971" s="7">
        <v>3974110</v>
      </c>
      <c r="H9971" s="7">
        <v>2439</v>
      </c>
      <c r="I9971" s="7">
        <v>333</v>
      </c>
      <c r="J9971" s="7">
        <v>530</v>
      </c>
      <c r="K9971" s="7" t="s">
        <v>18</v>
      </c>
      <c r="L9971" s="8">
        <v>39987.315405092595</v>
      </c>
      <c r="M9971" s="9" t="s">
        <v>19</v>
      </c>
      <c r="N9971" s="9" t="s">
        <v>20</v>
      </c>
      <c r="O9971" s="6" t="str">
        <f>HYPERLINK("https://pbs.twimg.com/profile_images/962471262747529216/Uo8lOkRJ_normal.jpg","View")</f>
        <v>View</v>
      </c>
      <c r="P9971" s="7"/>
    </row>
    <row r="9972" spans="1:16">
      <c r="A9972" s="3">
        <v>44088.122511574074</v>
      </c>
      <c r="B9972" s="4" t="str">
        <f>HYPERLINK("https://twitter.com/petrogustavo","@petrogustavo")</f>
        <v>@petrogustavo</v>
      </c>
      <c r="C9972" s="5" t="s">
        <v>16</v>
      </c>
      <c r="D9972" s="5" t="s">
        <v>9594</v>
      </c>
      <c r="E9972" s="6" t="str">
        <f>HYPERLINK("https://twitter.com/petrogustavo/status/1305256546021060608","1305256546021060608")</f>
        <v>1305256546021060608</v>
      </c>
      <c r="F9972" s="7" t="s">
        <v>17</v>
      </c>
      <c r="G9972" s="7">
        <v>3974110</v>
      </c>
      <c r="H9972" s="7">
        <v>2439</v>
      </c>
      <c r="I9972" s="7">
        <v>111</v>
      </c>
      <c r="J9972" s="7">
        <v>0</v>
      </c>
      <c r="K9972" s="7" t="s">
        <v>18</v>
      </c>
      <c r="L9972" s="8">
        <v>39987.315405092595</v>
      </c>
      <c r="M9972" s="9" t="s">
        <v>19</v>
      </c>
      <c r="N9972" s="9" t="s">
        <v>20</v>
      </c>
      <c r="O9972" s="6" t="str">
        <f>HYPERLINK("https://pbs.twimg.com/profile_images/962471262747529216/Uo8lOkRJ_normal.jpg","View")</f>
        <v>View</v>
      </c>
      <c r="P9972" s="7"/>
    </row>
    <row r="9973" spans="1:16">
      <c r="A9973" s="3">
        <v>44088.123969907407</v>
      </c>
      <c r="B9973" s="4" t="str">
        <f>HYPERLINK("https://twitter.com/petrogustavo","@petrogustavo")</f>
        <v>@petrogustavo</v>
      </c>
      <c r="C9973" s="5" t="s">
        <v>16</v>
      </c>
      <c r="D9973" s="5" t="s">
        <v>9595</v>
      </c>
      <c r="E9973" s="6" t="str">
        <f>HYPERLINK("https://twitter.com/petrogustavo/status/1305257074780237824","1305257074780237824")</f>
        <v>1305257074780237824</v>
      </c>
      <c r="F9973" s="7" t="s">
        <v>17</v>
      </c>
      <c r="G9973" s="7">
        <v>3974110</v>
      </c>
      <c r="H9973" s="7">
        <v>2439</v>
      </c>
      <c r="I9973" s="7">
        <v>170</v>
      </c>
      <c r="J9973" s="7">
        <v>404</v>
      </c>
      <c r="K9973" s="7" t="s">
        <v>18</v>
      </c>
      <c r="L9973" s="8">
        <v>39987.315405092595</v>
      </c>
      <c r="M9973" s="9" t="s">
        <v>19</v>
      </c>
      <c r="N9973" s="9" t="s">
        <v>20</v>
      </c>
      <c r="O9973" s="6" t="str">
        <f>HYPERLINK("https://pbs.twimg.com/profile_images/962471262747529216/Uo8lOkRJ_normal.jpg","View")</f>
        <v>View</v>
      </c>
      <c r="P9973" s="7"/>
    </row>
    <row r="9974" spans="1:16">
      <c r="A9974" s="3">
        <v>44088.12605324074</v>
      </c>
      <c r="B9974" s="4" t="str">
        <f>HYPERLINK("https://twitter.com/petrogustavo","@petrogustavo")</f>
        <v>@petrogustavo</v>
      </c>
      <c r="C9974" s="5" t="s">
        <v>16</v>
      </c>
      <c r="D9974" s="5" t="s">
        <v>9596</v>
      </c>
      <c r="E9974" s="6" t="str">
        <f>HYPERLINK("https://twitter.com/petrogustavo/status/1305257828576305153","1305257828576305153")</f>
        <v>1305257828576305153</v>
      </c>
      <c r="F9974" s="7" t="s">
        <v>17</v>
      </c>
      <c r="G9974" s="7">
        <v>3974110</v>
      </c>
      <c r="H9974" s="7">
        <v>2439</v>
      </c>
      <c r="I9974" s="7">
        <v>251</v>
      </c>
      <c r="J9974" s="7">
        <v>387</v>
      </c>
      <c r="K9974" s="7" t="s">
        <v>18</v>
      </c>
      <c r="L9974" s="8">
        <v>39987.315405092595</v>
      </c>
      <c r="M9974" s="9" t="s">
        <v>19</v>
      </c>
      <c r="N9974" s="9" t="s">
        <v>20</v>
      </c>
      <c r="O9974" s="6" t="str">
        <f>HYPERLINK("https://pbs.twimg.com/profile_images/962471262747529216/Uo8lOkRJ_normal.jpg","View")</f>
        <v>View</v>
      </c>
      <c r="P9974" s="7"/>
    </row>
    <row r="9975" spans="1:16">
      <c r="A9975" s="3">
        <v>44088.127557870372</v>
      </c>
      <c r="B9975" s="4" t="str">
        <f>HYPERLINK("https://twitter.com/petrogustavo","@petrogustavo")</f>
        <v>@petrogustavo</v>
      </c>
      <c r="C9975" s="5" t="s">
        <v>16</v>
      </c>
      <c r="D9975" s="5" t="s">
        <v>9597</v>
      </c>
      <c r="E9975" s="6" t="str">
        <f>HYPERLINK("https://twitter.com/petrogustavo/status/1305258371805843458","1305258371805843458")</f>
        <v>1305258371805843458</v>
      </c>
      <c r="F9975" s="7" t="s">
        <v>17</v>
      </c>
      <c r="G9975" s="7">
        <v>3974110</v>
      </c>
      <c r="H9975" s="7">
        <v>2439</v>
      </c>
      <c r="I9975" s="7">
        <v>75</v>
      </c>
      <c r="J9975" s="7">
        <v>287</v>
      </c>
      <c r="K9975" s="7" t="s">
        <v>18</v>
      </c>
      <c r="L9975" s="8">
        <v>39987.315405092595</v>
      </c>
      <c r="M9975" s="9" t="s">
        <v>19</v>
      </c>
      <c r="N9975" s="9" t="s">
        <v>20</v>
      </c>
      <c r="O9975" s="6" t="str">
        <f>HYPERLINK("https://pbs.twimg.com/profile_images/962471262747529216/Uo8lOkRJ_normal.jpg","View")</f>
        <v>View</v>
      </c>
      <c r="P9975" s="7"/>
    </row>
    <row r="9976" spans="1:16">
      <c r="A9976" s="3">
        <v>44088.130937499998</v>
      </c>
      <c r="B9976" s="4" t="str">
        <f>HYPERLINK("https://twitter.com/petrogustavo","@petrogustavo")</f>
        <v>@petrogustavo</v>
      </c>
      <c r="C9976" s="5" t="s">
        <v>16</v>
      </c>
      <c r="D9976" s="5" t="s">
        <v>9598</v>
      </c>
      <c r="E9976" s="6" t="str">
        <f>HYPERLINK("https://twitter.com/petrogustavo/status/1305259597624758273","1305259597624758273")</f>
        <v>1305259597624758273</v>
      </c>
      <c r="F9976" s="7" t="s">
        <v>17</v>
      </c>
      <c r="G9976" s="7">
        <v>3974110</v>
      </c>
      <c r="H9976" s="7">
        <v>2439</v>
      </c>
      <c r="I9976" s="7">
        <v>204</v>
      </c>
      <c r="J9976" s="7">
        <v>503</v>
      </c>
      <c r="K9976" s="7" t="s">
        <v>18</v>
      </c>
      <c r="L9976" s="8">
        <v>39987.315405092595</v>
      </c>
      <c r="M9976" s="9" t="s">
        <v>19</v>
      </c>
      <c r="N9976" s="9" t="s">
        <v>20</v>
      </c>
      <c r="O9976" s="6" t="str">
        <f>HYPERLINK("https://pbs.twimg.com/profile_images/962471262747529216/Uo8lOkRJ_normal.jpg","View")</f>
        <v>View</v>
      </c>
      <c r="P9976" s="7"/>
    </row>
    <row r="9977" spans="1:16">
      <c r="A9977" s="3">
        <v>44088.135196759264</v>
      </c>
      <c r="B9977" s="4" t="str">
        <f>HYPERLINK("https://twitter.com/petrogustavo","@petrogustavo")</f>
        <v>@petrogustavo</v>
      </c>
      <c r="C9977" s="5" t="s">
        <v>16</v>
      </c>
      <c r="D9977" s="5" t="s">
        <v>9599</v>
      </c>
      <c r="E9977" s="6" t="str">
        <f>HYPERLINK("https://twitter.com/petrogustavo/status/1305261141342461953","1305261141342461953")</f>
        <v>1305261141342461953</v>
      </c>
      <c r="F9977" s="7" t="s">
        <v>17</v>
      </c>
      <c r="G9977" s="7">
        <v>3974110</v>
      </c>
      <c r="H9977" s="7">
        <v>2439</v>
      </c>
      <c r="I9977" s="7">
        <v>145</v>
      </c>
      <c r="J9977" s="7">
        <v>338</v>
      </c>
      <c r="K9977" s="7" t="s">
        <v>18</v>
      </c>
      <c r="L9977" s="8">
        <v>39987.315405092595</v>
      </c>
      <c r="M9977" s="9" t="s">
        <v>19</v>
      </c>
      <c r="N9977" s="9" t="s">
        <v>20</v>
      </c>
      <c r="O9977" s="6" t="str">
        <f>HYPERLINK("https://pbs.twimg.com/profile_images/962471262747529216/Uo8lOkRJ_normal.jpg","View")</f>
        <v>View</v>
      </c>
      <c r="P9977" s="7"/>
    </row>
    <row r="9978" spans="1:16">
      <c r="A9978" s="3">
        <v>44088.136678240742</v>
      </c>
      <c r="B9978" s="4" t="str">
        <f>HYPERLINK("https://twitter.com/petrogustavo","@petrogustavo")</f>
        <v>@petrogustavo</v>
      </c>
      <c r="C9978" s="5" t="s">
        <v>16</v>
      </c>
      <c r="D9978" s="5" t="s">
        <v>9600</v>
      </c>
      <c r="E9978" s="6" t="str">
        <f>HYPERLINK("https://twitter.com/petrogustavo/status/1305261679354277890","1305261679354277890")</f>
        <v>1305261679354277890</v>
      </c>
      <c r="F9978" s="7" t="s">
        <v>17</v>
      </c>
      <c r="G9978" s="7">
        <v>3974110</v>
      </c>
      <c r="H9978" s="7">
        <v>2439</v>
      </c>
      <c r="I9978" s="7">
        <v>40</v>
      </c>
      <c r="J9978" s="7">
        <v>71</v>
      </c>
      <c r="K9978" s="7" t="s">
        <v>18</v>
      </c>
      <c r="L9978" s="8">
        <v>39987.315405092595</v>
      </c>
      <c r="M9978" s="9" t="s">
        <v>19</v>
      </c>
      <c r="N9978" s="9" t="s">
        <v>20</v>
      </c>
      <c r="O9978" s="6" t="str">
        <f>HYPERLINK("https://pbs.twimg.com/profile_images/962471262747529216/Uo8lOkRJ_normal.jpg","View")</f>
        <v>View</v>
      </c>
      <c r="P9978" s="7"/>
    </row>
    <row r="9979" spans="1:16">
      <c r="A9979" s="3">
        <v>44088.139386574076</v>
      </c>
      <c r="B9979" s="4" t="str">
        <f>HYPERLINK("https://twitter.com/petrogustavo","@petrogustavo")</f>
        <v>@petrogustavo</v>
      </c>
      <c r="C9979" s="5" t="s">
        <v>16</v>
      </c>
      <c r="D9979" s="5" t="s">
        <v>9601</v>
      </c>
      <c r="E9979" s="6" t="str">
        <f>HYPERLINK("https://twitter.com/petrogustavo/status/1305262658367651848","1305262658367651848")</f>
        <v>1305262658367651848</v>
      </c>
      <c r="F9979" s="7" t="s">
        <v>17</v>
      </c>
      <c r="G9979" s="7">
        <v>3974143</v>
      </c>
      <c r="H9979" s="7">
        <v>2439</v>
      </c>
      <c r="I9979" s="7">
        <v>255</v>
      </c>
      <c r="J9979" s="7">
        <v>386</v>
      </c>
      <c r="K9979" s="7" t="s">
        <v>18</v>
      </c>
      <c r="L9979" s="8">
        <v>39987.315405092595</v>
      </c>
      <c r="M9979" s="9" t="s">
        <v>19</v>
      </c>
      <c r="N9979" s="9" t="s">
        <v>20</v>
      </c>
      <c r="O9979" s="6" t="str">
        <f>HYPERLINK("https://pbs.twimg.com/profile_images/962471262747529216/Uo8lOkRJ_normal.jpg","View")</f>
        <v>View</v>
      </c>
      <c r="P9979" s="7"/>
    </row>
    <row r="9980" spans="1:16">
      <c r="A9980" s="3">
        <v>44088.143680555557</v>
      </c>
      <c r="B9980" s="4" t="str">
        <f>HYPERLINK("https://twitter.com/petrogustavo","@petrogustavo")</f>
        <v>@petrogustavo</v>
      </c>
      <c r="C9980" s="5" t="s">
        <v>16</v>
      </c>
      <c r="D9980" s="5" t="s">
        <v>9602</v>
      </c>
      <c r="E9980" s="6" t="str">
        <f>HYPERLINK("https://twitter.com/petrogustavo/status/1305264214588747776","1305264214588747776")</f>
        <v>1305264214588747776</v>
      </c>
      <c r="F9980" s="7" t="s">
        <v>17</v>
      </c>
      <c r="G9980" s="7">
        <v>3974143</v>
      </c>
      <c r="H9980" s="7">
        <v>2439</v>
      </c>
      <c r="I9980" s="7">
        <v>348</v>
      </c>
      <c r="J9980" s="7">
        <v>639</v>
      </c>
      <c r="K9980" s="7" t="s">
        <v>18</v>
      </c>
      <c r="L9980" s="8">
        <v>39987.315405092595</v>
      </c>
      <c r="M9980" s="9" t="s">
        <v>19</v>
      </c>
      <c r="N9980" s="9" t="s">
        <v>20</v>
      </c>
      <c r="O9980" s="6" t="str">
        <f>HYPERLINK("https://pbs.twimg.com/profile_images/962471262747529216/Uo8lOkRJ_normal.jpg","View")</f>
        <v>View</v>
      </c>
      <c r="P9980" s="7"/>
    </row>
    <row r="9981" spans="1:16">
      <c r="A9981" s="3">
        <v>44088.148483796293</v>
      </c>
      <c r="B9981" s="4" t="str">
        <f>HYPERLINK("https://twitter.com/petrogustavo","@petrogustavo")</f>
        <v>@petrogustavo</v>
      </c>
      <c r="C9981" s="5" t="s">
        <v>16</v>
      </c>
      <c r="D9981" s="5" t="s">
        <v>9603</v>
      </c>
      <c r="E9981" s="6" t="str">
        <f>HYPERLINK("https://twitter.com/petrogustavo/status/1305265958064447489","1305265958064447489")</f>
        <v>1305265958064447489</v>
      </c>
      <c r="F9981" s="7" t="s">
        <v>17</v>
      </c>
      <c r="G9981" s="7">
        <v>3974143</v>
      </c>
      <c r="H9981" s="7">
        <v>2439</v>
      </c>
      <c r="I9981" s="7">
        <v>275</v>
      </c>
      <c r="J9981" s="7">
        <v>0</v>
      </c>
      <c r="K9981" s="7" t="s">
        <v>18</v>
      </c>
      <c r="L9981" s="8">
        <v>39987.315405092595</v>
      </c>
      <c r="M9981" s="9" t="s">
        <v>19</v>
      </c>
      <c r="N9981" s="9" t="s">
        <v>20</v>
      </c>
      <c r="O9981" s="6" t="str">
        <f>HYPERLINK("https://pbs.twimg.com/profile_images/962471262747529216/Uo8lOkRJ_normal.jpg","View")</f>
        <v>View</v>
      </c>
      <c r="P9981" s="7"/>
    </row>
    <row r="9982" spans="1:16">
      <c r="A9982" s="3">
        <v>44088.150636574079</v>
      </c>
      <c r="B9982" s="4" t="str">
        <f>HYPERLINK("https://twitter.com/petrogustavo","@petrogustavo")</f>
        <v>@petrogustavo</v>
      </c>
      <c r="C9982" s="5" t="s">
        <v>16</v>
      </c>
      <c r="D9982" s="5" t="s">
        <v>9604</v>
      </c>
      <c r="E9982" s="6" t="str">
        <f>HYPERLINK("https://twitter.com/petrogustavo/status/1305266738301407235","1305266738301407235")</f>
        <v>1305266738301407235</v>
      </c>
      <c r="F9982" s="7" t="s">
        <v>17</v>
      </c>
      <c r="G9982" s="7">
        <v>3974143</v>
      </c>
      <c r="H9982" s="7">
        <v>2439</v>
      </c>
      <c r="I9982" s="7">
        <v>231</v>
      </c>
      <c r="J9982" s="7">
        <v>388</v>
      </c>
      <c r="K9982" s="7" t="s">
        <v>18</v>
      </c>
      <c r="L9982" s="8">
        <v>39987.315405092595</v>
      </c>
      <c r="M9982" s="9" t="s">
        <v>19</v>
      </c>
      <c r="N9982" s="9" t="s">
        <v>20</v>
      </c>
      <c r="O9982" s="6" t="str">
        <f>HYPERLINK("https://pbs.twimg.com/profile_images/962471262747529216/Uo8lOkRJ_normal.jpg","View")</f>
        <v>View</v>
      </c>
      <c r="P9982" s="7"/>
    </row>
    <row r="9983" spans="1:16">
      <c r="A9983" s="3">
        <v>44088.153437500005</v>
      </c>
      <c r="B9983" s="4" t="str">
        <f>HYPERLINK("https://twitter.com/petrogustavo","@petrogustavo")</f>
        <v>@petrogustavo</v>
      </c>
      <c r="C9983" s="5" t="s">
        <v>16</v>
      </c>
      <c r="D9983" s="5" t="s">
        <v>9605</v>
      </c>
      <c r="E9983" s="6" t="str">
        <f>HYPERLINK("https://twitter.com/petrogustavo/status/1305267752144338947","1305267752144338947")</f>
        <v>1305267752144338947</v>
      </c>
      <c r="F9983" s="7" t="s">
        <v>17</v>
      </c>
      <c r="G9983" s="7">
        <v>3974143</v>
      </c>
      <c r="H9983" s="7">
        <v>2439</v>
      </c>
      <c r="I9983" s="7">
        <v>45</v>
      </c>
      <c r="J9983" s="7">
        <v>0</v>
      </c>
      <c r="K9983" s="7" t="s">
        <v>18</v>
      </c>
      <c r="L9983" s="8">
        <v>39987.315405092595</v>
      </c>
      <c r="M9983" s="9" t="s">
        <v>19</v>
      </c>
      <c r="N9983" s="9" t="s">
        <v>20</v>
      </c>
      <c r="O9983" s="6" t="str">
        <f>HYPERLINK("https://pbs.twimg.com/profile_images/962471262747529216/Uo8lOkRJ_normal.jpg","View")</f>
        <v>View</v>
      </c>
      <c r="P9983" s="7"/>
    </row>
    <row r="9984" spans="1:16">
      <c r="A9984" s="3">
        <v>44088.155636574069</v>
      </c>
      <c r="B9984" s="4" t="str">
        <f>HYPERLINK("https://twitter.com/petrogustavo","@petrogustavo")</f>
        <v>@petrogustavo</v>
      </c>
      <c r="C9984" s="5" t="s">
        <v>16</v>
      </c>
      <c r="D9984" s="5" t="s">
        <v>9606</v>
      </c>
      <c r="E9984" s="6" t="str">
        <f>HYPERLINK("https://twitter.com/petrogustavo/status/1305268549976457216","1305268549976457216")</f>
        <v>1305268549976457216</v>
      </c>
      <c r="F9984" s="7" t="s">
        <v>17</v>
      </c>
      <c r="G9984" s="7">
        <v>3974143</v>
      </c>
      <c r="H9984" s="7">
        <v>2439</v>
      </c>
      <c r="I9984" s="7">
        <v>84</v>
      </c>
      <c r="J9984" s="7">
        <v>132</v>
      </c>
      <c r="K9984" s="7" t="s">
        <v>18</v>
      </c>
      <c r="L9984" s="8">
        <v>39987.315405092595</v>
      </c>
      <c r="M9984" s="9" t="s">
        <v>19</v>
      </c>
      <c r="N9984" s="9" t="s">
        <v>20</v>
      </c>
      <c r="O9984" s="6" t="str">
        <f>HYPERLINK("https://pbs.twimg.com/profile_images/962471262747529216/Uo8lOkRJ_normal.jpg","View")</f>
        <v>View</v>
      </c>
      <c r="P9984" s="7"/>
    </row>
    <row r="9985" spans="1:16">
      <c r="A9985" s="3">
        <v>44088.171053240745</v>
      </c>
      <c r="B9985" s="4" t="str">
        <f>HYPERLINK("https://twitter.com/petrogustavo","@petrogustavo")</f>
        <v>@petrogustavo</v>
      </c>
      <c r="C9985" s="5" t="s">
        <v>16</v>
      </c>
      <c r="D9985" s="5" t="s">
        <v>9607</v>
      </c>
      <c r="E9985" s="6" t="str">
        <f>HYPERLINK("https://twitter.com/petrogustavo/status/1305274135401111558","1305274135401111558")</f>
        <v>1305274135401111558</v>
      </c>
      <c r="F9985" s="7" t="s">
        <v>17</v>
      </c>
      <c r="G9985" s="7">
        <v>3974190</v>
      </c>
      <c r="H9985" s="7">
        <v>2439</v>
      </c>
      <c r="I9985" s="7">
        <v>336</v>
      </c>
      <c r="J9985" s="7">
        <v>969</v>
      </c>
      <c r="K9985" s="7" t="s">
        <v>18</v>
      </c>
      <c r="L9985" s="8">
        <v>39987.315405092595</v>
      </c>
      <c r="M9985" s="9" t="s">
        <v>19</v>
      </c>
      <c r="N9985" s="9" t="s">
        <v>20</v>
      </c>
      <c r="O9985" s="6" t="str">
        <f>HYPERLINK("https://pbs.twimg.com/profile_images/962471262747529216/Uo8lOkRJ_normal.jpg","View")</f>
        <v>View</v>
      </c>
      <c r="P9985" s="7"/>
    </row>
    <row r="9986" spans="1:16">
      <c r="A9986" s="3">
        <v>44088.182152777779</v>
      </c>
      <c r="B9986" s="4" t="str">
        <f>HYPERLINK("https://twitter.com/petrogustavo","@petrogustavo")</f>
        <v>@petrogustavo</v>
      </c>
      <c r="C9986" s="5" t="s">
        <v>16</v>
      </c>
      <c r="D9986" s="5" t="s">
        <v>9608</v>
      </c>
      <c r="E9986" s="6" t="str">
        <f>HYPERLINK("https://twitter.com/petrogustavo/status/1305278156451049472","1305278156451049472")</f>
        <v>1305278156451049472</v>
      </c>
      <c r="F9986" s="7" t="s">
        <v>17</v>
      </c>
      <c r="G9986" s="7">
        <v>3974196</v>
      </c>
      <c r="H9986" s="7">
        <v>2439</v>
      </c>
      <c r="I9986" s="7">
        <v>393</v>
      </c>
      <c r="J9986" s="7">
        <v>621</v>
      </c>
      <c r="K9986" s="7" t="s">
        <v>18</v>
      </c>
      <c r="L9986" s="8">
        <v>39987.315405092595</v>
      </c>
      <c r="M9986" s="9" t="s">
        <v>19</v>
      </c>
      <c r="N9986" s="9" t="s">
        <v>20</v>
      </c>
      <c r="O9986" s="6" t="str">
        <f>HYPERLINK("https://pbs.twimg.com/profile_images/962471262747529216/Uo8lOkRJ_normal.jpg","View")</f>
        <v>View</v>
      </c>
      <c r="P9986" s="7"/>
    </row>
    <row r="9987" spans="1:16">
      <c r="A9987" s="3">
        <v>44088.184537037036</v>
      </c>
      <c r="B9987" s="4" t="str">
        <f>HYPERLINK("https://twitter.com/petrogustavo","@petrogustavo")</f>
        <v>@petrogustavo</v>
      </c>
      <c r="C9987" s="5" t="s">
        <v>16</v>
      </c>
      <c r="D9987" s="5" t="s">
        <v>9609</v>
      </c>
      <c r="E9987" s="6" t="str">
        <f>HYPERLINK("https://twitter.com/petrogustavo/status/1305279023476596737","1305279023476596737")</f>
        <v>1305279023476596737</v>
      </c>
      <c r="F9987" s="7" t="s">
        <v>17</v>
      </c>
      <c r="G9987" s="7">
        <v>3974196</v>
      </c>
      <c r="H9987" s="7">
        <v>2439</v>
      </c>
      <c r="I9987" s="7">
        <v>675</v>
      </c>
      <c r="J9987" s="7">
        <v>0</v>
      </c>
      <c r="K9987" s="7" t="s">
        <v>18</v>
      </c>
      <c r="L9987" s="8">
        <v>39987.315405092595</v>
      </c>
      <c r="M9987" s="9" t="s">
        <v>19</v>
      </c>
      <c r="N9987" s="9" t="s">
        <v>20</v>
      </c>
      <c r="O9987" s="6" t="str">
        <f>HYPERLINK("https://pbs.twimg.com/profile_images/962471262747529216/Uo8lOkRJ_normal.jpg","View")</f>
        <v>View</v>
      </c>
      <c r="P9987" s="7"/>
    </row>
    <row r="9988" spans="1:16">
      <c r="A9988" s="3">
        <v>44088.188287037032</v>
      </c>
      <c r="B9988" s="4" t="str">
        <f>HYPERLINK("https://twitter.com/petrogustavo","@petrogustavo")</f>
        <v>@petrogustavo</v>
      </c>
      <c r="C9988" s="5" t="s">
        <v>16</v>
      </c>
      <c r="D9988" s="5" t="s">
        <v>9610</v>
      </c>
      <c r="E9988" s="6" t="str">
        <f>HYPERLINK("https://twitter.com/petrogustavo/status/1305280380744773632","1305280380744773632")</f>
        <v>1305280380744773632</v>
      </c>
      <c r="F9988" s="7" t="s">
        <v>17</v>
      </c>
      <c r="G9988" s="7">
        <v>3974196</v>
      </c>
      <c r="H9988" s="7">
        <v>2439</v>
      </c>
      <c r="I9988" s="7">
        <v>81</v>
      </c>
      <c r="J9988" s="7">
        <v>0</v>
      </c>
      <c r="K9988" s="7" t="s">
        <v>18</v>
      </c>
      <c r="L9988" s="8">
        <v>39987.315405092595</v>
      </c>
      <c r="M9988" s="9" t="s">
        <v>19</v>
      </c>
      <c r="N9988" s="9" t="s">
        <v>20</v>
      </c>
      <c r="O9988" s="6" t="str">
        <f>HYPERLINK("https://pbs.twimg.com/profile_images/962471262747529216/Uo8lOkRJ_normal.jpg","View")</f>
        <v>View</v>
      </c>
      <c r="P9988" s="7"/>
    </row>
    <row r="9989" spans="1:16">
      <c r="A9989" s="3">
        <v>44088.19059027778</v>
      </c>
      <c r="B9989" s="4" t="str">
        <f>HYPERLINK("https://twitter.com/petrogustavo","@petrogustavo")</f>
        <v>@petrogustavo</v>
      </c>
      <c r="C9989" s="5" t="s">
        <v>16</v>
      </c>
      <c r="D9989" s="5" t="s">
        <v>9611</v>
      </c>
      <c r="E9989" s="6" t="str">
        <f>HYPERLINK("https://twitter.com/petrogustavo/status/1305281214501314561","1305281214501314561")</f>
        <v>1305281214501314561</v>
      </c>
      <c r="F9989" s="7" t="s">
        <v>17</v>
      </c>
      <c r="G9989" s="7">
        <v>3974196</v>
      </c>
      <c r="H9989" s="7">
        <v>2439</v>
      </c>
      <c r="I9989" s="7">
        <v>128</v>
      </c>
      <c r="J9989" s="7">
        <v>286</v>
      </c>
      <c r="K9989" s="7" t="s">
        <v>18</v>
      </c>
      <c r="L9989" s="8">
        <v>39987.315405092595</v>
      </c>
      <c r="M9989" s="9" t="s">
        <v>19</v>
      </c>
      <c r="N9989" s="9" t="s">
        <v>20</v>
      </c>
      <c r="O9989" s="6" t="str">
        <f>HYPERLINK("https://pbs.twimg.com/profile_images/962471262747529216/Uo8lOkRJ_normal.jpg","View")</f>
        <v>View</v>
      </c>
      <c r="P9989" s="7"/>
    </row>
    <row r="9990" spans="1:16">
      <c r="A9990" s="3">
        <v>44088.217037037037</v>
      </c>
      <c r="B9990" s="4" t="str">
        <f>HYPERLINK("https://twitter.com/petrogustavo","@petrogustavo")</f>
        <v>@petrogustavo</v>
      </c>
      <c r="C9990" s="5" t="s">
        <v>16</v>
      </c>
      <c r="D9990" s="5" t="s">
        <v>9612</v>
      </c>
      <c r="E9990" s="6" t="str">
        <f>HYPERLINK("https://twitter.com/petrogustavo/status/1305290801203875840","1305290801203875840")</f>
        <v>1305290801203875840</v>
      </c>
      <c r="F9990" s="7" t="s">
        <v>17</v>
      </c>
      <c r="G9990" s="7">
        <v>3974243</v>
      </c>
      <c r="H9990" s="7">
        <v>2439</v>
      </c>
      <c r="I9990" s="7">
        <v>43</v>
      </c>
      <c r="J9990" s="7">
        <v>105</v>
      </c>
      <c r="K9990" s="7" t="s">
        <v>18</v>
      </c>
      <c r="L9990" s="8">
        <v>39987.315405092595</v>
      </c>
      <c r="M9990" s="9" t="s">
        <v>19</v>
      </c>
      <c r="N9990" s="9" t="s">
        <v>20</v>
      </c>
      <c r="O9990" s="6" t="str">
        <f>HYPERLINK("https://pbs.twimg.com/profile_images/962471262747529216/Uo8lOkRJ_normal.jpg","View")</f>
        <v>View</v>
      </c>
      <c r="P9990" s="7"/>
    </row>
    <row r="9991" spans="1:16">
      <c r="A9991" s="3">
        <v>44088.223634259259</v>
      </c>
      <c r="B9991" s="4" t="str">
        <f>HYPERLINK("https://twitter.com/petrogustavo","@petrogustavo")</f>
        <v>@petrogustavo</v>
      </c>
      <c r="C9991" s="5" t="s">
        <v>16</v>
      </c>
      <c r="D9991" s="5" t="s">
        <v>9613</v>
      </c>
      <c r="E9991" s="6" t="str">
        <f>HYPERLINK("https://twitter.com/petrogustavo/status/1305293189025275904","1305293189025275904")</f>
        <v>1305293189025275904</v>
      </c>
      <c r="F9991" s="7" t="s">
        <v>17</v>
      </c>
      <c r="G9991" s="7">
        <v>3974282</v>
      </c>
      <c r="H9991" s="7">
        <v>2439</v>
      </c>
      <c r="I9991" s="7">
        <v>193</v>
      </c>
      <c r="J9991" s="7">
        <v>485</v>
      </c>
      <c r="K9991" s="7" t="s">
        <v>18</v>
      </c>
      <c r="L9991" s="8">
        <v>39987.315405092595</v>
      </c>
      <c r="M9991" s="9" t="s">
        <v>19</v>
      </c>
      <c r="N9991" s="9" t="s">
        <v>20</v>
      </c>
      <c r="O9991" s="6" t="str">
        <f>HYPERLINK("https://pbs.twimg.com/profile_images/962471262747529216/Uo8lOkRJ_normal.jpg","View")</f>
        <v>View</v>
      </c>
      <c r="P9991" s="7"/>
    </row>
    <row r="9992" spans="1:16">
      <c r="A9992" s="3">
        <v>44088.224861111114</v>
      </c>
      <c r="B9992" s="4" t="str">
        <f>HYPERLINK("https://twitter.com/petrogustavo","@petrogustavo")</f>
        <v>@petrogustavo</v>
      </c>
      <c r="C9992" s="5" t="s">
        <v>16</v>
      </c>
      <c r="D9992" s="5" t="s">
        <v>9614</v>
      </c>
      <c r="E9992" s="6" t="str">
        <f>HYPERLINK("https://twitter.com/petrogustavo/status/1305293633755774985","1305293633755774985")</f>
        <v>1305293633755774985</v>
      </c>
      <c r="F9992" s="7" t="s">
        <v>17</v>
      </c>
      <c r="G9992" s="7">
        <v>3974282</v>
      </c>
      <c r="H9992" s="7">
        <v>2439</v>
      </c>
      <c r="I9992" s="7">
        <v>261</v>
      </c>
      <c r="J9992" s="7">
        <v>371</v>
      </c>
      <c r="K9992" s="7" t="s">
        <v>18</v>
      </c>
      <c r="L9992" s="8">
        <v>39987.315405092595</v>
      </c>
      <c r="M9992" s="9" t="s">
        <v>19</v>
      </c>
      <c r="N9992" s="9" t="s">
        <v>20</v>
      </c>
      <c r="O9992" s="6" t="str">
        <f>HYPERLINK("https://pbs.twimg.com/profile_images/962471262747529216/Uo8lOkRJ_normal.jpg","View")</f>
        <v>View</v>
      </c>
      <c r="P9992" s="7"/>
    </row>
    <row r="9993" spans="1:16">
      <c r="A9993" s="3">
        <v>44088.331400462965</v>
      </c>
      <c r="B9993" s="4" t="str">
        <f>HYPERLINK("https://twitter.com/petrogustavo","@petrogustavo")</f>
        <v>@petrogustavo</v>
      </c>
      <c r="C9993" s="5" t="s">
        <v>16</v>
      </c>
      <c r="D9993" s="5" t="s">
        <v>9615</v>
      </c>
      <c r="E9993" s="6" t="str">
        <f>HYPERLINK("https://twitter.com/petrogustavo/status/1305332243121008640","1305332243121008640")</f>
        <v>1305332243121008640</v>
      </c>
      <c r="F9993" s="7" t="s">
        <v>17</v>
      </c>
      <c r="G9993" s="7">
        <v>3974417</v>
      </c>
      <c r="H9993" s="7">
        <v>2439</v>
      </c>
      <c r="I9993" s="7">
        <v>450</v>
      </c>
      <c r="J9993" s="7">
        <v>0</v>
      </c>
      <c r="K9993" s="7" t="s">
        <v>18</v>
      </c>
      <c r="L9993" s="8">
        <v>39987.315405092595</v>
      </c>
      <c r="M9993" s="9" t="s">
        <v>19</v>
      </c>
      <c r="N9993" s="9" t="s">
        <v>20</v>
      </c>
      <c r="O9993" s="6" t="str">
        <f>HYPERLINK("https://pbs.twimg.com/profile_images/962471262747529216/Uo8lOkRJ_normal.jpg","View")</f>
        <v>View</v>
      </c>
      <c r="P9993" s="7"/>
    </row>
    <row r="9994" spans="1:16">
      <c r="A9994" s="3">
        <v>44088.334490740745</v>
      </c>
      <c r="B9994" s="4" t="str">
        <f>HYPERLINK("https://twitter.com/petrogustavo","@petrogustavo")</f>
        <v>@petrogustavo</v>
      </c>
      <c r="C9994" s="5" t="s">
        <v>16</v>
      </c>
      <c r="D9994" s="5" t="s">
        <v>9616</v>
      </c>
      <c r="E9994" s="6" t="str">
        <f>HYPERLINK("https://twitter.com/petrogustavo/status/1305333364300435460","1305333364300435460")</f>
        <v>1305333364300435460</v>
      </c>
      <c r="F9994" s="7" t="s">
        <v>17</v>
      </c>
      <c r="G9994" s="7">
        <v>3974417</v>
      </c>
      <c r="H9994" s="7">
        <v>2439</v>
      </c>
      <c r="I9994" s="7">
        <v>277</v>
      </c>
      <c r="J9994" s="7">
        <v>654</v>
      </c>
      <c r="K9994" s="7" t="s">
        <v>18</v>
      </c>
      <c r="L9994" s="8">
        <v>39987.315405092595</v>
      </c>
      <c r="M9994" s="9" t="s">
        <v>19</v>
      </c>
      <c r="N9994" s="9" t="s">
        <v>20</v>
      </c>
      <c r="O9994" s="6" t="str">
        <f>HYPERLINK("https://pbs.twimg.com/profile_images/962471262747529216/Uo8lOkRJ_normal.jpg","View")</f>
        <v>View</v>
      </c>
      <c r="P9994" s="7"/>
    </row>
    <row r="9995" spans="1:16">
      <c r="A9995" s="3">
        <v>44088.729155092587</v>
      </c>
      <c r="B9995" s="4" t="str">
        <f>HYPERLINK("https://twitter.com/petrogustavo","@petrogustavo")</f>
        <v>@petrogustavo</v>
      </c>
      <c r="C9995" s="5" t="s">
        <v>16</v>
      </c>
      <c r="D9995" s="5" t="s">
        <v>9617</v>
      </c>
      <c r="E9995" s="6" t="str">
        <f>HYPERLINK("https://twitter.com/petrogustavo/status/1305476386803585025","1305476386803585025")</f>
        <v>1305476386803585025</v>
      </c>
      <c r="F9995" s="7" t="s">
        <v>17</v>
      </c>
      <c r="G9995" s="7">
        <v>3974592</v>
      </c>
      <c r="H9995" s="7">
        <v>2440</v>
      </c>
      <c r="I9995" s="7">
        <v>1536</v>
      </c>
      <c r="J9995" s="7">
        <v>0</v>
      </c>
      <c r="K9995" s="7" t="s">
        <v>18</v>
      </c>
      <c r="L9995" s="8">
        <v>39987.315405092595</v>
      </c>
      <c r="M9995" s="9" t="s">
        <v>19</v>
      </c>
      <c r="N9995" s="9" t="s">
        <v>20</v>
      </c>
      <c r="O9995" s="6" t="str">
        <f>HYPERLINK("https://pbs.twimg.com/profile_images/962471262747529216/Uo8lOkRJ_normal.jpg","View")</f>
        <v>View</v>
      </c>
      <c r="P9995" s="7"/>
    </row>
    <row r="9996" spans="1:16">
      <c r="A9996" s="3">
        <v>44088.730729166666</v>
      </c>
      <c r="B9996" s="4" t="str">
        <f>HYPERLINK("https://twitter.com/petrogustavo","@petrogustavo")</f>
        <v>@petrogustavo</v>
      </c>
      <c r="C9996" s="5" t="s">
        <v>16</v>
      </c>
      <c r="D9996" s="5" t="s">
        <v>9618</v>
      </c>
      <c r="E9996" s="6" t="str">
        <f>HYPERLINK("https://twitter.com/petrogustavo/status/1305476954926256128","1305476954926256128")</f>
        <v>1305476954926256128</v>
      </c>
      <c r="F9996" s="7" t="s">
        <v>17</v>
      </c>
      <c r="G9996" s="7">
        <v>3974592</v>
      </c>
      <c r="H9996" s="7">
        <v>2440</v>
      </c>
      <c r="I9996" s="7">
        <v>270</v>
      </c>
      <c r="J9996" s="7">
        <v>0</v>
      </c>
      <c r="K9996" s="7" t="s">
        <v>18</v>
      </c>
      <c r="L9996" s="8">
        <v>39987.315405092595</v>
      </c>
      <c r="M9996" s="9" t="s">
        <v>19</v>
      </c>
      <c r="N9996" s="9" t="s">
        <v>20</v>
      </c>
      <c r="O9996" s="6" t="str">
        <f>HYPERLINK("https://pbs.twimg.com/profile_images/962471262747529216/Uo8lOkRJ_normal.jpg","View")</f>
        <v>View</v>
      </c>
      <c r="P9996" s="7"/>
    </row>
    <row r="9997" spans="1:16">
      <c r="A9997" s="3">
        <v>44088.732627314814</v>
      </c>
      <c r="B9997" s="4" t="str">
        <f>HYPERLINK("https://twitter.com/petrogustavo","@petrogustavo")</f>
        <v>@petrogustavo</v>
      </c>
      <c r="C9997" s="5" t="s">
        <v>16</v>
      </c>
      <c r="D9997" s="5" t="s">
        <v>9619</v>
      </c>
      <c r="E9997" s="6" t="str">
        <f>HYPERLINK("https://twitter.com/petrogustavo/status/1305477643123519488","1305477643123519488")</f>
        <v>1305477643123519488</v>
      </c>
      <c r="F9997" s="7" t="s">
        <v>17</v>
      </c>
      <c r="G9997" s="7">
        <v>3974592</v>
      </c>
      <c r="H9997" s="7">
        <v>2440</v>
      </c>
      <c r="I9997" s="7">
        <v>124</v>
      </c>
      <c r="J9997" s="7">
        <v>234</v>
      </c>
      <c r="K9997" s="7" t="s">
        <v>18</v>
      </c>
      <c r="L9997" s="8">
        <v>39987.315405092595</v>
      </c>
      <c r="M9997" s="9" t="s">
        <v>19</v>
      </c>
      <c r="N9997" s="9" t="s">
        <v>20</v>
      </c>
      <c r="O9997" s="6" t="str">
        <f>HYPERLINK("https://pbs.twimg.com/profile_images/962471262747529216/Uo8lOkRJ_normal.jpg","View")</f>
        <v>View</v>
      </c>
      <c r="P9997" s="7"/>
    </row>
    <row r="9998" spans="1:16">
      <c r="A9998" s="3">
        <v>44088.735833333332</v>
      </c>
      <c r="B9998" s="4" t="str">
        <f>HYPERLINK("https://twitter.com/petrogustavo","@petrogustavo")</f>
        <v>@petrogustavo</v>
      </c>
      <c r="C9998" s="5" t="s">
        <v>16</v>
      </c>
      <c r="D9998" s="5" t="s">
        <v>9620</v>
      </c>
      <c r="E9998" s="6" t="str">
        <f>HYPERLINK("https://twitter.com/petrogustavo/status/1305478804064923648","1305478804064923648")</f>
        <v>1305478804064923648</v>
      </c>
      <c r="F9998" s="7" t="s">
        <v>17</v>
      </c>
      <c r="G9998" s="7">
        <v>3974592</v>
      </c>
      <c r="H9998" s="7">
        <v>2440</v>
      </c>
      <c r="I9998" s="7">
        <v>7157</v>
      </c>
      <c r="J9998" s="7">
        <v>0</v>
      </c>
      <c r="K9998" s="7" t="s">
        <v>18</v>
      </c>
      <c r="L9998" s="8">
        <v>39987.315405092595</v>
      </c>
      <c r="M9998" s="9" t="s">
        <v>19</v>
      </c>
      <c r="N9998" s="9" t="s">
        <v>20</v>
      </c>
      <c r="O9998" s="6" t="str">
        <f>HYPERLINK("https://pbs.twimg.com/profile_images/962471262747529216/Uo8lOkRJ_normal.jpg","View")</f>
        <v>View</v>
      </c>
      <c r="P9998" s="7"/>
    </row>
    <row r="9999" spans="1:16">
      <c r="A9999" s="3">
        <v>44088.737071759257</v>
      </c>
      <c r="B9999" s="4" t="str">
        <f>HYPERLINK("https://twitter.com/petrogustavo","@petrogustavo")</f>
        <v>@petrogustavo</v>
      </c>
      <c r="C9999" s="5" t="s">
        <v>16</v>
      </c>
      <c r="D9999" s="5" t="s">
        <v>9621</v>
      </c>
      <c r="E9999" s="6" t="str">
        <f>HYPERLINK("https://twitter.com/petrogustavo/status/1305479255455916033","1305479255455916033")</f>
        <v>1305479255455916033</v>
      </c>
      <c r="F9999" s="7" t="s">
        <v>17</v>
      </c>
      <c r="G9999" s="7">
        <v>3974592</v>
      </c>
      <c r="H9999" s="7">
        <v>2440</v>
      </c>
      <c r="I9999" s="7">
        <v>169</v>
      </c>
      <c r="J9999" s="7">
        <v>0</v>
      </c>
      <c r="K9999" s="7" t="s">
        <v>18</v>
      </c>
      <c r="L9999" s="8">
        <v>39987.315405092595</v>
      </c>
      <c r="M9999" s="9" t="s">
        <v>19</v>
      </c>
      <c r="N9999" s="9" t="s">
        <v>20</v>
      </c>
      <c r="O9999" s="6" t="str">
        <f>HYPERLINK("https://pbs.twimg.com/profile_images/962471262747529216/Uo8lOkRJ_normal.jpg","View")</f>
        <v>View</v>
      </c>
      <c r="P9999" s="7"/>
    </row>
    <row r="10000" spans="1:16">
      <c r="A10000" s="3">
        <v>44088.737870370373</v>
      </c>
      <c r="B10000" s="4" t="str">
        <f>HYPERLINK("https://twitter.com/petrogustavo","@petrogustavo")</f>
        <v>@petrogustavo</v>
      </c>
      <c r="C10000" s="5" t="s">
        <v>16</v>
      </c>
      <c r="D10000" s="5" t="s">
        <v>9622</v>
      </c>
      <c r="E10000" s="6" t="str">
        <f>HYPERLINK("https://twitter.com/petrogustavo/status/1305479544783151105","1305479544783151105")</f>
        <v>1305479544783151105</v>
      </c>
      <c r="F10000" s="7" t="s">
        <v>17</v>
      </c>
      <c r="G10000" s="7">
        <v>3974592</v>
      </c>
      <c r="H10000" s="7">
        <v>2440</v>
      </c>
      <c r="I10000" s="7">
        <v>161</v>
      </c>
      <c r="J10000" s="7">
        <v>482</v>
      </c>
      <c r="K10000" s="7" t="s">
        <v>18</v>
      </c>
      <c r="L10000" s="8">
        <v>39987.315405092595</v>
      </c>
      <c r="M10000" s="9" t="s">
        <v>19</v>
      </c>
      <c r="N10000" s="9" t="s">
        <v>20</v>
      </c>
      <c r="O10000" s="6" t="str">
        <f>HYPERLINK("https://pbs.twimg.com/profile_images/962471262747529216/Uo8lOkRJ_normal.jpg","View")</f>
        <v>View</v>
      </c>
      <c r="P10000" s="7"/>
    </row>
    <row r="10001" spans="1:16">
      <c r="A10001" s="3">
        <v>44088.744131944448</v>
      </c>
      <c r="B10001" s="4" t="str">
        <f>HYPERLINK("https://twitter.com/petrogustavo","@petrogustavo")</f>
        <v>@petrogustavo</v>
      </c>
      <c r="C10001" s="5" t="s">
        <v>16</v>
      </c>
      <c r="D10001" s="5" t="s">
        <v>9623</v>
      </c>
      <c r="E10001" s="6" t="str">
        <f>HYPERLINK("https://twitter.com/petrogustavo/status/1305481811095683073","1305481811095683073")</f>
        <v>1305481811095683073</v>
      </c>
      <c r="F10001" s="7" t="s">
        <v>17</v>
      </c>
      <c r="G10001" s="7">
        <v>3974616</v>
      </c>
      <c r="H10001" s="7">
        <v>2440</v>
      </c>
      <c r="I10001" s="7">
        <v>1509</v>
      </c>
      <c r="J10001" s="7">
        <v>0</v>
      </c>
      <c r="K10001" s="7" t="s">
        <v>18</v>
      </c>
      <c r="L10001" s="8">
        <v>39987.315405092595</v>
      </c>
      <c r="M10001" s="9" t="s">
        <v>19</v>
      </c>
      <c r="N10001" s="9" t="s">
        <v>20</v>
      </c>
      <c r="O10001" s="6" t="str">
        <f>HYPERLINK("https://pbs.twimg.com/profile_images/962471262747529216/Uo8lOkRJ_normal.jpg","View")</f>
        <v>View</v>
      </c>
      <c r="P10001" s="7"/>
    </row>
    <row r="10002" spans="1:16">
      <c r="A10002" s="3">
        <v>44088.746493055558</v>
      </c>
      <c r="B10002" s="4" t="str">
        <f>HYPERLINK("https://twitter.com/petrogustavo","@petrogustavo")</f>
        <v>@petrogustavo</v>
      </c>
      <c r="C10002" s="5" t="s">
        <v>16</v>
      </c>
      <c r="D10002" s="5" t="s">
        <v>9624</v>
      </c>
      <c r="E10002" s="6" t="str">
        <f>HYPERLINK("https://twitter.com/petrogustavo/status/1305482670164652032","1305482670164652032")</f>
        <v>1305482670164652032</v>
      </c>
      <c r="F10002" s="7" t="s">
        <v>17</v>
      </c>
      <c r="G10002" s="7">
        <v>3974616</v>
      </c>
      <c r="H10002" s="7">
        <v>2440</v>
      </c>
      <c r="I10002" s="7">
        <v>166</v>
      </c>
      <c r="J10002" s="7">
        <v>367</v>
      </c>
      <c r="K10002" s="7" t="s">
        <v>18</v>
      </c>
      <c r="L10002" s="8">
        <v>39987.315405092595</v>
      </c>
      <c r="M10002" s="9" t="s">
        <v>19</v>
      </c>
      <c r="N10002" s="9" t="s">
        <v>20</v>
      </c>
      <c r="O10002" s="6" t="str">
        <f>HYPERLINK("https://pbs.twimg.com/profile_images/962471262747529216/Uo8lOkRJ_normal.jpg","View")</f>
        <v>View</v>
      </c>
      <c r="P10002" s="7"/>
    </row>
    <row r="10003" spans="1:16">
      <c r="A10003" s="3">
        <v>44088.748043981483</v>
      </c>
      <c r="B10003" s="4" t="str">
        <f>HYPERLINK("https://twitter.com/petrogustavo","@petrogustavo")</f>
        <v>@petrogustavo</v>
      </c>
      <c r="C10003" s="5" t="s">
        <v>16</v>
      </c>
      <c r="D10003" s="5" t="s">
        <v>9625</v>
      </c>
      <c r="E10003" s="6" t="str">
        <f>HYPERLINK("https://twitter.com/petrogustavo/status/1305483228963368962","1305483228963368962")</f>
        <v>1305483228963368962</v>
      </c>
      <c r="F10003" s="7" t="s">
        <v>17</v>
      </c>
      <c r="G10003" s="7">
        <v>3974616</v>
      </c>
      <c r="H10003" s="7">
        <v>2440</v>
      </c>
      <c r="I10003" s="7">
        <v>85</v>
      </c>
      <c r="J10003" s="7">
        <v>0</v>
      </c>
      <c r="K10003" s="7" t="s">
        <v>18</v>
      </c>
      <c r="L10003" s="8">
        <v>39987.315405092595</v>
      </c>
      <c r="M10003" s="9" t="s">
        <v>19</v>
      </c>
      <c r="N10003" s="9" t="s">
        <v>20</v>
      </c>
      <c r="O10003" s="6" t="str">
        <f>HYPERLINK("https://pbs.twimg.com/profile_images/962471262747529216/Uo8lOkRJ_normal.jpg","View")</f>
        <v>View</v>
      </c>
      <c r="P10003" s="7"/>
    </row>
    <row r="10004" spans="1:16">
      <c r="A10004" s="3">
        <v>44088.750740740739</v>
      </c>
      <c r="B10004" s="4" t="str">
        <f>HYPERLINK("https://twitter.com/petrogustavo","@petrogustavo")</f>
        <v>@petrogustavo</v>
      </c>
      <c r="C10004" s="5" t="s">
        <v>16</v>
      </c>
      <c r="D10004" s="5" t="s">
        <v>9626</v>
      </c>
      <c r="E10004" s="6" t="str">
        <f>HYPERLINK("https://twitter.com/petrogustavo/status/1305484208475910146","1305484208475910146")</f>
        <v>1305484208475910146</v>
      </c>
      <c r="F10004" s="7" t="s">
        <v>17</v>
      </c>
      <c r="G10004" s="7">
        <v>3974616</v>
      </c>
      <c r="H10004" s="7">
        <v>2440</v>
      </c>
      <c r="I10004" s="7">
        <v>165</v>
      </c>
      <c r="J10004" s="7">
        <v>0</v>
      </c>
      <c r="K10004" s="7" t="s">
        <v>18</v>
      </c>
      <c r="L10004" s="8">
        <v>39987.315405092595</v>
      </c>
      <c r="M10004" s="9" t="s">
        <v>19</v>
      </c>
      <c r="N10004" s="9" t="s">
        <v>20</v>
      </c>
      <c r="O10004" s="6" t="str">
        <f>HYPERLINK("https://pbs.twimg.com/profile_images/962471262747529216/Uo8lOkRJ_normal.jpg","View")</f>
        <v>View</v>
      </c>
      <c r="P10004" s="7"/>
    </row>
    <row r="10005" spans="1:16">
      <c r="A10005" s="3">
        <v>44088.753807870366</v>
      </c>
      <c r="B10005" s="4" t="str">
        <f>HYPERLINK("https://twitter.com/petrogustavo","@petrogustavo")</f>
        <v>@petrogustavo</v>
      </c>
      <c r="C10005" s="5" t="s">
        <v>16</v>
      </c>
      <c r="D10005" s="5" t="s">
        <v>9627</v>
      </c>
      <c r="E10005" s="6" t="str">
        <f>HYPERLINK("https://twitter.com/petrogustavo/status/1305485317307277314","1305485317307277314")</f>
        <v>1305485317307277314</v>
      </c>
      <c r="F10005" s="7" t="s">
        <v>17</v>
      </c>
      <c r="G10005" s="7">
        <v>3974616</v>
      </c>
      <c r="H10005" s="7">
        <v>2440</v>
      </c>
      <c r="I10005" s="7">
        <v>721</v>
      </c>
      <c r="J10005" s="7">
        <v>0</v>
      </c>
      <c r="K10005" s="7" t="s">
        <v>18</v>
      </c>
      <c r="L10005" s="8">
        <v>39987.315405092595</v>
      </c>
      <c r="M10005" s="9" t="s">
        <v>19</v>
      </c>
      <c r="N10005" s="9" t="s">
        <v>20</v>
      </c>
      <c r="O10005" s="6" t="str">
        <f>HYPERLINK("https://pbs.twimg.com/profile_images/962471262747529216/Uo8lOkRJ_normal.jpg","View")</f>
        <v>View</v>
      </c>
      <c r="P10005" s="7"/>
    </row>
    <row r="10006" spans="1:16">
      <c r="A10006" s="3">
        <v>44088.754143518519</v>
      </c>
      <c r="B10006" s="4" t="str">
        <f>HYPERLINK("https://twitter.com/petrogustavo","@petrogustavo")</f>
        <v>@petrogustavo</v>
      </c>
      <c r="C10006" s="5" t="s">
        <v>16</v>
      </c>
      <c r="D10006" s="5" t="s">
        <v>9628</v>
      </c>
      <c r="E10006" s="6" t="str">
        <f>HYPERLINK("https://twitter.com/petrogustavo/status/1305485442343735298","1305485442343735298")</f>
        <v>1305485442343735298</v>
      </c>
      <c r="F10006" s="7" t="s">
        <v>17</v>
      </c>
      <c r="G10006" s="7">
        <v>3974616</v>
      </c>
      <c r="H10006" s="7">
        <v>2440</v>
      </c>
      <c r="I10006" s="7">
        <v>261</v>
      </c>
      <c r="J10006" s="7">
        <v>0</v>
      </c>
      <c r="K10006" s="7" t="s">
        <v>18</v>
      </c>
      <c r="L10006" s="8">
        <v>39987.315405092595</v>
      </c>
      <c r="M10006" s="9" t="s">
        <v>19</v>
      </c>
      <c r="N10006" s="9" t="s">
        <v>20</v>
      </c>
      <c r="O10006" s="6" t="str">
        <f>HYPERLINK("https://pbs.twimg.com/profile_images/962471262747529216/Uo8lOkRJ_normal.jpg","View")</f>
        <v>View</v>
      </c>
      <c r="P10006" s="7"/>
    </row>
    <row r="10007" spans="1:16">
      <c r="A10007" s="3">
        <v>44088.756909722222</v>
      </c>
      <c r="B10007" s="4" t="str">
        <f>HYPERLINK("https://twitter.com/petrogustavo","@petrogustavo")</f>
        <v>@petrogustavo</v>
      </c>
      <c r="C10007" s="5" t="s">
        <v>16</v>
      </c>
      <c r="D10007" s="5" t="s">
        <v>9629</v>
      </c>
      <c r="E10007" s="6" t="str">
        <f>HYPERLINK("https://twitter.com/petrogustavo/status/1305486444094464000","1305486444094464000")</f>
        <v>1305486444094464000</v>
      </c>
      <c r="F10007" s="7" t="s">
        <v>17</v>
      </c>
      <c r="G10007" s="7">
        <v>3974616</v>
      </c>
      <c r="H10007" s="7">
        <v>2440</v>
      </c>
      <c r="I10007" s="7">
        <v>65</v>
      </c>
      <c r="J10007" s="7">
        <v>172</v>
      </c>
      <c r="K10007" s="7" t="s">
        <v>18</v>
      </c>
      <c r="L10007" s="8">
        <v>39987.315405092595</v>
      </c>
      <c r="M10007" s="9" t="s">
        <v>19</v>
      </c>
      <c r="N10007" s="9" t="s">
        <v>20</v>
      </c>
      <c r="O10007" s="6" t="str">
        <f>HYPERLINK("https://pbs.twimg.com/profile_images/962471262747529216/Uo8lOkRJ_normal.jpg","View")</f>
        <v>View</v>
      </c>
      <c r="P10007" s="7"/>
    </row>
    <row r="10008" spans="1:16">
      <c r="A10008" s="3">
        <v>44088.757916666669</v>
      </c>
      <c r="B10008" s="4" t="str">
        <f>HYPERLINK("https://twitter.com/petrogustavo","@petrogustavo")</f>
        <v>@petrogustavo</v>
      </c>
      <c r="C10008" s="5" t="s">
        <v>16</v>
      </c>
      <c r="D10008" s="5" t="s">
        <v>9630</v>
      </c>
      <c r="E10008" s="6" t="str">
        <f>HYPERLINK("https://twitter.com/petrogustavo/status/1305486808977993732","1305486808977993732")</f>
        <v>1305486808977993732</v>
      </c>
      <c r="F10008" s="7" t="s">
        <v>17</v>
      </c>
      <c r="G10008" s="7">
        <v>3974616</v>
      </c>
      <c r="H10008" s="7">
        <v>2440</v>
      </c>
      <c r="I10008" s="7">
        <v>46</v>
      </c>
      <c r="J10008" s="7">
        <v>0</v>
      </c>
      <c r="K10008" s="7" t="s">
        <v>18</v>
      </c>
      <c r="L10008" s="8">
        <v>39987.315405092595</v>
      </c>
      <c r="M10008" s="9" t="s">
        <v>19</v>
      </c>
      <c r="N10008" s="9" t="s">
        <v>20</v>
      </c>
      <c r="O10008" s="6" t="str">
        <f>HYPERLINK("https://pbs.twimg.com/profile_images/962471262747529216/Uo8lOkRJ_normal.jpg","View")</f>
        <v>View</v>
      </c>
      <c r="P10008" s="7"/>
    </row>
    <row r="10009" spans="1:16">
      <c r="A10009" s="3">
        <v>44088.758622685185</v>
      </c>
      <c r="B10009" s="4" t="str">
        <f>HYPERLINK("https://twitter.com/petrogustavo","@petrogustavo")</f>
        <v>@petrogustavo</v>
      </c>
      <c r="C10009" s="5" t="s">
        <v>16</v>
      </c>
      <c r="D10009" s="5" t="s">
        <v>9631</v>
      </c>
      <c r="E10009" s="6" t="str">
        <f>HYPERLINK("https://twitter.com/petrogustavo/status/1305487063870042113","1305487063870042113")</f>
        <v>1305487063870042113</v>
      </c>
      <c r="F10009" s="7" t="s">
        <v>17</v>
      </c>
      <c r="G10009" s="7">
        <v>3974616</v>
      </c>
      <c r="H10009" s="7">
        <v>2440</v>
      </c>
      <c r="I10009" s="7">
        <v>364</v>
      </c>
      <c r="J10009" s="7">
        <v>0</v>
      </c>
      <c r="K10009" s="7" t="s">
        <v>18</v>
      </c>
      <c r="L10009" s="8">
        <v>39987.315405092595</v>
      </c>
      <c r="M10009" s="9" t="s">
        <v>19</v>
      </c>
      <c r="N10009" s="9" t="s">
        <v>20</v>
      </c>
      <c r="O10009" s="6" t="str">
        <f>HYPERLINK("https://pbs.twimg.com/profile_images/962471262747529216/Uo8lOkRJ_normal.jpg","View")</f>
        <v>View</v>
      </c>
      <c r="P10009" s="7"/>
    </row>
    <row r="10010" spans="1:16">
      <c r="A10010" s="3">
        <v>44088.761712962965</v>
      </c>
      <c r="B10010" s="4" t="str">
        <f>HYPERLINK("https://twitter.com/petrogustavo","@petrogustavo")</f>
        <v>@petrogustavo</v>
      </c>
      <c r="C10010" s="5" t="s">
        <v>16</v>
      </c>
      <c r="D10010" s="5" t="s">
        <v>9632</v>
      </c>
      <c r="E10010" s="6" t="str">
        <f>HYPERLINK("https://twitter.com/petrogustavo/status/1305488185657643009","1305488185657643009")</f>
        <v>1305488185657643009</v>
      </c>
      <c r="F10010" s="7" t="s">
        <v>17</v>
      </c>
      <c r="G10010" s="7">
        <v>3974616</v>
      </c>
      <c r="H10010" s="7">
        <v>2440</v>
      </c>
      <c r="I10010" s="7">
        <v>2</v>
      </c>
      <c r="J10010" s="7">
        <v>0</v>
      </c>
      <c r="K10010" s="7" t="s">
        <v>18</v>
      </c>
      <c r="L10010" s="8">
        <v>39987.315405092595</v>
      </c>
      <c r="M10010" s="9" t="s">
        <v>19</v>
      </c>
      <c r="N10010" s="9" t="s">
        <v>20</v>
      </c>
      <c r="O10010" s="6" t="str">
        <f>HYPERLINK("https://pbs.twimg.com/profile_images/962471262747529216/Uo8lOkRJ_normal.jpg","View")</f>
        <v>View</v>
      </c>
      <c r="P10010" s="7"/>
    </row>
    <row r="10011" spans="1:16">
      <c r="A10011" s="3">
        <v>44088.762731481482</v>
      </c>
      <c r="B10011" s="4" t="str">
        <f>HYPERLINK("https://twitter.com/petrogustavo","@petrogustavo")</f>
        <v>@petrogustavo</v>
      </c>
      <c r="C10011" s="5" t="s">
        <v>16</v>
      </c>
      <c r="D10011" s="5" t="s">
        <v>9633</v>
      </c>
      <c r="E10011" s="6" t="str">
        <f>HYPERLINK("https://twitter.com/petrogustavo/status/1305488551786606593","1305488551786606593")</f>
        <v>1305488551786606593</v>
      </c>
      <c r="F10011" s="7" t="s">
        <v>17</v>
      </c>
      <c r="G10011" s="7">
        <v>3974644</v>
      </c>
      <c r="H10011" s="7">
        <v>2440</v>
      </c>
      <c r="I10011" s="7">
        <v>1064</v>
      </c>
      <c r="J10011" s="7">
        <v>0</v>
      </c>
      <c r="K10011" s="7" t="s">
        <v>18</v>
      </c>
      <c r="L10011" s="8">
        <v>39987.315405092595</v>
      </c>
      <c r="M10011" s="9" t="s">
        <v>19</v>
      </c>
      <c r="N10011" s="9" t="s">
        <v>20</v>
      </c>
      <c r="O10011" s="6" t="str">
        <f>HYPERLINK("https://pbs.twimg.com/profile_images/962471262747529216/Uo8lOkRJ_normal.jpg","View")</f>
        <v>View</v>
      </c>
      <c r="P10011" s="7"/>
    </row>
    <row r="10012" spans="1:16">
      <c r="A10012" s="3">
        <v>44088.763391203705</v>
      </c>
      <c r="B10012" s="4" t="str">
        <f>HYPERLINK("https://twitter.com/petrogustavo","@petrogustavo")</f>
        <v>@petrogustavo</v>
      </c>
      <c r="C10012" s="5" t="s">
        <v>16</v>
      </c>
      <c r="D10012" s="5" t="s">
        <v>9634</v>
      </c>
      <c r="E10012" s="6" t="str">
        <f>HYPERLINK("https://twitter.com/petrogustavo/status/1305488793210937344","1305488793210937344")</f>
        <v>1305488793210937344</v>
      </c>
      <c r="F10012" s="7" t="s">
        <v>17</v>
      </c>
      <c r="G10012" s="7">
        <v>3974644</v>
      </c>
      <c r="H10012" s="7">
        <v>2440</v>
      </c>
      <c r="I10012" s="7">
        <v>64</v>
      </c>
      <c r="J10012" s="7">
        <v>144</v>
      </c>
      <c r="K10012" s="7" t="s">
        <v>18</v>
      </c>
      <c r="L10012" s="8">
        <v>39987.315405092595</v>
      </c>
      <c r="M10012" s="9" t="s">
        <v>19</v>
      </c>
      <c r="N10012" s="9" t="s">
        <v>20</v>
      </c>
      <c r="O10012" s="6" t="str">
        <f>HYPERLINK("https://pbs.twimg.com/profile_images/962471262747529216/Uo8lOkRJ_normal.jpg","View")</f>
        <v>View</v>
      </c>
      <c r="P10012" s="7"/>
    </row>
    <row r="10013" spans="1:16">
      <c r="A10013" s="3">
        <v>44088.765150462961</v>
      </c>
      <c r="B10013" s="4" t="str">
        <f>HYPERLINK("https://twitter.com/petrogustavo","@petrogustavo")</f>
        <v>@petrogustavo</v>
      </c>
      <c r="C10013" s="5" t="s">
        <v>16</v>
      </c>
      <c r="D10013" s="5" t="s">
        <v>9635</v>
      </c>
      <c r="E10013" s="6" t="str">
        <f>HYPERLINK("https://twitter.com/petrogustavo/status/1305489431143604230","1305489431143604230")</f>
        <v>1305489431143604230</v>
      </c>
      <c r="F10013" s="7" t="s">
        <v>17</v>
      </c>
      <c r="G10013" s="7">
        <v>3974644</v>
      </c>
      <c r="H10013" s="7">
        <v>2440</v>
      </c>
      <c r="I10013" s="7">
        <v>186</v>
      </c>
      <c r="J10013" s="7">
        <v>483</v>
      </c>
      <c r="K10013" s="7" t="s">
        <v>18</v>
      </c>
      <c r="L10013" s="8">
        <v>39987.315405092595</v>
      </c>
      <c r="M10013" s="9" t="s">
        <v>19</v>
      </c>
      <c r="N10013" s="9" t="s">
        <v>20</v>
      </c>
      <c r="O10013" s="6" t="str">
        <f>HYPERLINK("https://pbs.twimg.com/profile_images/962471262747529216/Uo8lOkRJ_normal.jpg","View")</f>
        <v>View</v>
      </c>
      <c r="P10013" s="7"/>
    </row>
    <row r="10014" spans="1:16">
      <c r="A10014" s="3">
        <v>44088.765879629631</v>
      </c>
      <c r="B10014" s="4" t="str">
        <f>HYPERLINK("https://twitter.com/petrogustavo","@petrogustavo")</f>
        <v>@petrogustavo</v>
      </c>
      <c r="C10014" s="5" t="s">
        <v>16</v>
      </c>
      <c r="D10014" s="5" t="s">
        <v>9636</v>
      </c>
      <c r="E10014" s="6" t="str">
        <f>HYPERLINK("https://twitter.com/petrogustavo/status/1305489694646509568","1305489694646509568")</f>
        <v>1305489694646509568</v>
      </c>
      <c r="F10014" s="7" t="s">
        <v>17</v>
      </c>
      <c r="G10014" s="7">
        <v>3974644</v>
      </c>
      <c r="H10014" s="7">
        <v>2440</v>
      </c>
      <c r="I10014" s="7">
        <v>198</v>
      </c>
      <c r="J10014" s="7">
        <v>0</v>
      </c>
      <c r="K10014" s="7" t="s">
        <v>18</v>
      </c>
      <c r="L10014" s="8">
        <v>39987.315405092595</v>
      </c>
      <c r="M10014" s="9" t="s">
        <v>19</v>
      </c>
      <c r="N10014" s="9" t="s">
        <v>20</v>
      </c>
      <c r="O10014" s="6" t="str">
        <f>HYPERLINK("https://pbs.twimg.com/profile_images/962471262747529216/Uo8lOkRJ_normal.jpg","View")</f>
        <v>View</v>
      </c>
      <c r="P10014" s="7"/>
    </row>
    <row r="10015" spans="1:16">
      <c r="A10015" s="3">
        <v>44088.766817129625</v>
      </c>
      <c r="B10015" s="4" t="str">
        <f>HYPERLINK("https://twitter.com/petrogustavo","@petrogustavo")</f>
        <v>@petrogustavo</v>
      </c>
      <c r="C10015" s="5" t="s">
        <v>16</v>
      </c>
      <c r="D10015" s="5" t="s">
        <v>9637</v>
      </c>
      <c r="E10015" s="6" t="str">
        <f>HYPERLINK("https://twitter.com/petrogustavo/status/1305490035404402689","1305490035404402689")</f>
        <v>1305490035404402689</v>
      </c>
      <c r="F10015" s="7" t="s">
        <v>17</v>
      </c>
      <c r="G10015" s="7">
        <v>3974644</v>
      </c>
      <c r="H10015" s="7">
        <v>2440</v>
      </c>
      <c r="I10015" s="7">
        <v>33</v>
      </c>
      <c r="J10015" s="7">
        <v>0</v>
      </c>
      <c r="K10015" s="7" t="s">
        <v>18</v>
      </c>
      <c r="L10015" s="8">
        <v>39987.315405092595</v>
      </c>
      <c r="M10015" s="9" t="s">
        <v>19</v>
      </c>
      <c r="N10015" s="9" t="s">
        <v>20</v>
      </c>
      <c r="O10015" s="6" t="str">
        <f>HYPERLINK("https://pbs.twimg.com/profile_images/962471262747529216/Uo8lOkRJ_normal.jpg","View")</f>
        <v>View</v>
      </c>
      <c r="P10015" s="7"/>
    </row>
    <row r="10016" spans="1:16">
      <c r="A10016" s="3">
        <v>44088.769224537042</v>
      </c>
      <c r="B10016" s="4" t="str">
        <f>HYPERLINK("https://twitter.com/petrogustavo","@petrogustavo")</f>
        <v>@petrogustavo</v>
      </c>
      <c r="C10016" s="5" t="s">
        <v>16</v>
      </c>
      <c r="D10016" s="5" t="s">
        <v>9638</v>
      </c>
      <c r="E10016" s="6" t="str">
        <f>HYPERLINK("https://twitter.com/petrogustavo/status/1305490906108354563","1305490906108354563")</f>
        <v>1305490906108354563</v>
      </c>
      <c r="F10016" s="7" t="s">
        <v>17</v>
      </c>
      <c r="G10016" s="7">
        <v>3974644</v>
      </c>
      <c r="H10016" s="7">
        <v>2440</v>
      </c>
      <c r="I10016" s="7">
        <v>405</v>
      </c>
      <c r="J10016" s="7">
        <v>800</v>
      </c>
      <c r="K10016" s="7" t="s">
        <v>18</v>
      </c>
      <c r="L10016" s="8">
        <v>39987.315405092595</v>
      </c>
      <c r="M10016" s="9" t="s">
        <v>19</v>
      </c>
      <c r="N10016" s="9" t="s">
        <v>20</v>
      </c>
      <c r="O10016" s="6" t="str">
        <f>HYPERLINK("https://pbs.twimg.com/profile_images/962471262747529216/Uo8lOkRJ_normal.jpg","View")</f>
        <v>View</v>
      </c>
      <c r="P10016" s="7"/>
    </row>
    <row r="10017" spans="1:16">
      <c r="A10017" s="3">
        <v>44088.770266203705</v>
      </c>
      <c r="B10017" s="4" t="str">
        <f>HYPERLINK("https://twitter.com/petrogustavo","@petrogustavo")</f>
        <v>@petrogustavo</v>
      </c>
      <c r="C10017" s="5" t="s">
        <v>16</v>
      </c>
      <c r="D10017" s="5" t="s">
        <v>9639</v>
      </c>
      <c r="E10017" s="6" t="str">
        <f>HYPERLINK("https://twitter.com/petrogustavo/status/1305491282098294785","1305491282098294785")</f>
        <v>1305491282098294785</v>
      </c>
      <c r="F10017" s="7" t="s">
        <v>17</v>
      </c>
      <c r="G10017" s="7">
        <v>3974644</v>
      </c>
      <c r="H10017" s="7">
        <v>2440</v>
      </c>
      <c r="I10017" s="7">
        <v>64</v>
      </c>
      <c r="J10017" s="7">
        <v>0</v>
      </c>
      <c r="K10017" s="7" t="s">
        <v>18</v>
      </c>
      <c r="L10017" s="8">
        <v>39987.315405092595</v>
      </c>
      <c r="M10017" s="9" t="s">
        <v>19</v>
      </c>
      <c r="N10017" s="9" t="s">
        <v>20</v>
      </c>
      <c r="O10017" s="6" t="str">
        <f>HYPERLINK("https://pbs.twimg.com/profile_images/962471262747529216/Uo8lOkRJ_normal.jpg","View")</f>
        <v>View</v>
      </c>
      <c r="P10017" s="7"/>
    </row>
    <row r="10018" spans="1:16">
      <c r="A10018" s="3">
        <v>44088.774513888886</v>
      </c>
      <c r="B10018" s="4" t="str">
        <f>HYPERLINK("https://twitter.com/petrogustavo","@petrogustavo")</f>
        <v>@petrogustavo</v>
      </c>
      <c r="C10018" s="5" t="s">
        <v>16</v>
      </c>
      <c r="D10018" s="5" t="s">
        <v>9640</v>
      </c>
      <c r="E10018" s="6" t="str">
        <f>HYPERLINK("https://twitter.com/petrogustavo/status/1305492822007611393","1305492822007611393")</f>
        <v>1305492822007611393</v>
      </c>
      <c r="F10018" s="7" t="s">
        <v>17</v>
      </c>
      <c r="G10018" s="7">
        <v>3974644</v>
      </c>
      <c r="H10018" s="7">
        <v>2440</v>
      </c>
      <c r="I10018" s="7">
        <v>171</v>
      </c>
      <c r="J10018" s="7">
        <v>509</v>
      </c>
      <c r="K10018" s="7" t="s">
        <v>18</v>
      </c>
      <c r="L10018" s="8">
        <v>39987.315405092595</v>
      </c>
      <c r="M10018" s="9" t="s">
        <v>19</v>
      </c>
      <c r="N10018" s="9" t="s">
        <v>20</v>
      </c>
      <c r="O10018" s="6" t="str">
        <f>HYPERLINK("https://pbs.twimg.com/profile_images/962471262747529216/Uo8lOkRJ_normal.jpg","View")</f>
        <v>View</v>
      </c>
      <c r="P10018" s="7"/>
    </row>
    <row r="10019" spans="1:16">
      <c r="A10019" s="3">
        <v>44088.790532407409</v>
      </c>
      <c r="B10019" s="4" t="str">
        <f>HYPERLINK("https://twitter.com/petrogustavo","@petrogustavo")</f>
        <v>@petrogustavo</v>
      </c>
      <c r="C10019" s="5" t="s">
        <v>16</v>
      </c>
      <c r="D10019" s="5" t="s">
        <v>9641</v>
      </c>
      <c r="E10019" s="6" t="str">
        <f>HYPERLINK("https://twitter.com/petrogustavo/status/1305498627222261760","1305498627222261760")</f>
        <v>1305498627222261760</v>
      </c>
      <c r="F10019" s="7" t="s">
        <v>17</v>
      </c>
      <c r="G10019" s="7">
        <v>3974681</v>
      </c>
      <c r="H10019" s="7">
        <v>2440</v>
      </c>
      <c r="I10019" s="7">
        <v>73</v>
      </c>
      <c r="J10019" s="7">
        <v>207</v>
      </c>
      <c r="K10019" s="7" t="s">
        <v>18</v>
      </c>
      <c r="L10019" s="8">
        <v>39987.315405092595</v>
      </c>
      <c r="M10019" s="9" t="s">
        <v>19</v>
      </c>
      <c r="N10019" s="9" t="s">
        <v>20</v>
      </c>
      <c r="O10019" s="6" t="str">
        <f>HYPERLINK("https://pbs.twimg.com/profile_images/962471262747529216/Uo8lOkRJ_normal.jpg","View")</f>
        <v>View</v>
      </c>
      <c r="P10019" s="7"/>
    </row>
    <row r="10020" spans="1:16">
      <c r="A10020" s="3">
        <v>44088.796782407408</v>
      </c>
      <c r="B10020" s="4" t="str">
        <f>HYPERLINK("https://twitter.com/petrogustavo","@petrogustavo")</f>
        <v>@petrogustavo</v>
      </c>
      <c r="C10020" s="5" t="s">
        <v>16</v>
      </c>
      <c r="D10020" s="5" t="s">
        <v>9639</v>
      </c>
      <c r="E10020" s="6" t="str">
        <f>HYPERLINK("https://twitter.com/petrogustavo/status/1305500892297388032","1305500892297388032")</f>
        <v>1305500892297388032</v>
      </c>
      <c r="F10020" s="7" t="s">
        <v>17</v>
      </c>
      <c r="G10020" s="7">
        <v>3974681</v>
      </c>
      <c r="H10020" s="7">
        <v>2440</v>
      </c>
      <c r="I10020" s="7">
        <v>88</v>
      </c>
      <c r="J10020" s="7">
        <v>0</v>
      </c>
      <c r="K10020" s="7" t="s">
        <v>18</v>
      </c>
      <c r="L10020" s="8">
        <v>39987.315405092595</v>
      </c>
      <c r="M10020" s="9" t="s">
        <v>19</v>
      </c>
      <c r="N10020" s="9" t="s">
        <v>20</v>
      </c>
      <c r="O10020" s="6" t="str">
        <f>HYPERLINK("https://pbs.twimg.com/profile_images/962471262747529216/Uo8lOkRJ_normal.jpg","View")</f>
        <v>View</v>
      </c>
      <c r="P10020" s="7"/>
    </row>
    <row r="10021" spans="1:16">
      <c r="A10021" s="3">
        <v>44088.823206018518</v>
      </c>
      <c r="B10021" s="4" t="str">
        <f>HYPERLINK("https://twitter.com/petrogustavo","@petrogustavo")</f>
        <v>@petrogustavo</v>
      </c>
      <c r="C10021" s="5" t="s">
        <v>16</v>
      </c>
      <c r="D10021" s="5" t="s">
        <v>9642</v>
      </c>
      <c r="E10021" s="6" t="str">
        <f>HYPERLINK("https://twitter.com/petrogustavo/status/1305510470015758336","1305510470015758336")</f>
        <v>1305510470015758336</v>
      </c>
      <c r="F10021" s="7" t="s">
        <v>17</v>
      </c>
      <c r="G10021" s="7">
        <v>3974695</v>
      </c>
      <c r="H10021" s="7">
        <v>2440</v>
      </c>
      <c r="I10021" s="7">
        <v>22</v>
      </c>
      <c r="J10021" s="7">
        <v>58</v>
      </c>
      <c r="K10021" s="7" t="s">
        <v>18</v>
      </c>
      <c r="L10021" s="8">
        <v>39987.315405092595</v>
      </c>
      <c r="M10021" s="9" t="s">
        <v>19</v>
      </c>
      <c r="N10021" s="9" t="s">
        <v>20</v>
      </c>
      <c r="O10021" s="6" t="str">
        <f>HYPERLINK("https://pbs.twimg.com/profile_images/962471262747529216/Uo8lOkRJ_normal.jpg","View")</f>
        <v>View</v>
      </c>
      <c r="P10021" s="7"/>
    </row>
    <row r="10022" spans="1:16">
      <c r="A10022" s="3">
        <v>44088.825335648144</v>
      </c>
      <c r="B10022" s="4" t="str">
        <f>HYPERLINK("https://twitter.com/petrogustavo","@petrogustavo")</f>
        <v>@petrogustavo</v>
      </c>
      <c r="C10022" s="5" t="s">
        <v>16</v>
      </c>
      <c r="D10022" s="5" t="s">
        <v>9643</v>
      </c>
      <c r="E10022" s="6" t="str">
        <f>HYPERLINK("https://twitter.com/petrogustavo/status/1305511238974214146","1305511238974214146")</f>
        <v>1305511238974214146</v>
      </c>
      <c r="F10022" s="7" t="s">
        <v>17</v>
      </c>
      <c r="G10022" s="7">
        <v>3974729</v>
      </c>
      <c r="H10022" s="7">
        <v>2440</v>
      </c>
      <c r="I10022" s="7">
        <v>84</v>
      </c>
      <c r="J10022" s="7">
        <v>0</v>
      </c>
      <c r="K10022" s="7" t="s">
        <v>18</v>
      </c>
      <c r="L10022" s="8">
        <v>39987.315405092595</v>
      </c>
      <c r="M10022" s="9" t="s">
        <v>19</v>
      </c>
      <c r="N10022" s="9" t="s">
        <v>20</v>
      </c>
      <c r="O10022" s="6" t="str">
        <f>HYPERLINK("https://pbs.twimg.com/profile_images/962471262747529216/Uo8lOkRJ_normal.jpg","View")</f>
        <v>View</v>
      </c>
      <c r="P10022" s="7"/>
    </row>
    <row r="10023" spans="1:16">
      <c r="A10023" s="3">
        <v>44088.828715277778</v>
      </c>
      <c r="B10023" s="4" t="str">
        <f>HYPERLINK("https://twitter.com/petrogustavo","@petrogustavo")</f>
        <v>@petrogustavo</v>
      </c>
      <c r="C10023" s="5" t="s">
        <v>16</v>
      </c>
      <c r="D10023" s="5" t="s">
        <v>9644</v>
      </c>
      <c r="E10023" s="6" t="str">
        <f>HYPERLINK("https://twitter.com/petrogustavo/status/1305512466751934466","1305512466751934466")</f>
        <v>1305512466751934466</v>
      </c>
      <c r="F10023" s="7" t="s">
        <v>17</v>
      </c>
      <c r="G10023" s="7">
        <v>3974729</v>
      </c>
      <c r="H10023" s="7">
        <v>2440</v>
      </c>
      <c r="I10023" s="7">
        <v>96</v>
      </c>
      <c r="J10023" s="7">
        <v>0</v>
      </c>
      <c r="K10023" s="7" t="s">
        <v>18</v>
      </c>
      <c r="L10023" s="8">
        <v>39987.315405092595</v>
      </c>
      <c r="M10023" s="9" t="s">
        <v>19</v>
      </c>
      <c r="N10023" s="9" t="s">
        <v>20</v>
      </c>
      <c r="O10023" s="6" t="str">
        <f>HYPERLINK("https://pbs.twimg.com/profile_images/962471262747529216/Uo8lOkRJ_normal.jpg","View")</f>
        <v>View</v>
      </c>
      <c r="P10023" s="7"/>
    </row>
    <row r="10024" spans="1:16">
      <c r="A10024" s="3">
        <v>44088.829050925924</v>
      </c>
      <c r="B10024" s="4" t="str">
        <f>HYPERLINK("https://twitter.com/petrogustavo","@petrogustavo")</f>
        <v>@petrogustavo</v>
      </c>
      <c r="C10024" s="5" t="s">
        <v>16</v>
      </c>
      <c r="D10024" s="5" t="s">
        <v>9645</v>
      </c>
      <c r="E10024" s="6" t="str">
        <f>HYPERLINK("https://twitter.com/petrogustavo/status/1305512586390241285","1305512586390241285")</f>
        <v>1305512586390241285</v>
      </c>
      <c r="F10024" s="7" t="s">
        <v>17</v>
      </c>
      <c r="G10024" s="7">
        <v>3974729</v>
      </c>
      <c r="H10024" s="7">
        <v>2440</v>
      </c>
      <c r="I10024" s="7">
        <v>30</v>
      </c>
      <c r="J10024" s="7">
        <v>0</v>
      </c>
      <c r="K10024" s="7" t="s">
        <v>18</v>
      </c>
      <c r="L10024" s="8">
        <v>39987.315405092595</v>
      </c>
      <c r="M10024" s="9" t="s">
        <v>19</v>
      </c>
      <c r="N10024" s="9" t="s">
        <v>20</v>
      </c>
      <c r="O10024" s="6" t="str">
        <f>HYPERLINK("https://pbs.twimg.com/profile_images/962471262747529216/Uo8lOkRJ_normal.jpg","View")</f>
        <v>View</v>
      </c>
      <c r="P10024" s="7"/>
    </row>
    <row r="10025" spans="1:16">
      <c r="A10025" s="3">
        <v>44088.839537037042</v>
      </c>
      <c r="B10025" s="4" t="str">
        <f>HYPERLINK("https://twitter.com/petrogustavo","@petrogustavo")</f>
        <v>@petrogustavo</v>
      </c>
      <c r="C10025" s="5" t="s">
        <v>16</v>
      </c>
      <c r="D10025" s="5" t="s">
        <v>9646</v>
      </c>
      <c r="E10025" s="6" t="str">
        <f>HYPERLINK("https://twitter.com/petrogustavo/status/1305516388086411265","1305516388086411265")</f>
        <v>1305516388086411265</v>
      </c>
      <c r="F10025" s="7" t="s">
        <v>17</v>
      </c>
      <c r="G10025" s="7">
        <v>3974729</v>
      </c>
      <c r="H10025" s="7">
        <v>2440</v>
      </c>
      <c r="I10025" s="7">
        <v>98</v>
      </c>
      <c r="J10025" s="7">
        <v>299</v>
      </c>
      <c r="K10025" s="7" t="s">
        <v>18</v>
      </c>
      <c r="L10025" s="8">
        <v>39987.315405092595</v>
      </c>
      <c r="M10025" s="9" t="s">
        <v>19</v>
      </c>
      <c r="N10025" s="9" t="s">
        <v>20</v>
      </c>
      <c r="O10025" s="6" t="str">
        <f>HYPERLINK("https://pbs.twimg.com/profile_images/962471262747529216/Uo8lOkRJ_normal.jpg","View")</f>
        <v>View</v>
      </c>
      <c r="P10025" s="7"/>
    </row>
    <row r="10026" spans="1:16">
      <c r="A10026" s="3">
        <v>44088.860300925924</v>
      </c>
      <c r="B10026" s="4" t="str">
        <f>HYPERLINK("https://twitter.com/petrogustavo","@petrogustavo")</f>
        <v>@petrogustavo</v>
      </c>
      <c r="C10026" s="5" t="s">
        <v>16</v>
      </c>
      <c r="D10026" s="5" t="s">
        <v>9647</v>
      </c>
      <c r="E10026" s="6" t="str">
        <f>HYPERLINK("https://twitter.com/petrogustavo/status/1305523909819801601","1305523909819801601")</f>
        <v>1305523909819801601</v>
      </c>
      <c r="F10026" s="7" t="s">
        <v>17</v>
      </c>
      <c r="G10026" s="7">
        <v>3974768</v>
      </c>
      <c r="H10026" s="7">
        <v>2440</v>
      </c>
      <c r="I10026" s="7">
        <v>158</v>
      </c>
      <c r="J10026" s="7">
        <v>286</v>
      </c>
      <c r="K10026" s="7" t="s">
        <v>18</v>
      </c>
      <c r="L10026" s="8">
        <v>39987.315405092595</v>
      </c>
      <c r="M10026" s="9" t="s">
        <v>19</v>
      </c>
      <c r="N10026" s="9" t="s">
        <v>20</v>
      </c>
      <c r="O10026" s="6" t="str">
        <f>HYPERLINK("https://pbs.twimg.com/profile_images/962471262747529216/Uo8lOkRJ_normal.jpg","View")</f>
        <v>View</v>
      </c>
      <c r="P10026" s="7"/>
    </row>
    <row r="10027" spans="1:16">
      <c r="A10027" s="3">
        <v>44088.866273148145</v>
      </c>
      <c r="B10027" s="4" t="str">
        <f>HYPERLINK("https://twitter.com/petrogustavo","@petrogustavo")</f>
        <v>@petrogustavo</v>
      </c>
      <c r="C10027" s="5" t="s">
        <v>16</v>
      </c>
      <c r="D10027" s="5" t="s">
        <v>9648</v>
      </c>
      <c r="E10027" s="6" t="str">
        <f>HYPERLINK("https://twitter.com/petrogustavo/status/1305526076655927298","1305526076655927298")</f>
        <v>1305526076655927298</v>
      </c>
      <c r="F10027" s="7" t="s">
        <v>17</v>
      </c>
      <c r="G10027" s="7">
        <v>3974768</v>
      </c>
      <c r="H10027" s="7">
        <v>2440</v>
      </c>
      <c r="I10027" s="7">
        <v>24</v>
      </c>
      <c r="J10027" s="7">
        <v>52</v>
      </c>
      <c r="K10027" s="7" t="s">
        <v>18</v>
      </c>
      <c r="L10027" s="8">
        <v>39987.315405092595</v>
      </c>
      <c r="M10027" s="9" t="s">
        <v>19</v>
      </c>
      <c r="N10027" s="9" t="s">
        <v>20</v>
      </c>
      <c r="O10027" s="6" t="str">
        <f>HYPERLINK("https://pbs.twimg.com/profile_images/962471262747529216/Uo8lOkRJ_normal.jpg","View")</f>
        <v>View</v>
      </c>
      <c r="P10027" s="7"/>
    </row>
    <row r="10028" spans="1:16">
      <c r="A10028" s="3">
        <v>44088.88548611111</v>
      </c>
      <c r="B10028" s="4" t="str">
        <f>HYPERLINK("https://twitter.com/petrogustavo","@petrogustavo")</f>
        <v>@petrogustavo</v>
      </c>
      <c r="C10028" s="5" t="s">
        <v>16</v>
      </c>
      <c r="D10028" s="5" t="s">
        <v>9649</v>
      </c>
      <c r="E10028" s="6" t="str">
        <f>HYPERLINK("https://twitter.com/petrogustavo/status/1305533036109467656","1305533036109467656")</f>
        <v>1305533036109467656</v>
      </c>
      <c r="F10028" s="7" t="s">
        <v>17</v>
      </c>
      <c r="G10028" s="7">
        <v>3974811</v>
      </c>
      <c r="H10028" s="7">
        <v>2440</v>
      </c>
      <c r="I10028" s="7">
        <v>32</v>
      </c>
      <c r="J10028" s="7">
        <v>90</v>
      </c>
      <c r="K10028" s="7" t="s">
        <v>18</v>
      </c>
      <c r="L10028" s="8">
        <v>39987.315405092595</v>
      </c>
      <c r="M10028" s="9" t="s">
        <v>19</v>
      </c>
      <c r="N10028" s="9" t="s">
        <v>20</v>
      </c>
      <c r="O10028" s="6" t="str">
        <f>HYPERLINK("https://pbs.twimg.com/profile_images/962471262747529216/Uo8lOkRJ_normal.jpg","View")</f>
        <v>View</v>
      </c>
      <c r="P10028" s="7"/>
    </row>
    <row r="10029" spans="1:16">
      <c r="A10029" s="3">
        <v>44088.888379629629</v>
      </c>
      <c r="B10029" s="4" t="str">
        <f>HYPERLINK("https://twitter.com/petrogustavo","@petrogustavo")</f>
        <v>@petrogustavo</v>
      </c>
      <c r="C10029" s="5" t="s">
        <v>16</v>
      </c>
      <c r="D10029" s="5" t="s">
        <v>9650</v>
      </c>
      <c r="E10029" s="6" t="str">
        <f>HYPERLINK("https://twitter.com/petrogustavo/status/1305534086958768129","1305534086958768129")</f>
        <v>1305534086958768129</v>
      </c>
      <c r="F10029" s="7" t="s">
        <v>17</v>
      </c>
      <c r="G10029" s="7">
        <v>3974811</v>
      </c>
      <c r="H10029" s="7">
        <v>2440</v>
      </c>
      <c r="I10029" s="7">
        <v>4</v>
      </c>
      <c r="J10029" s="7">
        <v>21</v>
      </c>
      <c r="K10029" s="7" t="s">
        <v>18</v>
      </c>
      <c r="L10029" s="8">
        <v>39987.315405092595</v>
      </c>
      <c r="M10029" s="9" t="s">
        <v>19</v>
      </c>
      <c r="N10029" s="9" t="s">
        <v>20</v>
      </c>
      <c r="O10029" s="6" t="str">
        <f>HYPERLINK("https://pbs.twimg.com/profile_images/962471262747529216/Uo8lOkRJ_normal.jpg","View")</f>
        <v>View</v>
      </c>
      <c r="P10029" s="7"/>
    </row>
    <row r="10030" spans="1:16">
      <c r="A10030" s="3">
        <v>44088.89979166667</v>
      </c>
      <c r="B10030" s="4" t="str">
        <f>HYPERLINK("https://twitter.com/petrogustavo","@petrogustavo")</f>
        <v>@petrogustavo</v>
      </c>
      <c r="C10030" s="5" t="s">
        <v>16</v>
      </c>
      <c r="D10030" s="5" t="s">
        <v>9651</v>
      </c>
      <c r="E10030" s="6" t="str">
        <f>HYPERLINK("https://twitter.com/petrogustavo/status/1305538222999695360","1305538222999695360")</f>
        <v>1305538222999695360</v>
      </c>
      <c r="F10030" s="7" t="s">
        <v>17</v>
      </c>
      <c r="G10030" s="7">
        <v>3974822</v>
      </c>
      <c r="H10030" s="7">
        <v>2440</v>
      </c>
      <c r="I10030" s="7">
        <v>70</v>
      </c>
      <c r="J10030" s="7">
        <v>159</v>
      </c>
      <c r="K10030" s="7" t="s">
        <v>18</v>
      </c>
      <c r="L10030" s="8">
        <v>39987.315405092595</v>
      </c>
      <c r="M10030" s="9" t="s">
        <v>19</v>
      </c>
      <c r="N10030" s="9" t="s">
        <v>20</v>
      </c>
      <c r="O10030" s="6" t="str">
        <f>HYPERLINK("https://pbs.twimg.com/profile_images/962471262747529216/Uo8lOkRJ_normal.jpg","View")</f>
        <v>View</v>
      </c>
      <c r="P10030" s="7"/>
    </row>
    <row r="10031" spans="1:16">
      <c r="A10031" s="3">
        <v>44088.914826388893</v>
      </c>
      <c r="B10031" s="4" t="str">
        <f>HYPERLINK("https://twitter.com/petrogustavo","@petrogustavo")</f>
        <v>@petrogustavo</v>
      </c>
      <c r="C10031" s="5" t="s">
        <v>16</v>
      </c>
      <c r="D10031" s="5" t="s">
        <v>9652</v>
      </c>
      <c r="E10031" s="6" t="str">
        <f>HYPERLINK("https://twitter.com/petrogustavo/status/1305543671648002048","1305543671648002048")</f>
        <v>1305543671648002048</v>
      </c>
      <c r="F10031" s="7" t="s">
        <v>17</v>
      </c>
      <c r="G10031" s="7">
        <v>3974859</v>
      </c>
      <c r="H10031" s="7">
        <v>2440</v>
      </c>
      <c r="I10031" s="7">
        <v>184</v>
      </c>
      <c r="J10031" s="7">
        <v>614</v>
      </c>
      <c r="K10031" s="7" t="s">
        <v>18</v>
      </c>
      <c r="L10031" s="8">
        <v>39987.315405092595</v>
      </c>
      <c r="M10031" s="9" t="s">
        <v>19</v>
      </c>
      <c r="N10031" s="9" t="s">
        <v>20</v>
      </c>
      <c r="O10031" s="6" t="str">
        <f>HYPERLINK("https://pbs.twimg.com/profile_images/962471262747529216/Uo8lOkRJ_normal.jpg","View")</f>
        <v>View</v>
      </c>
      <c r="P10031" s="7"/>
    </row>
    <row r="10032" spans="1:16">
      <c r="A10032" s="3">
        <v>44088.995405092588</v>
      </c>
      <c r="B10032" s="4" t="str">
        <f>HYPERLINK("https://twitter.com/petrogustavo","@petrogustavo")</f>
        <v>@petrogustavo</v>
      </c>
      <c r="C10032" s="5" t="s">
        <v>16</v>
      </c>
      <c r="D10032" s="5" t="s">
        <v>9653</v>
      </c>
      <c r="E10032" s="6" t="str">
        <f>HYPERLINK("https://twitter.com/petrogustavo/status/1305572872728072192","1305572872728072192")</f>
        <v>1305572872728072192</v>
      </c>
      <c r="F10032" s="7" t="s">
        <v>17</v>
      </c>
      <c r="G10032" s="7">
        <v>3974987</v>
      </c>
      <c r="H10032" s="7">
        <v>2440</v>
      </c>
      <c r="I10032" s="7">
        <v>43</v>
      </c>
      <c r="J10032" s="7">
        <v>0</v>
      </c>
      <c r="K10032" s="7" t="s">
        <v>18</v>
      </c>
      <c r="L10032" s="8">
        <v>39987.315405092595</v>
      </c>
      <c r="M10032" s="9" t="s">
        <v>19</v>
      </c>
      <c r="N10032" s="9" t="s">
        <v>20</v>
      </c>
      <c r="O10032" s="6" t="str">
        <f>HYPERLINK("https://pbs.twimg.com/profile_images/962471262747529216/Uo8lOkRJ_normal.jpg","View")</f>
        <v>View</v>
      </c>
      <c r="P10032" s="7"/>
    </row>
    <row r="10033" spans="1:16">
      <c r="A10033" s="3">
        <v>44088.997511574074</v>
      </c>
      <c r="B10033" s="4" t="str">
        <f>HYPERLINK("https://twitter.com/petrogustavo","@petrogustavo")</f>
        <v>@petrogustavo</v>
      </c>
      <c r="C10033" s="5" t="s">
        <v>16</v>
      </c>
      <c r="D10033" s="5" t="s">
        <v>9654</v>
      </c>
      <c r="E10033" s="6" t="str">
        <f>HYPERLINK("https://twitter.com/petrogustavo/status/1305573633214083077","1305573633214083077")</f>
        <v>1305573633214083077</v>
      </c>
      <c r="F10033" s="7" t="s">
        <v>17</v>
      </c>
      <c r="G10033" s="7">
        <v>3974987</v>
      </c>
      <c r="H10033" s="7">
        <v>2440</v>
      </c>
      <c r="I10033" s="7">
        <v>277</v>
      </c>
      <c r="J10033" s="7">
        <v>745</v>
      </c>
      <c r="K10033" s="7" t="s">
        <v>18</v>
      </c>
      <c r="L10033" s="8">
        <v>39987.315405092595</v>
      </c>
      <c r="M10033" s="9" t="s">
        <v>19</v>
      </c>
      <c r="N10033" s="9" t="s">
        <v>20</v>
      </c>
      <c r="O10033" s="6" t="str">
        <f>HYPERLINK("https://pbs.twimg.com/profile_images/962471262747529216/Uo8lOkRJ_normal.jpg","View")</f>
        <v>View</v>
      </c>
      <c r="P10033" s="7"/>
    </row>
    <row r="10034" spans="1:16">
      <c r="A10034" s="3">
        <v>44089.001805555556</v>
      </c>
      <c r="B10034" s="4" t="str">
        <f>HYPERLINK("https://twitter.com/petrogustavo","@petrogustavo")</f>
        <v>@petrogustavo</v>
      </c>
      <c r="C10034" s="5" t="s">
        <v>16</v>
      </c>
      <c r="D10034" s="5" t="s">
        <v>9655</v>
      </c>
      <c r="E10034" s="6" t="str">
        <f>HYPERLINK("https://twitter.com/petrogustavo/status/1305575189749657604","1305575189749657604")</f>
        <v>1305575189749657604</v>
      </c>
      <c r="F10034" s="7" t="s">
        <v>17</v>
      </c>
      <c r="G10034" s="7">
        <v>3974987</v>
      </c>
      <c r="H10034" s="7">
        <v>2440</v>
      </c>
      <c r="I10034" s="7">
        <v>70</v>
      </c>
      <c r="J10034" s="7">
        <v>135</v>
      </c>
      <c r="K10034" s="7" t="s">
        <v>18</v>
      </c>
      <c r="L10034" s="8">
        <v>39987.315405092595</v>
      </c>
      <c r="M10034" s="9" t="s">
        <v>19</v>
      </c>
      <c r="N10034" s="9" t="s">
        <v>20</v>
      </c>
      <c r="O10034" s="6" t="str">
        <f>HYPERLINK("https://pbs.twimg.com/profile_images/962471262747529216/Uo8lOkRJ_normal.jpg","View")</f>
        <v>View</v>
      </c>
      <c r="P10034" s="7"/>
    </row>
    <row r="10035" spans="1:16">
      <c r="A10035" s="3">
        <v>44089.006423611107</v>
      </c>
      <c r="B10035" s="4" t="str">
        <f>HYPERLINK("https://twitter.com/petrogustavo","@petrogustavo")</f>
        <v>@petrogustavo</v>
      </c>
      <c r="C10035" s="5" t="s">
        <v>16</v>
      </c>
      <c r="D10035" s="5" t="s">
        <v>9656</v>
      </c>
      <c r="E10035" s="6" t="str">
        <f>HYPERLINK("https://twitter.com/petrogustavo/status/1305576864010862593","1305576864010862593")</f>
        <v>1305576864010862593</v>
      </c>
      <c r="F10035" s="7" t="s">
        <v>17</v>
      </c>
      <c r="G10035" s="7">
        <v>3974987</v>
      </c>
      <c r="H10035" s="7">
        <v>2440</v>
      </c>
      <c r="I10035" s="7">
        <v>226</v>
      </c>
      <c r="J10035" s="7">
        <v>645</v>
      </c>
      <c r="K10035" s="7" t="s">
        <v>18</v>
      </c>
      <c r="L10035" s="8">
        <v>39987.315405092595</v>
      </c>
      <c r="M10035" s="9" t="s">
        <v>19</v>
      </c>
      <c r="N10035" s="9" t="s">
        <v>20</v>
      </c>
      <c r="O10035" s="6" t="str">
        <f>HYPERLINK("https://pbs.twimg.com/profile_images/962471262747529216/Uo8lOkRJ_normal.jpg","View")</f>
        <v>View</v>
      </c>
      <c r="P10035" s="7"/>
    </row>
    <row r="10036" spans="1:16">
      <c r="A10036" s="3">
        <v>44089.017372685186</v>
      </c>
      <c r="B10036" s="4" t="str">
        <f>HYPERLINK("https://twitter.com/petrogustavo","@petrogustavo")</f>
        <v>@petrogustavo</v>
      </c>
      <c r="C10036" s="5" t="s">
        <v>16</v>
      </c>
      <c r="D10036" s="5" t="s">
        <v>9657</v>
      </c>
      <c r="E10036" s="6" t="str">
        <f>HYPERLINK("https://twitter.com/petrogustavo/status/1305580833894469634","1305580833894469634")</f>
        <v>1305580833894469634</v>
      </c>
      <c r="F10036" s="7" t="s">
        <v>17</v>
      </c>
      <c r="G10036" s="7">
        <v>3975009</v>
      </c>
      <c r="H10036" s="7">
        <v>2440</v>
      </c>
      <c r="I10036" s="7">
        <v>479</v>
      </c>
      <c r="J10036" s="7">
        <v>0</v>
      </c>
      <c r="K10036" s="7" t="s">
        <v>18</v>
      </c>
      <c r="L10036" s="8">
        <v>39987.315405092595</v>
      </c>
      <c r="M10036" s="9" t="s">
        <v>19</v>
      </c>
      <c r="N10036" s="9" t="s">
        <v>20</v>
      </c>
      <c r="O10036" s="6" t="str">
        <f>HYPERLINK("https://pbs.twimg.com/profile_images/962471262747529216/Uo8lOkRJ_normal.jpg","View")</f>
        <v>View</v>
      </c>
      <c r="P10036" s="7"/>
    </row>
    <row r="10037" spans="1:16">
      <c r="A10037" s="3">
        <v>44089.167905092589</v>
      </c>
      <c r="B10037" s="4" t="str">
        <f>HYPERLINK("https://twitter.com/petrogustavo","@petrogustavo")</f>
        <v>@petrogustavo</v>
      </c>
      <c r="C10037" s="5" t="s">
        <v>16</v>
      </c>
      <c r="D10037" s="5" t="s">
        <v>9658</v>
      </c>
      <c r="E10037" s="6" t="str">
        <f>HYPERLINK("https://twitter.com/petrogustavo/status/1305635382944555018","1305635382944555018")</f>
        <v>1305635382944555018</v>
      </c>
      <c r="F10037" s="7" t="s">
        <v>17</v>
      </c>
      <c r="G10037" s="7">
        <v>3975177</v>
      </c>
      <c r="H10037" s="7">
        <v>2440</v>
      </c>
      <c r="I10037" s="7">
        <v>848</v>
      </c>
      <c r="J10037" s="7">
        <v>0</v>
      </c>
      <c r="K10037" s="7" t="s">
        <v>18</v>
      </c>
      <c r="L10037" s="8">
        <v>39987.315405092595</v>
      </c>
      <c r="M10037" s="9" t="s">
        <v>19</v>
      </c>
      <c r="N10037" s="9" t="s">
        <v>20</v>
      </c>
      <c r="O10037" s="6" t="str">
        <f>HYPERLINK("https://pbs.twimg.com/profile_images/962471262747529216/Uo8lOkRJ_normal.jpg","View")</f>
        <v>View</v>
      </c>
      <c r="P10037" s="7"/>
    </row>
    <row r="10038" spans="1:16">
      <c r="A10038" s="3">
        <v>44089.168425925927</v>
      </c>
      <c r="B10038" s="4" t="str">
        <f>HYPERLINK("https://twitter.com/petrogustavo","@petrogustavo")</f>
        <v>@petrogustavo</v>
      </c>
      <c r="C10038" s="5" t="s">
        <v>16</v>
      </c>
      <c r="D10038" s="5" t="s">
        <v>9659</v>
      </c>
      <c r="E10038" s="6" t="str">
        <f>HYPERLINK("https://twitter.com/petrogustavo/status/1305635573114318851","1305635573114318851")</f>
        <v>1305635573114318851</v>
      </c>
      <c r="F10038" s="7" t="s">
        <v>17</v>
      </c>
      <c r="G10038" s="7">
        <v>3975177</v>
      </c>
      <c r="H10038" s="7">
        <v>2440</v>
      </c>
      <c r="I10038" s="7">
        <v>548</v>
      </c>
      <c r="J10038" s="7">
        <v>0</v>
      </c>
      <c r="K10038" s="7" t="s">
        <v>18</v>
      </c>
      <c r="L10038" s="8">
        <v>39987.315405092595</v>
      </c>
      <c r="M10038" s="9" t="s">
        <v>19</v>
      </c>
      <c r="N10038" s="9" t="s">
        <v>20</v>
      </c>
      <c r="O10038" s="6" t="str">
        <f>HYPERLINK("https://pbs.twimg.com/profile_images/962471262747529216/Uo8lOkRJ_normal.jpg","View")</f>
        <v>View</v>
      </c>
      <c r="P10038" s="7"/>
    </row>
    <row r="10039" spans="1:16">
      <c r="A10039" s="3">
        <v>44089.170995370368</v>
      </c>
      <c r="B10039" s="4" t="str">
        <f>HYPERLINK("https://twitter.com/petrogustavo","@petrogustavo")</f>
        <v>@petrogustavo</v>
      </c>
      <c r="C10039" s="5" t="s">
        <v>16</v>
      </c>
      <c r="D10039" s="5" t="s">
        <v>9660</v>
      </c>
      <c r="E10039" s="6" t="str">
        <f>HYPERLINK("https://twitter.com/petrogustavo/status/1305636502119084038","1305636502119084038")</f>
        <v>1305636502119084038</v>
      </c>
      <c r="F10039" s="7" t="s">
        <v>17</v>
      </c>
      <c r="G10039" s="7">
        <v>3975177</v>
      </c>
      <c r="H10039" s="7">
        <v>2440</v>
      </c>
      <c r="I10039" s="7">
        <v>42</v>
      </c>
      <c r="J10039" s="7">
        <v>0</v>
      </c>
      <c r="K10039" s="7" t="s">
        <v>18</v>
      </c>
      <c r="L10039" s="8">
        <v>39987.315405092595</v>
      </c>
      <c r="M10039" s="9" t="s">
        <v>19</v>
      </c>
      <c r="N10039" s="9" t="s">
        <v>20</v>
      </c>
      <c r="O10039" s="6" t="str">
        <f>HYPERLINK("https://pbs.twimg.com/profile_images/962471262747529216/Uo8lOkRJ_normal.jpg","View")</f>
        <v>View</v>
      </c>
      <c r="P10039" s="7"/>
    </row>
    <row r="10040" spans="1:16">
      <c r="A10040" s="3">
        <v>44089.171400462961</v>
      </c>
      <c r="B10040" s="4" t="str">
        <f>HYPERLINK("https://twitter.com/petrogustavo","@petrogustavo")</f>
        <v>@petrogustavo</v>
      </c>
      <c r="C10040" s="5" t="s">
        <v>16</v>
      </c>
      <c r="D10040" s="5" t="s">
        <v>9661</v>
      </c>
      <c r="E10040" s="6" t="str">
        <f>HYPERLINK("https://twitter.com/petrogustavo/status/1305636649859244032","1305636649859244032")</f>
        <v>1305636649859244032</v>
      </c>
      <c r="F10040" s="7" t="s">
        <v>17</v>
      </c>
      <c r="G10040" s="7">
        <v>3975177</v>
      </c>
      <c r="H10040" s="7">
        <v>2440</v>
      </c>
      <c r="I10040" s="7">
        <v>78</v>
      </c>
      <c r="J10040" s="7">
        <v>0</v>
      </c>
      <c r="K10040" s="7" t="s">
        <v>18</v>
      </c>
      <c r="L10040" s="8">
        <v>39987.315405092595</v>
      </c>
      <c r="M10040" s="9" t="s">
        <v>19</v>
      </c>
      <c r="N10040" s="9" t="s">
        <v>20</v>
      </c>
      <c r="O10040" s="6" t="str">
        <f>HYPERLINK("https://pbs.twimg.com/profile_images/962471262747529216/Uo8lOkRJ_normal.jpg","View")</f>
        <v>View</v>
      </c>
      <c r="P10040" s="7"/>
    </row>
    <row r="10041" spans="1:16">
      <c r="A10041" s="3">
        <v>44089.172280092593</v>
      </c>
      <c r="B10041" s="4" t="str">
        <f>HYPERLINK("https://twitter.com/petrogustavo","@petrogustavo")</f>
        <v>@petrogustavo</v>
      </c>
      <c r="C10041" s="5" t="s">
        <v>16</v>
      </c>
      <c r="D10041" s="5" t="s">
        <v>9662</v>
      </c>
      <c r="E10041" s="6" t="str">
        <f>HYPERLINK("https://twitter.com/petrogustavo/status/1305636969603575814","1305636969603575814")</f>
        <v>1305636969603575814</v>
      </c>
      <c r="F10041" s="7" t="s">
        <v>17</v>
      </c>
      <c r="G10041" s="7">
        <v>3975177</v>
      </c>
      <c r="H10041" s="7">
        <v>2440</v>
      </c>
      <c r="I10041" s="7">
        <v>480</v>
      </c>
      <c r="J10041" s="7">
        <v>0</v>
      </c>
      <c r="K10041" s="7" t="s">
        <v>18</v>
      </c>
      <c r="L10041" s="8">
        <v>39987.315405092595</v>
      </c>
      <c r="M10041" s="9" t="s">
        <v>19</v>
      </c>
      <c r="N10041" s="9" t="s">
        <v>20</v>
      </c>
      <c r="O10041" s="6" t="str">
        <f>HYPERLINK("https://pbs.twimg.com/profile_images/962471262747529216/Uo8lOkRJ_normal.jpg","View")</f>
        <v>View</v>
      </c>
      <c r="P10041" s="7"/>
    </row>
    <row r="10042" spans="1:16">
      <c r="A10042" s="3">
        <v>44089.175740740742</v>
      </c>
      <c r="B10042" s="4" t="str">
        <f>HYPERLINK("https://twitter.com/petrogustavo","@petrogustavo")</f>
        <v>@petrogustavo</v>
      </c>
      <c r="C10042" s="5" t="s">
        <v>16</v>
      </c>
      <c r="D10042" s="5" t="s">
        <v>9663</v>
      </c>
      <c r="E10042" s="6" t="str">
        <f>HYPERLINK("https://twitter.com/petrogustavo/status/1305638221523681281","1305638221523681281")</f>
        <v>1305638221523681281</v>
      </c>
      <c r="F10042" s="7" t="s">
        <v>17</v>
      </c>
      <c r="G10042" s="7">
        <v>3975177</v>
      </c>
      <c r="H10042" s="7">
        <v>2440</v>
      </c>
      <c r="I10042" s="7">
        <v>178</v>
      </c>
      <c r="J10042" s="7">
        <v>0</v>
      </c>
      <c r="K10042" s="7" t="s">
        <v>18</v>
      </c>
      <c r="L10042" s="8">
        <v>39987.315405092595</v>
      </c>
      <c r="M10042" s="9" t="s">
        <v>19</v>
      </c>
      <c r="N10042" s="9" t="s">
        <v>20</v>
      </c>
      <c r="O10042" s="6" t="str">
        <f>HYPERLINK("https://pbs.twimg.com/profile_images/962471262747529216/Uo8lOkRJ_normal.jpg","View")</f>
        <v>View</v>
      </c>
      <c r="P10042" s="7"/>
    </row>
    <row r="10043" spans="1:16">
      <c r="A10043" s="3">
        <v>44089.183298611111</v>
      </c>
      <c r="B10043" s="4" t="str">
        <f>HYPERLINK("https://twitter.com/petrogustavo","@petrogustavo")</f>
        <v>@petrogustavo</v>
      </c>
      <c r="C10043" s="5" t="s">
        <v>16</v>
      </c>
      <c r="D10043" s="5" t="s">
        <v>9664</v>
      </c>
      <c r="E10043" s="6" t="str">
        <f>HYPERLINK("https://twitter.com/petrogustavo/status/1305640962560069632","1305640962560069632")</f>
        <v>1305640962560069632</v>
      </c>
      <c r="F10043" s="7" t="s">
        <v>17</v>
      </c>
      <c r="G10043" s="7">
        <v>3975225</v>
      </c>
      <c r="H10043" s="7">
        <v>2440</v>
      </c>
      <c r="I10043" s="7">
        <v>212</v>
      </c>
      <c r="J10043" s="7">
        <v>0</v>
      </c>
      <c r="K10043" s="7" t="s">
        <v>18</v>
      </c>
      <c r="L10043" s="8">
        <v>39987.315405092595</v>
      </c>
      <c r="M10043" s="9" t="s">
        <v>19</v>
      </c>
      <c r="N10043" s="9" t="s">
        <v>20</v>
      </c>
      <c r="O10043" s="6" t="str">
        <f>HYPERLINK("https://pbs.twimg.com/profile_images/962471262747529216/Uo8lOkRJ_normal.jpg","View")</f>
        <v>View</v>
      </c>
      <c r="P10043" s="7"/>
    </row>
    <row r="10044" spans="1:16">
      <c r="A10044" s="3">
        <v>44089.19694444444</v>
      </c>
      <c r="B10044" s="4" t="str">
        <f>HYPERLINK("https://twitter.com/petrogustavo","@petrogustavo")</f>
        <v>@petrogustavo</v>
      </c>
      <c r="C10044" s="5" t="s">
        <v>16</v>
      </c>
      <c r="D10044" s="5" t="s">
        <v>9665</v>
      </c>
      <c r="E10044" s="6" t="str">
        <f>HYPERLINK("https://twitter.com/petrogustavo/status/1305645904867844096","1305645904867844096")</f>
        <v>1305645904867844096</v>
      </c>
      <c r="F10044" s="7" t="s">
        <v>17</v>
      </c>
      <c r="G10044" s="7">
        <v>3975225</v>
      </c>
      <c r="H10044" s="7">
        <v>2440</v>
      </c>
      <c r="I10044" s="7">
        <v>82</v>
      </c>
      <c r="J10044" s="7">
        <v>0</v>
      </c>
      <c r="K10044" s="7" t="s">
        <v>18</v>
      </c>
      <c r="L10044" s="8">
        <v>39987.315405092595</v>
      </c>
      <c r="M10044" s="9" t="s">
        <v>19</v>
      </c>
      <c r="N10044" s="9" t="s">
        <v>20</v>
      </c>
      <c r="O10044" s="6" t="str">
        <f>HYPERLINK("https://pbs.twimg.com/profile_images/962471262747529216/Uo8lOkRJ_normal.jpg","View")</f>
        <v>View</v>
      </c>
      <c r="P10044" s="7"/>
    </row>
    <row r="10045" spans="1:16">
      <c r="A10045" s="3">
        <v>44089.197280092594</v>
      </c>
      <c r="B10045" s="4" t="str">
        <f>HYPERLINK("https://twitter.com/petrogustavo","@petrogustavo")</f>
        <v>@petrogustavo</v>
      </c>
      <c r="C10045" s="5" t="s">
        <v>16</v>
      </c>
      <c r="D10045" s="5" t="s">
        <v>9666</v>
      </c>
      <c r="E10045" s="6" t="str">
        <f>HYPERLINK("https://twitter.com/petrogustavo/status/1305646030143270915","1305646030143270915")</f>
        <v>1305646030143270915</v>
      </c>
      <c r="F10045" s="7" t="s">
        <v>17</v>
      </c>
      <c r="G10045" s="7">
        <v>3975225</v>
      </c>
      <c r="H10045" s="7">
        <v>2440</v>
      </c>
      <c r="I10045" s="7">
        <v>43</v>
      </c>
      <c r="J10045" s="7">
        <v>0</v>
      </c>
      <c r="K10045" s="7" t="s">
        <v>18</v>
      </c>
      <c r="L10045" s="8">
        <v>39987.315405092595</v>
      </c>
      <c r="M10045" s="9" t="s">
        <v>19</v>
      </c>
      <c r="N10045" s="9" t="s">
        <v>20</v>
      </c>
      <c r="O10045" s="6" t="str">
        <f>HYPERLINK("https://pbs.twimg.com/profile_images/962471262747529216/Uo8lOkRJ_normal.jpg","View")</f>
        <v>View</v>
      </c>
      <c r="P10045" s="7"/>
    </row>
    <row r="10046" spans="1:16">
      <c r="A10046" s="3">
        <v>44089.198379629626</v>
      </c>
      <c r="B10046" s="4" t="str">
        <f>HYPERLINK("https://twitter.com/petrogustavo","@petrogustavo")</f>
        <v>@petrogustavo</v>
      </c>
      <c r="C10046" s="5" t="s">
        <v>16</v>
      </c>
      <c r="D10046" s="5" t="s">
        <v>9667</v>
      </c>
      <c r="E10046" s="6" t="str">
        <f>HYPERLINK("https://twitter.com/petrogustavo/status/1305646426379227136","1305646426379227136")</f>
        <v>1305646426379227136</v>
      </c>
      <c r="F10046" s="7" t="s">
        <v>17</v>
      </c>
      <c r="G10046" s="7">
        <v>3975225</v>
      </c>
      <c r="H10046" s="7">
        <v>2440</v>
      </c>
      <c r="I10046" s="7">
        <v>72</v>
      </c>
      <c r="J10046" s="7">
        <v>0</v>
      </c>
      <c r="K10046" s="7" t="s">
        <v>18</v>
      </c>
      <c r="L10046" s="8">
        <v>39987.315405092595</v>
      </c>
      <c r="M10046" s="9" t="s">
        <v>19</v>
      </c>
      <c r="N10046" s="9" t="s">
        <v>20</v>
      </c>
      <c r="O10046" s="6" t="str">
        <f>HYPERLINK("https://pbs.twimg.com/profile_images/962471262747529216/Uo8lOkRJ_normal.jpg","View")</f>
        <v>View</v>
      </c>
      <c r="P10046" s="7"/>
    </row>
    <row r="10047" spans="1:16">
      <c r="A10047" s="3">
        <v>44089.198854166665</v>
      </c>
      <c r="B10047" s="4" t="str">
        <f>HYPERLINK("https://twitter.com/petrogustavo","@petrogustavo")</f>
        <v>@petrogustavo</v>
      </c>
      <c r="C10047" s="5" t="s">
        <v>16</v>
      </c>
      <c r="D10047" s="5" t="s">
        <v>9668</v>
      </c>
      <c r="E10047" s="6" t="str">
        <f>HYPERLINK("https://twitter.com/petrogustavo/status/1305646599419330561","1305646599419330561")</f>
        <v>1305646599419330561</v>
      </c>
      <c r="F10047" s="7" t="s">
        <v>17</v>
      </c>
      <c r="G10047" s="7">
        <v>3975225</v>
      </c>
      <c r="H10047" s="7">
        <v>2440</v>
      </c>
      <c r="I10047" s="7">
        <v>40</v>
      </c>
      <c r="J10047" s="7">
        <v>0</v>
      </c>
      <c r="K10047" s="7" t="s">
        <v>18</v>
      </c>
      <c r="L10047" s="8">
        <v>39987.315405092595</v>
      </c>
      <c r="M10047" s="9" t="s">
        <v>19</v>
      </c>
      <c r="N10047" s="9" t="s">
        <v>20</v>
      </c>
      <c r="O10047" s="6" t="str">
        <f>HYPERLINK("https://pbs.twimg.com/profile_images/962471262747529216/Uo8lOkRJ_normal.jpg","View")</f>
        <v>View</v>
      </c>
      <c r="P10047" s="7"/>
    </row>
    <row r="10048" spans="1:16">
      <c r="A10048" s="3">
        <v>44089.19913194445</v>
      </c>
      <c r="B10048" s="4" t="str">
        <f>HYPERLINK("https://twitter.com/petrogustavo","@petrogustavo")</f>
        <v>@petrogustavo</v>
      </c>
      <c r="C10048" s="5" t="s">
        <v>16</v>
      </c>
      <c r="D10048" s="5" t="s">
        <v>9669</v>
      </c>
      <c r="E10048" s="6" t="str">
        <f>HYPERLINK("https://twitter.com/petrogustavo/status/1305646701005410304","1305646701005410304")</f>
        <v>1305646701005410304</v>
      </c>
      <c r="F10048" s="7" t="s">
        <v>17</v>
      </c>
      <c r="G10048" s="7">
        <v>3975225</v>
      </c>
      <c r="H10048" s="7">
        <v>2440</v>
      </c>
      <c r="I10048" s="7">
        <v>12</v>
      </c>
      <c r="J10048" s="7">
        <v>0</v>
      </c>
      <c r="K10048" s="7" t="s">
        <v>18</v>
      </c>
      <c r="L10048" s="8">
        <v>39987.315405092595</v>
      </c>
      <c r="M10048" s="9" t="s">
        <v>19</v>
      </c>
      <c r="N10048" s="9" t="s">
        <v>20</v>
      </c>
      <c r="O10048" s="6" t="str">
        <f>HYPERLINK("https://pbs.twimg.com/profile_images/962471262747529216/Uo8lOkRJ_normal.jpg","View")</f>
        <v>View</v>
      </c>
      <c r="P10048" s="7"/>
    </row>
    <row r="10049" spans="1:16">
      <c r="A10049" s="3">
        <v>44089.200983796298</v>
      </c>
      <c r="B10049" s="4" t="str">
        <f>HYPERLINK("https://twitter.com/petrogustavo","@petrogustavo")</f>
        <v>@petrogustavo</v>
      </c>
      <c r="C10049" s="5" t="s">
        <v>16</v>
      </c>
      <c r="D10049" s="5" t="s">
        <v>9670</v>
      </c>
      <c r="E10049" s="6" t="str">
        <f>HYPERLINK("https://twitter.com/petrogustavo/status/1305647369237790720","1305647369237790720")</f>
        <v>1305647369237790720</v>
      </c>
      <c r="F10049" s="7" t="s">
        <v>17</v>
      </c>
      <c r="G10049" s="7">
        <v>3975251</v>
      </c>
      <c r="H10049" s="7">
        <v>2440</v>
      </c>
      <c r="I10049" s="7">
        <v>44</v>
      </c>
      <c r="J10049" s="7">
        <v>0</v>
      </c>
      <c r="K10049" s="7" t="s">
        <v>18</v>
      </c>
      <c r="L10049" s="8">
        <v>39987.315405092595</v>
      </c>
      <c r="M10049" s="9" t="s">
        <v>19</v>
      </c>
      <c r="N10049" s="9" t="s">
        <v>20</v>
      </c>
      <c r="O10049" s="6" t="str">
        <f>HYPERLINK("https://pbs.twimg.com/profile_images/962471262747529216/Uo8lOkRJ_normal.jpg","View")</f>
        <v>View</v>
      </c>
      <c r="P10049" s="7"/>
    </row>
    <row r="10050" spans="1:16">
      <c r="A10050" s="3">
        <v>44089.201620370368</v>
      </c>
      <c r="B10050" s="4" t="str">
        <f>HYPERLINK("https://twitter.com/petrogustavo","@petrogustavo")</f>
        <v>@petrogustavo</v>
      </c>
      <c r="C10050" s="5" t="s">
        <v>16</v>
      </c>
      <c r="D10050" s="5" t="s">
        <v>9671</v>
      </c>
      <c r="E10050" s="6" t="str">
        <f>HYPERLINK("https://twitter.com/petrogustavo/status/1305647600801120256","1305647600801120256")</f>
        <v>1305647600801120256</v>
      </c>
      <c r="F10050" s="7" t="s">
        <v>17</v>
      </c>
      <c r="G10050" s="7">
        <v>3975251</v>
      </c>
      <c r="H10050" s="7">
        <v>2440</v>
      </c>
      <c r="I10050" s="7">
        <v>406</v>
      </c>
      <c r="J10050" s="7">
        <v>1620</v>
      </c>
      <c r="K10050" s="7" t="s">
        <v>18</v>
      </c>
      <c r="L10050" s="8">
        <v>39987.315405092595</v>
      </c>
      <c r="M10050" s="9" t="s">
        <v>19</v>
      </c>
      <c r="N10050" s="9" t="s">
        <v>20</v>
      </c>
      <c r="O10050" s="6" t="str">
        <f>HYPERLINK("https://pbs.twimg.com/profile_images/962471262747529216/Uo8lOkRJ_normal.jpg","View")</f>
        <v>View</v>
      </c>
      <c r="P10050" s="7"/>
    </row>
    <row r="10051" spans="1:16">
      <c r="A10051" s="3">
        <v>44089.268078703702</v>
      </c>
      <c r="B10051" s="4" t="str">
        <f>HYPERLINK("https://twitter.com/petrogustavo","@petrogustavo")</f>
        <v>@petrogustavo</v>
      </c>
      <c r="C10051" s="5" t="s">
        <v>16</v>
      </c>
      <c r="D10051" s="5" t="s">
        <v>9672</v>
      </c>
      <c r="E10051" s="6" t="str">
        <f>HYPERLINK("https://twitter.com/petrogustavo/status/1305671684402315267","1305671684402315267")</f>
        <v>1305671684402315267</v>
      </c>
      <c r="F10051" s="7" t="s">
        <v>32</v>
      </c>
      <c r="G10051" s="7">
        <v>3975320</v>
      </c>
      <c r="H10051" s="7">
        <v>2440</v>
      </c>
      <c r="I10051" s="7">
        <v>67</v>
      </c>
      <c r="J10051" s="7">
        <v>0</v>
      </c>
      <c r="K10051" s="7" t="s">
        <v>18</v>
      </c>
      <c r="L10051" s="8">
        <v>39987.315405092595</v>
      </c>
      <c r="M10051" s="9" t="s">
        <v>19</v>
      </c>
      <c r="N10051" s="9" t="s">
        <v>20</v>
      </c>
      <c r="O10051" s="6" t="str">
        <f>HYPERLINK("https://pbs.twimg.com/profile_images/962471262747529216/Uo8lOkRJ_normal.jpg","View")</f>
        <v>View</v>
      </c>
      <c r="P10051" s="7"/>
    </row>
    <row r="10052" spans="1:16">
      <c r="A10052" s="3">
        <v>44089.283854166672</v>
      </c>
      <c r="B10052" s="4" t="str">
        <f>HYPERLINK("https://twitter.com/petrogustavo","@petrogustavo")</f>
        <v>@petrogustavo</v>
      </c>
      <c r="C10052" s="5" t="s">
        <v>16</v>
      </c>
      <c r="D10052" s="5" t="s">
        <v>9673</v>
      </c>
      <c r="E10052" s="6" t="str">
        <f>HYPERLINK("https://twitter.com/petrogustavo/status/1305677403512090625","1305677403512090625")</f>
        <v>1305677403512090625</v>
      </c>
      <c r="F10052" s="7" t="s">
        <v>32</v>
      </c>
      <c r="G10052" s="7">
        <v>3975320</v>
      </c>
      <c r="H10052" s="7">
        <v>2440</v>
      </c>
      <c r="I10052" s="7">
        <v>1313</v>
      </c>
      <c r="J10052" s="7">
        <v>0</v>
      </c>
      <c r="K10052" s="7" t="s">
        <v>18</v>
      </c>
      <c r="L10052" s="8">
        <v>39987.315405092595</v>
      </c>
      <c r="M10052" s="9" t="s">
        <v>19</v>
      </c>
      <c r="N10052" s="9" t="s">
        <v>20</v>
      </c>
      <c r="O10052" s="6" t="str">
        <f>HYPERLINK("https://pbs.twimg.com/profile_images/962471262747529216/Uo8lOkRJ_normal.jpg","View")</f>
        <v>View</v>
      </c>
      <c r="P10052" s="7"/>
    </row>
    <row r="10053" spans="1:16">
      <c r="A10053" s="3">
        <v>44089.284317129626</v>
      </c>
      <c r="B10053" s="4" t="str">
        <f>HYPERLINK("https://twitter.com/petrogustavo","@petrogustavo")</f>
        <v>@petrogustavo</v>
      </c>
      <c r="C10053" s="5" t="s">
        <v>16</v>
      </c>
      <c r="D10053" s="5" t="s">
        <v>9674</v>
      </c>
      <c r="E10053" s="6" t="str">
        <f>HYPERLINK("https://twitter.com/petrogustavo/status/1305677570885779456","1305677570885779456")</f>
        <v>1305677570885779456</v>
      </c>
      <c r="F10053" s="7" t="s">
        <v>32</v>
      </c>
      <c r="G10053" s="7">
        <v>3975357</v>
      </c>
      <c r="H10053" s="7">
        <v>2440</v>
      </c>
      <c r="I10053" s="7">
        <v>169</v>
      </c>
      <c r="J10053" s="7">
        <v>0</v>
      </c>
      <c r="K10053" s="7" t="s">
        <v>18</v>
      </c>
      <c r="L10053" s="8">
        <v>39987.315405092595</v>
      </c>
      <c r="M10053" s="9" t="s">
        <v>19</v>
      </c>
      <c r="N10053" s="9" t="s">
        <v>20</v>
      </c>
      <c r="O10053" s="6" t="str">
        <f>HYPERLINK("https://pbs.twimg.com/profile_images/962471262747529216/Uo8lOkRJ_normal.jpg","View")</f>
        <v>View</v>
      </c>
      <c r="P10053" s="7"/>
    </row>
    <row r="10054" spans="1:16">
      <c r="A10054" s="3">
        <v>44089.895949074074</v>
      </c>
      <c r="B10054" s="4" t="str">
        <f>HYPERLINK("https://twitter.com/petrogustavo","@petrogustavo")</f>
        <v>@petrogustavo</v>
      </c>
      <c r="C10054" s="5" t="s">
        <v>16</v>
      </c>
      <c r="D10054" s="5" t="s">
        <v>9675</v>
      </c>
      <c r="E10054" s="6" t="str">
        <f>HYPERLINK("https://twitter.com/petrogustavo/status/1305899218134085632","1305899218134085632")</f>
        <v>1305899218134085632</v>
      </c>
      <c r="F10054" s="7" t="s">
        <v>32</v>
      </c>
      <c r="G10054" s="7">
        <v>3975696</v>
      </c>
      <c r="H10054" s="7">
        <v>2439</v>
      </c>
      <c r="I10054" s="7">
        <v>90</v>
      </c>
      <c r="J10054" s="7">
        <v>0</v>
      </c>
      <c r="K10054" s="7" t="s">
        <v>18</v>
      </c>
      <c r="L10054" s="8">
        <v>39987.315405092595</v>
      </c>
      <c r="M10054" s="9" t="s">
        <v>19</v>
      </c>
      <c r="N10054" s="9" t="s">
        <v>20</v>
      </c>
      <c r="O10054" s="6" t="str">
        <f>HYPERLINK("https://pbs.twimg.com/profile_images/962471262747529216/Uo8lOkRJ_normal.jpg","View")</f>
        <v>View</v>
      </c>
      <c r="P10054" s="7"/>
    </row>
    <row r="10055" spans="1:16">
      <c r="A10055" s="3">
        <v>44090.057222222225</v>
      </c>
      <c r="B10055" s="4" t="str">
        <f>HYPERLINK("https://twitter.com/petrogustavo","@petrogustavo")</f>
        <v>@petrogustavo</v>
      </c>
      <c r="C10055" s="5" t="s">
        <v>16</v>
      </c>
      <c r="D10055" s="5" t="s">
        <v>9676</v>
      </c>
      <c r="E10055" s="6" t="str">
        <f>HYPERLINK("https://twitter.com/petrogustavo/status/1305957660970319873","1305957660970319873")</f>
        <v>1305957660970319873</v>
      </c>
      <c r="F10055" s="7" t="s">
        <v>32</v>
      </c>
      <c r="G10055" s="7">
        <v>3975885</v>
      </c>
      <c r="H10055" s="7">
        <v>2439</v>
      </c>
      <c r="I10055" s="7">
        <v>345</v>
      </c>
      <c r="J10055" s="7">
        <v>734</v>
      </c>
      <c r="K10055" s="7" t="s">
        <v>18</v>
      </c>
      <c r="L10055" s="8">
        <v>39987.315405092595</v>
      </c>
      <c r="M10055" s="9" t="s">
        <v>19</v>
      </c>
      <c r="N10055" s="9" t="s">
        <v>20</v>
      </c>
      <c r="O10055" s="6" t="str">
        <f>HYPERLINK("https://pbs.twimg.com/profile_images/962471262747529216/Uo8lOkRJ_normal.jpg","View")</f>
        <v>View</v>
      </c>
      <c r="P10055" s="7"/>
    </row>
    <row r="10056" spans="1:16">
      <c r="A10056" s="3">
        <v>44090.077465277776</v>
      </c>
      <c r="B10056" s="4" t="str">
        <f>HYPERLINK("https://twitter.com/petrogustavo","@petrogustavo")</f>
        <v>@petrogustavo</v>
      </c>
      <c r="C10056" s="5" t="s">
        <v>16</v>
      </c>
      <c r="D10056" s="5" t="s">
        <v>9677</v>
      </c>
      <c r="E10056" s="6" t="str">
        <f>HYPERLINK("https://twitter.com/petrogustavo/status/1305964995121905665","1305964995121905665")</f>
        <v>1305964995121905665</v>
      </c>
      <c r="F10056" s="7" t="s">
        <v>32</v>
      </c>
      <c r="G10056" s="7">
        <v>3975910</v>
      </c>
      <c r="H10056" s="7">
        <v>2439</v>
      </c>
      <c r="I10056" s="7">
        <v>140</v>
      </c>
      <c r="J10056" s="7">
        <v>243</v>
      </c>
      <c r="K10056" s="7" t="s">
        <v>18</v>
      </c>
      <c r="L10056" s="8">
        <v>39987.315405092595</v>
      </c>
      <c r="M10056" s="9" t="s">
        <v>19</v>
      </c>
      <c r="N10056" s="9" t="s">
        <v>20</v>
      </c>
      <c r="O10056" s="6" t="str">
        <f>HYPERLINK("https://pbs.twimg.com/profile_images/962471262747529216/Uo8lOkRJ_normal.jpg","View")</f>
        <v>View</v>
      </c>
      <c r="P10056" s="7"/>
    </row>
    <row r="10057" spans="1:16">
      <c r="A10057" s="3">
        <v>44090.142048611116</v>
      </c>
      <c r="B10057" s="4" t="str">
        <f>HYPERLINK("https://twitter.com/petrogustavo","@petrogustavo")</f>
        <v>@petrogustavo</v>
      </c>
      <c r="C10057" s="5" t="s">
        <v>16</v>
      </c>
      <c r="D10057" s="5" t="s">
        <v>9678</v>
      </c>
      <c r="E10057" s="6" t="str">
        <f>HYPERLINK("https://twitter.com/petrogustavo/status/1305988401557106691","1305988401557106691")</f>
        <v>1305988401557106691</v>
      </c>
      <c r="F10057" s="7" t="s">
        <v>32</v>
      </c>
      <c r="G10057" s="7">
        <v>3975961</v>
      </c>
      <c r="H10057" s="7">
        <v>2439</v>
      </c>
      <c r="I10057" s="7">
        <v>213</v>
      </c>
      <c r="J10057" s="7">
        <v>0</v>
      </c>
      <c r="K10057" s="7" t="s">
        <v>18</v>
      </c>
      <c r="L10057" s="8">
        <v>39987.315405092595</v>
      </c>
      <c r="M10057" s="9" t="s">
        <v>19</v>
      </c>
      <c r="N10057" s="9" t="s">
        <v>20</v>
      </c>
      <c r="O10057" s="6" t="str">
        <f>HYPERLINK("https://pbs.twimg.com/profile_images/962471262747529216/Uo8lOkRJ_normal.jpg","View")</f>
        <v>View</v>
      </c>
      <c r="P10057" s="7"/>
    </row>
    <row r="10058" spans="1:16">
      <c r="A10058" s="3">
        <v>44090.144525462965</v>
      </c>
      <c r="B10058" s="4" t="str">
        <f>HYPERLINK("https://twitter.com/petrogustavo","@petrogustavo")</f>
        <v>@petrogustavo</v>
      </c>
      <c r="C10058" s="5" t="s">
        <v>16</v>
      </c>
      <c r="D10058" s="5" t="s">
        <v>9679</v>
      </c>
      <c r="E10058" s="6" t="str">
        <f>HYPERLINK("https://twitter.com/petrogustavo/status/1305989298492248064","1305989298492248064")</f>
        <v>1305989298492248064</v>
      </c>
      <c r="F10058" s="7" t="s">
        <v>32</v>
      </c>
      <c r="G10058" s="7">
        <v>3975961</v>
      </c>
      <c r="H10058" s="7">
        <v>2439</v>
      </c>
      <c r="I10058" s="7">
        <v>51</v>
      </c>
      <c r="J10058" s="7">
        <v>0</v>
      </c>
      <c r="K10058" s="7" t="s">
        <v>18</v>
      </c>
      <c r="L10058" s="8">
        <v>39987.315405092595</v>
      </c>
      <c r="M10058" s="9" t="s">
        <v>19</v>
      </c>
      <c r="N10058" s="9" t="s">
        <v>20</v>
      </c>
      <c r="O10058" s="6" t="str">
        <f>HYPERLINK("https://pbs.twimg.com/profile_images/962471262747529216/Uo8lOkRJ_normal.jpg","View")</f>
        <v>View</v>
      </c>
      <c r="P10058" s="7"/>
    </row>
    <row r="10059" spans="1:16">
      <c r="A10059" s="3">
        <v>44090.18241898148</v>
      </c>
      <c r="B10059" s="4" t="str">
        <f>HYPERLINK("https://twitter.com/petrogustavo","@petrogustavo")</f>
        <v>@petrogustavo</v>
      </c>
      <c r="C10059" s="5" t="s">
        <v>16</v>
      </c>
      <c r="D10059" s="5" t="s">
        <v>9680</v>
      </c>
      <c r="E10059" s="6" t="str">
        <f>HYPERLINK("https://twitter.com/petrogustavo/status/1306003031167840256","1306003031167840256")</f>
        <v>1306003031167840256</v>
      </c>
      <c r="F10059" s="7" t="s">
        <v>32</v>
      </c>
      <c r="G10059" s="7">
        <v>3976006</v>
      </c>
      <c r="H10059" s="7">
        <v>2439</v>
      </c>
      <c r="I10059" s="7">
        <v>74</v>
      </c>
      <c r="J10059" s="7">
        <v>0</v>
      </c>
      <c r="K10059" s="7" t="s">
        <v>18</v>
      </c>
      <c r="L10059" s="8">
        <v>39987.315405092595</v>
      </c>
      <c r="M10059" s="9" t="s">
        <v>19</v>
      </c>
      <c r="N10059" s="9" t="s">
        <v>20</v>
      </c>
      <c r="O10059" s="6" t="str">
        <f>HYPERLINK("https://pbs.twimg.com/profile_images/962471262747529216/Uo8lOkRJ_normal.jpg","View")</f>
        <v>View</v>
      </c>
      <c r="P10059" s="7"/>
    </row>
    <row r="10060" spans="1:16">
      <c r="A10060" s="3">
        <v>44090.18268518518</v>
      </c>
      <c r="B10060" s="4" t="str">
        <f>HYPERLINK("https://twitter.com/petrogustavo","@petrogustavo")</f>
        <v>@petrogustavo</v>
      </c>
      <c r="C10060" s="5" t="s">
        <v>16</v>
      </c>
      <c r="D10060" s="5" t="s">
        <v>9681</v>
      </c>
      <c r="E10060" s="6" t="str">
        <f>HYPERLINK("https://twitter.com/petrogustavo/status/1306003126424662017","1306003126424662017")</f>
        <v>1306003126424662017</v>
      </c>
      <c r="F10060" s="7" t="s">
        <v>32</v>
      </c>
      <c r="G10060" s="7">
        <v>3976006</v>
      </c>
      <c r="H10060" s="7">
        <v>2439</v>
      </c>
      <c r="I10060" s="7">
        <v>71</v>
      </c>
      <c r="J10060" s="7">
        <v>0</v>
      </c>
      <c r="K10060" s="7" t="s">
        <v>18</v>
      </c>
      <c r="L10060" s="8">
        <v>39987.315405092595</v>
      </c>
      <c r="M10060" s="9" t="s">
        <v>19</v>
      </c>
      <c r="N10060" s="9" t="s">
        <v>20</v>
      </c>
      <c r="O10060" s="6" t="str">
        <f>HYPERLINK("https://pbs.twimg.com/profile_images/962471262747529216/Uo8lOkRJ_normal.jpg","View")</f>
        <v>View</v>
      </c>
      <c r="P10060" s="7"/>
    </row>
    <row r="10061" spans="1:16">
      <c r="A10061" s="3">
        <v>44090.185185185182</v>
      </c>
      <c r="B10061" s="4" t="str">
        <f>HYPERLINK("https://twitter.com/petrogustavo","@petrogustavo")</f>
        <v>@petrogustavo</v>
      </c>
      <c r="C10061" s="5" t="s">
        <v>16</v>
      </c>
      <c r="D10061" s="5" t="s">
        <v>9682</v>
      </c>
      <c r="E10061" s="6" t="str">
        <f>HYPERLINK("https://twitter.com/petrogustavo/status/1306004032994058242","1306004032994058242")</f>
        <v>1306004032994058242</v>
      </c>
      <c r="F10061" s="7" t="s">
        <v>32</v>
      </c>
      <c r="G10061" s="7">
        <v>3976006</v>
      </c>
      <c r="H10061" s="7">
        <v>2439</v>
      </c>
      <c r="I10061" s="7">
        <v>1033</v>
      </c>
      <c r="J10061" s="7">
        <v>0</v>
      </c>
      <c r="K10061" s="7" t="s">
        <v>18</v>
      </c>
      <c r="L10061" s="8">
        <v>39987.315405092595</v>
      </c>
      <c r="M10061" s="9" t="s">
        <v>19</v>
      </c>
      <c r="N10061" s="9" t="s">
        <v>20</v>
      </c>
      <c r="O10061" s="6" t="str">
        <f>HYPERLINK("https://pbs.twimg.com/profile_images/962471262747529216/Uo8lOkRJ_normal.jpg","View")</f>
        <v>View</v>
      </c>
      <c r="P10061" s="7"/>
    </row>
    <row r="10062" spans="1:16">
      <c r="A10062" s="3">
        <v>44090.185324074075</v>
      </c>
      <c r="B10062" s="4" t="str">
        <f>HYPERLINK("https://twitter.com/petrogustavo","@petrogustavo")</f>
        <v>@petrogustavo</v>
      </c>
      <c r="C10062" s="5" t="s">
        <v>16</v>
      </c>
      <c r="D10062" s="5" t="s">
        <v>9683</v>
      </c>
      <c r="E10062" s="6" t="str">
        <f>HYPERLINK("https://twitter.com/petrogustavo/status/1306004082944081920","1306004082944081920")</f>
        <v>1306004082944081920</v>
      </c>
      <c r="F10062" s="7" t="s">
        <v>32</v>
      </c>
      <c r="G10062" s="7">
        <v>3976006</v>
      </c>
      <c r="H10062" s="7">
        <v>2439</v>
      </c>
      <c r="I10062" s="7">
        <v>248</v>
      </c>
      <c r="J10062" s="7">
        <v>0</v>
      </c>
      <c r="K10062" s="7" t="s">
        <v>18</v>
      </c>
      <c r="L10062" s="8">
        <v>39987.315405092595</v>
      </c>
      <c r="M10062" s="9" t="s">
        <v>19</v>
      </c>
      <c r="N10062" s="9" t="s">
        <v>20</v>
      </c>
      <c r="O10062" s="6" t="str">
        <f>HYPERLINK("https://pbs.twimg.com/profile_images/962471262747529216/Uo8lOkRJ_normal.jpg","View")</f>
        <v>View</v>
      </c>
      <c r="P10062" s="7"/>
    </row>
    <row r="10063" spans="1:16">
      <c r="A10063" s="3">
        <v>44090.187777777777</v>
      </c>
      <c r="B10063" s="4" t="str">
        <f>HYPERLINK("https://twitter.com/petrogustavo","@petrogustavo")</f>
        <v>@petrogustavo</v>
      </c>
      <c r="C10063" s="5" t="s">
        <v>16</v>
      </c>
      <c r="D10063" s="5" t="s">
        <v>9684</v>
      </c>
      <c r="E10063" s="6" t="str">
        <f>HYPERLINK("https://twitter.com/petrogustavo/status/1306004972560166914","1306004972560166914")</f>
        <v>1306004972560166914</v>
      </c>
      <c r="F10063" s="7" t="s">
        <v>32</v>
      </c>
      <c r="G10063" s="7">
        <v>3976006</v>
      </c>
      <c r="H10063" s="7">
        <v>2439</v>
      </c>
      <c r="I10063" s="7">
        <v>44</v>
      </c>
      <c r="J10063" s="7">
        <v>0</v>
      </c>
      <c r="K10063" s="7" t="s">
        <v>18</v>
      </c>
      <c r="L10063" s="8">
        <v>39987.315405092595</v>
      </c>
      <c r="M10063" s="9" t="s">
        <v>19</v>
      </c>
      <c r="N10063" s="9" t="s">
        <v>20</v>
      </c>
      <c r="O10063" s="6" t="str">
        <f>HYPERLINK("https://pbs.twimg.com/profile_images/962471262747529216/Uo8lOkRJ_normal.jpg","View")</f>
        <v>View</v>
      </c>
      <c r="P10063" s="7"/>
    </row>
    <row r="10064" spans="1:16">
      <c r="A10064" s="3">
        <v>44090.188148148147</v>
      </c>
      <c r="B10064" s="4" t="str">
        <f>HYPERLINK("https://twitter.com/petrogustavo","@petrogustavo")</f>
        <v>@petrogustavo</v>
      </c>
      <c r="C10064" s="5" t="s">
        <v>16</v>
      </c>
      <c r="D10064" s="5" t="s">
        <v>9685</v>
      </c>
      <c r="E10064" s="6" t="str">
        <f>HYPERLINK("https://twitter.com/petrogustavo/status/1306005105368539136","1306005105368539136")</f>
        <v>1306005105368539136</v>
      </c>
      <c r="F10064" s="7" t="s">
        <v>32</v>
      </c>
      <c r="G10064" s="7">
        <v>3976006</v>
      </c>
      <c r="H10064" s="7">
        <v>2439</v>
      </c>
      <c r="I10064" s="7">
        <v>31</v>
      </c>
      <c r="J10064" s="7">
        <v>0</v>
      </c>
      <c r="K10064" s="7" t="s">
        <v>18</v>
      </c>
      <c r="L10064" s="8">
        <v>39987.315405092595</v>
      </c>
      <c r="M10064" s="9" t="s">
        <v>19</v>
      </c>
      <c r="N10064" s="9" t="s">
        <v>20</v>
      </c>
      <c r="O10064" s="6" t="str">
        <f>HYPERLINK("https://pbs.twimg.com/profile_images/962471262747529216/Uo8lOkRJ_normal.jpg","View")</f>
        <v>View</v>
      </c>
      <c r="P10064" s="7"/>
    </row>
    <row r="10065" spans="1:16">
      <c r="A10065" s="3">
        <v>44090.192106481481</v>
      </c>
      <c r="B10065" s="4" t="str">
        <f>HYPERLINK("https://twitter.com/petrogustavo","@petrogustavo")</f>
        <v>@petrogustavo</v>
      </c>
      <c r="C10065" s="5" t="s">
        <v>16</v>
      </c>
      <c r="D10065" s="5" t="s">
        <v>9686</v>
      </c>
      <c r="E10065" s="6" t="str">
        <f>HYPERLINK("https://twitter.com/petrogustavo/status/1306006540739108864","1306006540739108864")</f>
        <v>1306006540739108864</v>
      </c>
      <c r="F10065" s="7" t="s">
        <v>32</v>
      </c>
      <c r="G10065" s="7">
        <v>3976006</v>
      </c>
      <c r="H10065" s="7">
        <v>2439</v>
      </c>
      <c r="I10065" s="7">
        <v>58</v>
      </c>
      <c r="J10065" s="7">
        <v>0</v>
      </c>
      <c r="K10065" s="7" t="s">
        <v>18</v>
      </c>
      <c r="L10065" s="8">
        <v>39987.315405092595</v>
      </c>
      <c r="M10065" s="9" t="s">
        <v>19</v>
      </c>
      <c r="N10065" s="9" t="s">
        <v>20</v>
      </c>
      <c r="O10065" s="6" t="str">
        <f>HYPERLINK("https://pbs.twimg.com/profile_images/962471262747529216/Uo8lOkRJ_normal.jpg","View")</f>
        <v>View</v>
      </c>
      <c r="P10065" s="7"/>
    </row>
    <row r="10066" spans="1:16">
      <c r="A10066" s="3">
        <v>44090.198437500003</v>
      </c>
      <c r="B10066" s="4" t="str">
        <f>HYPERLINK("https://twitter.com/petrogustavo","@petrogustavo")</f>
        <v>@petrogustavo</v>
      </c>
      <c r="C10066" s="5" t="s">
        <v>16</v>
      </c>
      <c r="D10066" s="5" t="s">
        <v>9687</v>
      </c>
      <c r="E10066" s="6" t="str">
        <f>HYPERLINK("https://twitter.com/petrogustavo/status/1306008837279887361","1306008837279887361")</f>
        <v>1306008837279887361</v>
      </c>
      <c r="F10066" s="7" t="s">
        <v>32</v>
      </c>
      <c r="G10066" s="7">
        <v>3976006</v>
      </c>
      <c r="H10066" s="7">
        <v>2439</v>
      </c>
      <c r="I10066" s="7">
        <v>25</v>
      </c>
      <c r="J10066" s="7">
        <v>0</v>
      </c>
      <c r="K10066" s="7" t="s">
        <v>18</v>
      </c>
      <c r="L10066" s="8">
        <v>39987.315405092595</v>
      </c>
      <c r="M10066" s="9" t="s">
        <v>19</v>
      </c>
      <c r="N10066" s="9" t="s">
        <v>20</v>
      </c>
      <c r="O10066" s="6" t="str">
        <f>HYPERLINK("https://pbs.twimg.com/profile_images/962471262747529216/Uo8lOkRJ_normal.jpg","View")</f>
        <v>View</v>
      </c>
      <c r="P10066" s="7"/>
    </row>
    <row r="10067" spans="1:16">
      <c r="A10067" s="3">
        <v>44090.20248842593</v>
      </c>
      <c r="B10067" s="4" t="str">
        <f>HYPERLINK("https://twitter.com/petrogustavo","@petrogustavo")</f>
        <v>@petrogustavo</v>
      </c>
      <c r="C10067" s="5" t="s">
        <v>16</v>
      </c>
      <c r="D10067" s="5" t="s">
        <v>9688</v>
      </c>
      <c r="E10067" s="6" t="str">
        <f>HYPERLINK("https://twitter.com/petrogustavo/status/1306010302471966720","1306010302471966720")</f>
        <v>1306010302471966720</v>
      </c>
      <c r="F10067" s="7" t="s">
        <v>32</v>
      </c>
      <c r="G10067" s="7">
        <v>3976036</v>
      </c>
      <c r="H10067" s="7">
        <v>2439</v>
      </c>
      <c r="I10067" s="7">
        <v>1143</v>
      </c>
      <c r="J10067" s="7">
        <v>0</v>
      </c>
      <c r="K10067" s="7" t="s">
        <v>18</v>
      </c>
      <c r="L10067" s="8">
        <v>39987.315405092595</v>
      </c>
      <c r="M10067" s="9" t="s">
        <v>19</v>
      </c>
      <c r="N10067" s="9" t="s">
        <v>20</v>
      </c>
      <c r="O10067" s="6" t="str">
        <f>HYPERLINK("https://pbs.twimg.com/profile_images/962471262747529216/Uo8lOkRJ_normal.jpg","View")</f>
        <v>View</v>
      </c>
      <c r="P10067" s="7"/>
    </row>
    <row r="10068" spans="1:16">
      <c r="A10068" s="3">
        <v>44090.20412037037</v>
      </c>
      <c r="B10068" s="4" t="str">
        <f>HYPERLINK("https://twitter.com/petrogustavo","@petrogustavo")</f>
        <v>@petrogustavo</v>
      </c>
      <c r="C10068" s="5" t="s">
        <v>16</v>
      </c>
      <c r="D10068" s="5" t="s">
        <v>9689</v>
      </c>
      <c r="E10068" s="6" t="str">
        <f>HYPERLINK("https://twitter.com/petrogustavo/status/1306010893403262976","1306010893403262976")</f>
        <v>1306010893403262976</v>
      </c>
      <c r="F10068" s="7" t="s">
        <v>32</v>
      </c>
      <c r="G10068" s="7">
        <v>3976036</v>
      </c>
      <c r="H10068" s="7">
        <v>2439</v>
      </c>
      <c r="I10068" s="7">
        <v>73</v>
      </c>
      <c r="J10068" s="7">
        <v>0</v>
      </c>
      <c r="K10068" s="7" t="s">
        <v>18</v>
      </c>
      <c r="L10068" s="8">
        <v>39987.315405092595</v>
      </c>
      <c r="M10068" s="9" t="s">
        <v>19</v>
      </c>
      <c r="N10068" s="9" t="s">
        <v>20</v>
      </c>
      <c r="O10068" s="6" t="str">
        <f>HYPERLINK("https://pbs.twimg.com/profile_images/962471262747529216/Uo8lOkRJ_normal.jpg","View")</f>
        <v>View</v>
      </c>
      <c r="P10068" s="7"/>
    </row>
    <row r="10069" spans="1:16">
      <c r="A10069" s="3">
        <v>44090.21266203704</v>
      </c>
      <c r="B10069" s="4" t="str">
        <f>HYPERLINK("https://twitter.com/petrogustavo","@petrogustavo")</f>
        <v>@petrogustavo</v>
      </c>
      <c r="C10069" s="5" t="s">
        <v>16</v>
      </c>
      <c r="D10069" s="5" t="s">
        <v>9690</v>
      </c>
      <c r="E10069" s="6" t="str">
        <f>HYPERLINK("https://twitter.com/petrogustavo/status/1306013988422144006","1306013988422144006")</f>
        <v>1306013988422144006</v>
      </c>
      <c r="F10069" s="7" t="s">
        <v>32</v>
      </c>
      <c r="G10069" s="7">
        <v>3976036</v>
      </c>
      <c r="H10069" s="7">
        <v>2439</v>
      </c>
      <c r="I10069" s="7">
        <v>14</v>
      </c>
      <c r="J10069" s="7">
        <v>0</v>
      </c>
      <c r="K10069" s="7" t="s">
        <v>18</v>
      </c>
      <c r="L10069" s="8">
        <v>39987.315405092595</v>
      </c>
      <c r="M10069" s="9" t="s">
        <v>19</v>
      </c>
      <c r="N10069" s="9" t="s">
        <v>20</v>
      </c>
      <c r="O10069" s="6" t="str">
        <f>HYPERLINK("https://pbs.twimg.com/profile_images/962471262747529216/Uo8lOkRJ_normal.jpg","View")</f>
        <v>View</v>
      </c>
      <c r="P10069" s="7"/>
    </row>
    <row r="10070" spans="1:16">
      <c r="A10070" s="3">
        <v>44090.271516203706</v>
      </c>
      <c r="B10070" s="4" t="str">
        <f>HYPERLINK("https://twitter.com/petrogustavo","@petrogustavo")</f>
        <v>@petrogustavo</v>
      </c>
      <c r="C10070" s="5" t="s">
        <v>16</v>
      </c>
      <c r="D10070" s="5" t="s">
        <v>9691</v>
      </c>
      <c r="E10070" s="6" t="str">
        <f>HYPERLINK("https://twitter.com/petrogustavo/status/1306035319431667712","1306035319431667712")</f>
        <v>1306035319431667712</v>
      </c>
      <c r="F10070" s="7" t="s">
        <v>21</v>
      </c>
      <c r="G10070" s="7">
        <v>3976111</v>
      </c>
      <c r="H10070" s="7">
        <v>2439</v>
      </c>
      <c r="I10070" s="7">
        <v>89</v>
      </c>
      <c r="J10070" s="7">
        <v>226</v>
      </c>
      <c r="K10070" s="7" t="s">
        <v>18</v>
      </c>
      <c r="L10070" s="8">
        <v>39987.315405092595</v>
      </c>
      <c r="M10070" s="9" t="s">
        <v>19</v>
      </c>
      <c r="N10070" s="9" t="s">
        <v>20</v>
      </c>
      <c r="O10070" s="6" t="str">
        <f>HYPERLINK("https://pbs.twimg.com/profile_images/962471262747529216/Uo8lOkRJ_normal.jpg","View")</f>
        <v>View</v>
      </c>
      <c r="P10070" s="7"/>
    </row>
    <row r="10071" spans="1:16">
      <c r="A10071" s="3">
        <v>44090.272650462968</v>
      </c>
      <c r="B10071" s="4" t="str">
        <f>HYPERLINK("https://twitter.com/petrogustavo","@petrogustavo")</f>
        <v>@petrogustavo</v>
      </c>
      <c r="C10071" s="5" t="s">
        <v>16</v>
      </c>
      <c r="D10071" s="5" t="s">
        <v>9692</v>
      </c>
      <c r="E10071" s="6" t="str">
        <f>HYPERLINK("https://twitter.com/petrogustavo/status/1306035728007208960","1306035728007208960")</f>
        <v>1306035728007208960</v>
      </c>
      <c r="F10071" s="7" t="s">
        <v>21</v>
      </c>
      <c r="G10071" s="7">
        <v>3976111</v>
      </c>
      <c r="H10071" s="7">
        <v>2439</v>
      </c>
      <c r="I10071" s="7">
        <v>83</v>
      </c>
      <c r="J10071" s="7">
        <v>214</v>
      </c>
      <c r="K10071" s="7" t="s">
        <v>18</v>
      </c>
      <c r="L10071" s="8">
        <v>39987.315405092595</v>
      </c>
      <c r="M10071" s="9" t="s">
        <v>19</v>
      </c>
      <c r="N10071" s="9" t="s">
        <v>20</v>
      </c>
      <c r="O10071" s="6" t="str">
        <f>HYPERLINK("https://pbs.twimg.com/profile_images/962471262747529216/Uo8lOkRJ_normal.jpg","View")</f>
        <v>View</v>
      </c>
      <c r="P10071" s="7"/>
    </row>
    <row r="10072" spans="1:16">
      <c r="A10072" s="3">
        <v>44090.275763888887</v>
      </c>
      <c r="B10072" s="4" t="str">
        <f>HYPERLINK("https://twitter.com/petrogustavo","@petrogustavo")</f>
        <v>@petrogustavo</v>
      </c>
      <c r="C10072" s="5" t="s">
        <v>16</v>
      </c>
      <c r="D10072" s="5" t="s">
        <v>9693</v>
      </c>
      <c r="E10072" s="6" t="str">
        <f>HYPERLINK("https://twitter.com/petrogustavo/status/1306036856182669312","1306036856182669312")</f>
        <v>1306036856182669312</v>
      </c>
      <c r="F10072" s="7" t="s">
        <v>32</v>
      </c>
      <c r="G10072" s="7">
        <v>3976111</v>
      </c>
      <c r="H10072" s="7">
        <v>2439</v>
      </c>
      <c r="I10072" s="7">
        <v>42</v>
      </c>
      <c r="J10072" s="7">
        <v>0</v>
      </c>
      <c r="K10072" s="7" t="s">
        <v>18</v>
      </c>
      <c r="L10072" s="8">
        <v>39987.315405092595</v>
      </c>
      <c r="M10072" s="9" t="s">
        <v>19</v>
      </c>
      <c r="N10072" s="9" t="s">
        <v>20</v>
      </c>
      <c r="O10072" s="6" t="str">
        <f>HYPERLINK("https://pbs.twimg.com/profile_images/962471262747529216/Uo8lOkRJ_normal.jpg","View")</f>
        <v>View</v>
      </c>
      <c r="P10072" s="7"/>
    </row>
    <row r="10073" spans="1:16">
      <c r="A10073" s="3">
        <v>44090.303090277783</v>
      </c>
      <c r="B10073" s="4" t="str">
        <f>HYPERLINK("https://twitter.com/petrogustavo","@petrogustavo")</f>
        <v>@petrogustavo</v>
      </c>
      <c r="C10073" s="5" t="s">
        <v>16</v>
      </c>
      <c r="D10073" s="5" t="s">
        <v>9694</v>
      </c>
      <c r="E10073" s="6" t="str">
        <f>HYPERLINK("https://twitter.com/petrogustavo/status/1306046761350369287","1306046761350369287")</f>
        <v>1306046761350369287</v>
      </c>
      <c r="F10073" s="7" t="s">
        <v>32</v>
      </c>
      <c r="G10073" s="7">
        <v>3976144</v>
      </c>
      <c r="H10073" s="7">
        <v>2439</v>
      </c>
      <c r="I10073" s="7">
        <v>137</v>
      </c>
      <c r="J10073" s="7">
        <v>0</v>
      </c>
      <c r="K10073" s="7" t="s">
        <v>18</v>
      </c>
      <c r="L10073" s="8">
        <v>39987.315405092595</v>
      </c>
      <c r="M10073" s="9" t="s">
        <v>19</v>
      </c>
      <c r="N10073" s="9" t="s">
        <v>20</v>
      </c>
      <c r="O10073" s="6" t="str">
        <f>HYPERLINK("https://pbs.twimg.com/profile_images/962471262747529216/Uo8lOkRJ_normal.jpg","View")</f>
        <v>View</v>
      </c>
      <c r="P10073" s="7"/>
    </row>
    <row r="10074" spans="1:16">
      <c r="A10074" s="3">
        <v>44090.306180555555</v>
      </c>
      <c r="B10074" s="4" t="str">
        <f>HYPERLINK("https://twitter.com/petrogustavo","@petrogustavo")</f>
        <v>@petrogustavo</v>
      </c>
      <c r="C10074" s="5" t="s">
        <v>16</v>
      </c>
      <c r="D10074" s="5" t="s">
        <v>9695</v>
      </c>
      <c r="E10074" s="6" t="str">
        <f>HYPERLINK("https://twitter.com/petrogustavo/status/1306047878813700097","1306047878813700097")</f>
        <v>1306047878813700097</v>
      </c>
      <c r="F10074" s="7" t="s">
        <v>32</v>
      </c>
      <c r="G10074" s="7">
        <v>3976183</v>
      </c>
      <c r="H10074" s="7">
        <v>2439</v>
      </c>
      <c r="I10074" s="7">
        <v>121</v>
      </c>
      <c r="J10074" s="7">
        <v>0</v>
      </c>
      <c r="K10074" s="7" t="s">
        <v>18</v>
      </c>
      <c r="L10074" s="8">
        <v>39987.315405092595</v>
      </c>
      <c r="M10074" s="9" t="s">
        <v>19</v>
      </c>
      <c r="N10074" s="9" t="s">
        <v>20</v>
      </c>
      <c r="O10074" s="6" t="str">
        <f>HYPERLINK("https://pbs.twimg.com/profile_images/962471262747529216/Uo8lOkRJ_normal.jpg","View")</f>
        <v>View</v>
      </c>
      <c r="P10074" s="7"/>
    </row>
    <row r="10075" spans="1:16">
      <c r="A10075" s="3">
        <v>44090.307291666672</v>
      </c>
      <c r="B10075" s="4" t="str">
        <f>HYPERLINK("https://twitter.com/petrogustavo","@petrogustavo")</f>
        <v>@petrogustavo</v>
      </c>
      <c r="C10075" s="5" t="s">
        <v>16</v>
      </c>
      <c r="D10075" s="5" t="s">
        <v>9696</v>
      </c>
      <c r="E10075" s="6" t="str">
        <f>HYPERLINK("https://twitter.com/petrogustavo/status/1306048284042162178","1306048284042162178")</f>
        <v>1306048284042162178</v>
      </c>
      <c r="F10075" s="7" t="s">
        <v>32</v>
      </c>
      <c r="G10075" s="7">
        <v>3976183</v>
      </c>
      <c r="H10075" s="7">
        <v>2439</v>
      </c>
      <c r="I10075" s="7">
        <v>105</v>
      </c>
      <c r="J10075" s="7">
        <v>0</v>
      </c>
      <c r="K10075" s="7" t="s">
        <v>18</v>
      </c>
      <c r="L10075" s="8">
        <v>39987.315405092595</v>
      </c>
      <c r="M10075" s="9" t="s">
        <v>19</v>
      </c>
      <c r="N10075" s="9" t="s">
        <v>20</v>
      </c>
      <c r="O10075" s="6" t="str">
        <f>HYPERLINK("https://pbs.twimg.com/profile_images/962471262747529216/Uo8lOkRJ_normal.jpg","View")</f>
        <v>View</v>
      </c>
      <c r="P10075" s="7"/>
    </row>
    <row r="10076" spans="1:16">
      <c r="A10076" s="3">
        <v>44090.314652777779</v>
      </c>
      <c r="B10076" s="4" t="str">
        <f>HYPERLINK("https://twitter.com/petrogustavo","@petrogustavo")</f>
        <v>@petrogustavo</v>
      </c>
      <c r="C10076" s="5" t="s">
        <v>16</v>
      </c>
      <c r="D10076" s="5" t="s">
        <v>9697</v>
      </c>
      <c r="E10076" s="6" t="str">
        <f>HYPERLINK("https://twitter.com/petrogustavo/status/1306050949857906691","1306050949857906691")</f>
        <v>1306050949857906691</v>
      </c>
      <c r="F10076" s="7" t="s">
        <v>32</v>
      </c>
      <c r="G10076" s="7">
        <v>3976183</v>
      </c>
      <c r="H10076" s="7">
        <v>2439</v>
      </c>
      <c r="I10076" s="7">
        <v>42</v>
      </c>
      <c r="J10076" s="7">
        <v>0</v>
      </c>
      <c r="K10076" s="7" t="s">
        <v>18</v>
      </c>
      <c r="L10076" s="8">
        <v>39987.315405092595</v>
      </c>
      <c r="M10076" s="9" t="s">
        <v>19</v>
      </c>
      <c r="N10076" s="9" t="s">
        <v>20</v>
      </c>
      <c r="O10076" s="6" t="str">
        <f>HYPERLINK("https://pbs.twimg.com/profile_images/962471262747529216/Uo8lOkRJ_normal.jpg","View")</f>
        <v>View</v>
      </c>
      <c r="P10076" s="7"/>
    </row>
    <row r="10077" spans="1:16">
      <c r="A10077" s="3">
        <v>44090.3283912037</v>
      </c>
      <c r="B10077" s="4" t="str">
        <f>HYPERLINK("https://twitter.com/petrogustavo","@petrogustavo")</f>
        <v>@petrogustavo</v>
      </c>
      <c r="C10077" s="5" t="s">
        <v>16</v>
      </c>
      <c r="D10077" s="5" t="s">
        <v>9698</v>
      </c>
      <c r="E10077" s="6" t="str">
        <f>HYPERLINK("https://twitter.com/petrogustavo/status/1306055928844869638","1306055928844869638")</f>
        <v>1306055928844869638</v>
      </c>
      <c r="F10077" s="7" t="s">
        <v>32</v>
      </c>
      <c r="G10077" s="7">
        <v>3976223</v>
      </c>
      <c r="H10077" s="7">
        <v>2439</v>
      </c>
      <c r="I10077" s="7">
        <v>257</v>
      </c>
      <c r="J10077" s="7">
        <v>0</v>
      </c>
      <c r="K10077" s="7" t="s">
        <v>18</v>
      </c>
      <c r="L10077" s="8">
        <v>39987.315405092595</v>
      </c>
      <c r="M10077" s="9" t="s">
        <v>19</v>
      </c>
      <c r="N10077" s="9" t="s">
        <v>20</v>
      </c>
      <c r="O10077" s="6" t="str">
        <f>HYPERLINK("https://pbs.twimg.com/profile_images/962471262747529216/Uo8lOkRJ_normal.jpg","View")</f>
        <v>View</v>
      </c>
      <c r="P10077" s="7"/>
    </row>
    <row r="10078" spans="1:16">
      <c r="A10078" s="3">
        <v>44090.331712962958</v>
      </c>
      <c r="B10078" s="4" t="str">
        <f>HYPERLINK("https://twitter.com/petrogustavo","@petrogustavo")</f>
        <v>@petrogustavo</v>
      </c>
      <c r="C10078" s="5" t="s">
        <v>16</v>
      </c>
      <c r="D10078" s="5" t="s">
        <v>9699</v>
      </c>
      <c r="E10078" s="6" t="str">
        <f>HYPERLINK("https://twitter.com/petrogustavo/status/1306057131603439616","1306057131603439616")</f>
        <v>1306057131603439616</v>
      </c>
      <c r="F10078" s="7" t="s">
        <v>32</v>
      </c>
      <c r="G10078" s="7">
        <v>3976223</v>
      </c>
      <c r="H10078" s="7">
        <v>2439</v>
      </c>
      <c r="I10078" s="7">
        <v>466</v>
      </c>
      <c r="J10078" s="7">
        <v>0</v>
      </c>
      <c r="K10078" s="7" t="s">
        <v>18</v>
      </c>
      <c r="L10078" s="8">
        <v>39987.315405092595</v>
      </c>
      <c r="M10078" s="9" t="s">
        <v>19</v>
      </c>
      <c r="N10078" s="9" t="s">
        <v>20</v>
      </c>
      <c r="O10078" s="6" t="str">
        <f>HYPERLINK("https://pbs.twimg.com/profile_images/962471262747529216/Uo8lOkRJ_normal.jpg","View")</f>
        <v>View</v>
      </c>
      <c r="P10078" s="7"/>
    </row>
    <row r="10079" spans="1:16">
      <c r="A10079" s="3">
        <v>44090.401226851856</v>
      </c>
      <c r="B10079" s="4" t="str">
        <f>HYPERLINK("https://twitter.com/petrogustavo","@petrogustavo")</f>
        <v>@petrogustavo</v>
      </c>
      <c r="C10079" s="5" t="s">
        <v>16</v>
      </c>
      <c r="D10079" s="5" t="s">
        <v>9700</v>
      </c>
      <c r="E10079" s="6" t="str">
        <f>HYPERLINK("https://twitter.com/petrogustavo/status/1306082324078047233","1306082324078047233")</f>
        <v>1306082324078047233</v>
      </c>
      <c r="F10079" s="7" t="s">
        <v>21</v>
      </c>
      <c r="G10079" s="7">
        <v>3976240</v>
      </c>
      <c r="H10079" s="7">
        <v>2439</v>
      </c>
      <c r="I10079" s="7">
        <v>114</v>
      </c>
      <c r="J10079" s="7">
        <v>339</v>
      </c>
      <c r="K10079" s="7" t="s">
        <v>18</v>
      </c>
      <c r="L10079" s="8">
        <v>39987.315405092595</v>
      </c>
      <c r="M10079" s="9" t="s">
        <v>19</v>
      </c>
      <c r="N10079" s="9" t="s">
        <v>20</v>
      </c>
      <c r="O10079" s="6" t="str">
        <f>HYPERLINK("https://pbs.twimg.com/profile_images/962471262747529216/Uo8lOkRJ_normal.jpg","View")</f>
        <v>View</v>
      </c>
      <c r="P10079" s="7"/>
    </row>
    <row r="10080" spans="1:16">
      <c r="A10080" s="3">
        <v>44090.739745370374</v>
      </c>
      <c r="B10080" s="4" t="str">
        <f>HYPERLINK("https://twitter.com/petrogustavo","@petrogustavo")</f>
        <v>@petrogustavo</v>
      </c>
      <c r="C10080" s="5" t="s">
        <v>16</v>
      </c>
      <c r="D10080" s="5" t="s">
        <v>9701</v>
      </c>
      <c r="E10080" s="6" t="str">
        <f>HYPERLINK("https://twitter.com/petrogustavo/status/1306204998389428224","1306204998389428224")</f>
        <v>1306204998389428224</v>
      </c>
      <c r="F10080" s="7" t="s">
        <v>17</v>
      </c>
      <c r="G10080" s="7">
        <v>3976280</v>
      </c>
      <c r="H10080" s="7">
        <v>2439</v>
      </c>
      <c r="I10080" s="7">
        <v>1396</v>
      </c>
      <c r="J10080" s="7">
        <v>0</v>
      </c>
      <c r="K10080" s="7" t="s">
        <v>18</v>
      </c>
      <c r="L10080" s="8">
        <v>39987.315405092595</v>
      </c>
      <c r="M10080" s="9" t="s">
        <v>19</v>
      </c>
      <c r="N10080" s="9" t="s">
        <v>20</v>
      </c>
      <c r="O10080" s="6" t="str">
        <f>HYPERLINK("https://pbs.twimg.com/profile_images/962471262747529216/Uo8lOkRJ_normal.jpg","View")</f>
        <v>View</v>
      </c>
      <c r="P10080" s="7"/>
    </row>
    <row r="10081" spans="1:16">
      <c r="A10081" s="3">
        <v>44090.752407407403</v>
      </c>
      <c r="B10081" s="4" t="str">
        <f>HYPERLINK("https://twitter.com/petrogustavo","@petrogustavo")</f>
        <v>@petrogustavo</v>
      </c>
      <c r="C10081" s="5" t="s">
        <v>16</v>
      </c>
      <c r="D10081" s="5" t="s">
        <v>9702</v>
      </c>
      <c r="E10081" s="6" t="str">
        <f>HYPERLINK("https://twitter.com/petrogustavo/status/1306209588870602753","1306209588870602753")</f>
        <v>1306209588870602753</v>
      </c>
      <c r="F10081" s="7" t="s">
        <v>17</v>
      </c>
      <c r="G10081" s="7">
        <v>3976314</v>
      </c>
      <c r="H10081" s="7">
        <v>2440</v>
      </c>
      <c r="I10081" s="7">
        <v>251</v>
      </c>
      <c r="J10081" s="7">
        <v>471</v>
      </c>
      <c r="K10081" s="7" t="s">
        <v>18</v>
      </c>
      <c r="L10081" s="8">
        <v>39987.315405092595</v>
      </c>
      <c r="M10081" s="9" t="s">
        <v>19</v>
      </c>
      <c r="N10081" s="9" t="s">
        <v>20</v>
      </c>
      <c r="O10081" s="6" t="str">
        <f>HYPERLINK("https://pbs.twimg.com/profile_images/962471262747529216/Uo8lOkRJ_normal.jpg","View")</f>
        <v>View</v>
      </c>
      <c r="P10081" s="7"/>
    </row>
    <row r="10082" spans="1:16">
      <c r="A10082" s="3">
        <v>44090.767870370371</v>
      </c>
      <c r="B10082" s="4" t="str">
        <f>HYPERLINK("https://twitter.com/petrogustavo","@petrogustavo")</f>
        <v>@petrogustavo</v>
      </c>
      <c r="C10082" s="5" t="s">
        <v>16</v>
      </c>
      <c r="D10082" s="5" t="s">
        <v>9703</v>
      </c>
      <c r="E10082" s="6" t="str">
        <f>HYPERLINK("https://twitter.com/petrogustavo/status/1306215192112623616","1306215192112623616")</f>
        <v>1306215192112623616</v>
      </c>
      <c r="F10082" s="7" t="s">
        <v>17</v>
      </c>
      <c r="G10082" s="7">
        <v>3976342</v>
      </c>
      <c r="H10082" s="7">
        <v>2440</v>
      </c>
      <c r="I10082" s="7">
        <v>231</v>
      </c>
      <c r="J10082" s="7">
        <v>374</v>
      </c>
      <c r="K10082" s="7" t="s">
        <v>18</v>
      </c>
      <c r="L10082" s="8">
        <v>39987.315405092595</v>
      </c>
      <c r="M10082" s="9" t="s">
        <v>19</v>
      </c>
      <c r="N10082" s="9" t="s">
        <v>20</v>
      </c>
      <c r="O10082" s="6" t="str">
        <f>HYPERLINK("https://pbs.twimg.com/profile_images/962471262747529216/Uo8lOkRJ_normal.jpg","View")</f>
        <v>View</v>
      </c>
      <c r="P10082" s="7"/>
    </row>
    <row r="10083" spans="1:16">
      <c r="A10083" s="3">
        <v>44090.821712962963</v>
      </c>
      <c r="B10083" s="4" t="str">
        <f>HYPERLINK("https://twitter.com/petrogustavo","@petrogustavo")</f>
        <v>@petrogustavo</v>
      </c>
      <c r="C10083" s="5" t="s">
        <v>16</v>
      </c>
      <c r="D10083" s="5" t="s">
        <v>9704</v>
      </c>
      <c r="E10083" s="6" t="str">
        <f>HYPERLINK("https://twitter.com/petrogustavo/status/1306234704325218309","1306234704325218309")</f>
        <v>1306234704325218309</v>
      </c>
      <c r="F10083" s="7" t="s">
        <v>32</v>
      </c>
      <c r="G10083" s="7">
        <v>3976400</v>
      </c>
      <c r="H10083" s="7">
        <v>2441</v>
      </c>
      <c r="I10083" s="7">
        <v>927</v>
      </c>
      <c r="J10083" s="7">
        <v>0</v>
      </c>
      <c r="K10083" s="7" t="s">
        <v>18</v>
      </c>
      <c r="L10083" s="8">
        <v>39987.315405092595</v>
      </c>
      <c r="M10083" s="9" t="s">
        <v>19</v>
      </c>
      <c r="N10083" s="9" t="s">
        <v>20</v>
      </c>
      <c r="O10083" s="6" t="str">
        <f>HYPERLINK("https://pbs.twimg.com/profile_images/962471262747529216/Uo8lOkRJ_normal.jpg","View")</f>
        <v>View</v>
      </c>
      <c r="P10083" s="7"/>
    </row>
    <row r="10084" spans="1:16">
      <c r="A10084" s="3">
        <v>44090.821817129632</v>
      </c>
      <c r="B10084" s="4" t="str">
        <f>HYPERLINK("https://twitter.com/petrogustavo","@petrogustavo")</f>
        <v>@petrogustavo</v>
      </c>
      <c r="C10084" s="5" t="s">
        <v>16</v>
      </c>
      <c r="D10084" s="5" t="s">
        <v>9701</v>
      </c>
      <c r="E10084" s="6" t="str">
        <f>HYPERLINK("https://twitter.com/petrogustavo/status/1306234741268590593","1306234741268590593")</f>
        <v>1306234741268590593</v>
      </c>
      <c r="F10084" s="7" t="s">
        <v>32</v>
      </c>
      <c r="G10084" s="7">
        <v>3976400</v>
      </c>
      <c r="H10084" s="7">
        <v>2441</v>
      </c>
      <c r="I10084" s="7">
        <v>1999</v>
      </c>
      <c r="J10084" s="7">
        <v>0</v>
      </c>
      <c r="K10084" s="7" t="s">
        <v>18</v>
      </c>
      <c r="L10084" s="8">
        <v>39987.315405092595</v>
      </c>
      <c r="M10084" s="9" t="s">
        <v>19</v>
      </c>
      <c r="N10084" s="9" t="s">
        <v>20</v>
      </c>
      <c r="O10084" s="6" t="str">
        <f>HYPERLINK("https://pbs.twimg.com/profile_images/962471262747529216/Uo8lOkRJ_normal.jpg","View")</f>
        <v>View</v>
      </c>
      <c r="P10084" s="7"/>
    </row>
    <row r="10085" spans="1:16">
      <c r="A10085" s="3">
        <v>44090.830868055556</v>
      </c>
      <c r="B10085" s="4" t="str">
        <f>HYPERLINK("https://twitter.com/petrogustavo","@petrogustavo")</f>
        <v>@petrogustavo</v>
      </c>
      <c r="C10085" s="5" t="s">
        <v>16</v>
      </c>
      <c r="D10085" s="5" t="s">
        <v>9705</v>
      </c>
      <c r="E10085" s="6" t="str">
        <f>HYPERLINK("https://twitter.com/petrogustavo/status/1306238021927399424","1306238021927399424")</f>
        <v>1306238021927399424</v>
      </c>
      <c r="F10085" s="7" t="s">
        <v>32</v>
      </c>
      <c r="G10085" s="7">
        <v>3976408</v>
      </c>
      <c r="H10085" s="7">
        <v>2441</v>
      </c>
      <c r="I10085" s="7">
        <v>137</v>
      </c>
      <c r="J10085" s="7">
        <v>433</v>
      </c>
      <c r="K10085" s="7" t="s">
        <v>18</v>
      </c>
      <c r="L10085" s="8">
        <v>39987.315405092595</v>
      </c>
      <c r="M10085" s="9" t="s">
        <v>19</v>
      </c>
      <c r="N10085" s="9" t="s">
        <v>20</v>
      </c>
      <c r="O10085" s="6" t="str">
        <f>HYPERLINK("https://pbs.twimg.com/profile_images/962471262747529216/Uo8lOkRJ_normal.jpg","View")</f>
        <v>View</v>
      </c>
      <c r="P10085" s="7"/>
    </row>
    <row r="10086" spans="1:16">
      <c r="A10086" s="3">
        <v>44090.831527777773</v>
      </c>
      <c r="B10086" s="4" t="str">
        <f>HYPERLINK("https://twitter.com/petrogustavo","@petrogustavo")</f>
        <v>@petrogustavo</v>
      </c>
      <c r="C10086" s="5" t="s">
        <v>16</v>
      </c>
      <c r="D10086" s="5" t="s">
        <v>9701</v>
      </c>
      <c r="E10086" s="6" t="str">
        <f>HYPERLINK("https://twitter.com/petrogustavo/status/1306238260998537216","1306238260998537216")</f>
        <v>1306238260998537216</v>
      </c>
      <c r="F10086" s="7" t="s">
        <v>32</v>
      </c>
      <c r="G10086" s="7">
        <v>3976408</v>
      </c>
      <c r="H10086" s="7">
        <v>2441</v>
      </c>
      <c r="I10086" s="7">
        <v>2130</v>
      </c>
      <c r="J10086" s="7">
        <v>0</v>
      </c>
      <c r="K10086" s="7" t="s">
        <v>18</v>
      </c>
      <c r="L10086" s="8">
        <v>39987.315405092595</v>
      </c>
      <c r="M10086" s="9" t="s">
        <v>19</v>
      </c>
      <c r="N10086" s="9" t="s">
        <v>20</v>
      </c>
      <c r="O10086" s="6" t="str">
        <f>HYPERLINK("https://pbs.twimg.com/profile_images/962471262747529216/Uo8lOkRJ_normal.jpg","View")</f>
        <v>View</v>
      </c>
      <c r="P10086" s="7"/>
    </row>
    <row r="10087" spans="1:16">
      <c r="A10087" s="3">
        <v>44090.992060185185</v>
      </c>
      <c r="B10087" s="4" t="str">
        <f>HYPERLINK("https://twitter.com/petrogustavo","@petrogustavo")</f>
        <v>@petrogustavo</v>
      </c>
      <c r="C10087" s="5" t="s">
        <v>16</v>
      </c>
      <c r="D10087" s="5" t="s">
        <v>9706</v>
      </c>
      <c r="E10087" s="6" t="str">
        <f>HYPERLINK("https://twitter.com/petrogustavo/status/1306296433071525892","1306296433071525892")</f>
        <v>1306296433071525892</v>
      </c>
      <c r="F10087" s="7" t="s">
        <v>32</v>
      </c>
      <c r="G10087" s="7">
        <v>3976639</v>
      </c>
      <c r="H10087" s="7">
        <v>2440</v>
      </c>
      <c r="I10087" s="7">
        <v>842</v>
      </c>
      <c r="J10087" s="7">
        <v>0</v>
      </c>
      <c r="K10087" s="7" t="s">
        <v>18</v>
      </c>
      <c r="L10087" s="8">
        <v>39987.315405092595</v>
      </c>
      <c r="M10087" s="9" t="s">
        <v>19</v>
      </c>
      <c r="N10087" s="9" t="s">
        <v>20</v>
      </c>
      <c r="O10087" s="6" t="str">
        <f>HYPERLINK("https://pbs.twimg.com/profile_images/962471262747529216/Uo8lOkRJ_normal.jpg","View")</f>
        <v>View</v>
      </c>
      <c r="P10087" s="7"/>
    </row>
    <row r="10088" spans="1:16">
      <c r="A10088" s="3">
        <v>44090.993310185186</v>
      </c>
      <c r="B10088" s="4" t="str">
        <f>HYPERLINK("https://twitter.com/petrogustavo","@petrogustavo")</f>
        <v>@petrogustavo</v>
      </c>
      <c r="C10088" s="5" t="s">
        <v>16</v>
      </c>
      <c r="D10088" s="5" t="s">
        <v>9707</v>
      </c>
      <c r="E10088" s="6" t="str">
        <f>HYPERLINK("https://twitter.com/petrogustavo/status/1306296886228398080","1306296886228398080")</f>
        <v>1306296886228398080</v>
      </c>
      <c r="F10088" s="7" t="s">
        <v>32</v>
      </c>
      <c r="G10088" s="7">
        <v>3976639</v>
      </c>
      <c r="H10088" s="7">
        <v>2440</v>
      </c>
      <c r="I10088" s="7">
        <v>184</v>
      </c>
      <c r="J10088" s="7">
        <v>0</v>
      </c>
      <c r="K10088" s="7" t="s">
        <v>18</v>
      </c>
      <c r="L10088" s="8">
        <v>39987.315405092595</v>
      </c>
      <c r="M10088" s="9" t="s">
        <v>19</v>
      </c>
      <c r="N10088" s="9" t="s">
        <v>20</v>
      </c>
      <c r="O10088" s="6" t="str">
        <f>HYPERLINK("https://pbs.twimg.com/profile_images/962471262747529216/Uo8lOkRJ_normal.jpg","View")</f>
        <v>View</v>
      </c>
      <c r="P10088" s="7"/>
    </row>
    <row r="10089" spans="1:16">
      <c r="A10089" s="3">
        <v>44090.994745370372</v>
      </c>
      <c r="B10089" s="4" t="str">
        <f>HYPERLINK("https://twitter.com/petrogustavo","@petrogustavo")</f>
        <v>@petrogustavo</v>
      </c>
      <c r="C10089" s="5" t="s">
        <v>16</v>
      </c>
      <c r="D10089" s="5" t="s">
        <v>9708</v>
      </c>
      <c r="E10089" s="6" t="str">
        <f>HYPERLINK("https://twitter.com/petrogustavo/status/1306297408830218241","1306297408830218241")</f>
        <v>1306297408830218241</v>
      </c>
      <c r="F10089" s="7" t="s">
        <v>32</v>
      </c>
      <c r="G10089" s="7">
        <v>3976639</v>
      </c>
      <c r="H10089" s="7">
        <v>2440</v>
      </c>
      <c r="I10089" s="7">
        <v>81</v>
      </c>
      <c r="J10089" s="7">
        <v>0</v>
      </c>
      <c r="K10089" s="7" t="s">
        <v>18</v>
      </c>
      <c r="L10089" s="8">
        <v>39987.315405092595</v>
      </c>
      <c r="M10089" s="9" t="s">
        <v>19</v>
      </c>
      <c r="N10089" s="9" t="s">
        <v>20</v>
      </c>
      <c r="O10089" s="6" t="str">
        <f>HYPERLINK("https://pbs.twimg.com/profile_images/962471262747529216/Uo8lOkRJ_normal.jpg","View")</f>
        <v>View</v>
      </c>
      <c r="P10089" s="7"/>
    </row>
    <row r="10090" spans="1:16">
      <c r="A10090" s="3">
        <v>44091.057592592595</v>
      </c>
      <c r="B10090" s="4" t="str">
        <f>HYPERLINK("https://twitter.com/petrogustavo","@petrogustavo")</f>
        <v>@petrogustavo</v>
      </c>
      <c r="C10090" s="5" t="s">
        <v>16</v>
      </c>
      <c r="D10090" s="5" t="s">
        <v>9709</v>
      </c>
      <c r="E10090" s="6" t="str">
        <f>HYPERLINK("https://twitter.com/petrogustavo/status/1306320180742676481","1306320180742676481")</f>
        <v>1306320180742676481</v>
      </c>
      <c r="F10090" s="7" t="s">
        <v>17</v>
      </c>
      <c r="G10090" s="7">
        <v>3976677</v>
      </c>
      <c r="H10090" s="7">
        <v>2440</v>
      </c>
      <c r="I10090" s="7">
        <v>1366</v>
      </c>
      <c r="J10090" s="7">
        <v>0</v>
      </c>
      <c r="K10090" s="7" t="s">
        <v>18</v>
      </c>
      <c r="L10090" s="8">
        <v>39987.315405092595</v>
      </c>
      <c r="M10090" s="9" t="s">
        <v>19</v>
      </c>
      <c r="N10090" s="9" t="s">
        <v>20</v>
      </c>
      <c r="O10090" s="6" t="str">
        <f>HYPERLINK("https://pbs.twimg.com/profile_images/962471262747529216/Uo8lOkRJ_normal.jpg","View")</f>
        <v>View</v>
      </c>
      <c r="P10090" s="7"/>
    </row>
    <row r="10091" spans="1:16">
      <c r="A10091" s="3">
        <v>44091.057708333334</v>
      </c>
      <c r="B10091" s="4" t="str">
        <f>HYPERLINK("https://twitter.com/petrogustavo","@petrogustavo")</f>
        <v>@petrogustavo</v>
      </c>
      <c r="C10091" s="5" t="s">
        <v>16</v>
      </c>
      <c r="D10091" s="5" t="s">
        <v>9704</v>
      </c>
      <c r="E10091" s="6" t="str">
        <f>HYPERLINK("https://twitter.com/petrogustavo/status/1306320226297032705","1306320226297032705")</f>
        <v>1306320226297032705</v>
      </c>
      <c r="F10091" s="7" t="s">
        <v>17</v>
      </c>
      <c r="G10091" s="7">
        <v>3976677</v>
      </c>
      <c r="H10091" s="7">
        <v>2440</v>
      </c>
      <c r="I10091" s="7">
        <v>1693</v>
      </c>
      <c r="J10091" s="7">
        <v>0</v>
      </c>
      <c r="K10091" s="7" t="s">
        <v>18</v>
      </c>
      <c r="L10091" s="8">
        <v>39987.315405092595</v>
      </c>
      <c r="M10091" s="9" t="s">
        <v>19</v>
      </c>
      <c r="N10091" s="9" t="s">
        <v>20</v>
      </c>
      <c r="O10091" s="6" t="str">
        <f>HYPERLINK("https://pbs.twimg.com/profile_images/962471262747529216/Uo8lOkRJ_normal.jpg","View")</f>
        <v>View</v>
      </c>
      <c r="P10091" s="7"/>
    </row>
    <row r="10092" spans="1:16">
      <c r="A10092" s="3">
        <v>44091.058113425926</v>
      </c>
      <c r="B10092" s="4" t="str">
        <f>HYPERLINK("https://twitter.com/petrogustavo","@petrogustavo")</f>
        <v>@petrogustavo</v>
      </c>
      <c r="C10092" s="5" t="s">
        <v>16</v>
      </c>
      <c r="D10092" s="5" t="s">
        <v>9701</v>
      </c>
      <c r="E10092" s="6" t="str">
        <f>HYPERLINK("https://twitter.com/petrogustavo/status/1306320370362920960","1306320370362920960")</f>
        <v>1306320370362920960</v>
      </c>
      <c r="F10092" s="7" t="s">
        <v>17</v>
      </c>
      <c r="G10092" s="7">
        <v>3976677</v>
      </c>
      <c r="H10092" s="7">
        <v>2440</v>
      </c>
      <c r="I10092" s="7">
        <v>2967</v>
      </c>
      <c r="J10092" s="7">
        <v>0</v>
      </c>
      <c r="K10092" s="7" t="s">
        <v>18</v>
      </c>
      <c r="L10092" s="8">
        <v>39987.315405092595</v>
      </c>
      <c r="M10092" s="9" t="s">
        <v>19</v>
      </c>
      <c r="N10092" s="9" t="s">
        <v>20</v>
      </c>
      <c r="O10092" s="6" t="str">
        <f>HYPERLINK("https://pbs.twimg.com/profile_images/962471262747529216/Uo8lOkRJ_normal.jpg","View")</f>
        <v>View</v>
      </c>
      <c r="P10092" s="7"/>
    </row>
    <row r="10093" spans="1:16">
      <c r="A10093" s="3">
        <v>44091.136203703703</v>
      </c>
      <c r="B10093" s="4" t="str">
        <f>HYPERLINK("https://twitter.com/petrogustavo","@petrogustavo")</f>
        <v>@petrogustavo</v>
      </c>
      <c r="C10093" s="5" t="s">
        <v>16</v>
      </c>
      <c r="D10093" s="5" t="s">
        <v>9710</v>
      </c>
      <c r="E10093" s="6" t="str">
        <f>HYPERLINK("https://twitter.com/petrogustavo/status/1306348670401556483","1306348670401556483")</f>
        <v>1306348670401556483</v>
      </c>
      <c r="F10093" s="7" t="s">
        <v>32</v>
      </c>
      <c r="G10093" s="7">
        <v>3976767</v>
      </c>
      <c r="H10093" s="7">
        <v>2440</v>
      </c>
      <c r="I10093" s="7">
        <v>16</v>
      </c>
      <c r="J10093" s="7">
        <v>24</v>
      </c>
      <c r="K10093" s="7" t="s">
        <v>18</v>
      </c>
      <c r="L10093" s="8">
        <v>39987.315405092595</v>
      </c>
      <c r="M10093" s="9" t="s">
        <v>19</v>
      </c>
      <c r="N10093" s="9" t="s">
        <v>20</v>
      </c>
      <c r="O10093" s="6" t="str">
        <f>HYPERLINK("https://pbs.twimg.com/profile_images/962471262747529216/Uo8lOkRJ_normal.jpg","View")</f>
        <v>View</v>
      </c>
      <c r="P10093" s="7"/>
    </row>
    <row r="10094" spans="1:16">
      <c r="A10094" s="3">
        <v>44091.138356481482</v>
      </c>
      <c r="B10094" s="4" t="str">
        <f>HYPERLINK("https://twitter.com/petrogustavo","@petrogustavo")</f>
        <v>@petrogustavo</v>
      </c>
      <c r="C10094" s="5" t="s">
        <v>16</v>
      </c>
      <c r="D10094" s="5" t="s">
        <v>9711</v>
      </c>
      <c r="E10094" s="6" t="str">
        <f>HYPERLINK("https://twitter.com/petrogustavo/status/1306349450298822662","1306349450298822662")</f>
        <v>1306349450298822662</v>
      </c>
      <c r="F10094" s="7" t="s">
        <v>32</v>
      </c>
      <c r="G10094" s="7">
        <v>3976777</v>
      </c>
      <c r="H10094" s="7">
        <v>2440</v>
      </c>
      <c r="I10094" s="7">
        <v>161</v>
      </c>
      <c r="J10094" s="7">
        <v>415</v>
      </c>
      <c r="K10094" s="7" t="s">
        <v>18</v>
      </c>
      <c r="L10094" s="8">
        <v>39987.315405092595</v>
      </c>
      <c r="M10094" s="9" t="s">
        <v>19</v>
      </c>
      <c r="N10094" s="9" t="s">
        <v>20</v>
      </c>
      <c r="O10094" s="6" t="str">
        <f>HYPERLINK("https://pbs.twimg.com/profile_images/962471262747529216/Uo8lOkRJ_normal.jpg","View")</f>
        <v>View</v>
      </c>
      <c r="P10094" s="7"/>
    </row>
    <row r="10095" spans="1:16">
      <c r="A10095" s="3">
        <v>44091.139409722222</v>
      </c>
      <c r="B10095" s="4" t="str">
        <f>HYPERLINK("https://twitter.com/petrogustavo","@petrogustavo")</f>
        <v>@petrogustavo</v>
      </c>
      <c r="C10095" s="5" t="s">
        <v>16</v>
      </c>
      <c r="D10095" s="5" t="s">
        <v>9712</v>
      </c>
      <c r="E10095" s="6" t="str">
        <f>HYPERLINK("https://twitter.com/petrogustavo/status/1306349833981235200","1306349833981235200")</f>
        <v>1306349833981235200</v>
      </c>
      <c r="F10095" s="7" t="s">
        <v>32</v>
      </c>
      <c r="G10095" s="7">
        <v>3976777</v>
      </c>
      <c r="H10095" s="7">
        <v>2440</v>
      </c>
      <c r="I10095" s="7">
        <v>130</v>
      </c>
      <c r="J10095" s="7">
        <v>431</v>
      </c>
      <c r="K10095" s="7" t="s">
        <v>18</v>
      </c>
      <c r="L10095" s="8">
        <v>39987.315405092595</v>
      </c>
      <c r="M10095" s="9" t="s">
        <v>19</v>
      </c>
      <c r="N10095" s="9" t="s">
        <v>20</v>
      </c>
      <c r="O10095" s="6" t="str">
        <f>HYPERLINK("https://pbs.twimg.com/profile_images/962471262747529216/Uo8lOkRJ_normal.jpg","View")</f>
        <v>View</v>
      </c>
      <c r="P10095" s="7"/>
    </row>
    <row r="10096" spans="1:16">
      <c r="A10096" s="3">
        <v>44091.142500000002</v>
      </c>
      <c r="B10096" s="4" t="str">
        <f>HYPERLINK("https://twitter.com/petrogustavo","@petrogustavo")</f>
        <v>@petrogustavo</v>
      </c>
      <c r="C10096" s="5" t="s">
        <v>16</v>
      </c>
      <c r="D10096" s="5" t="s">
        <v>9713</v>
      </c>
      <c r="E10096" s="6" t="str">
        <f>HYPERLINK("https://twitter.com/petrogustavo/status/1306350953432580096","1306350953432580096")</f>
        <v>1306350953432580096</v>
      </c>
      <c r="F10096" s="7" t="s">
        <v>32</v>
      </c>
      <c r="G10096" s="7">
        <v>3976777</v>
      </c>
      <c r="H10096" s="7">
        <v>2440</v>
      </c>
      <c r="I10096" s="7">
        <v>60</v>
      </c>
      <c r="J10096" s="7">
        <v>128</v>
      </c>
      <c r="K10096" s="7" t="s">
        <v>18</v>
      </c>
      <c r="L10096" s="8">
        <v>39987.315405092595</v>
      </c>
      <c r="M10096" s="9" t="s">
        <v>19</v>
      </c>
      <c r="N10096" s="9" t="s">
        <v>20</v>
      </c>
      <c r="O10096" s="6" t="str">
        <f>HYPERLINK("https://pbs.twimg.com/profile_images/962471262747529216/Uo8lOkRJ_normal.jpg","View")</f>
        <v>View</v>
      </c>
      <c r="P10096" s="7"/>
    </row>
    <row r="10097" spans="1:16">
      <c r="A10097" s="3">
        <v>44091.143287037034</v>
      </c>
      <c r="B10097" s="4" t="str">
        <f>HYPERLINK("https://twitter.com/petrogustavo","@petrogustavo")</f>
        <v>@petrogustavo</v>
      </c>
      <c r="C10097" s="5" t="s">
        <v>16</v>
      </c>
      <c r="D10097" s="5" t="s">
        <v>9714</v>
      </c>
      <c r="E10097" s="6" t="str">
        <f>HYPERLINK("https://twitter.com/petrogustavo/status/1306351237437235201","1306351237437235201")</f>
        <v>1306351237437235201</v>
      </c>
      <c r="F10097" s="7" t="s">
        <v>32</v>
      </c>
      <c r="G10097" s="7">
        <v>3976777</v>
      </c>
      <c r="H10097" s="7">
        <v>2440</v>
      </c>
      <c r="I10097" s="7">
        <v>525</v>
      </c>
      <c r="J10097" s="7">
        <v>1942</v>
      </c>
      <c r="K10097" s="7" t="s">
        <v>18</v>
      </c>
      <c r="L10097" s="8">
        <v>39987.315405092595</v>
      </c>
      <c r="M10097" s="9" t="s">
        <v>19</v>
      </c>
      <c r="N10097" s="9" t="s">
        <v>20</v>
      </c>
      <c r="O10097" s="6" t="str">
        <f>HYPERLINK("https://pbs.twimg.com/profile_images/962471262747529216/Uo8lOkRJ_normal.jpg","View")</f>
        <v>View</v>
      </c>
      <c r="P10097" s="7"/>
    </row>
    <row r="10098" spans="1:16">
      <c r="A10098" s="3">
        <v>44091.292291666672</v>
      </c>
      <c r="B10098" s="4" t="str">
        <f>HYPERLINK("https://twitter.com/petrogustavo","@petrogustavo")</f>
        <v>@petrogustavo</v>
      </c>
      <c r="C10098" s="5" t="s">
        <v>16</v>
      </c>
      <c r="D10098" s="5" t="s">
        <v>9715</v>
      </c>
      <c r="E10098" s="6" t="str">
        <f>HYPERLINK("https://twitter.com/petrogustavo/status/1306405232902123522","1306405232902123522")</f>
        <v>1306405232902123522</v>
      </c>
      <c r="F10098" s="7" t="s">
        <v>32</v>
      </c>
      <c r="G10098" s="7">
        <v>3976966</v>
      </c>
      <c r="H10098" s="7">
        <v>2440</v>
      </c>
      <c r="I10098" s="7">
        <v>204</v>
      </c>
      <c r="J10098" s="7">
        <v>361</v>
      </c>
      <c r="K10098" s="7" t="s">
        <v>18</v>
      </c>
      <c r="L10098" s="8">
        <v>39987.315405092595</v>
      </c>
      <c r="M10098" s="9" t="s">
        <v>19</v>
      </c>
      <c r="N10098" s="9" t="s">
        <v>20</v>
      </c>
      <c r="O10098" s="6" t="str">
        <f>HYPERLINK("https://pbs.twimg.com/profile_images/962471262747529216/Uo8lOkRJ_normal.jpg","View")</f>
        <v>View</v>
      </c>
      <c r="P10098" s="7"/>
    </row>
    <row r="10099" spans="1:16">
      <c r="A10099" s="3">
        <v>44091.297488425931</v>
      </c>
      <c r="B10099" s="4" t="str">
        <f>HYPERLINK("https://twitter.com/petrogustavo","@petrogustavo")</f>
        <v>@petrogustavo</v>
      </c>
      <c r="C10099" s="5" t="s">
        <v>16</v>
      </c>
      <c r="D10099" s="5" t="s">
        <v>9716</v>
      </c>
      <c r="E10099" s="6" t="str">
        <f>HYPERLINK("https://twitter.com/petrogustavo/status/1306407119957225473","1306407119957225473")</f>
        <v>1306407119957225473</v>
      </c>
      <c r="F10099" s="7" t="s">
        <v>32</v>
      </c>
      <c r="G10099" s="7">
        <v>3976966</v>
      </c>
      <c r="H10099" s="7">
        <v>2440</v>
      </c>
      <c r="I10099" s="7">
        <v>108</v>
      </c>
      <c r="J10099" s="7">
        <v>177</v>
      </c>
      <c r="K10099" s="7" t="s">
        <v>18</v>
      </c>
      <c r="L10099" s="8">
        <v>39987.315405092595</v>
      </c>
      <c r="M10099" s="9" t="s">
        <v>19</v>
      </c>
      <c r="N10099" s="9" t="s">
        <v>20</v>
      </c>
      <c r="O10099" s="6" t="str">
        <f>HYPERLINK("https://pbs.twimg.com/profile_images/962471262747529216/Uo8lOkRJ_normal.jpg","View")</f>
        <v>View</v>
      </c>
      <c r="P10099" s="7"/>
    </row>
    <row r="10100" spans="1:16">
      <c r="A10100" s="3">
        <v>44091.340127314819</v>
      </c>
      <c r="B10100" s="4" t="str">
        <f>HYPERLINK("https://twitter.com/petrogustavo","@petrogustavo")</f>
        <v>@petrogustavo</v>
      </c>
      <c r="C10100" s="5" t="s">
        <v>16</v>
      </c>
      <c r="D10100" s="5" t="s">
        <v>9717</v>
      </c>
      <c r="E10100" s="6" t="str">
        <f>HYPERLINK("https://twitter.com/petrogustavo/status/1306422569755697152","1306422569755697152")</f>
        <v>1306422569755697152</v>
      </c>
      <c r="F10100" s="7" t="s">
        <v>32</v>
      </c>
      <c r="G10100" s="7">
        <v>3977051</v>
      </c>
      <c r="H10100" s="7">
        <v>2440</v>
      </c>
      <c r="I10100" s="7">
        <v>201</v>
      </c>
      <c r="J10100" s="7">
        <v>432</v>
      </c>
      <c r="K10100" s="7" t="s">
        <v>18</v>
      </c>
      <c r="L10100" s="8">
        <v>39987.315405092595</v>
      </c>
      <c r="M10100" s="9" t="s">
        <v>19</v>
      </c>
      <c r="N10100" s="9" t="s">
        <v>20</v>
      </c>
      <c r="O10100" s="6" t="str">
        <f>HYPERLINK("https://pbs.twimg.com/profile_images/962471262747529216/Uo8lOkRJ_normal.jpg","View")</f>
        <v>View</v>
      </c>
      <c r="P10100" s="7"/>
    </row>
    <row r="10101" spans="1:16">
      <c r="A10101" s="3">
        <v>44091.372546296298</v>
      </c>
      <c r="B10101" s="4" t="str">
        <f>HYPERLINK("https://twitter.com/petrogustavo","@petrogustavo")</f>
        <v>@petrogustavo</v>
      </c>
      <c r="C10101" s="5" t="s">
        <v>16</v>
      </c>
      <c r="D10101" s="5" t="s">
        <v>9718</v>
      </c>
      <c r="E10101" s="6" t="str">
        <f>HYPERLINK("https://twitter.com/petrogustavo/status/1306434316155711488","1306434316155711488")</f>
        <v>1306434316155711488</v>
      </c>
      <c r="F10101" s="7" t="s">
        <v>21</v>
      </c>
      <c r="G10101" s="7">
        <v>3977080</v>
      </c>
      <c r="H10101" s="7">
        <v>2440</v>
      </c>
      <c r="I10101" s="7">
        <v>978</v>
      </c>
      <c r="J10101" s="7">
        <v>1210</v>
      </c>
      <c r="K10101" s="7" t="s">
        <v>18</v>
      </c>
      <c r="L10101" s="8">
        <v>39987.315405092595</v>
      </c>
      <c r="M10101" s="9" t="s">
        <v>19</v>
      </c>
      <c r="N10101" s="9" t="s">
        <v>20</v>
      </c>
      <c r="O10101" s="6" t="str">
        <f>HYPERLINK("https://pbs.twimg.com/profile_images/962471262747529216/Uo8lOkRJ_normal.jpg","View")</f>
        <v>View</v>
      </c>
      <c r="P10101" s="7"/>
    </row>
    <row r="10102" spans="1:16">
      <c r="A10102" s="3">
        <v>44091.745810185181</v>
      </c>
      <c r="B10102" s="4" t="str">
        <f>HYPERLINK("https://twitter.com/petrogustavo","@petrogustavo")</f>
        <v>@petrogustavo</v>
      </c>
      <c r="C10102" s="5" t="s">
        <v>16</v>
      </c>
      <c r="D10102" s="5" t="s">
        <v>9719</v>
      </c>
      <c r="E10102" s="6" t="str">
        <f>HYPERLINK("https://twitter.com/petrogustavo/status/1306569582560317441","1306569582560317441")</f>
        <v>1306569582560317441</v>
      </c>
      <c r="F10102" s="7" t="s">
        <v>17</v>
      </c>
      <c r="G10102" s="7">
        <v>3977196</v>
      </c>
      <c r="H10102" s="7">
        <v>2440</v>
      </c>
      <c r="I10102" s="7">
        <v>194</v>
      </c>
      <c r="J10102" s="7">
        <v>0</v>
      </c>
      <c r="K10102" s="7" t="s">
        <v>18</v>
      </c>
      <c r="L10102" s="8">
        <v>39987.315405092595</v>
      </c>
      <c r="M10102" s="9" t="s">
        <v>19</v>
      </c>
      <c r="N10102" s="9" t="s">
        <v>20</v>
      </c>
      <c r="O10102" s="6" t="str">
        <f>HYPERLINK("https://pbs.twimg.com/profile_images/962471262747529216/Uo8lOkRJ_normal.jpg","View")</f>
        <v>View</v>
      </c>
      <c r="P10102" s="7"/>
    </row>
    <row r="10103" spans="1:16">
      <c r="A10103" s="3">
        <v>44091.74795138889</v>
      </c>
      <c r="B10103" s="4" t="str">
        <f>HYPERLINK("https://twitter.com/petrogustavo","@petrogustavo")</f>
        <v>@petrogustavo</v>
      </c>
      <c r="C10103" s="5" t="s">
        <v>16</v>
      </c>
      <c r="D10103" s="5" t="s">
        <v>9720</v>
      </c>
      <c r="E10103" s="6" t="str">
        <f>HYPERLINK("https://twitter.com/petrogustavo/status/1306570359731355648","1306570359731355648")</f>
        <v>1306570359731355648</v>
      </c>
      <c r="F10103" s="7" t="s">
        <v>17</v>
      </c>
      <c r="G10103" s="7">
        <v>3977196</v>
      </c>
      <c r="H10103" s="7">
        <v>2440</v>
      </c>
      <c r="I10103" s="7">
        <v>5770</v>
      </c>
      <c r="J10103" s="7">
        <v>0</v>
      </c>
      <c r="K10103" s="7" t="s">
        <v>18</v>
      </c>
      <c r="L10103" s="8">
        <v>39987.315405092595</v>
      </c>
      <c r="M10103" s="9" t="s">
        <v>19</v>
      </c>
      <c r="N10103" s="9" t="s">
        <v>20</v>
      </c>
      <c r="O10103" s="6" t="str">
        <f>HYPERLINK("https://pbs.twimg.com/profile_images/962471262747529216/Uo8lOkRJ_normal.jpg","View")</f>
        <v>View</v>
      </c>
      <c r="P10103" s="7"/>
    </row>
    <row r="10104" spans="1:16">
      <c r="A10104" s="3">
        <v>44091.761238425926</v>
      </c>
      <c r="B10104" s="4" t="str">
        <f>HYPERLINK("https://twitter.com/petrogustavo","@petrogustavo")</f>
        <v>@petrogustavo</v>
      </c>
      <c r="C10104" s="5" t="s">
        <v>16</v>
      </c>
      <c r="D10104" s="5" t="s">
        <v>9721</v>
      </c>
      <c r="E10104" s="6" t="str">
        <f>HYPERLINK("https://twitter.com/petrogustavo/status/1306575175698313216","1306575175698313216")</f>
        <v>1306575175698313216</v>
      </c>
      <c r="F10104" s="7" t="s">
        <v>17</v>
      </c>
      <c r="G10104" s="7">
        <v>3977196</v>
      </c>
      <c r="H10104" s="7">
        <v>2440</v>
      </c>
      <c r="I10104" s="7">
        <v>16</v>
      </c>
      <c r="J10104" s="7">
        <v>40</v>
      </c>
      <c r="K10104" s="7" t="s">
        <v>18</v>
      </c>
      <c r="L10104" s="8">
        <v>39987.315405092595</v>
      </c>
      <c r="M10104" s="9" t="s">
        <v>19</v>
      </c>
      <c r="N10104" s="9" t="s">
        <v>20</v>
      </c>
      <c r="O10104" s="6" t="str">
        <f>HYPERLINK("https://pbs.twimg.com/profile_images/962471262747529216/Uo8lOkRJ_normal.jpg","View")</f>
        <v>View</v>
      </c>
      <c r="P10104" s="7"/>
    </row>
    <row r="10105" spans="1:16">
      <c r="A10105" s="3">
        <v>44091.762222222227</v>
      </c>
      <c r="B10105" s="4" t="str">
        <f>HYPERLINK("https://twitter.com/petrogustavo","@petrogustavo")</f>
        <v>@petrogustavo</v>
      </c>
      <c r="C10105" s="5" t="s">
        <v>16</v>
      </c>
      <c r="D10105" s="5" t="s">
        <v>9722</v>
      </c>
      <c r="E10105" s="6" t="str">
        <f>HYPERLINK("https://twitter.com/petrogustavo/status/1306575532742660101","1306575532742660101")</f>
        <v>1306575532742660101</v>
      </c>
      <c r="F10105" s="7" t="s">
        <v>17</v>
      </c>
      <c r="G10105" s="7">
        <v>3977196</v>
      </c>
      <c r="H10105" s="7">
        <v>2440</v>
      </c>
      <c r="I10105" s="7">
        <v>18</v>
      </c>
      <c r="J10105" s="7">
        <v>0</v>
      </c>
      <c r="K10105" s="7" t="s">
        <v>18</v>
      </c>
      <c r="L10105" s="8">
        <v>39987.315405092595</v>
      </c>
      <c r="M10105" s="9" t="s">
        <v>19</v>
      </c>
      <c r="N10105" s="9" t="s">
        <v>20</v>
      </c>
      <c r="O10105" s="6" t="str">
        <f>HYPERLINK("https://pbs.twimg.com/profile_images/962471262747529216/Uo8lOkRJ_normal.jpg","View")</f>
        <v>View</v>
      </c>
      <c r="P10105" s="7"/>
    </row>
    <row r="10106" spans="1:16">
      <c r="A10106" s="3">
        <v>44091.77238425926</v>
      </c>
      <c r="B10106" s="4" t="str">
        <f>HYPERLINK("https://twitter.com/petrogustavo","@petrogustavo")</f>
        <v>@petrogustavo</v>
      </c>
      <c r="C10106" s="5" t="s">
        <v>16</v>
      </c>
      <c r="D10106" s="5" t="s">
        <v>9723</v>
      </c>
      <c r="E10106" s="6" t="str">
        <f>HYPERLINK("https://twitter.com/petrogustavo/status/1306579216474034181","1306579216474034181")</f>
        <v>1306579216474034181</v>
      </c>
      <c r="F10106" s="7" t="s">
        <v>17</v>
      </c>
      <c r="G10106" s="7">
        <v>3977207</v>
      </c>
      <c r="H10106" s="7">
        <v>2439</v>
      </c>
      <c r="I10106" s="7">
        <v>189</v>
      </c>
      <c r="J10106" s="7">
        <v>795</v>
      </c>
      <c r="K10106" s="7" t="s">
        <v>18</v>
      </c>
      <c r="L10106" s="8">
        <v>39987.315405092595</v>
      </c>
      <c r="M10106" s="9" t="s">
        <v>19</v>
      </c>
      <c r="N10106" s="9" t="s">
        <v>20</v>
      </c>
      <c r="O10106" s="6" t="str">
        <f>HYPERLINK("https://pbs.twimg.com/profile_images/962471262747529216/Uo8lOkRJ_normal.jpg","View")</f>
        <v>View</v>
      </c>
      <c r="P10106" s="7"/>
    </row>
    <row r="10107" spans="1:16">
      <c r="A10107" s="3">
        <v>44091.773379629631</v>
      </c>
      <c r="B10107" s="4" t="str">
        <f>HYPERLINK("https://twitter.com/petrogustavo","@petrogustavo")</f>
        <v>@petrogustavo</v>
      </c>
      <c r="C10107" s="5" t="s">
        <v>16</v>
      </c>
      <c r="D10107" s="5" t="s">
        <v>9724</v>
      </c>
      <c r="E10107" s="6" t="str">
        <f>HYPERLINK("https://twitter.com/petrogustavo/status/1306579575971942400","1306579575971942400")</f>
        <v>1306579575971942400</v>
      </c>
      <c r="F10107" s="7" t="s">
        <v>17</v>
      </c>
      <c r="G10107" s="7">
        <v>3977207</v>
      </c>
      <c r="H10107" s="7">
        <v>2439</v>
      </c>
      <c r="I10107" s="7">
        <v>330</v>
      </c>
      <c r="J10107" s="7">
        <v>1158</v>
      </c>
      <c r="K10107" s="7" t="s">
        <v>18</v>
      </c>
      <c r="L10107" s="8">
        <v>39987.315405092595</v>
      </c>
      <c r="M10107" s="9" t="s">
        <v>19</v>
      </c>
      <c r="N10107" s="9" t="s">
        <v>20</v>
      </c>
      <c r="O10107" s="6" t="str">
        <f>HYPERLINK("https://pbs.twimg.com/profile_images/962471262747529216/Uo8lOkRJ_normal.jpg","View")</f>
        <v>View</v>
      </c>
      <c r="P10107" s="7"/>
    </row>
    <row r="10108" spans="1:16">
      <c r="A10108" s="3">
        <v>44091.78123842593</v>
      </c>
      <c r="B10108" s="4" t="str">
        <f>HYPERLINK("https://twitter.com/petrogustavo","@petrogustavo")</f>
        <v>@petrogustavo</v>
      </c>
      <c r="C10108" s="5" t="s">
        <v>16</v>
      </c>
      <c r="D10108" s="5" t="s">
        <v>9725</v>
      </c>
      <c r="E10108" s="6" t="str">
        <f>HYPERLINK("https://twitter.com/petrogustavo/status/1306582424151879680","1306582424151879680")</f>
        <v>1306582424151879680</v>
      </c>
      <c r="F10108" s="7" t="s">
        <v>17</v>
      </c>
      <c r="G10108" s="7">
        <v>3977207</v>
      </c>
      <c r="H10108" s="7">
        <v>2439</v>
      </c>
      <c r="I10108" s="7">
        <v>54</v>
      </c>
      <c r="J10108" s="7">
        <v>0</v>
      </c>
      <c r="K10108" s="7" t="s">
        <v>18</v>
      </c>
      <c r="L10108" s="8">
        <v>39987.315405092595</v>
      </c>
      <c r="M10108" s="9" t="s">
        <v>19</v>
      </c>
      <c r="N10108" s="9" t="s">
        <v>20</v>
      </c>
      <c r="O10108" s="6" t="str">
        <f>HYPERLINK("https://pbs.twimg.com/profile_images/962471262747529216/Uo8lOkRJ_normal.jpg","View")</f>
        <v>View</v>
      </c>
      <c r="P10108" s="7"/>
    </row>
    <row r="10109" spans="1:16">
      <c r="A10109" s="3">
        <v>44091.781493055554</v>
      </c>
      <c r="B10109" s="4" t="str">
        <f>HYPERLINK("https://twitter.com/petrogustavo","@petrogustavo")</f>
        <v>@petrogustavo</v>
      </c>
      <c r="C10109" s="5" t="s">
        <v>16</v>
      </c>
      <c r="D10109" s="5" t="s">
        <v>9726</v>
      </c>
      <c r="E10109" s="6" t="str">
        <f>HYPERLINK("https://twitter.com/petrogustavo/status/1306582514367180800","1306582514367180800")</f>
        <v>1306582514367180800</v>
      </c>
      <c r="F10109" s="7" t="s">
        <v>17</v>
      </c>
      <c r="G10109" s="7">
        <v>3977207</v>
      </c>
      <c r="H10109" s="7">
        <v>2439</v>
      </c>
      <c r="I10109" s="7">
        <v>330</v>
      </c>
      <c r="J10109" s="7">
        <v>0</v>
      </c>
      <c r="K10109" s="7" t="s">
        <v>18</v>
      </c>
      <c r="L10109" s="8">
        <v>39987.315405092595</v>
      </c>
      <c r="M10109" s="9" t="s">
        <v>19</v>
      </c>
      <c r="N10109" s="9" t="s">
        <v>20</v>
      </c>
      <c r="O10109" s="6" t="str">
        <f>HYPERLINK("https://pbs.twimg.com/profile_images/962471262747529216/Uo8lOkRJ_normal.jpg","View")</f>
        <v>View</v>
      </c>
      <c r="P10109" s="7"/>
    </row>
    <row r="10110" spans="1:16">
      <c r="A10110" s="3">
        <v>44091.795173611114</v>
      </c>
      <c r="B10110" s="4" t="str">
        <f>HYPERLINK("https://twitter.com/petrogustavo","@petrogustavo")</f>
        <v>@petrogustavo</v>
      </c>
      <c r="C10110" s="5" t="s">
        <v>16</v>
      </c>
      <c r="D10110" s="5" t="s">
        <v>9727</v>
      </c>
      <c r="E10110" s="6" t="str">
        <f>HYPERLINK("https://twitter.com/petrogustavo/status/1306587471258419201","1306587471258419201")</f>
        <v>1306587471258419201</v>
      </c>
      <c r="F10110" s="7" t="s">
        <v>17</v>
      </c>
      <c r="G10110" s="7">
        <v>3977228</v>
      </c>
      <c r="H10110" s="7">
        <v>2439</v>
      </c>
      <c r="I10110" s="7">
        <v>123</v>
      </c>
      <c r="J10110" s="7">
        <v>432</v>
      </c>
      <c r="K10110" s="7" t="s">
        <v>18</v>
      </c>
      <c r="L10110" s="8">
        <v>39987.315405092595</v>
      </c>
      <c r="M10110" s="9" t="s">
        <v>19</v>
      </c>
      <c r="N10110" s="9" t="s">
        <v>20</v>
      </c>
      <c r="O10110" s="6" t="str">
        <f>HYPERLINK("https://pbs.twimg.com/profile_images/962471262747529216/Uo8lOkRJ_normal.jpg","View")</f>
        <v>View</v>
      </c>
      <c r="P10110" s="7"/>
    </row>
    <row r="10111" spans="1:16">
      <c r="A10111" s="3">
        <v>44091.797997685186</v>
      </c>
      <c r="B10111" s="4" t="str">
        <f>HYPERLINK("https://twitter.com/petrogustavo","@petrogustavo")</f>
        <v>@petrogustavo</v>
      </c>
      <c r="C10111" s="5" t="s">
        <v>16</v>
      </c>
      <c r="D10111" s="5" t="s">
        <v>9728</v>
      </c>
      <c r="E10111" s="6" t="str">
        <f>HYPERLINK("https://twitter.com/petrogustavo/status/1306588496749047810","1306588496749047810")</f>
        <v>1306588496749047810</v>
      </c>
      <c r="F10111" s="7" t="s">
        <v>17</v>
      </c>
      <c r="G10111" s="7">
        <v>3977228</v>
      </c>
      <c r="H10111" s="7">
        <v>2439</v>
      </c>
      <c r="I10111" s="7">
        <v>56</v>
      </c>
      <c r="J10111" s="7">
        <v>0</v>
      </c>
      <c r="K10111" s="7" t="s">
        <v>18</v>
      </c>
      <c r="L10111" s="8">
        <v>39987.315405092595</v>
      </c>
      <c r="M10111" s="9" t="s">
        <v>19</v>
      </c>
      <c r="N10111" s="9" t="s">
        <v>20</v>
      </c>
      <c r="O10111" s="6" t="str">
        <f>HYPERLINK("https://pbs.twimg.com/profile_images/962471262747529216/Uo8lOkRJ_normal.jpg","View")</f>
        <v>View</v>
      </c>
      <c r="P10111" s="7"/>
    </row>
    <row r="10112" spans="1:16">
      <c r="A10112" s="3">
        <v>44091.798750000002</v>
      </c>
      <c r="B10112" s="4" t="str">
        <f>HYPERLINK("https://twitter.com/petrogustavo","@petrogustavo")</f>
        <v>@petrogustavo</v>
      </c>
      <c r="C10112" s="5" t="s">
        <v>16</v>
      </c>
      <c r="D10112" s="5" t="s">
        <v>9729</v>
      </c>
      <c r="E10112" s="6" t="str">
        <f>HYPERLINK("https://twitter.com/petrogustavo/status/1306588768644730889","1306588768644730889")</f>
        <v>1306588768644730889</v>
      </c>
      <c r="F10112" s="7" t="s">
        <v>17</v>
      </c>
      <c r="G10112" s="7">
        <v>3977228</v>
      </c>
      <c r="H10112" s="7">
        <v>2439</v>
      </c>
      <c r="I10112" s="7">
        <v>123</v>
      </c>
      <c r="J10112" s="7">
        <v>0</v>
      </c>
      <c r="K10112" s="7" t="s">
        <v>18</v>
      </c>
      <c r="L10112" s="8">
        <v>39987.315405092595</v>
      </c>
      <c r="M10112" s="9" t="s">
        <v>19</v>
      </c>
      <c r="N10112" s="9" t="s">
        <v>20</v>
      </c>
      <c r="O10112" s="6" t="str">
        <f>HYPERLINK("https://pbs.twimg.com/profile_images/962471262747529216/Uo8lOkRJ_normal.jpg","View")</f>
        <v>View</v>
      </c>
      <c r="P10112" s="7"/>
    </row>
    <row r="10113" spans="1:16">
      <c r="A10113" s="3">
        <v>44091.832627314812</v>
      </c>
      <c r="B10113" s="4" t="str">
        <f>HYPERLINK("https://twitter.com/petrogustavo","@petrogustavo")</f>
        <v>@petrogustavo</v>
      </c>
      <c r="C10113" s="5" t="s">
        <v>16</v>
      </c>
      <c r="D10113" s="5" t="s">
        <v>9726</v>
      </c>
      <c r="E10113" s="6" t="str">
        <f>HYPERLINK("https://twitter.com/petrogustavo/status/1306601045158588417","1306601045158588417")</f>
        <v>1306601045158588417</v>
      </c>
      <c r="F10113" s="7" t="s">
        <v>17</v>
      </c>
      <c r="G10113" s="7">
        <v>3977278</v>
      </c>
      <c r="H10113" s="7">
        <v>2439</v>
      </c>
      <c r="I10113" s="7">
        <v>1381</v>
      </c>
      <c r="J10113" s="7">
        <v>0</v>
      </c>
      <c r="K10113" s="7" t="s">
        <v>18</v>
      </c>
      <c r="L10113" s="8">
        <v>39987.315405092595</v>
      </c>
      <c r="M10113" s="9" t="s">
        <v>19</v>
      </c>
      <c r="N10113" s="9" t="s">
        <v>20</v>
      </c>
      <c r="O10113" s="6" t="str">
        <f>HYPERLINK("https://pbs.twimg.com/profile_images/962471262747529216/Uo8lOkRJ_normal.jpg","View")</f>
        <v>View</v>
      </c>
      <c r="P10113" s="7"/>
    </row>
    <row r="10114" spans="1:16">
      <c r="A10114" s="3">
        <v>44091.832731481481</v>
      </c>
      <c r="B10114" s="4" t="str">
        <f>HYPERLINK("https://twitter.com/petrogustavo","@petrogustavo")</f>
        <v>@petrogustavo</v>
      </c>
      <c r="C10114" s="5" t="s">
        <v>16</v>
      </c>
      <c r="D10114" s="5" t="s">
        <v>9720</v>
      </c>
      <c r="E10114" s="6" t="str">
        <f>HYPERLINK("https://twitter.com/petrogustavo/status/1306601085012832262","1306601085012832262")</f>
        <v>1306601085012832262</v>
      </c>
      <c r="F10114" s="7" t="s">
        <v>17</v>
      </c>
      <c r="G10114" s="7">
        <v>3977278</v>
      </c>
      <c r="H10114" s="7">
        <v>2439</v>
      </c>
      <c r="I10114" s="7">
        <v>6732</v>
      </c>
      <c r="J10114" s="7">
        <v>0</v>
      </c>
      <c r="K10114" s="7" t="s">
        <v>18</v>
      </c>
      <c r="L10114" s="8">
        <v>39987.315405092595</v>
      </c>
      <c r="M10114" s="9" t="s">
        <v>19</v>
      </c>
      <c r="N10114" s="9" t="s">
        <v>20</v>
      </c>
      <c r="O10114" s="6" t="str">
        <f>HYPERLINK("https://pbs.twimg.com/profile_images/962471262747529216/Uo8lOkRJ_normal.jpg","View")</f>
        <v>View</v>
      </c>
      <c r="P10114" s="7"/>
    </row>
    <row r="10115" spans="1:16">
      <c r="A10115" s="3">
        <v>44091.890960648147</v>
      </c>
      <c r="B10115" s="4" t="str">
        <f>HYPERLINK("https://twitter.com/petrogustavo","@petrogustavo")</f>
        <v>@petrogustavo</v>
      </c>
      <c r="C10115" s="5" t="s">
        <v>16</v>
      </c>
      <c r="D10115" s="5" t="s">
        <v>9730</v>
      </c>
      <c r="E10115" s="6" t="str">
        <f>HYPERLINK("https://twitter.com/petrogustavo/status/1306622186346762240","1306622186346762240")</f>
        <v>1306622186346762240</v>
      </c>
      <c r="F10115" s="7" t="s">
        <v>32</v>
      </c>
      <c r="G10115" s="7">
        <v>3977337</v>
      </c>
      <c r="H10115" s="7">
        <v>2439</v>
      </c>
      <c r="I10115" s="7">
        <v>72</v>
      </c>
      <c r="J10115" s="7">
        <v>0</v>
      </c>
      <c r="K10115" s="7" t="s">
        <v>18</v>
      </c>
      <c r="L10115" s="8">
        <v>39987.315405092595</v>
      </c>
      <c r="M10115" s="9" t="s">
        <v>19</v>
      </c>
      <c r="N10115" s="9" t="s">
        <v>20</v>
      </c>
      <c r="O10115" s="6" t="str">
        <f>HYPERLINK("https://pbs.twimg.com/profile_images/962471262747529216/Uo8lOkRJ_normal.jpg","View")</f>
        <v>View</v>
      </c>
      <c r="P10115" s="7"/>
    </row>
    <row r="10116" spans="1:16">
      <c r="A10116" s="3">
        <v>44091.891157407408</v>
      </c>
      <c r="B10116" s="4" t="str">
        <f>HYPERLINK("https://twitter.com/petrogustavo","@petrogustavo")</f>
        <v>@petrogustavo</v>
      </c>
      <c r="C10116" s="5" t="s">
        <v>16</v>
      </c>
      <c r="D10116" s="5" t="s">
        <v>9731</v>
      </c>
      <c r="E10116" s="6" t="str">
        <f>HYPERLINK("https://twitter.com/petrogustavo/status/1306622257515712512","1306622257515712512")</f>
        <v>1306622257515712512</v>
      </c>
      <c r="F10116" s="7" t="s">
        <v>32</v>
      </c>
      <c r="G10116" s="7">
        <v>3977337</v>
      </c>
      <c r="H10116" s="7">
        <v>2439</v>
      </c>
      <c r="I10116" s="7">
        <v>82</v>
      </c>
      <c r="J10116" s="7">
        <v>0</v>
      </c>
      <c r="K10116" s="7" t="s">
        <v>18</v>
      </c>
      <c r="L10116" s="8">
        <v>39987.315405092595</v>
      </c>
      <c r="M10116" s="9" t="s">
        <v>19</v>
      </c>
      <c r="N10116" s="9" t="s">
        <v>20</v>
      </c>
      <c r="O10116" s="6" t="str">
        <f>HYPERLINK("https://pbs.twimg.com/profile_images/962471262747529216/Uo8lOkRJ_normal.jpg","View")</f>
        <v>View</v>
      </c>
      <c r="P10116" s="7"/>
    </row>
    <row r="10117" spans="1:16">
      <c r="A10117" s="3">
        <v>44091.939004629632</v>
      </c>
      <c r="B10117" s="4" t="str">
        <f>HYPERLINK("https://twitter.com/petrogustavo","@petrogustavo")</f>
        <v>@petrogustavo</v>
      </c>
      <c r="C10117" s="5" t="s">
        <v>16</v>
      </c>
      <c r="D10117" s="5" t="s">
        <v>9732</v>
      </c>
      <c r="E10117" s="6" t="str">
        <f>HYPERLINK("https://twitter.com/petrogustavo/status/1306639595866599430","1306639595866599430")</f>
        <v>1306639595866599430</v>
      </c>
      <c r="F10117" s="7" t="s">
        <v>32</v>
      </c>
      <c r="G10117" s="7">
        <v>3977384</v>
      </c>
      <c r="H10117" s="7">
        <v>2439</v>
      </c>
      <c r="I10117" s="7">
        <v>161</v>
      </c>
      <c r="J10117" s="7">
        <v>561</v>
      </c>
      <c r="K10117" s="7" t="s">
        <v>18</v>
      </c>
      <c r="L10117" s="8">
        <v>39987.315405092595</v>
      </c>
      <c r="M10117" s="9" t="s">
        <v>19</v>
      </c>
      <c r="N10117" s="9" t="s">
        <v>20</v>
      </c>
      <c r="O10117" s="6" t="str">
        <f>HYPERLINK("https://pbs.twimg.com/profile_images/962471262747529216/Uo8lOkRJ_normal.jpg","View")</f>
        <v>View</v>
      </c>
      <c r="P10117" s="7"/>
    </row>
    <row r="10118" spans="1:16">
      <c r="A10118" s="3">
        <v>44091.953298611115</v>
      </c>
      <c r="B10118" s="4" t="str">
        <f>HYPERLINK("https://twitter.com/petrogustavo","@petrogustavo")</f>
        <v>@petrogustavo</v>
      </c>
      <c r="C10118" s="5" t="s">
        <v>16</v>
      </c>
      <c r="D10118" s="5" t="s">
        <v>9733</v>
      </c>
      <c r="E10118" s="6" t="str">
        <f>HYPERLINK("https://twitter.com/petrogustavo/status/1306644775106424832","1306644775106424832")</f>
        <v>1306644775106424832</v>
      </c>
      <c r="F10118" s="7" t="s">
        <v>32</v>
      </c>
      <c r="G10118" s="7">
        <v>3977403</v>
      </c>
      <c r="H10118" s="7">
        <v>2439</v>
      </c>
      <c r="I10118" s="7">
        <v>213</v>
      </c>
      <c r="J10118" s="7">
        <v>447</v>
      </c>
      <c r="K10118" s="7" t="s">
        <v>18</v>
      </c>
      <c r="L10118" s="8">
        <v>39987.315405092595</v>
      </c>
      <c r="M10118" s="9" t="s">
        <v>19</v>
      </c>
      <c r="N10118" s="9" t="s">
        <v>20</v>
      </c>
      <c r="O10118" s="6" t="str">
        <f>HYPERLINK("https://pbs.twimg.com/profile_images/962471262747529216/Uo8lOkRJ_normal.jpg","View")</f>
        <v>View</v>
      </c>
      <c r="P10118" s="7"/>
    </row>
    <row r="10119" spans="1:16">
      <c r="A10119" s="3">
        <v>44091.956828703704</v>
      </c>
      <c r="B10119" s="4" t="str">
        <f>HYPERLINK("https://twitter.com/petrogustavo","@petrogustavo")</f>
        <v>@petrogustavo</v>
      </c>
      <c r="C10119" s="5" t="s">
        <v>16</v>
      </c>
      <c r="D10119" s="5" t="s">
        <v>9734</v>
      </c>
      <c r="E10119" s="6" t="str">
        <f>HYPERLINK("https://twitter.com/petrogustavo/status/1306646055140851714","1306646055140851714")</f>
        <v>1306646055140851714</v>
      </c>
      <c r="F10119" s="7" t="s">
        <v>17</v>
      </c>
      <c r="G10119" s="7">
        <v>3977403</v>
      </c>
      <c r="H10119" s="7">
        <v>2439</v>
      </c>
      <c r="I10119" s="7">
        <v>39</v>
      </c>
      <c r="J10119" s="7">
        <v>90</v>
      </c>
      <c r="K10119" s="7" t="s">
        <v>18</v>
      </c>
      <c r="L10119" s="8">
        <v>39987.315405092595</v>
      </c>
      <c r="M10119" s="9" t="s">
        <v>19</v>
      </c>
      <c r="N10119" s="9" t="s">
        <v>20</v>
      </c>
      <c r="O10119" s="6" t="str">
        <f>HYPERLINK("https://pbs.twimg.com/profile_images/962471262747529216/Uo8lOkRJ_normal.jpg","View")</f>
        <v>View</v>
      </c>
      <c r="P10119" s="7"/>
    </row>
    <row r="10120" spans="1:16">
      <c r="A10120" s="3">
        <v>44091.957754629635</v>
      </c>
      <c r="B10120" s="4" t="str">
        <f>HYPERLINK("https://twitter.com/petrogustavo","@petrogustavo")</f>
        <v>@petrogustavo</v>
      </c>
      <c r="C10120" s="5" t="s">
        <v>16</v>
      </c>
      <c r="D10120" s="5" t="s">
        <v>9735</v>
      </c>
      <c r="E10120" s="6" t="str">
        <f>HYPERLINK("https://twitter.com/petrogustavo/status/1306646390383181824","1306646390383181824")</f>
        <v>1306646390383181824</v>
      </c>
      <c r="F10120" s="7" t="s">
        <v>17</v>
      </c>
      <c r="G10120" s="7">
        <v>3977403</v>
      </c>
      <c r="H10120" s="7">
        <v>2439</v>
      </c>
      <c r="I10120" s="7">
        <v>28</v>
      </c>
      <c r="J10120" s="7">
        <v>87</v>
      </c>
      <c r="K10120" s="7" t="s">
        <v>18</v>
      </c>
      <c r="L10120" s="8">
        <v>39987.315405092595</v>
      </c>
      <c r="M10120" s="9" t="s">
        <v>19</v>
      </c>
      <c r="N10120" s="9" t="s">
        <v>20</v>
      </c>
      <c r="O10120" s="6" t="str">
        <f>HYPERLINK("https://pbs.twimg.com/profile_images/962471262747529216/Uo8lOkRJ_normal.jpg","View")</f>
        <v>View</v>
      </c>
      <c r="P10120" s="7"/>
    </row>
    <row r="10121" spans="1:16">
      <c r="A10121" s="3">
        <v>44091.959178240737</v>
      </c>
      <c r="B10121" s="4" t="str">
        <f>HYPERLINK("https://twitter.com/petrogustavo","@petrogustavo")</f>
        <v>@petrogustavo</v>
      </c>
      <c r="C10121" s="5" t="s">
        <v>16</v>
      </c>
      <c r="D10121" s="5" t="s">
        <v>9736</v>
      </c>
      <c r="E10121" s="6" t="str">
        <f>HYPERLINK("https://twitter.com/petrogustavo/status/1306646904441376768","1306646904441376768")</f>
        <v>1306646904441376768</v>
      </c>
      <c r="F10121" s="7" t="s">
        <v>17</v>
      </c>
      <c r="G10121" s="7">
        <v>3977403</v>
      </c>
      <c r="H10121" s="7">
        <v>2439</v>
      </c>
      <c r="I10121" s="7">
        <v>24</v>
      </c>
      <c r="J10121" s="7">
        <v>74</v>
      </c>
      <c r="K10121" s="7" t="s">
        <v>18</v>
      </c>
      <c r="L10121" s="8">
        <v>39987.315405092595</v>
      </c>
      <c r="M10121" s="9" t="s">
        <v>19</v>
      </c>
      <c r="N10121" s="9" t="s">
        <v>20</v>
      </c>
      <c r="O10121" s="6" t="str">
        <f>HYPERLINK("https://pbs.twimg.com/profile_images/962471262747529216/Uo8lOkRJ_normal.jpg","View")</f>
        <v>View</v>
      </c>
      <c r="P10121" s="7"/>
    </row>
    <row r="10122" spans="1:16">
      <c r="A10122" s="3">
        <v>44092.053113425922</v>
      </c>
      <c r="B10122" s="4" t="str">
        <f>HYPERLINK("https://twitter.com/petrogustavo","@petrogustavo")</f>
        <v>@petrogustavo</v>
      </c>
      <c r="C10122" s="5" t="s">
        <v>16</v>
      </c>
      <c r="D10122" s="5" t="s">
        <v>9737</v>
      </c>
      <c r="E10122" s="6" t="str">
        <f>HYPERLINK("https://twitter.com/petrogustavo/status/1306680949502021634","1306680949502021634")</f>
        <v>1306680949502021634</v>
      </c>
      <c r="F10122" s="7" t="s">
        <v>32</v>
      </c>
      <c r="G10122" s="7">
        <v>3977467</v>
      </c>
      <c r="H10122" s="7">
        <v>2439</v>
      </c>
      <c r="I10122" s="7">
        <v>7</v>
      </c>
      <c r="J10122" s="7">
        <v>20</v>
      </c>
      <c r="K10122" s="7" t="s">
        <v>18</v>
      </c>
      <c r="L10122" s="8">
        <v>39987.315405092595</v>
      </c>
      <c r="M10122" s="9" t="s">
        <v>19</v>
      </c>
      <c r="N10122" s="9" t="s">
        <v>20</v>
      </c>
      <c r="O10122" s="6" t="str">
        <f>HYPERLINK("https://pbs.twimg.com/profile_images/962471262747529216/Uo8lOkRJ_normal.jpg","View")</f>
        <v>View</v>
      </c>
      <c r="P10122" s="7"/>
    </row>
    <row r="10123" spans="1:16">
      <c r="A10123" s="3">
        <v>44092.061388888891</v>
      </c>
      <c r="B10123" s="4" t="str">
        <f>HYPERLINK("https://twitter.com/petrogustavo","@petrogustavo")</f>
        <v>@petrogustavo</v>
      </c>
      <c r="C10123" s="5" t="s">
        <v>16</v>
      </c>
      <c r="D10123" s="5" t="s">
        <v>9738</v>
      </c>
      <c r="E10123" s="6" t="str">
        <f>HYPERLINK("https://twitter.com/petrogustavo/status/1306683944902037508","1306683944902037508")</f>
        <v>1306683944902037508</v>
      </c>
      <c r="F10123" s="7" t="s">
        <v>32</v>
      </c>
      <c r="G10123" s="7">
        <v>3977483</v>
      </c>
      <c r="H10123" s="7">
        <v>2439</v>
      </c>
      <c r="I10123" s="7">
        <v>32</v>
      </c>
      <c r="J10123" s="7">
        <v>0</v>
      </c>
      <c r="K10123" s="7" t="s">
        <v>18</v>
      </c>
      <c r="L10123" s="8">
        <v>39987.315405092595</v>
      </c>
      <c r="M10123" s="9" t="s">
        <v>19</v>
      </c>
      <c r="N10123" s="9" t="s">
        <v>20</v>
      </c>
      <c r="O10123" s="6" t="str">
        <f>HYPERLINK("https://pbs.twimg.com/profile_images/962471262747529216/Uo8lOkRJ_normal.jpg","View")</f>
        <v>View</v>
      </c>
      <c r="P10123" s="7"/>
    </row>
    <row r="10124" spans="1:16">
      <c r="A10124" s="3">
        <v>44092.112951388888</v>
      </c>
      <c r="B10124" s="4" t="str">
        <f>HYPERLINK("https://twitter.com/petrogustavo","@petrogustavo")</f>
        <v>@petrogustavo</v>
      </c>
      <c r="C10124" s="5" t="s">
        <v>16</v>
      </c>
      <c r="D10124" s="5" t="s">
        <v>9739</v>
      </c>
      <c r="E10124" s="6" t="str">
        <f>HYPERLINK("https://twitter.com/petrogustavo/status/1306702632447336448","1306702632447336448")</f>
        <v>1306702632447336448</v>
      </c>
      <c r="F10124" s="7" t="s">
        <v>17</v>
      </c>
      <c r="G10124" s="7">
        <v>3977514</v>
      </c>
      <c r="H10124" s="7">
        <v>2439</v>
      </c>
      <c r="I10124" s="7">
        <v>367</v>
      </c>
      <c r="J10124" s="7">
        <v>0</v>
      </c>
      <c r="K10124" s="7" t="s">
        <v>18</v>
      </c>
      <c r="L10124" s="8">
        <v>39987.315405092595</v>
      </c>
      <c r="M10124" s="9" t="s">
        <v>19</v>
      </c>
      <c r="N10124" s="9" t="s">
        <v>20</v>
      </c>
      <c r="O10124" s="6" t="str">
        <f>HYPERLINK("https://pbs.twimg.com/profile_images/962471262747529216/Uo8lOkRJ_normal.jpg","View")</f>
        <v>View</v>
      </c>
      <c r="P10124" s="7"/>
    </row>
    <row r="10125" spans="1:16">
      <c r="A10125" s="3">
        <v>44092.282569444447</v>
      </c>
      <c r="B10125" s="4" t="str">
        <f>HYPERLINK("https://twitter.com/petrogustavo","@petrogustavo")</f>
        <v>@petrogustavo</v>
      </c>
      <c r="C10125" s="5" t="s">
        <v>16</v>
      </c>
      <c r="D10125" s="5" t="s">
        <v>9740</v>
      </c>
      <c r="E10125" s="6" t="str">
        <f>HYPERLINK("https://twitter.com/petrogustavo/status/1306764099548835840","1306764099548835840")</f>
        <v>1306764099548835840</v>
      </c>
      <c r="F10125" s="7" t="s">
        <v>32</v>
      </c>
      <c r="G10125" s="7">
        <v>3977695</v>
      </c>
      <c r="H10125" s="7">
        <v>2438</v>
      </c>
      <c r="I10125" s="7">
        <v>15</v>
      </c>
      <c r="J10125" s="7">
        <v>43</v>
      </c>
      <c r="K10125" s="7" t="s">
        <v>18</v>
      </c>
      <c r="L10125" s="8">
        <v>39987.315405092595</v>
      </c>
      <c r="M10125" s="9" t="s">
        <v>19</v>
      </c>
      <c r="N10125" s="9" t="s">
        <v>20</v>
      </c>
      <c r="O10125" s="6" t="str">
        <f>HYPERLINK("https://pbs.twimg.com/profile_images/962471262747529216/Uo8lOkRJ_normal.jpg","View")</f>
        <v>View</v>
      </c>
      <c r="P10125" s="7"/>
    </row>
    <row r="10126" spans="1:16">
      <c r="A10126" s="3">
        <v>44092.28402777778</v>
      </c>
      <c r="B10126" s="4" t="str">
        <f>HYPERLINK("https://twitter.com/petrogustavo","@petrogustavo")</f>
        <v>@petrogustavo</v>
      </c>
      <c r="C10126" s="5" t="s">
        <v>16</v>
      </c>
      <c r="D10126" s="5" t="s">
        <v>9741</v>
      </c>
      <c r="E10126" s="6" t="str">
        <f>HYPERLINK("https://twitter.com/petrogustavo/status/1306764626378588162","1306764626378588162")</f>
        <v>1306764626378588162</v>
      </c>
      <c r="F10126" s="7" t="s">
        <v>32</v>
      </c>
      <c r="G10126" s="7">
        <v>3977719</v>
      </c>
      <c r="H10126" s="7">
        <v>2438</v>
      </c>
      <c r="I10126" s="7">
        <v>88</v>
      </c>
      <c r="J10126" s="7">
        <v>194</v>
      </c>
      <c r="K10126" s="7" t="s">
        <v>18</v>
      </c>
      <c r="L10126" s="8">
        <v>39987.315405092595</v>
      </c>
      <c r="M10126" s="9" t="s">
        <v>19</v>
      </c>
      <c r="N10126" s="9" t="s">
        <v>20</v>
      </c>
      <c r="O10126" s="6" t="str">
        <f>HYPERLINK("https://pbs.twimg.com/profile_images/962471262747529216/Uo8lOkRJ_normal.jpg","View")</f>
        <v>View</v>
      </c>
      <c r="P10126" s="7"/>
    </row>
    <row r="10127" spans="1:16">
      <c r="A10127" s="3">
        <v>44092.758391203708</v>
      </c>
      <c r="B10127" s="4" t="str">
        <f>HYPERLINK("https://twitter.com/petrogustavo","@petrogustavo")</f>
        <v>@petrogustavo</v>
      </c>
      <c r="C10127" s="5" t="s">
        <v>16</v>
      </c>
      <c r="D10127" s="5" t="s">
        <v>9742</v>
      </c>
      <c r="E10127" s="6" t="str">
        <f>HYPERLINK("https://twitter.com/petrogustavo/status/1306936531282784258","1306936531282784258")</f>
        <v>1306936531282784258</v>
      </c>
      <c r="F10127" s="7" t="s">
        <v>17</v>
      </c>
      <c r="G10127" s="7">
        <v>3977916</v>
      </c>
      <c r="H10127" s="7">
        <v>2438</v>
      </c>
      <c r="I10127" s="7">
        <v>105</v>
      </c>
      <c r="J10127" s="7">
        <v>0</v>
      </c>
      <c r="K10127" s="7" t="s">
        <v>18</v>
      </c>
      <c r="L10127" s="8">
        <v>39987.315405092595</v>
      </c>
      <c r="M10127" s="9" t="s">
        <v>19</v>
      </c>
      <c r="N10127" s="9" t="s">
        <v>20</v>
      </c>
      <c r="O10127" s="6" t="str">
        <f>HYPERLINK("https://pbs.twimg.com/profile_images/962471262747529216/Uo8lOkRJ_normal.jpg","View")</f>
        <v>View</v>
      </c>
      <c r="P10127" s="7"/>
    </row>
    <row r="10128" spans="1:16">
      <c r="A10128" s="3">
        <v>44092.759791666671</v>
      </c>
      <c r="B10128" s="4" t="str">
        <f>HYPERLINK("https://twitter.com/petrogustavo","@petrogustavo")</f>
        <v>@petrogustavo</v>
      </c>
      <c r="C10128" s="5" t="s">
        <v>16</v>
      </c>
      <c r="D10128" s="5" t="s">
        <v>9743</v>
      </c>
      <c r="E10128" s="6" t="str">
        <f>HYPERLINK("https://twitter.com/petrogustavo/status/1306937037266841600","1306937037266841600")</f>
        <v>1306937037266841600</v>
      </c>
      <c r="F10128" s="7" t="s">
        <v>17</v>
      </c>
      <c r="G10128" s="7">
        <v>3977916</v>
      </c>
      <c r="H10128" s="7">
        <v>2438</v>
      </c>
      <c r="I10128" s="7">
        <v>28</v>
      </c>
      <c r="J10128" s="7">
        <v>66</v>
      </c>
      <c r="K10128" s="7" t="s">
        <v>18</v>
      </c>
      <c r="L10128" s="8">
        <v>39987.315405092595</v>
      </c>
      <c r="M10128" s="9" t="s">
        <v>19</v>
      </c>
      <c r="N10128" s="9" t="s">
        <v>20</v>
      </c>
      <c r="O10128" s="6" t="str">
        <f>HYPERLINK("https://pbs.twimg.com/profile_images/962471262747529216/Uo8lOkRJ_normal.jpg","View")</f>
        <v>View</v>
      </c>
      <c r="P10128" s="7"/>
    </row>
    <row r="10129" spans="1:16">
      <c r="A10129" s="3">
        <v>44092.774050925931</v>
      </c>
      <c r="B10129" s="4" t="str">
        <f>HYPERLINK("https://twitter.com/petrogustavo","@petrogustavo")</f>
        <v>@petrogustavo</v>
      </c>
      <c r="C10129" s="5" t="s">
        <v>16</v>
      </c>
      <c r="D10129" s="5" t="s">
        <v>9744</v>
      </c>
      <c r="E10129" s="6" t="str">
        <f>HYPERLINK("https://twitter.com/petrogustavo/status/1306942205542772739","1306942205542772739")</f>
        <v>1306942205542772739</v>
      </c>
      <c r="F10129" s="7" t="s">
        <v>17</v>
      </c>
      <c r="G10129" s="7">
        <v>3977929</v>
      </c>
      <c r="H10129" s="7">
        <v>2438</v>
      </c>
      <c r="I10129" s="7">
        <v>149</v>
      </c>
      <c r="J10129" s="7">
        <v>208</v>
      </c>
      <c r="K10129" s="7" t="s">
        <v>18</v>
      </c>
      <c r="L10129" s="8">
        <v>39987.315405092595</v>
      </c>
      <c r="M10129" s="9" t="s">
        <v>19</v>
      </c>
      <c r="N10129" s="9" t="s">
        <v>20</v>
      </c>
      <c r="O10129" s="6" t="str">
        <f>HYPERLINK("https://pbs.twimg.com/profile_images/962471262747529216/Uo8lOkRJ_normal.jpg","View")</f>
        <v>View</v>
      </c>
      <c r="P10129" s="7"/>
    </row>
    <row r="10130" spans="1:16">
      <c r="A10130" s="3">
        <v>44092.77915509259</v>
      </c>
      <c r="B10130" s="4" t="str">
        <f>HYPERLINK("https://twitter.com/petrogustavo","@petrogustavo")</f>
        <v>@petrogustavo</v>
      </c>
      <c r="C10130" s="5" t="s">
        <v>16</v>
      </c>
      <c r="D10130" s="5" t="s">
        <v>9745</v>
      </c>
      <c r="E10130" s="6" t="str">
        <f>HYPERLINK("https://twitter.com/petrogustavo/status/1306944054480048134","1306944054480048134")</f>
        <v>1306944054480048134</v>
      </c>
      <c r="F10130" s="7" t="s">
        <v>17</v>
      </c>
      <c r="G10130" s="7">
        <v>3977929</v>
      </c>
      <c r="H10130" s="7">
        <v>2438</v>
      </c>
      <c r="I10130" s="7">
        <v>89</v>
      </c>
      <c r="J10130" s="7">
        <v>166</v>
      </c>
      <c r="K10130" s="7" t="s">
        <v>18</v>
      </c>
      <c r="L10130" s="8">
        <v>39987.315405092595</v>
      </c>
      <c r="M10130" s="9" t="s">
        <v>19</v>
      </c>
      <c r="N10130" s="9" t="s">
        <v>20</v>
      </c>
      <c r="O10130" s="6" t="str">
        <f>HYPERLINK("https://pbs.twimg.com/profile_images/962471262747529216/Uo8lOkRJ_normal.jpg","View")</f>
        <v>View</v>
      </c>
      <c r="P10130" s="7"/>
    </row>
    <row r="10131" spans="1:16">
      <c r="A10131" s="3">
        <v>44092.952418981484</v>
      </c>
      <c r="B10131" s="4" t="str">
        <f>HYPERLINK("https://twitter.com/petrogustavo","@petrogustavo")</f>
        <v>@petrogustavo</v>
      </c>
      <c r="C10131" s="5" t="s">
        <v>16</v>
      </c>
      <c r="D10131" s="5" t="s">
        <v>9746</v>
      </c>
      <c r="E10131" s="6" t="str">
        <f>HYPERLINK("https://twitter.com/petrogustavo/status/1307006845706403840","1307006845706403840")</f>
        <v>1307006845706403840</v>
      </c>
      <c r="F10131" s="7" t="s">
        <v>17</v>
      </c>
      <c r="G10131" s="7">
        <v>3978086</v>
      </c>
      <c r="H10131" s="7">
        <v>2439</v>
      </c>
      <c r="I10131" s="7">
        <v>728</v>
      </c>
      <c r="J10131" s="7">
        <v>1546</v>
      </c>
      <c r="K10131" s="7" t="s">
        <v>18</v>
      </c>
      <c r="L10131" s="8">
        <v>39987.315405092595</v>
      </c>
      <c r="M10131" s="9" t="s">
        <v>19</v>
      </c>
      <c r="N10131" s="9" t="s">
        <v>20</v>
      </c>
      <c r="O10131" s="6" t="str">
        <f>HYPERLINK("https://pbs.twimg.com/profile_images/962471262747529216/Uo8lOkRJ_normal.jpg","View")</f>
        <v>View</v>
      </c>
      <c r="P10131" s="7"/>
    </row>
    <row r="10132" spans="1:16">
      <c r="A10132" s="3">
        <v>44093.059965277775</v>
      </c>
      <c r="B10132" s="4" t="str">
        <f>HYPERLINK("https://twitter.com/petrogustavo","@petrogustavo")</f>
        <v>@petrogustavo</v>
      </c>
      <c r="C10132" s="5" t="s">
        <v>16</v>
      </c>
      <c r="D10132" s="5" t="s">
        <v>9747</v>
      </c>
      <c r="E10132" s="6" t="str">
        <f>HYPERLINK("https://twitter.com/petrogustavo/status/1307045817006555137","1307045817006555137")</f>
        <v>1307045817006555137</v>
      </c>
      <c r="F10132" s="7" t="s">
        <v>17</v>
      </c>
      <c r="G10132" s="7">
        <v>3978137</v>
      </c>
      <c r="H10132" s="7">
        <v>2439</v>
      </c>
      <c r="I10132" s="7">
        <v>160</v>
      </c>
      <c r="J10132" s="7">
        <v>242</v>
      </c>
      <c r="K10132" s="7" t="s">
        <v>18</v>
      </c>
      <c r="L10132" s="8">
        <v>39987.315405092595</v>
      </c>
      <c r="M10132" s="9" t="s">
        <v>19</v>
      </c>
      <c r="N10132" s="9" t="s">
        <v>20</v>
      </c>
      <c r="O10132" s="6" t="str">
        <f>HYPERLINK("https://pbs.twimg.com/profile_images/962471262747529216/Uo8lOkRJ_normal.jpg","View")</f>
        <v>View</v>
      </c>
      <c r="P10132" s="7"/>
    </row>
    <row r="10133" spans="1:16">
      <c r="A10133" s="3">
        <v>44093.067106481481</v>
      </c>
      <c r="B10133" s="4" t="str">
        <f>HYPERLINK("https://twitter.com/petrogustavo","@petrogustavo")</f>
        <v>@petrogustavo</v>
      </c>
      <c r="C10133" s="5" t="s">
        <v>16</v>
      </c>
      <c r="D10133" s="5" t="s">
        <v>9748</v>
      </c>
      <c r="E10133" s="6" t="str">
        <f>HYPERLINK("https://twitter.com/petrogustavo/status/1307048406754512898","1307048406754512898")</f>
        <v>1307048406754512898</v>
      </c>
      <c r="F10133" s="7" t="s">
        <v>17</v>
      </c>
      <c r="G10133" s="7">
        <v>3978137</v>
      </c>
      <c r="H10133" s="7">
        <v>2439</v>
      </c>
      <c r="I10133" s="7">
        <v>39</v>
      </c>
      <c r="J10133" s="7">
        <v>106</v>
      </c>
      <c r="K10133" s="7" t="s">
        <v>18</v>
      </c>
      <c r="L10133" s="8">
        <v>39987.315405092595</v>
      </c>
      <c r="M10133" s="9" t="s">
        <v>19</v>
      </c>
      <c r="N10133" s="9" t="s">
        <v>20</v>
      </c>
      <c r="O10133" s="6" t="str">
        <f>HYPERLINK("https://pbs.twimg.com/profile_images/962471262747529216/Uo8lOkRJ_normal.jpg","View")</f>
        <v>View</v>
      </c>
      <c r="P10133" s="7"/>
    </row>
    <row r="10134" spans="1:16">
      <c r="A10134" s="3">
        <v>44093.109201388885</v>
      </c>
      <c r="B10134" s="4" t="str">
        <f>HYPERLINK("https://twitter.com/petrogustavo","@petrogustavo")</f>
        <v>@petrogustavo</v>
      </c>
      <c r="C10134" s="5" t="s">
        <v>16</v>
      </c>
      <c r="D10134" s="5" t="s">
        <v>9749</v>
      </c>
      <c r="E10134" s="6" t="str">
        <f>HYPERLINK("https://twitter.com/petrogustavo/status/1307063659861094405","1307063659861094405")</f>
        <v>1307063659861094405</v>
      </c>
      <c r="F10134" s="7" t="s">
        <v>32</v>
      </c>
      <c r="G10134" s="7">
        <v>3978168</v>
      </c>
      <c r="H10134" s="7">
        <v>2439</v>
      </c>
      <c r="I10134" s="7">
        <v>62</v>
      </c>
      <c r="J10134" s="7">
        <v>0</v>
      </c>
      <c r="K10134" s="7" t="s">
        <v>18</v>
      </c>
      <c r="L10134" s="8">
        <v>39987.315405092595</v>
      </c>
      <c r="M10134" s="9" t="s">
        <v>19</v>
      </c>
      <c r="N10134" s="9" t="s">
        <v>20</v>
      </c>
      <c r="O10134" s="6" t="str">
        <f>HYPERLINK("https://pbs.twimg.com/profile_images/962471262747529216/Uo8lOkRJ_normal.jpg","View")</f>
        <v>View</v>
      </c>
      <c r="P10134" s="7"/>
    </row>
    <row r="10135" spans="1:16">
      <c r="A10135" s="3">
        <v>44093.110590277778</v>
      </c>
      <c r="B10135" s="4" t="str">
        <f>HYPERLINK("https://twitter.com/petrogustavo","@petrogustavo")</f>
        <v>@petrogustavo</v>
      </c>
      <c r="C10135" s="5" t="s">
        <v>16</v>
      </c>
      <c r="D10135" s="5" t="s">
        <v>9750</v>
      </c>
      <c r="E10135" s="6" t="str">
        <f>HYPERLINK("https://twitter.com/petrogustavo/status/1307064164561702918","1307064164561702918")</f>
        <v>1307064164561702918</v>
      </c>
      <c r="F10135" s="7" t="s">
        <v>32</v>
      </c>
      <c r="G10135" s="7">
        <v>3978168</v>
      </c>
      <c r="H10135" s="7">
        <v>2439</v>
      </c>
      <c r="I10135" s="7">
        <v>28</v>
      </c>
      <c r="J10135" s="7">
        <v>0</v>
      </c>
      <c r="K10135" s="7" t="s">
        <v>18</v>
      </c>
      <c r="L10135" s="8">
        <v>39987.315405092595</v>
      </c>
      <c r="M10135" s="9" t="s">
        <v>19</v>
      </c>
      <c r="N10135" s="9" t="s">
        <v>20</v>
      </c>
      <c r="O10135" s="6" t="str">
        <f>HYPERLINK("https://pbs.twimg.com/profile_images/962471262747529216/Uo8lOkRJ_normal.jpg","View")</f>
        <v>View</v>
      </c>
      <c r="P10135" s="7"/>
    </row>
    <row r="10136" spans="1:16">
      <c r="A10136" s="3">
        <v>44093.110671296294</v>
      </c>
      <c r="B10136" s="4" t="str">
        <f>HYPERLINK("https://twitter.com/petrogustavo","@petrogustavo")</f>
        <v>@petrogustavo</v>
      </c>
      <c r="C10136" s="5" t="s">
        <v>16</v>
      </c>
      <c r="D10136" s="5" t="s">
        <v>9751</v>
      </c>
      <c r="E10136" s="6" t="str">
        <f>HYPERLINK("https://twitter.com/petrogustavo/status/1307064195268202496","1307064195268202496")</f>
        <v>1307064195268202496</v>
      </c>
      <c r="F10136" s="7" t="s">
        <v>32</v>
      </c>
      <c r="G10136" s="7">
        <v>3978168</v>
      </c>
      <c r="H10136" s="7">
        <v>2439</v>
      </c>
      <c r="I10136" s="7">
        <v>29</v>
      </c>
      <c r="J10136" s="7">
        <v>0</v>
      </c>
      <c r="K10136" s="7" t="s">
        <v>18</v>
      </c>
      <c r="L10136" s="8">
        <v>39987.315405092595</v>
      </c>
      <c r="M10136" s="9" t="s">
        <v>19</v>
      </c>
      <c r="N10136" s="9" t="s">
        <v>20</v>
      </c>
      <c r="O10136" s="6" t="str">
        <f>HYPERLINK("https://pbs.twimg.com/profile_images/962471262747529216/Uo8lOkRJ_normal.jpg","View")</f>
        <v>View</v>
      </c>
      <c r="P10136" s="7"/>
    </row>
    <row r="10137" spans="1:16">
      <c r="A10137" s="3">
        <v>44093.111111111109</v>
      </c>
      <c r="B10137" s="4" t="str">
        <f>HYPERLINK("https://twitter.com/petrogustavo","@petrogustavo")</f>
        <v>@petrogustavo</v>
      </c>
      <c r="C10137" s="5" t="s">
        <v>16</v>
      </c>
      <c r="D10137" s="5" t="s">
        <v>9752</v>
      </c>
      <c r="E10137" s="6" t="str">
        <f>HYPERLINK("https://twitter.com/petrogustavo/status/1307064351581450245","1307064351581450245")</f>
        <v>1307064351581450245</v>
      </c>
      <c r="F10137" s="7" t="s">
        <v>32</v>
      </c>
      <c r="G10137" s="7">
        <v>3978168</v>
      </c>
      <c r="H10137" s="7">
        <v>2439</v>
      </c>
      <c r="I10137" s="7">
        <v>132</v>
      </c>
      <c r="J10137" s="7">
        <v>0</v>
      </c>
      <c r="K10137" s="7" t="s">
        <v>18</v>
      </c>
      <c r="L10137" s="8">
        <v>39987.315405092595</v>
      </c>
      <c r="M10137" s="9" t="s">
        <v>19</v>
      </c>
      <c r="N10137" s="9" t="s">
        <v>20</v>
      </c>
      <c r="O10137" s="6" t="str">
        <f>HYPERLINK("https://pbs.twimg.com/profile_images/962471262747529216/Uo8lOkRJ_normal.jpg","View")</f>
        <v>View</v>
      </c>
      <c r="P10137" s="7"/>
    </row>
    <row r="10138" spans="1:16">
      <c r="A10138" s="3">
        <v>44093.117349537039</v>
      </c>
      <c r="B10138" s="4" t="str">
        <f>HYPERLINK("https://twitter.com/petrogustavo","@petrogustavo")</f>
        <v>@petrogustavo</v>
      </c>
      <c r="C10138" s="5" t="s">
        <v>16</v>
      </c>
      <c r="D10138" s="5" t="s">
        <v>9753</v>
      </c>
      <c r="E10138" s="6" t="str">
        <f>HYPERLINK("https://twitter.com/petrogustavo/status/1307066611933884416","1307066611933884416")</f>
        <v>1307066611933884416</v>
      </c>
      <c r="F10138" s="7" t="s">
        <v>32</v>
      </c>
      <c r="G10138" s="7">
        <v>3978192</v>
      </c>
      <c r="H10138" s="7">
        <v>2439</v>
      </c>
      <c r="I10138" s="7">
        <v>14</v>
      </c>
      <c r="J10138" s="7">
        <v>0</v>
      </c>
      <c r="K10138" s="7" t="s">
        <v>18</v>
      </c>
      <c r="L10138" s="8">
        <v>39987.315405092595</v>
      </c>
      <c r="M10138" s="9" t="s">
        <v>19</v>
      </c>
      <c r="N10138" s="9" t="s">
        <v>20</v>
      </c>
      <c r="O10138" s="6" t="str">
        <f>HYPERLINK("https://pbs.twimg.com/profile_images/962471262747529216/Uo8lOkRJ_normal.jpg","View")</f>
        <v>View</v>
      </c>
      <c r="P10138" s="7"/>
    </row>
    <row r="10139" spans="1:16">
      <c r="A10139" s="3">
        <v>44093.120740740742</v>
      </c>
      <c r="B10139" s="4" t="str">
        <f>HYPERLINK("https://twitter.com/petrogustavo","@petrogustavo")</f>
        <v>@petrogustavo</v>
      </c>
      <c r="C10139" s="5" t="s">
        <v>16</v>
      </c>
      <c r="D10139" s="5" t="s">
        <v>9754</v>
      </c>
      <c r="E10139" s="6" t="str">
        <f>HYPERLINK("https://twitter.com/petrogustavo/status/1307067841762537472","1307067841762537472")</f>
        <v>1307067841762537472</v>
      </c>
      <c r="F10139" s="7" t="s">
        <v>32</v>
      </c>
      <c r="G10139" s="7">
        <v>3978192</v>
      </c>
      <c r="H10139" s="7">
        <v>2439</v>
      </c>
      <c r="I10139" s="7">
        <v>42</v>
      </c>
      <c r="J10139" s="7">
        <v>0</v>
      </c>
      <c r="K10139" s="7" t="s">
        <v>18</v>
      </c>
      <c r="L10139" s="8">
        <v>39987.315405092595</v>
      </c>
      <c r="M10139" s="9" t="s">
        <v>19</v>
      </c>
      <c r="N10139" s="9" t="s">
        <v>20</v>
      </c>
      <c r="O10139" s="6" t="str">
        <f>HYPERLINK("https://pbs.twimg.com/profile_images/962471262747529216/Uo8lOkRJ_normal.jpg","View")</f>
        <v>View</v>
      </c>
      <c r="P10139" s="7"/>
    </row>
    <row r="10140" spans="1:16">
      <c r="A10140" s="3">
        <v>44093.121388888889</v>
      </c>
      <c r="B10140" s="4" t="str">
        <f>HYPERLINK("https://twitter.com/petrogustavo","@petrogustavo")</f>
        <v>@petrogustavo</v>
      </c>
      <c r="C10140" s="5" t="s">
        <v>16</v>
      </c>
      <c r="D10140" s="5" t="s">
        <v>9755</v>
      </c>
      <c r="E10140" s="6" t="str">
        <f>HYPERLINK("https://twitter.com/petrogustavo/status/1307068079583760386","1307068079583760386")</f>
        <v>1307068079583760386</v>
      </c>
      <c r="F10140" s="7" t="s">
        <v>32</v>
      </c>
      <c r="G10140" s="7">
        <v>3978192</v>
      </c>
      <c r="H10140" s="7">
        <v>2439</v>
      </c>
      <c r="I10140" s="7">
        <v>18</v>
      </c>
      <c r="J10140" s="7">
        <v>0</v>
      </c>
      <c r="K10140" s="7" t="s">
        <v>18</v>
      </c>
      <c r="L10140" s="8">
        <v>39987.315405092595</v>
      </c>
      <c r="M10140" s="9" t="s">
        <v>19</v>
      </c>
      <c r="N10140" s="9" t="s">
        <v>20</v>
      </c>
      <c r="O10140" s="6" t="str">
        <f>HYPERLINK("https://pbs.twimg.com/profile_images/962471262747529216/Uo8lOkRJ_normal.jpg","View")</f>
        <v>View</v>
      </c>
      <c r="P10140" s="7"/>
    </row>
    <row r="10141" spans="1:16">
      <c r="A10141" s="3">
        <v>44093.122800925921</v>
      </c>
      <c r="B10141" s="4" t="str">
        <f>HYPERLINK("https://twitter.com/petrogustavo","@petrogustavo")</f>
        <v>@petrogustavo</v>
      </c>
      <c r="C10141" s="5" t="s">
        <v>16</v>
      </c>
      <c r="D10141" s="5" t="s">
        <v>9756</v>
      </c>
      <c r="E10141" s="6" t="str">
        <f>HYPERLINK("https://twitter.com/petrogustavo/status/1307068590152183808","1307068590152183808")</f>
        <v>1307068590152183808</v>
      </c>
      <c r="F10141" s="7" t="s">
        <v>32</v>
      </c>
      <c r="G10141" s="7">
        <v>3978192</v>
      </c>
      <c r="H10141" s="7">
        <v>2439</v>
      </c>
      <c r="I10141" s="7">
        <v>103</v>
      </c>
      <c r="J10141" s="7">
        <v>0</v>
      </c>
      <c r="K10141" s="7" t="s">
        <v>18</v>
      </c>
      <c r="L10141" s="8">
        <v>39987.315405092595</v>
      </c>
      <c r="M10141" s="9" t="s">
        <v>19</v>
      </c>
      <c r="N10141" s="9" t="s">
        <v>20</v>
      </c>
      <c r="O10141" s="6" t="str">
        <f>HYPERLINK("https://pbs.twimg.com/profile_images/962471262747529216/Uo8lOkRJ_normal.jpg","View")</f>
        <v>View</v>
      </c>
      <c r="P10141" s="7"/>
    </row>
    <row r="10142" spans="1:16">
      <c r="A10142" s="3">
        <v>44093.123553240745</v>
      </c>
      <c r="B10142" s="4" t="str">
        <f>HYPERLINK("https://twitter.com/petrogustavo","@petrogustavo")</f>
        <v>@petrogustavo</v>
      </c>
      <c r="C10142" s="5" t="s">
        <v>16</v>
      </c>
      <c r="D10142" s="5" t="s">
        <v>9752</v>
      </c>
      <c r="E10142" s="6" t="str">
        <f>HYPERLINK("https://twitter.com/petrogustavo/status/1307068860609298435","1307068860609298435")</f>
        <v>1307068860609298435</v>
      </c>
      <c r="F10142" s="7" t="s">
        <v>32</v>
      </c>
      <c r="G10142" s="7">
        <v>3978192</v>
      </c>
      <c r="H10142" s="7">
        <v>2439</v>
      </c>
      <c r="I10142" s="7">
        <v>160</v>
      </c>
      <c r="J10142" s="7">
        <v>0</v>
      </c>
      <c r="K10142" s="7" t="s">
        <v>18</v>
      </c>
      <c r="L10142" s="8">
        <v>39987.315405092595</v>
      </c>
      <c r="M10142" s="9" t="s">
        <v>19</v>
      </c>
      <c r="N10142" s="9" t="s">
        <v>20</v>
      </c>
      <c r="O10142" s="6" t="str">
        <f>HYPERLINK("https://pbs.twimg.com/profile_images/962471262747529216/Uo8lOkRJ_normal.jpg","View")</f>
        <v>View</v>
      </c>
      <c r="P10142" s="7"/>
    </row>
    <row r="10143" spans="1:16">
      <c r="A10143" s="3">
        <v>44093.125833333332</v>
      </c>
      <c r="B10143" s="4" t="str">
        <f>HYPERLINK("https://twitter.com/petrogustavo","@petrogustavo")</f>
        <v>@petrogustavo</v>
      </c>
      <c r="C10143" s="5" t="s">
        <v>16</v>
      </c>
      <c r="D10143" s="5" t="s">
        <v>9757</v>
      </c>
      <c r="E10143" s="6" t="str">
        <f>HYPERLINK("https://twitter.com/petrogustavo/status/1307069688120303617","1307069688120303617")</f>
        <v>1307069688120303617</v>
      </c>
      <c r="F10143" s="7" t="s">
        <v>32</v>
      </c>
      <c r="G10143" s="7">
        <v>3978192</v>
      </c>
      <c r="H10143" s="7">
        <v>2439</v>
      </c>
      <c r="I10143" s="7">
        <v>99</v>
      </c>
      <c r="J10143" s="7">
        <v>0</v>
      </c>
      <c r="K10143" s="7" t="s">
        <v>18</v>
      </c>
      <c r="L10143" s="8">
        <v>39987.315405092595</v>
      </c>
      <c r="M10143" s="9" t="s">
        <v>19</v>
      </c>
      <c r="N10143" s="9" t="s">
        <v>20</v>
      </c>
      <c r="O10143" s="6" t="str">
        <f>HYPERLINK("https://pbs.twimg.com/profile_images/962471262747529216/Uo8lOkRJ_normal.jpg","View")</f>
        <v>View</v>
      </c>
      <c r="P10143" s="7"/>
    </row>
    <row r="10144" spans="1:16">
      <c r="A10144" s="3">
        <v>44093.150520833333</v>
      </c>
      <c r="B10144" s="4" t="str">
        <f>HYPERLINK("https://twitter.com/petrogustavo","@petrogustavo")</f>
        <v>@petrogustavo</v>
      </c>
      <c r="C10144" s="5" t="s">
        <v>16</v>
      </c>
      <c r="D10144" s="5" t="s">
        <v>9758</v>
      </c>
      <c r="E10144" s="6" t="str">
        <f>HYPERLINK("https://twitter.com/petrogustavo/status/1307078633555734528","1307078633555734528")</f>
        <v>1307078633555734528</v>
      </c>
      <c r="F10144" s="7" t="s">
        <v>32</v>
      </c>
      <c r="G10144" s="7">
        <v>3978215</v>
      </c>
      <c r="H10144" s="7">
        <v>2439</v>
      </c>
      <c r="I10144" s="7">
        <v>58</v>
      </c>
      <c r="J10144" s="7">
        <v>185</v>
      </c>
      <c r="K10144" s="7" t="s">
        <v>18</v>
      </c>
      <c r="L10144" s="8">
        <v>39987.315405092595</v>
      </c>
      <c r="M10144" s="9" t="s">
        <v>19</v>
      </c>
      <c r="N10144" s="9" t="s">
        <v>20</v>
      </c>
      <c r="O10144" s="6" t="str">
        <f>HYPERLINK("https://pbs.twimg.com/profile_images/962471262747529216/Uo8lOkRJ_normal.jpg","View")</f>
        <v>View</v>
      </c>
      <c r="P10144" s="7"/>
    </row>
    <row r="10145" spans="1:16">
      <c r="A10145" s="3">
        <v>44093.205740740741</v>
      </c>
      <c r="B10145" s="4" t="str">
        <f>HYPERLINK("https://twitter.com/petrogustavo","@petrogustavo")</f>
        <v>@petrogustavo</v>
      </c>
      <c r="C10145" s="5" t="s">
        <v>16</v>
      </c>
      <c r="D10145" s="5" t="s">
        <v>9759</v>
      </c>
      <c r="E10145" s="6" t="str">
        <f>HYPERLINK("https://twitter.com/petrogustavo/status/1307098645951545350","1307098645951545350")</f>
        <v>1307098645951545350</v>
      </c>
      <c r="F10145" s="7" t="s">
        <v>32</v>
      </c>
      <c r="G10145" s="7">
        <v>3978254</v>
      </c>
      <c r="H10145" s="7">
        <v>2439</v>
      </c>
      <c r="I10145" s="7">
        <v>45</v>
      </c>
      <c r="J10145" s="7">
        <v>0</v>
      </c>
      <c r="K10145" s="7" t="s">
        <v>18</v>
      </c>
      <c r="L10145" s="8">
        <v>39987.315405092595</v>
      </c>
      <c r="M10145" s="9" t="s">
        <v>19</v>
      </c>
      <c r="N10145" s="9" t="s">
        <v>20</v>
      </c>
      <c r="O10145" s="6" t="str">
        <f>HYPERLINK("https://pbs.twimg.com/profile_images/962471262747529216/Uo8lOkRJ_normal.jpg","View")</f>
        <v>View</v>
      </c>
      <c r="P10145" s="7"/>
    </row>
    <row r="10146" spans="1:16">
      <c r="A10146" s="3">
        <v>44093.739178240736</v>
      </c>
      <c r="B10146" s="4" t="str">
        <f>HYPERLINK("https://twitter.com/petrogustavo","@petrogustavo")</f>
        <v>@petrogustavo</v>
      </c>
      <c r="C10146" s="5" t="s">
        <v>16</v>
      </c>
      <c r="D10146" s="5" t="s">
        <v>9760</v>
      </c>
      <c r="E10146" s="6" t="str">
        <f>HYPERLINK("https://twitter.com/petrogustavo/status/1307291956335259649","1307291956335259649")</f>
        <v>1307291956335259649</v>
      </c>
      <c r="F10146" s="7" t="s">
        <v>17</v>
      </c>
      <c r="G10146" s="7">
        <v>3978458</v>
      </c>
      <c r="H10146" s="7">
        <v>2439</v>
      </c>
      <c r="I10146" s="7">
        <v>60</v>
      </c>
      <c r="J10146" s="7">
        <v>69</v>
      </c>
      <c r="K10146" s="7" t="s">
        <v>18</v>
      </c>
      <c r="L10146" s="8">
        <v>39987.315405092595</v>
      </c>
      <c r="M10146" s="9" t="s">
        <v>19</v>
      </c>
      <c r="N10146" s="9" t="s">
        <v>20</v>
      </c>
      <c r="O10146" s="6" t="str">
        <f>HYPERLINK("https://pbs.twimg.com/profile_images/962471262747529216/Uo8lOkRJ_normal.jpg","View")</f>
        <v>View</v>
      </c>
      <c r="P10146" s="7"/>
    </row>
    <row r="10147" spans="1:16">
      <c r="A10147" s="3">
        <v>44093.775092592594</v>
      </c>
      <c r="B10147" s="4" t="str">
        <f>HYPERLINK("https://twitter.com/petrogustavo","@petrogustavo")</f>
        <v>@petrogustavo</v>
      </c>
      <c r="C10147" s="5" t="s">
        <v>16</v>
      </c>
      <c r="D10147" s="5" t="s">
        <v>9761</v>
      </c>
      <c r="E10147" s="6" t="str">
        <f>HYPERLINK("https://twitter.com/petrogustavo/status/1307304973273833472","1307304973273833472")</f>
        <v>1307304973273833472</v>
      </c>
      <c r="F10147" s="7" t="s">
        <v>17</v>
      </c>
      <c r="G10147" s="7">
        <v>3978481</v>
      </c>
      <c r="H10147" s="7">
        <v>2439</v>
      </c>
      <c r="I10147" s="7">
        <v>285</v>
      </c>
      <c r="J10147" s="7">
        <v>0</v>
      </c>
      <c r="K10147" s="7" t="s">
        <v>18</v>
      </c>
      <c r="L10147" s="8">
        <v>39987.315405092595</v>
      </c>
      <c r="M10147" s="9" t="s">
        <v>19</v>
      </c>
      <c r="N10147" s="9" t="s">
        <v>20</v>
      </c>
      <c r="O10147" s="6" t="str">
        <f>HYPERLINK("https://pbs.twimg.com/profile_images/962471262747529216/Uo8lOkRJ_normal.jpg","View")</f>
        <v>View</v>
      </c>
      <c r="P10147" s="7"/>
    </row>
    <row r="10148" spans="1:16">
      <c r="A10148" s="3">
        <v>44093.777465277773</v>
      </c>
      <c r="B10148" s="4" t="str">
        <f>HYPERLINK("https://twitter.com/petrogustavo","@petrogustavo")</f>
        <v>@petrogustavo</v>
      </c>
      <c r="C10148" s="5" t="s">
        <v>16</v>
      </c>
      <c r="D10148" s="5" t="s">
        <v>9762</v>
      </c>
      <c r="E10148" s="6" t="str">
        <f>HYPERLINK("https://twitter.com/petrogustavo/status/1307305831193612288","1307305831193612288")</f>
        <v>1307305831193612288</v>
      </c>
      <c r="F10148" s="7" t="s">
        <v>17</v>
      </c>
      <c r="G10148" s="7">
        <v>3978481</v>
      </c>
      <c r="H10148" s="7">
        <v>2439</v>
      </c>
      <c r="I10148" s="7">
        <v>85</v>
      </c>
      <c r="J10148" s="7">
        <v>251</v>
      </c>
      <c r="K10148" s="7" t="s">
        <v>18</v>
      </c>
      <c r="L10148" s="8">
        <v>39987.315405092595</v>
      </c>
      <c r="M10148" s="9" t="s">
        <v>19</v>
      </c>
      <c r="N10148" s="9" t="s">
        <v>20</v>
      </c>
      <c r="O10148" s="6" t="str">
        <f>HYPERLINK("https://pbs.twimg.com/profile_images/962471262747529216/Uo8lOkRJ_normal.jpg","View")</f>
        <v>View</v>
      </c>
      <c r="P10148" s="7"/>
    </row>
    <row r="10149" spans="1:16">
      <c r="A10149" s="3">
        <v>44093.783287037033</v>
      </c>
      <c r="B10149" s="4" t="str">
        <f>HYPERLINK("https://twitter.com/petrogustavo","@petrogustavo")</f>
        <v>@petrogustavo</v>
      </c>
      <c r="C10149" s="5" t="s">
        <v>16</v>
      </c>
      <c r="D10149" s="5" t="s">
        <v>9763</v>
      </c>
      <c r="E10149" s="6" t="str">
        <f>HYPERLINK("https://twitter.com/petrogustavo/status/1307307940827795458","1307307940827795458")</f>
        <v>1307307940827795458</v>
      </c>
      <c r="F10149" s="7" t="s">
        <v>17</v>
      </c>
      <c r="G10149" s="7">
        <v>3978494</v>
      </c>
      <c r="H10149" s="7">
        <v>2439</v>
      </c>
      <c r="I10149" s="7">
        <v>44</v>
      </c>
      <c r="J10149" s="7">
        <v>133</v>
      </c>
      <c r="K10149" s="7" t="s">
        <v>18</v>
      </c>
      <c r="L10149" s="8">
        <v>39987.315405092595</v>
      </c>
      <c r="M10149" s="9" t="s">
        <v>19</v>
      </c>
      <c r="N10149" s="9" t="s">
        <v>20</v>
      </c>
      <c r="O10149" s="6" t="str">
        <f>HYPERLINK("https://pbs.twimg.com/profile_images/962471262747529216/Uo8lOkRJ_normal.jpg","View")</f>
        <v>View</v>
      </c>
      <c r="P10149" s="7"/>
    </row>
    <row r="10150" spans="1:16">
      <c r="A10150" s="3">
        <v>44093.78506944445</v>
      </c>
      <c r="B10150" s="4" t="str">
        <f>HYPERLINK("https://twitter.com/petrogustavo","@petrogustavo")</f>
        <v>@petrogustavo</v>
      </c>
      <c r="C10150" s="5" t="s">
        <v>16</v>
      </c>
      <c r="D10150" s="5" t="s">
        <v>9764</v>
      </c>
      <c r="E10150" s="6" t="str">
        <f>HYPERLINK("https://twitter.com/petrogustavo/status/1307308588092841984","1307308588092841984")</f>
        <v>1307308588092841984</v>
      </c>
      <c r="F10150" s="7" t="s">
        <v>17</v>
      </c>
      <c r="G10150" s="7">
        <v>3978494</v>
      </c>
      <c r="H10150" s="7">
        <v>2439</v>
      </c>
      <c r="I10150" s="7">
        <v>99</v>
      </c>
      <c r="J10150" s="7">
        <v>429</v>
      </c>
      <c r="K10150" s="7" t="s">
        <v>18</v>
      </c>
      <c r="L10150" s="8">
        <v>39987.315405092595</v>
      </c>
      <c r="M10150" s="9" t="s">
        <v>19</v>
      </c>
      <c r="N10150" s="9" t="s">
        <v>20</v>
      </c>
      <c r="O10150" s="6" t="str">
        <f>HYPERLINK("https://pbs.twimg.com/profile_images/962471262747529216/Uo8lOkRJ_normal.jpg","View")</f>
        <v>View</v>
      </c>
      <c r="P10150" s="7"/>
    </row>
    <row r="10151" spans="1:16">
      <c r="A10151" s="3">
        <v>44093.786400462966</v>
      </c>
      <c r="B10151" s="4" t="str">
        <f>HYPERLINK("https://twitter.com/petrogustavo","@petrogustavo")</f>
        <v>@petrogustavo</v>
      </c>
      <c r="C10151" s="5" t="s">
        <v>16</v>
      </c>
      <c r="D10151" s="5" t="s">
        <v>9765</v>
      </c>
      <c r="E10151" s="6" t="str">
        <f>HYPERLINK("https://twitter.com/petrogustavo/status/1307309070160924672","1307309070160924672")</f>
        <v>1307309070160924672</v>
      </c>
      <c r="F10151" s="7" t="s">
        <v>17</v>
      </c>
      <c r="G10151" s="7">
        <v>3978494</v>
      </c>
      <c r="H10151" s="7">
        <v>2439</v>
      </c>
      <c r="I10151" s="7">
        <v>99</v>
      </c>
      <c r="J10151" s="7">
        <v>187</v>
      </c>
      <c r="K10151" s="7" t="s">
        <v>18</v>
      </c>
      <c r="L10151" s="8">
        <v>39987.315405092595</v>
      </c>
      <c r="M10151" s="9" t="s">
        <v>19</v>
      </c>
      <c r="N10151" s="9" t="s">
        <v>20</v>
      </c>
      <c r="O10151" s="6" t="str">
        <f>HYPERLINK("https://pbs.twimg.com/profile_images/962471262747529216/Uo8lOkRJ_normal.jpg","View")</f>
        <v>View</v>
      </c>
      <c r="P10151" s="7"/>
    </row>
    <row r="10152" spans="1:16">
      <c r="A10152" s="3">
        <v>44093.787905092591</v>
      </c>
      <c r="B10152" s="4" t="str">
        <f>HYPERLINK("https://twitter.com/petrogustavo","@petrogustavo")</f>
        <v>@petrogustavo</v>
      </c>
      <c r="C10152" s="5" t="s">
        <v>16</v>
      </c>
      <c r="D10152" s="5" t="s">
        <v>9766</v>
      </c>
      <c r="E10152" s="6" t="str">
        <f>HYPERLINK("https://twitter.com/petrogustavo/status/1307309616322228225","1307309616322228225")</f>
        <v>1307309616322228225</v>
      </c>
      <c r="F10152" s="7" t="s">
        <v>17</v>
      </c>
      <c r="G10152" s="7">
        <v>3978494</v>
      </c>
      <c r="H10152" s="7">
        <v>2439</v>
      </c>
      <c r="I10152" s="7">
        <v>67</v>
      </c>
      <c r="J10152" s="7">
        <v>455</v>
      </c>
      <c r="K10152" s="7" t="s">
        <v>18</v>
      </c>
      <c r="L10152" s="8">
        <v>39987.315405092595</v>
      </c>
      <c r="M10152" s="9" t="s">
        <v>19</v>
      </c>
      <c r="N10152" s="9" t="s">
        <v>20</v>
      </c>
      <c r="O10152" s="6" t="str">
        <f>HYPERLINK("https://pbs.twimg.com/profile_images/962471262747529216/Uo8lOkRJ_normal.jpg","View")</f>
        <v>View</v>
      </c>
      <c r="P10152" s="7"/>
    </row>
    <row r="10153" spans="1:16">
      <c r="A10153" s="3">
        <v>44093.79069444444</v>
      </c>
      <c r="B10153" s="4" t="str">
        <f>HYPERLINK("https://twitter.com/petrogustavo","@petrogustavo")</f>
        <v>@petrogustavo</v>
      </c>
      <c r="C10153" s="5" t="s">
        <v>16</v>
      </c>
      <c r="D10153" s="5" t="s">
        <v>9767</v>
      </c>
      <c r="E10153" s="6" t="str">
        <f>HYPERLINK("https://twitter.com/petrogustavo/status/1307310626318974979","1307310626318974979")</f>
        <v>1307310626318974979</v>
      </c>
      <c r="F10153" s="7" t="s">
        <v>17</v>
      </c>
      <c r="G10153" s="7">
        <v>3978494</v>
      </c>
      <c r="H10153" s="7">
        <v>2439</v>
      </c>
      <c r="I10153" s="7">
        <v>51</v>
      </c>
      <c r="J10153" s="7">
        <v>159</v>
      </c>
      <c r="K10153" s="7" t="s">
        <v>18</v>
      </c>
      <c r="L10153" s="8">
        <v>39987.315405092595</v>
      </c>
      <c r="M10153" s="9" t="s">
        <v>19</v>
      </c>
      <c r="N10153" s="9" t="s">
        <v>20</v>
      </c>
      <c r="O10153" s="6" t="str">
        <f>HYPERLINK("https://pbs.twimg.com/profile_images/962471262747529216/Uo8lOkRJ_normal.jpg","View")</f>
        <v>View</v>
      </c>
      <c r="P10153" s="7"/>
    </row>
    <row r="10154" spans="1:16">
      <c r="A10154" s="3">
        <v>44093.793287037042</v>
      </c>
      <c r="B10154" s="4" t="str">
        <f>HYPERLINK("https://twitter.com/petrogustavo","@petrogustavo")</f>
        <v>@petrogustavo</v>
      </c>
      <c r="C10154" s="5" t="s">
        <v>16</v>
      </c>
      <c r="D10154" s="5" t="s">
        <v>9768</v>
      </c>
      <c r="E10154" s="6" t="str">
        <f>HYPERLINK("https://twitter.com/petrogustavo/status/1307311563448242178","1307311563448242178")</f>
        <v>1307311563448242178</v>
      </c>
      <c r="F10154" s="7" t="s">
        <v>17</v>
      </c>
      <c r="G10154" s="7">
        <v>3978494</v>
      </c>
      <c r="H10154" s="7">
        <v>2439</v>
      </c>
      <c r="I10154" s="7">
        <v>56</v>
      </c>
      <c r="J10154" s="7">
        <v>110</v>
      </c>
      <c r="K10154" s="7" t="s">
        <v>18</v>
      </c>
      <c r="L10154" s="8">
        <v>39987.315405092595</v>
      </c>
      <c r="M10154" s="9" t="s">
        <v>19</v>
      </c>
      <c r="N10154" s="9" t="s">
        <v>20</v>
      </c>
      <c r="O10154" s="6" t="str">
        <f>HYPERLINK("https://pbs.twimg.com/profile_images/962471262747529216/Uo8lOkRJ_normal.jpg","View")</f>
        <v>View</v>
      </c>
      <c r="P10154" s="7"/>
    </row>
    <row r="10155" spans="1:16">
      <c r="A10155" s="3">
        <v>44093.812361111108</v>
      </c>
      <c r="B10155" s="4" t="str">
        <f>HYPERLINK("https://twitter.com/petrogustavo","@petrogustavo")</f>
        <v>@petrogustavo</v>
      </c>
      <c r="C10155" s="5" t="s">
        <v>16</v>
      </c>
      <c r="D10155" s="5" t="s">
        <v>9769</v>
      </c>
      <c r="E10155" s="6" t="str">
        <f>HYPERLINK("https://twitter.com/petrogustavo/status/1307318477426958336","1307318477426958336")</f>
        <v>1307318477426958336</v>
      </c>
      <c r="F10155" s="7" t="s">
        <v>17</v>
      </c>
      <c r="G10155" s="7">
        <v>3978514</v>
      </c>
      <c r="H10155" s="7">
        <v>2439</v>
      </c>
      <c r="I10155" s="7">
        <v>384</v>
      </c>
      <c r="J10155" s="7">
        <v>0</v>
      </c>
      <c r="K10155" s="7" t="s">
        <v>18</v>
      </c>
      <c r="L10155" s="8">
        <v>39987.315405092595</v>
      </c>
      <c r="M10155" s="9" t="s">
        <v>19</v>
      </c>
      <c r="N10155" s="9" t="s">
        <v>20</v>
      </c>
      <c r="O10155" s="6" t="str">
        <f>HYPERLINK("https://pbs.twimg.com/profile_images/962471262747529216/Uo8lOkRJ_normal.jpg","View")</f>
        <v>View</v>
      </c>
      <c r="P10155" s="7"/>
    </row>
    <row r="10156" spans="1:16">
      <c r="A10156" s="3">
        <v>44093.815115740741</v>
      </c>
      <c r="B10156" s="4" t="str">
        <f>HYPERLINK("https://twitter.com/petrogustavo","@petrogustavo")</f>
        <v>@petrogustavo</v>
      </c>
      <c r="C10156" s="5" t="s">
        <v>16</v>
      </c>
      <c r="D10156" s="5" t="s">
        <v>9770</v>
      </c>
      <c r="E10156" s="6" t="str">
        <f>HYPERLINK("https://twitter.com/petrogustavo/status/1307319475801337857","1307319475801337857")</f>
        <v>1307319475801337857</v>
      </c>
      <c r="F10156" s="7" t="s">
        <v>17</v>
      </c>
      <c r="G10156" s="7">
        <v>3978514</v>
      </c>
      <c r="H10156" s="7">
        <v>2439</v>
      </c>
      <c r="I10156" s="7">
        <v>64</v>
      </c>
      <c r="J10156" s="7">
        <v>0</v>
      </c>
      <c r="K10156" s="7" t="s">
        <v>18</v>
      </c>
      <c r="L10156" s="8">
        <v>39987.315405092595</v>
      </c>
      <c r="M10156" s="9" t="s">
        <v>19</v>
      </c>
      <c r="N10156" s="9" t="s">
        <v>20</v>
      </c>
      <c r="O10156" s="6" t="str">
        <f>HYPERLINK("https://pbs.twimg.com/profile_images/962471262747529216/Uo8lOkRJ_normal.jpg","View")</f>
        <v>View</v>
      </c>
      <c r="P10156" s="7"/>
    </row>
    <row r="10157" spans="1:16">
      <c r="A10157" s="3">
        <v>44093.816041666665</v>
      </c>
      <c r="B10157" s="4" t="str">
        <f>HYPERLINK("https://twitter.com/petrogustavo","@petrogustavo")</f>
        <v>@petrogustavo</v>
      </c>
      <c r="C10157" s="5" t="s">
        <v>16</v>
      </c>
      <c r="D10157" s="5" t="s">
        <v>9771</v>
      </c>
      <c r="E10157" s="6" t="str">
        <f>HYPERLINK("https://twitter.com/petrogustavo/status/1307319811723202560","1307319811723202560")</f>
        <v>1307319811723202560</v>
      </c>
      <c r="F10157" s="7" t="s">
        <v>17</v>
      </c>
      <c r="G10157" s="7">
        <v>3978514</v>
      </c>
      <c r="H10157" s="7">
        <v>2439</v>
      </c>
      <c r="I10157" s="7">
        <v>39</v>
      </c>
      <c r="J10157" s="7">
        <v>112</v>
      </c>
      <c r="K10157" s="7" t="s">
        <v>18</v>
      </c>
      <c r="L10157" s="8">
        <v>39987.315405092595</v>
      </c>
      <c r="M10157" s="9" t="s">
        <v>19</v>
      </c>
      <c r="N10157" s="9" t="s">
        <v>20</v>
      </c>
      <c r="O10157" s="6" t="str">
        <f>HYPERLINK("https://pbs.twimg.com/profile_images/962471262747529216/Uo8lOkRJ_normal.jpg","View")</f>
        <v>View</v>
      </c>
      <c r="P10157" s="7"/>
    </row>
    <row r="10158" spans="1:16">
      <c r="A10158" s="3">
        <v>44093.816469907411</v>
      </c>
      <c r="B10158" s="4" t="str">
        <f>HYPERLINK("https://twitter.com/petrogustavo","@petrogustavo")</f>
        <v>@petrogustavo</v>
      </c>
      <c r="C10158" s="5" t="s">
        <v>16</v>
      </c>
      <c r="D10158" s="5" t="s">
        <v>9772</v>
      </c>
      <c r="E10158" s="6" t="str">
        <f>HYPERLINK("https://twitter.com/petrogustavo/status/1307319966052556800","1307319966052556800")</f>
        <v>1307319966052556800</v>
      </c>
      <c r="F10158" s="7" t="s">
        <v>17</v>
      </c>
      <c r="G10158" s="7">
        <v>3978514</v>
      </c>
      <c r="H10158" s="7">
        <v>2439</v>
      </c>
      <c r="I10158" s="7">
        <v>198</v>
      </c>
      <c r="J10158" s="7">
        <v>0</v>
      </c>
      <c r="K10158" s="7" t="s">
        <v>18</v>
      </c>
      <c r="L10158" s="8">
        <v>39987.315405092595</v>
      </c>
      <c r="M10158" s="9" t="s">
        <v>19</v>
      </c>
      <c r="N10158" s="9" t="s">
        <v>20</v>
      </c>
      <c r="O10158" s="6" t="str">
        <f>HYPERLINK("https://pbs.twimg.com/profile_images/962471262747529216/Uo8lOkRJ_normal.jpg","View")</f>
        <v>View</v>
      </c>
      <c r="P10158" s="7"/>
    </row>
    <row r="10159" spans="1:16">
      <c r="A10159" s="3">
        <v>44093.81763888889</v>
      </c>
      <c r="B10159" s="4" t="str">
        <f>HYPERLINK("https://twitter.com/petrogustavo","@petrogustavo")</f>
        <v>@petrogustavo</v>
      </c>
      <c r="C10159" s="5" t="s">
        <v>16</v>
      </c>
      <c r="D10159" s="5" t="s">
        <v>9773</v>
      </c>
      <c r="E10159" s="6" t="str">
        <f>HYPERLINK("https://twitter.com/petrogustavo/status/1307320391283757059","1307320391283757059")</f>
        <v>1307320391283757059</v>
      </c>
      <c r="F10159" s="7" t="s">
        <v>17</v>
      </c>
      <c r="G10159" s="7">
        <v>3978514</v>
      </c>
      <c r="H10159" s="7">
        <v>2439</v>
      </c>
      <c r="I10159" s="7">
        <v>91</v>
      </c>
      <c r="J10159" s="7">
        <v>224</v>
      </c>
      <c r="K10159" s="7" t="s">
        <v>18</v>
      </c>
      <c r="L10159" s="8">
        <v>39987.315405092595</v>
      </c>
      <c r="M10159" s="9" t="s">
        <v>19</v>
      </c>
      <c r="N10159" s="9" t="s">
        <v>20</v>
      </c>
      <c r="O10159" s="6" t="str">
        <f>HYPERLINK("https://pbs.twimg.com/profile_images/962471262747529216/Uo8lOkRJ_normal.jpg","View")</f>
        <v>View</v>
      </c>
      <c r="P10159" s="7"/>
    </row>
    <row r="10160" spans="1:16">
      <c r="A10160" s="3">
        <v>44093.822962962964</v>
      </c>
      <c r="B10160" s="4" t="str">
        <f>HYPERLINK("https://twitter.com/petrogustavo","@petrogustavo")</f>
        <v>@petrogustavo</v>
      </c>
      <c r="C10160" s="5" t="s">
        <v>16</v>
      </c>
      <c r="D10160" s="5" t="s">
        <v>9774</v>
      </c>
      <c r="E10160" s="6" t="str">
        <f>HYPERLINK("https://twitter.com/petrogustavo/status/1307322321141669890","1307322321141669890")</f>
        <v>1307322321141669890</v>
      </c>
      <c r="F10160" s="7" t="s">
        <v>17</v>
      </c>
      <c r="G10160" s="7">
        <v>3978514</v>
      </c>
      <c r="H10160" s="7">
        <v>2439</v>
      </c>
      <c r="I10160" s="7">
        <v>33</v>
      </c>
      <c r="J10160" s="7">
        <v>85</v>
      </c>
      <c r="K10160" s="7" t="s">
        <v>18</v>
      </c>
      <c r="L10160" s="8">
        <v>39987.315405092595</v>
      </c>
      <c r="M10160" s="9" t="s">
        <v>19</v>
      </c>
      <c r="N10160" s="9" t="s">
        <v>20</v>
      </c>
      <c r="O10160" s="6" t="str">
        <f>HYPERLINK("https://pbs.twimg.com/profile_images/962471262747529216/Uo8lOkRJ_normal.jpg","View")</f>
        <v>View</v>
      </c>
      <c r="P10160" s="7"/>
    </row>
    <row r="10161" spans="1:16">
      <c r="A10161" s="3">
        <v>44093.830694444448</v>
      </c>
      <c r="B10161" s="4" t="str">
        <f>HYPERLINK("https://twitter.com/petrogustavo","@petrogustavo")</f>
        <v>@petrogustavo</v>
      </c>
      <c r="C10161" s="5" t="s">
        <v>16</v>
      </c>
      <c r="D10161" s="5" t="s">
        <v>9775</v>
      </c>
      <c r="E10161" s="6" t="str">
        <f>HYPERLINK("https://twitter.com/petrogustavo/status/1307325122810908674","1307325122810908674")</f>
        <v>1307325122810908674</v>
      </c>
      <c r="F10161" s="7" t="s">
        <v>17</v>
      </c>
      <c r="G10161" s="7">
        <v>3978521</v>
      </c>
      <c r="H10161" s="7">
        <v>2439</v>
      </c>
      <c r="I10161" s="7">
        <v>116</v>
      </c>
      <c r="J10161" s="7">
        <v>255</v>
      </c>
      <c r="K10161" s="7" t="s">
        <v>18</v>
      </c>
      <c r="L10161" s="8">
        <v>39987.315405092595</v>
      </c>
      <c r="M10161" s="9" t="s">
        <v>19</v>
      </c>
      <c r="N10161" s="9" t="s">
        <v>20</v>
      </c>
      <c r="O10161" s="6" t="str">
        <f>HYPERLINK("https://pbs.twimg.com/profile_images/962471262747529216/Uo8lOkRJ_normal.jpg","View")</f>
        <v>View</v>
      </c>
      <c r="P10161" s="7"/>
    </row>
    <row r="10162" spans="1:16">
      <c r="A10162" s="3">
        <v>44093.832326388889</v>
      </c>
      <c r="B10162" s="4" t="str">
        <f>HYPERLINK("https://twitter.com/petrogustavo","@petrogustavo")</f>
        <v>@petrogustavo</v>
      </c>
      <c r="C10162" s="5" t="s">
        <v>16</v>
      </c>
      <c r="D10162" s="5" t="s">
        <v>9776</v>
      </c>
      <c r="E10162" s="6" t="str">
        <f>HYPERLINK("https://twitter.com/petrogustavo/status/1307325714371424257","1307325714371424257")</f>
        <v>1307325714371424257</v>
      </c>
      <c r="F10162" s="7" t="s">
        <v>17</v>
      </c>
      <c r="G10162" s="7">
        <v>3978521</v>
      </c>
      <c r="H10162" s="7">
        <v>2439</v>
      </c>
      <c r="I10162" s="7">
        <v>211</v>
      </c>
      <c r="J10162" s="7">
        <v>413</v>
      </c>
      <c r="K10162" s="7" t="s">
        <v>18</v>
      </c>
      <c r="L10162" s="8">
        <v>39987.315405092595</v>
      </c>
      <c r="M10162" s="9" t="s">
        <v>19</v>
      </c>
      <c r="N10162" s="9" t="s">
        <v>20</v>
      </c>
      <c r="O10162" s="6" t="str">
        <f>HYPERLINK("https://pbs.twimg.com/profile_images/962471262747529216/Uo8lOkRJ_normal.jpg","View")</f>
        <v>View</v>
      </c>
      <c r="P10162" s="7"/>
    </row>
    <row r="10163" spans="1:16">
      <c r="A10163" s="3">
        <v>44093.835902777777</v>
      </c>
      <c r="B10163" s="4" t="str">
        <f>HYPERLINK("https://twitter.com/petrogustavo","@petrogustavo")</f>
        <v>@petrogustavo</v>
      </c>
      <c r="C10163" s="5" t="s">
        <v>16</v>
      </c>
      <c r="D10163" s="5" t="s">
        <v>9777</v>
      </c>
      <c r="E10163" s="6" t="str">
        <f>HYPERLINK("https://twitter.com/petrogustavo/status/1307327009190801408","1307327009190801408")</f>
        <v>1307327009190801408</v>
      </c>
      <c r="F10163" s="7" t="s">
        <v>17</v>
      </c>
      <c r="G10163" s="7">
        <v>3978521</v>
      </c>
      <c r="H10163" s="7">
        <v>2439</v>
      </c>
      <c r="I10163" s="7">
        <v>116</v>
      </c>
      <c r="J10163" s="7">
        <v>183</v>
      </c>
      <c r="K10163" s="7" t="s">
        <v>18</v>
      </c>
      <c r="L10163" s="8">
        <v>39987.315405092595</v>
      </c>
      <c r="M10163" s="9" t="s">
        <v>19</v>
      </c>
      <c r="N10163" s="9" t="s">
        <v>20</v>
      </c>
      <c r="O10163" s="6" t="str">
        <f>HYPERLINK("https://pbs.twimg.com/profile_images/962471262747529216/Uo8lOkRJ_normal.jpg","View")</f>
        <v>View</v>
      </c>
      <c r="P10163" s="7"/>
    </row>
    <row r="10164" spans="1:16">
      <c r="A10164" s="3">
        <v>44093.840787037036</v>
      </c>
      <c r="B10164" s="4" t="str">
        <f>HYPERLINK("https://twitter.com/petrogustavo","@petrogustavo")</f>
        <v>@petrogustavo</v>
      </c>
      <c r="C10164" s="5" t="s">
        <v>16</v>
      </c>
      <c r="D10164" s="5" t="s">
        <v>9778</v>
      </c>
      <c r="E10164" s="6" t="str">
        <f>HYPERLINK("https://twitter.com/petrogustavo/status/1307328776926384128","1307328776926384128")</f>
        <v>1307328776926384128</v>
      </c>
      <c r="F10164" s="7" t="s">
        <v>17</v>
      </c>
      <c r="G10164" s="7">
        <v>3978521</v>
      </c>
      <c r="H10164" s="7">
        <v>2439</v>
      </c>
      <c r="I10164" s="7">
        <v>211</v>
      </c>
      <c r="J10164" s="7">
        <v>0</v>
      </c>
      <c r="K10164" s="7" t="s">
        <v>18</v>
      </c>
      <c r="L10164" s="8">
        <v>39987.315405092595</v>
      </c>
      <c r="M10164" s="9" t="s">
        <v>19</v>
      </c>
      <c r="N10164" s="9" t="s">
        <v>20</v>
      </c>
      <c r="O10164" s="6" t="str">
        <f>HYPERLINK("https://pbs.twimg.com/profile_images/962471262747529216/Uo8lOkRJ_normal.jpg","View")</f>
        <v>View</v>
      </c>
      <c r="P10164" s="7"/>
    </row>
    <row r="10165" spans="1:16">
      <c r="A10165" s="3">
        <v>44093.969236111108</v>
      </c>
      <c r="B10165" s="4" t="str">
        <f>HYPERLINK("https://twitter.com/petrogustavo","@petrogustavo")</f>
        <v>@petrogustavo</v>
      </c>
      <c r="C10165" s="5" t="s">
        <v>16</v>
      </c>
      <c r="D10165" s="5" t="s">
        <v>9779</v>
      </c>
      <c r="E10165" s="6" t="str">
        <f>HYPERLINK("https://twitter.com/petrogustavo/status/1307375327669350402","1307375327669350402")</f>
        <v>1307375327669350402</v>
      </c>
      <c r="F10165" s="7" t="s">
        <v>17</v>
      </c>
      <c r="G10165" s="7">
        <v>3978592</v>
      </c>
      <c r="H10165" s="7">
        <v>2439</v>
      </c>
      <c r="I10165" s="7">
        <v>48</v>
      </c>
      <c r="J10165" s="7">
        <v>101</v>
      </c>
      <c r="K10165" s="7" t="s">
        <v>18</v>
      </c>
      <c r="L10165" s="8">
        <v>39987.315405092595</v>
      </c>
      <c r="M10165" s="9" t="s">
        <v>19</v>
      </c>
      <c r="N10165" s="9" t="s">
        <v>20</v>
      </c>
      <c r="O10165" s="6" t="str">
        <f>HYPERLINK("https://pbs.twimg.com/profile_images/962471262747529216/Uo8lOkRJ_normal.jpg","View")</f>
        <v>View</v>
      </c>
      <c r="P10165" s="7"/>
    </row>
    <row r="10166" spans="1:16">
      <c r="A10166" s="3">
        <v>44093.971099537041</v>
      </c>
      <c r="B10166" s="4" t="str">
        <f>HYPERLINK("https://twitter.com/petrogustavo","@petrogustavo")</f>
        <v>@petrogustavo</v>
      </c>
      <c r="C10166" s="5" t="s">
        <v>16</v>
      </c>
      <c r="D10166" s="5" t="s">
        <v>9780</v>
      </c>
      <c r="E10166" s="6" t="str">
        <f>HYPERLINK("https://twitter.com/petrogustavo/status/1307376000465014787","1307376000465014787")</f>
        <v>1307376000465014787</v>
      </c>
      <c r="F10166" s="7" t="s">
        <v>17</v>
      </c>
      <c r="G10166" s="7">
        <v>3978592</v>
      </c>
      <c r="H10166" s="7">
        <v>2439</v>
      </c>
      <c r="I10166" s="7">
        <v>0</v>
      </c>
      <c r="J10166" s="7">
        <v>0</v>
      </c>
      <c r="K10166" s="7" t="s">
        <v>18</v>
      </c>
      <c r="L10166" s="8">
        <v>39987.315405092595</v>
      </c>
      <c r="M10166" s="9" t="s">
        <v>19</v>
      </c>
      <c r="N10166" s="9" t="s">
        <v>20</v>
      </c>
      <c r="O10166" s="6" t="str">
        <f>HYPERLINK("https://pbs.twimg.com/profile_images/962471262747529216/Uo8lOkRJ_normal.jpg","View")</f>
        <v>View</v>
      </c>
      <c r="P10166" s="7"/>
    </row>
    <row r="10167" spans="1:16">
      <c r="A10167" s="3">
        <v>44093.973425925928</v>
      </c>
      <c r="B10167" s="4" t="str">
        <f>HYPERLINK("https://twitter.com/petrogustavo","@petrogustavo")</f>
        <v>@petrogustavo</v>
      </c>
      <c r="C10167" s="5" t="s">
        <v>16</v>
      </c>
      <c r="D10167" s="5" t="s">
        <v>9781</v>
      </c>
      <c r="E10167" s="6" t="str">
        <f>HYPERLINK("https://twitter.com/petrogustavo/status/1307376844614885377","1307376844614885377")</f>
        <v>1307376844614885377</v>
      </c>
      <c r="F10167" s="7" t="s">
        <v>17</v>
      </c>
      <c r="G10167" s="7">
        <v>3978604</v>
      </c>
      <c r="H10167" s="7">
        <v>2439</v>
      </c>
      <c r="I10167" s="7">
        <v>45</v>
      </c>
      <c r="J10167" s="7">
        <v>0</v>
      </c>
      <c r="K10167" s="7" t="s">
        <v>18</v>
      </c>
      <c r="L10167" s="8">
        <v>39987.315405092595</v>
      </c>
      <c r="M10167" s="9" t="s">
        <v>19</v>
      </c>
      <c r="N10167" s="9" t="s">
        <v>20</v>
      </c>
      <c r="O10167" s="6" t="str">
        <f>HYPERLINK("https://pbs.twimg.com/profile_images/962471262747529216/Uo8lOkRJ_normal.jpg","View")</f>
        <v>View</v>
      </c>
      <c r="P10167" s="7"/>
    </row>
    <row r="10168" spans="1:16">
      <c r="A10168" s="3">
        <v>44093.975127314814</v>
      </c>
      <c r="B10168" s="4" t="str">
        <f>HYPERLINK("https://twitter.com/petrogustavo","@petrogustavo")</f>
        <v>@petrogustavo</v>
      </c>
      <c r="C10168" s="5" t="s">
        <v>16</v>
      </c>
      <c r="D10168" s="5" t="s">
        <v>9782</v>
      </c>
      <c r="E10168" s="6" t="str">
        <f>HYPERLINK("https://twitter.com/petrogustavo/status/1307377460795777024","1307377460795777024")</f>
        <v>1307377460795777024</v>
      </c>
      <c r="F10168" s="7" t="s">
        <v>17</v>
      </c>
      <c r="G10168" s="7">
        <v>3978604</v>
      </c>
      <c r="H10168" s="7">
        <v>2439</v>
      </c>
      <c r="I10168" s="7">
        <v>52</v>
      </c>
      <c r="J10168" s="7">
        <v>123</v>
      </c>
      <c r="K10168" s="7" t="s">
        <v>18</v>
      </c>
      <c r="L10168" s="8">
        <v>39987.315405092595</v>
      </c>
      <c r="M10168" s="9" t="s">
        <v>19</v>
      </c>
      <c r="N10168" s="9" t="s">
        <v>20</v>
      </c>
      <c r="O10168" s="6" t="str">
        <f>HYPERLINK("https://pbs.twimg.com/profile_images/962471262747529216/Uo8lOkRJ_normal.jpg","View")</f>
        <v>View</v>
      </c>
      <c r="P10168" s="7"/>
    </row>
    <row r="10169" spans="1:16">
      <c r="A10169" s="3">
        <v>44093.996192129634</v>
      </c>
      <c r="B10169" s="4" t="str">
        <f>HYPERLINK("https://twitter.com/petrogustavo","@petrogustavo")</f>
        <v>@petrogustavo</v>
      </c>
      <c r="C10169" s="5" t="s">
        <v>16</v>
      </c>
      <c r="D10169" s="5" t="s">
        <v>9783</v>
      </c>
      <c r="E10169" s="6" t="str">
        <f>HYPERLINK("https://twitter.com/petrogustavo/status/1307385097310613510","1307385097310613510")</f>
        <v>1307385097310613510</v>
      </c>
      <c r="F10169" s="7" t="s">
        <v>17</v>
      </c>
      <c r="G10169" s="7">
        <v>3978617</v>
      </c>
      <c r="H10169" s="7">
        <v>2439</v>
      </c>
      <c r="I10169" s="7">
        <v>88</v>
      </c>
      <c r="J10169" s="7">
        <v>182</v>
      </c>
      <c r="K10169" s="7" t="s">
        <v>18</v>
      </c>
      <c r="L10169" s="8">
        <v>39987.315405092595</v>
      </c>
      <c r="M10169" s="9" t="s">
        <v>19</v>
      </c>
      <c r="N10169" s="9" t="s">
        <v>20</v>
      </c>
      <c r="O10169" s="6" t="str">
        <f>HYPERLINK("https://pbs.twimg.com/profile_images/962471262747529216/Uo8lOkRJ_normal.jpg","View")</f>
        <v>View</v>
      </c>
      <c r="P10169" s="7"/>
    </row>
    <row r="10170" spans="1:16">
      <c r="A10170" s="3">
        <v>44094.002951388888</v>
      </c>
      <c r="B10170" s="4" t="str">
        <f>HYPERLINK("https://twitter.com/petrogustavo","@petrogustavo")</f>
        <v>@petrogustavo</v>
      </c>
      <c r="C10170" s="5" t="s">
        <v>16</v>
      </c>
      <c r="D10170" s="5" t="s">
        <v>9784</v>
      </c>
      <c r="E10170" s="6" t="str">
        <f>HYPERLINK("https://twitter.com/petrogustavo/status/1307387546507321345","1307387546507321345")</f>
        <v>1307387546507321345</v>
      </c>
      <c r="F10170" s="7" t="s">
        <v>17</v>
      </c>
      <c r="G10170" s="7">
        <v>3978617</v>
      </c>
      <c r="H10170" s="7">
        <v>2439</v>
      </c>
      <c r="I10170" s="7">
        <v>93</v>
      </c>
      <c r="J10170" s="7">
        <v>201</v>
      </c>
      <c r="K10170" s="7" t="s">
        <v>18</v>
      </c>
      <c r="L10170" s="8">
        <v>39987.315405092595</v>
      </c>
      <c r="M10170" s="9" t="s">
        <v>19</v>
      </c>
      <c r="N10170" s="9" t="s">
        <v>20</v>
      </c>
      <c r="O10170" s="6" t="str">
        <f>HYPERLINK("https://pbs.twimg.com/profile_images/962471262747529216/Uo8lOkRJ_normal.jpg","View")</f>
        <v>View</v>
      </c>
      <c r="P10170" s="7"/>
    </row>
    <row r="10171" spans="1:16">
      <c r="A10171" s="3">
        <v>44094.006967592592</v>
      </c>
      <c r="B10171" s="4" t="str">
        <f>HYPERLINK("https://twitter.com/petrogustavo","@petrogustavo")</f>
        <v>@petrogustavo</v>
      </c>
      <c r="C10171" s="5" t="s">
        <v>16</v>
      </c>
      <c r="D10171" s="5" t="s">
        <v>9785</v>
      </c>
      <c r="E10171" s="6" t="str">
        <f>HYPERLINK("https://twitter.com/petrogustavo/status/1307389000295030791","1307389000295030791")</f>
        <v>1307389000295030791</v>
      </c>
      <c r="F10171" s="7" t="s">
        <v>17</v>
      </c>
      <c r="G10171" s="7">
        <v>3978617</v>
      </c>
      <c r="H10171" s="7">
        <v>2439</v>
      </c>
      <c r="I10171" s="7">
        <v>156</v>
      </c>
      <c r="J10171" s="7">
        <v>425</v>
      </c>
      <c r="K10171" s="7" t="s">
        <v>18</v>
      </c>
      <c r="L10171" s="8">
        <v>39987.315405092595</v>
      </c>
      <c r="M10171" s="9" t="s">
        <v>19</v>
      </c>
      <c r="N10171" s="9" t="s">
        <v>20</v>
      </c>
      <c r="O10171" s="6" t="str">
        <f>HYPERLINK("https://pbs.twimg.com/profile_images/962471262747529216/Uo8lOkRJ_normal.jpg","View")</f>
        <v>View</v>
      </c>
      <c r="P10171" s="7"/>
    </row>
    <row r="10172" spans="1:16">
      <c r="A10172" s="3">
        <v>44094.020787037036</v>
      </c>
      <c r="B10172" s="4" t="str">
        <f>HYPERLINK("https://twitter.com/petrogustavo","@petrogustavo")</f>
        <v>@petrogustavo</v>
      </c>
      <c r="C10172" s="5" t="s">
        <v>16</v>
      </c>
      <c r="D10172" s="5" t="s">
        <v>9786</v>
      </c>
      <c r="E10172" s="6" t="str">
        <f>HYPERLINK("https://twitter.com/petrogustavo/status/1307394008193404929","1307394008193404929")</f>
        <v>1307394008193404929</v>
      </c>
      <c r="F10172" s="7" t="s">
        <v>17</v>
      </c>
      <c r="G10172" s="7">
        <v>3978622</v>
      </c>
      <c r="H10172" s="7">
        <v>2439</v>
      </c>
      <c r="I10172" s="7">
        <v>29</v>
      </c>
      <c r="J10172" s="7">
        <v>73</v>
      </c>
      <c r="K10172" s="7" t="s">
        <v>18</v>
      </c>
      <c r="L10172" s="8">
        <v>39987.315405092595</v>
      </c>
      <c r="M10172" s="9" t="s">
        <v>19</v>
      </c>
      <c r="N10172" s="9" t="s">
        <v>20</v>
      </c>
      <c r="O10172" s="6" t="str">
        <f>HYPERLINK("https://pbs.twimg.com/profile_images/962471262747529216/Uo8lOkRJ_normal.jpg","View")</f>
        <v>View</v>
      </c>
      <c r="P10172" s="7"/>
    </row>
    <row r="10173" spans="1:16">
      <c r="A10173" s="3">
        <v>44094.063217592593</v>
      </c>
      <c r="B10173" s="4" t="str">
        <f>HYPERLINK("https://twitter.com/petrogustavo","@petrogustavo")</f>
        <v>@petrogustavo</v>
      </c>
      <c r="C10173" s="5" t="s">
        <v>16</v>
      </c>
      <c r="D10173" s="5" t="s">
        <v>9787</v>
      </c>
      <c r="E10173" s="6" t="str">
        <f>HYPERLINK("https://twitter.com/petrogustavo/status/1307409384331505666","1307409384331505666")</f>
        <v>1307409384331505666</v>
      </c>
      <c r="F10173" s="7" t="s">
        <v>17</v>
      </c>
      <c r="G10173" s="7">
        <v>3978647</v>
      </c>
      <c r="H10173" s="7">
        <v>2439</v>
      </c>
      <c r="I10173" s="7">
        <v>78</v>
      </c>
      <c r="J10173" s="7">
        <v>223</v>
      </c>
      <c r="K10173" s="7" t="s">
        <v>18</v>
      </c>
      <c r="L10173" s="8">
        <v>39987.315405092595</v>
      </c>
      <c r="M10173" s="9" t="s">
        <v>19</v>
      </c>
      <c r="N10173" s="9" t="s">
        <v>20</v>
      </c>
      <c r="O10173" s="6" t="str">
        <f>HYPERLINK("https://pbs.twimg.com/profile_images/962471262747529216/Uo8lOkRJ_normal.jpg","View")</f>
        <v>View</v>
      </c>
      <c r="P10173" s="7"/>
    </row>
    <row r="10174" spans="1:16">
      <c r="A10174" s="3">
        <v>44094.065405092595</v>
      </c>
      <c r="B10174" s="4" t="str">
        <f>HYPERLINK("https://twitter.com/petrogustavo","@petrogustavo")</f>
        <v>@petrogustavo</v>
      </c>
      <c r="C10174" s="5" t="s">
        <v>16</v>
      </c>
      <c r="D10174" s="5" t="s">
        <v>9788</v>
      </c>
      <c r="E10174" s="6" t="str">
        <f>HYPERLINK("https://twitter.com/petrogustavo/status/1307410178418110464","1307410178418110464")</f>
        <v>1307410178418110464</v>
      </c>
      <c r="F10174" s="7" t="s">
        <v>17</v>
      </c>
      <c r="G10174" s="7">
        <v>3978647</v>
      </c>
      <c r="H10174" s="7">
        <v>2439</v>
      </c>
      <c r="I10174" s="7">
        <v>952</v>
      </c>
      <c r="J10174" s="7">
        <v>0</v>
      </c>
      <c r="K10174" s="7" t="s">
        <v>18</v>
      </c>
      <c r="L10174" s="8">
        <v>39987.315405092595</v>
      </c>
      <c r="M10174" s="9" t="s">
        <v>19</v>
      </c>
      <c r="N10174" s="9" t="s">
        <v>20</v>
      </c>
      <c r="O10174" s="6" t="str">
        <f>HYPERLINK("https://pbs.twimg.com/profile_images/962471262747529216/Uo8lOkRJ_normal.jpg","View")</f>
        <v>View</v>
      </c>
      <c r="P10174" s="7"/>
    </row>
    <row r="10175" spans="1:16">
      <c r="A10175" s="3">
        <v>44094.277824074074</v>
      </c>
      <c r="B10175" s="4" t="str">
        <f>HYPERLINK("https://twitter.com/petrogustavo","@petrogustavo")</f>
        <v>@petrogustavo</v>
      </c>
      <c r="C10175" s="5" t="s">
        <v>16</v>
      </c>
      <c r="D10175" s="5" t="s">
        <v>9789</v>
      </c>
      <c r="E10175" s="6" t="str">
        <f>HYPERLINK("https://twitter.com/petrogustavo/status/1307487154520707078","1307487154520707078")</f>
        <v>1307487154520707078</v>
      </c>
      <c r="F10175" s="7" t="s">
        <v>32</v>
      </c>
      <c r="G10175" s="7">
        <v>3978777</v>
      </c>
      <c r="H10175" s="7">
        <v>2439</v>
      </c>
      <c r="I10175" s="7">
        <v>74</v>
      </c>
      <c r="J10175" s="7">
        <v>0</v>
      </c>
      <c r="K10175" s="7" t="s">
        <v>18</v>
      </c>
      <c r="L10175" s="8">
        <v>39987.315405092595</v>
      </c>
      <c r="M10175" s="9" t="s">
        <v>19</v>
      </c>
      <c r="N10175" s="9" t="s">
        <v>20</v>
      </c>
      <c r="O10175" s="6" t="str">
        <f>HYPERLINK("https://pbs.twimg.com/profile_images/962471262747529216/Uo8lOkRJ_normal.jpg","View")</f>
        <v>View</v>
      </c>
      <c r="P10175" s="7"/>
    </row>
    <row r="10176" spans="1:16">
      <c r="A10176" s="3">
        <v>44094.278553240743</v>
      </c>
      <c r="B10176" s="4" t="str">
        <f>HYPERLINK("https://twitter.com/petrogustavo","@petrogustavo")</f>
        <v>@petrogustavo</v>
      </c>
      <c r="C10176" s="5" t="s">
        <v>16</v>
      </c>
      <c r="D10176" s="5" t="s">
        <v>9790</v>
      </c>
      <c r="E10176" s="6" t="str">
        <f>HYPERLINK("https://twitter.com/petrogustavo/status/1307487420598956035","1307487420598956035")</f>
        <v>1307487420598956035</v>
      </c>
      <c r="F10176" s="7" t="s">
        <v>32</v>
      </c>
      <c r="G10176" s="7">
        <v>3978777</v>
      </c>
      <c r="H10176" s="7">
        <v>2439</v>
      </c>
      <c r="I10176" s="7">
        <v>39</v>
      </c>
      <c r="J10176" s="7">
        <v>0</v>
      </c>
      <c r="K10176" s="7" t="s">
        <v>18</v>
      </c>
      <c r="L10176" s="8">
        <v>39987.315405092595</v>
      </c>
      <c r="M10176" s="9" t="s">
        <v>19</v>
      </c>
      <c r="N10176" s="9" t="s">
        <v>20</v>
      </c>
      <c r="O10176" s="6" t="str">
        <f>HYPERLINK("https://pbs.twimg.com/profile_images/962471262747529216/Uo8lOkRJ_normal.jpg","View")</f>
        <v>View</v>
      </c>
      <c r="P10176" s="7"/>
    </row>
    <row r="10177" spans="1:16">
      <c r="A10177" s="3">
        <v>44094.822800925926</v>
      </c>
      <c r="B10177" s="4" t="str">
        <f>HYPERLINK("https://twitter.com/petrogustavo","@petrogustavo")</f>
        <v>@petrogustavo</v>
      </c>
      <c r="C10177" s="5" t="s">
        <v>16</v>
      </c>
      <c r="D10177" s="5" t="s">
        <v>9791</v>
      </c>
      <c r="E10177" s="6" t="str">
        <f>HYPERLINK("https://twitter.com/petrogustavo/status/1307684649020293121","1307684649020293121")</f>
        <v>1307684649020293121</v>
      </c>
      <c r="F10177" s="7" t="s">
        <v>17</v>
      </c>
      <c r="G10177" s="7">
        <v>3978946</v>
      </c>
      <c r="H10177" s="7">
        <v>2439</v>
      </c>
      <c r="I10177" s="7">
        <v>119</v>
      </c>
      <c r="J10177" s="7">
        <v>351</v>
      </c>
      <c r="K10177" s="7" t="s">
        <v>18</v>
      </c>
      <c r="L10177" s="8">
        <v>39987.315405092595</v>
      </c>
      <c r="M10177" s="9" t="s">
        <v>19</v>
      </c>
      <c r="N10177" s="9" t="s">
        <v>20</v>
      </c>
      <c r="O10177" s="6" t="str">
        <f>HYPERLINK("https://pbs.twimg.com/profile_images/962471262747529216/Uo8lOkRJ_normal.jpg","View")</f>
        <v>View</v>
      </c>
      <c r="P10177" s="7"/>
    </row>
    <row r="10178" spans="1:16">
      <c r="A10178" s="3">
        <v>44094.833807870367</v>
      </c>
      <c r="B10178" s="4" t="str">
        <f>HYPERLINK("https://twitter.com/petrogustavo","@petrogustavo")</f>
        <v>@petrogustavo</v>
      </c>
      <c r="C10178" s="5" t="s">
        <v>16</v>
      </c>
      <c r="D10178" s="5" t="s">
        <v>9792</v>
      </c>
      <c r="E10178" s="6" t="str">
        <f>HYPERLINK("https://twitter.com/petrogustavo/status/1307688637887328256","1307688637887328256")</f>
        <v>1307688637887328256</v>
      </c>
      <c r="F10178" s="7" t="s">
        <v>17</v>
      </c>
      <c r="G10178" s="7">
        <v>3978946</v>
      </c>
      <c r="H10178" s="7">
        <v>2439</v>
      </c>
      <c r="I10178" s="7">
        <v>17</v>
      </c>
      <c r="J10178" s="7">
        <v>38</v>
      </c>
      <c r="K10178" s="7" t="s">
        <v>18</v>
      </c>
      <c r="L10178" s="8">
        <v>39987.315405092595</v>
      </c>
      <c r="M10178" s="9" t="s">
        <v>19</v>
      </c>
      <c r="N10178" s="9" t="s">
        <v>20</v>
      </c>
      <c r="O10178" s="6" t="str">
        <f>HYPERLINK("https://pbs.twimg.com/profile_images/962471262747529216/Uo8lOkRJ_normal.jpg","View")</f>
        <v>View</v>
      </c>
      <c r="P10178" s="7"/>
    </row>
    <row r="10179" spans="1:16">
      <c r="A10179" s="3">
        <v>44094.998043981483</v>
      </c>
      <c r="B10179" s="4" t="str">
        <f>HYPERLINK("https://twitter.com/petrogustavo","@petrogustavo")</f>
        <v>@petrogustavo</v>
      </c>
      <c r="C10179" s="5" t="s">
        <v>16</v>
      </c>
      <c r="D10179" s="5" t="s">
        <v>9793</v>
      </c>
      <c r="E10179" s="6" t="str">
        <f>HYPERLINK("https://twitter.com/petrogustavo/status/1307748154838745089","1307748154838745089")</f>
        <v>1307748154838745089</v>
      </c>
      <c r="F10179" s="7" t="s">
        <v>32</v>
      </c>
      <c r="G10179" s="7">
        <v>3979039</v>
      </c>
      <c r="H10179" s="7">
        <v>2439</v>
      </c>
      <c r="I10179" s="7">
        <v>343</v>
      </c>
      <c r="J10179" s="7">
        <v>0</v>
      </c>
      <c r="K10179" s="7" t="s">
        <v>18</v>
      </c>
      <c r="L10179" s="8">
        <v>39987.315405092595</v>
      </c>
      <c r="M10179" s="9" t="s">
        <v>19</v>
      </c>
      <c r="N10179" s="9" t="s">
        <v>20</v>
      </c>
      <c r="O10179" s="6" t="str">
        <f>HYPERLINK("https://pbs.twimg.com/profile_images/962471262747529216/Uo8lOkRJ_normal.jpg","View")</f>
        <v>View</v>
      </c>
      <c r="P10179" s="7"/>
    </row>
    <row r="10180" spans="1:16">
      <c r="A10180" s="3">
        <v>44095.019421296296</v>
      </c>
      <c r="B10180" s="4" t="str">
        <f>HYPERLINK("https://twitter.com/petrogustavo","@petrogustavo")</f>
        <v>@petrogustavo</v>
      </c>
      <c r="C10180" s="5" t="s">
        <v>16</v>
      </c>
      <c r="D10180" s="5" t="s">
        <v>9794</v>
      </c>
      <c r="E10180" s="6" t="str">
        <f>HYPERLINK("https://twitter.com/petrogustavo/status/1307755901282127878","1307755901282127878")</f>
        <v>1307755901282127878</v>
      </c>
      <c r="F10180" s="7" t="s">
        <v>32</v>
      </c>
      <c r="G10180" s="7">
        <v>3979031</v>
      </c>
      <c r="H10180" s="7">
        <v>2439</v>
      </c>
      <c r="I10180" s="7">
        <v>88</v>
      </c>
      <c r="J10180" s="7">
        <v>0</v>
      </c>
      <c r="K10180" s="7" t="s">
        <v>18</v>
      </c>
      <c r="L10180" s="8">
        <v>39987.315405092595</v>
      </c>
      <c r="M10180" s="9" t="s">
        <v>19</v>
      </c>
      <c r="N10180" s="9" t="s">
        <v>20</v>
      </c>
      <c r="O10180" s="6" t="str">
        <f>HYPERLINK("https://pbs.twimg.com/profile_images/962471262747529216/Uo8lOkRJ_normal.jpg","View")</f>
        <v>View</v>
      </c>
      <c r="P10180" s="7"/>
    </row>
    <row r="10181" spans="1:16">
      <c r="A10181" s="3">
        <v>44095.019895833335</v>
      </c>
      <c r="B10181" s="4" t="str">
        <f>HYPERLINK("https://twitter.com/petrogustavo","@petrogustavo")</f>
        <v>@petrogustavo</v>
      </c>
      <c r="C10181" s="5" t="s">
        <v>16</v>
      </c>
      <c r="D10181" s="5" t="s">
        <v>9795</v>
      </c>
      <c r="E10181" s="6" t="str">
        <f>HYPERLINK("https://twitter.com/petrogustavo/status/1307756073777082370","1307756073777082370")</f>
        <v>1307756073777082370</v>
      </c>
      <c r="F10181" s="7" t="s">
        <v>32</v>
      </c>
      <c r="G10181" s="7">
        <v>3979031</v>
      </c>
      <c r="H10181" s="7">
        <v>2439</v>
      </c>
      <c r="I10181" s="7">
        <v>45</v>
      </c>
      <c r="J10181" s="7">
        <v>115</v>
      </c>
      <c r="K10181" s="7" t="s">
        <v>18</v>
      </c>
      <c r="L10181" s="8">
        <v>39987.315405092595</v>
      </c>
      <c r="M10181" s="9" t="s">
        <v>19</v>
      </c>
      <c r="N10181" s="9" t="s">
        <v>20</v>
      </c>
      <c r="O10181" s="6" t="str">
        <f>HYPERLINK("https://pbs.twimg.com/profile_images/962471262747529216/Uo8lOkRJ_normal.jpg","View")</f>
        <v>View</v>
      </c>
      <c r="P10181" s="7"/>
    </row>
    <row r="10182" spans="1:16">
      <c r="A10182" s="3">
        <v>44095.027847222227</v>
      </c>
      <c r="B10182" s="4" t="str">
        <f>HYPERLINK("https://twitter.com/petrogustavo","@petrogustavo")</f>
        <v>@petrogustavo</v>
      </c>
      <c r="C10182" s="5" t="s">
        <v>16</v>
      </c>
      <c r="D10182" s="5" t="s">
        <v>9796</v>
      </c>
      <c r="E10182" s="6" t="str">
        <f>HYPERLINK("https://twitter.com/petrogustavo/status/1307758955700027398","1307758955700027398")</f>
        <v>1307758955700027398</v>
      </c>
      <c r="F10182" s="7" t="s">
        <v>32</v>
      </c>
      <c r="G10182" s="7">
        <v>3979053</v>
      </c>
      <c r="H10182" s="7">
        <v>2439</v>
      </c>
      <c r="I10182" s="7">
        <v>30</v>
      </c>
      <c r="J10182" s="7">
        <v>0</v>
      </c>
      <c r="K10182" s="7" t="s">
        <v>18</v>
      </c>
      <c r="L10182" s="8">
        <v>39987.315405092595</v>
      </c>
      <c r="M10182" s="9" t="s">
        <v>19</v>
      </c>
      <c r="N10182" s="9" t="s">
        <v>20</v>
      </c>
      <c r="O10182" s="6" t="str">
        <f>HYPERLINK("https://pbs.twimg.com/profile_images/962471262747529216/Uo8lOkRJ_normal.jpg","View")</f>
        <v>View</v>
      </c>
      <c r="P10182" s="7"/>
    </row>
    <row r="10183" spans="1:16">
      <c r="A10183" s="3">
        <v>44095.028275462959</v>
      </c>
      <c r="B10183" s="4" t="str">
        <f>HYPERLINK("https://twitter.com/petrogustavo","@petrogustavo")</f>
        <v>@petrogustavo</v>
      </c>
      <c r="C10183" s="5" t="s">
        <v>16</v>
      </c>
      <c r="D10183" s="5" t="s">
        <v>9797</v>
      </c>
      <c r="E10183" s="6" t="str">
        <f>HYPERLINK("https://twitter.com/petrogustavo/status/1307759111652757506","1307759111652757506")</f>
        <v>1307759111652757506</v>
      </c>
      <c r="F10183" s="7" t="s">
        <v>32</v>
      </c>
      <c r="G10183" s="7">
        <v>3979053</v>
      </c>
      <c r="H10183" s="7">
        <v>2439</v>
      </c>
      <c r="I10183" s="7">
        <v>98</v>
      </c>
      <c r="J10183" s="7">
        <v>0</v>
      </c>
      <c r="K10183" s="7" t="s">
        <v>18</v>
      </c>
      <c r="L10183" s="8">
        <v>39987.315405092595</v>
      </c>
      <c r="M10183" s="9" t="s">
        <v>19</v>
      </c>
      <c r="N10183" s="9" t="s">
        <v>20</v>
      </c>
      <c r="O10183" s="6" t="str">
        <f>HYPERLINK("https://pbs.twimg.com/profile_images/962471262747529216/Uo8lOkRJ_normal.jpg","View")</f>
        <v>View</v>
      </c>
      <c r="P10183" s="7"/>
    </row>
    <row r="10184" spans="1:16">
      <c r="A10184" s="3">
        <v>44095.080023148148</v>
      </c>
      <c r="B10184" s="4" t="str">
        <f>HYPERLINK("https://twitter.com/petrogustavo","@petrogustavo")</f>
        <v>@petrogustavo</v>
      </c>
      <c r="C10184" s="5" t="s">
        <v>16</v>
      </c>
      <c r="D10184" s="5" t="s">
        <v>9798</v>
      </c>
      <c r="E10184" s="6" t="str">
        <f>HYPERLINK("https://twitter.com/petrogustavo/status/1307777863685476354","1307777863685476354")</f>
        <v>1307777863685476354</v>
      </c>
      <c r="F10184" s="7" t="s">
        <v>32</v>
      </c>
      <c r="G10184" s="7">
        <v>3979086</v>
      </c>
      <c r="H10184" s="7">
        <v>2439</v>
      </c>
      <c r="I10184" s="7">
        <v>80</v>
      </c>
      <c r="J10184" s="7">
        <v>117</v>
      </c>
      <c r="K10184" s="7" t="s">
        <v>18</v>
      </c>
      <c r="L10184" s="8">
        <v>39987.315405092595</v>
      </c>
      <c r="M10184" s="9" t="s">
        <v>19</v>
      </c>
      <c r="N10184" s="9" t="s">
        <v>20</v>
      </c>
      <c r="O10184" s="6" t="str">
        <f>HYPERLINK("https://pbs.twimg.com/profile_images/962471262747529216/Uo8lOkRJ_normal.jpg","View")</f>
        <v>View</v>
      </c>
      <c r="P10184" s="7"/>
    </row>
    <row r="10185" spans="1:16">
      <c r="A10185" s="3">
        <v>44095.093009259261</v>
      </c>
      <c r="B10185" s="4" t="str">
        <f>HYPERLINK("https://twitter.com/petrogustavo","@petrogustavo")</f>
        <v>@petrogustavo</v>
      </c>
      <c r="C10185" s="5" t="s">
        <v>16</v>
      </c>
      <c r="D10185" s="5" t="s">
        <v>9799</v>
      </c>
      <c r="E10185" s="6" t="str">
        <f>HYPERLINK("https://twitter.com/petrogustavo/status/1307782570206208002","1307782570206208002")</f>
        <v>1307782570206208002</v>
      </c>
      <c r="F10185" s="7" t="s">
        <v>32</v>
      </c>
      <c r="G10185" s="7">
        <v>3979074</v>
      </c>
      <c r="H10185" s="7">
        <v>2439</v>
      </c>
      <c r="I10185" s="7">
        <v>448</v>
      </c>
      <c r="J10185" s="7">
        <v>0</v>
      </c>
      <c r="K10185" s="7" t="s">
        <v>18</v>
      </c>
      <c r="L10185" s="8">
        <v>39987.315405092595</v>
      </c>
      <c r="M10185" s="9" t="s">
        <v>19</v>
      </c>
      <c r="N10185" s="9" t="s">
        <v>20</v>
      </c>
      <c r="O10185" s="6" t="str">
        <f>HYPERLINK("https://pbs.twimg.com/profile_images/962471262747529216/Uo8lOkRJ_normal.jpg","View")</f>
        <v>View</v>
      </c>
      <c r="P10185" s="7"/>
    </row>
    <row r="10186" spans="1:16">
      <c r="A10186" s="3">
        <v>44095.207511574074</v>
      </c>
      <c r="B10186" s="4" t="str">
        <f>HYPERLINK("https://twitter.com/petrogustavo","@petrogustavo")</f>
        <v>@petrogustavo</v>
      </c>
      <c r="C10186" s="5" t="s">
        <v>16</v>
      </c>
      <c r="D10186" s="5" t="s">
        <v>9800</v>
      </c>
      <c r="E10186" s="6" t="str">
        <f>HYPERLINK("https://twitter.com/petrogustavo/status/1307824064225062919","1307824064225062919")</f>
        <v>1307824064225062919</v>
      </c>
      <c r="F10186" s="7" t="s">
        <v>17</v>
      </c>
      <c r="G10186" s="7">
        <v>3979166</v>
      </c>
      <c r="H10186" s="7">
        <v>2439</v>
      </c>
      <c r="I10186" s="7">
        <v>203</v>
      </c>
      <c r="J10186" s="7">
        <v>0</v>
      </c>
      <c r="K10186" s="7" t="s">
        <v>18</v>
      </c>
      <c r="L10186" s="8">
        <v>39987.315405092595</v>
      </c>
      <c r="M10186" s="9" t="s">
        <v>19</v>
      </c>
      <c r="N10186" s="9" t="s">
        <v>20</v>
      </c>
      <c r="O10186" s="6" t="str">
        <f>HYPERLINK("https://pbs.twimg.com/profile_images/962471262747529216/Uo8lOkRJ_normal.jpg","View")</f>
        <v>View</v>
      </c>
      <c r="P10186" s="7"/>
    </row>
    <row r="10187" spans="1:16">
      <c r="A10187" s="3">
        <v>44095.221863425926</v>
      </c>
      <c r="B10187" s="4" t="str">
        <f>HYPERLINK("https://twitter.com/petrogustavo","@petrogustavo")</f>
        <v>@petrogustavo</v>
      </c>
      <c r="C10187" s="5" t="s">
        <v>16</v>
      </c>
      <c r="D10187" s="5" t="s">
        <v>9801</v>
      </c>
      <c r="E10187" s="6" t="str">
        <f>HYPERLINK("https://twitter.com/petrogustavo/status/1307829264784465920","1307829264784465920")</f>
        <v>1307829264784465920</v>
      </c>
      <c r="F10187" s="7" t="s">
        <v>32</v>
      </c>
      <c r="G10187" s="7">
        <v>3979191</v>
      </c>
      <c r="H10187" s="7">
        <v>2439</v>
      </c>
      <c r="I10187" s="7">
        <v>657</v>
      </c>
      <c r="J10187" s="7">
        <v>0</v>
      </c>
      <c r="K10187" s="7" t="s">
        <v>18</v>
      </c>
      <c r="L10187" s="8">
        <v>39987.315405092595</v>
      </c>
      <c r="M10187" s="9" t="s">
        <v>19</v>
      </c>
      <c r="N10187" s="9" t="s">
        <v>20</v>
      </c>
      <c r="O10187" s="6" t="str">
        <f>HYPERLINK("https://pbs.twimg.com/profile_images/962471262747529216/Uo8lOkRJ_normal.jpg","View")</f>
        <v>View</v>
      </c>
      <c r="P10187" s="7"/>
    </row>
    <row r="10188" spans="1:16">
      <c r="A10188" s="3">
        <v>44095.235960648148</v>
      </c>
      <c r="B10188" s="4" t="str">
        <f>HYPERLINK("https://twitter.com/petrogustavo","@petrogustavo")</f>
        <v>@petrogustavo</v>
      </c>
      <c r="C10188" s="5" t="s">
        <v>16</v>
      </c>
      <c r="D10188" s="5" t="s">
        <v>9802</v>
      </c>
      <c r="E10188" s="6" t="str">
        <f>HYPERLINK("https://twitter.com/petrogustavo/status/1307834372746219520","1307834372746219520")</f>
        <v>1307834372746219520</v>
      </c>
      <c r="F10188" s="7" t="s">
        <v>22</v>
      </c>
      <c r="G10188" s="7">
        <v>3979179</v>
      </c>
      <c r="H10188" s="7">
        <v>2439</v>
      </c>
      <c r="I10188" s="7">
        <v>97</v>
      </c>
      <c r="J10188" s="7">
        <v>204</v>
      </c>
      <c r="K10188" s="7" t="s">
        <v>18</v>
      </c>
      <c r="L10188" s="8">
        <v>39987.315405092595</v>
      </c>
      <c r="M10188" s="9" t="s">
        <v>19</v>
      </c>
      <c r="N10188" s="9" t="s">
        <v>20</v>
      </c>
      <c r="O10188" s="6" t="str">
        <f>HYPERLINK("https://pbs.twimg.com/profile_images/962471262747529216/Uo8lOkRJ_normal.jpg","View")</f>
        <v>View</v>
      </c>
      <c r="P10188" s="7"/>
    </row>
    <row r="10189" spans="1:16">
      <c r="A10189" s="3">
        <v>44095.742488425924</v>
      </c>
      <c r="B10189" s="4" t="str">
        <f>HYPERLINK("https://twitter.com/petrogustavo","@petrogustavo")</f>
        <v>@petrogustavo</v>
      </c>
      <c r="C10189" s="5" t="s">
        <v>16</v>
      </c>
      <c r="D10189" s="5" t="s">
        <v>9803</v>
      </c>
      <c r="E10189" s="6" t="str">
        <f>HYPERLINK("https://twitter.com/petrogustavo/status/1308017932665004032","1308017932665004032")</f>
        <v>1308017932665004032</v>
      </c>
      <c r="F10189" s="7" t="s">
        <v>17</v>
      </c>
      <c r="G10189" s="7">
        <v>3979353</v>
      </c>
      <c r="H10189" s="7">
        <v>2439</v>
      </c>
      <c r="I10189" s="7">
        <v>514</v>
      </c>
      <c r="J10189" s="7">
        <v>0</v>
      </c>
      <c r="K10189" s="7" t="s">
        <v>18</v>
      </c>
      <c r="L10189" s="8">
        <v>39987.315405092595</v>
      </c>
      <c r="M10189" s="9" t="s">
        <v>19</v>
      </c>
      <c r="N10189" s="9" t="s">
        <v>20</v>
      </c>
      <c r="O10189" s="6" t="str">
        <f>HYPERLINK("https://pbs.twimg.com/profile_images/962471262747529216/Uo8lOkRJ_normal.jpg","View")</f>
        <v>View</v>
      </c>
      <c r="P10189" s="7"/>
    </row>
    <row r="10190" spans="1:16">
      <c r="A10190" s="3">
        <v>44095.743495370371</v>
      </c>
      <c r="B10190" s="4" t="str">
        <f>HYPERLINK("https://twitter.com/petrogustavo","@petrogustavo")</f>
        <v>@petrogustavo</v>
      </c>
      <c r="C10190" s="5" t="s">
        <v>16</v>
      </c>
      <c r="D10190" s="5" t="s">
        <v>9804</v>
      </c>
      <c r="E10190" s="6" t="str">
        <f>HYPERLINK("https://twitter.com/petrogustavo/status/1308018296059551747","1308018296059551747")</f>
        <v>1308018296059551747</v>
      </c>
      <c r="F10190" s="7" t="s">
        <v>17</v>
      </c>
      <c r="G10190" s="7">
        <v>3979353</v>
      </c>
      <c r="H10190" s="7">
        <v>2439</v>
      </c>
      <c r="I10190" s="7">
        <v>1038</v>
      </c>
      <c r="J10190" s="7">
        <v>0</v>
      </c>
      <c r="K10190" s="7" t="s">
        <v>18</v>
      </c>
      <c r="L10190" s="8">
        <v>39987.315405092595</v>
      </c>
      <c r="M10190" s="9" t="s">
        <v>19</v>
      </c>
      <c r="N10190" s="9" t="s">
        <v>20</v>
      </c>
      <c r="O10190" s="6" t="str">
        <f>HYPERLINK("https://pbs.twimg.com/profile_images/962471262747529216/Uo8lOkRJ_normal.jpg","View")</f>
        <v>View</v>
      </c>
      <c r="P10190" s="7"/>
    </row>
    <row r="10191" spans="1:16">
      <c r="A10191" s="3">
        <v>44095.745173611111</v>
      </c>
      <c r="B10191" s="4" t="str">
        <f>HYPERLINK("https://twitter.com/petrogustavo","@petrogustavo")</f>
        <v>@petrogustavo</v>
      </c>
      <c r="C10191" s="5" t="s">
        <v>16</v>
      </c>
      <c r="D10191" s="5" t="s">
        <v>9805</v>
      </c>
      <c r="E10191" s="6" t="str">
        <f>HYPERLINK("https://twitter.com/petrogustavo/status/1308018905760268289","1308018905760268289")</f>
        <v>1308018905760268289</v>
      </c>
      <c r="F10191" s="7" t="s">
        <v>17</v>
      </c>
      <c r="G10191" s="7">
        <v>3979353</v>
      </c>
      <c r="H10191" s="7">
        <v>2439</v>
      </c>
      <c r="I10191" s="7">
        <v>255</v>
      </c>
      <c r="J10191" s="7">
        <v>471</v>
      </c>
      <c r="K10191" s="7" t="s">
        <v>18</v>
      </c>
      <c r="L10191" s="8">
        <v>39987.315405092595</v>
      </c>
      <c r="M10191" s="9" t="s">
        <v>19</v>
      </c>
      <c r="N10191" s="9" t="s">
        <v>20</v>
      </c>
      <c r="O10191" s="6" t="str">
        <f>HYPERLINK("https://pbs.twimg.com/profile_images/962471262747529216/Uo8lOkRJ_normal.jpg","View")</f>
        <v>View</v>
      </c>
      <c r="P10191" s="7"/>
    </row>
    <row r="10192" spans="1:16">
      <c r="A10192" s="3">
        <v>44095.745995370366</v>
      </c>
      <c r="B10192" s="4" t="str">
        <f>HYPERLINK("https://twitter.com/petrogustavo","@petrogustavo")</f>
        <v>@petrogustavo</v>
      </c>
      <c r="C10192" s="5" t="s">
        <v>16</v>
      </c>
      <c r="D10192" s="5" t="s">
        <v>9806</v>
      </c>
      <c r="E10192" s="6" t="str">
        <f>HYPERLINK("https://twitter.com/petrogustavo/status/1308019203937632256","1308019203937632256")</f>
        <v>1308019203937632256</v>
      </c>
      <c r="F10192" s="7" t="s">
        <v>17</v>
      </c>
      <c r="G10192" s="7">
        <v>3979353</v>
      </c>
      <c r="H10192" s="7">
        <v>2439</v>
      </c>
      <c r="I10192" s="7">
        <v>56</v>
      </c>
      <c r="J10192" s="7">
        <v>0</v>
      </c>
      <c r="K10192" s="7" t="s">
        <v>18</v>
      </c>
      <c r="L10192" s="8">
        <v>39987.315405092595</v>
      </c>
      <c r="M10192" s="9" t="s">
        <v>19</v>
      </c>
      <c r="N10192" s="9" t="s">
        <v>20</v>
      </c>
      <c r="O10192" s="6" t="str">
        <f>HYPERLINK("https://pbs.twimg.com/profile_images/962471262747529216/Uo8lOkRJ_normal.jpg","View")</f>
        <v>View</v>
      </c>
      <c r="P10192" s="7"/>
    </row>
    <row r="10193" spans="1:16">
      <c r="A10193" s="3">
        <v>44095.747384259259</v>
      </c>
      <c r="B10193" s="4" t="str">
        <f>HYPERLINK("https://twitter.com/petrogustavo","@petrogustavo")</f>
        <v>@petrogustavo</v>
      </c>
      <c r="C10193" s="5" t="s">
        <v>16</v>
      </c>
      <c r="D10193" s="5" t="s">
        <v>9807</v>
      </c>
      <c r="E10193" s="6" t="str">
        <f>HYPERLINK("https://twitter.com/petrogustavo/status/1308019706125787136","1308019706125787136")</f>
        <v>1308019706125787136</v>
      </c>
      <c r="F10193" s="7" t="s">
        <v>17</v>
      </c>
      <c r="G10193" s="7">
        <v>3979353</v>
      </c>
      <c r="H10193" s="7">
        <v>2439</v>
      </c>
      <c r="I10193" s="7">
        <v>787</v>
      </c>
      <c r="J10193" s="7">
        <v>2918</v>
      </c>
      <c r="K10193" s="7" t="s">
        <v>18</v>
      </c>
      <c r="L10193" s="8">
        <v>39987.315405092595</v>
      </c>
      <c r="M10193" s="9" t="s">
        <v>19</v>
      </c>
      <c r="N10193" s="9" t="s">
        <v>20</v>
      </c>
      <c r="O10193" s="6" t="str">
        <f>HYPERLINK("https://pbs.twimg.com/profile_images/962471262747529216/Uo8lOkRJ_normal.jpg","View")</f>
        <v>View</v>
      </c>
      <c r="P10193" s="7"/>
    </row>
    <row r="10194" spans="1:16">
      <c r="A10194" s="3">
        <v>44095.768726851849</v>
      </c>
      <c r="B10194" s="4" t="str">
        <f>HYPERLINK("https://twitter.com/petrogustavo","@petrogustavo")</f>
        <v>@petrogustavo</v>
      </c>
      <c r="C10194" s="5" t="s">
        <v>16</v>
      </c>
      <c r="D10194" s="5" t="s">
        <v>9808</v>
      </c>
      <c r="E10194" s="6" t="str">
        <f>HYPERLINK("https://twitter.com/petrogustavo/status/1308027439013134337","1308027439013134337")</f>
        <v>1308027439013134337</v>
      </c>
      <c r="F10194" s="7" t="s">
        <v>17</v>
      </c>
      <c r="G10194" s="7">
        <v>3979353</v>
      </c>
      <c r="H10194" s="7">
        <v>2439</v>
      </c>
      <c r="I10194" s="7">
        <v>55</v>
      </c>
      <c r="J10194" s="7">
        <v>132</v>
      </c>
      <c r="K10194" s="7" t="s">
        <v>18</v>
      </c>
      <c r="L10194" s="8">
        <v>39987.315405092595</v>
      </c>
      <c r="M10194" s="9" t="s">
        <v>19</v>
      </c>
      <c r="N10194" s="9" t="s">
        <v>20</v>
      </c>
      <c r="O10194" s="6" t="str">
        <f>HYPERLINK("https://pbs.twimg.com/profile_images/962471262747529216/Uo8lOkRJ_normal.jpg","View")</f>
        <v>View</v>
      </c>
      <c r="P10194" s="7"/>
    </row>
    <row r="10195" spans="1:16">
      <c r="A10195" s="3">
        <v>44095.780023148152</v>
      </c>
      <c r="B10195" s="4" t="str">
        <f>HYPERLINK("https://twitter.com/petrogustavo","@petrogustavo")</f>
        <v>@petrogustavo</v>
      </c>
      <c r="C10195" s="5" t="s">
        <v>16</v>
      </c>
      <c r="D10195" s="5" t="s">
        <v>9809</v>
      </c>
      <c r="E10195" s="6" t="str">
        <f>HYPERLINK("https://twitter.com/petrogustavo/status/1308031535292051456","1308031535292051456")</f>
        <v>1308031535292051456</v>
      </c>
      <c r="F10195" s="7" t="s">
        <v>17</v>
      </c>
      <c r="G10195" s="7">
        <v>3979357</v>
      </c>
      <c r="H10195" s="7">
        <v>2439</v>
      </c>
      <c r="I10195" s="7">
        <v>23</v>
      </c>
      <c r="J10195" s="7">
        <v>0</v>
      </c>
      <c r="K10195" s="7" t="s">
        <v>18</v>
      </c>
      <c r="L10195" s="8">
        <v>39987.315405092595</v>
      </c>
      <c r="M10195" s="9" t="s">
        <v>19</v>
      </c>
      <c r="N10195" s="9" t="s">
        <v>20</v>
      </c>
      <c r="O10195" s="6" t="str">
        <f>HYPERLINK("https://pbs.twimg.com/profile_images/962471262747529216/Uo8lOkRJ_normal.jpg","View")</f>
        <v>View</v>
      </c>
      <c r="P10195" s="7"/>
    </row>
    <row r="10196" spans="1:16">
      <c r="A10196" s="3">
        <v>44095.780150462961</v>
      </c>
      <c r="B10196" s="4" t="str">
        <f>HYPERLINK("https://twitter.com/petrogustavo","@petrogustavo")</f>
        <v>@petrogustavo</v>
      </c>
      <c r="C10196" s="5" t="s">
        <v>16</v>
      </c>
      <c r="D10196" s="5" t="s">
        <v>9810</v>
      </c>
      <c r="E10196" s="6" t="str">
        <f>HYPERLINK("https://twitter.com/petrogustavo/status/1308031580988997632","1308031580988997632")</f>
        <v>1308031580988997632</v>
      </c>
      <c r="F10196" s="7" t="s">
        <v>17</v>
      </c>
      <c r="G10196" s="7">
        <v>3979357</v>
      </c>
      <c r="H10196" s="7">
        <v>2439</v>
      </c>
      <c r="I10196" s="7">
        <v>474</v>
      </c>
      <c r="J10196" s="7">
        <v>0</v>
      </c>
      <c r="K10196" s="7" t="s">
        <v>18</v>
      </c>
      <c r="L10196" s="8">
        <v>39987.315405092595</v>
      </c>
      <c r="M10196" s="9" t="s">
        <v>19</v>
      </c>
      <c r="N10196" s="9" t="s">
        <v>20</v>
      </c>
      <c r="O10196" s="6" t="str">
        <f>HYPERLINK("https://pbs.twimg.com/profile_images/962471262747529216/Uo8lOkRJ_normal.jpg","View")</f>
        <v>View</v>
      </c>
      <c r="P10196" s="7"/>
    </row>
    <row r="10197" spans="1:16">
      <c r="A10197" s="3">
        <v>44095.782650462963</v>
      </c>
      <c r="B10197" s="4" t="str">
        <f>HYPERLINK("https://twitter.com/petrogustavo","@petrogustavo")</f>
        <v>@petrogustavo</v>
      </c>
      <c r="C10197" s="5" t="s">
        <v>16</v>
      </c>
      <c r="D10197" s="5" t="s">
        <v>9811</v>
      </c>
      <c r="E10197" s="6" t="str">
        <f>HYPERLINK("https://twitter.com/petrogustavo/status/1308032485775863808","1308032485775863808")</f>
        <v>1308032485775863808</v>
      </c>
      <c r="F10197" s="7" t="s">
        <v>17</v>
      </c>
      <c r="G10197" s="7">
        <v>3979357</v>
      </c>
      <c r="H10197" s="7">
        <v>2439</v>
      </c>
      <c r="I10197" s="7">
        <v>104</v>
      </c>
      <c r="J10197" s="7">
        <v>216</v>
      </c>
      <c r="K10197" s="7" t="s">
        <v>18</v>
      </c>
      <c r="L10197" s="8">
        <v>39987.315405092595</v>
      </c>
      <c r="M10197" s="9" t="s">
        <v>19</v>
      </c>
      <c r="N10197" s="9" t="s">
        <v>20</v>
      </c>
      <c r="O10197" s="6" t="str">
        <f>HYPERLINK("https://pbs.twimg.com/profile_images/962471262747529216/Uo8lOkRJ_normal.jpg","View")</f>
        <v>View</v>
      </c>
      <c r="P10197" s="7"/>
    </row>
    <row r="10198" spans="1:16">
      <c r="A10198" s="3">
        <v>44095.783564814818</v>
      </c>
      <c r="B10198" s="4" t="str">
        <f>HYPERLINK("https://twitter.com/petrogustavo","@petrogustavo")</f>
        <v>@petrogustavo</v>
      </c>
      <c r="C10198" s="5" t="s">
        <v>16</v>
      </c>
      <c r="D10198" s="5" t="s">
        <v>9812</v>
      </c>
      <c r="E10198" s="6" t="str">
        <f>HYPERLINK("https://twitter.com/petrogustavo/status/1308032818480582656","1308032818480582656")</f>
        <v>1308032818480582656</v>
      </c>
      <c r="F10198" s="7" t="s">
        <v>17</v>
      </c>
      <c r="G10198" s="7">
        <v>3979357</v>
      </c>
      <c r="H10198" s="7">
        <v>2439</v>
      </c>
      <c r="I10198" s="7">
        <v>185</v>
      </c>
      <c r="J10198" s="7">
        <v>513</v>
      </c>
      <c r="K10198" s="7" t="s">
        <v>18</v>
      </c>
      <c r="L10198" s="8">
        <v>39987.315405092595</v>
      </c>
      <c r="M10198" s="9" t="s">
        <v>19</v>
      </c>
      <c r="N10198" s="9" t="s">
        <v>20</v>
      </c>
      <c r="O10198" s="6" t="str">
        <f>HYPERLINK("https://pbs.twimg.com/profile_images/962471262747529216/Uo8lOkRJ_normal.jpg","View")</f>
        <v>View</v>
      </c>
      <c r="P10198" s="7"/>
    </row>
    <row r="10199" spans="1:16">
      <c r="A10199" s="3">
        <v>44095.784745370373</v>
      </c>
      <c r="B10199" s="4" t="str">
        <f>HYPERLINK("https://twitter.com/petrogustavo","@petrogustavo")</f>
        <v>@petrogustavo</v>
      </c>
      <c r="C10199" s="5" t="s">
        <v>16</v>
      </c>
      <c r="D10199" s="5" t="s">
        <v>9813</v>
      </c>
      <c r="E10199" s="6" t="str">
        <f>HYPERLINK("https://twitter.com/petrogustavo/status/1308033246790406148","1308033246790406148")</f>
        <v>1308033246790406148</v>
      </c>
      <c r="F10199" s="7" t="s">
        <v>17</v>
      </c>
      <c r="G10199" s="7">
        <v>3979357</v>
      </c>
      <c r="H10199" s="7">
        <v>2439</v>
      </c>
      <c r="I10199" s="7">
        <v>110</v>
      </c>
      <c r="J10199" s="7">
        <v>178</v>
      </c>
      <c r="K10199" s="7" t="s">
        <v>18</v>
      </c>
      <c r="L10199" s="8">
        <v>39987.315405092595</v>
      </c>
      <c r="M10199" s="9" t="s">
        <v>19</v>
      </c>
      <c r="N10199" s="9" t="s">
        <v>20</v>
      </c>
      <c r="O10199" s="6" t="str">
        <f>HYPERLINK("https://pbs.twimg.com/profile_images/962471262747529216/Uo8lOkRJ_normal.jpg","View")</f>
        <v>View</v>
      </c>
      <c r="P10199" s="7"/>
    </row>
    <row r="10200" spans="1:16">
      <c r="A10200" s="3">
        <v>44095.788310185184</v>
      </c>
      <c r="B10200" s="4" t="str">
        <f>HYPERLINK("https://twitter.com/petrogustavo","@petrogustavo")</f>
        <v>@petrogustavo</v>
      </c>
      <c r="C10200" s="5" t="s">
        <v>16</v>
      </c>
      <c r="D10200" s="5" t="s">
        <v>9814</v>
      </c>
      <c r="E10200" s="6" t="str">
        <f>HYPERLINK("https://twitter.com/petrogustavo/status/1308034537205698560","1308034537205698560")</f>
        <v>1308034537205698560</v>
      </c>
      <c r="F10200" s="7" t="s">
        <v>17</v>
      </c>
      <c r="G10200" s="7">
        <v>3979357</v>
      </c>
      <c r="H10200" s="7">
        <v>2439</v>
      </c>
      <c r="I10200" s="7">
        <v>74</v>
      </c>
      <c r="J10200" s="7">
        <v>170</v>
      </c>
      <c r="K10200" s="7" t="s">
        <v>18</v>
      </c>
      <c r="L10200" s="8">
        <v>39987.315405092595</v>
      </c>
      <c r="M10200" s="9" t="s">
        <v>19</v>
      </c>
      <c r="N10200" s="9" t="s">
        <v>20</v>
      </c>
      <c r="O10200" s="6" t="str">
        <f>HYPERLINK("https://pbs.twimg.com/profile_images/962471262747529216/Uo8lOkRJ_normal.jpg","View")</f>
        <v>View</v>
      </c>
      <c r="P10200" s="7"/>
    </row>
    <row r="10201" spans="1:16">
      <c r="A10201" s="3">
        <v>44095.792013888888</v>
      </c>
      <c r="B10201" s="4" t="str">
        <f>HYPERLINK("https://twitter.com/petrogustavo","@petrogustavo")</f>
        <v>@petrogustavo</v>
      </c>
      <c r="C10201" s="5" t="s">
        <v>16</v>
      </c>
      <c r="D10201" s="5" t="s">
        <v>9815</v>
      </c>
      <c r="E10201" s="6" t="str">
        <f>HYPERLINK("https://twitter.com/petrogustavo/status/1308035881383727106","1308035881383727106")</f>
        <v>1308035881383727106</v>
      </c>
      <c r="F10201" s="7" t="s">
        <v>17</v>
      </c>
      <c r="G10201" s="7">
        <v>3979357</v>
      </c>
      <c r="H10201" s="7">
        <v>2439</v>
      </c>
      <c r="I10201" s="7">
        <v>30</v>
      </c>
      <c r="J10201" s="7">
        <v>60</v>
      </c>
      <c r="K10201" s="7" t="s">
        <v>18</v>
      </c>
      <c r="L10201" s="8">
        <v>39987.315405092595</v>
      </c>
      <c r="M10201" s="9" t="s">
        <v>19</v>
      </c>
      <c r="N10201" s="9" t="s">
        <v>20</v>
      </c>
      <c r="O10201" s="6" t="str">
        <f>HYPERLINK("https://pbs.twimg.com/profile_images/962471262747529216/Uo8lOkRJ_normal.jpg","View")</f>
        <v>View</v>
      </c>
      <c r="P10201" s="7"/>
    </row>
    <row r="10202" spans="1:16">
      <c r="A10202" s="3">
        <v>44095.81049768519</v>
      </c>
      <c r="B10202" s="4" t="str">
        <f>HYPERLINK("https://twitter.com/petrogustavo","@petrogustavo")</f>
        <v>@petrogustavo</v>
      </c>
      <c r="C10202" s="5" t="s">
        <v>16</v>
      </c>
      <c r="D10202" s="5" t="s">
        <v>9816</v>
      </c>
      <c r="E10202" s="6" t="str">
        <f>HYPERLINK("https://twitter.com/petrogustavo/status/1308042577950715904","1308042577950715904")</f>
        <v>1308042577950715904</v>
      </c>
      <c r="F10202" s="7" t="s">
        <v>32</v>
      </c>
      <c r="G10202" s="7">
        <v>3979352</v>
      </c>
      <c r="H10202" s="7">
        <v>2439</v>
      </c>
      <c r="I10202" s="7">
        <v>394</v>
      </c>
      <c r="J10202" s="7">
        <v>0</v>
      </c>
      <c r="K10202" s="7" t="s">
        <v>18</v>
      </c>
      <c r="L10202" s="8">
        <v>39987.315405092595</v>
      </c>
      <c r="M10202" s="9" t="s">
        <v>19</v>
      </c>
      <c r="N10202" s="9" t="s">
        <v>20</v>
      </c>
      <c r="O10202" s="6" t="str">
        <f>HYPERLINK("https://pbs.twimg.com/profile_images/962471262747529216/Uo8lOkRJ_normal.jpg","View")</f>
        <v>View</v>
      </c>
      <c r="P10202" s="7"/>
    </row>
    <row r="10203" spans="1:16">
      <c r="A10203" s="3">
        <v>44095.81077546296</v>
      </c>
      <c r="B10203" s="4" t="str">
        <f>HYPERLINK("https://twitter.com/petrogustavo","@petrogustavo")</f>
        <v>@petrogustavo</v>
      </c>
      <c r="C10203" s="5" t="s">
        <v>16</v>
      </c>
      <c r="D10203" s="5" t="s">
        <v>9817</v>
      </c>
      <c r="E10203" s="6" t="str">
        <f>HYPERLINK("https://twitter.com/petrogustavo/status/1308042678748160001","1308042678748160001")</f>
        <v>1308042678748160001</v>
      </c>
      <c r="F10203" s="7" t="s">
        <v>32</v>
      </c>
      <c r="G10203" s="7">
        <v>3979352</v>
      </c>
      <c r="H10203" s="7">
        <v>2439</v>
      </c>
      <c r="I10203" s="7">
        <v>1569</v>
      </c>
      <c r="J10203" s="7">
        <v>0</v>
      </c>
      <c r="K10203" s="7" t="s">
        <v>18</v>
      </c>
      <c r="L10203" s="8">
        <v>39987.315405092595</v>
      </c>
      <c r="M10203" s="9" t="s">
        <v>19</v>
      </c>
      <c r="N10203" s="9" t="s">
        <v>20</v>
      </c>
      <c r="O10203" s="6" t="str">
        <f>HYPERLINK("https://pbs.twimg.com/profile_images/962471262747529216/Uo8lOkRJ_normal.jpg","View")</f>
        <v>View</v>
      </c>
      <c r="P10203" s="7"/>
    </row>
    <row r="10204" spans="1:16">
      <c r="A10204" s="3">
        <v>44095.812824074077</v>
      </c>
      <c r="B10204" s="4" t="str">
        <f>HYPERLINK("https://twitter.com/petrogustavo","@petrogustavo")</f>
        <v>@petrogustavo</v>
      </c>
      <c r="C10204" s="5" t="s">
        <v>16</v>
      </c>
      <c r="D10204" s="5" t="s">
        <v>9818</v>
      </c>
      <c r="E10204" s="6" t="str">
        <f>HYPERLINK("https://twitter.com/petrogustavo/status/1308043420586344449","1308043420586344449")</f>
        <v>1308043420586344449</v>
      </c>
      <c r="F10204" s="7" t="s">
        <v>32</v>
      </c>
      <c r="G10204" s="7">
        <v>3979352</v>
      </c>
      <c r="H10204" s="7">
        <v>2439</v>
      </c>
      <c r="I10204" s="7">
        <v>27</v>
      </c>
      <c r="J10204" s="7">
        <v>0</v>
      </c>
      <c r="K10204" s="7" t="s">
        <v>18</v>
      </c>
      <c r="L10204" s="8">
        <v>39987.315405092595</v>
      </c>
      <c r="M10204" s="9" t="s">
        <v>19</v>
      </c>
      <c r="N10204" s="9" t="s">
        <v>20</v>
      </c>
      <c r="O10204" s="6" t="str">
        <f>HYPERLINK("https://pbs.twimg.com/profile_images/962471262747529216/Uo8lOkRJ_normal.jpg","View")</f>
        <v>View</v>
      </c>
      <c r="P10204" s="7"/>
    </row>
    <row r="10205" spans="1:16">
      <c r="A10205" s="3">
        <v>44095.815671296295</v>
      </c>
      <c r="B10205" s="4" t="str">
        <f>HYPERLINK("https://twitter.com/petrogustavo","@petrogustavo")</f>
        <v>@petrogustavo</v>
      </c>
      <c r="C10205" s="5" t="s">
        <v>16</v>
      </c>
      <c r="D10205" s="5" t="s">
        <v>9819</v>
      </c>
      <c r="E10205" s="6" t="str">
        <f>HYPERLINK("https://twitter.com/petrogustavo/status/1308044453026951169","1308044453026951169")</f>
        <v>1308044453026951169</v>
      </c>
      <c r="F10205" s="7" t="s">
        <v>32</v>
      </c>
      <c r="G10205" s="7">
        <v>3979353</v>
      </c>
      <c r="H10205" s="7">
        <v>2439</v>
      </c>
      <c r="I10205" s="7">
        <v>170</v>
      </c>
      <c r="J10205" s="7">
        <v>0</v>
      </c>
      <c r="K10205" s="7" t="s">
        <v>18</v>
      </c>
      <c r="L10205" s="8">
        <v>39987.315405092595</v>
      </c>
      <c r="M10205" s="9" t="s">
        <v>19</v>
      </c>
      <c r="N10205" s="9" t="s">
        <v>20</v>
      </c>
      <c r="O10205" s="6" t="str">
        <f>HYPERLINK("https://pbs.twimg.com/profile_images/962471262747529216/Uo8lOkRJ_normal.jpg","View")</f>
        <v>View</v>
      </c>
      <c r="P10205" s="7"/>
    </row>
    <row r="10206" spans="1:16">
      <c r="A10206" s="3">
        <v>44095.816724537042</v>
      </c>
      <c r="B10206" s="4" t="str">
        <f>HYPERLINK("https://twitter.com/petrogustavo","@petrogustavo")</f>
        <v>@petrogustavo</v>
      </c>
      <c r="C10206" s="5" t="s">
        <v>16</v>
      </c>
      <c r="D10206" s="5" t="s">
        <v>9820</v>
      </c>
      <c r="E10206" s="6" t="str">
        <f>HYPERLINK("https://twitter.com/petrogustavo/status/1308044832674394114","1308044832674394114")</f>
        <v>1308044832674394114</v>
      </c>
      <c r="F10206" s="7" t="s">
        <v>32</v>
      </c>
      <c r="G10206" s="7">
        <v>3979353</v>
      </c>
      <c r="H10206" s="7">
        <v>2439</v>
      </c>
      <c r="I10206" s="7">
        <v>184</v>
      </c>
      <c r="J10206" s="7">
        <v>490</v>
      </c>
      <c r="K10206" s="7" t="s">
        <v>18</v>
      </c>
      <c r="L10206" s="8">
        <v>39987.315405092595</v>
      </c>
      <c r="M10206" s="9" t="s">
        <v>19</v>
      </c>
      <c r="N10206" s="9" t="s">
        <v>20</v>
      </c>
      <c r="O10206" s="6" t="str">
        <f>HYPERLINK("https://pbs.twimg.com/profile_images/962471262747529216/Uo8lOkRJ_normal.jpg","View")</f>
        <v>View</v>
      </c>
      <c r="P10206" s="7"/>
    </row>
    <row r="10207" spans="1:16">
      <c r="A10207" s="3">
        <v>44095.828425925924</v>
      </c>
      <c r="B10207" s="4" t="str">
        <f>HYPERLINK("https://twitter.com/petrogustavo","@petrogustavo")</f>
        <v>@petrogustavo</v>
      </c>
      <c r="C10207" s="5" t="s">
        <v>16</v>
      </c>
      <c r="D10207" s="5" t="s">
        <v>9821</v>
      </c>
      <c r="E10207" s="6" t="str">
        <f>HYPERLINK("https://twitter.com/petrogustavo/status/1308049073388355585","1308049073388355585")</f>
        <v>1308049073388355585</v>
      </c>
      <c r="F10207" s="7" t="s">
        <v>21</v>
      </c>
      <c r="G10207" s="7">
        <v>3979353</v>
      </c>
      <c r="H10207" s="7">
        <v>2439</v>
      </c>
      <c r="I10207" s="7">
        <v>31</v>
      </c>
      <c r="J10207" s="7">
        <v>111</v>
      </c>
      <c r="K10207" s="7" t="s">
        <v>18</v>
      </c>
      <c r="L10207" s="8">
        <v>39987.315405092595</v>
      </c>
      <c r="M10207" s="9" t="s">
        <v>19</v>
      </c>
      <c r="N10207" s="9" t="s">
        <v>20</v>
      </c>
      <c r="O10207" s="6" t="str">
        <f>HYPERLINK("https://pbs.twimg.com/profile_images/962471262747529216/Uo8lOkRJ_normal.jpg","View")</f>
        <v>View</v>
      </c>
      <c r="P10207" s="7"/>
    </row>
    <row r="10208" spans="1:16">
      <c r="A10208" s="3">
        <v>44095.831643518519</v>
      </c>
      <c r="B10208" s="4" t="str">
        <f>HYPERLINK("https://twitter.com/petrogustavo","@petrogustavo")</f>
        <v>@petrogustavo</v>
      </c>
      <c r="C10208" s="5" t="s">
        <v>16</v>
      </c>
      <c r="D10208" s="5" t="s">
        <v>9822</v>
      </c>
      <c r="E10208" s="6" t="str">
        <f>HYPERLINK("https://twitter.com/petrogustavo/status/1308050240453382145","1308050240453382145")</f>
        <v>1308050240453382145</v>
      </c>
      <c r="F10208" s="7" t="s">
        <v>21</v>
      </c>
      <c r="G10208" s="7">
        <v>3979353</v>
      </c>
      <c r="H10208" s="7">
        <v>2439</v>
      </c>
      <c r="I10208" s="7">
        <v>18</v>
      </c>
      <c r="J10208" s="7">
        <v>62</v>
      </c>
      <c r="K10208" s="7" t="s">
        <v>18</v>
      </c>
      <c r="L10208" s="8">
        <v>39987.315405092595</v>
      </c>
      <c r="M10208" s="9" t="s">
        <v>19</v>
      </c>
      <c r="N10208" s="9" t="s">
        <v>20</v>
      </c>
      <c r="O10208" s="6" t="str">
        <f>HYPERLINK("https://pbs.twimg.com/profile_images/962471262747529216/Uo8lOkRJ_normal.jpg","View")</f>
        <v>View</v>
      </c>
      <c r="P10208" s="7"/>
    </row>
    <row r="10209" spans="1:16">
      <c r="A10209" s="3">
        <v>44095.932256944448</v>
      </c>
      <c r="B10209" s="4" t="str">
        <f>HYPERLINK("https://twitter.com/petrogustavo","@petrogustavo")</f>
        <v>@petrogustavo</v>
      </c>
      <c r="C10209" s="5" t="s">
        <v>16</v>
      </c>
      <c r="D10209" s="5" t="s">
        <v>9823</v>
      </c>
      <c r="E10209" s="6" t="str">
        <f>HYPERLINK("https://twitter.com/petrogustavo/status/1308086703597457410","1308086703597457410")</f>
        <v>1308086703597457410</v>
      </c>
      <c r="F10209" s="7" t="s">
        <v>32</v>
      </c>
      <c r="G10209" s="7">
        <v>3979443</v>
      </c>
      <c r="H10209" s="7">
        <v>2440</v>
      </c>
      <c r="I10209" s="7">
        <v>36</v>
      </c>
      <c r="J10209" s="7">
        <v>0</v>
      </c>
      <c r="K10209" s="7" t="s">
        <v>18</v>
      </c>
      <c r="L10209" s="8">
        <v>39987.315405092595</v>
      </c>
      <c r="M10209" s="9" t="s">
        <v>19</v>
      </c>
      <c r="N10209" s="9" t="s">
        <v>20</v>
      </c>
      <c r="O10209" s="6" t="str">
        <f>HYPERLINK("https://pbs.twimg.com/profile_images/962471262747529216/Uo8lOkRJ_normal.jpg","View")</f>
        <v>View</v>
      </c>
      <c r="P10209" s="7"/>
    </row>
    <row r="10210" spans="1:16">
      <c r="A10210" s="3">
        <v>44095.936423611114</v>
      </c>
      <c r="B10210" s="4" t="str">
        <f>HYPERLINK("https://twitter.com/petrogustavo","@petrogustavo")</f>
        <v>@petrogustavo</v>
      </c>
      <c r="C10210" s="5" t="s">
        <v>16</v>
      </c>
      <c r="D10210" s="5" t="s">
        <v>9824</v>
      </c>
      <c r="E10210" s="6" t="str">
        <f>HYPERLINK("https://twitter.com/petrogustavo/status/1308088212347379717","1308088212347379717")</f>
        <v>1308088212347379717</v>
      </c>
      <c r="F10210" s="7" t="s">
        <v>32</v>
      </c>
      <c r="G10210" s="7">
        <v>3979443</v>
      </c>
      <c r="H10210" s="7">
        <v>2440</v>
      </c>
      <c r="I10210" s="7">
        <v>133</v>
      </c>
      <c r="J10210" s="7">
        <v>0</v>
      </c>
      <c r="K10210" s="7" t="s">
        <v>18</v>
      </c>
      <c r="L10210" s="8">
        <v>39987.315405092595</v>
      </c>
      <c r="M10210" s="9" t="s">
        <v>19</v>
      </c>
      <c r="N10210" s="9" t="s">
        <v>20</v>
      </c>
      <c r="O10210" s="6" t="str">
        <f>HYPERLINK("https://pbs.twimg.com/profile_images/962471262747529216/Uo8lOkRJ_normal.jpg","View")</f>
        <v>View</v>
      </c>
      <c r="P10210" s="7"/>
    </row>
    <row r="10211" spans="1:16">
      <c r="A10211" s="3">
        <v>44095.936469907407</v>
      </c>
      <c r="B10211" s="4" t="str">
        <f>HYPERLINK("https://twitter.com/petrogustavo","@petrogustavo")</f>
        <v>@petrogustavo</v>
      </c>
      <c r="C10211" s="5" t="s">
        <v>16</v>
      </c>
      <c r="D10211" s="5" t="s">
        <v>9825</v>
      </c>
      <c r="E10211" s="6" t="str">
        <f>HYPERLINK("https://twitter.com/petrogustavo/status/1308088226956091392","1308088226956091392")</f>
        <v>1308088226956091392</v>
      </c>
      <c r="F10211" s="7" t="s">
        <v>32</v>
      </c>
      <c r="G10211" s="7">
        <v>3979443</v>
      </c>
      <c r="H10211" s="7">
        <v>2440</v>
      </c>
      <c r="I10211" s="7">
        <v>136</v>
      </c>
      <c r="J10211" s="7">
        <v>0</v>
      </c>
      <c r="K10211" s="7" t="s">
        <v>18</v>
      </c>
      <c r="L10211" s="8">
        <v>39987.315405092595</v>
      </c>
      <c r="M10211" s="9" t="s">
        <v>19</v>
      </c>
      <c r="N10211" s="9" t="s">
        <v>20</v>
      </c>
      <c r="O10211" s="6" t="str">
        <f>HYPERLINK("https://pbs.twimg.com/profile_images/962471262747529216/Uo8lOkRJ_normal.jpg","View")</f>
        <v>View</v>
      </c>
      <c r="P10211" s="7"/>
    </row>
    <row r="10212" spans="1:16">
      <c r="A10212" s="3">
        <v>44096.008750000001</v>
      </c>
      <c r="B10212" s="4" t="str">
        <f>HYPERLINK("https://twitter.com/petrogustavo","@petrogustavo")</f>
        <v>@petrogustavo</v>
      </c>
      <c r="C10212" s="5" t="s">
        <v>16</v>
      </c>
      <c r="D10212" s="5" t="s">
        <v>9826</v>
      </c>
      <c r="E10212" s="6" t="str">
        <f>HYPERLINK("https://twitter.com/petrogustavo/status/1308114421001138176","1308114421001138176")</f>
        <v>1308114421001138176</v>
      </c>
      <c r="F10212" s="7" t="s">
        <v>17</v>
      </c>
      <c r="G10212" s="7">
        <v>3979491</v>
      </c>
      <c r="H10212" s="7">
        <v>2440</v>
      </c>
      <c r="I10212" s="7">
        <v>79</v>
      </c>
      <c r="J10212" s="7">
        <v>0</v>
      </c>
      <c r="K10212" s="7" t="s">
        <v>18</v>
      </c>
      <c r="L10212" s="8">
        <v>39987.315405092595</v>
      </c>
      <c r="M10212" s="9" t="s">
        <v>19</v>
      </c>
      <c r="N10212" s="9" t="s">
        <v>20</v>
      </c>
      <c r="O10212" s="6" t="str">
        <f>HYPERLINK("https://pbs.twimg.com/profile_images/962471262747529216/Uo8lOkRJ_normal.jpg","View")</f>
        <v>View</v>
      </c>
      <c r="P10212" s="7"/>
    </row>
    <row r="10213" spans="1:16">
      <c r="A10213" s="3">
        <v>44096.00880787037</v>
      </c>
      <c r="B10213" s="4" t="str">
        <f>HYPERLINK("https://twitter.com/petrogustavo","@petrogustavo")</f>
        <v>@petrogustavo</v>
      </c>
      <c r="C10213" s="5" t="s">
        <v>16</v>
      </c>
      <c r="D10213" s="5" t="s">
        <v>9827</v>
      </c>
      <c r="E10213" s="6" t="str">
        <f>HYPERLINK("https://twitter.com/petrogustavo/status/1308114443344187395","1308114443344187395")</f>
        <v>1308114443344187395</v>
      </c>
      <c r="F10213" s="7" t="s">
        <v>17</v>
      </c>
      <c r="G10213" s="7">
        <v>3979491</v>
      </c>
      <c r="H10213" s="7">
        <v>2440</v>
      </c>
      <c r="I10213" s="7">
        <v>155</v>
      </c>
      <c r="J10213" s="7">
        <v>0</v>
      </c>
      <c r="K10213" s="7" t="s">
        <v>18</v>
      </c>
      <c r="L10213" s="8">
        <v>39987.315405092595</v>
      </c>
      <c r="M10213" s="9" t="s">
        <v>19</v>
      </c>
      <c r="N10213" s="9" t="s">
        <v>20</v>
      </c>
      <c r="O10213" s="6" t="str">
        <f>HYPERLINK("https://pbs.twimg.com/profile_images/962471262747529216/Uo8lOkRJ_normal.jpg","View")</f>
        <v>View</v>
      </c>
      <c r="P10213" s="7"/>
    </row>
    <row r="10214" spans="1:16">
      <c r="A10214" s="3">
        <v>44096.009756944448</v>
      </c>
      <c r="B10214" s="4" t="str">
        <f>HYPERLINK("https://twitter.com/petrogustavo","@petrogustavo")</f>
        <v>@petrogustavo</v>
      </c>
      <c r="C10214" s="5" t="s">
        <v>16</v>
      </c>
      <c r="D10214" s="5" t="s">
        <v>9828</v>
      </c>
      <c r="E10214" s="6" t="str">
        <f>HYPERLINK("https://twitter.com/petrogustavo/status/1308114788116037638","1308114788116037638")</f>
        <v>1308114788116037638</v>
      </c>
      <c r="F10214" s="7" t="s">
        <v>17</v>
      </c>
      <c r="G10214" s="7">
        <v>3979491</v>
      </c>
      <c r="H10214" s="7">
        <v>2440</v>
      </c>
      <c r="I10214" s="7">
        <v>319</v>
      </c>
      <c r="J10214" s="7">
        <v>1008</v>
      </c>
      <c r="K10214" s="7" t="s">
        <v>18</v>
      </c>
      <c r="L10214" s="8">
        <v>39987.315405092595</v>
      </c>
      <c r="M10214" s="9" t="s">
        <v>19</v>
      </c>
      <c r="N10214" s="9" t="s">
        <v>20</v>
      </c>
      <c r="O10214" s="6" t="str">
        <f>HYPERLINK("https://pbs.twimg.com/profile_images/962471262747529216/Uo8lOkRJ_normal.jpg","View")</f>
        <v>View</v>
      </c>
      <c r="P10214" s="7"/>
    </row>
    <row r="10215" spans="1:16">
      <c r="A10215" s="3">
        <v>44096.040532407409</v>
      </c>
      <c r="B10215" s="4" t="str">
        <f>HYPERLINK("https://twitter.com/petrogustavo","@petrogustavo")</f>
        <v>@petrogustavo</v>
      </c>
      <c r="C10215" s="5" t="s">
        <v>16</v>
      </c>
      <c r="D10215" s="5" t="s">
        <v>9829</v>
      </c>
      <c r="E10215" s="6" t="str">
        <f>HYPERLINK("https://twitter.com/petrogustavo/status/1308125937981153280","1308125937981153280")</f>
        <v>1308125937981153280</v>
      </c>
      <c r="F10215" s="7" t="s">
        <v>32</v>
      </c>
      <c r="G10215" s="7">
        <v>3979482</v>
      </c>
      <c r="H10215" s="7">
        <v>2439</v>
      </c>
      <c r="I10215" s="7">
        <v>72</v>
      </c>
      <c r="J10215" s="7">
        <v>0</v>
      </c>
      <c r="K10215" s="7" t="s">
        <v>18</v>
      </c>
      <c r="L10215" s="8">
        <v>39987.315405092595</v>
      </c>
      <c r="M10215" s="9" t="s">
        <v>19</v>
      </c>
      <c r="N10215" s="9" t="s">
        <v>20</v>
      </c>
      <c r="O10215" s="6" t="str">
        <f>HYPERLINK("https://pbs.twimg.com/profile_images/962471262747529216/Uo8lOkRJ_normal.jpg","View")</f>
        <v>View</v>
      </c>
      <c r="P10215" s="7"/>
    </row>
    <row r="10216" spans="1:16">
      <c r="A10216" s="3">
        <v>44096.048495370371</v>
      </c>
      <c r="B10216" s="4" t="str">
        <f>HYPERLINK("https://twitter.com/petrogustavo","@petrogustavo")</f>
        <v>@petrogustavo</v>
      </c>
      <c r="C10216" s="5" t="s">
        <v>16</v>
      </c>
      <c r="D10216" s="5" t="s">
        <v>9830</v>
      </c>
      <c r="E10216" s="6" t="str">
        <f>HYPERLINK("https://twitter.com/petrogustavo/status/1308128827260928001","1308128827260928001")</f>
        <v>1308128827260928001</v>
      </c>
      <c r="F10216" s="7" t="s">
        <v>17</v>
      </c>
      <c r="G10216" s="7">
        <v>3979498</v>
      </c>
      <c r="H10216" s="7">
        <v>2439</v>
      </c>
      <c r="I10216" s="7">
        <v>65</v>
      </c>
      <c r="J10216" s="7">
        <v>0</v>
      </c>
      <c r="K10216" s="7" t="s">
        <v>18</v>
      </c>
      <c r="L10216" s="8">
        <v>39987.315405092595</v>
      </c>
      <c r="M10216" s="9" t="s">
        <v>19</v>
      </c>
      <c r="N10216" s="9" t="s">
        <v>20</v>
      </c>
      <c r="O10216" s="6" t="str">
        <f>HYPERLINK("https://pbs.twimg.com/profile_images/962471262747529216/Uo8lOkRJ_normal.jpg","View")</f>
        <v>View</v>
      </c>
      <c r="P10216" s="7"/>
    </row>
    <row r="10217" spans="1:16">
      <c r="A10217" s="3">
        <v>44096.049074074079</v>
      </c>
      <c r="B10217" s="4" t="str">
        <f>HYPERLINK("https://twitter.com/petrogustavo","@petrogustavo")</f>
        <v>@petrogustavo</v>
      </c>
      <c r="C10217" s="5" t="s">
        <v>16</v>
      </c>
      <c r="D10217" s="5" t="s">
        <v>9817</v>
      </c>
      <c r="E10217" s="6" t="str">
        <f>HYPERLINK("https://twitter.com/petrogustavo/status/1308129035608829953","1308129035608829953")</f>
        <v>1308129035608829953</v>
      </c>
      <c r="F10217" s="7" t="s">
        <v>17</v>
      </c>
      <c r="G10217" s="7">
        <v>3979498</v>
      </c>
      <c r="H10217" s="7">
        <v>2439</v>
      </c>
      <c r="I10217" s="7">
        <v>3681</v>
      </c>
      <c r="J10217" s="7">
        <v>0</v>
      </c>
      <c r="K10217" s="7" t="s">
        <v>18</v>
      </c>
      <c r="L10217" s="8">
        <v>39987.315405092595</v>
      </c>
      <c r="M10217" s="9" t="s">
        <v>19</v>
      </c>
      <c r="N10217" s="9" t="s">
        <v>20</v>
      </c>
      <c r="O10217" s="6" t="str">
        <f>HYPERLINK("https://pbs.twimg.com/profile_images/962471262747529216/Uo8lOkRJ_normal.jpg","View")</f>
        <v>View</v>
      </c>
      <c r="P10217" s="7"/>
    </row>
    <row r="10218" spans="1:16">
      <c r="A10218" s="3">
        <v>44096.052187499998</v>
      </c>
      <c r="B10218" s="4" t="str">
        <f>HYPERLINK("https://twitter.com/petrogustavo","@petrogustavo")</f>
        <v>@petrogustavo</v>
      </c>
      <c r="C10218" s="5" t="s">
        <v>16</v>
      </c>
      <c r="D10218" s="5" t="s">
        <v>9831</v>
      </c>
      <c r="E10218" s="6" t="str">
        <f>HYPERLINK("https://twitter.com/petrogustavo/status/1308130161490112515","1308130161490112515")</f>
        <v>1308130161490112515</v>
      </c>
      <c r="F10218" s="7" t="s">
        <v>17</v>
      </c>
      <c r="G10218" s="7">
        <v>3979498</v>
      </c>
      <c r="H10218" s="7">
        <v>2439</v>
      </c>
      <c r="I10218" s="7">
        <v>124</v>
      </c>
      <c r="J10218" s="7">
        <v>427</v>
      </c>
      <c r="K10218" s="7" t="s">
        <v>18</v>
      </c>
      <c r="L10218" s="8">
        <v>39987.315405092595</v>
      </c>
      <c r="M10218" s="9" t="s">
        <v>19</v>
      </c>
      <c r="N10218" s="9" t="s">
        <v>20</v>
      </c>
      <c r="O10218" s="6" t="str">
        <f>HYPERLINK("https://pbs.twimg.com/profile_images/962471262747529216/Uo8lOkRJ_normal.jpg","View")</f>
        <v>View</v>
      </c>
      <c r="P10218" s="7"/>
    </row>
    <row r="10219" spans="1:16">
      <c r="A10219" s="3">
        <v>44096.072233796294</v>
      </c>
      <c r="B10219" s="4" t="str">
        <f>HYPERLINK("https://twitter.com/petrogustavo","@petrogustavo")</f>
        <v>@petrogustavo</v>
      </c>
      <c r="C10219" s="5" t="s">
        <v>16</v>
      </c>
      <c r="D10219" s="5" t="s">
        <v>9832</v>
      </c>
      <c r="E10219" s="6" t="str">
        <f>HYPERLINK("https://twitter.com/petrogustavo/status/1308137426989338626","1308137426989338626")</f>
        <v>1308137426989338626</v>
      </c>
      <c r="F10219" s="7" t="s">
        <v>17</v>
      </c>
      <c r="G10219" s="7">
        <v>3979503</v>
      </c>
      <c r="H10219" s="7">
        <v>2439</v>
      </c>
      <c r="I10219" s="7">
        <v>118</v>
      </c>
      <c r="J10219" s="7">
        <v>0</v>
      </c>
      <c r="K10219" s="7" t="s">
        <v>18</v>
      </c>
      <c r="L10219" s="8">
        <v>39987.315405092595</v>
      </c>
      <c r="M10219" s="9" t="s">
        <v>19</v>
      </c>
      <c r="N10219" s="9" t="s">
        <v>20</v>
      </c>
      <c r="O10219" s="6" t="str">
        <f>HYPERLINK("https://pbs.twimg.com/profile_images/962471262747529216/Uo8lOkRJ_normal.jpg","View")</f>
        <v>View</v>
      </c>
      <c r="P10219" s="7"/>
    </row>
    <row r="10220" spans="1:16">
      <c r="A10220" s="3">
        <v>44096.072337962964</v>
      </c>
      <c r="B10220" s="4" t="str">
        <f>HYPERLINK("https://twitter.com/petrogustavo","@petrogustavo")</f>
        <v>@petrogustavo</v>
      </c>
      <c r="C10220" s="5" t="s">
        <v>16</v>
      </c>
      <c r="D10220" s="5" t="s">
        <v>9833</v>
      </c>
      <c r="E10220" s="6" t="str">
        <f>HYPERLINK("https://twitter.com/petrogustavo/status/1308137464331202562","1308137464331202562")</f>
        <v>1308137464331202562</v>
      </c>
      <c r="F10220" s="7" t="s">
        <v>17</v>
      </c>
      <c r="G10220" s="7">
        <v>3979503</v>
      </c>
      <c r="H10220" s="7">
        <v>2439</v>
      </c>
      <c r="I10220" s="7">
        <v>95</v>
      </c>
      <c r="J10220" s="7">
        <v>0</v>
      </c>
      <c r="K10220" s="7" t="s">
        <v>18</v>
      </c>
      <c r="L10220" s="8">
        <v>39987.315405092595</v>
      </c>
      <c r="M10220" s="9" t="s">
        <v>19</v>
      </c>
      <c r="N10220" s="9" t="s">
        <v>20</v>
      </c>
      <c r="O10220" s="6" t="str">
        <f>HYPERLINK("https://pbs.twimg.com/profile_images/962471262747529216/Uo8lOkRJ_normal.jpg","View")</f>
        <v>View</v>
      </c>
      <c r="P10220" s="7"/>
    </row>
    <row r="10221" spans="1:16">
      <c r="A10221" s="3">
        <v>44096.072905092587</v>
      </c>
      <c r="B10221" s="4" t="str">
        <f>HYPERLINK("https://twitter.com/petrogustavo","@petrogustavo")</f>
        <v>@petrogustavo</v>
      </c>
      <c r="C10221" s="5" t="s">
        <v>16</v>
      </c>
      <c r="D10221" s="5" t="s">
        <v>9834</v>
      </c>
      <c r="E10221" s="6" t="str">
        <f>HYPERLINK("https://twitter.com/petrogustavo/status/1308137672158990336","1308137672158990336")</f>
        <v>1308137672158990336</v>
      </c>
      <c r="F10221" s="7" t="s">
        <v>17</v>
      </c>
      <c r="G10221" s="7">
        <v>3979503</v>
      </c>
      <c r="H10221" s="7">
        <v>2439</v>
      </c>
      <c r="I10221" s="7">
        <v>74</v>
      </c>
      <c r="J10221" s="7">
        <v>0</v>
      </c>
      <c r="K10221" s="7" t="s">
        <v>18</v>
      </c>
      <c r="L10221" s="8">
        <v>39987.315405092595</v>
      </c>
      <c r="M10221" s="9" t="s">
        <v>19</v>
      </c>
      <c r="N10221" s="9" t="s">
        <v>20</v>
      </c>
      <c r="O10221" s="6" t="str">
        <f>HYPERLINK("https://pbs.twimg.com/profile_images/962471262747529216/Uo8lOkRJ_normal.jpg","View")</f>
        <v>View</v>
      </c>
      <c r="P10221" s="7"/>
    </row>
    <row r="10222" spans="1:16">
      <c r="A10222" s="3">
        <v>44096.073171296295</v>
      </c>
      <c r="B10222" s="4" t="str">
        <f>HYPERLINK("https://twitter.com/petrogustavo","@petrogustavo")</f>
        <v>@petrogustavo</v>
      </c>
      <c r="C10222" s="5" t="s">
        <v>16</v>
      </c>
      <c r="D10222" s="5" t="s">
        <v>9835</v>
      </c>
      <c r="E10222" s="6" t="str">
        <f>HYPERLINK("https://twitter.com/petrogustavo/status/1308137769068367872","1308137769068367872")</f>
        <v>1308137769068367872</v>
      </c>
      <c r="F10222" s="7" t="s">
        <v>17</v>
      </c>
      <c r="G10222" s="7">
        <v>3979503</v>
      </c>
      <c r="H10222" s="7">
        <v>2439</v>
      </c>
      <c r="I10222" s="7">
        <v>50</v>
      </c>
      <c r="J10222" s="7">
        <v>0</v>
      </c>
      <c r="K10222" s="7" t="s">
        <v>18</v>
      </c>
      <c r="L10222" s="8">
        <v>39987.315405092595</v>
      </c>
      <c r="M10222" s="9" t="s">
        <v>19</v>
      </c>
      <c r="N10222" s="9" t="s">
        <v>20</v>
      </c>
      <c r="O10222" s="6" t="str">
        <f>HYPERLINK("https://pbs.twimg.com/profile_images/962471262747529216/Uo8lOkRJ_normal.jpg","View")</f>
        <v>View</v>
      </c>
      <c r="P10222" s="7"/>
    </row>
    <row r="10223" spans="1:16">
      <c r="A10223" s="3">
        <v>44096.073206018518</v>
      </c>
      <c r="B10223" s="4" t="str">
        <f>HYPERLINK("https://twitter.com/petrogustavo","@petrogustavo")</f>
        <v>@petrogustavo</v>
      </c>
      <c r="C10223" s="5" t="s">
        <v>16</v>
      </c>
      <c r="D10223" s="5" t="s">
        <v>9836</v>
      </c>
      <c r="E10223" s="6" t="str">
        <f>HYPERLINK("https://twitter.com/petrogustavo/status/1308137780778799107","1308137780778799107")</f>
        <v>1308137780778799107</v>
      </c>
      <c r="F10223" s="7" t="s">
        <v>17</v>
      </c>
      <c r="G10223" s="7">
        <v>3979503</v>
      </c>
      <c r="H10223" s="7">
        <v>2439</v>
      </c>
      <c r="I10223" s="7">
        <v>173</v>
      </c>
      <c r="J10223" s="7">
        <v>0</v>
      </c>
      <c r="K10223" s="7" t="s">
        <v>18</v>
      </c>
      <c r="L10223" s="8">
        <v>39987.315405092595</v>
      </c>
      <c r="M10223" s="9" t="s">
        <v>19</v>
      </c>
      <c r="N10223" s="9" t="s">
        <v>20</v>
      </c>
      <c r="O10223" s="6" t="str">
        <f>HYPERLINK("https://pbs.twimg.com/profile_images/962471262747529216/Uo8lOkRJ_normal.jpg","View")</f>
        <v>View</v>
      </c>
      <c r="P10223" s="7"/>
    </row>
    <row r="10224" spans="1:16">
      <c r="A10224" s="3">
        <v>44096.07430555555</v>
      </c>
      <c r="B10224" s="4" t="str">
        <f>HYPERLINK("https://twitter.com/petrogustavo","@petrogustavo")</f>
        <v>@petrogustavo</v>
      </c>
      <c r="C10224" s="5" t="s">
        <v>16</v>
      </c>
      <c r="D10224" s="5" t="s">
        <v>9837</v>
      </c>
      <c r="E10224" s="6" t="str">
        <f>HYPERLINK("https://twitter.com/petrogustavo/status/1308138176775680003","1308138176775680003")</f>
        <v>1308138176775680003</v>
      </c>
      <c r="F10224" s="7" t="s">
        <v>17</v>
      </c>
      <c r="G10224" s="7">
        <v>3979503</v>
      </c>
      <c r="H10224" s="7">
        <v>2439</v>
      </c>
      <c r="I10224" s="7">
        <v>31</v>
      </c>
      <c r="J10224" s="7">
        <v>0</v>
      </c>
      <c r="K10224" s="7" t="s">
        <v>18</v>
      </c>
      <c r="L10224" s="8">
        <v>39987.315405092595</v>
      </c>
      <c r="M10224" s="9" t="s">
        <v>19</v>
      </c>
      <c r="N10224" s="9" t="s">
        <v>20</v>
      </c>
      <c r="O10224" s="6" t="str">
        <f>HYPERLINK("https://pbs.twimg.com/profile_images/962471262747529216/Uo8lOkRJ_normal.jpg","View")</f>
        <v>View</v>
      </c>
      <c r="P10224" s="7"/>
    </row>
    <row r="10225" spans="1:16">
      <c r="A10225" s="3">
        <v>44096.075138888889</v>
      </c>
      <c r="B10225" s="4" t="str">
        <f>HYPERLINK("https://twitter.com/petrogustavo","@petrogustavo")</f>
        <v>@petrogustavo</v>
      </c>
      <c r="C10225" s="5" t="s">
        <v>16</v>
      </c>
      <c r="D10225" s="5" t="s">
        <v>9838</v>
      </c>
      <c r="E10225" s="6" t="str">
        <f>HYPERLINK("https://twitter.com/petrogustavo/status/1308138478782361603","1308138478782361603")</f>
        <v>1308138478782361603</v>
      </c>
      <c r="F10225" s="7" t="s">
        <v>17</v>
      </c>
      <c r="G10225" s="7">
        <v>3979503</v>
      </c>
      <c r="H10225" s="7">
        <v>2439</v>
      </c>
      <c r="I10225" s="7">
        <v>55</v>
      </c>
      <c r="J10225" s="7">
        <v>0</v>
      </c>
      <c r="K10225" s="7" t="s">
        <v>18</v>
      </c>
      <c r="L10225" s="8">
        <v>39987.315405092595</v>
      </c>
      <c r="M10225" s="9" t="s">
        <v>19</v>
      </c>
      <c r="N10225" s="9" t="s">
        <v>20</v>
      </c>
      <c r="O10225" s="6" t="str">
        <f>HYPERLINK("https://pbs.twimg.com/profile_images/962471262747529216/Uo8lOkRJ_normal.jpg","View")</f>
        <v>View</v>
      </c>
      <c r="P10225" s="7"/>
    </row>
    <row r="10226" spans="1:16">
      <c r="A10226" s="3">
        <v>44096.07540509259</v>
      </c>
      <c r="B10226" s="4" t="str">
        <f>HYPERLINK("https://twitter.com/petrogustavo","@petrogustavo")</f>
        <v>@petrogustavo</v>
      </c>
      <c r="C10226" s="5" t="s">
        <v>16</v>
      </c>
      <c r="D10226" s="5" t="s">
        <v>9839</v>
      </c>
      <c r="E10226" s="6" t="str">
        <f>HYPERLINK("https://twitter.com/petrogustavo/status/1308138577205829633","1308138577205829633")</f>
        <v>1308138577205829633</v>
      </c>
      <c r="F10226" s="7" t="s">
        <v>17</v>
      </c>
      <c r="G10226" s="7">
        <v>3979503</v>
      </c>
      <c r="H10226" s="7">
        <v>2439</v>
      </c>
      <c r="I10226" s="7">
        <v>85</v>
      </c>
      <c r="J10226" s="7">
        <v>0</v>
      </c>
      <c r="K10226" s="7" t="s">
        <v>18</v>
      </c>
      <c r="L10226" s="8">
        <v>39987.315405092595</v>
      </c>
      <c r="M10226" s="9" t="s">
        <v>19</v>
      </c>
      <c r="N10226" s="9" t="s">
        <v>20</v>
      </c>
      <c r="O10226" s="6" t="str">
        <f>HYPERLINK("https://pbs.twimg.com/profile_images/962471262747529216/Uo8lOkRJ_normal.jpg","View")</f>
        <v>View</v>
      </c>
      <c r="P10226" s="7"/>
    </row>
    <row r="10227" spans="1:16">
      <c r="A10227" s="3">
        <v>44096.07576388889</v>
      </c>
      <c r="B10227" s="4" t="str">
        <f>HYPERLINK("https://twitter.com/petrogustavo","@petrogustavo")</f>
        <v>@petrogustavo</v>
      </c>
      <c r="C10227" s="5" t="s">
        <v>16</v>
      </c>
      <c r="D10227" s="5" t="s">
        <v>9840</v>
      </c>
      <c r="E10227" s="6" t="str">
        <f>HYPERLINK("https://twitter.com/petrogustavo/status/1308138708223307784","1308138708223307784")</f>
        <v>1308138708223307784</v>
      </c>
      <c r="F10227" s="7" t="s">
        <v>17</v>
      </c>
      <c r="G10227" s="7">
        <v>3979503</v>
      </c>
      <c r="H10227" s="7">
        <v>2439</v>
      </c>
      <c r="I10227" s="7">
        <v>101</v>
      </c>
      <c r="J10227" s="7">
        <v>0</v>
      </c>
      <c r="K10227" s="7" t="s">
        <v>18</v>
      </c>
      <c r="L10227" s="8">
        <v>39987.315405092595</v>
      </c>
      <c r="M10227" s="9" t="s">
        <v>19</v>
      </c>
      <c r="N10227" s="9" t="s">
        <v>20</v>
      </c>
      <c r="O10227" s="6" t="str">
        <f>HYPERLINK("https://pbs.twimg.com/profile_images/962471262747529216/Uo8lOkRJ_normal.jpg","View")</f>
        <v>View</v>
      </c>
      <c r="P10227" s="7"/>
    </row>
    <row r="10228" spans="1:16">
      <c r="A10228" s="3">
        <v>44096.076053240744</v>
      </c>
      <c r="B10228" s="4" t="str">
        <f>HYPERLINK("https://twitter.com/petrogustavo","@petrogustavo")</f>
        <v>@petrogustavo</v>
      </c>
      <c r="C10228" s="5" t="s">
        <v>16</v>
      </c>
      <c r="D10228" s="5" t="s">
        <v>9841</v>
      </c>
      <c r="E10228" s="6" t="str">
        <f>HYPERLINK("https://twitter.com/petrogustavo/status/1308138812443328512","1308138812443328512")</f>
        <v>1308138812443328512</v>
      </c>
      <c r="F10228" s="7" t="s">
        <v>17</v>
      </c>
      <c r="G10228" s="7">
        <v>3979503</v>
      </c>
      <c r="H10228" s="7">
        <v>2439</v>
      </c>
      <c r="I10228" s="7">
        <v>74</v>
      </c>
      <c r="J10228" s="7">
        <v>0</v>
      </c>
      <c r="K10228" s="7" t="s">
        <v>18</v>
      </c>
      <c r="L10228" s="8">
        <v>39987.315405092595</v>
      </c>
      <c r="M10228" s="9" t="s">
        <v>19</v>
      </c>
      <c r="N10228" s="9" t="s">
        <v>20</v>
      </c>
      <c r="O10228" s="6" t="str">
        <f>HYPERLINK("https://pbs.twimg.com/profile_images/962471262747529216/Uo8lOkRJ_normal.jpg","View")</f>
        <v>View</v>
      </c>
      <c r="P10228" s="7"/>
    </row>
    <row r="10229" spans="1:16">
      <c r="A10229" s="3">
        <v>44096.079444444447</v>
      </c>
      <c r="B10229" s="4" t="str">
        <f>HYPERLINK("https://twitter.com/petrogustavo","@petrogustavo")</f>
        <v>@petrogustavo</v>
      </c>
      <c r="C10229" s="5" t="s">
        <v>16</v>
      </c>
      <c r="D10229" s="5" t="s">
        <v>9842</v>
      </c>
      <c r="E10229" s="6" t="str">
        <f>HYPERLINK("https://twitter.com/petrogustavo/status/1308140042758610944","1308140042758610944")</f>
        <v>1308140042758610944</v>
      </c>
      <c r="F10229" s="7" t="s">
        <v>17</v>
      </c>
      <c r="G10229" s="7">
        <v>3979503</v>
      </c>
      <c r="H10229" s="7">
        <v>2439</v>
      </c>
      <c r="I10229" s="7">
        <v>44</v>
      </c>
      <c r="J10229" s="7">
        <v>0</v>
      </c>
      <c r="K10229" s="7" t="s">
        <v>18</v>
      </c>
      <c r="L10229" s="8">
        <v>39987.315405092595</v>
      </c>
      <c r="M10229" s="9" t="s">
        <v>19</v>
      </c>
      <c r="N10229" s="9" t="s">
        <v>20</v>
      </c>
      <c r="O10229" s="6" t="str">
        <f>HYPERLINK("https://pbs.twimg.com/profile_images/962471262747529216/Uo8lOkRJ_normal.jpg","View")</f>
        <v>View</v>
      </c>
      <c r="P10229" s="7"/>
    </row>
    <row r="10230" spans="1:16">
      <c r="A10230" s="3">
        <v>44096.079618055555</v>
      </c>
      <c r="B10230" s="4" t="str">
        <f>HYPERLINK("https://twitter.com/petrogustavo","@petrogustavo")</f>
        <v>@petrogustavo</v>
      </c>
      <c r="C10230" s="5" t="s">
        <v>16</v>
      </c>
      <c r="D10230" s="5" t="s">
        <v>9843</v>
      </c>
      <c r="E10230" s="6" t="str">
        <f>HYPERLINK("https://twitter.com/petrogustavo/status/1308140104779792385","1308140104779792385")</f>
        <v>1308140104779792385</v>
      </c>
      <c r="F10230" s="7" t="s">
        <v>17</v>
      </c>
      <c r="G10230" s="7">
        <v>3979503</v>
      </c>
      <c r="H10230" s="7">
        <v>2439</v>
      </c>
      <c r="I10230" s="7">
        <v>89</v>
      </c>
      <c r="J10230" s="7">
        <v>0</v>
      </c>
      <c r="K10230" s="7" t="s">
        <v>18</v>
      </c>
      <c r="L10230" s="8">
        <v>39987.315405092595</v>
      </c>
      <c r="M10230" s="9" t="s">
        <v>19</v>
      </c>
      <c r="N10230" s="9" t="s">
        <v>20</v>
      </c>
      <c r="O10230" s="6" t="str">
        <f>HYPERLINK("https://pbs.twimg.com/profile_images/962471262747529216/Uo8lOkRJ_normal.jpg","View")</f>
        <v>View</v>
      </c>
      <c r="P10230" s="7"/>
    </row>
    <row r="10231" spans="1:16">
      <c r="A10231" s="3">
        <v>44096.138483796298</v>
      </c>
      <c r="B10231" s="4" t="str">
        <f>HYPERLINK("https://twitter.com/petrogustavo","@petrogustavo")</f>
        <v>@petrogustavo</v>
      </c>
      <c r="C10231" s="5" t="s">
        <v>16</v>
      </c>
      <c r="D10231" s="5" t="s">
        <v>9844</v>
      </c>
      <c r="E10231" s="6" t="str">
        <f>HYPERLINK("https://twitter.com/petrogustavo/status/1308161434677805057","1308161434677805057")</f>
        <v>1308161434677805057</v>
      </c>
      <c r="F10231" s="7" t="s">
        <v>17</v>
      </c>
      <c r="G10231" s="7">
        <v>3979531</v>
      </c>
      <c r="H10231" s="7">
        <v>2439</v>
      </c>
      <c r="I10231" s="7">
        <v>398</v>
      </c>
      <c r="J10231" s="7">
        <v>1090</v>
      </c>
      <c r="K10231" s="7" t="s">
        <v>18</v>
      </c>
      <c r="L10231" s="8">
        <v>39987.315405092595</v>
      </c>
      <c r="M10231" s="9" t="s">
        <v>19</v>
      </c>
      <c r="N10231" s="9" t="s">
        <v>20</v>
      </c>
      <c r="O10231" s="6" t="str">
        <f>HYPERLINK("https://pbs.twimg.com/profile_images/962471262747529216/Uo8lOkRJ_normal.jpg","View")</f>
        <v>View</v>
      </c>
      <c r="P10231" s="7"/>
    </row>
    <row r="10232" spans="1:16">
      <c r="A10232" s="3">
        <v>44096.139467592591</v>
      </c>
      <c r="B10232" s="4" t="str">
        <f>HYPERLINK("https://twitter.com/petrogustavo","@petrogustavo")</f>
        <v>@petrogustavo</v>
      </c>
      <c r="C10232" s="5" t="s">
        <v>16</v>
      </c>
      <c r="D10232" s="5" t="s">
        <v>9845</v>
      </c>
      <c r="E10232" s="6" t="str">
        <f>HYPERLINK("https://twitter.com/petrogustavo/status/1308161791508316167","1308161791508316167")</f>
        <v>1308161791508316167</v>
      </c>
      <c r="F10232" s="7" t="s">
        <v>17</v>
      </c>
      <c r="G10232" s="7">
        <v>3979531</v>
      </c>
      <c r="H10232" s="7">
        <v>2439</v>
      </c>
      <c r="I10232" s="7">
        <v>168</v>
      </c>
      <c r="J10232" s="7">
        <v>0</v>
      </c>
      <c r="K10232" s="7" t="s">
        <v>18</v>
      </c>
      <c r="L10232" s="8">
        <v>39987.315405092595</v>
      </c>
      <c r="M10232" s="9" t="s">
        <v>19</v>
      </c>
      <c r="N10232" s="9" t="s">
        <v>20</v>
      </c>
      <c r="O10232" s="6" t="str">
        <f>HYPERLINK("https://pbs.twimg.com/profile_images/962471262747529216/Uo8lOkRJ_normal.jpg","View")</f>
        <v>View</v>
      </c>
      <c r="P10232" s="7"/>
    </row>
    <row r="10233" spans="1:16">
      <c r="A10233" s="3">
        <v>44096.140590277777</v>
      </c>
      <c r="B10233" s="4" t="str">
        <f>HYPERLINK("https://twitter.com/petrogustavo","@petrogustavo")</f>
        <v>@petrogustavo</v>
      </c>
      <c r="C10233" s="5" t="s">
        <v>16</v>
      </c>
      <c r="D10233" s="5" t="s">
        <v>9846</v>
      </c>
      <c r="E10233" s="6" t="str">
        <f>HYPERLINK("https://twitter.com/petrogustavo/status/1308162201006596102","1308162201006596102")</f>
        <v>1308162201006596102</v>
      </c>
      <c r="F10233" s="7" t="s">
        <v>17</v>
      </c>
      <c r="G10233" s="7">
        <v>3979531</v>
      </c>
      <c r="H10233" s="7">
        <v>2439</v>
      </c>
      <c r="I10233" s="7">
        <v>14</v>
      </c>
      <c r="J10233" s="7">
        <v>0</v>
      </c>
      <c r="K10233" s="7" t="s">
        <v>18</v>
      </c>
      <c r="L10233" s="8">
        <v>39987.315405092595</v>
      </c>
      <c r="M10233" s="9" t="s">
        <v>19</v>
      </c>
      <c r="N10233" s="9" t="s">
        <v>20</v>
      </c>
      <c r="O10233" s="6" t="str">
        <f>HYPERLINK("https://pbs.twimg.com/profile_images/962471262747529216/Uo8lOkRJ_normal.jpg","View")</f>
        <v>View</v>
      </c>
      <c r="P10233" s="7"/>
    </row>
    <row r="10234" spans="1:16">
      <c r="A10234" s="3">
        <v>44096.141238425931</v>
      </c>
      <c r="B10234" s="4" t="str">
        <f>HYPERLINK("https://twitter.com/petrogustavo","@petrogustavo")</f>
        <v>@petrogustavo</v>
      </c>
      <c r="C10234" s="5" t="s">
        <v>16</v>
      </c>
      <c r="D10234" s="5" t="s">
        <v>9847</v>
      </c>
      <c r="E10234" s="6" t="str">
        <f>HYPERLINK("https://twitter.com/petrogustavo/status/1308162434843193346","1308162434843193346")</f>
        <v>1308162434843193346</v>
      </c>
      <c r="F10234" s="7" t="s">
        <v>17</v>
      </c>
      <c r="G10234" s="7">
        <v>3979531</v>
      </c>
      <c r="H10234" s="7">
        <v>2439</v>
      </c>
      <c r="I10234" s="7">
        <v>813</v>
      </c>
      <c r="J10234" s="7">
        <v>0</v>
      </c>
      <c r="K10234" s="7" t="s">
        <v>18</v>
      </c>
      <c r="L10234" s="8">
        <v>39987.315405092595</v>
      </c>
      <c r="M10234" s="9" t="s">
        <v>19</v>
      </c>
      <c r="N10234" s="9" t="s">
        <v>20</v>
      </c>
      <c r="O10234" s="6" t="str">
        <f>HYPERLINK("https://pbs.twimg.com/profile_images/962471262747529216/Uo8lOkRJ_normal.jpg","View")</f>
        <v>View</v>
      </c>
      <c r="P10234" s="7"/>
    </row>
    <row r="10235" spans="1:16">
      <c r="A10235" s="3">
        <v>44096.141331018516</v>
      </c>
      <c r="B10235" s="4" t="str">
        <f>HYPERLINK("https://twitter.com/petrogustavo","@petrogustavo")</f>
        <v>@petrogustavo</v>
      </c>
      <c r="C10235" s="5" t="s">
        <v>16</v>
      </c>
      <c r="D10235" s="5" t="s">
        <v>9848</v>
      </c>
      <c r="E10235" s="6" t="str">
        <f>HYPERLINK("https://twitter.com/petrogustavo/status/1308162467017748482","1308162467017748482")</f>
        <v>1308162467017748482</v>
      </c>
      <c r="F10235" s="7" t="s">
        <v>17</v>
      </c>
      <c r="G10235" s="7">
        <v>3979531</v>
      </c>
      <c r="H10235" s="7">
        <v>2439</v>
      </c>
      <c r="I10235" s="7">
        <v>174</v>
      </c>
      <c r="J10235" s="7">
        <v>0</v>
      </c>
      <c r="K10235" s="7" t="s">
        <v>18</v>
      </c>
      <c r="L10235" s="8">
        <v>39987.315405092595</v>
      </c>
      <c r="M10235" s="9" t="s">
        <v>19</v>
      </c>
      <c r="N10235" s="9" t="s">
        <v>20</v>
      </c>
      <c r="O10235" s="6" t="str">
        <f>HYPERLINK("https://pbs.twimg.com/profile_images/962471262747529216/Uo8lOkRJ_normal.jpg","View")</f>
        <v>View</v>
      </c>
      <c r="P10235" s="7"/>
    </row>
    <row r="10236" spans="1:16">
      <c r="A10236" s="3">
        <v>44096.141423611116</v>
      </c>
      <c r="B10236" s="4" t="str">
        <f>HYPERLINK("https://twitter.com/petrogustavo","@petrogustavo")</f>
        <v>@petrogustavo</v>
      </c>
      <c r="C10236" s="5" t="s">
        <v>16</v>
      </c>
      <c r="D10236" s="5" t="s">
        <v>9849</v>
      </c>
      <c r="E10236" s="6" t="str">
        <f>HYPERLINK("https://twitter.com/petrogustavo/status/1308162500471463941","1308162500471463941")</f>
        <v>1308162500471463941</v>
      </c>
      <c r="F10236" s="7" t="s">
        <v>17</v>
      </c>
      <c r="G10236" s="7">
        <v>3979531</v>
      </c>
      <c r="H10236" s="7">
        <v>2439</v>
      </c>
      <c r="I10236" s="7">
        <v>72</v>
      </c>
      <c r="J10236" s="7">
        <v>0</v>
      </c>
      <c r="K10236" s="7" t="s">
        <v>18</v>
      </c>
      <c r="L10236" s="8">
        <v>39987.315405092595</v>
      </c>
      <c r="M10236" s="9" t="s">
        <v>19</v>
      </c>
      <c r="N10236" s="9" t="s">
        <v>20</v>
      </c>
      <c r="O10236" s="6" t="str">
        <f>HYPERLINK("https://pbs.twimg.com/profile_images/962471262747529216/Uo8lOkRJ_normal.jpg","View")</f>
        <v>View</v>
      </c>
      <c r="P10236" s="7"/>
    </row>
    <row r="10237" spans="1:16">
      <c r="A10237" s="3">
        <v>44096.14162037037</v>
      </c>
      <c r="B10237" s="4" t="str">
        <f>HYPERLINK("https://twitter.com/petrogustavo","@petrogustavo")</f>
        <v>@petrogustavo</v>
      </c>
      <c r="C10237" s="5" t="s">
        <v>16</v>
      </c>
      <c r="D10237" s="5" t="s">
        <v>9850</v>
      </c>
      <c r="E10237" s="6" t="str">
        <f>HYPERLINK("https://twitter.com/petrogustavo/status/1308162571820769280","1308162571820769280")</f>
        <v>1308162571820769280</v>
      </c>
      <c r="F10237" s="7" t="s">
        <v>17</v>
      </c>
      <c r="G10237" s="7">
        <v>3979531</v>
      </c>
      <c r="H10237" s="7">
        <v>2439</v>
      </c>
      <c r="I10237" s="7">
        <v>767</v>
      </c>
      <c r="J10237" s="7">
        <v>0</v>
      </c>
      <c r="K10237" s="7" t="s">
        <v>18</v>
      </c>
      <c r="L10237" s="8">
        <v>39987.315405092595</v>
      </c>
      <c r="M10237" s="9" t="s">
        <v>19</v>
      </c>
      <c r="N10237" s="9" t="s">
        <v>20</v>
      </c>
      <c r="O10237" s="6" t="str">
        <f>HYPERLINK("https://pbs.twimg.com/profile_images/962471262747529216/Uo8lOkRJ_normal.jpg","View")</f>
        <v>View</v>
      </c>
      <c r="P10237" s="7"/>
    </row>
    <row r="10238" spans="1:16">
      <c r="A10238" s="3">
        <v>44096.141770833332</v>
      </c>
      <c r="B10238" s="4" t="str">
        <f>HYPERLINK("https://twitter.com/petrogustavo","@petrogustavo")</f>
        <v>@petrogustavo</v>
      </c>
      <c r="C10238" s="5" t="s">
        <v>16</v>
      </c>
      <c r="D10238" s="5" t="s">
        <v>9851</v>
      </c>
      <c r="E10238" s="6" t="str">
        <f>HYPERLINK("https://twitter.com/petrogustavo/status/1308162629047930880","1308162629047930880")</f>
        <v>1308162629047930880</v>
      </c>
      <c r="F10238" s="7" t="s">
        <v>17</v>
      </c>
      <c r="G10238" s="7">
        <v>3979531</v>
      </c>
      <c r="H10238" s="7">
        <v>2439</v>
      </c>
      <c r="I10238" s="7">
        <v>215</v>
      </c>
      <c r="J10238" s="7">
        <v>0</v>
      </c>
      <c r="K10238" s="7" t="s">
        <v>18</v>
      </c>
      <c r="L10238" s="8">
        <v>39987.315405092595</v>
      </c>
      <c r="M10238" s="9" t="s">
        <v>19</v>
      </c>
      <c r="N10238" s="9" t="s">
        <v>20</v>
      </c>
      <c r="O10238" s="6" t="str">
        <f>HYPERLINK("https://pbs.twimg.com/profile_images/962471262747529216/Uo8lOkRJ_normal.jpg","View")</f>
        <v>View</v>
      </c>
      <c r="P10238" s="7"/>
    </row>
    <row r="10239" spans="1:16">
      <c r="A10239" s="3">
        <v>44096.142106481479</v>
      </c>
      <c r="B10239" s="4" t="str">
        <f>HYPERLINK("https://twitter.com/petrogustavo","@petrogustavo")</f>
        <v>@petrogustavo</v>
      </c>
      <c r="C10239" s="5" t="s">
        <v>16</v>
      </c>
      <c r="D10239" s="5" t="s">
        <v>9852</v>
      </c>
      <c r="E10239" s="6" t="str">
        <f>HYPERLINK("https://twitter.com/petrogustavo/status/1308162747809566720","1308162747809566720")</f>
        <v>1308162747809566720</v>
      </c>
      <c r="F10239" s="7" t="s">
        <v>17</v>
      </c>
      <c r="G10239" s="7">
        <v>3979531</v>
      </c>
      <c r="H10239" s="7">
        <v>2439</v>
      </c>
      <c r="I10239" s="7">
        <v>294</v>
      </c>
      <c r="J10239" s="7">
        <v>0</v>
      </c>
      <c r="K10239" s="7" t="s">
        <v>18</v>
      </c>
      <c r="L10239" s="8">
        <v>39987.315405092595</v>
      </c>
      <c r="M10239" s="9" t="s">
        <v>19</v>
      </c>
      <c r="N10239" s="9" t="s">
        <v>20</v>
      </c>
      <c r="O10239" s="6" t="str">
        <f>HYPERLINK("https://pbs.twimg.com/profile_images/962471262747529216/Uo8lOkRJ_normal.jpg","View")</f>
        <v>View</v>
      </c>
      <c r="P10239" s="7"/>
    </row>
    <row r="10240" spans="1:16">
      <c r="A10240" s="3">
        <v>44096.14230324074</v>
      </c>
      <c r="B10240" s="4" t="str">
        <f>HYPERLINK("https://twitter.com/petrogustavo","@petrogustavo")</f>
        <v>@petrogustavo</v>
      </c>
      <c r="C10240" s="5" t="s">
        <v>16</v>
      </c>
      <c r="D10240" s="5" t="s">
        <v>9853</v>
      </c>
      <c r="E10240" s="6" t="str">
        <f>HYPERLINK("https://twitter.com/petrogustavo/status/1308162819389566976","1308162819389566976")</f>
        <v>1308162819389566976</v>
      </c>
      <c r="F10240" s="7" t="s">
        <v>17</v>
      </c>
      <c r="G10240" s="7">
        <v>3979531</v>
      </c>
      <c r="H10240" s="7">
        <v>2439</v>
      </c>
      <c r="I10240" s="7">
        <v>118</v>
      </c>
      <c r="J10240" s="7">
        <v>0</v>
      </c>
      <c r="K10240" s="7" t="s">
        <v>18</v>
      </c>
      <c r="L10240" s="8">
        <v>39987.315405092595</v>
      </c>
      <c r="M10240" s="9" t="s">
        <v>19</v>
      </c>
      <c r="N10240" s="9" t="s">
        <v>20</v>
      </c>
      <c r="O10240" s="6" t="str">
        <f>HYPERLINK("https://pbs.twimg.com/profile_images/962471262747529216/Uo8lOkRJ_normal.jpg","View")</f>
        <v>View</v>
      </c>
      <c r="P10240" s="7"/>
    </row>
    <row r="10241" spans="1:16">
      <c r="A10241" s="3">
        <v>44096.142372685186</v>
      </c>
      <c r="B10241" s="4" t="str">
        <f>HYPERLINK("https://twitter.com/petrogustavo","@petrogustavo")</f>
        <v>@petrogustavo</v>
      </c>
      <c r="C10241" s="5" t="s">
        <v>16</v>
      </c>
      <c r="D10241" s="5" t="s">
        <v>9854</v>
      </c>
      <c r="E10241" s="6" t="str">
        <f>HYPERLINK("https://twitter.com/petrogustavo/status/1308162844425359364","1308162844425359364")</f>
        <v>1308162844425359364</v>
      </c>
      <c r="F10241" s="7" t="s">
        <v>17</v>
      </c>
      <c r="G10241" s="7">
        <v>3979531</v>
      </c>
      <c r="H10241" s="7">
        <v>2439</v>
      </c>
      <c r="I10241" s="7">
        <v>126</v>
      </c>
      <c r="J10241" s="7">
        <v>0</v>
      </c>
      <c r="K10241" s="7" t="s">
        <v>18</v>
      </c>
      <c r="L10241" s="8">
        <v>39987.315405092595</v>
      </c>
      <c r="M10241" s="9" t="s">
        <v>19</v>
      </c>
      <c r="N10241" s="9" t="s">
        <v>20</v>
      </c>
      <c r="O10241" s="6" t="str">
        <f>HYPERLINK("https://pbs.twimg.com/profile_images/962471262747529216/Uo8lOkRJ_normal.jpg","View")</f>
        <v>View</v>
      </c>
      <c r="P10241" s="7"/>
    </row>
    <row r="10242" spans="1:16">
      <c r="A10242" s="3">
        <v>44096.14262731481</v>
      </c>
      <c r="B10242" s="4" t="str">
        <f>HYPERLINK("https://twitter.com/petrogustavo","@petrogustavo")</f>
        <v>@petrogustavo</v>
      </c>
      <c r="C10242" s="5" t="s">
        <v>16</v>
      </c>
      <c r="D10242" s="5" t="s">
        <v>9829</v>
      </c>
      <c r="E10242" s="6" t="str">
        <f>HYPERLINK("https://twitter.com/petrogustavo/status/1308162937601822720","1308162937601822720")</f>
        <v>1308162937601822720</v>
      </c>
      <c r="F10242" s="7" t="s">
        <v>17</v>
      </c>
      <c r="G10242" s="7">
        <v>3979531</v>
      </c>
      <c r="H10242" s="7">
        <v>2439</v>
      </c>
      <c r="I10242" s="7">
        <v>677</v>
      </c>
      <c r="J10242" s="7">
        <v>0</v>
      </c>
      <c r="K10242" s="7" t="s">
        <v>18</v>
      </c>
      <c r="L10242" s="8">
        <v>39987.315405092595</v>
      </c>
      <c r="M10242" s="9" t="s">
        <v>19</v>
      </c>
      <c r="N10242" s="9" t="s">
        <v>20</v>
      </c>
      <c r="O10242" s="6" t="str">
        <f>HYPERLINK("https://pbs.twimg.com/profile_images/962471262747529216/Uo8lOkRJ_normal.jpg","View")</f>
        <v>View</v>
      </c>
      <c r="P10242" s="7"/>
    </row>
    <row r="10243" spans="1:16">
      <c r="A10243" s="3">
        <v>44096.143055555556</v>
      </c>
      <c r="B10243" s="4" t="str">
        <f>HYPERLINK("https://twitter.com/petrogustavo","@petrogustavo")</f>
        <v>@petrogustavo</v>
      </c>
      <c r="C10243" s="5" t="s">
        <v>16</v>
      </c>
      <c r="D10243" s="5" t="s">
        <v>9855</v>
      </c>
      <c r="E10243" s="6" t="str">
        <f>HYPERLINK("https://twitter.com/petrogustavo/status/1308163090891059205","1308163090891059205")</f>
        <v>1308163090891059205</v>
      </c>
      <c r="F10243" s="7" t="s">
        <v>17</v>
      </c>
      <c r="G10243" s="7">
        <v>3979531</v>
      </c>
      <c r="H10243" s="7">
        <v>2439</v>
      </c>
      <c r="I10243" s="7">
        <v>49</v>
      </c>
      <c r="J10243" s="7">
        <v>0</v>
      </c>
      <c r="K10243" s="7" t="s">
        <v>18</v>
      </c>
      <c r="L10243" s="8">
        <v>39987.315405092595</v>
      </c>
      <c r="M10243" s="9" t="s">
        <v>19</v>
      </c>
      <c r="N10243" s="9" t="s">
        <v>20</v>
      </c>
      <c r="O10243" s="6" t="str">
        <f>HYPERLINK("https://pbs.twimg.com/profile_images/962471262747529216/Uo8lOkRJ_normal.jpg","View")</f>
        <v>View</v>
      </c>
      <c r="P10243" s="7"/>
    </row>
    <row r="10244" spans="1:16">
      <c r="A10244" s="3">
        <v>44096.143252314811</v>
      </c>
      <c r="B10244" s="4" t="str">
        <f>HYPERLINK("https://twitter.com/petrogustavo","@petrogustavo")</f>
        <v>@petrogustavo</v>
      </c>
      <c r="C10244" s="5" t="s">
        <v>16</v>
      </c>
      <c r="D10244" s="5" t="s">
        <v>9856</v>
      </c>
      <c r="E10244" s="6" t="str">
        <f>HYPERLINK("https://twitter.com/petrogustavo/status/1308163165113454592","1308163165113454592")</f>
        <v>1308163165113454592</v>
      </c>
      <c r="F10244" s="7" t="s">
        <v>17</v>
      </c>
      <c r="G10244" s="7">
        <v>3979531</v>
      </c>
      <c r="H10244" s="7">
        <v>2439</v>
      </c>
      <c r="I10244" s="7">
        <v>87</v>
      </c>
      <c r="J10244" s="7">
        <v>0</v>
      </c>
      <c r="K10244" s="7" t="s">
        <v>18</v>
      </c>
      <c r="L10244" s="8">
        <v>39987.315405092595</v>
      </c>
      <c r="M10244" s="9" t="s">
        <v>19</v>
      </c>
      <c r="N10244" s="9" t="s">
        <v>20</v>
      </c>
      <c r="O10244" s="6" t="str">
        <f>HYPERLINK("https://pbs.twimg.com/profile_images/962471262747529216/Uo8lOkRJ_normal.jpg","View")</f>
        <v>View</v>
      </c>
      <c r="P10244" s="7"/>
    </row>
    <row r="10245" spans="1:16">
      <c r="A10245" s="3">
        <v>44096.143993055557</v>
      </c>
      <c r="B10245" s="4" t="str">
        <f>HYPERLINK("https://twitter.com/petrogustavo","@petrogustavo")</f>
        <v>@petrogustavo</v>
      </c>
      <c r="C10245" s="5" t="s">
        <v>16</v>
      </c>
      <c r="D10245" s="5" t="s">
        <v>9857</v>
      </c>
      <c r="E10245" s="6" t="str">
        <f>HYPERLINK("https://twitter.com/petrogustavo/status/1308163430742974465","1308163430742974465")</f>
        <v>1308163430742974465</v>
      </c>
      <c r="F10245" s="7" t="s">
        <v>17</v>
      </c>
      <c r="G10245" s="7">
        <v>3979531</v>
      </c>
      <c r="H10245" s="7">
        <v>2439</v>
      </c>
      <c r="I10245" s="7">
        <v>44</v>
      </c>
      <c r="J10245" s="7">
        <v>0</v>
      </c>
      <c r="K10245" s="7" t="s">
        <v>18</v>
      </c>
      <c r="L10245" s="8">
        <v>39987.315405092595</v>
      </c>
      <c r="M10245" s="9" t="s">
        <v>19</v>
      </c>
      <c r="N10245" s="9" t="s">
        <v>20</v>
      </c>
      <c r="O10245" s="6" t="str">
        <f>HYPERLINK("https://pbs.twimg.com/profile_images/962471262747529216/Uo8lOkRJ_normal.jpg","View")</f>
        <v>View</v>
      </c>
      <c r="P10245" s="7"/>
    </row>
    <row r="10246" spans="1:16">
      <c r="A10246" s="3">
        <v>44096.144386574073</v>
      </c>
      <c r="B10246" s="4" t="str">
        <f>HYPERLINK("https://twitter.com/petrogustavo","@petrogustavo")</f>
        <v>@petrogustavo</v>
      </c>
      <c r="C10246" s="5" t="s">
        <v>16</v>
      </c>
      <c r="D10246" s="5" t="s">
        <v>9858</v>
      </c>
      <c r="E10246" s="6" t="str">
        <f>HYPERLINK("https://twitter.com/petrogustavo/status/1308163574615990274","1308163574615990274")</f>
        <v>1308163574615990274</v>
      </c>
      <c r="F10246" s="7" t="s">
        <v>17</v>
      </c>
      <c r="G10246" s="7">
        <v>3979531</v>
      </c>
      <c r="H10246" s="7">
        <v>2439</v>
      </c>
      <c r="I10246" s="7">
        <v>66</v>
      </c>
      <c r="J10246" s="7">
        <v>0</v>
      </c>
      <c r="K10246" s="7" t="s">
        <v>18</v>
      </c>
      <c r="L10246" s="8">
        <v>39987.315405092595</v>
      </c>
      <c r="M10246" s="9" t="s">
        <v>19</v>
      </c>
      <c r="N10246" s="9" t="s">
        <v>20</v>
      </c>
      <c r="O10246" s="6" t="str">
        <f>HYPERLINK("https://pbs.twimg.com/profile_images/962471262747529216/Uo8lOkRJ_normal.jpg","View")</f>
        <v>View</v>
      </c>
      <c r="P10246" s="7"/>
    </row>
    <row r="10247" spans="1:16">
      <c r="A10247" s="3">
        <v>44096.144791666666</v>
      </c>
      <c r="B10247" s="4" t="str">
        <f>HYPERLINK("https://twitter.com/petrogustavo","@petrogustavo")</f>
        <v>@petrogustavo</v>
      </c>
      <c r="C10247" s="5" t="s">
        <v>16</v>
      </c>
      <c r="D10247" s="5" t="s">
        <v>9859</v>
      </c>
      <c r="E10247" s="6" t="str">
        <f>HYPERLINK("https://twitter.com/petrogustavo/status/1308163720133120001","1308163720133120001")</f>
        <v>1308163720133120001</v>
      </c>
      <c r="F10247" s="7" t="s">
        <v>17</v>
      </c>
      <c r="G10247" s="7">
        <v>3979531</v>
      </c>
      <c r="H10247" s="7">
        <v>2439</v>
      </c>
      <c r="I10247" s="7">
        <v>64</v>
      </c>
      <c r="J10247" s="7">
        <v>0</v>
      </c>
      <c r="K10247" s="7" t="s">
        <v>18</v>
      </c>
      <c r="L10247" s="8">
        <v>39987.315405092595</v>
      </c>
      <c r="M10247" s="9" t="s">
        <v>19</v>
      </c>
      <c r="N10247" s="9" t="s">
        <v>20</v>
      </c>
      <c r="O10247" s="6" t="str">
        <f>HYPERLINK("https://pbs.twimg.com/profile_images/962471262747529216/Uo8lOkRJ_normal.jpg","View")</f>
        <v>View</v>
      </c>
      <c r="P10247" s="7"/>
    </row>
    <row r="10248" spans="1:16">
      <c r="A10248" s="3">
        <v>44096.145682870367</v>
      </c>
      <c r="B10248" s="4" t="str">
        <f>HYPERLINK("https://twitter.com/petrogustavo","@petrogustavo")</f>
        <v>@petrogustavo</v>
      </c>
      <c r="C10248" s="5" t="s">
        <v>16</v>
      </c>
      <c r="D10248" s="5" t="s">
        <v>9860</v>
      </c>
      <c r="E10248" s="6" t="str">
        <f>HYPERLINK("https://twitter.com/petrogustavo/status/1308164045401452547","1308164045401452547")</f>
        <v>1308164045401452547</v>
      </c>
      <c r="F10248" s="7" t="s">
        <v>17</v>
      </c>
      <c r="G10248" s="7">
        <v>3979531</v>
      </c>
      <c r="H10248" s="7">
        <v>2439</v>
      </c>
      <c r="I10248" s="7">
        <v>25</v>
      </c>
      <c r="J10248" s="7">
        <v>0</v>
      </c>
      <c r="K10248" s="7" t="s">
        <v>18</v>
      </c>
      <c r="L10248" s="8">
        <v>39987.315405092595</v>
      </c>
      <c r="M10248" s="9" t="s">
        <v>19</v>
      </c>
      <c r="N10248" s="9" t="s">
        <v>20</v>
      </c>
      <c r="O10248" s="6" t="str">
        <f>HYPERLINK("https://pbs.twimg.com/profile_images/962471262747529216/Uo8lOkRJ_normal.jpg","View")</f>
        <v>View</v>
      </c>
      <c r="P10248" s="7"/>
    </row>
    <row r="10249" spans="1:16">
      <c r="A10249" s="3">
        <v>44096.147094907406</v>
      </c>
      <c r="B10249" s="4" t="str">
        <f>HYPERLINK("https://twitter.com/petrogustavo","@petrogustavo")</f>
        <v>@petrogustavo</v>
      </c>
      <c r="C10249" s="5" t="s">
        <v>16</v>
      </c>
      <c r="D10249" s="5" t="s">
        <v>9861</v>
      </c>
      <c r="E10249" s="6" t="str">
        <f>HYPERLINK("https://twitter.com/petrogustavo/status/1308164558725484544","1308164558725484544")</f>
        <v>1308164558725484544</v>
      </c>
      <c r="F10249" s="7" t="s">
        <v>17</v>
      </c>
      <c r="G10249" s="7">
        <v>3979531</v>
      </c>
      <c r="H10249" s="7">
        <v>2439</v>
      </c>
      <c r="I10249" s="7">
        <v>21</v>
      </c>
      <c r="J10249" s="7">
        <v>0</v>
      </c>
      <c r="K10249" s="7" t="s">
        <v>18</v>
      </c>
      <c r="L10249" s="8">
        <v>39987.315405092595</v>
      </c>
      <c r="M10249" s="9" t="s">
        <v>19</v>
      </c>
      <c r="N10249" s="9" t="s">
        <v>20</v>
      </c>
      <c r="O10249" s="6" t="str">
        <f>HYPERLINK("https://pbs.twimg.com/profile_images/962471262747529216/Uo8lOkRJ_normal.jpg","View")</f>
        <v>View</v>
      </c>
      <c r="P10249" s="7"/>
    </row>
    <row r="10250" spans="1:16">
      <c r="A10250" s="3">
        <v>44096.147395833337</v>
      </c>
      <c r="B10250" s="4" t="str">
        <f>HYPERLINK("https://twitter.com/petrogustavo","@petrogustavo")</f>
        <v>@petrogustavo</v>
      </c>
      <c r="C10250" s="5" t="s">
        <v>16</v>
      </c>
      <c r="D10250" s="5" t="s">
        <v>9862</v>
      </c>
      <c r="E10250" s="6" t="str">
        <f>HYPERLINK("https://twitter.com/petrogustavo/status/1308164664283590657","1308164664283590657")</f>
        <v>1308164664283590657</v>
      </c>
      <c r="F10250" s="7" t="s">
        <v>17</v>
      </c>
      <c r="G10250" s="7">
        <v>3979531</v>
      </c>
      <c r="H10250" s="7">
        <v>2439</v>
      </c>
      <c r="I10250" s="7">
        <v>26</v>
      </c>
      <c r="J10250" s="7">
        <v>0</v>
      </c>
      <c r="K10250" s="7" t="s">
        <v>18</v>
      </c>
      <c r="L10250" s="8">
        <v>39987.315405092595</v>
      </c>
      <c r="M10250" s="9" t="s">
        <v>19</v>
      </c>
      <c r="N10250" s="9" t="s">
        <v>20</v>
      </c>
      <c r="O10250" s="6" t="str">
        <f>HYPERLINK("https://pbs.twimg.com/profile_images/962471262747529216/Uo8lOkRJ_normal.jpg","View")</f>
        <v>View</v>
      </c>
      <c r="P10250" s="7"/>
    </row>
    <row r="10251" spans="1:16">
      <c r="A10251" s="3">
        <v>44096.147581018522</v>
      </c>
      <c r="B10251" s="4" t="str">
        <f>HYPERLINK("https://twitter.com/petrogustavo","@petrogustavo")</f>
        <v>@petrogustavo</v>
      </c>
      <c r="C10251" s="5" t="s">
        <v>16</v>
      </c>
      <c r="D10251" s="5" t="s">
        <v>9863</v>
      </c>
      <c r="E10251" s="6" t="str">
        <f>HYPERLINK("https://twitter.com/petrogustavo/status/1308164734634668034","1308164734634668034")</f>
        <v>1308164734634668034</v>
      </c>
      <c r="F10251" s="7" t="s">
        <v>17</v>
      </c>
      <c r="G10251" s="7">
        <v>3979545</v>
      </c>
      <c r="H10251" s="7">
        <v>2439</v>
      </c>
      <c r="I10251" s="7">
        <v>236</v>
      </c>
      <c r="J10251" s="7">
        <v>0</v>
      </c>
      <c r="K10251" s="7" t="s">
        <v>18</v>
      </c>
      <c r="L10251" s="8">
        <v>39987.315405092595</v>
      </c>
      <c r="M10251" s="9" t="s">
        <v>19</v>
      </c>
      <c r="N10251" s="9" t="s">
        <v>20</v>
      </c>
      <c r="O10251" s="6" t="str">
        <f>HYPERLINK("https://pbs.twimg.com/profile_images/962471262747529216/Uo8lOkRJ_normal.jpg","View")</f>
        <v>View</v>
      </c>
      <c r="P10251" s="7"/>
    </row>
    <row r="10252" spans="1:16">
      <c r="A10252" s="3">
        <v>44096.147824074069</v>
      </c>
      <c r="B10252" s="4" t="str">
        <f>HYPERLINK("https://twitter.com/petrogustavo","@petrogustavo")</f>
        <v>@petrogustavo</v>
      </c>
      <c r="C10252" s="5" t="s">
        <v>16</v>
      </c>
      <c r="D10252" s="5" t="s">
        <v>9864</v>
      </c>
      <c r="E10252" s="6" t="str">
        <f>HYPERLINK("https://twitter.com/petrogustavo/status/1308164822564040709","1308164822564040709")</f>
        <v>1308164822564040709</v>
      </c>
      <c r="F10252" s="7" t="s">
        <v>17</v>
      </c>
      <c r="G10252" s="7">
        <v>3979545</v>
      </c>
      <c r="H10252" s="7">
        <v>2439</v>
      </c>
      <c r="I10252" s="7">
        <v>156</v>
      </c>
      <c r="J10252" s="7">
        <v>0</v>
      </c>
      <c r="K10252" s="7" t="s">
        <v>18</v>
      </c>
      <c r="L10252" s="8">
        <v>39987.315405092595</v>
      </c>
      <c r="M10252" s="9" t="s">
        <v>19</v>
      </c>
      <c r="N10252" s="9" t="s">
        <v>20</v>
      </c>
      <c r="O10252" s="6" t="str">
        <f>HYPERLINK("https://pbs.twimg.com/profile_images/962471262747529216/Uo8lOkRJ_normal.jpg","View")</f>
        <v>View</v>
      </c>
      <c r="P10252" s="7"/>
    </row>
    <row r="10253" spans="1:16">
      <c r="A10253" s="3">
        <v>44096.148310185185</v>
      </c>
      <c r="B10253" s="4" t="str">
        <f>HYPERLINK("https://twitter.com/petrogustavo","@petrogustavo")</f>
        <v>@petrogustavo</v>
      </c>
      <c r="C10253" s="5" t="s">
        <v>16</v>
      </c>
      <c r="D10253" s="5" t="s">
        <v>9865</v>
      </c>
      <c r="E10253" s="6" t="str">
        <f>HYPERLINK("https://twitter.com/petrogustavo/status/1308164998502457345","1308164998502457345")</f>
        <v>1308164998502457345</v>
      </c>
      <c r="F10253" s="7" t="s">
        <v>17</v>
      </c>
      <c r="G10253" s="7">
        <v>3979545</v>
      </c>
      <c r="H10253" s="7">
        <v>2439</v>
      </c>
      <c r="I10253" s="7">
        <v>262</v>
      </c>
      <c r="J10253" s="7">
        <v>0</v>
      </c>
      <c r="K10253" s="7" t="s">
        <v>18</v>
      </c>
      <c r="L10253" s="8">
        <v>39987.315405092595</v>
      </c>
      <c r="M10253" s="9" t="s">
        <v>19</v>
      </c>
      <c r="N10253" s="9" t="s">
        <v>20</v>
      </c>
      <c r="O10253" s="6" t="str">
        <f>HYPERLINK("https://pbs.twimg.com/profile_images/962471262747529216/Uo8lOkRJ_normal.jpg","View")</f>
        <v>View</v>
      </c>
      <c r="P10253" s="7"/>
    </row>
    <row r="10254" spans="1:16">
      <c r="A10254" s="3">
        <v>44096.1487962963</v>
      </c>
      <c r="B10254" s="4" t="str">
        <f>HYPERLINK("https://twitter.com/petrogustavo","@petrogustavo")</f>
        <v>@petrogustavo</v>
      </c>
      <c r="C10254" s="5" t="s">
        <v>16</v>
      </c>
      <c r="D10254" s="5" t="s">
        <v>9866</v>
      </c>
      <c r="E10254" s="6" t="str">
        <f>HYPERLINK("https://twitter.com/petrogustavo/status/1308165174424145921","1308165174424145921")</f>
        <v>1308165174424145921</v>
      </c>
      <c r="F10254" s="7" t="s">
        <v>17</v>
      </c>
      <c r="G10254" s="7">
        <v>3979545</v>
      </c>
      <c r="H10254" s="7">
        <v>2439</v>
      </c>
      <c r="I10254" s="7">
        <v>773</v>
      </c>
      <c r="J10254" s="7">
        <v>0</v>
      </c>
      <c r="K10254" s="7" t="s">
        <v>18</v>
      </c>
      <c r="L10254" s="8">
        <v>39987.315405092595</v>
      </c>
      <c r="M10254" s="9" t="s">
        <v>19</v>
      </c>
      <c r="N10254" s="9" t="s">
        <v>20</v>
      </c>
      <c r="O10254" s="6" t="str">
        <f>HYPERLINK("https://pbs.twimg.com/profile_images/962471262747529216/Uo8lOkRJ_normal.jpg","View")</f>
        <v>View</v>
      </c>
      <c r="P10254" s="7"/>
    </row>
    <row r="10255" spans="1:16">
      <c r="A10255" s="3">
        <v>44096.148900462962</v>
      </c>
      <c r="B10255" s="4" t="str">
        <f>HYPERLINK("https://twitter.com/petrogustavo","@petrogustavo")</f>
        <v>@petrogustavo</v>
      </c>
      <c r="C10255" s="5" t="s">
        <v>16</v>
      </c>
      <c r="D10255" s="5" t="s">
        <v>9867</v>
      </c>
      <c r="E10255" s="6" t="str">
        <f>HYPERLINK("https://twitter.com/petrogustavo/status/1308165209597632512","1308165209597632512")</f>
        <v>1308165209597632512</v>
      </c>
      <c r="F10255" s="7" t="s">
        <v>17</v>
      </c>
      <c r="G10255" s="7">
        <v>3979545</v>
      </c>
      <c r="H10255" s="7">
        <v>2439</v>
      </c>
      <c r="I10255" s="7">
        <v>60</v>
      </c>
      <c r="J10255" s="7">
        <v>0</v>
      </c>
      <c r="K10255" s="7" t="s">
        <v>18</v>
      </c>
      <c r="L10255" s="8">
        <v>39987.315405092595</v>
      </c>
      <c r="M10255" s="9" t="s">
        <v>19</v>
      </c>
      <c r="N10255" s="9" t="s">
        <v>20</v>
      </c>
      <c r="O10255" s="6" t="str">
        <f>HYPERLINK("https://pbs.twimg.com/profile_images/962471262747529216/Uo8lOkRJ_normal.jpg","View")</f>
        <v>View</v>
      </c>
      <c r="P10255" s="7"/>
    </row>
    <row r="10256" spans="1:16">
      <c r="A10256" s="3">
        <v>44096.152280092589</v>
      </c>
      <c r="B10256" s="4" t="str">
        <f>HYPERLINK("https://twitter.com/petrogustavo","@petrogustavo")</f>
        <v>@petrogustavo</v>
      </c>
      <c r="C10256" s="5" t="s">
        <v>16</v>
      </c>
      <c r="D10256" s="5" t="s">
        <v>9868</v>
      </c>
      <c r="E10256" s="6" t="str">
        <f>HYPERLINK("https://twitter.com/petrogustavo/status/1308166437845053440","1308166437845053440")</f>
        <v>1308166437845053440</v>
      </c>
      <c r="F10256" s="7" t="s">
        <v>17</v>
      </c>
      <c r="G10256" s="7">
        <v>3979545</v>
      </c>
      <c r="H10256" s="7">
        <v>2439</v>
      </c>
      <c r="I10256" s="7">
        <v>331</v>
      </c>
      <c r="J10256" s="7">
        <v>927</v>
      </c>
      <c r="K10256" s="7" t="s">
        <v>18</v>
      </c>
      <c r="L10256" s="8">
        <v>39987.315405092595</v>
      </c>
      <c r="M10256" s="9" t="s">
        <v>19</v>
      </c>
      <c r="N10256" s="9" t="s">
        <v>20</v>
      </c>
      <c r="O10256" s="6" t="str">
        <f>HYPERLINK("https://pbs.twimg.com/profile_images/962471262747529216/Uo8lOkRJ_normal.jpg","View")</f>
        <v>View</v>
      </c>
      <c r="P10256" s="7"/>
    </row>
    <row r="10257" spans="1:16">
      <c r="A10257" s="3">
        <v>44096.152615740742</v>
      </c>
      <c r="B10257" s="4" t="str">
        <f>HYPERLINK("https://twitter.com/petrogustavo","@petrogustavo")</f>
        <v>@petrogustavo</v>
      </c>
      <c r="C10257" s="5" t="s">
        <v>16</v>
      </c>
      <c r="D10257" s="5" t="s">
        <v>9869</v>
      </c>
      <c r="E10257" s="6" t="str">
        <f>HYPERLINK("https://twitter.com/petrogustavo/status/1308166558498291713","1308166558498291713")</f>
        <v>1308166558498291713</v>
      </c>
      <c r="F10257" s="7" t="s">
        <v>17</v>
      </c>
      <c r="G10257" s="7">
        <v>3979545</v>
      </c>
      <c r="H10257" s="7">
        <v>2439</v>
      </c>
      <c r="I10257" s="7">
        <v>326</v>
      </c>
      <c r="J10257" s="7">
        <v>0</v>
      </c>
      <c r="K10257" s="7" t="s">
        <v>18</v>
      </c>
      <c r="L10257" s="8">
        <v>39987.315405092595</v>
      </c>
      <c r="M10257" s="9" t="s">
        <v>19</v>
      </c>
      <c r="N10257" s="9" t="s">
        <v>20</v>
      </c>
      <c r="O10257" s="6" t="str">
        <f>HYPERLINK("https://pbs.twimg.com/profile_images/962471262747529216/Uo8lOkRJ_normal.jpg","View")</f>
        <v>View</v>
      </c>
      <c r="P10257" s="7"/>
    </row>
    <row r="10258" spans="1:16">
      <c r="A10258" s="3">
        <v>44096.152916666666</v>
      </c>
      <c r="B10258" s="4" t="str">
        <f>HYPERLINK("https://twitter.com/petrogustavo","@petrogustavo")</f>
        <v>@petrogustavo</v>
      </c>
      <c r="C10258" s="5" t="s">
        <v>16</v>
      </c>
      <c r="D10258" s="5" t="s">
        <v>9870</v>
      </c>
      <c r="E10258" s="6" t="str">
        <f>HYPERLINK("https://twitter.com/petrogustavo/status/1308166667806158849","1308166667806158849")</f>
        <v>1308166667806158849</v>
      </c>
      <c r="F10258" s="7" t="s">
        <v>17</v>
      </c>
      <c r="G10258" s="7">
        <v>3979545</v>
      </c>
      <c r="H10258" s="7">
        <v>2439</v>
      </c>
      <c r="I10258" s="7">
        <v>378</v>
      </c>
      <c r="J10258" s="7">
        <v>0</v>
      </c>
      <c r="K10258" s="7" t="s">
        <v>18</v>
      </c>
      <c r="L10258" s="8">
        <v>39987.315405092595</v>
      </c>
      <c r="M10258" s="9" t="s">
        <v>19</v>
      </c>
      <c r="N10258" s="9" t="s">
        <v>20</v>
      </c>
      <c r="O10258" s="6" t="str">
        <f>HYPERLINK("https://pbs.twimg.com/profile_images/962471262747529216/Uo8lOkRJ_normal.jpg","View")</f>
        <v>View</v>
      </c>
      <c r="P10258" s="7"/>
    </row>
    <row r="10259" spans="1:16">
      <c r="A10259" s="3">
        <v>44096.153321759259</v>
      </c>
      <c r="B10259" s="4" t="str">
        <f>HYPERLINK("https://twitter.com/petrogustavo","@petrogustavo")</f>
        <v>@petrogustavo</v>
      </c>
      <c r="C10259" s="5" t="s">
        <v>16</v>
      </c>
      <c r="D10259" s="5" t="s">
        <v>9871</v>
      </c>
      <c r="E10259" s="6" t="str">
        <f>HYPERLINK("https://twitter.com/petrogustavo/status/1308166813201596425","1308166813201596425")</f>
        <v>1308166813201596425</v>
      </c>
      <c r="F10259" s="7" t="s">
        <v>17</v>
      </c>
      <c r="G10259" s="7">
        <v>3979545</v>
      </c>
      <c r="H10259" s="7">
        <v>2439</v>
      </c>
      <c r="I10259" s="7">
        <v>36</v>
      </c>
      <c r="J10259" s="7">
        <v>0</v>
      </c>
      <c r="K10259" s="7" t="s">
        <v>18</v>
      </c>
      <c r="L10259" s="8">
        <v>39987.315405092595</v>
      </c>
      <c r="M10259" s="9" t="s">
        <v>19</v>
      </c>
      <c r="N10259" s="9" t="s">
        <v>20</v>
      </c>
      <c r="O10259" s="6" t="str">
        <f>HYPERLINK("https://pbs.twimg.com/profile_images/962471262747529216/Uo8lOkRJ_normal.jpg","View")</f>
        <v>View</v>
      </c>
      <c r="P10259" s="7"/>
    </row>
    <row r="10260" spans="1:16">
      <c r="A10260" s="3">
        <v>44096.157557870371</v>
      </c>
      <c r="B10260" s="4" t="str">
        <f>HYPERLINK("https://twitter.com/petrogustavo","@petrogustavo")</f>
        <v>@petrogustavo</v>
      </c>
      <c r="C10260" s="5" t="s">
        <v>16</v>
      </c>
      <c r="D10260" s="5" t="s">
        <v>9872</v>
      </c>
      <c r="E10260" s="6" t="str">
        <f>HYPERLINK("https://twitter.com/petrogustavo/status/1308168349596213248","1308168349596213248")</f>
        <v>1308168349596213248</v>
      </c>
      <c r="F10260" s="7" t="s">
        <v>17</v>
      </c>
      <c r="G10260" s="7">
        <v>3979545</v>
      </c>
      <c r="H10260" s="7">
        <v>2439</v>
      </c>
      <c r="I10260" s="7">
        <v>317</v>
      </c>
      <c r="J10260" s="7">
        <v>696</v>
      </c>
      <c r="K10260" s="7" t="s">
        <v>18</v>
      </c>
      <c r="L10260" s="8">
        <v>39987.315405092595</v>
      </c>
      <c r="M10260" s="9" t="s">
        <v>19</v>
      </c>
      <c r="N10260" s="9" t="s">
        <v>20</v>
      </c>
      <c r="O10260" s="6" t="str">
        <f>HYPERLINK("https://pbs.twimg.com/profile_images/962471262747529216/Uo8lOkRJ_normal.jpg","View")</f>
        <v>View</v>
      </c>
      <c r="P10260" s="7"/>
    </row>
    <row r="10261" spans="1:16">
      <c r="A10261" s="3">
        <v>44096.159537037034</v>
      </c>
      <c r="B10261" s="4" t="str">
        <f>HYPERLINK("https://twitter.com/petrogustavo","@petrogustavo")</f>
        <v>@petrogustavo</v>
      </c>
      <c r="C10261" s="5" t="s">
        <v>16</v>
      </c>
      <c r="D10261" s="5" t="s">
        <v>9873</v>
      </c>
      <c r="E10261" s="6" t="str">
        <f>HYPERLINK("https://twitter.com/petrogustavo/status/1308169067405217798","1308169067405217798")</f>
        <v>1308169067405217798</v>
      </c>
      <c r="F10261" s="7" t="s">
        <v>17</v>
      </c>
      <c r="G10261" s="7">
        <v>3979545</v>
      </c>
      <c r="H10261" s="7">
        <v>2439</v>
      </c>
      <c r="I10261" s="7">
        <v>151</v>
      </c>
      <c r="J10261" s="7">
        <v>0</v>
      </c>
      <c r="K10261" s="7" t="s">
        <v>18</v>
      </c>
      <c r="L10261" s="8">
        <v>39987.315405092595</v>
      </c>
      <c r="M10261" s="9" t="s">
        <v>19</v>
      </c>
      <c r="N10261" s="9" t="s">
        <v>20</v>
      </c>
      <c r="O10261" s="6" t="str">
        <f>HYPERLINK("https://pbs.twimg.com/profile_images/962471262747529216/Uo8lOkRJ_normal.jpg","View")</f>
        <v>View</v>
      </c>
      <c r="P10261" s="7"/>
    </row>
    <row r="10262" spans="1:16">
      <c r="A10262" s="3">
        <v>44096.160532407404</v>
      </c>
      <c r="B10262" s="4" t="str">
        <f>HYPERLINK("https://twitter.com/petrogustavo","@petrogustavo")</f>
        <v>@petrogustavo</v>
      </c>
      <c r="C10262" s="5" t="s">
        <v>16</v>
      </c>
      <c r="D10262" s="5" t="s">
        <v>9874</v>
      </c>
      <c r="E10262" s="6" t="str">
        <f>HYPERLINK("https://twitter.com/petrogustavo/status/1308169427536535557","1308169427536535557")</f>
        <v>1308169427536535557</v>
      </c>
      <c r="F10262" s="7" t="s">
        <v>17</v>
      </c>
      <c r="G10262" s="7">
        <v>3979545</v>
      </c>
      <c r="H10262" s="7">
        <v>2439</v>
      </c>
      <c r="I10262" s="7">
        <v>333</v>
      </c>
      <c r="J10262" s="7">
        <v>0</v>
      </c>
      <c r="K10262" s="7" t="s">
        <v>18</v>
      </c>
      <c r="L10262" s="8">
        <v>39987.315405092595</v>
      </c>
      <c r="M10262" s="9" t="s">
        <v>19</v>
      </c>
      <c r="N10262" s="9" t="s">
        <v>20</v>
      </c>
      <c r="O10262" s="6" t="str">
        <f>HYPERLINK("https://pbs.twimg.com/profile_images/962471262747529216/Uo8lOkRJ_normal.jpg","View")</f>
        <v>View</v>
      </c>
      <c r="P10262" s="7"/>
    </row>
    <row r="10263" spans="1:16">
      <c r="A10263" s="3">
        <v>44096.161932870367</v>
      </c>
      <c r="B10263" s="4" t="str">
        <f>HYPERLINK("https://twitter.com/petrogustavo","@petrogustavo")</f>
        <v>@petrogustavo</v>
      </c>
      <c r="C10263" s="5" t="s">
        <v>16</v>
      </c>
      <c r="D10263" s="5" t="s">
        <v>9875</v>
      </c>
      <c r="E10263" s="6" t="str">
        <f>HYPERLINK("https://twitter.com/petrogustavo/status/1308169932350410753","1308169932350410753")</f>
        <v>1308169932350410753</v>
      </c>
      <c r="F10263" s="7" t="s">
        <v>17</v>
      </c>
      <c r="G10263" s="7">
        <v>3979545</v>
      </c>
      <c r="H10263" s="7">
        <v>2439</v>
      </c>
      <c r="I10263" s="7">
        <v>95</v>
      </c>
      <c r="J10263" s="7">
        <v>169</v>
      </c>
      <c r="K10263" s="7" t="s">
        <v>18</v>
      </c>
      <c r="L10263" s="8">
        <v>39987.315405092595</v>
      </c>
      <c r="M10263" s="9" t="s">
        <v>19</v>
      </c>
      <c r="N10263" s="9" t="s">
        <v>20</v>
      </c>
      <c r="O10263" s="6" t="str">
        <f>HYPERLINK("https://pbs.twimg.com/profile_images/962471262747529216/Uo8lOkRJ_normal.jpg","View")</f>
        <v>View</v>
      </c>
      <c r="P10263" s="7"/>
    </row>
    <row r="10264" spans="1:16">
      <c r="A10264" s="3">
        <v>44096.164004629631</v>
      </c>
      <c r="B10264" s="4" t="str">
        <f>HYPERLINK("https://twitter.com/petrogustavo","@petrogustavo")</f>
        <v>@petrogustavo</v>
      </c>
      <c r="C10264" s="5" t="s">
        <v>16</v>
      </c>
      <c r="D10264" s="5" t="s">
        <v>9876</v>
      </c>
      <c r="E10264" s="6" t="str">
        <f>HYPERLINK("https://twitter.com/petrogustavo/status/1308170682770087938","1308170682770087938")</f>
        <v>1308170682770087938</v>
      </c>
      <c r="F10264" s="7" t="s">
        <v>17</v>
      </c>
      <c r="G10264" s="7">
        <v>3979545</v>
      </c>
      <c r="H10264" s="7">
        <v>2439</v>
      </c>
      <c r="I10264" s="7">
        <v>164</v>
      </c>
      <c r="J10264" s="7">
        <v>223</v>
      </c>
      <c r="K10264" s="7" t="s">
        <v>18</v>
      </c>
      <c r="L10264" s="8">
        <v>39987.315405092595</v>
      </c>
      <c r="M10264" s="9" t="s">
        <v>19</v>
      </c>
      <c r="N10264" s="9" t="s">
        <v>20</v>
      </c>
      <c r="O10264" s="6" t="str">
        <f>HYPERLINK("https://pbs.twimg.com/profile_images/962471262747529216/Uo8lOkRJ_normal.jpg","View")</f>
        <v>View</v>
      </c>
      <c r="P10264" s="7"/>
    </row>
    <row r="10265" spans="1:16">
      <c r="A10265" s="3">
        <v>44096.169131944444</v>
      </c>
      <c r="B10265" s="4" t="str">
        <f>HYPERLINK("https://twitter.com/petrogustavo","@petrogustavo")</f>
        <v>@petrogustavo</v>
      </c>
      <c r="C10265" s="5" t="s">
        <v>16</v>
      </c>
      <c r="D10265" s="5" t="s">
        <v>9877</v>
      </c>
      <c r="E10265" s="6" t="str">
        <f>HYPERLINK("https://twitter.com/petrogustavo/status/1308172541698224129","1308172541698224129")</f>
        <v>1308172541698224129</v>
      </c>
      <c r="F10265" s="7" t="s">
        <v>17</v>
      </c>
      <c r="G10265" s="7">
        <v>3979547</v>
      </c>
      <c r="H10265" s="7">
        <v>2439</v>
      </c>
      <c r="I10265" s="7">
        <v>105</v>
      </c>
      <c r="J10265" s="7">
        <v>0</v>
      </c>
      <c r="K10265" s="7" t="s">
        <v>18</v>
      </c>
      <c r="L10265" s="8">
        <v>39987.315405092595</v>
      </c>
      <c r="M10265" s="9" t="s">
        <v>19</v>
      </c>
      <c r="N10265" s="9" t="s">
        <v>20</v>
      </c>
      <c r="O10265" s="6" t="str">
        <f>HYPERLINK("https://pbs.twimg.com/profile_images/962471262747529216/Uo8lOkRJ_normal.jpg","View")</f>
        <v>View</v>
      </c>
      <c r="P10265" s="7"/>
    </row>
    <row r="10266" spans="1:16">
      <c r="A10266" s="3">
        <v>44096.16978009259</v>
      </c>
      <c r="B10266" s="4" t="str">
        <f>HYPERLINK("https://twitter.com/petrogustavo","@petrogustavo")</f>
        <v>@petrogustavo</v>
      </c>
      <c r="C10266" s="5" t="s">
        <v>16</v>
      </c>
      <c r="D10266" s="5" t="s">
        <v>9878</v>
      </c>
      <c r="E10266" s="6" t="str">
        <f>HYPERLINK("https://twitter.com/petrogustavo/status/1308172779565600768","1308172779565600768")</f>
        <v>1308172779565600768</v>
      </c>
      <c r="F10266" s="7" t="s">
        <v>17</v>
      </c>
      <c r="G10266" s="7">
        <v>3979547</v>
      </c>
      <c r="H10266" s="7">
        <v>2439</v>
      </c>
      <c r="I10266" s="7">
        <v>91</v>
      </c>
      <c r="J10266" s="7">
        <v>0</v>
      </c>
      <c r="K10266" s="7" t="s">
        <v>18</v>
      </c>
      <c r="L10266" s="8">
        <v>39987.315405092595</v>
      </c>
      <c r="M10266" s="9" t="s">
        <v>19</v>
      </c>
      <c r="N10266" s="9" t="s">
        <v>20</v>
      </c>
      <c r="O10266" s="6" t="str">
        <f>HYPERLINK("https://pbs.twimg.com/profile_images/962471262747529216/Uo8lOkRJ_normal.jpg","View")</f>
        <v>View</v>
      </c>
      <c r="P10266" s="7"/>
    </row>
    <row r="10267" spans="1:16">
      <c r="A10267" s="3">
        <v>44096.16988425926</v>
      </c>
      <c r="B10267" s="4" t="str">
        <f>HYPERLINK("https://twitter.com/petrogustavo","@petrogustavo")</f>
        <v>@petrogustavo</v>
      </c>
      <c r="C10267" s="5" t="s">
        <v>16</v>
      </c>
      <c r="D10267" s="5" t="s">
        <v>9879</v>
      </c>
      <c r="E10267" s="6" t="str">
        <f>HYPERLINK("https://twitter.com/petrogustavo/status/1308172813702963205","1308172813702963205")</f>
        <v>1308172813702963205</v>
      </c>
      <c r="F10267" s="7" t="s">
        <v>17</v>
      </c>
      <c r="G10267" s="7">
        <v>3979547</v>
      </c>
      <c r="H10267" s="7">
        <v>2439</v>
      </c>
      <c r="I10267" s="7">
        <v>43</v>
      </c>
      <c r="J10267" s="7">
        <v>0</v>
      </c>
      <c r="K10267" s="7" t="s">
        <v>18</v>
      </c>
      <c r="L10267" s="8">
        <v>39987.315405092595</v>
      </c>
      <c r="M10267" s="9" t="s">
        <v>19</v>
      </c>
      <c r="N10267" s="9" t="s">
        <v>20</v>
      </c>
      <c r="O10267" s="6" t="str">
        <f>HYPERLINK("https://pbs.twimg.com/profile_images/962471262747529216/Uo8lOkRJ_normal.jpg","View")</f>
        <v>View</v>
      </c>
      <c r="P10267" s="7"/>
    </row>
    <row r="10268" spans="1:16">
      <c r="A10268" s="3">
        <v>44096.170439814814</v>
      </c>
      <c r="B10268" s="4" t="str">
        <f>HYPERLINK("https://twitter.com/petrogustavo","@petrogustavo")</f>
        <v>@petrogustavo</v>
      </c>
      <c r="C10268" s="5" t="s">
        <v>16</v>
      </c>
      <c r="D10268" s="5" t="s">
        <v>9880</v>
      </c>
      <c r="E10268" s="6" t="str">
        <f>HYPERLINK("https://twitter.com/petrogustavo/status/1308173018057838592","1308173018057838592")</f>
        <v>1308173018057838592</v>
      </c>
      <c r="F10268" s="7" t="s">
        <v>17</v>
      </c>
      <c r="G10268" s="7">
        <v>3979547</v>
      </c>
      <c r="H10268" s="7">
        <v>2439</v>
      </c>
      <c r="I10268" s="7">
        <v>64</v>
      </c>
      <c r="J10268" s="7">
        <v>0</v>
      </c>
      <c r="K10268" s="7" t="s">
        <v>18</v>
      </c>
      <c r="L10268" s="8">
        <v>39987.315405092595</v>
      </c>
      <c r="M10268" s="9" t="s">
        <v>19</v>
      </c>
      <c r="N10268" s="9" t="s">
        <v>20</v>
      </c>
      <c r="O10268" s="6" t="str">
        <f>HYPERLINK("https://pbs.twimg.com/profile_images/962471262747529216/Uo8lOkRJ_normal.jpg","View")</f>
        <v>View</v>
      </c>
      <c r="P10268" s="7"/>
    </row>
    <row r="10269" spans="1:16">
      <c r="A10269" s="3">
        <v>44096.171365740738</v>
      </c>
      <c r="B10269" s="4" t="str">
        <f>HYPERLINK("https://twitter.com/petrogustavo","@petrogustavo")</f>
        <v>@petrogustavo</v>
      </c>
      <c r="C10269" s="5" t="s">
        <v>16</v>
      </c>
      <c r="D10269" s="5" t="s">
        <v>9881</v>
      </c>
      <c r="E10269" s="6" t="str">
        <f>HYPERLINK("https://twitter.com/petrogustavo/status/1308173350703955969","1308173350703955969")</f>
        <v>1308173350703955969</v>
      </c>
      <c r="F10269" s="7" t="s">
        <v>17</v>
      </c>
      <c r="G10269" s="7">
        <v>3979547</v>
      </c>
      <c r="H10269" s="7">
        <v>2439</v>
      </c>
      <c r="I10269" s="7">
        <v>249</v>
      </c>
      <c r="J10269" s="7">
        <v>0</v>
      </c>
      <c r="K10269" s="7" t="s">
        <v>18</v>
      </c>
      <c r="L10269" s="8">
        <v>39987.315405092595</v>
      </c>
      <c r="M10269" s="9" t="s">
        <v>19</v>
      </c>
      <c r="N10269" s="9" t="s">
        <v>20</v>
      </c>
      <c r="O10269" s="6" t="str">
        <f>HYPERLINK("https://pbs.twimg.com/profile_images/962471262747529216/Uo8lOkRJ_normal.jpg","View")</f>
        <v>View</v>
      </c>
      <c r="P10269" s="7"/>
    </row>
    <row r="10270" spans="1:16">
      <c r="A10270" s="3">
        <v>44096.172083333338</v>
      </c>
      <c r="B10270" s="4" t="str">
        <f>HYPERLINK("https://twitter.com/petrogustavo","@petrogustavo")</f>
        <v>@petrogustavo</v>
      </c>
      <c r="C10270" s="5" t="s">
        <v>16</v>
      </c>
      <c r="D10270" s="5" t="s">
        <v>9882</v>
      </c>
      <c r="E10270" s="6" t="str">
        <f>HYPERLINK("https://twitter.com/petrogustavo/status/1308173611761577990","1308173611761577990")</f>
        <v>1308173611761577990</v>
      </c>
      <c r="F10270" s="7" t="s">
        <v>17</v>
      </c>
      <c r="G10270" s="7">
        <v>3979547</v>
      </c>
      <c r="H10270" s="7">
        <v>2439</v>
      </c>
      <c r="I10270" s="7">
        <v>163</v>
      </c>
      <c r="J10270" s="7">
        <v>0</v>
      </c>
      <c r="K10270" s="7" t="s">
        <v>18</v>
      </c>
      <c r="L10270" s="8">
        <v>39987.315405092595</v>
      </c>
      <c r="M10270" s="9" t="s">
        <v>19</v>
      </c>
      <c r="N10270" s="9" t="s">
        <v>20</v>
      </c>
      <c r="O10270" s="6" t="str">
        <f>HYPERLINK("https://pbs.twimg.com/profile_images/962471262747529216/Uo8lOkRJ_normal.jpg","View")</f>
        <v>View</v>
      </c>
      <c r="P10270" s="7"/>
    </row>
    <row r="10271" spans="1:16">
      <c r="A10271" s="3">
        <v>44096.172280092593</v>
      </c>
      <c r="B10271" s="4" t="str">
        <f>HYPERLINK("https://twitter.com/petrogustavo","@petrogustavo")</f>
        <v>@petrogustavo</v>
      </c>
      <c r="C10271" s="5" t="s">
        <v>16</v>
      </c>
      <c r="D10271" s="5" t="s">
        <v>9854</v>
      </c>
      <c r="E10271" s="6" t="str">
        <f>HYPERLINK("https://twitter.com/petrogustavo/status/1308173684377563137","1308173684377563137")</f>
        <v>1308173684377563137</v>
      </c>
      <c r="F10271" s="7" t="s">
        <v>17</v>
      </c>
      <c r="G10271" s="7">
        <v>3979547</v>
      </c>
      <c r="H10271" s="7">
        <v>2439</v>
      </c>
      <c r="I10271" s="7">
        <v>304</v>
      </c>
      <c r="J10271" s="7">
        <v>0</v>
      </c>
      <c r="K10271" s="7" t="s">
        <v>18</v>
      </c>
      <c r="L10271" s="8">
        <v>39987.315405092595</v>
      </c>
      <c r="M10271" s="9" t="s">
        <v>19</v>
      </c>
      <c r="N10271" s="9" t="s">
        <v>20</v>
      </c>
      <c r="O10271" s="6" t="str">
        <f>HYPERLINK("https://pbs.twimg.com/profile_images/962471262747529216/Uo8lOkRJ_normal.jpg","View")</f>
        <v>View</v>
      </c>
      <c r="P10271" s="7"/>
    </row>
    <row r="10272" spans="1:16">
      <c r="A10272" s="3">
        <v>44096.192013888889</v>
      </c>
      <c r="B10272" s="4" t="str">
        <f>HYPERLINK("https://twitter.com/petrogustavo","@petrogustavo")</f>
        <v>@petrogustavo</v>
      </c>
      <c r="C10272" s="5" t="s">
        <v>16</v>
      </c>
      <c r="D10272" s="5" t="s">
        <v>9883</v>
      </c>
      <c r="E10272" s="6" t="str">
        <f>HYPERLINK("https://twitter.com/petrogustavo/status/1308180833954664448","1308180833954664448")</f>
        <v>1308180833954664448</v>
      </c>
      <c r="F10272" s="7" t="s">
        <v>32</v>
      </c>
      <c r="G10272" s="7">
        <v>3979572</v>
      </c>
      <c r="H10272" s="7">
        <v>2439</v>
      </c>
      <c r="I10272" s="7">
        <v>331</v>
      </c>
      <c r="J10272" s="7">
        <v>654</v>
      </c>
      <c r="K10272" s="7" t="s">
        <v>18</v>
      </c>
      <c r="L10272" s="8">
        <v>39987.315405092595</v>
      </c>
      <c r="M10272" s="9" t="s">
        <v>19</v>
      </c>
      <c r="N10272" s="9" t="s">
        <v>20</v>
      </c>
      <c r="O10272" s="6" t="str">
        <f>HYPERLINK("https://pbs.twimg.com/profile_images/962471262747529216/Uo8lOkRJ_normal.jpg","View")</f>
        <v>View</v>
      </c>
      <c r="P10272" s="7"/>
    </row>
    <row r="10273" spans="1:16">
      <c r="A10273" s="3">
        <v>44096.192372685182</v>
      </c>
      <c r="B10273" s="4" t="str">
        <f>HYPERLINK("https://twitter.com/petrogustavo","@petrogustavo")</f>
        <v>@petrogustavo</v>
      </c>
      <c r="C10273" s="5" t="s">
        <v>16</v>
      </c>
      <c r="D10273" s="5" t="s">
        <v>9884</v>
      </c>
      <c r="E10273" s="6" t="str">
        <f>HYPERLINK("https://twitter.com/petrogustavo/status/1308180962812006410","1308180962812006410")</f>
        <v>1308180962812006410</v>
      </c>
      <c r="F10273" s="7" t="s">
        <v>32</v>
      </c>
      <c r="G10273" s="7">
        <v>3979572</v>
      </c>
      <c r="H10273" s="7">
        <v>2439</v>
      </c>
      <c r="I10273" s="7">
        <v>184</v>
      </c>
      <c r="J10273" s="7">
        <v>0</v>
      </c>
      <c r="K10273" s="7" t="s">
        <v>18</v>
      </c>
      <c r="L10273" s="8">
        <v>39987.315405092595</v>
      </c>
      <c r="M10273" s="9" t="s">
        <v>19</v>
      </c>
      <c r="N10273" s="9" t="s">
        <v>20</v>
      </c>
      <c r="O10273" s="6" t="str">
        <f>HYPERLINK("https://pbs.twimg.com/profile_images/962471262747529216/Uo8lOkRJ_normal.jpg","View")</f>
        <v>View</v>
      </c>
      <c r="P10273" s="7"/>
    </row>
    <row r="10274" spans="1:16">
      <c r="A10274" s="3">
        <v>44096.192800925928</v>
      </c>
      <c r="B10274" s="4" t="str">
        <f>HYPERLINK("https://twitter.com/petrogustavo","@petrogustavo")</f>
        <v>@petrogustavo</v>
      </c>
      <c r="C10274" s="5" t="s">
        <v>16</v>
      </c>
      <c r="D10274" s="5" t="s">
        <v>9885</v>
      </c>
      <c r="E10274" s="6" t="str">
        <f>HYPERLINK("https://twitter.com/petrogustavo/status/1308181121558089728","1308181121558089728")</f>
        <v>1308181121558089728</v>
      </c>
      <c r="F10274" s="7" t="s">
        <v>32</v>
      </c>
      <c r="G10274" s="7">
        <v>3979572</v>
      </c>
      <c r="H10274" s="7">
        <v>2439</v>
      </c>
      <c r="I10274" s="7">
        <v>139</v>
      </c>
      <c r="J10274" s="7">
        <v>0</v>
      </c>
      <c r="K10274" s="7" t="s">
        <v>18</v>
      </c>
      <c r="L10274" s="8">
        <v>39987.315405092595</v>
      </c>
      <c r="M10274" s="9" t="s">
        <v>19</v>
      </c>
      <c r="N10274" s="9" t="s">
        <v>20</v>
      </c>
      <c r="O10274" s="6" t="str">
        <f>HYPERLINK("https://pbs.twimg.com/profile_images/962471262747529216/Uo8lOkRJ_normal.jpg","View")</f>
        <v>View</v>
      </c>
      <c r="P10274" s="7"/>
    </row>
    <row r="10275" spans="1:16">
      <c r="A10275" s="3">
        <v>44096.195138888885</v>
      </c>
      <c r="B10275" s="4" t="str">
        <f>HYPERLINK("https://twitter.com/petrogustavo","@petrogustavo")</f>
        <v>@petrogustavo</v>
      </c>
      <c r="C10275" s="5" t="s">
        <v>16</v>
      </c>
      <c r="D10275" s="5" t="s">
        <v>9886</v>
      </c>
      <c r="E10275" s="6" t="str">
        <f>HYPERLINK("https://twitter.com/petrogustavo/status/1308181965196144641","1308181965196144641")</f>
        <v>1308181965196144641</v>
      </c>
      <c r="F10275" s="7" t="s">
        <v>32</v>
      </c>
      <c r="G10275" s="7">
        <v>3979572</v>
      </c>
      <c r="H10275" s="7">
        <v>2439</v>
      </c>
      <c r="I10275" s="7">
        <v>282</v>
      </c>
      <c r="J10275" s="7">
        <v>577</v>
      </c>
      <c r="K10275" s="7" t="s">
        <v>18</v>
      </c>
      <c r="L10275" s="8">
        <v>39987.315405092595</v>
      </c>
      <c r="M10275" s="9" t="s">
        <v>19</v>
      </c>
      <c r="N10275" s="9" t="s">
        <v>20</v>
      </c>
      <c r="O10275" s="6" t="str">
        <f>HYPERLINK("https://pbs.twimg.com/profile_images/962471262747529216/Uo8lOkRJ_normal.jpg","View")</f>
        <v>View</v>
      </c>
      <c r="P10275" s="7"/>
    </row>
    <row r="10276" spans="1:16">
      <c r="A10276" s="3">
        <v>44096.19694444444</v>
      </c>
      <c r="B10276" s="4" t="str">
        <f>HYPERLINK("https://twitter.com/petrogustavo","@petrogustavo")</f>
        <v>@petrogustavo</v>
      </c>
      <c r="C10276" s="5" t="s">
        <v>16</v>
      </c>
      <c r="D10276" s="5" t="s">
        <v>9887</v>
      </c>
      <c r="E10276" s="6" t="str">
        <f>HYPERLINK("https://twitter.com/petrogustavo/status/1308182621076283395","1308182621076283395")</f>
        <v>1308182621076283395</v>
      </c>
      <c r="F10276" s="7" t="s">
        <v>32</v>
      </c>
      <c r="G10276" s="7">
        <v>3979572</v>
      </c>
      <c r="H10276" s="7">
        <v>2439</v>
      </c>
      <c r="I10276" s="7">
        <v>110</v>
      </c>
      <c r="J10276" s="7">
        <v>0</v>
      </c>
      <c r="K10276" s="7" t="s">
        <v>18</v>
      </c>
      <c r="L10276" s="8">
        <v>39987.315405092595</v>
      </c>
      <c r="M10276" s="9" t="s">
        <v>19</v>
      </c>
      <c r="N10276" s="9" t="s">
        <v>20</v>
      </c>
      <c r="O10276" s="6" t="str">
        <f>HYPERLINK("https://pbs.twimg.com/profile_images/962471262747529216/Uo8lOkRJ_normal.jpg","View")</f>
        <v>View</v>
      </c>
      <c r="P10276" s="7"/>
    </row>
    <row r="10277" spans="1:16">
      <c r="A10277" s="3">
        <v>44096.19835648148</v>
      </c>
      <c r="B10277" s="4" t="str">
        <f>HYPERLINK("https://twitter.com/petrogustavo","@petrogustavo")</f>
        <v>@petrogustavo</v>
      </c>
      <c r="C10277" s="5" t="s">
        <v>16</v>
      </c>
      <c r="D10277" s="5" t="s">
        <v>9888</v>
      </c>
      <c r="E10277" s="6" t="str">
        <f>HYPERLINK("https://twitter.com/petrogustavo/status/1308183135369256960","1308183135369256960")</f>
        <v>1308183135369256960</v>
      </c>
      <c r="F10277" s="7" t="s">
        <v>32</v>
      </c>
      <c r="G10277" s="7">
        <v>3979572</v>
      </c>
      <c r="H10277" s="7">
        <v>2439</v>
      </c>
      <c r="I10277" s="7">
        <v>154</v>
      </c>
      <c r="J10277" s="7">
        <v>0</v>
      </c>
      <c r="K10277" s="7" t="s">
        <v>18</v>
      </c>
      <c r="L10277" s="8">
        <v>39987.315405092595</v>
      </c>
      <c r="M10277" s="9" t="s">
        <v>19</v>
      </c>
      <c r="N10277" s="9" t="s">
        <v>20</v>
      </c>
      <c r="O10277" s="6" t="str">
        <f>HYPERLINK("https://pbs.twimg.com/profile_images/962471262747529216/Uo8lOkRJ_normal.jpg","View")</f>
        <v>View</v>
      </c>
      <c r="P10277" s="7"/>
    </row>
    <row r="10278" spans="1:16">
      <c r="A10278" s="3">
        <v>44096.199490740742</v>
      </c>
      <c r="B10278" s="4" t="str">
        <f>HYPERLINK("https://twitter.com/petrogustavo","@petrogustavo")</f>
        <v>@petrogustavo</v>
      </c>
      <c r="C10278" s="5" t="s">
        <v>16</v>
      </c>
      <c r="D10278" s="5" t="s">
        <v>9889</v>
      </c>
      <c r="E10278" s="6" t="str">
        <f>HYPERLINK("https://twitter.com/petrogustavo/status/1308183544154517510","1308183544154517510")</f>
        <v>1308183544154517510</v>
      </c>
      <c r="F10278" s="7" t="s">
        <v>32</v>
      </c>
      <c r="G10278" s="7">
        <v>3979572</v>
      </c>
      <c r="H10278" s="7">
        <v>2439</v>
      </c>
      <c r="I10278" s="7">
        <v>79</v>
      </c>
      <c r="J10278" s="7">
        <v>0</v>
      </c>
      <c r="K10278" s="7" t="s">
        <v>18</v>
      </c>
      <c r="L10278" s="8">
        <v>39987.315405092595</v>
      </c>
      <c r="M10278" s="9" t="s">
        <v>19</v>
      </c>
      <c r="N10278" s="9" t="s">
        <v>20</v>
      </c>
      <c r="O10278" s="6" t="str">
        <f>HYPERLINK("https://pbs.twimg.com/profile_images/962471262747529216/Uo8lOkRJ_normal.jpg","View")</f>
        <v>View</v>
      </c>
      <c r="P10278" s="7"/>
    </row>
    <row r="10279" spans="1:16">
      <c r="A10279" s="3">
        <v>44096.200150462959</v>
      </c>
      <c r="B10279" s="4" t="str">
        <f>HYPERLINK("https://twitter.com/petrogustavo","@petrogustavo")</f>
        <v>@petrogustavo</v>
      </c>
      <c r="C10279" s="5" t="s">
        <v>16</v>
      </c>
      <c r="D10279" s="5" t="s">
        <v>9890</v>
      </c>
      <c r="E10279" s="6" t="str">
        <f>HYPERLINK("https://twitter.com/petrogustavo/status/1308183785306021891","1308183785306021891")</f>
        <v>1308183785306021891</v>
      </c>
      <c r="F10279" s="7" t="s">
        <v>32</v>
      </c>
      <c r="G10279" s="7">
        <v>3979572</v>
      </c>
      <c r="H10279" s="7">
        <v>2439</v>
      </c>
      <c r="I10279" s="7">
        <v>108</v>
      </c>
      <c r="J10279" s="7">
        <v>0</v>
      </c>
      <c r="K10279" s="7" t="s">
        <v>18</v>
      </c>
      <c r="L10279" s="8">
        <v>39987.315405092595</v>
      </c>
      <c r="M10279" s="9" t="s">
        <v>19</v>
      </c>
      <c r="N10279" s="9" t="s">
        <v>20</v>
      </c>
      <c r="O10279" s="6" t="str">
        <f>HYPERLINK("https://pbs.twimg.com/profile_images/962471262747529216/Uo8lOkRJ_normal.jpg","View")</f>
        <v>View</v>
      </c>
      <c r="P10279" s="7"/>
    </row>
    <row r="10280" spans="1:16">
      <c r="A10280" s="3">
        <v>44096.201898148152</v>
      </c>
      <c r="B10280" s="4" t="str">
        <f>HYPERLINK("https://twitter.com/petrogustavo","@petrogustavo")</f>
        <v>@petrogustavo</v>
      </c>
      <c r="C10280" s="5" t="s">
        <v>16</v>
      </c>
      <c r="D10280" s="5" t="s">
        <v>9891</v>
      </c>
      <c r="E10280" s="6" t="str">
        <f>HYPERLINK("https://twitter.com/petrogustavo/status/1308184415353401345","1308184415353401345")</f>
        <v>1308184415353401345</v>
      </c>
      <c r="F10280" s="7" t="s">
        <v>32</v>
      </c>
      <c r="G10280" s="7">
        <v>3979572</v>
      </c>
      <c r="H10280" s="7">
        <v>2439</v>
      </c>
      <c r="I10280" s="7">
        <v>239</v>
      </c>
      <c r="J10280" s="7">
        <v>431</v>
      </c>
      <c r="K10280" s="7" t="s">
        <v>18</v>
      </c>
      <c r="L10280" s="8">
        <v>39987.315405092595</v>
      </c>
      <c r="M10280" s="9" t="s">
        <v>19</v>
      </c>
      <c r="N10280" s="9" t="s">
        <v>20</v>
      </c>
      <c r="O10280" s="6" t="str">
        <f>HYPERLINK("https://pbs.twimg.com/profile_images/962471262747529216/Uo8lOkRJ_normal.jpg","View")</f>
        <v>View</v>
      </c>
      <c r="P10280" s="7"/>
    </row>
    <row r="10281" spans="1:16">
      <c r="A10281" s="3">
        <v>44096.202893518523</v>
      </c>
      <c r="B10281" s="4" t="str">
        <f>HYPERLINK("https://twitter.com/petrogustavo","@petrogustavo")</f>
        <v>@petrogustavo</v>
      </c>
      <c r="C10281" s="5" t="s">
        <v>16</v>
      </c>
      <c r="D10281" s="5" t="s">
        <v>9892</v>
      </c>
      <c r="E10281" s="6" t="str">
        <f>HYPERLINK("https://twitter.com/petrogustavo/status/1308184777187569664","1308184777187569664")</f>
        <v>1308184777187569664</v>
      </c>
      <c r="F10281" s="7" t="s">
        <v>32</v>
      </c>
      <c r="G10281" s="7">
        <v>3979572</v>
      </c>
      <c r="H10281" s="7">
        <v>2439</v>
      </c>
      <c r="I10281" s="7">
        <v>194</v>
      </c>
      <c r="J10281" s="7">
        <v>0</v>
      </c>
      <c r="K10281" s="7" t="s">
        <v>18</v>
      </c>
      <c r="L10281" s="8">
        <v>39987.315405092595</v>
      </c>
      <c r="M10281" s="9" t="s">
        <v>19</v>
      </c>
      <c r="N10281" s="9" t="s">
        <v>20</v>
      </c>
      <c r="O10281" s="6" t="str">
        <f>HYPERLINK("https://pbs.twimg.com/profile_images/962471262747529216/Uo8lOkRJ_normal.jpg","View")</f>
        <v>View</v>
      </c>
      <c r="P10281" s="7"/>
    </row>
    <row r="10282" spans="1:16">
      <c r="A10282" s="3">
        <v>44096.203622685185</v>
      </c>
      <c r="B10282" s="4" t="str">
        <f>HYPERLINK("https://twitter.com/petrogustavo","@petrogustavo")</f>
        <v>@petrogustavo</v>
      </c>
      <c r="C10282" s="5" t="s">
        <v>16</v>
      </c>
      <c r="D10282" s="5" t="s">
        <v>9893</v>
      </c>
      <c r="E10282" s="6" t="str">
        <f>HYPERLINK("https://twitter.com/petrogustavo/status/1308185040225009674","1308185040225009674")</f>
        <v>1308185040225009674</v>
      </c>
      <c r="F10282" s="7" t="s">
        <v>32</v>
      </c>
      <c r="G10282" s="7">
        <v>3979572</v>
      </c>
      <c r="H10282" s="7">
        <v>2439</v>
      </c>
      <c r="I10282" s="7">
        <v>108</v>
      </c>
      <c r="J10282" s="7">
        <v>281</v>
      </c>
      <c r="K10282" s="7" t="s">
        <v>18</v>
      </c>
      <c r="L10282" s="8">
        <v>39987.315405092595</v>
      </c>
      <c r="M10282" s="9" t="s">
        <v>19</v>
      </c>
      <c r="N10282" s="9" t="s">
        <v>20</v>
      </c>
      <c r="O10282" s="6" t="str">
        <f>HYPERLINK("https://pbs.twimg.com/profile_images/962471262747529216/Uo8lOkRJ_normal.jpg","View")</f>
        <v>View</v>
      </c>
      <c r="P10282" s="7"/>
    </row>
    <row r="10283" spans="1:16">
      <c r="A10283" s="3">
        <v>44096.204212962963</v>
      </c>
      <c r="B10283" s="4" t="str">
        <f>HYPERLINK("https://twitter.com/petrogustavo","@petrogustavo")</f>
        <v>@petrogustavo</v>
      </c>
      <c r="C10283" s="5" t="s">
        <v>16</v>
      </c>
      <c r="D10283" s="5" t="s">
        <v>9894</v>
      </c>
      <c r="E10283" s="6" t="str">
        <f>HYPERLINK("https://twitter.com/petrogustavo/status/1308185257175330816","1308185257175330816")</f>
        <v>1308185257175330816</v>
      </c>
      <c r="F10283" s="7" t="s">
        <v>32</v>
      </c>
      <c r="G10283" s="7">
        <v>3979572</v>
      </c>
      <c r="H10283" s="7">
        <v>2439</v>
      </c>
      <c r="I10283" s="7">
        <v>40</v>
      </c>
      <c r="J10283" s="7">
        <v>0</v>
      </c>
      <c r="K10283" s="7" t="s">
        <v>18</v>
      </c>
      <c r="L10283" s="8">
        <v>39987.315405092595</v>
      </c>
      <c r="M10283" s="9" t="s">
        <v>19</v>
      </c>
      <c r="N10283" s="9" t="s">
        <v>20</v>
      </c>
      <c r="O10283" s="6" t="str">
        <f>HYPERLINK("https://pbs.twimg.com/profile_images/962471262747529216/Uo8lOkRJ_normal.jpg","View")</f>
        <v>View</v>
      </c>
      <c r="P10283" s="7"/>
    </row>
    <row r="10284" spans="1:16">
      <c r="A10284" s="3">
        <v>44096.204398148147</v>
      </c>
      <c r="B10284" s="4" t="str">
        <f>HYPERLINK("https://twitter.com/petrogustavo","@petrogustavo")</f>
        <v>@petrogustavo</v>
      </c>
      <c r="C10284" s="5" t="s">
        <v>16</v>
      </c>
      <c r="D10284" s="5" t="s">
        <v>9895</v>
      </c>
      <c r="E10284" s="6" t="str">
        <f>HYPERLINK("https://twitter.com/petrogustavo/status/1308185320802967553","1308185320802967553")</f>
        <v>1308185320802967553</v>
      </c>
      <c r="F10284" s="7" t="s">
        <v>32</v>
      </c>
      <c r="G10284" s="7">
        <v>3979572</v>
      </c>
      <c r="H10284" s="7">
        <v>2439</v>
      </c>
      <c r="I10284" s="7">
        <v>34</v>
      </c>
      <c r="J10284" s="7">
        <v>0</v>
      </c>
      <c r="K10284" s="7" t="s">
        <v>18</v>
      </c>
      <c r="L10284" s="8">
        <v>39987.315405092595</v>
      </c>
      <c r="M10284" s="9" t="s">
        <v>19</v>
      </c>
      <c r="N10284" s="9" t="s">
        <v>20</v>
      </c>
      <c r="O10284" s="6" t="str">
        <f>HYPERLINK("https://pbs.twimg.com/profile_images/962471262747529216/Uo8lOkRJ_normal.jpg","View")</f>
        <v>View</v>
      </c>
      <c r="P10284" s="7"/>
    </row>
    <row r="10285" spans="1:16">
      <c r="A10285" s="3">
        <v>44096.204722222217</v>
      </c>
      <c r="B10285" s="4" t="str">
        <f>HYPERLINK("https://twitter.com/petrogustavo","@petrogustavo")</f>
        <v>@petrogustavo</v>
      </c>
      <c r="C10285" s="5" t="s">
        <v>16</v>
      </c>
      <c r="D10285" s="5" t="s">
        <v>9896</v>
      </c>
      <c r="E10285" s="6" t="str">
        <f>HYPERLINK("https://twitter.com/petrogustavo/status/1308185439476617216","1308185439476617216")</f>
        <v>1308185439476617216</v>
      </c>
      <c r="F10285" s="7" t="s">
        <v>32</v>
      </c>
      <c r="G10285" s="7">
        <v>3979572</v>
      </c>
      <c r="H10285" s="7">
        <v>2439</v>
      </c>
      <c r="I10285" s="7">
        <v>33</v>
      </c>
      <c r="J10285" s="7">
        <v>0</v>
      </c>
      <c r="K10285" s="7" t="s">
        <v>18</v>
      </c>
      <c r="L10285" s="8">
        <v>39987.315405092595</v>
      </c>
      <c r="M10285" s="9" t="s">
        <v>19</v>
      </c>
      <c r="N10285" s="9" t="s">
        <v>20</v>
      </c>
      <c r="O10285" s="6" t="str">
        <f>HYPERLINK("https://pbs.twimg.com/profile_images/962471262747529216/Uo8lOkRJ_normal.jpg","View")</f>
        <v>View</v>
      </c>
      <c r="P10285" s="7"/>
    </row>
    <row r="10286" spans="1:16">
      <c r="A10286" s="3">
        <v>44096.208090277782</v>
      </c>
      <c r="B10286" s="4" t="str">
        <f>HYPERLINK("https://twitter.com/petrogustavo","@petrogustavo")</f>
        <v>@petrogustavo</v>
      </c>
      <c r="C10286" s="5" t="s">
        <v>16</v>
      </c>
      <c r="D10286" s="5" t="s">
        <v>9897</v>
      </c>
      <c r="E10286" s="6" t="str">
        <f>HYPERLINK("https://twitter.com/petrogustavo/status/1308186662636224513","1308186662636224513")</f>
        <v>1308186662636224513</v>
      </c>
      <c r="F10286" s="7" t="s">
        <v>32</v>
      </c>
      <c r="G10286" s="7">
        <v>3979572</v>
      </c>
      <c r="H10286" s="7">
        <v>2439</v>
      </c>
      <c r="I10286" s="7">
        <v>89</v>
      </c>
      <c r="J10286" s="7">
        <v>150</v>
      </c>
      <c r="K10286" s="7" t="s">
        <v>18</v>
      </c>
      <c r="L10286" s="8">
        <v>39987.315405092595</v>
      </c>
      <c r="M10286" s="9" t="s">
        <v>19</v>
      </c>
      <c r="N10286" s="9" t="s">
        <v>20</v>
      </c>
      <c r="O10286" s="6" t="str">
        <f>HYPERLINK("https://pbs.twimg.com/profile_images/962471262747529216/Uo8lOkRJ_normal.jpg","View")</f>
        <v>View</v>
      </c>
      <c r="P10286" s="7"/>
    </row>
    <row r="10287" spans="1:16">
      <c r="A10287" s="3">
        <v>44096.208923611106</v>
      </c>
      <c r="B10287" s="4" t="str">
        <f>HYPERLINK("https://twitter.com/petrogustavo","@petrogustavo")</f>
        <v>@petrogustavo</v>
      </c>
      <c r="C10287" s="5" t="s">
        <v>16</v>
      </c>
      <c r="D10287" s="5" t="s">
        <v>9898</v>
      </c>
      <c r="E10287" s="6" t="str">
        <f>HYPERLINK("https://twitter.com/petrogustavo/status/1308186963082608640","1308186963082608640")</f>
        <v>1308186963082608640</v>
      </c>
      <c r="F10287" s="7" t="s">
        <v>32</v>
      </c>
      <c r="G10287" s="7">
        <v>3979572</v>
      </c>
      <c r="H10287" s="7">
        <v>2439</v>
      </c>
      <c r="I10287" s="7">
        <v>98</v>
      </c>
      <c r="J10287" s="7">
        <v>0</v>
      </c>
      <c r="K10287" s="7" t="s">
        <v>18</v>
      </c>
      <c r="L10287" s="8">
        <v>39987.315405092595</v>
      </c>
      <c r="M10287" s="9" t="s">
        <v>19</v>
      </c>
      <c r="N10287" s="9" t="s">
        <v>20</v>
      </c>
      <c r="O10287" s="6" t="str">
        <f>HYPERLINK("https://pbs.twimg.com/profile_images/962471262747529216/Uo8lOkRJ_normal.jpg","View")</f>
        <v>View</v>
      </c>
      <c r="P10287" s="7"/>
    </row>
    <row r="10288" spans="1:16">
      <c r="A10288" s="3">
        <v>44096.209837962961</v>
      </c>
      <c r="B10288" s="4" t="str">
        <f>HYPERLINK("https://twitter.com/petrogustavo","@petrogustavo")</f>
        <v>@petrogustavo</v>
      </c>
      <c r="C10288" s="5" t="s">
        <v>16</v>
      </c>
      <c r="D10288" s="5" t="s">
        <v>9899</v>
      </c>
      <c r="E10288" s="6" t="str">
        <f>HYPERLINK("https://twitter.com/petrogustavo/status/1308187295850299392","1308187295850299392")</f>
        <v>1308187295850299392</v>
      </c>
      <c r="F10288" s="7" t="s">
        <v>32</v>
      </c>
      <c r="G10288" s="7">
        <v>3979572</v>
      </c>
      <c r="H10288" s="7">
        <v>2439</v>
      </c>
      <c r="I10288" s="7">
        <v>20</v>
      </c>
      <c r="J10288" s="7">
        <v>0</v>
      </c>
      <c r="K10288" s="7" t="s">
        <v>18</v>
      </c>
      <c r="L10288" s="8">
        <v>39987.315405092595</v>
      </c>
      <c r="M10288" s="9" t="s">
        <v>19</v>
      </c>
      <c r="N10288" s="9" t="s">
        <v>20</v>
      </c>
      <c r="O10288" s="6" t="str">
        <f>HYPERLINK("https://pbs.twimg.com/profile_images/962471262747529216/Uo8lOkRJ_normal.jpg","View")</f>
        <v>View</v>
      </c>
      <c r="P10288" s="7"/>
    </row>
    <row r="10289" spans="1:16">
      <c r="A10289" s="3">
        <v>44096.213877314818</v>
      </c>
      <c r="B10289" s="4" t="str">
        <f>HYPERLINK("https://twitter.com/petrogustavo","@petrogustavo")</f>
        <v>@petrogustavo</v>
      </c>
      <c r="C10289" s="5" t="s">
        <v>16</v>
      </c>
      <c r="D10289" s="5" t="s">
        <v>9900</v>
      </c>
      <c r="E10289" s="6" t="str">
        <f>HYPERLINK("https://twitter.com/petrogustavo/status/1308188758391640075","1308188758391640075")</f>
        <v>1308188758391640075</v>
      </c>
      <c r="F10289" s="7" t="s">
        <v>32</v>
      </c>
      <c r="G10289" s="7">
        <v>3979608</v>
      </c>
      <c r="H10289" s="7">
        <v>2439</v>
      </c>
      <c r="I10289" s="7">
        <v>323</v>
      </c>
      <c r="J10289" s="7">
        <v>645</v>
      </c>
      <c r="K10289" s="7" t="s">
        <v>18</v>
      </c>
      <c r="L10289" s="8">
        <v>39987.315405092595</v>
      </c>
      <c r="M10289" s="9" t="s">
        <v>19</v>
      </c>
      <c r="N10289" s="9" t="s">
        <v>20</v>
      </c>
      <c r="O10289" s="6" t="str">
        <f>HYPERLINK("https://pbs.twimg.com/profile_images/962471262747529216/Uo8lOkRJ_normal.jpg","View")</f>
        <v>View</v>
      </c>
      <c r="P10289" s="7"/>
    </row>
    <row r="10290" spans="1:16">
      <c r="A10290" s="3">
        <v>44096.214571759258</v>
      </c>
      <c r="B10290" s="4" t="str">
        <f>HYPERLINK("https://twitter.com/petrogustavo","@petrogustavo")</f>
        <v>@petrogustavo</v>
      </c>
      <c r="C10290" s="5" t="s">
        <v>16</v>
      </c>
      <c r="D10290" s="5" t="s">
        <v>9901</v>
      </c>
      <c r="E10290" s="6" t="str">
        <f>HYPERLINK("https://twitter.com/petrogustavo/status/1308189008086872064","1308189008086872064")</f>
        <v>1308189008086872064</v>
      </c>
      <c r="F10290" s="7" t="s">
        <v>32</v>
      </c>
      <c r="G10290" s="7">
        <v>3979608</v>
      </c>
      <c r="H10290" s="7">
        <v>2439</v>
      </c>
      <c r="I10290" s="7">
        <v>638</v>
      </c>
      <c r="J10290" s="7">
        <v>0</v>
      </c>
      <c r="K10290" s="7" t="s">
        <v>18</v>
      </c>
      <c r="L10290" s="8">
        <v>39987.315405092595</v>
      </c>
      <c r="M10290" s="9" t="s">
        <v>19</v>
      </c>
      <c r="N10290" s="9" t="s">
        <v>20</v>
      </c>
      <c r="O10290" s="6" t="str">
        <f>HYPERLINK("https://pbs.twimg.com/profile_images/962471262747529216/Uo8lOkRJ_normal.jpg","View")</f>
        <v>View</v>
      </c>
      <c r="P10290" s="7"/>
    </row>
    <row r="10291" spans="1:16">
      <c r="A10291" s="3">
        <v>44096.215428240743</v>
      </c>
      <c r="B10291" s="4" t="str">
        <f>HYPERLINK("https://twitter.com/petrogustavo","@petrogustavo")</f>
        <v>@petrogustavo</v>
      </c>
      <c r="C10291" s="5" t="s">
        <v>16</v>
      </c>
      <c r="D10291" s="5" t="s">
        <v>9902</v>
      </c>
      <c r="E10291" s="6" t="str">
        <f>HYPERLINK("https://twitter.com/petrogustavo/status/1308189319551692801","1308189319551692801")</f>
        <v>1308189319551692801</v>
      </c>
      <c r="F10291" s="7" t="s">
        <v>32</v>
      </c>
      <c r="G10291" s="7">
        <v>3979608</v>
      </c>
      <c r="H10291" s="7">
        <v>2439</v>
      </c>
      <c r="I10291" s="7">
        <v>325</v>
      </c>
      <c r="J10291" s="7">
        <v>737</v>
      </c>
      <c r="K10291" s="7" t="s">
        <v>18</v>
      </c>
      <c r="L10291" s="8">
        <v>39987.315405092595</v>
      </c>
      <c r="M10291" s="9" t="s">
        <v>19</v>
      </c>
      <c r="N10291" s="9" t="s">
        <v>20</v>
      </c>
      <c r="O10291" s="6" t="str">
        <f>HYPERLINK("https://pbs.twimg.com/profile_images/962471262747529216/Uo8lOkRJ_normal.jpg","View")</f>
        <v>View</v>
      </c>
      <c r="P10291" s="7"/>
    </row>
    <row r="10292" spans="1:16">
      <c r="A10292" s="3">
        <v>44096.216736111106</v>
      </c>
      <c r="B10292" s="4" t="str">
        <f>HYPERLINK("https://twitter.com/petrogustavo","@petrogustavo")</f>
        <v>@petrogustavo</v>
      </c>
      <c r="C10292" s="5" t="s">
        <v>16</v>
      </c>
      <c r="D10292" s="5" t="s">
        <v>9903</v>
      </c>
      <c r="E10292" s="6" t="str">
        <f>HYPERLINK("https://twitter.com/petrogustavo/status/1308189792438493185","1308189792438493185")</f>
        <v>1308189792438493185</v>
      </c>
      <c r="F10292" s="7" t="s">
        <v>32</v>
      </c>
      <c r="G10292" s="7">
        <v>3979608</v>
      </c>
      <c r="H10292" s="7">
        <v>2439</v>
      </c>
      <c r="I10292" s="7">
        <v>106</v>
      </c>
      <c r="J10292" s="7">
        <v>0</v>
      </c>
      <c r="K10292" s="7" t="s">
        <v>18</v>
      </c>
      <c r="L10292" s="8">
        <v>39987.315405092595</v>
      </c>
      <c r="M10292" s="9" t="s">
        <v>19</v>
      </c>
      <c r="N10292" s="9" t="s">
        <v>20</v>
      </c>
      <c r="O10292" s="6" t="str">
        <f>HYPERLINK("https://pbs.twimg.com/profile_images/962471262747529216/Uo8lOkRJ_normal.jpg","View")</f>
        <v>View</v>
      </c>
      <c r="P10292" s="7"/>
    </row>
    <row r="10293" spans="1:16">
      <c r="A10293" s="3">
        <v>44096.219363425931</v>
      </c>
      <c r="B10293" s="4" t="str">
        <f>HYPERLINK("https://twitter.com/petrogustavo","@petrogustavo")</f>
        <v>@petrogustavo</v>
      </c>
      <c r="C10293" s="5" t="s">
        <v>16</v>
      </c>
      <c r="D10293" s="5" t="s">
        <v>9904</v>
      </c>
      <c r="E10293" s="6" t="str">
        <f>HYPERLINK("https://twitter.com/petrogustavo/status/1308190745619300352","1308190745619300352")</f>
        <v>1308190745619300352</v>
      </c>
      <c r="F10293" s="7" t="s">
        <v>32</v>
      </c>
      <c r="G10293" s="7">
        <v>3979608</v>
      </c>
      <c r="H10293" s="7">
        <v>2439</v>
      </c>
      <c r="I10293" s="7">
        <v>413</v>
      </c>
      <c r="J10293" s="7">
        <v>0</v>
      </c>
      <c r="K10293" s="7" t="s">
        <v>18</v>
      </c>
      <c r="L10293" s="8">
        <v>39987.315405092595</v>
      </c>
      <c r="M10293" s="9" t="s">
        <v>19</v>
      </c>
      <c r="N10293" s="9" t="s">
        <v>20</v>
      </c>
      <c r="O10293" s="6" t="str">
        <f>HYPERLINK("https://pbs.twimg.com/profile_images/962471262747529216/Uo8lOkRJ_normal.jpg","View")</f>
        <v>View</v>
      </c>
      <c r="P10293" s="7"/>
    </row>
    <row r="10294" spans="1:16">
      <c r="A10294" s="3">
        <v>44096.221875000003</v>
      </c>
      <c r="B10294" s="4" t="str">
        <f>HYPERLINK("https://twitter.com/petrogustavo","@petrogustavo")</f>
        <v>@petrogustavo</v>
      </c>
      <c r="C10294" s="5" t="s">
        <v>16</v>
      </c>
      <c r="D10294" s="5" t="s">
        <v>9905</v>
      </c>
      <c r="E10294" s="6" t="str">
        <f>HYPERLINK("https://twitter.com/petrogustavo/status/1308191658140459008","1308191658140459008")</f>
        <v>1308191658140459008</v>
      </c>
      <c r="F10294" s="7" t="s">
        <v>32</v>
      </c>
      <c r="G10294" s="7">
        <v>3979608</v>
      </c>
      <c r="H10294" s="7">
        <v>2439</v>
      </c>
      <c r="I10294" s="7">
        <v>190</v>
      </c>
      <c r="J10294" s="7">
        <v>285</v>
      </c>
      <c r="K10294" s="7" t="s">
        <v>18</v>
      </c>
      <c r="L10294" s="8">
        <v>39987.315405092595</v>
      </c>
      <c r="M10294" s="9" t="s">
        <v>19</v>
      </c>
      <c r="N10294" s="9" t="s">
        <v>20</v>
      </c>
      <c r="O10294" s="6" t="str">
        <f>HYPERLINK("https://pbs.twimg.com/profile_images/962471262747529216/Uo8lOkRJ_normal.jpg","View")</f>
        <v>View</v>
      </c>
      <c r="P10294" s="7"/>
    </row>
    <row r="10295" spans="1:16">
      <c r="A10295" s="3">
        <v>44096.224710648152</v>
      </c>
      <c r="B10295" s="4" t="str">
        <f>HYPERLINK("https://twitter.com/petrogustavo","@petrogustavo")</f>
        <v>@petrogustavo</v>
      </c>
      <c r="C10295" s="5" t="s">
        <v>16</v>
      </c>
      <c r="D10295" s="5" t="s">
        <v>9906</v>
      </c>
      <c r="E10295" s="6" t="str">
        <f>HYPERLINK("https://twitter.com/petrogustavo/status/1308192682909544450","1308192682909544450")</f>
        <v>1308192682909544450</v>
      </c>
      <c r="F10295" s="7" t="s">
        <v>32</v>
      </c>
      <c r="G10295" s="7">
        <v>3979608</v>
      </c>
      <c r="H10295" s="7">
        <v>2439</v>
      </c>
      <c r="I10295" s="7">
        <v>47</v>
      </c>
      <c r="J10295" s="7">
        <v>0</v>
      </c>
      <c r="K10295" s="7" t="s">
        <v>18</v>
      </c>
      <c r="L10295" s="8">
        <v>39987.315405092595</v>
      </c>
      <c r="M10295" s="9" t="s">
        <v>19</v>
      </c>
      <c r="N10295" s="9" t="s">
        <v>20</v>
      </c>
      <c r="O10295" s="6" t="str">
        <f>HYPERLINK("https://pbs.twimg.com/profile_images/962471262747529216/Uo8lOkRJ_normal.jpg","View")</f>
        <v>View</v>
      </c>
      <c r="P10295" s="7"/>
    </row>
    <row r="10296" spans="1:16">
      <c r="A10296" s="3">
        <v>44096.224756944444</v>
      </c>
      <c r="B10296" s="4" t="str">
        <f>HYPERLINK("https://twitter.com/petrogustavo","@petrogustavo")</f>
        <v>@petrogustavo</v>
      </c>
      <c r="C10296" s="5" t="s">
        <v>16</v>
      </c>
      <c r="D10296" s="5" t="s">
        <v>9907</v>
      </c>
      <c r="E10296" s="6" t="str">
        <f>HYPERLINK("https://twitter.com/petrogustavo/status/1308192699292540928","1308192699292540928")</f>
        <v>1308192699292540928</v>
      </c>
      <c r="F10296" s="7" t="s">
        <v>32</v>
      </c>
      <c r="G10296" s="7">
        <v>3979608</v>
      </c>
      <c r="H10296" s="7">
        <v>2439</v>
      </c>
      <c r="I10296" s="7">
        <v>23</v>
      </c>
      <c r="J10296" s="7">
        <v>0</v>
      </c>
      <c r="K10296" s="7" t="s">
        <v>18</v>
      </c>
      <c r="L10296" s="8">
        <v>39987.315405092595</v>
      </c>
      <c r="M10296" s="9" t="s">
        <v>19</v>
      </c>
      <c r="N10296" s="9" t="s">
        <v>20</v>
      </c>
      <c r="O10296" s="6" t="str">
        <f>HYPERLINK("https://pbs.twimg.com/profile_images/962471262747529216/Uo8lOkRJ_normal.jpg","View")</f>
        <v>View</v>
      </c>
      <c r="P10296" s="7"/>
    </row>
    <row r="10297" spans="1:16">
      <c r="A10297" s="3">
        <v>44096.225937499999</v>
      </c>
      <c r="B10297" s="4" t="str">
        <f>HYPERLINK("https://twitter.com/petrogustavo","@petrogustavo")</f>
        <v>@petrogustavo</v>
      </c>
      <c r="C10297" s="5" t="s">
        <v>16</v>
      </c>
      <c r="D10297" s="5" t="s">
        <v>9908</v>
      </c>
      <c r="E10297" s="6" t="str">
        <f>HYPERLINK("https://twitter.com/petrogustavo/status/1308193127660912640","1308193127660912640")</f>
        <v>1308193127660912640</v>
      </c>
      <c r="F10297" s="7" t="s">
        <v>32</v>
      </c>
      <c r="G10297" s="7">
        <v>3979608</v>
      </c>
      <c r="H10297" s="7">
        <v>2439</v>
      </c>
      <c r="I10297" s="7">
        <v>75</v>
      </c>
      <c r="J10297" s="7">
        <v>0</v>
      </c>
      <c r="K10297" s="7" t="s">
        <v>18</v>
      </c>
      <c r="L10297" s="8">
        <v>39987.315405092595</v>
      </c>
      <c r="M10297" s="9" t="s">
        <v>19</v>
      </c>
      <c r="N10297" s="9" t="s">
        <v>20</v>
      </c>
      <c r="O10297" s="6" t="str">
        <f>HYPERLINK("https://pbs.twimg.com/profile_images/962471262747529216/Uo8lOkRJ_normal.jpg","View")</f>
        <v>View</v>
      </c>
      <c r="P10297" s="7"/>
    </row>
    <row r="10298" spans="1:16">
      <c r="A10298" s="3">
        <v>44096.227523148147</v>
      </c>
      <c r="B10298" s="4" t="str">
        <f>HYPERLINK("https://twitter.com/petrogustavo","@petrogustavo")</f>
        <v>@petrogustavo</v>
      </c>
      <c r="C10298" s="5" t="s">
        <v>16</v>
      </c>
      <c r="D10298" s="5" t="s">
        <v>9909</v>
      </c>
      <c r="E10298" s="6" t="str">
        <f>HYPERLINK("https://twitter.com/petrogustavo/status/1308193702905552897","1308193702905552897")</f>
        <v>1308193702905552897</v>
      </c>
      <c r="F10298" s="7" t="s">
        <v>32</v>
      </c>
      <c r="G10298" s="7">
        <v>3979608</v>
      </c>
      <c r="H10298" s="7">
        <v>2439</v>
      </c>
      <c r="I10298" s="7">
        <v>51</v>
      </c>
      <c r="J10298" s="7">
        <v>0</v>
      </c>
      <c r="K10298" s="7" t="s">
        <v>18</v>
      </c>
      <c r="L10298" s="8">
        <v>39987.315405092595</v>
      </c>
      <c r="M10298" s="9" t="s">
        <v>19</v>
      </c>
      <c r="N10298" s="9" t="s">
        <v>20</v>
      </c>
      <c r="O10298" s="6" t="str">
        <f>HYPERLINK("https://pbs.twimg.com/profile_images/962471262747529216/Uo8lOkRJ_normal.jpg","View")</f>
        <v>View</v>
      </c>
      <c r="P10298" s="7"/>
    </row>
    <row r="10299" spans="1:16">
      <c r="A10299" s="3">
        <v>44096.227905092594</v>
      </c>
      <c r="B10299" s="4" t="str">
        <f>HYPERLINK("https://twitter.com/petrogustavo","@petrogustavo")</f>
        <v>@petrogustavo</v>
      </c>
      <c r="C10299" s="5" t="s">
        <v>16</v>
      </c>
      <c r="D10299" s="5" t="s">
        <v>9910</v>
      </c>
      <c r="E10299" s="6" t="str">
        <f>HYPERLINK("https://twitter.com/petrogustavo/status/1308193840537501696","1308193840537501696")</f>
        <v>1308193840537501696</v>
      </c>
      <c r="F10299" s="7" t="s">
        <v>32</v>
      </c>
      <c r="G10299" s="7">
        <v>3979608</v>
      </c>
      <c r="H10299" s="7">
        <v>2439</v>
      </c>
      <c r="I10299" s="7">
        <v>38</v>
      </c>
      <c r="J10299" s="7">
        <v>0</v>
      </c>
      <c r="K10299" s="7" t="s">
        <v>18</v>
      </c>
      <c r="L10299" s="8">
        <v>39987.315405092595</v>
      </c>
      <c r="M10299" s="9" t="s">
        <v>19</v>
      </c>
      <c r="N10299" s="9" t="s">
        <v>20</v>
      </c>
      <c r="O10299" s="6" t="str">
        <f>HYPERLINK("https://pbs.twimg.com/profile_images/962471262747529216/Uo8lOkRJ_normal.jpg","View")</f>
        <v>View</v>
      </c>
      <c r="P10299" s="7"/>
    </row>
    <row r="10300" spans="1:16">
      <c r="A10300" s="3">
        <v>44096.229999999996</v>
      </c>
      <c r="B10300" s="4" t="str">
        <f>HYPERLINK("https://twitter.com/petrogustavo","@petrogustavo")</f>
        <v>@petrogustavo</v>
      </c>
      <c r="C10300" s="5" t="s">
        <v>16</v>
      </c>
      <c r="D10300" s="5" t="s">
        <v>9911</v>
      </c>
      <c r="E10300" s="6" t="str">
        <f>HYPERLINK("https://twitter.com/petrogustavo/status/1308194602462126088","1308194602462126088")</f>
        <v>1308194602462126088</v>
      </c>
      <c r="F10300" s="7" t="s">
        <v>32</v>
      </c>
      <c r="G10300" s="7">
        <v>3979608</v>
      </c>
      <c r="H10300" s="7">
        <v>2439</v>
      </c>
      <c r="I10300" s="7">
        <v>21</v>
      </c>
      <c r="J10300" s="7">
        <v>49</v>
      </c>
      <c r="K10300" s="7" t="s">
        <v>18</v>
      </c>
      <c r="L10300" s="8">
        <v>39987.315405092595</v>
      </c>
      <c r="M10300" s="9" t="s">
        <v>19</v>
      </c>
      <c r="N10300" s="9" t="s">
        <v>20</v>
      </c>
      <c r="O10300" s="6" t="str">
        <f>HYPERLINK("https://pbs.twimg.com/profile_images/962471262747529216/Uo8lOkRJ_normal.jpg","View")</f>
        <v>View</v>
      </c>
      <c r="P10300" s="7"/>
    </row>
    <row r="10301" spans="1:16">
      <c r="A10301" s="3">
        <v>44096.230694444443</v>
      </c>
      <c r="B10301" s="4" t="str">
        <f>HYPERLINK("https://twitter.com/petrogustavo","@petrogustavo")</f>
        <v>@petrogustavo</v>
      </c>
      <c r="C10301" s="5" t="s">
        <v>16</v>
      </c>
      <c r="D10301" s="5" t="s">
        <v>9912</v>
      </c>
      <c r="E10301" s="6" t="str">
        <f>HYPERLINK("https://twitter.com/petrogustavo/status/1308194852702650368","1308194852702650368")</f>
        <v>1308194852702650368</v>
      </c>
      <c r="F10301" s="7" t="s">
        <v>32</v>
      </c>
      <c r="G10301" s="7">
        <v>3979608</v>
      </c>
      <c r="H10301" s="7">
        <v>2439</v>
      </c>
      <c r="I10301" s="7">
        <v>616</v>
      </c>
      <c r="J10301" s="7">
        <v>0</v>
      </c>
      <c r="K10301" s="7" t="s">
        <v>18</v>
      </c>
      <c r="L10301" s="8">
        <v>39987.315405092595</v>
      </c>
      <c r="M10301" s="9" t="s">
        <v>19</v>
      </c>
      <c r="N10301" s="9" t="s">
        <v>20</v>
      </c>
      <c r="O10301" s="6" t="str">
        <f>HYPERLINK("https://pbs.twimg.com/profile_images/962471262747529216/Uo8lOkRJ_normal.jpg","View")</f>
        <v>View</v>
      </c>
      <c r="P10301" s="7"/>
    </row>
    <row r="10302" spans="1:16">
      <c r="A10302" s="3">
        <v>44096.232071759259</v>
      </c>
      <c r="B10302" s="4" t="str">
        <f>HYPERLINK("https://twitter.com/petrogustavo","@petrogustavo")</f>
        <v>@petrogustavo</v>
      </c>
      <c r="C10302" s="5" t="s">
        <v>16</v>
      </c>
      <c r="D10302" s="5" t="s">
        <v>9913</v>
      </c>
      <c r="E10302" s="6" t="str">
        <f>HYPERLINK("https://twitter.com/petrogustavo/status/1308195349627047937","1308195349627047937")</f>
        <v>1308195349627047937</v>
      </c>
      <c r="F10302" s="7" t="s">
        <v>32</v>
      </c>
      <c r="G10302" s="7">
        <v>3979629</v>
      </c>
      <c r="H10302" s="7">
        <v>2440</v>
      </c>
      <c r="I10302" s="7">
        <v>938</v>
      </c>
      <c r="J10302" s="7">
        <v>0</v>
      </c>
      <c r="K10302" s="7" t="s">
        <v>18</v>
      </c>
      <c r="L10302" s="8">
        <v>39987.315405092595</v>
      </c>
      <c r="M10302" s="9" t="s">
        <v>19</v>
      </c>
      <c r="N10302" s="9" t="s">
        <v>20</v>
      </c>
      <c r="O10302" s="6" t="str">
        <f>HYPERLINK("https://pbs.twimg.com/profile_images/962471262747529216/Uo8lOkRJ_normal.jpg","View")</f>
        <v>View</v>
      </c>
      <c r="P10302" s="7"/>
    </row>
    <row r="10303" spans="1:16">
      <c r="A10303" s="3">
        <v>44096.232685185183</v>
      </c>
      <c r="B10303" s="4" t="str">
        <f>HYPERLINK("https://twitter.com/petrogustavo","@petrogustavo")</f>
        <v>@petrogustavo</v>
      </c>
      <c r="C10303" s="5" t="s">
        <v>16</v>
      </c>
      <c r="D10303" s="5" t="s">
        <v>9914</v>
      </c>
      <c r="E10303" s="6" t="str">
        <f>HYPERLINK("https://twitter.com/petrogustavo/status/1308195575268024324","1308195575268024324")</f>
        <v>1308195575268024324</v>
      </c>
      <c r="F10303" s="7" t="s">
        <v>32</v>
      </c>
      <c r="G10303" s="7">
        <v>3979629</v>
      </c>
      <c r="H10303" s="7">
        <v>2440</v>
      </c>
      <c r="I10303" s="7">
        <v>109</v>
      </c>
      <c r="J10303" s="7">
        <v>0</v>
      </c>
      <c r="K10303" s="7" t="s">
        <v>18</v>
      </c>
      <c r="L10303" s="8">
        <v>39987.315405092595</v>
      </c>
      <c r="M10303" s="9" t="s">
        <v>19</v>
      </c>
      <c r="N10303" s="9" t="s">
        <v>20</v>
      </c>
      <c r="O10303" s="6" t="str">
        <f>HYPERLINK("https://pbs.twimg.com/profile_images/962471262747529216/Uo8lOkRJ_normal.jpg","View")</f>
        <v>View</v>
      </c>
      <c r="P10303" s="7"/>
    </row>
    <row r="10304" spans="1:16">
      <c r="A10304" s="3">
        <v>44096.241909722223</v>
      </c>
      <c r="B10304" s="4" t="str">
        <f>HYPERLINK("https://twitter.com/petrogustavo","@petrogustavo")</f>
        <v>@petrogustavo</v>
      </c>
      <c r="C10304" s="5" t="s">
        <v>16</v>
      </c>
      <c r="D10304" s="5" t="s">
        <v>9915</v>
      </c>
      <c r="E10304" s="6" t="str">
        <f>HYPERLINK("https://twitter.com/petrogustavo/status/1308198917465571333","1308198917465571333")</f>
        <v>1308198917465571333</v>
      </c>
      <c r="F10304" s="7" t="s">
        <v>32</v>
      </c>
      <c r="G10304" s="7">
        <v>3979629</v>
      </c>
      <c r="H10304" s="7">
        <v>2440</v>
      </c>
      <c r="I10304" s="7">
        <v>176</v>
      </c>
      <c r="J10304" s="7">
        <v>479</v>
      </c>
      <c r="K10304" s="7" t="s">
        <v>18</v>
      </c>
      <c r="L10304" s="8">
        <v>39987.315405092595</v>
      </c>
      <c r="M10304" s="9" t="s">
        <v>19</v>
      </c>
      <c r="N10304" s="9" t="s">
        <v>20</v>
      </c>
      <c r="O10304" s="6" t="str">
        <f>HYPERLINK("https://pbs.twimg.com/profile_images/962471262747529216/Uo8lOkRJ_normal.jpg","View")</f>
        <v>View</v>
      </c>
      <c r="P10304" s="7"/>
    </row>
    <row r="10305" spans="1:16">
      <c r="A10305" s="3">
        <v>44096.244120370371</v>
      </c>
      <c r="B10305" s="4" t="str">
        <f>HYPERLINK("https://twitter.com/petrogustavo","@petrogustavo")</f>
        <v>@petrogustavo</v>
      </c>
      <c r="C10305" s="5" t="s">
        <v>16</v>
      </c>
      <c r="D10305" s="5" t="s">
        <v>9916</v>
      </c>
      <c r="E10305" s="6" t="str">
        <f>HYPERLINK("https://twitter.com/petrogustavo/status/1308199715704639488","1308199715704639488")</f>
        <v>1308199715704639488</v>
      </c>
      <c r="F10305" s="7" t="s">
        <v>32</v>
      </c>
      <c r="G10305" s="7">
        <v>3979629</v>
      </c>
      <c r="H10305" s="7">
        <v>2440</v>
      </c>
      <c r="I10305" s="7">
        <v>76</v>
      </c>
      <c r="J10305" s="7">
        <v>0</v>
      </c>
      <c r="K10305" s="7" t="s">
        <v>18</v>
      </c>
      <c r="L10305" s="8">
        <v>39987.315405092595</v>
      </c>
      <c r="M10305" s="9" t="s">
        <v>19</v>
      </c>
      <c r="N10305" s="9" t="s">
        <v>20</v>
      </c>
      <c r="O10305" s="6" t="str">
        <f>HYPERLINK("https://pbs.twimg.com/profile_images/962471262747529216/Uo8lOkRJ_normal.jpg","View")</f>
        <v>View</v>
      </c>
      <c r="P10305" s="7"/>
    </row>
    <row r="10306" spans="1:16">
      <c r="A10306" s="3">
        <v>44096.244722222225</v>
      </c>
      <c r="B10306" s="4" t="str">
        <f>HYPERLINK("https://twitter.com/petrogustavo","@petrogustavo")</f>
        <v>@petrogustavo</v>
      </c>
      <c r="C10306" s="5" t="s">
        <v>16</v>
      </c>
      <c r="D10306" s="5" t="s">
        <v>9917</v>
      </c>
      <c r="E10306" s="6" t="str">
        <f>HYPERLINK("https://twitter.com/petrogustavo/status/1308199936434069505","1308199936434069505")</f>
        <v>1308199936434069505</v>
      </c>
      <c r="F10306" s="7" t="s">
        <v>32</v>
      </c>
      <c r="G10306" s="7">
        <v>3979629</v>
      </c>
      <c r="H10306" s="7">
        <v>2440</v>
      </c>
      <c r="I10306" s="7">
        <v>135</v>
      </c>
      <c r="J10306" s="7">
        <v>264</v>
      </c>
      <c r="K10306" s="7" t="s">
        <v>18</v>
      </c>
      <c r="L10306" s="8">
        <v>39987.315405092595</v>
      </c>
      <c r="M10306" s="9" t="s">
        <v>19</v>
      </c>
      <c r="N10306" s="9" t="s">
        <v>20</v>
      </c>
      <c r="O10306" s="6" t="str">
        <f>HYPERLINK("https://pbs.twimg.com/profile_images/962471262747529216/Uo8lOkRJ_normal.jpg","View")</f>
        <v>View</v>
      </c>
      <c r="P10306" s="7"/>
    </row>
    <row r="10307" spans="1:16">
      <c r="A10307" s="3">
        <v>44096.244884259257</v>
      </c>
      <c r="B10307" s="4" t="str">
        <f>HYPERLINK("https://twitter.com/petrogustavo","@petrogustavo")</f>
        <v>@petrogustavo</v>
      </c>
      <c r="C10307" s="5" t="s">
        <v>16</v>
      </c>
      <c r="D10307" s="5" t="s">
        <v>9918</v>
      </c>
      <c r="E10307" s="6" t="str">
        <f>HYPERLINK("https://twitter.com/petrogustavo/status/1308199995225636864","1308199995225636864")</f>
        <v>1308199995225636864</v>
      </c>
      <c r="F10307" s="7" t="s">
        <v>32</v>
      </c>
      <c r="G10307" s="7">
        <v>3979629</v>
      </c>
      <c r="H10307" s="7">
        <v>2440</v>
      </c>
      <c r="I10307" s="7">
        <v>27</v>
      </c>
      <c r="J10307" s="7">
        <v>0</v>
      </c>
      <c r="K10307" s="7" t="s">
        <v>18</v>
      </c>
      <c r="L10307" s="8">
        <v>39987.315405092595</v>
      </c>
      <c r="M10307" s="9" t="s">
        <v>19</v>
      </c>
      <c r="N10307" s="9" t="s">
        <v>20</v>
      </c>
      <c r="O10307" s="6" t="str">
        <f>HYPERLINK("https://pbs.twimg.com/profile_images/962471262747529216/Uo8lOkRJ_normal.jpg","View")</f>
        <v>View</v>
      </c>
      <c r="P10307" s="7"/>
    </row>
    <row r="10308" spans="1:16">
      <c r="A10308" s="3">
        <v>44096.246770833328</v>
      </c>
      <c r="B10308" s="4" t="str">
        <f>HYPERLINK("https://twitter.com/petrogustavo","@petrogustavo")</f>
        <v>@petrogustavo</v>
      </c>
      <c r="C10308" s="5" t="s">
        <v>16</v>
      </c>
      <c r="D10308" s="5" t="s">
        <v>9919</v>
      </c>
      <c r="E10308" s="6" t="str">
        <f>HYPERLINK("https://twitter.com/petrogustavo/status/1308200678175789058","1308200678175789058")</f>
        <v>1308200678175789058</v>
      </c>
      <c r="F10308" s="7" t="s">
        <v>32</v>
      </c>
      <c r="G10308" s="7">
        <v>3979629</v>
      </c>
      <c r="H10308" s="7">
        <v>2440</v>
      </c>
      <c r="I10308" s="7">
        <v>100</v>
      </c>
      <c r="J10308" s="7">
        <v>0</v>
      </c>
      <c r="K10308" s="7" t="s">
        <v>18</v>
      </c>
      <c r="L10308" s="8">
        <v>39987.315405092595</v>
      </c>
      <c r="M10308" s="9" t="s">
        <v>19</v>
      </c>
      <c r="N10308" s="9" t="s">
        <v>20</v>
      </c>
      <c r="O10308" s="6" t="str">
        <f>HYPERLINK("https://pbs.twimg.com/profile_images/962471262747529216/Uo8lOkRJ_normal.jpg","View")</f>
        <v>View</v>
      </c>
      <c r="P10308" s="7"/>
    </row>
    <row r="10309" spans="1:16">
      <c r="A10309" s="3">
        <v>44096.248738425929</v>
      </c>
      <c r="B10309" s="4" t="str">
        <f>HYPERLINK("https://twitter.com/petrogustavo","@petrogustavo")</f>
        <v>@petrogustavo</v>
      </c>
      <c r="C10309" s="5" t="s">
        <v>16</v>
      </c>
      <c r="D10309" s="5" t="s">
        <v>9920</v>
      </c>
      <c r="E10309" s="6" t="str">
        <f>HYPERLINK("https://twitter.com/petrogustavo/status/1308201392725729280","1308201392725729280")</f>
        <v>1308201392725729280</v>
      </c>
      <c r="F10309" s="7" t="s">
        <v>32</v>
      </c>
      <c r="G10309" s="7">
        <v>3979629</v>
      </c>
      <c r="H10309" s="7">
        <v>2440</v>
      </c>
      <c r="I10309" s="7">
        <v>129</v>
      </c>
      <c r="J10309" s="7">
        <v>229</v>
      </c>
      <c r="K10309" s="7" t="s">
        <v>18</v>
      </c>
      <c r="L10309" s="8">
        <v>39987.315405092595</v>
      </c>
      <c r="M10309" s="9" t="s">
        <v>19</v>
      </c>
      <c r="N10309" s="9" t="s">
        <v>20</v>
      </c>
      <c r="O10309" s="6" t="str">
        <f>HYPERLINK("https://pbs.twimg.com/profile_images/962471262747529216/Uo8lOkRJ_normal.jpg","View")</f>
        <v>View</v>
      </c>
      <c r="P10309" s="7"/>
    </row>
    <row r="10310" spans="1:16">
      <c r="A10310" s="3">
        <v>44096.250208333338</v>
      </c>
      <c r="B10310" s="4" t="str">
        <f>HYPERLINK("https://twitter.com/petrogustavo","@petrogustavo")</f>
        <v>@petrogustavo</v>
      </c>
      <c r="C10310" s="5" t="s">
        <v>16</v>
      </c>
      <c r="D10310" s="5" t="s">
        <v>9921</v>
      </c>
      <c r="E10310" s="6" t="str">
        <f>HYPERLINK("https://twitter.com/petrogustavo/status/1308201924261490688","1308201924261490688")</f>
        <v>1308201924261490688</v>
      </c>
      <c r="F10310" s="7" t="s">
        <v>32</v>
      </c>
      <c r="G10310" s="7">
        <v>3979629</v>
      </c>
      <c r="H10310" s="7">
        <v>2440</v>
      </c>
      <c r="I10310" s="7">
        <v>45</v>
      </c>
      <c r="J10310" s="7">
        <v>0</v>
      </c>
      <c r="K10310" s="7" t="s">
        <v>18</v>
      </c>
      <c r="L10310" s="8">
        <v>39987.315405092595</v>
      </c>
      <c r="M10310" s="9" t="s">
        <v>19</v>
      </c>
      <c r="N10310" s="9" t="s">
        <v>20</v>
      </c>
      <c r="O10310" s="6" t="str">
        <f>HYPERLINK("https://pbs.twimg.com/profile_images/962471262747529216/Uo8lOkRJ_normal.jpg","View")</f>
        <v>View</v>
      </c>
      <c r="P10310" s="7"/>
    </row>
    <row r="10311" spans="1:16">
      <c r="A10311" s="3">
        <v>44096.2502662037</v>
      </c>
      <c r="B10311" s="4" t="str">
        <f>HYPERLINK("https://twitter.com/petrogustavo","@petrogustavo")</f>
        <v>@petrogustavo</v>
      </c>
      <c r="C10311" s="5" t="s">
        <v>16</v>
      </c>
      <c r="D10311" s="5" t="s">
        <v>9922</v>
      </c>
      <c r="E10311" s="6" t="str">
        <f>HYPERLINK("https://twitter.com/petrogustavo/status/1308201944721354752","1308201944721354752")</f>
        <v>1308201944721354752</v>
      </c>
      <c r="F10311" s="7" t="s">
        <v>32</v>
      </c>
      <c r="G10311" s="7">
        <v>3979629</v>
      </c>
      <c r="H10311" s="7">
        <v>2440</v>
      </c>
      <c r="I10311" s="7">
        <v>129</v>
      </c>
      <c r="J10311" s="7">
        <v>0</v>
      </c>
      <c r="K10311" s="7" t="s">
        <v>18</v>
      </c>
      <c r="L10311" s="8">
        <v>39987.315405092595</v>
      </c>
      <c r="M10311" s="9" t="s">
        <v>19</v>
      </c>
      <c r="N10311" s="9" t="s">
        <v>20</v>
      </c>
      <c r="O10311" s="6" t="str">
        <f>HYPERLINK("https://pbs.twimg.com/profile_images/962471262747529216/Uo8lOkRJ_normal.jpg","View")</f>
        <v>View</v>
      </c>
      <c r="P10311" s="7"/>
    </row>
    <row r="10312" spans="1:16">
      <c r="A10312" s="3">
        <v>44096.25509259259</v>
      </c>
      <c r="B10312" s="4" t="str">
        <f>HYPERLINK("https://twitter.com/petrogustavo","@petrogustavo")</f>
        <v>@petrogustavo</v>
      </c>
      <c r="C10312" s="5" t="s">
        <v>16</v>
      </c>
      <c r="D10312" s="5" t="s">
        <v>9923</v>
      </c>
      <c r="E10312" s="6" t="str">
        <f>HYPERLINK("https://twitter.com/petrogustavo/status/1308203693393743872","1308203693393743872")</f>
        <v>1308203693393743872</v>
      </c>
      <c r="F10312" s="7" t="s">
        <v>32</v>
      </c>
      <c r="G10312" s="7">
        <v>3979641</v>
      </c>
      <c r="H10312" s="7">
        <v>2440</v>
      </c>
      <c r="I10312" s="7">
        <v>119</v>
      </c>
      <c r="J10312" s="7">
        <v>347</v>
      </c>
      <c r="K10312" s="7" t="s">
        <v>18</v>
      </c>
      <c r="L10312" s="8">
        <v>39987.315405092595</v>
      </c>
      <c r="M10312" s="9" t="s">
        <v>19</v>
      </c>
      <c r="N10312" s="9" t="s">
        <v>20</v>
      </c>
      <c r="O10312" s="6" t="str">
        <f>HYPERLINK("https://pbs.twimg.com/profile_images/962471262747529216/Uo8lOkRJ_normal.jpg","View")</f>
        <v>View</v>
      </c>
      <c r="P10312" s="7"/>
    </row>
    <row r="10313" spans="1:16">
      <c r="A10313" s="3">
        <v>44096.256701388891</v>
      </c>
      <c r="B10313" s="4" t="str">
        <f>HYPERLINK("https://twitter.com/petrogustavo","@petrogustavo")</f>
        <v>@petrogustavo</v>
      </c>
      <c r="C10313" s="5" t="s">
        <v>16</v>
      </c>
      <c r="D10313" s="5" t="s">
        <v>9924</v>
      </c>
      <c r="E10313" s="6" t="str">
        <f>HYPERLINK("https://twitter.com/petrogustavo/status/1308204277630930951","1308204277630930951")</f>
        <v>1308204277630930951</v>
      </c>
      <c r="F10313" s="7" t="s">
        <v>32</v>
      </c>
      <c r="G10313" s="7">
        <v>3979641</v>
      </c>
      <c r="H10313" s="7">
        <v>2440</v>
      </c>
      <c r="I10313" s="7">
        <v>62</v>
      </c>
      <c r="J10313" s="7">
        <v>0</v>
      </c>
      <c r="K10313" s="7" t="s">
        <v>18</v>
      </c>
      <c r="L10313" s="8">
        <v>39987.315405092595</v>
      </c>
      <c r="M10313" s="9" t="s">
        <v>19</v>
      </c>
      <c r="N10313" s="9" t="s">
        <v>20</v>
      </c>
      <c r="O10313" s="6" t="str">
        <f>HYPERLINK("https://pbs.twimg.com/profile_images/962471262747529216/Uo8lOkRJ_normal.jpg","View")</f>
        <v>View</v>
      </c>
      <c r="P10313" s="7"/>
    </row>
    <row r="10314" spans="1:16">
      <c r="A10314" s="3">
        <v>44096.261481481481</v>
      </c>
      <c r="B10314" s="4" t="str">
        <f>HYPERLINK("https://twitter.com/petrogustavo","@petrogustavo")</f>
        <v>@petrogustavo</v>
      </c>
      <c r="C10314" s="5" t="s">
        <v>16</v>
      </c>
      <c r="D10314" s="5" t="s">
        <v>9925</v>
      </c>
      <c r="E10314" s="6" t="str">
        <f>HYPERLINK("https://twitter.com/petrogustavo/status/1308206009844932608","1308206009844932608")</f>
        <v>1308206009844932608</v>
      </c>
      <c r="F10314" s="7" t="s">
        <v>32</v>
      </c>
      <c r="G10314" s="7">
        <v>3979641</v>
      </c>
      <c r="H10314" s="7">
        <v>2440</v>
      </c>
      <c r="I10314" s="7">
        <v>80</v>
      </c>
      <c r="J10314" s="7">
        <v>0</v>
      </c>
      <c r="K10314" s="7" t="s">
        <v>18</v>
      </c>
      <c r="L10314" s="8">
        <v>39987.315405092595</v>
      </c>
      <c r="M10314" s="9" t="s">
        <v>19</v>
      </c>
      <c r="N10314" s="9" t="s">
        <v>20</v>
      </c>
      <c r="O10314" s="6" t="str">
        <f>HYPERLINK("https://pbs.twimg.com/profile_images/962471262747529216/Uo8lOkRJ_normal.jpg","View")</f>
        <v>View</v>
      </c>
      <c r="P10314" s="7"/>
    </row>
    <row r="10315" spans="1:16">
      <c r="A10315" s="3">
        <v>44096.262592592597</v>
      </c>
      <c r="B10315" s="4" t="str">
        <f>HYPERLINK("https://twitter.com/petrogustavo","@petrogustavo")</f>
        <v>@petrogustavo</v>
      </c>
      <c r="C10315" s="5" t="s">
        <v>16</v>
      </c>
      <c r="D10315" s="5" t="s">
        <v>9926</v>
      </c>
      <c r="E10315" s="6" t="str">
        <f>HYPERLINK("https://twitter.com/petrogustavo/status/1308206413639024640","1308206413639024640")</f>
        <v>1308206413639024640</v>
      </c>
      <c r="F10315" s="7" t="s">
        <v>32</v>
      </c>
      <c r="G10315" s="7">
        <v>3979641</v>
      </c>
      <c r="H10315" s="7">
        <v>2440</v>
      </c>
      <c r="I10315" s="7">
        <v>190</v>
      </c>
      <c r="J10315" s="7">
        <v>419</v>
      </c>
      <c r="K10315" s="7" t="s">
        <v>18</v>
      </c>
      <c r="L10315" s="8">
        <v>39987.315405092595</v>
      </c>
      <c r="M10315" s="9" t="s">
        <v>19</v>
      </c>
      <c r="N10315" s="9" t="s">
        <v>20</v>
      </c>
      <c r="O10315" s="6" t="str">
        <f>HYPERLINK("https://pbs.twimg.com/profile_images/962471262747529216/Uo8lOkRJ_normal.jpg","View")</f>
        <v>View</v>
      </c>
      <c r="P10315" s="7"/>
    </row>
    <row r="10316" spans="1:16">
      <c r="A10316" s="3">
        <v>44096.265243055561</v>
      </c>
      <c r="B10316" s="4" t="str">
        <f>HYPERLINK("https://twitter.com/petrogustavo","@petrogustavo")</f>
        <v>@petrogustavo</v>
      </c>
      <c r="C10316" s="5" t="s">
        <v>16</v>
      </c>
      <c r="D10316" s="5" t="s">
        <v>9927</v>
      </c>
      <c r="E10316" s="6" t="str">
        <f>HYPERLINK("https://twitter.com/petrogustavo/status/1308207374059044864","1308207374059044864")</f>
        <v>1308207374059044864</v>
      </c>
      <c r="F10316" s="7" t="s">
        <v>32</v>
      </c>
      <c r="G10316" s="7">
        <v>3979641</v>
      </c>
      <c r="H10316" s="7">
        <v>2440</v>
      </c>
      <c r="I10316" s="7">
        <v>326</v>
      </c>
      <c r="J10316" s="7">
        <v>0</v>
      </c>
      <c r="K10316" s="7" t="s">
        <v>18</v>
      </c>
      <c r="L10316" s="8">
        <v>39987.315405092595</v>
      </c>
      <c r="M10316" s="9" t="s">
        <v>19</v>
      </c>
      <c r="N10316" s="9" t="s">
        <v>20</v>
      </c>
      <c r="O10316" s="6" t="str">
        <f>HYPERLINK("https://pbs.twimg.com/profile_images/962471262747529216/Uo8lOkRJ_normal.jpg","View")</f>
        <v>View</v>
      </c>
      <c r="P10316" s="7"/>
    </row>
    <row r="10317" spans="1:16">
      <c r="A10317" s="3">
        <v>44096.265532407408</v>
      </c>
      <c r="B10317" s="4" t="str">
        <f>HYPERLINK("https://twitter.com/petrogustavo","@petrogustavo")</f>
        <v>@petrogustavo</v>
      </c>
      <c r="C10317" s="5" t="s">
        <v>16</v>
      </c>
      <c r="D10317" s="5" t="s">
        <v>9928</v>
      </c>
      <c r="E10317" s="6" t="str">
        <f>HYPERLINK("https://twitter.com/petrogustavo/status/1308207477096316928","1308207477096316928")</f>
        <v>1308207477096316928</v>
      </c>
      <c r="F10317" s="7" t="s">
        <v>32</v>
      </c>
      <c r="G10317" s="7">
        <v>3979641</v>
      </c>
      <c r="H10317" s="7">
        <v>2440</v>
      </c>
      <c r="I10317" s="7">
        <v>57</v>
      </c>
      <c r="J10317" s="7">
        <v>0</v>
      </c>
      <c r="K10317" s="7" t="s">
        <v>18</v>
      </c>
      <c r="L10317" s="8">
        <v>39987.315405092595</v>
      </c>
      <c r="M10317" s="9" t="s">
        <v>19</v>
      </c>
      <c r="N10317" s="9" t="s">
        <v>20</v>
      </c>
      <c r="O10317" s="6" t="str">
        <f>HYPERLINK("https://pbs.twimg.com/profile_images/962471262747529216/Uo8lOkRJ_normal.jpg","View")</f>
        <v>View</v>
      </c>
      <c r="P10317" s="7"/>
    </row>
    <row r="10318" spans="1:16">
      <c r="A10318" s="3">
        <v>44096.266643518524</v>
      </c>
      <c r="B10318" s="4" t="str">
        <f>HYPERLINK("https://twitter.com/petrogustavo","@petrogustavo")</f>
        <v>@petrogustavo</v>
      </c>
      <c r="C10318" s="5" t="s">
        <v>16</v>
      </c>
      <c r="D10318" s="5" t="s">
        <v>9929</v>
      </c>
      <c r="E10318" s="6" t="str">
        <f>HYPERLINK("https://twitter.com/petrogustavo/status/1308207880433266696","1308207880433266696")</f>
        <v>1308207880433266696</v>
      </c>
      <c r="F10318" s="7" t="s">
        <v>32</v>
      </c>
      <c r="G10318" s="7">
        <v>3979641</v>
      </c>
      <c r="H10318" s="7">
        <v>2440</v>
      </c>
      <c r="I10318" s="7">
        <v>105</v>
      </c>
      <c r="J10318" s="7">
        <v>231</v>
      </c>
      <c r="K10318" s="7" t="s">
        <v>18</v>
      </c>
      <c r="L10318" s="8">
        <v>39987.315405092595</v>
      </c>
      <c r="M10318" s="9" t="s">
        <v>19</v>
      </c>
      <c r="N10318" s="9" t="s">
        <v>20</v>
      </c>
      <c r="O10318" s="6" t="str">
        <f>HYPERLINK("https://pbs.twimg.com/profile_images/962471262747529216/Uo8lOkRJ_normal.jpg","View")</f>
        <v>View</v>
      </c>
      <c r="P10318" s="7"/>
    </row>
    <row r="10319" spans="1:16">
      <c r="A10319" s="3">
        <v>44096.270370370374</v>
      </c>
      <c r="B10319" s="4" t="str">
        <f>HYPERLINK("https://twitter.com/petrogustavo","@petrogustavo")</f>
        <v>@petrogustavo</v>
      </c>
      <c r="C10319" s="5" t="s">
        <v>16</v>
      </c>
      <c r="D10319" s="5" t="s">
        <v>9930</v>
      </c>
      <c r="E10319" s="6" t="str">
        <f>HYPERLINK("https://twitter.com/petrogustavo/status/1308209228818059264","1308209228818059264")</f>
        <v>1308209228818059264</v>
      </c>
      <c r="F10319" s="7" t="s">
        <v>32</v>
      </c>
      <c r="G10319" s="7">
        <v>3979641</v>
      </c>
      <c r="H10319" s="7">
        <v>2440</v>
      </c>
      <c r="I10319" s="7">
        <v>31</v>
      </c>
      <c r="J10319" s="7">
        <v>0</v>
      </c>
      <c r="K10319" s="7" t="s">
        <v>18</v>
      </c>
      <c r="L10319" s="8">
        <v>39987.315405092595</v>
      </c>
      <c r="M10319" s="9" t="s">
        <v>19</v>
      </c>
      <c r="N10319" s="9" t="s">
        <v>20</v>
      </c>
      <c r="O10319" s="6" t="str">
        <f>HYPERLINK("https://pbs.twimg.com/profile_images/962471262747529216/Uo8lOkRJ_normal.jpg","View")</f>
        <v>View</v>
      </c>
      <c r="P10319" s="7"/>
    </row>
    <row r="10320" spans="1:16">
      <c r="A10320" s="3">
        <v>44096.272303240738</v>
      </c>
      <c r="B10320" s="4" t="str">
        <f>HYPERLINK("https://twitter.com/petrogustavo","@petrogustavo")</f>
        <v>@petrogustavo</v>
      </c>
      <c r="C10320" s="5" t="s">
        <v>16</v>
      </c>
      <c r="D10320" s="5" t="s">
        <v>9931</v>
      </c>
      <c r="E10320" s="6" t="str">
        <f>HYPERLINK("https://twitter.com/petrogustavo/status/1308209932743966722","1308209932743966722")</f>
        <v>1308209932743966722</v>
      </c>
      <c r="F10320" s="7" t="s">
        <v>32</v>
      </c>
      <c r="G10320" s="7">
        <v>3979641</v>
      </c>
      <c r="H10320" s="7">
        <v>2440</v>
      </c>
      <c r="I10320" s="7">
        <v>13</v>
      </c>
      <c r="J10320" s="7">
        <v>31</v>
      </c>
      <c r="K10320" s="7" t="s">
        <v>18</v>
      </c>
      <c r="L10320" s="8">
        <v>39987.315405092595</v>
      </c>
      <c r="M10320" s="9" t="s">
        <v>19</v>
      </c>
      <c r="N10320" s="9" t="s">
        <v>20</v>
      </c>
      <c r="O10320" s="6" t="str">
        <f>HYPERLINK("https://pbs.twimg.com/profile_images/962471262747529216/Uo8lOkRJ_normal.jpg","View")</f>
        <v>View</v>
      </c>
      <c r="P10320" s="7"/>
    </row>
    <row r="10321" spans="1:16">
      <c r="A10321" s="3">
        <v>44096.278402777782</v>
      </c>
      <c r="B10321" s="4" t="str">
        <f>HYPERLINK("https://twitter.com/petrogustavo","@petrogustavo")</f>
        <v>@petrogustavo</v>
      </c>
      <c r="C10321" s="5" t="s">
        <v>16</v>
      </c>
      <c r="D10321" s="5" t="s">
        <v>9932</v>
      </c>
      <c r="E10321" s="6" t="str">
        <f>HYPERLINK("https://twitter.com/petrogustavo/status/1308212139572842496","1308212139572842496")</f>
        <v>1308212139572842496</v>
      </c>
      <c r="F10321" s="7" t="s">
        <v>32</v>
      </c>
      <c r="G10321" s="7">
        <v>3979653</v>
      </c>
      <c r="H10321" s="7">
        <v>2440</v>
      </c>
      <c r="I10321" s="7">
        <v>237</v>
      </c>
      <c r="J10321" s="7">
        <v>0</v>
      </c>
      <c r="K10321" s="7" t="s">
        <v>18</v>
      </c>
      <c r="L10321" s="8">
        <v>39987.315405092595</v>
      </c>
      <c r="M10321" s="9" t="s">
        <v>19</v>
      </c>
      <c r="N10321" s="9" t="s">
        <v>20</v>
      </c>
      <c r="O10321" s="6" t="str">
        <f>HYPERLINK("https://pbs.twimg.com/profile_images/962471262747529216/Uo8lOkRJ_normal.jpg","View")</f>
        <v>View</v>
      </c>
      <c r="P10321" s="7"/>
    </row>
    <row r="10322" spans="1:16">
      <c r="A10322" s="3">
        <v>44096.284201388888</v>
      </c>
      <c r="B10322" s="4" t="str">
        <f>HYPERLINK("https://twitter.com/petrogustavo","@petrogustavo")</f>
        <v>@petrogustavo</v>
      </c>
      <c r="C10322" s="5" t="s">
        <v>16</v>
      </c>
      <c r="D10322" s="5" t="s">
        <v>9933</v>
      </c>
      <c r="E10322" s="6" t="str">
        <f>HYPERLINK("https://twitter.com/petrogustavo/status/1308214242416484355","1308214242416484355")</f>
        <v>1308214242416484355</v>
      </c>
      <c r="F10322" s="7" t="s">
        <v>32</v>
      </c>
      <c r="G10322" s="7">
        <v>3979653</v>
      </c>
      <c r="H10322" s="7">
        <v>2440</v>
      </c>
      <c r="I10322" s="7">
        <v>187</v>
      </c>
      <c r="J10322" s="7">
        <v>981</v>
      </c>
      <c r="K10322" s="7" t="s">
        <v>18</v>
      </c>
      <c r="L10322" s="8">
        <v>39987.315405092595</v>
      </c>
      <c r="M10322" s="9" t="s">
        <v>19</v>
      </c>
      <c r="N10322" s="9" t="s">
        <v>20</v>
      </c>
      <c r="O10322" s="6" t="str">
        <f>HYPERLINK("https://pbs.twimg.com/profile_images/962471262747529216/Uo8lOkRJ_normal.jpg","View")</f>
        <v>View</v>
      </c>
      <c r="P10322" s="7"/>
    </row>
    <row r="10323" spans="1:16">
      <c r="A10323" s="3">
        <v>44096.285370370373</v>
      </c>
      <c r="B10323" s="4" t="str">
        <f>HYPERLINK("https://twitter.com/petrogustavo","@petrogustavo")</f>
        <v>@petrogustavo</v>
      </c>
      <c r="C10323" s="5" t="s">
        <v>16</v>
      </c>
      <c r="D10323" s="5" t="s">
        <v>9934</v>
      </c>
      <c r="E10323" s="6" t="str">
        <f>HYPERLINK("https://twitter.com/petrogustavo/status/1308214667479846913","1308214667479846913")</f>
        <v>1308214667479846913</v>
      </c>
      <c r="F10323" s="7" t="s">
        <v>32</v>
      </c>
      <c r="G10323" s="7">
        <v>3979653</v>
      </c>
      <c r="H10323" s="7">
        <v>2440</v>
      </c>
      <c r="I10323" s="7">
        <v>117</v>
      </c>
      <c r="J10323" s="7">
        <v>281</v>
      </c>
      <c r="K10323" s="7" t="s">
        <v>18</v>
      </c>
      <c r="L10323" s="8">
        <v>39987.315405092595</v>
      </c>
      <c r="M10323" s="9" t="s">
        <v>19</v>
      </c>
      <c r="N10323" s="9" t="s">
        <v>20</v>
      </c>
      <c r="O10323" s="6" t="str">
        <f>HYPERLINK("https://pbs.twimg.com/profile_images/962471262747529216/Uo8lOkRJ_normal.jpg","View")</f>
        <v>View</v>
      </c>
      <c r="P10323" s="7"/>
    </row>
    <row r="10324" spans="1:16">
      <c r="A10324" s="3">
        <v>44096.288206018522</v>
      </c>
      <c r="B10324" s="4" t="str">
        <f>HYPERLINK("https://twitter.com/petrogustavo","@petrogustavo")</f>
        <v>@petrogustavo</v>
      </c>
      <c r="C10324" s="5" t="s">
        <v>16</v>
      </c>
      <c r="D10324" s="5" t="s">
        <v>9935</v>
      </c>
      <c r="E10324" s="6" t="str">
        <f>HYPERLINK("https://twitter.com/petrogustavo/status/1308215694383865856","1308215694383865856")</f>
        <v>1308215694383865856</v>
      </c>
      <c r="F10324" s="7" t="s">
        <v>32</v>
      </c>
      <c r="G10324" s="7">
        <v>3979653</v>
      </c>
      <c r="H10324" s="7">
        <v>2440</v>
      </c>
      <c r="I10324" s="7">
        <v>130</v>
      </c>
      <c r="J10324" s="7">
        <v>223</v>
      </c>
      <c r="K10324" s="7" t="s">
        <v>18</v>
      </c>
      <c r="L10324" s="8">
        <v>39987.315405092595</v>
      </c>
      <c r="M10324" s="9" t="s">
        <v>19</v>
      </c>
      <c r="N10324" s="9" t="s">
        <v>20</v>
      </c>
      <c r="O10324" s="6" t="str">
        <f>HYPERLINK("https://pbs.twimg.com/profile_images/962471262747529216/Uo8lOkRJ_normal.jpg","View")</f>
        <v>View</v>
      </c>
      <c r="P10324" s="7"/>
    </row>
    <row r="10325" spans="1:16">
      <c r="A10325" s="3">
        <v>44096.297708333332</v>
      </c>
      <c r="B10325" s="4" t="str">
        <f>HYPERLINK("https://twitter.com/petrogustavo","@petrogustavo")</f>
        <v>@petrogustavo</v>
      </c>
      <c r="C10325" s="5" t="s">
        <v>16</v>
      </c>
      <c r="D10325" s="5" t="s">
        <v>9936</v>
      </c>
      <c r="E10325" s="6" t="str">
        <f>HYPERLINK("https://twitter.com/petrogustavo/status/1308219137366335488","1308219137366335488")</f>
        <v>1308219137366335488</v>
      </c>
      <c r="F10325" s="7" t="s">
        <v>32</v>
      </c>
      <c r="G10325" s="7">
        <v>3979672</v>
      </c>
      <c r="H10325" s="7">
        <v>2440</v>
      </c>
      <c r="I10325" s="7">
        <v>508</v>
      </c>
      <c r="J10325" s="7">
        <v>1260</v>
      </c>
      <c r="K10325" s="7" t="s">
        <v>18</v>
      </c>
      <c r="L10325" s="8">
        <v>39987.315405092595</v>
      </c>
      <c r="M10325" s="9" t="s">
        <v>19</v>
      </c>
      <c r="N10325" s="9" t="s">
        <v>20</v>
      </c>
      <c r="O10325" s="6" t="str">
        <f>HYPERLINK("https://pbs.twimg.com/profile_images/962471262747529216/Uo8lOkRJ_normal.jpg","View")</f>
        <v>View</v>
      </c>
      <c r="P10325" s="7"/>
    </row>
    <row r="10326" spans="1:16">
      <c r="A10326" s="3">
        <v>44096.319571759261</v>
      </c>
      <c r="B10326" s="4" t="str">
        <f>HYPERLINK("https://twitter.com/petrogustavo","@petrogustavo")</f>
        <v>@petrogustavo</v>
      </c>
      <c r="C10326" s="5" t="s">
        <v>16</v>
      </c>
      <c r="D10326" s="5" t="s">
        <v>9922</v>
      </c>
      <c r="E10326" s="6" t="str">
        <f>HYPERLINK("https://twitter.com/petrogustavo/status/1308227058259177472","1308227058259177472")</f>
        <v>1308227058259177472</v>
      </c>
      <c r="F10326" s="7" t="s">
        <v>17</v>
      </c>
      <c r="G10326" s="7">
        <v>3979696</v>
      </c>
      <c r="H10326" s="7">
        <v>2440</v>
      </c>
      <c r="I10326" s="7">
        <v>1133</v>
      </c>
      <c r="J10326" s="7">
        <v>0</v>
      </c>
      <c r="K10326" s="7" t="s">
        <v>18</v>
      </c>
      <c r="L10326" s="8">
        <v>39987.315405092595</v>
      </c>
      <c r="M10326" s="9" t="s">
        <v>19</v>
      </c>
      <c r="N10326" s="9" t="s">
        <v>20</v>
      </c>
      <c r="O10326" s="6" t="str">
        <f>HYPERLINK("https://pbs.twimg.com/profile_images/962471262747529216/Uo8lOkRJ_normal.jpg","View")</f>
        <v>View</v>
      </c>
      <c r="P10326" s="7"/>
    </row>
    <row r="10327" spans="1:16">
      <c r="A10327" s="3">
        <v>44097.747314814813</v>
      </c>
      <c r="B10327" s="4" t="str">
        <f>HYPERLINK("https://twitter.com/petrogustavo","@petrogustavo")</f>
        <v>@petrogustavo</v>
      </c>
      <c r="C10327" s="5" t="s">
        <v>16</v>
      </c>
      <c r="D10327" s="5" t="s">
        <v>9937</v>
      </c>
      <c r="E10327" s="6" t="str">
        <f>HYPERLINK("https://twitter.com/petrogustavo/status/1308744457639075845","1308744457639075845")</f>
        <v>1308744457639075845</v>
      </c>
      <c r="F10327" s="7" t="s">
        <v>17</v>
      </c>
      <c r="G10327" s="7">
        <v>3982290</v>
      </c>
      <c r="H10327" s="7">
        <v>2441</v>
      </c>
      <c r="I10327" s="7">
        <v>180</v>
      </c>
      <c r="J10327" s="7">
        <v>0</v>
      </c>
      <c r="K10327" s="7" t="s">
        <v>18</v>
      </c>
      <c r="L10327" s="8">
        <v>39987.315405092595</v>
      </c>
      <c r="M10327" s="9" t="s">
        <v>19</v>
      </c>
      <c r="N10327" s="9" t="s">
        <v>20</v>
      </c>
      <c r="O10327" s="6" t="str">
        <f>HYPERLINK("https://pbs.twimg.com/profile_images/962471262747529216/Uo8lOkRJ_normal.jpg","View")</f>
        <v>View</v>
      </c>
      <c r="P10327" s="7"/>
    </row>
    <row r="10328" spans="1:16">
      <c r="A10328" s="3">
        <v>44097.749444444446</v>
      </c>
      <c r="B10328" s="4" t="str">
        <f>HYPERLINK("https://twitter.com/petrogustavo","@petrogustavo")</f>
        <v>@petrogustavo</v>
      </c>
      <c r="C10328" s="5" t="s">
        <v>16</v>
      </c>
      <c r="D10328" s="5" t="s">
        <v>9938</v>
      </c>
      <c r="E10328" s="6" t="str">
        <f>HYPERLINK("https://twitter.com/petrogustavo/status/1308745227235217408","1308745227235217408")</f>
        <v>1308745227235217408</v>
      </c>
      <c r="F10328" s="7" t="s">
        <v>17</v>
      </c>
      <c r="G10328" s="7">
        <v>3982290</v>
      </c>
      <c r="H10328" s="7">
        <v>2441</v>
      </c>
      <c r="I10328" s="7">
        <v>492</v>
      </c>
      <c r="J10328" s="7">
        <v>1494</v>
      </c>
      <c r="K10328" s="7" t="s">
        <v>18</v>
      </c>
      <c r="L10328" s="8">
        <v>39987.315405092595</v>
      </c>
      <c r="M10328" s="9" t="s">
        <v>19</v>
      </c>
      <c r="N10328" s="9" t="s">
        <v>20</v>
      </c>
      <c r="O10328" s="6" t="str">
        <f>HYPERLINK("https://pbs.twimg.com/profile_images/962471262747529216/Uo8lOkRJ_normal.jpg","View")</f>
        <v>View</v>
      </c>
      <c r="P10328" s="7"/>
    </row>
    <row r="10329" spans="1:16">
      <c r="A10329" s="3">
        <v>44097.759768518517</v>
      </c>
      <c r="B10329" s="4" t="str">
        <f>HYPERLINK("https://twitter.com/petrogustavo","@petrogustavo")</f>
        <v>@petrogustavo</v>
      </c>
      <c r="C10329" s="5" t="s">
        <v>16</v>
      </c>
      <c r="D10329" s="5" t="s">
        <v>9939</v>
      </c>
      <c r="E10329" s="6" t="str">
        <f>HYPERLINK("https://twitter.com/petrogustavo/status/1308748970194239492","1308748970194239492")</f>
        <v>1308748970194239492</v>
      </c>
      <c r="F10329" s="7" t="s">
        <v>17</v>
      </c>
      <c r="G10329" s="7">
        <v>3982290</v>
      </c>
      <c r="H10329" s="7">
        <v>2441</v>
      </c>
      <c r="I10329" s="7">
        <v>3152</v>
      </c>
      <c r="J10329" s="7">
        <v>9346</v>
      </c>
      <c r="K10329" s="7" t="s">
        <v>18</v>
      </c>
      <c r="L10329" s="8">
        <v>39987.315405092595</v>
      </c>
      <c r="M10329" s="9" t="s">
        <v>19</v>
      </c>
      <c r="N10329" s="9" t="s">
        <v>20</v>
      </c>
      <c r="O10329" s="6" t="str">
        <f>HYPERLINK("https://pbs.twimg.com/profile_images/962471262747529216/Uo8lOkRJ_normal.jpg","View")</f>
        <v>View</v>
      </c>
      <c r="P10329" s="7"/>
    </row>
    <row r="10330" spans="1:16">
      <c r="A10330" s="3">
        <v>44097.769432870366</v>
      </c>
      <c r="B10330" s="4" t="str">
        <f>HYPERLINK("https://twitter.com/petrogustavo","@petrogustavo")</f>
        <v>@petrogustavo</v>
      </c>
      <c r="C10330" s="5" t="s">
        <v>16</v>
      </c>
      <c r="D10330" s="5" t="s">
        <v>9940</v>
      </c>
      <c r="E10330" s="6" t="str">
        <f>HYPERLINK("https://twitter.com/petrogustavo/status/1308752471733538822","1308752471733538822")</f>
        <v>1308752471733538822</v>
      </c>
      <c r="F10330" s="7" t="s">
        <v>17</v>
      </c>
      <c r="G10330" s="7">
        <v>3982290</v>
      </c>
      <c r="H10330" s="7">
        <v>2441</v>
      </c>
      <c r="I10330" s="7">
        <v>129</v>
      </c>
      <c r="J10330" s="7">
        <v>0</v>
      </c>
      <c r="K10330" s="7" t="s">
        <v>18</v>
      </c>
      <c r="L10330" s="8">
        <v>39987.315405092595</v>
      </c>
      <c r="M10330" s="9" t="s">
        <v>19</v>
      </c>
      <c r="N10330" s="9" t="s">
        <v>20</v>
      </c>
      <c r="O10330" s="6" t="str">
        <f>HYPERLINK("https://pbs.twimg.com/profile_images/962471262747529216/Uo8lOkRJ_normal.jpg","View")</f>
        <v>View</v>
      </c>
      <c r="P10330" s="7"/>
    </row>
    <row r="10331" spans="1:16">
      <c r="A10331" s="3">
        <v>44097.769699074073</v>
      </c>
      <c r="B10331" s="4" t="str">
        <f>HYPERLINK("https://twitter.com/petrogustavo","@petrogustavo")</f>
        <v>@petrogustavo</v>
      </c>
      <c r="C10331" s="5" t="s">
        <v>16</v>
      </c>
      <c r="D10331" s="5" t="s">
        <v>9941</v>
      </c>
      <c r="E10331" s="6" t="str">
        <f>HYPERLINK("https://twitter.com/petrogustavo/status/1308752567715930112","1308752567715930112")</f>
        <v>1308752567715930112</v>
      </c>
      <c r="F10331" s="7" t="s">
        <v>17</v>
      </c>
      <c r="G10331" s="7">
        <v>3982290</v>
      </c>
      <c r="H10331" s="7">
        <v>2441</v>
      </c>
      <c r="I10331" s="7">
        <v>3152</v>
      </c>
      <c r="J10331" s="7">
        <v>0</v>
      </c>
      <c r="K10331" s="7" t="s">
        <v>18</v>
      </c>
      <c r="L10331" s="8">
        <v>39987.315405092595</v>
      </c>
      <c r="M10331" s="9" t="s">
        <v>19</v>
      </c>
      <c r="N10331" s="9" t="s">
        <v>20</v>
      </c>
      <c r="O10331" s="6" t="str">
        <f>HYPERLINK("https://pbs.twimg.com/profile_images/962471262747529216/Uo8lOkRJ_normal.jpg","View")</f>
        <v>View</v>
      </c>
      <c r="P10331" s="7"/>
    </row>
    <row r="10332" spans="1:16">
      <c r="A10332" s="3">
        <v>44097.771331018521</v>
      </c>
      <c r="B10332" s="4" t="str">
        <f>HYPERLINK("https://twitter.com/petrogustavo","@petrogustavo")</f>
        <v>@petrogustavo</v>
      </c>
      <c r="C10332" s="5" t="s">
        <v>16</v>
      </c>
      <c r="D10332" s="5" t="s">
        <v>9942</v>
      </c>
      <c r="E10332" s="6" t="str">
        <f>HYPERLINK("https://twitter.com/petrogustavo/status/1308753159955902464","1308753159955902464")</f>
        <v>1308753159955902464</v>
      </c>
      <c r="F10332" s="7" t="s">
        <v>17</v>
      </c>
      <c r="G10332" s="7">
        <v>3982290</v>
      </c>
      <c r="H10332" s="7">
        <v>2441</v>
      </c>
      <c r="I10332" s="7">
        <v>1161</v>
      </c>
      <c r="J10332" s="7">
        <v>3627</v>
      </c>
      <c r="K10332" s="7" t="s">
        <v>18</v>
      </c>
      <c r="L10332" s="8">
        <v>39987.315405092595</v>
      </c>
      <c r="M10332" s="9" t="s">
        <v>19</v>
      </c>
      <c r="N10332" s="9" t="s">
        <v>20</v>
      </c>
      <c r="O10332" s="6" t="str">
        <f>HYPERLINK("https://pbs.twimg.com/profile_images/962471262747529216/Uo8lOkRJ_normal.jpg","View")</f>
        <v>View</v>
      </c>
      <c r="P10332" s="7"/>
    </row>
    <row r="10333" spans="1:16">
      <c r="A10333" s="3">
        <v>44097.77652777778</v>
      </c>
      <c r="B10333" s="4" t="str">
        <f>HYPERLINK("https://twitter.com/petrogustavo","@petrogustavo")</f>
        <v>@petrogustavo</v>
      </c>
      <c r="C10333" s="5" t="s">
        <v>16</v>
      </c>
      <c r="D10333" s="5" t="s">
        <v>9943</v>
      </c>
      <c r="E10333" s="6" t="str">
        <f>HYPERLINK("https://twitter.com/petrogustavo/status/1308755042586038281","1308755042586038281")</f>
        <v>1308755042586038281</v>
      </c>
      <c r="F10333" s="7" t="s">
        <v>17</v>
      </c>
      <c r="G10333" s="7">
        <v>3982290</v>
      </c>
      <c r="H10333" s="7">
        <v>2441</v>
      </c>
      <c r="I10333" s="7">
        <v>782</v>
      </c>
      <c r="J10333" s="7">
        <v>1957</v>
      </c>
      <c r="K10333" s="7" t="s">
        <v>18</v>
      </c>
      <c r="L10333" s="8">
        <v>39987.315405092595</v>
      </c>
      <c r="M10333" s="9" t="s">
        <v>19</v>
      </c>
      <c r="N10333" s="9" t="s">
        <v>20</v>
      </c>
      <c r="O10333" s="6" t="str">
        <f>HYPERLINK("https://pbs.twimg.com/profile_images/962471262747529216/Uo8lOkRJ_normal.jpg","View")</f>
        <v>View</v>
      </c>
      <c r="P10333" s="7"/>
    </row>
    <row r="10334" spans="1:16">
      <c r="A10334" s="3">
        <v>44097.780497685184</v>
      </c>
      <c r="B10334" s="4" t="str">
        <f>HYPERLINK("https://twitter.com/petrogustavo","@petrogustavo")</f>
        <v>@petrogustavo</v>
      </c>
      <c r="C10334" s="5" t="s">
        <v>16</v>
      </c>
      <c r="D10334" s="5" t="s">
        <v>9944</v>
      </c>
      <c r="E10334" s="6" t="str">
        <f>HYPERLINK("https://twitter.com/petrogustavo/status/1308756480674410496","1308756480674410496")</f>
        <v>1308756480674410496</v>
      </c>
      <c r="F10334" s="7" t="s">
        <v>17</v>
      </c>
      <c r="G10334" s="7">
        <v>3982290</v>
      </c>
      <c r="H10334" s="7">
        <v>2441</v>
      </c>
      <c r="I10334" s="7">
        <v>277</v>
      </c>
      <c r="J10334" s="7">
        <v>0</v>
      </c>
      <c r="K10334" s="7" t="s">
        <v>18</v>
      </c>
      <c r="L10334" s="8">
        <v>39987.315405092595</v>
      </c>
      <c r="M10334" s="9" t="s">
        <v>19</v>
      </c>
      <c r="N10334" s="9" t="s">
        <v>20</v>
      </c>
      <c r="O10334" s="6" t="str">
        <f>HYPERLINK("https://pbs.twimg.com/profile_images/962471262747529216/Uo8lOkRJ_normal.jpg","View")</f>
        <v>View</v>
      </c>
      <c r="P10334" s="7"/>
    </row>
    <row r="10335" spans="1:16">
      <c r="A10335" s="3">
        <v>44097.800416666665</v>
      </c>
      <c r="B10335" s="4" t="str">
        <f>HYPERLINK("https://twitter.com/petrogustavo","@petrogustavo")</f>
        <v>@petrogustavo</v>
      </c>
      <c r="C10335" s="5" t="s">
        <v>16</v>
      </c>
      <c r="D10335" s="5" t="s">
        <v>9945</v>
      </c>
      <c r="E10335" s="6" t="str">
        <f>HYPERLINK("https://twitter.com/petrogustavo/status/1308763701143646214","1308763701143646214")</f>
        <v>1308763701143646214</v>
      </c>
      <c r="F10335" s="7" t="s">
        <v>17</v>
      </c>
      <c r="G10335" s="7">
        <v>3982290</v>
      </c>
      <c r="H10335" s="7">
        <v>2441</v>
      </c>
      <c r="I10335" s="7">
        <v>710</v>
      </c>
      <c r="J10335" s="7">
        <v>0</v>
      </c>
      <c r="K10335" s="7" t="s">
        <v>18</v>
      </c>
      <c r="L10335" s="8">
        <v>39987.315405092595</v>
      </c>
      <c r="M10335" s="9" t="s">
        <v>19</v>
      </c>
      <c r="N10335" s="9" t="s">
        <v>20</v>
      </c>
      <c r="O10335" s="6" t="str">
        <f>HYPERLINK("https://pbs.twimg.com/profile_images/962471262747529216/Uo8lOkRJ_normal.jpg","View")</f>
        <v>View</v>
      </c>
      <c r="P10335" s="7"/>
    </row>
    <row r="10336" spans="1:16">
      <c r="A10336" s="3">
        <v>44097.80086805555</v>
      </c>
      <c r="B10336" s="4" t="str">
        <f>HYPERLINK("https://twitter.com/petrogustavo","@petrogustavo")</f>
        <v>@petrogustavo</v>
      </c>
      <c r="C10336" s="5" t="s">
        <v>16</v>
      </c>
      <c r="D10336" s="5" t="s">
        <v>9946</v>
      </c>
      <c r="E10336" s="6" t="str">
        <f>HYPERLINK("https://twitter.com/petrogustavo/status/1308763863534493698","1308763863534493698")</f>
        <v>1308763863534493698</v>
      </c>
      <c r="F10336" s="7" t="s">
        <v>17</v>
      </c>
      <c r="G10336" s="7">
        <v>3982290</v>
      </c>
      <c r="H10336" s="7">
        <v>2441</v>
      </c>
      <c r="I10336" s="7">
        <v>548</v>
      </c>
      <c r="J10336" s="7">
        <v>0</v>
      </c>
      <c r="K10336" s="7" t="s">
        <v>18</v>
      </c>
      <c r="L10336" s="8">
        <v>39987.315405092595</v>
      </c>
      <c r="M10336" s="9" t="s">
        <v>19</v>
      </c>
      <c r="N10336" s="9" t="s">
        <v>20</v>
      </c>
      <c r="O10336" s="6" t="str">
        <f>HYPERLINK("https://pbs.twimg.com/profile_images/962471262747529216/Uo8lOkRJ_normal.jpg","View")</f>
        <v>View</v>
      </c>
      <c r="P10336" s="7"/>
    </row>
    <row r="10337" spans="1:16">
      <c r="A10337" s="3">
        <v>44097.807071759264</v>
      </c>
      <c r="B10337" s="4" t="str">
        <f>HYPERLINK("https://twitter.com/petrogustavo","@petrogustavo")</f>
        <v>@petrogustavo</v>
      </c>
      <c r="C10337" s="5" t="s">
        <v>16</v>
      </c>
      <c r="D10337" s="5" t="s">
        <v>9947</v>
      </c>
      <c r="E10337" s="6" t="str">
        <f>HYPERLINK("https://twitter.com/petrogustavo/status/1308766111131893760","1308766111131893760")</f>
        <v>1308766111131893760</v>
      </c>
      <c r="F10337" s="7" t="s">
        <v>17</v>
      </c>
      <c r="G10337" s="7">
        <v>3982290</v>
      </c>
      <c r="H10337" s="7">
        <v>2441</v>
      </c>
      <c r="I10337" s="7">
        <v>498</v>
      </c>
      <c r="J10337" s="7">
        <v>0</v>
      </c>
      <c r="K10337" s="7" t="s">
        <v>18</v>
      </c>
      <c r="L10337" s="8">
        <v>39987.315405092595</v>
      </c>
      <c r="M10337" s="9" t="s">
        <v>19</v>
      </c>
      <c r="N10337" s="9" t="s">
        <v>20</v>
      </c>
      <c r="O10337" s="6" t="str">
        <f>HYPERLINK("https://pbs.twimg.com/profile_images/962471262747529216/Uo8lOkRJ_normal.jpg","View")</f>
        <v>View</v>
      </c>
      <c r="P10337" s="7"/>
    </row>
    <row r="10338" spans="1:16">
      <c r="A10338" s="3">
        <v>44097.812222222223</v>
      </c>
      <c r="B10338" s="4" t="str">
        <f>HYPERLINK("https://twitter.com/petrogustavo","@petrogustavo")</f>
        <v>@petrogustavo</v>
      </c>
      <c r="C10338" s="5" t="s">
        <v>16</v>
      </c>
      <c r="D10338" s="5" t="s">
        <v>9948</v>
      </c>
      <c r="E10338" s="6" t="str">
        <f>HYPERLINK("https://twitter.com/petrogustavo/status/1308767980231237634","1308767980231237634")</f>
        <v>1308767980231237634</v>
      </c>
      <c r="F10338" s="7" t="s">
        <v>17</v>
      </c>
      <c r="G10338" s="7">
        <v>3982290</v>
      </c>
      <c r="H10338" s="7">
        <v>2441</v>
      </c>
      <c r="I10338" s="7">
        <v>432</v>
      </c>
      <c r="J10338" s="7">
        <v>0</v>
      </c>
      <c r="K10338" s="7" t="s">
        <v>18</v>
      </c>
      <c r="L10338" s="8">
        <v>39987.315405092595</v>
      </c>
      <c r="M10338" s="9" t="s">
        <v>19</v>
      </c>
      <c r="N10338" s="9" t="s">
        <v>20</v>
      </c>
      <c r="O10338" s="6" t="str">
        <f>HYPERLINK("https://pbs.twimg.com/profile_images/962471262747529216/Uo8lOkRJ_normal.jpg","View")</f>
        <v>View</v>
      </c>
      <c r="P10338" s="7"/>
    </row>
    <row r="10339" spans="1:16">
      <c r="A10339" s="3">
        <v>44097.814641203702</v>
      </c>
      <c r="B10339" s="4" t="str">
        <f>HYPERLINK("https://twitter.com/petrogustavo","@petrogustavo")</f>
        <v>@petrogustavo</v>
      </c>
      <c r="C10339" s="5" t="s">
        <v>16</v>
      </c>
      <c r="D10339" s="5" t="s">
        <v>9949</v>
      </c>
      <c r="E10339" s="6" t="str">
        <f>HYPERLINK("https://twitter.com/petrogustavo/status/1308768856983384064","1308768856983384064")</f>
        <v>1308768856983384064</v>
      </c>
      <c r="F10339" s="7" t="s">
        <v>17</v>
      </c>
      <c r="G10339" s="7">
        <v>3982290</v>
      </c>
      <c r="H10339" s="7">
        <v>2441</v>
      </c>
      <c r="I10339" s="7">
        <v>1127</v>
      </c>
      <c r="J10339" s="7">
        <v>2888</v>
      </c>
      <c r="K10339" s="7" t="s">
        <v>18</v>
      </c>
      <c r="L10339" s="8">
        <v>39987.315405092595</v>
      </c>
      <c r="M10339" s="9" t="s">
        <v>19</v>
      </c>
      <c r="N10339" s="9" t="s">
        <v>20</v>
      </c>
      <c r="O10339" s="6" t="str">
        <f>HYPERLINK("https://pbs.twimg.com/profile_images/962471262747529216/Uo8lOkRJ_normal.jpg","View")</f>
        <v>View</v>
      </c>
      <c r="P10339" s="7"/>
    </row>
    <row r="10340" spans="1:16">
      <c r="A10340" s="3">
        <v>44097.818182870367</v>
      </c>
      <c r="B10340" s="4" t="str">
        <f>HYPERLINK("https://twitter.com/petrogustavo","@petrogustavo")</f>
        <v>@petrogustavo</v>
      </c>
      <c r="C10340" s="5" t="s">
        <v>16</v>
      </c>
      <c r="D10340" s="5" t="s">
        <v>9950</v>
      </c>
      <c r="E10340" s="6" t="str">
        <f>HYPERLINK("https://twitter.com/petrogustavo/status/1308770139450601472","1308770139450601472")</f>
        <v>1308770139450601472</v>
      </c>
      <c r="F10340" s="7" t="s">
        <v>17</v>
      </c>
      <c r="G10340" s="7">
        <v>3982290</v>
      </c>
      <c r="H10340" s="7">
        <v>2441</v>
      </c>
      <c r="I10340" s="7">
        <v>439</v>
      </c>
      <c r="J10340" s="7">
        <v>870</v>
      </c>
      <c r="K10340" s="7" t="s">
        <v>18</v>
      </c>
      <c r="L10340" s="8">
        <v>39987.315405092595</v>
      </c>
      <c r="M10340" s="9" t="s">
        <v>19</v>
      </c>
      <c r="N10340" s="9" t="s">
        <v>20</v>
      </c>
      <c r="O10340" s="6" t="str">
        <f>HYPERLINK("https://pbs.twimg.com/profile_images/962471262747529216/Uo8lOkRJ_normal.jpg","View")</f>
        <v>View</v>
      </c>
      <c r="P10340" s="7"/>
    </row>
    <row r="10341" spans="1:16">
      <c r="A10341" s="3">
        <v>44097.818761574075</v>
      </c>
      <c r="B10341" s="4" t="str">
        <f>HYPERLINK("https://twitter.com/petrogustavo","@petrogustavo")</f>
        <v>@petrogustavo</v>
      </c>
      <c r="C10341" s="5" t="s">
        <v>16</v>
      </c>
      <c r="D10341" s="5" t="s">
        <v>9951</v>
      </c>
      <c r="E10341" s="6" t="str">
        <f>HYPERLINK("https://twitter.com/petrogustavo/status/1308770348272357377","1308770348272357377")</f>
        <v>1308770348272357377</v>
      </c>
      <c r="F10341" s="7" t="s">
        <v>17</v>
      </c>
      <c r="G10341" s="7">
        <v>3982290</v>
      </c>
      <c r="H10341" s="7">
        <v>2441</v>
      </c>
      <c r="I10341" s="7">
        <v>1744</v>
      </c>
      <c r="J10341" s="7">
        <v>0</v>
      </c>
      <c r="K10341" s="7" t="s">
        <v>18</v>
      </c>
      <c r="L10341" s="8">
        <v>39987.315405092595</v>
      </c>
      <c r="M10341" s="9" t="s">
        <v>19</v>
      </c>
      <c r="N10341" s="9" t="s">
        <v>20</v>
      </c>
      <c r="O10341" s="6" t="str">
        <f>HYPERLINK("https://pbs.twimg.com/profile_images/962471262747529216/Uo8lOkRJ_normal.jpg","View")</f>
        <v>View</v>
      </c>
      <c r="P10341" s="7"/>
    </row>
    <row r="10342" spans="1:16">
      <c r="A10342" s="3">
        <v>44097.821284722224</v>
      </c>
      <c r="B10342" s="4" t="str">
        <f>HYPERLINK("https://twitter.com/petrogustavo","@petrogustavo")</f>
        <v>@petrogustavo</v>
      </c>
      <c r="C10342" s="5" t="s">
        <v>16</v>
      </c>
      <c r="D10342" s="5" t="s">
        <v>9952</v>
      </c>
      <c r="E10342" s="6" t="str">
        <f>HYPERLINK("https://twitter.com/petrogustavo/status/1308771261330460675","1308771261330460675")</f>
        <v>1308771261330460675</v>
      </c>
      <c r="F10342" s="7" t="s">
        <v>17</v>
      </c>
      <c r="G10342" s="7">
        <v>3982290</v>
      </c>
      <c r="H10342" s="7">
        <v>2441</v>
      </c>
      <c r="I10342" s="7">
        <v>236</v>
      </c>
      <c r="J10342" s="7">
        <v>631</v>
      </c>
      <c r="K10342" s="7" t="s">
        <v>18</v>
      </c>
      <c r="L10342" s="8">
        <v>39987.315405092595</v>
      </c>
      <c r="M10342" s="9" t="s">
        <v>19</v>
      </c>
      <c r="N10342" s="9" t="s">
        <v>20</v>
      </c>
      <c r="O10342" s="6" t="str">
        <f>HYPERLINK("https://pbs.twimg.com/profile_images/962471262747529216/Uo8lOkRJ_normal.jpg","View")</f>
        <v>View</v>
      </c>
      <c r="P10342" s="7"/>
    </row>
    <row r="10343" spans="1:16">
      <c r="A10343" s="3">
        <v>44097.823634259257</v>
      </c>
      <c r="B10343" s="4" t="str">
        <f>HYPERLINK("https://twitter.com/petrogustavo","@petrogustavo")</f>
        <v>@petrogustavo</v>
      </c>
      <c r="C10343" s="5" t="s">
        <v>16</v>
      </c>
      <c r="D10343" s="5" t="s">
        <v>9953</v>
      </c>
      <c r="E10343" s="6" t="str">
        <f>HYPERLINK("https://twitter.com/petrogustavo/status/1308772113403252738","1308772113403252738")</f>
        <v>1308772113403252738</v>
      </c>
      <c r="F10343" s="7" t="s">
        <v>17</v>
      </c>
      <c r="G10343" s="7">
        <v>3982290</v>
      </c>
      <c r="H10343" s="7">
        <v>2441</v>
      </c>
      <c r="I10343" s="7">
        <v>392</v>
      </c>
      <c r="J10343" s="7">
        <v>780</v>
      </c>
      <c r="K10343" s="7" t="s">
        <v>18</v>
      </c>
      <c r="L10343" s="8">
        <v>39987.315405092595</v>
      </c>
      <c r="M10343" s="9" t="s">
        <v>19</v>
      </c>
      <c r="N10343" s="9" t="s">
        <v>20</v>
      </c>
      <c r="O10343" s="6" t="str">
        <f>HYPERLINK("https://pbs.twimg.com/profile_images/962471262747529216/Uo8lOkRJ_normal.jpg","View")</f>
        <v>View</v>
      </c>
      <c r="P10343" s="7"/>
    </row>
    <row r="10344" spans="1:16">
      <c r="A10344" s="3">
        <v>44097.826516203699</v>
      </c>
      <c r="B10344" s="4" t="str">
        <f>HYPERLINK("https://twitter.com/petrogustavo","@petrogustavo")</f>
        <v>@petrogustavo</v>
      </c>
      <c r="C10344" s="5" t="s">
        <v>16</v>
      </c>
      <c r="D10344" s="5" t="s">
        <v>9954</v>
      </c>
      <c r="E10344" s="6" t="str">
        <f>HYPERLINK("https://twitter.com/petrogustavo/status/1308773160439996416","1308773160439996416")</f>
        <v>1308773160439996416</v>
      </c>
      <c r="F10344" s="7" t="s">
        <v>17</v>
      </c>
      <c r="G10344" s="7">
        <v>3982290</v>
      </c>
      <c r="H10344" s="7">
        <v>2441</v>
      </c>
      <c r="I10344" s="7">
        <v>524</v>
      </c>
      <c r="J10344" s="7">
        <v>991</v>
      </c>
      <c r="K10344" s="7" t="s">
        <v>18</v>
      </c>
      <c r="L10344" s="8">
        <v>39987.315405092595</v>
      </c>
      <c r="M10344" s="9" t="s">
        <v>19</v>
      </c>
      <c r="N10344" s="9" t="s">
        <v>20</v>
      </c>
      <c r="O10344" s="6" t="str">
        <f>HYPERLINK("https://pbs.twimg.com/profile_images/962471262747529216/Uo8lOkRJ_normal.jpg","View")</f>
        <v>View</v>
      </c>
      <c r="P10344" s="7"/>
    </row>
    <row r="10345" spans="1:16">
      <c r="A10345" s="3">
        <v>44097.832511574074</v>
      </c>
      <c r="B10345" s="4" t="str">
        <f>HYPERLINK("https://twitter.com/petrogustavo","@petrogustavo")</f>
        <v>@petrogustavo</v>
      </c>
      <c r="C10345" s="5" t="s">
        <v>16</v>
      </c>
      <c r="D10345" s="5" t="s">
        <v>9955</v>
      </c>
      <c r="E10345" s="6" t="str">
        <f>HYPERLINK("https://twitter.com/petrogustavo/status/1308775331428470785","1308775331428470785")</f>
        <v>1308775331428470785</v>
      </c>
      <c r="F10345" s="7" t="s">
        <v>17</v>
      </c>
      <c r="G10345" s="7">
        <v>3982290</v>
      </c>
      <c r="H10345" s="7">
        <v>2441</v>
      </c>
      <c r="I10345" s="7">
        <v>2812</v>
      </c>
      <c r="J10345" s="7">
        <v>7331</v>
      </c>
      <c r="K10345" s="7" t="s">
        <v>18</v>
      </c>
      <c r="L10345" s="8">
        <v>39987.315405092595</v>
      </c>
      <c r="M10345" s="9" t="s">
        <v>19</v>
      </c>
      <c r="N10345" s="9" t="s">
        <v>20</v>
      </c>
      <c r="O10345" s="6" t="str">
        <f>HYPERLINK("https://pbs.twimg.com/profile_images/962471262747529216/Uo8lOkRJ_normal.jpg","View")</f>
        <v>View</v>
      </c>
      <c r="P10345" s="7"/>
    </row>
    <row r="10346" spans="1:16">
      <c r="A10346" s="3">
        <v>44097.877534722225</v>
      </c>
      <c r="B10346" s="4" t="str">
        <f>HYPERLINK("https://twitter.com/petrogustavo","@petrogustavo")</f>
        <v>@petrogustavo</v>
      </c>
      <c r="C10346" s="5" t="s">
        <v>16</v>
      </c>
      <c r="D10346" s="5" t="s">
        <v>9956</v>
      </c>
      <c r="E10346" s="6" t="str">
        <f>HYPERLINK("https://twitter.com/petrogustavo/status/1308791649145950209","1308791649145950209")</f>
        <v>1308791649145950209</v>
      </c>
      <c r="F10346" s="7" t="s">
        <v>32</v>
      </c>
      <c r="G10346" s="7">
        <v>3982290</v>
      </c>
      <c r="H10346" s="7">
        <v>2441</v>
      </c>
      <c r="I10346" s="7">
        <v>3390</v>
      </c>
      <c r="J10346" s="7">
        <v>0</v>
      </c>
      <c r="K10346" s="7" t="s">
        <v>18</v>
      </c>
      <c r="L10346" s="8">
        <v>39987.315405092595</v>
      </c>
      <c r="M10346" s="9" t="s">
        <v>19</v>
      </c>
      <c r="N10346" s="9" t="s">
        <v>20</v>
      </c>
      <c r="O10346" s="6" t="str">
        <f>HYPERLINK("https://pbs.twimg.com/profile_images/962471262747529216/Uo8lOkRJ_normal.jpg","View")</f>
        <v>View</v>
      </c>
      <c r="P10346" s="7"/>
    </row>
    <row r="10347" spans="1:16">
      <c r="A10347" s="3">
        <v>44097.87767361111</v>
      </c>
      <c r="B10347" s="4" t="str">
        <f>HYPERLINK("https://twitter.com/petrogustavo","@petrogustavo")</f>
        <v>@petrogustavo</v>
      </c>
      <c r="C10347" s="5" t="s">
        <v>16</v>
      </c>
      <c r="D10347" s="5" t="s">
        <v>9957</v>
      </c>
      <c r="E10347" s="6" t="str">
        <f>HYPERLINK("https://twitter.com/petrogustavo/status/1308791697862733824","1308791697862733824")</f>
        <v>1308791697862733824</v>
      </c>
      <c r="F10347" s="7" t="s">
        <v>32</v>
      </c>
      <c r="G10347" s="7">
        <v>3982290</v>
      </c>
      <c r="H10347" s="7">
        <v>2441</v>
      </c>
      <c r="I10347" s="7">
        <v>2812</v>
      </c>
      <c r="J10347" s="7">
        <v>0</v>
      </c>
      <c r="K10347" s="7" t="s">
        <v>18</v>
      </c>
      <c r="L10347" s="8">
        <v>39987.315405092595</v>
      </c>
      <c r="M10347" s="9" t="s">
        <v>19</v>
      </c>
      <c r="N10347" s="9" t="s">
        <v>20</v>
      </c>
      <c r="O10347" s="6" t="str">
        <f>HYPERLINK("https://pbs.twimg.com/profile_images/962471262747529216/Uo8lOkRJ_normal.jpg","View")</f>
        <v>View</v>
      </c>
      <c r="P10347" s="7"/>
    </row>
    <row r="10348" spans="1:16">
      <c r="A10348" s="3">
        <v>44097.912800925929</v>
      </c>
      <c r="B10348" s="4" t="str">
        <f>HYPERLINK("https://twitter.com/petrogustavo","@petrogustavo")</f>
        <v>@petrogustavo</v>
      </c>
      <c r="C10348" s="5" t="s">
        <v>16</v>
      </c>
      <c r="D10348" s="5" t="s">
        <v>9958</v>
      </c>
      <c r="E10348" s="6" t="str">
        <f>HYPERLINK("https://twitter.com/petrogustavo/status/1308804425700573184","1308804425700573184")</f>
        <v>1308804425700573184</v>
      </c>
      <c r="F10348" s="7" t="s">
        <v>32</v>
      </c>
      <c r="G10348" s="7">
        <v>3982290</v>
      </c>
      <c r="H10348" s="7">
        <v>2441</v>
      </c>
      <c r="I10348" s="7">
        <v>723</v>
      </c>
      <c r="J10348" s="7">
        <v>1653</v>
      </c>
      <c r="K10348" s="7" t="s">
        <v>18</v>
      </c>
      <c r="L10348" s="8">
        <v>39987.315405092595</v>
      </c>
      <c r="M10348" s="9" t="s">
        <v>19</v>
      </c>
      <c r="N10348" s="9" t="s">
        <v>20</v>
      </c>
      <c r="O10348" s="6" t="str">
        <f>HYPERLINK("https://pbs.twimg.com/profile_images/962471262747529216/Uo8lOkRJ_normal.jpg","View")</f>
        <v>View</v>
      </c>
      <c r="P10348" s="7"/>
    </row>
    <row r="10349" spans="1:16">
      <c r="A10349" s="3">
        <v>44097.95925925926</v>
      </c>
      <c r="B10349" s="4" t="str">
        <f>HYPERLINK("https://twitter.com/petrogustavo","@petrogustavo")</f>
        <v>@petrogustavo</v>
      </c>
      <c r="C10349" s="5" t="s">
        <v>16</v>
      </c>
      <c r="D10349" s="5" t="s">
        <v>9959</v>
      </c>
      <c r="E10349" s="6" t="str">
        <f>HYPERLINK("https://twitter.com/petrogustavo/status/1308821263847231489","1308821263847231489")</f>
        <v>1308821263847231489</v>
      </c>
      <c r="F10349" s="7" t="s">
        <v>32</v>
      </c>
      <c r="G10349" s="7">
        <v>3982290</v>
      </c>
      <c r="H10349" s="7">
        <v>2441</v>
      </c>
      <c r="I10349" s="7">
        <v>1498</v>
      </c>
      <c r="J10349" s="7">
        <v>3075</v>
      </c>
      <c r="K10349" s="7" t="s">
        <v>18</v>
      </c>
      <c r="L10349" s="8">
        <v>39987.315405092595</v>
      </c>
      <c r="M10349" s="9" t="s">
        <v>19</v>
      </c>
      <c r="N10349" s="9" t="s">
        <v>20</v>
      </c>
      <c r="O10349" s="6" t="str">
        <f>HYPERLINK("https://pbs.twimg.com/profile_images/962471262747529216/Uo8lOkRJ_normal.jpg","View")</f>
        <v>View</v>
      </c>
      <c r="P10349" s="7"/>
    </row>
    <row r="10350" spans="1:16">
      <c r="A10350" s="3">
        <v>44097.964999999997</v>
      </c>
      <c r="B10350" s="4" t="str">
        <f>HYPERLINK("https://twitter.com/petrogustavo","@petrogustavo")</f>
        <v>@petrogustavo</v>
      </c>
      <c r="C10350" s="5" t="s">
        <v>16</v>
      </c>
      <c r="D10350" s="5" t="s">
        <v>9960</v>
      </c>
      <c r="E10350" s="6" t="str">
        <f>HYPERLINK("https://twitter.com/petrogustavo/status/1308823345455075330","1308823345455075330")</f>
        <v>1308823345455075330</v>
      </c>
      <c r="F10350" s="7" t="s">
        <v>32</v>
      </c>
      <c r="G10350" s="7">
        <v>3982290</v>
      </c>
      <c r="H10350" s="7">
        <v>2441</v>
      </c>
      <c r="I10350" s="7">
        <v>2186</v>
      </c>
      <c r="J10350" s="7">
        <v>0</v>
      </c>
      <c r="K10350" s="7" t="s">
        <v>18</v>
      </c>
      <c r="L10350" s="8">
        <v>39987.315405092595</v>
      </c>
      <c r="M10350" s="9" t="s">
        <v>19</v>
      </c>
      <c r="N10350" s="9" t="s">
        <v>20</v>
      </c>
      <c r="O10350" s="6" t="str">
        <f>HYPERLINK("https://pbs.twimg.com/profile_images/962471262747529216/Uo8lOkRJ_normal.jpg","View")</f>
        <v>View</v>
      </c>
      <c r="P10350" s="7"/>
    </row>
    <row r="10351" spans="1:16">
      <c r="A10351" s="3">
        <v>44097.96975694444</v>
      </c>
      <c r="B10351" s="4" t="str">
        <f>HYPERLINK("https://twitter.com/petrogustavo","@petrogustavo")</f>
        <v>@petrogustavo</v>
      </c>
      <c r="C10351" s="5" t="s">
        <v>16</v>
      </c>
      <c r="D10351" s="5" t="s">
        <v>9961</v>
      </c>
      <c r="E10351" s="6" t="str">
        <f>HYPERLINK("https://twitter.com/petrogustavo/status/1308825068940689408","1308825068940689408")</f>
        <v>1308825068940689408</v>
      </c>
      <c r="F10351" s="7" t="s">
        <v>32</v>
      </c>
      <c r="G10351" s="7">
        <v>3982290</v>
      </c>
      <c r="H10351" s="7">
        <v>2441</v>
      </c>
      <c r="I10351" s="7">
        <v>4225</v>
      </c>
      <c r="J10351" s="7">
        <v>6974</v>
      </c>
      <c r="K10351" s="7" t="s">
        <v>18</v>
      </c>
      <c r="L10351" s="8">
        <v>39987.315405092595</v>
      </c>
      <c r="M10351" s="9" t="s">
        <v>19</v>
      </c>
      <c r="N10351" s="9" t="s">
        <v>20</v>
      </c>
      <c r="O10351" s="6" t="str">
        <f>HYPERLINK("https://pbs.twimg.com/profile_images/962471262747529216/Uo8lOkRJ_normal.jpg","View")</f>
        <v>View</v>
      </c>
      <c r="P10351" s="7"/>
    </row>
    <row r="10352" spans="1:16">
      <c r="A10352" s="3">
        <v>44097.974999999999</v>
      </c>
      <c r="B10352" s="4" t="str">
        <f>HYPERLINK("https://twitter.com/petrogustavo","@petrogustavo")</f>
        <v>@petrogustavo</v>
      </c>
      <c r="C10352" s="5" t="s">
        <v>16</v>
      </c>
      <c r="D10352" s="5" t="s">
        <v>9962</v>
      </c>
      <c r="E10352" s="6" t="str">
        <f>HYPERLINK("https://twitter.com/petrogustavo/status/1308826965835689984","1308826965835689984")</f>
        <v>1308826965835689984</v>
      </c>
      <c r="F10352" s="7" t="s">
        <v>32</v>
      </c>
      <c r="G10352" s="7">
        <v>3982290</v>
      </c>
      <c r="H10352" s="7">
        <v>2441</v>
      </c>
      <c r="I10352" s="7">
        <v>2812</v>
      </c>
      <c r="J10352" s="7">
        <v>3969</v>
      </c>
      <c r="K10352" s="7" t="s">
        <v>18</v>
      </c>
      <c r="L10352" s="8">
        <v>39987.315405092595</v>
      </c>
      <c r="M10352" s="9" t="s">
        <v>19</v>
      </c>
      <c r="N10352" s="9" t="s">
        <v>20</v>
      </c>
      <c r="O10352" s="6" t="str">
        <f>HYPERLINK("https://pbs.twimg.com/profile_images/962471262747529216/Uo8lOkRJ_normal.jpg","View")</f>
        <v>View</v>
      </c>
      <c r="P10352" s="7"/>
    </row>
    <row r="10353" spans="1:16">
      <c r="A10353" s="3">
        <v>44098.020694444444</v>
      </c>
      <c r="B10353" s="4" t="str">
        <f>HYPERLINK("https://twitter.com/petrogustavo","@petrogustavo")</f>
        <v>@petrogustavo</v>
      </c>
      <c r="C10353" s="5" t="s">
        <v>16</v>
      </c>
      <c r="D10353" s="5" t="s">
        <v>9963</v>
      </c>
      <c r="E10353" s="6" t="str">
        <f>HYPERLINK("https://twitter.com/petrogustavo/status/1308843525996531713","1308843525996531713")</f>
        <v>1308843525996531713</v>
      </c>
      <c r="F10353" s="7" t="s">
        <v>32</v>
      </c>
      <c r="G10353" s="7">
        <v>3982290</v>
      </c>
      <c r="H10353" s="7">
        <v>2441</v>
      </c>
      <c r="I10353" s="7">
        <v>2776</v>
      </c>
      <c r="J10353" s="7">
        <v>8008</v>
      </c>
      <c r="K10353" s="7" t="s">
        <v>18</v>
      </c>
      <c r="L10353" s="8">
        <v>39987.315405092595</v>
      </c>
      <c r="M10353" s="9" t="s">
        <v>19</v>
      </c>
      <c r="N10353" s="9" t="s">
        <v>20</v>
      </c>
      <c r="O10353" s="6" t="str">
        <f>HYPERLINK("https://pbs.twimg.com/profile_images/962471262747529216/Uo8lOkRJ_normal.jpg","View")</f>
        <v>View</v>
      </c>
      <c r="P10353" s="7"/>
    </row>
    <row r="10354" spans="1:16">
      <c r="A10354" s="3">
        <v>44098.024293981478</v>
      </c>
      <c r="B10354" s="4" t="str">
        <f>HYPERLINK("https://twitter.com/petrogustavo","@petrogustavo")</f>
        <v>@petrogustavo</v>
      </c>
      <c r="C10354" s="5" t="s">
        <v>16</v>
      </c>
      <c r="D10354" s="5" t="s">
        <v>9964</v>
      </c>
      <c r="E10354" s="6" t="str">
        <f>HYPERLINK("https://twitter.com/petrogustavo/status/1308844831398080523","1308844831398080523")</f>
        <v>1308844831398080523</v>
      </c>
      <c r="F10354" s="7" t="s">
        <v>32</v>
      </c>
      <c r="G10354" s="7">
        <v>3982290</v>
      </c>
      <c r="H10354" s="7">
        <v>2441</v>
      </c>
      <c r="I10354" s="7">
        <v>615</v>
      </c>
      <c r="J10354" s="7">
        <v>0</v>
      </c>
      <c r="K10354" s="7" t="s">
        <v>18</v>
      </c>
      <c r="L10354" s="8">
        <v>39987.315405092595</v>
      </c>
      <c r="M10354" s="9" t="s">
        <v>19</v>
      </c>
      <c r="N10354" s="9" t="s">
        <v>20</v>
      </c>
      <c r="O10354" s="6" t="str">
        <f>HYPERLINK("https://pbs.twimg.com/profile_images/962471262747529216/Uo8lOkRJ_normal.jpg","View")</f>
        <v>View</v>
      </c>
      <c r="P10354" s="7"/>
    </row>
    <row r="10355" spans="1:16">
      <c r="A10355" s="3">
        <v>44098.028726851851</v>
      </c>
      <c r="B10355" s="4" t="str">
        <f>HYPERLINK("https://twitter.com/petrogustavo","@petrogustavo")</f>
        <v>@petrogustavo</v>
      </c>
      <c r="C10355" s="5" t="s">
        <v>16</v>
      </c>
      <c r="D10355" s="5" t="s">
        <v>9965</v>
      </c>
      <c r="E10355" s="6" t="str">
        <f>HYPERLINK("https://twitter.com/petrogustavo/status/1308846438416351232","1308846438416351232")</f>
        <v>1308846438416351232</v>
      </c>
      <c r="F10355" s="7" t="s">
        <v>32</v>
      </c>
      <c r="G10355" s="7">
        <v>3982290</v>
      </c>
      <c r="H10355" s="7">
        <v>2441</v>
      </c>
      <c r="I10355" s="7">
        <v>1175</v>
      </c>
      <c r="J10355" s="7">
        <v>4658</v>
      </c>
      <c r="K10355" s="7" t="s">
        <v>18</v>
      </c>
      <c r="L10355" s="8">
        <v>39987.315405092595</v>
      </c>
      <c r="M10355" s="9" t="s">
        <v>19</v>
      </c>
      <c r="N10355" s="9" t="s">
        <v>20</v>
      </c>
      <c r="O10355" s="6" t="str">
        <f>HYPERLINK("https://pbs.twimg.com/profile_images/962471262747529216/Uo8lOkRJ_normal.jpg","View")</f>
        <v>View</v>
      </c>
      <c r="P10355" s="7"/>
    </row>
    <row r="10356" spans="1:16">
      <c r="A10356" s="3">
        <v>44098.039907407408</v>
      </c>
      <c r="B10356" s="4" t="str">
        <f>HYPERLINK("https://twitter.com/petrogustavo","@petrogustavo")</f>
        <v>@petrogustavo</v>
      </c>
      <c r="C10356" s="5" t="s">
        <v>16</v>
      </c>
      <c r="D10356" s="5" t="s">
        <v>9966</v>
      </c>
      <c r="E10356" s="6" t="str">
        <f>HYPERLINK("https://twitter.com/petrogustavo/status/1308850487387738119","1308850487387738119")</f>
        <v>1308850487387738119</v>
      </c>
      <c r="F10356" s="7" t="s">
        <v>32</v>
      </c>
      <c r="G10356" s="7">
        <v>3982290</v>
      </c>
      <c r="H10356" s="7">
        <v>2441</v>
      </c>
      <c r="I10356" s="7">
        <v>2776</v>
      </c>
      <c r="J10356" s="7">
        <v>0</v>
      </c>
      <c r="K10356" s="7" t="s">
        <v>18</v>
      </c>
      <c r="L10356" s="8">
        <v>39987.315405092595</v>
      </c>
      <c r="M10356" s="9" t="s">
        <v>19</v>
      </c>
      <c r="N10356" s="9" t="s">
        <v>20</v>
      </c>
      <c r="O10356" s="6" t="str">
        <f>HYPERLINK("https://pbs.twimg.com/profile_images/962471262747529216/Uo8lOkRJ_normal.jpg","View")</f>
        <v>View</v>
      </c>
      <c r="P10356" s="7"/>
    </row>
    <row r="10357" spans="1:16">
      <c r="A10357" s="3">
        <v>44098.053506944445</v>
      </c>
      <c r="B10357" s="4" t="str">
        <f>HYPERLINK("https://twitter.com/petrogustavo","@petrogustavo")</f>
        <v>@petrogustavo</v>
      </c>
      <c r="C10357" s="5" t="s">
        <v>16</v>
      </c>
      <c r="D10357" s="5" t="s">
        <v>9967</v>
      </c>
      <c r="E10357" s="6" t="str">
        <f>HYPERLINK("https://twitter.com/petrogustavo/status/1308855415564832768","1308855415564832768")</f>
        <v>1308855415564832768</v>
      </c>
      <c r="F10357" s="7" t="s">
        <v>32</v>
      </c>
      <c r="G10357" s="7">
        <v>3982290</v>
      </c>
      <c r="H10357" s="7">
        <v>2441</v>
      </c>
      <c r="I10357" s="7">
        <v>1997</v>
      </c>
      <c r="J10357" s="7">
        <v>0</v>
      </c>
      <c r="K10357" s="7" t="s">
        <v>18</v>
      </c>
      <c r="L10357" s="8">
        <v>39987.315405092595</v>
      </c>
      <c r="M10357" s="9" t="s">
        <v>19</v>
      </c>
      <c r="N10357" s="9" t="s">
        <v>20</v>
      </c>
      <c r="O10357" s="6" t="str">
        <f>HYPERLINK("https://pbs.twimg.com/profile_images/962471262747529216/Uo8lOkRJ_normal.jpg","View")</f>
        <v>View</v>
      </c>
      <c r="P10357" s="7"/>
    </row>
    <row r="10358" spans="1:16">
      <c r="A10358" s="3">
        <v>44098.057222222225</v>
      </c>
      <c r="B10358" s="4" t="str">
        <f>HYPERLINK("https://twitter.com/petrogustavo","@petrogustavo")</f>
        <v>@petrogustavo</v>
      </c>
      <c r="C10358" s="5" t="s">
        <v>16</v>
      </c>
      <c r="D10358" s="5" t="s">
        <v>9968</v>
      </c>
      <c r="E10358" s="6" t="str">
        <f>HYPERLINK("https://twitter.com/petrogustavo/status/1308856765484863494","1308856765484863494")</f>
        <v>1308856765484863494</v>
      </c>
      <c r="F10358" s="7" t="s">
        <v>32</v>
      </c>
      <c r="G10358" s="7">
        <v>3982290</v>
      </c>
      <c r="H10358" s="7">
        <v>2441</v>
      </c>
      <c r="I10358" s="7">
        <v>2812</v>
      </c>
      <c r="J10358" s="7">
        <v>0</v>
      </c>
      <c r="K10358" s="7" t="s">
        <v>18</v>
      </c>
      <c r="L10358" s="8">
        <v>39987.315405092595</v>
      </c>
      <c r="M10358" s="9" t="s">
        <v>19</v>
      </c>
      <c r="N10358" s="9" t="s">
        <v>20</v>
      </c>
      <c r="O10358" s="6" t="str">
        <f>HYPERLINK("https://pbs.twimg.com/profile_images/962471262747529216/Uo8lOkRJ_normal.jpg","View")</f>
        <v>View</v>
      </c>
      <c r="P10358" s="7"/>
    </row>
    <row r="10359" spans="1:16">
      <c r="A10359" s="3">
        <v>44098.123622685191</v>
      </c>
      <c r="B10359" s="4" t="str">
        <f>HYPERLINK("https://twitter.com/petrogustavo","@petrogustavo")</f>
        <v>@petrogustavo</v>
      </c>
      <c r="C10359" s="5" t="s">
        <v>16</v>
      </c>
      <c r="D10359" s="5" t="s">
        <v>9969</v>
      </c>
      <c r="E10359" s="6" t="str">
        <f>HYPERLINK("https://twitter.com/petrogustavo/status/1308880827430973440","1308880827430973440")</f>
        <v>1308880827430973440</v>
      </c>
      <c r="F10359" s="7" t="s">
        <v>32</v>
      </c>
      <c r="G10359" s="7">
        <v>3982290</v>
      </c>
      <c r="H10359" s="7">
        <v>2441</v>
      </c>
      <c r="I10359" s="7">
        <v>196</v>
      </c>
      <c r="J10359" s="7">
        <v>0</v>
      </c>
      <c r="K10359" s="7" t="s">
        <v>18</v>
      </c>
      <c r="L10359" s="8">
        <v>39987.315405092595</v>
      </c>
      <c r="M10359" s="9" t="s">
        <v>19</v>
      </c>
      <c r="N10359" s="9" t="s">
        <v>20</v>
      </c>
      <c r="O10359" s="6" t="str">
        <f>HYPERLINK("https://pbs.twimg.com/profile_images/962471262747529216/Uo8lOkRJ_normal.jpg","View")</f>
        <v>View</v>
      </c>
      <c r="P10359" s="7"/>
    </row>
    <row r="10360" spans="1:16">
      <c r="A10360" s="3">
        <v>44098.125706018516</v>
      </c>
      <c r="B10360" s="4" t="str">
        <f>HYPERLINK("https://twitter.com/petrogustavo","@petrogustavo")</f>
        <v>@petrogustavo</v>
      </c>
      <c r="C10360" s="5" t="s">
        <v>16</v>
      </c>
      <c r="D10360" s="5" t="s">
        <v>9970</v>
      </c>
      <c r="E10360" s="6" t="str">
        <f>HYPERLINK("https://twitter.com/petrogustavo/status/1308881579499032579","1308881579499032579")</f>
        <v>1308881579499032579</v>
      </c>
      <c r="F10360" s="7" t="s">
        <v>32</v>
      </c>
      <c r="G10360" s="7">
        <v>3982290</v>
      </c>
      <c r="H10360" s="7">
        <v>2441</v>
      </c>
      <c r="I10360" s="7">
        <v>679</v>
      </c>
      <c r="J10360" s="7">
        <v>0</v>
      </c>
      <c r="K10360" s="7" t="s">
        <v>18</v>
      </c>
      <c r="L10360" s="8">
        <v>39987.315405092595</v>
      </c>
      <c r="M10360" s="9" t="s">
        <v>19</v>
      </c>
      <c r="N10360" s="9" t="s">
        <v>20</v>
      </c>
      <c r="O10360" s="6" t="str">
        <f>HYPERLINK("https://pbs.twimg.com/profile_images/962471262747529216/Uo8lOkRJ_normal.jpg","View")</f>
        <v>View</v>
      </c>
      <c r="P10360" s="7"/>
    </row>
    <row r="10361" spans="1:16">
      <c r="A10361" s="3">
        <v>44098.126226851848</v>
      </c>
      <c r="B10361" s="4" t="str">
        <f>HYPERLINK("https://twitter.com/petrogustavo","@petrogustavo")</f>
        <v>@petrogustavo</v>
      </c>
      <c r="C10361" s="5" t="s">
        <v>16</v>
      </c>
      <c r="D10361" s="5" t="s">
        <v>9971</v>
      </c>
      <c r="E10361" s="6" t="str">
        <f>HYPERLINK("https://twitter.com/petrogustavo/status/1308881771438764033","1308881771438764033")</f>
        <v>1308881771438764033</v>
      </c>
      <c r="F10361" s="7" t="s">
        <v>32</v>
      </c>
      <c r="G10361" s="7">
        <v>3982290</v>
      </c>
      <c r="H10361" s="7">
        <v>2441</v>
      </c>
      <c r="I10361" s="7">
        <v>2372</v>
      </c>
      <c r="J10361" s="7">
        <v>6073</v>
      </c>
      <c r="K10361" s="7" t="s">
        <v>18</v>
      </c>
      <c r="L10361" s="8">
        <v>39987.315405092595</v>
      </c>
      <c r="M10361" s="9" t="s">
        <v>19</v>
      </c>
      <c r="N10361" s="9" t="s">
        <v>20</v>
      </c>
      <c r="O10361" s="6" t="str">
        <f>HYPERLINK("https://pbs.twimg.com/profile_images/962471262747529216/Uo8lOkRJ_normal.jpg","View")</f>
        <v>View</v>
      </c>
      <c r="P10361" s="7"/>
    </row>
    <row r="10362" spans="1:16">
      <c r="A10362" s="3">
        <v>44098.128599537042</v>
      </c>
      <c r="B10362" s="4" t="str">
        <f>HYPERLINK("https://twitter.com/petrogustavo","@petrogustavo")</f>
        <v>@petrogustavo</v>
      </c>
      <c r="C10362" s="5" t="s">
        <v>16</v>
      </c>
      <c r="D10362" s="5" t="s">
        <v>9972</v>
      </c>
      <c r="E10362" s="6" t="str">
        <f>HYPERLINK("https://twitter.com/petrogustavo/status/1308882629601656832","1308882629601656832")</f>
        <v>1308882629601656832</v>
      </c>
      <c r="F10362" s="7" t="s">
        <v>32</v>
      </c>
      <c r="G10362" s="7">
        <v>3982290</v>
      </c>
      <c r="H10362" s="7">
        <v>2441</v>
      </c>
      <c r="I10362" s="7">
        <v>587</v>
      </c>
      <c r="J10362" s="7">
        <v>0</v>
      </c>
      <c r="K10362" s="7" t="s">
        <v>18</v>
      </c>
      <c r="L10362" s="8">
        <v>39987.315405092595</v>
      </c>
      <c r="M10362" s="9" t="s">
        <v>19</v>
      </c>
      <c r="N10362" s="9" t="s">
        <v>20</v>
      </c>
      <c r="O10362" s="6" t="str">
        <f>HYPERLINK("https://pbs.twimg.com/profile_images/962471262747529216/Uo8lOkRJ_normal.jpg","View")</f>
        <v>View</v>
      </c>
      <c r="P10362" s="7"/>
    </row>
    <row r="10363" spans="1:16">
      <c r="A10363" s="3">
        <v>44098.136597222227</v>
      </c>
      <c r="B10363" s="4" t="str">
        <f>HYPERLINK("https://twitter.com/petrogustavo","@petrogustavo")</f>
        <v>@petrogustavo</v>
      </c>
      <c r="C10363" s="5" t="s">
        <v>16</v>
      </c>
      <c r="D10363" s="5" t="s">
        <v>9973</v>
      </c>
      <c r="E10363" s="6" t="str">
        <f>HYPERLINK("https://twitter.com/petrogustavo/status/1308885527807041537","1308885527807041537")</f>
        <v>1308885527807041537</v>
      </c>
      <c r="F10363" s="7" t="s">
        <v>32</v>
      </c>
      <c r="G10363" s="7">
        <v>3982290</v>
      </c>
      <c r="H10363" s="7">
        <v>2441</v>
      </c>
      <c r="I10363" s="7">
        <v>709</v>
      </c>
      <c r="J10363" s="7">
        <v>1322</v>
      </c>
      <c r="K10363" s="7" t="s">
        <v>18</v>
      </c>
      <c r="L10363" s="8">
        <v>39987.315405092595</v>
      </c>
      <c r="M10363" s="9" t="s">
        <v>19</v>
      </c>
      <c r="N10363" s="9" t="s">
        <v>20</v>
      </c>
      <c r="O10363" s="6" t="str">
        <f>HYPERLINK("https://pbs.twimg.com/profile_images/962471262747529216/Uo8lOkRJ_normal.jpg","View")</f>
        <v>View</v>
      </c>
      <c r="P10363" s="7"/>
    </row>
    <row r="10364" spans="1:16">
      <c r="A10364" s="3">
        <v>44098.141840277778</v>
      </c>
      <c r="B10364" s="4" t="str">
        <f>HYPERLINK("https://twitter.com/petrogustavo","@petrogustavo")</f>
        <v>@petrogustavo</v>
      </c>
      <c r="C10364" s="5" t="s">
        <v>16</v>
      </c>
      <c r="D10364" s="5" t="s">
        <v>9974</v>
      </c>
      <c r="E10364" s="6" t="str">
        <f>HYPERLINK("https://twitter.com/petrogustavo/status/1308887427013115905","1308887427013115905")</f>
        <v>1308887427013115905</v>
      </c>
      <c r="F10364" s="7" t="s">
        <v>32</v>
      </c>
      <c r="G10364" s="7">
        <v>3982290</v>
      </c>
      <c r="H10364" s="7">
        <v>2441</v>
      </c>
      <c r="I10364" s="7">
        <v>615</v>
      </c>
      <c r="J10364" s="7">
        <v>960</v>
      </c>
      <c r="K10364" s="7" t="s">
        <v>18</v>
      </c>
      <c r="L10364" s="8">
        <v>39987.315405092595</v>
      </c>
      <c r="M10364" s="9" t="s">
        <v>19</v>
      </c>
      <c r="N10364" s="9" t="s">
        <v>20</v>
      </c>
      <c r="O10364" s="6" t="str">
        <f>HYPERLINK("https://pbs.twimg.com/profile_images/962471262747529216/Uo8lOkRJ_normal.jpg","View")</f>
        <v>View</v>
      </c>
      <c r="P10364" s="7"/>
    </row>
    <row r="10365" spans="1:16">
      <c r="A10365" s="3">
        <v>44098.145868055552</v>
      </c>
      <c r="B10365" s="4" t="str">
        <f>HYPERLINK("https://twitter.com/petrogustavo","@petrogustavo")</f>
        <v>@petrogustavo</v>
      </c>
      <c r="C10365" s="5" t="s">
        <v>16</v>
      </c>
      <c r="D10365" s="5" t="s">
        <v>9975</v>
      </c>
      <c r="E10365" s="6" t="str">
        <f>HYPERLINK("https://twitter.com/petrogustavo/status/1308888885993373699","1308888885993373699")</f>
        <v>1308888885993373699</v>
      </c>
      <c r="F10365" s="7" t="s">
        <v>32</v>
      </c>
      <c r="G10365" s="7">
        <v>3982290</v>
      </c>
      <c r="H10365" s="7">
        <v>2441</v>
      </c>
      <c r="I10365" s="7">
        <v>2168</v>
      </c>
      <c r="J10365" s="7">
        <v>5058</v>
      </c>
      <c r="K10365" s="7" t="s">
        <v>18</v>
      </c>
      <c r="L10365" s="8">
        <v>39987.315405092595</v>
      </c>
      <c r="M10365" s="9" t="s">
        <v>19</v>
      </c>
      <c r="N10365" s="9" t="s">
        <v>20</v>
      </c>
      <c r="O10365" s="6" t="str">
        <f>HYPERLINK("https://pbs.twimg.com/profile_images/962471262747529216/Uo8lOkRJ_normal.jpg","View")</f>
        <v>View</v>
      </c>
      <c r="P10365" s="7"/>
    </row>
    <row r="10366" spans="1:16">
      <c r="A10366" s="3">
        <v>44098.147546296299</v>
      </c>
      <c r="B10366" s="4" t="str">
        <f>HYPERLINK("https://twitter.com/petrogustavo","@petrogustavo")</f>
        <v>@petrogustavo</v>
      </c>
      <c r="C10366" s="5" t="s">
        <v>16</v>
      </c>
      <c r="D10366" s="5" t="s">
        <v>9976</v>
      </c>
      <c r="E10366" s="6" t="str">
        <f>HYPERLINK("https://twitter.com/petrogustavo/status/1308889493991305218","1308889493991305218")</f>
        <v>1308889493991305218</v>
      </c>
      <c r="F10366" s="7" t="s">
        <v>32</v>
      </c>
      <c r="G10366" s="7">
        <v>3982290</v>
      </c>
      <c r="H10366" s="7">
        <v>2441</v>
      </c>
      <c r="I10366" s="7">
        <v>6054</v>
      </c>
      <c r="J10366" s="7">
        <v>16557</v>
      </c>
      <c r="K10366" s="7" t="s">
        <v>18</v>
      </c>
      <c r="L10366" s="8">
        <v>39987.315405092595</v>
      </c>
      <c r="M10366" s="9" t="s">
        <v>19</v>
      </c>
      <c r="N10366" s="9" t="s">
        <v>20</v>
      </c>
      <c r="O10366" s="6" t="str">
        <f>HYPERLINK("https://pbs.twimg.com/profile_images/962471262747529216/Uo8lOkRJ_normal.jpg","View")</f>
        <v>View</v>
      </c>
      <c r="P10366" s="7"/>
    </row>
    <row r="10367" spans="1:16">
      <c r="A10367" s="3">
        <v>44098.171724537038</v>
      </c>
      <c r="B10367" s="4" t="str">
        <f>HYPERLINK("https://twitter.com/petrogustavo","@petrogustavo")</f>
        <v>@petrogustavo</v>
      </c>
      <c r="C10367" s="5" t="s">
        <v>16</v>
      </c>
      <c r="D10367" s="5" t="s">
        <v>9977</v>
      </c>
      <c r="E10367" s="6" t="str">
        <f>HYPERLINK("https://twitter.com/petrogustavo/status/1308898259419701251","1308898259419701251")</f>
        <v>1308898259419701251</v>
      </c>
      <c r="F10367" s="7" t="s">
        <v>32</v>
      </c>
      <c r="G10367" s="7">
        <v>3982290</v>
      </c>
      <c r="H10367" s="7">
        <v>2441</v>
      </c>
      <c r="I10367" s="7">
        <v>3417</v>
      </c>
      <c r="J10367" s="7">
        <v>0</v>
      </c>
      <c r="K10367" s="7" t="s">
        <v>18</v>
      </c>
      <c r="L10367" s="8">
        <v>39987.315405092595</v>
      </c>
      <c r="M10367" s="9" t="s">
        <v>19</v>
      </c>
      <c r="N10367" s="9" t="s">
        <v>20</v>
      </c>
      <c r="O10367" s="6" t="str">
        <f>HYPERLINK("https://pbs.twimg.com/profile_images/962471262747529216/Uo8lOkRJ_normal.jpg","View")</f>
        <v>View</v>
      </c>
      <c r="P10367" s="7"/>
    </row>
    <row r="10368" spans="1:16">
      <c r="A10368" s="3">
        <v>44098.259212962963</v>
      </c>
      <c r="B10368" s="4" t="str">
        <f>HYPERLINK("https://twitter.com/petrogustavo","@petrogustavo")</f>
        <v>@petrogustavo</v>
      </c>
      <c r="C10368" s="5" t="s">
        <v>16</v>
      </c>
      <c r="D10368" s="5" t="s">
        <v>9978</v>
      </c>
      <c r="E10368" s="6" t="str">
        <f>HYPERLINK("https://twitter.com/petrogustavo/status/1308929963626819584","1308929963626819584")</f>
        <v>1308929963626819584</v>
      </c>
      <c r="F10368" s="7" t="s">
        <v>32</v>
      </c>
      <c r="G10368" s="7">
        <v>3982290</v>
      </c>
      <c r="H10368" s="7">
        <v>2441</v>
      </c>
      <c r="I10368" s="7">
        <v>2338</v>
      </c>
      <c r="J10368" s="7">
        <v>0</v>
      </c>
      <c r="K10368" s="7" t="s">
        <v>18</v>
      </c>
      <c r="L10368" s="8">
        <v>39987.315405092595</v>
      </c>
      <c r="M10368" s="9" t="s">
        <v>19</v>
      </c>
      <c r="N10368" s="9" t="s">
        <v>20</v>
      </c>
      <c r="O10368" s="6" t="str">
        <f>HYPERLINK("https://pbs.twimg.com/profile_images/962471262747529216/Uo8lOkRJ_normal.jpg","View")</f>
        <v>View</v>
      </c>
      <c r="P10368" s="7"/>
    </row>
    <row r="10369" spans="1:16">
      <c r="A10369" s="3">
        <v>44098.261226851857</v>
      </c>
      <c r="B10369" s="4" t="str">
        <f>HYPERLINK("https://twitter.com/petrogustavo","@petrogustavo")</f>
        <v>@petrogustavo</v>
      </c>
      <c r="C10369" s="5" t="s">
        <v>16</v>
      </c>
      <c r="D10369" s="5" t="s">
        <v>9979</v>
      </c>
      <c r="E10369" s="6" t="str">
        <f>HYPERLINK("https://twitter.com/petrogustavo/status/1308930691476979713","1308930691476979713")</f>
        <v>1308930691476979713</v>
      </c>
      <c r="F10369" s="7" t="s">
        <v>32</v>
      </c>
      <c r="G10369" s="7">
        <v>3982290</v>
      </c>
      <c r="H10369" s="7">
        <v>2441</v>
      </c>
      <c r="I10369" s="7">
        <v>4575</v>
      </c>
      <c r="J10369" s="7">
        <v>15941</v>
      </c>
      <c r="K10369" s="7" t="s">
        <v>18</v>
      </c>
      <c r="L10369" s="8">
        <v>39987.315405092595</v>
      </c>
      <c r="M10369" s="9" t="s">
        <v>19</v>
      </c>
      <c r="N10369" s="9" t="s">
        <v>20</v>
      </c>
      <c r="O10369" s="6" t="str">
        <f>HYPERLINK("https://pbs.twimg.com/profile_images/962471262747529216/Uo8lOkRJ_normal.jpg","View")</f>
        <v>View</v>
      </c>
      <c r="P10369" s="7"/>
    </row>
    <row r="10370" spans="1:16">
      <c r="A10370" s="3">
        <v>44098.306539351848</v>
      </c>
      <c r="B10370" s="4" t="str">
        <f>HYPERLINK("https://twitter.com/petrogustavo","@petrogustavo")</f>
        <v>@petrogustavo</v>
      </c>
      <c r="C10370" s="5" t="s">
        <v>16</v>
      </c>
      <c r="D10370" s="5" t="s">
        <v>9980</v>
      </c>
      <c r="E10370" s="6" t="str">
        <f>HYPERLINK("https://twitter.com/petrogustavo/status/1308947115121479680","1308947115121479680")</f>
        <v>1308947115121479680</v>
      </c>
      <c r="F10370" s="7" t="s">
        <v>32</v>
      </c>
      <c r="G10370" s="7">
        <v>3982290</v>
      </c>
      <c r="H10370" s="7">
        <v>2441</v>
      </c>
      <c r="I10370" s="7">
        <v>2652</v>
      </c>
      <c r="J10370" s="7">
        <v>0</v>
      </c>
      <c r="K10370" s="7" t="s">
        <v>18</v>
      </c>
      <c r="L10370" s="8">
        <v>39987.315405092595</v>
      </c>
      <c r="M10370" s="9" t="s">
        <v>19</v>
      </c>
      <c r="N10370" s="9" t="s">
        <v>20</v>
      </c>
      <c r="O10370" s="6" t="str">
        <f>HYPERLINK("https://pbs.twimg.com/profile_images/962471262747529216/Uo8lOkRJ_normal.jpg","View")</f>
        <v>View</v>
      </c>
      <c r="P10370" s="7"/>
    </row>
    <row r="10371" spans="1:16">
      <c r="A10371" s="3">
        <v>44098.318784722222</v>
      </c>
      <c r="B10371" s="4" t="str">
        <f>HYPERLINK("https://twitter.com/petrogustavo","@petrogustavo")</f>
        <v>@petrogustavo</v>
      </c>
      <c r="C10371" s="5" t="s">
        <v>16</v>
      </c>
      <c r="D10371" s="5" t="s">
        <v>9981</v>
      </c>
      <c r="E10371" s="6" t="str">
        <f>HYPERLINK("https://twitter.com/petrogustavo/status/1308951551180967936","1308951551180967936")</f>
        <v>1308951551180967936</v>
      </c>
      <c r="F10371" s="7" t="s">
        <v>32</v>
      </c>
      <c r="G10371" s="7">
        <v>3982290</v>
      </c>
      <c r="H10371" s="7">
        <v>2441</v>
      </c>
      <c r="I10371" s="7">
        <v>6054</v>
      </c>
      <c r="J10371" s="7">
        <v>0</v>
      </c>
      <c r="K10371" s="7" t="s">
        <v>18</v>
      </c>
      <c r="L10371" s="8">
        <v>39987.315405092595</v>
      </c>
      <c r="M10371" s="9" t="s">
        <v>19</v>
      </c>
      <c r="N10371" s="9" t="s">
        <v>20</v>
      </c>
      <c r="O10371" s="6" t="str">
        <f>HYPERLINK("https://pbs.twimg.com/profile_images/962471262747529216/Uo8lOkRJ_normal.jpg","View")</f>
        <v>View</v>
      </c>
      <c r="P10371" s="7"/>
    </row>
    <row r="10372" spans="1:16">
      <c r="A10372" s="3">
        <v>44098.743715277778</v>
      </c>
      <c r="B10372" s="4" t="str">
        <f>HYPERLINK("https://twitter.com/petrogustavo","@petrogustavo")</f>
        <v>@petrogustavo</v>
      </c>
      <c r="C10372" s="5" t="s">
        <v>16</v>
      </c>
      <c r="D10372" s="5" t="s">
        <v>9982</v>
      </c>
      <c r="E10372" s="6" t="str">
        <f>HYPERLINK("https://twitter.com/petrogustavo/status/1309105541927571458","1309105541927571458")</f>
        <v>1309105541927571458</v>
      </c>
      <c r="F10372" s="7" t="s">
        <v>17</v>
      </c>
      <c r="G10372" s="7">
        <v>3982290</v>
      </c>
      <c r="H10372" s="7">
        <v>2441</v>
      </c>
      <c r="I10372" s="7">
        <v>322</v>
      </c>
      <c r="J10372" s="7">
        <v>0</v>
      </c>
      <c r="K10372" s="7" t="s">
        <v>18</v>
      </c>
      <c r="L10372" s="8">
        <v>39987.315405092595</v>
      </c>
      <c r="M10372" s="9" t="s">
        <v>19</v>
      </c>
      <c r="N10372" s="9" t="s">
        <v>20</v>
      </c>
      <c r="O10372" s="6" t="str">
        <f>HYPERLINK("https://pbs.twimg.com/profile_images/962471262747529216/Uo8lOkRJ_normal.jpg","View")</f>
        <v>View</v>
      </c>
      <c r="P10372" s="7"/>
    </row>
    <row r="10373" spans="1:16">
      <c r="A10373" s="3">
        <v>44098.748298611114</v>
      </c>
      <c r="B10373" s="4" t="str">
        <f>HYPERLINK("https://twitter.com/petrogustavo","@petrogustavo")</f>
        <v>@petrogustavo</v>
      </c>
      <c r="C10373" s="5" t="s">
        <v>16</v>
      </c>
      <c r="D10373" s="5" t="s">
        <v>9983</v>
      </c>
      <c r="E10373" s="6" t="str">
        <f>HYPERLINK("https://twitter.com/petrogustavo/status/1309107202293207041","1309107202293207041")</f>
        <v>1309107202293207041</v>
      </c>
      <c r="F10373" s="7" t="s">
        <v>17</v>
      </c>
      <c r="G10373" s="7">
        <v>3982290</v>
      </c>
      <c r="H10373" s="7">
        <v>2441</v>
      </c>
      <c r="I10373" s="7">
        <v>922</v>
      </c>
      <c r="J10373" s="7">
        <v>2142</v>
      </c>
      <c r="K10373" s="7" t="s">
        <v>18</v>
      </c>
      <c r="L10373" s="8">
        <v>39987.315405092595</v>
      </c>
      <c r="M10373" s="9" t="s">
        <v>19</v>
      </c>
      <c r="N10373" s="9" t="s">
        <v>20</v>
      </c>
      <c r="O10373" s="6" t="str">
        <f>HYPERLINK("https://pbs.twimg.com/profile_images/962471262747529216/Uo8lOkRJ_normal.jpg","View")</f>
        <v>View</v>
      </c>
      <c r="P10373" s="7"/>
    </row>
    <row r="10374" spans="1:16">
      <c r="A10374" s="3">
        <v>44098.750983796301</v>
      </c>
      <c r="B10374" s="4" t="str">
        <f>HYPERLINK("https://twitter.com/petrogustavo","@petrogustavo")</f>
        <v>@petrogustavo</v>
      </c>
      <c r="C10374" s="5" t="s">
        <v>16</v>
      </c>
      <c r="D10374" s="5" t="s">
        <v>9984</v>
      </c>
      <c r="E10374" s="6" t="str">
        <f>HYPERLINK("https://twitter.com/petrogustavo/status/1309108174994235393","1309108174994235393")</f>
        <v>1309108174994235393</v>
      </c>
      <c r="F10374" s="7" t="s">
        <v>17</v>
      </c>
      <c r="G10374" s="7">
        <v>3982290</v>
      </c>
      <c r="H10374" s="7">
        <v>2441</v>
      </c>
      <c r="I10374" s="7">
        <v>1053</v>
      </c>
      <c r="J10374" s="7">
        <v>2722</v>
      </c>
      <c r="K10374" s="7" t="s">
        <v>18</v>
      </c>
      <c r="L10374" s="8">
        <v>39987.315405092595</v>
      </c>
      <c r="M10374" s="9" t="s">
        <v>19</v>
      </c>
      <c r="N10374" s="9" t="s">
        <v>20</v>
      </c>
      <c r="O10374" s="6" t="str">
        <f>HYPERLINK("https://pbs.twimg.com/profile_images/962471262747529216/Uo8lOkRJ_normal.jpg","View")</f>
        <v>View</v>
      </c>
      <c r="P10374" s="7"/>
    </row>
    <row r="10375" spans="1:16">
      <c r="A10375" s="3">
        <v>44098.757326388892</v>
      </c>
      <c r="B10375" s="4" t="str">
        <f>HYPERLINK("https://twitter.com/petrogustavo","@petrogustavo")</f>
        <v>@petrogustavo</v>
      </c>
      <c r="C10375" s="5" t="s">
        <v>16</v>
      </c>
      <c r="D10375" s="5" t="s">
        <v>9985</v>
      </c>
      <c r="E10375" s="6" t="str">
        <f>HYPERLINK("https://twitter.com/petrogustavo/status/1309110472319401988","1309110472319401988")</f>
        <v>1309110472319401988</v>
      </c>
      <c r="F10375" s="7" t="s">
        <v>17</v>
      </c>
      <c r="G10375" s="7">
        <v>3982290</v>
      </c>
      <c r="H10375" s="7">
        <v>2441</v>
      </c>
      <c r="I10375" s="7">
        <v>1025</v>
      </c>
      <c r="J10375" s="7">
        <v>1743</v>
      </c>
      <c r="K10375" s="7" t="s">
        <v>18</v>
      </c>
      <c r="L10375" s="8">
        <v>39987.315405092595</v>
      </c>
      <c r="M10375" s="9" t="s">
        <v>19</v>
      </c>
      <c r="N10375" s="9" t="s">
        <v>20</v>
      </c>
      <c r="O10375" s="6" t="str">
        <f>HYPERLINK("https://pbs.twimg.com/profile_images/962471262747529216/Uo8lOkRJ_normal.jpg","View")</f>
        <v>View</v>
      </c>
      <c r="P10375" s="7"/>
    </row>
    <row r="10376" spans="1:16">
      <c r="A10376" s="3">
        <v>44098.763912037037</v>
      </c>
      <c r="B10376" s="4" t="str">
        <f>HYPERLINK("https://twitter.com/petrogustavo","@petrogustavo")</f>
        <v>@petrogustavo</v>
      </c>
      <c r="C10376" s="5" t="s">
        <v>16</v>
      </c>
      <c r="D10376" s="5" t="s">
        <v>9986</v>
      </c>
      <c r="E10376" s="6" t="str">
        <f>HYPERLINK("https://twitter.com/petrogustavo/status/1309112858899353603","1309112858899353603")</f>
        <v>1309112858899353603</v>
      </c>
      <c r="F10376" s="7" t="s">
        <v>17</v>
      </c>
      <c r="G10376" s="7">
        <v>3982290</v>
      </c>
      <c r="H10376" s="7">
        <v>2441</v>
      </c>
      <c r="I10376" s="7">
        <v>1039</v>
      </c>
      <c r="J10376" s="7">
        <v>0</v>
      </c>
      <c r="K10376" s="7" t="s">
        <v>18</v>
      </c>
      <c r="L10376" s="8">
        <v>39987.315405092595</v>
      </c>
      <c r="M10376" s="9" t="s">
        <v>19</v>
      </c>
      <c r="N10376" s="9" t="s">
        <v>20</v>
      </c>
      <c r="O10376" s="6" t="str">
        <f>HYPERLINK("https://pbs.twimg.com/profile_images/962471262747529216/Uo8lOkRJ_normal.jpg","View")</f>
        <v>View</v>
      </c>
      <c r="P10376" s="7"/>
    </row>
    <row r="10377" spans="1:16">
      <c r="A10377" s="3">
        <v>44098.764351851853</v>
      </c>
      <c r="B10377" s="4" t="str">
        <f>HYPERLINK("https://twitter.com/petrogustavo","@petrogustavo")</f>
        <v>@petrogustavo</v>
      </c>
      <c r="C10377" s="5" t="s">
        <v>16</v>
      </c>
      <c r="D10377" s="5" t="s">
        <v>9987</v>
      </c>
      <c r="E10377" s="6" t="str">
        <f>HYPERLINK("https://twitter.com/petrogustavo/status/1309113017624297472","1309113017624297472")</f>
        <v>1309113017624297472</v>
      </c>
      <c r="F10377" s="7" t="s">
        <v>17</v>
      </c>
      <c r="G10377" s="7">
        <v>3982290</v>
      </c>
      <c r="H10377" s="7">
        <v>2441</v>
      </c>
      <c r="I10377" s="7">
        <v>922</v>
      </c>
      <c r="J10377" s="7">
        <v>0</v>
      </c>
      <c r="K10377" s="7" t="s">
        <v>18</v>
      </c>
      <c r="L10377" s="8">
        <v>39987.315405092595</v>
      </c>
      <c r="M10377" s="9" t="s">
        <v>19</v>
      </c>
      <c r="N10377" s="9" t="s">
        <v>20</v>
      </c>
      <c r="O10377" s="6" t="str">
        <f>HYPERLINK("https://pbs.twimg.com/profile_images/962471262747529216/Uo8lOkRJ_normal.jpg","View")</f>
        <v>View</v>
      </c>
      <c r="P10377" s="7"/>
    </row>
    <row r="10378" spans="1:16">
      <c r="A10378" s="3">
        <v>44098.766469907408</v>
      </c>
      <c r="B10378" s="4" t="str">
        <f>HYPERLINK("https://twitter.com/petrogustavo","@petrogustavo")</f>
        <v>@petrogustavo</v>
      </c>
      <c r="C10378" s="5" t="s">
        <v>16</v>
      </c>
      <c r="D10378" s="5" t="s">
        <v>9988</v>
      </c>
      <c r="E10378" s="6" t="str">
        <f>HYPERLINK("https://twitter.com/petrogustavo/status/1309113787182710785","1309113787182710785")</f>
        <v>1309113787182710785</v>
      </c>
      <c r="F10378" s="7" t="s">
        <v>17</v>
      </c>
      <c r="G10378" s="7">
        <v>3982290</v>
      </c>
      <c r="H10378" s="7">
        <v>2441</v>
      </c>
      <c r="I10378" s="7">
        <v>330</v>
      </c>
      <c r="J10378" s="7">
        <v>810</v>
      </c>
      <c r="K10378" s="7" t="s">
        <v>18</v>
      </c>
      <c r="L10378" s="8">
        <v>39987.315405092595</v>
      </c>
      <c r="M10378" s="9" t="s">
        <v>19</v>
      </c>
      <c r="N10378" s="9" t="s">
        <v>20</v>
      </c>
      <c r="O10378" s="6" t="str">
        <f>HYPERLINK("https://pbs.twimg.com/profile_images/962471262747529216/Uo8lOkRJ_normal.jpg","View")</f>
        <v>View</v>
      </c>
      <c r="P10378" s="7"/>
    </row>
    <row r="10379" spans="1:16">
      <c r="A10379" s="3">
        <v>44098.771655092598</v>
      </c>
      <c r="B10379" s="4" t="str">
        <f>HYPERLINK("https://twitter.com/petrogustavo","@petrogustavo")</f>
        <v>@petrogustavo</v>
      </c>
      <c r="C10379" s="5" t="s">
        <v>16</v>
      </c>
      <c r="D10379" s="5" t="s">
        <v>9989</v>
      </c>
      <c r="E10379" s="6" t="str">
        <f>HYPERLINK("https://twitter.com/petrogustavo/status/1309115665987645441","1309115665987645441")</f>
        <v>1309115665987645441</v>
      </c>
      <c r="F10379" s="7" t="s">
        <v>17</v>
      </c>
      <c r="G10379" s="7">
        <v>3982290</v>
      </c>
      <c r="H10379" s="7">
        <v>2441</v>
      </c>
      <c r="I10379" s="7">
        <v>1000</v>
      </c>
      <c r="J10379" s="7">
        <v>2221</v>
      </c>
      <c r="K10379" s="7" t="s">
        <v>18</v>
      </c>
      <c r="L10379" s="8">
        <v>39987.315405092595</v>
      </c>
      <c r="M10379" s="9" t="s">
        <v>19</v>
      </c>
      <c r="N10379" s="9" t="s">
        <v>20</v>
      </c>
      <c r="O10379" s="6" t="str">
        <f>HYPERLINK("https://pbs.twimg.com/profile_images/962471262747529216/Uo8lOkRJ_normal.jpg","View")</f>
        <v>View</v>
      </c>
      <c r="P10379" s="7"/>
    </row>
    <row r="10380" spans="1:16">
      <c r="A10380" s="3">
        <v>44098.774398148147</v>
      </c>
      <c r="B10380" s="4" t="str">
        <f>HYPERLINK("https://twitter.com/petrogustavo","@petrogustavo")</f>
        <v>@petrogustavo</v>
      </c>
      <c r="C10380" s="5" t="s">
        <v>16</v>
      </c>
      <c r="D10380" s="5" t="s">
        <v>9990</v>
      </c>
      <c r="E10380" s="6" t="str">
        <f>HYPERLINK("https://twitter.com/petrogustavo/status/1309116657680494592","1309116657680494592")</f>
        <v>1309116657680494592</v>
      </c>
      <c r="F10380" s="7" t="s">
        <v>17</v>
      </c>
      <c r="G10380" s="7">
        <v>3982290</v>
      </c>
      <c r="H10380" s="7">
        <v>2441</v>
      </c>
      <c r="I10380" s="7">
        <v>491</v>
      </c>
      <c r="J10380" s="7">
        <v>1270</v>
      </c>
      <c r="K10380" s="7" t="s">
        <v>18</v>
      </c>
      <c r="L10380" s="8">
        <v>39987.315405092595</v>
      </c>
      <c r="M10380" s="9" t="s">
        <v>19</v>
      </c>
      <c r="N10380" s="9" t="s">
        <v>20</v>
      </c>
      <c r="O10380" s="6" t="str">
        <f>HYPERLINK("https://pbs.twimg.com/profile_images/962471262747529216/Uo8lOkRJ_normal.jpg","View")</f>
        <v>View</v>
      </c>
      <c r="P10380" s="7"/>
    </row>
    <row r="10381" spans="1:16">
      <c r="A10381" s="3">
        <v>44098.797847222224</v>
      </c>
      <c r="B10381" s="4" t="str">
        <f>HYPERLINK("https://twitter.com/petrogustavo","@petrogustavo")</f>
        <v>@petrogustavo</v>
      </c>
      <c r="C10381" s="5" t="s">
        <v>16</v>
      </c>
      <c r="D10381" s="5" t="s">
        <v>9991</v>
      </c>
      <c r="E10381" s="6" t="str">
        <f>HYPERLINK("https://twitter.com/petrogustavo/status/1309125158939099141","1309125158939099141")</f>
        <v>1309125158939099141</v>
      </c>
      <c r="F10381" s="7" t="s">
        <v>17</v>
      </c>
      <c r="G10381" s="7">
        <v>3982290</v>
      </c>
      <c r="H10381" s="7">
        <v>2441</v>
      </c>
      <c r="I10381" s="7">
        <v>594</v>
      </c>
      <c r="J10381" s="7">
        <v>1213</v>
      </c>
      <c r="K10381" s="7" t="s">
        <v>18</v>
      </c>
      <c r="L10381" s="8">
        <v>39987.315405092595</v>
      </c>
      <c r="M10381" s="9" t="s">
        <v>19</v>
      </c>
      <c r="N10381" s="9" t="s">
        <v>20</v>
      </c>
      <c r="O10381" s="6" t="str">
        <f>HYPERLINK("https://pbs.twimg.com/profile_images/962471262747529216/Uo8lOkRJ_normal.jpg","View")</f>
        <v>View</v>
      </c>
      <c r="P10381" s="7"/>
    </row>
    <row r="10382" spans="1:16">
      <c r="A10382" s="3">
        <v>44098.798796296294</v>
      </c>
      <c r="B10382" s="4" t="str">
        <f>HYPERLINK("https://twitter.com/petrogustavo","@petrogustavo")</f>
        <v>@petrogustavo</v>
      </c>
      <c r="C10382" s="5" t="s">
        <v>16</v>
      </c>
      <c r="D10382" s="5" t="s">
        <v>9992</v>
      </c>
      <c r="E10382" s="6" t="str">
        <f>HYPERLINK("https://twitter.com/petrogustavo/status/1309125500435038210","1309125500435038210")</f>
        <v>1309125500435038210</v>
      </c>
      <c r="F10382" s="7" t="s">
        <v>17</v>
      </c>
      <c r="G10382" s="7">
        <v>3982290</v>
      </c>
      <c r="H10382" s="7">
        <v>2441</v>
      </c>
      <c r="I10382" s="7">
        <v>491</v>
      </c>
      <c r="J10382" s="7">
        <v>0</v>
      </c>
      <c r="K10382" s="7" t="s">
        <v>18</v>
      </c>
      <c r="L10382" s="8">
        <v>39987.315405092595</v>
      </c>
      <c r="M10382" s="9" t="s">
        <v>19</v>
      </c>
      <c r="N10382" s="9" t="s">
        <v>20</v>
      </c>
      <c r="O10382" s="6" t="str">
        <f>HYPERLINK("https://pbs.twimg.com/profile_images/962471262747529216/Uo8lOkRJ_normal.jpg","View")</f>
        <v>View</v>
      </c>
      <c r="P10382" s="7"/>
    </row>
    <row r="10383" spans="1:16">
      <c r="A10383" s="3">
        <v>44098.809317129635</v>
      </c>
      <c r="B10383" s="4" t="str">
        <f>HYPERLINK("https://twitter.com/petrogustavo","@petrogustavo")</f>
        <v>@petrogustavo</v>
      </c>
      <c r="C10383" s="5" t="s">
        <v>16</v>
      </c>
      <c r="D10383" s="5" t="s">
        <v>9993</v>
      </c>
      <c r="E10383" s="6" t="str">
        <f>HYPERLINK("https://twitter.com/petrogustavo/status/1309129312562556933","1309129312562556933")</f>
        <v>1309129312562556933</v>
      </c>
      <c r="F10383" s="7" t="s">
        <v>17</v>
      </c>
      <c r="G10383" s="7">
        <v>3982290</v>
      </c>
      <c r="H10383" s="7">
        <v>2441</v>
      </c>
      <c r="I10383" s="7">
        <v>1487</v>
      </c>
      <c r="J10383" s="7">
        <v>3761</v>
      </c>
      <c r="K10383" s="7" t="s">
        <v>18</v>
      </c>
      <c r="L10383" s="8">
        <v>39987.315405092595</v>
      </c>
      <c r="M10383" s="9" t="s">
        <v>19</v>
      </c>
      <c r="N10383" s="9" t="s">
        <v>20</v>
      </c>
      <c r="O10383" s="6" t="str">
        <f>HYPERLINK("https://pbs.twimg.com/profile_images/962471262747529216/Uo8lOkRJ_normal.jpg","View")</f>
        <v>View</v>
      </c>
      <c r="P10383" s="7"/>
    </row>
    <row r="10384" spans="1:16">
      <c r="A10384" s="3">
        <v>44098.811168981483</v>
      </c>
      <c r="B10384" s="4" t="str">
        <f>HYPERLINK("https://twitter.com/petrogustavo","@petrogustavo")</f>
        <v>@petrogustavo</v>
      </c>
      <c r="C10384" s="5" t="s">
        <v>16</v>
      </c>
      <c r="D10384" s="5" t="s">
        <v>9994</v>
      </c>
      <c r="E10384" s="6" t="str">
        <f>HYPERLINK("https://twitter.com/petrogustavo/status/1309129984812945414","1309129984812945414")</f>
        <v>1309129984812945414</v>
      </c>
      <c r="F10384" s="7" t="s">
        <v>17</v>
      </c>
      <c r="G10384" s="7">
        <v>3982290</v>
      </c>
      <c r="H10384" s="7">
        <v>2441</v>
      </c>
      <c r="I10384" s="7">
        <v>2101</v>
      </c>
      <c r="J10384" s="7">
        <v>6294</v>
      </c>
      <c r="K10384" s="7" t="s">
        <v>18</v>
      </c>
      <c r="L10384" s="8">
        <v>39987.315405092595</v>
      </c>
      <c r="M10384" s="9" t="s">
        <v>19</v>
      </c>
      <c r="N10384" s="9" t="s">
        <v>20</v>
      </c>
      <c r="O10384" s="6" t="str">
        <f>HYPERLINK("https://pbs.twimg.com/profile_images/962471262747529216/Uo8lOkRJ_normal.jpg","View")</f>
        <v>View</v>
      </c>
      <c r="P10384" s="7"/>
    </row>
    <row r="10385" spans="1:16">
      <c r="A10385" s="3">
        <v>44098.821018518516</v>
      </c>
      <c r="B10385" s="4" t="str">
        <f>HYPERLINK("https://twitter.com/petrogustavo","@petrogustavo")</f>
        <v>@petrogustavo</v>
      </c>
      <c r="C10385" s="5" t="s">
        <v>16</v>
      </c>
      <c r="D10385" s="5" t="s">
        <v>9995</v>
      </c>
      <c r="E10385" s="6" t="str">
        <f>HYPERLINK("https://twitter.com/petrogustavo/status/1309133554224369665","1309133554224369665")</f>
        <v>1309133554224369665</v>
      </c>
      <c r="F10385" s="7" t="s">
        <v>17</v>
      </c>
      <c r="G10385" s="7">
        <v>3982290</v>
      </c>
      <c r="H10385" s="7">
        <v>2441</v>
      </c>
      <c r="I10385" s="7">
        <v>719</v>
      </c>
      <c r="J10385" s="7">
        <v>2294</v>
      </c>
      <c r="K10385" s="7" t="s">
        <v>18</v>
      </c>
      <c r="L10385" s="8">
        <v>39987.315405092595</v>
      </c>
      <c r="M10385" s="9" t="s">
        <v>19</v>
      </c>
      <c r="N10385" s="9" t="s">
        <v>20</v>
      </c>
      <c r="O10385" s="6" t="str">
        <f>HYPERLINK("https://pbs.twimg.com/profile_images/962471262747529216/Uo8lOkRJ_normal.jpg","View")</f>
        <v>View</v>
      </c>
      <c r="P10385" s="7"/>
    </row>
    <row r="10386" spans="1:16">
      <c r="A10386" s="3">
        <v>44098.907662037032</v>
      </c>
      <c r="B10386" s="4" t="str">
        <f>HYPERLINK("https://twitter.com/petrogustavo","@petrogustavo")</f>
        <v>@petrogustavo</v>
      </c>
      <c r="C10386" s="5" t="s">
        <v>16</v>
      </c>
      <c r="D10386" s="5" t="s">
        <v>9996</v>
      </c>
      <c r="E10386" s="6" t="str">
        <f>HYPERLINK("https://twitter.com/petrogustavo/status/1309164952155025409","1309164952155025409")</f>
        <v>1309164952155025409</v>
      </c>
      <c r="F10386" s="7" t="s">
        <v>32</v>
      </c>
      <c r="G10386" s="7">
        <v>3982290</v>
      </c>
      <c r="H10386" s="7">
        <v>2441</v>
      </c>
      <c r="I10386" s="7">
        <v>5051</v>
      </c>
      <c r="J10386" s="7">
        <v>9607</v>
      </c>
      <c r="K10386" s="7" t="s">
        <v>18</v>
      </c>
      <c r="L10386" s="8">
        <v>39987.315405092595</v>
      </c>
      <c r="M10386" s="9" t="s">
        <v>19</v>
      </c>
      <c r="N10386" s="9" t="s">
        <v>20</v>
      </c>
      <c r="O10386" s="6" t="str">
        <f>HYPERLINK("https://pbs.twimg.com/profile_images/962471262747529216/Uo8lOkRJ_normal.jpg","View")</f>
        <v>View</v>
      </c>
      <c r="P10386" s="7"/>
    </row>
    <row r="10387" spans="1:16">
      <c r="A10387" s="3">
        <v>44098.917615740742</v>
      </c>
      <c r="B10387" s="4" t="str">
        <f>HYPERLINK("https://twitter.com/petrogustavo","@petrogustavo")</f>
        <v>@petrogustavo</v>
      </c>
      <c r="C10387" s="5" t="s">
        <v>16</v>
      </c>
      <c r="D10387" s="5" t="s">
        <v>9997</v>
      </c>
      <c r="E10387" s="6" t="str">
        <f>HYPERLINK("https://twitter.com/petrogustavo/status/1309168559680086016","1309168559680086016")</f>
        <v>1309168559680086016</v>
      </c>
      <c r="F10387" s="7" t="s">
        <v>32</v>
      </c>
      <c r="G10387" s="7">
        <v>3982290</v>
      </c>
      <c r="H10387" s="7">
        <v>2441</v>
      </c>
      <c r="I10387" s="7">
        <v>2165</v>
      </c>
      <c r="J10387" s="7">
        <v>3817</v>
      </c>
      <c r="K10387" s="7" t="s">
        <v>18</v>
      </c>
      <c r="L10387" s="8">
        <v>39987.315405092595</v>
      </c>
      <c r="M10387" s="9" t="s">
        <v>19</v>
      </c>
      <c r="N10387" s="9" t="s">
        <v>20</v>
      </c>
      <c r="O10387" s="6" t="str">
        <f>HYPERLINK("https://pbs.twimg.com/profile_images/962471262747529216/Uo8lOkRJ_normal.jpg","View")</f>
        <v>View</v>
      </c>
      <c r="P10387" s="7"/>
    </row>
    <row r="10388" spans="1:16">
      <c r="A10388" s="3">
        <v>44098.917812500003</v>
      </c>
      <c r="B10388" s="4" t="str">
        <f>HYPERLINK("https://twitter.com/petrogustavo","@petrogustavo")</f>
        <v>@petrogustavo</v>
      </c>
      <c r="C10388" s="5" t="s">
        <v>16</v>
      </c>
      <c r="D10388" s="5" t="s">
        <v>9998</v>
      </c>
      <c r="E10388" s="6" t="str">
        <f>HYPERLINK("https://twitter.com/petrogustavo/status/1309168632526761985","1309168632526761985")</f>
        <v>1309168632526761985</v>
      </c>
      <c r="F10388" s="7" t="s">
        <v>32</v>
      </c>
      <c r="G10388" s="7">
        <v>3982290</v>
      </c>
      <c r="H10388" s="7">
        <v>2441</v>
      </c>
      <c r="I10388" s="7">
        <v>5051</v>
      </c>
      <c r="J10388" s="7">
        <v>0</v>
      </c>
      <c r="K10388" s="7" t="s">
        <v>18</v>
      </c>
      <c r="L10388" s="8">
        <v>39987.315405092595</v>
      </c>
      <c r="M10388" s="9" t="s">
        <v>19</v>
      </c>
      <c r="N10388" s="9" t="s">
        <v>20</v>
      </c>
      <c r="O10388" s="6" t="str">
        <f>HYPERLINK("https://pbs.twimg.com/profile_images/962471262747529216/Uo8lOkRJ_normal.jpg","View")</f>
        <v>View</v>
      </c>
      <c r="P10388" s="7"/>
    </row>
    <row r="10389" spans="1:16">
      <c r="A10389" s="3">
        <v>44098.991944444446</v>
      </c>
      <c r="B10389" s="4" t="str">
        <f>HYPERLINK("https://twitter.com/petrogustavo","@petrogustavo")</f>
        <v>@petrogustavo</v>
      </c>
      <c r="C10389" s="5" t="s">
        <v>16</v>
      </c>
      <c r="D10389" s="5" t="s">
        <v>9999</v>
      </c>
      <c r="E10389" s="6" t="str">
        <f>HYPERLINK("https://twitter.com/petrogustavo/status/1309195494284029953","1309195494284029953")</f>
        <v>1309195494284029953</v>
      </c>
      <c r="F10389" s="7" t="s">
        <v>17</v>
      </c>
      <c r="G10389" s="7">
        <v>3982290</v>
      </c>
      <c r="H10389" s="7">
        <v>2441</v>
      </c>
      <c r="I10389" s="7">
        <v>554</v>
      </c>
      <c r="J10389" s="7">
        <v>0</v>
      </c>
      <c r="K10389" s="7" t="s">
        <v>18</v>
      </c>
      <c r="L10389" s="8">
        <v>39987.315405092595</v>
      </c>
      <c r="M10389" s="9" t="s">
        <v>19</v>
      </c>
      <c r="N10389" s="9" t="s">
        <v>20</v>
      </c>
      <c r="O10389" s="6" t="str">
        <f>HYPERLINK("https://pbs.twimg.com/profile_images/962471262747529216/Uo8lOkRJ_normal.jpg","View")</f>
        <v>View</v>
      </c>
      <c r="P10389" s="7"/>
    </row>
    <row r="10390" spans="1:16">
      <c r="A10390" s="3">
        <v>44098.993807870371</v>
      </c>
      <c r="B10390" s="4" t="str">
        <f>HYPERLINK("https://twitter.com/petrogustavo","@petrogustavo")</f>
        <v>@petrogustavo</v>
      </c>
      <c r="C10390" s="5" t="s">
        <v>16</v>
      </c>
      <c r="D10390" s="5" t="s">
        <v>10000</v>
      </c>
      <c r="E10390" s="6" t="str">
        <f>HYPERLINK("https://twitter.com/petrogustavo/status/1309196169776685057","1309196169776685057")</f>
        <v>1309196169776685057</v>
      </c>
      <c r="F10390" s="7" t="s">
        <v>17</v>
      </c>
      <c r="G10390" s="7">
        <v>3982290</v>
      </c>
      <c r="H10390" s="7">
        <v>2441</v>
      </c>
      <c r="I10390" s="7">
        <v>2486</v>
      </c>
      <c r="J10390" s="7">
        <v>6439</v>
      </c>
      <c r="K10390" s="7" t="s">
        <v>18</v>
      </c>
      <c r="L10390" s="8">
        <v>39987.315405092595</v>
      </c>
      <c r="M10390" s="9" t="s">
        <v>19</v>
      </c>
      <c r="N10390" s="9" t="s">
        <v>20</v>
      </c>
      <c r="O10390" s="6" t="str">
        <f>HYPERLINK("https://pbs.twimg.com/profile_images/962471262747529216/Uo8lOkRJ_normal.jpg","View")</f>
        <v>View</v>
      </c>
      <c r="P10390" s="7"/>
    </row>
    <row r="10391" spans="1:16">
      <c r="A10391" s="3">
        <v>44099.00981481481</v>
      </c>
      <c r="B10391" s="4" t="str">
        <f>HYPERLINK("https://twitter.com/petrogustavo","@petrogustavo")</f>
        <v>@petrogustavo</v>
      </c>
      <c r="C10391" s="5" t="s">
        <v>16</v>
      </c>
      <c r="D10391" s="5" t="s">
        <v>10001</v>
      </c>
      <c r="E10391" s="6" t="str">
        <f>HYPERLINK("https://twitter.com/petrogustavo/status/1309201970742398977","1309201970742398977")</f>
        <v>1309201970742398977</v>
      </c>
      <c r="F10391" s="7" t="s">
        <v>17</v>
      </c>
      <c r="G10391" s="7">
        <v>3982290</v>
      </c>
      <c r="H10391" s="7">
        <v>2441</v>
      </c>
      <c r="I10391" s="7">
        <v>90</v>
      </c>
      <c r="J10391" s="7">
        <v>0</v>
      </c>
      <c r="K10391" s="7" t="s">
        <v>18</v>
      </c>
      <c r="L10391" s="8">
        <v>39987.315405092595</v>
      </c>
      <c r="M10391" s="9" t="s">
        <v>19</v>
      </c>
      <c r="N10391" s="9" t="s">
        <v>20</v>
      </c>
      <c r="O10391" s="6" t="str">
        <f>HYPERLINK("https://pbs.twimg.com/profile_images/962471262747529216/Uo8lOkRJ_normal.jpg","View")</f>
        <v>View</v>
      </c>
      <c r="P10391" s="7"/>
    </row>
    <row r="10392" spans="1:16">
      <c r="A10392" s="3">
        <v>44099.010243055556</v>
      </c>
      <c r="B10392" s="4" t="str">
        <f>HYPERLINK("https://twitter.com/petrogustavo","@petrogustavo")</f>
        <v>@petrogustavo</v>
      </c>
      <c r="C10392" s="5" t="s">
        <v>16</v>
      </c>
      <c r="D10392" s="5" t="s">
        <v>10002</v>
      </c>
      <c r="E10392" s="6" t="str">
        <f>HYPERLINK("https://twitter.com/petrogustavo/status/1309202125063323655","1309202125063323655")</f>
        <v>1309202125063323655</v>
      </c>
      <c r="F10392" s="7" t="s">
        <v>17</v>
      </c>
      <c r="G10392" s="7">
        <v>3982290</v>
      </c>
      <c r="H10392" s="7">
        <v>2441</v>
      </c>
      <c r="I10392" s="7">
        <v>2486</v>
      </c>
      <c r="J10392" s="7">
        <v>0</v>
      </c>
      <c r="K10392" s="7" t="s">
        <v>18</v>
      </c>
      <c r="L10392" s="8">
        <v>39987.315405092595</v>
      </c>
      <c r="M10392" s="9" t="s">
        <v>19</v>
      </c>
      <c r="N10392" s="9" t="s">
        <v>20</v>
      </c>
      <c r="O10392" s="6" t="str">
        <f>HYPERLINK("https://pbs.twimg.com/profile_images/962471262747529216/Uo8lOkRJ_normal.jpg","View")</f>
        <v>View</v>
      </c>
      <c r="P10392" s="7"/>
    </row>
    <row r="10393" spans="1:16">
      <c r="A10393" s="3">
        <v>44099.035057870366</v>
      </c>
      <c r="B10393" s="4" t="str">
        <f>HYPERLINK("https://twitter.com/petrogustavo","@petrogustavo")</f>
        <v>@petrogustavo</v>
      </c>
      <c r="C10393" s="5" t="s">
        <v>16</v>
      </c>
      <c r="D10393" s="5" t="s">
        <v>10003</v>
      </c>
      <c r="E10393" s="6" t="str">
        <f>HYPERLINK("https://twitter.com/petrogustavo/status/1309211118683017220","1309211118683017220")</f>
        <v>1309211118683017220</v>
      </c>
      <c r="F10393" s="7" t="s">
        <v>17</v>
      </c>
      <c r="G10393" s="7">
        <v>3982290</v>
      </c>
      <c r="H10393" s="7">
        <v>2441</v>
      </c>
      <c r="I10393" s="7">
        <v>3230</v>
      </c>
      <c r="J10393" s="7">
        <v>0</v>
      </c>
      <c r="K10393" s="7" t="s">
        <v>18</v>
      </c>
      <c r="L10393" s="8">
        <v>39987.315405092595</v>
      </c>
      <c r="M10393" s="9" t="s">
        <v>19</v>
      </c>
      <c r="N10393" s="9" t="s">
        <v>20</v>
      </c>
      <c r="O10393" s="6" t="str">
        <f>HYPERLINK("https://pbs.twimg.com/profile_images/962471262747529216/Uo8lOkRJ_normal.jpg","View")</f>
        <v>View</v>
      </c>
      <c r="P10393" s="7"/>
    </row>
    <row r="10394" spans="1:16">
      <c r="A10394" s="3">
        <v>44099.036655092597</v>
      </c>
      <c r="B10394" s="4" t="str">
        <f>HYPERLINK("https://twitter.com/petrogustavo","@petrogustavo")</f>
        <v>@petrogustavo</v>
      </c>
      <c r="C10394" s="5" t="s">
        <v>16</v>
      </c>
      <c r="D10394" s="5" t="s">
        <v>10004</v>
      </c>
      <c r="E10394" s="6" t="str">
        <f>HYPERLINK("https://twitter.com/petrogustavo/status/1309211697761132545","1309211697761132545")</f>
        <v>1309211697761132545</v>
      </c>
      <c r="F10394" s="7" t="s">
        <v>17</v>
      </c>
      <c r="G10394" s="7">
        <v>3982290</v>
      </c>
      <c r="H10394" s="7">
        <v>2441</v>
      </c>
      <c r="I10394" s="7">
        <v>1340</v>
      </c>
      <c r="J10394" s="7">
        <v>2765</v>
      </c>
      <c r="K10394" s="7" t="s">
        <v>18</v>
      </c>
      <c r="L10394" s="8">
        <v>39987.315405092595</v>
      </c>
      <c r="M10394" s="9" t="s">
        <v>19</v>
      </c>
      <c r="N10394" s="9" t="s">
        <v>20</v>
      </c>
      <c r="O10394" s="6" t="str">
        <f>HYPERLINK("https://pbs.twimg.com/profile_images/962471262747529216/Uo8lOkRJ_normal.jpg","View")</f>
        <v>View</v>
      </c>
      <c r="P10394" s="7"/>
    </row>
    <row r="10395" spans="1:16">
      <c r="A10395" s="3">
        <v>44099.037905092591</v>
      </c>
      <c r="B10395" s="4" t="str">
        <f>HYPERLINK("https://twitter.com/petrogustavo","@petrogustavo")</f>
        <v>@petrogustavo</v>
      </c>
      <c r="C10395" s="5" t="s">
        <v>16</v>
      </c>
      <c r="D10395" s="5" t="s">
        <v>10005</v>
      </c>
      <c r="E10395" s="6" t="str">
        <f>HYPERLINK("https://twitter.com/petrogustavo/status/1309212153153495045","1309212153153495045")</f>
        <v>1309212153153495045</v>
      </c>
      <c r="F10395" s="7" t="s">
        <v>17</v>
      </c>
      <c r="G10395" s="7">
        <v>3982290</v>
      </c>
      <c r="H10395" s="7">
        <v>2441</v>
      </c>
      <c r="I10395" s="7">
        <v>2450</v>
      </c>
      <c r="J10395" s="7">
        <v>6995</v>
      </c>
      <c r="K10395" s="7" t="s">
        <v>18</v>
      </c>
      <c r="L10395" s="8">
        <v>39987.315405092595</v>
      </c>
      <c r="M10395" s="9" t="s">
        <v>19</v>
      </c>
      <c r="N10395" s="9" t="s">
        <v>20</v>
      </c>
      <c r="O10395" s="6" t="str">
        <f>HYPERLINK("https://pbs.twimg.com/profile_images/962471262747529216/Uo8lOkRJ_normal.jpg","View")</f>
        <v>View</v>
      </c>
      <c r="P10395" s="7"/>
    </row>
    <row r="10396" spans="1:16">
      <c r="A10396" s="3">
        <v>44099.061608796299</v>
      </c>
      <c r="B10396" s="4" t="str">
        <f>HYPERLINK("https://twitter.com/petrogustavo","@petrogustavo")</f>
        <v>@petrogustavo</v>
      </c>
      <c r="C10396" s="5" t="s">
        <v>16</v>
      </c>
      <c r="D10396" s="5" t="s">
        <v>10006</v>
      </c>
      <c r="E10396" s="6" t="str">
        <f>HYPERLINK("https://twitter.com/petrogustavo/status/1309220741519474689","1309220741519474689")</f>
        <v>1309220741519474689</v>
      </c>
      <c r="F10396" s="7" t="s">
        <v>17</v>
      </c>
      <c r="G10396" s="7">
        <v>3982290</v>
      </c>
      <c r="H10396" s="7">
        <v>2441</v>
      </c>
      <c r="I10396" s="7">
        <v>1340</v>
      </c>
      <c r="J10396" s="7">
        <v>0</v>
      </c>
      <c r="K10396" s="7" t="s">
        <v>18</v>
      </c>
      <c r="L10396" s="8">
        <v>39987.315405092595</v>
      </c>
      <c r="M10396" s="9" t="s">
        <v>19</v>
      </c>
      <c r="N10396" s="9" t="s">
        <v>20</v>
      </c>
      <c r="O10396" s="6" t="str">
        <f>HYPERLINK("https://pbs.twimg.com/profile_images/962471262747529216/Uo8lOkRJ_normal.jpg","View")</f>
        <v>View</v>
      </c>
      <c r="P10396" s="7"/>
    </row>
    <row r="10397" spans="1:16">
      <c r="A10397" s="3">
        <v>44099.159872685181</v>
      </c>
      <c r="B10397" s="4" t="str">
        <f>HYPERLINK("https://twitter.com/petrogustavo","@petrogustavo")</f>
        <v>@petrogustavo</v>
      </c>
      <c r="C10397" s="5" t="s">
        <v>16</v>
      </c>
      <c r="D10397" s="5" t="s">
        <v>10007</v>
      </c>
      <c r="E10397" s="6" t="str">
        <f>HYPERLINK("https://twitter.com/petrogustavo/status/1309256352473247744","1309256352473247744")</f>
        <v>1309256352473247744</v>
      </c>
      <c r="F10397" s="7" t="s">
        <v>32</v>
      </c>
      <c r="G10397" s="7">
        <v>3982290</v>
      </c>
      <c r="H10397" s="7">
        <v>2441</v>
      </c>
      <c r="I10397" s="7">
        <v>899</v>
      </c>
      <c r="J10397" s="7">
        <v>2157</v>
      </c>
      <c r="K10397" s="7" t="s">
        <v>18</v>
      </c>
      <c r="L10397" s="8">
        <v>39987.315405092595</v>
      </c>
      <c r="M10397" s="9" t="s">
        <v>19</v>
      </c>
      <c r="N10397" s="9" t="s">
        <v>20</v>
      </c>
      <c r="O10397" s="6" t="str">
        <f>HYPERLINK("https://pbs.twimg.com/profile_images/962471262747529216/Uo8lOkRJ_normal.jpg","View")</f>
        <v>View</v>
      </c>
      <c r="P10397" s="7"/>
    </row>
    <row r="10398" spans="1:16">
      <c r="A10398" s="3">
        <v>44099.164629629631</v>
      </c>
      <c r="B10398" s="4" t="str">
        <f>HYPERLINK("https://twitter.com/petrogustavo","@petrogustavo")</f>
        <v>@petrogustavo</v>
      </c>
      <c r="C10398" s="5" t="s">
        <v>16</v>
      </c>
      <c r="D10398" s="5" t="s">
        <v>10008</v>
      </c>
      <c r="E10398" s="6" t="str">
        <f>HYPERLINK("https://twitter.com/petrogustavo/status/1309258076025958401","1309258076025958401")</f>
        <v>1309258076025958401</v>
      </c>
      <c r="F10398" s="7" t="s">
        <v>32</v>
      </c>
      <c r="G10398" s="7">
        <v>3982290</v>
      </c>
      <c r="H10398" s="7">
        <v>2441</v>
      </c>
      <c r="I10398" s="7">
        <v>693</v>
      </c>
      <c r="J10398" s="7">
        <v>2572</v>
      </c>
      <c r="K10398" s="7" t="s">
        <v>18</v>
      </c>
      <c r="L10398" s="8">
        <v>39987.315405092595</v>
      </c>
      <c r="M10398" s="9" t="s">
        <v>19</v>
      </c>
      <c r="N10398" s="9" t="s">
        <v>20</v>
      </c>
      <c r="O10398" s="6" t="str">
        <f>HYPERLINK("https://pbs.twimg.com/profile_images/962471262747529216/Uo8lOkRJ_normal.jpg","View")</f>
        <v>View</v>
      </c>
      <c r="P10398" s="7"/>
    </row>
    <row r="10399" spans="1:16">
      <c r="A10399" s="3">
        <v>44099.182268518518</v>
      </c>
      <c r="B10399" s="4" t="str">
        <f>HYPERLINK("https://twitter.com/petrogustavo","@petrogustavo")</f>
        <v>@petrogustavo</v>
      </c>
      <c r="C10399" s="5" t="s">
        <v>16</v>
      </c>
      <c r="D10399" s="5" t="s">
        <v>10009</v>
      </c>
      <c r="E10399" s="6" t="str">
        <f>HYPERLINK("https://twitter.com/petrogustavo/status/1309264466408804352","1309264466408804352")</f>
        <v>1309264466408804352</v>
      </c>
      <c r="F10399" s="7" t="s">
        <v>17</v>
      </c>
      <c r="G10399" s="7">
        <v>3982290</v>
      </c>
      <c r="H10399" s="7">
        <v>2441</v>
      </c>
      <c r="I10399" s="7">
        <v>1050</v>
      </c>
      <c r="J10399" s="7">
        <v>3423</v>
      </c>
      <c r="K10399" s="7" t="s">
        <v>18</v>
      </c>
      <c r="L10399" s="8">
        <v>39987.315405092595</v>
      </c>
      <c r="M10399" s="9" t="s">
        <v>19</v>
      </c>
      <c r="N10399" s="9" t="s">
        <v>20</v>
      </c>
      <c r="O10399" s="6" t="str">
        <f>HYPERLINK("https://pbs.twimg.com/profile_images/962471262747529216/Uo8lOkRJ_normal.jpg","View")</f>
        <v>View</v>
      </c>
      <c r="P10399" s="7"/>
    </row>
    <row r="10400" spans="1:16">
      <c r="A10400" s="3">
        <v>44099.194131944445</v>
      </c>
      <c r="B10400" s="4" t="str">
        <f>HYPERLINK("https://twitter.com/petrogustavo","@petrogustavo")</f>
        <v>@petrogustavo</v>
      </c>
      <c r="C10400" s="5" t="s">
        <v>16</v>
      </c>
      <c r="D10400" s="5" t="s">
        <v>10010</v>
      </c>
      <c r="E10400" s="6" t="str">
        <f>HYPERLINK("https://twitter.com/petrogustavo/status/1309268764136026112","1309268764136026112")</f>
        <v>1309268764136026112</v>
      </c>
      <c r="F10400" s="7" t="s">
        <v>17</v>
      </c>
      <c r="G10400" s="7">
        <v>3982290</v>
      </c>
      <c r="H10400" s="7">
        <v>2441</v>
      </c>
      <c r="I10400" s="7">
        <v>1050</v>
      </c>
      <c r="J10400" s="7">
        <v>0</v>
      </c>
      <c r="K10400" s="7" t="s">
        <v>18</v>
      </c>
      <c r="L10400" s="8">
        <v>39987.315405092595</v>
      </c>
      <c r="M10400" s="9" t="s">
        <v>19</v>
      </c>
      <c r="N10400" s="9" t="s">
        <v>20</v>
      </c>
      <c r="O10400" s="6" t="str">
        <f>HYPERLINK("https://pbs.twimg.com/profile_images/962471262747529216/Uo8lOkRJ_normal.jpg","View")</f>
        <v>View</v>
      </c>
      <c r="P10400" s="7"/>
    </row>
    <row r="10401" spans="1:16">
      <c r="A10401" s="3">
        <v>44099.259571759263</v>
      </c>
      <c r="B10401" s="4" t="str">
        <f>HYPERLINK("https://twitter.com/petrogustavo","@petrogustavo")</f>
        <v>@petrogustavo</v>
      </c>
      <c r="C10401" s="5" t="s">
        <v>16</v>
      </c>
      <c r="D10401" s="5" t="s">
        <v>10011</v>
      </c>
      <c r="E10401" s="6" t="str">
        <f>HYPERLINK("https://twitter.com/petrogustavo/status/1309292479594795008","1309292479594795008")</f>
        <v>1309292479594795008</v>
      </c>
      <c r="F10401" s="7" t="s">
        <v>17</v>
      </c>
      <c r="G10401" s="7">
        <v>3982290</v>
      </c>
      <c r="H10401" s="7">
        <v>2441</v>
      </c>
      <c r="I10401" s="7">
        <v>5531</v>
      </c>
      <c r="J10401" s="7">
        <v>0</v>
      </c>
      <c r="K10401" s="7" t="s">
        <v>18</v>
      </c>
      <c r="L10401" s="8">
        <v>39987.315405092595</v>
      </c>
      <c r="M10401" s="9" t="s">
        <v>19</v>
      </c>
      <c r="N10401" s="9" t="s">
        <v>20</v>
      </c>
      <c r="O10401" s="6" t="str">
        <f>HYPERLINK("https://pbs.twimg.com/profile_images/962471262747529216/Uo8lOkRJ_normal.jpg","View")</f>
        <v>View</v>
      </c>
      <c r="P10401" s="7"/>
    </row>
    <row r="10402" spans="1:16">
      <c r="A10402" s="3">
        <v>44099.698287037041</v>
      </c>
      <c r="B10402" s="4" t="str">
        <f>HYPERLINK("https://twitter.com/petrogustavo","@petrogustavo")</f>
        <v>@petrogustavo</v>
      </c>
      <c r="C10402" s="5" t="s">
        <v>16</v>
      </c>
      <c r="D10402" s="5" t="s">
        <v>10012</v>
      </c>
      <c r="E10402" s="6" t="str">
        <f>HYPERLINK("https://twitter.com/petrogustavo/status/1309451465300336640","1309451465300336640")</f>
        <v>1309451465300336640</v>
      </c>
      <c r="F10402" s="7" t="s">
        <v>17</v>
      </c>
      <c r="G10402" s="7">
        <v>3982290</v>
      </c>
      <c r="H10402" s="7">
        <v>2441</v>
      </c>
      <c r="I10402" s="7">
        <v>635</v>
      </c>
      <c r="J10402" s="7">
        <v>1356</v>
      </c>
      <c r="K10402" s="7" t="s">
        <v>18</v>
      </c>
      <c r="L10402" s="8">
        <v>39987.315405092595</v>
      </c>
      <c r="M10402" s="9" t="s">
        <v>19</v>
      </c>
      <c r="N10402" s="9" t="s">
        <v>20</v>
      </c>
      <c r="O10402" s="6" t="str">
        <f>HYPERLINK("https://pbs.twimg.com/profile_images/962471262747529216/Uo8lOkRJ_normal.jpg","View")</f>
        <v>View</v>
      </c>
      <c r="P10402" s="7"/>
    </row>
    <row r="10403" spans="1:16">
      <c r="A10403" s="3">
        <v>44099.700196759259</v>
      </c>
      <c r="B10403" s="4" t="str">
        <f>HYPERLINK("https://twitter.com/petrogustavo","@petrogustavo")</f>
        <v>@petrogustavo</v>
      </c>
      <c r="C10403" s="5" t="s">
        <v>16</v>
      </c>
      <c r="D10403" s="5" t="s">
        <v>10013</v>
      </c>
      <c r="E10403" s="6" t="str">
        <f>HYPERLINK("https://twitter.com/petrogustavo/status/1309452158568411136","1309452158568411136")</f>
        <v>1309452158568411136</v>
      </c>
      <c r="F10403" s="7" t="s">
        <v>17</v>
      </c>
      <c r="G10403" s="7">
        <v>3982290</v>
      </c>
      <c r="H10403" s="7">
        <v>2441</v>
      </c>
      <c r="I10403" s="7">
        <v>2081</v>
      </c>
      <c r="J10403" s="7">
        <v>4914</v>
      </c>
      <c r="K10403" s="7" t="s">
        <v>18</v>
      </c>
      <c r="L10403" s="8">
        <v>39987.315405092595</v>
      </c>
      <c r="M10403" s="9" t="s">
        <v>19</v>
      </c>
      <c r="N10403" s="9" t="s">
        <v>20</v>
      </c>
      <c r="O10403" s="6" t="str">
        <f>HYPERLINK("https://pbs.twimg.com/profile_images/962471262747529216/Uo8lOkRJ_normal.jpg","View")</f>
        <v>View</v>
      </c>
      <c r="P10403" s="7"/>
    </row>
    <row r="10404" spans="1:16">
      <c r="A10404" s="3">
        <v>44099.700879629629</v>
      </c>
      <c r="B10404" s="4" t="str">
        <f>HYPERLINK("https://twitter.com/petrogustavo","@petrogustavo")</f>
        <v>@petrogustavo</v>
      </c>
      <c r="C10404" s="5" t="s">
        <v>16</v>
      </c>
      <c r="D10404" s="5" t="s">
        <v>10014</v>
      </c>
      <c r="E10404" s="6" t="str">
        <f>HYPERLINK("https://twitter.com/petrogustavo/status/1309452403637465089","1309452403637465089")</f>
        <v>1309452403637465089</v>
      </c>
      <c r="F10404" s="7" t="s">
        <v>17</v>
      </c>
      <c r="G10404" s="7">
        <v>3982290</v>
      </c>
      <c r="H10404" s="7">
        <v>2441</v>
      </c>
      <c r="I10404" s="7">
        <v>1406</v>
      </c>
      <c r="J10404" s="7">
        <v>0</v>
      </c>
      <c r="K10404" s="7" t="s">
        <v>18</v>
      </c>
      <c r="L10404" s="8">
        <v>39987.315405092595</v>
      </c>
      <c r="M10404" s="9" t="s">
        <v>19</v>
      </c>
      <c r="N10404" s="9" t="s">
        <v>20</v>
      </c>
      <c r="O10404" s="6" t="str">
        <f>HYPERLINK("https://pbs.twimg.com/profile_images/962471262747529216/Uo8lOkRJ_normal.jpg","View")</f>
        <v>View</v>
      </c>
      <c r="P10404" s="7"/>
    </row>
    <row r="10405" spans="1:16">
      <c r="A10405" s="3">
        <v>44099.702604166669</v>
      </c>
      <c r="B10405" s="4" t="str">
        <f>HYPERLINK("https://twitter.com/petrogustavo","@petrogustavo")</f>
        <v>@petrogustavo</v>
      </c>
      <c r="C10405" s="5" t="s">
        <v>16</v>
      </c>
      <c r="D10405" s="5" t="s">
        <v>10015</v>
      </c>
      <c r="E10405" s="6" t="str">
        <f>HYPERLINK("https://twitter.com/petrogustavo/status/1309453029960278018","1309453029960278018")</f>
        <v>1309453029960278018</v>
      </c>
      <c r="F10405" s="7" t="s">
        <v>17</v>
      </c>
      <c r="G10405" s="7">
        <v>3982290</v>
      </c>
      <c r="H10405" s="7">
        <v>2441</v>
      </c>
      <c r="I10405" s="7">
        <v>310</v>
      </c>
      <c r="J10405" s="7">
        <v>757</v>
      </c>
      <c r="K10405" s="7" t="s">
        <v>18</v>
      </c>
      <c r="L10405" s="8">
        <v>39987.315405092595</v>
      </c>
      <c r="M10405" s="9" t="s">
        <v>19</v>
      </c>
      <c r="N10405" s="9" t="s">
        <v>20</v>
      </c>
      <c r="O10405" s="6" t="str">
        <f>HYPERLINK("https://pbs.twimg.com/profile_images/962471262747529216/Uo8lOkRJ_normal.jpg","View")</f>
        <v>View</v>
      </c>
      <c r="P10405" s="7"/>
    </row>
    <row r="10406" spans="1:16">
      <c r="A10406" s="3">
        <v>44099.705937499995</v>
      </c>
      <c r="B10406" s="4" t="str">
        <f>HYPERLINK("https://twitter.com/petrogustavo","@petrogustavo")</f>
        <v>@petrogustavo</v>
      </c>
      <c r="C10406" s="5" t="s">
        <v>16</v>
      </c>
      <c r="D10406" s="5" t="s">
        <v>10016</v>
      </c>
      <c r="E10406" s="6" t="str">
        <f>HYPERLINK("https://twitter.com/petrogustavo/status/1309454239937290241","1309454239937290241")</f>
        <v>1309454239937290241</v>
      </c>
      <c r="F10406" s="7" t="s">
        <v>17</v>
      </c>
      <c r="G10406" s="7">
        <v>3982290</v>
      </c>
      <c r="H10406" s="7">
        <v>2441</v>
      </c>
      <c r="I10406" s="7">
        <v>282</v>
      </c>
      <c r="J10406" s="7">
        <v>566</v>
      </c>
      <c r="K10406" s="7" t="s">
        <v>18</v>
      </c>
      <c r="L10406" s="8">
        <v>39987.315405092595</v>
      </c>
      <c r="M10406" s="9" t="s">
        <v>19</v>
      </c>
      <c r="N10406" s="9" t="s">
        <v>20</v>
      </c>
      <c r="O10406" s="6" t="str">
        <f>HYPERLINK("https://pbs.twimg.com/profile_images/962471262747529216/Uo8lOkRJ_normal.jpg","View")</f>
        <v>View</v>
      </c>
      <c r="P10406" s="7"/>
    </row>
    <row r="10407" spans="1:16">
      <c r="A10407" s="3">
        <v>44099.707905092597</v>
      </c>
      <c r="B10407" s="4" t="str">
        <f>HYPERLINK("https://twitter.com/petrogustavo","@petrogustavo")</f>
        <v>@petrogustavo</v>
      </c>
      <c r="C10407" s="5" t="s">
        <v>16</v>
      </c>
      <c r="D10407" s="5" t="s">
        <v>10017</v>
      </c>
      <c r="E10407" s="6" t="str">
        <f>HYPERLINK("https://twitter.com/petrogustavo/status/1309454949227597824","1309454949227597824")</f>
        <v>1309454949227597824</v>
      </c>
      <c r="F10407" s="7" t="s">
        <v>17</v>
      </c>
      <c r="G10407" s="7">
        <v>3982290</v>
      </c>
      <c r="H10407" s="7">
        <v>2441</v>
      </c>
      <c r="I10407" s="7">
        <v>3311</v>
      </c>
      <c r="J10407" s="7">
        <v>12327</v>
      </c>
      <c r="K10407" s="7" t="s">
        <v>18</v>
      </c>
      <c r="L10407" s="8">
        <v>39987.315405092595</v>
      </c>
      <c r="M10407" s="9" t="s">
        <v>19</v>
      </c>
      <c r="N10407" s="9" t="s">
        <v>20</v>
      </c>
      <c r="O10407" s="6" t="str">
        <f>HYPERLINK("https://pbs.twimg.com/profile_images/962471262747529216/Uo8lOkRJ_normal.jpg","View")</f>
        <v>View</v>
      </c>
      <c r="P10407" s="7"/>
    </row>
    <row r="10408" spans="1:16">
      <c r="A10408" s="3">
        <v>44099.71429398148</v>
      </c>
      <c r="B10408" s="4" t="str">
        <f>HYPERLINK("https://twitter.com/petrogustavo","@petrogustavo")</f>
        <v>@petrogustavo</v>
      </c>
      <c r="C10408" s="5" t="s">
        <v>16</v>
      </c>
      <c r="D10408" s="5" t="s">
        <v>10018</v>
      </c>
      <c r="E10408" s="6" t="str">
        <f>HYPERLINK("https://twitter.com/petrogustavo/status/1309457264659566592","1309457264659566592")</f>
        <v>1309457264659566592</v>
      </c>
      <c r="F10408" s="7" t="s">
        <v>17</v>
      </c>
      <c r="G10408" s="7">
        <v>3982290</v>
      </c>
      <c r="H10408" s="7">
        <v>2441</v>
      </c>
      <c r="I10408" s="7">
        <v>233</v>
      </c>
      <c r="J10408" s="7">
        <v>0</v>
      </c>
      <c r="K10408" s="7" t="s">
        <v>18</v>
      </c>
      <c r="L10408" s="8">
        <v>39987.315405092595</v>
      </c>
      <c r="M10408" s="9" t="s">
        <v>19</v>
      </c>
      <c r="N10408" s="9" t="s">
        <v>20</v>
      </c>
      <c r="O10408" s="6" t="str">
        <f>HYPERLINK("https://pbs.twimg.com/profile_images/962471262747529216/Uo8lOkRJ_normal.jpg","View")</f>
        <v>View</v>
      </c>
      <c r="P10408" s="7"/>
    </row>
    <row r="10409" spans="1:16">
      <c r="A10409" s="3">
        <v>44099.717905092592</v>
      </c>
      <c r="B10409" s="4" t="str">
        <f>HYPERLINK("https://twitter.com/petrogustavo","@petrogustavo")</f>
        <v>@petrogustavo</v>
      </c>
      <c r="C10409" s="5" t="s">
        <v>16</v>
      </c>
      <c r="D10409" s="5" t="s">
        <v>10019</v>
      </c>
      <c r="E10409" s="6" t="str">
        <f>HYPERLINK("https://twitter.com/petrogustavo/status/1309458572955324419","1309458572955324419")</f>
        <v>1309458572955324419</v>
      </c>
      <c r="F10409" s="7" t="s">
        <v>17</v>
      </c>
      <c r="G10409" s="7">
        <v>3982290</v>
      </c>
      <c r="H10409" s="7">
        <v>2441</v>
      </c>
      <c r="I10409" s="7">
        <v>732</v>
      </c>
      <c r="J10409" s="7">
        <v>2242</v>
      </c>
      <c r="K10409" s="7" t="s">
        <v>18</v>
      </c>
      <c r="L10409" s="8">
        <v>39987.315405092595</v>
      </c>
      <c r="M10409" s="9" t="s">
        <v>19</v>
      </c>
      <c r="N10409" s="9" t="s">
        <v>20</v>
      </c>
      <c r="O10409" s="6" t="str">
        <f>HYPERLINK("https://pbs.twimg.com/profile_images/962471262747529216/Uo8lOkRJ_normal.jpg","View")</f>
        <v>View</v>
      </c>
      <c r="P10409" s="7"/>
    </row>
    <row r="10410" spans="1:16">
      <c r="A10410" s="3">
        <v>44099.721319444448</v>
      </c>
      <c r="B10410" s="4" t="str">
        <f>HYPERLINK("https://twitter.com/petrogustavo","@petrogustavo")</f>
        <v>@petrogustavo</v>
      </c>
      <c r="C10410" s="5" t="s">
        <v>16</v>
      </c>
      <c r="D10410" s="5" t="s">
        <v>10020</v>
      </c>
      <c r="E10410" s="6" t="str">
        <f>HYPERLINK("https://twitter.com/petrogustavo/status/1309459810753052674","1309459810753052674")</f>
        <v>1309459810753052674</v>
      </c>
      <c r="F10410" s="7" t="s">
        <v>17</v>
      </c>
      <c r="G10410" s="7">
        <v>3982290</v>
      </c>
      <c r="H10410" s="7">
        <v>2441</v>
      </c>
      <c r="I10410" s="7">
        <v>553</v>
      </c>
      <c r="J10410" s="7">
        <v>0</v>
      </c>
      <c r="K10410" s="7" t="s">
        <v>18</v>
      </c>
      <c r="L10410" s="8">
        <v>39987.315405092595</v>
      </c>
      <c r="M10410" s="9" t="s">
        <v>19</v>
      </c>
      <c r="N10410" s="9" t="s">
        <v>20</v>
      </c>
      <c r="O10410" s="6" t="str">
        <f>HYPERLINK("https://pbs.twimg.com/profile_images/962471262747529216/Uo8lOkRJ_normal.jpg","View")</f>
        <v>View</v>
      </c>
      <c r="P10410" s="7"/>
    </row>
    <row r="10411" spans="1:16">
      <c r="A10411" s="3">
        <v>44099.727789351848</v>
      </c>
      <c r="B10411" s="4" t="str">
        <f>HYPERLINK("https://twitter.com/petrogustavo","@petrogustavo")</f>
        <v>@petrogustavo</v>
      </c>
      <c r="C10411" s="5" t="s">
        <v>16</v>
      </c>
      <c r="D10411" s="5" t="s">
        <v>10021</v>
      </c>
      <c r="E10411" s="6" t="str">
        <f>HYPERLINK("https://twitter.com/petrogustavo/status/1309462155952091138","1309462155952091138")</f>
        <v>1309462155952091138</v>
      </c>
      <c r="F10411" s="7" t="s">
        <v>17</v>
      </c>
      <c r="G10411" s="7">
        <v>3982290</v>
      </c>
      <c r="H10411" s="7">
        <v>2441</v>
      </c>
      <c r="I10411" s="7">
        <v>645</v>
      </c>
      <c r="J10411" s="7">
        <v>1183</v>
      </c>
      <c r="K10411" s="7" t="s">
        <v>18</v>
      </c>
      <c r="L10411" s="8">
        <v>39987.315405092595</v>
      </c>
      <c r="M10411" s="9" t="s">
        <v>19</v>
      </c>
      <c r="N10411" s="9" t="s">
        <v>20</v>
      </c>
      <c r="O10411" s="6" t="str">
        <f>HYPERLINK("https://pbs.twimg.com/profile_images/962471262747529216/Uo8lOkRJ_normal.jpg","View")</f>
        <v>View</v>
      </c>
      <c r="P10411" s="7"/>
    </row>
    <row r="10412" spans="1:16">
      <c r="A10412" s="3">
        <v>44099.734027777777</v>
      </c>
      <c r="B10412" s="4" t="str">
        <f>HYPERLINK("https://twitter.com/petrogustavo","@petrogustavo")</f>
        <v>@petrogustavo</v>
      </c>
      <c r="C10412" s="5" t="s">
        <v>16</v>
      </c>
      <c r="D10412" s="5" t="s">
        <v>10022</v>
      </c>
      <c r="E10412" s="6" t="str">
        <f>HYPERLINK("https://twitter.com/petrogustavo/status/1309464416547745800","1309464416547745800")</f>
        <v>1309464416547745800</v>
      </c>
      <c r="F10412" s="7" t="s">
        <v>17</v>
      </c>
      <c r="G10412" s="7">
        <v>3982290</v>
      </c>
      <c r="H10412" s="7">
        <v>2441</v>
      </c>
      <c r="I10412" s="7">
        <v>915</v>
      </c>
      <c r="J10412" s="7">
        <v>0</v>
      </c>
      <c r="K10412" s="7" t="s">
        <v>18</v>
      </c>
      <c r="L10412" s="8">
        <v>39987.315405092595</v>
      </c>
      <c r="M10412" s="9" t="s">
        <v>19</v>
      </c>
      <c r="N10412" s="9" t="s">
        <v>20</v>
      </c>
      <c r="O10412" s="6" t="str">
        <f>HYPERLINK("https://pbs.twimg.com/profile_images/962471262747529216/Uo8lOkRJ_normal.jpg","View")</f>
        <v>View</v>
      </c>
      <c r="P10412" s="7"/>
    </row>
    <row r="10413" spans="1:16">
      <c r="A10413" s="3">
        <v>44099.735277777778</v>
      </c>
      <c r="B10413" s="4" t="str">
        <f>HYPERLINK("https://twitter.com/petrogustavo","@petrogustavo")</f>
        <v>@petrogustavo</v>
      </c>
      <c r="C10413" s="5" t="s">
        <v>16</v>
      </c>
      <c r="D10413" s="5" t="s">
        <v>10023</v>
      </c>
      <c r="E10413" s="6" t="str">
        <f>HYPERLINK("https://twitter.com/petrogustavo/status/1309464870354653184","1309464870354653184")</f>
        <v>1309464870354653184</v>
      </c>
      <c r="F10413" s="7" t="s">
        <v>17</v>
      </c>
      <c r="G10413" s="7">
        <v>3982290</v>
      </c>
      <c r="H10413" s="7">
        <v>2441</v>
      </c>
      <c r="I10413" s="7">
        <v>415</v>
      </c>
      <c r="J10413" s="7">
        <v>0</v>
      </c>
      <c r="K10413" s="7" t="s">
        <v>18</v>
      </c>
      <c r="L10413" s="8">
        <v>39987.315405092595</v>
      </c>
      <c r="M10413" s="9" t="s">
        <v>19</v>
      </c>
      <c r="N10413" s="9" t="s">
        <v>20</v>
      </c>
      <c r="O10413" s="6" t="str">
        <f>HYPERLINK("https://pbs.twimg.com/profile_images/962471262747529216/Uo8lOkRJ_normal.jpg","View")</f>
        <v>View</v>
      </c>
      <c r="P10413" s="7"/>
    </row>
    <row r="10414" spans="1:16">
      <c r="A10414" s="3">
        <v>44099.735949074078</v>
      </c>
      <c r="B10414" s="4" t="str">
        <f>HYPERLINK("https://twitter.com/petrogustavo","@petrogustavo")</f>
        <v>@petrogustavo</v>
      </c>
      <c r="C10414" s="5" t="s">
        <v>16</v>
      </c>
      <c r="D10414" s="5" t="s">
        <v>10024</v>
      </c>
      <c r="E10414" s="6" t="str">
        <f>HYPERLINK("https://twitter.com/petrogustavo/status/1309465114660216841","1309465114660216841")</f>
        <v>1309465114660216841</v>
      </c>
      <c r="F10414" s="7" t="s">
        <v>17</v>
      </c>
      <c r="G10414" s="7">
        <v>3982290</v>
      </c>
      <c r="H10414" s="7">
        <v>2441</v>
      </c>
      <c r="I10414" s="7">
        <v>581</v>
      </c>
      <c r="J10414" s="7">
        <v>1159</v>
      </c>
      <c r="K10414" s="7" t="s">
        <v>18</v>
      </c>
      <c r="L10414" s="8">
        <v>39987.315405092595</v>
      </c>
      <c r="M10414" s="9" t="s">
        <v>19</v>
      </c>
      <c r="N10414" s="9" t="s">
        <v>20</v>
      </c>
      <c r="O10414" s="6" t="str">
        <f>HYPERLINK("https://pbs.twimg.com/profile_images/962471262747529216/Uo8lOkRJ_normal.jpg","View")</f>
        <v>View</v>
      </c>
      <c r="P10414" s="7"/>
    </row>
    <row r="10415" spans="1:16">
      <c r="A10415" s="3">
        <v>44099.738703703704</v>
      </c>
      <c r="B10415" s="4" t="str">
        <f>HYPERLINK("https://twitter.com/petrogustavo","@petrogustavo")</f>
        <v>@petrogustavo</v>
      </c>
      <c r="C10415" s="5" t="s">
        <v>16</v>
      </c>
      <c r="D10415" s="5" t="s">
        <v>10025</v>
      </c>
      <c r="E10415" s="6" t="str">
        <f>HYPERLINK("https://twitter.com/petrogustavo/status/1309466110656425984","1309466110656425984")</f>
        <v>1309466110656425984</v>
      </c>
      <c r="F10415" s="7" t="s">
        <v>17</v>
      </c>
      <c r="G10415" s="7">
        <v>3982290</v>
      </c>
      <c r="H10415" s="7">
        <v>2441</v>
      </c>
      <c r="I10415" s="7">
        <v>3311</v>
      </c>
      <c r="J10415" s="7">
        <v>0</v>
      </c>
      <c r="K10415" s="7" t="s">
        <v>18</v>
      </c>
      <c r="L10415" s="8">
        <v>39987.315405092595</v>
      </c>
      <c r="M10415" s="9" t="s">
        <v>19</v>
      </c>
      <c r="N10415" s="9" t="s">
        <v>20</v>
      </c>
      <c r="O10415" s="6" t="str">
        <f>HYPERLINK("https://pbs.twimg.com/profile_images/962471262747529216/Uo8lOkRJ_normal.jpg","View")</f>
        <v>View</v>
      </c>
      <c r="P10415" s="7"/>
    </row>
    <row r="10416" spans="1:16">
      <c r="A10416" s="3">
        <v>44099.791226851856</v>
      </c>
      <c r="B10416" s="4" t="str">
        <f>HYPERLINK("https://twitter.com/petrogustavo","@petrogustavo")</f>
        <v>@petrogustavo</v>
      </c>
      <c r="C10416" s="5" t="s">
        <v>16</v>
      </c>
      <c r="D10416" s="5" t="s">
        <v>10026</v>
      </c>
      <c r="E10416" s="6" t="str">
        <f>HYPERLINK("https://twitter.com/petrogustavo/status/1309485146601656320","1309485146601656320")</f>
        <v>1309485146601656320</v>
      </c>
      <c r="F10416" s="7" t="s">
        <v>32</v>
      </c>
      <c r="G10416" s="7">
        <v>3982290</v>
      </c>
      <c r="H10416" s="7">
        <v>2441</v>
      </c>
      <c r="I10416" s="7">
        <v>916</v>
      </c>
      <c r="J10416" s="7">
        <v>0</v>
      </c>
      <c r="K10416" s="7" t="s">
        <v>18</v>
      </c>
      <c r="L10416" s="8">
        <v>39987.315405092595</v>
      </c>
      <c r="M10416" s="9" t="s">
        <v>19</v>
      </c>
      <c r="N10416" s="9" t="s">
        <v>20</v>
      </c>
      <c r="O10416" s="6" t="str">
        <f>HYPERLINK("https://pbs.twimg.com/profile_images/962471262747529216/Uo8lOkRJ_normal.jpg","View")</f>
        <v>View</v>
      </c>
      <c r="P10416" s="7"/>
    </row>
    <row r="10417" spans="1:16">
      <c r="A10417" s="3">
        <v>44099.96806712963</v>
      </c>
      <c r="B10417" s="4" t="str">
        <f>HYPERLINK("https://twitter.com/petrogustavo","@petrogustavo")</f>
        <v>@petrogustavo</v>
      </c>
      <c r="C10417" s="5" t="s">
        <v>16</v>
      </c>
      <c r="D10417" s="5" t="s">
        <v>10027</v>
      </c>
      <c r="E10417" s="6" t="str">
        <f>HYPERLINK("https://twitter.com/petrogustavo/status/1309549229053022208","1309549229053022208")</f>
        <v>1309549229053022208</v>
      </c>
      <c r="F10417" s="7" t="s">
        <v>17</v>
      </c>
      <c r="G10417" s="7">
        <v>3982290</v>
      </c>
      <c r="H10417" s="7">
        <v>2441</v>
      </c>
      <c r="I10417" s="7">
        <v>2523</v>
      </c>
      <c r="J10417" s="7">
        <v>8639</v>
      </c>
      <c r="K10417" s="7" t="s">
        <v>18</v>
      </c>
      <c r="L10417" s="8">
        <v>39987.315405092595</v>
      </c>
      <c r="M10417" s="9" t="s">
        <v>19</v>
      </c>
      <c r="N10417" s="9" t="s">
        <v>20</v>
      </c>
      <c r="O10417" s="6" t="str">
        <f>HYPERLINK("https://pbs.twimg.com/profile_images/962471262747529216/Uo8lOkRJ_normal.jpg","View")</f>
        <v>View</v>
      </c>
      <c r="P10417" s="7"/>
    </row>
    <row r="10418" spans="1:16">
      <c r="A10418" s="3">
        <v>44100.044085648144</v>
      </c>
      <c r="B10418" s="4" t="str">
        <f>HYPERLINK("https://twitter.com/petrogustavo","@petrogustavo")</f>
        <v>@petrogustavo</v>
      </c>
      <c r="C10418" s="5" t="s">
        <v>16</v>
      </c>
      <c r="D10418" s="5" t="s">
        <v>10028</v>
      </c>
      <c r="E10418" s="6" t="str">
        <f>HYPERLINK("https://twitter.com/petrogustavo/status/1309576780408385536","1309576780408385536")</f>
        <v>1309576780408385536</v>
      </c>
      <c r="F10418" s="7" t="s">
        <v>17</v>
      </c>
      <c r="G10418" s="7">
        <v>3982290</v>
      </c>
      <c r="H10418" s="7">
        <v>2441</v>
      </c>
      <c r="I10418" s="7">
        <v>352</v>
      </c>
      <c r="J10418" s="7">
        <v>1413</v>
      </c>
      <c r="K10418" s="7" t="s">
        <v>18</v>
      </c>
      <c r="L10418" s="8">
        <v>39987.315405092595</v>
      </c>
      <c r="M10418" s="9" t="s">
        <v>19</v>
      </c>
      <c r="N10418" s="9" t="s">
        <v>20</v>
      </c>
      <c r="O10418" s="6" t="str">
        <f>HYPERLINK("https://pbs.twimg.com/profile_images/962471262747529216/Uo8lOkRJ_normal.jpg","View")</f>
        <v>View</v>
      </c>
      <c r="P10418" s="7"/>
    </row>
    <row r="10419" spans="1:16">
      <c r="A10419" s="3">
        <v>44100.127615740741</v>
      </c>
      <c r="B10419" s="4" t="str">
        <f>HYPERLINK("https://twitter.com/petrogustavo","@petrogustavo")</f>
        <v>@petrogustavo</v>
      </c>
      <c r="C10419" s="5" t="s">
        <v>16</v>
      </c>
      <c r="D10419" s="5" t="s">
        <v>10029</v>
      </c>
      <c r="E10419" s="6" t="str">
        <f>HYPERLINK("https://twitter.com/petrogustavo/status/1309607050557652998","1309607050557652998")</f>
        <v>1309607050557652998</v>
      </c>
      <c r="F10419" s="7" t="s">
        <v>32</v>
      </c>
      <c r="G10419" s="7">
        <v>3982290</v>
      </c>
      <c r="H10419" s="7">
        <v>2441</v>
      </c>
      <c r="I10419" s="7">
        <v>437</v>
      </c>
      <c r="J10419" s="7">
        <v>0</v>
      </c>
      <c r="K10419" s="7" t="s">
        <v>18</v>
      </c>
      <c r="L10419" s="8">
        <v>39987.315405092595</v>
      </c>
      <c r="M10419" s="9" t="s">
        <v>19</v>
      </c>
      <c r="N10419" s="9" t="s">
        <v>20</v>
      </c>
      <c r="O10419" s="6" t="str">
        <f>HYPERLINK("https://pbs.twimg.com/profile_images/962471262747529216/Uo8lOkRJ_normal.jpg","View")</f>
        <v>View</v>
      </c>
      <c r="P10419" s="7"/>
    </row>
    <row r="10420" spans="1:16">
      <c r="A10420" s="3">
        <v>44100.127835648149</v>
      </c>
      <c r="B10420" s="4" t="str">
        <f>HYPERLINK("https://twitter.com/petrogustavo","@petrogustavo")</f>
        <v>@petrogustavo</v>
      </c>
      <c r="C10420" s="5" t="s">
        <v>16</v>
      </c>
      <c r="D10420" s="5" t="s">
        <v>10030</v>
      </c>
      <c r="E10420" s="6" t="str">
        <f>HYPERLINK("https://twitter.com/petrogustavo/status/1309607127938457600","1309607127938457600")</f>
        <v>1309607127938457600</v>
      </c>
      <c r="F10420" s="7" t="s">
        <v>32</v>
      </c>
      <c r="G10420" s="7">
        <v>3982290</v>
      </c>
      <c r="H10420" s="7">
        <v>2441</v>
      </c>
      <c r="I10420" s="7">
        <v>858</v>
      </c>
      <c r="J10420" s="7">
        <v>0</v>
      </c>
      <c r="K10420" s="7" t="s">
        <v>18</v>
      </c>
      <c r="L10420" s="8">
        <v>39987.315405092595</v>
      </c>
      <c r="M10420" s="9" t="s">
        <v>19</v>
      </c>
      <c r="N10420" s="9" t="s">
        <v>20</v>
      </c>
      <c r="O10420" s="6" t="str">
        <f>HYPERLINK("https://pbs.twimg.com/profile_images/962471262747529216/Uo8lOkRJ_normal.jpg","View")</f>
        <v>View</v>
      </c>
      <c r="P10420" s="7"/>
    </row>
    <row r="10421" spans="1:16">
      <c r="A10421" s="3">
        <v>44100.128645833334</v>
      </c>
      <c r="B10421" s="4" t="str">
        <f>HYPERLINK("https://twitter.com/petrogustavo","@petrogustavo")</f>
        <v>@petrogustavo</v>
      </c>
      <c r="C10421" s="5" t="s">
        <v>16</v>
      </c>
      <c r="D10421" s="5" t="s">
        <v>10031</v>
      </c>
      <c r="E10421" s="6" t="str">
        <f>HYPERLINK("https://twitter.com/petrogustavo/status/1309607422265356288","1309607422265356288")</f>
        <v>1309607422265356288</v>
      </c>
      <c r="F10421" s="7" t="s">
        <v>32</v>
      </c>
      <c r="G10421" s="7">
        <v>3982290</v>
      </c>
      <c r="H10421" s="7">
        <v>2441</v>
      </c>
      <c r="I10421" s="7">
        <v>2865</v>
      </c>
      <c r="J10421" s="7">
        <v>8444</v>
      </c>
      <c r="K10421" s="7" t="s">
        <v>18</v>
      </c>
      <c r="L10421" s="8">
        <v>39987.315405092595</v>
      </c>
      <c r="M10421" s="9" t="s">
        <v>19</v>
      </c>
      <c r="N10421" s="9" t="s">
        <v>20</v>
      </c>
      <c r="O10421" s="6" t="str">
        <f>HYPERLINK("https://pbs.twimg.com/profile_images/962471262747529216/Uo8lOkRJ_normal.jpg","View")</f>
        <v>View</v>
      </c>
      <c r="P10421" s="7"/>
    </row>
    <row r="10422" spans="1:16">
      <c r="A10422" s="3">
        <v>44100.280474537038</v>
      </c>
      <c r="B10422" s="4" t="str">
        <f>HYPERLINK("https://twitter.com/petrogustavo","@petrogustavo")</f>
        <v>@petrogustavo</v>
      </c>
      <c r="C10422" s="5" t="s">
        <v>16</v>
      </c>
      <c r="D10422" s="5" t="s">
        <v>10032</v>
      </c>
      <c r="E10422" s="6" t="str">
        <f>HYPERLINK("https://twitter.com/petrogustavo/status/1309662444885880833","1309662444885880833")</f>
        <v>1309662444885880833</v>
      </c>
      <c r="F10422" s="7" t="s">
        <v>17</v>
      </c>
      <c r="G10422" s="7">
        <v>3982290</v>
      </c>
      <c r="H10422" s="7">
        <v>2441</v>
      </c>
      <c r="I10422" s="7">
        <v>2865</v>
      </c>
      <c r="J10422" s="7">
        <v>0</v>
      </c>
      <c r="K10422" s="7" t="s">
        <v>18</v>
      </c>
      <c r="L10422" s="8">
        <v>39987.315405092595</v>
      </c>
      <c r="M10422" s="9" t="s">
        <v>19</v>
      </c>
      <c r="N10422" s="9" t="s">
        <v>20</v>
      </c>
      <c r="O10422" s="6" t="str">
        <f>HYPERLINK("https://pbs.twimg.com/profile_images/962471262747529216/Uo8lOkRJ_normal.jpg","View")</f>
        <v>View</v>
      </c>
      <c r="P10422" s="7"/>
    </row>
    <row r="10423" spans="1:16">
      <c r="A10423" s="3">
        <v>44100.282222222224</v>
      </c>
      <c r="B10423" s="4" t="str">
        <f>HYPERLINK("https://twitter.com/petrogustavo","@petrogustavo")</f>
        <v>@petrogustavo</v>
      </c>
      <c r="C10423" s="5" t="s">
        <v>16</v>
      </c>
      <c r="D10423" s="5" t="s">
        <v>10033</v>
      </c>
      <c r="E10423" s="6" t="str">
        <f>HYPERLINK("https://twitter.com/petrogustavo/status/1309663077084913666","1309663077084913666")</f>
        <v>1309663077084913666</v>
      </c>
      <c r="F10423" s="7" t="s">
        <v>17</v>
      </c>
      <c r="G10423" s="7">
        <v>3982290</v>
      </c>
      <c r="H10423" s="7">
        <v>2441</v>
      </c>
      <c r="I10423" s="7">
        <v>388</v>
      </c>
      <c r="J10423" s="7">
        <v>1614</v>
      </c>
      <c r="K10423" s="7" t="s">
        <v>18</v>
      </c>
      <c r="L10423" s="8">
        <v>39987.315405092595</v>
      </c>
      <c r="M10423" s="9" t="s">
        <v>19</v>
      </c>
      <c r="N10423" s="9" t="s">
        <v>20</v>
      </c>
      <c r="O10423" s="6" t="str">
        <f>HYPERLINK("https://pbs.twimg.com/profile_images/962471262747529216/Uo8lOkRJ_normal.jpg","View")</f>
        <v>View</v>
      </c>
      <c r="P10423" s="7"/>
    </row>
    <row r="10424" spans="1:16">
      <c r="A10424" s="3">
        <v>44100.288043981476</v>
      </c>
      <c r="B10424" s="4" t="str">
        <f>HYPERLINK("https://twitter.com/petrogustavo","@petrogustavo")</f>
        <v>@petrogustavo</v>
      </c>
      <c r="C10424" s="5" t="s">
        <v>16</v>
      </c>
      <c r="D10424" s="5" t="s">
        <v>10034</v>
      </c>
      <c r="E10424" s="6" t="str">
        <f>HYPERLINK("https://twitter.com/petrogustavo/status/1309665186874380288","1309665186874380288")</f>
        <v>1309665186874380288</v>
      </c>
      <c r="F10424" s="7" t="s">
        <v>17</v>
      </c>
      <c r="G10424" s="7">
        <v>3982290</v>
      </c>
      <c r="H10424" s="7">
        <v>2441</v>
      </c>
      <c r="I10424" s="7">
        <v>600</v>
      </c>
      <c r="J10424" s="7">
        <v>2168</v>
      </c>
      <c r="K10424" s="7" t="s">
        <v>18</v>
      </c>
      <c r="L10424" s="8">
        <v>39987.315405092595</v>
      </c>
      <c r="M10424" s="9" t="s">
        <v>19</v>
      </c>
      <c r="N10424" s="9" t="s">
        <v>20</v>
      </c>
      <c r="O10424" s="6" t="str">
        <f>HYPERLINK("https://pbs.twimg.com/profile_images/962471262747529216/Uo8lOkRJ_normal.jpg","View")</f>
        <v>View</v>
      </c>
      <c r="P10424" s="7"/>
    </row>
    <row r="10425" spans="1:16">
      <c r="A10425" s="3">
        <v>44100.299016203702</v>
      </c>
      <c r="B10425" s="4" t="str">
        <f>HYPERLINK("https://twitter.com/petrogustavo","@petrogustavo")</f>
        <v>@petrogustavo</v>
      </c>
      <c r="C10425" s="5" t="s">
        <v>16</v>
      </c>
      <c r="D10425" s="5" t="s">
        <v>10035</v>
      </c>
      <c r="E10425" s="6" t="str">
        <f>HYPERLINK("https://twitter.com/petrogustavo/status/1309669160604008449","1309669160604008449")</f>
        <v>1309669160604008449</v>
      </c>
      <c r="F10425" s="7" t="s">
        <v>17</v>
      </c>
      <c r="G10425" s="7">
        <v>3982290</v>
      </c>
      <c r="H10425" s="7">
        <v>2441</v>
      </c>
      <c r="I10425" s="7">
        <v>540</v>
      </c>
      <c r="J10425" s="7">
        <v>0</v>
      </c>
      <c r="K10425" s="7" t="s">
        <v>18</v>
      </c>
      <c r="L10425" s="8">
        <v>39987.315405092595</v>
      </c>
      <c r="M10425" s="9" t="s">
        <v>19</v>
      </c>
      <c r="N10425" s="9" t="s">
        <v>20</v>
      </c>
      <c r="O10425" s="6" t="str">
        <f>HYPERLINK("https://pbs.twimg.com/profile_images/962471262747529216/Uo8lOkRJ_normal.jpg","View")</f>
        <v>View</v>
      </c>
      <c r="P10425" s="7"/>
    </row>
    <row r="10426" spans="1:16">
      <c r="A10426" s="3">
        <v>44100.301006944443</v>
      </c>
      <c r="B10426" s="4" t="str">
        <f>HYPERLINK("https://twitter.com/petrogustavo","@petrogustavo")</f>
        <v>@petrogustavo</v>
      </c>
      <c r="C10426" s="5" t="s">
        <v>16</v>
      </c>
      <c r="D10426" s="5" t="s">
        <v>10036</v>
      </c>
      <c r="E10426" s="6" t="str">
        <f>HYPERLINK("https://twitter.com/petrogustavo/status/1309669883697942531","1309669883697942531")</f>
        <v>1309669883697942531</v>
      </c>
      <c r="F10426" s="7" t="s">
        <v>17</v>
      </c>
      <c r="G10426" s="7">
        <v>3982290</v>
      </c>
      <c r="H10426" s="7">
        <v>2441</v>
      </c>
      <c r="I10426" s="7">
        <v>30</v>
      </c>
      <c r="J10426" s="7">
        <v>91</v>
      </c>
      <c r="K10426" s="7" t="s">
        <v>18</v>
      </c>
      <c r="L10426" s="8">
        <v>39987.315405092595</v>
      </c>
      <c r="M10426" s="9" t="s">
        <v>19</v>
      </c>
      <c r="N10426" s="9" t="s">
        <v>20</v>
      </c>
      <c r="O10426" s="6" t="str">
        <f>HYPERLINK("https://pbs.twimg.com/profile_images/962471262747529216/Uo8lOkRJ_normal.jpg","View")</f>
        <v>View</v>
      </c>
      <c r="P10426" s="7"/>
    </row>
    <row r="10427" spans="1:16">
      <c r="A10427" s="3">
        <v>44100.314085648148</v>
      </c>
      <c r="B10427" s="4" t="str">
        <f>HYPERLINK("https://twitter.com/petrogustavo","@petrogustavo")</f>
        <v>@petrogustavo</v>
      </c>
      <c r="C10427" s="5" t="s">
        <v>16</v>
      </c>
      <c r="D10427" s="5" t="s">
        <v>10037</v>
      </c>
      <c r="E10427" s="6" t="str">
        <f>HYPERLINK("https://twitter.com/petrogustavo/status/1309674622552616961","1309674622552616961")</f>
        <v>1309674622552616961</v>
      </c>
      <c r="F10427" s="7" t="s">
        <v>17</v>
      </c>
      <c r="G10427" s="7">
        <v>3982437</v>
      </c>
      <c r="H10427" s="7">
        <v>2441</v>
      </c>
      <c r="I10427" s="7">
        <v>548</v>
      </c>
      <c r="J10427" s="7">
        <v>1601</v>
      </c>
      <c r="K10427" s="7" t="s">
        <v>18</v>
      </c>
      <c r="L10427" s="8">
        <v>39987.315405092595</v>
      </c>
      <c r="M10427" s="9" t="s">
        <v>19</v>
      </c>
      <c r="N10427" s="9" t="s">
        <v>20</v>
      </c>
      <c r="O10427" s="6" t="str">
        <f>HYPERLINK("https://pbs.twimg.com/profile_images/962471262747529216/Uo8lOkRJ_normal.jpg","View")</f>
        <v>View</v>
      </c>
      <c r="P10427" s="7"/>
    </row>
    <row r="10428" spans="1:16">
      <c r="A10428" s="3">
        <v>44100.32476851852</v>
      </c>
      <c r="B10428" s="4" t="str">
        <f>HYPERLINK("https://twitter.com/petrogustavo","@petrogustavo")</f>
        <v>@petrogustavo</v>
      </c>
      <c r="C10428" s="5" t="s">
        <v>16</v>
      </c>
      <c r="D10428" s="5" t="s">
        <v>10038</v>
      </c>
      <c r="E10428" s="6" t="str">
        <f>HYPERLINK("https://twitter.com/petrogustavo/status/1309678493115052033","1309678493115052033")</f>
        <v>1309678493115052033</v>
      </c>
      <c r="F10428" s="7" t="s">
        <v>17</v>
      </c>
      <c r="G10428" s="7">
        <v>3982437</v>
      </c>
      <c r="H10428" s="7">
        <v>2441</v>
      </c>
      <c r="I10428" s="7">
        <v>1382</v>
      </c>
      <c r="J10428" s="7">
        <v>0</v>
      </c>
      <c r="K10428" s="7" t="s">
        <v>18</v>
      </c>
      <c r="L10428" s="8">
        <v>39987.315405092595</v>
      </c>
      <c r="M10428" s="9" t="s">
        <v>19</v>
      </c>
      <c r="N10428" s="9" t="s">
        <v>20</v>
      </c>
      <c r="O10428" s="6" t="str">
        <f>HYPERLINK("https://pbs.twimg.com/profile_images/962471262747529216/Uo8lOkRJ_normal.jpg","View")</f>
        <v>View</v>
      </c>
      <c r="P10428" s="7"/>
    </row>
    <row r="10429" spans="1:16">
      <c r="A10429" s="3">
        <v>44100.327048611114</v>
      </c>
      <c r="B10429" s="4" t="str">
        <f>HYPERLINK("https://twitter.com/petrogustavo","@petrogustavo")</f>
        <v>@petrogustavo</v>
      </c>
      <c r="C10429" s="5" t="s">
        <v>16</v>
      </c>
      <c r="D10429" s="5" t="s">
        <v>10039</v>
      </c>
      <c r="E10429" s="6" t="str">
        <f>HYPERLINK("https://twitter.com/petrogustavo/status/1309679322849054720","1309679322849054720")</f>
        <v>1309679322849054720</v>
      </c>
      <c r="F10429" s="7" t="s">
        <v>17</v>
      </c>
      <c r="G10429" s="7">
        <v>3982437</v>
      </c>
      <c r="H10429" s="7">
        <v>2441</v>
      </c>
      <c r="I10429" s="7">
        <v>702</v>
      </c>
      <c r="J10429" s="7">
        <v>2819</v>
      </c>
      <c r="K10429" s="7" t="s">
        <v>18</v>
      </c>
      <c r="L10429" s="8">
        <v>39987.315405092595</v>
      </c>
      <c r="M10429" s="9" t="s">
        <v>19</v>
      </c>
      <c r="N10429" s="9" t="s">
        <v>20</v>
      </c>
      <c r="O10429" s="6" t="str">
        <f>HYPERLINK("https://pbs.twimg.com/profile_images/962471262747529216/Uo8lOkRJ_normal.jpg","View")</f>
        <v>View</v>
      </c>
      <c r="P10429" s="7"/>
    </row>
    <row r="10430" spans="1:16">
      <c r="A10430" s="3">
        <v>44100.328518518523</v>
      </c>
      <c r="B10430" s="4" t="str">
        <f>HYPERLINK("https://twitter.com/petrogustavo","@petrogustavo")</f>
        <v>@petrogustavo</v>
      </c>
      <c r="C10430" s="5" t="s">
        <v>16</v>
      </c>
      <c r="D10430" s="5" t="s">
        <v>10040</v>
      </c>
      <c r="E10430" s="6" t="str">
        <f>HYPERLINK("https://twitter.com/petrogustavo/status/1309679853487230977","1309679853487230977")</f>
        <v>1309679853487230977</v>
      </c>
      <c r="F10430" s="7" t="s">
        <v>17</v>
      </c>
      <c r="G10430" s="7">
        <v>3982437</v>
      </c>
      <c r="H10430" s="7">
        <v>2441</v>
      </c>
      <c r="I10430" s="7">
        <v>702</v>
      </c>
      <c r="J10430" s="7">
        <v>0</v>
      </c>
      <c r="K10430" s="7" t="s">
        <v>18</v>
      </c>
      <c r="L10430" s="8">
        <v>39987.315405092595</v>
      </c>
      <c r="M10430" s="9" t="s">
        <v>19</v>
      </c>
      <c r="N10430" s="9" t="s">
        <v>20</v>
      </c>
      <c r="O10430" s="6" t="str">
        <f>HYPERLINK("https://pbs.twimg.com/profile_images/962471262747529216/Uo8lOkRJ_normal.jpg","View")</f>
        <v>View</v>
      </c>
      <c r="P10430" s="7"/>
    </row>
    <row r="10431" spans="1:16">
      <c r="A10431" s="3">
        <v>44100.739074074074</v>
      </c>
      <c r="B10431" s="4" t="str">
        <f>HYPERLINK("https://twitter.com/petrogustavo","@petrogustavo")</f>
        <v>@petrogustavo</v>
      </c>
      <c r="C10431" s="5" t="s">
        <v>16</v>
      </c>
      <c r="D10431" s="5" t="s">
        <v>10041</v>
      </c>
      <c r="E10431" s="6" t="str">
        <f>HYPERLINK("https://twitter.com/petrogustavo/status/1309828635168313344","1309828635168313344")</f>
        <v>1309828635168313344</v>
      </c>
      <c r="F10431" s="7" t="s">
        <v>17</v>
      </c>
      <c r="G10431" s="7">
        <v>3982430</v>
      </c>
      <c r="H10431" s="7">
        <v>2441</v>
      </c>
      <c r="I10431" s="7">
        <v>56</v>
      </c>
      <c r="J10431" s="7">
        <v>108</v>
      </c>
      <c r="K10431" s="7" t="s">
        <v>18</v>
      </c>
      <c r="L10431" s="8">
        <v>39987.315405092595</v>
      </c>
      <c r="M10431" s="9" t="s">
        <v>19</v>
      </c>
      <c r="N10431" s="9" t="s">
        <v>20</v>
      </c>
      <c r="O10431" s="6" t="str">
        <f>HYPERLINK("https://pbs.twimg.com/profile_images/962471262747529216/Uo8lOkRJ_normal.jpg","View")</f>
        <v>View</v>
      </c>
      <c r="P10431" s="7"/>
    </row>
    <row r="10432" spans="1:16">
      <c r="A10432" s="3">
        <v>44100.751203703709</v>
      </c>
      <c r="B10432" s="4" t="str">
        <f>HYPERLINK("https://twitter.com/petrogustavo","@petrogustavo")</f>
        <v>@petrogustavo</v>
      </c>
      <c r="C10432" s="5" t="s">
        <v>16</v>
      </c>
      <c r="D10432" s="5" t="s">
        <v>10042</v>
      </c>
      <c r="E10432" s="6" t="str">
        <f>HYPERLINK("https://twitter.com/petrogustavo/status/1309833028148002818","1309833028148002818")</f>
        <v>1309833028148002818</v>
      </c>
      <c r="F10432" s="7" t="s">
        <v>17</v>
      </c>
      <c r="G10432" s="7">
        <v>3982441</v>
      </c>
      <c r="H10432" s="7">
        <v>2441</v>
      </c>
      <c r="I10432" s="7">
        <v>86</v>
      </c>
      <c r="J10432" s="7">
        <v>228</v>
      </c>
      <c r="K10432" s="7" t="s">
        <v>18</v>
      </c>
      <c r="L10432" s="8">
        <v>39987.315405092595</v>
      </c>
      <c r="M10432" s="9" t="s">
        <v>19</v>
      </c>
      <c r="N10432" s="9" t="s">
        <v>20</v>
      </c>
      <c r="O10432" s="6" t="str">
        <f>HYPERLINK("https://pbs.twimg.com/profile_images/962471262747529216/Uo8lOkRJ_normal.jpg","View")</f>
        <v>View</v>
      </c>
      <c r="P10432" s="7"/>
    </row>
    <row r="10433" spans="1:16">
      <c r="A10433" s="3">
        <v>44100.789907407408</v>
      </c>
      <c r="B10433" s="4" t="str">
        <f>HYPERLINK("https://twitter.com/petrogustavo","@petrogustavo")</f>
        <v>@petrogustavo</v>
      </c>
      <c r="C10433" s="5" t="s">
        <v>16</v>
      </c>
      <c r="D10433" s="5" t="s">
        <v>10043</v>
      </c>
      <c r="E10433" s="6" t="str">
        <f>HYPERLINK("https://twitter.com/petrogustavo/status/1309847057709051905","1309847057709051905")</f>
        <v>1309847057709051905</v>
      </c>
      <c r="F10433" s="7" t="s">
        <v>32</v>
      </c>
      <c r="G10433" s="7">
        <v>3982473</v>
      </c>
      <c r="H10433" s="7">
        <v>2441</v>
      </c>
      <c r="I10433" s="7">
        <v>2854</v>
      </c>
      <c r="J10433" s="7">
        <v>0</v>
      </c>
      <c r="K10433" s="7" t="s">
        <v>18</v>
      </c>
      <c r="L10433" s="8">
        <v>39987.315405092595</v>
      </c>
      <c r="M10433" s="9" t="s">
        <v>19</v>
      </c>
      <c r="N10433" s="9" t="s">
        <v>20</v>
      </c>
      <c r="O10433" s="6" t="str">
        <f>HYPERLINK("https://pbs.twimg.com/profile_images/962471262747529216/Uo8lOkRJ_normal.jpg","View")</f>
        <v>View</v>
      </c>
      <c r="P10433" s="7"/>
    </row>
    <row r="10434" spans="1:16">
      <c r="A10434" s="3">
        <v>44100.809918981482</v>
      </c>
      <c r="B10434" s="4" t="str">
        <f>HYPERLINK("https://twitter.com/petrogustavo","@petrogustavo")</f>
        <v>@petrogustavo</v>
      </c>
      <c r="C10434" s="5" t="s">
        <v>16</v>
      </c>
      <c r="D10434" s="5" t="s">
        <v>10044</v>
      </c>
      <c r="E10434" s="6" t="str">
        <f>HYPERLINK("https://twitter.com/petrogustavo/status/1309854305881653248","1309854305881653248")</f>
        <v>1309854305881653248</v>
      </c>
      <c r="F10434" s="7" t="s">
        <v>32</v>
      </c>
      <c r="G10434" s="7">
        <v>3982483</v>
      </c>
      <c r="H10434" s="7">
        <v>2441</v>
      </c>
      <c r="I10434" s="7">
        <v>332</v>
      </c>
      <c r="J10434" s="7">
        <v>1184</v>
      </c>
      <c r="K10434" s="7" t="s">
        <v>18</v>
      </c>
      <c r="L10434" s="8">
        <v>39987.315405092595</v>
      </c>
      <c r="M10434" s="9" t="s">
        <v>19</v>
      </c>
      <c r="N10434" s="9" t="s">
        <v>20</v>
      </c>
      <c r="O10434" s="6" t="str">
        <f>HYPERLINK("https://pbs.twimg.com/profile_images/962471262747529216/Uo8lOkRJ_normal.jpg","View")</f>
        <v>View</v>
      </c>
      <c r="P10434" s="7"/>
    </row>
    <row r="10435" spans="1:16">
      <c r="A10435" s="3">
        <v>44100.891215277778</v>
      </c>
      <c r="B10435" s="4" t="str">
        <f>HYPERLINK("https://twitter.com/petrogustavo","@petrogustavo")</f>
        <v>@petrogustavo</v>
      </c>
      <c r="C10435" s="5" t="s">
        <v>16</v>
      </c>
      <c r="D10435" s="5" t="s">
        <v>10045</v>
      </c>
      <c r="E10435" s="6" t="str">
        <f>HYPERLINK("https://twitter.com/petrogustavo/status/1309883768992411648","1309883768992411648")</f>
        <v>1309883768992411648</v>
      </c>
      <c r="F10435" s="7" t="s">
        <v>32</v>
      </c>
      <c r="G10435" s="7">
        <v>3982549</v>
      </c>
      <c r="H10435" s="7">
        <v>2442</v>
      </c>
      <c r="I10435" s="7">
        <v>1398</v>
      </c>
      <c r="J10435" s="7">
        <v>0</v>
      </c>
      <c r="K10435" s="7" t="s">
        <v>18</v>
      </c>
      <c r="L10435" s="8">
        <v>39987.315405092595</v>
      </c>
      <c r="M10435" s="9" t="s">
        <v>19</v>
      </c>
      <c r="N10435" s="9" t="s">
        <v>20</v>
      </c>
      <c r="O10435" s="6" t="str">
        <f>HYPERLINK("https://pbs.twimg.com/profile_images/962471262747529216/Uo8lOkRJ_normal.jpg","View")</f>
        <v>View</v>
      </c>
      <c r="P10435" s="7"/>
    </row>
    <row r="10436" spans="1:16">
      <c r="A10436" s="3">
        <v>44100.97384259259</v>
      </c>
      <c r="B10436" s="4" t="str">
        <f>HYPERLINK("https://twitter.com/petrogustavo","@petrogustavo")</f>
        <v>@petrogustavo</v>
      </c>
      <c r="C10436" s="5" t="s">
        <v>16</v>
      </c>
      <c r="D10436" s="5" t="s">
        <v>10046</v>
      </c>
      <c r="E10436" s="6" t="str">
        <f>HYPERLINK("https://twitter.com/petrogustavo/status/1309913711549779969","1309913711549779969")</f>
        <v>1309913711549779969</v>
      </c>
      <c r="F10436" s="7" t="s">
        <v>32</v>
      </c>
      <c r="G10436" s="7">
        <v>3982617</v>
      </c>
      <c r="H10436" s="7">
        <v>2442</v>
      </c>
      <c r="I10436" s="7">
        <v>169</v>
      </c>
      <c r="J10436" s="7">
        <v>630</v>
      </c>
      <c r="K10436" s="7" t="s">
        <v>18</v>
      </c>
      <c r="L10436" s="8">
        <v>39987.315405092595</v>
      </c>
      <c r="M10436" s="9" t="s">
        <v>19</v>
      </c>
      <c r="N10436" s="9" t="s">
        <v>20</v>
      </c>
      <c r="O10436" s="6" t="str">
        <f>HYPERLINK("https://pbs.twimg.com/profile_images/962471262747529216/Uo8lOkRJ_normal.jpg","View")</f>
        <v>View</v>
      </c>
      <c r="P10436" s="7"/>
    </row>
    <row r="10437" spans="1:16">
      <c r="A10437" s="3">
        <v>44100.974999999999</v>
      </c>
      <c r="B10437" s="4" t="str">
        <f>HYPERLINK("https://twitter.com/petrogustavo","@petrogustavo")</f>
        <v>@petrogustavo</v>
      </c>
      <c r="C10437" s="5" t="s">
        <v>16</v>
      </c>
      <c r="D10437" s="5" t="s">
        <v>10045</v>
      </c>
      <c r="E10437" s="6" t="str">
        <f>HYPERLINK("https://twitter.com/petrogustavo/status/1309914132687327232","1309914132687327232")</f>
        <v>1309914132687327232</v>
      </c>
      <c r="F10437" s="7" t="s">
        <v>32</v>
      </c>
      <c r="G10437" s="7">
        <v>3982617</v>
      </c>
      <c r="H10437" s="7">
        <v>2442</v>
      </c>
      <c r="I10437" s="7">
        <v>2044</v>
      </c>
      <c r="J10437" s="7">
        <v>0</v>
      </c>
      <c r="K10437" s="7" t="s">
        <v>18</v>
      </c>
      <c r="L10437" s="8">
        <v>39987.315405092595</v>
      </c>
      <c r="M10437" s="9" t="s">
        <v>19</v>
      </c>
      <c r="N10437" s="9" t="s">
        <v>20</v>
      </c>
      <c r="O10437" s="6" t="str">
        <f>HYPERLINK("https://pbs.twimg.com/profile_images/962471262747529216/Uo8lOkRJ_normal.jpg","View")</f>
        <v>View</v>
      </c>
      <c r="P10437" s="7"/>
    </row>
    <row r="10438" spans="1:16">
      <c r="A10438" s="3">
        <v>44100.977847222224</v>
      </c>
      <c r="B10438" s="4" t="str">
        <f>HYPERLINK("https://twitter.com/petrogustavo","@petrogustavo")</f>
        <v>@petrogustavo</v>
      </c>
      <c r="C10438" s="5" t="s">
        <v>16</v>
      </c>
      <c r="D10438" s="5" t="s">
        <v>10047</v>
      </c>
      <c r="E10438" s="6" t="str">
        <f>HYPERLINK("https://twitter.com/petrogustavo/status/1309915162355396608","1309915162355396608")</f>
        <v>1309915162355396608</v>
      </c>
      <c r="F10438" s="7" t="s">
        <v>32</v>
      </c>
      <c r="G10438" s="7">
        <v>3982617</v>
      </c>
      <c r="H10438" s="7">
        <v>2442</v>
      </c>
      <c r="I10438" s="7">
        <v>34</v>
      </c>
      <c r="J10438" s="7">
        <v>0</v>
      </c>
      <c r="K10438" s="7" t="s">
        <v>18</v>
      </c>
      <c r="L10438" s="8">
        <v>39987.315405092595</v>
      </c>
      <c r="M10438" s="9" t="s">
        <v>19</v>
      </c>
      <c r="N10438" s="9" t="s">
        <v>20</v>
      </c>
      <c r="O10438" s="6" t="str">
        <f>HYPERLINK("https://pbs.twimg.com/profile_images/962471262747529216/Uo8lOkRJ_normal.jpg","View")</f>
        <v>View</v>
      </c>
      <c r="P10438" s="7"/>
    </row>
    <row r="10439" spans="1:16">
      <c r="A10439" s="3">
        <v>44101.013321759259</v>
      </c>
      <c r="B10439" s="4" t="str">
        <f>HYPERLINK("https://twitter.com/petrogustavo","@petrogustavo")</f>
        <v>@petrogustavo</v>
      </c>
      <c r="C10439" s="5" t="s">
        <v>16</v>
      </c>
      <c r="D10439" s="5" t="s">
        <v>10045</v>
      </c>
      <c r="E10439" s="6" t="str">
        <f>HYPERLINK("https://twitter.com/petrogustavo/status/1309928019558100993","1309928019558100993")</f>
        <v>1309928019558100993</v>
      </c>
      <c r="F10439" s="7" t="s">
        <v>17</v>
      </c>
      <c r="G10439" s="7">
        <v>3982652</v>
      </c>
      <c r="H10439" s="7">
        <v>2442</v>
      </c>
      <c r="I10439" s="7">
        <v>2204</v>
      </c>
      <c r="J10439" s="7">
        <v>0</v>
      </c>
      <c r="K10439" s="7" t="s">
        <v>18</v>
      </c>
      <c r="L10439" s="8">
        <v>39987.315405092595</v>
      </c>
      <c r="M10439" s="9" t="s">
        <v>19</v>
      </c>
      <c r="N10439" s="9" t="s">
        <v>20</v>
      </c>
      <c r="O10439" s="6" t="str">
        <f>HYPERLINK("https://pbs.twimg.com/profile_images/962471262747529216/Uo8lOkRJ_normal.jpg","View")</f>
        <v>View</v>
      </c>
      <c r="P10439" s="7"/>
    </row>
    <row r="10440" spans="1:16">
      <c r="A10440" s="3">
        <v>44101.229490740741</v>
      </c>
      <c r="B10440" s="4" t="str">
        <f>HYPERLINK("https://twitter.com/petrogustavo","@petrogustavo")</f>
        <v>@petrogustavo</v>
      </c>
      <c r="C10440" s="5" t="s">
        <v>16</v>
      </c>
      <c r="D10440" s="5" t="s">
        <v>10045</v>
      </c>
      <c r="E10440" s="6" t="str">
        <f>HYPERLINK("https://twitter.com/petrogustavo/status/1310006355407798273","1310006355407798273")</f>
        <v>1310006355407798273</v>
      </c>
      <c r="F10440" s="7" t="s">
        <v>17</v>
      </c>
      <c r="G10440" s="7">
        <v>3982782</v>
      </c>
      <c r="H10440" s="7">
        <v>2442</v>
      </c>
      <c r="I10440" s="7">
        <v>2803</v>
      </c>
      <c r="J10440" s="7">
        <v>0</v>
      </c>
      <c r="K10440" s="7" t="s">
        <v>18</v>
      </c>
      <c r="L10440" s="8">
        <v>39987.315405092595</v>
      </c>
      <c r="M10440" s="9" t="s">
        <v>19</v>
      </c>
      <c r="N10440" s="9" t="s">
        <v>20</v>
      </c>
      <c r="O10440" s="6" t="str">
        <f>HYPERLINK("https://pbs.twimg.com/profile_images/962471262747529216/Uo8lOkRJ_normal.jpg","View")</f>
        <v>View</v>
      </c>
      <c r="P10440" s="7"/>
    </row>
    <row r="10441" spans="1:16">
      <c r="A10441" s="3">
        <v>44101.737650462965</v>
      </c>
      <c r="B10441" s="4" t="str">
        <f>HYPERLINK("https://twitter.com/petrogustavo","@petrogustavo")</f>
        <v>@petrogustavo</v>
      </c>
      <c r="C10441" s="5" t="s">
        <v>16</v>
      </c>
      <c r="D10441" s="5" t="s">
        <v>10048</v>
      </c>
      <c r="E10441" s="6" t="str">
        <f>HYPERLINK("https://twitter.com/petrogustavo/status/1310190508296359936","1310190508296359936")</f>
        <v>1310190508296359936</v>
      </c>
      <c r="F10441" s="7" t="s">
        <v>17</v>
      </c>
      <c r="G10441" s="7">
        <v>3982952</v>
      </c>
      <c r="H10441" s="7">
        <v>2440</v>
      </c>
      <c r="I10441" s="7">
        <v>118</v>
      </c>
      <c r="J10441" s="7">
        <v>302</v>
      </c>
      <c r="K10441" s="7" t="s">
        <v>18</v>
      </c>
      <c r="L10441" s="8">
        <v>39987.315405092595</v>
      </c>
      <c r="M10441" s="9" t="s">
        <v>19</v>
      </c>
      <c r="N10441" s="9" t="s">
        <v>20</v>
      </c>
      <c r="O10441" s="6" t="str">
        <f>HYPERLINK("https://pbs.twimg.com/profile_images/962471262747529216/Uo8lOkRJ_normal.jpg","View")</f>
        <v>View</v>
      </c>
      <c r="P10441" s="7"/>
    </row>
    <row r="10442" spans="1:16">
      <c r="A10442" s="3">
        <v>44101.749224537038</v>
      </c>
      <c r="B10442" s="4" t="str">
        <f>HYPERLINK("https://twitter.com/petrogustavo","@petrogustavo")</f>
        <v>@petrogustavo</v>
      </c>
      <c r="C10442" s="5" t="s">
        <v>16</v>
      </c>
      <c r="D10442" s="5" t="s">
        <v>10049</v>
      </c>
      <c r="E10442" s="6" t="str">
        <f>HYPERLINK("https://twitter.com/petrogustavo/status/1310194699748216832","1310194699748216832")</f>
        <v>1310194699748216832</v>
      </c>
      <c r="F10442" s="7" t="s">
        <v>17</v>
      </c>
      <c r="G10442" s="7">
        <v>3982952</v>
      </c>
      <c r="H10442" s="7">
        <v>2440</v>
      </c>
      <c r="I10442" s="7">
        <v>20</v>
      </c>
      <c r="J10442" s="7">
        <v>52</v>
      </c>
      <c r="K10442" s="7" t="s">
        <v>18</v>
      </c>
      <c r="L10442" s="8">
        <v>39987.315405092595</v>
      </c>
      <c r="M10442" s="9" t="s">
        <v>19</v>
      </c>
      <c r="N10442" s="9" t="s">
        <v>20</v>
      </c>
      <c r="O10442" s="6" t="str">
        <f>HYPERLINK("https://pbs.twimg.com/profile_images/962471262747529216/Uo8lOkRJ_normal.jpg","View")</f>
        <v>View</v>
      </c>
      <c r="P10442" s="7"/>
    </row>
    <row r="10443" spans="1:16">
      <c r="A10443" s="3">
        <v>44101.752662037034</v>
      </c>
      <c r="B10443" s="4" t="str">
        <f>HYPERLINK("https://twitter.com/petrogustavo","@petrogustavo")</f>
        <v>@petrogustavo</v>
      </c>
      <c r="C10443" s="5" t="s">
        <v>16</v>
      </c>
      <c r="D10443" s="5" t="s">
        <v>10050</v>
      </c>
      <c r="E10443" s="6" t="str">
        <f>HYPERLINK("https://twitter.com/petrogustavo/status/1310195946651815937","1310195946651815937")</f>
        <v>1310195946651815937</v>
      </c>
      <c r="F10443" s="7" t="s">
        <v>17</v>
      </c>
      <c r="G10443" s="7">
        <v>3982950</v>
      </c>
      <c r="H10443" s="7">
        <v>2440</v>
      </c>
      <c r="I10443" s="7">
        <v>187</v>
      </c>
      <c r="J10443" s="7">
        <v>408</v>
      </c>
      <c r="K10443" s="7" t="s">
        <v>18</v>
      </c>
      <c r="L10443" s="8">
        <v>39987.315405092595</v>
      </c>
      <c r="M10443" s="9" t="s">
        <v>19</v>
      </c>
      <c r="N10443" s="9" t="s">
        <v>20</v>
      </c>
      <c r="O10443" s="6" t="str">
        <f>HYPERLINK("https://pbs.twimg.com/profile_images/962471262747529216/Uo8lOkRJ_normal.jpg","View")</f>
        <v>View</v>
      </c>
      <c r="P10443" s="7"/>
    </row>
    <row r="10444" spans="1:16">
      <c r="A10444" s="3">
        <v>44101.753495370373</v>
      </c>
      <c r="B10444" s="4" t="str">
        <f>HYPERLINK("https://twitter.com/petrogustavo","@petrogustavo")</f>
        <v>@petrogustavo</v>
      </c>
      <c r="C10444" s="5" t="s">
        <v>16</v>
      </c>
      <c r="D10444" s="5" t="s">
        <v>10051</v>
      </c>
      <c r="E10444" s="6" t="str">
        <f>HYPERLINK("https://twitter.com/petrogustavo/status/1310196249216397312","1310196249216397312")</f>
        <v>1310196249216397312</v>
      </c>
      <c r="F10444" s="7" t="s">
        <v>17</v>
      </c>
      <c r="G10444" s="7">
        <v>3982950</v>
      </c>
      <c r="H10444" s="7">
        <v>2440</v>
      </c>
      <c r="I10444" s="7">
        <v>1090</v>
      </c>
      <c r="J10444" s="7">
        <v>0</v>
      </c>
      <c r="K10444" s="7" t="s">
        <v>18</v>
      </c>
      <c r="L10444" s="8">
        <v>39987.315405092595</v>
      </c>
      <c r="M10444" s="9" t="s">
        <v>19</v>
      </c>
      <c r="N10444" s="9" t="s">
        <v>20</v>
      </c>
      <c r="O10444" s="6" t="str">
        <f>HYPERLINK("https://pbs.twimg.com/profile_images/962471262747529216/Uo8lOkRJ_normal.jpg","View")</f>
        <v>View</v>
      </c>
      <c r="P10444" s="7"/>
    </row>
    <row r="10445" spans="1:16">
      <c r="A10445" s="3">
        <v>44101.754513888889</v>
      </c>
      <c r="B10445" s="4" t="str">
        <f>HYPERLINK("https://twitter.com/petrogustavo","@petrogustavo")</f>
        <v>@petrogustavo</v>
      </c>
      <c r="C10445" s="5" t="s">
        <v>16</v>
      </c>
      <c r="D10445" s="5" t="s">
        <v>10052</v>
      </c>
      <c r="E10445" s="6" t="str">
        <f>HYPERLINK("https://twitter.com/petrogustavo/status/1310196617627271169","1310196617627271169")</f>
        <v>1310196617627271169</v>
      </c>
      <c r="F10445" s="7" t="s">
        <v>17</v>
      </c>
      <c r="G10445" s="7">
        <v>3982950</v>
      </c>
      <c r="H10445" s="7">
        <v>2440</v>
      </c>
      <c r="I10445" s="7">
        <v>37</v>
      </c>
      <c r="J10445" s="7">
        <v>0</v>
      </c>
      <c r="K10445" s="7" t="s">
        <v>18</v>
      </c>
      <c r="L10445" s="8">
        <v>39987.315405092595</v>
      </c>
      <c r="M10445" s="9" t="s">
        <v>19</v>
      </c>
      <c r="N10445" s="9" t="s">
        <v>20</v>
      </c>
      <c r="O10445" s="6" t="str">
        <f>HYPERLINK("https://pbs.twimg.com/profile_images/962471262747529216/Uo8lOkRJ_normal.jpg","View")</f>
        <v>View</v>
      </c>
      <c r="P10445" s="7"/>
    </row>
    <row r="10446" spans="1:16">
      <c r="A10446" s="3">
        <v>44101.768761574072</v>
      </c>
      <c r="B10446" s="4" t="str">
        <f>HYPERLINK("https://twitter.com/petrogustavo","@petrogustavo")</f>
        <v>@petrogustavo</v>
      </c>
      <c r="C10446" s="5" t="s">
        <v>16</v>
      </c>
      <c r="D10446" s="5" t="s">
        <v>10053</v>
      </c>
      <c r="E10446" s="6" t="str">
        <f>HYPERLINK("https://twitter.com/petrogustavo/status/1310201778735116289","1310201778735116289")</f>
        <v>1310201778735116289</v>
      </c>
      <c r="F10446" s="7" t="s">
        <v>17</v>
      </c>
      <c r="G10446" s="7">
        <v>3982950</v>
      </c>
      <c r="H10446" s="7">
        <v>2440</v>
      </c>
      <c r="I10446" s="7">
        <v>30</v>
      </c>
      <c r="J10446" s="7">
        <v>62</v>
      </c>
      <c r="K10446" s="7" t="s">
        <v>18</v>
      </c>
      <c r="L10446" s="8">
        <v>39987.315405092595</v>
      </c>
      <c r="M10446" s="9" t="s">
        <v>19</v>
      </c>
      <c r="N10446" s="9" t="s">
        <v>20</v>
      </c>
      <c r="O10446" s="6" t="str">
        <f>HYPERLINK("https://pbs.twimg.com/profile_images/962471262747529216/Uo8lOkRJ_normal.jpg","View")</f>
        <v>View</v>
      </c>
      <c r="P10446" s="7"/>
    </row>
    <row r="10447" spans="1:16">
      <c r="A10447" s="3">
        <v>44101.774328703701</v>
      </c>
      <c r="B10447" s="4" t="str">
        <f>HYPERLINK("https://twitter.com/petrogustavo","@petrogustavo")</f>
        <v>@petrogustavo</v>
      </c>
      <c r="C10447" s="5" t="s">
        <v>16</v>
      </c>
      <c r="D10447" s="5" t="s">
        <v>10054</v>
      </c>
      <c r="E10447" s="6" t="str">
        <f>HYPERLINK("https://twitter.com/petrogustavo/status/1310203798372089856","1310203798372089856")</f>
        <v>1310203798372089856</v>
      </c>
      <c r="F10447" s="7" t="s">
        <v>17</v>
      </c>
      <c r="G10447" s="7">
        <v>3982962</v>
      </c>
      <c r="H10447" s="7">
        <v>2440</v>
      </c>
      <c r="I10447" s="7">
        <v>178</v>
      </c>
      <c r="J10447" s="7">
        <v>306</v>
      </c>
      <c r="K10447" s="7" t="s">
        <v>18</v>
      </c>
      <c r="L10447" s="8">
        <v>39987.315405092595</v>
      </c>
      <c r="M10447" s="9" t="s">
        <v>19</v>
      </c>
      <c r="N10447" s="9" t="s">
        <v>20</v>
      </c>
      <c r="O10447" s="6" t="str">
        <f>HYPERLINK("https://pbs.twimg.com/profile_images/962471262747529216/Uo8lOkRJ_normal.jpg","View")</f>
        <v>View</v>
      </c>
      <c r="P10447" s="7"/>
    </row>
    <row r="10448" spans="1:16">
      <c r="A10448" s="3">
        <v>44101.783946759257</v>
      </c>
      <c r="B10448" s="4" t="str">
        <f>HYPERLINK("https://twitter.com/petrogustavo","@petrogustavo")</f>
        <v>@petrogustavo</v>
      </c>
      <c r="C10448" s="5" t="s">
        <v>16</v>
      </c>
      <c r="D10448" s="5" t="s">
        <v>10055</v>
      </c>
      <c r="E10448" s="6" t="str">
        <f>HYPERLINK("https://twitter.com/petrogustavo/status/1310207281460637698","1310207281460637698")</f>
        <v>1310207281460637698</v>
      </c>
      <c r="F10448" s="7" t="s">
        <v>17</v>
      </c>
      <c r="G10448" s="7">
        <v>3982962</v>
      </c>
      <c r="H10448" s="7">
        <v>2440</v>
      </c>
      <c r="I10448" s="7">
        <v>245</v>
      </c>
      <c r="J10448" s="7">
        <v>0</v>
      </c>
      <c r="K10448" s="7" t="s">
        <v>18</v>
      </c>
      <c r="L10448" s="8">
        <v>39987.315405092595</v>
      </c>
      <c r="M10448" s="9" t="s">
        <v>19</v>
      </c>
      <c r="N10448" s="9" t="s">
        <v>20</v>
      </c>
      <c r="O10448" s="6" t="str">
        <f>HYPERLINK("https://pbs.twimg.com/profile_images/962471262747529216/Uo8lOkRJ_normal.jpg","View")</f>
        <v>View</v>
      </c>
      <c r="P10448" s="7"/>
    </row>
    <row r="10449" spans="1:16">
      <c r="A10449" s="3">
        <v>44101.788587962961</v>
      </c>
      <c r="B10449" s="4" t="str">
        <f>HYPERLINK("https://twitter.com/petrogustavo","@petrogustavo")</f>
        <v>@petrogustavo</v>
      </c>
      <c r="C10449" s="5" t="s">
        <v>16</v>
      </c>
      <c r="D10449" s="5" t="s">
        <v>10056</v>
      </c>
      <c r="E10449" s="6" t="str">
        <f>HYPERLINK("https://twitter.com/petrogustavo/status/1310208964651606016","1310208964651606016")</f>
        <v>1310208964651606016</v>
      </c>
      <c r="F10449" s="7" t="s">
        <v>17</v>
      </c>
      <c r="G10449" s="7">
        <v>3982962</v>
      </c>
      <c r="H10449" s="7">
        <v>2440</v>
      </c>
      <c r="I10449" s="7">
        <v>81</v>
      </c>
      <c r="J10449" s="7">
        <v>238</v>
      </c>
      <c r="K10449" s="7" t="s">
        <v>18</v>
      </c>
      <c r="L10449" s="8">
        <v>39987.315405092595</v>
      </c>
      <c r="M10449" s="9" t="s">
        <v>19</v>
      </c>
      <c r="N10449" s="9" t="s">
        <v>20</v>
      </c>
      <c r="O10449" s="6" t="str">
        <f>HYPERLINK("https://pbs.twimg.com/profile_images/962471262747529216/Uo8lOkRJ_normal.jpg","View")</f>
        <v>View</v>
      </c>
      <c r="P10449" s="7"/>
    </row>
    <row r="10450" spans="1:16">
      <c r="A10450" s="3">
        <v>44101.798888888894</v>
      </c>
      <c r="B10450" s="4" t="str">
        <f>HYPERLINK("https://twitter.com/petrogustavo","@petrogustavo")</f>
        <v>@petrogustavo</v>
      </c>
      <c r="C10450" s="5" t="s">
        <v>16</v>
      </c>
      <c r="D10450" s="5" t="s">
        <v>10057</v>
      </c>
      <c r="E10450" s="6" t="str">
        <f>HYPERLINK("https://twitter.com/petrogustavo/status/1310212697955487745","1310212697955487745")</f>
        <v>1310212697955487745</v>
      </c>
      <c r="F10450" s="7" t="s">
        <v>17</v>
      </c>
      <c r="G10450" s="7">
        <v>3982979</v>
      </c>
      <c r="H10450" s="7">
        <v>2440</v>
      </c>
      <c r="I10450" s="7">
        <v>46</v>
      </c>
      <c r="J10450" s="7">
        <v>83</v>
      </c>
      <c r="K10450" s="7" t="s">
        <v>18</v>
      </c>
      <c r="L10450" s="8">
        <v>39987.315405092595</v>
      </c>
      <c r="M10450" s="9" t="s">
        <v>19</v>
      </c>
      <c r="N10450" s="9" t="s">
        <v>20</v>
      </c>
      <c r="O10450" s="6" t="str">
        <f>HYPERLINK("https://pbs.twimg.com/profile_images/962471262747529216/Uo8lOkRJ_normal.jpg","View")</f>
        <v>View</v>
      </c>
      <c r="P10450" s="7"/>
    </row>
    <row r="10451" spans="1:16">
      <c r="A10451" s="3">
        <v>44101.799340277779</v>
      </c>
      <c r="B10451" s="4" t="str">
        <f>HYPERLINK("https://twitter.com/petrogustavo","@petrogustavo")</f>
        <v>@petrogustavo</v>
      </c>
      <c r="C10451" s="5" t="s">
        <v>16</v>
      </c>
      <c r="D10451" s="5" t="s">
        <v>10058</v>
      </c>
      <c r="E10451" s="6" t="str">
        <f>HYPERLINK("https://twitter.com/petrogustavo/status/1310212863731142657","1310212863731142657")</f>
        <v>1310212863731142657</v>
      </c>
      <c r="F10451" s="7" t="s">
        <v>17</v>
      </c>
      <c r="G10451" s="7">
        <v>3982979</v>
      </c>
      <c r="H10451" s="7">
        <v>2440</v>
      </c>
      <c r="I10451" s="7">
        <v>70</v>
      </c>
      <c r="J10451" s="7">
        <v>0</v>
      </c>
      <c r="K10451" s="7" t="s">
        <v>18</v>
      </c>
      <c r="L10451" s="8">
        <v>39987.315405092595</v>
      </c>
      <c r="M10451" s="9" t="s">
        <v>19</v>
      </c>
      <c r="N10451" s="9" t="s">
        <v>20</v>
      </c>
      <c r="O10451" s="6" t="str">
        <f>HYPERLINK("https://pbs.twimg.com/profile_images/962471262747529216/Uo8lOkRJ_normal.jpg","View")</f>
        <v>View</v>
      </c>
      <c r="P10451" s="7"/>
    </row>
    <row r="10452" spans="1:16">
      <c r="A10452" s="3">
        <v>44101.800138888888</v>
      </c>
      <c r="B10452" s="4" t="str">
        <f>HYPERLINK("https://twitter.com/petrogustavo","@petrogustavo")</f>
        <v>@petrogustavo</v>
      </c>
      <c r="C10452" s="5" t="s">
        <v>16</v>
      </c>
      <c r="D10452" s="5" t="s">
        <v>10059</v>
      </c>
      <c r="E10452" s="6" t="str">
        <f>HYPERLINK("https://twitter.com/petrogustavo/status/1310213150730522624","1310213150730522624")</f>
        <v>1310213150730522624</v>
      </c>
      <c r="F10452" s="7" t="s">
        <v>17</v>
      </c>
      <c r="G10452" s="7">
        <v>3982979</v>
      </c>
      <c r="H10452" s="7">
        <v>2440</v>
      </c>
      <c r="I10452" s="7">
        <v>247</v>
      </c>
      <c r="J10452" s="7">
        <v>389</v>
      </c>
      <c r="K10452" s="7" t="s">
        <v>18</v>
      </c>
      <c r="L10452" s="8">
        <v>39987.315405092595</v>
      </c>
      <c r="M10452" s="9" t="s">
        <v>19</v>
      </c>
      <c r="N10452" s="9" t="s">
        <v>20</v>
      </c>
      <c r="O10452" s="6" t="str">
        <f>HYPERLINK("https://pbs.twimg.com/profile_images/962471262747529216/Uo8lOkRJ_normal.jpg","View")</f>
        <v>View</v>
      </c>
      <c r="P10452" s="7"/>
    </row>
    <row r="10453" spans="1:16">
      <c r="A10453" s="3">
        <v>44101.804166666669</v>
      </c>
      <c r="B10453" s="4" t="str">
        <f>HYPERLINK("https://twitter.com/petrogustavo","@petrogustavo")</f>
        <v>@petrogustavo</v>
      </c>
      <c r="C10453" s="5" t="s">
        <v>16</v>
      </c>
      <c r="D10453" s="5" t="s">
        <v>10060</v>
      </c>
      <c r="E10453" s="6" t="str">
        <f>HYPERLINK("https://twitter.com/petrogustavo/status/1310214612122513409","1310214612122513409")</f>
        <v>1310214612122513409</v>
      </c>
      <c r="F10453" s="7" t="s">
        <v>17</v>
      </c>
      <c r="G10453" s="7">
        <v>3982979</v>
      </c>
      <c r="H10453" s="7">
        <v>2440</v>
      </c>
      <c r="I10453" s="7">
        <v>372</v>
      </c>
      <c r="J10453" s="7">
        <v>0</v>
      </c>
      <c r="K10453" s="7" t="s">
        <v>18</v>
      </c>
      <c r="L10453" s="8">
        <v>39987.315405092595</v>
      </c>
      <c r="M10453" s="9" t="s">
        <v>19</v>
      </c>
      <c r="N10453" s="9" t="s">
        <v>20</v>
      </c>
      <c r="O10453" s="6" t="str">
        <f>HYPERLINK("https://pbs.twimg.com/profile_images/962471262747529216/Uo8lOkRJ_normal.jpg","View")</f>
        <v>View</v>
      </c>
      <c r="P10453" s="7"/>
    </row>
    <row r="10454" spans="1:16">
      <c r="A10454" s="3">
        <v>44101.804259259261</v>
      </c>
      <c r="B10454" s="4" t="str">
        <f>HYPERLINK("https://twitter.com/petrogustavo","@petrogustavo")</f>
        <v>@petrogustavo</v>
      </c>
      <c r="C10454" s="5" t="s">
        <v>16</v>
      </c>
      <c r="D10454" s="5" t="s">
        <v>10061</v>
      </c>
      <c r="E10454" s="6" t="str">
        <f>HYPERLINK("https://twitter.com/petrogustavo/status/1310214644435423239","1310214644435423239")</f>
        <v>1310214644435423239</v>
      </c>
      <c r="F10454" s="7" t="s">
        <v>17</v>
      </c>
      <c r="G10454" s="7">
        <v>3982979</v>
      </c>
      <c r="H10454" s="7">
        <v>2440</v>
      </c>
      <c r="I10454" s="7">
        <v>193</v>
      </c>
      <c r="J10454" s="7">
        <v>0</v>
      </c>
      <c r="K10454" s="7" t="s">
        <v>18</v>
      </c>
      <c r="L10454" s="8">
        <v>39987.315405092595</v>
      </c>
      <c r="M10454" s="9" t="s">
        <v>19</v>
      </c>
      <c r="N10454" s="9" t="s">
        <v>20</v>
      </c>
      <c r="O10454" s="6" t="str">
        <f>HYPERLINK("https://pbs.twimg.com/profile_images/962471262747529216/Uo8lOkRJ_normal.jpg","View")</f>
        <v>View</v>
      </c>
      <c r="P10454" s="7"/>
    </row>
    <row r="10455" spans="1:16">
      <c r="A10455" s="3">
        <v>44101.835590277777</v>
      </c>
      <c r="B10455" s="4" t="str">
        <f>HYPERLINK("https://twitter.com/petrogustavo","@petrogustavo")</f>
        <v>@petrogustavo</v>
      </c>
      <c r="C10455" s="5" t="s">
        <v>16</v>
      </c>
      <c r="D10455" s="5" t="s">
        <v>10062</v>
      </c>
      <c r="E10455" s="6" t="str">
        <f>HYPERLINK("https://twitter.com/petrogustavo/status/1310225997623701505","1310225997623701505")</f>
        <v>1310225997623701505</v>
      </c>
      <c r="F10455" s="7" t="s">
        <v>17</v>
      </c>
      <c r="G10455" s="7">
        <v>3983011</v>
      </c>
      <c r="H10455" s="7">
        <v>2440</v>
      </c>
      <c r="I10455" s="7">
        <v>54</v>
      </c>
      <c r="J10455" s="7">
        <v>158</v>
      </c>
      <c r="K10455" s="7" t="s">
        <v>18</v>
      </c>
      <c r="L10455" s="8">
        <v>39987.315405092595</v>
      </c>
      <c r="M10455" s="9" t="s">
        <v>19</v>
      </c>
      <c r="N10455" s="9" t="s">
        <v>20</v>
      </c>
      <c r="O10455" s="6" t="str">
        <f>HYPERLINK("https://pbs.twimg.com/profile_images/962471262747529216/Uo8lOkRJ_normal.jpg","View")</f>
        <v>View</v>
      </c>
      <c r="P10455" s="7"/>
    </row>
    <row r="10456" spans="1:16">
      <c r="A10456" s="3">
        <v>44101.864074074074</v>
      </c>
      <c r="B10456" s="4" t="str">
        <f>HYPERLINK("https://twitter.com/petrogustavo","@petrogustavo")</f>
        <v>@petrogustavo</v>
      </c>
      <c r="C10456" s="5" t="s">
        <v>16</v>
      </c>
      <c r="D10456" s="5" t="s">
        <v>10061</v>
      </c>
      <c r="E10456" s="6" t="str">
        <f>HYPERLINK("https://twitter.com/petrogustavo/status/1310236319327682563","1310236319327682563")</f>
        <v>1310236319327682563</v>
      </c>
      <c r="F10456" s="7" t="s">
        <v>32</v>
      </c>
      <c r="G10456" s="7">
        <v>3983026</v>
      </c>
      <c r="H10456" s="7">
        <v>2440</v>
      </c>
      <c r="I10456" s="7">
        <v>311</v>
      </c>
      <c r="J10456" s="7">
        <v>0</v>
      </c>
      <c r="K10456" s="7" t="s">
        <v>18</v>
      </c>
      <c r="L10456" s="8">
        <v>39987.315405092595</v>
      </c>
      <c r="M10456" s="9" t="s">
        <v>19</v>
      </c>
      <c r="N10456" s="9" t="s">
        <v>20</v>
      </c>
      <c r="O10456" s="6" t="str">
        <f>HYPERLINK("https://pbs.twimg.com/profile_images/962471262747529216/Uo8lOkRJ_normal.jpg","View")</f>
        <v>View</v>
      </c>
      <c r="P10456" s="7"/>
    </row>
    <row r="10457" spans="1:16">
      <c r="A10457" s="3">
        <v>44101.933287037042</v>
      </c>
      <c r="B10457" s="4" t="str">
        <f>HYPERLINK("https://twitter.com/petrogustavo","@petrogustavo")</f>
        <v>@petrogustavo</v>
      </c>
      <c r="C10457" s="5" t="s">
        <v>16</v>
      </c>
      <c r="D10457" s="5" t="s">
        <v>10060</v>
      </c>
      <c r="E10457" s="6" t="str">
        <f>HYPERLINK("https://twitter.com/petrogustavo/status/1310261401882066944","1310261401882066944")</f>
        <v>1310261401882066944</v>
      </c>
      <c r="F10457" s="7" t="s">
        <v>17</v>
      </c>
      <c r="G10457" s="7">
        <v>3983060</v>
      </c>
      <c r="H10457" s="7">
        <v>2440</v>
      </c>
      <c r="I10457" s="7">
        <v>622</v>
      </c>
      <c r="J10457" s="7">
        <v>0</v>
      </c>
      <c r="K10457" s="7" t="s">
        <v>18</v>
      </c>
      <c r="L10457" s="8">
        <v>39987.315405092595</v>
      </c>
      <c r="M10457" s="9" t="s">
        <v>19</v>
      </c>
      <c r="N10457" s="9" t="s">
        <v>20</v>
      </c>
      <c r="O10457" s="6" t="str">
        <f>HYPERLINK("https://pbs.twimg.com/profile_images/962471262747529216/Uo8lOkRJ_normal.jpg","View")</f>
        <v>View</v>
      </c>
      <c r="P10457" s="7"/>
    </row>
    <row r="10458" spans="1:16">
      <c r="A10458" s="3">
        <v>44101.933391203704</v>
      </c>
      <c r="B10458" s="4" t="str">
        <f>HYPERLINK("https://twitter.com/petrogustavo","@petrogustavo")</f>
        <v>@petrogustavo</v>
      </c>
      <c r="C10458" s="5" t="s">
        <v>16</v>
      </c>
      <c r="D10458" s="5" t="s">
        <v>10061</v>
      </c>
      <c r="E10458" s="6" t="str">
        <f>HYPERLINK("https://twitter.com/petrogustavo/status/1310261439349895170","1310261439349895170")</f>
        <v>1310261439349895170</v>
      </c>
      <c r="F10458" s="7" t="s">
        <v>17</v>
      </c>
      <c r="G10458" s="7">
        <v>3983060</v>
      </c>
      <c r="H10458" s="7">
        <v>2440</v>
      </c>
      <c r="I10458" s="7">
        <v>400</v>
      </c>
      <c r="J10458" s="7">
        <v>0</v>
      </c>
      <c r="K10458" s="7" t="s">
        <v>18</v>
      </c>
      <c r="L10458" s="8">
        <v>39987.315405092595</v>
      </c>
      <c r="M10458" s="9" t="s">
        <v>19</v>
      </c>
      <c r="N10458" s="9" t="s">
        <v>20</v>
      </c>
      <c r="O10458" s="6" t="str">
        <f>HYPERLINK("https://pbs.twimg.com/profile_images/962471262747529216/Uo8lOkRJ_normal.jpg","View")</f>
        <v>View</v>
      </c>
      <c r="P10458" s="7"/>
    </row>
    <row r="10459" spans="1:16">
      <c r="A10459" s="3">
        <v>44102.237118055556</v>
      </c>
      <c r="B10459" s="4" t="str">
        <f>HYPERLINK("https://twitter.com/petrogustavo","@petrogustavo")</f>
        <v>@petrogustavo</v>
      </c>
      <c r="C10459" s="5" t="s">
        <v>16</v>
      </c>
      <c r="D10459" s="5" t="s">
        <v>10063</v>
      </c>
      <c r="E10459" s="6" t="str">
        <f>HYPERLINK("https://twitter.com/petrogustavo/status/1310371506673741824","1310371506673741824")</f>
        <v>1310371506673741824</v>
      </c>
      <c r="F10459" s="7" t="s">
        <v>22</v>
      </c>
      <c r="G10459" s="7">
        <v>3983250</v>
      </c>
      <c r="H10459" s="7">
        <v>2440</v>
      </c>
      <c r="I10459" s="7">
        <v>106</v>
      </c>
      <c r="J10459" s="7">
        <v>203</v>
      </c>
      <c r="K10459" s="7" t="s">
        <v>18</v>
      </c>
      <c r="L10459" s="8">
        <v>39987.315405092595</v>
      </c>
      <c r="M10459" s="9" t="s">
        <v>19</v>
      </c>
      <c r="N10459" s="9" t="s">
        <v>20</v>
      </c>
      <c r="O10459" s="6" t="str">
        <f>HYPERLINK("https://pbs.twimg.com/profile_images/962471262747529216/Uo8lOkRJ_normal.jpg","View")</f>
        <v>View</v>
      </c>
      <c r="P10459" s="7"/>
    </row>
    <row r="10460" spans="1:16">
      <c r="A10460" s="3">
        <v>44102.30846064815</v>
      </c>
      <c r="B10460" s="4" t="str">
        <f>HYPERLINK("https://twitter.com/petrogustavo","@petrogustavo")</f>
        <v>@petrogustavo</v>
      </c>
      <c r="C10460" s="5" t="s">
        <v>16</v>
      </c>
      <c r="D10460" s="5" t="s">
        <v>10064</v>
      </c>
      <c r="E10460" s="6" t="str">
        <f>HYPERLINK("https://twitter.com/petrogustavo/status/1310397360162312193","1310397360162312193")</f>
        <v>1310397360162312193</v>
      </c>
      <c r="F10460" s="7" t="s">
        <v>22</v>
      </c>
      <c r="G10460" s="7">
        <v>3983275</v>
      </c>
      <c r="H10460" s="7">
        <v>2440</v>
      </c>
      <c r="I10460" s="7">
        <v>48</v>
      </c>
      <c r="J10460" s="7">
        <v>126</v>
      </c>
      <c r="K10460" s="7" t="s">
        <v>18</v>
      </c>
      <c r="L10460" s="8">
        <v>39987.315405092595</v>
      </c>
      <c r="M10460" s="9" t="s">
        <v>19</v>
      </c>
      <c r="N10460" s="9" t="s">
        <v>20</v>
      </c>
      <c r="O10460" s="6" t="str">
        <f>HYPERLINK("https://pbs.twimg.com/profile_images/962471262747529216/Uo8lOkRJ_normal.jpg","View")</f>
        <v>View</v>
      </c>
      <c r="P10460" s="7"/>
    </row>
    <row r="10461" spans="1:16">
      <c r="A10461" s="3">
        <v>44102.327939814815</v>
      </c>
      <c r="B10461" s="4" t="str">
        <f>HYPERLINK("https://twitter.com/petrogustavo","@petrogustavo")</f>
        <v>@petrogustavo</v>
      </c>
      <c r="C10461" s="5" t="s">
        <v>16</v>
      </c>
      <c r="D10461" s="5" t="s">
        <v>10065</v>
      </c>
      <c r="E10461" s="6" t="str">
        <f>HYPERLINK("https://twitter.com/petrogustavo/status/1310404421814190080","1310404421814190080")</f>
        <v>1310404421814190080</v>
      </c>
      <c r="F10461" s="7" t="s">
        <v>32</v>
      </c>
      <c r="G10461" s="7">
        <v>3983286</v>
      </c>
      <c r="H10461" s="7">
        <v>2440</v>
      </c>
      <c r="I10461" s="7">
        <v>122</v>
      </c>
      <c r="J10461" s="7">
        <v>0</v>
      </c>
      <c r="K10461" s="7" t="s">
        <v>18</v>
      </c>
      <c r="L10461" s="8">
        <v>39987.315405092595</v>
      </c>
      <c r="M10461" s="9" t="s">
        <v>19</v>
      </c>
      <c r="N10461" s="9" t="s">
        <v>20</v>
      </c>
      <c r="O10461" s="6" t="str">
        <f>HYPERLINK("https://pbs.twimg.com/profile_images/962471262747529216/Uo8lOkRJ_normal.jpg","View")</f>
        <v>View</v>
      </c>
      <c r="P10461" s="7"/>
    </row>
    <row r="10462" spans="1:16">
      <c r="A10462" s="3">
        <v>44102.328553240739</v>
      </c>
      <c r="B10462" s="4" t="str">
        <f>HYPERLINK("https://twitter.com/petrogustavo","@petrogustavo")</f>
        <v>@petrogustavo</v>
      </c>
      <c r="C10462" s="5" t="s">
        <v>16</v>
      </c>
      <c r="D10462" s="5" t="s">
        <v>10066</v>
      </c>
      <c r="E10462" s="6" t="str">
        <f>HYPERLINK("https://twitter.com/petrogustavo/status/1310404644083032065","1310404644083032065")</f>
        <v>1310404644083032065</v>
      </c>
      <c r="F10462" s="7" t="s">
        <v>32</v>
      </c>
      <c r="G10462" s="7">
        <v>3983286</v>
      </c>
      <c r="H10462" s="7">
        <v>2440</v>
      </c>
      <c r="I10462" s="7">
        <v>120</v>
      </c>
      <c r="J10462" s="7">
        <v>0</v>
      </c>
      <c r="K10462" s="7" t="s">
        <v>18</v>
      </c>
      <c r="L10462" s="8">
        <v>39987.315405092595</v>
      </c>
      <c r="M10462" s="9" t="s">
        <v>19</v>
      </c>
      <c r="N10462" s="9" t="s">
        <v>20</v>
      </c>
      <c r="O10462" s="6" t="str">
        <f>HYPERLINK("https://pbs.twimg.com/profile_images/962471262747529216/Uo8lOkRJ_normal.jpg","View")</f>
        <v>View</v>
      </c>
      <c r="P10462" s="7"/>
    </row>
    <row r="10463" spans="1:16">
      <c r="A10463" s="3">
        <v>44102.329953703702</v>
      </c>
      <c r="B10463" s="4" t="str">
        <f>HYPERLINK("https://twitter.com/petrogustavo","@petrogustavo")</f>
        <v>@petrogustavo</v>
      </c>
      <c r="C10463" s="5" t="s">
        <v>16</v>
      </c>
      <c r="D10463" s="5" t="s">
        <v>10067</v>
      </c>
      <c r="E10463" s="6" t="str">
        <f>HYPERLINK("https://twitter.com/petrogustavo/status/1310405149953753088","1310405149953753088")</f>
        <v>1310405149953753088</v>
      </c>
      <c r="F10463" s="7" t="s">
        <v>32</v>
      </c>
      <c r="G10463" s="7">
        <v>3983286</v>
      </c>
      <c r="H10463" s="7">
        <v>2440</v>
      </c>
      <c r="I10463" s="7">
        <v>1047</v>
      </c>
      <c r="J10463" s="7">
        <v>0</v>
      </c>
      <c r="K10463" s="7" t="s">
        <v>18</v>
      </c>
      <c r="L10463" s="8">
        <v>39987.315405092595</v>
      </c>
      <c r="M10463" s="9" t="s">
        <v>19</v>
      </c>
      <c r="N10463" s="9" t="s">
        <v>20</v>
      </c>
      <c r="O10463" s="6" t="str">
        <f>HYPERLINK("https://pbs.twimg.com/profile_images/962471262747529216/Uo8lOkRJ_normal.jpg","View")</f>
        <v>View</v>
      </c>
      <c r="P10463" s="7"/>
    </row>
    <row r="10464" spans="1:16">
      <c r="A10464" s="3">
        <v>44102.820879629631</v>
      </c>
      <c r="B10464" s="4" t="str">
        <f>HYPERLINK("https://twitter.com/petrogustavo","@petrogustavo")</f>
        <v>@petrogustavo</v>
      </c>
      <c r="C10464" s="5" t="s">
        <v>16</v>
      </c>
      <c r="D10464" s="5" t="s">
        <v>10068</v>
      </c>
      <c r="E10464" s="6" t="str">
        <f>HYPERLINK("https://twitter.com/petrogustavo/status/1310583054688227328","1310583054688227328")</f>
        <v>1310583054688227328</v>
      </c>
      <c r="F10464" s="7" t="s">
        <v>17</v>
      </c>
      <c r="G10464" s="7">
        <v>3983437</v>
      </c>
      <c r="H10464" s="7">
        <v>2441</v>
      </c>
      <c r="I10464" s="7">
        <v>102</v>
      </c>
      <c r="J10464" s="7">
        <v>407</v>
      </c>
      <c r="K10464" s="7" t="s">
        <v>18</v>
      </c>
      <c r="L10464" s="8">
        <v>39987.315405092595</v>
      </c>
      <c r="M10464" s="9" t="s">
        <v>19</v>
      </c>
      <c r="N10464" s="9" t="s">
        <v>20</v>
      </c>
      <c r="O10464" s="6" t="str">
        <f>HYPERLINK("https://pbs.twimg.com/profile_images/962471262747529216/Uo8lOkRJ_normal.jpg","View")</f>
        <v>View</v>
      </c>
      <c r="P10464" s="7"/>
    </row>
    <row r="10465" spans="1:16">
      <c r="A10465" s="3">
        <v>44102.832060185188</v>
      </c>
      <c r="B10465" s="4" t="str">
        <f>HYPERLINK("https://twitter.com/petrogustavo","@petrogustavo")</f>
        <v>@petrogustavo</v>
      </c>
      <c r="C10465" s="5" t="s">
        <v>16</v>
      </c>
      <c r="D10465" s="5" t="s">
        <v>10069</v>
      </c>
      <c r="E10465" s="6" t="str">
        <f>HYPERLINK("https://twitter.com/petrogustavo/status/1310587106738212864","1310587106738212864")</f>
        <v>1310587106738212864</v>
      </c>
      <c r="F10465" s="7" t="s">
        <v>32</v>
      </c>
      <c r="G10465" s="7">
        <v>3983437</v>
      </c>
      <c r="H10465" s="7">
        <v>2441</v>
      </c>
      <c r="I10465" s="7">
        <v>95</v>
      </c>
      <c r="J10465" s="7">
        <v>160</v>
      </c>
      <c r="K10465" s="7" t="s">
        <v>18</v>
      </c>
      <c r="L10465" s="8">
        <v>39987.315405092595</v>
      </c>
      <c r="M10465" s="9" t="s">
        <v>19</v>
      </c>
      <c r="N10465" s="9" t="s">
        <v>20</v>
      </c>
      <c r="O10465" s="6" t="str">
        <f>HYPERLINK("https://pbs.twimg.com/profile_images/962471262747529216/Uo8lOkRJ_normal.jpg","View")</f>
        <v>View</v>
      </c>
      <c r="P10465" s="7"/>
    </row>
    <row r="10466" spans="1:16">
      <c r="A10466" s="3">
        <v>44102.847094907411</v>
      </c>
      <c r="B10466" s="4" t="str">
        <f>HYPERLINK("https://twitter.com/petrogustavo","@petrogustavo")</f>
        <v>@petrogustavo</v>
      </c>
      <c r="C10466" s="5" t="s">
        <v>16</v>
      </c>
      <c r="D10466" s="5" t="s">
        <v>10070</v>
      </c>
      <c r="E10466" s="6" t="str">
        <f>HYPERLINK("https://twitter.com/petrogustavo/status/1310592555139108864","1310592555139108864")</f>
        <v>1310592555139108864</v>
      </c>
      <c r="F10466" s="7" t="s">
        <v>32</v>
      </c>
      <c r="G10466" s="7">
        <v>3983455</v>
      </c>
      <c r="H10466" s="7">
        <v>2441</v>
      </c>
      <c r="I10466" s="7">
        <v>35</v>
      </c>
      <c r="J10466" s="7">
        <v>92</v>
      </c>
      <c r="K10466" s="7" t="s">
        <v>18</v>
      </c>
      <c r="L10466" s="8">
        <v>39987.315405092595</v>
      </c>
      <c r="M10466" s="9" t="s">
        <v>19</v>
      </c>
      <c r="N10466" s="9" t="s">
        <v>20</v>
      </c>
      <c r="O10466" s="6" t="str">
        <f>HYPERLINK("https://pbs.twimg.com/profile_images/962471262747529216/Uo8lOkRJ_normal.jpg","View")</f>
        <v>View</v>
      </c>
      <c r="P10466" s="7"/>
    </row>
    <row r="10467" spans="1:16">
      <c r="A10467" s="3">
        <v>44102.855104166665</v>
      </c>
      <c r="B10467" s="4" t="str">
        <f>HYPERLINK("https://twitter.com/petrogustavo","@petrogustavo")</f>
        <v>@petrogustavo</v>
      </c>
      <c r="C10467" s="5" t="s">
        <v>16</v>
      </c>
      <c r="D10467" s="5" t="s">
        <v>10071</v>
      </c>
      <c r="E10467" s="6" t="str">
        <f>HYPERLINK("https://twitter.com/petrogustavo/status/1310595459833098240","1310595459833098240")</f>
        <v>1310595459833098240</v>
      </c>
      <c r="F10467" s="7" t="s">
        <v>32</v>
      </c>
      <c r="G10467" s="7">
        <v>3983455</v>
      </c>
      <c r="H10467" s="7">
        <v>2441</v>
      </c>
      <c r="I10467" s="7">
        <v>23</v>
      </c>
      <c r="J10467" s="7">
        <v>38</v>
      </c>
      <c r="K10467" s="7" t="s">
        <v>18</v>
      </c>
      <c r="L10467" s="8">
        <v>39987.315405092595</v>
      </c>
      <c r="M10467" s="9" t="s">
        <v>19</v>
      </c>
      <c r="N10467" s="9" t="s">
        <v>20</v>
      </c>
      <c r="O10467" s="6" t="str">
        <f>HYPERLINK("https://pbs.twimg.com/profile_images/962471262747529216/Uo8lOkRJ_normal.jpg","View")</f>
        <v>View</v>
      </c>
      <c r="P10467" s="7"/>
    </row>
    <row r="10468" spans="1:16">
      <c r="A10468" s="3">
        <v>44102.868136574078</v>
      </c>
      <c r="B10468" s="4" t="str">
        <f>HYPERLINK("https://twitter.com/petrogustavo","@petrogustavo")</f>
        <v>@petrogustavo</v>
      </c>
      <c r="C10468" s="5" t="s">
        <v>16</v>
      </c>
      <c r="D10468" s="5" t="s">
        <v>10072</v>
      </c>
      <c r="E10468" s="6" t="str">
        <f>HYPERLINK("https://twitter.com/petrogustavo/status/1310600180245434369","1310600180245434369")</f>
        <v>1310600180245434369</v>
      </c>
      <c r="F10468" s="7" t="s">
        <v>32</v>
      </c>
      <c r="G10468" s="7">
        <v>3983480</v>
      </c>
      <c r="H10468" s="7">
        <v>2441</v>
      </c>
      <c r="I10468" s="7">
        <v>91</v>
      </c>
      <c r="J10468" s="7">
        <v>144</v>
      </c>
      <c r="K10468" s="7" t="s">
        <v>18</v>
      </c>
      <c r="L10468" s="8">
        <v>39987.315405092595</v>
      </c>
      <c r="M10468" s="9" t="s">
        <v>19</v>
      </c>
      <c r="N10468" s="9" t="s">
        <v>20</v>
      </c>
      <c r="O10468" s="6" t="str">
        <f>HYPERLINK("https://pbs.twimg.com/profile_images/962471262747529216/Uo8lOkRJ_normal.jpg","View")</f>
        <v>View</v>
      </c>
      <c r="P10468" s="7"/>
    </row>
    <row r="10469" spans="1:16">
      <c r="A10469" s="3">
        <v>44102.91605324074</v>
      </c>
      <c r="B10469" s="4" t="str">
        <f>HYPERLINK("https://twitter.com/petrogustavo","@petrogustavo")</f>
        <v>@petrogustavo</v>
      </c>
      <c r="C10469" s="5" t="s">
        <v>16</v>
      </c>
      <c r="D10469" s="5" t="s">
        <v>10073</v>
      </c>
      <c r="E10469" s="6" t="str">
        <f>HYPERLINK("https://twitter.com/petrogustavo/status/1310617544122863616","1310617544122863616")</f>
        <v>1310617544122863616</v>
      </c>
      <c r="F10469" s="7" t="s">
        <v>17</v>
      </c>
      <c r="G10469" s="7">
        <v>3983521</v>
      </c>
      <c r="H10469" s="7">
        <v>2441</v>
      </c>
      <c r="I10469" s="7">
        <v>36</v>
      </c>
      <c r="J10469" s="7">
        <v>93</v>
      </c>
      <c r="K10469" s="7" t="s">
        <v>18</v>
      </c>
      <c r="L10469" s="8">
        <v>39987.315405092595</v>
      </c>
      <c r="M10469" s="9" t="s">
        <v>19</v>
      </c>
      <c r="N10469" s="9" t="s">
        <v>20</v>
      </c>
      <c r="O10469" s="6" t="str">
        <f>HYPERLINK("https://pbs.twimg.com/profile_images/962471262747529216/Uo8lOkRJ_normal.jpg","View")</f>
        <v>View</v>
      </c>
      <c r="P10469" s="7"/>
    </row>
    <row r="10470" spans="1:16">
      <c r="A10470" s="3">
        <v>44103.126481481479</v>
      </c>
      <c r="B10470" s="4" t="str">
        <f>HYPERLINK("https://twitter.com/petrogustavo","@petrogustavo")</f>
        <v>@petrogustavo</v>
      </c>
      <c r="C10470" s="5" t="s">
        <v>16</v>
      </c>
      <c r="D10470" s="5" t="s">
        <v>10074</v>
      </c>
      <c r="E10470" s="6" t="str">
        <f>HYPERLINK("https://twitter.com/petrogustavo/status/1310693800780627971","1310693800780627971")</f>
        <v>1310693800780627971</v>
      </c>
      <c r="F10470" s="7" t="s">
        <v>32</v>
      </c>
      <c r="G10470" s="7">
        <v>3983659</v>
      </c>
      <c r="H10470" s="7">
        <v>2441</v>
      </c>
      <c r="I10470" s="7">
        <v>550</v>
      </c>
      <c r="J10470" s="7">
        <v>0</v>
      </c>
      <c r="K10470" s="7" t="s">
        <v>18</v>
      </c>
      <c r="L10470" s="8">
        <v>39987.315405092595</v>
      </c>
      <c r="M10470" s="9" t="s">
        <v>19</v>
      </c>
      <c r="N10470" s="9" t="s">
        <v>20</v>
      </c>
      <c r="O10470" s="6" t="str">
        <f>HYPERLINK("https://pbs.twimg.com/profile_images/962471262747529216/Uo8lOkRJ_normal.jpg","View")</f>
        <v>View</v>
      </c>
      <c r="P10470" s="7"/>
    </row>
    <row r="10471" spans="1:16">
      <c r="A10471" s="3">
        <v>44103.162118055552</v>
      </c>
      <c r="B10471" s="4" t="str">
        <f>HYPERLINK("https://twitter.com/petrogustavo","@petrogustavo")</f>
        <v>@petrogustavo</v>
      </c>
      <c r="C10471" s="5" t="s">
        <v>16</v>
      </c>
      <c r="D10471" s="5" t="s">
        <v>10075</v>
      </c>
      <c r="E10471" s="6" t="str">
        <f>HYPERLINK("https://twitter.com/petrogustavo/status/1310706716598775810","1310706716598775810")</f>
        <v>1310706716598775810</v>
      </c>
      <c r="F10471" s="7" t="s">
        <v>17</v>
      </c>
      <c r="G10471" s="7">
        <v>3983667</v>
      </c>
      <c r="H10471" s="7">
        <v>2441</v>
      </c>
      <c r="I10471" s="7">
        <v>42</v>
      </c>
      <c r="J10471" s="7">
        <v>146</v>
      </c>
      <c r="K10471" s="7" t="s">
        <v>18</v>
      </c>
      <c r="L10471" s="8">
        <v>39987.315405092595</v>
      </c>
      <c r="M10471" s="9" t="s">
        <v>19</v>
      </c>
      <c r="N10471" s="9" t="s">
        <v>20</v>
      </c>
      <c r="O10471" s="6" t="str">
        <f>HYPERLINK("https://pbs.twimg.com/profile_images/962471262747529216/Uo8lOkRJ_normal.jpg","View")</f>
        <v>View</v>
      </c>
      <c r="P10471" s="7"/>
    </row>
    <row r="10472" spans="1:16">
      <c r="A10472" s="3">
        <v>44103.303240740745</v>
      </c>
      <c r="B10472" s="4" t="str">
        <f>HYPERLINK("https://twitter.com/petrogustavo","@petrogustavo")</f>
        <v>@petrogustavo</v>
      </c>
      <c r="C10472" s="5" t="s">
        <v>16</v>
      </c>
      <c r="D10472" s="5" t="s">
        <v>10076</v>
      </c>
      <c r="E10472" s="6" t="str">
        <f>HYPERLINK("https://twitter.com/petrogustavo/status/1310757858225553414","1310757858225553414")</f>
        <v>1310757858225553414</v>
      </c>
      <c r="F10472" s="7" t="s">
        <v>17</v>
      </c>
      <c r="G10472" s="7">
        <v>3983749</v>
      </c>
      <c r="H10472" s="7">
        <v>2441</v>
      </c>
      <c r="I10472" s="7">
        <v>78</v>
      </c>
      <c r="J10472" s="7">
        <v>0</v>
      </c>
      <c r="K10472" s="7" t="s">
        <v>18</v>
      </c>
      <c r="L10472" s="8">
        <v>39987.315405092595</v>
      </c>
      <c r="M10472" s="9" t="s">
        <v>19</v>
      </c>
      <c r="N10472" s="9" t="s">
        <v>20</v>
      </c>
      <c r="O10472" s="6" t="str">
        <f>HYPERLINK("https://pbs.twimg.com/profile_images/962471262747529216/Uo8lOkRJ_normal.jpg","View")</f>
        <v>View</v>
      </c>
      <c r="P10472" s="7"/>
    </row>
    <row r="10473" spans="1:16">
      <c r="A10473" s="3">
        <v>44103.340983796297</v>
      </c>
      <c r="B10473" s="4" t="str">
        <f>HYPERLINK("https://twitter.com/petrogustavo","@petrogustavo")</f>
        <v>@petrogustavo</v>
      </c>
      <c r="C10473" s="5" t="s">
        <v>16</v>
      </c>
      <c r="D10473" s="5" t="s">
        <v>10077</v>
      </c>
      <c r="E10473" s="6" t="str">
        <f>HYPERLINK("https://twitter.com/petrogustavo/status/1310771533556703232","1310771533556703232")</f>
        <v>1310771533556703232</v>
      </c>
      <c r="F10473" s="7" t="s">
        <v>17</v>
      </c>
      <c r="G10473" s="7">
        <v>3983791</v>
      </c>
      <c r="H10473" s="7">
        <v>2441</v>
      </c>
      <c r="I10473" s="7">
        <v>556</v>
      </c>
      <c r="J10473" s="7">
        <v>1632</v>
      </c>
      <c r="K10473" s="7" t="s">
        <v>18</v>
      </c>
      <c r="L10473" s="8">
        <v>39987.315405092595</v>
      </c>
      <c r="M10473" s="9" t="s">
        <v>19</v>
      </c>
      <c r="N10473" s="9" t="s">
        <v>20</v>
      </c>
      <c r="O10473" s="6" t="str">
        <f>HYPERLINK("https://pbs.twimg.com/profile_images/962471262747529216/Uo8lOkRJ_normal.jpg","View")</f>
        <v>View</v>
      </c>
      <c r="P10473" s="7"/>
    </row>
    <row r="10474" spans="1:16">
      <c r="A10474" s="3">
        <v>44103.341261574074</v>
      </c>
      <c r="B10474" s="4" t="str">
        <f>HYPERLINK("https://twitter.com/petrogustavo","@petrogustavo")</f>
        <v>@petrogustavo</v>
      </c>
      <c r="C10474" s="5" t="s">
        <v>16</v>
      </c>
      <c r="D10474" s="5" t="s">
        <v>10078</v>
      </c>
      <c r="E10474" s="6" t="str">
        <f>HYPERLINK("https://twitter.com/petrogustavo/status/1310771637462200321","1310771637462200321")</f>
        <v>1310771637462200321</v>
      </c>
      <c r="F10474" s="7" t="s">
        <v>17</v>
      </c>
      <c r="G10474" s="7">
        <v>3983791</v>
      </c>
      <c r="H10474" s="7">
        <v>2441</v>
      </c>
      <c r="I10474" s="7">
        <v>393</v>
      </c>
      <c r="J10474" s="7">
        <v>0</v>
      </c>
      <c r="K10474" s="7" t="s">
        <v>18</v>
      </c>
      <c r="L10474" s="8">
        <v>39987.315405092595</v>
      </c>
      <c r="M10474" s="9" t="s">
        <v>19</v>
      </c>
      <c r="N10474" s="9" t="s">
        <v>20</v>
      </c>
      <c r="O10474" s="6" t="str">
        <f>HYPERLINK("https://pbs.twimg.com/profile_images/962471262747529216/Uo8lOkRJ_normal.jpg","View")</f>
        <v>View</v>
      </c>
      <c r="P10474" s="7"/>
    </row>
    <row r="10475" spans="1:16">
      <c r="A10475" s="3">
        <v>44103.341840277775</v>
      </c>
      <c r="B10475" s="4" t="str">
        <f>HYPERLINK("https://twitter.com/petrogustavo","@petrogustavo")</f>
        <v>@petrogustavo</v>
      </c>
      <c r="C10475" s="5" t="s">
        <v>16</v>
      </c>
      <c r="D10475" s="5" t="s">
        <v>10079</v>
      </c>
      <c r="E10475" s="6" t="str">
        <f>HYPERLINK("https://twitter.com/petrogustavo/status/1310771843884867584","1310771843884867584")</f>
        <v>1310771843884867584</v>
      </c>
      <c r="F10475" s="7" t="s">
        <v>17</v>
      </c>
      <c r="G10475" s="7">
        <v>3983791</v>
      </c>
      <c r="H10475" s="7">
        <v>2441</v>
      </c>
      <c r="I10475" s="7">
        <v>90</v>
      </c>
      <c r="J10475" s="7">
        <v>0</v>
      </c>
      <c r="K10475" s="7" t="s">
        <v>18</v>
      </c>
      <c r="L10475" s="8">
        <v>39987.315405092595</v>
      </c>
      <c r="M10475" s="9" t="s">
        <v>19</v>
      </c>
      <c r="N10475" s="9" t="s">
        <v>20</v>
      </c>
      <c r="O10475" s="6" t="str">
        <f>HYPERLINK("https://pbs.twimg.com/profile_images/962471262747529216/Uo8lOkRJ_normal.jpg","View")</f>
        <v>View</v>
      </c>
      <c r="P10475" s="7"/>
    </row>
    <row r="10476" spans="1:16">
      <c r="A10476" s="3">
        <v>44103.363333333335</v>
      </c>
      <c r="B10476" s="4" t="str">
        <f>HYPERLINK("https://twitter.com/petrogustavo","@petrogustavo")</f>
        <v>@petrogustavo</v>
      </c>
      <c r="C10476" s="5" t="s">
        <v>16</v>
      </c>
      <c r="D10476" s="5" t="s">
        <v>10080</v>
      </c>
      <c r="E10476" s="6" t="str">
        <f>HYPERLINK("https://twitter.com/petrogustavo/status/1310779635735711749","1310779635735711749")</f>
        <v>1310779635735711749</v>
      </c>
      <c r="F10476" s="7" t="s">
        <v>17</v>
      </c>
      <c r="G10476" s="7">
        <v>3983808</v>
      </c>
      <c r="H10476" s="7">
        <v>2441</v>
      </c>
      <c r="I10476" s="7">
        <v>281</v>
      </c>
      <c r="J10476" s="7">
        <v>649</v>
      </c>
      <c r="K10476" s="7" t="s">
        <v>18</v>
      </c>
      <c r="L10476" s="8">
        <v>39987.315405092595</v>
      </c>
      <c r="M10476" s="9" t="s">
        <v>19</v>
      </c>
      <c r="N10476" s="9" t="s">
        <v>20</v>
      </c>
      <c r="O10476" s="6" t="str">
        <f>HYPERLINK("https://pbs.twimg.com/profile_images/962471262747529216/Uo8lOkRJ_normal.jpg","View")</f>
        <v>View</v>
      </c>
      <c r="P10476" s="7"/>
    </row>
    <row r="10477" spans="1:16">
      <c r="A10477" s="3">
        <v>44103.767164351855</v>
      </c>
      <c r="B10477" s="4" t="str">
        <f>HYPERLINK("https://twitter.com/petrogustavo","@petrogustavo")</f>
        <v>@petrogustavo</v>
      </c>
      <c r="C10477" s="5" t="s">
        <v>16</v>
      </c>
      <c r="D10477" s="5" t="s">
        <v>10081</v>
      </c>
      <c r="E10477" s="6" t="str">
        <f>HYPERLINK("https://twitter.com/petrogustavo/status/1310925975723610112","1310925975723610112")</f>
        <v>1310925975723610112</v>
      </c>
      <c r="F10477" s="7" t="s">
        <v>17</v>
      </c>
      <c r="G10477" s="7">
        <v>3983904</v>
      </c>
      <c r="H10477" s="7">
        <v>2441</v>
      </c>
      <c r="I10477" s="7">
        <v>72</v>
      </c>
      <c r="J10477" s="7">
        <v>152</v>
      </c>
      <c r="K10477" s="7" t="s">
        <v>18</v>
      </c>
      <c r="L10477" s="8">
        <v>39987.315405092595</v>
      </c>
      <c r="M10477" s="9" t="s">
        <v>19</v>
      </c>
      <c r="N10477" s="9" t="s">
        <v>20</v>
      </c>
      <c r="O10477" s="6" t="str">
        <f>HYPERLINK("https://pbs.twimg.com/profile_images/962471262747529216/Uo8lOkRJ_normal.jpg","View")</f>
        <v>View</v>
      </c>
      <c r="P10477" s="7"/>
    </row>
    <row r="10478" spans="1:16">
      <c r="A10478" s="3">
        <v>44103.768935185188</v>
      </c>
      <c r="B10478" s="4" t="str">
        <f>HYPERLINK("https://twitter.com/petrogustavo","@petrogustavo")</f>
        <v>@petrogustavo</v>
      </c>
      <c r="C10478" s="5" t="s">
        <v>16</v>
      </c>
      <c r="D10478" s="5" t="s">
        <v>10082</v>
      </c>
      <c r="E10478" s="6" t="str">
        <f>HYPERLINK("https://twitter.com/petrogustavo/status/1310926617124970497","1310926617124970497")</f>
        <v>1310926617124970497</v>
      </c>
      <c r="F10478" s="7" t="s">
        <v>17</v>
      </c>
      <c r="G10478" s="7">
        <v>3983904</v>
      </c>
      <c r="H10478" s="7">
        <v>2441</v>
      </c>
      <c r="I10478" s="7">
        <v>122</v>
      </c>
      <c r="J10478" s="7">
        <v>346</v>
      </c>
      <c r="K10478" s="7" t="s">
        <v>18</v>
      </c>
      <c r="L10478" s="8">
        <v>39987.315405092595</v>
      </c>
      <c r="M10478" s="9" t="s">
        <v>19</v>
      </c>
      <c r="N10478" s="9" t="s">
        <v>20</v>
      </c>
      <c r="O10478" s="6" t="str">
        <f>HYPERLINK("https://pbs.twimg.com/profile_images/962471262747529216/Uo8lOkRJ_normal.jpg","View")</f>
        <v>View</v>
      </c>
      <c r="P10478" s="7"/>
    </row>
    <row r="10479" spans="1:16">
      <c r="A10479" s="3">
        <v>44103.775648148148</v>
      </c>
      <c r="B10479" s="4" t="str">
        <f>HYPERLINK("https://twitter.com/petrogustavo","@petrogustavo")</f>
        <v>@petrogustavo</v>
      </c>
      <c r="C10479" s="5" t="s">
        <v>16</v>
      </c>
      <c r="D10479" s="5" t="s">
        <v>10083</v>
      </c>
      <c r="E10479" s="6" t="str">
        <f>HYPERLINK("https://twitter.com/petrogustavo/status/1310929053348659200","1310929053348659200")</f>
        <v>1310929053348659200</v>
      </c>
      <c r="F10479" s="7" t="s">
        <v>17</v>
      </c>
      <c r="G10479" s="7">
        <v>3983921</v>
      </c>
      <c r="H10479" s="7">
        <v>2441</v>
      </c>
      <c r="I10479" s="7">
        <v>112</v>
      </c>
      <c r="J10479" s="7">
        <v>294</v>
      </c>
      <c r="K10479" s="7" t="s">
        <v>18</v>
      </c>
      <c r="L10479" s="8">
        <v>39987.315405092595</v>
      </c>
      <c r="M10479" s="9" t="s">
        <v>19</v>
      </c>
      <c r="N10479" s="9" t="s">
        <v>20</v>
      </c>
      <c r="O10479" s="6" t="str">
        <f>HYPERLINK("https://pbs.twimg.com/profile_images/962471262747529216/Uo8lOkRJ_normal.jpg","View")</f>
        <v>View</v>
      </c>
      <c r="P10479" s="7"/>
    </row>
    <row r="10480" spans="1:16">
      <c r="A10480" s="3">
        <v>44103.805613425924</v>
      </c>
      <c r="B10480" s="4" t="str">
        <f>HYPERLINK("https://twitter.com/petrogustavo","@petrogustavo")</f>
        <v>@petrogustavo</v>
      </c>
      <c r="C10480" s="5" t="s">
        <v>16</v>
      </c>
      <c r="D10480" s="5" t="s">
        <v>10084</v>
      </c>
      <c r="E10480" s="6" t="str">
        <f>HYPERLINK("https://twitter.com/petrogustavo/status/1310939912179507201","1310939912179507201")</f>
        <v>1310939912179507201</v>
      </c>
      <c r="F10480" s="7" t="s">
        <v>17</v>
      </c>
      <c r="G10480" s="7">
        <v>3983921</v>
      </c>
      <c r="H10480" s="7">
        <v>2440</v>
      </c>
      <c r="I10480" s="7">
        <v>91</v>
      </c>
      <c r="J10480" s="7">
        <v>215</v>
      </c>
      <c r="K10480" s="7" t="s">
        <v>18</v>
      </c>
      <c r="L10480" s="8">
        <v>39987.315405092595</v>
      </c>
      <c r="M10480" s="9" t="s">
        <v>19</v>
      </c>
      <c r="N10480" s="9" t="s">
        <v>20</v>
      </c>
      <c r="O10480" s="6" t="str">
        <f>HYPERLINK("https://pbs.twimg.com/profile_images/962471262747529216/Uo8lOkRJ_normal.jpg","View")</f>
        <v>View</v>
      </c>
      <c r="P10480" s="7"/>
    </row>
    <row r="10481" spans="1:16">
      <c r="A10481" s="3">
        <v>44103.807303240741</v>
      </c>
      <c r="B10481" s="4" t="str">
        <f>HYPERLINK("https://twitter.com/petrogustavo","@petrogustavo")</f>
        <v>@petrogustavo</v>
      </c>
      <c r="C10481" s="5" t="s">
        <v>16</v>
      </c>
      <c r="D10481" s="5" t="s">
        <v>10085</v>
      </c>
      <c r="E10481" s="6" t="str">
        <f>HYPERLINK("https://twitter.com/petrogustavo/status/1310940521838379009","1310940521838379009")</f>
        <v>1310940521838379009</v>
      </c>
      <c r="F10481" s="7" t="s">
        <v>17</v>
      </c>
      <c r="G10481" s="7">
        <v>3983921</v>
      </c>
      <c r="H10481" s="7">
        <v>2440</v>
      </c>
      <c r="I10481" s="7">
        <v>42</v>
      </c>
      <c r="J10481" s="7">
        <v>151</v>
      </c>
      <c r="K10481" s="7" t="s">
        <v>18</v>
      </c>
      <c r="L10481" s="8">
        <v>39987.315405092595</v>
      </c>
      <c r="M10481" s="9" t="s">
        <v>19</v>
      </c>
      <c r="N10481" s="9" t="s">
        <v>20</v>
      </c>
      <c r="O10481" s="6" t="str">
        <f>HYPERLINK("https://pbs.twimg.com/profile_images/962471262747529216/Uo8lOkRJ_normal.jpg","View")</f>
        <v>View</v>
      </c>
      <c r="P10481" s="7"/>
    </row>
    <row r="10482" spans="1:16">
      <c r="A10482" s="3">
        <v>44103.812893518523</v>
      </c>
      <c r="B10482" s="4" t="str">
        <f>HYPERLINK("https://twitter.com/petrogustavo","@petrogustavo")</f>
        <v>@petrogustavo</v>
      </c>
      <c r="C10482" s="5" t="s">
        <v>16</v>
      </c>
      <c r="D10482" s="5" t="s">
        <v>10086</v>
      </c>
      <c r="E10482" s="6" t="str">
        <f>HYPERLINK("https://twitter.com/petrogustavo/status/1310942550753247234","1310942550753247234")</f>
        <v>1310942550753247234</v>
      </c>
      <c r="F10482" s="7" t="s">
        <v>17</v>
      </c>
      <c r="G10482" s="7">
        <v>3983921</v>
      </c>
      <c r="H10482" s="7">
        <v>2440</v>
      </c>
      <c r="I10482" s="7">
        <v>21</v>
      </c>
      <c r="J10482" s="7">
        <v>75</v>
      </c>
      <c r="K10482" s="7" t="s">
        <v>18</v>
      </c>
      <c r="L10482" s="8">
        <v>39987.315405092595</v>
      </c>
      <c r="M10482" s="9" t="s">
        <v>19</v>
      </c>
      <c r="N10482" s="9" t="s">
        <v>20</v>
      </c>
      <c r="O10482" s="6" t="str">
        <f>HYPERLINK("https://pbs.twimg.com/profile_images/962471262747529216/Uo8lOkRJ_normal.jpg","View")</f>
        <v>View</v>
      </c>
      <c r="P10482" s="7"/>
    </row>
    <row r="10483" spans="1:16">
      <c r="A10483" s="3">
        <v>44103.814733796295</v>
      </c>
      <c r="B10483" s="4" t="str">
        <f>HYPERLINK("https://twitter.com/petrogustavo","@petrogustavo")</f>
        <v>@petrogustavo</v>
      </c>
      <c r="C10483" s="5" t="s">
        <v>16</v>
      </c>
      <c r="D10483" s="5" t="s">
        <v>10087</v>
      </c>
      <c r="E10483" s="6" t="str">
        <f>HYPERLINK("https://twitter.com/petrogustavo/status/1310943214099214336","1310943214099214336")</f>
        <v>1310943214099214336</v>
      </c>
      <c r="F10483" s="7" t="s">
        <v>17</v>
      </c>
      <c r="G10483" s="7">
        <v>3983921</v>
      </c>
      <c r="H10483" s="7">
        <v>2440</v>
      </c>
      <c r="I10483" s="7">
        <v>0</v>
      </c>
      <c r="J10483" s="7">
        <v>0</v>
      </c>
      <c r="K10483" s="7" t="s">
        <v>18</v>
      </c>
      <c r="L10483" s="8">
        <v>39987.315405092595</v>
      </c>
      <c r="M10483" s="9" t="s">
        <v>19</v>
      </c>
      <c r="N10483" s="9" t="s">
        <v>20</v>
      </c>
      <c r="O10483" s="6" t="str">
        <f>HYPERLINK("https://pbs.twimg.com/profile_images/962471262747529216/Uo8lOkRJ_normal.jpg","View")</f>
        <v>View</v>
      </c>
      <c r="P10483" s="7"/>
    </row>
    <row r="10484" spans="1:16">
      <c r="A10484" s="3">
        <v>44103.825555555552</v>
      </c>
      <c r="B10484" s="4" t="str">
        <f>HYPERLINK("https://twitter.com/petrogustavo","@petrogustavo")</f>
        <v>@petrogustavo</v>
      </c>
      <c r="C10484" s="5" t="s">
        <v>16</v>
      </c>
      <c r="D10484" s="5" t="s">
        <v>10088</v>
      </c>
      <c r="E10484" s="6" t="str">
        <f>HYPERLINK("https://twitter.com/petrogustavo/status/1310947138139033607","1310947138139033607")</f>
        <v>1310947138139033607</v>
      </c>
      <c r="F10484" s="7" t="s">
        <v>17</v>
      </c>
      <c r="G10484" s="7">
        <v>3983938</v>
      </c>
      <c r="H10484" s="7">
        <v>2440</v>
      </c>
      <c r="I10484" s="7">
        <v>65</v>
      </c>
      <c r="J10484" s="7">
        <v>309</v>
      </c>
      <c r="K10484" s="7" t="s">
        <v>18</v>
      </c>
      <c r="L10484" s="8">
        <v>39987.315405092595</v>
      </c>
      <c r="M10484" s="9" t="s">
        <v>19</v>
      </c>
      <c r="N10484" s="9" t="s">
        <v>20</v>
      </c>
      <c r="O10484" s="6" t="str">
        <f>HYPERLINK("https://pbs.twimg.com/profile_images/962471262747529216/Uo8lOkRJ_normal.jpg","View")</f>
        <v>View</v>
      </c>
      <c r="P10484" s="7"/>
    </row>
    <row r="10485" spans="1:16">
      <c r="A10485" s="3">
        <v>44103.833032407405</v>
      </c>
      <c r="B10485" s="4" t="str">
        <f>HYPERLINK("https://twitter.com/petrogustavo","@petrogustavo")</f>
        <v>@petrogustavo</v>
      </c>
      <c r="C10485" s="5" t="s">
        <v>16</v>
      </c>
      <c r="D10485" s="5" t="s">
        <v>10089</v>
      </c>
      <c r="E10485" s="6" t="str">
        <f>HYPERLINK("https://twitter.com/petrogustavo/status/1310949847873314822","1310949847873314822")</f>
        <v>1310949847873314822</v>
      </c>
      <c r="F10485" s="7" t="s">
        <v>17</v>
      </c>
      <c r="G10485" s="7">
        <v>3983938</v>
      </c>
      <c r="H10485" s="7">
        <v>2440</v>
      </c>
      <c r="I10485" s="7">
        <v>45</v>
      </c>
      <c r="J10485" s="7">
        <v>75</v>
      </c>
      <c r="K10485" s="7" t="s">
        <v>18</v>
      </c>
      <c r="L10485" s="8">
        <v>39987.315405092595</v>
      </c>
      <c r="M10485" s="9" t="s">
        <v>19</v>
      </c>
      <c r="N10485" s="9" t="s">
        <v>20</v>
      </c>
      <c r="O10485" s="6" t="str">
        <f>HYPERLINK("https://pbs.twimg.com/profile_images/962471262747529216/Uo8lOkRJ_normal.jpg","View")</f>
        <v>View</v>
      </c>
      <c r="P10485" s="7"/>
    </row>
    <row r="10486" spans="1:16">
      <c r="A10486" s="3">
        <v>44103.850497685184</v>
      </c>
      <c r="B10486" s="4" t="str">
        <f>HYPERLINK("https://twitter.com/petrogustavo","@petrogustavo")</f>
        <v>@petrogustavo</v>
      </c>
      <c r="C10486" s="5" t="s">
        <v>16</v>
      </c>
      <c r="D10486" s="5" t="s">
        <v>10090</v>
      </c>
      <c r="E10486" s="6" t="str">
        <f>HYPERLINK("https://twitter.com/petrogustavo/status/1310956178206330882","1310956178206330882")</f>
        <v>1310956178206330882</v>
      </c>
      <c r="F10486" s="7" t="s">
        <v>17</v>
      </c>
      <c r="G10486" s="7">
        <v>3983957</v>
      </c>
      <c r="H10486" s="7">
        <v>2440</v>
      </c>
      <c r="I10486" s="7">
        <v>3424</v>
      </c>
      <c r="J10486" s="7">
        <v>0</v>
      </c>
      <c r="K10486" s="7" t="s">
        <v>18</v>
      </c>
      <c r="L10486" s="8">
        <v>39987.315405092595</v>
      </c>
      <c r="M10486" s="9" t="s">
        <v>19</v>
      </c>
      <c r="N10486" s="9" t="s">
        <v>20</v>
      </c>
      <c r="O10486" s="6" t="str">
        <f>HYPERLINK("https://pbs.twimg.com/profile_images/962471262747529216/Uo8lOkRJ_normal.jpg","View")</f>
        <v>View</v>
      </c>
      <c r="P10486" s="7"/>
    </row>
    <row r="10487" spans="1:16">
      <c r="A10487" s="3">
        <v>44103.852731481486</v>
      </c>
      <c r="B10487" s="4" t="str">
        <f>HYPERLINK("https://twitter.com/petrogustavo","@petrogustavo")</f>
        <v>@petrogustavo</v>
      </c>
      <c r="C10487" s="5" t="s">
        <v>16</v>
      </c>
      <c r="D10487" s="5" t="s">
        <v>10091</v>
      </c>
      <c r="E10487" s="6" t="str">
        <f>HYPERLINK("https://twitter.com/petrogustavo/status/1310956984498360322","1310956984498360322")</f>
        <v>1310956984498360322</v>
      </c>
      <c r="F10487" s="7" t="s">
        <v>17</v>
      </c>
      <c r="G10487" s="7">
        <v>3983957</v>
      </c>
      <c r="H10487" s="7">
        <v>2440</v>
      </c>
      <c r="I10487" s="7">
        <v>31</v>
      </c>
      <c r="J10487" s="7">
        <v>73</v>
      </c>
      <c r="K10487" s="7" t="s">
        <v>18</v>
      </c>
      <c r="L10487" s="8">
        <v>39987.315405092595</v>
      </c>
      <c r="M10487" s="9" t="s">
        <v>19</v>
      </c>
      <c r="N10487" s="9" t="s">
        <v>20</v>
      </c>
      <c r="O10487" s="6" t="str">
        <f>HYPERLINK("https://pbs.twimg.com/profile_images/962471262747529216/Uo8lOkRJ_normal.jpg","View")</f>
        <v>View</v>
      </c>
      <c r="P10487" s="7"/>
    </row>
    <row r="10488" spans="1:16">
      <c r="A10488" s="3">
        <v>44103.858634259261</v>
      </c>
      <c r="B10488" s="4" t="str">
        <f>HYPERLINK("https://twitter.com/petrogustavo","@petrogustavo")</f>
        <v>@petrogustavo</v>
      </c>
      <c r="C10488" s="5" t="s">
        <v>16</v>
      </c>
      <c r="D10488" s="5" t="s">
        <v>10092</v>
      </c>
      <c r="E10488" s="6" t="str">
        <f>HYPERLINK("https://twitter.com/petrogustavo/status/1310959126500040704","1310959126500040704")</f>
        <v>1310959126500040704</v>
      </c>
      <c r="F10488" s="7" t="s">
        <v>17</v>
      </c>
      <c r="G10488" s="7">
        <v>3983978</v>
      </c>
      <c r="H10488" s="7">
        <v>2440</v>
      </c>
      <c r="I10488" s="7">
        <v>232</v>
      </c>
      <c r="J10488" s="7">
        <v>445</v>
      </c>
      <c r="K10488" s="7" t="s">
        <v>18</v>
      </c>
      <c r="L10488" s="8">
        <v>39987.315405092595</v>
      </c>
      <c r="M10488" s="9" t="s">
        <v>19</v>
      </c>
      <c r="N10488" s="9" t="s">
        <v>20</v>
      </c>
      <c r="O10488" s="6" t="str">
        <f>HYPERLINK("https://pbs.twimg.com/profile_images/962471262747529216/Uo8lOkRJ_normal.jpg","View")</f>
        <v>View</v>
      </c>
      <c r="P10488" s="7"/>
    </row>
    <row r="10489" spans="1:16">
      <c r="A10489" s="3">
        <v>44103.871504629627</v>
      </c>
      <c r="B10489" s="4" t="str">
        <f>HYPERLINK("https://twitter.com/petrogustavo","@petrogustavo")</f>
        <v>@petrogustavo</v>
      </c>
      <c r="C10489" s="5" t="s">
        <v>16</v>
      </c>
      <c r="D10489" s="5" t="s">
        <v>10093</v>
      </c>
      <c r="E10489" s="6" t="str">
        <f>HYPERLINK("https://twitter.com/petrogustavo/status/1310963790507315200","1310963790507315200")</f>
        <v>1310963790507315200</v>
      </c>
      <c r="F10489" s="7" t="s">
        <v>17</v>
      </c>
      <c r="G10489" s="7">
        <v>3983978</v>
      </c>
      <c r="H10489" s="7">
        <v>2440</v>
      </c>
      <c r="I10489" s="7">
        <v>55</v>
      </c>
      <c r="J10489" s="7">
        <v>96</v>
      </c>
      <c r="K10489" s="7" t="s">
        <v>18</v>
      </c>
      <c r="L10489" s="8">
        <v>39987.315405092595</v>
      </c>
      <c r="M10489" s="9" t="s">
        <v>19</v>
      </c>
      <c r="N10489" s="9" t="s">
        <v>20</v>
      </c>
      <c r="O10489" s="6" t="str">
        <f>HYPERLINK("https://pbs.twimg.com/profile_images/962471262747529216/Uo8lOkRJ_normal.jpg","View")</f>
        <v>View</v>
      </c>
      <c r="P10489" s="7"/>
    </row>
    <row r="10490" spans="1:16">
      <c r="A10490" s="3">
        <v>44103.876145833332</v>
      </c>
      <c r="B10490" s="4" t="str">
        <f>HYPERLINK("https://twitter.com/petrogustavo","@petrogustavo")</f>
        <v>@petrogustavo</v>
      </c>
      <c r="C10490" s="5" t="s">
        <v>16</v>
      </c>
      <c r="D10490" s="5" t="s">
        <v>10094</v>
      </c>
      <c r="E10490" s="6" t="str">
        <f>HYPERLINK("https://twitter.com/petrogustavo/status/1310965471219519491","1310965471219519491")</f>
        <v>1310965471219519491</v>
      </c>
      <c r="F10490" s="7" t="s">
        <v>17</v>
      </c>
      <c r="G10490" s="7">
        <v>3983978</v>
      </c>
      <c r="H10490" s="7">
        <v>2440</v>
      </c>
      <c r="I10490" s="7">
        <v>85</v>
      </c>
      <c r="J10490" s="7">
        <v>0</v>
      </c>
      <c r="K10490" s="7" t="s">
        <v>18</v>
      </c>
      <c r="L10490" s="8">
        <v>39987.315405092595</v>
      </c>
      <c r="M10490" s="9" t="s">
        <v>19</v>
      </c>
      <c r="N10490" s="9" t="s">
        <v>20</v>
      </c>
      <c r="O10490" s="6" t="str">
        <f>HYPERLINK("https://pbs.twimg.com/profile_images/962471262747529216/Uo8lOkRJ_normal.jpg","View")</f>
        <v>View</v>
      </c>
      <c r="P10490" s="7"/>
    </row>
    <row r="10491" spans="1:16">
      <c r="A10491" s="3">
        <v>44104.071481481486</v>
      </c>
      <c r="B10491" s="4" t="str">
        <f>HYPERLINK("https://twitter.com/petrogustavo","@petrogustavo")</f>
        <v>@petrogustavo</v>
      </c>
      <c r="C10491" s="5" t="s">
        <v>16</v>
      </c>
      <c r="D10491" s="5" t="s">
        <v>10095</v>
      </c>
      <c r="E10491" s="6" t="str">
        <f>HYPERLINK("https://twitter.com/petrogustavo/status/1311036257796009999","1311036257796009999")</f>
        <v>1311036257796009999</v>
      </c>
      <c r="F10491" s="7" t="s">
        <v>17</v>
      </c>
      <c r="G10491" s="7">
        <v>3984179</v>
      </c>
      <c r="H10491" s="7">
        <v>2440</v>
      </c>
      <c r="I10491" s="7">
        <v>131</v>
      </c>
      <c r="J10491" s="7">
        <v>0</v>
      </c>
      <c r="K10491" s="7" t="s">
        <v>18</v>
      </c>
      <c r="L10491" s="8">
        <v>39987.315405092595</v>
      </c>
      <c r="M10491" s="9" t="s">
        <v>19</v>
      </c>
      <c r="N10491" s="9" t="s">
        <v>20</v>
      </c>
      <c r="O10491" s="6" t="str">
        <f>HYPERLINK("https://pbs.twimg.com/profile_images/962471262747529216/Uo8lOkRJ_normal.jpg","View")</f>
        <v>View</v>
      </c>
      <c r="P10491" s="7"/>
    </row>
    <row r="10492" spans="1:16">
      <c r="A10492" s="3">
        <v>44104.073206018518</v>
      </c>
      <c r="B10492" s="4" t="str">
        <f>HYPERLINK("https://twitter.com/petrogustavo","@petrogustavo")</f>
        <v>@petrogustavo</v>
      </c>
      <c r="C10492" s="5" t="s">
        <v>16</v>
      </c>
      <c r="D10492" s="5" t="s">
        <v>10096</v>
      </c>
      <c r="E10492" s="6" t="str">
        <f>HYPERLINK("https://twitter.com/petrogustavo/status/1311036883166691329","1311036883166691329")</f>
        <v>1311036883166691329</v>
      </c>
      <c r="F10492" s="7" t="s">
        <v>17</v>
      </c>
      <c r="G10492" s="7">
        <v>3984179</v>
      </c>
      <c r="H10492" s="7">
        <v>2440</v>
      </c>
      <c r="I10492" s="7">
        <v>120</v>
      </c>
      <c r="J10492" s="7">
        <v>329</v>
      </c>
      <c r="K10492" s="7" t="s">
        <v>18</v>
      </c>
      <c r="L10492" s="8">
        <v>39987.315405092595</v>
      </c>
      <c r="M10492" s="9" t="s">
        <v>19</v>
      </c>
      <c r="N10492" s="9" t="s">
        <v>20</v>
      </c>
      <c r="O10492" s="6" t="str">
        <f>HYPERLINK("https://pbs.twimg.com/profile_images/962471262747529216/Uo8lOkRJ_normal.jpg","View")</f>
        <v>View</v>
      </c>
      <c r="P10492" s="7"/>
    </row>
    <row r="10493" spans="1:16">
      <c r="A10493" s="3">
        <v>44104.074953703705</v>
      </c>
      <c r="B10493" s="4" t="str">
        <f>HYPERLINK("https://twitter.com/petrogustavo","@petrogustavo")</f>
        <v>@petrogustavo</v>
      </c>
      <c r="C10493" s="5" t="s">
        <v>16</v>
      </c>
      <c r="D10493" s="5" t="s">
        <v>10097</v>
      </c>
      <c r="E10493" s="6" t="str">
        <f>HYPERLINK("https://twitter.com/petrogustavo/status/1311037515315449858","1311037515315449858")</f>
        <v>1311037515315449858</v>
      </c>
      <c r="F10493" s="7" t="s">
        <v>17</v>
      </c>
      <c r="G10493" s="7">
        <v>3984179</v>
      </c>
      <c r="H10493" s="7">
        <v>2440</v>
      </c>
      <c r="I10493" s="7">
        <v>53</v>
      </c>
      <c r="J10493" s="7">
        <v>0</v>
      </c>
      <c r="K10493" s="7" t="s">
        <v>18</v>
      </c>
      <c r="L10493" s="8">
        <v>39987.315405092595</v>
      </c>
      <c r="M10493" s="9" t="s">
        <v>19</v>
      </c>
      <c r="N10493" s="9" t="s">
        <v>20</v>
      </c>
      <c r="O10493" s="6" t="str">
        <f>HYPERLINK("https://pbs.twimg.com/profile_images/962471262747529216/Uo8lOkRJ_normal.jpg","View")</f>
        <v>View</v>
      </c>
      <c r="P10493" s="7"/>
    </row>
    <row r="10494" spans="1:16">
      <c r="A10494" s="3">
        <v>44104.078090277777</v>
      </c>
      <c r="B10494" s="4" t="str">
        <f>HYPERLINK("https://twitter.com/petrogustavo","@petrogustavo")</f>
        <v>@petrogustavo</v>
      </c>
      <c r="C10494" s="5" t="s">
        <v>16</v>
      </c>
      <c r="D10494" s="5" t="s">
        <v>10098</v>
      </c>
      <c r="E10494" s="6" t="str">
        <f>HYPERLINK("https://twitter.com/petrogustavo/status/1311038655050309633","1311038655050309633")</f>
        <v>1311038655050309633</v>
      </c>
      <c r="F10494" s="7" t="s">
        <v>17</v>
      </c>
      <c r="G10494" s="7">
        <v>3984179</v>
      </c>
      <c r="H10494" s="7">
        <v>2440</v>
      </c>
      <c r="I10494" s="7">
        <v>645</v>
      </c>
      <c r="J10494" s="7">
        <v>0</v>
      </c>
      <c r="K10494" s="7" t="s">
        <v>18</v>
      </c>
      <c r="L10494" s="8">
        <v>39987.315405092595</v>
      </c>
      <c r="M10494" s="9" t="s">
        <v>19</v>
      </c>
      <c r="N10494" s="9" t="s">
        <v>20</v>
      </c>
      <c r="O10494" s="6" t="str">
        <f>HYPERLINK("https://pbs.twimg.com/profile_images/962471262747529216/Uo8lOkRJ_normal.jpg","View")</f>
        <v>View</v>
      </c>
      <c r="P10494" s="7"/>
    </row>
    <row r="10495" spans="1:16">
      <c r="A10495" s="3">
        <v>44104.085057870368</v>
      </c>
      <c r="B10495" s="4" t="str">
        <f>HYPERLINK("https://twitter.com/petrogustavo","@petrogustavo")</f>
        <v>@petrogustavo</v>
      </c>
      <c r="C10495" s="5" t="s">
        <v>16</v>
      </c>
      <c r="D10495" s="5" t="s">
        <v>10099</v>
      </c>
      <c r="E10495" s="6" t="str">
        <f>HYPERLINK("https://twitter.com/petrogustavo/status/1311041178616373248","1311041178616373248")</f>
        <v>1311041178616373248</v>
      </c>
      <c r="F10495" s="7" t="s">
        <v>17</v>
      </c>
      <c r="G10495" s="7">
        <v>3984179</v>
      </c>
      <c r="H10495" s="7">
        <v>2440</v>
      </c>
      <c r="I10495" s="7">
        <v>5</v>
      </c>
      <c r="J10495" s="7">
        <v>0</v>
      </c>
      <c r="K10495" s="7" t="s">
        <v>18</v>
      </c>
      <c r="L10495" s="8">
        <v>39987.315405092595</v>
      </c>
      <c r="M10495" s="9" t="s">
        <v>19</v>
      </c>
      <c r="N10495" s="9" t="s">
        <v>20</v>
      </c>
      <c r="O10495" s="6" t="str">
        <f>HYPERLINK("https://pbs.twimg.com/profile_images/962471262747529216/Uo8lOkRJ_normal.jpg","View")</f>
        <v>View</v>
      </c>
      <c r="P10495" s="7"/>
    </row>
    <row r="10496" spans="1:16">
      <c r="A10496" s="3">
        <v>44104.105138888888</v>
      </c>
      <c r="B10496" s="4" t="str">
        <f>HYPERLINK("https://twitter.com/petrogustavo","@petrogustavo")</f>
        <v>@petrogustavo</v>
      </c>
      <c r="C10496" s="5" t="s">
        <v>16</v>
      </c>
      <c r="D10496" s="5" t="s">
        <v>10100</v>
      </c>
      <c r="E10496" s="6" t="str">
        <f>HYPERLINK("https://twitter.com/petrogustavo/status/1311048454572060672","1311048454572060672")</f>
        <v>1311048454572060672</v>
      </c>
      <c r="F10496" s="7" t="s">
        <v>17</v>
      </c>
      <c r="G10496" s="7">
        <v>3984198</v>
      </c>
      <c r="H10496" s="7">
        <v>2440</v>
      </c>
      <c r="I10496" s="7">
        <v>5</v>
      </c>
      <c r="J10496" s="7">
        <v>19</v>
      </c>
      <c r="K10496" s="7" t="s">
        <v>18</v>
      </c>
      <c r="L10496" s="8">
        <v>39987.315405092595</v>
      </c>
      <c r="M10496" s="9" t="s">
        <v>19</v>
      </c>
      <c r="N10496" s="9" t="s">
        <v>20</v>
      </c>
      <c r="O10496" s="6" t="str">
        <f>HYPERLINK("https://pbs.twimg.com/profile_images/962471262747529216/Uo8lOkRJ_normal.jpg","View")</f>
        <v>View</v>
      </c>
      <c r="P10496" s="7"/>
    </row>
    <row r="10497" spans="1:16">
      <c r="A10497" s="3">
        <v>44104.335995370369</v>
      </c>
      <c r="B10497" s="4" t="str">
        <f>HYPERLINK("https://twitter.com/petrogustavo","@petrogustavo")</f>
        <v>@petrogustavo</v>
      </c>
      <c r="C10497" s="5" t="s">
        <v>16</v>
      </c>
      <c r="D10497" s="5" t="s">
        <v>10101</v>
      </c>
      <c r="E10497" s="6" t="str">
        <f>HYPERLINK("https://twitter.com/petrogustavo/status/1311132115371724801","1311132115371724801")</f>
        <v>1311132115371724801</v>
      </c>
      <c r="F10497" s="7" t="s">
        <v>32</v>
      </c>
      <c r="G10497" s="7">
        <v>3984426</v>
      </c>
      <c r="H10497" s="7">
        <v>2439</v>
      </c>
      <c r="I10497" s="7">
        <v>461</v>
      </c>
      <c r="J10497" s="7">
        <v>1730</v>
      </c>
      <c r="K10497" s="7" t="s">
        <v>18</v>
      </c>
      <c r="L10497" s="8">
        <v>39987.315405092595</v>
      </c>
      <c r="M10497" s="9" t="s">
        <v>19</v>
      </c>
      <c r="N10497" s="9" t="s">
        <v>20</v>
      </c>
      <c r="O10497" s="6" t="str">
        <f>HYPERLINK("https://pbs.twimg.com/profile_images/962471262747529216/Uo8lOkRJ_normal.jpg","View")</f>
        <v>View</v>
      </c>
      <c r="P10497" s="7"/>
    </row>
    <row r="10498" spans="1:16">
      <c r="A10498" s="3">
        <v>44104.346608796295</v>
      </c>
      <c r="B10498" s="4" t="str">
        <f>HYPERLINK("https://twitter.com/petrogustavo","@petrogustavo")</f>
        <v>@petrogustavo</v>
      </c>
      <c r="C10498" s="5" t="s">
        <v>16</v>
      </c>
      <c r="D10498" s="5" t="s">
        <v>10102</v>
      </c>
      <c r="E10498" s="6" t="str">
        <f>HYPERLINK("https://twitter.com/petrogustavo/status/1311135960361504768","1311135960361504768")</f>
        <v>1311135960361504768</v>
      </c>
      <c r="F10498" s="7" t="s">
        <v>32</v>
      </c>
      <c r="G10498" s="7">
        <v>3984426</v>
      </c>
      <c r="H10498" s="7">
        <v>2439</v>
      </c>
      <c r="I10498" s="7">
        <v>67</v>
      </c>
      <c r="J10498" s="7">
        <v>0</v>
      </c>
      <c r="K10498" s="7" t="s">
        <v>18</v>
      </c>
      <c r="L10498" s="8">
        <v>39987.315405092595</v>
      </c>
      <c r="M10498" s="9" t="s">
        <v>19</v>
      </c>
      <c r="N10498" s="9" t="s">
        <v>20</v>
      </c>
      <c r="O10498" s="6" t="str">
        <f>HYPERLINK("https://pbs.twimg.com/profile_images/962471262747529216/Uo8lOkRJ_normal.jpg","View")</f>
        <v>View</v>
      </c>
      <c r="P10498" s="7"/>
    </row>
    <row r="10499" spans="1:16">
      <c r="A10499" s="3">
        <v>44104.346851851849</v>
      </c>
      <c r="B10499" s="4" t="str">
        <f>HYPERLINK("https://twitter.com/petrogustavo","@petrogustavo")</f>
        <v>@petrogustavo</v>
      </c>
      <c r="C10499" s="5" t="s">
        <v>16</v>
      </c>
      <c r="D10499" s="5" t="s">
        <v>10103</v>
      </c>
      <c r="E10499" s="6" t="str">
        <f>HYPERLINK("https://twitter.com/petrogustavo/status/1311136047879856134","1311136047879856134")</f>
        <v>1311136047879856134</v>
      </c>
      <c r="F10499" s="7" t="s">
        <v>32</v>
      </c>
      <c r="G10499" s="7">
        <v>3984426</v>
      </c>
      <c r="H10499" s="7">
        <v>2439</v>
      </c>
      <c r="I10499" s="7">
        <v>461</v>
      </c>
      <c r="J10499" s="7">
        <v>0</v>
      </c>
      <c r="K10499" s="7" t="s">
        <v>18</v>
      </c>
      <c r="L10499" s="8">
        <v>39987.315405092595</v>
      </c>
      <c r="M10499" s="9" t="s">
        <v>19</v>
      </c>
      <c r="N10499" s="9" t="s">
        <v>20</v>
      </c>
      <c r="O10499" s="6" t="str">
        <f>HYPERLINK("https://pbs.twimg.com/profile_images/962471262747529216/Uo8lOkRJ_normal.jpg","View")</f>
        <v>View</v>
      </c>
      <c r="P10499" s="7"/>
    </row>
    <row r="10500" spans="1:16">
      <c r="A10500" s="3">
        <v>44104.802673611106</v>
      </c>
      <c r="B10500" s="4" t="str">
        <f>HYPERLINK("https://twitter.com/petrogustavo","@petrogustavo")</f>
        <v>@petrogustavo</v>
      </c>
      <c r="C10500" s="5" t="s">
        <v>16</v>
      </c>
      <c r="D10500" s="5" t="s">
        <v>10104</v>
      </c>
      <c r="E10500" s="6" t="str">
        <f>HYPERLINK("https://twitter.com/petrogustavo/status/1311301233521590274","1311301233521590274")</f>
        <v>1311301233521590274</v>
      </c>
      <c r="F10500" s="7" t="s">
        <v>17</v>
      </c>
      <c r="G10500" s="7">
        <v>3984618</v>
      </c>
      <c r="H10500" s="7">
        <v>2439</v>
      </c>
      <c r="I10500" s="7">
        <v>149</v>
      </c>
      <c r="J10500" s="7">
        <v>0</v>
      </c>
      <c r="K10500" s="7" t="s">
        <v>18</v>
      </c>
      <c r="L10500" s="8">
        <v>39987.315405092595</v>
      </c>
      <c r="M10500" s="9" t="s">
        <v>19</v>
      </c>
      <c r="N10500" s="9" t="s">
        <v>20</v>
      </c>
      <c r="O10500" s="6" t="str">
        <f>HYPERLINK("https://pbs.twimg.com/profile_images/962471262747529216/Uo8lOkRJ_normal.jpg","View")</f>
        <v>View</v>
      </c>
      <c r="P10500" s="7"/>
    </row>
    <row r="10501" spans="1:16">
      <c r="A10501" s="3">
        <v>44104.804108796292</v>
      </c>
      <c r="B10501" s="4" t="str">
        <f>HYPERLINK("https://twitter.com/petrogustavo","@petrogustavo")</f>
        <v>@petrogustavo</v>
      </c>
      <c r="C10501" s="5" t="s">
        <v>16</v>
      </c>
      <c r="D10501" s="5" t="s">
        <v>10105</v>
      </c>
      <c r="E10501" s="6" t="str">
        <f>HYPERLINK("https://twitter.com/petrogustavo/status/1311301755490234370","1311301755490234370")</f>
        <v>1311301755490234370</v>
      </c>
      <c r="F10501" s="7" t="s">
        <v>17</v>
      </c>
      <c r="G10501" s="7">
        <v>3984618</v>
      </c>
      <c r="H10501" s="7">
        <v>2439</v>
      </c>
      <c r="I10501" s="7">
        <v>1160</v>
      </c>
      <c r="J10501" s="7">
        <v>0</v>
      </c>
      <c r="K10501" s="7" t="s">
        <v>18</v>
      </c>
      <c r="L10501" s="8">
        <v>39987.315405092595</v>
      </c>
      <c r="M10501" s="9" t="s">
        <v>19</v>
      </c>
      <c r="N10501" s="9" t="s">
        <v>20</v>
      </c>
      <c r="O10501" s="6" t="str">
        <f>HYPERLINK("https://pbs.twimg.com/profile_images/962471262747529216/Uo8lOkRJ_normal.jpg","View")</f>
        <v>View</v>
      </c>
      <c r="P10501" s="7"/>
    </row>
    <row r="10502" spans="1:16">
      <c r="A10502" s="3">
        <v>44104.804502314815</v>
      </c>
      <c r="B10502" s="4" t="str">
        <f>HYPERLINK("https://twitter.com/petrogustavo","@petrogustavo")</f>
        <v>@petrogustavo</v>
      </c>
      <c r="C10502" s="5" t="s">
        <v>16</v>
      </c>
      <c r="D10502" s="5" t="s">
        <v>10106</v>
      </c>
      <c r="E10502" s="6" t="str">
        <f>HYPERLINK("https://twitter.com/petrogustavo/status/1311301897215709186","1311301897215709186")</f>
        <v>1311301897215709186</v>
      </c>
      <c r="F10502" s="7" t="s">
        <v>17</v>
      </c>
      <c r="G10502" s="7">
        <v>3984618</v>
      </c>
      <c r="H10502" s="7">
        <v>2439</v>
      </c>
      <c r="I10502" s="7">
        <v>55</v>
      </c>
      <c r="J10502" s="7">
        <v>0</v>
      </c>
      <c r="K10502" s="7" t="s">
        <v>18</v>
      </c>
      <c r="L10502" s="8">
        <v>39987.315405092595</v>
      </c>
      <c r="M10502" s="9" t="s">
        <v>19</v>
      </c>
      <c r="N10502" s="9" t="s">
        <v>20</v>
      </c>
      <c r="O10502" s="6" t="str">
        <f>HYPERLINK("https://pbs.twimg.com/profile_images/962471262747529216/Uo8lOkRJ_normal.jpg","View")</f>
        <v>View</v>
      </c>
      <c r="P10502" s="7"/>
    </row>
    <row r="10503" spans="1:16">
      <c r="A10503" s="3">
        <v>44104.806585648148</v>
      </c>
      <c r="B10503" s="4" t="str">
        <f>HYPERLINK("https://twitter.com/petrogustavo","@petrogustavo")</f>
        <v>@petrogustavo</v>
      </c>
      <c r="C10503" s="5" t="s">
        <v>16</v>
      </c>
      <c r="D10503" s="5" t="s">
        <v>10107</v>
      </c>
      <c r="E10503" s="6" t="str">
        <f>HYPERLINK("https://twitter.com/petrogustavo/status/1311302652937076737","1311302652937076737")</f>
        <v>1311302652937076737</v>
      </c>
      <c r="F10503" s="7" t="s">
        <v>17</v>
      </c>
      <c r="G10503" s="7">
        <v>3984618</v>
      </c>
      <c r="H10503" s="7">
        <v>2439</v>
      </c>
      <c r="I10503" s="7">
        <v>39</v>
      </c>
      <c r="J10503" s="7">
        <v>157</v>
      </c>
      <c r="K10503" s="7" t="s">
        <v>18</v>
      </c>
      <c r="L10503" s="8">
        <v>39987.315405092595</v>
      </c>
      <c r="M10503" s="9" t="s">
        <v>19</v>
      </c>
      <c r="N10503" s="9" t="s">
        <v>20</v>
      </c>
      <c r="O10503" s="6" t="str">
        <f>HYPERLINK("https://pbs.twimg.com/profile_images/962471262747529216/Uo8lOkRJ_normal.jpg","View")</f>
        <v>View</v>
      </c>
      <c r="P10503" s="7"/>
    </row>
    <row r="10504" spans="1:16">
      <c r="A10504" s="3">
        <v>44104.812071759261</v>
      </c>
      <c r="B10504" s="4" t="str">
        <f>HYPERLINK("https://twitter.com/petrogustavo","@petrogustavo")</f>
        <v>@petrogustavo</v>
      </c>
      <c r="C10504" s="5" t="s">
        <v>16</v>
      </c>
      <c r="D10504" s="5" t="s">
        <v>10108</v>
      </c>
      <c r="E10504" s="6" t="str">
        <f>HYPERLINK("https://twitter.com/petrogustavo/status/1311304638981984256","1311304638981984256")</f>
        <v>1311304638981984256</v>
      </c>
      <c r="F10504" s="7" t="s">
        <v>17</v>
      </c>
      <c r="G10504" s="7">
        <v>3984618</v>
      </c>
      <c r="H10504" s="7">
        <v>2439</v>
      </c>
      <c r="I10504" s="7">
        <v>47</v>
      </c>
      <c r="J10504" s="7">
        <v>117</v>
      </c>
      <c r="K10504" s="7" t="s">
        <v>18</v>
      </c>
      <c r="L10504" s="8">
        <v>39987.315405092595</v>
      </c>
      <c r="M10504" s="9" t="s">
        <v>19</v>
      </c>
      <c r="N10504" s="9" t="s">
        <v>20</v>
      </c>
      <c r="O10504" s="6" t="str">
        <f>HYPERLINK("https://pbs.twimg.com/profile_images/962471262747529216/Uo8lOkRJ_normal.jpg","View")</f>
        <v>View</v>
      </c>
      <c r="P10504" s="7"/>
    </row>
    <row r="10505" spans="1:16">
      <c r="A10505" s="3">
        <v>44104.820150462961</v>
      </c>
      <c r="B10505" s="4" t="str">
        <f>HYPERLINK("https://twitter.com/petrogustavo","@petrogustavo")</f>
        <v>@petrogustavo</v>
      </c>
      <c r="C10505" s="5" t="s">
        <v>16</v>
      </c>
      <c r="D10505" s="5" t="s">
        <v>10109</v>
      </c>
      <c r="E10505" s="6" t="str">
        <f>HYPERLINK("https://twitter.com/petrogustavo/status/1311307568422232066","1311307568422232066")</f>
        <v>1311307568422232066</v>
      </c>
      <c r="F10505" s="7" t="s">
        <v>17</v>
      </c>
      <c r="G10505" s="7">
        <v>3984639</v>
      </c>
      <c r="H10505" s="7">
        <v>2440</v>
      </c>
      <c r="I10505" s="7">
        <v>76</v>
      </c>
      <c r="J10505" s="7">
        <v>208</v>
      </c>
      <c r="K10505" s="7" t="s">
        <v>18</v>
      </c>
      <c r="L10505" s="8">
        <v>39987.315405092595</v>
      </c>
      <c r="M10505" s="9" t="s">
        <v>19</v>
      </c>
      <c r="N10505" s="9" t="s">
        <v>20</v>
      </c>
      <c r="O10505" s="6" t="str">
        <f>HYPERLINK("https://pbs.twimg.com/profile_images/962471262747529216/Uo8lOkRJ_normal.jpg","View")</f>
        <v>View</v>
      </c>
      <c r="P10505" s="7"/>
    </row>
    <row r="10506" spans="1:16">
      <c r="A10506" s="3">
        <v>44104.822928240741</v>
      </c>
      <c r="B10506" s="4" t="str">
        <f>HYPERLINK("https://twitter.com/petrogustavo","@petrogustavo")</f>
        <v>@petrogustavo</v>
      </c>
      <c r="C10506" s="5" t="s">
        <v>16</v>
      </c>
      <c r="D10506" s="5" t="s">
        <v>10110</v>
      </c>
      <c r="E10506" s="6" t="str">
        <f>HYPERLINK("https://twitter.com/petrogustavo/status/1311308572589010948","1311308572589010948")</f>
        <v>1311308572589010948</v>
      </c>
      <c r="F10506" s="7" t="s">
        <v>17</v>
      </c>
      <c r="G10506" s="7">
        <v>3984639</v>
      </c>
      <c r="H10506" s="7">
        <v>2440</v>
      </c>
      <c r="I10506" s="7">
        <v>215</v>
      </c>
      <c r="J10506" s="7">
        <v>0</v>
      </c>
      <c r="K10506" s="7" t="s">
        <v>18</v>
      </c>
      <c r="L10506" s="8">
        <v>39987.315405092595</v>
      </c>
      <c r="M10506" s="9" t="s">
        <v>19</v>
      </c>
      <c r="N10506" s="9" t="s">
        <v>20</v>
      </c>
      <c r="O10506" s="6" t="str">
        <f>HYPERLINK("https://pbs.twimg.com/profile_images/962471262747529216/Uo8lOkRJ_normal.jpg","View")</f>
        <v>View</v>
      </c>
      <c r="P10506" s="7"/>
    </row>
    <row r="10507" spans="1:16">
      <c r="A10507" s="3">
        <v>44104.833807870367</v>
      </c>
      <c r="B10507" s="4" t="str">
        <f>HYPERLINK("https://twitter.com/petrogustavo","@petrogustavo")</f>
        <v>@petrogustavo</v>
      </c>
      <c r="C10507" s="5" t="s">
        <v>16</v>
      </c>
      <c r="D10507" s="5" t="s">
        <v>10111</v>
      </c>
      <c r="E10507" s="6" t="str">
        <f>HYPERLINK("https://twitter.com/petrogustavo/status/1311312516967026688","1311312516967026688")</f>
        <v>1311312516967026688</v>
      </c>
      <c r="F10507" s="7" t="s">
        <v>17</v>
      </c>
      <c r="G10507" s="7">
        <v>3984639</v>
      </c>
      <c r="H10507" s="7">
        <v>2440</v>
      </c>
      <c r="I10507" s="7">
        <v>20</v>
      </c>
      <c r="J10507" s="7">
        <v>82</v>
      </c>
      <c r="K10507" s="7" t="s">
        <v>18</v>
      </c>
      <c r="L10507" s="8">
        <v>39987.315405092595</v>
      </c>
      <c r="M10507" s="9" t="s">
        <v>19</v>
      </c>
      <c r="N10507" s="9" t="s">
        <v>20</v>
      </c>
      <c r="O10507" s="6" t="str">
        <f>HYPERLINK("https://pbs.twimg.com/profile_images/962471262747529216/Uo8lOkRJ_normal.jpg","View")</f>
        <v>View</v>
      </c>
      <c r="P10507" s="7"/>
    </row>
    <row r="10508" spans="1:16">
      <c r="A10508" s="3">
        <v>44104.857858796298</v>
      </c>
      <c r="B10508" s="4" t="str">
        <f>HYPERLINK("https://twitter.com/petrogustavo","@petrogustavo")</f>
        <v>@petrogustavo</v>
      </c>
      <c r="C10508" s="5" t="s">
        <v>16</v>
      </c>
      <c r="D10508" s="5" t="s">
        <v>10112</v>
      </c>
      <c r="E10508" s="6" t="str">
        <f>HYPERLINK("https://twitter.com/petrogustavo/status/1311321231405219840","1311321231405219840")</f>
        <v>1311321231405219840</v>
      </c>
      <c r="F10508" s="7" t="s">
        <v>17</v>
      </c>
      <c r="G10508" s="7">
        <v>3984680</v>
      </c>
      <c r="H10508" s="7">
        <v>2441</v>
      </c>
      <c r="I10508" s="7">
        <v>152</v>
      </c>
      <c r="J10508" s="7">
        <v>643</v>
      </c>
      <c r="K10508" s="7" t="s">
        <v>18</v>
      </c>
      <c r="L10508" s="8">
        <v>39987.315405092595</v>
      </c>
      <c r="M10508" s="9" t="s">
        <v>19</v>
      </c>
      <c r="N10508" s="9" t="s">
        <v>20</v>
      </c>
      <c r="O10508" s="6" t="str">
        <f>HYPERLINK("https://pbs.twimg.com/profile_images/962471262747529216/Uo8lOkRJ_normal.jpg","View")</f>
        <v>View</v>
      </c>
      <c r="P10508" s="7"/>
    </row>
    <row r="10509" spans="1:16">
      <c r="A10509" s="3">
        <v>44104.859872685185</v>
      </c>
      <c r="B10509" s="4" t="str">
        <f>HYPERLINK("https://twitter.com/petrogustavo","@petrogustavo")</f>
        <v>@petrogustavo</v>
      </c>
      <c r="C10509" s="5" t="s">
        <v>16</v>
      </c>
      <c r="D10509" s="5" t="s">
        <v>10113</v>
      </c>
      <c r="E10509" s="6" t="str">
        <f>HYPERLINK("https://twitter.com/petrogustavo/status/1311321961306480640","1311321961306480640")</f>
        <v>1311321961306480640</v>
      </c>
      <c r="F10509" s="7" t="s">
        <v>17</v>
      </c>
      <c r="G10509" s="7">
        <v>3984680</v>
      </c>
      <c r="H10509" s="7">
        <v>2441</v>
      </c>
      <c r="I10509" s="7">
        <v>110</v>
      </c>
      <c r="J10509" s="7">
        <v>0</v>
      </c>
      <c r="K10509" s="7" t="s">
        <v>18</v>
      </c>
      <c r="L10509" s="8">
        <v>39987.315405092595</v>
      </c>
      <c r="M10509" s="9" t="s">
        <v>19</v>
      </c>
      <c r="N10509" s="9" t="s">
        <v>20</v>
      </c>
      <c r="O10509" s="6" t="str">
        <f>HYPERLINK("https://pbs.twimg.com/profile_images/962471262747529216/Uo8lOkRJ_normal.jpg","View")</f>
        <v>View</v>
      </c>
      <c r="P10509" s="7"/>
    </row>
    <row r="10510" spans="1:16">
      <c r="A10510" s="3">
        <v>44104.860300925924</v>
      </c>
      <c r="B10510" s="4" t="str">
        <f>HYPERLINK("https://twitter.com/petrogustavo","@petrogustavo")</f>
        <v>@petrogustavo</v>
      </c>
      <c r="C10510" s="5" t="s">
        <v>16</v>
      </c>
      <c r="D10510" s="5" t="s">
        <v>10114</v>
      </c>
      <c r="E10510" s="6" t="str">
        <f>HYPERLINK("https://twitter.com/petrogustavo/status/1311322115510022144","1311322115510022144")</f>
        <v>1311322115510022144</v>
      </c>
      <c r="F10510" s="7" t="s">
        <v>17</v>
      </c>
      <c r="G10510" s="7">
        <v>3984680</v>
      </c>
      <c r="H10510" s="7">
        <v>2441</v>
      </c>
      <c r="I10510" s="7">
        <v>762</v>
      </c>
      <c r="J10510" s="7">
        <v>0</v>
      </c>
      <c r="K10510" s="7" t="s">
        <v>18</v>
      </c>
      <c r="L10510" s="8">
        <v>39987.315405092595</v>
      </c>
      <c r="M10510" s="9" t="s">
        <v>19</v>
      </c>
      <c r="N10510" s="9" t="s">
        <v>20</v>
      </c>
      <c r="O10510" s="6" t="str">
        <f>HYPERLINK("https://pbs.twimg.com/profile_images/962471262747529216/Uo8lOkRJ_normal.jpg","View")</f>
        <v>View</v>
      </c>
      <c r="P10510" s="7"/>
    </row>
    <row r="10511" spans="1:16">
      <c r="A10511" s="3">
        <v>44104.861157407402</v>
      </c>
      <c r="B10511" s="4" t="str">
        <f>HYPERLINK("https://twitter.com/petrogustavo","@petrogustavo")</f>
        <v>@petrogustavo</v>
      </c>
      <c r="C10511" s="5" t="s">
        <v>16</v>
      </c>
      <c r="D10511" s="5" t="s">
        <v>10115</v>
      </c>
      <c r="E10511" s="6" t="str">
        <f>HYPERLINK("https://twitter.com/petrogustavo/status/1311322429113892864","1311322429113892864")</f>
        <v>1311322429113892864</v>
      </c>
      <c r="F10511" s="7" t="s">
        <v>17</v>
      </c>
      <c r="G10511" s="7">
        <v>3984680</v>
      </c>
      <c r="H10511" s="7">
        <v>2441</v>
      </c>
      <c r="I10511" s="7">
        <v>798</v>
      </c>
      <c r="J10511" s="7">
        <v>0</v>
      </c>
      <c r="K10511" s="7" t="s">
        <v>18</v>
      </c>
      <c r="L10511" s="8">
        <v>39987.315405092595</v>
      </c>
      <c r="M10511" s="9" t="s">
        <v>19</v>
      </c>
      <c r="N10511" s="9" t="s">
        <v>20</v>
      </c>
      <c r="O10511" s="6" t="str">
        <f>HYPERLINK("https://pbs.twimg.com/profile_images/962471262747529216/Uo8lOkRJ_normal.jpg","View")</f>
        <v>View</v>
      </c>
      <c r="P10511" s="7"/>
    </row>
    <row r="10512" spans="1:16">
      <c r="A10512" s="3">
        <v>44104.861689814818</v>
      </c>
      <c r="B10512" s="4" t="str">
        <f>HYPERLINK("https://twitter.com/petrogustavo","@petrogustavo")</f>
        <v>@petrogustavo</v>
      </c>
      <c r="C10512" s="5" t="s">
        <v>16</v>
      </c>
      <c r="D10512" s="5" t="s">
        <v>10116</v>
      </c>
      <c r="E10512" s="6" t="str">
        <f>HYPERLINK("https://twitter.com/petrogustavo/status/1311322620571385856","1311322620571385856")</f>
        <v>1311322620571385856</v>
      </c>
      <c r="F10512" s="7" t="s">
        <v>17</v>
      </c>
      <c r="G10512" s="7">
        <v>3984680</v>
      </c>
      <c r="H10512" s="7">
        <v>2441</v>
      </c>
      <c r="I10512" s="7">
        <v>152</v>
      </c>
      <c r="J10512" s="7">
        <v>0</v>
      </c>
      <c r="K10512" s="7" t="s">
        <v>18</v>
      </c>
      <c r="L10512" s="8">
        <v>39987.315405092595</v>
      </c>
      <c r="M10512" s="9" t="s">
        <v>19</v>
      </c>
      <c r="N10512" s="9" t="s">
        <v>20</v>
      </c>
      <c r="O10512" s="6" t="str">
        <f>HYPERLINK("https://pbs.twimg.com/profile_images/962471262747529216/Uo8lOkRJ_normal.jpg","View")</f>
        <v>View</v>
      </c>
      <c r="P10512" s="7"/>
    </row>
    <row r="10513" spans="1:16">
      <c r="A10513" s="3">
        <v>44104.861817129626</v>
      </c>
      <c r="B10513" s="4" t="str">
        <f>HYPERLINK("https://twitter.com/petrogustavo","@petrogustavo")</f>
        <v>@petrogustavo</v>
      </c>
      <c r="C10513" s="5" t="s">
        <v>16</v>
      </c>
      <c r="D10513" s="5" t="s">
        <v>10117</v>
      </c>
      <c r="E10513" s="6" t="str">
        <f>HYPERLINK("https://twitter.com/petrogustavo/status/1311322666805211138","1311322666805211138")</f>
        <v>1311322666805211138</v>
      </c>
      <c r="F10513" s="7" t="s">
        <v>17</v>
      </c>
      <c r="G10513" s="7">
        <v>3984680</v>
      </c>
      <c r="H10513" s="7">
        <v>2441</v>
      </c>
      <c r="I10513" s="7">
        <v>634</v>
      </c>
      <c r="J10513" s="7">
        <v>0</v>
      </c>
      <c r="K10513" s="7" t="s">
        <v>18</v>
      </c>
      <c r="L10513" s="8">
        <v>39987.315405092595</v>
      </c>
      <c r="M10513" s="9" t="s">
        <v>19</v>
      </c>
      <c r="N10513" s="9" t="s">
        <v>20</v>
      </c>
      <c r="O10513" s="6" t="str">
        <f>HYPERLINK("https://pbs.twimg.com/profile_images/962471262747529216/Uo8lOkRJ_normal.jpg","View")</f>
        <v>View</v>
      </c>
      <c r="P10513" s="7"/>
    </row>
    <row r="10514" spans="1:16">
      <c r="A10514" s="3">
        <v>44104.862083333333</v>
      </c>
      <c r="B10514" s="4" t="str">
        <f>HYPERLINK("https://twitter.com/petrogustavo","@petrogustavo")</f>
        <v>@petrogustavo</v>
      </c>
      <c r="C10514" s="5" t="s">
        <v>16</v>
      </c>
      <c r="D10514" s="5" t="s">
        <v>10118</v>
      </c>
      <c r="E10514" s="6" t="str">
        <f>HYPERLINK("https://twitter.com/petrogustavo/status/1311322764482162688","1311322764482162688")</f>
        <v>1311322764482162688</v>
      </c>
      <c r="F10514" s="7" t="s">
        <v>17</v>
      </c>
      <c r="G10514" s="7">
        <v>3984680</v>
      </c>
      <c r="H10514" s="7">
        <v>2441</v>
      </c>
      <c r="I10514" s="7">
        <v>159</v>
      </c>
      <c r="J10514" s="7">
        <v>0</v>
      </c>
      <c r="K10514" s="7" t="s">
        <v>18</v>
      </c>
      <c r="L10514" s="8">
        <v>39987.315405092595</v>
      </c>
      <c r="M10514" s="9" t="s">
        <v>19</v>
      </c>
      <c r="N10514" s="9" t="s">
        <v>20</v>
      </c>
      <c r="O10514" s="6" t="str">
        <f>HYPERLINK("https://pbs.twimg.com/profile_images/962471262747529216/Uo8lOkRJ_normal.jpg","View")</f>
        <v>View</v>
      </c>
      <c r="P10514" s="7"/>
    </row>
    <row r="10515" spans="1:16">
      <c r="A10515" s="3">
        <v>44104.862638888888</v>
      </c>
      <c r="B10515" s="4" t="str">
        <f>HYPERLINK("https://twitter.com/petrogustavo","@petrogustavo")</f>
        <v>@petrogustavo</v>
      </c>
      <c r="C10515" s="5" t="s">
        <v>16</v>
      </c>
      <c r="D10515" s="5" t="s">
        <v>10119</v>
      </c>
      <c r="E10515" s="6" t="str">
        <f>HYPERLINK("https://twitter.com/petrogustavo/status/1311322962482651139","1311322962482651139")</f>
        <v>1311322962482651139</v>
      </c>
      <c r="F10515" s="7" t="s">
        <v>17</v>
      </c>
      <c r="G10515" s="7">
        <v>3984680</v>
      </c>
      <c r="H10515" s="7">
        <v>2441</v>
      </c>
      <c r="I10515" s="7">
        <v>706</v>
      </c>
      <c r="J10515" s="7">
        <v>0</v>
      </c>
      <c r="K10515" s="7" t="s">
        <v>18</v>
      </c>
      <c r="L10515" s="8">
        <v>39987.315405092595</v>
      </c>
      <c r="M10515" s="9" t="s">
        <v>19</v>
      </c>
      <c r="N10515" s="9" t="s">
        <v>20</v>
      </c>
      <c r="O10515" s="6" t="str">
        <f>HYPERLINK("https://pbs.twimg.com/profile_images/962471262747529216/Uo8lOkRJ_normal.jpg","View")</f>
        <v>View</v>
      </c>
      <c r="P10515" s="7"/>
    </row>
    <row r="10516" spans="1:16">
      <c r="A10516" s="3">
        <v>44104.863379629634</v>
      </c>
      <c r="B10516" s="4" t="str">
        <f>HYPERLINK("https://twitter.com/petrogustavo","@petrogustavo")</f>
        <v>@petrogustavo</v>
      </c>
      <c r="C10516" s="5" t="s">
        <v>16</v>
      </c>
      <c r="D10516" s="5" t="s">
        <v>10120</v>
      </c>
      <c r="E10516" s="6" t="str">
        <f>HYPERLINK("https://twitter.com/petrogustavo/status/1311323233438830593","1311323233438830593")</f>
        <v>1311323233438830593</v>
      </c>
      <c r="F10516" s="7" t="s">
        <v>17</v>
      </c>
      <c r="G10516" s="7">
        <v>3984680</v>
      </c>
      <c r="H10516" s="7">
        <v>2441</v>
      </c>
      <c r="I10516" s="7">
        <v>366</v>
      </c>
      <c r="J10516" s="7">
        <v>1319</v>
      </c>
      <c r="K10516" s="7" t="s">
        <v>18</v>
      </c>
      <c r="L10516" s="8">
        <v>39987.315405092595</v>
      </c>
      <c r="M10516" s="9" t="s">
        <v>19</v>
      </c>
      <c r="N10516" s="9" t="s">
        <v>20</v>
      </c>
      <c r="O10516" s="6" t="str">
        <f>HYPERLINK("https://pbs.twimg.com/profile_images/962471262747529216/Uo8lOkRJ_normal.jpg","View")</f>
        <v>View</v>
      </c>
      <c r="P10516" s="7"/>
    </row>
    <row r="10517" spans="1:16">
      <c r="A10517" s="3">
        <v>44104.883263888885</v>
      </c>
      <c r="B10517" s="4" t="str">
        <f>HYPERLINK("https://twitter.com/petrogustavo","@petrogustavo")</f>
        <v>@petrogustavo</v>
      </c>
      <c r="C10517" s="5" t="s">
        <v>16</v>
      </c>
      <c r="D10517" s="5" t="s">
        <v>10121</v>
      </c>
      <c r="E10517" s="6" t="str">
        <f>HYPERLINK("https://twitter.com/petrogustavo/status/1311330439450300417","1311330439450300417")</f>
        <v>1311330439450300417</v>
      </c>
      <c r="F10517" s="7" t="s">
        <v>32</v>
      </c>
      <c r="G10517" s="7">
        <v>3984698</v>
      </c>
      <c r="H10517" s="7">
        <v>2441</v>
      </c>
      <c r="I10517" s="7">
        <v>182</v>
      </c>
      <c r="J10517" s="7">
        <v>627</v>
      </c>
      <c r="K10517" s="7" t="s">
        <v>18</v>
      </c>
      <c r="L10517" s="8">
        <v>39987.315405092595</v>
      </c>
      <c r="M10517" s="9" t="s">
        <v>19</v>
      </c>
      <c r="N10517" s="9" t="s">
        <v>20</v>
      </c>
      <c r="O10517" s="6" t="str">
        <f>HYPERLINK("https://pbs.twimg.com/profile_images/962471262747529216/Uo8lOkRJ_normal.jpg","View")</f>
        <v>View</v>
      </c>
      <c r="P10517" s="7"/>
    </row>
    <row r="10518" spans="1:16">
      <c r="A10518" s="3">
        <v>44104.935648148152</v>
      </c>
      <c r="B10518" s="4" t="str">
        <f>HYPERLINK("https://twitter.com/petrogustavo","@petrogustavo")</f>
        <v>@petrogustavo</v>
      </c>
      <c r="C10518" s="5" t="s">
        <v>16</v>
      </c>
      <c r="D10518" s="5" t="s">
        <v>10122</v>
      </c>
      <c r="E10518" s="6" t="str">
        <f>HYPERLINK("https://twitter.com/petrogustavo/status/1311349420764663811","1311349420764663811")</f>
        <v>1311349420764663811</v>
      </c>
      <c r="F10518" s="7" t="s">
        <v>32</v>
      </c>
      <c r="G10518" s="7">
        <v>3984733</v>
      </c>
      <c r="H10518" s="7">
        <v>2441</v>
      </c>
      <c r="I10518" s="7">
        <v>53</v>
      </c>
      <c r="J10518" s="7">
        <v>0</v>
      </c>
      <c r="K10518" s="7" t="s">
        <v>18</v>
      </c>
      <c r="L10518" s="8">
        <v>39987.315405092595</v>
      </c>
      <c r="M10518" s="9" t="s">
        <v>19</v>
      </c>
      <c r="N10518" s="9" t="s">
        <v>20</v>
      </c>
      <c r="O10518" s="6" t="str">
        <f>HYPERLINK("https://pbs.twimg.com/profile_images/962471262747529216/Uo8lOkRJ_normal.jpg","View")</f>
        <v>View</v>
      </c>
      <c r="P10518" s="7"/>
    </row>
    <row r="10519" spans="1:16">
      <c r="A10519" s="3">
        <v>44104.940358796295</v>
      </c>
      <c r="B10519" s="4" t="str">
        <f>HYPERLINK("https://twitter.com/petrogustavo","@petrogustavo")</f>
        <v>@petrogustavo</v>
      </c>
      <c r="C10519" s="5" t="s">
        <v>16</v>
      </c>
      <c r="D10519" s="5" t="s">
        <v>10123</v>
      </c>
      <c r="E10519" s="6" t="str">
        <f>HYPERLINK("https://twitter.com/petrogustavo/status/1311351127590481921","1311351127590481921")</f>
        <v>1311351127590481921</v>
      </c>
      <c r="F10519" s="7" t="s">
        <v>32</v>
      </c>
      <c r="G10519" s="7">
        <v>3984741</v>
      </c>
      <c r="H10519" s="7">
        <v>2441</v>
      </c>
      <c r="I10519" s="7">
        <v>65</v>
      </c>
      <c r="J10519" s="7">
        <v>0</v>
      </c>
      <c r="K10519" s="7" t="s">
        <v>18</v>
      </c>
      <c r="L10519" s="8">
        <v>39987.315405092595</v>
      </c>
      <c r="M10519" s="9" t="s">
        <v>19</v>
      </c>
      <c r="N10519" s="9" t="s">
        <v>20</v>
      </c>
      <c r="O10519" s="6" t="str">
        <f>HYPERLINK("https://pbs.twimg.com/profile_images/962471262747529216/Uo8lOkRJ_normal.jpg","View")</f>
        <v>View</v>
      </c>
      <c r="P10519" s="7"/>
    </row>
    <row r="10520" spans="1:16">
      <c r="A10520" s="3">
        <v>44104.943425925929</v>
      </c>
      <c r="B10520" s="4" t="str">
        <f>HYPERLINK("https://twitter.com/petrogustavo","@petrogustavo")</f>
        <v>@petrogustavo</v>
      </c>
      <c r="C10520" s="5" t="s">
        <v>16</v>
      </c>
      <c r="D10520" s="5" t="s">
        <v>10124</v>
      </c>
      <c r="E10520" s="6" t="str">
        <f>HYPERLINK("https://twitter.com/petrogustavo/status/1311352242197364737","1311352242197364737")</f>
        <v>1311352242197364737</v>
      </c>
      <c r="F10520" s="7" t="s">
        <v>32</v>
      </c>
      <c r="G10520" s="7">
        <v>3984741</v>
      </c>
      <c r="H10520" s="7">
        <v>2441</v>
      </c>
      <c r="I10520" s="7">
        <v>102</v>
      </c>
      <c r="J10520" s="7">
        <v>245</v>
      </c>
      <c r="K10520" s="7" t="s">
        <v>18</v>
      </c>
      <c r="L10520" s="8">
        <v>39987.315405092595</v>
      </c>
      <c r="M10520" s="9" t="s">
        <v>19</v>
      </c>
      <c r="N10520" s="9" t="s">
        <v>20</v>
      </c>
      <c r="O10520" s="6" t="str">
        <f>HYPERLINK("https://pbs.twimg.com/profile_images/962471262747529216/Uo8lOkRJ_normal.jpg","View")</f>
        <v>View</v>
      </c>
      <c r="P10520" s="7"/>
    </row>
    <row r="10521" spans="1:16">
      <c r="A10521" s="3">
        <v>44104.951840277776</v>
      </c>
      <c r="B10521" s="4" t="str">
        <f>HYPERLINK("https://twitter.com/petrogustavo","@petrogustavo")</f>
        <v>@petrogustavo</v>
      </c>
      <c r="C10521" s="5" t="s">
        <v>16</v>
      </c>
      <c r="D10521" s="5" t="s">
        <v>10125</v>
      </c>
      <c r="E10521" s="6" t="str">
        <f>HYPERLINK("https://twitter.com/petrogustavo/status/1311355287593463810","1311355287593463810")</f>
        <v>1311355287593463810</v>
      </c>
      <c r="F10521" s="7" t="s">
        <v>32</v>
      </c>
      <c r="G10521" s="7">
        <v>3984741</v>
      </c>
      <c r="H10521" s="7">
        <v>2441</v>
      </c>
      <c r="I10521" s="7">
        <v>57</v>
      </c>
      <c r="J10521" s="7">
        <v>149</v>
      </c>
      <c r="K10521" s="7" t="s">
        <v>18</v>
      </c>
      <c r="L10521" s="8">
        <v>39987.315405092595</v>
      </c>
      <c r="M10521" s="9" t="s">
        <v>19</v>
      </c>
      <c r="N10521" s="9" t="s">
        <v>20</v>
      </c>
      <c r="O10521" s="6" t="str">
        <f>HYPERLINK("https://pbs.twimg.com/profile_images/962471262747529216/Uo8lOkRJ_normal.jpg","View")</f>
        <v>View</v>
      </c>
      <c r="P10521" s="7"/>
    </row>
    <row r="10522" spans="1:16">
      <c r="A10522" s="3">
        <v>44104.953784722224</v>
      </c>
      <c r="B10522" s="4" t="str">
        <f>HYPERLINK("https://twitter.com/petrogustavo","@petrogustavo")</f>
        <v>@petrogustavo</v>
      </c>
      <c r="C10522" s="5" t="s">
        <v>16</v>
      </c>
      <c r="D10522" s="5" t="s">
        <v>10126</v>
      </c>
      <c r="E10522" s="6" t="str">
        <f>HYPERLINK("https://twitter.com/petrogustavo/status/1311355993138356226","1311355993138356226")</f>
        <v>1311355993138356226</v>
      </c>
      <c r="F10522" s="7" t="s">
        <v>32</v>
      </c>
      <c r="G10522" s="7">
        <v>3984741</v>
      </c>
      <c r="H10522" s="7">
        <v>2441</v>
      </c>
      <c r="I10522" s="7">
        <v>35</v>
      </c>
      <c r="J10522" s="7">
        <v>0</v>
      </c>
      <c r="K10522" s="7" t="s">
        <v>18</v>
      </c>
      <c r="L10522" s="8">
        <v>39987.315405092595</v>
      </c>
      <c r="M10522" s="9" t="s">
        <v>19</v>
      </c>
      <c r="N10522" s="9" t="s">
        <v>20</v>
      </c>
      <c r="O10522" s="6" t="str">
        <f>HYPERLINK("https://pbs.twimg.com/profile_images/962471262747529216/Uo8lOkRJ_normal.jpg","View")</f>
        <v>View</v>
      </c>
      <c r="P10522" s="7"/>
    </row>
    <row r="10523" spans="1:16">
      <c r="A10523" s="3">
        <v>44104.961967592593</v>
      </c>
      <c r="B10523" s="4" t="str">
        <f>HYPERLINK("https://twitter.com/petrogustavo","@petrogustavo")</f>
        <v>@petrogustavo</v>
      </c>
      <c r="C10523" s="5" t="s">
        <v>16</v>
      </c>
      <c r="D10523" s="5" t="s">
        <v>10127</v>
      </c>
      <c r="E10523" s="6" t="str">
        <f>HYPERLINK("https://twitter.com/petrogustavo/status/1311358960335597569","1311358960335597569")</f>
        <v>1311358960335597569</v>
      </c>
      <c r="F10523" s="7" t="s">
        <v>32</v>
      </c>
      <c r="G10523" s="7">
        <v>3984755</v>
      </c>
      <c r="H10523" s="7">
        <v>2441</v>
      </c>
      <c r="I10523" s="7">
        <v>56</v>
      </c>
      <c r="J10523" s="7">
        <v>0</v>
      </c>
      <c r="K10523" s="7" t="s">
        <v>18</v>
      </c>
      <c r="L10523" s="8">
        <v>39987.315405092595</v>
      </c>
      <c r="M10523" s="9" t="s">
        <v>19</v>
      </c>
      <c r="N10523" s="9" t="s">
        <v>20</v>
      </c>
      <c r="O10523" s="6" t="str">
        <f>HYPERLINK("https://pbs.twimg.com/profile_images/962471262747529216/Uo8lOkRJ_normal.jpg","View")</f>
        <v>View</v>
      </c>
      <c r="P10523" s="7"/>
    </row>
    <row r="10524" spans="1:16">
      <c r="A10524" s="3">
        <v>44104.973576388889</v>
      </c>
      <c r="B10524" s="4" t="str">
        <f>HYPERLINK("https://twitter.com/petrogustavo","@petrogustavo")</f>
        <v>@petrogustavo</v>
      </c>
      <c r="C10524" s="5" t="s">
        <v>16</v>
      </c>
      <c r="D10524" s="5" t="s">
        <v>10128</v>
      </c>
      <c r="E10524" s="6" t="str">
        <f>HYPERLINK("https://twitter.com/petrogustavo/status/1311363167780560897","1311363167780560897")</f>
        <v>1311363167780560897</v>
      </c>
      <c r="F10524" s="7" t="s">
        <v>32</v>
      </c>
      <c r="G10524" s="7">
        <v>3984755</v>
      </c>
      <c r="H10524" s="7">
        <v>2441</v>
      </c>
      <c r="I10524" s="7">
        <v>109</v>
      </c>
      <c r="J10524" s="7">
        <v>339</v>
      </c>
      <c r="K10524" s="7" t="s">
        <v>18</v>
      </c>
      <c r="L10524" s="8">
        <v>39987.315405092595</v>
      </c>
      <c r="M10524" s="9" t="s">
        <v>19</v>
      </c>
      <c r="N10524" s="9" t="s">
        <v>20</v>
      </c>
      <c r="O10524" s="6" t="str">
        <f>HYPERLINK("https://pbs.twimg.com/profile_images/962471262747529216/Uo8lOkRJ_normal.jpg","View")</f>
        <v>View</v>
      </c>
      <c r="P10524" s="7"/>
    </row>
    <row r="10525" spans="1:16">
      <c r="A10525" s="3">
        <v>44104.989652777775</v>
      </c>
      <c r="B10525" s="4" t="str">
        <f>HYPERLINK("https://twitter.com/petrogustavo","@petrogustavo")</f>
        <v>@petrogustavo</v>
      </c>
      <c r="C10525" s="5" t="s">
        <v>16</v>
      </c>
      <c r="D10525" s="5" t="s">
        <v>10129</v>
      </c>
      <c r="E10525" s="6" t="str">
        <f>HYPERLINK("https://twitter.com/petrogustavo/status/1311368994096590848","1311368994096590848")</f>
        <v>1311368994096590848</v>
      </c>
      <c r="F10525" s="7" t="s">
        <v>32</v>
      </c>
      <c r="G10525" s="7">
        <v>3984767</v>
      </c>
      <c r="H10525" s="7">
        <v>2441</v>
      </c>
      <c r="I10525" s="7">
        <v>20</v>
      </c>
      <c r="J10525" s="7">
        <v>0</v>
      </c>
      <c r="K10525" s="7" t="s">
        <v>18</v>
      </c>
      <c r="L10525" s="8">
        <v>39987.315405092595</v>
      </c>
      <c r="M10525" s="9" t="s">
        <v>19</v>
      </c>
      <c r="N10525" s="9" t="s">
        <v>20</v>
      </c>
      <c r="O10525" s="6" t="str">
        <f>HYPERLINK("https://pbs.twimg.com/profile_images/962471262747529216/Uo8lOkRJ_normal.jpg","View")</f>
        <v>View</v>
      </c>
      <c r="P10525" s="7"/>
    </row>
    <row r="10526" spans="1:16">
      <c r="A10526" s="3">
        <v>44105.009351851855</v>
      </c>
      <c r="B10526" s="4" t="str">
        <f>HYPERLINK("https://twitter.com/petrogustavo","@petrogustavo")</f>
        <v>@petrogustavo</v>
      </c>
      <c r="C10526" s="5" t="s">
        <v>16</v>
      </c>
      <c r="D10526" s="5" t="s">
        <v>10130</v>
      </c>
      <c r="E10526" s="6" t="str">
        <f>HYPERLINK("https://twitter.com/petrogustavo/status/1311376132839813123","1311376132839813123")</f>
        <v>1311376132839813123</v>
      </c>
      <c r="F10526" s="7" t="s">
        <v>32</v>
      </c>
      <c r="G10526" s="7">
        <v>3984775</v>
      </c>
      <c r="H10526" s="7">
        <v>2441</v>
      </c>
      <c r="I10526" s="7">
        <v>108</v>
      </c>
      <c r="J10526" s="7">
        <v>270</v>
      </c>
      <c r="K10526" s="7" t="s">
        <v>18</v>
      </c>
      <c r="L10526" s="8">
        <v>39987.315405092595</v>
      </c>
      <c r="M10526" s="9" t="s">
        <v>19</v>
      </c>
      <c r="N10526" s="9" t="s">
        <v>20</v>
      </c>
      <c r="O10526" s="6" t="str">
        <f>HYPERLINK("https://pbs.twimg.com/profile_images/962471262747529216/Uo8lOkRJ_normal.jpg","View")</f>
        <v>View</v>
      </c>
      <c r="P10526" s="7"/>
    </row>
    <row r="10527" spans="1:16">
      <c r="A10527" s="3">
        <v>44105.011967592596</v>
      </c>
      <c r="B10527" s="4" t="str">
        <f>HYPERLINK("https://twitter.com/petrogustavo","@petrogustavo")</f>
        <v>@petrogustavo</v>
      </c>
      <c r="C10527" s="5" t="s">
        <v>16</v>
      </c>
      <c r="D10527" s="5" t="s">
        <v>10131</v>
      </c>
      <c r="E10527" s="6" t="str">
        <f>HYPERLINK("https://twitter.com/petrogustavo/status/1311377079708069891","1311377079708069891")</f>
        <v>1311377079708069891</v>
      </c>
      <c r="F10527" s="7" t="s">
        <v>32</v>
      </c>
      <c r="G10527" s="7">
        <v>3984775</v>
      </c>
      <c r="H10527" s="7">
        <v>2441</v>
      </c>
      <c r="I10527" s="7">
        <v>131</v>
      </c>
      <c r="J10527" s="7">
        <v>518</v>
      </c>
      <c r="K10527" s="7" t="s">
        <v>18</v>
      </c>
      <c r="L10527" s="8">
        <v>39987.315405092595</v>
      </c>
      <c r="M10527" s="9" t="s">
        <v>19</v>
      </c>
      <c r="N10527" s="9" t="s">
        <v>20</v>
      </c>
      <c r="O10527" s="6" t="str">
        <f>HYPERLINK("https://pbs.twimg.com/profile_images/962471262747529216/Uo8lOkRJ_normal.jpg","View")</f>
        <v>View</v>
      </c>
      <c r="P10527" s="7"/>
    </row>
    <row r="10528" spans="1:16">
      <c r="A10528" s="3">
        <v>44105.013009259259</v>
      </c>
      <c r="B10528" s="4" t="str">
        <f>HYPERLINK("https://twitter.com/petrogustavo","@petrogustavo")</f>
        <v>@petrogustavo</v>
      </c>
      <c r="C10528" s="5" t="s">
        <v>16</v>
      </c>
      <c r="D10528" s="5" t="s">
        <v>10132</v>
      </c>
      <c r="E10528" s="6" t="str">
        <f>HYPERLINK("https://twitter.com/petrogustavo/status/1311377456549564416","1311377456549564416")</f>
        <v>1311377456549564416</v>
      </c>
      <c r="F10528" s="7" t="s">
        <v>32</v>
      </c>
      <c r="G10528" s="7">
        <v>3984775</v>
      </c>
      <c r="H10528" s="7">
        <v>2441</v>
      </c>
      <c r="I10528" s="7">
        <v>235</v>
      </c>
      <c r="J10528" s="7">
        <v>0</v>
      </c>
      <c r="K10528" s="7" t="s">
        <v>18</v>
      </c>
      <c r="L10528" s="8">
        <v>39987.315405092595</v>
      </c>
      <c r="M10528" s="9" t="s">
        <v>19</v>
      </c>
      <c r="N10528" s="9" t="s">
        <v>20</v>
      </c>
      <c r="O10528" s="6" t="str">
        <f>HYPERLINK("https://pbs.twimg.com/profile_images/962471262747529216/Uo8lOkRJ_normal.jpg","View")</f>
        <v>View</v>
      </c>
      <c r="P10528" s="7"/>
    </row>
    <row r="10529" spans="1:16">
      <c r="A10529" s="3">
        <v>44105.015555555554</v>
      </c>
      <c r="B10529" s="4" t="str">
        <f>HYPERLINK("https://twitter.com/petrogustavo","@petrogustavo")</f>
        <v>@petrogustavo</v>
      </c>
      <c r="C10529" s="5" t="s">
        <v>16</v>
      </c>
      <c r="D10529" s="5" t="s">
        <v>10133</v>
      </c>
      <c r="E10529" s="6" t="str">
        <f>HYPERLINK("https://twitter.com/petrogustavo/status/1311378379376152581","1311378379376152581")</f>
        <v>1311378379376152581</v>
      </c>
      <c r="F10529" s="7" t="s">
        <v>32</v>
      </c>
      <c r="G10529" s="7">
        <v>3984775</v>
      </c>
      <c r="H10529" s="7">
        <v>2441</v>
      </c>
      <c r="I10529" s="7">
        <v>70</v>
      </c>
      <c r="J10529" s="7">
        <v>0</v>
      </c>
      <c r="K10529" s="7" t="s">
        <v>18</v>
      </c>
      <c r="L10529" s="8">
        <v>39987.315405092595</v>
      </c>
      <c r="M10529" s="9" t="s">
        <v>19</v>
      </c>
      <c r="N10529" s="9" t="s">
        <v>20</v>
      </c>
      <c r="O10529" s="6" t="str">
        <f>HYPERLINK("https://pbs.twimg.com/profile_images/962471262747529216/Uo8lOkRJ_normal.jpg","View")</f>
        <v>View</v>
      </c>
      <c r="P10529" s="7"/>
    </row>
    <row r="10530" spans="1:16">
      <c r="A10530" s="3">
        <v>44105.073807870373</v>
      </c>
      <c r="B10530" s="4" t="str">
        <f>HYPERLINK("https://twitter.com/petrogustavo","@petrogustavo")</f>
        <v>@petrogustavo</v>
      </c>
      <c r="C10530" s="5" t="s">
        <v>16</v>
      </c>
      <c r="D10530" s="5" t="s">
        <v>10134</v>
      </c>
      <c r="E10530" s="6" t="str">
        <f>HYPERLINK("https://twitter.com/petrogustavo/status/1311399488863563779","1311399488863563779")</f>
        <v>1311399488863563779</v>
      </c>
      <c r="F10530" s="7" t="s">
        <v>17</v>
      </c>
      <c r="G10530" s="7">
        <v>3984798</v>
      </c>
      <c r="H10530" s="7">
        <v>2441</v>
      </c>
      <c r="I10530" s="7">
        <v>196</v>
      </c>
      <c r="J10530" s="7">
        <v>0</v>
      </c>
      <c r="K10530" s="7" t="s">
        <v>18</v>
      </c>
      <c r="L10530" s="8">
        <v>39987.315405092595</v>
      </c>
      <c r="M10530" s="9" t="s">
        <v>19</v>
      </c>
      <c r="N10530" s="9" t="s">
        <v>20</v>
      </c>
      <c r="O10530" s="6" t="str">
        <f>HYPERLINK("https://pbs.twimg.com/profile_images/962471262747529216/Uo8lOkRJ_normal.jpg","View")</f>
        <v>View</v>
      </c>
      <c r="P10530" s="7"/>
    </row>
    <row r="10531" spans="1:16">
      <c r="A10531" s="3">
        <v>44105.079201388886</v>
      </c>
      <c r="B10531" s="4" t="str">
        <f>HYPERLINK("https://twitter.com/petrogustavo","@petrogustavo")</f>
        <v>@petrogustavo</v>
      </c>
      <c r="C10531" s="5" t="s">
        <v>16</v>
      </c>
      <c r="D10531" s="5" t="s">
        <v>10135</v>
      </c>
      <c r="E10531" s="6" t="str">
        <f>HYPERLINK("https://twitter.com/petrogustavo/status/1311401444986286083","1311401444986286083")</f>
        <v>1311401444986286083</v>
      </c>
      <c r="F10531" s="7" t="s">
        <v>17</v>
      </c>
      <c r="G10531" s="7">
        <v>3984798</v>
      </c>
      <c r="H10531" s="7">
        <v>2441</v>
      </c>
      <c r="I10531" s="7">
        <v>25</v>
      </c>
      <c r="J10531" s="7">
        <v>0</v>
      </c>
      <c r="K10531" s="7" t="s">
        <v>18</v>
      </c>
      <c r="L10531" s="8">
        <v>39987.315405092595</v>
      </c>
      <c r="M10531" s="9" t="s">
        <v>19</v>
      </c>
      <c r="N10531" s="9" t="s">
        <v>20</v>
      </c>
      <c r="O10531" s="6" t="str">
        <f>HYPERLINK("https://pbs.twimg.com/profile_images/962471262747529216/Uo8lOkRJ_normal.jpg","View")</f>
        <v>View</v>
      </c>
      <c r="P10531" s="7"/>
    </row>
    <row r="10532" spans="1:16">
      <c r="A10532" s="3">
        <v>44105.079988425925</v>
      </c>
      <c r="B10532" s="4" t="str">
        <f>HYPERLINK("https://twitter.com/petrogustavo","@petrogustavo")</f>
        <v>@petrogustavo</v>
      </c>
      <c r="C10532" s="5" t="s">
        <v>16</v>
      </c>
      <c r="D10532" s="5" t="s">
        <v>10136</v>
      </c>
      <c r="E10532" s="6" t="str">
        <f>HYPERLINK("https://twitter.com/petrogustavo/status/1311401729569828864","1311401729569828864")</f>
        <v>1311401729569828864</v>
      </c>
      <c r="F10532" s="7" t="s">
        <v>17</v>
      </c>
      <c r="G10532" s="7">
        <v>3984798</v>
      </c>
      <c r="H10532" s="7">
        <v>2441</v>
      </c>
      <c r="I10532" s="7">
        <v>40</v>
      </c>
      <c r="J10532" s="7">
        <v>0</v>
      </c>
      <c r="K10532" s="7" t="s">
        <v>18</v>
      </c>
      <c r="L10532" s="8">
        <v>39987.315405092595</v>
      </c>
      <c r="M10532" s="9" t="s">
        <v>19</v>
      </c>
      <c r="N10532" s="9" t="s">
        <v>20</v>
      </c>
      <c r="O10532" s="6" t="str">
        <f>HYPERLINK("https://pbs.twimg.com/profile_images/962471262747529216/Uo8lOkRJ_normal.jpg","View")</f>
        <v>View</v>
      </c>
      <c r="P10532" s="7"/>
    </row>
    <row r="10533" spans="1:16">
      <c r="A10533" s="3">
        <v>44105.105532407411</v>
      </c>
      <c r="B10533" s="4" t="str">
        <f>HYPERLINK("https://twitter.com/petrogustavo","@petrogustavo")</f>
        <v>@petrogustavo</v>
      </c>
      <c r="C10533" s="5" t="s">
        <v>16</v>
      </c>
      <c r="D10533" s="5" t="s">
        <v>10137</v>
      </c>
      <c r="E10533" s="6" t="str">
        <f>HYPERLINK("https://twitter.com/petrogustavo/status/1311410987103330305","1311410987103330305")</f>
        <v>1311410987103330305</v>
      </c>
      <c r="F10533" s="7" t="s">
        <v>32</v>
      </c>
      <c r="G10533" s="7">
        <v>3984807</v>
      </c>
      <c r="H10533" s="7">
        <v>2441</v>
      </c>
      <c r="I10533" s="7">
        <v>13</v>
      </c>
      <c r="J10533" s="7">
        <v>53</v>
      </c>
      <c r="K10533" s="7" t="s">
        <v>18</v>
      </c>
      <c r="L10533" s="8">
        <v>39987.315405092595</v>
      </c>
      <c r="M10533" s="9" t="s">
        <v>19</v>
      </c>
      <c r="N10533" s="9" t="s">
        <v>20</v>
      </c>
      <c r="O10533" s="6" t="str">
        <f>HYPERLINK("https://pbs.twimg.com/profile_images/962471262747529216/Uo8lOkRJ_normal.jpg","View")</f>
        <v>View</v>
      </c>
      <c r="P10533" s="7"/>
    </row>
    <row r="10534" spans="1:16">
      <c r="A10534" s="3">
        <v>44105.16375</v>
      </c>
      <c r="B10534" s="4" t="str">
        <f>HYPERLINK("https://twitter.com/petrogustavo","@petrogustavo")</f>
        <v>@petrogustavo</v>
      </c>
      <c r="C10534" s="5" t="s">
        <v>16</v>
      </c>
      <c r="D10534" s="5" t="s">
        <v>10138</v>
      </c>
      <c r="E10534" s="6" t="str">
        <f>HYPERLINK("https://twitter.com/petrogustavo/status/1311432081440944133","1311432081440944133")</f>
        <v>1311432081440944133</v>
      </c>
      <c r="F10534" s="7" t="s">
        <v>17</v>
      </c>
      <c r="G10534" s="7">
        <v>3984810</v>
      </c>
      <c r="H10534" s="7">
        <v>2441</v>
      </c>
      <c r="I10534" s="7">
        <v>70</v>
      </c>
      <c r="J10534" s="7">
        <v>131</v>
      </c>
      <c r="K10534" s="7" t="s">
        <v>18</v>
      </c>
      <c r="L10534" s="8">
        <v>39987.315405092595</v>
      </c>
      <c r="M10534" s="9" t="s">
        <v>19</v>
      </c>
      <c r="N10534" s="9" t="s">
        <v>20</v>
      </c>
      <c r="O10534" s="6" t="str">
        <f>HYPERLINK("https://pbs.twimg.com/profile_images/962471262747529216/Uo8lOkRJ_normal.jpg","View")</f>
        <v>View</v>
      </c>
      <c r="P10534" s="7"/>
    </row>
    <row r="10535" spans="1:16">
      <c r="A10535" s="3">
        <v>44105.255023148144</v>
      </c>
      <c r="B10535" s="4" t="str">
        <f>HYPERLINK("https://twitter.com/petrogustavo","@petrogustavo")</f>
        <v>@petrogustavo</v>
      </c>
      <c r="C10535" s="5" t="s">
        <v>16</v>
      </c>
      <c r="D10535" s="5" t="s">
        <v>10139</v>
      </c>
      <c r="E10535" s="6" t="str">
        <f>HYPERLINK("https://twitter.com/petrogustavo/status/1311465160146591745","1311465160146591745")</f>
        <v>1311465160146591745</v>
      </c>
      <c r="F10535" s="7" t="s">
        <v>32</v>
      </c>
      <c r="G10535" s="7">
        <v>3984883</v>
      </c>
      <c r="H10535" s="7">
        <v>2441</v>
      </c>
      <c r="I10535" s="7">
        <v>109</v>
      </c>
      <c r="J10535" s="7">
        <v>0</v>
      </c>
      <c r="K10535" s="7" t="s">
        <v>18</v>
      </c>
      <c r="L10535" s="8">
        <v>39987.315405092595</v>
      </c>
      <c r="M10535" s="9" t="s">
        <v>19</v>
      </c>
      <c r="N10535" s="9" t="s">
        <v>20</v>
      </c>
      <c r="O10535" s="6" t="str">
        <f>HYPERLINK("https://pbs.twimg.com/profile_images/962471262747529216/Uo8lOkRJ_normal.jpg","View")</f>
        <v>View</v>
      </c>
      <c r="P10535" s="7"/>
    </row>
    <row r="10536" spans="1:16">
      <c r="A10536" s="3">
        <v>44105.263032407413</v>
      </c>
      <c r="B10536" s="4" t="str">
        <f>HYPERLINK("https://twitter.com/petrogustavo","@petrogustavo")</f>
        <v>@petrogustavo</v>
      </c>
      <c r="C10536" s="5" t="s">
        <v>16</v>
      </c>
      <c r="D10536" s="5" t="s">
        <v>10140</v>
      </c>
      <c r="E10536" s="6" t="str">
        <f>HYPERLINK("https://twitter.com/petrogustavo/status/1311468060671344640","1311468060671344640")</f>
        <v>1311468060671344640</v>
      </c>
      <c r="F10536" s="7" t="s">
        <v>32</v>
      </c>
      <c r="G10536" s="7">
        <v>3984883</v>
      </c>
      <c r="H10536" s="7">
        <v>2441</v>
      </c>
      <c r="I10536" s="7">
        <v>51</v>
      </c>
      <c r="J10536" s="7">
        <v>0</v>
      </c>
      <c r="K10536" s="7" t="s">
        <v>18</v>
      </c>
      <c r="L10536" s="8">
        <v>39987.315405092595</v>
      </c>
      <c r="M10536" s="9" t="s">
        <v>19</v>
      </c>
      <c r="N10536" s="9" t="s">
        <v>20</v>
      </c>
      <c r="O10536" s="6" t="str">
        <f>HYPERLINK("https://pbs.twimg.com/profile_images/962471262747529216/Uo8lOkRJ_normal.jpg","View")</f>
        <v>View</v>
      </c>
      <c r="P10536" s="7"/>
    </row>
    <row r="10537" spans="1:16">
      <c r="A10537" s="3">
        <v>44105.26939814815</v>
      </c>
      <c r="B10537" s="4" t="str">
        <f>HYPERLINK("https://twitter.com/petrogustavo","@petrogustavo")</f>
        <v>@petrogustavo</v>
      </c>
      <c r="C10537" s="5" t="s">
        <v>16</v>
      </c>
      <c r="D10537" s="5" t="s">
        <v>10141</v>
      </c>
      <c r="E10537" s="6" t="str">
        <f>HYPERLINK("https://twitter.com/petrogustavo/status/1311470368650129408","1311470368650129408")</f>
        <v>1311470368650129408</v>
      </c>
      <c r="F10537" s="7" t="s">
        <v>32</v>
      </c>
      <c r="G10537" s="7">
        <v>3984883</v>
      </c>
      <c r="H10537" s="7">
        <v>2441</v>
      </c>
      <c r="I10537" s="7">
        <v>21</v>
      </c>
      <c r="J10537" s="7">
        <v>0</v>
      </c>
      <c r="K10537" s="7" t="s">
        <v>18</v>
      </c>
      <c r="L10537" s="8">
        <v>39987.315405092595</v>
      </c>
      <c r="M10537" s="9" t="s">
        <v>19</v>
      </c>
      <c r="N10537" s="9" t="s">
        <v>20</v>
      </c>
      <c r="O10537" s="6" t="str">
        <f>HYPERLINK("https://pbs.twimg.com/profile_images/962471262747529216/Uo8lOkRJ_normal.jpg","View")</f>
        <v>View</v>
      </c>
      <c r="P10537" s="7"/>
    </row>
    <row r="10538" spans="1:16">
      <c r="A10538" s="3">
        <v>44105.274942129632</v>
      </c>
      <c r="B10538" s="4" t="str">
        <f>HYPERLINK("https://twitter.com/petrogustavo","@petrogustavo")</f>
        <v>@petrogustavo</v>
      </c>
      <c r="C10538" s="5" t="s">
        <v>16</v>
      </c>
      <c r="D10538" s="5" t="s">
        <v>10142</v>
      </c>
      <c r="E10538" s="6" t="str">
        <f>HYPERLINK("https://twitter.com/petrogustavo/status/1311472379256868866","1311472379256868866")</f>
        <v>1311472379256868866</v>
      </c>
      <c r="F10538" s="7" t="s">
        <v>32</v>
      </c>
      <c r="G10538" s="7">
        <v>3984905</v>
      </c>
      <c r="H10538" s="7">
        <v>2441</v>
      </c>
      <c r="I10538" s="7">
        <v>169</v>
      </c>
      <c r="J10538" s="7">
        <v>310</v>
      </c>
      <c r="K10538" s="7" t="s">
        <v>18</v>
      </c>
      <c r="L10538" s="8">
        <v>39987.315405092595</v>
      </c>
      <c r="M10538" s="9" t="s">
        <v>19</v>
      </c>
      <c r="N10538" s="9" t="s">
        <v>20</v>
      </c>
      <c r="O10538" s="6" t="str">
        <f>HYPERLINK("https://pbs.twimg.com/profile_images/962471262747529216/Uo8lOkRJ_normal.jpg","View")</f>
        <v>View</v>
      </c>
      <c r="P10538" s="7"/>
    </row>
    <row r="10539" spans="1:16">
      <c r="A10539" s="3">
        <v>44105.290081018524</v>
      </c>
      <c r="B10539" s="4" t="str">
        <f>HYPERLINK("https://twitter.com/petrogustavo","@petrogustavo")</f>
        <v>@petrogustavo</v>
      </c>
      <c r="C10539" s="5" t="s">
        <v>16</v>
      </c>
      <c r="D10539" s="5" t="s">
        <v>10143</v>
      </c>
      <c r="E10539" s="6" t="str">
        <f>HYPERLINK("https://twitter.com/petrogustavo/status/1311477864651526145","1311477864651526145")</f>
        <v>1311477864651526145</v>
      </c>
      <c r="F10539" s="7" t="s">
        <v>32</v>
      </c>
      <c r="G10539" s="7">
        <v>3984905</v>
      </c>
      <c r="H10539" s="7">
        <v>2441</v>
      </c>
      <c r="I10539" s="7">
        <v>19</v>
      </c>
      <c r="J10539" s="7">
        <v>0</v>
      </c>
      <c r="K10539" s="7" t="s">
        <v>18</v>
      </c>
      <c r="L10539" s="8">
        <v>39987.315405092595</v>
      </c>
      <c r="M10539" s="9" t="s">
        <v>19</v>
      </c>
      <c r="N10539" s="9" t="s">
        <v>20</v>
      </c>
      <c r="O10539" s="6" t="str">
        <f>HYPERLINK("https://pbs.twimg.com/profile_images/962471262747529216/Uo8lOkRJ_normal.jpg","View")</f>
        <v>View</v>
      </c>
      <c r="P10539" s="7"/>
    </row>
    <row r="10540" spans="1:16">
      <c r="A10540" s="3">
        <v>44105.29310185185</v>
      </c>
      <c r="B10540" s="4" t="str">
        <f>HYPERLINK("https://twitter.com/petrogustavo","@petrogustavo")</f>
        <v>@petrogustavo</v>
      </c>
      <c r="C10540" s="5" t="s">
        <v>16</v>
      </c>
      <c r="D10540" s="5" t="s">
        <v>10144</v>
      </c>
      <c r="E10540" s="6" t="str">
        <f>HYPERLINK("https://twitter.com/petrogustavo/status/1311478957586477056","1311478957586477056")</f>
        <v>1311478957586477056</v>
      </c>
      <c r="F10540" s="7" t="s">
        <v>32</v>
      </c>
      <c r="G10540" s="7">
        <v>3984905</v>
      </c>
      <c r="H10540" s="7">
        <v>2441</v>
      </c>
      <c r="I10540" s="7">
        <v>74</v>
      </c>
      <c r="J10540" s="7">
        <v>0</v>
      </c>
      <c r="K10540" s="7" t="s">
        <v>18</v>
      </c>
      <c r="L10540" s="8">
        <v>39987.315405092595</v>
      </c>
      <c r="M10540" s="9" t="s">
        <v>19</v>
      </c>
      <c r="N10540" s="9" t="s">
        <v>20</v>
      </c>
      <c r="O10540" s="6" t="str">
        <f>HYPERLINK("https://pbs.twimg.com/profile_images/962471262747529216/Uo8lOkRJ_normal.jpg","View")</f>
        <v>View</v>
      </c>
      <c r="P10540" s="7"/>
    </row>
    <row r="10541" spans="1:16">
      <c r="A10541" s="3">
        <v>44105.293541666666</v>
      </c>
      <c r="B10541" s="4" t="str">
        <f>HYPERLINK("https://twitter.com/petrogustavo","@petrogustavo")</f>
        <v>@petrogustavo</v>
      </c>
      <c r="C10541" s="5" t="s">
        <v>16</v>
      </c>
      <c r="D10541" s="5" t="s">
        <v>10145</v>
      </c>
      <c r="E10541" s="6" t="str">
        <f>HYPERLINK("https://twitter.com/petrogustavo/status/1311479118379315200","1311479118379315200")</f>
        <v>1311479118379315200</v>
      </c>
      <c r="F10541" s="7" t="s">
        <v>32</v>
      </c>
      <c r="G10541" s="7">
        <v>3984905</v>
      </c>
      <c r="H10541" s="7">
        <v>2441</v>
      </c>
      <c r="I10541" s="7">
        <v>4</v>
      </c>
      <c r="J10541" s="7">
        <v>0</v>
      </c>
      <c r="K10541" s="7" t="s">
        <v>18</v>
      </c>
      <c r="L10541" s="8">
        <v>39987.315405092595</v>
      </c>
      <c r="M10541" s="9" t="s">
        <v>19</v>
      </c>
      <c r="N10541" s="9" t="s">
        <v>20</v>
      </c>
      <c r="O10541" s="6" t="str">
        <f>HYPERLINK("https://pbs.twimg.com/profile_images/962471262747529216/Uo8lOkRJ_normal.jpg","View")</f>
        <v>View</v>
      </c>
      <c r="P10541" s="7"/>
    </row>
    <row r="10542" spans="1:16">
      <c r="A10542" s="3">
        <v>44105.295763888891</v>
      </c>
      <c r="B10542" s="4" t="str">
        <f>HYPERLINK("https://twitter.com/petrogustavo","@petrogustavo")</f>
        <v>@petrogustavo</v>
      </c>
      <c r="C10542" s="5" t="s">
        <v>16</v>
      </c>
      <c r="D10542" s="5" t="s">
        <v>10146</v>
      </c>
      <c r="E10542" s="6" t="str">
        <f>HYPERLINK("https://twitter.com/petrogustavo/status/1311479925308895232","1311479925308895232")</f>
        <v>1311479925308895232</v>
      </c>
      <c r="F10542" s="7" t="s">
        <v>32</v>
      </c>
      <c r="G10542" s="7">
        <v>3984920</v>
      </c>
      <c r="H10542" s="7">
        <v>2441</v>
      </c>
      <c r="I10542" s="7">
        <v>508</v>
      </c>
      <c r="J10542" s="7">
        <v>0</v>
      </c>
      <c r="K10542" s="7" t="s">
        <v>18</v>
      </c>
      <c r="L10542" s="8">
        <v>39987.315405092595</v>
      </c>
      <c r="M10542" s="9" t="s">
        <v>19</v>
      </c>
      <c r="N10542" s="9" t="s">
        <v>20</v>
      </c>
      <c r="O10542" s="6" t="str">
        <f>HYPERLINK("https://pbs.twimg.com/profile_images/962471262747529216/Uo8lOkRJ_normal.jpg","View")</f>
        <v>View</v>
      </c>
      <c r="P10542" s="7"/>
    </row>
    <row r="10543" spans="1:16">
      <c r="A10543" s="3">
        <v>44105.787557870368</v>
      </c>
      <c r="B10543" s="4" t="str">
        <f>HYPERLINK("https://twitter.com/petrogustavo","@petrogustavo")</f>
        <v>@petrogustavo</v>
      </c>
      <c r="C10543" s="5" t="s">
        <v>16</v>
      </c>
      <c r="D10543" s="5" t="s">
        <v>10147</v>
      </c>
      <c r="E10543" s="6" t="str">
        <f>HYPERLINK("https://twitter.com/petrogustavo/status/1311658143445856258","1311658143445856258")</f>
        <v>1311658143445856258</v>
      </c>
      <c r="F10543" s="7" t="s">
        <v>17</v>
      </c>
      <c r="G10543" s="7">
        <v>3985046</v>
      </c>
      <c r="H10543" s="7">
        <v>2441</v>
      </c>
      <c r="I10543" s="7">
        <v>30</v>
      </c>
      <c r="J10543" s="7">
        <v>98</v>
      </c>
      <c r="K10543" s="7" t="s">
        <v>18</v>
      </c>
      <c r="L10543" s="8">
        <v>39987.315405092595</v>
      </c>
      <c r="M10543" s="9" t="s">
        <v>19</v>
      </c>
      <c r="N10543" s="9" t="s">
        <v>20</v>
      </c>
      <c r="O10543" s="6" t="str">
        <f>HYPERLINK("https://pbs.twimg.com/profile_images/962471262747529216/Uo8lOkRJ_normal.jpg","View")</f>
        <v>View</v>
      </c>
      <c r="P10543" s="7"/>
    </row>
    <row r="10544" spans="1:16">
      <c r="A10544" s="3">
        <v>44105.789143518516</v>
      </c>
      <c r="B10544" s="4" t="str">
        <f>HYPERLINK("https://twitter.com/petrogustavo","@petrogustavo")</f>
        <v>@petrogustavo</v>
      </c>
      <c r="C10544" s="5" t="s">
        <v>16</v>
      </c>
      <c r="D10544" s="5" t="s">
        <v>10148</v>
      </c>
      <c r="E10544" s="6" t="str">
        <f>HYPERLINK("https://twitter.com/petrogustavo/status/1311658716895338496","1311658716895338496")</f>
        <v>1311658716895338496</v>
      </c>
      <c r="F10544" s="7" t="s">
        <v>17</v>
      </c>
      <c r="G10544" s="7">
        <v>3985046</v>
      </c>
      <c r="H10544" s="7">
        <v>2441</v>
      </c>
      <c r="I10544" s="7">
        <v>36</v>
      </c>
      <c r="J10544" s="7">
        <v>109</v>
      </c>
      <c r="K10544" s="7" t="s">
        <v>18</v>
      </c>
      <c r="L10544" s="8">
        <v>39987.315405092595</v>
      </c>
      <c r="M10544" s="9" t="s">
        <v>19</v>
      </c>
      <c r="N10544" s="9" t="s">
        <v>20</v>
      </c>
      <c r="O10544" s="6" t="str">
        <f>HYPERLINK("https://pbs.twimg.com/profile_images/962471262747529216/Uo8lOkRJ_normal.jpg","View")</f>
        <v>View</v>
      </c>
      <c r="P10544" s="7"/>
    </row>
    <row r="10545" spans="1:16">
      <c r="A10545" s="3">
        <v>44105.808553240742</v>
      </c>
      <c r="B10545" s="4" t="str">
        <f>HYPERLINK("https://twitter.com/petrogustavo","@petrogustavo")</f>
        <v>@petrogustavo</v>
      </c>
      <c r="C10545" s="5" t="s">
        <v>16</v>
      </c>
      <c r="D10545" s="5" t="s">
        <v>10149</v>
      </c>
      <c r="E10545" s="6" t="str">
        <f>HYPERLINK("https://twitter.com/petrogustavo/status/1311665752840183808","1311665752840183808")</f>
        <v>1311665752840183808</v>
      </c>
      <c r="F10545" s="7" t="s">
        <v>17</v>
      </c>
      <c r="G10545" s="7">
        <v>3985079</v>
      </c>
      <c r="H10545" s="7">
        <v>2440</v>
      </c>
      <c r="I10545" s="7">
        <v>82</v>
      </c>
      <c r="J10545" s="7">
        <v>169</v>
      </c>
      <c r="K10545" s="7" t="s">
        <v>18</v>
      </c>
      <c r="L10545" s="8">
        <v>39987.315405092595</v>
      </c>
      <c r="M10545" s="9" t="s">
        <v>19</v>
      </c>
      <c r="N10545" s="9" t="s">
        <v>20</v>
      </c>
      <c r="O10545" s="6" t="str">
        <f>HYPERLINK("https://pbs.twimg.com/profile_images/962471262747529216/Uo8lOkRJ_normal.jpg","View")</f>
        <v>View</v>
      </c>
      <c r="P10545" s="7"/>
    </row>
    <row r="10546" spans="1:16">
      <c r="A10546" s="3">
        <v>44105.824062500003</v>
      </c>
      <c r="B10546" s="4" t="str">
        <f>HYPERLINK("https://twitter.com/petrogustavo","@petrogustavo")</f>
        <v>@petrogustavo</v>
      </c>
      <c r="C10546" s="5" t="s">
        <v>16</v>
      </c>
      <c r="D10546" s="5" t="s">
        <v>10150</v>
      </c>
      <c r="E10546" s="6" t="str">
        <f>HYPERLINK("https://twitter.com/petrogustavo/status/1311671372016480256","1311671372016480256")</f>
        <v>1311671372016480256</v>
      </c>
      <c r="F10546" s="7" t="s">
        <v>17</v>
      </c>
      <c r="G10546" s="7">
        <v>3985079</v>
      </c>
      <c r="H10546" s="7">
        <v>2440</v>
      </c>
      <c r="I10546" s="7">
        <v>175</v>
      </c>
      <c r="J10546" s="7">
        <v>381</v>
      </c>
      <c r="K10546" s="7" t="s">
        <v>18</v>
      </c>
      <c r="L10546" s="8">
        <v>39987.315405092595</v>
      </c>
      <c r="M10546" s="9" t="s">
        <v>19</v>
      </c>
      <c r="N10546" s="9" t="s">
        <v>20</v>
      </c>
      <c r="O10546" s="6" t="str">
        <f>HYPERLINK("https://pbs.twimg.com/profile_images/962471262747529216/Uo8lOkRJ_normal.jpg","View")</f>
        <v>View</v>
      </c>
      <c r="P10546" s="7"/>
    </row>
    <row r="10547" spans="1:16">
      <c r="A10547" s="3">
        <v>44105.825914351852</v>
      </c>
      <c r="B10547" s="4" t="str">
        <f>HYPERLINK("https://twitter.com/petrogustavo","@petrogustavo")</f>
        <v>@petrogustavo</v>
      </c>
      <c r="C10547" s="5" t="s">
        <v>16</v>
      </c>
      <c r="D10547" s="5" t="s">
        <v>10151</v>
      </c>
      <c r="E10547" s="6" t="str">
        <f>HYPERLINK("https://twitter.com/petrogustavo/status/1311672043126108161","1311672043126108161")</f>
        <v>1311672043126108161</v>
      </c>
      <c r="F10547" s="7" t="s">
        <v>17</v>
      </c>
      <c r="G10547" s="7">
        <v>3985079</v>
      </c>
      <c r="H10547" s="7">
        <v>2440</v>
      </c>
      <c r="I10547" s="7">
        <v>31</v>
      </c>
      <c r="J10547" s="7">
        <v>0</v>
      </c>
      <c r="K10547" s="7" t="s">
        <v>18</v>
      </c>
      <c r="L10547" s="8">
        <v>39987.315405092595</v>
      </c>
      <c r="M10547" s="9" t="s">
        <v>19</v>
      </c>
      <c r="N10547" s="9" t="s">
        <v>20</v>
      </c>
      <c r="O10547" s="6" t="str">
        <f>HYPERLINK("https://pbs.twimg.com/profile_images/962471262747529216/Uo8lOkRJ_normal.jpg","View")</f>
        <v>View</v>
      </c>
      <c r="P10547" s="7"/>
    </row>
    <row r="10548" spans="1:16">
      <c r="A10548" s="3">
        <v>44105.830254629633</v>
      </c>
      <c r="B10548" s="4" t="str">
        <f>HYPERLINK("https://twitter.com/petrogustavo","@petrogustavo")</f>
        <v>@petrogustavo</v>
      </c>
      <c r="C10548" s="5" t="s">
        <v>16</v>
      </c>
      <c r="D10548" s="5" t="s">
        <v>10152</v>
      </c>
      <c r="E10548" s="6" t="str">
        <f>HYPERLINK("https://twitter.com/petrogustavo/status/1311673617684615175","1311673617684615175")</f>
        <v>1311673617684615175</v>
      </c>
      <c r="F10548" s="7" t="s">
        <v>17</v>
      </c>
      <c r="G10548" s="7">
        <v>3985079</v>
      </c>
      <c r="H10548" s="7">
        <v>2440</v>
      </c>
      <c r="I10548" s="7">
        <v>48</v>
      </c>
      <c r="J10548" s="7">
        <v>173</v>
      </c>
      <c r="K10548" s="7" t="s">
        <v>18</v>
      </c>
      <c r="L10548" s="8">
        <v>39987.315405092595</v>
      </c>
      <c r="M10548" s="9" t="s">
        <v>19</v>
      </c>
      <c r="N10548" s="9" t="s">
        <v>20</v>
      </c>
      <c r="O10548" s="6" t="str">
        <f>HYPERLINK("https://pbs.twimg.com/profile_images/962471262747529216/Uo8lOkRJ_normal.jpg","View")</f>
        <v>View</v>
      </c>
      <c r="P10548" s="7"/>
    </row>
    <row r="10549" spans="1:16">
      <c r="A10549" s="3">
        <v>44105.831423611111</v>
      </c>
      <c r="B10549" s="4" t="str">
        <f>HYPERLINK("https://twitter.com/petrogustavo","@petrogustavo")</f>
        <v>@petrogustavo</v>
      </c>
      <c r="C10549" s="5" t="s">
        <v>16</v>
      </c>
      <c r="D10549" s="5" t="s">
        <v>10153</v>
      </c>
      <c r="E10549" s="6" t="str">
        <f>HYPERLINK("https://twitter.com/petrogustavo/status/1311674041900695557","1311674041900695557")</f>
        <v>1311674041900695557</v>
      </c>
      <c r="F10549" s="7" t="s">
        <v>17</v>
      </c>
      <c r="G10549" s="7">
        <v>3985079</v>
      </c>
      <c r="H10549" s="7">
        <v>2440</v>
      </c>
      <c r="I10549" s="7">
        <v>194</v>
      </c>
      <c r="J10549" s="7">
        <v>0</v>
      </c>
      <c r="K10549" s="7" t="s">
        <v>18</v>
      </c>
      <c r="L10549" s="8">
        <v>39987.315405092595</v>
      </c>
      <c r="M10549" s="9" t="s">
        <v>19</v>
      </c>
      <c r="N10549" s="9" t="s">
        <v>20</v>
      </c>
      <c r="O10549" s="6" t="str">
        <f>HYPERLINK("https://pbs.twimg.com/profile_images/962471262747529216/Uo8lOkRJ_normal.jpg","View")</f>
        <v>View</v>
      </c>
      <c r="P10549" s="7"/>
    </row>
    <row r="10550" spans="1:16">
      <c r="A10550" s="3">
        <v>44105.838321759264</v>
      </c>
      <c r="B10550" s="4" t="str">
        <f>HYPERLINK("https://twitter.com/petrogustavo","@petrogustavo")</f>
        <v>@petrogustavo</v>
      </c>
      <c r="C10550" s="5" t="s">
        <v>16</v>
      </c>
      <c r="D10550" s="5" t="s">
        <v>10154</v>
      </c>
      <c r="E10550" s="6" t="str">
        <f>HYPERLINK("https://twitter.com/petrogustavo/status/1311676541538009090","1311676541538009090")</f>
        <v>1311676541538009090</v>
      </c>
      <c r="F10550" s="7" t="s">
        <v>17</v>
      </c>
      <c r="G10550" s="7">
        <v>3985086</v>
      </c>
      <c r="H10550" s="7">
        <v>2440</v>
      </c>
      <c r="I10550" s="7">
        <v>133</v>
      </c>
      <c r="J10550" s="7">
        <v>335</v>
      </c>
      <c r="K10550" s="7" t="s">
        <v>18</v>
      </c>
      <c r="L10550" s="8">
        <v>39987.315405092595</v>
      </c>
      <c r="M10550" s="9" t="s">
        <v>19</v>
      </c>
      <c r="N10550" s="9" t="s">
        <v>20</v>
      </c>
      <c r="O10550" s="6" t="str">
        <f>HYPERLINK("https://pbs.twimg.com/profile_images/962471262747529216/Uo8lOkRJ_normal.jpg","View")</f>
        <v>View</v>
      </c>
      <c r="P10550" s="7"/>
    </row>
    <row r="10551" spans="1:16">
      <c r="A10551" s="3">
        <v>44105.845185185186</v>
      </c>
      <c r="B10551" s="4" t="str">
        <f>HYPERLINK("https://twitter.com/petrogustavo","@petrogustavo")</f>
        <v>@petrogustavo</v>
      </c>
      <c r="C10551" s="5" t="s">
        <v>16</v>
      </c>
      <c r="D10551" s="5" t="s">
        <v>10155</v>
      </c>
      <c r="E10551" s="6" t="str">
        <f>HYPERLINK("https://twitter.com/petrogustavo/status/1311679026117980165","1311679026117980165")</f>
        <v>1311679026117980165</v>
      </c>
      <c r="F10551" s="7" t="s">
        <v>17</v>
      </c>
      <c r="G10551" s="7">
        <v>3985086</v>
      </c>
      <c r="H10551" s="7">
        <v>2440</v>
      </c>
      <c r="I10551" s="7">
        <v>52</v>
      </c>
      <c r="J10551" s="7">
        <v>237</v>
      </c>
      <c r="K10551" s="7" t="s">
        <v>18</v>
      </c>
      <c r="L10551" s="8">
        <v>39987.315405092595</v>
      </c>
      <c r="M10551" s="9" t="s">
        <v>19</v>
      </c>
      <c r="N10551" s="9" t="s">
        <v>20</v>
      </c>
      <c r="O10551" s="6" t="str">
        <f>HYPERLINK("https://pbs.twimg.com/profile_images/962471262747529216/Uo8lOkRJ_normal.jpg","View")</f>
        <v>View</v>
      </c>
      <c r="P10551" s="7"/>
    </row>
    <row r="10552" spans="1:16">
      <c r="A10552" s="3">
        <v>44105.854456018518</v>
      </c>
      <c r="B10552" s="4" t="str">
        <f>HYPERLINK("https://twitter.com/petrogustavo","@petrogustavo")</f>
        <v>@petrogustavo</v>
      </c>
      <c r="C10552" s="5" t="s">
        <v>16</v>
      </c>
      <c r="D10552" s="5" t="s">
        <v>10156</v>
      </c>
      <c r="E10552" s="6" t="str">
        <f>HYPERLINK("https://twitter.com/petrogustavo/status/1311682384992100354","1311682384992100354")</f>
        <v>1311682384992100354</v>
      </c>
      <c r="F10552" s="7" t="s">
        <v>17</v>
      </c>
      <c r="G10552" s="7">
        <v>3985086</v>
      </c>
      <c r="H10552" s="7">
        <v>2440</v>
      </c>
      <c r="I10552" s="7">
        <v>12</v>
      </c>
      <c r="J10552" s="7">
        <v>32</v>
      </c>
      <c r="K10552" s="7" t="s">
        <v>18</v>
      </c>
      <c r="L10552" s="8">
        <v>39987.315405092595</v>
      </c>
      <c r="M10552" s="9" t="s">
        <v>19</v>
      </c>
      <c r="N10552" s="9" t="s">
        <v>20</v>
      </c>
      <c r="O10552" s="6" t="str">
        <f>HYPERLINK("https://pbs.twimg.com/profile_images/962471262747529216/Uo8lOkRJ_normal.jpg","View")</f>
        <v>View</v>
      </c>
      <c r="P10552" s="7"/>
    </row>
    <row r="10553" spans="1:16">
      <c r="A10553" s="3">
        <v>44105.90898148148</v>
      </c>
      <c r="B10553" s="4" t="str">
        <f>HYPERLINK("https://twitter.com/petrogustavo","@petrogustavo")</f>
        <v>@petrogustavo</v>
      </c>
      <c r="C10553" s="5" t="s">
        <v>16</v>
      </c>
      <c r="D10553" s="5" t="s">
        <v>10157</v>
      </c>
      <c r="E10553" s="6" t="str">
        <f>HYPERLINK("https://twitter.com/petrogustavo/status/1311702148011483139","1311702148011483139")</f>
        <v>1311702148011483139</v>
      </c>
      <c r="F10553" s="7" t="s">
        <v>32</v>
      </c>
      <c r="G10553" s="7">
        <v>3985145</v>
      </c>
      <c r="H10553" s="7">
        <v>2442</v>
      </c>
      <c r="I10553" s="7">
        <v>21</v>
      </c>
      <c r="J10553" s="7">
        <v>0</v>
      </c>
      <c r="K10553" s="7" t="s">
        <v>18</v>
      </c>
      <c r="L10553" s="8">
        <v>39987.315405092595</v>
      </c>
      <c r="M10553" s="9" t="s">
        <v>19</v>
      </c>
      <c r="N10553" s="9" t="s">
        <v>20</v>
      </c>
      <c r="O10553" s="6" t="str">
        <f>HYPERLINK("https://pbs.twimg.com/profile_images/962471262747529216/Uo8lOkRJ_normal.jpg","View")</f>
        <v>View</v>
      </c>
      <c r="P10553" s="7"/>
    </row>
    <row r="10554" spans="1:16">
      <c r="A10554" s="3">
        <v>44105.920717592591</v>
      </c>
      <c r="B10554" s="4" t="str">
        <f>HYPERLINK("https://twitter.com/petrogustavo","@petrogustavo")</f>
        <v>@petrogustavo</v>
      </c>
      <c r="C10554" s="5" t="s">
        <v>16</v>
      </c>
      <c r="D10554" s="5" t="s">
        <v>10158</v>
      </c>
      <c r="E10554" s="6" t="str">
        <f>HYPERLINK("https://twitter.com/petrogustavo/status/1311706400372994048","1311706400372994048")</f>
        <v>1311706400372994048</v>
      </c>
      <c r="F10554" s="7" t="s">
        <v>32</v>
      </c>
      <c r="G10554" s="7">
        <v>3985169</v>
      </c>
      <c r="H10554" s="7">
        <v>2442</v>
      </c>
      <c r="I10554" s="7">
        <v>21</v>
      </c>
      <c r="J10554" s="7">
        <v>0</v>
      </c>
      <c r="K10554" s="7" t="s">
        <v>18</v>
      </c>
      <c r="L10554" s="8">
        <v>39987.315405092595</v>
      </c>
      <c r="M10554" s="9" t="s">
        <v>19</v>
      </c>
      <c r="N10554" s="9" t="s">
        <v>20</v>
      </c>
      <c r="O10554" s="6" t="str">
        <f>HYPERLINK("https://pbs.twimg.com/profile_images/962471262747529216/Uo8lOkRJ_normal.jpg","View")</f>
        <v>View</v>
      </c>
      <c r="P10554" s="7"/>
    </row>
    <row r="10555" spans="1:16">
      <c r="A10555" s="3">
        <v>44105.920891203699</v>
      </c>
      <c r="B10555" s="4" t="str">
        <f>HYPERLINK("https://twitter.com/petrogustavo","@petrogustavo")</f>
        <v>@petrogustavo</v>
      </c>
      <c r="C10555" s="5" t="s">
        <v>16</v>
      </c>
      <c r="D10555" s="5" t="s">
        <v>10159</v>
      </c>
      <c r="E10555" s="6" t="str">
        <f>HYPERLINK("https://twitter.com/petrogustavo/status/1311706463887384588","1311706463887384588")</f>
        <v>1311706463887384588</v>
      </c>
      <c r="F10555" s="7" t="s">
        <v>32</v>
      </c>
      <c r="G10555" s="7">
        <v>3985169</v>
      </c>
      <c r="H10555" s="7">
        <v>2442</v>
      </c>
      <c r="I10555" s="7">
        <v>40</v>
      </c>
      <c r="J10555" s="7">
        <v>0</v>
      </c>
      <c r="K10555" s="7" t="s">
        <v>18</v>
      </c>
      <c r="L10555" s="8">
        <v>39987.315405092595</v>
      </c>
      <c r="M10555" s="9" t="s">
        <v>19</v>
      </c>
      <c r="N10555" s="9" t="s">
        <v>20</v>
      </c>
      <c r="O10555" s="6" t="str">
        <f>HYPERLINK("https://pbs.twimg.com/profile_images/962471262747529216/Uo8lOkRJ_normal.jpg","View")</f>
        <v>View</v>
      </c>
      <c r="P10555" s="7"/>
    </row>
    <row r="10556" spans="1:16">
      <c r="A10556" s="3">
        <v>44105.921481481477</v>
      </c>
      <c r="B10556" s="4" t="str">
        <f>HYPERLINK("https://twitter.com/petrogustavo","@petrogustavo")</f>
        <v>@petrogustavo</v>
      </c>
      <c r="C10556" s="5" t="s">
        <v>16</v>
      </c>
      <c r="D10556" s="5" t="s">
        <v>10160</v>
      </c>
      <c r="E10556" s="6" t="str">
        <f>HYPERLINK("https://twitter.com/petrogustavo/status/1311706676614045697","1311706676614045697")</f>
        <v>1311706676614045697</v>
      </c>
      <c r="F10556" s="7" t="s">
        <v>32</v>
      </c>
      <c r="G10556" s="7">
        <v>3985169</v>
      </c>
      <c r="H10556" s="7">
        <v>2442</v>
      </c>
      <c r="I10556" s="7">
        <v>95</v>
      </c>
      <c r="J10556" s="7">
        <v>0</v>
      </c>
      <c r="K10556" s="7" t="s">
        <v>18</v>
      </c>
      <c r="L10556" s="8">
        <v>39987.315405092595</v>
      </c>
      <c r="M10556" s="9" t="s">
        <v>19</v>
      </c>
      <c r="N10556" s="9" t="s">
        <v>20</v>
      </c>
      <c r="O10556" s="6" t="str">
        <f>HYPERLINK("https://pbs.twimg.com/profile_images/962471262747529216/Uo8lOkRJ_normal.jpg","View")</f>
        <v>View</v>
      </c>
      <c r="P10556" s="7"/>
    </row>
    <row r="10557" spans="1:16">
      <c r="A10557" s="3">
        <v>44105.921597222223</v>
      </c>
      <c r="B10557" s="4" t="str">
        <f>HYPERLINK("https://twitter.com/petrogustavo","@petrogustavo")</f>
        <v>@petrogustavo</v>
      </c>
      <c r="C10557" s="5" t="s">
        <v>16</v>
      </c>
      <c r="D10557" s="5" t="s">
        <v>10161</v>
      </c>
      <c r="E10557" s="6" t="str">
        <f>HYPERLINK("https://twitter.com/petrogustavo/status/1311706719114997760","1311706719114997760")</f>
        <v>1311706719114997760</v>
      </c>
      <c r="F10557" s="7" t="s">
        <v>32</v>
      </c>
      <c r="G10557" s="7">
        <v>3985169</v>
      </c>
      <c r="H10557" s="7">
        <v>2442</v>
      </c>
      <c r="I10557" s="7">
        <v>68</v>
      </c>
      <c r="J10557" s="7">
        <v>0</v>
      </c>
      <c r="K10557" s="7" t="s">
        <v>18</v>
      </c>
      <c r="L10557" s="8">
        <v>39987.315405092595</v>
      </c>
      <c r="M10557" s="9" t="s">
        <v>19</v>
      </c>
      <c r="N10557" s="9" t="s">
        <v>20</v>
      </c>
      <c r="O10557" s="6" t="str">
        <f>HYPERLINK("https://pbs.twimg.com/profile_images/962471262747529216/Uo8lOkRJ_normal.jpg","View")</f>
        <v>View</v>
      </c>
      <c r="P10557" s="7"/>
    </row>
    <row r="10558" spans="1:16">
      <c r="A10558" s="3">
        <v>44105.995150462964</v>
      </c>
      <c r="B10558" s="4" t="str">
        <f>HYPERLINK("https://twitter.com/petrogustavo","@petrogustavo")</f>
        <v>@petrogustavo</v>
      </c>
      <c r="C10558" s="5" t="s">
        <v>16</v>
      </c>
      <c r="D10558" s="5" t="s">
        <v>10162</v>
      </c>
      <c r="E10558" s="6" t="str">
        <f>HYPERLINK("https://twitter.com/petrogustavo/status/1311733373644177410","1311733373644177410")</f>
        <v>1311733373644177410</v>
      </c>
      <c r="F10558" s="7" t="s">
        <v>32</v>
      </c>
      <c r="G10558" s="7">
        <v>3985187</v>
      </c>
      <c r="H10558" s="7">
        <v>2441</v>
      </c>
      <c r="I10558" s="7">
        <v>144</v>
      </c>
      <c r="J10558" s="7">
        <v>0</v>
      </c>
      <c r="K10558" s="7" t="s">
        <v>18</v>
      </c>
      <c r="L10558" s="8">
        <v>39987.315405092595</v>
      </c>
      <c r="M10558" s="9" t="s">
        <v>19</v>
      </c>
      <c r="N10558" s="9" t="s">
        <v>20</v>
      </c>
      <c r="O10558" s="6" t="str">
        <f>HYPERLINK("https://pbs.twimg.com/profile_images/962471262747529216/Uo8lOkRJ_normal.jpg","View")</f>
        <v>View</v>
      </c>
      <c r="P10558" s="7"/>
    </row>
    <row r="10559" spans="1:16">
      <c r="A10559" s="3">
        <v>44106.003506944442</v>
      </c>
      <c r="B10559" s="4" t="str">
        <f>HYPERLINK("https://twitter.com/petrogustavo","@petrogustavo")</f>
        <v>@petrogustavo</v>
      </c>
      <c r="C10559" s="5" t="s">
        <v>16</v>
      </c>
      <c r="D10559" s="5" t="s">
        <v>10163</v>
      </c>
      <c r="E10559" s="6" t="str">
        <f>HYPERLINK("https://twitter.com/petrogustavo/status/1311736402682564608","1311736402682564608")</f>
        <v>1311736402682564608</v>
      </c>
      <c r="F10559" s="7" t="s">
        <v>32</v>
      </c>
      <c r="G10559" s="7">
        <v>3985210</v>
      </c>
      <c r="H10559" s="7">
        <v>2441</v>
      </c>
      <c r="I10559" s="7">
        <v>28</v>
      </c>
      <c r="J10559" s="7">
        <v>0</v>
      </c>
      <c r="K10559" s="7" t="s">
        <v>18</v>
      </c>
      <c r="L10559" s="8">
        <v>39987.315405092595</v>
      </c>
      <c r="M10559" s="9" t="s">
        <v>19</v>
      </c>
      <c r="N10559" s="9" t="s">
        <v>20</v>
      </c>
      <c r="O10559" s="6" t="str">
        <f>HYPERLINK("https://pbs.twimg.com/profile_images/962471262747529216/Uo8lOkRJ_normal.jpg","View")</f>
        <v>View</v>
      </c>
      <c r="P10559" s="7"/>
    </row>
    <row r="10560" spans="1:16">
      <c r="A10560" s="3">
        <v>44106.008240740739</v>
      </c>
      <c r="B10560" s="4" t="str">
        <f>HYPERLINK("https://twitter.com/petrogustavo","@petrogustavo")</f>
        <v>@petrogustavo</v>
      </c>
      <c r="C10560" s="5" t="s">
        <v>16</v>
      </c>
      <c r="D10560" s="5" t="s">
        <v>10164</v>
      </c>
      <c r="E10560" s="6" t="str">
        <f>HYPERLINK("https://twitter.com/petrogustavo/status/1311738116110249985","1311738116110249985")</f>
        <v>1311738116110249985</v>
      </c>
      <c r="F10560" s="7" t="s">
        <v>32</v>
      </c>
      <c r="G10560" s="7">
        <v>3985210</v>
      </c>
      <c r="H10560" s="7">
        <v>2441</v>
      </c>
      <c r="I10560" s="7">
        <v>51</v>
      </c>
      <c r="J10560" s="7">
        <v>0</v>
      </c>
      <c r="K10560" s="7" t="s">
        <v>18</v>
      </c>
      <c r="L10560" s="8">
        <v>39987.315405092595</v>
      </c>
      <c r="M10560" s="9" t="s">
        <v>19</v>
      </c>
      <c r="N10560" s="9" t="s">
        <v>20</v>
      </c>
      <c r="O10560" s="6" t="str">
        <f>HYPERLINK("https://pbs.twimg.com/profile_images/962471262747529216/Uo8lOkRJ_normal.jpg","View")</f>
        <v>View</v>
      </c>
      <c r="P10560" s="7"/>
    </row>
    <row r="10561" spans="1:16">
      <c r="A10561" s="3">
        <v>44106.033912037034</v>
      </c>
      <c r="B10561" s="4" t="str">
        <f>HYPERLINK("https://twitter.com/petrogustavo","@petrogustavo")</f>
        <v>@petrogustavo</v>
      </c>
      <c r="C10561" s="5" t="s">
        <v>16</v>
      </c>
      <c r="D10561" s="5" t="s">
        <v>10165</v>
      </c>
      <c r="E10561" s="6" t="str">
        <f>HYPERLINK("https://twitter.com/petrogustavo/status/1311747418770362375","1311747418770362375")</f>
        <v>1311747418770362375</v>
      </c>
      <c r="F10561" s="7" t="s">
        <v>17</v>
      </c>
      <c r="G10561" s="7">
        <v>3985210</v>
      </c>
      <c r="H10561" s="7">
        <v>2440</v>
      </c>
      <c r="I10561" s="7">
        <v>205</v>
      </c>
      <c r="J10561" s="7">
        <v>298</v>
      </c>
      <c r="K10561" s="7" t="s">
        <v>18</v>
      </c>
      <c r="L10561" s="8">
        <v>39987.315405092595</v>
      </c>
      <c r="M10561" s="9" t="s">
        <v>19</v>
      </c>
      <c r="N10561" s="9" t="s">
        <v>20</v>
      </c>
      <c r="O10561" s="6" t="str">
        <f>HYPERLINK("https://pbs.twimg.com/profile_images/962471262747529216/Uo8lOkRJ_normal.jpg","View")</f>
        <v>View</v>
      </c>
      <c r="P10561" s="7"/>
    </row>
    <row r="10562" spans="1:16">
      <c r="A10562" s="3">
        <v>44106.037361111114</v>
      </c>
      <c r="B10562" s="4" t="str">
        <f>HYPERLINK("https://twitter.com/petrogustavo","@petrogustavo")</f>
        <v>@petrogustavo</v>
      </c>
      <c r="C10562" s="5" t="s">
        <v>16</v>
      </c>
      <c r="D10562" s="5" t="s">
        <v>10166</v>
      </c>
      <c r="E10562" s="6" t="str">
        <f>HYPERLINK("https://twitter.com/petrogustavo/status/1311748670757494791","1311748670757494791")</f>
        <v>1311748670757494791</v>
      </c>
      <c r="F10562" s="7" t="s">
        <v>17</v>
      </c>
      <c r="G10562" s="7">
        <v>3985210</v>
      </c>
      <c r="H10562" s="7">
        <v>2440</v>
      </c>
      <c r="I10562" s="7">
        <v>74</v>
      </c>
      <c r="J10562" s="7">
        <v>0</v>
      </c>
      <c r="K10562" s="7" t="s">
        <v>18</v>
      </c>
      <c r="L10562" s="8">
        <v>39987.315405092595</v>
      </c>
      <c r="M10562" s="9" t="s">
        <v>19</v>
      </c>
      <c r="N10562" s="9" t="s">
        <v>20</v>
      </c>
      <c r="O10562" s="6" t="str">
        <f>HYPERLINK("https://pbs.twimg.com/profile_images/962471262747529216/Uo8lOkRJ_normal.jpg","View")</f>
        <v>View</v>
      </c>
      <c r="P10562" s="7"/>
    </row>
    <row r="10563" spans="1:16">
      <c r="A10563" s="3">
        <v>44106.039814814816</v>
      </c>
      <c r="B10563" s="4" t="str">
        <f>HYPERLINK("https://twitter.com/petrogustavo","@petrogustavo")</f>
        <v>@petrogustavo</v>
      </c>
      <c r="C10563" s="5" t="s">
        <v>16</v>
      </c>
      <c r="D10563" s="5" t="s">
        <v>10167</v>
      </c>
      <c r="E10563" s="6" t="str">
        <f>HYPERLINK("https://twitter.com/petrogustavo/status/1311749560210001921","1311749560210001921")</f>
        <v>1311749560210001921</v>
      </c>
      <c r="F10563" s="7" t="s">
        <v>17</v>
      </c>
      <c r="G10563" s="7">
        <v>3985210</v>
      </c>
      <c r="H10563" s="7">
        <v>2440</v>
      </c>
      <c r="I10563" s="7">
        <v>13</v>
      </c>
      <c r="J10563" s="7">
        <v>24</v>
      </c>
      <c r="K10563" s="7" t="s">
        <v>18</v>
      </c>
      <c r="L10563" s="8">
        <v>39987.315405092595</v>
      </c>
      <c r="M10563" s="9" t="s">
        <v>19</v>
      </c>
      <c r="N10563" s="9" t="s">
        <v>20</v>
      </c>
      <c r="O10563" s="6" t="str">
        <f>HYPERLINK("https://pbs.twimg.com/profile_images/962471262747529216/Uo8lOkRJ_normal.jpg","View")</f>
        <v>View</v>
      </c>
      <c r="P10563" s="7"/>
    </row>
    <row r="10564" spans="1:16">
      <c r="A10564" s="3">
        <v>44106.04315972222</v>
      </c>
      <c r="B10564" s="4" t="str">
        <f>HYPERLINK("https://twitter.com/petrogustavo","@petrogustavo")</f>
        <v>@petrogustavo</v>
      </c>
      <c r="C10564" s="5" t="s">
        <v>16</v>
      </c>
      <c r="D10564" s="5" t="s">
        <v>10168</v>
      </c>
      <c r="E10564" s="6" t="str">
        <f>HYPERLINK("https://twitter.com/petrogustavo/status/1311750769817931777","1311750769817931777")</f>
        <v>1311750769817931777</v>
      </c>
      <c r="F10564" s="7" t="s">
        <v>17</v>
      </c>
      <c r="G10564" s="7">
        <v>3985210</v>
      </c>
      <c r="H10564" s="7">
        <v>2440</v>
      </c>
      <c r="I10564" s="7">
        <v>1</v>
      </c>
      <c r="J10564" s="7">
        <v>0</v>
      </c>
      <c r="K10564" s="7" t="s">
        <v>18</v>
      </c>
      <c r="L10564" s="8">
        <v>39987.315405092595</v>
      </c>
      <c r="M10564" s="9" t="s">
        <v>19</v>
      </c>
      <c r="N10564" s="9" t="s">
        <v>20</v>
      </c>
      <c r="O10564" s="6" t="str">
        <f>HYPERLINK("https://pbs.twimg.com/profile_images/962471262747529216/Uo8lOkRJ_normal.jpg","View")</f>
        <v>View</v>
      </c>
      <c r="P10564" s="7"/>
    </row>
    <row r="10565" spans="1:16">
      <c r="A10565" s="3">
        <v>44106.048842592594</v>
      </c>
      <c r="B10565" s="4" t="str">
        <f>HYPERLINK("https://twitter.com/petrogustavo","@petrogustavo")</f>
        <v>@petrogustavo</v>
      </c>
      <c r="C10565" s="5" t="s">
        <v>16</v>
      </c>
      <c r="D10565" s="5" t="s">
        <v>10169</v>
      </c>
      <c r="E10565" s="6" t="str">
        <f>HYPERLINK("https://twitter.com/petrogustavo/status/1311752827849658373","1311752827849658373")</f>
        <v>1311752827849658373</v>
      </c>
      <c r="F10565" s="7" t="s">
        <v>17</v>
      </c>
      <c r="G10565" s="7">
        <v>3985220</v>
      </c>
      <c r="H10565" s="7">
        <v>2440</v>
      </c>
      <c r="I10565" s="7">
        <v>60</v>
      </c>
      <c r="J10565" s="7">
        <v>0</v>
      </c>
      <c r="K10565" s="7" t="s">
        <v>18</v>
      </c>
      <c r="L10565" s="8">
        <v>39987.315405092595</v>
      </c>
      <c r="M10565" s="9" t="s">
        <v>19</v>
      </c>
      <c r="N10565" s="9" t="s">
        <v>20</v>
      </c>
      <c r="O10565" s="6" t="str">
        <f>HYPERLINK("https://pbs.twimg.com/profile_images/962471262747529216/Uo8lOkRJ_normal.jpg","View")</f>
        <v>View</v>
      </c>
      <c r="P10565" s="7"/>
    </row>
    <row r="10566" spans="1:16">
      <c r="A10566" s="3">
        <v>44106.051655092597</v>
      </c>
      <c r="B10566" s="4" t="str">
        <f>HYPERLINK("https://twitter.com/petrogustavo","@petrogustavo")</f>
        <v>@petrogustavo</v>
      </c>
      <c r="C10566" s="5" t="s">
        <v>16</v>
      </c>
      <c r="D10566" s="5" t="s">
        <v>10170</v>
      </c>
      <c r="E10566" s="6" t="str">
        <f>HYPERLINK("https://twitter.com/petrogustavo/status/1311753849770737664","1311753849770737664")</f>
        <v>1311753849770737664</v>
      </c>
      <c r="F10566" s="7" t="s">
        <v>17</v>
      </c>
      <c r="G10566" s="7">
        <v>3985220</v>
      </c>
      <c r="H10566" s="7">
        <v>2440</v>
      </c>
      <c r="I10566" s="7">
        <v>72</v>
      </c>
      <c r="J10566" s="7">
        <v>115</v>
      </c>
      <c r="K10566" s="7" t="s">
        <v>18</v>
      </c>
      <c r="L10566" s="8">
        <v>39987.315405092595</v>
      </c>
      <c r="M10566" s="9" t="s">
        <v>19</v>
      </c>
      <c r="N10566" s="9" t="s">
        <v>20</v>
      </c>
      <c r="O10566" s="6" t="str">
        <f>HYPERLINK("https://pbs.twimg.com/profile_images/962471262747529216/Uo8lOkRJ_normal.jpg","View")</f>
        <v>View</v>
      </c>
      <c r="P10566" s="7"/>
    </row>
    <row r="10567" spans="1:16">
      <c r="A10567" s="3">
        <v>44106.053414351853</v>
      </c>
      <c r="B10567" s="4" t="str">
        <f>HYPERLINK("https://twitter.com/petrogustavo","@petrogustavo")</f>
        <v>@petrogustavo</v>
      </c>
      <c r="C10567" s="5" t="s">
        <v>16</v>
      </c>
      <c r="D10567" s="5" t="s">
        <v>10171</v>
      </c>
      <c r="E10567" s="6" t="str">
        <f>HYPERLINK("https://twitter.com/petrogustavo/status/1311754488227733514","1311754488227733514")</f>
        <v>1311754488227733514</v>
      </c>
      <c r="F10567" s="7" t="s">
        <v>17</v>
      </c>
      <c r="G10567" s="7">
        <v>3985220</v>
      </c>
      <c r="H10567" s="7">
        <v>2440</v>
      </c>
      <c r="I10567" s="7">
        <v>36</v>
      </c>
      <c r="J10567" s="7">
        <v>0</v>
      </c>
      <c r="K10567" s="7" t="s">
        <v>18</v>
      </c>
      <c r="L10567" s="8">
        <v>39987.315405092595</v>
      </c>
      <c r="M10567" s="9" t="s">
        <v>19</v>
      </c>
      <c r="N10567" s="9" t="s">
        <v>20</v>
      </c>
      <c r="O10567" s="6" t="str">
        <f>HYPERLINK("https://pbs.twimg.com/profile_images/962471262747529216/Uo8lOkRJ_normal.jpg","View")</f>
        <v>View</v>
      </c>
      <c r="P10567" s="7"/>
    </row>
    <row r="10568" spans="1:16">
      <c r="A10568" s="3">
        <v>44106.053761574076</v>
      </c>
      <c r="B10568" s="4" t="str">
        <f>HYPERLINK("https://twitter.com/petrogustavo","@petrogustavo")</f>
        <v>@petrogustavo</v>
      </c>
      <c r="C10568" s="5" t="s">
        <v>16</v>
      </c>
      <c r="D10568" s="5" t="s">
        <v>10172</v>
      </c>
      <c r="E10568" s="6" t="str">
        <f>HYPERLINK("https://twitter.com/petrogustavo/status/1311754612467269638","1311754612467269638")</f>
        <v>1311754612467269638</v>
      </c>
      <c r="F10568" s="7" t="s">
        <v>17</v>
      </c>
      <c r="G10568" s="7">
        <v>3985220</v>
      </c>
      <c r="H10568" s="7">
        <v>2440</v>
      </c>
      <c r="I10568" s="7">
        <v>62</v>
      </c>
      <c r="J10568" s="7">
        <v>0</v>
      </c>
      <c r="K10568" s="7" t="s">
        <v>18</v>
      </c>
      <c r="L10568" s="8">
        <v>39987.315405092595</v>
      </c>
      <c r="M10568" s="9" t="s">
        <v>19</v>
      </c>
      <c r="N10568" s="9" t="s">
        <v>20</v>
      </c>
      <c r="O10568" s="6" t="str">
        <f>HYPERLINK("https://pbs.twimg.com/profile_images/962471262747529216/Uo8lOkRJ_normal.jpg","View")</f>
        <v>View</v>
      </c>
      <c r="P10568" s="7"/>
    </row>
    <row r="10569" spans="1:16">
      <c r="A10569" s="3">
        <v>44106.054884259254</v>
      </c>
      <c r="B10569" s="4" t="str">
        <f>HYPERLINK("https://twitter.com/petrogustavo","@petrogustavo")</f>
        <v>@petrogustavo</v>
      </c>
      <c r="C10569" s="5" t="s">
        <v>16</v>
      </c>
      <c r="D10569" s="5" t="s">
        <v>10173</v>
      </c>
      <c r="E10569" s="6" t="str">
        <f>HYPERLINK("https://twitter.com/petrogustavo/status/1311755021084758017","1311755021084758017")</f>
        <v>1311755021084758017</v>
      </c>
      <c r="F10569" s="7" t="s">
        <v>17</v>
      </c>
      <c r="G10569" s="7">
        <v>3985220</v>
      </c>
      <c r="H10569" s="7">
        <v>2440</v>
      </c>
      <c r="I10569" s="7">
        <v>251</v>
      </c>
      <c r="J10569" s="7">
        <v>387</v>
      </c>
      <c r="K10569" s="7" t="s">
        <v>18</v>
      </c>
      <c r="L10569" s="8">
        <v>39987.315405092595</v>
      </c>
      <c r="M10569" s="9" t="s">
        <v>19</v>
      </c>
      <c r="N10569" s="9" t="s">
        <v>20</v>
      </c>
      <c r="O10569" s="6" t="str">
        <f>HYPERLINK("https://pbs.twimg.com/profile_images/962471262747529216/Uo8lOkRJ_normal.jpg","View")</f>
        <v>View</v>
      </c>
      <c r="P10569" s="7"/>
    </row>
    <row r="10570" spans="1:16">
      <c r="A10570" s="3">
        <v>44106.058090277773</v>
      </c>
      <c r="B10570" s="4" t="str">
        <f>HYPERLINK("https://twitter.com/petrogustavo","@petrogustavo")</f>
        <v>@petrogustavo</v>
      </c>
      <c r="C10570" s="5" t="s">
        <v>16</v>
      </c>
      <c r="D10570" s="5" t="s">
        <v>10174</v>
      </c>
      <c r="E10570" s="6" t="str">
        <f>HYPERLINK("https://twitter.com/petrogustavo/status/1311756183057899525","1311756183057899525")</f>
        <v>1311756183057899525</v>
      </c>
      <c r="F10570" s="7" t="s">
        <v>17</v>
      </c>
      <c r="G10570" s="7">
        <v>3985220</v>
      </c>
      <c r="H10570" s="7">
        <v>2440</v>
      </c>
      <c r="I10570" s="7">
        <v>55</v>
      </c>
      <c r="J10570" s="7">
        <v>92</v>
      </c>
      <c r="K10570" s="7" t="s">
        <v>18</v>
      </c>
      <c r="L10570" s="8">
        <v>39987.315405092595</v>
      </c>
      <c r="M10570" s="9" t="s">
        <v>19</v>
      </c>
      <c r="N10570" s="9" t="s">
        <v>20</v>
      </c>
      <c r="O10570" s="6" t="str">
        <f>HYPERLINK("https://pbs.twimg.com/profile_images/962471262747529216/Uo8lOkRJ_normal.jpg","View")</f>
        <v>View</v>
      </c>
      <c r="P10570" s="7"/>
    </row>
    <row r="10571" spans="1:16">
      <c r="A10571" s="3">
        <v>44106.069085648152</v>
      </c>
      <c r="B10571" s="4" t="str">
        <f>HYPERLINK("https://twitter.com/petrogustavo","@petrogustavo")</f>
        <v>@petrogustavo</v>
      </c>
      <c r="C10571" s="5" t="s">
        <v>16</v>
      </c>
      <c r="D10571" s="5" t="s">
        <v>10175</v>
      </c>
      <c r="E10571" s="6" t="str">
        <f>HYPERLINK("https://twitter.com/petrogustavo/status/1311760165197287424","1311760165197287424")</f>
        <v>1311760165197287424</v>
      </c>
      <c r="F10571" s="7" t="s">
        <v>17</v>
      </c>
      <c r="G10571" s="7">
        <v>3985238</v>
      </c>
      <c r="H10571" s="7">
        <v>2440</v>
      </c>
      <c r="I10571" s="7">
        <v>68</v>
      </c>
      <c r="J10571" s="7">
        <v>140</v>
      </c>
      <c r="K10571" s="7" t="s">
        <v>18</v>
      </c>
      <c r="L10571" s="8">
        <v>39987.315405092595</v>
      </c>
      <c r="M10571" s="9" t="s">
        <v>19</v>
      </c>
      <c r="N10571" s="9" t="s">
        <v>20</v>
      </c>
      <c r="O10571" s="6" t="str">
        <f>HYPERLINK("https://pbs.twimg.com/profile_images/962471262747529216/Uo8lOkRJ_normal.jpg","View")</f>
        <v>View</v>
      </c>
      <c r="P10571" s="7"/>
    </row>
    <row r="10572" spans="1:16">
      <c r="A10572" s="3">
        <v>44106.078043981484</v>
      </c>
      <c r="B10572" s="4" t="str">
        <f>HYPERLINK("https://twitter.com/petrogustavo","@petrogustavo")</f>
        <v>@petrogustavo</v>
      </c>
      <c r="C10572" s="5" t="s">
        <v>16</v>
      </c>
      <c r="D10572" s="5" t="s">
        <v>10176</v>
      </c>
      <c r="E10572" s="6" t="str">
        <f>HYPERLINK("https://twitter.com/petrogustavo/status/1311763413555707904","1311763413555707904")</f>
        <v>1311763413555707904</v>
      </c>
      <c r="F10572" s="7" t="s">
        <v>17</v>
      </c>
      <c r="G10572" s="7">
        <v>3985238</v>
      </c>
      <c r="H10572" s="7">
        <v>2440</v>
      </c>
      <c r="I10572" s="7">
        <v>112</v>
      </c>
      <c r="J10572" s="7">
        <v>166</v>
      </c>
      <c r="K10572" s="7" t="s">
        <v>18</v>
      </c>
      <c r="L10572" s="8">
        <v>39987.315405092595</v>
      </c>
      <c r="M10572" s="9" t="s">
        <v>19</v>
      </c>
      <c r="N10572" s="9" t="s">
        <v>20</v>
      </c>
      <c r="O10572" s="6" t="str">
        <f>HYPERLINK("https://pbs.twimg.com/profile_images/962471262747529216/Uo8lOkRJ_normal.jpg","View")</f>
        <v>View</v>
      </c>
      <c r="P10572" s="7"/>
    </row>
    <row r="10573" spans="1:16">
      <c r="A10573" s="3">
        <v>44106.096377314811</v>
      </c>
      <c r="B10573" s="4" t="str">
        <f>HYPERLINK("https://twitter.com/petrogustavo","@petrogustavo")</f>
        <v>@petrogustavo</v>
      </c>
      <c r="C10573" s="5" t="s">
        <v>16</v>
      </c>
      <c r="D10573" s="5" t="s">
        <v>10177</v>
      </c>
      <c r="E10573" s="6" t="str">
        <f>HYPERLINK("https://twitter.com/petrogustavo/status/1311770056091742209","1311770056091742209")</f>
        <v>1311770056091742209</v>
      </c>
      <c r="F10573" s="7" t="s">
        <v>17</v>
      </c>
      <c r="G10573" s="7">
        <v>3985248</v>
      </c>
      <c r="H10573" s="7">
        <v>2440</v>
      </c>
      <c r="I10573" s="7">
        <v>59</v>
      </c>
      <c r="J10573" s="7">
        <v>0</v>
      </c>
      <c r="K10573" s="7" t="s">
        <v>18</v>
      </c>
      <c r="L10573" s="8">
        <v>39987.315405092595</v>
      </c>
      <c r="M10573" s="9" t="s">
        <v>19</v>
      </c>
      <c r="N10573" s="9" t="s">
        <v>20</v>
      </c>
      <c r="O10573" s="6" t="str">
        <f>HYPERLINK("https://pbs.twimg.com/profile_images/962471262747529216/Uo8lOkRJ_normal.jpg","View")</f>
        <v>View</v>
      </c>
      <c r="P10573" s="7"/>
    </row>
    <row r="10574" spans="1:16">
      <c r="A10574" s="3">
        <v>44106.101180555561</v>
      </c>
      <c r="B10574" s="4" t="str">
        <f>HYPERLINK("https://twitter.com/petrogustavo","@petrogustavo")</f>
        <v>@petrogustavo</v>
      </c>
      <c r="C10574" s="5" t="s">
        <v>16</v>
      </c>
      <c r="D10574" s="5" t="s">
        <v>10178</v>
      </c>
      <c r="E10574" s="6" t="str">
        <f>HYPERLINK("https://twitter.com/petrogustavo/status/1311771796425904129","1311771796425904129")</f>
        <v>1311771796425904129</v>
      </c>
      <c r="F10574" s="7" t="s">
        <v>17</v>
      </c>
      <c r="G10574" s="7">
        <v>3985248</v>
      </c>
      <c r="H10574" s="7">
        <v>2440</v>
      </c>
      <c r="I10574" s="7">
        <v>92</v>
      </c>
      <c r="J10574" s="7">
        <v>0</v>
      </c>
      <c r="K10574" s="7" t="s">
        <v>18</v>
      </c>
      <c r="L10574" s="8">
        <v>39987.315405092595</v>
      </c>
      <c r="M10574" s="9" t="s">
        <v>19</v>
      </c>
      <c r="N10574" s="9" t="s">
        <v>20</v>
      </c>
      <c r="O10574" s="6" t="str">
        <f>HYPERLINK("https://pbs.twimg.com/profile_images/962471262747529216/Uo8lOkRJ_normal.jpg","View")</f>
        <v>View</v>
      </c>
      <c r="P10574" s="7"/>
    </row>
    <row r="10575" spans="1:16">
      <c r="A10575" s="3">
        <v>44106.106134259258</v>
      </c>
      <c r="B10575" s="4" t="str">
        <f>HYPERLINK("https://twitter.com/petrogustavo","@petrogustavo")</f>
        <v>@petrogustavo</v>
      </c>
      <c r="C10575" s="5" t="s">
        <v>16</v>
      </c>
      <c r="D10575" s="5" t="s">
        <v>10179</v>
      </c>
      <c r="E10575" s="6" t="str">
        <f>HYPERLINK("https://twitter.com/petrogustavo/status/1311773591780851712","1311773591780851712")</f>
        <v>1311773591780851712</v>
      </c>
      <c r="F10575" s="7" t="s">
        <v>17</v>
      </c>
      <c r="G10575" s="7">
        <v>3985248</v>
      </c>
      <c r="H10575" s="7">
        <v>2440</v>
      </c>
      <c r="I10575" s="7">
        <v>191</v>
      </c>
      <c r="J10575" s="7">
        <v>0</v>
      </c>
      <c r="K10575" s="7" t="s">
        <v>18</v>
      </c>
      <c r="L10575" s="8">
        <v>39987.315405092595</v>
      </c>
      <c r="M10575" s="9" t="s">
        <v>19</v>
      </c>
      <c r="N10575" s="9" t="s">
        <v>20</v>
      </c>
      <c r="O10575" s="6" t="str">
        <f>HYPERLINK("https://pbs.twimg.com/profile_images/962471262747529216/Uo8lOkRJ_normal.jpg","View")</f>
        <v>View</v>
      </c>
      <c r="P10575" s="7"/>
    </row>
    <row r="10576" spans="1:16">
      <c r="A10576" s="3">
        <v>44106.106388888889</v>
      </c>
      <c r="B10576" s="4" t="str">
        <f>HYPERLINK("https://twitter.com/petrogustavo","@petrogustavo")</f>
        <v>@petrogustavo</v>
      </c>
      <c r="C10576" s="5" t="s">
        <v>16</v>
      </c>
      <c r="D10576" s="5" t="s">
        <v>10180</v>
      </c>
      <c r="E10576" s="6" t="str">
        <f>HYPERLINK("https://twitter.com/petrogustavo/status/1311773682814136320","1311773682814136320")</f>
        <v>1311773682814136320</v>
      </c>
      <c r="F10576" s="7" t="s">
        <v>17</v>
      </c>
      <c r="G10576" s="7">
        <v>3985248</v>
      </c>
      <c r="H10576" s="7">
        <v>2440</v>
      </c>
      <c r="I10576" s="7">
        <v>270</v>
      </c>
      <c r="J10576" s="7">
        <v>0</v>
      </c>
      <c r="K10576" s="7" t="s">
        <v>18</v>
      </c>
      <c r="L10576" s="8">
        <v>39987.315405092595</v>
      </c>
      <c r="M10576" s="9" t="s">
        <v>19</v>
      </c>
      <c r="N10576" s="9" t="s">
        <v>20</v>
      </c>
      <c r="O10576" s="6" t="str">
        <f>HYPERLINK("https://pbs.twimg.com/profile_images/962471262747529216/Uo8lOkRJ_normal.jpg","View")</f>
        <v>View</v>
      </c>
      <c r="P10576" s="7"/>
    </row>
    <row r="10577" spans="1:16">
      <c r="A10577" s="3">
        <v>44106.118993055556</v>
      </c>
      <c r="B10577" s="4" t="str">
        <f>HYPERLINK("https://twitter.com/petrogustavo","@petrogustavo")</f>
        <v>@petrogustavo</v>
      </c>
      <c r="C10577" s="5" t="s">
        <v>16</v>
      </c>
      <c r="D10577" s="5" t="s">
        <v>10181</v>
      </c>
      <c r="E10577" s="6" t="str">
        <f>HYPERLINK("https://twitter.com/petrogustavo/status/1311778253330427904","1311778253330427904")</f>
        <v>1311778253330427904</v>
      </c>
      <c r="F10577" s="7" t="s">
        <v>17</v>
      </c>
      <c r="G10577" s="7">
        <v>3985267</v>
      </c>
      <c r="H10577" s="7">
        <v>2441</v>
      </c>
      <c r="I10577" s="7">
        <v>65</v>
      </c>
      <c r="J10577" s="7">
        <v>0</v>
      </c>
      <c r="K10577" s="7" t="s">
        <v>18</v>
      </c>
      <c r="L10577" s="8">
        <v>39987.315405092595</v>
      </c>
      <c r="M10577" s="9" t="s">
        <v>19</v>
      </c>
      <c r="N10577" s="9" t="s">
        <v>20</v>
      </c>
      <c r="O10577" s="6" t="str">
        <f>HYPERLINK("https://pbs.twimg.com/profile_images/962471262747529216/Uo8lOkRJ_normal.jpg","View")</f>
        <v>View</v>
      </c>
      <c r="P10577" s="7"/>
    </row>
    <row r="10578" spans="1:16">
      <c r="A10578" s="3">
        <v>44106.121087962965</v>
      </c>
      <c r="B10578" s="4" t="str">
        <f>HYPERLINK("https://twitter.com/petrogustavo","@petrogustavo")</f>
        <v>@petrogustavo</v>
      </c>
      <c r="C10578" s="5" t="s">
        <v>16</v>
      </c>
      <c r="D10578" s="5" t="s">
        <v>10180</v>
      </c>
      <c r="E10578" s="6" t="str">
        <f>HYPERLINK("https://twitter.com/petrogustavo/status/1311779011589177349","1311779011589177349")</f>
        <v>1311779011589177349</v>
      </c>
      <c r="F10578" s="7" t="s">
        <v>17</v>
      </c>
      <c r="G10578" s="7">
        <v>3985267</v>
      </c>
      <c r="H10578" s="7">
        <v>2441</v>
      </c>
      <c r="I10578" s="7">
        <v>379</v>
      </c>
      <c r="J10578" s="7">
        <v>0</v>
      </c>
      <c r="K10578" s="7" t="s">
        <v>18</v>
      </c>
      <c r="L10578" s="8">
        <v>39987.315405092595</v>
      </c>
      <c r="M10578" s="9" t="s">
        <v>19</v>
      </c>
      <c r="N10578" s="9" t="s">
        <v>20</v>
      </c>
      <c r="O10578" s="6" t="str">
        <f>HYPERLINK("https://pbs.twimg.com/profile_images/962471262747529216/Uo8lOkRJ_normal.jpg","View")</f>
        <v>View</v>
      </c>
      <c r="P10578" s="7"/>
    </row>
    <row r="10579" spans="1:16">
      <c r="A10579" s="3">
        <v>44106.159363425926</v>
      </c>
      <c r="B10579" s="4" t="str">
        <f>HYPERLINK("https://twitter.com/petrogustavo","@petrogustavo")</f>
        <v>@petrogustavo</v>
      </c>
      <c r="C10579" s="5" t="s">
        <v>16</v>
      </c>
      <c r="D10579" s="5" t="s">
        <v>10182</v>
      </c>
      <c r="E10579" s="6" t="str">
        <f>HYPERLINK("https://twitter.com/petrogustavo/status/1311792880491659266","1311792880491659266")</f>
        <v>1311792880491659266</v>
      </c>
      <c r="F10579" s="7" t="s">
        <v>17</v>
      </c>
      <c r="G10579" s="7">
        <v>3985296</v>
      </c>
      <c r="H10579" s="7">
        <v>2441</v>
      </c>
      <c r="I10579" s="7">
        <v>278</v>
      </c>
      <c r="J10579" s="7">
        <v>0</v>
      </c>
      <c r="K10579" s="7" t="s">
        <v>18</v>
      </c>
      <c r="L10579" s="8">
        <v>39987.315405092595</v>
      </c>
      <c r="M10579" s="9" t="s">
        <v>19</v>
      </c>
      <c r="N10579" s="9" t="s">
        <v>20</v>
      </c>
      <c r="O10579" s="6" t="str">
        <f>HYPERLINK("https://pbs.twimg.com/profile_images/962471262747529216/Uo8lOkRJ_normal.jpg","View")</f>
        <v>View</v>
      </c>
      <c r="P10579" s="7"/>
    </row>
    <row r="10580" spans="1:16">
      <c r="A10580" s="3">
        <v>44106.199340277773</v>
      </c>
      <c r="B10580" s="4" t="str">
        <f>HYPERLINK("https://twitter.com/petrogustavo","@petrogustavo")</f>
        <v>@petrogustavo</v>
      </c>
      <c r="C10580" s="5" t="s">
        <v>16</v>
      </c>
      <c r="D10580" s="5" t="s">
        <v>10183</v>
      </c>
      <c r="E10580" s="6" t="str">
        <f>HYPERLINK("https://twitter.com/petrogustavo/status/1311807369484132357","1311807369484132357")</f>
        <v>1311807369484132357</v>
      </c>
      <c r="F10580" s="7" t="s">
        <v>32</v>
      </c>
      <c r="G10580" s="7">
        <v>3985327</v>
      </c>
      <c r="H10580" s="7">
        <v>2441</v>
      </c>
      <c r="I10580" s="7">
        <v>278</v>
      </c>
      <c r="J10580" s="7">
        <v>0</v>
      </c>
      <c r="K10580" s="7" t="s">
        <v>18</v>
      </c>
      <c r="L10580" s="8">
        <v>39987.315405092595</v>
      </c>
      <c r="M10580" s="9" t="s">
        <v>19</v>
      </c>
      <c r="N10580" s="9" t="s">
        <v>20</v>
      </c>
      <c r="O10580" s="6" t="str">
        <f>HYPERLINK("https://pbs.twimg.com/profile_images/962471262747529216/Uo8lOkRJ_normal.jpg","View")</f>
        <v>View</v>
      </c>
      <c r="P10580" s="7"/>
    </row>
    <row r="10581" spans="1:16">
      <c r="A10581" s="3">
        <v>44106.200324074074</v>
      </c>
      <c r="B10581" s="4" t="str">
        <f>HYPERLINK("https://twitter.com/petrogustavo","@petrogustavo")</f>
        <v>@petrogustavo</v>
      </c>
      <c r="C10581" s="5" t="s">
        <v>16</v>
      </c>
      <c r="D10581" s="5" t="s">
        <v>10184</v>
      </c>
      <c r="E10581" s="6" t="str">
        <f>HYPERLINK("https://twitter.com/petrogustavo/status/1311807723961569280","1311807723961569280")</f>
        <v>1311807723961569280</v>
      </c>
      <c r="F10581" s="7" t="s">
        <v>32</v>
      </c>
      <c r="G10581" s="7">
        <v>3985327</v>
      </c>
      <c r="H10581" s="7">
        <v>2441</v>
      </c>
      <c r="I10581" s="7">
        <v>122</v>
      </c>
      <c r="J10581" s="7">
        <v>321</v>
      </c>
      <c r="K10581" s="7" t="s">
        <v>18</v>
      </c>
      <c r="L10581" s="8">
        <v>39987.315405092595</v>
      </c>
      <c r="M10581" s="9" t="s">
        <v>19</v>
      </c>
      <c r="N10581" s="9" t="s">
        <v>20</v>
      </c>
      <c r="O10581" s="6" t="str">
        <f>HYPERLINK("https://pbs.twimg.com/profile_images/962471262747529216/Uo8lOkRJ_normal.jpg","View")</f>
        <v>View</v>
      </c>
      <c r="P10581" s="7"/>
    </row>
    <row r="10582" spans="1:16">
      <c r="A10582" s="3">
        <v>44106.201990740738</v>
      </c>
      <c r="B10582" s="4" t="str">
        <f>HYPERLINK("https://twitter.com/petrogustavo","@petrogustavo")</f>
        <v>@petrogustavo</v>
      </c>
      <c r="C10582" s="5" t="s">
        <v>16</v>
      </c>
      <c r="D10582" s="5" t="s">
        <v>10185</v>
      </c>
      <c r="E10582" s="6" t="str">
        <f>HYPERLINK("https://twitter.com/petrogustavo/status/1311808328822030336","1311808328822030336")</f>
        <v>1311808328822030336</v>
      </c>
      <c r="F10582" s="7" t="s">
        <v>32</v>
      </c>
      <c r="G10582" s="7">
        <v>3985327</v>
      </c>
      <c r="H10582" s="7">
        <v>2441</v>
      </c>
      <c r="I10582" s="7">
        <v>456</v>
      </c>
      <c r="J10582" s="7">
        <v>0</v>
      </c>
      <c r="K10582" s="7" t="s">
        <v>18</v>
      </c>
      <c r="L10582" s="8">
        <v>39987.315405092595</v>
      </c>
      <c r="M10582" s="9" t="s">
        <v>19</v>
      </c>
      <c r="N10582" s="9" t="s">
        <v>20</v>
      </c>
      <c r="O10582" s="6" t="str">
        <f>HYPERLINK("https://pbs.twimg.com/profile_images/962471262747529216/Uo8lOkRJ_normal.jpg","View")</f>
        <v>View</v>
      </c>
      <c r="P10582" s="7"/>
    </row>
    <row r="10583" spans="1:16">
      <c r="A10583" s="3">
        <v>44106.206562499996</v>
      </c>
      <c r="B10583" s="4" t="str">
        <f>HYPERLINK("https://twitter.com/petrogustavo","@petrogustavo")</f>
        <v>@petrogustavo</v>
      </c>
      <c r="C10583" s="5" t="s">
        <v>16</v>
      </c>
      <c r="D10583" s="5" t="s">
        <v>10186</v>
      </c>
      <c r="E10583" s="6" t="str">
        <f>HYPERLINK("https://twitter.com/petrogustavo/status/1311809984196472832","1311809984196472832")</f>
        <v>1311809984196472832</v>
      </c>
      <c r="F10583" s="7" t="s">
        <v>32</v>
      </c>
      <c r="G10583" s="7">
        <v>3985327</v>
      </c>
      <c r="H10583" s="7">
        <v>2441</v>
      </c>
      <c r="I10583" s="7">
        <v>330</v>
      </c>
      <c r="J10583" s="7">
        <v>0</v>
      </c>
      <c r="K10583" s="7" t="s">
        <v>18</v>
      </c>
      <c r="L10583" s="8">
        <v>39987.315405092595</v>
      </c>
      <c r="M10583" s="9" t="s">
        <v>19</v>
      </c>
      <c r="N10583" s="9" t="s">
        <v>20</v>
      </c>
      <c r="O10583" s="6" t="str">
        <f>HYPERLINK("https://pbs.twimg.com/profile_images/962471262747529216/Uo8lOkRJ_normal.jpg","View")</f>
        <v>View</v>
      </c>
      <c r="P10583" s="7"/>
    </row>
    <row r="10584" spans="1:16">
      <c r="A10584" s="3">
        <v>44106.214236111111</v>
      </c>
      <c r="B10584" s="4" t="str">
        <f>HYPERLINK("https://twitter.com/petrogustavo","@petrogustavo")</f>
        <v>@petrogustavo</v>
      </c>
      <c r="C10584" s="5" t="s">
        <v>16</v>
      </c>
      <c r="D10584" s="5" t="s">
        <v>10187</v>
      </c>
      <c r="E10584" s="6" t="str">
        <f>HYPERLINK("https://twitter.com/petrogustavo/status/1311812768253739009","1311812768253739009")</f>
        <v>1311812768253739009</v>
      </c>
      <c r="F10584" s="7" t="s">
        <v>32</v>
      </c>
      <c r="G10584" s="7">
        <v>3985335</v>
      </c>
      <c r="H10584" s="7">
        <v>2441</v>
      </c>
      <c r="I10584" s="7">
        <v>602</v>
      </c>
      <c r="J10584" s="7">
        <v>1014</v>
      </c>
      <c r="K10584" s="7" t="s">
        <v>18</v>
      </c>
      <c r="L10584" s="8">
        <v>39987.315405092595</v>
      </c>
      <c r="M10584" s="9" t="s">
        <v>19</v>
      </c>
      <c r="N10584" s="9" t="s">
        <v>20</v>
      </c>
      <c r="O10584" s="6" t="str">
        <f>HYPERLINK("https://pbs.twimg.com/profile_images/962471262747529216/Uo8lOkRJ_normal.jpg","View")</f>
        <v>View</v>
      </c>
      <c r="P10584" s="7"/>
    </row>
    <row r="10585" spans="1:16">
      <c r="A10585" s="3">
        <v>44106.215914351851</v>
      </c>
      <c r="B10585" s="4" t="str">
        <f>HYPERLINK("https://twitter.com/petrogustavo","@petrogustavo")</f>
        <v>@petrogustavo</v>
      </c>
      <c r="C10585" s="5" t="s">
        <v>16</v>
      </c>
      <c r="D10585" s="5" t="s">
        <v>10188</v>
      </c>
      <c r="E10585" s="6" t="str">
        <f>HYPERLINK("https://twitter.com/petrogustavo/status/1311813372774674438","1311813372774674438")</f>
        <v>1311813372774674438</v>
      </c>
      <c r="F10585" s="7" t="s">
        <v>32</v>
      </c>
      <c r="G10585" s="7">
        <v>3985335</v>
      </c>
      <c r="H10585" s="7">
        <v>2441</v>
      </c>
      <c r="I10585" s="7">
        <v>193</v>
      </c>
      <c r="J10585" s="7">
        <v>0</v>
      </c>
      <c r="K10585" s="7" t="s">
        <v>18</v>
      </c>
      <c r="L10585" s="8">
        <v>39987.315405092595</v>
      </c>
      <c r="M10585" s="9" t="s">
        <v>19</v>
      </c>
      <c r="N10585" s="9" t="s">
        <v>20</v>
      </c>
      <c r="O10585" s="6" t="str">
        <f>HYPERLINK("https://pbs.twimg.com/profile_images/962471262747529216/Uo8lOkRJ_normal.jpg","View")</f>
        <v>View</v>
      </c>
      <c r="P10585" s="7"/>
    </row>
    <row r="10586" spans="1:16">
      <c r="A10586" s="3">
        <v>44106.252303240741</v>
      </c>
      <c r="B10586" s="4" t="str">
        <f>HYPERLINK("https://twitter.com/petrogustavo","@petrogustavo")</f>
        <v>@petrogustavo</v>
      </c>
      <c r="C10586" s="5" t="s">
        <v>16</v>
      </c>
      <c r="D10586" s="5" t="s">
        <v>10189</v>
      </c>
      <c r="E10586" s="6" t="str">
        <f>HYPERLINK("https://twitter.com/petrogustavo/status/1311826560039751687","1311826560039751687")</f>
        <v>1311826560039751687</v>
      </c>
      <c r="F10586" s="7" t="s">
        <v>32</v>
      </c>
      <c r="G10586" s="7">
        <v>3985370</v>
      </c>
      <c r="H10586" s="7">
        <v>2441</v>
      </c>
      <c r="I10586" s="7">
        <v>39</v>
      </c>
      <c r="J10586" s="7">
        <v>0</v>
      </c>
      <c r="K10586" s="7" t="s">
        <v>18</v>
      </c>
      <c r="L10586" s="8">
        <v>39987.315405092595</v>
      </c>
      <c r="M10586" s="9" t="s">
        <v>19</v>
      </c>
      <c r="N10586" s="9" t="s">
        <v>20</v>
      </c>
      <c r="O10586" s="6" t="str">
        <f>HYPERLINK("https://pbs.twimg.com/profile_images/962471262747529216/Uo8lOkRJ_normal.jpg","View")</f>
        <v>View</v>
      </c>
      <c r="P10586" s="7"/>
    </row>
    <row r="10587" spans="1:16">
      <c r="A10587" s="3">
        <v>44106.257118055553</v>
      </c>
      <c r="B10587" s="4" t="str">
        <f>HYPERLINK("https://twitter.com/petrogustavo","@petrogustavo")</f>
        <v>@petrogustavo</v>
      </c>
      <c r="C10587" s="5" t="s">
        <v>16</v>
      </c>
      <c r="D10587" s="5" t="s">
        <v>10190</v>
      </c>
      <c r="E10587" s="6" t="str">
        <f>HYPERLINK("https://twitter.com/petrogustavo/status/1311828305042120709","1311828305042120709")</f>
        <v>1311828305042120709</v>
      </c>
      <c r="F10587" s="7" t="s">
        <v>17</v>
      </c>
      <c r="G10587" s="7">
        <v>3985370</v>
      </c>
      <c r="H10587" s="7">
        <v>2441</v>
      </c>
      <c r="I10587" s="7">
        <v>48</v>
      </c>
      <c r="J10587" s="7">
        <v>0</v>
      </c>
      <c r="K10587" s="7" t="s">
        <v>18</v>
      </c>
      <c r="L10587" s="8">
        <v>39987.315405092595</v>
      </c>
      <c r="M10587" s="9" t="s">
        <v>19</v>
      </c>
      <c r="N10587" s="9" t="s">
        <v>20</v>
      </c>
      <c r="O10587" s="6" t="str">
        <f>HYPERLINK("https://pbs.twimg.com/profile_images/962471262747529216/Uo8lOkRJ_normal.jpg","View")</f>
        <v>View</v>
      </c>
      <c r="P10587" s="7"/>
    </row>
    <row r="10588" spans="1:16">
      <c r="A10588" s="3">
        <v>44106.260254629626</v>
      </c>
      <c r="B10588" s="4" t="str">
        <f>HYPERLINK("https://twitter.com/petrogustavo","@petrogustavo")</f>
        <v>@petrogustavo</v>
      </c>
      <c r="C10588" s="5" t="s">
        <v>16</v>
      </c>
      <c r="D10588" s="5" t="s">
        <v>10191</v>
      </c>
      <c r="E10588" s="6" t="str">
        <f>HYPERLINK("https://twitter.com/petrogustavo/status/1311829441870528512","1311829441870528512")</f>
        <v>1311829441870528512</v>
      </c>
      <c r="F10588" s="7" t="s">
        <v>17</v>
      </c>
      <c r="G10588" s="7">
        <v>3985370</v>
      </c>
      <c r="H10588" s="7">
        <v>2441</v>
      </c>
      <c r="I10588" s="7">
        <v>1455</v>
      </c>
      <c r="J10588" s="7">
        <v>0</v>
      </c>
      <c r="K10588" s="7" t="s">
        <v>18</v>
      </c>
      <c r="L10588" s="8">
        <v>39987.315405092595</v>
      </c>
      <c r="M10588" s="9" t="s">
        <v>19</v>
      </c>
      <c r="N10588" s="9" t="s">
        <v>20</v>
      </c>
      <c r="O10588" s="6" t="str">
        <f>HYPERLINK("https://pbs.twimg.com/profile_images/962471262747529216/Uo8lOkRJ_normal.jpg","View")</f>
        <v>View</v>
      </c>
      <c r="P10588" s="7"/>
    </row>
    <row r="10589" spans="1:16">
      <c r="A10589" s="3">
        <v>44106.261701388888</v>
      </c>
      <c r="B10589" s="4" t="str">
        <f>HYPERLINK("https://twitter.com/petrogustavo","@petrogustavo")</f>
        <v>@petrogustavo</v>
      </c>
      <c r="C10589" s="5" t="s">
        <v>16</v>
      </c>
      <c r="D10589" s="5" t="s">
        <v>10192</v>
      </c>
      <c r="E10589" s="6" t="str">
        <f>HYPERLINK("https://twitter.com/petrogustavo/status/1311829966292758529","1311829966292758529")</f>
        <v>1311829966292758529</v>
      </c>
      <c r="F10589" s="7" t="s">
        <v>17</v>
      </c>
      <c r="G10589" s="7">
        <v>3985370</v>
      </c>
      <c r="H10589" s="7">
        <v>2441</v>
      </c>
      <c r="I10589" s="7">
        <v>310</v>
      </c>
      <c r="J10589" s="7">
        <v>0</v>
      </c>
      <c r="K10589" s="7" t="s">
        <v>18</v>
      </c>
      <c r="L10589" s="8">
        <v>39987.315405092595</v>
      </c>
      <c r="M10589" s="9" t="s">
        <v>19</v>
      </c>
      <c r="N10589" s="9" t="s">
        <v>20</v>
      </c>
      <c r="O10589" s="6" t="str">
        <f>HYPERLINK("https://pbs.twimg.com/profile_images/962471262747529216/Uo8lOkRJ_normal.jpg","View")</f>
        <v>View</v>
      </c>
      <c r="P10589" s="7"/>
    </row>
    <row r="10590" spans="1:16">
      <c r="A10590" s="3">
        <v>44106.737303240741</v>
      </c>
      <c r="B10590" s="4" t="str">
        <f>HYPERLINK("https://twitter.com/petrogustavo","@petrogustavo")</f>
        <v>@petrogustavo</v>
      </c>
      <c r="C10590" s="5" t="s">
        <v>16</v>
      </c>
      <c r="D10590" s="5" t="s">
        <v>10193</v>
      </c>
      <c r="E10590" s="6" t="str">
        <f>HYPERLINK("https://twitter.com/petrogustavo/status/1312002319853260801","1312002319853260801")</f>
        <v>1312002319853260801</v>
      </c>
      <c r="F10590" s="7" t="s">
        <v>17</v>
      </c>
      <c r="G10590" s="7">
        <v>3985485</v>
      </c>
      <c r="H10590" s="7">
        <v>2441</v>
      </c>
      <c r="I10590" s="7">
        <v>31</v>
      </c>
      <c r="J10590" s="7">
        <v>0</v>
      </c>
      <c r="K10590" s="7" t="s">
        <v>18</v>
      </c>
      <c r="L10590" s="8">
        <v>39987.315405092595</v>
      </c>
      <c r="M10590" s="9" t="s">
        <v>19</v>
      </c>
      <c r="N10590" s="9" t="s">
        <v>20</v>
      </c>
      <c r="O10590" s="6" t="str">
        <f>HYPERLINK("https://pbs.twimg.com/profile_images/962471262747529216/Uo8lOkRJ_normal.jpg","View")</f>
        <v>View</v>
      </c>
      <c r="P10590" s="7"/>
    </row>
    <row r="10591" spans="1:16">
      <c r="A10591" s="3">
        <v>44106.739756944444</v>
      </c>
      <c r="B10591" s="4" t="str">
        <f>HYPERLINK("https://twitter.com/petrogustavo","@petrogustavo")</f>
        <v>@petrogustavo</v>
      </c>
      <c r="C10591" s="5" t="s">
        <v>16</v>
      </c>
      <c r="D10591" s="5" t="s">
        <v>10194</v>
      </c>
      <c r="E10591" s="6" t="str">
        <f>HYPERLINK("https://twitter.com/petrogustavo/status/1312003210807255046","1312003210807255046")</f>
        <v>1312003210807255046</v>
      </c>
      <c r="F10591" s="7" t="s">
        <v>17</v>
      </c>
      <c r="G10591" s="7">
        <v>3985485</v>
      </c>
      <c r="H10591" s="7">
        <v>2441</v>
      </c>
      <c r="I10591" s="7">
        <v>71</v>
      </c>
      <c r="J10591" s="7">
        <v>167</v>
      </c>
      <c r="K10591" s="7" t="s">
        <v>18</v>
      </c>
      <c r="L10591" s="8">
        <v>39987.315405092595</v>
      </c>
      <c r="M10591" s="9" t="s">
        <v>19</v>
      </c>
      <c r="N10591" s="9" t="s">
        <v>20</v>
      </c>
      <c r="O10591" s="6" t="str">
        <f>HYPERLINK("https://pbs.twimg.com/profile_images/962471262747529216/Uo8lOkRJ_normal.jpg","View")</f>
        <v>View</v>
      </c>
      <c r="P10591" s="7"/>
    </row>
    <row r="10592" spans="1:16">
      <c r="A10592" s="3">
        <v>44106.741608796292</v>
      </c>
      <c r="B10592" s="4" t="str">
        <f>HYPERLINK("https://twitter.com/petrogustavo","@petrogustavo")</f>
        <v>@petrogustavo</v>
      </c>
      <c r="C10592" s="5" t="s">
        <v>16</v>
      </c>
      <c r="D10592" s="5" t="s">
        <v>10195</v>
      </c>
      <c r="E10592" s="6" t="str">
        <f>HYPERLINK("https://twitter.com/petrogustavo/status/1312003882059522048","1312003882059522048")</f>
        <v>1312003882059522048</v>
      </c>
      <c r="F10592" s="7" t="s">
        <v>17</v>
      </c>
      <c r="G10592" s="7">
        <v>3985485</v>
      </c>
      <c r="H10592" s="7">
        <v>2441</v>
      </c>
      <c r="I10592" s="7">
        <v>160</v>
      </c>
      <c r="J10592" s="7">
        <v>588</v>
      </c>
      <c r="K10592" s="7" t="s">
        <v>18</v>
      </c>
      <c r="L10592" s="8">
        <v>39987.315405092595</v>
      </c>
      <c r="M10592" s="9" t="s">
        <v>19</v>
      </c>
      <c r="N10592" s="9" t="s">
        <v>20</v>
      </c>
      <c r="O10592" s="6" t="str">
        <f>HYPERLINK("https://pbs.twimg.com/profile_images/962471262747529216/Uo8lOkRJ_normal.jpg","View")</f>
        <v>View</v>
      </c>
      <c r="P10592" s="7"/>
    </row>
    <row r="10593" spans="1:16">
      <c r="A10593" s="3">
        <v>44106.748391203699</v>
      </c>
      <c r="B10593" s="4" t="str">
        <f>HYPERLINK("https://twitter.com/petrogustavo","@petrogustavo")</f>
        <v>@petrogustavo</v>
      </c>
      <c r="C10593" s="5" t="s">
        <v>16</v>
      </c>
      <c r="D10593" s="5" t="s">
        <v>10196</v>
      </c>
      <c r="E10593" s="6" t="str">
        <f>HYPERLINK("https://twitter.com/petrogustavo/status/1312006336142548998","1312006336142548998")</f>
        <v>1312006336142548998</v>
      </c>
      <c r="F10593" s="7" t="s">
        <v>32</v>
      </c>
      <c r="G10593" s="7">
        <v>3985485</v>
      </c>
      <c r="H10593" s="7">
        <v>2441</v>
      </c>
      <c r="I10593" s="7">
        <v>71</v>
      </c>
      <c r="J10593" s="7">
        <v>0</v>
      </c>
      <c r="K10593" s="7" t="s">
        <v>18</v>
      </c>
      <c r="L10593" s="8">
        <v>39987.315405092595</v>
      </c>
      <c r="M10593" s="9" t="s">
        <v>19</v>
      </c>
      <c r="N10593" s="9" t="s">
        <v>20</v>
      </c>
      <c r="O10593" s="6" t="str">
        <f>HYPERLINK("https://pbs.twimg.com/profile_images/962471262747529216/Uo8lOkRJ_normal.jpg","View")</f>
        <v>View</v>
      </c>
      <c r="P10593" s="7"/>
    </row>
    <row r="10594" spans="1:16">
      <c r="A10594" s="3">
        <v>44106.749166666668</v>
      </c>
      <c r="B10594" s="4" t="str">
        <f>HYPERLINK("https://twitter.com/petrogustavo","@petrogustavo")</f>
        <v>@petrogustavo</v>
      </c>
      <c r="C10594" s="5" t="s">
        <v>16</v>
      </c>
      <c r="D10594" s="5" t="s">
        <v>10197</v>
      </c>
      <c r="E10594" s="6" t="str">
        <f>HYPERLINK("https://twitter.com/petrogustavo/status/1312006620637990918","1312006620637990918")</f>
        <v>1312006620637990918</v>
      </c>
      <c r="F10594" s="7" t="s">
        <v>32</v>
      </c>
      <c r="G10594" s="7">
        <v>3985485</v>
      </c>
      <c r="H10594" s="7">
        <v>2441</v>
      </c>
      <c r="I10594" s="7">
        <v>1120</v>
      </c>
      <c r="J10594" s="7">
        <v>0</v>
      </c>
      <c r="K10594" s="7" t="s">
        <v>18</v>
      </c>
      <c r="L10594" s="8">
        <v>39987.315405092595</v>
      </c>
      <c r="M10594" s="9" t="s">
        <v>19</v>
      </c>
      <c r="N10594" s="9" t="s">
        <v>20</v>
      </c>
      <c r="O10594" s="6" t="str">
        <f>HYPERLINK("https://pbs.twimg.com/profile_images/962471262747529216/Uo8lOkRJ_normal.jpg","View")</f>
        <v>View</v>
      </c>
      <c r="P10594" s="7"/>
    </row>
    <row r="10595" spans="1:16">
      <c r="A10595" s="3">
        <v>44106.752430555556</v>
      </c>
      <c r="B10595" s="4" t="str">
        <f>HYPERLINK("https://twitter.com/petrogustavo","@petrogustavo")</f>
        <v>@petrogustavo</v>
      </c>
      <c r="C10595" s="5" t="s">
        <v>16</v>
      </c>
      <c r="D10595" s="5" t="s">
        <v>10198</v>
      </c>
      <c r="E10595" s="6" t="str">
        <f>HYPERLINK("https://twitter.com/petrogustavo/status/1312007803662413825","1312007803662413825")</f>
        <v>1312007803662413825</v>
      </c>
      <c r="F10595" s="7" t="s">
        <v>32</v>
      </c>
      <c r="G10595" s="7">
        <v>3985495</v>
      </c>
      <c r="H10595" s="7">
        <v>2441</v>
      </c>
      <c r="I10595" s="7">
        <v>273</v>
      </c>
      <c r="J10595" s="7">
        <v>757</v>
      </c>
      <c r="K10595" s="7" t="s">
        <v>18</v>
      </c>
      <c r="L10595" s="8">
        <v>39987.315405092595</v>
      </c>
      <c r="M10595" s="9" t="s">
        <v>19</v>
      </c>
      <c r="N10595" s="9" t="s">
        <v>20</v>
      </c>
      <c r="O10595" s="6" t="str">
        <f>HYPERLINK("https://pbs.twimg.com/profile_images/962471262747529216/Uo8lOkRJ_normal.jpg","View")</f>
        <v>View</v>
      </c>
      <c r="P10595" s="7"/>
    </row>
    <row r="10596" spans="1:16">
      <c r="A10596" s="3">
        <v>44106.75409722222</v>
      </c>
      <c r="B10596" s="4" t="str">
        <f>HYPERLINK("https://twitter.com/petrogustavo","@petrogustavo")</f>
        <v>@petrogustavo</v>
      </c>
      <c r="C10596" s="5" t="s">
        <v>16</v>
      </c>
      <c r="D10596" s="5" t="s">
        <v>10199</v>
      </c>
      <c r="E10596" s="6" t="str">
        <f>HYPERLINK("https://twitter.com/petrogustavo/status/1312008405058551809","1312008405058551809")</f>
        <v>1312008405058551809</v>
      </c>
      <c r="F10596" s="7" t="s">
        <v>17</v>
      </c>
      <c r="G10596" s="7">
        <v>3985495</v>
      </c>
      <c r="H10596" s="7">
        <v>2441</v>
      </c>
      <c r="I10596" s="7">
        <v>128</v>
      </c>
      <c r="J10596" s="7">
        <v>214</v>
      </c>
      <c r="K10596" s="7" t="s">
        <v>18</v>
      </c>
      <c r="L10596" s="8">
        <v>39987.315405092595</v>
      </c>
      <c r="M10596" s="9" t="s">
        <v>19</v>
      </c>
      <c r="N10596" s="9" t="s">
        <v>20</v>
      </c>
      <c r="O10596" s="6" t="str">
        <f>HYPERLINK("https://pbs.twimg.com/profile_images/962471262747529216/Uo8lOkRJ_normal.jpg","View")</f>
        <v>View</v>
      </c>
      <c r="P10596" s="7"/>
    </row>
    <row r="10597" spans="1:16">
      <c r="A10597" s="3">
        <v>44106.758333333331</v>
      </c>
      <c r="B10597" s="4" t="str">
        <f>HYPERLINK("https://twitter.com/petrogustavo","@petrogustavo")</f>
        <v>@petrogustavo</v>
      </c>
      <c r="C10597" s="5" t="s">
        <v>16</v>
      </c>
      <c r="D10597" s="5" t="s">
        <v>10200</v>
      </c>
      <c r="E10597" s="6" t="str">
        <f>HYPERLINK("https://twitter.com/petrogustavo/status/1312009939775348744","1312009939775348744")</f>
        <v>1312009939775348744</v>
      </c>
      <c r="F10597" s="7" t="s">
        <v>32</v>
      </c>
      <c r="G10597" s="7">
        <v>3985495</v>
      </c>
      <c r="H10597" s="7">
        <v>2441</v>
      </c>
      <c r="I10597" s="7">
        <v>88</v>
      </c>
      <c r="J10597" s="7">
        <v>181</v>
      </c>
      <c r="K10597" s="7" t="s">
        <v>18</v>
      </c>
      <c r="L10597" s="8">
        <v>39987.315405092595</v>
      </c>
      <c r="M10597" s="9" t="s">
        <v>19</v>
      </c>
      <c r="N10597" s="9" t="s">
        <v>20</v>
      </c>
      <c r="O10597" s="6" t="str">
        <f>HYPERLINK("https://pbs.twimg.com/profile_images/962471262747529216/Uo8lOkRJ_normal.jpg","View")</f>
        <v>View</v>
      </c>
      <c r="P10597" s="7"/>
    </row>
    <row r="10598" spans="1:16">
      <c r="A10598" s="3">
        <v>44106.759629629625</v>
      </c>
      <c r="B10598" s="4" t="str">
        <f>HYPERLINK("https://twitter.com/petrogustavo","@petrogustavo")</f>
        <v>@petrogustavo</v>
      </c>
      <c r="C10598" s="5" t="s">
        <v>16</v>
      </c>
      <c r="D10598" s="5" t="s">
        <v>10201</v>
      </c>
      <c r="E10598" s="6" t="str">
        <f>HYPERLINK("https://twitter.com/petrogustavo/status/1312010408799203328","1312010408799203328")</f>
        <v>1312010408799203328</v>
      </c>
      <c r="F10598" s="7" t="s">
        <v>32</v>
      </c>
      <c r="G10598" s="7">
        <v>3985495</v>
      </c>
      <c r="H10598" s="7">
        <v>2441</v>
      </c>
      <c r="I10598" s="7">
        <v>156</v>
      </c>
      <c r="J10598" s="7">
        <v>0</v>
      </c>
      <c r="K10598" s="7" t="s">
        <v>18</v>
      </c>
      <c r="L10598" s="8">
        <v>39987.315405092595</v>
      </c>
      <c r="M10598" s="9" t="s">
        <v>19</v>
      </c>
      <c r="N10598" s="9" t="s">
        <v>20</v>
      </c>
      <c r="O10598" s="6" t="str">
        <f>HYPERLINK("https://pbs.twimg.com/profile_images/962471262747529216/Uo8lOkRJ_normal.jpg","View")</f>
        <v>View</v>
      </c>
      <c r="P10598" s="7"/>
    </row>
    <row r="10599" spans="1:16">
      <c r="A10599" s="3">
        <v>44106.760659722218</v>
      </c>
      <c r="B10599" s="4" t="str">
        <f>HYPERLINK("https://twitter.com/petrogustavo","@petrogustavo")</f>
        <v>@petrogustavo</v>
      </c>
      <c r="C10599" s="5" t="s">
        <v>16</v>
      </c>
      <c r="D10599" s="5" t="s">
        <v>10202</v>
      </c>
      <c r="E10599" s="6" t="str">
        <f>HYPERLINK("https://twitter.com/petrogustavo/status/1312010783702777857","1312010783702777857")</f>
        <v>1312010783702777857</v>
      </c>
      <c r="F10599" s="7" t="s">
        <v>32</v>
      </c>
      <c r="G10599" s="7">
        <v>3985495</v>
      </c>
      <c r="H10599" s="7">
        <v>2441</v>
      </c>
      <c r="I10599" s="7">
        <v>172</v>
      </c>
      <c r="J10599" s="7">
        <v>481</v>
      </c>
      <c r="K10599" s="7" t="s">
        <v>18</v>
      </c>
      <c r="L10599" s="8">
        <v>39987.315405092595</v>
      </c>
      <c r="M10599" s="9" t="s">
        <v>19</v>
      </c>
      <c r="N10599" s="9" t="s">
        <v>20</v>
      </c>
      <c r="O10599" s="6" t="str">
        <f>HYPERLINK("https://pbs.twimg.com/profile_images/962471262747529216/Uo8lOkRJ_normal.jpg","View")</f>
        <v>View</v>
      </c>
      <c r="P10599" s="7"/>
    </row>
    <row r="10600" spans="1:16">
      <c r="A10600" s="3">
        <v>44106.794444444444</v>
      </c>
      <c r="B10600" s="4" t="str">
        <f>HYPERLINK("https://twitter.com/petrogustavo","@petrogustavo")</f>
        <v>@petrogustavo</v>
      </c>
      <c r="C10600" s="5" t="s">
        <v>16</v>
      </c>
      <c r="D10600" s="5" t="s">
        <v>10203</v>
      </c>
      <c r="E10600" s="6" t="str">
        <f>HYPERLINK("https://twitter.com/petrogustavo/status/1312023025458479104","1312023025458479104")</f>
        <v>1312023025458479104</v>
      </c>
      <c r="F10600" s="7" t="s">
        <v>17</v>
      </c>
      <c r="G10600" s="7">
        <v>3985534</v>
      </c>
      <c r="H10600" s="7">
        <v>2441</v>
      </c>
      <c r="I10600" s="7">
        <v>116</v>
      </c>
      <c r="J10600" s="7">
        <v>340</v>
      </c>
      <c r="K10600" s="7" t="s">
        <v>18</v>
      </c>
      <c r="L10600" s="8">
        <v>39987.315405092595</v>
      </c>
      <c r="M10600" s="9" t="s">
        <v>19</v>
      </c>
      <c r="N10600" s="9" t="s">
        <v>20</v>
      </c>
      <c r="O10600" s="6" t="str">
        <f>HYPERLINK("https://pbs.twimg.com/profile_images/962471262747529216/Uo8lOkRJ_normal.jpg","View")</f>
        <v>View</v>
      </c>
      <c r="P10600" s="7"/>
    </row>
    <row r="10601" spans="1:16">
      <c r="A10601" s="3">
        <v>44106.794791666667</v>
      </c>
      <c r="B10601" s="4" t="str">
        <f>HYPERLINK("https://twitter.com/petrogustavo","@petrogustavo")</f>
        <v>@petrogustavo</v>
      </c>
      <c r="C10601" s="5" t="s">
        <v>16</v>
      </c>
      <c r="D10601" s="5" t="s">
        <v>10204</v>
      </c>
      <c r="E10601" s="6" t="str">
        <f>HYPERLINK("https://twitter.com/petrogustavo/status/1312023152592117760","1312023152592117760")</f>
        <v>1312023152592117760</v>
      </c>
      <c r="F10601" s="7" t="s">
        <v>17</v>
      </c>
      <c r="G10601" s="7">
        <v>3985534</v>
      </c>
      <c r="H10601" s="7">
        <v>2441</v>
      </c>
      <c r="I10601" s="7">
        <v>593</v>
      </c>
      <c r="J10601" s="7">
        <v>0</v>
      </c>
      <c r="K10601" s="7" t="s">
        <v>18</v>
      </c>
      <c r="L10601" s="8">
        <v>39987.315405092595</v>
      </c>
      <c r="M10601" s="9" t="s">
        <v>19</v>
      </c>
      <c r="N10601" s="9" t="s">
        <v>20</v>
      </c>
      <c r="O10601" s="6" t="str">
        <f>HYPERLINK("https://pbs.twimg.com/profile_images/962471262747529216/Uo8lOkRJ_normal.jpg","View")</f>
        <v>View</v>
      </c>
      <c r="P10601" s="7"/>
    </row>
    <row r="10602" spans="1:16">
      <c r="A10602" s="3">
        <v>44106.799386574072</v>
      </c>
      <c r="B10602" s="4" t="str">
        <f>HYPERLINK("https://twitter.com/petrogustavo","@petrogustavo")</f>
        <v>@petrogustavo</v>
      </c>
      <c r="C10602" s="5" t="s">
        <v>16</v>
      </c>
      <c r="D10602" s="5" t="s">
        <v>10205</v>
      </c>
      <c r="E10602" s="6" t="str">
        <f>HYPERLINK("https://twitter.com/petrogustavo/status/1312024816522801159","1312024816522801159")</f>
        <v>1312024816522801159</v>
      </c>
      <c r="F10602" s="7" t="s">
        <v>17</v>
      </c>
      <c r="G10602" s="7">
        <v>3985534</v>
      </c>
      <c r="H10602" s="7">
        <v>2441</v>
      </c>
      <c r="I10602" s="7">
        <v>23</v>
      </c>
      <c r="J10602" s="7">
        <v>61</v>
      </c>
      <c r="K10602" s="7" t="s">
        <v>18</v>
      </c>
      <c r="L10602" s="8">
        <v>39987.315405092595</v>
      </c>
      <c r="M10602" s="9" t="s">
        <v>19</v>
      </c>
      <c r="N10602" s="9" t="s">
        <v>20</v>
      </c>
      <c r="O10602" s="6" t="str">
        <f>HYPERLINK("https://pbs.twimg.com/profile_images/962471262747529216/Uo8lOkRJ_normal.jpg","View")</f>
        <v>View</v>
      </c>
      <c r="P10602" s="7"/>
    </row>
    <row r="10603" spans="1:16">
      <c r="A10603" s="3">
        <v>44106.800451388888</v>
      </c>
      <c r="B10603" s="4" t="str">
        <f>HYPERLINK("https://twitter.com/petrogustavo","@petrogustavo")</f>
        <v>@petrogustavo</v>
      </c>
      <c r="C10603" s="5" t="s">
        <v>16</v>
      </c>
      <c r="D10603" s="5" t="s">
        <v>10206</v>
      </c>
      <c r="E10603" s="6" t="str">
        <f>HYPERLINK("https://twitter.com/petrogustavo/status/1312025203262795777","1312025203262795777")</f>
        <v>1312025203262795777</v>
      </c>
      <c r="F10603" s="7" t="s">
        <v>17</v>
      </c>
      <c r="G10603" s="7">
        <v>3985534</v>
      </c>
      <c r="H10603" s="7">
        <v>2441</v>
      </c>
      <c r="I10603" s="7">
        <v>10</v>
      </c>
      <c r="J10603" s="7">
        <v>54</v>
      </c>
      <c r="K10603" s="7" t="s">
        <v>18</v>
      </c>
      <c r="L10603" s="8">
        <v>39987.315405092595</v>
      </c>
      <c r="M10603" s="9" t="s">
        <v>19</v>
      </c>
      <c r="N10603" s="9" t="s">
        <v>20</v>
      </c>
      <c r="O10603" s="6" t="str">
        <f>HYPERLINK("https://pbs.twimg.com/profile_images/962471262747529216/Uo8lOkRJ_normal.jpg","View")</f>
        <v>View</v>
      </c>
      <c r="P10603" s="7"/>
    </row>
    <row r="10604" spans="1:16">
      <c r="A10604" s="3">
        <v>44106.802361111113</v>
      </c>
      <c r="B10604" s="4" t="str">
        <f>HYPERLINK("https://twitter.com/petrogustavo","@petrogustavo")</f>
        <v>@petrogustavo</v>
      </c>
      <c r="C10604" s="5" t="s">
        <v>16</v>
      </c>
      <c r="D10604" s="5" t="s">
        <v>10207</v>
      </c>
      <c r="E10604" s="6" t="str">
        <f>HYPERLINK("https://twitter.com/petrogustavo/status/1312025894857437185","1312025894857437185")</f>
        <v>1312025894857437185</v>
      </c>
      <c r="F10604" s="7" t="s">
        <v>17</v>
      </c>
      <c r="G10604" s="7">
        <v>3985534</v>
      </c>
      <c r="H10604" s="7">
        <v>2441</v>
      </c>
      <c r="I10604" s="7">
        <v>16</v>
      </c>
      <c r="J10604" s="7">
        <v>88</v>
      </c>
      <c r="K10604" s="7" t="s">
        <v>18</v>
      </c>
      <c r="L10604" s="8">
        <v>39987.315405092595</v>
      </c>
      <c r="M10604" s="9" t="s">
        <v>19</v>
      </c>
      <c r="N10604" s="9" t="s">
        <v>20</v>
      </c>
      <c r="O10604" s="6" t="str">
        <f>HYPERLINK("https://pbs.twimg.com/profile_images/962471262747529216/Uo8lOkRJ_normal.jpg","View")</f>
        <v>View</v>
      </c>
      <c r="P10604" s="7"/>
    </row>
    <row r="10605" spans="1:16">
      <c r="A10605" s="3">
        <v>44106.804212962961</v>
      </c>
      <c r="B10605" s="4" t="str">
        <f>HYPERLINK("https://twitter.com/petrogustavo","@petrogustavo")</f>
        <v>@petrogustavo</v>
      </c>
      <c r="C10605" s="5" t="s">
        <v>16</v>
      </c>
      <c r="D10605" s="5" t="s">
        <v>10208</v>
      </c>
      <c r="E10605" s="6" t="str">
        <f>HYPERLINK("https://twitter.com/petrogustavo/status/1312026567250509828","1312026567250509828")</f>
        <v>1312026567250509828</v>
      </c>
      <c r="F10605" s="7" t="s">
        <v>17</v>
      </c>
      <c r="G10605" s="7">
        <v>3985534</v>
      </c>
      <c r="H10605" s="7">
        <v>2441</v>
      </c>
      <c r="I10605" s="7">
        <v>14</v>
      </c>
      <c r="J10605" s="7">
        <v>75</v>
      </c>
      <c r="K10605" s="7" t="s">
        <v>18</v>
      </c>
      <c r="L10605" s="8">
        <v>39987.315405092595</v>
      </c>
      <c r="M10605" s="9" t="s">
        <v>19</v>
      </c>
      <c r="N10605" s="9" t="s">
        <v>20</v>
      </c>
      <c r="O10605" s="6" t="str">
        <f>HYPERLINK("https://pbs.twimg.com/profile_images/962471262747529216/Uo8lOkRJ_normal.jpg","View")</f>
        <v>View</v>
      </c>
      <c r="P10605" s="7"/>
    </row>
    <row r="10606" spans="1:16">
      <c r="A10606" s="3">
        <v>44106.836111111115</v>
      </c>
      <c r="B10606" s="4" t="str">
        <f>HYPERLINK("https://twitter.com/petrogustavo","@petrogustavo")</f>
        <v>@petrogustavo</v>
      </c>
      <c r="C10606" s="5" t="s">
        <v>16</v>
      </c>
      <c r="D10606" s="5" t="s">
        <v>10209</v>
      </c>
      <c r="E10606" s="6" t="str">
        <f>HYPERLINK("https://twitter.com/petrogustavo/status/1312038125045243906","1312038125045243906")</f>
        <v>1312038125045243906</v>
      </c>
      <c r="F10606" s="7" t="s">
        <v>17</v>
      </c>
      <c r="G10606" s="7">
        <v>3985555</v>
      </c>
      <c r="H10606" s="7">
        <v>2441</v>
      </c>
      <c r="I10606" s="7">
        <v>107</v>
      </c>
      <c r="J10606" s="7">
        <v>241</v>
      </c>
      <c r="K10606" s="7" t="s">
        <v>18</v>
      </c>
      <c r="L10606" s="8">
        <v>39987.315405092595</v>
      </c>
      <c r="M10606" s="9" t="s">
        <v>19</v>
      </c>
      <c r="N10606" s="9" t="s">
        <v>20</v>
      </c>
      <c r="O10606" s="6" t="str">
        <f>HYPERLINK("https://pbs.twimg.com/profile_images/962471262747529216/Uo8lOkRJ_normal.jpg","View")</f>
        <v>View</v>
      </c>
      <c r="P10606" s="7"/>
    </row>
    <row r="10607" spans="1:16">
      <c r="A10607" s="3">
        <v>44106.907523148147</v>
      </c>
      <c r="B10607" s="4" t="str">
        <f>HYPERLINK("https://twitter.com/petrogustavo","@petrogustavo")</f>
        <v>@petrogustavo</v>
      </c>
      <c r="C10607" s="5" t="s">
        <v>16</v>
      </c>
      <c r="D10607" s="5" t="s">
        <v>10210</v>
      </c>
      <c r="E10607" s="6" t="str">
        <f>HYPERLINK("https://twitter.com/petrogustavo/status/1312064004324569089","1312064004324569089")</f>
        <v>1312064004324569089</v>
      </c>
      <c r="F10607" s="7" t="s">
        <v>32</v>
      </c>
      <c r="G10607" s="7">
        <v>3985573</v>
      </c>
      <c r="H10607" s="7">
        <v>2441</v>
      </c>
      <c r="I10607" s="7">
        <v>34</v>
      </c>
      <c r="J10607" s="7">
        <v>0</v>
      </c>
      <c r="K10607" s="7" t="s">
        <v>18</v>
      </c>
      <c r="L10607" s="8">
        <v>39987.315405092595</v>
      </c>
      <c r="M10607" s="9" t="s">
        <v>19</v>
      </c>
      <c r="N10607" s="9" t="s">
        <v>20</v>
      </c>
      <c r="O10607" s="6" t="str">
        <f>HYPERLINK("https://pbs.twimg.com/profile_images/962471262747529216/Uo8lOkRJ_normal.jpg","View")</f>
        <v>View</v>
      </c>
      <c r="P10607" s="7"/>
    </row>
    <row r="10608" spans="1:16">
      <c r="A10608" s="3">
        <v>44106.909826388888</v>
      </c>
      <c r="B10608" s="4" t="str">
        <f>HYPERLINK("https://twitter.com/petrogustavo","@petrogustavo")</f>
        <v>@petrogustavo</v>
      </c>
      <c r="C10608" s="5" t="s">
        <v>16</v>
      </c>
      <c r="D10608" s="5" t="s">
        <v>10211</v>
      </c>
      <c r="E10608" s="6" t="str">
        <f>HYPERLINK("https://twitter.com/petrogustavo/status/1312064839540518912","1312064839540518912")</f>
        <v>1312064839540518912</v>
      </c>
      <c r="F10608" s="7" t="s">
        <v>32</v>
      </c>
      <c r="G10608" s="7">
        <v>3985573</v>
      </c>
      <c r="H10608" s="7">
        <v>2441</v>
      </c>
      <c r="I10608" s="7">
        <v>74</v>
      </c>
      <c r="J10608" s="7">
        <v>0</v>
      </c>
      <c r="K10608" s="7" t="s">
        <v>18</v>
      </c>
      <c r="L10608" s="8">
        <v>39987.315405092595</v>
      </c>
      <c r="M10608" s="9" t="s">
        <v>19</v>
      </c>
      <c r="N10608" s="9" t="s">
        <v>20</v>
      </c>
      <c r="O10608" s="6" t="str">
        <f>HYPERLINK("https://pbs.twimg.com/profile_images/962471262747529216/Uo8lOkRJ_normal.jpg","View")</f>
        <v>View</v>
      </c>
      <c r="P10608" s="7"/>
    </row>
    <row r="10609" spans="1:16">
      <c r="A10609" s="3">
        <v>44106.928657407407</v>
      </c>
      <c r="B10609" s="4" t="str">
        <f>HYPERLINK("https://twitter.com/petrogustavo","@petrogustavo")</f>
        <v>@petrogustavo</v>
      </c>
      <c r="C10609" s="5" t="s">
        <v>16</v>
      </c>
      <c r="D10609" s="5" t="s">
        <v>10212</v>
      </c>
      <c r="E10609" s="6" t="str">
        <f>HYPERLINK("https://twitter.com/petrogustavo/status/1312071663245197313","1312071663245197313")</f>
        <v>1312071663245197313</v>
      </c>
      <c r="F10609" s="7" t="s">
        <v>32</v>
      </c>
      <c r="G10609" s="7">
        <v>3985581</v>
      </c>
      <c r="H10609" s="7">
        <v>2441</v>
      </c>
      <c r="I10609" s="7">
        <v>99</v>
      </c>
      <c r="J10609" s="7">
        <v>266</v>
      </c>
      <c r="K10609" s="7" t="s">
        <v>18</v>
      </c>
      <c r="L10609" s="8">
        <v>39987.315405092595</v>
      </c>
      <c r="M10609" s="9" t="s">
        <v>19</v>
      </c>
      <c r="N10609" s="9" t="s">
        <v>20</v>
      </c>
      <c r="O10609" s="6" t="str">
        <f>HYPERLINK("https://pbs.twimg.com/profile_images/962471262747529216/Uo8lOkRJ_normal.jpg","View")</f>
        <v>View</v>
      </c>
      <c r="P10609" s="7"/>
    </row>
    <row r="10610" spans="1:16">
      <c r="A10610" s="3">
        <v>44106.946863425925</v>
      </c>
      <c r="B10610" s="4" t="str">
        <f>HYPERLINK("https://twitter.com/petrogustavo","@petrogustavo")</f>
        <v>@petrogustavo</v>
      </c>
      <c r="C10610" s="5" t="s">
        <v>16</v>
      </c>
      <c r="D10610" s="5" t="s">
        <v>10213</v>
      </c>
      <c r="E10610" s="6" t="str">
        <f>HYPERLINK("https://twitter.com/petrogustavo/status/1312078262181527557","1312078262181527557")</f>
        <v>1312078262181527557</v>
      </c>
      <c r="F10610" s="7" t="s">
        <v>32</v>
      </c>
      <c r="G10610" s="7">
        <v>3985603</v>
      </c>
      <c r="H10610" s="7">
        <v>2441</v>
      </c>
      <c r="I10610" s="7">
        <v>112</v>
      </c>
      <c r="J10610" s="7">
        <v>389</v>
      </c>
      <c r="K10610" s="7" t="s">
        <v>18</v>
      </c>
      <c r="L10610" s="8">
        <v>39987.315405092595</v>
      </c>
      <c r="M10610" s="9" t="s">
        <v>19</v>
      </c>
      <c r="N10610" s="9" t="s">
        <v>20</v>
      </c>
      <c r="O10610" s="6" t="str">
        <f>HYPERLINK("https://pbs.twimg.com/profile_images/962471262747529216/Uo8lOkRJ_normal.jpg","View")</f>
        <v>View</v>
      </c>
      <c r="P10610" s="7"/>
    </row>
    <row r="10611" spans="1:16">
      <c r="A10611" s="3">
        <v>44106.953472222223</v>
      </c>
      <c r="B10611" s="4" t="str">
        <f>HYPERLINK("https://twitter.com/petrogustavo","@petrogustavo")</f>
        <v>@petrogustavo</v>
      </c>
      <c r="C10611" s="5" t="s">
        <v>16</v>
      </c>
      <c r="D10611" s="5" t="s">
        <v>10214</v>
      </c>
      <c r="E10611" s="6" t="str">
        <f>HYPERLINK("https://twitter.com/petrogustavo/status/1312080654964793344","1312080654964793344")</f>
        <v>1312080654964793344</v>
      </c>
      <c r="F10611" s="7" t="s">
        <v>32</v>
      </c>
      <c r="G10611" s="7">
        <v>3985603</v>
      </c>
      <c r="H10611" s="7">
        <v>2441</v>
      </c>
      <c r="I10611" s="7">
        <v>61</v>
      </c>
      <c r="J10611" s="7">
        <v>223</v>
      </c>
      <c r="K10611" s="7" t="s">
        <v>18</v>
      </c>
      <c r="L10611" s="8">
        <v>39987.315405092595</v>
      </c>
      <c r="M10611" s="9" t="s">
        <v>19</v>
      </c>
      <c r="N10611" s="9" t="s">
        <v>20</v>
      </c>
      <c r="O10611" s="6" t="str">
        <f>HYPERLINK("https://pbs.twimg.com/profile_images/962471262747529216/Uo8lOkRJ_normal.jpg","View")</f>
        <v>View</v>
      </c>
      <c r="P10611" s="7"/>
    </row>
    <row r="10612" spans="1:16">
      <c r="A10612" s="3">
        <v>44106.969768518524</v>
      </c>
      <c r="B10612" s="4" t="str">
        <f>HYPERLINK("https://twitter.com/petrogustavo","@petrogustavo")</f>
        <v>@petrogustavo</v>
      </c>
      <c r="C10612" s="5" t="s">
        <v>16</v>
      </c>
      <c r="D10612" s="5" t="s">
        <v>10215</v>
      </c>
      <c r="E10612" s="6" t="str">
        <f>HYPERLINK("https://twitter.com/petrogustavo/status/1312086561769611264","1312086561769611264")</f>
        <v>1312086561769611264</v>
      </c>
      <c r="F10612" s="7" t="s">
        <v>32</v>
      </c>
      <c r="G10612" s="7">
        <v>3985620</v>
      </c>
      <c r="H10612" s="7">
        <v>2441</v>
      </c>
      <c r="I10612" s="7">
        <v>189</v>
      </c>
      <c r="J10612" s="7">
        <v>0</v>
      </c>
      <c r="K10612" s="7" t="s">
        <v>18</v>
      </c>
      <c r="L10612" s="8">
        <v>39987.315405092595</v>
      </c>
      <c r="M10612" s="9" t="s">
        <v>19</v>
      </c>
      <c r="N10612" s="9" t="s">
        <v>20</v>
      </c>
      <c r="O10612" s="6" t="str">
        <f>HYPERLINK("https://pbs.twimg.com/profile_images/962471262747529216/Uo8lOkRJ_normal.jpg","View")</f>
        <v>View</v>
      </c>
      <c r="P10612" s="7"/>
    </row>
    <row r="10613" spans="1:16">
      <c r="A10613" s="3">
        <v>44107.009074074071</v>
      </c>
      <c r="B10613" s="4" t="str">
        <f>HYPERLINK("https://twitter.com/petrogustavo","@petrogustavo")</f>
        <v>@petrogustavo</v>
      </c>
      <c r="C10613" s="5" t="s">
        <v>16</v>
      </c>
      <c r="D10613" s="5" t="s">
        <v>10216</v>
      </c>
      <c r="E10613" s="6" t="str">
        <f>HYPERLINK("https://twitter.com/petrogustavo/status/1312100806426984449","1312100806426984449")</f>
        <v>1312100806426984449</v>
      </c>
      <c r="F10613" s="7" t="s">
        <v>32</v>
      </c>
      <c r="G10613" s="7">
        <v>3985635</v>
      </c>
      <c r="H10613" s="7">
        <v>2441</v>
      </c>
      <c r="I10613" s="7">
        <v>146</v>
      </c>
      <c r="J10613" s="7">
        <v>499</v>
      </c>
      <c r="K10613" s="7" t="s">
        <v>18</v>
      </c>
      <c r="L10613" s="8">
        <v>39987.315405092595</v>
      </c>
      <c r="M10613" s="9" t="s">
        <v>19</v>
      </c>
      <c r="N10613" s="9" t="s">
        <v>20</v>
      </c>
      <c r="O10613" s="6" t="str">
        <f>HYPERLINK("https://pbs.twimg.com/profile_images/962471262747529216/Uo8lOkRJ_normal.jpg","View")</f>
        <v>View</v>
      </c>
      <c r="P10613" s="7"/>
    </row>
    <row r="10614" spans="1:16">
      <c r="A10614" s="3">
        <v>44107.182835648149</v>
      </c>
      <c r="B10614" s="4" t="str">
        <f>HYPERLINK("https://twitter.com/petrogustavo","@petrogustavo")</f>
        <v>@petrogustavo</v>
      </c>
      <c r="C10614" s="5" t="s">
        <v>16</v>
      </c>
      <c r="D10614" s="5" t="s">
        <v>10217</v>
      </c>
      <c r="E10614" s="6" t="str">
        <f>HYPERLINK("https://twitter.com/petrogustavo/status/1312163776922152960","1312163776922152960")</f>
        <v>1312163776922152960</v>
      </c>
      <c r="F10614" s="7" t="s">
        <v>17</v>
      </c>
      <c r="G10614" s="7">
        <v>3985757</v>
      </c>
      <c r="H10614" s="7">
        <v>2441</v>
      </c>
      <c r="I10614" s="7">
        <v>76</v>
      </c>
      <c r="J10614" s="7">
        <v>451</v>
      </c>
      <c r="K10614" s="7" t="s">
        <v>18</v>
      </c>
      <c r="L10614" s="8">
        <v>39987.315405092595</v>
      </c>
      <c r="M10614" s="9" t="s">
        <v>19</v>
      </c>
      <c r="N10614" s="9" t="s">
        <v>20</v>
      </c>
      <c r="O10614" s="6" t="str">
        <f>HYPERLINK("https://pbs.twimg.com/profile_images/962471262747529216/Uo8lOkRJ_normal.jpg","View")</f>
        <v>View</v>
      </c>
      <c r="P10614" s="7"/>
    </row>
    <row r="10615" spans="1:16">
      <c r="A10615" s="3">
        <v>44107.768136574072</v>
      </c>
      <c r="B10615" s="4" t="str">
        <f>HYPERLINK("https://twitter.com/petrogustavo","@petrogustavo")</f>
        <v>@petrogustavo</v>
      </c>
      <c r="C10615" s="5" t="s">
        <v>16</v>
      </c>
      <c r="D10615" s="5" t="s">
        <v>10218</v>
      </c>
      <c r="E10615" s="6" t="str">
        <f>HYPERLINK("https://twitter.com/petrogustavo/status/1312375882686828546","1312375882686828546")</f>
        <v>1312375882686828546</v>
      </c>
      <c r="F10615" s="7" t="s">
        <v>17</v>
      </c>
      <c r="G10615" s="7">
        <v>3985874</v>
      </c>
      <c r="H10615" s="7">
        <v>2441</v>
      </c>
      <c r="I10615" s="7">
        <v>47</v>
      </c>
      <c r="J10615" s="7">
        <v>100</v>
      </c>
      <c r="K10615" s="7" t="s">
        <v>18</v>
      </c>
      <c r="L10615" s="8">
        <v>39987.315405092595</v>
      </c>
      <c r="M10615" s="9" t="s">
        <v>19</v>
      </c>
      <c r="N10615" s="9" t="s">
        <v>20</v>
      </c>
      <c r="O10615" s="6" t="str">
        <f>HYPERLINK("https://pbs.twimg.com/profile_images/962471262747529216/Uo8lOkRJ_normal.jpg","View")</f>
        <v>View</v>
      </c>
      <c r="P10615" s="7"/>
    </row>
    <row r="10616" spans="1:16">
      <c r="A10616" s="3">
        <v>44107.77506944444</v>
      </c>
      <c r="B10616" s="4" t="str">
        <f>HYPERLINK("https://twitter.com/petrogustavo","@petrogustavo")</f>
        <v>@petrogustavo</v>
      </c>
      <c r="C10616" s="5" t="s">
        <v>16</v>
      </c>
      <c r="D10616" s="5" t="s">
        <v>10219</v>
      </c>
      <c r="E10616" s="6" t="str">
        <f>HYPERLINK("https://twitter.com/petrogustavo/status/1312378392327659520","1312378392327659520")</f>
        <v>1312378392327659520</v>
      </c>
      <c r="F10616" s="7" t="s">
        <v>17</v>
      </c>
      <c r="G10616" s="7">
        <v>3985904</v>
      </c>
      <c r="H10616" s="7">
        <v>2441</v>
      </c>
      <c r="I10616" s="7">
        <v>166</v>
      </c>
      <c r="J10616" s="7">
        <v>418</v>
      </c>
      <c r="K10616" s="7" t="s">
        <v>18</v>
      </c>
      <c r="L10616" s="8">
        <v>39987.315405092595</v>
      </c>
      <c r="M10616" s="9" t="s">
        <v>19</v>
      </c>
      <c r="N10616" s="9" t="s">
        <v>20</v>
      </c>
      <c r="O10616" s="6" t="str">
        <f>HYPERLINK("https://pbs.twimg.com/profile_images/962471262747529216/Uo8lOkRJ_normal.jpg","View")</f>
        <v>View</v>
      </c>
      <c r="P10616" s="7"/>
    </row>
    <row r="10617" spans="1:16">
      <c r="A10617" s="3">
        <v>44107.784108796295</v>
      </c>
      <c r="B10617" s="4" t="str">
        <f>HYPERLINK("https://twitter.com/petrogustavo","@petrogustavo")</f>
        <v>@petrogustavo</v>
      </c>
      <c r="C10617" s="5" t="s">
        <v>16</v>
      </c>
      <c r="D10617" s="5" t="s">
        <v>10220</v>
      </c>
      <c r="E10617" s="6" t="str">
        <f>HYPERLINK("https://twitter.com/petrogustavo/status/1312381671216472064","1312381671216472064")</f>
        <v>1312381671216472064</v>
      </c>
      <c r="F10617" s="7" t="s">
        <v>17</v>
      </c>
      <c r="G10617" s="7">
        <v>3985904</v>
      </c>
      <c r="H10617" s="7">
        <v>2441</v>
      </c>
      <c r="I10617" s="7">
        <v>1374</v>
      </c>
      <c r="J10617" s="7">
        <v>0</v>
      </c>
      <c r="K10617" s="7" t="s">
        <v>18</v>
      </c>
      <c r="L10617" s="8">
        <v>39987.315405092595</v>
      </c>
      <c r="M10617" s="9" t="s">
        <v>19</v>
      </c>
      <c r="N10617" s="9" t="s">
        <v>20</v>
      </c>
      <c r="O10617" s="6" t="str">
        <f>HYPERLINK("https://pbs.twimg.com/profile_images/962471262747529216/Uo8lOkRJ_normal.jpg","View")</f>
        <v>View</v>
      </c>
      <c r="P10617" s="7"/>
    </row>
    <row r="10618" spans="1:16">
      <c r="A10618" s="3">
        <v>44107.788923611108</v>
      </c>
      <c r="B10618" s="4" t="str">
        <f>HYPERLINK("https://twitter.com/petrogustavo","@petrogustavo")</f>
        <v>@petrogustavo</v>
      </c>
      <c r="C10618" s="5" t="s">
        <v>16</v>
      </c>
      <c r="D10618" s="5" t="s">
        <v>10221</v>
      </c>
      <c r="E10618" s="6" t="str">
        <f>HYPERLINK("https://twitter.com/petrogustavo/status/1312383413723246595","1312383413723246595")</f>
        <v>1312383413723246595</v>
      </c>
      <c r="F10618" s="7" t="s">
        <v>17</v>
      </c>
      <c r="G10618" s="7">
        <v>3985904</v>
      </c>
      <c r="H10618" s="7">
        <v>2441</v>
      </c>
      <c r="I10618" s="7">
        <v>5365</v>
      </c>
      <c r="J10618" s="7">
        <v>0</v>
      </c>
      <c r="K10618" s="7" t="s">
        <v>18</v>
      </c>
      <c r="L10618" s="8">
        <v>39987.315405092595</v>
      </c>
      <c r="M10618" s="9" t="s">
        <v>19</v>
      </c>
      <c r="N10618" s="9" t="s">
        <v>20</v>
      </c>
      <c r="O10618" s="6" t="str">
        <f>HYPERLINK("https://pbs.twimg.com/profile_images/962471262747529216/Uo8lOkRJ_normal.jpg","View")</f>
        <v>View</v>
      </c>
      <c r="P10618" s="7"/>
    </row>
    <row r="10619" spans="1:16">
      <c r="A10619" s="3">
        <v>44107.798842592594</v>
      </c>
      <c r="B10619" s="4" t="str">
        <f>HYPERLINK("https://twitter.com/petrogustavo","@petrogustavo")</f>
        <v>@petrogustavo</v>
      </c>
      <c r="C10619" s="5" t="s">
        <v>16</v>
      </c>
      <c r="D10619" s="5" t="s">
        <v>10222</v>
      </c>
      <c r="E10619" s="6" t="str">
        <f>HYPERLINK("https://twitter.com/petrogustavo/status/1312387009881739265","1312387009881739265")</f>
        <v>1312387009881739265</v>
      </c>
      <c r="F10619" s="7" t="s">
        <v>17</v>
      </c>
      <c r="G10619" s="7">
        <v>3985914</v>
      </c>
      <c r="H10619" s="7">
        <v>2441</v>
      </c>
      <c r="I10619" s="7">
        <v>156</v>
      </c>
      <c r="J10619" s="7">
        <v>446</v>
      </c>
      <c r="K10619" s="7" t="s">
        <v>18</v>
      </c>
      <c r="L10619" s="8">
        <v>39987.315405092595</v>
      </c>
      <c r="M10619" s="9" t="s">
        <v>19</v>
      </c>
      <c r="N10619" s="9" t="s">
        <v>20</v>
      </c>
      <c r="O10619" s="6" t="str">
        <f>HYPERLINK("https://pbs.twimg.com/profile_images/962471262747529216/Uo8lOkRJ_normal.jpg","View")</f>
        <v>View</v>
      </c>
      <c r="P10619" s="7"/>
    </row>
    <row r="10620" spans="1:16">
      <c r="A10620" s="3">
        <v>44107.802129629628</v>
      </c>
      <c r="B10620" s="4" t="str">
        <f>HYPERLINK("https://twitter.com/petrogustavo","@petrogustavo")</f>
        <v>@petrogustavo</v>
      </c>
      <c r="C10620" s="5" t="s">
        <v>16</v>
      </c>
      <c r="D10620" s="5" t="s">
        <v>10223</v>
      </c>
      <c r="E10620" s="6" t="str">
        <f>HYPERLINK("https://twitter.com/petrogustavo/status/1312388201579937792","1312388201579937792")</f>
        <v>1312388201579937792</v>
      </c>
      <c r="F10620" s="7" t="s">
        <v>17</v>
      </c>
      <c r="G10620" s="7">
        <v>3985914</v>
      </c>
      <c r="H10620" s="7">
        <v>2441</v>
      </c>
      <c r="I10620" s="7">
        <v>93</v>
      </c>
      <c r="J10620" s="7">
        <v>189</v>
      </c>
      <c r="K10620" s="7" t="s">
        <v>18</v>
      </c>
      <c r="L10620" s="8">
        <v>39987.315405092595</v>
      </c>
      <c r="M10620" s="9" t="s">
        <v>19</v>
      </c>
      <c r="N10620" s="9" t="s">
        <v>20</v>
      </c>
      <c r="O10620" s="6" t="str">
        <f>HYPERLINK("https://pbs.twimg.com/profile_images/962471262747529216/Uo8lOkRJ_normal.jpg","View")</f>
        <v>View</v>
      </c>
      <c r="P10620" s="7"/>
    </row>
    <row r="10621" spans="1:16">
      <c r="A10621" s="3">
        <v>44107.81726851852</v>
      </c>
      <c r="B10621" s="4" t="str">
        <f>HYPERLINK("https://twitter.com/petrogustavo","@petrogustavo")</f>
        <v>@petrogustavo</v>
      </c>
      <c r="C10621" s="5" t="s">
        <v>16</v>
      </c>
      <c r="D10621" s="5" t="s">
        <v>10224</v>
      </c>
      <c r="E10621" s="6" t="str">
        <f>HYPERLINK("https://twitter.com/petrogustavo/status/1312393684856565761","1312393684856565761")</f>
        <v>1312393684856565761</v>
      </c>
      <c r="F10621" s="7" t="s">
        <v>17</v>
      </c>
      <c r="G10621" s="7">
        <v>3985927</v>
      </c>
      <c r="H10621" s="7">
        <v>2441</v>
      </c>
      <c r="I10621" s="7">
        <v>158</v>
      </c>
      <c r="J10621" s="7">
        <v>320</v>
      </c>
      <c r="K10621" s="7" t="s">
        <v>18</v>
      </c>
      <c r="L10621" s="8">
        <v>39987.315405092595</v>
      </c>
      <c r="M10621" s="9" t="s">
        <v>19</v>
      </c>
      <c r="N10621" s="9" t="s">
        <v>20</v>
      </c>
      <c r="O10621" s="6" t="str">
        <f>HYPERLINK("https://pbs.twimg.com/profile_images/962471262747529216/Uo8lOkRJ_normal.jpg","View")</f>
        <v>View</v>
      </c>
      <c r="P10621" s="7"/>
    </row>
    <row r="10622" spans="1:16">
      <c r="A10622" s="3">
        <v>44107.819652777776</v>
      </c>
      <c r="B10622" s="4" t="str">
        <f>HYPERLINK("https://twitter.com/petrogustavo","@petrogustavo")</f>
        <v>@petrogustavo</v>
      </c>
      <c r="C10622" s="5" t="s">
        <v>16</v>
      </c>
      <c r="D10622" s="5" t="s">
        <v>10225</v>
      </c>
      <c r="E10622" s="6" t="str">
        <f>HYPERLINK("https://twitter.com/petrogustavo/status/1312394549931761666","1312394549931761666")</f>
        <v>1312394549931761666</v>
      </c>
      <c r="F10622" s="7" t="s">
        <v>17</v>
      </c>
      <c r="G10622" s="7">
        <v>3985927</v>
      </c>
      <c r="H10622" s="7">
        <v>2441</v>
      </c>
      <c r="I10622" s="7">
        <v>120</v>
      </c>
      <c r="J10622" s="7">
        <v>330</v>
      </c>
      <c r="K10622" s="7" t="s">
        <v>18</v>
      </c>
      <c r="L10622" s="8">
        <v>39987.315405092595</v>
      </c>
      <c r="M10622" s="9" t="s">
        <v>19</v>
      </c>
      <c r="N10622" s="9" t="s">
        <v>20</v>
      </c>
      <c r="O10622" s="6" t="str">
        <f>HYPERLINK("https://pbs.twimg.com/profile_images/962471262747529216/Uo8lOkRJ_normal.jpg","View")</f>
        <v>View</v>
      </c>
      <c r="P10622" s="7"/>
    </row>
    <row r="10623" spans="1:16">
      <c r="A10623" s="3">
        <v>44107.978587962964</v>
      </c>
      <c r="B10623" s="4" t="str">
        <f>HYPERLINK("https://twitter.com/petrogustavo","@petrogustavo")</f>
        <v>@petrogustavo</v>
      </c>
      <c r="C10623" s="5" t="s">
        <v>16</v>
      </c>
      <c r="D10623" s="5" t="s">
        <v>10226</v>
      </c>
      <c r="E10623" s="6" t="str">
        <f>HYPERLINK("https://twitter.com/petrogustavo/status/1312452144398655488","1312452144398655488")</f>
        <v>1312452144398655488</v>
      </c>
      <c r="F10623" s="7" t="s">
        <v>32</v>
      </c>
      <c r="G10623" s="7">
        <v>3986042</v>
      </c>
      <c r="H10623" s="7">
        <v>2441</v>
      </c>
      <c r="I10623" s="7">
        <v>106</v>
      </c>
      <c r="J10623" s="7">
        <v>395</v>
      </c>
      <c r="K10623" s="7" t="s">
        <v>18</v>
      </c>
      <c r="L10623" s="8">
        <v>39987.315405092595</v>
      </c>
      <c r="M10623" s="9" t="s">
        <v>19</v>
      </c>
      <c r="N10623" s="9" t="s">
        <v>20</v>
      </c>
      <c r="O10623" s="6" t="str">
        <f>HYPERLINK("https://pbs.twimg.com/profile_images/962471262747529216/Uo8lOkRJ_normal.jpg","View")</f>
        <v>View</v>
      </c>
      <c r="P10623" s="7"/>
    </row>
    <row r="10624" spans="1:16">
      <c r="A10624" s="3">
        <v>44107.979861111111</v>
      </c>
      <c r="B10624" s="4" t="str">
        <f>HYPERLINK("https://twitter.com/petrogustavo","@petrogustavo")</f>
        <v>@petrogustavo</v>
      </c>
      <c r="C10624" s="5" t="s">
        <v>16</v>
      </c>
      <c r="D10624" s="5" t="s">
        <v>10227</v>
      </c>
      <c r="E10624" s="6" t="str">
        <f>HYPERLINK("https://twitter.com/petrogustavo/status/1312452609123311618","1312452609123311618")</f>
        <v>1312452609123311618</v>
      </c>
      <c r="F10624" s="7" t="s">
        <v>32</v>
      </c>
      <c r="G10624" s="7">
        <v>3986042</v>
      </c>
      <c r="H10624" s="7">
        <v>2441</v>
      </c>
      <c r="I10624" s="7">
        <v>35</v>
      </c>
      <c r="J10624" s="7">
        <v>146</v>
      </c>
      <c r="K10624" s="7" t="s">
        <v>18</v>
      </c>
      <c r="L10624" s="8">
        <v>39987.315405092595</v>
      </c>
      <c r="M10624" s="9" t="s">
        <v>19</v>
      </c>
      <c r="N10624" s="9" t="s">
        <v>20</v>
      </c>
      <c r="O10624" s="6" t="str">
        <f>HYPERLINK("https://pbs.twimg.com/profile_images/962471262747529216/Uo8lOkRJ_normal.jpg","View")</f>
        <v>View</v>
      </c>
      <c r="P10624" s="7"/>
    </row>
    <row r="10625" spans="1:16">
      <c r="A10625" s="3">
        <v>44108.087465277778</v>
      </c>
      <c r="B10625" s="4" t="str">
        <f>HYPERLINK("https://twitter.com/petrogustavo","@petrogustavo")</f>
        <v>@petrogustavo</v>
      </c>
      <c r="C10625" s="5" t="s">
        <v>16</v>
      </c>
      <c r="D10625" s="5" t="s">
        <v>10228</v>
      </c>
      <c r="E10625" s="6" t="str">
        <f>HYPERLINK("https://twitter.com/petrogustavo/status/1312491600124076032","1312491600124076032")</f>
        <v>1312491600124076032</v>
      </c>
      <c r="F10625" s="7" t="s">
        <v>17</v>
      </c>
      <c r="G10625" s="7">
        <v>3986087</v>
      </c>
      <c r="H10625" s="7">
        <v>2441</v>
      </c>
      <c r="I10625" s="7">
        <v>114</v>
      </c>
      <c r="J10625" s="7">
        <v>501</v>
      </c>
      <c r="K10625" s="7" t="s">
        <v>18</v>
      </c>
      <c r="L10625" s="8">
        <v>39987.315405092595</v>
      </c>
      <c r="M10625" s="9" t="s">
        <v>19</v>
      </c>
      <c r="N10625" s="9" t="s">
        <v>20</v>
      </c>
      <c r="O10625" s="6" t="str">
        <f>HYPERLINK("https://pbs.twimg.com/profile_images/962471262747529216/Uo8lOkRJ_normal.jpg","View")</f>
        <v>View</v>
      </c>
      <c r="P10625" s="7"/>
    </row>
    <row r="10626" spans="1:16">
      <c r="A10626" s="3">
        <v>44108.094571759255</v>
      </c>
      <c r="B10626" s="4" t="str">
        <f>HYPERLINK("https://twitter.com/petrogustavo","@petrogustavo")</f>
        <v>@petrogustavo</v>
      </c>
      <c r="C10626" s="5" t="s">
        <v>16</v>
      </c>
      <c r="D10626" s="5" t="s">
        <v>10229</v>
      </c>
      <c r="E10626" s="6" t="str">
        <f>HYPERLINK("https://twitter.com/petrogustavo/status/1312494177045811200","1312494177045811200")</f>
        <v>1312494177045811200</v>
      </c>
      <c r="F10626" s="7" t="s">
        <v>17</v>
      </c>
      <c r="G10626" s="7">
        <v>3986087</v>
      </c>
      <c r="H10626" s="7">
        <v>2441</v>
      </c>
      <c r="I10626" s="7">
        <v>43</v>
      </c>
      <c r="J10626" s="7">
        <v>0</v>
      </c>
      <c r="K10626" s="7" t="s">
        <v>18</v>
      </c>
      <c r="L10626" s="8">
        <v>39987.315405092595</v>
      </c>
      <c r="M10626" s="9" t="s">
        <v>19</v>
      </c>
      <c r="N10626" s="9" t="s">
        <v>20</v>
      </c>
      <c r="O10626" s="6" t="str">
        <f>HYPERLINK("https://pbs.twimg.com/profile_images/962471262747529216/Uo8lOkRJ_normal.jpg","View")</f>
        <v>View</v>
      </c>
      <c r="P10626" s="7"/>
    </row>
    <row r="10627" spans="1:16">
      <c r="A10627" s="3">
        <v>44108.100798611107</v>
      </c>
      <c r="B10627" s="4" t="str">
        <f>HYPERLINK("https://twitter.com/petrogustavo","@petrogustavo")</f>
        <v>@petrogustavo</v>
      </c>
      <c r="C10627" s="5" t="s">
        <v>16</v>
      </c>
      <c r="D10627" s="5" t="s">
        <v>10230</v>
      </c>
      <c r="E10627" s="6" t="str">
        <f>HYPERLINK("https://twitter.com/petrogustavo/status/1312496432058757120","1312496432058757120")</f>
        <v>1312496432058757120</v>
      </c>
      <c r="F10627" s="7" t="s">
        <v>17</v>
      </c>
      <c r="G10627" s="7">
        <v>3986087</v>
      </c>
      <c r="H10627" s="7">
        <v>2441</v>
      </c>
      <c r="I10627" s="7">
        <v>76</v>
      </c>
      <c r="J10627" s="7">
        <v>151</v>
      </c>
      <c r="K10627" s="7" t="s">
        <v>18</v>
      </c>
      <c r="L10627" s="8">
        <v>39987.315405092595</v>
      </c>
      <c r="M10627" s="9" t="s">
        <v>19</v>
      </c>
      <c r="N10627" s="9" t="s">
        <v>20</v>
      </c>
      <c r="O10627" s="6" t="str">
        <f>HYPERLINK("https://pbs.twimg.com/profile_images/962471262747529216/Uo8lOkRJ_normal.jpg","View")</f>
        <v>View</v>
      </c>
      <c r="P10627" s="7"/>
    </row>
    <row r="10628" spans="1:16">
      <c r="A10628" s="3">
        <v>44108.103043981479</v>
      </c>
      <c r="B10628" s="4" t="str">
        <f>HYPERLINK("https://twitter.com/petrogustavo","@petrogustavo")</f>
        <v>@petrogustavo</v>
      </c>
      <c r="C10628" s="5" t="s">
        <v>16</v>
      </c>
      <c r="D10628" s="5" t="s">
        <v>10231</v>
      </c>
      <c r="E10628" s="6" t="str">
        <f>HYPERLINK("https://twitter.com/petrogustavo/status/1312497247662141440","1312497247662141440")</f>
        <v>1312497247662141440</v>
      </c>
      <c r="F10628" s="7" t="s">
        <v>17</v>
      </c>
      <c r="G10628" s="7">
        <v>3986087</v>
      </c>
      <c r="H10628" s="7">
        <v>2441</v>
      </c>
      <c r="I10628" s="7">
        <v>114</v>
      </c>
      <c r="J10628" s="7">
        <v>0</v>
      </c>
      <c r="K10628" s="7" t="s">
        <v>18</v>
      </c>
      <c r="L10628" s="8">
        <v>39987.315405092595</v>
      </c>
      <c r="M10628" s="9" t="s">
        <v>19</v>
      </c>
      <c r="N10628" s="9" t="s">
        <v>20</v>
      </c>
      <c r="O10628" s="6" t="str">
        <f>HYPERLINK("https://pbs.twimg.com/profile_images/962471262747529216/Uo8lOkRJ_normal.jpg","View")</f>
        <v>View</v>
      </c>
      <c r="P10628" s="7"/>
    </row>
    <row r="10629" spans="1:16">
      <c r="A10629" s="3">
        <v>44108.797268518523</v>
      </c>
      <c r="B10629" s="4" t="str">
        <f>HYPERLINK("https://twitter.com/petrogustavo","@petrogustavo")</f>
        <v>@petrogustavo</v>
      </c>
      <c r="C10629" s="5" t="s">
        <v>16</v>
      </c>
      <c r="D10629" s="5" t="s">
        <v>10232</v>
      </c>
      <c r="E10629" s="6" t="str">
        <f>HYPERLINK("https://twitter.com/petrogustavo/status/1312748828118913025","1312748828118913025")</f>
        <v>1312748828118913025</v>
      </c>
      <c r="F10629" s="7" t="s">
        <v>17</v>
      </c>
      <c r="G10629" s="7">
        <v>3986169</v>
      </c>
      <c r="H10629" s="7">
        <v>2441</v>
      </c>
      <c r="I10629" s="7">
        <v>158</v>
      </c>
      <c r="J10629" s="7">
        <v>360</v>
      </c>
      <c r="K10629" s="7" t="s">
        <v>18</v>
      </c>
      <c r="L10629" s="8">
        <v>39987.315405092595</v>
      </c>
      <c r="M10629" s="9" t="s">
        <v>19</v>
      </c>
      <c r="N10629" s="9" t="s">
        <v>20</v>
      </c>
      <c r="O10629" s="6" t="str">
        <f>HYPERLINK("https://pbs.twimg.com/profile_images/962471262747529216/Uo8lOkRJ_normal.jpg","View")</f>
        <v>View</v>
      </c>
      <c r="P10629" s="7"/>
    </row>
    <row r="10630" spans="1:16">
      <c r="A10630" s="3">
        <v>44108.807905092588</v>
      </c>
      <c r="B10630" s="4" t="str">
        <f>HYPERLINK("https://twitter.com/petrogustavo","@petrogustavo")</f>
        <v>@petrogustavo</v>
      </c>
      <c r="C10630" s="5" t="s">
        <v>16</v>
      </c>
      <c r="D10630" s="5" t="s">
        <v>10233</v>
      </c>
      <c r="E10630" s="6" t="str">
        <f>HYPERLINK("https://twitter.com/petrogustavo/status/1312752682600476673","1312752682600476673")</f>
        <v>1312752682600476673</v>
      </c>
      <c r="F10630" s="7" t="s">
        <v>17</v>
      </c>
      <c r="G10630" s="7">
        <v>3986169</v>
      </c>
      <c r="H10630" s="7">
        <v>2441</v>
      </c>
      <c r="I10630" s="7">
        <v>483</v>
      </c>
      <c r="J10630" s="7">
        <v>0</v>
      </c>
      <c r="K10630" s="7" t="s">
        <v>18</v>
      </c>
      <c r="L10630" s="8">
        <v>39987.315405092595</v>
      </c>
      <c r="M10630" s="9" t="s">
        <v>19</v>
      </c>
      <c r="N10630" s="9" t="s">
        <v>20</v>
      </c>
      <c r="O10630" s="6" t="str">
        <f>HYPERLINK("https://pbs.twimg.com/profile_images/962471262747529216/Uo8lOkRJ_normal.jpg","View")</f>
        <v>View</v>
      </c>
      <c r="P10630" s="7"/>
    </row>
    <row r="10631" spans="1:16">
      <c r="A10631" s="3">
        <v>44108.815474537041</v>
      </c>
      <c r="B10631" s="4" t="str">
        <f>HYPERLINK("https://twitter.com/petrogustavo","@petrogustavo")</f>
        <v>@petrogustavo</v>
      </c>
      <c r="C10631" s="5" t="s">
        <v>16</v>
      </c>
      <c r="D10631" s="5" t="s">
        <v>10234</v>
      </c>
      <c r="E10631" s="6" t="str">
        <f>HYPERLINK("https://twitter.com/petrogustavo/status/1312755423297130496","1312755423297130496")</f>
        <v>1312755423297130496</v>
      </c>
      <c r="F10631" s="7" t="s">
        <v>17</v>
      </c>
      <c r="G10631" s="7">
        <v>3986182</v>
      </c>
      <c r="H10631" s="7">
        <v>2441</v>
      </c>
      <c r="I10631" s="7">
        <v>198</v>
      </c>
      <c r="J10631" s="7">
        <v>1049</v>
      </c>
      <c r="K10631" s="7" t="s">
        <v>18</v>
      </c>
      <c r="L10631" s="8">
        <v>39987.315405092595</v>
      </c>
      <c r="M10631" s="9" t="s">
        <v>19</v>
      </c>
      <c r="N10631" s="9" t="s">
        <v>20</v>
      </c>
      <c r="O10631" s="6" t="str">
        <f>HYPERLINK("https://pbs.twimg.com/profile_images/962471262747529216/Uo8lOkRJ_normal.jpg","View")</f>
        <v>View</v>
      </c>
      <c r="P10631" s="7"/>
    </row>
    <row r="10632" spans="1:16">
      <c r="A10632" s="3">
        <v>44108.816793981481</v>
      </c>
      <c r="B10632" s="4" t="str">
        <f>HYPERLINK("https://twitter.com/petrogustavo","@petrogustavo")</f>
        <v>@petrogustavo</v>
      </c>
      <c r="C10632" s="5" t="s">
        <v>16</v>
      </c>
      <c r="D10632" s="5" t="s">
        <v>10235</v>
      </c>
      <c r="E10632" s="6" t="str">
        <f>HYPERLINK("https://twitter.com/petrogustavo/status/1312755901078659074","1312755901078659074")</f>
        <v>1312755901078659074</v>
      </c>
      <c r="F10632" s="7" t="s">
        <v>17</v>
      </c>
      <c r="G10632" s="7">
        <v>3986182</v>
      </c>
      <c r="H10632" s="7">
        <v>2441</v>
      </c>
      <c r="I10632" s="7">
        <v>1731</v>
      </c>
      <c r="J10632" s="7">
        <v>0</v>
      </c>
      <c r="K10632" s="7" t="s">
        <v>18</v>
      </c>
      <c r="L10632" s="8">
        <v>39987.315405092595</v>
      </c>
      <c r="M10632" s="9" t="s">
        <v>19</v>
      </c>
      <c r="N10632" s="9" t="s">
        <v>20</v>
      </c>
      <c r="O10632" s="6" t="str">
        <f>HYPERLINK("https://pbs.twimg.com/profile_images/962471262747529216/Uo8lOkRJ_normal.jpg","View")</f>
        <v>View</v>
      </c>
      <c r="P10632" s="7"/>
    </row>
    <row r="10633" spans="1:16">
      <c r="A10633" s="3">
        <v>44108.822962962964</v>
      </c>
      <c r="B10633" s="4" t="str">
        <f>HYPERLINK("https://twitter.com/petrogustavo","@petrogustavo")</f>
        <v>@petrogustavo</v>
      </c>
      <c r="C10633" s="5" t="s">
        <v>16</v>
      </c>
      <c r="D10633" s="5" t="s">
        <v>10236</v>
      </c>
      <c r="E10633" s="6" t="str">
        <f>HYPERLINK("https://twitter.com/petrogustavo/status/1312758138039304201","1312758138039304201")</f>
        <v>1312758138039304201</v>
      </c>
      <c r="F10633" s="7" t="s">
        <v>17</v>
      </c>
      <c r="G10633" s="7">
        <v>3986182</v>
      </c>
      <c r="H10633" s="7">
        <v>2441</v>
      </c>
      <c r="I10633" s="7">
        <v>68</v>
      </c>
      <c r="J10633" s="7">
        <v>175</v>
      </c>
      <c r="K10633" s="7" t="s">
        <v>18</v>
      </c>
      <c r="L10633" s="8">
        <v>39987.315405092595</v>
      </c>
      <c r="M10633" s="9" t="s">
        <v>19</v>
      </c>
      <c r="N10633" s="9" t="s">
        <v>20</v>
      </c>
      <c r="O10633" s="6" t="str">
        <f>HYPERLINK("https://pbs.twimg.com/profile_images/962471262747529216/Uo8lOkRJ_normal.jpg","View")</f>
        <v>View</v>
      </c>
      <c r="P10633" s="7"/>
    </row>
    <row r="10634" spans="1:16">
      <c r="A10634" s="3">
        <v>44108.830590277779</v>
      </c>
      <c r="B10634" s="4" t="str">
        <f>HYPERLINK("https://twitter.com/petrogustavo","@petrogustavo")</f>
        <v>@petrogustavo</v>
      </c>
      <c r="C10634" s="5" t="s">
        <v>16</v>
      </c>
      <c r="D10634" s="5" t="s">
        <v>10237</v>
      </c>
      <c r="E10634" s="6" t="str">
        <f>HYPERLINK("https://twitter.com/petrogustavo/status/1312760900689055745","1312760900689055745")</f>
        <v>1312760900689055745</v>
      </c>
      <c r="F10634" s="7" t="s">
        <v>17</v>
      </c>
      <c r="G10634" s="7">
        <v>3986182</v>
      </c>
      <c r="H10634" s="7">
        <v>2441</v>
      </c>
      <c r="I10634" s="7">
        <v>49</v>
      </c>
      <c r="J10634" s="7">
        <v>180</v>
      </c>
      <c r="K10634" s="7" t="s">
        <v>18</v>
      </c>
      <c r="L10634" s="8">
        <v>39987.315405092595</v>
      </c>
      <c r="M10634" s="9" t="s">
        <v>19</v>
      </c>
      <c r="N10634" s="9" t="s">
        <v>20</v>
      </c>
      <c r="O10634" s="6" t="str">
        <f>HYPERLINK("https://pbs.twimg.com/profile_images/962471262747529216/Uo8lOkRJ_normal.jpg","View")</f>
        <v>View</v>
      </c>
      <c r="P10634" s="7"/>
    </row>
    <row r="10635" spans="1:16">
      <c r="A10635" s="3">
        <v>44108.844444444447</v>
      </c>
      <c r="B10635" s="4" t="str">
        <f>HYPERLINK("https://twitter.com/petrogustavo","@petrogustavo")</f>
        <v>@petrogustavo</v>
      </c>
      <c r="C10635" s="5" t="s">
        <v>16</v>
      </c>
      <c r="D10635" s="5" t="s">
        <v>10238</v>
      </c>
      <c r="E10635" s="6" t="str">
        <f>HYPERLINK("https://twitter.com/petrogustavo/status/1312765920968945669","1312765920968945669")</f>
        <v>1312765920968945669</v>
      </c>
      <c r="F10635" s="7" t="s">
        <v>17</v>
      </c>
      <c r="G10635" s="7">
        <v>3986199</v>
      </c>
      <c r="H10635" s="7">
        <v>2441</v>
      </c>
      <c r="I10635" s="7">
        <v>184</v>
      </c>
      <c r="J10635" s="7">
        <v>0</v>
      </c>
      <c r="K10635" s="7" t="s">
        <v>18</v>
      </c>
      <c r="L10635" s="8">
        <v>39987.315405092595</v>
      </c>
      <c r="M10635" s="9" t="s">
        <v>19</v>
      </c>
      <c r="N10635" s="9" t="s">
        <v>20</v>
      </c>
      <c r="O10635" s="6" t="str">
        <f>HYPERLINK("https://pbs.twimg.com/profile_images/962471262747529216/Uo8lOkRJ_normal.jpg","View")</f>
        <v>View</v>
      </c>
      <c r="P10635" s="7"/>
    </row>
    <row r="10636" spans="1:16">
      <c r="A10636" s="3">
        <v>44108.845497685186</v>
      </c>
      <c r="B10636" s="4" t="str">
        <f>HYPERLINK("https://twitter.com/petrogustavo","@petrogustavo")</f>
        <v>@petrogustavo</v>
      </c>
      <c r="C10636" s="5" t="s">
        <v>16</v>
      </c>
      <c r="D10636" s="5" t="s">
        <v>10239</v>
      </c>
      <c r="E10636" s="6" t="str">
        <f>HYPERLINK("https://twitter.com/petrogustavo/status/1312766302046519296","1312766302046519296")</f>
        <v>1312766302046519296</v>
      </c>
      <c r="F10636" s="7" t="s">
        <v>17</v>
      </c>
      <c r="G10636" s="7">
        <v>3986199</v>
      </c>
      <c r="H10636" s="7">
        <v>2441</v>
      </c>
      <c r="I10636" s="7">
        <v>124</v>
      </c>
      <c r="J10636" s="7">
        <v>275</v>
      </c>
      <c r="K10636" s="7" t="s">
        <v>18</v>
      </c>
      <c r="L10636" s="8">
        <v>39987.315405092595</v>
      </c>
      <c r="M10636" s="9" t="s">
        <v>19</v>
      </c>
      <c r="N10636" s="9" t="s">
        <v>20</v>
      </c>
      <c r="O10636" s="6" t="str">
        <f>HYPERLINK("https://pbs.twimg.com/profile_images/962471262747529216/Uo8lOkRJ_normal.jpg","View")</f>
        <v>View</v>
      </c>
      <c r="P10636" s="7"/>
    </row>
    <row r="10637" spans="1:16">
      <c r="A10637" s="3">
        <v>44108.849687499998</v>
      </c>
      <c r="B10637" s="4" t="str">
        <f>HYPERLINK("https://twitter.com/petrogustavo","@petrogustavo")</f>
        <v>@petrogustavo</v>
      </c>
      <c r="C10637" s="5" t="s">
        <v>16</v>
      </c>
      <c r="D10637" s="5" t="s">
        <v>10240</v>
      </c>
      <c r="E10637" s="6" t="str">
        <f>HYPERLINK("https://twitter.com/petrogustavo/status/1312767820405538821","1312767820405538821")</f>
        <v>1312767820405538821</v>
      </c>
      <c r="F10637" s="7" t="s">
        <v>17</v>
      </c>
      <c r="G10637" s="7">
        <v>3986199</v>
      </c>
      <c r="H10637" s="7">
        <v>2441</v>
      </c>
      <c r="I10637" s="7">
        <v>151</v>
      </c>
      <c r="J10637" s="7">
        <v>0</v>
      </c>
      <c r="K10637" s="7" t="s">
        <v>18</v>
      </c>
      <c r="L10637" s="8">
        <v>39987.315405092595</v>
      </c>
      <c r="M10637" s="9" t="s">
        <v>19</v>
      </c>
      <c r="N10637" s="9" t="s">
        <v>20</v>
      </c>
      <c r="O10637" s="6" t="str">
        <f>HYPERLINK("https://pbs.twimg.com/profile_images/962471262747529216/Uo8lOkRJ_normal.jpg","View")</f>
        <v>View</v>
      </c>
      <c r="P10637" s="7"/>
    </row>
    <row r="10638" spans="1:16">
      <c r="A10638" s="3">
        <v>44108.88008101852</v>
      </c>
      <c r="B10638" s="4" t="str">
        <f>HYPERLINK("https://twitter.com/petrogustavo","@petrogustavo")</f>
        <v>@petrogustavo</v>
      </c>
      <c r="C10638" s="5" t="s">
        <v>16</v>
      </c>
      <c r="D10638" s="5" t="s">
        <v>10241</v>
      </c>
      <c r="E10638" s="6" t="str">
        <f>HYPERLINK("https://twitter.com/petrogustavo/status/1312778837839826945","1312778837839826945")</f>
        <v>1312778837839826945</v>
      </c>
      <c r="F10638" s="7" t="s">
        <v>17</v>
      </c>
      <c r="G10638" s="7">
        <v>3986221</v>
      </c>
      <c r="H10638" s="7">
        <v>2441</v>
      </c>
      <c r="I10638" s="7">
        <v>27</v>
      </c>
      <c r="J10638" s="7">
        <v>96</v>
      </c>
      <c r="K10638" s="7" t="s">
        <v>18</v>
      </c>
      <c r="L10638" s="8">
        <v>39987.315405092595</v>
      </c>
      <c r="M10638" s="9" t="s">
        <v>19</v>
      </c>
      <c r="N10638" s="9" t="s">
        <v>20</v>
      </c>
      <c r="O10638" s="6" t="str">
        <f>HYPERLINK("https://pbs.twimg.com/profile_images/962471262747529216/Uo8lOkRJ_normal.jpg","View")</f>
        <v>View</v>
      </c>
      <c r="P10638" s="7"/>
    </row>
    <row r="10639" spans="1:16">
      <c r="A10639" s="3">
        <v>44108.881527777776</v>
      </c>
      <c r="B10639" s="4" t="str">
        <f>HYPERLINK("https://twitter.com/petrogustavo","@petrogustavo")</f>
        <v>@petrogustavo</v>
      </c>
      <c r="C10639" s="5" t="s">
        <v>16</v>
      </c>
      <c r="D10639" s="5" t="s">
        <v>10242</v>
      </c>
      <c r="E10639" s="6" t="str">
        <f>HYPERLINK("https://twitter.com/petrogustavo/status/1312779362274508805","1312779362274508805")</f>
        <v>1312779362274508805</v>
      </c>
      <c r="F10639" s="7" t="s">
        <v>17</v>
      </c>
      <c r="G10639" s="7">
        <v>3986221</v>
      </c>
      <c r="H10639" s="7">
        <v>2441</v>
      </c>
      <c r="I10639" s="7">
        <v>24</v>
      </c>
      <c r="J10639" s="7">
        <v>75</v>
      </c>
      <c r="K10639" s="7" t="s">
        <v>18</v>
      </c>
      <c r="L10639" s="8">
        <v>39987.315405092595</v>
      </c>
      <c r="M10639" s="9" t="s">
        <v>19</v>
      </c>
      <c r="N10639" s="9" t="s">
        <v>20</v>
      </c>
      <c r="O10639" s="6" t="str">
        <f>HYPERLINK("https://pbs.twimg.com/profile_images/962471262747529216/Uo8lOkRJ_normal.jpg","View")</f>
        <v>View</v>
      </c>
      <c r="P10639" s="7"/>
    </row>
    <row r="10640" spans="1:16">
      <c r="A10640" s="3">
        <v>44108.910914351851</v>
      </c>
      <c r="B10640" s="4" t="str">
        <f>HYPERLINK("https://twitter.com/petrogustavo","@petrogustavo")</f>
        <v>@petrogustavo</v>
      </c>
      <c r="C10640" s="5" t="s">
        <v>16</v>
      </c>
      <c r="D10640" s="5" t="s">
        <v>10233</v>
      </c>
      <c r="E10640" s="6" t="str">
        <f>HYPERLINK("https://twitter.com/petrogustavo/status/1312790012065439744","1312790012065439744")</f>
        <v>1312790012065439744</v>
      </c>
      <c r="F10640" s="7" t="s">
        <v>32</v>
      </c>
      <c r="G10640" s="7">
        <v>3986222</v>
      </c>
      <c r="H10640" s="7">
        <v>2441</v>
      </c>
      <c r="I10640" s="7">
        <v>720</v>
      </c>
      <c r="J10640" s="7">
        <v>0</v>
      </c>
      <c r="K10640" s="7" t="s">
        <v>18</v>
      </c>
      <c r="L10640" s="8">
        <v>39987.315405092595</v>
      </c>
      <c r="M10640" s="9" t="s">
        <v>19</v>
      </c>
      <c r="N10640" s="9" t="s">
        <v>20</v>
      </c>
      <c r="O10640" s="6" t="str">
        <f>HYPERLINK("https://pbs.twimg.com/profile_images/962471262747529216/Uo8lOkRJ_normal.jpg","View")</f>
        <v>View</v>
      </c>
      <c r="P10640" s="7"/>
    </row>
    <row r="10641" spans="1:16">
      <c r="A10641" s="3">
        <v>44108.911319444444</v>
      </c>
      <c r="B10641" s="4" t="str">
        <f>HYPERLINK("https://twitter.com/petrogustavo","@petrogustavo")</f>
        <v>@petrogustavo</v>
      </c>
      <c r="C10641" s="5" t="s">
        <v>16</v>
      </c>
      <c r="D10641" s="5" t="s">
        <v>10243</v>
      </c>
      <c r="E10641" s="6" t="str">
        <f>HYPERLINK("https://twitter.com/petrogustavo/status/1312790156244586499","1312790156244586499")</f>
        <v>1312790156244586499</v>
      </c>
      <c r="F10641" s="7" t="s">
        <v>32</v>
      </c>
      <c r="G10641" s="7">
        <v>3986222</v>
      </c>
      <c r="H10641" s="7">
        <v>2441</v>
      </c>
      <c r="I10641" s="7">
        <v>471</v>
      </c>
      <c r="J10641" s="7">
        <v>0</v>
      </c>
      <c r="K10641" s="7" t="s">
        <v>18</v>
      </c>
      <c r="L10641" s="8">
        <v>39987.315405092595</v>
      </c>
      <c r="M10641" s="9" t="s">
        <v>19</v>
      </c>
      <c r="N10641" s="9" t="s">
        <v>20</v>
      </c>
      <c r="O10641" s="6" t="str">
        <f>HYPERLINK("https://pbs.twimg.com/profile_images/962471262747529216/Uo8lOkRJ_normal.jpg","View")</f>
        <v>View</v>
      </c>
      <c r="P10641" s="7"/>
    </row>
    <row r="10642" spans="1:16">
      <c r="A10642" s="3">
        <v>44109.053738425922</v>
      </c>
      <c r="B10642" s="4" t="str">
        <f>HYPERLINK("https://twitter.com/petrogustavo","@petrogustavo")</f>
        <v>@petrogustavo</v>
      </c>
      <c r="C10642" s="5" t="s">
        <v>16</v>
      </c>
      <c r="D10642" s="5" t="s">
        <v>10244</v>
      </c>
      <c r="E10642" s="6" t="str">
        <f>HYPERLINK("https://twitter.com/petrogustavo/status/1312841767939715072","1312841767939715072")</f>
        <v>1312841767939715072</v>
      </c>
      <c r="F10642" s="7" t="s">
        <v>17</v>
      </c>
      <c r="G10642" s="7">
        <v>3986250</v>
      </c>
      <c r="H10642" s="7">
        <v>2442</v>
      </c>
      <c r="I10642" s="7">
        <v>207</v>
      </c>
      <c r="J10642" s="7">
        <v>0</v>
      </c>
      <c r="K10642" s="7" t="s">
        <v>18</v>
      </c>
      <c r="L10642" s="8">
        <v>39987.315405092595</v>
      </c>
      <c r="M10642" s="9" t="s">
        <v>19</v>
      </c>
      <c r="N10642" s="9" t="s">
        <v>20</v>
      </c>
      <c r="O10642" s="6" t="str">
        <f>HYPERLINK("https://pbs.twimg.com/profile_images/962471262747529216/Uo8lOkRJ_normal.jpg","View")</f>
        <v>View</v>
      </c>
      <c r="P10642" s="7"/>
    </row>
    <row r="10643" spans="1:16">
      <c r="A10643" s="3">
        <v>44109.060092592597</v>
      </c>
      <c r="B10643" s="4" t="str">
        <f>HYPERLINK("https://twitter.com/petrogustavo","@petrogustavo")</f>
        <v>@petrogustavo</v>
      </c>
      <c r="C10643" s="5" t="s">
        <v>16</v>
      </c>
      <c r="D10643" s="5" t="s">
        <v>10245</v>
      </c>
      <c r="E10643" s="6" t="str">
        <f>HYPERLINK("https://twitter.com/petrogustavo/status/1312844071602454530","1312844071602454530")</f>
        <v>1312844071602454530</v>
      </c>
      <c r="F10643" s="7" t="s">
        <v>17</v>
      </c>
      <c r="G10643" s="7">
        <v>3986250</v>
      </c>
      <c r="H10643" s="7">
        <v>2442</v>
      </c>
      <c r="I10643" s="7">
        <v>49</v>
      </c>
      <c r="J10643" s="7">
        <v>129</v>
      </c>
      <c r="K10643" s="7" t="s">
        <v>18</v>
      </c>
      <c r="L10643" s="8">
        <v>39987.315405092595</v>
      </c>
      <c r="M10643" s="9" t="s">
        <v>19</v>
      </c>
      <c r="N10643" s="9" t="s">
        <v>20</v>
      </c>
      <c r="O10643" s="6" t="str">
        <f>HYPERLINK("https://pbs.twimg.com/profile_images/962471262747529216/Uo8lOkRJ_normal.jpg","View")</f>
        <v>View</v>
      </c>
      <c r="P10643" s="7"/>
    </row>
    <row r="10644" spans="1:16">
      <c r="A10644" s="3">
        <v>44109.127210648148</v>
      </c>
      <c r="B10644" s="4" t="str">
        <f>HYPERLINK("https://twitter.com/petrogustavo","@petrogustavo")</f>
        <v>@petrogustavo</v>
      </c>
      <c r="C10644" s="5" t="s">
        <v>16</v>
      </c>
      <c r="D10644" s="5" t="s">
        <v>10246</v>
      </c>
      <c r="E10644" s="6" t="str">
        <f>HYPERLINK("https://twitter.com/petrogustavo/status/1312868393419186177","1312868393419186177")</f>
        <v>1312868393419186177</v>
      </c>
      <c r="F10644" s="7" t="s">
        <v>17</v>
      </c>
      <c r="G10644" s="7">
        <v>3986269</v>
      </c>
      <c r="H10644" s="7">
        <v>2442</v>
      </c>
      <c r="I10644" s="7">
        <v>123</v>
      </c>
      <c r="J10644" s="7">
        <v>0</v>
      </c>
      <c r="K10644" s="7" t="s">
        <v>18</v>
      </c>
      <c r="L10644" s="8">
        <v>39987.315405092595</v>
      </c>
      <c r="M10644" s="9" t="s">
        <v>19</v>
      </c>
      <c r="N10644" s="9" t="s">
        <v>20</v>
      </c>
      <c r="O10644" s="6" t="str">
        <f>HYPERLINK("https://pbs.twimg.com/profile_images/962471262747529216/Uo8lOkRJ_normal.jpg","View")</f>
        <v>View</v>
      </c>
      <c r="P10644" s="7"/>
    </row>
    <row r="10645" spans="1:16">
      <c r="A10645" s="3">
        <v>44109.145289351851</v>
      </c>
      <c r="B10645" s="4" t="str">
        <f>HYPERLINK("https://twitter.com/petrogustavo","@petrogustavo")</f>
        <v>@petrogustavo</v>
      </c>
      <c r="C10645" s="5" t="s">
        <v>16</v>
      </c>
      <c r="D10645" s="5" t="s">
        <v>10247</v>
      </c>
      <c r="E10645" s="6" t="str">
        <f>HYPERLINK("https://twitter.com/petrogustavo/status/1312874946071232512","1312874946071232512")</f>
        <v>1312874946071232512</v>
      </c>
      <c r="F10645" s="7" t="s">
        <v>17</v>
      </c>
      <c r="G10645" s="7">
        <v>3986269</v>
      </c>
      <c r="H10645" s="7">
        <v>2442</v>
      </c>
      <c r="I10645" s="7">
        <v>176</v>
      </c>
      <c r="J10645" s="7">
        <v>0</v>
      </c>
      <c r="K10645" s="7" t="s">
        <v>18</v>
      </c>
      <c r="L10645" s="8">
        <v>39987.315405092595</v>
      </c>
      <c r="M10645" s="9" t="s">
        <v>19</v>
      </c>
      <c r="N10645" s="9" t="s">
        <v>20</v>
      </c>
      <c r="O10645" s="6" t="str">
        <f>HYPERLINK("https://pbs.twimg.com/profile_images/962471262747529216/Uo8lOkRJ_normal.jpg","View")</f>
        <v>View</v>
      </c>
      <c r="P10645" s="7"/>
    </row>
    <row r="10646" spans="1:16">
      <c r="A10646" s="3">
        <v>44109.146064814813</v>
      </c>
      <c r="B10646" s="4" t="str">
        <f>HYPERLINK("https://twitter.com/petrogustavo","@petrogustavo")</f>
        <v>@petrogustavo</v>
      </c>
      <c r="C10646" s="5" t="s">
        <v>16</v>
      </c>
      <c r="D10646" s="5" t="s">
        <v>10248</v>
      </c>
      <c r="E10646" s="6" t="str">
        <f>HYPERLINK("https://twitter.com/petrogustavo/status/1312875224485056513","1312875224485056513")</f>
        <v>1312875224485056513</v>
      </c>
      <c r="F10646" s="7" t="s">
        <v>17</v>
      </c>
      <c r="G10646" s="7">
        <v>3986269</v>
      </c>
      <c r="H10646" s="7">
        <v>2442</v>
      </c>
      <c r="I10646" s="7">
        <v>656</v>
      </c>
      <c r="J10646" s="7">
        <v>0</v>
      </c>
      <c r="K10646" s="7" t="s">
        <v>18</v>
      </c>
      <c r="L10646" s="8">
        <v>39987.315405092595</v>
      </c>
      <c r="M10646" s="9" t="s">
        <v>19</v>
      </c>
      <c r="N10646" s="9" t="s">
        <v>20</v>
      </c>
      <c r="O10646" s="6" t="str">
        <f>HYPERLINK("https://pbs.twimg.com/profile_images/962471262747529216/Uo8lOkRJ_normal.jpg","View")</f>
        <v>View</v>
      </c>
      <c r="P10646" s="7"/>
    </row>
    <row r="10647" spans="1:16">
      <c r="A10647" s="3">
        <v>44109.148599537039</v>
      </c>
      <c r="B10647" s="4" t="str">
        <f>HYPERLINK("https://twitter.com/petrogustavo","@petrogustavo")</f>
        <v>@petrogustavo</v>
      </c>
      <c r="C10647" s="5" t="s">
        <v>16</v>
      </c>
      <c r="D10647" s="5" t="s">
        <v>10249</v>
      </c>
      <c r="E10647" s="6" t="str">
        <f>HYPERLINK("https://twitter.com/petrogustavo/status/1312876144757276672","1312876144757276672")</f>
        <v>1312876144757276672</v>
      </c>
      <c r="F10647" s="7" t="s">
        <v>17</v>
      </c>
      <c r="G10647" s="7">
        <v>3986285</v>
      </c>
      <c r="H10647" s="7">
        <v>2442</v>
      </c>
      <c r="I10647" s="7">
        <v>497</v>
      </c>
      <c r="J10647" s="7">
        <v>0</v>
      </c>
      <c r="K10647" s="7" t="s">
        <v>18</v>
      </c>
      <c r="L10647" s="8">
        <v>39987.315405092595</v>
      </c>
      <c r="M10647" s="9" t="s">
        <v>19</v>
      </c>
      <c r="N10647" s="9" t="s">
        <v>20</v>
      </c>
      <c r="O10647" s="6" t="str">
        <f>HYPERLINK("https://pbs.twimg.com/profile_images/962471262747529216/Uo8lOkRJ_normal.jpg","View")</f>
        <v>View</v>
      </c>
      <c r="P10647" s="7"/>
    </row>
    <row r="10648" spans="1:16">
      <c r="A10648" s="3">
        <v>44109.148761574077</v>
      </c>
      <c r="B10648" s="4" t="str">
        <f>HYPERLINK("https://twitter.com/petrogustavo","@petrogustavo")</f>
        <v>@petrogustavo</v>
      </c>
      <c r="C10648" s="5" t="s">
        <v>16</v>
      </c>
      <c r="D10648" s="5" t="s">
        <v>10233</v>
      </c>
      <c r="E10648" s="6" t="str">
        <f>HYPERLINK("https://twitter.com/petrogustavo/status/1312876204031123456","1312876204031123456")</f>
        <v>1312876204031123456</v>
      </c>
      <c r="F10648" s="7" t="s">
        <v>17</v>
      </c>
      <c r="G10648" s="7">
        <v>3986285</v>
      </c>
      <c r="H10648" s="7">
        <v>2442</v>
      </c>
      <c r="I10648" s="7">
        <v>970</v>
      </c>
      <c r="J10648" s="7">
        <v>0</v>
      </c>
      <c r="K10648" s="7" t="s">
        <v>18</v>
      </c>
      <c r="L10648" s="8">
        <v>39987.315405092595</v>
      </c>
      <c r="M10648" s="9" t="s">
        <v>19</v>
      </c>
      <c r="N10648" s="9" t="s">
        <v>20</v>
      </c>
      <c r="O10648" s="6" t="str">
        <f>HYPERLINK("https://pbs.twimg.com/profile_images/962471262747529216/Uo8lOkRJ_normal.jpg","View")</f>
        <v>View</v>
      </c>
      <c r="P10648" s="7"/>
    </row>
    <row r="10649" spans="1:16">
      <c r="A10649" s="3">
        <v>44109.148865740739</v>
      </c>
      <c r="B10649" s="4" t="str">
        <f>HYPERLINK("https://twitter.com/petrogustavo","@petrogustavo")</f>
        <v>@petrogustavo</v>
      </c>
      <c r="C10649" s="5" t="s">
        <v>16</v>
      </c>
      <c r="D10649" s="5" t="s">
        <v>10243</v>
      </c>
      <c r="E10649" s="6" t="str">
        <f>HYPERLINK("https://twitter.com/petrogustavo/status/1312876239758262272","1312876239758262272")</f>
        <v>1312876239758262272</v>
      </c>
      <c r="F10649" s="7" t="s">
        <v>17</v>
      </c>
      <c r="G10649" s="7">
        <v>3986285</v>
      </c>
      <c r="H10649" s="7">
        <v>2442</v>
      </c>
      <c r="I10649" s="7">
        <v>806</v>
      </c>
      <c r="J10649" s="7">
        <v>0</v>
      </c>
      <c r="K10649" s="7" t="s">
        <v>18</v>
      </c>
      <c r="L10649" s="8">
        <v>39987.315405092595</v>
      </c>
      <c r="M10649" s="9" t="s">
        <v>19</v>
      </c>
      <c r="N10649" s="9" t="s">
        <v>20</v>
      </c>
      <c r="O10649" s="6" t="str">
        <f>HYPERLINK("https://pbs.twimg.com/profile_images/962471262747529216/Uo8lOkRJ_normal.jpg","View")</f>
        <v>View</v>
      </c>
      <c r="P10649" s="7"/>
    </row>
    <row r="10650" spans="1:16">
      <c r="A10650" s="3">
        <v>44109.189664351856</v>
      </c>
      <c r="B10650" s="4" t="str">
        <f>HYPERLINK("https://twitter.com/petrogustavo","@petrogustavo")</f>
        <v>@petrogustavo</v>
      </c>
      <c r="C10650" s="5" t="s">
        <v>16</v>
      </c>
      <c r="D10650" s="5" t="s">
        <v>10250</v>
      </c>
      <c r="E10650" s="6" t="str">
        <f>HYPERLINK("https://twitter.com/petrogustavo/status/1312891025866850305","1312891025866850305")</f>
        <v>1312891025866850305</v>
      </c>
      <c r="F10650" s="7" t="s">
        <v>32</v>
      </c>
      <c r="G10650" s="7">
        <v>3986293</v>
      </c>
      <c r="H10650" s="7">
        <v>2443</v>
      </c>
      <c r="I10650" s="7">
        <v>2</v>
      </c>
      <c r="J10650" s="7">
        <v>2</v>
      </c>
      <c r="K10650" s="7" t="s">
        <v>18</v>
      </c>
      <c r="L10650" s="8">
        <v>39987.315405092595</v>
      </c>
      <c r="M10650" s="9" t="s">
        <v>19</v>
      </c>
      <c r="N10650" s="9" t="s">
        <v>20</v>
      </c>
      <c r="O10650" s="6" t="str">
        <f>HYPERLINK("https://pbs.twimg.com/profile_images/962471262747529216/Uo8lOkRJ_normal.jpg","View")</f>
        <v>View</v>
      </c>
      <c r="P10650" s="7"/>
    </row>
    <row r="10651" spans="1:16">
      <c r="A10651" s="3">
        <v>44109.236921296295</v>
      </c>
      <c r="B10651" s="4" t="str">
        <f>HYPERLINK("https://twitter.com/petrogustavo","@petrogustavo")</f>
        <v>@petrogustavo</v>
      </c>
      <c r="C10651" s="5" t="s">
        <v>16</v>
      </c>
      <c r="D10651" s="5" t="s">
        <v>10251</v>
      </c>
      <c r="E10651" s="6" t="str">
        <f>HYPERLINK("https://twitter.com/petrogustavo/status/1312908150077485056","1312908150077485056")</f>
        <v>1312908150077485056</v>
      </c>
      <c r="F10651" s="7" t="s">
        <v>22</v>
      </c>
      <c r="G10651" s="7">
        <v>3986319</v>
      </c>
      <c r="H10651" s="7">
        <v>2443</v>
      </c>
      <c r="I10651" s="7">
        <v>162</v>
      </c>
      <c r="J10651" s="7">
        <v>287</v>
      </c>
      <c r="K10651" s="7" t="s">
        <v>18</v>
      </c>
      <c r="L10651" s="8">
        <v>39987.315405092595</v>
      </c>
      <c r="M10651" s="9" t="s">
        <v>19</v>
      </c>
      <c r="N10651" s="9" t="s">
        <v>20</v>
      </c>
      <c r="O10651" s="6" t="str">
        <f>HYPERLINK("https://pbs.twimg.com/profile_images/962471262747529216/Uo8lOkRJ_normal.jpg","View")</f>
        <v>View</v>
      </c>
      <c r="P10651" s="7"/>
    </row>
    <row r="10652" spans="1:16">
      <c r="A10652" s="3">
        <v>44109.717187499999</v>
      </c>
      <c r="B10652" s="4" t="str">
        <f>HYPERLINK("https://twitter.com/petrogustavo","@petrogustavo")</f>
        <v>@petrogustavo</v>
      </c>
      <c r="C10652" s="5" t="s">
        <v>16</v>
      </c>
      <c r="D10652" s="5" t="s">
        <v>10252</v>
      </c>
      <c r="E10652" s="6" t="str">
        <f>HYPERLINK("https://twitter.com/petrogustavo/status/1313082193414180865","1313082193414180865")</f>
        <v>1313082193414180865</v>
      </c>
      <c r="F10652" s="7" t="s">
        <v>17</v>
      </c>
      <c r="G10652" s="7">
        <v>3986433</v>
      </c>
      <c r="H10652" s="7">
        <v>2442</v>
      </c>
      <c r="I10652" s="7">
        <v>360</v>
      </c>
      <c r="J10652" s="7">
        <v>0</v>
      </c>
      <c r="K10652" s="7" t="s">
        <v>18</v>
      </c>
      <c r="L10652" s="8">
        <v>39987.315405092595</v>
      </c>
      <c r="M10652" s="9" t="s">
        <v>19</v>
      </c>
      <c r="N10652" s="9" t="s">
        <v>20</v>
      </c>
      <c r="O10652" s="6" t="str">
        <f>HYPERLINK("https://pbs.twimg.com/profile_images/962471262747529216/Uo8lOkRJ_normal.jpg","View")</f>
        <v>View</v>
      </c>
      <c r="P10652" s="7"/>
    </row>
    <row r="10653" spans="1:16">
      <c r="A10653" s="3">
        <v>44109.722268518519</v>
      </c>
      <c r="B10653" s="4" t="str">
        <f>HYPERLINK("https://twitter.com/petrogustavo","@petrogustavo")</f>
        <v>@petrogustavo</v>
      </c>
      <c r="C10653" s="5" t="s">
        <v>16</v>
      </c>
      <c r="D10653" s="5" t="s">
        <v>10253</v>
      </c>
      <c r="E10653" s="6" t="str">
        <f>HYPERLINK("https://twitter.com/petrogustavo/status/1313084034575142912","1313084034575142912")</f>
        <v>1313084034575142912</v>
      </c>
      <c r="F10653" s="7" t="s">
        <v>17</v>
      </c>
      <c r="G10653" s="7">
        <v>3986433</v>
      </c>
      <c r="H10653" s="7">
        <v>2442</v>
      </c>
      <c r="I10653" s="7">
        <v>19</v>
      </c>
      <c r="J10653" s="7">
        <v>0</v>
      </c>
      <c r="K10653" s="7" t="s">
        <v>18</v>
      </c>
      <c r="L10653" s="8">
        <v>39987.315405092595</v>
      </c>
      <c r="M10653" s="9" t="s">
        <v>19</v>
      </c>
      <c r="N10653" s="9" t="s">
        <v>20</v>
      </c>
      <c r="O10653" s="6" t="str">
        <f>HYPERLINK("https://pbs.twimg.com/profile_images/962471262747529216/Uo8lOkRJ_normal.jpg","View")</f>
        <v>View</v>
      </c>
      <c r="P10653" s="7"/>
    </row>
    <row r="10654" spans="1:16">
      <c r="A10654" s="3">
        <v>44109.724016203705</v>
      </c>
      <c r="B10654" s="4" t="str">
        <f>HYPERLINK("https://twitter.com/petrogustavo","@petrogustavo")</f>
        <v>@petrogustavo</v>
      </c>
      <c r="C10654" s="5" t="s">
        <v>16</v>
      </c>
      <c r="D10654" s="5" t="s">
        <v>10254</v>
      </c>
      <c r="E10654" s="6" t="str">
        <f>HYPERLINK("https://twitter.com/petrogustavo/status/1313084670070927360","1313084670070927360")</f>
        <v>1313084670070927360</v>
      </c>
      <c r="F10654" s="7" t="s">
        <v>17</v>
      </c>
      <c r="G10654" s="7">
        <v>3986433</v>
      </c>
      <c r="H10654" s="7">
        <v>2442</v>
      </c>
      <c r="I10654" s="7">
        <v>1326</v>
      </c>
      <c r="J10654" s="7">
        <v>0</v>
      </c>
      <c r="K10654" s="7" t="s">
        <v>18</v>
      </c>
      <c r="L10654" s="8">
        <v>39987.315405092595</v>
      </c>
      <c r="M10654" s="9" t="s">
        <v>19</v>
      </c>
      <c r="N10654" s="9" t="s">
        <v>20</v>
      </c>
      <c r="O10654" s="6" t="str">
        <f>HYPERLINK("https://pbs.twimg.com/profile_images/962471262747529216/Uo8lOkRJ_normal.jpg","View")</f>
        <v>View</v>
      </c>
      <c r="P10654" s="7"/>
    </row>
    <row r="10655" spans="1:16">
      <c r="A10655" s="3">
        <v>44109.727847222224</v>
      </c>
      <c r="B10655" s="4" t="str">
        <f>HYPERLINK("https://twitter.com/petrogustavo","@petrogustavo")</f>
        <v>@petrogustavo</v>
      </c>
      <c r="C10655" s="5" t="s">
        <v>16</v>
      </c>
      <c r="D10655" s="5" t="s">
        <v>10255</v>
      </c>
      <c r="E10655" s="6" t="str">
        <f>HYPERLINK("https://twitter.com/petrogustavo/status/1313086055575322625","1313086055575322625")</f>
        <v>1313086055575322625</v>
      </c>
      <c r="F10655" s="7" t="s">
        <v>17</v>
      </c>
      <c r="G10655" s="7">
        <v>3986433</v>
      </c>
      <c r="H10655" s="7">
        <v>2442</v>
      </c>
      <c r="I10655" s="7">
        <v>14</v>
      </c>
      <c r="J10655" s="7">
        <v>0</v>
      </c>
      <c r="K10655" s="7" t="s">
        <v>18</v>
      </c>
      <c r="L10655" s="8">
        <v>39987.315405092595</v>
      </c>
      <c r="M10655" s="9" t="s">
        <v>19</v>
      </c>
      <c r="N10655" s="9" t="s">
        <v>20</v>
      </c>
      <c r="O10655" s="6" t="str">
        <f>HYPERLINK("https://pbs.twimg.com/profile_images/962471262747529216/Uo8lOkRJ_normal.jpg","View")</f>
        <v>View</v>
      </c>
      <c r="P10655" s="7"/>
    </row>
    <row r="10656" spans="1:16">
      <c r="A10656" s="3">
        <v>44109.729849537034</v>
      </c>
      <c r="B10656" s="4" t="str">
        <f>HYPERLINK("https://twitter.com/petrogustavo","@petrogustavo")</f>
        <v>@petrogustavo</v>
      </c>
      <c r="C10656" s="5" t="s">
        <v>16</v>
      </c>
      <c r="D10656" s="5" t="s">
        <v>10256</v>
      </c>
      <c r="E10656" s="6" t="str">
        <f>HYPERLINK("https://twitter.com/petrogustavo/status/1313086780439228417","1313086780439228417")</f>
        <v>1313086780439228417</v>
      </c>
      <c r="F10656" s="7" t="s">
        <v>17</v>
      </c>
      <c r="G10656" s="7">
        <v>3986433</v>
      </c>
      <c r="H10656" s="7">
        <v>2442</v>
      </c>
      <c r="I10656" s="7">
        <v>7</v>
      </c>
      <c r="J10656" s="7">
        <v>27</v>
      </c>
      <c r="K10656" s="7" t="s">
        <v>18</v>
      </c>
      <c r="L10656" s="8">
        <v>39987.315405092595</v>
      </c>
      <c r="M10656" s="9" t="s">
        <v>19</v>
      </c>
      <c r="N10656" s="9" t="s">
        <v>20</v>
      </c>
      <c r="O10656" s="6" t="str">
        <f>HYPERLINK("https://pbs.twimg.com/profile_images/962471262747529216/Uo8lOkRJ_normal.jpg","View")</f>
        <v>View</v>
      </c>
      <c r="P10656" s="7"/>
    </row>
    <row r="10657" spans="1:16">
      <c r="A10657" s="3">
        <v>44109.732407407406</v>
      </c>
      <c r="B10657" s="4" t="str">
        <f>HYPERLINK("https://twitter.com/petrogustavo","@petrogustavo")</f>
        <v>@petrogustavo</v>
      </c>
      <c r="C10657" s="5" t="s">
        <v>16</v>
      </c>
      <c r="D10657" s="5" t="s">
        <v>10257</v>
      </c>
      <c r="E10657" s="6" t="str">
        <f>HYPERLINK("https://twitter.com/petrogustavo/status/1313087710425485313","1313087710425485313")</f>
        <v>1313087710425485313</v>
      </c>
      <c r="F10657" s="7" t="s">
        <v>17</v>
      </c>
      <c r="G10657" s="7">
        <v>3986433</v>
      </c>
      <c r="H10657" s="7">
        <v>2442</v>
      </c>
      <c r="I10657" s="7">
        <v>65</v>
      </c>
      <c r="J10657" s="7">
        <v>168</v>
      </c>
      <c r="K10657" s="7" t="s">
        <v>18</v>
      </c>
      <c r="L10657" s="8">
        <v>39987.315405092595</v>
      </c>
      <c r="M10657" s="9" t="s">
        <v>19</v>
      </c>
      <c r="N10657" s="9" t="s">
        <v>20</v>
      </c>
      <c r="O10657" s="6" t="str">
        <f>HYPERLINK("https://pbs.twimg.com/profile_images/962471262747529216/Uo8lOkRJ_normal.jpg","View")</f>
        <v>View</v>
      </c>
      <c r="P10657" s="7"/>
    </row>
    <row r="10658" spans="1:16">
      <c r="A10658" s="3">
        <v>44109.73600694444</v>
      </c>
      <c r="B10658" s="4" t="str">
        <f>HYPERLINK("https://twitter.com/petrogustavo","@petrogustavo")</f>
        <v>@petrogustavo</v>
      </c>
      <c r="C10658" s="5" t="s">
        <v>16</v>
      </c>
      <c r="D10658" s="5" t="s">
        <v>10258</v>
      </c>
      <c r="E10658" s="6" t="str">
        <f>HYPERLINK("https://twitter.com/petrogustavo/status/1313089013079846912","1313089013079846912")</f>
        <v>1313089013079846912</v>
      </c>
      <c r="F10658" s="7" t="s">
        <v>17</v>
      </c>
      <c r="G10658" s="7">
        <v>3986433</v>
      </c>
      <c r="H10658" s="7">
        <v>2442</v>
      </c>
      <c r="I10658" s="7">
        <v>10</v>
      </c>
      <c r="J10658" s="7">
        <v>0</v>
      </c>
      <c r="K10658" s="7" t="s">
        <v>18</v>
      </c>
      <c r="L10658" s="8">
        <v>39987.315405092595</v>
      </c>
      <c r="M10658" s="9" t="s">
        <v>19</v>
      </c>
      <c r="N10658" s="9" t="s">
        <v>20</v>
      </c>
      <c r="O10658" s="6" t="str">
        <f>HYPERLINK("https://pbs.twimg.com/profile_images/962471262747529216/Uo8lOkRJ_normal.jpg","View")</f>
        <v>View</v>
      </c>
      <c r="P10658" s="7"/>
    </row>
    <row r="10659" spans="1:16">
      <c r="A10659" s="3">
        <v>44109.741261574076</v>
      </c>
      <c r="B10659" s="4" t="str">
        <f>HYPERLINK("https://twitter.com/petrogustavo","@petrogustavo")</f>
        <v>@petrogustavo</v>
      </c>
      <c r="C10659" s="5" t="s">
        <v>16</v>
      </c>
      <c r="D10659" s="5" t="s">
        <v>10259</v>
      </c>
      <c r="E10659" s="6" t="str">
        <f>HYPERLINK("https://twitter.com/petrogustavo/status/1313090919835537410","1313090919835537410")</f>
        <v>1313090919835537410</v>
      </c>
      <c r="F10659" s="7" t="s">
        <v>17</v>
      </c>
      <c r="G10659" s="7">
        <v>3986433</v>
      </c>
      <c r="H10659" s="7">
        <v>2442</v>
      </c>
      <c r="I10659" s="7">
        <v>72</v>
      </c>
      <c r="J10659" s="7">
        <v>142</v>
      </c>
      <c r="K10659" s="7" t="s">
        <v>18</v>
      </c>
      <c r="L10659" s="8">
        <v>39987.315405092595</v>
      </c>
      <c r="M10659" s="9" t="s">
        <v>19</v>
      </c>
      <c r="N10659" s="9" t="s">
        <v>20</v>
      </c>
      <c r="O10659" s="6" t="str">
        <f>HYPERLINK("https://pbs.twimg.com/profile_images/962471262747529216/Uo8lOkRJ_normal.jpg","View")</f>
        <v>View</v>
      </c>
      <c r="P10659" s="7"/>
    </row>
    <row r="10660" spans="1:16">
      <c r="A10660" s="3">
        <v>44109.743125000001</v>
      </c>
      <c r="B10660" s="4" t="str">
        <f>HYPERLINK("https://twitter.com/petrogustavo","@petrogustavo")</f>
        <v>@petrogustavo</v>
      </c>
      <c r="C10660" s="5" t="s">
        <v>16</v>
      </c>
      <c r="D10660" s="5" t="s">
        <v>10260</v>
      </c>
      <c r="E10660" s="6" t="str">
        <f>HYPERLINK("https://twitter.com/petrogustavo/status/1313091591603658754","1313091591603658754")</f>
        <v>1313091591603658754</v>
      </c>
      <c r="F10660" s="7" t="s">
        <v>17</v>
      </c>
      <c r="G10660" s="7">
        <v>3986433</v>
      </c>
      <c r="H10660" s="7">
        <v>2442</v>
      </c>
      <c r="I10660" s="7">
        <v>34</v>
      </c>
      <c r="J10660" s="7">
        <v>89</v>
      </c>
      <c r="K10660" s="7" t="s">
        <v>18</v>
      </c>
      <c r="L10660" s="8">
        <v>39987.315405092595</v>
      </c>
      <c r="M10660" s="9" t="s">
        <v>19</v>
      </c>
      <c r="N10660" s="9" t="s">
        <v>20</v>
      </c>
      <c r="O10660" s="6" t="str">
        <f>HYPERLINK("https://pbs.twimg.com/profile_images/962471262747529216/Uo8lOkRJ_normal.jpg","View")</f>
        <v>View</v>
      </c>
      <c r="P10660" s="7"/>
    </row>
    <row r="10661" spans="1:16">
      <c r="A10661" s="3">
        <v>44109.745219907403</v>
      </c>
      <c r="B10661" s="4" t="str">
        <f>HYPERLINK("https://twitter.com/petrogustavo","@petrogustavo")</f>
        <v>@petrogustavo</v>
      </c>
      <c r="C10661" s="5" t="s">
        <v>16</v>
      </c>
      <c r="D10661" s="5" t="s">
        <v>10261</v>
      </c>
      <c r="E10661" s="6" t="str">
        <f>HYPERLINK("https://twitter.com/petrogustavo/status/1313092351762591744","1313092351762591744")</f>
        <v>1313092351762591744</v>
      </c>
      <c r="F10661" s="7" t="s">
        <v>17</v>
      </c>
      <c r="G10661" s="7">
        <v>3986433</v>
      </c>
      <c r="H10661" s="7">
        <v>2442</v>
      </c>
      <c r="I10661" s="7">
        <v>26</v>
      </c>
      <c r="J10661" s="7">
        <v>47</v>
      </c>
      <c r="K10661" s="7" t="s">
        <v>18</v>
      </c>
      <c r="L10661" s="8">
        <v>39987.315405092595</v>
      </c>
      <c r="M10661" s="9" t="s">
        <v>19</v>
      </c>
      <c r="N10661" s="9" t="s">
        <v>20</v>
      </c>
      <c r="O10661" s="6" t="str">
        <f>HYPERLINK("https://pbs.twimg.com/profile_images/962471262747529216/Uo8lOkRJ_normal.jpg","View")</f>
        <v>View</v>
      </c>
      <c r="P10661" s="7"/>
    </row>
    <row r="10662" spans="1:16">
      <c r="A10662" s="3">
        <v>44109.746631944443</v>
      </c>
      <c r="B10662" s="4" t="str">
        <f>HYPERLINK("https://twitter.com/petrogustavo","@petrogustavo")</f>
        <v>@petrogustavo</v>
      </c>
      <c r="C10662" s="5" t="s">
        <v>16</v>
      </c>
      <c r="D10662" s="5" t="s">
        <v>10262</v>
      </c>
      <c r="E10662" s="6" t="str">
        <f>HYPERLINK("https://twitter.com/petrogustavo/status/1313092864767913989","1313092864767913989")</f>
        <v>1313092864767913989</v>
      </c>
      <c r="F10662" s="7" t="s">
        <v>17</v>
      </c>
      <c r="G10662" s="7">
        <v>3986433</v>
      </c>
      <c r="H10662" s="7">
        <v>2442</v>
      </c>
      <c r="I10662" s="7">
        <v>24</v>
      </c>
      <c r="J10662" s="7">
        <v>53</v>
      </c>
      <c r="K10662" s="7" t="s">
        <v>18</v>
      </c>
      <c r="L10662" s="8">
        <v>39987.315405092595</v>
      </c>
      <c r="M10662" s="9" t="s">
        <v>19</v>
      </c>
      <c r="N10662" s="9" t="s">
        <v>20</v>
      </c>
      <c r="O10662" s="6" t="str">
        <f>HYPERLINK("https://pbs.twimg.com/profile_images/962471262747529216/Uo8lOkRJ_normal.jpg","View")</f>
        <v>View</v>
      </c>
      <c r="P10662" s="7"/>
    </row>
    <row r="10663" spans="1:16">
      <c r="A10663" s="3">
        <v>44109.749016203699</v>
      </c>
      <c r="B10663" s="4" t="str">
        <f>HYPERLINK("https://twitter.com/petrogustavo","@petrogustavo")</f>
        <v>@petrogustavo</v>
      </c>
      <c r="C10663" s="5" t="s">
        <v>16</v>
      </c>
      <c r="D10663" s="5" t="s">
        <v>10263</v>
      </c>
      <c r="E10663" s="6" t="str">
        <f>HYPERLINK("https://twitter.com/petrogustavo/status/1313093726214987777","1313093726214987777")</f>
        <v>1313093726214987777</v>
      </c>
      <c r="F10663" s="7" t="s">
        <v>17</v>
      </c>
      <c r="G10663" s="7">
        <v>3986433</v>
      </c>
      <c r="H10663" s="7">
        <v>2442</v>
      </c>
      <c r="I10663" s="7">
        <v>15</v>
      </c>
      <c r="J10663" s="7">
        <v>29</v>
      </c>
      <c r="K10663" s="7" t="s">
        <v>18</v>
      </c>
      <c r="L10663" s="8">
        <v>39987.315405092595</v>
      </c>
      <c r="M10663" s="9" t="s">
        <v>19</v>
      </c>
      <c r="N10663" s="9" t="s">
        <v>20</v>
      </c>
      <c r="O10663" s="6" t="str">
        <f>HYPERLINK("https://pbs.twimg.com/profile_images/962471262747529216/Uo8lOkRJ_normal.jpg","View")</f>
        <v>View</v>
      </c>
      <c r="P10663" s="7"/>
    </row>
    <row r="10664" spans="1:16">
      <c r="A10664" s="3">
        <v>44109.750474537039</v>
      </c>
      <c r="B10664" s="4" t="str">
        <f>HYPERLINK("https://twitter.com/petrogustavo","@petrogustavo")</f>
        <v>@petrogustavo</v>
      </c>
      <c r="C10664" s="5" t="s">
        <v>16</v>
      </c>
      <c r="D10664" s="5" t="s">
        <v>10264</v>
      </c>
      <c r="E10664" s="6" t="str">
        <f>HYPERLINK("https://twitter.com/petrogustavo/status/1313094257440419840","1313094257440419840")</f>
        <v>1313094257440419840</v>
      </c>
      <c r="F10664" s="7" t="s">
        <v>17</v>
      </c>
      <c r="G10664" s="7">
        <v>3986433</v>
      </c>
      <c r="H10664" s="7">
        <v>2442</v>
      </c>
      <c r="I10664" s="7">
        <v>22</v>
      </c>
      <c r="J10664" s="7">
        <v>60</v>
      </c>
      <c r="K10664" s="7" t="s">
        <v>18</v>
      </c>
      <c r="L10664" s="8">
        <v>39987.315405092595</v>
      </c>
      <c r="M10664" s="9" t="s">
        <v>19</v>
      </c>
      <c r="N10664" s="9" t="s">
        <v>20</v>
      </c>
      <c r="O10664" s="6" t="str">
        <f>HYPERLINK("https://pbs.twimg.com/profile_images/962471262747529216/Uo8lOkRJ_normal.jpg","View")</f>
        <v>View</v>
      </c>
      <c r="P10664" s="7"/>
    </row>
    <row r="10665" spans="1:16">
      <c r="A10665" s="3">
        <v>44109.75068287037</v>
      </c>
      <c r="B10665" s="4" t="str">
        <f>HYPERLINK("https://twitter.com/petrogustavo","@petrogustavo")</f>
        <v>@petrogustavo</v>
      </c>
      <c r="C10665" s="5" t="s">
        <v>16</v>
      </c>
      <c r="D10665" s="5" t="s">
        <v>10265</v>
      </c>
      <c r="E10665" s="6" t="str">
        <f>HYPERLINK("https://twitter.com/petrogustavo/status/1313094333789282304","1313094333789282304")</f>
        <v>1313094333789282304</v>
      </c>
      <c r="F10665" s="7" t="s">
        <v>17</v>
      </c>
      <c r="G10665" s="7">
        <v>3986433</v>
      </c>
      <c r="H10665" s="7">
        <v>2442</v>
      </c>
      <c r="I10665" s="7">
        <v>72</v>
      </c>
      <c r="J10665" s="7">
        <v>0</v>
      </c>
      <c r="K10665" s="7" t="s">
        <v>18</v>
      </c>
      <c r="L10665" s="8">
        <v>39987.315405092595</v>
      </c>
      <c r="M10665" s="9" t="s">
        <v>19</v>
      </c>
      <c r="N10665" s="9" t="s">
        <v>20</v>
      </c>
      <c r="O10665" s="6" t="str">
        <f>HYPERLINK("https://pbs.twimg.com/profile_images/962471262747529216/Uo8lOkRJ_normal.jpg","View")</f>
        <v>View</v>
      </c>
      <c r="P10665" s="7"/>
    </row>
    <row r="10666" spans="1:16">
      <c r="A10666" s="3">
        <v>44109.757858796293</v>
      </c>
      <c r="B10666" s="4" t="str">
        <f>HYPERLINK("https://twitter.com/petrogustavo","@petrogustavo")</f>
        <v>@petrogustavo</v>
      </c>
      <c r="C10666" s="5" t="s">
        <v>16</v>
      </c>
      <c r="D10666" s="5" t="s">
        <v>10266</v>
      </c>
      <c r="E10666" s="6" t="str">
        <f>HYPERLINK("https://twitter.com/petrogustavo/status/1313096930457718787","1313096930457718787")</f>
        <v>1313096930457718787</v>
      </c>
      <c r="F10666" s="7" t="s">
        <v>17</v>
      </c>
      <c r="G10666" s="7">
        <v>3986445</v>
      </c>
      <c r="H10666" s="7">
        <v>2442</v>
      </c>
      <c r="I10666" s="7">
        <v>71</v>
      </c>
      <c r="J10666" s="7">
        <v>108</v>
      </c>
      <c r="K10666" s="7" t="s">
        <v>18</v>
      </c>
      <c r="L10666" s="8">
        <v>39987.315405092595</v>
      </c>
      <c r="M10666" s="9" t="s">
        <v>19</v>
      </c>
      <c r="N10666" s="9" t="s">
        <v>20</v>
      </c>
      <c r="O10666" s="6" t="str">
        <f>HYPERLINK("https://pbs.twimg.com/profile_images/962471262747529216/Uo8lOkRJ_normal.jpg","View")</f>
        <v>View</v>
      </c>
      <c r="P10666" s="7"/>
    </row>
    <row r="10667" spans="1:16">
      <c r="A10667" s="3">
        <v>44109.766921296294</v>
      </c>
      <c r="B10667" s="4" t="str">
        <f>HYPERLINK("https://twitter.com/petrogustavo","@petrogustavo")</f>
        <v>@petrogustavo</v>
      </c>
      <c r="C10667" s="5" t="s">
        <v>16</v>
      </c>
      <c r="D10667" s="5" t="s">
        <v>10267</v>
      </c>
      <c r="E10667" s="6" t="str">
        <f>HYPERLINK("https://twitter.com/petrogustavo/status/1313100216762011648","1313100216762011648")</f>
        <v>1313100216762011648</v>
      </c>
      <c r="F10667" s="7" t="s">
        <v>17</v>
      </c>
      <c r="G10667" s="7">
        <v>3986445</v>
      </c>
      <c r="H10667" s="7">
        <v>2442</v>
      </c>
      <c r="I10667" s="7">
        <v>44</v>
      </c>
      <c r="J10667" s="7">
        <v>85</v>
      </c>
      <c r="K10667" s="7" t="s">
        <v>18</v>
      </c>
      <c r="L10667" s="8">
        <v>39987.315405092595</v>
      </c>
      <c r="M10667" s="9" t="s">
        <v>19</v>
      </c>
      <c r="N10667" s="9" t="s">
        <v>20</v>
      </c>
      <c r="O10667" s="6" t="str">
        <f>HYPERLINK("https://pbs.twimg.com/profile_images/962471262747529216/Uo8lOkRJ_normal.jpg","View")</f>
        <v>View</v>
      </c>
      <c r="P10667" s="7"/>
    </row>
    <row r="10668" spans="1:16">
      <c r="A10668" s="3">
        <v>44109.782905092594</v>
      </c>
      <c r="B10668" s="4" t="str">
        <f>HYPERLINK("https://twitter.com/petrogustavo","@petrogustavo")</f>
        <v>@petrogustavo</v>
      </c>
      <c r="C10668" s="5" t="s">
        <v>16</v>
      </c>
      <c r="D10668" s="5" t="s">
        <v>10268</v>
      </c>
      <c r="E10668" s="6" t="str">
        <f>HYPERLINK("https://twitter.com/petrogustavo/status/1313106006822531072","1313106006822531072")</f>
        <v>1313106006822531072</v>
      </c>
      <c r="F10668" s="7" t="s">
        <v>17</v>
      </c>
      <c r="G10668" s="7">
        <v>3986456</v>
      </c>
      <c r="H10668" s="7">
        <v>2442</v>
      </c>
      <c r="I10668" s="7">
        <v>63</v>
      </c>
      <c r="J10668" s="7">
        <v>120</v>
      </c>
      <c r="K10668" s="7" t="s">
        <v>18</v>
      </c>
      <c r="L10668" s="8">
        <v>39987.315405092595</v>
      </c>
      <c r="M10668" s="9" t="s">
        <v>19</v>
      </c>
      <c r="N10668" s="9" t="s">
        <v>20</v>
      </c>
      <c r="O10668" s="6" t="str">
        <f>HYPERLINK("https://pbs.twimg.com/profile_images/962471262747529216/Uo8lOkRJ_normal.jpg","View")</f>
        <v>View</v>
      </c>
      <c r="P10668" s="7"/>
    </row>
    <row r="10669" spans="1:16">
      <c r="A10669" s="3">
        <v>44109.784675925926</v>
      </c>
      <c r="B10669" s="4" t="str">
        <f>HYPERLINK("https://twitter.com/petrogustavo","@petrogustavo")</f>
        <v>@petrogustavo</v>
      </c>
      <c r="C10669" s="5" t="s">
        <v>16</v>
      </c>
      <c r="D10669" s="5" t="s">
        <v>10269</v>
      </c>
      <c r="E10669" s="6" t="str">
        <f>HYPERLINK("https://twitter.com/petrogustavo/status/1313106652149821440","1313106652149821440")</f>
        <v>1313106652149821440</v>
      </c>
      <c r="F10669" s="7" t="s">
        <v>17</v>
      </c>
      <c r="G10669" s="7">
        <v>3986456</v>
      </c>
      <c r="H10669" s="7">
        <v>2442</v>
      </c>
      <c r="I10669" s="7">
        <v>23</v>
      </c>
      <c r="J10669" s="7">
        <v>0</v>
      </c>
      <c r="K10669" s="7" t="s">
        <v>18</v>
      </c>
      <c r="L10669" s="8">
        <v>39987.315405092595</v>
      </c>
      <c r="M10669" s="9" t="s">
        <v>19</v>
      </c>
      <c r="N10669" s="9" t="s">
        <v>20</v>
      </c>
      <c r="O10669" s="6" t="str">
        <f>HYPERLINK("https://pbs.twimg.com/profile_images/962471262747529216/Uo8lOkRJ_normal.jpg","View")</f>
        <v>View</v>
      </c>
      <c r="P10669" s="7"/>
    </row>
    <row r="10670" spans="1:16">
      <c r="A10670" s="3">
        <v>44109.78634259259</v>
      </c>
      <c r="B10670" s="4" t="str">
        <f>HYPERLINK("https://twitter.com/petrogustavo","@petrogustavo")</f>
        <v>@petrogustavo</v>
      </c>
      <c r="C10670" s="5" t="s">
        <v>16</v>
      </c>
      <c r="D10670" s="5" t="s">
        <v>10270</v>
      </c>
      <c r="E10670" s="6" t="str">
        <f>HYPERLINK("https://twitter.com/petrogustavo/status/1313107254535741440","1313107254535741440")</f>
        <v>1313107254535741440</v>
      </c>
      <c r="F10670" s="7" t="s">
        <v>17</v>
      </c>
      <c r="G10670" s="7">
        <v>3986456</v>
      </c>
      <c r="H10670" s="7">
        <v>2442</v>
      </c>
      <c r="I10670" s="7">
        <v>25</v>
      </c>
      <c r="J10670" s="7">
        <v>0</v>
      </c>
      <c r="K10670" s="7" t="s">
        <v>18</v>
      </c>
      <c r="L10670" s="8">
        <v>39987.315405092595</v>
      </c>
      <c r="M10670" s="9" t="s">
        <v>19</v>
      </c>
      <c r="N10670" s="9" t="s">
        <v>20</v>
      </c>
      <c r="O10670" s="6" t="str">
        <f>HYPERLINK("https://pbs.twimg.com/profile_images/962471262747529216/Uo8lOkRJ_normal.jpg","View")</f>
        <v>View</v>
      </c>
      <c r="P10670" s="7"/>
    </row>
    <row r="10671" spans="1:16">
      <c r="A10671" s="3">
        <v>44109.786574074074</v>
      </c>
      <c r="B10671" s="4" t="str">
        <f>HYPERLINK("https://twitter.com/petrogustavo","@petrogustavo")</f>
        <v>@petrogustavo</v>
      </c>
      <c r="C10671" s="5" t="s">
        <v>16</v>
      </c>
      <c r="D10671" s="5" t="s">
        <v>10265</v>
      </c>
      <c r="E10671" s="6" t="str">
        <f>HYPERLINK("https://twitter.com/petrogustavo/status/1313107339579449344","1313107339579449344")</f>
        <v>1313107339579449344</v>
      </c>
      <c r="F10671" s="7" t="s">
        <v>17</v>
      </c>
      <c r="G10671" s="7">
        <v>3986456</v>
      </c>
      <c r="H10671" s="7">
        <v>2442</v>
      </c>
      <c r="I10671" s="7">
        <v>144</v>
      </c>
      <c r="J10671" s="7">
        <v>0</v>
      </c>
      <c r="K10671" s="7" t="s">
        <v>18</v>
      </c>
      <c r="L10671" s="8">
        <v>39987.315405092595</v>
      </c>
      <c r="M10671" s="9" t="s">
        <v>19</v>
      </c>
      <c r="N10671" s="9" t="s">
        <v>20</v>
      </c>
      <c r="O10671" s="6" t="str">
        <f>HYPERLINK("https://pbs.twimg.com/profile_images/962471262747529216/Uo8lOkRJ_normal.jpg","View")</f>
        <v>View</v>
      </c>
      <c r="P10671" s="7"/>
    </row>
    <row r="10672" spans="1:16">
      <c r="A10672" s="3">
        <v>44109.79178240741</v>
      </c>
      <c r="B10672" s="4" t="str">
        <f>HYPERLINK("https://twitter.com/petrogustavo","@petrogustavo")</f>
        <v>@petrogustavo</v>
      </c>
      <c r="C10672" s="5" t="s">
        <v>16</v>
      </c>
      <c r="D10672" s="5" t="s">
        <v>10271</v>
      </c>
      <c r="E10672" s="6" t="str">
        <f>HYPERLINK("https://twitter.com/petrogustavo/status/1313109225732792325","1313109225732792325")</f>
        <v>1313109225732792325</v>
      </c>
      <c r="F10672" s="7" t="s">
        <v>17</v>
      </c>
      <c r="G10672" s="7">
        <v>3986456</v>
      </c>
      <c r="H10672" s="7">
        <v>2442</v>
      </c>
      <c r="I10672" s="7">
        <v>33</v>
      </c>
      <c r="J10672" s="7">
        <v>68</v>
      </c>
      <c r="K10672" s="7" t="s">
        <v>18</v>
      </c>
      <c r="L10672" s="8">
        <v>39987.315405092595</v>
      </c>
      <c r="M10672" s="9" t="s">
        <v>19</v>
      </c>
      <c r="N10672" s="9" t="s">
        <v>20</v>
      </c>
      <c r="O10672" s="6" t="str">
        <f>HYPERLINK("https://pbs.twimg.com/profile_images/962471262747529216/Uo8lOkRJ_normal.jpg","View")</f>
        <v>View</v>
      </c>
      <c r="P10672" s="7"/>
    </row>
    <row r="10673" spans="1:16">
      <c r="A10673" s="3">
        <v>44109.792719907404</v>
      </c>
      <c r="B10673" s="4" t="str">
        <f>HYPERLINK("https://twitter.com/petrogustavo","@petrogustavo")</f>
        <v>@petrogustavo</v>
      </c>
      <c r="C10673" s="5" t="s">
        <v>16</v>
      </c>
      <c r="D10673" s="5" t="s">
        <v>10272</v>
      </c>
      <c r="E10673" s="6" t="str">
        <f>HYPERLINK("https://twitter.com/petrogustavo/status/1313109566687772674","1313109566687772674")</f>
        <v>1313109566687772674</v>
      </c>
      <c r="F10673" s="7" t="s">
        <v>17</v>
      </c>
      <c r="G10673" s="7">
        <v>3986456</v>
      </c>
      <c r="H10673" s="7">
        <v>2442</v>
      </c>
      <c r="I10673" s="7">
        <v>19</v>
      </c>
      <c r="J10673" s="7">
        <v>40</v>
      </c>
      <c r="K10673" s="7" t="s">
        <v>18</v>
      </c>
      <c r="L10673" s="8">
        <v>39987.315405092595</v>
      </c>
      <c r="M10673" s="9" t="s">
        <v>19</v>
      </c>
      <c r="N10673" s="9" t="s">
        <v>20</v>
      </c>
      <c r="O10673" s="6" t="str">
        <f>HYPERLINK("https://pbs.twimg.com/profile_images/962471262747529216/Uo8lOkRJ_normal.jpg","View")</f>
        <v>View</v>
      </c>
      <c r="P10673" s="7"/>
    </row>
    <row r="10674" spans="1:16">
      <c r="A10674" s="3">
        <v>44109.821331018524</v>
      </c>
      <c r="B10674" s="4" t="str">
        <f>HYPERLINK("https://twitter.com/petrogustavo","@petrogustavo")</f>
        <v>@petrogustavo</v>
      </c>
      <c r="C10674" s="5" t="s">
        <v>16</v>
      </c>
      <c r="D10674" s="5" t="s">
        <v>10273</v>
      </c>
      <c r="E10674" s="6" t="str">
        <f>HYPERLINK("https://twitter.com/petrogustavo/status/1313119933094604802","1313119933094604802")</f>
        <v>1313119933094604802</v>
      </c>
      <c r="F10674" s="7" t="s">
        <v>17</v>
      </c>
      <c r="G10674" s="7">
        <v>3986472</v>
      </c>
      <c r="H10674" s="7">
        <v>2442</v>
      </c>
      <c r="I10674" s="7">
        <v>110</v>
      </c>
      <c r="J10674" s="7">
        <v>244</v>
      </c>
      <c r="K10674" s="7" t="s">
        <v>18</v>
      </c>
      <c r="L10674" s="8">
        <v>39987.315405092595</v>
      </c>
      <c r="M10674" s="9" t="s">
        <v>19</v>
      </c>
      <c r="N10674" s="9" t="s">
        <v>20</v>
      </c>
      <c r="O10674" s="6" t="str">
        <f>HYPERLINK("https://pbs.twimg.com/profile_images/962471262747529216/Uo8lOkRJ_normal.jpg","View")</f>
        <v>View</v>
      </c>
      <c r="P10674" s="7"/>
    </row>
    <row r="10675" spans="1:16">
      <c r="A10675" s="3">
        <v>44109.835370370369</v>
      </c>
      <c r="B10675" s="4" t="str">
        <f>HYPERLINK("https://twitter.com/petrogustavo","@petrogustavo")</f>
        <v>@petrogustavo</v>
      </c>
      <c r="C10675" s="5" t="s">
        <v>16</v>
      </c>
      <c r="D10675" s="5" t="s">
        <v>10274</v>
      </c>
      <c r="E10675" s="6" t="str">
        <f>HYPERLINK("https://twitter.com/petrogustavo/status/1313125023599730689","1313125023599730689")</f>
        <v>1313125023599730689</v>
      </c>
      <c r="F10675" s="7" t="s">
        <v>17</v>
      </c>
      <c r="G10675" s="7">
        <v>3986472</v>
      </c>
      <c r="H10675" s="7">
        <v>2442</v>
      </c>
      <c r="I10675" s="7">
        <v>4</v>
      </c>
      <c r="J10675" s="7">
        <v>0</v>
      </c>
      <c r="K10675" s="7" t="s">
        <v>18</v>
      </c>
      <c r="L10675" s="8">
        <v>39987.315405092595</v>
      </c>
      <c r="M10675" s="9" t="s">
        <v>19</v>
      </c>
      <c r="N10675" s="9" t="s">
        <v>20</v>
      </c>
      <c r="O10675" s="6" t="str">
        <f>HYPERLINK("https://pbs.twimg.com/profile_images/962471262747529216/Uo8lOkRJ_normal.jpg","View")</f>
        <v>View</v>
      </c>
      <c r="P10675" s="7"/>
    </row>
    <row r="10676" spans="1:16">
      <c r="A10676" s="3">
        <v>44109.848506944443</v>
      </c>
      <c r="B10676" s="4" t="str">
        <f>HYPERLINK("https://twitter.com/petrogustavo","@petrogustavo")</f>
        <v>@petrogustavo</v>
      </c>
      <c r="C10676" s="5" t="s">
        <v>16</v>
      </c>
      <c r="D10676" s="5" t="s">
        <v>10275</v>
      </c>
      <c r="E10676" s="6" t="str">
        <f>HYPERLINK("https://twitter.com/petrogustavo/status/1313129780750020608","1313129780750020608")</f>
        <v>1313129780750020608</v>
      </c>
      <c r="F10676" s="7" t="s">
        <v>17</v>
      </c>
      <c r="G10676" s="7">
        <v>3986485</v>
      </c>
      <c r="H10676" s="7">
        <v>2443</v>
      </c>
      <c r="I10676" s="7">
        <v>14</v>
      </c>
      <c r="J10676" s="7">
        <v>57</v>
      </c>
      <c r="K10676" s="7" t="s">
        <v>18</v>
      </c>
      <c r="L10676" s="8">
        <v>39987.315405092595</v>
      </c>
      <c r="M10676" s="9" t="s">
        <v>19</v>
      </c>
      <c r="N10676" s="9" t="s">
        <v>20</v>
      </c>
      <c r="O10676" s="6" t="str">
        <f>HYPERLINK("https://pbs.twimg.com/profile_images/962471262747529216/Uo8lOkRJ_normal.jpg","View")</f>
        <v>View</v>
      </c>
      <c r="P10676" s="7"/>
    </row>
    <row r="10677" spans="1:16">
      <c r="A10677" s="3">
        <v>44109.851319444446</v>
      </c>
      <c r="B10677" s="4" t="str">
        <f>HYPERLINK("https://twitter.com/petrogustavo","@petrogustavo")</f>
        <v>@petrogustavo</v>
      </c>
      <c r="C10677" s="5" t="s">
        <v>16</v>
      </c>
      <c r="D10677" s="5" t="s">
        <v>10276</v>
      </c>
      <c r="E10677" s="6" t="str">
        <f>HYPERLINK("https://twitter.com/petrogustavo/status/1313130801425506305","1313130801425506305")</f>
        <v>1313130801425506305</v>
      </c>
      <c r="F10677" s="7" t="s">
        <v>17</v>
      </c>
      <c r="G10677" s="7">
        <v>3986485</v>
      </c>
      <c r="H10677" s="7">
        <v>2443</v>
      </c>
      <c r="I10677" s="7">
        <v>12</v>
      </c>
      <c r="J10677" s="7">
        <v>0</v>
      </c>
      <c r="K10677" s="7" t="s">
        <v>18</v>
      </c>
      <c r="L10677" s="8">
        <v>39987.315405092595</v>
      </c>
      <c r="M10677" s="9" t="s">
        <v>19</v>
      </c>
      <c r="N10677" s="9" t="s">
        <v>20</v>
      </c>
      <c r="O10677" s="6" t="str">
        <f>HYPERLINK("https://pbs.twimg.com/profile_images/962471262747529216/Uo8lOkRJ_normal.jpg","View")</f>
        <v>View</v>
      </c>
      <c r="P10677" s="7"/>
    </row>
    <row r="10678" spans="1:16">
      <c r="A10678" s="3">
        <v>44109.857083333336</v>
      </c>
      <c r="B10678" s="4" t="str">
        <f>HYPERLINK("https://twitter.com/petrogustavo","@petrogustavo")</f>
        <v>@petrogustavo</v>
      </c>
      <c r="C10678" s="5" t="s">
        <v>16</v>
      </c>
      <c r="D10678" s="5" t="s">
        <v>10277</v>
      </c>
      <c r="E10678" s="6" t="str">
        <f>HYPERLINK("https://twitter.com/petrogustavo/status/1313132888569847811","1313132888569847811")</f>
        <v>1313132888569847811</v>
      </c>
      <c r="F10678" s="7" t="s">
        <v>17</v>
      </c>
      <c r="G10678" s="7">
        <v>3986496</v>
      </c>
      <c r="H10678" s="7">
        <v>2443</v>
      </c>
      <c r="I10678" s="7">
        <v>28</v>
      </c>
      <c r="J10678" s="7">
        <v>0</v>
      </c>
      <c r="K10678" s="7" t="s">
        <v>18</v>
      </c>
      <c r="L10678" s="8">
        <v>39987.315405092595</v>
      </c>
      <c r="M10678" s="9" t="s">
        <v>19</v>
      </c>
      <c r="N10678" s="9" t="s">
        <v>20</v>
      </c>
      <c r="O10678" s="6" t="str">
        <f>HYPERLINK("https://pbs.twimg.com/profile_images/962471262747529216/Uo8lOkRJ_normal.jpg","View")</f>
        <v>View</v>
      </c>
      <c r="P10678" s="7"/>
    </row>
    <row r="10679" spans="1:16">
      <c r="A10679" s="3">
        <v>44109.86414351852</v>
      </c>
      <c r="B10679" s="4" t="str">
        <f>HYPERLINK("https://twitter.com/petrogustavo","@petrogustavo")</f>
        <v>@petrogustavo</v>
      </c>
      <c r="C10679" s="5" t="s">
        <v>16</v>
      </c>
      <c r="D10679" s="5" t="s">
        <v>10278</v>
      </c>
      <c r="E10679" s="6" t="str">
        <f>HYPERLINK("https://twitter.com/petrogustavo/status/1313135447271444482","1313135447271444482")</f>
        <v>1313135447271444482</v>
      </c>
      <c r="F10679" s="7" t="s">
        <v>32</v>
      </c>
      <c r="G10679" s="7">
        <v>3986496</v>
      </c>
      <c r="H10679" s="7">
        <v>2443</v>
      </c>
      <c r="I10679" s="7">
        <v>19</v>
      </c>
      <c r="J10679" s="7">
        <v>0</v>
      </c>
      <c r="K10679" s="7" t="s">
        <v>18</v>
      </c>
      <c r="L10679" s="8">
        <v>39987.315405092595</v>
      </c>
      <c r="M10679" s="9" t="s">
        <v>19</v>
      </c>
      <c r="N10679" s="9" t="s">
        <v>20</v>
      </c>
      <c r="O10679" s="6" t="str">
        <f>HYPERLINK("https://pbs.twimg.com/profile_images/962471262747529216/Uo8lOkRJ_normal.jpg","View")</f>
        <v>View</v>
      </c>
      <c r="P10679" s="7"/>
    </row>
    <row r="10680" spans="1:16">
      <c r="A10680" s="3">
        <v>44109.88585648148</v>
      </c>
      <c r="B10680" s="4" t="str">
        <f>HYPERLINK("https://twitter.com/petrogustavo","@petrogustavo")</f>
        <v>@petrogustavo</v>
      </c>
      <c r="C10680" s="5" t="s">
        <v>16</v>
      </c>
      <c r="D10680" s="5" t="s">
        <v>10265</v>
      </c>
      <c r="E10680" s="6" t="str">
        <f>HYPERLINK("https://twitter.com/petrogustavo/status/1313143318281416704","1313143318281416704")</f>
        <v>1313143318281416704</v>
      </c>
      <c r="F10680" s="7" t="s">
        <v>32</v>
      </c>
      <c r="G10680" s="7">
        <v>3986519</v>
      </c>
      <c r="H10680" s="7">
        <v>2443</v>
      </c>
      <c r="I10680" s="7">
        <v>255</v>
      </c>
      <c r="J10680" s="7">
        <v>0</v>
      </c>
      <c r="K10680" s="7" t="s">
        <v>18</v>
      </c>
      <c r="L10680" s="8">
        <v>39987.315405092595</v>
      </c>
      <c r="M10680" s="9" t="s">
        <v>19</v>
      </c>
      <c r="N10680" s="9" t="s">
        <v>20</v>
      </c>
      <c r="O10680" s="6" t="str">
        <f>HYPERLINK("https://pbs.twimg.com/profile_images/962471262747529216/Uo8lOkRJ_normal.jpg","View")</f>
        <v>View</v>
      </c>
      <c r="P10680" s="7"/>
    </row>
    <row r="10681" spans="1:16">
      <c r="A10681" s="3">
        <v>44109.928935185184</v>
      </c>
      <c r="B10681" s="4" t="str">
        <f>HYPERLINK("https://twitter.com/petrogustavo","@petrogustavo")</f>
        <v>@petrogustavo</v>
      </c>
      <c r="C10681" s="5" t="s">
        <v>16</v>
      </c>
      <c r="D10681" s="5" t="s">
        <v>10279</v>
      </c>
      <c r="E10681" s="6" t="str">
        <f>HYPERLINK("https://twitter.com/petrogustavo/status/1313158927568302080","1313158927568302080")</f>
        <v>1313158927568302080</v>
      </c>
      <c r="F10681" s="7" t="s">
        <v>32</v>
      </c>
      <c r="G10681" s="7">
        <v>3986553</v>
      </c>
      <c r="H10681" s="7">
        <v>2443</v>
      </c>
      <c r="I10681" s="7">
        <v>66</v>
      </c>
      <c r="J10681" s="7">
        <v>262</v>
      </c>
      <c r="K10681" s="7" t="s">
        <v>18</v>
      </c>
      <c r="L10681" s="8">
        <v>39987.315405092595</v>
      </c>
      <c r="M10681" s="9" t="s">
        <v>19</v>
      </c>
      <c r="N10681" s="9" t="s">
        <v>20</v>
      </c>
      <c r="O10681" s="6" t="str">
        <f>HYPERLINK("https://pbs.twimg.com/profile_images/962471262747529216/Uo8lOkRJ_normal.jpg","View")</f>
        <v>View</v>
      </c>
      <c r="P10681" s="7"/>
    </row>
    <row r="10682" spans="1:16">
      <c r="A10682" s="3">
        <v>44109.999212962968</v>
      </c>
      <c r="B10682" s="4" t="str">
        <f>HYPERLINK("https://twitter.com/petrogustavo","@petrogustavo")</f>
        <v>@petrogustavo</v>
      </c>
      <c r="C10682" s="5" t="s">
        <v>16</v>
      </c>
      <c r="D10682" s="5" t="s">
        <v>10280</v>
      </c>
      <c r="E10682" s="6" t="str">
        <f>HYPERLINK("https://twitter.com/petrogustavo/status/1313184395440926723","1313184395440926723")</f>
        <v>1313184395440926723</v>
      </c>
      <c r="F10682" s="7" t="s">
        <v>32</v>
      </c>
      <c r="G10682" s="7">
        <v>3986604</v>
      </c>
      <c r="H10682" s="7">
        <v>2443</v>
      </c>
      <c r="I10682" s="7">
        <v>1463</v>
      </c>
      <c r="J10682" s="7">
        <v>0</v>
      </c>
      <c r="K10682" s="7" t="s">
        <v>18</v>
      </c>
      <c r="L10682" s="8">
        <v>39987.315405092595</v>
      </c>
      <c r="M10682" s="9" t="s">
        <v>19</v>
      </c>
      <c r="N10682" s="9" t="s">
        <v>20</v>
      </c>
      <c r="O10682" s="6" t="str">
        <f>HYPERLINK("https://pbs.twimg.com/profile_images/962471262747529216/Uo8lOkRJ_normal.jpg","View")</f>
        <v>View</v>
      </c>
      <c r="P10682" s="7"/>
    </row>
    <row r="10683" spans="1:16">
      <c r="A10683" s="3">
        <v>44110.001469907409</v>
      </c>
      <c r="B10683" s="4" t="str">
        <f>HYPERLINK("https://twitter.com/petrogustavo","@petrogustavo")</f>
        <v>@petrogustavo</v>
      </c>
      <c r="C10683" s="5" t="s">
        <v>16</v>
      </c>
      <c r="D10683" s="5" t="s">
        <v>10281</v>
      </c>
      <c r="E10683" s="6" t="str">
        <f>HYPERLINK("https://twitter.com/petrogustavo/status/1313185215842578435","1313185215842578435")</f>
        <v>1313185215842578435</v>
      </c>
      <c r="F10683" s="7" t="s">
        <v>17</v>
      </c>
      <c r="G10683" s="7">
        <v>3986604</v>
      </c>
      <c r="H10683" s="7">
        <v>2443</v>
      </c>
      <c r="I10683" s="7">
        <v>70</v>
      </c>
      <c r="J10683" s="7">
        <v>0</v>
      </c>
      <c r="K10683" s="7" t="s">
        <v>18</v>
      </c>
      <c r="L10683" s="8">
        <v>39987.315405092595</v>
      </c>
      <c r="M10683" s="9" t="s">
        <v>19</v>
      </c>
      <c r="N10683" s="9" t="s">
        <v>20</v>
      </c>
      <c r="O10683" s="6" t="str">
        <f>HYPERLINK("https://pbs.twimg.com/profile_images/962471262747529216/Uo8lOkRJ_normal.jpg","View")</f>
        <v>View</v>
      </c>
      <c r="P10683" s="7"/>
    </row>
    <row r="10684" spans="1:16">
      <c r="A10684" s="3">
        <v>44110.00481481482</v>
      </c>
      <c r="B10684" s="4" t="str">
        <f>HYPERLINK("https://twitter.com/petrogustavo","@petrogustavo")</f>
        <v>@petrogustavo</v>
      </c>
      <c r="C10684" s="5" t="s">
        <v>16</v>
      </c>
      <c r="D10684" s="5" t="s">
        <v>10282</v>
      </c>
      <c r="E10684" s="6" t="str">
        <f>HYPERLINK("https://twitter.com/petrogustavo/status/1313186427472150535","1313186427472150535")</f>
        <v>1313186427472150535</v>
      </c>
      <c r="F10684" s="7" t="s">
        <v>32</v>
      </c>
      <c r="G10684" s="7">
        <v>3986594</v>
      </c>
      <c r="H10684" s="7">
        <v>2444</v>
      </c>
      <c r="I10684" s="7">
        <v>337</v>
      </c>
      <c r="J10684" s="7">
        <v>0</v>
      </c>
      <c r="K10684" s="7" t="s">
        <v>18</v>
      </c>
      <c r="L10684" s="8">
        <v>39987.315405092595</v>
      </c>
      <c r="M10684" s="9" t="s">
        <v>19</v>
      </c>
      <c r="N10684" s="9" t="s">
        <v>20</v>
      </c>
      <c r="O10684" s="6" t="str">
        <f>HYPERLINK("https://pbs.twimg.com/profile_images/962471262747529216/Uo8lOkRJ_normal.jpg","View")</f>
        <v>View</v>
      </c>
      <c r="P10684" s="7"/>
    </row>
    <row r="10685" spans="1:16">
      <c r="A10685" s="3">
        <v>44110.00986111111</v>
      </c>
      <c r="B10685" s="4" t="str">
        <f>HYPERLINK("https://twitter.com/petrogustavo","@petrogustavo")</f>
        <v>@petrogustavo</v>
      </c>
      <c r="C10685" s="5" t="s">
        <v>16</v>
      </c>
      <c r="D10685" s="5" t="s">
        <v>10283</v>
      </c>
      <c r="E10685" s="6" t="str">
        <f>HYPERLINK("https://twitter.com/petrogustavo/status/1313188254951395328","1313188254951395328")</f>
        <v>1313188254951395328</v>
      </c>
      <c r="F10685" s="7" t="s">
        <v>32</v>
      </c>
      <c r="G10685" s="7">
        <v>3986594</v>
      </c>
      <c r="H10685" s="7">
        <v>2444</v>
      </c>
      <c r="I10685" s="7">
        <v>1271</v>
      </c>
      <c r="J10685" s="7">
        <v>0</v>
      </c>
      <c r="K10685" s="7" t="s">
        <v>18</v>
      </c>
      <c r="L10685" s="8">
        <v>39987.315405092595</v>
      </c>
      <c r="M10685" s="9" t="s">
        <v>19</v>
      </c>
      <c r="N10685" s="9" t="s">
        <v>20</v>
      </c>
      <c r="O10685" s="6" t="str">
        <f>HYPERLINK("https://pbs.twimg.com/profile_images/962471262747529216/Uo8lOkRJ_normal.jpg","View")</f>
        <v>View</v>
      </c>
      <c r="P10685" s="7"/>
    </row>
    <row r="10686" spans="1:16">
      <c r="A10686" s="3">
        <v>44110.012094907404</v>
      </c>
      <c r="B10686" s="4" t="str">
        <f>HYPERLINK("https://twitter.com/petrogustavo","@petrogustavo")</f>
        <v>@petrogustavo</v>
      </c>
      <c r="C10686" s="5" t="s">
        <v>16</v>
      </c>
      <c r="D10686" s="5" t="s">
        <v>10284</v>
      </c>
      <c r="E10686" s="6" t="str">
        <f>HYPERLINK("https://twitter.com/petrogustavo/status/1313189065685110784","1313189065685110784")</f>
        <v>1313189065685110784</v>
      </c>
      <c r="F10686" s="7" t="s">
        <v>32</v>
      </c>
      <c r="G10686" s="7">
        <v>3986594</v>
      </c>
      <c r="H10686" s="7">
        <v>2444</v>
      </c>
      <c r="I10686" s="7">
        <v>122</v>
      </c>
      <c r="J10686" s="7">
        <v>469</v>
      </c>
      <c r="K10686" s="7" t="s">
        <v>18</v>
      </c>
      <c r="L10686" s="8">
        <v>39987.315405092595</v>
      </c>
      <c r="M10686" s="9" t="s">
        <v>19</v>
      </c>
      <c r="N10686" s="9" t="s">
        <v>20</v>
      </c>
      <c r="O10686" s="6" t="str">
        <f>HYPERLINK("https://pbs.twimg.com/profile_images/962471262747529216/Uo8lOkRJ_normal.jpg","View")</f>
        <v>View</v>
      </c>
      <c r="P10686" s="7"/>
    </row>
    <row r="10687" spans="1:16">
      <c r="A10687" s="3">
        <v>44110.012986111113</v>
      </c>
      <c r="B10687" s="4" t="str">
        <f>HYPERLINK("https://twitter.com/petrogustavo","@petrogustavo")</f>
        <v>@petrogustavo</v>
      </c>
      <c r="C10687" s="5" t="s">
        <v>16</v>
      </c>
      <c r="D10687" s="5" t="s">
        <v>10285</v>
      </c>
      <c r="E10687" s="6" t="str">
        <f>HYPERLINK("https://twitter.com/petrogustavo/status/1313189388336197638","1313189388336197638")</f>
        <v>1313189388336197638</v>
      </c>
      <c r="F10687" s="7" t="s">
        <v>32</v>
      </c>
      <c r="G10687" s="7">
        <v>3986594</v>
      </c>
      <c r="H10687" s="7">
        <v>2444</v>
      </c>
      <c r="I10687" s="7">
        <v>77</v>
      </c>
      <c r="J10687" s="7">
        <v>0</v>
      </c>
      <c r="K10687" s="7" t="s">
        <v>18</v>
      </c>
      <c r="L10687" s="8">
        <v>39987.315405092595</v>
      </c>
      <c r="M10687" s="9" t="s">
        <v>19</v>
      </c>
      <c r="N10687" s="9" t="s">
        <v>20</v>
      </c>
      <c r="O10687" s="6" t="str">
        <f>HYPERLINK("https://pbs.twimg.com/profile_images/962471262747529216/Uo8lOkRJ_normal.jpg","View")</f>
        <v>View</v>
      </c>
      <c r="P10687" s="7"/>
    </row>
    <row r="10688" spans="1:16">
      <c r="A10688" s="3">
        <v>44110.014155092591</v>
      </c>
      <c r="B10688" s="4" t="str">
        <f>HYPERLINK("https://twitter.com/petrogustavo","@petrogustavo")</f>
        <v>@petrogustavo</v>
      </c>
      <c r="C10688" s="5" t="s">
        <v>16</v>
      </c>
      <c r="D10688" s="5" t="s">
        <v>10286</v>
      </c>
      <c r="E10688" s="6" t="str">
        <f>HYPERLINK("https://twitter.com/petrogustavo/status/1313189811788935168","1313189811788935168")</f>
        <v>1313189811788935168</v>
      </c>
      <c r="F10688" s="7" t="s">
        <v>32</v>
      </c>
      <c r="G10688" s="7">
        <v>3986594</v>
      </c>
      <c r="H10688" s="7">
        <v>2444</v>
      </c>
      <c r="I10688" s="7">
        <v>28</v>
      </c>
      <c r="J10688" s="7">
        <v>0</v>
      </c>
      <c r="K10688" s="7" t="s">
        <v>18</v>
      </c>
      <c r="L10688" s="8">
        <v>39987.315405092595</v>
      </c>
      <c r="M10688" s="9" t="s">
        <v>19</v>
      </c>
      <c r="N10688" s="9" t="s">
        <v>20</v>
      </c>
      <c r="O10688" s="6" t="str">
        <f>HYPERLINK("https://pbs.twimg.com/profile_images/962471262747529216/Uo8lOkRJ_normal.jpg","View")</f>
        <v>View</v>
      </c>
      <c r="P10688" s="7"/>
    </row>
    <row r="10689" spans="1:16">
      <c r="A10689" s="3">
        <v>44110.023773148147</v>
      </c>
      <c r="B10689" s="4" t="str">
        <f>HYPERLINK("https://twitter.com/petrogustavo","@petrogustavo")</f>
        <v>@petrogustavo</v>
      </c>
      <c r="C10689" s="5" t="s">
        <v>16</v>
      </c>
      <c r="D10689" s="5" t="s">
        <v>10287</v>
      </c>
      <c r="E10689" s="6" t="str">
        <f>HYPERLINK("https://twitter.com/petrogustavo/status/1313193298325012480","1313193298325012480")</f>
        <v>1313193298325012480</v>
      </c>
      <c r="F10689" s="7" t="s">
        <v>32</v>
      </c>
      <c r="G10689" s="7">
        <v>3986609</v>
      </c>
      <c r="H10689" s="7">
        <v>2444</v>
      </c>
      <c r="I10689" s="7">
        <v>104</v>
      </c>
      <c r="J10689" s="7">
        <v>232</v>
      </c>
      <c r="K10689" s="7" t="s">
        <v>18</v>
      </c>
      <c r="L10689" s="8">
        <v>39987.315405092595</v>
      </c>
      <c r="M10689" s="9" t="s">
        <v>19</v>
      </c>
      <c r="N10689" s="9" t="s">
        <v>20</v>
      </c>
      <c r="O10689" s="6" t="str">
        <f>HYPERLINK("https://pbs.twimg.com/profile_images/962471262747529216/Uo8lOkRJ_normal.jpg","View")</f>
        <v>View</v>
      </c>
      <c r="P10689" s="7"/>
    </row>
    <row r="10690" spans="1:16">
      <c r="A10690" s="3">
        <v>44110.025023148148</v>
      </c>
      <c r="B10690" s="4" t="str">
        <f>HYPERLINK("https://twitter.com/petrogustavo","@petrogustavo")</f>
        <v>@petrogustavo</v>
      </c>
      <c r="C10690" s="5" t="s">
        <v>16</v>
      </c>
      <c r="D10690" s="5" t="s">
        <v>10288</v>
      </c>
      <c r="E10690" s="6" t="str">
        <f>HYPERLINK("https://twitter.com/petrogustavo/status/1313193749154066433","1313193749154066433")</f>
        <v>1313193749154066433</v>
      </c>
      <c r="F10690" s="7" t="s">
        <v>32</v>
      </c>
      <c r="G10690" s="7">
        <v>3986609</v>
      </c>
      <c r="H10690" s="7">
        <v>2444</v>
      </c>
      <c r="I10690" s="7">
        <v>100</v>
      </c>
      <c r="J10690" s="7">
        <v>0</v>
      </c>
      <c r="K10690" s="7" t="s">
        <v>18</v>
      </c>
      <c r="L10690" s="8">
        <v>39987.315405092595</v>
      </c>
      <c r="M10690" s="9" t="s">
        <v>19</v>
      </c>
      <c r="N10690" s="9" t="s">
        <v>20</v>
      </c>
      <c r="O10690" s="6" t="str">
        <f>HYPERLINK("https://pbs.twimg.com/profile_images/962471262747529216/Uo8lOkRJ_normal.jpg","View")</f>
        <v>View</v>
      </c>
      <c r="P10690" s="7"/>
    </row>
    <row r="10691" spans="1:16">
      <c r="A10691" s="3">
        <v>44110.026469907403</v>
      </c>
      <c r="B10691" s="4" t="str">
        <f>HYPERLINK("https://twitter.com/petrogustavo","@petrogustavo")</f>
        <v>@petrogustavo</v>
      </c>
      <c r="C10691" s="5" t="s">
        <v>16</v>
      </c>
      <c r="D10691" s="5" t="s">
        <v>10289</v>
      </c>
      <c r="E10691" s="6" t="str">
        <f>HYPERLINK("https://twitter.com/petrogustavo/status/1313194273978953728","1313194273978953728")</f>
        <v>1313194273978953728</v>
      </c>
      <c r="F10691" s="7" t="s">
        <v>32</v>
      </c>
      <c r="G10691" s="7">
        <v>3986609</v>
      </c>
      <c r="H10691" s="7">
        <v>2444</v>
      </c>
      <c r="I10691" s="7">
        <v>74</v>
      </c>
      <c r="J10691" s="7">
        <v>0</v>
      </c>
      <c r="K10691" s="7" t="s">
        <v>18</v>
      </c>
      <c r="L10691" s="8">
        <v>39987.315405092595</v>
      </c>
      <c r="M10691" s="9" t="s">
        <v>19</v>
      </c>
      <c r="N10691" s="9" t="s">
        <v>20</v>
      </c>
      <c r="O10691" s="6" t="str">
        <f>HYPERLINK("https://pbs.twimg.com/profile_images/962471262747529216/Uo8lOkRJ_normal.jpg","View")</f>
        <v>View</v>
      </c>
      <c r="P10691" s="7"/>
    </row>
    <row r="10692" spans="1:16">
      <c r="A10692" s="3">
        <v>44110.032581018517</v>
      </c>
      <c r="B10692" s="4" t="str">
        <f>HYPERLINK("https://twitter.com/petrogustavo","@petrogustavo")</f>
        <v>@petrogustavo</v>
      </c>
      <c r="C10692" s="5" t="s">
        <v>16</v>
      </c>
      <c r="D10692" s="5" t="s">
        <v>10290</v>
      </c>
      <c r="E10692" s="6" t="str">
        <f>HYPERLINK("https://twitter.com/petrogustavo/status/1313196486952464385","1313196486952464385")</f>
        <v>1313196486952464385</v>
      </c>
      <c r="F10692" s="7" t="s">
        <v>32</v>
      </c>
      <c r="G10692" s="7">
        <v>3986609</v>
      </c>
      <c r="H10692" s="7">
        <v>2444</v>
      </c>
      <c r="I10692" s="7">
        <v>1270</v>
      </c>
      <c r="J10692" s="7">
        <v>0</v>
      </c>
      <c r="K10692" s="7" t="s">
        <v>18</v>
      </c>
      <c r="L10692" s="8">
        <v>39987.315405092595</v>
      </c>
      <c r="M10692" s="9" t="s">
        <v>19</v>
      </c>
      <c r="N10692" s="9" t="s">
        <v>20</v>
      </c>
      <c r="O10692" s="6" t="str">
        <f>HYPERLINK("https://pbs.twimg.com/profile_images/962471262747529216/Uo8lOkRJ_normal.jpg","View")</f>
        <v>View</v>
      </c>
      <c r="P10692" s="7"/>
    </row>
    <row r="10693" spans="1:16">
      <c r="A10693" s="3">
        <v>44110.089155092588</v>
      </c>
      <c r="B10693" s="4" t="str">
        <f>HYPERLINK("https://twitter.com/petrogustavo","@petrogustavo")</f>
        <v>@petrogustavo</v>
      </c>
      <c r="C10693" s="5" t="s">
        <v>16</v>
      </c>
      <c r="D10693" s="5" t="s">
        <v>10291</v>
      </c>
      <c r="E10693" s="6" t="str">
        <f>HYPERLINK("https://twitter.com/petrogustavo/status/1313216989834424328","1313216989834424328")</f>
        <v>1313216989834424328</v>
      </c>
      <c r="F10693" s="7" t="s">
        <v>32</v>
      </c>
      <c r="G10693" s="7">
        <v>3986614</v>
      </c>
      <c r="H10693" s="7">
        <v>2443</v>
      </c>
      <c r="I10693" s="7">
        <v>204</v>
      </c>
      <c r="J10693" s="7">
        <v>800</v>
      </c>
      <c r="K10693" s="7" t="s">
        <v>18</v>
      </c>
      <c r="L10693" s="8">
        <v>39987.315405092595</v>
      </c>
      <c r="M10693" s="9" t="s">
        <v>19</v>
      </c>
      <c r="N10693" s="9" t="s">
        <v>20</v>
      </c>
      <c r="O10693" s="6" t="str">
        <f>HYPERLINK("https://pbs.twimg.com/profile_images/962471262747529216/Uo8lOkRJ_normal.jpg","View")</f>
        <v>View</v>
      </c>
      <c r="P10693" s="7"/>
    </row>
    <row r="10694" spans="1:16">
      <c r="A10694" s="3">
        <v>44110.122581018513</v>
      </c>
      <c r="B10694" s="4" t="str">
        <f>HYPERLINK("https://twitter.com/petrogustavo","@petrogustavo")</f>
        <v>@petrogustavo</v>
      </c>
      <c r="C10694" s="5" t="s">
        <v>16</v>
      </c>
      <c r="D10694" s="5" t="s">
        <v>10292</v>
      </c>
      <c r="E10694" s="6" t="str">
        <f>HYPERLINK("https://twitter.com/petrogustavo/status/1313229102300696576","1313229102300696576")</f>
        <v>1313229102300696576</v>
      </c>
      <c r="F10694" s="7" t="s">
        <v>17</v>
      </c>
      <c r="G10694" s="7">
        <v>3986626</v>
      </c>
      <c r="H10694" s="7">
        <v>2443</v>
      </c>
      <c r="I10694" s="7">
        <v>95</v>
      </c>
      <c r="J10694" s="7">
        <v>150</v>
      </c>
      <c r="K10694" s="7" t="s">
        <v>18</v>
      </c>
      <c r="L10694" s="8">
        <v>39987.315405092595</v>
      </c>
      <c r="M10694" s="9" t="s">
        <v>19</v>
      </c>
      <c r="N10694" s="9" t="s">
        <v>20</v>
      </c>
      <c r="O10694" s="6" t="str">
        <f>HYPERLINK("https://pbs.twimg.com/profile_images/962471262747529216/Uo8lOkRJ_normal.jpg","View")</f>
        <v>View</v>
      </c>
      <c r="P10694" s="7"/>
    </row>
    <row r="10695" spans="1:16">
      <c r="A10695" s="3">
        <v>44110.141365740739</v>
      </c>
      <c r="B10695" s="4" t="str">
        <f>HYPERLINK("https://twitter.com/petrogustavo","@petrogustavo")</f>
        <v>@petrogustavo</v>
      </c>
      <c r="C10695" s="5" t="s">
        <v>16</v>
      </c>
      <c r="D10695" s="5" t="s">
        <v>10293</v>
      </c>
      <c r="E10695" s="6" t="str">
        <f>HYPERLINK("https://twitter.com/petrogustavo/status/1313235911216377856","1313235911216377856")</f>
        <v>1313235911216377856</v>
      </c>
      <c r="F10695" s="7" t="s">
        <v>32</v>
      </c>
      <c r="G10695" s="7">
        <v>3986636</v>
      </c>
      <c r="H10695" s="7">
        <v>2443</v>
      </c>
      <c r="I10695" s="7">
        <v>40</v>
      </c>
      <c r="J10695" s="7">
        <v>123</v>
      </c>
      <c r="K10695" s="7" t="s">
        <v>18</v>
      </c>
      <c r="L10695" s="8">
        <v>39987.315405092595</v>
      </c>
      <c r="M10695" s="9" t="s">
        <v>19</v>
      </c>
      <c r="N10695" s="9" t="s">
        <v>20</v>
      </c>
      <c r="O10695" s="6" t="str">
        <f>HYPERLINK("https://pbs.twimg.com/profile_images/962471262747529216/Uo8lOkRJ_normal.jpg","View")</f>
        <v>View</v>
      </c>
      <c r="P10695" s="7"/>
    </row>
    <row r="10696" spans="1:16">
      <c r="A10696" s="3">
        <v>44110.236215277779</v>
      </c>
      <c r="B10696" s="4" t="str">
        <f>HYPERLINK("https://twitter.com/petrogustavo","@petrogustavo")</f>
        <v>@petrogustavo</v>
      </c>
      <c r="C10696" s="5" t="s">
        <v>16</v>
      </c>
      <c r="D10696" s="5" t="s">
        <v>10294</v>
      </c>
      <c r="E10696" s="6" t="str">
        <f>HYPERLINK("https://twitter.com/petrogustavo/status/1313270282359123968","1313270282359123968")</f>
        <v>1313270282359123968</v>
      </c>
      <c r="F10696" s="7" t="s">
        <v>32</v>
      </c>
      <c r="G10696" s="7">
        <v>3986717</v>
      </c>
      <c r="H10696" s="7">
        <v>2443</v>
      </c>
      <c r="I10696" s="7">
        <v>847</v>
      </c>
      <c r="J10696" s="7">
        <v>0</v>
      </c>
      <c r="K10696" s="7" t="s">
        <v>18</v>
      </c>
      <c r="L10696" s="8">
        <v>39987.315405092595</v>
      </c>
      <c r="M10696" s="9" t="s">
        <v>19</v>
      </c>
      <c r="N10696" s="9" t="s">
        <v>20</v>
      </c>
      <c r="O10696" s="6" t="str">
        <f>HYPERLINK("https://pbs.twimg.com/profile_images/962471262747529216/Uo8lOkRJ_normal.jpg","View")</f>
        <v>View</v>
      </c>
      <c r="P10696" s="7"/>
    </row>
    <row r="10697" spans="1:16">
      <c r="A10697" s="3">
        <v>44110.236261574071</v>
      </c>
      <c r="B10697" s="4" t="str">
        <f>HYPERLINK("https://twitter.com/petrogustavo","@petrogustavo")</f>
        <v>@petrogustavo</v>
      </c>
      <c r="C10697" s="5" t="s">
        <v>16</v>
      </c>
      <c r="D10697" s="5" t="s">
        <v>10295</v>
      </c>
      <c r="E10697" s="6" t="str">
        <f>HYPERLINK("https://twitter.com/petrogustavo/status/1313270298079301633","1313270298079301633")</f>
        <v>1313270298079301633</v>
      </c>
      <c r="F10697" s="7" t="s">
        <v>32</v>
      </c>
      <c r="G10697" s="7">
        <v>3986717</v>
      </c>
      <c r="H10697" s="7">
        <v>2443</v>
      </c>
      <c r="I10697" s="7">
        <v>1207</v>
      </c>
      <c r="J10697" s="7">
        <v>0</v>
      </c>
      <c r="K10697" s="7" t="s">
        <v>18</v>
      </c>
      <c r="L10697" s="8">
        <v>39987.315405092595</v>
      </c>
      <c r="M10697" s="9" t="s">
        <v>19</v>
      </c>
      <c r="N10697" s="9" t="s">
        <v>20</v>
      </c>
      <c r="O10697" s="6" t="str">
        <f>HYPERLINK("https://pbs.twimg.com/profile_images/962471262747529216/Uo8lOkRJ_normal.jpg","View")</f>
        <v>View</v>
      </c>
      <c r="P10697" s="7"/>
    </row>
    <row r="10698" spans="1:16">
      <c r="A10698" s="3">
        <v>44110.243530092594</v>
      </c>
      <c r="B10698" s="4" t="str">
        <f>HYPERLINK("https://twitter.com/petrogustavo","@petrogustavo")</f>
        <v>@petrogustavo</v>
      </c>
      <c r="C10698" s="5" t="s">
        <v>16</v>
      </c>
      <c r="D10698" s="5" t="s">
        <v>10296</v>
      </c>
      <c r="E10698" s="6" t="str">
        <f>HYPERLINK("https://twitter.com/petrogustavo/status/1313272934190985216","1313272934190985216")</f>
        <v>1313272934190985216</v>
      </c>
      <c r="F10698" s="7" t="s">
        <v>17</v>
      </c>
      <c r="G10698" s="7">
        <v>3986717</v>
      </c>
      <c r="H10698" s="7">
        <v>2443</v>
      </c>
      <c r="I10698" s="7">
        <v>88</v>
      </c>
      <c r="J10698" s="7">
        <v>0</v>
      </c>
      <c r="K10698" s="7" t="s">
        <v>18</v>
      </c>
      <c r="L10698" s="8">
        <v>39987.315405092595</v>
      </c>
      <c r="M10698" s="9" t="s">
        <v>19</v>
      </c>
      <c r="N10698" s="9" t="s">
        <v>20</v>
      </c>
      <c r="O10698" s="6" t="str">
        <f>HYPERLINK("https://pbs.twimg.com/profile_images/962471262747529216/Uo8lOkRJ_normal.jpg","View")</f>
        <v>View</v>
      </c>
      <c r="P10698" s="7"/>
    </row>
    <row r="10699" spans="1:16">
      <c r="A10699" s="3">
        <v>44110.278506944444</v>
      </c>
      <c r="B10699" s="4" t="str">
        <f>HYPERLINK("https://twitter.com/petrogustavo","@petrogustavo")</f>
        <v>@petrogustavo</v>
      </c>
      <c r="C10699" s="5" t="s">
        <v>16</v>
      </c>
      <c r="D10699" s="5" t="s">
        <v>10297</v>
      </c>
      <c r="E10699" s="6" t="str">
        <f>HYPERLINK("https://twitter.com/petrogustavo/status/1313285609285390336","1313285609285390336")</f>
        <v>1313285609285390336</v>
      </c>
      <c r="F10699" s="7" t="s">
        <v>32</v>
      </c>
      <c r="G10699" s="7">
        <v>3986750</v>
      </c>
      <c r="H10699" s="7">
        <v>2443</v>
      </c>
      <c r="I10699" s="7">
        <v>79</v>
      </c>
      <c r="J10699" s="7">
        <v>169</v>
      </c>
      <c r="K10699" s="7" t="s">
        <v>18</v>
      </c>
      <c r="L10699" s="8">
        <v>39987.315405092595</v>
      </c>
      <c r="M10699" s="9" t="s">
        <v>19</v>
      </c>
      <c r="N10699" s="9" t="s">
        <v>20</v>
      </c>
      <c r="O10699" s="6" t="str">
        <f>HYPERLINK("https://pbs.twimg.com/profile_images/962471262747529216/Uo8lOkRJ_normal.jpg","View")</f>
        <v>View</v>
      </c>
      <c r="P10699" s="7"/>
    </row>
    <row r="10700" spans="1:16">
      <c r="A10700" s="3">
        <v>44110.280300925922</v>
      </c>
      <c r="B10700" s="4" t="str">
        <f>HYPERLINK("https://twitter.com/petrogustavo","@petrogustavo")</f>
        <v>@petrogustavo</v>
      </c>
      <c r="C10700" s="5" t="s">
        <v>16</v>
      </c>
      <c r="D10700" s="5" t="s">
        <v>10298</v>
      </c>
      <c r="E10700" s="6" t="str">
        <f>HYPERLINK("https://twitter.com/petrogustavo/status/1313286260371402752","1313286260371402752")</f>
        <v>1313286260371402752</v>
      </c>
      <c r="F10700" s="7" t="s">
        <v>32</v>
      </c>
      <c r="G10700" s="7">
        <v>3986750</v>
      </c>
      <c r="H10700" s="7">
        <v>2443</v>
      </c>
      <c r="I10700" s="7">
        <v>553</v>
      </c>
      <c r="J10700" s="7">
        <v>0</v>
      </c>
      <c r="K10700" s="7" t="s">
        <v>18</v>
      </c>
      <c r="L10700" s="8">
        <v>39987.315405092595</v>
      </c>
      <c r="M10700" s="9" t="s">
        <v>19</v>
      </c>
      <c r="N10700" s="9" t="s">
        <v>20</v>
      </c>
      <c r="O10700" s="6" t="str">
        <f>HYPERLINK("https://pbs.twimg.com/profile_images/962471262747529216/Uo8lOkRJ_normal.jpg","View")</f>
        <v>View</v>
      </c>
      <c r="P10700" s="7"/>
    </row>
    <row r="10701" spans="1:16">
      <c r="A10701" s="3">
        <v>44110.732557870375</v>
      </c>
      <c r="B10701" s="4" t="str">
        <f>HYPERLINK("https://twitter.com/petrogustavo","@petrogustavo")</f>
        <v>@petrogustavo</v>
      </c>
      <c r="C10701" s="5" t="s">
        <v>16</v>
      </c>
      <c r="D10701" s="5" t="s">
        <v>10299</v>
      </c>
      <c r="E10701" s="6" t="str">
        <f>HYPERLINK("https://twitter.com/petrogustavo/status/1313450153353900033","1313450153353900033")</f>
        <v>1313450153353900033</v>
      </c>
      <c r="F10701" s="7" t="s">
        <v>32</v>
      </c>
      <c r="G10701" s="7">
        <v>3986876</v>
      </c>
      <c r="H10701" s="7">
        <v>2444</v>
      </c>
      <c r="I10701" s="7">
        <v>74</v>
      </c>
      <c r="J10701" s="7">
        <v>0</v>
      </c>
      <c r="K10701" s="7" t="s">
        <v>18</v>
      </c>
      <c r="L10701" s="8">
        <v>39987.315405092595</v>
      </c>
      <c r="M10701" s="9" t="s">
        <v>19</v>
      </c>
      <c r="N10701" s="9" t="s">
        <v>20</v>
      </c>
      <c r="O10701" s="6" t="str">
        <f>HYPERLINK("https://pbs.twimg.com/profile_images/962471262747529216/Uo8lOkRJ_normal.jpg","View")</f>
        <v>View</v>
      </c>
      <c r="P10701" s="7"/>
    </row>
    <row r="10702" spans="1:16">
      <c r="A10702" s="3">
        <v>44110.73538194444</v>
      </c>
      <c r="B10702" s="4" t="str">
        <f>HYPERLINK("https://twitter.com/petrogustavo","@petrogustavo")</f>
        <v>@petrogustavo</v>
      </c>
      <c r="C10702" s="5" t="s">
        <v>16</v>
      </c>
      <c r="D10702" s="5" t="s">
        <v>10300</v>
      </c>
      <c r="E10702" s="6" t="str">
        <f>HYPERLINK("https://twitter.com/petrogustavo/status/1313451173500915712","1313451173500915712")</f>
        <v>1313451173500915712</v>
      </c>
      <c r="F10702" s="7" t="s">
        <v>32</v>
      </c>
      <c r="G10702" s="7">
        <v>3986876</v>
      </c>
      <c r="H10702" s="7">
        <v>2444</v>
      </c>
      <c r="I10702" s="7">
        <v>95</v>
      </c>
      <c r="J10702" s="7">
        <v>226</v>
      </c>
      <c r="K10702" s="7" t="s">
        <v>18</v>
      </c>
      <c r="L10702" s="8">
        <v>39987.315405092595</v>
      </c>
      <c r="M10702" s="9" t="s">
        <v>19</v>
      </c>
      <c r="N10702" s="9" t="s">
        <v>20</v>
      </c>
      <c r="O10702" s="6" t="str">
        <f>HYPERLINK("https://pbs.twimg.com/profile_images/962471262747529216/Uo8lOkRJ_normal.jpg","View")</f>
        <v>View</v>
      </c>
      <c r="P10702" s="7"/>
    </row>
    <row r="10703" spans="1:16">
      <c r="A10703" s="3">
        <v>44110.737627314811</v>
      </c>
      <c r="B10703" s="4" t="str">
        <f>HYPERLINK("https://twitter.com/petrogustavo","@petrogustavo")</f>
        <v>@petrogustavo</v>
      </c>
      <c r="C10703" s="5" t="s">
        <v>16</v>
      </c>
      <c r="D10703" s="5" t="s">
        <v>10301</v>
      </c>
      <c r="E10703" s="6" t="str">
        <f>HYPERLINK("https://twitter.com/petrogustavo/status/1313451986625409026","1313451986625409026")</f>
        <v>1313451986625409026</v>
      </c>
      <c r="F10703" s="7" t="s">
        <v>17</v>
      </c>
      <c r="G10703" s="7">
        <v>3986876</v>
      </c>
      <c r="H10703" s="7">
        <v>2444</v>
      </c>
      <c r="I10703" s="7">
        <v>27</v>
      </c>
      <c r="J10703" s="7">
        <v>0</v>
      </c>
      <c r="K10703" s="7" t="s">
        <v>18</v>
      </c>
      <c r="L10703" s="8">
        <v>39987.315405092595</v>
      </c>
      <c r="M10703" s="9" t="s">
        <v>19</v>
      </c>
      <c r="N10703" s="9" t="s">
        <v>20</v>
      </c>
      <c r="O10703" s="6" t="str">
        <f>HYPERLINK("https://pbs.twimg.com/profile_images/962471262747529216/Uo8lOkRJ_normal.jpg","View")</f>
        <v>View</v>
      </c>
      <c r="P10703" s="7"/>
    </row>
    <row r="10704" spans="1:16">
      <c r="A10704" s="3">
        <v>44110.737777777773</v>
      </c>
      <c r="B10704" s="4" t="str">
        <f>HYPERLINK("https://twitter.com/petrogustavo","@petrogustavo")</f>
        <v>@petrogustavo</v>
      </c>
      <c r="C10704" s="5" t="s">
        <v>16</v>
      </c>
      <c r="D10704" s="5" t="s">
        <v>10302</v>
      </c>
      <c r="E10704" s="6" t="str">
        <f>HYPERLINK("https://twitter.com/petrogustavo/status/1313452043340861442","1313452043340861442")</f>
        <v>1313452043340861442</v>
      </c>
      <c r="F10704" s="7" t="s">
        <v>17</v>
      </c>
      <c r="G10704" s="7">
        <v>3986876</v>
      </c>
      <c r="H10704" s="7">
        <v>2444</v>
      </c>
      <c r="I10704" s="7">
        <v>47</v>
      </c>
      <c r="J10704" s="7">
        <v>0</v>
      </c>
      <c r="K10704" s="7" t="s">
        <v>18</v>
      </c>
      <c r="L10704" s="8">
        <v>39987.315405092595</v>
      </c>
      <c r="M10704" s="9" t="s">
        <v>19</v>
      </c>
      <c r="N10704" s="9" t="s">
        <v>20</v>
      </c>
      <c r="O10704" s="6" t="str">
        <f>HYPERLINK("https://pbs.twimg.com/profile_images/962471262747529216/Uo8lOkRJ_normal.jpg","View")</f>
        <v>View</v>
      </c>
      <c r="P10704" s="7"/>
    </row>
    <row r="10705" spans="1:16">
      <c r="A10705" s="3">
        <v>44110.741782407407</v>
      </c>
      <c r="B10705" s="4" t="str">
        <f>HYPERLINK("https://twitter.com/petrogustavo","@petrogustavo")</f>
        <v>@petrogustavo</v>
      </c>
      <c r="C10705" s="5" t="s">
        <v>16</v>
      </c>
      <c r="D10705" s="5" t="s">
        <v>10303</v>
      </c>
      <c r="E10705" s="6" t="str">
        <f>HYPERLINK("https://twitter.com/petrogustavo/status/1313453492468699136","1313453492468699136")</f>
        <v>1313453492468699136</v>
      </c>
      <c r="F10705" s="7" t="s">
        <v>17</v>
      </c>
      <c r="G10705" s="7">
        <v>3986876</v>
      </c>
      <c r="H10705" s="7">
        <v>2444</v>
      </c>
      <c r="I10705" s="7">
        <v>19</v>
      </c>
      <c r="J10705" s="7">
        <v>63</v>
      </c>
      <c r="K10705" s="7" t="s">
        <v>18</v>
      </c>
      <c r="L10705" s="8">
        <v>39987.315405092595</v>
      </c>
      <c r="M10705" s="9" t="s">
        <v>19</v>
      </c>
      <c r="N10705" s="9" t="s">
        <v>20</v>
      </c>
      <c r="O10705" s="6" t="str">
        <f>HYPERLINK("https://pbs.twimg.com/profile_images/962471262747529216/Uo8lOkRJ_normal.jpg","View")</f>
        <v>View</v>
      </c>
      <c r="P10705" s="7"/>
    </row>
    <row r="10706" spans="1:16">
      <c r="A10706" s="3">
        <v>44110.743564814809</v>
      </c>
      <c r="B10706" s="4" t="str">
        <f>HYPERLINK("https://twitter.com/petrogustavo","@petrogustavo")</f>
        <v>@petrogustavo</v>
      </c>
      <c r="C10706" s="5" t="s">
        <v>16</v>
      </c>
      <c r="D10706" s="5" t="s">
        <v>10304</v>
      </c>
      <c r="E10706" s="6" t="str">
        <f>HYPERLINK("https://twitter.com/petrogustavo/status/1313454139234545665","1313454139234545665")</f>
        <v>1313454139234545665</v>
      </c>
      <c r="F10706" s="7" t="s">
        <v>17</v>
      </c>
      <c r="G10706" s="7">
        <v>3986876</v>
      </c>
      <c r="H10706" s="7">
        <v>2444</v>
      </c>
      <c r="I10706" s="7">
        <v>20</v>
      </c>
      <c r="J10706" s="7">
        <v>79</v>
      </c>
      <c r="K10706" s="7" t="s">
        <v>18</v>
      </c>
      <c r="L10706" s="8">
        <v>39987.315405092595</v>
      </c>
      <c r="M10706" s="9" t="s">
        <v>19</v>
      </c>
      <c r="N10706" s="9" t="s">
        <v>20</v>
      </c>
      <c r="O10706" s="6" t="str">
        <f>HYPERLINK("https://pbs.twimg.com/profile_images/962471262747529216/Uo8lOkRJ_normal.jpg","View")</f>
        <v>View</v>
      </c>
      <c r="P10706" s="7"/>
    </row>
    <row r="10707" spans="1:16">
      <c r="A10707" s="3">
        <v>44110.74596064815</v>
      </c>
      <c r="B10707" s="4" t="str">
        <f>HYPERLINK("https://twitter.com/petrogustavo","@petrogustavo")</f>
        <v>@petrogustavo</v>
      </c>
      <c r="C10707" s="5" t="s">
        <v>16</v>
      </c>
      <c r="D10707" s="5" t="s">
        <v>10305</v>
      </c>
      <c r="E10707" s="6" t="str">
        <f>HYPERLINK("https://twitter.com/petrogustavo/status/1313455010164899840","1313455010164899840")</f>
        <v>1313455010164899840</v>
      </c>
      <c r="F10707" s="7" t="s">
        <v>17</v>
      </c>
      <c r="G10707" s="7">
        <v>3986876</v>
      </c>
      <c r="H10707" s="7">
        <v>2444</v>
      </c>
      <c r="I10707" s="7">
        <v>12</v>
      </c>
      <c r="J10707" s="7">
        <v>45</v>
      </c>
      <c r="K10707" s="7" t="s">
        <v>18</v>
      </c>
      <c r="L10707" s="8">
        <v>39987.315405092595</v>
      </c>
      <c r="M10707" s="9" t="s">
        <v>19</v>
      </c>
      <c r="N10707" s="9" t="s">
        <v>20</v>
      </c>
      <c r="O10707" s="6" t="str">
        <f>HYPERLINK("https://pbs.twimg.com/profile_images/962471262747529216/Uo8lOkRJ_normal.jpg","View")</f>
        <v>View</v>
      </c>
      <c r="P10707" s="7"/>
    </row>
    <row r="10708" spans="1:16">
      <c r="A10708" s="3">
        <v>44110.747673611113</v>
      </c>
      <c r="B10708" s="4" t="str">
        <f>HYPERLINK("https://twitter.com/petrogustavo","@petrogustavo")</f>
        <v>@petrogustavo</v>
      </c>
      <c r="C10708" s="5" t="s">
        <v>16</v>
      </c>
      <c r="D10708" s="5" t="s">
        <v>10306</v>
      </c>
      <c r="E10708" s="6" t="str">
        <f>HYPERLINK("https://twitter.com/petrogustavo/status/1313455631295225857","1313455631295225857")</f>
        <v>1313455631295225857</v>
      </c>
      <c r="F10708" s="7" t="s">
        <v>17</v>
      </c>
      <c r="G10708" s="7">
        <v>3986876</v>
      </c>
      <c r="H10708" s="7">
        <v>2444</v>
      </c>
      <c r="I10708" s="7">
        <v>95</v>
      </c>
      <c r="J10708" s="7">
        <v>0</v>
      </c>
      <c r="K10708" s="7" t="s">
        <v>18</v>
      </c>
      <c r="L10708" s="8">
        <v>39987.315405092595</v>
      </c>
      <c r="M10708" s="9" t="s">
        <v>19</v>
      </c>
      <c r="N10708" s="9" t="s">
        <v>20</v>
      </c>
      <c r="O10708" s="6" t="str">
        <f>HYPERLINK("https://pbs.twimg.com/profile_images/962471262747529216/Uo8lOkRJ_normal.jpg","View")</f>
        <v>View</v>
      </c>
      <c r="P10708" s="7"/>
    </row>
    <row r="10709" spans="1:16">
      <c r="A10709" s="3">
        <v>44110.76163194445</v>
      </c>
      <c r="B10709" s="4" t="str">
        <f>HYPERLINK("https://twitter.com/petrogustavo","@petrogustavo")</f>
        <v>@petrogustavo</v>
      </c>
      <c r="C10709" s="5" t="s">
        <v>16</v>
      </c>
      <c r="D10709" s="5" t="s">
        <v>10307</v>
      </c>
      <c r="E10709" s="6" t="str">
        <f>HYPERLINK("https://twitter.com/petrogustavo/status/1313460687335829504","1313460687335829504")</f>
        <v>1313460687335829504</v>
      </c>
      <c r="F10709" s="7" t="s">
        <v>17</v>
      </c>
      <c r="G10709" s="7">
        <v>3986885</v>
      </c>
      <c r="H10709" s="7">
        <v>2444</v>
      </c>
      <c r="I10709" s="7">
        <v>945</v>
      </c>
      <c r="J10709" s="7">
        <v>0</v>
      </c>
      <c r="K10709" s="7" t="s">
        <v>18</v>
      </c>
      <c r="L10709" s="8">
        <v>39987.315405092595</v>
      </c>
      <c r="M10709" s="9" t="s">
        <v>19</v>
      </c>
      <c r="N10709" s="9" t="s">
        <v>20</v>
      </c>
      <c r="O10709" s="6" t="str">
        <f>HYPERLINK("https://pbs.twimg.com/profile_images/962471262747529216/Uo8lOkRJ_normal.jpg","View")</f>
        <v>View</v>
      </c>
      <c r="P10709" s="7"/>
    </row>
    <row r="10710" spans="1:16">
      <c r="A10710" s="3">
        <v>44110.777604166666</v>
      </c>
      <c r="B10710" s="4" t="str">
        <f>HYPERLINK("https://twitter.com/petrogustavo","@petrogustavo")</f>
        <v>@petrogustavo</v>
      </c>
      <c r="C10710" s="5" t="s">
        <v>16</v>
      </c>
      <c r="D10710" s="5" t="s">
        <v>10308</v>
      </c>
      <c r="E10710" s="6" t="str">
        <f>HYPERLINK("https://twitter.com/petrogustavo/status/1313466476360273923","1313466476360273923")</f>
        <v>1313466476360273923</v>
      </c>
      <c r="F10710" s="7" t="s">
        <v>17</v>
      </c>
      <c r="G10710" s="7">
        <v>3986902</v>
      </c>
      <c r="H10710" s="7">
        <v>2444</v>
      </c>
      <c r="I10710" s="7">
        <v>58</v>
      </c>
      <c r="J10710" s="7">
        <v>154</v>
      </c>
      <c r="K10710" s="7" t="s">
        <v>18</v>
      </c>
      <c r="L10710" s="8">
        <v>39987.315405092595</v>
      </c>
      <c r="M10710" s="9" t="s">
        <v>19</v>
      </c>
      <c r="N10710" s="9" t="s">
        <v>20</v>
      </c>
      <c r="O10710" s="6" t="str">
        <f>HYPERLINK("https://pbs.twimg.com/profile_images/962471262747529216/Uo8lOkRJ_normal.jpg","View")</f>
        <v>View</v>
      </c>
      <c r="P10710" s="7"/>
    </row>
    <row r="10711" spans="1:16">
      <c r="A10711" s="3">
        <v>44110.785115740742</v>
      </c>
      <c r="B10711" s="4" t="str">
        <f>HYPERLINK("https://twitter.com/petrogustavo","@petrogustavo")</f>
        <v>@petrogustavo</v>
      </c>
      <c r="C10711" s="5" t="s">
        <v>16</v>
      </c>
      <c r="D10711" s="5" t="s">
        <v>10309</v>
      </c>
      <c r="E10711" s="6" t="str">
        <f>HYPERLINK("https://twitter.com/petrogustavo/status/1313469197020782605","1313469197020782605")</f>
        <v>1313469197020782605</v>
      </c>
      <c r="F10711" s="7" t="s">
        <v>17</v>
      </c>
      <c r="G10711" s="7">
        <v>3986902</v>
      </c>
      <c r="H10711" s="7">
        <v>2444</v>
      </c>
      <c r="I10711" s="7">
        <v>63</v>
      </c>
      <c r="J10711" s="7">
        <v>157</v>
      </c>
      <c r="K10711" s="7" t="s">
        <v>18</v>
      </c>
      <c r="L10711" s="8">
        <v>39987.315405092595</v>
      </c>
      <c r="M10711" s="9" t="s">
        <v>19</v>
      </c>
      <c r="N10711" s="9" t="s">
        <v>20</v>
      </c>
      <c r="O10711" s="6" t="str">
        <f>HYPERLINK("https://pbs.twimg.com/profile_images/962471262747529216/Uo8lOkRJ_normal.jpg","View")</f>
        <v>View</v>
      </c>
      <c r="P10711" s="7"/>
    </row>
    <row r="10712" spans="1:16">
      <c r="A10712" s="3">
        <v>44110.785891203705</v>
      </c>
      <c r="B10712" s="4" t="str">
        <f>HYPERLINK("https://twitter.com/petrogustavo","@petrogustavo")</f>
        <v>@petrogustavo</v>
      </c>
      <c r="C10712" s="5" t="s">
        <v>16</v>
      </c>
      <c r="D10712" s="5" t="s">
        <v>10310</v>
      </c>
      <c r="E10712" s="6" t="str">
        <f>HYPERLINK("https://twitter.com/petrogustavo/status/1313469477867094018","1313469477867094018")</f>
        <v>1313469477867094018</v>
      </c>
      <c r="F10712" s="7" t="s">
        <v>17</v>
      </c>
      <c r="G10712" s="7">
        <v>3986902</v>
      </c>
      <c r="H10712" s="7">
        <v>2444</v>
      </c>
      <c r="I10712" s="7">
        <v>126</v>
      </c>
      <c r="J10712" s="7">
        <v>479</v>
      </c>
      <c r="K10712" s="7" t="s">
        <v>18</v>
      </c>
      <c r="L10712" s="8">
        <v>39987.315405092595</v>
      </c>
      <c r="M10712" s="9" t="s">
        <v>19</v>
      </c>
      <c r="N10712" s="9" t="s">
        <v>20</v>
      </c>
      <c r="O10712" s="6" t="str">
        <f>HYPERLINK("https://pbs.twimg.com/profile_images/962471262747529216/Uo8lOkRJ_normal.jpg","View")</f>
        <v>View</v>
      </c>
      <c r="P10712" s="7"/>
    </row>
    <row r="10713" spans="1:16">
      <c r="A10713" s="3">
        <v>44110.785960648151</v>
      </c>
      <c r="B10713" s="4" t="str">
        <f>HYPERLINK("https://twitter.com/petrogustavo","@petrogustavo")</f>
        <v>@petrogustavo</v>
      </c>
      <c r="C10713" s="5" t="s">
        <v>16</v>
      </c>
      <c r="D10713" s="5" t="s">
        <v>10311</v>
      </c>
      <c r="E10713" s="6" t="str">
        <f>HYPERLINK("https://twitter.com/petrogustavo/status/1313469503855104006","1313469503855104006")</f>
        <v>1313469503855104006</v>
      </c>
      <c r="F10713" s="7" t="s">
        <v>17</v>
      </c>
      <c r="G10713" s="7">
        <v>3986902</v>
      </c>
      <c r="H10713" s="7">
        <v>2444</v>
      </c>
      <c r="I10713" s="7">
        <v>63</v>
      </c>
      <c r="J10713" s="7">
        <v>0</v>
      </c>
      <c r="K10713" s="7" t="s">
        <v>18</v>
      </c>
      <c r="L10713" s="8">
        <v>39987.315405092595</v>
      </c>
      <c r="M10713" s="9" t="s">
        <v>19</v>
      </c>
      <c r="N10713" s="9" t="s">
        <v>20</v>
      </c>
      <c r="O10713" s="6" t="str">
        <f>HYPERLINK("https://pbs.twimg.com/profile_images/962471262747529216/Uo8lOkRJ_normal.jpg","View")</f>
        <v>View</v>
      </c>
      <c r="P10713" s="7"/>
    </row>
    <row r="10714" spans="1:16">
      <c r="A10714" s="3">
        <v>44110.826284722221</v>
      </c>
      <c r="B10714" s="4" t="str">
        <f>HYPERLINK("https://twitter.com/petrogustavo","@petrogustavo")</f>
        <v>@petrogustavo</v>
      </c>
      <c r="C10714" s="5" t="s">
        <v>16</v>
      </c>
      <c r="D10714" s="5" t="s">
        <v>10312</v>
      </c>
      <c r="E10714" s="6" t="str">
        <f>HYPERLINK("https://twitter.com/petrogustavo/status/1313484116092956672","1313484116092956672")</f>
        <v>1313484116092956672</v>
      </c>
      <c r="F10714" s="7" t="s">
        <v>17</v>
      </c>
      <c r="G10714" s="7">
        <v>3986927</v>
      </c>
      <c r="H10714" s="7">
        <v>2444</v>
      </c>
      <c r="I10714" s="7">
        <v>190</v>
      </c>
      <c r="J10714" s="7">
        <v>690</v>
      </c>
      <c r="K10714" s="7" t="s">
        <v>18</v>
      </c>
      <c r="L10714" s="8">
        <v>39987.315405092595</v>
      </c>
      <c r="M10714" s="9" t="s">
        <v>19</v>
      </c>
      <c r="N10714" s="9" t="s">
        <v>20</v>
      </c>
      <c r="O10714" s="6" t="str">
        <f>HYPERLINK("https://pbs.twimg.com/profile_images/962471262747529216/Uo8lOkRJ_normal.jpg","View")</f>
        <v>View</v>
      </c>
      <c r="P10714" s="7"/>
    </row>
    <row r="10715" spans="1:16">
      <c r="A10715" s="3">
        <v>44110.873113425929</v>
      </c>
      <c r="B10715" s="4" t="str">
        <f>HYPERLINK("https://twitter.com/petrogustavo","@petrogustavo")</f>
        <v>@petrogustavo</v>
      </c>
      <c r="C10715" s="5" t="s">
        <v>16</v>
      </c>
      <c r="D10715" s="5" t="s">
        <v>10313</v>
      </c>
      <c r="E10715" s="6" t="str">
        <f>HYPERLINK("https://twitter.com/petrogustavo/status/1313501087450763264","1313501087450763264")</f>
        <v>1313501087450763264</v>
      </c>
      <c r="F10715" s="7" t="s">
        <v>17</v>
      </c>
      <c r="G10715" s="7">
        <v>3986957</v>
      </c>
      <c r="H10715" s="7">
        <v>2444</v>
      </c>
      <c r="I10715" s="7">
        <v>92</v>
      </c>
      <c r="J10715" s="7">
        <v>514</v>
      </c>
      <c r="K10715" s="7" t="s">
        <v>18</v>
      </c>
      <c r="L10715" s="8">
        <v>39987.315405092595</v>
      </c>
      <c r="M10715" s="9" t="s">
        <v>19</v>
      </c>
      <c r="N10715" s="9" t="s">
        <v>20</v>
      </c>
      <c r="O10715" s="6" t="str">
        <f>HYPERLINK("https://pbs.twimg.com/profile_images/962471262747529216/Uo8lOkRJ_normal.jpg","View")</f>
        <v>View</v>
      </c>
      <c r="P10715" s="7"/>
    </row>
    <row r="10716" spans="1:16">
      <c r="A10716" s="3">
        <v>44111.060590277775</v>
      </c>
      <c r="B10716" s="4" t="str">
        <f>HYPERLINK("https://twitter.com/petrogustavo","@petrogustavo")</f>
        <v>@petrogustavo</v>
      </c>
      <c r="C10716" s="5" t="s">
        <v>16</v>
      </c>
      <c r="D10716" s="5" t="s">
        <v>10314</v>
      </c>
      <c r="E10716" s="6" t="str">
        <f>HYPERLINK("https://twitter.com/petrogustavo/status/1313569024891125760","1313569024891125760")</f>
        <v>1313569024891125760</v>
      </c>
      <c r="F10716" s="7" t="s">
        <v>17</v>
      </c>
      <c r="G10716" s="7">
        <v>3987089</v>
      </c>
      <c r="H10716" s="7">
        <v>2444</v>
      </c>
      <c r="I10716" s="7">
        <v>48</v>
      </c>
      <c r="J10716" s="7">
        <v>0</v>
      </c>
      <c r="K10716" s="7" t="s">
        <v>18</v>
      </c>
      <c r="L10716" s="8">
        <v>39987.315405092595</v>
      </c>
      <c r="M10716" s="9" t="s">
        <v>19</v>
      </c>
      <c r="N10716" s="9" t="s">
        <v>20</v>
      </c>
      <c r="O10716" s="6" t="str">
        <f>HYPERLINK("https://pbs.twimg.com/profile_images/962471262747529216/Uo8lOkRJ_normal.jpg","View")</f>
        <v>View</v>
      </c>
      <c r="P10716" s="7"/>
    </row>
    <row r="10717" spans="1:16">
      <c r="A10717" s="3">
        <v>44111.064479166671</v>
      </c>
      <c r="B10717" s="4" t="str">
        <f>HYPERLINK("https://twitter.com/petrogustavo","@petrogustavo")</f>
        <v>@petrogustavo</v>
      </c>
      <c r="C10717" s="5" t="s">
        <v>16</v>
      </c>
      <c r="D10717" s="5" t="s">
        <v>10315</v>
      </c>
      <c r="E10717" s="6" t="str">
        <f>HYPERLINK("https://twitter.com/petrogustavo/status/1313570437650100227","1313570437650100227")</f>
        <v>1313570437650100227</v>
      </c>
      <c r="F10717" s="7" t="s">
        <v>17</v>
      </c>
      <c r="G10717" s="7">
        <v>3987102</v>
      </c>
      <c r="H10717" s="7">
        <v>2444</v>
      </c>
      <c r="I10717" s="7">
        <v>426</v>
      </c>
      <c r="J10717" s="7">
        <v>0</v>
      </c>
      <c r="K10717" s="7" t="s">
        <v>18</v>
      </c>
      <c r="L10717" s="8">
        <v>39987.315405092595</v>
      </c>
      <c r="M10717" s="9" t="s">
        <v>19</v>
      </c>
      <c r="N10717" s="9" t="s">
        <v>20</v>
      </c>
      <c r="O10717" s="6" t="str">
        <f>HYPERLINK("https://pbs.twimg.com/profile_images/962471262747529216/Uo8lOkRJ_normal.jpg","View")</f>
        <v>View</v>
      </c>
      <c r="P10717" s="7"/>
    </row>
    <row r="10718" spans="1:16">
      <c r="A10718" s="3">
        <v>44111.065196759257</v>
      </c>
      <c r="B10718" s="4" t="str">
        <f>HYPERLINK("https://twitter.com/petrogustavo","@petrogustavo")</f>
        <v>@petrogustavo</v>
      </c>
      <c r="C10718" s="5" t="s">
        <v>16</v>
      </c>
      <c r="D10718" s="5" t="s">
        <v>10316</v>
      </c>
      <c r="E10718" s="6" t="str">
        <f>HYPERLINK("https://twitter.com/petrogustavo/status/1313570695239143426","1313570695239143426")</f>
        <v>1313570695239143426</v>
      </c>
      <c r="F10718" s="7" t="s">
        <v>17</v>
      </c>
      <c r="G10718" s="7">
        <v>3987102</v>
      </c>
      <c r="H10718" s="7">
        <v>2444</v>
      </c>
      <c r="I10718" s="7">
        <v>227</v>
      </c>
      <c r="J10718" s="7">
        <v>0</v>
      </c>
      <c r="K10718" s="7" t="s">
        <v>18</v>
      </c>
      <c r="L10718" s="8">
        <v>39987.315405092595</v>
      </c>
      <c r="M10718" s="9" t="s">
        <v>19</v>
      </c>
      <c r="N10718" s="9" t="s">
        <v>20</v>
      </c>
      <c r="O10718" s="6" t="str">
        <f>HYPERLINK("https://pbs.twimg.com/profile_images/962471262747529216/Uo8lOkRJ_normal.jpg","View")</f>
        <v>View</v>
      </c>
      <c r="P10718" s="7"/>
    </row>
    <row r="10719" spans="1:16">
      <c r="A10719" s="3">
        <v>44111.235914351855</v>
      </c>
      <c r="B10719" s="4" t="str">
        <f>HYPERLINK("https://twitter.com/petrogustavo","@petrogustavo")</f>
        <v>@petrogustavo</v>
      </c>
      <c r="C10719" s="5" t="s">
        <v>16</v>
      </c>
      <c r="D10719" s="5" t="s">
        <v>10317</v>
      </c>
      <c r="E10719" s="6" t="str">
        <f>HYPERLINK("https://twitter.com/petrogustavo/status/1313632562288394242","1313632562288394242")</f>
        <v>1313632562288394242</v>
      </c>
      <c r="F10719" s="7" t="s">
        <v>32</v>
      </c>
      <c r="G10719" s="7">
        <v>3987239</v>
      </c>
      <c r="H10719" s="7">
        <v>2444</v>
      </c>
      <c r="I10719" s="7">
        <v>108</v>
      </c>
      <c r="J10719" s="7">
        <v>251</v>
      </c>
      <c r="K10719" s="7" t="s">
        <v>18</v>
      </c>
      <c r="L10719" s="8">
        <v>39987.315405092595</v>
      </c>
      <c r="M10719" s="9" t="s">
        <v>19</v>
      </c>
      <c r="N10719" s="9" t="s">
        <v>20</v>
      </c>
      <c r="O10719" s="6" t="str">
        <f>HYPERLINK("https://pbs.twimg.com/profile_images/962471262747529216/Uo8lOkRJ_normal.jpg","View")</f>
        <v>View</v>
      </c>
      <c r="P10719" s="7"/>
    </row>
    <row r="10720" spans="1:16">
      <c r="A10720" s="3">
        <v>44111.275752314818</v>
      </c>
      <c r="B10720" s="4" t="str">
        <f>HYPERLINK("https://twitter.com/petrogustavo","@petrogustavo")</f>
        <v>@petrogustavo</v>
      </c>
      <c r="C10720" s="5" t="s">
        <v>16</v>
      </c>
      <c r="D10720" s="5" t="s">
        <v>10318</v>
      </c>
      <c r="E10720" s="6" t="str">
        <f>HYPERLINK("https://twitter.com/petrogustavo/status/1313646999028277248","1313646999028277248")</f>
        <v>1313646999028277248</v>
      </c>
      <c r="F10720" s="7" t="s">
        <v>32</v>
      </c>
      <c r="G10720" s="7">
        <v>3987283</v>
      </c>
      <c r="H10720" s="7">
        <v>2444</v>
      </c>
      <c r="I10720" s="7">
        <v>74</v>
      </c>
      <c r="J10720" s="7">
        <v>0</v>
      </c>
      <c r="K10720" s="7" t="s">
        <v>18</v>
      </c>
      <c r="L10720" s="8">
        <v>39987.315405092595</v>
      </c>
      <c r="M10720" s="9" t="s">
        <v>19</v>
      </c>
      <c r="N10720" s="9" t="s">
        <v>20</v>
      </c>
      <c r="O10720" s="6" t="str">
        <f>HYPERLINK("https://pbs.twimg.com/profile_images/962471262747529216/Uo8lOkRJ_normal.jpg","View")</f>
        <v>View</v>
      </c>
      <c r="P10720" s="7"/>
    </row>
    <row r="10721" spans="1:16">
      <c r="A10721" s="3">
        <v>44111.364085648151</v>
      </c>
      <c r="B10721" s="4" t="str">
        <f>HYPERLINK("https://twitter.com/petrogustavo","@petrogustavo")</f>
        <v>@petrogustavo</v>
      </c>
      <c r="C10721" s="5" t="s">
        <v>16</v>
      </c>
      <c r="D10721" s="5" t="s">
        <v>10319</v>
      </c>
      <c r="E10721" s="6" t="str">
        <f>HYPERLINK("https://twitter.com/petrogustavo/status/1313679011587989504","1313679011587989504")</f>
        <v>1313679011587989504</v>
      </c>
      <c r="F10721" s="7" t="s">
        <v>21</v>
      </c>
      <c r="G10721" s="7">
        <v>3987351</v>
      </c>
      <c r="H10721" s="7">
        <v>2444</v>
      </c>
      <c r="I10721" s="7">
        <v>80</v>
      </c>
      <c r="J10721" s="7">
        <v>198</v>
      </c>
      <c r="K10721" s="7" t="s">
        <v>18</v>
      </c>
      <c r="L10721" s="8">
        <v>39987.315405092595</v>
      </c>
      <c r="M10721" s="9" t="s">
        <v>19</v>
      </c>
      <c r="N10721" s="9" t="s">
        <v>20</v>
      </c>
      <c r="O10721" s="6" t="str">
        <f>HYPERLINK("https://pbs.twimg.com/profile_images/962471262747529216/Uo8lOkRJ_normal.jpg","View")</f>
        <v>View</v>
      </c>
      <c r="P10721" s="7"/>
    </row>
    <row r="10722" spans="1:16">
      <c r="A10722" s="3">
        <v>44111.716990740737</v>
      </c>
      <c r="B10722" s="4" t="str">
        <f>HYPERLINK("https://twitter.com/petrogustavo","@petrogustavo")</f>
        <v>@petrogustavo</v>
      </c>
      <c r="C10722" s="5" t="s">
        <v>16</v>
      </c>
      <c r="D10722" s="5" t="s">
        <v>10320</v>
      </c>
      <c r="E10722" s="6" t="str">
        <f>HYPERLINK("https://twitter.com/petrogustavo/status/1313806896088875008","1313806896088875008")</f>
        <v>1313806896088875008</v>
      </c>
      <c r="F10722" s="7" t="s">
        <v>17</v>
      </c>
      <c r="G10722" s="7">
        <v>3987406</v>
      </c>
      <c r="H10722" s="7">
        <v>2444</v>
      </c>
      <c r="I10722" s="7">
        <v>85</v>
      </c>
      <c r="J10722" s="7">
        <v>0</v>
      </c>
      <c r="K10722" s="7" t="s">
        <v>18</v>
      </c>
      <c r="L10722" s="8">
        <v>39987.315405092595</v>
      </c>
      <c r="M10722" s="9" t="s">
        <v>19</v>
      </c>
      <c r="N10722" s="9" t="s">
        <v>20</v>
      </c>
      <c r="O10722" s="6" t="str">
        <f>HYPERLINK("https://pbs.twimg.com/profile_images/962471262747529216/Uo8lOkRJ_normal.jpg","View")</f>
        <v>View</v>
      </c>
      <c r="P10722" s="7"/>
    </row>
    <row r="10723" spans="1:16">
      <c r="A10723" s="3">
        <v>44111.719143518523</v>
      </c>
      <c r="B10723" s="4" t="str">
        <f>HYPERLINK("https://twitter.com/petrogustavo","@petrogustavo")</f>
        <v>@petrogustavo</v>
      </c>
      <c r="C10723" s="5" t="s">
        <v>16</v>
      </c>
      <c r="D10723" s="5" t="s">
        <v>10321</v>
      </c>
      <c r="E10723" s="6" t="str">
        <f>HYPERLINK("https://twitter.com/petrogustavo/status/1313807677219364865","1313807677219364865")</f>
        <v>1313807677219364865</v>
      </c>
      <c r="F10723" s="7" t="s">
        <v>17</v>
      </c>
      <c r="G10723" s="7">
        <v>3987406</v>
      </c>
      <c r="H10723" s="7">
        <v>2444</v>
      </c>
      <c r="I10723" s="7">
        <v>58</v>
      </c>
      <c r="J10723" s="7">
        <v>159</v>
      </c>
      <c r="K10723" s="7" t="s">
        <v>18</v>
      </c>
      <c r="L10723" s="8">
        <v>39987.315405092595</v>
      </c>
      <c r="M10723" s="9" t="s">
        <v>19</v>
      </c>
      <c r="N10723" s="9" t="s">
        <v>20</v>
      </c>
      <c r="O10723" s="6" t="str">
        <f>HYPERLINK("https://pbs.twimg.com/profile_images/962471262747529216/Uo8lOkRJ_normal.jpg","View")</f>
        <v>View</v>
      </c>
      <c r="P10723" s="7"/>
    </row>
    <row r="10724" spans="1:16">
      <c r="A10724" s="3">
        <v>44111.723773148144</v>
      </c>
      <c r="B10724" s="4" t="str">
        <f>HYPERLINK("https://twitter.com/petrogustavo","@petrogustavo")</f>
        <v>@petrogustavo</v>
      </c>
      <c r="C10724" s="5" t="s">
        <v>16</v>
      </c>
      <c r="D10724" s="5" t="s">
        <v>10322</v>
      </c>
      <c r="E10724" s="6" t="str">
        <f>HYPERLINK("https://twitter.com/petrogustavo/status/1313809356480221185","1313809356480221185")</f>
        <v>1313809356480221185</v>
      </c>
      <c r="F10724" s="7" t="s">
        <v>17</v>
      </c>
      <c r="G10724" s="7">
        <v>3987406</v>
      </c>
      <c r="H10724" s="7">
        <v>2444</v>
      </c>
      <c r="I10724" s="7">
        <v>47</v>
      </c>
      <c r="J10724" s="7">
        <v>95</v>
      </c>
      <c r="K10724" s="7" t="s">
        <v>18</v>
      </c>
      <c r="L10724" s="8">
        <v>39987.315405092595</v>
      </c>
      <c r="M10724" s="9" t="s">
        <v>19</v>
      </c>
      <c r="N10724" s="9" t="s">
        <v>20</v>
      </c>
      <c r="O10724" s="6" t="str">
        <f>HYPERLINK("https://pbs.twimg.com/profile_images/962471262747529216/Uo8lOkRJ_normal.jpg","View")</f>
        <v>View</v>
      </c>
      <c r="P10724" s="7"/>
    </row>
    <row r="10725" spans="1:16">
      <c r="A10725" s="3">
        <v>44111.731238425928</v>
      </c>
      <c r="B10725" s="4" t="str">
        <f>HYPERLINK("https://twitter.com/petrogustavo","@petrogustavo")</f>
        <v>@petrogustavo</v>
      </c>
      <c r="C10725" s="5" t="s">
        <v>16</v>
      </c>
      <c r="D10725" s="5" t="s">
        <v>10323</v>
      </c>
      <c r="E10725" s="6" t="str">
        <f>HYPERLINK("https://twitter.com/petrogustavo/status/1313812062171279362","1313812062171279362")</f>
        <v>1313812062171279362</v>
      </c>
      <c r="F10725" s="7" t="s">
        <v>17</v>
      </c>
      <c r="G10725" s="7">
        <v>3987425</v>
      </c>
      <c r="H10725" s="7">
        <v>2444</v>
      </c>
      <c r="I10725" s="7">
        <v>136</v>
      </c>
      <c r="J10725" s="7">
        <v>231</v>
      </c>
      <c r="K10725" s="7" t="s">
        <v>18</v>
      </c>
      <c r="L10725" s="8">
        <v>39987.315405092595</v>
      </c>
      <c r="M10725" s="9" t="s">
        <v>19</v>
      </c>
      <c r="N10725" s="9" t="s">
        <v>20</v>
      </c>
      <c r="O10725" s="6" t="str">
        <f>HYPERLINK("https://pbs.twimg.com/profile_images/962471262747529216/Uo8lOkRJ_normal.jpg","View")</f>
        <v>View</v>
      </c>
      <c r="P10725" s="7"/>
    </row>
    <row r="10726" spans="1:16">
      <c r="A10726" s="3">
        <v>44111.741539351853</v>
      </c>
      <c r="B10726" s="4" t="str">
        <f>HYPERLINK("https://twitter.com/petrogustavo","@petrogustavo")</f>
        <v>@petrogustavo</v>
      </c>
      <c r="C10726" s="5" t="s">
        <v>16</v>
      </c>
      <c r="D10726" s="5" t="s">
        <v>10324</v>
      </c>
      <c r="E10726" s="6" t="str">
        <f>HYPERLINK("https://twitter.com/petrogustavo/status/1313815792362938368","1313815792362938368")</f>
        <v>1313815792362938368</v>
      </c>
      <c r="F10726" s="7" t="s">
        <v>17</v>
      </c>
      <c r="G10726" s="7">
        <v>3987425</v>
      </c>
      <c r="H10726" s="7">
        <v>2444</v>
      </c>
      <c r="I10726" s="7">
        <v>97</v>
      </c>
      <c r="J10726" s="7">
        <v>190</v>
      </c>
      <c r="K10726" s="7" t="s">
        <v>18</v>
      </c>
      <c r="L10726" s="8">
        <v>39987.315405092595</v>
      </c>
      <c r="M10726" s="9" t="s">
        <v>19</v>
      </c>
      <c r="N10726" s="9" t="s">
        <v>20</v>
      </c>
      <c r="O10726" s="6" t="str">
        <f>HYPERLINK("https://pbs.twimg.com/profile_images/962471262747529216/Uo8lOkRJ_normal.jpg","View")</f>
        <v>View</v>
      </c>
      <c r="P10726" s="7"/>
    </row>
    <row r="10727" spans="1:16">
      <c r="A10727" s="3">
        <v>44111.743379629625</v>
      </c>
      <c r="B10727" s="4" t="str">
        <f>HYPERLINK("https://twitter.com/petrogustavo","@petrogustavo")</f>
        <v>@petrogustavo</v>
      </c>
      <c r="C10727" s="5" t="s">
        <v>16</v>
      </c>
      <c r="D10727" s="5" t="s">
        <v>10325</v>
      </c>
      <c r="E10727" s="6" t="str">
        <f>HYPERLINK("https://twitter.com/petrogustavo/status/1313816462864379910","1313816462864379910")</f>
        <v>1313816462864379910</v>
      </c>
      <c r="F10727" s="7" t="s">
        <v>17</v>
      </c>
      <c r="G10727" s="7">
        <v>3987425</v>
      </c>
      <c r="H10727" s="7">
        <v>2444</v>
      </c>
      <c r="I10727" s="7">
        <v>51</v>
      </c>
      <c r="J10727" s="7">
        <v>140</v>
      </c>
      <c r="K10727" s="7" t="s">
        <v>18</v>
      </c>
      <c r="L10727" s="8">
        <v>39987.315405092595</v>
      </c>
      <c r="M10727" s="9" t="s">
        <v>19</v>
      </c>
      <c r="N10727" s="9" t="s">
        <v>20</v>
      </c>
      <c r="O10727" s="6" t="str">
        <f>HYPERLINK("https://pbs.twimg.com/profile_images/962471262747529216/Uo8lOkRJ_normal.jpg","View")</f>
        <v>View</v>
      </c>
      <c r="P10727" s="7"/>
    </row>
    <row r="10728" spans="1:16">
      <c r="A10728" s="3">
        <v>44111.751250000001</v>
      </c>
      <c r="B10728" s="4" t="str">
        <f>HYPERLINK("https://twitter.com/petrogustavo","@petrogustavo")</f>
        <v>@petrogustavo</v>
      </c>
      <c r="C10728" s="5" t="s">
        <v>16</v>
      </c>
      <c r="D10728" s="5" t="s">
        <v>10326</v>
      </c>
      <c r="E10728" s="6" t="str">
        <f>HYPERLINK("https://twitter.com/petrogustavo/status/1313819313841860610","1313819313841860610")</f>
        <v>1313819313841860610</v>
      </c>
      <c r="F10728" s="7" t="s">
        <v>17</v>
      </c>
      <c r="G10728" s="7">
        <v>3987425</v>
      </c>
      <c r="H10728" s="7">
        <v>2444</v>
      </c>
      <c r="I10728" s="7">
        <v>7</v>
      </c>
      <c r="J10728" s="7">
        <v>11</v>
      </c>
      <c r="K10728" s="7" t="s">
        <v>18</v>
      </c>
      <c r="L10728" s="8">
        <v>39987.315405092595</v>
      </c>
      <c r="M10728" s="9" t="s">
        <v>19</v>
      </c>
      <c r="N10728" s="9" t="s">
        <v>20</v>
      </c>
      <c r="O10728" s="6" t="str">
        <f>HYPERLINK("https://pbs.twimg.com/profile_images/962471262747529216/Uo8lOkRJ_normal.jpg","View")</f>
        <v>View</v>
      </c>
      <c r="P10728" s="7"/>
    </row>
    <row r="10729" spans="1:16">
      <c r="A10729" s="3">
        <v>44111.77516203704</v>
      </c>
      <c r="B10729" s="4" t="str">
        <f>HYPERLINK("https://twitter.com/petrogustavo","@petrogustavo")</f>
        <v>@petrogustavo</v>
      </c>
      <c r="C10729" s="5" t="s">
        <v>16</v>
      </c>
      <c r="D10729" s="5" t="s">
        <v>10327</v>
      </c>
      <c r="E10729" s="6" t="str">
        <f>HYPERLINK("https://twitter.com/petrogustavo/status/1313827978363666433","1313827978363666433")</f>
        <v>1313827978363666433</v>
      </c>
      <c r="F10729" s="7" t="s">
        <v>17</v>
      </c>
      <c r="G10729" s="7">
        <v>3987467</v>
      </c>
      <c r="H10729" s="7">
        <v>2444</v>
      </c>
      <c r="I10729" s="7">
        <v>66</v>
      </c>
      <c r="J10729" s="7">
        <v>427</v>
      </c>
      <c r="K10729" s="7" t="s">
        <v>18</v>
      </c>
      <c r="L10729" s="8">
        <v>39987.315405092595</v>
      </c>
      <c r="M10729" s="9" t="s">
        <v>19</v>
      </c>
      <c r="N10729" s="9" t="s">
        <v>20</v>
      </c>
      <c r="O10729" s="6" t="str">
        <f>HYPERLINK("https://pbs.twimg.com/profile_images/962471262747529216/Uo8lOkRJ_normal.jpg","View")</f>
        <v>View</v>
      </c>
      <c r="P10729" s="7"/>
    </row>
    <row r="10730" spans="1:16">
      <c r="A10730" s="3">
        <v>44111.779513888891</v>
      </c>
      <c r="B10730" s="4" t="str">
        <f>HYPERLINK("https://twitter.com/petrogustavo","@petrogustavo")</f>
        <v>@petrogustavo</v>
      </c>
      <c r="C10730" s="5" t="s">
        <v>16</v>
      </c>
      <c r="D10730" s="5" t="s">
        <v>10328</v>
      </c>
      <c r="E10730" s="6" t="str">
        <f>HYPERLINK("https://twitter.com/petrogustavo/status/1313829555245854721","1313829555245854721")</f>
        <v>1313829555245854721</v>
      </c>
      <c r="F10730" s="7" t="s">
        <v>17</v>
      </c>
      <c r="G10730" s="7">
        <v>3987467</v>
      </c>
      <c r="H10730" s="7">
        <v>2444</v>
      </c>
      <c r="I10730" s="7">
        <v>47</v>
      </c>
      <c r="J10730" s="7">
        <v>128</v>
      </c>
      <c r="K10730" s="7" t="s">
        <v>18</v>
      </c>
      <c r="L10730" s="8">
        <v>39987.315405092595</v>
      </c>
      <c r="M10730" s="9" t="s">
        <v>19</v>
      </c>
      <c r="N10730" s="9" t="s">
        <v>20</v>
      </c>
      <c r="O10730" s="6" t="str">
        <f>HYPERLINK("https://pbs.twimg.com/profile_images/962471262747529216/Uo8lOkRJ_normal.jpg","View")</f>
        <v>View</v>
      </c>
      <c r="P10730" s="7"/>
    </row>
    <row r="10731" spans="1:16">
      <c r="A10731" s="3">
        <v>44111.783912037034</v>
      </c>
      <c r="B10731" s="4" t="str">
        <f>HYPERLINK("https://twitter.com/petrogustavo","@petrogustavo")</f>
        <v>@petrogustavo</v>
      </c>
      <c r="C10731" s="5" t="s">
        <v>16</v>
      </c>
      <c r="D10731" s="5" t="s">
        <v>10329</v>
      </c>
      <c r="E10731" s="6" t="str">
        <f>HYPERLINK("https://twitter.com/petrogustavo/status/1313831150473928704","1313831150473928704")</f>
        <v>1313831150473928704</v>
      </c>
      <c r="F10731" s="7" t="s">
        <v>17</v>
      </c>
      <c r="G10731" s="7">
        <v>3987467</v>
      </c>
      <c r="H10731" s="7">
        <v>2444</v>
      </c>
      <c r="I10731" s="7">
        <v>63</v>
      </c>
      <c r="J10731" s="7">
        <v>156</v>
      </c>
      <c r="K10731" s="7" t="s">
        <v>18</v>
      </c>
      <c r="L10731" s="8">
        <v>39987.315405092595</v>
      </c>
      <c r="M10731" s="9" t="s">
        <v>19</v>
      </c>
      <c r="N10731" s="9" t="s">
        <v>20</v>
      </c>
      <c r="O10731" s="6" t="str">
        <f>HYPERLINK("https://pbs.twimg.com/profile_images/962471262747529216/Uo8lOkRJ_normal.jpg","View")</f>
        <v>View</v>
      </c>
      <c r="P10731" s="7"/>
    </row>
    <row r="10732" spans="1:16">
      <c r="A10732" s="3">
        <v>44111.78706018519</v>
      </c>
      <c r="B10732" s="4" t="str">
        <f>HYPERLINK("https://twitter.com/petrogustavo","@petrogustavo")</f>
        <v>@petrogustavo</v>
      </c>
      <c r="C10732" s="5" t="s">
        <v>16</v>
      </c>
      <c r="D10732" s="5" t="s">
        <v>10330</v>
      </c>
      <c r="E10732" s="6" t="str">
        <f>HYPERLINK("https://twitter.com/petrogustavo/status/1313832289881784320","1313832289881784320")</f>
        <v>1313832289881784320</v>
      </c>
      <c r="F10732" s="7" t="s">
        <v>17</v>
      </c>
      <c r="G10732" s="7">
        <v>3987467</v>
      </c>
      <c r="H10732" s="7">
        <v>2444</v>
      </c>
      <c r="I10732" s="7">
        <v>465</v>
      </c>
      <c r="J10732" s="7">
        <v>0</v>
      </c>
      <c r="K10732" s="7" t="s">
        <v>18</v>
      </c>
      <c r="L10732" s="8">
        <v>39987.315405092595</v>
      </c>
      <c r="M10732" s="9" t="s">
        <v>19</v>
      </c>
      <c r="N10732" s="9" t="s">
        <v>20</v>
      </c>
      <c r="O10732" s="6" t="str">
        <f>HYPERLINK("https://pbs.twimg.com/profile_images/962471262747529216/Uo8lOkRJ_normal.jpg","View")</f>
        <v>View</v>
      </c>
      <c r="P10732" s="7"/>
    </row>
    <row r="10733" spans="1:16">
      <c r="A10733" s="3">
        <v>44111.802708333329</v>
      </c>
      <c r="B10733" s="4" t="str">
        <f>HYPERLINK("https://twitter.com/petrogustavo","@petrogustavo")</f>
        <v>@petrogustavo</v>
      </c>
      <c r="C10733" s="5" t="s">
        <v>16</v>
      </c>
      <c r="D10733" s="5" t="s">
        <v>10331</v>
      </c>
      <c r="E10733" s="6" t="str">
        <f>HYPERLINK("https://twitter.com/petrogustavo/status/1313837961943773185","1313837961943773185")</f>
        <v>1313837961943773185</v>
      </c>
      <c r="F10733" s="7" t="s">
        <v>17</v>
      </c>
      <c r="G10733" s="7">
        <v>3987483</v>
      </c>
      <c r="H10733" s="7">
        <v>2444</v>
      </c>
      <c r="I10733" s="7">
        <v>142</v>
      </c>
      <c r="J10733" s="7">
        <v>294</v>
      </c>
      <c r="K10733" s="7" t="s">
        <v>18</v>
      </c>
      <c r="L10733" s="8">
        <v>39987.315405092595</v>
      </c>
      <c r="M10733" s="9" t="s">
        <v>19</v>
      </c>
      <c r="N10733" s="9" t="s">
        <v>20</v>
      </c>
      <c r="O10733" s="6" t="str">
        <f>HYPERLINK("https://pbs.twimg.com/profile_images/962471262747529216/Uo8lOkRJ_normal.jpg","View")</f>
        <v>View</v>
      </c>
      <c r="P10733" s="7"/>
    </row>
    <row r="10734" spans="1:16">
      <c r="A10734" s="3">
        <v>44111.810069444444</v>
      </c>
      <c r="B10734" s="4" t="str">
        <f>HYPERLINK("https://twitter.com/petrogustavo","@petrogustavo")</f>
        <v>@petrogustavo</v>
      </c>
      <c r="C10734" s="5" t="s">
        <v>16</v>
      </c>
      <c r="D10734" s="5" t="s">
        <v>10332</v>
      </c>
      <c r="E10734" s="6" t="str">
        <f>HYPERLINK("https://twitter.com/petrogustavo/status/1313840630087454720","1313840630087454720")</f>
        <v>1313840630087454720</v>
      </c>
      <c r="F10734" s="7" t="s">
        <v>17</v>
      </c>
      <c r="G10734" s="7">
        <v>3987483</v>
      </c>
      <c r="H10734" s="7">
        <v>2444</v>
      </c>
      <c r="I10734" s="7">
        <v>34</v>
      </c>
      <c r="J10734" s="7">
        <v>63</v>
      </c>
      <c r="K10734" s="7" t="s">
        <v>18</v>
      </c>
      <c r="L10734" s="8">
        <v>39987.315405092595</v>
      </c>
      <c r="M10734" s="9" t="s">
        <v>19</v>
      </c>
      <c r="N10734" s="9" t="s">
        <v>20</v>
      </c>
      <c r="O10734" s="6" t="str">
        <f>HYPERLINK("https://pbs.twimg.com/profile_images/962471262747529216/Uo8lOkRJ_normal.jpg","View")</f>
        <v>View</v>
      </c>
      <c r="P10734" s="7"/>
    </row>
    <row r="10735" spans="1:16">
      <c r="A10735" s="3">
        <v>44111.852083333331</v>
      </c>
      <c r="B10735" s="4" t="str">
        <f>HYPERLINK("https://twitter.com/petrogustavo","@petrogustavo")</f>
        <v>@petrogustavo</v>
      </c>
      <c r="C10735" s="5" t="s">
        <v>16</v>
      </c>
      <c r="D10735" s="5" t="s">
        <v>10333</v>
      </c>
      <c r="E10735" s="6" t="str">
        <f>HYPERLINK("https://twitter.com/petrogustavo/status/1313855854672781313","1313855854672781313")</f>
        <v>1313855854672781313</v>
      </c>
      <c r="F10735" s="7" t="s">
        <v>17</v>
      </c>
      <c r="G10735" s="7">
        <v>3987495</v>
      </c>
      <c r="H10735" s="7">
        <v>2444</v>
      </c>
      <c r="I10735" s="7">
        <v>560</v>
      </c>
      <c r="J10735" s="7">
        <v>0</v>
      </c>
      <c r="K10735" s="7" t="s">
        <v>18</v>
      </c>
      <c r="L10735" s="8">
        <v>39987.315405092595</v>
      </c>
      <c r="M10735" s="9" t="s">
        <v>19</v>
      </c>
      <c r="N10735" s="9" t="s">
        <v>20</v>
      </c>
      <c r="O10735" s="6" t="str">
        <f>HYPERLINK("https://pbs.twimg.com/profile_images/962471262747529216/Uo8lOkRJ_normal.jpg","View")</f>
        <v>View</v>
      </c>
      <c r="P10735" s="7"/>
    </row>
    <row r="10736" spans="1:16">
      <c r="A10736" s="3">
        <v>44111.852372685185</v>
      </c>
      <c r="B10736" s="4" t="str">
        <f>HYPERLINK("https://twitter.com/petrogustavo","@petrogustavo")</f>
        <v>@petrogustavo</v>
      </c>
      <c r="C10736" s="5" t="s">
        <v>16</v>
      </c>
      <c r="D10736" s="5" t="s">
        <v>10334</v>
      </c>
      <c r="E10736" s="6" t="str">
        <f>HYPERLINK("https://twitter.com/petrogustavo/status/1313855959463329792","1313855959463329792")</f>
        <v>1313855959463329792</v>
      </c>
      <c r="F10736" s="7" t="s">
        <v>17</v>
      </c>
      <c r="G10736" s="7">
        <v>3987495</v>
      </c>
      <c r="H10736" s="7">
        <v>2444</v>
      </c>
      <c r="I10736" s="7">
        <v>85</v>
      </c>
      <c r="J10736" s="7">
        <v>0</v>
      </c>
      <c r="K10736" s="7" t="s">
        <v>18</v>
      </c>
      <c r="L10736" s="8">
        <v>39987.315405092595</v>
      </c>
      <c r="M10736" s="9" t="s">
        <v>19</v>
      </c>
      <c r="N10736" s="9" t="s">
        <v>20</v>
      </c>
      <c r="O10736" s="6" t="str">
        <f>HYPERLINK("https://pbs.twimg.com/profile_images/962471262747529216/Uo8lOkRJ_normal.jpg","View")</f>
        <v>View</v>
      </c>
      <c r="P10736" s="7"/>
    </row>
    <row r="10737" spans="1:16">
      <c r="A10737" s="3">
        <v>44111.854537037041</v>
      </c>
      <c r="B10737" s="4" t="str">
        <f>HYPERLINK("https://twitter.com/petrogustavo","@petrogustavo")</f>
        <v>@petrogustavo</v>
      </c>
      <c r="C10737" s="5" t="s">
        <v>16</v>
      </c>
      <c r="D10737" s="5" t="s">
        <v>10335</v>
      </c>
      <c r="E10737" s="6" t="str">
        <f>HYPERLINK("https://twitter.com/petrogustavo/status/1313856743567429633","1313856743567429633")</f>
        <v>1313856743567429633</v>
      </c>
      <c r="F10737" s="7" t="s">
        <v>17</v>
      </c>
      <c r="G10737" s="7">
        <v>3987495</v>
      </c>
      <c r="H10737" s="7">
        <v>2444</v>
      </c>
      <c r="I10737" s="7">
        <v>13</v>
      </c>
      <c r="J10737" s="7">
        <v>35</v>
      </c>
      <c r="K10737" s="7" t="s">
        <v>18</v>
      </c>
      <c r="L10737" s="8">
        <v>39987.315405092595</v>
      </c>
      <c r="M10737" s="9" t="s">
        <v>19</v>
      </c>
      <c r="N10737" s="9" t="s">
        <v>20</v>
      </c>
      <c r="O10737" s="6" t="str">
        <f>HYPERLINK("https://pbs.twimg.com/profile_images/962471262747529216/Uo8lOkRJ_normal.jpg","View")</f>
        <v>View</v>
      </c>
      <c r="P10737" s="7"/>
    </row>
    <row r="10738" spans="1:16">
      <c r="A10738" s="3">
        <v>44111.856342592597</v>
      </c>
      <c r="B10738" s="4" t="str">
        <f>HYPERLINK("https://twitter.com/petrogustavo","@petrogustavo")</f>
        <v>@petrogustavo</v>
      </c>
      <c r="C10738" s="5" t="s">
        <v>16</v>
      </c>
      <c r="D10738" s="5" t="s">
        <v>10336</v>
      </c>
      <c r="E10738" s="6" t="str">
        <f>HYPERLINK("https://twitter.com/petrogustavo/status/1313857398000553984","1313857398000553984")</f>
        <v>1313857398000553984</v>
      </c>
      <c r="F10738" s="7" t="s">
        <v>17</v>
      </c>
      <c r="G10738" s="7">
        <v>3987512</v>
      </c>
      <c r="H10738" s="7">
        <v>2444</v>
      </c>
      <c r="I10738" s="7">
        <v>65</v>
      </c>
      <c r="J10738" s="7">
        <v>176</v>
      </c>
      <c r="K10738" s="7" t="s">
        <v>18</v>
      </c>
      <c r="L10738" s="8">
        <v>39987.315405092595</v>
      </c>
      <c r="M10738" s="9" t="s">
        <v>19</v>
      </c>
      <c r="N10738" s="9" t="s">
        <v>20</v>
      </c>
      <c r="O10738" s="6" t="str">
        <f>HYPERLINK("https://pbs.twimg.com/profile_images/962471262747529216/Uo8lOkRJ_normal.jpg","View")</f>
        <v>View</v>
      </c>
      <c r="P10738" s="7"/>
    </row>
    <row r="10739" spans="1:16">
      <c r="A10739" s="3">
        <v>44111.856562500005</v>
      </c>
      <c r="B10739" s="4" t="str">
        <f>HYPERLINK("https://twitter.com/petrogustavo","@petrogustavo")</f>
        <v>@petrogustavo</v>
      </c>
      <c r="C10739" s="5" t="s">
        <v>16</v>
      </c>
      <c r="D10739" s="5" t="s">
        <v>10337</v>
      </c>
      <c r="E10739" s="6" t="str">
        <f>HYPERLINK("https://twitter.com/petrogustavo/status/1313857476752814081","1313857476752814081")</f>
        <v>1313857476752814081</v>
      </c>
      <c r="F10739" s="7" t="s">
        <v>17</v>
      </c>
      <c r="G10739" s="7">
        <v>3987512</v>
      </c>
      <c r="H10739" s="7">
        <v>2444</v>
      </c>
      <c r="I10739" s="7">
        <v>447</v>
      </c>
      <c r="J10739" s="7">
        <v>0</v>
      </c>
      <c r="K10739" s="7" t="s">
        <v>18</v>
      </c>
      <c r="L10739" s="8">
        <v>39987.315405092595</v>
      </c>
      <c r="M10739" s="9" t="s">
        <v>19</v>
      </c>
      <c r="N10739" s="9" t="s">
        <v>20</v>
      </c>
      <c r="O10739" s="6" t="str">
        <f>HYPERLINK("https://pbs.twimg.com/profile_images/962471262747529216/Uo8lOkRJ_normal.jpg","View")</f>
        <v>View</v>
      </c>
      <c r="P10739" s="7"/>
    </row>
    <row r="10740" spans="1:16">
      <c r="A10740" s="3">
        <v>44111.85837962963</v>
      </c>
      <c r="B10740" s="4" t="str">
        <f>HYPERLINK("https://twitter.com/petrogustavo","@petrogustavo")</f>
        <v>@petrogustavo</v>
      </c>
      <c r="C10740" s="5" t="s">
        <v>16</v>
      </c>
      <c r="D10740" s="5" t="s">
        <v>10330</v>
      </c>
      <c r="E10740" s="6" t="str">
        <f>HYPERLINK("https://twitter.com/petrogustavo/status/1313858134339923968","1313858134339923968")</f>
        <v>1313858134339923968</v>
      </c>
      <c r="F10740" s="7" t="s">
        <v>17</v>
      </c>
      <c r="G10740" s="7">
        <v>3987512</v>
      </c>
      <c r="H10740" s="7">
        <v>2444</v>
      </c>
      <c r="I10740" s="7">
        <v>535</v>
      </c>
      <c r="J10740" s="7">
        <v>0</v>
      </c>
      <c r="K10740" s="7" t="s">
        <v>18</v>
      </c>
      <c r="L10740" s="8">
        <v>39987.315405092595</v>
      </c>
      <c r="M10740" s="9" t="s">
        <v>19</v>
      </c>
      <c r="N10740" s="9" t="s">
        <v>20</v>
      </c>
      <c r="O10740" s="6" t="str">
        <f>HYPERLINK("https://pbs.twimg.com/profile_images/962471262747529216/Uo8lOkRJ_normal.jpg","View")</f>
        <v>View</v>
      </c>
      <c r="P10740" s="7"/>
    </row>
    <row r="10741" spans="1:16">
      <c r="A10741" s="3">
        <v>44111.956261574072</v>
      </c>
      <c r="B10741" s="4" t="str">
        <f>HYPERLINK("https://twitter.com/petrogustavo","@petrogustavo")</f>
        <v>@petrogustavo</v>
      </c>
      <c r="C10741" s="5" t="s">
        <v>16</v>
      </c>
      <c r="D10741" s="5" t="s">
        <v>10338</v>
      </c>
      <c r="E10741" s="6" t="str">
        <f>HYPERLINK("https://twitter.com/petrogustavo/status/1313893605568806914","1313893605568806914")</f>
        <v>1313893605568806914</v>
      </c>
      <c r="F10741" s="7" t="s">
        <v>32</v>
      </c>
      <c r="G10741" s="7">
        <v>3987564</v>
      </c>
      <c r="H10741" s="7">
        <v>2444</v>
      </c>
      <c r="I10741" s="7">
        <v>47</v>
      </c>
      <c r="J10741" s="7">
        <v>150</v>
      </c>
      <c r="K10741" s="7" t="s">
        <v>18</v>
      </c>
      <c r="L10741" s="8">
        <v>39987.315405092595</v>
      </c>
      <c r="M10741" s="9" t="s">
        <v>19</v>
      </c>
      <c r="N10741" s="9" t="s">
        <v>20</v>
      </c>
      <c r="O10741" s="6" t="str">
        <f>HYPERLINK("https://pbs.twimg.com/profile_images/962471262747529216/Uo8lOkRJ_normal.jpg","View")</f>
        <v>View</v>
      </c>
      <c r="P10741" s="7"/>
    </row>
    <row r="10742" spans="1:16">
      <c r="A10742" s="3">
        <v>44112.018796296295</v>
      </c>
      <c r="B10742" s="4" t="str">
        <f>HYPERLINK("https://twitter.com/petrogustavo","@petrogustavo")</f>
        <v>@petrogustavo</v>
      </c>
      <c r="C10742" s="5" t="s">
        <v>16</v>
      </c>
      <c r="D10742" s="5" t="s">
        <v>10339</v>
      </c>
      <c r="E10742" s="6" t="str">
        <f>HYPERLINK("https://twitter.com/petrogustavo/status/1313916270681772033","1313916270681772033")</f>
        <v>1313916270681772033</v>
      </c>
      <c r="F10742" s="7" t="s">
        <v>32</v>
      </c>
      <c r="G10742" s="7">
        <v>3987588</v>
      </c>
      <c r="H10742" s="7">
        <v>2444</v>
      </c>
      <c r="I10742" s="7">
        <v>56</v>
      </c>
      <c r="J10742" s="7">
        <v>0</v>
      </c>
      <c r="K10742" s="7" t="s">
        <v>18</v>
      </c>
      <c r="L10742" s="8">
        <v>39987.315405092595</v>
      </c>
      <c r="M10742" s="9" t="s">
        <v>19</v>
      </c>
      <c r="N10742" s="9" t="s">
        <v>20</v>
      </c>
      <c r="O10742" s="6" t="str">
        <f>HYPERLINK("https://pbs.twimg.com/profile_images/962471262747529216/Uo8lOkRJ_normal.jpg","View")</f>
        <v>View</v>
      </c>
      <c r="P10742" s="7"/>
    </row>
    <row r="10743" spans="1:16">
      <c r="A10743" s="3">
        <v>44112.021018518513</v>
      </c>
      <c r="B10743" s="4" t="str">
        <f>HYPERLINK("https://twitter.com/petrogustavo","@petrogustavo")</f>
        <v>@petrogustavo</v>
      </c>
      <c r="C10743" s="5" t="s">
        <v>16</v>
      </c>
      <c r="D10743" s="5" t="s">
        <v>10340</v>
      </c>
      <c r="E10743" s="6" t="str">
        <f>HYPERLINK("https://twitter.com/petrogustavo/status/1313917073077293058","1313917073077293058")</f>
        <v>1313917073077293058</v>
      </c>
      <c r="F10743" s="7" t="s">
        <v>32</v>
      </c>
      <c r="G10743" s="7">
        <v>3987588</v>
      </c>
      <c r="H10743" s="7">
        <v>2444</v>
      </c>
      <c r="I10743" s="7">
        <v>12</v>
      </c>
      <c r="J10743" s="7">
        <v>29</v>
      </c>
      <c r="K10743" s="7" t="s">
        <v>18</v>
      </c>
      <c r="L10743" s="8">
        <v>39987.315405092595</v>
      </c>
      <c r="M10743" s="9" t="s">
        <v>19</v>
      </c>
      <c r="N10743" s="9" t="s">
        <v>20</v>
      </c>
      <c r="O10743" s="6" t="str">
        <f>HYPERLINK("https://pbs.twimg.com/profile_images/962471262747529216/Uo8lOkRJ_normal.jpg","View")</f>
        <v>View</v>
      </c>
      <c r="P10743" s="7"/>
    </row>
    <row r="10744" spans="1:16">
      <c r="A10744" s="3">
        <v>44112.033634259264</v>
      </c>
      <c r="B10744" s="4" t="str">
        <f>HYPERLINK("https://twitter.com/petrogustavo","@petrogustavo")</f>
        <v>@petrogustavo</v>
      </c>
      <c r="C10744" s="5" t="s">
        <v>16</v>
      </c>
      <c r="D10744" s="5" t="s">
        <v>10341</v>
      </c>
      <c r="E10744" s="6" t="str">
        <f>HYPERLINK("https://twitter.com/petrogustavo/status/1313921643757043716","1313921643757043716")</f>
        <v>1313921643757043716</v>
      </c>
      <c r="F10744" s="7" t="s">
        <v>32</v>
      </c>
      <c r="G10744" s="7">
        <v>3987604</v>
      </c>
      <c r="H10744" s="7">
        <v>2444</v>
      </c>
      <c r="I10744" s="7">
        <v>84</v>
      </c>
      <c r="J10744" s="7">
        <v>0</v>
      </c>
      <c r="K10744" s="7" t="s">
        <v>18</v>
      </c>
      <c r="L10744" s="8">
        <v>39987.315405092595</v>
      </c>
      <c r="M10744" s="9" t="s">
        <v>19</v>
      </c>
      <c r="N10744" s="9" t="s">
        <v>20</v>
      </c>
      <c r="O10744" s="6" t="str">
        <f>HYPERLINK("https://pbs.twimg.com/profile_images/962471262747529216/Uo8lOkRJ_normal.jpg","View")</f>
        <v>View</v>
      </c>
      <c r="P10744" s="7"/>
    </row>
    <row r="10745" spans="1:16">
      <c r="A10745" s="3">
        <v>44112.039895833332</v>
      </c>
      <c r="B10745" s="4" t="str">
        <f>HYPERLINK("https://twitter.com/petrogustavo","@petrogustavo")</f>
        <v>@petrogustavo</v>
      </c>
      <c r="C10745" s="5" t="s">
        <v>16</v>
      </c>
      <c r="D10745" s="5" t="s">
        <v>10342</v>
      </c>
      <c r="E10745" s="6" t="str">
        <f>HYPERLINK("https://twitter.com/petrogustavo/status/1313923914167398400","1313923914167398400")</f>
        <v>1313923914167398400</v>
      </c>
      <c r="F10745" s="7" t="s">
        <v>32</v>
      </c>
      <c r="G10745" s="7">
        <v>3987604</v>
      </c>
      <c r="H10745" s="7">
        <v>2444</v>
      </c>
      <c r="I10745" s="7">
        <v>54</v>
      </c>
      <c r="J10745" s="7">
        <v>173</v>
      </c>
      <c r="K10745" s="7" t="s">
        <v>18</v>
      </c>
      <c r="L10745" s="8">
        <v>39987.315405092595</v>
      </c>
      <c r="M10745" s="9" t="s">
        <v>19</v>
      </c>
      <c r="N10745" s="9" t="s">
        <v>20</v>
      </c>
      <c r="O10745" s="6" t="str">
        <f>HYPERLINK("https://pbs.twimg.com/profile_images/962471262747529216/Uo8lOkRJ_normal.jpg","View")</f>
        <v>View</v>
      </c>
      <c r="P10745" s="7"/>
    </row>
    <row r="10746" spans="1:16">
      <c r="A10746" s="3">
        <v>44112.043599537035</v>
      </c>
      <c r="B10746" s="4" t="str">
        <f>HYPERLINK("https://twitter.com/petrogustavo","@petrogustavo")</f>
        <v>@petrogustavo</v>
      </c>
      <c r="C10746" s="5" t="s">
        <v>16</v>
      </c>
      <c r="D10746" s="5" t="s">
        <v>10343</v>
      </c>
      <c r="E10746" s="6" t="str">
        <f>HYPERLINK("https://twitter.com/petrogustavo/status/1313925258164998144","1313925258164998144")</f>
        <v>1313925258164998144</v>
      </c>
      <c r="F10746" s="7" t="s">
        <v>32</v>
      </c>
      <c r="G10746" s="7">
        <v>3987604</v>
      </c>
      <c r="H10746" s="7">
        <v>2444</v>
      </c>
      <c r="I10746" s="7">
        <v>1</v>
      </c>
      <c r="J10746" s="7">
        <v>7</v>
      </c>
      <c r="K10746" s="7" t="s">
        <v>18</v>
      </c>
      <c r="L10746" s="8">
        <v>39987.315405092595</v>
      </c>
      <c r="M10746" s="9" t="s">
        <v>19</v>
      </c>
      <c r="N10746" s="9" t="s">
        <v>20</v>
      </c>
      <c r="O10746" s="6" t="str">
        <f>HYPERLINK("https://pbs.twimg.com/profile_images/962471262747529216/Uo8lOkRJ_normal.jpg","View")</f>
        <v>View</v>
      </c>
      <c r="P10746" s="7"/>
    </row>
    <row r="10747" spans="1:16">
      <c r="A10747" s="3">
        <v>44112.076273148152</v>
      </c>
      <c r="B10747" s="4" t="str">
        <f>HYPERLINK("https://twitter.com/petrogustavo","@petrogustavo")</f>
        <v>@petrogustavo</v>
      </c>
      <c r="C10747" s="5" t="s">
        <v>16</v>
      </c>
      <c r="D10747" s="5" t="s">
        <v>10344</v>
      </c>
      <c r="E10747" s="6" t="str">
        <f>HYPERLINK("https://twitter.com/petrogustavo/status/1313937097385013248","1313937097385013248")</f>
        <v>1313937097385013248</v>
      </c>
      <c r="F10747" s="7" t="s">
        <v>32</v>
      </c>
      <c r="G10747" s="7">
        <v>3987642</v>
      </c>
      <c r="H10747" s="7">
        <v>2444</v>
      </c>
      <c r="I10747" s="7">
        <v>289</v>
      </c>
      <c r="J10747" s="7">
        <v>0</v>
      </c>
      <c r="K10747" s="7" t="s">
        <v>18</v>
      </c>
      <c r="L10747" s="8">
        <v>39987.315405092595</v>
      </c>
      <c r="M10747" s="9" t="s">
        <v>19</v>
      </c>
      <c r="N10747" s="9" t="s">
        <v>20</v>
      </c>
      <c r="O10747" s="6" t="str">
        <f>HYPERLINK("https://pbs.twimg.com/profile_images/962471262747529216/Uo8lOkRJ_normal.jpg","View")</f>
        <v>View</v>
      </c>
      <c r="P10747" s="7"/>
    </row>
    <row r="10748" spans="1:16">
      <c r="A10748" s="3">
        <v>44112.076921296291</v>
      </c>
      <c r="B10748" s="4" t="str">
        <f>HYPERLINK("https://twitter.com/petrogustavo","@petrogustavo")</f>
        <v>@petrogustavo</v>
      </c>
      <c r="C10748" s="5" t="s">
        <v>16</v>
      </c>
      <c r="D10748" s="5" t="s">
        <v>10345</v>
      </c>
      <c r="E10748" s="6" t="str">
        <f>HYPERLINK("https://twitter.com/petrogustavo/status/1313937333872472069","1313937333872472069")</f>
        <v>1313937333872472069</v>
      </c>
      <c r="F10748" s="7" t="s">
        <v>32</v>
      </c>
      <c r="G10748" s="7">
        <v>3987642</v>
      </c>
      <c r="H10748" s="7">
        <v>2444</v>
      </c>
      <c r="I10748" s="7">
        <v>178</v>
      </c>
      <c r="J10748" s="7">
        <v>0</v>
      </c>
      <c r="K10748" s="7" t="s">
        <v>18</v>
      </c>
      <c r="L10748" s="8">
        <v>39987.315405092595</v>
      </c>
      <c r="M10748" s="9" t="s">
        <v>19</v>
      </c>
      <c r="N10748" s="9" t="s">
        <v>20</v>
      </c>
      <c r="O10748" s="6" t="str">
        <f>HYPERLINK("https://pbs.twimg.com/profile_images/962471262747529216/Uo8lOkRJ_normal.jpg","View")</f>
        <v>View</v>
      </c>
      <c r="P10748" s="7"/>
    </row>
    <row r="10749" spans="1:16">
      <c r="A10749" s="3">
        <v>44112.088692129633</v>
      </c>
      <c r="B10749" s="4" t="str">
        <f>HYPERLINK("https://twitter.com/petrogustavo","@petrogustavo")</f>
        <v>@petrogustavo</v>
      </c>
      <c r="C10749" s="5" t="s">
        <v>16</v>
      </c>
      <c r="D10749" s="5" t="s">
        <v>10346</v>
      </c>
      <c r="E10749" s="6" t="str">
        <f>HYPERLINK("https://twitter.com/petrogustavo/status/1313941598292639744","1313941598292639744")</f>
        <v>1313941598292639744</v>
      </c>
      <c r="F10749" s="7" t="s">
        <v>32</v>
      </c>
      <c r="G10749" s="7">
        <v>3987651</v>
      </c>
      <c r="H10749" s="7">
        <v>2445</v>
      </c>
      <c r="I10749" s="7">
        <v>77</v>
      </c>
      <c r="J10749" s="7">
        <v>200</v>
      </c>
      <c r="K10749" s="7" t="s">
        <v>18</v>
      </c>
      <c r="L10749" s="8">
        <v>39987.315405092595</v>
      </c>
      <c r="M10749" s="9" t="s">
        <v>19</v>
      </c>
      <c r="N10749" s="9" t="s">
        <v>20</v>
      </c>
      <c r="O10749" s="6" t="str">
        <f>HYPERLINK("https://pbs.twimg.com/profile_images/962471262747529216/Uo8lOkRJ_normal.jpg","View")</f>
        <v>View</v>
      </c>
      <c r="P10749" s="7"/>
    </row>
    <row r="10750" spans="1:16">
      <c r="A10750" s="3">
        <v>44112.094178240739</v>
      </c>
      <c r="B10750" s="4" t="str">
        <f>HYPERLINK("https://twitter.com/petrogustavo","@petrogustavo")</f>
        <v>@petrogustavo</v>
      </c>
      <c r="C10750" s="5" t="s">
        <v>16</v>
      </c>
      <c r="D10750" s="5" t="s">
        <v>10347</v>
      </c>
      <c r="E10750" s="6" t="str">
        <f>HYPERLINK("https://twitter.com/petrogustavo/status/1313943587307036677","1313943587307036677")</f>
        <v>1313943587307036677</v>
      </c>
      <c r="F10750" s="7" t="s">
        <v>32</v>
      </c>
      <c r="G10750" s="7">
        <v>3987651</v>
      </c>
      <c r="H10750" s="7">
        <v>2445</v>
      </c>
      <c r="I10750" s="7">
        <v>28</v>
      </c>
      <c r="J10750" s="7">
        <v>0</v>
      </c>
      <c r="K10750" s="7" t="s">
        <v>18</v>
      </c>
      <c r="L10750" s="8">
        <v>39987.315405092595</v>
      </c>
      <c r="M10750" s="9" t="s">
        <v>19</v>
      </c>
      <c r="N10750" s="9" t="s">
        <v>20</v>
      </c>
      <c r="O10750" s="6" t="str">
        <f>HYPERLINK("https://pbs.twimg.com/profile_images/962471262747529216/Uo8lOkRJ_normal.jpg","View")</f>
        <v>View</v>
      </c>
      <c r="P10750" s="7"/>
    </row>
    <row r="10751" spans="1:16">
      <c r="A10751" s="3">
        <v>44112.155092592591</v>
      </c>
      <c r="B10751" s="4" t="str">
        <f>HYPERLINK("https://twitter.com/petrogustavo","@petrogustavo")</f>
        <v>@petrogustavo</v>
      </c>
      <c r="C10751" s="5" t="s">
        <v>16</v>
      </c>
      <c r="D10751" s="5" t="s">
        <v>10348</v>
      </c>
      <c r="E10751" s="6" t="str">
        <f>HYPERLINK("https://twitter.com/petrogustavo/status/1313965660964352001","1313965660964352001")</f>
        <v>1313965660964352001</v>
      </c>
      <c r="F10751" s="7" t="s">
        <v>32</v>
      </c>
      <c r="G10751" s="7">
        <v>3987684</v>
      </c>
      <c r="H10751" s="7">
        <v>2445</v>
      </c>
      <c r="I10751" s="7">
        <v>1023</v>
      </c>
      <c r="J10751" s="7">
        <v>0</v>
      </c>
      <c r="K10751" s="7" t="s">
        <v>18</v>
      </c>
      <c r="L10751" s="8">
        <v>39987.315405092595</v>
      </c>
      <c r="M10751" s="9" t="s">
        <v>19</v>
      </c>
      <c r="N10751" s="9" t="s">
        <v>20</v>
      </c>
      <c r="O10751" s="6" t="str">
        <f>HYPERLINK("https://pbs.twimg.com/profile_images/962471262747529216/Uo8lOkRJ_normal.jpg","View")</f>
        <v>View</v>
      </c>
      <c r="P10751" s="7"/>
    </row>
    <row r="10752" spans="1:16">
      <c r="A10752" s="3">
        <v>44112.157905092594</v>
      </c>
      <c r="B10752" s="4" t="str">
        <f>HYPERLINK("https://twitter.com/petrogustavo","@petrogustavo")</f>
        <v>@petrogustavo</v>
      </c>
      <c r="C10752" s="5" t="s">
        <v>16</v>
      </c>
      <c r="D10752" s="5" t="s">
        <v>10349</v>
      </c>
      <c r="E10752" s="6" t="str">
        <f>HYPERLINK("https://twitter.com/petrogustavo/status/1313966678015868929","1313966678015868929")</f>
        <v>1313966678015868929</v>
      </c>
      <c r="F10752" s="7" t="s">
        <v>32</v>
      </c>
      <c r="G10752" s="7">
        <v>3987684</v>
      </c>
      <c r="H10752" s="7">
        <v>2445</v>
      </c>
      <c r="I10752" s="7">
        <v>63</v>
      </c>
      <c r="J10752" s="7">
        <v>0</v>
      </c>
      <c r="K10752" s="7" t="s">
        <v>18</v>
      </c>
      <c r="L10752" s="8">
        <v>39987.315405092595</v>
      </c>
      <c r="M10752" s="9" t="s">
        <v>19</v>
      </c>
      <c r="N10752" s="9" t="s">
        <v>20</v>
      </c>
      <c r="O10752" s="6" t="str">
        <f>HYPERLINK("https://pbs.twimg.com/profile_images/962471262747529216/Uo8lOkRJ_normal.jpg","View")</f>
        <v>View</v>
      </c>
      <c r="P10752" s="7"/>
    </row>
    <row r="10753" spans="1:16">
      <c r="A10753" s="3">
        <v>44112.178171296298</v>
      </c>
      <c r="B10753" s="4" t="str">
        <f>HYPERLINK("https://twitter.com/petrogustavo","@petrogustavo")</f>
        <v>@petrogustavo</v>
      </c>
      <c r="C10753" s="5" t="s">
        <v>16</v>
      </c>
      <c r="D10753" s="5" t="s">
        <v>10337</v>
      </c>
      <c r="E10753" s="6" t="str">
        <f>HYPERLINK("https://twitter.com/petrogustavo/status/1313974024825958400","1313974024825958400")</f>
        <v>1313974024825958400</v>
      </c>
      <c r="F10753" s="7" t="s">
        <v>32</v>
      </c>
      <c r="G10753" s="7">
        <v>3987704</v>
      </c>
      <c r="H10753" s="7">
        <v>2445</v>
      </c>
      <c r="I10753" s="7">
        <v>1101</v>
      </c>
      <c r="J10753" s="7">
        <v>0</v>
      </c>
      <c r="K10753" s="7" t="s">
        <v>18</v>
      </c>
      <c r="L10753" s="8">
        <v>39987.315405092595</v>
      </c>
      <c r="M10753" s="9" t="s">
        <v>19</v>
      </c>
      <c r="N10753" s="9" t="s">
        <v>20</v>
      </c>
      <c r="O10753" s="6" t="str">
        <f>HYPERLINK("https://pbs.twimg.com/profile_images/962471262747529216/Uo8lOkRJ_normal.jpg","View")</f>
        <v>View</v>
      </c>
      <c r="P10753" s="7"/>
    </row>
    <row r="10754" spans="1:16">
      <c r="A10754" s="3">
        <v>44112.254050925927</v>
      </c>
      <c r="B10754" s="4" t="str">
        <f>HYPERLINK("https://twitter.com/petrogustavo","@petrogustavo")</f>
        <v>@petrogustavo</v>
      </c>
      <c r="C10754" s="5" t="s">
        <v>16</v>
      </c>
      <c r="D10754" s="5" t="s">
        <v>10350</v>
      </c>
      <c r="E10754" s="6" t="str">
        <f>HYPERLINK("https://twitter.com/petrogustavo/status/1314001523421126659","1314001523421126659")</f>
        <v>1314001523421126659</v>
      </c>
      <c r="F10754" s="7" t="s">
        <v>32</v>
      </c>
      <c r="G10754" s="7">
        <v>3987787</v>
      </c>
      <c r="H10754" s="7">
        <v>2445</v>
      </c>
      <c r="I10754" s="7">
        <v>215</v>
      </c>
      <c r="J10754" s="7">
        <v>517</v>
      </c>
      <c r="K10754" s="7" t="s">
        <v>18</v>
      </c>
      <c r="L10754" s="8">
        <v>39987.315405092595</v>
      </c>
      <c r="M10754" s="9" t="s">
        <v>19</v>
      </c>
      <c r="N10754" s="9" t="s">
        <v>20</v>
      </c>
      <c r="O10754" s="6" t="str">
        <f>HYPERLINK("https://pbs.twimg.com/profile_images/962471262747529216/Uo8lOkRJ_normal.jpg","View")</f>
        <v>View</v>
      </c>
      <c r="P10754" s="7"/>
    </row>
    <row r="10755" spans="1:16">
      <c r="A10755" s="3">
        <v>44112.729456018518</v>
      </c>
      <c r="B10755" s="4" t="str">
        <f>HYPERLINK("https://twitter.com/petrogustavo","@petrogustavo")</f>
        <v>@petrogustavo</v>
      </c>
      <c r="C10755" s="5" t="s">
        <v>16</v>
      </c>
      <c r="D10755" s="5" t="s">
        <v>10351</v>
      </c>
      <c r="E10755" s="6" t="str">
        <f>HYPERLINK("https://twitter.com/petrogustavo/status/1314173802369220613","1314173802369220613")</f>
        <v>1314173802369220613</v>
      </c>
      <c r="F10755" s="7" t="s">
        <v>17</v>
      </c>
      <c r="G10755" s="7">
        <v>3987906</v>
      </c>
      <c r="H10755" s="7">
        <v>2445</v>
      </c>
      <c r="I10755" s="7">
        <v>1278</v>
      </c>
      <c r="J10755" s="7">
        <v>0</v>
      </c>
      <c r="K10755" s="7" t="s">
        <v>18</v>
      </c>
      <c r="L10755" s="8">
        <v>39987.315405092595</v>
      </c>
      <c r="M10755" s="9" t="s">
        <v>19</v>
      </c>
      <c r="N10755" s="9" t="s">
        <v>20</v>
      </c>
      <c r="O10755" s="6" t="str">
        <f>HYPERLINK("https://pbs.twimg.com/profile_images/962471262747529216/Uo8lOkRJ_normal.jpg","View")</f>
        <v>View</v>
      </c>
      <c r="P10755" s="7"/>
    </row>
    <row r="10756" spans="1:16">
      <c r="A10756" s="3">
        <v>44112.729618055557</v>
      </c>
      <c r="B10756" s="4" t="str">
        <f>HYPERLINK("https://twitter.com/petrogustavo","@petrogustavo")</f>
        <v>@petrogustavo</v>
      </c>
      <c r="C10756" s="5" t="s">
        <v>16</v>
      </c>
      <c r="D10756" s="5" t="s">
        <v>10352</v>
      </c>
      <c r="E10756" s="6" t="str">
        <f>HYPERLINK("https://twitter.com/petrogustavo/status/1314173861412376579","1314173861412376579")</f>
        <v>1314173861412376579</v>
      </c>
      <c r="F10756" s="7" t="s">
        <v>17</v>
      </c>
      <c r="G10756" s="7">
        <v>3987906</v>
      </c>
      <c r="H10756" s="7">
        <v>2445</v>
      </c>
      <c r="I10756" s="7">
        <v>170</v>
      </c>
      <c r="J10756" s="7">
        <v>0</v>
      </c>
      <c r="K10756" s="7" t="s">
        <v>18</v>
      </c>
      <c r="L10756" s="8">
        <v>39987.315405092595</v>
      </c>
      <c r="M10756" s="9" t="s">
        <v>19</v>
      </c>
      <c r="N10756" s="9" t="s">
        <v>20</v>
      </c>
      <c r="O10756" s="6" t="str">
        <f>HYPERLINK("https://pbs.twimg.com/profile_images/962471262747529216/Uo8lOkRJ_normal.jpg","View")</f>
        <v>View</v>
      </c>
      <c r="P10756" s="7"/>
    </row>
    <row r="10757" spans="1:16">
      <c r="A10757" s="3">
        <v>44112.730543981481</v>
      </c>
      <c r="B10757" s="4" t="str">
        <f>HYPERLINK("https://twitter.com/petrogustavo","@petrogustavo")</f>
        <v>@petrogustavo</v>
      </c>
      <c r="C10757" s="5" t="s">
        <v>16</v>
      </c>
      <c r="D10757" s="5" t="s">
        <v>10353</v>
      </c>
      <c r="E10757" s="6" t="str">
        <f>HYPERLINK("https://twitter.com/petrogustavo/status/1314174195891417088","1314174195891417088")</f>
        <v>1314174195891417088</v>
      </c>
      <c r="F10757" s="7" t="s">
        <v>17</v>
      </c>
      <c r="G10757" s="7">
        <v>3987906</v>
      </c>
      <c r="H10757" s="7">
        <v>2445</v>
      </c>
      <c r="I10757" s="7">
        <v>17</v>
      </c>
      <c r="J10757" s="7">
        <v>0</v>
      </c>
      <c r="K10757" s="7" t="s">
        <v>18</v>
      </c>
      <c r="L10757" s="8">
        <v>39987.315405092595</v>
      </c>
      <c r="M10757" s="9" t="s">
        <v>19</v>
      </c>
      <c r="N10757" s="9" t="s">
        <v>20</v>
      </c>
      <c r="O10757" s="6" t="str">
        <f>HYPERLINK("https://pbs.twimg.com/profile_images/962471262747529216/Uo8lOkRJ_normal.jpg","View")</f>
        <v>View</v>
      </c>
      <c r="P10757" s="7"/>
    </row>
    <row r="10758" spans="1:16">
      <c r="A10758" s="3">
        <v>44112.735115740739</v>
      </c>
      <c r="B10758" s="4" t="str">
        <f>HYPERLINK("https://twitter.com/petrogustavo","@petrogustavo")</f>
        <v>@petrogustavo</v>
      </c>
      <c r="C10758" s="5" t="s">
        <v>16</v>
      </c>
      <c r="D10758" s="5" t="s">
        <v>10354</v>
      </c>
      <c r="E10758" s="6" t="str">
        <f>HYPERLINK("https://twitter.com/petrogustavo/status/1314175855682297857","1314175855682297857")</f>
        <v>1314175855682297857</v>
      </c>
      <c r="F10758" s="7" t="s">
        <v>17</v>
      </c>
      <c r="G10758" s="7">
        <v>3987914</v>
      </c>
      <c r="H10758" s="7">
        <v>2445</v>
      </c>
      <c r="I10758" s="7">
        <v>67</v>
      </c>
      <c r="J10758" s="7">
        <v>0</v>
      </c>
      <c r="K10758" s="7" t="s">
        <v>18</v>
      </c>
      <c r="L10758" s="8">
        <v>39987.315405092595</v>
      </c>
      <c r="M10758" s="9" t="s">
        <v>19</v>
      </c>
      <c r="N10758" s="9" t="s">
        <v>20</v>
      </c>
      <c r="O10758" s="6" t="str">
        <f>HYPERLINK("https://pbs.twimg.com/profile_images/962471262747529216/Uo8lOkRJ_normal.jpg","View")</f>
        <v>View</v>
      </c>
      <c r="P10758" s="7"/>
    </row>
    <row r="10759" spans="1:16">
      <c r="A10759" s="3">
        <v>44112.739178240736</v>
      </c>
      <c r="B10759" s="4" t="str">
        <f>HYPERLINK("https://twitter.com/petrogustavo","@petrogustavo")</f>
        <v>@petrogustavo</v>
      </c>
      <c r="C10759" s="5" t="s">
        <v>16</v>
      </c>
      <c r="D10759" s="5" t="s">
        <v>10355</v>
      </c>
      <c r="E10759" s="6" t="str">
        <f>HYPERLINK("https://twitter.com/petrogustavo/status/1314177326935089155","1314177326935089155")</f>
        <v>1314177326935089155</v>
      </c>
      <c r="F10759" s="7" t="s">
        <v>17</v>
      </c>
      <c r="G10759" s="7">
        <v>3987914</v>
      </c>
      <c r="H10759" s="7">
        <v>2445</v>
      </c>
      <c r="I10759" s="7">
        <v>53</v>
      </c>
      <c r="J10759" s="7">
        <v>103</v>
      </c>
      <c r="K10759" s="7" t="s">
        <v>18</v>
      </c>
      <c r="L10759" s="8">
        <v>39987.315405092595</v>
      </c>
      <c r="M10759" s="9" t="s">
        <v>19</v>
      </c>
      <c r="N10759" s="9" t="s">
        <v>20</v>
      </c>
      <c r="O10759" s="6" t="str">
        <f>HYPERLINK("https://pbs.twimg.com/profile_images/962471262747529216/Uo8lOkRJ_normal.jpg","View")</f>
        <v>View</v>
      </c>
      <c r="P10759" s="7"/>
    </row>
    <row r="10760" spans="1:16">
      <c r="A10760" s="3">
        <v>44112.741956018523</v>
      </c>
      <c r="B10760" s="4" t="str">
        <f>HYPERLINK("https://twitter.com/petrogustavo","@petrogustavo")</f>
        <v>@petrogustavo</v>
      </c>
      <c r="C10760" s="5" t="s">
        <v>16</v>
      </c>
      <c r="D10760" s="5" t="s">
        <v>10356</v>
      </c>
      <c r="E10760" s="6" t="str">
        <f>HYPERLINK("https://twitter.com/petrogustavo/status/1314178332397895683","1314178332397895683")</f>
        <v>1314178332397895683</v>
      </c>
      <c r="F10760" s="7" t="s">
        <v>17</v>
      </c>
      <c r="G10760" s="7">
        <v>3987914</v>
      </c>
      <c r="H10760" s="7">
        <v>2445</v>
      </c>
      <c r="I10760" s="7">
        <v>85</v>
      </c>
      <c r="J10760" s="7">
        <v>203</v>
      </c>
      <c r="K10760" s="7" t="s">
        <v>18</v>
      </c>
      <c r="L10760" s="8">
        <v>39987.315405092595</v>
      </c>
      <c r="M10760" s="9" t="s">
        <v>19</v>
      </c>
      <c r="N10760" s="9" t="s">
        <v>20</v>
      </c>
      <c r="O10760" s="6" t="str">
        <f>HYPERLINK("https://pbs.twimg.com/profile_images/962471262747529216/Uo8lOkRJ_normal.jpg","View")</f>
        <v>View</v>
      </c>
      <c r="P10760" s="7"/>
    </row>
    <row r="10761" spans="1:16">
      <c r="A10761" s="3">
        <v>44112.7425</v>
      </c>
      <c r="B10761" s="4" t="str">
        <f>HYPERLINK("https://twitter.com/petrogustavo","@petrogustavo")</f>
        <v>@petrogustavo</v>
      </c>
      <c r="C10761" s="5" t="s">
        <v>16</v>
      </c>
      <c r="D10761" s="5" t="s">
        <v>10357</v>
      </c>
      <c r="E10761" s="6" t="str">
        <f>HYPERLINK("https://twitter.com/petrogustavo/status/1314178531950288896","1314178531950288896")</f>
        <v>1314178531950288896</v>
      </c>
      <c r="F10761" s="7" t="s">
        <v>17</v>
      </c>
      <c r="G10761" s="7">
        <v>3987914</v>
      </c>
      <c r="H10761" s="7">
        <v>2445</v>
      </c>
      <c r="I10761" s="7">
        <v>92</v>
      </c>
      <c r="J10761" s="7">
        <v>0</v>
      </c>
      <c r="K10761" s="7" t="s">
        <v>18</v>
      </c>
      <c r="L10761" s="8">
        <v>39987.315405092595</v>
      </c>
      <c r="M10761" s="9" t="s">
        <v>19</v>
      </c>
      <c r="N10761" s="9" t="s">
        <v>20</v>
      </c>
      <c r="O10761" s="6" t="str">
        <f>HYPERLINK("https://pbs.twimg.com/profile_images/962471262747529216/Uo8lOkRJ_normal.jpg","View")</f>
        <v>View</v>
      </c>
      <c r="P10761" s="7"/>
    </row>
    <row r="10762" spans="1:16">
      <c r="A10762" s="3">
        <v>44112.746018518519</v>
      </c>
      <c r="B10762" s="4" t="str">
        <f>HYPERLINK("https://twitter.com/petrogustavo","@petrogustavo")</f>
        <v>@petrogustavo</v>
      </c>
      <c r="C10762" s="5" t="s">
        <v>16</v>
      </c>
      <c r="D10762" s="5" t="s">
        <v>10358</v>
      </c>
      <c r="E10762" s="6" t="str">
        <f>HYPERLINK("https://twitter.com/petrogustavo/status/1314179805202518019","1314179805202518019")</f>
        <v>1314179805202518019</v>
      </c>
      <c r="F10762" s="7" t="s">
        <v>17</v>
      </c>
      <c r="G10762" s="7">
        <v>3987914</v>
      </c>
      <c r="H10762" s="7">
        <v>2445</v>
      </c>
      <c r="I10762" s="7">
        <v>34</v>
      </c>
      <c r="J10762" s="7">
        <v>65</v>
      </c>
      <c r="K10762" s="7" t="s">
        <v>18</v>
      </c>
      <c r="L10762" s="8">
        <v>39987.315405092595</v>
      </c>
      <c r="M10762" s="9" t="s">
        <v>19</v>
      </c>
      <c r="N10762" s="9" t="s">
        <v>20</v>
      </c>
      <c r="O10762" s="6" t="str">
        <f>HYPERLINK("https://pbs.twimg.com/profile_images/962471262747529216/Uo8lOkRJ_normal.jpg","View")</f>
        <v>View</v>
      </c>
      <c r="P10762" s="7"/>
    </row>
    <row r="10763" spans="1:16">
      <c r="A10763" s="3">
        <v>44112.749351851853</v>
      </c>
      <c r="B10763" s="4" t="str">
        <f>HYPERLINK("https://twitter.com/petrogustavo","@petrogustavo")</f>
        <v>@petrogustavo</v>
      </c>
      <c r="C10763" s="5" t="s">
        <v>16</v>
      </c>
      <c r="D10763" s="5" t="s">
        <v>10359</v>
      </c>
      <c r="E10763" s="6" t="str">
        <f>HYPERLINK("https://twitter.com/petrogustavo/status/1314181014583947266","1314181014583947266")</f>
        <v>1314181014583947266</v>
      </c>
      <c r="F10763" s="7" t="s">
        <v>17</v>
      </c>
      <c r="G10763" s="7">
        <v>3987914</v>
      </c>
      <c r="H10763" s="7">
        <v>2445</v>
      </c>
      <c r="I10763" s="7">
        <v>41</v>
      </c>
      <c r="J10763" s="7">
        <v>100</v>
      </c>
      <c r="K10763" s="7" t="s">
        <v>18</v>
      </c>
      <c r="L10763" s="8">
        <v>39987.315405092595</v>
      </c>
      <c r="M10763" s="9" t="s">
        <v>19</v>
      </c>
      <c r="N10763" s="9" t="s">
        <v>20</v>
      </c>
      <c r="O10763" s="6" t="str">
        <f>HYPERLINK("https://pbs.twimg.com/profile_images/962471262747529216/Uo8lOkRJ_normal.jpg","View")</f>
        <v>View</v>
      </c>
      <c r="P10763" s="7"/>
    </row>
    <row r="10764" spans="1:16">
      <c r="A10764" s="3">
        <v>44112.750543981485</v>
      </c>
      <c r="B10764" s="4" t="str">
        <f>HYPERLINK("https://twitter.com/petrogustavo","@petrogustavo")</f>
        <v>@petrogustavo</v>
      </c>
      <c r="C10764" s="5" t="s">
        <v>16</v>
      </c>
      <c r="D10764" s="5" t="s">
        <v>10360</v>
      </c>
      <c r="E10764" s="6" t="str">
        <f>HYPERLINK("https://twitter.com/petrogustavo/status/1314181444382658562","1314181444382658562")</f>
        <v>1314181444382658562</v>
      </c>
      <c r="F10764" s="7" t="s">
        <v>17</v>
      </c>
      <c r="G10764" s="7">
        <v>3987914</v>
      </c>
      <c r="H10764" s="7">
        <v>2445</v>
      </c>
      <c r="I10764" s="7">
        <v>4</v>
      </c>
      <c r="J10764" s="7">
        <v>24</v>
      </c>
      <c r="K10764" s="7" t="s">
        <v>18</v>
      </c>
      <c r="L10764" s="8">
        <v>39987.315405092595</v>
      </c>
      <c r="M10764" s="9" t="s">
        <v>19</v>
      </c>
      <c r="N10764" s="9" t="s">
        <v>20</v>
      </c>
      <c r="O10764" s="6" t="str">
        <f>HYPERLINK("https://pbs.twimg.com/profile_images/962471262747529216/Uo8lOkRJ_normal.jpg","View")</f>
        <v>View</v>
      </c>
      <c r="P10764" s="7"/>
    </row>
    <row r="10765" spans="1:16">
      <c r="A10765" s="3">
        <v>44112.754120370373</v>
      </c>
      <c r="B10765" s="4" t="str">
        <f>HYPERLINK("https://twitter.com/petrogustavo","@petrogustavo")</f>
        <v>@petrogustavo</v>
      </c>
      <c r="C10765" s="5" t="s">
        <v>16</v>
      </c>
      <c r="D10765" s="5" t="s">
        <v>10361</v>
      </c>
      <c r="E10765" s="6" t="str">
        <f>HYPERLINK("https://twitter.com/petrogustavo/status/1314182739726397441","1314182739726397441")</f>
        <v>1314182739726397441</v>
      </c>
      <c r="F10765" s="7" t="s">
        <v>17</v>
      </c>
      <c r="G10765" s="7">
        <v>3987921</v>
      </c>
      <c r="H10765" s="7">
        <v>2445</v>
      </c>
      <c r="I10765" s="7">
        <v>63</v>
      </c>
      <c r="J10765" s="7">
        <v>186</v>
      </c>
      <c r="K10765" s="7" t="s">
        <v>18</v>
      </c>
      <c r="L10765" s="8">
        <v>39987.315405092595</v>
      </c>
      <c r="M10765" s="9" t="s">
        <v>19</v>
      </c>
      <c r="N10765" s="9" t="s">
        <v>20</v>
      </c>
      <c r="O10765" s="6" t="str">
        <f>HYPERLINK("https://pbs.twimg.com/profile_images/962471262747529216/Uo8lOkRJ_normal.jpg","View")</f>
        <v>View</v>
      </c>
      <c r="P10765" s="7"/>
    </row>
    <row r="10766" spans="1:16">
      <c r="A10766" s="3">
        <v>44112.763888888891</v>
      </c>
      <c r="B10766" s="4" t="str">
        <f>HYPERLINK("https://twitter.com/petrogustavo","@petrogustavo")</f>
        <v>@petrogustavo</v>
      </c>
      <c r="C10766" s="5" t="s">
        <v>16</v>
      </c>
      <c r="D10766" s="5" t="s">
        <v>10362</v>
      </c>
      <c r="E10766" s="6" t="str">
        <f>HYPERLINK("https://twitter.com/petrogustavo/status/1314186281702825984","1314186281702825984")</f>
        <v>1314186281702825984</v>
      </c>
      <c r="F10766" s="7" t="s">
        <v>17</v>
      </c>
      <c r="G10766" s="7">
        <v>3987921</v>
      </c>
      <c r="H10766" s="7">
        <v>2445</v>
      </c>
      <c r="I10766" s="7">
        <v>27</v>
      </c>
      <c r="J10766" s="7">
        <v>64</v>
      </c>
      <c r="K10766" s="7" t="s">
        <v>18</v>
      </c>
      <c r="L10766" s="8">
        <v>39987.315405092595</v>
      </c>
      <c r="M10766" s="9" t="s">
        <v>19</v>
      </c>
      <c r="N10766" s="9" t="s">
        <v>20</v>
      </c>
      <c r="O10766" s="6" t="str">
        <f>HYPERLINK("https://pbs.twimg.com/profile_images/962471262747529216/Uo8lOkRJ_normal.jpg","View")</f>
        <v>View</v>
      </c>
      <c r="P10766" s="7"/>
    </row>
    <row r="10767" spans="1:16">
      <c r="A10767" s="3">
        <v>44112.765069444446</v>
      </c>
      <c r="B10767" s="4" t="str">
        <f>HYPERLINK("https://twitter.com/petrogustavo","@petrogustavo")</f>
        <v>@petrogustavo</v>
      </c>
      <c r="C10767" s="5" t="s">
        <v>16</v>
      </c>
      <c r="D10767" s="5" t="s">
        <v>10363</v>
      </c>
      <c r="E10767" s="6" t="str">
        <f>HYPERLINK("https://twitter.com/petrogustavo/status/1314186709752598528","1314186709752598528")</f>
        <v>1314186709752598528</v>
      </c>
      <c r="F10767" s="7" t="s">
        <v>17</v>
      </c>
      <c r="G10767" s="7">
        <v>3987921</v>
      </c>
      <c r="H10767" s="7">
        <v>2445</v>
      </c>
      <c r="I10767" s="7">
        <v>66</v>
      </c>
      <c r="J10767" s="7">
        <v>217</v>
      </c>
      <c r="K10767" s="7" t="s">
        <v>18</v>
      </c>
      <c r="L10767" s="8">
        <v>39987.315405092595</v>
      </c>
      <c r="M10767" s="9" t="s">
        <v>19</v>
      </c>
      <c r="N10767" s="9" t="s">
        <v>20</v>
      </c>
      <c r="O10767" s="6" t="str">
        <f>HYPERLINK("https://pbs.twimg.com/profile_images/962471262747529216/Uo8lOkRJ_normal.jpg","View")</f>
        <v>View</v>
      </c>
      <c r="P10767" s="7"/>
    </row>
    <row r="10768" spans="1:16">
      <c r="A10768" s="3">
        <v>44112.767754629633</v>
      </c>
      <c r="B10768" s="4" t="str">
        <f>HYPERLINK("https://twitter.com/petrogustavo","@petrogustavo")</f>
        <v>@petrogustavo</v>
      </c>
      <c r="C10768" s="5" t="s">
        <v>16</v>
      </c>
      <c r="D10768" s="5" t="s">
        <v>10364</v>
      </c>
      <c r="E10768" s="6" t="str">
        <f>HYPERLINK("https://twitter.com/petrogustavo/status/1314187680100556800","1314187680100556800")</f>
        <v>1314187680100556800</v>
      </c>
      <c r="F10768" s="7" t="s">
        <v>17</v>
      </c>
      <c r="G10768" s="7">
        <v>3987921</v>
      </c>
      <c r="H10768" s="7">
        <v>2445</v>
      </c>
      <c r="I10768" s="7">
        <v>53</v>
      </c>
      <c r="J10768" s="7">
        <v>123</v>
      </c>
      <c r="K10768" s="7" t="s">
        <v>18</v>
      </c>
      <c r="L10768" s="8">
        <v>39987.315405092595</v>
      </c>
      <c r="M10768" s="9" t="s">
        <v>19</v>
      </c>
      <c r="N10768" s="9" t="s">
        <v>20</v>
      </c>
      <c r="O10768" s="6" t="str">
        <f>HYPERLINK("https://pbs.twimg.com/profile_images/962471262747529216/Uo8lOkRJ_normal.jpg","View")</f>
        <v>View</v>
      </c>
      <c r="P10768" s="7"/>
    </row>
    <row r="10769" spans="1:16">
      <c r="A10769" s="3">
        <v>44112.779976851853</v>
      </c>
      <c r="B10769" s="4" t="str">
        <f>HYPERLINK("https://twitter.com/petrogustavo","@petrogustavo")</f>
        <v>@petrogustavo</v>
      </c>
      <c r="C10769" s="5" t="s">
        <v>16</v>
      </c>
      <c r="D10769" s="5" t="s">
        <v>10365</v>
      </c>
      <c r="E10769" s="6" t="str">
        <f>HYPERLINK("https://twitter.com/petrogustavo/status/1314192111806414848","1314192111806414848")</f>
        <v>1314192111806414848</v>
      </c>
      <c r="F10769" s="7" t="s">
        <v>17</v>
      </c>
      <c r="G10769" s="7">
        <v>3987924</v>
      </c>
      <c r="H10769" s="7">
        <v>2445</v>
      </c>
      <c r="I10769" s="7">
        <v>184</v>
      </c>
      <c r="J10769" s="7">
        <v>495</v>
      </c>
      <c r="K10769" s="7" t="s">
        <v>18</v>
      </c>
      <c r="L10769" s="8">
        <v>39987.315405092595</v>
      </c>
      <c r="M10769" s="9" t="s">
        <v>19</v>
      </c>
      <c r="N10769" s="9" t="s">
        <v>20</v>
      </c>
      <c r="O10769" s="6" t="str">
        <f>HYPERLINK("https://pbs.twimg.com/profile_images/962471262747529216/Uo8lOkRJ_normal.jpg","View")</f>
        <v>View</v>
      </c>
      <c r="P10769" s="7"/>
    </row>
    <row r="10770" spans="1:16">
      <c r="A10770" s="3">
        <v>44112.785219907411</v>
      </c>
      <c r="B10770" s="4" t="str">
        <f>HYPERLINK("https://twitter.com/petrogustavo","@petrogustavo")</f>
        <v>@petrogustavo</v>
      </c>
      <c r="C10770" s="5" t="s">
        <v>16</v>
      </c>
      <c r="D10770" s="5" t="s">
        <v>10366</v>
      </c>
      <c r="E10770" s="6" t="str">
        <f>HYPERLINK("https://twitter.com/petrogustavo/status/1314194011595452418","1314194011595452418")</f>
        <v>1314194011595452418</v>
      </c>
      <c r="F10770" s="7" t="s">
        <v>17</v>
      </c>
      <c r="G10770" s="7">
        <v>3987924</v>
      </c>
      <c r="H10770" s="7">
        <v>2445</v>
      </c>
      <c r="I10770" s="7">
        <v>120</v>
      </c>
      <c r="J10770" s="7">
        <v>274</v>
      </c>
      <c r="K10770" s="7" t="s">
        <v>18</v>
      </c>
      <c r="L10770" s="8">
        <v>39987.315405092595</v>
      </c>
      <c r="M10770" s="9" t="s">
        <v>19</v>
      </c>
      <c r="N10770" s="9" t="s">
        <v>20</v>
      </c>
      <c r="O10770" s="6" t="str">
        <f>HYPERLINK("https://pbs.twimg.com/profile_images/962471262747529216/Uo8lOkRJ_normal.jpg","View")</f>
        <v>View</v>
      </c>
      <c r="P10770" s="7"/>
    </row>
    <row r="10771" spans="1:16">
      <c r="A10771" s="3">
        <v>44112.786527777775</v>
      </c>
      <c r="B10771" s="4" t="str">
        <f>HYPERLINK("https://twitter.com/petrogustavo","@petrogustavo")</f>
        <v>@petrogustavo</v>
      </c>
      <c r="C10771" s="5" t="s">
        <v>16</v>
      </c>
      <c r="D10771" s="5" t="s">
        <v>10367</v>
      </c>
      <c r="E10771" s="6" t="str">
        <f>HYPERLINK("https://twitter.com/petrogustavo/status/1314194484826116099","1314194484826116099")</f>
        <v>1314194484826116099</v>
      </c>
      <c r="F10771" s="7" t="s">
        <v>17</v>
      </c>
      <c r="G10771" s="7">
        <v>3987924</v>
      </c>
      <c r="H10771" s="7">
        <v>2445</v>
      </c>
      <c r="I10771" s="7">
        <v>54</v>
      </c>
      <c r="J10771" s="7">
        <v>249</v>
      </c>
      <c r="K10771" s="7" t="s">
        <v>18</v>
      </c>
      <c r="L10771" s="8">
        <v>39987.315405092595</v>
      </c>
      <c r="M10771" s="9" t="s">
        <v>19</v>
      </c>
      <c r="N10771" s="9" t="s">
        <v>20</v>
      </c>
      <c r="O10771" s="6" t="str">
        <f>HYPERLINK("https://pbs.twimg.com/profile_images/962471262747529216/Uo8lOkRJ_normal.jpg","View")</f>
        <v>View</v>
      </c>
      <c r="P10771" s="7"/>
    </row>
    <row r="10772" spans="1:16">
      <c r="A10772" s="3">
        <v>44112.79478009259</v>
      </c>
      <c r="B10772" s="4" t="str">
        <f>HYPERLINK("https://twitter.com/petrogustavo","@petrogustavo")</f>
        <v>@petrogustavo</v>
      </c>
      <c r="C10772" s="5" t="s">
        <v>16</v>
      </c>
      <c r="D10772" s="5" t="s">
        <v>10368</v>
      </c>
      <c r="E10772" s="6" t="str">
        <f>HYPERLINK("https://twitter.com/petrogustavo/status/1314197474261696512","1314197474261696512")</f>
        <v>1314197474261696512</v>
      </c>
      <c r="F10772" s="7" t="s">
        <v>17</v>
      </c>
      <c r="G10772" s="7">
        <v>3987927</v>
      </c>
      <c r="H10772" s="7">
        <v>2445</v>
      </c>
      <c r="I10772" s="7">
        <v>198</v>
      </c>
      <c r="J10772" s="7">
        <v>0</v>
      </c>
      <c r="K10772" s="7" t="s">
        <v>18</v>
      </c>
      <c r="L10772" s="8">
        <v>39987.315405092595</v>
      </c>
      <c r="M10772" s="9" t="s">
        <v>19</v>
      </c>
      <c r="N10772" s="9" t="s">
        <v>20</v>
      </c>
      <c r="O10772" s="6" t="str">
        <f>HYPERLINK("https://pbs.twimg.com/profile_images/962471262747529216/Uo8lOkRJ_normal.jpg","View")</f>
        <v>View</v>
      </c>
      <c r="P10772" s="7"/>
    </row>
    <row r="10773" spans="1:16">
      <c r="A10773" s="3">
        <v>44113.075462962966</v>
      </c>
      <c r="B10773" s="4" t="str">
        <f>HYPERLINK("https://twitter.com/petrogustavo","@petrogustavo")</f>
        <v>@petrogustavo</v>
      </c>
      <c r="C10773" s="5" t="s">
        <v>16</v>
      </c>
      <c r="D10773" s="5" t="s">
        <v>10369</v>
      </c>
      <c r="E10773" s="6" t="str">
        <f>HYPERLINK("https://twitter.com/petrogustavo/status/1314299191871578125","1314299191871578125")</f>
        <v>1314299191871578125</v>
      </c>
      <c r="F10773" s="7" t="s">
        <v>17</v>
      </c>
      <c r="G10773" s="7">
        <v>3988132</v>
      </c>
      <c r="H10773" s="7">
        <v>2446</v>
      </c>
      <c r="I10773" s="7">
        <v>70</v>
      </c>
      <c r="J10773" s="7">
        <v>260</v>
      </c>
      <c r="K10773" s="7" t="s">
        <v>18</v>
      </c>
      <c r="L10773" s="8">
        <v>39987.315405092595</v>
      </c>
      <c r="M10773" s="9" t="s">
        <v>19</v>
      </c>
      <c r="N10773" s="9" t="s">
        <v>20</v>
      </c>
      <c r="O10773" s="6" t="str">
        <f>HYPERLINK("https://pbs.twimg.com/profile_images/962471262747529216/Uo8lOkRJ_normal.jpg","View")</f>
        <v>View</v>
      </c>
      <c r="P10773" s="7"/>
    </row>
    <row r="10774" spans="1:16">
      <c r="A10774" s="3">
        <v>44113.109456018516</v>
      </c>
      <c r="B10774" s="4" t="str">
        <f>HYPERLINK("https://twitter.com/petrogustavo","@petrogustavo")</f>
        <v>@petrogustavo</v>
      </c>
      <c r="C10774" s="5" t="s">
        <v>16</v>
      </c>
      <c r="D10774" s="5" t="s">
        <v>10370</v>
      </c>
      <c r="E10774" s="6" t="str">
        <f>HYPERLINK("https://twitter.com/petrogustavo/status/1314311509552648193","1314311509552648193")</f>
        <v>1314311509552648193</v>
      </c>
      <c r="F10774" s="7" t="s">
        <v>32</v>
      </c>
      <c r="G10774" s="7">
        <v>3988151</v>
      </c>
      <c r="H10774" s="7">
        <v>2446</v>
      </c>
      <c r="I10774" s="7">
        <v>79</v>
      </c>
      <c r="J10774" s="7">
        <v>228</v>
      </c>
      <c r="K10774" s="7" t="s">
        <v>18</v>
      </c>
      <c r="L10774" s="8">
        <v>39987.315405092595</v>
      </c>
      <c r="M10774" s="9" t="s">
        <v>19</v>
      </c>
      <c r="N10774" s="9" t="s">
        <v>20</v>
      </c>
      <c r="O10774" s="6" t="str">
        <f>HYPERLINK("https://pbs.twimg.com/profile_images/962471262747529216/Uo8lOkRJ_normal.jpg","View")</f>
        <v>View</v>
      </c>
      <c r="P10774" s="7"/>
    </row>
    <row r="10775" spans="1:16">
      <c r="A10775" s="3">
        <v>44113.193287037036</v>
      </c>
      <c r="B10775" s="4" t="str">
        <f>HYPERLINK("https://twitter.com/petrogustavo","@petrogustavo")</f>
        <v>@petrogustavo</v>
      </c>
      <c r="C10775" s="5" t="s">
        <v>16</v>
      </c>
      <c r="D10775" s="5" t="s">
        <v>10371</v>
      </c>
      <c r="E10775" s="6" t="str">
        <f>HYPERLINK("https://twitter.com/petrogustavo/status/1314341889886347267","1314341889886347267")</f>
        <v>1314341889886347267</v>
      </c>
      <c r="F10775" s="7" t="s">
        <v>32</v>
      </c>
      <c r="G10775" s="7">
        <v>3988189</v>
      </c>
      <c r="H10775" s="7">
        <v>2446</v>
      </c>
      <c r="I10775" s="7">
        <v>318</v>
      </c>
      <c r="J10775" s="7">
        <v>0</v>
      </c>
      <c r="K10775" s="7" t="s">
        <v>18</v>
      </c>
      <c r="L10775" s="8">
        <v>39987.315405092595</v>
      </c>
      <c r="M10775" s="9" t="s">
        <v>19</v>
      </c>
      <c r="N10775" s="9" t="s">
        <v>20</v>
      </c>
      <c r="O10775" s="6" t="str">
        <f>HYPERLINK("https://pbs.twimg.com/profile_images/962471262747529216/Uo8lOkRJ_normal.jpg","View")</f>
        <v>View</v>
      </c>
      <c r="P10775" s="7"/>
    </row>
    <row r="10776" spans="1:16">
      <c r="A10776" s="3">
        <v>44113.195150462961</v>
      </c>
      <c r="B10776" s="4" t="str">
        <f>HYPERLINK("https://twitter.com/petrogustavo","@petrogustavo")</f>
        <v>@petrogustavo</v>
      </c>
      <c r="C10776" s="5" t="s">
        <v>16</v>
      </c>
      <c r="D10776" s="5" t="s">
        <v>10372</v>
      </c>
      <c r="E10776" s="6" t="str">
        <f>HYPERLINK("https://twitter.com/petrogustavo/status/1314342565664219137","1314342565664219137")</f>
        <v>1314342565664219137</v>
      </c>
      <c r="F10776" s="7" t="s">
        <v>32</v>
      </c>
      <c r="G10776" s="7">
        <v>3988189</v>
      </c>
      <c r="H10776" s="7">
        <v>2446</v>
      </c>
      <c r="I10776" s="7">
        <v>2218</v>
      </c>
      <c r="J10776" s="7">
        <v>0</v>
      </c>
      <c r="K10776" s="7" t="s">
        <v>18</v>
      </c>
      <c r="L10776" s="8">
        <v>39987.315405092595</v>
      </c>
      <c r="M10776" s="9" t="s">
        <v>19</v>
      </c>
      <c r="N10776" s="9" t="s">
        <v>20</v>
      </c>
      <c r="O10776" s="6" t="str">
        <f>HYPERLINK("https://pbs.twimg.com/profile_images/962471262747529216/Uo8lOkRJ_normal.jpg","View")</f>
        <v>View</v>
      </c>
      <c r="P10776" s="7"/>
    </row>
    <row r="10777" spans="1:16">
      <c r="A10777" s="3">
        <v>44113.19568287037</v>
      </c>
      <c r="B10777" s="4" t="str">
        <f>HYPERLINK("https://twitter.com/petrogustavo","@petrogustavo")</f>
        <v>@petrogustavo</v>
      </c>
      <c r="C10777" s="5" t="s">
        <v>16</v>
      </c>
      <c r="D10777" s="5" t="s">
        <v>10373</v>
      </c>
      <c r="E10777" s="6" t="str">
        <f>HYPERLINK("https://twitter.com/petrogustavo/status/1314342756576358400","1314342756576358400")</f>
        <v>1314342756576358400</v>
      </c>
      <c r="F10777" s="7" t="s">
        <v>32</v>
      </c>
      <c r="G10777" s="7">
        <v>3988189</v>
      </c>
      <c r="H10777" s="7">
        <v>2446</v>
      </c>
      <c r="I10777" s="7">
        <v>99</v>
      </c>
      <c r="J10777" s="7">
        <v>0</v>
      </c>
      <c r="K10777" s="7" t="s">
        <v>18</v>
      </c>
      <c r="L10777" s="8">
        <v>39987.315405092595</v>
      </c>
      <c r="M10777" s="9" t="s">
        <v>19</v>
      </c>
      <c r="N10777" s="9" t="s">
        <v>20</v>
      </c>
      <c r="O10777" s="6" t="str">
        <f>HYPERLINK("https://pbs.twimg.com/profile_images/962471262747529216/Uo8lOkRJ_normal.jpg","View")</f>
        <v>View</v>
      </c>
      <c r="P10777" s="7"/>
    </row>
    <row r="10778" spans="1:16">
      <c r="A10778" s="3">
        <v>44113.232210648144</v>
      </c>
      <c r="B10778" s="4" t="str">
        <f>HYPERLINK("https://twitter.com/petrogustavo","@petrogustavo")</f>
        <v>@petrogustavo</v>
      </c>
      <c r="C10778" s="5" t="s">
        <v>16</v>
      </c>
      <c r="D10778" s="5" t="s">
        <v>10374</v>
      </c>
      <c r="E10778" s="6" t="str">
        <f>HYPERLINK("https://twitter.com/petrogustavo/status/1314355994391126021","1314355994391126021")</f>
        <v>1314355994391126021</v>
      </c>
      <c r="F10778" s="7" t="s">
        <v>21</v>
      </c>
      <c r="G10778" s="7">
        <v>3988227</v>
      </c>
      <c r="H10778" s="7">
        <v>2446</v>
      </c>
      <c r="I10778" s="7">
        <v>62</v>
      </c>
      <c r="J10778" s="7">
        <v>135</v>
      </c>
      <c r="K10778" s="7" t="s">
        <v>18</v>
      </c>
      <c r="L10778" s="8">
        <v>39987.315405092595</v>
      </c>
      <c r="M10778" s="9" t="s">
        <v>19</v>
      </c>
      <c r="N10778" s="9" t="s">
        <v>20</v>
      </c>
      <c r="O10778" s="6" t="str">
        <f>HYPERLINK("https://pbs.twimg.com/profile_images/962471262747529216/Uo8lOkRJ_normal.jpg","View")</f>
        <v>View</v>
      </c>
      <c r="P10778" s="7"/>
    </row>
    <row r="10779" spans="1:16">
      <c r="A10779" s="3">
        <v>44113.232395833329</v>
      </c>
      <c r="B10779" s="4" t="str">
        <f>HYPERLINK("https://twitter.com/petrogustavo","@petrogustavo")</f>
        <v>@petrogustavo</v>
      </c>
      <c r="C10779" s="5" t="s">
        <v>16</v>
      </c>
      <c r="D10779" s="5" t="s">
        <v>10375</v>
      </c>
      <c r="E10779" s="6" t="str">
        <f>HYPERLINK("https://twitter.com/petrogustavo/status/1314356062905135104","1314356062905135104")</f>
        <v>1314356062905135104</v>
      </c>
      <c r="F10779" s="7" t="s">
        <v>21</v>
      </c>
      <c r="G10779" s="7">
        <v>3988227</v>
      </c>
      <c r="H10779" s="7">
        <v>2446</v>
      </c>
      <c r="I10779" s="7">
        <v>92</v>
      </c>
      <c r="J10779" s="7">
        <v>187</v>
      </c>
      <c r="K10779" s="7" t="s">
        <v>18</v>
      </c>
      <c r="L10779" s="8">
        <v>39987.315405092595</v>
      </c>
      <c r="M10779" s="9" t="s">
        <v>19</v>
      </c>
      <c r="N10779" s="9" t="s">
        <v>20</v>
      </c>
      <c r="O10779" s="6" t="str">
        <f>HYPERLINK("https://pbs.twimg.com/profile_images/962471262747529216/Uo8lOkRJ_normal.jpg","View")</f>
        <v>View</v>
      </c>
      <c r="P10779" s="7"/>
    </row>
    <row r="10780" spans="1:16">
      <c r="A10780" s="3">
        <v>44113.739317129628</v>
      </c>
      <c r="B10780" s="4" t="str">
        <f>HYPERLINK("https://twitter.com/petrogustavo","@petrogustavo")</f>
        <v>@petrogustavo</v>
      </c>
      <c r="C10780" s="5" t="s">
        <v>16</v>
      </c>
      <c r="D10780" s="5" t="s">
        <v>10376</v>
      </c>
      <c r="E10780" s="6" t="str">
        <f>HYPERLINK("https://twitter.com/petrogustavo/status/1314539764767391745","1314539764767391745")</f>
        <v>1314539764767391745</v>
      </c>
      <c r="F10780" s="7" t="s">
        <v>17</v>
      </c>
      <c r="G10780" s="7">
        <v>3988374</v>
      </c>
      <c r="H10780" s="7">
        <v>2445</v>
      </c>
      <c r="I10780" s="7">
        <v>152</v>
      </c>
      <c r="J10780" s="7">
        <v>383</v>
      </c>
      <c r="K10780" s="7" t="s">
        <v>18</v>
      </c>
      <c r="L10780" s="8">
        <v>39987.315405092595</v>
      </c>
      <c r="M10780" s="9" t="s">
        <v>19</v>
      </c>
      <c r="N10780" s="9" t="s">
        <v>20</v>
      </c>
      <c r="O10780" s="6" t="str">
        <f>HYPERLINK("https://pbs.twimg.com/profile_images/962471262747529216/Uo8lOkRJ_normal.jpg","View")</f>
        <v>View</v>
      </c>
      <c r="P10780" s="7"/>
    </row>
    <row r="10781" spans="1:16">
      <c r="A10781" s="3">
        <v>44113.747256944444</v>
      </c>
      <c r="B10781" s="4" t="str">
        <f>HYPERLINK("https://twitter.com/petrogustavo","@petrogustavo")</f>
        <v>@petrogustavo</v>
      </c>
      <c r="C10781" s="5" t="s">
        <v>16</v>
      </c>
      <c r="D10781" s="5" t="s">
        <v>10377</v>
      </c>
      <c r="E10781" s="6" t="str">
        <f>HYPERLINK("https://twitter.com/petrogustavo/status/1314542643242823689","1314542643242823689")</f>
        <v>1314542643242823689</v>
      </c>
      <c r="F10781" s="7" t="s">
        <v>32</v>
      </c>
      <c r="G10781" s="7">
        <v>3988374</v>
      </c>
      <c r="H10781" s="7">
        <v>2445</v>
      </c>
      <c r="I10781" s="7">
        <v>436</v>
      </c>
      <c r="J10781" s="7">
        <v>0</v>
      </c>
      <c r="K10781" s="7" t="s">
        <v>18</v>
      </c>
      <c r="L10781" s="8">
        <v>39987.315405092595</v>
      </c>
      <c r="M10781" s="9" t="s">
        <v>19</v>
      </c>
      <c r="N10781" s="9" t="s">
        <v>20</v>
      </c>
      <c r="O10781" s="6" t="str">
        <f>HYPERLINK("https://pbs.twimg.com/profile_images/962471262747529216/Uo8lOkRJ_normal.jpg","View")</f>
        <v>View</v>
      </c>
      <c r="P10781" s="7"/>
    </row>
    <row r="10782" spans="1:16">
      <c r="A10782" s="3">
        <v>44113.747650462959</v>
      </c>
      <c r="B10782" s="4" t="str">
        <f>HYPERLINK("https://twitter.com/petrogustavo","@petrogustavo")</f>
        <v>@petrogustavo</v>
      </c>
      <c r="C10782" s="5" t="s">
        <v>16</v>
      </c>
      <c r="D10782" s="5" t="s">
        <v>10378</v>
      </c>
      <c r="E10782" s="6" t="str">
        <f>HYPERLINK("https://twitter.com/petrogustavo/status/1314542782720151552","1314542782720151552")</f>
        <v>1314542782720151552</v>
      </c>
      <c r="F10782" s="7" t="s">
        <v>32</v>
      </c>
      <c r="G10782" s="7">
        <v>3988374</v>
      </c>
      <c r="H10782" s="7">
        <v>2445</v>
      </c>
      <c r="I10782" s="7">
        <v>28</v>
      </c>
      <c r="J10782" s="7">
        <v>0</v>
      </c>
      <c r="K10782" s="7" t="s">
        <v>18</v>
      </c>
      <c r="L10782" s="8">
        <v>39987.315405092595</v>
      </c>
      <c r="M10782" s="9" t="s">
        <v>19</v>
      </c>
      <c r="N10782" s="9" t="s">
        <v>20</v>
      </c>
      <c r="O10782" s="6" t="str">
        <f>HYPERLINK("https://pbs.twimg.com/profile_images/962471262747529216/Uo8lOkRJ_normal.jpg","View")</f>
        <v>View</v>
      </c>
      <c r="P10782" s="7"/>
    </row>
    <row r="10783" spans="1:16">
      <c r="A10783" s="3">
        <v>44113.759999999995</v>
      </c>
      <c r="B10783" s="4" t="str">
        <f>HYPERLINK("https://twitter.com/petrogustavo","@petrogustavo")</f>
        <v>@petrogustavo</v>
      </c>
      <c r="C10783" s="5" t="s">
        <v>16</v>
      </c>
      <c r="D10783" s="5" t="s">
        <v>10379</v>
      </c>
      <c r="E10783" s="6" t="str">
        <f>HYPERLINK("https://twitter.com/petrogustavo/status/1314547258159968261","1314547258159968261")</f>
        <v>1314547258159968261</v>
      </c>
      <c r="F10783" s="7" t="s">
        <v>32</v>
      </c>
      <c r="G10783" s="7">
        <v>3988390</v>
      </c>
      <c r="H10783" s="7">
        <v>2445</v>
      </c>
      <c r="I10783" s="7">
        <v>289</v>
      </c>
      <c r="J10783" s="7">
        <v>0</v>
      </c>
      <c r="K10783" s="7" t="s">
        <v>18</v>
      </c>
      <c r="L10783" s="8">
        <v>39987.315405092595</v>
      </c>
      <c r="M10783" s="9" t="s">
        <v>19</v>
      </c>
      <c r="N10783" s="9" t="s">
        <v>20</v>
      </c>
      <c r="O10783" s="6" t="str">
        <f>HYPERLINK("https://pbs.twimg.com/profile_images/962471262747529216/Uo8lOkRJ_normal.jpg","View")</f>
        <v>View</v>
      </c>
      <c r="P10783" s="7"/>
    </row>
    <row r="10784" spans="1:16">
      <c r="A10784" s="3">
        <v>44113.770162037035</v>
      </c>
      <c r="B10784" s="4" t="str">
        <f>HYPERLINK("https://twitter.com/petrogustavo","@petrogustavo")</f>
        <v>@petrogustavo</v>
      </c>
      <c r="C10784" s="5" t="s">
        <v>16</v>
      </c>
      <c r="D10784" s="5" t="s">
        <v>10380</v>
      </c>
      <c r="E10784" s="6" t="str">
        <f>HYPERLINK("https://twitter.com/petrogustavo/status/1314550942101110784","1314550942101110784")</f>
        <v>1314550942101110784</v>
      </c>
      <c r="F10784" s="7" t="s">
        <v>32</v>
      </c>
      <c r="G10784" s="7">
        <v>3988390</v>
      </c>
      <c r="H10784" s="7">
        <v>2445</v>
      </c>
      <c r="I10784" s="7">
        <v>25</v>
      </c>
      <c r="J10784" s="7">
        <v>56</v>
      </c>
      <c r="K10784" s="7" t="s">
        <v>18</v>
      </c>
      <c r="L10784" s="8">
        <v>39987.315405092595</v>
      </c>
      <c r="M10784" s="9" t="s">
        <v>19</v>
      </c>
      <c r="N10784" s="9" t="s">
        <v>20</v>
      </c>
      <c r="O10784" s="6" t="str">
        <f>HYPERLINK("https://pbs.twimg.com/profile_images/962471262747529216/Uo8lOkRJ_normal.jpg","View")</f>
        <v>View</v>
      </c>
      <c r="P10784" s="7"/>
    </row>
    <row r="10785" spans="1:16">
      <c r="A10785" s="3">
        <v>44113.770416666666</v>
      </c>
      <c r="B10785" s="4" t="str">
        <f>HYPERLINK("https://twitter.com/petrogustavo","@petrogustavo")</f>
        <v>@petrogustavo</v>
      </c>
      <c r="C10785" s="5" t="s">
        <v>16</v>
      </c>
      <c r="D10785" s="5" t="s">
        <v>10381</v>
      </c>
      <c r="E10785" s="6" t="str">
        <f>HYPERLINK("https://twitter.com/petrogustavo/status/1314551034946170880","1314551034946170880")</f>
        <v>1314551034946170880</v>
      </c>
      <c r="F10785" s="7" t="s">
        <v>32</v>
      </c>
      <c r="G10785" s="7">
        <v>3988390</v>
      </c>
      <c r="H10785" s="7">
        <v>2445</v>
      </c>
      <c r="I10785" s="7">
        <v>14</v>
      </c>
      <c r="J10785" s="7">
        <v>0</v>
      </c>
      <c r="K10785" s="7" t="s">
        <v>18</v>
      </c>
      <c r="L10785" s="8">
        <v>39987.315405092595</v>
      </c>
      <c r="M10785" s="9" t="s">
        <v>19</v>
      </c>
      <c r="N10785" s="9" t="s">
        <v>20</v>
      </c>
      <c r="O10785" s="6" t="str">
        <f>HYPERLINK("https://pbs.twimg.com/profile_images/962471262747529216/Uo8lOkRJ_normal.jpg","View")</f>
        <v>View</v>
      </c>
      <c r="P10785" s="7"/>
    </row>
    <row r="10786" spans="1:16">
      <c r="A10786" s="3">
        <v>44113.778009259258</v>
      </c>
      <c r="B10786" s="4" t="str">
        <f>HYPERLINK("https://twitter.com/petrogustavo","@petrogustavo")</f>
        <v>@petrogustavo</v>
      </c>
      <c r="C10786" s="5" t="s">
        <v>16</v>
      </c>
      <c r="D10786" s="5" t="s">
        <v>10382</v>
      </c>
      <c r="E10786" s="6" t="str">
        <f>HYPERLINK("https://twitter.com/petrogustavo/status/1314553787688910849","1314553787688910849")</f>
        <v>1314553787688910849</v>
      </c>
      <c r="F10786" s="7" t="s">
        <v>17</v>
      </c>
      <c r="G10786" s="7">
        <v>3988409</v>
      </c>
      <c r="H10786" s="7">
        <v>2445</v>
      </c>
      <c r="I10786" s="7">
        <v>81</v>
      </c>
      <c r="J10786" s="7">
        <v>197</v>
      </c>
      <c r="K10786" s="7" t="s">
        <v>18</v>
      </c>
      <c r="L10786" s="8">
        <v>39987.315405092595</v>
      </c>
      <c r="M10786" s="9" t="s">
        <v>19</v>
      </c>
      <c r="N10786" s="9" t="s">
        <v>20</v>
      </c>
      <c r="O10786" s="6" t="str">
        <f>HYPERLINK("https://pbs.twimg.com/profile_images/962471262747529216/Uo8lOkRJ_normal.jpg","View")</f>
        <v>View</v>
      </c>
      <c r="P10786" s="7"/>
    </row>
    <row r="10787" spans="1:16">
      <c r="A10787" s="3">
        <v>44113.782986111109</v>
      </c>
      <c r="B10787" s="4" t="str">
        <f>HYPERLINK("https://twitter.com/petrogustavo","@petrogustavo")</f>
        <v>@petrogustavo</v>
      </c>
      <c r="C10787" s="5" t="s">
        <v>16</v>
      </c>
      <c r="D10787" s="5" t="s">
        <v>10383</v>
      </c>
      <c r="E10787" s="6" t="str">
        <f>HYPERLINK("https://twitter.com/petrogustavo/status/1314555591541620736","1314555591541620736")</f>
        <v>1314555591541620736</v>
      </c>
      <c r="F10787" s="7" t="s">
        <v>17</v>
      </c>
      <c r="G10787" s="7">
        <v>3988409</v>
      </c>
      <c r="H10787" s="7">
        <v>2445</v>
      </c>
      <c r="I10787" s="7">
        <v>133</v>
      </c>
      <c r="J10787" s="7">
        <v>360</v>
      </c>
      <c r="K10787" s="7" t="s">
        <v>18</v>
      </c>
      <c r="L10787" s="8">
        <v>39987.315405092595</v>
      </c>
      <c r="M10787" s="9" t="s">
        <v>19</v>
      </c>
      <c r="N10787" s="9" t="s">
        <v>20</v>
      </c>
      <c r="O10787" s="6" t="str">
        <f>HYPERLINK("https://pbs.twimg.com/profile_images/962471262747529216/Uo8lOkRJ_normal.jpg","View")</f>
        <v>View</v>
      </c>
      <c r="P10787" s="7"/>
    </row>
    <row r="10788" spans="1:16">
      <c r="A10788" s="3">
        <v>44113.787581018521</v>
      </c>
      <c r="B10788" s="4" t="str">
        <f>HYPERLINK("https://twitter.com/petrogustavo","@petrogustavo")</f>
        <v>@petrogustavo</v>
      </c>
      <c r="C10788" s="5" t="s">
        <v>16</v>
      </c>
      <c r="D10788" s="5" t="s">
        <v>10384</v>
      </c>
      <c r="E10788" s="6" t="str">
        <f>HYPERLINK("https://twitter.com/petrogustavo/status/1314557253643534336","1314557253643534336")</f>
        <v>1314557253643534336</v>
      </c>
      <c r="F10788" s="7" t="s">
        <v>17</v>
      </c>
      <c r="G10788" s="7">
        <v>3988409</v>
      </c>
      <c r="H10788" s="7">
        <v>2445</v>
      </c>
      <c r="I10788" s="7">
        <v>50</v>
      </c>
      <c r="J10788" s="7">
        <v>117</v>
      </c>
      <c r="K10788" s="7" t="s">
        <v>18</v>
      </c>
      <c r="L10788" s="8">
        <v>39987.315405092595</v>
      </c>
      <c r="M10788" s="9" t="s">
        <v>19</v>
      </c>
      <c r="N10788" s="9" t="s">
        <v>20</v>
      </c>
      <c r="O10788" s="6" t="str">
        <f>HYPERLINK("https://pbs.twimg.com/profile_images/962471262747529216/Uo8lOkRJ_normal.jpg","View")</f>
        <v>View</v>
      </c>
      <c r="P10788" s="7"/>
    </row>
    <row r="10789" spans="1:16">
      <c r="A10789" s="3">
        <v>44113.796736111108</v>
      </c>
      <c r="B10789" s="4" t="str">
        <f>HYPERLINK("https://twitter.com/petrogustavo","@petrogustavo")</f>
        <v>@petrogustavo</v>
      </c>
      <c r="C10789" s="5" t="s">
        <v>16</v>
      </c>
      <c r="D10789" s="5" t="s">
        <v>10385</v>
      </c>
      <c r="E10789" s="6" t="str">
        <f>HYPERLINK("https://twitter.com/petrogustavo/status/1314560571535220741","1314560571535220741")</f>
        <v>1314560571535220741</v>
      </c>
      <c r="F10789" s="7" t="s">
        <v>17</v>
      </c>
      <c r="G10789" s="7">
        <v>3988421</v>
      </c>
      <c r="H10789" s="7">
        <v>2445</v>
      </c>
      <c r="I10789" s="7">
        <v>113</v>
      </c>
      <c r="J10789" s="7">
        <v>267</v>
      </c>
      <c r="K10789" s="7" t="s">
        <v>18</v>
      </c>
      <c r="L10789" s="8">
        <v>39987.315405092595</v>
      </c>
      <c r="M10789" s="9" t="s">
        <v>19</v>
      </c>
      <c r="N10789" s="9" t="s">
        <v>20</v>
      </c>
      <c r="O10789" s="6" t="str">
        <f>HYPERLINK("https://pbs.twimg.com/profile_images/962471262747529216/Uo8lOkRJ_normal.jpg","View")</f>
        <v>View</v>
      </c>
      <c r="P10789" s="7"/>
    </row>
    <row r="10790" spans="1:16">
      <c r="A10790" s="3">
        <v>44113.797349537039</v>
      </c>
      <c r="B10790" s="4" t="str">
        <f>HYPERLINK("https://twitter.com/petrogustavo","@petrogustavo")</f>
        <v>@petrogustavo</v>
      </c>
      <c r="C10790" s="5" t="s">
        <v>16</v>
      </c>
      <c r="D10790" s="5" t="s">
        <v>10386</v>
      </c>
      <c r="E10790" s="6" t="str">
        <f>HYPERLINK("https://twitter.com/petrogustavo/status/1314560796517715969","1314560796517715969")</f>
        <v>1314560796517715969</v>
      </c>
      <c r="F10790" s="7" t="s">
        <v>17</v>
      </c>
      <c r="G10790" s="7">
        <v>3988421</v>
      </c>
      <c r="H10790" s="7">
        <v>2445</v>
      </c>
      <c r="I10790" s="7">
        <v>222</v>
      </c>
      <c r="J10790" s="7">
        <v>0</v>
      </c>
      <c r="K10790" s="7" t="s">
        <v>18</v>
      </c>
      <c r="L10790" s="8">
        <v>39987.315405092595</v>
      </c>
      <c r="M10790" s="9" t="s">
        <v>19</v>
      </c>
      <c r="N10790" s="9" t="s">
        <v>20</v>
      </c>
      <c r="O10790" s="6" t="str">
        <f>HYPERLINK("https://pbs.twimg.com/profile_images/962471262747529216/Uo8lOkRJ_normal.jpg","View")</f>
        <v>View</v>
      </c>
      <c r="P10790" s="7"/>
    </row>
    <row r="10791" spans="1:16">
      <c r="A10791" s="3">
        <v>44113.800949074073</v>
      </c>
      <c r="B10791" s="4" t="str">
        <f>HYPERLINK("https://twitter.com/petrogustavo","@petrogustavo")</f>
        <v>@petrogustavo</v>
      </c>
      <c r="C10791" s="5" t="s">
        <v>16</v>
      </c>
      <c r="D10791" s="5" t="s">
        <v>10387</v>
      </c>
      <c r="E10791" s="6" t="str">
        <f>HYPERLINK("https://twitter.com/petrogustavo/status/1314562099360804864","1314562099360804864")</f>
        <v>1314562099360804864</v>
      </c>
      <c r="F10791" s="7" t="s">
        <v>17</v>
      </c>
      <c r="G10791" s="7">
        <v>3988421</v>
      </c>
      <c r="H10791" s="7">
        <v>2445</v>
      </c>
      <c r="I10791" s="7">
        <v>55</v>
      </c>
      <c r="J10791" s="7">
        <v>138</v>
      </c>
      <c r="K10791" s="7" t="s">
        <v>18</v>
      </c>
      <c r="L10791" s="8">
        <v>39987.315405092595</v>
      </c>
      <c r="M10791" s="9" t="s">
        <v>19</v>
      </c>
      <c r="N10791" s="9" t="s">
        <v>20</v>
      </c>
      <c r="O10791" s="6" t="str">
        <f>HYPERLINK("https://pbs.twimg.com/profile_images/962471262747529216/Uo8lOkRJ_normal.jpg","View")</f>
        <v>View</v>
      </c>
      <c r="P10791" s="7"/>
    </row>
    <row r="10792" spans="1:16">
      <c r="A10792" s="3">
        <v>44113.802488425921</v>
      </c>
      <c r="B10792" s="4" t="str">
        <f>HYPERLINK("https://twitter.com/petrogustavo","@petrogustavo")</f>
        <v>@petrogustavo</v>
      </c>
      <c r="C10792" s="5" t="s">
        <v>16</v>
      </c>
      <c r="D10792" s="5" t="s">
        <v>10388</v>
      </c>
      <c r="E10792" s="6" t="str">
        <f>HYPERLINK("https://twitter.com/petrogustavo/status/1314562657509421063","1314562657509421063")</f>
        <v>1314562657509421063</v>
      </c>
      <c r="F10792" s="7" t="s">
        <v>17</v>
      </c>
      <c r="G10792" s="7">
        <v>3988421</v>
      </c>
      <c r="H10792" s="7">
        <v>2445</v>
      </c>
      <c r="I10792" s="7">
        <v>20</v>
      </c>
      <c r="J10792" s="7">
        <v>67</v>
      </c>
      <c r="K10792" s="7" t="s">
        <v>18</v>
      </c>
      <c r="L10792" s="8">
        <v>39987.315405092595</v>
      </c>
      <c r="M10792" s="9" t="s">
        <v>19</v>
      </c>
      <c r="N10792" s="9" t="s">
        <v>20</v>
      </c>
      <c r="O10792" s="6" t="str">
        <f>HYPERLINK("https://pbs.twimg.com/profile_images/962471262747529216/Uo8lOkRJ_normal.jpg","View")</f>
        <v>View</v>
      </c>
      <c r="P10792" s="7"/>
    </row>
    <row r="10793" spans="1:16">
      <c r="A10793" s="3">
        <v>44113.808993055558</v>
      </c>
      <c r="B10793" s="4" t="str">
        <f>HYPERLINK("https://twitter.com/petrogustavo","@petrogustavo")</f>
        <v>@petrogustavo</v>
      </c>
      <c r="C10793" s="5" t="s">
        <v>16</v>
      </c>
      <c r="D10793" s="5" t="s">
        <v>10389</v>
      </c>
      <c r="E10793" s="6" t="str">
        <f>HYPERLINK("https://twitter.com/petrogustavo/status/1314565013080870918","1314565013080870918")</f>
        <v>1314565013080870918</v>
      </c>
      <c r="F10793" s="7" t="s">
        <v>17</v>
      </c>
      <c r="G10793" s="7">
        <v>3988421</v>
      </c>
      <c r="H10793" s="7">
        <v>2445</v>
      </c>
      <c r="I10793" s="7">
        <v>17</v>
      </c>
      <c r="J10793" s="7">
        <v>0</v>
      </c>
      <c r="K10793" s="7" t="s">
        <v>18</v>
      </c>
      <c r="L10793" s="8">
        <v>39987.315405092595</v>
      </c>
      <c r="M10793" s="9" t="s">
        <v>19</v>
      </c>
      <c r="N10793" s="9" t="s">
        <v>20</v>
      </c>
      <c r="O10793" s="6" t="str">
        <f>HYPERLINK("https://pbs.twimg.com/profile_images/962471262747529216/Uo8lOkRJ_normal.jpg","View")</f>
        <v>View</v>
      </c>
      <c r="P10793" s="7"/>
    </row>
    <row r="10794" spans="1:16">
      <c r="A10794" s="3">
        <v>44113.809467592597</v>
      </c>
      <c r="B10794" s="4" t="str">
        <f>HYPERLINK("https://twitter.com/petrogustavo","@petrogustavo")</f>
        <v>@petrogustavo</v>
      </c>
      <c r="C10794" s="5" t="s">
        <v>16</v>
      </c>
      <c r="D10794" s="5" t="s">
        <v>10390</v>
      </c>
      <c r="E10794" s="6" t="str">
        <f>HYPERLINK("https://twitter.com/petrogustavo/status/1314565184879570947","1314565184879570947")</f>
        <v>1314565184879570947</v>
      </c>
      <c r="F10794" s="7" t="s">
        <v>17</v>
      </c>
      <c r="G10794" s="7">
        <v>3988421</v>
      </c>
      <c r="H10794" s="7">
        <v>2445</v>
      </c>
      <c r="I10794" s="7">
        <v>163</v>
      </c>
      <c r="J10794" s="7">
        <v>0</v>
      </c>
      <c r="K10794" s="7" t="s">
        <v>18</v>
      </c>
      <c r="L10794" s="8">
        <v>39987.315405092595</v>
      </c>
      <c r="M10794" s="9" t="s">
        <v>19</v>
      </c>
      <c r="N10794" s="9" t="s">
        <v>20</v>
      </c>
      <c r="O10794" s="6" t="str">
        <f>HYPERLINK("https://pbs.twimg.com/profile_images/962471262747529216/Uo8lOkRJ_normal.jpg","View")</f>
        <v>View</v>
      </c>
      <c r="P10794" s="7"/>
    </row>
    <row r="10795" spans="1:16">
      <c r="A10795" s="3">
        <v>44113.819733796292</v>
      </c>
      <c r="B10795" s="4" t="str">
        <f>HYPERLINK("https://twitter.com/petrogustavo","@petrogustavo")</f>
        <v>@petrogustavo</v>
      </c>
      <c r="C10795" s="5" t="s">
        <v>16</v>
      </c>
      <c r="D10795" s="5" t="s">
        <v>10391</v>
      </c>
      <c r="E10795" s="6" t="str">
        <f>HYPERLINK("https://twitter.com/petrogustavo/status/1314568907370434561","1314568907370434561")</f>
        <v>1314568907370434561</v>
      </c>
      <c r="F10795" s="7" t="s">
        <v>17</v>
      </c>
      <c r="G10795" s="7">
        <v>3988431</v>
      </c>
      <c r="H10795" s="7">
        <v>2445</v>
      </c>
      <c r="I10795" s="7">
        <v>69</v>
      </c>
      <c r="J10795" s="7">
        <v>141</v>
      </c>
      <c r="K10795" s="7" t="s">
        <v>18</v>
      </c>
      <c r="L10795" s="8">
        <v>39987.315405092595</v>
      </c>
      <c r="M10795" s="9" t="s">
        <v>19</v>
      </c>
      <c r="N10795" s="9" t="s">
        <v>20</v>
      </c>
      <c r="O10795" s="6" t="str">
        <f>HYPERLINK("https://pbs.twimg.com/profile_images/962471262747529216/Uo8lOkRJ_normal.jpg","View")</f>
        <v>View</v>
      </c>
      <c r="P10795" s="7"/>
    </row>
    <row r="10796" spans="1:16">
      <c r="A10796" s="3">
        <v>44113.824895833328</v>
      </c>
      <c r="B10796" s="4" t="str">
        <f>HYPERLINK("https://twitter.com/petrogustavo","@petrogustavo")</f>
        <v>@petrogustavo</v>
      </c>
      <c r="C10796" s="5" t="s">
        <v>16</v>
      </c>
      <c r="D10796" s="5" t="s">
        <v>10392</v>
      </c>
      <c r="E10796" s="6" t="str">
        <f>HYPERLINK("https://twitter.com/petrogustavo/status/1314570775446335488","1314570775446335488")</f>
        <v>1314570775446335488</v>
      </c>
      <c r="F10796" s="7" t="s">
        <v>17</v>
      </c>
      <c r="G10796" s="7">
        <v>3988431</v>
      </c>
      <c r="H10796" s="7">
        <v>2445</v>
      </c>
      <c r="I10796" s="7">
        <v>61</v>
      </c>
      <c r="J10796" s="7">
        <v>146</v>
      </c>
      <c r="K10796" s="7" t="s">
        <v>18</v>
      </c>
      <c r="L10796" s="8">
        <v>39987.315405092595</v>
      </c>
      <c r="M10796" s="9" t="s">
        <v>19</v>
      </c>
      <c r="N10796" s="9" t="s">
        <v>20</v>
      </c>
      <c r="O10796" s="6" t="str">
        <f>HYPERLINK("https://pbs.twimg.com/profile_images/962471262747529216/Uo8lOkRJ_normal.jpg","View")</f>
        <v>View</v>
      </c>
      <c r="P10796" s="7"/>
    </row>
    <row r="10797" spans="1:16">
      <c r="A10797" s="3">
        <v>44113.828333333338</v>
      </c>
      <c r="B10797" s="4" t="str">
        <f>HYPERLINK("https://twitter.com/petrogustavo","@petrogustavo")</f>
        <v>@petrogustavo</v>
      </c>
      <c r="C10797" s="5" t="s">
        <v>16</v>
      </c>
      <c r="D10797" s="5" t="s">
        <v>10393</v>
      </c>
      <c r="E10797" s="6" t="str">
        <f>HYPERLINK("https://twitter.com/petrogustavo/status/1314572021091700736","1314572021091700736")</f>
        <v>1314572021091700736</v>
      </c>
      <c r="F10797" s="7" t="s">
        <v>17</v>
      </c>
      <c r="G10797" s="7">
        <v>3988431</v>
      </c>
      <c r="H10797" s="7">
        <v>2445</v>
      </c>
      <c r="I10797" s="7">
        <v>48</v>
      </c>
      <c r="J10797" s="7">
        <v>99</v>
      </c>
      <c r="K10797" s="7" t="s">
        <v>18</v>
      </c>
      <c r="L10797" s="8">
        <v>39987.315405092595</v>
      </c>
      <c r="M10797" s="9" t="s">
        <v>19</v>
      </c>
      <c r="N10797" s="9" t="s">
        <v>20</v>
      </c>
      <c r="O10797" s="6" t="str">
        <f>HYPERLINK("https://pbs.twimg.com/profile_images/962471262747529216/Uo8lOkRJ_normal.jpg","View")</f>
        <v>View</v>
      </c>
      <c r="P10797" s="7"/>
    </row>
    <row r="10798" spans="1:16">
      <c r="A10798" s="3">
        <v>44113.830509259264</v>
      </c>
      <c r="B10798" s="4" t="str">
        <f>HYPERLINK("https://twitter.com/petrogustavo","@petrogustavo")</f>
        <v>@petrogustavo</v>
      </c>
      <c r="C10798" s="5" t="s">
        <v>16</v>
      </c>
      <c r="D10798" s="5" t="s">
        <v>10390</v>
      </c>
      <c r="E10798" s="6" t="str">
        <f>HYPERLINK("https://twitter.com/petrogustavo/status/1314572809440501760","1314572809440501760")</f>
        <v>1314572809440501760</v>
      </c>
      <c r="F10798" s="7" t="s">
        <v>17</v>
      </c>
      <c r="G10798" s="7">
        <v>3988431</v>
      </c>
      <c r="H10798" s="7">
        <v>2445</v>
      </c>
      <c r="I10798" s="7">
        <v>226</v>
      </c>
      <c r="J10798" s="7">
        <v>0</v>
      </c>
      <c r="K10798" s="7" t="s">
        <v>18</v>
      </c>
      <c r="L10798" s="8">
        <v>39987.315405092595</v>
      </c>
      <c r="M10798" s="9" t="s">
        <v>19</v>
      </c>
      <c r="N10798" s="9" t="s">
        <v>20</v>
      </c>
      <c r="O10798" s="6" t="str">
        <f>HYPERLINK("https://pbs.twimg.com/profile_images/962471262747529216/Uo8lOkRJ_normal.jpg","View")</f>
        <v>View</v>
      </c>
      <c r="P10798" s="7"/>
    </row>
    <row r="10799" spans="1:16">
      <c r="A10799" s="3">
        <v>44113.83388888889</v>
      </c>
      <c r="B10799" s="4" t="str">
        <f>HYPERLINK("https://twitter.com/petrogustavo","@petrogustavo")</f>
        <v>@petrogustavo</v>
      </c>
      <c r="C10799" s="5" t="s">
        <v>16</v>
      </c>
      <c r="D10799" s="5" t="s">
        <v>10394</v>
      </c>
      <c r="E10799" s="6" t="str">
        <f>HYPERLINK("https://twitter.com/petrogustavo/status/1314574037377576960","1314574037377576960")</f>
        <v>1314574037377576960</v>
      </c>
      <c r="F10799" s="7" t="s">
        <v>17</v>
      </c>
      <c r="G10799" s="7">
        <v>3988431</v>
      </c>
      <c r="H10799" s="7">
        <v>2445</v>
      </c>
      <c r="I10799" s="7">
        <v>131</v>
      </c>
      <c r="J10799" s="7">
        <v>0</v>
      </c>
      <c r="K10799" s="7" t="s">
        <v>18</v>
      </c>
      <c r="L10799" s="8">
        <v>39987.315405092595</v>
      </c>
      <c r="M10799" s="9" t="s">
        <v>19</v>
      </c>
      <c r="N10799" s="9" t="s">
        <v>20</v>
      </c>
      <c r="O10799" s="6" t="str">
        <f>HYPERLINK("https://pbs.twimg.com/profile_images/962471262747529216/Uo8lOkRJ_normal.jpg","View")</f>
        <v>View</v>
      </c>
      <c r="P10799" s="7"/>
    </row>
    <row r="10800" spans="1:16">
      <c r="A10800" s="3">
        <v>44113.834247685183</v>
      </c>
      <c r="B10800" s="4" t="str">
        <f>HYPERLINK("https://twitter.com/petrogustavo","@petrogustavo")</f>
        <v>@petrogustavo</v>
      </c>
      <c r="C10800" s="5" t="s">
        <v>16</v>
      </c>
      <c r="D10800" s="5" t="s">
        <v>10395</v>
      </c>
      <c r="E10800" s="6" t="str">
        <f>HYPERLINK("https://twitter.com/petrogustavo/status/1314574164351746055","1314574164351746055")</f>
        <v>1314574164351746055</v>
      </c>
      <c r="F10800" s="7" t="s">
        <v>17</v>
      </c>
      <c r="G10800" s="7">
        <v>3988431</v>
      </c>
      <c r="H10800" s="7">
        <v>2445</v>
      </c>
      <c r="I10800" s="7">
        <v>1533</v>
      </c>
      <c r="J10800" s="7">
        <v>0</v>
      </c>
      <c r="K10800" s="7" t="s">
        <v>18</v>
      </c>
      <c r="L10800" s="8">
        <v>39987.315405092595</v>
      </c>
      <c r="M10800" s="9" t="s">
        <v>19</v>
      </c>
      <c r="N10800" s="9" t="s">
        <v>20</v>
      </c>
      <c r="O10800" s="6" t="str">
        <f>HYPERLINK("https://pbs.twimg.com/profile_images/962471262747529216/Uo8lOkRJ_normal.jpg","View")</f>
        <v>View</v>
      </c>
      <c r="P10800" s="7"/>
    </row>
    <row r="10801" spans="1:16">
      <c r="A10801" s="3">
        <v>44113.857245370367</v>
      </c>
      <c r="B10801" s="4" t="str">
        <f>HYPERLINK("https://twitter.com/petrogustavo","@petrogustavo")</f>
        <v>@petrogustavo</v>
      </c>
      <c r="C10801" s="5" t="s">
        <v>16</v>
      </c>
      <c r="D10801" s="5" t="s">
        <v>10396</v>
      </c>
      <c r="E10801" s="6" t="str">
        <f>HYPERLINK("https://twitter.com/petrogustavo/status/1314582499083902976","1314582499083902976")</f>
        <v>1314582499083902976</v>
      </c>
      <c r="F10801" s="7" t="s">
        <v>17</v>
      </c>
      <c r="G10801" s="7">
        <v>3988457</v>
      </c>
      <c r="H10801" s="7">
        <v>2445</v>
      </c>
      <c r="I10801" s="7">
        <v>110</v>
      </c>
      <c r="J10801" s="7">
        <v>282</v>
      </c>
      <c r="K10801" s="7" t="s">
        <v>18</v>
      </c>
      <c r="L10801" s="8">
        <v>39987.315405092595</v>
      </c>
      <c r="M10801" s="9" t="s">
        <v>19</v>
      </c>
      <c r="N10801" s="9" t="s">
        <v>20</v>
      </c>
      <c r="O10801" s="6" t="str">
        <f>HYPERLINK("https://pbs.twimg.com/profile_images/962471262747529216/Uo8lOkRJ_normal.jpg","View")</f>
        <v>View</v>
      </c>
      <c r="P10801" s="7"/>
    </row>
    <row r="10802" spans="1:16">
      <c r="A10802" s="3">
        <v>44113.860312500001</v>
      </c>
      <c r="B10802" s="4" t="str">
        <f>HYPERLINK("https://twitter.com/petrogustavo","@petrogustavo")</f>
        <v>@petrogustavo</v>
      </c>
      <c r="C10802" s="5" t="s">
        <v>16</v>
      </c>
      <c r="D10802" s="5" t="s">
        <v>10397</v>
      </c>
      <c r="E10802" s="6" t="str">
        <f>HYPERLINK("https://twitter.com/petrogustavo/status/1314583611220332545","1314583611220332545")</f>
        <v>1314583611220332545</v>
      </c>
      <c r="F10802" s="7" t="s">
        <v>17</v>
      </c>
      <c r="G10802" s="7">
        <v>3988457</v>
      </c>
      <c r="H10802" s="7">
        <v>2445</v>
      </c>
      <c r="I10802" s="7">
        <v>41</v>
      </c>
      <c r="J10802" s="7">
        <v>92</v>
      </c>
      <c r="K10802" s="7" t="s">
        <v>18</v>
      </c>
      <c r="L10802" s="8">
        <v>39987.315405092595</v>
      </c>
      <c r="M10802" s="9" t="s">
        <v>19</v>
      </c>
      <c r="N10802" s="9" t="s">
        <v>20</v>
      </c>
      <c r="O10802" s="6" t="str">
        <f>HYPERLINK("https://pbs.twimg.com/profile_images/962471262747529216/Uo8lOkRJ_normal.jpg","View")</f>
        <v>View</v>
      </c>
      <c r="P10802" s="7"/>
    </row>
    <row r="10803" spans="1:16">
      <c r="A10803" s="3">
        <v>44113.871539351851</v>
      </c>
      <c r="B10803" s="4" t="str">
        <f>HYPERLINK("https://twitter.com/petrogustavo","@petrogustavo")</f>
        <v>@petrogustavo</v>
      </c>
      <c r="C10803" s="5" t="s">
        <v>16</v>
      </c>
      <c r="D10803" s="5" t="s">
        <v>10398</v>
      </c>
      <c r="E10803" s="6" t="str">
        <f>HYPERLINK("https://twitter.com/petrogustavo/status/1314587680706105344","1314587680706105344")</f>
        <v>1314587680706105344</v>
      </c>
      <c r="F10803" s="7" t="s">
        <v>17</v>
      </c>
      <c r="G10803" s="7">
        <v>3988457</v>
      </c>
      <c r="H10803" s="7">
        <v>2445</v>
      </c>
      <c r="I10803" s="7">
        <v>63</v>
      </c>
      <c r="J10803" s="7">
        <v>131</v>
      </c>
      <c r="K10803" s="7" t="s">
        <v>18</v>
      </c>
      <c r="L10803" s="8">
        <v>39987.315405092595</v>
      </c>
      <c r="M10803" s="9" t="s">
        <v>19</v>
      </c>
      <c r="N10803" s="9" t="s">
        <v>20</v>
      </c>
      <c r="O10803" s="6" t="str">
        <f>HYPERLINK("https://pbs.twimg.com/profile_images/962471262747529216/Uo8lOkRJ_normal.jpg","View")</f>
        <v>View</v>
      </c>
      <c r="P10803" s="7"/>
    </row>
    <row r="10804" spans="1:16">
      <c r="A10804" s="3">
        <v>44114.042754629627</v>
      </c>
      <c r="B10804" s="4" t="str">
        <f>HYPERLINK("https://twitter.com/petrogustavo","@petrogustavo")</f>
        <v>@petrogustavo</v>
      </c>
      <c r="C10804" s="5" t="s">
        <v>16</v>
      </c>
      <c r="D10804" s="5" t="s">
        <v>10399</v>
      </c>
      <c r="E10804" s="6" t="str">
        <f>HYPERLINK("https://twitter.com/petrogustavo/status/1314649727074537475","1314649727074537475")</f>
        <v>1314649727074537475</v>
      </c>
      <c r="F10804" s="7" t="s">
        <v>17</v>
      </c>
      <c r="G10804" s="7">
        <v>3988523</v>
      </c>
      <c r="H10804" s="7">
        <v>2445</v>
      </c>
      <c r="I10804" s="7">
        <v>232</v>
      </c>
      <c r="J10804" s="7">
        <v>0</v>
      </c>
      <c r="K10804" s="7" t="s">
        <v>18</v>
      </c>
      <c r="L10804" s="8">
        <v>39987.315405092595</v>
      </c>
      <c r="M10804" s="9" t="s">
        <v>19</v>
      </c>
      <c r="N10804" s="9" t="s">
        <v>20</v>
      </c>
      <c r="O10804" s="6" t="str">
        <f>HYPERLINK("https://pbs.twimg.com/profile_images/962471262747529216/Uo8lOkRJ_normal.jpg","View")</f>
        <v>View</v>
      </c>
      <c r="P10804" s="7"/>
    </row>
    <row r="10805" spans="1:16">
      <c r="A10805" s="3">
        <v>44114.043900462959</v>
      </c>
      <c r="B10805" s="4" t="str">
        <f>HYPERLINK("https://twitter.com/petrogustavo","@petrogustavo")</f>
        <v>@petrogustavo</v>
      </c>
      <c r="C10805" s="5" t="s">
        <v>16</v>
      </c>
      <c r="D10805" s="5" t="s">
        <v>10400</v>
      </c>
      <c r="E10805" s="6" t="str">
        <f>HYPERLINK("https://twitter.com/petrogustavo/status/1314650142625140736","1314650142625140736")</f>
        <v>1314650142625140736</v>
      </c>
      <c r="F10805" s="7" t="s">
        <v>17</v>
      </c>
      <c r="G10805" s="7">
        <v>3988540</v>
      </c>
      <c r="H10805" s="7">
        <v>2445</v>
      </c>
      <c r="I10805" s="7">
        <v>431</v>
      </c>
      <c r="J10805" s="7">
        <v>0</v>
      </c>
      <c r="K10805" s="7" t="s">
        <v>18</v>
      </c>
      <c r="L10805" s="8">
        <v>39987.315405092595</v>
      </c>
      <c r="M10805" s="9" t="s">
        <v>19</v>
      </c>
      <c r="N10805" s="9" t="s">
        <v>20</v>
      </c>
      <c r="O10805" s="6" t="str">
        <f>HYPERLINK("https://pbs.twimg.com/profile_images/962471262747529216/Uo8lOkRJ_normal.jpg","View")</f>
        <v>View</v>
      </c>
      <c r="P10805" s="7"/>
    </row>
    <row r="10806" spans="1:16">
      <c r="A10806" s="3">
        <v>44114.044629629629</v>
      </c>
      <c r="B10806" s="4" t="str">
        <f>HYPERLINK("https://twitter.com/petrogustavo","@petrogustavo")</f>
        <v>@petrogustavo</v>
      </c>
      <c r="C10806" s="5" t="s">
        <v>16</v>
      </c>
      <c r="D10806" s="5" t="s">
        <v>10401</v>
      </c>
      <c r="E10806" s="6" t="str">
        <f>HYPERLINK("https://twitter.com/petrogustavo/status/1314650407973593090","1314650407973593090")</f>
        <v>1314650407973593090</v>
      </c>
      <c r="F10806" s="7" t="s">
        <v>17</v>
      </c>
      <c r="G10806" s="7">
        <v>3988540</v>
      </c>
      <c r="H10806" s="7">
        <v>2445</v>
      </c>
      <c r="I10806" s="7">
        <v>246</v>
      </c>
      <c r="J10806" s="7">
        <v>1249</v>
      </c>
      <c r="K10806" s="7" t="s">
        <v>18</v>
      </c>
      <c r="L10806" s="8">
        <v>39987.315405092595</v>
      </c>
      <c r="M10806" s="9" t="s">
        <v>19</v>
      </c>
      <c r="N10806" s="9" t="s">
        <v>20</v>
      </c>
      <c r="O10806" s="6" t="str">
        <f>HYPERLINK("https://pbs.twimg.com/profile_images/962471262747529216/Uo8lOkRJ_normal.jpg","View")</f>
        <v>View</v>
      </c>
      <c r="P10806" s="7"/>
    </row>
    <row r="10807" spans="1:16">
      <c r="A10807" s="3">
        <v>44114.045011574075</v>
      </c>
      <c r="B10807" s="4" t="str">
        <f>HYPERLINK("https://twitter.com/petrogustavo","@petrogustavo")</f>
        <v>@petrogustavo</v>
      </c>
      <c r="C10807" s="5" t="s">
        <v>16</v>
      </c>
      <c r="D10807" s="5" t="s">
        <v>10402</v>
      </c>
      <c r="E10807" s="6" t="str">
        <f>HYPERLINK("https://twitter.com/petrogustavo/status/1314650545089585160","1314650545089585160")</f>
        <v>1314650545089585160</v>
      </c>
      <c r="F10807" s="7" t="s">
        <v>17</v>
      </c>
      <c r="G10807" s="7">
        <v>3988540</v>
      </c>
      <c r="H10807" s="7">
        <v>2445</v>
      </c>
      <c r="I10807" s="7">
        <v>337</v>
      </c>
      <c r="J10807" s="7">
        <v>0</v>
      </c>
      <c r="K10807" s="7" t="s">
        <v>18</v>
      </c>
      <c r="L10807" s="8">
        <v>39987.315405092595</v>
      </c>
      <c r="M10807" s="9" t="s">
        <v>19</v>
      </c>
      <c r="N10807" s="9" t="s">
        <v>20</v>
      </c>
      <c r="O10807" s="6" t="str">
        <f>HYPERLINK("https://pbs.twimg.com/profile_images/962471262747529216/Uo8lOkRJ_normal.jpg","View")</f>
        <v>View</v>
      </c>
      <c r="P10807" s="7"/>
    </row>
    <row r="10808" spans="1:16">
      <c r="A10808" s="3">
        <v>44114.047094907408</v>
      </c>
      <c r="B10808" s="4" t="str">
        <f>HYPERLINK("https://twitter.com/petrogustavo","@petrogustavo")</f>
        <v>@petrogustavo</v>
      </c>
      <c r="C10808" s="5" t="s">
        <v>16</v>
      </c>
      <c r="D10808" s="5" t="s">
        <v>10403</v>
      </c>
      <c r="E10808" s="6" t="str">
        <f>HYPERLINK("https://twitter.com/petrogustavo/status/1314651299703664642","1314651299703664642")</f>
        <v>1314651299703664642</v>
      </c>
      <c r="F10808" s="7" t="s">
        <v>17</v>
      </c>
      <c r="G10808" s="7">
        <v>3988540</v>
      </c>
      <c r="H10808" s="7">
        <v>2445</v>
      </c>
      <c r="I10808" s="7">
        <v>49</v>
      </c>
      <c r="J10808" s="7">
        <v>111</v>
      </c>
      <c r="K10808" s="7" t="s">
        <v>18</v>
      </c>
      <c r="L10808" s="8">
        <v>39987.315405092595</v>
      </c>
      <c r="M10808" s="9" t="s">
        <v>19</v>
      </c>
      <c r="N10808" s="9" t="s">
        <v>20</v>
      </c>
      <c r="O10808" s="6" t="str">
        <f>HYPERLINK("https://pbs.twimg.com/profile_images/962471262747529216/Uo8lOkRJ_normal.jpg","View")</f>
        <v>View</v>
      </c>
      <c r="P10808" s="7"/>
    </row>
    <row r="10809" spans="1:16">
      <c r="A10809" s="3">
        <v>44114.051168981481</v>
      </c>
      <c r="B10809" s="4" t="str">
        <f>HYPERLINK("https://twitter.com/petrogustavo","@petrogustavo")</f>
        <v>@petrogustavo</v>
      </c>
      <c r="C10809" s="5" t="s">
        <v>16</v>
      </c>
      <c r="D10809" s="5" t="s">
        <v>10404</v>
      </c>
      <c r="E10809" s="6" t="str">
        <f>HYPERLINK("https://twitter.com/petrogustavo/status/1314652774001504259","1314652774001504259")</f>
        <v>1314652774001504259</v>
      </c>
      <c r="F10809" s="7" t="s">
        <v>17</v>
      </c>
      <c r="G10809" s="7">
        <v>3988540</v>
      </c>
      <c r="H10809" s="7">
        <v>2445</v>
      </c>
      <c r="I10809" s="7">
        <v>128</v>
      </c>
      <c r="J10809" s="7">
        <v>298</v>
      </c>
      <c r="K10809" s="7" t="s">
        <v>18</v>
      </c>
      <c r="L10809" s="8">
        <v>39987.315405092595</v>
      </c>
      <c r="M10809" s="9" t="s">
        <v>19</v>
      </c>
      <c r="N10809" s="9" t="s">
        <v>20</v>
      </c>
      <c r="O10809" s="6" t="str">
        <f>HYPERLINK("https://pbs.twimg.com/profile_images/962471262747529216/Uo8lOkRJ_normal.jpg","View")</f>
        <v>View</v>
      </c>
      <c r="P10809" s="7"/>
    </row>
    <row r="10810" spans="1:16">
      <c r="A10810" s="3">
        <v>44114.059062500004</v>
      </c>
      <c r="B10810" s="4" t="str">
        <f>HYPERLINK("https://twitter.com/petrogustavo","@petrogustavo")</f>
        <v>@petrogustavo</v>
      </c>
      <c r="C10810" s="5" t="s">
        <v>16</v>
      </c>
      <c r="D10810" s="5" t="s">
        <v>10405</v>
      </c>
      <c r="E10810" s="6" t="str">
        <f>HYPERLINK("https://twitter.com/petrogustavo/status/1314655635011764231","1314655635011764231")</f>
        <v>1314655635011764231</v>
      </c>
      <c r="F10810" s="7" t="s">
        <v>17</v>
      </c>
      <c r="G10810" s="7">
        <v>3988540</v>
      </c>
      <c r="H10810" s="7">
        <v>2445</v>
      </c>
      <c r="I10810" s="7">
        <v>30</v>
      </c>
      <c r="J10810" s="7">
        <v>80</v>
      </c>
      <c r="K10810" s="7" t="s">
        <v>18</v>
      </c>
      <c r="L10810" s="8">
        <v>39987.315405092595</v>
      </c>
      <c r="M10810" s="9" t="s">
        <v>19</v>
      </c>
      <c r="N10810" s="9" t="s">
        <v>20</v>
      </c>
      <c r="O10810" s="6" t="str">
        <f>HYPERLINK("https://pbs.twimg.com/profile_images/962471262747529216/Uo8lOkRJ_normal.jpg","View")</f>
        <v>View</v>
      </c>
      <c r="P10810" s="7"/>
    </row>
    <row r="10811" spans="1:16">
      <c r="A10811" s="3">
        <v>44114.070787037039</v>
      </c>
      <c r="B10811" s="4" t="str">
        <f>HYPERLINK("https://twitter.com/petrogustavo","@petrogustavo")</f>
        <v>@petrogustavo</v>
      </c>
      <c r="C10811" s="5" t="s">
        <v>16</v>
      </c>
      <c r="D10811" s="5" t="s">
        <v>10406</v>
      </c>
      <c r="E10811" s="6" t="str">
        <f>HYPERLINK("https://twitter.com/petrogustavo/status/1314659884361809920","1314659884361809920")</f>
        <v>1314659884361809920</v>
      </c>
      <c r="F10811" s="7" t="s">
        <v>17</v>
      </c>
      <c r="G10811" s="7">
        <v>3988551</v>
      </c>
      <c r="H10811" s="7">
        <v>2445</v>
      </c>
      <c r="I10811" s="7">
        <v>26</v>
      </c>
      <c r="J10811" s="7">
        <v>64</v>
      </c>
      <c r="K10811" s="7" t="s">
        <v>18</v>
      </c>
      <c r="L10811" s="8">
        <v>39987.315405092595</v>
      </c>
      <c r="M10811" s="9" t="s">
        <v>19</v>
      </c>
      <c r="N10811" s="9" t="s">
        <v>20</v>
      </c>
      <c r="O10811" s="6" t="str">
        <f>HYPERLINK("https://pbs.twimg.com/profile_images/962471262747529216/Uo8lOkRJ_normal.jpg","View")</f>
        <v>View</v>
      </c>
      <c r="P10811" s="7"/>
    </row>
    <row r="10812" spans="1:16">
      <c r="A10812" s="3">
        <v>44114.072696759264</v>
      </c>
      <c r="B10812" s="4" t="str">
        <f>HYPERLINK("https://twitter.com/petrogustavo","@petrogustavo")</f>
        <v>@petrogustavo</v>
      </c>
      <c r="C10812" s="5" t="s">
        <v>16</v>
      </c>
      <c r="D10812" s="5" t="s">
        <v>10407</v>
      </c>
      <c r="E10812" s="6" t="str">
        <f>HYPERLINK("https://twitter.com/petrogustavo/status/1314660578250633219","1314660578250633219")</f>
        <v>1314660578250633219</v>
      </c>
      <c r="F10812" s="7" t="s">
        <v>17</v>
      </c>
      <c r="G10812" s="7">
        <v>3988551</v>
      </c>
      <c r="H10812" s="7">
        <v>2445</v>
      </c>
      <c r="I10812" s="7">
        <v>78</v>
      </c>
      <c r="J10812" s="7">
        <v>120</v>
      </c>
      <c r="K10812" s="7" t="s">
        <v>18</v>
      </c>
      <c r="L10812" s="8">
        <v>39987.315405092595</v>
      </c>
      <c r="M10812" s="9" t="s">
        <v>19</v>
      </c>
      <c r="N10812" s="9" t="s">
        <v>20</v>
      </c>
      <c r="O10812" s="6" t="str">
        <f>HYPERLINK("https://pbs.twimg.com/profile_images/962471262747529216/Uo8lOkRJ_normal.jpg","View")</f>
        <v>View</v>
      </c>
      <c r="P10812" s="7"/>
    </row>
    <row r="10813" spans="1:16">
      <c r="A10813" s="3">
        <v>44114.080509259264</v>
      </c>
      <c r="B10813" s="4" t="str">
        <f>HYPERLINK("https://twitter.com/petrogustavo","@petrogustavo")</f>
        <v>@petrogustavo</v>
      </c>
      <c r="C10813" s="5" t="s">
        <v>16</v>
      </c>
      <c r="D10813" s="5" t="s">
        <v>10408</v>
      </c>
      <c r="E10813" s="6" t="str">
        <f>HYPERLINK("https://twitter.com/petrogustavo/status/1314663409787568128","1314663409787568128")</f>
        <v>1314663409787568128</v>
      </c>
      <c r="F10813" s="7" t="s">
        <v>17</v>
      </c>
      <c r="G10813" s="7">
        <v>3988551</v>
      </c>
      <c r="H10813" s="7">
        <v>2445</v>
      </c>
      <c r="I10813" s="7">
        <v>39</v>
      </c>
      <c r="J10813" s="7">
        <v>87</v>
      </c>
      <c r="K10813" s="7" t="s">
        <v>18</v>
      </c>
      <c r="L10813" s="8">
        <v>39987.315405092595</v>
      </c>
      <c r="M10813" s="9" t="s">
        <v>19</v>
      </c>
      <c r="N10813" s="9" t="s">
        <v>20</v>
      </c>
      <c r="O10813" s="6" t="str">
        <f>HYPERLINK("https://pbs.twimg.com/profile_images/962471262747529216/Uo8lOkRJ_normal.jpg","View")</f>
        <v>View</v>
      </c>
      <c r="P10813" s="7"/>
    </row>
    <row r="10814" spans="1:16">
      <c r="A10814" s="3">
        <v>44114.085775462961</v>
      </c>
      <c r="B10814" s="4" t="str">
        <f>HYPERLINK("https://twitter.com/petrogustavo","@petrogustavo")</f>
        <v>@petrogustavo</v>
      </c>
      <c r="C10814" s="5" t="s">
        <v>16</v>
      </c>
      <c r="D10814" s="5" t="s">
        <v>10409</v>
      </c>
      <c r="E10814" s="6" t="str">
        <f>HYPERLINK("https://twitter.com/petrogustavo/status/1314665316228755462","1314665316228755462")</f>
        <v>1314665316228755462</v>
      </c>
      <c r="F10814" s="7" t="s">
        <v>17</v>
      </c>
      <c r="G10814" s="7">
        <v>3988543</v>
      </c>
      <c r="H10814" s="7">
        <v>2446</v>
      </c>
      <c r="I10814" s="7">
        <v>214</v>
      </c>
      <c r="J10814" s="7">
        <v>0</v>
      </c>
      <c r="K10814" s="7" t="s">
        <v>18</v>
      </c>
      <c r="L10814" s="8">
        <v>39987.315405092595</v>
      </c>
      <c r="M10814" s="9" t="s">
        <v>19</v>
      </c>
      <c r="N10814" s="9" t="s">
        <v>20</v>
      </c>
      <c r="O10814" s="6" t="str">
        <f>HYPERLINK("https://pbs.twimg.com/profile_images/962471262747529216/Uo8lOkRJ_normal.jpg","View")</f>
        <v>View</v>
      </c>
      <c r="P10814" s="7"/>
    </row>
    <row r="10815" spans="1:16">
      <c r="A10815" s="3">
        <v>44114.093472222223</v>
      </c>
      <c r="B10815" s="4" t="str">
        <f>HYPERLINK("https://twitter.com/petrogustavo","@petrogustavo")</f>
        <v>@petrogustavo</v>
      </c>
      <c r="C10815" s="5" t="s">
        <v>16</v>
      </c>
      <c r="D10815" s="5" t="s">
        <v>10410</v>
      </c>
      <c r="E10815" s="6" t="str">
        <f>HYPERLINK("https://twitter.com/petrogustavo/status/1314668106292383746","1314668106292383746")</f>
        <v>1314668106292383746</v>
      </c>
      <c r="F10815" s="7" t="s">
        <v>17</v>
      </c>
      <c r="G10815" s="7">
        <v>3988543</v>
      </c>
      <c r="H10815" s="7">
        <v>2446</v>
      </c>
      <c r="I10815" s="7">
        <v>27</v>
      </c>
      <c r="J10815" s="7">
        <v>75</v>
      </c>
      <c r="K10815" s="7" t="s">
        <v>18</v>
      </c>
      <c r="L10815" s="8">
        <v>39987.315405092595</v>
      </c>
      <c r="M10815" s="9" t="s">
        <v>19</v>
      </c>
      <c r="N10815" s="9" t="s">
        <v>20</v>
      </c>
      <c r="O10815" s="6" t="str">
        <f>HYPERLINK("https://pbs.twimg.com/profile_images/962471262747529216/Uo8lOkRJ_normal.jpg","View")</f>
        <v>View</v>
      </c>
      <c r="P10815" s="7"/>
    </row>
    <row r="10816" spans="1:16">
      <c r="A10816" s="3">
        <v>44114.142233796301</v>
      </c>
      <c r="B10816" s="4" t="str">
        <f>HYPERLINK("https://twitter.com/petrogustavo","@petrogustavo")</f>
        <v>@petrogustavo</v>
      </c>
      <c r="C10816" s="5" t="s">
        <v>16</v>
      </c>
      <c r="D10816" s="5" t="s">
        <v>10411</v>
      </c>
      <c r="E10816" s="6" t="str">
        <f>HYPERLINK("https://twitter.com/petrogustavo/status/1314685775678668800","1314685775678668800")</f>
        <v>1314685775678668800</v>
      </c>
      <c r="F10816" s="7" t="s">
        <v>32</v>
      </c>
      <c r="G10816" s="7">
        <v>3988569</v>
      </c>
      <c r="H10816" s="7">
        <v>2446</v>
      </c>
      <c r="I10816" s="7">
        <v>18</v>
      </c>
      <c r="J10816" s="7">
        <v>0</v>
      </c>
      <c r="K10816" s="7" t="s">
        <v>18</v>
      </c>
      <c r="L10816" s="8">
        <v>39987.315405092595</v>
      </c>
      <c r="M10816" s="9" t="s">
        <v>19</v>
      </c>
      <c r="N10816" s="9" t="s">
        <v>20</v>
      </c>
      <c r="O10816" s="6" t="str">
        <f>HYPERLINK("https://pbs.twimg.com/profile_images/962471262747529216/Uo8lOkRJ_normal.jpg","View")</f>
        <v>View</v>
      </c>
      <c r="P10816" s="7"/>
    </row>
    <row r="10817" spans="1:16">
      <c r="A10817" s="3">
        <v>44114.184444444443</v>
      </c>
      <c r="B10817" s="4" t="str">
        <f>HYPERLINK("https://twitter.com/petrogustavo","@petrogustavo")</f>
        <v>@petrogustavo</v>
      </c>
      <c r="C10817" s="5" t="s">
        <v>16</v>
      </c>
      <c r="D10817" s="5" t="s">
        <v>10412</v>
      </c>
      <c r="E10817" s="6" t="str">
        <f>HYPERLINK("https://twitter.com/petrogustavo/status/1314701073530191874","1314701073530191874")</f>
        <v>1314701073530191874</v>
      </c>
      <c r="F10817" s="7" t="s">
        <v>32</v>
      </c>
      <c r="G10817" s="7">
        <v>3988561</v>
      </c>
      <c r="H10817" s="7">
        <v>2445</v>
      </c>
      <c r="I10817" s="7">
        <v>280</v>
      </c>
      <c r="J10817" s="7">
        <v>0</v>
      </c>
      <c r="K10817" s="7" t="s">
        <v>18</v>
      </c>
      <c r="L10817" s="8">
        <v>39987.315405092595</v>
      </c>
      <c r="M10817" s="9" t="s">
        <v>19</v>
      </c>
      <c r="N10817" s="9" t="s">
        <v>20</v>
      </c>
      <c r="O10817" s="6" t="str">
        <f>HYPERLINK("https://pbs.twimg.com/profile_images/962471262747529216/Uo8lOkRJ_normal.jpg","View")</f>
        <v>View</v>
      </c>
      <c r="P10817" s="7"/>
    </row>
    <row r="10818" spans="1:16">
      <c r="A10818" s="3">
        <v>44114.860092592593</v>
      </c>
      <c r="B10818" s="4" t="str">
        <f>HYPERLINK("https://twitter.com/petrogustavo","@petrogustavo")</f>
        <v>@petrogustavo</v>
      </c>
      <c r="C10818" s="5" t="s">
        <v>16</v>
      </c>
      <c r="D10818" s="5" t="s">
        <v>10413</v>
      </c>
      <c r="E10818" s="6" t="str">
        <f>HYPERLINK("https://twitter.com/petrogustavo/status/1314945919251611651","1314945919251611651")</f>
        <v>1314945919251611651</v>
      </c>
      <c r="F10818" s="7" t="s">
        <v>32</v>
      </c>
      <c r="G10818" s="7">
        <v>3988844</v>
      </c>
      <c r="H10818" s="7">
        <v>2443</v>
      </c>
      <c r="I10818" s="7">
        <v>455</v>
      </c>
      <c r="J10818" s="7">
        <v>1995</v>
      </c>
      <c r="K10818" s="7" t="s">
        <v>18</v>
      </c>
      <c r="L10818" s="8">
        <v>39987.315405092595</v>
      </c>
      <c r="M10818" s="9" t="s">
        <v>19</v>
      </c>
      <c r="N10818" s="9" t="s">
        <v>20</v>
      </c>
      <c r="O10818" s="6" t="str">
        <f>HYPERLINK("https://pbs.twimg.com/profile_images/962471262747529216/Uo8lOkRJ_normal.jpg","View")</f>
        <v>View</v>
      </c>
      <c r="P10818" s="7"/>
    </row>
    <row r="10819" spans="1:16">
      <c r="A10819" s="3">
        <v>44114.877581018518</v>
      </c>
      <c r="B10819" s="4" t="str">
        <f>HYPERLINK("https://twitter.com/petrogustavo","@petrogustavo")</f>
        <v>@petrogustavo</v>
      </c>
      <c r="C10819" s="5" t="s">
        <v>16</v>
      </c>
      <c r="D10819" s="5" t="s">
        <v>10414</v>
      </c>
      <c r="E10819" s="6" t="str">
        <f>HYPERLINK("https://twitter.com/petrogustavo/status/1314952256454832130","1314952256454832130")</f>
        <v>1314952256454832130</v>
      </c>
      <c r="F10819" s="7" t="s">
        <v>32</v>
      </c>
      <c r="G10819" s="7">
        <v>3988854</v>
      </c>
      <c r="H10819" s="7">
        <v>2442</v>
      </c>
      <c r="I10819" s="7">
        <v>1112</v>
      </c>
      <c r="J10819" s="7">
        <v>4706</v>
      </c>
      <c r="K10819" s="7" t="s">
        <v>18</v>
      </c>
      <c r="L10819" s="8">
        <v>39987.315405092595</v>
      </c>
      <c r="M10819" s="9" t="s">
        <v>19</v>
      </c>
      <c r="N10819" s="9" t="s">
        <v>20</v>
      </c>
      <c r="O10819" s="6" t="str">
        <f>HYPERLINK("https://pbs.twimg.com/profile_images/962471262747529216/Uo8lOkRJ_normal.jpg","View")</f>
        <v>View</v>
      </c>
      <c r="P10819" s="7"/>
    </row>
    <row r="10820" spans="1:16">
      <c r="A10820" s="3">
        <v>44114.914317129631</v>
      </c>
      <c r="B10820" s="4" t="str">
        <f>HYPERLINK("https://twitter.com/petrogustavo","@petrogustavo")</f>
        <v>@petrogustavo</v>
      </c>
      <c r="C10820" s="5" t="s">
        <v>16</v>
      </c>
      <c r="D10820" s="5" t="s">
        <v>10415</v>
      </c>
      <c r="E10820" s="6" t="str">
        <f>HYPERLINK("https://twitter.com/petrogustavo/status/1314965569410674688","1314965569410674688")</f>
        <v>1314965569410674688</v>
      </c>
      <c r="F10820" s="7" t="s">
        <v>32</v>
      </c>
      <c r="G10820" s="7">
        <v>3988873</v>
      </c>
      <c r="H10820" s="7">
        <v>2442</v>
      </c>
      <c r="I10820" s="7">
        <v>86</v>
      </c>
      <c r="J10820" s="7">
        <v>336</v>
      </c>
      <c r="K10820" s="7" t="s">
        <v>18</v>
      </c>
      <c r="L10820" s="8">
        <v>39987.315405092595</v>
      </c>
      <c r="M10820" s="9" t="s">
        <v>19</v>
      </c>
      <c r="N10820" s="9" t="s">
        <v>20</v>
      </c>
      <c r="O10820" s="6" t="str">
        <f>HYPERLINK("https://pbs.twimg.com/profile_images/962471262747529216/Uo8lOkRJ_normal.jpg","View")</f>
        <v>View</v>
      </c>
      <c r="P10820" s="7"/>
    </row>
    <row r="10821" spans="1:16">
      <c r="A10821" s="3">
        <v>44114.916631944448</v>
      </c>
      <c r="B10821" s="4" t="str">
        <f>HYPERLINK("https://twitter.com/petrogustavo","@petrogustavo")</f>
        <v>@petrogustavo</v>
      </c>
      <c r="C10821" s="5" t="s">
        <v>16</v>
      </c>
      <c r="D10821" s="5" t="s">
        <v>10416</v>
      </c>
      <c r="E10821" s="6" t="str">
        <f>HYPERLINK("https://twitter.com/petrogustavo/status/1314966408158216197","1314966408158216197")</f>
        <v>1314966408158216197</v>
      </c>
      <c r="F10821" s="7" t="s">
        <v>32</v>
      </c>
      <c r="G10821" s="7">
        <v>3988873</v>
      </c>
      <c r="H10821" s="7">
        <v>2442</v>
      </c>
      <c r="I10821" s="7">
        <v>75</v>
      </c>
      <c r="J10821" s="7">
        <v>228</v>
      </c>
      <c r="K10821" s="7" t="s">
        <v>18</v>
      </c>
      <c r="L10821" s="8">
        <v>39987.315405092595</v>
      </c>
      <c r="M10821" s="9" t="s">
        <v>19</v>
      </c>
      <c r="N10821" s="9" t="s">
        <v>20</v>
      </c>
      <c r="O10821" s="6" t="str">
        <f>HYPERLINK("https://pbs.twimg.com/profile_images/962471262747529216/Uo8lOkRJ_normal.jpg","View")</f>
        <v>View</v>
      </c>
      <c r="P10821" s="7"/>
    </row>
    <row r="10822" spans="1:16">
      <c r="A10822" s="3">
        <v>44114.921817129631</v>
      </c>
      <c r="B10822" s="4" t="str">
        <f>HYPERLINK("https://twitter.com/petrogustavo","@petrogustavo")</f>
        <v>@petrogustavo</v>
      </c>
      <c r="C10822" s="5" t="s">
        <v>16</v>
      </c>
      <c r="D10822" s="5" t="s">
        <v>10417</v>
      </c>
      <c r="E10822" s="6" t="str">
        <f>HYPERLINK("https://twitter.com/petrogustavo/status/1314968287034433536","1314968287034433536")</f>
        <v>1314968287034433536</v>
      </c>
      <c r="F10822" s="7" t="s">
        <v>32</v>
      </c>
      <c r="G10822" s="7">
        <v>3988889</v>
      </c>
      <c r="H10822" s="7">
        <v>2442</v>
      </c>
      <c r="I10822" s="7">
        <v>2291</v>
      </c>
      <c r="J10822" s="7">
        <v>0</v>
      </c>
      <c r="K10822" s="7" t="s">
        <v>18</v>
      </c>
      <c r="L10822" s="8">
        <v>39987.315405092595</v>
      </c>
      <c r="M10822" s="9" t="s">
        <v>19</v>
      </c>
      <c r="N10822" s="9" t="s">
        <v>20</v>
      </c>
      <c r="O10822" s="6" t="str">
        <f>HYPERLINK("https://pbs.twimg.com/profile_images/962471262747529216/Uo8lOkRJ_normal.jpg","View")</f>
        <v>View</v>
      </c>
      <c r="P10822" s="7"/>
    </row>
    <row r="10823" spans="1:16">
      <c r="A10823" s="3">
        <v>44114.934861111113</v>
      </c>
      <c r="B10823" s="4" t="str">
        <f>HYPERLINK("https://twitter.com/petrogustavo","@petrogustavo")</f>
        <v>@petrogustavo</v>
      </c>
      <c r="C10823" s="5" t="s">
        <v>16</v>
      </c>
      <c r="D10823" s="5" t="s">
        <v>10418</v>
      </c>
      <c r="E10823" s="6" t="str">
        <f>HYPERLINK("https://twitter.com/petrogustavo/status/1314973013964709890","1314973013964709890")</f>
        <v>1314973013964709890</v>
      </c>
      <c r="F10823" s="7" t="s">
        <v>32</v>
      </c>
      <c r="G10823" s="7">
        <v>3988889</v>
      </c>
      <c r="H10823" s="7">
        <v>2442</v>
      </c>
      <c r="I10823" s="7">
        <v>35</v>
      </c>
      <c r="J10823" s="7">
        <v>105</v>
      </c>
      <c r="K10823" s="7" t="s">
        <v>18</v>
      </c>
      <c r="L10823" s="8">
        <v>39987.315405092595</v>
      </c>
      <c r="M10823" s="9" t="s">
        <v>19</v>
      </c>
      <c r="N10823" s="9" t="s">
        <v>20</v>
      </c>
      <c r="O10823" s="6" t="str">
        <f>HYPERLINK("https://pbs.twimg.com/profile_images/962471262747529216/Uo8lOkRJ_normal.jpg","View")</f>
        <v>View</v>
      </c>
      <c r="P10823" s="7"/>
    </row>
    <row r="10824" spans="1:16">
      <c r="A10824" s="3">
        <v>44115.058877314819</v>
      </c>
      <c r="B10824" s="4" t="str">
        <f>HYPERLINK("https://twitter.com/petrogustavo","@petrogustavo")</f>
        <v>@petrogustavo</v>
      </c>
      <c r="C10824" s="5" t="s">
        <v>16</v>
      </c>
      <c r="D10824" s="5" t="s">
        <v>10419</v>
      </c>
      <c r="E10824" s="6" t="str">
        <f>HYPERLINK("https://twitter.com/petrogustavo/status/1315017958264115208","1315017958264115208")</f>
        <v>1315017958264115208</v>
      </c>
      <c r="F10824" s="7" t="s">
        <v>17</v>
      </c>
      <c r="G10824" s="7">
        <v>3989021</v>
      </c>
      <c r="H10824" s="7">
        <v>2442</v>
      </c>
      <c r="I10824" s="7">
        <v>109</v>
      </c>
      <c r="J10824" s="7">
        <v>492</v>
      </c>
      <c r="K10824" s="7" t="s">
        <v>18</v>
      </c>
      <c r="L10824" s="8">
        <v>39987.315405092595</v>
      </c>
      <c r="M10824" s="9" t="s">
        <v>19</v>
      </c>
      <c r="N10824" s="9" t="s">
        <v>20</v>
      </c>
      <c r="O10824" s="6" t="str">
        <f>HYPERLINK("https://pbs.twimg.com/profile_images/962471262747529216/Uo8lOkRJ_normal.jpg","View")</f>
        <v>View</v>
      </c>
      <c r="P10824" s="7"/>
    </row>
    <row r="10825" spans="1:16">
      <c r="A10825" s="3">
        <v>44115.096261574072</v>
      </c>
      <c r="B10825" s="4" t="str">
        <f>HYPERLINK("https://twitter.com/petrogustavo","@petrogustavo")</f>
        <v>@petrogustavo</v>
      </c>
      <c r="C10825" s="5" t="s">
        <v>16</v>
      </c>
      <c r="D10825" s="5" t="s">
        <v>10420</v>
      </c>
      <c r="E10825" s="6" t="str">
        <f>HYPERLINK("https://twitter.com/petrogustavo/status/1315031505354264578","1315031505354264578")</f>
        <v>1315031505354264578</v>
      </c>
      <c r="F10825" s="7" t="s">
        <v>32</v>
      </c>
      <c r="G10825" s="7">
        <v>3989066</v>
      </c>
      <c r="H10825" s="7">
        <v>2442</v>
      </c>
      <c r="I10825" s="7">
        <v>35</v>
      </c>
      <c r="J10825" s="7">
        <v>0</v>
      </c>
      <c r="K10825" s="7" t="s">
        <v>18</v>
      </c>
      <c r="L10825" s="8">
        <v>39987.315405092595</v>
      </c>
      <c r="M10825" s="9" t="s">
        <v>19</v>
      </c>
      <c r="N10825" s="9" t="s">
        <v>20</v>
      </c>
      <c r="O10825" s="6" t="str">
        <f>HYPERLINK("https://pbs.twimg.com/profile_images/962471262747529216/Uo8lOkRJ_normal.jpg","View")</f>
        <v>View</v>
      </c>
      <c r="P10825" s="7"/>
    </row>
    <row r="10826" spans="1:16">
      <c r="A10826" s="3">
        <v>44115.097488425927</v>
      </c>
      <c r="B10826" s="4" t="str">
        <f>HYPERLINK("https://twitter.com/petrogustavo","@petrogustavo")</f>
        <v>@petrogustavo</v>
      </c>
      <c r="C10826" s="5" t="s">
        <v>16</v>
      </c>
      <c r="D10826" s="5" t="s">
        <v>10421</v>
      </c>
      <c r="E10826" s="6" t="str">
        <f>HYPERLINK("https://twitter.com/petrogustavo/status/1315031947366858752","1315031947366858752")</f>
        <v>1315031947366858752</v>
      </c>
      <c r="F10826" s="7" t="s">
        <v>32</v>
      </c>
      <c r="G10826" s="7">
        <v>3989066</v>
      </c>
      <c r="H10826" s="7">
        <v>2442</v>
      </c>
      <c r="I10826" s="7">
        <v>182</v>
      </c>
      <c r="J10826" s="7">
        <v>577</v>
      </c>
      <c r="K10826" s="7" t="s">
        <v>18</v>
      </c>
      <c r="L10826" s="8">
        <v>39987.315405092595</v>
      </c>
      <c r="M10826" s="9" t="s">
        <v>19</v>
      </c>
      <c r="N10826" s="9" t="s">
        <v>20</v>
      </c>
      <c r="O10826" s="6" t="str">
        <f>HYPERLINK("https://pbs.twimg.com/profile_images/962471262747529216/Uo8lOkRJ_normal.jpg","View")</f>
        <v>View</v>
      </c>
      <c r="P10826" s="7"/>
    </row>
    <row r="10827" spans="1:16">
      <c r="A10827" s="3">
        <v>44115.123483796298</v>
      </c>
      <c r="B10827" s="4" t="str">
        <f>HYPERLINK("https://twitter.com/petrogustavo","@petrogustavo")</f>
        <v>@petrogustavo</v>
      </c>
      <c r="C10827" s="5" t="s">
        <v>16</v>
      </c>
      <c r="D10827" s="5" t="s">
        <v>10422</v>
      </c>
      <c r="E10827" s="6" t="str">
        <f>HYPERLINK("https://twitter.com/petrogustavo/status/1315041371162636295","1315041371162636295")</f>
        <v>1315041371162636295</v>
      </c>
      <c r="F10827" s="7" t="s">
        <v>32</v>
      </c>
      <c r="G10827" s="7">
        <v>3989062</v>
      </c>
      <c r="H10827" s="7">
        <v>2442</v>
      </c>
      <c r="I10827" s="7">
        <v>35</v>
      </c>
      <c r="J10827" s="7">
        <v>139</v>
      </c>
      <c r="K10827" s="7" t="s">
        <v>18</v>
      </c>
      <c r="L10827" s="8">
        <v>39987.315405092595</v>
      </c>
      <c r="M10827" s="9" t="s">
        <v>19</v>
      </c>
      <c r="N10827" s="9" t="s">
        <v>20</v>
      </c>
      <c r="O10827" s="6" t="str">
        <f>HYPERLINK("https://pbs.twimg.com/profile_images/962471262747529216/Uo8lOkRJ_normal.jpg","View")</f>
        <v>View</v>
      </c>
      <c r="P10827" s="7"/>
    </row>
    <row r="10828" spans="1:16">
      <c r="A10828" s="3">
        <v>44115.143993055557</v>
      </c>
      <c r="B10828" s="4" t="str">
        <f>HYPERLINK("https://twitter.com/petrogustavo","@petrogustavo")</f>
        <v>@petrogustavo</v>
      </c>
      <c r="C10828" s="5" t="s">
        <v>16</v>
      </c>
      <c r="D10828" s="5" t="s">
        <v>10423</v>
      </c>
      <c r="E10828" s="6" t="str">
        <f>HYPERLINK("https://twitter.com/petrogustavo/status/1315048800235540484","1315048800235540484")</f>
        <v>1315048800235540484</v>
      </c>
      <c r="F10828" s="7" t="s">
        <v>32</v>
      </c>
      <c r="G10828" s="7">
        <v>3989084</v>
      </c>
      <c r="H10828" s="7">
        <v>2442</v>
      </c>
      <c r="I10828" s="7">
        <v>53</v>
      </c>
      <c r="J10828" s="7">
        <v>173</v>
      </c>
      <c r="K10828" s="7" t="s">
        <v>18</v>
      </c>
      <c r="L10828" s="8">
        <v>39987.315405092595</v>
      </c>
      <c r="M10828" s="9" t="s">
        <v>19</v>
      </c>
      <c r="N10828" s="9" t="s">
        <v>20</v>
      </c>
      <c r="O10828" s="6" t="str">
        <f>HYPERLINK("https://pbs.twimg.com/profile_images/962471262747529216/Uo8lOkRJ_normal.jpg","View")</f>
        <v>View</v>
      </c>
      <c r="P10828" s="7"/>
    </row>
    <row r="10829" spans="1:16">
      <c r="A10829" s="3">
        <v>44115.293368055558</v>
      </c>
      <c r="B10829" s="4" t="str">
        <f>HYPERLINK("https://twitter.com/petrogustavo","@petrogustavo")</f>
        <v>@petrogustavo</v>
      </c>
      <c r="C10829" s="5" t="s">
        <v>16</v>
      </c>
      <c r="D10829" s="5" t="s">
        <v>10424</v>
      </c>
      <c r="E10829" s="6" t="str">
        <f>HYPERLINK("https://twitter.com/petrogustavo/status/1315102932849905664","1315102932849905664")</f>
        <v>1315102932849905664</v>
      </c>
      <c r="F10829" s="7" t="s">
        <v>32</v>
      </c>
      <c r="G10829" s="7">
        <v>3989246</v>
      </c>
      <c r="H10829" s="7">
        <v>2442</v>
      </c>
      <c r="I10829" s="7">
        <v>164</v>
      </c>
      <c r="J10829" s="7">
        <v>446</v>
      </c>
      <c r="K10829" s="7" t="s">
        <v>18</v>
      </c>
      <c r="L10829" s="8">
        <v>39987.315405092595</v>
      </c>
      <c r="M10829" s="9" t="s">
        <v>19</v>
      </c>
      <c r="N10829" s="9" t="s">
        <v>20</v>
      </c>
      <c r="O10829" s="6" t="str">
        <f>HYPERLINK("https://pbs.twimg.com/profile_images/962471262747529216/Uo8lOkRJ_normal.jpg","View")</f>
        <v>View</v>
      </c>
      <c r="P10829" s="7"/>
    </row>
    <row r="10830" spans="1:16">
      <c r="A10830" s="3">
        <v>44115.298634259263</v>
      </c>
      <c r="B10830" s="4" t="str">
        <f>HYPERLINK("https://twitter.com/petrogustavo","@petrogustavo")</f>
        <v>@petrogustavo</v>
      </c>
      <c r="C10830" s="5" t="s">
        <v>16</v>
      </c>
      <c r="D10830" s="5" t="s">
        <v>10425</v>
      </c>
      <c r="E10830" s="6" t="str">
        <f>HYPERLINK("https://twitter.com/petrogustavo/status/1315104842361208832","1315104842361208832")</f>
        <v>1315104842361208832</v>
      </c>
      <c r="F10830" s="7" t="s">
        <v>32</v>
      </c>
      <c r="G10830" s="7">
        <v>3989246</v>
      </c>
      <c r="H10830" s="7">
        <v>2442</v>
      </c>
      <c r="I10830" s="7">
        <v>112</v>
      </c>
      <c r="J10830" s="7">
        <v>289</v>
      </c>
      <c r="K10830" s="7" t="s">
        <v>18</v>
      </c>
      <c r="L10830" s="8">
        <v>39987.315405092595</v>
      </c>
      <c r="M10830" s="9" t="s">
        <v>19</v>
      </c>
      <c r="N10830" s="9" t="s">
        <v>20</v>
      </c>
      <c r="O10830" s="6" t="str">
        <f>HYPERLINK("https://pbs.twimg.com/profile_images/962471262747529216/Uo8lOkRJ_normal.jpg","View")</f>
        <v>View</v>
      </c>
      <c r="P10830" s="7"/>
    </row>
    <row r="10831" spans="1:16">
      <c r="A10831" s="3">
        <v>44115.760405092587</v>
      </c>
      <c r="B10831" s="4" t="str">
        <f>HYPERLINK("https://twitter.com/petrogustavo","@petrogustavo")</f>
        <v>@petrogustavo</v>
      </c>
      <c r="C10831" s="5" t="s">
        <v>16</v>
      </c>
      <c r="D10831" s="5" t="s">
        <v>10426</v>
      </c>
      <c r="E10831" s="6" t="str">
        <f>HYPERLINK("https://twitter.com/petrogustavo/status/1315272184294707200","1315272184294707200")</f>
        <v>1315272184294707200</v>
      </c>
      <c r="F10831" s="7" t="s">
        <v>17</v>
      </c>
      <c r="G10831" s="7">
        <v>3989384</v>
      </c>
      <c r="H10831" s="7">
        <v>2443</v>
      </c>
      <c r="I10831" s="7">
        <v>108</v>
      </c>
      <c r="J10831" s="7">
        <v>0</v>
      </c>
      <c r="K10831" s="7" t="s">
        <v>18</v>
      </c>
      <c r="L10831" s="8">
        <v>39987.315405092595</v>
      </c>
      <c r="M10831" s="9" t="s">
        <v>19</v>
      </c>
      <c r="N10831" s="9" t="s">
        <v>20</v>
      </c>
      <c r="O10831" s="6" t="str">
        <f>HYPERLINK("https://pbs.twimg.com/profile_images/962471262747529216/Uo8lOkRJ_normal.jpg","View")</f>
        <v>View</v>
      </c>
      <c r="P10831" s="7"/>
    </row>
    <row r="10832" spans="1:16">
      <c r="A10832" s="3">
        <v>44115.785081018519</v>
      </c>
      <c r="B10832" s="4" t="str">
        <f>HYPERLINK("https://twitter.com/petrogustavo","@petrogustavo")</f>
        <v>@petrogustavo</v>
      </c>
      <c r="C10832" s="5" t="s">
        <v>16</v>
      </c>
      <c r="D10832" s="5" t="s">
        <v>10427</v>
      </c>
      <c r="E10832" s="6" t="str">
        <f>HYPERLINK("https://twitter.com/petrogustavo/status/1315281126496366594","1315281126496366594")</f>
        <v>1315281126496366594</v>
      </c>
      <c r="F10832" s="7" t="s">
        <v>17</v>
      </c>
      <c r="G10832" s="7">
        <v>3989397</v>
      </c>
      <c r="H10832" s="7">
        <v>2443</v>
      </c>
      <c r="I10832" s="7">
        <v>36</v>
      </c>
      <c r="J10832" s="7">
        <v>81</v>
      </c>
      <c r="K10832" s="7" t="s">
        <v>18</v>
      </c>
      <c r="L10832" s="8">
        <v>39987.315405092595</v>
      </c>
      <c r="M10832" s="9" t="s">
        <v>19</v>
      </c>
      <c r="N10832" s="9" t="s">
        <v>20</v>
      </c>
      <c r="O10832" s="6" t="str">
        <f>HYPERLINK("https://pbs.twimg.com/profile_images/962471262747529216/Uo8lOkRJ_normal.jpg","View")</f>
        <v>View</v>
      </c>
      <c r="P10832" s="7"/>
    </row>
    <row r="10833" spans="1:16">
      <c r="A10833" s="3">
        <v>44115.817870370374</v>
      </c>
      <c r="B10833" s="4" t="str">
        <f>HYPERLINK("https://twitter.com/petrogustavo","@petrogustavo")</f>
        <v>@petrogustavo</v>
      </c>
      <c r="C10833" s="5" t="s">
        <v>16</v>
      </c>
      <c r="D10833" s="5" t="s">
        <v>10428</v>
      </c>
      <c r="E10833" s="6" t="str">
        <f>HYPERLINK("https://twitter.com/petrogustavo/status/1315293008875655170","1315293008875655170")</f>
        <v>1315293008875655170</v>
      </c>
      <c r="F10833" s="7" t="s">
        <v>17</v>
      </c>
      <c r="G10833" s="7">
        <v>3989426</v>
      </c>
      <c r="H10833" s="7">
        <v>2443</v>
      </c>
      <c r="I10833" s="7">
        <v>113</v>
      </c>
      <c r="J10833" s="7">
        <v>245</v>
      </c>
      <c r="K10833" s="7" t="s">
        <v>18</v>
      </c>
      <c r="L10833" s="8">
        <v>39987.315405092595</v>
      </c>
      <c r="M10833" s="9" t="s">
        <v>19</v>
      </c>
      <c r="N10833" s="9" t="s">
        <v>20</v>
      </c>
      <c r="O10833" s="6" t="str">
        <f>HYPERLINK("https://pbs.twimg.com/profile_images/962471262747529216/Uo8lOkRJ_normal.jpg","View")</f>
        <v>View</v>
      </c>
      <c r="P10833" s="7"/>
    </row>
    <row r="10834" spans="1:16">
      <c r="A10834" s="3">
        <v>44115.83693287037</v>
      </c>
      <c r="B10834" s="4" t="str">
        <f>HYPERLINK("https://twitter.com/petrogustavo","@petrogustavo")</f>
        <v>@petrogustavo</v>
      </c>
      <c r="C10834" s="5" t="s">
        <v>16</v>
      </c>
      <c r="D10834" s="5" t="s">
        <v>10429</v>
      </c>
      <c r="E10834" s="6" t="str">
        <f>HYPERLINK("https://twitter.com/petrogustavo/status/1315299917150257153","1315299917150257153")</f>
        <v>1315299917150257153</v>
      </c>
      <c r="F10834" s="7" t="s">
        <v>17</v>
      </c>
      <c r="G10834" s="7">
        <v>3989430</v>
      </c>
      <c r="H10834" s="7">
        <v>2443</v>
      </c>
      <c r="I10834" s="7">
        <v>137</v>
      </c>
      <c r="J10834" s="7">
        <v>426</v>
      </c>
      <c r="K10834" s="7" t="s">
        <v>18</v>
      </c>
      <c r="L10834" s="8">
        <v>39987.315405092595</v>
      </c>
      <c r="M10834" s="9" t="s">
        <v>19</v>
      </c>
      <c r="N10834" s="9" t="s">
        <v>20</v>
      </c>
      <c r="O10834" s="6" t="str">
        <f>HYPERLINK("https://pbs.twimg.com/profile_images/962471262747529216/Uo8lOkRJ_normal.jpg","View")</f>
        <v>View</v>
      </c>
      <c r="P10834" s="7"/>
    </row>
    <row r="10835" spans="1:16">
      <c r="A10835" s="3">
        <v>44115.998217592598</v>
      </c>
      <c r="B10835" s="4" t="str">
        <f>HYPERLINK("https://twitter.com/petrogustavo","@petrogustavo")</f>
        <v>@petrogustavo</v>
      </c>
      <c r="C10835" s="5" t="s">
        <v>16</v>
      </c>
      <c r="D10835" s="5" t="s">
        <v>10430</v>
      </c>
      <c r="E10835" s="6" t="str">
        <f>HYPERLINK("https://twitter.com/petrogustavo/status/1315358362087849984","1315358362087849984")</f>
        <v>1315358362087849984</v>
      </c>
      <c r="F10835" s="7" t="s">
        <v>17</v>
      </c>
      <c r="G10835" s="7">
        <v>3989531</v>
      </c>
      <c r="H10835" s="7">
        <v>2443</v>
      </c>
      <c r="I10835" s="7">
        <v>697</v>
      </c>
      <c r="J10835" s="7">
        <v>0</v>
      </c>
      <c r="K10835" s="7" t="s">
        <v>18</v>
      </c>
      <c r="L10835" s="8">
        <v>39987.315405092595</v>
      </c>
      <c r="M10835" s="9" t="s">
        <v>19</v>
      </c>
      <c r="N10835" s="9" t="s">
        <v>20</v>
      </c>
      <c r="O10835" s="6" t="str">
        <f>HYPERLINK("https://pbs.twimg.com/profile_images/962471262747529216/Uo8lOkRJ_normal.jpg","View")</f>
        <v>View</v>
      </c>
      <c r="P10835" s="7"/>
    </row>
    <row r="10836" spans="1:16">
      <c r="A10836" s="3">
        <v>44116.15929398148</v>
      </c>
      <c r="B10836" s="4" t="str">
        <f>HYPERLINK("https://twitter.com/petrogustavo","@petrogustavo")</f>
        <v>@petrogustavo</v>
      </c>
      <c r="C10836" s="5" t="s">
        <v>16</v>
      </c>
      <c r="D10836" s="5" t="s">
        <v>10431</v>
      </c>
      <c r="E10836" s="6" t="str">
        <f>HYPERLINK("https://twitter.com/petrogustavo/status/1315416735542054913","1315416735542054913")</f>
        <v>1315416735542054913</v>
      </c>
      <c r="F10836" s="7" t="s">
        <v>32</v>
      </c>
      <c r="G10836" s="7">
        <v>3989616</v>
      </c>
      <c r="H10836" s="7">
        <v>2443</v>
      </c>
      <c r="I10836" s="7">
        <v>130</v>
      </c>
      <c r="J10836" s="7">
        <v>241</v>
      </c>
      <c r="K10836" s="7" t="s">
        <v>18</v>
      </c>
      <c r="L10836" s="8">
        <v>39987.315405092595</v>
      </c>
      <c r="M10836" s="9" t="s">
        <v>19</v>
      </c>
      <c r="N10836" s="9" t="s">
        <v>20</v>
      </c>
      <c r="O10836" s="6" t="str">
        <f>HYPERLINK("https://pbs.twimg.com/profile_images/962471262747529216/Uo8lOkRJ_normal.jpg","View")</f>
        <v>View</v>
      </c>
      <c r="P10836" s="7"/>
    </row>
    <row r="10837" spans="1:16">
      <c r="A10837" s="3">
        <v>44116.231400462959</v>
      </c>
      <c r="B10837" s="4" t="str">
        <f>HYPERLINK("https://twitter.com/petrogustavo","@petrogustavo")</f>
        <v>@petrogustavo</v>
      </c>
      <c r="C10837" s="5" t="s">
        <v>16</v>
      </c>
      <c r="D10837" s="5" t="s">
        <v>10432</v>
      </c>
      <c r="E10837" s="6" t="str">
        <f>HYPERLINK("https://twitter.com/petrogustavo/status/1315442866546642945","1315442866546642945")</f>
        <v>1315442866546642945</v>
      </c>
      <c r="F10837" s="7" t="s">
        <v>22</v>
      </c>
      <c r="G10837" s="7">
        <v>3989644</v>
      </c>
      <c r="H10837" s="7">
        <v>2443</v>
      </c>
      <c r="I10837" s="7">
        <v>125</v>
      </c>
      <c r="J10837" s="7">
        <v>248</v>
      </c>
      <c r="K10837" s="7" t="s">
        <v>18</v>
      </c>
      <c r="L10837" s="8">
        <v>39987.315405092595</v>
      </c>
      <c r="M10837" s="9" t="s">
        <v>19</v>
      </c>
      <c r="N10837" s="9" t="s">
        <v>20</v>
      </c>
      <c r="O10837" s="6" t="str">
        <f>HYPERLINK("https://pbs.twimg.com/profile_images/962471262747529216/Uo8lOkRJ_normal.jpg","View")</f>
        <v>View</v>
      </c>
      <c r="P10837" s="7"/>
    </row>
    <row r="10838" spans="1:16">
      <c r="A10838" s="3">
        <v>44116.824224537035</v>
      </c>
      <c r="B10838" s="4" t="str">
        <f>HYPERLINK("https://twitter.com/petrogustavo","@petrogustavo")</f>
        <v>@petrogustavo</v>
      </c>
      <c r="C10838" s="5" t="s">
        <v>16</v>
      </c>
      <c r="D10838" s="5" t="s">
        <v>10433</v>
      </c>
      <c r="E10838" s="6" t="str">
        <f>HYPERLINK("https://twitter.com/petrogustavo/status/1315657698696986627","1315657698696986627")</f>
        <v>1315657698696986627</v>
      </c>
      <c r="F10838" s="7" t="s">
        <v>17</v>
      </c>
      <c r="G10838" s="7">
        <v>3989747</v>
      </c>
      <c r="H10838" s="7">
        <v>2441</v>
      </c>
      <c r="I10838" s="7">
        <v>62</v>
      </c>
      <c r="J10838" s="7">
        <v>0</v>
      </c>
      <c r="K10838" s="7" t="s">
        <v>18</v>
      </c>
      <c r="L10838" s="8">
        <v>39987.315405092595</v>
      </c>
      <c r="M10838" s="9" t="s">
        <v>19</v>
      </c>
      <c r="N10838" s="9" t="s">
        <v>20</v>
      </c>
      <c r="O10838" s="6" t="str">
        <f>HYPERLINK("https://pbs.twimg.com/profile_images/962471262747529216/Uo8lOkRJ_normal.jpg","View")</f>
        <v>View</v>
      </c>
      <c r="P10838" s="7"/>
    </row>
    <row r="10839" spans="1:16">
      <c r="A10839" s="3">
        <v>44116.824479166666</v>
      </c>
      <c r="B10839" s="4" t="str">
        <f>HYPERLINK("https://twitter.com/petrogustavo","@petrogustavo")</f>
        <v>@petrogustavo</v>
      </c>
      <c r="C10839" s="5" t="s">
        <v>16</v>
      </c>
      <c r="D10839" s="5" t="s">
        <v>10434</v>
      </c>
      <c r="E10839" s="6" t="str">
        <f>HYPERLINK("https://twitter.com/petrogustavo/status/1315657788257898501","1315657788257898501")</f>
        <v>1315657788257898501</v>
      </c>
      <c r="F10839" s="7" t="s">
        <v>17</v>
      </c>
      <c r="G10839" s="7">
        <v>3989747</v>
      </c>
      <c r="H10839" s="7">
        <v>2441</v>
      </c>
      <c r="I10839" s="7">
        <v>48</v>
      </c>
      <c r="J10839" s="7">
        <v>0</v>
      </c>
      <c r="K10839" s="7" t="s">
        <v>18</v>
      </c>
      <c r="L10839" s="8">
        <v>39987.315405092595</v>
      </c>
      <c r="M10839" s="9" t="s">
        <v>19</v>
      </c>
      <c r="N10839" s="9" t="s">
        <v>20</v>
      </c>
      <c r="O10839" s="6" t="str">
        <f>HYPERLINK("https://pbs.twimg.com/profile_images/962471262747529216/Uo8lOkRJ_normal.jpg","View")</f>
        <v>View</v>
      </c>
      <c r="P10839" s="7"/>
    </row>
    <row r="10840" spans="1:16">
      <c r="A10840" s="3">
        <v>44116.824918981481</v>
      </c>
      <c r="B10840" s="4" t="str">
        <f>HYPERLINK("https://twitter.com/petrogustavo","@petrogustavo")</f>
        <v>@petrogustavo</v>
      </c>
      <c r="C10840" s="5" t="s">
        <v>16</v>
      </c>
      <c r="D10840" s="5" t="s">
        <v>10435</v>
      </c>
      <c r="E10840" s="6" t="str">
        <f>HYPERLINK("https://twitter.com/petrogustavo/status/1315657949658972165","1315657949658972165")</f>
        <v>1315657949658972165</v>
      </c>
      <c r="F10840" s="7" t="s">
        <v>17</v>
      </c>
      <c r="G10840" s="7">
        <v>3989747</v>
      </c>
      <c r="H10840" s="7">
        <v>2441</v>
      </c>
      <c r="I10840" s="7">
        <v>201</v>
      </c>
      <c r="J10840" s="7">
        <v>837</v>
      </c>
      <c r="K10840" s="7" t="s">
        <v>18</v>
      </c>
      <c r="L10840" s="8">
        <v>39987.315405092595</v>
      </c>
      <c r="M10840" s="9" t="s">
        <v>19</v>
      </c>
      <c r="N10840" s="9" t="s">
        <v>20</v>
      </c>
      <c r="O10840" s="6" t="str">
        <f>HYPERLINK("https://pbs.twimg.com/profile_images/962471262747529216/Uo8lOkRJ_normal.jpg","View")</f>
        <v>View</v>
      </c>
      <c r="P10840" s="7"/>
    </row>
    <row r="10841" spans="1:16">
      <c r="A10841" s="3">
        <v>44116.830231481479</v>
      </c>
      <c r="B10841" s="4" t="str">
        <f>HYPERLINK("https://twitter.com/petrogustavo","@petrogustavo")</f>
        <v>@petrogustavo</v>
      </c>
      <c r="C10841" s="5" t="s">
        <v>16</v>
      </c>
      <c r="D10841" s="5" t="s">
        <v>10436</v>
      </c>
      <c r="E10841" s="6" t="str">
        <f>HYPERLINK("https://twitter.com/petrogustavo/status/1315659874731253761","1315659874731253761")</f>
        <v>1315659874731253761</v>
      </c>
      <c r="F10841" s="7" t="s">
        <v>17</v>
      </c>
      <c r="G10841" s="7">
        <v>3989747</v>
      </c>
      <c r="H10841" s="7">
        <v>2441</v>
      </c>
      <c r="I10841" s="7">
        <v>48</v>
      </c>
      <c r="J10841" s="7">
        <v>111</v>
      </c>
      <c r="K10841" s="7" t="s">
        <v>18</v>
      </c>
      <c r="L10841" s="8">
        <v>39987.315405092595</v>
      </c>
      <c r="M10841" s="9" t="s">
        <v>19</v>
      </c>
      <c r="N10841" s="9" t="s">
        <v>20</v>
      </c>
      <c r="O10841" s="6" t="str">
        <f>HYPERLINK("https://pbs.twimg.com/profile_images/962471262747529216/Uo8lOkRJ_normal.jpg","View")</f>
        <v>View</v>
      </c>
      <c r="P10841" s="7"/>
    </row>
    <row r="10842" spans="1:16">
      <c r="A10842" s="3">
        <v>44116.832569444443</v>
      </c>
      <c r="B10842" s="4" t="str">
        <f>HYPERLINK("https://twitter.com/petrogustavo","@petrogustavo")</f>
        <v>@petrogustavo</v>
      </c>
      <c r="C10842" s="5" t="s">
        <v>16</v>
      </c>
      <c r="D10842" s="5" t="s">
        <v>10437</v>
      </c>
      <c r="E10842" s="6" t="str">
        <f>HYPERLINK("https://twitter.com/petrogustavo/status/1315660722655854593","1315660722655854593")</f>
        <v>1315660722655854593</v>
      </c>
      <c r="F10842" s="7" t="s">
        <v>17</v>
      </c>
      <c r="G10842" s="7">
        <v>3989747</v>
      </c>
      <c r="H10842" s="7">
        <v>2441</v>
      </c>
      <c r="I10842" s="7">
        <v>15</v>
      </c>
      <c r="J10842" s="7">
        <v>19</v>
      </c>
      <c r="K10842" s="7" t="s">
        <v>18</v>
      </c>
      <c r="L10842" s="8">
        <v>39987.315405092595</v>
      </c>
      <c r="M10842" s="9" t="s">
        <v>19</v>
      </c>
      <c r="N10842" s="9" t="s">
        <v>20</v>
      </c>
      <c r="O10842" s="6" t="str">
        <f>HYPERLINK("https://pbs.twimg.com/profile_images/962471262747529216/Uo8lOkRJ_normal.jpg","View")</f>
        <v>View</v>
      </c>
      <c r="P10842" s="7"/>
    </row>
    <row r="10843" spans="1:16">
      <c r="A10843" s="3">
        <v>44116.851481481484</v>
      </c>
      <c r="B10843" s="4" t="str">
        <f>HYPERLINK("https://twitter.com/petrogustavo","@petrogustavo")</f>
        <v>@petrogustavo</v>
      </c>
      <c r="C10843" s="5" t="s">
        <v>16</v>
      </c>
      <c r="D10843" s="5" t="s">
        <v>10438</v>
      </c>
      <c r="E10843" s="6" t="str">
        <f>HYPERLINK("https://twitter.com/petrogustavo/status/1315667576215793664","1315667576215793664")</f>
        <v>1315667576215793664</v>
      </c>
      <c r="F10843" s="7" t="s">
        <v>17</v>
      </c>
      <c r="G10843" s="7">
        <v>3989764</v>
      </c>
      <c r="H10843" s="7">
        <v>2441</v>
      </c>
      <c r="I10843" s="7">
        <v>13</v>
      </c>
      <c r="J10843" s="7">
        <v>30</v>
      </c>
      <c r="K10843" s="7" t="s">
        <v>18</v>
      </c>
      <c r="L10843" s="8">
        <v>39987.315405092595</v>
      </c>
      <c r="M10843" s="9" t="s">
        <v>19</v>
      </c>
      <c r="N10843" s="9" t="s">
        <v>20</v>
      </c>
      <c r="O10843" s="6" t="str">
        <f>HYPERLINK("https://pbs.twimg.com/profile_images/962471262747529216/Uo8lOkRJ_normal.jpg","View")</f>
        <v>View</v>
      </c>
      <c r="P10843" s="7"/>
    </row>
    <row r="10844" spans="1:16">
      <c r="A10844" s="3">
        <v>44117.080891203703</v>
      </c>
      <c r="B10844" s="4" t="str">
        <f>HYPERLINK("https://twitter.com/petrogustavo","@petrogustavo")</f>
        <v>@petrogustavo</v>
      </c>
      <c r="C10844" s="5" t="s">
        <v>16</v>
      </c>
      <c r="D10844" s="5" t="s">
        <v>10439</v>
      </c>
      <c r="E10844" s="6" t="str">
        <f>HYPERLINK("https://twitter.com/petrogustavo/status/1315750712467427329","1315750712467427329")</f>
        <v>1315750712467427329</v>
      </c>
      <c r="F10844" s="7" t="s">
        <v>32</v>
      </c>
      <c r="G10844" s="7">
        <v>3989845</v>
      </c>
      <c r="H10844" s="7">
        <v>2443</v>
      </c>
      <c r="I10844" s="7">
        <v>44</v>
      </c>
      <c r="J10844" s="7">
        <v>0</v>
      </c>
      <c r="K10844" s="7" t="s">
        <v>18</v>
      </c>
      <c r="L10844" s="8">
        <v>39987.315405092595</v>
      </c>
      <c r="M10844" s="9" t="s">
        <v>19</v>
      </c>
      <c r="N10844" s="9" t="s">
        <v>20</v>
      </c>
      <c r="O10844" s="6" t="str">
        <f>HYPERLINK("https://pbs.twimg.com/profile_images/962471262747529216/Uo8lOkRJ_normal.jpg","View")</f>
        <v>View</v>
      </c>
      <c r="P10844" s="7"/>
    </row>
    <row r="10845" spans="1:16">
      <c r="A10845" s="3">
        <v>44117.081539351857</v>
      </c>
      <c r="B10845" s="4" t="str">
        <f>HYPERLINK("https://twitter.com/petrogustavo","@petrogustavo")</f>
        <v>@petrogustavo</v>
      </c>
      <c r="C10845" s="5" t="s">
        <v>16</v>
      </c>
      <c r="D10845" s="5" t="s">
        <v>10440</v>
      </c>
      <c r="E10845" s="6" t="str">
        <f>HYPERLINK("https://twitter.com/petrogustavo/status/1315750944047595520","1315750944047595520")</f>
        <v>1315750944047595520</v>
      </c>
      <c r="F10845" s="7" t="s">
        <v>32</v>
      </c>
      <c r="G10845" s="7">
        <v>3989845</v>
      </c>
      <c r="H10845" s="7">
        <v>2443</v>
      </c>
      <c r="I10845" s="7">
        <v>113</v>
      </c>
      <c r="J10845" s="7">
        <v>0</v>
      </c>
      <c r="K10845" s="7" t="s">
        <v>18</v>
      </c>
      <c r="L10845" s="8">
        <v>39987.315405092595</v>
      </c>
      <c r="M10845" s="9" t="s">
        <v>19</v>
      </c>
      <c r="N10845" s="9" t="s">
        <v>20</v>
      </c>
      <c r="O10845" s="6" t="str">
        <f>HYPERLINK("https://pbs.twimg.com/profile_images/962471262747529216/Uo8lOkRJ_normal.jpg","View")</f>
        <v>View</v>
      </c>
      <c r="P10845" s="7"/>
    </row>
    <row r="10846" spans="1:16">
      <c r="A10846" s="3">
        <v>44117.157175925924</v>
      </c>
      <c r="B10846" s="4" t="str">
        <f>HYPERLINK("https://twitter.com/petrogustavo","@petrogustavo")</f>
        <v>@petrogustavo</v>
      </c>
      <c r="C10846" s="5" t="s">
        <v>16</v>
      </c>
      <c r="D10846" s="5" t="s">
        <v>10441</v>
      </c>
      <c r="E10846" s="6" t="str">
        <f>HYPERLINK("https://twitter.com/petrogustavo/status/1315778356105928709","1315778356105928709")</f>
        <v>1315778356105928709</v>
      </c>
      <c r="F10846" s="7" t="s">
        <v>32</v>
      </c>
      <c r="G10846" s="7">
        <v>3989880</v>
      </c>
      <c r="H10846" s="7">
        <v>2443</v>
      </c>
      <c r="I10846" s="7">
        <v>71</v>
      </c>
      <c r="J10846" s="7">
        <v>0</v>
      </c>
      <c r="K10846" s="7" t="s">
        <v>18</v>
      </c>
      <c r="L10846" s="8">
        <v>39987.315405092595</v>
      </c>
      <c r="M10846" s="9" t="s">
        <v>19</v>
      </c>
      <c r="N10846" s="9" t="s">
        <v>20</v>
      </c>
      <c r="O10846" s="6" t="str">
        <f>HYPERLINK("https://pbs.twimg.com/profile_images/962471262747529216/Uo8lOkRJ_normal.jpg","View")</f>
        <v>View</v>
      </c>
      <c r="P10846" s="7"/>
    </row>
    <row r="10847" spans="1:16">
      <c r="A10847" s="3">
        <v>44117.161979166667</v>
      </c>
      <c r="B10847" s="4" t="str">
        <f>HYPERLINK("https://twitter.com/petrogustavo","@petrogustavo")</f>
        <v>@petrogustavo</v>
      </c>
      <c r="C10847" s="5" t="s">
        <v>16</v>
      </c>
      <c r="D10847" s="5" t="s">
        <v>10442</v>
      </c>
      <c r="E10847" s="6" t="str">
        <f>HYPERLINK("https://twitter.com/petrogustavo/status/1315780097010524166","1315780097010524166")</f>
        <v>1315780097010524166</v>
      </c>
      <c r="F10847" s="7" t="s">
        <v>32</v>
      </c>
      <c r="G10847" s="7">
        <v>3989880</v>
      </c>
      <c r="H10847" s="7">
        <v>2443</v>
      </c>
      <c r="I10847" s="7">
        <v>120</v>
      </c>
      <c r="J10847" s="7">
        <v>0</v>
      </c>
      <c r="K10847" s="7" t="s">
        <v>18</v>
      </c>
      <c r="L10847" s="8">
        <v>39987.315405092595</v>
      </c>
      <c r="M10847" s="9" t="s">
        <v>19</v>
      </c>
      <c r="N10847" s="9" t="s">
        <v>20</v>
      </c>
      <c r="O10847" s="6" t="str">
        <f>HYPERLINK("https://pbs.twimg.com/profile_images/962471262747529216/Uo8lOkRJ_normal.jpg","View")</f>
        <v>View</v>
      </c>
      <c r="P10847" s="7"/>
    </row>
    <row r="10848" spans="1:16">
      <c r="A10848" s="3">
        <v>44117.165682870371</v>
      </c>
      <c r="B10848" s="4" t="str">
        <f>HYPERLINK("https://twitter.com/petrogustavo","@petrogustavo")</f>
        <v>@petrogustavo</v>
      </c>
      <c r="C10848" s="5" t="s">
        <v>16</v>
      </c>
      <c r="D10848" s="5" t="s">
        <v>10443</v>
      </c>
      <c r="E10848" s="6" t="str">
        <f>HYPERLINK("https://twitter.com/petrogustavo/status/1315781437862404096","1315781437862404096")</f>
        <v>1315781437862404096</v>
      </c>
      <c r="F10848" s="7" t="s">
        <v>32</v>
      </c>
      <c r="G10848" s="7">
        <v>3989880</v>
      </c>
      <c r="H10848" s="7">
        <v>2443</v>
      </c>
      <c r="I10848" s="7">
        <v>544</v>
      </c>
      <c r="J10848" s="7">
        <v>0</v>
      </c>
      <c r="K10848" s="7" t="s">
        <v>18</v>
      </c>
      <c r="L10848" s="8">
        <v>39987.315405092595</v>
      </c>
      <c r="M10848" s="9" t="s">
        <v>19</v>
      </c>
      <c r="N10848" s="9" t="s">
        <v>20</v>
      </c>
      <c r="O10848" s="6" t="str">
        <f>HYPERLINK("https://pbs.twimg.com/profile_images/962471262747529216/Uo8lOkRJ_normal.jpg","View")</f>
        <v>View</v>
      </c>
      <c r="P10848" s="7"/>
    </row>
    <row r="10849" spans="1:16">
      <c r="A10849" s="3">
        <v>44117.229247685187</v>
      </c>
      <c r="B10849" s="4" t="str">
        <f>HYPERLINK("https://twitter.com/petrogustavo","@petrogustavo")</f>
        <v>@petrogustavo</v>
      </c>
      <c r="C10849" s="5" t="s">
        <v>16</v>
      </c>
      <c r="D10849" s="5" t="s">
        <v>10444</v>
      </c>
      <c r="E10849" s="6" t="str">
        <f>HYPERLINK("https://twitter.com/petrogustavo/status/1315804472463982598","1315804472463982598")</f>
        <v>1315804472463982598</v>
      </c>
      <c r="F10849" s="7" t="s">
        <v>17</v>
      </c>
      <c r="G10849" s="7">
        <v>3989887</v>
      </c>
      <c r="H10849" s="7">
        <v>2443</v>
      </c>
      <c r="I10849" s="7">
        <v>23</v>
      </c>
      <c r="J10849" s="7">
        <v>76</v>
      </c>
      <c r="K10849" s="7" t="s">
        <v>18</v>
      </c>
      <c r="L10849" s="8">
        <v>39987.315405092595</v>
      </c>
      <c r="M10849" s="9" t="s">
        <v>19</v>
      </c>
      <c r="N10849" s="9" t="s">
        <v>20</v>
      </c>
      <c r="O10849" s="6" t="str">
        <f>HYPERLINK("https://pbs.twimg.com/profile_images/962471262747529216/Uo8lOkRJ_normal.jpg","View")</f>
        <v>View</v>
      </c>
      <c r="P10849" s="7"/>
    </row>
    <row r="10850" spans="1:16">
      <c r="A10850" s="3">
        <v>44117.230370370366</v>
      </c>
      <c r="B10850" s="4" t="str">
        <f>HYPERLINK("https://twitter.com/petrogustavo","@petrogustavo")</f>
        <v>@petrogustavo</v>
      </c>
      <c r="C10850" s="5" t="s">
        <v>16</v>
      </c>
      <c r="D10850" s="5" t="s">
        <v>10445</v>
      </c>
      <c r="E10850" s="6" t="str">
        <f>HYPERLINK("https://twitter.com/petrogustavo/status/1315804881282883584","1315804881282883584")</f>
        <v>1315804881282883584</v>
      </c>
      <c r="F10850" s="7" t="s">
        <v>17</v>
      </c>
      <c r="G10850" s="7">
        <v>3989887</v>
      </c>
      <c r="H10850" s="7">
        <v>2443</v>
      </c>
      <c r="I10850" s="7">
        <v>71</v>
      </c>
      <c r="J10850" s="7">
        <v>0</v>
      </c>
      <c r="K10850" s="7" t="s">
        <v>18</v>
      </c>
      <c r="L10850" s="8">
        <v>39987.315405092595</v>
      </c>
      <c r="M10850" s="9" t="s">
        <v>19</v>
      </c>
      <c r="N10850" s="9" t="s">
        <v>20</v>
      </c>
      <c r="O10850" s="6" t="str">
        <f>HYPERLINK("https://pbs.twimg.com/profile_images/962471262747529216/Uo8lOkRJ_normal.jpg","View")</f>
        <v>View</v>
      </c>
      <c r="P10850" s="7"/>
    </row>
    <row r="10851" spans="1:16">
      <c r="A10851" s="3">
        <v>44117.733599537038</v>
      </c>
      <c r="B10851" s="4" t="str">
        <f>HYPERLINK("https://twitter.com/petrogustavo","@petrogustavo")</f>
        <v>@petrogustavo</v>
      </c>
      <c r="C10851" s="5" t="s">
        <v>16</v>
      </c>
      <c r="D10851" s="5" t="s">
        <v>10446</v>
      </c>
      <c r="E10851" s="6" t="str">
        <f>HYPERLINK("https://twitter.com/petrogustavo/status/1315987243807498240","1315987243807498240")</f>
        <v>1315987243807498240</v>
      </c>
      <c r="F10851" s="7" t="s">
        <v>32</v>
      </c>
      <c r="G10851" s="7">
        <v>3990049</v>
      </c>
      <c r="H10851" s="7">
        <v>2443</v>
      </c>
      <c r="I10851" s="7">
        <v>1694</v>
      </c>
      <c r="J10851" s="7">
        <v>0</v>
      </c>
      <c r="K10851" s="7" t="s">
        <v>18</v>
      </c>
      <c r="L10851" s="8">
        <v>39987.315405092595</v>
      </c>
      <c r="M10851" s="9" t="s">
        <v>19</v>
      </c>
      <c r="N10851" s="9" t="s">
        <v>20</v>
      </c>
      <c r="O10851" s="6" t="str">
        <f>HYPERLINK("https://pbs.twimg.com/profile_images/962471262747529216/Uo8lOkRJ_normal.jpg","View")</f>
        <v>View</v>
      </c>
      <c r="P10851" s="7"/>
    </row>
    <row r="10852" spans="1:16">
      <c r="A10852" s="3">
        <v>44117.735034722224</v>
      </c>
      <c r="B10852" s="4" t="str">
        <f>HYPERLINK("https://twitter.com/petrogustavo","@petrogustavo")</f>
        <v>@petrogustavo</v>
      </c>
      <c r="C10852" s="5" t="s">
        <v>16</v>
      </c>
      <c r="D10852" s="5" t="s">
        <v>10447</v>
      </c>
      <c r="E10852" s="6" t="str">
        <f>HYPERLINK("https://twitter.com/petrogustavo/status/1315987763251089409","1315987763251089409")</f>
        <v>1315987763251089409</v>
      </c>
      <c r="F10852" s="7" t="s">
        <v>32</v>
      </c>
      <c r="G10852" s="7">
        <v>3990049</v>
      </c>
      <c r="H10852" s="7">
        <v>2443</v>
      </c>
      <c r="I10852" s="7">
        <v>207</v>
      </c>
      <c r="J10852" s="7">
        <v>572</v>
      </c>
      <c r="K10852" s="7" t="s">
        <v>18</v>
      </c>
      <c r="L10852" s="8">
        <v>39987.315405092595</v>
      </c>
      <c r="M10852" s="9" t="s">
        <v>19</v>
      </c>
      <c r="N10852" s="9" t="s">
        <v>20</v>
      </c>
      <c r="O10852" s="6" t="str">
        <f>HYPERLINK("https://pbs.twimg.com/profile_images/962471262747529216/Uo8lOkRJ_normal.jpg","View")</f>
        <v>View</v>
      </c>
      <c r="P10852" s="7"/>
    </row>
    <row r="10853" spans="1:16">
      <c r="A10853" s="3">
        <v>44117.766168981485</v>
      </c>
      <c r="B10853" s="4" t="str">
        <f>HYPERLINK("https://twitter.com/petrogustavo","@petrogustavo")</f>
        <v>@petrogustavo</v>
      </c>
      <c r="C10853" s="5" t="s">
        <v>16</v>
      </c>
      <c r="D10853" s="5" t="s">
        <v>10448</v>
      </c>
      <c r="E10853" s="6" t="str">
        <f>HYPERLINK("https://twitter.com/petrogustavo/status/1315999048147533825","1315999048147533825")</f>
        <v>1315999048147533825</v>
      </c>
      <c r="F10853" s="7" t="s">
        <v>17</v>
      </c>
      <c r="G10853" s="7">
        <v>3990062</v>
      </c>
      <c r="H10853" s="7">
        <v>2443</v>
      </c>
      <c r="I10853" s="7">
        <v>123</v>
      </c>
      <c r="J10853" s="7">
        <v>0</v>
      </c>
      <c r="K10853" s="7" t="s">
        <v>18</v>
      </c>
      <c r="L10853" s="8">
        <v>39987.315405092595</v>
      </c>
      <c r="M10853" s="9" t="s">
        <v>19</v>
      </c>
      <c r="N10853" s="9" t="s">
        <v>20</v>
      </c>
      <c r="O10853" s="6" t="str">
        <f>HYPERLINK("https://pbs.twimg.com/profile_images/962471262747529216/Uo8lOkRJ_normal.jpg","View")</f>
        <v>View</v>
      </c>
      <c r="P10853" s="7"/>
    </row>
    <row r="10854" spans="1:16">
      <c r="A10854" s="3">
        <v>44117.76662037037</v>
      </c>
      <c r="B10854" s="4" t="str">
        <f>HYPERLINK("https://twitter.com/petrogustavo","@petrogustavo")</f>
        <v>@petrogustavo</v>
      </c>
      <c r="C10854" s="5" t="s">
        <v>16</v>
      </c>
      <c r="D10854" s="5" t="s">
        <v>10449</v>
      </c>
      <c r="E10854" s="6" t="str">
        <f>HYPERLINK("https://twitter.com/petrogustavo/status/1315999211331166208","1315999211331166208")</f>
        <v>1315999211331166208</v>
      </c>
      <c r="F10854" s="7" t="s">
        <v>17</v>
      </c>
      <c r="G10854" s="7">
        <v>3990062</v>
      </c>
      <c r="H10854" s="7">
        <v>2443</v>
      </c>
      <c r="I10854" s="7">
        <v>301</v>
      </c>
      <c r="J10854" s="7">
        <v>1221</v>
      </c>
      <c r="K10854" s="7" t="s">
        <v>18</v>
      </c>
      <c r="L10854" s="8">
        <v>39987.315405092595</v>
      </c>
      <c r="M10854" s="9" t="s">
        <v>19</v>
      </c>
      <c r="N10854" s="9" t="s">
        <v>20</v>
      </c>
      <c r="O10854" s="6" t="str">
        <f>HYPERLINK("https://pbs.twimg.com/profile_images/962471262747529216/Uo8lOkRJ_normal.jpg","View")</f>
        <v>View</v>
      </c>
      <c r="P10854" s="7"/>
    </row>
    <row r="10855" spans="1:16">
      <c r="A10855" s="3">
        <v>44118.720416666663</v>
      </c>
      <c r="B10855" s="4" t="str">
        <f>HYPERLINK("https://twitter.com/petrogustavo","@petrogustavo")</f>
        <v>@petrogustavo</v>
      </c>
      <c r="C10855" s="5" t="s">
        <v>16</v>
      </c>
      <c r="D10855" s="5" t="s">
        <v>10450</v>
      </c>
      <c r="E10855" s="6" t="str">
        <f>HYPERLINK("https://twitter.com/petrogustavo/status/1316344855010967552","1316344855010967552")</f>
        <v>1316344855010967552</v>
      </c>
      <c r="F10855" s="7" t="s">
        <v>17</v>
      </c>
      <c r="G10855" s="7">
        <v>3990580</v>
      </c>
      <c r="H10855" s="7">
        <v>2443</v>
      </c>
      <c r="I10855" s="7">
        <v>14</v>
      </c>
      <c r="J10855" s="7">
        <v>23</v>
      </c>
      <c r="K10855" s="7" t="s">
        <v>18</v>
      </c>
      <c r="L10855" s="8">
        <v>39987.315405092595</v>
      </c>
      <c r="M10855" s="9" t="s">
        <v>19</v>
      </c>
      <c r="N10855" s="9" t="s">
        <v>20</v>
      </c>
      <c r="O10855" s="6" t="str">
        <f>HYPERLINK("https://pbs.twimg.com/profile_images/962471262747529216/Uo8lOkRJ_normal.jpg","View")</f>
        <v>View</v>
      </c>
      <c r="P10855" s="7"/>
    </row>
    <row r="10856" spans="1:16">
      <c r="A10856" s="3">
        <v>44118.721365740741</v>
      </c>
      <c r="B10856" s="4" t="str">
        <f>HYPERLINK("https://twitter.com/petrogustavo","@petrogustavo")</f>
        <v>@petrogustavo</v>
      </c>
      <c r="C10856" s="5" t="s">
        <v>16</v>
      </c>
      <c r="D10856" s="5" t="s">
        <v>10451</v>
      </c>
      <c r="E10856" s="6" t="str">
        <f>HYPERLINK("https://twitter.com/petrogustavo/status/1316345197425549312","1316345197425549312")</f>
        <v>1316345197425549312</v>
      </c>
      <c r="F10856" s="7" t="s">
        <v>17</v>
      </c>
      <c r="G10856" s="7">
        <v>3990590</v>
      </c>
      <c r="H10856" s="7">
        <v>2443</v>
      </c>
      <c r="I10856" s="7">
        <v>151</v>
      </c>
      <c r="J10856" s="7">
        <v>522</v>
      </c>
      <c r="K10856" s="7" t="s">
        <v>18</v>
      </c>
      <c r="L10856" s="8">
        <v>39987.315405092595</v>
      </c>
      <c r="M10856" s="9" t="s">
        <v>19</v>
      </c>
      <c r="N10856" s="9" t="s">
        <v>20</v>
      </c>
      <c r="O10856" s="6" t="str">
        <f>HYPERLINK("https://pbs.twimg.com/profile_images/962471262747529216/Uo8lOkRJ_normal.jpg","View")</f>
        <v>View</v>
      </c>
      <c r="P10856" s="7"/>
    </row>
    <row r="10857" spans="1:16">
      <c r="A10857" s="3">
        <v>44118.72384259259</v>
      </c>
      <c r="B10857" s="4" t="str">
        <f>HYPERLINK("https://twitter.com/petrogustavo","@petrogustavo")</f>
        <v>@petrogustavo</v>
      </c>
      <c r="C10857" s="5" t="s">
        <v>16</v>
      </c>
      <c r="D10857" s="5" t="s">
        <v>10452</v>
      </c>
      <c r="E10857" s="6" t="str">
        <f>HYPERLINK("https://twitter.com/petrogustavo/status/1316346097154039809","1316346097154039809")</f>
        <v>1316346097154039809</v>
      </c>
      <c r="F10857" s="7" t="s">
        <v>17</v>
      </c>
      <c r="G10857" s="7">
        <v>3990590</v>
      </c>
      <c r="H10857" s="7">
        <v>2443</v>
      </c>
      <c r="I10857" s="7">
        <v>75</v>
      </c>
      <c r="J10857" s="7">
        <v>154</v>
      </c>
      <c r="K10857" s="7" t="s">
        <v>18</v>
      </c>
      <c r="L10857" s="8">
        <v>39987.315405092595</v>
      </c>
      <c r="M10857" s="9" t="s">
        <v>19</v>
      </c>
      <c r="N10857" s="9" t="s">
        <v>20</v>
      </c>
      <c r="O10857" s="6" t="str">
        <f>HYPERLINK("https://pbs.twimg.com/profile_images/962471262747529216/Uo8lOkRJ_normal.jpg","View")</f>
        <v>View</v>
      </c>
      <c r="P10857" s="7"/>
    </row>
    <row r="10858" spans="1:16">
      <c r="A10858" s="3">
        <v>44118.725624999999</v>
      </c>
      <c r="B10858" s="4" t="str">
        <f>HYPERLINK("https://twitter.com/petrogustavo","@petrogustavo")</f>
        <v>@petrogustavo</v>
      </c>
      <c r="C10858" s="5" t="s">
        <v>16</v>
      </c>
      <c r="D10858" s="5" t="s">
        <v>10453</v>
      </c>
      <c r="E10858" s="6" t="str">
        <f>HYPERLINK("https://twitter.com/petrogustavo/status/1316346742116356096","1316346742116356096")</f>
        <v>1316346742116356096</v>
      </c>
      <c r="F10858" s="7" t="s">
        <v>17</v>
      </c>
      <c r="G10858" s="7">
        <v>3990590</v>
      </c>
      <c r="H10858" s="7">
        <v>2443</v>
      </c>
      <c r="I10858" s="7">
        <v>113</v>
      </c>
      <c r="J10858" s="7">
        <v>154</v>
      </c>
      <c r="K10858" s="7" t="s">
        <v>18</v>
      </c>
      <c r="L10858" s="8">
        <v>39987.315405092595</v>
      </c>
      <c r="M10858" s="9" t="s">
        <v>19</v>
      </c>
      <c r="N10858" s="9" t="s">
        <v>20</v>
      </c>
      <c r="O10858" s="6" t="str">
        <f>HYPERLINK("https://pbs.twimg.com/profile_images/962471262747529216/Uo8lOkRJ_normal.jpg","View")</f>
        <v>View</v>
      </c>
      <c r="P10858" s="7"/>
    </row>
    <row r="10859" spans="1:16">
      <c r="A10859" s="3">
        <v>44118.72583333333</v>
      </c>
      <c r="B10859" s="4" t="str">
        <f>HYPERLINK("https://twitter.com/petrogustavo","@petrogustavo")</f>
        <v>@petrogustavo</v>
      </c>
      <c r="C10859" s="5" t="s">
        <v>16</v>
      </c>
      <c r="D10859" s="5" t="s">
        <v>10454</v>
      </c>
      <c r="E10859" s="6" t="str">
        <f>HYPERLINK("https://twitter.com/petrogustavo/status/1316346816770834433","1316346816770834433")</f>
        <v>1316346816770834433</v>
      </c>
      <c r="F10859" s="7" t="s">
        <v>17</v>
      </c>
      <c r="G10859" s="7">
        <v>3990590</v>
      </c>
      <c r="H10859" s="7">
        <v>2443</v>
      </c>
      <c r="I10859" s="7">
        <v>359</v>
      </c>
      <c r="J10859" s="7">
        <v>0</v>
      </c>
      <c r="K10859" s="7" t="s">
        <v>18</v>
      </c>
      <c r="L10859" s="8">
        <v>39987.315405092595</v>
      </c>
      <c r="M10859" s="9" t="s">
        <v>19</v>
      </c>
      <c r="N10859" s="9" t="s">
        <v>20</v>
      </c>
      <c r="O10859" s="6" t="str">
        <f>HYPERLINK("https://pbs.twimg.com/profile_images/962471262747529216/Uo8lOkRJ_normal.jpg","View")</f>
        <v>View</v>
      </c>
      <c r="P10859" s="7"/>
    </row>
    <row r="10860" spans="1:16">
      <c r="A10860" s="3">
        <v>44118.728668981479</v>
      </c>
      <c r="B10860" s="4" t="str">
        <f>HYPERLINK("https://twitter.com/petrogustavo","@petrogustavo")</f>
        <v>@petrogustavo</v>
      </c>
      <c r="C10860" s="5" t="s">
        <v>16</v>
      </c>
      <c r="D10860" s="5" t="s">
        <v>10455</v>
      </c>
      <c r="E10860" s="6" t="str">
        <f>HYPERLINK("https://twitter.com/petrogustavo/status/1316347843301568513","1316347843301568513")</f>
        <v>1316347843301568513</v>
      </c>
      <c r="F10860" s="7" t="s">
        <v>17</v>
      </c>
      <c r="G10860" s="7">
        <v>3990590</v>
      </c>
      <c r="H10860" s="7">
        <v>2443</v>
      </c>
      <c r="I10860" s="7">
        <v>46</v>
      </c>
      <c r="J10860" s="7">
        <v>128</v>
      </c>
      <c r="K10860" s="7" t="s">
        <v>18</v>
      </c>
      <c r="L10860" s="8">
        <v>39987.315405092595</v>
      </c>
      <c r="M10860" s="9" t="s">
        <v>19</v>
      </c>
      <c r="N10860" s="9" t="s">
        <v>20</v>
      </c>
      <c r="O10860" s="6" t="str">
        <f>HYPERLINK("https://pbs.twimg.com/profile_images/962471262747529216/Uo8lOkRJ_normal.jpg","View")</f>
        <v>View</v>
      </c>
      <c r="P10860" s="7"/>
    </row>
    <row r="10861" spans="1:16">
      <c r="A10861" s="3">
        <v>44118.732083333336</v>
      </c>
      <c r="B10861" s="4" t="str">
        <f>HYPERLINK("https://twitter.com/petrogustavo","@petrogustavo")</f>
        <v>@petrogustavo</v>
      </c>
      <c r="C10861" s="5" t="s">
        <v>16</v>
      </c>
      <c r="D10861" s="5" t="s">
        <v>10456</v>
      </c>
      <c r="E10861" s="6" t="str">
        <f>HYPERLINK("https://twitter.com/petrogustavo/status/1316349082047311872","1316349082047311872")</f>
        <v>1316349082047311872</v>
      </c>
      <c r="F10861" s="7" t="s">
        <v>17</v>
      </c>
      <c r="G10861" s="7">
        <v>3990590</v>
      </c>
      <c r="H10861" s="7">
        <v>2443</v>
      </c>
      <c r="I10861" s="7">
        <v>33</v>
      </c>
      <c r="J10861" s="7">
        <v>87</v>
      </c>
      <c r="K10861" s="7" t="s">
        <v>18</v>
      </c>
      <c r="L10861" s="8">
        <v>39987.315405092595</v>
      </c>
      <c r="M10861" s="9" t="s">
        <v>19</v>
      </c>
      <c r="N10861" s="9" t="s">
        <v>20</v>
      </c>
      <c r="O10861" s="6" t="str">
        <f>HYPERLINK("https://pbs.twimg.com/profile_images/962471262747529216/Uo8lOkRJ_normal.jpg","View")</f>
        <v>View</v>
      </c>
      <c r="P10861" s="7"/>
    </row>
    <row r="10862" spans="1:16">
      <c r="A10862" s="3">
        <v>44118.733611111107</v>
      </c>
      <c r="B10862" s="4" t="str">
        <f>HYPERLINK("https://twitter.com/petrogustavo","@petrogustavo")</f>
        <v>@petrogustavo</v>
      </c>
      <c r="C10862" s="5" t="s">
        <v>16</v>
      </c>
      <c r="D10862" s="5" t="s">
        <v>10457</v>
      </c>
      <c r="E10862" s="6" t="str">
        <f>HYPERLINK("https://twitter.com/petrogustavo/status/1316349637809393665","1316349637809393665")</f>
        <v>1316349637809393665</v>
      </c>
      <c r="F10862" s="7" t="s">
        <v>17</v>
      </c>
      <c r="G10862" s="7">
        <v>3990590</v>
      </c>
      <c r="H10862" s="7">
        <v>2443</v>
      </c>
      <c r="I10862" s="7">
        <v>20</v>
      </c>
      <c r="J10862" s="7">
        <v>70</v>
      </c>
      <c r="K10862" s="7" t="s">
        <v>18</v>
      </c>
      <c r="L10862" s="8">
        <v>39987.315405092595</v>
      </c>
      <c r="M10862" s="9" t="s">
        <v>19</v>
      </c>
      <c r="N10862" s="9" t="s">
        <v>20</v>
      </c>
      <c r="O10862" s="6" t="str">
        <f>HYPERLINK("https://pbs.twimg.com/profile_images/962471262747529216/Uo8lOkRJ_normal.jpg","View")</f>
        <v>View</v>
      </c>
      <c r="P10862" s="7"/>
    </row>
    <row r="10863" spans="1:16">
      <c r="A10863" s="3">
        <v>44118.740972222222</v>
      </c>
      <c r="B10863" s="4" t="str">
        <f>HYPERLINK("https://twitter.com/petrogustavo","@petrogustavo")</f>
        <v>@petrogustavo</v>
      </c>
      <c r="C10863" s="5" t="s">
        <v>16</v>
      </c>
      <c r="D10863" s="5" t="s">
        <v>10458</v>
      </c>
      <c r="E10863" s="6" t="str">
        <f>HYPERLINK("https://twitter.com/petrogustavo/status/1316352305114034176","1316352305114034176")</f>
        <v>1316352305114034176</v>
      </c>
      <c r="F10863" s="7" t="s">
        <v>17</v>
      </c>
      <c r="G10863" s="7">
        <v>3990590</v>
      </c>
      <c r="H10863" s="7">
        <v>2443</v>
      </c>
      <c r="I10863" s="7">
        <v>6</v>
      </c>
      <c r="J10863" s="7">
        <v>13</v>
      </c>
      <c r="K10863" s="7" t="s">
        <v>18</v>
      </c>
      <c r="L10863" s="8">
        <v>39987.315405092595</v>
      </c>
      <c r="M10863" s="9" t="s">
        <v>19</v>
      </c>
      <c r="N10863" s="9" t="s">
        <v>20</v>
      </c>
      <c r="O10863" s="6" t="str">
        <f>HYPERLINK("https://pbs.twimg.com/profile_images/962471262747529216/Uo8lOkRJ_normal.jpg","View")</f>
        <v>View</v>
      </c>
      <c r="P10863" s="7"/>
    </row>
    <row r="10864" spans="1:16">
      <c r="A10864" s="3">
        <v>44118.839004629626</v>
      </c>
      <c r="B10864" s="4" t="str">
        <f>HYPERLINK("https://twitter.com/petrogustavo","@petrogustavo")</f>
        <v>@petrogustavo</v>
      </c>
      <c r="C10864" s="5" t="s">
        <v>16</v>
      </c>
      <c r="D10864" s="5" t="s">
        <v>10459</v>
      </c>
      <c r="E10864" s="6" t="str">
        <f>HYPERLINK("https://twitter.com/petrogustavo/status/1316387830566924290","1316387830566924290")</f>
        <v>1316387830566924290</v>
      </c>
      <c r="F10864" s="7" t="s">
        <v>17</v>
      </c>
      <c r="G10864" s="7">
        <v>3990682</v>
      </c>
      <c r="H10864" s="7">
        <v>2443</v>
      </c>
      <c r="I10864" s="7">
        <v>148</v>
      </c>
      <c r="J10864" s="7">
        <v>456</v>
      </c>
      <c r="K10864" s="7" t="s">
        <v>18</v>
      </c>
      <c r="L10864" s="8">
        <v>39987.315405092595</v>
      </c>
      <c r="M10864" s="9" t="s">
        <v>19</v>
      </c>
      <c r="N10864" s="9" t="s">
        <v>20</v>
      </c>
      <c r="O10864" s="6" t="str">
        <f>HYPERLINK("https://pbs.twimg.com/profile_images/962471262747529216/Uo8lOkRJ_normal.jpg","View")</f>
        <v>View</v>
      </c>
      <c r="P10864" s="7"/>
    </row>
    <row r="10865" spans="1:16">
      <c r="A10865" s="3">
        <v>44118.847094907411</v>
      </c>
      <c r="B10865" s="4" t="str">
        <f>HYPERLINK("https://twitter.com/petrogustavo","@petrogustavo")</f>
        <v>@petrogustavo</v>
      </c>
      <c r="C10865" s="5" t="s">
        <v>16</v>
      </c>
      <c r="D10865" s="5" t="s">
        <v>10460</v>
      </c>
      <c r="E10865" s="6" t="str">
        <f>HYPERLINK("https://twitter.com/petrogustavo/status/1316390759495593986","1316390759495593986")</f>
        <v>1316390759495593986</v>
      </c>
      <c r="F10865" s="7" t="s">
        <v>17</v>
      </c>
      <c r="G10865" s="7">
        <v>3990685</v>
      </c>
      <c r="H10865" s="7">
        <v>2444</v>
      </c>
      <c r="I10865" s="7">
        <v>381</v>
      </c>
      <c r="J10865" s="7">
        <v>1197</v>
      </c>
      <c r="K10865" s="7" t="s">
        <v>18</v>
      </c>
      <c r="L10865" s="8">
        <v>39987.315405092595</v>
      </c>
      <c r="M10865" s="9" t="s">
        <v>19</v>
      </c>
      <c r="N10865" s="9" t="s">
        <v>20</v>
      </c>
      <c r="O10865" s="6" t="str">
        <f>HYPERLINK("https://pbs.twimg.com/profile_images/962471262747529216/Uo8lOkRJ_normal.jpg","View")</f>
        <v>View</v>
      </c>
      <c r="P10865" s="7"/>
    </row>
    <row r="10866" spans="1:16">
      <c r="A10866" s="3">
        <v>44118.969895833332</v>
      </c>
      <c r="B10866" s="4" t="str">
        <f>HYPERLINK("https://twitter.com/petrogustavo","@petrogustavo")</f>
        <v>@petrogustavo</v>
      </c>
      <c r="C10866" s="5" t="s">
        <v>16</v>
      </c>
      <c r="D10866" s="5" t="s">
        <v>10461</v>
      </c>
      <c r="E10866" s="6" t="str">
        <f>HYPERLINK("https://twitter.com/petrogustavo/status/1316435260767436800","1316435260767436800")</f>
        <v>1316435260767436800</v>
      </c>
      <c r="F10866" s="7" t="s">
        <v>17</v>
      </c>
      <c r="G10866" s="7">
        <v>3990766</v>
      </c>
      <c r="H10866" s="7">
        <v>2443</v>
      </c>
      <c r="I10866" s="7">
        <v>33</v>
      </c>
      <c r="J10866" s="7">
        <v>0</v>
      </c>
      <c r="K10866" s="7" t="s">
        <v>18</v>
      </c>
      <c r="L10866" s="8">
        <v>39987.315405092595</v>
      </c>
      <c r="M10866" s="9" t="s">
        <v>19</v>
      </c>
      <c r="N10866" s="9" t="s">
        <v>20</v>
      </c>
      <c r="O10866" s="6" t="str">
        <f>HYPERLINK("https://pbs.twimg.com/profile_images/962471262747529216/Uo8lOkRJ_normal.jpg","View")</f>
        <v>View</v>
      </c>
      <c r="P10866" s="7"/>
    </row>
    <row r="10867" spans="1:16">
      <c r="A10867" s="3">
        <v>44118.970138888893</v>
      </c>
      <c r="B10867" s="4" t="str">
        <f>HYPERLINK("https://twitter.com/petrogustavo","@petrogustavo")</f>
        <v>@petrogustavo</v>
      </c>
      <c r="C10867" s="5" t="s">
        <v>16</v>
      </c>
      <c r="D10867" s="5" t="s">
        <v>10462</v>
      </c>
      <c r="E10867" s="6" t="str">
        <f>HYPERLINK("https://twitter.com/petrogustavo/status/1316435352031309825","1316435352031309825")</f>
        <v>1316435352031309825</v>
      </c>
      <c r="F10867" s="7" t="s">
        <v>17</v>
      </c>
      <c r="G10867" s="7">
        <v>3990766</v>
      </c>
      <c r="H10867" s="7">
        <v>2443</v>
      </c>
      <c r="I10867" s="7">
        <v>76</v>
      </c>
      <c r="J10867" s="7">
        <v>0</v>
      </c>
      <c r="K10867" s="7" t="s">
        <v>18</v>
      </c>
      <c r="L10867" s="8">
        <v>39987.315405092595</v>
      </c>
      <c r="M10867" s="9" t="s">
        <v>19</v>
      </c>
      <c r="N10867" s="9" t="s">
        <v>20</v>
      </c>
      <c r="O10867" s="6" t="str">
        <f>HYPERLINK("https://pbs.twimg.com/profile_images/962471262747529216/Uo8lOkRJ_normal.jpg","View")</f>
        <v>View</v>
      </c>
      <c r="P10867" s="7"/>
    </row>
    <row r="10868" spans="1:16">
      <c r="A10868" s="3">
        <v>44118.97042824074</v>
      </c>
      <c r="B10868" s="4" t="str">
        <f>HYPERLINK("https://twitter.com/petrogustavo","@petrogustavo")</f>
        <v>@petrogustavo</v>
      </c>
      <c r="C10868" s="5" t="s">
        <v>16</v>
      </c>
      <c r="D10868" s="5" t="s">
        <v>10463</v>
      </c>
      <c r="E10868" s="6" t="str">
        <f>HYPERLINK("https://twitter.com/petrogustavo/status/1316435455890591747","1316435455890591747")</f>
        <v>1316435455890591747</v>
      </c>
      <c r="F10868" s="7" t="s">
        <v>17</v>
      </c>
      <c r="G10868" s="7">
        <v>3990774</v>
      </c>
      <c r="H10868" s="7">
        <v>2443</v>
      </c>
      <c r="I10868" s="7">
        <v>149</v>
      </c>
      <c r="J10868" s="7">
        <v>0</v>
      </c>
      <c r="K10868" s="7" t="s">
        <v>18</v>
      </c>
      <c r="L10868" s="8">
        <v>39987.315405092595</v>
      </c>
      <c r="M10868" s="9" t="s">
        <v>19</v>
      </c>
      <c r="N10868" s="9" t="s">
        <v>20</v>
      </c>
      <c r="O10868" s="6" t="str">
        <f>HYPERLINK("https://pbs.twimg.com/profile_images/962471262747529216/Uo8lOkRJ_normal.jpg","View")</f>
        <v>View</v>
      </c>
      <c r="P10868" s="7"/>
    </row>
    <row r="10869" spans="1:16">
      <c r="A10869" s="3">
        <v>44118.971180555556</v>
      </c>
      <c r="B10869" s="4" t="str">
        <f>HYPERLINK("https://twitter.com/petrogustavo","@petrogustavo")</f>
        <v>@petrogustavo</v>
      </c>
      <c r="C10869" s="5" t="s">
        <v>16</v>
      </c>
      <c r="D10869" s="5" t="s">
        <v>10464</v>
      </c>
      <c r="E10869" s="6" t="str">
        <f>HYPERLINK("https://twitter.com/petrogustavo/status/1316435730294546434","1316435730294546434")</f>
        <v>1316435730294546434</v>
      </c>
      <c r="F10869" s="7" t="s">
        <v>17</v>
      </c>
      <c r="G10869" s="7">
        <v>3990774</v>
      </c>
      <c r="H10869" s="7">
        <v>2443</v>
      </c>
      <c r="I10869" s="7">
        <v>645</v>
      </c>
      <c r="J10869" s="7">
        <v>0</v>
      </c>
      <c r="K10869" s="7" t="s">
        <v>18</v>
      </c>
      <c r="L10869" s="8">
        <v>39987.315405092595</v>
      </c>
      <c r="M10869" s="9" t="s">
        <v>19</v>
      </c>
      <c r="N10869" s="9" t="s">
        <v>20</v>
      </c>
      <c r="O10869" s="6" t="str">
        <f>HYPERLINK("https://pbs.twimg.com/profile_images/962471262747529216/Uo8lOkRJ_normal.jpg","View")</f>
        <v>View</v>
      </c>
      <c r="P10869" s="7"/>
    </row>
    <row r="10870" spans="1:16">
      <c r="A10870" s="3">
        <v>44119.183819444443</v>
      </c>
      <c r="B10870" s="4" t="str">
        <f>HYPERLINK("https://twitter.com/petrogustavo","@petrogustavo")</f>
        <v>@petrogustavo</v>
      </c>
      <c r="C10870" s="5" t="s">
        <v>16</v>
      </c>
      <c r="D10870" s="5" t="s">
        <v>10465</v>
      </c>
      <c r="E10870" s="6" t="str">
        <f>HYPERLINK("https://twitter.com/petrogustavo/status/1316512787825340420","1316512787825340420")</f>
        <v>1316512787825340420</v>
      </c>
      <c r="F10870" s="7" t="s">
        <v>17</v>
      </c>
      <c r="G10870" s="7">
        <v>3990911</v>
      </c>
      <c r="H10870" s="7">
        <v>2443</v>
      </c>
      <c r="I10870" s="7">
        <v>267</v>
      </c>
      <c r="J10870" s="7">
        <v>620</v>
      </c>
      <c r="K10870" s="7" t="s">
        <v>18</v>
      </c>
      <c r="L10870" s="8">
        <v>39987.315405092595</v>
      </c>
      <c r="M10870" s="9" t="s">
        <v>19</v>
      </c>
      <c r="N10870" s="9" t="s">
        <v>20</v>
      </c>
      <c r="O10870" s="6" t="str">
        <f>HYPERLINK("https://pbs.twimg.com/profile_images/962471262747529216/Uo8lOkRJ_normal.jpg","View")</f>
        <v>View</v>
      </c>
      <c r="P10870" s="7"/>
    </row>
    <row r="10871" spans="1:16">
      <c r="A10871" s="3">
        <v>44119.736481481479</v>
      </c>
      <c r="B10871" s="4" t="str">
        <f>HYPERLINK("https://twitter.com/petrogustavo","@petrogustavo")</f>
        <v>@petrogustavo</v>
      </c>
      <c r="C10871" s="5" t="s">
        <v>16</v>
      </c>
      <c r="D10871" s="5" t="s">
        <v>10466</v>
      </c>
      <c r="E10871" s="6" t="str">
        <f>HYPERLINK("https://twitter.com/petrogustavo/status/1316713065229037569","1316713065229037569")</f>
        <v>1316713065229037569</v>
      </c>
      <c r="F10871" s="7" t="s">
        <v>17</v>
      </c>
      <c r="G10871" s="7">
        <v>3991109</v>
      </c>
      <c r="H10871" s="7">
        <v>2443</v>
      </c>
      <c r="I10871" s="7">
        <v>113</v>
      </c>
      <c r="J10871" s="7">
        <v>0</v>
      </c>
      <c r="K10871" s="7" t="s">
        <v>18</v>
      </c>
      <c r="L10871" s="8">
        <v>39987.315405092595</v>
      </c>
      <c r="M10871" s="9" t="s">
        <v>19</v>
      </c>
      <c r="N10871" s="9" t="s">
        <v>20</v>
      </c>
      <c r="O10871" s="6" t="str">
        <f>HYPERLINK("https://pbs.twimg.com/profile_images/962471262747529216/Uo8lOkRJ_normal.jpg","View")</f>
        <v>View</v>
      </c>
      <c r="P10871" s="7"/>
    </row>
    <row r="10872" spans="1:16">
      <c r="A10872" s="3">
        <v>44119.738344907411</v>
      </c>
      <c r="B10872" s="4" t="str">
        <f>HYPERLINK("https://twitter.com/petrogustavo","@petrogustavo")</f>
        <v>@petrogustavo</v>
      </c>
      <c r="C10872" s="5" t="s">
        <v>16</v>
      </c>
      <c r="D10872" s="5" t="s">
        <v>10467</v>
      </c>
      <c r="E10872" s="6" t="str">
        <f>HYPERLINK("https://twitter.com/petrogustavo/status/1316713740184817664","1316713740184817664")</f>
        <v>1316713740184817664</v>
      </c>
      <c r="F10872" s="7" t="s">
        <v>17</v>
      </c>
      <c r="G10872" s="7">
        <v>3991109</v>
      </c>
      <c r="H10872" s="7">
        <v>2443</v>
      </c>
      <c r="I10872" s="7">
        <v>102</v>
      </c>
      <c r="J10872" s="7">
        <v>234</v>
      </c>
      <c r="K10872" s="7" t="s">
        <v>18</v>
      </c>
      <c r="L10872" s="8">
        <v>39987.315405092595</v>
      </c>
      <c r="M10872" s="9" t="s">
        <v>19</v>
      </c>
      <c r="N10872" s="9" t="s">
        <v>20</v>
      </c>
      <c r="O10872" s="6" t="str">
        <f>HYPERLINK("https://pbs.twimg.com/profile_images/962471262747529216/Uo8lOkRJ_normal.jpg","View")</f>
        <v>View</v>
      </c>
      <c r="P10872" s="7"/>
    </row>
    <row r="10873" spans="1:16">
      <c r="A10873" s="3">
        <v>44119.739039351851</v>
      </c>
      <c r="B10873" s="4" t="str">
        <f>HYPERLINK("https://twitter.com/petrogustavo","@petrogustavo")</f>
        <v>@petrogustavo</v>
      </c>
      <c r="C10873" s="5" t="s">
        <v>16</v>
      </c>
      <c r="D10873" s="5" t="s">
        <v>10468</v>
      </c>
      <c r="E10873" s="6" t="str">
        <f>HYPERLINK("https://twitter.com/petrogustavo/status/1316713991939534849","1316713991939534849")</f>
        <v>1316713991939534849</v>
      </c>
      <c r="F10873" s="7" t="s">
        <v>17</v>
      </c>
      <c r="G10873" s="7">
        <v>3991109</v>
      </c>
      <c r="H10873" s="7">
        <v>2443</v>
      </c>
      <c r="I10873" s="7">
        <v>75</v>
      </c>
      <c r="J10873" s="7">
        <v>0</v>
      </c>
      <c r="K10873" s="7" t="s">
        <v>18</v>
      </c>
      <c r="L10873" s="8">
        <v>39987.315405092595</v>
      </c>
      <c r="M10873" s="9" t="s">
        <v>19</v>
      </c>
      <c r="N10873" s="9" t="s">
        <v>20</v>
      </c>
      <c r="O10873" s="6" t="str">
        <f>HYPERLINK("https://pbs.twimg.com/profile_images/962471262747529216/Uo8lOkRJ_normal.jpg","View")</f>
        <v>View</v>
      </c>
      <c r="P10873" s="7"/>
    </row>
    <row r="10874" spans="1:16">
      <c r="A10874" s="3">
        <v>44119.747395833328</v>
      </c>
      <c r="B10874" s="4" t="str">
        <f>HYPERLINK("https://twitter.com/petrogustavo","@petrogustavo")</f>
        <v>@petrogustavo</v>
      </c>
      <c r="C10874" s="5" t="s">
        <v>16</v>
      </c>
      <c r="D10874" s="5" t="s">
        <v>10469</v>
      </c>
      <c r="E10874" s="6" t="str">
        <f>HYPERLINK("https://twitter.com/petrogustavo/status/1316717020478668810","1316717020478668810")</f>
        <v>1316717020478668810</v>
      </c>
      <c r="F10874" s="7" t="s">
        <v>17</v>
      </c>
      <c r="G10874" s="7">
        <v>3991132</v>
      </c>
      <c r="H10874" s="7">
        <v>2444</v>
      </c>
      <c r="I10874" s="7">
        <v>94</v>
      </c>
      <c r="J10874" s="7">
        <v>215</v>
      </c>
      <c r="K10874" s="7" t="s">
        <v>18</v>
      </c>
      <c r="L10874" s="8">
        <v>39987.315405092595</v>
      </c>
      <c r="M10874" s="9" t="s">
        <v>19</v>
      </c>
      <c r="N10874" s="9" t="s">
        <v>20</v>
      </c>
      <c r="O10874" s="6" t="str">
        <f>HYPERLINK("https://pbs.twimg.com/profile_images/962471262747529216/Uo8lOkRJ_normal.jpg","View")</f>
        <v>View</v>
      </c>
      <c r="P10874" s="7"/>
    </row>
    <row r="10875" spans="1:16">
      <c r="A10875" s="3">
        <v>44119.749953703707</v>
      </c>
      <c r="B10875" s="4" t="str">
        <f>HYPERLINK("https://twitter.com/petrogustavo","@petrogustavo")</f>
        <v>@petrogustavo</v>
      </c>
      <c r="C10875" s="5" t="s">
        <v>16</v>
      </c>
      <c r="D10875" s="5" t="s">
        <v>10470</v>
      </c>
      <c r="E10875" s="6" t="str">
        <f>HYPERLINK("https://twitter.com/petrogustavo/status/1316717947000369153","1316717947000369153")</f>
        <v>1316717947000369153</v>
      </c>
      <c r="F10875" s="7" t="s">
        <v>17</v>
      </c>
      <c r="G10875" s="7">
        <v>3991132</v>
      </c>
      <c r="H10875" s="7">
        <v>2444</v>
      </c>
      <c r="I10875" s="7">
        <v>194</v>
      </c>
      <c r="J10875" s="7">
        <v>514</v>
      </c>
      <c r="K10875" s="7" t="s">
        <v>18</v>
      </c>
      <c r="L10875" s="8">
        <v>39987.315405092595</v>
      </c>
      <c r="M10875" s="9" t="s">
        <v>19</v>
      </c>
      <c r="N10875" s="9" t="s">
        <v>20</v>
      </c>
      <c r="O10875" s="6" t="str">
        <f>HYPERLINK("https://pbs.twimg.com/profile_images/962471262747529216/Uo8lOkRJ_normal.jpg","View")</f>
        <v>View</v>
      </c>
      <c r="P10875" s="7"/>
    </row>
    <row r="10876" spans="1:16">
      <c r="A10876" s="3">
        <v>44119.750243055554</v>
      </c>
      <c r="B10876" s="4" t="str">
        <f>HYPERLINK("https://twitter.com/petrogustavo","@petrogustavo")</f>
        <v>@petrogustavo</v>
      </c>
      <c r="C10876" s="5" t="s">
        <v>16</v>
      </c>
      <c r="D10876" s="5" t="s">
        <v>10471</v>
      </c>
      <c r="E10876" s="6" t="str">
        <f>HYPERLINK("https://twitter.com/petrogustavo/status/1316718049995755520","1316718049995755520")</f>
        <v>1316718049995755520</v>
      </c>
      <c r="F10876" s="7" t="s">
        <v>17</v>
      </c>
      <c r="G10876" s="7">
        <v>3991132</v>
      </c>
      <c r="H10876" s="7">
        <v>2444</v>
      </c>
      <c r="I10876" s="7">
        <v>102</v>
      </c>
      <c r="J10876" s="7">
        <v>0</v>
      </c>
      <c r="K10876" s="7" t="s">
        <v>18</v>
      </c>
      <c r="L10876" s="8">
        <v>39987.315405092595</v>
      </c>
      <c r="M10876" s="9" t="s">
        <v>19</v>
      </c>
      <c r="N10876" s="9" t="s">
        <v>20</v>
      </c>
      <c r="O10876" s="6" t="str">
        <f>HYPERLINK("https://pbs.twimg.com/profile_images/962471262747529216/Uo8lOkRJ_normal.jpg","View")</f>
        <v>View</v>
      </c>
      <c r="P10876" s="7"/>
    </row>
    <row r="10877" spans="1:16">
      <c r="A10877" s="3">
        <v>44119.754988425921</v>
      </c>
      <c r="B10877" s="4" t="str">
        <f>HYPERLINK("https://twitter.com/petrogustavo","@petrogustavo")</f>
        <v>@petrogustavo</v>
      </c>
      <c r="C10877" s="5" t="s">
        <v>16</v>
      </c>
      <c r="D10877" s="5" t="s">
        <v>10472</v>
      </c>
      <c r="E10877" s="6" t="str">
        <f>HYPERLINK("https://twitter.com/petrogustavo/status/1316719769089761280","1316719769089761280")</f>
        <v>1316719769089761280</v>
      </c>
      <c r="F10877" s="7" t="s">
        <v>17</v>
      </c>
      <c r="G10877" s="7">
        <v>3991132</v>
      </c>
      <c r="H10877" s="7">
        <v>2444</v>
      </c>
      <c r="I10877" s="7">
        <v>94</v>
      </c>
      <c r="J10877" s="7">
        <v>0</v>
      </c>
      <c r="K10877" s="7" t="s">
        <v>18</v>
      </c>
      <c r="L10877" s="8">
        <v>39987.315405092595</v>
      </c>
      <c r="M10877" s="9" t="s">
        <v>19</v>
      </c>
      <c r="N10877" s="9" t="s">
        <v>20</v>
      </c>
      <c r="O10877" s="6" t="str">
        <f>HYPERLINK("https://pbs.twimg.com/profile_images/962471262747529216/Uo8lOkRJ_normal.jpg","View")</f>
        <v>View</v>
      </c>
      <c r="P10877" s="7"/>
    </row>
    <row r="10878" spans="1:16">
      <c r="A10878" s="3">
        <v>44119.766504629632</v>
      </c>
      <c r="B10878" s="4" t="str">
        <f>HYPERLINK("https://twitter.com/petrogustavo","@petrogustavo")</f>
        <v>@petrogustavo</v>
      </c>
      <c r="C10878" s="5" t="s">
        <v>16</v>
      </c>
      <c r="D10878" s="5" t="s">
        <v>10473</v>
      </c>
      <c r="E10878" s="6" t="str">
        <f>HYPERLINK("https://twitter.com/petrogustavo/status/1316723945819852801","1316723945819852801")</f>
        <v>1316723945819852801</v>
      </c>
      <c r="F10878" s="7" t="s">
        <v>17</v>
      </c>
      <c r="G10878" s="7">
        <v>3991139</v>
      </c>
      <c r="H10878" s="7">
        <v>2444</v>
      </c>
      <c r="I10878" s="7">
        <v>159</v>
      </c>
      <c r="J10878" s="7">
        <v>478</v>
      </c>
      <c r="K10878" s="7" t="s">
        <v>18</v>
      </c>
      <c r="L10878" s="8">
        <v>39987.315405092595</v>
      </c>
      <c r="M10878" s="9" t="s">
        <v>19</v>
      </c>
      <c r="N10878" s="9" t="s">
        <v>20</v>
      </c>
      <c r="O10878" s="6" t="str">
        <f>HYPERLINK("https://pbs.twimg.com/profile_images/962471262747529216/Uo8lOkRJ_normal.jpg","View")</f>
        <v>View</v>
      </c>
      <c r="P10878" s="7"/>
    </row>
    <row r="10879" spans="1:16">
      <c r="A10879" s="3">
        <v>44119.775497685187</v>
      </c>
      <c r="B10879" s="4" t="str">
        <f>HYPERLINK("https://twitter.com/petrogustavo","@petrogustavo")</f>
        <v>@petrogustavo</v>
      </c>
      <c r="C10879" s="5" t="s">
        <v>16</v>
      </c>
      <c r="D10879" s="5" t="s">
        <v>10474</v>
      </c>
      <c r="E10879" s="6" t="str">
        <f>HYPERLINK("https://twitter.com/petrogustavo/status/1316727202575273985","1316727202575273985")</f>
        <v>1316727202575273985</v>
      </c>
      <c r="F10879" s="7" t="s">
        <v>17</v>
      </c>
      <c r="G10879" s="7">
        <v>3991139</v>
      </c>
      <c r="H10879" s="7">
        <v>2444</v>
      </c>
      <c r="I10879" s="7">
        <v>49</v>
      </c>
      <c r="J10879" s="7">
        <v>126</v>
      </c>
      <c r="K10879" s="7" t="s">
        <v>18</v>
      </c>
      <c r="L10879" s="8">
        <v>39987.315405092595</v>
      </c>
      <c r="M10879" s="9" t="s">
        <v>19</v>
      </c>
      <c r="N10879" s="9" t="s">
        <v>20</v>
      </c>
      <c r="O10879" s="6" t="str">
        <f>HYPERLINK("https://pbs.twimg.com/profile_images/962471262747529216/Uo8lOkRJ_normal.jpg","View")</f>
        <v>View</v>
      </c>
      <c r="P10879" s="7"/>
    </row>
    <row r="10880" spans="1:16">
      <c r="A10880" s="3">
        <v>44119.77643518518</v>
      </c>
      <c r="B10880" s="4" t="str">
        <f>HYPERLINK("https://twitter.com/petrogustavo","@petrogustavo")</f>
        <v>@petrogustavo</v>
      </c>
      <c r="C10880" s="5" t="s">
        <v>16</v>
      </c>
      <c r="D10880" s="5" t="s">
        <v>10472</v>
      </c>
      <c r="E10880" s="6" t="str">
        <f>HYPERLINK("https://twitter.com/petrogustavo/status/1316727544943607811","1316727544943607811")</f>
        <v>1316727544943607811</v>
      </c>
      <c r="F10880" s="7" t="s">
        <v>17</v>
      </c>
      <c r="G10880" s="7">
        <v>3991139</v>
      </c>
      <c r="H10880" s="7">
        <v>2444</v>
      </c>
      <c r="I10880" s="7">
        <v>155</v>
      </c>
      <c r="J10880" s="7">
        <v>0</v>
      </c>
      <c r="K10880" s="7" t="s">
        <v>18</v>
      </c>
      <c r="L10880" s="8">
        <v>39987.315405092595</v>
      </c>
      <c r="M10880" s="9" t="s">
        <v>19</v>
      </c>
      <c r="N10880" s="9" t="s">
        <v>20</v>
      </c>
      <c r="O10880" s="6" t="str">
        <f>HYPERLINK("https://pbs.twimg.com/profile_images/962471262747529216/Uo8lOkRJ_normal.jpg","View")</f>
        <v>View</v>
      </c>
      <c r="P10880" s="7"/>
    </row>
    <row r="10881" spans="1:16">
      <c r="A10881" s="3">
        <v>44119.869571759264</v>
      </c>
      <c r="B10881" s="4" t="str">
        <f>HYPERLINK("https://twitter.com/petrogustavo","@petrogustavo")</f>
        <v>@petrogustavo</v>
      </c>
      <c r="C10881" s="5" t="s">
        <v>16</v>
      </c>
      <c r="D10881" s="5" t="s">
        <v>10475</v>
      </c>
      <c r="E10881" s="6" t="str">
        <f>HYPERLINK("https://twitter.com/petrogustavo/status/1316761295841038336","1316761295841038336")</f>
        <v>1316761295841038336</v>
      </c>
      <c r="F10881" s="7" t="s">
        <v>17</v>
      </c>
      <c r="G10881" s="7">
        <v>3991199</v>
      </c>
      <c r="H10881" s="7">
        <v>2444</v>
      </c>
      <c r="I10881" s="7">
        <v>129</v>
      </c>
      <c r="J10881" s="7">
        <v>215</v>
      </c>
      <c r="K10881" s="7" t="s">
        <v>18</v>
      </c>
      <c r="L10881" s="8">
        <v>39987.315405092595</v>
      </c>
      <c r="M10881" s="9" t="s">
        <v>19</v>
      </c>
      <c r="N10881" s="9" t="s">
        <v>20</v>
      </c>
      <c r="O10881" s="6" t="str">
        <f>HYPERLINK("https://pbs.twimg.com/profile_images/962471262747529216/Uo8lOkRJ_normal.jpg","View")</f>
        <v>View</v>
      </c>
      <c r="P10881" s="7"/>
    </row>
    <row r="10882" spans="1:16">
      <c r="A10882" s="3">
        <v>44119.873379629629</v>
      </c>
      <c r="B10882" s="4" t="str">
        <f>HYPERLINK("https://twitter.com/petrogustavo","@petrogustavo")</f>
        <v>@petrogustavo</v>
      </c>
      <c r="C10882" s="5" t="s">
        <v>16</v>
      </c>
      <c r="D10882" s="5" t="s">
        <v>10476</v>
      </c>
      <c r="E10882" s="6" t="str">
        <f>HYPERLINK("https://twitter.com/petrogustavo/status/1316762675792183301","1316762675792183301")</f>
        <v>1316762675792183301</v>
      </c>
      <c r="F10882" s="7" t="s">
        <v>17</v>
      </c>
      <c r="G10882" s="7">
        <v>3991199</v>
      </c>
      <c r="H10882" s="7">
        <v>2444</v>
      </c>
      <c r="I10882" s="7">
        <v>89</v>
      </c>
      <c r="J10882" s="7">
        <v>234</v>
      </c>
      <c r="K10882" s="7" t="s">
        <v>18</v>
      </c>
      <c r="L10882" s="8">
        <v>39987.315405092595</v>
      </c>
      <c r="M10882" s="9" t="s">
        <v>19</v>
      </c>
      <c r="N10882" s="9" t="s">
        <v>20</v>
      </c>
      <c r="O10882" s="6" t="str">
        <f>HYPERLINK("https://pbs.twimg.com/profile_images/962471262747529216/Uo8lOkRJ_normal.jpg","View")</f>
        <v>View</v>
      </c>
      <c r="P10882" s="7"/>
    </row>
    <row r="10883" spans="1:16">
      <c r="A10883" s="3">
        <v>44119.885393518518</v>
      </c>
      <c r="B10883" s="4" t="str">
        <f>HYPERLINK("https://twitter.com/petrogustavo","@petrogustavo")</f>
        <v>@petrogustavo</v>
      </c>
      <c r="C10883" s="5" t="s">
        <v>16</v>
      </c>
      <c r="D10883" s="5" t="s">
        <v>10477</v>
      </c>
      <c r="E10883" s="6" t="str">
        <f>HYPERLINK("https://twitter.com/petrogustavo/status/1316767028250906627","1316767028250906627")</f>
        <v>1316767028250906627</v>
      </c>
      <c r="F10883" s="7" t="s">
        <v>17</v>
      </c>
      <c r="G10883" s="7">
        <v>3991199</v>
      </c>
      <c r="H10883" s="7">
        <v>2444</v>
      </c>
      <c r="I10883" s="7">
        <v>25</v>
      </c>
      <c r="J10883" s="7">
        <v>80</v>
      </c>
      <c r="K10883" s="7" t="s">
        <v>18</v>
      </c>
      <c r="L10883" s="8">
        <v>39987.315405092595</v>
      </c>
      <c r="M10883" s="9" t="s">
        <v>19</v>
      </c>
      <c r="N10883" s="9" t="s">
        <v>20</v>
      </c>
      <c r="O10883" s="6" t="str">
        <f>HYPERLINK("https://pbs.twimg.com/profile_images/962471262747529216/Uo8lOkRJ_normal.jpg","View")</f>
        <v>View</v>
      </c>
      <c r="P10883" s="7"/>
    </row>
    <row r="10884" spans="1:16">
      <c r="A10884" s="3">
        <v>44119.955625000002</v>
      </c>
      <c r="B10884" s="4" t="str">
        <f>HYPERLINK("https://twitter.com/petrogustavo","@petrogustavo")</f>
        <v>@petrogustavo</v>
      </c>
      <c r="C10884" s="5" t="s">
        <v>16</v>
      </c>
      <c r="D10884" s="5" t="s">
        <v>10478</v>
      </c>
      <c r="E10884" s="6" t="str">
        <f>HYPERLINK("https://twitter.com/petrogustavo/status/1316792478176030721","1316792478176030721")</f>
        <v>1316792478176030721</v>
      </c>
      <c r="F10884" s="7" t="s">
        <v>17</v>
      </c>
      <c r="G10884" s="7">
        <v>3991235</v>
      </c>
      <c r="H10884" s="7">
        <v>2444</v>
      </c>
      <c r="I10884" s="7">
        <v>601</v>
      </c>
      <c r="J10884" s="7">
        <v>0</v>
      </c>
      <c r="K10884" s="7" t="s">
        <v>18</v>
      </c>
      <c r="L10884" s="8">
        <v>39987.315405092595</v>
      </c>
      <c r="M10884" s="9" t="s">
        <v>19</v>
      </c>
      <c r="N10884" s="9" t="s">
        <v>20</v>
      </c>
      <c r="O10884" s="6" t="str">
        <f>HYPERLINK("https://pbs.twimg.com/profile_images/962471262747529216/Uo8lOkRJ_normal.jpg","View")</f>
        <v>View</v>
      </c>
      <c r="P10884" s="7"/>
    </row>
    <row r="10885" spans="1:16">
      <c r="A10885" s="3">
        <v>44119.956446759257</v>
      </c>
      <c r="B10885" s="4" t="str">
        <f>HYPERLINK("https://twitter.com/petrogustavo","@petrogustavo")</f>
        <v>@petrogustavo</v>
      </c>
      <c r="C10885" s="5" t="s">
        <v>16</v>
      </c>
      <c r="D10885" s="5" t="s">
        <v>10479</v>
      </c>
      <c r="E10885" s="6" t="str">
        <f>HYPERLINK("https://twitter.com/petrogustavo/status/1316792777078960128","1316792777078960128")</f>
        <v>1316792777078960128</v>
      </c>
      <c r="F10885" s="7" t="s">
        <v>17</v>
      </c>
      <c r="G10885" s="7">
        <v>3991235</v>
      </c>
      <c r="H10885" s="7">
        <v>2444</v>
      </c>
      <c r="I10885" s="7">
        <v>247</v>
      </c>
      <c r="J10885" s="7">
        <v>0</v>
      </c>
      <c r="K10885" s="7" t="s">
        <v>18</v>
      </c>
      <c r="L10885" s="8">
        <v>39987.315405092595</v>
      </c>
      <c r="M10885" s="9" t="s">
        <v>19</v>
      </c>
      <c r="N10885" s="9" t="s">
        <v>20</v>
      </c>
      <c r="O10885" s="6" t="str">
        <f>HYPERLINK("https://pbs.twimg.com/profile_images/962471262747529216/Uo8lOkRJ_normal.jpg","View")</f>
        <v>View</v>
      </c>
      <c r="P10885" s="7"/>
    </row>
    <row r="10886" spans="1:16">
      <c r="A10886" s="3">
        <v>44120.053136574075</v>
      </c>
      <c r="B10886" s="4" t="str">
        <f>HYPERLINK("https://twitter.com/petrogustavo","@petrogustavo")</f>
        <v>@petrogustavo</v>
      </c>
      <c r="C10886" s="5" t="s">
        <v>16</v>
      </c>
      <c r="D10886" s="5" t="s">
        <v>10480</v>
      </c>
      <c r="E10886" s="6" t="str">
        <f>HYPERLINK("https://twitter.com/petrogustavo/status/1316827814608465922","1316827814608465922")</f>
        <v>1316827814608465922</v>
      </c>
      <c r="F10886" s="7" t="s">
        <v>17</v>
      </c>
      <c r="G10886" s="7">
        <v>3991257</v>
      </c>
      <c r="H10886" s="7">
        <v>2444</v>
      </c>
      <c r="I10886" s="7">
        <v>9</v>
      </c>
      <c r="J10886" s="7">
        <v>0</v>
      </c>
      <c r="K10886" s="7" t="s">
        <v>18</v>
      </c>
      <c r="L10886" s="8">
        <v>39987.315405092595</v>
      </c>
      <c r="M10886" s="9" t="s">
        <v>19</v>
      </c>
      <c r="N10886" s="9" t="s">
        <v>20</v>
      </c>
      <c r="O10886" s="6" t="str">
        <f>HYPERLINK("https://pbs.twimg.com/profile_images/962471262747529216/Uo8lOkRJ_normal.jpg","View")</f>
        <v>View</v>
      </c>
      <c r="P10886" s="7"/>
    </row>
    <row r="10887" spans="1:16">
      <c r="A10887" s="3">
        <v>44120.054340277777</v>
      </c>
      <c r="B10887" s="4" t="str">
        <f>HYPERLINK("https://twitter.com/petrogustavo","@petrogustavo")</f>
        <v>@petrogustavo</v>
      </c>
      <c r="C10887" s="5" t="s">
        <v>16</v>
      </c>
      <c r="D10887" s="5" t="s">
        <v>10481</v>
      </c>
      <c r="E10887" s="6" t="str">
        <f>HYPERLINK("https://twitter.com/petrogustavo/status/1316828252120457217","1316828252120457217")</f>
        <v>1316828252120457217</v>
      </c>
      <c r="F10887" s="7" t="s">
        <v>17</v>
      </c>
      <c r="G10887" s="7">
        <v>3991257</v>
      </c>
      <c r="H10887" s="7">
        <v>2444</v>
      </c>
      <c r="I10887" s="7">
        <v>24</v>
      </c>
      <c r="J10887" s="7">
        <v>0</v>
      </c>
      <c r="K10887" s="7" t="s">
        <v>18</v>
      </c>
      <c r="L10887" s="8">
        <v>39987.315405092595</v>
      </c>
      <c r="M10887" s="9" t="s">
        <v>19</v>
      </c>
      <c r="N10887" s="9" t="s">
        <v>20</v>
      </c>
      <c r="O10887" s="6" t="str">
        <f>HYPERLINK("https://pbs.twimg.com/profile_images/962471262747529216/Uo8lOkRJ_normal.jpg","View")</f>
        <v>View</v>
      </c>
      <c r="P10887" s="7"/>
    </row>
    <row r="10888" spans="1:16">
      <c r="A10888" s="3">
        <v>44120.057129629626</v>
      </c>
      <c r="B10888" s="4" t="str">
        <f>HYPERLINK("https://twitter.com/petrogustavo","@petrogustavo")</f>
        <v>@petrogustavo</v>
      </c>
      <c r="C10888" s="5" t="s">
        <v>16</v>
      </c>
      <c r="D10888" s="5" t="s">
        <v>10482</v>
      </c>
      <c r="E10888" s="6" t="str">
        <f>HYPERLINK("https://twitter.com/petrogustavo/status/1316829261177720832","1316829261177720832")</f>
        <v>1316829261177720832</v>
      </c>
      <c r="F10888" s="7" t="s">
        <v>17</v>
      </c>
      <c r="G10888" s="7">
        <v>3991273</v>
      </c>
      <c r="H10888" s="7">
        <v>2444</v>
      </c>
      <c r="I10888" s="7">
        <v>172</v>
      </c>
      <c r="J10888" s="7">
        <v>528</v>
      </c>
      <c r="K10888" s="7" t="s">
        <v>18</v>
      </c>
      <c r="L10888" s="8">
        <v>39987.315405092595</v>
      </c>
      <c r="M10888" s="9" t="s">
        <v>19</v>
      </c>
      <c r="N10888" s="9" t="s">
        <v>20</v>
      </c>
      <c r="O10888" s="6" t="str">
        <f>HYPERLINK("https://pbs.twimg.com/profile_images/962471262747529216/Uo8lOkRJ_normal.jpg","View")</f>
        <v>View</v>
      </c>
      <c r="P10888" s="7"/>
    </row>
    <row r="10889" spans="1:16">
      <c r="A10889" s="3">
        <v>44120.072731481487</v>
      </c>
      <c r="B10889" s="4" t="str">
        <f>HYPERLINK("https://twitter.com/petrogustavo","@petrogustavo")</f>
        <v>@petrogustavo</v>
      </c>
      <c r="C10889" s="5" t="s">
        <v>16</v>
      </c>
      <c r="D10889" s="5" t="s">
        <v>10483</v>
      </c>
      <c r="E10889" s="6" t="str">
        <f>HYPERLINK("https://twitter.com/petrogustavo/status/1316834919130238977","1316834919130238977")</f>
        <v>1316834919130238977</v>
      </c>
      <c r="F10889" s="7" t="s">
        <v>17</v>
      </c>
      <c r="G10889" s="7">
        <v>3991273</v>
      </c>
      <c r="H10889" s="7">
        <v>2444</v>
      </c>
      <c r="I10889" s="7">
        <v>46</v>
      </c>
      <c r="J10889" s="7">
        <v>228</v>
      </c>
      <c r="K10889" s="7" t="s">
        <v>18</v>
      </c>
      <c r="L10889" s="8">
        <v>39987.315405092595</v>
      </c>
      <c r="M10889" s="9" t="s">
        <v>19</v>
      </c>
      <c r="N10889" s="9" t="s">
        <v>20</v>
      </c>
      <c r="O10889" s="6" t="str">
        <f>HYPERLINK("https://pbs.twimg.com/profile_images/962471262747529216/Uo8lOkRJ_normal.jpg","View")</f>
        <v>View</v>
      </c>
      <c r="P10889" s="7"/>
    </row>
    <row r="10890" spans="1:16">
      <c r="A10890" s="3">
        <v>44120.075902777782</v>
      </c>
      <c r="B10890" s="4" t="str">
        <f>HYPERLINK("https://twitter.com/petrogustavo","@petrogustavo")</f>
        <v>@petrogustavo</v>
      </c>
      <c r="C10890" s="5" t="s">
        <v>16</v>
      </c>
      <c r="D10890" s="5" t="s">
        <v>10484</v>
      </c>
      <c r="E10890" s="6" t="str">
        <f>HYPERLINK("https://twitter.com/petrogustavo/status/1316836064305315842","1316836064305315842")</f>
        <v>1316836064305315842</v>
      </c>
      <c r="F10890" s="7" t="s">
        <v>17</v>
      </c>
      <c r="G10890" s="7">
        <v>3991290</v>
      </c>
      <c r="H10890" s="7">
        <v>2444</v>
      </c>
      <c r="I10890" s="7">
        <v>59</v>
      </c>
      <c r="J10890" s="7">
        <v>180</v>
      </c>
      <c r="K10890" s="7" t="s">
        <v>18</v>
      </c>
      <c r="L10890" s="8">
        <v>39987.315405092595</v>
      </c>
      <c r="M10890" s="9" t="s">
        <v>19</v>
      </c>
      <c r="N10890" s="9" t="s">
        <v>20</v>
      </c>
      <c r="O10890" s="6" t="str">
        <f>HYPERLINK("https://pbs.twimg.com/profile_images/962471262747529216/Uo8lOkRJ_normal.jpg","View")</f>
        <v>View</v>
      </c>
      <c r="P10890" s="7"/>
    </row>
    <row r="10891" spans="1:16">
      <c r="A10891" s="3">
        <v>44120.078217592592</v>
      </c>
      <c r="B10891" s="4" t="str">
        <f>HYPERLINK("https://twitter.com/petrogustavo","@petrogustavo")</f>
        <v>@petrogustavo</v>
      </c>
      <c r="C10891" s="5" t="s">
        <v>16</v>
      </c>
      <c r="D10891" s="5" t="s">
        <v>10485</v>
      </c>
      <c r="E10891" s="6" t="str">
        <f>HYPERLINK("https://twitter.com/petrogustavo/status/1316836905678446594","1316836905678446594")</f>
        <v>1316836905678446594</v>
      </c>
      <c r="F10891" s="7" t="s">
        <v>17</v>
      </c>
      <c r="G10891" s="7">
        <v>3991290</v>
      </c>
      <c r="H10891" s="7">
        <v>2444</v>
      </c>
      <c r="I10891" s="7">
        <v>291</v>
      </c>
      <c r="J10891" s="7">
        <v>0</v>
      </c>
      <c r="K10891" s="7" t="s">
        <v>18</v>
      </c>
      <c r="L10891" s="8">
        <v>39987.315405092595</v>
      </c>
      <c r="M10891" s="9" t="s">
        <v>19</v>
      </c>
      <c r="N10891" s="9" t="s">
        <v>20</v>
      </c>
      <c r="O10891" s="6" t="str">
        <f>HYPERLINK("https://pbs.twimg.com/profile_images/962471262747529216/Uo8lOkRJ_normal.jpg","View")</f>
        <v>View</v>
      </c>
      <c r="P10891" s="7"/>
    </row>
    <row r="10892" spans="1:16">
      <c r="A10892" s="3">
        <v>44120.086712962962</v>
      </c>
      <c r="B10892" s="4" t="str">
        <f>HYPERLINK("https://twitter.com/petrogustavo","@petrogustavo")</f>
        <v>@petrogustavo</v>
      </c>
      <c r="C10892" s="5" t="s">
        <v>16</v>
      </c>
      <c r="D10892" s="5" t="s">
        <v>10486</v>
      </c>
      <c r="E10892" s="6" t="str">
        <f>HYPERLINK("https://twitter.com/petrogustavo/status/1316839984503062529","1316839984503062529")</f>
        <v>1316839984503062529</v>
      </c>
      <c r="F10892" s="7" t="s">
        <v>17</v>
      </c>
      <c r="G10892" s="7">
        <v>3991290</v>
      </c>
      <c r="H10892" s="7">
        <v>2444</v>
      </c>
      <c r="I10892" s="7">
        <v>274</v>
      </c>
      <c r="J10892" s="7">
        <v>0</v>
      </c>
      <c r="K10892" s="7" t="s">
        <v>18</v>
      </c>
      <c r="L10892" s="8">
        <v>39987.315405092595</v>
      </c>
      <c r="M10892" s="9" t="s">
        <v>19</v>
      </c>
      <c r="N10892" s="9" t="s">
        <v>20</v>
      </c>
      <c r="O10892" s="6" t="str">
        <f>HYPERLINK("https://pbs.twimg.com/profile_images/962471262747529216/Uo8lOkRJ_normal.jpg","View")</f>
        <v>View</v>
      </c>
      <c r="P10892" s="7"/>
    </row>
    <row r="10893" spans="1:16">
      <c r="A10893" s="3">
        <v>44120.087604166663</v>
      </c>
      <c r="B10893" s="4" t="str">
        <f>HYPERLINK("https://twitter.com/petrogustavo","@petrogustavo")</f>
        <v>@petrogustavo</v>
      </c>
      <c r="C10893" s="5" t="s">
        <v>16</v>
      </c>
      <c r="D10893" s="5" t="s">
        <v>10487</v>
      </c>
      <c r="E10893" s="6" t="str">
        <f>HYPERLINK("https://twitter.com/petrogustavo/status/1316840306827055104","1316840306827055104")</f>
        <v>1316840306827055104</v>
      </c>
      <c r="F10893" s="7" t="s">
        <v>17</v>
      </c>
      <c r="G10893" s="7">
        <v>3991290</v>
      </c>
      <c r="H10893" s="7">
        <v>2444</v>
      </c>
      <c r="I10893" s="7">
        <v>44</v>
      </c>
      <c r="J10893" s="7">
        <v>83</v>
      </c>
      <c r="K10893" s="7" t="s">
        <v>18</v>
      </c>
      <c r="L10893" s="8">
        <v>39987.315405092595</v>
      </c>
      <c r="M10893" s="9" t="s">
        <v>19</v>
      </c>
      <c r="N10893" s="9" t="s">
        <v>20</v>
      </c>
      <c r="O10893" s="6" t="str">
        <f>HYPERLINK("https://pbs.twimg.com/profile_images/962471262747529216/Uo8lOkRJ_normal.jpg","View")</f>
        <v>View</v>
      </c>
      <c r="P10893" s="7"/>
    </row>
    <row r="10894" spans="1:16">
      <c r="A10894" s="3">
        <v>44120.109270833331</v>
      </c>
      <c r="B10894" s="4" t="str">
        <f>HYPERLINK("https://twitter.com/petrogustavo","@petrogustavo")</f>
        <v>@petrogustavo</v>
      </c>
      <c r="C10894" s="5" t="s">
        <v>16</v>
      </c>
      <c r="D10894" s="5" t="s">
        <v>10488</v>
      </c>
      <c r="E10894" s="6" t="str">
        <f>HYPERLINK("https://twitter.com/petrogustavo/status/1316848158203355136","1316848158203355136")</f>
        <v>1316848158203355136</v>
      </c>
      <c r="F10894" s="7" t="s">
        <v>17</v>
      </c>
      <c r="G10894" s="7">
        <v>3991301</v>
      </c>
      <c r="H10894" s="7">
        <v>2444</v>
      </c>
      <c r="I10894" s="7">
        <v>21</v>
      </c>
      <c r="J10894" s="7">
        <v>0</v>
      </c>
      <c r="K10894" s="7" t="s">
        <v>18</v>
      </c>
      <c r="L10894" s="8">
        <v>39987.315405092595</v>
      </c>
      <c r="M10894" s="9" t="s">
        <v>19</v>
      </c>
      <c r="N10894" s="9" t="s">
        <v>20</v>
      </c>
      <c r="O10894" s="6" t="str">
        <f>HYPERLINK("https://pbs.twimg.com/profile_images/962471262747529216/Uo8lOkRJ_normal.jpg","View")</f>
        <v>View</v>
      </c>
      <c r="P10894" s="7"/>
    </row>
    <row r="10895" spans="1:16">
      <c r="A10895" s="3">
        <v>44120.225752314815</v>
      </c>
      <c r="B10895" s="4" t="str">
        <f>HYPERLINK("https://twitter.com/petrogustavo","@petrogustavo")</f>
        <v>@petrogustavo</v>
      </c>
      <c r="C10895" s="5" t="s">
        <v>16</v>
      </c>
      <c r="D10895" s="5" t="s">
        <v>10489</v>
      </c>
      <c r="E10895" s="6" t="str">
        <f>HYPERLINK("https://twitter.com/petrogustavo/status/1316890369204867074","1316890369204867074")</f>
        <v>1316890369204867074</v>
      </c>
      <c r="F10895" s="7" t="s">
        <v>17</v>
      </c>
      <c r="G10895" s="7">
        <v>3991344</v>
      </c>
      <c r="H10895" s="7">
        <v>2445</v>
      </c>
      <c r="I10895" s="7">
        <v>499</v>
      </c>
      <c r="J10895" s="7">
        <v>0</v>
      </c>
      <c r="K10895" s="7" t="s">
        <v>18</v>
      </c>
      <c r="L10895" s="8">
        <v>39987.315405092595</v>
      </c>
      <c r="M10895" s="9" t="s">
        <v>19</v>
      </c>
      <c r="N10895" s="9" t="s">
        <v>20</v>
      </c>
      <c r="O10895" s="6" t="str">
        <f>HYPERLINK("https://pbs.twimg.com/profile_images/962471262747529216/Uo8lOkRJ_normal.jpg","View")</f>
        <v>View</v>
      </c>
      <c r="P10895" s="7"/>
    </row>
    <row r="10896" spans="1:16">
      <c r="A10896" s="3">
        <v>44120.238773148143</v>
      </c>
      <c r="B10896" s="4" t="str">
        <f>HYPERLINK("https://twitter.com/petrogustavo","@petrogustavo")</f>
        <v>@petrogustavo</v>
      </c>
      <c r="C10896" s="5" t="s">
        <v>16</v>
      </c>
      <c r="D10896" s="5" t="s">
        <v>10490</v>
      </c>
      <c r="E10896" s="6" t="str">
        <f>HYPERLINK("https://twitter.com/petrogustavo/status/1316895089466200064","1316895089466200064")</f>
        <v>1316895089466200064</v>
      </c>
      <c r="F10896" s="7" t="s">
        <v>17</v>
      </c>
      <c r="G10896" s="7">
        <v>3991344</v>
      </c>
      <c r="H10896" s="7">
        <v>2445</v>
      </c>
      <c r="I10896" s="7">
        <v>117</v>
      </c>
      <c r="J10896" s="7">
        <v>0</v>
      </c>
      <c r="K10896" s="7" t="s">
        <v>18</v>
      </c>
      <c r="L10896" s="8">
        <v>39987.315405092595</v>
      </c>
      <c r="M10896" s="9" t="s">
        <v>19</v>
      </c>
      <c r="N10896" s="9" t="s">
        <v>20</v>
      </c>
      <c r="O10896" s="6" t="str">
        <f>HYPERLINK("https://pbs.twimg.com/profile_images/962471262747529216/Uo8lOkRJ_normal.jpg","View")</f>
        <v>View</v>
      </c>
      <c r="P10896" s="7"/>
    </row>
    <row r="10897" spans="1:16">
      <c r="A10897" s="3">
        <v>44120.240937499999</v>
      </c>
      <c r="B10897" s="4" t="str">
        <f>HYPERLINK("https://twitter.com/petrogustavo","@petrogustavo")</f>
        <v>@petrogustavo</v>
      </c>
      <c r="C10897" s="5" t="s">
        <v>16</v>
      </c>
      <c r="D10897" s="5" t="s">
        <v>10491</v>
      </c>
      <c r="E10897" s="6" t="str">
        <f>HYPERLINK("https://twitter.com/petrogustavo/status/1316895872450428928","1316895872450428928")</f>
        <v>1316895872450428928</v>
      </c>
      <c r="F10897" s="7" t="s">
        <v>17</v>
      </c>
      <c r="G10897" s="7">
        <v>3991344</v>
      </c>
      <c r="H10897" s="7">
        <v>2445</v>
      </c>
      <c r="I10897" s="7">
        <v>16</v>
      </c>
      <c r="J10897" s="7">
        <v>62</v>
      </c>
      <c r="K10897" s="7" t="s">
        <v>18</v>
      </c>
      <c r="L10897" s="8">
        <v>39987.315405092595</v>
      </c>
      <c r="M10897" s="9" t="s">
        <v>19</v>
      </c>
      <c r="N10897" s="9" t="s">
        <v>20</v>
      </c>
      <c r="O10897" s="6" t="str">
        <f>HYPERLINK("https://pbs.twimg.com/profile_images/962471262747529216/Uo8lOkRJ_normal.jpg","View")</f>
        <v>View</v>
      </c>
      <c r="P10897" s="7"/>
    </row>
    <row r="10898" spans="1:16">
      <c r="A10898" s="3">
        <v>44120.307754629626</v>
      </c>
      <c r="B10898" s="4" t="str">
        <f>HYPERLINK("https://twitter.com/petrogustavo","@petrogustavo")</f>
        <v>@petrogustavo</v>
      </c>
      <c r="C10898" s="5" t="s">
        <v>16</v>
      </c>
      <c r="D10898" s="5" t="s">
        <v>10492</v>
      </c>
      <c r="E10898" s="6" t="str">
        <f>HYPERLINK("https://twitter.com/petrogustavo/status/1316920087220260865","1316920087220260865")</f>
        <v>1316920087220260865</v>
      </c>
      <c r="F10898" s="7" t="s">
        <v>21</v>
      </c>
      <c r="G10898" s="7">
        <v>3991415</v>
      </c>
      <c r="H10898" s="7">
        <v>2445</v>
      </c>
      <c r="I10898" s="7">
        <v>234</v>
      </c>
      <c r="J10898" s="7">
        <v>561</v>
      </c>
      <c r="K10898" s="7" t="s">
        <v>18</v>
      </c>
      <c r="L10898" s="8">
        <v>39987.315405092595</v>
      </c>
      <c r="M10898" s="9" t="s">
        <v>19</v>
      </c>
      <c r="N10898" s="9" t="s">
        <v>20</v>
      </c>
      <c r="O10898" s="6" t="str">
        <f>HYPERLINK("https://pbs.twimg.com/profile_images/962471262747529216/Uo8lOkRJ_normal.jpg","View")</f>
        <v>View</v>
      </c>
      <c r="P10898" s="7"/>
    </row>
    <row r="10899" spans="1:16">
      <c r="A10899" s="3">
        <v>44120.31287037037</v>
      </c>
      <c r="B10899" s="4" t="str">
        <f>HYPERLINK("https://twitter.com/petrogustavo","@petrogustavo")</f>
        <v>@petrogustavo</v>
      </c>
      <c r="C10899" s="5" t="s">
        <v>16</v>
      </c>
      <c r="D10899" s="5" t="s">
        <v>10493</v>
      </c>
      <c r="E10899" s="6" t="str">
        <f>HYPERLINK("https://twitter.com/petrogustavo/status/1316921938418290689","1316921938418290689")</f>
        <v>1316921938418290689</v>
      </c>
      <c r="F10899" s="7" t="s">
        <v>32</v>
      </c>
      <c r="G10899" s="7">
        <v>3991415</v>
      </c>
      <c r="H10899" s="7">
        <v>2445</v>
      </c>
      <c r="I10899" s="7">
        <v>494</v>
      </c>
      <c r="J10899" s="7">
        <v>1481</v>
      </c>
      <c r="K10899" s="7" t="s">
        <v>18</v>
      </c>
      <c r="L10899" s="8">
        <v>39987.315405092595</v>
      </c>
      <c r="M10899" s="9" t="s">
        <v>19</v>
      </c>
      <c r="N10899" s="9" t="s">
        <v>20</v>
      </c>
      <c r="O10899" s="6" t="str">
        <f>HYPERLINK("https://pbs.twimg.com/profile_images/962471262747529216/Uo8lOkRJ_normal.jpg","View")</f>
        <v>View</v>
      </c>
      <c r="P10899" s="7"/>
    </row>
    <row r="10900" spans="1:16">
      <c r="A10900" s="3">
        <v>44120.313217592593</v>
      </c>
      <c r="B10900" s="4" t="str">
        <f>HYPERLINK("https://twitter.com/petrogustavo","@petrogustavo")</f>
        <v>@petrogustavo</v>
      </c>
      <c r="C10900" s="5" t="s">
        <v>16</v>
      </c>
      <c r="D10900" s="5" t="s">
        <v>10494</v>
      </c>
      <c r="E10900" s="6" t="str">
        <f>HYPERLINK("https://twitter.com/petrogustavo/status/1316922065098805250","1316922065098805250")</f>
        <v>1316922065098805250</v>
      </c>
      <c r="F10900" s="7" t="s">
        <v>32</v>
      </c>
      <c r="G10900" s="7">
        <v>3991415</v>
      </c>
      <c r="H10900" s="7">
        <v>2445</v>
      </c>
      <c r="I10900" s="7">
        <v>234</v>
      </c>
      <c r="J10900" s="7">
        <v>0</v>
      </c>
      <c r="K10900" s="7" t="s">
        <v>18</v>
      </c>
      <c r="L10900" s="8">
        <v>39987.315405092595</v>
      </c>
      <c r="M10900" s="9" t="s">
        <v>19</v>
      </c>
      <c r="N10900" s="9" t="s">
        <v>20</v>
      </c>
      <c r="O10900" s="6" t="str">
        <f>HYPERLINK("https://pbs.twimg.com/profile_images/962471262747529216/Uo8lOkRJ_normal.jpg","View")</f>
        <v>View</v>
      </c>
      <c r="P10900" s="7"/>
    </row>
    <row r="10901" spans="1:16">
      <c r="A10901" s="3">
        <v>44120.314212962963</v>
      </c>
      <c r="B10901" s="4" t="str">
        <f>HYPERLINK("https://twitter.com/petrogustavo","@petrogustavo")</f>
        <v>@petrogustavo</v>
      </c>
      <c r="C10901" s="5" t="s">
        <v>16</v>
      </c>
      <c r="D10901" s="5" t="s">
        <v>10495</v>
      </c>
      <c r="E10901" s="6" t="str">
        <f>HYPERLINK("https://twitter.com/petrogustavo/status/1316922428380110848","1316922428380110848")</f>
        <v>1316922428380110848</v>
      </c>
      <c r="F10901" s="7" t="s">
        <v>32</v>
      </c>
      <c r="G10901" s="7">
        <v>3991415</v>
      </c>
      <c r="H10901" s="7">
        <v>2445</v>
      </c>
      <c r="I10901" s="7">
        <v>494</v>
      </c>
      <c r="J10901" s="7">
        <v>0</v>
      </c>
      <c r="K10901" s="7" t="s">
        <v>18</v>
      </c>
      <c r="L10901" s="8">
        <v>39987.315405092595</v>
      </c>
      <c r="M10901" s="9" t="s">
        <v>19</v>
      </c>
      <c r="N10901" s="9" t="s">
        <v>20</v>
      </c>
      <c r="O10901" s="6" t="str">
        <f>HYPERLINK("https://pbs.twimg.com/profile_images/962471262747529216/Uo8lOkRJ_normal.jpg","View")</f>
        <v>View</v>
      </c>
      <c r="P10901" s="7"/>
    </row>
    <row r="10902" spans="1:16">
      <c r="A10902" s="3">
        <v>44120.778148148151</v>
      </c>
      <c r="B10902" s="4" t="str">
        <f>HYPERLINK("https://twitter.com/petrogustavo","@petrogustavo")</f>
        <v>@petrogustavo</v>
      </c>
      <c r="C10902" s="5" t="s">
        <v>16</v>
      </c>
      <c r="D10902" s="5" t="s">
        <v>10496</v>
      </c>
      <c r="E10902" s="6" t="str">
        <f>HYPERLINK("https://twitter.com/petrogustavo/status/1317090551087439873","1317090551087439873")</f>
        <v>1317090551087439873</v>
      </c>
      <c r="F10902" s="7" t="s">
        <v>32</v>
      </c>
      <c r="G10902" s="7">
        <v>3991564</v>
      </c>
      <c r="H10902" s="7">
        <v>2445</v>
      </c>
      <c r="I10902" s="7">
        <v>91</v>
      </c>
      <c r="J10902" s="7">
        <v>187</v>
      </c>
      <c r="K10902" s="7" t="s">
        <v>18</v>
      </c>
      <c r="L10902" s="8">
        <v>39987.315405092595</v>
      </c>
      <c r="M10902" s="9" t="s">
        <v>19</v>
      </c>
      <c r="N10902" s="9" t="s">
        <v>20</v>
      </c>
      <c r="O10902" s="6" t="str">
        <f>HYPERLINK("https://pbs.twimg.com/profile_images/962471262747529216/Uo8lOkRJ_normal.jpg","View")</f>
        <v>View</v>
      </c>
      <c r="P10902" s="7"/>
    </row>
    <row r="10903" spans="1:16">
      <c r="A10903" s="3">
        <v>44120.784108796295</v>
      </c>
      <c r="B10903" s="4" t="str">
        <f>HYPERLINK("https://twitter.com/petrogustavo","@petrogustavo")</f>
        <v>@petrogustavo</v>
      </c>
      <c r="C10903" s="5" t="s">
        <v>16</v>
      </c>
      <c r="D10903" s="5" t="s">
        <v>10497</v>
      </c>
      <c r="E10903" s="6" t="str">
        <f>HYPERLINK("https://twitter.com/petrogustavo/status/1317092710931628032","1317092710931628032")</f>
        <v>1317092710931628032</v>
      </c>
      <c r="F10903" s="7" t="s">
        <v>32</v>
      </c>
      <c r="G10903" s="7">
        <v>3991582</v>
      </c>
      <c r="H10903" s="7">
        <v>2445</v>
      </c>
      <c r="I10903" s="7">
        <v>99</v>
      </c>
      <c r="J10903" s="7">
        <v>257</v>
      </c>
      <c r="K10903" s="7" t="s">
        <v>18</v>
      </c>
      <c r="L10903" s="8">
        <v>39987.315405092595</v>
      </c>
      <c r="M10903" s="9" t="s">
        <v>19</v>
      </c>
      <c r="N10903" s="9" t="s">
        <v>20</v>
      </c>
      <c r="O10903" s="6" t="str">
        <f>HYPERLINK("https://pbs.twimg.com/profile_images/962471262747529216/Uo8lOkRJ_normal.jpg","View")</f>
        <v>View</v>
      </c>
      <c r="P10903" s="7"/>
    </row>
    <row r="10904" spans="1:16">
      <c r="A10904" s="3">
        <v>44120.83321759259</v>
      </c>
      <c r="B10904" s="4" t="str">
        <f>HYPERLINK("https://twitter.com/petrogustavo","@petrogustavo")</f>
        <v>@petrogustavo</v>
      </c>
      <c r="C10904" s="5" t="s">
        <v>16</v>
      </c>
      <c r="D10904" s="5" t="s">
        <v>10495</v>
      </c>
      <c r="E10904" s="6" t="str">
        <f>HYPERLINK("https://twitter.com/petrogustavo/status/1317110508986748929","1317110508986748929")</f>
        <v>1317110508986748929</v>
      </c>
      <c r="F10904" s="7" t="s">
        <v>17</v>
      </c>
      <c r="G10904" s="7">
        <v>3991599</v>
      </c>
      <c r="H10904" s="7">
        <v>2445</v>
      </c>
      <c r="I10904" s="7">
        <v>3543</v>
      </c>
      <c r="J10904" s="7">
        <v>0</v>
      </c>
      <c r="K10904" s="7" t="s">
        <v>18</v>
      </c>
      <c r="L10904" s="8">
        <v>39987.315405092595</v>
      </c>
      <c r="M10904" s="9" t="s">
        <v>19</v>
      </c>
      <c r="N10904" s="9" t="s">
        <v>20</v>
      </c>
      <c r="O10904" s="6" t="str">
        <f>HYPERLINK("https://pbs.twimg.com/profile_images/962471262747529216/Uo8lOkRJ_normal.jpg","View")</f>
        <v>View</v>
      </c>
      <c r="P10904" s="7"/>
    </row>
    <row r="10905" spans="1:16">
      <c r="A10905" s="3">
        <v>44120.851377314815</v>
      </c>
      <c r="B10905" s="4" t="str">
        <f>HYPERLINK("https://twitter.com/petrogustavo","@petrogustavo")</f>
        <v>@petrogustavo</v>
      </c>
      <c r="C10905" s="5" t="s">
        <v>16</v>
      </c>
      <c r="D10905" s="5" t="s">
        <v>10498</v>
      </c>
      <c r="E10905" s="6" t="str">
        <f>HYPERLINK("https://twitter.com/petrogustavo/status/1317117089950425088","1317117089950425088")</f>
        <v>1317117089950425088</v>
      </c>
      <c r="F10905" s="7" t="s">
        <v>17</v>
      </c>
      <c r="G10905" s="7">
        <v>3991616</v>
      </c>
      <c r="H10905" s="7">
        <v>2445</v>
      </c>
      <c r="I10905" s="7">
        <v>285</v>
      </c>
      <c r="J10905" s="7">
        <v>1055</v>
      </c>
      <c r="K10905" s="7" t="s">
        <v>18</v>
      </c>
      <c r="L10905" s="8">
        <v>39987.315405092595</v>
      </c>
      <c r="M10905" s="9" t="s">
        <v>19</v>
      </c>
      <c r="N10905" s="9" t="s">
        <v>20</v>
      </c>
      <c r="O10905" s="6" t="str">
        <f>HYPERLINK("https://pbs.twimg.com/profile_images/962471262747529216/Uo8lOkRJ_normal.jpg","View")</f>
        <v>View</v>
      </c>
      <c r="P10905" s="7"/>
    </row>
    <row r="10906" spans="1:16">
      <c r="A10906" s="3">
        <v>44120.861192129625</v>
      </c>
      <c r="B10906" s="4" t="str">
        <f>HYPERLINK("https://twitter.com/petrogustavo","@petrogustavo")</f>
        <v>@petrogustavo</v>
      </c>
      <c r="C10906" s="5" t="s">
        <v>16</v>
      </c>
      <c r="D10906" s="5" t="s">
        <v>10499</v>
      </c>
      <c r="E10906" s="6" t="str">
        <f>HYPERLINK("https://twitter.com/petrogustavo/status/1317120645126303748","1317120645126303748")</f>
        <v>1317120645126303748</v>
      </c>
      <c r="F10906" s="7" t="s">
        <v>17</v>
      </c>
      <c r="G10906" s="7">
        <v>3991616</v>
      </c>
      <c r="H10906" s="7">
        <v>2445</v>
      </c>
      <c r="I10906" s="7">
        <v>32</v>
      </c>
      <c r="J10906" s="7">
        <v>95</v>
      </c>
      <c r="K10906" s="7" t="s">
        <v>18</v>
      </c>
      <c r="L10906" s="8">
        <v>39987.315405092595</v>
      </c>
      <c r="M10906" s="9" t="s">
        <v>19</v>
      </c>
      <c r="N10906" s="9" t="s">
        <v>20</v>
      </c>
      <c r="O10906" s="6" t="str">
        <f>HYPERLINK("https://pbs.twimg.com/profile_images/962471262747529216/Uo8lOkRJ_normal.jpg","View")</f>
        <v>View</v>
      </c>
      <c r="P10906" s="7"/>
    </row>
    <row r="10907" spans="1:16">
      <c r="A10907" s="3">
        <v>44120.863298611112</v>
      </c>
      <c r="B10907" s="4" t="str">
        <f>HYPERLINK("https://twitter.com/petrogustavo","@petrogustavo")</f>
        <v>@petrogustavo</v>
      </c>
      <c r="C10907" s="5" t="s">
        <v>16</v>
      </c>
      <c r="D10907" s="5" t="s">
        <v>10494</v>
      </c>
      <c r="E10907" s="6" t="str">
        <f>HYPERLINK("https://twitter.com/petrogustavo/status/1317121410330918913","1317121410330918913")</f>
        <v>1317121410330918913</v>
      </c>
      <c r="F10907" s="7" t="s">
        <v>17</v>
      </c>
      <c r="G10907" s="7">
        <v>3991616</v>
      </c>
      <c r="H10907" s="7">
        <v>2445</v>
      </c>
      <c r="I10907" s="7">
        <v>1011</v>
      </c>
      <c r="J10907" s="7">
        <v>0</v>
      </c>
      <c r="K10907" s="7" t="s">
        <v>18</v>
      </c>
      <c r="L10907" s="8">
        <v>39987.315405092595</v>
      </c>
      <c r="M10907" s="9" t="s">
        <v>19</v>
      </c>
      <c r="N10907" s="9" t="s">
        <v>20</v>
      </c>
      <c r="O10907" s="6" t="str">
        <f>HYPERLINK("https://pbs.twimg.com/profile_images/962471262747529216/Uo8lOkRJ_normal.jpg","View")</f>
        <v>View</v>
      </c>
      <c r="P10907" s="7"/>
    </row>
    <row r="10908" spans="1:16">
      <c r="A10908" s="3">
        <v>44120.89434027778</v>
      </c>
      <c r="B10908" s="4" t="str">
        <f>HYPERLINK("https://twitter.com/petrogustavo","@petrogustavo")</f>
        <v>@petrogustavo</v>
      </c>
      <c r="C10908" s="5" t="s">
        <v>16</v>
      </c>
      <c r="D10908" s="5" t="s">
        <v>10500</v>
      </c>
      <c r="E10908" s="6" t="str">
        <f>HYPERLINK("https://twitter.com/petrogustavo/status/1317132658120458240","1317132658120458240")</f>
        <v>1317132658120458240</v>
      </c>
      <c r="F10908" s="7" t="s">
        <v>32</v>
      </c>
      <c r="G10908" s="7">
        <v>3991641</v>
      </c>
      <c r="H10908" s="7">
        <v>2446</v>
      </c>
      <c r="I10908" s="7">
        <v>112</v>
      </c>
      <c r="J10908" s="7">
        <v>0</v>
      </c>
      <c r="K10908" s="7" t="s">
        <v>18</v>
      </c>
      <c r="L10908" s="8">
        <v>39987.315405092595</v>
      </c>
      <c r="M10908" s="9" t="s">
        <v>19</v>
      </c>
      <c r="N10908" s="9" t="s">
        <v>20</v>
      </c>
      <c r="O10908" s="6" t="str">
        <f>HYPERLINK("https://pbs.twimg.com/profile_images/962471262747529216/Uo8lOkRJ_normal.jpg","View")</f>
        <v>View</v>
      </c>
      <c r="P10908" s="7"/>
    </row>
    <row r="10909" spans="1:16">
      <c r="A10909" s="3">
        <v>44120.894386574073</v>
      </c>
      <c r="B10909" s="4" t="str">
        <f>HYPERLINK("https://twitter.com/petrogustavo","@petrogustavo")</f>
        <v>@petrogustavo</v>
      </c>
      <c r="C10909" s="5" t="s">
        <v>16</v>
      </c>
      <c r="D10909" s="5" t="s">
        <v>10501</v>
      </c>
      <c r="E10909" s="6" t="str">
        <f>HYPERLINK("https://twitter.com/petrogustavo/status/1317132676244115456","1317132676244115456")</f>
        <v>1317132676244115456</v>
      </c>
      <c r="F10909" s="7" t="s">
        <v>32</v>
      </c>
      <c r="G10909" s="7">
        <v>3991641</v>
      </c>
      <c r="H10909" s="7">
        <v>2446</v>
      </c>
      <c r="I10909" s="7">
        <v>932</v>
      </c>
      <c r="J10909" s="7">
        <v>0</v>
      </c>
      <c r="K10909" s="7" t="s">
        <v>18</v>
      </c>
      <c r="L10909" s="8">
        <v>39987.315405092595</v>
      </c>
      <c r="M10909" s="9" t="s">
        <v>19</v>
      </c>
      <c r="N10909" s="9" t="s">
        <v>20</v>
      </c>
      <c r="O10909" s="6" t="str">
        <f>HYPERLINK("https://pbs.twimg.com/profile_images/962471262747529216/Uo8lOkRJ_normal.jpg","View")</f>
        <v>View</v>
      </c>
      <c r="P10909" s="7"/>
    </row>
    <row r="10910" spans="1:16">
      <c r="A10910" s="3">
        <v>44120.910833333328</v>
      </c>
      <c r="B10910" s="4" t="str">
        <f>HYPERLINK("https://twitter.com/petrogustavo","@petrogustavo")</f>
        <v>@petrogustavo</v>
      </c>
      <c r="C10910" s="5" t="s">
        <v>16</v>
      </c>
      <c r="D10910" s="5" t="s">
        <v>10502</v>
      </c>
      <c r="E10910" s="6" t="str">
        <f>HYPERLINK("https://twitter.com/petrogustavo/status/1317138633464438784","1317138633464438784")</f>
        <v>1317138633464438784</v>
      </c>
      <c r="F10910" s="7" t="s">
        <v>32</v>
      </c>
      <c r="G10910" s="7">
        <v>3991663</v>
      </c>
      <c r="H10910" s="7">
        <v>2446</v>
      </c>
      <c r="I10910" s="7">
        <v>160</v>
      </c>
      <c r="J10910" s="7">
        <v>0</v>
      </c>
      <c r="K10910" s="7" t="s">
        <v>18</v>
      </c>
      <c r="L10910" s="8">
        <v>39987.315405092595</v>
      </c>
      <c r="M10910" s="9" t="s">
        <v>19</v>
      </c>
      <c r="N10910" s="9" t="s">
        <v>20</v>
      </c>
      <c r="O10910" s="6" t="str">
        <f>HYPERLINK("https://pbs.twimg.com/profile_images/962471262747529216/Uo8lOkRJ_normal.jpg","View")</f>
        <v>View</v>
      </c>
      <c r="P10910" s="7"/>
    </row>
    <row r="10911" spans="1:16">
      <c r="A10911" s="3">
        <v>44120.911099537036</v>
      </c>
      <c r="B10911" s="4" t="str">
        <f>HYPERLINK("https://twitter.com/petrogustavo","@petrogustavo")</f>
        <v>@petrogustavo</v>
      </c>
      <c r="C10911" s="5" t="s">
        <v>16</v>
      </c>
      <c r="D10911" s="5" t="s">
        <v>10494</v>
      </c>
      <c r="E10911" s="6" t="str">
        <f>HYPERLINK("https://twitter.com/petrogustavo/status/1317138731468509187","1317138731468509187")</f>
        <v>1317138731468509187</v>
      </c>
      <c r="F10911" s="7" t="s">
        <v>32</v>
      </c>
      <c r="G10911" s="7">
        <v>3991663</v>
      </c>
      <c r="H10911" s="7">
        <v>2446</v>
      </c>
      <c r="I10911" s="7">
        <v>1126</v>
      </c>
      <c r="J10911" s="7">
        <v>0</v>
      </c>
      <c r="K10911" s="7" t="s">
        <v>18</v>
      </c>
      <c r="L10911" s="8">
        <v>39987.315405092595</v>
      </c>
      <c r="M10911" s="9" t="s">
        <v>19</v>
      </c>
      <c r="N10911" s="9" t="s">
        <v>20</v>
      </c>
      <c r="O10911" s="6" t="str">
        <f>HYPERLINK("https://pbs.twimg.com/profile_images/962471262747529216/Uo8lOkRJ_normal.jpg","View")</f>
        <v>View</v>
      </c>
      <c r="P10911" s="7"/>
    </row>
    <row r="10912" spans="1:16">
      <c r="A10912" s="3">
        <v>44120.934884259259</v>
      </c>
      <c r="B10912" s="4" t="str">
        <f>HYPERLINK("https://twitter.com/petrogustavo","@petrogustavo")</f>
        <v>@petrogustavo</v>
      </c>
      <c r="C10912" s="5" t="s">
        <v>16</v>
      </c>
      <c r="D10912" s="5" t="s">
        <v>10503</v>
      </c>
      <c r="E10912" s="6" t="str">
        <f>HYPERLINK("https://twitter.com/petrogustavo/status/1317147350788395014","1317147350788395014")</f>
        <v>1317147350788395014</v>
      </c>
      <c r="F10912" s="7" t="s">
        <v>32</v>
      </c>
      <c r="G10912" s="7">
        <v>3991674</v>
      </c>
      <c r="H10912" s="7">
        <v>2446</v>
      </c>
      <c r="I10912" s="7">
        <v>1126</v>
      </c>
      <c r="J10912" s="7">
        <v>0</v>
      </c>
      <c r="K10912" s="7" t="s">
        <v>18</v>
      </c>
      <c r="L10912" s="8">
        <v>39987.315405092595</v>
      </c>
      <c r="M10912" s="9" t="s">
        <v>19</v>
      </c>
      <c r="N10912" s="9" t="s">
        <v>20</v>
      </c>
      <c r="O10912" s="6" t="str">
        <f>HYPERLINK("https://pbs.twimg.com/profile_images/962471262747529216/Uo8lOkRJ_normal.jpg","View")</f>
        <v>View</v>
      </c>
      <c r="P10912" s="7"/>
    </row>
    <row r="10913" spans="1:16">
      <c r="A10913" s="3">
        <v>44120.952870370369</v>
      </c>
      <c r="B10913" s="4" t="str">
        <f>HYPERLINK("https://twitter.com/petrogustavo","@petrogustavo")</f>
        <v>@petrogustavo</v>
      </c>
      <c r="C10913" s="5" t="s">
        <v>16</v>
      </c>
      <c r="D10913" s="5" t="s">
        <v>10504</v>
      </c>
      <c r="E10913" s="6" t="str">
        <f>HYPERLINK("https://twitter.com/petrogustavo/status/1317153867386228737","1317153867386228737")</f>
        <v>1317153867386228737</v>
      </c>
      <c r="F10913" s="7" t="s">
        <v>32</v>
      </c>
      <c r="G10913" s="7">
        <v>3991677</v>
      </c>
      <c r="H10913" s="7">
        <v>2446</v>
      </c>
      <c r="I10913" s="7">
        <v>7</v>
      </c>
      <c r="J10913" s="7">
        <v>0</v>
      </c>
      <c r="K10913" s="7" t="s">
        <v>18</v>
      </c>
      <c r="L10913" s="8">
        <v>39987.315405092595</v>
      </c>
      <c r="M10913" s="9" t="s">
        <v>19</v>
      </c>
      <c r="N10913" s="9" t="s">
        <v>20</v>
      </c>
      <c r="O10913" s="6" t="str">
        <f>HYPERLINK("https://pbs.twimg.com/profile_images/962471262747529216/Uo8lOkRJ_normal.jpg","View")</f>
        <v>View</v>
      </c>
      <c r="P10913" s="7"/>
    </row>
    <row r="10914" spans="1:16">
      <c r="A10914" s="3">
        <v>44120.955694444448</v>
      </c>
      <c r="B10914" s="4" t="str">
        <f>HYPERLINK("https://twitter.com/petrogustavo","@petrogustavo")</f>
        <v>@petrogustavo</v>
      </c>
      <c r="C10914" s="5" t="s">
        <v>16</v>
      </c>
      <c r="D10914" s="5" t="s">
        <v>10505</v>
      </c>
      <c r="E10914" s="6" t="str">
        <f>HYPERLINK("https://twitter.com/petrogustavo/status/1317154892390215682","1317154892390215682")</f>
        <v>1317154892390215682</v>
      </c>
      <c r="F10914" s="7" t="s">
        <v>32</v>
      </c>
      <c r="G10914" s="7">
        <v>3991677</v>
      </c>
      <c r="H10914" s="7">
        <v>2446</v>
      </c>
      <c r="I10914" s="7">
        <v>63</v>
      </c>
      <c r="J10914" s="7">
        <v>0</v>
      </c>
      <c r="K10914" s="7" t="s">
        <v>18</v>
      </c>
      <c r="L10914" s="8">
        <v>39987.315405092595</v>
      </c>
      <c r="M10914" s="9" t="s">
        <v>19</v>
      </c>
      <c r="N10914" s="9" t="s">
        <v>20</v>
      </c>
      <c r="O10914" s="6" t="str">
        <f>HYPERLINK("https://pbs.twimg.com/profile_images/962471262747529216/Uo8lOkRJ_normal.jpg","View")</f>
        <v>View</v>
      </c>
      <c r="P10914" s="7"/>
    </row>
    <row r="10915" spans="1:16">
      <c r="A10915" s="3">
        <v>44120.957476851851</v>
      </c>
      <c r="B10915" s="4" t="str">
        <f>HYPERLINK("https://twitter.com/petrogustavo","@petrogustavo")</f>
        <v>@petrogustavo</v>
      </c>
      <c r="C10915" s="5" t="s">
        <v>16</v>
      </c>
      <c r="D10915" s="5" t="s">
        <v>10506</v>
      </c>
      <c r="E10915" s="6" t="str">
        <f>HYPERLINK("https://twitter.com/petrogustavo/status/1317155537679679490","1317155537679679490")</f>
        <v>1317155537679679490</v>
      </c>
      <c r="F10915" s="7" t="s">
        <v>32</v>
      </c>
      <c r="G10915" s="7">
        <v>3991677</v>
      </c>
      <c r="H10915" s="7">
        <v>2446</v>
      </c>
      <c r="I10915" s="7">
        <v>69</v>
      </c>
      <c r="J10915" s="7">
        <v>0</v>
      </c>
      <c r="K10915" s="7" t="s">
        <v>18</v>
      </c>
      <c r="L10915" s="8">
        <v>39987.315405092595</v>
      </c>
      <c r="M10915" s="9" t="s">
        <v>19</v>
      </c>
      <c r="N10915" s="9" t="s">
        <v>20</v>
      </c>
      <c r="O10915" s="6" t="str">
        <f>HYPERLINK("https://pbs.twimg.com/profile_images/962471262747529216/Uo8lOkRJ_normal.jpg","View")</f>
        <v>View</v>
      </c>
      <c r="P10915" s="7"/>
    </row>
    <row r="10916" spans="1:16">
      <c r="A10916" s="3">
        <v>44120.962847222225</v>
      </c>
      <c r="B10916" s="4" t="str">
        <f>HYPERLINK("https://twitter.com/petrogustavo","@petrogustavo")</f>
        <v>@petrogustavo</v>
      </c>
      <c r="C10916" s="5" t="s">
        <v>16</v>
      </c>
      <c r="D10916" s="5" t="s">
        <v>10507</v>
      </c>
      <c r="E10916" s="6" t="str">
        <f>HYPERLINK("https://twitter.com/petrogustavo/status/1317157483723563008","1317157483723563008")</f>
        <v>1317157483723563008</v>
      </c>
      <c r="F10916" s="7" t="s">
        <v>32</v>
      </c>
      <c r="G10916" s="7">
        <v>3991677</v>
      </c>
      <c r="H10916" s="7">
        <v>2446</v>
      </c>
      <c r="I10916" s="7">
        <v>347</v>
      </c>
      <c r="J10916" s="7">
        <v>0</v>
      </c>
      <c r="K10916" s="7" t="s">
        <v>18</v>
      </c>
      <c r="L10916" s="8">
        <v>39987.315405092595</v>
      </c>
      <c r="M10916" s="9" t="s">
        <v>19</v>
      </c>
      <c r="N10916" s="9" t="s">
        <v>20</v>
      </c>
      <c r="O10916" s="6" t="str">
        <f>HYPERLINK("https://pbs.twimg.com/profile_images/962471262747529216/Uo8lOkRJ_normal.jpg","View")</f>
        <v>View</v>
      </c>
      <c r="P10916" s="7"/>
    </row>
    <row r="10917" spans="1:16">
      <c r="A10917" s="3">
        <v>44120.970358796301</v>
      </c>
      <c r="B10917" s="4" t="str">
        <f>HYPERLINK("https://twitter.com/petrogustavo","@petrogustavo")</f>
        <v>@petrogustavo</v>
      </c>
      <c r="C10917" s="5" t="s">
        <v>16</v>
      </c>
      <c r="D10917" s="5" t="s">
        <v>10508</v>
      </c>
      <c r="E10917" s="6" t="str">
        <f>HYPERLINK("https://twitter.com/petrogustavo/status/1317160208205008896","1317160208205008896")</f>
        <v>1317160208205008896</v>
      </c>
      <c r="F10917" s="7" t="s">
        <v>32</v>
      </c>
      <c r="G10917" s="7">
        <v>3991677</v>
      </c>
      <c r="H10917" s="7">
        <v>2446</v>
      </c>
      <c r="I10917" s="7">
        <v>12</v>
      </c>
      <c r="J10917" s="7">
        <v>24</v>
      </c>
      <c r="K10917" s="7" t="s">
        <v>18</v>
      </c>
      <c r="L10917" s="8">
        <v>39987.315405092595</v>
      </c>
      <c r="M10917" s="9" t="s">
        <v>19</v>
      </c>
      <c r="N10917" s="9" t="s">
        <v>20</v>
      </c>
      <c r="O10917" s="6" t="str">
        <f>HYPERLINK("https://pbs.twimg.com/profile_images/962471262747529216/Uo8lOkRJ_normal.jpg","View")</f>
        <v>View</v>
      </c>
      <c r="P10917" s="7"/>
    </row>
    <row r="10918" spans="1:16">
      <c r="A10918" s="3">
        <v>44120.97493055556</v>
      </c>
      <c r="B10918" s="4" t="str">
        <f>HYPERLINK("https://twitter.com/petrogustavo","@petrogustavo")</f>
        <v>@petrogustavo</v>
      </c>
      <c r="C10918" s="5" t="s">
        <v>16</v>
      </c>
      <c r="D10918" s="5" t="s">
        <v>10509</v>
      </c>
      <c r="E10918" s="6" t="str">
        <f>HYPERLINK("https://twitter.com/petrogustavo/status/1317161865168982016","1317161865168982016")</f>
        <v>1317161865168982016</v>
      </c>
      <c r="F10918" s="7" t="s">
        <v>21</v>
      </c>
      <c r="G10918" s="7">
        <v>3991696</v>
      </c>
      <c r="H10918" s="7">
        <v>2446</v>
      </c>
      <c r="I10918" s="7">
        <v>123</v>
      </c>
      <c r="J10918" s="7">
        <v>358</v>
      </c>
      <c r="K10918" s="7" t="s">
        <v>18</v>
      </c>
      <c r="L10918" s="8">
        <v>39987.315405092595</v>
      </c>
      <c r="M10918" s="9" t="s">
        <v>19</v>
      </c>
      <c r="N10918" s="9" t="s">
        <v>20</v>
      </c>
      <c r="O10918" s="6" t="str">
        <f>HYPERLINK("https://pbs.twimg.com/profile_images/962471262747529216/Uo8lOkRJ_normal.jpg","View")</f>
        <v>View</v>
      </c>
      <c r="P10918" s="7"/>
    </row>
    <row r="10919" spans="1:16">
      <c r="A10919" s="3">
        <v>44121.2262962963</v>
      </c>
      <c r="B10919" s="4" t="str">
        <f>HYPERLINK("https://twitter.com/petrogustavo","@petrogustavo")</f>
        <v>@petrogustavo</v>
      </c>
      <c r="C10919" s="5" t="s">
        <v>16</v>
      </c>
      <c r="D10919" s="5" t="s">
        <v>10510</v>
      </c>
      <c r="E10919" s="6" t="str">
        <f>HYPERLINK("https://twitter.com/petrogustavo/status/1317252952999055360","1317252952999055360")</f>
        <v>1317252952999055360</v>
      </c>
      <c r="F10919" s="7" t="s">
        <v>32</v>
      </c>
      <c r="G10919" s="7">
        <v>3991890</v>
      </c>
      <c r="H10919" s="7">
        <v>2446</v>
      </c>
      <c r="I10919" s="7">
        <v>624</v>
      </c>
      <c r="J10919" s="7">
        <v>0</v>
      </c>
      <c r="K10919" s="7" t="s">
        <v>18</v>
      </c>
      <c r="L10919" s="8">
        <v>39987.315405092595</v>
      </c>
      <c r="M10919" s="9" t="s">
        <v>19</v>
      </c>
      <c r="N10919" s="9" t="s">
        <v>20</v>
      </c>
      <c r="O10919" s="6" t="str">
        <f>HYPERLINK("https://pbs.twimg.com/profile_images/962471262747529216/Uo8lOkRJ_normal.jpg","View")</f>
        <v>View</v>
      </c>
      <c r="P10919" s="7"/>
    </row>
    <row r="10920" spans="1:16">
      <c r="A10920" s="3">
        <v>44121.300127314811</v>
      </c>
      <c r="B10920" s="4" t="str">
        <f>HYPERLINK("https://twitter.com/petrogustavo","@petrogustavo")</f>
        <v>@petrogustavo</v>
      </c>
      <c r="C10920" s="5" t="s">
        <v>16</v>
      </c>
      <c r="D10920" s="5" t="s">
        <v>10511</v>
      </c>
      <c r="E10920" s="6" t="str">
        <f>HYPERLINK("https://twitter.com/petrogustavo/status/1317279709261160449","1317279709261160449")</f>
        <v>1317279709261160449</v>
      </c>
      <c r="F10920" s="7" t="s">
        <v>32</v>
      </c>
      <c r="G10920" s="7">
        <v>3991937</v>
      </c>
      <c r="H10920" s="7">
        <v>2446</v>
      </c>
      <c r="I10920" s="7">
        <v>926</v>
      </c>
      <c r="J10920" s="7">
        <v>0</v>
      </c>
      <c r="K10920" s="7" t="s">
        <v>18</v>
      </c>
      <c r="L10920" s="8">
        <v>39987.315405092595</v>
      </c>
      <c r="M10920" s="9" t="s">
        <v>19</v>
      </c>
      <c r="N10920" s="9" t="s">
        <v>20</v>
      </c>
      <c r="O10920" s="6" t="str">
        <f>HYPERLINK("https://pbs.twimg.com/profile_images/962471262747529216/Uo8lOkRJ_normal.jpg","View")</f>
        <v>View</v>
      </c>
      <c r="P10920" s="7"/>
    </row>
    <row r="10921" spans="1:16">
      <c r="A10921" s="3">
        <v>44121.301886574074</v>
      </c>
      <c r="B10921" s="4" t="str">
        <f>HYPERLINK("https://twitter.com/petrogustavo","@petrogustavo")</f>
        <v>@petrogustavo</v>
      </c>
      <c r="C10921" s="5" t="s">
        <v>16</v>
      </c>
      <c r="D10921" s="5" t="s">
        <v>10512</v>
      </c>
      <c r="E10921" s="6" t="str">
        <f>HYPERLINK("https://twitter.com/petrogustavo/status/1317280349408448512","1317280349408448512")</f>
        <v>1317280349408448512</v>
      </c>
      <c r="F10921" s="7" t="s">
        <v>32</v>
      </c>
      <c r="G10921" s="7">
        <v>3991937</v>
      </c>
      <c r="H10921" s="7">
        <v>2446</v>
      </c>
      <c r="I10921" s="7">
        <v>11</v>
      </c>
      <c r="J10921" s="7">
        <v>0</v>
      </c>
      <c r="K10921" s="7" t="s">
        <v>18</v>
      </c>
      <c r="L10921" s="8">
        <v>39987.315405092595</v>
      </c>
      <c r="M10921" s="9" t="s">
        <v>19</v>
      </c>
      <c r="N10921" s="9" t="s">
        <v>20</v>
      </c>
      <c r="O10921" s="6" t="str">
        <f>HYPERLINK("https://pbs.twimg.com/profile_images/962471262747529216/Uo8lOkRJ_normal.jpg","View")</f>
        <v>View</v>
      </c>
      <c r="P10921" s="7"/>
    </row>
    <row r="10922" spans="1:16">
      <c r="A10922" s="3">
        <v>44121.303043981483</v>
      </c>
      <c r="B10922" s="4" t="str">
        <f>HYPERLINK("https://twitter.com/petrogustavo","@petrogustavo")</f>
        <v>@petrogustavo</v>
      </c>
      <c r="C10922" s="5" t="s">
        <v>16</v>
      </c>
      <c r="D10922" s="5" t="s">
        <v>10513</v>
      </c>
      <c r="E10922" s="6" t="str">
        <f>HYPERLINK("https://twitter.com/petrogustavo/status/1317280766724812802","1317280766724812802")</f>
        <v>1317280766724812802</v>
      </c>
      <c r="F10922" s="7" t="s">
        <v>32</v>
      </c>
      <c r="G10922" s="7">
        <v>3991937</v>
      </c>
      <c r="H10922" s="7">
        <v>2446</v>
      </c>
      <c r="I10922" s="7">
        <v>25</v>
      </c>
      <c r="J10922" s="7">
        <v>87</v>
      </c>
      <c r="K10922" s="7" t="s">
        <v>18</v>
      </c>
      <c r="L10922" s="8">
        <v>39987.315405092595</v>
      </c>
      <c r="M10922" s="9" t="s">
        <v>19</v>
      </c>
      <c r="N10922" s="9" t="s">
        <v>20</v>
      </c>
      <c r="O10922" s="6" t="str">
        <f>HYPERLINK("https://pbs.twimg.com/profile_images/962471262747529216/Uo8lOkRJ_normal.jpg","View")</f>
        <v>View</v>
      </c>
      <c r="P10922" s="7"/>
    </row>
    <row r="10923" spans="1:16">
      <c r="A10923" s="3">
        <v>44121.303564814814</v>
      </c>
      <c r="B10923" s="4" t="str">
        <f>HYPERLINK("https://twitter.com/petrogustavo","@petrogustavo")</f>
        <v>@petrogustavo</v>
      </c>
      <c r="C10923" s="5" t="s">
        <v>16</v>
      </c>
      <c r="D10923" s="5" t="s">
        <v>10510</v>
      </c>
      <c r="E10923" s="6" t="str">
        <f>HYPERLINK("https://twitter.com/petrogustavo/status/1317280957913845760","1317280957913845760")</f>
        <v>1317280957913845760</v>
      </c>
      <c r="F10923" s="7" t="s">
        <v>32</v>
      </c>
      <c r="G10923" s="7">
        <v>3991937</v>
      </c>
      <c r="H10923" s="7">
        <v>2446</v>
      </c>
      <c r="I10923" s="7">
        <v>717</v>
      </c>
      <c r="J10923" s="7">
        <v>0</v>
      </c>
      <c r="K10923" s="7" t="s">
        <v>18</v>
      </c>
      <c r="L10923" s="8">
        <v>39987.315405092595</v>
      </c>
      <c r="M10923" s="9" t="s">
        <v>19</v>
      </c>
      <c r="N10923" s="9" t="s">
        <v>20</v>
      </c>
      <c r="O10923" s="6" t="str">
        <f>HYPERLINK("https://pbs.twimg.com/profile_images/962471262747529216/Uo8lOkRJ_normal.jpg","View")</f>
        <v>View</v>
      </c>
      <c r="P10923" s="7"/>
    </row>
    <row r="10924" spans="1:16">
      <c r="A10924" s="3">
        <v>44121.730324074073</v>
      </c>
      <c r="B10924" s="4" t="str">
        <f>HYPERLINK("https://twitter.com/petrogustavo","@petrogustavo")</f>
        <v>@petrogustavo</v>
      </c>
      <c r="C10924" s="5" t="s">
        <v>16</v>
      </c>
      <c r="D10924" s="5" t="s">
        <v>10514</v>
      </c>
      <c r="E10924" s="6" t="str">
        <f>HYPERLINK("https://twitter.com/petrogustavo/status/1317435607640117249","1317435607640117249")</f>
        <v>1317435607640117249</v>
      </c>
      <c r="F10924" s="7" t="s">
        <v>17</v>
      </c>
      <c r="G10924" s="7">
        <v>3992082</v>
      </c>
      <c r="H10924" s="7">
        <v>2446</v>
      </c>
      <c r="I10924" s="7">
        <v>486</v>
      </c>
      <c r="J10924" s="7">
        <v>0</v>
      </c>
      <c r="K10924" s="7" t="s">
        <v>18</v>
      </c>
      <c r="L10924" s="8">
        <v>39987.315405092595</v>
      </c>
      <c r="M10924" s="9" t="s">
        <v>19</v>
      </c>
      <c r="N10924" s="9" t="s">
        <v>20</v>
      </c>
      <c r="O10924" s="6" t="str">
        <f>HYPERLINK("https://pbs.twimg.com/profile_images/962471262747529216/Uo8lOkRJ_normal.jpg","View")</f>
        <v>View</v>
      </c>
      <c r="P10924" s="7"/>
    </row>
    <row r="10925" spans="1:16">
      <c r="A10925" s="3">
        <v>44121.732615740737</v>
      </c>
      <c r="B10925" s="4" t="str">
        <f>HYPERLINK("https://twitter.com/petrogustavo","@petrogustavo")</f>
        <v>@petrogustavo</v>
      </c>
      <c r="C10925" s="5" t="s">
        <v>16</v>
      </c>
      <c r="D10925" s="5" t="s">
        <v>10515</v>
      </c>
      <c r="E10925" s="6" t="str">
        <f>HYPERLINK("https://twitter.com/petrogustavo/status/1317436438347206664","1317436438347206664")</f>
        <v>1317436438347206664</v>
      </c>
      <c r="F10925" s="7" t="s">
        <v>17</v>
      </c>
      <c r="G10925" s="7">
        <v>3992082</v>
      </c>
      <c r="H10925" s="7">
        <v>2446</v>
      </c>
      <c r="I10925" s="7">
        <v>122</v>
      </c>
      <c r="J10925" s="7">
        <v>209</v>
      </c>
      <c r="K10925" s="7" t="s">
        <v>18</v>
      </c>
      <c r="L10925" s="8">
        <v>39987.315405092595</v>
      </c>
      <c r="M10925" s="9" t="s">
        <v>19</v>
      </c>
      <c r="N10925" s="9" t="s">
        <v>20</v>
      </c>
      <c r="O10925" s="6" t="str">
        <f>HYPERLINK("https://pbs.twimg.com/profile_images/962471262747529216/Uo8lOkRJ_normal.jpg","View")</f>
        <v>View</v>
      </c>
      <c r="P10925" s="7"/>
    </row>
    <row r="10926" spans="1:16">
      <c r="A10926" s="3">
        <v>44121.734444444446</v>
      </c>
      <c r="B10926" s="4" t="str">
        <f>HYPERLINK("https://twitter.com/petrogustavo","@petrogustavo")</f>
        <v>@petrogustavo</v>
      </c>
      <c r="C10926" s="5" t="s">
        <v>16</v>
      </c>
      <c r="D10926" s="5" t="s">
        <v>10516</v>
      </c>
      <c r="E10926" s="6" t="str">
        <f>HYPERLINK("https://twitter.com/petrogustavo/status/1317437100460003328","1317437100460003328")</f>
        <v>1317437100460003328</v>
      </c>
      <c r="F10926" s="7" t="s">
        <v>17</v>
      </c>
      <c r="G10926" s="7">
        <v>3992082</v>
      </c>
      <c r="H10926" s="7">
        <v>2446</v>
      </c>
      <c r="I10926" s="7">
        <v>199</v>
      </c>
      <c r="J10926" s="7">
        <v>0</v>
      </c>
      <c r="K10926" s="7" t="s">
        <v>18</v>
      </c>
      <c r="L10926" s="8">
        <v>39987.315405092595</v>
      </c>
      <c r="M10926" s="9" t="s">
        <v>19</v>
      </c>
      <c r="N10926" s="9" t="s">
        <v>20</v>
      </c>
      <c r="O10926" s="6" t="str">
        <f>HYPERLINK("https://pbs.twimg.com/profile_images/962471262747529216/Uo8lOkRJ_normal.jpg","View")</f>
        <v>View</v>
      </c>
      <c r="P10926" s="7"/>
    </row>
    <row r="10927" spans="1:16">
      <c r="A10927" s="3">
        <v>44121.737881944442</v>
      </c>
      <c r="B10927" s="4" t="str">
        <f>HYPERLINK("https://twitter.com/petrogustavo","@petrogustavo")</f>
        <v>@petrogustavo</v>
      </c>
      <c r="C10927" s="5" t="s">
        <v>16</v>
      </c>
      <c r="D10927" s="5" t="s">
        <v>10517</v>
      </c>
      <c r="E10927" s="6" t="str">
        <f>HYPERLINK("https://twitter.com/petrogustavo/status/1317438349347520518","1317438349347520518")</f>
        <v>1317438349347520518</v>
      </c>
      <c r="F10927" s="7" t="s">
        <v>17</v>
      </c>
      <c r="G10927" s="7">
        <v>3992082</v>
      </c>
      <c r="H10927" s="7">
        <v>2446</v>
      </c>
      <c r="I10927" s="7">
        <v>45</v>
      </c>
      <c r="J10927" s="7">
        <v>154</v>
      </c>
      <c r="K10927" s="7" t="s">
        <v>18</v>
      </c>
      <c r="L10927" s="8">
        <v>39987.315405092595</v>
      </c>
      <c r="M10927" s="9" t="s">
        <v>19</v>
      </c>
      <c r="N10927" s="9" t="s">
        <v>20</v>
      </c>
      <c r="O10927" s="6" t="str">
        <f>HYPERLINK("https://pbs.twimg.com/profile_images/962471262747529216/Uo8lOkRJ_normal.jpg","View")</f>
        <v>View</v>
      </c>
      <c r="P10927" s="7"/>
    </row>
    <row r="10928" spans="1:16">
      <c r="A10928" s="3">
        <v>44121.741539351853</v>
      </c>
      <c r="B10928" s="4" t="str">
        <f>HYPERLINK("https://twitter.com/petrogustavo","@petrogustavo")</f>
        <v>@petrogustavo</v>
      </c>
      <c r="C10928" s="5" t="s">
        <v>16</v>
      </c>
      <c r="D10928" s="5" t="s">
        <v>10518</v>
      </c>
      <c r="E10928" s="6" t="str">
        <f>HYPERLINK("https://twitter.com/petrogustavo/status/1317439673560715264","1317439673560715264")</f>
        <v>1317439673560715264</v>
      </c>
      <c r="F10928" s="7" t="s">
        <v>17</v>
      </c>
      <c r="G10928" s="7">
        <v>3992082</v>
      </c>
      <c r="H10928" s="7">
        <v>2446</v>
      </c>
      <c r="I10928" s="7">
        <v>0</v>
      </c>
      <c r="J10928" s="7">
        <v>0</v>
      </c>
      <c r="K10928" s="7" t="s">
        <v>18</v>
      </c>
      <c r="L10928" s="8">
        <v>39987.315405092595</v>
      </c>
      <c r="M10928" s="9" t="s">
        <v>19</v>
      </c>
      <c r="N10928" s="9" t="s">
        <v>20</v>
      </c>
      <c r="O10928" s="6" t="str">
        <f>HYPERLINK("https://pbs.twimg.com/profile_images/962471262747529216/Uo8lOkRJ_normal.jpg","View")</f>
        <v>View</v>
      </c>
      <c r="P10928" s="7"/>
    </row>
    <row r="10929" spans="1:16">
      <c r="A10929" s="3">
        <v>44121.745810185181</v>
      </c>
      <c r="B10929" s="4" t="str">
        <f>HYPERLINK("https://twitter.com/petrogustavo","@petrogustavo")</f>
        <v>@petrogustavo</v>
      </c>
      <c r="C10929" s="5" t="s">
        <v>16</v>
      </c>
      <c r="D10929" s="5" t="s">
        <v>10519</v>
      </c>
      <c r="E10929" s="6" t="str">
        <f>HYPERLINK("https://twitter.com/petrogustavo/status/1317441221938302976","1317441221938302976")</f>
        <v>1317441221938302976</v>
      </c>
      <c r="F10929" s="7" t="s">
        <v>17</v>
      </c>
      <c r="G10929" s="7">
        <v>3992096</v>
      </c>
      <c r="H10929" s="7">
        <v>2446</v>
      </c>
      <c r="I10929" s="7">
        <v>102</v>
      </c>
      <c r="J10929" s="7">
        <v>204</v>
      </c>
      <c r="K10929" s="7" t="s">
        <v>18</v>
      </c>
      <c r="L10929" s="8">
        <v>39987.315405092595</v>
      </c>
      <c r="M10929" s="9" t="s">
        <v>19</v>
      </c>
      <c r="N10929" s="9" t="s">
        <v>20</v>
      </c>
      <c r="O10929" s="6" t="str">
        <f>HYPERLINK("https://pbs.twimg.com/profile_images/962471262747529216/Uo8lOkRJ_normal.jpg","View")</f>
        <v>View</v>
      </c>
      <c r="P10929" s="7"/>
    </row>
    <row r="10930" spans="1:16">
      <c r="A10930" s="3">
        <v>44121.749849537038</v>
      </c>
      <c r="B10930" s="4" t="str">
        <f>HYPERLINK("https://twitter.com/petrogustavo","@petrogustavo")</f>
        <v>@petrogustavo</v>
      </c>
      <c r="C10930" s="5" t="s">
        <v>16</v>
      </c>
      <c r="D10930" s="5" t="s">
        <v>10520</v>
      </c>
      <c r="E10930" s="6" t="str">
        <f>HYPERLINK("https://twitter.com/petrogustavo/status/1317442686375333888","1317442686375333888")</f>
        <v>1317442686375333888</v>
      </c>
      <c r="F10930" s="7" t="s">
        <v>17</v>
      </c>
      <c r="G10930" s="7">
        <v>3992096</v>
      </c>
      <c r="H10930" s="7">
        <v>2446</v>
      </c>
      <c r="I10930" s="7">
        <v>105</v>
      </c>
      <c r="J10930" s="7">
        <v>230</v>
      </c>
      <c r="K10930" s="7" t="s">
        <v>18</v>
      </c>
      <c r="L10930" s="8">
        <v>39987.315405092595</v>
      </c>
      <c r="M10930" s="9" t="s">
        <v>19</v>
      </c>
      <c r="N10930" s="9" t="s">
        <v>20</v>
      </c>
      <c r="O10930" s="6" t="str">
        <f>HYPERLINK("https://pbs.twimg.com/profile_images/962471262747529216/Uo8lOkRJ_normal.jpg","View")</f>
        <v>View</v>
      </c>
      <c r="P10930" s="7"/>
    </row>
    <row r="10931" spans="1:16">
      <c r="A10931" s="3">
        <v>44121.750185185185</v>
      </c>
      <c r="B10931" s="4" t="str">
        <f>HYPERLINK("https://twitter.com/petrogustavo","@petrogustavo")</f>
        <v>@petrogustavo</v>
      </c>
      <c r="C10931" s="5" t="s">
        <v>16</v>
      </c>
      <c r="D10931" s="5" t="s">
        <v>10521</v>
      </c>
      <c r="E10931" s="6" t="str">
        <f>HYPERLINK("https://twitter.com/petrogustavo/status/1317442804969332736","1317442804969332736")</f>
        <v>1317442804969332736</v>
      </c>
      <c r="F10931" s="7" t="s">
        <v>17</v>
      </c>
      <c r="G10931" s="7">
        <v>3992096</v>
      </c>
      <c r="H10931" s="7">
        <v>2446</v>
      </c>
      <c r="I10931" s="7">
        <v>317</v>
      </c>
      <c r="J10931" s="7">
        <v>0</v>
      </c>
      <c r="K10931" s="7" t="s">
        <v>18</v>
      </c>
      <c r="L10931" s="8">
        <v>39987.315405092595</v>
      </c>
      <c r="M10931" s="9" t="s">
        <v>19</v>
      </c>
      <c r="N10931" s="9" t="s">
        <v>20</v>
      </c>
      <c r="O10931" s="6" t="str">
        <f>HYPERLINK("https://pbs.twimg.com/profile_images/962471262747529216/Uo8lOkRJ_normal.jpg","View")</f>
        <v>View</v>
      </c>
      <c r="P10931" s="7"/>
    </row>
    <row r="10932" spans="1:16">
      <c r="A10932" s="3">
        <v>44121.7575</v>
      </c>
      <c r="B10932" s="4" t="str">
        <f>HYPERLINK("https://twitter.com/petrogustavo","@petrogustavo")</f>
        <v>@petrogustavo</v>
      </c>
      <c r="C10932" s="5" t="s">
        <v>16</v>
      </c>
      <c r="D10932" s="5" t="s">
        <v>10522</v>
      </c>
      <c r="E10932" s="6" t="str">
        <f>HYPERLINK("https://twitter.com/petrogustavo/status/1317445456415379456","1317445456415379456")</f>
        <v>1317445456415379456</v>
      </c>
      <c r="F10932" s="7" t="s">
        <v>17</v>
      </c>
      <c r="G10932" s="7">
        <v>3992096</v>
      </c>
      <c r="H10932" s="7">
        <v>2446</v>
      </c>
      <c r="I10932" s="7">
        <v>29</v>
      </c>
      <c r="J10932" s="7">
        <v>81</v>
      </c>
      <c r="K10932" s="7" t="s">
        <v>18</v>
      </c>
      <c r="L10932" s="8">
        <v>39987.315405092595</v>
      </c>
      <c r="M10932" s="9" t="s">
        <v>19</v>
      </c>
      <c r="N10932" s="9" t="s">
        <v>20</v>
      </c>
      <c r="O10932" s="6" t="str">
        <f>HYPERLINK("https://pbs.twimg.com/profile_images/962471262747529216/Uo8lOkRJ_normal.jpg","View")</f>
        <v>View</v>
      </c>
      <c r="P10932" s="7"/>
    </row>
    <row r="10933" spans="1:16">
      <c r="A10933" s="3">
        <v>44121.764085648145</v>
      </c>
      <c r="B10933" s="4" t="str">
        <f>HYPERLINK("https://twitter.com/petrogustavo","@petrogustavo")</f>
        <v>@petrogustavo</v>
      </c>
      <c r="C10933" s="5" t="s">
        <v>16</v>
      </c>
      <c r="D10933" s="5" t="s">
        <v>10523</v>
      </c>
      <c r="E10933" s="6" t="str">
        <f>HYPERLINK("https://twitter.com/petrogustavo/status/1317447842177441795","1317447842177441795")</f>
        <v>1317447842177441795</v>
      </c>
      <c r="F10933" s="7" t="s">
        <v>17</v>
      </c>
      <c r="G10933" s="7">
        <v>3992105</v>
      </c>
      <c r="H10933" s="7">
        <v>2446</v>
      </c>
      <c r="I10933" s="7">
        <v>150</v>
      </c>
      <c r="J10933" s="7">
        <v>305</v>
      </c>
      <c r="K10933" s="7" t="s">
        <v>18</v>
      </c>
      <c r="L10933" s="8">
        <v>39987.315405092595</v>
      </c>
      <c r="M10933" s="9" t="s">
        <v>19</v>
      </c>
      <c r="N10933" s="9" t="s">
        <v>20</v>
      </c>
      <c r="O10933" s="6" t="str">
        <f>HYPERLINK("https://pbs.twimg.com/profile_images/962471262747529216/Uo8lOkRJ_normal.jpg","View")</f>
        <v>View</v>
      </c>
      <c r="P10933" s="7"/>
    </row>
    <row r="10934" spans="1:16">
      <c r="A10934" s="3">
        <v>44121.766030092593</v>
      </c>
      <c r="B10934" s="4" t="str">
        <f>HYPERLINK("https://twitter.com/petrogustavo","@petrogustavo")</f>
        <v>@petrogustavo</v>
      </c>
      <c r="C10934" s="5" t="s">
        <v>16</v>
      </c>
      <c r="D10934" s="5" t="s">
        <v>10524</v>
      </c>
      <c r="E10934" s="6" t="str">
        <f>HYPERLINK("https://twitter.com/petrogustavo/status/1317448547839651842","1317448547839651842")</f>
        <v>1317448547839651842</v>
      </c>
      <c r="F10934" s="7" t="s">
        <v>17</v>
      </c>
      <c r="G10934" s="7">
        <v>3992105</v>
      </c>
      <c r="H10934" s="7">
        <v>2446</v>
      </c>
      <c r="I10934" s="7">
        <v>77</v>
      </c>
      <c r="J10934" s="7">
        <v>238</v>
      </c>
      <c r="K10934" s="7" t="s">
        <v>18</v>
      </c>
      <c r="L10934" s="8">
        <v>39987.315405092595</v>
      </c>
      <c r="M10934" s="9" t="s">
        <v>19</v>
      </c>
      <c r="N10934" s="9" t="s">
        <v>20</v>
      </c>
      <c r="O10934" s="6" t="str">
        <f>HYPERLINK("https://pbs.twimg.com/profile_images/962471262747529216/Uo8lOkRJ_normal.jpg","View")</f>
        <v>View</v>
      </c>
      <c r="P10934" s="7"/>
    </row>
    <row r="10935" spans="1:16">
      <c r="A10935" s="3">
        <v>44121.767523148148</v>
      </c>
      <c r="B10935" s="4" t="str">
        <f>HYPERLINK("https://twitter.com/petrogustavo","@petrogustavo")</f>
        <v>@petrogustavo</v>
      </c>
      <c r="C10935" s="5" t="s">
        <v>16</v>
      </c>
      <c r="D10935" s="5" t="s">
        <v>10525</v>
      </c>
      <c r="E10935" s="6" t="str">
        <f>HYPERLINK("https://twitter.com/petrogustavo/status/1317449090444283906","1317449090444283906")</f>
        <v>1317449090444283906</v>
      </c>
      <c r="F10935" s="7" t="s">
        <v>17</v>
      </c>
      <c r="G10935" s="7">
        <v>3992105</v>
      </c>
      <c r="H10935" s="7">
        <v>2446</v>
      </c>
      <c r="I10935" s="7">
        <v>42</v>
      </c>
      <c r="J10935" s="7">
        <v>83</v>
      </c>
      <c r="K10935" s="7" t="s">
        <v>18</v>
      </c>
      <c r="L10935" s="8">
        <v>39987.315405092595</v>
      </c>
      <c r="M10935" s="9" t="s">
        <v>19</v>
      </c>
      <c r="N10935" s="9" t="s">
        <v>20</v>
      </c>
      <c r="O10935" s="6" t="str">
        <f>HYPERLINK("https://pbs.twimg.com/profile_images/962471262747529216/Uo8lOkRJ_normal.jpg","View")</f>
        <v>View</v>
      </c>
      <c r="P10935" s="7"/>
    </row>
    <row r="10936" spans="1:16">
      <c r="A10936" s="3">
        <v>44121.772372685184</v>
      </c>
      <c r="B10936" s="4" t="str">
        <f>HYPERLINK("https://twitter.com/petrogustavo","@petrogustavo")</f>
        <v>@petrogustavo</v>
      </c>
      <c r="C10936" s="5" t="s">
        <v>16</v>
      </c>
      <c r="D10936" s="5" t="s">
        <v>10526</v>
      </c>
      <c r="E10936" s="6" t="str">
        <f>HYPERLINK("https://twitter.com/petrogustavo/status/1317450846687404033","1317450846687404033")</f>
        <v>1317450846687404033</v>
      </c>
      <c r="F10936" s="7" t="s">
        <v>17</v>
      </c>
      <c r="G10936" s="7">
        <v>3992105</v>
      </c>
      <c r="H10936" s="7">
        <v>2446</v>
      </c>
      <c r="I10936" s="7">
        <v>178</v>
      </c>
      <c r="J10936" s="7">
        <v>364</v>
      </c>
      <c r="K10936" s="7" t="s">
        <v>18</v>
      </c>
      <c r="L10936" s="8">
        <v>39987.315405092595</v>
      </c>
      <c r="M10936" s="9" t="s">
        <v>19</v>
      </c>
      <c r="N10936" s="9" t="s">
        <v>20</v>
      </c>
      <c r="O10936" s="6" t="str">
        <f>HYPERLINK("https://pbs.twimg.com/profile_images/962471262747529216/Uo8lOkRJ_normal.jpg","View")</f>
        <v>View</v>
      </c>
      <c r="P10936" s="7"/>
    </row>
    <row r="10937" spans="1:16">
      <c r="A10937" s="3">
        <v>44121.774988425925</v>
      </c>
      <c r="B10937" s="4" t="str">
        <f>HYPERLINK("https://twitter.com/petrogustavo","@petrogustavo")</f>
        <v>@petrogustavo</v>
      </c>
      <c r="C10937" s="5" t="s">
        <v>16</v>
      </c>
      <c r="D10937" s="5" t="s">
        <v>10527</v>
      </c>
      <c r="E10937" s="6" t="str">
        <f>HYPERLINK("https://twitter.com/petrogustavo/status/1317451794625212417","1317451794625212417")</f>
        <v>1317451794625212417</v>
      </c>
      <c r="F10937" s="7" t="s">
        <v>17</v>
      </c>
      <c r="G10937" s="7">
        <v>3992105</v>
      </c>
      <c r="H10937" s="7">
        <v>2446</v>
      </c>
      <c r="I10937" s="7">
        <v>157</v>
      </c>
      <c r="J10937" s="7">
        <v>0</v>
      </c>
      <c r="K10937" s="7" t="s">
        <v>18</v>
      </c>
      <c r="L10937" s="8">
        <v>39987.315405092595</v>
      </c>
      <c r="M10937" s="9" t="s">
        <v>19</v>
      </c>
      <c r="N10937" s="9" t="s">
        <v>20</v>
      </c>
      <c r="O10937" s="6" t="str">
        <f>HYPERLINK("https://pbs.twimg.com/profile_images/962471262747529216/Uo8lOkRJ_normal.jpg","View")</f>
        <v>View</v>
      </c>
      <c r="P10937" s="7"/>
    </row>
    <row r="10938" spans="1:16">
      <c r="A10938" s="3">
        <v>44121.778171296297</v>
      </c>
      <c r="B10938" s="4" t="str">
        <f>HYPERLINK("https://twitter.com/petrogustavo","@petrogustavo")</f>
        <v>@petrogustavo</v>
      </c>
      <c r="C10938" s="5" t="s">
        <v>16</v>
      </c>
      <c r="D10938" s="5" t="s">
        <v>10528</v>
      </c>
      <c r="E10938" s="6" t="str">
        <f>HYPERLINK("https://twitter.com/petrogustavo/status/1317452945974329347","1317452945974329347")</f>
        <v>1317452945974329347</v>
      </c>
      <c r="F10938" s="7" t="s">
        <v>17</v>
      </c>
      <c r="G10938" s="7">
        <v>3992105</v>
      </c>
      <c r="H10938" s="7">
        <v>2446</v>
      </c>
      <c r="I10938" s="7">
        <v>67</v>
      </c>
      <c r="J10938" s="7">
        <v>0</v>
      </c>
      <c r="K10938" s="7" t="s">
        <v>18</v>
      </c>
      <c r="L10938" s="8">
        <v>39987.315405092595</v>
      </c>
      <c r="M10938" s="9" t="s">
        <v>19</v>
      </c>
      <c r="N10938" s="9" t="s">
        <v>20</v>
      </c>
      <c r="O10938" s="6" t="str">
        <f>HYPERLINK("https://pbs.twimg.com/profile_images/962471262747529216/Uo8lOkRJ_normal.jpg","View")</f>
        <v>View</v>
      </c>
      <c r="P10938" s="7"/>
    </row>
    <row r="10939" spans="1:16">
      <c r="A10939" s="3">
        <v>44121.789189814815</v>
      </c>
      <c r="B10939" s="4" t="str">
        <f>HYPERLINK("https://twitter.com/petrogustavo","@petrogustavo")</f>
        <v>@petrogustavo</v>
      </c>
      <c r="C10939" s="5" t="s">
        <v>16</v>
      </c>
      <c r="D10939" s="5" t="s">
        <v>10529</v>
      </c>
      <c r="E10939" s="6" t="str">
        <f>HYPERLINK("https://twitter.com/petrogustavo/status/1317456942047154177","1317456942047154177")</f>
        <v>1317456942047154177</v>
      </c>
      <c r="F10939" s="7" t="s">
        <v>17</v>
      </c>
      <c r="G10939" s="7">
        <v>3992109</v>
      </c>
      <c r="H10939" s="7">
        <v>2446</v>
      </c>
      <c r="I10939" s="7">
        <v>95</v>
      </c>
      <c r="J10939" s="7">
        <v>230</v>
      </c>
      <c r="K10939" s="7" t="s">
        <v>18</v>
      </c>
      <c r="L10939" s="8">
        <v>39987.315405092595</v>
      </c>
      <c r="M10939" s="9" t="s">
        <v>19</v>
      </c>
      <c r="N10939" s="9" t="s">
        <v>20</v>
      </c>
      <c r="O10939" s="6" t="str">
        <f>HYPERLINK("https://pbs.twimg.com/profile_images/962471262747529216/Uo8lOkRJ_normal.jpg","View")</f>
        <v>View</v>
      </c>
      <c r="P10939" s="7"/>
    </row>
    <row r="10940" spans="1:16">
      <c r="A10940" s="3">
        <v>44121.793587962966</v>
      </c>
      <c r="B10940" s="4" t="str">
        <f>HYPERLINK("https://twitter.com/petrogustavo","@petrogustavo")</f>
        <v>@petrogustavo</v>
      </c>
      <c r="C10940" s="5" t="s">
        <v>16</v>
      </c>
      <c r="D10940" s="5" t="s">
        <v>10530</v>
      </c>
      <c r="E10940" s="6" t="str">
        <f>HYPERLINK("https://twitter.com/petrogustavo/status/1317458535341608961","1317458535341608961")</f>
        <v>1317458535341608961</v>
      </c>
      <c r="F10940" s="7" t="s">
        <v>17</v>
      </c>
      <c r="G10940" s="7">
        <v>3992109</v>
      </c>
      <c r="H10940" s="7">
        <v>2446</v>
      </c>
      <c r="I10940" s="7">
        <v>33</v>
      </c>
      <c r="J10940" s="7">
        <v>0</v>
      </c>
      <c r="K10940" s="7" t="s">
        <v>18</v>
      </c>
      <c r="L10940" s="8">
        <v>39987.315405092595</v>
      </c>
      <c r="M10940" s="9" t="s">
        <v>19</v>
      </c>
      <c r="N10940" s="9" t="s">
        <v>20</v>
      </c>
      <c r="O10940" s="6" t="str">
        <f>HYPERLINK("https://pbs.twimg.com/profile_images/962471262747529216/Uo8lOkRJ_normal.jpg","View")</f>
        <v>View</v>
      </c>
      <c r="P10940" s="7"/>
    </row>
    <row r="10941" spans="1:16">
      <c r="A10941" s="3">
        <v>44121.794652777782</v>
      </c>
      <c r="B10941" s="4" t="str">
        <f>HYPERLINK("https://twitter.com/petrogustavo","@petrogustavo")</f>
        <v>@petrogustavo</v>
      </c>
      <c r="C10941" s="5" t="s">
        <v>16</v>
      </c>
      <c r="D10941" s="5" t="s">
        <v>10531</v>
      </c>
      <c r="E10941" s="6" t="str">
        <f>HYPERLINK("https://twitter.com/petrogustavo/status/1317458920374489088","1317458920374489088")</f>
        <v>1317458920374489088</v>
      </c>
      <c r="F10941" s="7" t="s">
        <v>17</v>
      </c>
      <c r="G10941" s="7">
        <v>3992109</v>
      </c>
      <c r="H10941" s="7">
        <v>2446</v>
      </c>
      <c r="I10941" s="7">
        <v>720</v>
      </c>
      <c r="J10941" s="7">
        <v>0</v>
      </c>
      <c r="K10941" s="7" t="s">
        <v>18</v>
      </c>
      <c r="L10941" s="8">
        <v>39987.315405092595</v>
      </c>
      <c r="M10941" s="9" t="s">
        <v>19</v>
      </c>
      <c r="N10941" s="9" t="s">
        <v>20</v>
      </c>
      <c r="O10941" s="6" t="str">
        <f>HYPERLINK("https://pbs.twimg.com/profile_images/962471262747529216/Uo8lOkRJ_normal.jpg","View")</f>
        <v>View</v>
      </c>
      <c r="P10941" s="7"/>
    </row>
    <row r="10942" spans="1:16">
      <c r="A10942" s="3">
        <v>44121.79822916667</v>
      </c>
      <c r="B10942" s="4" t="str">
        <f>HYPERLINK("https://twitter.com/petrogustavo","@petrogustavo")</f>
        <v>@petrogustavo</v>
      </c>
      <c r="C10942" s="5" t="s">
        <v>16</v>
      </c>
      <c r="D10942" s="5" t="s">
        <v>10532</v>
      </c>
      <c r="E10942" s="6" t="str">
        <f>HYPERLINK("https://twitter.com/petrogustavo/status/1317460216045359105","1317460216045359105")</f>
        <v>1317460216045359105</v>
      </c>
      <c r="F10942" s="7" t="s">
        <v>17</v>
      </c>
      <c r="G10942" s="7">
        <v>3992109</v>
      </c>
      <c r="H10942" s="7">
        <v>2446</v>
      </c>
      <c r="I10942" s="7">
        <v>52</v>
      </c>
      <c r="J10942" s="7">
        <v>145</v>
      </c>
      <c r="K10942" s="7" t="s">
        <v>18</v>
      </c>
      <c r="L10942" s="8">
        <v>39987.315405092595</v>
      </c>
      <c r="M10942" s="9" t="s">
        <v>19</v>
      </c>
      <c r="N10942" s="9" t="s">
        <v>20</v>
      </c>
      <c r="O10942" s="6" t="str">
        <f>HYPERLINK("https://pbs.twimg.com/profile_images/962471262747529216/Uo8lOkRJ_normal.jpg","View")</f>
        <v>View</v>
      </c>
      <c r="P10942" s="7"/>
    </row>
    <row r="10943" spans="1:16">
      <c r="A10943" s="3">
        <v>44121.802106481482</v>
      </c>
      <c r="B10943" s="4" t="str">
        <f>HYPERLINK("https://twitter.com/petrogustavo","@petrogustavo")</f>
        <v>@petrogustavo</v>
      </c>
      <c r="C10943" s="5" t="s">
        <v>16</v>
      </c>
      <c r="D10943" s="5" t="s">
        <v>10533</v>
      </c>
      <c r="E10943" s="6" t="str">
        <f>HYPERLINK("https://twitter.com/petrogustavo/status/1317461623024603137","1317461623024603137")</f>
        <v>1317461623024603137</v>
      </c>
      <c r="F10943" s="7" t="s">
        <v>17</v>
      </c>
      <c r="G10943" s="7">
        <v>3992109</v>
      </c>
      <c r="H10943" s="7">
        <v>2446</v>
      </c>
      <c r="I10943" s="7">
        <v>12</v>
      </c>
      <c r="J10943" s="7">
        <v>41</v>
      </c>
      <c r="K10943" s="7" t="s">
        <v>18</v>
      </c>
      <c r="L10943" s="8">
        <v>39987.315405092595</v>
      </c>
      <c r="M10943" s="9" t="s">
        <v>19</v>
      </c>
      <c r="N10943" s="9" t="s">
        <v>20</v>
      </c>
      <c r="O10943" s="6" t="str">
        <f>HYPERLINK("https://pbs.twimg.com/profile_images/962471262747529216/Uo8lOkRJ_normal.jpg","View")</f>
        <v>View</v>
      </c>
      <c r="P10943" s="7"/>
    </row>
    <row r="10944" spans="1:16">
      <c r="A10944" s="3">
        <v>44121.802662037036</v>
      </c>
      <c r="B10944" s="4" t="str">
        <f>HYPERLINK("https://twitter.com/petrogustavo","@petrogustavo")</f>
        <v>@petrogustavo</v>
      </c>
      <c r="C10944" s="5" t="s">
        <v>16</v>
      </c>
      <c r="D10944" s="5" t="s">
        <v>10534</v>
      </c>
      <c r="E10944" s="6" t="str">
        <f>HYPERLINK("https://twitter.com/petrogustavo/status/1317461822207905793","1317461822207905793")</f>
        <v>1317461822207905793</v>
      </c>
      <c r="F10944" s="7" t="s">
        <v>17</v>
      </c>
      <c r="G10944" s="7">
        <v>3992109</v>
      </c>
      <c r="H10944" s="7">
        <v>2446</v>
      </c>
      <c r="I10944" s="7">
        <v>96</v>
      </c>
      <c r="J10944" s="7">
        <v>0</v>
      </c>
      <c r="K10944" s="7" t="s">
        <v>18</v>
      </c>
      <c r="L10944" s="8">
        <v>39987.315405092595</v>
      </c>
      <c r="M10944" s="9" t="s">
        <v>19</v>
      </c>
      <c r="N10944" s="9" t="s">
        <v>20</v>
      </c>
      <c r="O10944" s="6" t="str">
        <f>HYPERLINK("https://pbs.twimg.com/profile_images/962471262747529216/Uo8lOkRJ_normal.jpg","View")</f>
        <v>View</v>
      </c>
      <c r="P10944" s="7"/>
    </row>
    <row r="10945" spans="1:16">
      <c r="A10945" s="3">
        <v>44121.803379629629</v>
      </c>
      <c r="B10945" s="4" t="str">
        <f>HYPERLINK("https://twitter.com/petrogustavo","@petrogustavo")</f>
        <v>@petrogustavo</v>
      </c>
      <c r="C10945" s="5" t="s">
        <v>16</v>
      </c>
      <c r="D10945" s="5" t="s">
        <v>10535</v>
      </c>
      <c r="E10945" s="6" t="str">
        <f>HYPERLINK("https://twitter.com/petrogustavo/status/1317462084117057537","1317462084117057537")</f>
        <v>1317462084117057537</v>
      </c>
      <c r="F10945" s="7" t="s">
        <v>17</v>
      </c>
      <c r="G10945" s="7">
        <v>3992109</v>
      </c>
      <c r="H10945" s="7">
        <v>2446</v>
      </c>
      <c r="I10945" s="7">
        <v>37</v>
      </c>
      <c r="J10945" s="7">
        <v>0</v>
      </c>
      <c r="K10945" s="7" t="s">
        <v>18</v>
      </c>
      <c r="L10945" s="8">
        <v>39987.315405092595</v>
      </c>
      <c r="M10945" s="9" t="s">
        <v>19</v>
      </c>
      <c r="N10945" s="9" t="s">
        <v>20</v>
      </c>
      <c r="O10945" s="6" t="str">
        <f>HYPERLINK("https://pbs.twimg.com/profile_images/962471262747529216/Uo8lOkRJ_normal.jpg","View")</f>
        <v>View</v>
      </c>
      <c r="P10945" s="7"/>
    </row>
    <row r="10946" spans="1:16">
      <c r="A10946" s="3">
        <v>44121.805590277778</v>
      </c>
      <c r="B10946" s="4" t="str">
        <f>HYPERLINK("https://twitter.com/petrogustavo","@petrogustavo")</f>
        <v>@petrogustavo</v>
      </c>
      <c r="C10946" s="5" t="s">
        <v>16</v>
      </c>
      <c r="D10946" s="5" t="s">
        <v>10536</v>
      </c>
      <c r="E10946" s="6" t="str">
        <f>HYPERLINK("https://twitter.com/petrogustavo/status/1317462882217590789","1317462882217590789")</f>
        <v>1317462882217590789</v>
      </c>
      <c r="F10946" s="7" t="s">
        <v>17</v>
      </c>
      <c r="G10946" s="7">
        <v>3992111</v>
      </c>
      <c r="H10946" s="7">
        <v>2446</v>
      </c>
      <c r="I10946" s="7">
        <v>85</v>
      </c>
      <c r="J10946" s="7">
        <v>231</v>
      </c>
      <c r="K10946" s="7" t="s">
        <v>18</v>
      </c>
      <c r="L10946" s="8">
        <v>39987.315405092595</v>
      </c>
      <c r="M10946" s="9" t="s">
        <v>19</v>
      </c>
      <c r="N10946" s="9" t="s">
        <v>20</v>
      </c>
      <c r="O10946" s="6" t="str">
        <f>HYPERLINK("https://pbs.twimg.com/profile_images/962471262747529216/Uo8lOkRJ_normal.jpg","View")</f>
        <v>View</v>
      </c>
      <c r="P10946" s="7"/>
    </row>
    <row r="10947" spans="1:16">
      <c r="A10947" s="3">
        <v>44121.806400462963</v>
      </c>
      <c r="B10947" s="4" t="str">
        <f>HYPERLINK("https://twitter.com/petrogustavo","@petrogustavo")</f>
        <v>@petrogustavo</v>
      </c>
      <c r="C10947" s="5" t="s">
        <v>16</v>
      </c>
      <c r="D10947" s="5" t="s">
        <v>10537</v>
      </c>
      <c r="E10947" s="6" t="str">
        <f>HYPERLINK("https://twitter.com/petrogustavo/status/1317463179367227397","1317463179367227397")</f>
        <v>1317463179367227397</v>
      </c>
      <c r="F10947" s="7" t="s">
        <v>17</v>
      </c>
      <c r="G10947" s="7">
        <v>3992111</v>
      </c>
      <c r="H10947" s="7">
        <v>2446</v>
      </c>
      <c r="I10947" s="7">
        <v>47</v>
      </c>
      <c r="J10947" s="7">
        <v>116</v>
      </c>
      <c r="K10947" s="7" t="s">
        <v>18</v>
      </c>
      <c r="L10947" s="8">
        <v>39987.315405092595</v>
      </c>
      <c r="M10947" s="9" t="s">
        <v>19</v>
      </c>
      <c r="N10947" s="9" t="s">
        <v>20</v>
      </c>
      <c r="O10947" s="6" t="str">
        <f>HYPERLINK("https://pbs.twimg.com/profile_images/962471262747529216/Uo8lOkRJ_normal.jpg","View")</f>
        <v>View</v>
      </c>
      <c r="P10947" s="7"/>
    </row>
    <row r="10948" spans="1:16">
      <c r="A10948" s="3">
        <v>44121.812638888892</v>
      </c>
      <c r="B10948" s="4" t="str">
        <f>HYPERLINK("https://twitter.com/petrogustavo","@petrogustavo")</f>
        <v>@petrogustavo</v>
      </c>
      <c r="C10948" s="5" t="s">
        <v>16</v>
      </c>
      <c r="D10948" s="5" t="s">
        <v>10538</v>
      </c>
      <c r="E10948" s="6" t="str">
        <f>HYPERLINK("https://twitter.com/petrogustavo/status/1317465440495480833","1317465440495480833")</f>
        <v>1317465440495480833</v>
      </c>
      <c r="F10948" s="7" t="s">
        <v>17</v>
      </c>
      <c r="G10948" s="7">
        <v>3992111</v>
      </c>
      <c r="H10948" s="7">
        <v>2446</v>
      </c>
      <c r="I10948" s="7">
        <v>63</v>
      </c>
      <c r="J10948" s="7">
        <v>122</v>
      </c>
      <c r="K10948" s="7" t="s">
        <v>18</v>
      </c>
      <c r="L10948" s="8">
        <v>39987.315405092595</v>
      </c>
      <c r="M10948" s="9" t="s">
        <v>19</v>
      </c>
      <c r="N10948" s="9" t="s">
        <v>20</v>
      </c>
      <c r="O10948" s="6" t="str">
        <f>HYPERLINK("https://pbs.twimg.com/profile_images/962471262747529216/Uo8lOkRJ_normal.jpg","View")</f>
        <v>View</v>
      </c>
      <c r="P10948" s="7"/>
    </row>
    <row r="10949" spans="1:16">
      <c r="A10949" s="3">
        <v>44121.814803240741</v>
      </c>
      <c r="B10949" s="4" t="str">
        <f>HYPERLINK("https://twitter.com/petrogustavo","@petrogustavo")</f>
        <v>@petrogustavo</v>
      </c>
      <c r="C10949" s="5" t="s">
        <v>16</v>
      </c>
      <c r="D10949" s="5" t="s">
        <v>10539</v>
      </c>
      <c r="E10949" s="6" t="str">
        <f>HYPERLINK("https://twitter.com/petrogustavo/status/1317466222036910081","1317466222036910081")</f>
        <v>1317466222036910081</v>
      </c>
      <c r="F10949" s="7" t="s">
        <v>17</v>
      </c>
      <c r="G10949" s="7">
        <v>3992111</v>
      </c>
      <c r="H10949" s="7">
        <v>2446</v>
      </c>
      <c r="I10949" s="7">
        <v>115</v>
      </c>
      <c r="J10949" s="7">
        <v>179</v>
      </c>
      <c r="K10949" s="7" t="s">
        <v>18</v>
      </c>
      <c r="L10949" s="8">
        <v>39987.315405092595</v>
      </c>
      <c r="M10949" s="9" t="s">
        <v>19</v>
      </c>
      <c r="N10949" s="9" t="s">
        <v>20</v>
      </c>
      <c r="O10949" s="6" t="str">
        <f>HYPERLINK("https://pbs.twimg.com/profile_images/962471262747529216/Uo8lOkRJ_normal.jpg","View")</f>
        <v>View</v>
      </c>
      <c r="P10949" s="7"/>
    </row>
    <row r="10950" spans="1:16">
      <c r="A10950" s="3">
        <v>44121.81868055556</v>
      </c>
      <c r="B10950" s="4" t="str">
        <f>HYPERLINK("https://twitter.com/petrogustavo","@petrogustavo")</f>
        <v>@petrogustavo</v>
      </c>
      <c r="C10950" s="5" t="s">
        <v>16</v>
      </c>
      <c r="D10950" s="5" t="s">
        <v>10540</v>
      </c>
      <c r="E10950" s="6" t="str">
        <f>HYPERLINK("https://twitter.com/petrogustavo/status/1317467627888005120","1317467627888005120")</f>
        <v>1317467627888005120</v>
      </c>
      <c r="F10950" s="7" t="s">
        <v>17</v>
      </c>
      <c r="G10950" s="7">
        <v>3992111</v>
      </c>
      <c r="H10950" s="7">
        <v>2446</v>
      </c>
      <c r="I10950" s="7">
        <v>46</v>
      </c>
      <c r="J10950" s="7">
        <v>141</v>
      </c>
      <c r="K10950" s="7" t="s">
        <v>18</v>
      </c>
      <c r="L10950" s="8">
        <v>39987.315405092595</v>
      </c>
      <c r="M10950" s="9" t="s">
        <v>19</v>
      </c>
      <c r="N10950" s="9" t="s">
        <v>20</v>
      </c>
      <c r="O10950" s="6" t="str">
        <f>HYPERLINK("https://pbs.twimg.com/profile_images/962471262747529216/Uo8lOkRJ_normal.jpg","View")</f>
        <v>View</v>
      </c>
      <c r="P10950" s="7"/>
    </row>
    <row r="10951" spans="1:16">
      <c r="A10951" s="3">
        <v>44121.823541666672</v>
      </c>
      <c r="B10951" s="4" t="str">
        <f>HYPERLINK("https://twitter.com/petrogustavo","@petrogustavo")</f>
        <v>@petrogustavo</v>
      </c>
      <c r="C10951" s="5" t="s">
        <v>16</v>
      </c>
      <c r="D10951" s="5" t="s">
        <v>10541</v>
      </c>
      <c r="E10951" s="6" t="str">
        <f>HYPERLINK("https://twitter.com/petrogustavo/status/1317469390309363714","1317469390309363714")</f>
        <v>1317469390309363714</v>
      </c>
      <c r="F10951" s="7" t="s">
        <v>17</v>
      </c>
      <c r="G10951" s="7">
        <v>3992111</v>
      </c>
      <c r="H10951" s="7">
        <v>2446</v>
      </c>
      <c r="I10951" s="7">
        <v>6</v>
      </c>
      <c r="J10951" s="7">
        <v>25</v>
      </c>
      <c r="K10951" s="7" t="s">
        <v>18</v>
      </c>
      <c r="L10951" s="8">
        <v>39987.315405092595</v>
      </c>
      <c r="M10951" s="9" t="s">
        <v>19</v>
      </c>
      <c r="N10951" s="9" t="s">
        <v>20</v>
      </c>
      <c r="O10951" s="6" t="str">
        <f>HYPERLINK("https://pbs.twimg.com/profile_images/962471262747529216/Uo8lOkRJ_normal.jpg","View")</f>
        <v>View</v>
      </c>
      <c r="P10951" s="7"/>
    </row>
    <row r="10952" spans="1:16">
      <c r="A10952" s="3">
        <v>44121.824224537035</v>
      </c>
      <c r="B10952" s="4" t="str">
        <f>HYPERLINK("https://twitter.com/petrogustavo","@petrogustavo")</f>
        <v>@petrogustavo</v>
      </c>
      <c r="C10952" s="5" t="s">
        <v>16</v>
      </c>
      <c r="D10952" s="5" t="s">
        <v>10542</v>
      </c>
      <c r="E10952" s="6" t="str">
        <f>HYPERLINK("https://twitter.com/petrogustavo/status/1317469637597069312","1317469637597069312")</f>
        <v>1317469637597069312</v>
      </c>
      <c r="F10952" s="7" t="s">
        <v>17</v>
      </c>
      <c r="G10952" s="7">
        <v>3992111</v>
      </c>
      <c r="H10952" s="7">
        <v>2446</v>
      </c>
      <c r="I10952" s="7">
        <v>12</v>
      </c>
      <c r="J10952" s="7">
        <v>0</v>
      </c>
      <c r="K10952" s="7" t="s">
        <v>18</v>
      </c>
      <c r="L10952" s="8">
        <v>39987.315405092595</v>
      </c>
      <c r="M10952" s="9" t="s">
        <v>19</v>
      </c>
      <c r="N10952" s="9" t="s">
        <v>20</v>
      </c>
      <c r="O10952" s="6" t="str">
        <f>HYPERLINK("https://pbs.twimg.com/profile_images/962471262747529216/Uo8lOkRJ_normal.jpg","View")</f>
        <v>View</v>
      </c>
      <c r="P10952" s="7"/>
    </row>
    <row r="10953" spans="1:16">
      <c r="A10953" s="3">
        <v>44121.82439814815</v>
      </c>
      <c r="B10953" s="4" t="str">
        <f>HYPERLINK("https://twitter.com/petrogustavo","@petrogustavo")</f>
        <v>@petrogustavo</v>
      </c>
      <c r="C10953" s="5" t="s">
        <v>16</v>
      </c>
      <c r="D10953" s="5" t="s">
        <v>10543</v>
      </c>
      <c r="E10953" s="6" t="str">
        <f>HYPERLINK("https://twitter.com/petrogustavo/status/1317469699756752896","1317469699756752896")</f>
        <v>1317469699756752896</v>
      </c>
      <c r="F10953" s="7" t="s">
        <v>17</v>
      </c>
      <c r="G10953" s="7">
        <v>3992111</v>
      </c>
      <c r="H10953" s="7">
        <v>2446</v>
      </c>
      <c r="I10953" s="7">
        <v>1273</v>
      </c>
      <c r="J10953" s="7">
        <v>0</v>
      </c>
      <c r="K10953" s="7" t="s">
        <v>18</v>
      </c>
      <c r="L10953" s="8">
        <v>39987.315405092595</v>
      </c>
      <c r="M10953" s="9" t="s">
        <v>19</v>
      </c>
      <c r="N10953" s="9" t="s">
        <v>20</v>
      </c>
      <c r="O10953" s="6" t="str">
        <f>HYPERLINK("https://pbs.twimg.com/profile_images/962471262747529216/Uo8lOkRJ_normal.jpg","View")</f>
        <v>View</v>
      </c>
      <c r="P10953" s="7"/>
    </row>
    <row r="10954" spans="1:16">
      <c r="A10954" s="3">
        <v>44121.826793981483</v>
      </c>
      <c r="B10954" s="4" t="str">
        <f>HYPERLINK("https://twitter.com/petrogustavo","@petrogustavo")</f>
        <v>@petrogustavo</v>
      </c>
      <c r="C10954" s="5" t="s">
        <v>16</v>
      </c>
      <c r="D10954" s="5" t="s">
        <v>10544</v>
      </c>
      <c r="E10954" s="6" t="str">
        <f>HYPERLINK("https://twitter.com/petrogustavo/status/1317470568569077760","1317470568569077760")</f>
        <v>1317470568569077760</v>
      </c>
      <c r="F10954" s="7" t="s">
        <v>17</v>
      </c>
      <c r="G10954" s="7">
        <v>3992134</v>
      </c>
      <c r="H10954" s="7">
        <v>2446</v>
      </c>
      <c r="I10954" s="7">
        <v>72</v>
      </c>
      <c r="J10954" s="7">
        <v>148</v>
      </c>
      <c r="K10954" s="7" t="s">
        <v>18</v>
      </c>
      <c r="L10954" s="8">
        <v>39987.315405092595</v>
      </c>
      <c r="M10954" s="9" t="s">
        <v>19</v>
      </c>
      <c r="N10954" s="9" t="s">
        <v>20</v>
      </c>
      <c r="O10954" s="6" t="str">
        <f>HYPERLINK("https://pbs.twimg.com/profile_images/962471262747529216/Uo8lOkRJ_normal.jpg","View")</f>
        <v>View</v>
      </c>
      <c r="P10954" s="7"/>
    </row>
    <row r="10955" spans="1:16">
      <c r="A10955" s="3">
        <v>44121.838483796295</v>
      </c>
      <c r="B10955" s="4" t="str">
        <f>HYPERLINK("https://twitter.com/petrogustavo","@petrogustavo")</f>
        <v>@petrogustavo</v>
      </c>
      <c r="C10955" s="5" t="s">
        <v>16</v>
      </c>
      <c r="D10955" s="5" t="s">
        <v>10545</v>
      </c>
      <c r="E10955" s="6" t="str">
        <f>HYPERLINK("https://twitter.com/petrogustavo/status/1317474802664427521","1317474802664427521")</f>
        <v>1317474802664427521</v>
      </c>
      <c r="F10955" s="7" t="s">
        <v>17</v>
      </c>
      <c r="G10955" s="7">
        <v>3992134</v>
      </c>
      <c r="H10955" s="7">
        <v>2446</v>
      </c>
      <c r="I10955" s="7">
        <v>33</v>
      </c>
      <c r="J10955" s="7">
        <v>90</v>
      </c>
      <c r="K10955" s="7" t="s">
        <v>18</v>
      </c>
      <c r="L10955" s="8">
        <v>39987.315405092595</v>
      </c>
      <c r="M10955" s="9" t="s">
        <v>19</v>
      </c>
      <c r="N10955" s="9" t="s">
        <v>20</v>
      </c>
      <c r="O10955" s="6" t="str">
        <f>HYPERLINK("https://pbs.twimg.com/profile_images/962471262747529216/Uo8lOkRJ_normal.jpg","View")</f>
        <v>View</v>
      </c>
      <c r="P10955" s="7"/>
    </row>
    <row r="10956" spans="1:16">
      <c r="A10956" s="3">
        <v>44121.840347222227</v>
      </c>
      <c r="B10956" s="4" t="str">
        <f>HYPERLINK("https://twitter.com/petrogustavo","@petrogustavo")</f>
        <v>@petrogustavo</v>
      </c>
      <c r="C10956" s="5" t="s">
        <v>16</v>
      </c>
      <c r="D10956" s="5" t="s">
        <v>10546</v>
      </c>
      <c r="E10956" s="6" t="str">
        <f>HYPERLINK("https://twitter.com/petrogustavo/status/1317475478236762115","1317475478236762115")</f>
        <v>1317475478236762115</v>
      </c>
      <c r="F10956" s="7" t="s">
        <v>17</v>
      </c>
      <c r="G10956" s="7">
        <v>3992134</v>
      </c>
      <c r="H10956" s="7">
        <v>2446</v>
      </c>
      <c r="I10956" s="7">
        <v>26</v>
      </c>
      <c r="J10956" s="7">
        <v>0</v>
      </c>
      <c r="K10956" s="7" t="s">
        <v>18</v>
      </c>
      <c r="L10956" s="8">
        <v>39987.315405092595</v>
      </c>
      <c r="M10956" s="9" t="s">
        <v>19</v>
      </c>
      <c r="N10956" s="9" t="s">
        <v>20</v>
      </c>
      <c r="O10956" s="6" t="str">
        <f>HYPERLINK("https://pbs.twimg.com/profile_images/962471262747529216/Uo8lOkRJ_normal.jpg","View")</f>
        <v>View</v>
      </c>
      <c r="P10956" s="7"/>
    </row>
    <row r="10957" spans="1:16">
      <c r="A10957" s="3">
        <v>44121.841226851851</v>
      </c>
      <c r="B10957" s="4" t="str">
        <f>HYPERLINK("https://twitter.com/petrogustavo","@petrogustavo")</f>
        <v>@petrogustavo</v>
      </c>
      <c r="C10957" s="5" t="s">
        <v>16</v>
      </c>
      <c r="D10957" s="5" t="s">
        <v>10547</v>
      </c>
      <c r="E10957" s="6" t="str">
        <f>HYPERLINK("https://twitter.com/petrogustavo/status/1317475796857094145","1317475796857094145")</f>
        <v>1317475796857094145</v>
      </c>
      <c r="F10957" s="7" t="s">
        <v>17</v>
      </c>
      <c r="G10957" s="7">
        <v>3992134</v>
      </c>
      <c r="H10957" s="7">
        <v>2446</v>
      </c>
      <c r="I10957" s="7">
        <v>26</v>
      </c>
      <c r="J10957" s="7">
        <v>0</v>
      </c>
      <c r="K10957" s="7" t="s">
        <v>18</v>
      </c>
      <c r="L10957" s="8">
        <v>39987.315405092595</v>
      </c>
      <c r="M10957" s="9" t="s">
        <v>19</v>
      </c>
      <c r="N10957" s="9" t="s">
        <v>20</v>
      </c>
      <c r="O10957" s="6" t="str">
        <f>HYPERLINK("https://pbs.twimg.com/profile_images/962471262747529216/Uo8lOkRJ_normal.jpg","View")</f>
        <v>View</v>
      </c>
      <c r="P10957" s="7"/>
    </row>
    <row r="10958" spans="1:16">
      <c r="A10958" s="3">
        <v>44121.8434837963</v>
      </c>
      <c r="B10958" s="4" t="str">
        <f>HYPERLINK("https://twitter.com/petrogustavo","@petrogustavo")</f>
        <v>@petrogustavo</v>
      </c>
      <c r="C10958" s="5" t="s">
        <v>16</v>
      </c>
      <c r="D10958" s="5" t="s">
        <v>10548</v>
      </c>
      <c r="E10958" s="6" t="str">
        <f>HYPERLINK("https://twitter.com/petrogustavo/status/1317476615832686594","1317476615832686594")</f>
        <v>1317476615832686594</v>
      </c>
      <c r="F10958" s="7" t="s">
        <v>17</v>
      </c>
      <c r="G10958" s="7">
        <v>3992134</v>
      </c>
      <c r="H10958" s="7">
        <v>2446</v>
      </c>
      <c r="I10958" s="7">
        <v>19</v>
      </c>
      <c r="J10958" s="7">
        <v>0</v>
      </c>
      <c r="K10958" s="7" t="s">
        <v>18</v>
      </c>
      <c r="L10958" s="8">
        <v>39987.315405092595</v>
      </c>
      <c r="M10958" s="9" t="s">
        <v>19</v>
      </c>
      <c r="N10958" s="9" t="s">
        <v>20</v>
      </c>
      <c r="O10958" s="6" t="str">
        <f>HYPERLINK("https://pbs.twimg.com/profile_images/962471262747529216/Uo8lOkRJ_normal.jpg","View")</f>
        <v>View</v>
      </c>
      <c r="P10958" s="7"/>
    </row>
    <row r="10959" spans="1:16">
      <c r="A10959" s="3">
        <v>44121.845196759255</v>
      </c>
      <c r="B10959" s="4" t="str">
        <f>HYPERLINK("https://twitter.com/petrogustavo","@petrogustavo")</f>
        <v>@petrogustavo</v>
      </c>
      <c r="C10959" s="5" t="s">
        <v>16</v>
      </c>
      <c r="D10959" s="5" t="s">
        <v>10549</v>
      </c>
      <c r="E10959" s="6" t="str">
        <f>HYPERLINK("https://twitter.com/petrogustavo/status/1317477238166740994","1317477238166740994")</f>
        <v>1317477238166740994</v>
      </c>
      <c r="F10959" s="7" t="s">
        <v>17</v>
      </c>
      <c r="G10959" s="7">
        <v>3992134</v>
      </c>
      <c r="H10959" s="7">
        <v>2446</v>
      </c>
      <c r="I10959" s="7">
        <v>3</v>
      </c>
      <c r="J10959" s="7">
        <v>0</v>
      </c>
      <c r="K10959" s="7" t="s">
        <v>18</v>
      </c>
      <c r="L10959" s="8">
        <v>39987.315405092595</v>
      </c>
      <c r="M10959" s="9" t="s">
        <v>19</v>
      </c>
      <c r="N10959" s="9" t="s">
        <v>20</v>
      </c>
      <c r="O10959" s="6" t="str">
        <f>HYPERLINK("https://pbs.twimg.com/profile_images/962471262747529216/Uo8lOkRJ_normal.jpg","View")</f>
        <v>View</v>
      </c>
      <c r="P10959" s="7"/>
    </row>
    <row r="10960" spans="1:16">
      <c r="A10960" s="3">
        <v>44121.848414351851</v>
      </c>
      <c r="B10960" s="4" t="str">
        <f>HYPERLINK("https://twitter.com/petrogustavo","@petrogustavo")</f>
        <v>@petrogustavo</v>
      </c>
      <c r="C10960" s="5" t="s">
        <v>16</v>
      </c>
      <c r="D10960" s="5" t="s">
        <v>10550</v>
      </c>
      <c r="E10960" s="6" t="str">
        <f>HYPERLINK("https://twitter.com/petrogustavo/status/1317478404258746368","1317478404258746368")</f>
        <v>1317478404258746368</v>
      </c>
      <c r="F10960" s="7" t="s">
        <v>17</v>
      </c>
      <c r="G10960" s="7">
        <v>3992149</v>
      </c>
      <c r="H10960" s="7">
        <v>2446</v>
      </c>
      <c r="I10960" s="7">
        <v>134</v>
      </c>
      <c r="J10960" s="7">
        <v>359</v>
      </c>
      <c r="K10960" s="7" t="s">
        <v>18</v>
      </c>
      <c r="L10960" s="8">
        <v>39987.315405092595</v>
      </c>
      <c r="M10960" s="9" t="s">
        <v>19</v>
      </c>
      <c r="N10960" s="9" t="s">
        <v>20</v>
      </c>
      <c r="O10960" s="6" t="str">
        <f>HYPERLINK("https://pbs.twimg.com/profile_images/962471262747529216/Uo8lOkRJ_normal.jpg","View")</f>
        <v>View</v>
      </c>
      <c r="P10960" s="7"/>
    </row>
    <row r="10961" spans="1:16">
      <c r="A10961" s="3">
        <v>44121.849062499998</v>
      </c>
      <c r="B10961" s="4" t="str">
        <f>HYPERLINK("https://twitter.com/petrogustavo","@petrogustavo")</f>
        <v>@petrogustavo</v>
      </c>
      <c r="C10961" s="5" t="s">
        <v>16</v>
      </c>
      <c r="D10961" s="5" t="s">
        <v>10551</v>
      </c>
      <c r="E10961" s="6" t="str">
        <f>HYPERLINK("https://twitter.com/petrogustavo/status/1317478637713707009","1317478637713707009")</f>
        <v>1317478637713707009</v>
      </c>
      <c r="F10961" s="7" t="s">
        <v>17</v>
      </c>
      <c r="G10961" s="7">
        <v>3992149</v>
      </c>
      <c r="H10961" s="7">
        <v>2446</v>
      </c>
      <c r="I10961" s="7">
        <v>357</v>
      </c>
      <c r="J10961" s="7">
        <v>0</v>
      </c>
      <c r="K10961" s="7" t="s">
        <v>18</v>
      </c>
      <c r="L10961" s="8">
        <v>39987.315405092595</v>
      </c>
      <c r="M10961" s="9" t="s">
        <v>19</v>
      </c>
      <c r="N10961" s="9" t="s">
        <v>20</v>
      </c>
      <c r="O10961" s="6" t="str">
        <f>HYPERLINK("https://pbs.twimg.com/profile_images/962471262747529216/Uo8lOkRJ_normal.jpg","View")</f>
        <v>View</v>
      </c>
      <c r="P10961" s="7"/>
    </row>
    <row r="10962" spans="1:16">
      <c r="A10962" s="3">
        <v>44121.849166666667</v>
      </c>
      <c r="B10962" s="4" t="str">
        <f>HYPERLINK("https://twitter.com/petrogustavo","@petrogustavo")</f>
        <v>@petrogustavo</v>
      </c>
      <c r="C10962" s="5" t="s">
        <v>16</v>
      </c>
      <c r="D10962" s="5" t="s">
        <v>10552</v>
      </c>
      <c r="E10962" s="6" t="str">
        <f>HYPERLINK("https://twitter.com/petrogustavo/status/1317478676523585537","1317478676523585537")</f>
        <v>1317478676523585537</v>
      </c>
      <c r="F10962" s="7" t="s">
        <v>17</v>
      </c>
      <c r="G10962" s="7">
        <v>3992149</v>
      </c>
      <c r="H10962" s="7">
        <v>2446</v>
      </c>
      <c r="I10962" s="7">
        <v>342</v>
      </c>
      <c r="J10962" s="7">
        <v>0</v>
      </c>
      <c r="K10962" s="7" t="s">
        <v>18</v>
      </c>
      <c r="L10962" s="8">
        <v>39987.315405092595</v>
      </c>
      <c r="M10962" s="9" t="s">
        <v>19</v>
      </c>
      <c r="N10962" s="9" t="s">
        <v>20</v>
      </c>
      <c r="O10962" s="6" t="str">
        <f>HYPERLINK("https://pbs.twimg.com/profile_images/962471262747529216/Uo8lOkRJ_normal.jpg","View")</f>
        <v>View</v>
      </c>
      <c r="P10962" s="7"/>
    </row>
    <row r="10963" spans="1:16">
      <c r="A10963" s="3">
        <v>44121.85055555556</v>
      </c>
      <c r="B10963" s="4" t="str">
        <f>HYPERLINK("https://twitter.com/petrogustavo","@petrogustavo")</f>
        <v>@petrogustavo</v>
      </c>
      <c r="C10963" s="5" t="s">
        <v>16</v>
      </c>
      <c r="D10963" s="5" t="s">
        <v>10553</v>
      </c>
      <c r="E10963" s="6" t="str">
        <f>HYPERLINK("https://twitter.com/petrogustavo/status/1317479177134768132","1317479177134768132")</f>
        <v>1317479177134768132</v>
      </c>
      <c r="F10963" s="7" t="s">
        <v>17</v>
      </c>
      <c r="G10963" s="7">
        <v>3992149</v>
      </c>
      <c r="H10963" s="7">
        <v>2446</v>
      </c>
      <c r="I10963" s="7">
        <v>165</v>
      </c>
      <c r="J10963" s="7">
        <v>495</v>
      </c>
      <c r="K10963" s="7" t="s">
        <v>18</v>
      </c>
      <c r="L10963" s="8">
        <v>39987.315405092595</v>
      </c>
      <c r="M10963" s="9" t="s">
        <v>19</v>
      </c>
      <c r="N10963" s="9" t="s">
        <v>20</v>
      </c>
      <c r="O10963" s="6" t="str">
        <f>HYPERLINK("https://pbs.twimg.com/profile_images/962471262747529216/Uo8lOkRJ_normal.jpg","View")</f>
        <v>View</v>
      </c>
      <c r="P10963" s="7"/>
    </row>
    <row r="10964" spans="1:16">
      <c r="A10964" s="3">
        <v>44121.853206018517</v>
      </c>
      <c r="B10964" s="4" t="str">
        <f>HYPERLINK("https://twitter.com/petrogustavo","@petrogustavo")</f>
        <v>@petrogustavo</v>
      </c>
      <c r="C10964" s="5" t="s">
        <v>16</v>
      </c>
      <c r="D10964" s="5" t="s">
        <v>10554</v>
      </c>
      <c r="E10964" s="6" t="str">
        <f>HYPERLINK("https://twitter.com/petrogustavo/status/1317480138251096064","1317480138251096064")</f>
        <v>1317480138251096064</v>
      </c>
      <c r="F10964" s="7" t="s">
        <v>17</v>
      </c>
      <c r="G10964" s="7">
        <v>3992149</v>
      </c>
      <c r="H10964" s="7">
        <v>2446</v>
      </c>
      <c r="I10964" s="7">
        <v>17</v>
      </c>
      <c r="J10964" s="7">
        <v>0</v>
      </c>
      <c r="K10964" s="7" t="s">
        <v>18</v>
      </c>
      <c r="L10964" s="8">
        <v>39987.315405092595</v>
      </c>
      <c r="M10964" s="9" t="s">
        <v>19</v>
      </c>
      <c r="N10964" s="9" t="s">
        <v>20</v>
      </c>
      <c r="O10964" s="6" t="str">
        <f>HYPERLINK("https://pbs.twimg.com/profile_images/962471262747529216/Uo8lOkRJ_normal.jpg","View")</f>
        <v>View</v>
      </c>
      <c r="P10964" s="7"/>
    </row>
    <row r="10965" spans="1:16">
      <c r="A10965" s="3">
        <v>44121.854351851856</v>
      </c>
      <c r="B10965" s="4" t="str">
        <f>HYPERLINK("https://twitter.com/petrogustavo","@petrogustavo")</f>
        <v>@petrogustavo</v>
      </c>
      <c r="C10965" s="5" t="s">
        <v>16</v>
      </c>
      <c r="D10965" s="5" t="s">
        <v>10555</v>
      </c>
      <c r="E10965" s="6" t="str">
        <f>HYPERLINK("https://twitter.com/petrogustavo/status/1317480554015739906","1317480554015739906")</f>
        <v>1317480554015739906</v>
      </c>
      <c r="F10965" s="7" t="s">
        <v>17</v>
      </c>
      <c r="G10965" s="7">
        <v>3992149</v>
      </c>
      <c r="H10965" s="7">
        <v>2446</v>
      </c>
      <c r="I10965" s="7">
        <v>316</v>
      </c>
      <c r="J10965" s="7">
        <v>0</v>
      </c>
      <c r="K10965" s="7" t="s">
        <v>18</v>
      </c>
      <c r="L10965" s="8">
        <v>39987.315405092595</v>
      </c>
      <c r="M10965" s="9" t="s">
        <v>19</v>
      </c>
      <c r="N10965" s="9" t="s">
        <v>20</v>
      </c>
      <c r="O10965" s="6" t="str">
        <f>HYPERLINK("https://pbs.twimg.com/profile_images/962471262747529216/Uo8lOkRJ_normal.jpg","View")</f>
        <v>View</v>
      </c>
      <c r="P10965" s="7"/>
    </row>
    <row r="10966" spans="1:16">
      <c r="A10966" s="3">
        <v>44121.854629629626</v>
      </c>
      <c r="B10966" s="4" t="str">
        <f>HYPERLINK("https://twitter.com/petrogustavo","@petrogustavo")</f>
        <v>@petrogustavo</v>
      </c>
      <c r="C10966" s="5" t="s">
        <v>16</v>
      </c>
      <c r="D10966" s="5" t="s">
        <v>10556</v>
      </c>
      <c r="E10966" s="6" t="str">
        <f>HYPERLINK("https://twitter.com/petrogustavo/status/1317480657153568769","1317480657153568769")</f>
        <v>1317480657153568769</v>
      </c>
      <c r="F10966" s="7" t="s">
        <v>17</v>
      </c>
      <c r="G10966" s="7">
        <v>3992149</v>
      </c>
      <c r="H10966" s="7">
        <v>2446</v>
      </c>
      <c r="I10966" s="7">
        <v>85</v>
      </c>
      <c r="J10966" s="7">
        <v>0</v>
      </c>
      <c r="K10966" s="7" t="s">
        <v>18</v>
      </c>
      <c r="L10966" s="8">
        <v>39987.315405092595</v>
      </c>
      <c r="M10966" s="9" t="s">
        <v>19</v>
      </c>
      <c r="N10966" s="9" t="s">
        <v>20</v>
      </c>
      <c r="O10966" s="6" t="str">
        <f>HYPERLINK("https://pbs.twimg.com/profile_images/962471262747529216/Uo8lOkRJ_normal.jpg","View")</f>
        <v>View</v>
      </c>
      <c r="P10966" s="7"/>
    </row>
    <row r="10967" spans="1:16">
      <c r="A10967" s="3">
        <v>44121.857870370368</v>
      </c>
      <c r="B10967" s="4" t="str">
        <f>HYPERLINK("https://twitter.com/petrogustavo","@petrogustavo")</f>
        <v>@petrogustavo</v>
      </c>
      <c r="C10967" s="5" t="s">
        <v>16</v>
      </c>
      <c r="D10967" s="5" t="s">
        <v>10557</v>
      </c>
      <c r="E10967" s="6" t="str">
        <f>HYPERLINK("https://twitter.com/petrogustavo/status/1317481829969133570","1317481829969133570")</f>
        <v>1317481829969133570</v>
      </c>
      <c r="F10967" s="7" t="s">
        <v>17</v>
      </c>
      <c r="G10967" s="7">
        <v>3992149</v>
      </c>
      <c r="H10967" s="7">
        <v>2446</v>
      </c>
      <c r="I10967" s="7">
        <v>165</v>
      </c>
      <c r="J10967" s="7">
        <v>0</v>
      </c>
      <c r="K10967" s="7" t="s">
        <v>18</v>
      </c>
      <c r="L10967" s="8">
        <v>39987.315405092595</v>
      </c>
      <c r="M10967" s="9" t="s">
        <v>19</v>
      </c>
      <c r="N10967" s="9" t="s">
        <v>20</v>
      </c>
      <c r="O10967" s="6" t="str">
        <f>HYPERLINK("https://pbs.twimg.com/profile_images/962471262747529216/Uo8lOkRJ_normal.jpg","View")</f>
        <v>View</v>
      </c>
      <c r="P10967" s="7"/>
    </row>
    <row r="10968" spans="1:16">
      <c r="A10968" s="3">
        <v>44121.858414351853</v>
      </c>
      <c r="B10968" s="4" t="str">
        <f>HYPERLINK("https://twitter.com/petrogustavo","@petrogustavo")</f>
        <v>@petrogustavo</v>
      </c>
      <c r="C10968" s="5" t="s">
        <v>16</v>
      </c>
      <c r="D10968" s="5" t="s">
        <v>10558</v>
      </c>
      <c r="E10968" s="6" t="str">
        <f>HYPERLINK("https://twitter.com/petrogustavo/status/1317482025507577856","1317482025507577856")</f>
        <v>1317482025507577856</v>
      </c>
      <c r="F10968" s="7" t="s">
        <v>17</v>
      </c>
      <c r="G10968" s="7">
        <v>3992149</v>
      </c>
      <c r="H10968" s="7">
        <v>2446</v>
      </c>
      <c r="I10968" s="7">
        <v>166</v>
      </c>
      <c r="J10968" s="7">
        <v>0</v>
      </c>
      <c r="K10968" s="7" t="s">
        <v>18</v>
      </c>
      <c r="L10968" s="8">
        <v>39987.315405092595</v>
      </c>
      <c r="M10968" s="9" t="s">
        <v>19</v>
      </c>
      <c r="N10968" s="9" t="s">
        <v>20</v>
      </c>
      <c r="O10968" s="6" t="str">
        <f>HYPERLINK("https://pbs.twimg.com/profile_images/962471262747529216/Uo8lOkRJ_normal.jpg","View")</f>
        <v>View</v>
      </c>
      <c r="P10968" s="7"/>
    </row>
    <row r="10969" spans="1:16">
      <c r="A10969" s="3">
        <v>44121.859027777777</v>
      </c>
      <c r="B10969" s="4" t="str">
        <f>HYPERLINK("https://twitter.com/petrogustavo","@petrogustavo")</f>
        <v>@petrogustavo</v>
      </c>
      <c r="C10969" s="5" t="s">
        <v>16</v>
      </c>
      <c r="D10969" s="5" t="s">
        <v>10559</v>
      </c>
      <c r="E10969" s="6" t="str">
        <f>HYPERLINK("https://twitter.com/petrogustavo/status/1317482249164591104","1317482249164591104")</f>
        <v>1317482249164591104</v>
      </c>
      <c r="F10969" s="7" t="s">
        <v>17</v>
      </c>
      <c r="G10969" s="7">
        <v>3992149</v>
      </c>
      <c r="H10969" s="7">
        <v>2446</v>
      </c>
      <c r="I10969" s="7">
        <v>161</v>
      </c>
      <c r="J10969" s="7">
        <v>0</v>
      </c>
      <c r="K10969" s="7" t="s">
        <v>18</v>
      </c>
      <c r="L10969" s="8">
        <v>39987.315405092595</v>
      </c>
      <c r="M10969" s="9" t="s">
        <v>19</v>
      </c>
      <c r="N10969" s="9" t="s">
        <v>20</v>
      </c>
      <c r="O10969" s="6" t="str">
        <f>HYPERLINK("https://pbs.twimg.com/profile_images/962471262747529216/Uo8lOkRJ_normal.jpg","View")</f>
        <v>View</v>
      </c>
      <c r="P10969" s="7"/>
    </row>
    <row r="10970" spans="1:16">
      <c r="A10970" s="3">
        <v>44121.859178240746</v>
      </c>
      <c r="B10970" s="4" t="str">
        <f>HYPERLINK("https://twitter.com/petrogustavo","@petrogustavo")</f>
        <v>@petrogustavo</v>
      </c>
      <c r="C10970" s="5" t="s">
        <v>16</v>
      </c>
      <c r="D10970" s="5" t="s">
        <v>10560</v>
      </c>
      <c r="E10970" s="6" t="str">
        <f>HYPERLINK("https://twitter.com/petrogustavo/status/1317482305028501507","1317482305028501507")</f>
        <v>1317482305028501507</v>
      </c>
      <c r="F10970" s="7" t="s">
        <v>17</v>
      </c>
      <c r="G10970" s="7">
        <v>3992149</v>
      </c>
      <c r="H10970" s="7">
        <v>2446</v>
      </c>
      <c r="I10970" s="7">
        <v>1105</v>
      </c>
      <c r="J10970" s="7">
        <v>0</v>
      </c>
      <c r="K10970" s="7" t="s">
        <v>18</v>
      </c>
      <c r="L10970" s="8">
        <v>39987.315405092595</v>
      </c>
      <c r="M10970" s="9" t="s">
        <v>19</v>
      </c>
      <c r="N10970" s="9" t="s">
        <v>20</v>
      </c>
      <c r="O10970" s="6" t="str">
        <f>HYPERLINK("https://pbs.twimg.com/profile_images/962471262747529216/Uo8lOkRJ_normal.jpg","View")</f>
        <v>View</v>
      </c>
      <c r="P10970" s="7"/>
    </row>
    <row r="10971" spans="1:16">
      <c r="A10971" s="3">
        <v>44121.872604166667</v>
      </c>
      <c r="B10971" s="4" t="str">
        <f>HYPERLINK("https://twitter.com/petrogustavo","@petrogustavo")</f>
        <v>@petrogustavo</v>
      </c>
      <c r="C10971" s="5" t="s">
        <v>16</v>
      </c>
      <c r="D10971" s="5" t="s">
        <v>10561</v>
      </c>
      <c r="E10971" s="6" t="str">
        <f>HYPERLINK("https://twitter.com/petrogustavo/status/1317487169192316932","1317487169192316932")</f>
        <v>1317487169192316932</v>
      </c>
      <c r="F10971" s="7" t="s">
        <v>17</v>
      </c>
      <c r="G10971" s="7">
        <v>3992174</v>
      </c>
      <c r="H10971" s="7">
        <v>2446</v>
      </c>
      <c r="I10971" s="7">
        <v>136</v>
      </c>
      <c r="J10971" s="7">
        <v>443</v>
      </c>
      <c r="K10971" s="7" t="s">
        <v>18</v>
      </c>
      <c r="L10971" s="8">
        <v>39987.315405092595</v>
      </c>
      <c r="M10971" s="9" t="s">
        <v>19</v>
      </c>
      <c r="N10971" s="9" t="s">
        <v>20</v>
      </c>
      <c r="O10971" s="6" t="str">
        <f>HYPERLINK("https://pbs.twimg.com/profile_images/962471262747529216/Uo8lOkRJ_normal.jpg","View")</f>
        <v>View</v>
      </c>
      <c r="P10971" s="7"/>
    </row>
    <row r="10972" spans="1:16">
      <c r="A10972" s="3">
        <v>44121.916273148148</v>
      </c>
      <c r="B10972" s="4" t="str">
        <f>HYPERLINK("https://twitter.com/petrogustavo","@petrogustavo")</f>
        <v>@petrogustavo</v>
      </c>
      <c r="C10972" s="5" t="s">
        <v>16</v>
      </c>
      <c r="D10972" s="5" t="s">
        <v>10516</v>
      </c>
      <c r="E10972" s="6" t="str">
        <f>HYPERLINK("https://twitter.com/petrogustavo/status/1317502994200625153","1317502994200625153")</f>
        <v>1317502994200625153</v>
      </c>
      <c r="F10972" s="7" t="s">
        <v>32</v>
      </c>
      <c r="G10972" s="7">
        <v>3992197</v>
      </c>
      <c r="H10972" s="7">
        <v>2446</v>
      </c>
      <c r="I10972" s="7">
        <v>581</v>
      </c>
      <c r="J10972" s="7">
        <v>0</v>
      </c>
      <c r="K10972" s="7" t="s">
        <v>18</v>
      </c>
      <c r="L10972" s="8">
        <v>39987.315405092595</v>
      </c>
      <c r="M10972" s="9" t="s">
        <v>19</v>
      </c>
      <c r="N10972" s="9" t="s">
        <v>20</v>
      </c>
      <c r="O10972" s="6" t="str">
        <f>HYPERLINK("https://pbs.twimg.com/profile_images/962471262747529216/Uo8lOkRJ_normal.jpg","View")</f>
        <v>View</v>
      </c>
      <c r="P10972" s="7"/>
    </row>
    <row r="10973" spans="1:16">
      <c r="A10973" s="3">
        <v>44121.9216087963</v>
      </c>
      <c r="B10973" s="4" t="str">
        <f>HYPERLINK("https://twitter.com/petrogustavo","@petrogustavo")</f>
        <v>@petrogustavo</v>
      </c>
      <c r="C10973" s="5" t="s">
        <v>16</v>
      </c>
      <c r="D10973" s="5" t="s">
        <v>10562</v>
      </c>
      <c r="E10973" s="6" t="str">
        <f>HYPERLINK("https://twitter.com/petrogustavo/status/1317504926373810177","1317504926373810177")</f>
        <v>1317504926373810177</v>
      </c>
      <c r="F10973" s="7" t="s">
        <v>32</v>
      </c>
      <c r="G10973" s="7">
        <v>3992197</v>
      </c>
      <c r="H10973" s="7">
        <v>2446</v>
      </c>
      <c r="I10973" s="7">
        <v>83</v>
      </c>
      <c r="J10973" s="7">
        <v>175</v>
      </c>
      <c r="K10973" s="7" t="s">
        <v>18</v>
      </c>
      <c r="L10973" s="8">
        <v>39987.315405092595</v>
      </c>
      <c r="M10973" s="9" t="s">
        <v>19</v>
      </c>
      <c r="N10973" s="9" t="s">
        <v>20</v>
      </c>
      <c r="O10973" s="6" t="str">
        <f>HYPERLINK("https://pbs.twimg.com/profile_images/962471262747529216/Uo8lOkRJ_normal.jpg","View")</f>
        <v>View</v>
      </c>
      <c r="P10973" s="7"/>
    </row>
    <row r="10974" spans="1:16">
      <c r="A10974" s="3">
        <v>44121.921817129631</v>
      </c>
      <c r="B10974" s="4" t="str">
        <f>HYPERLINK("https://twitter.com/petrogustavo","@petrogustavo")</f>
        <v>@petrogustavo</v>
      </c>
      <c r="C10974" s="5" t="s">
        <v>16</v>
      </c>
      <c r="D10974" s="5" t="s">
        <v>10563</v>
      </c>
      <c r="E10974" s="6" t="str">
        <f>HYPERLINK("https://twitter.com/petrogustavo/status/1317505003909795840","1317505003909795840")</f>
        <v>1317505003909795840</v>
      </c>
      <c r="F10974" s="7" t="s">
        <v>32</v>
      </c>
      <c r="G10974" s="7">
        <v>3992197</v>
      </c>
      <c r="H10974" s="7">
        <v>2446</v>
      </c>
      <c r="I10974" s="7">
        <v>47</v>
      </c>
      <c r="J10974" s="7">
        <v>0</v>
      </c>
      <c r="K10974" s="7" t="s">
        <v>18</v>
      </c>
      <c r="L10974" s="8">
        <v>39987.315405092595</v>
      </c>
      <c r="M10974" s="9" t="s">
        <v>19</v>
      </c>
      <c r="N10974" s="9" t="s">
        <v>20</v>
      </c>
      <c r="O10974" s="6" t="str">
        <f>HYPERLINK("https://pbs.twimg.com/profile_images/962471262747529216/Uo8lOkRJ_normal.jpg","View")</f>
        <v>View</v>
      </c>
      <c r="P10974" s="7"/>
    </row>
    <row r="10975" spans="1:16">
      <c r="A10975" s="3">
        <v>44121.924479166672</v>
      </c>
      <c r="B10975" s="4" t="str">
        <f>HYPERLINK("https://twitter.com/petrogustavo","@petrogustavo")</f>
        <v>@petrogustavo</v>
      </c>
      <c r="C10975" s="5" t="s">
        <v>16</v>
      </c>
      <c r="D10975" s="5" t="s">
        <v>10564</v>
      </c>
      <c r="E10975" s="6" t="str">
        <f>HYPERLINK("https://twitter.com/petrogustavo/status/1317505967794302977","1317505967794302977")</f>
        <v>1317505967794302977</v>
      </c>
      <c r="F10975" s="7" t="s">
        <v>32</v>
      </c>
      <c r="G10975" s="7">
        <v>3992197</v>
      </c>
      <c r="H10975" s="7">
        <v>2446</v>
      </c>
      <c r="I10975" s="7">
        <v>46</v>
      </c>
      <c r="J10975" s="7">
        <v>62</v>
      </c>
      <c r="K10975" s="7" t="s">
        <v>18</v>
      </c>
      <c r="L10975" s="8">
        <v>39987.315405092595</v>
      </c>
      <c r="M10975" s="9" t="s">
        <v>19</v>
      </c>
      <c r="N10975" s="9" t="s">
        <v>20</v>
      </c>
      <c r="O10975" s="6" t="str">
        <f>HYPERLINK("https://pbs.twimg.com/profile_images/962471262747529216/Uo8lOkRJ_normal.jpg","View")</f>
        <v>View</v>
      </c>
      <c r="P10975" s="7"/>
    </row>
    <row r="10976" spans="1:16">
      <c r="A10976" s="3">
        <v>44121.926724537036</v>
      </c>
      <c r="B10976" s="4" t="str">
        <f>HYPERLINK("https://twitter.com/petrogustavo","@petrogustavo")</f>
        <v>@petrogustavo</v>
      </c>
      <c r="C10976" s="5" t="s">
        <v>16</v>
      </c>
      <c r="D10976" s="5" t="s">
        <v>10565</v>
      </c>
      <c r="E10976" s="6" t="str">
        <f>HYPERLINK("https://twitter.com/petrogustavo/status/1317506782747611136","1317506782747611136")</f>
        <v>1317506782747611136</v>
      </c>
      <c r="F10976" s="7" t="s">
        <v>32</v>
      </c>
      <c r="G10976" s="7">
        <v>3992197</v>
      </c>
      <c r="H10976" s="7">
        <v>2446</v>
      </c>
      <c r="I10976" s="7">
        <v>83</v>
      </c>
      <c r="J10976" s="7">
        <v>0</v>
      </c>
      <c r="K10976" s="7" t="s">
        <v>18</v>
      </c>
      <c r="L10976" s="8">
        <v>39987.315405092595</v>
      </c>
      <c r="M10976" s="9" t="s">
        <v>19</v>
      </c>
      <c r="N10976" s="9" t="s">
        <v>20</v>
      </c>
      <c r="O10976" s="6" t="str">
        <f>HYPERLINK("https://pbs.twimg.com/profile_images/962471262747529216/Uo8lOkRJ_normal.jpg","View")</f>
        <v>View</v>
      </c>
      <c r="P10976" s="7"/>
    </row>
    <row r="10977" spans="1:16">
      <c r="A10977" s="3">
        <v>44121.983101851853</v>
      </c>
      <c r="B10977" s="4" t="str">
        <f>HYPERLINK("https://twitter.com/petrogustavo","@petrogustavo")</f>
        <v>@petrogustavo</v>
      </c>
      <c r="C10977" s="5" t="s">
        <v>16</v>
      </c>
      <c r="D10977" s="5" t="s">
        <v>10566</v>
      </c>
      <c r="E10977" s="6" t="str">
        <f>HYPERLINK("https://twitter.com/petrogustavo/status/1317527211587547137","1317527211587547137")</f>
        <v>1317527211587547137</v>
      </c>
      <c r="F10977" s="7" t="s">
        <v>17</v>
      </c>
      <c r="G10977" s="7">
        <v>3992249</v>
      </c>
      <c r="H10977" s="7">
        <v>2446</v>
      </c>
      <c r="I10977" s="7">
        <v>84</v>
      </c>
      <c r="J10977" s="7">
        <v>217</v>
      </c>
      <c r="K10977" s="7" t="s">
        <v>18</v>
      </c>
      <c r="L10977" s="8">
        <v>39987.315405092595</v>
      </c>
      <c r="M10977" s="9" t="s">
        <v>19</v>
      </c>
      <c r="N10977" s="9" t="s">
        <v>20</v>
      </c>
      <c r="O10977" s="6" t="str">
        <f>HYPERLINK("https://pbs.twimg.com/profile_images/962471262747529216/Uo8lOkRJ_normal.jpg","View")</f>
        <v>View</v>
      </c>
      <c r="P10977" s="7"/>
    </row>
    <row r="10978" spans="1:16">
      <c r="A10978" s="3">
        <v>44121.987824074073</v>
      </c>
      <c r="B10978" s="4" t="str">
        <f>HYPERLINK("https://twitter.com/petrogustavo","@petrogustavo")</f>
        <v>@petrogustavo</v>
      </c>
      <c r="C10978" s="5" t="s">
        <v>16</v>
      </c>
      <c r="D10978" s="5" t="s">
        <v>10567</v>
      </c>
      <c r="E10978" s="6" t="str">
        <f>HYPERLINK("https://twitter.com/petrogustavo/status/1317528921416585217","1317528921416585217")</f>
        <v>1317528921416585217</v>
      </c>
      <c r="F10978" s="7" t="s">
        <v>17</v>
      </c>
      <c r="G10978" s="7">
        <v>3992249</v>
      </c>
      <c r="H10978" s="7">
        <v>2446</v>
      </c>
      <c r="I10978" s="7">
        <v>29</v>
      </c>
      <c r="J10978" s="7">
        <v>87</v>
      </c>
      <c r="K10978" s="7" t="s">
        <v>18</v>
      </c>
      <c r="L10978" s="8">
        <v>39987.315405092595</v>
      </c>
      <c r="M10978" s="9" t="s">
        <v>19</v>
      </c>
      <c r="N10978" s="9" t="s">
        <v>20</v>
      </c>
      <c r="O10978" s="6" t="str">
        <f>HYPERLINK("https://pbs.twimg.com/profile_images/962471262747529216/Uo8lOkRJ_normal.jpg","View")</f>
        <v>View</v>
      </c>
      <c r="P10978" s="7"/>
    </row>
    <row r="10979" spans="1:16">
      <c r="A10979" s="3">
        <v>44121.997928240744</v>
      </c>
      <c r="B10979" s="4" t="str">
        <f>HYPERLINK("https://twitter.com/petrogustavo","@petrogustavo")</f>
        <v>@petrogustavo</v>
      </c>
      <c r="C10979" s="5" t="s">
        <v>16</v>
      </c>
      <c r="D10979" s="5" t="s">
        <v>10568</v>
      </c>
      <c r="E10979" s="6" t="str">
        <f>HYPERLINK("https://twitter.com/petrogustavo/status/1317532585908686850","1317532585908686850")</f>
        <v>1317532585908686850</v>
      </c>
      <c r="F10979" s="7" t="s">
        <v>17</v>
      </c>
      <c r="G10979" s="7">
        <v>3992240</v>
      </c>
      <c r="H10979" s="7">
        <v>2444</v>
      </c>
      <c r="I10979" s="7">
        <v>164</v>
      </c>
      <c r="J10979" s="7">
        <v>0</v>
      </c>
      <c r="K10979" s="7" t="s">
        <v>18</v>
      </c>
      <c r="L10979" s="8">
        <v>39987.315405092595</v>
      </c>
      <c r="M10979" s="9" t="s">
        <v>19</v>
      </c>
      <c r="N10979" s="9" t="s">
        <v>20</v>
      </c>
      <c r="O10979" s="6" t="str">
        <f>HYPERLINK("https://pbs.twimg.com/profile_images/962471262747529216/Uo8lOkRJ_normal.jpg","View")</f>
        <v>View</v>
      </c>
      <c r="P10979" s="7"/>
    </row>
    <row r="10980" spans="1:16">
      <c r="A10980" s="3">
        <v>44122.105694444443</v>
      </c>
      <c r="B10980" s="4" t="str">
        <f>HYPERLINK("https://twitter.com/petrogustavo","@petrogustavo")</f>
        <v>@petrogustavo</v>
      </c>
      <c r="C10980" s="5" t="s">
        <v>16</v>
      </c>
      <c r="D10980" s="5" t="s">
        <v>10569</v>
      </c>
      <c r="E10980" s="6" t="str">
        <f>HYPERLINK("https://twitter.com/petrogustavo/status/1317571637768761344","1317571637768761344")</f>
        <v>1317571637768761344</v>
      </c>
      <c r="F10980" s="7" t="s">
        <v>32</v>
      </c>
      <c r="G10980" s="7">
        <v>3992296</v>
      </c>
      <c r="H10980" s="7">
        <v>2444</v>
      </c>
      <c r="I10980" s="7">
        <v>99</v>
      </c>
      <c r="J10980" s="7">
        <v>0</v>
      </c>
      <c r="K10980" s="7" t="s">
        <v>18</v>
      </c>
      <c r="L10980" s="8">
        <v>39987.315405092595</v>
      </c>
      <c r="M10980" s="9" t="s">
        <v>19</v>
      </c>
      <c r="N10980" s="9" t="s">
        <v>20</v>
      </c>
      <c r="O10980" s="6" t="str">
        <f>HYPERLINK("https://pbs.twimg.com/profile_images/962471262747529216/Uo8lOkRJ_normal.jpg","View")</f>
        <v>View</v>
      </c>
      <c r="P10980" s="7"/>
    </row>
    <row r="10981" spans="1:16">
      <c r="A10981" s="3">
        <v>44122.105821759258</v>
      </c>
      <c r="B10981" s="4" t="str">
        <f>HYPERLINK("https://twitter.com/petrogustavo","@petrogustavo")</f>
        <v>@petrogustavo</v>
      </c>
      <c r="C10981" s="5" t="s">
        <v>16</v>
      </c>
      <c r="D10981" s="5" t="s">
        <v>10570</v>
      </c>
      <c r="E10981" s="6" t="str">
        <f>HYPERLINK("https://twitter.com/petrogustavo/status/1317571686414405637","1317571686414405637")</f>
        <v>1317571686414405637</v>
      </c>
      <c r="F10981" s="7" t="s">
        <v>32</v>
      </c>
      <c r="G10981" s="7">
        <v>3992296</v>
      </c>
      <c r="H10981" s="7">
        <v>2444</v>
      </c>
      <c r="I10981" s="7">
        <v>57</v>
      </c>
      <c r="J10981" s="7">
        <v>0</v>
      </c>
      <c r="K10981" s="7" t="s">
        <v>18</v>
      </c>
      <c r="L10981" s="8">
        <v>39987.315405092595</v>
      </c>
      <c r="M10981" s="9" t="s">
        <v>19</v>
      </c>
      <c r="N10981" s="9" t="s">
        <v>20</v>
      </c>
      <c r="O10981" s="6" t="str">
        <f>HYPERLINK("https://pbs.twimg.com/profile_images/962471262747529216/Uo8lOkRJ_normal.jpg","View")</f>
        <v>View</v>
      </c>
      <c r="P10981" s="7"/>
    </row>
    <row r="10982" spans="1:16">
      <c r="A10982" s="3">
        <v>44122.208055555559</v>
      </c>
      <c r="B10982" s="4" t="str">
        <f>HYPERLINK("https://twitter.com/petrogustavo","@petrogustavo")</f>
        <v>@petrogustavo</v>
      </c>
      <c r="C10982" s="5" t="s">
        <v>16</v>
      </c>
      <c r="D10982" s="5" t="s">
        <v>10571</v>
      </c>
      <c r="E10982" s="6" t="str">
        <f>HYPERLINK("https://twitter.com/petrogustavo/status/1317608731014737921","1317608731014737921")</f>
        <v>1317608731014737921</v>
      </c>
      <c r="F10982" s="7" t="s">
        <v>17</v>
      </c>
      <c r="G10982" s="7">
        <v>3992358</v>
      </c>
      <c r="H10982" s="7">
        <v>2444</v>
      </c>
      <c r="I10982" s="7">
        <v>124</v>
      </c>
      <c r="J10982" s="7">
        <v>165</v>
      </c>
      <c r="K10982" s="7" t="s">
        <v>18</v>
      </c>
      <c r="L10982" s="8">
        <v>39987.315405092595</v>
      </c>
      <c r="M10982" s="9" t="s">
        <v>19</v>
      </c>
      <c r="N10982" s="9" t="s">
        <v>20</v>
      </c>
      <c r="O10982" s="6" t="str">
        <f>HYPERLINK("https://pbs.twimg.com/profile_images/962471262747529216/Uo8lOkRJ_normal.jpg","View")</f>
        <v>View</v>
      </c>
      <c r="P10982" s="7"/>
    </row>
    <row r="10983" spans="1:16">
      <c r="A10983" s="3">
        <v>44122.209317129629</v>
      </c>
      <c r="B10983" s="4" t="str">
        <f>HYPERLINK("https://twitter.com/petrogustavo","@petrogustavo")</f>
        <v>@petrogustavo</v>
      </c>
      <c r="C10983" s="5" t="s">
        <v>16</v>
      </c>
      <c r="D10983" s="5" t="s">
        <v>10572</v>
      </c>
      <c r="E10983" s="6" t="str">
        <f>HYPERLINK("https://twitter.com/petrogustavo/status/1317609191771656199","1317609191771656199")</f>
        <v>1317609191771656199</v>
      </c>
      <c r="F10983" s="7" t="s">
        <v>17</v>
      </c>
      <c r="G10983" s="7">
        <v>3992358</v>
      </c>
      <c r="H10983" s="7">
        <v>2444</v>
      </c>
      <c r="I10983" s="7">
        <v>125</v>
      </c>
      <c r="J10983" s="7">
        <v>0</v>
      </c>
      <c r="K10983" s="7" t="s">
        <v>18</v>
      </c>
      <c r="L10983" s="8">
        <v>39987.315405092595</v>
      </c>
      <c r="M10983" s="9" t="s">
        <v>19</v>
      </c>
      <c r="N10983" s="9" t="s">
        <v>20</v>
      </c>
      <c r="O10983" s="6" t="str">
        <f>HYPERLINK("https://pbs.twimg.com/profile_images/962471262747529216/Uo8lOkRJ_normal.jpg","View")</f>
        <v>View</v>
      </c>
      <c r="P10983" s="7"/>
    </row>
    <row r="10984" spans="1:16">
      <c r="A10984" s="3">
        <v>44122.212777777779</v>
      </c>
      <c r="B10984" s="4" t="str">
        <f>HYPERLINK("https://twitter.com/petrogustavo","@petrogustavo")</f>
        <v>@petrogustavo</v>
      </c>
      <c r="C10984" s="5" t="s">
        <v>16</v>
      </c>
      <c r="D10984" s="5" t="s">
        <v>10573</v>
      </c>
      <c r="E10984" s="6" t="str">
        <f>HYPERLINK("https://twitter.com/petrogustavo/status/1317610443477745667","1317610443477745667")</f>
        <v>1317610443477745667</v>
      </c>
      <c r="F10984" s="7" t="s">
        <v>17</v>
      </c>
      <c r="G10984" s="7">
        <v>3992358</v>
      </c>
      <c r="H10984" s="7">
        <v>2444</v>
      </c>
      <c r="I10984" s="7">
        <v>58</v>
      </c>
      <c r="J10984" s="7">
        <v>0</v>
      </c>
      <c r="K10984" s="7" t="s">
        <v>18</v>
      </c>
      <c r="L10984" s="8">
        <v>39987.315405092595</v>
      </c>
      <c r="M10984" s="9" t="s">
        <v>19</v>
      </c>
      <c r="N10984" s="9" t="s">
        <v>20</v>
      </c>
      <c r="O10984" s="6" t="str">
        <f>HYPERLINK("https://pbs.twimg.com/profile_images/962471262747529216/Uo8lOkRJ_normal.jpg","View")</f>
        <v>View</v>
      </c>
      <c r="P10984" s="7"/>
    </row>
    <row r="10985" spans="1:16">
      <c r="A10985" s="3">
        <v>44122.22210648148</v>
      </c>
      <c r="B10985" s="4" t="str">
        <f>HYPERLINK("https://twitter.com/petrogustavo","@petrogustavo")</f>
        <v>@petrogustavo</v>
      </c>
      <c r="C10985" s="5" t="s">
        <v>16</v>
      </c>
      <c r="D10985" s="5" t="s">
        <v>10574</v>
      </c>
      <c r="E10985" s="6" t="str">
        <f>HYPERLINK("https://twitter.com/petrogustavo/status/1317613825076662273","1317613825076662273")</f>
        <v>1317613825076662273</v>
      </c>
      <c r="F10985" s="7" t="s">
        <v>17</v>
      </c>
      <c r="G10985" s="7">
        <v>3992362</v>
      </c>
      <c r="H10985" s="7">
        <v>2444</v>
      </c>
      <c r="I10985" s="7">
        <v>403</v>
      </c>
      <c r="J10985" s="7">
        <v>0</v>
      </c>
      <c r="K10985" s="7" t="s">
        <v>18</v>
      </c>
      <c r="L10985" s="8">
        <v>39987.315405092595</v>
      </c>
      <c r="M10985" s="9" t="s">
        <v>19</v>
      </c>
      <c r="N10985" s="9" t="s">
        <v>20</v>
      </c>
      <c r="O10985" s="6" t="str">
        <f>HYPERLINK("https://pbs.twimg.com/profile_images/962471262747529216/Uo8lOkRJ_normal.jpg","View")</f>
        <v>View</v>
      </c>
      <c r="P10985" s="7"/>
    </row>
    <row r="10986" spans="1:16">
      <c r="A10986" s="3">
        <v>44122.223460648151</v>
      </c>
      <c r="B10986" s="4" t="str">
        <f>HYPERLINK("https://twitter.com/petrogustavo","@petrogustavo")</f>
        <v>@petrogustavo</v>
      </c>
      <c r="C10986" s="5" t="s">
        <v>16</v>
      </c>
      <c r="D10986" s="5" t="s">
        <v>10573</v>
      </c>
      <c r="E10986" s="6" t="str">
        <f>HYPERLINK("https://twitter.com/petrogustavo/status/1317614316351295488","1317614316351295488")</f>
        <v>1317614316351295488</v>
      </c>
      <c r="F10986" s="7" t="s">
        <v>17</v>
      </c>
      <c r="G10986" s="7">
        <v>3992362</v>
      </c>
      <c r="H10986" s="7">
        <v>2444</v>
      </c>
      <c r="I10986" s="7">
        <v>91</v>
      </c>
      <c r="J10986" s="7">
        <v>0</v>
      </c>
      <c r="K10986" s="7" t="s">
        <v>18</v>
      </c>
      <c r="L10986" s="8">
        <v>39987.315405092595</v>
      </c>
      <c r="M10986" s="9" t="s">
        <v>19</v>
      </c>
      <c r="N10986" s="9" t="s">
        <v>20</v>
      </c>
      <c r="O10986" s="6" t="str">
        <f>HYPERLINK("https://pbs.twimg.com/profile_images/962471262747529216/Uo8lOkRJ_normal.jpg","View")</f>
        <v>View</v>
      </c>
      <c r="P10986" s="7"/>
    </row>
    <row r="10987" spans="1:16">
      <c r="A10987" s="3">
        <v>44122.229537037041</v>
      </c>
      <c r="B10987" s="4" t="str">
        <f>HYPERLINK("https://twitter.com/petrogustavo","@petrogustavo")</f>
        <v>@petrogustavo</v>
      </c>
      <c r="C10987" s="5" t="s">
        <v>16</v>
      </c>
      <c r="D10987" s="5" t="s">
        <v>10575</v>
      </c>
      <c r="E10987" s="6" t="str">
        <f>HYPERLINK("https://twitter.com/petrogustavo/status/1317616517429723137","1317616517429723137")</f>
        <v>1317616517429723137</v>
      </c>
      <c r="F10987" s="7" t="s">
        <v>21</v>
      </c>
      <c r="G10987" s="7">
        <v>3992362</v>
      </c>
      <c r="H10987" s="7">
        <v>2444</v>
      </c>
      <c r="I10987" s="7">
        <v>89</v>
      </c>
      <c r="J10987" s="7">
        <v>230</v>
      </c>
      <c r="K10987" s="7" t="s">
        <v>18</v>
      </c>
      <c r="L10987" s="8">
        <v>39987.315405092595</v>
      </c>
      <c r="M10987" s="9" t="s">
        <v>19</v>
      </c>
      <c r="N10987" s="9" t="s">
        <v>20</v>
      </c>
      <c r="O10987" s="6" t="str">
        <f>HYPERLINK("https://pbs.twimg.com/profile_images/962471262747529216/Uo8lOkRJ_normal.jpg","View")</f>
        <v>View</v>
      </c>
      <c r="P10987" s="7"/>
    </row>
    <row r="10988" spans="1:16">
      <c r="A10988" s="3">
        <v>44122.830266203702</v>
      </c>
      <c r="B10988" s="4" t="str">
        <f>HYPERLINK("https://twitter.com/petrogustavo","@petrogustavo")</f>
        <v>@petrogustavo</v>
      </c>
      <c r="C10988" s="5" t="s">
        <v>16</v>
      </c>
      <c r="D10988" s="5" t="s">
        <v>10576</v>
      </c>
      <c r="E10988" s="6" t="str">
        <f>HYPERLINK("https://twitter.com/petrogustavo/status/1317834212473491456","1317834212473491456")</f>
        <v>1317834212473491456</v>
      </c>
      <c r="F10988" s="7" t="s">
        <v>17</v>
      </c>
      <c r="G10988" s="7">
        <v>3992585</v>
      </c>
      <c r="H10988" s="7">
        <v>2444</v>
      </c>
      <c r="I10988" s="7">
        <v>69</v>
      </c>
      <c r="J10988" s="7">
        <v>0</v>
      </c>
      <c r="K10988" s="7" t="s">
        <v>18</v>
      </c>
      <c r="L10988" s="8">
        <v>39987.315405092595</v>
      </c>
      <c r="M10988" s="9" t="s">
        <v>19</v>
      </c>
      <c r="N10988" s="9" t="s">
        <v>20</v>
      </c>
      <c r="O10988" s="6" t="str">
        <f>HYPERLINK("https://pbs.twimg.com/profile_images/962471262747529216/Uo8lOkRJ_normal.jpg","View")</f>
        <v>View</v>
      </c>
      <c r="P10988" s="7"/>
    </row>
    <row r="10989" spans="1:16">
      <c r="A10989" s="3">
        <v>44122.83112268518</v>
      </c>
      <c r="B10989" s="4" t="str">
        <f>HYPERLINK("https://twitter.com/petrogustavo","@petrogustavo")</f>
        <v>@petrogustavo</v>
      </c>
      <c r="C10989" s="5" t="s">
        <v>16</v>
      </c>
      <c r="D10989" s="5" t="s">
        <v>10577</v>
      </c>
      <c r="E10989" s="6" t="str">
        <f>HYPERLINK("https://twitter.com/petrogustavo/status/1317834522495492096","1317834522495492096")</f>
        <v>1317834522495492096</v>
      </c>
      <c r="F10989" s="7" t="s">
        <v>17</v>
      </c>
      <c r="G10989" s="7">
        <v>3992585</v>
      </c>
      <c r="H10989" s="7">
        <v>2444</v>
      </c>
      <c r="I10989" s="7">
        <v>18</v>
      </c>
      <c r="J10989" s="7">
        <v>0</v>
      </c>
      <c r="K10989" s="7" t="s">
        <v>18</v>
      </c>
      <c r="L10989" s="8">
        <v>39987.315405092595</v>
      </c>
      <c r="M10989" s="9" t="s">
        <v>19</v>
      </c>
      <c r="N10989" s="9" t="s">
        <v>20</v>
      </c>
      <c r="O10989" s="6" t="str">
        <f>HYPERLINK("https://pbs.twimg.com/profile_images/962471262747529216/Uo8lOkRJ_normal.jpg","View")</f>
        <v>View</v>
      </c>
      <c r="P10989" s="7"/>
    </row>
    <row r="10990" spans="1:16">
      <c r="A10990" s="3">
        <v>44122.831527777773</v>
      </c>
      <c r="B10990" s="4" t="str">
        <f>HYPERLINK("https://twitter.com/petrogustavo","@petrogustavo")</f>
        <v>@petrogustavo</v>
      </c>
      <c r="C10990" s="5" t="s">
        <v>16</v>
      </c>
      <c r="D10990" s="5" t="s">
        <v>10578</v>
      </c>
      <c r="E10990" s="6" t="str">
        <f>HYPERLINK("https://twitter.com/petrogustavo/status/1317834672534061057","1317834672534061057")</f>
        <v>1317834672534061057</v>
      </c>
      <c r="F10990" s="7" t="s">
        <v>17</v>
      </c>
      <c r="G10990" s="7">
        <v>3992585</v>
      </c>
      <c r="H10990" s="7">
        <v>2444</v>
      </c>
      <c r="I10990" s="7">
        <v>627</v>
      </c>
      <c r="J10990" s="7">
        <v>0</v>
      </c>
      <c r="K10990" s="7" t="s">
        <v>18</v>
      </c>
      <c r="L10990" s="8">
        <v>39987.315405092595</v>
      </c>
      <c r="M10990" s="9" t="s">
        <v>19</v>
      </c>
      <c r="N10990" s="9" t="s">
        <v>20</v>
      </c>
      <c r="O10990" s="6" t="str">
        <f>HYPERLINK("https://pbs.twimg.com/profile_images/962471262747529216/Uo8lOkRJ_normal.jpg","View")</f>
        <v>View</v>
      </c>
      <c r="P10990" s="7"/>
    </row>
    <row r="10991" spans="1:16">
      <c r="A10991" s="3">
        <v>44122.833020833335</v>
      </c>
      <c r="B10991" s="4" t="str">
        <f>HYPERLINK("https://twitter.com/petrogustavo","@petrogustavo")</f>
        <v>@petrogustavo</v>
      </c>
      <c r="C10991" s="5" t="s">
        <v>16</v>
      </c>
      <c r="D10991" s="5" t="s">
        <v>10579</v>
      </c>
      <c r="E10991" s="6" t="str">
        <f>HYPERLINK("https://twitter.com/petrogustavo/status/1317835212525608961","1317835212525608961")</f>
        <v>1317835212525608961</v>
      </c>
      <c r="F10991" s="7" t="s">
        <v>17</v>
      </c>
      <c r="G10991" s="7">
        <v>3992585</v>
      </c>
      <c r="H10991" s="7">
        <v>2444</v>
      </c>
      <c r="I10991" s="7">
        <v>203</v>
      </c>
      <c r="J10991" s="7">
        <v>518</v>
      </c>
      <c r="K10991" s="7" t="s">
        <v>18</v>
      </c>
      <c r="L10991" s="8">
        <v>39987.315405092595</v>
      </c>
      <c r="M10991" s="9" t="s">
        <v>19</v>
      </c>
      <c r="N10991" s="9" t="s">
        <v>20</v>
      </c>
      <c r="O10991" s="6" t="str">
        <f>HYPERLINK("https://pbs.twimg.com/profile_images/962471262747529216/Uo8lOkRJ_normal.jpg","View")</f>
        <v>View</v>
      </c>
      <c r="P10991" s="7"/>
    </row>
    <row r="10992" spans="1:16">
      <c r="A10992" s="3">
        <v>44122.833587962959</v>
      </c>
      <c r="B10992" s="4" t="str">
        <f>HYPERLINK("https://twitter.com/petrogustavo","@petrogustavo")</f>
        <v>@petrogustavo</v>
      </c>
      <c r="C10992" s="5" t="s">
        <v>16</v>
      </c>
      <c r="D10992" s="5" t="s">
        <v>10580</v>
      </c>
      <c r="E10992" s="6" t="str">
        <f>HYPERLINK("https://twitter.com/petrogustavo/status/1317835419162214400","1317835419162214400")</f>
        <v>1317835419162214400</v>
      </c>
      <c r="F10992" s="7" t="s">
        <v>17</v>
      </c>
      <c r="G10992" s="7">
        <v>3992585</v>
      </c>
      <c r="H10992" s="7">
        <v>2444</v>
      </c>
      <c r="I10992" s="7">
        <v>89</v>
      </c>
      <c r="J10992" s="7">
        <v>0</v>
      </c>
      <c r="K10992" s="7" t="s">
        <v>18</v>
      </c>
      <c r="L10992" s="8">
        <v>39987.315405092595</v>
      </c>
      <c r="M10992" s="9" t="s">
        <v>19</v>
      </c>
      <c r="N10992" s="9" t="s">
        <v>20</v>
      </c>
      <c r="O10992" s="6" t="str">
        <f>HYPERLINK("https://pbs.twimg.com/profile_images/962471262747529216/Uo8lOkRJ_normal.jpg","View")</f>
        <v>View</v>
      </c>
      <c r="P10992" s="7"/>
    </row>
    <row r="10993" spans="1:16">
      <c r="A10993" s="3">
        <v>44122.852881944447</v>
      </c>
      <c r="B10993" s="4" t="str">
        <f>HYPERLINK("https://twitter.com/petrogustavo","@petrogustavo")</f>
        <v>@petrogustavo</v>
      </c>
      <c r="C10993" s="5" t="s">
        <v>16</v>
      </c>
      <c r="D10993" s="5" t="s">
        <v>10581</v>
      </c>
      <c r="E10993" s="6" t="str">
        <f>HYPERLINK("https://twitter.com/petrogustavo/status/1317842411587096577","1317842411587096577")</f>
        <v>1317842411587096577</v>
      </c>
      <c r="F10993" s="7" t="s">
        <v>17</v>
      </c>
      <c r="G10993" s="7">
        <v>3992567</v>
      </c>
      <c r="H10993" s="7">
        <v>2445</v>
      </c>
      <c r="I10993" s="7">
        <v>101</v>
      </c>
      <c r="J10993" s="7">
        <v>216</v>
      </c>
      <c r="K10993" s="7" t="s">
        <v>18</v>
      </c>
      <c r="L10993" s="8">
        <v>39987.315405092595</v>
      </c>
      <c r="M10993" s="9" t="s">
        <v>19</v>
      </c>
      <c r="N10993" s="9" t="s">
        <v>20</v>
      </c>
      <c r="O10993" s="6" t="str">
        <f>HYPERLINK("https://pbs.twimg.com/profile_images/962471262747529216/Uo8lOkRJ_normal.jpg","View")</f>
        <v>View</v>
      </c>
      <c r="P10993" s="7"/>
    </row>
    <row r="10994" spans="1:16">
      <c r="A10994" s="3">
        <v>44122.863263888888</v>
      </c>
      <c r="B10994" s="4" t="str">
        <f>HYPERLINK("https://twitter.com/petrogustavo","@petrogustavo")</f>
        <v>@petrogustavo</v>
      </c>
      <c r="C10994" s="5" t="s">
        <v>16</v>
      </c>
      <c r="D10994" s="5" t="s">
        <v>10582</v>
      </c>
      <c r="E10994" s="6" t="str">
        <f>HYPERLINK("https://twitter.com/petrogustavo/status/1317846173215084545","1317846173215084545")</f>
        <v>1317846173215084545</v>
      </c>
      <c r="F10994" s="7" t="s">
        <v>17</v>
      </c>
      <c r="G10994" s="7">
        <v>3992567</v>
      </c>
      <c r="H10994" s="7">
        <v>2445</v>
      </c>
      <c r="I10994" s="7">
        <v>42</v>
      </c>
      <c r="J10994" s="7">
        <v>69</v>
      </c>
      <c r="K10994" s="7" t="s">
        <v>18</v>
      </c>
      <c r="L10994" s="8">
        <v>39987.315405092595</v>
      </c>
      <c r="M10994" s="9" t="s">
        <v>19</v>
      </c>
      <c r="N10994" s="9" t="s">
        <v>20</v>
      </c>
      <c r="O10994" s="6" t="str">
        <f>HYPERLINK("https://pbs.twimg.com/profile_images/962471262747529216/Uo8lOkRJ_normal.jpg","View")</f>
        <v>View</v>
      </c>
      <c r="P10994" s="7"/>
    </row>
    <row r="10995" spans="1:16">
      <c r="A10995" s="3">
        <v>44122.877349537041</v>
      </c>
      <c r="B10995" s="4" t="str">
        <f>HYPERLINK("https://twitter.com/petrogustavo","@petrogustavo")</f>
        <v>@petrogustavo</v>
      </c>
      <c r="C10995" s="5" t="s">
        <v>16</v>
      </c>
      <c r="D10995" s="5" t="s">
        <v>10583</v>
      </c>
      <c r="E10995" s="6" t="str">
        <f>HYPERLINK("https://twitter.com/petrogustavo/status/1317851278706442240","1317851278706442240")</f>
        <v>1317851278706442240</v>
      </c>
      <c r="F10995" s="7" t="s">
        <v>17</v>
      </c>
      <c r="G10995" s="7">
        <v>3992589</v>
      </c>
      <c r="H10995" s="7">
        <v>2446</v>
      </c>
      <c r="I10995" s="7">
        <v>48</v>
      </c>
      <c r="J10995" s="7">
        <v>124</v>
      </c>
      <c r="K10995" s="7" t="s">
        <v>18</v>
      </c>
      <c r="L10995" s="8">
        <v>39987.315405092595</v>
      </c>
      <c r="M10995" s="9" t="s">
        <v>19</v>
      </c>
      <c r="N10995" s="9" t="s">
        <v>20</v>
      </c>
      <c r="O10995" s="6" t="str">
        <f>HYPERLINK("https://pbs.twimg.com/profile_images/962471262747529216/Uo8lOkRJ_normal.jpg","View")</f>
        <v>View</v>
      </c>
      <c r="P10995" s="7"/>
    </row>
    <row r="10996" spans="1:16">
      <c r="A10996" s="3">
        <v>44122.877511574072</v>
      </c>
      <c r="B10996" s="4" t="str">
        <f>HYPERLINK("https://twitter.com/petrogustavo","@petrogustavo")</f>
        <v>@petrogustavo</v>
      </c>
      <c r="C10996" s="5" t="s">
        <v>16</v>
      </c>
      <c r="D10996" s="5" t="s">
        <v>10584</v>
      </c>
      <c r="E10996" s="6" t="str">
        <f>HYPERLINK("https://twitter.com/petrogustavo/status/1317851335727980544","1317851335727980544")</f>
        <v>1317851335727980544</v>
      </c>
      <c r="F10996" s="7" t="s">
        <v>17</v>
      </c>
      <c r="G10996" s="7">
        <v>3992589</v>
      </c>
      <c r="H10996" s="7">
        <v>2446</v>
      </c>
      <c r="I10996" s="7">
        <v>104</v>
      </c>
      <c r="J10996" s="7">
        <v>0</v>
      </c>
      <c r="K10996" s="7" t="s">
        <v>18</v>
      </c>
      <c r="L10996" s="8">
        <v>39987.315405092595</v>
      </c>
      <c r="M10996" s="9" t="s">
        <v>19</v>
      </c>
      <c r="N10996" s="9" t="s">
        <v>20</v>
      </c>
      <c r="O10996" s="6" t="str">
        <f>HYPERLINK("https://pbs.twimg.com/profile_images/962471262747529216/Uo8lOkRJ_normal.jpg","View")</f>
        <v>View</v>
      </c>
      <c r="P10996" s="7"/>
    </row>
    <row r="10997" spans="1:16">
      <c r="A10997" s="3">
        <v>44122.877546296295</v>
      </c>
      <c r="B10997" s="4" t="str">
        <f>HYPERLINK("https://twitter.com/petrogustavo","@petrogustavo")</f>
        <v>@petrogustavo</v>
      </c>
      <c r="C10997" s="5" t="s">
        <v>16</v>
      </c>
      <c r="D10997" s="5" t="s">
        <v>10585</v>
      </c>
      <c r="E10997" s="6" t="str">
        <f>HYPERLINK("https://twitter.com/petrogustavo/status/1317851348684210176","1317851348684210176")</f>
        <v>1317851348684210176</v>
      </c>
      <c r="F10997" s="7" t="s">
        <v>17</v>
      </c>
      <c r="G10997" s="7">
        <v>3992589</v>
      </c>
      <c r="H10997" s="7">
        <v>2446</v>
      </c>
      <c r="I10997" s="7">
        <v>186</v>
      </c>
      <c r="J10997" s="7">
        <v>0</v>
      </c>
      <c r="K10997" s="7" t="s">
        <v>18</v>
      </c>
      <c r="L10997" s="8">
        <v>39987.315405092595</v>
      </c>
      <c r="M10997" s="9" t="s">
        <v>19</v>
      </c>
      <c r="N10997" s="9" t="s">
        <v>20</v>
      </c>
      <c r="O10997" s="6" t="str">
        <f>HYPERLINK("https://pbs.twimg.com/profile_images/962471262747529216/Uo8lOkRJ_normal.jpg","View")</f>
        <v>View</v>
      </c>
      <c r="P10997" s="7"/>
    </row>
    <row r="10998" spans="1:16">
      <c r="A10998" s="3">
        <v>44122.930312500001</v>
      </c>
      <c r="B10998" s="4" t="str">
        <f>HYPERLINK("https://twitter.com/petrogustavo","@petrogustavo")</f>
        <v>@petrogustavo</v>
      </c>
      <c r="C10998" s="5" t="s">
        <v>16</v>
      </c>
      <c r="D10998" s="5" t="s">
        <v>10586</v>
      </c>
      <c r="E10998" s="6" t="str">
        <f>HYPERLINK("https://twitter.com/petrogustavo/status/1317870469371076612","1317870469371076612")</f>
        <v>1317870469371076612</v>
      </c>
      <c r="F10998" s="7" t="s">
        <v>17</v>
      </c>
      <c r="G10998" s="7">
        <v>3992619</v>
      </c>
      <c r="H10998" s="7">
        <v>2445</v>
      </c>
      <c r="I10998" s="7">
        <v>255</v>
      </c>
      <c r="J10998" s="7">
        <v>433</v>
      </c>
      <c r="K10998" s="7" t="s">
        <v>18</v>
      </c>
      <c r="L10998" s="8">
        <v>39987.315405092595</v>
      </c>
      <c r="M10998" s="9" t="s">
        <v>19</v>
      </c>
      <c r="N10998" s="9" t="s">
        <v>20</v>
      </c>
      <c r="O10998" s="6" t="str">
        <f>HYPERLINK("https://pbs.twimg.com/profile_images/962471262747529216/Uo8lOkRJ_normal.jpg","View")</f>
        <v>View</v>
      </c>
      <c r="P10998" s="7"/>
    </row>
    <row r="10999" spans="1:16">
      <c r="A10999" s="3">
        <v>44122.960844907408</v>
      </c>
      <c r="B10999" s="4" t="str">
        <f>HYPERLINK("https://twitter.com/petrogustavo","@petrogustavo")</f>
        <v>@petrogustavo</v>
      </c>
      <c r="C10999" s="5" t="s">
        <v>16</v>
      </c>
      <c r="D10999" s="5" t="s">
        <v>10587</v>
      </c>
      <c r="E10999" s="6" t="str">
        <f>HYPERLINK("https://twitter.com/petrogustavo/status/1317881532711829506","1317881532711829506")</f>
        <v>1317881532711829506</v>
      </c>
      <c r="F10999" s="7" t="s">
        <v>17</v>
      </c>
      <c r="G10999" s="7">
        <v>3992633</v>
      </c>
      <c r="H10999" s="7">
        <v>2445</v>
      </c>
      <c r="I10999" s="7">
        <v>124</v>
      </c>
      <c r="J10999" s="7">
        <v>0</v>
      </c>
      <c r="K10999" s="7" t="s">
        <v>18</v>
      </c>
      <c r="L10999" s="8">
        <v>39987.315405092595</v>
      </c>
      <c r="M10999" s="9" t="s">
        <v>19</v>
      </c>
      <c r="N10999" s="9" t="s">
        <v>20</v>
      </c>
      <c r="O10999" s="6" t="str">
        <f>HYPERLINK("https://pbs.twimg.com/profile_images/962471262747529216/Uo8lOkRJ_normal.jpg","View")</f>
        <v>View</v>
      </c>
      <c r="P10999" s="7"/>
    </row>
    <row r="11000" spans="1:16">
      <c r="A11000" s="3">
        <v>44122.96229166667</v>
      </c>
      <c r="B11000" s="4" t="str">
        <f>HYPERLINK("https://twitter.com/petrogustavo","@petrogustavo")</f>
        <v>@petrogustavo</v>
      </c>
      <c r="C11000" s="5" t="s">
        <v>16</v>
      </c>
      <c r="D11000" s="5" t="s">
        <v>10588</v>
      </c>
      <c r="E11000" s="6" t="str">
        <f>HYPERLINK("https://twitter.com/petrogustavo/status/1317882060594417666","1317882060594417666")</f>
        <v>1317882060594417666</v>
      </c>
      <c r="F11000" s="7" t="s">
        <v>17</v>
      </c>
      <c r="G11000" s="7">
        <v>3992633</v>
      </c>
      <c r="H11000" s="7">
        <v>2445</v>
      </c>
      <c r="I11000" s="7">
        <v>87</v>
      </c>
      <c r="J11000" s="7">
        <v>0</v>
      </c>
      <c r="K11000" s="7" t="s">
        <v>18</v>
      </c>
      <c r="L11000" s="8">
        <v>39987.315405092595</v>
      </c>
      <c r="M11000" s="9" t="s">
        <v>19</v>
      </c>
      <c r="N11000" s="9" t="s">
        <v>20</v>
      </c>
      <c r="O11000" s="6" t="str">
        <f>HYPERLINK("https://pbs.twimg.com/profile_images/962471262747529216/Uo8lOkRJ_normal.jpg","View")</f>
        <v>View</v>
      </c>
      <c r="P11000" s="7"/>
    </row>
    <row r="11001" spans="1:16">
      <c r="A11001" s="3">
        <v>44122.963159722218</v>
      </c>
      <c r="B11001" s="4" t="str">
        <f>HYPERLINK("https://twitter.com/petrogustavo","@petrogustavo")</f>
        <v>@petrogustavo</v>
      </c>
      <c r="C11001" s="5" t="s">
        <v>16</v>
      </c>
      <c r="D11001" s="5" t="s">
        <v>10589</v>
      </c>
      <c r="E11001" s="6" t="str">
        <f>HYPERLINK("https://twitter.com/petrogustavo/status/1317882372910612483","1317882372910612483")</f>
        <v>1317882372910612483</v>
      </c>
      <c r="F11001" s="7" t="s">
        <v>17</v>
      </c>
      <c r="G11001" s="7">
        <v>3992633</v>
      </c>
      <c r="H11001" s="7">
        <v>2445</v>
      </c>
      <c r="I11001" s="7">
        <v>46</v>
      </c>
      <c r="J11001" s="7">
        <v>0</v>
      </c>
      <c r="K11001" s="7" t="s">
        <v>18</v>
      </c>
      <c r="L11001" s="8">
        <v>39987.315405092595</v>
      </c>
      <c r="M11001" s="9" t="s">
        <v>19</v>
      </c>
      <c r="N11001" s="9" t="s">
        <v>20</v>
      </c>
      <c r="O11001" s="6" t="str">
        <f>HYPERLINK("https://pbs.twimg.com/profile_images/962471262747529216/Uo8lOkRJ_normal.jpg","View")</f>
        <v>View</v>
      </c>
      <c r="P11001" s="7"/>
    </row>
    <row r="11002" spans="1:16">
      <c r="A11002" s="3">
        <v>44122.964374999996</v>
      </c>
      <c r="B11002" s="4" t="str">
        <f>HYPERLINK("https://twitter.com/petrogustavo","@petrogustavo")</f>
        <v>@petrogustavo</v>
      </c>
      <c r="C11002" s="5" t="s">
        <v>16</v>
      </c>
      <c r="D11002" s="5" t="s">
        <v>10590</v>
      </c>
      <c r="E11002" s="6" t="str">
        <f>HYPERLINK("https://twitter.com/petrogustavo/status/1317882814977757184","1317882814977757184")</f>
        <v>1317882814977757184</v>
      </c>
      <c r="F11002" s="7" t="s">
        <v>17</v>
      </c>
      <c r="G11002" s="7">
        <v>3992633</v>
      </c>
      <c r="H11002" s="7">
        <v>2445</v>
      </c>
      <c r="I11002" s="7">
        <v>62</v>
      </c>
      <c r="J11002" s="7">
        <v>0</v>
      </c>
      <c r="K11002" s="7" t="s">
        <v>18</v>
      </c>
      <c r="L11002" s="8">
        <v>39987.315405092595</v>
      </c>
      <c r="M11002" s="9" t="s">
        <v>19</v>
      </c>
      <c r="N11002" s="9" t="s">
        <v>20</v>
      </c>
      <c r="O11002" s="6" t="str">
        <f>HYPERLINK("https://pbs.twimg.com/profile_images/962471262747529216/Uo8lOkRJ_normal.jpg","View")</f>
        <v>View</v>
      </c>
      <c r="P11002" s="7"/>
    </row>
    <row r="11003" spans="1:16">
      <c r="A11003" s="3">
        <v>44122.97042824074</v>
      </c>
      <c r="B11003" s="4" t="str">
        <f>HYPERLINK("https://twitter.com/petrogustavo","@petrogustavo")</f>
        <v>@petrogustavo</v>
      </c>
      <c r="C11003" s="5" t="s">
        <v>16</v>
      </c>
      <c r="D11003" s="5" t="s">
        <v>10591</v>
      </c>
      <c r="E11003" s="6" t="str">
        <f>HYPERLINK("https://twitter.com/petrogustavo/status/1317885008556818440","1317885008556818440")</f>
        <v>1317885008556818440</v>
      </c>
      <c r="F11003" s="7" t="s">
        <v>17</v>
      </c>
      <c r="G11003" s="7">
        <v>3992633</v>
      </c>
      <c r="H11003" s="7">
        <v>2445</v>
      </c>
      <c r="I11003" s="7">
        <v>412</v>
      </c>
      <c r="J11003" s="7">
        <v>0</v>
      </c>
      <c r="K11003" s="7" t="s">
        <v>18</v>
      </c>
      <c r="L11003" s="8">
        <v>39987.315405092595</v>
      </c>
      <c r="M11003" s="9" t="s">
        <v>19</v>
      </c>
      <c r="N11003" s="9" t="s">
        <v>20</v>
      </c>
      <c r="O11003" s="6" t="str">
        <f>HYPERLINK("https://pbs.twimg.com/profile_images/962471262747529216/Uo8lOkRJ_normal.jpg","View")</f>
        <v>View</v>
      </c>
      <c r="P11003" s="7"/>
    </row>
    <row r="11004" spans="1:16">
      <c r="A11004" s="3">
        <v>44122.970625000002</v>
      </c>
      <c r="B11004" s="4" t="str">
        <f>HYPERLINK("https://twitter.com/petrogustavo","@petrogustavo")</f>
        <v>@petrogustavo</v>
      </c>
      <c r="C11004" s="5" t="s">
        <v>16</v>
      </c>
      <c r="D11004" s="5" t="s">
        <v>10584</v>
      </c>
      <c r="E11004" s="6" t="str">
        <f>HYPERLINK("https://twitter.com/petrogustavo/status/1317885079453093890","1317885079453093890")</f>
        <v>1317885079453093890</v>
      </c>
      <c r="F11004" s="7" t="s">
        <v>17</v>
      </c>
      <c r="G11004" s="7">
        <v>3992633</v>
      </c>
      <c r="H11004" s="7">
        <v>2445</v>
      </c>
      <c r="I11004" s="7">
        <v>208</v>
      </c>
      <c r="J11004" s="7">
        <v>0</v>
      </c>
      <c r="K11004" s="7" t="s">
        <v>18</v>
      </c>
      <c r="L11004" s="8">
        <v>39987.315405092595</v>
      </c>
      <c r="M11004" s="9" t="s">
        <v>19</v>
      </c>
      <c r="N11004" s="9" t="s">
        <v>20</v>
      </c>
      <c r="O11004" s="6" t="str">
        <f>HYPERLINK("https://pbs.twimg.com/profile_images/962471262747529216/Uo8lOkRJ_normal.jpg","View")</f>
        <v>View</v>
      </c>
      <c r="P11004" s="7"/>
    </row>
    <row r="11005" spans="1:16">
      <c r="A11005" s="3">
        <v>44122.970972222218</v>
      </c>
      <c r="B11005" s="4" t="str">
        <f>HYPERLINK("https://twitter.com/petrogustavo","@petrogustavo")</f>
        <v>@petrogustavo</v>
      </c>
      <c r="C11005" s="5" t="s">
        <v>16</v>
      </c>
      <c r="D11005" s="5" t="s">
        <v>10585</v>
      </c>
      <c r="E11005" s="6" t="str">
        <f>HYPERLINK("https://twitter.com/petrogustavo/status/1317885202543292417","1317885202543292417")</f>
        <v>1317885202543292417</v>
      </c>
      <c r="F11005" s="7" t="s">
        <v>17</v>
      </c>
      <c r="G11005" s="7">
        <v>3992633</v>
      </c>
      <c r="H11005" s="7">
        <v>2445</v>
      </c>
      <c r="I11005" s="7">
        <v>400</v>
      </c>
      <c r="J11005" s="7">
        <v>0</v>
      </c>
      <c r="K11005" s="7" t="s">
        <v>18</v>
      </c>
      <c r="L11005" s="8">
        <v>39987.315405092595</v>
      </c>
      <c r="M11005" s="9" t="s">
        <v>19</v>
      </c>
      <c r="N11005" s="9" t="s">
        <v>20</v>
      </c>
      <c r="O11005" s="6" t="str">
        <f>HYPERLINK("https://pbs.twimg.com/profile_images/962471262747529216/Uo8lOkRJ_normal.jpg","View")</f>
        <v>View</v>
      </c>
      <c r="P11005" s="7"/>
    </row>
    <row r="11006" spans="1:16">
      <c r="A11006" s="3">
        <v>44123.182141203702</v>
      </c>
      <c r="B11006" s="4" t="str">
        <f>HYPERLINK("https://twitter.com/petrogustavo","@petrogustavo")</f>
        <v>@petrogustavo</v>
      </c>
      <c r="C11006" s="5" t="s">
        <v>16</v>
      </c>
      <c r="D11006" s="5" t="s">
        <v>10592</v>
      </c>
      <c r="E11006" s="6" t="str">
        <f>HYPERLINK("https://twitter.com/petrogustavo/status/1317961727590436865","1317961727590436865")</f>
        <v>1317961727590436865</v>
      </c>
      <c r="F11006" s="7" t="s">
        <v>17</v>
      </c>
      <c r="G11006" s="7">
        <v>3992784</v>
      </c>
      <c r="H11006" s="7">
        <v>2446</v>
      </c>
      <c r="I11006" s="7">
        <v>60</v>
      </c>
      <c r="J11006" s="7">
        <v>165</v>
      </c>
      <c r="K11006" s="7" t="s">
        <v>18</v>
      </c>
      <c r="L11006" s="8">
        <v>39987.315405092595</v>
      </c>
      <c r="M11006" s="9" t="s">
        <v>19</v>
      </c>
      <c r="N11006" s="9" t="s">
        <v>20</v>
      </c>
      <c r="O11006" s="6" t="str">
        <f>HYPERLINK("https://pbs.twimg.com/profile_images/962471262747529216/Uo8lOkRJ_normal.jpg","View")</f>
        <v>View</v>
      </c>
      <c r="P11006" s="7"/>
    </row>
    <row r="11007" spans="1:16">
      <c r="A11007" s="3">
        <v>44123.182557870372</v>
      </c>
      <c r="B11007" s="4" t="str">
        <f>HYPERLINK("https://twitter.com/petrogustavo","@petrogustavo")</f>
        <v>@petrogustavo</v>
      </c>
      <c r="C11007" s="5" t="s">
        <v>16</v>
      </c>
      <c r="D11007" s="5" t="s">
        <v>10593</v>
      </c>
      <c r="E11007" s="6" t="str">
        <f>HYPERLINK("https://twitter.com/petrogustavo/status/1317961881005527042","1317961881005527042")</f>
        <v>1317961881005527042</v>
      </c>
      <c r="F11007" s="7" t="s">
        <v>17</v>
      </c>
      <c r="G11007" s="7">
        <v>3992784</v>
      </c>
      <c r="H11007" s="7">
        <v>2446</v>
      </c>
      <c r="I11007" s="7">
        <v>48</v>
      </c>
      <c r="J11007" s="7">
        <v>0</v>
      </c>
      <c r="K11007" s="7" t="s">
        <v>18</v>
      </c>
      <c r="L11007" s="8">
        <v>39987.315405092595</v>
      </c>
      <c r="M11007" s="9" t="s">
        <v>19</v>
      </c>
      <c r="N11007" s="9" t="s">
        <v>20</v>
      </c>
      <c r="O11007" s="6" t="str">
        <f>HYPERLINK("https://pbs.twimg.com/profile_images/962471262747529216/Uo8lOkRJ_normal.jpg","View")</f>
        <v>View</v>
      </c>
      <c r="P11007" s="7"/>
    </row>
    <row r="11008" spans="1:16">
      <c r="A11008" s="3">
        <v>44123.182662037041</v>
      </c>
      <c r="B11008" s="4" t="str">
        <f>HYPERLINK("https://twitter.com/petrogustavo","@petrogustavo")</f>
        <v>@petrogustavo</v>
      </c>
      <c r="C11008" s="5" t="s">
        <v>16</v>
      </c>
      <c r="D11008" s="5" t="s">
        <v>10594</v>
      </c>
      <c r="E11008" s="6" t="str">
        <f>HYPERLINK("https://twitter.com/petrogustavo/status/1317961918498410496","1317961918498410496")</f>
        <v>1317961918498410496</v>
      </c>
      <c r="F11008" s="7" t="s">
        <v>17</v>
      </c>
      <c r="G11008" s="7">
        <v>3992784</v>
      </c>
      <c r="H11008" s="7">
        <v>2446</v>
      </c>
      <c r="I11008" s="7">
        <v>159</v>
      </c>
      <c r="J11008" s="7">
        <v>0</v>
      </c>
      <c r="K11008" s="7" t="s">
        <v>18</v>
      </c>
      <c r="L11008" s="8">
        <v>39987.315405092595</v>
      </c>
      <c r="M11008" s="9" t="s">
        <v>19</v>
      </c>
      <c r="N11008" s="9" t="s">
        <v>20</v>
      </c>
      <c r="O11008" s="6" t="str">
        <f>HYPERLINK("https://pbs.twimg.com/profile_images/962471262747529216/Uo8lOkRJ_normal.jpg","View")</f>
        <v>View</v>
      </c>
      <c r="P11008" s="7"/>
    </row>
    <row r="11009" spans="1:16">
      <c r="A11009" s="3">
        <v>44123.182824074072</v>
      </c>
      <c r="B11009" s="4" t="str">
        <f>HYPERLINK("https://twitter.com/petrogustavo","@petrogustavo")</f>
        <v>@petrogustavo</v>
      </c>
      <c r="C11009" s="5" t="s">
        <v>16</v>
      </c>
      <c r="D11009" s="5" t="s">
        <v>10595</v>
      </c>
      <c r="E11009" s="6" t="str">
        <f>HYPERLINK("https://twitter.com/petrogustavo/status/1317961976539131905","1317961976539131905")</f>
        <v>1317961976539131905</v>
      </c>
      <c r="F11009" s="7" t="s">
        <v>17</v>
      </c>
      <c r="G11009" s="7">
        <v>3992784</v>
      </c>
      <c r="H11009" s="7">
        <v>2446</v>
      </c>
      <c r="I11009" s="7">
        <v>146</v>
      </c>
      <c r="J11009" s="7">
        <v>0</v>
      </c>
      <c r="K11009" s="7" t="s">
        <v>18</v>
      </c>
      <c r="L11009" s="8">
        <v>39987.315405092595</v>
      </c>
      <c r="M11009" s="9" t="s">
        <v>19</v>
      </c>
      <c r="N11009" s="9" t="s">
        <v>20</v>
      </c>
      <c r="O11009" s="6" t="str">
        <f>HYPERLINK("https://pbs.twimg.com/profile_images/962471262747529216/Uo8lOkRJ_normal.jpg","View")</f>
        <v>View</v>
      </c>
      <c r="P11009" s="7"/>
    </row>
    <row r="11010" spans="1:16">
      <c r="A11010" s="3">
        <v>44123.185532407406</v>
      </c>
      <c r="B11010" s="4" t="str">
        <f>HYPERLINK("https://twitter.com/petrogustavo","@petrogustavo")</f>
        <v>@petrogustavo</v>
      </c>
      <c r="C11010" s="5" t="s">
        <v>16</v>
      </c>
      <c r="D11010" s="5" t="s">
        <v>10596</v>
      </c>
      <c r="E11010" s="6" t="str">
        <f>HYPERLINK("https://twitter.com/petrogustavo/status/1317962958589276160","1317962958589276160")</f>
        <v>1317962958589276160</v>
      </c>
      <c r="F11010" s="7" t="s">
        <v>17</v>
      </c>
      <c r="G11010" s="7">
        <v>3992784</v>
      </c>
      <c r="H11010" s="7">
        <v>2446</v>
      </c>
      <c r="I11010" s="7">
        <v>159</v>
      </c>
      <c r="J11010" s="7">
        <v>540</v>
      </c>
      <c r="K11010" s="7" t="s">
        <v>18</v>
      </c>
      <c r="L11010" s="8">
        <v>39987.315405092595</v>
      </c>
      <c r="M11010" s="9" t="s">
        <v>19</v>
      </c>
      <c r="N11010" s="9" t="s">
        <v>20</v>
      </c>
      <c r="O11010" s="6" t="str">
        <f>HYPERLINK("https://pbs.twimg.com/profile_images/962471262747529216/Uo8lOkRJ_normal.jpg","View")</f>
        <v>View</v>
      </c>
      <c r="P11010" s="7"/>
    </row>
    <row r="11011" spans="1:16">
      <c r="A11011" s="3">
        <v>44123.188958333332</v>
      </c>
      <c r="B11011" s="4" t="str">
        <f>HYPERLINK("https://twitter.com/petrogustavo","@petrogustavo")</f>
        <v>@petrogustavo</v>
      </c>
      <c r="C11011" s="5" t="s">
        <v>16</v>
      </c>
      <c r="D11011" s="5" t="s">
        <v>10597</v>
      </c>
      <c r="E11011" s="6" t="str">
        <f>HYPERLINK("https://twitter.com/petrogustavo/status/1317964201739116544","1317964201739116544")</f>
        <v>1317964201739116544</v>
      </c>
      <c r="F11011" s="7" t="s">
        <v>17</v>
      </c>
      <c r="G11011" s="7">
        <v>3992784</v>
      </c>
      <c r="H11011" s="7">
        <v>2446</v>
      </c>
      <c r="I11011" s="7">
        <v>1710</v>
      </c>
      <c r="J11011" s="7">
        <v>0</v>
      </c>
      <c r="K11011" s="7" t="s">
        <v>18</v>
      </c>
      <c r="L11011" s="8">
        <v>39987.315405092595</v>
      </c>
      <c r="M11011" s="9" t="s">
        <v>19</v>
      </c>
      <c r="N11011" s="9" t="s">
        <v>20</v>
      </c>
      <c r="O11011" s="6" t="str">
        <f>HYPERLINK("https://pbs.twimg.com/profile_images/962471262747529216/Uo8lOkRJ_normal.jpg","View")</f>
        <v>View</v>
      </c>
      <c r="P11011" s="7"/>
    </row>
    <row r="11012" spans="1:16">
      <c r="A11012" s="3">
        <v>44123.225312499999</v>
      </c>
      <c r="B11012" s="4" t="str">
        <f>HYPERLINK("https://twitter.com/petrogustavo","@petrogustavo")</f>
        <v>@petrogustavo</v>
      </c>
      <c r="C11012" s="5" t="s">
        <v>16</v>
      </c>
      <c r="D11012" s="5" t="s">
        <v>10598</v>
      </c>
      <c r="E11012" s="6" t="str">
        <f>HYPERLINK("https://twitter.com/petrogustavo/status/1317977374605139970","1317977374605139970")</f>
        <v>1317977374605139970</v>
      </c>
      <c r="F11012" s="7" t="s">
        <v>32</v>
      </c>
      <c r="G11012" s="7">
        <v>3992817</v>
      </c>
      <c r="H11012" s="7">
        <v>2446</v>
      </c>
      <c r="I11012" s="7">
        <v>175</v>
      </c>
      <c r="J11012" s="7">
        <v>685</v>
      </c>
      <c r="K11012" s="7" t="s">
        <v>18</v>
      </c>
      <c r="L11012" s="8">
        <v>39987.315405092595</v>
      </c>
      <c r="M11012" s="9" t="s">
        <v>19</v>
      </c>
      <c r="N11012" s="9" t="s">
        <v>20</v>
      </c>
      <c r="O11012" s="6" t="str">
        <f>HYPERLINK("https://pbs.twimg.com/profile_images/962471262747529216/Uo8lOkRJ_normal.jpg","View")</f>
        <v>View</v>
      </c>
      <c r="P11012" s="7"/>
    </row>
    <row r="11013" spans="1:16">
      <c r="A11013" s="3">
        <v>44123.228692129633</v>
      </c>
      <c r="B11013" s="4" t="str">
        <f>HYPERLINK("https://twitter.com/petrogustavo","@petrogustavo")</f>
        <v>@petrogustavo</v>
      </c>
      <c r="C11013" s="5" t="s">
        <v>16</v>
      </c>
      <c r="D11013" s="5" t="s">
        <v>10599</v>
      </c>
      <c r="E11013" s="6" t="str">
        <f>HYPERLINK("https://twitter.com/petrogustavo/status/1317978598461050881","1317978598461050881")</f>
        <v>1317978598461050881</v>
      </c>
      <c r="F11013" s="7" t="s">
        <v>32</v>
      </c>
      <c r="G11013" s="7">
        <v>3992817</v>
      </c>
      <c r="H11013" s="7">
        <v>2446</v>
      </c>
      <c r="I11013" s="7">
        <v>171</v>
      </c>
      <c r="J11013" s="7">
        <v>538</v>
      </c>
      <c r="K11013" s="7" t="s">
        <v>18</v>
      </c>
      <c r="L11013" s="8">
        <v>39987.315405092595</v>
      </c>
      <c r="M11013" s="9" t="s">
        <v>19</v>
      </c>
      <c r="N11013" s="9" t="s">
        <v>20</v>
      </c>
      <c r="O11013" s="6" t="str">
        <f>HYPERLINK("https://pbs.twimg.com/profile_images/962471262747529216/Uo8lOkRJ_normal.jpg","View")</f>
        <v>View</v>
      </c>
      <c r="P11013" s="7"/>
    </row>
    <row r="11014" spans="1:16">
      <c r="A11014" s="3">
        <v>44123.23373842593</v>
      </c>
      <c r="B11014" s="4" t="str">
        <f>HYPERLINK("https://twitter.com/petrogustavo","@petrogustavo")</f>
        <v>@petrogustavo</v>
      </c>
      <c r="C11014" s="5" t="s">
        <v>16</v>
      </c>
      <c r="D11014" s="5" t="s">
        <v>10600</v>
      </c>
      <c r="E11014" s="6" t="str">
        <f>HYPERLINK("https://twitter.com/petrogustavo/status/1317980425952792577","1317980425952792577")</f>
        <v>1317980425952792577</v>
      </c>
      <c r="F11014" s="7" t="s">
        <v>22</v>
      </c>
      <c r="G11014" s="7">
        <v>3992817</v>
      </c>
      <c r="H11014" s="7">
        <v>2446</v>
      </c>
      <c r="I11014" s="7">
        <v>62</v>
      </c>
      <c r="J11014" s="7">
        <v>132</v>
      </c>
      <c r="K11014" s="7" t="s">
        <v>18</v>
      </c>
      <c r="L11014" s="8">
        <v>39987.315405092595</v>
      </c>
      <c r="M11014" s="9" t="s">
        <v>19</v>
      </c>
      <c r="N11014" s="9" t="s">
        <v>20</v>
      </c>
      <c r="O11014" s="6" t="str">
        <f>HYPERLINK("https://pbs.twimg.com/profile_images/962471262747529216/Uo8lOkRJ_normal.jpg","View")</f>
        <v>View</v>
      </c>
      <c r="P11014" s="7"/>
    </row>
    <row r="11015" spans="1:16">
      <c r="A11015" s="3">
        <v>44123.24836805556</v>
      </c>
      <c r="B11015" s="4" t="str">
        <f>HYPERLINK("https://twitter.com/petrogustavo","@petrogustavo")</f>
        <v>@petrogustavo</v>
      </c>
      <c r="C11015" s="5" t="s">
        <v>16</v>
      </c>
      <c r="D11015" s="5" t="s">
        <v>10601</v>
      </c>
      <c r="E11015" s="6" t="str">
        <f>HYPERLINK("https://twitter.com/petrogustavo/status/1317985727754416128","1317985727754416128")</f>
        <v>1317985727754416128</v>
      </c>
      <c r="F11015" s="7" t="s">
        <v>32</v>
      </c>
      <c r="G11015" s="7">
        <v>3992832</v>
      </c>
      <c r="H11015" s="7">
        <v>2446</v>
      </c>
      <c r="I11015" s="7">
        <v>140</v>
      </c>
      <c r="J11015" s="7">
        <v>0</v>
      </c>
      <c r="K11015" s="7" t="s">
        <v>18</v>
      </c>
      <c r="L11015" s="8">
        <v>39987.315405092595</v>
      </c>
      <c r="M11015" s="9" t="s">
        <v>19</v>
      </c>
      <c r="N11015" s="9" t="s">
        <v>20</v>
      </c>
      <c r="O11015" s="6" t="str">
        <f>HYPERLINK("https://pbs.twimg.com/profile_images/962471262747529216/Uo8lOkRJ_normal.jpg","View")</f>
        <v>View</v>
      </c>
      <c r="P11015" s="7"/>
    </row>
    <row r="11016" spans="1:16">
      <c r="A11016" s="3">
        <v>44123.349120370374</v>
      </c>
      <c r="B11016" s="4" t="str">
        <f>HYPERLINK("https://twitter.com/petrogustavo","@petrogustavo")</f>
        <v>@petrogustavo</v>
      </c>
      <c r="C11016" s="5" t="s">
        <v>16</v>
      </c>
      <c r="D11016" s="5" t="s">
        <v>10602</v>
      </c>
      <c r="E11016" s="6" t="str">
        <f>HYPERLINK("https://twitter.com/petrogustavo/status/1318022241230196736","1318022241230196736")</f>
        <v>1318022241230196736</v>
      </c>
      <c r="F11016" s="7" t="s">
        <v>32</v>
      </c>
      <c r="G11016" s="7">
        <v>3992950</v>
      </c>
      <c r="H11016" s="7">
        <v>2446</v>
      </c>
      <c r="I11016" s="7">
        <v>626</v>
      </c>
      <c r="J11016" s="7">
        <v>0</v>
      </c>
      <c r="K11016" s="7" t="s">
        <v>18</v>
      </c>
      <c r="L11016" s="8">
        <v>39987.315405092595</v>
      </c>
      <c r="M11016" s="9" t="s">
        <v>19</v>
      </c>
      <c r="N11016" s="9" t="s">
        <v>20</v>
      </c>
      <c r="O11016" s="6" t="str">
        <f>HYPERLINK("https://pbs.twimg.com/profile_images/962471262747529216/Uo8lOkRJ_normal.jpg","View")</f>
        <v>View</v>
      </c>
      <c r="P11016" s="7"/>
    </row>
    <row r="11017" spans="1:16">
      <c r="A11017" s="3">
        <v>44123.349548611106</v>
      </c>
      <c r="B11017" s="4" t="str">
        <f>HYPERLINK("https://twitter.com/petrogustavo","@petrogustavo")</f>
        <v>@petrogustavo</v>
      </c>
      <c r="C11017" s="5" t="s">
        <v>16</v>
      </c>
      <c r="D11017" s="5" t="s">
        <v>10603</v>
      </c>
      <c r="E11017" s="6" t="str">
        <f>HYPERLINK("https://twitter.com/petrogustavo/status/1318022394557157378","1318022394557157378")</f>
        <v>1318022394557157378</v>
      </c>
      <c r="F11017" s="7" t="s">
        <v>32</v>
      </c>
      <c r="G11017" s="7">
        <v>3992950</v>
      </c>
      <c r="H11017" s="7">
        <v>2446</v>
      </c>
      <c r="I11017" s="7">
        <v>190</v>
      </c>
      <c r="J11017" s="7">
        <v>0</v>
      </c>
      <c r="K11017" s="7" t="s">
        <v>18</v>
      </c>
      <c r="L11017" s="8">
        <v>39987.315405092595</v>
      </c>
      <c r="M11017" s="9" t="s">
        <v>19</v>
      </c>
      <c r="N11017" s="9" t="s">
        <v>20</v>
      </c>
      <c r="O11017" s="6" t="str">
        <f>HYPERLINK("https://pbs.twimg.com/profile_images/962471262747529216/Uo8lOkRJ_normal.jpg","View")</f>
        <v>View</v>
      </c>
      <c r="P11017" s="7"/>
    </row>
    <row r="11018" spans="1:16">
      <c r="A11018" s="3">
        <v>44123.349756944444</v>
      </c>
      <c r="B11018" s="4" t="str">
        <f>HYPERLINK("https://twitter.com/petrogustavo","@petrogustavo")</f>
        <v>@petrogustavo</v>
      </c>
      <c r="C11018" s="5" t="s">
        <v>16</v>
      </c>
      <c r="D11018" s="5" t="s">
        <v>10604</v>
      </c>
      <c r="E11018" s="6" t="str">
        <f>HYPERLINK("https://twitter.com/petrogustavo/status/1318022470536974343","1318022470536974343")</f>
        <v>1318022470536974343</v>
      </c>
      <c r="F11018" s="7" t="s">
        <v>32</v>
      </c>
      <c r="G11018" s="7">
        <v>3992950</v>
      </c>
      <c r="H11018" s="7">
        <v>2446</v>
      </c>
      <c r="I11018" s="7">
        <v>113</v>
      </c>
      <c r="J11018" s="7">
        <v>0</v>
      </c>
      <c r="K11018" s="7" t="s">
        <v>18</v>
      </c>
      <c r="L11018" s="8">
        <v>39987.315405092595</v>
      </c>
      <c r="M11018" s="9" t="s">
        <v>19</v>
      </c>
      <c r="N11018" s="9" t="s">
        <v>20</v>
      </c>
      <c r="O11018" s="6" t="str">
        <f>HYPERLINK("https://pbs.twimg.com/profile_images/962471262747529216/Uo8lOkRJ_normal.jpg","View")</f>
        <v>View</v>
      </c>
      <c r="P11018" s="7"/>
    </row>
    <row r="11019" spans="1:16">
      <c r="A11019" s="3">
        <v>44123.350428240738</v>
      </c>
      <c r="B11019" s="4" t="str">
        <f>HYPERLINK("https://twitter.com/petrogustavo","@petrogustavo")</f>
        <v>@petrogustavo</v>
      </c>
      <c r="C11019" s="5" t="s">
        <v>16</v>
      </c>
      <c r="D11019" s="5" t="s">
        <v>10605</v>
      </c>
      <c r="E11019" s="6" t="str">
        <f>HYPERLINK("https://twitter.com/petrogustavo/status/1318022713492078593","1318022713492078593")</f>
        <v>1318022713492078593</v>
      </c>
      <c r="F11019" s="7" t="s">
        <v>32</v>
      </c>
      <c r="G11019" s="7">
        <v>3992950</v>
      </c>
      <c r="H11019" s="7">
        <v>2446</v>
      </c>
      <c r="I11019" s="7">
        <v>621</v>
      </c>
      <c r="J11019" s="7">
        <v>788</v>
      </c>
      <c r="K11019" s="7" t="s">
        <v>18</v>
      </c>
      <c r="L11019" s="8">
        <v>39987.315405092595</v>
      </c>
      <c r="M11019" s="9" t="s">
        <v>19</v>
      </c>
      <c r="N11019" s="9" t="s">
        <v>20</v>
      </c>
      <c r="O11019" s="6" t="str">
        <f>HYPERLINK("https://pbs.twimg.com/profile_images/962471262747529216/Uo8lOkRJ_normal.jpg","View")</f>
        <v>View</v>
      </c>
      <c r="P11019" s="7"/>
    </row>
    <row r="11020" spans="1:16">
      <c r="A11020" s="3">
        <v>44123.353171296301</v>
      </c>
      <c r="B11020" s="4" t="str">
        <f>HYPERLINK("https://twitter.com/petrogustavo","@petrogustavo")</f>
        <v>@petrogustavo</v>
      </c>
      <c r="C11020" s="5" t="s">
        <v>16</v>
      </c>
      <c r="D11020" s="5" t="s">
        <v>10606</v>
      </c>
      <c r="E11020" s="6" t="str">
        <f>HYPERLINK("https://twitter.com/petrogustavo/status/1318023707336507392","1318023707336507392")</f>
        <v>1318023707336507392</v>
      </c>
      <c r="F11020" s="7" t="s">
        <v>32</v>
      </c>
      <c r="G11020" s="7">
        <v>3992950</v>
      </c>
      <c r="H11020" s="7">
        <v>2446</v>
      </c>
      <c r="I11020" s="7">
        <v>682</v>
      </c>
      <c r="J11020" s="7">
        <v>0</v>
      </c>
      <c r="K11020" s="7" t="s">
        <v>18</v>
      </c>
      <c r="L11020" s="8">
        <v>39987.315405092595</v>
      </c>
      <c r="M11020" s="9" t="s">
        <v>19</v>
      </c>
      <c r="N11020" s="9" t="s">
        <v>20</v>
      </c>
      <c r="O11020" s="6" t="str">
        <f>HYPERLINK("https://pbs.twimg.com/profile_images/962471262747529216/Uo8lOkRJ_normal.jpg","View")</f>
        <v>View</v>
      </c>
      <c r="P11020" s="7"/>
    </row>
    <row r="11021" spans="1:16">
      <c r="A11021" s="3">
        <v>44123.354398148149</v>
      </c>
      <c r="B11021" s="4" t="str">
        <f>HYPERLINK("https://twitter.com/petrogustavo","@petrogustavo")</f>
        <v>@petrogustavo</v>
      </c>
      <c r="C11021" s="5" t="s">
        <v>16</v>
      </c>
      <c r="D11021" s="5" t="s">
        <v>10607</v>
      </c>
      <c r="E11021" s="6" t="str">
        <f>HYPERLINK("https://twitter.com/petrogustavo/status/1318024154604556288","1318024154604556288")</f>
        <v>1318024154604556288</v>
      </c>
      <c r="F11021" s="7" t="s">
        <v>32</v>
      </c>
      <c r="G11021" s="7">
        <v>3992950</v>
      </c>
      <c r="H11021" s="7">
        <v>2446</v>
      </c>
      <c r="I11021" s="7">
        <v>4985</v>
      </c>
      <c r="J11021" s="7">
        <v>0</v>
      </c>
      <c r="K11021" s="7" t="s">
        <v>18</v>
      </c>
      <c r="L11021" s="8">
        <v>39987.315405092595</v>
      </c>
      <c r="M11021" s="9" t="s">
        <v>19</v>
      </c>
      <c r="N11021" s="9" t="s">
        <v>20</v>
      </c>
      <c r="O11021" s="6" t="str">
        <f>HYPERLINK("https://pbs.twimg.com/profile_images/962471262747529216/Uo8lOkRJ_normal.jpg","View")</f>
        <v>View</v>
      </c>
      <c r="P11021" s="7"/>
    </row>
    <row r="11022" spans="1:16">
      <c r="A11022" s="3">
        <v>44123.356932870374</v>
      </c>
      <c r="B11022" s="4" t="str">
        <f>HYPERLINK("https://twitter.com/petrogustavo","@petrogustavo")</f>
        <v>@petrogustavo</v>
      </c>
      <c r="C11022" s="5" t="s">
        <v>16</v>
      </c>
      <c r="D11022" s="5" t="s">
        <v>10608</v>
      </c>
      <c r="E11022" s="6" t="str">
        <f>HYPERLINK("https://twitter.com/petrogustavo/status/1318025072850964480","1318025072850964480")</f>
        <v>1318025072850964480</v>
      </c>
      <c r="F11022" s="7" t="s">
        <v>32</v>
      </c>
      <c r="G11022" s="7">
        <v>3992950</v>
      </c>
      <c r="H11022" s="7">
        <v>2446</v>
      </c>
      <c r="I11022" s="7">
        <v>40</v>
      </c>
      <c r="J11022" s="7">
        <v>0</v>
      </c>
      <c r="K11022" s="7" t="s">
        <v>18</v>
      </c>
      <c r="L11022" s="8">
        <v>39987.315405092595</v>
      </c>
      <c r="M11022" s="9" t="s">
        <v>19</v>
      </c>
      <c r="N11022" s="9" t="s">
        <v>20</v>
      </c>
      <c r="O11022" s="6" t="str">
        <f>HYPERLINK("https://pbs.twimg.com/profile_images/962471262747529216/Uo8lOkRJ_normal.jpg","View")</f>
        <v>View</v>
      </c>
      <c r="P11022" s="7"/>
    </row>
    <row r="11023" spans="1:16">
      <c r="A11023" s="3">
        <v>44123.3591087963</v>
      </c>
      <c r="B11023" s="4" t="str">
        <f>HYPERLINK("https://twitter.com/petrogustavo","@petrogustavo")</f>
        <v>@petrogustavo</v>
      </c>
      <c r="C11023" s="5" t="s">
        <v>16</v>
      </c>
      <c r="D11023" s="5" t="s">
        <v>10609</v>
      </c>
      <c r="E11023" s="6" t="str">
        <f>HYPERLINK("https://twitter.com/petrogustavo/status/1318025859366871040","1318025859366871040")</f>
        <v>1318025859366871040</v>
      </c>
      <c r="F11023" s="7" t="s">
        <v>32</v>
      </c>
      <c r="G11023" s="7">
        <v>3992950</v>
      </c>
      <c r="H11023" s="7">
        <v>2446</v>
      </c>
      <c r="I11023" s="7">
        <v>186</v>
      </c>
      <c r="J11023" s="7">
        <v>0</v>
      </c>
      <c r="K11023" s="7" t="s">
        <v>18</v>
      </c>
      <c r="L11023" s="8">
        <v>39987.315405092595</v>
      </c>
      <c r="M11023" s="9" t="s">
        <v>19</v>
      </c>
      <c r="N11023" s="9" t="s">
        <v>20</v>
      </c>
      <c r="O11023" s="6" t="str">
        <f>HYPERLINK("https://pbs.twimg.com/profile_images/962471262747529216/Uo8lOkRJ_normal.jpg","View")</f>
        <v>View</v>
      </c>
      <c r="P11023" s="7"/>
    </row>
    <row r="11024" spans="1:16">
      <c r="A11024" s="3">
        <v>44123.359988425931</v>
      </c>
      <c r="B11024" s="4" t="str">
        <f>HYPERLINK("https://twitter.com/petrogustavo","@petrogustavo")</f>
        <v>@petrogustavo</v>
      </c>
      <c r="C11024" s="5" t="s">
        <v>16</v>
      </c>
      <c r="D11024" s="5" t="s">
        <v>10610</v>
      </c>
      <c r="E11024" s="6" t="str">
        <f>HYPERLINK("https://twitter.com/petrogustavo/status/1318026179052474368","1318026179052474368")</f>
        <v>1318026179052474368</v>
      </c>
      <c r="F11024" s="7" t="s">
        <v>32</v>
      </c>
      <c r="G11024" s="7">
        <v>3992950</v>
      </c>
      <c r="H11024" s="7">
        <v>2446</v>
      </c>
      <c r="I11024" s="7">
        <v>268</v>
      </c>
      <c r="J11024" s="7">
        <v>480</v>
      </c>
      <c r="K11024" s="7" t="s">
        <v>18</v>
      </c>
      <c r="L11024" s="8">
        <v>39987.315405092595</v>
      </c>
      <c r="M11024" s="9" t="s">
        <v>19</v>
      </c>
      <c r="N11024" s="9" t="s">
        <v>20</v>
      </c>
      <c r="O11024" s="6" t="str">
        <f>HYPERLINK("https://pbs.twimg.com/profile_images/962471262747529216/Uo8lOkRJ_normal.jpg","View")</f>
        <v>View</v>
      </c>
      <c r="P11024" s="7"/>
    </row>
    <row r="11025" spans="1:16">
      <c r="A11025" s="3">
        <v>44123.36273148148</v>
      </c>
      <c r="B11025" s="4" t="str">
        <f>HYPERLINK("https://twitter.com/petrogustavo","@petrogustavo")</f>
        <v>@petrogustavo</v>
      </c>
      <c r="C11025" s="5" t="s">
        <v>16</v>
      </c>
      <c r="D11025" s="5" t="s">
        <v>10611</v>
      </c>
      <c r="E11025" s="6" t="str">
        <f>HYPERLINK("https://twitter.com/petrogustavo/status/1318027174637600770","1318027174637600770")</f>
        <v>1318027174637600770</v>
      </c>
      <c r="F11025" s="7" t="s">
        <v>32</v>
      </c>
      <c r="G11025" s="7">
        <v>3992950</v>
      </c>
      <c r="H11025" s="7">
        <v>2446</v>
      </c>
      <c r="I11025" s="7">
        <v>764</v>
      </c>
      <c r="J11025" s="7">
        <v>0</v>
      </c>
      <c r="K11025" s="7" t="s">
        <v>18</v>
      </c>
      <c r="L11025" s="8">
        <v>39987.315405092595</v>
      </c>
      <c r="M11025" s="9" t="s">
        <v>19</v>
      </c>
      <c r="N11025" s="9" t="s">
        <v>20</v>
      </c>
      <c r="O11025" s="6" t="str">
        <f>HYPERLINK("https://pbs.twimg.com/profile_images/962471262747529216/Uo8lOkRJ_normal.jpg","View")</f>
        <v>View</v>
      </c>
      <c r="P11025" s="7"/>
    </row>
    <row r="11026" spans="1:16">
      <c r="A11026" s="3">
        <v>44123.368923611109</v>
      </c>
      <c r="B11026" s="4" t="str">
        <f>HYPERLINK("https://twitter.com/petrogustavo","@petrogustavo")</f>
        <v>@petrogustavo</v>
      </c>
      <c r="C11026" s="5" t="s">
        <v>16</v>
      </c>
      <c r="D11026" s="5" t="s">
        <v>10612</v>
      </c>
      <c r="E11026" s="6" t="str">
        <f>HYPERLINK("https://twitter.com/petrogustavo/status/1318029418649079809","1318029418649079809")</f>
        <v>1318029418649079809</v>
      </c>
      <c r="F11026" s="7" t="s">
        <v>32</v>
      </c>
      <c r="G11026" s="7">
        <v>3992968</v>
      </c>
      <c r="H11026" s="7">
        <v>2446</v>
      </c>
      <c r="I11026" s="7">
        <v>123</v>
      </c>
      <c r="J11026" s="7">
        <v>0</v>
      </c>
      <c r="K11026" s="7" t="s">
        <v>18</v>
      </c>
      <c r="L11026" s="8">
        <v>39987.315405092595</v>
      </c>
      <c r="M11026" s="9" t="s">
        <v>19</v>
      </c>
      <c r="N11026" s="9" t="s">
        <v>20</v>
      </c>
      <c r="O11026" s="6" t="str">
        <f>HYPERLINK("https://pbs.twimg.com/profile_images/962471262747529216/Uo8lOkRJ_normal.jpg","View")</f>
        <v>View</v>
      </c>
      <c r="P11026" s="7"/>
    </row>
    <row r="11027" spans="1:16">
      <c r="A11027" s="3">
        <v>44123.36918981481</v>
      </c>
      <c r="B11027" s="4" t="str">
        <f>HYPERLINK("https://twitter.com/petrogustavo","@petrogustavo")</f>
        <v>@petrogustavo</v>
      </c>
      <c r="C11027" s="5" t="s">
        <v>16</v>
      </c>
      <c r="D11027" s="5" t="s">
        <v>10613</v>
      </c>
      <c r="E11027" s="6" t="str">
        <f>HYPERLINK("https://twitter.com/petrogustavo/status/1318029514207789057","1318029514207789057")</f>
        <v>1318029514207789057</v>
      </c>
      <c r="F11027" s="7" t="s">
        <v>32</v>
      </c>
      <c r="G11027" s="7">
        <v>3992968</v>
      </c>
      <c r="H11027" s="7">
        <v>2446</v>
      </c>
      <c r="I11027" s="7">
        <v>245</v>
      </c>
      <c r="J11027" s="7">
        <v>0</v>
      </c>
      <c r="K11027" s="7" t="s">
        <v>18</v>
      </c>
      <c r="L11027" s="8">
        <v>39987.315405092595</v>
      </c>
      <c r="M11027" s="9" t="s">
        <v>19</v>
      </c>
      <c r="N11027" s="9" t="s">
        <v>20</v>
      </c>
      <c r="O11027" s="6" t="str">
        <f>HYPERLINK("https://pbs.twimg.com/profile_images/962471262747529216/Uo8lOkRJ_normal.jpg","View")</f>
        <v>View</v>
      </c>
      <c r="P11027" s="7"/>
    </row>
    <row r="11028" spans="1:16">
      <c r="A11028" s="3">
        <v>44123.369432870371</v>
      </c>
      <c r="B11028" s="4" t="str">
        <f>HYPERLINK("https://twitter.com/petrogustavo","@petrogustavo")</f>
        <v>@petrogustavo</v>
      </c>
      <c r="C11028" s="5" t="s">
        <v>16</v>
      </c>
      <c r="D11028" s="5" t="s">
        <v>10614</v>
      </c>
      <c r="E11028" s="6" t="str">
        <f>HYPERLINK("https://twitter.com/petrogustavo/status/1318029602112102400","1318029602112102400")</f>
        <v>1318029602112102400</v>
      </c>
      <c r="F11028" s="7" t="s">
        <v>32</v>
      </c>
      <c r="G11028" s="7">
        <v>3992968</v>
      </c>
      <c r="H11028" s="7">
        <v>2446</v>
      </c>
      <c r="I11028" s="7">
        <v>231</v>
      </c>
      <c r="J11028" s="7">
        <v>0</v>
      </c>
      <c r="K11028" s="7" t="s">
        <v>18</v>
      </c>
      <c r="L11028" s="8">
        <v>39987.315405092595</v>
      </c>
      <c r="M11028" s="9" t="s">
        <v>19</v>
      </c>
      <c r="N11028" s="9" t="s">
        <v>20</v>
      </c>
      <c r="O11028" s="6" t="str">
        <f>HYPERLINK("https://pbs.twimg.com/profile_images/962471262747529216/Uo8lOkRJ_normal.jpg","View")</f>
        <v>View</v>
      </c>
      <c r="P11028" s="7"/>
    </row>
    <row r="11029" spans="1:16">
      <c r="A11029" s="3">
        <v>44123.374699074076</v>
      </c>
      <c r="B11029" s="4" t="str">
        <f>HYPERLINK("https://twitter.com/petrogustavo","@petrogustavo")</f>
        <v>@petrogustavo</v>
      </c>
      <c r="C11029" s="5" t="s">
        <v>16</v>
      </c>
      <c r="D11029" s="5" t="s">
        <v>10615</v>
      </c>
      <c r="E11029" s="6" t="str">
        <f>HYPERLINK("https://twitter.com/petrogustavo/status/1318031509333442560","1318031509333442560")</f>
        <v>1318031509333442560</v>
      </c>
      <c r="F11029" s="7" t="s">
        <v>32</v>
      </c>
      <c r="G11029" s="7">
        <v>3992968</v>
      </c>
      <c r="H11029" s="7">
        <v>2446</v>
      </c>
      <c r="I11029" s="7">
        <v>717</v>
      </c>
      <c r="J11029" s="7">
        <v>0</v>
      </c>
      <c r="K11029" s="7" t="s">
        <v>18</v>
      </c>
      <c r="L11029" s="8">
        <v>39987.315405092595</v>
      </c>
      <c r="M11029" s="9" t="s">
        <v>19</v>
      </c>
      <c r="N11029" s="9" t="s">
        <v>20</v>
      </c>
      <c r="O11029" s="6" t="str">
        <f>HYPERLINK("https://pbs.twimg.com/profile_images/962471262747529216/Uo8lOkRJ_normal.jpg","View")</f>
        <v>View</v>
      </c>
      <c r="P11029" s="7"/>
    </row>
    <row r="11030" spans="1:16">
      <c r="A11030" s="3">
        <v>44123.73646990741</v>
      </c>
      <c r="B11030" s="4" t="str">
        <f>HYPERLINK("https://twitter.com/petrogustavo","@petrogustavo")</f>
        <v>@petrogustavo</v>
      </c>
      <c r="C11030" s="5" t="s">
        <v>16</v>
      </c>
      <c r="D11030" s="5" t="s">
        <v>10616</v>
      </c>
      <c r="E11030" s="6" t="str">
        <f>HYPERLINK("https://twitter.com/petrogustavo/status/1318162612866191361","1318162612866191361")</f>
        <v>1318162612866191361</v>
      </c>
      <c r="F11030" s="7" t="s">
        <v>17</v>
      </c>
      <c r="G11030" s="7">
        <v>3993053</v>
      </c>
      <c r="H11030" s="7">
        <v>2446</v>
      </c>
      <c r="I11030" s="7">
        <v>59</v>
      </c>
      <c r="J11030" s="7">
        <v>177</v>
      </c>
      <c r="K11030" s="7" t="s">
        <v>18</v>
      </c>
      <c r="L11030" s="8">
        <v>39987.315405092595</v>
      </c>
      <c r="M11030" s="9" t="s">
        <v>19</v>
      </c>
      <c r="N11030" s="9" t="s">
        <v>20</v>
      </c>
      <c r="O11030" s="6" t="str">
        <f>HYPERLINK("https://pbs.twimg.com/profile_images/962471262747529216/Uo8lOkRJ_normal.jpg","View")</f>
        <v>View</v>
      </c>
      <c r="P11030" s="7"/>
    </row>
    <row r="11031" spans="1:16">
      <c r="A11031" s="3">
        <v>44123.737268518518</v>
      </c>
      <c r="B11031" s="4" t="str">
        <f>HYPERLINK("https://twitter.com/petrogustavo","@petrogustavo")</f>
        <v>@petrogustavo</v>
      </c>
      <c r="C11031" s="5" t="s">
        <v>16</v>
      </c>
      <c r="D11031" s="5" t="s">
        <v>10617</v>
      </c>
      <c r="E11031" s="6" t="str">
        <f>HYPERLINK("https://twitter.com/petrogustavo/status/1318162901945978880","1318162901945978880")</f>
        <v>1318162901945978880</v>
      </c>
      <c r="F11031" s="7" t="s">
        <v>17</v>
      </c>
      <c r="G11031" s="7">
        <v>3993053</v>
      </c>
      <c r="H11031" s="7">
        <v>2446</v>
      </c>
      <c r="I11031" s="7">
        <v>332</v>
      </c>
      <c r="J11031" s="7">
        <v>0</v>
      </c>
      <c r="K11031" s="7" t="s">
        <v>18</v>
      </c>
      <c r="L11031" s="8">
        <v>39987.315405092595</v>
      </c>
      <c r="M11031" s="9" t="s">
        <v>19</v>
      </c>
      <c r="N11031" s="9" t="s">
        <v>20</v>
      </c>
      <c r="O11031" s="6" t="str">
        <f>HYPERLINK("https://pbs.twimg.com/profile_images/962471262747529216/Uo8lOkRJ_normal.jpg","View")</f>
        <v>View</v>
      </c>
      <c r="P11031" s="7"/>
    </row>
    <row r="11032" spans="1:16">
      <c r="A11032" s="3">
        <v>44123.740925925929</v>
      </c>
      <c r="B11032" s="4" t="str">
        <f>HYPERLINK("https://twitter.com/petrogustavo","@petrogustavo")</f>
        <v>@petrogustavo</v>
      </c>
      <c r="C11032" s="5" t="s">
        <v>16</v>
      </c>
      <c r="D11032" s="5" t="s">
        <v>10618</v>
      </c>
      <c r="E11032" s="6" t="str">
        <f>HYPERLINK("https://twitter.com/petrogustavo/status/1318164224913321985","1318164224913321985")</f>
        <v>1318164224913321985</v>
      </c>
      <c r="F11032" s="7" t="s">
        <v>17</v>
      </c>
      <c r="G11032" s="7">
        <v>3993053</v>
      </c>
      <c r="H11032" s="7">
        <v>2446</v>
      </c>
      <c r="I11032" s="7">
        <v>5</v>
      </c>
      <c r="J11032" s="7">
        <v>8</v>
      </c>
      <c r="K11032" s="7" t="s">
        <v>18</v>
      </c>
      <c r="L11032" s="8">
        <v>39987.315405092595</v>
      </c>
      <c r="M11032" s="9" t="s">
        <v>19</v>
      </c>
      <c r="N11032" s="9" t="s">
        <v>20</v>
      </c>
      <c r="O11032" s="6" t="str">
        <f>HYPERLINK("https://pbs.twimg.com/profile_images/962471262747529216/Uo8lOkRJ_normal.jpg","View")</f>
        <v>View</v>
      </c>
      <c r="P11032" s="7"/>
    </row>
    <row r="11033" spans="1:16">
      <c r="A11033" s="3">
        <v>44123.745462962965</v>
      </c>
      <c r="B11033" s="4" t="str">
        <f>HYPERLINK("https://twitter.com/petrogustavo","@petrogustavo")</f>
        <v>@petrogustavo</v>
      </c>
      <c r="C11033" s="5" t="s">
        <v>16</v>
      </c>
      <c r="D11033" s="5" t="s">
        <v>10619</v>
      </c>
      <c r="E11033" s="6" t="str">
        <f>HYPERLINK("https://twitter.com/petrogustavo/status/1318165871894974464","1318165871894974464")</f>
        <v>1318165871894974464</v>
      </c>
      <c r="F11033" s="7" t="s">
        <v>17</v>
      </c>
      <c r="G11033" s="7">
        <v>3993071</v>
      </c>
      <c r="H11033" s="7">
        <v>2446</v>
      </c>
      <c r="I11033" s="7">
        <v>125</v>
      </c>
      <c r="J11033" s="7">
        <v>394</v>
      </c>
      <c r="K11033" s="7" t="s">
        <v>18</v>
      </c>
      <c r="L11033" s="8">
        <v>39987.315405092595</v>
      </c>
      <c r="M11033" s="9" t="s">
        <v>19</v>
      </c>
      <c r="N11033" s="9" t="s">
        <v>20</v>
      </c>
      <c r="O11033" s="6" t="str">
        <f>HYPERLINK("https://pbs.twimg.com/profile_images/962471262747529216/Uo8lOkRJ_normal.jpg","View")</f>
        <v>View</v>
      </c>
      <c r="P11033" s="7"/>
    </row>
    <row r="11034" spans="1:16">
      <c r="A11034" s="3">
        <v>44123.752349537041</v>
      </c>
      <c r="B11034" s="4" t="str">
        <f>HYPERLINK("https://twitter.com/petrogustavo","@petrogustavo")</f>
        <v>@petrogustavo</v>
      </c>
      <c r="C11034" s="5" t="s">
        <v>16</v>
      </c>
      <c r="D11034" s="5" t="s">
        <v>10620</v>
      </c>
      <c r="E11034" s="6" t="str">
        <f>HYPERLINK("https://twitter.com/petrogustavo/status/1318168364594888706","1318168364594888706")</f>
        <v>1318168364594888706</v>
      </c>
      <c r="F11034" s="7" t="s">
        <v>17</v>
      </c>
      <c r="G11034" s="7">
        <v>3993071</v>
      </c>
      <c r="H11034" s="7">
        <v>2446</v>
      </c>
      <c r="I11034" s="7">
        <v>30</v>
      </c>
      <c r="J11034" s="7">
        <v>77</v>
      </c>
      <c r="K11034" s="7" t="s">
        <v>18</v>
      </c>
      <c r="L11034" s="8">
        <v>39987.315405092595</v>
      </c>
      <c r="M11034" s="9" t="s">
        <v>19</v>
      </c>
      <c r="N11034" s="9" t="s">
        <v>20</v>
      </c>
      <c r="O11034" s="6" t="str">
        <f>HYPERLINK("https://pbs.twimg.com/profile_images/962471262747529216/Uo8lOkRJ_normal.jpg","View")</f>
        <v>View</v>
      </c>
      <c r="P11034" s="7"/>
    </row>
    <row r="11035" spans="1:16">
      <c r="A11035" s="3">
        <v>44123.752569444448</v>
      </c>
      <c r="B11035" s="4" t="str">
        <f>HYPERLINK("https://twitter.com/petrogustavo","@petrogustavo")</f>
        <v>@petrogustavo</v>
      </c>
      <c r="C11035" s="5" t="s">
        <v>16</v>
      </c>
      <c r="D11035" s="5" t="s">
        <v>10621</v>
      </c>
      <c r="E11035" s="6" t="str">
        <f>HYPERLINK("https://twitter.com/petrogustavo/status/1318168446270582784","1318168446270582784")</f>
        <v>1318168446270582784</v>
      </c>
      <c r="F11035" s="7" t="s">
        <v>17</v>
      </c>
      <c r="G11035" s="7">
        <v>3993071</v>
      </c>
      <c r="H11035" s="7">
        <v>2446</v>
      </c>
      <c r="I11035" s="7">
        <v>252</v>
      </c>
      <c r="J11035" s="7">
        <v>0</v>
      </c>
      <c r="K11035" s="7" t="s">
        <v>18</v>
      </c>
      <c r="L11035" s="8">
        <v>39987.315405092595</v>
      </c>
      <c r="M11035" s="9" t="s">
        <v>19</v>
      </c>
      <c r="N11035" s="9" t="s">
        <v>20</v>
      </c>
      <c r="O11035" s="6" t="str">
        <f>HYPERLINK("https://pbs.twimg.com/profile_images/962471262747529216/Uo8lOkRJ_normal.jpg","View")</f>
        <v>View</v>
      </c>
      <c r="P11035" s="7"/>
    </row>
    <row r="11036" spans="1:16">
      <c r="A11036" s="3">
        <v>44123.754675925928</v>
      </c>
      <c r="B11036" s="4" t="str">
        <f>HYPERLINK("https://twitter.com/petrogustavo","@petrogustavo")</f>
        <v>@petrogustavo</v>
      </c>
      <c r="C11036" s="5" t="s">
        <v>16</v>
      </c>
      <c r="D11036" s="5" t="s">
        <v>10622</v>
      </c>
      <c r="E11036" s="6" t="str">
        <f>HYPERLINK("https://twitter.com/petrogustavo/status/1318169209084530697","1318169209084530697")</f>
        <v>1318169209084530697</v>
      </c>
      <c r="F11036" s="7" t="s">
        <v>17</v>
      </c>
      <c r="G11036" s="7">
        <v>3993071</v>
      </c>
      <c r="H11036" s="7">
        <v>2446</v>
      </c>
      <c r="I11036" s="7">
        <v>127</v>
      </c>
      <c r="J11036" s="7">
        <v>322</v>
      </c>
      <c r="K11036" s="7" t="s">
        <v>18</v>
      </c>
      <c r="L11036" s="8">
        <v>39987.315405092595</v>
      </c>
      <c r="M11036" s="9" t="s">
        <v>19</v>
      </c>
      <c r="N11036" s="9" t="s">
        <v>20</v>
      </c>
      <c r="O11036" s="6" t="str">
        <f>HYPERLINK("https://pbs.twimg.com/profile_images/962471262747529216/Uo8lOkRJ_normal.jpg","View")</f>
        <v>View</v>
      </c>
      <c r="P11036" s="7"/>
    </row>
    <row r="11037" spans="1:16">
      <c r="A11037" s="3">
        <v>44123.766319444447</v>
      </c>
      <c r="B11037" s="4" t="str">
        <f>HYPERLINK("https://twitter.com/petrogustavo","@petrogustavo")</f>
        <v>@petrogustavo</v>
      </c>
      <c r="C11037" s="5" t="s">
        <v>16</v>
      </c>
      <c r="D11037" s="5" t="s">
        <v>10623</v>
      </c>
      <c r="E11037" s="6" t="str">
        <f>HYPERLINK("https://twitter.com/petrogustavo/status/1318173426977308672","1318173426977308672")</f>
        <v>1318173426977308672</v>
      </c>
      <c r="F11037" s="7" t="s">
        <v>17</v>
      </c>
      <c r="G11037" s="7">
        <v>3993088</v>
      </c>
      <c r="H11037" s="7">
        <v>2447</v>
      </c>
      <c r="I11037" s="7">
        <v>129</v>
      </c>
      <c r="J11037" s="7">
        <v>559</v>
      </c>
      <c r="K11037" s="7" t="s">
        <v>18</v>
      </c>
      <c r="L11037" s="8">
        <v>39987.315405092595</v>
      </c>
      <c r="M11037" s="9" t="s">
        <v>19</v>
      </c>
      <c r="N11037" s="9" t="s">
        <v>20</v>
      </c>
      <c r="O11037" s="6" t="str">
        <f>HYPERLINK("https://pbs.twimg.com/profile_images/962471262747529216/Uo8lOkRJ_normal.jpg","View")</f>
        <v>View</v>
      </c>
      <c r="P11037" s="7"/>
    </row>
    <row r="11038" spans="1:16">
      <c r="A11038" s="3">
        <v>44123.769293981481</v>
      </c>
      <c r="B11038" s="4" t="str">
        <f>HYPERLINK("https://twitter.com/petrogustavo","@petrogustavo")</f>
        <v>@petrogustavo</v>
      </c>
      <c r="C11038" s="5" t="s">
        <v>16</v>
      </c>
      <c r="D11038" s="5" t="s">
        <v>10624</v>
      </c>
      <c r="E11038" s="6" t="str">
        <f>HYPERLINK("https://twitter.com/petrogustavo/status/1318174506788204552","1318174506788204552")</f>
        <v>1318174506788204552</v>
      </c>
      <c r="F11038" s="7" t="s">
        <v>17</v>
      </c>
      <c r="G11038" s="7">
        <v>3993088</v>
      </c>
      <c r="H11038" s="7">
        <v>2447</v>
      </c>
      <c r="I11038" s="7">
        <v>122</v>
      </c>
      <c r="J11038" s="7">
        <v>398</v>
      </c>
      <c r="K11038" s="7" t="s">
        <v>18</v>
      </c>
      <c r="L11038" s="8">
        <v>39987.315405092595</v>
      </c>
      <c r="M11038" s="9" t="s">
        <v>19</v>
      </c>
      <c r="N11038" s="9" t="s">
        <v>20</v>
      </c>
      <c r="O11038" s="6" t="str">
        <f>HYPERLINK("https://pbs.twimg.com/profile_images/962471262747529216/Uo8lOkRJ_normal.jpg","View")</f>
        <v>View</v>
      </c>
      <c r="P11038" s="7"/>
    </row>
    <row r="11039" spans="1:16">
      <c r="A11039" s="3">
        <v>44123.771666666667</v>
      </c>
      <c r="B11039" s="4" t="str">
        <f>HYPERLINK("https://twitter.com/petrogustavo","@petrogustavo")</f>
        <v>@petrogustavo</v>
      </c>
      <c r="C11039" s="5" t="s">
        <v>16</v>
      </c>
      <c r="D11039" s="5" t="s">
        <v>10625</v>
      </c>
      <c r="E11039" s="6" t="str">
        <f>HYPERLINK("https://twitter.com/petrogustavo/status/1318175365211324417","1318175365211324417")</f>
        <v>1318175365211324417</v>
      </c>
      <c r="F11039" s="7" t="s">
        <v>17</v>
      </c>
      <c r="G11039" s="7">
        <v>3993088</v>
      </c>
      <c r="H11039" s="7">
        <v>2447</v>
      </c>
      <c r="I11039" s="7">
        <v>82</v>
      </c>
      <c r="J11039" s="7">
        <v>309</v>
      </c>
      <c r="K11039" s="7" t="s">
        <v>18</v>
      </c>
      <c r="L11039" s="8">
        <v>39987.315405092595</v>
      </c>
      <c r="M11039" s="9" t="s">
        <v>19</v>
      </c>
      <c r="N11039" s="9" t="s">
        <v>20</v>
      </c>
      <c r="O11039" s="6" t="str">
        <f>HYPERLINK("https://pbs.twimg.com/profile_images/962471262747529216/Uo8lOkRJ_normal.jpg","View")</f>
        <v>View</v>
      </c>
      <c r="P11039" s="7"/>
    </row>
    <row r="11040" spans="1:16">
      <c r="A11040" s="3">
        <v>44123.774143518516</v>
      </c>
      <c r="B11040" s="4" t="str">
        <f>HYPERLINK("https://twitter.com/petrogustavo","@petrogustavo")</f>
        <v>@petrogustavo</v>
      </c>
      <c r="C11040" s="5" t="s">
        <v>16</v>
      </c>
      <c r="D11040" s="5" t="s">
        <v>10626</v>
      </c>
      <c r="E11040" s="6" t="str">
        <f>HYPERLINK("https://twitter.com/petrogustavo/status/1318176262645579776","1318176262645579776")</f>
        <v>1318176262645579776</v>
      </c>
      <c r="F11040" s="7" t="s">
        <v>17</v>
      </c>
      <c r="G11040" s="7">
        <v>3993088</v>
      </c>
      <c r="H11040" s="7">
        <v>2447</v>
      </c>
      <c r="I11040" s="7">
        <v>482</v>
      </c>
      <c r="J11040" s="7">
        <v>0</v>
      </c>
      <c r="K11040" s="7" t="s">
        <v>18</v>
      </c>
      <c r="L11040" s="8">
        <v>39987.315405092595</v>
      </c>
      <c r="M11040" s="9" t="s">
        <v>19</v>
      </c>
      <c r="N11040" s="9" t="s">
        <v>20</v>
      </c>
      <c r="O11040" s="6" t="str">
        <f>HYPERLINK("https://pbs.twimg.com/profile_images/962471262747529216/Uo8lOkRJ_normal.jpg","View")</f>
        <v>View</v>
      </c>
      <c r="P11040" s="7"/>
    </row>
    <row r="11041" spans="1:16">
      <c r="A11041" s="3">
        <v>44123.774733796294</v>
      </c>
      <c r="B11041" s="4" t="str">
        <f>HYPERLINK("https://twitter.com/petrogustavo","@petrogustavo")</f>
        <v>@petrogustavo</v>
      </c>
      <c r="C11041" s="5" t="s">
        <v>16</v>
      </c>
      <c r="D11041" s="5" t="s">
        <v>10627</v>
      </c>
      <c r="E11041" s="6" t="str">
        <f>HYPERLINK("https://twitter.com/petrogustavo/status/1318176478165671937","1318176478165671937")</f>
        <v>1318176478165671937</v>
      </c>
      <c r="F11041" s="7" t="s">
        <v>17</v>
      </c>
      <c r="G11041" s="7">
        <v>3993088</v>
      </c>
      <c r="H11041" s="7">
        <v>2447</v>
      </c>
      <c r="I11041" s="7">
        <v>104</v>
      </c>
      <c r="J11041" s="7">
        <v>0</v>
      </c>
      <c r="K11041" s="7" t="s">
        <v>18</v>
      </c>
      <c r="L11041" s="8">
        <v>39987.315405092595</v>
      </c>
      <c r="M11041" s="9" t="s">
        <v>19</v>
      </c>
      <c r="N11041" s="9" t="s">
        <v>20</v>
      </c>
      <c r="O11041" s="6" t="str">
        <f>HYPERLINK("https://pbs.twimg.com/profile_images/962471262747529216/Uo8lOkRJ_normal.jpg","View")</f>
        <v>View</v>
      </c>
      <c r="P11041" s="7"/>
    </row>
    <row r="11042" spans="1:16">
      <c r="A11042" s="3">
        <v>44123.777719907404</v>
      </c>
      <c r="B11042" s="4" t="str">
        <f>HYPERLINK("https://twitter.com/petrogustavo","@petrogustavo")</f>
        <v>@petrogustavo</v>
      </c>
      <c r="C11042" s="5" t="s">
        <v>16</v>
      </c>
      <c r="D11042" s="5" t="s">
        <v>10628</v>
      </c>
      <c r="E11042" s="6" t="str">
        <f>HYPERLINK("https://twitter.com/petrogustavo/status/1318177560669360129","1318177560669360129")</f>
        <v>1318177560669360129</v>
      </c>
      <c r="F11042" s="7" t="s">
        <v>17</v>
      </c>
      <c r="G11042" s="7">
        <v>3993088</v>
      </c>
      <c r="H11042" s="7">
        <v>2447</v>
      </c>
      <c r="I11042" s="7">
        <v>140</v>
      </c>
      <c r="J11042" s="7">
        <v>472</v>
      </c>
      <c r="K11042" s="7" t="s">
        <v>18</v>
      </c>
      <c r="L11042" s="8">
        <v>39987.315405092595</v>
      </c>
      <c r="M11042" s="9" t="s">
        <v>19</v>
      </c>
      <c r="N11042" s="9" t="s">
        <v>20</v>
      </c>
      <c r="O11042" s="6" t="str">
        <f>HYPERLINK("https://pbs.twimg.com/profile_images/962471262747529216/Uo8lOkRJ_normal.jpg","View")</f>
        <v>View</v>
      </c>
      <c r="P11042" s="7"/>
    </row>
    <row r="11043" spans="1:16">
      <c r="A11043" s="3">
        <v>44123.781724537039</v>
      </c>
      <c r="B11043" s="4" t="str">
        <f>HYPERLINK("https://twitter.com/petrogustavo","@petrogustavo")</f>
        <v>@petrogustavo</v>
      </c>
      <c r="C11043" s="5" t="s">
        <v>16</v>
      </c>
      <c r="D11043" s="5" t="s">
        <v>10629</v>
      </c>
      <c r="E11043" s="6" t="str">
        <f>HYPERLINK("https://twitter.com/petrogustavo/status/1318179012586385409","1318179012586385409")</f>
        <v>1318179012586385409</v>
      </c>
      <c r="F11043" s="7" t="s">
        <v>17</v>
      </c>
      <c r="G11043" s="7">
        <v>3993088</v>
      </c>
      <c r="H11043" s="7">
        <v>2447</v>
      </c>
      <c r="I11043" s="7">
        <v>17</v>
      </c>
      <c r="J11043" s="7">
        <v>36</v>
      </c>
      <c r="K11043" s="7" t="s">
        <v>18</v>
      </c>
      <c r="L11043" s="8">
        <v>39987.315405092595</v>
      </c>
      <c r="M11043" s="9" t="s">
        <v>19</v>
      </c>
      <c r="N11043" s="9" t="s">
        <v>20</v>
      </c>
      <c r="O11043" s="6" t="str">
        <f>HYPERLINK("https://pbs.twimg.com/profile_images/962471262747529216/Uo8lOkRJ_normal.jpg","View")</f>
        <v>View</v>
      </c>
      <c r="P11043" s="7"/>
    </row>
    <row r="11044" spans="1:16">
      <c r="A11044" s="3">
        <v>44123.784375000003</v>
      </c>
      <c r="B11044" s="4" t="str">
        <f>HYPERLINK("https://twitter.com/petrogustavo","@petrogustavo")</f>
        <v>@petrogustavo</v>
      </c>
      <c r="C11044" s="5" t="s">
        <v>16</v>
      </c>
      <c r="D11044" s="5" t="s">
        <v>10630</v>
      </c>
      <c r="E11044" s="6" t="str">
        <f>HYPERLINK("https://twitter.com/petrogustavo/status/1318179971173699584","1318179971173699584")</f>
        <v>1318179971173699584</v>
      </c>
      <c r="F11044" s="7" t="s">
        <v>17</v>
      </c>
      <c r="G11044" s="7">
        <v>3993120</v>
      </c>
      <c r="H11044" s="7">
        <v>2448</v>
      </c>
      <c r="I11044" s="7">
        <v>69</v>
      </c>
      <c r="J11044" s="7">
        <v>200</v>
      </c>
      <c r="K11044" s="7" t="s">
        <v>18</v>
      </c>
      <c r="L11044" s="8">
        <v>39987.315405092595</v>
      </c>
      <c r="M11044" s="9" t="s">
        <v>19</v>
      </c>
      <c r="N11044" s="9" t="s">
        <v>20</v>
      </c>
      <c r="O11044" s="6" t="str">
        <f>HYPERLINK("https://pbs.twimg.com/profile_images/962471262747529216/Uo8lOkRJ_normal.jpg","View")</f>
        <v>View</v>
      </c>
      <c r="P11044" s="7"/>
    </row>
    <row r="11045" spans="1:16">
      <c r="A11045" s="3">
        <v>44123.787719907406</v>
      </c>
      <c r="B11045" s="4" t="str">
        <f>HYPERLINK("https://twitter.com/petrogustavo","@petrogustavo")</f>
        <v>@petrogustavo</v>
      </c>
      <c r="C11045" s="5" t="s">
        <v>16</v>
      </c>
      <c r="D11045" s="5" t="s">
        <v>10631</v>
      </c>
      <c r="E11045" s="6" t="str">
        <f>HYPERLINK("https://twitter.com/petrogustavo/status/1318181184011194368","1318181184011194368")</f>
        <v>1318181184011194368</v>
      </c>
      <c r="F11045" s="7" t="s">
        <v>17</v>
      </c>
      <c r="G11045" s="7">
        <v>3993120</v>
      </c>
      <c r="H11045" s="7">
        <v>2448</v>
      </c>
      <c r="I11045" s="7">
        <v>974</v>
      </c>
      <c r="J11045" s="7">
        <v>0</v>
      </c>
      <c r="K11045" s="7" t="s">
        <v>18</v>
      </c>
      <c r="L11045" s="8">
        <v>39987.315405092595</v>
      </c>
      <c r="M11045" s="9" t="s">
        <v>19</v>
      </c>
      <c r="N11045" s="9" t="s">
        <v>20</v>
      </c>
      <c r="O11045" s="6" t="str">
        <f>HYPERLINK("https://pbs.twimg.com/profile_images/962471262747529216/Uo8lOkRJ_normal.jpg","View")</f>
        <v>View</v>
      </c>
      <c r="P11045" s="7"/>
    </row>
    <row r="11046" spans="1:16">
      <c r="A11046" s="3">
        <v>44123.789317129631</v>
      </c>
      <c r="B11046" s="4" t="str">
        <f>HYPERLINK("https://twitter.com/petrogustavo","@petrogustavo")</f>
        <v>@petrogustavo</v>
      </c>
      <c r="C11046" s="5" t="s">
        <v>16</v>
      </c>
      <c r="D11046" s="5" t="s">
        <v>10632</v>
      </c>
      <c r="E11046" s="6" t="str">
        <f>HYPERLINK("https://twitter.com/petrogustavo/status/1318181760631529478","1318181760631529478")</f>
        <v>1318181760631529478</v>
      </c>
      <c r="F11046" s="7" t="s">
        <v>17</v>
      </c>
      <c r="G11046" s="7">
        <v>3993120</v>
      </c>
      <c r="H11046" s="7">
        <v>2448</v>
      </c>
      <c r="I11046" s="7">
        <v>20060</v>
      </c>
      <c r="J11046" s="7">
        <v>0</v>
      </c>
      <c r="K11046" s="7" t="s">
        <v>18</v>
      </c>
      <c r="L11046" s="8">
        <v>39987.315405092595</v>
      </c>
      <c r="M11046" s="9" t="s">
        <v>19</v>
      </c>
      <c r="N11046" s="9" t="s">
        <v>20</v>
      </c>
      <c r="O11046" s="6" t="str">
        <f>HYPERLINK("https://pbs.twimg.com/profile_images/962471262747529216/Uo8lOkRJ_normal.jpg","View")</f>
        <v>View</v>
      </c>
      <c r="P11046" s="7"/>
    </row>
    <row r="11047" spans="1:16">
      <c r="A11047" s="3">
        <v>44123.793009259258</v>
      </c>
      <c r="B11047" s="4" t="str">
        <f>HYPERLINK("https://twitter.com/petrogustavo","@petrogustavo")</f>
        <v>@petrogustavo</v>
      </c>
      <c r="C11047" s="5" t="s">
        <v>16</v>
      </c>
      <c r="D11047" s="5" t="s">
        <v>10633</v>
      </c>
      <c r="E11047" s="6" t="str">
        <f>HYPERLINK("https://twitter.com/petrogustavo/status/1318183101042970626","1318183101042970626")</f>
        <v>1318183101042970626</v>
      </c>
      <c r="F11047" s="7" t="s">
        <v>17</v>
      </c>
      <c r="G11047" s="7">
        <v>3993120</v>
      </c>
      <c r="H11047" s="7">
        <v>2448</v>
      </c>
      <c r="I11047" s="7">
        <v>129</v>
      </c>
      <c r="J11047" s="7">
        <v>359</v>
      </c>
      <c r="K11047" s="7" t="s">
        <v>18</v>
      </c>
      <c r="L11047" s="8">
        <v>39987.315405092595</v>
      </c>
      <c r="M11047" s="9" t="s">
        <v>19</v>
      </c>
      <c r="N11047" s="9" t="s">
        <v>20</v>
      </c>
      <c r="O11047" s="6" t="str">
        <f>HYPERLINK("https://pbs.twimg.com/profile_images/962471262747529216/Uo8lOkRJ_normal.jpg","View")</f>
        <v>View</v>
      </c>
      <c r="P11047" s="7"/>
    </row>
    <row r="11048" spans="1:16">
      <c r="A11048" s="3">
        <v>44123.794236111113</v>
      </c>
      <c r="B11048" s="4" t="str">
        <f>HYPERLINK("https://twitter.com/petrogustavo","@petrogustavo")</f>
        <v>@petrogustavo</v>
      </c>
      <c r="C11048" s="5" t="s">
        <v>16</v>
      </c>
      <c r="D11048" s="5" t="s">
        <v>10634</v>
      </c>
      <c r="E11048" s="6" t="str">
        <f>HYPERLINK("https://twitter.com/petrogustavo/status/1318183546478092290","1318183546478092290")</f>
        <v>1318183546478092290</v>
      </c>
      <c r="F11048" s="7" t="s">
        <v>17</v>
      </c>
      <c r="G11048" s="7">
        <v>3993120</v>
      </c>
      <c r="H11048" s="7">
        <v>2448</v>
      </c>
      <c r="I11048" s="7">
        <v>73</v>
      </c>
      <c r="J11048" s="7">
        <v>0</v>
      </c>
      <c r="K11048" s="7" t="s">
        <v>18</v>
      </c>
      <c r="L11048" s="8">
        <v>39987.315405092595</v>
      </c>
      <c r="M11048" s="9" t="s">
        <v>19</v>
      </c>
      <c r="N11048" s="9" t="s">
        <v>20</v>
      </c>
      <c r="O11048" s="6" t="str">
        <f>HYPERLINK("https://pbs.twimg.com/profile_images/962471262747529216/Uo8lOkRJ_normal.jpg","View")</f>
        <v>View</v>
      </c>
      <c r="P11048" s="7"/>
    </row>
    <row r="11049" spans="1:16">
      <c r="A11049" s="3">
        <v>44123.79524305556</v>
      </c>
      <c r="B11049" s="4" t="str">
        <f>HYPERLINK("https://twitter.com/petrogustavo","@petrogustavo")</f>
        <v>@petrogustavo</v>
      </c>
      <c r="C11049" s="5" t="s">
        <v>16</v>
      </c>
      <c r="D11049" s="5" t="s">
        <v>10635</v>
      </c>
      <c r="E11049" s="6" t="str">
        <f>HYPERLINK("https://twitter.com/petrogustavo/status/1318183910447042560","1318183910447042560")</f>
        <v>1318183910447042560</v>
      </c>
      <c r="F11049" s="7" t="s">
        <v>17</v>
      </c>
      <c r="G11049" s="7">
        <v>3993120</v>
      </c>
      <c r="H11049" s="7">
        <v>2448</v>
      </c>
      <c r="I11049" s="7">
        <v>4319</v>
      </c>
      <c r="J11049" s="7">
        <v>0</v>
      </c>
      <c r="K11049" s="7" t="s">
        <v>18</v>
      </c>
      <c r="L11049" s="8">
        <v>39987.315405092595</v>
      </c>
      <c r="M11049" s="9" t="s">
        <v>19</v>
      </c>
      <c r="N11049" s="9" t="s">
        <v>20</v>
      </c>
      <c r="O11049" s="6" t="str">
        <f>HYPERLINK("https://pbs.twimg.com/profile_images/962471262747529216/Uo8lOkRJ_normal.jpg","View")</f>
        <v>View</v>
      </c>
      <c r="P11049" s="7"/>
    </row>
    <row r="11050" spans="1:16">
      <c r="A11050" s="3">
        <v>44123.795914351853</v>
      </c>
      <c r="B11050" s="4" t="str">
        <f>HYPERLINK("https://twitter.com/petrogustavo","@petrogustavo")</f>
        <v>@petrogustavo</v>
      </c>
      <c r="C11050" s="5" t="s">
        <v>16</v>
      </c>
      <c r="D11050" s="5" t="s">
        <v>10636</v>
      </c>
      <c r="E11050" s="6" t="str">
        <f>HYPERLINK("https://twitter.com/petrogustavo/status/1318184154358493185","1318184154358493185")</f>
        <v>1318184154358493185</v>
      </c>
      <c r="F11050" s="7" t="s">
        <v>17</v>
      </c>
      <c r="G11050" s="7">
        <v>3993120</v>
      </c>
      <c r="H11050" s="7">
        <v>2448</v>
      </c>
      <c r="I11050" s="7">
        <v>16</v>
      </c>
      <c r="J11050" s="7">
        <v>0</v>
      </c>
      <c r="K11050" s="7" t="s">
        <v>18</v>
      </c>
      <c r="L11050" s="8">
        <v>39987.315405092595</v>
      </c>
      <c r="M11050" s="9" t="s">
        <v>19</v>
      </c>
      <c r="N11050" s="9" t="s">
        <v>20</v>
      </c>
      <c r="O11050" s="6" t="str">
        <f>HYPERLINK("https://pbs.twimg.com/profile_images/962471262747529216/Uo8lOkRJ_normal.jpg","View")</f>
        <v>View</v>
      </c>
      <c r="P11050" s="7"/>
    </row>
    <row r="11051" spans="1:16">
      <c r="A11051" s="3">
        <v>44123.797256944439</v>
      </c>
      <c r="B11051" s="4" t="str">
        <f>HYPERLINK("https://twitter.com/petrogustavo","@petrogustavo")</f>
        <v>@petrogustavo</v>
      </c>
      <c r="C11051" s="5" t="s">
        <v>16</v>
      </c>
      <c r="D11051" s="5" t="s">
        <v>10637</v>
      </c>
      <c r="E11051" s="6" t="str">
        <f>HYPERLINK("https://twitter.com/petrogustavo/status/1318184639303946241","1318184639303946241")</f>
        <v>1318184639303946241</v>
      </c>
      <c r="F11051" s="7" t="s">
        <v>17</v>
      </c>
      <c r="G11051" s="7">
        <v>3993120</v>
      </c>
      <c r="H11051" s="7">
        <v>2448</v>
      </c>
      <c r="I11051" s="7">
        <v>131</v>
      </c>
      <c r="J11051" s="7">
        <v>0</v>
      </c>
      <c r="K11051" s="7" t="s">
        <v>18</v>
      </c>
      <c r="L11051" s="8">
        <v>39987.315405092595</v>
      </c>
      <c r="M11051" s="9" t="s">
        <v>19</v>
      </c>
      <c r="N11051" s="9" t="s">
        <v>20</v>
      </c>
      <c r="O11051" s="6" t="str">
        <f>HYPERLINK("https://pbs.twimg.com/profile_images/962471262747529216/Uo8lOkRJ_normal.jpg","View")</f>
        <v>View</v>
      </c>
      <c r="P11051" s="7"/>
    </row>
    <row r="11052" spans="1:16">
      <c r="A11052" s="3">
        <v>44123.797546296293</v>
      </c>
      <c r="B11052" s="4" t="str">
        <f>HYPERLINK("https://twitter.com/petrogustavo","@petrogustavo")</f>
        <v>@petrogustavo</v>
      </c>
      <c r="C11052" s="5" t="s">
        <v>16</v>
      </c>
      <c r="D11052" s="5" t="s">
        <v>10638</v>
      </c>
      <c r="E11052" s="6" t="str">
        <f>HYPERLINK("https://twitter.com/petrogustavo/status/1318184745747075072","1318184745747075072")</f>
        <v>1318184745747075072</v>
      </c>
      <c r="F11052" s="7" t="s">
        <v>17</v>
      </c>
      <c r="G11052" s="7">
        <v>3993120</v>
      </c>
      <c r="H11052" s="7">
        <v>2448</v>
      </c>
      <c r="I11052" s="7">
        <v>1421</v>
      </c>
      <c r="J11052" s="7">
        <v>0</v>
      </c>
      <c r="K11052" s="7" t="s">
        <v>18</v>
      </c>
      <c r="L11052" s="8">
        <v>39987.315405092595</v>
      </c>
      <c r="M11052" s="9" t="s">
        <v>19</v>
      </c>
      <c r="N11052" s="9" t="s">
        <v>20</v>
      </c>
      <c r="O11052" s="6" t="str">
        <f>HYPERLINK("https://pbs.twimg.com/profile_images/962471262747529216/Uo8lOkRJ_normal.jpg","View")</f>
        <v>View</v>
      </c>
      <c r="P11052" s="7"/>
    </row>
    <row r="11053" spans="1:16">
      <c r="A11053" s="3">
        <v>44123.799895833334</v>
      </c>
      <c r="B11053" s="4" t="str">
        <f>HYPERLINK("https://twitter.com/petrogustavo","@petrogustavo")</f>
        <v>@petrogustavo</v>
      </c>
      <c r="C11053" s="5" t="s">
        <v>16</v>
      </c>
      <c r="D11053" s="5" t="s">
        <v>10639</v>
      </c>
      <c r="E11053" s="6" t="str">
        <f>HYPERLINK("https://twitter.com/petrogustavo/status/1318185596892991489","1318185596892991489")</f>
        <v>1318185596892991489</v>
      </c>
      <c r="F11053" s="7" t="s">
        <v>17</v>
      </c>
      <c r="G11053" s="7">
        <v>3993120</v>
      </c>
      <c r="H11053" s="7">
        <v>2448</v>
      </c>
      <c r="I11053" s="7">
        <v>40</v>
      </c>
      <c r="J11053" s="7">
        <v>136</v>
      </c>
      <c r="K11053" s="7" t="s">
        <v>18</v>
      </c>
      <c r="L11053" s="8">
        <v>39987.315405092595</v>
      </c>
      <c r="M11053" s="9" t="s">
        <v>19</v>
      </c>
      <c r="N11053" s="9" t="s">
        <v>20</v>
      </c>
      <c r="O11053" s="6" t="str">
        <f>HYPERLINK("https://pbs.twimg.com/profile_images/962471262747529216/Uo8lOkRJ_normal.jpg","View")</f>
        <v>View</v>
      </c>
      <c r="P11053" s="7"/>
    </row>
    <row r="11054" spans="1:16">
      <c r="A11054" s="3">
        <v>44123.805219907408</v>
      </c>
      <c r="B11054" s="4" t="str">
        <f>HYPERLINK("https://twitter.com/petrogustavo","@petrogustavo")</f>
        <v>@petrogustavo</v>
      </c>
      <c r="C11054" s="5" t="s">
        <v>16</v>
      </c>
      <c r="D11054" s="5" t="s">
        <v>10640</v>
      </c>
      <c r="E11054" s="6" t="str">
        <f>HYPERLINK("https://twitter.com/petrogustavo/status/1318187526474108928","1318187526474108928")</f>
        <v>1318187526474108928</v>
      </c>
      <c r="F11054" s="7" t="s">
        <v>17</v>
      </c>
      <c r="G11054" s="7">
        <v>3993135</v>
      </c>
      <c r="H11054" s="7">
        <v>2448</v>
      </c>
      <c r="I11054" s="7">
        <v>83</v>
      </c>
      <c r="J11054" s="7">
        <v>234</v>
      </c>
      <c r="K11054" s="7" t="s">
        <v>18</v>
      </c>
      <c r="L11054" s="8">
        <v>39987.315405092595</v>
      </c>
      <c r="M11054" s="9" t="s">
        <v>19</v>
      </c>
      <c r="N11054" s="9" t="s">
        <v>20</v>
      </c>
      <c r="O11054" s="6" t="str">
        <f>HYPERLINK("https://pbs.twimg.com/profile_images/962471262747529216/Uo8lOkRJ_normal.jpg","View")</f>
        <v>View</v>
      </c>
      <c r="P11054" s="7"/>
    </row>
    <row r="11055" spans="1:16">
      <c r="A11055" s="3">
        <v>44123.807395833333</v>
      </c>
      <c r="B11055" s="4" t="str">
        <f>HYPERLINK("https://twitter.com/petrogustavo","@petrogustavo")</f>
        <v>@petrogustavo</v>
      </c>
      <c r="C11055" s="5" t="s">
        <v>16</v>
      </c>
      <c r="D11055" s="5" t="s">
        <v>10641</v>
      </c>
      <c r="E11055" s="6" t="str">
        <f>HYPERLINK("https://twitter.com/petrogustavo/status/1318188314130829312","1318188314130829312")</f>
        <v>1318188314130829312</v>
      </c>
      <c r="F11055" s="7" t="s">
        <v>17</v>
      </c>
      <c r="G11055" s="7">
        <v>3993135</v>
      </c>
      <c r="H11055" s="7">
        <v>2448</v>
      </c>
      <c r="I11055" s="7">
        <v>54</v>
      </c>
      <c r="J11055" s="7">
        <v>0</v>
      </c>
      <c r="K11055" s="7" t="s">
        <v>18</v>
      </c>
      <c r="L11055" s="8">
        <v>39987.315405092595</v>
      </c>
      <c r="M11055" s="9" t="s">
        <v>19</v>
      </c>
      <c r="N11055" s="9" t="s">
        <v>20</v>
      </c>
      <c r="O11055" s="6" t="str">
        <f>HYPERLINK("https://pbs.twimg.com/profile_images/962471262747529216/Uo8lOkRJ_normal.jpg","View")</f>
        <v>View</v>
      </c>
      <c r="P11055" s="7"/>
    </row>
    <row r="11056" spans="1:16">
      <c r="A11056" s="3">
        <v>44123.807592592595</v>
      </c>
      <c r="B11056" s="4" t="str">
        <f>HYPERLINK("https://twitter.com/petrogustavo","@petrogustavo")</f>
        <v>@petrogustavo</v>
      </c>
      <c r="C11056" s="5" t="s">
        <v>16</v>
      </c>
      <c r="D11056" s="5" t="s">
        <v>10642</v>
      </c>
      <c r="E11056" s="6" t="str">
        <f>HYPERLINK("https://twitter.com/petrogustavo/status/1318188383940841472","1318188383940841472")</f>
        <v>1318188383940841472</v>
      </c>
      <c r="F11056" s="7" t="s">
        <v>17</v>
      </c>
      <c r="G11056" s="7">
        <v>3993135</v>
      </c>
      <c r="H11056" s="7">
        <v>2448</v>
      </c>
      <c r="I11056" s="7">
        <v>93</v>
      </c>
      <c r="J11056" s="7">
        <v>0</v>
      </c>
      <c r="K11056" s="7" t="s">
        <v>18</v>
      </c>
      <c r="L11056" s="8">
        <v>39987.315405092595</v>
      </c>
      <c r="M11056" s="9" t="s">
        <v>19</v>
      </c>
      <c r="N11056" s="9" t="s">
        <v>20</v>
      </c>
      <c r="O11056" s="6" t="str">
        <f>HYPERLINK("https://pbs.twimg.com/profile_images/962471262747529216/Uo8lOkRJ_normal.jpg","View")</f>
        <v>View</v>
      </c>
      <c r="P11056" s="7"/>
    </row>
    <row r="11057" spans="1:16">
      <c r="A11057" s="3">
        <v>44123.808298611111</v>
      </c>
      <c r="B11057" s="4" t="str">
        <f>HYPERLINK("https://twitter.com/petrogustavo","@petrogustavo")</f>
        <v>@petrogustavo</v>
      </c>
      <c r="C11057" s="5" t="s">
        <v>16</v>
      </c>
      <c r="D11057" s="5" t="s">
        <v>10643</v>
      </c>
      <c r="E11057" s="6" t="str">
        <f>HYPERLINK("https://twitter.com/petrogustavo/status/1318188640464404483","1318188640464404483")</f>
        <v>1318188640464404483</v>
      </c>
      <c r="F11057" s="7" t="s">
        <v>17</v>
      </c>
      <c r="G11057" s="7">
        <v>3993135</v>
      </c>
      <c r="H11057" s="7">
        <v>2448</v>
      </c>
      <c r="I11057" s="7">
        <v>372</v>
      </c>
      <c r="J11057" s="7">
        <v>0</v>
      </c>
      <c r="K11057" s="7" t="s">
        <v>18</v>
      </c>
      <c r="L11057" s="8">
        <v>39987.315405092595</v>
      </c>
      <c r="M11057" s="9" t="s">
        <v>19</v>
      </c>
      <c r="N11057" s="9" t="s">
        <v>20</v>
      </c>
      <c r="O11057" s="6" t="str">
        <f>HYPERLINK("https://pbs.twimg.com/profile_images/962471262747529216/Uo8lOkRJ_normal.jpg","View")</f>
        <v>View</v>
      </c>
      <c r="P11057" s="7"/>
    </row>
    <row r="11058" spans="1:16">
      <c r="A11058" s="3">
        <v>44123.80846064815</v>
      </c>
      <c r="B11058" s="4" t="str">
        <f>HYPERLINK("https://twitter.com/petrogustavo","@petrogustavo")</f>
        <v>@petrogustavo</v>
      </c>
      <c r="C11058" s="5" t="s">
        <v>16</v>
      </c>
      <c r="D11058" s="5" t="s">
        <v>10644</v>
      </c>
      <c r="E11058" s="6" t="str">
        <f>HYPERLINK("https://twitter.com/petrogustavo/status/1318188699541229569","1318188699541229569")</f>
        <v>1318188699541229569</v>
      </c>
      <c r="F11058" s="7" t="s">
        <v>17</v>
      </c>
      <c r="G11058" s="7">
        <v>3993135</v>
      </c>
      <c r="H11058" s="7">
        <v>2448</v>
      </c>
      <c r="I11058" s="7">
        <v>9124</v>
      </c>
      <c r="J11058" s="7">
        <v>0</v>
      </c>
      <c r="K11058" s="7" t="s">
        <v>18</v>
      </c>
      <c r="L11058" s="8">
        <v>39987.315405092595</v>
      </c>
      <c r="M11058" s="9" t="s">
        <v>19</v>
      </c>
      <c r="N11058" s="9" t="s">
        <v>20</v>
      </c>
      <c r="O11058" s="6" t="str">
        <f>HYPERLINK("https://pbs.twimg.com/profile_images/962471262747529216/Uo8lOkRJ_normal.jpg","View")</f>
        <v>View</v>
      </c>
      <c r="P11058" s="7"/>
    </row>
    <row r="11059" spans="1:16">
      <c r="A11059" s="3">
        <v>44123.809872685189</v>
      </c>
      <c r="B11059" s="4" t="str">
        <f>HYPERLINK("https://twitter.com/petrogustavo","@petrogustavo")</f>
        <v>@petrogustavo</v>
      </c>
      <c r="C11059" s="5" t="s">
        <v>16</v>
      </c>
      <c r="D11059" s="5" t="s">
        <v>10645</v>
      </c>
      <c r="E11059" s="6" t="str">
        <f>HYPERLINK("https://twitter.com/petrogustavo/status/1318189211938443265","1318189211938443265")</f>
        <v>1318189211938443265</v>
      </c>
      <c r="F11059" s="7" t="s">
        <v>17</v>
      </c>
      <c r="G11059" s="7">
        <v>3993135</v>
      </c>
      <c r="H11059" s="7">
        <v>2448</v>
      </c>
      <c r="I11059" s="7">
        <v>208</v>
      </c>
      <c r="J11059" s="7">
        <v>1082</v>
      </c>
      <c r="K11059" s="7" t="s">
        <v>18</v>
      </c>
      <c r="L11059" s="8">
        <v>39987.315405092595</v>
      </c>
      <c r="M11059" s="9" t="s">
        <v>19</v>
      </c>
      <c r="N11059" s="9" t="s">
        <v>20</v>
      </c>
      <c r="O11059" s="6" t="str">
        <f>HYPERLINK("https://pbs.twimg.com/profile_images/962471262747529216/Uo8lOkRJ_normal.jpg","View")</f>
        <v>View</v>
      </c>
      <c r="P11059" s="7"/>
    </row>
    <row r="11060" spans="1:16">
      <c r="A11060" s="3">
        <v>44123.812465277777</v>
      </c>
      <c r="B11060" s="4" t="str">
        <f>HYPERLINK("https://twitter.com/petrogustavo","@petrogustavo")</f>
        <v>@petrogustavo</v>
      </c>
      <c r="C11060" s="5" t="s">
        <v>16</v>
      </c>
      <c r="D11060" s="5" t="s">
        <v>10646</v>
      </c>
      <c r="E11060" s="6" t="str">
        <f>HYPERLINK("https://twitter.com/petrogustavo/status/1318190153190486017","1318190153190486017")</f>
        <v>1318190153190486017</v>
      </c>
      <c r="F11060" s="7" t="s">
        <v>17</v>
      </c>
      <c r="G11060" s="7">
        <v>3993135</v>
      </c>
      <c r="H11060" s="7">
        <v>2448</v>
      </c>
      <c r="I11060" s="7">
        <v>37</v>
      </c>
      <c r="J11060" s="7">
        <v>121</v>
      </c>
      <c r="K11060" s="7" t="s">
        <v>18</v>
      </c>
      <c r="L11060" s="8">
        <v>39987.315405092595</v>
      </c>
      <c r="M11060" s="9" t="s">
        <v>19</v>
      </c>
      <c r="N11060" s="9" t="s">
        <v>20</v>
      </c>
      <c r="O11060" s="6" t="str">
        <f>HYPERLINK("https://pbs.twimg.com/profile_images/962471262747529216/Uo8lOkRJ_normal.jpg","View")</f>
        <v>View</v>
      </c>
      <c r="P11060" s="7"/>
    </row>
    <row r="11061" spans="1:16">
      <c r="A11061" s="3">
        <v>44123.814351851848</v>
      </c>
      <c r="B11061" s="4" t="str">
        <f>HYPERLINK("https://twitter.com/petrogustavo","@petrogustavo")</f>
        <v>@petrogustavo</v>
      </c>
      <c r="C11061" s="5" t="s">
        <v>16</v>
      </c>
      <c r="D11061" s="5" t="s">
        <v>10647</v>
      </c>
      <c r="E11061" s="6" t="str">
        <f>HYPERLINK("https://twitter.com/petrogustavo/status/1318190834584637441","1318190834584637441")</f>
        <v>1318190834584637441</v>
      </c>
      <c r="F11061" s="7" t="s">
        <v>17</v>
      </c>
      <c r="G11061" s="7">
        <v>3993135</v>
      </c>
      <c r="H11061" s="7">
        <v>2448</v>
      </c>
      <c r="I11061" s="7">
        <v>88</v>
      </c>
      <c r="J11061" s="7">
        <v>262</v>
      </c>
      <c r="K11061" s="7" t="s">
        <v>18</v>
      </c>
      <c r="L11061" s="8">
        <v>39987.315405092595</v>
      </c>
      <c r="M11061" s="9" t="s">
        <v>19</v>
      </c>
      <c r="N11061" s="9" t="s">
        <v>20</v>
      </c>
      <c r="O11061" s="6" t="str">
        <f>HYPERLINK("https://pbs.twimg.com/profile_images/962471262747529216/Uo8lOkRJ_normal.jpg","View")</f>
        <v>View</v>
      </c>
      <c r="P11061" s="7"/>
    </row>
    <row r="11062" spans="1:16">
      <c r="A11062" s="3">
        <v>44123.815057870372</v>
      </c>
      <c r="B11062" s="4" t="str">
        <f>HYPERLINK("https://twitter.com/petrogustavo","@petrogustavo")</f>
        <v>@petrogustavo</v>
      </c>
      <c r="C11062" s="5" t="s">
        <v>16</v>
      </c>
      <c r="D11062" s="5" t="s">
        <v>10648</v>
      </c>
      <c r="E11062" s="6" t="str">
        <f>HYPERLINK("https://twitter.com/petrogustavo/status/1318191090307125250","1318191090307125250")</f>
        <v>1318191090307125250</v>
      </c>
      <c r="F11062" s="7" t="s">
        <v>17</v>
      </c>
      <c r="G11062" s="7">
        <v>3993135</v>
      </c>
      <c r="H11062" s="7">
        <v>2448</v>
      </c>
      <c r="I11062" s="7">
        <v>208</v>
      </c>
      <c r="J11062" s="7">
        <v>0</v>
      </c>
      <c r="K11062" s="7" t="s">
        <v>18</v>
      </c>
      <c r="L11062" s="8">
        <v>39987.315405092595</v>
      </c>
      <c r="M11062" s="9" t="s">
        <v>19</v>
      </c>
      <c r="N11062" s="9" t="s">
        <v>20</v>
      </c>
      <c r="O11062" s="6" t="str">
        <f>HYPERLINK("https://pbs.twimg.com/profile_images/962471262747529216/Uo8lOkRJ_normal.jpg","View")</f>
        <v>View</v>
      </c>
      <c r="P11062" s="7"/>
    </row>
    <row r="11063" spans="1:16">
      <c r="A11063" s="3">
        <v>44123.818368055552</v>
      </c>
      <c r="B11063" s="4" t="str">
        <f>HYPERLINK("https://twitter.com/petrogustavo","@petrogustavo")</f>
        <v>@petrogustavo</v>
      </c>
      <c r="C11063" s="5" t="s">
        <v>16</v>
      </c>
      <c r="D11063" s="5" t="s">
        <v>10649</v>
      </c>
      <c r="E11063" s="6" t="str">
        <f>HYPERLINK("https://twitter.com/petrogustavo/status/1318192289664192512","1318192289664192512")</f>
        <v>1318192289664192512</v>
      </c>
      <c r="F11063" s="7" t="s">
        <v>17</v>
      </c>
      <c r="G11063" s="7">
        <v>3993135</v>
      </c>
      <c r="H11063" s="7">
        <v>2448</v>
      </c>
      <c r="I11063" s="7">
        <v>86</v>
      </c>
      <c r="J11063" s="7">
        <v>193</v>
      </c>
      <c r="K11063" s="7" t="s">
        <v>18</v>
      </c>
      <c r="L11063" s="8">
        <v>39987.315405092595</v>
      </c>
      <c r="M11063" s="9" t="s">
        <v>19</v>
      </c>
      <c r="N11063" s="9" t="s">
        <v>20</v>
      </c>
      <c r="O11063" s="6" t="str">
        <f>HYPERLINK("https://pbs.twimg.com/profile_images/962471262747529216/Uo8lOkRJ_normal.jpg","View")</f>
        <v>View</v>
      </c>
      <c r="P11063" s="7"/>
    </row>
    <row r="11064" spans="1:16">
      <c r="A11064" s="3">
        <v>44123.822719907403</v>
      </c>
      <c r="B11064" s="4" t="str">
        <f>HYPERLINK("https://twitter.com/petrogustavo","@petrogustavo")</f>
        <v>@petrogustavo</v>
      </c>
      <c r="C11064" s="5" t="s">
        <v>16</v>
      </c>
      <c r="D11064" s="5" t="s">
        <v>10650</v>
      </c>
      <c r="E11064" s="6" t="str">
        <f>HYPERLINK("https://twitter.com/petrogustavo/status/1318193867796209664","1318193867796209664")</f>
        <v>1318193867796209664</v>
      </c>
      <c r="F11064" s="7" t="s">
        <v>17</v>
      </c>
      <c r="G11064" s="7">
        <v>3993135</v>
      </c>
      <c r="H11064" s="7">
        <v>2448</v>
      </c>
      <c r="I11064" s="7">
        <v>12</v>
      </c>
      <c r="J11064" s="7">
        <v>23</v>
      </c>
      <c r="K11064" s="7" t="s">
        <v>18</v>
      </c>
      <c r="L11064" s="8">
        <v>39987.315405092595</v>
      </c>
      <c r="M11064" s="9" t="s">
        <v>19</v>
      </c>
      <c r="N11064" s="9" t="s">
        <v>20</v>
      </c>
      <c r="O11064" s="6" t="str">
        <f>HYPERLINK("https://pbs.twimg.com/profile_images/962471262747529216/Uo8lOkRJ_normal.jpg","View")</f>
        <v>View</v>
      </c>
      <c r="P11064" s="7"/>
    </row>
    <row r="11065" spans="1:16">
      <c r="A11065" s="3">
        <v>44123.824189814812</v>
      </c>
      <c r="B11065" s="4" t="str">
        <f>HYPERLINK("https://twitter.com/petrogustavo","@petrogustavo")</f>
        <v>@petrogustavo</v>
      </c>
      <c r="C11065" s="5" t="s">
        <v>16</v>
      </c>
      <c r="D11065" s="5" t="s">
        <v>10651</v>
      </c>
      <c r="E11065" s="6" t="str">
        <f>HYPERLINK("https://twitter.com/petrogustavo/status/1318194401819168769","1318194401819168769")</f>
        <v>1318194401819168769</v>
      </c>
      <c r="F11065" s="7" t="s">
        <v>17</v>
      </c>
      <c r="G11065" s="7">
        <v>3993135</v>
      </c>
      <c r="H11065" s="7">
        <v>2448</v>
      </c>
      <c r="I11065" s="7">
        <v>10</v>
      </c>
      <c r="J11065" s="7">
        <v>32</v>
      </c>
      <c r="K11065" s="7" t="s">
        <v>18</v>
      </c>
      <c r="L11065" s="8">
        <v>39987.315405092595</v>
      </c>
      <c r="M11065" s="9" t="s">
        <v>19</v>
      </c>
      <c r="N11065" s="9" t="s">
        <v>20</v>
      </c>
      <c r="O11065" s="6" t="str">
        <f>HYPERLINK("https://pbs.twimg.com/profile_images/962471262747529216/Uo8lOkRJ_normal.jpg","View")</f>
        <v>View</v>
      </c>
      <c r="P11065" s="7"/>
    </row>
    <row r="11066" spans="1:16">
      <c r="A11066" s="3">
        <v>44123.826701388884</v>
      </c>
      <c r="B11066" s="4" t="str">
        <f>HYPERLINK("https://twitter.com/petrogustavo","@petrogustavo")</f>
        <v>@petrogustavo</v>
      </c>
      <c r="C11066" s="5" t="s">
        <v>16</v>
      </c>
      <c r="D11066" s="5" t="s">
        <v>10652</v>
      </c>
      <c r="E11066" s="6" t="str">
        <f>HYPERLINK("https://twitter.com/petrogustavo/status/1318195309793714177","1318195309793714177")</f>
        <v>1318195309793714177</v>
      </c>
      <c r="F11066" s="7" t="s">
        <v>17</v>
      </c>
      <c r="G11066" s="7">
        <v>3993153</v>
      </c>
      <c r="H11066" s="7">
        <v>2448</v>
      </c>
      <c r="I11066" s="7">
        <v>5147</v>
      </c>
      <c r="J11066" s="7">
        <v>0</v>
      </c>
      <c r="K11066" s="7" t="s">
        <v>18</v>
      </c>
      <c r="L11066" s="8">
        <v>39987.315405092595</v>
      </c>
      <c r="M11066" s="9" t="s">
        <v>19</v>
      </c>
      <c r="N11066" s="9" t="s">
        <v>20</v>
      </c>
      <c r="O11066" s="6" t="str">
        <f>HYPERLINK("https://pbs.twimg.com/profile_images/962471262747529216/Uo8lOkRJ_normal.jpg","View")</f>
        <v>View</v>
      </c>
      <c r="P11066" s="7"/>
    </row>
    <row r="11067" spans="1:16">
      <c r="A11067" s="3">
        <v>44123.835046296299</v>
      </c>
      <c r="B11067" s="4" t="str">
        <f>HYPERLINK("https://twitter.com/petrogustavo","@petrogustavo")</f>
        <v>@petrogustavo</v>
      </c>
      <c r="C11067" s="5" t="s">
        <v>16</v>
      </c>
      <c r="D11067" s="5" t="s">
        <v>10653</v>
      </c>
      <c r="E11067" s="6" t="str">
        <f>HYPERLINK("https://twitter.com/petrogustavo/status/1318198332469268480","1318198332469268480")</f>
        <v>1318198332469268480</v>
      </c>
      <c r="F11067" s="7" t="s">
        <v>17</v>
      </c>
      <c r="G11067" s="7">
        <v>3993153</v>
      </c>
      <c r="H11067" s="7">
        <v>2448</v>
      </c>
      <c r="I11067" s="7">
        <v>98</v>
      </c>
      <c r="J11067" s="7">
        <v>327</v>
      </c>
      <c r="K11067" s="7" t="s">
        <v>18</v>
      </c>
      <c r="L11067" s="8">
        <v>39987.315405092595</v>
      </c>
      <c r="M11067" s="9" t="s">
        <v>19</v>
      </c>
      <c r="N11067" s="9" t="s">
        <v>20</v>
      </c>
      <c r="O11067" s="6" t="str">
        <f>HYPERLINK("https://pbs.twimg.com/profile_images/962471262747529216/Uo8lOkRJ_normal.jpg","View")</f>
        <v>View</v>
      </c>
      <c r="P11067" s="7"/>
    </row>
    <row r="11068" spans="1:16">
      <c r="A11068" s="3">
        <v>44123.835381944446</v>
      </c>
      <c r="B11068" s="4" t="str">
        <f>HYPERLINK("https://twitter.com/petrogustavo","@petrogustavo")</f>
        <v>@petrogustavo</v>
      </c>
      <c r="C11068" s="5" t="s">
        <v>16</v>
      </c>
      <c r="D11068" s="5" t="s">
        <v>10648</v>
      </c>
      <c r="E11068" s="6" t="str">
        <f>HYPERLINK("https://twitter.com/petrogustavo/status/1318198457635643393","1318198457635643393")</f>
        <v>1318198457635643393</v>
      </c>
      <c r="F11068" s="7" t="s">
        <v>17</v>
      </c>
      <c r="G11068" s="7">
        <v>3993153</v>
      </c>
      <c r="H11068" s="7">
        <v>2448</v>
      </c>
      <c r="I11068" s="7">
        <v>370</v>
      </c>
      <c r="J11068" s="7">
        <v>0</v>
      </c>
      <c r="K11068" s="7" t="s">
        <v>18</v>
      </c>
      <c r="L11068" s="8">
        <v>39987.315405092595</v>
      </c>
      <c r="M11068" s="9" t="s">
        <v>19</v>
      </c>
      <c r="N11068" s="9" t="s">
        <v>20</v>
      </c>
      <c r="O11068" s="6" t="str">
        <f>HYPERLINK("https://pbs.twimg.com/profile_images/962471262747529216/Uo8lOkRJ_normal.jpg","View")</f>
        <v>View</v>
      </c>
      <c r="P11068" s="7"/>
    </row>
    <row r="11069" spans="1:16">
      <c r="A11069" s="3">
        <v>44123.836724537032</v>
      </c>
      <c r="B11069" s="4" t="str">
        <f>HYPERLINK("https://twitter.com/petrogustavo","@petrogustavo")</f>
        <v>@petrogustavo</v>
      </c>
      <c r="C11069" s="5" t="s">
        <v>16</v>
      </c>
      <c r="D11069" s="5" t="s">
        <v>10654</v>
      </c>
      <c r="E11069" s="6" t="str">
        <f>HYPERLINK("https://twitter.com/petrogustavo/status/1318198943621283846","1318198943621283846")</f>
        <v>1318198943621283846</v>
      </c>
      <c r="F11069" s="7" t="s">
        <v>17</v>
      </c>
      <c r="G11069" s="7">
        <v>3993153</v>
      </c>
      <c r="H11069" s="7">
        <v>2448</v>
      </c>
      <c r="I11069" s="7">
        <v>444</v>
      </c>
      <c r="J11069" s="7">
        <v>0</v>
      </c>
      <c r="K11069" s="7" t="s">
        <v>18</v>
      </c>
      <c r="L11069" s="8">
        <v>39987.315405092595</v>
      </c>
      <c r="M11069" s="9" t="s">
        <v>19</v>
      </c>
      <c r="N11069" s="9" t="s">
        <v>20</v>
      </c>
      <c r="O11069" s="6" t="str">
        <f>HYPERLINK("https://pbs.twimg.com/profile_images/962471262747529216/Uo8lOkRJ_normal.jpg","View")</f>
        <v>View</v>
      </c>
      <c r="P11069" s="7"/>
    </row>
    <row r="11070" spans="1:16">
      <c r="A11070" s="3">
        <v>44123.837974537033</v>
      </c>
      <c r="B11070" s="4" t="str">
        <f>HYPERLINK("https://twitter.com/petrogustavo","@petrogustavo")</f>
        <v>@petrogustavo</v>
      </c>
      <c r="C11070" s="5" t="s">
        <v>16</v>
      </c>
      <c r="D11070" s="5" t="s">
        <v>10655</v>
      </c>
      <c r="E11070" s="6" t="str">
        <f>HYPERLINK("https://twitter.com/petrogustavo/status/1318199394815148032","1318199394815148032")</f>
        <v>1318199394815148032</v>
      </c>
      <c r="F11070" s="7" t="s">
        <v>17</v>
      </c>
      <c r="G11070" s="7">
        <v>3993153</v>
      </c>
      <c r="H11070" s="7">
        <v>2448</v>
      </c>
      <c r="I11070" s="7">
        <v>460</v>
      </c>
      <c r="J11070" s="7">
        <v>0</v>
      </c>
      <c r="K11070" s="7" t="s">
        <v>18</v>
      </c>
      <c r="L11070" s="8">
        <v>39987.315405092595</v>
      </c>
      <c r="M11070" s="9" t="s">
        <v>19</v>
      </c>
      <c r="N11070" s="9" t="s">
        <v>20</v>
      </c>
      <c r="O11070" s="6" t="str">
        <f>HYPERLINK("https://pbs.twimg.com/profile_images/962471262747529216/Uo8lOkRJ_normal.jpg","View")</f>
        <v>View</v>
      </c>
      <c r="P11070" s="7"/>
    </row>
    <row r="11071" spans="1:16">
      <c r="A11071" s="3">
        <v>44123.894502314812</v>
      </c>
      <c r="B11071" s="4" t="str">
        <f>HYPERLINK("https://twitter.com/petrogustavo","@petrogustavo")</f>
        <v>@petrogustavo</v>
      </c>
      <c r="C11071" s="5" t="s">
        <v>16</v>
      </c>
      <c r="D11071" s="5" t="s">
        <v>10656</v>
      </c>
      <c r="E11071" s="6" t="str">
        <f>HYPERLINK("https://twitter.com/petrogustavo/status/1318219881557463041","1318219881557463041")</f>
        <v>1318219881557463041</v>
      </c>
      <c r="F11071" s="7" t="s">
        <v>17</v>
      </c>
      <c r="G11071" s="7">
        <v>3993213</v>
      </c>
      <c r="H11071" s="7">
        <v>2448</v>
      </c>
      <c r="I11071" s="7">
        <v>379</v>
      </c>
      <c r="J11071" s="7">
        <v>0</v>
      </c>
      <c r="K11071" s="7" t="s">
        <v>18</v>
      </c>
      <c r="L11071" s="8">
        <v>39987.315405092595</v>
      </c>
      <c r="M11071" s="9" t="s">
        <v>19</v>
      </c>
      <c r="N11071" s="9" t="s">
        <v>20</v>
      </c>
      <c r="O11071" s="6" t="str">
        <f>HYPERLINK("https://pbs.twimg.com/profile_images/962471262747529216/Uo8lOkRJ_normal.jpg","View")</f>
        <v>View</v>
      </c>
      <c r="P11071" s="7"/>
    </row>
    <row r="11072" spans="1:16">
      <c r="A11072" s="3">
        <v>44123.97047453704</v>
      </c>
      <c r="B11072" s="4" t="str">
        <f>HYPERLINK("https://twitter.com/petrogustavo","@petrogustavo")</f>
        <v>@petrogustavo</v>
      </c>
      <c r="C11072" s="5" t="s">
        <v>16</v>
      </c>
      <c r="D11072" s="5" t="s">
        <v>10657</v>
      </c>
      <c r="E11072" s="6" t="str">
        <f>HYPERLINK("https://twitter.com/petrogustavo/status/1318247413942013953","1318247413942013953")</f>
        <v>1318247413942013953</v>
      </c>
      <c r="F11072" s="7" t="s">
        <v>32</v>
      </c>
      <c r="G11072" s="7">
        <v>3993247</v>
      </c>
      <c r="H11072" s="7">
        <v>2447</v>
      </c>
      <c r="I11072" s="7">
        <v>8</v>
      </c>
      <c r="J11072" s="7">
        <v>0</v>
      </c>
      <c r="K11072" s="7" t="s">
        <v>18</v>
      </c>
      <c r="L11072" s="8">
        <v>39987.315405092595</v>
      </c>
      <c r="M11072" s="9" t="s">
        <v>19</v>
      </c>
      <c r="N11072" s="9" t="s">
        <v>20</v>
      </c>
      <c r="O11072" s="6" t="str">
        <f>HYPERLINK("https://pbs.twimg.com/profile_images/962471262747529216/Uo8lOkRJ_normal.jpg","View")</f>
        <v>View</v>
      </c>
      <c r="P11072" s="7"/>
    </row>
    <row r="11073" spans="1:16">
      <c r="A11073" s="3">
        <v>44123.972962962958</v>
      </c>
      <c r="B11073" s="4" t="str">
        <f>HYPERLINK("https://twitter.com/petrogustavo","@petrogustavo")</f>
        <v>@petrogustavo</v>
      </c>
      <c r="C11073" s="5" t="s">
        <v>16</v>
      </c>
      <c r="D11073" s="5" t="s">
        <v>10658</v>
      </c>
      <c r="E11073" s="6" t="str">
        <f>HYPERLINK("https://twitter.com/petrogustavo/status/1318248314110922752","1318248314110922752")</f>
        <v>1318248314110922752</v>
      </c>
      <c r="F11073" s="7" t="s">
        <v>32</v>
      </c>
      <c r="G11073" s="7">
        <v>3993281</v>
      </c>
      <c r="H11073" s="7">
        <v>2447</v>
      </c>
      <c r="I11073" s="7">
        <v>62</v>
      </c>
      <c r="J11073" s="7">
        <v>230</v>
      </c>
      <c r="K11073" s="7" t="s">
        <v>18</v>
      </c>
      <c r="L11073" s="8">
        <v>39987.315405092595</v>
      </c>
      <c r="M11073" s="9" t="s">
        <v>19</v>
      </c>
      <c r="N11073" s="9" t="s">
        <v>20</v>
      </c>
      <c r="O11073" s="6" t="str">
        <f>HYPERLINK("https://pbs.twimg.com/profile_images/962471262747529216/Uo8lOkRJ_normal.jpg","View")</f>
        <v>View</v>
      </c>
      <c r="P11073" s="7"/>
    </row>
    <row r="11074" spans="1:16">
      <c r="A11074" s="3">
        <v>44123.994768518518</v>
      </c>
      <c r="B11074" s="4" t="str">
        <f>HYPERLINK("https://twitter.com/petrogustavo","@petrogustavo")</f>
        <v>@petrogustavo</v>
      </c>
      <c r="C11074" s="5" t="s">
        <v>16</v>
      </c>
      <c r="D11074" s="5" t="s">
        <v>10659</v>
      </c>
      <c r="E11074" s="6" t="str">
        <f>HYPERLINK("https://twitter.com/petrogustavo/status/1318256214241837056","1318256214241837056")</f>
        <v>1318256214241837056</v>
      </c>
      <c r="F11074" s="7" t="s">
        <v>21</v>
      </c>
      <c r="G11074" s="7">
        <v>3993311</v>
      </c>
      <c r="H11074" s="7">
        <v>2447</v>
      </c>
      <c r="I11074" s="7">
        <v>46</v>
      </c>
      <c r="J11074" s="7">
        <v>144</v>
      </c>
      <c r="K11074" s="7" t="s">
        <v>18</v>
      </c>
      <c r="L11074" s="8">
        <v>39987.315405092595</v>
      </c>
      <c r="M11074" s="9" t="s">
        <v>19</v>
      </c>
      <c r="N11074" s="9" t="s">
        <v>20</v>
      </c>
      <c r="O11074" s="6" t="str">
        <f>HYPERLINK("https://pbs.twimg.com/profile_images/962471262747529216/Uo8lOkRJ_normal.jpg","View")</f>
        <v>View</v>
      </c>
      <c r="P11074" s="7"/>
    </row>
    <row r="11075" spans="1:16">
      <c r="A11075" s="3">
        <v>44124.0003587963</v>
      </c>
      <c r="B11075" s="4" t="str">
        <f>HYPERLINK("https://twitter.com/petrogustavo","@petrogustavo")</f>
        <v>@petrogustavo</v>
      </c>
      <c r="C11075" s="5" t="s">
        <v>16</v>
      </c>
      <c r="D11075" s="5" t="s">
        <v>10660</v>
      </c>
      <c r="E11075" s="6" t="str">
        <f>HYPERLINK("https://twitter.com/petrogustavo/status/1318258239797157890","1318258239797157890")</f>
        <v>1318258239797157890</v>
      </c>
      <c r="F11075" s="7" t="s">
        <v>21</v>
      </c>
      <c r="G11075" s="7">
        <v>3993311</v>
      </c>
      <c r="H11075" s="7">
        <v>2447</v>
      </c>
      <c r="I11075" s="7">
        <v>76</v>
      </c>
      <c r="J11075" s="7">
        <v>220</v>
      </c>
      <c r="K11075" s="7" t="s">
        <v>18</v>
      </c>
      <c r="L11075" s="8">
        <v>39987.315405092595</v>
      </c>
      <c r="M11075" s="9" t="s">
        <v>19</v>
      </c>
      <c r="N11075" s="9" t="s">
        <v>20</v>
      </c>
      <c r="O11075" s="6" t="str">
        <f>HYPERLINK("https://pbs.twimg.com/profile_images/962471262747529216/Uo8lOkRJ_normal.jpg","View")</f>
        <v>View</v>
      </c>
      <c r="P11075" s="7"/>
    </row>
    <row r="11076" spans="1:16">
      <c r="A11076" s="3">
        <v>44124.000578703708</v>
      </c>
      <c r="B11076" s="4" t="str">
        <f>HYPERLINK("https://twitter.com/petrogustavo","@petrogustavo")</f>
        <v>@petrogustavo</v>
      </c>
      <c r="C11076" s="5" t="s">
        <v>16</v>
      </c>
      <c r="D11076" s="5" t="s">
        <v>10661</v>
      </c>
      <c r="E11076" s="6" t="str">
        <f>HYPERLINK("https://twitter.com/petrogustavo/status/1318258322257154048","1318258322257154048")</f>
        <v>1318258322257154048</v>
      </c>
      <c r="F11076" s="7" t="s">
        <v>32</v>
      </c>
      <c r="G11076" s="7">
        <v>3993311</v>
      </c>
      <c r="H11076" s="7">
        <v>2447</v>
      </c>
      <c r="I11076" s="7">
        <v>46</v>
      </c>
      <c r="J11076" s="7">
        <v>0</v>
      </c>
      <c r="K11076" s="7" t="s">
        <v>18</v>
      </c>
      <c r="L11076" s="8">
        <v>39987.315405092595</v>
      </c>
      <c r="M11076" s="9" t="s">
        <v>19</v>
      </c>
      <c r="N11076" s="9" t="s">
        <v>20</v>
      </c>
      <c r="O11076" s="6" t="str">
        <f>HYPERLINK("https://pbs.twimg.com/profile_images/962471262747529216/Uo8lOkRJ_normal.jpg","View")</f>
        <v>View</v>
      </c>
      <c r="P11076" s="7"/>
    </row>
    <row r="11077" spans="1:16">
      <c r="A11077" s="3">
        <v>44124.005439814813</v>
      </c>
      <c r="B11077" s="4" t="str">
        <f>HYPERLINK("https://twitter.com/petrogustavo","@petrogustavo")</f>
        <v>@petrogustavo</v>
      </c>
      <c r="C11077" s="5" t="s">
        <v>16</v>
      </c>
      <c r="D11077" s="5" t="s">
        <v>10662</v>
      </c>
      <c r="E11077" s="6" t="str">
        <f>HYPERLINK("https://twitter.com/petrogustavo/status/1318260082145136643","1318260082145136643")</f>
        <v>1318260082145136643</v>
      </c>
      <c r="F11077" s="7" t="s">
        <v>32</v>
      </c>
      <c r="G11077" s="7">
        <v>3993311</v>
      </c>
      <c r="H11077" s="7">
        <v>2447</v>
      </c>
      <c r="I11077" s="7">
        <v>94</v>
      </c>
      <c r="J11077" s="7">
        <v>291</v>
      </c>
      <c r="K11077" s="7" t="s">
        <v>18</v>
      </c>
      <c r="L11077" s="8">
        <v>39987.315405092595</v>
      </c>
      <c r="M11077" s="9" t="s">
        <v>19</v>
      </c>
      <c r="N11077" s="9" t="s">
        <v>20</v>
      </c>
      <c r="O11077" s="6" t="str">
        <f>HYPERLINK("https://pbs.twimg.com/profile_images/962471262747529216/Uo8lOkRJ_normal.jpg","View")</f>
        <v>View</v>
      </c>
      <c r="P11077" s="7"/>
    </row>
    <row r="11078" spans="1:16">
      <c r="A11078" s="3">
        <v>44124.006122685183</v>
      </c>
      <c r="B11078" s="4" t="str">
        <f>HYPERLINK("https://twitter.com/petrogustavo","@petrogustavo")</f>
        <v>@petrogustavo</v>
      </c>
      <c r="C11078" s="5" t="s">
        <v>16</v>
      </c>
      <c r="D11078" s="5" t="s">
        <v>10663</v>
      </c>
      <c r="E11078" s="6" t="str">
        <f>HYPERLINK("https://twitter.com/petrogustavo/status/1318260329860763650","1318260329860763650")</f>
        <v>1318260329860763650</v>
      </c>
      <c r="F11078" s="7" t="s">
        <v>32</v>
      </c>
      <c r="G11078" s="7">
        <v>3993311</v>
      </c>
      <c r="H11078" s="7">
        <v>2447</v>
      </c>
      <c r="I11078" s="7">
        <v>4618</v>
      </c>
      <c r="J11078" s="7">
        <v>0</v>
      </c>
      <c r="K11078" s="7" t="s">
        <v>18</v>
      </c>
      <c r="L11078" s="8">
        <v>39987.315405092595</v>
      </c>
      <c r="M11078" s="9" t="s">
        <v>19</v>
      </c>
      <c r="N11078" s="9" t="s">
        <v>20</v>
      </c>
      <c r="O11078" s="6" t="str">
        <f>HYPERLINK("https://pbs.twimg.com/profile_images/962471262747529216/Uo8lOkRJ_normal.jpg","View")</f>
        <v>View</v>
      </c>
      <c r="P11078" s="7"/>
    </row>
    <row r="11079" spans="1:16">
      <c r="A11079" s="3">
        <v>44124.084224537037</v>
      </c>
      <c r="B11079" s="4" t="str">
        <f>HYPERLINK("https://twitter.com/petrogustavo","@petrogustavo")</f>
        <v>@petrogustavo</v>
      </c>
      <c r="C11079" s="5" t="s">
        <v>16</v>
      </c>
      <c r="D11079" s="5" t="s">
        <v>10664</v>
      </c>
      <c r="E11079" s="6" t="str">
        <f>HYPERLINK("https://twitter.com/petrogustavo/status/1318288634764722176","1318288634764722176")</f>
        <v>1318288634764722176</v>
      </c>
      <c r="F11079" s="7" t="s">
        <v>32</v>
      </c>
      <c r="G11079" s="7">
        <v>3993380</v>
      </c>
      <c r="H11079" s="7">
        <v>2447</v>
      </c>
      <c r="I11079" s="7">
        <v>35</v>
      </c>
      <c r="J11079" s="7">
        <v>0</v>
      </c>
      <c r="K11079" s="7" t="s">
        <v>18</v>
      </c>
      <c r="L11079" s="8">
        <v>39987.315405092595</v>
      </c>
      <c r="M11079" s="9" t="s">
        <v>19</v>
      </c>
      <c r="N11079" s="9" t="s">
        <v>20</v>
      </c>
      <c r="O11079" s="6" t="str">
        <f>HYPERLINK("https://pbs.twimg.com/profile_images/962471262747529216/Uo8lOkRJ_normal.jpg","View")</f>
        <v>View</v>
      </c>
      <c r="P11079" s="7"/>
    </row>
    <row r="11080" spans="1:16">
      <c r="A11080" s="3">
        <v>44124.090613425928</v>
      </c>
      <c r="B11080" s="4" t="str">
        <f>HYPERLINK("https://twitter.com/petrogustavo","@petrogustavo")</f>
        <v>@petrogustavo</v>
      </c>
      <c r="C11080" s="5" t="s">
        <v>16</v>
      </c>
      <c r="D11080" s="5" t="s">
        <v>10665</v>
      </c>
      <c r="E11080" s="6" t="str">
        <f>HYPERLINK("https://twitter.com/petrogustavo/status/1318290947902406657","1318290947902406657")</f>
        <v>1318290947902406657</v>
      </c>
      <c r="F11080" s="7" t="s">
        <v>32</v>
      </c>
      <c r="G11080" s="7">
        <v>3993380</v>
      </c>
      <c r="H11080" s="7">
        <v>2447</v>
      </c>
      <c r="I11080" s="7">
        <v>2694</v>
      </c>
      <c r="J11080" s="7">
        <v>0</v>
      </c>
      <c r="K11080" s="7" t="s">
        <v>18</v>
      </c>
      <c r="L11080" s="8">
        <v>39987.315405092595</v>
      </c>
      <c r="M11080" s="9" t="s">
        <v>19</v>
      </c>
      <c r="N11080" s="9" t="s">
        <v>20</v>
      </c>
      <c r="O11080" s="6" t="str">
        <f>HYPERLINK("https://pbs.twimg.com/profile_images/962471262747529216/Uo8lOkRJ_normal.jpg","View")</f>
        <v>View</v>
      </c>
      <c r="P11080" s="7"/>
    </row>
    <row r="11081" spans="1:16">
      <c r="A11081" s="3">
        <v>44124.094872685186</v>
      </c>
      <c r="B11081" s="4" t="str">
        <f>HYPERLINK("https://twitter.com/petrogustavo","@petrogustavo")</f>
        <v>@petrogustavo</v>
      </c>
      <c r="C11081" s="5" t="s">
        <v>16</v>
      </c>
      <c r="D11081" s="5" t="s">
        <v>10666</v>
      </c>
      <c r="E11081" s="6" t="str">
        <f>HYPERLINK("https://twitter.com/petrogustavo/status/1318292491314016260","1318292491314016260")</f>
        <v>1318292491314016260</v>
      </c>
      <c r="F11081" s="7" t="s">
        <v>32</v>
      </c>
      <c r="G11081" s="7">
        <v>3993380</v>
      </c>
      <c r="H11081" s="7">
        <v>2447</v>
      </c>
      <c r="I11081" s="7">
        <v>26</v>
      </c>
      <c r="J11081" s="7">
        <v>68</v>
      </c>
      <c r="K11081" s="7" t="s">
        <v>18</v>
      </c>
      <c r="L11081" s="8">
        <v>39987.315405092595</v>
      </c>
      <c r="M11081" s="9" t="s">
        <v>19</v>
      </c>
      <c r="N11081" s="9" t="s">
        <v>20</v>
      </c>
      <c r="O11081" s="6" t="str">
        <f>HYPERLINK("https://pbs.twimg.com/profile_images/962471262747529216/Uo8lOkRJ_normal.jpg","View")</f>
        <v>View</v>
      </c>
      <c r="P11081" s="7"/>
    </row>
    <row r="11082" spans="1:16">
      <c r="A11082" s="3">
        <v>44124.098009259258</v>
      </c>
      <c r="B11082" s="4" t="str">
        <f>HYPERLINK("https://twitter.com/petrogustavo","@petrogustavo")</f>
        <v>@petrogustavo</v>
      </c>
      <c r="C11082" s="5" t="s">
        <v>16</v>
      </c>
      <c r="D11082" s="5" t="s">
        <v>10667</v>
      </c>
      <c r="E11082" s="6" t="str">
        <f>HYPERLINK("https://twitter.com/petrogustavo/status/1318293629576904704","1318293629576904704")</f>
        <v>1318293629576904704</v>
      </c>
      <c r="F11082" s="7" t="s">
        <v>32</v>
      </c>
      <c r="G11082" s="7">
        <v>3993400</v>
      </c>
      <c r="H11082" s="7">
        <v>2447</v>
      </c>
      <c r="I11082" s="7">
        <v>377</v>
      </c>
      <c r="J11082" s="7">
        <v>1744</v>
      </c>
      <c r="K11082" s="7" t="s">
        <v>18</v>
      </c>
      <c r="L11082" s="8">
        <v>39987.315405092595</v>
      </c>
      <c r="M11082" s="9" t="s">
        <v>19</v>
      </c>
      <c r="N11082" s="9" t="s">
        <v>20</v>
      </c>
      <c r="O11082" s="6" t="str">
        <f>HYPERLINK("https://pbs.twimg.com/profile_images/962471262747529216/Uo8lOkRJ_normal.jpg","View")</f>
        <v>View</v>
      </c>
      <c r="P11082" s="7"/>
    </row>
    <row r="11083" spans="1:16">
      <c r="A11083" s="3">
        <v>44124.101782407408</v>
      </c>
      <c r="B11083" s="4" t="str">
        <f>HYPERLINK("https://twitter.com/petrogustavo","@petrogustavo")</f>
        <v>@petrogustavo</v>
      </c>
      <c r="C11083" s="5" t="s">
        <v>16</v>
      </c>
      <c r="D11083" s="5" t="s">
        <v>10668</v>
      </c>
      <c r="E11083" s="6" t="str">
        <f>HYPERLINK("https://twitter.com/petrogustavo/status/1318294995217121281","1318294995217121281")</f>
        <v>1318294995217121281</v>
      </c>
      <c r="F11083" s="7" t="s">
        <v>32</v>
      </c>
      <c r="G11083" s="7">
        <v>3993400</v>
      </c>
      <c r="H11083" s="7">
        <v>2447</v>
      </c>
      <c r="I11083" s="7">
        <v>41</v>
      </c>
      <c r="J11083" s="7">
        <v>0</v>
      </c>
      <c r="K11083" s="7" t="s">
        <v>18</v>
      </c>
      <c r="L11083" s="8">
        <v>39987.315405092595</v>
      </c>
      <c r="M11083" s="9" t="s">
        <v>19</v>
      </c>
      <c r="N11083" s="9" t="s">
        <v>20</v>
      </c>
      <c r="O11083" s="6" t="str">
        <f>HYPERLINK("https://pbs.twimg.com/profile_images/962471262747529216/Uo8lOkRJ_normal.jpg","View")</f>
        <v>View</v>
      </c>
      <c r="P11083" s="7"/>
    </row>
    <row r="11084" spans="1:16">
      <c r="A11084" s="3">
        <v>44124.110636574071</v>
      </c>
      <c r="B11084" s="4" t="str">
        <f>HYPERLINK("https://twitter.com/petrogustavo","@petrogustavo")</f>
        <v>@petrogustavo</v>
      </c>
      <c r="C11084" s="5" t="s">
        <v>16</v>
      </c>
      <c r="D11084" s="5" t="s">
        <v>10669</v>
      </c>
      <c r="E11084" s="6" t="str">
        <f>HYPERLINK("https://twitter.com/petrogustavo/status/1318298206242045954","1318298206242045954")</f>
        <v>1318298206242045954</v>
      </c>
      <c r="F11084" s="7" t="s">
        <v>32</v>
      </c>
      <c r="G11084" s="7">
        <v>3993400</v>
      </c>
      <c r="H11084" s="7">
        <v>2447</v>
      </c>
      <c r="I11084" s="7">
        <v>67</v>
      </c>
      <c r="J11084" s="7">
        <v>0</v>
      </c>
      <c r="K11084" s="7" t="s">
        <v>18</v>
      </c>
      <c r="L11084" s="8">
        <v>39987.315405092595</v>
      </c>
      <c r="M11084" s="9" t="s">
        <v>19</v>
      </c>
      <c r="N11084" s="9" t="s">
        <v>20</v>
      </c>
      <c r="O11084" s="6" t="str">
        <f>HYPERLINK("https://pbs.twimg.com/profile_images/962471262747529216/Uo8lOkRJ_normal.jpg","View")</f>
        <v>View</v>
      </c>
      <c r="P11084" s="7"/>
    </row>
    <row r="11085" spans="1:16">
      <c r="A11085" s="3">
        <v>44124.121724537035</v>
      </c>
      <c r="B11085" s="4" t="str">
        <f>HYPERLINK("https://twitter.com/petrogustavo","@petrogustavo")</f>
        <v>@petrogustavo</v>
      </c>
      <c r="C11085" s="5" t="s">
        <v>16</v>
      </c>
      <c r="D11085" s="5" t="s">
        <v>10670</v>
      </c>
      <c r="E11085" s="6" t="str">
        <f>HYPERLINK("https://twitter.com/petrogustavo/status/1318302223009521664","1318302223009521664")</f>
        <v>1318302223009521664</v>
      </c>
      <c r="F11085" s="7" t="s">
        <v>17</v>
      </c>
      <c r="G11085" s="7">
        <v>3993407</v>
      </c>
      <c r="H11085" s="7">
        <v>2447</v>
      </c>
      <c r="I11085" s="7">
        <v>76</v>
      </c>
      <c r="J11085" s="7">
        <v>300</v>
      </c>
      <c r="K11085" s="7" t="s">
        <v>18</v>
      </c>
      <c r="L11085" s="8">
        <v>39987.315405092595</v>
      </c>
      <c r="M11085" s="9" t="s">
        <v>19</v>
      </c>
      <c r="N11085" s="9" t="s">
        <v>20</v>
      </c>
      <c r="O11085" s="6" t="str">
        <f>HYPERLINK("https://pbs.twimg.com/profile_images/962471262747529216/Uo8lOkRJ_normal.jpg","View")</f>
        <v>View</v>
      </c>
      <c r="P11085" s="7"/>
    </row>
    <row r="11086" spans="1:16">
      <c r="A11086" s="3">
        <v>44124.123935185184</v>
      </c>
      <c r="B11086" s="4" t="str">
        <f>HYPERLINK("https://twitter.com/petrogustavo","@petrogustavo")</f>
        <v>@petrogustavo</v>
      </c>
      <c r="C11086" s="5" t="s">
        <v>16</v>
      </c>
      <c r="D11086" s="5" t="s">
        <v>10671</v>
      </c>
      <c r="E11086" s="6" t="str">
        <f>HYPERLINK("https://twitter.com/petrogustavo/status/1318303022808768515","1318303022808768515")</f>
        <v>1318303022808768515</v>
      </c>
      <c r="F11086" s="7" t="s">
        <v>17</v>
      </c>
      <c r="G11086" s="7">
        <v>3993407</v>
      </c>
      <c r="H11086" s="7">
        <v>2447</v>
      </c>
      <c r="I11086" s="7">
        <v>337</v>
      </c>
      <c r="J11086" s="7">
        <v>0</v>
      </c>
      <c r="K11086" s="7" t="s">
        <v>18</v>
      </c>
      <c r="L11086" s="8">
        <v>39987.315405092595</v>
      </c>
      <c r="M11086" s="9" t="s">
        <v>19</v>
      </c>
      <c r="N11086" s="9" t="s">
        <v>20</v>
      </c>
      <c r="O11086" s="6" t="str">
        <f>HYPERLINK("https://pbs.twimg.com/profile_images/962471262747529216/Uo8lOkRJ_normal.jpg","View")</f>
        <v>View</v>
      </c>
      <c r="P11086" s="7"/>
    </row>
    <row r="11087" spans="1:16">
      <c r="A11087" s="3">
        <v>44124.124097222222</v>
      </c>
      <c r="B11087" s="4" t="str">
        <f>HYPERLINK("https://twitter.com/petrogustavo","@petrogustavo")</f>
        <v>@petrogustavo</v>
      </c>
      <c r="C11087" s="5" t="s">
        <v>16</v>
      </c>
      <c r="D11087" s="5" t="s">
        <v>10672</v>
      </c>
      <c r="E11087" s="6" t="str">
        <f>HYPERLINK("https://twitter.com/petrogustavo/status/1318303083215097856","1318303083215097856")</f>
        <v>1318303083215097856</v>
      </c>
      <c r="F11087" s="7" t="s">
        <v>17</v>
      </c>
      <c r="G11087" s="7">
        <v>3993407</v>
      </c>
      <c r="H11087" s="7">
        <v>2447</v>
      </c>
      <c r="I11087" s="7">
        <v>76</v>
      </c>
      <c r="J11087" s="7">
        <v>0</v>
      </c>
      <c r="K11087" s="7" t="s">
        <v>18</v>
      </c>
      <c r="L11087" s="8">
        <v>39987.315405092595</v>
      </c>
      <c r="M11087" s="9" t="s">
        <v>19</v>
      </c>
      <c r="N11087" s="9" t="s">
        <v>20</v>
      </c>
      <c r="O11087" s="6" t="str">
        <f>HYPERLINK("https://pbs.twimg.com/profile_images/962471262747529216/Uo8lOkRJ_normal.jpg","View")</f>
        <v>View</v>
      </c>
      <c r="P11087" s="7"/>
    </row>
    <row r="11088" spans="1:16">
      <c r="A11088" s="3">
        <v>44124.144247685181</v>
      </c>
      <c r="B11088" s="4" t="str">
        <f>HYPERLINK("https://twitter.com/petrogustavo","@petrogustavo")</f>
        <v>@petrogustavo</v>
      </c>
      <c r="C11088" s="5" t="s">
        <v>16</v>
      </c>
      <c r="D11088" s="5" t="s">
        <v>10673</v>
      </c>
      <c r="E11088" s="6" t="str">
        <f>HYPERLINK("https://twitter.com/petrogustavo/status/1318310386987388930","1318310386987388930")</f>
        <v>1318310386987388930</v>
      </c>
      <c r="F11088" s="7" t="s">
        <v>17</v>
      </c>
      <c r="G11088" s="7">
        <v>3993420</v>
      </c>
      <c r="H11088" s="7">
        <v>2447</v>
      </c>
      <c r="I11088" s="7">
        <v>806</v>
      </c>
      <c r="J11088" s="7">
        <v>0</v>
      </c>
      <c r="K11088" s="7" t="s">
        <v>18</v>
      </c>
      <c r="L11088" s="8">
        <v>39987.315405092595</v>
      </c>
      <c r="M11088" s="9" t="s">
        <v>19</v>
      </c>
      <c r="N11088" s="9" t="s">
        <v>20</v>
      </c>
      <c r="O11088" s="6" t="str">
        <f>HYPERLINK("https://pbs.twimg.com/profile_images/962471262747529216/Uo8lOkRJ_normal.jpg","View")</f>
        <v>View</v>
      </c>
      <c r="P11088" s="7"/>
    </row>
    <row r="11089" spans="1:16">
      <c r="A11089" s="3">
        <v>44124.230057870373</v>
      </c>
      <c r="B11089" s="4" t="str">
        <f>HYPERLINK("https://twitter.com/petrogustavo","@petrogustavo")</f>
        <v>@petrogustavo</v>
      </c>
      <c r="C11089" s="5" t="s">
        <v>16</v>
      </c>
      <c r="D11089" s="5" t="s">
        <v>10674</v>
      </c>
      <c r="E11089" s="6" t="str">
        <f>HYPERLINK("https://twitter.com/petrogustavo/status/1318341482739269633","1318341482739269633")</f>
        <v>1318341482739269633</v>
      </c>
      <c r="F11089" s="7" t="s">
        <v>17</v>
      </c>
      <c r="G11089" s="7">
        <v>3993507</v>
      </c>
      <c r="H11089" s="7">
        <v>2446</v>
      </c>
      <c r="I11089" s="7">
        <v>106</v>
      </c>
      <c r="J11089" s="7">
        <v>0</v>
      </c>
      <c r="K11089" s="7" t="s">
        <v>18</v>
      </c>
      <c r="L11089" s="8">
        <v>39987.315405092595</v>
      </c>
      <c r="M11089" s="9" t="s">
        <v>19</v>
      </c>
      <c r="N11089" s="9" t="s">
        <v>20</v>
      </c>
      <c r="O11089" s="6" t="str">
        <f>HYPERLINK("https://pbs.twimg.com/profile_images/962471262747529216/Uo8lOkRJ_normal.jpg","View")</f>
        <v>View</v>
      </c>
      <c r="P11089" s="7"/>
    </row>
    <row r="11090" spans="1:16">
      <c r="A11090" s="3">
        <v>44124.299050925925</v>
      </c>
      <c r="B11090" s="4" t="str">
        <f>HYPERLINK("https://twitter.com/petrogustavo","@petrogustavo")</f>
        <v>@petrogustavo</v>
      </c>
      <c r="C11090" s="5" t="s">
        <v>16</v>
      </c>
      <c r="D11090" s="5" t="s">
        <v>10661</v>
      </c>
      <c r="E11090" s="6" t="str">
        <f>HYPERLINK("https://twitter.com/petrogustavo/status/1318366483416829952","1318366483416829952")</f>
        <v>1318366483416829952</v>
      </c>
      <c r="F11090" s="7" t="s">
        <v>32</v>
      </c>
      <c r="G11090" s="7">
        <v>3993579</v>
      </c>
      <c r="H11090" s="7">
        <v>2446</v>
      </c>
      <c r="I11090" s="7">
        <v>346</v>
      </c>
      <c r="J11090" s="7">
        <v>0</v>
      </c>
      <c r="K11090" s="7" t="s">
        <v>18</v>
      </c>
      <c r="L11090" s="8">
        <v>39987.315405092595</v>
      </c>
      <c r="M11090" s="9" t="s">
        <v>19</v>
      </c>
      <c r="N11090" s="9" t="s">
        <v>20</v>
      </c>
      <c r="O11090" s="6" t="str">
        <f>HYPERLINK("https://pbs.twimg.com/profile_images/962471262747529216/Uo8lOkRJ_normal.jpg","View")</f>
        <v>View</v>
      </c>
      <c r="P11090" s="7"/>
    </row>
    <row r="11091" spans="1:16">
      <c r="A11091" s="3">
        <v>44124.314375000002</v>
      </c>
      <c r="B11091" s="4" t="str">
        <f>HYPERLINK("https://twitter.com/petrogustavo","@petrogustavo")</f>
        <v>@petrogustavo</v>
      </c>
      <c r="C11091" s="5" t="s">
        <v>16</v>
      </c>
      <c r="D11091" s="5" t="s">
        <v>10675</v>
      </c>
      <c r="E11091" s="6" t="str">
        <f>HYPERLINK("https://twitter.com/petrogustavo/status/1318372035811303426","1318372035811303426")</f>
        <v>1318372035811303426</v>
      </c>
      <c r="F11091" s="7" t="s">
        <v>32</v>
      </c>
      <c r="G11091" s="7">
        <v>3993579</v>
      </c>
      <c r="H11091" s="7">
        <v>2446</v>
      </c>
      <c r="I11091" s="7">
        <v>12</v>
      </c>
      <c r="J11091" s="7">
        <v>0</v>
      </c>
      <c r="K11091" s="7" t="s">
        <v>18</v>
      </c>
      <c r="L11091" s="8">
        <v>39987.315405092595</v>
      </c>
      <c r="M11091" s="9" t="s">
        <v>19</v>
      </c>
      <c r="N11091" s="9" t="s">
        <v>20</v>
      </c>
      <c r="O11091" s="6" t="str">
        <f>HYPERLINK("https://pbs.twimg.com/profile_images/962471262747529216/Uo8lOkRJ_normal.jpg","View")</f>
        <v>View</v>
      </c>
      <c r="P11091" s="7"/>
    </row>
    <row r="11092" spans="1:16">
      <c r="A11092" s="3">
        <v>44124.708703703705</v>
      </c>
      <c r="B11092" s="4" t="str">
        <f>HYPERLINK("https://twitter.com/petrogustavo","@petrogustavo")</f>
        <v>@petrogustavo</v>
      </c>
      <c r="C11092" s="5" t="s">
        <v>16</v>
      </c>
      <c r="D11092" s="5" t="s">
        <v>10676</v>
      </c>
      <c r="E11092" s="6" t="str">
        <f>HYPERLINK("https://twitter.com/petrogustavo/status/1318514935832432640","1318514935832432640")</f>
        <v>1318514935832432640</v>
      </c>
      <c r="F11092" s="7" t="s">
        <v>17</v>
      </c>
      <c r="G11092" s="7">
        <v>3993753</v>
      </c>
      <c r="H11092" s="7">
        <v>2447</v>
      </c>
      <c r="I11092" s="7">
        <v>165</v>
      </c>
      <c r="J11092" s="7">
        <v>0</v>
      </c>
      <c r="K11092" s="7" t="s">
        <v>18</v>
      </c>
      <c r="L11092" s="8">
        <v>39987.315405092595</v>
      </c>
      <c r="M11092" s="9" t="s">
        <v>19</v>
      </c>
      <c r="N11092" s="9" t="s">
        <v>20</v>
      </c>
      <c r="O11092" s="6" t="str">
        <f>HYPERLINK("https://pbs.twimg.com/profile_images/962471262747529216/Uo8lOkRJ_normal.jpg","View")</f>
        <v>View</v>
      </c>
      <c r="P11092" s="7"/>
    </row>
    <row r="11093" spans="1:16">
      <c r="A11093" s="3">
        <v>44124.708877314813</v>
      </c>
      <c r="B11093" s="4" t="str">
        <f>HYPERLINK("https://twitter.com/petrogustavo","@petrogustavo")</f>
        <v>@petrogustavo</v>
      </c>
      <c r="C11093" s="5" t="s">
        <v>16</v>
      </c>
      <c r="D11093" s="5" t="s">
        <v>10677</v>
      </c>
      <c r="E11093" s="6" t="str">
        <f>HYPERLINK("https://twitter.com/petrogustavo/status/1318514998902202371","1318514998902202371")</f>
        <v>1318514998902202371</v>
      </c>
      <c r="F11093" s="7" t="s">
        <v>17</v>
      </c>
      <c r="G11093" s="7">
        <v>3993753</v>
      </c>
      <c r="H11093" s="7">
        <v>2447</v>
      </c>
      <c r="I11093" s="7">
        <v>19</v>
      </c>
      <c r="J11093" s="7">
        <v>0</v>
      </c>
      <c r="K11093" s="7" t="s">
        <v>18</v>
      </c>
      <c r="L11093" s="8">
        <v>39987.315405092595</v>
      </c>
      <c r="M11093" s="9" t="s">
        <v>19</v>
      </c>
      <c r="N11093" s="9" t="s">
        <v>20</v>
      </c>
      <c r="O11093" s="6" t="str">
        <f>HYPERLINK("https://pbs.twimg.com/profile_images/962471262747529216/Uo8lOkRJ_normal.jpg","View")</f>
        <v>View</v>
      </c>
      <c r="P11093" s="7"/>
    </row>
    <row r="11094" spans="1:16">
      <c r="A11094" s="3">
        <v>44124.710185185184</v>
      </c>
      <c r="B11094" s="4" t="str">
        <f>HYPERLINK("https://twitter.com/petrogustavo","@petrogustavo")</f>
        <v>@petrogustavo</v>
      </c>
      <c r="C11094" s="5" t="s">
        <v>16</v>
      </c>
      <c r="D11094" s="5" t="s">
        <v>10661</v>
      </c>
      <c r="E11094" s="6" t="str">
        <f>HYPERLINK("https://twitter.com/petrogustavo/status/1318515476075585538","1318515476075585538")</f>
        <v>1318515476075585538</v>
      </c>
      <c r="F11094" s="7" t="s">
        <v>17</v>
      </c>
      <c r="G11094" s="7">
        <v>3993753</v>
      </c>
      <c r="H11094" s="7">
        <v>2447</v>
      </c>
      <c r="I11094" s="7">
        <v>543</v>
      </c>
      <c r="J11094" s="7">
        <v>0</v>
      </c>
      <c r="K11094" s="7" t="s">
        <v>18</v>
      </c>
      <c r="L11094" s="8">
        <v>39987.315405092595</v>
      </c>
      <c r="M11094" s="9" t="s">
        <v>19</v>
      </c>
      <c r="N11094" s="9" t="s">
        <v>20</v>
      </c>
      <c r="O11094" s="6" t="str">
        <f>HYPERLINK("https://pbs.twimg.com/profile_images/962471262747529216/Uo8lOkRJ_normal.jpg","View")</f>
        <v>View</v>
      </c>
      <c r="P11094" s="7"/>
    </row>
    <row r="11095" spans="1:16">
      <c r="A11095" s="3">
        <v>44124.712523148148</v>
      </c>
      <c r="B11095" s="4" t="str">
        <f>HYPERLINK("https://twitter.com/petrogustavo","@petrogustavo")</f>
        <v>@petrogustavo</v>
      </c>
      <c r="C11095" s="5" t="s">
        <v>16</v>
      </c>
      <c r="D11095" s="5" t="s">
        <v>10661</v>
      </c>
      <c r="E11095" s="6" t="str">
        <f>HYPERLINK("https://twitter.com/petrogustavo/status/1318516323245318145","1318516323245318145")</f>
        <v>1318516323245318145</v>
      </c>
      <c r="F11095" s="7" t="s">
        <v>17</v>
      </c>
      <c r="G11095" s="7">
        <v>3993760</v>
      </c>
      <c r="H11095" s="7">
        <v>2447</v>
      </c>
      <c r="I11095" s="7">
        <v>205</v>
      </c>
      <c r="J11095" s="7">
        <v>0</v>
      </c>
      <c r="K11095" s="7" t="s">
        <v>18</v>
      </c>
      <c r="L11095" s="8">
        <v>39987.315405092595</v>
      </c>
      <c r="M11095" s="9" t="s">
        <v>19</v>
      </c>
      <c r="N11095" s="9" t="s">
        <v>20</v>
      </c>
      <c r="O11095" s="6" t="str">
        <f>HYPERLINK("https://pbs.twimg.com/profile_images/962471262747529216/Uo8lOkRJ_normal.jpg","View")</f>
        <v>View</v>
      </c>
      <c r="P11095" s="7"/>
    </row>
    <row r="11096" spans="1:16">
      <c r="A11096" s="3">
        <v>44124.714340277773</v>
      </c>
      <c r="B11096" s="4" t="str">
        <f>HYPERLINK("https://twitter.com/petrogustavo","@petrogustavo")</f>
        <v>@petrogustavo</v>
      </c>
      <c r="C11096" s="5" t="s">
        <v>16</v>
      </c>
      <c r="D11096" s="5" t="s">
        <v>10678</v>
      </c>
      <c r="E11096" s="6" t="str">
        <f>HYPERLINK("https://twitter.com/petrogustavo/status/1318516981004468225","1318516981004468225")</f>
        <v>1318516981004468225</v>
      </c>
      <c r="F11096" s="7" t="s">
        <v>17</v>
      </c>
      <c r="G11096" s="7">
        <v>3993760</v>
      </c>
      <c r="H11096" s="7">
        <v>2447</v>
      </c>
      <c r="I11096" s="7">
        <v>89</v>
      </c>
      <c r="J11096" s="7">
        <v>205</v>
      </c>
      <c r="K11096" s="7" t="s">
        <v>18</v>
      </c>
      <c r="L11096" s="8">
        <v>39987.315405092595</v>
      </c>
      <c r="M11096" s="9" t="s">
        <v>19</v>
      </c>
      <c r="N11096" s="9" t="s">
        <v>20</v>
      </c>
      <c r="O11096" s="6" t="str">
        <f>HYPERLINK("https://pbs.twimg.com/profile_images/962471262747529216/Uo8lOkRJ_normal.jpg","View")</f>
        <v>View</v>
      </c>
      <c r="P11096" s="7"/>
    </row>
    <row r="11097" spans="1:16">
      <c r="A11097" s="3">
        <v>44124.715428240743</v>
      </c>
      <c r="B11097" s="4" t="str">
        <f>HYPERLINK("https://twitter.com/petrogustavo","@petrogustavo")</f>
        <v>@petrogustavo</v>
      </c>
      <c r="C11097" s="5" t="s">
        <v>16</v>
      </c>
      <c r="D11097" s="5" t="s">
        <v>10679</v>
      </c>
      <c r="E11097" s="6" t="str">
        <f>HYPERLINK("https://twitter.com/petrogustavo/status/1318517375831056385","1318517375831056385")</f>
        <v>1318517375831056385</v>
      </c>
      <c r="F11097" s="7" t="s">
        <v>17</v>
      </c>
      <c r="G11097" s="7">
        <v>3993760</v>
      </c>
      <c r="H11097" s="7">
        <v>2447</v>
      </c>
      <c r="I11097" s="7">
        <v>63</v>
      </c>
      <c r="J11097" s="7">
        <v>0</v>
      </c>
      <c r="K11097" s="7" t="s">
        <v>18</v>
      </c>
      <c r="L11097" s="8">
        <v>39987.315405092595</v>
      </c>
      <c r="M11097" s="9" t="s">
        <v>19</v>
      </c>
      <c r="N11097" s="9" t="s">
        <v>20</v>
      </c>
      <c r="O11097" s="6" t="str">
        <f>HYPERLINK("https://pbs.twimg.com/profile_images/962471262747529216/Uo8lOkRJ_normal.jpg","View")</f>
        <v>View</v>
      </c>
      <c r="P11097" s="7"/>
    </row>
    <row r="11098" spans="1:16">
      <c r="A11098" s="3">
        <v>44124.717789351853</v>
      </c>
      <c r="B11098" s="4" t="str">
        <f>HYPERLINK("https://twitter.com/petrogustavo","@petrogustavo")</f>
        <v>@petrogustavo</v>
      </c>
      <c r="C11098" s="5" t="s">
        <v>16</v>
      </c>
      <c r="D11098" s="5" t="s">
        <v>10680</v>
      </c>
      <c r="E11098" s="6" t="str">
        <f>HYPERLINK("https://twitter.com/petrogustavo/status/1318518229287972868","1318518229287972868")</f>
        <v>1318518229287972868</v>
      </c>
      <c r="F11098" s="7" t="s">
        <v>17</v>
      </c>
      <c r="G11098" s="7">
        <v>3993760</v>
      </c>
      <c r="H11098" s="7">
        <v>2447</v>
      </c>
      <c r="I11098" s="7">
        <v>867</v>
      </c>
      <c r="J11098" s="7">
        <v>0</v>
      </c>
      <c r="K11098" s="7" t="s">
        <v>18</v>
      </c>
      <c r="L11098" s="8">
        <v>39987.315405092595</v>
      </c>
      <c r="M11098" s="9" t="s">
        <v>19</v>
      </c>
      <c r="N11098" s="9" t="s">
        <v>20</v>
      </c>
      <c r="O11098" s="6" t="str">
        <f>HYPERLINK("https://pbs.twimg.com/profile_images/962471262747529216/Uo8lOkRJ_normal.jpg","View")</f>
        <v>View</v>
      </c>
      <c r="P11098" s="7"/>
    </row>
    <row r="11099" spans="1:16">
      <c r="A11099" s="3">
        <v>44124.718032407407</v>
      </c>
      <c r="B11099" s="4" t="str">
        <f>HYPERLINK("https://twitter.com/petrogustavo","@petrogustavo")</f>
        <v>@petrogustavo</v>
      </c>
      <c r="C11099" s="5" t="s">
        <v>16</v>
      </c>
      <c r="D11099" s="5" t="s">
        <v>10681</v>
      </c>
      <c r="E11099" s="6" t="str">
        <f>HYPERLINK("https://twitter.com/petrogustavo/status/1318518318765166597","1318518318765166597")</f>
        <v>1318518318765166597</v>
      </c>
      <c r="F11099" s="7" t="s">
        <v>17</v>
      </c>
      <c r="G11099" s="7">
        <v>3993760</v>
      </c>
      <c r="H11099" s="7">
        <v>2447</v>
      </c>
      <c r="I11099" s="7">
        <v>1084</v>
      </c>
      <c r="J11099" s="7">
        <v>0</v>
      </c>
      <c r="K11099" s="7" t="s">
        <v>18</v>
      </c>
      <c r="L11099" s="8">
        <v>39987.315405092595</v>
      </c>
      <c r="M11099" s="9" t="s">
        <v>19</v>
      </c>
      <c r="N11099" s="9" t="s">
        <v>20</v>
      </c>
      <c r="O11099" s="6" t="str">
        <f>HYPERLINK("https://pbs.twimg.com/profile_images/962471262747529216/Uo8lOkRJ_normal.jpg","View")</f>
        <v>View</v>
      </c>
      <c r="P11099" s="7"/>
    </row>
    <row r="11100" spans="1:16">
      <c r="A11100" s="3">
        <v>44124.72</v>
      </c>
      <c r="B11100" s="4" t="str">
        <f>HYPERLINK("https://twitter.com/petrogustavo","@petrogustavo")</f>
        <v>@petrogustavo</v>
      </c>
      <c r="C11100" s="5" t="s">
        <v>16</v>
      </c>
      <c r="D11100" s="5" t="s">
        <v>10682</v>
      </c>
      <c r="E11100" s="6" t="str">
        <f>HYPERLINK("https://twitter.com/petrogustavo/status/1318519031985569794","1318519031985569794")</f>
        <v>1318519031985569794</v>
      </c>
      <c r="F11100" s="7" t="s">
        <v>17</v>
      </c>
      <c r="G11100" s="7">
        <v>3993760</v>
      </c>
      <c r="H11100" s="7">
        <v>2447</v>
      </c>
      <c r="I11100" s="7">
        <v>140</v>
      </c>
      <c r="J11100" s="7">
        <v>0</v>
      </c>
      <c r="K11100" s="7" t="s">
        <v>18</v>
      </c>
      <c r="L11100" s="8">
        <v>39987.315405092595</v>
      </c>
      <c r="M11100" s="9" t="s">
        <v>19</v>
      </c>
      <c r="N11100" s="9" t="s">
        <v>20</v>
      </c>
      <c r="O11100" s="6" t="str">
        <f>HYPERLINK("https://pbs.twimg.com/profile_images/962471262747529216/Uo8lOkRJ_normal.jpg","View")</f>
        <v>View</v>
      </c>
      <c r="P11100" s="7"/>
    </row>
    <row r="11101" spans="1:16">
      <c r="A11101" s="3">
        <v>44124.720358796301</v>
      </c>
      <c r="B11101" s="4" t="str">
        <f>HYPERLINK("https://twitter.com/petrogustavo","@petrogustavo")</f>
        <v>@petrogustavo</v>
      </c>
      <c r="C11101" s="5" t="s">
        <v>16</v>
      </c>
      <c r="D11101" s="5" t="s">
        <v>10683</v>
      </c>
      <c r="E11101" s="6" t="str">
        <f>HYPERLINK("https://twitter.com/petrogustavo/status/1318519162239680512","1318519162239680512")</f>
        <v>1318519162239680512</v>
      </c>
      <c r="F11101" s="7" t="s">
        <v>17</v>
      </c>
      <c r="G11101" s="7">
        <v>3993760</v>
      </c>
      <c r="H11101" s="7">
        <v>2447</v>
      </c>
      <c r="I11101" s="7">
        <v>62</v>
      </c>
      <c r="J11101" s="7">
        <v>0</v>
      </c>
      <c r="K11101" s="7" t="s">
        <v>18</v>
      </c>
      <c r="L11101" s="8">
        <v>39987.315405092595</v>
      </c>
      <c r="M11101" s="9" t="s">
        <v>19</v>
      </c>
      <c r="N11101" s="9" t="s">
        <v>20</v>
      </c>
      <c r="O11101" s="6" t="str">
        <f>HYPERLINK("https://pbs.twimg.com/profile_images/962471262747529216/Uo8lOkRJ_normal.jpg","View")</f>
        <v>View</v>
      </c>
      <c r="P11101" s="7"/>
    </row>
    <row r="11102" spans="1:16">
      <c r="A11102" s="3">
        <v>44124.720925925925</v>
      </c>
      <c r="B11102" s="4" t="str">
        <f>HYPERLINK("https://twitter.com/petrogustavo","@petrogustavo")</f>
        <v>@petrogustavo</v>
      </c>
      <c r="C11102" s="5" t="s">
        <v>16</v>
      </c>
      <c r="D11102" s="5" t="s">
        <v>10684</v>
      </c>
      <c r="E11102" s="6" t="str">
        <f>HYPERLINK("https://twitter.com/petrogustavo/status/1318519366053289984","1318519366053289984")</f>
        <v>1318519366053289984</v>
      </c>
      <c r="F11102" s="7" t="s">
        <v>17</v>
      </c>
      <c r="G11102" s="7">
        <v>3993760</v>
      </c>
      <c r="H11102" s="7">
        <v>2447</v>
      </c>
      <c r="I11102" s="7">
        <v>152</v>
      </c>
      <c r="J11102" s="7">
        <v>0</v>
      </c>
      <c r="K11102" s="7" t="s">
        <v>18</v>
      </c>
      <c r="L11102" s="8">
        <v>39987.315405092595</v>
      </c>
      <c r="M11102" s="9" t="s">
        <v>19</v>
      </c>
      <c r="N11102" s="9" t="s">
        <v>20</v>
      </c>
      <c r="O11102" s="6" t="str">
        <f>HYPERLINK("https://pbs.twimg.com/profile_images/962471262747529216/Uo8lOkRJ_normal.jpg","View")</f>
        <v>View</v>
      </c>
      <c r="P11102" s="7"/>
    </row>
    <row r="11103" spans="1:16">
      <c r="A11103" s="3">
        <v>44124.722673611112</v>
      </c>
      <c r="B11103" s="4" t="str">
        <f>HYPERLINK("https://twitter.com/petrogustavo","@petrogustavo")</f>
        <v>@petrogustavo</v>
      </c>
      <c r="C11103" s="5" t="s">
        <v>16</v>
      </c>
      <c r="D11103" s="5" t="s">
        <v>10685</v>
      </c>
      <c r="E11103" s="6" t="str">
        <f>HYPERLINK("https://twitter.com/petrogustavo/status/1318520001331105793","1318520001331105793")</f>
        <v>1318520001331105793</v>
      </c>
      <c r="F11103" s="7" t="s">
        <v>17</v>
      </c>
      <c r="G11103" s="7">
        <v>3993760</v>
      </c>
      <c r="H11103" s="7">
        <v>2447</v>
      </c>
      <c r="I11103" s="7">
        <v>240</v>
      </c>
      <c r="J11103" s="7">
        <v>0</v>
      </c>
      <c r="K11103" s="7" t="s">
        <v>18</v>
      </c>
      <c r="L11103" s="8">
        <v>39987.315405092595</v>
      </c>
      <c r="M11103" s="9" t="s">
        <v>19</v>
      </c>
      <c r="N11103" s="9" t="s">
        <v>20</v>
      </c>
      <c r="O11103" s="6" t="str">
        <f>HYPERLINK("https://pbs.twimg.com/profile_images/962471262747529216/Uo8lOkRJ_normal.jpg","View")</f>
        <v>View</v>
      </c>
      <c r="P11103" s="7"/>
    </row>
    <row r="11104" spans="1:16">
      <c r="A11104" s="3">
        <v>44124.724606481483</v>
      </c>
      <c r="B11104" s="4" t="str">
        <f>HYPERLINK("https://twitter.com/petrogustavo","@petrogustavo")</f>
        <v>@petrogustavo</v>
      </c>
      <c r="C11104" s="5" t="s">
        <v>16</v>
      </c>
      <c r="D11104" s="5" t="s">
        <v>10686</v>
      </c>
      <c r="E11104" s="6" t="str">
        <f>HYPERLINK("https://twitter.com/petrogustavo/status/1318520700609626118","1318520700609626118")</f>
        <v>1318520700609626118</v>
      </c>
      <c r="F11104" s="7" t="s">
        <v>17</v>
      </c>
      <c r="G11104" s="7">
        <v>3993760</v>
      </c>
      <c r="H11104" s="7">
        <v>2447</v>
      </c>
      <c r="I11104" s="7">
        <v>54</v>
      </c>
      <c r="J11104" s="7">
        <v>123</v>
      </c>
      <c r="K11104" s="7" t="s">
        <v>18</v>
      </c>
      <c r="L11104" s="8">
        <v>39987.315405092595</v>
      </c>
      <c r="M11104" s="9" t="s">
        <v>19</v>
      </c>
      <c r="N11104" s="9" t="s">
        <v>20</v>
      </c>
      <c r="O11104" s="6" t="str">
        <f>HYPERLINK("https://pbs.twimg.com/profile_images/962471262747529216/Uo8lOkRJ_normal.jpg","View")</f>
        <v>View</v>
      </c>
      <c r="P11104" s="7"/>
    </row>
    <row r="11105" spans="1:16">
      <c r="A11105" s="3">
        <v>44124.724988425922</v>
      </c>
      <c r="B11105" s="4" t="str">
        <f>HYPERLINK("https://twitter.com/petrogustavo","@petrogustavo")</f>
        <v>@petrogustavo</v>
      </c>
      <c r="C11105" s="5" t="s">
        <v>16</v>
      </c>
      <c r="D11105" s="5" t="s">
        <v>10687</v>
      </c>
      <c r="E11105" s="6" t="str">
        <f>HYPERLINK("https://twitter.com/petrogustavo/status/1318520837666983937","1318520837666983937")</f>
        <v>1318520837666983937</v>
      </c>
      <c r="F11105" s="7" t="s">
        <v>17</v>
      </c>
      <c r="G11105" s="7">
        <v>3993760</v>
      </c>
      <c r="H11105" s="7">
        <v>2447</v>
      </c>
      <c r="I11105" s="7">
        <v>2363</v>
      </c>
      <c r="J11105" s="7">
        <v>0</v>
      </c>
      <c r="K11105" s="7" t="s">
        <v>18</v>
      </c>
      <c r="L11105" s="8">
        <v>39987.315405092595</v>
      </c>
      <c r="M11105" s="9" t="s">
        <v>19</v>
      </c>
      <c r="N11105" s="9" t="s">
        <v>20</v>
      </c>
      <c r="O11105" s="6" t="str">
        <f>HYPERLINK("https://pbs.twimg.com/profile_images/962471262747529216/Uo8lOkRJ_normal.jpg","View")</f>
        <v>View</v>
      </c>
      <c r="P11105" s="7"/>
    </row>
    <row r="11106" spans="1:16">
      <c r="A11106" s="3">
        <v>44124.727361111116</v>
      </c>
      <c r="B11106" s="4" t="str">
        <f>HYPERLINK("https://twitter.com/petrogustavo","@petrogustavo")</f>
        <v>@petrogustavo</v>
      </c>
      <c r="C11106" s="5" t="s">
        <v>16</v>
      </c>
      <c r="D11106" s="5" t="s">
        <v>10688</v>
      </c>
      <c r="E11106" s="6" t="str">
        <f>HYPERLINK("https://twitter.com/petrogustavo/status/1318521698023542784","1318521698023542784")</f>
        <v>1318521698023542784</v>
      </c>
      <c r="F11106" s="7" t="s">
        <v>17</v>
      </c>
      <c r="G11106" s="7">
        <v>3993760</v>
      </c>
      <c r="H11106" s="7">
        <v>2447</v>
      </c>
      <c r="I11106" s="7">
        <v>32</v>
      </c>
      <c r="J11106" s="7">
        <v>88</v>
      </c>
      <c r="K11106" s="7" t="s">
        <v>18</v>
      </c>
      <c r="L11106" s="8">
        <v>39987.315405092595</v>
      </c>
      <c r="M11106" s="9" t="s">
        <v>19</v>
      </c>
      <c r="N11106" s="9" t="s">
        <v>20</v>
      </c>
      <c r="O11106" s="6" t="str">
        <f>HYPERLINK("https://pbs.twimg.com/profile_images/962471262747529216/Uo8lOkRJ_normal.jpg","View")</f>
        <v>View</v>
      </c>
      <c r="P11106" s="7"/>
    </row>
    <row r="11107" spans="1:16">
      <c r="A11107" s="3">
        <v>44124.729189814811</v>
      </c>
      <c r="B11107" s="4" t="str">
        <f>HYPERLINK("https://twitter.com/petrogustavo","@petrogustavo")</f>
        <v>@petrogustavo</v>
      </c>
      <c r="C11107" s="5" t="s">
        <v>16</v>
      </c>
      <c r="D11107" s="5" t="s">
        <v>10689</v>
      </c>
      <c r="E11107" s="6" t="str">
        <f>HYPERLINK("https://twitter.com/petrogustavo/status/1318522360098672645","1318522360098672645")</f>
        <v>1318522360098672645</v>
      </c>
      <c r="F11107" s="7" t="s">
        <v>17</v>
      </c>
      <c r="G11107" s="7">
        <v>3993760</v>
      </c>
      <c r="H11107" s="7">
        <v>2447</v>
      </c>
      <c r="I11107" s="7">
        <v>791</v>
      </c>
      <c r="J11107" s="7">
        <v>0</v>
      </c>
      <c r="K11107" s="7" t="s">
        <v>18</v>
      </c>
      <c r="L11107" s="8">
        <v>39987.315405092595</v>
      </c>
      <c r="M11107" s="9" t="s">
        <v>19</v>
      </c>
      <c r="N11107" s="9" t="s">
        <v>20</v>
      </c>
      <c r="O11107" s="6" t="str">
        <f>HYPERLINK("https://pbs.twimg.com/profile_images/962471262747529216/Uo8lOkRJ_normal.jpg","View")</f>
        <v>View</v>
      </c>
      <c r="P11107" s="7"/>
    </row>
    <row r="11108" spans="1:16">
      <c r="A11108" s="3">
        <v>44124.730879629627</v>
      </c>
      <c r="B11108" s="4" t="str">
        <f>HYPERLINK("https://twitter.com/petrogustavo","@petrogustavo")</f>
        <v>@petrogustavo</v>
      </c>
      <c r="C11108" s="5" t="s">
        <v>16</v>
      </c>
      <c r="D11108" s="5" t="s">
        <v>10690</v>
      </c>
      <c r="E11108" s="6" t="str">
        <f>HYPERLINK("https://twitter.com/petrogustavo/status/1318522972076937216","1318522972076937216")</f>
        <v>1318522972076937216</v>
      </c>
      <c r="F11108" s="7" t="s">
        <v>17</v>
      </c>
      <c r="G11108" s="7">
        <v>3993760</v>
      </c>
      <c r="H11108" s="7">
        <v>2447</v>
      </c>
      <c r="I11108" s="7">
        <v>3</v>
      </c>
      <c r="J11108" s="7">
        <v>8</v>
      </c>
      <c r="K11108" s="7" t="s">
        <v>18</v>
      </c>
      <c r="L11108" s="8">
        <v>39987.315405092595</v>
      </c>
      <c r="M11108" s="9" t="s">
        <v>19</v>
      </c>
      <c r="N11108" s="9" t="s">
        <v>20</v>
      </c>
      <c r="O11108" s="6" t="str">
        <f>HYPERLINK("https://pbs.twimg.com/profile_images/962471262747529216/Uo8lOkRJ_normal.jpg","View")</f>
        <v>View</v>
      </c>
      <c r="P11108" s="7"/>
    </row>
    <row r="11109" spans="1:16">
      <c r="A11109" s="3">
        <v>44124.732488425929</v>
      </c>
      <c r="B11109" s="4" t="str">
        <f>HYPERLINK("https://twitter.com/petrogustavo","@petrogustavo")</f>
        <v>@petrogustavo</v>
      </c>
      <c r="C11109" s="5" t="s">
        <v>16</v>
      </c>
      <c r="D11109" s="5" t="s">
        <v>10691</v>
      </c>
      <c r="E11109" s="6" t="str">
        <f>HYPERLINK("https://twitter.com/petrogustavo/status/1318523556540616704","1318523556540616704")</f>
        <v>1318523556540616704</v>
      </c>
      <c r="F11109" s="7" t="s">
        <v>17</v>
      </c>
      <c r="G11109" s="7">
        <v>3993767</v>
      </c>
      <c r="H11109" s="7">
        <v>2447</v>
      </c>
      <c r="I11109" s="7">
        <v>96</v>
      </c>
      <c r="J11109" s="7">
        <v>248</v>
      </c>
      <c r="K11109" s="7" t="s">
        <v>18</v>
      </c>
      <c r="L11109" s="8">
        <v>39987.315405092595</v>
      </c>
      <c r="M11109" s="9" t="s">
        <v>19</v>
      </c>
      <c r="N11109" s="9" t="s">
        <v>20</v>
      </c>
      <c r="O11109" s="6" t="str">
        <f>HYPERLINK("https://pbs.twimg.com/profile_images/962471262747529216/Uo8lOkRJ_normal.jpg","View")</f>
        <v>View</v>
      </c>
      <c r="P11109" s="7"/>
    </row>
    <row r="11110" spans="1:16">
      <c r="A11110" s="3">
        <v>44124.748576388884</v>
      </c>
      <c r="B11110" s="4" t="str">
        <f>HYPERLINK("https://twitter.com/petrogustavo","@petrogustavo")</f>
        <v>@petrogustavo</v>
      </c>
      <c r="C11110" s="5" t="s">
        <v>16</v>
      </c>
      <c r="D11110" s="5" t="s">
        <v>10692</v>
      </c>
      <c r="E11110" s="6" t="str">
        <f>HYPERLINK("https://twitter.com/petrogustavo/status/1318529388577738753","1318529388577738753")</f>
        <v>1318529388577738753</v>
      </c>
      <c r="F11110" s="7" t="s">
        <v>17</v>
      </c>
      <c r="G11110" s="7">
        <v>3993767</v>
      </c>
      <c r="H11110" s="7">
        <v>2447</v>
      </c>
      <c r="I11110" s="7">
        <v>15</v>
      </c>
      <c r="J11110" s="7">
        <v>40</v>
      </c>
      <c r="K11110" s="7" t="s">
        <v>18</v>
      </c>
      <c r="L11110" s="8">
        <v>39987.315405092595</v>
      </c>
      <c r="M11110" s="9" t="s">
        <v>19</v>
      </c>
      <c r="N11110" s="9" t="s">
        <v>20</v>
      </c>
      <c r="O11110" s="6" t="str">
        <f>HYPERLINK("https://pbs.twimg.com/profile_images/962471262747529216/Uo8lOkRJ_normal.jpg","View")</f>
        <v>View</v>
      </c>
      <c r="P11110" s="7"/>
    </row>
    <row r="11111" spans="1:16">
      <c r="A11111" s="3">
        <v>44124.750231481477</v>
      </c>
      <c r="B11111" s="4" t="str">
        <f>HYPERLINK("https://twitter.com/petrogustavo","@petrogustavo")</f>
        <v>@petrogustavo</v>
      </c>
      <c r="C11111" s="5" t="s">
        <v>16</v>
      </c>
      <c r="D11111" s="5" t="s">
        <v>10693</v>
      </c>
      <c r="E11111" s="6" t="str">
        <f>HYPERLINK("https://twitter.com/petrogustavo/status/1318529987893469186","1318529987893469186")</f>
        <v>1318529987893469186</v>
      </c>
      <c r="F11111" s="7" t="s">
        <v>17</v>
      </c>
      <c r="G11111" s="7">
        <v>3993767</v>
      </c>
      <c r="H11111" s="7">
        <v>2447</v>
      </c>
      <c r="I11111" s="7">
        <v>26</v>
      </c>
      <c r="J11111" s="7">
        <v>67</v>
      </c>
      <c r="K11111" s="7" t="s">
        <v>18</v>
      </c>
      <c r="L11111" s="8">
        <v>39987.315405092595</v>
      </c>
      <c r="M11111" s="9" t="s">
        <v>19</v>
      </c>
      <c r="N11111" s="9" t="s">
        <v>20</v>
      </c>
      <c r="O11111" s="6" t="str">
        <f>HYPERLINK("https://pbs.twimg.com/profile_images/962471262747529216/Uo8lOkRJ_normal.jpg","View")</f>
        <v>View</v>
      </c>
      <c r="P11111" s="7"/>
    </row>
    <row r="11112" spans="1:16">
      <c r="A11112" s="3">
        <v>44124.751250000001</v>
      </c>
      <c r="B11112" s="4" t="str">
        <f>HYPERLINK("https://twitter.com/petrogustavo","@petrogustavo")</f>
        <v>@petrogustavo</v>
      </c>
      <c r="C11112" s="5" t="s">
        <v>16</v>
      </c>
      <c r="D11112" s="5" t="s">
        <v>10694</v>
      </c>
      <c r="E11112" s="6" t="str">
        <f>HYPERLINK("https://twitter.com/petrogustavo/status/1318530355683643392","1318530355683643392")</f>
        <v>1318530355683643392</v>
      </c>
      <c r="F11112" s="7" t="s">
        <v>17</v>
      </c>
      <c r="G11112" s="7">
        <v>3993767</v>
      </c>
      <c r="H11112" s="7">
        <v>2447</v>
      </c>
      <c r="I11112" s="7">
        <v>42</v>
      </c>
      <c r="J11112" s="7">
        <v>0</v>
      </c>
      <c r="K11112" s="7" t="s">
        <v>18</v>
      </c>
      <c r="L11112" s="8">
        <v>39987.315405092595</v>
      </c>
      <c r="M11112" s="9" t="s">
        <v>19</v>
      </c>
      <c r="N11112" s="9" t="s">
        <v>20</v>
      </c>
      <c r="O11112" s="6" t="str">
        <f>HYPERLINK("https://pbs.twimg.com/profile_images/962471262747529216/Uo8lOkRJ_normal.jpg","View")</f>
        <v>View</v>
      </c>
      <c r="P11112" s="7"/>
    </row>
    <row r="11113" spans="1:16">
      <c r="A11113" s="3">
        <v>44124.757118055553</v>
      </c>
      <c r="B11113" s="4" t="str">
        <f>HYPERLINK("https://twitter.com/petrogustavo","@petrogustavo")</f>
        <v>@petrogustavo</v>
      </c>
      <c r="C11113" s="5" t="s">
        <v>16</v>
      </c>
      <c r="D11113" s="5" t="s">
        <v>10695</v>
      </c>
      <c r="E11113" s="6" t="str">
        <f>HYPERLINK("https://twitter.com/petrogustavo/status/1318532482439012352","1318532482439012352")</f>
        <v>1318532482439012352</v>
      </c>
      <c r="F11113" s="7" t="s">
        <v>17</v>
      </c>
      <c r="G11113" s="7">
        <v>3993794</v>
      </c>
      <c r="H11113" s="7">
        <v>2447</v>
      </c>
      <c r="I11113" s="7">
        <v>74</v>
      </c>
      <c r="J11113" s="7">
        <v>190</v>
      </c>
      <c r="K11113" s="7" t="s">
        <v>18</v>
      </c>
      <c r="L11113" s="8">
        <v>39987.315405092595</v>
      </c>
      <c r="M11113" s="9" t="s">
        <v>19</v>
      </c>
      <c r="N11113" s="9" t="s">
        <v>20</v>
      </c>
      <c r="O11113" s="6" t="str">
        <f>HYPERLINK("https://pbs.twimg.com/profile_images/962471262747529216/Uo8lOkRJ_normal.jpg","View")</f>
        <v>View</v>
      </c>
      <c r="P11113" s="7"/>
    </row>
    <row r="11114" spans="1:16">
      <c r="A11114" s="3">
        <v>44124.757604166662</v>
      </c>
      <c r="B11114" s="4" t="str">
        <f>HYPERLINK("https://twitter.com/petrogustavo","@petrogustavo")</f>
        <v>@petrogustavo</v>
      </c>
      <c r="C11114" s="5" t="s">
        <v>16</v>
      </c>
      <c r="D11114" s="5" t="s">
        <v>10696</v>
      </c>
      <c r="E11114" s="6" t="str">
        <f>HYPERLINK("https://twitter.com/petrogustavo/status/1318532657353981952","1318532657353981952")</f>
        <v>1318532657353981952</v>
      </c>
      <c r="F11114" s="7" t="s">
        <v>17</v>
      </c>
      <c r="G11114" s="7">
        <v>3993794</v>
      </c>
      <c r="H11114" s="7">
        <v>2447</v>
      </c>
      <c r="I11114" s="7">
        <v>188</v>
      </c>
      <c r="J11114" s="7">
        <v>0</v>
      </c>
      <c r="K11114" s="7" t="s">
        <v>18</v>
      </c>
      <c r="L11114" s="8">
        <v>39987.315405092595</v>
      </c>
      <c r="M11114" s="9" t="s">
        <v>19</v>
      </c>
      <c r="N11114" s="9" t="s">
        <v>20</v>
      </c>
      <c r="O11114" s="6" t="str">
        <f>HYPERLINK("https://pbs.twimg.com/profile_images/962471262747529216/Uo8lOkRJ_normal.jpg","View")</f>
        <v>View</v>
      </c>
      <c r="P11114" s="7"/>
    </row>
    <row r="11115" spans="1:16">
      <c r="A11115" s="3">
        <v>44124.762418981481</v>
      </c>
      <c r="B11115" s="4" t="str">
        <f>HYPERLINK("https://twitter.com/petrogustavo","@petrogustavo")</f>
        <v>@petrogustavo</v>
      </c>
      <c r="C11115" s="5" t="s">
        <v>16</v>
      </c>
      <c r="D11115" s="5" t="s">
        <v>10697</v>
      </c>
      <c r="E11115" s="6" t="str">
        <f>HYPERLINK("https://twitter.com/petrogustavo/status/1318534401169436672","1318534401169436672")</f>
        <v>1318534401169436672</v>
      </c>
      <c r="F11115" s="7" t="s">
        <v>17</v>
      </c>
      <c r="G11115" s="7">
        <v>3993794</v>
      </c>
      <c r="H11115" s="7">
        <v>2447</v>
      </c>
      <c r="I11115" s="7">
        <v>76</v>
      </c>
      <c r="J11115" s="7">
        <v>220</v>
      </c>
      <c r="K11115" s="7" t="s">
        <v>18</v>
      </c>
      <c r="L11115" s="8">
        <v>39987.315405092595</v>
      </c>
      <c r="M11115" s="9" t="s">
        <v>19</v>
      </c>
      <c r="N11115" s="9" t="s">
        <v>20</v>
      </c>
      <c r="O11115" s="6" t="str">
        <f>HYPERLINK("https://pbs.twimg.com/profile_images/962471262747529216/Uo8lOkRJ_normal.jpg","View")</f>
        <v>View</v>
      </c>
      <c r="P11115" s="7"/>
    </row>
    <row r="11116" spans="1:16">
      <c r="A11116" s="3">
        <v>44124.807581018518</v>
      </c>
      <c r="B11116" s="4" t="str">
        <f>HYPERLINK("https://twitter.com/petrogustavo","@petrogustavo")</f>
        <v>@petrogustavo</v>
      </c>
      <c r="C11116" s="5" t="s">
        <v>16</v>
      </c>
      <c r="D11116" s="5" t="s">
        <v>10698</v>
      </c>
      <c r="E11116" s="6" t="str">
        <f>HYPERLINK("https://twitter.com/petrogustavo/status/1318550770187440134","1318550770187440134")</f>
        <v>1318550770187440134</v>
      </c>
      <c r="F11116" s="7" t="s">
        <v>17</v>
      </c>
      <c r="G11116" s="7">
        <v>3993825</v>
      </c>
      <c r="H11116" s="7">
        <v>2447</v>
      </c>
      <c r="I11116" s="7">
        <v>89</v>
      </c>
      <c r="J11116" s="7">
        <v>242</v>
      </c>
      <c r="K11116" s="7" t="s">
        <v>18</v>
      </c>
      <c r="L11116" s="8">
        <v>39987.315405092595</v>
      </c>
      <c r="M11116" s="9" t="s">
        <v>19</v>
      </c>
      <c r="N11116" s="9" t="s">
        <v>20</v>
      </c>
      <c r="O11116" s="6" t="str">
        <f>HYPERLINK("https://pbs.twimg.com/profile_images/962471262747529216/Uo8lOkRJ_normal.jpg","View")</f>
        <v>View</v>
      </c>
      <c r="P11116" s="7"/>
    </row>
    <row r="11117" spans="1:16">
      <c r="A11117" s="3">
        <v>44124.956793981481</v>
      </c>
      <c r="B11117" s="4" t="str">
        <f>HYPERLINK("https://twitter.com/petrogustavo","@petrogustavo")</f>
        <v>@petrogustavo</v>
      </c>
      <c r="C11117" s="5" t="s">
        <v>16</v>
      </c>
      <c r="D11117" s="5" t="s">
        <v>10699</v>
      </c>
      <c r="E11117" s="6" t="str">
        <f>HYPERLINK("https://twitter.com/petrogustavo/status/1318604840956796928","1318604840956796928")</f>
        <v>1318604840956796928</v>
      </c>
      <c r="F11117" s="7" t="s">
        <v>17</v>
      </c>
      <c r="G11117" s="7">
        <v>3993934</v>
      </c>
      <c r="H11117" s="7">
        <v>2447</v>
      </c>
      <c r="I11117" s="7">
        <v>61</v>
      </c>
      <c r="J11117" s="7">
        <v>76</v>
      </c>
      <c r="K11117" s="7" t="s">
        <v>18</v>
      </c>
      <c r="L11117" s="8">
        <v>39987.315405092595</v>
      </c>
      <c r="M11117" s="9" t="s">
        <v>19</v>
      </c>
      <c r="N11117" s="9" t="s">
        <v>20</v>
      </c>
      <c r="O11117" s="6" t="str">
        <f>HYPERLINK("https://pbs.twimg.com/profile_images/962471262747529216/Uo8lOkRJ_normal.jpg","View")</f>
        <v>View</v>
      </c>
      <c r="P11117" s="7"/>
    </row>
    <row r="11118" spans="1:16">
      <c r="A11118" s="3">
        <v>44124.988495370373</v>
      </c>
      <c r="B11118" s="4" t="str">
        <f>HYPERLINK("https://twitter.com/petrogustavo","@petrogustavo")</f>
        <v>@petrogustavo</v>
      </c>
      <c r="C11118" s="5" t="s">
        <v>16</v>
      </c>
      <c r="D11118" s="5" t="s">
        <v>10700</v>
      </c>
      <c r="E11118" s="6" t="str">
        <f>HYPERLINK("https://twitter.com/petrogustavo/status/1318616328866058247","1318616328866058247")</f>
        <v>1318616328866058247</v>
      </c>
      <c r="F11118" s="7" t="s">
        <v>17</v>
      </c>
      <c r="G11118" s="7">
        <v>3993975</v>
      </c>
      <c r="H11118" s="7">
        <v>2447</v>
      </c>
      <c r="I11118" s="7">
        <v>538</v>
      </c>
      <c r="J11118" s="7">
        <v>1097</v>
      </c>
      <c r="K11118" s="7" t="s">
        <v>18</v>
      </c>
      <c r="L11118" s="8">
        <v>39987.315405092595</v>
      </c>
      <c r="M11118" s="9" t="s">
        <v>19</v>
      </c>
      <c r="N11118" s="9" t="s">
        <v>20</v>
      </c>
      <c r="O11118" s="6" t="str">
        <f>HYPERLINK("https://pbs.twimg.com/profile_images/962471262747529216/Uo8lOkRJ_normal.jpg","View")</f>
        <v>View</v>
      </c>
      <c r="P11118" s="7"/>
    </row>
    <row r="11119" spans="1:16">
      <c r="A11119" s="3">
        <v>44125.22152777778</v>
      </c>
      <c r="B11119" s="4" t="str">
        <f>HYPERLINK("https://twitter.com/petrogustavo","@petrogustavo")</f>
        <v>@petrogustavo</v>
      </c>
      <c r="C11119" s="5" t="s">
        <v>16</v>
      </c>
      <c r="D11119" s="5" t="s">
        <v>10701</v>
      </c>
      <c r="E11119" s="6" t="str">
        <f>HYPERLINK("https://twitter.com/petrogustavo/status/1318700779574857729","1318700779574857729")</f>
        <v>1318700779574857729</v>
      </c>
      <c r="F11119" s="7" t="s">
        <v>17</v>
      </c>
      <c r="G11119" s="7">
        <v>3994192</v>
      </c>
      <c r="H11119" s="7">
        <v>2447</v>
      </c>
      <c r="I11119" s="7">
        <v>242</v>
      </c>
      <c r="J11119" s="7">
        <v>0</v>
      </c>
      <c r="K11119" s="7" t="s">
        <v>18</v>
      </c>
      <c r="L11119" s="8">
        <v>39987.315405092595</v>
      </c>
      <c r="M11119" s="9" t="s">
        <v>19</v>
      </c>
      <c r="N11119" s="9" t="s">
        <v>20</v>
      </c>
      <c r="O11119" s="6" t="str">
        <f>HYPERLINK("https://pbs.twimg.com/profile_images/962471262747529216/Uo8lOkRJ_normal.jpg","View")</f>
        <v>View</v>
      </c>
      <c r="P11119" s="7"/>
    </row>
    <row r="11120" spans="1:16">
      <c r="A11120" s="3">
        <v>44125.22383101852</v>
      </c>
      <c r="B11120" s="4" t="str">
        <f>HYPERLINK("https://twitter.com/petrogustavo","@petrogustavo")</f>
        <v>@petrogustavo</v>
      </c>
      <c r="C11120" s="5" t="s">
        <v>16</v>
      </c>
      <c r="D11120" s="5" t="s">
        <v>10702</v>
      </c>
      <c r="E11120" s="6" t="str">
        <f>HYPERLINK("https://twitter.com/petrogustavo/status/1318701613679366147","1318701613679366147")</f>
        <v>1318701613679366147</v>
      </c>
      <c r="F11120" s="7" t="s">
        <v>17</v>
      </c>
      <c r="G11120" s="7">
        <v>3994192</v>
      </c>
      <c r="H11120" s="7">
        <v>2447</v>
      </c>
      <c r="I11120" s="7">
        <v>23</v>
      </c>
      <c r="J11120" s="7">
        <v>0</v>
      </c>
      <c r="K11120" s="7" t="s">
        <v>18</v>
      </c>
      <c r="L11120" s="8">
        <v>39987.315405092595</v>
      </c>
      <c r="M11120" s="9" t="s">
        <v>19</v>
      </c>
      <c r="N11120" s="9" t="s">
        <v>20</v>
      </c>
      <c r="O11120" s="6" t="str">
        <f>HYPERLINK("https://pbs.twimg.com/profile_images/962471262747529216/Uo8lOkRJ_normal.jpg","View")</f>
        <v>View</v>
      </c>
      <c r="P11120" s="7"/>
    </row>
    <row r="11121" spans="1:16">
      <c r="A11121" s="3">
        <v>44125.22519675926</v>
      </c>
      <c r="B11121" s="4" t="str">
        <f>HYPERLINK("https://twitter.com/petrogustavo","@petrogustavo")</f>
        <v>@petrogustavo</v>
      </c>
      <c r="C11121" s="5" t="s">
        <v>16</v>
      </c>
      <c r="D11121" s="5" t="s">
        <v>10703</v>
      </c>
      <c r="E11121" s="6" t="str">
        <f>HYPERLINK("https://twitter.com/petrogustavo/status/1318702106606510080","1318702106606510080")</f>
        <v>1318702106606510080</v>
      </c>
      <c r="F11121" s="7" t="s">
        <v>17</v>
      </c>
      <c r="G11121" s="7">
        <v>3994192</v>
      </c>
      <c r="H11121" s="7">
        <v>2447</v>
      </c>
      <c r="I11121" s="7">
        <v>114</v>
      </c>
      <c r="J11121" s="7">
        <v>0</v>
      </c>
      <c r="K11121" s="7" t="s">
        <v>18</v>
      </c>
      <c r="L11121" s="8">
        <v>39987.315405092595</v>
      </c>
      <c r="M11121" s="9" t="s">
        <v>19</v>
      </c>
      <c r="N11121" s="9" t="s">
        <v>20</v>
      </c>
      <c r="O11121" s="6" t="str">
        <f>HYPERLINK("https://pbs.twimg.com/profile_images/962471262747529216/Uo8lOkRJ_normal.jpg","View")</f>
        <v>View</v>
      </c>
      <c r="P11121" s="7"/>
    </row>
    <row r="11122" spans="1:16">
      <c r="A11122" s="3">
        <v>44125.264166666668</v>
      </c>
      <c r="B11122" s="4" t="str">
        <f>HYPERLINK("https://twitter.com/petrogustavo","@petrogustavo")</f>
        <v>@petrogustavo</v>
      </c>
      <c r="C11122" s="5" t="s">
        <v>16</v>
      </c>
      <c r="D11122" s="5" t="s">
        <v>10704</v>
      </c>
      <c r="E11122" s="6" t="str">
        <f>HYPERLINK("https://twitter.com/petrogustavo/status/1318716228408573952","1318716228408573952")</f>
        <v>1318716228408573952</v>
      </c>
      <c r="F11122" s="7" t="s">
        <v>17</v>
      </c>
      <c r="G11122" s="7">
        <v>3994245</v>
      </c>
      <c r="H11122" s="7">
        <v>2448</v>
      </c>
      <c r="I11122" s="7">
        <v>250</v>
      </c>
      <c r="J11122" s="7">
        <v>796</v>
      </c>
      <c r="K11122" s="7" t="s">
        <v>18</v>
      </c>
      <c r="L11122" s="8">
        <v>39987.315405092595</v>
      </c>
      <c r="M11122" s="9" t="s">
        <v>19</v>
      </c>
      <c r="N11122" s="9" t="s">
        <v>20</v>
      </c>
      <c r="O11122" s="6" t="str">
        <f>HYPERLINK("https://pbs.twimg.com/profile_images/962471262747529216/Uo8lOkRJ_normal.jpg","View")</f>
        <v>View</v>
      </c>
      <c r="P11122" s="7"/>
    </row>
    <row r="11123" spans="1:16">
      <c r="A11123" s="3">
        <v>44125.264166666668</v>
      </c>
      <c r="B11123" s="4" t="str">
        <f>HYPERLINK("https://twitter.com/petrogustavo","@petrogustavo")</f>
        <v>@petrogustavo</v>
      </c>
      <c r="C11123" s="5" t="s">
        <v>16</v>
      </c>
      <c r="D11123" s="5" t="s">
        <v>10705</v>
      </c>
      <c r="E11123" s="6" t="str">
        <f>HYPERLINK("https://twitter.com/petrogustavo/status/1318716228412841989","1318716228412841989")</f>
        <v>1318716228412841989</v>
      </c>
      <c r="F11123" s="7" t="s">
        <v>17</v>
      </c>
      <c r="G11123" s="7">
        <v>3994245</v>
      </c>
      <c r="H11123" s="7">
        <v>2448</v>
      </c>
      <c r="I11123" s="7">
        <v>523</v>
      </c>
      <c r="J11123" s="7">
        <v>0</v>
      </c>
      <c r="K11123" s="7" t="s">
        <v>18</v>
      </c>
      <c r="L11123" s="8">
        <v>39987.315405092595</v>
      </c>
      <c r="M11123" s="9" t="s">
        <v>19</v>
      </c>
      <c r="N11123" s="9" t="s">
        <v>20</v>
      </c>
      <c r="O11123" s="6" t="str">
        <f>HYPERLINK("https://pbs.twimg.com/profile_images/962471262747529216/Uo8lOkRJ_normal.jpg","View")</f>
        <v>View</v>
      </c>
      <c r="P11123" s="7"/>
    </row>
    <row r="11124" spans="1:16">
      <c r="A11124" s="3">
        <v>44125.264166666668</v>
      </c>
      <c r="B11124" s="4" t="str">
        <f>HYPERLINK("https://twitter.com/petrogustavo","@petrogustavo")</f>
        <v>@petrogustavo</v>
      </c>
      <c r="C11124" s="5" t="s">
        <v>16</v>
      </c>
      <c r="D11124" s="5" t="s">
        <v>10706</v>
      </c>
      <c r="E11124" s="6" t="str">
        <f>HYPERLINK("https://twitter.com/petrogustavo/status/1318716228450603008","1318716228450603008")</f>
        <v>1318716228450603008</v>
      </c>
      <c r="F11124" s="7" t="s">
        <v>17</v>
      </c>
      <c r="G11124" s="7">
        <v>3994245</v>
      </c>
      <c r="H11124" s="7">
        <v>2448</v>
      </c>
      <c r="I11124" s="7">
        <v>79</v>
      </c>
      <c r="J11124" s="7">
        <v>160</v>
      </c>
      <c r="K11124" s="7" t="s">
        <v>18</v>
      </c>
      <c r="L11124" s="8">
        <v>39987.315405092595</v>
      </c>
      <c r="M11124" s="9" t="s">
        <v>19</v>
      </c>
      <c r="N11124" s="9" t="s">
        <v>20</v>
      </c>
      <c r="O11124" s="6" t="str">
        <f>HYPERLINK("https://pbs.twimg.com/profile_images/962471262747529216/Uo8lOkRJ_normal.jpg","View")</f>
        <v>View</v>
      </c>
      <c r="P11124" s="7"/>
    </row>
    <row r="11125" spans="1:16">
      <c r="A11125" s="3">
        <v>44125.264166666668</v>
      </c>
      <c r="B11125" s="4" t="str">
        <f>HYPERLINK("https://twitter.com/petrogustavo","@petrogustavo")</f>
        <v>@petrogustavo</v>
      </c>
      <c r="C11125" s="5" t="s">
        <v>16</v>
      </c>
      <c r="D11125" s="5" t="s">
        <v>10707</v>
      </c>
      <c r="E11125" s="6" t="str">
        <f>HYPERLINK("https://twitter.com/petrogustavo/status/1318716228899319809","1318716228899319809")</f>
        <v>1318716228899319809</v>
      </c>
      <c r="F11125" s="7" t="s">
        <v>17</v>
      </c>
      <c r="G11125" s="7">
        <v>3994245</v>
      </c>
      <c r="H11125" s="7">
        <v>2448</v>
      </c>
      <c r="I11125" s="7">
        <v>32</v>
      </c>
      <c r="J11125" s="7">
        <v>0</v>
      </c>
      <c r="K11125" s="7" t="s">
        <v>18</v>
      </c>
      <c r="L11125" s="8">
        <v>39987.315405092595</v>
      </c>
      <c r="M11125" s="9" t="s">
        <v>19</v>
      </c>
      <c r="N11125" s="9" t="s">
        <v>20</v>
      </c>
      <c r="O11125" s="6" t="str">
        <f>HYPERLINK("https://pbs.twimg.com/profile_images/962471262747529216/Uo8lOkRJ_normal.jpg","View")</f>
        <v>View</v>
      </c>
      <c r="P11125" s="7"/>
    </row>
    <row r="11126" spans="1:16">
      <c r="A11126" s="3">
        <v>44125.264826388884</v>
      </c>
      <c r="B11126" s="4" t="str">
        <f>HYPERLINK("https://twitter.com/petrogustavo","@petrogustavo")</f>
        <v>@petrogustavo</v>
      </c>
      <c r="C11126" s="5" t="s">
        <v>16</v>
      </c>
      <c r="D11126" s="5" t="s">
        <v>10708</v>
      </c>
      <c r="E11126" s="6" t="str">
        <f>HYPERLINK("https://twitter.com/petrogustavo/status/1318716469962805256","1318716469962805256")</f>
        <v>1318716469962805256</v>
      </c>
      <c r="F11126" s="7" t="s">
        <v>17</v>
      </c>
      <c r="G11126" s="7">
        <v>3994245</v>
      </c>
      <c r="H11126" s="7">
        <v>2448</v>
      </c>
      <c r="I11126" s="7">
        <v>911</v>
      </c>
      <c r="J11126" s="7">
        <v>0</v>
      </c>
      <c r="K11126" s="7" t="s">
        <v>18</v>
      </c>
      <c r="L11126" s="8">
        <v>39987.315405092595</v>
      </c>
      <c r="M11126" s="9" t="s">
        <v>19</v>
      </c>
      <c r="N11126" s="9" t="s">
        <v>20</v>
      </c>
      <c r="O11126" s="6" t="str">
        <f>HYPERLINK("https://pbs.twimg.com/profile_images/962471262747529216/Uo8lOkRJ_normal.jpg","View")</f>
        <v>View</v>
      </c>
      <c r="P11126" s="7"/>
    </row>
    <row r="11127" spans="1:16">
      <c r="A11127" s="3">
        <v>44125.265057870369</v>
      </c>
      <c r="B11127" s="4" t="str">
        <f>HYPERLINK("https://twitter.com/petrogustavo","@petrogustavo")</f>
        <v>@petrogustavo</v>
      </c>
      <c r="C11127" s="5" t="s">
        <v>16</v>
      </c>
      <c r="D11127" s="5" t="s">
        <v>10709</v>
      </c>
      <c r="E11127" s="6" t="str">
        <f>HYPERLINK("https://twitter.com/petrogustavo/status/1318716551231569923","1318716551231569923")</f>
        <v>1318716551231569923</v>
      </c>
      <c r="F11127" s="7" t="s">
        <v>17</v>
      </c>
      <c r="G11127" s="7">
        <v>3994245</v>
      </c>
      <c r="H11127" s="7">
        <v>2448</v>
      </c>
      <c r="I11127" s="7">
        <v>79</v>
      </c>
      <c r="J11127" s="7">
        <v>0</v>
      </c>
      <c r="K11127" s="7" t="s">
        <v>18</v>
      </c>
      <c r="L11127" s="8">
        <v>39987.315405092595</v>
      </c>
      <c r="M11127" s="9" t="s">
        <v>19</v>
      </c>
      <c r="N11127" s="9" t="s">
        <v>20</v>
      </c>
      <c r="O11127" s="6" t="str">
        <f>HYPERLINK("https://pbs.twimg.com/profile_images/962471262747529216/Uo8lOkRJ_normal.jpg","View")</f>
        <v>View</v>
      </c>
      <c r="P11127" s="7"/>
    </row>
    <row r="11128" spans="1:16">
      <c r="A11128" s="3">
        <v>44125.2653125</v>
      </c>
      <c r="B11128" s="4" t="str">
        <f>HYPERLINK("https://twitter.com/petrogustavo","@petrogustavo")</f>
        <v>@petrogustavo</v>
      </c>
      <c r="C11128" s="5" t="s">
        <v>16</v>
      </c>
      <c r="D11128" s="5" t="s">
        <v>10710</v>
      </c>
      <c r="E11128" s="6" t="str">
        <f>HYPERLINK("https://twitter.com/petrogustavo/status/1318716643997081601","1318716643997081601")</f>
        <v>1318716643997081601</v>
      </c>
      <c r="F11128" s="7" t="s">
        <v>17</v>
      </c>
      <c r="G11128" s="7">
        <v>3994245</v>
      </c>
      <c r="H11128" s="7">
        <v>2448</v>
      </c>
      <c r="I11128" s="7">
        <v>250</v>
      </c>
      <c r="J11128" s="7">
        <v>0</v>
      </c>
      <c r="K11128" s="7" t="s">
        <v>18</v>
      </c>
      <c r="L11128" s="8">
        <v>39987.315405092595</v>
      </c>
      <c r="M11128" s="9" t="s">
        <v>19</v>
      </c>
      <c r="N11128" s="9" t="s">
        <v>20</v>
      </c>
      <c r="O11128" s="6" t="str">
        <f>HYPERLINK("https://pbs.twimg.com/profile_images/962471262747529216/Uo8lOkRJ_normal.jpg","View")</f>
        <v>View</v>
      </c>
      <c r="P11128" s="7"/>
    </row>
    <row r="11129" spans="1:16">
      <c r="A11129" s="3">
        <v>44125.324641203704</v>
      </c>
      <c r="B11129" s="4" t="str">
        <f>HYPERLINK("https://twitter.com/petrogustavo","@petrogustavo")</f>
        <v>@petrogustavo</v>
      </c>
      <c r="C11129" s="5" t="s">
        <v>16</v>
      </c>
      <c r="D11129" s="5" t="s">
        <v>10711</v>
      </c>
      <c r="E11129" s="6" t="str">
        <f>HYPERLINK("https://twitter.com/petrogustavo/status/1318738144573915137","1318738144573915137")</f>
        <v>1318738144573915137</v>
      </c>
      <c r="F11129" s="7" t="s">
        <v>32</v>
      </c>
      <c r="G11129" s="7">
        <v>3994272</v>
      </c>
      <c r="H11129" s="7">
        <v>2449</v>
      </c>
      <c r="I11129" s="7">
        <v>54</v>
      </c>
      <c r="J11129" s="7">
        <v>0</v>
      </c>
      <c r="K11129" s="7" t="s">
        <v>18</v>
      </c>
      <c r="L11129" s="8">
        <v>39987.315405092595</v>
      </c>
      <c r="M11129" s="9" t="s">
        <v>19</v>
      </c>
      <c r="N11129" s="9" t="s">
        <v>20</v>
      </c>
      <c r="O11129" s="6" t="str">
        <f>HYPERLINK("https://pbs.twimg.com/profile_images/962471262747529216/Uo8lOkRJ_normal.jpg","View")</f>
        <v>View</v>
      </c>
      <c r="P11129" s="7"/>
    </row>
    <row r="11130" spans="1:16">
      <c r="A11130" s="3">
        <v>44125.762997685189</v>
      </c>
      <c r="B11130" s="4" t="str">
        <f>HYPERLINK("https://twitter.com/petrogustavo","@petrogustavo")</f>
        <v>@petrogustavo</v>
      </c>
      <c r="C11130" s="5" t="s">
        <v>16</v>
      </c>
      <c r="D11130" s="5" t="s">
        <v>10712</v>
      </c>
      <c r="E11130" s="6" t="str">
        <f>HYPERLINK("https://twitter.com/petrogustavo/status/1318897002139340800","1318897002139340800")</f>
        <v>1318897002139340800</v>
      </c>
      <c r="F11130" s="7" t="s">
        <v>32</v>
      </c>
      <c r="G11130" s="7">
        <v>3994492</v>
      </c>
      <c r="H11130" s="7">
        <v>2449</v>
      </c>
      <c r="I11130" s="7">
        <v>187</v>
      </c>
      <c r="J11130" s="7">
        <v>634</v>
      </c>
      <c r="K11130" s="7" t="s">
        <v>18</v>
      </c>
      <c r="L11130" s="8">
        <v>39987.315405092595</v>
      </c>
      <c r="M11130" s="9" t="s">
        <v>19</v>
      </c>
      <c r="N11130" s="9" t="s">
        <v>20</v>
      </c>
      <c r="O11130" s="6" t="str">
        <f>HYPERLINK("https://pbs.twimg.com/profile_images/962471262747529216/Uo8lOkRJ_normal.jpg","View")</f>
        <v>View</v>
      </c>
      <c r="P11130" s="7"/>
    </row>
    <row r="11131" spans="1:16">
      <c r="A11131" s="3">
        <v>44125.773275462961</v>
      </c>
      <c r="B11131" s="4" t="str">
        <f>HYPERLINK("https://twitter.com/petrogustavo","@petrogustavo")</f>
        <v>@petrogustavo</v>
      </c>
      <c r="C11131" s="5" t="s">
        <v>16</v>
      </c>
      <c r="D11131" s="5" t="s">
        <v>10713</v>
      </c>
      <c r="E11131" s="6" t="str">
        <f>HYPERLINK("https://twitter.com/petrogustavo/status/1318900723212521479","1318900723212521479")</f>
        <v>1318900723212521479</v>
      </c>
      <c r="F11131" s="7" t="s">
        <v>17</v>
      </c>
      <c r="G11131" s="7">
        <v>3994492</v>
      </c>
      <c r="H11131" s="7">
        <v>2449</v>
      </c>
      <c r="I11131" s="7">
        <v>5</v>
      </c>
      <c r="J11131" s="7">
        <v>0</v>
      </c>
      <c r="K11131" s="7" t="s">
        <v>18</v>
      </c>
      <c r="L11131" s="8">
        <v>39987.315405092595</v>
      </c>
      <c r="M11131" s="9" t="s">
        <v>19</v>
      </c>
      <c r="N11131" s="9" t="s">
        <v>20</v>
      </c>
      <c r="O11131" s="6" t="str">
        <f>HYPERLINK("https://pbs.twimg.com/profile_images/962471262747529216/Uo8lOkRJ_normal.jpg","View")</f>
        <v>View</v>
      </c>
      <c r="P11131" s="7"/>
    </row>
    <row r="11132" spans="1:16">
      <c r="A11132" s="3">
        <v>44125.774236111116</v>
      </c>
      <c r="B11132" s="4" t="str">
        <f>HYPERLINK("https://twitter.com/petrogustavo","@petrogustavo")</f>
        <v>@petrogustavo</v>
      </c>
      <c r="C11132" s="5" t="s">
        <v>16</v>
      </c>
      <c r="D11132" s="5" t="s">
        <v>10714</v>
      </c>
      <c r="E11132" s="6" t="str">
        <f>HYPERLINK("https://twitter.com/petrogustavo/status/1318901071276814336","1318901071276814336")</f>
        <v>1318901071276814336</v>
      </c>
      <c r="F11132" s="7" t="s">
        <v>17</v>
      </c>
      <c r="G11132" s="7">
        <v>3994505</v>
      </c>
      <c r="H11132" s="7">
        <v>2450</v>
      </c>
      <c r="I11132" s="7">
        <v>122</v>
      </c>
      <c r="J11132" s="7">
        <v>350</v>
      </c>
      <c r="K11132" s="7" t="s">
        <v>18</v>
      </c>
      <c r="L11132" s="8">
        <v>39987.315405092595</v>
      </c>
      <c r="M11132" s="9" t="s">
        <v>19</v>
      </c>
      <c r="N11132" s="9" t="s">
        <v>20</v>
      </c>
      <c r="O11132" s="6" t="str">
        <f>HYPERLINK("https://pbs.twimg.com/profile_images/962471262747529216/Uo8lOkRJ_normal.jpg","View")</f>
        <v>View</v>
      </c>
      <c r="P11132" s="7"/>
    </row>
    <row r="11133" spans="1:16">
      <c r="A11133" s="3">
        <v>44125.775254629625</v>
      </c>
      <c r="B11133" s="4" t="str">
        <f>HYPERLINK("https://twitter.com/petrogustavo","@petrogustavo")</f>
        <v>@petrogustavo</v>
      </c>
      <c r="C11133" s="5" t="s">
        <v>16</v>
      </c>
      <c r="D11133" s="5" t="s">
        <v>10715</v>
      </c>
      <c r="E11133" s="6" t="str">
        <f>HYPERLINK("https://twitter.com/petrogustavo/status/1318901442200166400","1318901442200166400")</f>
        <v>1318901442200166400</v>
      </c>
      <c r="F11133" s="7" t="s">
        <v>17</v>
      </c>
      <c r="G11133" s="7">
        <v>3994505</v>
      </c>
      <c r="H11133" s="7">
        <v>2450</v>
      </c>
      <c r="I11133" s="7">
        <v>122</v>
      </c>
      <c r="J11133" s="7">
        <v>0</v>
      </c>
      <c r="K11133" s="7" t="s">
        <v>18</v>
      </c>
      <c r="L11133" s="8">
        <v>39987.315405092595</v>
      </c>
      <c r="M11133" s="9" t="s">
        <v>19</v>
      </c>
      <c r="N11133" s="9" t="s">
        <v>20</v>
      </c>
      <c r="O11133" s="6" t="str">
        <f>HYPERLINK("https://pbs.twimg.com/profile_images/962471262747529216/Uo8lOkRJ_normal.jpg","View")</f>
        <v>View</v>
      </c>
      <c r="P11133" s="7"/>
    </row>
    <row r="11134" spans="1:16">
      <c r="A11134" s="3">
        <v>44125.775381944448</v>
      </c>
      <c r="B11134" s="4" t="str">
        <f>HYPERLINK("https://twitter.com/petrogustavo","@petrogustavo")</f>
        <v>@petrogustavo</v>
      </c>
      <c r="C11134" s="5" t="s">
        <v>16</v>
      </c>
      <c r="D11134" s="5" t="s">
        <v>10716</v>
      </c>
      <c r="E11134" s="6" t="str">
        <f>HYPERLINK("https://twitter.com/petrogustavo/status/1318901490145239041","1318901490145239041")</f>
        <v>1318901490145239041</v>
      </c>
      <c r="F11134" s="7" t="s">
        <v>17</v>
      </c>
      <c r="G11134" s="7">
        <v>3994505</v>
      </c>
      <c r="H11134" s="7">
        <v>2450</v>
      </c>
      <c r="I11134" s="7">
        <v>411</v>
      </c>
      <c r="J11134" s="7">
        <v>0</v>
      </c>
      <c r="K11134" s="7" t="s">
        <v>18</v>
      </c>
      <c r="L11134" s="8">
        <v>39987.315405092595</v>
      </c>
      <c r="M11134" s="9" t="s">
        <v>19</v>
      </c>
      <c r="N11134" s="9" t="s">
        <v>20</v>
      </c>
      <c r="O11134" s="6" t="str">
        <f>HYPERLINK("https://pbs.twimg.com/profile_images/962471262747529216/Uo8lOkRJ_normal.jpg","View")</f>
        <v>View</v>
      </c>
      <c r="P11134" s="7"/>
    </row>
    <row r="11135" spans="1:16">
      <c r="A11135" s="3">
        <v>44125.775868055556</v>
      </c>
      <c r="B11135" s="4" t="str">
        <f>HYPERLINK("https://twitter.com/petrogustavo","@petrogustavo")</f>
        <v>@petrogustavo</v>
      </c>
      <c r="C11135" s="5" t="s">
        <v>16</v>
      </c>
      <c r="D11135" s="5" t="s">
        <v>10717</v>
      </c>
      <c r="E11135" s="6" t="str">
        <f>HYPERLINK("https://twitter.com/petrogustavo/status/1318901664309514242","1318901664309514242")</f>
        <v>1318901664309514242</v>
      </c>
      <c r="F11135" s="7" t="s">
        <v>17</v>
      </c>
      <c r="G11135" s="7">
        <v>3994505</v>
      </c>
      <c r="H11135" s="7">
        <v>2450</v>
      </c>
      <c r="I11135" s="7">
        <v>626</v>
      </c>
      <c r="J11135" s="7">
        <v>0</v>
      </c>
      <c r="K11135" s="7" t="s">
        <v>18</v>
      </c>
      <c r="L11135" s="8">
        <v>39987.315405092595</v>
      </c>
      <c r="M11135" s="9" t="s">
        <v>19</v>
      </c>
      <c r="N11135" s="9" t="s">
        <v>20</v>
      </c>
      <c r="O11135" s="6" t="str">
        <f>HYPERLINK("https://pbs.twimg.com/profile_images/962471262747529216/Uo8lOkRJ_normal.jpg","View")</f>
        <v>View</v>
      </c>
      <c r="P11135" s="7"/>
    </row>
    <row r="11136" spans="1:16">
      <c r="A11136" s="3">
        <v>44125.777071759258</v>
      </c>
      <c r="B11136" s="4" t="str">
        <f>HYPERLINK("https://twitter.com/petrogustavo","@petrogustavo")</f>
        <v>@petrogustavo</v>
      </c>
      <c r="C11136" s="5" t="s">
        <v>16</v>
      </c>
      <c r="D11136" s="5" t="s">
        <v>10718</v>
      </c>
      <c r="E11136" s="6" t="str">
        <f>HYPERLINK("https://twitter.com/petrogustavo/status/1318902101561516034","1318902101561516034")</f>
        <v>1318902101561516034</v>
      </c>
      <c r="F11136" s="7" t="s">
        <v>17</v>
      </c>
      <c r="G11136" s="7">
        <v>3994505</v>
      </c>
      <c r="H11136" s="7">
        <v>2450</v>
      </c>
      <c r="I11136" s="7">
        <v>100</v>
      </c>
      <c r="J11136" s="7">
        <v>290</v>
      </c>
      <c r="K11136" s="7" t="s">
        <v>18</v>
      </c>
      <c r="L11136" s="8">
        <v>39987.315405092595</v>
      </c>
      <c r="M11136" s="9" t="s">
        <v>19</v>
      </c>
      <c r="N11136" s="9" t="s">
        <v>20</v>
      </c>
      <c r="O11136" s="6" t="str">
        <f>HYPERLINK("https://pbs.twimg.com/profile_images/962471262747529216/Uo8lOkRJ_normal.jpg","View")</f>
        <v>View</v>
      </c>
      <c r="P11136" s="7"/>
    </row>
    <row r="11137" spans="1:16">
      <c r="A11137" s="3">
        <v>44125.780069444445</v>
      </c>
      <c r="B11137" s="4" t="str">
        <f>HYPERLINK("https://twitter.com/petrogustavo","@petrogustavo")</f>
        <v>@petrogustavo</v>
      </c>
      <c r="C11137" s="5" t="s">
        <v>16</v>
      </c>
      <c r="D11137" s="5" t="s">
        <v>10719</v>
      </c>
      <c r="E11137" s="6" t="str">
        <f>HYPERLINK("https://twitter.com/petrogustavo/status/1318903188976734208","1318903188976734208")</f>
        <v>1318903188976734208</v>
      </c>
      <c r="F11137" s="7" t="s">
        <v>17</v>
      </c>
      <c r="G11137" s="7">
        <v>3994505</v>
      </c>
      <c r="H11137" s="7">
        <v>2450</v>
      </c>
      <c r="I11137" s="7">
        <v>2053</v>
      </c>
      <c r="J11137" s="7">
        <v>0</v>
      </c>
      <c r="K11137" s="7" t="s">
        <v>18</v>
      </c>
      <c r="L11137" s="8">
        <v>39987.315405092595</v>
      </c>
      <c r="M11137" s="9" t="s">
        <v>19</v>
      </c>
      <c r="N11137" s="9" t="s">
        <v>20</v>
      </c>
      <c r="O11137" s="6" t="str">
        <f>HYPERLINK("https://pbs.twimg.com/profile_images/962471262747529216/Uo8lOkRJ_normal.jpg","View")</f>
        <v>View</v>
      </c>
      <c r="P11137" s="7"/>
    </row>
    <row r="11138" spans="1:16">
      <c r="A11138" s="3">
        <v>44125.782013888893</v>
      </c>
      <c r="B11138" s="4" t="str">
        <f>HYPERLINK("https://twitter.com/petrogustavo","@petrogustavo")</f>
        <v>@petrogustavo</v>
      </c>
      <c r="C11138" s="5" t="s">
        <v>16</v>
      </c>
      <c r="D11138" s="5" t="s">
        <v>10720</v>
      </c>
      <c r="E11138" s="6" t="str">
        <f>HYPERLINK("https://twitter.com/petrogustavo/status/1318903890755096576","1318903890755096576")</f>
        <v>1318903890755096576</v>
      </c>
      <c r="F11138" s="7" t="s">
        <v>17</v>
      </c>
      <c r="G11138" s="7">
        <v>3994505</v>
      </c>
      <c r="H11138" s="7">
        <v>2450</v>
      </c>
      <c r="I11138" s="7">
        <v>14</v>
      </c>
      <c r="J11138" s="7">
        <v>0</v>
      </c>
      <c r="K11138" s="7" t="s">
        <v>18</v>
      </c>
      <c r="L11138" s="8">
        <v>39987.315405092595</v>
      </c>
      <c r="M11138" s="9" t="s">
        <v>19</v>
      </c>
      <c r="N11138" s="9" t="s">
        <v>20</v>
      </c>
      <c r="O11138" s="6" t="str">
        <f>HYPERLINK("https://pbs.twimg.com/profile_images/962471262747529216/Uo8lOkRJ_normal.jpg","View")</f>
        <v>View</v>
      </c>
      <c r="P11138" s="7"/>
    </row>
    <row r="11139" spans="1:16">
      <c r="A11139" s="3">
        <v>44125.782685185186</v>
      </c>
      <c r="B11139" s="4" t="str">
        <f>HYPERLINK("https://twitter.com/petrogustavo","@petrogustavo")</f>
        <v>@petrogustavo</v>
      </c>
      <c r="C11139" s="5" t="s">
        <v>16</v>
      </c>
      <c r="D11139" s="5" t="s">
        <v>10721</v>
      </c>
      <c r="E11139" s="6" t="str">
        <f>HYPERLINK("https://twitter.com/petrogustavo/status/1318904134217703425","1318904134217703425")</f>
        <v>1318904134217703425</v>
      </c>
      <c r="F11139" s="7" t="s">
        <v>17</v>
      </c>
      <c r="G11139" s="7">
        <v>3994505</v>
      </c>
      <c r="H11139" s="7">
        <v>2450</v>
      </c>
      <c r="I11139" s="7">
        <v>62</v>
      </c>
      <c r="J11139" s="7">
        <v>0</v>
      </c>
      <c r="K11139" s="7" t="s">
        <v>18</v>
      </c>
      <c r="L11139" s="8">
        <v>39987.315405092595</v>
      </c>
      <c r="M11139" s="9" t="s">
        <v>19</v>
      </c>
      <c r="N11139" s="9" t="s">
        <v>20</v>
      </c>
      <c r="O11139" s="6" t="str">
        <f>HYPERLINK("https://pbs.twimg.com/profile_images/962471262747529216/Uo8lOkRJ_normal.jpg","View")</f>
        <v>View</v>
      </c>
      <c r="P11139" s="7"/>
    </row>
    <row r="11140" spans="1:16">
      <c r="A11140" s="3">
        <v>44125.783726851849</v>
      </c>
      <c r="B11140" s="4" t="str">
        <f>HYPERLINK("https://twitter.com/petrogustavo","@petrogustavo")</f>
        <v>@petrogustavo</v>
      </c>
      <c r="C11140" s="5" t="s">
        <v>16</v>
      </c>
      <c r="D11140" s="5" t="s">
        <v>10722</v>
      </c>
      <c r="E11140" s="6" t="str">
        <f>HYPERLINK("https://twitter.com/petrogustavo/status/1318904512694935552","1318904512694935552")</f>
        <v>1318904512694935552</v>
      </c>
      <c r="F11140" s="7" t="s">
        <v>17</v>
      </c>
      <c r="G11140" s="7">
        <v>3994505</v>
      </c>
      <c r="H11140" s="7">
        <v>2450</v>
      </c>
      <c r="I11140" s="7">
        <v>81</v>
      </c>
      <c r="J11140" s="7">
        <v>202</v>
      </c>
      <c r="K11140" s="7" t="s">
        <v>18</v>
      </c>
      <c r="L11140" s="8">
        <v>39987.315405092595</v>
      </c>
      <c r="M11140" s="9" t="s">
        <v>19</v>
      </c>
      <c r="N11140" s="9" t="s">
        <v>20</v>
      </c>
      <c r="O11140" s="6" t="str">
        <f>HYPERLINK("https://pbs.twimg.com/profile_images/962471262747529216/Uo8lOkRJ_normal.jpg","View")</f>
        <v>View</v>
      </c>
      <c r="P11140" s="7"/>
    </row>
    <row r="11141" spans="1:16">
      <c r="A11141" s="3">
        <v>44125.788391203707</v>
      </c>
      <c r="B11141" s="4" t="str">
        <f>HYPERLINK("https://twitter.com/petrogustavo","@petrogustavo")</f>
        <v>@petrogustavo</v>
      </c>
      <c r="C11141" s="5" t="s">
        <v>16</v>
      </c>
      <c r="D11141" s="5" t="s">
        <v>10723</v>
      </c>
      <c r="E11141" s="6" t="str">
        <f>HYPERLINK("https://twitter.com/petrogustavo/status/1318906202374406144","1318906202374406144")</f>
        <v>1318906202374406144</v>
      </c>
      <c r="F11141" s="7" t="s">
        <v>17</v>
      </c>
      <c r="G11141" s="7">
        <v>3994505</v>
      </c>
      <c r="H11141" s="7">
        <v>2450</v>
      </c>
      <c r="I11141" s="7">
        <v>55</v>
      </c>
      <c r="J11141" s="7">
        <v>0</v>
      </c>
      <c r="K11141" s="7" t="s">
        <v>18</v>
      </c>
      <c r="L11141" s="8">
        <v>39987.315405092595</v>
      </c>
      <c r="M11141" s="9" t="s">
        <v>19</v>
      </c>
      <c r="N11141" s="9" t="s">
        <v>20</v>
      </c>
      <c r="O11141" s="6" t="str">
        <f>HYPERLINK("https://pbs.twimg.com/profile_images/962471262747529216/Uo8lOkRJ_normal.jpg","View")</f>
        <v>View</v>
      </c>
      <c r="P11141" s="7"/>
    </row>
    <row r="11142" spans="1:16">
      <c r="A11142" s="3">
        <v>44126.114351851851</v>
      </c>
      <c r="B11142" s="4" t="str">
        <f>HYPERLINK("https://twitter.com/petrogustavo","@petrogustavo")</f>
        <v>@petrogustavo</v>
      </c>
      <c r="C11142" s="5" t="s">
        <v>16</v>
      </c>
      <c r="D11142" s="5" t="s">
        <v>10724</v>
      </c>
      <c r="E11142" s="6" t="str">
        <f>HYPERLINK("https://twitter.com/petrogustavo/status/1319024327493386240","1319024327493386240")</f>
        <v>1319024327493386240</v>
      </c>
      <c r="F11142" s="7" t="s">
        <v>17</v>
      </c>
      <c r="G11142" s="7">
        <v>3994788</v>
      </c>
      <c r="H11142" s="7">
        <v>2450</v>
      </c>
      <c r="I11142" s="7">
        <v>211</v>
      </c>
      <c r="J11142" s="7">
        <v>543</v>
      </c>
      <c r="K11142" s="7" t="s">
        <v>18</v>
      </c>
      <c r="L11142" s="8">
        <v>39987.315405092595</v>
      </c>
      <c r="M11142" s="9" t="s">
        <v>19</v>
      </c>
      <c r="N11142" s="9" t="s">
        <v>20</v>
      </c>
      <c r="O11142" s="6" t="str">
        <f>HYPERLINK("https://pbs.twimg.com/profile_images/962471262747529216/Uo8lOkRJ_normal.jpg","View")</f>
        <v>View</v>
      </c>
      <c r="P11142" s="7"/>
    </row>
    <row r="11143" spans="1:16">
      <c r="A11143" s="3">
        <v>44126.146655092598</v>
      </c>
      <c r="B11143" s="4" t="str">
        <f>HYPERLINK("https://twitter.com/petrogustavo","@petrogustavo")</f>
        <v>@petrogustavo</v>
      </c>
      <c r="C11143" s="5" t="s">
        <v>16</v>
      </c>
      <c r="D11143" s="5" t="s">
        <v>10725</v>
      </c>
      <c r="E11143" s="6" t="str">
        <f>HYPERLINK("https://twitter.com/petrogustavo/status/1319036033758015490","1319036033758015490")</f>
        <v>1319036033758015490</v>
      </c>
      <c r="F11143" s="7" t="s">
        <v>17</v>
      </c>
      <c r="G11143" s="7">
        <v>3994809</v>
      </c>
      <c r="H11143" s="7">
        <v>2450</v>
      </c>
      <c r="I11143" s="7">
        <v>123</v>
      </c>
      <c r="J11143" s="7">
        <v>0</v>
      </c>
      <c r="K11143" s="7" t="s">
        <v>18</v>
      </c>
      <c r="L11143" s="8">
        <v>39987.315405092595</v>
      </c>
      <c r="M11143" s="9" t="s">
        <v>19</v>
      </c>
      <c r="N11143" s="9" t="s">
        <v>20</v>
      </c>
      <c r="O11143" s="6" t="str">
        <f>HYPERLINK("https://pbs.twimg.com/profile_images/962471262747529216/Uo8lOkRJ_normal.jpg","View")</f>
        <v>View</v>
      </c>
      <c r="P11143" s="7"/>
    </row>
    <row r="11144" spans="1:16">
      <c r="A11144" s="3">
        <v>44126.148055555561</v>
      </c>
      <c r="B11144" s="4" t="str">
        <f>HYPERLINK("https://twitter.com/petrogustavo","@petrogustavo")</f>
        <v>@petrogustavo</v>
      </c>
      <c r="C11144" s="5" t="s">
        <v>16</v>
      </c>
      <c r="D11144" s="5" t="s">
        <v>10726</v>
      </c>
      <c r="E11144" s="6" t="str">
        <f>HYPERLINK("https://twitter.com/petrogustavo/status/1319036541663150080","1319036541663150080")</f>
        <v>1319036541663150080</v>
      </c>
      <c r="F11144" s="7" t="s">
        <v>17</v>
      </c>
      <c r="G11144" s="7">
        <v>3994809</v>
      </c>
      <c r="H11144" s="7">
        <v>2450</v>
      </c>
      <c r="I11144" s="7">
        <v>0</v>
      </c>
      <c r="J11144" s="7">
        <v>0</v>
      </c>
      <c r="K11144" s="7" t="s">
        <v>18</v>
      </c>
      <c r="L11144" s="8">
        <v>39987.315405092595</v>
      </c>
      <c r="M11144" s="9" t="s">
        <v>19</v>
      </c>
      <c r="N11144" s="9" t="s">
        <v>20</v>
      </c>
      <c r="O11144" s="6" t="str">
        <f>HYPERLINK("https://pbs.twimg.com/profile_images/962471262747529216/Uo8lOkRJ_normal.jpg","View")</f>
        <v>View</v>
      </c>
      <c r="P11144" s="7"/>
    </row>
    <row r="11145" spans="1:16">
      <c r="A11145" s="3">
        <v>44126.731898148151</v>
      </c>
      <c r="B11145" s="4" t="str">
        <f>HYPERLINK("https://twitter.com/petrogustavo","@petrogustavo")</f>
        <v>@petrogustavo</v>
      </c>
      <c r="C11145" s="5" t="s">
        <v>16</v>
      </c>
      <c r="D11145" s="5" t="s">
        <v>10727</v>
      </c>
      <c r="E11145" s="6" t="str">
        <f>HYPERLINK("https://twitter.com/petrogustavo/status/1319248118584659969","1319248118584659969")</f>
        <v>1319248118584659969</v>
      </c>
      <c r="F11145" s="7" t="s">
        <v>17</v>
      </c>
      <c r="G11145" s="7">
        <v>3995055</v>
      </c>
      <c r="H11145" s="7">
        <v>2450</v>
      </c>
      <c r="I11145" s="7">
        <v>78</v>
      </c>
      <c r="J11145" s="7">
        <v>0</v>
      </c>
      <c r="K11145" s="7" t="s">
        <v>18</v>
      </c>
      <c r="L11145" s="8">
        <v>39987.315405092595</v>
      </c>
      <c r="M11145" s="9" t="s">
        <v>19</v>
      </c>
      <c r="N11145" s="9" t="s">
        <v>20</v>
      </c>
      <c r="O11145" s="6" t="str">
        <f>HYPERLINK("https://pbs.twimg.com/profile_images/962471262747529216/Uo8lOkRJ_normal.jpg","View")</f>
        <v>View</v>
      </c>
      <c r="P11145" s="7"/>
    </row>
    <row r="11146" spans="1:16">
      <c r="A11146" s="3">
        <v>44126.737777777773</v>
      </c>
      <c r="B11146" s="4" t="str">
        <f>HYPERLINK("https://twitter.com/petrogustavo","@petrogustavo")</f>
        <v>@petrogustavo</v>
      </c>
      <c r="C11146" s="5" t="s">
        <v>16</v>
      </c>
      <c r="D11146" s="5" t="s">
        <v>10728</v>
      </c>
      <c r="E11146" s="6" t="str">
        <f>HYPERLINK("https://twitter.com/petrogustavo/status/1319250250658385920","1319250250658385920")</f>
        <v>1319250250658385920</v>
      </c>
      <c r="F11146" s="7" t="s">
        <v>17</v>
      </c>
      <c r="G11146" s="7">
        <v>3995055</v>
      </c>
      <c r="H11146" s="7">
        <v>2450</v>
      </c>
      <c r="I11146" s="7">
        <v>89</v>
      </c>
      <c r="J11146" s="7">
        <v>0</v>
      </c>
      <c r="K11146" s="7" t="s">
        <v>18</v>
      </c>
      <c r="L11146" s="8">
        <v>39987.315405092595</v>
      </c>
      <c r="M11146" s="9" t="s">
        <v>19</v>
      </c>
      <c r="N11146" s="9" t="s">
        <v>20</v>
      </c>
      <c r="O11146" s="6" t="str">
        <f>HYPERLINK("https://pbs.twimg.com/profile_images/962471262747529216/Uo8lOkRJ_normal.jpg","View")</f>
        <v>View</v>
      </c>
      <c r="P11146" s="7"/>
    </row>
    <row r="11147" spans="1:16">
      <c r="A11147" s="3">
        <v>44126.737893518519</v>
      </c>
      <c r="B11147" s="4" t="str">
        <f>HYPERLINK("https://twitter.com/petrogustavo","@petrogustavo")</f>
        <v>@petrogustavo</v>
      </c>
      <c r="C11147" s="5" t="s">
        <v>16</v>
      </c>
      <c r="D11147" s="5" t="s">
        <v>10729</v>
      </c>
      <c r="E11147" s="6" t="str">
        <f>HYPERLINK("https://twitter.com/petrogustavo/status/1319250290714005504","1319250290714005504")</f>
        <v>1319250290714005504</v>
      </c>
      <c r="F11147" s="7" t="s">
        <v>17</v>
      </c>
      <c r="G11147" s="7">
        <v>3995055</v>
      </c>
      <c r="H11147" s="7">
        <v>2450</v>
      </c>
      <c r="I11147" s="7">
        <v>559</v>
      </c>
      <c r="J11147" s="7">
        <v>0</v>
      </c>
      <c r="K11147" s="7" t="s">
        <v>18</v>
      </c>
      <c r="L11147" s="8">
        <v>39987.315405092595</v>
      </c>
      <c r="M11147" s="9" t="s">
        <v>19</v>
      </c>
      <c r="N11147" s="9" t="s">
        <v>20</v>
      </c>
      <c r="O11147" s="6" t="str">
        <f>HYPERLINK("https://pbs.twimg.com/profile_images/962471262747529216/Uo8lOkRJ_normal.jpg","View")</f>
        <v>View</v>
      </c>
      <c r="P11147" s="7"/>
    </row>
    <row r="11148" spans="1:16">
      <c r="A11148" s="3">
        <v>44126.955324074079</v>
      </c>
      <c r="B11148" s="4" t="str">
        <f>HYPERLINK("https://twitter.com/petrogustavo","@petrogustavo")</f>
        <v>@petrogustavo</v>
      </c>
      <c r="C11148" s="5" t="s">
        <v>16</v>
      </c>
      <c r="D11148" s="5" t="s">
        <v>10730</v>
      </c>
      <c r="E11148" s="6" t="str">
        <f>HYPERLINK("https://twitter.com/petrogustavo/status/1319329085005484032","1319329085005484032")</f>
        <v>1319329085005484032</v>
      </c>
      <c r="F11148" s="7" t="s">
        <v>17</v>
      </c>
      <c r="G11148" s="7">
        <v>3995203</v>
      </c>
      <c r="H11148" s="7">
        <v>2449</v>
      </c>
      <c r="I11148" s="7">
        <v>145</v>
      </c>
      <c r="J11148" s="7">
        <v>433</v>
      </c>
      <c r="K11148" s="7" t="s">
        <v>18</v>
      </c>
      <c r="L11148" s="8">
        <v>39987.315405092595</v>
      </c>
      <c r="M11148" s="9" t="s">
        <v>19</v>
      </c>
      <c r="N11148" s="9" t="s">
        <v>20</v>
      </c>
      <c r="O11148" s="6" t="str">
        <f>HYPERLINK("https://pbs.twimg.com/profile_images/962471262747529216/Uo8lOkRJ_normal.jpg","View")</f>
        <v>View</v>
      </c>
      <c r="P11148" s="7"/>
    </row>
    <row r="11149" spans="1:16">
      <c r="A11149" s="3">
        <v>44126.97146990741</v>
      </c>
      <c r="B11149" s="4" t="str">
        <f>HYPERLINK("https://twitter.com/petrogustavo","@petrogustavo")</f>
        <v>@petrogustavo</v>
      </c>
      <c r="C11149" s="5" t="s">
        <v>16</v>
      </c>
      <c r="D11149" s="5" t="s">
        <v>10731</v>
      </c>
      <c r="E11149" s="6" t="str">
        <f>HYPERLINK("https://twitter.com/petrogustavo/status/1319334934499217408","1319334934499217408")</f>
        <v>1319334934499217408</v>
      </c>
      <c r="F11149" s="7" t="s">
        <v>17</v>
      </c>
      <c r="G11149" s="7">
        <v>3995203</v>
      </c>
      <c r="H11149" s="7">
        <v>2449</v>
      </c>
      <c r="I11149" s="7">
        <v>75</v>
      </c>
      <c r="J11149" s="7">
        <v>295</v>
      </c>
      <c r="K11149" s="7" t="s">
        <v>18</v>
      </c>
      <c r="L11149" s="8">
        <v>39987.315405092595</v>
      </c>
      <c r="M11149" s="9" t="s">
        <v>19</v>
      </c>
      <c r="N11149" s="9" t="s">
        <v>20</v>
      </c>
      <c r="O11149" s="6" t="str">
        <f>HYPERLINK("https://pbs.twimg.com/profile_images/962471262747529216/Uo8lOkRJ_normal.jpg","View")</f>
        <v>View</v>
      </c>
      <c r="P11149" s="7"/>
    </row>
    <row r="11150" spans="1:16">
      <c r="A11150" s="3">
        <v>44127.133437500001</v>
      </c>
      <c r="B11150" s="4" t="str">
        <f>HYPERLINK("https://twitter.com/petrogustavo","@petrogustavo")</f>
        <v>@petrogustavo</v>
      </c>
      <c r="C11150" s="5" t="s">
        <v>16</v>
      </c>
      <c r="D11150" s="5" t="s">
        <v>10732</v>
      </c>
      <c r="E11150" s="6" t="str">
        <f>HYPERLINK("https://twitter.com/petrogustavo/status/1319393630684151810","1319393630684151810")</f>
        <v>1319393630684151810</v>
      </c>
      <c r="F11150" s="7" t="s">
        <v>17</v>
      </c>
      <c r="G11150" s="7">
        <v>3995304</v>
      </c>
      <c r="H11150" s="7">
        <v>2449</v>
      </c>
      <c r="I11150" s="7">
        <v>97</v>
      </c>
      <c r="J11150" s="7">
        <v>277</v>
      </c>
      <c r="K11150" s="7" t="s">
        <v>18</v>
      </c>
      <c r="L11150" s="8">
        <v>39987.315405092595</v>
      </c>
      <c r="M11150" s="9" t="s">
        <v>19</v>
      </c>
      <c r="N11150" s="9" t="s">
        <v>20</v>
      </c>
      <c r="O11150" s="6" t="str">
        <f>HYPERLINK("https://pbs.twimg.com/profile_images/962471262747529216/Uo8lOkRJ_normal.jpg","View")</f>
        <v>View</v>
      </c>
      <c r="P11150" s="7"/>
    </row>
    <row r="11151" spans="1:16">
      <c r="A11151" s="3">
        <v>44127.217766203699</v>
      </c>
      <c r="B11151" s="4" t="str">
        <f>HYPERLINK("https://twitter.com/petrogustavo","@petrogustavo")</f>
        <v>@petrogustavo</v>
      </c>
      <c r="C11151" s="5" t="s">
        <v>16</v>
      </c>
      <c r="D11151" s="5" t="s">
        <v>10733</v>
      </c>
      <c r="E11151" s="6" t="str">
        <f>HYPERLINK("https://twitter.com/petrogustavo/status/1319424189632286720","1319424189632286720")</f>
        <v>1319424189632286720</v>
      </c>
      <c r="F11151" s="7" t="s">
        <v>17</v>
      </c>
      <c r="G11151" s="7">
        <v>3995352</v>
      </c>
      <c r="H11151" s="7">
        <v>2449</v>
      </c>
      <c r="I11151" s="7">
        <v>403</v>
      </c>
      <c r="J11151" s="7">
        <v>0</v>
      </c>
      <c r="K11151" s="7" t="s">
        <v>18</v>
      </c>
      <c r="L11151" s="8">
        <v>39987.315405092595</v>
      </c>
      <c r="M11151" s="9" t="s">
        <v>19</v>
      </c>
      <c r="N11151" s="9" t="s">
        <v>20</v>
      </c>
      <c r="O11151" s="6" t="str">
        <f>HYPERLINK("https://pbs.twimg.com/profile_images/962471262747529216/Uo8lOkRJ_normal.jpg","View")</f>
        <v>View</v>
      </c>
      <c r="P11151" s="7"/>
    </row>
    <row r="11152" spans="1:16">
      <c r="A11152" s="3">
        <v>44127.218136574069</v>
      </c>
      <c r="B11152" s="4" t="str">
        <f>HYPERLINK("https://twitter.com/petrogustavo","@petrogustavo")</f>
        <v>@petrogustavo</v>
      </c>
      <c r="C11152" s="5" t="s">
        <v>16</v>
      </c>
      <c r="D11152" s="5" t="s">
        <v>10734</v>
      </c>
      <c r="E11152" s="6" t="str">
        <f>HYPERLINK("https://twitter.com/petrogustavo/status/1319424324466593794","1319424324466593794")</f>
        <v>1319424324466593794</v>
      </c>
      <c r="F11152" s="7" t="s">
        <v>17</v>
      </c>
      <c r="G11152" s="7">
        <v>3995352</v>
      </c>
      <c r="H11152" s="7">
        <v>2449</v>
      </c>
      <c r="I11152" s="7">
        <v>546</v>
      </c>
      <c r="J11152" s="7">
        <v>0</v>
      </c>
      <c r="K11152" s="7" t="s">
        <v>18</v>
      </c>
      <c r="L11152" s="8">
        <v>39987.315405092595</v>
      </c>
      <c r="M11152" s="9" t="s">
        <v>19</v>
      </c>
      <c r="N11152" s="9" t="s">
        <v>20</v>
      </c>
      <c r="O11152" s="6" t="str">
        <f>HYPERLINK("https://pbs.twimg.com/profile_images/962471262747529216/Uo8lOkRJ_normal.jpg","View")</f>
        <v>View</v>
      </c>
      <c r="P11152" s="7"/>
    </row>
    <row r="11153" spans="1:16">
      <c r="A11153" s="3">
        <v>44127.218229166669</v>
      </c>
      <c r="B11153" s="4" t="str">
        <f>HYPERLINK("https://twitter.com/petrogustavo","@petrogustavo")</f>
        <v>@petrogustavo</v>
      </c>
      <c r="C11153" s="5" t="s">
        <v>16</v>
      </c>
      <c r="D11153" s="5" t="s">
        <v>10735</v>
      </c>
      <c r="E11153" s="6" t="str">
        <f>HYPERLINK("https://twitter.com/petrogustavo/status/1319424358767611908","1319424358767611908")</f>
        <v>1319424358767611908</v>
      </c>
      <c r="F11153" s="7" t="s">
        <v>17</v>
      </c>
      <c r="G11153" s="7">
        <v>3995352</v>
      </c>
      <c r="H11153" s="7">
        <v>2449</v>
      </c>
      <c r="I11153" s="7">
        <v>139</v>
      </c>
      <c r="J11153" s="7">
        <v>0</v>
      </c>
      <c r="K11153" s="7" t="s">
        <v>18</v>
      </c>
      <c r="L11153" s="8">
        <v>39987.315405092595</v>
      </c>
      <c r="M11153" s="9" t="s">
        <v>19</v>
      </c>
      <c r="N11153" s="9" t="s">
        <v>20</v>
      </c>
      <c r="O11153" s="6" t="str">
        <f>HYPERLINK("https://pbs.twimg.com/profile_images/962471262747529216/Uo8lOkRJ_normal.jpg","View")</f>
        <v>View</v>
      </c>
      <c r="P11153" s="7"/>
    </row>
    <row r="11154" spans="1:16">
      <c r="A11154" s="3">
        <v>44127.222928240742</v>
      </c>
      <c r="B11154" s="4" t="str">
        <f>HYPERLINK("https://twitter.com/petrogustavo","@petrogustavo")</f>
        <v>@petrogustavo</v>
      </c>
      <c r="C11154" s="5" t="s">
        <v>16</v>
      </c>
      <c r="D11154" s="5" t="s">
        <v>10736</v>
      </c>
      <c r="E11154" s="6" t="str">
        <f>HYPERLINK("https://twitter.com/petrogustavo/status/1319426063135612928","1319426063135612928")</f>
        <v>1319426063135612928</v>
      </c>
      <c r="F11154" s="7" t="s">
        <v>17</v>
      </c>
      <c r="G11154" s="7">
        <v>3995352</v>
      </c>
      <c r="H11154" s="7">
        <v>2449</v>
      </c>
      <c r="I11154" s="7">
        <v>153</v>
      </c>
      <c r="J11154" s="7">
        <v>370</v>
      </c>
      <c r="K11154" s="7" t="s">
        <v>18</v>
      </c>
      <c r="L11154" s="8">
        <v>39987.315405092595</v>
      </c>
      <c r="M11154" s="9" t="s">
        <v>19</v>
      </c>
      <c r="N11154" s="9" t="s">
        <v>20</v>
      </c>
      <c r="O11154" s="6" t="str">
        <f>HYPERLINK("https://pbs.twimg.com/profile_images/962471262747529216/Uo8lOkRJ_normal.jpg","View")</f>
        <v>View</v>
      </c>
      <c r="P11154" s="7"/>
    </row>
    <row r="11155" spans="1:16">
      <c r="A11155" s="3">
        <v>44127.255231481482</v>
      </c>
      <c r="B11155" s="4" t="str">
        <f>HYPERLINK("https://twitter.com/petrogustavo","@petrogustavo")</f>
        <v>@petrogustavo</v>
      </c>
      <c r="C11155" s="5" t="s">
        <v>16</v>
      </c>
      <c r="D11155" s="5" t="s">
        <v>10737</v>
      </c>
      <c r="E11155" s="6" t="str">
        <f>HYPERLINK("https://twitter.com/petrogustavo/status/1319437768699858947","1319437768699858947")</f>
        <v>1319437768699858947</v>
      </c>
      <c r="F11155" s="7" t="s">
        <v>17</v>
      </c>
      <c r="G11155" s="7">
        <v>3995340</v>
      </c>
      <c r="H11155" s="7">
        <v>2449</v>
      </c>
      <c r="I11155" s="7">
        <v>863</v>
      </c>
      <c r="J11155" s="7">
        <v>2412</v>
      </c>
      <c r="K11155" s="7" t="s">
        <v>18</v>
      </c>
      <c r="L11155" s="8">
        <v>39987.315405092595</v>
      </c>
      <c r="M11155" s="9" t="s">
        <v>19</v>
      </c>
      <c r="N11155" s="9" t="s">
        <v>20</v>
      </c>
      <c r="O11155" s="6" t="str">
        <f>HYPERLINK("https://pbs.twimg.com/profile_images/962471262747529216/Uo8lOkRJ_normal.jpg","View")</f>
        <v>View</v>
      </c>
      <c r="P11155" s="7"/>
    </row>
    <row r="11156" spans="1:16">
      <c r="A11156" s="3">
        <v>44127.271041666667</v>
      </c>
      <c r="B11156" s="4" t="str">
        <f>HYPERLINK("https://twitter.com/petrogustavo","@petrogustavo")</f>
        <v>@petrogustavo</v>
      </c>
      <c r="C11156" s="5" t="s">
        <v>16</v>
      </c>
      <c r="D11156" s="5" t="s">
        <v>10738</v>
      </c>
      <c r="E11156" s="6" t="str">
        <f>HYPERLINK("https://twitter.com/petrogustavo/status/1319443498584690691","1319443498584690691")</f>
        <v>1319443498584690691</v>
      </c>
      <c r="F11156" s="7" t="s">
        <v>17</v>
      </c>
      <c r="G11156" s="7">
        <v>3995340</v>
      </c>
      <c r="H11156" s="7">
        <v>2449</v>
      </c>
      <c r="I11156" s="7">
        <v>27</v>
      </c>
      <c r="J11156" s="7">
        <v>0</v>
      </c>
      <c r="K11156" s="7" t="s">
        <v>18</v>
      </c>
      <c r="L11156" s="8">
        <v>39987.315405092595</v>
      </c>
      <c r="M11156" s="9" t="s">
        <v>19</v>
      </c>
      <c r="N11156" s="9" t="s">
        <v>20</v>
      </c>
      <c r="O11156" s="6" t="str">
        <f>HYPERLINK("https://pbs.twimg.com/profile_images/962471262747529216/Uo8lOkRJ_normal.jpg","View")</f>
        <v>View</v>
      </c>
      <c r="P11156" s="7"/>
    </row>
    <row r="11157" spans="1:16">
      <c r="A11157" s="3">
        <v>44127.27270833333</v>
      </c>
      <c r="B11157" s="4" t="str">
        <f>HYPERLINK("https://twitter.com/petrogustavo","@petrogustavo")</f>
        <v>@petrogustavo</v>
      </c>
      <c r="C11157" s="5" t="s">
        <v>16</v>
      </c>
      <c r="D11157" s="5" t="s">
        <v>10739</v>
      </c>
      <c r="E11157" s="6" t="str">
        <f>HYPERLINK("https://twitter.com/petrogustavo/status/1319444100563800069","1319444100563800069")</f>
        <v>1319444100563800069</v>
      </c>
      <c r="F11157" s="7" t="s">
        <v>17</v>
      </c>
      <c r="G11157" s="7">
        <v>3995340</v>
      </c>
      <c r="H11157" s="7">
        <v>2449</v>
      </c>
      <c r="I11157" s="7">
        <v>17</v>
      </c>
      <c r="J11157" s="7">
        <v>0</v>
      </c>
      <c r="K11157" s="7" t="s">
        <v>18</v>
      </c>
      <c r="L11157" s="8">
        <v>39987.315405092595</v>
      </c>
      <c r="M11157" s="9" t="s">
        <v>19</v>
      </c>
      <c r="N11157" s="9" t="s">
        <v>20</v>
      </c>
      <c r="O11157" s="6" t="str">
        <f>HYPERLINK("https://pbs.twimg.com/profile_images/962471262747529216/Uo8lOkRJ_normal.jpg","View")</f>
        <v>View</v>
      </c>
      <c r="P11157" s="7"/>
    </row>
    <row r="11158" spans="1:16">
      <c r="A11158" s="3">
        <v>44127.275092592594</v>
      </c>
      <c r="B11158" s="4" t="str">
        <f>HYPERLINK("https://twitter.com/petrogustavo","@petrogustavo")</f>
        <v>@petrogustavo</v>
      </c>
      <c r="C11158" s="5" t="s">
        <v>16</v>
      </c>
      <c r="D11158" s="5" t="s">
        <v>10738</v>
      </c>
      <c r="E11158" s="6" t="str">
        <f>HYPERLINK("https://twitter.com/petrogustavo/status/1319444963520819201","1319444963520819201")</f>
        <v>1319444963520819201</v>
      </c>
      <c r="F11158" s="7" t="s">
        <v>17</v>
      </c>
      <c r="G11158" s="7">
        <v>3995373</v>
      </c>
      <c r="H11158" s="7">
        <v>2449</v>
      </c>
      <c r="I11158" s="7">
        <v>108</v>
      </c>
      <c r="J11158" s="7">
        <v>0</v>
      </c>
      <c r="K11158" s="7" t="s">
        <v>18</v>
      </c>
      <c r="L11158" s="8">
        <v>39987.315405092595</v>
      </c>
      <c r="M11158" s="9" t="s">
        <v>19</v>
      </c>
      <c r="N11158" s="9" t="s">
        <v>20</v>
      </c>
      <c r="O11158" s="6" t="str">
        <f>HYPERLINK("https://pbs.twimg.com/profile_images/962471262747529216/Uo8lOkRJ_normal.jpg","View")</f>
        <v>View</v>
      </c>
      <c r="P11158" s="7"/>
    </row>
    <row r="11159" spans="1:16">
      <c r="A11159" s="3">
        <v>44127.275150462963</v>
      </c>
      <c r="B11159" s="4" t="str">
        <f>HYPERLINK("https://twitter.com/petrogustavo","@petrogustavo")</f>
        <v>@petrogustavo</v>
      </c>
      <c r="C11159" s="5" t="s">
        <v>16</v>
      </c>
      <c r="D11159" s="5" t="s">
        <v>10740</v>
      </c>
      <c r="E11159" s="6" t="str">
        <f>HYPERLINK("https://twitter.com/petrogustavo/status/1319444988367876096","1319444988367876096")</f>
        <v>1319444988367876096</v>
      </c>
      <c r="F11159" s="7" t="s">
        <v>17</v>
      </c>
      <c r="G11159" s="7">
        <v>3995373</v>
      </c>
      <c r="H11159" s="7">
        <v>2449</v>
      </c>
      <c r="I11159" s="7">
        <v>1388</v>
      </c>
      <c r="J11159" s="7">
        <v>0</v>
      </c>
      <c r="K11159" s="7" t="s">
        <v>18</v>
      </c>
      <c r="L11159" s="8">
        <v>39987.315405092595</v>
      </c>
      <c r="M11159" s="9" t="s">
        <v>19</v>
      </c>
      <c r="N11159" s="9" t="s">
        <v>20</v>
      </c>
      <c r="O11159" s="6" t="str">
        <f>HYPERLINK("https://pbs.twimg.com/profile_images/962471262747529216/Uo8lOkRJ_normal.jpg","View")</f>
        <v>View</v>
      </c>
      <c r="P11159" s="7"/>
    </row>
    <row r="11160" spans="1:16">
      <c r="A11160" s="3">
        <v>44127.278865740736</v>
      </c>
      <c r="B11160" s="4" t="str">
        <f>HYPERLINK("https://twitter.com/petrogustavo","@petrogustavo")</f>
        <v>@petrogustavo</v>
      </c>
      <c r="C11160" s="5" t="s">
        <v>16</v>
      </c>
      <c r="D11160" s="5" t="s">
        <v>10741</v>
      </c>
      <c r="E11160" s="6" t="str">
        <f>HYPERLINK("https://twitter.com/petrogustavo/status/1319446331270770693","1319446331270770693")</f>
        <v>1319446331270770693</v>
      </c>
      <c r="F11160" s="7" t="s">
        <v>17</v>
      </c>
      <c r="G11160" s="7">
        <v>3995373</v>
      </c>
      <c r="H11160" s="7">
        <v>2449</v>
      </c>
      <c r="I11160" s="7">
        <v>208</v>
      </c>
      <c r="J11160" s="7">
        <v>730</v>
      </c>
      <c r="K11160" s="7" t="s">
        <v>18</v>
      </c>
      <c r="L11160" s="8">
        <v>39987.315405092595</v>
      </c>
      <c r="M11160" s="9" t="s">
        <v>19</v>
      </c>
      <c r="N11160" s="9" t="s">
        <v>20</v>
      </c>
      <c r="O11160" s="6" t="str">
        <f>HYPERLINK("https://pbs.twimg.com/profile_images/962471262747529216/Uo8lOkRJ_normal.jpg","View")</f>
        <v>View</v>
      </c>
      <c r="P11160" s="7"/>
    </row>
    <row r="11161" spans="1:16">
      <c r="A11161" s="3">
        <v>44127.297118055554</v>
      </c>
      <c r="B11161" s="4" t="str">
        <f>HYPERLINK("https://twitter.com/petrogustavo","@petrogustavo")</f>
        <v>@petrogustavo</v>
      </c>
      <c r="C11161" s="5" t="s">
        <v>16</v>
      </c>
      <c r="D11161" s="5" t="s">
        <v>10742</v>
      </c>
      <c r="E11161" s="6" t="str">
        <f>HYPERLINK("https://twitter.com/petrogustavo/status/1319452945256243200","1319452945256243200")</f>
        <v>1319452945256243200</v>
      </c>
      <c r="F11161" s="7" t="s">
        <v>17</v>
      </c>
      <c r="G11161" s="7">
        <v>3995393</v>
      </c>
      <c r="H11161" s="7">
        <v>2449</v>
      </c>
      <c r="I11161" s="7">
        <v>1001</v>
      </c>
      <c r="J11161" s="7">
        <v>0</v>
      </c>
      <c r="K11161" s="7" t="s">
        <v>18</v>
      </c>
      <c r="L11161" s="8">
        <v>39987.315405092595</v>
      </c>
      <c r="M11161" s="9" t="s">
        <v>19</v>
      </c>
      <c r="N11161" s="9" t="s">
        <v>20</v>
      </c>
      <c r="O11161" s="6" t="str">
        <f>HYPERLINK("https://pbs.twimg.com/profile_images/962471262747529216/Uo8lOkRJ_normal.jpg","View")</f>
        <v>View</v>
      </c>
      <c r="P11161" s="7"/>
    </row>
    <row r="11162" spans="1:16">
      <c r="A11162" s="3">
        <v>44127.302303240736</v>
      </c>
      <c r="B11162" s="4" t="str">
        <f>HYPERLINK("https://twitter.com/petrogustavo","@petrogustavo")</f>
        <v>@petrogustavo</v>
      </c>
      <c r="C11162" s="5" t="s">
        <v>16</v>
      </c>
      <c r="D11162" s="5" t="s">
        <v>10743</v>
      </c>
      <c r="E11162" s="6" t="str">
        <f>HYPERLINK("https://twitter.com/petrogustavo/status/1319454825088749569","1319454825088749569")</f>
        <v>1319454825088749569</v>
      </c>
      <c r="F11162" s="7" t="s">
        <v>17</v>
      </c>
      <c r="G11162" s="7">
        <v>3995393</v>
      </c>
      <c r="H11162" s="7">
        <v>2449</v>
      </c>
      <c r="I11162" s="7">
        <v>351</v>
      </c>
      <c r="J11162" s="7">
        <v>1243</v>
      </c>
      <c r="K11162" s="7" t="s">
        <v>18</v>
      </c>
      <c r="L11162" s="8">
        <v>39987.315405092595</v>
      </c>
      <c r="M11162" s="9" t="s">
        <v>19</v>
      </c>
      <c r="N11162" s="9" t="s">
        <v>20</v>
      </c>
      <c r="O11162" s="6" t="str">
        <f>HYPERLINK("https://pbs.twimg.com/profile_images/962471262747529216/Uo8lOkRJ_normal.jpg","View")</f>
        <v>View</v>
      </c>
      <c r="P11162" s="7"/>
    </row>
    <row r="11163" spans="1:16">
      <c r="A11163" s="3">
        <v>44127.320069444446</v>
      </c>
      <c r="B11163" s="4" t="str">
        <f>HYPERLINK("https://twitter.com/petrogustavo","@petrogustavo")</f>
        <v>@petrogustavo</v>
      </c>
      <c r="C11163" s="5" t="s">
        <v>16</v>
      </c>
      <c r="D11163" s="5" t="s">
        <v>10744</v>
      </c>
      <c r="E11163" s="6" t="str">
        <f>HYPERLINK("https://twitter.com/petrogustavo/status/1319461264381386752","1319461264381386752")</f>
        <v>1319461264381386752</v>
      </c>
      <c r="F11163" s="7" t="s">
        <v>17</v>
      </c>
      <c r="G11163" s="7">
        <v>3995376</v>
      </c>
      <c r="H11163" s="7">
        <v>2449</v>
      </c>
      <c r="I11163" s="7">
        <v>88</v>
      </c>
      <c r="J11163" s="7">
        <v>0</v>
      </c>
      <c r="K11163" s="7" t="s">
        <v>18</v>
      </c>
      <c r="L11163" s="8">
        <v>39987.315405092595</v>
      </c>
      <c r="M11163" s="9" t="s">
        <v>19</v>
      </c>
      <c r="N11163" s="9" t="s">
        <v>20</v>
      </c>
      <c r="O11163" s="6" t="str">
        <f>HYPERLINK("https://pbs.twimg.com/profile_images/962471262747529216/Uo8lOkRJ_normal.jpg","View")</f>
        <v>View</v>
      </c>
      <c r="P11163" s="7"/>
    </row>
    <row r="11164" spans="1:16">
      <c r="A11164" s="3">
        <v>44127.320243055554</v>
      </c>
      <c r="B11164" s="4" t="str">
        <f>HYPERLINK("https://twitter.com/petrogustavo","@petrogustavo")</f>
        <v>@petrogustavo</v>
      </c>
      <c r="C11164" s="5" t="s">
        <v>16</v>
      </c>
      <c r="D11164" s="5" t="s">
        <v>10745</v>
      </c>
      <c r="E11164" s="6" t="str">
        <f>HYPERLINK("https://twitter.com/petrogustavo/status/1319461327304359937","1319461327304359937")</f>
        <v>1319461327304359937</v>
      </c>
      <c r="F11164" s="7" t="s">
        <v>17</v>
      </c>
      <c r="G11164" s="7">
        <v>3995376</v>
      </c>
      <c r="H11164" s="7">
        <v>2449</v>
      </c>
      <c r="I11164" s="7">
        <v>306</v>
      </c>
      <c r="J11164" s="7">
        <v>0</v>
      </c>
      <c r="K11164" s="7" t="s">
        <v>18</v>
      </c>
      <c r="L11164" s="8">
        <v>39987.315405092595</v>
      </c>
      <c r="M11164" s="9" t="s">
        <v>19</v>
      </c>
      <c r="N11164" s="9" t="s">
        <v>20</v>
      </c>
      <c r="O11164" s="6" t="str">
        <f>HYPERLINK("https://pbs.twimg.com/profile_images/962471262747529216/Uo8lOkRJ_normal.jpg","View")</f>
        <v>View</v>
      </c>
      <c r="P11164" s="7"/>
    </row>
    <row r="11165" spans="1:16">
      <c r="A11165" s="3">
        <v>44127.322581018518</v>
      </c>
      <c r="B11165" s="4" t="str">
        <f>HYPERLINK("https://twitter.com/petrogustavo","@petrogustavo")</f>
        <v>@petrogustavo</v>
      </c>
      <c r="C11165" s="5" t="s">
        <v>16</v>
      </c>
      <c r="D11165" s="5" t="s">
        <v>10746</v>
      </c>
      <c r="E11165" s="6" t="str">
        <f>HYPERLINK("https://twitter.com/petrogustavo/status/1319462175266754561","1319462175266754561")</f>
        <v>1319462175266754561</v>
      </c>
      <c r="F11165" s="7" t="s">
        <v>17</v>
      </c>
      <c r="G11165" s="7">
        <v>3995376</v>
      </c>
      <c r="H11165" s="7">
        <v>2449</v>
      </c>
      <c r="I11165" s="7">
        <v>135</v>
      </c>
      <c r="J11165" s="7">
        <v>284</v>
      </c>
      <c r="K11165" s="7" t="s">
        <v>18</v>
      </c>
      <c r="L11165" s="8">
        <v>39987.315405092595</v>
      </c>
      <c r="M11165" s="9" t="s">
        <v>19</v>
      </c>
      <c r="N11165" s="9" t="s">
        <v>20</v>
      </c>
      <c r="O11165" s="6" t="str">
        <f>HYPERLINK("https://pbs.twimg.com/profile_images/962471262747529216/Uo8lOkRJ_normal.jpg","View")</f>
        <v>View</v>
      </c>
      <c r="P11165" s="7"/>
    </row>
    <row r="11166" spans="1:16">
      <c r="A11166" s="3">
        <v>44127.325659722221</v>
      </c>
      <c r="B11166" s="4" t="str">
        <f>HYPERLINK("https://twitter.com/petrogustavo","@petrogustavo")</f>
        <v>@petrogustavo</v>
      </c>
      <c r="C11166" s="5" t="s">
        <v>16</v>
      </c>
      <c r="D11166" s="5" t="s">
        <v>10747</v>
      </c>
      <c r="E11166" s="6" t="str">
        <f>HYPERLINK("https://twitter.com/petrogustavo/status/1319463291127844867","1319463291127844867")</f>
        <v>1319463291127844867</v>
      </c>
      <c r="F11166" s="7" t="s">
        <v>17</v>
      </c>
      <c r="G11166" s="7">
        <v>3995376</v>
      </c>
      <c r="H11166" s="7">
        <v>2449</v>
      </c>
      <c r="I11166" s="7">
        <v>87</v>
      </c>
      <c r="J11166" s="7">
        <v>0</v>
      </c>
      <c r="K11166" s="7" t="s">
        <v>18</v>
      </c>
      <c r="L11166" s="8">
        <v>39987.315405092595</v>
      </c>
      <c r="M11166" s="9" t="s">
        <v>19</v>
      </c>
      <c r="N11166" s="9" t="s">
        <v>20</v>
      </c>
      <c r="O11166" s="6" t="str">
        <f>HYPERLINK("https://pbs.twimg.com/profile_images/962471262747529216/Uo8lOkRJ_normal.jpg","View")</f>
        <v>View</v>
      </c>
      <c r="P11166" s="7"/>
    </row>
    <row r="11167" spans="1:16">
      <c r="A11167" s="3">
        <v>44127.325798611113</v>
      </c>
      <c r="B11167" s="4" t="str">
        <f>HYPERLINK("https://twitter.com/petrogustavo","@petrogustavo")</f>
        <v>@petrogustavo</v>
      </c>
      <c r="C11167" s="5" t="s">
        <v>16</v>
      </c>
      <c r="D11167" s="5" t="s">
        <v>10748</v>
      </c>
      <c r="E11167" s="6" t="str">
        <f>HYPERLINK("https://twitter.com/petrogustavo/status/1319463339379011585","1319463339379011585")</f>
        <v>1319463339379011585</v>
      </c>
      <c r="F11167" s="7" t="s">
        <v>17</v>
      </c>
      <c r="G11167" s="7">
        <v>3995376</v>
      </c>
      <c r="H11167" s="7">
        <v>2449</v>
      </c>
      <c r="I11167" s="7">
        <v>131</v>
      </c>
      <c r="J11167" s="7">
        <v>0</v>
      </c>
      <c r="K11167" s="7" t="s">
        <v>18</v>
      </c>
      <c r="L11167" s="8">
        <v>39987.315405092595</v>
      </c>
      <c r="M11167" s="9" t="s">
        <v>19</v>
      </c>
      <c r="N11167" s="9" t="s">
        <v>20</v>
      </c>
      <c r="O11167" s="6" t="str">
        <f>HYPERLINK("https://pbs.twimg.com/profile_images/962471262747529216/Uo8lOkRJ_normal.jpg","View")</f>
        <v>View</v>
      </c>
      <c r="P11167" s="7"/>
    </row>
    <row r="11168" spans="1:16">
      <c r="A11168" s="3">
        <v>44127.326909722222</v>
      </c>
      <c r="B11168" s="4" t="str">
        <f>HYPERLINK("https://twitter.com/petrogustavo","@petrogustavo")</f>
        <v>@petrogustavo</v>
      </c>
      <c r="C11168" s="5" t="s">
        <v>16</v>
      </c>
      <c r="D11168" s="5" t="s">
        <v>10749</v>
      </c>
      <c r="E11168" s="6" t="str">
        <f>HYPERLINK("https://twitter.com/petrogustavo/status/1319463745194762240","1319463745194762240")</f>
        <v>1319463745194762240</v>
      </c>
      <c r="F11168" s="7" t="s">
        <v>17</v>
      </c>
      <c r="G11168" s="7">
        <v>3995376</v>
      </c>
      <c r="H11168" s="7">
        <v>2449</v>
      </c>
      <c r="I11168" s="7">
        <v>126</v>
      </c>
      <c r="J11168" s="7">
        <v>350</v>
      </c>
      <c r="K11168" s="7" t="s">
        <v>18</v>
      </c>
      <c r="L11168" s="8">
        <v>39987.315405092595</v>
      </c>
      <c r="M11168" s="9" t="s">
        <v>19</v>
      </c>
      <c r="N11168" s="9" t="s">
        <v>20</v>
      </c>
      <c r="O11168" s="6" t="str">
        <f>HYPERLINK("https://pbs.twimg.com/profile_images/962471262747529216/Uo8lOkRJ_normal.jpg","View")</f>
        <v>View</v>
      </c>
      <c r="P11168" s="7"/>
    </row>
    <row r="11169" spans="1:16">
      <c r="A11169" s="3">
        <v>44127.327962962961</v>
      </c>
      <c r="B11169" s="4" t="str">
        <f>HYPERLINK("https://twitter.com/petrogustavo","@petrogustavo")</f>
        <v>@petrogustavo</v>
      </c>
      <c r="C11169" s="5" t="s">
        <v>16</v>
      </c>
      <c r="D11169" s="5" t="s">
        <v>10750</v>
      </c>
      <c r="E11169" s="6" t="str">
        <f>HYPERLINK("https://twitter.com/petrogustavo/status/1319464126570242048","1319464126570242048")</f>
        <v>1319464126570242048</v>
      </c>
      <c r="F11169" s="7" t="s">
        <v>17</v>
      </c>
      <c r="G11169" s="7">
        <v>3995376</v>
      </c>
      <c r="H11169" s="7">
        <v>2449</v>
      </c>
      <c r="I11169" s="7">
        <v>282</v>
      </c>
      <c r="J11169" s="7">
        <v>0</v>
      </c>
      <c r="K11169" s="7" t="s">
        <v>18</v>
      </c>
      <c r="L11169" s="8">
        <v>39987.315405092595</v>
      </c>
      <c r="M11169" s="9" t="s">
        <v>19</v>
      </c>
      <c r="N11169" s="9" t="s">
        <v>20</v>
      </c>
      <c r="O11169" s="6" t="str">
        <f>HYPERLINK("https://pbs.twimg.com/profile_images/962471262747529216/Uo8lOkRJ_normal.jpg","View")</f>
        <v>View</v>
      </c>
      <c r="P11169" s="7"/>
    </row>
    <row r="11170" spans="1:16">
      <c r="A11170" s="3">
        <v>44127.328321759254</v>
      </c>
      <c r="B11170" s="4" t="str">
        <f>HYPERLINK("https://twitter.com/petrogustavo","@petrogustavo")</f>
        <v>@petrogustavo</v>
      </c>
      <c r="C11170" s="5" t="s">
        <v>16</v>
      </c>
      <c r="D11170" s="5" t="s">
        <v>10751</v>
      </c>
      <c r="E11170" s="6" t="str">
        <f>HYPERLINK("https://twitter.com/petrogustavo/status/1319464256115441671","1319464256115441671")</f>
        <v>1319464256115441671</v>
      </c>
      <c r="F11170" s="7" t="s">
        <v>17</v>
      </c>
      <c r="G11170" s="7">
        <v>3995376</v>
      </c>
      <c r="H11170" s="7">
        <v>2449</v>
      </c>
      <c r="I11170" s="7">
        <v>82</v>
      </c>
      <c r="J11170" s="7">
        <v>0</v>
      </c>
      <c r="K11170" s="7" t="s">
        <v>18</v>
      </c>
      <c r="L11170" s="8">
        <v>39987.315405092595</v>
      </c>
      <c r="M11170" s="9" t="s">
        <v>19</v>
      </c>
      <c r="N11170" s="9" t="s">
        <v>20</v>
      </c>
      <c r="O11170" s="6" t="str">
        <f>HYPERLINK("https://pbs.twimg.com/profile_images/962471262747529216/Uo8lOkRJ_normal.jpg","View")</f>
        <v>View</v>
      </c>
      <c r="P11170" s="7"/>
    </row>
    <row r="11171" spans="1:16">
      <c r="A11171" s="3">
        <v>44127.329155092593</v>
      </c>
      <c r="B11171" s="4" t="str">
        <f>HYPERLINK("https://twitter.com/petrogustavo","@petrogustavo")</f>
        <v>@petrogustavo</v>
      </c>
      <c r="C11171" s="5" t="s">
        <v>16</v>
      </c>
      <c r="D11171" s="5" t="s">
        <v>10752</v>
      </c>
      <c r="E11171" s="6" t="str">
        <f>HYPERLINK("https://twitter.com/petrogustavo/status/1319464556259872768","1319464556259872768")</f>
        <v>1319464556259872768</v>
      </c>
      <c r="F11171" s="7" t="s">
        <v>17</v>
      </c>
      <c r="G11171" s="7">
        <v>3995376</v>
      </c>
      <c r="H11171" s="7">
        <v>2449</v>
      </c>
      <c r="I11171" s="7">
        <v>37</v>
      </c>
      <c r="J11171" s="7">
        <v>0</v>
      </c>
      <c r="K11171" s="7" t="s">
        <v>18</v>
      </c>
      <c r="L11171" s="8">
        <v>39987.315405092595</v>
      </c>
      <c r="M11171" s="9" t="s">
        <v>19</v>
      </c>
      <c r="N11171" s="9" t="s">
        <v>20</v>
      </c>
      <c r="O11171" s="6" t="str">
        <f>HYPERLINK("https://pbs.twimg.com/profile_images/962471262747529216/Uo8lOkRJ_normal.jpg","View")</f>
        <v>View</v>
      </c>
      <c r="P11171" s="7"/>
    </row>
    <row r="11172" spans="1:16">
      <c r="A11172" s="3">
        <v>44127.332291666666</v>
      </c>
      <c r="B11172" s="4" t="str">
        <f>HYPERLINK("https://twitter.com/petrogustavo","@petrogustavo")</f>
        <v>@petrogustavo</v>
      </c>
      <c r="C11172" s="5" t="s">
        <v>16</v>
      </c>
      <c r="D11172" s="5" t="s">
        <v>10753</v>
      </c>
      <c r="E11172" s="6" t="str">
        <f>HYPERLINK("https://twitter.com/petrogustavo/status/1319465695244128258","1319465695244128258")</f>
        <v>1319465695244128258</v>
      </c>
      <c r="F11172" s="7" t="s">
        <v>17</v>
      </c>
      <c r="G11172" s="7">
        <v>3995376</v>
      </c>
      <c r="H11172" s="7">
        <v>2449</v>
      </c>
      <c r="I11172" s="7">
        <v>70</v>
      </c>
      <c r="J11172" s="7">
        <v>0</v>
      </c>
      <c r="K11172" s="7" t="s">
        <v>18</v>
      </c>
      <c r="L11172" s="8">
        <v>39987.315405092595</v>
      </c>
      <c r="M11172" s="9" t="s">
        <v>19</v>
      </c>
      <c r="N11172" s="9" t="s">
        <v>20</v>
      </c>
      <c r="O11172" s="6" t="str">
        <f>HYPERLINK("https://pbs.twimg.com/profile_images/962471262747529216/Uo8lOkRJ_normal.jpg","View")</f>
        <v>View</v>
      </c>
      <c r="P11172" s="7"/>
    </row>
    <row r="11173" spans="1:16">
      <c r="A11173" s="3">
        <v>44127.33315972222</v>
      </c>
      <c r="B11173" s="4" t="str">
        <f>HYPERLINK("https://twitter.com/petrogustavo","@petrogustavo")</f>
        <v>@petrogustavo</v>
      </c>
      <c r="C11173" s="5" t="s">
        <v>16</v>
      </c>
      <c r="D11173" s="5" t="s">
        <v>10754</v>
      </c>
      <c r="E11173" s="6" t="str">
        <f>HYPERLINK("https://twitter.com/petrogustavo/status/1319466006490812416","1319466006490812416")</f>
        <v>1319466006490812416</v>
      </c>
      <c r="F11173" s="7" t="s">
        <v>17</v>
      </c>
      <c r="G11173" s="7">
        <v>3995376</v>
      </c>
      <c r="H11173" s="7">
        <v>2449</v>
      </c>
      <c r="I11173" s="7">
        <v>17</v>
      </c>
      <c r="J11173" s="7">
        <v>0</v>
      </c>
      <c r="K11173" s="7" t="s">
        <v>18</v>
      </c>
      <c r="L11173" s="8">
        <v>39987.315405092595</v>
      </c>
      <c r="M11173" s="9" t="s">
        <v>19</v>
      </c>
      <c r="N11173" s="9" t="s">
        <v>20</v>
      </c>
      <c r="O11173" s="6" t="str">
        <f>HYPERLINK("https://pbs.twimg.com/profile_images/962471262747529216/Uo8lOkRJ_normal.jpg","View")</f>
        <v>View</v>
      </c>
      <c r="P11173" s="7"/>
    </row>
    <row r="11174" spans="1:16">
      <c r="A11174" s="3">
        <v>44127.334236111114</v>
      </c>
      <c r="B11174" s="4" t="str">
        <f>HYPERLINK("https://twitter.com/petrogustavo","@petrogustavo")</f>
        <v>@petrogustavo</v>
      </c>
      <c r="C11174" s="5" t="s">
        <v>16</v>
      </c>
      <c r="D11174" s="5" t="s">
        <v>10755</v>
      </c>
      <c r="E11174" s="6" t="str">
        <f>HYPERLINK("https://twitter.com/petrogustavo/status/1319466398851207168","1319466398851207168")</f>
        <v>1319466398851207168</v>
      </c>
      <c r="F11174" s="7" t="s">
        <v>17</v>
      </c>
      <c r="G11174" s="7">
        <v>3995376</v>
      </c>
      <c r="H11174" s="7">
        <v>2449</v>
      </c>
      <c r="I11174" s="7">
        <v>700</v>
      </c>
      <c r="J11174" s="7">
        <v>0</v>
      </c>
      <c r="K11174" s="7" t="s">
        <v>18</v>
      </c>
      <c r="L11174" s="8">
        <v>39987.315405092595</v>
      </c>
      <c r="M11174" s="9" t="s">
        <v>19</v>
      </c>
      <c r="N11174" s="9" t="s">
        <v>20</v>
      </c>
      <c r="O11174" s="6" t="str">
        <f>HYPERLINK("https://pbs.twimg.com/profile_images/962471262747529216/Uo8lOkRJ_normal.jpg","View")</f>
        <v>View</v>
      </c>
      <c r="P11174" s="7"/>
    </row>
    <row r="11175" spans="1:16">
      <c r="A11175" s="3">
        <v>44127.336076388892</v>
      </c>
      <c r="B11175" s="4" t="str">
        <f>HYPERLINK("https://twitter.com/petrogustavo","@petrogustavo")</f>
        <v>@petrogustavo</v>
      </c>
      <c r="C11175" s="5" t="s">
        <v>16</v>
      </c>
      <c r="D11175" s="5" t="s">
        <v>10756</v>
      </c>
      <c r="E11175" s="6" t="str">
        <f>HYPERLINK("https://twitter.com/petrogustavo/status/1319467063145123842","1319467063145123842")</f>
        <v>1319467063145123842</v>
      </c>
      <c r="F11175" s="7" t="s">
        <v>17</v>
      </c>
      <c r="G11175" s="7">
        <v>3995390</v>
      </c>
      <c r="H11175" s="7">
        <v>2449</v>
      </c>
      <c r="I11175" s="7">
        <v>172</v>
      </c>
      <c r="J11175" s="7">
        <v>0</v>
      </c>
      <c r="K11175" s="7" t="s">
        <v>18</v>
      </c>
      <c r="L11175" s="8">
        <v>39987.315405092595</v>
      </c>
      <c r="M11175" s="9" t="s">
        <v>19</v>
      </c>
      <c r="N11175" s="9" t="s">
        <v>20</v>
      </c>
      <c r="O11175" s="6" t="str">
        <f>HYPERLINK("https://pbs.twimg.com/profile_images/962471262747529216/Uo8lOkRJ_normal.jpg","View")</f>
        <v>View</v>
      </c>
      <c r="P11175" s="7"/>
    </row>
    <row r="11176" spans="1:16">
      <c r="A11176" s="3">
        <v>44127.336273148147</v>
      </c>
      <c r="B11176" s="4" t="str">
        <f>HYPERLINK("https://twitter.com/petrogustavo","@petrogustavo")</f>
        <v>@petrogustavo</v>
      </c>
      <c r="C11176" s="5" t="s">
        <v>16</v>
      </c>
      <c r="D11176" s="5" t="s">
        <v>10757</v>
      </c>
      <c r="E11176" s="6" t="str">
        <f>HYPERLINK("https://twitter.com/petrogustavo/status/1319467135098388481","1319467135098388481")</f>
        <v>1319467135098388481</v>
      </c>
      <c r="F11176" s="7" t="s">
        <v>17</v>
      </c>
      <c r="G11176" s="7">
        <v>3995390</v>
      </c>
      <c r="H11176" s="7">
        <v>2449</v>
      </c>
      <c r="I11176" s="7">
        <v>339</v>
      </c>
      <c r="J11176" s="7">
        <v>0</v>
      </c>
      <c r="K11176" s="7" t="s">
        <v>18</v>
      </c>
      <c r="L11176" s="8">
        <v>39987.315405092595</v>
      </c>
      <c r="M11176" s="9" t="s">
        <v>19</v>
      </c>
      <c r="N11176" s="9" t="s">
        <v>20</v>
      </c>
      <c r="O11176" s="6" t="str">
        <f>HYPERLINK("https://pbs.twimg.com/profile_images/962471262747529216/Uo8lOkRJ_normal.jpg","View")</f>
        <v>View</v>
      </c>
      <c r="P11176" s="7"/>
    </row>
    <row r="11177" spans="1:16">
      <c r="A11177" s="3">
        <v>44127.339328703703</v>
      </c>
      <c r="B11177" s="4" t="str">
        <f>HYPERLINK("https://twitter.com/petrogustavo","@petrogustavo")</f>
        <v>@petrogustavo</v>
      </c>
      <c r="C11177" s="5" t="s">
        <v>16</v>
      </c>
      <c r="D11177" s="5" t="s">
        <v>10758</v>
      </c>
      <c r="E11177" s="6" t="str">
        <f>HYPERLINK("https://twitter.com/petrogustavo/status/1319468243443159040","1319468243443159040")</f>
        <v>1319468243443159040</v>
      </c>
      <c r="F11177" s="7" t="s">
        <v>17</v>
      </c>
      <c r="G11177" s="7">
        <v>3995390</v>
      </c>
      <c r="H11177" s="7">
        <v>2449</v>
      </c>
      <c r="I11177" s="7">
        <v>213</v>
      </c>
      <c r="J11177" s="7">
        <v>1652</v>
      </c>
      <c r="K11177" s="7" t="s">
        <v>18</v>
      </c>
      <c r="L11177" s="8">
        <v>39987.315405092595</v>
      </c>
      <c r="M11177" s="9" t="s">
        <v>19</v>
      </c>
      <c r="N11177" s="9" t="s">
        <v>20</v>
      </c>
      <c r="O11177" s="6" t="str">
        <f>HYPERLINK("https://pbs.twimg.com/profile_images/962471262747529216/Uo8lOkRJ_normal.jpg","View")</f>
        <v>View</v>
      </c>
      <c r="P11177" s="7"/>
    </row>
    <row r="11178" spans="1:16">
      <c r="A11178" s="3">
        <v>44127.341377314813</v>
      </c>
      <c r="B11178" s="4" t="str">
        <f>HYPERLINK("https://twitter.com/petrogustavo","@petrogustavo")</f>
        <v>@petrogustavo</v>
      </c>
      <c r="C11178" s="5" t="s">
        <v>16</v>
      </c>
      <c r="D11178" s="5" t="s">
        <v>10759</v>
      </c>
      <c r="E11178" s="6" t="str">
        <f>HYPERLINK("https://twitter.com/petrogustavo/status/1319468986388615169","1319468986388615169")</f>
        <v>1319468986388615169</v>
      </c>
      <c r="F11178" s="7" t="s">
        <v>17</v>
      </c>
      <c r="G11178" s="7">
        <v>3995390</v>
      </c>
      <c r="H11178" s="7">
        <v>2449</v>
      </c>
      <c r="I11178" s="7">
        <v>136</v>
      </c>
      <c r="J11178" s="7">
        <v>586</v>
      </c>
      <c r="K11178" s="7" t="s">
        <v>18</v>
      </c>
      <c r="L11178" s="8">
        <v>39987.315405092595</v>
      </c>
      <c r="M11178" s="9" t="s">
        <v>19</v>
      </c>
      <c r="N11178" s="9" t="s">
        <v>20</v>
      </c>
      <c r="O11178" s="6" t="str">
        <f>HYPERLINK("https://pbs.twimg.com/profile_images/962471262747529216/Uo8lOkRJ_normal.jpg","View")</f>
        <v>View</v>
      </c>
      <c r="P11178" s="7"/>
    </row>
    <row r="11179" spans="1:16">
      <c r="A11179" s="3">
        <v>44127.342175925922</v>
      </c>
      <c r="B11179" s="4" t="str">
        <f>HYPERLINK("https://twitter.com/petrogustavo","@petrogustavo")</f>
        <v>@petrogustavo</v>
      </c>
      <c r="C11179" s="5" t="s">
        <v>16</v>
      </c>
      <c r="D11179" s="5" t="s">
        <v>10760</v>
      </c>
      <c r="E11179" s="6" t="str">
        <f>HYPERLINK("https://twitter.com/petrogustavo/status/1319469275858567168","1319469275858567168")</f>
        <v>1319469275858567168</v>
      </c>
      <c r="F11179" s="7" t="s">
        <v>17</v>
      </c>
      <c r="G11179" s="7">
        <v>3995390</v>
      </c>
      <c r="H11179" s="7">
        <v>2449</v>
      </c>
      <c r="I11179" s="7">
        <v>48</v>
      </c>
      <c r="J11179" s="7">
        <v>0</v>
      </c>
      <c r="K11179" s="7" t="s">
        <v>18</v>
      </c>
      <c r="L11179" s="8">
        <v>39987.315405092595</v>
      </c>
      <c r="M11179" s="9" t="s">
        <v>19</v>
      </c>
      <c r="N11179" s="9" t="s">
        <v>20</v>
      </c>
      <c r="O11179" s="6" t="str">
        <f>HYPERLINK("https://pbs.twimg.com/profile_images/962471262747529216/Uo8lOkRJ_normal.jpg","View")</f>
        <v>View</v>
      </c>
      <c r="P11179" s="7"/>
    </row>
    <row r="11180" spans="1:16">
      <c r="A11180" s="3">
        <v>44127.344513888893</v>
      </c>
      <c r="B11180" s="4" t="str">
        <f>HYPERLINK("https://twitter.com/petrogustavo","@petrogustavo")</f>
        <v>@petrogustavo</v>
      </c>
      <c r="C11180" s="5" t="s">
        <v>16</v>
      </c>
      <c r="D11180" s="5" t="s">
        <v>10761</v>
      </c>
      <c r="E11180" s="6" t="str">
        <f>HYPERLINK("https://twitter.com/petrogustavo/status/1319470120855588866","1319470120855588866")</f>
        <v>1319470120855588866</v>
      </c>
      <c r="F11180" s="7" t="s">
        <v>17</v>
      </c>
      <c r="G11180" s="7">
        <v>3995390</v>
      </c>
      <c r="H11180" s="7">
        <v>2449</v>
      </c>
      <c r="I11180" s="7">
        <v>103</v>
      </c>
      <c r="J11180" s="7">
        <v>368</v>
      </c>
      <c r="K11180" s="7" t="s">
        <v>18</v>
      </c>
      <c r="L11180" s="8">
        <v>39987.315405092595</v>
      </c>
      <c r="M11180" s="9" t="s">
        <v>19</v>
      </c>
      <c r="N11180" s="9" t="s">
        <v>20</v>
      </c>
      <c r="O11180" s="6" t="str">
        <f>HYPERLINK("https://pbs.twimg.com/profile_images/962471262747529216/Uo8lOkRJ_normal.jpg","View")</f>
        <v>View</v>
      </c>
      <c r="P11180" s="7"/>
    </row>
    <row r="11181" spans="1:16">
      <c r="A11181" s="3">
        <v>44127.345983796295</v>
      </c>
      <c r="B11181" s="4" t="str">
        <f>HYPERLINK("https://twitter.com/petrogustavo","@petrogustavo")</f>
        <v>@petrogustavo</v>
      </c>
      <c r="C11181" s="5" t="s">
        <v>16</v>
      </c>
      <c r="D11181" s="5" t="s">
        <v>10762</v>
      </c>
      <c r="E11181" s="6" t="str">
        <f>HYPERLINK("https://twitter.com/petrogustavo/status/1319470655843291136","1319470655843291136")</f>
        <v>1319470655843291136</v>
      </c>
      <c r="F11181" s="7" t="s">
        <v>17</v>
      </c>
      <c r="G11181" s="7">
        <v>3995390</v>
      </c>
      <c r="H11181" s="7">
        <v>2449</v>
      </c>
      <c r="I11181" s="7">
        <v>274</v>
      </c>
      <c r="J11181" s="7">
        <v>0</v>
      </c>
      <c r="K11181" s="7" t="s">
        <v>18</v>
      </c>
      <c r="L11181" s="8">
        <v>39987.315405092595</v>
      </c>
      <c r="M11181" s="9" t="s">
        <v>19</v>
      </c>
      <c r="N11181" s="9" t="s">
        <v>20</v>
      </c>
      <c r="O11181" s="6" t="str">
        <f>HYPERLINK("https://pbs.twimg.com/profile_images/962471262747529216/Uo8lOkRJ_normal.jpg","View")</f>
        <v>View</v>
      </c>
      <c r="P11181" s="7"/>
    </row>
    <row r="11182" spans="1:16">
      <c r="A11182" s="3">
        <v>44127.346909722226</v>
      </c>
      <c r="B11182" s="4" t="str">
        <f>HYPERLINK("https://twitter.com/petrogustavo","@petrogustavo")</f>
        <v>@petrogustavo</v>
      </c>
      <c r="C11182" s="5" t="s">
        <v>16</v>
      </c>
      <c r="D11182" s="5" t="s">
        <v>10763</v>
      </c>
      <c r="E11182" s="6" t="str">
        <f>HYPERLINK("https://twitter.com/petrogustavo/status/1319470990926188544","1319470990926188544")</f>
        <v>1319470990926188544</v>
      </c>
      <c r="F11182" s="7" t="s">
        <v>17</v>
      </c>
      <c r="G11182" s="7">
        <v>3995390</v>
      </c>
      <c r="H11182" s="7">
        <v>2449</v>
      </c>
      <c r="I11182" s="7">
        <v>172</v>
      </c>
      <c r="J11182" s="7">
        <v>543</v>
      </c>
      <c r="K11182" s="7" t="s">
        <v>18</v>
      </c>
      <c r="L11182" s="8">
        <v>39987.315405092595</v>
      </c>
      <c r="M11182" s="9" t="s">
        <v>19</v>
      </c>
      <c r="N11182" s="9" t="s">
        <v>20</v>
      </c>
      <c r="O11182" s="6" t="str">
        <f>HYPERLINK("https://pbs.twimg.com/profile_images/962471262747529216/Uo8lOkRJ_normal.jpg","View")</f>
        <v>View</v>
      </c>
      <c r="P11182" s="7"/>
    </row>
    <row r="11183" spans="1:16">
      <c r="A11183" s="3">
        <v>44127.351458333331</v>
      </c>
      <c r="B11183" s="4" t="str">
        <f>HYPERLINK("https://twitter.com/petrogustavo","@petrogustavo")</f>
        <v>@petrogustavo</v>
      </c>
      <c r="C11183" s="5" t="s">
        <v>16</v>
      </c>
      <c r="D11183" s="5" t="s">
        <v>10764</v>
      </c>
      <c r="E11183" s="6" t="str">
        <f>HYPERLINK("https://twitter.com/petrogustavo/status/1319472640692813824","1319472640692813824")</f>
        <v>1319472640692813824</v>
      </c>
      <c r="F11183" s="7" t="s">
        <v>17</v>
      </c>
      <c r="G11183" s="7">
        <v>3995390</v>
      </c>
      <c r="H11183" s="7">
        <v>2449</v>
      </c>
      <c r="I11183" s="7">
        <v>890</v>
      </c>
      <c r="J11183" s="7">
        <v>0</v>
      </c>
      <c r="K11183" s="7" t="s">
        <v>18</v>
      </c>
      <c r="L11183" s="8">
        <v>39987.315405092595</v>
      </c>
      <c r="M11183" s="9" t="s">
        <v>19</v>
      </c>
      <c r="N11183" s="9" t="s">
        <v>20</v>
      </c>
      <c r="O11183" s="6" t="str">
        <f>HYPERLINK("https://pbs.twimg.com/profile_images/962471262747529216/Uo8lOkRJ_normal.jpg","View")</f>
        <v>View</v>
      </c>
      <c r="P11183" s="7"/>
    </row>
    <row r="11184" spans="1:16">
      <c r="A11184" s="3">
        <v>44127.35157407407</v>
      </c>
      <c r="B11184" s="4" t="str">
        <f>HYPERLINK("https://twitter.com/petrogustavo","@petrogustavo")</f>
        <v>@petrogustavo</v>
      </c>
      <c r="C11184" s="5" t="s">
        <v>16</v>
      </c>
      <c r="D11184" s="5" t="s">
        <v>10740</v>
      </c>
      <c r="E11184" s="6" t="str">
        <f>HYPERLINK("https://twitter.com/petrogustavo/status/1319472679850749953","1319472679850749953")</f>
        <v>1319472679850749953</v>
      </c>
      <c r="F11184" s="7" t="s">
        <v>17</v>
      </c>
      <c r="G11184" s="7">
        <v>3995390</v>
      </c>
      <c r="H11184" s="7">
        <v>2449</v>
      </c>
      <c r="I11184" s="7">
        <v>2404</v>
      </c>
      <c r="J11184" s="7">
        <v>0</v>
      </c>
      <c r="K11184" s="7" t="s">
        <v>18</v>
      </c>
      <c r="L11184" s="8">
        <v>39987.315405092595</v>
      </c>
      <c r="M11184" s="9" t="s">
        <v>19</v>
      </c>
      <c r="N11184" s="9" t="s">
        <v>20</v>
      </c>
      <c r="O11184" s="6" t="str">
        <f>HYPERLINK("https://pbs.twimg.com/profile_images/962471262747529216/Uo8lOkRJ_normal.jpg","View")</f>
        <v>View</v>
      </c>
      <c r="P11184" s="7"/>
    </row>
    <row r="11185" spans="1:16">
      <c r="A11185" s="3">
        <v>44127.352835648147</v>
      </c>
      <c r="B11185" s="4" t="str">
        <f>HYPERLINK("https://twitter.com/petrogustavo","@petrogustavo")</f>
        <v>@petrogustavo</v>
      </c>
      <c r="C11185" s="5" t="s">
        <v>16</v>
      </c>
      <c r="D11185" s="5" t="s">
        <v>10765</v>
      </c>
      <c r="E11185" s="6" t="str">
        <f>HYPERLINK("https://twitter.com/petrogustavo/status/1319473139965984768","1319473139965984768")</f>
        <v>1319473139965984768</v>
      </c>
      <c r="F11185" s="7" t="s">
        <v>17</v>
      </c>
      <c r="G11185" s="7">
        <v>3995390</v>
      </c>
      <c r="H11185" s="7">
        <v>2449</v>
      </c>
      <c r="I11185" s="7">
        <v>45</v>
      </c>
      <c r="J11185" s="7">
        <v>172</v>
      </c>
      <c r="K11185" s="7" t="s">
        <v>18</v>
      </c>
      <c r="L11185" s="8">
        <v>39987.315405092595</v>
      </c>
      <c r="M11185" s="9" t="s">
        <v>19</v>
      </c>
      <c r="N11185" s="9" t="s">
        <v>20</v>
      </c>
      <c r="O11185" s="6" t="str">
        <f>HYPERLINK("https://pbs.twimg.com/profile_images/962471262747529216/Uo8lOkRJ_normal.jpg","View")</f>
        <v>View</v>
      </c>
      <c r="P11185" s="7"/>
    </row>
    <row r="11186" spans="1:16">
      <c r="A11186" s="3">
        <v>44127.353263888886</v>
      </c>
      <c r="B11186" s="4" t="str">
        <f>HYPERLINK("https://twitter.com/petrogustavo","@petrogustavo")</f>
        <v>@petrogustavo</v>
      </c>
      <c r="C11186" s="5" t="s">
        <v>16</v>
      </c>
      <c r="D11186" s="5" t="s">
        <v>10766</v>
      </c>
      <c r="E11186" s="6" t="str">
        <f>HYPERLINK("https://twitter.com/petrogustavo/status/1319473295184568321","1319473295184568321")</f>
        <v>1319473295184568321</v>
      </c>
      <c r="F11186" s="7" t="s">
        <v>17</v>
      </c>
      <c r="G11186" s="7">
        <v>3995390</v>
      </c>
      <c r="H11186" s="7">
        <v>2449</v>
      </c>
      <c r="I11186" s="7">
        <v>172</v>
      </c>
      <c r="J11186" s="7">
        <v>0</v>
      </c>
      <c r="K11186" s="7" t="s">
        <v>18</v>
      </c>
      <c r="L11186" s="8">
        <v>39987.315405092595</v>
      </c>
      <c r="M11186" s="9" t="s">
        <v>19</v>
      </c>
      <c r="N11186" s="9" t="s">
        <v>20</v>
      </c>
      <c r="O11186" s="6" t="str">
        <f>HYPERLINK("https://pbs.twimg.com/profile_images/962471262747529216/Uo8lOkRJ_normal.jpg","View")</f>
        <v>View</v>
      </c>
      <c r="P11186" s="7"/>
    </row>
    <row r="11187" spans="1:16">
      <c r="A11187" s="3">
        <v>44127.793206018519</v>
      </c>
      <c r="B11187" s="4" t="str">
        <f>HYPERLINK("https://twitter.com/petrogustavo","@petrogustavo")</f>
        <v>@petrogustavo</v>
      </c>
      <c r="C11187" s="5" t="s">
        <v>16</v>
      </c>
      <c r="D11187" s="5" t="s">
        <v>10767</v>
      </c>
      <c r="E11187" s="6" t="str">
        <f>HYPERLINK("https://twitter.com/petrogustavo/status/1319632722076356608","1319632722076356608")</f>
        <v>1319632722076356608</v>
      </c>
      <c r="F11187" s="7" t="s">
        <v>17</v>
      </c>
      <c r="G11187" s="7">
        <v>3995505</v>
      </c>
      <c r="H11187" s="7">
        <v>2450</v>
      </c>
      <c r="I11187" s="7">
        <v>12</v>
      </c>
      <c r="J11187" s="7">
        <v>0</v>
      </c>
      <c r="K11187" s="7" t="s">
        <v>18</v>
      </c>
      <c r="L11187" s="8">
        <v>39987.315405092595</v>
      </c>
      <c r="M11187" s="9" t="s">
        <v>19</v>
      </c>
      <c r="N11187" s="9" t="s">
        <v>20</v>
      </c>
      <c r="O11187" s="6" t="str">
        <f>HYPERLINK("https://pbs.twimg.com/profile_images/962471262747529216/Uo8lOkRJ_normal.jpg","View")</f>
        <v>View</v>
      </c>
      <c r="P11187" s="7"/>
    </row>
    <row r="11188" spans="1:16">
      <c r="A11188" s="3">
        <v>44127.797002314815</v>
      </c>
      <c r="B11188" s="4" t="str">
        <f>HYPERLINK("https://twitter.com/petrogustavo","@petrogustavo")</f>
        <v>@petrogustavo</v>
      </c>
      <c r="C11188" s="5" t="s">
        <v>16</v>
      </c>
      <c r="D11188" s="5" t="s">
        <v>10768</v>
      </c>
      <c r="E11188" s="6" t="str">
        <f>HYPERLINK("https://twitter.com/petrogustavo/status/1319634100311986176","1319634100311986176")</f>
        <v>1319634100311986176</v>
      </c>
      <c r="F11188" s="7" t="s">
        <v>17</v>
      </c>
      <c r="G11188" s="7">
        <v>3995531</v>
      </c>
      <c r="H11188" s="7">
        <v>2450</v>
      </c>
      <c r="I11188" s="7">
        <v>337</v>
      </c>
      <c r="J11188" s="7">
        <v>1044</v>
      </c>
      <c r="K11188" s="7" t="s">
        <v>18</v>
      </c>
      <c r="L11188" s="8">
        <v>39987.315405092595</v>
      </c>
      <c r="M11188" s="9" t="s">
        <v>19</v>
      </c>
      <c r="N11188" s="9" t="s">
        <v>20</v>
      </c>
      <c r="O11188" s="6" t="str">
        <f>HYPERLINK("https://pbs.twimg.com/profile_images/962471262747529216/Uo8lOkRJ_normal.jpg","View")</f>
        <v>View</v>
      </c>
      <c r="P11188" s="7"/>
    </row>
    <row r="11189" spans="1:16">
      <c r="A11189" s="3">
        <v>44127.801284722227</v>
      </c>
      <c r="B11189" s="4" t="str">
        <f>HYPERLINK("https://twitter.com/petrogustavo","@petrogustavo")</f>
        <v>@petrogustavo</v>
      </c>
      <c r="C11189" s="5" t="s">
        <v>16</v>
      </c>
      <c r="D11189" s="5" t="s">
        <v>10769</v>
      </c>
      <c r="E11189" s="6" t="str">
        <f>HYPERLINK("https://twitter.com/petrogustavo/status/1319635651273347077","1319635651273347077")</f>
        <v>1319635651273347077</v>
      </c>
      <c r="F11189" s="7" t="s">
        <v>17</v>
      </c>
      <c r="G11189" s="7">
        <v>3995531</v>
      </c>
      <c r="H11189" s="7">
        <v>2450</v>
      </c>
      <c r="I11189" s="7">
        <v>171</v>
      </c>
      <c r="J11189" s="7">
        <v>473</v>
      </c>
      <c r="K11189" s="7" t="s">
        <v>18</v>
      </c>
      <c r="L11189" s="8">
        <v>39987.315405092595</v>
      </c>
      <c r="M11189" s="9" t="s">
        <v>19</v>
      </c>
      <c r="N11189" s="9" t="s">
        <v>20</v>
      </c>
      <c r="O11189" s="6" t="str">
        <f>HYPERLINK("https://pbs.twimg.com/profile_images/962471262747529216/Uo8lOkRJ_normal.jpg","View")</f>
        <v>View</v>
      </c>
      <c r="P11189" s="7"/>
    </row>
    <row r="11190" spans="1:16">
      <c r="A11190" s="3">
        <v>44127.807511574079</v>
      </c>
      <c r="B11190" s="4" t="str">
        <f>HYPERLINK("https://twitter.com/petrogustavo","@petrogustavo")</f>
        <v>@petrogustavo</v>
      </c>
      <c r="C11190" s="5" t="s">
        <v>16</v>
      </c>
      <c r="D11190" s="5" t="s">
        <v>10770</v>
      </c>
      <c r="E11190" s="6" t="str">
        <f>HYPERLINK("https://twitter.com/petrogustavo/status/1319637907267780610","1319637907267780610")</f>
        <v>1319637907267780610</v>
      </c>
      <c r="F11190" s="7" t="s">
        <v>17</v>
      </c>
      <c r="G11190" s="7">
        <v>3995531</v>
      </c>
      <c r="H11190" s="7">
        <v>2450</v>
      </c>
      <c r="I11190" s="7">
        <v>337</v>
      </c>
      <c r="J11190" s="7">
        <v>0</v>
      </c>
      <c r="K11190" s="7" t="s">
        <v>18</v>
      </c>
      <c r="L11190" s="8">
        <v>39987.315405092595</v>
      </c>
      <c r="M11190" s="9" t="s">
        <v>19</v>
      </c>
      <c r="N11190" s="9" t="s">
        <v>20</v>
      </c>
      <c r="O11190" s="6" t="str">
        <f>HYPERLINK("https://pbs.twimg.com/profile_images/962471262747529216/Uo8lOkRJ_normal.jpg","View")</f>
        <v>View</v>
      </c>
      <c r="P11190" s="7"/>
    </row>
    <row r="11191" spans="1:16">
      <c r="A11191" s="3">
        <v>44127.812372685185</v>
      </c>
      <c r="B11191" s="4" t="str">
        <f>HYPERLINK("https://twitter.com/petrogustavo","@petrogustavo")</f>
        <v>@petrogustavo</v>
      </c>
      <c r="C11191" s="5" t="s">
        <v>16</v>
      </c>
      <c r="D11191" s="5" t="s">
        <v>10771</v>
      </c>
      <c r="E11191" s="6" t="str">
        <f>HYPERLINK("https://twitter.com/petrogustavo/status/1319639667982143488","1319639667982143488")</f>
        <v>1319639667982143488</v>
      </c>
      <c r="F11191" s="7" t="s">
        <v>17</v>
      </c>
      <c r="G11191" s="7">
        <v>3995531</v>
      </c>
      <c r="H11191" s="7">
        <v>2450</v>
      </c>
      <c r="I11191" s="7">
        <v>39</v>
      </c>
      <c r="J11191" s="7">
        <v>0</v>
      </c>
      <c r="K11191" s="7" t="s">
        <v>18</v>
      </c>
      <c r="L11191" s="8">
        <v>39987.315405092595</v>
      </c>
      <c r="M11191" s="9" t="s">
        <v>19</v>
      </c>
      <c r="N11191" s="9" t="s">
        <v>20</v>
      </c>
      <c r="O11191" s="6" t="str">
        <f>HYPERLINK("https://pbs.twimg.com/profile_images/962471262747529216/Uo8lOkRJ_normal.jpg","View")</f>
        <v>View</v>
      </c>
      <c r="P11191" s="7"/>
    </row>
    <row r="11192" spans="1:16">
      <c r="A11192" s="3">
        <v>44127.957418981481</v>
      </c>
      <c r="B11192" s="4" t="str">
        <f>HYPERLINK("https://twitter.com/petrogustavo","@petrogustavo")</f>
        <v>@petrogustavo</v>
      </c>
      <c r="C11192" s="5" t="s">
        <v>16</v>
      </c>
      <c r="D11192" s="5" t="s">
        <v>10772</v>
      </c>
      <c r="E11192" s="6" t="str">
        <f>HYPERLINK("https://twitter.com/petrogustavo/status/1319692234103656450","1319692234103656450")</f>
        <v>1319692234103656450</v>
      </c>
      <c r="F11192" s="7" t="s">
        <v>17</v>
      </c>
      <c r="G11192" s="7">
        <v>3995635</v>
      </c>
      <c r="H11192" s="7">
        <v>2450</v>
      </c>
      <c r="I11192" s="7">
        <v>506</v>
      </c>
      <c r="J11192" s="7">
        <v>0</v>
      </c>
      <c r="K11192" s="7" t="s">
        <v>18</v>
      </c>
      <c r="L11192" s="8">
        <v>39987.315405092595</v>
      </c>
      <c r="M11192" s="9" t="s">
        <v>19</v>
      </c>
      <c r="N11192" s="9" t="s">
        <v>20</v>
      </c>
      <c r="O11192" s="6" t="str">
        <f>HYPERLINK("https://pbs.twimg.com/profile_images/962471262747529216/Uo8lOkRJ_normal.jpg","View")</f>
        <v>View</v>
      </c>
      <c r="P11192" s="7"/>
    </row>
    <row r="11193" spans="1:16">
      <c r="A11193" s="3">
        <v>44127.964768518519</v>
      </c>
      <c r="B11193" s="4" t="str">
        <f>HYPERLINK("https://twitter.com/petrogustavo","@petrogustavo")</f>
        <v>@petrogustavo</v>
      </c>
      <c r="C11193" s="5" t="s">
        <v>16</v>
      </c>
      <c r="D11193" s="5" t="s">
        <v>10773</v>
      </c>
      <c r="E11193" s="6" t="str">
        <f>HYPERLINK("https://twitter.com/petrogustavo/status/1319694895125319682","1319694895125319682")</f>
        <v>1319694895125319682</v>
      </c>
      <c r="F11193" s="7" t="s">
        <v>17</v>
      </c>
      <c r="G11193" s="7">
        <v>3995653</v>
      </c>
      <c r="H11193" s="7">
        <v>2450</v>
      </c>
      <c r="I11193" s="7">
        <v>187</v>
      </c>
      <c r="J11193" s="7">
        <v>390</v>
      </c>
      <c r="K11193" s="7" t="s">
        <v>18</v>
      </c>
      <c r="L11193" s="8">
        <v>39987.315405092595</v>
      </c>
      <c r="M11193" s="9" t="s">
        <v>19</v>
      </c>
      <c r="N11193" s="9" t="s">
        <v>20</v>
      </c>
      <c r="O11193" s="6" t="str">
        <f>HYPERLINK("https://pbs.twimg.com/profile_images/962471262747529216/Uo8lOkRJ_normal.jpg","View")</f>
        <v>View</v>
      </c>
      <c r="P11193" s="7"/>
    </row>
    <row r="11194" spans="1:16">
      <c r="A11194" s="3">
        <v>44127.965254629627</v>
      </c>
      <c r="B11194" s="4" t="str">
        <f>HYPERLINK("https://twitter.com/petrogustavo","@petrogustavo")</f>
        <v>@petrogustavo</v>
      </c>
      <c r="C11194" s="5" t="s">
        <v>16</v>
      </c>
      <c r="D11194" s="5" t="s">
        <v>10774</v>
      </c>
      <c r="E11194" s="6" t="str">
        <f>HYPERLINK("https://twitter.com/petrogustavo/status/1319695072531779589","1319695072531779589")</f>
        <v>1319695072531779589</v>
      </c>
      <c r="F11194" s="7" t="s">
        <v>17</v>
      </c>
      <c r="G11194" s="7">
        <v>3995653</v>
      </c>
      <c r="H11194" s="7">
        <v>2450</v>
      </c>
      <c r="I11194" s="7">
        <v>43</v>
      </c>
      <c r="J11194" s="7">
        <v>0</v>
      </c>
      <c r="K11194" s="7" t="s">
        <v>18</v>
      </c>
      <c r="L11194" s="8">
        <v>39987.315405092595</v>
      </c>
      <c r="M11194" s="9" t="s">
        <v>19</v>
      </c>
      <c r="N11194" s="9" t="s">
        <v>20</v>
      </c>
      <c r="O11194" s="6" t="str">
        <f>HYPERLINK("https://pbs.twimg.com/profile_images/962471262747529216/Uo8lOkRJ_normal.jpg","View")</f>
        <v>View</v>
      </c>
      <c r="P11194" s="7"/>
    </row>
    <row r="11195" spans="1:16">
      <c r="A11195" s="3">
        <v>44127.982488425929</v>
      </c>
      <c r="B11195" s="4" t="str">
        <f>HYPERLINK("https://twitter.com/petrogustavo","@petrogustavo")</f>
        <v>@petrogustavo</v>
      </c>
      <c r="C11195" s="5" t="s">
        <v>16</v>
      </c>
      <c r="D11195" s="5" t="s">
        <v>10775</v>
      </c>
      <c r="E11195" s="6" t="str">
        <f>HYPERLINK("https://twitter.com/petrogustavo/status/1319701317389111296","1319701317389111296")</f>
        <v>1319701317389111296</v>
      </c>
      <c r="F11195" s="7" t="s">
        <v>17</v>
      </c>
      <c r="G11195" s="7">
        <v>3995667</v>
      </c>
      <c r="H11195" s="7">
        <v>2450</v>
      </c>
      <c r="I11195" s="7">
        <v>133</v>
      </c>
      <c r="J11195" s="7">
        <v>0</v>
      </c>
      <c r="K11195" s="7" t="s">
        <v>18</v>
      </c>
      <c r="L11195" s="8">
        <v>39987.315405092595</v>
      </c>
      <c r="M11195" s="9" t="s">
        <v>19</v>
      </c>
      <c r="N11195" s="9" t="s">
        <v>20</v>
      </c>
      <c r="O11195" s="6" t="str">
        <f>HYPERLINK("https://pbs.twimg.com/profile_images/962471262747529216/Uo8lOkRJ_normal.jpg","View")</f>
        <v>View</v>
      </c>
      <c r="P11195" s="7"/>
    </row>
    <row r="11196" spans="1:16">
      <c r="A11196" s="3">
        <v>44127.982928240745</v>
      </c>
      <c r="B11196" s="4" t="str">
        <f>HYPERLINK("https://twitter.com/petrogustavo","@petrogustavo")</f>
        <v>@petrogustavo</v>
      </c>
      <c r="C11196" s="5" t="s">
        <v>16</v>
      </c>
      <c r="D11196" s="5" t="s">
        <v>10776</v>
      </c>
      <c r="E11196" s="6" t="str">
        <f>HYPERLINK("https://twitter.com/petrogustavo/status/1319701474906132491","1319701474906132491")</f>
        <v>1319701474906132491</v>
      </c>
      <c r="F11196" s="7" t="s">
        <v>17</v>
      </c>
      <c r="G11196" s="7">
        <v>3995667</v>
      </c>
      <c r="H11196" s="7">
        <v>2450</v>
      </c>
      <c r="I11196" s="7">
        <v>354</v>
      </c>
      <c r="J11196" s="7">
        <v>0</v>
      </c>
      <c r="K11196" s="7" t="s">
        <v>18</v>
      </c>
      <c r="L11196" s="8">
        <v>39987.315405092595</v>
      </c>
      <c r="M11196" s="9" t="s">
        <v>19</v>
      </c>
      <c r="N11196" s="9" t="s">
        <v>20</v>
      </c>
      <c r="O11196" s="6" t="str">
        <f>HYPERLINK("https://pbs.twimg.com/profile_images/962471262747529216/Uo8lOkRJ_normal.jpg","View")</f>
        <v>View</v>
      </c>
      <c r="P11196" s="7"/>
    </row>
    <row r="11197" spans="1:16">
      <c r="A11197" s="3">
        <v>44127.98364583333</v>
      </c>
      <c r="B11197" s="4" t="str">
        <f>HYPERLINK("https://twitter.com/petrogustavo","@petrogustavo")</f>
        <v>@petrogustavo</v>
      </c>
      <c r="C11197" s="5" t="s">
        <v>16</v>
      </c>
      <c r="D11197" s="5" t="s">
        <v>10777</v>
      </c>
      <c r="E11197" s="6" t="str">
        <f>HYPERLINK("https://twitter.com/petrogustavo/status/1319701735003258880","1319701735003258880")</f>
        <v>1319701735003258880</v>
      </c>
      <c r="F11197" s="7" t="s">
        <v>17</v>
      </c>
      <c r="G11197" s="7">
        <v>3995667</v>
      </c>
      <c r="H11197" s="7">
        <v>2450</v>
      </c>
      <c r="I11197" s="7">
        <v>436</v>
      </c>
      <c r="J11197" s="7">
        <v>0</v>
      </c>
      <c r="K11197" s="7" t="s">
        <v>18</v>
      </c>
      <c r="L11197" s="8">
        <v>39987.315405092595</v>
      </c>
      <c r="M11197" s="9" t="s">
        <v>19</v>
      </c>
      <c r="N11197" s="9" t="s">
        <v>20</v>
      </c>
      <c r="O11197" s="6" t="str">
        <f>HYPERLINK("https://pbs.twimg.com/profile_images/962471262747529216/Uo8lOkRJ_normal.jpg","View")</f>
        <v>View</v>
      </c>
      <c r="P11197" s="7"/>
    </row>
    <row r="11198" spans="1:16">
      <c r="A11198" s="3">
        <v>44127.989594907413</v>
      </c>
      <c r="B11198" s="4" t="str">
        <f>HYPERLINK("https://twitter.com/petrogustavo","@petrogustavo")</f>
        <v>@petrogustavo</v>
      </c>
      <c r="C11198" s="5" t="s">
        <v>16</v>
      </c>
      <c r="D11198" s="5" t="s">
        <v>10778</v>
      </c>
      <c r="E11198" s="6" t="str">
        <f>HYPERLINK("https://twitter.com/petrogustavo/status/1319703893140508672","1319703893140508672")</f>
        <v>1319703893140508672</v>
      </c>
      <c r="F11198" s="7" t="s">
        <v>17</v>
      </c>
      <c r="G11198" s="7">
        <v>3995667</v>
      </c>
      <c r="H11198" s="7">
        <v>2450</v>
      </c>
      <c r="I11198" s="7">
        <v>205</v>
      </c>
      <c r="J11198" s="7">
        <v>498</v>
      </c>
      <c r="K11198" s="7" t="s">
        <v>18</v>
      </c>
      <c r="L11198" s="8">
        <v>39987.315405092595</v>
      </c>
      <c r="M11198" s="9" t="s">
        <v>19</v>
      </c>
      <c r="N11198" s="9" t="s">
        <v>20</v>
      </c>
      <c r="O11198" s="6" t="str">
        <f>HYPERLINK("https://pbs.twimg.com/profile_images/962471262747529216/Uo8lOkRJ_normal.jpg","View")</f>
        <v>View</v>
      </c>
      <c r="P11198" s="7"/>
    </row>
    <row r="11199" spans="1:16">
      <c r="A11199" s="3">
        <v>44127.991840277777</v>
      </c>
      <c r="B11199" s="4" t="str">
        <f>HYPERLINK("https://twitter.com/petrogustavo","@petrogustavo")</f>
        <v>@petrogustavo</v>
      </c>
      <c r="C11199" s="5" t="s">
        <v>16</v>
      </c>
      <c r="D11199" s="5" t="s">
        <v>10779</v>
      </c>
      <c r="E11199" s="6" t="str">
        <f>HYPERLINK("https://twitter.com/petrogustavo/status/1319704705736605698","1319704705736605698")</f>
        <v>1319704705736605698</v>
      </c>
      <c r="F11199" s="7" t="s">
        <v>17</v>
      </c>
      <c r="G11199" s="7">
        <v>3995667</v>
      </c>
      <c r="H11199" s="7">
        <v>2450</v>
      </c>
      <c r="I11199" s="7">
        <v>107</v>
      </c>
      <c r="J11199" s="7">
        <v>331</v>
      </c>
      <c r="K11199" s="7" t="s">
        <v>18</v>
      </c>
      <c r="L11199" s="8">
        <v>39987.315405092595</v>
      </c>
      <c r="M11199" s="9" t="s">
        <v>19</v>
      </c>
      <c r="N11199" s="9" t="s">
        <v>20</v>
      </c>
      <c r="O11199" s="6" t="str">
        <f>HYPERLINK("https://pbs.twimg.com/profile_images/962471262747529216/Uo8lOkRJ_normal.jpg","View")</f>
        <v>View</v>
      </c>
      <c r="P11199" s="7"/>
    </row>
    <row r="11200" spans="1:16">
      <c r="A11200" s="3">
        <v>44127.992037037038</v>
      </c>
      <c r="B11200" s="4" t="str">
        <f>HYPERLINK("https://twitter.com/petrogustavo","@petrogustavo")</f>
        <v>@petrogustavo</v>
      </c>
      <c r="C11200" s="5" t="s">
        <v>16</v>
      </c>
      <c r="D11200" s="5" t="s">
        <v>10780</v>
      </c>
      <c r="E11200" s="6" t="str">
        <f>HYPERLINK("https://twitter.com/petrogustavo/status/1319704777639550977","1319704777639550977")</f>
        <v>1319704777639550977</v>
      </c>
      <c r="F11200" s="7" t="s">
        <v>17</v>
      </c>
      <c r="G11200" s="7">
        <v>3995667</v>
      </c>
      <c r="H11200" s="7">
        <v>2450</v>
      </c>
      <c r="I11200" s="7">
        <v>205</v>
      </c>
      <c r="J11200" s="7">
        <v>0</v>
      </c>
      <c r="K11200" s="7" t="s">
        <v>18</v>
      </c>
      <c r="L11200" s="8">
        <v>39987.315405092595</v>
      </c>
      <c r="M11200" s="9" t="s">
        <v>19</v>
      </c>
      <c r="N11200" s="9" t="s">
        <v>20</v>
      </c>
      <c r="O11200" s="6" t="str">
        <f>HYPERLINK("https://pbs.twimg.com/profile_images/962471262747529216/Uo8lOkRJ_normal.jpg","View")</f>
        <v>View</v>
      </c>
      <c r="P11200" s="7"/>
    </row>
    <row r="11201" spans="1:16">
      <c r="A11201" s="3">
        <v>44128.067037037035</v>
      </c>
      <c r="B11201" s="4" t="str">
        <f>HYPERLINK("https://twitter.com/petrogustavo","@petrogustavo")</f>
        <v>@petrogustavo</v>
      </c>
      <c r="C11201" s="5" t="s">
        <v>16</v>
      </c>
      <c r="D11201" s="5" t="s">
        <v>10781</v>
      </c>
      <c r="E11201" s="6" t="str">
        <f>HYPERLINK("https://twitter.com/petrogustavo/status/1319731956079263749","1319731956079263749")</f>
        <v>1319731956079263749</v>
      </c>
      <c r="F11201" s="7" t="s">
        <v>32</v>
      </c>
      <c r="G11201" s="7">
        <v>3995668</v>
      </c>
      <c r="H11201" s="7">
        <v>2450</v>
      </c>
      <c r="I11201" s="7">
        <v>162</v>
      </c>
      <c r="J11201" s="7">
        <v>0</v>
      </c>
      <c r="K11201" s="7" t="s">
        <v>18</v>
      </c>
      <c r="L11201" s="8">
        <v>39987.315405092595</v>
      </c>
      <c r="M11201" s="9" t="s">
        <v>19</v>
      </c>
      <c r="N11201" s="9" t="s">
        <v>20</v>
      </c>
      <c r="O11201" s="6" t="str">
        <f>HYPERLINK("https://pbs.twimg.com/profile_images/962471262747529216/Uo8lOkRJ_normal.jpg","View")</f>
        <v>View</v>
      </c>
      <c r="P11201" s="7"/>
    </row>
    <row r="11202" spans="1:16">
      <c r="A11202" s="3">
        <v>44128.074120370366</v>
      </c>
      <c r="B11202" s="4" t="str">
        <f>HYPERLINK("https://twitter.com/petrogustavo","@petrogustavo")</f>
        <v>@petrogustavo</v>
      </c>
      <c r="C11202" s="5" t="s">
        <v>16</v>
      </c>
      <c r="D11202" s="5" t="s">
        <v>10782</v>
      </c>
      <c r="E11202" s="6" t="str">
        <f>HYPERLINK("https://twitter.com/petrogustavo/status/1319734521542201344","1319734521542201344")</f>
        <v>1319734521542201344</v>
      </c>
      <c r="F11202" s="7" t="s">
        <v>32</v>
      </c>
      <c r="G11202" s="7">
        <v>3995668</v>
      </c>
      <c r="H11202" s="7">
        <v>2450</v>
      </c>
      <c r="I11202" s="7">
        <v>72</v>
      </c>
      <c r="J11202" s="7">
        <v>0</v>
      </c>
      <c r="K11202" s="7" t="s">
        <v>18</v>
      </c>
      <c r="L11202" s="8">
        <v>39987.315405092595</v>
      </c>
      <c r="M11202" s="9" t="s">
        <v>19</v>
      </c>
      <c r="N11202" s="9" t="s">
        <v>20</v>
      </c>
      <c r="O11202" s="6" t="str">
        <f>HYPERLINK("https://pbs.twimg.com/profile_images/962471262747529216/Uo8lOkRJ_normal.jpg","View")</f>
        <v>View</v>
      </c>
      <c r="P11202" s="7"/>
    </row>
    <row r="11203" spans="1:16">
      <c r="A11203" s="3">
        <v>44128.089872685188</v>
      </c>
      <c r="B11203" s="4" t="str">
        <f>HYPERLINK("https://twitter.com/petrogustavo","@petrogustavo")</f>
        <v>@petrogustavo</v>
      </c>
      <c r="C11203" s="5" t="s">
        <v>16</v>
      </c>
      <c r="D11203" s="5" t="s">
        <v>10783</v>
      </c>
      <c r="E11203" s="6" t="str">
        <f>HYPERLINK("https://twitter.com/petrogustavo/status/1319740232930045952","1319740232930045952")</f>
        <v>1319740232930045952</v>
      </c>
      <c r="F11203" s="7" t="s">
        <v>32</v>
      </c>
      <c r="G11203" s="7">
        <v>3995684</v>
      </c>
      <c r="H11203" s="7">
        <v>2450</v>
      </c>
      <c r="I11203" s="7">
        <v>169</v>
      </c>
      <c r="J11203" s="7">
        <v>460</v>
      </c>
      <c r="K11203" s="7" t="s">
        <v>18</v>
      </c>
      <c r="L11203" s="8">
        <v>39987.315405092595</v>
      </c>
      <c r="M11203" s="9" t="s">
        <v>19</v>
      </c>
      <c r="N11203" s="9" t="s">
        <v>20</v>
      </c>
      <c r="O11203" s="6" t="str">
        <f>HYPERLINK("https://pbs.twimg.com/profile_images/962471262747529216/Uo8lOkRJ_normal.jpg","View")</f>
        <v>View</v>
      </c>
      <c r="P11203" s="7"/>
    </row>
    <row r="11204" spans="1:16">
      <c r="A11204" s="3">
        <v>44128.235451388886</v>
      </c>
      <c r="B11204" s="4" t="str">
        <f>HYPERLINK("https://twitter.com/petrogustavo","@petrogustavo")</f>
        <v>@petrogustavo</v>
      </c>
      <c r="C11204" s="5" t="s">
        <v>16</v>
      </c>
      <c r="D11204" s="5" t="s">
        <v>10784</v>
      </c>
      <c r="E11204" s="6" t="str">
        <f>HYPERLINK("https://twitter.com/petrogustavo/status/1319792988457938944","1319792988457938944")</f>
        <v>1319792988457938944</v>
      </c>
      <c r="F11204" s="7" t="s">
        <v>32</v>
      </c>
      <c r="G11204" s="7">
        <v>3995733</v>
      </c>
      <c r="H11204" s="7">
        <v>2449</v>
      </c>
      <c r="I11204" s="7">
        <v>191</v>
      </c>
      <c r="J11204" s="7">
        <v>0</v>
      </c>
      <c r="K11204" s="7" t="s">
        <v>18</v>
      </c>
      <c r="L11204" s="8">
        <v>39987.315405092595</v>
      </c>
      <c r="M11204" s="9" t="s">
        <v>19</v>
      </c>
      <c r="N11204" s="9" t="s">
        <v>20</v>
      </c>
      <c r="O11204" s="6" t="str">
        <f>HYPERLINK("https://pbs.twimg.com/profile_images/962471262747529216/Uo8lOkRJ_normal.jpg","View")</f>
        <v>View</v>
      </c>
      <c r="P11204" s="7"/>
    </row>
    <row r="11205" spans="1:16">
      <c r="A11205" s="3">
        <v>44128.320763888885</v>
      </c>
      <c r="B11205" s="4" t="str">
        <f>HYPERLINK("https://twitter.com/petrogustavo","@petrogustavo")</f>
        <v>@petrogustavo</v>
      </c>
      <c r="C11205" s="5" t="s">
        <v>16</v>
      </c>
      <c r="D11205" s="5" t="s">
        <v>10780</v>
      </c>
      <c r="E11205" s="6" t="str">
        <f>HYPERLINK("https://twitter.com/petrogustavo/status/1319823906035929088","1319823906035929088")</f>
        <v>1319823906035929088</v>
      </c>
      <c r="F11205" s="7" t="s">
        <v>32</v>
      </c>
      <c r="G11205" s="7">
        <v>3995790</v>
      </c>
      <c r="H11205" s="7">
        <v>2449</v>
      </c>
      <c r="I11205" s="7">
        <v>1543</v>
      </c>
      <c r="J11205" s="7">
        <v>0</v>
      </c>
      <c r="K11205" s="7" t="s">
        <v>18</v>
      </c>
      <c r="L11205" s="8">
        <v>39987.315405092595</v>
      </c>
      <c r="M11205" s="9" t="s">
        <v>19</v>
      </c>
      <c r="N11205" s="9" t="s">
        <v>20</v>
      </c>
      <c r="O11205" s="6" t="str">
        <f>HYPERLINK("https://pbs.twimg.com/profile_images/962471262747529216/Uo8lOkRJ_normal.jpg","View")</f>
        <v>View</v>
      </c>
      <c r="P11205" s="7"/>
    </row>
    <row r="11206" spans="1:16">
      <c r="A11206" s="3">
        <v>44128.321435185186</v>
      </c>
      <c r="B11206" s="4" t="str">
        <f>HYPERLINK("https://twitter.com/petrogustavo","@petrogustavo")</f>
        <v>@petrogustavo</v>
      </c>
      <c r="C11206" s="5" t="s">
        <v>16</v>
      </c>
      <c r="D11206" s="5" t="s">
        <v>10785</v>
      </c>
      <c r="E11206" s="6" t="str">
        <f>HYPERLINK("https://twitter.com/petrogustavo/status/1319824145341964294","1319824145341964294")</f>
        <v>1319824145341964294</v>
      </c>
      <c r="F11206" s="7" t="s">
        <v>32</v>
      </c>
      <c r="G11206" s="7">
        <v>3995790</v>
      </c>
      <c r="H11206" s="7">
        <v>2449</v>
      </c>
      <c r="I11206" s="7">
        <v>71</v>
      </c>
      <c r="J11206" s="7">
        <v>142</v>
      </c>
      <c r="K11206" s="7" t="s">
        <v>18</v>
      </c>
      <c r="L11206" s="8">
        <v>39987.315405092595</v>
      </c>
      <c r="M11206" s="9" t="s">
        <v>19</v>
      </c>
      <c r="N11206" s="9" t="s">
        <v>20</v>
      </c>
      <c r="O11206" s="6" t="str">
        <f>HYPERLINK("https://pbs.twimg.com/profile_images/962471262747529216/Uo8lOkRJ_normal.jpg","View")</f>
        <v>View</v>
      </c>
      <c r="P11206" s="7"/>
    </row>
    <row r="11207" spans="1:16">
      <c r="A11207" s="3">
        <v>44128.805069444439</v>
      </c>
      <c r="B11207" s="4" t="str">
        <f>HYPERLINK("https://twitter.com/petrogustavo","@petrogustavo")</f>
        <v>@petrogustavo</v>
      </c>
      <c r="C11207" s="5" t="s">
        <v>16</v>
      </c>
      <c r="D11207" s="5" t="s">
        <v>10786</v>
      </c>
      <c r="E11207" s="6" t="str">
        <f>HYPERLINK("https://twitter.com/petrogustavo/status/1319999411955654657","1319999411955654657")</f>
        <v>1319999411955654657</v>
      </c>
      <c r="F11207" s="7" t="s">
        <v>32</v>
      </c>
      <c r="G11207" s="7">
        <v>3995915</v>
      </c>
      <c r="H11207" s="7">
        <v>2449</v>
      </c>
      <c r="I11207" s="7">
        <v>125</v>
      </c>
      <c r="J11207" s="7">
        <v>332</v>
      </c>
      <c r="K11207" s="7" t="s">
        <v>18</v>
      </c>
      <c r="L11207" s="8">
        <v>39987.315405092595</v>
      </c>
      <c r="M11207" s="9" t="s">
        <v>19</v>
      </c>
      <c r="N11207" s="9" t="s">
        <v>20</v>
      </c>
      <c r="O11207" s="6" t="str">
        <f>HYPERLINK("https://pbs.twimg.com/profile_images/962471262747529216/Uo8lOkRJ_normal.jpg","View")</f>
        <v>View</v>
      </c>
      <c r="P11207" s="7"/>
    </row>
    <row r="11208" spans="1:16">
      <c r="A11208" s="3">
        <v>44128.806111111116</v>
      </c>
      <c r="B11208" s="4" t="str">
        <f>HYPERLINK("https://twitter.com/petrogustavo","@petrogustavo")</f>
        <v>@petrogustavo</v>
      </c>
      <c r="C11208" s="5" t="s">
        <v>16</v>
      </c>
      <c r="D11208" s="5" t="s">
        <v>10787</v>
      </c>
      <c r="E11208" s="6" t="str">
        <f>HYPERLINK("https://twitter.com/petrogustavo/status/1319999789631705090","1319999789631705090")</f>
        <v>1319999789631705090</v>
      </c>
      <c r="F11208" s="7" t="s">
        <v>32</v>
      </c>
      <c r="G11208" s="7">
        <v>3995915</v>
      </c>
      <c r="H11208" s="7">
        <v>2449</v>
      </c>
      <c r="I11208" s="7">
        <v>83</v>
      </c>
      <c r="J11208" s="7">
        <v>255</v>
      </c>
      <c r="K11208" s="7" t="s">
        <v>18</v>
      </c>
      <c r="L11208" s="8">
        <v>39987.315405092595</v>
      </c>
      <c r="M11208" s="9" t="s">
        <v>19</v>
      </c>
      <c r="N11208" s="9" t="s">
        <v>20</v>
      </c>
      <c r="O11208" s="6" t="str">
        <f>HYPERLINK("https://pbs.twimg.com/profile_images/962471262747529216/Uo8lOkRJ_normal.jpg","View")</f>
        <v>View</v>
      </c>
      <c r="P11208" s="7"/>
    </row>
    <row r="11209" spans="1:16">
      <c r="A11209" s="3">
        <v>44128.925925925927</v>
      </c>
      <c r="B11209" s="4" t="str">
        <f>HYPERLINK("https://twitter.com/petrogustavo","@petrogustavo")</f>
        <v>@petrogustavo</v>
      </c>
      <c r="C11209" s="5" t="s">
        <v>16</v>
      </c>
      <c r="D11209" s="5" t="s">
        <v>10788</v>
      </c>
      <c r="E11209" s="6" t="str">
        <f>HYPERLINK("https://twitter.com/petrogustavo/status/1320043208857034756","1320043208857034756")</f>
        <v>1320043208857034756</v>
      </c>
      <c r="F11209" s="7" t="s">
        <v>32</v>
      </c>
      <c r="G11209" s="7">
        <v>3996004</v>
      </c>
      <c r="H11209" s="7">
        <v>2449</v>
      </c>
      <c r="I11209" s="7">
        <v>96</v>
      </c>
      <c r="J11209" s="7">
        <v>278</v>
      </c>
      <c r="K11209" s="7" t="s">
        <v>18</v>
      </c>
      <c r="L11209" s="8">
        <v>39987.315405092595</v>
      </c>
      <c r="M11209" s="9" t="s">
        <v>19</v>
      </c>
      <c r="N11209" s="9" t="s">
        <v>20</v>
      </c>
      <c r="O11209" s="6" t="str">
        <f>HYPERLINK("https://pbs.twimg.com/profile_images/962471262747529216/Uo8lOkRJ_normal.jpg","View")</f>
        <v>View</v>
      </c>
      <c r="P11209" s="7"/>
    </row>
    <row r="11210" spans="1:16">
      <c r="A11210" s="3">
        <v>44128.943935185191</v>
      </c>
      <c r="B11210" s="4" t="str">
        <f>HYPERLINK("https://twitter.com/petrogustavo","@petrogustavo")</f>
        <v>@petrogustavo</v>
      </c>
      <c r="C11210" s="5" t="s">
        <v>16</v>
      </c>
      <c r="D11210" s="5" t="s">
        <v>10789</v>
      </c>
      <c r="E11210" s="6" t="str">
        <f>HYPERLINK("https://twitter.com/petrogustavo/status/1320049731792404482","1320049731792404482")</f>
        <v>1320049731792404482</v>
      </c>
      <c r="F11210" s="7" t="s">
        <v>32</v>
      </c>
      <c r="G11210" s="7">
        <v>3996014</v>
      </c>
      <c r="H11210" s="7">
        <v>2449</v>
      </c>
      <c r="I11210" s="7">
        <v>72</v>
      </c>
      <c r="J11210" s="7">
        <v>180</v>
      </c>
      <c r="K11210" s="7" t="s">
        <v>18</v>
      </c>
      <c r="L11210" s="8">
        <v>39987.315405092595</v>
      </c>
      <c r="M11210" s="9" t="s">
        <v>19</v>
      </c>
      <c r="N11210" s="9" t="s">
        <v>20</v>
      </c>
      <c r="O11210" s="6" t="str">
        <f>HYPERLINK("https://pbs.twimg.com/profile_images/962471262747529216/Uo8lOkRJ_normal.jpg","View")</f>
        <v>View</v>
      </c>
      <c r="P11210" s="7"/>
    </row>
    <row r="11211" spans="1:16">
      <c r="A11211" s="3">
        <v>44129.071701388893</v>
      </c>
      <c r="B11211" s="4" t="str">
        <f>HYPERLINK("https://twitter.com/petrogustavo","@petrogustavo")</f>
        <v>@petrogustavo</v>
      </c>
      <c r="C11211" s="5" t="s">
        <v>16</v>
      </c>
      <c r="D11211" s="5" t="s">
        <v>10790</v>
      </c>
      <c r="E11211" s="6" t="str">
        <f>HYPERLINK("https://twitter.com/petrogustavo/status/1320096036518580232","1320096036518580232")</f>
        <v>1320096036518580232</v>
      </c>
      <c r="F11211" s="7" t="s">
        <v>17</v>
      </c>
      <c r="G11211" s="7">
        <v>3996021</v>
      </c>
      <c r="H11211" s="7">
        <v>2449</v>
      </c>
      <c r="I11211" s="7">
        <v>145</v>
      </c>
      <c r="J11211" s="7">
        <v>404</v>
      </c>
      <c r="K11211" s="7" t="s">
        <v>18</v>
      </c>
      <c r="L11211" s="8">
        <v>39987.315405092595</v>
      </c>
      <c r="M11211" s="9" t="s">
        <v>19</v>
      </c>
      <c r="N11211" s="9" t="s">
        <v>20</v>
      </c>
      <c r="O11211" s="6" t="str">
        <f>HYPERLINK("https://pbs.twimg.com/profile_images/962471262747529216/Uo8lOkRJ_normal.jpg","View")</f>
        <v>View</v>
      </c>
      <c r="P11211" s="7"/>
    </row>
    <row r="11212" spans="1:16">
      <c r="A11212" s="3">
        <v>44129.081400462965</v>
      </c>
      <c r="B11212" s="4" t="str">
        <f>HYPERLINK("https://twitter.com/petrogustavo","@petrogustavo")</f>
        <v>@petrogustavo</v>
      </c>
      <c r="C11212" s="5" t="s">
        <v>16</v>
      </c>
      <c r="D11212" s="5" t="s">
        <v>10791</v>
      </c>
      <c r="E11212" s="6" t="str">
        <f>HYPERLINK("https://twitter.com/petrogustavo/status/1320099550892347398","1320099550892347398")</f>
        <v>1320099550892347398</v>
      </c>
      <c r="F11212" s="7" t="s">
        <v>17</v>
      </c>
      <c r="G11212" s="7">
        <v>3996021</v>
      </c>
      <c r="H11212" s="7">
        <v>2449</v>
      </c>
      <c r="I11212" s="7">
        <v>808</v>
      </c>
      <c r="J11212" s="7">
        <v>0</v>
      </c>
      <c r="K11212" s="7" t="s">
        <v>18</v>
      </c>
      <c r="L11212" s="8">
        <v>39987.315405092595</v>
      </c>
      <c r="M11212" s="9" t="s">
        <v>19</v>
      </c>
      <c r="N11212" s="9" t="s">
        <v>20</v>
      </c>
      <c r="O11212" s="6" t="str">
        <f>HYPERLINK("https://pbs.twimg.com/profile_images/962471262747529216/Uo8lOkRJ_normal.jpg","View")</f>
        <v>View</v>
      </c>
      <c r="P11212" s="7"/>
    </row>
    <row r="11213" spans="1:16">
      <c r="A11213" s="3">
        <v>44129.127372685187</v>
      </c>
      <c r="B11213" s="4" t="str">
        <f>HYPERLINK("https://twitter.com/petrogustavo","@petrogustavo")</f>
        <v>@petrogustavo</v>
      </c>
      <c r="C11213" s="5" t="s">
        <v>16</v>
      </c>
      <c r="D11213" s="5" t="s">
        <v>10792</v>
      </c>
      <c r="E11213" s="6" t="str">
        <f>HYPERLINK("https://twitter.com/petrogustavo/status/1320116209220812801","1320116209220812801")</f>
        <v>1320116209220812801</v>
      </c>
      <c r="F11213" s="7" t="s">
        <v>17</v>
      </c>
      <c r="G11213" s="7">
        <v>3996041</v>
      </c>
      <c r="H11213" s="7">
        <v>2449</v>
      </c>
      <c r="I11213" s="7">
        <v>146</v>
      </c>
      <c r="J11213" s="7">
        <v>519</v>
      </c>
      <c r="K11213" s="7" t="s">
        <v>18</v>
      </c>
      <c r="L11213" s="8">
        <v>39987.315405092595</v>
      </c>
      <c r="M11213" s="9" t="s">
        <v>19</v>
      </c>
      <c r="N11213" s="9" t="s">
        <v>20</v>
      </c>
      <c r="O11213" s="6" t="str">
        <f>HYPERLINK("https://pbs.twimg.com/profile_images/962471262747529216/Uo8lOkRJ_normal.jpg","View")</f>
        <v>View</v>
      </c>
      <c r="P11213" s="7"/>
    </row>
    <row r="11214" spans="1:16">
      <c r="A11214" s="3">
        <v>44129.155902777777</v>
      </c>
      <c r="B11214" s="4" t="str">
        <f>HYPERLINK("https://twitter.com/petrogustavo","@petrogustavo")</f>
        <v>@petrogustavo</v>
      </c>
      <c r="C11214" s="5" t="s">
        <v>16</v>
      </c>
      <c r="D11214" s="5" t="s">
        <v>10793</v>
      </c>
      <c r="E11214" s="6" t="str">
        <f>HYPERLINK("https://twitter.com/petrogustavo/status/1320126548331188224","1320126548331188224")</f>
        <v>1320126548331188224</v>
      </c>
      <c r="F11214" s="7" t="s">
        <v>17</v>
      </c>
      <c r="G11214" s="7">
        <v>3996060</v>
      </c>
      <c r="H11214" s="7">
        <v>2449</v>
      </c>
      <c r="I11214" s="7">
        <v>63</v>
      </c>
      <c r="J11214" s="7">
        <v>156</v>
      </c>
      <c r="K11214" s="7" t="s">
        <v>18</v>
      </c>
      <c r="L11214" s="8">
        <v>39987.315405092595</v>
      </c>
      <c r="M11214" s="9" t="s">
        <v>19</v>
      </c>
      <c r="N11214" s="9" t="s">
        <v>20</v>
      </c>
      <c r="O11214" s="6" t="str">
        <f>HYPERLINK("https://pbs.twimg.com/profile_images/962471262747529216/Uo8lOkRJ_normal.jpg","View")</f>
        <v>View</v>
      </c>
      <c r="P11214" s="7"/>
    </row>
    <row r="11215" spans="1:16">
      <c r="A11215" s="3">
        <v>44129.1559837963</v>
      </c>
      <c r="B11215" s="4" t="str">
        <f>HYPERLINK("https://twitter.com/petrogustavo","@petrogustavo")</f>
        <v>@petrogustavo</v>
      </c>
      <c r="C11215" s="5" t="s">
        <v>16</v>
      </c>
      <c r="D11215" s="5" t="s">
        <v>10794</v>
      </c>
      <c r="E11215" s="6" t="str">
        <f>HYPERLINK("https://twitter.com/petrogustavo/status/1320126575606697984","1320126575606697984")</f>
        <v>1320126575606697984</v>
      </c>
      <c r="F11215" s="7" t="s">
        <v>17</v>
      </c>
      <c r="G11215" s="7">
        <v>3996060</v>
      </c>
      <c r="H11215" s="7">
        <v>2449</v>
      </c>
      <c r="I11215" s="7">
        <v>227</v>
      </c>
      <c r="J11215" s="7">
        <v>0</v>
      </c>
      <c r="K11215" s="7" t="s">
        <v>18</v>
      </c>
      <c r="L11215" s="8">
        <v>39987.315405092595</v>
      </c>
      <c r="M11215" s="9" t="s">
        <v>19</v>
      </c>
      <c r="N11215" s="9" t="s">
        <v>20</v>
      </c>
      <c r="O11215" s="6" t="str">
        <f>HYPERLINK("https://pbs.twimg.com/profile_images/962471262747529216/Uo8lOkRJ_normal.jpg","View")</f>
        <v>View</v>
      </c>
      <c r="P11215" s="7"/>
    </row>
    <row r="11216" spans="1:16">
      <c r="A11216" s="3">
        <v>44129.233101851853</v>
      </c>
      <c r="B11216" s="4" t="str">
        <f>HYPERLINK("https://twitter.com/petrogustavo","@petrogustavo")</f>
        <v>@petrogustavo</v>
      </c>
      <c r="C11216" s="5" t="s">
        <v>16</v>
      </c>
      <c r="D11216" s="5" t="s">
        <v>10795</v>
      </c>
      <c r="E11216" s="6" t="str">
        <f>HYPERLINK("https://twitter.com/petrogustavo/status/1320154522900103174","1320154522900103174")</f>
        <v>1320154522900103174</v>
      </c>
      <c r="F11216" s="7" t="s">
        <v>32</v>
      </c>
      <c r="G11216" s="7">
        <v>3996086</v>
      </c>
      <c r="H11216" s="7">
        <v>2449</v>
      </c>
      <c r="I11216" s="7">
        <v>125</v>
      </c>
      <c r="J11216" s="7">
        <v>353</v>
      </c>
      <c r="K11216" s="7" t="s">
        <v>18</v>
      </c>
      <c r="L11216" s="8">
        <v>39987.315405092595</v>
      </c>
      <c r="M11216" s="9" t="s">
        <v>19</v>
      </c>
      <c r="N11216" s="9" t="s">
        <v>20</v>
      </c>
      <c r="O11216" s="6" t="str">
        <f>HYPERLINK("https://pbs.twimg.com/profile_images/962471262747529216/Uo8lOkRJ_normal.jpg","View")</f>
        <v>View</v>
      </c>
      <c r="P11216" s="7"/>
    </row>
    <row r="11217" spans="1:16">
      <c r="A11217" s="3">
        <v>44129.350462962961</v>
      </c>
      <c r="B11217" s="4" t="str">
        <f>HYPERLINK("https://twitter.com/petrogustavo","@petrogustavo")</f>
        <v>@petrogustavo</v>
      </c>
      <c r="C11217" s="5" t="s">
        <v>16</v>
      </c>
      <c r="D11217" s="5" t="s">
        <v>10796</v>
      </c>
      <c r="E11217" s="6" t="str">
        <f>HYPERLINK("https://twitter.com/petrogustavo/status/1320197056330407940","1320197056330407940")</f>
        <v>1320197056330407940</v>
      </c>
      <c r="F11217" s="7" t="s">
        <v>17</v>
      </c>
      <c r="G11217" s="7">
        <v>3996153</v>
      </c>
      <c r="H11217" s="7">
        <v>2449</v>
      </c>
      <c r="I11217" s="7">
        <v>269</v>
      </c>
      <c r="J11217" s="7">
        <v>404</v>
      </c>
      <c r="K11217" s="7" t="s">
        <v>18</v>
      </c>
      <c r="L11217" s="8">
        <v>39987.315405092595</v>
      </c>
      <c r="M11217" s="9" t="s">
        <v>19</v>
      </c>
      <c r="N11217" s="9" t="s">
        <v>20</v>
      </c>
      <c r="O11217" s="6" t="str">
        <f>HYPERLINK("https://pbs.twimg.com/profile_images/962471262747529216/Uo8lOkRJ_normal.jpg","View")</f>
        <v>View</v>
      </c>
      <c r="P11217" s="7"/>
    </row>
    <row r="11218" spans="1:16">
      <c r="A11218" s="3">
        <v>44129.376435185186</v>
      </c>
      <c r="B11218" s="4" t="str">
        <f>HYPERLINK("https://twitter.com/petrogustavo","@petrogustavo")</f>
        <v>@petrogustavo</v>
      </c>
      <c r="C11218" s="5" t="s">
        <v>16</v>
      </c>
      <c r="D11218" s="5" t="s">
        <v>10797</v>
      </c>
      <c r="E11218" s="6" t="str">
        <f>HYPERLINK("https://twitter.com/petrogustavo/status/1320206467379712001","1320206467379712001")</f>
        <v>1320206467379712001</v>
      </c>
      <c r="F11218" s="7" t="s">
        <v>17</v>
      </c>
      <c r="G11218" s="7">
        <v>3996155</v>
      </c>
      <c r="H11218" s="7">
        <v>2449</v>
      </c>
      <c r="I11218" s="7">
        <v>0</v>
      </c>
      <c r="J11218" s="7">
        <v>0</v>
      </c>
      <c r="K11218" s="7" t="s">
        <v>18</v>
      </c>
      <c r="L11218" s="8">
        <v>39987.315405092595</v>
      </c>
      <c r="M11218" s="9" t="s">
        <v>19</v>
      </c>
      <c r="N11218" s="9" t="s">
        <v>20</v>
      </c>
      <c r="O11218" s="6" t="str">
        <f>HYPERLINK("https://pbs.twimg.com/profile_images/962471262747529216/Uo8lOkRJ_normal.jpg","View")</f>
        <v>View</v>
      </c>
      <c r="P11218" s="7"/>
    </row>
    <row r="11219" spans="1:16">
      <c r="A11219" s="3">
        <v>44129.76284722222</v>
      </c>
      <c r="B11219" s="4" t="str">
        <f>HYPERLINK("https://twitter.com/petrogustavo","@petrogustavo")</f>
        <v>@petrogustavo</v>
      </c>
      <c r="C11219" s="5" t="s">
        <v>16</v>
      </c>
      <c r="D11219" s="5" t="s">
        <v>10798</v>
      </c>
      <c r="E11219" s="6" t="str">
        <f>HYPERLINK("https://twitter.com/petrogustavo/status/1320346497347616768","1320346497347616768")</f>
        <v>1320346497347616768</v>
      </c>
      <c r="F11219" s="7" t="s">
        <v>17</v>
      </c>
      <c r="G11219" s="7">
        <v>3996199</v>
      </c>
      <c r="H11219" s="7">
        <v>2450</v>
      </c>
      <c r="I11219" s="7">
        <v>177</v>
      </c>
      <c r="J11219" s="7">
        <v>0</v>
      </c>
      <c r="K11219" s="7" t="s">
        <v>18</v>
      </c>
      <c r="L11219" s="8">
        <v>39987.315405092595</v>
      </c>
      <c r="M11219" s="9" t="s">
        <v>19</v>
      </c>
      <c r="N11219" s="9" t="s">
        <v>20</v>
      </c>
      <c r="O11219" s="6" t="str">
        <f>HYPERLINK("https://pbs.twimg.com/profile_images/962471262747529216/Uo8lOkRJ_normal.jpg","View")</f>
        <v>View</v>
      </c>
      <c r="P11219" s="7"/>
    </row>
    <row r="11220" spans="1:16">
      <c r="A11220" s="3">
        <v>44129.774976851855</v>
      </c>
      <c r="B11220" s="4" t="str">
        <f>HYPERLINK("https://twitter.com/petrogustavo","@petrogustavo")</f>
        <v>@petrogustavo</v>
      </c>
      <c r="C11220" s="5" t="s">
        <v>16</v>
      </c>
      <c r="D11220" s="5" t="s">
        <v>10799</v>
      </c>
      <c r="E11220" s="6" t="str">
        <f>HYPERLINK("https://twitter.com/petrogustavo/status/1320350893984878593","1320350893984878593")</f>
        <v>1320350893984878593</v>
      </c>
      <c r="F11220" s="7" t="s">
        <v>17</v>
      </c>
      <c r="G11220" s="7">
        <v>3996207</v>
      </c>
      <c r="H11220" s="7">
        <v>2450</v>
      </c>
      <c r="I11220" s="7">
        <v>47</v>
      </c>
      <c r="J11220" s="7">
        <v>156</v>
      </c>
      <c r="K11220" s="7" t="s">
        <v>18</v>
      </c>
      <c r="L11220" s="8">
        <v>39987.315405092595</v>
      </c>
      <c r="M11220" s="9" t="s">
        <v>19</v>
      </c>
      <c r="N11220" s="9" t="s">
        <v>20</v>
      </c>
      <c r="O11220" s="6" t="str">
        <f>HYPERLINK("https://pbs.twimg.com/profile_images/962471262747529216/Uo8lOkRJ_normal.jpg","View")</f>
        <v>View</v>
      </c>
      <c r="P11220" s="7"/>
    </row>
    <row r="11221" spans="1:16">
      <c r="A11221" s="3">
        <v>44129.785057870366</v>
      </c>
      <c r="B11221" s="4" t="str">
        <f>HYPERLINK("https://twitter.com/petrogustavo","@petrogustavo")</f>
        <v>@petrogustavo</v>
      </c>
      <c r="C11221" s="5" t="s">
        <v>16</v>
      </c>
      <c r="D11221" s="5" t="s">
        <v>10800</v>
      </c>
      <c r="E11221" s="6" t="str">
        <f>HYPERLINK("https://twitter.com/petrogustavo/status/1320354545290063873","1320354545290063873")</f>
        <v>1320354545290063873</v>
      </c>
      <c r="F11221" s="7" t="s">
        <v>17</v>
      </c>
      <c r="G11221" s="7">
        <v>3996207</v>
      </c>
      <c r="H11221" s="7">
        <v>2450</v>
      </c>
      <c r="I11221" s="7">
        <v>26</v>
      </c>
      <c r="J11221" s="7">
        <v>83</v>
      </c>
      <c r="K11221" s="7" t="s">
        <v>18</v>
      </c>
      <c r="L11221" s="8">
        <v>39987.315405092595</v>
      </c>
      <c r="M11221" s="9" t="s">
        <v>19</v>
      </c>
      <c r="N11221" s="9" t="s">
        <v>20</v>
      </c>
      <c r="O11221" s="6" t="str">
        <f>HYPERLINK("https://pbs.twimg.com/profile_images/962471262747529216/Uo8lOkRJ_normal.jpg","View")</f>
        <v>View</v>
      </c>
      <c r="P11221" s="7"/>
    </row>
    <row r="11222" spans="1:16">
      <c r="A11222" s="3">
        <v>44129.801388888889</v>
      </c>
      <c r="B11222" s="4" t="str">
        <f>HYPERLINK("https://twitter.com/petrogustavo","@petrogustavo")</f>
        <v>@petrogustavo</v>
      </c>
      <c r="C11222" s="5" t="s">
        <v>16</v>
      </c>
      <c r="D11222" s="5" t="s">
        <v>10801</v>
      </c>
      <c r="E11222" s="6" t="str">
        <f>HYPERLINK("https://twitter.com/petrogustavo/status/1320360466561064961","1320360466561064961")</f>
        <v>1320360466561064961</v>
      </c>
      <c r="F11222" s="7" t="s">
        <v>17</v>
      </c>
      <c r="G11222" s="7">
        <v>3996213</v>
      </c>
      <c r="H11222" s="7">
        <v>2450</v>
      </c>
      <c r="I11222" s="7">
        <v>80</v>
      </c>
      <c r="J11222" s="7">
        <v>317</v>
      </c>
      <c r="K11222" s="7" t="s">
        <v>18</v>
      </c>
      <c r="L11222" s="8">
        <v>39987.315405092595</v>
      </c>
      <c r="M11222" s="9" t="s">
        <v>19</v>
      </c>
      <c r="N11222" s="9" t="s">
        <v>20</v>
      </c>
      <c r="O11222" s="6" t="str">
        <f>HYPERLINK("https://pbs.twimg.com/profile_images/962471262747529216/Uo8lOkRJ_normal.jpg","View")</f>
        <v>View</v>
      </c>
      <c r="P11222" s="7"/>
    </row>
    <row r="11223" spans="1:16">
      <c r="A11223" s="3">
        <v>44129.806851851856</v>
      </c>
      <c r="B11223" s="4" t="str">
        <f>HYPERLINK("https://twitter.com/petrogustavo","@petrogustavo")</f>
        <v>@petrogustavo</v>
      </c>
      <c r="C11223" s="5" t="s">
        <v>16</v>
      </c>
      <c r="D11223" s="5" t="s">
        <v>10802</v>
      </c>
      <c r="E11223" s="6" t="str">
        <f>HYPERLINK("https://twitter.com/petrogustavo/status/1320362445412683776","1320362445412683776")</f>
        <v>1320362445412683776</v>
      </c>
      <c r="F11223" s="7" t="s">
        <v>17</v>
      </c>
      <c r="G11223" s="7">
        <v>3996213</v>
      </c>
      <c r="H11223" s="7">
        <v>2450</v>
      </c>
      <c r="I11223" s="7">
        <v>96</v>
      </c>
      <c r="J11223" s="7">
        <v>352</v>
      </c>
      <c r="K11223" s="7" t="s">
        <v>18</v>
      </c>
      <c r="L11223" s="8">
        <v>39987.315405092595</v>
      </c>
      <c r="M11223" s="9" t="s">
        <v>19</v>
      </c>
      <c r="N11223" s="9" t="s">
        <v>20</v>
      </c>
      <c r="O11223" s="6" t="str">
        <f>HYPERLINK("https://pbs.twimg.com/profile_images/962471262747529216/Uo8lOkRJ_normal.jpg","View")</f>
        <v>View</v>
      </c>
      <c r="P11223" s="7"/>
    </row>
    <row r="11224" spans="1:16">
      <c r="A11224" s="3">
        <v>44129.830347222218</v>
      </c>
      <c r="B11224" s="4" t="str">
        <f>HYPERLINK("https://twitter.com/petrogustavo","@petrogustavo")</f>
        <v>@petrogustavo</v>
      </c>
      <c r="C11224" s="5" t="s">
        <v>16</v>
      </c>
      <c r="D11224" s="5" t="s">
        <v>10803</v>
      </c>
      <c r="E11224" s="6" t="str">
        <f>HYPERLINK("https://twitter.com/petrogustavo/status/1320370960441237505","1320370960441237505")</f>
        <v>1320370960441237505</v>
      </c>
      <c r="F11224" s="7" t="s">
        <v>17</v>
      </c>
      <c r="G11224" s="7">
        <v>3996224</v>
      </c>
      <c r="H11224" s="7">
        <v>2450</v>
      </c>
      <c r="I11224" s="7">
        <v>80</v>
      </c>
      <c r="J11224" s="7">
        <v>284</v>
      </c>
      <c r="K11224" s="7" t="s">
        <v>18</v>
      </c>
      <c r="L11224" s="8">
        <v>39987.315405092595</v>
      </c>
      <c r="M11224" s="9" t="s">
        <v>19</v>
      </c>
      <c r="N11224" s="9" t="s">
        <v>20</v>
      </c>
      <c r="O11224" s="6" t="str">
        <f>HYPERLINK("https://pbs.twimg.com/profile_images/962471262747529216/Uo8lOkRJ_normal.jpg","View")</f>
        <v>View</v>
      </c>
      <c r="P11224" s="7"/>
    </row>
    <row r="11225" spans="1:16">
      <c r="A11225" s="3">
        <v>44129.834374999999</v>
      </c>
      <c r="B11225" s="4" t="str">
        <f>HYPERLINK("https://twitter.com/petrogustavo","@petrogustavo")</f>
        <v>@petrogustavo</v>
      </c>
      <c r="C11225" s="5" t="s">
        <v>16</v>
      </c>
      <c r="D11225" s="5" t="s">
        <v>10804</v>
      </c>
      <c r="E11225" s="6" t="str">
        <f>HYPERLINK("https://twitter.com/petrogustavo/status/1320372416531603461","1320372416531603461")</f>
        <v>1320372416531603461</v>
      </c>
      <c r="F11225" s="7" t="s">
        <v>17</v>
      </c>
      <c r="G11225" s="7">
        <v>3996224</v>
      </c>
      <c r="H11225" s="7">
        <v>2450</v>
      </c>
      <c r="I11225" s="7">
        <v>15</v>
      </c>
      <c r="J11225" s="7">
        <v>0</v>
      </c>
      <c r="K11225" s="7" t="s">
        <v>18</v>
      </c>
      <c r="L11225" s="8">
        <v>39987.315405092595</v>
      </c>
      <c r="M11225" s="9" t="s">
        <v>19</v>
      </c>
      <c r="N11225" s="9" t="s">
        <v>20</v>
      </c>
      <c r="O11225" s="6" t="str">
        <f>HYPERLINK("https://pbs.twimg.com/profile_images/962471262747529216/Uo8lOkRJ_normal.jpg","View")</f>
        <v>View</v>
      </c>
      <c r="P11225" s="7"/>
    </row>
    <row r="11226" spans="1:16">
      <c r="A11226" s="3">
        <v>44129.836550925931</v>
      </c>
      <c r="B11226" s="4" t="str">
        <f>HYPERLINK("https://twitter.com/petrogustavo","@petrogustavo")</f>
        <v>@petrogustavo</v>
      </c>
      <c r="C11226" s="5" t="s">
        <v>16</v>
      </c>
      <c r="D11226" s="5" t="s">
        <v>10805</v>
      </c>
      <c r="E11226" s="6" t="str">
        <f>HYPERLINK("https://twitter.com/petrogustavo/status/1320373208424566786","1320373208424566786")</f>
        <v>1320373208424566786</v>
      </c>
      <c r="F11226" s="7" t="s">
        <v>17</v>
      </c>
      <c r="G11226" s="7">
        <v>3996209</v>
      </c>
      <c r="H11226" s="7">
        <v>2450</v>
      </c>
      <c r="I11226" s="7">
        <v>529</v>
      </c>
      <c r="J11226" s="7">
        <v>0</v>
      </c>
      <c r="K11226" s="7" t="s">
        <v>18</v>
      </c>
      <c r="L11226" s="8">
        <v>39987.315405092595</v>
      </c>
      <c r="M11226" s="9" t="s">
        <v>19</v>
      </c>
      <c r="N11226" s="9" t="s">
        <v>20</v>
      </c>
      <c r="O11226" s="6" t="str">
        <f>HYPERLINK("https://pbs.twimg.com/profile_images/962471262747529216/Uo8lOkRJ_normal.jpg","View")</f>
        <v>View</v>
      </c>
      <c r="P11226" s="7"/>
    </row>
    <row r="11227" spans="1:16">
      <c r="A11227" s="3">
        <v>44129.838391203702</v>
      </c>
      <c r="B11227" s="4" t="str">
        <f>HYPERLINK("https://twitter.com/petrogustavo","@petrogustavo")</f>
        <v>@petrogustavo</v>
      </c>
      <c r="C11227" s="5" t="s">
        <v>16</v>
      </c>
      <c r="D11227" s="5" t="s">
        <v>10806</v>
      </c>
      <c r="E11227" s="6" t="str">
        <f>HYPERLINK("https://twitter.com/petrogustavo/status/1320373875117576194","1320373875117576194")</f>
        <v>1320373875117576194</v>
      </c>
      <c r="F11227" s="7" t="s">
        <v>17</v>
      </c>
      <c r="G11227" s="7">
        <v>3996209</v>
      </c>
      <c r="H11227" s="7">
        <v>2450</v>
      </c>
      <c r="I11227" s="7">
        <v>198</v>
      </c>
      <c r="J11227" s="7">
        <v>825</v>
      </c>
      <c r="K11227" s="7" t="s">
        <v>18</v>
      </c>
      <c r="L11227" s="8">
        <v>39987.315405092595</v>
      </c>
      <c r="M11227" s="9" t="s">
        <v>19</v>
      </c>
      <c r="N11227" s="9" t="s">
        <v>20</v>
      </c>
      <c r="O11227" s="6" t="str">
        <f>HYPERLINK("https://pbs.twimg.com/profile_images/962471262747529216/Uo8lOkRJ_normal.jpg","View")</f>
        <v>View</v>
      </c>
      <c r="P11227" s="7"/>
    </row>
    <row r="11228" spans="1:16">
      <c r="A11228" s="3">
        <v>44129.84652777778</v>
      </c>
      <c r="B11228" s="4" t="str">
        <f>HYPERLINK("https://twitter.com/petrogustavo","@petrogustavo")</f>
        <v>@petrogustavo</v>
      </c>
      <c r="C11228" s="5" t="s">
        <v>16</v>
      </c>
      <c r="D11228" s="5" t="s">
        <v>10807</v>
      </c>
      <c r="E11228" s="6" t="str">
        <f>HYPERLINK("https://twitter.com/petrogustavo/status/1320376821112864770","1320376821112864770")</f>
        <v>1320376821112864770</v>
      </c>
      <c r="F11228" s="7" t="s">
        <v>17</v>
      </c>
      <c r="G11228" s="7">
        <v>3996209</v>
      </c>
      <c r="H11228" s="7">
        <v>2450</v>
      </c>
      <c r="I11228" s="7">
        <v>54</v>
      </c>
      <c r="J11228" s="7">
        <v>172</v>
      </c>
      <c r="K11228" s="7" t="s">
        <v>18</v>
      </c>
      <c r="L11228" s="8">
        <v>39987.315405092595</v>
      </c>
      <c r="M11228" s="9" t="s">
        <v>19</v>
      </c>
      <c r="N11228" s="9" t="s">
        <v>20</v>
      </c>
      <c r="O11228" s="6" t="str">
        <f>HYPERLINK("https://pbs.twimg.com/profile_images/962471262747529216/Uo8lOkRJ_normal.jpg","View")</f>
        <v>View</v>
      </c>
      <c r="P11228" s="7"/>
    </row>
    <row r="11229" spans="1:16">
      <c r="A11229" s="3">
        <v>44129.847546296296</v>
      </c>
      <c r="B11229" s="4" t="str">
        <f>HYPERLINK("https://twitter.com/petrogustavo","@petrogustavo")</f>
        <v>@petrogustavo</v>
      </c>
      <c r="C11229" s="5" t="s">
        <v>16</v>
      </c>
      <c r="D11229" s="5" t="s">
        <v>10808</v>
      </c>
      <c r="E11229" s="6" t="str">
        <f>HYPERLINK("https://twitter.com/petrogustavo/status/1320377192442957824","1320377192442957824")</f>
        <v>1320377192442957824</v>
      </c>
      <c r="F11229" s="7" t="s">
        <v>17</v>
      </c>
      <c r="G11229" s="7">
        <v>3996209</v>
      </c>
      <c r="H11229" s="7">
        <v>2450</v>
      </c>
      <c r="I11229" s="7">
        <v>291</v>
      </c>
      <c r="J11229" s="7">
        <v>0</v>
      </c>
      <c r="K11229" s="7" t="s">
        <v>18</v>
      </c>
      <c r="L11229" s="8">
        <v>39987.315405092595</v>
      </c>
      <c r="M11229" s="9" t="s">
        <v>19</v>
      </c>
      <c r="N11229" s="9" t="s">
        <v>20</v>
      </c>
      <c r="O11229" s="6" t="str">
        <f>HYPERLINK("https://pbs.twimg.com/profile_images/962471262747529216/Uo8lOkRJ_normal.jpg","View")</f>
        <v>View</v>
      </c>
      <c r="P11229" s="7"/>
    </row>
    <row r="11230" spans="1:16">
      <c r="A11230" s="3">
        <v>44129.853379629625</v>
      </c>
      <c r="B11230" s="4" t="str">
        <f>HYPERLINK("https://twitter.com/petrogustavo","@petrogustavo")</f>
        <v>@petrogustavo</v>
      </c>
      <c r="C11230" s="5" t="s">
        <v>16</v>
      </c>
      <c r="D11230" s="5" t="s">
        <v>10809</v>
      </c>
      <c r="E11230" s="6" t="str">
        <f>HYPERLINK("https://twitter.com/petrogustavo/status/1320379305986318336","1320379305986318336")</f>
        <v>1320379305986318336</v>
      </c>
      <c r="F11230" s="7" t="s">
        <v>17</v>
      </c>
      <c r="G11230" s="7">
        <v>3996209</v>
      </c>
      <c r="H11230" s="7">
        <v>2450</v>
      </c>
      <c r="I11230" s="7">
        <v>46</v>
      </c>
      <c r="J11230" s="7">
        <v>0</v>
      </c>
      <c r="K11230" s="7" t="s">
        <v>18</v>
      </c>
      <c r="L11230" s="8">
        <v>39987.315405092595</v>
      </c>
      <c r="M11230" s="9" t="s">
        <v>19</v>
      </c>
      <c r="N11230" s="9" t="s">
        <v>20</v>
      </c>
      <c r="O11230" s="6" t="str">
        <f>HYPERLINK("https://pbs.twimg.com/profile_images/962471262747529216/Uo8lOkRJ_normal.jpg","View")</f>
        <v>View</v>
      </c>
      <c r="P11230" s="7"/>
    </row>
    <row r="11231" spans="1:16">
      <c r="A11231" s="3">
        <v>44129.85732638889</v>
      </c>
      <c r="B11231" s="4" t="str">
        <f>HYPERLINK("https://twitter.com/petrogustavo","@petrogustavo")</f>
        <v>@petrogustavo</v>
      </c>
      <c r="C11231" s="5" t="s">
        <v>16</v>
      </c>
      <c r="D11231" s="5" t="s">
        <v>10810</v>
      </c>
      <c r="E11231" s="6" t="str">
        <f>HYPERLINK("https://twitter.com/petrogustavo/status/1320380736462032896","1320380736462032896")</f>
        <v>1320380736462032896</v>
      </c>
      <c r="F11231" s="7" t="s">
        <v>17</v>
      </c>
      <c r="G11231" s="7">
        <v>3996221</v>
      </c>
      <c r="H11231" s="7">
        <v>2450</v>
      </c>
      <c r="I11231" s="7">
        <v>67</v>
      </c>
      <c r="J11231" s="7">
        <v>180</v>
      </c>
      <c r="K11231" s="7" t="s">
        <v>18</v>
      </c>
      <c r="L11231" s="8">
        <v>39987.315405092595</v>
      </c>
      <c r="M11231" s="9" t="s">
        <v>19</v>
      </c>
      <c r="N11231" s="9" t="s">
        <v>20</v>
      </c>
      <c r="O11231" s="6" t="str">
        <f>HYPERLINK("https://pbs.twimg.com/profile_images/962471262747529216/Uo8lOkRJ_normal.jpg","View")</f>
        <v>View</v>
      </c>
      <c r="P11231" s="7"/>
    </row>
    <row r="11232" spans="1:16">
      <c r="A11232" s="3">
        <v>44129.85774305556</v>
      </c>
      <c r="B11232" s="4" t="str">
        <f>HYPERLINK("https://twitter.com/petrogustavo","@petrogustavo")</f>
        <v>@petrogustavo</v>
      </c>
      <c r="C11232" s="5" t="s">
        <v>16</v>
      </c>
      <c r="D11232" s="5" t="s">
        <v>10811</v>
      </c>
      <c r="E11232" s="6" t="str">
        <f>HYPERLINK("https://twitter.com/petrogustavo/status/1320380888144818176","1320380888144818176")</f>
        <v>1320380888144818176</v>
      </c>
      <c r="F11232" s="7" t="s">
        <v>17</v>
      </c>
      <c r="G11232" s="7">
        <v>3996221</v>
      </c>
      <c r="H11232" s="7">
        <v>2450</v>
      </c>
      <c r="I11232" s="7">
        <v>47</v>
      </c>
      <c r="J11232" s="7">
        <v>0</v>
      </c>
      <c r="K11232" s="7" t="s">
        <v>18</v>
      </c>
      <c r="L11232" s="8">
        <v>39987.315405092595</v>
      </c>
      <c r="M11232" s="9" t="s">
        <v>19</v>
      </c>
      <c r="N11232" s="9" t="s">
        <v>20</v>
      </c>
      <c r="O11232" s="6" t="str">
        <f>HYPERLINK("https://pbs.twimg.com/profile_images/962471262747529216/Uo8lOkRJ_normal.jpg","View")</f>
        <v>View</v>
      </c>
      <c r="P11232" s="7"/>
    </row>
    <row r="11233" spans="1:16">
      <c r="A11233" s="3">
        <v>44129.857986111107</v>
      </c>
      <c r="B11233" s="4" t="str">
        <f>HYPERLINK("https://twitter.com/petrogustavo","@petrogustavo")</f>
        <v>@petrogustavo</v>
      </c>
      <c r="C11233" s="5" t="s">
        <v>16</v>
      </c>
      <c r="D11233" s="5" t="s">
        <v>10812</v>
      </c>
      <c r="E11233" s="6" t="str">
        <f>HYPERLINK("https://twitter.com/petrogustavo/status/1320380976627879936","1320380976627879936")</f>
        <v>1320380976627879936</v>
      </c>
      <c r="F11233" s="7" t="s">
        <v>17</v>
      </c>
      <c r="G11233" s="7">
        <v>3996221</v>
      </c>
      <c r="H11233" s="7">
        <v>2450</v>
      </c>
      <c r="I11233" s="7">
        <v>105</v>
      </c>
      <c r="J11233" s="7">
        <v>0</v>
      </c>
      <c r="K11233" s="7" t="s">
        <v>18</v>
      </c>
      <c r="L11233" s="8">
        <v>39987.315405092595</v>
      </c>
      <c r="M11233" s="9" t="s">
        <v>19</v>
      </c>
      <c r="N11233" s="9" t="s">
        <v>20</v>
      </c>
      <c r="O11233" s="6" t="str">
        <f>HYPERLINK("https://pbs.twimg.com/profile_images/962471262747529216/Uo8lOkRJ_normal.jpg","View")</f>
        <v>View</v>
      </c>
      <c r="P11233" s="7"/>
    </row>
    <row r="11234" spans="1:16">
      <c r="A11234" s="3">
        <v>44129.86681712963</v>
      </c>
      <c r="B11234" s="4" t="str">
        <f>HYPERLINK("https://twitter.com/petrogustavo","@petrogustavo")</f>
        <v>@petrogustavo</v>
      </c>
      <c r="C11234" s="5" t="s">
        <v>16</v>
      </c>
      <c r="D11234" s="5" t="s">
        <v>10813</v>
      </c>
      <c r="E11234" s="6" t="str">
        <f>HYPERLINK("https://twitter.com/petrogustavo/status/1320384175384502273","1320384175384502273")</f>
        <v>1320384175384502273</v>
      </c>
      <c r="F11234" s="7" t="s">
        <v>32</v>
      </c>
      <c r="G11234" s="7">
        <v>3996221</v>
      </c>
      <c r="H11234" s="7">
        <v>2450</v>
      </c>
      <c r="I11234" s="7">
        <v>67</v>
      </c>
      <c r="J11234" s="7">
        <v>0</v>
      </c>
      <c r="K11234" s="7" t="s">
        <v>18</v>
      </c>
      <c r="L11234" s="8">
        <v>39987.315405092595</v>
      </c>
      <c r="M11234" s="9" t="s">
        <v>19</v>
      </c>
      <c r="N11234" s="9" t="s">
        <v>20</v>
      </c>
      <c r="O11234" s="6" t="str">
        <f>HYPERLINK("https://pbs.twimg.com/profile_images/962471262747529216/Uo8lOkRJ_normal.jpg","View")</f>
        <v>View</v>
      </c>
      <c r="P11234" s="7"/>
    </row>
    <row r="11235" spans="1:16">
      <c r="A11235" s="3">
        <v>44129.867233796293</v>
      </c>
      <c r="B11235" s="4" t="str">
        <f>HYPERLINK("https://twitter.com/petrogustavo","@petrogustavo")</f>
        <v>@petrogustavo</v>
      </c>
      <c r="C11235" s="5" t="s">
        <v>16</v>
      </c>
      <c r="D11235" s="5" t="s">
        <v>10814</v>
      </c>
      <c r="E11235" s="6" t="str">
        <f>HYPERLINK("https://twitter.com/petrogustavo/status/1320384327566479366","1320384327566479366")</f>
        <v>1320384327566479366</v>
      </c>
      <c r="F11235" s="7" t="s">
        <v>32</v>
      </c>
      <c r="G11235" s="7">
        <v>3996221</v>
      </c>
      <c r="H11235" s="7">
        <v>2450</v>
      </c>
      <c r="I11235" s="7">
        <v>127</v>
      </c>
      <c r="J11235" s="7">
        <v>0</v>
      </c>
      <c r="K11235" s="7" t="s">
        <v>18</v>
      </c>
      <c r="L11235" s="8">
        <v>39987.315405092595</v>
      </c>
      <c r="M11235" s="9" t="s">
        <v>19</v>
      </c>
      <c r="N11235" s="9" t="s">
        <v>20</v>
      </c>
      <c r="O11235" s="6" t="str">
        <f>HYPERLINK("https://pbs.twimg.com/profile_images/962471262747529216/Uo8lOkRJ_normal.jpg","View")</f>
        <v>View</v>
      </c>
      <c r="P11235" s="7"/>
    </row>
    <row r="11236" spans="1:16">
      <c r="A11236" s="3">
        <v>44129.867303240739</v>
      </c>
      <c r="B11236" s="4" t="str">
        <f>HYPERLINK("https://twitter.com/petrogustavo","@petrogustavo")</f>
        <v>@petrogustavo</v>
      </c>
      <c r="C11236" s="5" t="s">
        <v>16</v>
      </c>
      <c r="D11236" s="5" t="s">
        <v>10815</v>
      </c>
      <c r="E11236" s="6" t="str">
        <f>HYPERLINK("https://twitter.com/petrogustavo/status/1320384350001692672","1320384350001692672")</f>
        <v>1320384350001692672</v>
      </c>
      <c r="F11236" s="7" t="s">
        <v>32</v>
      </c>
      <c r="G11236" s="7">
        <v>3996221</v>
      </c>
      <c r="H11236" s="7">
        <v>2450</v>
      </c>
      <c r="I11236" s="7">
        <v>190</v>
      </c>
      <c r="J11236" s="7">
        <v>0</v>
      </c>
      <c r="K11236" s="7" t="s">
        <v>18</v>
      </c>
      <c r="L11236" s="8">
        <v>39987.315405092595</v>
      </c>
      <c r="M11236" s="9" t="s">
        <v>19</v>
      </c>
      <c r="N11236" s="9" t="s">
        <v>20</v>
      </c>
      <c r="O11236" s="6" t="str">
        <f>HYPERLINK("https://pbs.twimg.com/profile_images/962471262747529216/Uo8lOkRJ_normal.jpg","View")</f>
        <v>View</v>
      </c>
      <c r="P11236" s="7"/>
    </row>
    <row r="11237" spans="1:16">
      <c r="A11237" s="3">
        <v>44130.042754629627</v>
      </c>
      <c r="B11237" s="4" t="str">
        <f>HYPERLINK("https://twitter.com/petrogustavo","@petrogustavo")</f>
        <v>@petrogustavo</v>
      </c>
      <c r="C11237" s="5" t="s">
        <v>16</v>
      </c>
      <c r="D11237" s="5" t="s">
        <v>10816</v>
      </c>
      <c r="E11237" s="6" t="str">
        <f>HYPERLINK("https://twitter.com/petrogustavo/status/1320447934530551808","1320447934530551808")</f>
        <v>1320447934530551808</v>
      </c>
      <c r="F11237" s="7" t="s">
        <v>17</v>
      </c>
      <c r="G11237" s="7">
        <v>3996301</v>
      </c>
      <c r="H11237" s="7">
        <v>2450</v>
      </c>
      <c r="I11237" s="7">
        <v>5</v>
      </c>
      <c r="J11237" s="7">
        <v>10</v>
      </c>
      <c r="K11237" s="7" t="s">
        <v>18</v>
      </c>
      <c r="L11237" s="8">
        <v>39987.315405092595</v>
      </c>
      <c r="M11237" s="9" t="s">
        <v>19</v>
      </c>
      <c r="N11237" s="9" t="s">
        <v>20</v>
      </c>
      <c r="O11237" s="6" t="str">
        <f>HYPERLINK("https://pbs.twimg.com/profile_images/962471262747529216/Uo8lOkRJ_normal.jpg","View")</f>
        <v>View</v>
      </c>
      <c r="P11237" s="7"/>
    </row>
    <row r="11238" spans="1:16">
      <c r="A11238" s="3">
        <v>44130.044560185182</v>
      </c>
      <c r="B11238" s="4" t="str">
        <f>HYPERLINK("https://twitter.com/petrogustavo","@petrogustavo")</f>
        <v>@petrogustavo</v>
      </c>
      <c r="C11238" s="5" t="s">
        <v>16</v>
      </c>
      <c r="D11238" s="5" t="s">
        <v>10817</v>
      </c>
      <c r="E11238" s="6" t="str">
        <f>HYPERLINK("https://twitter.com/petrogustavo/status/1320448588569260033","1320448588569260033")</f>
        <v>1320448588569260033</v>
      </c>
      <c r="F11238" s="7" t="s">
        <v>17</v>
      </c>
      <c r="G11238" s="7">
        <v>3996307</v>
      </c>
      <c r="H11238" s="7">
        <v>2450</v>
      </c>
      <c r="I11238" s="7">
        <v>128</v>
      </c>
      <c r="J11238" s="7">
        <v>265</v>
      </c>
      <c r="K11238" s="7" t="s">
        <v>18</v>
      </c>
      <c r="L11238" s="8">
        <v>39987.315405092595</v>
      </c>
      <c r="M11238" s="9" t="s">
        <v>19</v>
      </c>
      <c r="N11238" s="9" t="s">
        <v>20</v>
      </c>
      <c r="O11238" s="6" t="str">
        <f>HYPERLINK("https://pbs.twimg.com/profile_images/962471262747529216/Uo8lOkRJ_normal.jpg","View")</f>
        <v>View</v>
      </c>
      <c r="P11238" s="7"/>
    </row>
    <row r="11239" spans="1:16">
      <c r="A11239" s="3">
        <v>44130.061828703707</v>
      </c>
      <c r="B11239" s="4" t="str">
        <f>HYPERLINK("https://twitter.com/petrogustavo","@petrogustavo")</f>
        <v>@petrogustavo</v>
      </c>
      <c r="C11239" s="5" t="s">
        <v>16</v>
      </c>
      <c r="D11239" s="5" t="s">
        <v>10818</v>
      </c>
      <c r="E11239" s="6" t="str">
        <f>HYPERLINK("https://twitter.com/petrogustavo/status/1320454842830229506","1320454842830229506")</f>
        <v>1320454842830229506</v>
      </c>
      <c r="F11239" s="7" t="s">
        <v>17</v>
      </c>
      <c r="G11239" s="7">
        <v>3996307</v>
      </c>
      <c r="H11239" s="7">
        <v>2450</v>
      </c>
      <c r="I11239" s="7">
        <v>7</v>
      </c>
      <c r="J11239" s="7">
        <v>0</v>
      </c>
      <c r="K11239" s="7" t="s">
        <v>18</v>
      </c>
      <c r="L11239" s="8">
        <v>39987.315405092595</v>
      </c>
      <c r="M11239" s="9" t="s">
        <v>19</v>
      </c>
      <c r="N11239" s="9" t="s">
        <v>20</v>
      </c>
      <c r="O11239" s="6" t="str">
        <f>HYPERLINK("https://pbs.twimg.com/profile_images/962471262747529216/Uo8lOkRJ_normal.jpg","View")</f>
        <v>View</v>
      </c>
      <c r="P11239" s="7"/>
    </row>
    <row r="11240" spans="1:16">
      <c r="A11240" s="3">
        <v>44130.062060185184</v>
      </c>
      <c r="B11240" s="4" t="str">
        <f>HYPERLINK("https://twitter.com/petrogustavo","@petrogustavo")</f>
        <v>@petrogustavo</v>
      </c>
      <c r="C11240" s="5" t="s">
        <v>16</v>
      </c>
      <c r="D11240" s="5" t="s">
        <v>10819</v>
      </c>
      <c r="E11240" s="6" t="str">
        <f>HYPERLINK("https://twitter.com/petrogustavo/status/1320454927475462144","1320454927475462144")</f>
        <v>1320454927475462144</v>
      </c>
      <c r="F11240" s="7" t="s">
        <v>17</v>
      </c>
      <c r="G11240" s="7">
        <v>3996307</v>
      </c>
      <c r="H11240" s="7">
        <v>2450</v>
      </c>
      <c r="I11240" s="7">
        <v>55</v>
      </c>
      <c r="J11240" s="7">
        <v>0</v>
      </c>
      <c r="K11240" s="7" t="s">
        <v>18</v>
      </c>
      <c r="L11240" s="8">
        <v>39987.315405092595</v>
      </c>
      <c r="M11240" s="9" t="s">
        <v>19</v>
      </c>
      <c r="N11240" s="9" t="s">
        <v>20</v>
      </c>
      <c r="O11240" s="6" t="str">
        <f>HYPERLINK("https://pbs.twimg.com/profile_images/962471262747529216/Uo8lOkRJ_normal.jpg","View")</f>
        <v>View</v>
      </c>
      <c r="P11240" s="7"/>
    </row>
    <row r="11241" spans="1:16">
      <c r="A11241" s="3">
        <v>44130.0621875</v>
      </c>
      <c r="B11241" s="4" t="str">
        <f>HYPERLINK("https://twitter.com/petrogustavo","@petrogustavo")</f>
        <v>@petrogustavo</v>
      </c>
      <c r="C11241" s="5" t="s">
        <v>16</v>
      </c>
      <c r="D11241" s="5" t="s">
        <v>10820</v>
      </c>
      <c r="E11241" s="6" t="str">
        <f>HYPERLINK("https://twitter.com/petrogustavo/status/1320454976758534144","1320454976758534144")</f>
        <v>1320454976758534144</v>
      </c>
      <c r="F11241" s="7" t="s">
        <v>17</v>
      </c>
      <c r="G11241" s="7">
        <v>3996307</v>
      </c>
      <c r="H11241" s="7">
        <v>2450</v>
      </c>
      <c r="I11241" s="7">
        <v>10</v>
      </c>
      <c r="J11241" s="7">
        <v>0</v>
      </c>
      <c r="K11241" s="7" t="s">
        <v>18</v>
      </c>
      <c r="L11241" s="8">
        <v>39987.315405092595</v>
      </c>
      <c r="M11241" s="9" t="s">
        <v>19</v>
      </c>
      <c r="N11241" s="9" t="s">
        <v>20</v>
      </c>
      <c r="O11241" s="6" t="str">
        <f>HYPERLINK("https://pbs.twimg.com/profile_images/962471262747529216/Uo8lOkRJ_normal.jpg","View")</f>
        <v>View</v>
      </c>
      <c r="P11241" s="7"/>
    </row>
    <row r="11242" spans="1:16">
      <c r="A11242" s="3">
        <v>44130.168009259258</v>
      </c>
      <c r="B11242" s="4" t="str">
        <f>HYPERLINK("https://twitter.com/petrogustavo","@petrogustavo")</f>
        <v>@petrogustavo</v>
      </c>
      <c r="C11242" s="5" t="s">
        <v>16</v>
      </c>
      <c r="D11242" s="5" t="s">
        <v>10814</v>
      </c>
      <c r="E11242" s="6" t="str">
        <f>HYPERLINK("https://twitter.com/petrogustavo/status/1320493323346497544","1320493323346497544")</f>
        <v>1320493323346497544</v>
      </c>
      <c r="F11242" s="7" t="s">
        <v>17</v>
      </c>
      <c r="G11242" s="7">
        <v>3996373</v>
      </c>
      <c r="H11242" s="7">
        <v>2450</v>
      </c>
      <c r="I11242" s="7">
        <v>244</v>
      </c>
      <c r="J11242" s="7">
        <v>0</v>
      </c>
      <c r="K11242" s="7" t="s">
        <v>18</v>
      </c>
      <c r="L11242" s="8">
        <v>39987.315405092595</v>
      </c>
      <c r="M11242" s="9" t="s">
        <v>19</v>
      </c>
      <c r="N11242" s="9" t="s">
        <v>20</v>
      </c>
      <c r="O11242" s="6" t="str">
        <f>HYPERLINK("https://pbs.twimg.com/profile_images/962471262747529216/Uo8lOkRJ_normal.jpg","View")</f>
        <v>View</v>
      </c>
      <c r="P11242" s="7"/>
    </row>
    <row r="11243" spans="1:16">
      <c r="A11243" s="3">
        <v>44130.168206018519</v>
      </c>
      <c r="B11243" s="4" t="str">
        <f>HYPERLINK("https://twitter.com/petrogustavo","@petrogustavo")</f>
        <v>@petrogustavo</v>
      </c>
      <c r="C11243" s="5" t="s">
        <v>16</v>
      </c>
      <c r="D11243" s="5" t="s">
        <v>10815</v>
      </c>
      <c r="E11243" s="6" t="str">
        <f>HYPERLINK("https://twitter.com/petrogustavo/status/1320493396054650880","1320493396054650880")</f>
        <v>1320493396054650880</v>
      </c>
      <c r="F11243" s="7" t="s">
        <v>17</v>
      </c>
      <c r="G11243" s="7">
        <v>3996373</v>
      </c>
      <c r="H11243" s="7">
        <v>2450</v>
      </c>
      <c r="I11243" s="7">
        <v>410</v>
      </c>
      <c r="J11243" s="7">
        <v>0</v>
      </c>
      <c r="K11243" s="7" t="s">
        <v>18</v>
      </c>
      <c r="L11243" s="8">
        <v>39987.315405092595</v>
      </c>
      <c r="M11243" s="9" t="s">
        <v>19</v>
      </c>
      <c r="N11243" s="9" t="s">
        <v>20</v>
      </c>
      <c r="O11243" s="6" t="str">
        <f>HYPERLINK("https://pbs.twimg.com/profile_images/962471262747529216/Uo8lOkRJ_normal.jpg","View")</f>
        <v>View</v>
      </c>
      <c r="P11243" s="7"/>
    </row>
    <row r="11244" spans="1:16">
      <c r="A11244" s="3">
        <v>44130.194780092592</v>
      </c>
      <c r="B11244" s="4" t="str">
        <f>HYPERLINK("https://twitter.com/petrogustavo","@petrogustavo")</f>
        <v>@petrogustavo</v>
      </c>
      <c r="C11244" s="5" t="s">
        <v>16</v>
      </c>
      <c r="D11244" s="5" t="s">
        <v>10821</v>
      </c>
      <c r="E11244" s="6" t="str">
        <f>HYPERLINK("https://twitter.com/petrogustavo/status/1320503022934499328","1320503022934499328")</f>
        <v>1320503022934499328</v>
      </c>
      <c r="F11244" s="7" t="s">
        <v>17</v>
      </c>
      <c r="G11244" s="7">
        <v>3996410</v>
      </c>
      <c r="H11244" s="7">
        <v>2450</v>
      </c>
      <c r="I11244" s="7">
        <v>1158</v>
      </c>
      <c r="J11244" s="7">
        <v>0</v>
      </c>
      <c r="K11244" s="7" t="s">
        <v>18</v>
      </c>
      <c r="L11244" s="8">
        <v>39987.315405092595</v>
      </c>
      <c r="M11244" s="9" t="s">
        <v>19</v>
      </c>
      <c r="N11244" s="9" t="s">
        <v>20</v>
      </c>
      <c r="O11244" s="6" t="str">
        <f>HYPERLINK("https://pbs.twimg.com/profile_images/962471262747529216/Uo8lOkRJ_normal.jpg","View")</f>
        <v>View</v>
      </c>
      <c r="P11244" s="7"/>
    </row>
    <row r="11245" spans="1:16">
      <c r="A11245" s="3">
        <v>44130.195856481485</v>
      </c>
      <c r="B11245" s="4" t="str">
        <f>HYPERLINK("https://twitter.com/petrogustavo","@petrogustavo")</f>
        <v>@petrogustavo</v>
      </c>
      <c r="C11245" s="5" t="s">
        <v>16</v>
      </c>
      <c r="D11245" s="5" t="s">
        <v>10822</v>
      </c>
      <c r="E11245" s="6" t="str">
        <f>HYPERLINK("https://twitter.com/petrogustavo/status/1320503413076099072","1320503413076099072")</f>
        <v>1320503413076099072</v>
      </c>
      <c r="F11245" s="7" t="s">
        <v>17</v>
      </c>
      <c r="G11245" s="7">
        <v>3996410</v>
      </c>
      <c r="H11245" s="7">
        <v>2450</v>
      </c>
      <c r="I11245" s="7">
        <v>226</v>
      </c>
      <c r="J11245" s="7">
        <v>564</v>
      </c>
      <c r="K11245" s="7" t="s">
        <v>18</v>
      </c>
      <c r="L11245" s="8">
        <v>39987.315405092595</v>
      </c>
      <c r="M11245" s="9" t="s">
        <v>19</v>
      </c>
      <c r="N11245" s="9" t="s">
        <v>20</v>
      </c>
      <c r="O11245" s="6" t="str">
        <f>HYPERLINK("https://pbs.twimg.com/profile_images/962471262747529216/Uo8lOkRJ_normal.jpg","View")</f>
        <v>View</v>
      </c>
      <c r="P11245" s="7"/>
    </row>
    <row r="11246" spans="1:16">
      <c r="A11246" s="3">
        <v>44130.2340162037</v>
      </c>
      <c r="B11246" s="4" t="str">
        <f>HYPERLINK("https://twitter.com/petrogustavo","@petrogustavo")</f>
        <v>@petrogustavo</v>
      </c>
      <c r="C11246" s="5" t="s">
        <v>16</v>
      </c>
      <c r="D11246" s="5" t="s">
        <v>10823</v>
      </c>
      <c r="E11246" s="6" t="str">
        <f>HYPERLINK("https://twitter.com/petrogustavo/status/1320517243868909569","1320517243868909569")</f>
        <v>1320517243868909569</v>
      </c>
      <c r="F11246" s="7" t="s">
        <v>22</v>
      </c>
      <c r="G11246" s="7">
        <v>3996450</v>
      </c>
      <c r="H11246" s="7">
        <v>2450</v>
      </c>
      <c r="I11246" s="7">
        <v>129</v>
      </c>
      <c r="J11246" s="7">
        <v>274</v>
      </c>
      <c r="K11246" s="7" t="s">
        <v>18</v>
      </c>
      <c r="L11246" s="8">
        <v>39987.315405092595</v>
      </c>
      <c r="M11246" s="9" t="s">
        <v>19</v>
      </c>
      <c r="N11246" s="9" t="s">
        <v>20</v>
      </c>
      <c r="O11246" s="6" t="str">
        <f>HYPERLINK("https://pbs.twimg.com/profile_images/962471262747529216/Uo8lOkRJ_normal.jpg","View")</f>
        <v>View</v>
      </c>
      <c r="P11246" s="7"/>
    </row>
    <row r="11247" spans="1:16">
      <c r="A11247" s="3">
        <v>44130.339062500003</v>
      </c>
      <c r="B11247" s="4" t="str">
        <f>HYPERLINK("https://twitter.com/petrogustavo","@petrogustavo")</f>
        <v>@petrogustavo</v>
      </c>
      <c r="C11247" s="5" t="s">
        <v>16</v>
      </c>
      <c r="D11247" s="5" t="s">
        <v>10824</v>
      </c>
      <c r="E11247" s="6" t="str">
        <f>HYPERLINK("https://twitter.com/petrogustavo/status/1320555311158206464","1320555311158206464")</f>
        <v>1320555311158206464</v>
      </c>
      <c r="F11247" s="7" t="s">
        <v>32</v>
      </c>
      <c r="G11247" s="7">
        <v>3996520</v>
      </c>
      <c r="H11247" s="7">
        <v>2450</v>
      </c>
      <c r="I11247" s="7">
        <v>108</v>
      </c>
      <c r="J11247" s="7">
        <v>0</v>
      </c>
      <c r="K11247" s="7" t="s">
        <v>18</v>
      </c>
      <c r="L11247" s="8">
        <v>39987.315405092595</v>
      </c>
      <c r="M11247" s="9" t="s">
        <v>19</v>
      </c>
      <c r="N11247" s="9" t="s">
        <v>20</v>
      </c>
      <c r="O11247" s="6" t="str">
        <f>HYPERLINK("https://pbs.twimg.com/profile_images/962471262747529216/Uo8lOkRJ_normal.jpg","View")</f>
        <v>View</v>
      </c>
      <c r="P11247" s="7"/>
    </row>
    <row r="11248" spans="1:16">
      <c r="A11248" s="3">
        <v>44130.340115740742</v>
      </c>
      <c r="B11248" s="4" t="str">
        <f>HYPERLINK("https://twitter.com/petrogustavo","@petrogustavo")</f>
        <v>@petrogustavo</v>
      </c>
      <c r="C11248" s="5" t="s">
        <v>16</v>
      </c>
      <c r="D11248" s="5" t="s">
        <v>10825</v>
      </c>
      <c r="E11248" s="6" t="str">
        <f>HYPERLINK("https://twitter.com/petrogustavo/status/1320555693947105280","1320555693947105280")</f>
        <v>1320555693947105280</v>
      </c>
      <c r="F11248" s="7" t="s">
        <v>32</v>
      </c>
      <c r="G11248" s="7">
        <v>3996520</v>
      </c>
      <c r="H11248" s="7">
        <v>2450</v>
      </c>
      <c r="I11248" s="7">
        <v>469</v>
      </c>
      <c r="J11248" s="7">
        <v>2580</v>
      </c>
      <c r="K11248" s="7" t="s">
        <v>18</v>
      </c>
      <c r="L11248" s="8">
        <v>39987.315405092595</v>
      </c>
      <c r="M11248" s="9" t="s">
        <v>19</v>
      </c>
      <c r="N11248" s="9" t="s">
        <v>20</v>
      </c>
      <c r="O11248" s="6" t="str">
        <f>HYPERLINK("https://pbs.twimg.com/profile_images/962471262747529216/Uo8lOkRJ_normal.jpg","View")</f>
        <v>View</v>
      </c>
      <c r="P11248" s="7"/>
    </row>
    <row r="11249" spans="1:16">
      <c r="A11249" s="3">
        <v>44130.340601851851</v>
      </c>
      <c r="B11249" s="4" t="str">
        <f>HYPERLINK("https://twitter.com/petrogustavo","@petrogustavo")</f>
        <v>@petrogustavo</v>
      </c>
      <c r="C11249" s="5" t="s">
        <v>16</v>
      </c>
      <c r="D11249" s="5" t="s">
        <v>10826</v>
      </c>
      <c r="E11249" s="6" t="str">
        <f>HYPERLINK("https://twitter.com/petrogustavo/status/1320555868069470208","1320555868069470208")</f>
        <v>1320555868069470208</v>
      </c>
      <c r="F11249" s="7" t="s">
        <v>32</v>
      </c>
      <c r="G11249" s="7">
        <v>3996520</v>
      </c>
      <c r="H11249" s="7">
        <v>2450</v>
      </c>
      <c r="I11249" s="7">
        <v>97</v>
      </c>
      <c r="J11249" s="7">
        <v>0</v>
      </c>
      <c r="K11249" s="7" t="s">
        <v>18</v>
      </c>
      <c r="L11249" s="8">
        <v>39987.315405092595</v>
      </c>
      <c r="M11249" s="9" t="s">
        <v>19</v>
      </c>
      <c r="N11249" s="9" t="s">
        <v>20</v>
      </c>
      <c r="O11249" s="6" t="str">
        <f>HYPERLINK("https://pbs.twimg.com/profile_images/962471262747529216/Uo8lOkRJ_normal.jpg","View")</f>
        <v>View</v>
      </c>
      <c r="P11249" s="7"/>
    </row>
    <row r="11250" spans="1:16">
      <c r="A11250" s="3">
        <v>44130.341469907406</v>
      </c>
      <c r="B11250" s="4" t="str">
        <f>HYPERLINK("https://twitter.com/petrogustavo","@petrogustavo")</f>
        <v>@petrogustavo</v>
      </c>
      <c r="C11250" s="5" t="s">
        <v>16</v>
      </c>
      <c r="D11250" s="5" t="s">
        <v>10827</v>
      </c>
      <c r="E11250" s="6" t="str">
        <f>HYPERLINK("https://twitter.com/petrogustavo/status/1320556181342048256","1320556181342048256")</f>
        <v>1320556181342048256</v>
      </c>
      <c r="F11250" s="7" t="s">
        <v>32</v>
      </c>
      <c r="G11250" s="7">
        <v>3996520</v>
      </c>
      <c r="H11250" s="7">
        <v>2450</v>
      </c>
      <c r="I11250" s="7">
        <v>242</v>
      </c>
      <c r="J11250" s="7">
        <v>0</v>
      </c>
      <c r="K11250" s="7" t="s">
        <v>18</v>
      </c>
      <c r="L11250" s="8">
        <v>39987.315405092595</v>
      </c>
      <c r="M11250" s="9" t="s">
        <v>19</v>
      </c>
      <c r="N11250" s="9" t="s">
        <v>20</v>
      </c>
      <c r="O11250" s="6" t="str">
        <f>HYPERLINK("https://pbs.twimg.com/profile_images/962471262747529216/Uo8lOkRJ_normal.jpg","View")</f>
        <v>View</v>
      </c>
      <c r="P11250" s="7"/>
    </row>
    <row r="11251" spans="1:16">
      <c r="A11251" s="3">
        <v>44130.343275462961</v>
      </c>
      <c r="B11251" s="4" t="str">
        <f>HYPERLINK("https://twitter.com/petrogustavo","@petrogustavo")</f>
        <v>@petrogustavo</v>
      </c>
      <c r="C11251" s="5" t="s">
        <v>16</v>
      </c>
      <c r="D11251" s="5" t="s">
        <v>10828</v>
      </c>
      <c r="E11251" s="6" t="str">
        <f>HYPERLINK("https://twitter.com/petrogustavo/status/1320556839000559616","1320556839000559616")</f>
        <v>1320556839000559616</v>
      </c>
      <c r="F11251" s="7" t="s">
        <v>32</v>
      </c>
      <c r="G11251" s="7">
        <v>3996520</v>
      </c>
      <c r="H11251" s="7">
        <v>2450</v>
      </c>
      <c r="I11251" s="7">
        <v>604</v>
      </c>
      <c r="J11251" s="7">
        <v>3085</v>
      </c>
      <c r="K11251" s="7" t="s">
        <v>18</v>
      </c>
      <c r="L11251" s="8">
        <v>39987.315405092595</v>
      </c>
      <c r="M11251" s="9" t="s">
        <v>19</v>
      </c>
      <c r="N11251" s="9" t="s">
        <v>20</v>
      </c>
      <c r="O11251" s="6" t="str">
        <f>HYPERLINK("https://pbs.twimg.com/profile_images/962471262747529216/Uo8lOkRJ_normal.jpg","View")</f>
        <v>View</v>
      </c>
      <c r="P11251" s="7"/>
    </row>
    <row r="11252" spans="1:16">
      <c r="A11252" s="3">
        <v>44130.343414351853</v>
      </c>
      <c r="B11252" s="4" t="str">
        <f>HYPERLINK("https://twitter.com/petrogustavo","@petrogustavo")</f>
        <v>@petrogustavo</v>
      </c>
      <c r="C11252" s="5" t="s">
        <v>16</v>
      </c>
      <c r="D11252" s="5" t="s">
        <v>10829</v>
      </c>
      <c r="E11252" s="6" t="str">
        <f>HYPERLINK("https://twitter.com/petrogustavo/status/1320556886253576193","1320556886253576193")</f>
        <v>1320556886253576193</v>
      </c>
      <c r="F11252" s="7" t="s">
        <v>32</v>
      </c>
      <c r="G11252" s="7">
        <v>3996520</v>
      </c>
      <c r="H11252" s="7">
        <v>2450</v>
      </c>
      <c r="I11252" s="7">
        <v>54</v>
      </c>
      <c r="J11252" s="7">
        <v>0</v>
      </c>
      <c r="K11252" s="7" t="s">
        <v>18</v>
      </c>
      <c r="L11252" s="8">
        <v>39987.315405092595</v>
      </c>
      <c r="M11252" s="9" t="s">
        <v>19</v>
      </c>
      <c r="N11252" s="9" t="s">
        <v>20</v>
      </c>
      <c r="O11252" s="6" t="str">
        <f>HYPERLINK("https://pbs.twimg.com/profile_images/962471262747529216/Uo8lOkRJ_normal.jpg","View")</f>
        <v>View</v>
      </c>
      <c r="P11252" s="7"/>
    </row>
    <row r="11253" spans="1:16">
      <c r="A11253" s="3">
        <v>44130.344178240739</v>
      </c>
      <c r="B11253" s="4" t="str">
        <f>HYPERLINK("https://twitter.com/petrogustavo","@petrogustavo")</f>
        <v>@petrogustavo</v>
      </c>
      <c r="C11253" s="5" t="s">
        <v>16</v>
      </c>
      <c r="D11253" s="5" t="s">
        <v>10830</v>
      </c>
      <c r="E11253" s="6" t="str">
        <f>HYPERLINK("https://twitter.com/petrogustavo/status/1320557164264628224","1320557164264628224")</f>
        <v>1320557164264628224</v>
      </c>
      <c r="F11253" s="7" t="s">
        <v>32</v>
      </c>
      <c r="G11253" s="7">
        <v>3996520</v>
      </c>
      <c r="H11253" s="7">
        <v>2450</v>
      </c>
      <c r="I11253" s="7">
        <v>135</v>
      </c>
      <c r="J11253" s="7">
        <v>0</v>
      </c>
      <c r="K11253" s="7" t="s">
        <v>18</v>
      </c>
      <c r="L11253" s="8">
        <v>39987.315405092595</v>
      </c>
      <c r="M11253" s="9" t="s">
        <v>19</v>
      </c>
      <c r="N11253" s="9" t="s">
        <v>20</v>
      </c>
      <c r="O11253" s="6" t="str">
        <f>HYPERLINK("https://pbs.twimg.com/profile_images/962471262747529216/Uo8lOkRJ_normal.jpg","View")</f>
        <v>View</v>
      </c>
      <c r="P11253" s="7"/>
    </row>
    <row r="11254" spans="1:16">
      <c r="A11254" s="3">
        <v>44130.345590277779</v>
      </c>
      <c r="B11254" s="4" t="str">
        <f>HYPERLINK("https://twitter.com/petrogustavo","@petrogustavo")</f>
        <v>@petrogustavo</v>
      </c>
      <c r="C11254" s="5" t="s">
        <v>16</v>
      </c>
      <c r="D11254" s="5" t="s">
        <v>33</v>
      </c>
      <c r="E11254" s="6" t="str">
        <f>HYPERLINK("https://twitter.com/petrogustavo/status/1320557676586274819","1320557676586274819")</f>
        <v>1320557676586274819</v>
      </c>
      <c r="F11254" s="7" t="s">
        <v>32</v>
      </c>
      <c r="G11254" s="7">
        <v>3996520</v>
      </c>
      <c r="H11254" s="7">
        <v>2450</v>
      </c>
      <c r="I11254" s="7">
        <v>7334</v>
      </c>
      <c r="J11254" s="7">
        <v>0</v>
      </c>
      <c r="K11254" s="7" t="s">
        <v>18</v>
      </c>
      <c r="L11254" s="8">
        <v>39987.315405092595</v>
      </c>
      <c r="M11254" s="9" t="s">
        <v>19</v>
      </c>
      <c r="N11254" s="9" t="s">
        <v>20</v>
      </c>
      <c r="O11254" s="6" t="str">
        <f>HYPERLINK("https://pbs.twimg.com/profile_images/962471262747529216/Uo8lOkRJ_normal.jpg","View")</f>
        <v>View</v>
      </c>
      <c r="P11254" s="7"/>
    </row>
    <row r="11255" spans="1:16">
      <c r="A11255" s="3">
        <v>44130.346759259264</v>
      </c>
      <c r="B11255" s="4" t="str">
        <f>HYPERLINK("https://twitter.com/petrogustavo","@petrogustavo")</f>
        <v>@petrogustavo</v>
      </c>
      <c r="C11255" s="5" t="s">
        <v>16</v>
      </c>
      <c r="D11255" s="5" t="s">
        <v>10831</v>
      </c>
      <c r="E11255" s="6" t="str">
        <f>HYPERLINK("https://twitter.com/petrogustavo/status/1320558098893910016","1320558098893910016")</f>
        <v>1320558098893910016</v>
      </c>
      <c r="F11255" s="7" t="s">
        <v>32</v>
      </c>
      <c r="G11255" s="7">
        <v>3996520</v>
      </c>
      <c r="H11255" s="7">
        <v>2450</v>
      </c>
      <c r="I11255" s="7">
        <v>375</v>
      </c>
      <c r="J11255" s="7">
        <v>0</v>
      </c>
      <c r="K11255" s="7" t="s">
        <v>18</v>
      </c>
      <c r="L11255" s="8">
        <v>39987.315405092595</v>
      </c>
      <c r="M11255" s="9" t="s">
        <v>19</v>
      </c>
      <c r="N11255" s="9" t="s">
        <v>20</v>
      </c>
      <c r="O11255" s="6" t="str">
        <f>HYPERLINK("https://pbs.twimg.com/profile_images/962471262747529216/Uo8lOkRJ_normal.jpg","View")</f>
        <v>View</v>
      </c>
      <c r="P11255" s="7"/>
    </row>
    <row r="11256" spans="1:16">
      <c r="A11256" s="3">
        <v>44130.347581018519</v>
      </c>
      <c r="B11256" s="4" t="str">
        <f>HYPERLINK("https://twitter.com/petrogustavo","@petrogustavo")</f>
        <v>@petrogustavo</v>
      </c>
      <c r="C11256" s="5" t="s">
        <v>16</v>
      </c>
      <c r="D11256" s="5" t="s">
        <v>10832</v>
      </c>
      <c r="E11256" s="6" t="str">
        <f>HYPERLINK("https://twitter.com/petrogustavo/status/1320558396576272384","1320558396576272384")</f>
        <v>1320558396576272384</v>
      </c>
      <c r="F11256" s="7" t="s">
        <v>32</v>
      </c>
      <c r="G11256" s="7">
        <v>3996520</v>
      </c>
      <c r="H11256" s="7">
        <v>2450</v>
      </c>
      <c r="I11256" s="7">
        <v>772</v>
      </c>
      <c r="J11256" s="7">
        <v>0</v>
      </c>
      <c r="K11256" s="7" t="s">
        <v>18</v>
      </c>
      <c r="L11256" s="8">
        <v>39987.315405092595</v>
      </c>
      <c r="M11256" s="9" t="s">
        <v>19</v>
      </c>
      <c r="N11256" s="9" t="s">
        <v>20</v>
      </c>
      <c r="O11256" s="6" t="str">
        <f>HYPERLINK("https://pbs.twimg.com/profile_images/962471262747529216/Uo8lOkRJ_normal.jpg","View")</f>
        <v>View</v>
      </c>
      <c r="P11256" s="7"/>
    </row>
    <row r="11257" spans="1:16">
      <c r="A11257" s="3">
        <v>44130.349016203705</v>
      </c>
      <c r="B11257" s="4" t="str">
        <f>HYPERLINK("https://twitter.com/petrogustavo","@petrogustavo")</f>
        <v>@petrogustavo</v>
      </c>
      <c r="C11257" s="5" t="s">
        <v>16</v>
      </c>
      <c r="D11257" s="5" t="s">
        <v>10833</v>
      </c>
      <c r="E11257" s="6" t="str">
        <f>HYPERLINK("https://twitter.com/petrogustavo/status/1320558916489662465","1320558916489662465")</f>
        <v>1320558916489662465</v>
      </c>
      <c r="F11257" s="7" t="s">
        <v>32</v>
      </c>
      <c r="G11257" s="7">
        <v>3996520</v>
      </c>
      <c r="H11257" s="7">
        <v>2450</v>
      </c>
      <c r="I11257" s="7">
        <v>469</v>
      </c>
      <c r="J11257" s="7">
        <v>0</v>
      </c>
      <c r="K11257" s="7" t="s">
        <v>18</v>
      </c>
      <c r="L11257" s="8">
        <v>39987.315405092595</v>
      </c>
      <c r="M11257" s="9" t="s">
        <v>19</v>
      </c>
      <c r="N11257" s="9" t="s">
        <v>20</v>
      </c>
      <c r="O11257" s="6" t="str">
        <f>HYPERLINK("https://pbs.twimg.com/profile_images/962471262747529216/Uo8lOkRJ_normal.jpg","View")</f>
        <v>View</v>
      </c>
      <c r="P11257" s="7"/>
    </row>
    <row r="11258" spans="1:16">
      <c r="A11258" s="3">
        <v>44130.351111111115</v>
      </c>
      <c r="B11258" s="4" t="str">
        <f>HYPERLINK("https://twitter.com/petrogustavo","@petrogustavo")</f>
        <v>@petrogustavo</v>
      </c>
      <c r="C11258" s="5" t="s">
        <v>16</v>
      </c>
      <c r="D11258" s="5" t="s">
        <v>10834</v>
      </c>
      <c r="E11258" s="6" t="str">
        <f>HYPERLINK("https://twitter.com/petrogustavo/status/1320559678166835201","1320559678166835201")</f>
        <v>1320559678166835201</v>
      </c>
      <c r="F11258" s="7" t="s">
        <v>32</v>
      </c>
      <c r="G11258" s="7">
        <v>3996520</v>
      </c>
      <c r="H11258" s="7">
        <v>2450</v>
      </c>
      <c r="I11258" s="7">
        <v>146</v>
      </c>
      <c r="J11258" s="7">
        <v>578</v>
      </c>
      <c r="K11258" s="7" t="s">
        <v>18</v>
      </c>
      <c r="L11258" s="8">
        <v>39987.315405092595</v>
      </c>
      <c r="M11258" s="9" t="s">
        <v>19</v>
      </c>
      <c r="N11258" s="9" t="s">
        <v>20</v>
      </c>
      <c r="O11258" s="6" t="str">
        <f>HYPERLINK("https://pbs.twimg.com/profile_images/962471262747529216/Uo8lOkRJ_normal.jpg","View")</f>
        <v>View</v>
      </c>
      <c r="P11258" s="7"/>
    </row>
    <row r="11259" spans="1:16">
      <c r="A11259" s="3">
        <v>44130.354166666672</v>
      </c>
      <c r="B11259" s="4" t="str">
        <f>HYPERLINK("https://twitter.com/petrogustavo","@petrogustavo")</f>
        <v>@petrogustavo</v>
      </c>
      <c r="C11259" s="5" t="s">
        <v>16</v>
      </c>
      <c r="D11259" s="5" t="s">
        <v>10835</v>
      </c>
      <c r="E11259" s="6" t="str">
        <f>HYPERLINK("https://twitter.com/petrogustavo/status/1320560786444615681","1320560786444615681")</f>
        <v>1320560786444615681</v>
      </c>
      <c r="F11259" s="7" t="s">
        <v>32</v>
      </c>
      <c r="G11259" s="7">
        <v>3996520</v>
      </c>
      <c r="H11259" s="7">
        <v>2450</v>
      </c>
      <c r="I11259" s="7">
        <v>26</v>
      </c>
      <c r="J11259" s="7">
        <v>85</v>
      </c>
      <c r="K11259" s="7" t="s">
        <v>18</v>
      </c>
      <c r="L11259" s="8">
        <v>39987.315405092595</v>
      </c>
      <c r="M11259" s="9" t="s">
        <v>19</v>
      </c>
      <c r="N11259" s="9" t="s">
        <v>20</v>
      </c>
      <c r="O11259" s="6" t="str">
        <f>HYPERLINK("https://pbs.twimg.com/profile_images/962471262747529216/Uo8lOkRJ_normal.jpg","View")</f>
        <v>View</v>
      </c>
      <c r="P11259" s="7"/>
    </row>
    <row r="11260" spans="1:16">
      <c r="A11260" s="3">
        <v>44130.354837962965</v>
      </c>
      <c r="B11260" s="4" t="str">
        <f>HYPERLINK("https://twitter.com/petrogustavo","@petrogustavo")</f>
        <v>@petrogustavo</v>
      </c>
      <c r="C11260" s="5" t="s">
        <v>16</v>
      </c>
      <c r="D11260" s="5" t="s">
        <v>10836</v>
      </c>
      <c r="E11260" s="6" t="str">
        <f>HYPERLINK("https://twitter.com/petrogustavo/status/1320561028736888832","1320561028736888832")</f>
        <v>1320561028736888832</v>
      </c>
      <c r="F11260" s="7" t="s">
        <v>32</v>
      </c>
      <c r="G11260" s="7">
        <v>3996520</v>
      </c>
      <c r="H11260" s="7">
        <v>2450</v>
      </c>
      <c r="I11260" s="7">
        <v>604</v>
      </c>
      <c r="J11260" s="7">
        <v>0</v>
      </c>
      <c r="K11260" s="7" t="s">
        <v>18</v>
      </c>
      <c r="L11260" s="8">
        <v>39987.315405092595</v>
      </c>
      <c r="M11260" s="9" t="s">
        <v>19</v>
      </c>
      <c r="N11260" s="9" t="s">
        <v>20</v>
      </c>
      <c r="O11260" s="6" t="str">
        <f>HYPERLINK("https://pbs.twimg.com/profile_images/962471262747529216/Uo8lOkRJ_normal.jpg","View")</f>
        <v>View</v>
      </c>
      <c r="P11260" s="7"/>
    </row>
    <row r="11261" spans="1:16">
      <c r="A11261" s="3">
        <v>44130.359178240746</v>
      </c>
      <c r="B11261" s="4" t="str">
        <f>HYPERLINK("https://twitter.com/petrogustavo","@petrogustavo")</f>
        <v>@petrogustavo</v>
      </c>
      <c r="C11261" s="5" t="s">
        <v>16</v>
      </c>
      <c r="D11261" s="5" t="s">
        <v>10837</v>
      </c>
      <c r="E11261" s="6" t="str">
        <f>HYPERLINK("https://twitter.com/petrogustavo/status/1320562601995227139","1320562601995227139")</f>
        <v>1320562601995227139</v>
      </c>
      <c r="F11261" s="7" t="s">
        <v>32</v>
      </c>
      <c r="G11261" s="7">
        <v>3996506</v>
      </c>
      <c r="H11261" s="7">
        <v>2450</v>
      </c>
      <c r="I11261" s="7">
        <v>616</v>
      </c>
      <c r="J11261" s="7">
        <v>0</v>
      </c>
      <c r="K11261" s="7" t="s">
        <v>18</v>
      </c>
      <c r="L11261" s="8">
        <v>39987.315405092595</v>
      </c>
      <c r="M11261" s="9" t="s">
        <v>19</v>
      </c>
      <c r="N11261" s="9" t="s">
        <v>20</v>
      </c>
      <c r="O11261" s="6" t="str">
        <f>HYPERLINK("https://pbs.twimg.com/profile_images/962471262747529216/Uo8lOkRJ_normal.jpg","View")</f>
        <v>View</v>
      </c>
      <c r="P11261" s="7"/>
    </row>
    <row r="11262" spans="1:16">
      <c r="A11262" s="3">
        <v>44130.360462962963</v>
      </c>
      <c r="B11262" s="4" t="str">
        <f>HYPERLINK("https://twitter.com/petrogustavo","@petrogustavo")</f>
        <v>@petrogustavo</v>
      </c>
      <c r="C11262" s="5" t="s">
        <v>16</v>
      </c>
      <c r="D11262" s="5" t="s">
        <v>10838</v>
      </c>
      <c r="E11262" s="6" t="str">
        <f>HYPERLINK("https://twitter.com/petrogustavo/status/1320563067349061632","1320563067349061632")</f>
        <v>1320563067349061632</v>
      </c>
      <c r="F11262" s="7" t="s">
        <v>32</v>
      </c>
      <c r="G11262" s="7">
        <v>3996506</v>
      </c>
      <c r="H11262" s="7">
        <v>2450</v>
      </c>
      <c r="I11262" s="7">
        <v>100</v>
      </c>
      <c r="J11262" s="7">
        <v>0</v>
      </c>
      <c r="K11262" s="7" t="s">
        <v>18</v>
      </c>
      <c r="L11262" s="8">
        <v>39987.315405092595</v>
      </c>
      <c r="M11262" s="9" t="s">
        <v>19</v>
      </c>
      <c r="N11262" s="9" t="s">
        <v>20</v>
      </c>
      <c r="O11262" s="6" t="str">
        <f>HYPERLINK("https://pbs.twimg.com/profile_images/962471262747529216/Uo8lOkRJ_normal.jpg","View")</f>
        <v>View</v>
      </c>
      <c r="P11262" s="7"/>
    </row>
    <row r="11263" spans="1:16">
      <c r="A11263" s="3">
        <v>44130.362129629633</v>
      </c>
      <c r="B11263" s="4" t="str">
        <f>HYPERLINK("https://twitter.com/petrogustavo","@petrogustavo")</f>
        <v>@petrogustavo</v>
      </c>
      <c r="C11263" s="5" t="s">
        <v>16</v>
      </c>
      <c r="D11263" s="5" t="s">
        <v>10839</v>
      </c>
      <c r="E11263" s="6" t="str">
        <f>HYPERLINK("https://twitter.com/petrogustavo/status/1320563671920218112","1320563671920218112")</f>
        <v>1320563671920218112</v>
      </c>
      <c r="F11263" s="7" t="s">
        <v>32</v>
      </c>
      <c r="G11263" s="7">
        <v>3996506</v>
      </c>
      <c r="H11263" s="7">
        <v>2450</v>
      </c>
      <c r="I11263" s="7">
        <v>79</v>
      </c>
      <c r="J11263" s="7">
        <v>364</v>
      </c>
      <c r="K11263" s="7" t="s">
        <v>18</v>
      </c>
      <c r="L11263" s="8">
        <v>39987.315405092595</v>
      </c>
      <c r="M11263" s="9" t="s">
        <v>19</v>
      </c>
      <c r="N11263" s="9" t="s">
        <v>20</v>
      </c>
      <c r="O11263" s="6" t="str">
        <f>HYPERLINK("https://pbs.twimg.com/profile_images/962471262747529216/Uo8lOkRJ_normal.jpg","View")</f>
        <v>View</v>
      </c>
      <c r="P11263" s="7"/>
    </row>
    <row r="11264" spans="1:16">
      <c r="A11264" s="3">
        <v>44130.366666666669</v>
      </c>
      <c r="B11264" s="4" t="str">
        <f>HYPERLINK("https://twitter.com/petrogustavo","@petrogustavo")</f>
        <v>@petrogustavo</v>
      </c>
      <c r="C11264" s="5" t="s">
        <v>16</v>
      </c>
      <c r="D11264" s="5" t="s">
        <v>10840</v>
      </c>
      <c r="E11264" s="6" t="str">
        <f>HYPERLINK("https://twitter.com/petrogustavo/status/1320565314724204549","1320565314724204549")</f>
        <v>1320565314724204549</v>
      </c>
      <c r="F11264" s="7" t="s">
        <v>32</v>
      </c>
      <c r="G11264" s="7">
        <v>3996506</v>
      </c>
      <c r="H11264" s="7">
        <v>2450</v>
      </c>
      <c r="I11264" s="7">
        <v>162</v>
      </c>
      <c r="J11264" s="7">
        <v>683</v>
      </c>
      <c r="K11264" s="7" t="s">
        <v>18</v>
      </c>
      <c r="L11264" s="8">
        <v>39987.315405092595</v>
      </c>
      <c r="M11264" s="9" t="s">
        <v>19</v>
      </c>
      <c r="N11264" s="9" t="s">
        <v>20</v>
      </c>
      <c r="O11264" s="6" t="str">
        <f>HYPERLINK("https://pbs.twimg.com/profile_images/962471262747529216/Uo8lOkRJ_normal.jpg","View")</f>
        <v>View</v>
      </c>
      <c r="P11264" s="7"/>
    </row>
    <row r="11265" spans="1:16">
      <c r="A11265" s="3">
        <v>44130.754421296297</v>
      </c>
      <c r="B11265" s="4" t="str">
        <f>HYPERLINK("https://twitter.com/petrogustavo","@petrogustavo")</f>
        <v>@petrogustavo</v>
      </c>
      <c r="C11265" s="5" t="s">
        <v>16</v>
      </c>
      <c r="D11265" s="5" t="s">
        <v>10841</v>
      </c>
      <c r="E11265" s="6" t="str">
        <f>HYPERLINK("https://twitter.com/petrogustavo/status/1320705830996639746","1320705830996639746")</f>
        <v>1320705830996639746</v>
      </c>
      <c r="F11265" s="7" t="s">
        <v>32</v>
      </c>
      <c r="G11265" s="7">
        <v>3996628</v>
      </c>
      <c r="H11265" s="7">
        <v>2450</v>
      </c>
      <c r="I11265" s="7">
        <v>306</v>
      </c>
      <c r="J11265" s="7">
        <v>590</v>
      </c>
      <c r="K11265" s="7" t="s">
        <v>18</v>
      </c>
      <c r="L11265" s="8">
        <v>39987.315405092595</v>
      </c>
      <c r="M11265" s="9" t="s">
        <v>19</v>
      </c>
      <c r="N11265" s="9" t="s">
        <v>20</v>
      </c>
      <c r="O11265" s="6" t="str">
        <f>HYPERLINK("https://pbs.twimg.com/profile_images/962471262747529216/Uo8lOkRJ_normal.jpg","View")</f>
        <v>View</v>
      </c>
      <c r="P11265" s="7"/>
    </row>
    <row r="11266" spans="1:16">
      <c r="A11266" s="3">
        <v>44130.773229166662</v>
      </c>
      <c r="B11266" s="4" t="str">
        <f>HYPERLINK("https://twitter.com/petrogustavo","@petrogustavo")</f>
        <v>@petrogustavo</v>
      </c>
      <c r="C11266" s="5" t="s">
        <v>16</v>
      </c>
      <c r="D11266" s="5" t="s">
        <v>10842</v>
      </c>
      <c r="E11266" s="6" t="str">
        <f>HYPERLINK("https://twitter.com/petrogustavo/status/1320712647688523776","1320712647688523776")</f>
        <v>1320712647688523776</v>
      </c>
      <c r="F11266" s="7" t="s">
        <v>17</v>
      </c>
      <c r="G11266" s="7">
        <v>3996628</v>
      </c>
      <c r="H11266" s="7">
        <v>2450</v>
      </c>
      <c r="I11266" s="7">
        <v>0</v>
      </c>
      <c r="J11266" s="7">
        <v>0</v>
      </c>
      <c r="K11266" s="7" t="s">
        <v>18</v>
      </c>
      <c r="L11266" s="8">
        <v>39987.315405092595</v>
      </c>
      <c r="M11266" s="9" t="s">
        <v>19</v>
      </c>
      <c r="N11266" s="9" t="s">
        <v>20</v>
      </c>
      <c r="O11266" s="6" t="str">
        <f>HYPERLINK("https://pbs.twimg.com/profile_images/962471262747529216/Uo8lOkRJ_normal.jpg","View")</f>
        <v>View</v>
      </c>
      <c r="P11266" s="7"/>
    </row>
    <row r="11267" spans="1:16">
      <c r="A11267" s="3">
        <v>44130.774699074071</v>
      </c>
      <c r="B11267" s="4" t="str">
        <f>HYPERLINK("https://twitter.com/petrogustavo","@petrogustavo")</f>
        <v>@petrogustavo</v>
      </c>
      <c r="C11267" s="5" t="s">
        <v>16</v>
      </c>
      <c r="D11267" s="5" t="s">
        <v>10843</v>
      </c>
      <c r="E11267" s="6" t="str">
        <f>HYPERLINK("https://twitter.com/petrogustavo/status/1320713182009319425","1320713182009319425")</f>
        <v>1320713182009319425</v>
      </c>
      <c r="F11267" s="7" t="s">
        <v>17</v>
      </c>
      <c r="G11267" s="7">
        <v>3996647</v>
      </c>
      <c r="H11267" s="7">
        <v>2450</v>
      </c>
      <c r="I11267" s="7">
        <v>88</v>
      </c>
      <c r="J11267" s="7">
        <v>239</v>
      </c>
      <c r="K11267" s="7" t="s">
        <v>18</v>
      </c>
      <c r="L11267" s="8">
        <v>39987.315405092595</v>
      </c>
      <c r="M11267" s="9" t="s">
        <v>19</v>
      </c>
      <c r="N11267" s="9" t="s">
        <v>20</v>
      </c>
      <c r="O11267" s="6" t="str">
        <f>HYPERLINK("https://pbs.twimg.com/profile_images/962471262747529216/Uo8lOkRJ_normal.jpg","View")</f>
        <v>View</v>
      </c>
      <c r="P11267" s="7"/>
    </row>
    <row r="11268" spans="1:16">
      <c r="A11268" s="3">
        <v>44130.822280092594</v>
      </c>
      <c r="B11268" s="4" t="str">
        <f>HYPERLINK("https://twitter.com/petrogustavo","@petrogustavo")</f>
        <v>@petrogustavo</v>
      </c>
      <c r="C11268" s="5" t="s">
        <v>16</v>
      </c>
      <c r="D11268" s="5" t="s">
        <v>10844</v>
      </c>
      <c r="E11268" s="6" t="str">
        <f>HYPERLINK("https://twitter.com/petrogustavo/status/1320730423757021189","1320730423757021189")</f>
        <v>1320730423757021189</v>
      </c>
      <c r="F11268" s="7" t="s">
        <v>32</v>
      </c>
      <c r="G11268" s="7">
        <v>3996694</v>
      </c>
      <c r="H11268" s="7">
        <v>2450</v>
      </c>
      <c r="I11268" s="7">
        <v>1897</v>
      </c>
      <c r="J11268" s="7">
        <v>0</v>
      </c>
      <c r="K11268" s="7" t="s">
        <v>18</v>
      </c>
      <c r="L11268" s="8">
        <v>39987.315405092595</v>
      </c>
      <c r="M11268" s="9" t="s">
        <v>19</v>
      </c>
      <c r="N11268" s="9" t="s">
        <v>20</v>
      </c>
      <c r="O11268" s="6" t="str">
        <f>HYPERLINK("https://pbs.twimg.com/profile_images/962471262747529216/Uo8lOkRJ_normal.jpg","View")</f>
        <v>View</v>
      </c>
      <c r="P11268" s="7"/>
    </row>
    <row r="11269" spans="1:16">
      <c r="A11269" s="3">
        <v>44130.828090277777</v>
      </c>
      <c r="B11269" s="4" t="str">
        <f>HYPERLINK("https://twitter.com/petrogustavo","@petrogustavo")</f>
        <v>@petrogustavo</v>
      </c>
      <c r="C11269" s="5" t="s">
        <v>16</v>
      </c>
      <c r="D11269" s="5" t="s">
        <v>10845</v>
      </c>
      <c r="E11269" s="6" t="str">
        <f>HYPERLINK("https://twitter.com/petrogustavo/status/1320732528391659525","1320732528391659525")</f>
        <v>1320732528391659525</v>
      </c>
      <c r="F11269" s="7" t="s">
        <v>32</v>
      </c>
      <c r="G11269" s="7">
        <v>3996694</v>
      </c>
      <c r="H11269" s="7">
        <v>2450</v>
      </c>
      <c r="I11269" s="7">
        <v>51</v>
      </c>
      <c r="J11269" s="7">
        <v>0</v>
      </c>
      <c r="K11269" s="7" t="s">
        <v>18</v>
      </c>
      <c r="L11269" s="8">
        <v>39987.315405092595</v>
      </c>
      <c r="M11269" s="9" t="s">
        <v>19</v>
      </c>
      <c r="N11269" s="9" t="s">
        <v>20</v>
      </c>
      <c r="O11269" s="6" t="str">
        <f>HYPERLINK("https://pbs.twimg.com/profile_images/962471262747529216/Uo8lOkRJ_normal.jpg","View")</f>
        <v>View</v>
      </c>
      <c r="P11269" s="7"/>
    </row>
    <row r="11270" spans="1:16">
      <c r="A11270" s="3">
        <v>44130.830694444448</v>
      </c>
      <c r="B11270" s="4" t="str">
        <f>HYPERLINK("https://twitter.com/petrogustavo","@petrogustavo")</f>
        <v>@petrogustavo</v>
      </c>
      <c r="C11270" s="5" t="s">
        <v>16</v>
      </c>
      <c r="D11270" s="5" t="s">
        <v>10846</v>
      </c>
      <c r="E11270" s="6" t="str">
        <f>HYPERLINK("https://twitter.com/petrogustavo/status/1320733473007611908","1320733473007611908")</f>
        <v>1320733473007611908</v>
      </c>
      <c r="F11270" s="7" t="s">
        <v>32</v>
      </c>
      <c r="G11270" s="7">
        <v>3996694</v>
      </c>
      <c r="H11270" s="7">
        <v>2450</v>
      </c>
      <c r="I11270" s="7">
        <v>40</v>
      </c>
      <c r="J11270" s="7">
        <v>0</v>
      </c>
      <c r="K11270" s="7" t="s">
        <v>18</v>
      </c>
      <c r="L11270" s="8">
        <v>39987.315405092595</v>
      </c>
      <c r="M11270" s="9" t="s">
        <v>19</v>
      </c>
      <c r="N11270" s="9" t="s">
        <v>20</v>
      </c>
      <c r="O11270" s="6" t="str">
        <f>HYPERLINK("https://pbs.twimg.com/profile_images/962471262747529216/Uo8lOkRJ_normal.jpg","View")</f>
        <v>View</v>
      </c>
      <c r="P11270" s="7"/>
    </row>
    <row r="11271" spans="1:16">
      <c r="A11271" s="3">
        <v>44130.833460648151</v>
      </c>
      <c r="B11271" s="4" t="str">
        <f>HYPERLINK("https://twitter.com/petrogustavo","@petrogustavo")</f>
        <v>@petrogustavo</v>
      </c>
      <c r="C11271" s="5" t="s">
        <v>16</v>
      </c>
      <c r="D11271" s="5" t="s">
        <v>10847</v>
      </c>
      <c r="E11271" s="6" t="str">
        <f>HYPERLINK("https://twitter.com/petrogustavo/status/1320734472782942208","1320734472782942208")</f>
        <v>1320734472782942208</v>
      </c>
      <c r="F11271" s="7" t="s">
        <v>32</v>
      </c>
      <c r="G11271" s="7">
        <v>3996694</v>
      </c>
      <c r="H11271" s="7">
        <v>2450</v>
      </c>
      <c r="I11271" s="7">
        <v>29</v>
      </c>
      <c r="J11271" s="7">
        <v>128</v>
      </c>
      <c r="K11271" s="7" t="s">
        <v>18</v>
      </c>
      <c r="L11271" s="8">
        <v>39987.315405092595</v>
      </c>
      <c r="M11271" s="9" t="s">
        <v>19</v>
      </c>
      <c r="N11271" s="9" t="s">
        <v>20</v>
      </c>
      <c r="O11271" s="6" t="str">
        <f>HYPERLINK("https://pbs.twimg.com/profile_images/962471262747529216/Uo8lOkRJ_normal.jpg","View")</f>
        <v>View</v>
      </c>
      <c r="P11271" s="7"/>
    </row>
    <row r="11272" spans="1:16">
      <c r="A11272" s="3">
        <v>44130.835798611108</v>
      </c>
      <c r="B11272" s="4" t="str">
        <f>HYPERLINK("https://twitter.com/petrogustavo","@petrogustavo")</f>
        <v>@petrogustavo</v>
      </c>
      <c r="C11272" s="5" t="s">
        <v>16</v>
      </c>
      <c r="D11272" s="5" t="s">
        <v>10848</v>
      </c>
      <c r="E11272" s="6" t="str">
        <f>HYPERLINK("https://twitter.com/petrogustavo/status/1320735321345187840","1320735321345187840")</f>
        <v>1320735321345187840</v>
      </c>
      <c r="F11272" s="7" t="s">
        <v>32</v>
      </c>
      <c r="G11272" s="7">
        <v>3996699</v>
      </c>
      <c r="H11272" s="7">
        <v>2451</v>
      </c>
      <c r="I11272" s="7">
        <v>69</v>
      </c>
      <c r="J11272" s="7">
        <v>256</v>
      </c>
      <c r="K11272" s="7" t="s">
        <v>18</v>
      </c>
      <c r="L11272" s="8">
        <v>39987.315405092595</v>
      </c>
      <c r="M11272" s="9" t="s">
        <v>19</v>
      </c>
      <c r="N11272" s="9" t="s">
        <v>20</v>
      </c>
      <c r="O11272" s="6" t="str">
        <f>HYPERLINK("https://pbs.twimg.com/profile_images/962471262747529216/Uo8lOkRJ_normal.jpg","View")</f>
        <v>View</v>
      </c>
      <c r="P11272" s="7"/>
    </row>
    <row r="11273" spans="1:16">
      <c r="A11273" s="3">
        <v>44130.841261574074</v>
      </c>
      <c r="B11273" s="4" t="str">
        <f>HYPERLINK("https://twitter.com/petrogustavo","@petrogustavo")</f>
        <v>@petrogustavo</v>
      </c>
      <c r="C11273" s="5" t="s">
        <v>16</v>
      </c>
      <c r="D11273" s="5" t="s">
        <v>10849</v>
      </c>
      <c r="E11273" s="6" t="str">
        <f>HYPERLINK("https://twitter.com/petrogustavo/status/1320737301924843520","1320737301924843520")</f>
        <v>1320737301924843520</v>
      </c>
      <c r="F11273" s="7" t="s">
        <v>32</v>
      </c>
      <c r="G11273" s="7">
        <v>3996699</v>
      </c>
      <c r="H11273" s="7">
        <v>2451</v>
      </c>
      <c r="I11273" s="7">
        <v>77</v>
      </c>
      <c r="J11273" s="7">
        <v>161</v>
      </c>
      <c r="K11273" s="7" t="s">
        <v>18</v>
      </c>
      <c r="L11273" s="8">
        <v>39987.315405092595</v>
      </c>
      <c r="M11273" s="9" t="s">
        <v>19</v>
      </c>
      <c r="N11273" s="9" t="s">
        <v>20</v>
      </c>
      <c r="O11273" s="6" t="str">
        <f>HYPERLINK("https://pbs.twimg.com/profile_images/962471262747529216/Uo8lOkRJ_normal.jpg","View")</f>
        <v>View</v>
      </c>
      <c r="P11273" s="7"/>
    </row>
    <row r="11274" spans="1:16">
      <c r="A11274" s="3">
        <v>44130.844560185185</v>
      </c>
      <c r="B11274" s="4" t="str">
        <f>HYPERLINK("https://twitter.com/petrogustavo","@petrogustavo")</f>
        <v>@petrogustavo</v>
      </c>
      <c r="C11274" s="5" t="s">
        <v>16</v>
      </c>
      <c r="D11274" s="5" t="s">
        <v>10850</v>
      </c>
      <c r="E11274" s="6" t="str">
        <f>HYPERLINK("https://twitter.com/petrogustavo/status/1320738496705896449","1320738496705896449")</f>
        <v>1320738496705896449</v>
      </c>
      <c r="F11274" s="7" t="s">
        <v>32</v>
      </c>
      <c r="G11274" s="7">
        <v>3996699</v>
      </c>
      <c r="H11274" s="7">
        <v>2451</v>
      </c>
      <c r="I11274" s="7">
        <v>230</v>
      </c>
      <c r="J11274" s="7">
        <v>0</v>
      </c>
      <c r="K11274" s="7" t="s">
        <v>18</v>
      </c>
      <c r="L11274" s="8">
        <v>39987.315405092595</v>
      </c>
      <c r="M11274" s="9" t="s">
        <v>19</v>
      </c>
      <c r="N11274" s="9" t="s">
        <v>20</v>
      </c>
      <c r="O11274" s="6" t="str">
        <f>HYPERLINK("https://pbs.twimg.com/profile_images/962471262747529216/Uo8lOkRJ_normal.jpg","View")</f>
        <v>View</v>
      </c>
      <c r="P11274" s="7"/>
    </row>
    <row r="11275" spans="1:16">
      <c r="A11275" s="3">
        <v>44130.846678240741</v>
      </c>
      <c r="B11275" s="4" t="str">
        <f>HYPERLINK("https://twitter.com/petrogustavo","@petrogustavo")</f>
        <v>@petrogustavo</v>
      </c>
      <c r="C11275" s="5" t="s">
        <v>16</v>
      </c>
      <c r="D11275" s="5" t="s">
        <v>10851</v>
      </c>
      <c r="E11275" s="6" t="str">
        <f>HYPERLINK("https://twitter.com/petrogustavo/status/1320739263932256262","1320739263932256262")</f>
        <v>1320739263932256262</v>
      </c>
      <c r="F11275" s="7" t="s">
        <v>32</v>
      </c>
      <c r="G11275" s="7">
        <v>3996699</v>
      </c>
      <c r="H11275" s="7">
        <v>2451</v>
      </c>
      <c r="I11275" s="7">
        <v>33</v>
      </c>
      <c r="J11275" s="7">
        <v>0</v>
      </c>
      <c r="K11275" s="7" t="s">
        <v>18</v>
      </c>
      <c r="L11275" s="8">
        <v>39987.315405092595</v>
      </c>
      <c r="M11275" s="9" t="s">
        <v>19</v>
      </c>
      <c r="N11275" s="9" t="s">
        <v>20</v>
      </c>
      <c r="O11275" s="6" t="str">
        <f>HYPERLINK("https://pbs.twimg.com/profile_images/962471262747529216/Uo8lOkRJ_normal.jpg","View")</f>
        <v>View</v>
      </c>
      <c r="P11275" s="7"/>
    </row>
    <row r="11276" spans="1:16">
      <c r="A11276" s="3">
        <v>44130.849432870367</v>
      </c>
      <c r="B11276" s="4" t="str">
        <f>HYPERLINK("https://twitter.com/petrogustavo","@petrogustavo")</f>
        <v>@petrogustavo</v>
      </c>
      <c r="C11276" s="5" t="s">
        <v>16</v>
      </c>
      <c r="D11276" s="5" t="s">
        <v>10852</v>
      </c>
      <c r="E11276" s="6" t="str">
        <f>HYPERLINK("https://twitter.com/petrogustavo/status/1320740264391094273","1320740264391094273")</f>
        <v>1320740264391094273</v>
      </c>
      <c r="F11276" s="7" t="s">
        <v>32</v>
      </c>
      <c r="G11276" s="7">
        <v>3996699</v>
      </c>
      <c r="H11276" s="7">
        <v>2451</v>
      </c>
      <c r="I11276" s="7">
        <v>323</v>
      </c>
      <c r="J11276" s="7">
        <v>0</v>
      </c>
      <c r="K11276" s="7" t="s">
        <v>18</v>
      </c>
      <c r="L11276" s="8">
        <v>39987.315405092595</v>
      </c>
      <c r="M11276" s="9" t="s">
        <v>19</v>
      </c>
      <c r="N11276" s="9" t="s">
        <v>20</v>
      </c>
      <c r="O11276" s="6" t="str">
        <f>HYPERLINK("https://pbs.twimg.com/profile_images/962471262747529216/Uo8lOkRJ_normal.jpg","View")</f>
        <v>View</v>
      </c>
      <c r="P11276" s="7"/>
    </row>
    <row r="11277" spans="1:16">
      <c r="A11277" s="3">
        <v>44130.851006944446</v>
      </c>
      <c r="B11277" s="4" t="str">
        <f>HYPERLINK("https://twitter.com/petrogustavo","@petrogustavo")</f>
        <v>@petrogustavo</v>
      </c>
      <c r="C11277" s="5" t="s">
        <v>16</v>
      </c>
      <c r="D11277" s="4" t="s">
        <v>10853</v>
      </c>
      <c r="E11277" s="6" t="str">
        <f>HYPERLINK("https://twitter.com/petrogustavo/status/1320740832035614721","1320740832035614721")</f>
        <v>1320740832035614721</v>
      </c>
      <c r="F11277" s="7" t="s">
        <v>32</v>
      </c>
      <c r="G11277" s="7">
        <v>3996699</v>
      </c>
      <c r="H11277" s="7">
        <v>2451</v>
      </c>
      <c r="I11277" s="7">
        <v>169</v>
      </c>
      <c r="J11277" s="7">
        <v>931</v>
      </c>
      <c r="K11277" s="7" t="s">
        <v>18</v>
      </c>
      <c r="L11277" s="8">
        <v>39987.315405092595</v>
      </c>
      <c r="M11277" s="9" t="s">
        <v>19</v>
      </c>
      <c r="N11277" s="9" t="s">
        <v>20</v>
      </c>
      <c r="O11277" s="6" t="str">
        <f>HYPERLINK("https://pbs.twimg.com/profile_images/962471262747529216/Uo8lOkRJ_normal.jpg","View")</f>
        <v>View</v>
      </c>
      <c r="P11277" s="7"/>
    </row>
    <row r="11278" spans="1:16">
      <c r="A11278" s="3">
        <v>44130.851087962961</v>
      </c>
      <c r="B11278" s="4" t="str">
        <f>HYPERLINK("https://twitter.com/petrogustavo","@petrogustavo")</f>
        <v>@petrogustavo</v>
      </c>
      <c r="C11278" s="5" t="s">
        <v>16</v>
      </c>
      <c r="D11278" s="5" t="s">
        <v>10854</v>
      </c>
      <c r="E11278" s="6" t="str">
        <f>HYPERLINK("https://twitter.com/petrogustavo/status/1320740863593644032","1320740863593644032")</f>
        <v>1320740863593644032</v>
      </c>
      <c r="F11278" s="7" t="s">
        <v>32</v>
      </c>
      <c r="G11278" s="7">
        <v>3996699</v>
      </c>
      <c r="H11278" s="7">
        <v>2451</v>
      </c>
      <c r="I11278" s="7">
        <v>209</v>
      </c>
      <c r="J11278" s="7">
        <v>0</v>
      </c>
      <c r="K11278" s="7" t="s">
        <v>18</v>
      </c>
      <c r="L11278" s="8">
        <v>39987.315405092595</v>
      </c>
      <c r="M11278" s="9" t="s">
        <v>19</v>
      </c>
      <c r="N11278" s="9" t="s">
        <v>20</v>
      </c>
      <c r="O11278" s="6" t="str">
        <f>HYPERLINK("https://pbs.twimg.com/profile_images/962471262747529216/Uo8lOkRJ_normal.jpg","View")</f>
        <v>View</v>
      </c>
      <c r="P11278" s="7"/>
    </row>
    <row r="11279" spans="1:16">
      <c r="A11279" s="3">
        <v>44130.854444444441</v>
      </c>
      <c r="B11279" s="4" t="str">
        <f>HYPERLINK("https://twitter.com/petrogustavo","@petrogustavo")</f>
        <v>@petrogustavo</v>
      </c>
      <c r="C11279" s="5" t="s">
        <v>16</v>
      </c>
      <c r="D11279" s="5" t="s">
        <v>10855</v>
      </c>
      <c r="E11279" s="6" t="str">
        <f>HYPERLINK("https://twitter.com/petrogustavo/status/1320742079685951496","1320742079685951496")</f>
        <v>1320742079685951496</v>
      </c>
      <c r="F11279" s="7" t="s">
        <v>32</v>
      </c>
      <c r="G11279" s="7">
        <v>3996699</v>
      </c>
      <c r="H11279" s="7">
        <v>2451</v>
      </c>
      <c r="I11279" s="7">
        <v>50</v>
      </c>
      <c r="J11279" s="7">
        <v>156</v>
      </c>
      <c r="K11279" s="7" t="s">
        <v>18</v>
      </c>
      <c r="L11279" s="8">
        <v>39987.315405092595</v>
      </c>
      <c r="M11279" s="9" t="s">
        <v>19</v>
      </c>
      <c r="N11279" s="9" t="s">
        <v>20</v>
      </c>
      <c r="O11279" s="6" t="str">
        <f>HYPERLINK("https://pbs.twimg.com/profile_images/962471262747529216/Uo8lOkRJ_normal.jpg","View")</f>
        <v>View</v>
      </c>
      <c r="P11279" s="7"/>
    </row>
    <row r="11280" spans="1:16">
      <c r="A11280" s="3">
        <v>44130.865416666667</v>
      </c>
      <c r="B11280" s="4" t="str">
        <f>HYPERLINK("https://twitter.com/petrogustavo","@petrogustavo")</f>
        <v>@petrogustavo</v>
      </c>
      <c r="C11280" s="5" t="s">
        <v>16</v>
      </c>
      <c r="D11280" s="5" t="s">
        <v>10856</v>
      </c>
      <c r="E11280" s="6" t="str">
        <f>HYPERLINK("https://twitter.com/petrogustavo/status/1320746055085006849","1320746055085006849")</f>
        <v>1320746055085006849</v>
      </c>
      <c r="F11280" s="7" t="s">
        <v>32</v>
      </c>
      <c r="G11280" s="7">
        <v>3996699</v>
      </c>
      <c r="H11280" s="7">
        <v>2451</v>
      </c>
      <c r="I11280" s="7">
        <v>260</v>
      </c>
      <c r="J11280" s="7">
        <v>0</v>
      </c>
      <c r="K11280" s="7" t="s">
        <v>18</v>
      </c>
      <c r="L11280" s="8">
        <v>39987.315405092595</v>
      </c>
      <c r="M11280" s="9" t="s">
        <v>19</v>
      </c>
      <c r="N11280" s="9" t="s">
        <v>20</v>
      </c>
      <c r="O11280" s="6" t="str">
        <f>HYPERLINK("https://pbs.twimg.com/profile_images/962471262747529216/Uo8lOkRJ_normal.jpg","View")</f>
        <v>View</v>
      </c>
      <c r="P11280" s="7"/>
    </row>
    <row r="11281" spans="1:16">
      <c r="A11281" s="3">
        <v>44130.875601851847</v>
      </c>
      <c r="B11281" s="4" t="str">
        <f>HYPERLINK("https://twitter.com/petrogustavo","@petrogustavo")</f>
        <v>@petrogustavo</v>
      </c>
      <c r="C11281" s="5" t="s">
        <v>16</v>
      </c>
      <c r="D11281" s="5" t="s">
        <v>10857</v>
      </c>
      <c r="E11281" s="6" t="str">
        <f>HYPERLINK("https://twitter.com/petrogustavo/status/1320749744277327874","1320749744277327874")</f>
        <v>1320749744277327874</v>
      </c>
      <c r="F11281" s="7" t="s">
        <v>32</v>
      </c>
      <c r="G11281" s="7">
        <v>3996717</v>
      </c>
      <c r="H11281" s="7">
        <v>2452</v>
      </c>
      <c r="I11281" s="7">
        <v>282</v>
      </c>
      <c r="J11281" s="7">
        <v>0</v>
      </c>
      <c r="K11281" s="7" t="s">
        <v>18</v>
      </c>
      <c r="L11281" s="8">
        <v>39987.315405092595</v>
      </c>
      <c r="M11281" s="9" t="s">
        <v>19</v>
      </c>
      <c r="N11281" s="9" t="s">
        <v>20</v>
      </c>
      <c r="O11281" s="6" t="str">
        <f>HYPERLINK("https://pbs.twimg.com/profile_images/962471262747529216/Uo8lOkRJ_normal.jpg","View")</f>
        <v>View</v>
      </c>
      <c r="P11281" s="7"/>
    </row>
    <row r="11282" spans="1:16">
      <c r="A11282" s="3">
        <v>44130.879490740743</v>
      </c>
      <c r="B11282" s="4" t="str">
        <f>HYPERLINK("https://twitter.com/petrogustavo","@petrogustavo")</f>
        <v>@petrogustavo</v>
      </c>
      <c r="C11282" s="5" t="s">
        <v>16</v>
      </c>
      <c r="D11282" s="5" t="s">
        <v>10858</v>
      </c>
      <c r="E11282" s="6" t="str">
        <f>HYPERLINK("https://twitter.com/petrogustavo/status/1320751153601224705","1320751153601224705")</f>
        <v>1320751153601224705</v>
      </c>
      <c r="F11282" s="7" t="s">
        <v>32</v>
      </c>
      <c r="G11282" s="7">
        <v>3996717</v>
      </c>
      <c r="H11282" s="7">
        <v>2452</v>
      </c>
      <c r="I11282" s="7">
        <v>94</v>
      </c>
      <c r="J11282" s="7">
        <v>0</v>
      </c>
      <c r="K11282" s="7" t="s">
        <v>18</v>
      </c>
      <c r="L11282" s="8">
        <v>39987.315405092595</v>
      </c>
      <c r="M11282" s="9" t="s">
        <v>19</v>
      </c>
      <c r="N11282" s="9" t="s">
        <v>20</v>
      </c>
      <c r="O11282" s="6" t="str">
        <f>HYPERLINK("https://pbs.twimg.com/profile_images/962471262747529216/Uo8lOkRJ_normal.jpg","View")</f>
        <v>View</v>
      </c>
      <c r="P11282" s="7"/>
    </row>
    <row r="11283" spans="1:16">
      <c r="A11283" s="3">
        <v>44130.889976851853</v>
      </c>
      <c r="B11283" s="4" t="str">
        <f>HYPERLINK("https://twitter.com/petrogustavo","@petrogustavo")</f>
        <v>@petrogustavo</v>
      </c>
      <c r="C11283" s="5" t="s">
        <v>16</v>
      </c>
      <c r="D11283" s="5" t="s">
        <v>10859</v>
      </c>
      <c r="E11283" s="6" t="str">
        <f>HYPERLINK("https://twitter.com/petrogustavo/status/1320754953548423169","1320754953548423169")</f>
        <v>1320754953548423169</v>
      </c>
      <c r="F11283" s="7" t="s">
        <v>32</v>
      </c>
      <c r="G11283" s="7">
        <v>3996730</v>
      </c>
      <c r="H11283" s="7">
        <v>2453</v>
      </c>
      <c r="I11283" s="7">
        <v>115</v>
      </c>
      <c r="J11283" s="7">
        <v>496</v>
      </c>
      <c r="K11283" s="7" t="s">
        <v>18</v>
      </c>
      <c r="L11283" s="8">
        <v>39987.315405092595</v>
      </c>
      <c r="M11283" s="9" t="s">
        <v>19</v>
      </c>
      <c r="N11283" s="9" t="s">
        <v>20</v>
      </c>
      <c r="O11283" s="6" t="str">
        <f>HYPERLINK("https://pbs.twimg.com/profile_images/962471262747529216/Uo8lOkRJ_normal.jpg","View")</f>
        <v>View</v>
      </c>
      <c r="P11283" s="7"/>
    </row>
    <row r="11284" spans="1:16">
      <c r="A11284" s="3">
        <v>44130.900405092594</v>
      </c>
      <c r="B11284" s="4" t="str">
        <f>HYPERLINK("https://twitter.com/petrogustavo","@petrogustavo")</f>
        <v>@petrogustavo</v>
      </c>
      <c r="C11284" s="5" t="s">
        <v>16</v>
      </c>
      <c r="D11284" s="5" t="s">
        <v>10860</v>
      </c>
      <c r="E11284" s="6" t="str">
        <f>HYPERLINK("https://twitter.com/petrogustavo/status/1320758736303149058","1320758736303149058")</f>
        <v>1320758736303149058</v>
      </c>
      <c r="F11284" s="7" t="s">
        <v>17</v>
      </c>
      <c r="G11284" s="7">
        <v>3996730</v>
      </c>
      <c r="H11284" s="7">
        <v>2453</v>
      </c>
      <c r="I11284" s="7">
        <v>44</v>
      </c>
      <c r="J11284" s="7">
        <v>155</v>
      </c>
      <c r="K11284" s="7" t="s">
        <v>18</v>
      </c>
      <c r="L11284" s="8">
        <v>39987.315405092595</v>
      </c>
      <c r="M11284" s="9" t="s">
        <v>19</v>
      </c>
      <c r="N11284" s="9" t="s">
        <v>20</v>
      </c>
      <c r="O11284" s="6" t="str">
        <f>HYPERLINK("https://pbs.twimg.com/profile_images/962471262747529216/Uo8lOkRJ_normal.jpg","View")</f>
        <v>View</v>
      </c>
      <c r="P11284" s="7"/>
    </row>
    <row r="11285" spans="1:16">
      <c r="A11285" s="3">
        <v>44130.94467592593</v>
      </c>
      <c r="B11285" s="4" t="str">
        <f>HYPERLINK("https://twitter.com/petrogustavo","@petrogustavo")</f>
        <v>@petrogustavo</v>
      </c>
      <c r="C11285" s="5" t="s">
        <v>16</v>
      </c>
      <c r="D11285" s="5" t="s">
        <v>10861</v>
      </c>
      <c r="E11285" s="6" t="str">
        <f>HYPERLINK("https://twitter.com/petrogustavo/status/1320774777351655424","1320774777351655424")</f>
        <v>1320774777351655424</v>
      </c>
      <c r="F11285" s="7" t="s">
        <v>32</v>
      </c>
      <c r="G11285" s="7">
        <v>3996760</v>
      </c>
      <c r="H11285" s="7">
        <v>2453</v>
      </c>
      <c r="I11285" s="7">
        <v>97</v>
      </c>
      <c r="J11285" s="7">
        <v>469</v>
      </c>
      <c r="K11285" s="7" t="s">
        <v>18</v>
      </c>
      <c r="L11285" s="8">
        <v>39987.315405092595</v>
      </c>
      <c r="M11285" s="9" t="s">
        <v>19</v>
      </c>
      <c r="N11285" s="9" t="s">
        <v>20</v>
      </c>
      <c r="O11285" s="6" t="str">
        <f>HYPERLINK("https://pbs.twimg.com/profile_images/962471262747529216/Uo8lOkRJ_normal.jpg","View")</f>
        <v>View</v>
      </c>
      <c r="P11285" s="7"/>
    </row>
    <row r="11286" spans="1:16">
      <c r="A11286" s="3">
        <v>44130.94604166667</v>
      </c>
      <c r="B11286" s="4" t="str">
        <f>HYPERLINK("https://twitter.com/petrogustavo","@petrogustavo")</f>
        <v>@petrogustavo</v>
      </c>
      <c r="C11286" s="5" t="s">
        <v>16</v>
      </c>
      <c r="D11286" s="5" t="s">
        <v>10862</v>
      </c>
      <c r="E11286" s="6" t="str">
        <f>HYPERLINK("https://twitter.com/petrogustavo/status/1320775273248362497","1320775273248362497")</f>
        <v>1320775273248362497</v>
      </c>
      <c r="F11286" s="7" t="s">
        <v>32</v>
      </c>
      <c r="G11286" s="7">
        <v>3996760</v>
      </c>
      <c r="H11286" s="7">
        <v>2453</v>
      </c>
      <c r="I11286" s="7">
        <v>176</v>
      </c>
      <c r="J11286" s="7">
        <v>716</v>
      </c>
      <c r="K11286" s="7" t="s">
        <v>18</v>
      </c>
      <c r="L11286" s="8">
        <v>39987.315405092595</v>
      </c>
      <c r="M11286" s="9" t="s">
        <v>19</v>
      </c>
      <c r="N11286" s="9" t="s">
        <v>20</v>
      </c>
      <c r="O11286" s="6" t="str">
        <f>HYPERLINK("https://pbs.twimg.com/profile_images/962471262747529216/Uo8lOkRJ_normal.jpg","View")</f>
        <v>View</v>
      </c>
      <c r="P11286" s="7"/>
    </row>
    <row r="11287" spans="1:16">
      <c r="A11287" s="3">
        <v>44130.977604166663</v>
      </c>
      <c r="B11287" s="4" t="str">
        <f>HYPERLINK("https://twitter.com/petrogustavo","@petrogustavo")</f>
        <v>@petrogustavo</v>
      </c>
      <c r="C11287" s="5" t="s">
        <v>16</v>
      </c>
      <c r="D11287" s="5" t="s">
        <v>10863</v>
      </c>
      <c r="E11287" s="6" t="str">
        <f>HYPERLINK("https://twitter.com/petrogustavo/status/1320786712470163461","1320786712470163461")</f>
        <v>1320786712470163461</v>
      </c>
      <c r="F11287" s="7" t="s">
        <v>32</v>
      </c>
      <c r="G11287" s="7">
        <v>3996788</v>
      </c>
      <c r="H11287" s="7">
        <v>2453</v>
      </c>
      <c r="I11287" s="7">
        <v>394</v>
      </c>
      <c r="J11287" s="7">
        <v>0</v>
      </c>
      <c r="K11287" s="7" t="s">
        <v>18</v>
      </c>
      <c r="L11287" s="8">
        <v>39987.315405092595</v>
      </c>
      <c r="M11287" s="9" t="s">
        <v>19</v>
      </c>
      <c r="N11287" s="9" t="s">
        <v>20</v>
      </c>
      <c r="O11287" s="6" t="str">
        <f>HYPERLINK("https://pbs.twimg.com/profile_images/962471262747529216/Uo8lOkRJ_normal.jpg","View")</f>
        <v>View</v>
      </c>
      <c r="P11287" s="7"/>
    </row>
    <row r="11288" spans="1:16">
      <c r="A11288" s="3">
        <v>44130.978101851855</v>
      </c>
      <c r="B11288" s="4" t="str">
        <f>HYPERLINK("https://twitter.com/petrogustavo","@petrogustavo")</f>
        <v>@petrogustavo</v>
      </c>
      <c r="C11288" s="5" t="s">
        <v>16</v>
      </c>
      <c r="D11288" s="5" t="s">
        <v>10864</v>
      </c>
      <c r="E11288" s="6" t="str">
        <f>HYPERLINK("https://twitter.com/petrogustavo/status/1320786892196032514","1320786892196032514")</f>
        <v>1320786892196032514</v>
      </c>
      <c r="F11288" s="7" t="s">
        <v>32</v>
      </c>
      <c r="G11288" s="7">
        <v>3996788</v>
      </c>
      <c r="H11288" s="7">
        <v>2453</v>
      </c>
      <c r="I11288" s="7">
        <v>2913</v>
      </c>
      <c r="J11288" s="7">
        <v>0</v>
      </c>
      <c r="K11288" s="7" t="s">
        <v>18</v>
      </c>
      <c r="L11288" s="8">
        <v>39987.315405092595</v>
      </c>
      <c r="M11288" s="9" t="s">
        <v>19</v>
      </c>
      <c r="N11288" s="9" t="s">
        <v>20</v>
      </c>
      <c r="O11288" s="6" t="str">
        <f>HYPERLINK("https://pbs.twimg.com/profile_images/962471262747529216/Uo8lOkRJ_normal.jpg","View")</f>
        <v>View</v>
      </c>
      <c r="P11288" s="7"/>
    </row>
    <row r="11289" spans="1:16">
      <c r="A11289" s="3">
        <v>44130.981041666666</v>
      </c>
      <c r="B11289" s="4" t="str">
        <f>HYPERLINK("https://twitter.com/petrogustavo","@petrogustavo")</f>
        <v>@petrogustavo</v>
      </c>
      <c r="C11289" s="5" t="s">
        <v>16</v>
      </c>
      <c r="D11289" s="5" t="s">
        <v>10865</v>
      </c>
      <c r="E11289" s="6" t="str">
        <f>HYPERLINK("https://twitter.com/petrogustavo/status/1320787955741503488","1320787955741503488")</f>
        <v>1320787955741503488</v>
      </c>
      <c r="F11289" s="7" t="s">
        <v>32</v>
      </c>
      <c r="G11289" s="7">
        <v>3996788</v>
      </c>
      <c r="H11289" s="7">
        <v>2453</v>
      </c>
      <c r="I11289" s="7">
        <v>80</v>
      </c>
      <c r="J11289" s="7">
        <v>315</v>
      </c>
      <c r="K11289" s="7" t="s">
        <v>18</v>
      </c>
      <c r="L11289" s="8">
        <v>39987.315405092595</v>
      </c>
      <c r="M11289" s="9" t="s">
        <v>19</v>
      </c>
      <c r="N11289" s="9" t="s">
        <v>20</v>
      </c>
      <c r="O11289" s="6" t="str">
        <f>HYPERLINK("https://pbs.twimg.com/profile_images/962471262747529216/Uo8lOkRJ_normal.jpg","View")</f>
        <v>View</v>
      </c>
      <c r="P11289" s="7"/>
    </row>
    <row r="11290" spans="1:16">
      <c r="A11290" s="3">
        <v>44131.189837962964</v>
      </c>
      <c r="B11290" s="4" t="str">
        <f>HYPERLINK("https://twitter.com/petrogustavo","@petrogustavo")</f>
        <v>@petrogustavo</v>
      </c>
      <c r="C11290" s="5" t="s">
        <v>16</v>
      </c>
      <c r="D11290" s="5" t="s">
        <v>10866</v>
      </c>
      <c r="E11290" s="6" t="str">
        <f>HYPERLINK("https://twitter.com/petrogustavo/status/1320863622017462272","1320863622017462272")</f>
        <v>1320863622017462272</v>
      </c>
      <c r="F11290" s="7" t="s">
        <v>17</v>
      </c>
      <c r="G11290" s="7">
        <v>3996896</v>
      </c>
      <c r="H11290" s="7">
        <v>2453</v>
      </c>
      <c r="I11290" s="7">
        <v>131</v>
      </c>
      <c r="J11290" s="7">
        <v>767</v>
      </c>
      <c r="K11290" s="7" t="s">
        <v>18</v>
      </c>
      <c r="L11290" s="8">
        <v>39987.315405092595</v>
      </c>
      <c r="M11290" s="9" t="s">
        <v>19</v>
      </c>
      <c r="N11290" s="9" t="s">
        <v>20</v>
      </c>
      <c r="O11290" s="6" t="str">
        <f>HYPERLINK("https://pbs.twimg.com/profile_images/962471262747529216/Uo8lOkRJ_normal.jpg","View")</f>
        <v>View</v>
      </c>
      <c r="P11290" s="7"/>
    </row>
    <row r="11291" spans="1:16">
      <c r="A11291" s="3">
        <v>44131.264861111107</v>
      </c>
      <c r="B11291" s="4" t="str">
        <f>HYPERLINK("https://twitter.com/petrogustavo","@petrogustavo")</f>
        <v>@petrogustavo</v>
      </c>
      <c r="C11291" s="5" t="s">
        <v>16</v>
      </c>
      <c r="D11291" s="5" t="s">
        <v>10867</v>
      </c>
      <c r="E11291" s="6" t="str">
        <f>HYPERLINK("https://twitter.com/petrogustavo/status/1320890807071682562","1320890807071682562")</f>
        <v>1320890807071682562</v>
      </c>
      <c r="F11291" s="7" t="s">
        <v>32</v>
      </c>
      <c r="G11291" s="7">
        <v>3996948</v>
      </c>
      <c r="H11291" s="7">
        <v>2453</v>
      </c>
      <c r="I11291" s="7">
        <v>194</v>
      </c>
      <c r="J11291" s="7">
        <v>759</v>
      </c>
      <c r="K11291" s="7" t="s">
        <v>18</v>
      </c>
      <c r="L11291" s="8">
        <v>39987.315405092595</v>
      </c>
      <c r="M11291" s="9" t="s">
        <v>19</v>
      </c>
      <c r="N11291" s="9" t="s">
        <v>20</v>
      </c>
      <c r="O11291" s="6" t="str">
        <f>HYPERLINK("https://pbs.twimg.com/profile_images/962471262747529216/Uo8lOkRJ_normal.jpg","View")</f>
        <v>View</v>
      </c>
      <c r="P11291" s="7"/>
    </row>
    <row r="11292" spans="1:16">
      <c r="A11292" s="3">
        <v>44131.278356481482</v>
      </c>
      <c r="B11292" s="4" t="str">
        <f>HYPERLINK("https://twitter.com/petrogustavo","@petrogustavo")</f>
        <v>@petrogustavo</v>
      </c>
      <c r="C11292" s="5" t="s">
        <v>16</v>
      </c>
      <c r="D11292" s="5" t="s">
        <v>10868</v>
      </c>
      <c r="E11292" s="6" t="str">
        <f>HYPERLINK("https://twitter.com/petrogustavo/status/1320895700373282816","1320895700373282816")</f>
        <v>1320895700373282816</v>
      </c>
      <c r="F11292" s="7" t="s">
        <v>32</v>
      </c>
      <c r="G11292" s="7">
        <v>3996948</v>
      </c>
      <c r="H11292" s="7">
        <v>2453</v>
      </c>
      <c r="I11292" s="7">
        <v>48</v>
      </c>
      <c r="J11292" s="7">
        <v>101</v>
      </c>
      <c r="K11292" s="7" t="s">
        <v>18</v>
      </c>
      <c r="L11292" s="8">
        <v>39987.315405092595</v>
      </c>
      <c r="M11292" s="9" t="s">
        <v>19</v>
      </c>
      <c r="N11292" s="9" t="s">
        <v>20</v>
      </c>
      <c r="O11292" s="6" t="str">
        <f>HYPERLINK("https://pbs.twimg.com/profile_images/962471262747529216/Uo8lOkRJ_normal.jpg","View")</f>
        <v>View</v>
      </c>
      <c r="P11292" s="7"/>
    </row>
    <row r="11293" spans="1:16">
      <c r="A11293" s="3">
        <v>44131.280555555553</v>
      </c>
      <c r="B11293" s="4" t="str">
        <f>HYPERLINK("https://twitter.com/petrogustavo","@petrogustavo")</f>
        <v>@petrogustavo</v>
      </c>
      <c r="C11293" s="5" t="s">
        <v>16</v>
      </c>
      <c r="D11293" s="5" t="s">
        <v>10869</v>
      </c>
      <c r="E11293" s="6" t="str">
        <f>HYPERLINK("https://twitter.com/petrogustavo/status/1320896495240007681","1320896495240007681")</f>
        <v>1320896495240007681</v>
      </c>
      <c r="F11293" s="7" t="s">
        <v>32</v>
      </c>
      <c r="G11293" s="7">
        <v>3996948</v>
      </c>
      <c r="H11293" s="7">
        <v>2453</v>
      </c>
      <c r="I11293" s="7">
        <v>12</v>
      </c>
      <c r="J11293" s="7">
        <v>0</v>
      </c>
      <c r="K11293" s="7" t="s">
        <v>18</v>
      </c>
      <c r="L11293" s="8">
        <v>39987.315405092595</v>
      </c>
      <c r="M11293" s="9" t="s">
        <v>19</v>
      </c>
      <c r="N11293" s="9" t="s">
        <v>20</v>
      </c>
      <c r="O11293" s="6" t="str">
        <f>HYPERLINK("https://pbs.twimg.com/profile_images/962471262747529216/Uo8lOkRJ_normal.jpg","View")</f>
        <v>View</v>
      </c>
      <c r="P11293" s="7"/>
    </row>
    <row r="11294" spans="1:16">
      <c r="A11294" s="3">
        <v>44131.288101851853</v>
      </c>
      <c r="B11294" s="4" t="str">
        <f>HYPERLINK("https://twitter.com/petrogustavo","@petrogustavo")</f>
        <v>@petrogustavo</v>
      </c>
      <c r="C11294" s="5" t="s">
        <v>16</v>
      </c>
      <c r="D11294" s="5" t="s">
        <v>10870</v>
      </c>
      <c r="E11294" s="6" t="str">
        <f>HYPERLINK("https://twitter.com/petrogustavo/status/1320899229980778502","1320899229980778502")</f>
        <v>1320899229980778502</v>
      </c>
      <c r="F11294" s="7" t="s">
        <v>32</v>
      </c>
      <c r="G11294" s="7">
        <v>3996967</v>
      </c>
      <c r="H11294" s="7">
        <v>2454</v>
      </c>
      <c r="I11294" s="7">
        <v>79</v>
      </c>
      <c r="J11294" s="7">
        <v>0</v>
      </c>
      <c r="K11294" s="7" t="s">
        <v>18</v>
      </c>
      <c r="L11294" s="8">
        <v>39987.315405092595</v>
      </c>
      <c r="M11294" s="9" t="s">
        <v>19</v>
      </c>
      <c r="N11294" s="9" t="s">
        <v>20</v>
      </c>
      <c r="O11294" s="6" t="str">
        <f>HYPERLINK("https://pbs.twimg.com/profile_images/962471262747529216/Uo8lOkRJ_normal.jpg","View")</f>
        <v>View</v>
      </c>
      <c r="P11294" s="7"/>
    </row>
    <row r="11295" spans="1:16">
      <c r="A11295" s="3">
        <v>44131.288807870369</v>
      </c>
      <c r="B11295" s="4" t="str">
        <f>HYPERLINK("https://twitter.com/petrogustavo","@petrogustavo")</f>
        <v>@petrogustavo</v>
      </c>
      <c r="C11295" s="5" t="s">
        <v>16</v>
      </c>
      <c r="D11295" s="5" t="s">
        <v>10871</v>
      </c>
      <c r="E11295" s="6" t="str">
        <f>HYPERLINK("https://twitter.com/petrogustavo/status/1320899486772830209","1320899486772830209")</f>
        <v>1320899486772830209</v>
      </c>
      <c r="F11295" s="7" t="s">
        <v>32</v>
      </c>
      <c r="G11295" s="7">
        <v>3996967</v>
      </c>
      <c r="H11295" s="7">
        <v>2454</v>
      </c>
      <c r="I11295" s="7">
        <v>139</v>
      </c>
      <c r="J11295" s="7">
        <v>0</v>
      </c>
      <c r="K11295" s="7" t="s">
        <v>18</v>
      </c>
      <c r="L11295" s="8">
        <v>39987.315405092595</v>
      </c>
      <c r="M11295" s="9" t="s">
        <v>19</v>
      </c>
      <c r="N11295" s="9" t="s">
        <v>20</v>
      </c>
      <c r="O11295" s="6" t="str">
        <f>HYPERLINK("https://pbs.twimg.com/profile_images/962471262747529216/Uo8lOkRJ_normal.jpg","View")</f>
        <v>View</v>
      </c>
      <c r="P11295" s="7"/>
    </row>
    <row r="11296" spans="1:16">
      <c r="A11296" s="3">
        <v>44131.292523148149</v>
      </c>
      <c r="B11296" s="4" t="str">
        <f>HYPERLINK("https://twitter.com/petrogustavo","@petrogustavo")</f>
        <v>@petrogustavo</v>
      </c>
      <c r="C11296" s="5" t="s">
        <v>16</v>
      </c>
      <c r="D11296" s="5" t="s">
        <v>10872</v>
      </c>
      <c r="E11296" s="6" t="str">
        <f>HYPERLINK("https://twitter.com/petrogustavo/status/1320900833798692866","1320900833798692866")</f>
        <v>1320900833798692866</v>
      </c>
      <c r="F11296" s="7" t="s">
        <v>32</v>
      </c>
      <c r="G11296" s="7">
        <v>3996967</v>
      </c>
      <c r="H11296" s="7">
        <v>2454</v>
      </c>
      <c r="I11296" s="7">
        <v>142</v>
      </c>
      <c r="J11296" s="7">
        <v>738</v>
      </c>
      <c r="K11296" s="7" t="s">
        <v>18</v>
      </c>
      <c r="L11296" s="8">
        <v>39987.315405092595</v>
      </c>
      <c r="M11296" s="9" t="s">
        <v>19</v>
      </c>
      <c r="N11296" s="9" t="s">
        <v>20</v>
      </c>
      <c r="O11296" s="6" t="str">
        <f>HYPERLINK("https://pbs.twimg.com/profile_images/962471262747529216/Uo8lOkRJ_normal.jpg","View")</f>
        <v>View</v>
      </c>
      <c r="P11296" s="7"/>
    </row>
    <row r="11297" spans="1:16">
      <c r="A11297" s="3">
        <v>44131.727719907409</v>
      </c>
      <c r="B11297" s="4" t="str">
        <f>HYPERLINK("https://twitter.com/petrogustavo","@petrogustavo")</f>
        <v>@petrogustavo</v>
      </c>
      <c r="C11297" s="5" t="s">
        <v>16</v>
      </c>
      <c r="D11297" s="5" t="s">
        <v>10873</v>
      </c>
      <c r="E11297" s="6" t="str">
        <f>HYPERLINK("https://twitter.com/petrogustavo/status/1321058542237945856","1321058542237945856")</f>
        <v>1321058542237945856</v>
      </c>
      <c r="F11297" s="7" t="s">
        <v>32</v>
      </c>
      <c r="G11297" s="7">
        <v>3997045</v>
      </c>
      <c r="H11297" s="7">
        <v>2453</v>
      </c>
      <c r="I11297" s="7">
        <v>48</v>
      </c>
      <c r="J11297" s="7">
        <v>318</v>
      </c>
      <c r="K11297" s="7" t="s">
        <v>18</v>
      </c>
      <c r="L11297" s="8">
        <v>39987.315405092595</v>
      </c>
      <c r="M11297" s="9" t="s">
        <v>19</v>
      </c>
      <c r="N11297" s="9" t="s">
        <v>20</v>
      </c>
      <c r="O11297" s="6" t="str">
        <f>HYPERLINK("https://pbs.twimg.com/profile_images/962471262747529216/Uo8lOkRJ_normal.jpg","View")</f>
        <v>View</v>
      </c>
      <c r="P11297" s="7"/>
    </row>
    <row r="11298" spans="1:16">
      <c r="A11298" s="3">
        <v>44131.731585648144</v>
      </c>
      <c r="B11298" s="4" t="str">
        <f>HYPERLINK("https://twitter.com/petrogustavo","@petrogustavo")</f>
        <v>@petrogustavo</v>
      </c>
      <c r="C11298" s="5" t="s">
        <v>16</v>
      </c>
      <c r="D11298" s="5" t="s">
        <v>10874</v>
      </c>
      <c r="E11298" s="6" t="str">
        <f>HYPERLINK("https://twitter.com/petrogustavo/status/1321059943408148480","1321059943408148480")</f>
        <v>1321059943408148480</v>
      </c>
      <c r="F11298" s="7" t="s">
        <v>32</v>
      </c>
      <c r="G11298" s="7">
        <v>3997045</v>
      </c>
      <c r="H11298" s="7">
        <v>2453</v>
      </c>
      <c r="I11298" s="7">
        <v>129</v>
      </c>
      <c r="J11298" s="7">
        <v>261</v>
      </c>
      <c r="K11298" s="7" t="s">
        <v>18</v>
      </c>
      <c r="L11298" s="8">
        <v>39987.315405092595</v>
      </c>
      <c r="M11298" s="9" t="s">
        <v>19</v>
      </c>
      <c r="N11298" s="9" t="s">
        <v>20</v>
      </c>
      <c r="O11298" s="6" t="str">
        <f>HYPERLINK("https://pbs.twimg.com/profile_images/962471262747529216/Uo8lOkRJ_normal.jpg","View")</f>
        <v>View</v>
      </c>
      <c r="P11298" s="7"/>
    </row>
    <row r="11299" spans="1:16">
      <c r="A11299" s="3">
        <v>44131.762974537036</v>
      </c>
      <c r="B11299" s="4" t="str">
        <f>HYPERLINK("https://twitter.com/petrogustavo","@petrogustavo")</f>
        <v>@petrogustavo</v>
      </c>
      <c r="C11299" s="5" t="s">
        <v>16</v>
      </c>
      <c r="D11299" s="5" t="s">
        <v>10875</v>
      </c>
      <c r="E11299" s="6" t="str">
        <f>HYPERLINK("https://twitter.com/petrogustavo/status/1321071319698604033","1321071319698604033")</f>
        <v>1321071319698604033</v>
      </c>
      <c r="F11299" s="7" t="s">
        <v>32</v>
      </c>
      <c r="G11299" s="7">
        <v>3997077</v>
      </c>
      <c r="H11299" s="7">
        <v>2454</v>
      </c>
      <c r="I11299" s="7">
        <v>1</v>
      </c>
      <c r="J11299" s="7">
        <v>1</v>
      </c>
      <c r="K11299" s="7" t="s">
        <v>18</v>
      </c>
      <c r="L11299" s="8">
        <v>39987.315405092595</v>
      </c>
      <c r="M11299" s="9" t="s">
        <v>19</v>
      </c>
      <c r="N11299" s="9" t="s">
        <v>20</v>
      </c>
      <c r="O11299" s="6" t="str">
        <f>HYPERLINK("https://pbs.twimg.com/profile_images/962471262747529216/Uo8lOkRJ_normal.jpg","View")</f>
        <v>View</v>
      </c>
      <c r="P11299" s="7"/>
    </row>
    <row r="11300" spans="1:16">
      <c r="A11300" s="3">
        <v>44131.768240740741</v>
      </c>
      <c r="B11300" s="4" t="str">
        <f>HYPERLINK("https://twitter.com/petrogustavo","@petrogustavo")</f>
        <v>@petrogustavo</v>
      </c>
      <c r="C11300" s="5" t="s">
        <v>16</v>
      </c>
      <c r="D11300" s="5" t="s">
        <v>10876</v>
      </c>
      <c r="E11300" s="6" t="str">
        <f>HYPERLINK("https://twitter.com/petrogustavo/status/1321073227922350081","1321073227922350081")</f>
        <v>1321073227922350081</v>
      </c>
      <c r="F11300" s="7" t="s">
        <v>32</v>
      </c>
      <c r="G11300" s="7">
        <v>3997086</v>
      </c>
      <c r="H11300" s="7">
        <v>2455</v>
      </c>
      <c r="I11300" s="7">
        <v>85</v>
      </c>
      <c r="J11300" s="7">
        <v>201</v>
      </c>
      <c r="K11300" s="7" t="s">
        <v>18</v>
      </c>
      <c r="L11300" s="8">
        <v>39987.315405092595</v>
      </c>
      <c r="M11300" s="9" t="s">
        <v>19</v>
      </c>
      <c r="N11300" s="9" t="s">
        <v>20</v>
      </c>
      <c r="O11300" s="6" t="str">
        <f>HYPERLINK("https://pbs.twimg.com/profile_images/962471262747529216/Uo8lOkRJ_normal.jpg","View")</f>
        <v>View</v>
      </c>
      <c r="P11300" s="7"/>
    </row>
    <row r="11301" spans="1:16">
      <c r="A11301" s="3">
        <v>44131.781736111108</v>
      </c>
      <c r="B11301" s="4" t="str">
        <f>HYPERLINK("https://twitter.com/petrogustavo","@petrogustavo")</f>
        <v>@petrogustavo</v>
      </c>
      <c r="C11301" s="5" t="s">
        <v>16</v>
      </c>
      <c r="D11301" s="5" t="s">
        <v>10877</v>
      </c>
      <c r="E11301" s="6" t="str">
        <f>HYPERLINK("https://twitter.com/petrogustavo/status/1321078119009234944","1321078119009234944")</f>
        <v>1321078119009234944</v>
      </c>
      <c r="F11301" s="7" t="s">
        <v>32</v>
      </c>
      <c r="G11301" s="7">
        <v>3997086</v>
      </c>
      <c r="H11301" s="7">
        <v>2455</v>
      </c>
      <c r="I11301" s="7">
        <v>33</v>
      </c>
      <c r="J11301" s="7">
        <v>59</v>
      </c>
      <c r="K11301" s="7" t="s">
        <v>18</v>
      </c>
      <c r="L11301" s="8">
        <v>39987.315405092595</v>
      </c>
      <c r="M11301" s="9" t="s">
        <v>19</v>
      </c>
      <c r="N11301" s="9" t="s">
        <v>20</v>
      </c>
      <c r="O11301" s="6" t="str">
        <f>HYPERLINK("https://pbs.twimg.com/profile_images/962471262747529216/Uo8lOkRJ_normal.jpg","View")</f>
        <v>View</v>
      </c>
      <c r="P11301" s="7"/>
    </row>
    <row r="11302" spans="1:16">
      <c r="A11302" s="3">
        <v>44131.79210648148</v>
      </c>
      <c r="B11302" s="4" t="str">
        <f>HYPERLINK("https://twitter.com/petrogustavo","@petrogustavo")</f>
        <v>@petrogustavo</v>
      </c>
      <c r="C11302" s="5" t="s">
        <v>16</v>
      </c>
      <c r="D11302" s="5" t="s">
        <v>10878</v>
      </c>
      <c r="E11302" s="6" t="str">
        <f>HYPERLINK("https://twitter.com/petrogustavo/status/1321081876073906176","1321081876073906176")</f>
        <v>1321081876073906176</v>
      </c>
      <c r="F11302" s="7" t="s">
        <v>32</v>
      </c>
      <c r="G11302" s="7">
        <v>3997096</v>
      </c>
      <c r="H11302" s="7">
        <v>2455</v>
      </c>
      <c r="I11302" s="7">
        <v>99</v>
      </c>
      <c r="J11302" s="7">
        <v>351</v>
      </c>
      <c r="K11302" s="7" t="s">
        <v>18</v>
      </c>
      <c r="L11302" s="8">
        <v>39987.315405092595</v>
      </c>
      <c r="M11302" s="9" t="s">
        <v>19</v>
      </c>
      <c r="N11302" s="9" t="s">
        <v>20</v>
      </c>
      <c r="O11302" s="6" t="str">
        <f>HYPERLINK("https://pbs.twimg.com/profile_images/962471262747529216/Uo8lOkRJ_normal.jpg","View")</f>
        <v>View</v>
      </c>
      <c r="P11302" s="7"/>
    </row>
    <row r="11303" spans="1:16">
      <c r="A11303" s="3">
        <v>44131.802523148144</v>
      </c>
      <c r="B11303" s="4" t="str">
        <f>HYPERLINK("https://twitter.com/petrogustavo","@petrogustavo")</f>
        <v>@petrogustavo</v>
      </c>
      <c r="C11303" s="5" t="s">
        <v>16</v>
      </c>
      <c r="D11303" s="5" t="s">
        <v>10879</v>
      </c>
      <c r="E11303" s="6" t="str">
        <f>HYPERLINK("https://twitter.com/petrogustavo/status/1321085651413045260","1321085651413045260")</f>
        <v>1321085651413045260</v>
      </c>
      <c r="F11303" s="7" t="s">
        <v>17</v>
      </c>
      <c r="G11303" s="7">
        <v>3997096</v>
      </c>
      <c r="H11303" s="7">
        <v>2455</v>
      </c>
      <c r="I11303" s="7">
        <v>33</v>
      </c>
      <c r="J11303" s="7">
        <v>159</v>
      </c>
      <c r="K11303" s="7" t="s">
        <v>18</v>
      </c>
      <c r="L11303" s="8">
        <v>39987.315405092595</v>
      </c>
      <c r="M11303" s="9" t="s">
        <v>19</v>
      </c>
      <c r="N11303" s="9" t="s">
        <v>20</v>
      </c>
      <c r="O11303" s="6" t="str">
        <f>HYPERLINK("https://pbs.twimg.com/profile_images/962471262747529216/Uo8lOkRJ_normal.jpg","View")</f>
        <v>View</v>
      </c>
      <c r="P11303" s="7"/>
    </row>
    <row r="11304" spans="1:16">
      <c r="A11304" s="3">
        <v>44131.951805555553</v>
      </c>
      <c r="B11304" s="4" t="str">
        <f>HYPERLINK("https://twitter.com/petrogustavo","@petrogustavo")</f>
        <v>@petrogustavo</v>
      </c>
      <c r="C11304" s="5" t="s">
        <v>16</v>
      </c>
      <c r="D11304" s="5" t="s">
        <v>10880</v>
      </c>
      <c r="E11304" s="6" t="str">
        <f>HYPERLINK("https://twitter.com/petrogustavo/status/1321139751265669121","1321139751265669121")</f>
        <v>1321139751265669121</v>
      </c>
      <c r="F11304" s="7" t="s">
        <v>17</v>
      </c>
      <c r="G11304" s="7">
        <v>3997216</v>
      </c>
      <c r="H11304" s="7">
        <v>2455</v>
      </c>
      <c r="I11304" s="7">
        <v>71</v>
      </c>
      <c r="J11304" s="7">
        <v>0</v>
      </c>
      <c r="K11304" s="7" t="s">
        <v>18</v>
      </c>
      <c r="L11304" s="8">
        <v>39987.315405092595</v>
      </c>
      <c r="M11304" s="9" t="s">
        <v>19</v>
      </c>
      <c r="N11304" s="9" t="s">
        <v>20</v>
      </c>
      <c r="O11304" s="6" t="str">
        <f>HYPERLINK("https://pbs.twimg.com/profile_images/962471262747529216/Uo8lOkRJ_normal.jpg","View")</f>
        <v>View</v>
      </c>
      <c r="P11304" s="7"/>
    </row>
    <row r="11305" spans="1:16">
      <c r="A11305" s="3">
        <v>44131.980763888889</v>
      </c>
      <c r="B11305" s="4" t="str">
        <f>HYPERLINK("https://twitter.com/petrogustavo","@petrogustavo")</f>
        <v>@petrogustavo</v>
      </c>
      <c r="C11305" s="5" t="s">
        <v>16</v>
      </c>
      <c r="D11305" s="5" t="s">
        <v>10881</v>
      </c>
      <c r="E11305" s="6" t="str">
        <f>HYPERLINK("https://twitter.com/petrogustavo/status/1321150243342307328","1321150243342307328")</f>
        <v>1321150243342307328</v>
      </c>
      <c r="F11305" s="7" t="s">
        <v>17</v>
      </c>
      <c r="G11305" s="7">
        <v>3997236</v>
      </c>
      <c r="H11305" s="7">
        <v>2455</v>
      </c>
      <c r="I11305" s="7">
        <v>113</v>
      </c>
      <c r="J11305" s="7">
        <v>0</v>
      </c>
      <c r="K11305" s="7" t="s">
        <v>18</v>
      </c>
      <c r="L11305" s="8">
        <v>39987.315405092595</v>
      </c>
      <c r="M11305" s="9" t="s">
        <v>19</v>
      </c>
      <c r="N11305" s="9" t="s">
        <v>20</v>
      </c>
      <c r="O11305" s="6" t="str">
        <f>HYPERLINK("https://pbs.twimg.com/profile_images/962471262747529216/Uo8lOkRJ_normal.jpg","View")</f>
        <v>View</v>
      </c>
      <c r="P11305" s="7"/>
    </row>
    <row r="11306" spans="1:16">
      <c r="A11306" s="3">
        <v>44132.120995370366</v>
      </c>
      <c r="B11306" s="4" t="str">
        <f>HYPERLINK("https://twitter.com/petrogustavo","@petrogustavo")</f>
        <v>@petrogustavo</v>
      </c>
      <c r="C11306" s="5" t="s">
        <v>16</v>
      </c>
      <c r="D11306" s="5" t="s">
        <v>10882</v>
      </c>
      <c r="E11306" s="6" t="str">
        <f>HYPERLINK("https://twitter.com/petrogustavo/status/1321201060489342982","1321201060489342982")</f>
        <v>1321201060489342982</v>
      </c>
      <c r="F11306" s="7" t="s">
        <v>17</v>
      </c>
      <c r="G11306" s="7">
        <v>3997341</v>
      </c>
      <c r="H11306" s="7">
        <v>2455</v>
      </c>
      <c r="I11306" s="7">
        <v>2123</v>
      </c>
      <c r="J11306" s="7">
        <v>0</v>
      </c>
      <c r="K11306" s="7" t="s">
        <v>18</v>
      </c>
      <c r="L11306" s="8">
        <v>39987.315405092595</v>
      </c>
      <c r="M11306" s="9" t="s">
        <v>19</v>
      </c>
      <c r="N11306" s="9" t="s">
        <v>20</v>
      </c>
      <c r="O11306" s="6" t="str">
        <f>HYPERLINK("https://pbs.twimg.com/profile_images/962471262747529216/Uo8lOkRJ_normal.jpg","View")</f>
        <v>View</v>
      </c>
      <c r="P11306" s="7"/>
    </row>
    <row r="11307" spans="1:16">
      <c r="A11307" s="3">
        <v>44132.17386574074</v>
      </c>
      <c r="B11307" s="4" t="str">
        <f>HYPERLINK("https://twitter.com/petrogustavo","@petrogustavo")</f>
        <v>@petrogustavo</v>
      </c>
      <c r="C11307" s="5" t="s">
        <v>16</v>
      </c>
      <c r="D11307" s="5" t="s">
        <v>10883</v>
      </c>
      <c r="E11307" s="6" t="str">
        <f>HYPERLINK("https://twitter.com/petrogustavo/status/1321220221374550026","1321220221374550026")</f>
        <v>1321220221374550026</v>
      </c>
      <c r="F11307" s="7" t="s">
        <v>17</v>
      </c>
      <c r="G11307" s="7">
        <v>3997364</v>
      </c>
      <c r="H11307" s="7">
        <v>2455</v>
      </c>
      <c r="I11307" s="7">
        <v>74</v>
      </c>
      <c r="J11307" s="7">
        <v>470</v>
      </c>
      <c r="K11307" s="7" t="s">
        <v>18</v>
      </c>
      <c r="L11307" s="8">
        <v>39987.315405092595</v>
      </c>
      <c r="M11307" s="9" t="s">
        <v>19</v>
      </c>
      <c r="N11307" s="9" t="s">
        <v>20</v>
      </c>
      <c r="O11307" s="6" t="str">
        <f>HYPERLINK("https://pbs.twimg.com/profile_images/962471262747529216/Uo8lOkRJ_normal.jpg","View")</f>
        <v>View</v>
      </c>
      <c r="P11307" s="7"/>
    </row>
    <row r="11308" spans="1:16">
      <c r="A11308" s="3">
        <v>44132.175532407404</v>
      </c>
      <c r="B11308" s="4" t="str">
        <f>HYPERLINK("https://twitter.com/petrogustavo","@petrogustavo")</f>
        <v>@petrogustavo</v>
      </c>
      <c r="C11308" s="5" t="s">
        <v>16</v>
      </c>
      <c r="D11308" s="5" t="s">
        <v>10884</v>
      </c>
      <c r="E11308" s="6" t="str">
        <f>HYPERLINK("https://twitter.com/petrogustavo/status/1321220826767740930","1321220826767740930")</f>
        <v>1321220826767740930</v>
      </c>
      <c r="F11308" s="7" t="s">
        <v>17</v>
      </c>
      <c r="G11308" s="7">
        <v>3997364</v>
      </c>
      <c r="H11308" s="7">
        <v>2455</v>
      </c>
      <c r="I11308" s="7">
        <v>41</v>
      </c>
      <c r="J11308" s="7">
        <v>328</v>
      </c>
      <c r="K11308" s="7" t="s">
        <v>18</v>
      </c>
      <c r="L11308" s="8">
        <v>39987.315405092595</v>
      </c>
      <c r="M11308" s="9" t="s">
        <v>19</v>
      </c>
      <c r="N11308" s="9" t="s">
        <v>20</v>
      </c>
      <c r="O11308" s="6" t="str">
        <f>HYPERLINK("https://pbs.twimg.com/profile_images/962471262747529216/Uo8lOkRJ_normal.jpg","View")</f>
        <v>View</v>
      </c>
      <c r="P11308" s="7"/>
    </row>
    <row r="11309" spans="1:16">
      <c r="A11309" s="3">
        <v>44132.183831018519</v>
      </c>
      <c r="B11309" s="4" t="str">
        <f>HYPERLINK("https://twitter.com/petrogustavo","@petrogustavo")</f>
        <v>@petrogustavo</v>
      </c>
      <c r="C11309" s="5" t="s">
        <v>16</v>
      </c>
      <c r="D11309" s="5" t="s">
        <v>10885</v>
      </c>
      <c r="E11309" s="6" t="str">
        <f>HYPERLINK("https://twitter.com/petrogustavo/status/1321223831193866242","1321223831193866242")</f>
        <v>1321223831193866242</v>
      </c>
      <c r="F11309" s="7" t="s">
        <v>17</v>
      </c>
      <c r="G11309" s="7">
        <v>3997374</v>
      </c>
      <c r="H11309" s="7">
        <v>2455</v>
      </c>
      <c r="I11309" s="7">
        <v>109</v>
      </c>
      <c r="J11309" s="7">
        <v>782</v>
      </c>
      <c r="K11309" s="7" t="s">
        <v>18</v>
      </c>
      <c r="L11309" s="8">
        <v>39987.315405092595</v>
      </c>
      <c r="M11309" s="9" t="s">
        <v>19</v>
      </c>
      <c r="N11309" s="9" t="s">
        <v>20</v>
      </c>
      <c r="O11309" s="6" t="str">
        <f>HYPERLINK("https://pbs.twimg.com/profile_images/962471262747529216/Uo8lOkRJ_normal.jpg","View")</f>
        <v>View</v>
      </c>
      <c r="P11309" s="7"/>
    </row>
    <row r="11310" spans="1:16">
      <c r="A11310" s="3">
        <v>44132.302268518513</v>
      </c>
      <c r="B11310" s="4" t="str">
        <f>HYPERLINK("https://twitter.com/petrogustavo","@petrogustavo")</f>
        <v>@petrogustavo</v>
      </c>
      <c r="C11310" s="5" t="s">
        <v>16</v>
      </c>
      <c r="D11310" s="5" t="s">
        <v>10886</v>
      </c>
      <c r="E11310" s="6" t="str">
        <f>HYPERLINK("https://twitter.com/petrogustavo/status/1321266752882434055","1321266752882434055")</f>
        <v>1321266752882434055</v>
      </c>
      <c r="F11310" s="7" t="s">
        <v>17</v>
      </c>
      <c r="G11310" s="7">
        <v>3997444</v>
      </c>
      <c r="H11310" s="7">
        <v>2455</v>
      </c>
      <c r="I11310" s="7">
        <v>59</v>
      </c>
      <c r="J11310" s="7">
        <v>0</v>
      </c>
      <c r="K11310" s="7" t="s">
        <v>18</v>
      </c>
      <c r="L11310" s="8">
        <v>39987.315405092595</v>
      </c>
      <c r="M11310" s="9" t="s">
        <v>19</v>
      </c>
      <c r="N11310" s="9" t="s">
        <v>20</v>
      </c>
      <c r="O11310" s="6" t="str">
        <f>HYPERLINK("https://pbs.twimg.com/profile_images/962471262747529216/Uo8lOkRJ_normal.jpg","View")</f>
        <v>View</v>
      </c>
      <c r="P11310" s="7"/>
    </row>
    <row r="11311" spans="1:16">
      <c r="A11311" s="3">
        <v>44132.3046875</v>
      </c>
      <c r="B11311" s="4" t="str">
        <f>HYPERLINK("https://twitter.com/petrogustavo","@petrogustavo")</f>
        <v>@petrogustavo</v>
      </c>
      <c r="C11311" s="5" t="s">
        <v>16</v>
      </c>
      <c r="D11311" s="5" t="s">
        <v>10887</v>
      </c>
      <c r="E11311" s="6" t="str">
        <f>HYPERLINK("https://twitter.com/petrogustavo/status/1321267630095912962","1321267630095912962")</f>
        <v>1321267630095912962</v>
      </c>
      <c r="F11311" s="7" t="s">
        <v>17</v>
      </c>
      <c r="G11311" s="7">
        <v>3997444</v>
      </c>
      <c r="H11311" s="7">
        <v>2456</v>
      </c>
      <c r="I11311" s="7">
        <v>159</v>
      </c>
      <c r="J11311" s="7">
        <v>495</v>
      </c>
      <c r="K11311" s="7" t="s">
        <v>18</v>
      </c>
      <c r="L11311" s="8">
        <v>39987.315405092595</v>
      </c>
      <c r="M11311" s="9" t="s">
        <v>19</v>
      </c>
      <c r="N11311" s="9" t="s">
        <v>20</v>
      </c>
      <c r="O11311" s="6" t="str">
        <f>HYPERLINK("https://pbs.twimg.com/profile_images/962471262747529216/Uo8lOkRJ_normal.jpg","View")</f>
        <v>View</v>
      </c>
      <c r="P11311" s="7"/>
    </row>
    <row r="11312" spans="1:16">
      <c r="A11312" s="3">
        <v>44132.309872685189</v>
      </c>
      <c r="B11312" s="4" t="str">
        <f>HYPERLINK("https://twitter.com/petrogustavo","@petrogustavo")</f>
        <v>@petrogustavo</v>
      </c>
      <c r="C11312" s="5" t="s">
        <v>16</v>
      </c>
      <c r="D11312" s="5" t="s">
        <v>10888</v>
      </c>
      <c r="E11312" s="6" t="str">
        <f>HYPERLINK("https://twitter.com/petrogustavo/status/1321269509567762433","1321269509567762433")</f>
        <v>1321269509567762433</v>
      </c>
      <c r="F11312" s="7" t="s">
        <v>17</v>
      </c>
      <c r="G11312" s="7">
        <v>3997444</v>
      </c>
      <c r="H11312" s="7">
        <v>2456</v>
      </c>
      <c r="I11312" s="7">
        <v>14</v>
      </c>
      <c r="J11312" s="7">
        <v>0</v>
      </c>
      <c r="K11312" s="7" t="s">
        <v>18</v>
      </c>
      <c r="L11312" s="8">
        <v>39987.315405092595</v>
      </c>
      <c r="M11312" s="9" t="s">
        <v>19</v>
      </c>
      <c r="N11312" s="9" t="s">
        <v>20</v>
      </c>
      <c r="O11312" s="6" t="str">
        <f>HYPERLINK("https://pbs.twimg.com/profile_images/962471262747529216/Uo8lOkRJ_normal.jpg","View")</f>
        <v>View</v>
      </c>
      <c r="P11312" s="7"/>
    </row>
    <row r="11313" spans="1:16">
      <c r="A11313" s="3">
        <v>44132.359513888892</v>
      </c>
      <c r="B11313" s="4" t="str">
        <f>HYPERLINK("https://twitter.com/petrogustavo","@petrogustavo")</f>
        <v>@petrogustavo</v>
      </c>
      <c r="C11313" s="5" t="s">
        <v>16</v>
      </c>
      <c r="D11313" s="5" t="s">
        <v>10889</v>
      </c>
      <c r="E11313" s="6" t="str">
        <f>HYPERLINK("https://twitter.com/petrogustavo/status/1321287497775783936","1321287497775783936")</f>
        <v>1321287497775783936</v>
      </c>
      <c r="F11313" s="7" t="s">
        <v>17</v>
      </c>
      <c r="G11313" s="7">
        <v>3997479</v>
      </c>
      <c r="H11313" s="7">
        <v>2456</v>
      </c>
      <c r="I11313" s="7">
        <v>86</v>
      </c>
      <c r="J11313" s="7">
        <v>397</v>
      </c>
      <c r="K11313" s="7" t="s">
        <v>18</v>
      </c>
      <c r="L11313" s="8">
        <v>39987.315405092595</v>
      </c>
      <c r="M11313" s="9" t="s">
        <v>19</v>
      </c>
      <c r="N11313" s="9" t="s">
        <v>20</v>
      </c>
      <c r="O11313" s="6" t="str">
        <f>HYPERLINK("https://pbs.twimg.com/profile_images/962471262747529216/Uo8lOkRJ_normal.jpg","View")</f>
        <v>View</v>
      </c>
      <c r="P11313" s="7"/>
    </row>
    <row r="11314" spans="1:16">
      <c r="A11314" s="3">
        <v>44132.36072916667</v>
      </c>
      <c r="B11314" s="4" t="str">
        <f>HYPERLINK("https://twitter.com/petrogustavo","@petrogustavo")</f>
        <v>@petrogustavo</v>
      </c>
      <c r="C11314" s="5" t="s">
        <v>16</v>
      </c>
      <c r="D11314" s="5" t="s">
        <v>10890</v>
      </c>
      <c r="E11314" s="6" t="str">
        <f>HYPERLINK("https://twitter.com/petrogustavo/status/1321287939905773568","1321287939905773568")</f>
        <v>1321287939905773568</v>
      </c>
      <c r="F11314" s="7" t="s">
        <v>17</v>
      </c>
      <c r="G11314" s="7">
        <v>3997479</v>
      </c>
      <c r="H11314" s="7">
        <v>2456</v>
      </c>
      <c r="I11314" s="7">
        <v>3</v>
      </c>
      <c r="J11314" s="7">
        <v>0</v>
      </c>
      <c r="K11314" s="7" t="s">
        <v>18</v>
      </c>
      <c r="L11314" s="8">
        <v>39987.315405092595</v>
      </c>
      <c r="M11314" s="9" t="s">
        <v>19</v>
      </c>
      <c r="N11314" s="9" t="s">
        <v>20</v>
      </c>
      <c r="O11314" s="6" t="str">
        <f>HYPERLINK("https://pbs.twimg.com/profile_images/962471262747529216/Uo8lOkRJ_normal.jpg","View")</f>
        <v>View</v>
      </c>
      <c r="P11314" s="7"/>
    </row>
    <row r="11315" spans="1:16">
      <c r="A11315" s="3">
        <v>44132.382569444446</v>
      </c>
      <c r="B11315" s="4" t="str">
        <f>HYPERLINK("https://twitter.com/petrogustavo","@petrogustavo")</f>
        <v>@petrogustavo</v>
      </c>
      <c r="C11315" s="5" t="s">
        <v>16</v>
      </c>
      <c r="D11315" s="5" t="s">
        <v>10891</v>
      </c>
      <c r="E11315" s="6" t="str">
        <f>HYPERLINK("https://twitter.com/petrogustavo/status/1321295851281678344","1321295851281678344")</f>
        <v>1321295851281678344</v>
      </c>
      <c r="F11315" s="7" t="s">
        <v>17</v>
      </c>
      <c r="G11315" s="7">
        <v>3997486</v>
      </c>
      <c r="H11315" s="7">
        <v>2455</v>
      </c>
      <c r="I11315" s="7">
        <v>3830</v>
      </c>
      <c r="J11315" s="7">
        <v>0</v>
      </c>
      <c r="K11315" s="7" t="s">
        <v>18</v>
      </c>
      <c r="L11315" s="8">
        <v>39987.315405092595</v>
      </c>
      <c r="M11315" s="9" t="s">
        <v>19</v>
      </c>
      <c r="N11315" s="9" t="s">
        <v>20</v>
      </c>
      <c r="O11315" s="6" t="str">
        <f>HYPERLINK("https://pbs.twimg.com/profile_images/962471262747529216/Uo8lOkRJ_normal.jpg","View")</f>
        <v>View</v>
      </c>
      <c r="P11315" s="7"/>
    </row>
    <row r="11316" spans="1:16">
      <c r="A11316" s="3">
        <v>44132.384351851855</v>
      </c>
      <c r="B11316" s="4" t="str">
        <f>HYPERLINK("https://twitter.com/petrogustavo","@petrogustavo")</f>
        <v>@petrogustavo</v>
      </c>
      <c r="C11316" s="5" t="s">
        <v>16</v>
      </c>
      <c r="D11316" s="5" t="s">
        <v>10892</v>
      </c>
      <c r="E11316" s="6" t="str">
        <f>HYPERLINK("https://twitter.com/petrogustavo/status/1321296497086992387","1321296497086992387")</f>
        <v>1321296497086992387</v>
      </c>
      <c r="F11316" s="7" t="s">
        <v>17</v>
      </c>
      <c r="G11316" s="7">
        <v>3997486</v>
      </c>
      <c r="H11316" s="7">
        <v>2455</v>
      </c>
      <c r="I11316" s="7">
        <v>744</v>
      </c>
      <c r="J11316" s="7">
        <v>0</v>
      </c>
      <c r="K11316" s="7" t="s">
        <v>18</v>
      </c>
      <c r="L11316" s="8">
        <v>39987.315405092595</v>
      </c>
      <c r="M11316" s="9" t="s">
        <v>19</v>
      </c>
      <c r="N11316" s="9" t="s">
        <v>20</v>
      </c>
      <c r="O11316" s="6" t="str">
        <f>HYPERLINK("https://pbs.twimg.com/profile_images/962471262747529216/Uo8lOkRJ_normal.jpg","View")</f>
        <v>View</v>
      </c>
      <c r="P11316" s="7"/>
    </row>
    <row r="11317" spans="1:16">
      <c r="A11317" s="3">
        <v>44132.756631944445</v>
      </c>
      <c r="B11317" s="4" t="str">
        <f>HYPERLINK("https://twitter.com/petrogustavo","@petrogustavo")</f>
        <v>@petrogustavo</v>
      </c>
      <c r="C11317" s="5" t="s">
        <v>16</v>
      </c>
      <c r="D11317" s="5" t="s">
        <v>10893</v>
      </c>
      <c r="E11317" s="6" t="str">
        <f>HYPERLINK("https://twitter.com/petrogustavo/status/1321431409177862146","1321431409177862146")</f>
        <v>1321431409177862146</v>
      </c>
      <c r="F11317" s="7" t="s">
        <v>17</v>
      </c>
      <c r="G11317" s="7">
        <v>3997512</v>
      </c>
      <c r="H11317" s="7">
        <v>2455</v>
      </c>
      <c r="I11317" s="7">
        <v>44</v>
      </c>
      <c r="J11317" s="7">
        <v>180</v>
      </c>
      <c r="K11317" s="7" t="s">
        <v>18</v>
      </c>
      <c r="L11317" s="8">
        <v>39987.315405092595</v>
      </c>
      <c r="M11317" s="9" t="s">
        <v>19</v>
      </c>
      <c r="N11317" s="9" t="s">
        <v>20</v>
      </c>
      <c r="O11317" s="6" t="str">
        <f>HYPERLINK("https://pbs.twimg.com/profile_images/962471262747529216/Uo8lOkRJ_normal.jpg","View")</f>
        <v>View</v>
      </c>
      <c r="P11317" s="7"/>
    </row>
    <row r="11318" spans="1:16">
      <c r="A11318" s="3">
        <v>44132.757488425923</v>
      </c>
      <c r="B11318" s="4" t="str">
        <f>HYPERLINK("https://twitter.com/petrogustavo","@petrogustavo")</f>
        <v>@petrogustavo</v>
      </c>
      <c r="C11318" s="5" t="s">
        <v>16</v>
      </c>
      <c r="D11318" s="5" t="s">
        <v>10894</v>
      </c>
      <c r="E11318" s="6" t="str">
        <f>HYPERLINK("https://twitter.com/petrogustavo/status/1321431719384358912","1321431719384358912")</f>
        <v>1321431719384358912</v>
      </c>
      <c r="F11318" s="7" t="s">
        <v>17</v>
      </c>
      <c r="G11318" s="7">
        <v>3997512</v>
      </c>
      <c r="H11318" s="7">
        <v>2455</v>
      </c>
      <c r="I11318" s="7">
        <v>16</v>
      </c>
      <c r="J11318" s="7">
        <v>82</v>
      </c>
      <c r="K11318" s="7" t="s">
        <v>18</v>
      </c>
      <c r="L11318" s="8">
        <v>39987.315405092595</v>
      </c>
      <c r="M11318" s="9" t="s">
        <v>19</v>
      </c>
      <c r="N11318" s="9" t="s">
        <v>20</v>
      </c>
      <c r="O11318" s="6" t="str">
        <f>HYPERLINK("https://pbs.twimg.com/profile_images/962471262747529216/Uo8lOkRJ_normal.jpg","View")</f>
        <v>View</v>
      </c>
      <c r="P11318" s="7"/>
    </row>
    <row r="11319" spans="1:16">
      <c r="A11319" s="3">
        <v>44132.762129629627</v>
      </c>
      <c r="B11319" s="4" t="str">
        <f>HYPERLINK("https://twitter.com/petrogustavo","@petrogustavo")</f>
        <v>@petrogustavo</v>
      </c>
      <c r="C11319" s="5" t="s">
        <v>16</v>
      </c>
      <c r="D11319" s="5" t="s">
        <v>10895</v>
      </c>
      <c r="E11319" s="6" t="str">
        <f>HYPERLINK("https://twitter.com/petrogustavo/status/1321433401250009090","1321433401250009090")</f>
        <v>1321433401250009090</v>
      </c>
      <c r="F11319" s="7" t="s">
        <v>21</v>
      </c>
      <c r="G11319" s="7">
        <v>3997512</v>
      </c>
      <c r="H11319" s="7">
        <v>2455</v>
      </c>
      <c r="I11319" s="7">
        <v>2</v>
      </c>
      <c r="J11319" s="7">
        <v>21</v>
      </c>
      <c r="K11319" s="7" t="s">
        <v>18</v>
      </c>
      <c r="L11319" s="8">
        <v>39987.315405092595</v>
      </c>
      <c r="M11319" s="9" t="s">
        <v>19</v>
      </c>
      <c r="N11319" s="9" t="s">
        <v>20</v>
      </c>
      <c r="O11319" s="6" t="str">
        <f>HYPERLINK("https://pbs.twimg.com/profile_images/962471262747529216/Uo8lOkRJ_normal.jpg","View")</f>
        <v>View</v>
      </c>
      <c r="P11319" s="7"/>
    </row>
    <row r="11320" spans="1:16">
      <c r="A11320" s="3">
        <v>44132.768483796295</v>
      </c>
      <c r="B11320" s="4" t="str">
        <f>HYPERLINK("https://twitter.com/petrogustavo","@petrogustavo")</f>
        <v>@petrogustavo</v>
      </c>
      <c r="C11320" s="5" t="s">
        <v>16</v>
      </c>
      <c r="D11320" s="5" t="s">
        <v>10896</v>
      </c>
      <c r="E11320" s="6" t="str">
        <f>HYPERLINK("https://twitter.com/petrogustavo/status/1321435702593277952","1321435702593277952")</f>
        <v>1321435702593277952</v>
      </c>
      <c r="F11320" s="7" t="s">
        <v>32</v>
      </c>
      <c r="G11320" s="7">
        <v>3997517</v>
      </c>
      <c r="H11320" s="7">
        <v>2455</v>
      </c>
      <c r="I11320" s="7">
        <v>44</v>
      </c>
      <c r="J11320" s="7">
        <v>0</v>
      </c>
      <c r="K11320" s="7" t="s">
        <v>18</v>
      </c>
      <c r="L11320" s="8">
        <v>39987.315405092595</v>
      </c>
      <c r="M11320" s="9" t="s">
        <v>19</v>
      </c>
      <c r="N11320" s="9" t="s">
        <v>20</v>
      </c>
      <c r="O11320" s="6" t="str">
        <f>HYPERLINK("https://pbs.twimg.com/profile_images/962471262747529216/Uo8lOkRJ_normal.jpg","View")</f>
        <v>View</v>
      </c>
      <c r="P11320" s="7"/>
    </row>
    <row r="11321" spans="1:16">
      <c r="A11321" s="3">
        <v>44132.771874999999</v>
      </c>
      <c r="B11321" s="4" t="str">
        <f>HYPERLINK("https://twitter.com/petrogustavo","@petrogustavo")</f>
        <v>@petrogustavo</v>
      </c>
      <c r="C11321" s="5" t="s">
        <v>16</v>
      </c>
      <c r="D11321" s="5" t="s">
        <v>10897</v>
      </c>
      <c r="E11321" s="6" t="str">
        <f>HYPERLINK("https://twitter.com/petrogustavo/status/1321436930597396481","1321436930597396481")</f>
        <v>1321436930597396481</v>
      </c>
      <c r="F11321" s="7" t="s">
        <v>32</v>
      </c>
      <c r="G11321" s="7">
        <v>3997517</v>
      </c>
      <c r="H11321" s="7">
        <v>2455</v>
      </c>
      <c r="I11321" s="7">
        <v>61</v>
      </c>
      <c r="J11321" s="7">
        <v>193</v>
      </c>
      <c r="K11321" s="7" t="s">
        <v>18</v>
      </c>
      <c r="L11321" s="8">
        <v>39987.315405092595</v>
      </c>
      <c r="M11321" s="9" t="s">
        <v>19</v>
      </c>
      <c r="N11321" s="9" t="s">
        <v>20</v>
      </c>
      <c r="O11321" s="6" t="str">
        <f>HYPERLINK("https://pbs.twimg.com/profile_images/962471262747529216/Uo8lOkRJ_normal.jpg","View")</f>
        <v>View</v>
      </c>
      <c r="P11321" s="7"/>
    </row>
    <row r="11322" spans="1:16">
      <c r="A11322" s="3">
        <v>44132.773182870369</v>
      </c>
      <c r="B11322" s="4" t="str">
        <f>HYPERLINK("https://twitter.com/petrogustavo","@petrogustavo")</f>
        <v>@petrogustavo</v>
      </c>
      <c r="C11322" s="5" t="s">
        <v>16</v>
      </c>
      <c r="D11322" s="5" t="s">
        <v>10898</v>
      </c>
      <c r="E11322" s="6" t="str">
        <f>HYPERLINK("https://twitter.com/petrogustavo/status/1321437405061271553","1321437405061271553")</f>
        <v>1321437405061271553</v>
      </c>
      <c r="F11322" s="7" t="s">
        <v>17</v>
      </c>
      <c r="G11322" s="7">
        <v>3997517</v>
      </c>
      <c r="H11322" s="7">
        <v>2455</v>
      </c>
      <c r="I11322" s="7">
        <v>56</v>
      </c>
      <c r="J11322" s="7">
        <v>186</v>
      </c>
      <c r="K11322" s="7" t="s">
        <v>18</v>
      </c>
      <c r="L11322" s="8">
        <v>39987.315405092595</v>
      </c>
      <c r="M11322" s="9" t="s">
        <v>19</v>
      </c>
      <c r="N11322" s="9" t="s">
        <v>20</v>
      </c>
      <c r="O11322" s="6" t="str">
        <f>HYPERLINK("https://pbs.twimg.com/profile_images/962471262747529216/Uo8lOkRJ_normal.jpg","View")</f>
        <v>View</v>
      </c>
      <c r="P11322" s="7"/>
    </row>
    <row r="11323" spans="1:16">
      <c r="A11323" s="3">
        <v>44132.777002314819</v>
      </c>
      <c r="B11323" s="4" t="str">
        <f>HYPERLINK("https://twitter.com/petrogustavo","@petrogustavo")</f>
        <v>@petrogustavo</v>
      </c>
      <c r="C11323" s="5" t="s">
        <v>16</v>
      </c>
      <c r="D11323" s="5" t="s">
        <v>10899</v>
      </c>
      <c r="E11323" s="6" t="str">
        <f>HYPERLINK("https://twitter.com/petrogustavo/status/1321438789231759367","1321438789231759367")</f>
        <v>1321438789231759367</v>
      </c>
      <c r="F11323" s="7" t="s">
        <v>17</v>
      </c>
      <c r="G11323" s="7">
        <v>3997517</v>
      </c>
      <c r="H11323" s="7">
        <v>2455</v>
      </c>
      <c r="I11323" s="7">
        <v>15</v>
      </c>
      <c r="J11323" s="7">
        <v>0</v>
      </c>
      <c r="K11323" s="7" t="s">
        <v>18</v>
      </c>
      <c r="L11323" s="8">
        <v>39987.315405092595</v>
      </c>
      <c r="M11323" s="9" t="s">
        <v>19</v>
      </c>
      <c r="N11323" s="9" t="s">
        <v>20</v>
      </c>
      <c r="O11323" s="6" t="str">
        <f>HYPERLINK("https://pbs.twimg.com/profile_images/962471262747529216/Uo8lOkRJ_normal.jpg","View")</f>
        <v>View</v>
      </c>
      <c r="P11323" s="7"/>
    </row>
    <row r="11324" spans="1:16">
      <c r="A11324" s="3">
        <v>44132.777442129634</v>
      </c>
      <c r="B11324" s="4" t="str">
        <f>HYPERLINK("https://twitter.com/petrogustavo","@petrogustavo")</f>
        <v>@petrogustavo</v>
      </c>
      <c r="C11324" s="5" t="s">
        <v>16</v>
      </c>
      <c r="D11324" s="5" t="s">
        <v>10900</v>
      </c>
      <c r="E11324" s="6" t="str">
        <f>HYPERLINK("https://twitter.com/petrogustavo/status/1321438949403971590","1321438949403971590")</f>
        <v>1321438949403971590</v>
      </c>
      <c r="F11324" s="7" t="s">
        <v>17</v>
      </c>
      <c r="G11324" s="7">
        <v>3997517</v>
      </c>
      <c r="H11324" s="7">
        <v>2455</v>
      </c>
      <c r="I11324" s="7">
        <v>61</v>
      </c>
      <c r="J11324" s="7">
        <v>0</v>
      </c>
      <c r="K11324" s="7" t="s">
        <v>18</v>
      </c>
      <c r="L11324" s="8">
        <v>39987.315405092595</v>
      </c>
      <c r="M11324" s="9" t="s">
        <v>19</v>
      </c>
      <c r="N11324" s="9" t="s">
        <v>20</v>
      </c>
      <c r="O11324" s="6" t="str">
        <f>HYPERLINK("https://pbs.twimg.com/profile_images/962471262747529216/Uo8lOkRJ_normal.jpg","View")</f>
        <v>View</v>
      </c>
      <c r="P11324" s="7"/>
    </row>
    <row r="11325" spans="1:16">
      <c r="A11325" s="3">
        <v>44132.779386574075</v>
      </c>
      <c r="B11325" s="4" t="str">
        <f>HYPERLINK("https://twitter.com/petrogustavo","@petrogustavo")</f>
        <v>@petrogustavo</v>
      </c>
      <c r="C11325" s="5" t="s">
        <v>16</v>
      </c>
      <c r="D11325" s="5" t="s">
        <v>10901</v>
      </c>
      <c r="E11325" s="6" t="str">
        <f>HYPERLINK("https://twitter.com/petrogustavo/status/1321439653522739201","1321439653522739201")</f>
        <v>1321439653522739201</v>
      </c>
      <c r="F11325" s="7" t="s">
        <v>17</v>
      </c>
      <c r="G11325" s="7">
        <v>3997517</v>
      </c>
      <c r="H11325" s="7">
        <v>2455</v>
      </c>
      <c r="I11325" s="7">
        <v>18</v>
      </c>
      <c r="J11325" s="7">
        <v>69</v>
      </c>
      <c r="K11325" s="7" t="s">
        <v>18</v>
      </c>
      <c r="L11325" s="8">
        <v>39987.315405092595</v>
      </c>
      <c r="M11325" s="9" t="s">
        <v>19</v>
      </c>
      <c r="N11325" s="9" t="s">
        <v>20</v>
      </c>
      <c r="O11325" s="6" t="str">
        <f>HYPERLINK("https://pbs.twimg.com/profile_images/962471262747529216/Uo8lOkRJ_normal.jpg","View")</f>
        <v>View</v>
      </c>
      <c r="P11325" s="7"/>
    </row>
    <row r="11326" spans="1:16">
      <c r="A11326" s="3">
        <v>44132.780335648145</v>
      </c>
      <c r="B11326" s="4" t="str">
        <f>HYPERLINK("https://twitter.com/petrogustavo","@petrogustavo")</f>
        <v>@petrogustavo</v>
      </c>
      <c r="C11326" s="5" t="s">
        <v>16</v>
      </c>
      <c r="D11326" s="5" t="s">
        <v>10902</v>
      </c>
      <c r="E11326" s="6" t="str">
        <f>HYPERLINK("https://twitter.com/petrogustavo/status/1321439997988347905","1321439997988347905")</f>
        <v>1321439997988347905</v>
      </c>
      <c r="F11326" s="7" t="s">
        <v>17</v>
      </c>
      <c r="G11326" s="7">
        <v>3997517</v>
      </c>
      <c r="H11326" s="7">
        <v>2455</v>
      </c>
      <c r="I11326" s="7">
        <v>79</v>
      </c>
      <c r="J11326" s="7">
        <v>0</v>
      </c>
      <c r="K11326" s="7" t="s">
        <v>18</v>
      </c>
      <c r="L11326" s="8">
        <v>39987.315405092595</v>
      </c>
      <c r="M11326" s="9" t="s">
        <v>19</v>
      </c>
      <c r="N11326" s="9" t="s">
        <v>20</v>
      </c>
      <c r="O11326" s="6" t="str">
        <f>HYPERLINK("https://pbs.twimg.com/profile_images/962471262747529216/Uo8lOkRJ_normal.jpg","View")</f>
        <v>View</v>
      </c>
      <c r="P11326" s="7"/>
    </row>
    <row r="11327" spans="1:16">
      <c r="A11327" s="3">
        <v>44132.784050925926</v>
      </c>
      <c r="B11327" s="4" t="str">
        <f>HYPERLINK("https://twitter.com/petrogustavo","@petrogustavo")</f>
        <v>@petrogustavo</v>
      </c>
      <c r="C11327" s="5" t="s">
        <v>16</v>
      </c>
      <c r="D11327" s="5" t="s">
        <v>10903</v>
      </c>
      <c r="E11327" s="6" t="str">
        <f>HYPERLINK("https://twitter.com/petrogustavo/status/1321441343160393728","1321441343160393728")</f>
        <v>1321441343160393728</v>
      </c>
      <c r="F11327" s="7" t="s">
        <v>17</v>
      </c>
      <c r="G11327" s="7">
        <v>3997505</v>
      </c>
      <c r="H11327" s="7">
        <v>2455</v>
      </c>
      <c r="I11327" s="7">
        <v>770</v>
      </c>
      <c r="J11327" s="7">
        <v>0</v>
      </c>
      <c r="K11327" s="7" t="s">
        <v>18</v>
      </c>
      <c r="L11327" s="8">
        <v>39987.315405092595</v>
      </c>
      <c r="M11327" s="9" t="s">
        <v>19</v>
      </c>
      <c r="N11327" s="9" t="s">
        <v>20</v>
      </c>
      <c r="O11327" s="6" t="str">
        <f>HYPERLINK("https://pbs.twimg.com/profile_images/962471262747529216/Uo8lOkRJ_normal.jpg","View")</f>
        <v>View</v>
      </c>
      <c r="P11327" s="7"/>
    </row>
    <row r="11328" spans="1:16">
      <c r="A11328" s="3">
        <v>44132.784155092595</v>
      </c>
      <c r="B11328" s="4" t="str">
        <f>HYPERLINK("https://twitter.com/petrogustavo","@petrogustavo")</f>
        <v>@petrogustavo</v>
      </c>
      <c r="C11328" s="5" t="s">
        <v>16</v>
      </c>
      <c r="D11328" s="5" t="s">
        <v>10902</v>
      </c>
      <c r="E11328" s="6" t="str">
        <f>HYPERLINK("https://twitter.com/petrogustavo/status/1321441381836066817","1321441381836066817")</f>
        <v>1321441381836066817</v>
      </c>
      <c r="F11328" s="7" t="s">
        <v>17</v>
      </c>
      <c r="G11328" s="7">
        <v>3997505</v>
      </c>
      <c r="H11328" s="7">
        <v>2455</v>
      </c>
      <c r="I11328" s="7">
        <v>121</v>
      </c>
      <c r="J11328" s="7">
        <v>0</v>
      </c>
      <c r="K11328" s="7" t="s">
        <v>18</v>
      </c>
      <c r="L11328" s="8">
        <v>39987.315405092595</v>
      </c>
      <c r="M11328" s="9" t="s">
        <v>19</v>
      </c>
      <c r="N11328" s="9" t="s">
        <v>20</v>
      </c>
      <c r="O11328" s="6" t="str">
        <f>HYPERLINK("https://pbs.twimg.com/profile_images/962471262747529216/Uo8lOkRJ_normal.jpg","View")</f>
        <v>View</v>
      </c>
      <c r="P11328" s="7"/>
    </row>
    <row r="11329" spans="1:16">
      <c r="A11329" s="3">
        <v>44132.817048611112</v>
      </c>
      <c r="B11329" s="4" t="str">
        <f>HYPERLINK("https://twitter.com/petrogustavo","@petrogustavo")</f>
        <v>@petrogustavo</v>
      </c>
      <c r="C11329" s="5" t="s">
        <v>16</v>
      </c>
      <c r="D11329" s="5" t="s">
        <v>10904</v>
      </c>
      <c r="E11329" s="6" t="str">
        <f>HYPERLINK("https://twitter.com/petrogustavo/status/1321453302064816128","1321453302064816128")</f>
        <v>1321453302064816128</v>
      </c>
      <c r="F11329" s="7" t="s">
        <v>17</v>
      </c>
      <c r="G11329" s="7">
        <v>3997523</v>
      </c>
      <c r="H11329" s="7">
        <v>2455</v>
      </c>
      <c r="I11329" s="7">
        <v>59</v>
      </c>
      <c r="J11329" s="7">
        <v>0</v>
      </c>
      <c r="K11329" s="7" t="s">
        <v>18</v>
      </c>
      <c r="L11329" s="8">
        <v>39987.315405092595</v>
      </c>
      <c r="M11329" s="9" t="s">
        <v>19</v>
      </c>
      <c r="N11329" s="9" t="s">
        <v>20</v>
      </c>
      <c r="O11329" s="6" t="str">
        <f>HYPERLINK("https://pbs.twimg.com/profile_images/962471262747529216/Uo8lOkRJ_normal.jpg","View")</f>
        <v>View</v>
      </c>
      <c r="P11329" s="7"/>
    </row>
    <row r="11330" spans="1:16">
      <c r="A11330" s="3">
        <v>44132.824791666666</v>
      </c>
      <c r="B11330" s="4" t="str">
        <f>HYPERLINK("https://twitter.com/petrogustavo","@petrogustavo")</f>
        <v>@petrogustavo</v>
      </c>
      <c r="C11330" s="5" t="s">
        <v>16</v>
      </c>
      <c r="D11330" s="5" t="s">
        <v>10905</v>
      </c>
      <c r="E11330" s="6" t="str">
        <f>HYPERLINK("https://twitter.com/petrogustavo/status/1321456107257319430","1321456107257319430")</f>
        <v>1321456107257319430</v>
      </c>
      <c r="F11330" s="7" t="s">
        <v>17</v>
      </c>
      <c r="G11330" s="7">
        <v>3997523</v>
      </c>
      <c r="H11330" s="7">
        <v>2455</v>
      </c>
      <c r="I11330" s="7">
        <v>2</v>
      </c>
      <c r="J11330" s="7">
        <v>4</v>
      </c>
      <c r="K11330" s="7" t="s">
        <v>18</v>
      </c>
      <c r="L11330" s="8">
        <v>39987.315405092595</v>
      </c>
      <c r="M11330" s="9" t="s">
        <v>19</v>
      </c>
      <c r="N11330" s="9" t="s">
        <v>20</v>
      </c>
      <c r="O11330" s="6" t="str">
        <f>HYPERLINK("https://pbs.twimg.com/profile_images/962471262747529216/Uo8lOkRJ_normal.jpg","View")</f>
        <v>View</v>
      </c>
      <c r="P11330" s="7"/>
    </row>
    <row r="11331" spans="1:16">
      <c r="A11331" s="3">
        <v>44132.825972222221</v>
      </c>
      <c r="B11331" s="4" t="str">
        <f>HYPERLINK("https://twitter.com/petrogustavo","@petrogustavo")</f>
        <v>@petrogustavo</v>
      </c>
      <c r="C11331" s="5" t="s">
        <v>16</v>
      </c>
      <c r="D11331" s="5" t="s">
        <v>10906</v>
      </c>
      <c r="E11331" s="6" t="str">
        <f>HYPERLINK("https://twitter.com/petrogustavo/status/1321456538419122177","1321456538419122177")</f>
        <v>1321456538419122177</v>
      </c>
      <c r="F11331" s="7" t="s">
        <v>17</v>
      </c>
      <c r="G11331" s="7">
        <v>3997532</v>
      </c>
      <c r="H11331" s="7">
        <v>2455</v>
      </c>
      <c r="I11331" s="7">
        <v>93</v>
      </c>
      <c r="J11331" s="7">
        <v>0</v>
      </c>
      <c r="K11331" s="7" t="s">
        <v>18</v>
      </c>
      <c r="L11331" s="8">
        <v>39987.315405092595</v>
      </c>
      <c r="M11331" s="9" t="s">
        <v>19</v>
      </c>
      <c r="N11331" s="9" t="s">
        <v>20</v>
      </c>
      <c r="O11331" s="6" t="str">
        <f>HYPERLINK("https://pbs.twimg.com/profile_images/962471262747529216/Uo8lOkRJ_normal.jpg","View")</f>
        <v>View</v>
      </c>
      <c r="P11331" s="7"/>
    </row>
    <row r="11332" spans="1:16">
      <c r="A11332" s="3">
        <v>44132.832870370374</v>
      </c>
      <c r="B11332" s="4" t="str">
        <f>HYPERLINK("https://twitter.com/petrogustavo","@petrogustavo")</f>
        <v>@petrogustavo</v>
      </c>
      <c r="C11332" s="5" t="s">
        <v>16</v>
      </c>
      <c r="D11332" s="5" t="s">
        <v>10907</v>
      </c>
      <c r="E11332" s="6" t="str">
        <f>HYPERLINK("https://twitter.com/petrogustavo/status/1321459036852785156","1321459036852785156")</f>
        <v>1321459036852785156</v>
      </c>
      <c r="F11332" s="7" t="s">
        <v>17</v>
      </c>
      <c r="G11332" s="7">
        <v>3997532</v>
      </c>
      <c r="H11332" s="7">
        <v>2455</v>
      </c>
      <c r="I11332" s="7">
        <v>51</v>
      </c>
      <c r="J11332" s="7">
        <v>143</v>
      </c>
      <c r="K11332" s="7" t="s">
        <v>18</v>
      </c>
      <c r="L11332" s="8">
        <v>39987.315405092595</v>
      </c>
      <c r="M11332" s="9" t="s">
        <v>19</v>
      </c>
      <c r="N11332" s="9" t="s">
        <v>20</v>
      </c>
      <c r="O11332" s="6" t="str">
        <f>HYPERLINK("https://pbs.twimg.com/profile_images/962471262747529216/Uo8lOkRJ_normal.jpg","View")</f>
        <v>View</v>
      </c>
      <c r="P11332" s="7"/>
    </row>
    <row r="11333" spans="1:16">
      <c r="A11333" s="3">
        <v>44132.841770833329</v>
      </c>
      <c r="B11333" s="4" t="str">
        <f>HYPERLINK("https://twitter.com/petrogustavo","@petrogustavo")</f>
        <v>@petrogustavo</v>
      </c>
      <c r="C11333" s="5" t="s">
        <v>16</v>
      </c>
      <c r="D11333" s="5" t="s">
        <v>10908</v>
      </c>
      <c r="E11333" s="6" t="str">
        <f>HYPERLINK("https://twitter.com/petrogustavo/status/1321462263933526018","1321462263933526018")</f>
        <v>1321462263933526018</v>
      </c>
      <c r="F11333" s="7" t="s">
        <v>17</v>
      </c>
      <c r="G11333" s="7">
        <v>3997532</v>
      </c>
      <c r="H11333" s="7">
        <v>2455</v>
      </c>
      <c r="I11333" s="7">
        <v>55</v>
      </c>
      <c r="J11333" s="7">
        <v>200</v>
      </c>
      <c r="K11333" s="7" t="s">
        <v>18</v>
      </c>
      <c r="L11333" s="8">
        <v>39987.315405092595</v>
      </c>
      <c r="M11333" s="9" t="s">
        <v>19</v>
      </c>
      <c r="N11333" s="9" t="s">
        <v>20</v>
      </c>
      <c r="O11333" s="6" t="str">
        <f>HYPERLINK("https://pbs.twimg.com/profile_images/962471262747529216/Uo8lOkRJ_normal.jpg","View")</f>
        <v>View</v>
      </c>
      <c r="P11333" s="7"/>
    </row>
    <row r="11334" spans="1:16">
      <c r="A11334" s="3">
        <v>44132.845694444448</v>
      </c>
      <c r="B11334" s="4" t="str">
        <f>HYPERLINK("https://twitter.com/petrogustavo","@petrogustavo")</f>
        <v>@petrogustavo</v>
      </c>
      <c r="C11334" s="5" t="s">
        <v>16</v>
      </c>
      <c r="D11334" s="5" t="s">
        <v>10909</v>
      </c>
      <c r="E11334" s="6" t="str">
        <f>HYPERLINK("https://twitter.com/petrogustavo/status/1321463683663515648","1321463683663515648")</f>
        <v>1321463683663515648</v>
      </c>
      <c r="F11334" s="7" t="s">
        <v>17</v>
      </c>
      <c r="G11334" s="7">
        <v>3997532</v>
      </c>
      <c r="H11334" s="7">
        <v>2455</v>
      </c>
      <c r="I11334" s="7">
        <v>0</v>
      </c>
      <c r="J11334" s="7">
        <v>2</v>
      </c>
      <c r="K11334" s="7" t="s">
        <v>18</v>
      </c>
      <c r="L11334" s="8">
        <v>39987.315405092595</v>
      </c>
      <c r="M11334" s="9" t="s">
        <v>19</v>
      </c>
      <c r="N11334" s="9" t="s">
        <v>20</v>
      </c>
      <c r="O11334" s="6" t="str">
        <f>HYPERLINK("https://pbs.twimg.com/profile_images/962471262747529216/Uo8lOkRJ_normal.jpg","View")</f>
        <v>View</v>
      </c>
      <c r="P11334" s="7"/>
    </row>
    <row r="11335" spans="1:16">
      <c r="A11335" s="3">
        <v>44132.84747685185</v>
      </c>
      <c r="B11335" s="4" t="str">
        <f>HYPERLINK("https://twitter.com/petrogustavo","@petrogustavo")</f>
        <v>@petrogustavo</v>
      </c>
      <c r="C11335" s="5" t="s">
        <v>16</v>
      </c>
      <c r="D11335" s="5" t="s">
        <v>10910</v>
      </c>
      <c r="E11335" s="6" t="str">
        <f>HYPERLINK("https://twitter.com/petrogustavo/status/1321464329527566337","1321464329527566337")</f>
        <v>1321464329527566337</v>
      </c>
      <c r="F11335" s="7" t="s">
        <v>17</v>
      </c>
      <c r="G11335" s="7">
        <v>3997541</v>
      </c>
      <c r="H11335" s="7">
        <v>2455</v>
      </c>
      <c r="I11335" s="7">
        <v>57</v>
      </c>
      <c r="J11335" s="7">
        <v>658</v>
      </c>
      <c r="K11335" s="7" t="s">
        <v>18</v>
      </c>
      <c r="L11335" s="8">
        <v>39987.315405092595</v>
      </c>
      <c r="M11335" s="9" t="s">
        <v>19</v>
      </c>
      <c r="N11335" s="9" t="s">
        <v>20</v>
      </c>
      <c r="O11335" s="6" t="str">
        <f>HYPERLINK("https://pbs.twimg.com/profile_images/962471262747529216/Uo8lOkRJ_normal.jpg","View")</f>
        <v>View</v>
      </c>
      <c r="P11335" s="7"/>
    </row>
    <row r="11336" spans="1:16">
      <c r="A11336" s="3">
        <v>44132.848310185189</v>
      </c>
      <c r="B11336" s="4" t="str">
        <f>HYPERLINK("https://twitter.com/petrogustavo","@petrogustavo")</f>
        <v>@petrogustavo</v>
      </c>
      <c r="C11336" s="5" t="s">
        <v>16</v>
      </c>
      <c r="D11336" s="5" t="s">
        <v>10911</v>
      </c>
      <c r="E11336" s="6" t="str">
        <f>HYPERLINK("https://twitter.com/petrogustavo/status/1321464631500529665","1321464631500529665")</f>
        <v>1321464631500529665</v>
      </c>
      <c r="F11336" s="7" t="s">
        <v>17</v>
      </c>
      <c r="G11336" s="7">
        <v>3997541</v>
      </c>
      <c r="H11336" s="7">
        <v>2455</v>
      </c>
      <c r="I11336" s="7">
        <v>28</v>
      </c>
      <c r="J11336" s="7">
        <v>0</v>
      </c>
      <c r="K11336" s="7" t="s">
        <v>18</v>
      </c>
      <c r="L11336" s="8">
        <v>39987.315405092595</v>
      </c>
      <c r="M11336" s="9" t="s">
        <v>19</v>
      </c>
      <c r="N11336" s="9" t="s">
        <v>20</v>
      </c>
      <c r="O11336" s="6" t="str">
        <f>HYPERLINK("https://pbs.twimg.com/profile_images/962471262747529216/Uo8lOkRJ_normal.jpg","View")</f>
        <v>View</v>
      </c>
      <c r="P11336" s="7"/>
    </row>
    <row r="11337" spans="1:16">
      <c r="A11337" s="3">
        <v>44132.849166666667</v>
      </c>
      <c r="B11337" s="4" t="str">
        <f>HYPERLINK("https://twitter.com/petrogustavo","@petrogustavo")</f>
        <v>@petrogustavo</v>
      </c>
      <c r="C11337" s="5" t="s">
        <v>16</v>
      </c>
      <c r="D11337" s="5" t="s">
        <v>10912</v>
      </c>
      <c r="E11337" s="6" t="str">
        <f>HYPERLINK("https://twitter.com/petrogustavo/status/1321464941686202369","1321464941686202369")</f>
        <v>1321464941686202369</v>
      </c>
      <c r="F11337" s="7" t="s">
        <v>17</v>
      </c>
      <c r="G11337" s="7">
        <v>3997541</v>
      </c>
      <c r="H11337" s="7">
        <v>2455</v>
      </c>
      <c r="I11337" s="7">
        <v>145</v>
      </c>
      <c r="J11337" s="7">
        <v>0</v>
      </c>
      <c r="K11337" s="7" t="s">
        <v>18</v>
      </c>
      <c r="L11337" s="8">
        <v>39987.315405092595</v>
      </c>
      <c r="M11337" s="9" t="s">
        <v>19</v>
      </c>
      <c r="N11337" s="9" t="s">
        <v>20</v>
      </c>
      <c r="O11337" s="6" t="str">
        <f>HYPERLINK("https://pbs.twimg.com/profile_images/962471262747529216/Uo8lOkRJ_normal.jpg","View")</f>
        <v>View</v>
      </c>
      <c r="P11337" s="7"/>
    </row>
    <row r="11338" spans="1:16">
      <c r="A11338" s="3">
        <v>44132.856805555552</v>
      </c>
      <c r="B11338" s="4" t="str">
        <f>HYPERLINK("https://twitter.com/petrogustavo","@petrogustavo")</f>
        <v>@petrogustavo</v>
      </c>
      <c r="C11338" s="5" t="s">
        <v>16</v>
      </c>
      <c r="D11338" s="5" t="s">
        <v>10913</v>
      </c>
      <c r="E11338" s="6" t="str">
        <f>HYPERLINK("https://twitter.com/petrogustavo/status/1321467709075431425","1321467709075431425")</f>
        <v>1321467709075431425</v>
      </c>
      <c r="F11338" s="7" t="s">
        <v>17</v>
      </c>
      <c r="G11338" s="7">
        <v>3997541</v>
      </c>
      <c r="H11338" s="7">
        <v>2455</v>
      </c>
      <c r="I11338" s="7">
        <v>46</v>
      </c>
      <c r="J11338" s="7">
        <v>315</v>
      </c>
      <c r="K11338" s="7" t="s">
        <v>18</v>
      </c>
      <c r="L11338" s="8">
        <v>39987.315405092595</v>
      </c>
      <c r="M11338" s="9" t="s">
        <v>19</v>
      </c>
      <c r="N11338" s="9" t="s">
        <v>20</v>
      </c>
      <c r="O11338" s="6" t="str">
        <f>HYPERLINK("https://pbs.twimg.com/profile_images/962471262747529216/Uo8lOkRJ_normal.jpg","View")</f>
        <v>View</v>
      </c>
      <c r="P11338" s="7"/>
    </row>
    <row r="11339" spans="1:16">
      <c r="A11339" s="3">
        <v>44132.940949074073</v>
      </c>
      <c r="B11339" s="4" t="str">
        <f>HYPERLINK("https://twitter.com/petrogustavo","@petrogustavo")</f>
        <v>@petrogustavo</v>
      </c>
      <c r="C11339" s="5" t="s">
        <v>16</v>
      </c>
      <c r="D11339" s="5" t="s">
        <v>10914</v>
      </c>
      <c r="E11339" s="6" t="str">
        <f>HYPERLINK("https://twitter.com/petrogustavo/status/1321498201648750595","1321498201648750595")</f>
        <v>1321498201648750595</v>
      </c>
      <c r="F11339" s="7" t="s">
        <v>17</v>
      </c>
      <c r="G11339" s="7">
        <v>3997614</v>
      </c>
      <c r="H11339" s="7">
        <v>2456</v>
      </c>
      <c r="I11339" s="7">
        <v>38</v>
      </c>
      <c r="J11339" s="7">
        <v>109</v>
      </c>
      <c r="K11339" s="7" t="s">
        <v>18</v>
      </c>
      <c r="L11339" s="8">
        <v>39987.315405092595</v>
      </c>
      <c r="M11339" s="9" t="s">
        <v>19</v>
      </c>
      <c r="N11339" s="9" t="s">
        <v>20</v>
      </c>
      <c r="O11339" s="6" t="str">
        <f>HYPERLINK("https://pbs.twimg.com/profile_images/962471262747529216/Uo8lOkRJ_normal.jpg","View")</f>
        <v>View</v>
      </c>
      <c r="P11339" s="7"/>
    </row>
    <row r="11340" spans="1:16">
      <c r="A11340" s="3">
        <v>44132.943923611107</v>
      </c>
      <c r="B11340" s="4" t="str">
        <f>HYPERLINK("https://twitter.com/petrogustavo","@petrogustavo")</f>
        <v>@petrogustavo</v>
      </c>
      <c r="C11340" s="5" t="s">
        <v>16</v>
      </c>
      <c r="D11340" s="5" t="s">
        <v>10915</v>
      </c>
      <c r="E11340" s="6" t="str">
        <f>HYPERLINK("https://twitter.com/petrogustavo/status/1321499281589719041","1321499281589719041")</f>
        <v>1321499281589719041</v>
      </c>
      <c r="F11340" s="7" t="s">
        <v>17</v>
      </c>
      <c r="G11340" s="7">
        <v>3997614</v>
      </c>
      <c r="H11340" s="7">
        <v>2456</v>
      </c>
      <c r="I11340" s="7">
        <v>97</v>
      </c>
      <c r="J11340" s="7">
        <v>0</v>
      </c>
      <c r="K11340" s="7" t="s">
        <v>18</v>
      </c>
      <c r="L11340" s="8">
        <v>39987.315405092595</v>
      </c>
      <c r="M11340" s="9" t="s">
        <v>19</v>
      </c>
      <c r="N11340" s="9" t="s">
        <v>20</v>
      </c>
      <c r="O11340" s="6" t="str">
        <f>HYPERLINK("https://pbs.twimg.com/profile_images/962471262747529216/Uo8lOkRJ_normal.jpg","View")</f>
        <v>View</v>
      </c>
      <c r="P11340" s="7"/>
    </row>
    <row r="11341" spans="1:16">
      <c r="A11341" s="3">
        <v>44133.214722222227</v>
      </c>
      <c r="B11341" s="4" t="str">
        <f>HYPERLINK("https://twitter.com/petrogustavo","@petrogustavo")</f>
        <v>@petrogustavo</v>
      </c>
      <c r="C11341" s="5" t="s">
        <v>16</v>
      </c>
      <c r="D11341" s="5" t="s">
        <v>10916</v>
      </c>
      <c r="E11341" s="6" t="str">
        <f>HYPERLINK("https://twitter.com/petrogustavo/status/1321597416265732102","1321597416265732102")</f>
        <v>1321597416265732102</v>
      </c>
      <c r="F11341" s="7" t="s">
        <v>17</v>
      </c>
      <c r="G11341" s="7">
        <v>3997821</v>
      </c>
      <c r="H11341" s="7">
        <v>2456</v>
      </c>
      <c r="I11341" s="7">
        <v>48</v>
      </c>
      <c r="J11341" s="7">
        <v>296</v>
      </c>
      <c r="K11341" s="7" t="s">
        <v>18</v>
      </c>
      <c r="L11341" s="8">
        <v>39987.315405092595</v>
      </c>
      <c r="M11341" s="9" t="s">
        <v>19</v>
      </c>
      <c r="N11341" s="9" t="s">
        <v>20</v>
      </c>
      <c r="O11341" s="6" t="str">
        <f>HYPERLINK("https://pbs.twimg.com/profile_images/962471262747529216/Uo8lOkRJ_normal.jpg","View")</f>
        <v>View</v>
      </c>
      <c r="P11341" s="7"/>
    </row>
    <row r="11342" spans="1:16">
      <c r="A11342" s="3">
        <v>44133.216724537036</v>
      </c>
      <c r="B11342" s="4" t="str">
        <f>HYPERLINK("https://twitter.com/petrogustavo","@petrogustavo")</f>
        <v>@petrogustavo</v>
      </c>
      <c r="C11342" s="5" t="s">
        <v>16</v>
      </c>
      <c r="D11342" s="5" t="s">
        <v>10917</v>
      </c>
      <c r="E11342" s="6" t="str">
        <f>HYPERLINK("https://twitter.com/petrogustavo/status/1321598138617049088","1321598138617049088")</f>
        <v>1321598138617049088</v>
      </c>
      <c r="F11342" s="7" t="s">
        <v>17</v>
      </c>
      <c r="G11342" s="7">
        <v>3997821</v>
      </c>
      <c r="H11342" s="7">
        <v>2456</v>
      </c>
      <c r="I11342" s="7">
        <v>26</v>
      </c>
      <c r="J11342" s="7">
        <v>79</v>
      </c>
      <c r="K11342" s="7" t="s">
        <v>18</v>
      </c>
      <c r="L11342" s="8">
        <v>39987.315405092595</v>
      </c>
      <c r="M11342" s="9" t="s">
        <v>19</v>
      </c>
      <c r="N11342" s="9" t="s">
        <v>20</v>
      </c>
      <c r="O11342" s="6" t="str">
        <f>HYPERLINK("https://pbs.twimg.com/profile_images/962471262747529216/Uo8lOkRJ_normal.jpg","View")</f>
        <v>View</v>
      </c>
      <c r="P11342" s="7"/>
    </row>
    <row r="11343" spans="1:16">
      <c r="A11343" s="3">
        <v>44133.219131944439</v>
      </c>
      <c r="B11343" s="4" t="str">
        <f>HYPERLINK("https://twitter.com/petrogustavo","@petrogustavo")</f>
        <v>@petrogustavo</v>
      </c>
      <c r="C11343" s="5" t="s">
        <v>16</v>
      </c>
      <c r="D11343" s="5" t="s">
        <v>10918</v>
      </c>
      <c r="E11343" s="6" t="str">
        <f>HYPERLINK("https://twitter.com/petrogustavo/status/1321599011015532552","1321599011015532552")</f>
        <v>1321599011015532552</v>
      </c>
      <c r="F11343" s="7" t="s">
        <v>17</v>
      </c>
      <c r="G11343" s="7">
        <v>3997821</v>
      </c>
      <c r="H11343" s="7">
        <v>2456</v>
      </c>
      <c r="I11343" s="7">
        <v>9</v>
      </c>
      <c r="J11343" s="7">
        <v>43</v>
      </c>
      <c r="K11343" s="7" t="s">
        <v>18</v>
      </c>
      <c r="L11343" s="8">
        <v>39987.315405092595</v>
      </c>
      <c r="M11343" s="9" t="s">
        <v>19</v>
      </c>
      <c r="N11343" s="9" t="s">
        <v>20</v>
      </c>
      <c r="O11343" s="6" t="str">
        <f>HYPERLINK("https://pbs.twimg.com/profile_images/962471262747529216/Uo8lOkRJ_normal.jpg","View")</f>
        <v>View</v>
      </c>
      <c r="P11343" s="7"/>
    </row>
    <row r="11344" spans="1:16">
      <c r="A11344" s="3">
        <v>44133.226875</v>
      </c>
      <c r="B11344" s="4" t="str">
        <f>HYPERLINK("https://twitter.com/petrogustavo","@petrogustavo")</f>
        <v>@petrogustavo</v>
      </c>
      <c r="C11344" s="5" t="s">
        <v>16</v>
      </c>
      <c r="D11344" s="5" t="s">
        <v>10919</v>
      </c>
      <c r="E11344" s="6" t="str">
        <f>HYPERLINK("https://twitter.com/petrogustavo/status/1321601820414910474","1321601820414910474")</f>
        <v>1321601820414910474</v>
      </c>
      <c r="F11344" s="7" t="s">
        <v>17</v>
      </c>
      <c r="G11344" s="7">
        <v>3997832</v>
      </c>
      <c r="H11344" s="7">
        <v>2456</v>
      </c>
      <c r="I11344" s="7">
        <v>21</v>
      </c>
      <c r="J11344" s="7">
        <v>158</v>
      </c>
      <c r="K11344" s="7" t="s">
        <v>18</v>
      </c>
      <c r="L11344" s="8">
        <v>39987.315405092595</v>
      </c>
      <c r="M11344" s="9" t="s">
        <v>19</v>
      </c>
      <c r="N11344" s="9" t="s">
        <v>20</v>
      </c>
      <c r="O11344" s="6" t="str">
        <f>HYPERLINK("https://pbs.twimg.com/profile_images/962471262747529216/Uo8lOkRJ_normal.jpg","View")</f>
        <v>View</v>
      </c>
      <c r="P11344" s="7"/>
    </row>
    <row r="11345" spans="1:16">
      <c r="A11345" s="3">
        <v>44133.27306712963</v>
      </c>
      <c r="B11345" s="4" t="str">
        <f>HYPERLINK("https://twitter.com/petrogustavo","@petrogustavo")</f>
        <v>@petrogustavo</v>
      </c>
      <c r="C11345" s="5" t="s">
        <v>16</v>
      </c>
      <c r="D11345" s="5" t="s">
        <v>10920</v>
      </c>
      <c r="E11345" s="6" t="str">
        <f>HYPERLINK("https://twitter.com/petrogustavo/status/1321618560163155969","1321618560163155969")</f>
        <v>1321618560163155969</v>
      </c>
      <c r="F11345" s="7" t="s">
        <v>17</v>
      </c>
      <c r="G11345" s="7">
        <v>3997852</v>
      </c>
      <c r="H11345" s="7">
        <v>2456</v>
      </c>
      <c r="I11345" s="7">
        <v>73</v>
      </c>
      <c r="J11345" s="7">
        <v>114</v>
      </c>
      <c r="K11345" s="7" t="s">
        <v>18</v>
      </c>
      <c r="L11345" s="8">
        <v>39987.315405092595</v>
      </c>
      <c r="M11345" s="9" t="s">
        <v>19</v>
      </c>
      <c r="N11345" s="9" t="s">
        <v>20</v>
      </c>
      <c r="O11345" s="6" t="str">
        <f>HYPERLINK("https://pbs.twimg.com/profile_images/962471262747529216/Uo8lOkRJ_normal.jpg","View")</f>
        <v>View</v>
      </c>
      <c r="P11345" s="7"/>
    </row>
    <row r="11346" spans="1:16">
      <c r="A11346" s="3">
        <v>44133.333449074074</v>
      </c>
      <c r="B11346" s="4" t="str">
        <f>HYPERLINK("https://twitter.com/petrogustavo","@petrogustavo")</f>
        <v>@petrogustavo</v>
      </c>
      <c r="C11346" s="5" t="s">
        <v>16</v>
      </c>
      <c r="D11346" s="5" t="s">
        <v>10921</v>
      </c>
      <c r="E11346" s="6" t="str">
        <f>HYPERLINK("https://twitter.com/petrogustavo/status/1321640439309545473","1321640439309545473")</f>
        <v>1321640439309545473</v>
      </c>
      <c r="F11346" s="7" t="s">
        <v>17</v>
      </c>
      <c r="G11346" s="7">
        <v>3997918</v>
      </c>
      <c r="H11346" s="7">
        <v>2456</v>
      </c>
      <c r="I11346" s="7">
        <v>110</v>
      </c>
      <c r="J11346" s="7">
        <v>393</v>
      </c>
      <c r="K11346" s="7" t="s">
        <v>18</v>
      </c>
      <c r="L11346" s="8">
        <v>39987.315405092595</v>
      </c>
      <c r="M11346" s="9" t="s">
        <v>19</v>
      </c>
      <c r="N11346" s="9" t="s">
        <v>20</v>
      </c>
      <c r="O11346" s="6" t="str">
        <f>HYPERLINK("https://pbs.twimg.com/profile_images/962471262747529216/Uo8lOkRJ_normal.jpg","View")</f>
        <v>View</v>
      </c>
      <c r="P11346" s="7"/>
    </row>
    <row r="11347" spans="1:16">
      <c r="A11347" s="3">
        <v>44133.764374999999</v>
      </c>
      <c r="B11347" s="4" t="str">
        <f>HYPERLINK("https://twitter.com/petrogustavo","@petrogustavo")</f>
        <v>@petrogustavo</v>
      </c>
      <c r="C11347" s="5" t="s">
        <v>16</v>
      </c>
      <c r="D11347" s="5" t="s">
        <v>10922</v>
      </c>
      <c r="E11347" s="6" t="str">
        <f>HYPERLINK("https://twitter.com/petrogustavo/status/1321796601938137089","1321796601938137089")</f>
        <v>1321796601938137089</v>
      </c>
      <c r="F11347" s="7" t="s">
        <v>17</v>
      </c>
      <c r="G11347" s="7">
        <v>3998032</v>
      </c>
      <c r="H11347" s="7">
        <v>2456</v>
      </c>
      <c r="I11347" s="7">
        <v>101</v>
      </c>
      <c r="J11347" s="7">
        <v>337</v>
      </c>
      <c r="K11347" s="7" t="s">
        <v>18</v>
      </c>
      <c r="L11347" s="8">
        <v>39987.315405092595</v>
      </c>
      <c r="M11347" s="9" t="s">
        <v>19</v>
      </c>
      <c r="N11347" s="9" t="s">
        <v>20</v>
      </c>
      <c r="O11347" s="6" t="str">
        <f>HYPERLINK("https://pbs.twimg.com/profile_images/962471262747529216/Uo8lOkRJ_normal.jpg","View")</f>
        <v>View</v>
      </c>
      <c r="P11347" s="7"/>
    </row>
    <row r="11348" spans="1:16">
      <c r="A11348" s="3">
        <v>44133.766597222224</v>
      </c>
      <c r="B11348" s="4" t="str">
        <f>HYPERLINK("https://twitter.com/petrogustavo","@petrogustavo")</f>
        <v>@petrogustavo</v>
      </c>
      <c r="C11348" s="5" t="s">
        <v>16</v>
      </c>
      <c r="D11348" s="5" t="s">
        <v>10923</v>
      </c>
      <c r="E11348" s="6" t="str">
        <f>HYPERLINK("https://twitter.com/petrogustavo/status/1321797406732726272","1321797406732726272")</f>
        <v>1321797406732726272</v>
      </c>
      <c r="F11348" s="7" t="s">
        <v>17</v>
      </c>
      <c r="G11348" s="7">
        <v>3998032</v>
      </c>
      <c r="H11348" s="7">
        <v>2456</v>
      </c>
      <c r="I11348" s="7">
        <v>94</v>
      </c>
      <c r="J11348" s="7">
        <v>0</v>
      </c>
      <c r="K11348" s="7" t="s">
        <v>18</v>
      </c>
      <c r="L11348" s="8">
        <v>39987.315405092595</v>
      </c>
      <c r="M11348" s="9" t="s">
        <v>19</v>
      </c>
      <c r="N11348" s="9" t="s">
        <v>20</v>
      </c>
      <c r="O11348" s="6" t="str">
        <f>HYPERLINK("https://pbs.twimg.com/profile_images/962471262747529216/Uo8lOkRJ_normal.jpg","View")</f>
        <v>View</v>
      </c>
      <c r="P11348" s="7"/>
    </row>
    <row r="11349" spans="1:16">
      <c r="A11349" s="3">
        <v>44133.767361111109</v>
      </c>
      <c r="B11349" s="4" t="str">
        <f>HYPERLINK("https://twitter.com/petrogustavo","@petrogustavo")</f>
        <v>@petrogustavo</v>
      </c>
      <c r="C11349" s="5" t="s">
        <v>16</v>
      </c>
      <c r="D11349" s="5" t="s">
        <v>10924</v>
      </c>
      <c r="E11349" s="6" t="str">
        <f>HYPERLINK("https://twitter.com/petrogustavo/status/1321797685549109248","1321797685549109248")</f>
        <v>1321797685549109248</v>
      </c>
      <c r="F11349" s="7" t="s">
        <v>17</v>
      </c>
      <c r="G11349" s="7">
        <v>3998032</v>
      </c>
      <c r="H11349" s="7">
        <v>2456</v>
      </c>
      <c r="I11349" s="7">
        <v>337</v>
      </c>
      <c r="J11349" s="7">
        <v>0</v>
      </c>
      <c r="K11349" s="7" t="s">
        <v>18</v>
      </c>
      <c r="L11349" s="8">
        <v>39987.315405092595</v>
      </c>
      <c r="M11349" s="9" t="s">
        <v>19</v>
      </c>
      <c r="N11349" s="9" t="s">
        <v>20</v>
      </c>
      <c r="O11349" s="6" t="str">
        <f>HYPERLINK("https://pbs.twimg.com/profile_images/962471262747529216/Uo8lOkRJ_normal.jpg","View")</f>
        <v>View</v>
      </c>
      <c r="P11349" s="7"/>
    </row>
    <row r="11350" spans="1:16">
      <c r="A11350" s="3">
        <v>44133.768634259264</v>
      </c>
      <c r="B11350" s="4" t="str">
        <f>HYPERLINK("https://twitter.com/petrogustavo","@petrogustavo")</f>
        <v>@petrogustavo</v>
      </c>
      <c r="C11350" s="5" t="s">
        <v>16</v>
      </c>
      <c r="D11350" s="5" t="s">
        <v>10925</v>
      </c>
      <c r="E11350" s="6" t="str">
        <f>HYPERLINK("https://twitter.com/petrogustavo/status/1321798146511511552","1321798146511511552")</f>
        <v>1321798146511511552</v>
      </c>
      <c r="F11350" s="7" t="s">
        <v>17</v>
      </c>
      <c r="G11350" s="7">
        <v>3998032</v>
      </c>
      <c r="H11350" s="7">
        <v>2456</v>
      </c>
      <c r="I11350" s="7">
        <v>310</v>
      </c>
      <c r="J11350" s="7">
        <v>0</v>
      </c>
      <c r="K11350" s="7" t="s">
        <v>18</v>
      </c>
      <c r="L11350" s="8">
        <v>39987.315405092595</v>
      </c>
      <c r="M11350" s="9" t="s">
        <v>19</v>
      </c>
      <c r="N11350" s="9" t="s">
        <v>20</v>
      </c>
      <c r="O11350" s="6" t="str">
        <f>HYPERLINK("https://pbs.twimg.com/profile_images/962471262747529216/Uo8lOkRJ_normal.jpg","View")</f>
        <v>View</v>
      </c>
      <c r="P11350" s="7"/>
    </row>
    <row r="11351" spans="1:16">
      <c r="A11351" s="3">
        <v>44133.768912037034</v>
      </c>
      <c r="B11351" s="4" t="str">
        <f>HYPERLINK("https://twitter.com/petrogustavo","@petrogustavo")</f>
        <v>@petrogustavo</v>
      </c>
      <c r="C11351" s="5" t="s">
        <v>16</v>
      </c>
      <c r="D11351" s="5" t="s">
        <v>10926</v>
      </c>
      <c r="E11351" s="6" t="str">
        <f>HYPERLINK("https://twitter.com/petrogustavo/status/1321798248772882432","1321798248772882432")</f>
        <v>1321798248772882432</v>
      </c>
      <c r="F11351" s="7" t="s">
        <v>17</v>
      </c>
      <c r="G11351" s="7">
        <v>3998032</v>
      </c>
      <c r="H11351" s="7">
        <v>2456</v>
      </c>
      <c r="I11351" s="7">
        <v>949</v>
      </c>
      <c r="J11351" s="7">
        <v>0</v>
      </c>
      <c r="K11351" s="7" t="s">
        <v>18</v>
      </c>
      <c r="L11351" s="8">
        <v>39987.315405092595</v>
      </c>
      <c r="M11351" s="9" t="s">
        <v>19</v>
      </c>
      <c r="N11351" s="9" t="s">
        <v>20</v>
      </c>
      <c r="O11351" s="6" t="str">
        <f>HYPERLINK("https://pbs.twimg.com/profile_images/962471262747529216/Uo8lOkRJ_normal.jpg","View")</f>
        <v>View</v>
      </c>
      <c r="P11351" s="7"/>
    </row>
    <row r="11352" spans="1:16">
      <c r="A11352" s="3">
        <v>44133.770138888889</v>
      </c>
      <c r="B11352" s="4" t="str">
        <f>HYPERLINK("https://twitter.com/petrogustavo","@petrogustavo")</f>
        <v>@petrogustavo</v>
      </c>
      <c r="C11352" s="5" t="s">
        <v>16</v>
      </c>
      <c r="D11352" s="5" t="s">
        <v>10927</v>
      </c>
      <c r="E11352" s="6" t="str">
        <f>HYPERLINK("https://twitter.com/petrogustavo/status/1321798692458954753","1321798692458954753")</f>
        <v>1321798692458954753</v>
      </c>
      <c r="F11352" s="7" t="s">
        <v>17</v>
      </c>
      <c r="G11352" s="7">
        <v>3998032</v>
      </c>
      <c r="H11352" s="7">
        <v>2456</v>
      </c>
      <c r="I11352" s="7">
        <v>627</v>
      </c>
      <c r="J11352" s="7">
        <v>0</v>
      </c>
      <c r="K11352" s="7" t="s">
        <v>18</v>
      </c>
      <c r="L11352" s="8">
        <v>39987.315405092595</v>
      </c>
      <c r="M11352" s="9" t="s">
        <v>19</v>
      </c>
      <c r="N11352" s="9" t="s">
        <v>20</v>
      </c>
      <c r="O11352" s="6" t="str">
        <f>HYPERLINK("https://pbs.twimg.com/profile_images/962471262747529216/Uo8lOkRJ_normal.jpg","View")</f>
        <v>View</v>
      </c>
      <c r="P11352" s="7"/>
    </row>
    <row r="11353" spans="1:16">
      <c r="A11353" s="3">
        <v>44133.779363425929</v>
      </c>
      <c r="B11353" s="4" t="str">
        <f>HYPERLINK("https://twitter.com/petrogustavo","@petrogustavo")</f>
        <v>@petrogustavo</v>
      </c>
      <c r="C11353" s="5" t="s">
        <v>16</v>
      </c>
      <c r="D11353" s="5" t="s">
        <v>10928</v>
      </c>
      <c r="E11353" s="6" t="str">
        <f>HYPERLINK("https://twitter.com/petrogustavo/status/1321802033465303047","1321802033465303047")</f>
        <v>1321802033465303047</v>
      </c>
      <c r="F11353" s="7" t="s">
        <v>17</v>
      </c>
      <c r="G11353" s="7">
        <v>3998032</v>
      </c>
      <c r="H11353" s="7">
        <v>2456</v>
      </c>
      <c r="I11353" s="7">
        <v>13</v>
      </c>
      <c r="J11353" s="7">
        <v>51</v>
      </c>
      <c r="K11353" s="7" t="s">
        <v>18</v>
      </c>
      <c r="L11353" s="8">
        <v>39987.315405092595</v>
      </c>
      <c r="M11353" s="9" t="s">
        <v>19</v>
      </c>
      <c r="N11353" s="9" t="s">
        <v>20</v>
      </c>
      <c r="O11353" s="6" t="str">
        <f>HYPERLINK("https://pbs.twimg.com/profile_images/962471262747529216/Uo8lOkRJ_normal.jpg","View")</f>
        <v>View</v>
      </c>
      <c r="P11353" s="7"/>
    </row>
    <row r="11354" spans="1:16">
      <c r="A11354" s="3">
        <v>44133.782083333332</v>
      </c>
      <c r="B11354" s="4" t="str">
        <f>HYPERLINK("https://twitter.com/petrogustavo","@petrogustavo")</f>
        <v>@petrogustavo</v>
      </c>
      <c r="C11354" s="5" t="s">
        <v>16</v>
      </c>
      <c r="D11354" s="5" t="s">
        <v>10929</v>
      </c>
      <c r="E11354" s="6" t="str">
        <f>HYPERLINK("https://twitter.com/petrogustavo/status/1321803020687036416","1321803020687036416")</f>
        <v>1321803020687036416</v>
      </c>
      <c r="F11354" s="7" t="s">
        <v>17</v>
      </c>
      <c r="G11354" s="7">
        <v>3998032</v>
      </c>
      <c r="H11354" s="7">
        <v>2456</v>
      </c>
      <c r="I11354" s="7">
        <v>1</v>
      </c>
      <c r="J11354" s="7">
        <v>10</v>
      </c>
      <c r="K11354" s="7" t="s">
        <v>18</v>
      </c>
      <c r="L11354" s="8">
        <v>39987.315405092595</v>
      </c>
      <c r="M11354" s="9" t="s">
        <v>19</v>
      </c>
      <c r="N11354" s="9" t="s">
        <v>20</v>
      </c>
      <c r="O11354" s="6" t="str">
        <f>HYPERLINK("https://pbs.twimg.com/profile_images/962471262747529216/Uo8lOkRJ_normal.jpg","View")</f>
        <v>View</v>
      </c>
      <c r="P11354" s="7"/>
    </row>
    <row r="11355" spans="1:16">
      <c r="A11355" s="3">
        <v>44133.790925925925</v>
      </c>
      <c r="B11355" s="4" t="str">
        <f>HYPERLINK("https://twitter.com/petrogustavo","@petrogustavo")</f>
        <v>@petrogustavo</v>
      </c>
      <c r="C11355" s="5" t="s">
        <v>16</v>
      </c>
      <c r="D11355" s="5" t="s">
        <v>10930</v>
      </c>
      <c r="E11355" s="6" t="str">
        <f>HYPERLINK("https://twitter.com/petrogustavo/status/1321806225420570626","1321806225420570626")</f>
        <v>1321806225420570626</v>
      </c>
      <c r="F11355" s="7" t="s">
        <v>17</v>
      </c>
      <c r="G11355" s="7">
        <v>3998042</v>
      </c>
      <c r="H11355" s="7">
        <v>2456</v>
      </c>
      <c r="I11355" s="7">
        <v>60</v>
      </c>
      <c r="J11355" s="7">
        <v>0</v>
      </c>
      <c r="K11355" s="7" t="s">
        <v>18</v>
      </c>
      <c r="L11355" s="8">
        <v>39987.315405092595</v>
      </c>
      <c r="M11355" s="9" t="s">
        <v>19</v>
      </c>
      <c r="N11355" s="9" t="s">
        <v>20</v>
      </c>
      <c r="O11355" s="6" t="str">
        <f>HYPERLINK("https://pbs.twimg.com/profile_images/962471262747529216/Uo8lOkRJ_normal.jpg","View")</f>
        <v>View</v>
      </c>
      <c r="P11355" s="7"/>
    </row>
    <row r="11356" spans="1:16">
      <c r="A11356" s="3">
        <v>44133.793113425927</v>
      </c>
      <c r="B11356" s="4" t="str">
        <f>HYPERLINK("https://twitter.com/petrogustavo","@petrogustavo")</f>
        <v>@petrogustavo</v>
      </c>
      <c r="C11356" s="5" t="s">
        <v>16</v>
      </c>
      <c r="D11356" s="5" t="s">
        <v>10931</v>
      </c>
      <c r="E11356" s="6" t="str">
        <f>HYPERLINK("https://twitter.com/petrogustavo/status/1321807017896562691","1321807017896562691")</f>
        <v>1321807017896562691</v>
      </c>
      <c r="F11356" s="7" t="s">
        <v>17</v>
      </c>
      <c r="G11356" s="7">
        <v>3998042</v>
      </c>
      <c r="H11356" s="7">
        <v>2456</v>
      </c>
      <c r="I11356" s="7">
        <v>55</v>
      </c>
      <c r="J11356" s="7">
        <v>125</v>
      </c>
      <c r="K11356" s="7" t="s">
        <v>18</v>
      </c>
      <c r="L11356" s="8">
        <v>39987.315405092595</v>
      </c>
      <c r="M11356" s="9" t="s">
        <v>19</v>
      </c>
      <c r="N11356" s="9" t="s">
        <v>20</v>
      </c>
      <c r="O11356" s="6" t="str">
        <f>HYPERLINK("https://pbs.twimg.com/profile_images/962471262747529216/Uo8lOkRJ_normal.jpg","View")</f>
        <v>View</v>
      </c>
      <c r="P11356" s="7"/>
    </row>
    <row r="11357" spans="1:16">
      <c r="A11357" s="3">
        <v>44133.794664351852</v>
      </c>
      <c r="B11357" s="4" t="str">
        <f>HYPERLINK("https://twitter.com/petrogustavo","@petrogustavo")</f>
        <v>@petrogustavo</v>
      </c>
      <c r="C11357" s="5" t="s">
        <v>16</v>
      </c>
      <c r="D11357" s="5" t="s">
        <v>10932</v>
      </c>
      <c r="E11357" s="6" t="str">
        <f>HYPERLINK("https://twitter.com/petrogustavo/status/1321807581082517504","1321807581082517504")</f>
        <v>1321807581082517504</v>
      </c>
      <c r="F11357" s="7" t="s">
        <v>17</v>
      </c>
      <c r="G11357" s="7">
        <v>3998042</v>
      </c>
      <c r="H11357" s="7">
        <v>2456</v>
      </c>
      <c r="I11357" s="7">
        <v>76</v>
      </c>
      <c r="J11357" s="7">
        <v>315</v>
      </c>
      <c r="K11357" s="7" t="s">
        <v>18</v>
      </c>
      <c r="L11357" s="8">
        <v>39987.315405092595</v>
      </c>
      <c r="M11357" s="9" t="s">
        <v>19</v>
      </c>
      <c r="N11357" s="9" t="s">
        <v>20</v>
      </c>
      <c r="O11357" s="6" t="str">
        <f>HYPERLINK("https://pbs.twimg.com/profile_images/962471262747529216/Uo8lOkRJ_normal.jpg","View")</f>
        <v>View</v>
      </c>
      <c r="P11357" s="7"/>
    </row>
    <row r="11358" spans="1:16">
      <c r="A11358" s="3">
        <v>44133.806863425925</v>
      </c>
      <c r="B11358" s="4" t="str">
        <f>HYPERLINK("https://twitter.com/petrogustavo","@petrogustavo")</f>
        <v>@petrogustavo</v>
      </c>
      <c r="C11358" s="5" t="s">
        <v>16</v>
      </c>
      <c r="D11358" s="5" t="s">
        <v>10933</v>
      </c>
      <c r="E11358" s="6" t="str">
        <f>HYPERLINK("https://twitter.com/petrogustavo/status/1321812000104656896","1321812000104656896")</f>
        <v>1321812000104656896</v>
      </c>
      <c r="F11358" s="7" t="s">
        <v>32</v>
      </c>
      <c r="G11358" s="7">
        <v>3998055</v>
      </c>
      <c r="H11358" s="7">
        <v>2456</v>
      </c>
      <c r="I11358" s="7">
        <v>54</v>
      </c>
      <c r="J11358" s="7">
        <v>0</v>
      </c>
      <c r="K11358" s="7" t="s">
        <v>18</v>
      </c>
      <c r="L11358" s="8">
        <v>39987.315405092595</v>
      </c>
      <c r="M11358" s="9" t="s">
        <v>19</v>
      </c>
      <c r="N11358" s="9" t="s">
        <v>20</v>
      </c>
      <c r="O11358" s="6" t="str">
        <f>HYPERLINK("https://pbs.twimg.com/profile_images/962471262747529216/Uo8lOkRJ_normal.jpg","View")</f>
        <v>View</v>
      </c>
      <c r="P11358" s="7"/>
    </row>
    <row r="11359" spans="1:16">
      <c r="A11359" s="3">
        <v>44133.880381944444</v>
      </c>
      <c r="B11359" s="4" t="str">
        <f>HYPERLINK("https://twitter.com/petrogustavo","@petrogustavo")</f>
        <v>@petrogustavo</v>
      </c>
      <c r="C11359" s="5" t="s">
        <v>16</v>
      </c>
      <c r="D11359" s="5" t="s">
        <v>10934</v>
      </c>
      <c r="E11359" s="6" t="str">
        <f>HYPERLINK("https://twitter.com/petrogustavo/status/1321838642558623746","1321838642558623746")</f>
        <v>1321838642558623746</v>
      </c>
      <c r="F11359" s="7" t="s">
        <v>32</v>
      </c>
      <c r="G11359" s="7">
        <v>3998096</v>
      </c>
      <c r="H11359" s="7">
        <v>2456</v>
      </c>
      <c r="I11359" s="7">
        <v>159</v>
      </c>
      <c r="J11359" s="7">
        <v>349</v>
      </c>
      <c r="K11359" s="7" t="s">
        <v>18</v>
      </c>
      <c r="L11359" s="8">
        <v>39987.315405092595</v>
      </c>
      <c r="M11359" s="9" t="s">
        <v>19</v>
      </c>
      <c r="N11359" s="9" t="s">
        <v>20</v>
      </c>
      <c r="O11359" s="6" t="str">
        <f>HYPERLINK("https://pbs.twimg.com/profile_images/962471262747529216/Uo8lOkRJ_normal.jpg","View")</f>
        <v>View</v>
      </c>
      <c r="P11359" s="7"/>
    </row>
    <row r="11360" spans="1:16">
      <c r="A11360" s="3">
        <v>44133.91196759259</v>
      </c>
      <c r="B11360" s="4" t="str">
        <f>HYPERLINK("https://twitter.com/petrogustavo","@petrogustavo")</f>
        <v>@petrogustavo</v>
      </c>
      <c r="C11360" s="5" t="s">
        <v>16</v>
      </c>
      <c r="D11360" s="5" t="s">
        <v>10935</v>
      </c>
      <c r="E11360" s="6" t="str">
        <f>HYPERLINK("https://twitter.com/petrogustavo/status/1321850088923291650","1321850088923291650")</f>
        <v>1321850088923291650</v>
      </c>
      <c r="F11360" s="7" t="s">
        <v>32</v>
      </c>
      <c r="G11360" s="7">
        <v>3998108</v>
      </c>
      <c r="H11360" s="7">
        <v>2456</v>
      </c>
      <c r="I11360" s="7">
        <v>64</v>
      </c>
      <c r="J11360" s="7">
        <v>405</v>
      </c>
      <c r="K11360" s="7" t="s">
        <v>18</v>
      </c>
      <c r="L11360" s="8">
        <v>39987.315405092595</v>
      </c>
      <c r="M11360" s="9" t="s">
        <v>19</v>
      </c>
      <c r="N11360" s="9" t="s">
        <v>20</v>
      </c>
      <c r="O11360" s="6" t="str">
        <f>HYPERLINK("https://pbs.twimg.com/profile_images/962471262747529216/Uo8lOkRJ_normal.jpg","View")</f>
        <v>View</v>
      </c>
      <c r="P11360" s="7"/>
    </row>
    <row r="11361" spans="1:16">
      <c r="A11361" s="3">
        <v>44133.917997685188</v>
      </c>
      <c r="B11361" s="4" t="str">
        <f>HYPERLINK("https://twitter.com/petrogustavo","@petrogustavo")</f>
        <v>@petrogustavo</v>
      </c>
      <c r="C11361" s="5" t="s">
        <v>16</v>
      </c>
      <c r="D11361" s="5" t="s">
        <v>10936</v>
      </c>
      <c r="E11361" s="6" t="str">
        <f>HYPERLINK("https://twitter.com/petrogustavo/status/1321852274394701825","1321852274394701825")</f>
        <v>1321852274394701825</v>
      </c>
      <c r="F11361" s="7" t="s">
        <v>32</v>
      </c>
      <c r="G11361" s="7">
        <v>3998108</v>
      </c>
      <c r="H11361" s="7">
        <v>2456</v>
      </c>
      <c r="I11361" s="7">
        <v>215</v>
      </c>
      <c r="J11361" s="7">
        <v>676</v>
      </c>
      <c r="K11361" s="7" t="s">
        <v>18</v>
      </c>
      <c r="L11361" s="8">
        <v>39987.315405092595</v>
      </c>
      <c r="M11361" s="9" t="s">
        <v>19</v>
      </c>
      <c r="N11361" s="9" t="s">
        <v>20</v>
      </c>
      <c r="O11361" s="6" t="str">
        <f>HYPERLINK("https://pbs.twimg.com/profile_images/962471262747529216/Uo8lOkRJ_normal.jpg","View")</f>
        <v>View</v>
      </c>
      <c r="P11361" s="7"/>
    </row>
    <row r="11362" spans="1:16">
      <c r="A11362" s="3">
        <v>44134.019930555558</v>
      </c>
      <c r="B11362" s="4" t="str">
        <f>HYPERLINK("https://twitter.com/petrogustavo","@petrogustavo")</f>
        <v>@petrogustavo</v>
      </c>
      <c r="C11362" s="5" t="s">
        <v>16</v>
      </c>
      <c r="D11362" s="5" t="s">
        <v>10937</v>
      </c>
      <c r="E11362" s="6" t="str">
        <f>HYPERLINK("https://twitter.com/petrogustavo/status/1321889213982203904","1321889213982203904")</f>
        <v>1321889213982203904</v>
      </c>
      <c r="F11362" s="7" t="s">
        <v>17</v>
      </c>
      <c r="G11362" s="7">
        <v>3998169</v>
      </c>
      <c r="H11362" s="7">
        <v>2455</v>
      </c>
      <c r="I11362" s="7">
        <v>48</v>
      </c>
      <c r="J11362" s="7">
        <v>0</v>
      </c>
      <c r="K11362" s="7" t="s">
        <v>18</v>
      </c>
      <c r="L11362" s="8">
        <v>39987.315405092595</v>
      </c>
      <c r="M11362" s="9" t="s">
        <v>19</v>
      </c>
      <c r="N11362" s="9" t="s">
        <v>20</v>
      </c>
      <c r="O11362" s="6" t="str">
        <f>HYPERLINK("https://pbs.twimg.com/profile_images/962471262747529216/Uo8lOkRJ_normal.jpg","View")</f>
        <v>View</v>
      </c>
      <c r="P11362" s="7"/>
    </row>
    <row r="11363" spans="1:16">
      <c r="A11363" s="3">
        <v>44134.020567129628</v>
      </c>
      <c r="B11363" s="4" t="str">
        <f>HYPERLINK("https://twitter.com/petrogustavo","@petrogustavo")</f>
        <v>@petrogustavo</v>
      </c>
      <c r="C11363" s="5" t="s">
        <v>16</v>
      </c>
      <c r="D11363" s="5" t="s">
        <v>10938</v>
      </c>
      <c r="E11363" s="6" t="str">
        <f>HYPERLINK("https://twitter.com/petrogustavo/status/1321889442479640578","1321889442479640578")</f>
        <v>1321889442479640578</v>
      </c>
      <c r="F11363" s="7" t="s">
        <v>17</v>
      </c>
      <c r="G11363" s="7">
        <v>3998169</v>
      </c>
      <c r="H11363" s="7">
        <v>2455</v>
      </c>
      <c r="I11363" s="7">
        <v>221</v>
      </c>
      <c r="J11363" s="7">
        <v>875</v>
      </c>
      <c r="K11363" s="7" t="s">
        <v>18</v>
      </c>
      <c r="L11363" s="8">
        <v>39987.315405092595</v>
      </c>
      <c r="M11363" s="9" t="s">
        <v>19</v>
      </c>
      <c r="N11363" s="9" t="s">
        <v>20</v>
      </c>
      <c r="O11363" s="6" t="str">
        <f>HYPERLINK("https://pbs.twimg.com/profile_images/962471262747529216/Uo8lOkRJ_normal.jpg","View")</f>
        <v>View</v>
      </c>
      <c r="P11363" s="7"/>
    </row>
    <row r="11364" spans="1:16">
      <c r="A11364" s="3">
        <v>44134.02171296296</v>
      </c>
      <c r="B11364" s="4" t="str">
        <f>HYPERLINK("https://twitter.com/petrogustavo","@petrogustavo")</f>
        <v>@petrogustavo</v>
      </c>
      <c r="C11364" s="5" t="s">
        <v>16</v>
      </c>
      <c r="D11364" s="5" t="s">
        <v>10939</v>
      </c>
      <c r="E11364" s="6" t="str">
        <f>HYPERLINK("https://twitter.com/petrogustavo/status/1321889858449776645","1321889858449776645")</f>
        <v>1321889858449776645</v>
      </c>
      <c r="F11364" s="7" t="s">
        <v>17</v>
      </c>
      <c r="G11364" s="7">
        <v>3998169</v>
      </c>
      <c r="H11364" s="7">
        <v>2455</v>
      </c>
      <c r="I11364" s="7">
        <v>83</v>
      </c>
      <c r="J11364" s="7">
        <v>0</v>
      </c>
      <c r="K11364" s="7" t="s">
        <v>18</v>
      </c>
      <c r="L11364" s="8">
        <v>39987.315405092595</v>
      </c>
      <c r="M11364" s="9" t="s">
        <v>19</v>
      </c>
      <c r="N11364" s="9" t="s">
        <v>20</v>
      </c>
      <c r="O11364" s="6" t="str">
        <f>HYPERLINK("https://pbs.twimg.com/profile_images/962471262747529216/Uo8lOkRJ_normal.jpg","View")</f>
        <v>View</v>
      </c>
      <c r="P11364" s="7"/>
    </row>
    <row r="11365" spans="1:16">
      <c r="A11365" s="3">
        <v>44134.254965277782</v>
      </c>
      <c r="B11365" s="4" t="str">
        <f>HYPERLINK("https://twitter.com/petrogustavo","@petrogustavo")</f>
        <v>@petrogustavo</v>
      </c>
      <c r="C11365" s="5" t="s">
        <v>16</v>
      </c>
      <c r="D11365" s="5" t="s">
        <v>10940</v>
      </c>
      <c r="E11365" s="6" t="str">
        <f>HYPERLINK("https://twitter.com/petrogustavo/status/1321974388519014400","1321974388519014400")</f>
        <v>1321974388519014400</v>
      </c>
      <c r="F11365" s="7" t="s">
        <v>17</v>
      </c>
      <c r="G11365" s="7">
        <v>3998313</v>
      </c>
      <c r="H11365" s="7">
        <v>2455</v>
      </c>
      <c r="I11365" s="7">
        <v>118</v>
      </c>
      <c r="J11365" s="7">
        <v>200</v>
      </c>
      <c r="K11365" s="7" t="s">
        <v>18</v>
      </c>
      <c r="L11365" s="8">
        <v>39987.315405092595</v>
      </c>
      <c r="M11365" s="9" t="s">
        <v>19</v>
      </c>
      <c r="N11365" s="9" t="s">
        <v>20</v>
      </c>
      <c r="O11365" s="6" t="str">
        <f>HYPERLINK("https://pbs.twimg.com/profile_images/962471262747529216/Uo8lOkRJ_normal.jpg","View")</f>
        <v>View</v>
      </c>
      <c r="P11365" s="7"/>
    </row>
    <row r="11366" spans="1:16">
      <c r="A11366" s="3">
        <v>44134.308298611111</v>
      </c>
      <c r="B11366" s="4" t="str">
        <f>HYPERLINK("https://twitter.com/petrogustavo","@petrogustavo")</f>
        <v>@petrogustavo</v>
      </c>
      <c r="C11366" s="5" t="s">
        <v>16</v>
      </c>
      <c r="D11366" s="5" t="s">
        <v>10941</v>
      </c>
      <c r="E11366" s="6" t="str">
        <f>HYPERLINK("https://twitter.com/petrogustavo/status/1321993712306659336","1321993712306659336")</f>
        <v>1321993712306659336</v>
      </c>
      <c r="F11366" s="7" t="s">
        <v>17</v>
      </c>
      <c r="G11366" s="7">
        <v>3998360</v>
      </c>
      <c r="H11366" s="7">
        <v>2455</v>
      </c>
      <c r="I11366" s="7">
        <v>343</v>
      </c>
      <c r="J11366" s="7">
        <v>0</v>
      </c>
      <c r="K11366" s="7" t="s">
        <v>18</v>
      </c>
      <c r="L11366" s="8">
        <v>39987.315405092595</v>
      </c>
      <c r="M11366" s="9" t="s">
        <v>19</v>
      </c>
      <c r="N11366" s="9" t="s">
        <v>20</v>
      </c>
      <c r="O11366" s="6" t="str">
        <f>HYPERLINK("https://pbs.twimg.com/profile_images/962471262747529216/Uo8lOkRJ_normal.jpg","View")</f>
        <v>View</v>
      </c>
      <c r="P11366" s="7"/>
    </row>
    <row r="11367" spans="1:16">
      <c r="A11367" s="3">
        <v>44134.310671296298</v>
      </c>
      <c r="B11367" s="4" t="str">
        <f>HYPERLINK("https://twitter.com/petrogustavo","@petrogustavo")</f>
        <v>@petrogustavo</v>
      </c>
      <c r="C11367" s="5" t="s">
        <v>16</v>
      </c>
      <c r="D11367" s="5" t="s">
        <v>10942</v>
      </c>
      <c r="E11367" s="6" t="str">
        <f>HYPERLINK("https://twitter.com/petrogustavo/status/1321994573481127936","1321994573481127936")</f>
        <v>1321994573481127936</v>
      </c>
      <c r="F11367" s="7" t="s">
        <v>17</v>
      </c>
      <c r="G11367" s="7">
        <v>3998360</v>
      </c>
      <c r="H11367" s="7">
        <v>2455</v>
      </c>
      <c r="I11367" s="7">
        <v>135</v>
      </c>
      <c r="J11367" s="7">
        <v>361</v>
      </c>
      <c r="K11367" s="7" t="s">
        <v>18</v>
      </c>
      <c r="L11367" s="8">
        <v>39987.315405092595</v>
      </c>
      <c r="M11367" s="9" t="s">
        <v>19</v>
      </c>
      <c r="N11367" s="9" t="s">
        <v>20</v>
      </c>
      <c r="O11367" s="6" t="str">
        <f>HYPERLINK("https://pbs.twimg.com/profile_images/962471262747529216/Uo8lOkRJ_normal.jpg","View")</f>
        <v>View</v>
      </c>
      <c r="P11367" s="7"/>
    </row>
    <row r="11368" spans="1:16">
      <c r="A11368" s="3">
        <v>44134.312476851846</v>
      </c>
      <c r="B11368" s="4" t="str">
        <f>HYPERLINK("https://twitter.com/petrogustavo","@petrogustavo")</f>
        <v>@petrogustavo</v>
      </c>
      <c r="C11368" s="5" t="s">
        <v>16</v>
      </c>
      <c r="D11368" s="5" t="s">
        <v>10943</v>
      </c>
      <c r="E11368" s="6" t="str">
        <f>HYPERLINK("https://twitter.com/petrogustavo/status/1321995229218643969","1321995229218643969")</f>
        <v>1321995229218643969</v>
      </c>
      <c r="F11368" s="7" t="s">
        <v>17</v>
      </c>
      <c r="G11368" s="7">
        <v>3998360</v>
      </c>
      <c r="H11368" s="7">
        <v>2455</v>
      </c>
      <c r="I11368" s="7">
        <v>211</v>
      </c>
      <c r="J11368" s="7">
        <v>497</v>
      </c>
      <c r="K11368" s="7" t="s">
        <v>18</v>
      </c>
      <c r="L11368" s="8">
        <v>39987.315405092595</v>
      </c>
      <c r="M11368" s="9" t="s">
        <v>19</v>
      </c>
      <c r="N11368" s="9" t="s">
        <v>20</v>
      </c>
      <c r="O11368" s="6" t="str">
        <f>HYPERLINK("https://pbs.twimg.com/profile_images/962471262747529216/Uo8lOkRJ_normal.jpg","View")</f>
        <v>View</v>
      </c>
      <c r="P11368" s="7"/>
    </row>
    <row r="11369" spans="1:16">
      <c r="A11369" s="3">
        <v>44134.315567129626</v>
      </c>
      <c r="B11369" s="4" t="str">
        <f>HYPERLINK("https://twitter.com/petrogustavo","@petrogustavo")</f>
        <v>@petrogustavo</v>
      </c>
      <c r="C11369" s="5" t="s">
        <v>16</v>
      </c>
      <c r="D11369" s="5" t="s">
        <v>10944</v>
      </c>
      <c r="E11369" s="6" t="str">
        <f>HYPERLINK("https://twitter.com/petrogustavo/status/1321996346950406145","1321996346950406145")</f>
        <v>1321996346950406145</v>
      </c>
      <c r="F11369" s="7" t="s">
        <v>17</v>
      </c>
      <c r="G11369" s="7">
        <v>3998360</v>
      </c>
      <c r="H11369" s="7">
        <v>2455</v>
      </c>
      <c r="I11369" s="7">
        <v>60</v>
      </c>
      <c r="J11369" s="7">
        <v>167</v>
      </c>
      <c r="K11369" s="7" t="s">
        <v>18</v>
      </c>
      <c r="L11369" s="8">
        <v>39987.315405092595</v>
      </c>
      <c r="M11369" s="9" t="s">
        <v>19</v>
      </c>
      <c r="N11369" s="9" t="s">
        <v>20</v>
      </c>
      <c r="O11369" s="6" t="str">
        <f>HYPERLINK("https://pbs.twimg.com/profile_images/962471262747529216/Uo8lOkRJ_normal.jpg","View")</f>
        <v>View</v>
      </c>
      <c r="P11369" s="7"/>
    </row>
    <row r="11370" spans="1:16">
      <c r="A11370" s="3">
        <v>44134.317488425921</v>
      </c>
      <c r="B11370" s="4" t="str">
        <f>HYPERLINK("https://twitter.com/petrogustavo","@petrogustavo")</f>
        <v>@petrogustavo</v>
      </c>
      <c r="C11370" s="5" t="s">
        <v>16</v>
      </c>
      <c r="D11370" s="5" t="s">
        <v>10945</v>
      </c>
      <c r="E11370" s="6" t="str">
        <f>HYPERLINK("https://twitter.com/petrogustavo/status/1321997044899340290","1321997044899340290")</f>
        <v>1321997044899340290</v>
      </c>
      <c r="F11370" s="7" t="s">
        <v>17</v>
      </c>
      <c r="G11370" s="7">
        <v>3998360</v>
      </c>
      <c r="H11370" s="7">
        <v>2455</v>
      </c>
      <c r="I11370" s="7">
        <v>166</v>
      </c>
      <c r="J11370" s="7">
        <v>357</v>
      </c>
      <c r="K11370" s="7" t="s">
        <v>18</v>
      </c>
      <c r="L11370" s="8">
        <v>39987.315405092595</v>
      </c>
      <c r="M11370" s="9" t="s">
        <v>19</v>
      </c>
      <c r="N11370" s="9" t="s">
        <v>20</v>
      </c>
      <c r="O11370" s="6" t="str">
        <f>HYPERLINK("https://pbs.twimg.com/profile_images/962471262747529216/Uo8lOkRJ_normal.jpg","View")</f>
        <v>View</v>
      </c>
      <c r="P11370" s="7"/>
    </row>
    <row r="11371" spans="1:16">
      <c r="A11371" s="3">
        <v>44134.319525462968</v>
      </c>
      <c r="B11371" s="4" t="str">
        <f>HYPERLINK("https://twitter.com/petrogustavo","@petrogustavo")</f>
        <v>@petrogustavo</v>
      </c>
      <c r="C11371" s="5" t="s">
        <v>16</v>
      </c>
      <c r="D11371" s="5" t="s">
        <v>10946</v>
      </c>
      <c r="E11371" s="6" t="str">
        <f>HYPERLINK("https://twitter.com/petrogustavo/status/1321997782685782016","1321997782685782016")</f>
        <v>1321997782685782016</v>
      </c>
      <c r="F11371" s="7" t="s">
        <v>17</v>
      </c>
      <c r="G11371" s="7">
        <v>3998360</v>
      </c>
      <c r="H11371" s="7">
        <v>2455</v>
      </c>
      <c r="I11371" s="7">
        <v>52</v>
      </c>
      <c r="J11371" s="7">
        <v>156</v>
      </c>
      <c r="K11371" s="7" t="s">
        <v>18</v>
      </c>
      <c r="L11371" s="8">
        <v>39987.315405092595</v>
      </c>
      <c r="M11371" s="9" t="s">
        <v>19</v>
      </c>
      <c r="N11371" s="9" t="s">
        <v>20</v>
      </c>
      <c r="O11371" s="6" t="str">
        <f>HYPERLINK("https://pbs.twimg.com/profile_images/962471262747529216/Uo8lOkRJ_normal.jpg","View")</f>
        <v>View</v>
      </c>
      <c r="P11371" s="7"/>
    </row>
    <row r="11372" spans="1:16">
      <c r="A11372" s="3">
        <v>44134.319976851853</v>
      </c>
      <c r="B11372" s="4" t="str">
        <f>HYPERLINK("https://twitter.com/petrogustavo","@petrogustavo")</f>
        <v>@petrogustavo</v>
      </c>
      <c r="C11372" s="5" t="s">
        <v>16</v>
      </c>
      <c r="D11372" s="5" t="s">
        <v>10947</v>
      </c>
      <c r="E11372" s="6" t="str">
        <f>HYPERLINK("https://twitter.com/petrogustavo/status/1321997945869389824","1321997945869389824")</f>
        <v>1321997945869389824</v>
      </c>
      <c r="F11372" s="7" t="s">
        <v>17</v>
      </c>
      <c r="G11372" s="7">
        <v>3998360</v>
      </c>
      <c r="H11372" s="7">
        <v>2455</v>
      </c>
      <c r="I11372" s="7">
        <v>135</v>
      </c>
      <c r="J11372" s="7">
        <v>0</v>
      </c>
      <c r="K11372" s="7" t="s">
        <v>18</v>
      </c>
      <c r="L11372" s="8">
        <v>39987.315405092595</v>
      </c>
      <c r="M11372" s="9" t="s">
        <v>19</v>
      </c>
      <c r="N11372" s="9" t="s">
        <v>20</v>
      </c>
      <c r="O11372" s="6" t="str">
        <f>HYPERLINK("https://pbs.twimg.com/profile_images/962471262747529216/Uo8lOkRJ_normal.jpg","View")</f>
        <v>View</v>
      </c>
      <c r="P11372" s="7"/>
    </row>
    <row r="11373" spans="1:16">
      <c r="A11373" s="3">
        <v>44134.325428240743</v>
      </c>
      <c r="B11373" s="4" t="str">
        <f>HYPERLINK("https://twitter.com/petrogustavo","@petrogustavo")</f>
        <v>@petrogustavo</v>
      </c>
      <c r="C11373" s="5" t="s">
        <v>16</v>
      </c>
      <c r="D11373" s="5" t="s">
        <v>10948</v>
      </c>
      <c r="E11373" s="6" t="str">
        <f>HYPERLINK("https://twitter.com/petrogustavo/status/1321999923076882432","1321999923076882432")</f>
        <v>1321999923076882432</v>
      </c>
      <c r="F11373" s="7" t="s">
        <v>17</v>
      </c>
      <c r="G11373" s="7">
        <v>3998367</v>
      </c>
      <c r="H11373" s="7">
        <v>2455</v>
      </c>
      <c r="I11373" s="7">
        <v>156</v>
      </c>
      <c r="J11373" s="7">
        <v>562</v>
      </c>
      <c r="K11373" s="7" t="s">
        <v>18</v>
      </c>
      <c r="L11373" s="8">
        <v>39987.315405092595</v>
      </c>
      <c r="M11373" s="9" t="s">
        <v>19</v>
      </c>
      <c r="N11373" s="9" t="s">
        <v>20</v>
      </c>
      <c r="O11373" s="6" t="str">
        <f>HYPERLINK("https://pbs.twimg.com/profile_images/962471262747529216/Uo8lOkRJ_normal.jpg","View")</f>
        <v>View</v>
      </c>
      <c r="P11373" s="7"/>
    </row>
    <row r="11374" spans="1:16">
      <c r="A11374" s="3">
        <v>44134.795694444445</v>
      </c>
      <c r="B11374" s="4" t="str">
        <f>HYPERLINK("https://twitter.com/petrogustavo","@petrogustavo")</f>
        <v>@petrogustavo</v>
      </c>
      <c r="C11374" s="5" t="s">
        <v>16</v>
      </c>
      <c r="D11374" s="5" t="s">
        <v>10949</v>
      </c>
      <c r="E11374" s="6" t="str">
        <f>HYPERLINK("https://twitter.com/petrogustavo/status/1322170338856345600","1322170338856345600")</f>
        <v>1322170338856345600</v>
      </c>
      <c r="F11374" s="7" t="s">
        <v>17</v>
      </c>
      <c r="G11374" s="7">
        <v>3998468</v>
      </c>
      <c r="H11374" s="7">
        <v>2455</v>
      </c>
      <c r="I11374" s="7">
        <v>510</v>
      </c>
      <c r="J11374" s="7">
        <v>0</v>
      </c>
      <c r="K11374" s="7" t="s">
        <v>18</v>
      </c>
      <c r="L11374" s="8">
        <v>39987.315405092595</v>
      </c>
      <c r="M11374" s="9" t="s">
        <v>19</v>
      </c>
      <c r="N11374" s="9" t="s">
        <v>20</v>
      </c>
      <c r="O11374" s="6" t="str">
        <f>HYPERLINK("https://pbs.twimg.com/profile_images/962471262747529216/Uo8lOkRJ_normal.jpg","View")</f>
        <v>View</v>
      </c>
      <c r="P11374" s="7"/>
    </row>
    <row r="11375" spans="1:16">
      <c r="A11375" s="3">
        <v>44134.796053240745</v>
      </c>
      <c r="B11375" s="4" t="str">
        <f>HYPERLINK("https://twitter.com/petrogustavo","@petrogustavo")</f>
        <v>@petrogustavo</v>
      </c>
      <c r="C11375" s="5" t="s">
        <v>16</v>
      </c>
      <c r="D11375" s="5" t="s">
        <v>10950</v>
      </c>
      <c r="E11375" s="6" t="str">
        <f>HYPERLINK("https://twitter.com/petrogustavo/status/1322170471710937088","1322170471710937088")</f>
        <v>1322170471710937088</v>
      </c>
      <c r="F11375" s="7" t="s">
        <v>17</v>
      </c>
      <c r="G11375" s="7">
        <v>3998468</v>
      </c>
      <c r="H11375" s="7">
        <v>2455</v>
      </c>
      <c r="I11375" s="7">
        <v>38</v>
      </c>
      <c r="J11375" s="7">
        <v>0</v>
      </c>
      <c r="K11375" s="7" t="s">
        <v>18</v>
      </c>
      <c r="L11375" s="8">
        <v>39987.315405092595</v>
      </c>
      <c r="M11375" s="9" t="s">
        <v>19</v>
      </c>
      <c r="N11375" s="9" t="s">
        <v>20</v>
      </c>
      <c r="O11375" s="6" t="str">
        <f>HYPERLINK("https://pbs.twimg.com/profile_images/962471262747529216/Uo8lOkRJ_normal.jpg","View")</f>
        <v>View</v>
      </c>
      <c r="P11375" s="7"/>
    </row>
    <row r="11376" spans="1:16">
      <c r="A11376" s="3">
        <v>44134.798020833332</v>
      </c>
      <c r="B11376" s="4" t="str">
        <f>HYPERLINK("https://twitter.com/petrogustavo","@petrogustavo")</f>
        <v>@petrogustavo</v>
      </c>
      <c r="C11376" s="5" t="s">
        <v>16</v>
      </c>
      <c r="D11376" s="5" t="s">
        <v>10951</v>
      </c>
      <c r="E11376" s="6" t="str">
        <f>HYPERLINK("https://twitter.com/petrogustavo/status/1322171182213406722","1322171182213406722")</f>
        <v>1322171182213406722</v>
      </c>
      <c r="F11376" s="7" t="s">
        <v>17</v>
      </c>
      <c r="G11376" s="7">
        <v>3998468</v>
      </c>
      <c r="H11376" s="7">
        <v>2455</v>
      </c>
      <c r="I11376" s="7">
        <v>21</v>
      </c>
      <c r="J11376" s="7">
        <v>118</v>
      </c>
      <c r="K11376" s="7" t="s">
        <v>18</v>
      </c>
      <c r="L11376" s="8">
        <v>39987.315405092595</v>
      </c>
      <c r="M11376" s="9" t="s">
        <v>19</v>
      </c>
      <c r="N11376" s="9" t="s">
        <v>20</v>
      </c>
      <c r="O11376" s="6" t="str">
        <f>HYPERLINK("https://pbs.twimg.com/profile_images/962471262747529216/Uo8lOkRJ_normal.jpg","View")</f>
        <v>View</v>
      </c>
      <c r="P11376" s="7"/>
    </row>
    <row r="11377" spans="1:16">
      <c r="A11377" s="3">
        <v>44134.801018518519</v>
      </c>
      <c r="B11377" s="4" t="str">
        <f>HYPERLINK("https://twitter.com/petrogustavo","@petrogustavo")</f>
        <v>@petrogustavo</v>
      </c>
      <c r="C11377" s="5" t="s">
        <v>16</v>
      </c>
      <c r="D11377" s="5" t="s">
        <v>10952</v>
      </c>
      <c r="E11377" s="6" t="str">
        <f>HYPERLINK("https://twitter.com/petrogustavo/status/1322172268534005761","1322172268534005761")</f>
        <v>1322172268534005761</v>
      </c>
      <c r="F11377" s="7" t="s">
        <v>17</v>
      </c>
      <c r="G11377" s="7">
        <v>3998468</v>
      </c>
      <c r="H11377" s="7">
        <v>2455</v>
      </c>
      <c r="I11377" s="7">
        <v>7</v>
      </c>
      <c r="J11377" s="7">
        <v>28</v>
      </c>
      <c r="K11377" s="7" t="s">
        <v>18</v>
      </c>
      <c r="L11377" s="8">
        <v>39987.315405092595</v>
      </c>
      <c r="M11377" s="9" t="s">
        <v>19</v>
      </c>
      <c r="N11377" s="9" t="s">
        <v>20</v>
      </c>
      <c r="O11377" s="6" t="str">
        <f>HYPERLINK("https://pbs.twimg.com/profile_images/962471262747529216/Uo8lOkRJ_normal.jpg","View")</f>
        <v>View</v>
      </c>
      <c r="P11377" s="7"/>
    </row>
    <row r="11378" spans="1:16">
      <c r="A11378" s="3">
        <v>44134.809467592597</v>
      </c>
      <c r="B11378" s="4" t="str">
        <f>HYPERLINK("https://twitter.com/petrogustavo","@petrogustavo")</f>
        <v>@petrogustavo</v>
      </c>
      <c r="C11378" s="5" t="s">
        <v>16</v>
      </c>
      <c r="D11378" s="5" t="s">
        <v>10953</v>
      </c>
      <c r="E11378" s="6" t="str">
        <f>HYPERLINK("https://twitter.com/petrogustavo/status/1322175330250096646","1322175330250096646")</f>
        <v>1322175330250096646</v>
      </c>
      <c r="F11378" s="7" t="s">
        <v>17</v>
      </c>
      <c r="G11378" s="7">
        <v>3998482</v>
      </c>
      <c r="H11378" s="7">
        <v>2455</v>
      </c>
      <c r="I11378" s="7">
        <v>12</v>
      </c>
      <c r="J11378" s="7">
        <v>40</v>
      </c>
      <c r="K11378" s="7" t="s">
        <v>18</v>
      </c>
      <c r="L11378" s="8">
        <v>39987.315405092595</v>
      </c>
      <c r="M11378" s="9" t="s">
        <v>19</v>
      </c>
      <c r="N11378" s="9" t="s">
        <v>20</v>
      </c>
      <c r="O11378" s="6" t="str">
        <f>HYPERLINK("https://pbs.twimg.com/profile_images/962471262747529216/Uo8lOkRJ_normal.jpg","View")</f>
        <v>View</v>
      </c>
      <c r="P11378" s="7"/>
    </row>
    <row r="11379" spans="1:16">
      <c r="A11379" s="3">
        <v>44134.810983796298</v>
      </c>
      <c r="B11379" s="4" t="str">
        <f>HYPERLINK("https://twitter.com/petrogustavo","@petrogustavo")</f>
        <v>@petrogustavo</v>
      </c>
      <c r="C11379" s="5" t="s">
        <v>16</v>
      </c>
      <c r="D11379" s="5" t="s">
        <v>10954</v>
      </c>
      <c r="E11379" s="6" t="str">
        <f>HYPERLINK("https://twitter.com/petrogustavo/status/1322175878835691521","1322175878835691521")</f>
        <v>1322175878835691521</v>
      </c>
      <c r="F11379" s="7" t="s">
        <v>17</v>
      </c>
      <c r="G11379" s="7">
        <v>3998482</v>
      </c>
      <c r="H11379" s="7">
        <v>2455</v>
      </c>
      <c r="I11379" s="7">
        <v>9</v>
      </c>
      <c r="J11379" s="7">
        <v>46</v>
      </c>
      <c r="K11379" s="7" t="s">
        <v>18</v>
      </c>
      <c r="L11379" s="8">
        <v>39987.315405092595</v>
      </c>
      <c r="M11379" s="9" t="s">
        <v>19</v>
      </c>
      <c r="N11379" s="9" t="s">
        <v>20</v>
      </c>
      <c r="O11379" s="6" t="str">
        <f>HYPERLINK("https://pbs.twimg.com/profile_images/962471262747529216/Uo8lOkRJ_normal.jpg","View")</f>
        <v>View</v>
      </c>
      <c r="P11379" s="7"/>
    </row>
    <row r="11380" spans="1:16">
      <c r="A11380" s="3">
        <v>44134.812199074076</v>
      </c>
      <c r="B11380" s="4" t="str">
        <f>HYPERLINK("https://twitter.com/petrogustavo","@petrogustavo")</f>
        <v>@petrogustavo</v>
      </c>
      <c r="C11380" s="5" t="s">
        <v>16</v>
      </c>
      <c r="D11380" s="5" t="s">
        <v>10955</v>
      </c>
      <c r="E11380" s="6" t="str">
        <f>HYPERLINK("https://twitter.com/petrogustavo/status/1322176320428802049","1322176320428802049")</f>
        <v>1322176320428802049</v>
      </c>
      <c r="F11380" s="7" t="s">
        <v>17</v>
      </c>
      <c r="G11380" s="7">
        <v>3998482</v>
      </c>
      <c r="H11380" s="7">
        <v>2455</v>
      </c>
      <c r="I11380" s="7">
        <v>2</v>
      </c>
      <c r="J11380" s="7">
        <v>28</v>
      </c>
      <c r="K11380" s="7" t="s">
        <v>18</v>
      </c>
      <c r="L11380" s="8">
        <v>39987.315405092595</v>
      </c>
      <c r="M11380" s="9" t="s">
        <v>19</v>
      </c>
      <c r="N11380" s="9" t="s">
        <v>20</v>
      </c>
      <c r="O11380" s="6" t="str">
        <f>HYPERLINK("https://pbs.twimg.com/profile_images/962471262747529216/Uo8lOkRJ_normal.jpg","View")</f>
        <v>View</v>
      </c>
      <c r="P11380" s="7"/>
    </row>
    <row r="11381" spans="1:16">
      <c r="A11381" s="3">
        <v>44134.813831018517</v>
      </c>
      <c r="B11381" s="4" t="str">
        <f>HYPERLINK("https://twitter.com/petrogustavo","@petrogustavo")</f>
        <v>@petrogustavo</v>
      </c>
      <c r="C11381" s="5" t="s">
        <v>16</v>
      </c>
      <c r="D11381" s="5" t="s">
        <v>10956</v>
      </c>
      <c r="E11381" s="6" t="str">
        <f>HYPERLINK("https://twitter.com/petrogustavo/status/1322176911238402049","1322176911238402049")</f>
        <v>1322176911238402049</v>
      </c>
      <c r="F11381" s="7" t="s">
        <v>17</v>
      </c>
      <c r="G11381" s="7">
        <v>3998482</v>
      </c>
      <c r="H11381" s="7">
        <v>2455</v>
      </c>
      <c r="I11381" s="7">
        <v>50</v>
      </c>
      <c r="J11381" s="7">
        <v>261</v>
      </c>
      <c r="K11381" s="7" t="s">
        <v>18</v>
      </c>
      <c r="L11381" s="8">
        <v>39987.315405092595</v>
      </c>
      <c r="M11381" s="9" t="s">
        <v>19</v>
      </c>
      <c r="N11381" s="9" t="s">
        <v>20</v>
      </c>
      <c r="O11381" s="6" t="str">
        <f>HYPERLINK("https://pbs.twimg.com/profile_images/962471262747529216/Uo8lOkRJ_normal.jpg","View")</f>
        <v>View</v>
      </c>
      <c r="P11381" s="7"/>
    </row>
    <row r="11382" spans="1:16">
      <c r="A11382" s="3">
        <v>44134.838194444441</v>
      </c>
      <c r="B11382" s="4" t="str">
        <f>HYPERLINK("https://twitter.com/petrogustavo","@petrogustavo")</f>
        <v>@petrogustavo</v>
      </c>
      <c r="C11382" s="5" t="s">
        <v>16</v>
      </c>
      <c r="D11382" s="5" t="s">
        <v>10957</v>
      </c>
      <c r="E11382" s="6" t="str">
        <f>HYPERLINK("https://twitter.com/petrogustavo/status/1322185740541976580","1322185740541976580")</f>
        <v>1322185740541976580</v>
      </c>
      <c r="F11382" s="7" t="s">
        <v>17</v>
      </c>
      <c r="G11382" s="7">
        <v>3998491</v>
      </c>
      <c r="H11382" s="7">
        <v>2455</v>
      </c>
      <c r="I11382" s="7">
        <v>34</v>
      </c>
      <c r="J11382" s="7">
        <v>111</v>
      </c>
      <c r="K11382" s="7" t="s">
        <v>18</v>
      </c>
      <c r="L11382" s="8">
        <v>39987.315405092595</v>
      </c>
      <c r="M11382" s="9" t="s">
        <v>19</v>
      </c>
      <c r="N11382" s="9" t="s">
        <v>20</v>
      </c>
      <c r="O11382" s="6" t="str">
        <f>HYPERLINK("https://pbs.twimg.com/profile_images/962471262747529216/Uo8lOkRJ_normal.jpg","View")</f>
        <v>View</v>
      </c>
      <c r="P11382" s="7"/>
    </row>
    <row r="11383" spans="1:16">
      <c r="A11383" s="3">
        <v>44134.839675925927</v>
      </c>
      <c r="B11383" s="4" t="str">
        <f>HYPERLINK("https://twitter.com/petrogustavo","@petrogustavo")</f>
        <v>@petrogustavo</v>
      </c>
      <c r="C11383" s="5" t="s">
        <v>16</v>
      </c>
      <c r="D11383" s="5" t="s">
        <v>10958</v>
      </c>
      <c r="E11383" s="6" t="str">
        <f>HYPERLINK("https://twitter.com/petrogustavo/status/1322186278302060545","1322186278302060545")</f>
        <v>1322186278302060545</v>
      </c>
      <c r="F11383" s="7" t="s">
        <v>17</v>
      </c>
      <c r="G11383" s="7">
        <v>3998491</v>
      </c>
      <c r="H11383" s="7">
        <v>2455</v>
      </c>
      <c r="I11383" s="7">
        <v>109</v>
      </c>
      <c r="J11383" s="7">
        <v>351</v>
      </c>
      <c r="K11383" s="7" t="s">
        <v>18</v>
      </c>
      <c r="L11383" s="8">
        <v>39987.315405092595</v>
      </c>
      <c r="M11383" s="9" t="s">
        <v>19</v>
      </c>
      <c r="N11383" s="9" t="s">
        <v>20</v>
      </c>
      <c r="O11383" s="6" t="str">
        <f>HYPERLINK("https://pbs.twimg.com/profile_images/962471262747529216/Uo8lOkRJ_normal.jpg","View")</f>
        <v>View</v>
      </c>
      <c r="P11383" s="7"/>
    </row>
    <row r="11384" spans="1:16">
      <c r="A11384" s="3">
        <v>44134.845937499995</v>
      </c>
      <c r="B11384" s="4" t="str">
        <f>HYPERLINK("https://twitter.com/petrogustavo","@petrogustavo")</f>
        <v>@petrogustavo</v>
      </c>
      <c r="C11384" s="5" t="s">
        <v>16</v>
      </c>
      <c r="D11384" s="5" t="s">
        <v>10959</v>
      </c>
      <c r="E11384" s="6" t="str">
        <f>HYPERLINK("https://twitter.com/petrogustavo/status/1322188549723168770","1322188549723168770")</f>
        <v>1322188549723168770</v>
      </c>
      <c r="F11384" s="7" t="s">
        <v>17</v>
      </c>
      <c r="G11384" s="7">
        <v>3998489</v>
      </c>
      <c r="H11384" s="7">
        <v>2455</v>
      </c>
      <c r="I11384" s="7">
        <v>55</v>
      </c>
      <c r="J11384" s="7">
        <v>177</v>
      </c>
      <c r="K11384" s="7" t="s">
        <v>18</v>
      </c>
      <c r="L11384" s="8">
        <v>39987.315405092595</v>
      </c>
      <c r="M11384" s="9" t="s">
        <v>19</v>
      </c>
      <c r="N11384" s="9" t="s">
        <v>20</v>
      </c>
      <c r="O11384" s="6" t="str">
        <f>HYPERLINK("https://pbs.twimg.com/profile_images/962471262747529216/Uo8lOkRJ_normal.jpg","View")</f>
        <v>View</v>
      </c>
      <c r="P11384" s="7"/>
    </row>
    <row r="11385" spans="1:16">
      <c r="A11385" s="3">
        <v>44134.847060185188</v>
      </c>
      <c r="B11385" s="4" t="str">
        <f>HYPERLINK("https://twitter.com/petrogustavo","@petrogustavo")</f>
        <v>@petrogustavo</v>
      </c>
      <c r="C11385" s="5" t="s">
        <v>16</v>
      </c>
      <c r="D11385" s="5" t="s">
        <v>10960</v>
      </c>
      <c r="E11385" s="6" t="str">
        <f>HYPERLINK("https://twitter.com/petrogustavo/status/1322188956096700416","1322188956096700416")</f>
        <v>1322188956096700416</v>
      </c>
      <c r="F11385" s="7" t="s">
        <v>17</v>
      </c>
      <c r="G11385" s="7">
        <v>3998489</v>
      </c>
      <c r="H11385" s="7">
        <v>2455</v>
      </c>
      <c r="I11385" s="7">
        <v>26</v>
      </c>
      <c r="J11385" s="7">
        <v>75</v>
      </c>
      <c r="K11385" s="7" t="s">
        <v>18</v>
      </c>
      <c r="L11385" s="8">
        <v>39987.315405092595</v>
      </c>
      <c r="M11385" s="9" t="s">
        <v>19</v>
      </c>
      <c r="N11385" s="9" t="s">
        <v>20</v>
      </c>
      <c r="O11385" s="6" t="str">
        <f>HYPERLINK("https://pbs.twimg.com/profile_images/962471262747529216/Uo8lOkRJ_normal.jpg","View")</f>
        <v>View</v>
      </c>
      <c r="P11385" s="7"/>
    </row>
    <row r="11386" spans="1:16">
      <c r="A11386" s="3">
        <v>44134.850243055553</v>
      </c>
      <c r="B11386" s="4" t="str">
        <f>HYPERLINK("https://twitter.com/petrogustavo","@petrogustavo")</f>
        <v>@petrogustavo</v>
      </c>
      <c r="C11386" s="5" t="s">
        <v>16</v>
      </c>
      <c r="D11386" s="5" t="s">
        <v>10961</v>
      </c>
      <c r="E11386" s="6" t="str">
        <f>HYPERLINK("https://twitter.com/petrogustavo/status/1322190107559034880","1322190107559034880")</f>
        <v>1322190107559034880</v>
      </c>
      <c r="F11386" s="7" t="s">
        <v>17</v>
      </c>
      <c r="G11386" s="7">
        <v>3998489</v>
      </c>
      <c r="H11386" s="7">
        <v>2455</v>
      </c>
      <c r="I11386" s="7">
        <v>34</v>
      </c>
      <c r="J11386" s="7">
        <v>0</v>
      </c>
      <c r="K11386" s="7" t="s">
        <v>18</v>
      </c>
      <c r="L11386" s="8">
        <v>39987.315405092595</v>
      </c>
      <c r="M11386" s="9" t="s">
        <v>19</v>
      </c>
      <c r="N11386" s="9" t="s">
        <v>20</v>
      </c>
      <c r="O11386" s="6" t="str">
        <f>HYPERLINK("https://pbs.twimg.com/profile_images/962471262747529216/Uo8lOkRJ_normal.jpg","View")</f>
        <v>View</v>
      </c>
      <c r="P11386" s="7"/>
    </row>
    <row r="11387" spans="1:16">
      <c r="A11387" s="3">
        <v>44134.853125000001</v>
      </c>
      <c r="B11387" s="4" t="str">
        <f>HYPERLINK("https://twitter.com/petrogustavo","@petrogustavo")</f>
        <v>@petrogustavo</v>
      </c>
      <c r="C11387" s="5" t="s">
        <v>16</v>
      </c>
      <c r="D11387" s="5" t="s">
        <v>10962</v>
      </c>
      <c r="E11387" s="6" t="str">
        <f>HYPERLINK("https://twitter.com/petrogustavo/status/1322191153484148736","1322191153484148736")</f>
        <v>1322191153484148736</v>
      </c>
      <c r="F11387" s="7" t="s">
        <v>17</v>
      </c>
      <c r="G11387" s="7">
        <v>3998489</v>
      </c>
      <c r="H11387" s="7">
        <v>2455</v>
      </c>
      <c r="I11387" s="7">
        <v>125</v>
      </c>
      <c r="J11387" s="7">
        <v>0</v>
      </c>
      <c r="K11387" s="7" t="s">
        <v>18</v>
      </c>
      <c r="L11387" s="8">
        <v>39987.315405092595</v>
      </c>
      <c r="M11387" s="9" t="s">
        <v>19</v>
      </c>
      <c r="N11387" s="9" t="s">
        <v>20</v>
      </c>
      <c r="O11387" s="6" t="str">
        <f>HYPERLINK("https://pbs.twimg.com/profile_images/962471262747529216/Uo8lOkRJ_normal.jpg","View")</f>
        <v>View</v>
      </c>
      <c r="P11387" s="7"/>
    </row>
    <row r="11388" spans="1:16">
      <c r="A11388" s="3">
        <v>44134.853726851856</v>
      </c>
      <c r="B11388" s="4" t="str">
        <f>HYPERLINK("https://twitter.com/petrogustavo","@petrogustavo")</f>
        <v>@petrogustavo</v>
      </c>
      <c r="C11388" s="5" t="s">
        <v>16</v>
      </c>
      <c r="D11388" s="5" t="s">
        <v>10963</v>
      </c>
      <c r="E11388" s="6" t="str">
        <f>HYPERLINK("https://twitter.com/petrogustavo/status/1322191372263317511","1322191372263317511")</f>
        <v>1322191372263317511</v>
      </c>
      <c r="F11388" s="7" t="s">
        <v>17</v>
      </c>
      <c r="G11388" s="7">
        <v>3998489</v>
      </c>
      <c r="H11388" s="7">
        <v>2455</v>
      </c>
      <c r="I11388" s="7">
        <v>34</v>
      </c>
      <c r="J11388" s="7">
        <v>0</v>
      </c>
      <c r="K11388" s="7" t="s">
        <v>18</v>
      </c>
      <c r="L11388" s="8">
        <v>39987.315405092595</v>
      </c>
      <c r="M11388" s="9" t="s">
        <v>19</v>
      </c>
      <c r="N11388" s="9" t="s">
        <v>20</v>
      </c>
      <c r="O11388" s="6" t="str">
        <f>HYPERLINK("https://pbs.twimg.com/profile_images/962471262747529216/Uo8lOkRJ_normal.jpg","View")</f>
        <v>View</v>
      </c>
      <c r="P11388" s="7"/>
    </row>
    <row r="11389" spans="1:16">
      <c r="A11389" s="3">
        <v>44134.857962962968</v>
      </c>
      <c r="B11389" s="4" t="str">
        <f>HYPERLINK("https://twitter.com/petrogustavo","@petrogustavo")</f>
        <v>@petrogustavo</v>
      </c>
      <c r="C11389" s="5" t="s">
        <v>16</v>
      </c>
      <c r="D11389" s="5" t="s">
        <v>10964</v>
      </c>
      <c r="E11389" s="6" t="str">
        <f>HYPERLINK("https://twitter.com/petrogustavo/status/1322192905663090688","1322192905663090688")</f>
        <v>1322192905663090688</v>
      </c>
      <c r="F11389" s="7" t="s">
        <v>17</v>
      </c>
      <c r="G11389" s="7">
        <v>3998489</v>
      </c>
      <c r="H11389" s="7">
        <v>2455</v>
      </c>
      <c r="I11389" s="7">
        <v>60</v>
      </c>
      <c r="J11389" s="7">
        <v>206</v>
      </c>
      <c r="K11389" s="7" t="s">
        <v>18</v>
      </c>
      <c r="L11389" s="8">
        <v>39987.315405092595</v>
      </c>
      <c r="M11389" s="9" t="s">
        <v>19</v>
      </c>
      <c r="N11389" s="9" t="s">
        <v>20</v>
      </c>
      <c r="O11389" s="6" t="str">
        <f>HYPERLINK("https://pbs.twimg.com/profile_images/962471262747529216/Uo8lOkRJ_normal.jpg","View")</f>
        <v>View</v>
      </c>
      <c r="P11389" s="7"/>
    </row>
    <row r="11390" spans="1:16">
      <c r="A11390" s="3">
        <v>44134.858541666668</v>
      </c>
      <c r="B11390" s="4" t="str">
        <f>HYPERLINK("https://twitter.com/petrogustavo","@petrogustavo")</f>
        <v>@petrogustavo</v>
      </c>
      <c r="C11390" s="5" t="s">
        <v>16</v>
      </c>
      <c r="D11390" s="5" t="s">
        <v>10965</v>
      </c>
      <c r="E11390" s="6" t="str">
        <f>HYPERLINK("https://twitter.com/petrogustavo/status/1322193113742483456","1322193113742483456")</f>
        <v>1322193113742483456</v>
      </c>
      <c r="F11390" s="7" t="s">
        <v>17</v>
      </c>
      <c r="G11390" s="7">
        <v>3998489</v>
      </c>
      <c r="H11390" s="7">
        <v>2455</v>
      </c>
      <c r="I11390" s="7">
        <v>102</v>
      </c>
      <c r="J11390" s="7">
        <v>0</v>
      </c>
      <c r="K11390" s="7" t="s">
        <v>18</v>
      </c>
      <c r="L11390" s="8">
        <v>39987.315405092595</v>
      </c>
      <c r="M11390" s="9" t="s">
        <v>19</v>
      </c>
      <c r="N11390" s="9" t="s">
        <v>20</v>
      </c>
      <c r="O11390" s="6" t="str">
        <f>HYPERLINK("https://pbs.twimg.com/profile_images/962471262747529216/Uo8lOkRJ_normal.jpg","View")</f>
        <v>View</v>
      </c>
      <c r="P11390" s="7"/>
    </row>
    <row r="11391" spans="1:16">
      <c r="A11391" s="3">
        <v>44134.858657407407</v>
      </c>
      <c r="B11391" s="4" t="str">
        <f>HYPERLINK("https://twitter.com/petrogustavo","@petrogustavo")</f>
        <v>@petrogustavo</v>
      </c>
      <c r="C11391" s="5" t="s">
        <v>16</v>
      </c>
      <c r="D11391" s="5" t="s">
        <v>10966</v>
      </c>
      <c r="E11391" s="6" t="str">
        <f>HYPERLINK("https://twitter.com/petrogustavo/status/1322193157270982657","1322193157270982657")</f>
        <v>1322193157270982657</v>
      </c>
      <c r="F11391" s="7" t="s">
        <v>17</v>
      </c>
      <c r="G11391" s="7">
        <v>3998489</v>
      </c>
      <c r="H11391" s="7">
        <v>2455</v>
      </c>
      <c r="I11391" s="7">
        <v>122</v>
      </c>
      <c r="J11391" s="7">
        <v>0</v>
      </c>
      <c r="K11391" s="7" t="s">
        <v>18</v>
      </c>
      <c r="L11391" s="8">
        <v>39987.315405092595</v>
      </c>
      <c r="M11391" s="9" t="s">
        <v>19</v>
      </c>
      <c r="N11391" s="9" t="s">
        <v>20</v>
      </c>
      <c r="O11391" s="6" t="str">
        <f>HYPERLINK("https://pbs.twimg.com/profile_images/962471262747529216/Uo8lOkRJ_normal.jpg","View")</f>
        <v>View</v>
      </c>
      <c r="P11391" s="7"/>
    </row>
    <row r="11392" spans="1:16">
      <c r="A11392" s="3">
        <v>44134.867349537039</v>
      </c>
      <c r="B11392" s="4" t="str">
        <f>HYPERLINK("https://twitter.com/petrogustavo","@petrogustavo")</f>
        <v>@petrogustavo</v>
      </c>
      <c r="C11392" s="5" t="s">
        <v>16</v>
      </c>
      <c r="D11392" s="5" t="s">
        <v>10967</v>
      </c>
      <c r="E11392" s="6" t="str">
        <f>HYPERLINK("https://twitter.com/petrogustavo/status/1322196308694884355","1322196308694884355")</f>
        <v>1322196308694884355</v>
      </c>
      <c r="F11392" s="7" t="s">
        <v>17</v>
      </c>
      <c r="G11392" s="7">
        <v>3998494</v>
      </c>
      <c r="H11392" s="7">
        <v>2455</v>
      </c>
      <c r="I11392" s="7">
        <v>37</v>
      </c>
      <c r="J11392" s="7">
        <v>0</v>
      </c>
      <c r="K11392" s="7" t="s">
        <v>18</v>
      </c>
      <c r="L11392" s="8">
        <v>39987.315405092595</v>
      </c>
      <c r="M11392" s="9" t="s">
        <v>19</v>
      </c>
      <c r="N11392" s="9" t="s">
        <v>20</v>
      </c>
      <c r="O11392" s="6" t="str">
        <f>HYPERLINK("https://pbs.twimg.com/profile_images/962471262747529216/Uo8lOkRJ_normal.jpg","View")</f>
        <v>View</v>
      </c>
      <c r="P11392" s="7"/>
    </row>
    <row r="11393" spans="1:16">
      <c r="A11393" s="3">
        <v>44134.963599537034</v>
      </c>
      <c r="B11393" s="4" t="str">
        <f>HYPERLINK("https://twitter.com/petrogustavo","@petrogustavo")</f>
        <v>@petrogustavo</v>
      </c>
      <c r="C11393" s="5" t="s">
        <v>16</v>
      </c>
      <c r="D11393" s="5" t="s">
        <v>10968</v>
      </c>
      <c r="E11393" s="6" t="str">
        <f>HYPERLINK("https://twitter.com/petrogustavo/status/1322231188363317253","1322231188363317253")</f>
        <v>1322231188363317253</v>
      </c>
      <c r="F11393" s="7" t="s">
        <v>32</v>
      </c>
      <c r="G11393" s="7">
        <v>3998537</v>
      </c>
      <c r="H11393" s="7">
        <v>2455</v>
      </c>
      <c r="I11393" s="7">
        <v>22</v>
      </c>
      <c r="J11393" s="7">
        <v>0</v>
      </c>
      <c r="K11393" s="7" t="s">
        <v>18</v>
      </c>
      <c r="L11393" s="8">
        <v>39987.315405092595</v>
      </c>
      <c r="M11393" s="9" t="s">
        <v>19</v>
      </c>
      <c r="N11393" s="9" t="s">
        <v>20</v>
      </c>
      <c r="O11393" s="6" t="str">
        <f>HYPERLINK("https://pbs.twimg.com/profile_images/962471262747529216/Uo8lOkRJ_normal.jpg","View")</f>
        <v>View</v>
      </c>
      <c r="P11393" s="7"/>
    </row>
    <row r="11394" spans="1:16">
      <c r="A11394" s="3">
        <v>44134.964282407411</v>
      </c>
      <c r="B11394" s="4" t="str">
        <f>HYPERLINK("https://twitter.com/petrogustavo","@petrogustavo")</f>
        <v>@petrogustavo</v>
      </c>
      <c r="C11394" s="5" t="s">
        <v>16</v>
      </c>
      <c r="D11394" s="5" t="s">
        <v>10969</v>
      </c>
      <c r="E11394" s="6" t="str">
        <f>HYPERLINK("https://twitter.com/petrogustavo/status/1322231433423933440","1322231433423933440")</f>
        <v>1322231433423933440</v>
      </c>
      <c r="F11394" s="7" t="s">
        <v>32</v>
      </c>
      <c r="G11394" s="7">
        <v>3998537</v>
      </c>
      <c r="H11394" s="7">
        <v>2455</v>
      </c>
      <c r="I11394" s="7">
        <v>275</v>
      </c>
      <c r="J11394" s="7">
        <v>0</v>
      </c>
      <c r="K11394" s="7" t="s">
        <v>18</v>
      </c>
      <c r="L11394" s="8">
        <v>39987.315405092595</v>
      </c>
      <c r="M11394" s="9" t="s">
        <v>19</v>
      </c>
      <c r="N11394" s="9" t="s">
        <v>20</v>
      </c>
      <c r="O11394" s="6" t="str">
        <f>HYPERLINK("https://pbs.twimg.com/profile_images/962471262747529216/Uo8lOkRJ_normal.jpg","View")</f>
        <v>View</v>
      </c>
      <c r="P11394" s="7"/>
    </row>
    <row r="11395" spans="1:16">
      <c r="A11395" s="3">
        <v>44134.964907407411</v>
      </c>
      <c r="B11395" s="4" t="str">
        <f>HYPERLINK("https://twitter.com/petrogustavo","@petrogustavo")</f>
        <v>@petrogustavo</v>
      </c>
      <c r="C11395" s="5" t="s">
        <v>16</v>
      </c>
      <c r="D11395" s="5" t="s">
        <v>10970</v>
      </c>
      <c r="E11395" s="6" t="str">
        <f>HYPERLINK("https://twitter.com/petrogustavo/status/1322231659408859136","1322231659408859136")</f>
        <v>1322231659408859136</v>
      </c>
      <c r="F11395" s="7" t="s">
        <v>32</v>
      </c>
      <c r="G11395" s="7">
        <v>3998537</v>
      </c>
      <c r="H11395" s="7">
        <v>2455</v>
      </c>
      <c r="I11395" s="7">
        <v>36</v>
      </c>
      <c r="J11395" s="7">
        <v>0</v>
      </c>
      <c r="K11395" s="7" t="s">
        <v>18</v>
      </c>
      <c r="L11395" s="8">
        <v>39987.315405092595</v>
      </c>
      <c r="M11395" s="9" t="s">
        <v>19</v>
      </c>
      <c r="N11395" s="9" t="s">
        <v>20</v>
      </c>
      <c r="O11395" s="6" t="str">
        <f>HYPERLINK("https://pbs.twimg.com/profile_images/962471262747529216/Uo8lOkRJ_normal.jpg","View")</f>
        <v>View</v>
      </c>
      <c r="P11395" s="7"/>
    </row>
    <row r="11396" spans="1:16">
      <c r="A11396" s="3">
        <v>44134.983101851853</v>
      </c>
      <c r="B11396" s="4" t="str">
        <f>HYPERLINK("https://twitter.com/petrogustavo","@petrogustavo")</f>
        <v>@petrogustavo</v>
      </c>
      <c r="C11396" s="5" t="s">
        <v>16</v>
      </c>
      <c r="D11396" s="5" t="s">
        <v>10971</v>
      </c>
      <c r="E11396" s="6" t="str">
        <f>HYPERLINK("https://twitter.com/petrogustavo/status/1322238253458726913","1322238253458726913")</f>
        <v>1322238253458726913</v>
      </c>
      <c r="F11396" s="7" t="s">
        <v>32</v>
      </c>
      <c r="G11396" s="7">
        <v>3998549</v>
      </c>
      <c r="H11396" s="7">
        <v>2455</v>
      </c>
      <c r="I11396" s="7">
        <v>61</v>
      </c>
      <c r="J11396" s="7">
        <v>0</v>
      </c>
      <c r="K11396" s="7" t="s">
        <v>18</v>
      </c>
      <c r="L11396" s="8">
        <v>39987.315405092595</v>
      </c>
      <c r="M11396" s="9" t="s">
        <v>19</v>
      </c>
      <c r="N11396" s="9" t="s">
        <v>20</v>
      </c>
      <c r="O11396" s="6" t="str">
        <f>HYPERLINK("https://pbs.twimg.com/profile_images/962471262747529216/Uo8lOkRJ_normal.jpg","View")</f>
        <v>View</v>
      </c>
      <c r="P11396" s="7"/>
    </row>
    <row r="11397" spans="1:16">
      <c r="A11397" s="3">
        <v>44135.008773148147</v>
      </c>
      <c r="B11397" s="4" t="str">
        <f>HYPERLINK("https://twitter.com/petrogustavo","@petrogustavo")</f>
        <v>@petrogustavo</v>
      </c>
      <c r="C11397" s="5" t="s">
        <v>16</v>
      </c>
      <c r="D11397" s="5" t="s">
        <v>10972</v>
      </c>
      <c r="E11397" s="6" t="str">
        <f>HYPERLINK("https://twitter.com/petrogustavo/status/1322247557641359366","1322247557641359366")</f>
        <v>1322247557641359366</v>
      </c>
      <c r="F11397" s="7" t="s">
        <v>32</v>
      </c>
      <c r="G11397" s="7">
        <v>3998554</v>
      </c>
      <c r="H11397" s="7">
        <v>2455</v>
      </c>
      <c r="I11397" s="7">
        <v>11</v>
      </c>
      <c r="J11397" s="7">
        <v>0</v>
      </c>
      <c r="K11397" s="7" t="s">
        <v>18</v>
      </c>
      <c r="L11397" s="8">
        <v>39987.315405092595</v>
      </c>
      <c r="M11397" s="9" t="s">
        <v>19</v>
      </c>
      <c r="N11397" s="9" t="s">
        <v>20</v>
      </c>
      <c r="O11397" s="6" t="str">
        <f>HYPERLINK("https://pbs.twimg.com/profile_images/962471262747529216/Uo8lOkRJ_normal.jpg","View")</f>
        <v>View</v>
      </c>
      <c r="P11397" s="7"/>
    </row>
    <row r="11398" spans="1:16">
      <c r="A11398" s="3">
        <v>44135.027037037042</v>
      </c>
      <c r="B11398" s="4" t="str">
        <f>HYPERLINK("https://twitter.com/petrogustavo","@petrogustavo")</f>
        <v>@petrogustavo</v>
      </c>
      <c r="C11398" s="5" t="s">
        <v>16</v>
      </c>
      <c r="D11398" s="5" t="s">
        <v>10973</v>
      </c>
      <c r="E11398" s="6" t="str">
        <f>HYPERLINK("https://twitter.com/petrogustavo/status/1322254176722866177","1322254176722866177")</f>
        <v>1322254176722866177</v>
      </c>
      <c r="F11398" s="7" t="s">
        <v>32</v>
      </c>
      <c r="G11398" s="7">
        <v>3998563</v>
      </c>
      <c r="H11398" s="7">
        <v>2455</v>
      </c>
      <c r="I11398" s="7">
        <v>139</v>
      </c>
      <c r="J11398" s="7">
        <v>0</v>
      </c>
      <c r="K11398" s="7" t="s">
        <v>18</v>
      </c>
      <c r="L11398" s="8">
        <v>39987.315405092595</v>
      </c>
      <c r="M11398" s="9" t="s">
        <v>19</v>
      </c>
      <c r="N11398" s="9" t="s">
        <v>20</v>
      </c>
      <c r="O11398" s="6" t="str">
        <f>HYPERLINK("https://pbs.twimg.com/profile_images/962471262747529216/Uo8lOkRJ_normal.jpg","View")</f>
        <v>View</v>
      </c>
      <c r="P11398" s="7"/>
    </row>
    <row r="11399" spans="1:16">
      <c r="A11399" s="3">
        <v>44135.027245370366</v>
      </c>
      <c r="B11399" s="4" t="str">
        <f>HYPERLINK("https://twitter.com/petrogustavo","@petrogustavo")</f>
        <v>@petrogustavo</v>
      </c>
      <c r="C11399" s="5" t="s">
        <v>16</v>
      </c>
      <c r="D11399" s="5" t="s">
        <v>10974</v>
      </c>
      <c r="E11399" s="6" t="str">
        <f>HYPERLINK("https://twitter.com/petrogustavo/status/1322254250286698497","1322254250286698497")</f>
        <v>1322254250286698497</v>
      </c>
      <c r="F11399" s="7" t="s">
        <v>32</v>
      </c>
      <c r="G11399" s="7">
        <v>3998563</v>
      </c>
      <c r="H11399" s="7">
        <v>2455</v>
      </c>
      <c r="I11399" s="7">
        <v>338</v>
      </c>
      <c r="J11399" s="7">
        <v>0</v>
      </c>
      <c r="K11399" s="7" t="s">
        <v>18</v>
      </c>
      <c r="L11399" s="8">
        <v>39987.315405092595</v>
      </c>
      <c r="M11399" s="9" t="s">
        <v>19</v>
      </c>
      <c r="N11399" s="9" t="s">
        <v>20</v>
      </c>
      <c r="O11399" s="6" t="str">
        <f>HYPERLINK("https://pbs.twimg.com/profile_images/962471262747529216/Uo8lOkRJ_normal.jpg","View")</f>
        <v>View</v>
      </c>
      <c r="P11399" s="7"/>
    </row>
    <row r="11400" spans="1:16">
      <c r="A11400" s="3">
        <v>44135.067488425921</v>
      </c>
      <c r="B11400" s="4" t="str">
        <f>HYPERLINK("https://twitter.com/petrogustavo","@petrogustavo")</f>
        <v>@petrogustavo</v>
      </c>
      <c r="C11400" s="5" t="s">
        <v>16</v>
      </c>
      <c r="D11400" s="5" t="s">
        <v>10975</v>
      </c>
      <c r="E11400" s="6" t="str">
        <f>HYPERLINK("https://twitter.com/petrogustavo/status/1322268833361649666","1322268833361649666")</f>
        <v>1322268833361649666</v>
      </c>
      <c r="F11400" s="7" t="s">
        <v>32</v>
      </c>
      <c r="G11400" s="7">
        <v>3998583</v>
      </c>
      <c r="H11400" s="7">
        <v>2455</v>
      </c>
      <c r="I11400" s="7">
        <v>102</v>
      </c>
      <c r="J11400" s="7">
        <v>210</v>
      </c>
      <c r="K11400" s="7" t="s">
        <v>18</v>
      </c>
      <c r="L11400" s="8">
        <v>39987.315405092595</v>
      </c>
      <c r="M11400" s="9" t="s">
        <v>19</v>
      </c>
      <c r="N11400" s="9" t="s">
        <v>20</v>
      </c>
      <c r="O11400" s="6" t="str">
        <f>HYPERLINK("https://pbs.twimg.com/profile_images/962471262747529216/Uo8lOkRJ_normal.jpg","View")</f>
        <v>View</v>
      </c>
      <c r="P11400" s="7"/>
    </row>
    <row r="11401" spans="1:16">
      <c r="A11401" s="3">
        <v>44135.08393518519</v>
      </c>
      <c r="B11401" s="4" t="str">
        <f>HYPERLINK("https://twitter.com/petrogustavo","@petrogustavo")</f>
        <v>@petrogustavo</v>
      </c>
      <c r="C11401" s="5" t="s">
        <v>16</v>
      </c>
      <c r="D11401" s="5" t="s">
        <v>10976</v>
      </c>
      <c r="E11401" s="6" t="str">
        <f>HYPERLINK("https://twitter.com/petrogustavo/status/1322274796185464832","1322274796185464832")</f>
        <v>1322274796185464832</v>
      </c>
      <c r="F11401" s="7" t="s">
        <v>17</v>
      </c>
      <c r="G11401" s="7">
        <v>3998593</v>
      </c>
      <c r="H11401" s="7">
        <v>2455</v>
      </c>
      <c r="I11401" s="7">
        <v>176</v>
      </c>
      <c r="J11401" s="7">
        <v>538</v>
      </c>
      <c r="K11401" s="7" t="s">
        <v>18</v>
      </c>
      <c r="L11401" s="8">
        <v>39987.315405092595</v>
      </c>
      <c r="M11401" s="9" t="s">
        <v>19</v>
      </c>
      <c r="N11401" s="9" t="s">
        <v>20</v>
      </c>
      <c r="O11401" s="6" t="str">
        <f>HYPERLINK("https://pbs.twimg.com/profile_images/962471262747529216/Uo8lOkRJ_normal.jpg","View")</f>
        <v>View</v>
      </c>
      <c r="P11401" s="7"/>
    </row>
    <row r="11402" spans="1:16">
      <c r="A11402" s="3">
        <v>44135.087314814809</v>
      </c>
      <c r="B11402" s="4" t="str">
        <f>HYPERLINK("https://twitter.com/petrogustavo","@petrogustavo")</f>
        <v>@petrogustavo</v>
      </c>
      <c r="C11402" s="5" t="s">
        <v>16</v>
      </c>
      <c r="D11402" s="5" t="s">
        <v>10977</v>
      </c>
      <c r="E11402" s="6" t="str">
        <f>HYPERLINK("https://twitter.com/petrogustavo/status/1322276021211701249","1322276021211701249")</f>
        <v>1322276021211701249</v>
      </c>
      <c r="F11402" s="7" t="s">
        <v>17</v>
      </c>
      <c r="G11402" s="7">
        <v>3998593</v>
      </c>
      <c r="H11402" s="7">
        <v>2455</v>
      </c>
      <c r="I11402" s="7">
        <v>18</v>
      </c>
      <c r="J11402" s="7">
        <v>0</v>
      </c>
      <c r="K11402" s="7" t="s">
        <v>18</v>
      </c>
      <c r="L11402" s="8">
        <v>39987.315405092595</v>
      </c>
      <c r="M11402" s="9" t="s">
        <v>19</v>
      </c>
      <c r="N11402" s="9" t="s">
        <v>20</v>
      </c>
      <c r="O11402" s="6" t="str">
        <f>HYPERLINK("https://pbs.twimg.com/profile_images/962471262747529216/Uo8lOkRJ_normal.jpg","View")</f>
        <v>View</v>
      </c>
      <c r="P11402" s="7"/>
    </row>
    <row r="11403" spans="1:16">
      <c r="A11403" s="3">
        <v>44135.089814814812</v>
      </c>
      <c r="B11403" s="4" t="str">
        <f>HYPERLINK("https://twitter.com/petrogustavo","@petrogustavo")</f>
        <v>@petrogustavo</v>
      </c>
      <c r="C11403" s="5" t="s">
        <v>16</v>
      </c>
      <c r="D11403" s="5" t="s">
        <v>10978</v>
      </c>
      <c r="E11403" s="6" t="str">
        <f>HYPERLINK("https://twitter.com/petrogustavo/status/1322276925688205313","1322276925688205313")</f>
        <v>1322276925688205313</v>
      </c>
      <c r="F11403" s="7" t="s">
        <v>17</v>
      </c>
      <c r="G11403" s="7">
        <v>3998593</v>
      </c>
      <c r="H11403" s="7">
        <v>2455</v>
      </c>
      <c r="I11403" s="7">
        <v>59</v>
      </c>
      <c r="J11403" s="7">
        <v>252</v>
      </c>
      <c r="K11403" s="7" t="s">
        <v>18</v>
      </c>
      <c r="L11403" s="8">
        <v>39987.315405092595</v>
      </c>
      <c r="M11403" s="9" t="s">
        <v>19</v>
      </c>
      <c r="N11403" s="9" t="s">
        <v>20</v>
      </c>
      <c r="O11403" s="6" t="str">
        <f>HYPERLINK("https://pbs.twimg.com/profile_images/962471262747529216/Uo8lOkRJ_normal.jpg","View")</f>
        <v>View</v>
      </c>
      <c r="P11403" s="7"/>
    </row>
    <row r="11404" spans="1:16">
      <c r="A11404" s="3">
        <v>44135.093935185185</v>
      </c>
      <c r="B11404" s="4" t="str">
        <f>HYPERLINK("https://twitter.com/petrogustavo","@petrogustavo")</f>
        <v>@petrogustavo</v>
      </c>
      <c r="C11404" s="5" t="s">
        <v>16</v>
      </c>
      <c r="D11404" s="5" t="s">
        <v>10979</v>
      </c>
      <c r="E11404" s="6" t="str">
        <f>HYPERLINK("https://twitter.com/petrogustavo/status/1322278417971204100","1322278417971204100")</f>
        <v>1322278417971204100</v>
      </c>
      <c r="F11404" s="7" t="s">
        <v>17</v>
      </c>
      <c r="G11404" s="7">
        <v>3998593</v>
      </c>
      <c r="H11404" s="7">
        <v>2455</v>
      </c>
      <c r="I11404" s="7">
        <v>17</v>
      </c>
      <c r="J11404" s="7">
        <v>43</v>
      </c>
      <c r="K11404" s="7" t="s">
        <v>18</v>
      </c>
      <c r="L11404" s="8">
        <v>39987.315405092595</v>
      </c>
      <c r="M11404" s="9" t="s">
        <v>19</v>
      </c>
      <c r="N11404" s="9" t="s">
        <v>20</v>
      </c>
      <c r="O11404" s="6" t="str">
        <f>HYPERLINK("https://pbs.twimg.com/profile_images/962471262747529216/Uo8lOkRJ_normal.jpg","View")</f>
        <v>View</v>
      </c>
      <c r="P11404" s="7"/>
    </row>
    <row r="11405" spans="1:16">
      <c r="A11405" s="3">
        <v>44135.098483796297</v>
      </c>
      <c r="B11405" s="4" t="str">
        <f>HYPERLINK("https://twitter.com/petrogustavo","@petrogustavo")</f>
        <v>@petrogustavo</v>
      </c>
      <c r="C11405" s="5" t="s">
        <v>16</v>
      </c>
      <c r="D11405" s="5" t="s">
        <v>10980</v>
      </c>
      <c r="E11405" s="6" t="str">
        <f>HYPERLINK("https://twitter.com/petrogustavo/status/1322280068505346048","1322280068505346048")</f>
        <v>1322280068505346048</v>
      </c>
      <c r="F11405" s="7" t="s">
        <v>17</v>
      </c>
      <c r="G11405" s="7">
        <v>3998579</v>
      </c>
      <c r="H11405" s="7">
        <v>2455</v>
      </c>
      <c r="I11405" s="7">
        <v>137</v>
      </c>
      <c r="J11405" s="7">
        <v>282</v>
      </c>
      <c r="K11405" s="7" t="s">
        <v>18</v>
      </c>
      <c r="L11405" s="8">
        <v>39987.315405092595</v>
      </c>
      <c r="M11405" s="9" t="s">
        <v>19</v>
      </c>
      <c r="N11405" s="9" t="s">
        <v>20</v>
      </c>
      <c r="O11405" s="6" t="str">
        <f>HYPERLINK("https://pbs.twimg.com/profile_images/962471262747529216/Uo8lOkRJ_normal.jpg","View")</f>
        <v>View</v>
      </c>
      <c r="P11405" s="7"/>
    </row>
    <row r="11406" spans="1:16">
      <c r="A11406" s="3">
        <v>44135.251956018517</v>
      </c>
      <c r="B11406" s="4" t="str">
        <f>HYPERLINK("https://twitter.com/petrogustavo","@petrogustavo")</f>
        <v>@petrogustavo</v>
      </c>
      <c r="C11406" s="5" t="s">
        <v>16</v>
      </c>
      <c r="D11406" s="5" t="s">
        <v>10981</v>
      </c>
      <c r="E11406" s="6" t="str">
        <f>HYPERLINK("https://twitter.com/petrogustavo/status/1322335682015174658","1322335682015174658")</f>
        <v>1322335682015174658</v>
      </c>
      <c r="F11406" s="7" t="s">
        <v>32</v>
      </c>
      <c r="G11406" s="7">
        <v>3998670</v>
      </c>
      <c r="H11406" s="7">
        <v>2455</v>
      </c>
      <c r="I11406" s="7">
        <v>143</v>
      </c>
      <c r="J11406" s="7">
        <v>0</v>
      </c>
      <c r="K11406" s="7" t="s">
        <v>18</v>
      </c>
      <c r="L11406" s="8">
        <v>39987.315405092595</v>
      </c>
      <c r="M11406" s="9" t="s">
        <v>19</v>
      </c>
      <c r="N11406" s="9" t="s">
        <v>20</v>
      </c>
      <c r="O11406" s="6" t="str">
        <f>HYPERLINK("https://pbs.twimg.com/profile_images/962471262747529216/Uo8lOkRJ_normal.jpg","View")</f>
        <v>View</v>
      </c>
      <c r="P11406" s="7"/>
    </row>
    <row r="11407" spans="1:16">
      <c r="A11407" s="3">
        <v>44135.253252314811</v>
      </c>
      <c r="B11407" s="4" t="str">
        <f>HYPERLINK("https://twitter.com/petrogustavo","@petrogustavo")</f>
        <v>@petrogustavo</v>
      </c>
      <c r="C11407" s="5" t="s">
        <v>16</v>
      </c>
      <c r="D11407" s="5" t="s">
        <v>10982</v>
      </c>
      <c r="E11407" s="6" t="str">
        <f>HYPERLINK("https://twitter.com/petrogustavo/status/1322336154922950657","1322336154922950657")</f>
        <v>1322336154922950657</v>
      </c>
      <c r="F11407" s="7" t="s">
        <v>32</v>
      </c>
      <c r="G11407" s="7">
        <v>3998670</v>
      </c>
      <c r="H11407" s="7">
        <v>2455</v>
      </c>
      <c r="I11407" s="7">
        <v>43</v>
      </c>
      <c r="J11407" s="7">
        <v>0</v>
      </c>
      <c r="K11407" s="7" t="s">
        <v>18</v>
      </c>
      <c r="L11407" s="8">
        <v>39987.315405092595</v>
      </c>
      <c r="M11407" s="9" t="s">
        <v>19</v>
      </c>
      <c r="N11407" s="9" t="s">
        <v>20</v>
      </c>
      <c r="O11407" s="6" t="str">
        <f>HYPERLINK("https://pbs.twimg.com/profile_images/962471262747529216/Uo8lOkRJ_normal.jpg","View")</f>
        <v>View</v>
      </c>
      <c r="P11407" s="7"/>
    </row>
    <row r="11408" spans="1:16">
      <c r="A11408" s="3">
        <v>44135.25408564815</v>
      </c>
      <c r="B11408" s="4" t="str">
        <f>HYPERLINK("https://twitter.com/petrogustavo","@petrogustavo")</f>
        <v>@petrogustavo</v>
      </c>
      <c r="C11408" s="5" t="s">
        <v>16</v>
      </c>
      <c r="D11408" s="5" t="s">
        <v>10983</v>
      </c>
      <c r="E11408" s="6" t="str">
        <f>HYPERLINK("https://twitter.com/petrogustavo/status/1322336457164554242","1322336457164554242")</f>
        <v>1322336457164554242</v>
      </c>
      <c r="F11408" s="7" t="s">
        <v>32</v>
      </c>
      <c r="G11408" s="7">
        <v>3998670</v>
      </c>
      <c r="H11408" s="7">
        <v>2455</v>
      </c>
      <c r="I11408" s="7">
        <v>33</v>
      </c>
      <c r="J11408" s="7">
        <v>0</v>
      </c>
      <c r="K11408" s="7" t="s">
        <v>18</v>
      </c>
      <c r="L11408" s="8">
        <v>39987.315405092595</v>
      </c>
      <c r="M11408" s="9" t="s">
        <v>19</v>
      </c>
      <c r="N11408" s="9" t="s">
        <v>20</v>
      </c>
      <c r="O11408" s="6" t="str">
        <f>HYPERLINK("https://pbs.twimg.com/profile_images/962471262747529216/Uo8lOkRJ_normal.jpg","View")</f>
        <v>View</v>
      </c>
      <c r="P11408" s="7"/>
    </row>
    <row r="11409" spans="1:16">
      <c r="A11409" s="3">
        <v>44135.262037037042</v>
      </c>
      <c r="B11409" s="4" t="str">
        <f>HYPERLINK("https://twitter.com/petrogustavo","@petrogustavo")</f>
        <v>@petrogustavo</v>
      </c>
      <c r="C11409" s="5" t="s">
        <v>16</v>
      </c>
      <c r="D11409" s="5" t="s">
        <v>10984</v>
      </c>
      <c r="E11409" s="6" t="str">
        <f>HYPERLINK("https://twitter.com/petrogustavo/status/1322339338139611137","1322339338139611137")</f>
        <v>1322339338139611137</v>
      </c>
      <c r="F11409" s="7" t="s">
        <v>32</v>
      </c>
      <c r="G11409" s="7">
        <v>3998670</v>
      </c>
      <c r="H11409" s="7">
        <v>2455</v>
      </c>
      <c r="I11409" s="7">
        <v>78</v>
      </c>
      <c r="J11409" s="7">
        <v>0</v>
      </c>
      <c r="K11409" s="7" t="s">
        <v>18</v>
      </c>
      <c r="L11409" s="8">
        <v>39987.315405092595</v>
      </c>
      <c r="M11409" s="9" t="s">
        <v>19</v>
      </c>
      <c r="N11409" s="9" t="s">
        <v>20</v>
      </c>
      <c r="O11409" s="6" t="str">
        <f>HYPERLINK("https://pbs.twimg.com/profile_images/962471262747529216/Uo8lOkRJ_normal.jpg","View")</f>
        <v>View</v>
      </c>
      <c r="P11409" s="7"/>
    </row>
    <row r="11410" spans="1:16">
      <c r="A11410" s="3">
        <v>44135.745671296296</v>
      </c>
      <c r="B11410" s="4" t="str">
        <f>HYPERLINK("https://twitter.com/petrogustavo","@petrogustavo")</f>
        <v>@petrogustavo</v>
      </c>
      <c r="C11410" s="5" t="s">
        <v>16</v>
      </c>
      <c r="D11410" s="5" t="s">
        <v>10985</v>
      </c>
      <c r="E11410" s="6" t="str">
        <f>HYPERLINK("https://twitter.com/petrogustavo/status/1322514601309851648","1322514601309851648")</f>
        <v>1322514601309851648</v>
      </c>
      <c r="F11410" s="7" t="s">
        <v>32</v>
      </c>
      <c r="G11410" s="7">
        <v>3998792</v>
      </c>
      <c r="H11410" s="7">
        <v>2455</v>
      </c>
      <c r="I11410" s="7">
        <v>157</v>
      </c>
      <c r="J11410" s="7">
        <v>286</v>
      </c>
      <c r="K11410" s="7" t="s">
        <v>18</v>
      </c>
      <c r="L11410" s="8">
        <v>39987.315405092595</v>
      </c>
      <c r="M11410" s="9" t="s">
        <v>19</v>
      </c>
      <c r="N11410" s="9" t="s">
        <v>20</v>
      </c>
      <c r="O11410" s="6" t="str">
        <f>HYPERLINK("https://pbs.twimg.com/profile_images/962471262747529216/Uo8lOkRJ_normal.jpg","View")</f>
        <v>View</v>
      </c>
      <c r="P11410" s="7"/>
    </row>
    <row r="11411" spans="1:16">
      <c r="A11411" s="3">
        <v>44135.75644675926</v>
      </c>
      <c r="B11411" s="4" t="str">
        <f>HYPERLINK("https://twitter.com/petrogustavo","@petrogustavo")</f>
        <v>@petrogustavo</v>
      </c>
      <c r="C11411" s="5" t="s">
        <v>16</v>
      </c>
      <c r="D11411" s="5" t="s">
        <v>10986</v>
      </c>
      <c r="E11411" s="6" t="str">
        <f>HYPERLINK("https://twitter.com/petrogustavo/status/1322518504835174400","1322518504835174400")</f>
        <v>1322518504835174400</v>
      </c>
      <c r="F11411" s="7" t="s">
        <v>32</v>
      </c>
      <c r="G11411" s="7">
        <v>3998792</v>
      </c>
      <c r="H11411" s="7">
        <v>2455</v>
      </c>
      <c r="I11411" s="7">
        <v>84</v>
      </c>
      <c r="J11411" s="7">
        <v>0</v>
      </c>
      <c r="K11411" s="7" t="s">
        <v>18</v>
      </c>
      <c r="L11411" s="8">
        <v>39987.315405092595</v>
      </c>
      <c r="M11411" s="9" t="s">
        <v>19</v>
      </c>
      <c r="N11411" s="9" t="s">
        <v>20</v>
      </c>
      <c r="O11411" s="6" t="str">
        <f>HYPERLINK("https://pbs.twimg.com/profile_images/962471262747529216/Uo8lOkRJ_normal.jpg","View")</f>
        <v>View</v>
      </c>
      <c r="P11411" s="7"/>
    </row>
    <row r="11412" spans="1:16">
      <c r="A11412" s="3">
        <v>44135.76295138889</v>
      </c>
      <c r="B11412" s="4" t="str">
        <f>HYPERLINK("https://twitter.com/petrogustavo","@petrogustavo")</f>
        <v>@petrogustavo</v>
      </c>
      <c r="C11412" s="5" t="s">
        <v>16</v>
      </c>
      <c r="D11412" s="5" t="s">
        <v>10987</v>
      </c>
      <c r="E11412" s="6" t="str">
        <f>HYPERLINK("https://twitter.com/petrogustavo/status/1322520861107171334","1322520861107171334")</f>
        <v>1322520861107171334</v>
      </c>
      <c r="F11412" s="7" t="s">
        <v>32</v>
      </c>
      <c r="G11412" s="7">
        <v>3998808</v>
      </c>
      <c r="H11412" s="7">
        <v>2455</v>
      </c>
      <c r="I11412" s="7">
        <v>52</v>
      </c>
      <c r="J11412" s="7">
        <v>0</v>
      </c>
      <c r="K11412" s="7" t="s">
        <v>18</v>
      </c>
      <c r="L11412" s="8">
        <v>39987.315405092595</v>
      </c>
      <c r="M11412" s="9" t="s">
        <v>19</v>
      </c>
      <c r="N11412" s="9" t="s">
        <v>20</v>
      </c>
      <c r="O11412" s="6" t="str">
        <f>HYPERLINK("https://pbs.twimg.com/profile_images/962471262747529216/Uo8lOkRJ_normal.jpg","View")</f>
        <v>View</v>
      </c>
      <c r="P11412" s="7"/>
    </row>
    <row r="11413" spans="1:16">
      <c r="A11413" s="3">
        <v>44135.833460648151</v>
      </c>
      <c r="B11413" s="4" t="str">
        <f>HYPERLINK("https://twitter.com/petrogustavo","@petrogustavo")</f>
        <v>@petrogustavo</v>
      </c>
      <c r="C11413" s="5" t="s">
        <v>16</v>
      </c>
      <c r="D11413" s="5" t="s">
        <v>10988</v>
      </c>
      <c r="E11413" s="6" t="str">
        <f>HYPERLINK("https://twitter.com/petrogustavo/status/1322546415067947008","1322546415067947008")</f>
        <v>1322546415067947008</v>
      </c>
      <c r="F11413" s="7" t="s">
        <v>32</v>
      </c>
      <c r="G11413" s="7">
        <v>3998854</v>
      </c>
      <c r="H11413" s="7">
        <v>2455</v>
      </c>
      <c r="I11413" s="7">
        <v>28</v>
      </c>
      <c r="J11413" s="7">
        <v>0</v>
      </c>
      <c r="K11413" s="7" t="s">
        <v>18</v>
      </c>
      <c r="L11413" s="8">
        <v>39987.315405092595</v>
      </c>
      <c r="M11413" s="9" t="s">
        <v>19</v>
      </c>
      <c r="N11413" s="9" t="s">
        <v>20</v>
      </c>
      <c r="O11413" s="6" t="str">
        <f>HYPERLINK("https://pbs.twimg.com/profile_images/962471262747529216/Uo8lOkRJ_normal.jpg","View")</f>
        <v>View</v>
      </c>
      <c r="P11413" s="7"/>
    </row>
    <row r="11414" spans="1:16">
      <c r="A11414" s="3">
        <v>44135.833668981482</v>
      </c>
      <c r="B11414" s="4" t="str">
        <f>HYPERLINK("https://twitter.com/petrogustavo","@petrogustavo")</f>
        <v>@petrogustavo</v>
      </c>
      <c r="C11414" s="5" t="s">
        <v>16</v>
      </c>
      <c r="D11414" s="5" t="s">
        <v>10989</v>
      </c>
      <c r="E11414" s="6" t="str">
        <f>HYPERLINK("https://twitter.com/petrogustavo/status/1322546489772675074","1322546489772675074")</f>
        <v>1322546489772675074</v>
      </c>
      <c r="F11414" s="7" t="s">
        <v>32</v>
      </c>
      <c r="G11414" s="7">
        <v>3998854</v>
      </c>
      <c r="H11414" s="7">
        <v>2455</v>
      </c>
      <c r="I11414" s="7">
        <v>38</v>
      </c>
      <c r="J11414" s="7">
        <v>0</v>
      </c>
      <c r="K11414" s="7" t="s">
        <v>18</v>
      </c>
      <c r="L11414" s="8">
        <v>39987.315405092595</v>
      </c>
      <c r="M11414" s="9" t="s">
        <v>19</v>
      </c>
      <c r="N11414" s="9" t="s">
        <v>20</v>
      </c>
      <c r="O11414" s="6" t="str">
        <f>HYPERLINK("https://pbs.twimg.com/profile_images/962471262747529216/Uo8lOkRJ_normal.jpg","View")</f>
        <v>View</v>
      </c>
      <c r="P11414" s="7"/>
    </row>
    <row r="11415" spans="1:16">
      <c r="A11415" s="3">
        <v>44135.835752314815</v>
      </c>
      <c r="B11415" s="4" t="str">
        <f>HYPERLINK("https://twitter.com/petrogustavo","@petrogustavo")</f>
        <v>@petrogustavo</v>
      </c>
      <c r="C11415" s="5" t="s">
        <v>16</v>
      </c>
      <c r="D11415" s="5" t="s">
        <v>10990</v>
      </c>
      <c r="E11415" s="6" t="str">
        <f>HYPERLINK("https://twitter.com/petrogustavo/status/1322547242629255174","1322547242629255174")</f>
        <v>1322547242629255174</v>
      </c>
      <c r="F11415" s="7" t="s">
        <v>32</v>
      </c>
      <c r="G11415" s="7">
        <v>3998854</v>
      </c>
      <c r="H11415" s="7">
        <v>2455</v>
      </c>
      <c r="I11415" s="7">
        <v>142</v>
      </c>
      <c r="J11415" s="7">
        <v>0</v>
      </c>
      <c r="K11415" s="7" t="s">
        <v>18</v>
      </c>
      <c r="L11415" s="8">
        <v>39987.315405092595</v>
      </c>
      <c r="M11415" s="9" t="s">
        <v>19</v>
      </c>
      <c r="N11415" s="9" t="s">
        <v>20</v>
      </c>
      <c r="O11415" s="6" t="str">
        <f>HYPERLINK("https://pbs.twimg.com/profile_images/962471262747529216/Uo8lOkRJ_normal.jpg","View")</f>
        <v>View</v>
      </c>
      <c r="P11415" s="7"/>
    </row>
    <row r="11416" spans="1:16">
      <c r="A11416" s="3">
        <v>44135.884317129632</v>
      </c>
      <c r="B11416" s="4" t="str">
        <f>HYPERLINK("https://twitter.com/petrogustavo","@petrogustavo")</f>
        <v>@petrogustavo</v>
      </c>
      <c r="C11416" s="5" t="s">
        <v>16</v>
      </c>
      <c r="D11416" s="5" t="s">
        <v>10991</v>
      </c>
      <c r="E11416" s="6" t="str">
        <f>HYPERLINK("https://twitter.com/petrogustavo/status/1322564842230874112","1322564842230874112")</f>
        <v>1322564842230874112</v>
      </c>
      <c r="F11416" s="7" t="s">
        <v>17</v>
      </c>
      <c r="G11416" s="7">
        <v>3998876</v>
      </c>
      <c r="H11416" s="7">
        <v>2455</v>
      </c>
      <c r="I11416" s="7">
        <v>54</v>
      </c>
      <c r="J11416" s="7">
        <v>86</v>
      </c>
      <c r="K11416" s="7" t="s">
        <v>18</v>
      </c>
      <c r="L11416" s="8">
        <v>39987.315405092595</v>
      </c>
      <c r="M11416" s="9" t="s">
        <v>19</v>
      </c>
      <c r="N11416" s="9" t="s">
        <v>20</v>
      </c>
      <c r="O11416" s="6" t="str">
        <f>HYPERLINK("https://pbs.twimg.com/profile_images/962471262747529216/Uo8lOkRJ_normal.jpg","View")</f>
        <v>View</v>
      </c>
      <c r="P11416" s="7"/>
    </row>
    <row r="11417" spans="1:16">
      <c r="A11417" s="3">
        <v>44135.88480324074</v>
      </c>
      <c r="B11417" s="4" t="str">
        <f>HYPERLINK("https://twitter.com/petrogustavo","@petrogustavo")</f>
        <v>@petrogustavo</v>
      </c>
      <c r="C11417" s="5" t="s">
        <v>16</v>
      </c>
      <c r="D11417" s="5" t="s">
        <v>10992</v>
      </c>
      <c r="E11417" s="6" t="str">
        <f>HYPERLINK("https://twitter.com/petrogustavo/status/1322565019930923008","1322565019930923008")</f>
        <v>1322565019930923008</v>
      </c>
      <c r="F11417" s="7" t="s">
        <v>17</v>
      </c>
      <c r="G11417" s="7">
        <v>3998876</v>
      </c>
      <c r="H11417" s="7">
        <v>2455</v>
      </c>
      <c r="I11417" s="7">
        <v>7</v>
      </c>
      <c r="J11417" s="7">
        <v>0</v>
      </c>
      <c r="K11417" s="7" t="s">
        <v>18</v>
      </c>
      <c r="L11417" s="8">
        <v>39987.315405092595</v>
      </c>
      <c r="M11417" s="9" t="s">
        <v>19</v>
      </c>
      <c r="N11417" s="9" t="s">
        <v>20</v>
      </c>
      <c r="O11417" s="6" t="str">
        <f>HYPERLINK("https://pbs.twimg.com/profile_images/962471262747529216/Uo8lOkRJ_normal.jpg","View")</f>
        <v>View</v>
      </c>
      <c r="P11417" s="7"/>
    </row>
    <row r="11418" spans="1:16">
      <c r="A11418" s="3">
        <v>44135.891400462962</v>
      </c>
      <c r="B11418" s="4" t="str">
        <f>HYPERLINK("https://twitter.com/petrogustavo","@petrogustavo")</f>
        <v>@petrogustavo</v>
      </c>
      <c r="C11418" s="5" t="s">
        <v>16</v>
      </c>
      <c r="D11418" s="5" t="s">
        <v>10993</v>
      </c>
      <c r="E11418" s="6" t="str">
        <f>HYPERLINK("https://twitter.com/petrogustavo/status/1322567410721935361","1322567410721935361")</f>
        <v>1322567410721935361</v>
      </c>
      <c r="F11418" s="7" t="s">
        <v>17</v>
      </c>
      <c r="G11418" s="7">
        <v>3998880</v>
      </c>
      <c r="H11418" s="7">
        <v>2455</v>
      </c>
      <c r="I11418" s="7">
        <v>151</v>
      </c>
      <c r="J11418" s="7">
        <v>0</v>
      </c>
      <c r="K11418" s="7" t="s">
        <v>18</v>
      </c>
      <c r="L11418" s="8">
        <v>39987.315405092595</v>
      </c>
      <c r="M11418" s="9" t="s">
        <v>19</v>
      </c>
      <c r="N11418" s="9" t="s">
        <v>20</v>
      </c>
      <c r="O11418" s="6" t="str">
        <f>HYPERLINK("https://pbs.twimg.com/profile_images/962471262747529216/Uo8lOkRJ_normal.jpg","View")</f>
        <v>View</v>
      </c>
      <c r="P11418" s="7"/>
    </row>
    <row r="11419" spans="1:16">
      <c r="A11419" s="3">
        <v>44135.893263888887</v>
      </c>
      <c r="B11419" s="4" t="str">
        <f>HYPERLINK("https://twitter.com/petrogustavo","@petrogustavo")</f>
        <v>@petrogustavo</v>
      </c>
      <c r="C11419" s="5" t="s">
        <v>16</v>
      </c>
      <c r="D11419" s="5" t="s">
        <v>10994</v>
      </c>
      <c r="E11419" s="6" t="str">
        <f>HYPERLINK("https://twitter.com/petrogustavo/status/1322568086155833344","1322568086155833344")</f>
        <v>1322568086155833344</v>
      </c>
      <c r="F11419" s="7" t="s">
        <v>17</v>
      </c>
      <c r="G11419" s="7">
        <v>3998880</v>
      </c>
      <c r="H11419" s="7">
        <v>2455</v>
      </c>
      <c r="I11419" s="7">
        <v>65</v>
      </c>
      <c r="J11419" s="7">
        <v>199</v>
      </c>
      <c r="K11419" s="7" t="s">
        <v>18</v>
      </c>
      <c r="L11419" s="8">
        <v>39987.315405092595</v>
      </c>
      <c r="M11419" s="9" t="s">
        <v>19</v>
      </c>
      <c r="N11419" s="9" t="s">
        <v>20</v>
      </c>
      <c r="O11419" s="6" t="str">
        <f>HYPERLINK("https://pbs.twimg.com/profile_images/962471262747529216/Uo8lOkRJ_normal.jpg","View")</f>
        <v>View</v>
      </c>
      <c r="P11419" s="7"/>
    </row>
    <row r="11420" spans="1:16">
      <c r="A11420" s="3">
        <v>44135.894583333335</v>
      </c>
      <c r="B11420" s="4" t="str">
        <f>HYPERLINK("https://twitter.com/petrogustavo","@petrogustavo")</f>
        <v>@petrogustavo</v>
      </c>
      <c r="C11420" s="5" t="s">
        <v>16</v>
      </c>
      <c r="D11420" s="5" t="s">
        <v>10995</v>
      </c>
      <c r="E11420" s="6" t="str">
        <f>HYPERLINK("https://twitter.com/petrogustavo/status/1322568565740965889","1322568565740965889")</f>
        <v>1322568565740965889</v>
      </c>
      <c r="F11420" s="7" t="s">
        <v>17</v>
      </c>
      <c r="G11420" s="7">
        <v>3998880</v>
      </c>
      <c r="H11420" s="7">
        <v>2455</v>
      </c>
      <c r="I11420" s="7">
        <v>201</v>
      </c>
      <c r="J11420" s="7">
        <v>981</v>
      </c>
      <c r="K11420" s="7" t="s">
        <v>18</v>
      </c>
      <c r="L11420" s="8">
        <v>39987.315405092595</v>
      </c>
      <c r="M11420" s="9" t="s">
        <v>19</v>
      </c>
      <c r="N11420" s="9" t="s">
        <v>20</v>
      </c>
      <c r="O11420" s="6" t="str">
        <f>HYPERLINK("https://pbs.twimg.com/profile_images/962471262747529216/Uo8lOkRJ_normal.jpg","View")</f>
        <v>View</v>
      </c>
      <c r="P11420" s="7"/>
    </row>
    <row r="11421" spans="1:16">
      <c r="A11421" s="3">
        <v>44135.908136574071</v>
      </c>
      <c r="B11421" s="4" t="str">
        <f>HYPERLINK("https://twitter.com/petrogustavo","@petrogustavo")</f>
        <v>@petrogustavo</v>
      </c>
      <c r="C11421" s="5" t="s">
        <v>16</v>
      </c>
      <c r="D11421" s="5" t="s">
        <v>10996</v>
      </c>
      <c r="E11421" s="6" t="str">
        <f>HYPERLINK("https://twitter.com/petrogustavo/status/1322573477828792321","1322573477828792321")</f>
        <v>1322573477828792321</v>
      </c>
      <c r="F11421" s="7" t="s">
        <v>17</v>
      </c>
      <c r="G11421" s="7">
        <v>3998880</v>
      </c>
      <c r="H11421" s="7">
        <v>2455</v>
      </c>
      <c r="I11421" s="7">
        <v>46</v>
      </c>
      <c r="J11421" s="7">
        <v>0</v>
      </c>
      <c r="K11421" s="7" t="s">
        <v>18</v>
      </c>
      <c r="L11421" s="8">
        <v>39987.315405092595</v>
      </c>
      <c r="M11421" s="9" t="s">
        <v>19</v>
      </c>
      <c r="N11421" s="9" t="s">
        <v>20</v>
      </c>
      <c r="O11421" s="6" t="str">
        <f>HYPERLINK("https://pbs.twimg.com/profile_images/962471262747529216/Uo8lOkRJ_normal.jpg","View")</f>
        <v>View</v>
      </c>
      <c r="P11421" s="7"/>
    </row>
    <row r="11422" spans="1:16">
      <c r="A11422" s="3">
        <v>44135.909166666665</v>
      </c>
      <c r="B11422" s="4" t="str">
        <f>HYPERLINK("https://twitter.com/petrogustavo","@petrogustavo")</f>
        <v>@petrogustavo</v>
      </c>
      <c r="C11422" s="5" t="s">
        <v>16</v>
      </c>
      <c r="D11422" s="5" t="s">
        <v>10997</v>
      </c>
      <c r="E11422" s="6" t="str">
        <f>HYPERLINK("https://twitter.com/petrogustavo/status/1322573849142112263","1322573849142112263")</f>
        <v>1322573849142112263</v>
      </c>
      <c r="F11422" s="7" t="s">
        <v>17</v>
      </c>
      <c r="G11422" s="7">
        <v>3998883</v>
      </c>
      <c r="H11422" s="7">
        <v>2455</v>
      </c>
      <c r="I11422" s="7">
        <v>23</v>
      </c>
      <c r="J11422" s="7">
        <v>0</v>
      </c>
      <c r="K11422" s="7" t="s">
        <v>18</v>
      </c>
      <c r="L11422" s="8">
        <v>39987.315405092595</v>
      </c>
      <c r="M11422" s="9" t="s">
        <v>19</v>
      </c>
      <c r="N11422" s="9" t="s">
        <v>20</v>
      </c>
      <c r="O11422" s="6" t="str">
        <f>HYPERLINK("https://pbs.twimg.com/profile_images/962471262747529216/Uo8lOkRJ_normal.jpg","View")</f>
        <v>View</v>
      </c>
      <c r="P11422" s="7"/>
    </row>
    <row r="11423" spans="1:16">
      <c r="A11423" s="3">
        <v>44135.915613425925</v>
      </c>
      <c r="B11423" s="4" t="str">
        <f>HYPERLINK("https://twitter.com/petrogustavo","@petrogustavo")</f>
        <v>@petrogustavo</v>
      </c>
      <c r="C11423" s="5" t="s">
        <v>16</v>
      </c>
      <c r="D11423" s="5" t="s">
        <v>10998</v>
      </c>
      <c r="E11423" s="6" t="str">
        <f>HYPERLINK("https://twitter.com/petrogustavo/status/1322576186405433346","1322576186405433346")</f>
        <v>1322576186405433346</v>
      </c>
      <c r="F11423" s="7" t="s">
        <v>17</v>
      </c>
      <c r="G11423" s="7">
        <v>3998883</v>
      </c>
      <c r="H11423" s="7">
        <v>2455</v>
      </c>
      <c r="I11423" s="7">
        <v>35</v>
      </c>
      <c r="J11423" s="7">
        <v>85</v>
      </c>
      <c r="K11423" s="7" t="s">
        <v>18</v>
      </c>
      <c r="L11423" s="8">
        <v>39987.315405092595</v>
      </c>
      <c r="M11423" s="9" t="s">
        <v>19</v>
      </c>
      <c r="N11423" s="9" t="s">
        <v>20</v>
      </c>
      <c r="O11423" s="6" t="str">
        <f>HYPERLINK("https://pbs.twimg.com/profile_images/962471262747529216/Uo8lOkRJ_normal.jpg","View")</f>
        <v>View</v>
      </c>
      <c r="P11423" s="7"/>
    </row>
    <row r="11424" spans="1:16">
      <c r="A11424" s="3">
        <v>44135.918310185181</v>
      </c>
      <c r="B11424" s="4" t="str">
        <f>HYPERLINK("https://twitter.com/petrogustavo","@petrogustavo")</f>
        <v>@petrogustavo</v>
      </c>
      <c r="C11424" s="5" t="s">
        <v>16</v>
      </c>
      <c r="D11424" s="5" t="s">
        <v>10999</v>
      </c>
      <c r="E11424" s="6" t="str">
        <f>HYPERLINK("https://twitter.com/petrogustavo/status/1322577163133005824","1322577163133005824")</f>
        <v>1322577163133005824</v>
      </c>
      <c r="F11424" s="7" t="s">
        <v>17</v>
      </c>
      <c r="G11424" s="7">
        <v>3998883</v>
      </c>
      <c r="H11424" s="7">
        <v>2455</v>
      </c>
      <c r="I11424" s="7">
        <v>89</v>
      </c>
      <c r="J11424" s="7">
        <v>295</v>
      </c>
      <c r="K11424" s="7" t="s">
        <v>18</v>
      </c>
      <c r="L11424" s="8">
        <v>39987.315405092595</v>
      </c>
      <c r="M11424" s="9" t="s">
        <v>19</v>
      </c>
      <c r="N11424" s="9" t="s">
        <v>20</v>
      </c>
      <c r="O11424" s="6" t="str">
        <f>HYPERLINK("https://pbs.twimg.com/profile_images/962471262747529216/Uo8lOkRJ_normal.jpg","View")</f>
        <v>View</v>
      </c>
      <c r="P11424" s="7"/>
    </row>
    <row r="11425" spans="1:16">
      <c r="A11425" s="3">
        <v>44135.920648148152</v>
      </c>
      <c r="B11425" s="4" t="str">
        <f>HYPERLINK("https://twitter.com/petrogustavo","@petrogustavo")</f>
        <v>@petrogustavo</v>
      </c>
      <c r="C11425" s="5" t="s">
        <v>16</v>
      </c>
      <c r="D11425" s="5" t="s">
        <v>11000</v>
      </c>
      <c r="E11425" s="6" t="str">
        <f>HYPERLINK("https://twitter.com/petrogustavo/status/1322578007995854851","1322578007995854851")</f>
        <v>1322578007995854851</v>
      </c>
      <c r="F11425" s="7" t="s">
        <v>17</v>
      </c>
      <c r="G11425" s="7">
        <v>3998883</v>
      </c>
      <c r="H11425" s="7">
        <v>2455</v>
      </c>
      <c r="I11425" s="7">
        <v>415</v>
      </c>
      <c r="J11425" s="7">
        <v>0</v>
      </c>
      <c r="K11425" s="7" t="s">
        <v>18</v>
      </c>
      <c r="L11425" s="8">
        <v>39987.315405092595</v>
      </c>
      <c r="M11425" s="9" t="s">
        <v>19</v>
      </c>
      <c r="N11425" s="9" t="s">
        <v>20</v>
      </c>
      <c r="O11425" s="6" t="str">
        <f>HYPERLINK("https://pbs.twimg.com/profile_images/962471262747529216/Uo8lOkRJ_normal.jpg","View")</f>
        <v>View</v>
      </c>
      <c r="P11425" s="7"/>
    </row>
    <row r="11426" spans="1:16">
      <c r="A11426" s="3">
        <v>44135.923587962963</v>
      </c>
      <c r="B11426" s="4" t="str">
        <f>HYPERLINK("https://twitter.com/petrogustavo","@petrogustavo")</f>
        <v>@petrogustavo</v>
      </c>
      <c r="C11426" s="5" t="s">
        <v>16</v>
      </c>
      <c r="D11426" s="5" t="s">
        <v>11001</v>
      </c>
      <c r="E11426" s="6" t="str">
        <f>HYPERLINK("https://twitter.com/petrogustavo/status/1322579074997538817","1322579074997538817")</f>
        <v>1322579074997538817</v>
      </c>
      <c r="F11426" s="7" t="s">
        <v>17</v>
      </c>
      <c r="G11426" s="7">
        <v>3998883</v>
      </c>
      <c r="H11426" s="7">
        <v>2455</v>
      </c>
      <c r="I11426" s="7">
        <v>19</v>
      </c>
      <c r="J11426" s="7">
        <v>75</v>
      </c>
      <c r="K11426" s="7" t="s">
        <v>18</v>
      </c>
      <c r="L11426" s="8">
        <v>39987.315405092595</v>
      </c>
      <c r="M11426" s="9" t="s">
        <v>19</v>
      </c>
      <c r="N11426" s="9" t="s">
        <v>20</v>
      </c>
      <c r="O11426" s="6" t="str">
        <f>HYPERLINK("https://pbs.twimg.com/profile_images/962471262747529216/Uo8lOkRJ_normal.jpg","View")</f>
        <v>View</v>
      </c>
      <c r="P11426" s="7"/>
    </row>
    <row r="11427" spans="1:16">
      <c r="A11427" s="3">
        <v>44135.924756944441</v>
      </c>
      <c r="B11427" s="4" t="str">
        <f>HYPERLINK("https://twitter.com/petrogustavo","@petrogustavo")</f>
        <v>@petrogustavo</v>
      </c>
      <c r="C11427" s="5" t="s">
        <v>16</v>
      </c>
      <c r="D11427" s="5" t="s">
        <v>11002</v>
      </c>
      <c r="E11427" s="6" t="str">
        <f>HYPERLINK("https://twitter.com/petrogustavo/status/1322579496923484162","1322579496923484162")</f>
        <v>1322579496923484162</v>
      </c>
      <c r="F11427" s="7" t="s">
        <v>17</v>
      </c>
      <c r="G11427" s="7">
        <v>3998883</v>
      </c>
      <c r="H11427" s="7">
        <v>2455</v>
      </c>
      <c r="I11427" s="7">
        <v>6</v>
      </c>
      <c r="J11427" s="7">
        <v>50</v>
      </c>
      <c r="K11427" s="7" t="s">
        <v>18</v>
      </c>
      <c r="L11427" s="8">
        <v>39987.315405092595</v>
      </c>
      <c r="M11427" s="9" t="s">
        <v>19</v>
      </c>
      <c r="N11427" s="9" t="s">
        <v>20</v>
      </c>
      <c r="O11427" s="6" t="str">
        <f>HYPERLINK("https://pbs.twimg.com/profile_images/962471262747529216/Uo8lOkRJ_normal.jpg","View")</f>
        <v>View</v>
      </c>
      <c r="P11427" s="7"/>
    </row>
    <row r="11428" spans="1:16">
      <c r="A11428" s="3">
        <v>44135.926782407405</v>
      </c>
      <c r="B11428" s="4" t="str">
        <f>HYPERLINK("https://twitter.com/petrogustavo","@petrogustavo")</f>
        <v>@petrogustavo</v>
      </c>
      <c r="C11428" s="5" t="s">
        <v>16</v>
      </c>
      <c r="D11428" s="5" t="s">
        <v>11003</v>
      </c>
      <c r="E11428" s="6" t="str">
        <f>HYPERLINK("https://twitter.com/petrogustavo/status/1322580233996902407","1322580233996902407")</f>
        <v>1322580233996902407</v>
      </c>
      <c r="F11428" s="7" t="s">
        <v>17</v>
      </c>
      <c r="G11428" s="7">
        <v>3998883</v>
      </c>
      <c r="H11428" s="7">
        <v>2455</v>
      </c>
      <c r="I11428" s="7">
        <v>6</v>
      </c>
      <c r="J11428" s="7">
        <v>12</v>
      </c>
      <c r="K11428" s="7" t="s">
        <v>18</v>
      </c>
      <c r="L11428" s="8">
        <v>39987.315405092595</v>
      </c>
      <c r="M11428" s="9" t="s">
        <v>19</v>
      </c>
      <c r="N11428" s="9" t="s">
        <v>20</v>
      </c>
      <c r="O11428" s="6" t="str">
        <f>HYPERLINK("https://pbs.twimg.com/profile_images/962471262747529216/Uo8lOkRJ_normal.jpg","View")</f>
        <v>View</v>
      </c>
      <c r="P11428" s="7"/>
    </row>
    <row r="11429" spans="1:16">
      <c r="A11429" s="3">
        <v>44135.9300462963</v>
      </c>
      <c r="B11429" s="4" t="str">
        <f>HYPERLINK("https://twitter.com/petrogustavo","@petrogustavo")</f>
        <v>@petrogustavo</v>
      </c>
      <c r="C11429" s="5" t="s">
        <v>16</v>
      </c>
      <c r="D11429" s="5" t="s">
        <v>11004</v>
      </c>
      <c r="E11429" s="6" t="str">
        <f>HYPERLINK("https://twitter.com/petrogustavo/status/1322581413523279872","1322581413523279872")</f>
        <v>1322581413523279872</v>
      </c>
      <c r="F11429" s="7" t="s">
        <v>17</v>
      </c>
      <c r="G11429" s="7">
        <v>3998895</v>
      </c>
      <c r="H11429" s="7">
        <v>2455</v>
      </c>
      <c r="I11429" s="7">
        <v>52</v>
      </c>
      <c r="J11429" s="7">
        <v>115</v>
      </c>
      <c r="K11429" s="7" t="s">
        <v>18</v>
      </c>
      <c r="L11429" s="8">
        <v>39987.315405092595</v>
      </c>
      <c r="M11429" s="9" t="s">
        <v>19</v>
      </c>
      <c r="N11429" s="9" t="s">
        <v>20</v>
      </c>
      <c r="O11429" s="6" t="str">
        <f>HYPERLINK("https://pbs.twimg.com/profile_images/962471262747529216/Uo8lOkRJ_normal.jpg","View")</f>
        <v>View</v>
      </c>
      <c r="P11429" s="7"/>
    </row>
    <row r="11430" spans="1:16">
      <c r="A11430" s="3">
        <v>44135.93513888889</v>
      </c>
      <c r="B11430" s="4" t="str">
        <f>HYPERLINK("https://twitter.com/petrogustavo","@petrogustavo")</f>
        <v>@petrogustavo</v>
      </c>
      <c r="C11430" s="5" t="s">
        <v>16</v>
      </c>
      <c r="D11430" s="5" t="s">
        <v>11005</v>
      </c>
      <c r="E11430" s="6" t="str">
        <f>HYPERLINK("https://twitter.com/petrogustavo/status/1322583262720630786","1322583262720630786")</f>
        <v>1322583262720630786</v>
      </c>
      <c r="F11430" s="7" t="s">
        <v>17</v>
      </c>
      <c r="G11430" s="7">
        <v>3998895</v>
      </c>
      <c r="H11430" s="7">
        <v>2455</v>
      </c>
      <c r="I11430" s="7">
        <v>28</v>
      </c>
      <c r="J11430" s="7">
        <v>0</v>
      </c>
      <c r="K11430" s="7" t="s">
        <v>18</v>
      </c>
      <c r="L11430" s="8">
        <v>39987.315405092595</v>
      </c>
      <c r="M11430" s="9" t="s">
        <v>19</v>
      </c>
      <c r="N11430" s="9" t="s">
        <v>20</v>
      </c>
      <c r="O11430" s="6" t="str">
        <f>HYPERLINK("https://pbs.twimg.com/profile_images/962471262747529216/Uo8lOkRJ_normal.jpg","View")</f>
        <v>View</v>
      </c>
      <c r="P11430" s="7"/>
    </row>
    <row r="11431" spans="1:16">
      <c r="A11431" s="3">
        <v>44136.033784722225</v>
      </c>
      <c r="B11431" s="4" t="str">
        <f>HYPERLINK("https://twitter.com/petrogustavo","@petrogustavo")</f>
        <v>@petrogustavo</v>
      </c>
      <c r="C11431" s="5" t="s">
        <v>16</v>
      </c>
      <c r="D11431" s="5" t="s">
        <v>11006</v>
      </c>
      <c r="E11431" s="6" t="str">
        <f>HYPERLINK("https://twitter.com/petrogustavo/status/1322619010698088450","1322619010698088450")</f>
        <v>1322619010698088450</v>
      </c>
      <c r="F11431" s="7" t="s">
        <v>17</v>
      </c>
      <c r="G11431" s="7">
        <v>3998948</v>
      </c>
      <c r="H11431" s="7">
        <v>2455</v>
      </c>
      <c r="I11431" s="7">
        <v>0</v>
      </c>
      <c r="J11431" s="7">
        <v>0</v>
      </c>
      <c r="K11431" s="7" t="s">
        <v>18</v>
      </c>
      <c r="L11431" s="8">
        <v>39987.315405092595</v>
      </c>
      <c r="M11431" s="9" t="s">
        <v>19</v>
      </c>
      <c r="N11431" s="9" t="s">
        <v>20</v>
      </c>
      <c r="O11431" s="6" t="str">
        <f>HYPERLINK("https://pbs.twimg.com/profile_images/962471262747529216/Uo8lOkRJ_normal.jpg","View")</f>
        <v>View</v>
      </c>
      <c r="P11431" s="7"/>
    </row>
    <row r="11432" spans="1:16">
      <c r="A11432" s="3">
        <v>44136.377627314811</v>
      </c>
      <c r="B11432" s="4" t="str">
        <f>HYPERLINK("https://twitter.com/petrogustavo","@petrogustavo")</f>
        <v>@petrogustavo</v>
      </c>
      <c r="C11432" s="5" t="s">
        <v>16</v>
      </c>
      <c r="D11432" s="5" t="s">
        <v>11007</v>
      </c>
      <c r="E11432" s="6" t="str">
        <f>HYPERLINK("https://twitter.com/petrogustavo/status/1322743613932085248","1322743613932085248")</f>
        <v>1322743613932085248</v>
      </c>
      <c r="F11432" s="7" t="s">
        <v>32</v>
      </c>
      <c r="G11432" s="7">
        <v>3999127</v>
      </c>
      <c r="H11432" s="7">
        <v>2455</v>
      </c>
      <c r="I11432" s="7">
        <v>66</v>
      </c>
      <c r="J11432" s="7">
        <v>0</v>
      </c>
      <c r="K11432" s="7" t="s">
        <v>18</v>
      </c>
      <c r="L11432" s="8">
        <v>39987.315405092595</v>
      </c>
      <c r="M11432" s="9" t="s">
        <v>19</v>
      </c>
      <c r="N11432" s="9" t="s">
        <v>20</v>
      </c>
      <c r="O11432" s="6" t="str">
        <f>HYPERLINK("https://pbs.twimg.com/profile_images/962471262747529216/Uo8lOkRJ_normal.jpg","View")</f>
        <v>View</v>
      </c>
      <c r="P11432" s="7"/>
    </row>
    <row r="11433" spans="1:16">
      <c r="A11433" s="3">
        <v>44136.397129629629</v>
      </c>
      <c r="B11433" s="4" t="str">
        <f>HYPERLINK("https://twitter.com/petrogustavo","@petrogustavo")</f>
        <v>@petrogustavo</v>
      </c>
      <c r="C11433" s="5" t="s">
        <v>16</v>
      </c>
      <c r="D11433" s="5" t="s">
        <v>11008</v>
      </c>
      <c r="E11433" s="6" t="str">
        <f>HYPERLINK("https://twitter.com/petrogustavo/status/1322750680906555393","1322750680906555393")</f>
        <v>1322750680906555393</v>
      </c>
      <c r="F11433" s="7" t="s">
        <v>32</v>
      </c>
      <c r="G11433" s="7">
        <v>3999136</v>
      </c>
      <c r="H11433" s="7">
        <v>2455</v>
      </c>
      <c r="I11433" s="7">
        <v>113</v>
      </c>
      <c r="J11433" s="7">
        <v>0</v>
      </c>
      <c r="K11433" s="7" t="s">
        <v>18</v>
      </c>
      <c r="L11433" s="8">
        <v>39987.315405092595</v>
      </c>
      <c r="M11433" s="9" t="s">
        <v>19</v>
      </c>
      <c r="N11433" s="9" t="s">
        <v>20</v>
      </c>
      <c r="O11433" s="6" t="str">
        <f>HYPERLINK("https://pbs.twimg.com/profile_images/962471262747529216/Uo8lOkRJ_normal.jpg","View")</f>
        <v>View</v>
      </c>
      <c r="P11433" s="7"/>
    </row>
    <row r="11434" spans="1:16">
      <c r="A11434" s="3">
        <v>44136.743159722224</v>
      </c>
      <c r="B11434" s="4" t="str">
        <f>HYPERLINK("https://twitter.com/petrogustavo","@petrogustavo")</f>
        <v>@petrogustavo</v>
      </c>
      <c r="C11434" s="5" t="s">
        <v>16</v>
      </c>
      <c r="D11434" s="5" t="s">
        <v>11009</v>
      </c>
      <c r="E11434" s="6" t="str">
        <f>HYPERLINK("https://twitter.com/petrogustavo/status/1322876079963602945","1322876079963602945")</f>
        <v>1322876079963602945</v>
      </c>
      <c r="F11434" s="7" t="s">
        <v>17</v>
      </c>
      <c r="G11434" s="7">
        <v>3999147</v>
      </c>
      <c r="H11434" s="7">
        <v>2455</v>
      </c>
      <c r="I11434" s="7">
        <v>73</v>
      </c>
      <c r="J11434" s="7">
        <v>0</v>
      </c>
      <c r="K11434" s="7" t="s">
        <v>18</v>
      </c>
      <c r="L11434" s="8">
        <v>39987.315405092595</v>
      </c>
      <c r="M11434" s="9" t="s">
        <v>19</v>
      </c>
      <c r="N11434" s="9" t="s">
        <v>20</v>
      </c>
      <c r="O11434" s="6" t="str">
        <f>HYPERLINK("https://pbs.twimg.com/profile_images/962471262747529216/Uo8lOkRJ_normal.jpg","View")</f>
        <v>View</v>
      </c>
      <c r="P11434" s="7"/>
    </row>
    <row r="11435" spans="1:16">
      <c r="A11435" s="3">
        <v>44136.745682870373</v>
      </c>
      <c r="B11435" s="4" t="str">
        <f>HYPERLINK("https://twitter.com/petrogustavo","@petrogustavo")</f>
        <v>@petrogustavo</v>
      </c>
      <c r="C11435" s="5" t="s">
        <v>16</v>
      </c>
      <c r="D11435" s="5" t="s">
        <v>11010</v>
      </c>
      <c r="E11435" s="6" t="str">
        <f>HYPERLINK("https://twitter.com/petrogustavo/status/1322876993310986242","1322876993310986242")</f>
        <v>1322876993310986242</v>
      </c>
      <c r="F11435" s="7" t="s">
        <v>17</v>
      </c>
      <c r="G11435" s="7">
        <v>3999147</v>
      </c>
      <c r="H11435" s="7">
        <v>2455</v>
      </c>
      <c r="I11435" s="7">
        <v>132</v>
      </c>
      <c r="J11435" s="7">
        <v>0</v>
      </c>
      <c r="K11435" s="7" t="s">
        <v>18</v>
      </c>
      <c r="L11435" s="8">
        <v>39987.315405092595</v>
      </c>
      <c r="M11435" s="9" t="s">
        <v>19</v>
      </c>
      <c r="N11435" s="9" t="s">
        <v>20</v>
      </c>
      <c r="O11435" s="6" t="str">
        <f>HYPERLINK("https://pbs.twimg.com/profile_images/962471262747529216/Uo8lOkRJ_normal.jpg","View")</f>
        <v>View</v>
      </c>
      <c r="P11435" s="7"/>
    </row>
    <row r="11436" spans="1:16">
      <c r="A11436" s="3">
        <v>44136.765196759261</v>
      </c>
      <c r="B11436" s="4" t="str">
        <f>HYPERLINK("https://twitter.com/petrogustavo","@petrogustavo")</f>
        <v>@petrogustavo</v>
      </c>
      <c r="C11436" s="5" t="s">
        <v>16</v>
      </c>
      <c r="D11436" s="5" t="s">
        <v>11011</v>
      </c>
      <c r="E11436" s="6" t="str">
        <f>HYPERLINK("https://twitter.com/petrogustavo/status/1322884063842193408","1322884063842193408")</f>
        <v>1322884063842193408</v>
      </c>
      <c r="F11436" s="7" t="s">
        <v>17</v>
      </c>
      <c r="G11436" s="7">
        <v>3999159</v>
      </c>
      <c r="H11436" s="7">
        <v>2455</v>
      </c>
      <c r="I11436" s="7">
        <v>15</v>
      </c>
      <c r="J11436" s="7">
        <v>0</v>
      </c>
      <c r="K11436" s="7" t="s">
        <v>18</v>
      </c>
      <c r="L11436" s="8">
        <v>39987.315405092595</v>
      </c>
      <c r="M11436" s="9" t="s">
        <v>19</v>
      </c>
      <c r="N11436" s="9" t="s">
        <v>20</v>
      </c>
      <c r="O11436" s="6" t="str">
        <f>HYPERLINK("https://pbs.twimg.com/profile_images/962471262747529216/Uo8lOkRJ_normal.jpg","View")</f>
        <v>View</v>
      </c>
      <c r="P11436" s="7"/>
    </row>
    <row r="11437" spans="1:16">
      <c r="A11437" s="3">
        <v>44136.786319444444</v>
      </c>
      <c r="B11437" s="4" t="str">
        <f>HYPERLINK("https://twitter.com/petrogustavo","@petrogustavo")</f>
        <v>@petrogustavo</v>
      </c>
      <c r="C11437" s="5" t="s">
        <v>16</v>
      </c>
      <c r="D11437" s="5" t="s">
        <v>11012</v>
      </c>
      <c r="E11437" s="6" t="str">
        <f>HYPERLINK("https://twitter.com/petrogustavo/status/1322891719919153164","1322891719919153164")</f>
        <v>1322891719919153164</v>
      </c>
      <c r="F11437" s="7" t="s">
        <v>17</v>
      </c>
      <c r="G11437" s="7">
        <v>3999171</v>
      </c>
      <c r="H11437" s="7">
        <v>2455</v>
      </c>
      <c r="I11437" s="7">
        <v>48</v>
      </c>
      <c r="J11437" s="7">
        <v>144</v>
      </c>
      <c r="K11437" s="7" t="s">
        <v>18</v>
      </c>
      <c r="L11437" s="8">
        <v>39987.315405092595</v>
      </c>
      <c r="M11437" s="9" t="s">
        <v>19</v>
      </c>
      <c r="N11437" s="9" t="s">
        <v>20</v>
      </c>
      <c r="O11437" s="6" t="str">
        <f>HYPERLINK("https://pbs.twimg.com/profile_images/962471262747529216/Uo8lOkRJ_normal.jpg","View")</f>
        <v>View</v>
      </c>
      <c r="P11437" s="7"/>
    </row>
    <row r="11438" spans="1:16">
      <c r="A11438" s="3">
        <v>44136.800740740742</v>
      </c>
      <c r="B11438" s="4" t="str">
        <f>HYPERLINK("https://twitter.com/petrogustavo","@petrogustavo")</f>
        <v>@petrogustavo</v>
      </c>
      <c r="C11438" s="5" t="s">
        <v>16</v>
      </c>
      <c r="D11438" s="5" t="s">
        <v>11013</v>
      </c>
      <c r="E11438" s="6" t="str">
        <f>HYPERLINK("https://twitter.com/petrogustavo/status/1322896945891954689","1322896945891954689")</f>
        <v>1322896945891954689</v>
      </c>
      <c r="F11438" s="7" t="s">
        <v>17</v>
      </c>
      <c r="G11438" s="7">
        <v>3999171</v>
      </c>
      <c r="H11438" s="7">
        <v>2455</v>
      </c>
      <c r="I11438" s="7">
        <v>21</v>
      </c>
      <c r="J11438" s="7">
        <v>61</v>
      </c>
      <c r="K11438" s="7" t="s">
        <v>18</v>
      </c>
      <c r="L11438" s="8">
        <v>39987.315405092595</v>
      </c>
      <c r="M11438" s="9" t="s">
        <v>19</v>
      </c>
      <c r="N11438" s="9" t="s">
        <v>20</v>
      </c>
      <c r="O11438" s="6" t="str">
        <f>HYPERLINK("https://pbs.twimg.com/profile_images/962471262747529216/Uo8lOkRJ_normal.jpg","View")</f>
        <v>View</v>
      </c>
      <c r="P11438" s="7"/>
    </row>
    <row r="11439" spans="1:16">
      <c r="A11439" s="3">
        <v>44136.803298611107</v>
      </c>
      <c r="B11439" s="4" t="str">
        <f>HYPERLINK("https://twitter.com/petrogustavo","@petrogustavo")</f>
        <v>@petrogustavo</v>
      </c>
      <c r="C11439" s="5" t="s">
        <v>16</v>
      </c>
      <c r="D11439" s="5" t="s">
        <v>11014</v>
      </c>
      <c r="E11439" s="6" t="str">
        <f>HYPERLINK("https://twitter.com/petrogustavo/status/1322897871784546304","1322897871784546304")</f>
        <v>1322897871784546304</v>
      </c>
      <c r="F11439" s="7" t="s">
        <v>17</v>
      </c>
      <c r="G11439" s="7">
        <v>3999171</v>
      </c>
      <c r="H11439" s="7">
        <v>2455</v>
      </c>
      <c r="I11439" s="7">
        <v>9</v>
      </c>
      <c r="J11439" s="7">
        <v>23</v>
      </c>
      <c r="K11439" s="7" t="s">
        <v>18</v>
      </c>
      <c r="L11439" s="8">
        <v>39987.315405092595</v>
      </c>
      <c r="M11439" s="9" t="s">
        <v>19</v>
      </c>
      <c r="N11439" s="9" t="s">
        <v>20</v>
      </c>
      <c r="O11439" s="6" t="str">
        <f>HYPERLINK("https://pbs.twimg.com/profile_images/962471262747529216/Uo8lOkRJ_normal.jpg","View")</f>
        <v>View</v>
      </c>
      <c r="P11439" s="7"/>
    </row>
    <row r="11440" spans="1:16">
      <c r="A11440" s="3">
        <v>44136.804606481484</v>
      </c>
      <c r="B11440" s="4" t="str">
        <f>HYPERLINK("https://twitter.com/petrogustavo","@petrogustavo")</f>
        <v>@petrogustavo</v>
      </c>
      <c r="C11440" s="5" t="s">
        <v>16</v>
      </c>
      <c r="D11440" s="5" t="s">
        <v>11015</v>
      </c>
      <c r="E11440" s="6" t="str">
        <f>HYPERLINK("https://twitter.com/petrogustavo/status/1322898343715082242","1322898343715082242")</f>
        <v>1322898343715082242</v>
      </c>
      <c r="F11440" s="7" t="s">
        <v>17</v>
      </c>
      <c r="G11440" s="7">
        <v>3999177</v>
      </c>
      <c r="H11440" s="7">
        <v>2455</v>
      </c>
      <c r="I11440" s="7">
        <v>29</v>
      </c>
      <c r="J11440" s="7">
        <v>179</v>
      </c>
      <c r="K11440" s="7" t="s">
        <v>18</v>
      </c>
      <c r="L11440" s="8">
        <v>39987.315405092595</v>
      </c>
      <c r="M11440" s="9" t="s">
        <v>19</v>
      </c>
      <c r="N11440" s="9" t="s">
        <v>20</v>
      </c>
      <c r="O11440" s="6" t="str">
        <f>HYPERLINK("https://pbs.twimg.com/profile_images/962471262747529216/Uo8lOkRJ_normal.jpg","View")</f>
        <v>View</v>
      </c>
      <c r="P11440" s="7"/>
    </row>
    <row r="11441" spans="1:16">
      <c r="A11441" s="3">
        <v>44136.804722222223</v>
      </c>
      <c r="B11441" s="4" t="str">
        <f>HYPERLINK("https://twitter.com/petrogustavo","@petrogustavo")</f>
        <v>@petrogustavo</v>
      </c>
      <c r="C11441" s="5" t="s">
        <v>16</v>
      </c>
      <c r="D11441" s="5" t="s">
        <v>11016</v>
      </c>
      <c r="E11441" s="6" t="str">
        <f>HYPERLINK("https://twitter.com/petrogustavo/status/1322898388375973888","1322898388375973888")</f>
        <v>1322898388375973888</v>
      </c>
      <c r="F11441" s="7" t="s">
        <v>17</v>
      </c>
      <c r="G11441" s="7">
        <v>3999177</v>
      </c>
      <c r="H11441" s="7">
        <v>2455</v>
      </c>
      <c r="I11441" s="7">
        <v>70</v>
      </c>
      <c r="J11441" s="7">
        <v>0</v>
      </c>
      <c r="K11441" s="7" t="s">
        <v>18</v>
      </c>
      <c r="L11441" s="8">
        <v>39987.315405092595</v>
      </c>
      <c r="M11441" s="9" t="s">
        <v>19</v>
      </c>
      <c r="N11441" s="9" t="s">
        <v>20</v>
      </c>
      <c r="O11441" s="6" t="str">
        <f>HYPERLINK("https://pbs.twimg.com/profile_images/962471262747529216/Uo8lOkRJ_normal.jpg","View")</f>
        <v>View</v>
      </c>
      <c r="P11441" s="7"/>
    </row>
    <row r="11442" spans="1:16">
      <c r="A11442" s="3">
        <v>44136.804780092592</v>
      </c>
      <c r="B11442" s="4" t="str">
        <f>HYPERLINK("https://twitter.com/petrogustavo","@petrogustavo")</f>
        <v>@petrogustavo</v>
      </c>
      <c r="C11442" s="5" t="s">
        <v>16</v>
      </c>
      <c r="D11442" s="5" t="s">
        <v>11017</v>
      </c>
      <c r="E11442" s="6" t="str">
        <f>HYPERLINK("https://twitter.com/petrogustavo/status/1322898406671605760","1322898406671605760")</f>
        <v>1322898406671605760</v>
      </c>
      <c r="F11442" s="7" t="s">
        <v>17</v>
      </c>
      <c r="G11442" s="7">
        <v>3999177</v>
      </c>
      <c r="H11442" s="7">
        <v>2455</v>
      </c>
      <c r="I11442" s="7">
        <v>90</v>
      </c>
      <c r="J11442" s="7">
        <v>0</v>
      </c>
      <c r="K11442" s="7" t="s">
        <v>18</v>
      </c>
      <c r="L11442" s="8">
        <v>39987.315405092595</v>
      </c>
      <c r="M11442" s="9" t="s">
        <v>19</v>
      </c>
      <c r="N11442" s="9" t="s">
        <v>20</v>
      </c>
      <c r="O11442" s="6" t="str">
        <f>HYPERLINK("https://pbs.twimg.com/profile_images/962471262747529216/Uo8lOkRJ_normal.jpg","View")</f>
        <v>View</v>
      </c>
      <c r="P11442" s="7"/>
    </row>
    <row r="11443" spans="1:16">
      <c r="A11443" s="3">
        <v>44136.843703703707</v>
      </c>
      <c r="B11443" s="4" t="str">
        <f>HYPERLINK("https://twitter.com/petrogustavo","@petrogustavo")</f>
        <v>@petrogustavo</v>
      </c>
      <c r="C11443" s="5" t="s">
        <v>16</v>
      </c>
      <c r="D11443" s="5" t="s">
        <v>11018</v>
      </c>
      <c r="E11443" s="6" t="str">
        <f>HYPERLINK("https://twitter.com/petrogustavo/status/1322912511939747840","1322912511939747840")</f>
        <v>1322912511939747840</v>
      </c>
      <c r="F11443" s="7" t="s">
        <v>17</v>
      </c>
      <c r="G11443" s="7">
        <v>3999182</v>
      </c>
      <c r="H11443" s="7">
        <v>2455</v>
      </c>
      <c r="I11443" s="7">
        <v>18</v>
      </c>
      <c r="J11443" s="7">
        <v>38</v>
      </c>
      <c r="K11443" s="7" t="s">
        <v>18</v>
      </c>
      <c r="L11443" s="8">
        <v>39987.315405092595</v>
      </c>
      <c r="M11443" s="9" t="s">
        <v>19</v>
      </c>
      <c r="N11443" s="9" t="s">
        <v>20</v>
      </c>
      <c r="O11443" s="6" t="str">
        <f>HYPERLINK("https://pbs.twimg.com/profile_images/962471262747529216/Uo8lOkRJ_normal.jpg","View")</f>
        <v>View</v>
      </c>
      <c r="P11443" s="7"/>
    </row>
    <row r="11444" spans="1:16">
      <c r="A11444" s="3">
        <v>44136.849548611106</v>
      </c>
      <c r="B11444" s="4" t="str">
        <f>HYPERLINK("https://twitter.com/petrogustavo","@petrogustavo")</f>
        <v>@petrogustavo</v>
      </c>
      <c r="C11444" s="5" t="s">
        <v>16</v>
      </c>
      <c r="D11444" s="5" t="s">
        <v>11019</v>
      </c>
      <c r="E11444" s="6" t="str">
        <f>HYPERLINK("https://twitter.com/petrogustavo/status/1322914631401279489","1322914631401279489")</f>
        <v>1322914631401279489</v>
      </c>
      <c r="F11444" s="7" t="s">
        <v>17</v>
      </c>
      <c r="G11444" s="7">
        <v>3999188</v>
      </c>
      <c r="H11444" s="7">
        <v>2455</v>
      </c>
      <c r="I11444" s="7">
        <v>320</v>
      </c>
      <c r="J11444" s="7">
        <v>0</v>
      </c>
      <c r="K11444" s="7" t="s">
        <v>18</v>
      </c>
      <c r="L11444" s="8">
        <v>39987.315405092595</v>
      </c>
      <c r="M11444" s="9" t="s">
        <v>19</v>
      </c>
      <c r="N11444" s="9" t="s">
        <v>20</v>
      </c>
      <c r="O11444" s="6" t="str">
        <f>HYPERLINK("https://pbs.twimg.com/profile_images/962471262747529216/Uo8lOkRJ_normal.jpg","View")</f>
        <v>View</v>
      </c>
      <c r="P11444" s="7"/>
    </row>
    <row r="11445" spans="1:16">
      <c r="A11445" s="3">
        <v>44136.857951388884</v>
      </c>
      <c r="B11445" s="4" t="str">
        <f>HYPERLINK("https://twitter.com/petrogustavo","@petrogustavo")</f>
        <v>@petrogustavo</v>
      </c>
      <c r="C11445" s="5" t="s">
        <v>16</v>
      </c>
      <c r="D11445" s="5" t="s">
        <v>11020</v>
      </c>
      <c r="E11445" s="6" t="str">
        <f>HYPERLINK("https://twitter.com/petrogustavo/status/1322917679108399109","1322917679108399109")</f>
        <v>1322917679108399109</v>
      </c>
      <c r="F11445" s="7" t="s">
        <v>17</v>
      </c>
      <c r="G11445" s="7">
        <v>3999188</v>
      </c>
      <c r="H11445" s="7">
        <v>2455</v>
      </c>
      <c r="I11445" s="7">
        <v>164</v>
      </c>
      <c r="J11445" s="7">
        <v>0</v>
      </c>
      <c r="K11445" s="7" t="s">
        <v>18</v>
      </c>
      <c r="L11445" s="8">
        <v>39987.315405092595</v>
      </c>
      <c r="M11445" s="9" t="s">
        <v>19</v>
      </c>
      <c r="N11445" s="9" t="s">
        <v>20</v>
      </c>
      <c r="O11445" s="6" t="str">
        <f>HYPERLINK("https://pbs.twimg.com/profile_images/962471262747529216/Uo8lOkRJ_normal.jpg","View")</f>
        <v>View</v>
      </c>
      <c r="P11445" s="7"/>
    </row>
    <row r="11446" spans="1:16">
      <c r="A11446" s="3">
        <v>44136.870520833334</v>
      </c>
      <c r="B11446" s="4" t="str">
        <f>HYPERLINK("https://twitter.com/petrogustavo","@petrogustavo")</f>
        <v>@petrogustavo</v>
      </c>
      <c r="C11446" s="5" t="s">
        <v>16</v>
      </c>
      <c r="D11446" s="5" t="s">
        <v>11021</v>
      </c>
      <c r="E11446" s="6" t="str">
        <f>HYPERLINK("https://twitter.com/petrogustavo/status/1322922233413685250","1322922233413685250")</f>
        <v>1322922233413685250</v>
      </c>
      <c r="F11446" s="7" t="s">
        <v>17</v>
      </c>
      <c r="G11446" s="7">
        <v>3999190</v>
      </c>
      <c r="H11446" s="7">
        <v>2455</v>
      </c>
      <c r="I11446" s="7">
        <v>56</v>
      </c>
      <c r="J11446" s="7">
        <v>143</v>
      </c>
      <c r="K11446" s="7" t="s">
        <v>18</v>
      </c>
      <c r="L11446" s="8">
        <v>39987.315405092595</v>
      </c>
      <c r="M11446" s="9" t="s">
        <v>19</v>
      </c>
      <c r="N11446" s="9" t="s">
        <v>20</v>
      </c>
      <c r="O11446" s="6" t="str">
        <f>HYPERLINK("https://pbs.twimg.com/profile_images/962471262747529216/Uo8lOkRJ_normal.jpg","View")</f>
        <v>View</v>
      </c>
      <c r="P11446" s="7"/>
    </row>
    <row r="11447" spans="1:16">
      <c r="A11447" s="3">
        <v>44136.874976851846</v>
      </c>
      <c r="B11447" s="4" t="str">
        <f>HYPERLINK("https://twitter.com/petrogustavo","@petrogustavo")</f>
        <v>@petrogustavo</v>
      </c>
      <c r="C11447" s="5" t="s">
        <v>16</v>
      </c>
      <c r="D11447" s="5" t="s">
        <v>11022</v>
      </c>
      <c r="E11447" s="6" t="str">
        <f>HYPERLINK("https://twitter.com/petrogustavo/status/1322923845343416320","1322923845343416320")</f>
        <v>1322923845343416320</v>
      </c>
      <c r="F11447" s="7" t="s">
        <v>17</v>
      </c>
      <c r="G11447" s="7">
        <v>3999190</v>
      </c>
      <c r="H11447" s="7">
        <v>2455</v>
      </c>
      <c r="I11447" s="7">
        <v>425</v>
      </c>
      <c r="J11447" s="7">
        <v>0</v>
      </c>
      <c r="K11447" s="7" t="s">
        <v>18</v>
      </c>
      <c r="L11447" s="8">
        <v>39987.315405092595</v>
      </c>
      <c r="M11447" s="9" t="s">
        <v>19</v>
      </c>
      <c r="N11447" s="9" t="s">
        <v>20</v>
      </c>
      <c r="O11447" s="6" t="str">
        <f>HYPERLINK("https://pbs.twimg.com/profile_images/962471262747529216/Uo8lOkRJ_normal.jpg","View")</f>
        <v>View</v>
      </c>
      <c r="P11447" s="7"/>
    </row>
    <row r="11448" spans="1:16">
      <c r="A11448" s="3">
        <v>44136.881782407407</v>
      </c>
      <c r="B11448" s="4" t="str">
        <f>HYPERLINK("https://twitter.com/petrogustavo","@petrogustavo")</f>
        <v>@petrogustavo</v>
      </c>
      <c r="C11448" s="5" t="s">
        <v>16</v>
      </c>
      <c r="D11448" s="5" t="s">
        <v>11016</v>
      </c>
      <c r="E11448" s="6" t="str">
        <f>HYPERLINK("https://twitter.com/petrogustavo/status/1322926312110100481","1322926312110100481")</f>
        <v>1322926312110100481</v>
      </c>
      <c r="F11448" s="7" t="s">
        <v>32</v>
      </c>
      <c r="G11448" s="7">
        <v>3999190</v>
      </c>
      <c r="H11448" s="7">
        <v>2455</v>
      </c>
      <c r="I11448" s="7">
        <v>103</v>
      </c>
      <c r="J11448" s="7">
        <v>0</v>
      </c>
      <c r="K11448" s="7" t="s">
        <v>18</v>
      </c>
      <c r="L11448" s="8">
        <v>39987.315405092595</v>
      </c>
      <c r="M11448" s="9" t="s">
        <v>19</v>
      </c>
      <c r="N11448" s="9" t="s">
        <v>20</v>
      </c>
      <c r="O11448" s="6" t="str">
        <f>HYPERLINK("https://pbs.twimg.com/profile_images/962471262747529216/Uo8lOkRJ_normal.jpg","View")</f>
        <v>View</v>
      </c>
      <c r="P11448" s="7"/>
    </row>
    <row r="11449" spans="1:16">
      <c r="A11449" s="3">
        <v>44136.882037037038</v>
      </c>
      <c r="B11449" s="4" t="str">
        <f>HYPERLINK("https://twitter.com/petrogustavo","@petrogustavo")</f>
        <v>@petrogustavo</v>
      </c>
      <c r="C11449" s="5" t="s">
        <v>16</v>
      </c>
      <c r="D11449" s="5" t="s">
        <v>11017</v>
      </c>
      <c r="E11449" s="6" t="str">
        <f>HYPERLINK("https://twitter.com/petrogustavo/status/1322926404519022598","1322926404519022598")</f>
        <v>1322926404519022598</v>
      </c>
      <c r="F11449" s="7" t="s">
        <v>32</v>
      </c>
      <c r="G11449" s="7">
        <v>3999190</v>
      </c>
      <c r="H11449" s="7">
        <v>2455</v>
      </c>
      <c r="I11449" s="7">
        <v>219</v>
      </c>
      <c r="J11449" s="7">
        <v>0</v>
      </c>
      <c r="K11449" s="7" t="s">
        <v>18</v>
      </c>
      <c r="L11449" s="8">
        <v>39987.315405092595</v>
      </c>
      <c r="M11449" s="9" t="s">
        <v>19</v>
      </c>
      <c r="N11449" s="9" t="s">
        <v>20</v>
      </c>
      <c r="O11449" s="6" t="str">
        <f>HYPERLINK("https://pbs.twimg.com/profile_images/962471262747529216/Uo8lOkRJ_normal.jpg","View")</f>
        <v>View</v>
      </c>
      <c r="P11449" s="7"/>
    </row>
    <row r="11450" spans="1:16">
      <c r="A11450" s="3">
        <v>44136.915590277778</v>
      </c>
      <c r="B11450" s="4" t="str">
        <f>HYPERLINK("https://twitter.com/petrogustavo","@petrogustavo")</f>
        <v>@petrogustavo</v>
      </c>
      <c r="C11450" s="5" t="s">
        <v>16</v>
      </c>
      <c r="D11450" s="5" t="s">
        <v>11023</v>
      </c>
      <c r="E11450" s="6" t="str">
        <f>HYPERLINK("https://twitter.com/petrogustavo/status/1322938564364193794","1322938564364193794")</f>
        <v>1322938564364193794</v>
      </c>
      <c r="F11450" s="7" t="s">
        <v>32</v>
      </c>
      <c r="G11450" s="7">
        <v>3999210</v>
      </c>
      <c r="H11450" s="7">
        <v>2455</v>
      </c>
      <c r="I11450" s="7">
        <v>52</v>
      </c>
      <c r="J11450" s="7">
        <v>216</v>
      </c>
      <c r="K11450" s="7" t="s">
        <v>18</v>
      </c>
      <c r="L11450" s="8">
        <v>39987.315405092595</v>
      </c>
      <c r="M11450" s="9" t="s">
        <v>19</v>
      </c>
      <c r="N11450" s="9" t="s">
        <v>20</v>
      </c>
      <c r="O11450" s="6" t="str">
        <f>HYPERLINK("https://pbs.twimg.com/profile_images/962471262747529216/Uo8lOkRJ_normal.jpg","View")</f>
        <v>View</v>
      </c>
      <c r="P11450" s="7"/>
    </row>
    <row r="11451" spans="1:16">
      <c r="A11451" s="3">
        <v>44136.918807870374</v>
      </c>
      <c r="B11451" s="4" t="str">
        <f>HYPERLINK("https://twitter.com/petrogustavo","@petrogustavo")</f>
        <v>@petrogustavo</v>
      </c>
      <c r="C11451" s="5" t="s">
        <v>16</v>
      </c>
      <c r="D11451" s="5" t="s">
        <v>11024</v>
      </c>
      <c r="E11451" s="6" t="str">
        <f>HYPERLINK("https://twitter.com/petrogustavo/status/1322939731135680512","1322939731135680512")</f>
        <v>1322939731135680512</v>
      </c>
      <c r="F11451" s="7" t="s">
        <v>32</v>
      </c>
      <c r="G11451" s="7">
        <v>3999210</v>
      </c>
      <c r="H11451" s="7">
        <v>2455</v>
      </c>
      <c r="I11451" s="7">
        <v>62</v>
      </c>
      <c r="J11451" s="7">
        <v>205</v>
      </c>
      <c r="K11451" s="7" t="s">
        <v>18</v>
      </c>
      <c r="L11451" s="8">
        <v>39987.315405092595</v>
      </c>
      <c r="M11451" s="9" t="s">
        <v>19</v>
      </c>
      <c r="N11451" s="9" t="s">
        <v>20</v>
      </c>
      <c r="O11451" s="6" t="str">
        <f>HYPERLINK("https://pbs.twimg.com/profile_images/962471262747529216/Uo8lOkRJ_normal.jpg","View")</f>
        <v>View</v>
      </c>
      <c r="P11451" s="7"/>
    </row>
    <row r="11452" spans="1:16">
      <c r="A11452" s="3">
        <v>44136.919282407413</v>
      </c>
      <c r="B11452" s="4" t="str">
        <f>HYPERLINK("https://twitter.com/petrogustavo","@petrogustavo")</f>
        <v>@petrogustavo</v>
      </c>
      <c r="C11452" s="5" t="s">
        <v>16</v>
      </c>
      <c r="D11452" s="5" t="s">
        <v>11016</v>
      </c>
      <c r="E11452" s="6" t="str">
        <f>HYPERLINK("https://twitter.com/petrogustavo/status/1322939902263218176","1322939902263218176")</f>
        <v>1322939902263218176</v>
      </c>
      <c r="F11452" s="7" t="s">
        <v>32</v>
      </c>
      <c r="G11452" s="7">
        <v>3999210</v>
      </c>
      <c r="H11452" s="7">
        <v>2455</v>
      </c>
      <c r="I11452" s="7">
        <v>127</v>
      </c>
      <c r="J11452" s="7">
        <v>0</v>
      </c>
      <c r="K11452" s="7" t="s">
        <v>18</v>
      </c>
      <c r="L11452" s="8">
        <v>39987.315405092595</v>
      </c>
      <c r="M11452" s="9" t="s">
        <v>19</v>
      </c>
      <c r="N11452" s="9" t="s">
        <v>20</v>
      </c>
      <c r="O11452" s="6" t="str">
        <f>HYPERLINK("https://pbs.twimg.com/profile_images/962471262747529216/Uo8lOkRJ_normal.jpg","View")</f>
        <v>View</v>
      </c>
      <c r="P11452" s="7"/>
    </row>
    <row r="11453" spans="1:16">
      <c r="A11453" s="3">
        <v>44136.919571759259</v>
      </c>
      <c r="B11453" s="4" t="str">
        <f>HYPERLINK("https://twitter.com/petrogustavo","@petrogustavo")</f>
        <v>@petrogustavo</v>
      </c>
      <c r="C11453" s="5" t="s">
        <v>16</v>
      </c>
      <c r="D11453" s="5" t="s">
        <v>11017</v>
      </c>
      <c r="E11453" s="6" t="str">
        <f>HYPERLINK("https://twitter.com/petrogustavo/status/1322940007485759488","1322940007485759488")</f>
        <v>1322940007485759488</v>
      </c>
      <c r="F11453" s="7" t="s">
        <v>32</v>
      </c>
      <c r="G11453" s="7">
        <v>3999210</v>
      </c>
      <c r="H11453" s="7">
        <v>2455</v>
      </c>
      <c r="I11453" s="7">
        <v>302</v>
      </c>
      <c r="J11453" s="7">
        <v>0</v>
      </c>
      <c r="K11453" s="7" t="s">
        <v>18</v>
      </c>
      <c r="L11453" s="8">
        <v>39987.315405092595</v>
      </c>
      <c r="M11453" s="9" t="s">
        <v>19</v>
      </c>
      <c r="N11453" s="9" t="s">
        <v>20</v>
      </c>
      <c r="O11453" s="6" t="str">
        <f>HYPERLINK("https://pbs.twimg.com/profile_images/962471262747529216/Uo8lOkRJ_normal.jpg","View")</f>
        <v>View</v>
      </c>
      <c r="P11453" s="7"/>
    </row>
    <row r="11454" spans="1:16">
      <c r="A11454" s="3">
        <v>44137.064641203702</v>
      </c>
      <c r="B11454" s="4" t="str">
        <f>HYPERLINK("https://twitter.com/petrogustavo","@petrogustavo")</f>
        <v>@petrogustavo</v>
      </c>
      <c r="C11454" s="5" t="s">
        <v>16</v>
      </c>
      <c r="D11454" s="5" t="s">
        <v>11025</v>
      </c>
      <c r="E11454" s="6" t="str">
        <f>HYPERLINK("https://twitter.com/petrogustavo/status/1322992579240062976","1322992579240062976")</f>
        <v>1322992579240062976</v>
      </c>
      <c r="F11454" s="7" t="s">
        <v>22</v>
      </c>
      <c r="G11454" s="7">
        <v>3999262</v>
      </c>
      <c r="H11454" s="7">
        <v>2454</v>
      </c>
      <c r="I11454" s="7">
        <v>72</v>
      </c>
      <c r="J11454" s="7">
        <v>158</v>
      </c>
      <c r="K11454" s="7" t="s">
        <v>18</v>
      </c>
      <c r="L11454" s="8">
        <v>39987.315405092595</v>
      </c>
      <c r="M11454" s="9" t="s">
        <v>19</v>
      </c>
      <c r="N11454" s="9" t="s">
        <v>20</v>
      </c>
      <c r="O11454" s="6" t="str">
        <f>HYPERLINK("https://pbs.twimg.com/profile_images/962471262747529216/Uo8lOkRJ_normal.jpg","View")</f>
        <v>View</v>
      </c>
      <c r="P11454" s="7"/>
    </row>
    <row r="11455" spans="1:16">
      <c r="A11455" s="3">
        <v>44137.180555555555</v>
      </c>
      <c r="B11455" s="4" t="str">
        <f>HYPERLINK("https://twitter.com/petrogustavo","@petrogustavo")</f>
        <v>@petrogustavo</v>
      </c>
      <c r="C11455" s="5" t="s">
        <v>16</v>
      </c>
      <c r="D11455" s="5" t="s">
        <v>11026</v>
      </c>
      <c r="E11455" s="6" t="str">
        <f>HYPERLINK("https://twitter.com/petrogustavo/status/1323034583600898048","1323034583600898048")</f>
        <v>1323034583600898048</v>
      </c>
      <c r="F11455" s="7" t="s">
        <v>32</v>
      </c>
      <c r="G11455" s="7">
        <v>3999341</v>
      </c>
      <c r="H11455" s="7">
        <v>2455</v>
      </c>
      <c r="I11455" s="7">
        <v>194</v>
      </c>
      <c r="J11455" s="7">
        <v>1365</v>
      </c>
      <c r="K11455" s="7" t="s">
        <v>18</v>
      </c>
      <c r="L11455" s="8">
        <v>39987.315405092595</v>
      </c>
      <c r="M11455" s="9" t="s">
        <v>19</v>
      </c>
      <c r="N11455" s="9" t="s">
        <v>20</v>
      </c>
      <c r="O11455" s="6" t="str">
        <f>HYPERLINK("https://pbs.twimg.com/profile_images/962471262747529216/Uo8lOkRJ_normal.jpg","View")</f>
        <v>View</v>
      </c>
      <c r="P11455" s="7"/>
    </row>
    <row r="11456" spans="1:16">
      <c r="A11456" s="3">
        <v>44137.186018518521</v>
      </c>
      <c r="B11456" s="4" t="str">
        <f>HYPERLINK("https://twitter.com/petrogustavo","@petrogustavo")</f>
        <v>@petrogustavo</v>
      </c>
      <c r="C11456" s="5" t="s">
        <v>16</v>
      </c>
      <c r="D11456" s="5" t="s">
        <v>11027</v>
      </c>
      <c r="E11456" s="6" t="str">
        <f>HYPERLINK("https://twitter.com/petrogustavo/status/1323036565841596416","1323036565841596416")</f>
        <v>1323036565841596416</v>
      </c>
      <c r="F11456" s="7" t="s">
        <v>32</v>
      </c>
      <c r="G11456" s="7">
        <v>3999341</v>
      </c>
      <c r="H11456" s="7">
        <v>2455</v>
      </c>
      <c r="I11456" s="7">
        <v>190</v>
      </c>
      <c r="J11456" s="7">
        <v>0</v>
      </c>
      <c r="K11456" s="7" t="s">
        <v>18</v>
      </c>
      <c r="L11456" s="8">
        <v>39987.315405092595</v>
      </c>
      <c r="M11456" s="9" t="s">
        <v>19</v>
      </c>
      <c r="N11456" s="9" t="s">
        <v>20</v>
      </c>
      <c r="O11456" s="6" t="str">
        <f>HYPERLINK("https://pbs.twimg.com/profile_images/962471262747529216/Uo8lOkRJ_normal.jpg","View")</f>
        <v>View</v>
      </c>
      <c r="P11456" s="7"/>
    </row>
    <row r="11457" spans="1:16">
      <c r="A11457" s="3">
        <v>44137.196828703702</v>
      </c>
      <c r="B11457" s="4" t="str">
        <f>HYPERLINK("https://twitter.com/petrogustavo","@petrogustavo")</f>
        <v>@petrogustavo</v>
      </c>
      <c r="C11457" s="5" t="s">
        <v>16</v>
      </c>
      <c r="D11457" s="5" t="s">
        <v>11028</v>
      </c>
      <c r="E11457" s="6" t="str">
        <f>HYPERLINK("https://twitter.com/petrogustavo/status/1323040482960773121","1323040482960773121")</f>
        <v>1323040482960773121</v>
      </c>
      <c r="F11457" s="7" t="s">
        <v>32</v>
      </c>
      <c r="G11457" s="7">
        <v>3999341</v>
      </c>
      <c r="H11457" s="7">
        <v>2455</v>
      </c>
      <c r="I11457" s="7">
        <v>520</v>
      </c>
      <c r="J11457" s="7">
        <v>0</v>
      </c>
      <c r="K11457" s="7" t="s">
        <v>18</v>
      </c>
      <c r="L11457" s="8">
        <v>39987.315405092595</v>
      </c>
      <c r="M11457" s="9" t="s">
        <v>19</v>
      </c>
      <c r="N11457" s="9" t="s">
        <v>20</v>
      </c>
      <c r="O11457" s="6" t="str">
        <f>HYPERLINK("https://pbs.twimg.com/profile_images/962471262747529216/Uo8lOkRJ_normal.jpg","View")</f>
        <v>View</v>
      </c>
      <c r="P11457" s="7"/>
    </row>
    <row r="11458" spans="1:16">
      <c r="A11458" s="3">
        <v>44137.197638888887</v>
      </c>
      <c r="B11458" s="4" t="str">
        <f>HYPERLINK("https://twitter.com/petrogustavo","@petrogustavo")</f>
        <v>@petrogustavo</v>
      </c>
      <c r="C11458" s="5" t="s">
        <v>16</v>
      </c>
      <c r="D11458" s="5" t="s">
        <v>11029</v>
      </c>
      <c r="E11458" s="6" t="str">
        <f>HYPERLINK("https://twitter.com/petrogustavo/status/1323040775819698177","1323040775819698177")</f>
        <v>1323040775819698177</v>
      </c>
      <c r="F11458" s="7" t="s">
        <v>32</v>
      </c>
      <c r="G11458" s="7">
        <v>3999341</v>
      </c>
      <c r="H11458" s="7">
        <v>2455</v>
      </c>
      <c r="I11458" s="7">
        <v>9</v>
      </c>
      <c r="J11458" s="7">
        <v>0</v>
      </c>
      <c r="K11458" s="7" t="s">
        <v>18</v>
      </c>
      <c r="L11458" s="8">
        <v>39987.315405092595</v>
      </c>
      <c r="M11458" s="9" t="s">
        <v>19</v>
      </c>
      <c r="N11458" s="9" t="s">
        <v>20</v>
      </c>
      <c r="O11458" s="6" t="str">
        <f>HYPERLINK("https://pbs.twimg.com/profile_images/962471262747529216/Uo8lOkRJ_normal.jpg","View")</f>
        <v>View</v>
      </c>
      <c r="P11458" s="7"/>
    </row>
    <row r="11459" spans="1:16">
      <c r="A11459" s="3">
        <v>44137.199456018519</v>
      </c>
      <c r="B11459" s="4" t="str">
        <f>HYPERLINK("https://twitter.com/petrogustavo","@petrogustavo")</f>
        <v>@petrogustavo</v>
      </c>
      <c r="C11459" s="5" t="s">
        <v>16</v>
      </c>
      <c r="D11459" s="5" t="s">
        <v>11030</v>
      </c>
      <c r="E11459" s="6" t="str">
        <f>HYPERLINK("https://twitter.com/petrogustavo/status/1323041432253378561","1323041432253378561")</f>
        <v>1323041432253378561</v>
      </c>
      <c r="F11459" s="7" t="s">
        <v>32</v>
      </c>
      <c r="G11459" s="7">
        <v>3999341</v>
      </c>
      <c r="H11459" s="7">
        <v>2455</v>
      </c>
      <c r="I11459" s="7">
        <v>190</v>
      </c>
      <c r="J11459" s="7">
        <v>0</v>
      </c>
      <c r="K11459" s="7" t="s">
        <v>18</v>
      </c>
      <c r="L11459" s="8">
        <v>39987.315405092595</v>
      </c>
      <c r="M11459" s="9" t="s">
        <v>19</v>
      </c>
      <c r="N11459" s="9" t="s">
        <v>20</v>
      </c>
      <c r="O11459" s="6" t="str">
        <f>HYPERLINK("https://pbs.twimg.com/profile_images/962471262747529216/Uo8lOkRJ_normal.jpg","View")</f>
        <v>View</v>
      </c>
      <c r="P11459" s="7"/>
    </row>
    <row r="11460" spans="1:16">
      <c r="A11460" s="3">
        <v>44137.200787037036</v>
      </c>
      <c r="B11460" s="4" t="str">
        <f>HYPERLINK("https://twitter.com/petrogustavo","@petrogustavo")</f>
        <v>@petrogustavo</v>
      </c>
      <c r="C11460" s="5" t="s">
        <v>16</v>
      </c>
      <c r="D11460" s="5" t="s">
        <v>11031</v>
      </c>
      <c r="E11460" s="6" t="str">
        <f>HYPERLINK("https://twitter.com/petrogustavo/status/1323041916397752322","1323041916397752322")</f>
        <v>1323041916397752322</v>
      </c>
      <c r="F11460" s="7" t="s">
        <v>32</v>
      </c>
      <c r="G11460" s="7">
        <v>3999328</v>
      </c>
      <c r="H11460" s="7">
        <v>2455</v>
      </c>
      <c r="I11460" s="7">
        <v>17</v>
      </c>
      <c r="J11460" s="7">
        <v>0</v>
      </c>
      <c r="K11460" s="7" t="s">
        <v>18</v>
      </c>
      <c r="L11460" s="8">
        <v>39987.315405092595</v>
      </c>
      <c r="M11460" s="9" t="s">
        <v>19</v>
      </c>
      <c r="N11460" s="9" t="s">
        <v>20</v>
      </c>
      <c r="O11460" s="6" t="str">
        <f>HYPERLINK("https://pbs.twimg.com/profile_images/962471262747529216/Uo8lOkRJ_normal.jpg","View")</f>
        <v>View</v>
      </c>
      <c r="P11460" s="7"/>
    </row>
    <row r="11461" spans="1:16">
      <c r="A11461" s="3">
        <v>44137.210092592592</v>
      </c>
      <c r="B11461" s="4" t="str">
        <f>HYPERLINK("https://twitter.com/petrogustavo","@petrogustavo")</f>
        <v>@petrogustavo</v>
      </c>
      <c r="C11461" s="5" t="s">
        <v>16</v>
      </c>
      <c r="D11461" s="5" t="s">
        <v>11032</v>
      </c>
      <c r="E11461" s="6" t="str">
        <f>HYPERLINK("https://twitter.com/petrogustavo/status/1323045287452151814","1323045287452151814")</f>
        <v>1323045287452151814</v>
      </c>
      <c r="F11461" s="7" t="s">
        <v>32</v>
      </c>
      <c r="G11461" s="7">
        <v>3999328</v>
      </c>
      <c r="H11461" s="7">
        <v>2455</v>
      </c>
      <c r="I11461" s="7">
        <v>13</v>
      </c>
      <c r="J11461" s="7">
        <v>0</v>
      </c>
      <c r="K11461" s="7" t="s">
        <v>18</v>
      </c>
      <c r="L11461" s="8">
        <v>39987.315405092595</v>
      </c>
      <c r="M11461" s="9" t="s">
        <v>19</v>
      </c>
      <c r="N11461" s="9" t="s">
        <v>20</v>
      </c>
      <c r="O11461" s="6" t="str">
        <f>HYPERLINK("https://pbs.twimg.com/profile_images/962471262747529216/Uo8lOkRJ_normal.jpg","View")</f>
        <v>View</v>
      </c>
      <c r="P11461" s="7"/>
    </row>
    <row r="11462" spans="1:16">
      <c r="A11462" s="3">
        <v>44137.212048611109</v>
      </c>
      <c r="B11462" s="4" t="str">
        <f>HYPERLINK("https://twitter.com/petrogustavo","@petrogustavo")</f>
        <v>@petrogustavo</v>
      </c>
      <c r="C11462" s="5" t="s">
        <v>16</v>
      </c>
      <c r="D11462" s="5" t="s">
        <v>11033</v>
      </c>
      <c r="E11462" s="6" t="str">
        <f>HYPERLINK("https://twitter.com/petrogustavo/status/1323045997191274496","1323045997191274496")</f>
        <v>1323045997191274496</v>
      </c>
      <c r="F11462" s="7" t="s">
        <v>32</v>
      </c>
      <c r="G11462" s="7">
        <v>3999328</v>
      </c>
      <c r="H11462" s="7">
        <v>2455</v>
      </c>
      <c r="I11462" s="7">
        <v>51</v>
      </c>
      <c r="J11462" s="7">
        <v>0</v>
      </c>
      <c r="K11462" s="7" t="s">
        <v>18</v>
      </c>
      <c r="L11462" s="8">
        <v>39987.315405092595</v>
      </c>
      <c r="M11462" s="9" t="s">
        <v>19</v>
      </c>
      <c r="N11462" s="9" t="s">
        <v>20</v>
      </c>
      <c r="O11462" s="6" t="str">
        <f>HYPERLINK("https://pbs.twimg.com/profile_images/962471262747529216/Uo8lOkRJ_normal.jpg","View")</f>
        <v>View</v>
      </c>
      <c r="P11462" s="7"/>
    </row>
    <row r="11463" spans="1:16">
      <c r="A11463" s="3">
        <v>44137.212893518517</v>
      </c>
      <c r="B11463" s="4" t="str">
        <f>HYPERLINK("https://twitter.com/petrogustavo","@petrogustavo")</f>
        <v>@petrogustavo</v>
      </c>
      <c r="C11463" s="5" t="s">
        <v>16</v>
      </c>
      <c r="D11463" s="5" t="s">
        <v>11034</v>
      </c>
      <c r="E11463" s="6" t="str">
        <f>HYPERLINK("https://twitter.com/petrogustavo/status/1323046305854349312","1323046305854349312")</f>
        <v>1323046305854349312</v>
      </c>
      <c r="F11463" s="7" t="s">
        <v>32</v>
      </c>
      <c r="G11463" s="7">
        <v>3999328</v>
      </c>
      <c r="H11463" s="7">
        <v>2455</v>
      </c>
      <c r="I11463" s="7">
        <v>86</v>
      </c>
      <c r="J11463" s="7">
        <v>0</v>
      </c>
      <c r="K11463" s="7" t="s">
        <v>18</v>
      </c>
      <c r="L11463" s="8">
        <v>39987.315405092595</v>
      </c>
      <c r="M11463" s="9" t="s">
        <v>19</v>
      </c>
      <c r="N11463" s="9" t="s">
        <v>20</v>
      </c>
      <c r="O11463" s="6" t="str">
        <f>HYPERLINK("https://pbs.twimg.com/profile_images/962471262747529216/Uo8lOkRJ_normal.jpg","View")</f>
        <v>View</v>
      </c>
      <c r="P11463" s="7"/>
    </row>
    <row r="11464" spans="1:16">
      <c r="A11464" s="3">
        <v>44137.235034722224</v>
      </c>
      <c r="B11464" s="4" t="str">
        <f>HYPERLINK("https://twitter.com/petrogustavo","@petrogustavo")</f>
        <v>@petrogustavo</v>
      </c>
      <c r="C11464" s="5" t="s">
        <v>16</v>
      </c>
      <c r="D11464" s="5" t="s">
        <v>11035</v>
      </c>
      <c r="E11464" s="6" t="str">
        <f>HYPERLINK("https://twitter.com/petrogustavo/status/1323054326043082752","1323054326043082752")</f>
        <v>1323054326043082752</v>
      </c>
      <c r="F11464" s="7" t="s">
        <v>32</v>
      </c>
      <c r="G11464" s="7">
        <v>3999354</v>
      </c>
      <c r="H11464" s="7">
        <v>2455</v>
      </c>
      <c r="I11464" s="7">
        <v>72</v>
      </c>
      <c r="J11464" s="7">
        <v>222</v>
      </c>
      <c r="K11464" s="7" t="s">
        <v>18</v>
      </c>
      <c r="L11464" s="8">
        <v>39987.315405092595</v>
      </c>
      <c r="M11464" s="9" t="s">
        <v>19</v>
      </c>
      <c r="N11464" s="9" t="s">
        <v>20</v>
      </c>
      <c r="O11464" s="6" t="str">
        <f>HYPERLINK("https://pbs.twimg.com/profile_images/962471262747529216/Uo8lOkRJ_normal.jpg","View")</f>
        <v>View</v>
      </c>
      <c r="P11464" s="7"/>
    </row>
    <row r="11465" spans="1:16">
      <c r="A11465" s="3">
        <v>44137.237719907411</v>
      </c>
      <c r="B11465" s="4" t="str">
        <f>HYPERLINK("https://twitter.com/petrogustavo","@petrogustavo")</f>
        <v>@petrogustavo</v>
      </c>
      <c r="C11465" s="5" t="s">
        <v>16</v>
      </c>
      <c r="D11465" s="5" t="s">
        <v>11036</v>
      </c>
      <c r="E11465" s="6" t="str">
        <f>HYPERLINK("https://twitter.com/petrogustavo/status/1323055299931103232","1323055299931103232")</f>
        <v>1323055299931103232</v>
      </c>
      <c r="F11465" s="7" t="s">
        <v>32</v>
      </c>
      <c r="G11465" s="7">
        <v>3999354</v>
      </c>
      <c r="H11465" s="7">
        <v>2455</v>
      </c>
      <c r="I11465" s="7">
        <v>9</v>
      </c>
      <c r="J11465" s="7">
        <v>0</v>
      </c>
      <c r="K11465" s="7" t="s">
        <v>18</v>
      </c>
      <c r="L11465" s="8">
        <v>39987.315405092595</v>
      </c>
      <c r="M11465" s="9" t="s">
        <v>19</v>
      </c>
      <c r="N11465" s="9" t="s">
        <v>20</v>
      </c>
      <c r="O11465" s="6" t="str">
        <f>HYPERLINK("https://pbs.twimg.com/profile_images/962471262747529216/Uo8lOkRJ_normal.jpg","View")</f>
        <v>View</v>
      </c>
      <c r="P11465" s="7"/>
    </row>
    <row r="11466" spans="1:16">
      <c r="A11466" s="3">
        <v>44137.23814814815</v>
      </c>
      <c r="B11466" s="4" t="str">
        <f>HYPERLINK("https://twitter.com/petrogustavo","@petrogustavo")</f>
        <v>@petrogustavo</v>
      </c>
      <c r="C11466" s="5" t="s">
        <v>16</v>
      </c>
      <c r="D11466" s="5" t="s">
        <v>11037</v>
      </c>
      <c r="E11466" s="6" t="str">
        <f>HYPERLINK("https://twitter.com/petrogustavo/status/1323055455913082884","1323055455913082884")</f>
        <v>1323055455913082884</v>
      </c>
      <c r="F11466" s="7" t="s">
        <v>32</v>
      </c>
      <c r="G11466" s="7">
        <v>3999354</v>
      </c>
      <c r="H11466" s="7">
        <v>2455</v>
      </c>
      <c r="I11466" s="7">
        <v>72</v>
      </c>
      <c r="J11466" s="7">
        <v>0</v>
      </c>
      <c r="K11466" s="7" t="s">
        <v>18</v>
      </c>
      <c r="L11466" s="8">
        <v>39987.315405092595</v>
      </c>
      <c r="M11466" s="9" t="s">
        <v>19</v>
      </c>
      <c r="N11466" s="9" t="s">
        <v>20</v>
      </c>
      <c r="O11466" s="6" t="str">
        <f>HYPERLINK("https://pbs.twimg.com/profile_images/962471262747529216/Uo8lOkRJ_normal.jpg","View")</f>
        <v>View</v>
      </c>
      <c r="P11466" s="7"/>
    </row>
    <row r="11467" spans="1:16">
      <c r="A11467" s="3">
        <v>44137.254050925927</v>
      </c>
      <c r="B11467" s="4" t="str">
        <f>HYPERLINK("https://twitter.com/petrogustavo","@petrogustavo")</f>
        <v>@petrogustavo</v>
      </c>
      <c r="C11467" s="5" t="s">
        <v>16</v>
      </c>
      <c r="D11467" s="5" t="s">
        <v>11038</v>
      </c>
      <c r="E11467" s="6" t="str">
        <f>HYPERLINK("https://twitter.com/petrogustavo/status/1323061220157640704","1323061220157640704")</f>
        <v>1323061220157640704</v>
      </c>
      <c r="F11467" s="7" t="s">
        <v>32</v>
      </c>
      <c r="G11467" s="7">
        <v>3999365</v>
      </c>
      <c r="H11467" s="7">
        <v>2455</v>
      </c>
      <c r="I11467" s="7">
        <v>49</v>
      </c>
      <c r="J11467" s="7">
        <v>180</v>
      </c>
      <c r="K11467" s="7" t="s">
        <v>18</v>
      </c>
      <c r="L11467" s="8">
        <v>39987.315405092595</v>
      </c>
      <c r="M11467" s="9" t="s">
        <v>19</v>
      </c>
      <c r="N11467" s="9" t="s">
        <v>20</v>
      </c>
      <c r="O11467" s="6" t="str">
        <f>HYPERLINK("https://pbs.twimg.com/profile_images/962471262747529216/Uo8lOkRJ_normal.jpg","View")</f>
        <v>View</v>
      </c>
      <c r="P11467" s="7"/>
    </row>
    <row r="11468" spans="1:16">
      <c r="A11468" s="3">
        <v>44137.25582175926</v>
      </c>
      <c r="B11468" s="4" t="str">
        <f>HYPERLINK("https://twitter.com/petrogustavo","@petrogustavo")</f>
        <v>@petrogustavo</v>
      </c>
      <c r="C11468" s="5" t="s">
        <v>16</v>
      </c>
      <c r="D11468" s="5" t="s">
        <v>11039</v>
      </c>
      <c r="E11468" s="6" t="str">
        <f>HYPERLINK("https://twitter.com/petrogustavo/status/1323061858975305731","1323061858975305731")</f>
        <v>1323061858975305731</v>
      </c>
      <c r="F11468" s="7" t="s">
        <v>32</v>
      </c>
      <c r="G11468" s="7">
        <v>3999365</v>
      </c>
      <c r="H11468" s="7">
        <v>2455</v>
      </c>
      <c r="I11468" s="7">
        <v>18</v>
      </c>
      <c r="J11468" s="7">
        <v>0</v>
      </c>
      <c r="K11468" s="7" t="s">
        <v>18</v>
      </c>
      <c r="L11468" s="8">
        <v>39987.315405092595</v>
      </c>
      <c r="M11468" s="9" t="s">
        <v>19</v>
      </c>
      <c r="N11468" s="9" t="s">
        <v>20</v>
      </c>
      <c r="O11468" s="6" t="str">
        <f>HYPERLINK("https://pbs.twimg.com/profile_images/962471262747529216/Uo8lOkRJ_normal.jpg","View")</f>
        <v>View</v>
      </c>
      <c r="P11468" s="7"/>
    </row>
    <row r="11469" spans="1:16">
      <c r="A11469" s="3">
        <v>44137.256840277776</v>
      </c>
      <c r="B11469" s="4" t="str">
        <f>HYPERLINK("https://twitter.com/petrogustavo","@petrogustavo")</f>
        <v>@petrogustavo</v>
      </c>
      <c r="C11469" s="5" t="s">
        <v>16</v>
      </c>
      <c r="D11469" s="5" t="s">
        <v>11040</v>
      </c>
      <c r="E11469" s="6" t="str">
        <f>HYPERLINK("https://twitter.com/petrogustavo/status/1323062230414491651","1323062230414491651")</f>
        <v>1323062230414491651</v>
      </c>
      <c r="F11469" s="7" t="s">
        <v>17</v>
      </c>
      <c r="G11469" s="7">
        <v>3999365</v>
      </c>
      <c r="H11469" s="7">
        <v>2455</v>
      </c>
      <c r="I11469" s="7">
        <v>276</v>
      </c>
      <c r="J11469" s="7">
        <v>0</v>
      </c>
      <c r="K11469" s="7" t="s">
        <v>18</v>
      </c>
      <c r="L11469" s="8">
        <v>39987.315405092595</v>
      </c>
      <c r="M11469" s="9" t="s">
        <v>19</v>
      </c>
      <c r="N11469" s="9" t="s">
        <v>20</v>
      </c>
      <c r="O11469" s="6" t="str">
        <f>HYPERLINK("https://pbs.twimg.com/profile_images/962471262747529216/Uo8lOkRJ_normal.jpg","View")</f>
        <v>View</v>
      </c>
      <c r="P11469" s="7"/>
    </row>
    <row r="11470" spans="1:16">
      <c r="A11470" s="3">
        <v>44137.733194444445</v>
      </c>
      <c r="B11470" s="4" t="str">
        <f>HYPERLINK("https://twitter.com/petrogustavo","@petrogustavo")</f>
        <v>@petrogustavo</v>
      </c>
      <c r="C11470" s="5" t="s">
        <v>16</v>
      </c>
      <c r="D11470" s="5" t="s">
        <v>11041</v>
      </c>
      <c r="E11470" s="6" t="str">
        <f>HYPERLINK("https://twitter.com/petrogustavo/status/1323234853672898560","1323234853672898560")</f>
        <v>1323234853672898560</v>
      </c>
      <c r="F11470" s="7" t="s">
        <v>32</v>
      </c>
      <c r="G11470" s="7">
        <v>3999447</v>
      </c>
      <c r="H11470" s="7">
        <v>2455</v>
      </c>
      <c r="I11470" s="7">
        <v>102</v>
      </c>
      <c r="J11470" s="7">
        <v>0</v>
      </c>
      <c r="K11470" s="7" t="s">
        <v>18</v>
      </c>
      <c r="L11470" s="8">
        <v>39987.315405092595</v>
      </c>
      <c r="M11470" s="9" t="s">
        <v>19</v>
      </c>
      <c r="N11470" s="9" t="s">
        <v>20</v>
      </c>
      <c r="O11470" s="6" t="str">
        <f>HYPERLINK("https://pbs.twimg.com/profile_images/962471262747529216/Uo8lOkRJ_normal.jpg","View")</f>
        <v>View</v>
      </c>
      <c r="P11470" s="7"/>
    </row>
    <row r="11471" spans="1:16">
      <c r="A11471" s="3">
        <v>44137.733668981484</v>
      </c>
      <c r="B11471" s="4" t="str">
        <f>HYPERLINK("https://twitter.com/petrogustavo","@petrogustavo")</f>
        <v>@petrogustavo</v>
      </c>
      <c r="C11471" s="5" t="s">
        <v>16</v>
      </c>
      <c r="D11471" s="5" t="s">
        <v>11042</v>
      </c>
      <c r="E11471" s="6" t="str">
        <f>HYPERLINK("https://twitter.com/petrogustavo/status/1323235025102491649","1323235025102491649")</f>
        <v>1323235025102491649</v>
      </c>
      <c r="F11471" s="7" t="s">
        <v>32</v>
      </c>
      <c r="G11471" s="7">
        <v>3999447</v>
      </c>
      <c r="H11471" s="7">
        <v>2455</v>
      </c>
      <c r="I11471" s="7">
        <v>174</v>
      </c>
      <c r="J11471" s="7">
        <v>0</v>
      </c>
      <c r="K11471" s="7" t="s">
        <v>18</v>
      </c>
      <c r="L11471" s="8">
        <v>39987.315405092595</v>
      </c>
      <c r="M11471" s="9" t="s">
        <v>19</v>
      </c>
      <c r="N11471" s="9" t="s">
        <v>20</v>
      </c>
      <c r="O11471" s="6" t="str">
        <f>HYPERLINK("https://pbs.twimg.com/profile_images/962471262747529216/Uo8lOkRJ_normal.jpg","View")</f>
        <v>View</v>
      </c>
      <c r="P11471" s="7"/>
    </row>
    <row r="11472" spans="1:16">
      <c r="A11472" s="3">
        <v>44137.734085648146</v>
      </c>
      <c r="B11472" s="4" t="str">
        <f>HYPERLINK("https://twitter.com/petrogustavo","@petrogustavo")</f>
        <v>@petrogustavo</v>
      </c>
      <c r="C11472" s="5" t="s">
        <v>16</v>
      </c>
      <c r="D11472" s="5" t="s">
        <v>11043</v>
      </c>
      <c r="E11472" s="6" t="str">
        <f>HYPERLINK("https://twitter.com/petrogustavo/status/1323235179356409868","1323235179356409868")</f>
        <v>1323235179356409868</v>
      </c>
      <c r="F11472" s="7" t="s">
        <v>32</v>
      </c>
      <c r="G11472" s="7">
        <v>3999447</v>
      </c>
      <c r="H11472" s="7">
        <v>2455</v>
      </c>
      <c r="I11472" s="7">
        <v>149</v>
      </c>
      <c r="J11472" s="7">
        <v>0</v>
      </c>
      <c r="K11472" s="7" t="s">
        <v>18</v>
      </c>
      <c r="L11472" s="8">
        <v>39987.315405092595</v>
      </c>
      <c r="M11472" s="9" t="s">
        <v>19</v>
      </c>
      <c r="N11472" s="9" t="s">
        <v>20</v>
      </c>
      <c r="O11472" s="6" t="str">
        <f>HYPERLINK("https://pbs.twimg.com/profile_images/962471262747529216/Uo8lOkRJ_normal.jpg","View")</f>
        <v>View</v>
      </c>
      <c r="P11472" s="7"/>
    </row>
    <row r="11473" spans="1:16">
      <c r="A11473" s="3">
        <v>44137.738229166665</v>
      </c>
      <c r="B11473" s="4" t="str">
        <f>HYPERLINK("https://twitter.com/petrogustavo","@petrogustavo")</f>
        <v>@petrogustavo</v>
      </c>
      <c r="C11473" s="5" t="s">
        <v>16</v>
      </c>
      <c r="D11473" s="5" t="s">
        <v>11044</v>
      </c>
      <c r="E11473" s="6" t="str">
        <f>HYPERLINK("https://twitter.com/petrogustavo/status/1323236680187416576","1323236680187416576")</f>
        <v>1323236680187416576</v>
      </c>
      <c r="F11473" s="7" t="s">
        <v>32</v>
      </c>
      <c r="G11473" s="7">
        <v>3999447</v>
      </c>
      <c r="H11473" s="7">
        <v>2455</v>
      </c>
      <c r="I11473" s="7">
        <v>24</v>
      </c>
      <c r="J11473" s="7">
        <v>0</v>
      </c>
      <c r="K11473" s="7" t="s">
        <v>18</v>
      </c>
      <c r="L11473" s="8">
        <v>39987.315405092595</v>
      </c>
      <c r="M11473" s="9" t="s">
        <v>19</v>
      </c>
      <c r="N11473" s="9" t="s">
        <v>20</v>
      </c>
      <c r="O11473" s="6" t="str">
        <f>HYPERLINK("https://pbs.twimg.com/profile_images/962471262747529216/Uo8lOkRJ_normal.jpg","View")</f>
        <v>View</v>
      </c>
      <c r="P11473" s="7"/>
    </row>
    <row r="11474" spans="1:16">
      <c r="A11474" s="3">
        <v>44137.744837962964</v>
      </c>
      <c r="B11474" s="4" t="str">
        <f>HYPERLINK("https://twitter.com/petrogustavo","@petrogustavo")</f>
        <v>@petrogustavo</v>
      </c>
      <c r="C11474" s="5" t="s">
        <v>16</v>
      </c>
      <c r="D11474" s="5" t="s">
        <v>11045</v>
      </c>
      <c r="E11474" s="6" t="str">
        <f>HYPERLINK("https://twitter.com/petrogustavo/status/1323239073947987972","1323239073947987972")</f>
        <v>1323239073947987972</v>
      </c>
      <c r="F11474" s="7" t="s">
        <v>17</v>
      </c>
      <c r="G11474" s="7">
        <v>3999452</v>
      </c>
      <c r="H11474" s="7">
        <v>2455</v>
      </c>
      <c r="I11474" s="7">
        <v>88</v>
      </c>
      <c r="J11474" s="7">
        <v>323</v>
      </c>
      <c r="K11474" s="7" t="s">
        <v>18</v>
      </c>
      <c r="L11474" s="8">
        <v>39987.315405092595</v>
      </c>
      <c r="M11474" s="9" t="s">
        <v>19</v>
      </c>
      <c r="N11474" s="9" t="s">
        <v>20</v>
      </c>
      <c r="O11474" s="6" t="str">
        <f>HYPERLINK("https://pbs.twimg.com/profile_images/962471262747529216/Uo8lOkRJ_normal.jpg","View")</f>
        <v>View</v>
      </c>
      <c r="P11474" s="7"/>
    </row>
    <row r="11475" spans="1:16">
      <c r="A11475" s="3">
        <v>44137.761157407411</v>
      </c>
      <c r="B11475" s="4" t="str">
        <f>HYPERLINK("https://twitter.com/petrogustavo","@petrogustavo")</f>
        <v>@petrogustavo</v>
      </c>
      <c r="C11475" s="5" t="s">
        <v>16</v>
      </c>
      <c r="D11475" s="5" t="s">
        <v>11046</v>
      </c>
      <c r="E11475" s="6" t="str">
        <f>HYPERLINK("https://twitter.com/petrogustavo/status/1323244988277415936","1323244988277415936")</f>
        <v>1323244988277415936</v>
      </c>
      <c r="F11475" s="7" t="s">
        <v>32</v>
      </c>
      <c r="G11475" s="7">
        <v>3999452</v>
      </c>
      <c r="H11475" s="7">
        <v>2455</v>
      </c>
      <c r="I11475" s="7">
        <v>17</v>
      </c>
      <c r="J11475" s="7">
        <v>67</v>
      </c>
      <c r="K11475" s="7" t="s">
        <v>18</v>
      </c>
      <c r="L11475" s="8">
        <v>39987.315405092595</v>
      </c>
      <c r="M11475" s="9" t="s">
        <v>19</v>
      </c>
      <c r="N11475" s="9" t="s">
        <v>20</v>
      </c>
      <c r="O11475" s="6" t="str">
        <f>HYPERLINK("https://pbs.twimg.com/profile_images/962471262747529216/Uo8lOkRJ_normal.jpg","View")</f>
        <v>View</v>
      </c>
      <c r="P11475" s="7"/>
    </row>
    <row r="11476" spans="1:16">
      <c r="A11476" s="3">
        <v>44137.769050925926</v>
      </c>
      <c r="B11476" s="4" t="str">
        <f>HYPERLINK("https://twitter.com/petrogustavo","@petrogustavo")</f>
        <v>@petrogustavo</v>
      </c>
      <c r="C11476" s="5" t="s">
        <v>16</v>
      </c>
      <c r="D11476" s="5" t="s">
        <v>11047</v>
      </c>
      <c r="E11476" s="6" t="str">
        <f>HYPERLINK("https://twitter.com/petrogustavo/status/1323247847987359744","1323247847987359744")</f>
        <v>1323247847987359744</v>
      </c>
      <c r="F11476" s="7" t="s">
        <v>32</v>
      </c>
      <c r="G11476" s="7">
        <v>3999458</v>
      </c>
      <c r="H11476" s="7">
        <v>2455</v>
      </c>
      <c r="I11476" s="7">
        <v>87</v>
      </c>
      <c r="J11476" s="7">
        <v>243</v>
      </c>
      <c r="K11476" s="7" t="s">
        <v>18</v>
      </c>
      <c r="L11476" s="8">
        <v>39987.315405092595</v>
      </c>
      <c r="M11476" s="9" t="s">
        <v>19</v>
      </c>
      <c r="N11476" s="9" t="s">
        <v>20</v>
      </c>
      <c r="O11476" s="6" t="str">
        <f>HYPERLINK("https://pbs.twimg.com/profile_images/962471262747529216/Uo8lOkRJ_normal.jpg","View")</f>
        <v>View</v>
      </c>
      <c r="P11476" s="7"/>
    </row>
    <row r="11477" spans="1:16">
      <c r="A11477" s="3">
        <v>44137.774953703702</v>
      </c>
      <c r="B11477" s="4" t="str">
        <f>HYPERLINK("https://twitter.com/petrogustavo","@petrogustavo")</f>
        <v>@petrogustavo</v>
      </c>
      <c r="C11477" s="5" t="s">
        <v>16</v>
      </c>
      <c r="D11477" s="5" t="s">
        <v>11048</v>
      </c>
      <c r="E11477" s="6" t="str">
        <f>HYPERLINK("https://twitter.com/petrogustavo/status/1323249987053125634","1323249987053125634")</f>
        <v>1323249987053125634</v>
      </c>
      <c r="F11477" s="7" t="s">
        <v>32</v>
      </c>
      <c r="G11477" s="7">
        <v>3999458</v>
      </c>
      <c r="H11477" s="7">
        <v>2455</v>
      </c>
      <c r="I11477" s="7">
        <v>528</v>
      </c>
      <c r="J11477" s="7">
        <v>0</v>
      </c>
      <c r="K11477" s="7" t="s">
        <v>18</v>
      </c>
      <c r="L11477" s="8">
        <v>39987.315405092595</v>
      </c>
      <c r="M11477" s="9" t="s">
        <v>19</v>
      </c>
      <c r="N11477" s="9" t="s">
        <v>20</v>
      </c>
      <c r="O11477" s="6" t="str">
        <f>HYPERLINK("https://pbs.twimg.com/profile_images/962471262747529216/Uo8lOkRJ_normal.jpg","View")</f>
        <v>View</v>
      </c>
      <c r="P11477" s="7"/>
    </row>
    <row r="11478" spans="1:16">
      <c r="A11478" s="3">
        <v>44137.78969907407</v>
      </c>
      <c r="B11478" s="4" t="str">
        <f>HYPERLINK("https://twitter.com/petrogustavo","@petrogustavo")</f>
        <v>@petrogustavo</v>
      </c>
      <c r="C11478" s="5" t="s">
        <v>16</v>
      </c>
      <c r="D11478" s="5" t="s">
        <v>11049</v>
      </c>
      <c r="E11478" s="6" t="str">
        <f>HYPERLINK("https://twitter.com/petrogustavo/status/1323255329631719426","1323255329631719426")</f>
        <v>1323255329631719426</v>
      </c>
      <c r="F11478" s="7" t="s">
        <v>32</v>
      </c>
      <c r="G11478" s="7">
        <v>3999464</v>
      </c>
      <c r="H11478" s="7">
        <v>2455</v>
      </c>
      <c r="I11478" s="7">
        <v>106</v>
      </c>
      <c r="J11478" s="7">
        <v>351</v>
      </c>
      <c r="K11478" s="7" t="s">
        <v>18</v>
      </c>
      <c r="L11478" s="8">
        <v>39987.315405092595</v>
      </c>
      <c r="M11478" s="9" t="s">
        <v>19</v>
      </c>
      <c r="N11478" s="9" t="s">
        <v>20</v>
      </c>
      <c r="O11478" s="6" t="str">
        <f>HYPERLINK("https://pbs.twimg.com/profile_images/962471262747529216/Uo8lOkRJ_normal.jpg","View")</f>
        <v>View</v>
      </c>
      <c r="P11478" s="7"/>
    </row>
    <row r="11479" spans="1:16">
      <c r="A11479" s="3">
        <v>44137.812407407408</v>
      </c>
      <c r="B11479" s="4" t="str">
        <f>HYPERLINK("https://twitter.com/petrogustavo","@petrogustavo")</f>
        <v>@petrogustavo</v>
      </c>
      <c r="C11479" s="5" t="s">
        <v>16</v>
      </c>
      <c r="D11479" s="5" t="s">
        <v>11050</v>
      </c>
      <c r="E11479" s="6" t="str">
        <f>HYPERLINK("https://twitter.com/petrogustavo/status/1323263562396086273","1323263562396086273")</f>
        <v>1323263562396086273</v>
      </c>
      <c r="F11479" s="7" t="s">
        <v>32</v>
      </c>
      <c r="G11479" s="7">
        <v>3999469</v>
      </c>
      <c r="H11479" s="7">
        <v>2455</v>
      </c>
      <c r="I11479" s="7">
        <v>938</v>
      </c>
      <c r="J11479" s="7">
        <v>0</v>
      </c>
      <c r="K11479" s="7" t="s">
        <v>18</v>
      </c>
      <c r="L11479" s="8">
        <v>39987.315405092595</v>
      </c>
      <c r="M11479" s="9" t="s">
        <v>19</v>
      </c>
      <c r="N11479" s="9" t="s">
        <v>20</v>
      </c>
      <c r="O11479" s="6" t="str">
        <f>HYPERLINK("https://pbs.twimg.com/profile_images/962471262747529216/Uo8lOkRJ_normal.jpg","View")</f>
        <v>View</v>
      </c>
      <c r="P11479" s="7"/>
    </row>
    <row r="11480" spans="1:16">
      <c r="A11480" s="3">
        <v>44137.84065972222</v>
      </c>
      <c r="B11480" s="4" t="str">
        <f>HYPERLINK("https://twitter.com/petrogustavo","@petrogustavo")</f>
        <v>@petrogustavo</v>
      </c>
      <c r="C11480" s="5" t="s">
        <v>16</v>
      </c>
      <c r="D11480" s="5" t="s">
        <v>11051</v>
      </c>
      <c r="E11480" s="6" t="str">
        <f>HYPERLINK("https://twitter.com/petrogustavo/status/1323273797387096065","1323273797387096065")</f>
        <v>1323273797387096065</v>
      </c>
      <c r="F11480" s="7" t="s">
        <v>17</v>
      </c>
      <c r="G11480" s="7">
        <v>3999481</v>
      </c>
      <c r="H11480" s="7">
        <v>2455</v>
      </c>
      <c r="I11480" s="7">
        <v>245</v>
      </c>
      <c r="J11480" s="7">
        <v>0</v>
      </c>
      <c r="K11480" s="7" t="s">
        <v>18</v>
      </c>
      <c r="L11480" s="8">
        <v>39987.315405092595</v>
      </c>
      <c r="M11480" s="9" t="s">
        <v>19</v>
      </c>
      <c r="N11480" s="9" t="s">
        <v>20</v>
      </c>
      <c r="O11480" s="6" t="str">
        <f>HYPERLINK("https://pbs.twimg.com/profile_images/962471262747529216/Uo8lOkRJ_normal.jpg","View")</f>
        <v>View</v>
      </c>
      <c r="P11480" s="7"/>
    </row>
    <row r="11481" spans="1:16">
      <c r="A11481" s="3">
        <v>44137.852581018524</v>
      </c>
      <c r="B11481" s="4" t="str">
        <f>HYPERLINK("https://twitter.com/petrogustavo","@petrogustavo")</f>
        <v>@petrogustavo</v>
      </c>
      <c r="C11481" s="5" t="s">
        <v>16</v>
      </c>
      <c r="D11481" s="5" t="s">
        <v>11052</v>
      </c>
      <c r="E11481" s="6" t="str">
        <f>HYPERLINK("https://twitter.com/petrogustavo/status/1323278119915130880","1323278119915130880")</f>
        <v>1323278119915130880</v>
      </c>
      <c r="F11481" s="7" t="s">
        <v>17</v>
      </c>
      <c r="G11481" s="7">
        <v>3999472</v>
      </c>
      <c r="H11481" s="7">
        <v>2455</v>
      </c>
      <c r="I11481" s="7">
        <v>26</v>
      </c>
      <c r="J11481" s="7">
        <v>0</v>
      </c>
      <c r="K11481" s="7" t="s">
        <v>18</v>
      </c>
      <c r="L11481" s="8">
        <v>39987.315405092595</v>
      </c>
      <c r="M11481" s="9" t="s">
        <v>19</v>
      </c>
      <c r="N11481" s="9" t="s">
        <v>20</v>
      </c>
      <c r="O11481" s="6" t="str">
        <f>HYPERLINK("https://pbs.twimg.com/profile_images/962471262747529216/Uo8lOkRJ_normal.jpg","View")</f>
        <v>View</v>
      </c>
      <c r="P11481" s="7"/>
    </row>
    <row r="11482" spans="1:16">
      <c r="A11482" s="3">
        <v>44137.853263888886</v>
      </c>
      <c r="B11482" s="4" t="str">
        <f>HYPERLINK("https://twitter.com/petrogustavo","@petrogustavo")</f>
        <v>@petrogustavo</v>
      </c>
      <c r="C11482" s="5" t="s">
        <v>16</v>
      </c>
      <c r="D11482" s="5" t="s">
        <v>11053</v>
      </c>
      <c r="E11482" s="6" t="str">
        <f>HYPERLINK("https://twitter.com/petrogustavo/status/1323278366691262465","1323278366691262465")</f>
        <v>1323278366691262465</v>
      </c>
      <c r="F11482" s="7" t="s">
        <v>17</v>
      </c>
      <c r="G11482" s="7">
        <v>3999472</v>
      </c>
      <c r="H11482" s="7">
        <v>2455</v>
      </c>
      <c r="I11482" s="7">
        <v>121</v>
      </c>
      <c r="J11482" s="7">
        <v>0</v>
      </c>
      <c r="K11482" s="7" t="s">
        <v>18</v>
      </c>
      <c r="L11482" s="8">
        <v>39987.315405092595</v>
      </c>
      <c r="M11482" s="9" t="s">
        <v>19</v>
      </c>
      <c r="N11482" s="9" t="s">
        <v>20</v>
      </c>
      <c r="O11482" s="6" t="str">
        <f>HYPERLINK("https://pbs.twimg.com/profile_images/962471262747529216/Uo8lOkRJ_normal.jpg","View")</f>
        <v>View</v>
      </c>
      <c r="P11482" s="7"/>
    </row>
    <row r="11483" spans="1:16">
      <c r="A11483" s="3">
        <v>44137.85428240741</v>
      </c>
      <c r="B11483" s="4" t="str">
        <f>HYPERLINK("https://twitter.com/petrogustavo","@petrogustavo")</f>
        <v>@petrogustavo</v>
      </c>
      <c r="C11483" s="5" t="s">
        <v>16</v>
      </c>
      <c r="D11483" s="5" t="s">
        <v>11054</v>
      </c>
      <c r="E11483" s="6" t="str">
        <f>HYPERLINK("https://twitter.com/petrogustavo/status/1323278735165038592","1323278735165038592")</f>
        <v>1323278735165038592</v>
      </c>
      <c r="F11483" s="7" t="s">
        <v>17</v>
      </c>
      <c r="G11483" s="7">
        <v>3999472</v>
      </c>
      <c r="H11483" s="7">
        <v>2455</v>
      </c>
      <c r="I11483" s="7">
        <v>133</v>
      </c>
      <c r="J11483" s="7">
        <v>0</v>
      </c>
      <c r="K11483" s="7" t="s">
        <v>18</v>
      </c>
      <c r="L11483" s="8">
        <v>39987.315405092595</v>
      </c>
      <c r="M11483" s="9" t="s">
        <v>19</v>
      </c>
      <c r="N11483" s="9" t="s">
        <v>20</v>
      </c>
      <c r="O11483" s="6" t="str">
        <f>HYPERLINK("https://pbs.twimg.com/profile_images/962471262747529216/Uo8lOkRJ_normal.jpg","View")</f>
        <v>View</v>
      </c>
      <c r="P11483" s="7"/>
    </row>
    <row r="11484" spans="1:16">
      <c r="A11484" s="3">
        <v>44137.854837962965</v>
      </c>
      <c r="B11484" s="4" t="str">
        <f>HYPERLINK("https://twitter.com/petrogustavo","@petrogustavo")</f>
        <v>@petrogustavo</v>
      </c>
      <c r="C11484" s="5" t="s">
        <v>16</v>
      </c>
      <c r="D11484" s="5" t="s">
        <v>11055</v>
      </c>
      <c r="E11484" s="6" t="str">
        <f>HYPERLINK("https://twitter.com/petrogustavo/status/1323278935073894402","1323278935073894402")</f>
        <v>1323278935073894402</v>
      </c>
      <c r="F11484" s="7" t="s">
        <v>17</v>
      </c>
      <c r="G11484" s="7">
        <v>3999472</v>
      </c>
      <c r="H11484" s="7">
        <v>2455</v>
      </c>
      <c r="I11484" s="7">
        <v>327</v>
      </c>
      <c r="J11484" s="7">
        <v>0</v>
      </c>
      <c r="K11484" s="7" t="s">
        <v>18</v>
      </c>
      <c r="L11484" s="8">
        <v>39987.315405092595</v>
      </c>
      <c r="M11484" s="9" t="s">
        <v>19</v>
      </c>
      <c r="N11484" s="9" t="s">
        <v>20</v>
      </c>
      <c r="O11484" s="6" t="str">
        <f>HYPERLINK("https://pbs.twimg.com/profile_images/962471262747529216/Uo8lOkRJ_normal.jpg","View")</f>
        <v>View</v>
      </c>
      <c r="P11484" s="7"/>
    </row>
    <row r="11485" spans="1:16">
      <c r="A11485" s="3">
        <v>44137.857349537036</v>
      </c>
      <c r="B11485" s="4" t="str">
        <f>HYPERLINK("https://twitter.com/petrogustavo","@petrogustavo")</f>
        <v>@petrogustavo</v>
      </c>
      <c r="C11485" s="5" t="s">
        <v>16</v>
      </c>
      <c r="D11485" s="5" t="s">
        <v>11056</v>
      </c>
      <c r="E11485" s="6" t="str">
        <f>HYPERLINK("https://twitter.com/petrogustavo/status/1323279848236818433","1323279848236818433")</f>
        <v>1323279848236818433</v>
      </c>
      <c r="F11485" s="7" t="s">
        <v>17</v>
      </c>
      <c r="G11485" s="7">
        <v>3999472</v>
      </c>
      <c r="H11485" s="7">
        <v>2455</v>
      </c>
      <c r="I11485" s="7">
        <v>251</v>
      </c>
      <c r="J11485" s="7">
        <v>942</v>
      </c>
      <c r="K11485" s="7" t="s">
        <v>18</v>
      </c>
      <c r="L11485" s="8">
        <v>39987.315405092595</v>
      </c>
      <c r="M11485" s="9" t="s">
        <v>19</v>
      </c>
      <c r="N11485" s="9" t="s">
        <v>20</v>
      </c>
      <c r="O11485" s="6" t="str">
        <f>HYPERLINK("https://pbs.twimg.com/profile_images/962471262747529216/Uo8lOkRJ_normal.jpg","View")</f>
        <v>View</v>
      </c>
      <c r="P11485" s="7"/>
    </row>
    <row r="11486" spans="1:16">
      <c r="A11486" s="3">
        <v>44137.864201388889</v>
      </c>
      <c r="B11486" s="4" t="str">
        <f>HYPERLINK("https://twitter.com/petrogustavo","@petrogustavo")</f>
        <v>@petrogustavo</v>
      </c>
      <c r="C11486" s="5" t="s">
        <v>16</v>
      </c>
      <c r="D11486" s="5" t="s">
        <v>11057</v>
      </c>
      <c r="E11486" s="6" t="str">
        <f>HYPERLINK("https://twitter.com/petrogustavo/status/1323282331566788610","1323282331566788610")</f>
        <v>1323282331566788610</v>
      </c>
      <c r="F11486" s="7" t="s">
        <v>17</v>
      </c>
      <c r="G11486" s="7">
        <v>3999472</v>
      </c>
      <c r="H11486" s="7">
        <v>2455</v>
      </c>
      <c r="I11486" s="7">
        <v>49</v>
      </c>
      <c r="J11486" s="7">
        <v>156</v>
      </c>
      <c r="K11486" s="7" t="s">
        <v>18</v>
      </c>
      <c r="L11486" s="8">
        <v>39987.315405092595</v>
      </c>
      <c r="M11486" s="9" t="s">
        <v>19</v>
      </c>
      <c r="N11486" s="9" t="s">
        <v>20</v>
      </c>
      <c r="O11486" s="6" t="str">
        <f>HYPERLINK("https://pbs.twimg.com/profile_images/962471262747529216/Uo8lOkRJ_normal.jpg","View")</f>
        <v>View</v>
      </c>
      <c r="P11486" s="7"/>
    </row>
    <row r="11487" spans="1:16">
      <c r="A11487" s="3">
        <v>44137.865798611107</v>
      </c>
      <c r="B11487" s="4" t="str">
        <f>HYPERLINK("https://twitter.com/petrogustavo","@petrogustavo")</f>
        <v>@petrogustavo</v>
      </c>
      <c r="C11487" s="5" t="s">
        <v>16</v>
      </c>
      <c r="D11487" s="5" t="s">
        <v>11058</v>
      </c>
      <c r="E11487" s="6" t="str">
        <f>HYPERLINK("https://twitter.com/petrogustavo/status/1323282909286060032","1323282909286060032")</f>
        <v>1323282909286060032</v>
      </c>
      <c r="F11487" s="7" t="s">
        <v>17</v>
      </c>
      <c r="G11487" s="7">
        <v>3999472</v>
      </c>
      <c r="H11487" s="7">
        <v>2455</v>
      </c>
      <c r="I11487" s="7">
        <v>251</v>
      </c>
      <c r="J11487" s="7">
        <v>0</v>
      </c>
      <c r="K11487" s="7" t="s">
        <v>18</v>
      </c>
      <c r="L11487" s="8">
        <v>39987.315405092595</v>
      </c>
      <c r="M11487" s="9" t="s">
        <v>19</v>
      </c>
      <c r="N11487" s="9" t="s">
        <v>20</v>
      </c>
      <c r="O11487" s="6" t="str">
        <f>HYPERLINK("https://pbs.twimg.com/profile_images/962471262747529216/Uo8lOkRJ_normal.jpg","View")</f>
        <v>View</v>
      </c>
      <c r="P11487" s="7"/>
    </row>
    <row r="11488" spans="1:16">
      <c r="A11488" s="3">
        <v>44137.915046296301</v>
      </c>
      <c r="B11488" s="4" t="str">
        <f>HYPERLINK("https://twitter.com/petrogustavo","@petrogustavo")</f>
        <v>@petrogustavo</v>
      </c>
      <c r="C11488" s="5" t="s">
        <v>16</v>
      </c>
      <c r="D11488" s="5" t="s">
        <v>11051</v>
      </c>
      <c r="E11488" s="6" t="str">
        <f>HYPERLINK("https://twitter.com/petrogustavo/status/1323300754589974531","1323300754589974531")</f>
        <v>1323300754589974531</v>
      </c>
      <c r="F11488" s="7" t="s">
        <v>32</v>
      </c>
      <c r="G11488" s="7">
        <v>3999491</v>
      </c>
      <c r="H11488" s="7">
        <v>2455</v>
      </c>
      <c r="I11488" s="7">
        <v>390</v>
      </c>
      <c r="J11488" s="7">
        <v>0</v>
      </c>
      <c r="K11488" s="7" t="s">
        <v>18</v>
      </c>
      <c r="L11488" s="8">
        <v>39987.315405092595</v>
      </c>
      <c r="M11488" s="9" t="s">
        <v>19</v>
      </c>
      <c r="N11488" s="9" t="s">
        <v>20</v>
      </c>
      <c r="O11488" s="6" t="str">
        <f>HYPERLINK("https://pbs.twimg.com/profile_images/962471262747529216/Uo8lOkRJ_normal.jpg","View")</f>
        <v>View</v>
      </c>
      <c r="P11488" s="7"/>
    </row>
    <row r="11489" spans="1:16">
      <c r="A11489" s="3">
        <v>44137.927002314813</v>
      </c>
      <c r="B11489" s="4" t="str">
        <f>HYPERLINK("https://twitter.com/petrogustavo","@petrogustavo")</f>
        <v>@petrogustavo</v>
      </c>
      <c r="C11489" s="5" t="s">
        <v>16</v>
      </c>
      <c r="D11489" s="5" t="s">
        <v>11059</v>
      </c>
      <c r="E11489" s="6" t="str">
        <f>HYPERLINK("https://twitter.com/petrogustavo/status/1323305088060956674","1323305088060956674")</f>
        <v>1323305088060956674</v>
      </c>
      <c r="F11489" s="7" t="s">
        <v>32</v>
      </c>
      <c r="G11489" s="7">
        <v>3999491</v>
      </c>
      <c r="H11489" s="7">
        <v>2455</v>
      </c>
      <c r="I11489" s="7">
        <v>14</v>
      </c>
      <c r="J11489" s="7">
        <v>37</v>
      </c>
      <c r="K11489" s="7" t="s">
        <v>18</v>
      </c>
      <c r="L11489" s="8">
        <v>39987.315405092595</v>
      </c>
      <c r="M11489" s="9" t="s">
        <v>19</v>
      </c>
      <c r="N11489" s="9" t="s">
        <v>20</v>
      </c>
      <c r="O11489" s="6" t="str">
        <f>HYPERLINK("https://pbs.twimg.com/profile_images/962471262747529216/Uo8lOkRJ_normal.jpg","View")</f>
        <v>View</v>
      </c>
      <c r="P11489" s="7"/>
    </row>
    <row r="11490" spans="1:16">
      <c r="A11490" s="3">
        <v>44137.93037037037</v>
      </c>
      <c r="B11490" s="4" t="str">
        <f>HYPERLINK("https://twitter.com/petrogustavo","@petrogustavo")</f>
        <v>@petrogustavo</v>
      </c>
      <c r="C11490" s="5" t="s">
        <v>16</v>
      </c>
      <c r="D11490" s="5" t="s">
        <v>11060</v>
      </c>
      <c r="E11490" s="6" t="str">
        <f>HYPERLINK("https://twitter.com/petrogustavo/status/1323306308863483904","1323306308863483904")</f>
        <v>1323306308863483904</v>
      </c>
      <c r="F11490" s="7" t="s">
        <v>32</v>
      </c>
      <c r="G11490" s="7">
        <v>3999485</v>
      </c>
      <c r="H11490" s="7">
        <v>2456</v>
      </c>
      <c r="I11490" s="7">
        <v>64</v>
      </c>
      <c r="J11490" s="7">
        <v>319</v>
      </c>
      <c r="K11490" s="7" t="s">
        <v>18</v>
      </c>
      <c r="L11490" s="8">
        <v>39987.315405092595</v>
      </c>
      <c r="M11490" s="9" t="s">
        <v>19</v>
      </c>
      <c r="N11490" s="9" t="s">
        <v>20</v>
      </c>
      <c r="O11490" s="6" t="str">
        <f>HYPERLINK("https://pbs.twimg.com/profile_images/962471262747529216/Uo8lOkRJ_normal.jpg","View")</f>
        <v>View</v>
      </c>
      <c r="P11490" s="7"/>
    </row>
    <row r="11491" spans="1:16">
      <c r="A11491" s="3">
        <v>44137.932800925926</v>
      </c>
      <c r="B11491" s="4" t="str">
        <f>HYPERLINK("https://twitter.com/petrogustavo","@petrogustavo")</f>
        <v>@petrogustavo</v>
      </c>
      <c r="C11491" s="5" t="s">
        <v>16</v>
      </c>
      <c r="D11491" s="5" t="s">
        <v>11061</v>
      </c>
      <c r="E11491" s="6" t="str">
        <f>HYPERLINK("https://twitter.com/petrogustavo/status/1323307189705072641","1323307189705072641")</f>
        <v>1323307189705072641</v>
      </c>
      <c r="F11491" s="7" t="s">
        <v>17</v>
      </c>
      <c r="G11491" s="7">
        <v>3999485</v>
      </c>
      <c r="H11491" s="7">
        <v>2456</v>
      </c>
      <c r="I11491" s="7">
        <v>19</v>
      </c>
      <c r="J11491" s="7">
        <v>117</v>
      </c>
      <c r="K11491" s="7" t="s">
        <v>18</v>
      </c>
      <c r="L11491" s="8">
        <v>39987.315405092595</v>
      </c>
      <c r="M11491" s="9" t="s">
        <v>19</v>
      </c>
      <c r="N11491" s="9" t="s">
        <v>20</v>
      </c>
      <c r="O11491" s="6" t="str">
        <f>HYPERLINK("https://pbs.twimg.com/profile_images/962471262747529216/Uo8lOkRJ_normal.jpg","View")</f>
        <v>View</v>
      </c>
      <c r="P11491" s="7"/>
    </row>
    <row r="11492" spans="1:16">
      <c r="A11492" s="3">
        <v>44137.934930555552</v>
      </c>
      <c r="B11492" s="4" t="str">
        <f>HYPERLINK("https://twitter.com/petrogustavo","@petrogustavo")</f>
        <v>@petrogustavo</v>
      </c>
      <c r="C11492" s="5" t="s">
        <v>16</v>
      </c>
      <c r="D11492" s="5" t="s">
        <v>11062</v>
      </c>
      <c r="E11492" s="6" t="str">
        <f>HYPERLINK("https://twitter.com/petrogustavo/status/1323307960920137734","1323307960920137734")</f>
        <v>1323307960920137734</v>
      </c>
      <c r="F11492" s="7" t="s">
        <v>17</v>
      </c>
      <c r="G11492" s="7">
        <v>3999485</v>
      </c>
      <c r="H11492" s="7">
        <v>2456</v>
      </c>
      <c r="I11492" s="7">
        <v>15</v>
      </c>
      <c r="J11492" s="7">
        <v>83</v>
      </c>
      <c r="K11492" s="7" t="s">
        <v>18</v>
      </c>
      <c r="L11492" s="8">
        <v>39987.315405092595</v>
      </c>
      <c r="M11492" s="9" t="s">
        <v>19</v>
      </c>
      <c r="N11492" s="9" t="s">
        <v>20</v>
      </c>
      <c r="O11492" s="6" t="str">
        <f>HYPERLINK("https://pbs.twimg.com/profile_images/962471262747529216/Uo8lOkRJ_normal.jpg","View")</f>
        <v>View</v>
      </c>
      <c r="P11492" s="7"/>
    </row>
    <row r="11493" spans="1:16">
      <c r="A11493" s="3">
        <v>44137.936215277776</v>
      </c>
      <c r="B11493" s="4" t="str">
        <f>HYPERLINK("https://twitter.com/petrogustavo","@petrogustavo")</f>
        <v>@petrogustavo</v>
      </c>
      <c r="C11493" s="5" t="s">
        <v>16</v>
      </c>
      <c r="D11493" s="5" t="s">
        <v>11063</v>
      </c>
      <c r="E11493" s="6" t="str">
        <f>HYPERLINK("https://twitter.com/petrogustavo/status/1323308426915651585","1323308426915651585")</f>
        <v>1323308426915651585</v>
      </c>
      <c r="F11493" s="7" t="s">
        <v>17</v>
      </c>
      <c r="G11493" s="7">
        <v>3999485</v>
      </c>
      <c r="H11493" s="7">
        <v>2456</v>
      </c>
      <c r="I11493" s="7">
        <v>15</v>
      </c>
      <c r="J11493" s="7">
        <v>108</v>
      </c>
      <c r="K11493" s="7" t="s">
        <v>18</v>
      </c>
      <c r="L11493" s="8">
        <v>39987.315405092595</v>
      </c>
      <c r="M11493" s="9" t="s">
        <v>19</v>
      </c>
      <c r="N11493" s="9" t="s">
        <v>20</v>
      </c>
      <c r="O11493" s="6" t="str">
        <f>HYPERLINK("https://pbs.twimg.com/profile_images/962471262747529216/Uo8lOkRJ_normal.jpg","View")</f>
        <v>View</v>
      </c>
      <c r="P11493" s="7"/>
    </row>
    <row r="11494" spans="1:16">
      <c r="A11494" s="3">
        <v>44137.938113425931</v>
      </c>
      <c r="B11494" s="4" t="str">
        <f>HYPERLINK("https://twitter.com/petrogustavo","@petrogustavo")</f>
        <v>@petrogustavo</v>
      </c>
      <c r="C11494" s="5" t="s">
        <v>16</v>
      </c>
      <c r="D11494" s="5" t="s">
        <v>11064</v>
      </c>
      <c r="E11494" s="6" t="str">
        <f>HYPERLINK("https://twitter.com/petrogustavo/status/1323309113326161920","1323309113326161920")</f>
        <v>1323309113326161920</v>
      </c>
      <c r="F11494" s="7" t="s">
        <v>17</v>
      </c>
      <c r="G11494" s="7">
        <v>3999485</v>
      </c>
      <c r="H11494" s="7">
        <v>2456</v>
      </c>
      <c r="I11494" s="7">
        <v>11</v>
      </c>
      <c r="J11494" s="7">
        <v>80</v>
      </c>
      <c r="K11494" s="7" t="s">
        <v>18</v>
      </c>
      <c r="L11494" s="8">
        <v>39987.315405092595</v>
      </c>
      <c r="M11494" s="9" t="s">
        <v>19</v>
      </c>
      <c r="N11494" s="9" t="s">
        <v>20</v>
      </c>
      <c r="O11494" s="6" t="str">
        <f>HYPERLINK("https://pbs.twimg.com/profile_images/962471262747529216/Uo8lOkRJ_normal.jpg","View")</f>
        <v>View</v>
      </c>
      <c r="P11494" s="7"/>
    </row>
    <row r="11495" spans="1:16">
      <c r="A11495" s="3">
        <v>44137.940659722226</v>
      </c>
      <c r="B11495" s="4" t="str">
        <f>HYPERLINK("https://twitter.com/petrogustavo","@petrogustavo")</f>
        <v>@petrogustavo</v>
      </c>
      <c r="C11495" s="5" t="s">
        <v>16</v>
      </c>
      <c r="D11495" s="5" t="s">
        <v>11065</v>
      </c>
      <c r="E11495" s="6" t="str">
        <f>HYPERLINK("https://twitter.com/petrogustavo/status/1323310035875909634","1323310035875909634")</f>
        <v>1323310035875909634</v>
      </c>
      <c r="F11495" s="7" t="s">
        <v>17</v>
      </c>
      <c r="G11495" s="7">
        <v>3999485</v>
      </c>
      <c r="H11495" s="7">
        <v>2456</v>
      </c>
      <c r="I11495" s="7">
        <v>15</v>
      </c>
      <c r="J11495" s="7">
        <v>84</v>
      </c>
      <c r="K11495" s="7" t="s">
        <v>18</v>
      </c>
      <c r="L11495" s="8">
        <v>39987.315405092595</v>
      </c>
      <c r="M11495" s="9" t="s">
        <v>19</v>
      </c>
      <c r="N11495" s="9" t="s">
        <v>20</v>
      </c>
      <c r="O11495" s="6" t="str">
        <f>HYPERLINK("https://pbs.twimg.com/profile_images/962471262747529216/Uo8lOkRJ_normal.jpg","View")</f>
        <v>View</v>
      </c>
      <c r="P11495" s="7"/>
    </row>
    <row r="11496" spans="1:16">
      <c r="A11496" s="3">
        <v>44137.942118055551</v>
      </c>
      <c r="B11496" s="4" t="str">
        <f>HYPERLINK("https://twitter.com/petrogustavo","@petrogustavo")</f>
        <v>@petrogustavo</v>
      </c>
      <c r="C11496" s="5" t="s">
        <v>16</v>
      </c>
      <c r="D11496" s="5" t="s">
        <v>11066</v>
      </c>
      <c r="E11496" s="6" t="str">
        <f>HYPERLINK("https://twitter.com/petrogustavo/status/1323310567088705537","1323310567088705537")</f>
        <v>1323310567088705537</v>
      </c>
      <c r="F11496" s="7" t="s">
        <v>17</v>
      </c>
      <c r="G11496" s="7">
        <v>3999485</v>
      </c>
      <c r="H11496" s="7">
        <v>2456</v>
      </c>
      <c r="I11496" s="7">
        <v>8</v>
      </c>
      <c r="J11496" s="7">
        <v>63</v>
      </c>
      <c r="K11496" s="7" t="s">
        <v>18</v>
      </c>
      <c r="L11496" s="8">
        <v>39987.315405092595</v>
      </c>
      <c r="M11496" s="9" t="s">
        <v>19</v>
      </c>
      <c r="N11496" s="9" t="s">
        <v>20</v>
      </c>
      <c r="O11496" s="6" t="str">
        <f>HYPERLINK("https://pbs.twimg.com/profile_images/962471262747529216/Uo8lOkRJ_normal.jpg","View")</f>
        <v>View</v>
      </c>
      <c r="P11496" s="7"/>
    </row>
    <row r="11497" spans="1:16">
      <c r="A11497" s="3">
        <v>44137.943414351852</v>
      </c>
      <c r="B11497" s="4" t="str">
        <f>HYPERLINK("https://twitter.com/petrogustavo","@petrogustavo")</f>
        <v>@petrogustavo</v>
      </c>
      <c r="C11497" s="5" t="s">
        <v>16</v>
      </c>
      <c r="D11497" s="5" t="s">
        <v>11051</v>
      </c>
      <c r="E11497" s="6" t="str">
        <f>HYPERLINK("https://twitter.com/petrogustavo/status/1323311037546975232","1323311037546975232")</f>
        <v>1323311037546975232</v>
      </c>
      <c r="F11497" s="7" t="s">
        <v>32</v>
      </c>
      <c r="G11497" s="7">
        <v>3999485</v>
      </c>
      <c r="H11497" s="7">
        <v>2456</v>
      </c>
      <c r="I11497" s="7">
        <v>419</v>
      </c>
      <c r="J11497" s="7">
        <v>0</v>
      </c>
      <c r="K11497" s="7" t="s">
        <v>18</v>
      </c>
      <c r="L11497" s="8">
        <v>39987.315405092595</v>
      </c>
      <c r="M11497" s="9" t="s">
        <v>19</v>
      </c>
      <c r="N11497" s="9" t="s">
        <v>20</v>
      </c>
      <c r="O11497" s="6" t="str">
        <f>HYPERLINK("https://pbs.twimg.com/profile_images/962471262747529216/Uo8lOkRJ_normal.jpg","View")</f>
        <v>View</v>
      </c>
      <c r="P11497" s="7"/>
    </row>
    <row r="11498" spans="1:16">
      <c r="A11498" s="3">
        <v>44137.944016203706</v>
      </c>
      <c r="B11498" s="4" t="str">
        <f>HYPERLINK("https://twitter.com/petrogustavo","@petrogustavo")</f>
        <v>@petrogustavo</v>
      </c>
      <c r="C11498" s="5" t="s">
        <v>16</v>
      </c>
      <c r="D11498" s="5" t="s">
        <v>11058</v>
      </c>
      <c r="E11498" s="6" t="str">
        <f>HYPERLINK("https://twitter.com/petrogustavo/status/1323311255894065154","1323311255894065154")</f>
        <v>1323311255894065154</v>
      </c>
      <c r="F11498" s="7" t="s">
        <v>32</v>
      </c>
      <c r="G11498" s="7">
        <v>3999485</v>
      </c>
      <c r="H11498" s="7">
        <v>2456</v>
      </c>
      <c r="I11498" s="7">
        <v>1264</v>
      </c>
      <c r="J11498" s="7">
        <v>0</v>
      </c>
      <c r="K11498" s="7" t="s">
        <v>18</v>
      </c>
      <c r="L11498" s="8">
        <v>39987.315405092595</v>
      </c>
      <c r="M11498" s="9" t="s">
        <v>19</v>
      </c>
      <c r="N11498" s="9" t="s">
        <v>20</v>
      </c>
      <c r="O11498" s="6" t="str">
        <f>HYPERLINK("https://pbs.twimg.com/profile_images/962471262747529216/Uo8lOkRJ_normal.jpg","View")</f>
        <v>View</v>
      </c>
      <c r="P11498" s="7"/>
    </row>
    <row r="11499" spans="1:16">
      <c r="A11499" s="3">
        <v>44138.045231481483</v>
      </c>
      <c r="B11499" s="4" t="str">
        <f>HYPERLINK("https://twitter.com/petrogustavo","@petrogustavo")</f>
        <v>@petrogustavo</v>
      </c>
      <c r="C11499" s="5" t="s">
        <v>16</v>
      </c>
      <c r="D11499" s="5" t="s">
        <v>11067</v>
      </c>
      <c r="E11499" s="6" t="str">
        <f>HYPERLINK("https://twitter.com/petrogustavo/status/1323347935095148545","1323347935095148545")</f>
        <v>1323347935095148545</v>
      </c>
      <c r="F11499" s="7" t="s">
        <v>17</v>
      </c>
      <c r="G11499" s="7">
        <v>3999567</v>
      </c>
      <c r="H11499" s="7">
        <v>2456</v>
      </c>
      <c r="I11499" s="7">
        <v>133</v>
      </c>
      <c r="J11499" s="7">
        <v>0</v>
      </c>
      <c r="K11499" s="7" t="s">
        <v>18</v>
      </c>
      <c r="L11499" s="8">
        <v>39987.315405092595</v>
      </c>
      <c r="M11499" s="9" t="s">
        <v>19</v>
      </c>
      <c r="N11499" s="9" t="s">
        <v>20</v>
      </c>
      <c r="O11499" s="6" t="str">
        <f>HYPERLINK("https://pbs.twimg.com/profile_images/962471262747529216/Uo8lOkRJ_normal.jpg","View")</f>
        <v>View</v>
      </c>
      <c r="P11499" s="7"/>
    </row>
    <row r="11500" spans="1:16">
      <c r="A11500" s="3">
        <v>44138.049351851849</v>
      </c>
      <c r="B11500" s="4" t="str">
        <f>HYPERLINK("https://twitter.com/petrogustavo","@petrogustavo")</f>
        <v>@petrogustavo</v>
      </c>
      <c r="C11500" s="5" t="s">
        <v>16</v>
      </c>
      <c r="D11500" s="5" t="s">
        <v>11068</v>
      </c>
      <c r="E11500" s="6" t="str">
        <f>HYPERLINK("https://twitter.com/petrogustavo/status/1323349426094673926","1323349426094673926")</f>
        <v>1323349426094673926</v>
      </c>
      <c r="F11500" s="7" t="s">
        <v>17</v>
      </c>
      <c r="G11500" s="7">
        <v>3999567</v>
      </c>
      <c r="H11500" s="7">
        <v>2456</v>
      </c>
      <c r="I11500" s="7">
        <v>158</v>
      </c>
      <c r="J11500" s="7">
        <v>486</v>
      </c>
      <c r="K11500" s="7" t="s">
        <v>18</v>
      </c>
      <c r="L11500" s="8">
        <v>39987.315405092595</v>
      </c>
      <c r="M11500" s="9" t="s">
        <v>19</v>
      </c>
      <c r="N11500" s="9" t="s">
        <v>20</v>
      </c>
      <c r="O11500" s="6" t="str">
        <f>HYPERLINK("https://pbs.twimg.com/profile_images/962471262747529216/Uo8lOkRJ_normal.jpg","View")</f>
        <v>View</v>
      </c>
      <c r="P11500" s="7"/>
    </row>
    <row r="11501" spans="1:16">
      <c r="A11501" s="3">
        <v>44138.052256944444</v>
      </c>
      <c r="B11501" s="4" t="str">
        <f>HYPERLINK("https://twitter.com/petrogustavo","@petrogustavo")</f>
        <v>@petrogustavo</v>
      </c>
      <c r="C11501" s="5" t="s">
        <v>16</v>
      </c>
      <c r="D11501" s="5" t="s">
        <v>11069</v>
      </c>
      <c r="E11501" s="6" t="str">
        <f>HYPERLINK("https://twitter.com/petrogustavo/status/1323350478600704000","1323350478600704000")</f>
        <v>1323350478600704000</v>
      </c>
      <c r="F11501" s="7" t="s">
        <v>17</v>
      </c>
      <c r="G11501" s="7">
        <v>3999567</v>
      </c>
      <c r="H11501" s="7">
        <v>2456</v>
      </c>
      <c r="I11501" s="7">
        <v>21</v>
      </c>
      <c r="J11501" s="7">
        <v>62</v>
      </c>
      <c r="K11501" s="7" t="s">
        <v>18</v>
      </c>
      <c r="L11501" s="8">
        <v>39987.315405092595</v>
      </c>
      <c r="M11501" s="9" t="s">
        <v>19</v>
      </c>
      <c r="N11501" s="9" t="s">
        <v>20</v>
      </c>
      <c r="O11501" s="6" t="str">
        <f>HYPERLINK("https://pbs.twimg.com/profile_images/962471262747529216/Uo8lOkRJ_normal.jpg","View")</f>
        <v>View</v>
      </c>
      <c r="P11501" s="7"/>
    </row>
    <row r="11502" spans="1:16">
      <c r="A11502" s="3">
        <v>44138.056990740741</v>
      </c>
      <c r="B11502" s="4" t="str">
        <f>HYPERLINK("https://twitter.com/petrogustavo","@petrogustavo")</f>
        <v>@petrogustavo</v>
      </c>
      <c r="C11502" s="5" t="s">
        <v>16</v>
      </c>
      <c r="D11502" s="5" t="s">
        <v>11070</v>
      </c>
      <c r="E11502" s="6" t="str">
        <f>HYPERLINK("https://twitter.com/petrogustavo/status/1323352193097998338","1323352193097998338")</f>
        <v>1323352193097998338</v>
      </c>
      <c r="F11502" s="7" t="s">
        <v>17</v>
      </c>
      <c r="G11502" s="7">
        <v>3999567</v>
      </c>
      <c r="H11502" s="7">
        <v>2456</v>
      </c>
      <c r="I11502" s="7">
        <v>167</v>
      </c>
      <c r="J11502" s="7">
        <v>518</v>
      </c>
      <c r="K11502" s="7" t="s">
        <v>18</v>
      </c>
      <c r="L11502" s="8">
        <v>39987.315405092595</v>
      </c>
      <c r="M11502" s="9" t="s">
        <v>19</v>
      </c>
      <c r="N11502" s="9" t="s">
        <v>20</v>
      </c>
      <c r="O11502" s="6" t="str">
        <f>HYPERLINK("https://pbs.twimg.com/profile_images/962471262747529216/Uo8lOkRJ_normal.jpg","View")</f>
        <v>View</v>
      </c>
      <c r="P11502" s="7"/>
    </row>
    <row r="11503" spans="1:16">
      <c r="A11503" s="3">
        <v>44138.060370370367</v>
      </c>
      <c r="B11503" s="4" t="str">
        <f>HYPERLINK("https://twitter.com/petrogustavo","@petrogustavo")</f>
        <v>@petrogustavo</v>
      </c>
      <c r="C11503" s="5" t="s">
        <v>16</v>
      </c>
      <c r="D11503" s="5" t="s">
        <v>11071</v>
      </c>
      <c r="E11503" s="6" t="str">
        <f>HYPERLINK("https://twitter.com/petrogustavo/status/1323353419306905603","1323353419306905603")</f>
        <v>1323353419306905603</v>
      </c>
      <c r="F11503" s="7" t="s">
        <v>17</v>
      </c>
      <c r="G11503" s="7">
        <v>3999567</v>
      </c>
      <c r="H11503" s="7">
        <v>2456</v>
      </c>
      <c r="I11503" s="7">
        <v>4263</v>
      </c>
      <c r="J11503" s="7">
        <v>0</v>
      </c>
      <c r="K11503" s="7" t="s">
        <v>18</v>
      </c>
      <c r="L11503" s="8">
        <v>39987.315405092595</v>
      </c>
      <c r="M11503" s="9" t="s">
        <v>19</v>
      </c>
      <c r="N11503" s="9" t="s">
        <v>20</v>
      </c>
      <c r="O11503" s="6" t="str">
        <f>HYPERLINK("https://pbs.twimg.com/profile_images/962471262747529216/Uo8lOkRJ_normal.jpg","View")</f>
        <v>View</v>
      </c>
      <c r="P11503" s="7"/>
    </row>
    <row r="11504" spans="1:16">
      <c r="A11504" s="3">
        <v>44138.071967592594</v>
      </c>
      <c r="B11504" s="4" t="str">
        <f>HYPERLINK("https://twitter.com/petrogustavo","@petrogustavo")</f>
        <v>@petrogustavo</v>
      </c>
      <c r="C11504" s="5" t="s">
        <v>16</v>
      </c>
      <c r="D11504" s="5" t="s">
        <v>11072</v>
      </c>
      <c r="E11504" s="6" t="str">
        <f>HYPERLINK("https://twitter.com/petrogustavo/status/1323357623362662400","1323357623362662400")</f>
        <v>1323357623362662400</v>
      </c>
      <c r="F11504" s="7" t="s">
        <v>17</v>
      </c>
      <c r="G11504" s="7">
        <v>3999567</v>
      </c>
      <c r="H11504" s="7">
        <v>2456</v>
      </c>
      <c r="I11504" s="7">
        <v>411</v>
      </c>
      <c r="J11504" s="7">
        <v>0</v>
      </c>
      <c r="K11504" s="7" t="s">
        <v>18</v>
      </c>
      <c r="L11504" s="8">
        <v>39987.315405092595</v>
      </c>
      <c r="M11504" s="9" t="s">
        <v>19</v>
      </c>
      <c r="N11504" s="9" t="s">
        <v>20</v>
      </c>
      <c r="O11504" s="6" t="str">
        <f>HYPERLINK("https://pbs.twimg.com/profile_images/962471262747529216/Uo8lOkRJ_normal.jpg","View")</f>
        <v>View</v>
      </c>
      <c r="P11504" s="7"/>
    </row>
    <row r="11505" spans="1:16">
      <c r="A11505" s="3">
        <v>44138.149108796293</v>
      </c>
      <c r="B11505" s="4" t="str">
        <f>HYPERLINK("https://twitter.com/petrogustavo","@petrogustavo")</f>
        <v>@petrogustavo</v>
      </c>
      <c r="C11505" s="5" t="s">
        <v>16</v>
      </c>
      <c r="D11505" s="5" t="s">
        <v>11073</v>
      </c>
      <c r="E11505" s="6" t="str">
        <f>HYPERLINK("https://twitter.com/petrogustavo/status/1323385574850514945","1323385574850514945")</f>
        <v>1323385574850514945</v>
      </c>
      <c r="F11505" s="7" t="s">
        <v>32</v>
      </c>
      <c r="G11505" s="7">
        <v>3999605</v>
      </c>
      <c r="H11505" s="7">
        <v>2456</v>
      </c>
      <c r="I11505" s="7">
        <v>507</v>
      </c>
      <c r="J11505" s="7">
        <v>0</v>
      </c>
      <c r="K11505" s="7" t="s">
        <v>18</v>
      </c>
      <c r="L11505" s="8">
        <v>39987.315405092595</v>
      </c>
      <c r="M11505" s="9" t="s">
        <v>19</v>
      </c>
      <c r="N11505" s="9" t="s">
        <v>20</v>
      </c>
      <c r="O11505" s="6" t="str">
        <f>HYPERLINK("https://pbs.twimg.com/profile_images/962471262747529216/Uo8lOkRJ_normal.jpg","View")</f>
        <v>View</v>
      </c>
      <c r="P11505" s="7"/>
    </row>
    <row r="11506" spans="1:16">
      <c r="A11506" s="3">
        <v>44138.154849537037</v>
      </c>
      <c r="B11506" s="4" t="str">
        <f>HYPERLINK("https://twitter.com/petrogustavo","@petrogustavo")</f>
        <v>@petrogustavo</v>
      </c>
      <c r="C11506" s="5" t="s">
        <v>16</v>
      </c>
      <c r="D11506" s="5" t="s">
        <v>11074</v>
      </c>
      <c r="E11506" s="6" t="str">
        <f>HYPERLINK("https://twitter.com/petrogustavo/status/1323387658152927234","1323387658152927234")</f>
        <v>1323387658152927234</v>
      </c>
      <c r="F11506" s="7" t="s">
        <v>17</v>
      </c>
      <c r="G11506" s="7">
        <v>3999605</v>
      </c>
      <c r="H11506" s="7">
        <v>2456</v>
      </c>
      <c r="I11506" s="7">
        <v>20</v>
      </c>
      <c r="J11506" s="7">
        <v>54</v>
      </c>
      <c r="K11506" s="7" t="s">
        <v>18</v>
      </c>
      <c r="L11506" s="8">
        <v>39987.315405092595</v>
      </c>
      <c r="M11506" s="9" t="s">
        <v>19</v>
      </c>
      <c r="N11506" s="9" t="s">
        <v>20</v>
      </c>
      <c r="O11506" s="6" t="str">
        <f>HYPERLINK("https://pbs.twimg.com/profile_images/962471262747529216/Uo8lOkRJ_normal.jpg","View")</f>
        <v>View</v>
      </c>
      <c r="P11506" s="7"/>
    </row>
    <row r="11507" spans="1:16">
      <c r="A11507" s="3">
        <v>44138.159756944442</v>
      </c>
      <c r="B11507" s="4" t="str">
        <f>HYPERLINK("https://twitter.com/petrogustavo","@petrogustavo")</f>
        <v>@petrogustavo</v>
      </c>
      <c r="C11507" s="5" t="s">
        <v>16</v>
      </c>
      <c r="D11507" s="5" t="s">
        <v>11075</v>
      </c>
      <c r="E11507" s="6" t="str">
        <f>HYPERLINK("https://twitter.com/petrogustavo/status/1323389435870892032","1323389435870892032")</f>
        <v>1323389435870892032</v>
      </c>
      <c r="F11507" s="7" t="s">
        <v>17</v>
      </c>
      <c r="G11507" s="7">
        <v>3999618</v>
      </c>
      <c r="H11507" s="7">
        <v>2456</v>
      </c>
      <c r="I11507" s="7">
        <v>88</v>
      </c>
      <c r="J11507" s="7">
        <v>352</v>
      </c>
      <c r="K11507" s="7" t="s">
        <v>18</v>
      </c>
      <c r="L11507" s="8">
        <v>39987.315405092595</v>
      </c>
      <c r="M11507" s="9" t="s">
        <v>19</v>
      </c>
      <c r="N11507" s="9" t="s">
        <v>20</v>
      </c>
      <c r="O11507" s="6" t="str">
        <f>HYPERLINK("https://pbs.twimg.com/profile_images/962471262747529216/Uo8lOkRJ_normal.jpg","View")</f>
        <v>View</v>
      </c>
      <c r="P11507" s="7"/>
    </row>
    <row r="11508" spans="1:16">
      <c r="A11508" s="3">
        <v>44138.279907407406</v>
      </c>
      <c r="B11508" s="4" t="str">
        <f>HYPERLINK("https://twitter.com/petrogustavo","@petrogustavo")</f>
        <v>@petrogustavo</v>
      </c>
      <c r="C11508" s="5" t="s">
        <v>16</v>
      </c>
      <c r="D11508" s="5" t="s">
        <v>11076</v>
      </c>
      <c r="E11508" s="6" t="str">
        <f>HYPERLINK("https://twitter.com/petrogustavo/status/1323432975095267341","1323432975095267341")</f>
        <v>1323432975095267341</v>
      </c>
      <c r="F11508" s="7" t="s">
        <v>17</v>
      </c>
      <c r="G11508" s="7">
        <v>3999671</v>
      </c>
      <c r="H11508" s="7">
        <v>2456</v>
      </c>
      <c r="I11508" s="7">
        <v>100</v>
      </c>
      <c r="J11508" s="7">
        <v>0</v>
      </c>
      <c r="K11508" s="7" t="s">
        <v>18</v>
      </c>
      <c r="L11508" s="8">
        <v>39987.315405092595</v>
      </c>
      <c r="M11508" s="9" t="s">
        <v>19</v>
      </c>
      <c r="N11508" s="9" t="s">
        <v>20</v>
      </c>
      <c r="O11508" s="6" t="str">
        <f>HYPERLINK("https://pbs.twimg.com/profile_images/962471262747529216/Uo8lOkRJ_normal.jpg","View")</f>
        <v>View</v>
      </c>
      <c r="P11508" s="7"/>
    </row>
    <row r="11509" spans="1:16">
      <c r="A11509" s="3">
        <v>44138.3355787037</v>
      </c>
      <c r="B11509" s="4" t="str">
        <f>HYPERLINK("https://twitter.com/petrogustavo","@petrogustavo")</f>
        <v>@petrogustavo</v>
      </c>
      <c r="C11509" s="5" t="s">
        <v>16</v>
      </c>
      <c r="D11509" s="5" t="s">
        <v>11077</v>
      </c>
      <c r="E11509" s="6" t="str">
        <f>HYPERLINK("https://twitter.com/petrogustavo/status/1323453149546483712","1323453149546483712")</f>
        <v>1323453149546483712</v>
      </c>
      <c r="F11509" s="7" t="s">
        <v>32</v>
      </c>
      <c r="G11509" s="7">
        <v>3999724</v>
      </c>
      <c r="H11509" s="7">
        <v>2456</v>
      </c>
      <c r="I11509" s="7">
        <v>852</v>
      </c>
      <c r="J11509" s="7">
        <v>0</v>
      </c>
      <c r="K11509" s="7" t="s">
        <v>18</v>
      </c>
      <c r="L11509" s="8">
        <v>39987.315405092595</v>
      </c>
      <c r="M11509" s="9" t="s">
        <v>19</v>
      </c>
      <c r="N11509" s="9" t="s">
        <v>20</v>
      </c>
      <c r="O11509" s="6" t="str">
        <f>HYPERLINK("https://pbs.twimg.com/profile_images/962471262747529216/Uo8lOkRJ_normal.jpg","View")</f>
        <v>View</v>
      </c>
      <c r="P11509" s="7"/>
    </row>
    <row r="11510" spans="1:16">
      <c r="A11510" s="3">
        <v>44138.756666666668</v>
      </c>
      <c r="B11510" s="4" t="str">
        <f>HYPERLINK("https://twitter.com/petrogustavo","@petrogustavo")</f>
        <v>@petrogustavo</v>
      </c>
      <c r="C11510" s="5" t="s">
        <v>16</v>
      </c>
      <c r="D11510" s="5" t="s">
        <v>11078</v>
      </c>
      <c r="E11510" s="6" t="str">
        <f>HYPERLINK("https://twitter.com/petrogustavo/status/1323605748245536768","1323605748245536768")</f>
        <v>1323605748245536768</v>
      </c>
      <c r="F11510" s="7" t="s">
        <v>32</v>
      </c>
      <c r="G11510" s="7">
        <v>3999819</v>
      </c>
      <c r="H11510" s="7">
        <v>2455</v>
      </c>
      <c r="I11510" s="7">
        <v>72</v>
      </c>
      <c r="J11510" s="7">
        <v>163</v>
      </c>
      <c r="K11510" s="7" t="s">
        <v>18</v>
      </c>
      <c r="L11510" s="8">
        <v>39987.315405092595</v>
      </c>
      <c r="M11510" s="9" t="s">
        <v>19</v>
      </c>
      <c r="N11510" s="9" t="s">
        <v>20</v>
      </c>
      <c r="O11510" s="6" t="str">
        <f>HYPERLINK("https://pbs.twimg.com/profile_images/962471262747529216/Uo8lOkRJ_normal.jpg","View")</f>
        <v>View</v>
      </c>
      <c r="P11510" s="7"/>
    </row>
    <row r="11511" spans="1:16">
      <c r="A11511" s="3">
        <v>44138.775752314818</v>
      </c>
      <c r="B11511" s="4" t="str">
        <f>HYPERLINK("https://twitter.com/petrogustavo","@petrogustavo")</f>
        <v>@petrogustavo</v>
      </c>
      <c r="C11511" s="5" t="s">
        <v>16</v>
      </c>
      <c r="D11511" s="5" t="s">
        <v>11071</v>
      </c>
      <c r="E11511" s="6" t="str">
        <f>HYPERLINK("https://twitter.com/petrogustavo/status/1323612663771996160","1323612663771996160")</f>
        <v>1323612663771996160</v>
      </c>
      <c r="F11511" s="7" t="s">
        <v>17</v>
      </c>
      <c r="G11511" s="7">
        <v>3999819</v>
      </c>
      <c r="H11511" s="7">
        <v>2455</v>
      </c>
      <c r="I11511" s="7">
        <v>4558</v>
      </c>
      <c r="J11511" s="7">
        <v>0</v>
      </c>
      <c r="K11511" s="7" t="s">
        <v>18</v>
      </c>
      <c r="L11511" s="8">
        <v>39987.315405092595</v>
      </c>
      <c r="M11511" s="9" t="s">
        <v>19</v>
      </c>
      <c r="N11511" s="9" t="s">
        <v>20</v>
      </c>
      <c r="O11511" s="6" t="str">
        <f>HYPERLINK("https://pbs.twimg.com/profile_images/962471262747529216/Uo8lOkRJ_normal.jpg","View")</f>
        <v>View</v>
      </c>
      <c r="P11511" s="7"/>
    </row>
    <row r="11512" spans="1:16">
      <c r="A11512" s="3">
        <v>44138.817303240736</v>
      </c>
      <c r="B11512" s="4" t="str">
        <f>HYPERLINK("https://twitter.com/petrogustavo","@petrogustavo")</f>
        <v>@petrogustavo</v>
      </c>
      <c r="C11512" s="5" t="s">
        <v>16</v>
      </c>
      <c r="D11512" s="5" t="s">
        <v>11079</v>
      </c>
      <c r="E11512" s="6" t="str">
        <f>HYPERLINK("https://twitter.com/petrogustavo/status/1323627723261095937","1323627723261095937")</f>
        <v>1323627723261095937</v>
      </c>
      <c r="F11512" s="7" t="s">
        <v>17</v>
      </c>
      <c r="G11512" s="7">
        <v>3999856</v>
      </c>
      <c r="H11512" s="7">
        <v>2455</v>
      </c>
      <c r="I11512" s="7">
        <v>60</v>
      </c>
      <c r="J11512" s="7">
        <v>162</v>
      </c>
      <c r="K11512" s="7" t="s">
        <v>18</v>
      </c>
      <c r="L11512" s="8">
        <v>39987.315405092595</v>
      </c>
      <c r="M11512" s="9" t="s">
        <v>19</v>
      </c>
      <c r="N11512" s="9" t="s">
        <v>20</v>
      </c>
      <c r="O11512" s="6" t="str">
        <f>HYPERLINK("https://pbs.twimg.com/profile_images/962471262747529216/Uo8lOkRJ_normal.jpg","View")</f>
        <v>View</v>
      </c>
      <c r="P11512" s="7"/>
    </row>
    <row r="11513" spans="1:16">
      <c r="A11513" s="3">
        <v>44138.837094907409</v>
      </c>
      <c r="B11513" s="4" t="str">
        <f>HYPERLINK("https://twitter.com/petrogustavo","@petrogustavo")</f>
        <v>@petrogustavo</v>
      </c>
      <c r="C11513" s="5" t="s">
        <v>16</v>
      </c>
      <c r="D11513" s="5" t="s">
        <v>11080</v>
      </c>
      <c r="E11513" s="6" t="str">
        <f>HYPERLINK("https://twitter.com/petrogustavo/status/1323634894921224195","1323634894921224195")</f>
        <v>1323634894921224195</v>
      </c>
      <c r="F11513" s="7" t="s">
        <v>17</v>
      </c>
      <c r="G11513" s="7">
        <v>3999864</v>
      </c>
      <c r="H11513" s="7">
        <v>2455</v>
      </c>
      <c r="I11513" s="7">
        <v>49</v>
      </c>
      <c r="J11513" s="7">
        <v>166</v>
      </c>
      <c r="K11513" s="7" t="s">
        <v>18</v>
      </c>
      <c r="L11513" s="8">
        <v>39987.315405092595</v>
      </c>
      <c r="M11513" s="9" t="s">
        <v>19</v>
      </c>
      <c r="N11513" s="9" t="s">
        <v>20</v>
      </c>
      <c r="O11513" s="6" t="str">
        <f>HYPERLINK("https://pbs.twimg.com/profile_images/962471262747529216/Uo8lOkRJ_normal.jpg","View")</f>
        <v>View</v>
      </c>
      <c r="P11513" s="7"/>
    </row>
    <row r="11514" spans="1:16">
      <c r="A11514" s="3">
        <v>44139.106412037036</v>
      </c>
      <c r="B11514" s="4" t="str">
        <f>HYPERLINK("https://twitter.com/petrogustavo","@petrogustavo")</f>
        <v>@petrogustavo</v>
      </c>
      <c r="C11514" s="5" t="s">
        <v>16</v>
      </c>
      <c r="D11514" s="5" t="s">
        <v>11081</v>
      </c>
      <c r="E11514" s="6" t="str">
        <f>HYPERLINK("https://twitter.com/petrogustavo/status/1323732491124035584","1323732491124035584")</f>
        <v>1323732491124035584</v>
      </c>
      <c r="F11514" s="7" t="s">
        <v>17</v>
      </c>
      <c r="G11514" s="7">
        <v>4000023</v>
      </c>
      <c r="H11514" s="7">
        <v>2455</v>
      </c>
      <c r="I11514" s="7">
        <v>102</v>
      </c>
      <c r="J11514" s="7">
        <v>0</v>
      </c>
      <c r="K11514" s="7" t="s">
        <v>18</v>
      </c>
      <c r="L11514" s="8">
        <v>39987.315405092595</v>
      </c>
      <c r="M11514" s="9" t="s">
        <v>19</v>
      </c>
      <c r="N11514" s="9" t="s">
        <v>20</v>
      </c>
      <c r="O11514" s="6" t="str">
        <f>HYPERLINK("https://pbs.twimg.com/profile_images/962471262747529216/Uo8lOkRJ_normal.jpg","View")</f>
        <v>View</v>
      </c>
      <c r="P11514" s="7"/>
    </row>
    <row r="11515" spans="1:16">
      <c r="A11515" s="3">
        <v>44139.107997685191</v>
      </c>
      <c r="B11515" s="4" t="str">
        <f>HYPERLINK("https://twitter.com/petrogustavo","@petrogustavo")</f>
        <v>@petrogustavo</v>
      </c>
      <c r="C11515" s="5" t="s">
        <v>16</v>
      </c>
      <c r="D11515" s="5" t="s">
        <v>11082</v>
      </c>
      <c r="E11515" s="6" t="str">
        <f>HYPERLINK("https://twitter.com/petrogustavo/status/1323733067811426304","1323733067811426304")</f>
        <v>1323733067811426304</v>
      </c>
      <c r="F11515" s="7" t="s">
        <v>17</v>
      </c>
      <c r="G11515" s="7">
        <v>4000023</v>
      </c>
      <c r="H11515" s="7">
        <v>2455</v>
      </c>
      <c r="I11515" s="7">
        <v>130</v>
      </c>
      <c r="J11515" s="7">
        <v>361</v>
      </c>
      <c r="K11515" s="7" t="s">
        <v>18</v>
      </c>
      <c r="L11515" s="8">
        <v>39987.315405092595</v>
      </c>
      <c r="M11515" s="9" t="s">
        <v>19</v>
      </c>
      <c r="N11515" s="9" t="s">
        <v>20</v>
      </c>
      <c r="O11515" s="6" t="str">
        <f>HYPERLINK("https://pbs.twimg.com/profile_images/962471262747529216/Uo8lOkRJ_normal.jpg","View")</f>
        <v>View</v>
      </c>
      <c r="P11515" s="7"/>
    </row>
    <row r="11516" spans="1:16">
      <c r="A11516" s="3">
        <v>44139.109537037039</v>
      </c>
      <c r="B11516" s="4" t="str">
        <f>HYPERLINK("https://twitter.com/petrogustavo","@petrogustavo")</f>
        <v>@petrogustavo</v>
      </c>
      <c r="C11516" s="5" t="s">
        <v>16</v>
      </c>
      <c r="D11516" s="5" t="s">
        <v>11083</v>
      </c>
      <c r="E11516" s="6" t="str">
        <f>HYPERLINK("https://twitter.com/petrogustavo/status/1323733623351222276","1323733623351222276")</f>
        <v>1323733623351222276</v>
      </c>
      <c r="F11516" s="7" t="s">
        <v>17</v>
      </c>
      <c r="G11516" s="7">
        <v>4000023</v>
      </c>
      <c r="H11516" s="7">
        <v>2455</v>
      </c>
      <c r="I11516" s="7">
        <v>48</v>
      </c>
      <c r="J11516" s="7">
        <v>157</v>
      </c>
      <c r="K11516" s="7" t="s">
        <v>18</v>
      </c>
      <c r="L11516" s="8">
        <v>39987.315405092595</v>
      </c>
      <c r="M11516" s="9" t="s">
        <v>19</v>
      </c>
      <c r="N11516" s="9" t="s">
        <v>20</v>
      </c>
      <c r="O11516" s="6" t="str">
        <f>HYPERLINK("https://pbs.twimg.com/profile_images/962471262747529216/Uo8lOkRJ_normal.jpg","View")</f>
        <v>View</v>
      </c>
      <c r="P11516" s="7"/>
    </row>
    <row r="11517" spans="1:16">
      <c r="A11517" s="3">
        <v>44139.110254629632</v>
      </c>
      <c r="B11517" s="4" t="str">
        <f>HYPERLINK("https://twitter.com/petrogustavo","@petrogustavo")</f>
        <v>@petrogustavo</v>
      </c>
      <c r="C11517" s="5" t="s">
        <v>16</v>
      </c>
      <c r="D11517" s="5" t="s">
        <v>11084</v>
      </c>
      <c r="E11517" s="6" t="str">
        <f>HYPERLINK("https://twitter.com/petrogustavo/status/1323733884903821316","1323733884903821316")</f>
        <v>1323733884903821316</v>
      </c>
      <c r="F11517" s="7" t="s">
        <v>17</v>
      </c>
      <c r="G11517" s="7">
        <v>4000023</v>
      </c>
      <c r="H11517" s="7">
        <v>2455</v>
      </c>
      <c r="I11517" s="7">
        <v>245</v>
      </c>
      <c r="J11517" s="7">
        <v>0</v>
      </c>
      <c r="K11517" s="7" t="s">
        <v>18</v>
      </c>
      <c r="L11517" s="8">
        <v>39987.315405092595</v>
      </c>
      <c r="M11517" s="9" t="s">
        <v>19</v>
      </c>
      <c r="N11517" s="9" t="s">
        <v>20</v>
      </c>
      <c r="O11517" s="6" t="str">
        <f>HYPERLINK("https://pbs.twimg.com/profile_images/962471262747529216/Uo8lOkRJ_normal.jpg","View")</f>
        <v>View</v>
      </c>
      <c r="P11517" s="7"/>
    </row>
    <row r="11518" spans="1:16">
      <c r="A11518" s="3">
        <v>44139.163587962961</v>
      </c>
      <c r="B11518" s="4" t="str">
        <f>HYPERLINK("https://twitter.com/petrogustavo","@petrogustavo")</f>
        <v>@petrogustavo</v>
      </c>
      <c r="C11518" s="5" t="s">
        <v>16</v>
      </c>
      <c r="D11518" s="5" t="s">
        <v>11085</v>
      </c>
      <c r="E11518" s="6" t="str">
        <f>HYPERLINK("https://twitter.com/petrogustavo/status/1323753210629279748","1323753210629279748")</f>
        <v>1323753210629279748</v>
      </c>
      <c r="F11518" s="7" t="s">
        <v>17</v>
      </c>
      <c r="G11518" s="7">
        <v>4000073</v>
      </c>
      <c r="H11518" s="7">
        <v>2455</v>
      </c>
      <c r="I11518" s="7">
        <v>192</v>
      </c>
      <c r="J11518" s="7">
        <v>537</v>
      </c>
      <c r="K11518" s="7" t="s">
        <v>18</v>
      </c>
      <c r="L11518" s="8">
        <v>39987.315405092595</v>
      </c>
      <c r="M11518" s="9" t="s">
        <v>19</v>
      </c>
      <c r="N11518" s="9" t="s">
        <v>20</v>
      </c>
      <c r="O11518" s="6" t="str">
        <f>HYPERLINK("https://pbs.twimg.com/profile_images/962471262747529216/Uo8lOkRJ_normal.jpg","View")</f>
        <v>View</v>
      </c>
      <c r="P11518" s="7"/>
    </row>
    <row r="11519" spans="1:16">
      <c r="A11519" s="3">
        <v>44139.169571759259</v>
      </c>
      <c r="B11519" s="4" t="str">
        <f>HYPERLINK("https://twitter.com/petrogustavo","@petrogustavo")</f>
        <v>@petrogustavo</v>
      </c>
      <c r="C11519" s="5" t="s">
        <v>16</v>
      </c>
      <c r="D11519" s="5" t="s">
        <v>11086</v>
      </c>
      <c r="E11519" s="6" t="str">
        <f>HYPERLINK("https://twitter.com/petrogustavo/status/1323755379403202560","1323755379403202560")</f>
        <v>1323755379403202560</v>
      </c>
      <c r="F11519" s="7" t="s">
        <v>17</v>
      </c>
      <c r="G11519" s="7">
        <v>4000073</v>
      </c>
      <c r="H11519" s="7">
        <v>2455</v>
      </c>
      <c r="I11519" s="7">
        <v>36</v>
      </c>
      <c r="J11519" s="7">
        <v>185</v>
      </c>
      <c r="K11519" s="7" t="s">
        <v>18</v>
      </c>
      <c r="L11519" s="8">
        <v>39987.315405092595</v>
      </c>
      <c r="M11519" s="9" t="s">
        <v>19</v>
      </c>
      <c r="N11519" s="9" t="s">
        <v>20</v>
      </c>
      <c r="O11519" s="6" t="str">
        <f>HYPERLINK("https://pbs.twimg.com/profile_images/962471262747529216/Uo8lOkRJ_normal.jpg","View")</f>
        <v>View</v>
      </c>
      <c r="P11519" s="7"/>
    </row>
    <row r="11520" spans="1:16">
      <c r="A11520" s="3">
        <v>44139.182962962965</v>
      </c>
      <c r="B11520" s="4" t="str">
        <f>HYPERLINK("https://twitter.com/petrogustavo","@petrogustavo")</f>
        <v>@petrogustavo</v>
      </c>
      <c r="C11520" s="5" t="s">
        <v>16</v>
      </c>
      <c r="D11520" s="5" t="s">
        <v>11087</v>
      </c>
      <c r="E11520" s="6" t="str">
        <f>HYPERLINK("https://twitter.com/petrogustavo/status/1323760232535859202","1323760232535859202")</f>
        <v>1323760232535859202</v>
      </c>
      <c r="F11520" s="7" t="s">
        <v>17</v>
      </c>
      <c r="G11520" s="7">
        <v>4000078</v>
      </c>
      <c r="H11520" s="7">
        <v>2455</v>
      </c>
      <c r="I11520" s="7">
        <v>29</v>
      </c>
      <c r="J11520" s="7">
        <v>0</v>
      </c>
      <c r="K11520" s="7" t="s">
        <v>18</v>
      </c>
      <c r="L11520" s="8">
        <v>39987.315405092595</v>
      </c>
      <c r="M11520" s="9" t="s">
        <v>19</v>
      </c>
      <c r="N11520" s="9" t="s">
        <v>20</v>
      </c>
      <c r="O11520" s="6" t="str">
        <f>HYPERLINK("https://pbs.twimg.com/profile_images/962471262747529216/Uo8lOkRJ_normal.jpg","View")</f>
        <v>View</v>
      </c>
      <c r="P11520" s="7"/>
    </row>
    <row r="11521" spans="1:16">
      <c r="A11521" s="3">
        <v>44139.183159722219</v>
      </c>
      <c r="B11521" s="4" t="str">
        <f>HYPERLINK("https://twitter.com/petrogustavo","@petrogustavo")</f>
        <v>@petrogustavo</v>
      </c>
      <c r="C11521" s="5" t="s">
        <v>16</v>
      </c>
      <c r="D11521" s="5" t="s">
        <v>11088</v>
      </c>
      <c r="E11521" s="6" t="str">
        <f>HYPERLINK("https://twitter.com/petrogustavo/status/1323760305600647169","1323760305600647169")</f>
        <v>1323760305600647169</v>
      </c>
      <c r="F11521" s="7" t="s">
        <v>17</v>
      </c>
      <c r="G11521" s="7">
        <v>4000078</v>
      </c>
      <c r="H11521" s="7">
        <v>2455</v>
      </c>
      <c r="I11521" s="7">
        <v>241</v>
      </c>
      <c r="J11521" s="7">
        <v>0</v>
      </c>
      <c r="K11521" s="7" t="s">
        <v>18</v>
      </c>
      <c r="L11521" s="8">
        <v>39987.315405092595</v>
      </c>
      <c r="M11521" s="9" t="s">
        <v>19</v>
      </c>
      <c r="N11521" s="9" t="s">
        <v>20</v>
      </c>
      <c r="O11521" s="6" t="str">
        <f>HYPERLINK("https://pbs.twimg.com/profile_images/962471262747529216/Uo8lOkRJ_normal.jpg","View")</f>
        <v>View</v>
      </c>
      <c r="P11521" s="7"/>
    </row>
    <row r="11522" spans="1:16">
      <c r="A11522" s="3">
        <v>44139.184444444443</v>
      </c>
      <c r="B11522" s="4" t="str">
        <f>HYPERLINK("https://twitter.com/petrogustavo","@petrogustavo")</f>
        <v>@petrogustavo</v>
      </c>
      <c r="C11522" s="5" t="s">
        <v>16</v>
      </c>
      <c r="D11522" s="5" t="s">
        <v>11089</v>
      </c>
      <c r="E11522" s="6" t="str">
        <f>HYPERLINK("https://twitter.com/petrogustavo/status/1323760767917764609","1323760767917764609")</f>
        <v>1323760767917764609</v>
      </c>
      <c r="F11522" s="7" t="s">
        <v>17</v>
      </c>
      <c r="G11522" s="7">
        <v>4000078</v>
      </c>
      <c r="H11522" s="7">
        <v>2455</v>
      </c>
      <c r="I11522" s="7">
        <v>154</v>
      </c>
      <c r="J11522" s="7">
        <v>644</v>
      </c>
      <c r="K11522" s="7" t="s">
        <v>18</v>
      </c>
      <c r="L11522" s="8">
        <v>39987.315405092595</v>
      </c>
      <c r="M11522" s="9" t="s">
        <v>19</v>
      </c>
      <c r="N11522" s="9" t="s">
        <v>20</v>
      </c>
      <c r="O11522" s="6" t="str">
        <f>HYPERLINK("https://pbs.twimg.com/profile_images/962471262747529216/Uo8lOkRJ_normal.jpg","View")</f>
        <v>View</v>
      </c>
      <c r="P11522" s="7"/>
    </row>
    <row r="11523" spans="1:16">
      <c r="A11523" s="3">
        <v>44139.185752314814</v>
      </c>
      <c r="B11523" s="4" t="str">
        <f>HYPERLINK("https://twitter.com/petrogustavo","@petrogustavo")</f>
        <v>@petrogustavo</v>
      </c>
      <c r="C11523" s="5" t="s">
        <v>16</v>
      </c>
      <c r="D11523" s="5" t="s">
        <v>11090</v>
      </c>
      <c r="E11523" s="6" t="str">
        <f>HYPERLINK("https://twitter.com/petrogustavo/status/1323761245552562183","1323761245552562183")</f>
        <v>1323761245552562183</v>
      </c>
      <c r="F11523" s="7" t="s">
        <v>17</v>
      </c>
      <c r="G11523" s="7">
        <v>4000078</v>
      </c>
      <c r="H11523" s="7">
        <v>2455</v>
      </c>
      <c r="I11523" s="7">
        <v>245</v>
      </c>
      <c r="J11523" s="7">
        <v>0</v>
      </c>
      <c r="K11523" s="7" t="s">
        <v>18</v>
      </c>
      <c r="L11523" s="8">
        <v>39987.315405092595</v>
      </c>
      <c r="M11523" s="9" t="s">
        <v>19</v>
      </c>
      <c r="N11523" s="9" t="s">
        <v>20</v>
      </c>
      <c r="O11523" s="6" t="str">
        <f>HYPERLINK("https://pbs.twimg.com/profile_images/962471262747529216/Uo8lOkRJ_normal.jpg","View")</f>
        <v>View</v>
      </c>
      <c r="P11523" s="7"/>
    </row>
    <row r="11524" spans="1:16">
      <c r="A11524" s="3">
        <v>44139.18850694444</v>
      </c>
      <c r="B11524" s="4" t="str">
        <f>HYPERLINK("https://twitter.com/petrogustavo","@petrogustavo")</f>
        <v>@petrogustavo</v>
      </c>
      <c r="C11524" s="5" t="s">
        <v>16</v>
      </c>
      <c r="D11524" s="5" t="s">
        <v>11091</v>
      </c>
      <c r="E11524" s="6" t="str">
        <f>HYPERLINK("https://twitter.com/petrogustavo/status/1323762241322307585","1323762241322307585")</f>
        <v>1323762241322307585</v>
      </c>
      <c r="F11524" s="7" t="s">
        <v>17</v>
      </c>
      <c r="G11524" s="7">
        <v>4000078</v>
      </c>
      <c r="H11524" s="7">
        <v>2455</v>
      </c>
      <c r="I11524" s="7">
        <v>170</v>
      </c>
      <c r="J11524" s="7">
        <v>0</v>
      </c>
      <c r="K11524" s="7" t="s">
        <v>18</v>
      </c>
      <c r="L11524" s="8">
        <v>39987.315405092595</v>
      </c>
      <c r="M11524" s="9" t="s">
        <v>19</v>
      </c>
      <c r="N11524" s="9" t="s">
        <v>20</v>
      </c>
      <c r="O11524" s="6" t="str">
        <f>HYPERLINK("https://pbs.twimg.com/profile_images/962471262747529216/Uo8lOkRJ_normal.jpg","View")</f>
        <v>View</v>
      </c>
      <c r="P11524" s="7"/>
    </row>
    <row r="11525" spans="1:16">
      <c r="A11525" s="3">
        <v>44139.189004629632</v>
      </c>
      <c r="B11525" s="4" t="str">
        <f>HYPERLINK("https://twitter.com/petrogustavo","@petrogustavo")</f>
        <v>@petrogustavo</v>
      </c>
      <c r="C11525" s="5" t="s">
        <v>16</v>
      </c>
      <c r="D11525" s="5" t="s">
        <v>11092</v>
      </c>
      <c r="E11525" s="6" t="str">
        <f>HYPERLINK("https://twitter.com/petrogustavo/status/1323762422663073797","1323762422663073797")</f>
        <v>1323762422663073797</v>
      </c>
      <c r="F11525" s="7" t="s">
        <v>17</v>
      </c>
      <c r="G11525" s="7">
        <v>4000078</v>
      </c>
      <c r="H11525" s="7">
        <v>2455</v>
      </c>
      <c r="I11525" s="7">
        <v>90</v>
      </c>
      <c r="J11525" s="7">
        <v>0</v>
      </c>
      <c r="K11525" s="7" t="s">
        <v>18</v>
      </c>
      <c r="L11525" s="8">
        <v>39987.315405092595</v>
      </c>
      <c r="M11525" s="9" t="s">
        <v>19</v>
      </c>
      <c r="N11525" s="9" t="s">
        <v>20</v>
      </c>
      <c r="O11525" s="6" t="str">
        <f>HYPERLINK("https://pbs.twimg.com/profile_images/962471262747529216/Uo8lOkRJ_normal.jpg","View")</f>
        <v>View</v>
      </c>
      <c r="P11525" s="7"/>
    </row>
    <row r="11526" spans="1:16">
      <c r="A11526" s="3">
        <v>44139.191504629634</v>
      </c>
      <c r="B11526" s="4" t="str">
        <f>HYPERLINK("https://twitter.com/petrogustavo","@petrogustavo")</f>
        <v>@petrogustavo</v>
      </c>
      <c r="C11526" s="5" t="s">
        <v>16</v>
      </c>
      <c r="D11526" s="5" t="s">
        <v>11093</v>
      </c>
      <c r="E11526" s="6" t="str">
        <f>HYPERLINK("https://twitter.com/petrogustavo/status/1323763328519385089","1323763328519385089")</f>
        <v>1323763328519385089</v>
      </c>
      <c r="F11526" s="7" t="s">
        <v>17</v>
      </c>
      <c r="G11526" s="7">
        <v>4000078</v>
      </c>
      <c r="H11526" s="7">
        <v>2455</v>
      </c>
      <c r="I11526" s="7">
        <v>598</v>
      </c>
      <c r="J11526" s="7">
        <v>0</v>
      </c>
      <c r="K11526" s="7" t="s">
        <v>18</v>
      </c>
      <c r="L11526" s="8">
        <v>39987.315405092595</v>
      </c>
      <c r="M11526" s="9" t="s">
        <v>19</v>
      </c>
      <c r="N11526" s="9" t="s">
        <v>20</v>
      </c>
      <c r="O11526" s="6" t="str">
        <f>HYPERLINK("https://pbs.twimg.com/profile_images/962471262747529216/Uo8lOkRJ_normal.jpg","View")</f>
        <v>View</v>
      </c>
      <c r="P11526" s="7"/>
    </row>
    <row r="11527" spans="1:16">
      <c r="A11527" s="3">
        <v>44139.196898148148</v>
      </c>
      <c r="B11527" s="4" t="str">
        <f>HYPERLINK("https://twitter.com/petrogustavo","@petrogustavo")</f>
        <v>@petrogustavo</v>
      </c>
      <c r="C11527" s="5" t="s">
        <v>16</v>
      </c>
      <c r="D11527" s="5" t="s">
        <v>11094</v>
      </c>
      <c r="E11527" s="6" t="str">
        <f>HYPERLINK("https://twitter.com/petrogustavo/status/1323765282909945858","1323765282909945858")</f>
        <v>1323765282909945858</v>
      </c>
      <c r="F11527" s="7" t="s">
        <v>17</v>
      </c>
      <c r="G11527" s="7">
        <v>4000078</v>
      </c>
      <c r="H11527" s="7">
        <v>2455</v>
      </c>
      <c r="I11527" s="7">
        <v>61</v>
      </c>
      <c r="J11527" s="7">
        <v>165</v>
      </c>
      <c r="K11527" s="7" t="s">
        <v>18</v>
      </c>
      <c r="L11527" s="8">
        <v>39987.315405092595</v>
      </c>
      <c r="M11527" s="9" t="s">
        <v>19</v>
      </c>
      <c r="N11527" s="9" t="s">
        <v>20</v>
      </c>
      <c r="O11527" s="6" t="str">
        <f>HYPERLINK("https://pbs.twimg.com/profile_images/962471262747529216/Uo8lOkRJ_normal.jpg","View")</f>
        <v>View</v>
      </c>
      <c r="P11527" s="7"/>
    </row>
    <row r="11528" spans="1:16">
      <c r="A11528" s="3">
        <v>44139.269942129627</v>
      </c>
      <c r="B11528" s="4" t="str">
        <f>HYPERLINK("https://twitter.com/petrogustavo","@petrogustavo")</f>
        <v>@petrogustavo</v>
      </c>
      <c r="C11528" s="5" t="s">
        <v>16</v>
      </c>
      <c r="D11528" s="5" t="s">
        <v>11095</v>
      </c>
      <c r="E11528" s="6" t="str">
        <f>HYPERLINK("https://twitter.com/petrogustavo/status/1323791755200835593","1323791755200835593")</f>
        <v>1323791755200835593</v>
      </c>
      <c r="F11528" s="7" t="s">
        <v>17</v>
      </c>
      <c r="G11528" s="7">
        <v>4000139</v>
      </c>
      <c r="H11528" s="7">
        <v>2455</v>
      </c>
      <c r="I11528" s="7">
        <v>176</v>
      </c>
      <c r="J11528" s="7">
        <v>0</v>
      </c>
      <c r="K11528" s="7" t="s">
        <v>18</v>
      </c>
      <c r="L11528" s="8">
        <v>39987.315405092595</v>
      </c>
      <c r="M11528" s="9" t="s">
        <v>19</v>
      </c>
      <c r="N11528" s="9" t="s">
        <v>20</v>
      </c>
      <c r="O11528" s="6" t="str">
        <f>HYPERLINK("https://pbs.twimg.com/profile_images/962471262747529216/Uo8lOkRJ_normal.jpg","View")</f>
        <v>View</v>
      </c>
      <c r="P11528" s="7"/>
    </row>
    <row r="11529" spans="1:16">
      <c r="A11529" s="3">
        <v>44139.285173611112</v>
      </c>
      <c r="B11529" s="4" t="str">
        <f>HYPERLINK("https://twitter.com/petrogustavo","@petrogustavo")</f>
        <v>@petrogustavo</v>
      </c>
      <c r="C11529" s="5" t="s">
        <v>16</v>
      </c>
      <c r="D11529" s="5" t="s">
        <v>11096</v>
      </c>
      <c r="E11529" s="6" t="str">
        <f>HYPERLINK("https://twitter.com/petrogustavo/status/1323797272623239171","1323797272623239171")</f>
        <v>1323797272623239171</v>
      </c>
      <c r="F11529" s="7" t="s">
        <v>17</v>
      </c>
      <c r="G11529" s="7">
        <v>4000170</v>
      </c>
      <c r="H11529" s="7">
        <v>2455</v>
      </c>
      <c r="I11529" s="7">
        <v>158</v>
      </c>
      <c r="J11529" s="7">
        <v>0</v>
      </c>
      <c r="K11529" s="7" t="s">
        <v>18</v>
      </c>
      <c r="L11529" s="8">
        <v>39987.315405092595</v>
      </c>
      <c r="M11529" s="9" t="s">
        <v>19</v>
      </c>
      <c r="N11529" s="9" t="s">
        <v>20</v>
      </c>
      <c r="O11529" s="6" t="str">
        <f>HYPERLINK("https://pbs.twimg.com/profile_images/962471262747529216/Uo8lOkRJ_normal.jpg","View")</f>
        <v>View</v>
      </c>
      <c r="P11529" s="7"/>
    </row>
    <row r="11530" spans="1:16">
      <c r="A11530" s="3">
        <v>44139.303425925929</v>
      </c>
      <c r="B11530" s="4" t="str">
        <f>HYPERLINK("https://twitter.com/petrogustavo","@petrogustavo")</f>
        <v>@petrogustavo</v>
      </c>
      <c r="C11530" s="5" t="s">
        <v>16</v>
      </c>
      <c r="D11530" s="5" t="s">
        <v>11097</v>
      </c>
      <c r="E11530" s="6" t="str">
        <f>HYPERLINK("https://twitter.com/petrogustavo/status/1323803887640498176","1323803887640498176")</f>
        <v>1323803887640498176</v>
      </c>
      <c r="F11530" s="7" t="s">
        <v>17</v>
      </c>
      <c r="G11530" s="7">
        <v>4000170</v>
      </c>
      <c r="H11530" s="7">
        <v>2455</v>
      </c>
      <c r="I11530" s="7">
        <v>76</v>
      </c>
      <c r="J11530" s="7">
        <v>0</v>
      </c>
      <c r="K11530" s="7" t="s">
        <v>18</v>
      </c>
      <c r="L11530" s="8">
        <v>39987.315405092595</v>
      </c>
      <c r="M11530" s="9" t="s">
        <v>19</v>
      </c>
      <c r="N11530" s="9" t="s">
        <v>20</v>
      </c>
      <c r="O11530" s="6" t="str">
        <f>HYPERLINK("https://pbs.twimg.com/profile_images/962471262747529216/Uo8lOkRJ_normal.jpg","View")</f>
        <v>View</v>
      </c>
      <c r="P11530" s="7"/>
    </row>
    <row r="11531" spans="1:16">
      <c r="A11531" s="3">
        <v>44139.305613425924</v>
      </c>
      <c r="B11531" s="4" t="str">
        <f>HYPERLINK("https://twitter.com/petrogustavo","@petrogustavo")</f>
        <v>@petrogustavo</v>
      </c>
      <c r="C11531" s="5" t="s">
        <v>16</v>
      </c>
      <c r="D11531" s="5" t="s">
        <v>11098</v>
      </c>
      <c r="E11531" s="6" t="str">
        <f>HYPERLINK("https://twitter.com/petrogustavo/status/1323804681055936513","1323804681055936513")</f>
        <v>1323804681055936513</v>
      </c>
      <c r="F11531" s="7" t="s">
        <v>17</v>
      </c>
      <c r="G11531" s="7">
        <v>4000197</v>
      </c>
      <c r="H11531" s="7">
        <v>2455</v>
      </c>
      <c r="I11531" s="7">
        <v>104</v>
      </c>
      <c r="J11531" s="7">
        <v>0</v>
      </c>
      <c r="K11531" s="7" t="s">
        <v>18</v>
      </c>
      <c r="L11531" s="8">
        <v>39987.315405092595</v>
      </c>
      <c r="M11531" s="9" t="s">
        <v>19</v>
      </c>
      <c r="N11531" s="9" t="s">
        <v>20</v>
      </c>
      <c r="O11531" s="6" t="str">
        <f>HYPERLINK("https://pbs.twimg.com/profile_images/962471262747529216/Uo8lOkRJ_normal.jpg","View")</f>
        <v>View</v>
      </c>
      <c r="P11531" s="7"/>
    </row>
    <row r="11532" spans="1:16">
      <c r="A11532" s="3">
        <v>44139.313726851848</v>
      </c>
      <c r="B11532" s="4" t="str">
        <f>HYPERLINK("https://twitter.com/petrogustavo","@petrogustavo")</f>
        <v>@petrogustavo</v>
      </c>
      <c r="C11532" s="5" t="s">
        <v>16</v>
      </c>
      <c r="D11532" s="5" t="s">
        <v>11099</v>
      </c>
      <c r="E11532" s="6" t="str">
        <f>HYPERLINK("https://twitter.com/petrogustavo/status/1323807619694399488","1323807619694399488")</f>
        <v>1323807619694399488</v>
      </c>
      <c r="F11532" s="7" t="s">
        <v>17</v>
      </c>
      <c r="G11532" s="7">
        <v>4000197</v>
      </c>
      <c r="H11532" s="7">
        <v>2455</v>
      </c>
      <c r="I11532" s="7">
        <v>166</v>
      </c>
      <c r="J11532" s="7">
        <v>0</v>
      </c>
      <c r="K11532" s="7" t="s">
        <v>18</v>
      </c>
      <c r="L11532" s="8">
        <v>39987.315405092595</v>
      </c>
      <c r="M11532" s="9" t="s">
        <v>19</v>
      </c>
      <c r="N11532" s="9" t="s">
        <v>20</v>
      </c>
      <c r="O11532" s="6" t="str">
        <f>HYPERLINK("https://pbs.twimg.com/profile_images/962471262747529216/Uo8lOkRJ_normal.jpg","View")</f>
        <v>View</v>
      </c>
      <c r="P11532" s="7"/>
    </row>
    <row r="11533" spans="1:16">
      <c r="A11533" s="3">
        <v>44139.346226851849</v>
      </c>
      <c r="B11533" s="4" t="str">
        <f>HYPERLINK("https://twitter.com/petrogustavo","@petrogustavo")</f>
        <v>@petrogustavo</v>
      </c>
      <c r="C11533" s="5" t="s">
        <v>16</v>
      </c>
      <c r="D11533" s="5" t="s">
        <v>11100</v>
      </c>
      <c r="E11533" s="6" t="str">
        <f>HYPERLINK("https://twitter.com/petrogustavo/status/1323819396343779328","1323819396343779328")</f>
        <v>1323819396343779328</v>
      </c>
      <c r="F11533" s="7" t="s">
        <v>17</v>
      </c>
      <c r="G11533" s="7">
        <v>4000220</v>
      </c>
      <c r="H11533" s="7">
        <v>2455</v>
      </c>
      <c r="I11533" s="7">
        <v>398</v>
      </c>
      <c r="J11533" s="7">
        <v>0</v>
      </c>
      <c r="K11533" s="7" t="s">
        <v>18</v>
      </c>
      <c r="L11533" s="8">
        <v>39987.315405092595</v>
      </c>
      <c r="M11533" s="9" t="s">
        <v>19</v>
      </c>
      <c r="N11533" s="9" t="s">
        <v>20</v>
      </c>
      <c r="O11533" s="6" t="str">
        <f>HYPERLINK("https://pbs.twimg.com/profile_images/962471262747529216/Uo8lOkRJ_normal.jpg","View")</f>
        <v>View</v>
      </c>
      <c r="P11533" s="7"/>
    </row>
    <row r="11534" spans="1:16">
      <c r="A11534" s="3">
        <v>44139.35087962963</v>
      </c>
      <c r="B11534" s="4" t="str">
        <f>HYPERLINK("https://twitter.com/petrogustavo","@petrogustavo")</f>
        <v>@petrogustavo</v>
      </c>
      <c r="C11534" s="5" t="s">
        <v>16</v>
      </c>
      <c r="D11534" s="5" t="s">
        <v>11101</v>
      </c>
      <c r="E11534" s="6" t="str">
        <f>HYPERLINK("https://twitter.com/petrogustavo/status/1323821082546229248","1323821082546229248")</f>
        <v>1323821082546229248</v>
      </c>
      <c r="F11534" s="7" t="s">
        <v>17</v>
      </c>
      <c r="G11534" s="7">
        <v>4000220</v>
      </c>
      <c r="H11534" s="7">
        <v>2455</v>
      </c>
      <c r="I11534" s="7">
        <v>378</v>
      </c>
      <c r="J11534" s="7">
        <v>4792</v>
      </c>
      <c r="K11534" s="7" t="s">
        <v>18</v>
      </c>
      <c r="L11534" s="8">
        <v>39987.315405092595</v>
      </c>
      <c r="M11534" s="9" t="s">
        <v>19</v>
      </c>
      <c r="N11534" s="9" t="s">
        <v>20</v>
      </c>
      <c r="O11534" s="6" t="str">
        <f>HYPERLINK("https://pbs.twimg.com/profile_images/962471262747529216/Uo8lOkRJ_normal.jpg","View")</f>
        <v>View</v>
      </c>
      <c r="P11534" s="7"/>
    </row>
    <row r="11535" spans="1:16">
      <c r="A11535" s="3">
        <v>44139.353854166664</v>
      </c>
      <c r="B11535" s="4" t="str">
        <f>HYPERLINK("https://twitter.com/petrogustavo","@petrogustavo")</f>
        <v>@petrogustavo</v>
      </c>
      <c r="C11535" s="5" t="s">
        <v>16</v>
      </c>
      <c r="D11535" s="5" t="s">
        <v>11102</v>
      </c>
      <c r="E11535" s="6" t="str">
        <f>HYPERLINK("https://twitter.com/petrogustavo/status/1323822160675278849","1323822160675278849")</f>
        <v>1323822160675278849</v>
      </c>
      <c r="F11535" s="7" t="s">
        <v>17</v>
      </c>
      <c r="G11535" s="7">
        <v>4000220</v>
      </c>
      <c r="H11535" s="7">
        <v>2455</v>
      </c>
      <c r="I11535" s="7">
        <v>86</v>
      </c>
      <c r="J11535" s="7">
        <v>284</v>
      </c>
      <c r="K11535" s="7" t="s">
        <v>18</v>
      </c>
      <c r="L11535" s="8">
        <v>39987.315405092595</v>
      </c>
      <c r="M11535" s="9" t="s">
        <v>19</v>
      </c>
      <c r="N11535" s="9" t="s">
        <v>20</v>
      </c>
      <c r="O11535" s="6" t="str">
        <f>HYPERLINK("https://pbs.twimg.com/profile_images/962471262747529216/Uo8lOkRJ_normal.jpg","View")</f>
        <v>View</v>
      </c>
      <c r="P11535" s="7"/>
    </row>
    <row r="11536" spans="1:16">
      <c r="A11536" s="3">
        <v>44139.404108796298</v>
      </c>
      <c r="B11536" s="4" t="str">
        <f>HYPERLINK("https://twitter.com/petrogustavo","@petrogustavo")</f>
        <v>@petrogustavo</v>
      </c>
      <c r="C11536" s="5" t="s">
        <v>16</v>
      </c>
      <c r="D11536" s="5" t="s">
        <v>11103</v>
      </c>
      <c r="E11536" s="6" t="str">
        <f>HYPERLINK("https://twitter.com/petrogustavo/status/1323840374436147200","1323840374436147200")</f>
        <v>1323840374436147200</v>
      </c>
      <c r="F11536" s="7" t="s">
        <v>17</v>
      </c>
      <c r="G11536" s="7">
        <v>4000267</v>
      </c>
      <c r="H11536" s="7">
        <v>2455</v>
      </c>
      <c r="I11536" s="7">
        <v>86</v>
      </c>
      <c r="J11536" s="7">
        <v>1031</v>
      </c>
      <c r="K11536" s="7" t="s">
        <v>18</v>
      </c>
      <c r="L11536" s="8">
        <v>39987.315405092595</v>
      </c>
      <c r="M11536" s="9" t="s">
        <v>19</v>
      </c>
      <c r="N11536" s="9" t="s">
        <v>20</v>
      </c>
      <c r="O11536" s="6" t="str">
        <f>HYPERLINK("https://pbs.twimg.com/profile_images/962471262747529216/Uo8lOkRJ_normal.jpg","View")</f>
        <v>View</v>
      </c>
      <c r="P11536" s="7"/>
    </row>
    <row r="11537" spans="1:16">
      <c r="A11537" s="3">
        <v>44139.406307870369</v>
      </c>
      <c r="B11537" s="4" t="str">
        <f>HYPERLINK("https://twitter.com/petrogustavo","@petrogustavo")</f>
        <v>@petrogustavo</v>
      </c>
      <c r="C11537" s="5" t="s">
        <v>16</v>
      </c>
      <c r="D11537" s="5" t="s">
        <v>11104</v>
      </c>
      <c r="E11537" s="6" t="str">
        <f>HYPERLINK("https://twitter.com/petrogustavo/status/1323841170561183745","1323841170561183745")</f>
        <v>1323841170561183745</v>
      </c>
      <c r="F11537" s="7" t="s">
        <v>17</v>
      </c>
      <c r="G11537" s="7">
        <v>4000267</v>
      </c>
      <c r="H11537" s="7">
        <v>2455</v>
      </c>
      <c r="I11537" s="7">
        <v>33</v>
      </c>
      <c r="J11537" s="7">
        <v>287</v>
      </c>
      <c r="K11537" s="7" t="s">
        <v>18</v>
      </c>
      <c r="L11537" s="8">
        <v>39987.315405092595</v>
      </c>
      <c r="M11537" s="9" t="s">
        <v>19</v>
      </c>
      <c r="N11537" s="9" t="s">
        <v>20</v>
      </c>
      <c r="O11537" s="6" t="str">
        <f>HYPERLINK("https://pbs.twimg.com/profile_images/962471262747529216/Uo8lOkRJ_normal.jpg","View")</f>
        <v>View</v>
      </c>
      <c r="P11537" s="7"/>
    </row>
    <row r="11538" spans="1:16">
      <c r="A11538" s="3">
        <v>44139.711655092593</v>
      </c>
      <c r="B11538" s="4" t="str">
        <f>HYPERLINK("https://twitter.com/petrogustavo","@petrogustavo")</f>
        <v>@petrogustavo</v>
      </c>
      <c r="C11538" s="5" t="s">
        <v>16</v>
      </c>
      <c r="D11538" s="5" t="s">
        <v>11105</v>
      </c>
      <c r="E11538" s="6" t="str">
        <f>HYPERLINK("https://twitter.com/petrogustavo/status/1323951822755823616","1323951822755823616")</f>
        <v>1323951822755823616</v>
      </c>
      <c r="F11538" s="7" t="s">
        <v>17</v>
      </c>
      <c r="G11538" s="7">
        <v>4000338</v>
      </c>
      <c r="H11538" s="7">
        <v>2455</v>
      </c>
      <c r="I11538" s="7">
        <v>234</v>
      </c>
      <c r="J11538" s="7">
        <v>1265</v>
      </c>
      <c r="K11538" s="7" t="s">
        <v>18</v>
      </c>
      <c r="L11538" s="8">
        <v>39987.315405092595</v>
      </c>
      <c r="M11538" s="9" t="s">
        <v>19</v>
      </c>
      <c r="N11538" s="9" t="s">
        <v>20</v>
      </c>
      <c r="O11538" s="6" t="str">
        <f>HYPERLINK("https://pbs.twimg.com/profile_images/962471262747529216/Uo8lOkRJ_normal.jpg","View")</f>
        <v>View</v>
      </c>
      <c r="P11538" s="7"/>
    </row>
    <row r="11539" spans="1:16">
      <c r="A11539" s="3">
        <v>44139.735949074078</v>
      </c>
      <c r="B11539" s="4" t="str">
        <f>HYPERLINK("https://twitter.com/petrogustavo","@petrogustavo")</f>
        <v>@petrogustavo</v>
      </c>
      <c r="C11539" s="5" t="s">
        <v>16</v>
      </c>
      <c r="D11539" s="5" t="s">
        <v>11106</v>
      </c>
      <c r="E11539" s="6" t="str">
        <f>HYPERLINK("https://twitter.com/petrogustavo/status/1323960629724631040","1323960629724631040")</f>
        <v>1323960629724631040</v>
      </c>
      <c r="F11539" s="7" t="s">
        <v>17</v>
      </c>
      <c r="G11539" s="7">
        <v>4000347</v>
      </c>
      <c r="H11539" s="7">
        <v>2455</v>
      </c>
      <c r="I11539" s="7">
        <v>45</v>
      </c>
      <c r="J11539" s="7">
        <v>206</v>
      </c>
      <c r="K11539" s="7" t="s">
        <v>18</v>
      </c>
      <c r="L11539" s="8">
        <v>39987.315405092595</v>
      </c>
      <c r="M11539" s="9" t="s">
        <v>19</v>
      </c>
      <c r="N11539" s="9" t="s">
        <v>20</v>
      </c>
      <c r="O11539" s="6" t="str">
        <f>HYPERLINK("https://pbs.twimg.com/profile_images/962471262747529216/Uo8lOkRJ_normal.jpg","View")</f>
        <v>View</v>
      </c>
      <c r="P11539" s="7"/>
    </row>
    <row r="11540" spans="1:16">
      <c r="A11540" s="3">
        <v>44139.738043981481</v>
      </c>
      <c r="B11540" s="4" t="str">
        <f>HYPERLINK("https://twitter.com/petrogustavo","@petrogustavo")</f>
        <v>@petrogustavo</v>
      </c>
      <c r="C11540" s="5" t="s">
        <v>16</v>
      </c>
      <c r="D11540" s="5" t="s">
        <v>11107</v>
      </c>
      <c r="E11540" s="6" t="str">
        <f>HYPERLINK("https://twitter.com/petrogustavo/status/1323961389032067073","1323961389032067073")</f>
        <v>1323961389032067073</v>
      </c>
      <c r="F11540" s="7" t="s">
        <v>17</v>
      </c>
      <c r="G11540" s="7">
        <v>4000347</v>
      </c>
      <c r="H11540" s="7">
        <v>2455</v>
      </c>
      <c r="I11540" s="7">
        <v>21</v>
      </c>
      <c r="J11540" s="7">
        <v>101</v>
      </c>
      <c r="K11540" s="7" t="s">
        <v>18</v>
      </c>
      <c r="L11540" s="8">
        <v>39987.315405092595</v>
      </c>
      <c r="M11540" s="9" t="s">
        <v>19</v>
      </c>
      <c r="N11540" s="9" t="s">
        <v>20</v>
      </c>
      <c r="O11540" s="6" t="str">
        <f>HYPERLINK("https://pbs.twimg.com/profile_images/962471262747529216/Uo8lOkRJ_normal.jpg","View")</f>
        <v>View</v>
      </c>
      <c r="P11540" s="7"/>
    </row>
    <row r="11541" spans="1:16">
      <c r="A11541" s="3">
        <v>44139.752349537041</v>
      </c>
      <c r="B11541" s="4" t="str">
        <f>HYPERLINK("https://twitter.com/petrogustavo","@petrogustavo")</f>
        <v>@petrogustavo</v>
      </c>
      <c r="C11541" s="5" t="s">
        <v>16</v>
      </c>
      <c r="D11541" s="5" t="s">
        <v>11108</v>
      </c>
      <c r="E11541" s="6" t="str">
        <f>HYPERLINK("https://twitter.com/petrogustavo/status/1323966571795140608","1323966571795140608")</f>
        <v>1323966571795140608</v>
      </c>
      <c r="F11541" s="7" t="s">
        <v>17</v>
      </c>
      <c r="G11541" s="7">
        <v>4000325</v>
      </c>
      <c r="H11541" s="7">
        <v>2454</v>
      </c>
      <c r="I11541" s="7">
        <v>53</v>
      </c>
      <c r="J11541" s="7">
        <v>0</v>
      </c>
      <c r="K11541" s="7" t="s">
        <v>18</v>
      </c>
      <c r="L11541" s="8">
        <v>39987.315405092595</v>
      </c>
      <c r="M11541" s="9" t="s">
        <v>19</v>
      </c>
      <c r="N11541" s="9" t="s">
        <v>20</v>
      </c>
      <c r="O11541" s="6" t="str">
        <f>HYPERLINK("https://pbs.twimg.com/profile_images/962471262747529216/Uo8lOkRJ_normal.jpg","View")</f>
        <v>View</v>
      </c>
      <c r="P11541" s="7"/>
    </row>
    <row r="11542" spans="1:16">
      <c r="A11542" s="3">
        <v>44139.752627314811</v>
      </c>
      <c r="B11542" s="4" t="str">
        <f>HYPERLINK("https://twitter.com/petrogustavo","@petrogustavo")</f>
        <v>@petrogustavo</v>
      </c>
      <c r="C11542" s="5" t="s">
        <v>16</v>
      </c>
      <c r="D11542" s="5" t="s">
        <v>11109</v>
      </c>
      <c r="E11542" s="6" t="str">
        <f>HYPERLINK("https://twitter.com/petrogustavo/status/1323966673444098049","1323966673444098049")</f>
        <v>1323966673444098049</v>
      </c>
      <c r="F11542" s="7" t="s">
        <v>17</v>
      </c>
      <c r="G11542" s="7">
        <v>4000325</v>
      </c>
      <c r="H11542" s="7">
        <v>2454</v>
      </c>
      <c r="I11542" s="7">
        <v>1751</v>
      </c>
      <c r="J11542" s="7">
        <v>0</v>
      </c>
      <c r="K11542" s="7" t="s">
        <v>18</v>
      </c>
      <c r="L11542" s="8">
        <v>39987.315405092595</v>
      </c>
      <c r="M11542" s="9" t="s">
        <v>19</v>
      </c>
      <c r="N11542" s="9" t="s">
        <v>20</v>
      </c>
      <c r="O11542" s="6" t="str">
        <f>HYPERLINK("https://pbs.twimg.com/profile_images/962471262747529216/Uo8lOkRJ_normal.jpg","View")</f>
        <v>View</v>
      </c>
      <c r="P11542" s="7"/>
    </row>
    <row r="11543" spans="1:16">
      <c r="A11543" s="3">
        <v>44139.773275462961</v>
      </c>
      <c r="B11543" s="4" t="str">
        <f>HYPERLINK("https://twitter.com/petrogustavo","@petrogustavo")</f>
        <v>@petrogustavo</v>
      </c>
      <c r="C11543" s="5" t="s">
        <v>16</v>
      </c>
      <c r="D11543" s="5" t="s">
        <v>11110</v>
      </c>
      <c r="E11543" s="6" t="str">
        <f>HYPERLINK("https://twitter.com/petrogustavo/status/1323974153611915264","1323974153611915264")</f>
        <v>1323974153611915264</v>
      </c>
      <c r="F11543" s="7" t="s">
        <v>32</v>
      </c>
      <c r="G11543" s="7">
        <v>4000344</v>
      </c>
      <c r="H11543" s="7">
        <v>2455</v>
      </c>
      <c r="I11543" s="7">
        <v>99</v>
      </c>
      <c r="J11543" s="7">
        <v>205</v>
      </c>
      <c r="K11543" s="7" t="s">
        <v>18</v>
      </c>
      <c r="L11543" s="8">
        <v>39987.315405092595</v>
      </c>
      <c r="M11543" s="9" t="s">
        <v>19</v>
      </c>
      <c r="N11543" s="9" t="s">
        <v>20</v>
      </c>
      <c r="O11543" s="6" t="str">
        <f>HYPERLINK("https://pbs.twimg.com/profile_images/962471262747529216/Uo8lOkRJ_normal.jpg","View")</f>
        <v>View</v>
      </c>
      <c r="P11543" s="7"/>
    </row>
    <row r="11544" spans="1:16">
      <c r="A11544" s="3">
        <v>44139.776053240741</v>
      </c>
      <c r="B11544" s="4" t="str">
        <f>HYPERLINK("https://twitter.com/petrogustavo","@petrogustavo")</f>
        <v>@petrogustavo</v>
      </c>
      <c r="C11544" s="5" t="s">
        <v>16</v>
      </c>
      <c r="D11544" s="5" t="s">
        <v>11111</v>
      </c>
      <c r="E11544" s="6" t="str">
        <f>HYPERLINK("https://twitter.com/petrogustavo/status/1323975161658441733","1323975161658441733")</f>
        <v>1323975161658441733</v>
      </c>
      <c r="F11544" s="7" t="s">
        <v>32</v>
      </c>
      <c r="G11544" s="7">
        <v>4000344</v>
      </c>
      <c r="H11544" s="7">
        <v>2455</v>
      </c>
      <c r="I11544" s="7">
        <v>101</v>
      </c>
      <c r="J11544" s="7">
        <v>523</v>
      </c>
      <c r="K11544" s="7" t="s">
        <v>18</v>
      </c>
      <c r="L11544" s="8">
        <v>39987.315405092595</v>
      </c>
      <c r="M11544" s="9" t="s">
        <v>19</v>
      </c>
      <c r="N11544" s="9" t="s">
        <v>20</v>
      </c>
      <c r="O11544" s="6" t="str">
        <f>HYPERLINK("https://pbs.twimg.com/profile_images/962471262747529216/Uo8lOkRJ_normal.jpg","View")</f>
        <v>View</v>
      </c>
      <c r="P11544" s="7"/>
    </row>
    <row r="11545" spans="1:16">
      <c r="A11545" s="3">
        <v>44139.77789351852</v>
      </c>
      <c r="B11545" s="4" t="str">
        <f>HYPERLINK("https://twitter.com/petrogustavo","@petrogustavo")</f>
        <v>@petrogustavo</v>
      </c>
      <c r="C11545" s="5" t="s">
        <v>16</v>
      </c>
      <c r="D11545" s="5" t="s">
        <v>11112</v>
      </c>
      <c r="E11545" s="6" t="str">
        <f>HYPERLINK("https://twitter.com/petrogustavo/status/1323975827151835138","1323975827151835138")</f>
        <v>1323975827151835138</v>
      </c>
      <c r="F11545" s="7" t="s">
        <v>32</v>
      </c>
      <c r="G11545" s="7">
        <v>4000344</v>
      </c>
      <c r="H11545" s="7">
        <v>2455</v>
      </c>
      <c r="I11545" s="7">
        <v>13</v>
      </c>
      <c r="J11545" s="7">
        <v>89</v>
      </c>
      <c r="K11545" s="7" t="s">
        <v>18</v>
      </c>
      <c r="L11545" s="8">
        <v>39987.315405092595</v>
      </c>
      <c r="M11545" s="9" t="s">
        <v>19</v>
      </c>
      <c r="N11545" s="9" t="s">
        <v>20</v>
      </c>
      <c r="O11545" s="6" t="str">
        <f>HYPERLINK("https://pbs.twimg.com/profile_images/962471262747529216/Uo8lOkRJ_normal.jpg","View")</f>
        <v>View</v>
      </c>
      <c r="P11545" s="7"/>
    </row>
    <row r="11546" spans="1:16">
      <c r="A11546" s="3">
        <v>44139.780648148153</v>
      </c>
      <c r="B11546" s="4" t="str">
        <f>HYPERLINK("https://twitter.com/petrogustavo","@petrogustavo")</f>
        <v>@petrogustavo</v>
      </c>
      <c r="C11546" s="5" t="s">
        <v>16</v>
      </c>
      <c r="D11546" s="5" t="s">
        <v>11113</v>
      </c>
      <c r="E11546" s="6" t="str">
        <f>HYPERLINK("https://twitter.com/petrogustavo/status/1323976828445483009","1323976828445483009")</f>
        <v>1323976828445483009</v>
      </c>
      <c r="F11546" s="7" t="s">
        <v>32</v>
      </c>
      <c r="G11546" s="7">
        <v>4000344</v>
      </c>
      <c r="H11546" s="7">
        <v>2455</v>
      </c>
      <c r="I11546" s="7">
        <v>42</v>
      </c>
      <c r="J11546" s="7">
        <v>256</v>
      </c>
      <c r="K11546" s="7" t="s">
        <v>18</v>
      </c>
      <c r="L11546" s="8">
        <v>39987.315405092595</v>
      </c>
      <c r="M11546" s="9" t="s">
        <v>19</v>
      </c>
      <c r="N11546" s="9" t="s">
        <v>20</v>
      </c>
      <c r="O11546" s="6" t="str">
        <f>HYPERLINK("https://pbs.twimg.com/profile_images/962471262747529216/Uo8lOkRJ_normal.jpg","View")</f>
        <v>View</v>
      </c>
      <c r="P11546" s="7"/>
    </row>
    <row r="11547" spans="1:16">
      <c r="A11547" s="3">
        <v>44139.789375</v>
      </c>
      <c r="B11547" s="4" t="str">
        <f>HYPERLINK("https://twitter.com/petrogustavo","@petrogustavo")</f>
        <v>@petrogustavo</v>
      </c>
      <c r="C11547" s="5" t="s">
        <v>16</v>
      </c>
      <c r="D11547" s="5" t="s">
        <v>11114</v>
      </c>
      <c r="E11547" s="6" t="str">
        <f>HYPERLINK("https://twitter.com/petrogustavo/status/1323979987670753280","1323979987670753280")</f>
        <v>1323979987670753280</v>
      </c>
      <c r="F11547" s="7" t="s">
        <v>17</v>
      </c>
      <c r="G11547" s="7">
        <v>4000353</v>
      </c>
      <c r="H11547" s="7">
        <v>2455</v>
      </c>
      <c r="I11547" s="7">
        <v>158</v>
      </c>
      <c r="J11547" s="7">
        <v>480</v>
      </c>
      <c r="K11547" s="7" t="s">
        <v>18</v>
      </c>
      <c r="L11547" s="8">
        <v>39987.315405092595</v>
      </c>
      <c r="M11547" s="9" t="s">
        <v>19</v>
      </c>
      <c r="N11547" s="9" t="s">
        <v>20</v>
      </c>
      <c r="O11547" s="6" t="str">
        <f>HYPERLINK("https://pbs.twimg.com/profile_images/962471262747529216/Uo8lOkRJ_normal.jpg","View")</f>
        <v>View</v>
      </c>
      <c r="P11547" s="7"/>
    </row>
    <row r="11548" spans="1:16">
      <c r="A11548" s="3">
        <v>44139.790590277778</v>
      </c>
      <c r="B11548" s="4" t="str">
        <f>HYPERLINK("https://twitter.com/petrogustavo","@petrogustavo")</f>
        <v>@petrogustavo</v>
      </c>
      <c r="C11548" s="5" t="s">
        <v>16</v>
      </c>
      <c r="D11548" s="5" t="s">
        <v>11115</v>
      </c>
      <c r="E11548" s="6" t="str">
        <f>HYPERLINK("https://twitter.com/petrogustavo/status/1323980429209276416","1323980429209276416")</f>
        <v>1323980429209276416</v>
      </c>
      <c r="F11548" s="7" t="s">
        <v>17</v>
      </c>
      <c r="G11548" s="7">
        <v>4000353</v>
      </c>
      <c r="H11548" s="7">
        <v>2455</v>
      </c>
      <c r="I11548" s="7">
        <v>28</v>
      </c>
      <c r="J11548" s="7">
        <v>127</v>
      </c>
      <c r="K11548" s="7" t="s">
        <v>18</v>
      </c>
      <c r="L11548" s="8">
        <v>39987.315405092595</v>
      </c>
      <c r="M11548" s="9" t="s">
        <v>19</v>
      </c>
      <c r="N11548" s="9" t="s">
        <v>20</v>
      </c>
      <c r="O11548" s="6" t="str">
        <f>HYPERLINK("https://pbs.twimg.com/profile_images/962471262747529216/Uo8lOkRJ_normal.jpg","View")</f>
        <v>View</v>
      </c>
      <c r="P11548" s="7"/>
    </row>
    <row r="11549" spans="1:16">
      <c r="A11549" s="3">
        <v>44139.792094907403</v>
      </c>
      <c r="B11549" s="4" t="str">
        <f>HYPERLINK("https://twitter.com/petrogustavo","@petrogustavo")</f>
        <v>@petrogustavo</v>
      </c>
      <c r="C11549" s="5" t="s">
        <v>16</v>
      </c>
      <c r="D11549" s="5" t="s">
        <v>11116</v>
      </c>
      <c r="E11549" s="6" t="str">
        <f>HYPERLINK("https://twitter.com/petrogustavo/status/1323980974468829187","1323980974468829187")</f>
        <v>1323980974468829187</v>
      </c>
      <c r="F11549" s="7" t="s">
        <v>17</v>
      </c>
      <c r="G11549" s="7">
        <v>4000353</v>
      </c>
      <c r="H11549" s="7">
        <v>2455</v>
      </c>
      <c r="I11549" s="7">
        <v>22</v>
      </c>
      <c r="J11549" s="7">
        <v>98</v>
      </c>
      <c r="K11549" s="7" t="s">
        <v>18</v>
      </c>
      <c r="L11549" s="8">
        <v>39987.315405092595</v>
      </c>
      <c r="M11549" s="9" t="s">
        <v>19</v>
      </c>
      <c r="N11549" s="9" t="s">
        <v>20</v>
      </c>
      <c r="O11549" s="6" t="str">
        <f>HYPERLINK("https://pbs.twimg.com/profile_images/962471262747529216/Uo8lOkRJ_normal.jpg","View")</f>
        <v>View</v>
      </c>
      <c r="P11549" s="7"/>
    </row>
    <row r="11550" spans="1:16">
      <c r="A11550" s="3">
        <v>44139.793252314819</v>
      </c>
      <c r="B11550" s="4" t="str">
        <f>HYPERLINK("https://twitter.com/petrogustavo","@petrogustavo")</f>
        <v>@petrogustavo</v>
      </c>
      <c r="C11550" s="5" t="s">
        <v>16</v>
      </c>
      <c r="D11550" s="5" t="s">
        <v>11117</v>
      </c>
      <c r="E11550" s="6" t="str">
        <f>HYPERLINK("https://twitter.com/petrogustavo/status/1323981393387544576","1323981393387544576")</f>
        <v>1323981393387544576</v>
      </c>
      <c r="F11550" s="7" t="s">
        <v>17</v>
      </c>
      <c r="G11550" s="7">
        <v>4000353</v>
      </c>
      <c r="H11550" s="7">
        <v>2455</v>
      </c>
      <c r="I11550" s="7">
        <v>37</v>
      </c>
      <c r="J11550" s="7">
        <v>156</v>
      </c>
      <c r="K11550" s="7" t="s">
        <v>18</v>
      </c>
      <c r="L11550" s="8">
        <v>39987.315405092595</v>
      </c>
      <c r="M11550" s="9" t="s">
        <v>19</v>
      </c>
      <c r="N11550" s="9" t="s">
        <v>20</v>
      </c>
      <c r="O11550" s="6" t="str">
        <f>HYPERLINK("https://pbs.twimg.com/profile_images/962471262747529216/Uo8lOkRJ_normal.jpg","View")</f>
        <v>View</v>
      </c>
      <c r="P11550" s="7"/>
    </row>
    <row r="11551" spans="1:16">
      <c r="A11551" s="3">
        <v>44139.794050925921</v>
      </c>
      <c r="B11551" s="4" t="str">
        <f>HYPERLINK("https://twitter.com/petrogustavo","@petrogustavo")</f>
        <v>@petrogustavo</v>
      </c>
      <c r="C11551" s="5" t="s">
        <v>16</v>
      </c>
      <c r="D11551" s="5" t="s">
        <v>11118</v>
      </c>
      <c r="E11551" s="6" t="str">
        <f>HYPERLINK("https://twitter.com/petrogustavo/status/1323981685566951427","1323981685566951427")</f>
        <v>1323981685566951427</v>
      </c>
      <c r="F11551" s="7" t="s">
        <v>17</v>
      </c>
      <c r="G11551" s="7">
        <v>4000353</v>
      </c>
      <c r="H11551" s="7">
        <v>2455</v>
      </c>
      <c r="I11551" s="7">
        <v>28</v>
      </c>
      <c r="J11551" s="7">
        <v>132</v>
      </c>
      <c r="K11551" s="7" t="s">
        <v>18</v>
      </c>
      <c r="L11551" s="8">
        <v>39987.315405092595</v>
      </c>
      <c r="M11551" s="9" t="s">
        <v>19</v>
      </c>
      <c r="N11551" s="9" t="s">
        <v>20</v>
      </c>
      <c r="O11551" s="6" t="str">
        <f>HYPERLINK("https://pbs.twimg.com/profile_images/962471262747529216/Uo8lOkRJ_normal.jpg","View")</f>
        <v>View</v>
      </c>
      <c r="P11551" s="7"/>
    </row>
    <row r="11552" spans="1:16">
      <c r="A11552" s="3">
        <v>44139.825185185182</v>
      </c>
      <c r="B11552" s="4" t="str">
        <f>HYPERLINK("https://twitter.com/petrogustavo","@petrogustavo")</f>
        <v>@petrogustavo</v>
      </c>
      <c r="C11552" s="5" t="s">
        <v>16</v>
      </c>
      <c r="D11552" s="5" t="s">
        <v>11119</v>
      </c>
      <c r="E11552" s="6" t="str">
        <f>HYPERLINK("https://twitter.com/petrogustavo/status/1323992966193709056","1323992966193709056")</f>
        <v>1323992966193709056</v>
      </c>
      <c r="F11552" s="7" t="s">
        <v>17</v>
      </c>
      <c r="G11552" s="7">
        <v>4000386</v>
      </c>
      <c r="H11552" s="7">
        <v>2455</v>
      </c>
      <c r="I11552" s="7">
        <v>84</v>
      </c>
      <c r="J11552" s="7">
        <v>264</v>
      </c>
      <c r="K11552" s="7" t="s">
        <v>18</v>
      </c>
      <c r="L11552" s="8">
        <v>39987.315405092595</v>
      </c>
      <c r="M11552" s="9" t="s">
        <v>19</v>
      </c>
      <c r="N11552" s="9" t="s">
        <v>20</v>
      </c>
      <c r="O11552" s="6" t="str">
        <f>HYPERLINK("https://pbs.twimg.com/profile_images/962471262747529216/Uo8lOkRJ_normal.jpg","View")</f>
        <v>View</v>
      </c>
      <c r="P11552" s="7"/>
    </row>
    <row r="11553" spans="1:16">
      <c r="A11553" s="3">
        <v>44139.833136574074</v>
      </c>
      <c r="B11553" s="4" t="str">
        <f>HYPERLINK("https://twitter.com/petrogustavo","@petrogustavo")</f>
        <v>@petrogustavo</v>
      </c>
      <c r="C11553" s="5" t="s">
        <v>16</v>
      </c>
      <c r="D11553" s="5" t="s">
        <v>11120</v>
      </c>
      <c r="E11553" s="6" t="str">
        <f>HYPERLINK("https://twitter.com/petrogustavo/status/1323995848968196099","1323995848968196099")</f>
        <v>1323995848968196099</v>
      </c>
      <c r="F11553" s="7" t="s">
        <v>17</v>
      </c>
      <c r="G11553" s="7">
        <v>4000386</v>
      </c>
      <c r="H11553" s="7">
        <v>2455</v>
      </c>
      <c r="I11553" s="7">
        <v>75</v>
      </c>
      <c r="J11553" s="7">
        <v>383</v>
      </c>
      <c r="K11553" s="7" t="s">
        <v>18</v>
      </c>
      <c r="L11553" s="8">
        <v>39987.315405092595</v>
      </c>
      <c r="M11553" s="9" t="s">
        <v>19</v>
      </c>
      <c r="N11553" s="9" t="s">
        <v>20</v>
      </c>
      <c r="O11553" s="6" t="str">
        <f>HYPERLINK("https://pbs.twimg.com/profile_images/962471262747529216/Uo8lOkRJ_normal.jpg","View")</f>
        <v>View</v>
      </c>
      <c r="P11553" s="7"/>
    </row>
    <row r="11554" spans="1:16">
      <c r="A11554" s="3">
        <v>44139.839537037042</v>
      </c>
      <c r="B11554" s="4" t="str">
        <f>HYPERLINK("https://twitter.com/petrogustavo","@petrogustavo")</f>
        <v>@petrogustavo</v>
      </c>
      <c r="C11554" s="5" t="s">
        <v>16</v>
      </c>
      <c r="D11554" s="5" t="s">
        <v>11121</v>
      </c>
      <c r="E11554" s="6" t="str">
        <f>HYPERLINK("https://twitter.com/petrogustavo/status/1323998169185869824","1323998169185869824")</f>
        <v>1323998169185869824</v>
      </c>
      <c r="F11554" s="7" t="s">
        <v>17</v>
      </c>
      <c r="G11554" s="7">
        <v>4000386</v>
      </c>
      <c r="H11554" s="7">
        <v>2455</v>
      </c>
      <c r="I11554" s="7">
        <v>58</v>
      </c>
      <c r="J11554" s="7">
        <v>0</v>
      </c>
      <c r="K11554" s="7" t="s">
        <v>18</v>
      </c>
      <c r="L11554" s="8">
        <v>39987.315405092595</v>
      </c>
      <c r="M11554" s="9" t="s">
        <v>19</v>
      </c>
      <c r="N11554" s="9" t="s">
        <v>20</v>
      </c>
      <c r="O11554" s="6" t="str">
        <f>HYPERLINK("https://pbs.twimg.com/profile_images/962471262747529216/Uo8lOkRJ_normal.jpg","View")</f>
        <v>View</v>
      </c>
      <c r="P11554" s="7"/>
    </row>
    <row r="11555" spans="1:16">
      <c r="A11555" s="3">
        <v>44139.840370370366</v>
      </c>
      <c r="B11555" s="4" t="str">
        <f>HYPERLINK("https://twitter.com/petrogustavo","@petrogustavo")</f>
        <v>@petrogustavo</v>
      </c>
      <c r="C11555" s="5" t="s">
        <v>16</v>
      </c>
      <c r="D11555" s="5" t="s">
        <v>11122</v>
      </c>
      <c r="E11555" s="6" t="str">
        <f>HYPERLINK("https://twitter.com/petrogustavo/status/1323998468671741954","1323998468671741954")</f>
        <v>1323998468671741954</v>
      </c>
      <c r="F11555" s="7" t="s">
        <v>17</v>
      </c>
      <c r="G11555" s="7">
        <v>4000386</v>
      </c>
      <c r="H11555" s="7">
        <v>2455</v>
      </c>
      <c r="I11555" s="7">
        <v>245</v>
      </c>
      <c r="J11555" s="7">
        <v>0</v>
      </c>
      <c r="K11555" s="7" t="s">
        <v>18</v>
      </c>
      <c r="L11555" s="8">
        <v>39987.315405092595</v>
      </c>
      <c r="M11555" s="9" t="s">
        <v>19</v>
      </c>
      <c r="N11555" s="9" t="s">
        <v>20</v>
      </c>
      <c r="O11555" s="6" t="str">
        <f>HYPERLINK("https://pbs.twimg.com/profile_images/962471262747529216/Uo8lOkRJ_normal.jpg","View")</f>
        <v>View</v>
      </c>
      <c r="P11555" s="7"/>
    </row>
    <row r="11556" spans="1:16">
      <c r="A11556" s="3">
        <v>44139.841724537036</v>
      </c>
      <c r="B11556" s="4" t="str">
        <f>HYPERLINK("https://twitter.com/petrogustavo","@petrogustavo")</f>
        <v>@petrogustavo</v>
      </c>
      <c r="C11556" s="5" t="s">
        <v>16</v>
      </c>
      <c r="D11556" s="5" t="s">
        <v>11123</v>
      </c>
      <c r="E11556" s="6" t="str">
        <f>HYPERLINK("https://twitter.com/petrogustavo/status/1323998959308853250","1323998959308853250")</f>
        <v>1323998959308853250</v>
      </c>
      <c r="F11556" s="7" t="s">
        <v>17</v>
      </c>
      <c r="G11556" s="7">
        <v>4000386</v>
      </c>
      <c r="H11556" s="7">
        <v>2455</v>
      </c>
      <c r="I11556" s="7">
        <v>89</v>
      </c>
      <c r="J11556" s="7">
        <v>477</v>
      </c>
      <c r="K11556" s="7" t="s">
        <v>18</v>
      </c>
      <c r="L11556" s="8">
        <v>39987.315405092595</v>
      </c>
      <c r="M11556" s="9" t="s">
        <v>19</v>
      </c>
      <c r="N11556" s="9" t="s">
        <v>20</v>
      </c>
      <c r="O11556" s="6" t="str">
        <f>HYPERLINK("https://pbs.twimg.com/profile_images/962471262747529216/Uo8lOkRJ_normal.jpg","View")</f>
        <v>View</v>
      </c>
      <c r="P11556" s="7"/>
    </row>
    <row r="11557" spans="1:16">
      <c r="A11557" s="3">
        <v>44139.842986111107</v>
      </c>
      <c r="B11557" s="4" t="str">
        <f>HYPERLINK("https://twitter.com/petrogustavo","@petrogustavo")</f>
        <v>@petrogustavo</v>
      </c>
      <c r="C11557" s="5" t="s">
        <v>16</v>
      </c>
      <c r="D11557" s="5" t="s">
        <v>11124</v>
      </c>
      <c r="E11557" s="6" t="str">
        <f>HYPERLINK("https://twitter.com/petrogustavo/status/1323999417624600578","1323999417624600578")</f>
        <v>1323999417624600578</v>
      </c>
      <c r="F11557" s="7" t="s">
        <v>17</v>
      </c>
      <c r="G11557" s="7">
        <v>4000386</v>
      </c>
      <c r="H11557" s="7">
        <v>2455</v>
      </c>
      <c r="I11557" s="7">
        <v>46</v>
      </c>
      <c r="J11557" s="7">
        <v>303</v>
      </c>
      <c r="K11557" s="7" t="s">
        <v>18</v>
      </c>
      <c r="L11557" s="8">
        <v>39987.315405092595</v>
      </c>
      <c r="M11557" s="9" t="s">
        <v>19</v>
      </c>
      <c r="N11557" s="9" t="s">
        <v>20</v>
      </c>
      <c r="O11557" s="6" t="str">
        <f>HYPERLINK("https://pbs.twimg.com/profile_images/962471262747529216/Uo8lOkRJ_normal.jpg","View")</f>
        <v>View</v>
      </c>
      <c r="P11557" s="7"/>
    </row>
    <row r="11558" spans="1:16">
      <c r="A11558" s="3">
        <v>44139.843217592592</v>
      </c>
      <c r="B11558" s="4" t="str">
        <f>HYPERLINK("https://twitter.com/petrogustavo","@petrogustavo")</f>
        <v>@petrogustavo</v>
      </c>
      <c r="C11558" s="5" t="s">
        <v>16</v>
      </c>
      <c r="D11558" s="5" t="s">
        <v>11125</v>
      </c>
      <c r="E11558" s="6" t="str">
        <f>HYPERLINK("https://twitter.com/petrogustavo/status/1323999501313519616","1323999501313519616")</f>
        <v>1323999501313519616</v>
      </c>
      <c r="F11558" s="7" t="s">
        <v>17</v>
      </c>
      <c r="G11558" s="7">
        <v>4000386</v>
      </c>
      <c r="H11558" s="7">
        <v>2455</v>
      </c>
      <c r="I11558" s="7">
        <v>89</v>
      </c>
      <c r="J11558" s="7">
        <v>0</v>
      </c>
      <c r="K11558" s="7" t="s">
        <v>18</v>
      </c>
      <c r="L11558" s="8">
        <v>39987.315405092595</v>
      </c>
      <c r="M11558" s="9" t="s">
        <v>19</v>
      </c>
      <c r="N11558" s="9" t="s">
        <v>20</v>
      </c>
      <c r="O11558" s="6" t="str">
        <f>HYPERLINK("https://pbs.twimg.com/profile_images/962471262747529216/Uo8lOkRJ_normal.jpg","View")</f>
        <v>View</v>
      </c>
      <c r="P11558" s="7"/>
    </row>
    <row r="11559" spans="1:16">
      <c r="A11559" s="3">
        <v>44139.884421296301</v>
      </c>
      <c r="B11559" s="4" t="str">
        <f>HYPERLINK("https://twitter.com/petrogustavo","@petrogustavo")</f>
        <v>@petrogustavo</v>
      </c>
      <c r="C11559" s="5" t="s">
        <v>16</v>
      </c>
      <c r="D11559" s="5" t="s">
        <v>11126</v>
      </c>
      <c r="E11559" s="6" t="str">
        <f>HYPERLINK("https://twitter.com/petrogustavo/status/1324014432670896138","1324014432670896138")</f>
        <v>1324014432670896138</v>
      </c>
      <c r="F11559" s="7" t="s">
        <v>17</v>
      </c>
      <c r="G11559" s="7">
        <v>4000432</v>
      </c>
      <c r="H11559" s="7">
        <v>2455</v>
      </c>
      <c r="I11559" s="7">
        <v>391</v>
      </c>
      <c r="J11559" s="7">
        <v>0</v>
      </c>
      <c r="K11559" s="7" t="s">
        <v>18</v>
      </c>
      <c r="L11559" s="8">
        <v>39987.315405092595</v>
      </c>
      <c r="M11559" s="9" t="s">
        <v>19</v>
      </c>
      <c r="N11559" s="9" t="s">
        <v>20</v>
      </c>
      <c r="O11559" s="6" t="str">
        <f>HYPERLINK("https://pbs.twimg.com/profile_images/962471262747529216/Uo8lOkRJ_normal.jpg","View")</f>
        <v>View</v>
      </c>
      <c r="P11559" s="7"/>
    </row>
    <row r="11560" spans="1:16">
      <c r="A11560" s="3">
        <v>44139.932442129633</v>
      </c>
      <c r="B11560" s="4" t="str">
        <f>HYPERLINK("https://twitter.com/petrogustavo","@petrogustavo")</f>
        <v>@petrogustavo</v>
      </c>
      <c r="C11560" s="5" t="s">
        <v>16</v>
      </c>
      <c r="D11560" s="5" t="s">
        <v>11127</v>
      </c>
      <c r="E11560" s="6" t="str">
        <f>HYPERLINK("https://twitter.com/petrogustavo/status/1324031836234911748","1324031836234911748")</f>
        <v>1324031836234911748</v>
      </c>
      <c r="F11560" s="7" t="s">
        <v>17</v>
      </c>
      <c r="G11560" s="7">
        <v>4000485</v>
      </c>
      <c r="H11560" s="7">
        <v>2455</v>
      </c>
      <c r="I11560" s="7">
        <v>172</v>
      </c>
      <c r="J11560" s="7">
        <v>540</v>
      </c>
      <c r="K11560" s="7" t="s">
        <v>18</v>
      </c>
      <c r="L11560" s="8">
        <v>39987.315405092595</v>
      </c>
      <c r="M11560" s="9" t="s">
        <v>19</v>
      </c>
      <c r="N11560" s="9" t="s">
        <v>20</v>
      </c>
      <c r="O11560" s="6" t="str">
        <f>HYPERLINK("https://pbs.twimg.com/profile_images/962471262747529216/Uo8lOkRJ_normal.jpg","View")</f>
        <v>View</v>
      </c>
      <c r="P11560" s="7"/>
    </row>
    <row r="11561" spans="1:16">
      <c r="A11561" s="3">
        <v>44139.933993055558</v>
      </c>
      <c r="B11561" s="4" t="str">
        <f>HYPERLINK("https://twitter.com/petrogustavo","@petrogustavo")</f>
        <v>@petrogustavo</v>
      </c>
      <c r="C11561" s="5" t="s">
        <v>16</v>
      </c>
      <c r="D11561" s="5" t="s">
        <v>11128</v>
      </c>
      <c r="E11561" s="6" t="str">
        <f>HYPERLINK("https://twitter.com/petrogustavo/status/1324032398816923653","1324032398816923653")</f>
        <v>1324032398816923653</v>
      </c>
      <c r="F11561" s="7" t="s">
        <v>17</v>
      </c>
      <c r="G11561" s="7">
        <v>4000485</v>
      </c>
      <c r="H11561" s="7">
        <v>2455</v>
      </c>
      <c r="I11561" s="7">
        <v>73</v>
      </c>
      <c r="J11561" s="7">
        <v>0</v>
      </c>
      <c r="K11561" s="7" t="s">
        <v>18</v>
      </c>
      <c r="L11561" s="8">
        <v>39987.315405092595</v>
      </c>
      <c r="M11561" s="9" t="s">
        <v>19</v>
      </c>
      <c r="N11561" s="9" t="s">
        <v>20</v>
      </c>
      <c r="O11561" s="6" t="str">
        <f>HYPERLINK("https://pbs.twimg.com/profile_images/962471262747529216/Uo8lOkRJ_normal.jpg","View")</f>
        <v>View</v>
      </c>
      <c r="P11561" s="7"/>
    </row>
    <row r="11562" spans="1:16">
      <c r="A11562" s="3">
        <v>44139.938738425924</v>
      </c>
      <c r="B11562" s="4" t="str">
        <f>HYPERLINK("https://twitter.com/petrogustavo","@petrogustavo")</f>
        <v>@petrogustavo</v>
      </c>
      <c r="C11562" s="5" t="s">
        <v>16</v>
      </c>
      <c r="D11562" s="5" t="s">
        <v>11129</v>
      </c>
      <c r="E11562" s="6" t="str">
        <f>HYPERLINK("https://twitter.com/petrogustavo/status/1324034116556345344","1324034116556345344")</f>
        <v>1324034116556345344</v>
      </c>
      <c r="F11562" s="7" t="s">
        <v>17</v>
      </c>
      <c r="G11562" s="7">
        <v>4000485</v>
      </c>
      <c r="H11562" s="7">
        <v>2455</v>
      </c>
      <c r="I11562" s="7">
        <v>77</v>
      </c>
      <c r="J11562" s="7">
        <v>589</v>
      </c>
      <c r="K11562" s="7" t="s">
        <v>18</v>
      </c>
      <c r="L11562" s="8">
        <v>39987.315405092595</v>
      </c>
      <c r="M11562" s="9" t="s">
        <v>19</v>
      </c>
      <c r="N11562" s="9" t="s">
        <v>20</v>
      </c>
      <c r="O11562" s="6" t="str">
        <f>HYPERLINK("https://pbs.twimg.com/profile_images/962471262747529216/Uo8lOkRJ_normal.jpg","View")</f>
        <v>View</v>
      </c>
      <c r="P11562" s="7"/>
    </row>
    <row r="11563" spans="1:16">
      <c r="A11563" s="3">
        <v>44140.092303240745</v>
      </c>
      <c r="B11563" s="4" t="str">
        <f>HYPERLINK("https://twitter.com/petrogustavo","@petrogustavo")</f>
        <v>@petrogustavo</v>
      </c>
      <c r="C11563" s="5" t="s">
        <v>16</v>
      </c>
      <c r="D11563" s="5" t="s">
        <v>11130</v>
      </c>
      <c r="E11563" s="6" t="str">
        <f>HYPERLINK("https://twitter.com/petrogustavo/status/1324089766615388162","1324089766615388162")</f>
        <v>1324089766615388162</v>
      </c>
      <c r="F11563" s="7" t="s">
        <v>17</v>
      </c>
      <c r="G11563" s="7">
        <v>4000676</v>
      </c>
      <c r="H11563" s="7">
        <v>2455</v>
      </c>
      <c r="I11563" s="7">
        <v>93</v>
      </c>
      <c r="J11563" s="7">
        <v>240</v>
      </c>
      <c r="K11563" s="7" t="s">
        <v>18</v>
      </c>
      <c r="L11563" s="8">
        <v>39987.315405092595</v>
      </c>
      <c r="M11563" s="9" t="s">
        <v>19</v>
      </c>
      <c r="N11563" s="9" t="s">
        <v>20</v>
      </c>
      <c r="O11563" s="6" t="str">
        <f>HYPERLINK("https://pbs.twimg.com/profile_images/962471262747529216/Uo8lOkRJ_normal.jpg","View")</f>
        <v>View</v>
      </c>
      <c r="P11563" s="7"/>
    </row>
    <row r="11564" spans="1:16">
      <c r="A11564" s="3">
        <v>44140.166180555556</v>
      </c>
      <c r="B11564" s="4" t="str">
        <f>HYPERLINK("https://twitter.com/petrogustavo","@petrogustavo")</f>
        <v>@petrogustavo</v>
      </c>
      <c r="C11564" s="5" t="s">
        <v>16</v>
      </c>
      <c r="D11564" s="5" t="s">
        <v>11131</v>
      </c>
      <c r="E11564" s="6" t="str">
        <f>HYPERLINK("https://twitter.com/petrogustavo/status/1324116540594266112","1324116540594266112")</f>
        <v>1324116540594266112</v>
      </c>
      <c r="F11564" s="7" t="s">
        <v>17</v>
      </c>
      <c r="G11564" s="7">
        <v>4000746</v>
      </c>
      <c r="H11564" s="7">
        <v>2455</v>
      </c>
      <c r="I11564" s="7">
        <v>145</v>
      </c>
      <c r="J11564" s="7">
        <v>1185</v>
      </c>
      <c r="K11564" s="7" t="s">
        <v>18</v>
      </c>
      <c r="L11564" s="8">
        <v>39987.315405092595</v>
      </c>
      <c r="M11564" s="9" t="s">
        <v>19</v>
      </c>
      <c r="N11564" s="9" t="s">
        <v>20</v>
      </c>
      <c r="O11564" s="6" t="str">
        <f>HYPERLINK("https://pbs.twimg.com/profile_images/962471262747529216/Uo8lOkRJ_normal.jpg","View")</f>
        <v>View</v>
      </c>
      <c r="P11564" s="7"/>
    </row>
    <row r="11565" spans="1:16">
      <c r="A11565" s="3">
        <v>44140.253784722227</v>
      </c>
      <c r="B11565" s="4" t="str">
        <f>HYPERLINK("https://twitter.com/petrogustavo","@petrogustavo")</f>
        <v>@petrogustavo</v>
      </c>
      <c r="C11565" s="5" t="s">
        <v>16</v>
      </c>
      <c r="D11565" s="5" t="s">
        <v>11132</v>
      </c>
      <c r="E11565" s="6" t="str">
        <f>HYPERLINK("https://twitter.com/petrogustavo/status/1324148284395524098","1324148284395524098")</f>
        <v>1324148284395524098</v>
      </c>
      <c r="F11565" s="7" t="s">
        <v>17</v>
      </c>
      <c r="G11565" s="7">
        <v>4000825</v>
      </c>
      <c r="H11565" s="7">
        <v>2454</v>
      </c>
      <c r="I11565" s="7">
        <v>17</v>
      </c>
      <c r="J11565" s="7">
        <v>0</v>
      </c>
      <c r="K11565" s="7" t="s">
        <v>18</v>
      </c>
      <c r="L11565" s="8">
        <v>39987.315405092595</v>
      </c>
      <c r="M11565" s="9" t="s">
        <v>19</v>
      </c>
      <c r="N11565" s="9" t="s">
        <v>20</v>
      </c>
      <c r="O11565" s="6" t="str">
        <f>HYPERLINK("https://pbs.twimg.com/profile_images/962471262747529216/Uo8lOkRJ_normal.jpg","View")</f>
        <v>View</v>
      </c>
      <c r="P11565" s="7"/>
    </row>
    <row r="11566" spans="1:16">
      <c r="A11566" s="3">
        <v>44140.281215277777</v>
      </c>
      <c r="B11566" s="4" t="str">
        <f>HYPERLINK("https://twitter.com/petrogustavo","@petrogustavo")</f>
        <v>@petrogustavo</v>
      </c>
      <c r="C11566" s="5" t="s">
        <v>16</v>
      </c>
      <c r="D11566" s="5" t="s">
        <v>11133</v>
      </c>
      <c r="E11566" s="6" t="str">
        <f>HYPERLINK("https://twitter.com/petrogustavo/status/1324158226636615687","1324158226636615687")</f>
        <v>1324158226636615687</v>
      </c>
      <c r="F11566" s="7" t="s">
        <v>17</v>
      </c>
      <c r="G11566" s="7">
        <v>4000853</v>
      </c>
      <c r="H11566" s="7">
        <v>2453</v>
      </c>
      <c r="I11566" s="7">
        <v>83</v>
      </c>
      <c r="J11566" s="7">
        <v>321</v>
      </c>
      <c r="K11566" s="7" t="s">
        <v>18</v>
      </c>
      <c r="L11566" s="8">
        <v>39987.315405092595</v>
      </c>
      <c r="M11566" s="9" t="s">
        <v>19</v>
      </c>
      <c r="N11566" s="9" t="s">
        <v>20</v>
      </c>
      <c r="O11566" s="6" t="str">
        <f>HYPERLINK("https://pbs.twimg.com/profile_images/962471262747529216/Uo8lOkRJ_normal.jpg","View")</f>
        <v>View</v>
      </c>
      <c r="P11566" s="7"/>
    </row>
    <row r="11567" spans="1:16">
      <c r="A11567" s="3">
        <v>44140.287488425922</v>
      </c>
      <c r="B11567" s="4" t="str">
        <f>HYPERLINK("https://twitter.com/petrogustavo","@petrogustavo")</f>
        <v>@petrogustavo</v>
      </c>
      <c r="C11567" s="5" t="s">
        <v>16</v>
      </c>
      <c r="D11567" s="5" t="s">
        <v>11134</v>
      </c>
      <c r="E11567" s="6" t="str">
        <f>HYPERLINK("https://twitter.com/petrogustavo/status/1324160499949424640","1324160499949424640")</f>
        <v>1324160499949424640</v>
      </c>
      <c r="F11567" s="7" t="s">
        <v>17</v>
      </c>
      <c r="G11567" s="7">
        <v>4000886</v>
      </c>
      <c r="H11567" s="7">
        <v>2453</v>
      </c>
      <c r="I11567" s="7">
        <v>1740</v>
      </c>
      <c r="J11567" s="7">
        <v>0</v>
      </c>
      <c r="K11567" s="7" t="s">
        <v>18</v>
      </c>
      <c r="L11567" s="8">
        <v>39987.315405092595</v>
      </c>
      <c r="M11567" s="9" t="s">
        <v>19</v>
      </c>
      <c r="N11567" s="9" t="s">
        <v>20</v>
      </c>
      <c r="O11567" s="6" t="str">
        <f>HYPERLINK("https://pbs.twimg.com/profile_images/962471262747529216/Uo8lOkRJ_normal.jpg","View")</f>
        <v>View</v>
      </c>
      <c r="P11567" s="7"/>
    </row>
    <row r="11568" spans="1:16">
      <c r="A11568" s="3">
        <v>44140.297743055555</v>
      </c>
      <c r="B11568" s="4" t="str">
        <f>HYPERLINK("https://twitter.com/petrogustavo","@petrogustavo")</f>
        <v>@petrogustavo</v>
      </c>
      <c r="C11568" s="5" t="s">
        <v>16</v>
      </c>
      <c r="D11568" s="5" t="s">
        <v>11135</v>
      </c>
      <c r="E11568" s="6" t="str">
        <f>HYPERLINK("https://twitter.com/petrogustavo/status/1324164215549136897","1324164215549136897")</f>
        <v>1324164215549136897</v>
      </c>
      <c r="F11568" s="7" t="s">
        <v>17</v>
      </c>
      <c r="G11568" s="7">
        <v>4000886</v>
      </c>
      <c r="H11568" s="7">
        <v>2453</v>
      </c>
      <c r="I11568" s="7">
        <v>531</v>
      </c>
      <c r="J11568" s="7">
        <v>0</v>
      </c>
      <c r="K11568" s="7" t="s">
        <v>18</v>
      </c>
      <c r="L11568" s="8">
        <v>39987.315405092595</v>
      </c>
      <c r="M11568" s="9" t="s">
        <v>19</v>
      </c>
      <c r="N11568" s="9" t="s">
        <v>20</v>
      </c>
      <c r="O11568" s="6" t="str">
        <f>HYPERLINK("https://pbs.twimg.com/profile_images/962471262747529216/Uo8lOkRJ_normal.jpg","View")</f>
        <v>View</v>
      </c>
      <c r="P11568" s="7"/>
    </row>
    <row r="11569" spans="1:16">
      <c r="A11569" s="3">
        <v>44140.298206018517</v>
      </c>
      <c r="B11569" s="4" t="str">
        <f>HYPERLINK("https://twitter.com/petrogustavo","@petrogustavo")</f>
        <v>@petrogustavo</v>
      </c>
      <c r="C11569" s="5" t="s">
        <v>16</v>
      </c>
      <c r="D11569" s="5" t="s">
        <v>11136</v>
      </c>
      <c r="E11569" s="6" t="str">
        <f>HYPERLINK("https://twitter.com/petrogustavo/status/1324164383400988672","1324164383400988672")</f>
        <v>1324164383400988672</v>
      </c>
      <c r="F11569" s="7" t="s">
        <v>17</v>
      </c>
      <c r="G11569" s="7">
        <v>4000886</v>
      </c>
      <c r="H11569" s="7">
        <v>2453</v>
      </c>
      <c r="I11569" s="7">
        <v>3372</v>
      </c>
      <c r="J11569" s="7">
        <v>0</v>
      </c>
      <c r="K11569" s="7" t="s">
        <v>18</v>
      </c>
      <c r="L11569" s="8">
        <v>39987.315405092595</v>
      </c>
      <c r="M11569" s="9" t="s">
        <v>19</v>
      </c>
      <c r="N11569" s="9" t="s">
        <v>20</v>
      </c>
      <c r="O11569" s="6" t="str">
        <f>HYPERLINK("https://pbs.twimg.com/profile_images/962471262747529216/Uo8lOkRJ_normal.jpg","View")</f>
        <v>View</v>
      </c>
      <c r="P11569" s="7"/>
    </row>
    <row r="11570" spans="1:16">
      <c r="A11570" s="3">
        <v>44140.299004629633</v>
      </c>
      <c r="B11570" s="4" t="str">
        <f>HYPERLINK("https://twitter.com/petrogustavo","@petrogustavo")</f>
        <v>@petrogustavo</v>
      </c>
      <c r="C11570" s="5" t="s">
        <v>16</v>
      </c>
      <c r="D11570" s="5" t="s">
        <v>11137</v>
      </c>
      <c r="E11570" s="6" t="str">
        <f>HYPERLINK("https://twitter.com/petrogustavo/status/1324164672174628867","1324164672174628867")</f>
        <v>1324164672174628867</v>
      </c>
      <c r="F11570" s="7" t="s">
        <v>17</v>
      </c>
      <c r="G11570" s="7">
        <v>4000886</v>
      </c>
      <c r="H11570" s="7">
        <v>2453</v>
      </c>
      <c r="I11570" s="7">
        <v>422</v>
      </c>
      <c r="J11570" s="7">
        <v>0</v>
      </c>
      <c r="K11570" s="7" t="s">
        <v>18</v>
      </c>
      <c r="L11570" s="8">
        <v>39987.315405092595</v>
      </c>
      <c r="M11570" s="9" t="s">
        <v>19</v>
      </c>
      <c r="N11570" s="9" t="s">
        <v>20</v>
      </c>
      <c r="O11570" s="6" t="str">
        <f>HYPERLINK("https://pbs.twimg.com/profile_images/962471262747529216/Uo8lOkRJ_normal.jpg","View")</f>
        <v>View</v>
      </c>
      <c r="P11570" s="7"/>
    </row>
    <row r="11571" spans="1:16">
      <c r="A11571" s="3">
        <v>44140.305243055554</v>
      </c>
      <c r="B11571" s="4" t="str">
        <f>HYPERLINK("https://twitter.com/petrogustavo","@petrogustavo")</f>
        <v>@petrogustavo</v>
      </c>
      <c r="C11571" s="5" t="s">
        <v>16</v>
      </c>
      <c r="D11571" s="5" t="s">
        <v>11138</v>
      </c>
      <c r="E11571" s="6" t="str">
        <f>HYPERLINK("https://twitter.com/petrogustavo/status/1324166931767795713","1324166931767795713")</f>
        <v>1324166931767795713</v>
      </c>
      <c r="F11571" s="7" t="s">
        <v>17</v>
      </c>
      <c r="G11571" s="7">
        <v>4000914</v>
      </c>
      <c r="H11571" s="7">
        <v>2453</v>
      </c>
      <c r="I11571" s="7">
        <v>377</v>
      </c>
      <c r="J11571" s="7">
        <v>2051</v>
      </c>
      <c r="K11571" s="7" t="s">
        <v>18</v>
      </c>
      <c r="L11571" s="8">
        <v>39987.315405092595</v>
      </c>
      <c r="M11571" s="9" t="s">
        <v>19</v>
      </c>
      <c r="N11571" s="9" t="s">
        <v>20</v>
      </c>
      <c r="O11571" s="6" t="str">
        <f>HYPERLINK("https://pbs.twimg.com/profile_images/962471262747529216/Uo8lOkRJ_normal.jpg","View")</f>
        <v>View</v>
      </c>
      <c r="P11571" s="7"/>
    </row>
    <row r="11572" spans="1:16">
      <c r="A11572" s="3">
        <v>44140.75304398148</v>
      </c>
      <c r="B11572" s="4" t="str">
        <f>HYPERLINK("https://twitter.com/petrogustavo","@petrogustavo")</f>
        <v>@petrogustavo</v>
      </c>
      <c r="C11572" s="5" t="s">
        <v>16</v>
      </c>
      <c r="D11572" s="5" t="s">
        <v>11139</v>
      </c>
      <c r="E11572" s="6" t="str">
        <f>HYPERLINK("https://twitter.com/petrogustavo/status/1324329212086525954","1324329212086525954")</f>
        <v>1324329212086525954</v>
      </c>
      <c r="F11572" s="7" t="s">
        <v>17</v>
      </c>
      <c r="G11572" s="7">
        <v>4001074</v>
      </c>
      <c r="H11572" s="7">
        <v>2452</v>
      </c>
      <c r="I11572" s="7">
        <v>81</v>
      </c>
      <c r="J11572" s="7">
        <v>0</v>
      </c>
      <c r="K11572" s="7" t="s">
        <v>18</v>
      </c>
      <c r="L11572" s="8">
        <v>39987.315405092595</v>
      </c>
      <c r="M11572" s="9" t="s">
        <v>19</v>
      </c>
      <c r="N11572" s="9" t="s">
        <v>20</v>
      </c>
      <c r="O11572" s="6" t="str">
        <f>HYPERLINK("https://pbs.twimg.com/profile_images/962471262747529216/Uo8lOkRJ_normal.jpg","View")</f>
        <v>View</v>
      </c>
      <c r="P11572" s="7"/>
    </row>
    <row r="11573" spans="1:16">
      <c r="A11573" s="3">
        <v>44140.757361111115</v>
      </c>
      <c r="B11573" s="4" t="str">
        <f>HYPERLINK("https://twitter.com/petrogustavo","@petrogustavo")</f>
        <v>@petrogustavo</v>
      </c>
      <c r="C11573" s="5" t="s">
        <v>16</v>
      </c>
      <c r="D11573" s="5" t="s">
        <v>11140</v>
      </c>
      <c r="E11573" s="6" t="str">
        <f>HYPERLINK("https://twitter.com/petrogustavo/status/1324330777212030977","1324330777212030977")</f>
        <v>1324330777212030977</v>
      </c>
      <c r="F11573" s="7" t="s">
        <v>17</v>
      </c>
      <c r="G11573" s="7">
        <v>4001074</v>
      </c>
      <c r="H11573" s="7">
        <v>2452</v>
      </c>
      <c r="I11573" s="7">
        <v>60</v>
      </c>
      <c r="J11573" s="7">
        <v>299</v>
      </c>
      <c r="K11573" s="7" t="s">
        <v>18</v>
      </c>
      <c r="L11573" s="8">
        <v>39987.315405092595</v>
      </c>
      <c r="M11573" s="9" t="s">
        <v>19</v>
      </c>
      <c r="N11573" s="9" t="s">
        <v>20</v>
      </c>
      <c r="O11573" s="6" t="str">
        <f>HYPERLINK("https://pbs.twimg.com/profile_images/962471262747529216/Uo8lOkRJ_normal.jpg","View")</f>
        <v>View</v>
      </c>
      <c r="P11573" s="7"/>
    </row>
    <row r="11574" spans="1:16">
      <c r="A11574" s="3">
        <v>44140.759872685187</v>
      </c>
      <c r="B11574" s="4" t="str">
        <f>HYPERLINK("https://twitter.com/petrogustavo","@petrogustavo")</f>
        <v>@petrogustavo</v>
      </c>
      <c r="C11574" s="5" t="s">
        <v>16</v>
      </c>
      <c r="D11574" s="5" t="s">
        <v>11141</v>
      </c>
      <c r="E11574" s="6" t="str">
        <f>HYPERLINK("https://twitter.com/petrogustavo/status/1324331686642016257","1324331686642016257")</f>
        <v>1324331686642016257</v>
      </c>
      <c r="F11574" s="7" t="s">
        <v>17</v>
      </c>
      <c r="G11574" s="7">
        <v>4001074</v>
      </c>
      <c r="H11574" s="7">
        <v>2452</v>
      </c>
      <c r="I11574" s="7">
        <v>22</v>
      </c>
      <c r="J11574" s="7">
        <v>213</v>
      </c>
      <c r="K11574" s="7" t="s">
        <v>18</v>
      </c>
      <c r="L11574" s="8">
        <v>39987.315405092595</v>
      </c>
      <c r="M11574" s="9" t="s">
        <v>19</v>
      </c>
      <c r="N11574" s="9" t="s">
        <v>20</v>
      </c>
      <c r="O11574" s="6" t="str">
        <f>HYPERLINK("https://pbs.twimg.com/profile_images/962471262747529216/Uo8lOkRJ_normal.jpg","View")</f>
        <v>View</v>
      </c>
      <c r="P11574" s="7"/>
    </row>
    <row r="11575" spans="1:16">
      <c r="A11575" s="3">
        <v>44140.761516203704</v>
      </c>
      <c r="B11575" s="4" t="str">
        <f>HYPERLINK("https://twitter.com/petrogustavo","@petrogustavo")</f>
        <v>@petrogustavo</v>
      </c>
      <c r="C11575" s="5" t="s">
        <v>16</v>
      </c>
      <c r="D11575" s="5" t="s">
        <v>11142</v>
      </c>
      <c r="E11575" s="6" t="str">
        <f>HYPERLINK("https://twitter.com/petrogustavo/status/1324332283223035904","1324332283223035904")</f>
        <v>1324332283223035904</v>
      </c>
      <c r="F11575" s="7" t="s">
        <v>17</v>
      </c>
      <c r="G11575" s="7">
        <v>4001074</v>
      </c>
      <c r="H11575" s="7">
        <v>2452</v>
      </c>
      <c r="I11575" s="7">
        <v>5</v>
      </c>
      <c r="J11575" s="7">
        <v>62</v>
      </c>
      <c r="K11575" s="7" t="s">
        <v>18</v>
      </c>
      <c r="L11575" s="8">
        <v>39987.315405092595</v>
      </c>
      <c r="M11575" s="9" t="s">
        <v>19</v>
      </c>
      <c r="N11575" s="9" t="s">
        <v>20</v>
      </c>
      <c r="O11575" s="6" t="str">
        <f>HYPERLINK("https://pbs.twimg.com/profile_images/962471262747529216/Uo8lOkRJ_normal.jpg","View")</f>
        <v>View</v>
      </c>
      <c r="P11575" s="7"/>
    </row>
    <row r="11576" spans="1:16">
      <c r="A11576" s="3">
        <v>44140.763020833328</v>
      </c>
      <c r="B11576" s="4" t="str">
        <f>HYPERLINK("https://twitter.com/petrogustavo","@petrogustavo")</f>
        <v>@petrogustavo</v>
      </c>
      <c r="C11576" s="5" t="s">
        <v>16</v>
      </c>
      <c r="D11576" s="5" t="s">
        <v>11143</v>
      </c>
      <c r="E11576" s="6" t="str">
        <f>HYPERLINK("https://twitter.com/petrogustavo/status/1324332828222509057","1324332828222509057")</f>
        <v>1324332828222509057</v>
      </c>
      <c r="F11576" s="7" t="s">
        <v>17</v>
      </c>
      <c r="G11576" s="7">
        <v>4001080</v>
      </c>
      <c r="H11576" s="7">
        <v>2452</v>
      </c>
      <c r="I11576" s="7">
        <v>25</v>
      </c>
      <c r="J11576" s="7">
        <v>171</v>
      </c>
      <c r="K11576" s="7" t="s">
        <v>18</v>
      </c>
      <c r="L11576" s="8">
        <v>39987.315405092595</v>
      </c>
      <c r="M11576" s="9" t="s">
        <v>19</v>
      </c>
      <c r="N11576" s="9" t="s">
        <v>20</v>
      </c>
      <c r="O11576" s="6" t="str">
        <f>HYPERLINK("https://pbs.twimg.com/profile_images/962471262747529216/Uo8lOkRJ_normal.jpg","View")</f>
        <v>View</v>
      </c>
      <c r="P11576" s="7"/>
    </row>
    <row r="11577" spans="1:16">
      <c r="A11577" s="3">
        <v>44140.764687499999</v>
      </c>
      <c r="B11577" s="4" t="str">
        <f>HYPERLINK("https://twitter.com/petrogustavo","@petrogustavo")</f>
        <v>@petrogustavo</v>
      </c>
      <c r="C11577" s="5" t="s">
        <v>16</v>
      </c>
      <c r="D11577" s="5" t="s">
        <v>11144</v>
      </c>
      <c r="E11577" s="6" t="str">
        <f>HYPERLINK("https://twitter.com/petrogustavo/status/1324333431464120321","1324333431464120321")</f>
        <v>1324333431464120321</v>
      </c>
      <c r="F11577" s="7" t="s">
        <v>17</v>
      </c>
      <c r="G11577" s="7">
        <v>4001080</v>
      </c>
      <c r="H11577" s="7">
        <v>2452</v>
      </c>
      <c r="I11577" s="7">
        <v>40</v>
      </c>
      <c r="J11577" s="7">
        <v>249</v>
      </c>
      <c r="K11577" s="7" t="s">
        <v>18</v>
      </c>
      <c r="L11577" s="8">
        <v>39987.315405092595</v>
      </c>
      <c r="M11577" s="9" t="s">
        <v>19</v>
      </c>
      <c r="N11577" s="9" t="s">
        <v>20</v>
      </c>
      <c r="O11577" s="6" t="str">
        <f>HYPERLINK("https://pbs.twimg.com/profile_images/962471262747529216/Uo8lOkRJ_normal.jpg","View")</f>
        <v>View</v>
      </c>
      <c r="P11577" s="7"/>
    </row>
    <row r="11578" spans="1:16">
      <c r="A11578" s="3">
        <v>44140.7658912037</v>
      </c>
      <c r="B11578" s="4" t="str">
        <f>HYPERLINK("https://twitter.com/petrogustavo","@petrogustavo")</f>
        <v>@petrogustavo</v>
      </c>
      <c r="C11578" s="5" t="s">
        <v>16</v>
      </c>
      <c r="D11578" s="5" t="s">
        <v>11145</v>
      </c>
      <c r="E11578" s="6" t="str">
        <f>HYPERLINK("https://twitter.com/petrogustavo/status/1324333865146732550","1324333865146732550")</f>
        <v>1324333865146732550</v>
      </c>
      <c r="F11578" s="7" t="s">
        <v>17</v>
      </c>
      <c r="G11578" s="7">
        <v>4001080</v>
      </c>
      <c r="H11578" s="7">
        <v>2452</v>
      </c>
      <c r="I11578" s="7">
        <v>55</v>
      </c>
      <c r="J11578" s="7">
        <v>304</v>
      </c>
      <c r="K11578" s="7" t="s">
        <v>18</v>
      </c>
      <c r="L11578" s="8">
        <v>39987.315405092595</v>
      </c>
      <c r="M11578" s="9" t="s">
        <v>19</v>
      </c>
      <c r="N11578" s="9" t="s">
        <v>20</v>
      </c>
      <c r="O11578" s="6" t="str">
        <f>HYPERLINK("https://pbs.twimg.com/profile_images/962471262747529216/Uo8lOkRJ_normal.jpg","View")</f>
        <v>View</v>
      </c>
      <c r="P11578" s="7"/>
    </row>
    <row r="11579" spans="1:16">
      <c r="A11579" s="3">
        <v>44140.770162037035</v>
      </c>
      <c r="B11579" s="4" t="str">
        <f>HYPERLINK("https://twitter.com/petrogustavo","@petrogustavo")</f>
        <v>@petrogustavo</v>
      </c>
      <c r="C11579" s="5" t="s">
        <v>16</v>
      </c>
      <c r="D11579" s="5" t="s">
        <v>11146</v>
      </c>
      <c r="E11579" s="6" t="str">
        <f>HYPERLINK("https://twitter.com/petrogustavo/status/1324335413721518080","1324335413721518080")</f>
        <v>1324335413721518080</v>
      </c>
      <c r="F11579" s="7" t="s">
        <v>17</v>
      </c>
      <c r="G11579" s="7">
        <v>4001080</v>
      </c>
      <c r="H11579" s="7">
        <v>2452</v>
      </c>
      <c r="I11579" s="7">
        <v>123</v>
      </c>
      <c r="J11579" s="7">
        <v>526</v>
      </c>
      <c r="K11579" s="7" t="s">
        <v>18</v>
      </c>
      <c r="L11579" s="8">
        <v>39987.315405092595</v>
      </c>
      <c r="M11579" s="9" t="s">
        <v>19</v>
      </c>
      <c r="N11579" s="9" t="s">
        <v>20</v>
      </c>
      <c r="O11579" s="6" t="str">
        <f>HYPERLINK("https://pbs.twimg.com/profile_images/962471262747529216/Uo8lOkRJ_normal.jpg","View")</f>
        <v>View</v>
      </c>
      <c r="P11579" s="7"/>
    </row>
    <row r="11580" spans="1:16">
      <c r="A11580" s="3">
        <v>44140.770486111112</v>
      </c>
      <c r="B11580" s="4" t="str">
        <f>HYPERLINK("https://twitter.com/petrogustavo","@petrogustavo")</f>
        <v>@petrogustavo</v>
      </c>
      <c r="C11580" s="5" t="s">
        <v>16</v>
      </c>
      <c r="D11580" s="5" t="s">
        <v>11147</v>
      </c>
      <c r="E11580" s="6" t="str">
        <f>HYPERLINK("https://twitter.com/petrogustavo/status/1324335530679672833","1324335530679672833")</f>
        <v>1324335530679672833</v>
      </c>
      <c r="F11580" s="7" t="s">
        <v>17</v>
      </c>
      <c r="G11580" s="7">
        <v>4001080</v>
      </c>
      <c r="H11580" s="7">
        <v>2452</v>
      </c>
      <c r="I11580" s="7">
        <v>134</v>
      </c>
      <c r="J11580" s="7">
        <v>0</v>
      </c>
      <c r="K11580" s="7" t="s">
        <v>18</v>
      </c>
      <c r="L11580" s="8">
        <v>39987.315405092595</v>
      </c>
      <c r="M11580" s="9" t="s">
        <v>19</v>
      </c>
      <c r="N11580" s="9" t="s">
        <v>20</v>
      </c>
      <c r="O11580" s="6" t="str">
        <f>HYPERLINK("https://pbs.twimg.com/profile_images/962471262747529216/Uo8lOkRJ_normal.jpg","View")</f>
        <v>View</v>
      </c>
      <c r="P11580" s="7"/>
    </row>
    <row r="11581" spans="1:16">
      <c r="A11581" s="3">
        <v>44140.774537037039</v>
      </c>
      <c r="B11581" s="4" t="str">
        <f>HYPERLINK("https://twitter.com/petrogustavo","@petrogustavo")</f>
        <v>@petrogustavo</v>
      </c>
      <c r="C11581" s="5" t="s">
        <v>16</v>
      </c>
      <c r="D11581" s="5" t="s">
        <v>11148</v>
      </c>
      <c r="E11581" s="6" t="str">
        <f>HYPERLINK("https://twitter.com/petrogustavo/status/1324336998711087106","1324336998711087106")</f>
        <v>1324336998711087106</v>
      </c>
      <c r="F11581" s="7" t="s">
        <v>17</v>
      </c>
      <c r="G11581" s="7">
        <v>4001080</v>
      </c>
      <c r="H11581" s="7">
        <v>2452</v>
      </c>
      <c r="I11581" s="7">
        <v>28</v>
      </c>
      <c r="J11581" s="7">
        <v>141</v>
      </c>
      <c r="K11581" s="7" t="s">
        <v>18</v>
      </c>
      <c r="L11581" s="8">
        <v>39987.315405092595</v>
      </c>
      <c r="M11581" s="9" t="s">
        <v>19</v>
      </c>
      <c r="N11581" s="9" t="s">
        <v>20</v>
      </c>
      <c r="O11581" s="6" t="str">
        <f>HYPERLINK("https://pbs.twimg.com/profile_images/962471262747529216/Uo8lOkRJ_normal.jpg","View")</f>
        <v>View</v>
      </c>
      <c r="P11581" s="7"/>
    </row>
    <row r="11582" spans="1:16">
      <c r="A11582" s="3">
        <v>44140.793657407412</v>
      </c>
      <c r="B11582" s="4" t="str">
        <f>HYPERLINK("https://twitter.com/petrogustavo","@petrogustavo")</f>
        <v>@petrogustavo</v>
      </c>
      <c r="C11582" s="5" t="s">
        <v>16</v>
      </c>
      <c r="D11582" s="5" t="s">
        <v>11149</v>
      </c>
      <c r="E11582" s="6" t="str">
        <f>HYPERLINK("https://twitter.com/petrogustavo/status/1324343928842342400","1324343928842342400")</f>
        <v>1324343928842342400</v>
      </c>
      <c r="F11582" s="7" t="s">
        <v>17</v>
      </c>
      <c r="G11582" s="7">
        <v>4001097</v>
      </c>
      <c r="H11582" s="7">
        <v>2452</v>
      </c>
      <c r="I11582" s="7">
        <v>1185</v>
      </c>
      <c r="J11582" s="7">
        <v>0</v>
      </c>
      <c r="K11582" s="7" t="s">
        <v>18</v>
      </c>
      <c r="L11582" s="8">
        <v>39987.315405092595</v>
      </c>
      <c r="M11582" s="9" t="s">
        <v>19</v>
      </c>
      <c r="N11582" s="9" t="s">
        <v>20</v>
      </c>
      <c r="O11582" s="6" t="str">
        <f>HYPERLINK("https://pbs.twimg.com/profile_images/962471262747529216/Uo8lOkRJ_normal.jpg","View")</f>
        <v>View</v>
      </c>
      <c r="P11582" s="7"/>
    </row>
    <row r="11583" spans="1:16">
      <c r="A11583" s="3">
        <v>44140.895127314812</v>
      </c>
      <c r="B11583" s="4" t="str">
        <f>HYPERLINK("https://twitter.com/petrogustavo","@petrogustavo")</f>
        <v>@petrogustavo</v>
      </c>
      <c r="C11583" s="5" t="s">
        <v>16</v>
      </c>
      <c r="D11583" s="5" t="s">
        <v>11150</v>
      </c>
      <c r="E11583" s="6" t="str">
        <f>HYPERLINK("https://twitter.com/petrogustavo/status/1324380700049551361","1324380700049551361")</f>
        <v>1324380700049551361</v>
      </c>
      <c r="F11583" s="7" t="s">
        <v>17</v>
      </c>
      <c r="G11583" s="7">
        <v>4001164</v>
      </c>
      <c r="H11583" s="7">
        <v>2453</v>
      </c>
      <c r="I11583" s="7">
        <v>128</v>
      </c>
      <c r="J11583" s="7">
        <v>433</v>
      </c>
      <c r="K11583" s="7" t="s">
        <v>18</v>
      </c>
      <c r="L11583" s="8">
        <v>39987.315405092595</v>
      </c>
      <c r="M11583" s="9" t="s">
        <v>19</v>
      </c>
      <c r="N11583" s="9" t="s">
        <v>20</v>
      </c>
      <c r="O11583" s="6" t="str">
        <f>HYPERLINK("https://pbs.twimg.com/profile_images/962471262747529216/Uo8lOkRJ_normal.jpg","View")</f>
        <v>View</v>
      </c>
      <c r="P11583" s="7"/>
    </row>
    <row r="11584" spans="1:16">
      <c r="A11584" s="3">
        <v>44140.89770833333</v>
      </c>
      <c r="B11584" s="4" t="str">
        <f>HYPERLINK("https://twitter.com/petrogustavo","@petrogustavo")</f>
        <v>@petrogustavo</v>
      </c>
      <c r="C11584" s="5" t="s">
        <v>16</v>
      </c>
      <c r="D11584" s="5" t="s">
        <v>11151</v>
      </c>
      <c r="E11584" s="6" t="str">
        <f>HYPERLINK("https://twitter.com/petrogustavo/status/1324381634993524738","1324381634993524738")</f>
        <v>1324381634993524738</v>
      </c>
      <c r="F11584" s="7" t="s">
        <v>17</v>
      </c>
      <c r="G11584" s="7">
        <v>4001164</v>
      </c>
      <c r="H11584" s="7">
        <v>2453</v>
      </c>
      <c r="I11584" s="7">
        <v>30</v>
      </c>
      <c r="J11584" s="7">
        <v>0</v>
      </c>
      <c r="K11584" s="7" t="s">
        <v>18</v>
      </c>
      <c r="L11584" s="8">
        <v>39987.315405092595</v>
      </c>
      <c r="M11584" s="9" t="s">
        <v>19</v>
      </c>
      <c r="N11584" s="9" t="s">
        <v>20</v>
      </c>
      <c r="O11584" s="6" t="str">
        <f>HYPERLINK("https://pbs.twimg.com/profile_images/962471262747529216/Uo8lOkRJ_normal.jpg","View")</f>
        <v>View</v>
      </c>
      <c r="P11584" s="7"/>
    </row>
    <row r="11585" spans="1:16">
      <c r="A11585" s="3">
        <v>44140.901458333334</v>
      </c>
      <c r="B11585" s="4" t="str">
        <f>HYPERLINK("https://twitter.com/petrogustavo","@petrogustavo")</f>
        <v>@petrogustavo</v>
      </c>
      <c r="C11585" s="5" t="s">
        <v>16</v>
      </c>
      <c r="D11585" s="5" t="s">
        <v>11152</v>
      </c>
      <c r="E11585" s="6" t="str">
        <f>HYPERLINK("https://twitter.com/petrogustavo/status/1324382996695293954","1324382996695293954")</f>
        <v>1324382996695293954</v>
      </c>
      <c r="F11585" s="7" t="s">
        <v>17</v>
      </c>
      <c r="G11585" s="7">
        <v>4001164</v>
      </c>
      <c r="H11585" s="7">
        <v>2453</v>
      </c>
      <c r="I11585" s="7">
        <v>73</v>
      </c>
      <c r="J11585" s="7">
        <v>251</v>
      </c>
      <c r="K11585" s="7" t="s">
        <v>18</v>
      </c>
      <c r="L11585" s="8">
        <v>39987.315405092595</v>
      </c>
      <c r="M11585" s="9" t="s">
        <v>19</v>
      </c>
      <c r="N11585" s="9" t="s">
        <v>20</v>
      </c>
      <c r="O11585" s="6" t="str">
        <f>HYPERLINK("https://pbs.twimg.com/profile_images/962471262747529216/Uo8lOkRJ_normal.jpg","View")</f>
        <v>View</v>
      </c>
      <c r="P11585" s="7"/>
    </row>
    <row r="11586" spans="1:16">
      <c r="A11586" s="3">
        <v>44140.917118055557</v>
      </c>
      <c r="B11586" s="4" t="str">
        <f>HYPERLINK("https://twitter.com/petrogustavo","@petrogustavo")</f>
        <v>@petrogustavo</v>
      </c>
      <c r="C11586" s="5" t="s">
        <v>16</v>
      </c>
      <c r="D11586" s="5" t="s">
        <v>11153</v>
      </c>
      <c r="E11586" s="6" t="str">
        <f>HYPERLINK("https://twitter.com/petrogustavo/status/1324388667918602242","1324388667918602242")</f>
        <v>1324388667918602242</v>
      </c>
      <c r="F11586" s="7" t="s">
        <v>17</v>
      </c>
      <c r="G11586" s="7">
        <v>4001173</v>
      </c>
      <c r="H11586" s="7">
        <v>2453</v>
      </c>
      <c r="I11586" s="7">
        <v>18282</v>
      </c>
      <c r="J11586" s="7">
        <v>0</v>
      </c>
      <c r="K11586" s="7" t="s">
        <v>18</v>
      </c>
      <c r="L11586" s="8">
        <v>39987.315405092595</v>
      </c>
      <c r="M11586" s="9" t="s">
        <v>19</v>
      </c>
      <c r="N11586" s="9" t="s">
        <v>20</v>
      </c>
      <c r="O11586" s="6" t="str">
        <f>HYPERLINK("https://pbs.twimg.com/profile_images/962471262747529216/Uo8lOkRJ_normal.jpg","View")</f>
        <v>View</v>
      </c>
      <c r="P11586" s="7"/>
    </row>
    <row r="11587" spans="1:16">
      <c r="A11587" s="3">
        <v>44140.917858796296</v>
      </c>
      <c r="B11587" s="4" t="str">
        <f>HYPERLINK("https://twitter.com/petrogustavo","@petrogustavo")</f>
        <v>@petrogustavo</v>
      </c>
      <c r="C11587" s="5" t="s">
        <v>16</v>
      </c>
      <c r="D11587" s="5" t="s">
        <v>11154</v>
      </c>
      <c r="E11587" s="6" t="str">
        <f>HYPERLINK("https://twitter.com/petrogustavo/status/1324388940368007168","1324388940368007168")</f>
        <v>1324388940368007168</v>
      </c>
      <c r="F11587" s="7" t="s">
        <v>17</v>
      </c>
      <c r="G11587" s="7">
        <v>4001173</v>
      </c>
      <c r="H11587" s="7">
        <v>2453</v>
      </c>
      <c r="I11587" s="7">
        <v>200</v>
      </c>
      <c r="J11587" s="7">
        <v>0</v>
      </c>
      <c r="K11587" s="7" t="s">
        <v>18</v>
      </c>
      <c r="L11587" s="8">
        <v>39987.315405092595</v>
      </c>
      <c r="M11587" s="9" t="s">
        <v>19</v>
      </c>
      <c r="N11587" s="9" t="s">
        <v>20</v>
      </c>
      <c r="O11587" s="6" t="str">
        <f>HYPERLINK("https://pbs.twimg.com/profile_images/962471262747529216/Uo8lOkRJ_normal.jpg","View")</f>
        <v>View</v>
      </c>
      <c r="P11587" s="7"/>
    </row>
    <row r="11588" spans="1:16">
      <c r="A11588" s="3">
        <v>44140.924074074079</v>
      </c>
      <c r="B11588" s="4" t="str">
        <f>HYPERLINK("https://twitter.com/petrogustavo","@petrogustavo")</f>
        <v>@petrogustavo</v>
      </c>
      <c r="C11588" s="5" t="s">
        <v>16</v>
      </c>
      <c r="D11588" s="5" t="s">
        <v>11155</v>
      </c>
      <c r="E11588" s="6" t="str">
        <f>HYPERLINK("https://twitter.com/petrogustavo/status/1324391191576793089","1324391191576793089")</f>
        <v>1324391191576793089</v>
      </c>
      <c r="F11588" s="7" t="s">
        <v>17</v>
      </c>
      <c r="G11588" s="7">
        <v>4001173</v>
      </c>
      <c r="H11588" s="7">
        <v>2453</v>
      </c>
      <c r="I11588" s="7">
        <v>30</v>
      </c>
      <c r="J11588" s="7">
        <v>126</v>
      </c>
      <c r="K11588" s="7" t="s">
        <v>18</v>
      </c>
      <c r="L11588" s="8">
        <v>39987.315405092595</v>
      </c>
      <c r="M11588" s="9" t="s">
        <v>19</v>
      </c>
      <c r="N11588" s="9" t="s">
        <v>20</v>
      </c>
      <c r="O11588" s="6" t="str">
        <f>HYPERLINK("https://pbs.twimg.com/profile_images/962471262747529216/Uo8lOkRJ_normal.jpg","View")</f>
        <v>View</v>
      </c>
      <c r="P11588" s="7"/>
    </row>
    <row r="11589" spans="1:16">
      <c r="A11589" s="3">
        <v>44140.93173611111</v>
      </c>
      <c r="B11589" s="4" t="str">
        <f>HYPERLINK("https://twitter.com/petrogustavo","@petrogustavo")</f>
        <v>@petrogustavo</v>
      </c>
      <c r="C11589" s="5" t="s">
        <v>16</v>
      </c>
      <c r="D11589" s="5" t="s">
        <v>11156</v>
      </c>
      <c r="E11589" s="6" t="str">
        <f>HYPERLINK("https://twitter.com/petrogustavo/status/1324393968432500738","1324393968432500738")</f>
        <v>1324393968432500738</v>
      </c>
      <c r="F11589" s="7" t="s">
        <v>17</v>
      </c>
      <c r="G11589" s="7">
        <v>4001183</v>
      </c>
      <c r="H11589" s="7">
        <v>2453</v>
      </c>
      <c r="I11589" s="7">
        <v>141</v>
      </c>
      <c r="J11589" s="7">
        <v>719</v>
      </c>
      <c r="K11589" s="7" t="s">
        <v>18</v>
      </c>
      <c r="L11589" s="8">
        <v>39987.315405092595</v>
      </c>
      <c r="M11589" s="9" t="s">
        <v>19</v>
      </c>
      <c r="N11589" s="9" t="s">
        <v>20</v>
      </c>
      <c r="O11589" s="6" t="str">
        <f>HYPERLINK("https://pbs.twimg.com/profile_images/962471262747529216/Uo8lOkRJ_normal.jpg","View")</f>
        <v>View</v>
      </c>
      <c r="P11589" s="7"/>
    </row>
    <row r="11590" spans="1:16">
      <c r="A11590" s="3">
        <v>44140.932256944448</v>
      </c>
      <c r="B11590" s="4" t="str">
        <f>HYPERLINK("https://twitter.com/petrogustavo","@petrogustavo")</f>
        <v>@petrogustavo</v>
      </c>
      <c r="C11590" s="5" t="s">
        <v>16</v>
      </c>
      <c r="D11590" s="5" t="s">
        <v>11157</v>
      </c>
      <c r="E11590" s="6" t="str">
        <f>HYPERLINK("https://twitter.com/petrogustavo/status/1324394157264261121","1324394157264261121")</f>
        <v>1324394157264261121</v>
      </c>
      <c r="F11590" s="7" t="s">
        <v>17</v>
      </c>
      <c r="G11590" s="7">
        <v>4001183</v>
      </c>
      <c r="H11590" s="7">
        <v>2453</v>
      </c>
      <c r="I11590" s="7">
        <v>130</v>
      </c>
      <c r="J11590" s="7">
        <v>428</v>
      </c>
      <c r="K11590" s="7" t="s">
        <v>18</v>
      </c>
      <c r="L11590" s="8">
        <v>39987.315405092595</v>
      </c>
      <c r="M11590" s="9" t="s">
        <v>19</v>
      </c>
      <c r="N11590" s="9" t="s">
        <v>20</v>
      </c>
      <c r="O11590" s="6" t="str">
        <f>HYPERLINK("https://pbs.twimg.com/profile_images/962471262747529216/Uo8lOkRJ_normal.jpg","View")</f>
        <v>View</v>
      </c>
      <c r="P11590" s="7"/>
    </row>
    <row r="11591" spans="1:16">
      <c r="A11591" s="3">
        <v>44140.934537037036</v>
      </c>
      <c r="B11591" s="4" t="str">
        <f>HYPERLINK("https://twitter.com/petrogustavo","@petrogustavo")</f>
        <v>@petrogustavo</v>
      </c>
      <c r="C11591" s="5" t="s">
        <v>16</v>
      </c>
      <c r="D11591" s="5" t="s">
        <v>11158</v>
      </c>
      <c r="E11591" s="6" t="str">
        <f>HYPERLINK("https://twitter.com/petrogustavo/status/1324394983315615744","1324394983315615744")</f>
        <v>1324394983315615744</v>
      </c>
      <c r="F11591" s="7" t="s">
        <v>17</v>
      </c>
      <c r="G11591" s="7">
        <v>4001183</v>
      </c>
      <c r="H11591" s="7">
        <v>2453</v>
      </c>
      <c r="I11591" s="7">
        <v>3318</v>
      </c>
      <c r="J11591" s="7">
        <v>0</v>
      </c>
      <c r="K11591" s="7" t="s">
        <v>18</v>
      </c>
      <c r="L11591" s="8">
        <v>39987.315405092595</v>
      </c>
      <c r="M11591" s="9" t="s">
        <v>19</v>
      </c>
      <c r="N11591" s="9" t="s">
        <v>20</v>
      </c>
      <c r="O11591" s="6" t="str">
        <f>HYPERLINK("https://pbs.twimg.com/profile_images/962471262747529216/Uo8lOkRJ_normal.jpg","View")</f>
        <v>View</v>
      </c>
      <c r="P11591" s="7"/>
    </row>
    <row r="11592" spans="1:16">
      <c r="A11592" s="3">
        <v>44140.942754629628</v>
      </c>
      <c r="B11592" s="4" t="str">
        <f>HYPERLINK("https://twitter.com/petrogustavo","@petrogustavo")</f>
        <v>@petrogustavo</v>
      </c>
      <c r="C11592" s="5" t="s">
        <v>16</v>
      </c>
      <c r="D11592" s="5" t="s">
        <v>11159</v>
      </c>
      <c r="E11592" s="6" t="str">
        <f>HYPERLINK("https://twitter.com/petrogustavo/status/1324397959438544898","1324397959438544898")</f>
        <v>1324397959438544898</v>
      </c>
      <c r="F11592" s="7" t="s">
        <v>17</v>
      </c>
      <c r="G11592" s="7">
        <v>4001183</v>
      </c>
      <c r="H11592" s="7">
        <v>2453</v>
      </c>
      <c r="I11592" s="7">
        <v>138</v>
      </c>
      <c r="J11592" s="7">
        <v>578</v>
      </c>
      <c r="K11592" s="7" t="s">
        <v>18</v>
      </c>
      <c r="L11592" s="8">
        <v>39987.315405092595</v>
      </c>
      <c r="M11592" s="9" t="s">
        <v>19</v>
      </c>
      <c r="N11592" s="9" t="s">
        <v>20</v>
      </c>
      <c r="O11592" s="6" t="str">
        <f>HYPERLINK("https://pbs.twimg.com/profile_images/962471262747529216/Uo8lOkRJ_normal.jpg","View")</f>
        <v>View</v>
      </c>
      <c r="P11592" s="7"/>
    </row>
    <row r="11593" spans="1:16">
      <c r="A11593" s="3">
        <v>44140.968182870369</v>
      </c>
      <c r="B11593" s="4" t="str">
        <f>HYPERLINK("https://twitter.com/petrogustavo","@petrogustavo")</f>
        <v>@petrogustavo</v>
      </c>
      <c r="C11593" s="5" t="s">
        <v>16</v>
      </c>
      <c r="D11593" s="5" t="s">
        <v>11160</v>
      </c>
      <c r="E11593" s="6" t="str">
        <f>HYPERLINK("https://twitter.com/petrogustavo/status/1324407176862072837","1324407176862072837")</f>
        <v>1324407176862072837</v>
      </c>
      <c r="F11593" s="7" t="s">
        <v>17</v>
      </c>
      <c r="G11593" s="7">
        <v>4001195</v>
      </c>
      <c r="H11593" s="7">
        <v>2453</v>
      </c>
      <c r="I11593" s="7">
        <v>76</v>
      </c>
      <c r="J11593" s="7">
        <v>199</v>
      </c>
      <c r="K11593" s="7" t="s">
        <v>18</v>
      </c>
      <c r="L11593" s="8">
        <v>39987.315405092595</v>
      </c>
      <c r="M11593" s="9" t="s">
        <v>19</v>
      </c>
      <c r="N11593" s="9" t="s">
        <v>20</v>
      </c>
      <c r="O11593" s="6" t="str">
        <f>HYPERLINK("https://pbs.twimg.com/profile_images/962471262747529216/Uo8lOkRJ_normal.jpg","View")</f>
        <v>View</v>
      </c>
      <c r="P11593" s="7"/>
    </row>
    <row r="11594" spans="1:16">
      <c r="A11594" s="3">
        <v>44140.977326388893</v>
      </c>
      <c r="B11594" s="4" t="str">
        <f>HYPERLINK("https://twitter.com/petrogustavo","@petrogustavo")</f>
        <v>@petrogustavo</v>
      </c>
      <c r="C11594" s="5" t="s">
        <v>16</v>
      </c>
      <c r="D11594" s="5" t="s">
        <v>11161</v>
      </c>
      <c r="E11594" s="6" t="str">
        <f>HYPERLINK("https://twitter.com/petrogustavo/status/1324410488814473216","1324410488814473216")</f>
        <v>1324410488814473216</v>
      </c>
      <c r="F11594" s="7" t="s">
        <v>17</v>
      </c>
      <c r="G11594" s="7">
        <v>4001194</v>
      </c>
      <c r="H11594" s="7">
        <v>2453</v>
      </c>
      <c r="I11594" s="7">
        <v>288</v>
      </c>
      <c r="J11594" s="7">
        <v>1219</v>
      </c>
      <c r="K11594" s="7" t="s">
        <v>18</v>
      </c>
      <c r="L11594" s="8">
        <v>39987.315405092595</v>
      </c>
      <c r="M11594" s="9" t="s">
        <v>19</v>
      </c>
      <c r="N11594" s="9" t="s">
        <v>20</v>
      </c>
      <c r="O11594" s="6" t="str">
        <f>HYPERLINK("https://pbs.twimg.com/profile_images/962471262747529216/Uo8lOkRJ_normal.jpg","View")</f>
        <v>View</v>
      </c>
      <c r="P11594" s="7"/>
    </row>
    <row r="11595" spans="1:16">
      <c r="A11595" s="3">
        <v>44140.978460648148</v>
      </c>
      <c r="B11595" s="4" t="str">
        <f>HYPERLINK("https://twitter.com/petrogustavo","@petrogustavo")</f>
        <v>@petrogustavo</v>
      </c>
      <c r="C11595" s="5" t="s">
        <v>16</v>
      </c>
      <c r="D11595" s="5" t="s">
        <v>11162</v>
      </c>
      <c r="E11595" s="6" t="str">
        <f>HYPERLINK("https://twitter.com/petrogustavo/status/1324410901093588993","1324410901093588993")</f>
        <v>1324410901093588993</v>
      </c>
      <c r="F11595" s="7" t="s">
        <v>17</v>
      </c>
      <c r="G11595" s="7">
        <v>4001194</v>
      </c>
      <c r="H11595" s="7">
        <v>2453</v>
      </c>
      <c r="I11595" s="7">
        <v>147</v>
      </c>
      <c r="J11595" s="7">
        <v>0</v>
      </c>
      <c r="K11595" s="7" t="s">
        <v>18</v>
      </c>
      <c r="L11595" s="8">
        <v>39987.315405092595</v>
      </c>
      <c r="M11595" s="9" t="s">
        <v>19</v>
      </c>
      <c r="N11595" s="9" t="s">
        <v>20</v>
      </c>
      <c r="O11595" s="6" t="str">
        <f>HYPERLINK("https://pbs.twimg.com/profile_images/962471262747529216/Uo8lOkRJ_normal.jpg","View")</f>
        <v>View</v>
      </c>
      <c r="P11595" s="7"/>
    </row>
    <row r="11596" spans="1:16">
      <c r="A11596" s="3">
        <v>44140.987164351856</v>
      </c>
      <c r="B11596" s="4" t="str">
        <f>HYPERLINK("https://twitter.com/petrogustavo","@petrogustavo")</f>
        <v>@petrogustavo</v>
      </c>
      <c r="C11596" s="5" t="s">
        <v>16</v>
      </c>
      <c r="D11596" s="5" t="s">
        <v>11163</v>
      </c>
      <c r="E11596" s="6" t="str">
        <f>HYPERLINK("https://twitter.com/petrogustavo/status/1324414053528326146","1324414053528326146")</f>
        <v>1324414053528326146</v>
      </c>
      <c r="F11596" s="7" t="s">
        <v>17</v>
      </c>
      <c r="G11596" s="7">
        <v>4001194</v>
      </c>
      <c r="H11596" s="7">
        <v>2453</v>
      </c>
      <c r="I11596" s="7">
        <v>70</v>
      </c>
      <c r="J11596" s="7">
        <v>169</v>
      </c>
      <c r="K11596" s="7" t="s">
        <v>18</v>
      </c>
      <c r="L11596" s="8">
        <v>39987.315405092595</v>
      </c>
      <c r="M11596" s="9" t="s">
        <v>19</v>
      </c>
      <c r="N11596" s="9" t="s">
        <v>20</v>
      </c>
      <c r="O11596" s="6" t="str">
        <f>HYPERLINK("https://pbs.twimg.com/profile_images/962471262747529216/Uo8lOkRJ_normal.jpg","View")</f>
        <v>View</v>
      </c>
      <c r="P11596" s="7"/>
    </row>
    <row r="11597" spans="1:16">
      <c r="A11597" s="3">
        <v>44141.000694444447</v>
      </c>
      <c r="B11597" s="4" t="str">
        <f>HYPERLINK("https://twitter.com/petrogustavo","@petrogustavo")</f>
        <v>@petrogustavo</v>
      </c>
      <c r="C11597" s="5" t="s">
        <v>16</v>
      </c>
      <c r="D11597" s="5" t="s">
        <v>11164</v>
      </c>
      <c r="E11597" s="6" t="str">
        <f>HYPERLINK("https://twitter.com/petrogustavo/status/1324418957311430657","1324418957311430657")</f>
        <v>1324418957311430657</v>
      </c>
      <c r="F11597" s="7" t="s">
        <v>17</v>
      </c>
      <c r="G11597" s="7">
        <v>4001214</v>
      </c>
      <c r="H11597" s="7">
        <v>2453</v>
      </c>
      <c r="I11597" s="7">
        <v>12</v>
      </c>
      <c r="J11597" s="7">
        <v>0</v>
      </c>
      <c r="K11597" s="7" t="s">
        <v>18</v>
      </c>
      <c r="L11597" s="8">
        <v>39987.315405092595</v>
      </c>
      <c r="M11597" s="9" t="s">
        <v>19</v>
      </c>
      <c r="N11597" s="9" t="s">
        <v>20</v>
      </c>
      <c r="O11597" s="6" t="str">
        <f>HYPERLINK("https://pbs.twimg.com/profile_images/962471262747529216/Uo8lOkRJ_normal.jpg","View")</f>
        <v>View</v>
      </c>
      <c r="P11597" s="7"/>
    </row>
    <row r="11598" spans="1:16">
      <c r="A11598" s="3">
        <v>44141.005011574074</v>
      </c>
      <c r="B11598" s="4" t="str">
        <f>HYPERLINK("https://twitter.com/petrogustavo","@petrogustavo")</f>
        <v>@petrogustavo</v>
      </c>
      <c r="C11598" s="5" t="s">
        <v>16</v>
      </c>
      <c r="D11598" s="5" t="s">
        <v>11165</v>
      </c>
      <c r="E11598" s="6" t="str">
        <f>HYPERLINK("https://twitter.com/petrogustavo/status/1324420520247500801","1324420520247500801")</f>
        <v>1324420520247500801</v>
      </c>
      <c r="F11598" s="7" t="s">
        <v>17</v>
      </c>
      <c r="G11598" s="7">
        <v>4001214</v>
      </c>
      <c r="H11598" s="7">
        <v>2453</v>
      </c>
      <c r="I11598" s="7">
        <v>34</v>
      </c>
      <c r="J11598" s="7">
        <v>97</v>
      </c>
      <c r="K11598" s="7" t="s">
        <v>18</v>
      </c>
      <c r="L11598" s="8">
        <v>39987.315405092595</v>
      </c>
      <c r="M11598" s="9" t="s">
        <v>19</v>
      </c>
      <c r="N11598" s="9" t="s">
        <v>20</v>
      </c>
      <c r="O11598" s="6" t="str">
        <f>HYPERLINK("https://pbs.twimg.com/profile_images/962471262747529216/Uo8lOkRJ_normal.jpg","View")</f>
        <v>View</v>
      </c>
      <c r="P11598" s="7"/>
    </row>
    <row r="11599" spans="1:16">
      <c r="A11599" s="3">
        <v>44141.006342592591</v>
      </c>
      <c r="B11599" s="4" t="str">
        <f>HYPERLINK("https://twitter.com/petrogustavo","@petrogustavo")</f>
        <v>@petrogustavo</v>
      </c>
      <c r="C11599" s="5" t="s">
        <v>16</v>
      </c>
      <c r="D11599" s="5" t="s">
        <v>11166</v>
      </c>
      <c r="E11599" s="6" t="str">
        <f>HYPERLINK("https://twitter.com/petrogustavo/status/1324421005792739330","1324421005792739330")</f>
        <v>1324421005792739330</v>
      </c>
      <c r="F11599" s="7" t="s">
        <v>17</v>
      </c>
      <c r="G11599" s="7">
        <v>4001214</v>
      </c>
      <c r="H11599" s="7">
        <v>2453</v>
      </c>
      <c r="I11599" s="7">
        <v>42</v>
      </c>
      <c r="J11599" s="7">
        <v>0</v>
      </c>
      <c r="K11599" s="7" t="s">
        <v>18</v>
      </c>
      <c r="L11599" s="8">
        <v>39987.315405092595</v>
      </c>
      <c r="M11599" s="9" t="s">
        <v>19</v>
      </c>
      <c r="N11599" s="9" t="s">
        <v>20</v>
      </c>
      <c r="O11599" s="6" t="str">
        <f>HYPERLINK("https://pbs.twimg.com/profile_images/962471262747529216/Uo8lOkRJ_normal.jpg","View")</f>
        <v>View</v>
      </c>
      <c r="P11599" s="7"/>
    </row>
    <row r="11600" spans="1:16">
      <c r="A11600" s="3">
        <v>44141.00818287037</v>
      </c>
      <c r="B11600" s="4" t="str">
        <f>HYPERLINK("https://twitter.com/petrogustavo","@petrogustavo")</f>
        <v>@petrogustavo</v>
      </c>
      <c r="C11600" s="5" t="s">
        <v>16</v>
      </c>
      <c r="D11600" s="5" t="s">
        <v>11167</v>
      </c>
      <c r="E11600" s="6" t="str">
        <f>HYPERLINK("https://twitter.com/petrogustavo/status/1324421670917079041","1324421670917079041")</f>
        <v>1324421670917079041</v>
      </c>
      <c r="F11600" s="7" t="s">
        <v>17</v>
      </c>
      <c r="G11600" s="7">
        <v>4001214</v>
      </c>
      <c r="H11600" s="7">
        <v>2453</v>
      </c>
      <c r="I11600" s="7">
        <v>38</v>
      </c>
      <c r="J11600" s="7">
        <v>175</v>
      </c>
      <c r="K11600" s="7" t="s">
        <v>18</v>
      </c>
      <c r="L11600" s="8">
        <v>39987.315405092595</v>
      </c>
      <c r="M11600" s="9" t="s">
        <v>19</v>
      </c>
      <c r="N11600" s="9" t="s">
        <v>20</v>
      </c>
      <c r="O11600" s="6" t="str">
        <f>HYPERLINK("https://pbs.twimg.com/profile_images/962471262747529216/Uo8lOkRJ_normal.jpg","View")</f>
        <v>View</v>
      </c>
      <c r="P11600" s="7"/>
    </row>
    <row r="11601" spans="1:16">
      <c r="A11601" s="3">
        <v>44141.012129629627</v>
      </c>
      <c r="B11601" s="4" t="str">
        <f>HYPERLINK("https://twitter.com/petrogustavo","@petrogustavo")</f>
        <v>@petrogustavo</v>
      </c>
      <c r="C11601" s="5" t="s">
        <v>16</v>
      </c>
      <c r="D11601" s="5" t="s">
        <v>11168</v>
      </c>
      <c r="E11601" s="6" t="str">
        <f>HYPERLINK("https://twitter.com/petrogustavo/status/1324423101191458816","1324423101191458816")</f>
        <v>1324423101191458816</v>
      </c>
      <c r="F11601" s="7" t="s">
        <v>17</v>
      </c>
      <c r="G11601" s="7">
        <v>4001214</v>
      </c>
      <c r="H11601" s="7">
        <v>2453</v>
      </c>
      <c r="I11601" s="7">
        <v>11</v>
      </c>
      <c r="J11601" s="7">
        <v>78</v>
      </c>
      <c r="K11601" s="7" t="s">
        <v>18</v>
      </c>
      <c r="L11601" s="8">
        <v>39987.315405092595</v>
      </c>
      <c r="M11601" s="9" t="s">
        <v>19</v>
      </c>
      <c r="N11601" s="9" t="s">
        <v>20</v>
      </c>
      <c r="O11601" s="6" t="str">
        <f>HYPERLINK("https://pbs.twimg.com/profile_images/962471262747529216/Uo8lOkRJ_normal.jpg","View")</f>
        <v>View</v>
      </c>
      <c r="P11601" s="7"/>
    </row>
    <row r="11602" spans="1:16">
      <c r="A11602" s="3">
        <v>44141.023321759261</v>
      </c>
      <c r="B11602" s="4" t="str">
        <f>HYPERLINK("https://twitter.com/petrogustavo","@petrogustavo")</f>
        <v>@petrogustavo</v>
      </c>
      <c r="C11602" s="5" t="s">
        <v>16</v>
      </c>
      <c r="D11602" s="5" t="s">
        <v>11169</v>
      </c>
      <c r="E11602" s="6" t="str">
        <f>HYPERLINK("https://twitter.com/petrogustavo/status/1324427155875504129","1324427155875504129")</f>
        <v>1324427155875504129</v>
      </c>
      <c r="F11602" s="7" t="s">
        <v>17</v>
      </c>
      <c r="G11602" s="7">
        <v>4001222</v>
      </c>
      <c r="H11602" s="7">
        <v>2453</v>
      </c>
      <c r="I11602" s="7">
        <v>65</v>
      </c>
      <c r="J11602" s="7">
        <v>0</v>
      </c>
      <c r="K11602" s="7" t="s">
        <v>18</v>
      </c>
      <c r="L11602" s="8">
        <v>39987.315405092595</v>
      </c>
      <c r="M11602" s="9" t="s">
        <v>19</v>
      </c>
      <c r="N11602" s="9" t="s">
        <v>20</v>
      </c>
      <c r="O11602" s="6" t="str">
        <f>HYPERLINK("https://pbs.twimg.com/profile_images/962471262747529216/Uo8lOkRJ_normal.jpg","View")</f>
        <v>View</v>
      </c>
      <c r="P11602" s="7"/>
    </row>
    <row r="11603" spans="1:16">
      <c r="A11603" s="3">
        <v>44141.158576388887</v>
      </c>
      <c r="B11603" s="4" t="str">
        <f>HYPERLINK("https://twitter.com/petrogustavo","@petrogustavo")</f>
        <v>@petrogustavo</v>
      </c>
      <c r="C11603" s="5" t="s">
        <v>16</v>
      </c>
      <c r="D11603" s="5" t="s">
        <v>11170</v>
      </c>
      <c r="E11603" s="6" t="str">
        <f>HYPERLINK("https://twitter.com/petrogustavo/status/1324476173158699012","1324476173158699012")</f>
        <v>1324476173158699012</v>
      </c>
      <c r="F11603" s="7" t="s">
        <v>32</v>
      </c>
      <c r="G11603" s="7">
        <v>4001311</v>
      </c>
      <c r="H11603" s="7">
        <v>2453</v>
      </c>
      <c r="I11603" s="7">
        <v>65</v>
      </c>
      <c r="J11603" s="7">
        <v>153</v>
      </c>
      <c r="K11603" s="7" t="s">
        <v>18</v>
      </c>
      <c r="L11603" s="8">
        <v>39987.315405092595</v>
      </c>
      <c r="M11603" s="9" t="s">
        <v>19</v>
      </c>
      <c r="N11603" s="9" t="s">
        <v>20</v>
      </c>
      <c r="O11603" s="6" t="str">
        <f>HYPERLINK("https://pbs.twimg.com/profile_images/962471262747529216/Uo8lOkRJ_normal.jpg","View")</f>
        <v>View</v>
      </c>
      <c r="P11603" s="7"/>
    </row>
    <row r="11604" spans="1:16">
      <c r="A11604" s="3">
        <v>44141.161215277782</v>
      </c>
      <c r="B11604" s="4" t="str">
        <f>HYPERLINK("https://twitter.com/petrogustavo","@petrogustavo")</f>
        <v>@petrogustavo</v>
      </c>
      <c r="C11604" s="5" t="s">
        <v>16</v>
      </c>
      <c r="D11604" s="5" t="s">
        <v>11171</v>
      </c>
      <c r="E11604" s="6" t="str">
        <f>HYPERLINK("https://twitter.com/petrogustavo/status/1324477128038064130","1324477128038064130")</f>
        <v>1324477128038064130</v>
      </c>
      <c r="F11604" s="7" t="s">
        <v>32</v>
      </c>
      <c r="G11604" s="7">
        <v>4001311</v>
      </c>
      <c r="H11604" s="7">
        <v>2453</v>
      </c>
      <c r="I11604" s="7">
        <v>152</v>
      </c>
      <c r="J11604" s="7">
        <v>1190</v>
      </c>
      <c r="K11604" s="7" t="s">
        <v>18</v>
      </c>
      <c r="L11604" s="8">
        <v>39987.315405092595</v>
      </c>
      <c r="M11604" s="9" t="s">
        <v>19</v>
      </c>
      <c r="N11604" s="9" t="s">
        <v>20</v>
      </c>
      <c r="O11604" s="6" t="str">
        <f>HYPERLINK("https://pbs.twimg.com/profile_images/962471262747529216/Uo8lOkRJ_normal.jpg","View")</f>
        <v>View</v>
      </c>
      <c r="P11604" s="7"/>
    </row>
    <row r="11605" spans="1:16">
      <c r="A11605" s="3">
        <v>44141.187175925923</v>
      </c>
      <c r="B11605" s="4" t="str">
        <f>HYPERLINK("https://twitter.com/petrogustavo","@petrogustavo")</f>
        <v>@petrogustavo</v>
      </c>
      <c r="C11605" s="5" t="s">
        <v>16</v>
      </c>
      <c r="D11605" s="5" t="s">
        <v>11172</v>
      </c>
      <c r="E11605" s="6" t="str">
        <f>HYPERLINK("https://twitter.com/petrogustavo/status/1324486533534093312","1324486533534093312")</f>
        <v>1324486533534093312</v>
      </c>
      <c r="F11605" s="7" t="s">
        <v>21</v>
      </c>
      <c r="G11605" s="7">
        <v>4001325</v>
      </c>
      <c r="H11605" s="7">
        <v>2453</v>
      </c>
      <c r="I11605" s="7">
        <v>29</v>
      </c>
      <c r="J11605" s="7">
        <v>90</v>
      </c>
      <c r="K11605" s="7" t="s">
        <v>18</v>
      </c>
      <c r="L11605" s="8">
        <v>39987.315405092595</v>
      </c>
      <c r="M11605" s="9" t="s">
        <v>19</v>
      </c>
      <c r="N11605" s="9" t="s">
        <v>20</v>
      </c>
      <c r="O11605" s="6" t="str">
        <f>HYPERLINK("https://pbs.twimg.com/profile_images/962471262747529216/Uo8lOkRJ_normal.jpg","View")</f>
        <v>View</v>
      </c>
      <c r="P11605" s="7"/>
    </row>
    <row r="11606" spans="1:16">
      <c r="A11606" s="3">
        <v>44141.187337962961</v>
      </c>
      <c r="B11606" s="4" t="str">
        <f>HYPERLINK("https://twitter.com/petrogustavo","@petrogustavo")</f>
        <v>@petrogustavo</v>
      </c>
      <c r="C11606" s="5" t="s">
        <v>16</v>
      </c>
      <c r="D11606" s="5" t="s">
        <v>11173</v>
      </c>
      <c r="E11606" s="6" t="str">
        <f>HYPERLINK("https://twitter.com/petrogustavo/status/1324486594263470087","1324486594263470087")</f>
        <v>1324486594263470087</v>
      </c>
      <c r="F11606" s="7" t="s">
        <v>21</v>
      </c>
      <c r="G11606" s="7">
        <v>4001325</v>
      </c>
      <c r="H11606" s="7">
        <v>2453</v>
      </c>
      <c r="I11606" s="7">
        <v>38</v>
      </c>
      <c r="J11606" s="7">
        <v>87</v>
      </c>
      <c r="K11606" s="7" t="s">
        <v>18</v>
      </c>
      <c r="L11606" s="8">
        <v>39987.315405092595</v>
      </c>
      <c r="M11606" s="9" t="s">
        <v>19</v>
      </c>
      <c r="N11606" s="9" t="s">
        <v>20</v>
      </c>
      <c r="O11606" s="6" t="str">
        <f>HYPERLINK("https://pbs.twimg.com/profile_images/962471262747529216/Uo8lOkRJ_normal.jpg","View")</f>
        <v>View</v>
      </c>
      <c r="P11606" s="7"/>
    </row>
    <row r="11607" spans="1:16">
      <c r="A11607" s="3">
        <v>44141.203217592592</v>
      </c>
      <c r="B11607" s="4" t="str">
        <f>HYPERLINK("https://twitter.com/petrogustavo","@petrogustavo")</f>
        <v>@petrogustavo</v>
      </c>
      <c r="C11607" s="5" t="s">
        <v>16</v>
      </c>
      <c r="D11607" s="5" t="s">
        <v>11174</v>
      </c>
      <c r="E11607" s="6" t="str">
        <f>HYPERLINK("https://twitter.com/petrogustavo/status/1324492350677241858","1324492350677241858")</f>
        <v>1324492350677241858</v>
      </c>
      <c r="F11607" s="7" t="s">
        <v>32</v>
      </c>
      <c r="G11607" s="7">
        <v>4001317</v>
      </c>
      <c r="H11607" s="7">
        <v>2453</v>
      </c>
      <c r="I11607" s="7">
        <v>338</v>
      </c>
      <c r="J11607" s="7">
        <v>1886</v>
      </c>
      <c r="K11607" s="7" t="s">
        <v>18</v>
      </c>
      <c r="L11607" s="8">
        <v>39987.315405092595</v>
      </c>
      <c r="M11607" s="9" t="s">
        <v>19</v>
      </c>
      <c r="N11607" s="9" t="s">
        <v>20</v>
      </c>
      <c r="O11607" s="6" t="str">
        <f>HYPERLINK("https://pbs.twimg.com/profile_images/962471262747529216/Uo8lOkRJ_normal.jpg","View")</f>
        <v>View</v>
      </c>
      <c r="P11607" s="7"/>
    </row>
    <row r="11608" spans="1:16">
      <c r="A11608" s="3">
        <v>44141.248101851852</v>
      </c>
      <c r="B11608" s="4" t="str">
        <f>HYPERLINK("https://twitter.com/petrogustavo","@petrogustavo")</f>
        <v>@petrogustavo</v>
      </c>
      <c r="C11608" s="5" t="s">
        <v>16</v>
      </c>
      <c r="D11608" s="5" t="s">
        <v>11175</v>
      </c>
      <c r="E11608" s="6" t="str">
        <f>HYPERLINK("https://twitter.com/petrogustavo/status/1324508613348626433","1324508613348626433")</f>
        <v>1324508613348626433</v>
      </c>
      <c r="F11608" s="7" t="s">
        <v>17</v>
      </c>
      <c r="G11608" s="7">
        <v>4001344</v>
      </c>
      <c r="H11608" s="7">
        <v>2453</v>
      </c>
      <c r="I11608" s="7">
        <v>110</v>
      </c>
      <c r="J11608" s="7">
        <v>301</v>
      </c>
      <c r="K11608" s="7" t="s">
        <v>18</v>
      </c>
      <c r="L11608" s="8">
        <v>39987.315405092595</v>
      </c>
      <c r="M11608" s="9" t="s">
        <v>19</v>
      </c>
      <c r="N11608" s="9" t="s">
        <v>20</v>
      </c>
      <c r="O11608" s="6" t="str">
        <f>HYPERLINK("https://pbs.twimg.com/profile_images/962471262747529216/Uo8lOkRJ_normal.jpg","View")</f>
        <v>View</v>
      </c>
      <c r="P11608" s="7"/>
    </row>
    <row r="11609" spans="1:16">
      <c r="A11609" s="3">
        <v>44141.258194444439</v>
      </c>
      <c r="B11609" s="4" t="str">
        <f>HYPERLINK("https://twitter.com/petrogustavo","@petrogustavo")</f>
        <v>@petrogustavo</v>
      </c>
      <c r="C11609" s="5" t="s">
        <v>16</v>
      </c>
      <c r="D11609" s="5" t="s">
        <v>11176</v>
      </c>
      <c r="E11609" s="6" t="str">
        <f>HYPERLINK("https://twitter.com/petrogustavo/status/1324512270802702339","1324512270802702339")</f>
        <v>1324512270802702339</v>
      </c>
      <c r="F11609" s="7" t="s">
        <v>17</v>
      </c>
      <c r="G11609" s="7">
        <v>4001344</v>
      </c>
      <c r="H11609" s="7">
        <v>2453</v>
      </c>
      <c r="I11609" s="7">
        <v>248</v>
      </c>
      <c r="J11609" s="7">
        <v>719</v>
      </c>
      <c r="K11609" s="7" t="s">
        <v>18</v>
      </c>
      <c r="L11609" s="8">
        <v>39987.315405092595</v>
      </c>
      <c r="M11609" s="9" t="s">
        <v>19</v>
      </c>
      <c r="N11609" s="9" t="s">
        <v>20</v>
      </c>
      <c r="O11609" s="6" t="str">
        <f>HYPERLINK("https://pbs.twimg.com/profile_images/962471262747529216/Uo8lOkRJ_normal.jpg","View")</f>
        <v>View</v>
      </c>
      <c r="P11609" s="7"/>
    </row>
    <row r="11610" spans="1:16">
      <c r="A11610" s="3">
        <v>44141.346990740742</v>
      </c>
      <c r="B11610" s="4" t="str">
        <f>HYPERLINK("https://twitter.com/petrogustavo","@petrogustavo")</f>
        <v>@petrogustavo</v>
      </c>
      <c r="C11610" s="5" t="s">
        <v>16</v>
      </c>
      <c r="D11610" s="5" t="s">
        <v>11177</v>
      </c>
      <c r="E11610" s="6" t="str">
        <f>HYPERLINK("https://twitter.com/petrogustavo/status/1324544451344257024","1324544451344257024")</f>
        <v>1324544451344257024</v>
      </c>
      <c r="F11610" s="7" t="s">
        <v>17</v>
      </c>
      <c r="G11610" s="7">
        <v>4001397</v>
      </c>
      <c r="H11610" s="7">
        <v>2453</v>
      </c>
      <c r="I11610" s="7">
        <v>196</v>
      </c>
      <c r="J11610" s="7">
        <v>589</v>
      </c>
      <c r="K11610" s="7" t="s">
        <v>18</v>
      </c>
      <c r="L11610" s="8">
        <v>39987.315405092595</v>
      </c>
      <c r="M11610" s="9" t="s">
        <v>19</v>
      </c>
      <c r="N11610" s="9" t="s">
        <v>20</v>
      </c>
      <c r="O11610" s="6" t="str">
        <f>HYPERLINK("https://pbs.twimg.com/profile_images/962471262747529216/Uo8lOkRJ_normal.jpg","View")</f>
        <v>View</v>
      </c>
      <c r="P11610" s="7"/>
    </row>
    <row r="11611" spans="1:16">
      <c r="A11611" s="3">
        <v>44141.354328703703</v>
      </c>
      <c r="B11611" s="4" t="str">
        <f>HYPERLINK("https://twitter.com/petrogustavo","@petrogustavo")</f>
        <v>@petrogustavo</v>
      </c>
      <c r="C11611" s="5" t="s">
        <v>16</v>
      </c>
      <c r="D11611" s="5" t="s">
        <v>11178</v>
      </c>
      <c r="E11611" s="6" t="str">
        <f>HYPERLINK("https://twitter.com/petrogustavo/status/1324547107605413888","1324547107605413888")</f>
        <v>1324547107605413888</v>
      </c>
      <c r="F11611" s="7" t="s">
        <v>17</v>
      </c>
      <c r="G11611" s="7">
        <v>4001397</v>
      </c>
      <c r="H11611" s="7">
        <v>2453</v>
      </c>
      <c r="I11611" s="7">
        <v>65</v>
      </c>
      <c r="J11611" s="7">
        <v>145</v>
      </c>
      <c r="K11611" s="7" t="s">
        <v>18</v>
      </c>
      <c r="L11611" s="8">
        <v>39987.315405092595</v>
      </c>
      <c r="M11611" s="9" t="s">
        <v>19</v>
      </c>
      <c r="N11611" s="9" t="s">
        <v>20</v>
      </c>
      <c r="O11611" s="6" t="str">
        <f>HYPERLINK("https://pbs.twimg.com/profile_images/962471262747529216/Uo8lOkRJ_normal.jpg","View")</f>
        <v>View</v>
      </c>
      <c r="P11611" s="7"/>
    </row>
    <row r="11612" spans="1:16">
      <c r="A11612" s="3">
        <v>44141.355671296296</v>
      </c>
      <c r="B11612" s="4" t="str">
        <f>HYPERLINK("https://twitter.com/petrogustavo","@petrogustavo")</f>
        <v>@petrogustavo</v>
      </c>
      <c r="C11612" s="5" t="s">
        <v>16</v>
      </c>
      <c r="D11612" s="5" t="s">
        <v>11179</v>
      </c>
      <c r="E11612" s="6" t="str">
        <f>HYPERLINK("https://twitter.com/petrogustavo/status/1324547594203373569","1324547594203373569")</f>
        <v>1324547594203373569</v>
      </c>
      <c r="F11612" s="7" t="s">
        <v>17</v>
      </c>
      <c r="G11612" s="7">
        <v>4001397</v>
      </c>
      <c r="H11612" s="7">
        <v>2453</v>
      </c>
      <c r="I11612" s="7">
        <v>61</v>
      </c>
      <c r="J11612" s="7">
        <v>240</v>
      </c>
      <c r="K11612" s="7" t="s">
        <v>18</v>
      </c>
      <c r="L11612" s="8">
        <v>39987.315405092595</v>
      </c>
      <c r="M11612" s="9" t="s">
        <v>19</v>
      </c>
      <c r="N11612" s="9" t="s">
        <v>20</v>
      </c>
      <c r="O11612" s="6" t="str">
        <f>HYPERLINK("https://pbs.twimg.com/profile_images/962471262747529216/Uo8lOkRJ_normal.jpg","View")</f>
        <v>View</v>
      </c>
      <c r="P11612" s="7"/>
    </row>
    <row r="11613" spans="1:16">
      <c r="A11613" s="3">
        <v>44141.37704861111</v>
      </c>
      <c r="B11613" s="4" t="str">
        <f>HYPERLINK("https://twitter.com/petrogustavo","@petrogustavo")</f>
        <v>@petrogustavo</v>
      </c>
      <c r="C11613" s="5" t="s">
        <v>16</v>
      </c>
      <c r="D11613" s="5" t="s">
        <v>11180</v>
      </c>
      <c r="E11613" s="6" t="str">
        <f>HYPERLINK("https://twitter.com/petrogustavo/status/1324555342919983105","1324555342919983105")</f>
        <v>1324555342919983105</v>
      </c>
      <c r="F11613" s="7" t="s">
        <v>17</v>
      </c>
      <c r="G11613" s="7">
        <v>4001468</v>
      </c>
      <c r="H11613" s="7">
        <v>2455</v>
      </c>
      <c r="I11613" s="7">
        <v>867</v>
      </c>
      <c r="J11613" s="7">
        <v>1654</v>
      </c>
      <c r="K11613" s="7" t="s">
        <v>18</v>
      </c>
      <c r="L11613" s="8">
        <v>39987.315405092595</v>
      </c>
      <c r="M11613" s="9" t="s">
        <v>19</v>
      </c>
      <c r="N11613" s="9" t="s">
        <v>20</v>
      </c>
      <c r="O11613" s="6" t="str">
        <f>HYPERLINK("https://pbs.twimg.com/profile_images/962471262747529216/Uo8lOkRJ_normal.jpg","View")</f>
        <v>View</v>
      </c>
      <c r="P11613" s="7"/>
    </row>
    <row r="11614" spans="1:16">
      <c r="A11614" s="3">
        <v>44141.380902777775</v>
      </c>
      <c r="B11614" s="4" t="str">
        <f>HYPERLINK("https://twitter.com/petrogustavo","@petrogustavo")</f>
        <v>@petrogustavo</v>
      </c>
      <c r="C11614" s="5" t="s">
        <v>16</v>
      </c>
      <c r="D11614" s="5" t="s">
        <v>11181</v>
      </c>
      <c r="E11614" s="6" t="str">
        <f>HYPERLINK("https://twitter.com/petrogustavo/status/1324556739367391234","1324556739367391234")</f>
        <v>1324556739367391234</v>
      </c>
      <c r="F11614" s="7" t="s">
        <v>17</v>
      </c>
      <c r="G11614" s="7">
        <v>4001468</v>
      </c>
      <c r="H11614" s="7">
        <v>2455</v>
      </c>
      <c r="I11614" s="7">
        <v>104</v>
      </c>
      <c r="J11614" s="7">
        <v>0</v>
      </c>
      <c r="K11614" s="7" t="s">
        <v>18</v>
      </c>
      <c r="L11614" s="8">
        <v>39987.315405092595</v>
      </c>
      <c r="M11614" s="9" t="s">
        <v>19</v>
      </c>
      <c r="N11614" s="9" t="s">
        <v>20</v>
      </c>
      <c r="O11614" s="6" t="str">
        <f>HYPERLINK("https://pbs.twimg.com/profile_images/962471262747529216/Uo8lOkRJ_normal.jpg","View")</f>
        <v>View</v>
      </c>
      <c r="P11614" s="7"/>
    </row>
    <row r="11615" spans="1:16">
      <c r="A11615" s="3">
        <v>44141.380925925929</v>
      </c>
      <c r="B11615" s="4" t="str">
        <f>HYPERLINK("https://twitter.com/petrogustavo","@petrogustavo")</f>
        <v>@petrogustavo</v>
      </c>
      <c r="C11615" s="5" t="s">
        <v>16</v>
      </c>
      <c r="D11615" s="5" t="s">
        <v>11181</v>
      </c>
      <c r="E11615" s="6" t="str">
        <f>HYPERLINK("https://twitter.com/petrogustavo/status/1324556748863262722","1324556748863262722")</f>
        <v>1324556748863262722</v>
      </c>
      <c r="F11615" s="7" t="s">
        <v>17</v>
      </c>
      <c r="G11615" s="7">
        <v>4001468</v>
      </c>
      <c r="H11615" s="7">
        <v>2455</v>
      </c>
      <c r="I11615" s="7">
        <v>119</v>
      </c>
      <c r="J11615" s="7">
        <v>0</v>
      </c>
      <c r="K11615" s="7" t="s">
        <v>18</v>
      </c>
      <c r="L11615" s="8">
        <v>39987.315405092595</v>
      </c>
      <c r="M11615" s="9" t="s">
        <v>19</v>
      </c>
      <c r="N11615" s="9" t="s">
        <v>20</v>
      </c>
      <c r="O11615" s="6" t="str">
        <f>HYPERLINK("https://pbs.twimg.com/profile_images/962471262747529216/Uo8lOkRJ_normal.jpg","View")</f>
        <v>View</v>
      </c>
      <c r="P11615" s="7"/>
    </row>
    <row r="11616" spans="1:16">
      <c r="A11616" s="3">
        <v>44141.394016203703</v>
      </c>
      <c r="B11616" s="4" t="str">
        <f>HYPERLINK("https://twitter.com/petrogustavo","@petrogustavo")</f>
        <v>@petrogustavo</v>
      </c>
      <c r="C11616" s="5" t="s">
        <v>16</v>
      </c>
      <c r="D11616" s="5" t="s">
        <v>11182</v>
      </c>
      <c r="E11616" s="6" t="str">
        <f>HYPERLINK("https://twitter.com/petrogustavo/status/1324561493271216129","1324561493271216129")</f>
        <v>1324561493271216129</v>
      </c>
      <c r="F11616" s="7" t="s">
        <v>17</v>
      </c>
      <c r="G11616" s="7">
        <v>4001662</v>
      </c>
      <c r="H11616" s="7">
        <v>2455</v>
      </c>
      <c r="I11616" s="7">
        <v>194</v>
      </c>
      <c r="J11616" s="7">
        <v>1410</v>
      </c>
      <c r="K11616" s="7" t="s">
        <v>18</v>
      </c>
      <c r="L11616" s="8">
        <v>39987.315405092595</v>
      </c>
      <c r="M11616" s="9" t="s">
        <v>19</v>
      </c>
      <c r="N11616" s="9" t="s">
        <v>20</v>
      </c>
      <c r="O11616" s="6" t="str">
        <f>HYPERLINK("https://pbs.twimg.com/profile_images/962471262747529216/Uo8lOkRJ_normal.jpg","View")</f>
        <v>View</v>
      </c>
      <c r="P11616" s="7"/>
    </row>
    <row r="11617" spans="1:16">
      <c r="A11617" s="3">
        <v>44141.729444444441</v>
      </c>
      <c r="B11617" s="4" t="str">
        <f>HYPERLINK("https://twitter.com/petrogustavo","@petrogustavo")</f>
        <v>@petrogustavo</v>
      </c>
      <c r="C11617" s="5" t="s">
        <v>16</v>
      </c>
      <c r="D11617" s="5" t="s">
        <v>11183</v>
      </c>
      <c r="E11617" s="6" t="str">
        <f>HYPERLINK("https://twitter.com/petrogustavo/status/1324683048257003520","1324683048257003520")</f>
        <v>1324683048257003520</v>
      </c>
      <c r="F11617" s="7" t="s">
        <v>17</v>
      </c>
      <c r="G11617" s="7">
        <v>4001829</v>
      </c>
      <c r="H11617" s="7">
        <v>2455</v>
      </c>
      <c r="I11617" s="7">
        <v>226</v>
      </c>
      <c r="J11617" s="7">
        <v>855</v>
      </c>
      <c r="K11617" s="7" t="s">
        <v>18</v>
      </c>
      <c r="L11617" s="8">
        <v>39987.315405092595</v>
      </c>
      <c r="M11617" s="9" t="s">
        <v>19</v>
      </c>
      <c r="N11617" s="9" t="s">
        <v>20</v>
      </c>
      <c r="O11617" s="6" t="str">
        <f>HYPERLINK("https://pbs.twimg.com/profile_images/962471262747529216/Uo8lOkRJ_normal.jpg","View")</f>
        <v>View</v>
      </c>
      <c r="P11617" s="7"/>
    </row>
    <row r="11618" spans="1:16">
      <c r="A11618" s="3">
        <v>44141.735208333332</v>
      </c>
      <c r="B11618" s="4" t="str">
        <f>HYPERLINK("https://twitter.com/petrogustavo","@petrogustavo")</f>
        <v>@petrogustavo</v>
      </c>
      <c r="C11618" s="5" t="s">
        <v>16</v>
      </c>
      <c r="D11618" s="5" t="s">
        <v>11184</v>
      </c>
      <c r="E11618" s="6" t="str">
        <f>HYPERLINK("https://twitter.com/petrogustavo/status/1324685136567377922","1324685136567377922")</f>
        <v>1324685136567377922</v>
      </c>
      <c r="F11618" s="7" t="s">
        <v>17</v>
      </c>
      <c r="G11618" s="7">
        <v>4001829</v>
      </c>
      <c r="H11618" s="7">
        <v>2455</v>
      </c>
      <c r="I11618" s="7">
        <v>454</v>
      </c>
      <c r="J11618" s="7">
        <v>0</v>
      </c>
      <c r="K11618" s="7" t="s">
        <v>18</v>
      </c>
      <c r="L11618" s="8">
        <v>39987.315405092595</v>
      </c>
      <c r="M11618" s="9" t="s">
        <v>19</v>
      </c>
      <c r="N11618" s="9" t="s">
        <v>20</v>
      </c>
      <c r="O11618" s="6" t="str">
        <f>HYPERLINK("https://pbs.twimg.com/profile_images/962471262747529216/Uo8lOkRJ_normal.jpg","View")</f>
        <v>View</v>
      </c>
      <c r="P11618" s="7"/>
    </row>
    <row r="11619" spans="1:16">
      <c r="A11619" s="3">
        <v>44141.736724537041</v>
      </c>
      <c r="B11619" s="4" t="str">
        <f>HYPERLINK("https://twitter.com/petrogustavo","@petrogustavo")</f>
        <v>@petrogustavo</v>
      </c>
      <c r="C11619" s="5" t="s">
        <v>16</v>
      </c>
      <c r="D11619" s="5" t="s">
        <v>11185</v>
      </c>
      <c r="E11619" s="6" t="str">
        <f>HYPERLINK("https://twitter.com/petrogustavo/status/1324685685538906115","1324685685538906115")</f>
        <v>1324685685538906115</v>
      </c>
      <c r="F11619" s="7" t="s">
        <v>17</v>
      </c>
      <c r="G11619" s="7">
        <v>4001829</v>
      </c>
      <c r="H11619" s="7">
        <v>2455</v>
      </c>
      <c r="I11619" s="7">
        <v>31</v>
      </c>
      <c r="J11619" s="7">
        <v>70</v>
      </c>
      <c r="K11619" s="7" t="s">
        <v>18</v>
      </c>
      <c r="L11619" s="8">
        <v>39987.315405092595</v>
      </c>
      <c r="M11619" s="9" t="s">
        <v>19</v>
      </c>
      <c r="N11619" s="9" t="s">
        <v>20</v>
      </c>
      <c r="O11619" s="6" t="str">
        <f>HYPERLINK("https://pbs.twimg.com/profile_images/962471262747529216/Uo8lOkRJ_normal.jpg","View")</f>
        <v>View</v>
      </c>
      <c r="P11619" s="7"/>
    </row>
    <row r="11620" spans="1:16">
      <c r="A11620" s="3">
        <v>44141.741585648153</v>
      </c>
      <c r="B11620" s="4" t="str">
        <f>HYPERLINK("https://twitter.com/petrogustavo","@petrogustavo")</f>
        <v>@petrogustavo</v>
      </c>
      <c r="C11620" s="5" t="s">
        <v>16</v>
      </c>
      <c r="D11620" s="5" t="s">
        <v>11186</v>
      </c>
      <c r="E11620" s="6" t="str">
        <f>HYPERLINK("https://twitter.com/petrogustavo/status/1324687446471225344","1324687446471225344")</f>
        <v>1324687446471225344</v>
      </c>
      <c r="F11620" s="7" t="s">
        <v>17</v>
      </c>
      <c r="G11620" s="7">
        <v>4001859</v>
      </c>
      <c r="H11620" s="7">
        <v>2455</v>
      </c>
      <c r="I11620" s="7">
        <v>131</v>
      </c>
      <c r="J11620" s="7">
        <v>563</v>
      </c>
      <c r="K11620" s="7" t="s">
        <v>18</v>
      </c>
      <c r="L11620" s="8">
        <v>39987.315405092595</v>
      </c>
      <c r="M11620" s="9" t="s">
        <v>19</v>
      </c>
      <c r="N11620" s="9" t="s">
        <v>20</v>
      </c>
      <c r="O11620" s="6" t="str">
        <f>HYPERLINK("https://pbs.twimg.com/profile_images/962471262747529216/Uo8lOkRJ_normal.jpg","View")</f>
        <v>View</v>
      </c>
      <c r="P11620" s="7"/>
    </row>
    <row r="11621" spans="1:16">
      <c r="A11621" s="3">
        <v>44141.766851851848</v>
      </c>
      <c r="B11621" s="4" t="str">
        <f>HYPERLINK("https://twitter.com/petrogustavo","@petrogustavo")</f>
        <v>@petrogustavo</v>
      </c>
      <c r="C11621" s="5" t="s">
        <v>16</v>
      </c>
      <c r="D11621" s="5" t="s">
        <v>11187</v>
      </c>
      <c r="E11621" s="6" t="str">
        <f>HYPERLINK("https://twitter.com/petrogustavo/status/1324696603446431745","1324696603446431745")</f>
        <v>1324696603446431745</v>
      </c>
      <c r="F11621" s="7" t="s">
        <v>17</v>
      </c>
      <c r="G11621" s="7">
        <v>4001859</v>
      </c>
      <c r="H11621" s="7">
        <v>2455</v>
      </c>
      <c r="I11621" s="7">
        <v>77</v>
      </c>
      <c r="J11621" s="7">
        <v>302</v>
      </c>
      <c r="K11621" s="7" t="s">
        <v>18</v>
      </c>
      <c r="L11621" s="8">
        <v>39987.315405092595</v>
      </c>
      <c r="M11621" s="9" t="s">
        <v>19</v>
      </c>
      <c r="N11621" s="9" t="s">
        <v>20</v>
      </c>
      <c r="O11621" s="6" t="str">
        <f>HYPERLINK("https://pbs.twimg.com/profile_images/962471262747529216/Uo8lOkRJ_normal.jpg","View")</f>
        <v>View</v>
      </c>
      <c r="P11621" s="7"/>
    </row>
    <row r="11622" spans="1:16">
      <c r="A11622" s="3">
        <v>44141.768090277779</v>
      </c>
      <c r="B11622" s="4" t="str">
        <f>HYPERLINK("https://twitter.com/petrogustavo","@petrogustavo")</f>
        <v>@petrogustavo</v>
      </c>
      <c r="C11622" s="5" t="s">
        <v>16</v>
      </c>
      <c r="D11622" s="5" t="s">
        <v>11188</v>
      </c>
      <c r="E11622" s="6" t="str">
        <f>HYPERLINK("https://twitter.com/petrogustavo/status/1324697053646258177","1324697053646258177")</f>
        <v>1324697053646258177</v>
      </c>
      <c r="F11622" s="7" t="s">
        <v>17</v>
      </c>
      <c r="G11622" s="7">
        <v>4001859</v>
      </c>
      <c r="H11622" s="7">
        <v>2455</v>
      </c>
      <c r="I11622" s="7">
        <v>345</v>
      </c>
      <c r="J11622" s="7">
        <v>0</v>
      </c>
      <c r="K11622" s="7" t="s">
        <v>18</v>
      </c>
      <c r="L11622" s="8">
        <v>39987.315405092595</v>
      </c>
      <c r="M11622" s="9" t="s">
        <v>19</v>
      </c>
      <c r="N11622" s="9" t="s">
        <v>20</v>
      </c>
      <c r="O11622" s="6" t="str">
        <f>HYPERLINK("https://pbs.twimg.com/profile_images/962471262747529216/Uo8lOkRJ_normal.jpg","View")</f>
        <v>View</v>
      </c>
      <c r="P11622" s="7"/>
    </row>
    <row r="11623" spans="1:16">
      <c r="A11623" s="3">
        <v>44141.776030092587</v>
      </c>
      <c r="B11623" s="4" t="str">
        <f>HYPERLINK("https://twitter.com/petrogustavo","@petrogustavo")</f>
        <v>@petrogustavo</v>
      </c>
      <c r="C11623" s="5" t="s">
        <v>16</v>
      </c>
      <c r="D11623" s="5" t="s">
        <v>11189</v>
      </c>
      <c r="E11623" s="6" t="str">
        <f>HYPERLINK("https://twitter.com/petrogustavo/status/1324699930502582273","1324699930502582273")</f>
        <v>1324699930502582273</v>
      </c>
      <c r="F11623" s="7" t="s">
        <v>17</v>
      </c>
      <c r="G11623" s="7">
        <v>4001859</v>
      </c>
      <c r="H11623" s="7">
        <v>2455</v>
      </c>
      <c r="I11623" s="7">
        <v>679</v>
      </c>
      <c r="J11623" s="7">
        <v>0</v>
      </c>
      <c r="K11623" s="7" t="s">
        <v>18</v>
      </c>
      <c r="L11623" s="8">
        <v>39987.315405092595</v>
      </c>
      <c r="M11623" s="9" t="s">
        <v>19</v>
      </c>
      <c r="N11623" s="9" t="s">
        <v>20</v>
      </c>
      <c r="O11623" s="6" t="str">
        <f>HYPERLINK("https://pbs.twimg.com/profile_images/962471262747529216/Uo8lOkRJ_normal.jpg","View")</f>
        <v>View</v>
      </c>
      <c r="P11623" s="7"/>
    </row>
    <row r="11624" spans="1:16">
      <c r="A11624" s="3">
        <v>44141.781898148147</v>
      </c>
      <c r="B11624" s="4" t="str">
        <f>HYPERLINK("https://twitter.com/petrogustavo","@petrogustavo")</f>
        <v>@petrogustavo</v>
      </c>
      <c r="C11624" s="5" t="s">
        <v>16</v>
      </c>
      <c r="D11624" s="5" t="s">
        <v>11190</v>
      </c>
      <c r="E11624" s="6" t="str">
        <f>HYPERLINK("https://twitter.com/petrogustavo/status/1324702055412473856","1324702055412473856")</f>
        <v>1324702055412473856</v>
      </c>
      <c r="F11624" s="7" t="s">
        <v>17</v>
      </c>
      <c r="G11624" s="7">
        <v>4001859</v>
      </c>
      <c r="H11624" s="7">
        <v>2455</v>
      </c>
      <c r="I11624" s="7">
        <v>19</v>
      </c>
      <c r="J11624" s="7">
        <v>110</v>
      </c>
      <c r="K11624" s="7" t="s">
        <v>18</v>
      </c>
      <c r="L11624" s="8">
        <v>39987.315405092595</v>
      </c>
      <c r="M11624" s="9" t="s">
        <v>19</v>
      </c>
      <c r="N11624" s="9" t="s">
        <v>20</v>
      </c>
      <c r="O11624" s="6" t="str">
        <f>HYPERLINK("https://pbs.twimg.com/profile_images/962471262747529216/Uo8lOkRJ_normal.jpg","View")</f>
        <v>View</v>
      </c>
      <c r="P11624" s="7"/>
    </row>
    <row r="11625" spans="1:16">
      <c r="A11625" s="3">
        <v>44141.784143518518</v>
      </c>
      <c r="B11625" s="4" t="str">
        <f>HYPERLINK("https://twitter.com/petrogustavo","@petrogustavo")</f>
        <v>@petrogustavo</v>
      </c>
      <c r="C11625" s="5" t="s">
        <v>16</v>
      </c>
      <c r="D11625" s="5" t="s">
        <v>11191</v>
      </c>
      <c r="E11625" s="6" t="str">
        <f>HYPERLINK("https://twitter.com/petrogustavo/status/1324702869581406208","1324702869581406208")</f>
        <v>1324702869581406208</v>
      </c>
      <c r="F11625" s="7" t="s">
        <v>17</v>
      </c>
      <c r="G11625" s="7">
        <v>4001876</v>
      </c>
      <c r="H11625" s="7">
        <v>2455</v>
      </c>
      <c r="I11625" s="7">
        <v>65</v>
      </c>
      <c r="J11625" s="7">
        <v>406</v>
      </c>
      <c r="K11625" s="7" t="s">
        <v>18</v>
      </c>
      <c r="L11625" s="8">
        <v>39987.315405092595</v>
      </c>
      <c r="M11625" s="9" t="s">
        <v>19</v>
      </c>
      <c r="N11625" s="9" t="s">
        <v>20</v>
      </c>
      <c r="O11625" s="6" t="str">
        <f>HYPERLINK("https://pbs.twimg.com/profile_images/962471262747529216/Uo8lOkRJ_normal.jpg","View")</f>
        <v>View</v>
      </c>
      <c r="P11625" s="7"/>
    </row>
    <row r="11626" spans="1:16">
      <c r="A11626" s="3">
        <v>44141.861863425926</v>
      </c>
      <c r="B11626" s="4" t="str">
        <f>HYPERLINK("https://twitter.com/petrogustavo","@petrogustavo")</f>
        <v>@petrogustavo</v>
      </c>
      <c r="C11626" s="5" t="s">
        <v>16</v>
      </c>
      <c r="D11626" s="5" t="s">
        <v>11192</v>
      </c>
      <c r="E11626" s="6" t="str">
        <f>HYPERLINK("https://twitter.com/petrogustavo/status/1324731035494551552","1324731035494551552")</f>
        <v>1324731035494551552</v>
      </c>
      <c r="F11626" s="7" t="s">
        <v>21</v>
      </c>
      <c r="G11626" s="7">
        <v>4001936</v>
      </c>
      <c r="H11626" s="7">
        <v>2455</v>
      </c>
      <c r="I11626" s="7">
        <v>40</v>
      </c>
      <c r="J11626" s="7">
        <v>124</v>
      </c>
      <c r="K11626" s="7" t="s">
        <v>18</v>
      </c>
      <c r="L11626" s="8">
        <v>39987.315405092595</v>
      </c>
      <c r="M11626" s="9" t="s">
        <v>19</v>
      </c>
      <c r="N11626" s="9" t="s">
        <v>20</v>
      </c>
      <c r="O11626" s="6" t="str">
        <f>HYPERLINK("https://pbs.twimg.com/profile_images/962471262747529216/Uo8lOkRJ_normal.jpg","View")</f>
        <v>View</v>
      </c>
      <c r="P11626" s="7"/>
    </row>
    <row r="11627" spans="1:16">
      <c r="A11627" s="3">
        <v>44141.882939814815</v>
      </c>
      <c r="B11627" s="4" t="str">
        <f>HYPERLINK("https://twitter.com/petrogustavo","@petrogustavo")</f>
        <v>@petrogustavo</v>
      </c>
      <c r="C11627" s="5" t="s">
        <v>16</v>
      </c>
      <c r="D11627" s="5" t="s">
        <v>11193</v>
      </c>
      <c r="E11627" s="6" t="str">
        <f>HYPERLINK("https://twitter.com/petrogustavo/status/1324738673359884288","1324738673359884288")</f>
        <v>1324738673359884288</v>
      </c>
      <c r="F11627" s="7" t="s">
        <v>32</v>
      </c>
      <c r="G11627" s="7">
        <v>4001952</v>
      </c>
      <c r="H11627" s="7">
        <v>2455</v>
      </c>
      <c r="I11627" s="7">
        <v>309</v>
      </c>
      <c r="J11627" s="7">
        <v>1839</v>
      </c>
      <c r="K11627" s="7" t="s">
        <v>18</v>
      </c>
      <c r="L11627" s="8">
        <v>39987.315405092595</v>
      </c>
      <c r="M11627" s="9" t="s">
        <v>19</v>
      </c>
      <c r="N11627" s="9" t="s">
        <v>20</v>
      </c>
      <c r="O11627" s="6" t="str">
        <f>HYPERLINK("https://pbs.twimg.com/profile_images/962471262747529216/Uo8lOkRJ_normal.jpg","View")</f>
        <v>View</v>
      </c>
      <c r="P11627" s="7"/>
    </row>
    <row r="11628" spans="1:16">
      <c r="A11628" s="3">
        <v>44141.972812499997</v>
      </c>
      <c r="B11628" s="4" t="str">
        <f>HYPERLINK("https://twitter.com/petrogustavo","@petrogustavo")</f>
        <v>@petrogustavo</v>
      </c>
      <c r="C11628" s="5" t="s">
        <v>16</v>
      </c>
      <c r="D11628" s="5" t="s">
        <v>11194</v>
      </c>
      <c r="E11628" s="6" t="str">
        <f>HYPERLINK("https://twitter.com/petrogustavo/status/1324771240368869384","1324771240368869384")</f>
        <v>1324771240368869384</v>
      </c>
      <c r="F11628" s="7" t="s">
        <v>32</v>
      </c>
      <c r="G11628" s="7">
        <v>4002205</v>
      </c>
      <c r="H11628" s="7">
        <v>2457</v>
      </c>
      <c r="I11628" s="7">
        <v>2756</v>
      </c>
      <c r="J11628" s="7">
        <v>0</v>
      </c>
      <c r="K11628" s="7" t="s">
        <v>18</v>
      </c>
      <c r="L11628" s="8">
        <v>39987.315405092595</v>
      </c>
      <c r="M11628" s="9" t="s">
        <v>19</v>
      </c>
      <c r="N11628" s="9" t="s">
        <v>20</v>
      </c>
      <c r="O11628" s="6" t="str">
        <f>HYPERLINK("https://pbs.twimg.com/profile_images/962471262747529216/Uo8lOkRJ_normal.jpg","View")</f>
        <v>View</v>
      </c>
      <c r="P11628" s="7"/>
    </row>
    <row r="11629" spans="1:16">
      <c r="A11629" s="3">
        <v>44142.017291666663</v>
      </c>
      <c r="B11629" s="4" t="str">
        <f>HYPERLINK("https://twitter.com/petrogustavo","@petrogustavo")</f>
        <v>@petrogustavo</v>
      </c>
      <c r="C11629" s="5" t="s">
        <v>16</v>
      </c>
      <c r="D11629" s="5" t="s">
        <v>11195</v>
      </c>
      <c r="E11629" s="6" t="str">
        <f>HYPERLINK("https://twitter.com/petrogustavo/status/1324787358915563520","1324787358915563520")</f>
        <v>1324787358915563520</v>
      </c>
      <c r="F11629" s="7" t="s">
        <v>17</v>
      </c>
      <c r="G11629" s="7">
        <v>4002266</v>
      </c>
      <c r="H11629" s="7">
        <v>2456</v>
      </c>
      <c r="I11629" s="7">
        <v>54</v>
      </c>
      <c r="J11629" s="7">
        <v>364</v>
      </c>
      <c r="K11629" s="7" t="s">
        <v>18</v>
      </c>
      <c r="L11629" s="8">
        <v>39987.315405092595</v>
      </c>
      <c r="M11629" s="9" t="s">
        <v>19</v>
      </c>
      <c r="N11629" s="9" t="s">
        <v>20</v>
      </c>
      <c r="O11629" s="6" t="str">
        <f>HYPERLINK("https://pbs.twimg.com/profile_images/962471262747529216/Uo8lOkRJ_normal.jpg","View")</f>
        <v>View</v>
      </c>
      <c r="P11629" s="7"/>
    </row>
    <row r="11630" spans="1:16">
      <c r="A11630" s="3">
        <v>44142.018587962964</v>
      </c>
      <c r="B11630" s="4" t="str">
        <f>HYPERLINK("https://twitter.com/petrogustavo","@petrogustavo")</f>
        <v>@petrogustavo</v>
      </c>
      <c r="C11630" s="5" t="s">
        <v>16</v>
      </c>
      <c r="D11630" s="5" t="s">
        <v>11196</v>
      </c>
      <c r="E11630" s="6" t="str">
        <f>HYPERLINK("https://twitter.com/petrogustavo/status/1324787829776502796","1324787829776502796")</f>
        <v>1324787829776502796</v>
      </c>
      <c r="F11630" s="7" t="s">
        <v>17</v>
      </c>
      <c r="G11630" s="7">
        <v>4002266</v>
      </c>
      <c r="H11630" s="7">
        <v>2456</v>
      </c>
      <c r="I11630" s="7">
        <v>3307</v>
      </c>
      <c r="J11630" s="7">
        <v>0</v>
      </c>
      <c r="K11630" s="7" t="s">
        <v>18</v>
      </c>
      <c r="L11630" s="8">
        <v>39987.315405092595</v>
      </c>
      <c r="M11630" s="9" t="s">
        <v>19</v>
      </c>
      <c r="N11630" s="9" t="s">
        <v>20</v>
      </c>
      <c r="O11630" s="6" t="str">
        <f>HYPERLINK("https://pbs.twimg.com/profile_images/962471262747529216/Uo8lOkRJ_normal.jpg","View")</f>
        <v>View</v>
      </c>
      <c r="P11630" s="7"/>
    </row>
    <row r="11631" spans="1:16">
      <c r="A11631" s="3">
        <v>44142.752013888894</v>
      </c>
      <c r="B11631" s="4" t="str">
        <f>HYPERLINK("https://twitter.com/petrogustavo","@petrogustavo")</f>
        <v>@petrogustavo</v>
      </c>
      <c r="C11631" s="5" t="s">
        <v>16</v>
      </c>
      <c r="D11631" s="5" t="s">
        <v>11197</v>
      </c>
      <c r="E11631" s="6" t="str">
        <f>HYPERLINK("https://twitter.com/petrogustavo/status/1325053613547417600","1325053613547417600")</f>
        <v>1325053613547417600</v>
      </c>
      <c r="F11631" s="7" t="s">
        <v>17</v>
      </c>
      <c r="G11631" s="7">
        <v>4002689</v>
      </c>
      <c r="H11631" s="7">
        <v>2457</v>
      </c>
      <c r="I11631" s="7">
        <v>159</v>
      </c>
      <c r="J11631" s="7">
        <v>0</v>
      </c>
      <c r="K11631" s="7" t="s">
        <v>18</v>
      </c>
      <c r="L11631" s="8">
        <v>39987.315405092595</v>
      </c>
      <c r="M11631" s="9" t="s">
        <v>19</v>
      </c>
      <c r="N11631" s="9" t="s">
        <v>20</v>
      </c>
      <c r="O11631" s="6" t="str">
        <f>HYPERLINK("https://pbs.twimg.com/profile_images/962471262747529216/Uo8lOkRJ_normal.jpg","View")</f>
        <v>View</v>
      </c>
      <c r="P11631" s="7"/>
    </row>
    <row r="11632" spans="1:16">
      <c r="A11632" s="3">
        <v>44142.754872685182</v>
      </c>
      <c r="B11632" s="4" t="str">
        <f>HYPERLINK("https://twitter.com/petrogustavo","@petrogustavo")</f>
        <v>@petrogustavo</v>
      </c>
      <c r="C11632" s="5" t="s">
        <v>16</v>
      </c>
      <c r="D11632" s="5" t="s">
        <v>11198</v>
      </c>
      <c r="E11632" s="6" t="str">
        <f>HYPERLINK("https://twitter.com/petrogustavo/status/1325054651801214979","1325054651801214979")</f>
        <v>1325054651801214979</v>
      </c>
      <c r="F11632" s="7" t="s">
        <v>17</v>
      </c>
      <c r="G11632" s="7">
        <v>4002689</v>
      </c>
      <c r="H11632" s="7">
        <v>2457</v>
      </c>
      <c r="I11632" s="7">
        <v>73</v>
      </c>
      <c r="J11632" s="7">
        <v>315</v>
      </c>
      <c r="K11632" s="7" t="s">
        <v>18</v>
      </c>
      <c r="L11632" s="8">
        <v>39987.315405092595</v>
      </c>
      <c r="M11632" s="9" t="s">
        <v>19</v>
      </c>
      <c r="N11632" s="9" t="s">
        <v>20</v>
      </c>
      <c r="O11632" s="6" t="str">
        <f>HYPERLINK("https://pbs.twimg.com/profile_images/962471262747529216/Uo8lOkRJ_normal.jpg","View")</f>
        <v>View</v>
      </c>
      <c r="P11632" s="7"/>
    </row>
    <row r="11633" spans="1:16">
      <c r="A11633" s="3">
        <v>44142.768506944441</v>
      </c>
      <c r="B11633" s="4" t="str">
        <f>HYPERLINK("https://twitter.com/petrogustavo","@petrogustavo")</f>
        <v>@petrogustavo</v>
      </c>
      <c r="C11633" s="5" t="s">
        <v>16</v>
      </c>
      <c r="D11633" s="5" t="s">
        <v>11199</v>
      </c>
      <c r="E11633" s="6" t="str">
        <f>HYPERLINK("https://twitter.com/petrogustavo/status/1325059592762650624","1325059592762650624")</f>
        <v>1325059592762650624</v>
      </c>
      <c r="F11633" s="7" t="s">
        <v>17</v>
      </c>
      <c r="G11633" s="7">
        <v>4002699</v>
      </c>
      <c r="H11633" s="7">
        <v>2458</v>
      </c>
      <c r="I11633" s="7">
        <v>58</v>
      </c>
      <c r="J11633" s="7">
        <v>222</v>
      </c>
      <c r="K11633" s="7" t="s">
        <v>18</v>
      </c>
      <c r="L11633" s="8">
        <v>39987.315405092595</v>
      </c>
      <c r="M11633" s="9" t="s">
        <v>19</v>
      </c>
      <c r="N11633" s="9" t="s">
        <v>20</v>
      </c>
      <c r="O11633" s="6" t="str">
        <f>HYPERLINK("https://pbs.twimg.com/profile_images/962471262747529216/Uo8lOkRJ_normal.jpg","View")</f>
        <v>View</v>
      </c>
      <c r="P11633" s="7"/>
    </row>
    <row r="11634" spans="1:16">
      <c r="A11634" s="3">
        <v>44142.770046296297</v>
      </c>
      <c r="B11634" s="4" t="str">
        <f>HYPERLINK("https://twitter.com/petrogustavo","@petrogustavo")</f>
        <v>@petrogustavo</v>
      </c>
      <c r="C11634" s="5" t="s">
        <v>16</v>
      </c>
      <c r="D11634" s="5" t="s">
        <v>11200</v>
      </c>
      <c r="E11634" s="6" t="str">
        <f>HYPERLINK("https://twitter.com/petrogustavo/status/1325060147077648384","1325060147077648384")</f>
        <v>1325060147077648384</v>
      </c>
      <c r="F11634" s="7" t="s">
        <v>17</v>
      </c>
      <c r="G11634" s="7">
        <v>4002699</v>
      </c>
      <c r="H11634" s="7">
        <v>2458</v>
      </c>
      <c r="I11634" s="7">
        <v>31</v>
      </c>
      <c r="J11634" s="7">
        <v>146</v>
      </c>
      <c r="K11634" s="7" t="s">
        <v>18</v>
      </c>
      <c r="L11634" s="8">
        <v>39987.315405092595</v>
      </c>
      <c r="M11634" s="9" t="s">
        <v>19</v>
      </c>
      <c r="N11634" s="9" t="s">
        <v>20</v>
      </c>
      <c r="O11634" s="6" t="str">
        <f>HYPERLINK("https://pbs.twimg.com/profile_images/962471262747529216/Uo8lOkRJ_normal.jpg","View")</f>
        <v>View</v>
      </c>
      <c r="P11634" s="7"/>
    </row>
    <row r="11635" spans="1:16">
      <c r="A11635" s="3">
        <v>44142.804432870369</v>
      </c>
      <c r="B11635" s="4" t="str">
        <f>HYPERLINK("https://twitter.com/petrogustavo","@petrogustavo")</f>
        <v>@petrogustavo</v>
      </c>
      <c r="C11635" s="5" t="s">
        <v>16</v>
      </c>
      <c r="D11635" s="5" t="s">
        <v>11201</v>
      </c>
      <c r="E11635" s="6" t="str">
        <f>HYPERLINK("https://twitter.com/petrogustavo/status/1325072610137403393","1325072610137403393")</f>
        <v>1325072610137403393</v>
      </c>
      <c r="F11635" s="7" t="s">
        <v>17</v>
      </c>
      <c r="G11635" s="7">
        <v>4002716</v>
      </c>
      <c r="H11635" s="7">
        <v>2458</v>
      </c>
      <c r="I11635" s="7">
        <v>210</v>
      </c>
      <c r="J11635" s="7">
        <v>655</v>
      </c>
      <c r="K11635" s="7" t="s">
        <v>18</v>
      </c>
      <c r="L11635" s="8">
        <v>39987.315405092595</v>
      </c>
      <c r="M11635" s="9" t="s">
        <v>19</v>
      </c>
      <c r="N11635" s="9" t="s">
        <v>20</v>
      </c>
      <c r="O11635" s="6" t="str">
        <f>HYPERLINK("https://pbs.twimg.com/profile_images/962471262747529216/Uo8lOkRJ_normal.jpg","View")</f>
        <v>View</v>
      </c>
      <c r="P11635" s="7"/>
    </row>
    <row r="11636" spans="1:16">
      <c r="A11636" s="3">
        <v>44142.808113425926</v>
      </c>
      <c r="B11636" s="4" t="str">
        <f>HYPERLINK("https://twitter.com/petrogustavo","@petrogustavo")</f>
        <v>@petrogustavo</v>
      </c>
      <c r="C11636" s="5" t="s">
        <v>16</v>
      </c>
      <c r="D11636" s="5" t="s">
        <v>11202</v>
      </c>
      <c r="E11636" s="6" t="str">
        <f>HYPERLINK("https://twitter.com/petrogustavo/status/1325073945444421635","1325073945444421635")</f>
        <v>1325073945444421635</v>
      </c>
      <c r="F11636" s="7" t="s">
        <v>17</v>
      </c>
      <c r="G11636" s="7">
        <v>4002716</v>
      </c>
      <c r="H11636" s="7">
        <v>2458</v>
      </c>
      <c r="I11636" s="7">
        <v>38</v>
      </c>
      <c r="J11636" s="7">
        <v>0</v>
      </c>
      <c r="K11636" s="7" t="s">
        <v>18</v>
      </c>
      <c r="L11636" s="8">
        <v>39987.315405092595</v>
      </c>
      <c r="M11636" s="9" t="s">
        <v>19</v>
      </c>
      <c r="N11636" s="9" t="s">
        <v>20</v>
      </c>
      <c r="O11636" s="6" t="str">
        <f>HYPERLINK("https://pbs.twimg.com/profile_images/962471262747529216/Uo8lOkRJ_normal.jpg","View")</f>
        <v>View</v>
      </c>
      <c r="P11636" s="7"/>
    </row>
    <row r="11637" spans="1:16">
      <c r="A11637" s="3">
        <v>44142.820185185185</v>
      </c>
      <c r="B11637" s="4" t="str">
        <f>HYPERLINK("https://twitter.com/petrogustavo","@petrogustavo")</f>
        <v>@petrogustavo</v>
      </c>
      <c r="C11637" s="5" t="s">
        <v>16</v>
      </c>
      <c r="D11637" s="5" t="s">
        <v>11203</v>
      </c>
      <c r="E11637" s="6" t="str">
        <f>HYPERLINK("https://twitter.com/petrogustavo/status/1325078320145440770","1325078320145440770")</f>
        <v>1325078320145440770</v>
      </c>
      <c r="F11637" s="7" t="s">
        <v>17</v>
      </c>
      <c r="G11637" s="7">
        <v>4002716</v>
      </c>
      <c r="H11637" s="7">
        <v>2458</v>
      </c>
      <c r="I11637" s="7">
        <v>9</v>
      </c>
      <c r="J11637" s="7">
        <v>58</v>
      </c>
      <c r="K11637" s="7" t="s">
        <v>18</v>
      </c>
      <c r="L11637" s="8">
        <v>39987.315405092595</v>
      </c>
      <c r="M11637" s="9" t="s">
        <v>19</v>
      </c>
      <c r="N11637" s="9" t="s">
        <v>20</v>
      </c>
      <c r="O11637" s="6" t="str">
        <f>HYPERLINK("https://pbs.twimg.com/profile_images/962471262747529216/Uo8lOkRJ_normal.jpg","View")</f>
        <v>View</v>
      </c>
      <c r="P11637" s="7"/>
    </row>
    <row r="11638" spans="1:16">
      <c r="A11638" s="3">
        <v>44142.828009259261</v>
      </c>
      <c r="B11638" s="4" t="str">
        <f>HYPERLINK("https://twitter.com/petrogustavo","@petrogustavo")</f>
        <v>@petrogustavo</v>
      </c>
      <c r="C11638" s="5" t="s">
        <v>16</v>
      </c>
      <c r="D11638" s="5" t="s">
        <v>11204</v>
      </c>
      <c r="E11638" s="6" t="str">
        <f>HYPERLINK("https://twitter.com/petrogustavo/status/1325081152277929984","1325081152277929984")</f>
        <v>1325081152277929984</v>
      </c>
      <c r="F11638" s="7" t="s">
        <v>17</v>
      </c>
      <c r="G11638" s="7">
        <v>4002730</v>
      </c>
      <c r="H11638" s="7">
        <v>2458</v>
      </c>
      <c r="I11638" s="7">
        <v>120</v>
      </c>
      <c r="J11638" s="7">
        <v>0</v>
      </c>
      <c r="K11638" s="7" t="s">
        <v>18</v>
      </c>
      <c r="L11638" s="8">
        <v>39987.315405092595</v>
      </c>
      <c r="M11638" s="9" t="s">
        <v>19</v>
      </c>
      <c r="N11638" s="9" t="s">
        <v>20</v>
      </c>
      <c r="O11638" s="6" t="str">
        <f>HYPERLINK("https://pbs.twimg.com/profile_images/962471262747529216/Uo8lOkRJ_normal.jpg","View")</f>
        <v>View</v>
      </c>
      <c r="P11638" s="7"/>
    </row>
    <row r="11639" spans="1:16">
      <c r="A11639" s="3">
        <v>44142.828460648147</v>
      </c>
      <c r="B11639" s="4" t="str">
        <f>HYPERLINK("https://twitter.com/petrogustavo","@petrogustavo")</f>
        <v>@petrogustavo</v>
      </c>
      <c r="C11639" s="5" t="s">
        <v>16</v>
      </c>
      <c r="D11639" s="5" t="s">
        <v>11205</v>
      </c>
      <c r="E11639" s="6" t="str">
        <f>HYPERLINK("https://twitter.com/petrogustavo/status/1325081317793476614","1325081317793476614")</f>
        <v>1325081317793476614</v>
      </c>
      <c r="F11639" s="7" t="s">
        <v>17</v>
      </c>
      <c r="G11639" s="7">
        <v>4002730</v>
      </c>
      <c r="H11639" s="7">
        <v>2458</v>
      </c>
      <c r="I11639" s="7">
        <v>269</v>
      </c>
      <c r="J11639" s="7">
        <v>0</v>
      </c>
      <c r="K11639" s="7" t="s">
        <v>18</v>
      </c>
      <c r="L11639" s="8">
        <v>39987.315405092595</v>
      </c>
      <c r="M11639" s="9" t="s">
        <v>19</v>
      </c>
      <c r="N11639" s="9" t="s">
        <v>20</v>
      </c>
      <c r="O11639" s="6" t="str">
        <f>HYPERLINK("https://pbs.twimg.com/profile_images/962471262747529216/Uo8lOkRJ_normal.jpg","View")</f>
        <v>View</v>
      </c>
      <c r="P11639" s="7"/>
    </row>
    <row r="11640" spans="1:16">
      <c r="A11640" s="3">
        <v>44142.83021990741</v>
      </c>
      <c r="B11640" s="4" t="str">
        <f>HYPERLINK("https://twitter.com/petrogustavo","@petrogustavo")</f>
        <v>@petrogustavo</v>
      </c>
      <c r="C11640" s="5" t="s">
        <v>16</v>
      </c>
      <c r="D11640" s="5" t="s">
        <v>11206</v>
      </c>
      <c r="E11640" s="6" t="str">
        <f>HYPERLINK("https://twitter.com/petrogustavo/status/1325081956833513474","1325081956833513474")</f>
        <v>1325081956833513474</v>
      </c>
      <c r="F11640" s="7" t="s">
        <v>17</v>
      </c>
      <c r="G11640" s="7">
        <v>4002730</v>
      </c>
      <c r="H11640" s="7">
        <v>2458</v>
      </c>
      <c r="I11640" s="7">
        <v>58</v>
      </c>
      <c r="J11640" s="7">
        <v>197</v>
      </c>
      <c r="K11640" s="7" t="s">
        <v>18</v>
      </c>
      <c r="L11640" s="8">
        <v>39987.315405092595</v>
      </c>
      <c r="M11640" s="9" t="s">
        <v>19</v>
      </c>
      <c r="N11640" s="9" t="s">
        <v>20</v>
      </c>
      <c r="O11640" s="6" t="str">
        <f>HYPERLINK("https://pbs.twimg.com/profile_images/962471262747529216/Uo8lOkRJ_normal.jpg","View")</f>
        <v>View</v>
      </c>
      <c r="P11640" s="7"/>
    </row>
    <row r="11641" spans="1:16">
      <c r="A11641" s="3">
        <v>44142.840127314819</v>
      </c>
      <c r="B11641" s="4" t="str">
        <f>HYPERLINK("https://twitter.com/petrogustavo","@petrogustavo")</f>
        <v>@petrogustavo</v>
      </c>
      <c r="C11641" s="5" t="s">
        <v>16</v>
      </c>
      <c r="D11641" s="5" t="s">
        <v>11207</v>
      </c>
      <c r="E11641" s="6" t="str">
        <f>HYPERLINK("https://twitter.com/petrogustavo/status/1325085545215762432","1325085545215762432")</f>
        <v>1325085545215762432</v>
      </c>
      <c r="F11641" s="7" t="s">
        <v>17</v>
      </c>
      <c r="G11641" s="7">
        <v>4002730</v>
      </c>
      <c r="H11641" s="7">
        <v>2458</v>
      </c>
      <c r="I11641" s="7">
        <v>168</v>
      </c>
      <c r="J11641" s="7">
        <v>758</v>
      </c>
      <c r="K11641" s="7" t="s">
        <v>18</v>
      </c>
      <c r="L11641" s="8">
        <v>39987.315405092595</v>
      </c>
      <c r="M11641" s="9" t="s">
        <v>19</v>
      </c>
      <c r="N11641" s="9" t="s">
        <v>20</v>
      </c>
      <c r="O11641" s="6" t="str">
        <f>HYPERLINK("https://pbs.twimg.com/profile_images/962471262747529216/Uo8lOkRJ_normal.jpg","View")</f>
        <v>View</v>
      </c>
      <c r="P11641" s="7"/>
    </row>
    <row r="11642" spans="1:16">
      <c r="A11642" s="3">
        <v>44142.846643518518</v>
      </c>
      <c r="B11642" s="4" t="str">
        <f>HYPERLINK("https://twitter.com/petrogustavo","@petrogustavo")</f>
        <v>@petrogustavo</v>
      </c>
      <c r="C11642" s="5" t="s">
        <v>16</v>
      </c>
      <c r="D11642" s="5" t="s">
        <v>11208</v>
      </c>
      <c r="E11642" s="6" t="str">
        <f>HYPERLINK("https://twitter.com/petrogustavo/status/1325087907430928385","1325087907430928385")</f>
        <v>1325087907430928385</v>
      </c>
      <c r="F11642" s="7" t="s">
        <v>17</v>
      </c>
      <c r="G11642" s="7">
        <v>4002740</v>
      </c>
      <c r="H11642" s="7">
        <v>2458</v>
      </c>
      <c r="I11642" s="7">
        <v>354</v>
      </c>
      <c r="J11642" s="7">
        <v>0</v>
      </c>
      <c r="K11642" s="7" t="s">
        <v>18</v>
      </c>
      <c r="L11642" s="8">
        <v>39987.315405092595</v>
      </c>
      <c r="M11642" s="9" t="s">
        <v>19</v>
      </c>
      <c r="N11642" s="9" t="s">
        <v>20</v>
      </c>
      <c r="O11642" s="6" t="str">
        <f>HYPERLINK("https://pbs.twimg.com/profile_images/962471262747529216/Uo8lOkRJ_normal.jpg","View")</f>
        <v>View</v>
      </c>
      <c r="P11642" s="7"/>
    </row>
    <row r="11643" spans="1:16">
      <c r="A11643" s="3">
        <v>44142.932268518518</v>
      </c>
      <c r="B11643" s="4" t="str">
        <f>HYPERLINK("https://twitter.com/petrogustavo","@petrogustavo")</f>
        <v>@petrogustavo</v>
      </c>
      <c r="C11643" s="5" t="s">
        <v>16</v>
      </c>
      <c r="D11643" s="5" t="s">
        <v>11209</v>
      </c>
      <c r="E11643" s="6" t="str">
        <f>HYPERLINK("https://twitter.com/petrogustavo/status/1325118935772004352","1325118935772004352")</f>
        <v>1325118935772004352</v>
      </c>
      <c r="F11643" s="7" t="s">
        <v>17</v>
      </c>
      <c r="G11643" s="7">
        <v>4002825</v>
      </c>
      <c r="H11643" s="7">
        <v>2458</v>
      </c>
      <c r="I11643" s="7">
        <v>61</v>
      </c>
      <c r="J11643" s="7">
        <v>0</v>
      </c>
      <c r="K11643" s="7" t="s">
        <v>18</v>
      </c>
      <c r="L11643" s="8">
        <v>39987.315405092595</v>
      </c>
      <c r="M11643" s="9" t="s">
        <v>19</v>
      </c>
      <c r="N11643" s="9" t="s">
        <v>20</v>
      </c>
      <c r="O11643" s="6" t="str">
        <f>HYPERLINK("https://pbs.twimg.com/profile_images/962471262747529216/Uo8lOkRJ_normal.jpg","View")</f>
        <v>View</v>
      </c>
      <c r="P11643" s="7"/>
    </row>
    <row r="11644" spans="1:16">
      <c r="A11644" s="3">
        <v>44142.93582175926</v>
      </c>
      <c r="B11644" s="4" t="str">
        <f>HYPERLINK("https://twitter.com/petrogustavo","@petrogustavo")</f>
        <v>@petrogustavo</v>
      </c>
      <c r="C11644" s="5" t="s">
        <v>16</v>
      </c>
      <c r="D11644" s="5" t="s">
        <v>11210</v>
      </c>
      <c r="E11644" s="6" t="str">
        <f>HYPERLINK("https://twitter.com/petrogustavo/status/1325120223356227585","1325120223356227585")</f>
        <v>1325120223356227585</v>
      </c>
      <c r="F11644" s="7" t="s">
        <v>17</v>
      </c>
      <c r="G11644" s="7">
        <v>4002825</v>
      </c>
      <c r="H11644" s="7">
        <v>2458</v>
      </c>
      <c r="I11644" s="7">
        <v>436</v>
      </c>
      <c r="J11644" s="7">
        <v>2783</v>
      </c>
      <c r="K11644" s="7" t="s">
        <v>18</v>
      </c>
      <c r="L11644" s="8">
        <v>39987.315405092595</v>
      </c>
      <c r="M11644" s="9" t="s">
        <v>19</v>
      </c>
      <c r="N11644" s="9" t="s">
        <v>20</v>
      </c>
      <c r="O11644" s="6" t="str">
        <f>HYPERLINK("https://pbs.twimg.com/profile_images/962471262747529216/Uo8lOkRJ_normal.jpg","View")</f>
        <v>View</v>
      </c>
      <c r="P11644" s="7"/>
    </row>
    <row r="11645" spans="1:16">
      <c r="A11645" s="3">
        <v>44143.03606481482</v>
      </c>
      <c r="B11645" s="4" t="str">
        <f>HYPERLINK("https://twitter.com/petrogustavo","@petrogustavo")</f>
        <v>@petrogustavo</v>
      </c>
      <c r="C11645" s="5" t="s">
        <v>16</v>
      </c>
      <c r="D11645" s="5" t="s">
        <v>11211</v>
      </c>
      <c r="E11645" s="6" t="str">
        <f>HYPERLINK("https://twitter.com/petrogustavo/status/1325156549115961345","1325156549115961345")</f>
        <v>1325156549115961345</v>
      </c>
      <c r="F11645" s="7" t="s">
        <v>17</v>
      </c>
      <c r="G11645" s="7">
        <v>4003069</v>
      </c>
      <c r="H11645" s="7">
        <v>2458</v>
      </c>
      <c r="I11645" s="7">
        <v>1459</v>
      </c>
      <c r="J11645" s="7">
        <v>0</v>
      </c>
      <c r="K11645" s="7" t="s">
        <v>18</v>
      </c>
      <c r="L11645" s="8">
        <v>39987.315405092595</v>
      </c>
      <c r="M11645" s="9" t="s">
        <v>19</v>
      </c>
      <c r="N11645" s="9" t="s">
        <v>20</v>
      </c>
      <c r="O11645" s="6" t="str">
        <f>HYPERLINK("https://pbs.twimg.com/profile_images/962471262747529216/Uo8lOkRJ_normal.jpg","View")</f>
        <v>View</v>
      </c>
      <c r="P11645" s="7"/>
    </row>
    <row r="11646" spans="1:16">
      <c r="A11646" s="3">
        <v>44143.732210648144</v>
      </c>
      <c r="B11646" s="4" t="str">
        <f>HYPERLINK("https://twitter.com/petrogustavo","@petrogustavo")</f>
        <v>@petrogustavo</v>
      </c>
      <c r="C11646" s="5" t="s">
        <v>16</v>
      </c>
      <c r="D11646" s="5" t="s">
        <v>11212</v>
      </c>
      <c r="E11646" s="6" t="str">
        <f>HYPERLINK("https://twitter.com/petrogustavo/status/1325408825185329153","1325408825185329153")</f>
        <v>1325408825185329153</v>
      </c>
      <c r="F11646" s="7" t="s">
        <v>17</v>
      </c>
      <c r="G11646" s="7">
        <v>4003434</v>
      </c>
      <c r="H11646" s="7">
        <v>2457</v>
      </c>
      <c r="I11646" s="7">
        <v>34</v>
      </c>
      <c r="J11646" s="7">
        <v>99</v>
      </c>
      <c r="K11646" s="7" t="s">
        <v>18</v>
      </c>
      <c r="L11646" s="8">
        <v>39987.315405092595</v>
      </c>
      <c r="M11646" s="9" t="s">
        <v>19</v>
      </c>
      <c r="N11646" s="9" t="s">
        <v>20</v>
      </c>
      <c r="O11646" s="6" t="str">
        <f>HYPERLINK("https://pbs.twimg.com/profile_images/962471262747529216/Uo8lOkRJ_normal.jpg","View")</f>
        <v>View</v>
      </c>
      <c r="P11646" s="7"/>
    </row>
    <row r="11647" spans="1:16">
      <c r="A11647" s="3">
        <v>44143.742893518516</v>
      </c>
      <c r="B11647" s="4" t="str">
        <f>HYPERLINK("https://twitter.com/petrogustavo","@petrogustavo")</f>
        <v>@petrogustavo</v>
      </c>
      <c r="C11647" s="5" t="s">
        <v>16</v>
      </c>
      <c r="D11647" s="5" t="s">
        <v>11213</v>
      </c>
      <c r="E11647" s="6" t="str">
        <f>HYPERLINK("https://twitter.com/petrogustavo/status/1325412695986868224","1325412695986868224")</f>
        <v>1325412695986868224</v>
      </c>
      <c r="F11647" s="7" t="s">
        <v>17</v>
      </c>
      <c r="G11647" s="7">
        <v>4003449</v>
      </c>
      <c r="H11647" s="7">
        <v>2457</v>
      </c>
      <c r="I11647" s="7">
        <v>76</v>
      </c>
      <c r="J11647" s="7">
        <v>223</v>
      </c>
      <c r="K11647" s="7" t="s">
        <v>18</v>
      </c>
      <c r="L11647" s="8">
        <v>39987.315405092595</v>
      </c>
      <c r="M11647" s="9" t="s">
        <v>19</v>
      </c>
      <c r="N11647" s="9" t="s">
        <v>20</v>
      </c>
      <c r="O11647" s="6" t="str">
        <f>HYPERLINK("https://pbs.twimg.com/profile_images/962471262747529216/Uo8lOkRJ_normal.jpg","View")</f>
        <v>View</v>
      </c>
      <c r="P11647" s="7"/>
    </row>
    <row r="11648" spans="1:16">
      <c r="A11648" s="3">
        <v>44143.785555555558</v>
      </c>
      <c r="B11648" s="4" t="str">
        <f>HYPERLINK("https://twitter.com/petrogustavo","@petrogustavo")</f>
        <v>@petrogustavo</v>
      </c>
      <c r="C11648" s="5" t="s">
        <v>16</v>
      </c>
      <c r="D11648" s="5" t="s">
        <v>11214</v>
      </c>
      <c r="E11648" s="6" t="str">
        <f>HYPERLINK("https://twitter.com/petrogustavo/status/1325428156900237313","1325428156900237313")</f>
        <v>1325428156900237313</v>
      </c>
      <c r="F11648" s="7" t="s">
        <v>17</v>
      </c>
      <c r="G11648" s="7">
        <v>4003482</v>
      </c>
      <c r="H11648" s="7">
        <v>2457</v>
      </c>
      <c r="I11648" s="7">
        <v>306</v>
      </c>
      <c r="J11648" s="7">
        <v>0</v>
      </c>
      <c r="K11648" s="7" t="s">
        <v>18</v>
      </c>
      <c r="L11648" s="8">
        <v>39987.315405092595</v>
      </c>
      <c r="M11648" s="9" t="s">
        <v>19</v>
      </c>
      <c r="N11648" s="9" t="s">
        <v>20</v>
      </c>
      <c r="O11648" s="6" t="str">
        <f>HYPERLINK("https://pbs.twimg.com/profile_images/962471262747529216/Uo8lOkRJ_normal.jpg","View")</f>
        <v>View</v>
      </c>
      <c r="P11648" s="7"/>
    </row>
    <row r="11649" spans="1:16">
      <c r="A11649" s="3">
        <v>44143.788935185185</v>
      </c>
      <c r="B11649" s="4" t="str">
        <f>HYPERLINK("https://twitter.com/petrogustavo","@petrogustavo")</f>
        <v>@petrogustavo</v>
      </c>
      <c r="C11649" s="5" t="s">
        <v>16</v>
      </c>
      <c r="D11649" s="5" t="s">
        <v>11215</v>
      </c>
      <c r="E11649" s="6" t="str">
        <f>HYPERLINK("https://twitter.com/petrogustavo/status/1325429379812438017","1325429379812438017")</f>
        <v>1325429379812438017</v>
      </c>
      <c r="F11649" s="7" t="s">
        <v>17</v>
      </c>
      <c r="G11649" s="7">
        <v>4003482</v>
      </c>
      <c r="H11649" s="7">
        <v>2457</v>
      </c>
      <c r="I11649" s="7">
        <v>83</v>
      </c>
      <c r="J11649" s="7">
        <v>615</v>
      </c>
      <c r="K11649" s="7" t="s">
        <v>18</v>
      </c>
      <c r="L11649" s="8">
        <v>39987.315405092595</v>
      </c>
      <c r="M11649" s="9" t="s">
        <v>19</v>
      </c>
      <c r="N11649" s="9" t="s">
        <v>20</v>
      </c>
      <c r="O11649" s="6" t="str">
        <f>HYPERLINK("https://pbs.twimg.com/profile_images/962471262747529216/Uo8lOkRJ_normal.jpg","View")</f>
        <v>View</v>
      </c>
      <c r="P11649" s="7"/>
    </row>
    <row r="11650" spans="1:16">
      <c r="A11650" s="3">
        <v>44143.794814814813</v>
      </c>
      <c r="B11650" s="4" t="str">
        <f>HYPERLINK("https://twitter.com/petrogustavo","@petrogustavo")</f>
        <v>@petrogustavo</v>
      </c>
      <c r="C11650" s="5" t="s">
        <v>16</v>
      </c>
      <c r="D11650" s="5" t="s">
        <v>11216</v>
      </c>
      <c r="E11650" s="6" t="str">
        <f>HYPERLINK("https://twitter.com/petrogustavo/status/1325431513656266753","1325431513656266753")</f>
        <v>1325431513656266753</v>
      </c>
      <c r="F11650" s="7" t="s">
        <v>17</v>
      </c>
      <c r="G11650" s="7">
        <v>4003482</v>
      </c>
      <c r="H11650" s="7">
        <v>2457</v>
      </c>
      <c r="I11650" s="7">
        <v>104</v>
      </c>
      <c r="J11650" s="7">
        <v>0</v>
      </c>
      <c r="K11650" s="7" t="s">
        <v>18</v>
      </c>
      <c r="L11650" s="8">
        <v>39987.315405092595</v>
      </c>
      <c r="M11650" s="9" t="s">
        <v>19</v>
      </c>
      <c r="N11650" s="9" t="s">
        <v>20</v>
      </c>
      <c r="O11650" s="6" t="str">
        <f>HYPERLINK("https://pbs.twimg.com/profile_images/962471262747529216/Uo8lOkRJ_normal.jpg","View")</f>
        <v>View</v>
      </c>
      <c r="P11650" s="7"/>
    </row>
    <row r="11651" spans="1:16">
      <c r="A11651" s="3">
        <v>44143.795763888891</v>
      </c>
      <c r="B11651" s="4" t="str">
        <f>HYPERLINK("https://twitter.com/petrogustavo","@petrogustavo")</f>
        <v>@petrogustavo</v>
      </c>
      <c r="C11651" s="5" t="s">
        <v>16</v>
      </c>
      <c r="D11651" s="5" t="s">
        <v>11217</v>
      </c>
      <c r="E11651" s="6" t="str">
        <f>HYPERLINK("https://twitter.com/petrogustavo/status/1325431856347697153","1325431856347697153")</f>
        <v>1325431856347697153</v>
      </c>
      <c r="F11651" s="7" t="s">
        <v>17</v>
      </c>
      <c r="G11651" s="7">
        <v>4003482</v>
      </c>
      <c r="H11651" s="7">
        <v>2457</v>
      </c>
      <c r="I11651" s="7">
        <v>143</v>
      </c>
      <c r="J11651" s="7">
        <v>541</v>
      </c>
      <c r="K11651" s="7" t="s">
        <v>18</v>
      </c>
      <c r="L11651" s="8">
        <v>39987.315405092595</v>
      </c>
      <c r="M11651" s="9" t="s">
        <v>19</v>
      </c>
      <c r="N11651" s="9" t="s">
        <v>20</v>
      </c>
      <c r="O11651" s="6" t="str">
        <f>HYPERLINK("https://pbs.twimg.com/profile_images/962471262747529216/Uo8lOkRJ_normal.jpg","View")</f>
        <v>View</v>
      </c>
      <c r="P11651" s="7"/>
    </row>
    <row r="11652" spans="1:16">
      <c r="A11652" s="3">
        <v>44143.797372685185</v>
      </c>
      <c r="B11652" s="4" t="str">
        <f>HYPERLINK("https://twitter.com/petrogustavo","@petrogustavo")</f>
        <v>@petrogustavo</v>
      </c>
      <c r="C11652" s="5" t="s">
        <v>16</v>
      </c>
      <c r="D11652" s="5" t="s">
        <v>11218</v>
      </c>
      <c r="E11652" s="6" t="str">
        <f>HYPERLINK("https://twitter.com/petrogustavo/status/1325432439825690626","1325432439825690626")</f>
        <v>1325432439825690626</v>
      </c>
      <c r="F11652" s="7" t="s">
        <v>17</v>
      </c>
      <c r="G11652" s="7">
        <v>4003482</v>
      </c>
      <c r="H11652" s="7">
        <v>2457</v>
      </c>
      <c r="I11652" s="7">
        <v>4086</v>
      </c>
      <c r="J11652" s="7">
        <v>0</v>
      </c>
      <c r="K11652" s="7" t="s">
        <v>18</v>
      </c>
      <c r="L11652" s="8">
        <v>39987.315405092595</v>
      </c>
      <c r="M11652" s="9" t="s">
        <v>19</v>
      </c>
      <c r="N11652" s="9" t="s">
        <v>20</v>
      </c>
      <c r="O11652" s="6" t="str">
        <f>HYPERLINK("https://pbs.twimg.com/profile_images/962471262747529216/Uo8lOkRJ_normal.jpg","View")</f>
        <v>View</v>
      </c>
      <c r="P11652" s="7"/>
    </row>
    <row r="11653" spans="1:16">
      <c r="A11653" s="3">
        <v>44143.800636574073</v>
      </c>
      <c r="B11653" s="4" t="str">
        <f>HYPERLINK("https://twitter.com/petrogustavo","@petrogustavo")</f>
        <v>@petrogustavo</v>
      </c>
      <c r="C11653" s="5" t="s">
        <v>16</v>
      </c>
      <c r="D11653" s="5" t="s">
        <v>11219</v>
      </c>
      <c r="E11653" s="6" t="str">
        <f>HYPERLINK("https://twitter.com/petrogustavo/status/1325433620023144449","1325433620023144449")</f>
        <v>1325433620023144449</v>
      </c>
      <c r="F11653" s="7" t="s">
        <v>17</v>
      </c>
      <c r="G11653" s="7">
        <v>4003482</v>
      </c>
      <c r="H11653" s="7">
        <v>2457</v>
      </c>
      <c r="I11653" s="7">
        <v>143</v>
      </c>
      <c r="J11653" s="7">
        <v>0</v>
      </c>
      <c r="K11653" s="7" t="s">
        <v>18</v>
      </c>
      <c r="L11653" s="8">
        <v>39987.315405092595</v>
      </c>
      <c r="M11653" s="9" t="s">
        <v>19</v>
      </c>
      <c r="N11653" s="9" t="s">
        <v>20</v>
      </c>
      <c r="O11653" s="6" t="str">
        <f>HYPERLINK("https://pbs.twimg.com/profile_images/962471262747529216/Uo8lOkRJ_normal.jpg","View")</f>
        <v>View</v>
      </c>
      <c r="P11653" s="7"/>
    </row>
    <row r="11654" spans="1:16">
      <c r="A11654" s="3">
        <v>44143.800937499997</v>
      </c>
      <c r="B11654" s="4" t="str">
        <f>HYPERLINK("https://twitter.com/petrogustavo","@petrogustavo")</f>
        <v>@petrogustavo</v>
      </c>
      <c r="C11654" s="5" t="s">
        <v>16</v>
      </c>
      <c r="D11654" s="5" t="s">
        <v>11220</v>
      </c>
      <c r="E11654" s="6" t="str">
        <f>HYPERLINK("https://twitter.com/petrogustavo/status/1325433730530467841","1325433730530467841")</f>
        <v>1325433730530467841</v>
      </c>
      <c r="F11654" s="7" t="s">
        <v>17</v>
      </c>
      <c r="G11654" s="7">
        <v>4003482</v>
      </c>
      <c r="H11654" s="7">
        <v>2457</v>
      </c>
      <c r="I11654" s="7">
        <v>129</v>
      </c>
      <c r="J11654" s="7">
        <v>0</v>
      </c>
      <c r="K11654" s="7" t="s">
        <v>18</v>
      </c>
      <c r="L11654" s="8">
        <v>39987.315405092595</v>
      </c>
      <c r="M11654" s="9" t="s">
        <v>19</v>
      </c>
      <c r="N11654" s="9" t="s">
        <v>20</v>
      </c>
      <c r="O11654" s="6" t="str">
        <f>HYPERLINK("https://pbs.twimg.com/profile_images/962471262747529216/Uo8lOkRJ_normal.jpg","View")</f>
        <v>View</v>
      </c>
      <c r="P11654" s="7"/>
    </row>
    <row r="11655" spans="1:16">
      <c r="A11655" s="3">
        <v>44143.800983796296</v>
      </c>
      <c r="B11655" s="4" t="str">
        <f>HYPERLINK("https://twitter.com/petrogustavo","@petrogustavo")</f>
        <v>@petrogustavo</v>
      </c>
      <c r="C11655" s="5" t="s">
        <v>16</v>
      </c>
      <c r="D11655" s="5" t="s">
        <v>11221</v>
      </c>
      <c r="E11655" s="6" t="str">
        <f>HYPERLINK("https://twitter.com/petrogustavo/status/1325433748339429376","1325433748339429376")</f>
        <v>1325433748339429376</v>
      </c>
      <c r="F11655" s="7" t="s">
        <v>17</v>
      </c>
      <c r="G11655" s="7">
        <v>4003482</v>
      </c>
      <c r="H11655" s="7">
        <v>2457</v>
      </c>
      <c r="I11655" s="7">
        <v>167</v>
      </c>
      <c r="J11655" s="7">
        <v>0</v>
      </c>
      <c r="K11655" s="7" t="s">
        <v>18</v>
      </c>
      <c r="L11655" s="8">
        <v>39987.315405092595</v>
      </c>
      <c r="M11655" s="9" t="s">
        <v>19</v>
      </c>
      <c r="N11655" s="9" t="s">
        <v>20</v>
      </c>
      <c r="O11655" s="6" t="str">
        <f>HYPERLINK("https://pbs.twimg.com/profile_images/962471262747529216/Uo8lOkRJ_normal.jpg","View")</f>
        <v>View</v>
      </c>
      <c r="P11655" s="7"/>
    </row>
    <row r="11656" spans="1:16">
      <c r="A11656" s="3">
        <v>44143.804930555554</v>
      </c>
      <c r="B11656" s="4" t="str">
        <f>HYPERLINK("https://twitter.com/petrogustavo","@petrogustavo")</f>
        <v>@petrogustavo</v>
      </c>
      <c r="C11656" s="5" t="s">
        <v>16</v>
      </c>
      <c r="D11656" s="5" t="s">
        <v>11222</v>
      </c>
      <c r="E11656" s="6" t="str">
        <f>HYPERLINK("https://twitter.com/petrogustavo/status/1325435176265129984","1325435176265129984")</f>
        <v>1325435176265129984</v>
      </c>
      <c r="F11656" s="7" t="s">
        <v>17</v>
      </c>
      <c r="G11656" s="7">
        <v>4003485</v>
      </c>
      <c r="H11656" s="7">
        <v>2457</v>
      </c>
      <c r="I11656" s="7">
        <v>117</v>
      </c>
      <c r="J11656" s="7">
        <v>604</v>
      </c>
      <c r="K11656" s="7" t="s">
        <v>18</v>
      </c>
      <c r="L11656" s="8">
        <v>39987.315405092595</v>
      </c>
      <c r="M11656" s="9" t="s">
        <v>19</v>
      </c>
      <c r="N11656" s="9" t="s">
        <v>20</v>
      </c>
      <c r="O11656" s="6" t="str">
        <f>HYPERLINK("https://pbs.twimg.com/profile_images/962471262747529216/Uo8lOkRJ_normal.jpg","View")</f>
        <v>View</v>
      </c>
      <c r="P11656" s="7"/>
    </row>
    <row r="11657" spans="1:16">
      <c r="A11657" s="3">
        <v>44143.809270833328</v>
      </c>
      <c r="B11657" s="4" t="str">
        <f>HYPERLINK("https://twitter.com/petrogustavo","@petrogustavo")</f>
        <v>@petrogustavo</v>
      </c>
      <c r="C11657" s="5" t="s">
        <v>16</v>
      </c>
      <c r="D11657" s="5" t="s">
        <v>11223</v>
      </c>
      <c r="E11657" s="6" t="str">
        <f>HYPERLINK("https://twitter.com/petrogustavo/status/1325436751536680961","1325436751536680961")</f>
        <v>1325436751536680961</v>
      </c>
      <c r="F11657" s="7" t="s">
        <v>17</v>
      </c>
      <c r="G11657" s="7">
        <v>4003485</v>
      </c>
      <c r="H11657" s="7">
        <v>2457</v>
      </c>
      <c r="I11657" s="7">
        <v>110</v>
      </c>
      <c r="J11657" s="7">
        <v>0</v>
      </c>
      <c r="K11657" s="7" t="s">
        <v>18</v>
      </c>
      <c r="L11657" s="8">
        <v>39987.315405092595</v>
      </c>
      <c r="M11657" s="9" t="s">
        <v>19</v>
      </c>
      <c r="N11657" s="9" t="s">
        <v>20</v>
      </c>
      <c r="O11657" s="6" t="str">
        <f>HYPERLINK("https://pbs.twimg.com/profile_images/962471262747529216/Uo8lOkRJ_normal.jpg","View")</f>
        <v>View</v>
      </c>
      <c r="P11657" s="7"/>
    </row>
    <row r="11658" spans="1:16">
      <c r="A11658" s="3">
        <v>44143.811168981483</v>
      </c>
      <c r="B11658" s="4" t="str">
        <f>HYPERLINK("https://twitter.com/petrogustavo","@petrogustavo")</f>
        <v>@petrogustavo</v>
      </c>
      <c r="C11658" s="5" t="s">
        <v>16</v>
      </c>
      <c r="D11658" s="5" t="s">
        <v>11224</v>
      </c>
      <c r="E11658" s="6" t="str">
        <f>HYPERLINK("https://twitter.com/petrogustavo/status/1325437437515079681","1325437437515079681")</f>
        <v>1325437437515079681</v>
      </c>
      <c r="F11658" s="7" t="s">
        <v>17</v>
      </c>
      <c r="G11658" s="7">
        <v>4003485</v>
      </c>
      <c r="H11658" s="7">
        <v>2457</v>
      </c>
      <c r="I11658" s="7">
        <v>294</v>
      </c>
      <c r="J11658" s="7">
        <v>1287</v>
      </c>
      <c r="K11658" s="7" t="s">
        <v>18</v>
      </c>
      <c r="L11658" s="8">
        <v>39987.315405092595</v>
      </c>
      <c r="M11658" s="9" t="s">
        <v>19</v>
      </c>
      <c r="N11658" s="9" t="s">
        <v>20</v>
      </c>
      <c r="O11658" s="6" t="str">
        <f>HYPERLINK("https://pbs.twimg.com/profile_images/962471262747529216/Uo8lOkRJ_normal.jpg","View")</f>
        <v>View</v>
      </c>
      <c r="P11658" s="7"/>
    </row>
    <row r="11659" spans="1:16">
      <c r="A11659" s="3">
        <v>44143.814606481479</v>
      </c>
      <c r="B11659" s="4" t="str">
        <f>HYPERLINK("https://twitter.com/petrogustavo","@petrogustavo")</f>
        <v>@petrogustavo</v>
      </c>
      <c r="C11659" s="5" t="s">
        <v>16</v>
      </c>
      <c r="D11659" s="5" t="s">
        <v>11225</v>
      </c>
      <c r="E11659" s="6" t="str">
        <f>HYPERLINK("https://twitter.com/petrogustavo/status/1325438683034611713","1325438683034611713")</f>
        <v>1325438683034611713</v>
      </c>
      <c r="F11659" s="7" t="s">
        <v>17</v>
      </c>
      <c r="G11659" s="7">
        <v>4003485</v>
      </c>
      <c r="H11659" s="7">
        <v>2457</v>
      </c>
      <c r="I11659" s="7">
        <v>108</v>
      </c>
      <c r="J11659" s="7">
        <v>371</v>
      </c>
      <c r="K11659" s="7" t="s">
        <v>18</v>
      </c>
      <c r="L11659" s="8">
        <v>39987.315405092595</v>
      </c>
      <c r="M11659" s="9" t="s">
        <v>19</v>
      </c>
      <c r="N11659" s="9" t="s">
        <v>20</v>
      </c>
      <c r="O11659" s="6" t="str">
        <f>HYPERLINK("https://pbs.twimg.com/profile_images/962471262747529216/Uo8lOkRJ_normal.jpg","View")</f>
        <v>View</v>
      </c>
      <c r="P11659" s="7"/>
    </row>
    <row r="11660" spans="1:16">
      <c r="A11660" s="3">
        <v>44143.820231481484</v>
      </c>
      <c r="B11660" s="4" t="str">
        <f>HYPERLINK("https://twitter.com/petrogustavo","@petrogustavo")</f>
        <v>@petrogustavo</v>
      </c>
      <c r="C11660" s="5" t="s">
        <v>16</v>
      </c>
      <c r="D11660" s="5" t="s">
        <v>11220</v>
      </c>
      <c r="E11660" s="6" t="str">
        <f>HYPERLINK("https://twitter.com/petrogustavo/status/1325440721172787200","1325440721172787200")</f>
        <v>1325440721172787200</v>
      </c>
      <c r="F11660" s="7" t="s">
        <v>17</v>
      </c>
      <c r="G11660" s="7">
        <v>4003485</v>
      </c>
      <c r="H11660" s="7">
        <v>2457</v>
      </c>
      <c r="I11660" s="7">
        <v>159</v>
      </c>
      <c r="J11660" s="7">
        <v>0</v>
      </c>
      <c r="K11660" s="7" t="s">
        <v>18</v>
      </c>
      <c r="L11660" s="8">
        <v>39987.315405092595</v>
      </c>
      <c r="M11660" s="9" t="s">
        <v>19</v>
      </c>
      <c r="N11660" s="9" t="s">
        <v>20</v>
      </c>
      <c r="O11660" s="6" t="str">
        <f>HYPERLINK("https://pbs.twimg.com/profile_images/962471262747529216/Uo8lOkRJ_normal.jpg","View")</f>
        <v>View</v>
      </c>
      <c r="P11660" s="7"/>
    </row>
    <row r="11661" spans="1:16">
      <c r="A11661" s="3">
        <v>44143.820347222223</v>
      </c>
      <c r="B11661" s="4" t="str">
        <f>HYPERLINK("https://twitter.com/petrogustavo","@petrogustavo")</f>
        <v>@petrogustavo</v>
      </c>
      <c r="C11661" s="5" t="s">
        <v>16</v>
      </c>
      <c r="D11661" s="5" t="s">
        <v>11221</v>
      </c>
      <c r="E11661" s="6" t="str">
        <f>HYPERLINK("https://twitter.com/petrogustavo/status/1325440766462873600","1325440766462873600")</f>
        <v>1325440766462873600</v>
      </c>
      <c r="F11661" s="7" t="s">
        <v>17</v>
      </c>
      <c r="G11661" s="7">
        <v>4003485</v>
      </c>
      <c r="H11661" s="7">
        <v>2457</v>
      </c>
      <c r="I11661" s="7">
        <v>197</v>
      </c>
      <c r="J11661" s="7">
        <v>0</v>
      </c>
      <c r="K11661" s="7" t="s">
        <v>18</v>
      </c>
      <c r="L11661" s="8">
        <v>39987.315405092595</v>
      </c>
      <c r="M11661" s="9" t="s">
        <v>19</v>
      </c>
      <c r="N11661" s="9" t="s">
        <v>20</v>
      </c>
      <c r="O11661" s="6" t="str">
        <f>HYPERLINK("https://pbs.twimg.com/profile_images/962471262747529216/Uo8lOkRJ_normal.jpg","View")</f>
        <v>View</v>
      </c>
      <c r="P11661" s="7"/>
    </row>
    <row r="11662" spans="1:16">
      <c r="A11662" s="3">
        <v>44143.878877314812</v>
      </c>
      <c r="B11662" s="4" t="str">
        <f>HYPERLINK("https://twitter.com/petrogustavo","@petrogustavo")</f>
        <v>@petrogustavo</v>
      </c>
      <c r="C11662" s="5" t="s">
        <v>16</v>
      </c>
      <c r="D11662" s="5" t="s">
        <v>11226</v>
      </c>
      <c r="E11662" s="6" t="str">
        <f>HYPERLINK("https://twitter.com/petrogustavo/status/1325461974721900545","1325461974721900545")</f>
        <v>1325461974721900545</v>
      </c>
      <c r="F11662" s="7" t="s">
        <v>32</v>
      </c>
      <c r="G11662" s="7">
        <v>4003530</v>
      </c>
      <c r="H11662" s="7">
        <v>2457</v>
      </c>
      <c r="I11662" s="7">
        <v>92</v>
      </c>
      <c r="J11662" s="7">
        <v>227</v>
      </c>
      <c r="K11662" s="7" t="s">
        <v>18</v>
      </c>
      <c r="L11662" s="8">
        <v>39987.315405092595</v>
      </c>
      <c r="M11662" s="9" t="s">
        <v>19</v>
      </c>
      <c r="N11662" s="9" t="s">
        <v>20</v>
      </c>
      <c r="O11662" s="6" t="str">
        <f>HYPERLINK("https://pbs.twimg.com/profile_images/962471262747529216/Uo8lOkRJ_normal.jpg","View")</f>
        <v>View</v>
      </c>
      <c r="P11662" s="7"/>
    </row>
    <row r="11663" spans="1:16">
      <c r="A11663" s="3">
        <v>44143.896724537037</v>
      </c>
      <c r="B11663" s="4" t="str">
        <f>HYPERLINK("https://twitter.com/petrogustavo","@petrogustavo")</f>
        <v>@petrogustavo</v>
      </c>
      <c r="C11663" s="5" t="s">
        <v>16</v>
      </c>
      <c r="D11663" s="5" t="s">
        <v>11227</v>
      </c>
      <c r="E11663" s="6" t="str">
        <f>HYPERLINK("https://twitter.com/petrogustavo/status/1325468444591009792","1325468444591009792")</f>
        <v>1325468444591009792</v>
      </c>
      <c r="F11663" s="7" t="s">
        <v>17</v>
      </c>
      <c r="G11663" s="7">
        <v>4003550</v>
      </c>
      <c r="H11663" s="7">
        <v>2457</v>
      </c>
      <c r="I11663" s="7">
        <v>19</v>
      </c>
      <c r="J11663" s="7">
        <v>0</v>
      </c>
      <c r="K11663" s="7" t="s">
        <v>18</v>
      </c>
      <c r="L11663" s="8">
        <v>39987.315405092595</v>
      </c>
      <c r="M11663" s="9" t="s">
        <v>19</v>
      </c>
      <c r="N11663" s="9" t="s">
        <v>20</v>
      </c>
      <c r="O11663" s="6" t="str">
        <f>HYPERLINK("https://pbs.twimg.com/profile_images/962471262747529216/Uo8lOkRJ_normal.jpg","View")</f>
        <v>View</v>
      </c>
      <c r="P11663" s="7"/>
    </row>
    <row r="11664" spans="1:16">
      <c r="A11664" s="3">
        <v>44143.897268518514</v>
      </c>
      <c r="B11664" s="4" t="str">
        <f>HYPERLINK("https://twitter.com/petrogustavo","@petrogustavo")</f>
        <v>@petrogustavo</v>
      </c>
      <c r="C11664" s="5" t="s">
        <v>16</v>
      </c>
      <c r="D11664" s="5" t="s">
        <v>11228</v>
      </c>
      <c r="E11664" s="6" t="str">
        <f>HYPERLINK("https://twitter.com/petrogustavo/status/1325468638753808386","1325468638753808386")</f>
        <v>1325468638753808386</v>
      </c>
      <c r="F11664" s="7" t="s">
        <v>17</v>
      </c>
      <c r="G11664" s="7">
        <v>4003550</v>
      </c>
      <c r="H11664" s="7">
        <v>2457</v>
      </c>
      <c r="I11664" s="7">
        <v>230</v>
      </c>
      <c r="J11664" s="7">
        <v>0</v>
      </c>
      <c r="K11664" s="7" t="s">
        <v>18</v>
      </c>
      <c r="L11664" s="8">
        <v>39987.315405092595</v>
      </c>
      <c r="M11664" s="9" t="s">
        <v>19</v>
      </c>
      <c r="N11664" s="9" t="s">
        <v>20</v>
      </c>
      <c r="O11664" s="6" t="str">
        <f>HYPERLINK("https://pbs.twimg.com/profile_images/962471262747529216/Uo8lOkRJ_normal.jpg","View")</f>
        <v>View</v>
      </c>
      <c r="P11664" s="7"/>
    </row>
    <row r="11665" spans="1:16">
      <c r="A11665" s="3">
        <v>44143.965648148151</v>
      </c>
      <c r="B11665" s="4" t="str">
        <f>HYPERLINK("https://twitter.com/petrogustavo","@petrogustavo")</f>
        <v>@petrogustavo</v>
      </c>
      <c r="C11665" s="5" t="s">
        <v>16</v>
      </c>
      <c r="D11665" s="5" t="s">
        <v>11220</v>
      </c>
      <c r="E11665" s="6" t="str">
        <f>HYPERLINK("https://twitter.com/petrogustavo/status/1325493418324353025","1325493418324353025")</f>
        <v>1325493418324353025</v>
      </c>
      <c r="F11665" s="7" t="s">
        <v>32</v>
      </c>
      <c r="G11665" s="7">
        <v>4003591</v>
      </c>
      <c r="H11665" s="7">
        <v>2459</v>
      </c>
      <c r="I11665" s="7">
        <v>265</v>
      </c>
      <c r="J11665" s="7">
        <v>0</v>
      </c>
      <c r="K11665" s="7" t="s">
        <v>18</v>
      </c>
      <c r="L11665" s="8">
        <v>39987.315405092595</v>
      </c>
      <c r="M11665" s="9" t="s">
        <v>19</v>
      </c>
      <c r="N11665" s="9" t="s">
        <v>20</v>
      </c>
      <c r="O11665" s="6" t="str">
        <f>HYPERLINK("https://pbs.twimg.com/profile_images/962471262747529216/Uo8lOkRJ_normal.jpg","View")</f>
        <v>View</v>
      </c>
      <c r="P11665" s="7"/>
    </row>
    <row r="11666" spans="1:16">
      <c r="A11666" s="3">
        <v>44143.965925925921</v>
      </c>
      <c r="B11666" s="4" t="str">
        <f>HYPERLINK("https://twitter.com/petrogustavo","@petrogustavo")</f>
        <v>@petrogustavo</v>
      </c>
      <c r="C11666" s="5" t="s">
        <v>16</v>
      </c>
      <c r="D11666" s="5" t="s">
        <v>11221</v>
      </c>
      <c r="E11666" s="6" t="str">
        <f>HYPERLINK("https://twitter.com/petrogustavo/status/1325493522804445185","1325493522804445185")</f>
        <v>1325493522804445185</v>
      </c>
      <c r="F11666" s="7" t="s">
        <v>32</v>
      </c>
      <c r="G11666" s="7">
        <v>4003591</v>
      </c>
      <c r="H11666" s="7">
        <v>2459</v>
      </c>
      <c r="I11666" s="7">
        <v>308</v>
      </c>
      <c r="J11666" s="7">
        <v>0</v>
      </c>
      <c r="K11666" s="7" t="s">
        <v>18</v>
      </c>
      <c r="L11666" s="8">
        <v>39987.315405092595</v>
      </c>
      <c r="M11666" s="9" t="s">
        <v>19</v>
      </c>
      <c r="N11666" s="9" t="s">
        <v>20</v>
      </c>
      <c r="O11666" s="6" t="str">
        <f>HYPERLINK("https://pbs.twimg.com/profile_images/962471262747529216/Uo8lOkRJ_normal.jpg","View")</f>
        <v>View</v>
      </c>
      <c r="P11666" s="7"/>
    </row>
    <row r="11667" spans="1:16">
      <c r="A11667" s="3">
        <v>44143.969907407409</v>
      </c>
      <c r="B11667" s="4" t="str">
        <f>HYPERLINK("https://twitter.com/petrogustavo","@petrogustavo")</f>
        <v>@petrogustavo</v>
      </c>
      <c r="C11667" s="5" t="s">
        <v>16</v>
      </c>
      <c r="D11667" s="5" t="s">
        <v>11229</v>
      </c>
      <c r="E11667" s="6" t="str">
        <f>HYPERLINK("https://twitter.com/petrogustavo/status/1325494963292020737","1325494963292020737")</f>
        <v>1325494963292020737</v>
      </c>
      <c r="F11667" s="7" t="s">
        <v>32</v>
      </c>
      <c r="G11667" s="7">
        <v>4003591</v>
      </c>
      <c r="H11667" s="7">
        <v>2459</v>
      </c>
      <c r="I11667" s="7">
        <v>2</v>
      </c>
      <c r="J11667" s="7">
        <v>6</v>
      </c>
      <c r="K11667" s="7" t="s">
        <v>18</v>
      </c>
      <c r="L11667" s="8">
        <v>39987.315405092595</v>
      </c>
      <c r="M11667" s="9" t="s">
        <v>19</v>
      </c>
      <c r="N11667" s="9" t="s">
        <v>20</v>
      </c>
      <c r="O11667" s="6" t="str">
        <f>HYPERLINK("https://pbs.twimg.com/profile_images/962471262747529216/Uo8lOkRJ_normal.jpg","View")</f>
        <v>View</v>
      </c>
      <c r="P11667" s="7"/>
    </row>
    <row r="11668" spans="1:16">
      <c r="A11668" s="3">
        <v>44143.972685185188</v>
      </c>
      <c r="B11668" s="4" t="str">
        <f>HYPERLINK("https://twitter.com/petrogustavo","@petrogustavo")</f>
        <v>@petrogustavo</v>
      </c>
      <c r="C11668" s="5" t="s">
        <v>16</v>
      </c>
      <c r="D11668" s="5" t="s">
        <v>11230</v>
      </c>
      <c r="E11668" s="6" t="str">
        <f>HYPERLINK("https://twitter.com/petrogustavo/status/1325495971988516865","1325495971988516865")</f>
        <v>1325495971988516865</v>
      </c>
      <c r="F11668" s="7" t="s">
        <v>32</v>
      </c>
      <c r="G11668" s="7">
        <v>4003629</v>
      </c>
      <c r="H11668" s="7">
        <v>2459</v>
      </c>
      <c r="I11668" s="7">
        <v>123</v>
      </c>
      <c r="J11668" s="7">
        <v>411</v>
      </c>
      <c r="K11668" s="7" t="s">
        <v>18</v>
      </c>
      <c r="L11668" s="8">
        <v>39987.315405092595</v>
      </c>
      <c r="M11668" s="9" t="s">
        <v>19</v>
      </c>
      <c r="N11668" s="9" t="s">
        <v>20</v>
      </c>
      <c r="O11668" s="6" t="str">
        <f>HYPERLINK("https://pbs.twimg.com/profile_images/962471262747529216/Uo8lOkRJ_normal.jpg","View")</f>
        <v>View</v>
      </c>
      <c r="P11668" s="7"/>
    </row>
    <row r="11669" spans="1:16">
      <c r="A11669" s="3">
        <v>44144.223090277781</v>
      </c>
      <c r="B11669" s="4" t="str">
        <f>HYPERLINK("https://twitter.com/petrogustavo","@petrogustavo")</f>
        <v>@petrogustavo</v>
      </c>
      <c r="C11669" s="5" t="s">
        <v>16</v>
      </c>
      <c r="D11669" s="5" t="s">
        <v>11221</v>
      </c>
      <c r="E11669" s="6" t="str">
        <f>HYPERLINK("https://twitter.com/petrogustavo/status/1325586712668594177","1325586712668594177")</f>
        <v>1325586712668594177</v>
      </c>
      <c r="F11669" s="7" t="s">
        <v>32</v>
      </c>
      <c r="G11669" s="7">
        <v>4003858</v>
      </c>
      <c r="H11669" s="7">
        <v>2459</v>
      </c>
      <c r="I11669" s="7">
        <v>421</v>
      </c>
      <c r="J11669" s="7">
        <v>0</v>
      </c>
      <c r="K11669" s="7" t="s">
        <v>18</v>
      </c>
      <c r="L11669" s="8">
        <v>39987.315405092595</v>
      </c>
      <c r="M11669" s="9" t="s">
        <v>19</v>
      </c>
      <c r="N11669" s="9" t="s">
        <v>20</v>
      </c>
      <c r="O11669" s="6" t="str">
        <f>HYPERLINK("https://pbs.twimg.com/profile_images/962471262747529216/Uo8lOkRJ_normal.jpg","View")</f>
        <v>View</v>
      </c>
      <c r="P11669" s="7"/>
    </row>
    <row r="11670" spans="1:16">
      <c r="A11670" s="3">
        <v>44144.232430555552</v>
      </c>
      <c r="B11670" s="4" t="str">
        <f>HYPERLINK("https://twitter.com/petrogustavo","@petrogustavo")</f>
        <v>@petrogustavo</v>
      </c>
      <c r="C11670" s="5" t="s">
        <v>16</v>
      </c>
      <c r="D11670" s="5" t="s">
        <v>11231</v>
      </c>
      <c r="E11670" s="6" t="str">
        <f>HYPERLINK("https://twitter.com/petrogustavo/status/1325590099132735488","1325590099132735488")</f>
        <v>1325590099132735488</v>
      </c>
      <c r="F11670" s="7" t="s">
        <v>22</v>
      </c>
      <c r="G11670" s="7">
        <v>4003858</v>
      </c>
      <c r="H11670" s="7">
        <v>2459</v>
      </c>
      <c r="I11670" s="7">
        <v>80</v>
      </c>
      <c r="J11670" s="7">
        <v>225</v>
      </c>
      <c r="K11670" s="7" t="s">
        <v>18</v>
      </c>
      <c r="L11670" s="8">
        <v>39987.315405092595</v>
      </c>
      <c r="M11670" s="9" t="s">
        <v>19</v>
      </c>
      <c r="N11670" s="9" t="s">
        <v>20</v>
      </c>
      <c r="O11670" s="6" t="str">
        <f>HYPERLINK("https://pbs.twimg.com/profile_images/962471262747529216/Uo8lOkRJ_normal.jpg","View")</f>
        <v>View</v>
      </c>
      <c r="P11670" s="7"/>
    </row>
    <row r="11671" spans="1:16">
      <c r="A11671" s="3">
        <v>44144.293506944443</v>
      </c>
      <c r="B11671" s="4" t="str">
        <f>HYPERLINK("https://twitter.com/petrogustavo","@petrogustavo")</f>
        <v>@petrogustavo</v>
      </c>
      <c r="C11671" s="5" t="s">
        <v>16</v>
      </c>
      <c r="D11671" s="5" t="s">
        <v>11232</v>
      </c>
      <c r="E11671" s="6" t="str">
        <f>HYPERLINK("https://twitter.com/petrogustavo/status/1325612231770296320","1325612231770296320")</f>
        <v>1325612231770296320</v>
      </c>
      <c r="F11671" s="7" t="s">
        <v>22</v>
      </c>
      <c r="G11671" s="7">
        <v>4003920</v>
      </c>
      <c r="H11671" s="7">
        <v>2459</v>
      </c>
      <c r="I11671" s="7">
        <v>55</v>
      </c>
      <c r="J11671" s="7">
        <v>166</v>
      </c>
      <c r="K11671" s="7" t="s">
        <v>18</v>
      </c>
      <c r="L11671" s="8">
        <v>39987.315405092595</v>
      </c>
      <c r="M11671" s="9" t="s">
        <v>19</v>
      </c>
      <c r="N11671" s="9" t="s">
        <v>20</v>
      </c>
      <c r="O11671" s="6" t="str">
        <f>HYPERLINK("https://pbs.twimg.com/profile_images/962471262747529216/Uo8lOkRJ_normal.jpg","View")</f>
        <v>View</v>
      </c>
      <c r="P11671" s="7"/>
    </row>
    <row r="11672" spans="1:16">
      <c r="A11672" s="3">
        <v>44144.335370370369</v>
      </c>
      <c r="B11672" s="4" t="str">
        <f>HYPERLINK("https://twitter.com/petrogustavo","@petrogustavo")</f>
        <v>@petrogustavo</v>
      </c>
      <c r="C11672" s="5" t="s">
        <v>16</v>
      </c>
      <c r="D11672" s="5" t="s">
        <v>11228</v>
      </c>
      <c r="E11672" s="6" t="str">
        <f>HYPERLINK("https://twitter.com/petrogustavo/status/1325627404275027968","1325627404275027968")</f>
        <v>1325627404275027968</v>
      </c>
      <c r="F11672" s="7" t="s">
        <v>32</v>
      </c>
      <c r="G11672" s="7">
        <v>4003939</v>
      </c>
      <c r="H11672" s="7">
        <v>2459</v>
      </c>
      <c r="I11672" s="7">
        <v>1145</v>
      </c>
      <c r="J11672" s="7">
        <v>0</v>
      </c>
      <c r="K11672" s="7" t="s">
        <v>18</v>
      </c>
      <c r="L11672" s="8">
        <v>39987.315405092595</v>
      </c>
      <c r="M11672" s="9" t="s">
        <v>19</v>
      </c>
      <c r="N11672" s="9" t="s">
        <v>20</v>
      </c>
      <c r="O11672" s="6" t="str">
        <f>HYPERLINK("https://pbs.twimg.com/profile_images/962471262747529216/Uo8lOkRJ_normal.jpg","View")</f>
        <v>View</v>
      </c>
      <c r="P11672" s="7"/>
    </row>
    <row r="11673" spans="1:16">
      <c r="A11673" s="3">
        <v>44144.730868055558</v>
      </c>
      <c r="B11673" s="4" t="str">
        <f>HYPERLINK("https://twitter.com/petrogustavo","@petrogustavo")</f>
        <v>@petrogustavo</v>
      </c>
      <c r="C11673" s="5" t="s">
        <v>16</v>
      </c>
      <c r="D11673" s="5" t="s">
        <v>11233</v>
      </c>
      <c r="E11673" s="6" t="str">
        <f>HYPERLINK("https://twitter.com/petrogustavo/status/1325770726310285322","1325770726310285322")</f>
        <v>1325770726310285322</v>
      </c>
      <c r="F11673" s="7" t="s">
        <v>17</v>
      </c>
      <c r="G11673" s="7">
        <v>4004065</v>
      </c>
      <c r="H11673" s="7">
        <v>2459</v>
      </c>
      <c r="I11673" s="7">
        <v>93</v>
      </c>
      <c r="J11673" s="7">
        <v>275</v>
      </c>
      <c r="K11673" s="7" t="s">
        <v>18</v>
      </c>
      <c r="L11673" s="8">
        <v>39987.315405092595</v>
      </c>
      <c r="M11673" s="9" t="s">
        <v>19</v>
      </c>
      <c r="N11673" s="9" t="s">
        <v>20</v>
      </c>
      <c r="O11673" s="6" t="str">
        <f>HYPERLINK("https://pbs.twimg.com/profile_images/962471262747529216/Uo8lOkRJ_normal.jpg","View")</f>
        <v>View</v>
      </c>
      <c r="P11673" s="7"/>
    </row>
    <row r="11674" spans="1:16">
      <c r="A11674" s="3">
        <v>44144.735324074078</v>
      </c>
      <c r="B11674" s="4" t="str">
        <f>HYPERLINK("https://twitter.com/petrogustavo","@petrogustavo")</f>
        <v>@petrogustavo</v>
      </c>
      <c r="C11674" s="5" t="s">
        <v>16</v>
      </c>
      <c r="D11674" s="5" t="s">
        <v>11234</v>
      </c>
      <c r="E11674" s="6" t="str">
        <f>HYPERLINK("https://twitter.com/petrogustavo/status/1325772342111457280","1325772342111457280")</f>
        <v>1325772342111457280</v>
      </c>
      <c r="F11674" s="7" t="s">
        <v>17</v>
      </c>
      <c r="G11674" s="7">
        <v>4004065</v>
      </c>
      <c r="H11674" s="7">
        <v>2459</v>
      </c>
      <c r="I11674" s="7">
        <v>20</v>
      </c>
      <c r="J11674" s="7">
        <v>66</v>
      </c>
      <c r="K11674" s="7" t="s">
        <v>18</v>
      </c>
      <c r="L11674" s="8">
        <v>39987.315405092595</v>
      </c>
      <c r="M11674" s="9" t="s">
        <v>19</v>
      </c>
      <c r="N11674" s="9" t="s">
        <v>20</v>
      </c>
      <c r="O11674" s="6" t="str">
        <f>HYPERLINK("https://pbs.twimg.com/profile_images/962471262747529216/Uo8lOkRJ_normal.jpg","View")</f>
        <v>View</v>
      </c>
      <c r="P11674" s="7"/>
    </row>
    <row r="11675" spans="1:16">
      <c r="A11675" s="3">
        <v>44144.744837962964</v>
      </c>
      <c r="B11675" s="4" t="str">
        <f>HYPERLINK("https://twitter.com/petrogustavo","@petrogustavo")</f>
        <v>@petrogustavo</v>
      </c>
      <c r="C11675" s="5" t="s">
        <v>16</v>
      </c>
      <c r="D11675" s="5" t="s">
        <v>11235</v>
      </c>
      <c r="E11675" s="6" t="str">
        <f>HYPERLINK("https://twitter.com/petrogustavo/status/1325775789372149762","1325775789372149762")</f>
        <v>1325775789372149762</v>
      </c>
      <c r="F11675" s="7" t="s">
        <v>17</v>
      </c>
      <c r="G11675" s="7">
        <v>4004066</v>
      </c>
      <c r="H11675" s="7">
        <v>2459</v>
      </c>
      <c r="I11675" s="7">
        <v>34</v>
      </c>
      <c r="J11675" s="7">
        <v>193</v>
      </c>
      <c r="K11675" s="7" t="s">
        <v>18</v>
      </c>
      <c r="L11675" s="8">
        <v>39987.315405092595</v>
      </c>
      <c r="M11675" s="9" t="s">
        <v>19</v>
      </c>
      <c r="N11675" s="9" t="s">
        <v>20</v>
      </c>
      <c r="O11675" s="6" t="str">
        <f>HYPERLINK("https://pbs.twimg.com/profile_images/962471262747529216/Uo8lOkRJ_normal.jpg","View")</f>
        <v>View</v>
      </c>
      <c r="P11675" s="7"/>
    </row>
    <row r="11676" spans="1:16">
      <c r="A11676" s="3">
        <v>44144.746053240742</v>
      </c>
      <c r="B11676" s="4" t="str">
        <f>HYPERLINK("https://twitter.com/petrogustavo","@petrogustavo")</f>
        <v>@petrogustavo</v>
      </c>
      <c r="C11676" s="5" t="s">
        <v>16</v>
      </c>
      <c r="D11676" s="5" t="s">
        <v>11236</v>
      </c>
      <c r="E11676" s="6" t="str">
        <f>HYPERLINK("https://twitter.com/petrogustavo/status/1325776228335366145","1325776228335366145")</f>
        <v>1325776228335366145</v>
      </c>
      <c r="F11676" s="7" t="s">
        <v>17</v>
      </c>
      <c r="G11676" s="7">
        <v>4004066</v>
      </c>
      <c r="H11676" s="7">
        <v>2459</v>
      </c>
      <c r="I11676" s="7">
        <v>20</v>
      </c>
      <c r="J11676" s="7">
        <v>227</v>
      </c>
      <c r="K11676" s="7" t="s">
        <v>18</v>
      </c>
      <c r="L11676" s="8">
        <v>39987.315405092595</v>
      </c>
      <c r="M11676" s="9" t="s">
        <v>19</v>
      </c>
      <c r="N11676" s="9" t="s">
        <v>20</v>
      </c>
      <c r="O11676" s="6" t="str">
        <f>HYPERLINK("https://pbs.twimg.com/profile_images/962471262747529216/Uo8lOkRJ_normal.jpg","View")</f>
        <v>View</v>
      </c>
      <c r="P11676" s="7"/>
    </row>
    <row r="11677" spans="1:16">
      <c r="A11677" s="3">
        <v>44144.74618055555</v>
      </c>
      <c r="B11677" s="4" t="str">
        <f>HYPERLINK("https://twitter.com/petrogustavo","@petrogustavo")</f>
        <v>@petrogustavo</v>
      </c>
      <c r="C11677" s="5" t="s">
        <v>16</v>
      </c>
      <c r="D11677" s="5" t="s">
        <v>11237</v>
      </c>
      <c r="E11677" s="6" t="str">
        <f>HYPERLINK("https://twitter.com/petrogustavo/status/1325776277236813824","1325776277236813824")</f>
        <v>1325776277236813824</v>
      </c>
      <c r="F11677" s="7" t="s">
        <v>17</v>
      </c>
      <c r="G11677" s="7">
        <v>4004066</v>
      </c>
      <c r="H11677" s="7">
        <v>2459</v>
      </c>
      <c r="I11677" s="7">
        <v>1511</v>
      </c>
      <c r="J11677" s="7">
        <v>0</v>
      </c>
      <c r="K11677" s="7" t="s">
        <v>18</v>
      </c>
      <c r="L11677" s="8">
        <v>39987.315405092595</v>
      </c>
      <c r="M11677" s="9" t="s">
        <v>19</v>
      </c>
      <c r="N11677" s="9" t="s">
        <v>20</v>
      </c>
      <c r="O11677" s="6" t="str">
        <f>HYPERLINK("https://pbs.twimg.com/profile_images/962471262747529216/Uo8lOkRJ_normal.jpg","View")</f>
        <v>View</v>
      </c>
      <c r="P11677" s="7"/>
    </row>
    <row r="11678" spans="1:16">
      <c r="A11678" s="3">
        <v>44144.747430555552</v>
      </c>
      <c r="B11678" s="4" t="str">
        <f>HYPERLINK("https://twitter.com/petrogustavo","@petrogustavo")</f>
        <v>@petrogustavo</v>
      </c>
      <c r="C11678" s="5" t="s">
        <v>16</v>
      </c>
      <c r="D11678" s="5" t="s">
        <v>11238</v>
      </c>
      <c r="E11678" s="6" t="str">
        <f>HYPERLINK("https://twitter.com/petrogustavo/status/1325776730410393600","1325776730410393600")</f>
        <v>1325776730410393600</v>
      </c>
      <c r="F11678" s="7" t="s">
        <v>17</v>
      </c>
      <c r="G11678" s="7">
        <v>4004066</v>
      </c>
      <c r="H11678" s="7">
        <v>2459</v>
      </c>
      <c r="I11678" s="7">
        <v>199</v>
      </c>
      <c r="J11678" s="7">
        <v>498</v>
      </c>
      <c r="K11678" s="7" t="s">
        <v>18</v>
      </c>
      <c r="L11678" s="8">
        <v>39987.315405092595</v>
      </c>
      <c r="M11678" s="9" t="s">
        <v>19</v>
      </c>
      <c r="N11678" s="9" t="s">
        <v>20</v>
      </c>
      <c r="O11678" s="6" t="str">
        <f>HYPERLINK("https://pbs.twimg.com/profile_images/962471262747529216/Uo8lOkRJ_normal.jpg","View")</f>
        <v>View</v>
      </c>
      <c r="P11678" s="7"/>
    </row>
    <row r="11679" spans="1:16">
      <c r="A11679" s="3">
        <v>44144.755115740743</v>
      </c>
      <c r="B11679" s="4" t="str">
        <f>HYPERLINK("https://twitter.com/petrogustavo","@petrogustavo")</f>
        <v>@petrogustavo</v>
      </c>
      <c r="C11679" s="5" t="s">
        <v>16</v>
      </c>
      <c r="D11679" s="5" t="s">
        <v>11239</v>
      </c>
      <c r="E11679" s="6" t="str">
        <f>HYPERLINK("https://twitter.com/petrogustavo/status/1325779514287419393","1325779514287419393")</f>
        <v>1325779514287419393</v>
      </c>
      <c r="F11679" s="7" t="s">
        <v>17</v>
      </c>
      <c r="G11679" s="7">
        <v>4004066</v>
      </c>
      <c r="H11679" s="7">
        <v>2459</v>
      </c>
      <c r="I11679" s="7">
        <v>49</v>
      </c>
      <c r="J11679" s="7">
        <v>158</v>
      </c>
      <c r="K11679" s="7" t="s">
        <v>18</v>
      </c>
      <c r="L11679" s="8">
        <v>39987.315405092595</v>
      </c>
      <c r="M11679" s="9" t="s">
        <v>19</v>
      </c>
      <c r="N11679" s="9" t="s">
        <v>20</v>
      </c>
      <c r="O11679" s="6" t="str">
        <f>HYPERLINK("https://pbs.twimg.com/profile_images/962471262747529216/Uo8lOkRJ_normal.jpg","View")</f>
        <v>View</v>
      </c>
      <c r="P11679" s="7"/>
    </row>
    <row r="11680" spans="1:16">
      <c r="A11680" s="3">
        <v>44144.773900462962</v>
      </c>
      <c r="B11680" s="4" t="str">
        <f>HYPERLINK("https://twitter.com/petrogustavo","@petrogustavo")</f>
        <v>@petrogustavo</v>
      </c>
      <c r="C11680" s="5" t="s">
        <v>16</v>
      </c>
      <c r="D11680" s="5" t="s">
        <v>11240</v>
      </c>
      <c r="E11680" s="6" t="str">
        <f>HYPERLINK("https://twitter.com/petrogustavo/status/1325786321034616832","1325786321034616832")</f>
        <v>1325786321034616832</v>
      </c>
      <c r="F11680" s="7" t="s">
        <v>17</v>
      </c>
      <c r="G11680" s="7">
        <v>4004090</v>
      </c>
      <c r="H11680" s="7">
        <v>2459</v>
      </c>
      <c r="I11680" s="7">
        <v>150</v>
      </c>
      <c r="J11680" s="7">
        <v>320</v>
      </c>
      <c r="K11680" s="7" t="s">
        <v>18</v>
      </c>
      <c r="L11680" s="8">
        <v>39987.315405092595</v>
      </c>
      <c r="M11680" s="9" t="s">
        <v>19</v>
      </c>
      <c r="N11680" s="9" t="s">
        <v>20</v>
      </c>
      <c r="O11680" s="6" t="str">
        <f>HYPERLINK("https://pbs.twimg.com/profile_images/962471262747529216/Uo8lOkRJ_normal.jpg","View")</f>
        <v>View</v>
      </c>
      <c r="P11680" s="7"/>
    </row>
    <row r="11681" spans="1:16">
      <c r="A11681" s="3">
        <v>44145.35670138889</v>
      </c>
      <c r="B11681" s="4" t="str">
        <f>HYPERLINK("https://twitter.com/petrogustavo","@petrogustavo")</f>
        <v>@petrogustavo</v>
      </c>
      <c r="C11681" s="5" t="s">
        <v>16</v>
      </c>
      <c r="D11681" s="5" t="s">
        <v>11241</v>
      </c>
      <c r="E11681" s="6" t="str">
        <f>HYPERLINK("https://twitter.com/petrogustavo/status/1325997520816918528","1325997520816918528")</f>
        <v>1325997520816918528</v>
      </c>
      <c r="F11681" s="7" t="s">
        <v>32</v>
      </c>
      <c r="G11681" s="7">
        <v>4004645</v>
      </c>
      <c r="H11681" s="7">
        <v>2459</v>
      </c>
      <c r="I11681" s="7">
        <v>1501</v>
      </c>
      <c r="J11681" s="7">
        <v>0</v>
      </c>
      <c r="K11681" s="7" t="s">
        <v>18</v>
      </c>
      <c r="L11681" s="8">
        <v>39987.315405092595</v>
      </c>
      <c r="M11681" s="9" t="s">
        <v>19</v>
      </c>
      <c r="N11681" s="9" t="s">
        <v>20</v>
      </c>
      <c r="O11681" s="6" t="str">
        <f>HYPERLINK("https://pbs.twimg.com/profile_images/962471262747529216/Uo8lOkRJ_normal.jpg","View")</f>
        <v>View</v>
      </c>
      <c r="P11681" s="7"/>
    </row>
    <row r="11682" spans="1:16">
      <c r="A11682" s="3">
        <v>44145.356979166667</v>
      </c>
      <c r="B11682" s="4" t="str">
        <f>HYPERLINK("https://twitter.com/petrogustavo","@petrogustavo")</f>
        <v>@petrogustavo</v>
      </c>
      <c r="C11682" s="5" t="s">
        <v>16</v>
      </c>
      <c r="D11682" s="5" t="s">
        <v>11242</v>
      </c>
      <c r="E11682" s="6" t="str">
        <f>HYPERLINK("https://twitter.com/petrogustavo/status/1325997621966745603","1325997621966745603")</f>
        <v>1325997621966745603</v>
      </c>
      <c r="F11682" s="7" t="s">
        <v>32</v>
      </c>
      <c r="G11682" s="7">
        <v>4004645</v>
      </c>
      <c r="H11682" s="7">
        <v>2459</v>
      </c>
      <c r="I11682" s="7">
        <v>54</v>
      </c>
      <c r="J11682" s="7">
        <v>0</v>
      </c>
      <c r="K11682" s="7" t="s">
        <v>18</v>
      </c>
      <c r="L11682" s="8">
        <v>39987.315405092595</v>
      </c>
      <c r="M11682" s="9" t="s">
        <v>19</v>
      </c>
      <c r="N11682" s="9" t="s">
        <v>20</v>
      </c>
      <c r="O11682" s="6" t="str">
        <f>HYPERLINK("https://pbs.twimg.com/profile_images/962471262747529216/Uo8lOkRJ_normal.jpg","View")</f>
        <v>View</v>
      </c>
      <c r="P11682" s="7"/>
    </row>
    <row r="11683" spans="1:16">
      <c r="A11683" s="3">
        <v>44145.358391203699</v>
      </c>
      <c r="B11683" s="4" t="str">
        <f>HYPERLINK("https://twitter.com/petrogustavo","@petrogustavo")</f>
        <v>@petrogustavo</v>
      </c>
      <c r="C11683" s="5" t="s">
        <v>16</v>
      </c>
      <c r="D11683" s="5" t="s">
        <v>11243</v>
      </c>
      <c r="E11683" s="6" t="str">
        <f>HYPERLINK("https://twitter.com/petrogustavo/status/1325998132765855746","1325998132765855746")</f>
        <v>1325998132765855746</v>
      </c>
      <c r="F11683" s="7" t="s">
        <v>32</v>
      </c>
      <c r="G11683" s="7">
        <v>4004645</v>
      </c>
      <c r="H11683" s="7">
        <v>2459</v>
      </c>
      <c r="I11683" s="7">
        <v>141</v>
      </c>
      <c r="J11683" s="7">
        <v>803</v>
      </c>
      <c r="K11683" s="7" t="s">
        <v>18</v>
      </c>
      <c r="L11683" s="8">
        <v>39987.315405092595</v>
      </c>
      <c r="M11683" s="9" t="s">
        <v>19</v>
      </c>
      <c r="N11683" s="9" t="s">
        <v>20</v>
      </c>
      <c r="O11683" s="6" t="str">
        <f>HYPERLINK("https://pbs.twimg.com/profile_images/962471262747529216/Uo8lOkRJ_normal.jpg","View")</f>
        <v>View</v>
      </c>
      <c r="P11683" s="7"/>
    </row>
    <row r="11684" spans="1:16">
      <c r="A11684" s="3">
        <v>44145.385150462964</v>
      </c>
      <c r="B11684" s="4" t="str">
        <f>HYPERLINK("https://twitter.com/petrogustavo","@petrogustavo")</f>
        <v>@petrogustavo</v>
      </c>
      <c r="C11684" s="5" t="s">
        <v>16</v>
      </c>
      <c r="D11684" s="5" t="s">
        <v>11244</v>
      </c>
      <c r="E11684" s="6" t="str">
        <f>HYPERLINK("https://twitter.com/petrogustavo/status/1326007829300441088","1326007829300441088")</f>
        <v>1326007829300441088</v>
      </c>
      <c r="F11684" s="7" t="s">
        <v>32</v>
      </c>
      <c r="G11684" s="7">
        <v>4004676</v>
      </c>
      <c r="H11684" s="7">
        <v>2459</v>
      </c>
      <c r="I11684" s="7">
        <v>215</v>
      </c>
      <c r="J11684" s="7">
        <v>0</v>
      </c>
      <c r="K11684" s="7" t="s">
        <v>18</v>
      </c>
      <c r="L11684" s="8">
        <v>39987.315405092595</v>
      </c>
      <c r="M11684" s="9" t="s">
        <v>19</v>
      </c>
      <c r="N11684" s="9" t="s">
        <v>20</v>
      </c>
      <c r="O11684" s="6" t="str">
        <f>HYPERLINK("https://pbs.twimg.com/profile_images/962471262747529216/Uo8lOkRJ_normal.jpg","View")</f>
        <v>View</v>
      </c>
      <c r="P11684" s="7"/>
    </row>
    <row r="11685" spans="1:16">
      <c r="A11685" s="3">
        <v>44145.763969907406</v>
      </c>
      <c r="B11685" s="4" t="str">
        <f>HYPERLINK("https://twitter.com/petrogustavo","@petrogustavo")</f>
        <v>@petrogustavo</v>
      </c>
      <c r="C11685" s="5" t="s">
        <v>16</v>
      </c>
      <c r="D11685" s="5" t="s">
        <v>11245</v>
      </c>
      <c r="E11685" s="6" t="str">
        <f>HYPERLINK("https://twitter.com/petrogustavo/status/1326145111185616896","1326145111185616896")</f>
        <v>1326145111185616896</v>
      </c>
      <c r="F11685" s="7" t="s">
        <v>17</v>
      </c>
      <c r="G11685" s="7">
        <v>4004831</v>
      </c>
      <c r="H11685" s="7">
        <v>2459</v>
      </c>
      <c r="I11685" s="7">
        <v>547</v>
      </c>
      <c r="J11685" s="7">
        <v>0</v>
      </c>
      <c r="K11685" s="7" t="s">
        <v>18</v>
      </c>
      <c r="L11685" s="8">
        <v>39987.315405092595</v>
      </c>
      <c r="M11685" s="9" t="s">
        <v>19</v>
      </c>
      <c r="N11685" s="9" t="s">
        <v>20</v>
      </c>
      <c r="O11685" s="6" t="str">
        <f>HYPERLINK("https://pbs.twimg.com/profile_images/962471262747529216/Uo8lOkRJ_normal.jpg","View")</f>
        <v>View</v>
      </c>
      <c r="P11685" s="7"/>
    </row>
    <row r="11686" spans="1:16">
      <c r="A11686" s="3">
        <v>44145.764317129629</v>
      </c>
      <c r="B11686" s="4" t="str">
        <f>HYPERLINK("https://twitter.com/petrogustavo","@petrogustavo")</f>
        <v>@petrogustavo</v>
      </c>
      <c r="C11686" s="5" t="s">
        <v>16</v>
      </c>
      <c r="D11686" s="5" t="s">
        <v>11246</v>
      </c>
      <c r="E11686" s="6" t="str">
        <f>HYPERLINK("https://twitter.com/petrogustavo/status/1326145233923547136","1326145233923547136")</f>
        <v>1326145233923547136</v>
      </c>
      <c r="F11686" s="7" t="s">
        <v>17</v>
      </c>
      <c r="G11686" s="7">
        <v>4004831</v>
      </c>
      <c r="H11686" s="7">
        <v>2459</v>
      </c>
      <c r="I11686" s="7">
        <v>255</v>
      </c>
      <c r="J11686" s="7">
        <v>0</v>
      </c>
      <c r="K11686" s="7" t="s">
        <v>18</v>
      </c>
      <c r="L11686" s="8">
        <v>39987.315405092595</v>
      </c>
      <c r="M11686" s="9" t="s">
        <v>19</v>
      </c>
      <c r="N11686" s="9" t="s">
        <v>20</v>
      </c>
      <c r="O11686" s="6" t="str">
        <f>HYPERLINK("https://pbs.twimg.com/profile_images/962471262747529216/Uo8lOkRJ_normal.jpg","View")</f>
        <v>View</v>
      </c>
      <c r="P11686" s="7"/>
    </row>
    <row r="11687" spans="1:16">
      <c r="A11687" s="3">
        <v>44145.76663194444</v>
      </c>
      <c r="B11687" s="4" t="str">
        <f>HYPERLINK("https://twitter.com/petrogustavo","@petrogustavo")</f>
        <v>@petrogustavo</v>
      </c>
      <c r="C11687" s="5" t="s">
        <v>16</v>
      </c>
      <c r="D11687" s="5" t="s">
        <v>11247</v>
      </c>
      <c r="E11687" s="6" t="str">
        <f>HYPERLINK("https://twitter.com/petrogustavo/status/1326146073568698368","1326146073568698368")</f>
        <v>1326146073568698368</v>
      </c>
      <c r="F11687" s="7" t="s">
        <v>17</v>
      </c>
      <c r="G11687" s="7">
        <v>4004831</v>
      </c>
      <c r="H11687" s="7">
        <v>2459</v>
      </c>
      <c r="I11687" s="7">
        <v>48</v>
      </c>
      <c r="J11687" s="7">
        <v>205</v>
      </c>
      <c r="K11687" s="7" t="s">
        <v>18</v>
      </c>
      <c r="L11687" s="8">
        <v>39987.315405092595</v>
      </c>
      <c r="M11687" s="9" t="s">
        <v>19</v>
      </c>
      <c r="N11687" s="9" t="s">
        <v>20</v>
      </c>
      <c r="O11687" s="6" t="str">
        <f>HYPERLINK("https://pbs.twimg.com/profile_images/962471262747529216/Uo8lOkRJ_normal.jpg","View")</f>
        <v>View</v>
      </c>
      <c r="P11687" s="7"/>
    </row>
    <row r="11688" spans="1:16">
      <c r="A11688" s="3">
        <v>44145.768067129626</v>
      </c>
      <c r="B11688" s="4" t="str">
        <f>HYPERLINK("https://twitter.com/petrogustavo","@petrogustavo")</f>
        <v>@petrogustavo</v>
      </c>
      <c r="C11688" s="5" t="s">
        <v>16</v>
      </c>
      <c r="D11688" s="5" t="s">
        <v>11248</v>
      </c>
      <c r="E11688" s="6" t="str">
        <f>HYPERLINK("https://twitter.com/petrogustavo/status/1326146594685788161","1326146594685788161")</f>
        <v>1326146594685788161</v>
      </c>
      <c r="F11688" s="7" t="s">
        <v>17</v>
      </c>
      <c r="G11688" s="7">
        <v>4004831</v>
      </c>
      <c r="H11688" s="7">
        <v>2459</v>
      </c>
      <c r="I11688" s="7">
        <v>94</v>
      </c>
      <c r="J11688" s="7">
        <v>167</v>
      </c>
      <c r="K11688" s="7" t="s">
        <v>18</v>
      </c>
      <c r="L11688" s="8">
        <v>39987.315405092595</v>
      </c>
      <c r="M11688" s="9" t="s">
        <v>19</v>
      </c>
      <c r="N11688" s="9" t="s">
        <v>20</v>
      </c>
      <c r="O11688" s="6" t="str">
        <f>HYPERLINK("https://pbs.twimg.com/profile_images/962471262747529216/Uo8lOkRJ_normal.jpg","View")</f>
        <v>View</v>
      </c>
      <c r="P11688" s="7"/>
    </row>
    <row r="11689" spans="1:16">
      <c r="A11689" s="3">
        <v>44145.770416666666</v>
      </c>
      <c r="B11689" s="4" t="str">
        <f>HYPERLINK("https://twitter.com/petrogustavo","@petrogustavo")</f>
        <v>@petrogustavo</v>
      </c>
      <c r="C11689" s="5" t="s">
        <v>16</v>
      </c>
      <c r="D11689" s="5" t="s">
        <v>11249</v>
      </c>
      <c r="E11689" s="6" t="str">
        <f>HYPERLINK("https://twitter.com/petrogustavo/status/1326147445991084033","1326147445991084033")</f>
        <v>1326147445991084033</v>
      </c>
      <c r="F11689" s="7" t="s">
        <v>17</v>
      </c>
      <c r="G11689" s="7">
        <v>4004831</v>
      </c>
      <c r="H11689" s="7">
        <v>2459</v>
      </c>
      <c r="I11689" s="7">
        <v>235</v>
      </c>
      <c r="J11689" s="7">
        <v>803</v>
      </c>
      <c r="K11689" s="7" t="s">
        <v>18</v>
      </c>
      <c r="L11689" s="8">
        <v>39987.315405092595</v>
      </c>
      <c r="M11689" s="9" t="s">
        <v>19</v>
      </c>
      <c r="N11689" s="9" t="s">
        <v>20</v>
      </c>
      <c r="O11689" s="6" t="str">
        <f>HYPERLINK("https://pbs.twimg.com/profile_images/962471262747529216/Uo8lOkRJ_normal.jpg","View")</f>
        <v>View</v>
      </c>
      <c r="P11689" s="7"/>
    </row>
    <row r="11690" spans="1:16">
      <c r="A11690" s="3">
        <v>44145.771979166668</v>
      </c>
      <c r="B11690" s="4" t="str">
        <f>HYPERLINK("https://twitter.com/petrogustavo","@petrogustavo")</f>
        <v>@petrogustavo</v>
      </c>
      <c r="C11690" s="5" t="s">
        <v>16</v>
      </c>
      <c r="D11690" s="5" t="s">
        <v>11250</v>
      </c>
      <c r="E11690" s="6" t="str">
        <f>HYPERLINK("https://twitter.com/petrogustavo/status/1326148010846412801","1326148010846412801")</f>
        <v>1326148010846412801</v>
      </c>
      <c r="F11690" s="7" t="s">
        <v>17</v>
      </c>
      <c r="G11690" s="7">
        <v>4004831</v>
      </c>
      <c r="H11690" s="7">
        <v>2459</v>
      </c>
      <c r="I11690" s="7">
        <v>46</v>
      </c>
      <c r="J11690" s="7">
        <v>166</v>
      </c>
      <c r="K11690" s="7" t="s">
        <v>18</v>
      </c>
      <c r="L11690" s="8">
        <v>39987.315405092595</v>
      </c>
      <c r="M11690" s="9" t="s">
        <v>19</v>
      </c>
      <c r="N11690" s="9" t="s">
        <v>20</v>
      </c>
      <c r="O11690" s="6" t="str">
        <f>HYPERLINK("https://pbs.twimg.com/profile_images/962471262747529216/Uo8lOkRJ_normal.jpg","View")</f>
        <v>View</v>
      </c>
      <c r="P11690" s="7"/>
    </row>
    <row r="11691" spans="1:16">
      <c r="A11691" s="3">
        <v>44145.7730787037</v>
      </c>
      <c r="B11691" s="4" t="str">
        <f>HYPERLINK("https://twitter.com/petrogustavo","@petrogustavo")</f>
        <v>@petrogustavo</v>
      </c>
      <c r="C11691" s="5" t="s">
        <v>16</v>
      </c>
      <c r="D11691" s="5" t="s">
        <v>11251</v>
      </c>
      <c r="E11691" s="6" t="str">
        <f>HYPERLINK("https://twitter.com/petrogustavo/status/1326148411914137602","1326148411914137602")</f>
        <v>1326148411914137602</v>
      </c>
      <c r="F11691" s="7" t="s">
        <v>17</v>
      </c>
      <c r="G11691" s="7">
        <v>4004831</v>
      </c>
      <c r="H11691" s="7">
        <v>2459</v>
      </c>
      <c r="I11691" s="7">
        <v>66</v>
      </c>
      <c r="J11691" s="7">
        <v>295</v>
      </c>
      <c r="K11691" s="7" t="s">
        <v>18</v>
      </c>
      <c r="L11691" s="8">
        <v>39987.315405092595</v>
      </c>
      <c r="M11691" s="9" t="s">
        <v>19</v>
      </c>
      <c r="N11691" s="9" t="s">
        <v>20</v>
      </c>
      <c r="O11691" s="6" t="str">
        <f>HYPERLINK("https://pbs.twimg.com/profile_images/962471262747529216/Uo8lOkRJ_normal.jpg","View")</f>
        <v>View</v>
      </c>
      <c r="P11691" s="7"/>
    </row>
    <row r="11692" spans="1:16">
      <c r="A11692" s="3">
        <v>44145.77412037037</v>
      </c>
      <c r="B11692" s="4" t="str">
        <f>HYPERLINK("https://twitter.com/petrogustavo","@petrogustavo")</f>
        <v>@petrogustavo</v>
      </c>
      <c r="C11692" s="5" t="s">
        <v>16</v>
      </c>
      <c r="D11692" s="5" t="s">
        <v>11252</v>
      </c>
      <c r="E11692" s="6" t="str">
        <f>HYPERLINK("https://twitter.com/petrogustavo/status/1326148788126425088","1326148788126425088")</f>
        <v>1326148788126425088</v>
      </c>
      <c r="F11692" s="7" t="s">
        <v>17</v>
      </c>
      <c r="G11692" s="7">
        <v>4004831</v>
      </c>
      <c r="H11692" s="7">
        <v>2459</v>
      </c>
      <c r="I11692" s="7">
        <v>62</v>
      </c>
      <c r="J11692" s="7">
        <v>264</v>
      </c>
      <c r="K11692" s="7" t="s">
        <v>18</v>
      </c>
      <c r="L11692" s="8">
        <v>39987.315405092595</v>
      </c>
      <c r="M11692" s="9" t="s">
        <v>19</v>
      </c>
      <c r="N11692" s="9" t="s">
        <v>20</v>
      </c>
      <c r="O11692" s="6" t="str">
        <f>HYPERLINK("https://pbs.twimg.com/profile_images/962471262747529216/Uo8lOkRJ_normal.jpg","View")</f>
        <v>View</v>
      </c>
      <c r="P11692" s="7"/>
    </row>
    <row r="11693" spans="1:16">
      <c r="A11693" s="3">
        <v>44145.784791666665</v>
      </c>
      <c r="B11693" s="4" t="str">
        <f>HYPERLINK("https://twitter.com/petrogustavo","@petrogustavo")</f>
        <v>@petrogustavo</v>
      </c>
      <c r="C11693" s="5" t="s">
        <v>16</v>
      </c>
      <c r="D11693" s="5" t="s">
        <v>11253</v>
      </c>
      <c r="E11693" s="6" t="str">
        <f>HYPERLINK("https://twitter.com/petrogustavo/status/1326152654553305088","1326152654553305088")</f>
        <v>1326152654553305088</v>
      </c>
      <c r="F11693" s="7" t="s">
        <v>17</v>
      </c>
      <c r="G11693" s="7">
        <v>4004854</v>
      </c>
      <c r="H11693" s="7">
        <v>2459</v>
      </c>
      <c r="I11693" s="7">
        <v>52</v>
      </c>
      <c r="J11693" s="7">
        <v>189</v>
      </c>
      <c r="K11693" s="7" t="s">
        <v>18</v>
      </c>
      <c r="L11693" s="8">
        <v>39987.315405092595</v>
      </c>
      <c r="M11693" s="9" t="s">
        <v>19</v>
      </c>
      <c r="N11693" s="9" t="s">
        <v>20</v>
      </c>
      <c r="O11693" s="6" t="str">
        <f>HYPERLINK("https://pbs.twimg.com/profile_images/962471262747529216/Uo8lOkRJ_normal.jpg","View")</f>
        <v>View</v>
      </c>
      <c r="P11693" s="7"/>
    </row>
    <row r="11694" spans="1:16">
      <c r="A11694" s="3">
        <v>44145.787731481483</v>
      </c>
      <c r="B11694" s="4" t="str">
        <f>HYPERLINK("https://twitter.com/petrogustavo","@petrogustavo")</f>
        <v>@petrogustavo</v>
      </c>
      <c r="C11694" s="5" t="s">
        <v>16</v>
      </c>
      <c r="D11694" s="5" t="s">
        <v>11254</v>
      </c>
      <c r="E11694" s="6" t="str">
        <f>HYPERLINK("https://twitter.com/petrogustavo/status/1326153720850210819","1326153720850210819")</f>
        <v>1326153720850210819</v>
      </c>
      <c r="F11694" s="7" t="s">
        <v>17</v>
      </c>
      <c r="G11694" s="7">
        <v>4004854</v>
      </c>
      <c r="H11694" s="7">
        <v>2459</v>
      </c>
      <c r="I11694" s="7">
        <v>57</v>
      </c>
      <c r="J11694" s="7">
        <v>260</v>
      </c>
      <c r="K11694" s="7" t="s">
        <v>18</v>
      </c>
      <c r="L11694" s="8">
        <v>39987.315405092595</v>
      </c>
      <c r="M11694" s="9" t="s">
        <v>19</v>
      </c>
      <c r="N11694" s="9" t="s">
        <v>20</v>
      </c>
      <c r="O11694" s="6" t="str">
        <f>HYPERLINK("https://pbs.twimg.com/profile_images/962471262747529216/Uo8lOkRJ_normal.jpg","View")</f>
        <v>View</v>
      </c>
      <c r="P11694" s="7"/>
    </row>
    <row r="11695" spans="1:16">
      <c r="A11695" s="3">
        <v>44145.789583333331</v>
      </c>
      <c r="B11695" s="4" t="str">
        <f>HYPERLINK("https://twitter.com/petrogustavo","@petrogustavo")</f>
        <v>@petrogustavo</v>
      </c>
      <c r="C11695" s="5" t="s">
        <v>16</v>
      </c>
      <c r="D11695" s="5" t="s">
        <v>11255</v>
      </c>
      <c r="E11695" s="6" t="str">
        <f>HYPERLINK("https://twitter.com/petrogustavo/status/1326154393360666625","1326154393360666625")</f>
        <v>1326154393360666625</v>
      </c>
      <c r="F11695" s="7" t="s">
        <v>17</v>
      </c>
      <c r="G11695" s="7">
        <v>4004854</v>
      </c>
      <c r="H11695" s="7">
        <v>2459</v>
      </c>
      <c r="I11695" s="7">
        <v>30</v>
      </c>
      <c r="J11695" s="7">
        <v>122</v>
      </c>
      <c r="K11695" s="7" t="s">
        <v>18</v>
      </c>
      <c r="L11695" s="8">
        <v>39987.315405092595</v>
      </c>
      <c r="M11695" s="9" t="s">
        <v>19</v>
      </c>
      <c r="N11695" s="9" t="s">
        <v>20</v>
      </c>
      <c r="O11695" s="6" t="str">
        <f>HYPERLINK("https://pbs.twimg.com/profile_images/962471262747529216/Uo8lOkRJ_normal.jpg","View")</f>
        <v>View</v>
      </c>
      <c r="P11695" s="7"/>
    </row>
    <row r="11696" spans="1:16">
      <c r="A11696" s="3">
        <v>44145.915671296301</v>
      </c>
      <c r="B11696" s="4" t="str">
        <f>HYPERLINK("https://twitter.com/petrogustavo","@petrogustavo")</f>
        <v>@petrogustavo</v>
      </c>
      <c r="C11696" s="5" t="s">
        <v>16</v>
      </c>
      <c r="D11696" s="5" t="s">
        <v>11256</v>
      </c>
      <c r="E11696" s="6" t="str">
        <f>HYPERLINK("https://twitter.com/petrogustavo/status/1326200083281534980","1326200083281534980")</f>
        <v>1326200083281534980</v>
      </c>
      <c r="F11696" s="7" t="s">
        <v>17</v>
      </c>
      <c r="G11696" s="7">
        <v>4004969</v>
      </c>
      <c r="H11696" s="7">
        <v>2459</v>
      </c>
      <c r="I11696" s="7">
        <v>856</v>
      </c>
      <c r="J11696" s="7">
        <v>0</v>
      </c>
      <c r="K11696" s="7" t="s">
        <v>18</v>
      </c>
      <c r="L11696" s="8">
        <v>39987.315405092595</v>
      </c>
      <c r="M11696" s="9" t="s">
        <v>19</v>
      </c>
      <c r="N11696" s="9" t="s">
        <v>20</v>
      </c>
      <c r="O11696" s="6" t="str">
        <f>HYPERLINK("https://pbs.twimg.com/profile_images/962471262747529216/Uo8lOkRJ_normal.jpg","View")</f>
        <v>View</v>
      </c>
      <c r="P11696" s="7"/>
    </row>
    <row r="11697" spans="1:16">
      <c r="A11697" s="3">
        <v>44145.91878472222</v>
      </c>
      <c r="B11697" s="4" t="str">
        <f>HYPERLINK("https://twitter.com/petrogustavo","@petrogustavo")</f>
        <v>@petrogustavo</v>
      </c>
      <c r="C11697" s="5" t="s">
        <v>16</v>
      </c>
      <c r="D11697" s="5" t="s">
        <v>11257</v>
      </c>
      <c r="E11697" s="6" t="str">
        <f>HYPERLINK("https://twitter.com/petrogustavo/status/1326201211167657986","1326201211167657986")</f>
        <v>1326201211167657986</v>
      </c>
      <c r="F11697" s="7" t="s">
        <v>17</v>
      </c>
      <c r="G11697" s="7">
        <v>4004969</v>
      </c>
      <c r="H11697" s="7">
        <v>2459</v>
      </c>
      <c r="I11697" s="7">
        <v>73</v>
      </c>
      <c r="J11697" s="7">
        <v>306</v>
      </c>
      <c r="K11697" s="7" t="s">
        <v>18</v>
      </c>
      <c r="L11697" s="8">
        <v>39987.315405092595</v>
      </c>
      <c r="M11697" s="9" t="s">
        <v>19</v>
      </c>
      <c r="N11697" s="9" t="s">
        <v>20</v>
      </c>
      <c r="O11697" s="6" t="str">
        <f>HYPERLINK("https://pbs.twimg.com/profile_images/962471262747529216/Uo8lOkRJ_normal.jpg","View")</f>
        <v>View</v>
      </c>
      <c r="P11697" s="7"/>
    </row>
    <row r="11698" spans="1:16">
      <c r="A11698" s="3">
        <v>44145.922939814816</v>
      </c>
      <c r="B11698" s="4" t="str">
        <f>HYPERLINK("https://twitter.com/petrogustavo","@petrogustavo")</f>
        <v>@petrogustavo</v>
      </c>
      <c r="C11698" s="5" t="s">
        <v>16</v>
      </c>
      <c r="D11698" s="5" t="s">
        <v>11258</v>
      </c>
      <c r="E11698" s="6" t="str">
        <f>HYPERLINK("https://twitter.com/petrogustavo/status/1326202719066054659","1326202719066054659")</f>
        <v>1326202719066054659</v>
      </c>
      <c r="F11698" s="7" t="s">
        <v>17</v>
      </c>
      <c r="G11698" s="7">
        <v>4004969</v>
      </c>
      <c r="H11698" s="7">
        <v>2459</v>
      </c>
      <c r="I11698" s="7">
        <v>173</v>
      </c>
      <c r="J11698" s="7">
        <v>0</v>
      </c>
      <c r="K11698" s="7" t="s">
        <v>18</v>
      </c>
      <c r="L11698" s="8">
        <v>39987.315405092595</v>
      </c>
      <c r="M11698" s="9" t="s">
        <v>19</v>
      </c>
      <c r="N11698" s="9" t="s">
        <v>20</v>
      </c>
      <c r="O11698" s="6" t="str">
        <f>HYPERLINK("https://pbs.twimg.com/profile_images/962471262747529216/Uo8lOkRJ_normal.jpg","View")</f>
        <v>View</v>
      </c>
      <c r="P11698" s="7"/>
    </row>
    <row r="11699" spans="1:16">
      <c r="A11699" s="3">
        <v>44145.928831018522</v>
      </c>
      <c r="B11699" s="4" t="str">
        <f>HYPERLINK("https://twitter.com/petrogustavo","@petrogustavo")</f>
        <v>@petrogustavo</v>
      </c>
      <c r="C11699" s="5" t="s">
        <v>16</v>
      </c>
      <c r="D11699" s="5" t="s">
        <v>11259</v>
      </c>
      <c r="E11699" s="6" t="str">
        <f>HYPERLINK("https://twitter.com/petrogustavo/status/1326204854566596608","1326204854566596608")</f>
        <v>1326204854566596608</v>
      </c>
      <c r="F11699" s="7" t="s">
        <v>17</v>
      </c>
      <c r="G11699" s="7">
        <v>4004969</v>
      </c>
      <c r="H11699" s="7">
        <v>2459</v>
      </c>
      <c r="I11699" s="7">
        <v>13</v>
      </c>
      <c r="J11699" s="7">
        <v>54</v>
      </c>
      <c r="K11699" s="7" t="s">
        <v>18</v>
      </c>
      <c r="L11699" s="8">
        <v>39987.315405092595</v>
      </c>
      <c r="M11699" s="9" t="s">
        <v>19</v>
      </c>
      <c r="N11699" s="9" t="s">
        <v>20</v>
      </c>
      <c r="O11699" s="6" t="str">
        <f>HYPERLINK("https://pbs.twimg.com/profile_images/962471262747529216/Uo8lOkRJ_normal.jpg","View")</f>
        <v>View</v>
      </c>
      <c r="P11699" s="7"/>
    </row>
    <row r="11700" spans="1:16">
      <c r="A11700" s="3">
        <v>44145.930601851855</v>
      </c>
      <c r="B11700" s="4" t="str">
        <f>HYPERLINK("https://twitter.com/petrogustavo","@petrogustavo")</f>
        <v>@petrogustavo</v>
      </c>
      <c r="C11700" s="5" t="s">
        <v>16</v>
      </c>
      <c r="D11700" s="5" t="s">
        <v>11260</v>
      </c>
      <c r="E11700" s="6" t="str">
        <f>HYPERLINK("https://twitter.com/petrogustavo/status/1326205494273433602","1326205494273433602")</f>
        <v>1326205494273433602</v>
      </c>
      <c r="F11700" s="7" t="s">
        <v>17</v>
      </c>
      <c r="G11700" s="7">
        <v>4004988</v>
      </c>
      <c r="H11700" s="7">
        <v>2459</v>
      </c>
      <c r="I11700" s="7">
        <v>66</v>
      </c>
      <c r="J11700" s="7">
        <v>298</v>
      </c>
      <c r="K11700" s="7" t="s">
        <v>18</v>
      </c>
      <c r="L11700" s="8">
        <v>39987.315405092595</v>
      </c>
      <c r="M11700" s="9" t="s">
        <v>19</v>
      </c>
      <c r="N11700" s="9" t="s">
        <v>20</v>
      </c>
      <c r="O11700" s="6" t="str">
        <f>HYPERLINK("https://pbs.twimg.com/profile_images/962471262747529216/Uo8lOkRJ_normal.jpg","View")</f>
        <v>View</v>
      </c>
      <c r="P11700" s="7"/>
    </row>
    <row r="11701" spans="1:16">
      <c r="A11701" s="3">
        <v>44145.941377314812</v>
      </c>
      <c r="B11701" s="4" t="str">
        <f>HYPERLINK("https://twitter.com/petrogustavo","@petrogustavo")</f>
        <v>@petrogustavo</v>
      </c>
      <c r="C11701" s="5" t="s">
        <v>16</v>
      </c>
      <c r="D11701" s="5" t="s">
        <v>11261</v>
      </c>
      <c r="E11701" s="6" t="str">
        <f>HYPERLINK("https://twitter.com/petrogustavo/status/1326209400550404096","1326209400550404096")</f>
        <v>1326209400550404096</v>
      </c>
      <c r="F11701" s="7" t="s">
        <v>17</v>
      </c>
      <c r="G11701" s="7">
        <v>4004988</v>
      </c>
      <c r="H11701" s="7">
        <v>2459</v>
      </c>
      <c r="I11701" s="7">
        <v>16</v>
      </c>
      <c r="J11701" s="7">
        <v>0</v>
      </c>
      <c r="K11701" s="7" t="s">
        <v>18</v>
      </c>
      <c r="L11701" s="8">
        <v>39987.315405092595</v>
      </c>
      <c r="M11701" s="9" t="s">
        <v>19</v>
      </c>
      <c r="N11701" s="9" t="s">
        <v>20</v>
      </c>
      <c r="O11701" s="6" t="str">
        <f>HYPERLINK("https://pbs.twimg.com/profile_images/962471262747529216/Uo8lOkRJ_normal.jpg","View")</f>
        <v>View</v>
      </c>
      <c r="P11701" s="7"/>
    </row>
    <row r="11702" spans="1:16">
      <c r="A11702" s="3">
        <v>44145.943541666667</v>
      </c>
      <c r="B11702" s="4" t="str">
        <f>HYPERLINK("https://twitter.com/petrogustavo","@petrogustavo")</f>
        <v>@petrogustavo</v>
      </c>
      <c r="C11702" s="5" t="s">
        <v>16</v>
      </c>
      <c r="D11702" s="5" t="s">
        <v>11262</v>
      </c>
      <c r="E11702" s="6" t="str">
        <f>HYPERLINK("https://twitter.com/petrogustavo/status/1326210184251904006","1326210184251904006")</f>
        <v>1326210184251904006</v>
      </c>
      <c r="F11702" s="7" t="s">
        <v>17</v>
      </c>
      <c r="G11702" s="7">
        <v>4004988</v>
      </c>
      <c r="H11702" s="7">
        <v>2459</v>
      </c>
      <c r="I11702" s="7">
        <v>61</v>
      </c>
      <c r="J11702" s="7">
        <v>318</v>
      </c>
      <c r="K11702" s="7" t="s">
        <v>18</v>
      </c>
      <c r="L11702" s="8">
        <v>39987.315405092595</v>
      </c>
      <c r="M11702" s="9" t="s">
        <v>19</v>
      </c>
      <c r="N11702" s="9" t="s">
        <v>20</v>
      </c>
      <c r="O11702" s="6" t="str">
        <f>HYPERLINK("https://pbs.twimg.com/profile_images/962471262747529216/Uo8lOkRJ_normal.jpg","View")</f>
        <v>View</v>
      </c>
      <c r="P11702" s="7"/>
    </row>
    <row r="11703" spans="1:16">
      <c r="A11703" s="3">
        <v>44145.943796296298</v>
      </c>
      <c r="B11703" s="4" t="str">
        <f>HYPERLINK("https://twitter.com/petrogustavo","@petrogustavo")</f>
        <v>@petrogustavo</v>
      </c>
      <c r="C11703" s="5" t="s">
        <v>16</v>
      </c>
      <c r="D11703" s="5" t="s">
        <v>11263</v>
      </c>
      <c r="E11703" s="6" t="str">
        <f>HYPERLINK("https://twitter.com/petrogustavo/status/1326210275117240320","1326210275117240320")</f>
        <v>1326210275117240320</v>
      </c>
      <c r="F11703" s="7" t="s">
        <v>17</v>
      </c>
      <c r="G11703" s="7">
        <v>4004988</v>
      </c>
      <c r="H11703" s="7">
        <v>2459</v>
      </c>
      <c r="I11703" s="7">
        <v>66</v>
      </c>
      <c r="J11703" s="7">
        <v>0</v>
      </c>
      <c r="K11703" s="7" t="s">
        <v>18</v>
      </c>
      <c r="L11703" s="8">
        <v>39987.315405092595</v>
      </c>
      <c r="M11703" s="9" t="s">
        <v>19</v>
      </c>
      <c r="N11703" s="9" t="s">
        <v>20</v>
      </c>
      <c r="O11703" s="6" t="str">
        <f>HYPERLINK("https://pbs.twimg.com/profile_images/962471262747529216/Uo8lOkRJ_normal.jpg","View")</f>
        <v>View</v>
      </c>
      <c r="P11703" s="7"/>
    </row>
    <row r="11704" spans="1:16">
      <c r="A11704" s="3">
        <v>44146.359398148154</v>
      </c>
      <c r="B11704" s="4" t="str">
        <f>HYPERLINK("https://twitter.com/petrogustavo","@petrogustavo")</f>
        <v>@petrogustavo</v>
      </c>
      <c r="C11704" s="5" t="s">
        <v>16</v>
      </c>
      <c r="D11704" s="5" t="s">
        <v>11264</v>
      </c>
      <c r="E11704" s="6" t="str">
        <f>HYPERLINK("https://twitter.com/petrogustavo/status/1326360886802604032","1326360886802604032")</f>
        <v>1326360886802604032</v>
      </c>
      <c r="F11704" s="7" t="s">
        <v>17</v>
      </c>
      <c r="G11704" s="7">
        <v>4005325</v>
      </c>
      <c r="H11704" s="7">
        <v>2460</v>
      </c>
      <c r="I11704" s="7">
        <v>100</v>
      </c>
      <c r="J11704" s="7">
        <v>0</v>
      </c>
      <c r="K11704" s="7" t="s">
        <v>18</v>
      </c>
      <c r="L11704" s="8">
        <v>39987.315405092595</v>
      </c>
      <c r="M11704" s="9" t="s">
        <v>19</v>
      </c>
      <c r="N11704" s="9" t="s">
        <v>20</v>
      </c>
      <c r="O11704" s="6" t="str">
        <f>HYPERLINK("https://pbs.twimg.com/profile_images/962471262747529216/Uo8lOkRJ_normal.jpg","View")</f>
        <v>View</v>
      </c>
      <c r="P11704" s="7"/>
    </row>
    <row r="11705" spans="1:16">
      <c r="A11705" s="3">
        <v>44146.707395833335</v>
      </c>
      <c r="B11705" s="4" t="str">
        <f>HYPERLINK("https://twitter.com/petrogustavo","@petrogustavo")</f>
        <v>@petrogustavo</v>
      </c>
      <c r="C11705" s="5" t="s">
        <v>16</v>
      </c>
      <c r="D11705" s="5" t="s">
        <v>11265</v>
      </c>
      <c r="E11705" s="6" t="str">
        <f>HYPERLINK("https://twitter.com/petrogustavo/status/1326486995166695424","1326486995166695424")</f>
        <v>1326486995166695424</v>
      </c>
      <c r="F11705" s="7" t="s">
        <v>17</v>
      </c>
      <c r="G11705" s="7">
        <v>4005433</v>
      </c>
      <c r="H11705" s="7">
        <v>2460</v>
      </c>
      <c r="I11705" s="7">
        <v>395</v>
      </c>
      <c r="J11705" s="7">
        <v>0</v>
      </c>
      <c r="K11705" s="7" t="s">
        <v>18</v>
      </c>
      <c r="L11705" s="8">
        <v>39987.315405092595</v>
      </c>
      <c r="M11705" s="9" t="s">
        <v>19</v>
      </c>
      <c r="N11705" s="9" t="s">
        <v>20</v>
      </c>
      <c r="O11705" s="6" t="str">
        <f>HYPERLINK("https://pbs.twimg.com/profile_images/962471262747529216/Uo8lOkRJ_normal.jpg","View")</f>
        <v>View</v>
      </c>
      <c r="P11705" s="7"/>
    </row>
    <row r="11706" spans="1:16">
      <c r="A11706" s="3">
        <v>44146.716539351852</v>
      </c>
      <c r="B11706" s="4" t="str">
        <f>HYPERLINK("https://twitter.com/petrogustavo","@petrogustavo")</f>
        <v>@petrogustavo</v>
      </c>
      <c r="C11706" s="5" t="s">
        <v>16</v>
      </c>
      <c r="D11706" s="5" t="s">
        <v>11266</v>
      </c>
      <c r="E11706" s="6" t="str">
        <f>HYPERLINK("https://twitter.com/petrogustavo/status/1326490309639933952","1326490309639933952")</f>
        <v>1326490309639933952</v>
      </c>
      <c r="F11706" s="7" t="s">
        <v>17</v>
      </c>
      <c r="G11706" s="7">
        <v>4005433</v>
      </c>
      <c r="H11706" s="7">
        <v>2460</v>
      </c>
      <c r="I11706" s="7">
        <v>55</v>
      </c>
      <c r="J11706" s="7">
        <v>123</v>
      </c>
      <c r="K11706" s="7" t="s">
        <v>18</v>
      </c>
      <c r="L11706" s="8">
        <v>39987.315405092595</v>
      </c>
      <c r="M11706" s="9" t="s">
        <v>19</v>
      </c>
      <c r="N11706" s="9" t="s">
        <v>20</v>
      </c>
      <c r="O11706" s="6" t="str">
        <f>HYPERLINK("https://pbs.twimg.com/profile_images/962471262747529216/Uo8lOkRJ_normal.jpg","View")</f>
        <v>View</v>
      </c>
      <c r="P11706" s="7"/>
    </row>
    <row r="11707" spans="1:16">
      <c r="A11707" s="3">
        <v>44146.718541666662</v>
      </c>
      <c r="B11707" s="4" t="str">
        <f>HYPERLINK("https://twitter.com/petrogustavo","@petrogustavo")</f>
        <v>@petrogustavo</v>
      </c>
      <c r="C11707" s="5" t="s">
        <v>16</v>
      </c>
      <c r="D11707" s="5" t="s">
        <v>11267</v>
      </c>
      <c r="E11707" s="6" t="str">
        <f>HYPERLINK("https://twitter.com/petrogustavo/status/1326491036835831810","1326491036835831810")</f>
        <v>1326491036835831810</v>
      </c>
      <c r="F11707" s="7" t="s">
        <v>17</v>
      </c>
      <c r="G11707" s="7">
        <v>4005433</v>
      </c>
      <c r="H11707" s="7">
        <v>2460</v>
      </c>
      <c r="I11707" s="7">
        <v>24</v>
      </c>
      <c r="J11707" s="7">
        <v>76</v>
      </c>
      <c r="K11707" s="7" t="s">
        <v>18</v>
      </c>
      <c r="L11707" s="8">
        <v>39987.315405092595</v>
      </c>
      <c r="M11707" s="9" t="s">
        <v>19</v>
      </c>
      <c r="N11707" s="9" t="s">
        <v>20</v>
      </c>
      <c r="O11707" s="6" t="str">
        <f>HYPERLINK("https://pbs.twimg.com/profile_images/962471262747529216/Uo8lOkRJ_normal.jpg","View")</f>
        <v>View</v>
      </c>
      <c r="P11707" s="7"/>
    </row>
    <row r="11708" spans="1:16">
      <c r="A11708" s="3">
        <v>44146.725821759261</v>
      </c>
      <c r="B11708" s="4" t="str">
        <f>HYPERLINK("https://twitter.com/petrogustavo","@petrogustavo")</f>
        <v>@petrogustavo</v>
      </c>
      <c r="C11708" s="5" t="s">
        <v>16</v>
      </c>
      <c r="D11708" s="5" t="s">
        <v>11268</v>
      </c>
      <c r="E11708" s="6" t="str">
        <f>HYPERLINK("https://twitter.com/petrogustavo/status/1326493675069837312","1326493675069837312")</f>
        <v>1326493675069837312</v>
      </c>
      <c r="F11708" s="7" t="s">
        <v>17</v>
      </c>
      <c r="G11708" s="7">
        <v>4005440</v>
      </c>
      <c r="H11708" s="7">
        <v>2460</v>
      </c>
      <c r="I11708" s="7">
        <v>82</v>
      </c>
      <c r="J11708" s="7">
        <v>212</v>
      </c>
      <c r="K11708" s="7" t="s">
        <v>18</v>
      </c>
      <c r="L11708" s="8">
        <v>39987.315405092595</v>
      </c>
      <c r="M11708" s="9" t="s">
        <v>19</v>
      </c>
      <c r="N11708" s="9" t="s">
        <v>20</v>
      </c>
      <c r="O11708" s="6" t="str">
        <f>HYPERLINK("https://pbs.twimg.com/profile_images/962471262747529216/Uo8lOkRJ_normal.jpg","View")</f>
        <v>View</v>
      </c>
      <c r="P11708" s="7"/>
    </row>
    <row r="11709" spans="1:16">
      <c r="A11709" s="3">
        <v>44146.728333333333</v>
      </c>
      <c r="B11709" s="4" t="str">
        <f>HYPERLINK("https://twitter.com/petrogustavo","@petrogustavo")</f>
        <v>@petrogustavo</v>
      </c>
      <c r="C11709" s="5" t="s">
        <v>16</v>
      </c>
      <c r="D11709" s="5" t="s">
        <v>11269</v>
      </c>
      <c r="E11709" s="6" t="str">
        <f>HYPERLINK("https://twitter.com/petrogustavo/status/1326494585233797122","1326494585233797122")</f>
        <v>1326494585233797122</v>
      </c>
      <c r="F11709" s="7" t="s">
        <v>17</v>
      </c>
      <c r="G11709" s="7">
        <v>4005440</v>
      </c>
      <c r="H11709" s="7">
        <v>2460</v>
      </c>
      <c r="I11709" s="7">
        <v>151</v>
      </c>
      <c r="J11709" s="7">
        <v>774</v>
      </c>
      <c r="K11709" s="7" t="s">
        <v>18</v>
      </c>
      <c r="L11709" s="8">
        <v>39987.315405092595</v>
      </c>
      <c r="M11709" s="9" t="s">
        <v>19</v>
      </c>
      <c r="N11709" s="9" t="s">
        <v>20</v>
      </c>
      <c r="O11709" s="6" t="str">
        <f>HYPERLINK("https://pbs.twimg.com/profile_images/962471262747529216/Uo8lOkRJ_normal.jpg","View")</f>
        <v>View</v>
      </c>
      <c r="P11709" s="7"/>
    </row>
    <row r="11710" spans="1:16">
      <c r="A11710" s="3">
        <v>44146.733194444445</v>
      </c>
      <c r="B11710" s="4" t="str">
        <f>HYPERLINK("https://twitter.com/petrogustavo","@petrogustavo")</f>
        <v>@petrogustavo</v>
      </c>
      <c r="C11710" s="5" t="s">
        <v>16</v>
      </c>
      <c r="D11710" s="5" t="s">
        <v>11270</v>
      </c>
      <c r="E11710" s="6" t="str">
        <f>HYPERLINK("https://twitter.com/petrogustavo/status/1326496344350056449","1326496344350056449")</f>
        <v>1326496344350056449</v>
      </c>
      <c r="F11710" s="7" t="s">
        <v>17</v>
      </c>
      <c r="G11710" s="7">
        <v>4005440</v>
      </c>
      <c r="H11710" s="7">
        <v>2460</v>
      </c>
      <c r="I11710" s="7">
        <v>51</v>
      </c>
      <c r="J11710" s="7">
        <v>153</v>
      </c>
      <c r="K11710" s="7" t="s">
        <v>18</v>
      </c>
      <c r="L11710" s="8">
        <v>39987.315405092595</v>
      </c>
      <c r="M11710" s="9" t="s">
        <v>19</v>
      </c>
      <c r="N11710" s="9" t="s">
        <v>20</v>
      </c>
      <c r="O11710" s="6" t="str">
        <f>HYPERLINK("https://pbs.twimg.com/profile_images/962471262747529216/Uo8lOkRJ_normal.jpg","View")</f>
        <v>View</v>
      </c>
      <c r="P11710" s="7"/>
    </row>
    <row r="11711" spans="1:16">
      <c r="A11711" s="3">
        <v>44146.743171296301</v>
      </c>
      <c r="B11711" s="4" t="str">
        <f>HYPERLINK("https://twitter.com/petrogustavo","@petrogustavo")</f>
        <v>@petrogustavo</v>
      </c>
      <c r="C11711" s="5" t="s">
        <v>16</v>
      </c>
      <c r="D11711" s="5" t="s">
        <v>11271</v>
      </c>
      <c r="E11711" s="6" t="str">
        <f>HYPERLINK("https://twitter.com/petrogustavo/status/1326499959244517376","1326499959244517376")</f>
        <v>1326499959244517376</v>
      </c>
      <c r="F11711" s="7" t="s">
        <v>17</v>
      </c>
      <c r="G11711" s="7">
        <v>4005427</v>
      </c>
      <c r="H11711" s="7">
        <v>2460</v>
      </c>
      <c r="I11711" s="7">
        <v>54</v>
      </c>
      <c r="J11711" s="7">
        <v>172</v>
      </c>
      <c r="K11711" s="7" t="s">
        <v>18</v>
      </c>
      <c r="L11711" s="8">
        <v>39987.315405092595</v>
      </c>
      <c r="M11711" s="9" t="s">
        <v>19</v>
      </c>
      <c r="N11711" s="9" t="s">
        <v>20</v>
      </c>
      <c r="O11711" s="6" t="str">
        <f>HYPERLINK("https://pbs.twimg.com/profile_images/962471262747529216/Uo8lOkRJ_normal.jpg","View")</f>
        <v>View</v>
      </c>
      <c r="P11711" s="7"/>
    </row>
    <row r="11712" spans="1:16">
      <c r="A11712" s="3">
        <v>44146.76085648148</v>
      </c>
      <c r="B11712" s="4" t="str">
        <f>HYPERLINK("https://twitter.com/petrogustavo","@petrogustavo")</f>
        <v>@petrogustavo</v>
      </c>
      <c r="C11712" s="5" t="s">
        <v>16</v>
      </c>
      <c r="D11712" s="5" t="s">
        <v>11272</v>
      </c>
      <c r="E11712" s="6" t="str">
        <f>HYPERLINK("https://twitter.com/petrogustavo/status/1326506370401783809","1326506370401783809")</f>
        <v>1326506370401783809</v>
      </c>
      <c r="F11712" s="7" t="s">
        <v>17</v>
      </c>
      <c r="G11712" s="7">
        <v>4005427</v>
      </c>
      <c r="H11712" s="7">
        <v>2460</v>
      </c>
      <c r="I11712" s="7">
        <v>105</v>
      </c>
      <c r="J11712" s="7">
        <v>0</v>
      </c>
      <c r="K11712" s="7" t="s">
        <v>18</v>
      </c>
      <c r="L11712" s="8">
        <v>39987.315405092595</v>
      </c>
      <c r="M11712" s="9" t="s">
        <v>19</v>
      </c>
      <c r="N11712" s="9" t="s">
        <v>20</v>
      </c>
      <c r="O11712" s="6" t="str">
        <f>HYPERLINK("https://pbs.twimg.com/profile_images/962471262747529216/Uo8lOkRJ_normal.jpg","View")</f>
        <v>View</v>
      </c>
      <c r="P11712" s="7"/>
    </row>
    <row r="11713" spans="1:16">
      <c r="A11713" s="3">
        <v>44146.788495370369</v>
      </c>
      <c r="B11713" s="4" t="str">
        <f>HYPERLINK("https://twitter.com/petrogustavo","@petrogustavo")</f>
        <v>@petrogustavo</v>
      </c>
      <c r="C11713" s="5" t="s">
        <v>16</v>
      </c>
      <c r="D11713" s="5" t="s">
        <v>11273</v>
      </c>
      <c r="E11713" s="6" t="str">
        <f>HYPERLINK("https://twitter.com/petrogustavo/status/1326516384847847425","1326516384847847425")</f>
        <v>1326516384847847425</v>
      </c>
      <c r="F11713" s="7" t="s">
        <v>17</v>
      </c>
      <c r="G11713" s="7">
        <v>4005454</v>
      </c>
      <c r="H11713" s="7">
        <v>2460</v>
      </c>
      <c r="I11713" s="7">
        <v>80</v>
      </c>
      <c r="J11713" s="7">
        <v>367</v>
      </c>
      <c r="K11713" s="7" t="s">
        <v>18</v>
      </c>
      <c r="L11713" s="8">
        <v>39987.315405092595</v>
      </c>
      <c r="M11713" s="9" t="s">
        <v>19</v>
      </c>
      <c r="N11713" s="9" t="s">
        <v>20</v>
      </c>
      <c r="O11713" s="6" t="str">
        <f>HYPERLINK("https://pbs.twimg.com/profile_images/962471262747529216/Uo8lOkRJ_normal.jpg","View")</f>
        <v>View</v>
      </c>
      <c r="P11713" s="7"/>
    </row>
    <row r="11714" spans="1:16">
      <c r="A11714" s="3">
        <v>44146.789861111116</v>
      </c>
      <c r="B11714" s="4" t="str">
        <f>HYPERLINK("https://twitter.com/petrogustavo","@petrogustavo")</f>
        <v>@petrogustavo</v>
      </c>
      <c r="C11714" s="5" t="s">
        <v>16</v>
      </c>
      <c r="D11714" s="5" t="s">
        <v>11274</v>
      </c>
      <c r="E11714" s="6" t="str">
        <f>HYPERLINK("https://twitter.com/petrogustavo/status/1326516882116055040","1326516882116055040")</f>
        <v>1326516882116055040</v>
      </c>
      <c r="F11714" s="7" t="s">
        <v>17</v>
      </c>
      <c r="G11714" s="7">
        <v>4005454</v>
      </c>
      <c r="H11714" s="7">
        <v>2460</v>
      </c>
      <c r="I11714" s="7">
        <v>42</v>
      </c>
      <c r="J11714" s="7">
        <v>208</v>
      </c>
      <c r="K11714" s="7" t="s">
        <v>18</v>
      </c>
      <c r="L11714" s="8">
        <v>39987.315405092595</v>
      </c>
      <c r="M11714" s="9" t="s">
        <v>19</v>
      </c>
      <c r="N11714" s="9" t="s">
        <v>20</v>
      </c>
      <c r="O11714" s="6" t="str">
        <f>HYPERLINK("https://pbs.twimg.com/profile_images/962471262747529216/Uo8lOkRJ_normal.jpg","View")</f>
        <v>View</v>
      </c>
      <c r="P11714" s="7"/>
    </row>
    <row r="11715" spans="1:16">
      <c r="A11715" s="3">
        <v>44146.790844907402</v>
      </c>
      <c r="B11715" s="4" t="str">
        <f>HYPERLINK("https://twitter.com/petrogustavo","@petrogustavo")</f>
        <v>@petrogustavo</v>
      </c>
      <c r="C11715" s="5" t="s">
        <v>16</v>
      </c>
      <c r="D11715" s="5" t="s">
        <v>11275</v>
      </c>
      <c r="E11715" s="6" t="str">
        <f>HYPERLINK("https://twitter.com/petrogustavo/status/1326517237306564610","1326517237306564610")</f>
        <v>1326517237306564610</v>
      </c>
      <c r="F11715" s="7" t="s">
        <v>17</v>
      </c>
      <c r="G11715" s="7">
        <v>4005454</v>
      </c>
      <c r="H11715" s="7">
        <v>2460</v>
      </c>
      <c r="I11715" s="7">
        <v>117</v>
      </c>
      <c r="J11715" s="7">
        <v>407</v>
      </c>
      <c r="K11715" s="7" t="s">
        <v>18</v>
      </c>
      <c r="L11715" s="8">
        <v>39987.315405092595</v>
      </c>
      <c r="M11715" s="9" t="s">
        <v>19</v>
      </c>
      <c r="N11715" s="9" t="s">
        <v>20</v>
      </c>
      <c r="O11715" s="6" t="str">
        <f>HYPERLINK("https://pbs.twimg.com/profile_images/962471262747529216/Uo8lOkRJ_normal.jpg","View")</f>
        <v>View</v>
      </c>
      <c r="P11715" s="7"/>
    </row>
    <row r="11716" spans="1:16">
      <c r="A11716" s="3">
        <v>44146.798020833332</v>
      </c>
      <c r="B11716" s="4" t="str">
        <f>HYPERLINK("https://twitter.com/petrogustavo","@petrogustavo")</f>
        <v>@petrogustavo</v>
      </c>
      <c r="C11716" s="5" t="s">
        <v>16</v>
      </c>
      <c r="D11716" s="5" t="s">
        <v>11276</v>
      </c>
      <c r="E11716" s="6" t="str">
        <f>HYPERLINK("https://twitter.com/petrogustavo/status/1326519838207041536","1326519838207041536")</f>
        <v>1326519838207041536</v>
      </c>
      <c r="F11716" s="7" t="s">
        <v>17</v>
      </c>
      <c r="G11716" s="7">
        <v>4005454</v>
      </c>
      <c r="H11716" s="7">
        <v>2460</v>
      </c>
      <c r="I11716" s="7">
        <v>20</v>
      </c>
      <c r="J11716" s="7">
        <v>91</v>
      </c>
      <c r="K11716" s="7" t="s">
        <v>18</v>
      </c>
      <c r="L11716" s="8">
        <v>39987.315405092595</v>
      </c>
      <c r="M11716" s="9" t="s">
        <v>19</v>
      </c>
      <c r="N11716" s="9" t="s">
        <v>20</v>
      </c>
      <c r="O11716" s="6" t="str">
        <f>HYPERLINK("https://pbs.twimg.com/profile_images/962471262747529216/Uo8lOkRJ_normal.jpg","View")</f>
        <v>View</v>
      </c>
      <c r="P11716" s="7"/>
    </row>
    <row r="11717" spans="1:16">
      <c r="A11717" s="3">
        <v>44146.798634259263</v>
      </c>
      <c r="B11717" s="4" t="str">
        <f>HYPERLINK("https://twitter.com/petrogustavo","@petrogustavo")</f>
        <v>@petrogustavo</v>
      </c>
      <c r="C11717" s="5" t="s">
        <v>16</v>
      </c>
      <c r="D11717" s="5" t="s">
        <v>11277</v>
      </c>
      <c r="E11717" s="6" t="str">
        <f>HYPERLINK("https://twitter.com/petrogustavo/status/1326520060345786369","1326520060345786369")</f>
        <v>1326520060345786369</v>
      </c>
      <c r="F11717" s="7" t="s">
        <v>17</v>
      </c>
      <c r="G11717" s="7">
        <v>4005454</v>
      </c>
      <c r="H11717" s="7">
        <v>2460</v>
      </c>
      <c r="I11717" s="7">
        <v>80</v>
      </c>
      <c r="J11717" s="7">
        <v>0</v>
      </c>
      <c r="K11717" s="7" t="s">
        <v>18</v>
      </c>
      <c r="L11717" s="8">
        <v>39987.315405092595</v>
      </c>
      <c r="M11717" s="9" t="s">
        <v>19</v>
      </c>
      <c r="N11717" s="9" t="s">
        <v>20</v>
      </c>
      <c r="O11717" s="6" t="str">
        <f>HYPERLINK("https://pbs.twimg.com/profile_images/962471262747529216/Uo8lOkRJ_normal.jpg","View")</f>
        <v>View</v>
      </c>
      <c r="P11717" s="7"/>
    </row>
    <row r="11718" spans="1:16">
      <c r="A11718" s="3">
        <v>44146.917384259257</v>
      </c>
      <c r="B11718" s="4" t="str">
        <f>HYPERLINK("https://twitter.com/petrogustavo","@petrogustavo")</f>
        <v>@petrogustavo</v>
      </c>
      <c r="C11718" s="5" t="s">
        <v>16</v>
      </c>
      <c r="D11718" s="5" t="s">
        <v>11278</v>
      </c>
      <c r="E11718" s="6" t="str">
        <f>HYPERLINK("https://twitter.com/petrogustavo/status/1326563091690233857","1326563091690233857")</f>
        <v>1326563091690233857</v>
      </c>
      <c r="F11718" s="7" t="s">
        <v>17</v>
      </c>
      <c r="G11718" s="7">
        <v>4005535</v>
      </c>
      <c r="H11718" s="7">
        <v>2459</v>
      </c>
      <c r="I11718" s="7">
        <v>56</v>
      </c>
      <c r="J11718" s="7">
        <v>93</v>
      </c>
      <c r="K11718" s="7" t="s">
        <v>18</v>
      </c>
      <c r="L11718" s="8">
        <v>39987.315405092595</v>
      </c>
      <c r="M11718" s="9" t="s">
        <v>19</v>
      </c>
      <c r="N11718" s="9" t="s">
        <v>20</v>
      </c>
      <c r="O11718" s="6" t="str">
        <f>HYPERLINK("https://pbs.twimg.com/profile_images/962471262747529216/Uo8lOkRJ_normal.jpg","View")</f>
        <v>View</v>
      </c>
      <c r="P11718" s="7"/>
    </row>
    <row r="11719" spans="1:16">
      <c r="A11719" s="3">
        <v>44146.918437500004</v>
      </c>
      <c r="B11719" s="4" t="str">
        <f>HYPERLINK("https://twitter.com/petrogustavo","@petrogustavo")</f>
        <v>@petrogustavo</v>
      </c>
      <c r="C11719" s="5" t="s">
        <v>16</v>
      </c>
      <c r="D11719" s="5" t="s">
        <v>11279</v>
      </c>
      <c r="E11719" s="6" t="str">
        <f>HYPERLINK("https://twitter.com/petrogustavo/status/1326563475733291012","1326563475733291012")</f>
        <v>1326563475733291012</v>
      </c>
      <c r="F11719" s="7" t="s">
        <v>17</v>
      </c>
      <c r="G11719" s="7">
        <v>4005535</v>
      </c>
      <c r="H11719" s="7">
        <v>2459</v>
      </c>
      <c r="I11719" s="7">
        <v>36</v>
      </c>
      <c r="J11719" s="7">
        <v>111</v>
      </c>
      <c r="K11719" s="7" t="s">
        <v>18</v>
      </c>
      <c r="L11719" s="8">
        <v>39987.315405092595</v>
      </c>
      <c r="M11719" s="9" t="s">
        <v>19</v>
      </c>
      <c r="N11719" s="9" t="s">
        <v>20</v>
      </c>
      <c r="O11719" s="6" t="str">
        <f>HYPERLINK("https://pbs.twimg.com/profile_images/962471262747529216/Uo8lOkRJ_normal.jpg","View")</f>
        <v>View</v>
      </c>
      <c r="P11719" s="7"/>
    </row>
    <row r="11720" spans="1:16">
      <c r="A11720" s="3">
        <v>44146.920925925922</v>
      </c>
      <c r="B11720" s="4" t="str">
        <f>HYPERLINK("https://twitter.com/petrogustavo","@petrogustavo")</f>
        <v>@petrogustavo</v>
      </c>
      <c r="C11720" s="5" t="s">
        <v>16</v>
      </c>
      <c r="D11720" s="5" t="s">
        <v>11280</v>
      </c>
      <c r="E11720" s="6" t="str">
        <f>HYPERLINK("https://twitter.com/petrogustavo/status/1326564378473336838","1326564378473336838")</f>
        <v>1326564378473336838</v>
      </c>
      <c r="F11720" s="7" t="s">
        <v>17</v>
      </c>
      <c r="G11720" s="7">
        <v>4005535</v>
      </c>
      <c r="H11720" s="7">
        <v>2459</v>
      </c>
      <c r="I11720" s="7">
        <v>124</v>
      </c>
      <c r="J11720" s="7">
        <v>244</v>
      </c>
      <c r="K11720" s="7" t="s">
        <v>18</v>
      </c>
      <c r="L11720" s="8">
        <v>39987.315405092595</v>
      </c>
      <c r="M11720" s="9" t="s">
        <v>19</v>
      </c>
      <c r="N11720" s="9" t="s">
        <v>20</v>
      </c>
      <c r="O11720" s="6" t="str">
        <f>HYPERLINK("https://pbs.twimg.com/profile_images/962471262747529216/Uo8lOkRJ_normal.jpg","View")</f>
        <v>View</v>
      </c>
      <c r="P11720" s="7"/>
    </row>
    <row r="11721" spans="1:16">
      <c r="A11721" s="3">
        <v>44146.92487268518</v>
      </c>
      <c r="B11721" s="4" t="str">
        <f>HYPERLINK("https://twitter.com/petrogustavo","@petrogustavo")</f>
        <v>@petrogustavo</v>
      </c>
      <c r="C11721" s="5" t="s">
        <v>16</v>
      </c>
      <c r="D11721" s="5" t="s">
        <v>11281</v>
      </c>
      <c r="E11721" s="6" t="str">
        <f>HYPERLINK("https://twitter.com/petrogustavo/status/1326565805321048064","1326565805321048064")</f>
        <v>1326565805321048064</v>
      </c>
      <c r="F11721" s="7" t="s">
        <v>17</v>
      </c>
      <c r="G11721" s="7">
        <v>4005535</v>
      </c>
      <c r="H11721" s="7">
        <v>2459</v>
      </c>
      <c r="I11721" s="7">
        <v>57</v>
      </c>
      <c r="J11721" s="7">
        <v>117</v>
      </c>
      <c r="K11721" s="7" t="s">
        <v>18</v>
      </c>
      <c r="L11721" s="8">
        <v>39987.315405092595</v>
      </c>
      <c r="M11721" s="9" t="s">
        <v>19</v>
      </c>
      <c r="N11721" s="9" t="s">
        <v>20</v>
      </c>
      <c r="O11721" s="6" t="str">
        <f>HYPERLINK("https://pbs.twimg.com/profile_images/962471262747529216/Uo8lOkRJ_normal.jpg","View")</f>
        <v>View</v>
      </c>
      <c r="P11721" s="7"/>
    </row>
    <row r="11722" spans="1:16">
      <c r="A11722" s="3">
        <v>44146.959004629629</v>
      </c>
      <c r="B11722" s="4" t="str">
        <f>HYPERLINK("https://twitter.com/petrogustavo","@petrogustavo")</f>
        <v>@petrogustavo</v>
      </c>
      <c r="C11722" s="5" t="s">
        <v>16</v>
      </c>
      <c r="D11722" s="5" t="s">
        <v>11282</v>
      </c>
      <c r="E11722" s="6" t="str">
        <f>HYPERLINK("https://twitter.com/petrogustavo/status/1326578177192439820","1326578177192439820")</f>
        <v>1326578177192439820</v>
      </c>
      <c r="F11722" s="7" t="s">
        <v>17</v>
      </c>
      <c r="G11722" s="7">
        <v>4005569</v>
      </c>
      <c r="H11722" s="7">
        <v>2459</v>
      </c>
      <c r="I11722" s="7">
        <v>81</v>
      </c>
      <c r="J11722" s="7">
        <v>183</v>
      </c>
      <c r="K11722" s="7" t="s">
        <v>18</v>
      </c>
      <c r="L11722" s="8">
        <v>39987.315405092595</v>
      </c>
      <c r="M11722" s="9" t="s">
        <v>19</v>
      </c>
      <c r="N11722" s="9" t="s">
        <v>20</v>
      </c>
      <c r="O11722" s="6" t="str">
        <f>HYPERLINK("https://pbs.twimg.com/profile_images/962471262747529216/Uo8lOkRJ_normal.jpg","View")</f>
        <v>View</v>
      </c>
      <c r="P11722" s="7"/>
    </row>
    <row r="11723" spans="1:16">
      <c r="A11723" s="3">
        <v>44146.968726851846</v>
      </c>
      <c r="B11723" s="4" t="str">
        <f>HYPERLINK("https://twitter.com/petrogustavo","@petrogustavo")</f>
        <v>@petrogustavo</v>
      </c>
      <c r="C11723" s="5" t="s">
        <v>16</v>
      </c>
      <c r="D11723" s="5" t="s">
        <v>11283</v>
      </c>
      <c r="E11723" s="6" t="str">
        <f>HYPERLINK("https://twitter.com/petrogustavo/status/1326581698763628544","1326581698763628544")</f>
        <v>1326581698763628544</v>
      </c>
      <c r="F11723" s="7" t="s">
        <v>17</v>
      </c>
      <c r="G11723" s="7">
        <v>4005569</v>
      </c>
      <c r="H11723" s="7">
        <v>2459</v>
      </c>
      <c r="I11723" s="7">
        <v>26</v>
      </c>
      <c r="J11723" s="7">
        <v>108</v>
      </c>
      <c r="K11723" s="7" t="s">
        <v>18</v>
      </c>
      <c r="L11723" s="8">
        <v>39987.315405092595</v>
      </c>
      <c r="M11723" s="9" t="s">
        <v>19</v>
      </c>
      <c r="N11723" s="9" t="s">
        <v>20</v>
      </c>
      <c r="O11723" s="6" t="str">
        <f>HYPERLINK("https://pbs.twimg.com/profile_images/962471262747529216/Uo8lOkRJ_normal.jpg","View")</f>
        <v>View</v>
      </c>
      <c r="P11723" s="7"/>
    </row>
    <row r="11724" spans="1:16">
      <c r="A11724" s="3">
        <v>44146.988009259258</v>
      </c>
      <c r="B11724" s="4" t="str">
        <f>HYPERLINK("https://twitter.com/petrogustavo","@petrogustavo")</f>
        <v>@petrogustavo</v>
      </c>
      <c r="C11724" s="5" t="s">
        <v>16</v>
      </c>
      <c r="D11724" s="5" t="s">
        <v>11284</v>
      </c>
      <c r="E11724" s="6" t="str">
        <f>HYPERLINK("https://twitter.com/petrogustavo/status/1326588687027724292","1326588687027724292")</f>
        <v>1326588687027724292</v>
      </c>
      <c r="F11724" s="7" t="s">
        <v>17</v>
      </c>
      <c r="G11724" s="7">
        <v>4005642</v>
      </c>
      <c r="H11724" s="7">
        <v>2459</v>
      </c>
      <c r="I11724" s="7">
        <v>287</v>
      </c>
      <c r="J11724" s="7">
        <v>0</v>
      </c>
      <c r="K11724" s="7" t="s">
        <v>18</v>
      </c>
      <c r="L11724" s="8">
        <v>39987.315405092595</v>
      </c>
      <c r="M11724" s="9" t="s">
        <v>19</v>
      </c>
      <c r="N11724" s="9" t="s">
        <v>20</v>
      </c>
      <c r="O11724" s="6" t="str">
        <f>HYPERLINK("https://pbs.twimg.com/profile_images/962471262747529216/Uo8lOkRJ_normal.jpg","View")</f>
        <v>View</v>
      </c>
      <c r="P11724" s="7"/>
    </row>
    <row r="11725" spans="1:16">
      <c r="A11725" s="3">
        <v>44146.996145833335</v>
      </c>
      <c r="B11725" s="4" t="str">
        <f>HYPERLINK("https://twitter.com/petrogustavo","@petrogustavo")</f>
        <v>@petrogustavo</v>
      </c>
      <c r="C11725" s="5" t="s">
        <v>16</v>
      </c>
      <c r="D11725" s="5" t="s">
        <v>11285</v>
      </c>
      <c r="E11725" s="6" t="str">
        <f>HYPERLINK("https://twitter.com/petrogustavo/status/1326591636986605571","1326591636986605571")</f>
        <v>1326591636986605571</v>
      </c>
      <c r="F11725" s="7" t="s">
        <v>17</v>
      </c>
      <c r="G11725" s="7">
        <v>4005653</v>
      </c>
      <c r="H11725" s="7">
        <v>2459</v>
      </c>
      <c r="I11725" s="7">
        <v>82</v>
      </c>
      <c r="J11725" s="7">
        <v>0</v>
      </c>
      <c r="K11725" s="7" t="s">
        <v>18</v>
      </c>
      <c r="L11725" s="8">
        <v>39987.315405092595</v>
      </c>
      <c r="M11725" s="9" t="s">
        <v>19</v>
      </c>
      <c r="N11725" s="9" t="s">
        <v>20</v>
      </c>
      <c r="O11725" s="6" t="str">
        <f>HYPERLINK("https://pbs.twimg.com/profile_images/962471262747529216/Uo8lOkRJ_normal.jpg","View")</f>
        <v>View</v>
      </c>
      <c r="P11725" s="7"/>
    </row>
    <row r="11726" spans="1:16">
      <c r="A11726" s="3">
        <v>44146.997048611112</v>
      </c>
      <c r="B11726" s="4" t="str">
        <f>HYPERLINK("https://twitter.com/petrogustavo","@petrogustavo")</f>
        <v>@petrogustavo</v>
      </c>
      <c r="C11726" s="5" t="s">
        <v>16</v>
      </c>
      <c r="D11726" s="5" t="s">
        <v>11286</v>
      </c>
      <c r="E11726" s="6" t="str">
        <f>HYPERLINK("https://twitter.com/petrogustavo/status/1326591962946875393","1326591962946875393")</f>
        <v>1326591962946875393</v>
      </c>
      <c r="F11726" s="7" t="s">
        <v>17</v>
      </c>
      <c r="G11726" s="7">
        <v>4005653</v>
      </c>
      <c r="H11726" s="7">
        <v>2459</v>
      </c>
      <c r="I11726" s="7">
        <v>120</v>
      </c>
      <c r="J11726" s="7">
        <v>549</v>
      </c>
      <c r="K11726" s="7" t="s">
        <v>18</v>
      </c>
      <c r="L11726" s="8">
        <v>39987.315405092595</v>
      </c>
      <c r="M11726" s="9" t="s">
        <v>19</v>
      </c>
      <c r="N11726" s="9" t="s">
        <v>20</v>
      </c>
      <c r="O11726" s="6" t="str">
        <f>HYPERLINK("https://pbs.twimg.com/profile_images/962471262747529216/Uo8lOkRJ_normal.jpg","View")</f>
        <v>View</v>
      </c>
      <c r="P11726" s="7"/>
    </row>
    <row r="11727" spans="1:16">
      <c r="A11727" s="3">
        <v>44146.999872685185</v>
      </c>
      <c r="B11727" s="4" t="str">
        <f>HYPERLINK("https://twitter.com/petrogustavo","@petrogustavo")</f>
        <v>@petrogustavo</v>
      </c>
      <c r="C11727" s="5" t="s">
        <v>16</v>
      </c>
      <c r="D11727" s="5" t="s">
        <v>11287</v>
      </c>
      <c r="E11727" s="6" t="str">
        <f>HYPERLINK("https://twitter.com/petrogustavo/status/1326592984406745090","1326592984406745090")</f>
        <v>1326592984406745090</v>
      </c>
      <c r="F11727" s="7" t="s">
        <v>17</v>
      </c>
      <c r="G11727" s="7">
        <v>4005653</v>
      </c>
      <c r="H11727" s="7">
        <v>2459</v>
      </c>
      <c r="I11727" s="7">
        <v>145</v>
      </c>
      <c r="J11727" s="7">
        <v>0</v>
      </c>
      <c r="K11727" s="7" t="s">
        <v>18</v>
      </c>
      <c r="L11727" s="8">
        <v>39987.315405092595</v>
      </c>
      <c r="M11727" s="9" t="s">
        <v>19</v>
      </c>
      <c r="N11727" s="9" t="s">
        <v>20</v>
      </c>
      <c r="O11727" s="6" t="str">
        <f>HYPERLINK("https://pbs.twimg.com/profile_images/962471262747529216/Uo8lOkRJ_normal.jpg","View")</f>
        <v>View</v>
      </c>
      <c r="P11727" s="7"/>
    </row>
    <row r="11728" spans="1:16">
      <c r="A11728" s="3">
        <v>44147.02344907407</v>
      </c>
      <c r="B11728" s="4" t="str">
        <f>HYPERLINK("https://twitter.com/petrogustavo","@petrogustavo")</f>
        <v>@petrogustavo</v>
      </c>
      <c r="C11728" s="5" t="s">
        <v>16</v>
      </c>
      <c r="D11728" s="5" t="s">
        <v>11288</v>
      </c>
      <c r="E11728" s="6" t="str">
        <f>HYPERLINK("https://twitter.com/petrogustavo/status/1326601531815321600","1326601531815321600")</f>
        <v>1326601531815321600</v>
      </c>
      <c r="F11728" s="7" t="s">
        <v>17</v>
      </c>
      <c r="G11728" s="7">
        <v>4005663</v>
      </c>
      <c r="H11728" s="7">
        <v>2459</v>
      </c>
      <c r="I11728" s="7">
        <v>354</v>
      </c>
      <c r="J11728" s="7">
        <v>1306</v>
      </c>
      <c r="K11728" s="7" t="s">
        <v>18</v>
      </c>
      <c r="L11728" s="8">
        <v>39987.315405092595</v>
      </c>
      <c r="M11728" s="9" t="s">
        <v>19</v>
      </c>
      <c r="N11728" s="9" t="s">
        <v>20</v>
      </c>
      <c r="O11728" s="6" t="str">
        <f>HYPERLINK("https://pbs.twimg.com/profile_images/962471262747529216/Uo8lOkRJ_normal.jpg","View")</f>
        <v>View</v>
      </c>
      <c r="P11728" s="7"/>
    </row>
    <row r="11729" spans="1:16">
      <c r="A11729" s="3">
        <v>44147.068252314813</v>
      </c>
      <c r="B11729" s="4" t="str">
        <f>HYPERLINK("https://twitter.com/petrogustavo","@petrogustavo")</f>
        <v>@petrogustavo</v>
      </c>
      <c r="C11729" s="5" t="s">
        <v>16</v>
      </c>
      <c r="D11729" s="5" t="s">
        <v>11289</v>
      </c>
      <c r="E11729" s="6" t="str">
        <f>HYPERLINK("https://twitter.com/petrogustavo/status/1326617767005609985","1326617767005609985")</f>
        <v>1326617767005609985</v>
      </c>
      <c r="F11729" s="7" t="s">
        <v>17</v>
      </c>
      <c r="G11729" s="7">
        <v>4005680</v>
      </c>
      <c r="H11729" s="7">
        <v>2459</v>
      </c>
      <c r="I11729" s="7">
        <v>241</v>
      </c>
      <c r="J11729" s="7">
        <v>0</v>
      </c>
      <c r="K11729" s="7" t="s">
        <v>18</v>
      </c>
      <c r="L11729" s="8">
        <v>39987.315405092595</v>
      </c>
      <c r="M11729" s="9" t="s">
        <v>19</v>
      </c>
      <c r="N11729" s="9" t="s">
        <v>20</v>
      </c>
      <c r="O11729" s="6" t="str">
        <f>HYPERLINK("https://pbs.twimg.com/profile_images/962471262747529216/Uo8lOkRJ_normal.jpg","View")</f>
        <v>View</v>
      </c>
      <c r="P11729" s="7"/>
    </row>
    <row r="11730" spans="1:16">
      <c r="A11730" s="3">
        <v>44147.082523148143</v>
      </c>
      <c r="B11730" s="4" t="str">
        <f>HYPERLINK("https://twitter.com/petrogustavo","@petrogustavo")</f>
        <v>@petrogustavo</v>
      </c>
      <c r="C11730" s="5" t="s">
        <v>16</v>
      </c>
      <c r="D11730" s="5" t="s">
        <v>11290</v>
      </c>
      <c r="E11730" s="6" t="str">
        <f>HYPERLINK("https://twitter.com/petrogustavo/status/1326622935944204288","1326622935944204288")</f>
        <v>1326622935944204288</v>
      </c>
      <c r="F11730" s="7" t="s">
        <v>17</v>
      </c>
      <c r="G11730" s="7">
        <v>4005696</v>
      </c>
      <c r="H11730" s="7">
        <v>2459</v>
      </c>
      <c r="I11730" s="7">
        <v>123</v>
      </c>
      <c r="J11730" s="7">
        <v>336</v>
      </c>
      <c r="K11730" s="7" t="s">
        <v>18</v>
      </c>
      <c r="L11730" s="8">
        <v>39987.315405092595</v>
      </c>
      <c r="M11730" s="9" t="s">
        <v>19</v>
      </c>
      <c r="N11730" s="9" t="s">
        <v>20</v>
      </c>
      <c r="O11730" s="6" t="str">
        <f>HYPERLINK("https://pbs.twimg.com/profile_images/962471262747529216/Uo8lOkRJ_normal.jpg","View")</f>
        <v>View</v>
      </c>
      <c r="P11730" s="7"/>
    </row>
    <row r="11731" spans="1:16">
      <c r="A11731" s="3">
        <v>44147.102395833332</v>
      </c>
      <c r="B11731" s="4" t="str">
        <f>HYPERLINK("https://twitter.com/petrogustavo","@petrogustavo")</f>
        <v>@petrogustavo</v>
      </c>
      <c r="C11731" s="5" t="s">
        <v>16</v>
      </c>
      <c r="D11731" s="5" t="s">
        <v>11291</v>
      </c>
      <c r="E11731" s="6" t="str">
        <f>HYPERLINK("https://twitter.com/petrogustavo/status/1326630138092675077","1326630138092675077")</f>
        <v>1326630138092675077</v>
      </c>
      <c r="F11731" s="7" t="s">
        <v>17</v>
      </c>
      <c r="G11731" s="7">
        <v>4005708</v>
      </c>
      <c r="H11731" s="7">
        <v>2459</v>
      </c>
      <c r="I11731" s="7">
        <v>48</v>
      </c>
      <c r="J11731" s="7">
        <v>204</v>
      </c>
      <c r="K11731" s="7" t="s">
        <v>18</v>
      </c>
      <c r="L11731" s="8">
        <v>39987.315405092595</v>
      </c>
      <c r="M11731" s="9" t="s">
        <v>19</v>
      </c>
      <c r="N11731" s="9" t="s">
        <v>20</v>
      </c>
      <c r="O11731" s="6" t="str">
        <f>HYPERLINK("https://pbs.twimg.com/profile_images/962471262747529216/Uo8lOkRJ_normal.jpg","View")</f>
        <v>View</v>
      </c>
      <c r="P11731" s="7"/>
    </row>
    <row r="11732" spans="1:16">
      <c r="A11732" s="3">
        <v>44147.199965277774</v>
      </c>
      <c r="B11732" s="4" t="str">
        <f>HYPERLINK("https://twitter.com/petrogustavo","@petrogustavo")</f>
        <v>@petrogustavo</v>
      </c>
      <c r="C11732" s="5" t="s">
        <v>16</v>
      </c>
      <c r="D11732" s="5" t="s">
        <v>11292</v>
      </c>
      <c r="E11732" s="6" t="str">
        <f>HYPERLINK("https://twitter.com/petrogustavo/status/1326665496213774337","1326665496213774337")</f>
        <v>1326665496213774337</v>
      </c>
      <c r="F11732" s="7" t="s">
        <v>17</v>
      </c>
      <c r="G11732" s="7">
        <v>4005769</v>
      </c>
      <c r="H11732" s="7">
        <v>2459</v>
      </c>
      <c r="I11732" s="7">
        <v>0</v>
      </c>
      <c r="J11732" s="7">
        <v>0</v>
      </c>
      <c r="K11732" s="7" t="s">
        <v>18</v>
      </c>
      <c r="L11732" s="8">
        <v>39987.315405092595</v>
      </c>
      <c r="M11732" s="9" t="s">
        <v>19</v>
      </c>
      <c r="N11732" s="9" t="s">
        <v>20</v>
      </c>
      <c r="O11732" s="6" t="str">
        <f>HYPERLINK("https://pbs.twimg.com/profile_images/962471262747529216/Uo8lOkRJ_normal.jpg","View")</f>
        <v>View</v>
      </c>
      <c r="P11732" s="7"/>
    </row>
    <row r="11733" spans="1:16">
      <c r="A11733" s="3">
        <v>44147.712847222225</v>
      </c>
      <c r="B11733" s="4" t="str">
        <f>HYPERLINK("https://twitter.com/petrogustavo","@petrogustavo")</f>
        <v>@petrogustavo</v>
      </c>
      <c r="C11733" s="5" t="s">
        <v>16</v>
      </c>
      <c r="D11733" s="5" t="s">
        <v>11293</v>
      </c>
      <c r="E11733" s="6" t="str">
        <f>HYPERLINK("https://twitter.com/petrogustavo/status/1326851361699409920","1326851361699409920")</f>
        <v>1326851361699409920</v>
      </c>
      <c r="F11733" s="7" t="s">
        <v>17</v>
      </c>
      <c r="G11733" s="7">
        <v>4006024</v>
      </c>
      <c r="H11733" s="7">
        <v>2460</v>
      </c>
      <c r="I11733" s="7">
        <v>8470</v>
      </c>
      <c r="J11733" s="7">
        <v>0</v>
      </c>
      <c r="K11733" s="7" t="s">
        <v>18</v>
      </c>
      <c r="L11733" s="8">
        <v>39987.315405092595</v>
      </c>
      <c r="M11733" s="9" t="s">
        <v>19</v>
      </c>
      <c r="N11733" s="9" t="s">
        <v>20</v>
      </c>
      <c r="O11733" s="6" t="str">
        <f>HYPERLINK("https://pbs.twimg.com/profile_images/962471262747529216/Uo8lOkRJ_normal.jpg","View")</f>
        <v>View</v>
      </c>
      <c r="P11733" s="7"/>
    </row>
    <row r="11734" spans="1:16">
      <c r="A11734" s="3">
        <v>44147.714826388888</v>
      </c>
      <c r="B11734" s="4" t="str">
        <f>HYPERLINK("https://twitter.com/petrogustavo","@petrogustavo")</f>
        <v>@petrogustavo</v>
      </c>
      <c r="C11734" s="5" t="s">
        <v>16</v>
      </c>
      <c r="D11734" s="5" t="s">
        <v>11294</v>
      </c>
      <c r="E11734" s="6" t="str">
        <f>HYPERLINK("https://twitter.com/petrogustavo/status/1326852077885272066","1326852077885272066")</f>
        <v>1326852077885272066</v>
      </c>
      <c r="F11734" s="7" t="s">
        <v>17</v>
      </c>
      <c r="G11734" s="7">
        <v>4006024</v>
      </c>
      <c r="H11734" s="7">
        <v>2460</v>
      </c>
      <c r="I11734" s="7">
        <v>88</v>
      </c>
      <c r="J11734" s="7">
        <v>208</v>
      </c>
      <c r="K11734" s="7" t="s">
        <v>18</v>
      </c>
      <c r="L11734" s="8">
        <v>39987.315405092595</v>
      </c>
      <c r="M11734" s="9" t="s">
        <v>19</v>
      </c>
      <c r="N11734" s="9" t="s">
        <v>20</v>
      </c>
      <c r="O11734" s="6" t="str">
        <f>HYPERLINK("https://pbs.twimg.com/profile_images/962471262747529216/Uo8lOkRJ_normal.jpg","View")</f>
        <v>View</v>
      </c>
      <c r="P11734" s="7"/>
    </row>
    <row r="11735" spans="1:16">
      <c r="A11735" s="3">
        <v>44147.722488425927</v>
      </c>
      <c r="B11735" s="4" t="str">
        <f>HYPERLINK("https://twitter.com/petrogustavo","@petrogustavo")</f>
        <v>@petrogustavo</v>
      </c>
      <c r="C11735" s="5" t="s">
        <v>16</v>
      </c>
      <c r="D11735" s="5" t="s">
        <v>11295</v>
      </c>
      <c r="E11735" s="6" t="str">
        <f>HYPERLINK("https://twitter.com/petrogustavo/status/1326854854866849792","1326854854866849792")</f>
        <v>1326854854866849792</v>
      </c>
      <c r="F11735" s="7" t="s">
        <v>17</v>
      </c>
      <c r="G11735" s="7">
        <v>4006038</v>
      </c>
      <c r="H11735" s="7">
        <v>2460</v>
      </c>
      <c r="I11735" s="7">
        <v>1672</v>
      </c>
      <c r="J11735" s="7">
        <v>0</v>
      </c>
      <c r="K11735" s="7" t="s">
        <v>18</v>
      </c>
      <c r="L11735" s="8">
        <v>39987.315405092595</v>
      </c>
      <c r="M11735" s="9" t="s">
        <v>19</v>
      </c>
      <c r="N11735" s="9" t="s">
        <v>20</v>
      </c>
      <c r="O11735" s="6" t="str">
        <f>HYPERLINK("https://pbs.twimg.com/profile_images/962471262747529216/Uo8lOkRJ_normal.jpg","View")</f>
        <v>View</v>
      </c>
      <c r="P11735" s="7"/>
    </row>
    <row r="11736" spans="1:16">
      <c r="A11736" s="3">
        <v>44147.722951388889</v>
      </c>
      <c r="B11736" s="4" t="str">
        <f>HYPERLINK("https://twitter.com/petrogustavo","@petrogustavo")</f>
        <v>@petrogustavo</v>
      </c>
      <c r="C11736" s="5" t="s">
        <v>16</v>
      </c>
      <c r="D11736" s="5" t="s">
        <v>11296</v>
      </c>
      <c r="E11736" s="6" t="str">
        <f>HYPERLINK("https://twitter.com/petrogustavo/status/1326855020667691010","1326855020667691010")</f>
        <v>1326855020667691010</v>
      </c>
      <c r="F11736" s="7" t="s">
        <v>17</v>
      </c>
      <c r="G11736" s="7">
        <v>4006038</v>
      </c>
      <c r="H11736" s="7">
        <v>2460</v>
      </c>
      <c r="I11736" s="7">
        <v>331</v>
      </c>
      <c r="J11736" s="7">
        <v>0</v>
      </c>
      <c r="K11736" s="7" t="s">
        <v>18</v>
      </c>
      <c r="L11736" s="8">
        <v>39987.315405092595</v>
      </c>
      <c r="M11736" s="9" t="s">
        <v>19</v>
      </c>
      <c r="N11736" s="9" t="s">
        <v>20</v>
      </c>
      <c r="O11736" s="6" t="str">
        <f>HYPERLINK("https://pbs.twimg.com/profile_images/962471262747529216/Uo8lOkRJ_normal.jpg","View")</f>
        <v>View</v>
      </c>
      <c r="P11736" s="7"/>
    </row>
    <row r="11737" spans="1:16">
      <c r="A11737" s="3">
        <v>44147.725416666668</v>
      </c>
      <c r="B11737" s="4" t="str">
        <f>HYPERLINK("https://twitter.com/petrogustavo","@petrogustavo")</f>
        <v>@petrogustavo</v>
      </c>
      <c r="C11737" s="5" t="s">
        <v>16</v>
      </c>
      <c r="D11737" s="5" t="s">
        <v>11297</v>
      </c>
      <c r="E11737" s="6" t="str">
        <f>HYPERLINK("https://twitter.com/petrogustavo/status/1326855913785987082","1326855913785987082")</f>
        <v>1326855913785987082</v>
      </c>
      <c r="F11737" s="7" t="s">
        <v>17</v>
      </c>
      <c r="G11737" s="7">
        <v>4006038</v>
      </c>
      <c r="H11737" s="7">
        <v>2460</v>
      </c>
      <c r="I11737" s="7">
        <v>31</v>
      </c>
      <c r="J11737" s="7">
        <v>0</v>
      </c>
      <c r="K11737" s="7" t="s">
        <v>18</v>
      </c>
      <c r="L11737" s="8">
        <v>39987.315405092595</v>
      </c>
      <c r="M11737" s="9" t="s">
        <v>19</v>
      </c>
      <c r="N11737" s="9" t="s">
        <v>20</v>
      </c>
      <c r="O11737" s="6" t="str">
        <f>HYPERLINK("https://pbs.twimg.com/profile_images/962471262747529216/Uo8lOkRJ_normal.jpg","View")</f>
        <v>View</v>
      </c>
      <c r="P11737" s="7"/>
    </row>
    <row r="11738" spans="1:16">
      <c r="A11738" s="3">
        <v>44147.727754629625</v>
      </c>
      <c r="B11738" s="4" t="str">
        <f>HYPERLINK("https://twitter.com/petrogustavo","@petrogustavo")</f>
        <v>@petrogustavo</v>
      </c>
      <c r="C11738" s="5" t="s">
        <v>16</v>
      </c>
      <c r="D11738" s="5" t="s">
        <v>11298</v>
      </c>
      <c r="E11738" s="6" t="str">
        <f>HYPERLINK("https://twitter.com/petrogustavo/status/1326856763929464834","1326856763929464834")</f>
        <v>1326856763929464834</v>
      </c>
      <c r="F11738" s="7" t="s">
        <v>17</v>
      </c>
      <c r="G11738" s="7">
        <v>4006038</v>
      </c>
      <c r="H11738" s="7">
        <v>2460</v>
      </c>
      <c r="I11738" s="7">
        <v>67</v>
      </c>
      <c r="J11738" s="7">
        <v>0</v>
      </c>
      <c r="K11738" s="7" t="s">
        <v>18</v>
      </c>
      <c r="L11738" s="8">
        <v>39987.315405092595</v>
      </c>
      <c r="M11738" s="9" t="s">
        <v>19</v>
      </c>
      <c r="N11738" s="9" t="s">
        <v>20</v>
      </c>
      <c r="O11738" s="6" t="str">
        <f>HYPERLINK("https://pbs.twimg.com/profile_images/962471262747529216/Uo8lOkRJ_normal.jpg","View")</f>
        <v>View</v>
      </c>
      <c r="P11738" s="7"/>
    </row>
    <row r="11739" spans="1:16">
      <c r="A11739" s="3">
        <v>44147.729247685187</v>
      </c>
      <c r="B11739" s="4" t="str">
        <f>HYPERLINK("https://twitter.com/petrogustavo","@petrogustavo")</f>
        <v>@petrogustavo</v>
      </c>
      <c r="C11739" s="5" t="s">
        <v>16</v>
      </c>
      <c r="D11739" s="5" t="s">
        <v>11299</v>
      </c>
      <c r="E11739" s="6" t="str">
        <f>HYPERLINK("https://twitter.com/petrogustavo/status/1326857304495501316","1326857304495501316")</f>
        <v>1326857304495501316</v>
      </c>
      <c r="F11739" s="7" t="s">
        <v>17</v>
      </c>
      <c r="G11739" s="7">
        <v>4006038</v>
      </c>
      <c r="H11739" s="7">
        <v>2460</v>
      </c>
      <c r="I11739" s="7">
        <v>144</v>
      </c>
      <c r="J11739" s="7">
        <v>292</v>
      </c>
      <c r="K11739" s="7" t="s">
        <v>18</v>
      </c>
      <c r="L11739" s="8">
        <v>39987.315405092595</v>
      </c>
      <c r="M11739" s="9" t="s">
        <v>19</v>
      </c>
      <c r="N11739" s="9" t="s">
        <v>20</v>
      </c>
      <c r="O11739" s="6" t="str">
        <f>HYPERLINK("https://pbs.twimg.com/profile_images/962471262747529216/Uo8lOkRJ_normal.jpg","View")</f>
        <v>View</v>
      </c>
      <c r="P11739" s="7"/>
    </row>
    <row r="11740" spans="1:16">
      <c r="A11740" s="3">
        <v>44147.732025462959</v>
      </c>
      <c r="B11740" s="4" t="str">
        <f>HYPERLINK("https://twitter.com/petrogustavo","@petrogustavo")</f>
        <v>@petrogustavo</v>
      </c>
      <c r="C11740" s="5" t="s">
        <v>16</v>
      </c>
      <c r="D11740" s="5" t="s">
        <v>11300</v>
      </c>
      <c r="E11740" s="6" t="str">
        <f>HYPERLINK("https://twitter.com/petrogustavo/status/1326858310893629440","1326858310893629440")</f>
        <v>1326858310893629440</v>
      </c>
      <c r="F11740" s="7" t="s">
        <v>17</v>
      </c>
      <c r="G11740" s="7">
        <v>4006038</v>
      </c>
      <c r="H11740" s="7">
        <v>2460</v>
      </c>
      <c r="I11740" s="7">
        <v>56</v>
      </c>
      <c r="J11740" s="7">
        <v>0</v>
      </c>
      <c r="K11740" s="7" t="s">
        <v>18</v>
      </c>
      <c r="L11740" s="8">
        <v>39987.315405092595</v>
      </c>
      <c r="M11740" s="9" t="s">
        <v>19</v>
      </c>
      <c r="N11740" s="9" t="s">
        <v>20</v>
      </c>
      <c r="O11740" s="6" t="str">
        <f>HYPERLINK("https://pbs.twimg.com/profile_images/962471262747529216/Uo8lOkRJ_normal.jpg","View")</f>
        <v>View</v>
      </c>
      <c r="P11740" s="7"/>
    </row>
    <row r="11741" spans="1:16">
      <c r="A11741" s="3">
        <v>44147.750717592593</v>
      </c>
      <c r="B11741" s="4" t="str">
        <f>HYPERLINK("https://twitter.com/petrogustavo","@petrogustavo")</f>
        <v>@petrogustavo</v>
      </c>
      <c r="C11741" s="5" t="s">
        <v>16</v>
      </c>
      <c r="D11741" s="5" t="s">
        <v>11301</v>
      </c>
      <c r="E11741" s="6" t="str">
        <f>HYPERLINK("https://twitter.com/petrogustavo/status/1326865083771842560","1326865083771842560")</f>
        <v>1326865083771842560</v>
      </c>
      <c r="F11741" s="7" t="s">
        <v>17</v>
      </c>
      <c r="G11741" s="7">
        <v>4006053</v>
      </c>
      <c r="H11741" s="7">
        <v>2460</v>
      </c>
      <c r="I11741" s="7">
        <v>121</v>
      </c>
      <c r="J11741" s="7">
        <v>402</v>
      </c>
      <c r="K11741" s="7" t="s">
        <v>18</v>
      </c>
      <c r="L11741" s="8">
        <v>39987.315405092595</v>
      </c>
      <c r="M11741" s="9" t="s">
        <v>19</v>
      </c>
      <c r="N11741" s="9" t="s">
        <v>20</v>
      </c>
      <c r="O11741" s="6" t="str">
        <f>HYPERLINK("https://pbs.twimg.com/profile_images/962471262747529216/Uo8lOkRJ_normal.jpg","View")</f>
        <v>View</v>
      </c>
      <c r="P11741" s="7"/>
    </row>
    <row r="11742" spans="1:16">
      <c r="A11742" s="3">
        <v>44148.184351851851</v>
      </c>
      <c r="B11742" s="4" t="str">
        <f>HYPERLINK("https://twitter.com/petrogustavo","@petrogustavo")</f>
        <v>@petrogustavo</v>
      </c>
      <c r="C11742" s="5" t="s">
        <v>16</v>
      </c>
      <c r="D11742" s="5" t="s">
        <v>11302</v>
      </c>
      <c r="E11742" s="6" t="str">
        <f>HYPERLINK("https://twitter.com/petrogustavo/status/1327022229096427520","1327022229096427520")</f>
        <v>1327022229096427520</v>
      </c>
      <c r="F11742" s="7" t="s">
        <v>17</v>
      </c>
      <c r="G11742" s="7">
        <v>4006382</v>
      </c>
      <c r="H11742" s="7">
        <v>2459</v>
      </c>
      <c r="I11742" s="7">
        <v>112</v>
      </c>
      <c r="J11742" s="7">
        <v>0</v>
      </c>
      <c r="K11742" s="7" t="s">
        <v>18</v>
      </c>
      <c r="L11742" s="8">
        <v>39987.315405092595</v>
      </c>
      <c r="M11742" s="9" t="s">
        <v>19</v>
      </c>
      <c r="N11742" s="9" t="s">
        <v>20</v>
      </c>
      <c r="O11742" s="6" t="str">
        <f>HYPERLINK("https://pbs.twimg.com/profile_images/962471262747529216/Uo8lOkRJ_normal.jpg","View")</f>
        <v>View</v>
      </c>
      <c r="P11742" s="7"/>
    </row>
    <row r="11743" spans="1:16">
      <c r="A11743" s="3">
        <v>44148.24864583333</v>
      </c>
      <c r="B11743" s="4" t="str">
        <f>HYPERLINK("https://twitter.com/petrogustavo","@petrogustavo")</f>
        <v>@petrogustavo</v>
      </c>
      <c r="C11743" s="5" t="s">
        <v>16</v>
      </c>
      <c r="D11743" s="5" t="s">
        <v>11303</v>
      </c>
      <c r="E11743" s="6" t="str">
        <f>HYPERLINK("https://twitter.com/petrogustavo/status/1327045527159115777","1327045527159115777")</f>
        <v>1327045527159115777</v>
      </c>
      <c r="F11743" s="7" t="s">
        <v>17</v>
      </c>
      <c r="G11743" s="7">
        <v>4006402</v>
      </c>
      <c r="H11743" s="7">
        <v>2459</v>
      </c>
      <c r="I11743" s="7">
        <v>755</v>
      </c>
      <c r="J11743" s="7">
        <v>1865</v>
      </c>
      <c r="K11743" s="7" t="s">
        <v>18</v>
      </c>
      <c r="L11743" s="8">
        <v>39987.315405092595</v>
      </c>
      <c r="M11743" s="9" t="s">
        <v>19</v>
      </c>
      <c r="N11743" s="9" t="s">
        <v>20</v>
      </c>
      <c r="O11743" s="6" t="str">
        <f>HYPERLINK("https://pbs.twimg.com/profile_images/962471262747529216/Uo8lOkRJ_normal.jpg","View")</f>
        <v>View</v>
      </c>
      <c r="P11743" s="7"/>
    </row>
    <row r="11744" spans="1:16">
      <c r="A11744" s="3">
        <v>44148.270497685182</v>
      </c>
      <c r="B11744" s="4" t="str">
        <f>HYPERLINK("https://twitter.com/petrogustavo","@petrogustavo")</f>
        <v>@petrogustavo</v>
      </c>
      <c r="C11744" s="5" t="s">
        <v>16</v>
      </c>
      <c r="D11744" s="5" t="s">
        <v>11304</v>
      </c>
      <c r="E11744" s="6" t="str">
        <f>HYPERLINK("https://twitter.com/petrogustavo/status/1327053445992472577","1327053445992472577")</f>
        <v>1327053445992472577</v>
      </c>
      <c r="F11744" s="7" t="s">
        <v>17</v>
      </c>
      <c r="G11744" s="7">
        <v>4006409</v>
      </c>
      <c r="H11744" s="7">
        <v>2459</v>
      </c>
      <c r="I11744" s="7">
        <v>127</v>
      </c>
      <c r="J11744" s="7">
        <v>542</v>
      </c>
      <c r="K11744" s="7" t="s">
        <v>18</v>
      </c>
      <c r="L11744" s="8">
        <v>39987.315405092595</v>
      </c>
      <c r="M11744" s="9" t="s">
        <v>19</v>
      </c>
      <c r="N11744" s="9" t="s">
        <v>20</v>
      </c>
      <c r="O11744" s="6" t="str">
        <f>HYPERLINK("https://pbs.twimg.com/profile_images/962471262747529216/Uo8lOkRJ_normal.jpg","View")</f>
        <v>View</v>
      </c>
      <c r="P11744" s="7"/>
    </row>
    <row r="11745" spans="1:16">
      <c r="A11745" s="3">
        <v>44148.270636574074</v>
      </c>
      <c r="B11745" s="4" t="str">
        <f>HYPERLINK("https://twitter.com/petrogustavo","@petrogustavo")</f>
        <v>@petrogustavo</v>
      </c>
      <c r="C11745" s="5" t="s">
        <v>16</v>
      </c>
      <c r="D11745" s="5" t="s">
        <v>11305</v>
      </c>
      <c r="E11745" s="6" t="str">
        <f>HYPERLINK("https://twitter.com/petrogustavo/status/1327053497242677250","1327053497242677250")</f>
        <v>1327053497242677250</v>
      </c>
      <c r="F11745" s="7" t="s">
        <v>17</v>
      </c>
      <c r="G11745" s="7">
        <v>4006409</v>
      </c>
      <c r="H11745" s="7">
        <v>2459</v>
      </c>
      <c r="I11745" s="7">
        <v>1510</v>
      </c>
      <c r="J11745" s="7">
        <v>0</v>
      </c>
      <c r="K11745" s="7" t="s">
        <v>18</v>
      </c>
      <c r="L11745" s="8">
        <v>39987.315405092595</v>
      </c>
      <c r="M11745" s="9" t="s">
        <v>19</v>
      </c>
      <c r="N11745" s="9" t="s">
        <v>20</v>
      </c>
      <c r="O11745" s="6" t="str">
        <f>HYPERLINK("https://pbs.twimg.com/profile_images/962471262747529216/Uo8lOkRJ_normal.jpg","View")</f>
        <v>View</v>
      </c>
      <c r="P11745" s="7"/>
    </row>
    <row r="11746" spans="1:16">
      <c r="A11746" s="3">
        <v>44148.743356481486</v>
      </c>
      <c r="B11746" s="4" t="str">
        <f>HYPERLINK("https://twitter.com/petrogustavo","@petrogustavo")</f>
        <v>@petrogustavo</v>
      </c>
      <c r="C11746" s="5" t="s">
        <v>16</v>
      </c>
      <c r="D11746" s="5" t="s">
        <v>11306</v>
      </c>
      <c r="E11746" s="6" t="str">
        <f>HYPERLINK("https://twitter.com/petrogustavo/status/1327224804554969093","1327224804554969093")</f>
        <v>1327224804554969093</v>
      </c>
      <c r="F11746" s="7" t="s">
        <v>32</v>
      </c>
      <c r="G11746" s="7">
        <v>4006619</v>
      </c>
      <c r="H11746" s="7">
        <v>2459</v>
      </c>
      <c r="I11746" s="7">
        <v>105</v>
      </c>
      <c r="J11746" s="7">
        <v>225</v>
      </c>
      <c r="K11746" s="7" t="s">
        <v>18</v>
      </c>
      <c r="L11746" s="8">
        <v>39987.315405092595</v>
      </c>
      <c r="M11746" s="9" t="s">
        <v>19</v>
      </c>
      <c r="N11746" s="9" t="s">
        <v>20</v>
      </c>
      <c r="O11746" s="6" t="str">
        <f>HYPERLINK("https://pbs.twimg.com/profile_images/962471262747529216/Uo8lOkRJ_normal.jpg","View")</f>
        <v>View</v>
      </c>
      <c r="P11746" s="7"/>
    </row>
    <row r="11747" spans="1:16">
      <c r="A11747" s="3">
        <v>44148.75063657407</v>
      </c>
      <c r="B11747" s="4" t="str">
        <f>HYPERLINK("https://twitter.com/petrogustavo","@petrogustavo")</f>
        <v>@petrogustavo</v>
      </c>
      <c r="C11747" s="5" t="s">
        <v>16</v>
      </c>
      <c r="D11747" s="5" t="s">
        <v>11307</v>
      </c>
      <c r="E11747" s="6" t="str">
        <f>HYPERLINK("https://twitter.com/petrogustavo/status/1327227443439153157","1327227443439153157")</f>
        <v>1327227443439153157</v>
      </c>
      <c r="F11747" s="7" t="s">
        <v>32</v>
      </c>
      <c r="G11747" s="7">
        <v>4006619</v>
      </c>
      <c r="H11747" s="7">
        <v>2459</v>
      </c>
      <c r="I11747" s="7">
        <v>58</v>
      </c>
      <c r="J11747" s="7">
        <v>126</v>
      </c>
      <c r="K11747" s="7" t="s">
        <v>18</v>
      </c>
      <c r="L11747" s="8">
        <v>39987.315405092595</v>
      </c>
      <c r="M11747" s="9" t="s">
        <v>19</v>
      </c>
      <c r="N11747" s="9" t="s">
        <v>20</v>
      </c>
      <c r="O11747" s="6" t="str">
        <f>HYPERLINK("https://pbs.twimg.com/profile_images/962471262747529216/Uo8lOkRJ_normal.jpg","View")</f>
        <v>View</v>
      </c>
      <c r="P11747" s="7"/>
    </row>
    <row r="11748" spans="1:16">
      <c r="A11748" s="3">
        <v>44148.752962962964</v>
      </c>
      <c r="B11748" s="4" t="str">
        <f>HYPERLINK("https://twitter.com/petrogustavo","@petrogustavo")</f>
        <v>@petrogustavo</v>
      </c>
      <c r="C11748" s="5" t="s">
        <v>16</v>
      </c>
      <c r="D11748" s="5" t="s">
        <v>11308</v>
      </c>
      <c r="E11748" s="6" t="str">
        <f>HYPERLINK("https://twitter.com/petrogustavo/status/1327228283432341504","1327228283432341504")</f>
        <v>1327228283432341504</v>
      </c>
      <c r="F11748" s="7" t="s">
        <v>32</v>
      </c>
      <c r="G11748" s="7">
        <v>4006619</v>
      </c>
      <c r="H11748" s="7">
        <v>2459</v>
      </c>
      <c r="I11748" s="7">
        <v>63</v>
      </c>
      <c r="J11748" s="7">
        <v>198</v>
      </c>
      <c r="K11748" s="7" t="s">
        <v>18</v>
      </c>
      <c r="L11748" s="8">
        <v>39987.315405092595</v>
      </c>
      <c r="M11748" s="9" t="s">
        <v>19</v>
      </c>
      <c r="N11748" s="9" t="s">
        <v>20</v>
      </c>
      <c r="O11748" s="6" t="str">
        <f>HYPERLINK("https://pbs.twimg.com/profile_images/962471262747529216/Uo8lOkRJ_normal.jpg","View")</f>
        <v>View</v>
      </c>
      <c r="P11748" s="7"/>
    </row>
    <row r="11749" spans="1:16">
      <c r="A11749" s="3">
        <v>44148.800798611112</v>
      </c>
      <c r="B11749" s="4" t="str">
        <f>HYPERLINK("https://twitter.com/petrogustavo","@petrogustavo")</f>
        <v>@petrogustavo</v>
      </c>
      <c r="C11749" s="5" t="s">
        <v>16</v>
      </c>
      <c r="D11749" s="5" t="s">
        <v>11309</v>
      </c>
      <c r="E11749" s="6" t="str">
        <f>HYPERLINK("https://twitter.com/petrogustavo/status/1327245621477117952","1327245621477117952")</f>
        <v>1327245621477117952</v>
      </c>
      <c r="F11749" s="7" t="s">
        <v>32</v>
      </c>
      <c r="G11749" s="7">
        <v>4006635</v>
      </c>
      <c r="H11749" s="7">
        <v>2459</v>
      </c>
      <c r="I11749" s="7">
        <v>184</v>
      </c>
      <c r="J11749" s="7">
        <v>0</v>
      </c>
      <c r="K11749" s="7" t="s">
        <v>18</v>
      </c>
      <c r="L11749" s="8">
        <v>39987.315405092595</v>
      </c>
      <c r="M11749" s="9" t="s">
        <v>19</v>
      </c>
      <c r="N11749" s="9" t="s">
        <v>20</v>
      </c>
      <c r="O11749" s="6" t="str">
        <f>HYPERLINK("https://pbs.twimg.com/profile_images/962471262747529216/Uo8lOkRJ_normal.jpg","View")</f>
        <v>View</v>
      </c>
      <c r="P11749" s="7"/>
    </row>
    <row r="11750" spans="1:16">
      <c r="A11750" s="3">
        <v>44148.801099537042</v>
      </c>
      <c r="B11750" s="4" t="str">
        <f>HYPERLINK("https://twitter.com/petrogustavo","@petrogustavo")</f>
        <v>@petrogustavo</v>
      </c>
      <c r="C11750" s="5" t="s">
        <v>16</v>
      </c>
      <c r="D11750" s="5" t="s">
        <v>11310</v>
      </c>
      <c r="E11750" s="6" t="str">
        <f>HYPERLINK("https://twitter.com/petrogustavo/status/1327245731019808768","1327245731019808768")</f>
        <v>1327245731019808768</v>
      </c>
      <c r="F11750" s="7" t="s">
        <v>32</v>
      </c>
      <c r="G11750" s="7">
        <v>4006635</v>
      </c>
      <c r="H11750" s="7">
        <v>2459</v>
      </c>
      <c r="I11750" s="7">
        <v>81</v>
      </c>
      <c r="J11750" s="7">
        <v>0</v>
      </c>
      <c r="K11750" s="7" t="s">
        <v>18</v>
      </c>
      <c r="L11750" s="8">
        <v>39987.315405092595</v>
      </c>
      <c r="M11750" s="9" t="s">
        <v>19</v>
      </c>
      <c r="N11750" s="9" t="s">
        <v>20</v>
      </c>
      <c r="O11750" s="6" t="str">
        <f>HYPERLINK("https://pbs.twimg.com/profile_images/962471262747529216/Uo8lOkRJ_normal.jpg","View")</f>
        <v>View</v>
      </c>
      <c r="P11750" s="7"/>
    </row>
    <row r="11751" spans="1:16">
      <c r="A11751" s="3">
        <v>44148.847372685181</v>
      </c>
      <c r="B11751" s="4" t="str">
        <f>HYPERLINK("https://twitter.com/petrogustavo","@petrogustavo")</f>
        <v>@petrogustavo</v>
      </c>
      <c r="C11751" s="5" t="s">
        <v>16</v>
      </c>
      <c r="D11751" s="5" t="s">
        <v>11311</v>
      </c>
      <c r="E11751" s="6" t="str">
        <f>HYPERLINK("https://twitter.com/petrogustavo/status/1327262496789499904","1327262496789499904")</f>
        <v>1327262496789499904</v>
      </c>
      <c r="F11751" s="7" t="s">
        <v>17</v>
      </c>
      <c r="G11751" s="7">
        <v>4006672</v>
      </c>
      <c r="H11751" s="7">
        <v>2459</v>
      </c>
      <c r="I11751" s="7">
        <v>218</v>
      </c>
      <c r="J11751" s="7">
        <v>943</v>
      </c>
      <c r="K11751" s="7" t="s">
        <v>18</v>
      </c>
      <c r="L11751" s="8">
        <v>39987.315405092595</v>
      </c>
      <c r="M11751" s="9" t="s">
        <v>19</v>
      </c>
      <c r="N11751" s="9" t="s">
        <v>20</v>
      </c>
      <c r="O11751" s="6" t="str">
        <f>HYPERLINK("https://pbs.twimg.com/profile_images/962471262747529216/Uo8lOkRJ_normal.jpg","View")</f>
        <v>View</v>
      </c>
      <c r="P11751" s="7"/>
    </row>
    <row r="11752" spans="1:16">
      <c r="A11752" s="3">
        <v>44149.119884259257</v>
      </c>
      <c r="B11752" s="4" t="str">
        <f>HYPERLINK("https://twitter.com/petrogustavo","@petrogustavo")</f>
        <v>@petrogustavo</v>
      </c>
      <c r="C11752" s="5" t="s">
        <v>16</v>
      </c>
      <c r="D11752" s="5" t="s">
        <v>11312</v>
      </c>
      <c r="E11752" s="6" t="str">
        <f>HYPERLINK("https://twitter.com/petrogustavo/status/1327361252147007489","1327361252147007489")</f>
        <v>1327361252147007489</v>
      </c>
      <c r="F11752" s="7" t="s">
        <v>17</v>
      </c>
      <c r="G11752" s="7">
        <v>4006864</v>
      </c>
      <c r="H11752" s="7">
        <v>2459</v>
      </c>
      <c r="I11752" s="7">
        <v>625</v>
      </c>
      <c r="J11752" s="7">
        <v>0</v>
      </c>
      <c r="K11752" s="7" t="s">
        <v>18</v>
      </c>
      <c r="L11752" s="8">
        <v>39987.315405092595</v>
      </c>
      <c r="M11752" s="9" t="s">
        <v>19</v>
      </c>
      <c r="N11752" s="9" t="s">
        <v>20</v>
      </c>
      <c r="O11752" s="6" t="str">
        <f>HYPERLINK("https://pbs.twimg.com/profile_images/962471262747529216/Uo8lOkRJ_normal.jpg","View")</f>
        <v>View</v>
      </c>
      <c r="P11752" s="7"/>
    </row>
    <row r="11753" spans="1:16">
      <c r="A11753" s="3">
        <v>44149.121354166666</v>
      </c>
      <c r="B11753" s="4" t="str">
        <f>HYPERLINK("https://twitter.com/petrogustavo","@petrogustavo")</f>
        <v>@petrogustavo</v>
      </c>
      <c r="C11753" s="5" t="s">
        <v>16</v>
      </c>
      <c r="D11753" s="5" t="s">
        <v>11313</v>
      </c>
      <c r="E11753" s="6" t="str">
        <f>HYPERLINK("https://twitter.com/petrogustavo/status/1327361785964466176","1327361785964466176")</f>
        <v>1327361785964466176</v>
      </c>
      <c r="F11753" s="7" t="s">
        <v>17</v>
      </c>
      <c r="G11753" s="7">
        <v>4006864</v>
      </c>
      <c r="H11753" s="7">
        <v>2459</v>
      </c>
      <c r="I11753" s="7">
        <v>49</v>
      </c>
      <c r="J11753" s="7">
        <v>140</v>
      </c>
      <c r="K11753" s="7" t="s">
        <v>18</v>
      </c>
      <c r="L11753" s="8">
        <v>39987.315405092595</v>
      </c>
      <c r="M11753" s="9" t="s">
        <v>19</v>
      </c>
      <c r="N11753" s="9" t="s">
        <v>20</v>
      </c>
      <c r="O11753" s="6" t="str">
        <f>HYPERLINK("https://pbs.twimg.com/profile_images/962471262747529216/Uo8lOkRJ_normal.jpg","View")</f>
        <v>View</v>
      </c>
      <c r="P11753" s="7"/>
    </row>
    <row r="11754" spans="1:16">
      <c r="A11754" s="3">
        <v>44149.121562500004</v>
      </c>
      <c r="B11754" s="4" t="str">
        <f>HYPERLINK("https://twitter.com/petrogustavo","@petrogustavo")</f>
        <v>@petrogustavo</v>
      </c>
      <c r="C11754" s="5" t="s">
        <v>16</v>
      </c>
      <c r="D11754" s="5" t="s">
        <v>11314</v>
      </c>
      <c r="E11754" s="6" t="str">
        <f>HYPERLINK("https://twitter.com/petrogustavo/status/1327361861617152000","1327361861617152000")</f>
        <v>1327361861617152000</v>
      </c>
      <c r="F11754" s="7" t="s">
        <v>17</v>
      </c>
      <c r="G11754" s="7">
        <v>4006864</v>
      </c>
      <c r="H11754" s="7">
        <v>2459</v>
      </c>
      <c r="I11754" s="7">
        <v>28</v>
      </c>
      <c r="J11754" s="7">
        <v>0</v>
      </c>
      <c r="K11754" s="7" t="s">
        <v>18</v>
      </c>
      <c r="L11754" s="8">
        <v>39987.315405092595</v>
      </c>
      <c r="M11754" s="9" t="s">
        <v>19</v>
      </c>
      <c r="N11754" s="9" t="s">
        <v>20</v>
      </c>
      <c r="O11754" s="6" t="str">
        <f>HYPERLINK("https://pbs.twimg.com/profile_images/962471262747529216/Uo8lOkRJ_normal.jpg","View")</f>
        <v>View</v>
      </c>
      <c r="P11754" s="7"/>
    </row>
    <row r="11755" spans="1:16">
      <c r="A11755" s="3">
        <v>44149.121736111112</v>
      </c>
      <c r="B11755" s="4" t="str">
        <f>HYPERLINK("https://twitter.com/petrogustavo","@petrogustavo")</f>
        <v>@petrogustavo</v>
      </c>
      <c r="C11755" s="5" t="s">
        <v>16</v>
      </c>
      <c r="D11755" s="5" t="s">
        <v>11315</v>
      </c>
      <c r="E11755" s="6" t="str">
        <f>HYPERLINK("https://twitter.com/petrogustavo/status/1327361924443611139","1327361924443611139")</f>
        <v>1327361924443611139</v>
      </c>
      <c r="F11755" s="7" t="s">
        <v>17</v>
      </c>
      <c r="G11755" s="7">
        <v>4006864</v>
      </c>
      <c r="H11755" s="7">
        <v>2459</v>
      </c>
      <c r="I11755" s="7">
        <v>92</v>
      </c>
      <c r="J11755" s="7">
        <v>0</v>
      </c>
      <c r="K11755" s="7" t="s">
        <v>18</v>
      </c>
      <c r="L11755" s="8">
        <v>39987.315405092595</v>
      </c>
      <c r="M11755" s="9" t="s">
        <v>19</v>
      </c>
      <c r="N11755" s="9" t="s">
        <v>20</v>
      </c>
      <c r="O11755" s="6" t="str">
        <f>HYPERLINK("https://pbs.twimg.com/profile_images/962471262747529216/Uo8lOkRJ_normal.jpg","View")</f>
        <v>View</v>
      </c>
      <c r="P11755" s="7"/>
    </row>
    <row r="11756" spans="1:16">
      <c r="A11756" s="3">
        <v>44149.122303240743</v>
      </c>
      <c r="B11756" s="4" t="str">
        <f>HYPERLINK("https://twitter.com/petrogustavo","@petrogustavo")</f>
        <v>@petrogustavo</v>
      </c>
      <c r="C11756" s="5" t="s">
        <v>16</v>
      </c>
      <c r="D11756" s="5" t="s">
        <v>11316</v>
      </c>
      <c r="E11756" s="6" t="str">
        <f>HYPERLINK("https://twitter.com/petrogustavo/status/1327362128043515905","1327362128043515905")</f>
        <v>1327362128043515905</v>
      </c>
      <c r="F11756" s="7" t="s">
        <v>17</v>
      </c>
      <c r="G11756" s="7">
        <v>4006864</v>
      </c>
      <c r="H11756" s="7">
        <v>2459</v>
      </c>
      <c r="I11756" s="7">
        <v>71</v>
      </c>
      <c r="J11756" s="7">
        <v>0</v>
      </c>
      <c r="K11756" s="7" t="s">
        <v>18</v>
      </c>
      <c r="L11756" s="8">
        <v>39987.315405092595</v>
      </c>
      <c r="M11756" s="9" t="s">
        <v>19</v>
      </c>
      <c r="N11756" s="9" t="s">
        <v>20</v>
      </c>
      <c r="O11756" s="6" t="str">
        <f>HYPERLINK("https://pbs.twimg.com/profile_images/962471262747529216/Uo8lOkRJ_normal.jpg","View")</f>
        <v>View</v>
      </c>
      <c r="P11756" s="7"/>
    </row>
    <row r="11757" spans="1:16">
      <c r="A11757" s="3">
        <v>44149.125393518523</v>
      </c>
      <c r="B11757" s="4" t="str">
        <f>HYPERLINK("https://twitter.com/petrogustavo","@petrogustavo")</f>
        <v>@petrogustavo</v>
      </c>
      <c r="C11757" s="5" t="s">
        <v>16</v>
      </c>
      <c r="D11757" s="5" t="s">
        <v>11317</v>
      </c>
      <c r="E11757" s="6" t="str">
        <f>HYPERLINK("https://twitter.com/petrogustavo/status/1327363248409210887","1327363248409210887")</f>
        <v>1327363248409210887</v>
      </c>
      <c r="F11757" s="7" t="s">
        <v>17</v>
      </c>
      <c r="G11757" s="7">
        <v>4006864</v>
      </c>
      <c r="H11757" s="7">
        <v>2459</v>
      </c>
      <c r="I11757" s="7">
        <v>80</v>
      </c>
      <c r="J11757" s="7">
        <v>219</v>
      </c>
      <c r="K11757" s="7" t="s">
        <v>18</v>
      </c>
      <c r="L11757" s="8">
        <v>39987.315405092595</v>
      </c>
      <c r="M11757" s="9" t="s">
        <v>19</v>
      </c>
      <c r="N11757" s="9" t="s">
        <v>20</v>
      </c>
      <c r="O11757" s="6" t="str">
        <f>HYPERLINK("https://pbs.twimg.com/profile_images/962471262747529216/Uo8lOkRJ_normal.jpg","View")</f>
        <v>View</v>
      </c>
      <c r="P11757" s="7"/>
    </row>
    <row r="11758" spans="1:16">
      <c r="A11758" s="3">
        <v>44149.127418981487</v>
      </c>
      <c r="B11758" s="4" t="str">
        <f>HYPERLINK("https://twitter.com/petrogustavo","@petrogustavo")</f>
        <v>@petrogustavo</v>
      </c>
      <c r="C11758" s="5" t="s">
        <v>16</v>
      </c>
      <c r="D11758" s="5" t="s">
        <v>11318</v>
      </c>
      <c r="E11758" s="6" t="str">
        <f>HYPERLINK("https://twitter.com/petrogustavo/status/1327363983981092864","1327363983981092864")</f>
        <v>1327363983981092864</v>
      </c>
      <c r="F11758" s="7" t="s">
        <v>17</v>
      </c>
      <c r="G11758" s="7">
        <v>4006864</v>
      </c>
      <c r="H11758" s="7">
        <v>2459</v>
      </c>
      <c r="I11758" s="7">
        <v>128</v>
      </c>
      <c r="J11758" s="7">
        <v>0</v>
      </c>
      <c r="K11758" s="7" t="s">
        <v>18</v>
      </c>
      <c r="L11758" s="8">
        <v>39987.315405092595</v>
      </c>
      <c r="M11758" s="9" t="s">
        <v>19</v>
      </c>
      <c r="N11758" s="9" t="s">
        <v>20</v>
      </c>
      <c r="O11758" s="6" t="str">
        <f>HYPERLINK("https://pbs.twimg.com/profile_images/962471262747529216/Uo8lOkRJ_normal.jpg","View")</f>
        <v>View</v>
      </c>
      <c r="P11758" s="7"/>
    </row>
    <row r="11759" spans="1:16">
      <c r="A11759" s="3">
        <v>44149.128935185188</v>
      </c>
      <c r="B11759" s="4" t="str">
        <f>HYPERLINK("https://twitter.com/petrogustavo","@petrogustavo")</f>
        <v>@petrogustavo</v>
      </c>
      <c r="C11759" s="5" t="s">
        <v>16</v>
      </c>
      <c r="D11759" s="5" t="s">
        <v>11319</v>
      </c>
      <c r="E11759" s="6" t="str">
        <f>HYPERLINK("https://twitter.com/petrogustavo/status/1327364532998729728","1327364532998729728")</f>
        <v>1327364532998729728</v>
      </c>
      <c r="F11759" s="7" t="s">
        <v>17</v>
      </c>
      <c r="G11759" s="7">
        <v>4006864</v>
      </c>
      <c r="H11759" s="7">
        <v>2459</v>
      </c>
      <c r="I11759" s="7">
        <v>49</v>
      </c>
      <c r="J11759" s="7">
        <v>387</v>
      </c>
      <c r="K11759" s="7" t="s">
        <v>18</v>
      </c>
      <c r="L11759" s="8">
        <v>39987.315405092595</v>
      </c>
      <c r="M11759" s="9" t="s">
        <v>19</v>
      </c>
      <c r="N11759" s="9" t="s">
        <v>20</v>
      </c>
      <c r="O11759" s="6" t="str">
        <f>HYPERLINK("https://pbs.twimg.com/profile_images/962471262747529216/Uo8lOkRJ_normal.jpg","View")</f>
        <v>View</v>
      </c>
      <c r="P11759" s="7"/>
    </row>
    <row r="11760" spans="1:16">
      <c r="A11760" s="3">
        <v>44149.182974537034</v>
      </c>
      <c r="B11760" s="4" t="str">
        <f>HYPERLINK("https://twitter.com/petrogustavo","@petrogustavo")</f>
        <v>@petrogustavo</v>
      </c>
      <c r="C11760" s="5" t="s">
        <v>16</v>
      </c>
      <c r="D11760" s="5" t="s">
        <v>11320</v>
      </c>
      <c r="E11760" s="6" t="str">
        <f>HYPERLINK("https://twitter.com/petrogustavo/status/1327384114878685186","1327384114878685186")</f>
        <v>1327384114878685186</v>
      </c>
      <c r="F11760" s="7" t="s">
        <v>17</v>
      </c>
      <c r="G11760" s="7">
        <v>4006912</v>
      </c>
      <c r="H11760" s="7">
        <v>2459</v>
      </c>
      <c r="I11760" s="7">
        <v>150</v>
      </c>
      <c r="J11760" s="7">
        <v>290</v>
      </c>
      <c r="K11760" s="7" t="s">
        <v>18</v>
      </c>
      <c r="L11760" s="8">
        <v>39987.315405092595</v>
      </c>
      <c r="M11760" s="9" t="s">
        <v>19</v>
      </c>
      <c r="N11760" s="9" t="s">
        <v>20</v>
      </c>
      <c r="O11760" s="6" t="str">
        <f>HYPERLINK("https://pbs.twimg.com/profile_images/962471262747529216/Uo8lOkRJ_normal.jpg","View")</f>
        <v>View</v>
      </c>
      <c r="P11760" s="7"/>
    </row>
    <row r="11761" spans="1:16">
      <c r="A11761" s="3">
        <v>44149.18613425926</v>
      </c>
      <c r="B11761" s="4" t="str">
        <f>HYPERLINK("https://twitter.com/petrogustavo","@petrogustavo")</f>
        <v>@petrogustavo</v>
      </c>
      <c r="C11761" s="5" t="s">
        <v>16</v>
      </c>
      <c r="D11761" s="5" t="s">
        <v>11321</v>
      </c>
      <c r="E11761" s="6" t="str">
        <f>HYPERLINK("https://twitter.com/petrogustavo/status/1327385261618163713","1327385261618163713")</f>
        <v>1327385261618163713</v>
      </c>
      <c r="F11761" s="7" t="s">
        <v>17</v>
      </c>
      <c r="G11761" s="7">
        <v>4006912</v>
      </c>
      <c r="H11761" s="7">
        <v>2459</v>
      </c>
      <c r="I11761" s="7">
        <v>429</v>
      </c>
      <c r="J11761" s="7">
        <v>0</v>
      </c>
      <c r="K11761" s="7" t="s">
        <v>18</v>
      </c>
      <c r="L11761" s="8">
        <v>39987.315405092595</v>
      </c>
      <c r="M11761" s="9" t="s">
        <v>19</v>
      </c>
      <c r="N11761" s="9" t="s">
        <v>20</v>
      </c>
      <c r="O11761" s="6" t="str">
        <f>HYPERLINK("https://pbs.twimg.com/profile_images/962471262747529216/Uo8lOkRJ_normal.jpg","View")</f>
        <v>View</v>
      </c>
      <c r="P11761" s="7"/>
    </row>
    <row r="11762" spans="1:16">
      <c r="A11762" s="3">
        <v>44149.223645833335</v>
      </c>
      <c r="B11762" s="4" t="str">
        <f>HYPERLINK("https://twitter.com/petrogustavo","@petrogustavo")</f>
        <v>@petrogustavo</v>
      </c>
      <c r="C11762" s="5" t="s">
        <v>16</v>
      </c>
      <c r="D11762" s="5" t="s">
        <v>11322</v>
      </c>
      <c r="E11762" s="6" t="str">
        <f>HYPERLINK("https://twitter.com/petrogustavo/status/1327398855579668481","1327398855579668481")</f>
        <v>1327398855579668481</v>
      </c>
      <c r="F11762" s="7" t="s">
        <v>17</v>
      </c>
      <c r="G11762" s="7">
        <v>4006928</v>
      </c>
      <c r="H11762" s="7">
        <v>2459</v>
      </c>
      <c r="I11762" s="7">
        <v>88</v>
      </c>
      <c r="J11762" s="7">
        <v>291</v>
      </c>
      <c r="K11762" s="7" t="s">
        <v>18</v>
      </c>
      <c r="L11762" s="8">
        <v>39987.315405092595</v>
      </c>
      <c r="M11762" s="9" t="s">
        <v>19</v>
      </c>
      <c r="N11762" s="9" t="s">
        <v>20</v>
      </c>
      <c r="O11762" s="6" t="str">
        <f>HYPERLINK("https://pbs.twimg.com/profile_images/962471262747529216/Uo8lOkRJ_normal.jpg","View")</f>
        <v>View</v>
      </c>
      <c r="P11762" s="7"/>
    </row>
    <row r="11763" spans="1:16">
      <c r="A11763" s="3">
        <v>44149.229861111111</v>
      </c>
      <c r="B11763" s="4" t="str">
        <f>HYPERLINK("https://twitter.com/petrogustavo","@petrogustavo")</f>
        <v>@petrogustavo</v>
      </c>
      <c r="C11763" s="5" t="s">
        <v>16</v>
      </c>
      <c r="D11763" s="5" t="s">
        <v>11323</v>
      </c>
      <c r="E11763" s="6" t="str">
        <f>HYPERLINK("https://twitter.com/petrogustavo/status/1327401107170222082","1327401107170222082")</f>
        <v>1327401107170222082</v>
      </c>
      <c r="F11763" s="7" t="s">
        <v>17</v>
      </c>
      <c r="G11763" s="7">
        <v>4006928</v>
      </c>
      <c r="H11763" s="7">
        <v>2459</v>
      </c>
      <c r="I11763" s="7">
        <v>62</v>
      </c>
      <c r="J11763" s="7">
        <v>198</v>
      </c>
      <c r="K11763" s="7" t="s">
        <v>18</v>
      </c>
      <c r="L11763" s="8">
        <v>39987.315405092595</v>
      </c>
      <c r="M11763" s="9" t="s">
        <v>19</v>
      </c>
      <c r="N11763" s="9" t="s">
        <v>20</v>
      </c>
      <c r="O11763" s="6" t="str">
        <f>HYPERLINK("https://pbs.twimg.com/profile_images/962471262747529216/Uo8lOkRJ_normal.jpg","View")</f>
        <v>View</v>
      </c>
      <c r="P11763" s="7"/>
    </row>
    <row r="11764" spans="1:16">
      <c r="A11764" s="3">
        <v>44149.233842592592</v>
      </c>
      <c r="B11764" s="4" t="str">
        <f>HYPERLINK("https://twitter.com/petrogustavo","@petrogustavo")</f>
        <v>@petrogustavo</v>
      </c>
      <c r="C11764" s="5" t="s">
        <v>16</v>
      </c>
      <c r="D11764" s="5" t="s">
        <v>11324</v>
      </c>
      <c r="E11764" s="6" t="str">
        <f>HYPERLINK("https://twitter.com/petrogustavo/status/1327402549973028864","1327402549973028864")</f>
        <v>1327402549973028864</v>
      </c>
      <c r="F11764" s="7" t="s">
        <v>17</v>
      </c>
      <c r="G11764" s="7">
        <v>4006928</v>
      </c>
      <c r="H11764" s="7">
        <v>2459</v>
      </c>
      <c r="I11764" s="7">
        <v>26</v>
      </c>
      <c r="J11764" s="7">
        <v>0</v>
      </c>
      <c r="K11764" s="7" t="s">
        <v>18</v>
      </c>
      <c r="L11764" s="8">
        <v>39987.315405092595</v>
      </c>
      <c r="M11764" s="9" t="s">
        <v>19</v>
      </c>
      <c r="N11764" s="9" t="s">
        <v>20</v>
      </c>
      <c r="O11764" s="6" t="str">
        <f>HYPERLINK("https://pbs.twimg.com/profile_images/962471262747529216/Uo8lOkRJ_normal.jpg","View")</f>
        <v>View</v>
      </c>
      <c r="P11764" s="7"/>
    </row>
    <row r="11765" spans="1:16">
      <c r="A11765" s="3">
        <v>44149.242812500001</v>
      </c>
      <c r="B11765" s="4" t="str">
        <f>HYPERLINK("https://twitter.com/petrogustavo","@petrogustavo")</f>
        <v>@petrogustavo</v>
      </c>
      <c r="C11765" s="5" t="s">
        <v>16</v>
      </c>
      <c r="D11765" s="5" t="s">
        <v>11325</v>
      </c>
      <c r="E11765" s="6" t="str">
        <f>HYPERLINK("https://twitter.com/petrogustavo/status/1327405798822187008","1327405798822187008")</f>
        <v>1327405798822187008</v>
      </c>
      <c r="F11765" s="7" t="s">
        <v>17</v>
      </c>
      <c r="G11765" s="7">
        <v>4006943</v>
      </c>
      <c r="H11765" s="7">
        <v>2459</v>
      </c>
      <c r="I11765" s="7">
        <v>114</v>
      </c>
      <c r="J11765" s="7">
        <v>277</v>
      </c>
      <c r="K11765" s="7" t="s">
        <v>18</v>
      </c>
      <c r="L11765" s="8">
        <v>39987.315405092595</v>
      </c>
      <c r="M11765" s="9" t="s">
        <v>19</v>
      </c>
      <c r="N11765" s="9" t="s">
        <v>20</v>
      </c>
      <c r="O11765" s="6" t="str">
        <f>HYPERLINK("https://pbs.twimg.com/profile_images/962471262747529216/Uo8lOkRJ_normal.jpg","View")</f>
        <v>View</v>
      </c>
      <c r="P11765" s="7"/>
    </row>
    <row r="11766" spans="1:16">
      <c r="A11766" s="3">
        <v>44149.709490740745</v>
      </c>
      <c r="B11766" s="4" t="str">
        <f>HYPERLINK("https://twitter.com/petrogustavo","@petrogustavo")</f>
        <v>@petrogustavo</v>
      </c>
      <c r="C11766" s="5" t="s">
        <v>16</v>
      </c>
      <c r="D11766" s="5" t="s">
        <v>11326</v>
      </c>
      <c r="E11766" s="6" t="str">
        <f>HYPERLINK("https://twitter.com/petrogustavo/status/1327574917114703874","1327574917114703874")</f>
        <v>1327574917114703874</v>
      </c>
      <c r="F11766" s="7" t="s">
        <v>17</v>
      </c>
      <c r="G11766" s="7">
        <v>4007059</v>
      </c>
      <c r="H11766" s="7">
        <v>2459</v>
      </c>
      <c r="I11766" s="7">
        <v>160</v>
      </c>
      <c r="J11766" s="7">
        <v>298</v>
      </c>
      <c r="K11766" s="7" t="s">
        <v>18</v>
      </c>
      <c r="L11766" s="8">
        <v>39987.315405092595</v>
      </c>
      <c r="M11766" s="9" t="s">
        <v>19</v>
      </c>
      <c r="N11766" s="9" t="s">
        <v>20</v>
      </c>
      <c r="O11766" s="6" t="str">
        <f>HYPERLINK("https://pbs.twimg.com/profile_images/962471262747529216/Uo8lOkRJ_normal.jpg","View")</f>
        <v>View</v>
      </c>
      <c r="P11766" s="7"/>
    </row>
    <row r="11767" spans="1:16">
      <c r="A11767" s="3">
        <v>44149.717002314814</v>
      </c>
      <c r="B11767" s="4" t="str">
        <f>HYPERLINK("https://twitter.com/petrogustavo","@petrogustavo")</f>
        <v>@petrogustavo</v>
      </c>
      <c r="C11767" s="5" t="s">
        <v>16</v>
      </c>
      <c r="D11767" s="5" t="s">
        <v>11327</v>
      </c>
      <c r="E11767" s="6" t="str">
        <f>HYPERLINK("https://twitter.com/petrogustavo/status/1327577642208473088","1327577642208473088")</f>
        <v>1327577642208473088</v>
      </c>
      <c r="F11767" s="7" t="s">
        <v>17</v>
      </c>
      <c r="G11767" s="7">
        <v>4007059</v>
      </c>
      <c r="H11767" s="7">
        <v>2459</v>
      </c>
      <c r="I11767" s="7">
        <v>13</v>
      </c>
      <c r="J11767" s="7">
        <v>48</v>
      </c>
      <c r="K11767" s="7" t="s">
        <v>18</v>
      </c>
      <c r="L11767" s="8">
        <v>39987.315405092595</v>
      </c>
      <c r="M11767" s="9" t="s">
        <v>19</v>
      </c>
      <c r="N11767" s="9" t="s">
        <v>20</v>
      </c>
      <c r="O11767" s="6" t="str">
        <f>HYPERLINK("https://pbs.twimg.com/profile_images/962471262747529216/Uo8lOkRJ_normal.jpg","View")</f>
        <v>View</v>
      </c>
      <c r="P11767" s="7"/>
    </row>
    <row r="11768" spans="1:16">
      <c r="A11768" s="3">
        <v>44149.831574074073</v>
      </c>
      <c r="B11768" s="4" t="str">
        <f>HYPERLINK("https://twitter.com/petrogustavo","@petrogustavo")</f>
        <v>@petrogustavo</v>
      </c>
      <c r="C11768" s="5" t="s">
        <v>16</v>
      </c>
      <c r="D11768" s="5" t="s">
        <v>11328</v>
      </c>
      <c r="E11768" s="6" t="str">
        <f>HYPERLINK("https://twitter.com/petrogustavo/status/1327619161720287233","1327619161720287233")</f>
        <v>1327619161720287233</v>
      </c>
      <c r="F11768" s="7" t="s">
        <v>17</v>
      </c>
      <c r="G11768" s="7">
        <v>4007133</v>
      </c>
      <c r="H11768" s="7">
        <v>2459</v>
      </c>
      <c r="I11768" s="7">
        <v>152</v>
      </c>
      <c r="J11768" s="7">
        <v>592</v>
      </c>
      <c r="K11768" s="7" t="s">
        <v>18</v>
      </c>
      <c r="L11768" s="8">
        <v>39987.315405092595</v>
      </c>
      <c r="M11768" s="9" t="s">
        <v>19</v>
      </c>
      <c r="N11768" s="9" t="s">
        <v>20</v>
      </c>
      <c r="O11768" s="6" t="str">
        <f>HYPERLINK("https://pbs.twimg.com/profile_images/962471262747529216/Uo8lOkRJ_normal.jpg","View")</f>
        <v>View</v>
      </c>
      <c r="P11768" s="7"/>
    </row>
    <row r="11769" spans="1:16">
      <c r="A11769" s="3">
        <v>44149.833240740743</v>
      </c>
      <c r="B11769" s="4" t="str">
        <f>HYPERLINK("https://twitter.com/petrogustavo","@petrogustavo")</f>
        <v>@petrogustavo</v>
      </c>
      <c r="C11769" s="5" t="s">
        <v>16</v>
      </c>
      <c r="D11769" s="5" t="s">
        <v>11329</v>
      </c>
      <c r="E11769" s="6" t="str">
        <f>HYPERLINK("https://twitter.com/petrogustavo/status/1327619762956996611","1327619762956996611")</f>
        <v>1327619762956996611</v>
      </c>
      <c r="F11769" s="7" t="s">
        <v>17</v>
      </c>
      <c r="G11769" s="7">
        <v>4007133</v>
      </c>
      <c r="H11769" s="7">
        <v>2459</v>
      </c>
      <c r="I11769" s="7">
        <v>50</v>
      </c>
      <c r="J11769" s="7">
        <v>240</v>
      </c>
      <c r="K11769" s="7" t="s">
        <v>18</v>
      </c>
      <c r="L11769" s="8">
        <v>39987.315405092595</v>
      </c>
      <c r="M11769" s="9" t="s">
        <v>19</v>
      </c>
      <c r="N11769" s="9" t="s">
        <v>20</v>
      </c>
      <c r="O11769" s="6" t="str">
        <f>HYPERLINK("https://pbs.twimg.com/profile_images/962471262747529216/Uo8lOkRJ_normal.jpg","View")</f>
        <v>View</v>
      </c>
      <c r="P11769" s="7"/>
    </row>
    <row r="11770" spans="1:16">
      <c r="A11770" s="3">
        <v>44149.834178240737</v>
      </c>
      <c r="B11770" s="4" t="str">
        <f>HYPERLINK("https://twitter.com/petrogustavo","@petrogustavo")</f>
        <v>@petrogustavo</v>
      </c>
      <c r="C11770" s="5" t="s">
        <v>16</v>
      </c>
      <c r="D11770" s="5" t="s">
        <v>11330</v>
      </c>
      <c r="E11770" s="6" t="str">
        <f>HYPERLINK("https://twitter.com/petrogustavo/status/1327620102418788357","1327620102418788357")</f>
        <v>1327620102418788357</v>
      </c>
      <c r="F11770" s="7" t="s">
        <v>17</v>
      </c>
      <c r="G11770" s="7">
        <v>4007133</v>
      </c>
      <c r="H11770" s="7">
        <v>2459</v>
      </c>
      <c r="I11770" s="7">
        <v>296</v>
      </c>
      <c r="J11770" s="7">
        <v>1397</v>
      </c>
      <c r="K11770" s="7" t="s">
        <v>18</v>
      </c>
      <c r="L11770" s="8">
        <v>39987.315405092595</v>
      </c>
      <c r="M11770" s="9" t="s">
        <v>19</v>
      </c>
      <c r="N11770" s="9" t="s">
        <v>20</v>
      </c>
      <c r="O11770" s="6" t="str">
        <f>HYPERLINK("https://pbs.twimg.com/profile_images/962471262747529216/Uo8lOkRJ_normal.jpg","View")</f>
        <v>View</v>
      </c>
      <c r="P11770" s="7"/>
    </row>
    <row r="11771" spans="1:16">
      <c r="A11771" s="3">
        <v>44149.841435185182</v>
      </c>
      <c r="B11771" s="4" t="str">
        <f>HYPERLINK("https://twitter.com/petrogustavo","@petrogustavo")</f>
        <v>@petrogustavo</v>
      </c>
      <c r="C11771" s="5" t="s">
        <v>16</v>
      </c>
      <c r="D11771" s="5" t="s">
        <v>11331</v>
      </c>
      <c r="E11771" s="6" t="str">
        <f>HYPERLINK("https://twitter.com/petrogustavo/status/1327622733518213121","1327622733518213121")</f>
        <v>1327622733518213121</v>
      </c>
      <c r="F11771" s="7" t="s">
        <v>17</v>
      </c>
      <c r="G11771" s="7">
        <v>4007133</v>
      </c>
      <c r="H11771" s="7">
        <v>2459</v>
      </c>
      <c r="I11771" s="7">
        <v>36</v>
      </c>
      <c r="J11771" s="7">
        <v>84</v>
      </c>
      <c r="K11771" s="7" t="s">
        <v>18</v>
      </c>
      <c r="L11771" s="8">
        <v>39987.315405092595</v>
      </c>
      <c r="M11771" s="9" t="s">
        <v>19</v>
      </c>
      <c r="N11771" s="9" t="s">
        <v>20</v>
      </c>
      <c r="O11771" s="6" t="str">
        <f>HYPERLINK("https://pbs.twimg.com/profile_images/962471262747529216/Uo8lOkRJ_normal.jpg","View")</f>
        <v>View</v>
      </c>
      <c r="P11771" s="7"/>
    </row>
    <row r="11772" spans="1:16">
      <c r="A11772" s="3">
        <v>44149.865590277783</v>
      </c>
      <c r="B11772" s="4" t="str">
        <f>HYPERLINK("https://twitter.com/petrogustavo","@petrogustavo")</f>
        <v>@petrogustavo</v>
      </c>
      <c r="C11772" s="5" t="s">
        <v>16</v>
      </c>
      <c r="D11772" s="5" t="s">
        <v>11332</v>
      </c>
      <c r="E11772" s="6" t="str">
        <f>HYPERLINK("https://twitter.com/petrogustavo/status/1327631487198519298","1327631487198519298")</f>
        <v>1327631487198519298</v>
      </c>
      <c r="F11772" s="7" t="s">
        <v>17</v>
      </c>
      <c r="G11772" s="7">
        <v>4007133</v>
      </c>
      <c r="H11772" s="7">
        <v>2459</v>
      </c>
      <c r="I11772" s="7">
        <v>9</v>
      </c>
      <c r="J11772" s="7">
        <v>28</v>
      </c>
      <c r="K11772" s="7" t="s">
        <v>18</v>
      </c>
      <c r="L11772" s="8">
        <v>39987.315405092595</v>
      </c>
      <c r="M11772" s="9" t="s">
        <v>19</v>
      </c>
      <c r="N11772" s="9" t="s">
        <v>20</v>
      </c>
      <c r="O11772" s="6" t="str">
        <f>HYPERLINK("https://pbs.twimg.com/profile_images/962471262747529216/Uo8lOkRJ_normal.jpg","View")</f>
        <v>View</v>
      </c>
      <c r="P11772" s="7"/>
    </row>
    <row r="11773" spans="1:16">
      <c r="A11773" s="3">
        <v>44149.866446759261</v>
      </c>
      <c r="B11773" s="4" t="str">
        <f>HYPERLINK("https://twitter.com/petrogustavo","@petrogustavo")</f>
        <v>@petrogustavo</v>
      </c>
      <c r="C11773" s="5" t="s">
        <v>16</v>
      </c>
      <c r="D11773" s="5" t="s">
        <v>11333</v>
      </c>
      <c r="E11773" s="6" t="str">
        <f>HYPERLINK("https://twitter.com/petrogustavo/status/1327631797887361024","1327631797887361024")</f>
        <v>1327631797887361024</v>
      </c>
      <c r="F11773" s="7" t="s">
        <v>17</v>
      </c>
      <c r="G11773" s="7">
        <v>4007133</v>
      </c>
      <c r="H11773" s="7">
        <v>2459</v>
      </c>
      <c r="I11773" s="7">
        <v>1</v>
      </c>
      <c r="J11773" s="7">
        <v>3</v>
      </c>
      <c r="K11773" s="7" t="s">
        <v>18</v>
      </c>
      <c r="L11773" s="8">
        <v>39987.315405092595</v>
      </c>
      <c r="M11773" s="9" t="s">
        <v>19</v>
      </c>
      <c r="N11773" s="9" t="s">
        <v>20</v>
      </c>
      <c r="O11773" s="6" t="str">
        <f>HYPERLINK("https://pbs.twimg.com/profile_images/962471262747529216/Uo8lOkRJ_normal.jpg","View")</f>
        <v>View</v>
      </c>
      <c r="P11773" s="7"/>
    </row>
    <row r="11774" spans="1:16">
      <c r="A11774" s="3">
        <v>44149.8671875</v>
      </c>
      <c r="B11774" s="4" t="str">
        <f>HYPERLINK("https://twitter.com/petrogustavo","@petrogustavo")</f>
        <v>@petrogustavo</v>
      </c>
      <c r="C11774" s="5" t="s">
        <v>16</v>
      </c>
      <c r="D11774" s="5" t="s">
        <v>11334</v>
      </c>
      <c r="E11774" s="6" t="str">
        <f>HYPERLINK("https://twitter.com/petrogustavo/status/1327632067795038208","1327632067795038208")</f>
        <v>1327632067795038208</v>
      </c>
      <c r="F11774" s="7" t="s">
        <v>17</v>
      </c>
      <c r="G11774" s="7">
        <v>4007129</v>
      </c>
      <c r="H11774" s="7">
        <v>2459</v>
      </c>
      <c r="I11774" s="7">
        <v>13</v>
      </c>
      <c r="J11774" s="7">
        <v>55</v>
      </c>
      <c r="K11774" s="7" t="s">
        <v>18</v>
      </c>
      <c r="L11774" s="8">
        <v>39987.315405092595</v>
      </c>
      <c r="M11774" s="9" t="s">
        <v>19</v>
      </c>
      <c r="N11774" s="9" t="s">
        <v>20</v>
      </c>
      <c r="O11774" s="6" t="str">
        <f>HYPERLINK("https://pbs.twimg.com/profile_images/962471262747529216/Uo8lOkRJ_normal.jpg","View")</f>
        <v>View</v>
      </c>
      <c r="P11774" s="7"/>
    </row>
    <row r="11775" spans="1:16">
      <c r="A11775" s="3">
        <v>44149.868587962963</v>
      </c>
      <c r="B11775" s="4" t="str">
        <f>HYPERLINK("https://twitter.com/petrogustavo","@petrogustavo")</f>
        <v>@petrogustavo</v>
      </c>
      <c r="C11775" s="5" t="s">
        <v>16</v>
      </c>
      <c r="D11775" s="5" t="s">
        <v>11335</v>
      </c>
      <c r="E11775" s="6" t="str">
        <f>HYPERLINK("https://twitter.com/petrogustavo/status/1327632575859449858","1327632575859449858")</f>
        <v>1327632575859449858</v>
      </c>
      <c r="F11775" s="7" t="s">
        <v>17</v>
      </c>
      <c r="G11775" s="7">
        <v>4007129</v>
      </c>
      <c r="H11775" s="7">
        <v>2459</v>
      </c>
      <c r="I11775" s="7">
        <v>14</v>
      </c>
      <c r="J11775" s="7">
        <v>58</v>
      </c>
      <c r="K11775" s="7" t="s">
        <v>18</v>
      </c>
      <c r="L11775" s="8">
        <v>39987.315405092595</v>
      </c>
      <c r="M11775" s="9" t="s">
        <v>19</v>
      </c>
      <c r="N11775" s="9" t="s">
        <v>20</v>
      </c>
      <c r="O11775" s="6" t="str">
        <f>HYPERLINK("https://pbs.twimg.com/profile_images/962471262747529216/Uo8lOkRJ_normal.jpg","View")</f>
        <v>View</v>
      </c>
      <c r="P11775" s="7"/>
    </row>
    <row r="11776" spans="1:16">
      <c r="A11776" s="3">
        <v>44149.872256944444</v>
      </c>
      <c r="B11776" s="4" t="str">
        <f>HYPERLINK("https://twitter.com/petrogustavo","@petrogustavo")</f>
        <v>@petrogustavo</v>
      </c>
      <c r="C11776" s="5" t="s">
        <v>16</v>
      </c>
      <c r="D11776" s="5" t="s">
        <v>11336</v>
      </c>
      <c r="E11776" s="6" t="str">
        <f>HYPERLINK("https://twitter.com/petrogustavo/status/1327633903943897088","1327633903943897088")</f>
        <v>1327633903943897088</v>
      </c>
      <c r="F11776" s="7" t="s">
        <v>17</v>
      </c>
      <c r="G11776" s="7">
        <v>4007129</v>
      </c>
      <c r="H11776" s="7">
        <v>2459</v>
      </c>
      <c r="I11776" s="7">
        <v>73</v>
      </c>
      <c r="J11776" s="7">
        <v>233</v>
      </c>
      <c r="K11776" s="7" t="s">
        <v>18</v>
      </c>
      <c r="L11776" s="8">
        <v>39987.315405092595</v>
      </c>
      <c r="M11776" s="9" t="s">
        <v>19</v>
      </c>
      <c r="N11776" s="9" t="s">
        <v>20</v>
      </c>
      <c r="O11776" s="6" t="str">
        <f>HYPERLINK("https://pbs.twimg.com/profile_images/962471262747529216/Uo8lOkRJ_normal.jpg","View")</f>
        <v>View</v>
      </c>
      <c r="P11776" s="7"/>
    </row>
    <row r="11777" spans="1:16">
      <c r="A11777" s="3">
        <v>44149.8747337963</v>
      </c>
      <c r="B11777" s="4" t="str">
        <f>HYPERLINK("https://twitter.com/petrogustavo","@petrogustavo")</f>
        <v>@petrogustavo</v>
      </c>
      <c r="C11777" s="5" t="s">
        <v>16</v>
      </c>
      <c r="D11777" s="5" t="s">
        <v>11337</v>
      </c>
      <c r="E11777" s="6" t="str">
        <f>HYPERLINK("https://twitter.com/petrogustavo/status/1327634799079600128","1327634799079600128")</f>
        <v>1327634799079600128</v>
      </c>
      <c r="F11777" s="7" t="s">
        <v>17</v>
      </c>
      <c r="G11777" s="7">
        <v>4007129</v>
      </c>
      <c r="H11777" s="7">
        <v>2459</v>
      </c>
      <c r="I11777" s="7">
        <v>8</v>
      </c>
      <c r="J11777" s="7">
        <v>31</v>
      </c>
      <c r="K11777" s="7" t="s">
        <v>18</v>
      </c>
      <c r="L11777" s="8">
        <v>39987.315405092595</v>
      </c>
      <c r="M11777" s="9" t="s">
        <v>19</v>
      </c>
      <c r="N11777" s="9" t="s">
        <v>20</v>
      </c>
      <c r="O11777" s="6" t="str">
        <f>HYPERLINK("https://pbs.twimg.com/profile_images/962471262747529216/Uo8lOkRJ_normal.jpg","View")</f>
        <v>View</v>
      </c>
      <c r="P11777" s="7"/>
    </row>
    <row r="11778" spans="1:16">
      <c r="A11778" s="3">
        <v>44149.876921296294</v>
      </c>
      <c r="B11778" s="4" t="str">
        <f>HYPERLINK("https://twitter.com/petrogustavo","@petrogustavo")</f>
        <v>@petrogustavo</v>
      </c>
      <c r="C11778" s="5" t="s">
        <v>16</v>
      </c>
      <c r="D11778" s="5" t="s">
        <v>11338</v>
      </c>
      <c r="E11778" s="6" t="str">
        <f>HYPERLINK("https://twitter.com/petrogustavo/status/1327635595280211968","1327635595280211968")</f>
        <v>1327635595280211968</v>
      </c>
      <c r="F11778" s="7" t="s">
        <v>17</v>
      </c>
      <c r="G11778" s="7">
        <v>4007129</v>
      </c>
      <c r="H11778" s="7">
        <v>2459</v>
      </c>
      <c r="I11778" s="7">
        <v>58</v>
      </c>
      <c r="J11778" s="7">
        <v>97</v>
      </c>
      <c r="K11778" s="7" t="s">
        <v>18</v>
      </c>
      <c r="L11778" s="8">
        <v>39987.315405092595</v>
      </c>
      <c r="M11778" s="9" t="s">
        <v>19</v>
      </c>
      <c r="N11778" s="9" t="s">
        <v>20</v>
      </c>
      <c r="O11778" s="6" t="str">
        <f>HYPERLINK("https://pbs.twimg.com/profile_images/962471262747529216/Uo8lOkRJ_normal.jpg","View")</f>
        <v>View</v>
      </c>
      <c r="P11778" s="7"/>
    </row>
    <row r="11779" spans="1:16">
      <c r="A11779" s="3">
        <v>44149.879560185189</v>
      </c>
      <c r="B11779" s="4" t="str">
        <f>HYPERLINK("https://twitter.com/petrogustavo","@petrogustavo")</f>
        <v>@petrogustavo</v>
      </c>
      <c r="C11779" s="5" t="s">
        <v>16</v>
      </c>
      <c r="D11779" s="5" t="s">
        <v>11339</v>
      </c>
      <c r="E11779" s="6" t="str">
        <f>HYPERLINK("https://twitter.com/petrogustavo/status/1327636549840883718","1327636549840883718")</f>
        <v>1327636549840883718</v>
      </c>
      <c r="F11779" s="7" t="s">
        <v>17</v>
      </c>
      <c r="G11779" s="7">
        <v>4007129</v>
      </c>
      <c r="H11779" s="7">
        <v>2459</v>
      </c>
      <c r="I11779" s="7">
        <v>41</v>
      </c>
      <c r="J11779" s="7">
        <v>108</v>
      </c>
      <c r="K11779" s="7" t="s">
        <v>18</v>
      </c>
      <c r="L11779" s="8">
        <v>39987.315405092595</v>
      </c>
      <c r="M11779" s="9" t="s">
        <v>19</v>
      </c>
      <c r="N11779" s="9" t="s">
        <v>20</v>
      </c>
      <c r="O11779" s="6" t="str">
        <f>HYPERLINK("https://pbs.twimg.com/profile_images/962471262747529216/Uo8lOkRJ_normal.jpg","View")</f>
        <v>View</v>
      </c>
      <c r="P11779" s="7"/>
    </row>
    <row r="11780" spans="1:16">
      <c r="A11780" s="3">
        <v>44149.884826388894</v>
      </c>
      <c r="B11780" s="4" t="str">
        <f>HYPERLINK("https://twitter.com/petrogustavo","@petrogustavo")</f>
        <v>@petrogustavo</v>
      </c>
      <c r="C11780" s="5" t="s">
        <v>16</v>
      </c>
      <c r="D11780" s="5" t="s">
        <v>11340</v>
      </c>
      <c r="E11780" s="6" t="str">
        <f>HYPERLINK("https://twitter.com/petrogustavo/status/1327638460505710592","1327638460505710592")</f>
        <v>1327638460505710592</v>
      </c>
      <c r="F11780" s="7" t="s">
        <v>17</v>
      </c>
      <c r="G11780" s="7">
        <v>4007129</v>
      </c>
      <c r="H11780" s="7">
        <v>2459</v>
      </c>
      <c r="I11780" s="7">
        <v>11</v>
      </c>
      <c r="J11780" s="7">
        <v>44</v>
      </c>
      <c r="K11780" s="7" t="s">
        <v>18</v>
      </c>
      <c r="L11780" s="8">
        <v>39987.315405092595</v>
      </c>
      <c r="M11780" s="9" t="s">
        <v>19</v>
      </c>
      <c r="N11780" s="9" t="s">
        <v>20</v>
      </c>
      <c r="O11780" s="6" t="str">
        <f>HYPERLINK("https://pbs.twimg.com/profile_images/962471262747529216/Uo8lOkRJ_normal.jpg","View")</f>
        <v>View</v>
      </c>
      <c r="P11780" s="7"/>
    </row>
    <row r="11781" spans="1:16">
      <c r="A11781" s="3">
        <v>44149.887106481481</v>
      </c>
      <c r="B11781" s="4" t="str">
        <f>HYPERLINK("https://twitter.com/petrogustavo","@petrogustavo")</f>
        <v>@petrogustavo</v>
      </c>
      <c r="C11781" s="5" t="s">
        <v>16</v>
      </c>
      <c r="D11781" s="5" t="s">
        <v>11341</v>
      </c>
      <c r="E11781" s="6" t="str">
        <f>HYPERLINK("https://twitter.com/petrogustavo/status/1327639284413849601","1327639284413849601")</f>
        <v>1327639284413849601</v>
      </c>
      <c r="F11781" s="7" t="s">
        <v>17</v>
      </c>
      <c r="G11781" s="7">
        <v>4007129</v>
      </c>
      <c r="H11781" s="7">
        <v>2459</v>
      </c>
      <c r="I11781" s="7">
        <v>1</v>
      </c>
      <c r="J11781" s="7">
        <v>9</v>
      </c>
      <c r="K11781" s="7" t="s">
        <v>18</v>
      </c>
      <c r="L11781" s="8">
        <v>39987.315405092595</v>
      </c>
      <c r="M11781" s="9" t="s">
        <v>19</v>
      </c>
      <c r="N11781" s="9" t="s">
        <v>20</v>
      </c>
      <c r="O11781" s="6" t="str">
        <f>HYPERLINK("https://pbs.twimg.com/profile_images/962471262747529216/Uo8lOkRJ_normal.jpg","View")</f>
        <v>View</v>
      </c>
      <c r="P11781" s="7"/>
    </row>
    <row r="11782" spans="1:16">
      <c r="A11782" s="3">
        <v>44149.889745370368</v>
      </c>
      <c r="B11782" s="4" t="str">
        <f>HYPERLINK("https://twitter.com/petrogustavo","@petrogustavo")</f>
        <v>@petrogustavo</v>
      </c>
      <c r="C11782" s="5" t="s">
        <v>16</v>
      </c>
      <c r="D11782" s="5" t="s">
        <v>11342</v>
      </c>
      <c r="E11782" s="6" t="str">
        <f>HYPERLINK("https://twitter.com/petrogustavo/status/1327640242044743681","1327640242044743681")</f>
        <v>1327640242044743681</v>
      </c>
      <c r="F11782" s="7" t="s">
        <v>17</v>
      </c>
      <c r="G11782" s="7">
        <v>4007142</v>
      </c>
      <c r="H11782" s="7">
        <v>2459</v>
      </c>
      <c r="I11782" s="7">
        <v>168</v>
      </c>
      <c r="J11782" s="7">
        <v>697</v>
      </c>
      <c r="K11782" s="7" t="s">
        <v>18</v>
      </c>
      <c r="L11782" s="8">
        <v>39987.315405092595</v>
      </c>
      <c r="M11782" s="9" t="s">
        <v>19</v>
      </c>
      <c r="N11782" s="9" t="s">
        <v>20</v>
      </c>
      <c r="O11782" s="6" t="str">
        <f>HYPERLINK("https://pbs.twimg.com/profile_images/962471262747529216/Uo8lOkRJ_normal.jpg","View")</f>
        <v>View</v>
      </c>
      <c r="P11782" s="7"/>
    </row>
    <row r="11783" spans="1:16">
      <c r="A11783" s="3">
        <v>44149.893263888887</v>
      </c>
      <c r="B11783" s="4" t="str">
        <f>HYPERLINK("https://twitter.com/petrogustavo","@petrogustavo")</f>
        <v>@petrogustavo</v>
      </c>
      <c r="C11783" s="5" t="s">
        <v>16</v>
      </c>
      <c r="D11783" s="5" t="s">
        <v>11343</v>
      </c>
      <c r="E11783" s="6" t="str">
        <f>HYPERLINK("https://twitter.com/petrogustavo/status/1327641514743312385","1327641514743312385")</f>
        <v>1327641514743312385</v>
      </c>
      <c r="F11783" s="7" t="s">
        <v>17</v>
      </c>
      <c r="G11783" s="7">
        <v>4007142</v>
      </c>
      <c r="H11783" s="7">
        <v>2459</v>
      </c>
      <c r="I11783" s="7">
        <v>1134</v>
      </c>
      <c r="J11783" s="7">
        <v>0</v>
      </c>
      <c r="K11783" s="7" t="s">
        <v>18</v>
      </c>
      <c r="L11783" s="8">
        <v>39987.315405092595</v>
      </c>
      <c r="M11783" s="9" t="s">
        <v>19</v>
      </c>
      <c r="N11783" s="9" t="s">
        <v>20</v>
      </c>
      <c r="O11783" s="6" t="str">
        <f>HYPERLINK("https://pbs.twimg.com/profile_images/962471262747529216/Uo8lOkRJ_normal.jpg","View")</f>
        <v>View</v>
      </c>
      <c r="P11783" s="7"/>
    </row>
    <row r="11784" spans="1:16">
      <c r="A11784" s="3">
        <v>44149.895462962959</v>
      </c>
      <c r="B11784" s="4" t="str">
        <f>HYPERLINK("https://twitter.com/petrogustavo","@petrogustavo")</f>
        <v>@petrogustavo</v>
      </c>
      <c r="C11784" s="5" t="s">
        <v>16</v>
      </c>
      <c r="D11784" s="5" t="s">
        <v>11344</v>
      </c>
      <c r="E11784" s="6" t="str">
        <f>HYPERLINK("https://twitter.com/petrogustavo/status/1327642314525827076","1327642314525827076")</f>
        <v>1327642314525827076</v>
      </c>
      <c r="F11784" s="7" t="s">
        <v>17</v>
      </c>
      <c r="G11784" s="7">
        <v>4007142</v>
      </c>
      <c r="H11784" s="7">
        <v>2459</v>
      </c>
      <c r="I11784" s="7">
        <v>37</v>
      </c>
      <c r="J11784" s="7">
        <v>91</v>
      </c>
      <c r="K11784" s="7" t="s">
        <v>18</v>
      </c>
      <c r="L11784" s="8">
        <v>39987.315405092595</v>
      </c>
      <c r="M11784" s="9" t="s">
        <v>19</v>
      </c>
      <c r="N11784" s="9" t="s">
        <v>20</v>
      </c>
      <c r="O11784" s="6" t="str">
        <f>HYPERLINK("https://pbs.twimg.com/profile_images/962471262747529216/Uo8lOkRJ_normal.jpg","View")</f>
        <v>View</v>
      </c>
      <c r="P11784" s="7"/>
    </row>
    <row r="11785" spans="1:16">
      <c r="A11785" s="3">
        <v>44149.908773148149</v>
      </c>
      <c r="B11785" s="4" t="str">
        <f>HYPERLINK("https://twitter.com/petrogustavo","@petrogustavo")</f>
        <v>@petrogustavo</v>
      </c>
      <c r="C11785" s="5" t="s">
        <v>16</v>
      </c>
      <c r="D11785" s="5" t="s">
        <v>11345</v>
      </c>
      <c r="E11785" s="6" t="str">
        <f>HYPERLINK("https://twitter.com/petrogustavo/status/1327647135353991169","1327647135353991169")</f>
        <v>1327647135353991169</v>
      </c>
      <c r="F11785" s="7" t="s">
        <v>32</v>
      </c>
      <c r="G11785" s="7">
        <v>4007156</v>
      </c>
      <c r="H11785" s="7">
        <v>2459</v>
      </c>
      <c r="I11785" s="7">
        <v>57</v>
      </c>
      <c r="J11785" s="7">
        <v>0</v>
      </c>
      <c r="K11785" s="7" t="s">
        <v>18</v>
      </c>
      <c r="L11785" s="8">
        <v>39987.315405092595</v>
      </c>
      <c r="M11785" s="9" t="s">
        <v>19</v>
      </c>
      <c r="N11785" s="9" t="s">
        <v>20</v>
      </c>
      <c r="O11785" s="6" t="str">
        <f>HYPERLINK("https://pbs.twimg.com/profile_images/962471262747529216/Uo8lOkRJ_normal.jpg","View")</f>
        <v>View</v>
      </c>
      <c r="P11785" s="7"/>
    </row>
    <row r="11786" spans="1:16">
      <c r="A11786" s="3">
        <v>44149.910543981481</v>
      </c>
      <c r="B11786" s="4" t="str">
        <f>HYPERLINK("https://twitter.com/petrogustavo","@petrogustavo")</f>
        <v>@petrogustavo</v>
      </c>
      <c r="C11786" s="5" t="s">
        <v>16</v>
      </c>
      <c r="D11786" s="5" t="s">
        <v>11346</v>
      </c>
      <c r="E11786" s="6" t="str">
        <f>HYPERLINK("https://twitter.com/petrogustavo/status/1327647777459941376","1327647777459941376")</f>
        <v>1327647777459941376</v>
      </c>
      <c r="F11786" s="7" t="s">
        <v>32</v>
      </c>
      <c r="G11786" s="7">
        <v>4007156</v>
      </c>
      <c r="H11786" s="7">
        <v>2459</v>
      </c>
      <c r="I11786" s="7">
        <v>299</v>
      </c>
      <c r="J11786" s="7">
        <v>0</v>
      </c>
      <c r="K11786" s="7" t="s">
        <v>18</v>
      </c>
      <c r="L11786" s="8">
        <v>39987.315405092595</v>
      </c>
      <c r="M11786" s="9" t="s">
        <v>19</v>
      </c>
      <c r="N11786" s="9" t="s">
        <v>20</v>
      </c>
      <c r="O11786" s="6" t="str">
        <f>HYPERLINK("https://pbs.twimg.com/profile_images/962471262747529216/Uo8lOkRJ_normal.jpg","View")</f>
        <v>View</v>
      </c>
      <c r="P11786" s="7"/>
    </row>
    <row r="11787" spans="1:16">
      <c r="A11787" s="3">
        <v>44149.913587962961</v>
      </c>
      <c r="B11787" s="4" t="str">
        <f>HYPERLINK("https://twitter.com/petrogustavo","@petrogustavo")</f>
        <v>@petrogustavo</v>
      </c>
      <c r="C11787" s="5" t="s">
        <v>16</v>
      </c>
      <c r="D11787" s="5" t="s">
        <v>11347</v>
      </c>
      <c r="E11787" s="6" t="str">
        <f>HYPERLINK("https://twitter.com/petrogustavo/status/1327648883074342914","1327648883074342914")</f>
        <v>1327648883074342914</v>
      </c>
      <c r="F11787" s="7" t="s">
        <v>32</v>
      </c>
      <c r="G11787" s="7">
        <v>4007156</v>
      </c>
      <c r="H11787" s="7">
        <v>2459</v>
      </c>
      <c r="I11787" s="7">
        <v>69</v>
      </c>
      <c r="J11787" s="7">
        <v>253</v>
      </c>
      <c r="K11787" s="7" t="s">
        <v>18</v>
      </c>
      <c r="L11787" s="8">
        <v>39987.315405092595</v>
      </c>
      <c r="M11787" s="9" t="s">
        <v>19</v>
      </c>
      <c r="N11787" s="9" t="s">
        <v>20</v>
      </c>
      <c r="O11787" s="6" t="str">
        <f>HYPERLINK("https://pbs.twimg.com/profile_images/962471262747529216/Uo8lOkRJ_normal.jpg","View")</f>
        <v>View</v>
      </c>
      <c r="P11787" s="7"/>
    </row>
    <row r="11788" spans="1:16">
      <c r="A11788" s="3">
        <v>44149.916342592594</v>
      </c>
      <c r="B11788" s="4" t="str">
        <f>HYPERLINK("https://twitter.com/petrogustavo","@petrogustavo")</f>
        <v>@petrogustavo</v>
      </c>
      <c r="C11788" s="5" t="s">
        <v>16</v>
      </c>
      <c r="D11788" s="5" t="s">
        <v>11348</v>
      </c>
      <c r="E11788" s="6" t="str">
        <f>HYPERLINK("https://twitter.com/petrogustavo/status/1327649878365900801","1327649878365900801")</f>
        <v>1327649878365900801</v>
      </c>
      <c r="F11788" s="7" t="s">
        <v>32</v>
      </c>
      <c r="G11788" s="7">
        <v>4007156</v>
      </c>
      <c r="H11788" s="7">
        <v>2459</v>
      </c>
      <c r="I11788" s="7">
        <v>57</v>
      </c>
      <c r="J11788" s="7">
        <v>0</v>
      </c>
      <c r="K11788" s="7" t="s">
        <v>18</v>
      </c>
      <c r="L11788" s="8">
        <v>39987.315405092595</v>
      </c>
      <c r="M11788" s="9" t="s">
        <v>19</v>
      </c>
      <c r="N11788" s="9" t="s">
        <v>20</v>
      </c>
      <c r="O11788" s="6" t="str">
        <f>HYPERLINK("https://pbs.twimg.com/profile_images/962471262747529216/Uo8lOkRJ_normal.jpg","View")</f>
        <v>View</v>
      </c>
      <c r="P11788" s="7"/>
    </row>
    <row r="11789" spans="1:16">
      <c r="A11789" s="3">
        <v>44149.99486111111</v>
      </c>
      <c r="B11789" s="4" t="str">
        <f>HYPERLINK("https://twitter.com/petrogustavo","@petrogustavo")</f>
        <v>@petrogustavo</v>
      </c>
      <c r="C11789" s="5" t="s">
        <v>16</v>
      </c>
      <c r="D11789" s="5" t="s">
        <v>11349</v>
      </c>
      <c r="E11789" s="6" t="str">
        <f>HYPERLINK("https://twitter.com/petrogustavo/status/1327678331790221314","1327678331790221314")</f>
        <v>1327678331790221314</v>
      </c>
      <c r="F11789" s="7" t="s">
        <v>17</v>
      </c>
      <c r="G11789" s="7">
        <v>4007191</v>
      </c>
      <c r="H11789" s="7">
        <v>2459</v>
      </c>
      <c r="I11789" s="7">
        <v>87</v>
      </c>
      <c r="J11789" s="7">
        <v>301</v>
      </c>
      <c r="K11789" s="7" t="s">
        <v>18</v>
      </c>
      <c r="L11789" s="8">
        <v>39987.315405092595</v>
      </c>
      <c r="M11789" s="9" t="s">
        <v>19</v>
      </c>
      <c r="N11789" s="9" t="s">
        <v>20</v>
      </c>
      <c r="O11789" s="6" t="str">
        <f>HYPERLINK("https://pbs.twimg.com/profile_images/962471262747529216/Uo8lOkRJ_normal.jpg","View")</f>
        <v>View</v>
      </c>
      <c r="P11789" s="7"/>
    </row>
    <row r="11790" spans="1:16">
      <c r="A11790" s="3">
        <v>44150.012754629628</v>
      </c>
      <c r="B11790" s="4" t="str">
        <f>HYPERLINK("https://twitter.com/petrogustavo","@petrogustavo")</f>
        <v>@petrogustavo</v>
      </c>
      <c r="C11790" s="5" t="s">
        <v>16</v>
      </c>
      <c r="D11790" s="5" t="s">
        <v>11350</v>
      </c>
      <c r="E11790" s="6" t="str">
        <f>HYPERLINK("https://twitter.com/petrogustavo/status/1327684818432299008","1327684818432299008")</f>
        <v>1327684818432299008</v>
      </c>
      <c r="F11790" s="7" t="s">
        <v>17</v>
      </c>
      <c r="G11790" s="7">
        <v>4007199</v>
      </c>
      <c r="H11790" s="7">
        <v>2459</v>
      </c>
      <c r="I11790" s="7">
        <v>181</v>
      </c>
      <c r="J11790" s="7">
        <v>789</v>
      </c>
      <c r="K11790" s="7" t="s">
        <v>18</v>
      </c>
      <c r="L11790" s="8">
        <v>39987.315405092595</v>
      </c>
      <c r="M11790" s="9" t="s">
        <v>19</v>
      </c>
      <c r="N11790" s="9" t="s">
        <v>20</v>
      </c>
      <c r="O11790" s="6" t="str">
        <f>HYPERLINK("https://pbs.twimg.com/profile_images/962471262747529216/Uo8lOkRJ_normal.jpg","View")</f>
        <v>View</v>
      </c>
      <c r="P11790" s="7"/>
    </row>
    <row r="11791" spans="1:16">
      <c r="A11791" s="3">
        <v>44150.013749999998</v>
      </c>
      <c r="B11791" s="4" t="str">
        <f>HYPERLINK("https://twitter.com/petrogustavo","@petrogustavo")</f>
        <v>@petrogustavo</v>
      </c>
      <c r="C11791" s="5" t="s">
        <v>16</v>
      </c>
      <c r="D11791" s="5" t="s">
        <v>11351</v>
      </c>
      <c r="E11791" s="6" t="str">
        <f>HYPERLINK("https://twitter.com/petrogustavo/status/1327685180635688966","1327685180635688966")</f>
        <v>1327685180635688966</v>
      </c>
      <c r="F11791" s="7" t="s">
        <v>17</v>
      </c>
      <c r="G11791" s="7">
        <v>4007199</v>
      </c>
      <c r="H11791" s="7">
        <v>2459</v>
      </c>
      <c r="I11791" s="7">
        <v>83</v>
      </c>
      <c r="J11791" s="7">
        <v>434</v>
      </c>
      <c r="K11791" s="7" t="s">
        <v>18</v>
      </c>
      <c r="L11791" s="8">
        <v>39987.315405092595</v>
      </c>
      <c r="M11791" s="9" t="s">
        <v>19</v>
      </c>
      <c r="N11791" s="9" t="s">
        <v>20</v>
      </c>
      <c r="O11791" s="6" t="str">
        <f>HYPERLINK("https://pbs.twimg.com/profile_images/962471262747529216/Uo8lOkRJ_normal.jpg","View")</f>
        <v>View</v>
      </c>
      <c r="P11791" s="7"/>
    </row>
    <row r="11792" spans="1:16">
      <c r="A11792" s="3">
        <v>44150.019293981481</v>
      </c>
      <c r="B11792" s="4" t="str">
        <f>HYPERLINK("https://twitter.com/petrogustavo","@petrogustavo")</f>
        <v>@petrogustavo</v>
      </c>
      <c r="C11792" s="5" t="s">
        <v>16</v>
      </c>
      <c r="D11792" s="5" t="s">
        <v>11352</v>
      </c>
      <c r="E11792" s="6" t="str">
        <f>HYPERLINK("https://twitter.com/petrogustavo/status/1327687185999474688","1327687185999474688")</f>
        <v>1327687185999474688</v>
      </c>
      <c r="F11792" s="7" t="s">
        <v>17</v>
      </c>
      <c r="G11792" s="7">
        <v>4007199</v>
      </c>
      <c r="H11792" s="7">
        <v>2459</v>
      </c>
      <c r="I11792" s="7">
        <v>68</v>
      </c>
      <c r="J11792" s="7">
        <v>164</v>
      </c>
      <c r="K11792" s="7" t="s">
        <v>18</v>
      </c>
      <c r="L11792" s="8">
        <v>39987.315405092595</v>
      </c>
      <c r="M11792" s="9" t="s">
        <v>19</v>
      </c>
      <c r="N11792" s="9" t="s">
        <v>20</v>
      </c>
      <c r="O11792" s="6" t="str">
        <f>HYPERLINK("https://pbs.twimg.com/profile_images/962471262747529216/Uo8lOkRJ_normal.jpg","View")</f>
        <v>View</v>
      </c>
      <c r="P11792" s="7"/>
    </row>
    <row r="11793" spans="1:16">
      <c r="A11793" s="3">
        <v>44150.01966435185</v>
      </c>
      <c r="B11793" s="4" t="str">
        <f>HYPERLINK("https://twitter.com/petrogustavo","@petrogustavo")</f>
        <v>@petrogustavo</v>
      </c>
      <c r="C11793" s="5" t="s">
        <v>16</v>
      </c>
      <c r="D11793" s="5" t="s">
        <v>11353</v>
      </c>
      <c r="E11793" s="6" t="str">
        <f>HYPERLINK("https://twitter.com/petrogustavo/status/1327687323744604167","1327687323744604167")</f>
        <v>1327687323744604167</v>
      </c>
      <c r="F11793" s="7" t="s">
        <v>17</v>
      </c>
      <c r="G11793" s="7">
        <v>4007199</v>
      </c>
      <c r="H11793" s="7">
        <v>2459</v>
      </c>
      <c r="I11793" s="7">
        <v>19</v>
      </c>
      <c r="J11793" s="7">
        <v>0</v>
      </c>
      <c r="K11793" s="7" t="s">
        <v>18</v>
      </c>
      <c r="L11793" s="8">
        <v>39987.315405092595</v>
      </c>
      <c r="M11793" s="9" t="s">
        <v>19</v>
      </c>
      <c r="N11793" s="9" t="s">
        <v>20</v>
      </c>
      <c r="O11793" s="6" t="str">
        <f>HYPERLINK("https://pbs.twimg.com/profile_images/962471262747529216/Uo8lOkRJ_normal.jpg","View")</f>
        <v>View</v>
      </c>
      <c r="P11793" s="7"/>
    </row>
    <row r="11794" spans="1:16">
      <c r="A11794" s="3">
        <v>44150.024421296301</v>
      </c>
      <c r="B11794" s="4" t="str">
        <f>HYPERLINK("https://twitter.com/petrogustavo","@petrogustavo")</f>
        <v>@petrogustavo</v>
      </c>
      <c r="C11794" s="5" t="s">
        <v>16</v>
      </c>
      <c r="D11794" s="5" t="s">
        <v>11354</v>
      </c>
      <c r="E11794" s="6" t="str">
        <f>HYPERLINK("https://twitter.com/petrogustavo/status/1327689047200976898","1327689047200976898")</f>
        <v>1327689047200976898</v>
      </c>
      <c r="F11794" s="7" t="s">
        <v>17</v>
      </c>
      <c r="G11794" s="7">
        <v>4007199</v>
      </c>
      <c r="H11794" s="7">
        <v>2459</v>
      </c>
      <c r="I11794" s="7">
        <v>69</v>
      </c>
      <c r="J11794" s="7">
        <v>157</v>
      </c>
      <c r="K11794" s="7" t="s">
        <v>18</v>
      </c>
      <c r="L11794" s="8">
        <v>39987.315405092595</v>
      </c>
      <c r="M11794" s="9" t="s">
        <v>19</v>
      </c>
      <c r="N11794" s="9" t="s">
        <v>20</v>
      </c>
      <c r="O11794" s="6" t="str">
        <f>HYPERLINK("https://pbs.twimg.com/profile_images/962471262747529216/Uo8lOkRJ_normal.jpg","View")</f>
        <v>View</v>
      </c>
      <c r="P11794" s="7"/>
    </row>
    <row r="11795" spans="1:16">
      <c r="A11795" s="3">
        <v>44150.027673611112</v>
      </c>
      <c r="B11795" s="4" t="str">
        <f>HYPERLINK("https://twitter.com/petrogustavo","@petrogustavo")</f>
        <v>@petrogustavo</v>
      </c>
      <c r="C11795" s="5" t="s">
        <v>16</v>
      </c>
      <c r="D11795" s="5" t="s">
        <v>11355</v>
      </c>
      <c r="E11795" s="6" t="str">
        <f>HYPERLINK("https://twitter.com/petrogustavo/status/1327690223933853696","1327690223933853696")</f>
        <v>1327690223933853696</v>
      </c>
      <c r="F11795" s="7" t="s">
        <v>17</v>
      </c>
      <c r="G11795" s="7">
        <v>4007199</v>
      </c>
      <c r="H11795" s="7">
        <v>2459</v>
      </c>
      <c r="I11795" s="7">
        <v>26</v>
      </c>
      <c r="J11795" s="7">
        <v>77</v>
      </c>
      <c r="K11795" s="7" t="s">
        <v>18</v>
      </c>
      <c r="L11795" s="8">
        <v>39987.315405092595</v>
      </c>
      <c r="M11795" s="9" t="s">
        <v>19</v>
      </c>
      <c r="N11795" s="9" t="s">
        <v>20</v>
      </c>
      <c r="O11795" s="6" t="str">
        <f>HYPERLINK("https://pbs.twimg.com/profile_images/962471262747529216/Uo8lOkRJ_normal.jpg","View")</f>
        <v>View</v>
      </c>
      <c r="P11795" s="7"/>
    </row>
    <row r="11796" spans="1:16">
      <c r="A11796" s="3">
        <v>44150.028773148151</v>
      </c>
      <c r="B11796" s="4" t="str">
        <f>HYPERLINK("https://twitter.com/petrogustavo","@petrogustavo")</f>
        <v>@petrogustavo</v>
      </c>
      <c r="C11796" s="5" t="s">
        <v>16</v>
      </c>
      <c r="D11796" s="5" t="s">
        <v>11356</v>
      </c>
      <c r="E11796" s="6" t="str">
        <f>HYPERLINK("https://twitter.com/petrogustavo/status/1327690621235179520","1327690621235179520")</f>
        <v>1327690621235179520</v>
      </c>
      <c r="F11796" s="7" t="s">
        <v>17</v>
      </c>
      <c r="G11796" s="7">
        <v>4007199</v>
      </c>
      <c r="H11796" s="7">
        <v>2459</v>
      </c>
      <c r="I11796" s="7">
        <v>69</v>
      </c>
      <c r="J11796" s="7">
        <v>0</v>
      </c>
      <c r="K11796" s="7" t="s">
        <v>18</v>
      </c>
      <c r="L11796" s="8">
        <v>39987.315405092595</v>
      </c>
      <c r="M11796" s="9" t="s">
        <v>19</v>
      </c>
      <c r="N11796" s="9" t="s">
        <v>20</v>
      </c>
      <c r="O11796" s="6" t="str">
        <f>HYPERLINK("https://pbs.twimg.com/profile_images/962471262747529216/Uo8lOkRJ_normal.jpg","View")</f>
        <v>View</v>
      </c>
      <c r="P11796" s="7"/>
    </row>
    <row r="11797" spans="1:16">
      <c r="A11797" s="3">
        <v>44150.033888888887</v>
      </c>
      <c r="B11797" s="4" t="str">
        <f>HYPERLINK("https://twitter.com/petrogustavo","@petrogustavo")</f>
        <v>@petrogustavo</v>
      </c>
      <c r="C11797" s="5" t="s">
        <v>16</v>
      </c>
      <c r="D11797" s="5" t="s">
        <v>11357</v>
      </c>
      <c r="E11797" s="6" t="str">
        <f>HYPERLINK("https://twitter.com/petrogustavo/status/1327692476484816899","1327692476484816899")</f>
        <v>1327692476484816899</v>
      </c>
      <c r="F11797" s="7" t="s">
        <v>17</v>
      </c>
      <c r="G11797" s="7">
        <v>4007195</v>
      </c>
      <c r="H11797" s="7">
        <v>2459</v>
      </c>
      <c r="I11797" s="7">
        <v>85</v>
      </c>
      <c r="J11797" s="7">
        <v>349</v>
      </c>
      <c r="K11797" s="7" t="s">
        <v>18</v>
      </c>
      <c r="L11797" s="8">
        <v>39987.315405092595</v>
      </c>
      <c r="M11797" s="9" t="s">
        <v>19</v>
      </c>
      <c r="N11797" s="9" t="s">
        <v>20</v>
      </c>
      <c r="O11797" s="6" t="str">
        <f>HYPERLINK("https://pbs.twimg.com/profile_images/962471262747529216/Uo8lOkRJ_normal.jpg","View")</f>
        <v>View</v>
      </c>
      <c r="P11797" s="7"/>
    </row>
    <row r="11798" spans="1:16">
      <c r="A11798" s="3">
        <v>44150.052384259259</v>
      </c>
      <c r="B11798" s="4" t="str">
        <f>HYPERLINK("https://twitter.com/petrogustavo","@petrogustavo")</f>
        <v>@petrogustavo</v>
      </c>
      <c r="C11798" s="5" t="s">
        <v>16</v>
      </c>
      <c r="D11798" s="5" t="s">
        <v>11358</v>
      </c>
      <c r="E11798" s="6" t="str">
        <f>HYPERLINK("https://twitter.com/petrogustavo/status/1327699179762757639","1327699179762757639")</f>
        <v>1327699179762757639</v>
      </c>
      <c r="F11798" s="7" t="s">
        <v>17</v>
      </c>
      <c r="G11798" s="7">
        <v>4007195</v>
      </c>
      <c r="H11798" s="7">
        <v>2459</v>
      </c>
      <c r="I11798" s="7">
        <v>9</v>
      </c>
      <c r="J11798" s="7">
        <v>34</v>
      </c>
      <c r="K11798" s="7" t="s">
        <v>18</v>
      </c>
      <c r="L11798" s="8">
        <v>39987.315405092595</v>
      </c>
      <c r="M11798" s="9" t="s">
        <v>19</v>
      </c>
      <c r="N11798" s="9" t="s">
        <v>20</v>
      </c>
      <c r="O11798" s="6" t="str">
        <f>HYPERLINK("https://pbs.twimg.com/profile_images/962471262747529216/Uo8lOkRJ_normal.jpg","View")</f>
        <v>View</v>
      </c>
      <c r="P11798" s="7"/>
    </row>
    <row r="11799" spans="1:16">
      <c r="A11799" s="3">
        <v>44150.052719907406</v>
      </c>
      <c r="B11799" s="4" t="str">
        <f>HYPERLINK("https://twitter.com/petrogustavo","@petrogustavo")</f>
        <v>@petrogustavo</v>
      </c>
      <c r="C11799" s="5" t="s">
        <v>16</v>
      </c>
      <c r="D11799" s="5" t="s">
        <v>11359</v>
      </c>
      <c r="E11799" s="6" t="str">
        <f>HYPERLINK("https://twitter.com/petrogustavo/status/1327699300483289088","1327699300483289088")</f>
        <v>1327699300483289088</v>
      </c>
      <c r="F11799" s="7" t="s">
        <v>17</v>
      </c>
      <c r="G11799" s="7">
        <v>4007195</v>
      </c>
      <c r="H11799" s="7">
        <v>2459</v>
      </c>
      <c r="I11799" s="7">
        <v>147</v>
      </c>
      <c r="J11799" s="7">
        <v>0</v>
      </c>
      <c r="K11799" s="7" t="s">
        <v>18</v>
      </c>
      <c r="L11799" s="8">
        <v>39987.315405092595</v>
      </c>
      <c r="M11799" s="9" t="s">
        <v>19</v>
      </c>
      <c r="N11799" s="9" t="s">
        <v>20</v>
      </c>
      <c r="O11799" s="6" t="str">
        <f>HYPERLINK("https://pbs.twimg.com/profile_images/962471262747529216/Uo8lOkRJ_normal.jpg","View")</f>
        <v>View</v>
      </c>
      <c r="P11799" s="7"/>
    </row>
    <row r="11800" spans="1:16">
      <c r="A11800" s="3">
        <v>44150.052893518514</v>
      </c>
      <c r="B11800" s="4" t="str">
        <f>HYPERLINK("https://twitter.com/petrogustavo","@petrogustavo")</f>
        <v>@petrogustavo</v>
      </c>
      <c r="C11800" s="5" t="s">
        <v>16</v>
      </c>
      <c r="D11800" s="5" t="s">
        <v>11360</v>
      </c>
      <c r="E11800" s="6" t="str">
        <f>HYPERLINK("https://twitter.com/petrogustavo/status/1327699363292966913","1327699363292966913")</f>
        <v>1327699363292966913</v>
      </c>
      <c r="F11800" s="7" t="s">
        <v>17</v>
      </c>
      <c r="G11800" s="7">
        <v>4007195</v>
      </c>
      <c r="H11800" s="7">
        <v>2459</v>
      </c>
      <c r="I11800" s="7">
        <v>15</v>
      </c>
      <c r="J11800" s="7">
        <v>0</v>
      </c>
      <c r="K11800" s="7" t="s">
        <v>18</v>
      </c>
      <c r="L11800" s="8">
        <v>39987.315405092595</v>
      </c>
      <c r="M11800" s="9" t="s">
        <v>19</v>
      </c>
      <c r="N11800" s="9" t="s">
        <v>20</v>
      </c>
      <c r="O11800" s="6" t="str">
        <f>HYPERLINK("https://pbs.twimg.com/profile_images/962471262747529216/Uo8lOkRJ_normal.jpg","View")</f>
        <v>View</v>
      </c>
      <c r="P11800" s="7"/>
    </row>
    <row r="11801" spans="1:16">
      <c r="A11801" s="3">
        <v>44150.058148148149</v>
      </c>
      <c r="B11801" s="4" t="str">
        <f>HYPERLINK("https://twitter.com/petrogustavo","@petrogustavo")</f>
        <v>@petrogustavo</v>
      </c>
      <c r="C11801" s="5" t="s">
        <v>16</v>
      </c>
      <c r="D11801" s="5" t="s">
        <v>11361</v>
      </c>
      <c r="E11801" s="6" t="str">
        <f>HYPERLINK("https://twitter.com/petrogustavo/status/1327701266546483200","1327701266546483200")</f>
        <v>1327701266546483200</v>
      </c>
      <c r="F11801" s="7" t="s">
        <v>17</v>
      </c>
      <c r="G11801" s="7">
        <v>4007203</v>
      </c>
      <c r="H11801" s="7">
        <v>2459</v>
      </c>
      <c r="I11801" s="7">
        <v>41</v>
      </c>
      <c r="J11801" s="7">
        <v>123</v>
      </c>
      <c r="K11801" s="7" t="s">
        <v>18</v>
      </c>
      <c r="L11801" s="8">
        <v>39987.315405092595</v>
      </c>
      <c r="M11801" s="9" t="s">
        <v>19</v>
      </c>
      <c r="N11801" s="9" t="s">
        <v>20</v>
      </c>
      <c r="O11801" s="6" t="str">
        <f>HYPERLINK("https://pbs.twimg.com/profile_images/962471262747529216/Uo8lOkRJ_normal.jpg","View")</f>
        <v>View</v>
      </c>
      <c r="P11801" s="7"/>
    </row>
    <row r="11802" spans="1:16">
      <c r="A11802" s="3">
        <v>44150.773159722223</v>
      </c>
      <c r="B11802" s="4" t="str">
        <f>HYPERLINK("https://twitter.com/petrogustavo","@petrogustavo")</f>
        <v>@petrogustavo</v>
      </c>
      <c r="C11802" s="5" t="s">
        <v>16</v>
      </c>
      <c r="D11802" s="5" t="s">
        <v>11362</v>
      </c>
      <c r="E11802" s="6" t="str">
        <f>HYPERLINK("https://twitter.com/petrogustavo/status/1327960379570466818","1327960379570466818")</f>
        <v>1327960379570466818</v>
      </c>
      <c r="F11802" s="7" t="s">
        <v>32</v>
      </c>
      <c r="G11802" s="7">
        <v>4007495</v>
      </c>
      <c r="H11802" s="7">
        <v>2459</v>
      </c>
      <c r="I11802" s="7">
        <v>80</v>
      </c>
      <c r="J11802" s="7">
        <v>353</v>
      </c>
      <c r="K11802" s="7" t="s">
        <v>18</v>
      </c>
      <c r="L11802" s="8">
        <v>39987.315405092595</v>
      </c>
      <c r="M11802" s="9" t="s">
        <v>19</v>
      </c>
      <c r="N11802" s="9" t="s">
        <v>20</v>
      </c>
      <c r="O11802" s="6" t="str">
        <f>HYPERLINK("https://pbs.twimg.com/profile_images/962471262747529216/Uo8lOkRJ_normal.jpg","View")</f>
        <v>View</v>
      </c>
      <c r="P11802" s="7"/>
    </row>
    <row r="11803" spans="1:16">
      <c r="A11803" s="3">
        <v>44150.785462962958</v>
      </c>
      <c r="B11803" s="4" t="str">
        <f>HYPERLINK("https://twitter.com/petrogustavo","@petrogustavo")</f>
        <v>@petrogustavo</v>
      </c>
      <c r="C11803" s="5" t="s">
        <v>16</v>
      </c>
      <c r="D11803" s="5" t="s">
        <v>11363</v>
      </c>
      <c r="E11803" s="6" t="str">
        <f>HYPERLINK("https://twitter.com/petrogustavo/status/1327964839768182790","1327964839768182790")</f>
        <v>1327964839768182790</v>
      </c>
      <c r="F11803" s="7" t="s">
        <v>32</v>
      </c>
      <c r="G11803" s="7">
        <v>4007506</v>
      </c>
      <c r="H11803" s="7">
        <v>2459</v>
      </c>
      <c r="I11803" s="7">
        <v>728</v>
      </c>
      <c r="J11803" s="7">
        <v>0</v>
      </c>
      <c r="K11803" s="7" t="s">
        <v>18</v>
      </c>
      <c r="L11803" s="8">
        <v>39987.315405092595</v>
      </c>
      <c r="M11803" s="9" t="s">
        <v>19</v>
      </c>
      <c r="N11803" s="9" t="s">
        <v>20</v>
      </c>
      <c r="O11803" s="6" t="str">
        <f>HYPERLINK("https://pbs.twimg.com/profile_images/962471262747529216/Uo8lOkRJ_normal.jpg","View")</f>
        <v>View</v>
      </c>
      <c r="P11803" s="7"/>
    </row>
    <row r="11804" spans="1:16">
      <c r="A11804" s="3">
        <v>44150.817905092597</v>
      </c>
      <c r="B11804" s="4" t="str">
        <f>HYPERLINK("https://twitter.com/petrogustavo","@petrogustavo")</f>
        <v>@petrogustavo</v>
      </c>
      <c r="C11804" s="5" t="s">
        <v>16</v>
      </c>
      <c r="D11804" s="5" t="s">
        <v>11364</v>
      </c>
      <c r="E11804" s="6" t="str">
        <f>HYPERLINK("https://twitter.com/petrogustavo/status/1327976592929300481","1327976592929300481")</f>
        <v>1327976592929300481</v>
      </c>
      <c r="F11804" s="7" t="s">
        <v>17</v>
      </c>
      <c r="G11804" s="7">
        <v>4007512</v>
      </c>
      <c r="H11804" s="7">
        <v>2459</v>
      </c>
      <c r="I11804" s="7">
        <v>24</v>
      </c>
      <c r="J11804" s="7">
        <v>82</v>
      </c>
      <c r="K11804" s="7" t="s">
        <v>18</v>
      </c>
      <c r="L11804" s="8">
        <v>39987.315405092595</v>
      </c>
      <c r="M11804" s="9" t="s">
        <v>19</v>
      </c>
      <c r="N11804" s="9" t="s">
        <v>20</v>
      </c>
      <c r="O11804" s="6" t="str">
        <f>HYPERLINK("https://pbs.twimg.com/profile_images/962471262747529216/Uo8lOkRJ_normal.jpg","View")</f>
        <v>View</v>
      </c>
      <c r="P11804" s="7"/>
    </row>
    <row r="11805" spans="1:16">
      <c r="A11805" s="3">
        <v>44150.818495370375</v>
      </c>
      <c r="B11805" s="4" t="str">
        <f>HYPERLINK("https://twitter.com/petrogustavo","@petrogustavo")</f>
        <v>@petrogustavo</v>
      </c>
      <c r="C11805" s="5" t="s">
        <v>16</v>
      </c>
      <c r="D11805" s="5" t="s">
        <v>11365</v>
      </c>
      <c r="E11805" s="6" t="str">
        <f>HYPERLINK("https://twitter.com/petrogustavo/status/1327976809712017408","1327976809712017408")</f>
        <v>1327976809712017408</v>
      </c>
      <c r="F11805" s="7" t="s">
        <v>17</v>
      </c>
      <c r="G11805" s="7">
        <v>4007512</v>
      </c>
      <c r="H11805" s="7">
        <v>2459</v>
      </c>
      <c r="I11805" s="7">
        <v>24</v>
      </c>
      <c r="J11805" s="7">
        <v>54</v>
      </c>
      <c r="K11805" s="7" t="s">
        <v>18</v>
      </c>
      <c r="L11805" s="8">
        <v>39987.315405092595</v>
      </c>
      <c r="M11805" s="9" t="s">
        <v>19</v>
      </c>
      <c r="N11805" s="9" t="s">
        <v>20</v>
      </c>
      <c r="O11805" s="6" t="str">
        <f>HYPERLINK("https://pbs.twimg.com/profile_images/962471262747529216/Uo8lOkRJ_normal.jpg","View")</f>
        <v>View</v>
      </c>
      <c r="P11805" s="7"/>
    </row>
    <row r="11806" spans="1:16">
      <c r="A11806" s="3">
        <v>44150.912361111114</v>
      </c>
      <c r="B11806" s="4" t="str">
        <f>HYPERLINK("https://twitter.com/petrogustavo","@petrogustavo")</f>
        <v>@petrogustavo</v>
      </c>
      <c r="C11806" s="5" t="s">
        <v>16</v>
      </c>
      <c r="D11806" s="5" t="s">
        <v>11366</v>
      </c>
      <c r="E11806" s="6" t="str">
        <f>HYPERLINK("https://twitter.com/petrogustavo/status/1328010823642607616","1328010823642607616")</f>
        <v>1328010823642607616</v>
      </c>
      <c r="F11806" s="7" t="s">
        <v>17</v>
      </c>
      <c r="G11806" s="7">
        <v>4007575</v>
      </c>
      <c r="H11806" s="7">
        <v>2459</v>
      </c>
      <c r="I11806" s="7">
        <v>90</v>
      </c>
      <c r="J11806" s="7">
        <v>389</v>
      </c>
      <c r="K11806" s="7" t="s">
        <v>18</v>
      </c>
      <c r="L11806" s="8">
        <v>39987.315405092595</v>
      </c>
      <c r="M11806" s="9" t="s">
        <v>19</v>
      </c>
      <c r="N11806" s="9" t="s">
        <v>20</v>
      </c>
      <c r="O11806" s="6" t="str">
        <f>HYPERLINK("https://pbs.twimg.com/profile_images/962471262747529216/Uo8lOkRJ_normal.jpg","View")</f>
        <v>View</v>
      </c>
      <c r="P11806" s="7"/>
    </row>
    <row r="11807" spans="1:16">
      <c r="A11807" s="3">
        <v>44150.917476851857</v>
      </c>
      <c r="B11807" s="4" t="str">
        <f>HYPERLINK("https://twitter.com/petrogustavo","@petrogustavo")</f>
        <v>@petrogustavo</v>
      </c>
      <c r="C11807" s="5" t="s">
        <v>16</v>
      </c>
      <c r="D11807" s="5" t="s">
        <v>11367</v>
      </c>
      <c r="E11807" s="6" t="str">
        <f>HYPERLINK("https://twitter.com/petrogustavo/status/1328012679546630145","1328012679546630145")</f>
        <v>1328012679546630145</v>
      </c>
      <c r="F11807" s="7" t="s">
        <v>17</v>
      </c>
      <c r="G11807" s="7">
        <v>4007575</v>
      </c>
      <c r="H11807" s="7">
        <v>2459</v>
      </c>
      <c r="I11807" s="7">
        <v>193</v>
      </c>
      <c r="J11807" s="7">
        <v>0</v>
      </c>
      <c r="K11807" s="7" t="s">
        <v>18</v>
      </c>
      <c r="L11807" s="8">
        <v>39987.315405092595</v>
      </c>
      <c r="M11807" s="9" t="s">
        <v>19</v>
      </c>
      <c r="N11807" s="9" t="s">
        <v>20</v>
      </c>
      <c r="O11807" s="6" t="str">
        <f>HYPERLINK("https://pbs.twimg.com/profile_images/962471262747529216/Uo8lOkRJ_normal.jpg","View")</f>
        <v>View</v>
      </c>
      <c r="P11807" s="7"/>
    </row>
    <row r="11808" spans="1:16">
      <c r="A11808" s="3">
        <v>44151.057835648149</v>
      </c>
      <c r="B11808" s="4" t="str">
        <f>HYPERLINK("https://twitter.com/petrogustavo","@petrogustavo")</f>
        <v>@petrogustavo</v>
      </c>
      <c r="C11808" s="5" t="s">
        <v>16</v>
      </c>
      <c r="D11808" s="5" t="s">
        <v>11368</v>
      </c>
      <c r="E11808" s="6" t="str">
        <f>HYPERLINK("https://twitter.com/petrogustavo/status/1328063543611154435","1328063543611154435")</f>
        <v>1328063543611154435</v>
      </c>
      <c r="F11808" s="7" t="s">
        <v>17</v>
      </c>
      <c r="G11808" s="7">
        <v>4007668</v>
      </c>
      <c r="H11808" s="7">
        <v>2458</v>
      </c>
      <c r="I11808" s="7">
        <v>137</v>
      </c>
      <c r="J11808" s="7">
        <v>661</v>
      </c>
      <c r="K11808" s="7" t="s">
        <v>18</v>
      </c>
      <c r="L11808" s="8">
        <v>39987.315405092595</v>
      </c>
      <c r="M11808" s="9" t="s">
        <v>19</v>
      </c>
      <c r="N11808" s="9" t="s">
        <v>20</v>
      </c>
      <c r="O11808" s="6" t="str">
        <f>HYPERLINK("https://pbs.twimg.com/profile_images/962471262747529216/Uo8lOkRJ_normal.jpg","View")</f>
        <v>View</v>
      </c>
      <c r="P11808" s="7"/>
    </row>
    <row r="11809" spans="1:16">
      <c r="A11809" s="3">
        <v>44151.062453703707</v>
      </c>
      <c r="B11809" s="4" t="str">
        <f>HYPERLINK("https://twitter.com/petrogustavo","@petrogustavo")</f>
        <v>@petrogustavo</v>
      </c>
      <c r="C11809" s="5" t="s">
        <v>16</v>
      </c>
      <c r="D11809" s="5" t="s">
        <v>11369</v>
      </c>
      <c r="E11809" s="6" t="str">
        <f>HYPERLINK("https://twitter.com/petrogustavo/status/1328065217872474112","1328065217872474112")</f>
        <v>1328065217872474112</v>
      </c>
      <c r="F11809" s="7" t="s">
        <v>17</v>
      </c>
      <c r="G11809" s="7">
        <v>4007668</v>
      </c>
      <c r="H11809" s="7">
        <v>2458</v>
      </c>
      <c r="I11809" s="7">
        <v>35</v>
      </c>
      <c r="J11809" s="7">
        <v>134</v>
      </c>
      <c r="K11809" s="7" t="s">
        <v>18</v>
      </c>
      <c r="L11809" s="8">
        <v>39987.315405092595</v>
      </c>
      <c r="M11809" s="9" t="s">
        <v>19</v>
      </c>
      <c r="N11809" s="9" t="s">
        <v>20</v>
      </c>
      <c r="O11809" s="6" t="str">
        <f>HYPERLINK("https://pbs.twimg.com/profile_images/962471262747529216/Uo8lOkRJ_normal.jpg","View")</f>
        <v>View</v>
      </c>
      <c r="P11809" s="7"/>
    </row>
    <row r="11810" spans="1:16">
      <c r="A11810" s="3">
        <v>44151.065520833334</v>
      </c>
      <c r="B11810" s="4" t="str">
        <f>HYPERLINK("https://twitter.com/petrogustavo","@petrogustavo")</f>
        <v>@petrogustavo</v>
      </c>
      <c r="C11810" s="5" t="s">
        <v>16</v>
      </c>
      <c r="D11810" s="5" t="s">
        <v>11370</v>
      </c>
      <c r="E11810" s="6" t="str">
        <f>HYPERLINK("https://twitter.com/petrogustavo/status/1328066328222109697","1328066328222109697")</f>
        <v>1328066328222109697</v>
      </c>
      <c r="F11810" s="7" t="s">
        <v>17</v>
      </c>
      <c r="G11810" s="7">
        <v>4007668</v>
      </c>
      <c r="H11810" s="7">
        <v>2458</v>
      </c>
      <c r="I11810" s="7">
        <v>59</v>
      </c>
      <c r="J11810" s="7">
        <v>204</v>
      </c>
      <c r="K11810" s="7" t="s">
        <v>18</v>
      </c>
      <c r="L11810" s="8">
        <v>39987.315405092595</v>
      </c>
      <c r="M11810" s="9" t="s">
        <v>19</v>
      </c>
      <c r="N11810" s="9" t="s">
        <v>20</v>
      </c>
      <c r="O11810" s="6" t="str">
        <f>HYPERLINK("https://pbs.twimg.com/profile_images/962471262747529216/Uo8lOkRJ_normal.jpg","View")</f>
        <v>View</v>
      </c>
      <c r="P11810" s="7"/>
    </row>
    <row r="11811" spans="1:16">
      <c r="A11811" s="3">
        <v>44151.068749999999</v>
      </c>
      <c r="B11811" s="4" t="str">
        <f>HYPERLINK("https://twitter.com/petrogustavo","@petrogustavo")</f>
        <v>@petrogustavo</v>
      </c>
      <c r="C11811" s="5" t="s">
        <v>16</v>
      </c>
      <c r="D11811" s="5" t="s">
        <v>11371</v>
      </c>
      <c r="E11811" s="6" t="str">
        <f>HYPERLINK("https://twitter.com/petrogustavo/status/1328067497229160450","1328067497229160450")</f>
        <v>1328067497229160450</v>
      </c>
      <c r="F11811" s="7" t="s">
        <v>17</v>
      </c>
      <c r="G11811" s="7">
        <v>4007668</v>
      </c>
      <c r="H11811" s="7">
        <v>2458</v>
      </c>
      <c r="I11811" s="7">
        <v>37</v>
      </c>
      <c r="J11811" s="7">
        <v>244</v>
      </c>
      <c r="K11811" s="7" t="s">
        <v>18</v>
      </c>
      <c r="L11811" s="8">
        <v>39987.315405092595</v>
      </c>
      <c r="M11811" s="9" t="s">
        <v>19</v>
      </c>
      <c r="N11811" s="9" t="s">
        <v>20</v>
      </c>
      <c r="O11811" s="6" t="str">
        <f>HYPERLINK("https://pbs.twimg.com/profile_images/962471262747529216/Uo8lOkRJ_normal.jpg","View")</f>
        <v>View</v>
      </c>
      <c r="P11811" s="7"/>
    </row>
    <row r="11812" spans="1:16">
      <c r="A11812" s="3">
        <v>44151.071122685185</v>
      </c>
      <c r="B11812" s="4" t="str">
        <f>HYPERLINK("https://twitter.com/petrogustavo","@petrogustavo")</f>
        <v>@petrogustavo</v>
      </c>
      <c r="C11812" s="5" t="s">
        <v>16</v>
      </c>
      <c r="D11812" s="5" t="s">
        <v>11372</v>
      </c>
      <c r="E11812" s="6" t="str">
        <f>HYPERLINK("https://twitter.com/petrogustavo/status/1328068356113620995","1328068356113620995")</f>
        <v>1328068356113620995</v>
      </c>
      <c r="F11812" s="7" t="s">
        <v>17</v>
      </c>
      <c r="G11812" s="7">
        <v>4007668</v>
      </c>
      <c r="H11812" s="7">
        <v>2458</v>
      </c>
      <c r="I11812" s="7">
        <v>30</v>
      </c>
      <c r="J11812" s="7">
        <v>137</v>
      </c>
      <c r="K11812" s="7" t="s">
        <v>18</v>
      </c>
      <c r="L11812" s="8">
        <v>39987.315405092595</v>
      </c>
      <c r="M11812" s="9" t="s">
        <v>19</v>
      </c>
      <c r="N11812" s="9" t="s">
        <v>20</v>
      </c>
      <c r="O11812" s="6" t="str">
        <f>HYPERLINK("https://pbs.twimg.com/profile_images/962471262747529216/Uo8lOkRJ_normal.jpg","View")</f>
        <v>View</v>
      </c>
      <c r="P11812" s="7"/>
    </row>
    <row r="11813" spans="1:16">
      <c r="A11813" s="3">
        <v>44151.073888888888</v>
      </c>
      <c r="B11813" s="4" t="str">
        <f>HYPERLINK("https://twitter.com/petrogustavo","@petrogustavo")</f>
        <v>@petrogustavo</v>
      </c>
      <c r="C11813" s="5" t="s">
        <v>16</v>
      </c>
      <c r="D11813" s="5" t="s">
        <v>11373</v>
      </c>
      <c r="E11813" s="6" t="str">
        <f>HYPERLINK("https://twitter.com/petrogustavo/status/1328069358954885120","1328069358954885120")</f>
        <v>1328069358954885120</v>
      </c>
      <c r="F11813" s="7" t="s">
        <v>17</v>
      </c>
      <c r="G11813" s="7">
        <v>4007668</v>
      </c>
      <c r="H11813" s="7">
        <v>2458</v>
      </c>
      <c r="I11813" s="7">
        <v>18</v>
      </c>
      <c r="J11813" s="7">
        <v>40</v>
      </c>
      <c r="K11813" s="7" t="s">
        <v>18</v>
      </c>
      <c r="L11813" s="8">
        <v>39987.315405092595</v>
      </c>
      <c r="M11813" s="9" t="s">
        <v>19</v>
      </c>
      <c r="N11813" s="9" t="s">
        <v>20</v>
      </c>
      <c r="O11813" s="6" t="str">
        <f>HYPERLINK("https://pbs.twimg.com/profile_images/962471262747529216/Uo8lOkRJ_normal.jpg","View")</f>
        <v>View</v>
      </c>
      <c r="P11813" s="7"/>
    </row>
    <row r="11814" spans="1:16">
      <c r="A11814" s="3">
        <v>44151.105636574073</v>
      </c>
      <c r="B11814" s="4" t="str">
        <f>HYPERLINK("https://twitter.com/petrogustavo","@petrogustavo")</f>
        <v>@petrogustavo</v>
      </c>
      <c r="C11814" s="5" t="s">
        <v>16</v>
      </c>
      <c r="D11814" s="5" t="s">
        <v>11374</v>
      </c>
      <c r="E11814" s="6" t="str">
        <f>HYPERLINK("https://twitter.com/petrogustavo/status/1328080864115380227","1328080864115380227")</f>
        <v>1328080864115380227</v>
      </c>
      <c r="F11814" s="7" t="s">
        <v>17</v>
      </c>
      <c r="G11814" s="7">
        <v>4007666</v>
      </c>
      <c r="H11814" s="7">
        <v>2458</v>
      </c>
      <c r="I11814" s="7">
        <v>90</v>
      </c>
      <c r="J11814" s="7">
        <v>247</v>
      </c>
      <c r="K11814" s="7" t="s">
        <v>18</v>
      </c>
      <c r="L11814" s="8">
        <v>39987.315405092595</v>
      </c>
      <c r="M11814" s="9" t="s">
        <v>19</v>
      </c>
      <c r="N11814" s="9" t="s">
        <v>20</v>
      </c>
      <c r="O11814" s="6" t="str">
        <f>HYPERLINK("https://pbs.twimg.com/profile_images/962471262747529216/Uo8lOkRJ_normal.jpg","View")</f>
        <v>View</v>
      </c>
      <c r="P11814" s="7"/>
    </row>
    <row r="11815" spans="1:16">
      <c r="A11815" s="3">
        <v>44151.10659722222</v>
      </c>
      <c r="B11815" s="4" t="str">
        <f>HYPERLINK("https://twitter.com/petrogustavo","@petrogustavo")</f>
        <v>@petrogustavo</v>
      </c>
      <c r="C11815" s="5" t="s">
        <v>16</v>
      </c>
      <c r="D11815" s="5" t="s">
        <v>11375</v>
      </c>
      <c r="E11815" s="6" t="str">
        <f>HYPERLINK("https://twitter.com/petrogustavo/status/1328081212494278658","1328081212494278658")</f>
        <v>1328081212494278658</v>
      </c>
      <c r="F11815" s="7" t="s">
        <v>17</v>
      </c>
      <c r="G11815" s="7">
        <v>4007666</v>
      </c>
      <c r="H11815" s="7">
        <v>2458</v>
      </c>
      <c r="I11815" s="7">
        <v>34</v>
      </c>
      <c r="J11815" s="7">
        <v>191</v>
      </c>
      <c r="K11815" s="7" t="s">
        <v>18</v>
      </c>
      <c r="L11815" s="8">
        <v>39987.315405092595</v>
      </c>
      <c r="M11815" s="9" t="s">
        <v>19</v>
      </c>
      <c r="N11815" s="9" t="s">
        <v>20</v>
      </c>
      <c r="O11815" s="6" t="str">
        <f>HYPERLINK("https://pbs.twimg.com/profile_images/962471262747529216/Uo8lOkRJ_normal.jpg","View")</f>
        <v>View</v>
      </c>
      <c r="P11815" s="7"/>
    </row>
    <row r="11816" spans="1:16">
      <c r="A11816" s="3">
        <v>44151.117627314816</v>
      </c>
      <c r="B11816" s="4" t="str">
        <f>HYPERLINK("https://twitter.com/petrogustavo","@petrogustavo")</f>
        <v>@petrogustavo</v>
      </c>
      <c r="C11816" s="5" t="s">
        <v>16</v>
      </c>
      <c r="D11816" s="5" t="s">
        <v>11376</v>
      </c>
      <c r="E11816" s="6" t="str">
        <f>HYPERLINK("https://twitter.com/petrogustavo/status/1328085209221390338","1328085209221390338")</f>
        <v>1328085209221390338</v>
      </c>
      <c r="F11816" s="7" t="s">
        <v>17</v>
      </c>
      <c r="G11816" s="7">
        <v>4007675</v>
      </c>
      <c r="H11816" s="7">
        <v>2458</v>
      </c>
      <c r="I11816" s="7">
        <v>66</v>
      </c>
      <c r="J11816" s="7">
        <v>269</v>
      </c>
      <c r="K11816" s="7" t="s">
        <v>18</v>
      </c>
      <c r="L11816" s="8">
        <v>39987.315405092595</v>
      </c>
      <c r="M11816" s="9" t="s">
        <v>19</v>
      </c>
      <c r="N11816" s="9" t="s">
        <v>20</v>
      </c>
      <c r="O11816" s="6" t="str">
        <f>HYPERLINK("https://pbs.twimg.com/profile_images/962471262747529216/Uo8lOkRJ_normal.jpg","View")</f>
        <v>View</v>
      </c>
      <c r="P11816" s="7"/>
    </row>
    <row r="11817" spans="1:16">
      <c r="A11817" s="3">
        <v>44151.147118055553</v>
      </c>
      <c r="B11817" s="4" t="str">
        <f>HYPERLINK("https://twitter.com/petrogustavo","@petrogustavo")</f>
        <v>@petrogustavo</v>
      </c>
      <c r="C11817" s="5" t="s">
        <v>16</v>
      </c>
      <c r="D11817" s="5" t="s">
        <v>11377</v>
      </c>
      <c r="E11817" s="6" t="str">
        <f>HYPERLINK("https://twitter.com/petrogustavo/status/1328095899722113029","1328095899722113029")</f>
        <v>1328095899722113029</v>
      </c>
      <c r="F11817" s="7" t="s">
        <v>17</v>
      </c>
      <c r="G11817" s="7">
        <v>4007688</v>
      </c>
      <c r="H11817" s="7">
        <v>2458</v>
      </c>
      <c r="I11817" s="7">
        <v>51</v>
      </c>
      <c r="J11817" s="7">
        <v>195</v>
      </c>
      <c r="K11817" s="7" t="s">
        <v>18</v>
      </c>
      <c r="L11817" s="8">
        <v>39987.315405092595</v>
      </c>
      <c r="M11817" s="9" t="s">
        <v>19</v>
      </c>
      <c r="N11817" s="9" t="s">
        <v>20</v>
      </c>
      <c r="O11817" s="6" t="str">
        <f>HYPERLINK("https://pbs.twimg.com/profile_images/962471262747529216/Uo8lOkRJ_normal.jpg","View")</f>
        <v>View</v>
      </c>
      <c r="P11817" s="7"/>
    </row>
    <row r="11818" spans="1:16">
      <c r="A11818" s="3">
        <v>44151.161956018521</v>
      </c>
      <c r="B11818" s="4" t="str">
        <f>HYPERLINK("https://twitter.com/petrogustavo","@petrogustavo")</f>
        <v>@petrogustavo</v>
      </c>
      <c r="C11818" s="5" t="s">
        <v>16</v>
      </c>
      <c r="D11818" s="5" t="s">
        <v>11378</v>
      </c>
      <c r="E11818" s="6" t="str">
        <f>HYPERLINK("https://twitter.com/petrogustavo/status/1328101275477667841","1328101275477667841")</f>
        <v>1328101275477667841</v>
      </c>
      <c r="F11818" s="7" t="s">
        <v>17</v>
      </c>
      <c r="G11818" s="7">
        <v>4007693</v>
      </c>
      <c r="H11818" s="7">
        <v>2458</v>
      </c>
      <c r="I11818" s="7">
        <v>72</v>
      </c>
      <c r="J11818" s="7">
        <v>525</v>
      </c>
      <c r="K11818" s="7" t="s">
        <v>18</v>
      </c>
      <c r="L11818" s="8">
        <v>39987.315405092595</v>
      </c>
      <c r="M11818" s="9" t="s">
        <v>19</v>
      </c>
      <c r="N11818" s="9" t="s">
        <v>20</v>
      </c>
      <c r="O11818" s="6" t="str">
        <f>HYPERLINK("https://pbs.twimg.com/profile_images/962471262747529216/Uo8lOkRJ_normal.jpg","View")</f>
        <v>View</v>
      </c>
      <c r="P11818" s="7"/>
    </row>
    <row r="11819" spans="1:16">
      <c r="A11819" s="3">
        <v>44151.169675925921</v>
      </c>
      <c r="B11819" s="4" t="str">
        <f>HYPERLINK("https://twitter.com/petrogustavo","@petrogustavo")</f>
        <v>@petrogustavo</v>
      </c>
      <c r="C11819" s="5" t="s">
        <v>16</v>
      </c>
      <c r="D11819" s="5" t="s">
        <v>11379</v>
      </c>
      <c r="E11819" s="6" t="str">
        <f>HYPERLINK("https://twitter.com/petrogustavo/status/1328104070377332736","1328104070377332736")</f>
        <v>1328104070377332736</v>
      </c>
      <c r="F11819" s="7" t="s">
        <v>17</v>
      </c>
      <c r="G11819" s="7">
        <v>4007693</v>
      </c>
      <c r="H11819" s="7">
        <v>2458</v>
      </c>
      <c r="I11819" s="7">
        <v>25</v>
      </c>
      <c r="J11819" s="7">
        <v>65</v>
      </c>
      <c r="K11819" s="7" t="s">
        <v>18</v>
      </c>
      <c r="L11819" s="8">
        <v>39987.315405092595</v>
      </c>
      <c r="M11819" s="9" t="s">
        <v>19</v>
      </c>
      <c r="N11819" s="9" t="s">
        <v>20</v>
      </c>
      <c r="O11819" s="6" t="str">
        <f>HYPERLINK("https://pbs.twimg.com/profile_images/962471262747529216/Uo8lOkRJ_normal.jpg","View")</f>
        <v>View</v>
      </c>
      <c r="P11819" s="7"/>
    </row>
    <row r="11820" spans="1:16">
      <c r="A11820" s="3">
        <v>44151.180706018524</v>
      </c>
      <c r="B11820" s="4" t="str">
        <f>HYPERLINK("https://twitter.com/petrogustavo","@petrogustavo")</f>
        <v>@petrogustavo</v>
      </c>
      <c r="C11820" s="5" t="s">
        <v>16</v>
      </c>
      <c r="D11820" s="5" t="s">
        <v>11380</v>
      </c>
      <c r="E11820" s="6" t="str">
        <f>HYPERLINK("https://twitter.com/petrogustavo/status/1328108071034490887","1328108071034490887")</f>
        <v>1328108071034490887</v>
      </c>
      <c r="F11820" s="7" t="s">
        <v>17</v>
      </c>
      <c r="G11820" s="7">
        <v>4007706</v>
      </c>
      <c r="H11820" s="7">
        <v>2458</v>
      </c>
      <c r="I11820" s="7">
        <v>19</v>
      </c>
      <c r="J11820" s="7">
        <v>80</v>
      </c>
      <c r="K11820" s="7" t="s">
        <v>18</v>
      </c>
      <c r="L11820" s="8">
        <v>39987.315405092595</v>
      </c>
      <c r="M11820" s="9" t="s">
        <v>19</v>
      </c>
      <c r="N11820" s="9" t="s">
        <v>20</v>
      </c>
      <c r="O11820" s="6" t="str">
        <f>HYPERLINK("https://pbs.twimg.com/profile_images/962471262747529216/Uo8lOkRJ_normal.jpg","View")</f>
        <v>View</v>
      </c>
      <c r="P11820" s="7"/>
    </row>
    <row r="11821" spans="1:16">
      <c r="A11821" s="3">
        <v>44151.184108796297</v>
      </c>
      <c r="B11821" s="4" t="str">
        <f>HYPERLINK("https://twitter.com/petrogustavo","@petrogustavo")</f>
        <v>@petrogustavo</v>
      </c>
      <c r="C11821" s="5" t="s">
        <v>16</v>
      </c>
      <c r="D11821" s="5" t="s">
        <v>11381</v>
      </c>
      <c r="E11821" s="6" t="str">
        <f>HYPERLINK("https://twitter.com/petrogustavo/status/1328109302406647810","1328109302406647810")</f>
        <v>1328109302406647810</v>
      </c>
      <c r="F11821" s="7" t="s">
        <v>17</v>
      </c>
      <c r="G11821" s="7">
        <v>4007706</v>
      </c>
      <c r="H11821" s="7">
        <v>2458</v>
      </c>
      <c r="I11821" s="7">
        <v>250</v>
      </c>
      <c r="J11821" s="7">
        <v>0</v>
      </c>
      <c r="K11821" s="7" t="s">
        <v>18</v>
      </c>
      <c r="L11821" s="8">
        <v>39987.315405092595</v>
      </c>
      <c r="M11821" s="9" t="s">
        <v>19</v>
      </c>
      <c r="N11821" s="9" t="s">
        <v>20</v>
      </c>
      <c r="O11821" s="6" t="str">
        <f>HYPERLINK("https://pbs.twimg.com/profile_images/962471262747529216/Uo8lOkRJ_normal.jpg","View")</f>
        <v>View</v>
      </c>
      <c r="P11821" s="7"/>
    </row>
    <row r="11822" spans="1:16">
      <c r="A11822" s="3">
        <v>44151.232557870375</v>
      </c>
      <c r="B11822" s="4" t="str">
        <f>HYPERLINK("https://twitter.com/petrogustavo","@petrogustavo")</f>
        <v>@petrogustavo</v>
      </c>
      <c r="C11822" s="5" t="s">
        <v>16</v>
      </c>
      <c r="D11822" s="5" t="s">
        <v>11382</v>
      </c>
      <c r="E11822" s="6" t="str">
        <f>HYPERLINK("https://twitter.com/petrogustavo/status/1328126861340073984","1328126861340073984")</f>
        <v>1328126861340073984</v>
      </c>
      <c r="F11822" s="7" t="s">
        <v>22</v>
      </c>
      <c r="G11822" s="7">
        <v>4007735</v>
      </c>
      <c r="H11822" s="7">
        <v>2458</v>
      </c>
      <c r="I11822" s="7">
        <v>52</v>
      </c>
      <c r="J11822" s="7">
        <v>116</v>
      </c>
      <c r="K11822" s="7" t="s">
        <v>18</v>
      </c>
      <c r="L11822" s="8">
        <v>39987.315405092595</v>
      </c>
      <c r="M11822" s="9" t="s">
        <v>19</v>
      </c>
      <c r="N11822" s="9" t="s">
        <v>20</v>
      </c>
      <c r="O11822" s="6" t="str">
        <f>HYPERLINK("https://pbs.twimg.com/profile_images/962471262747529216/Uo8lOkRJ_normal.jpg","View")</f>
        <v>View</v>
      </c>
      <c r="P11822" s="7"/>
    </row>
    <row r="11823" spans="1:16">
      <c r="A11823" s="3">
        <v>44151.337870370371</v>
      </c>
      <c r="B11823" s="4" t="str">
        <f>HYPERLINK("https://twitter.com/petrogustavo","@petrogustavo")</f>
        <v>@petrogustavo</v>
      </c>
      <c r="C11823" s="5" t="s">
        <v>16</v>
      </c>
      <c r="D11823" s="5" t="s">
        <v>11383</v>
      </c>
      <c r="E11823" s="6" t="str">
        <f>HYPERLINK("https://twitter.com/petrogustavo/status/1328165023714332673","1328165023714332673")</f>
        <v>1328165023714332673</v>
      </c>
      <c r="F11823" s="7" t="s">
        <v>32</v>
      </c>
      <c r="G11823" s="7">
        <v>4007791</v>
      </c>
      <c r="H11823" s="7">
        <v>2459</v>
      </c>
      <c r="I11823" s="7">
        <v>101</v>
      </c>
      <c r="J11823" s="7">
        <v>487</v>
      </c>
      <c r="K11823" s="7" t="s">
        <v>18</v>
      </c>
      <c r="L11823" s="8">
        <v>39987.315405092595</v>
      </c>
      <c r="M11823" s="9" t="s">
        <v>19</v>
      </c>
      <c r="N11823" s="9" t="s">
        <v>20</v>
      </c>
      <c r="O11823" s="6" t="str">
        <f>HYPERLINK("https://pbs.twimg.com/profile_images/962471262747529216/Uo8lOkRJ_normal.jpg","View")</f>
        <v>View</v>
      </c>
      <c r="P11823" s="7"/>
    </row>
    <row r="11824" spans="1:16">
      <c r="A11824" s="3">
        <v>44151.357349537036</v>
      </c>
      <c r="B11824" s="4" t="str">
        <f>HYPERLINK("https://twitter.com/petrogustavo","@petrogustavo")</f>
        <v>@petrogustavo</v>
      </c>
      <c r="C11824" s="5" t="s">
        <v>16</v>
      </c>
      <c r="D11824" s="5" t="s">
        <v>11384</v>
      </c>
      <c r="E11824" s="6" t="str">
        <f>HYPERLINK("https://twitter.com/petrogustavo/status/1328172084690898951","1328172084690898951")</f>
        <v>1328172084690898951</v>
      </c>
      <c r="F11824" s="7" t="s">
        <v>32</v>
      </c>
      <c r="G11824" s="7">
        <v>4007802</v>
      </c>
      <c r="H11824" s="7">
        <v>2459</v>
      </c>
      <c r="I11824" s="7">
        <v>105</v>
      </c>
      <c r="J11824" s="7">
        <v>145</v>
      </c>
      <c r="K11824" s="7" t="s">
        <v>18</v>
      </c>
      <c r="L11824" s="8">
        <v>39987.315405092595</v>
      </c>
      <c r="M11824" s="9" t="s">
        <v>19</v>
      </c>
      <c r="N11824" s="9" t="s">
        <v>20</v>
      </c>
      <c r="O11824" s="6" t="str">
        <f>HYPERLINK("https://pbs.twimg.com/profile_images/962471262747529216/Uo8lOkRJ_normal.jpg","View")</f>
        <v>View</v>
      </c>
      <c r="P11824" s="7"/>
    </row>
    <row r="11825" spans="1:16">
      <c r="A11825" s="3">
        <v>44151.717523148152</v>
      </c>
      <c r="B11825" s="4" t="str">
        <f>HYPERLINK("https://twitter.com/petrogustavo","@petrogustavo")</f>
        <v>@petrogustavo</v>
      </c>
      <c r="C11825" s="5" t="s">
        <v>16</v>
      </c>
      <c r="D11825" s="5" t="s">
        <v>11385</v>
      </c>
      <c r="E11825" s="6" t="str">
        <f>HYPERLINK("https://twitter.com/petrogustavo/status/1328302607610339329","1328302607610339329")</f>
        <v>1328302607610339329</v>
      </c>
      <c r="F11825" s="7" t="s">
        <v>17</v>
      </c>
      <c r="G11825" s="7">
        <v>4007768</v>
      </c>
      <c r="H11825" s="7">
        <v>2459</v>
      </c>
      <c r="I11825" s="7">
        <v>11</v>
      </c>
      <c r="J11825" s="7">
        <v>0</v>
      </c>
      <c r="K11825" s="7" t="s">
        <v>18</v>
      </c>
      <c r="L11825" s="8">
        <v>39987.315405092595</v>
      </c>
      <c r="M11825" s="9" t="s">
        <v>19</v>
      </c>
      <c r="N11825" s="9" t="s">
        <v>20</v>
      </c>
      <c r="O11825" s="6" t="str">
        <f>HYPERLINK("https://pbs.twimg.com/profile_images/962471262747529216/Uo8lOkRJ_normal.jpg","View")</f>
        <v>View</v>
      </c>
      <c r="P11825" s="7"/>
    </row>
    <row r="11826" spans="1:16">
      <c r="A11826" s="3">
        <v>44151.718622685185</v>
      </c>
      <c r="B11826" s="4" t="str">
        <f>HYPERLINK("https://twitter.com/petrogustavo","@petrogustavo")</f>
        <v>@petrogustavo</v>
      </c>
      <c r="C11826" s="5" t="s">
        <v>16</v>
      </c>
      <c r="D11826" s="5" t="s">
        <v>11386</v>
      </c>
      <c r="E11826" s="6" t="str">
        <f>HYPERLINK("https://twitter.com/petrogustavo/status/1328303002831216641","1328303002831216641")</f>
        <v>1328303002831216641</v>
      </c>
      <c r="F11826" s="7" t="s">
        <v>17</v>
      </c>
      <c r="G11826" s="7">
        <v>4007768</v>
      </c>
      <c r="H11826" s="7">
        <v>2459</v>
      </c>
      <c r="I11826" s="7">
        <v>19</v>
      </c>
      <c r="J11826" s="7">
        <v>0</v>
      </c>
      <c r="K11826" s="7" t="s">
        <v>18</v>
      </c>
      <c r="L11826" s="8">
        <v>39987.315405092595</v>
      </c>
      <c r="M11826" s="9" t="s">
        <v>19</v>
      </c>
      <c r="N11826" s="9" t="s">
        <v>20</v>
      </c>
      <c r="O11826" s="6" t="str">
        <f>HYPERLINK("https://pbs.twimg.com/profile_images/962471262747529216/Uo8lOkRJ_normal.jpg","View")</f>
        <v>View</v>
      </c>
      <c r="P11826" s="7"/>
    </row>
    <row r="11827" spans="1:16">
      <c r="A11827" s="3">
        <v>44151.723090277781</v>
      </c>
      <c r="B11827" s="4" t="str">
        <f>HYPERLINK("https://twitter.com/petrogustavo","@petrogustavo")</f>
        <v>@petrogustavo</v>
      </c>
      <c r="C11827" s="5" t="s">
        <v>16</v>
      </c>
      <c r="D11827" s="5" t="s">
        <v>11387</v>
      </c>
      <c r="E11827" s="6" t="str">
        <f>HYPERLINK("https://twitter.com/petrogustavo/status/1328304624391041029","1328304624391041029")</f>
        <v>1328304624391041029</v>
      </c>
      <c r="F11827" s="7" t="s">
        <v>17</v>
      </c>
      <c r="G11827" s="7">
        <v>4007775</v>
      </c>
      <c r="H11827" s="7">
        <v>2459</v>
      </c>
      <c r="I11827" s="7">
        <v>175</v>
      </c>
      <c r="J11827" s="7">
        <v>342</v>
      </c>
      <c r="K11827" s="7" t="s">
        <v>18</v>
      </c>
      <c r="L11827" s="8">
        <v>39987.315405092595</v>
      </c>
      <c r="M11827" s="9" t="s">
        <v>19</v>
      </c>
      <c r="N11827" s="9" t="s">
        <v>20</v>
      </c>
      <c r="O11827" s="6" t="str">
        <f>HYPERLINK("https://pbs.twimg.com/profile_images/962471262747529216/Uo8lOkRJ_normal.jpg","View")</f>
        <v>View</v>
      </c>
      <c r="P11827" s="7"/>
    </row>
    <row r="11828" spans="1:16">
      <c r="A11828" s="3">
        <v>44151.727800925924</v>
      </c>
      <c r="B11828" s="4" t="str">
        <f>HYPERLINK("https://twitter.com/petrogustavo","@petrogustavo")</f>
        <v>@petrogustavo</v>
      </c>
      <c r="C11828" s="5" t="s">
        <v>16</v>
      </c>
      <c r="D11828" s="5" t="s">
        <v>11388</v>
      </c>
      <c r="E11828" s="6" t="str">
        <f>HYPERLINK("https://twitter.com/petrogustavo/status/1328306330721988608","1328306330721988608")</f>
        <v>1328306330721988608</v>
      </c>
      <c r="F11828" s="7" t="s">
        <v>17</v>
      </c>
      <c r="G11828" s="7">
        <v>4007775</v>
      </c>
      <c r="H11828" s="7">
        <v>2459</v>
      </c>
      <c r="I11828" s="7">
        <v>831</v>
      </c>
      <c r="J11828" s="7">
        <v>0</v>
      </c>
      <c r="K11828" s="7" t="s">
        <v>18</v>
      </c>
      <c r="L11828" s="8">
        <v>39987.315405092595</v>
      </c>
      <c r="M11828" s="9" t="s">
        <v>19</v>
      </c>
      <c r="N11828" s="9" t="s">
        <v>20</v>
      </c>
      <c r="O11828" s="6" t="str">
        <f>HYPERLINK("https://pbs.twimg.com/profile_images/962471262747529216/Uo8lOkRJ_normal.jpg","View")</f>
        <v>View</v>
      </c>
      <c r="P11828" s="7"/>
    </row>
    <row r="11829" spans="1:16">
      <c r="A11829" s="3">
        <v>44151.72928240741</v>
      </c>
      <c r="B11829" s="4" t="str">
        <f>HYPERLINK("https://twitter.com/petrogustavo","@petrogustavo")</f>
        <v>@petrogustavo</v>
      </c>
      <c r="C11829" s="5" t="s">
        <v>16</v>
      </c>
      <c r="D11829" s="5" t="s">
        <v>11389</v>
      </c>
      <c r="E11829" s="6" t="str">
        <f>HYPERLINK("https://twitter.com/petrogustavo/status/1328306867454488581","1328306867454488581")</f>
        <v>1328306867454488581</v>
      </c>
      <c r="F11829" s="7" t="s">
        <v>17</v>
      </c>
      <c r="G11829" s="7">
        <v>4007775</v>
      </c>
      <c r="H11829" s="7">
        <v>2459</v>
      </c>
      <c r="I11829" s="7">
        <v>78</v>
      </c>
      <c r="J11829" s="7">
        <v>239</v>
      </c>
      <c r="K11829" s="7" t="s">
        <v>18</v>
      </c>
      <c r="L11829" s="8">
        <v>39987.315405092595</v>
      </c>
      <c r="M11829" s="9" t="s">
        <v>19</v>
      </c>
      <c r="N11829" s="9" t="s">
        <v>20</v>
      </c>
      <c r="O11829" s="6" t="str">
        <f>HYPERLINK("https://pbs.twimg.com/profile_images/962471262747529216/Uo8lOkRJ_normal.jpg","View")</f>
        <v>View</v>
      </c>
      <c r="P11829" s="7"/>
    </row>
    <row r="11830" spans="1:16">
      <c r="A11830" s="3">
        <v>44151.74181712963</v>
      </c>
      <c r="B11830" s="4" t="str">
        <f>HYPERLINK("https://twitter.com/petrogustavo","@petrogustavo")</f>
        <v>@petrogustavo</v>
      </c>
      <c r="C11830" s="5" t="s">
        <v>16</v>
      </c>
      <c r="D11830" s="5" t="s">
        <v>11390</v>
      </c>
      <c r="E11830" s="6" t="str">
        <f>HYPERLINK("https://twitter.com/petrogustavo/status/1328311409126600704","1328311409126600704")</f>
        <v>1328311409126600704</v>
      </c>
      <c r="F11830" s="7" t="s">
        <v>17</v>
      </c>
      <c r="G11830" s="7">
        <v>4007775</v>
      </c>
      <c r="H11830" s="7">
        <v>2459</v>
      </c>
      <c r="I11830" s="7">
        <v>5</v>
      </c>
      <c r="J11830" s="7">
        <v>6</v>
      </c>
      <c r="K11830" s="7" t="s">
        <v>18</v>
      </c>
      <c r="L11830" s="8">
        <v>39987.315405092595</v>
      </c>
      <c r="M11830" s="9" t="s">
        <v>19</v>
      </c>
      <c r="N11830" s="9" t="s">
        <v>20</v>
      </c>
      <c r="O11830" s="6" t="str">
        <f>HYPERLINK("https://pbs.twimg.com/profile_images/962471262747529216/Uo8lOkRJ_normal.jpg","View")</f>
        <v>View</v>
      </c>
      <c r="P11830" s="7"/>
    </row>
    <row r="11831" spans="1:16">
      <c r="A11831" s="3">
        <v>44151.751932870371</v>
      </c>
      <c r="B11831" s="4" t="str">
        <f>HYPERLINK("https://twitter.com/petrogustavo","@petrogustavo")</f>
        <v>@petrogustavo</v>
      </c>
      <c r="C11831" s="5" t="s">
        <v>16</v>
      </c>
      <c r="D11831" s="5" t="s">
        <v>11391</v>
      </c>
      <c r="E11831" s="6" t="str">
        <f>HYPERLINK("https://twitter.com/petrogustavo/status/1328315075334180865","1328315075334180865")</f>
        <v>1328315075334180865</v>
      </c>
      <c r="F11831" s="7" t="s">
        <v>17</v>
      </c>
      <c r="G11831" s="7">
        <v>4007789</v>
      </c>
      <c r="H11831" s="7">
        <v>2459</v>
      </c>
      <c r="I11831" s="7">
        <v>98</v>
      </c>
      <c r="J11831" s="7">
        <v>0</v>
      </c>
      <c r="K11831" s="7" t="s">
        <v>18</v>
      </c>
      <c r="L11831" s="8">
        <v>39987.315405092595</v>
      </c>
      <c r="M11831" s="9" t="s">
        <v>19</v>
      </c>
      <c r="N11831" s="9" t="s">
        <v>20</v>
      </c>
      <c r="O11831" s="6" t="str">
        <f>HYPERLINK("https://pbs.twimg.com/profile_images/962471262747529216/Uo8lOkRJ_normal.jpg","View")</f>
        <v>View</v>
      </c>
      <c r="P11831" s="7"/>
    </row>
    <row r="11832" spans="1:16">
      <c r="A11832" s="3">
        <v>44151.761099537034</v>
      </c>
      <c r="B11832" s="4" t="str">
        <f>HYPERLINK("https://twitter.com/petrogustavo","@petrogustavo")</f>
        <v>@petrogustavo</v>
      </c>
      <c r="C11832" s="5" t="s">
        <v>16</v>
      </c>
      <c r="D11832" s="5" t="s">
        <v>11392</v>
      </c>
      <c r="E11832" s="6" t="str">
        <f>HYPERLINK("https://twitter.com/petrogustavo/status/1328318399013937153","1328318399013937153")</f>
        <v>1328318399013937153</v>
      </c>
      <c r="F11832" s="7" t="s">
        <v>17</v>
      </c>
      <c r="G11832" s="7">
        <v>4007789</v>
      </c>
      <c r="H11832" s="7">
        <v>2459</v>
      </c>
      <c r="I11832" s="7">
        <v>15</v>
      </c>
      <c r="J11832" s="7">
        <v>0</v>
      </c>
      <c r="K11832" s="7" t="s">
        <v>18</v>
      </c>
      <c r="L11832" s="8">
        <v>39987.315405092595</v>
      </c>
      <c r="M11832" s="9" t="s">
        <v>19</v>
      </c>
      <c r="N11832" s="9" t="s">
        <v>20</v>
      </c>
      <c r="O11832" s="6" t="str">
        <f>HYPERLINK("https://pbs.twimg.com/profile_images/962471262747529216/Uo8lOkRJ_normal.jpg","View")</f>
        <v>View</v>
      </c>
      <c r="P11832" s="7"/>
    </row>
    <row r="11833" spans="1:16">
      <c r="A11833" s="3">
        <v>44151.768645833334</v>
      </c>
      <c r="B11833" s="4" t="str">
        <f>HYPERLINK("https://twitter.com/petrogustavo","@petrogustavo")</f>
        <v>@petrogustavo</v>
      </c>
      <c r="C11833" s="5" t="s">
        <v>16</v>
      </c>
      <c r="D11833" s="5" t="s">
        <v>11393</v>
      </c>
      <c r="E11833" s="6" t="str">
        <f>HYPERLINK("https://twitter.com/petrogustavo/status/1328321133419094016","1328321133419094016")</f>
        <v>1328321133419094016</v>
      </c>
      <c r="F11833" s="7" t="s">
        <v>17</v>
      </c>
      <c r="G11833" s="7">
        <v>4007800</v>
      </c>
      <c r="H11833" s="7">
        <v>2459</v>
      </c>
      <c r="I11833" s="7">
        <v>57</v>
      </c>
      <c r="J11833" s="7">
        <v>225</v>
      </c>
      <c r="K11833" s="7" t="s">
        <v>18</v>
      </c>
      <c r="L11833" s="8">
        <v>39987.315405092595</v>
      </c>
      <c r="M11833" s="9" t="s">
        <v>19</v>
      </c>
      <c r="N11833" s="9" t="s">
        <v>20</v>
      </c>
      <c r="O11833" s="6" t="str">
        <f>HYPERLINK("https://pbs.twimg.com/profile_images/962471262747529216/Uo8lOkRJ_normal.jpg","View")</f>
        <v>View</v>
      </c>
      <c r="P11833" s="7"/>
    </row>
    <row r="11834" spans="1:16">
      <c r="A11834" s="3">
        <v>44151.77820601852</v>
      </c>
      <c r="B11834" s="4" t="str">
        <f>HYPERLINK("https://twitter.com/petrogustavo","@petrogustavo")</f>
        <v>@petrogustavo</v>
      </c>
      <c r="C11834" s="5" t="s">
        <v>16</v>
      </c>
      <c r="D11834" s="5" t="s">
        <v>11394</v>
      </c>
      <c r="E11834" s="6" t="str">
        <f>HYPERLINK("https://twitter.com/petrogustavo/status/1328324595280191488","1328324595280191488")</f>
        <v>1328324595280191488</v>
      </c>
      <c r="F11834" s="7" t="s">
        <v>17</v>
      </c>
      <c r="G11834" s="7">
        <v>4007800</v>
      </c>
      <c r="H11834" s="7">
        <v>2459</v>
      </c>
      <c r="I11834" s="7">
        <v>37</v>
      </c>
      <c r="J11834" s="7">
        <v>106</v>
      </c>
      <c r="K11834" s="7" t="s">
        <v>18</v>
      </c>
      <c r="L11834" s="8">
        <v>39987.315405092595</v>
      </c>
      <c r="M11834" s="9" t="s">
        <v>19</v>
      </c>
      <c r="N11834" s="9" t="s">
        <v>20</v>
      </c>
      <c r="O11834" s="6" t="str">
        <f>HYPERLINK("https://pbs.twimg.com/profile_images/962471262747529216/Uo8lOkRJ_normal.jpg","View")</f>
        <v>View</v>
      </c>
      <c r="P11834" s="7"/>
    </row>
    <row r="11835" spans="1:16">
      <c r="A11835" s="3">
        <v>44151.779664351852</v>
      </c>
      <c r="B11835" s="4" t="str">
        <f>HYPERLINK("https://twitter.com/petrogustavo","@petrogustavo")</f>
        <v>@petrogustavo</v>
      </c>
      <c r="C11835" s="5" t="s">
        <v>16</v>
      </c>
      <c r="D11835" s="5" t="s">
        <v>11395</v>
      </c>
      <c r="E11835" s="6" t="str">
        <f>HYPERLINK("https://twitter.com/petrogustavo/status/1328325126270676992","1328325126270676992")</f>
        <v>1328325126270676992</v>
      </c>
      <c r="F11835" s="7" t="s">
        <v>17</v>
      </c>
      <c r="G11835" s="7">
        <v>4007800</v>
      </c>
      <c r="H11835" s="7">
        <v>2459</v>
      </c>
      <c r="I11835" s="7">
        <v>11</v>
      </c>
      <c r="J11835" s="7">
        <v>67</v>
      </c>
      <c r="K11835" s="7" t="s">
        <v>18</v>
      </c>
      <c r="L11835" s="8">
        <v>39987.315405092595</v>
      </c>
      <c r="M11835" s="9" t="s">
        <v>19</v>
      </c>
      <c r="N11835" s="9" t="s">
        <v>20</v>
      </c>
      <c r="O11835" s="6" t="str">
        <f>HYPERLINK("https://pbs.twimg.com/profile_images/962471262747529216/Uo8lOkRJ_normal.jpg","View")</f>
        <v>View</v>
      </c>
      <c r="P11835" s="7"/>
    </row>
    <row r="11836" spans="1:16">
      <c r="A11836" s="3">
        <v>44151.781168981484</v>
      </c>
      <c r="B11836" s="4" t="str">
        <f>HYPERLINK("https://twitter.com/petrogustavo","@petrogustavo")</f>
        <v>@petrogustavo</v>
      </c>
      <c r="C11836" s="5" t="s">
        <v>16</v>
      </c>
      <c r="D11836" s="5" t="s">
        <v>11396</v>
      </c>
      <c r="E11836" s="6" t="str">
        <f>HYPERLINK("https://twitter.com/petrogustavo/status/1328325669089124354","1328325669089124354")</f>
        <v>1328325669089124354</v>
      </c>
      <c r="F11836" s="7" t="s">
        <v>17</v>
      </c>
      <c r="G11836" s="7">
        <v>4007800</v>
      </c>
      <c r="H11836" s="7">
        <v>2459</v>
      </c>
      <c r="I11836" s="7">
        <v>5</v>
      </c>
      <c r="J11836" s="7">
        <v>24</v>
      </c>
      <c r="K11836" s="7" t="s">
        <v>18</v>
      </c>
      <c r="L11836" s="8">
        <v>39987.315405092595</v>
      </c>
      <c r="M11836" s="9" t="s">
        <v>19</v>
      </c>
      <c r="N11836" s="9" t="s">
        <v>20</v>
      </c>
      <c r="O11836" s="6" t="str">
        <f>HYPERLINK("https://pbs.twimg.com/profile_images/962471262747529216/Uo8lOkRJ_normal.jpg","View")</f>
        <v>View</v>
      </c>
      <c r="P11836" s="7"/>
    </row>
    <row r="11837" spans="1:16">
      <c r="A11837" s="3">
        <v>44151.784710648149</v>
      </c>
      <c r="B11837" s="4" t="str">
        <f>HYPERLINK("https://twitter.com/petrogustavo","@petrogustavo")</f>
        <v>@petrogustavo</v>
      </c>
      <c r="C11837" s="5" t="s">
        <v>16</v>
      </c>
      <c r="D11837" s="5" t="s">
        <v>11397</v>
      </c>
      <c r="E11837" s="6" t="str">
        <f>HYPERLINK("https://twitter.com/petrogustavo/status/1328326954567798784","1328326954567798784")</f>
        <v>1328326954567798784</v>
      </c>
      <c r="F11837" s="7" t="s">
        <v>17</v>
      </c>
      <c r="G11837" s="7">
        <v>4007823</v>
      </c>
      <c r="H11837" s="7">
        <v>2459</v>
      </c>
      <c r="I11837" s="7">
        <v>26</v>
      </c>
      <c r="J11837" s="7">
        <v>91</v>
      </c>
      <c r="K11837" s="7" t="s">
        <v>18</v>
      </c>
      <c r="L11837" s="8">
        <v>39987.315405092595</v>
      </c>
      <c r="M11837" s="9" t="s">
        <v>19</v>
      </c>
      <c r="N11837" s="9" t="s">
        <v>20</v>
      </c>
      <c r="O11837" s="6" t="str">
        <f>HYPERLINK("https://pbs.twimg.com/profile_images/962471262747529216/Uo8lOkRJ_normal.jpg","View")</f>
        <v>View</v>
      </c>
      <c r="P11837" s="7"/>
    </row>
    <row r="11838" spans="1:16">
      <c r="A11838" s="3">
        <v>44151.786932870367</v>
      </c>
      <c r="B11838" s="4" t="str">
        <f>HYPERLINK("https://twitter.com/petrogustavo","@petrogustavo")</f>
        <v>@petrogustavo</v>
      </c>
      <c r="C11838" s="5" t="s">
        <v>16</v>
      </c>
      <c r="D11838" s="5" t="s">
        <v>11398</v>
      </c>
      <c r="E11838" s="6" t="str">
        <f>HYPERLINK("https://twitter.com/petrogustavo/status/1328327759576363009","1328327759576363009")</f>
        <v>1328327759576363009</v>
      </c>
      <c r="F11838" s="7" t="s">
        <v>17</v>
      </c>
      <c r="G11838" s="7">
        <v>4007823</v>
      </c>
      <c r="H11838" s="7">
        <v>2459</v>
      </c>
      <c r="I11838" s="7">
        <v>17</v>
      </c>
      <c r="J11838" s="7">
        <v>85</v>
      </c>
      <c r="K11838" s="7" t="s">
        <v>18</v>
      </c>
      <c r="L11838" s="8">
        <v>39987.315405092595</v>
      </c>
      <c r="M11838" s="9" t="s">
        <v>19</v>
      </c>
      <c r="N11838" s="9" t="s">
        <v>20</v>
      </c>
      <c r="O11838" s="6" t="str">
        <f>HYPERLINK("https://pbs.twimg.com/profile_images/962471262747529216/Uo8lOkRJ_normal.jpg","View")</f>
        <v>View</v>
      </c>
      <c r="P11838" s="7"/>
    </row>
    <row r="11839" spans="1:16">
      <c r="A11839" s="3">
        <v>44151.78806712963</v>
      </c>
      <c r="B11839" s="4" t="str">
        <f>HYPERLINK("https://twitter.com/petrogustavo","@petrogustavo")</f>
        <v>@petrogustavo</v>
      </c>
      <c r="C11839" s="5" t="s">
        <v>16</v>
      </c>
      <c r="D11839" s="5" t="s">
        <v>11399</v>
      </c>
      <c r="E11839" s="6" t="str">
        <f>HYPERLINK("https://twitter.com/petrogustavo/status/1328328170479759360","1328328170479759360")</f>
        <v>1328328170479759360</v>
      </c>
      <c r="F11839" s="7" t="s">
        <v>17</v>
      </c>
      <c r="G11839" s="7">
        <v>4007823</v>
      </c>
      <c r="H11839" s="7">
        <v>2459</v>
      </c>
      <c r="I11839" s="7">
        <v>22</v>
      </c>
      <c r="J11839" s="7">
        <v>140</v>
      </c>
      <c r="K11839" s="7" t="s">
        <v>18</v>
      </c>
      <c r="L11839" s="8">
        <v>39987.315405092595</v>
      </c>
      <c r="M11839" s="9" t="s">
        <v>19</v>
      </c>
      <c r="N11839" s="9" t="s">
        <v>20</v>
      </c>
      <c r="O11839" s="6" t="str">
        <f>HYPERLINK("https://pbs.twimg.com/profile_images/962471262747529216/Uo8lOkRJ_normal.jpg","View")</f>
        <v>View</v>
      </c>
      <c r="P11839" s="7"/>
    </row>
    <row r="11840" spans="1:16">
      <c r="A11840" s="3">
        <v>44151.790578703702</v>
      </c>
      <c r="B11840" s="4" t="str">
        <f>HYPERLINK("https://twitter.com/petrogustavo","@petrogustavo")</f>
        <v>@petrogustavo</v>
      </c>
      <c r="C11840" s="5" t="s">
        <v>16</v>
      </c>
      <c r="D11840" s="5" t="s">
        <v>11400</v>
      </c>
      <c r="E11840" s="6" t="str">
        <f>HYPERLINK("https://twitter.com/petrogustavo/status/1328329081625178115","1328329081625178115")</f>
        <v>1328329081625178115</v>
      </c>
      <c r="F11840" s="7" t="s">
        <v>17</v>
      </c>
      <c r="G11840" s="7">
        <v>4007823</v>
      </c>
      <c r="H11840" s="7">
        <v>2459</v>
      </c>
      <c r="I11840" s="7">
        <v>17</v>
      </c>
      <c r="J11840" s="7">
        <v>103</v>
      </c>
      <c r="K11840" s="7" t="s">
        <v>18</v>
      </c>
      <c r="L11840" s="8">
        <v>39987.315405092595</v>
      </c>
      <c r="M11840" s="9" t="s">
        <v>19</v>
      </c>
      <c r="N11840" s="9" t="s">
        <v>20</v>
      </c>
      <c r="O11840" s="6" t="str">
        <f>HYPERLINK("https://pbs.twimg.com/profile_images/962471262747529216/Uo8lOkRJ_normal.jpg","View")</f>
        <v>View</v>
      </c>
      <c r="P11840" s="7"/>
    </row>
    <row r="11841" spans="1:16">
      <c r="A11841" s="3">
        <v>44151.811458333337</v>
      </c>
      <c r="B11841" s="4" t="str">
        <f>HYPERLINK("https://twitter.com/petrogustavo","@petrogustavo")</f>
        <v>@petrogustavo</v>
      </c>
      <c r="C11841" s="5" t="s">
        <v>16</v>
      </c>
      <c r="D11841" s="5" t="s">
        <v>11401</v>
      </c>
      <c r="E11841" s="6" t="str">
        <f>HYPERLINK("https://twitter.com/petrogustavo/status/1328336645305856000","1328336645305856000")</f>
        <v>1328336645305856000</v>
      </c>
      <c r="F11841" s="7" t="s">
        <v>17</v>
      </c>
      <c r="G11841" s="7">
        <v>4007835</v>
      </c>
      <c r="H11841" s="7">
        <v>2460</v>
      </c>
      <c r="I11841" s="7">
        <v>13</v>
      </c>
      <c r="J11841" s="7">
        <v>64</v>
      </c>
      <c r="K11841" s="7" t="s">
        <v>18</v>
      </c>
      <c r="L11841" s="8">
        <v>39987.315405092595</v>
      </c>
      <c r="M11841" s="9" t="s">
        <v>19</v>
      </c>
      <c r="N11841" s="9" t="s">
        <v>20</v>
      </c>
      <c r="O11841" s="6" t="str">
        <f>HYPERLINK("https://pbs.twimg.com/profile_images/962471262747529216/Uo8lOkRJ_normal.jpg","View")</f>
        <v>View</v>
      </c>
      <c r="P11841" s="7"/>
    </row>
    <row r="11842" spans="1:16">
      <c r="A11842" s="3">
        <v>44151.812708333338</v>
      </c>
      <c r="B11842" s="4" t="str">
        <f>HYPERLINK("https://twitter.com/petrogustavo","@petrogustavo")</f>
        <v>@petrogustavo</v>
      </c>
      <c r="C11842" s="5" t="s">
        <v>16</v>
      </c>
      <c r="D11842" s="5" t="s">
        <v>11402</v>
      </c>
      <c r="E11842" s="6" t="str">
        <f>HYPERLINK("https://twitter.com/petrogustavo/status/1328337097468628997","1328337097468628997")</f>
        <v>1328337097468628997</v>
      </c>
      <c r="F11842" s="7" t="s">
        <v>17</v>
      </c>
      <c r="G11842" s="7">
        <v>4007835</v>
      </c>
      <c r="H11842" s="7">
        <v>2460</v>
      </c>
      <c r="I11842" s="7">
        <v>15</v>
      </c>
      <c r="J11842" s="7">
        <v>75</v>
      </c>
      <c r="K11842" s="7" t="s">
        <v>18</v>
      </c>
      <c r="L11842" s="8">
        <v>39987.315405092595</v>
      </c>
      <c r="M11842" s="9" t="s">
        <v>19</v>
      </c>
      <c r="N11842" s="9" t="s">
        <v>20</v>
      </c>
      <c r="O11842" s="6" t="str">
        <f>HYPERLINK("https://pbs.twimg.com/profile_images/962471262747529216/Uo8lOkRJ_normal.jpg","View")</f>
        <v>View</v>
      </c>
      <c r="P11842" s="7"/>
    </row>
    <row r="11843" spans="1:16">
      <c r="A11843" s="3">
        <v>44151.814143518517</v>
      </c>
      <c r="B11843" s="4" t="str">
        <f>HYPERLINK("https://twitter.com/petrogustavo","@petrogustavo")</f>
        <v>@petrogustavo</v>
      </c>
      <c r="C11843" s="5" t="s">
        <v>16</v>
      </c>
      <c r="D11843" s="5" t="s">
        <v>11403</v>
      </c>
      <c r="E11843" s="6" t="str">
        <f>HYPERLINK("https://twitter.com/petrogustavo/status/1328337619160272896","1328337619160272896")</f>
        <v>1328337619160272896</v>
      </c>
      <c r="F11843" s="7" t="s">
        <v>17</v>
      </c>
      <c r="G11843" s="7">
        <v>4007835</v>
      </c>
      <c r="H11843" s="7">
        <v>2460</v>
      </c>
      <c r="I11843" s="7">
        <v>11</v>
      </c>
      <c r="J11843" s="7">
        <v>59</v>
      </c>
      <c r="K11843" s="7" t="s">
        <v>18</v>
      </c>
      <c r="L11843" s="8">
        <v>39987.315405092595</v>
      </c>
      <c r="M11843" s="9" t="s">
        <v>19</v>
      </c>
      <c r="N11843" s="9" t="s">
        <v>20</v>
      </c>
      <c r="O11843" s="6" t="str">
        <f>HYPERLINK("https://pbs.twimg.com/profile_images/962471262747529216/Uo8lOkRJ_normal.jpg","View")</f>
        <v>View</v>
      </c>
      <c r="P11843" s="7"/>
    </row>
    <row r="11844" spans="1:16">
      <c r="A11844" s="3">
        <v>44151.819756944446</v>
      </c>
      <c r="B11844" s="4" t="str">
        <f>HYPERLINK("https://twitter.com/petrogustavo","@petrogustavo")</f>
        <v>@petrogustavo</v>
      </c>
      <c r="C11844" s="5" t="s">
        <v>16</v>
      </c>
      <c r="D11844" s="5" t="s">
        <v>11404</v>
      </c>
      <c r="E11844" s="6" t="str">
        <f>HYPERLINK("https://twitter.com/petrogustavo/status/1328339653330690050","1328339653330690050")</f>
        <v>1328339653330690050</v>
      </c>
      <c r="F11844" s="7" t="s">
        <v>17</v>
      </c>
      <c r="G11844" s="7">
        <v>4007835</v>
      </c>
      <c r="H11844" s="7">
        <v>2460</v>
      </c>
      <c r="I11844" s="7">
        <v>20</v>
      </c>
      <c r="J11844" s="7">
        <v>66</v>
      </c>
      <c r="K11844" s="7" t="s">
        <v>18</v>
      </c>
      <c r="L11844" s="8">
        <v>39987.315405092595</v>
      </c>
      <c r="M11844" s="9" t="s">
        <v>19</v>
      </c>
      <c r="N11844" s="9" t="s">
        <v>20</v>
      </c>
      <c r="O11844" s="6" t="str">
        <f>HYPERLINK("https://pbs.twimg.com/profile_images/962471262747529216/Uo8lOkRJ_normal.jpg","View")</f>
        <v>View</v>
      </c>
      <c r="P11844" s="7"/>
    </row>
    <row r="11845" spans="1:16">
      <c r="A11845" s="3">
        <v>44151.820451388892</v>
      </c>
      <c r="B11845" s="4" t="str">
        <f>HYPERLINK("https://twitter.com/petrogustavo","@petrogustavo")</f>
        <v>@petrogustavo</v>
      </c>
      <c r="C11845" s="5" t="s">
        <v>16</v>
      </c>
      <c r="D11845" s="5" t="s">
        <v>11405</v>
      </c>
      <c r="E11845" s="6" t="str">
        <f>HYPERLINK("https://twitter.com/petrogustavo/status/1328339907505516545","1328339907505516545")</f>
        <v>1328339907505516545</v>
      </c>
      <c r="F11845" s="7" t="s">
        <v>17</v>
      </c>
      <c r="G11845" s="7">
        <v>4007835</v>
      </c>
      <c r="H11845" s="7">
        <v>2460</v>
      </c>
      <c r="I11845" s="7">
        <v>6</v>
      </c>
      <c r="J11845" s="7">
        <v>0</v>
      </c>
      <c r="K11845" s="7" t="s">
        <v>18</v>
      </c>
      <c r="L11845" s="8">
        <v>39987.315405092595</v>
      </c>
      <c r="M11845" s="9" t="s">
        <v>19</v>
      </c>
      <c r="N11845" s="9" t="s">
        <v>20</v>
      </c>
      <c r="O11845" s="6" t="str">
        <f>HYPERLINK("https://pbs.twimg.com/profile_images/962471262747529216/Uo8lOkRJ_normal.jpg","View")</f>
        <v>View</v>
      </c>
      <c r="P11845" s="7"/>
    </row>
    <row r="11846" spans="1:16">
      <c r="A11846" s="3">
        <v>44151.824548611112</v>
      </c>
      <c r="B11846" s="4" t="str">
        <f>HYPERLINK("https://twitter.com/petrogustavo","@petrogustavo")</f>
        <v>@petrogustavo</v>
      </c>
      <c r="C11846" s="5" t="s">
        <v>16</v>
      </c>
      <c r="D11846" s="5" t="s">
        <v>11406</v>
      </c>
      <c r="E11846" s="6" t="str">
        <f>HYPERLINK("https://twitter.com/petrogustavo/status/1328341390301024256","1328341390301024256")</f>
        <v>1328341390301024256</v>
      </c>
      <c r="F11846" s="7" t="s">
        <v>17</v>
      </c>
      <c r="G11846" s="7">
        <v>4007844</v>
      </c>
      <c r="H11846" s="7">
        <v>2460</v>
      </c>
      <c r="I11846" s="7">
        <v>132</v>
      </c>
      <c r="J11846" s="7">
        <v>593</v>
      </c>
      <c r="K11846" s="7" t="s">
        <v>18</v>
      </c>
      <c r="L11846" s="8">
        <v>39987.315405092595</v>
      </c>
      <c r="M11846" s="9" t="s">
        <v>19</v>
      </c>
      <c r="N11846" s="9" t="s">
        <v>20</v>
      </c>
      <c r="O11846" s="6" t="str">
        <f>HYPERLINK("https://pbs.twimg.com/profile_images/962471262747529216/Uo8lOkRJ_normal.jpg","View")</f>
        <v>View</v>
      </c>
      <c r="P11846" s="7"/>
    </row>
    <row r="11847" spans="1:16">
      <c r="A11847" s="3">
        <v>44151.832372685181</v>
      </c>
      <c r="B11847" s="4" t="str">
        <f>HYPERLINK("https://twitter.com/petrogustavo","@petrogustavo")</f>
        <v>@petrogustavo</v>
      </c>
      <c r="C11847" s="5" t="s">
        <v>16</v>
      </c>
      <c r="D11847" s="5" t="s">
        <v>11407</v>
      </c>
      <c r="E11847" s="6" t="str">
        <f>HYPERLINK("https://twitter.com/petrogustavo/status/1328344226099290113","1328344226099290113")</f>
        <v>1328344226099290113</v>
      </c>
      <c r="F11847" s="7" t="s">
        <v>17</v>
      </c>
      <c r="G11847" s="7">
        <v>4007844</v>
      </c>
      <c r="H11847" s="7">
        <v>2460</v>
      </c>
      <c r="I11847" s="7">
        <v>18</v>
      </c>
      <c r="J11847" s="7">
        <v>105</v>
      </c>
      <c r="K11847" s="7" t="s">
        <v>18</v>
      </c>
      <c r="L11847" s="8">
        <v>39987.315405092595</v>
      </c>
      <c r="M11847" s="9" t="s">
        <v>19</v>
      </c>
      <c r="N11847" s="9" t="s">
        <v>20</v>
      </c>
      <c r="O11847" s="6" t="str">
        <f>HYPERLINK("https://pbs.twimg.com/profile_images/962471262747529216/Uo8lOkRJ_normal.jpg","View")</f>
        <v>View</v>
      </c>
      <c r="P11847" s="7"/>
    </row>
    <row r="11848" spans="1:16">
      <c r="A11848" s="3">
        <v>44151.836087962962</v>
      </c>
      <c r="B11848" s="4" t="str">
        <f>HYPERLINK("https://twitter.com/petrogustavo","@petrogustavo")</f>
        <v>@petrogustavo</v>
      </c>
      <c r="C11848" s="5" t="s">
        <v>16</v>
      </c>
      <c r="D11848" s="5" t="s">
        <v>11408</v>
      </c>
      <c r="E11848" s="6" t="str">
        <f>HYPERLINK("https://twitter.com/petrogustavo/status/1328345571132911616","1328345571132911616")</f>
        <v>1328345571132911616</v>
      </c>
      <c r="F11848" s="7" t="s">
        <v>17</v>
      </c>
      <c r="G11848" s="7">
        <v>4007844</v>
      </c>
      <c r="H11848" s="7">
        <v>2460</v>
      </c>
      <c r="I11848" s="7">
        <v>12</v>
      </c>
      <c r="J11848" s="7">
        <v>73</v>
      </c>
      <c r="K11848" s="7" t="s">
        <v>18</v>
      </c>
      <c r="L11848" s="8">
        <v>39987.315405092595</v>
      </c>
      <c r="M11848" s="9" t="s">
        <v>19</v>
      </c>
      <c r="N11848" s="9" t="s">
        <v>20</v>
      </c>
      <c r="O11848" s="6" t="str">
        <f>HYPERLINK("https://pbs.twimg.com/profile_images/962471262747529216/Uo8lOkRJ_normal.jpg","View")</f>
        <v>View</v>
      </c>
      <c r="P11848" s="7"/>
    </row>
    <row r="11849" spans="1:16">
      <c r="A11849" s="3">
        <v>44151.851967592593</v>
      </c>
      <c r="B11849" s="4" t="str">
        <f>HYPERLINK("https://twitter.com/petrogustavo","@petrogustavo")</f>
        <v>@petrogustavo</v>
      </c>
      <c r="C11849" s="5" t="s">
        <v>16</v>
      </c>
      <c r="D11849" s="5" t="s">
        <v>11409</v>
      </c>
      <c r="E11849" s="6" t="str">
        <f>HYPERLINK("https://twitter.com/petrogustavo/status/1328351324547796994","1328351324547796994")</f>
        <v>1328351324547796994</v>
      </c>
      <c r="F11849" s="7" t="s">
        <v>17</v>
      </c>
      <c r="G11849" s="7">
        <v>4007849</v>
      </c>
      <c r="H11849" s="7">
        <v>2460</v>
      </c>
      <c r="I11849" s="7">
        <v>77</v>
      </c>
      <c r="J11849" s="7">
        <v>0</v>
      </c>
      <c r="K11849" s="7" t="s">
        <v>18</v>
      </c>
      <c r="L11849" s="8">
        <v>39987.315405092595</v>
      </c>
      <c r="M11849" s="9" t="s">
        <v>19</v>
      </c>
      <c r="N11849" s="9" t="s">
        <v>20</v>
      </c>
      <c r="O11849" s="6" t="str">
        <f>HYPERLINK("https://pbs.twimg.com/profile_images/962471262747529216/Uo8lOkRJ_normal.jpg","View")</f>
        <v>View</v>
      </c>
      <c r="P11849" s="7"/>
    </row>
    <row r="11850" spans="1:16">
      <c r="A11850" s="3">
        <v>44151.852013888885</v>
      </c>
      <c r="B11850" s="4" t="str">
        <f>HYPERLINK("https://twitter.com/petrogustavo","@petrogustavo")</f>
        <v>@petrogustavo</v>
      </c>
      <c r="C11850" s="5" t="s">
        <v>16</v>
      </c>
      <c r="D11850" s="5" t="s">
        <v>11410</v>
      </c>
      <c r="E11850" s="6" t="str">
        <f>HYPERLINK("https://twitter.com/petrogustavo/status/1328351343115988992","1328351343115988992")</f>
        <v>1328351343115988992</v>
      </c>
      <c r="F11850" s="7" t="s">
        <v>17</v>
      </c>
      <c r="G11850" s="7">
        <v>4007849</v>
      </c>
      <c r="H11850" s="7">
        <v>2460</v>
      </c>
      <c r="I11850" s="7">
        <v>261</v>
      </c>
      <c r="J11850" s="7">
        <v>0</v>
      </c>
      <c r="K11850" s="7" t="s">
        <v>18</v>
      </c>
      <c r="L11850" s="8">
        <v>39987.315405092595</v>
      </c>
      <c r="M11850" s="9" t="s">
        <v>19</v>
      </c>
      <c r="N11850" s="9" t="s">
        <v>20</v>
      </c>
      <c r="O11850" s="6" t="str">
        <f>HYPERLINK("https://pbs.twimg.com/profile_images/962471262747529216/Uo8lOkRJ_normal.jpg","View")</f>
        <v>View</v>
      </c>
      <c r="P11850" s="7"/>
    </row>
    <row r="11851" spans="1:16">
      <c r="A11851" s="3">
        <v>44151.853333333333</v>
      </c>
      <c r="B11851" s="4" t="str">
        <f>HYPERLINK("https://twitter.com/petrogustavo","@petrogustavo")</f>
        <v>@petrogustavo</v>
      </c>
      <c r="C11851" s="5" t="s">
        <v>16</v>
      </c>
      <c r="D11851" s="5" t="s">
        <v>11411</v>
      </c>
      <c r="E11851" s="6" t="str">
        <f>HYPERLINK("https://twitter.com/petrogustavo/status/1328351821442773003","1328351821442773003")</f>
        <v>1328351821442773003</v>
      </c>
      <c r="F11851" s="7" t="s">
        <v>17</v>
      </c>
      <c r="G11851" s="7">
        <v>4007849</v>
      </c>
      <c r="H11851" s="7">
        <v>2460</v>
      </c>
      <c r="I11851" s="7">
        <v>201</v>
      </c>
      <c r="J11851" s="7">
        <v>717</v>
      </c>
      <c r="K11851" s="7" t="s">
        <v>18</v>
      </c>
      <c r="L11851" s="8">
        <v>39987.315405092595</v>
      </c>
      <c r="M11851" s="9" t="s">
        <v>19</v>
      </c>
      <c r="N11851" s="9" t="s">
        <v>20</v>
      </c>
      <c r="O11851" s="6" t="str">
        <f>HYPERLINK("https://pbs.twimg.com/profile_images/962471262747529216/Uo8lOkRJ_normal.jpg","View")</f>
        <v>View</v>
      </c>
      <c r="P11851" s="7"/>
    </row>
    <row r="11852" spans="1:16">
      <c r="A11852" s="3">
        <v>44151.859143518523</v>
      </c>
      <c r="B11852" s="4" t="str">
        <f>HYPERLINK("https://twitter.com/petrogustavo","@petrogustavo")</f>
        <v>@petrogustavo</v>
      </c>
      <c r="C11852" s="5" t="s">
        <v>16</v>
      </c>
      <c r="D11852" s="5" t="s">
        <v>11412</v>
      </c>
      <c r="E11852" s="6" t="str">
        <f>HYPERLINK("https://twitter.com/petrogustavo/status/1328353929009180677","1328353929009180677")</f>
        <v>1328353929009180677</v>
      </c>
      <c r="F11852" s="7" t="s">
        <v>17</v>
      </c>
      <c r="G11852" s="7">
        <v>4007849</v>
      </c>
      <c r="H11852" s="7">
        <v>2460</v>
      </c>
      <c r="I11852" s="7">
        <v>209</v>
      </c>
      <c r="J11852" s="7">
        <v>0</v>
      </c>
      <c r="K11852" s="7" t="s">
        <v>18</v>
      </c>
      <c r="L11852" s="8">
        <v>39987.315405092595</v>
      </c>
      <c r="M11852" s="9" t="s">
        <v>19</v>
      </c>
      <c r="N11852" s="9" t="s">
        <v>20</v>
      </c>
      <c r="O11852" s="6" t="str">
        <f>HYPERLINK("https://pbs.twimg.com/profile_images/962471262747529216/Uo8lOkRJ_normal.jpg","View")</f>
        <v>View</v>
      </c>
      <c r="P11852" s="7"/>
    </row>
    <row r="11853" spans="1:16">
      <c r="A11853" s="3">
        <v>44151.859537037039</v>
      </c>
      <c r="B11853" s="4" t="str">
        <f>HYPERLINK("https://twitter.com/petrogustavo","@petrogustavo")</f>
        <v>@petrogustavo</v>
      </c>
      <c r="C11853" s="5" t="s">
        <v>16</v>
      </c>
      <c r="D11853" s="5" t="s">
        <v>11413</v>
      </c>
      <c r="E11853" s="6" t="str">
        <f>HYPERLINK("https://twitter.com/petrogustavo/status/1328354070558625793","1328354070558625793")</f>
        <v>1328354070558625793</v>
      </c>
      <c r="F11853" s="7" t="s">
        <v>17</v>
      </c>
      <c r="G11853" s="7">
        <v>4007849</v>
      </c>
      <c r="H11853" s="7">
        <v>2460</v>
      </c>
      <c r="I11853" s="7">
        <v>340</v>
      </c>
      <c r="J11853" s="7">
        <v>0</v>
      </c>
      <c r="K11853" s="7" t="s">
        <v>18</v>
      </c>
      <c r="L11853" s="8">
        <v>39987.315405092595</v>
      </c>
      <c r="M11853" s="9" t="s">
        <v>19</v>
      </c>
      <c r="N11853" s="9" t="s">
        <v>20</v>
      </c>
      <c r="O11853" s="6" t="str">
        <f>HYPERLINK("https://pbs.twimg.com/profile_images/962471262747529216/Uo8lOkRJ_normal.jpg","View")</f>
        <v>View</v>
      </c>
      <c r="P11853" s="7"/>
    </row>
    <row r="11854" spans="1:16">
      <c r="A11854" s="3">
        <v>44151.862141203703</v>
      </c>
      <c r="B11854" s="4" t="str">
        <f>HYPERLINK("https://twitter.com/petrogustavo","@petrogustavo")</f>
        <v>@petrogustavo</v>
      </c>
      <c r="C11854" s="5" t="s">
        <v>16</v>
      </c>
      <c r="D11854" s="5" t="s">
        <v>11414</v>
      </c>
      <c r="E11854" s="6" t="str">
        <f>HYPERLINK("https://twitter.com/petrogustavo/status/1328355013643603972","1328355013643603972")</f>
        <v>1328355013643603972</v>
      </c>
      <c r="F11854" s="7" t="s">
        <v>17</v>
      </c>
      <c r="G11854" s="7">
        <v>4007849</v>
      </c>
      <c r="H11854" s="7">
        <v>2460</v>
      </c>
      <c r="I11854" s="7">
        <v>11</v>
      </c>
      <c r="J11854" s="7">
        <v>0</v>
      </c>
      <c r="K11854" s="7" t="s">
        <v>18</v>
      </c>
      <c r="L11854" s="8">
        <v>39987.315405092595</v>
      </c>
      <c r="M11854" s="9" t="s">
        <v>19</v>
      </c>
      <c r="N11854" s="9" t="s">
        <v>20</v>
      </c>
      <c r="O11854" s="6" t="str">
        <f>HYPERLINK("https://pbs.twimg.com/profile_images/962471262747529216/Uo8lOkRJ_normal.jpg","View")</f>
        <v>View</v>
      </c>
      <c r="P11854" s="7"/>
    </row>
    <row r="11855" spans="1:16">
      <c r="A11855" s="3">
        <v>44151.911608796298</v>
      </c>
      <c r="B11855" s="4" t="str">
        <f>HYPERLINK("https://twitter.com/petrogustavo","@petrogustavo")</f>
        <v>@petrogustavo</v>
      </c>
      <c r="C11855" s="5" t="s">
        <v>16</v>
      </c>
      <c r="D11855" s="5" t="s">
        <v>11415</v>
      </c>
      <c r="E11855" s="6" t="str">
        <f>HYPERLINK("https://twitter.com/petrogustavo/status/1328372938530295811","1328372938530295811")</f>
        <v>1328372938530295811</v>
      </c>
      <c r="F11855" s="7" t="s">
        <v>32</v>
      </c>
      <c r="G11855" s="7">
        <v>4007864</v>
      </c>
      <c r="H11855" s="7">
        <v>2460</v>
      </c>
      <c r="I11855" s="7">
        <v>61</v>
      </c>
      <c r="J11855" s="7">
        <v>0</v>
      </c>
      <c r="K11855" s="7" t="s">
        <v>18</v>
      </c>
      <c r="L11855" s="8">
        <v>39987.315405092595</v>
      </c>
      <c r="M11855" s="9" t="s">
        <v>19</v>
      </c>
      <c r="N11855" s="9" t="s">
        <v>20</v>
      </c>
      <c r="O11855" s="6" t="str">
        <f>HYPERLINK("https://pbs.twimg.com/profile_images/962471262747529216/Uo8lOkRJ_normal.jpg","View")</f>
        <v>View</v>
      </c>
      <c r="P11855" s="7"/>
    </row>
    <row r="11856" spans="1:16">
      <c r="A11856" s="3">
        <v>44151.91443287037</v>
      </c>
      <c r="B11856" s="4" t="str">
        <f>HYPERLINK("https://twitter.com/petrogustavo","@petrogustavo")</f>
        <v>@petrogustavo</v>
      </c>
      <c r="C11856" s="5" t="s">
        <v>16</v>
      </c>
      <c r="D11856" s="5" t="s">
        <v>11416</v>
      </c>
      <c r="E11856" s="6" t="str">
        <f>HYPERLINK("https://twitter.com/petrogustavo/status/1328373965367160832","1328373965367160832")</f>
        <v>1328373965367160832</v>
      </c>
      <c r="F11856" s="7" t="s">
        <v>32</v>
      </c>
      <c r="G11856" s="7">
        <v>4007864</v>
      </c>
      <c r="H11856" s="7">
        <v>2460</v>
      </c>
      <c r="I11856" s="7">
        <v>49</v>
      </c>
      <c r="J11856" s="7">
        <v>195</v>
      </c>
      <c r="K11856" s="7" t="s">
        <v>18</v>
      </c>
      <c r="L11856" s="8">
        <v>39987.315405092595</v>
      </c>
      <c r="M11856" s="9" t="s">
        <v>19</v>
      </c>
      <c r="N11856" s="9" t="s">
        <v>20</v>
      </c>
      <c r="O11856" s="6" t="str">
        <f>HYPERLINK("https://pbs.twimg.com/profile_images/962471262747529216/Uo8lOkRJ_normal.jpg","View")</f>
        <v>View</v>
      </c>
      <c r="P11856" s="7"/>
    </row>
    <row r="11857" spans="1:16">
      <c r="A11857" s="3">
        <v>44151.927997685183</v>
      </c>
      <c r="B11857" s="4" t="str">
        <f>HYPERLINK("https://twitter.com/petrogustavo","@petrogustavo")</f>
        <v>@petrogustavo</v>
      </c>
      <c r="C11857" s="5" t="s">
        <v>16</v>
      </c>
      <c r="D11857" s="5" t="s">
        <v>11417</v>
      </c>
      <c r="E11857" s="6" t="str">
        <f>HYPERLINK("https://twitter.com/petrogustavo/status/1328378881028616192","1328378881028616192")</f>
        <v>1328378881028616192</v>
      </c>
      <c r="F11857" s="7" t="s">
        <v>32</v>
      </c>
      <c r="G11857" s="7">
        <v>4007864</v>
      </c>
      <c r="H11857" s="7">
        <v>2460</v>
      </c>
      <c r="I11857" s="7">
        <v>69</v>
      </c>
      <c r="J11857" s="7">
        <v>0</v>
      </c>
      <c r="K11857" s="7" t="s">
        <v>18</v>
      </c>
      <c r="L11857" s="8">
        <v>39987.315405092595</v>
      </c>
      <c r="M11857" s="9" t="s">
        <v>19</v>
      </c>
      <c r="N11857" s="9" t="s">
        <v>20</v>
      </c>
      <c r="O11857" s="6" t="str">
        <f>HYPERLINK("https://pbs.twimg.com/profile_images/962471262747529216/Uo8lOkRJ_normal.jpg","View")</f>
        <v>View</v>
      </c>
      <c r="P11857" s="7"/>
    </row>
    <row r="11858" spans="1:16">
      <c r="A11858" s="3">
        <v>44151.92905092593</v>
      </c>
      <c r="B11858" s="4" t="str">
        <f>HYPERLINK("https://twitter.com/petrogustavo","@petrogustavo")</f>
        <v>@petrogustavo</v>
      </c>
      <c r="C11858" s="5" t="s">
        <v>16</v>
      </c>
      <c r="D11858" s="5" t="s">
        <v>11418</v>
      </c>
      <c r="E11858" s="6" t="str">
        <f>HYPERLINK("https://twitter.com/petrogustavo/status/1328379259694567424","1328379259694567424")</f>
        <v>1328379259694567424</v>
      </c>
      <c r="F11858" s="7" t="s">
        <v>32</v>
      </c>
      <c r="G11858" s="7">
        <v>4007864</v>
      </c>
      <c r="H11858" s="7">
        <v>2460</v>
      </c>
      <c r="I11858" s="7">
        <v>12</v>
      </c>
      <c r="J11858" s="7">
        <v>58</v>
      </c>
      <c r="K11858" s="7" t="s">
        <v>18</v>
      </c>
      <c r="L11858" s="8">
        <v>39987.315405092595</v>
      </c>
      <c r="M11858" s="9" t="s">
        <v>19</v>
      </c>
      <c r="N11858" s="9" t="s">
        <v>20</v>
      </c>
      <c r="O11858" s="6" t="str">
        <f>HYPERLINK("https://pbs.twimg.com/profile_images/962471262747529216/Uo8lOkRJ_normal.jpg","View")</f>
        <v>View</v>
      </c>
      <c r="P11858" s="7"/>
    </row>
    <row r="11859" spans="1:16">
      <c r="A11859" s="3">
        <v>44151.930462962962</v>
      </c>
      <c r="B11859" s="4" t="str">
        <f>HYPERLINK("https://twitter.com/petrogustavo","@petrogustavo")</f>
        <v>@petrogustavo</v>
      </c>
      <c r="C11859" s="5" t="s">
        <v>16</v>
      </c>
      <c r="D11859" s="5" t="s">
        <v>11419</v>
      </c>
      <c r="E11859" s="6" t="str">
        <f>HYPERLINK("https://twitter.com/petrogustavo/status/1328379771777118211","1328379771777118211")</f>
        <v>1328379771777118211</v>
      </c>
      <c r="F11859" s="7" t="s">
        <v>32</v>
      </c>
      <c r="G11859" s="7">
        <v>4007868</v>
      </c>
      <c r="H11859" s="7">
        <v>2459</v>
      </c>
      <c r="I11859" s="7">
        <v>37</v>
      </c>
      <c r="J11859" s="7">
        <v>115</v>
      </c>
      <c r="K11859" s="7" t="s">
        <v>18</v>
      </c>
      <c r="L11859" s="8">
        <v>39987.315405092595</v>
      </c>
      <c r="M11859" s="9" t="s">
        <v>19</v>
      </c>
      <c r="N11859" s="9" t="s">
        <v>20</v>
      </c>
      <c r="O11859" s="6" t="str">
        <f>HYPERLINK("https://pbs.twimg.com/profile_images/962471262747529216/Uo8lOkRJ_normal.jpg","View")</f>
        <v>View</v>
      </c>
      <c r="P11859" s="7"/>
    </row>
    <row r="11860" spans="1:16">
      <c r="A11860" s="3">
        <v>44151.937418981484</v>
      </c>
      <c r="B11860" s="4" t="str">
        <f>HYPERLINK("https://twitter.com/petrogustavo","@petrogustavo")</f>
        <v>@petrogustavo</v>
      </c>
      <c r="C11860" s="5" t="s">
        <v>16</v>
      </c>
      <c r="D11860" s="5" t="s">
        <v>11420</v>
      </c>
      <c r="E11860" s="6" t="str">
        <f>HYPERLINK("https://twitter.com/petrogustavo/status/1328382291366785025","1328382291366785025")</f>
        <v>1328382291366785025</v>
      </c>
      <c r="F11860" s="7" t="s">
        <v>32</v>
      </c>
      <c r="G11860" s="7">
        <v>4007868</v>
      </c>
      <c r="H11860" s="7">
        <v>2459</v>
      </c>
      <c r="I11860" s="7">
        <v>97</v>
      </c>
      <c r="J11860" s="7">
        <v>443</v>
      </c>
      <c r="K11860" s="7" t="s">
        <v>18</v>
      </c>
      <c r="L11860" s="8">
        <v>39987.315405092595</v>
      </c>
      <c r="M11860" s="9" t="s">
        <v>19</v>
      </c>
      <c r="N11860" s="9" t="s">
        <v>20</v>
      </c>
      <c r="O11860" s="6" t="str">
        <f>HYPERLINK("https://pbs.twimg.com/profile_images/962471262747529216/Uo8lOkRJ_normal.jpg","View")</f>
        <v>View</v>
      </c>
      <c r="P11860" s="7"/>
    </row>
    <row r="11861" spans="1:16">
      <c r="A11861" s="3">
        <v>44151.939733796295</v>
      </c>
      <c r="B11861" s="4" t="str">
        <f>HYPERLINK("https://twitter.com/petrogustavo","@petrogustavo")</f>
        <v>@petrogustavo</v>
      </c>
      <c r="C11861" s="5" t="s">
        <v>16</v>
      </c>
      <c r="D11861" s="5" t="s">
        <v>11421</v>
      </c>
      <c r="E11861" s="6" t="str">
        <f>HYPERLINK("https://twitter.com/petrogustavo/status/1328383132932976640","1328383132932976640")</f>
        <v>1328383132932976640</v>
      </c>
      <c r="F11861" s="7" t="s">
        <v>32</v>
      </c>
      <c r="G11861" s="7">
        <v>4007868</v>
      </c>
      <c r="H11861" s="7">
        <v>2459</v>
      </c>
      <c r="I11861" s="7">
        <v>52</v>
      </c>
      <c r="J11861" s="7">
        <v>163</v>
      </c>
      <c r="K11861" s="7" t="s">
        <v>18</v>
      </c>
      <c r="L11861" s="8">
        <v>39987.315405092595</v>
      </c>
      <c r="M11861" s="9" t="s">
        <v>19</v>
      </c>
      <c r="N11861" s="9" t="s">
        <v>20</v>
      </c>
      <c r="O11861" s="6" t="str">
        <f>HYPERLINK("https://pbs.twimg.com/profile_images/962471262747529216/Uo8lOkRJ_normal.jpg","View")</f>
        <v>View</v>
      </c>
      <c r="P11861" s="7"/>
    </row>
    <row r="11862" spans="1:16">
      <c r="A11862" s="3">
        <v>44151.942337962959</v>
      </c>
      <c r="B11862" s="4" t="str">
        <f>HYPERLINK("https://twitter.com/petrogustavo","@petrogustavo")</f>
        <v>@petrogustavo</v>
      </c>
      <c r="C11862" s="5" t="s">
        <v>16</v>
      </c>
      <c r="D11862" s="5" t="s">
        <v>11422</v>
      </c>
      <c r="E11862" s="6" t="str">
        <f>HYPERLINK("https://twitter.com/petrogustavo/status/1328384077200830465","1328384077200830465")</f>
        <v>1328384077200830465</v>
      </c>
      <c r="F11862" s="7" t="s">
        <v>32</v>
      </c>
      <c r="G11862" s="7">
        <v>4007868</v>
      </c>
      <c r="H11862" s="7">
        <v>2459</v>
      </c>
      <c r="I11862" s="7">
        <v>22</v>
      </c>
      <c r="J11862" s="7">
        <v>92</v>
      </c>
      <c r="K11862" s="7" t="s">
        <v>18</v>
      </c>
      <c r="L11862" s="8">
        <v>39987.315405092595</v>
      </c>
      <c r="M11862" s="9" t="s">
        <v>19</v>
      </c>
      <c r="N11862" s="9" t="s">
        <v>20</v>
      </c>
      <c r="O11862" s="6" t="str">
        <f>HYPERLINK("https://pbs.twimg.com/profile_images/962471262747529216/Uo8lOkRJ_normal.jpg","View")</f>
        <v>View</v>
      </c>
      <c r="P11862" s="7"/>
    </row>
    <row r="11863" spans="1:16">
      <c r="A11863" s="3">
        <v>44151.943472222221</v>
      </c>
      <c r="B11863" s="4" t="str">
        <f>HYPERLINK("https://twitter.com/petrogustavo","@petrogustavo")</f>
        <v>@petrogustavo</v>
      </c>
      <c r="C11863" s="5" t="s">
        <v>16</v>
      </c>
      <c r="D11863" s="5" t="s">
        <v>11423</v>
      </c>
      <c r="E11863" s="6" t="str">
        <f>HYPERLINK("https://twitter.com/petrogustavo/status/1328384486464245761","1328384486464245761")</f>
        <v>1328384486464245761</v>
      </c>
      <c r="F11863" s="7" t="s">
        <v>32</v>
      </c>
      <c r="G11863" s="7">
        <v>4007868</v>
      </c>
      <c r="H11863" s="7">
        <v>2459</v>
      </c>
      <c r="I11863" s="7">
        <v>21</v>
      </c>
      <c r="J11863" s="7">
        <v>121</v>
      </c>
      <c r="K11863" s="7" t="s">
        <v>18</v>
      </c>
      <c r="L11863" s="8">
        <v>39987.315405092595</v>
      </c>
      <c r="M11863" s="9" t="s">
        <v>19</v>
      </c>
      <c r="N11863" s="9" t="s">
        <v>20</v>
      </c>
      <c r="O11863" s="6" t="str">
        <f>HYPERLINK("https://pbs.twimg.com/profile_images/962471262747529216/Uo8lOkRJ_normal.jpg","View")</f>
        <v>View</v>
      </c>
      <c r="P11863" s="7"/>
    </row>
    <row r="11864" spans="1:16">
      <c r="A11864" s="3">
        <v>44151.947071759263</v>
      </c>
      <c r="B11864" s="4" t="str">
        <f>HYPERLINK("https://twitter.com/petrogustavo","@petrogustavo")</f>
        <v>@petrogustavo</v>
      </c>
      <c r="C11864" s="5" t="s">
        <v>16</v>
      </c>
      <c r="D11864" s="5" t="s">
        <v>11424</v>
      </c>
      <c r="E11864" s="6" t="str">
        <f>HYPERLINK("https://twitter.com/petrogustavo/status/1328385791425470464","1328385791425470464")</f>
        <v>1328385791425470464</v>
      </c>
      <c r="F11864" s="7" t="s">
        <v>32</v>
      </c>
      <c r="G11864" s="7">
        <v>4007868</v>
      </c>
      <c r="H11864" s="7">
        <v>2459</v>
      </c>
      <c r="I11864" s="7">
        <v>10</v>
      </c>
      <c r="J11864" s="7">
        <v>0</v>
      </c>
      <c r="K11864" s="7" t="s">
        <v>18</v>
      </c>
      <c r="L11864" s="8">
        <v>39987.315405092595</v>
      </c>
      <c r="M11864" s="9" t="s">
        <v>19</v>
      </c>
      <c r="N11864" s="9" t="s">
        <v>20</v>
      </c>
      <c r="O11864" s="6" t="str">
        <f>HYPERLINK("https://pbs.twimg.com/profile_images/962471262747529216/Uo8lOkRJ_normal.jpg","View")</f>
        <v>View</v>
      </c>
      <c r="P11864" s="7"/>
    </row>
    <row r="11865" spans="1:16">
      <c r="A11865" s="3">
        <v>44152.013587962967</v>
      </c>
      <c r="B11865" s="4" t="str">
        <f>HYPERLINK("https://twitter.com/petrogustavo","@petrogustavo")</f>
        <v>@petrogustavo</v>
      </c>
      <c r="C11865" s="5" t="s">
        <v>16</v>
      </c>
      <c r="D11865" s="5" t="s">
        <v>11425</v>
      </c>
      <c r="E11865" s="6" t="str">
        <f>HYPERLINK("https://twitter.com/petrogustavo/status/1328409897785036818","1328409897785036818")</f>
        <v>1328409897785036818</v>
      </c>
      <c r="F11865" s="7" t="s">
        <v>17</v>
      </c>
      <c r="G11865" s="7">
        <v>4007921</v>
      </c>
      <c r="H11865" s="7">
        <v>2459</v>
      </c>
      <c r="I11865" s="7">
        <v>59</v>
      </c>
      <c r="J11865" s="7">
        <v>216</v>
      </c>
      <c r="K11865" s="7" t="s">
        <v>18</v>
      </c>
      <c r="L11865" s="8">
        <v>39987.315405092595</v>
      </c>
      <c r="M11865" s="9" t="s">
        <v>19</v>
      </c>
      <c r="N11865" s="9" t="s">
        <v>20</v>
      </c>
      <c r="O11865" s="6" t="str">
        <f>HYPERLINK("https://pbs.twimg.com/profile_images/962471262747529216/Uo8lOkRJ_normal.jpg","View")</f>
        <v>View</v>
      </c>
      <c r="P11865" s="7"/>
    </row>
    <row r="11866" spans="1:16">
      <c r="A11866" s="3">
        <v>44152.024039351847</v>
      </c>
      <c r="B11866" s="4" t="str">
        <f>HYPERLINK("https://twitter.com/petrogustavo","@petrogustavo")</f>
        <v>@petrogustavo</v>
      </c>
      <c r="C11866" s="5" t="s">
        <v>16</v>
      </c>
      <c r="D11866" s="5" t="s">
        <v>11426</v>
      </c>
      <c r="E11866" s="6" t="str">
        <f>HYPERLINK("https://twitter.com/petrogustavo/status/1328413684335566852","1328413684335566852")</f>
        <v>1328413684335566852</v>
      </c>
      <c r="F11866" s="7" t="s">
        <v>17</v>
      </c>
      <c r="G11866" s="7">
        <v>4007917</v>
      </c>
      <c r="H11866" s="7">
        <v>2459</v>
      </c>
      <c r="I11866" s="7">
        <v>16</v>
      </c>
      <c r="J11866" s="7">
        <v>41</v>
      </c>
      <c r="K11866" s="7" t="s">
        <v>18</v>
      </c>
      <c r="L11866" s="8">
        <v>39987.315405092595</v>
      </c>
      <c r="M11866" s="9" t="s">
        <v>19</v>
      </c>
      <c r="N11866" s="9" t="s">
        <v>20</v>
      </c>
      <c r="O11866" s="6" t="str">
        <f>HYPERLINK("https://pbs.twimg.com/profile_images/962471262747529216/Uo8lOkRJ_normal.jpg","View")</f>
        <v>View</v>
      </c>
      <c r="P11866" s="7"/>
    </row>
    <row r="11867" spans="1:16">
      <c r="A11867" s="3">
        <v>44152.026608796295</v>
      </c>
      <c r="B11867" s="4" t="str">
        <f>HYPERLINK("https://twitter.com/petrogustavo","@petrogustavo")</f>
        <v>@petrogustavo</v>
      </c>
      <c r="C11867" s="5" t="s">
        <v>16</v>
      </c>
      <c r="D11867" s="5" t="s">
        <v>11427</v>
      </c>
      <c r="E11867" s="6" t="str">
        <f>HYPERLINK("https://twitter.com/petrogustavo/status/1328414616003678208","1328414616003678208")</f>
        <v>1328414616003678208</v>
      </c>
      <c r="F11867" s="7" t="s">
        <v>17</v>
      </c>
      <c r="G11867" s="7">
        <v>4007917</v>
      </c>
      <c r="H11867" s="7">
        <v>2459</v>
      </c>
      <c r="I11867" s="7">
        <v>1134</v>
      </c>
      <c r="J11867" s="7">
        <v>0</v>
      </c>
      <c r="K11867" s="7" t="s">
        <v>18</v>
      </c>
      <c r="L11867" s="8">
        <v>39987.315405092595</v>
      </c>
      <c r="M11867" s="9" t="s">
        <v>19</v>
      </c>
      <c r="N11867" s="9" t="s">
        <v>20</v>
      </c>
      <c r="O11867" s="6" t="str">
        <f>HYPERLINK("https://pbs.twimg.com/profile_images/962471262747529216/Uo8lOkRJ_normal.jpg","View")</f>
        <v>View</v>
      </c>
      <c r="P11867" s="7"/>
    </row>
    <row r="11868" spans="1:16">
      <c r="A11868" s="3">
        <v>44152.044664351852</v>
      </c>
      <c r="B11868" s="4" t="str">
        <f>HYPERLINK("https://twitter.com/petrogustavo","@petrogustavo")</f>
        <v>@petrogustavo</v>
      </c>
      <c r="C11868" s="5" t="s">
        <v>16</v>
      </c>
      <c r="D11868" s="5" t="s">
        <v>11428</v>
      </c>
      <c r="E11868" s="6" t="str">
        <f>HYPERLINK("https://twitter.com/petrogustavo/status/1328421159440879616","1328421159440879616")</f>
        <v>1328421159440879616</v>
      </c>
      <c r="F11868" s="7" t="s">
        <v>17</v>
      </c>
      <c r="G11868" s="7">
        <v>4007923</v>
      </c>
      <c r="H11868" s="7">
        <v>2459</v>
      </c>
      <c r="I11868" s="7">
        <v>44</v>
      </c>
      <c r="J11868" s="7">
        <v>143</v>
      </c>
      <c r="K11868" s="7" t="s">
        <v>18</v>
      </c>
      <c r="L11868" s="8">
        <v>39987.315405092595</v>
      </c>
      <c r="M11868" s="9" t="s">
        <v>19</v>
      </c>
      <c r="N11868" s="9" t="s">
        <v>20</v>
      </c>
      <c r="O11868" s="6" t="str">
        <f>HYPERLINK("https://pbs.twimg.com/profile_images/962471262747529216/Uo8lOkRJ_normal.jpg","View")</f>
        <v>View</v>
      </c>
      <c r="P11868" s="7"/>
    </row>
    <row r="11869" spans="1:16">
      <c r="A11869" s="3">
        <v>44152.046469907407</v>
      </c>
      <c r="B11869" s="4" t="str">
        <f>HYPERLINK("https://twitter.com/petrogustavo","@petrogustavo")</f>
        <v>@petrogustavo</v>
      </c>
      <c r="C11869" s="5" t="s">
        <v>16</v>
      </c>
      <c r="D11869" s="5" t="s">
        <v>11429</v>
      </c>
      <c r="E11869" s="6" t="str">
        <f>HYPERLINK("https://twitter.com/petrogustavo/status/1328421811953020930","1328421811953020930")</f>
        <v>1328421811953020930</v>
      </c>
      <c r="F11869" s="7" t="s">
        <v>17</v>
      </c>
      <c r="G11869" s="7">
        <v>4007923</v>
      </c>
      <c r="H11869" s="7">
        <v>2459</v>
      </c>
      <c r="I11869" s="7">
        <v>128</v>
      </c>
      <c r="J11869" s="7">
        <v>0</v>
      </c>
      <c r="K11869" s="7" t="s">
        <v>18</v>
      </c>
      <c r="L11869" s="8">
        <v>39987.315405092595</v>
      </c>
      <c r="M11869" s="9" t="s">
        <v>19</v>
      </c>
      <c r="N11869" s="9" t="s">
        <v>20</v>
      </c>
      <c r="O11869" s="6" t="str">
        <f>HYPERLINK("https://pbs.twimg.com/profile_images/962471262747529216/Uo8lOkRJ_normal.jpg","View")</f>
        <v>View</v>
      </c>
      <c r="P11869" s="7"/>
    </row>
    <row r="11870" spans="1:16">
      <c r="A11870" s="3">
        <v>44152.062268518523</v>
      </c>
      <c r="B11870" s="4" t="str">
        <f>HYPERLINK("https://twitter.com/petrogustavo","@petrogustavo")</f>
        <v>@petrogustavo</v>
      </c>
      <c r="C11870" s="5" t="s">
        <v>16</v>
      </c>
      <c r="D11870" s="5" t="s">
        <v>11430</v>
      </c>
      <c r="E11870" s="6" t="str">
        <f>HYPERLINK("https://twitter.com/petrogustavo/status/1328427538880860161","1328427538880860161")</f>
        <v>1328427538880860161</v>
      </c>
      <c r="F11870" s="7" t="s">
        <v>17</v>
      </c>
      <c r="G11870" s="7">
        <v>4007927</v>
      </c>
      <c r="H11870" s="7">
        <v>2459</v>
      </c>
      <c r="I11870" s="7">
        <v>80</v>
      </c>
      <c r="J11870" s="7">
        <v>243</v>
      </c>
      <c r="K11870" s="7" t="s">
        <v>18</v>
      </c>
      <c r="L11870" s="8">
        <v>39987.315405092595</v>
      </c>
      <c r="M11870" s="9" t="s">
        <v>19</v>
      </c>
      <c r="N11870" s="9" t="s">
        <v>20</v>
      </c>
      <c r="O11870" s="6" t="str">
        <f>HYPERLINK("https://pbs.twimg.com/profile_images/962471262747529216/Uo8lOkRJ_normal.jpg","View")</f>
        <v>View</v>
      </c>
      <c r="P11870" s="7"/>
    </row>
    <row r="11871" spans="1:16">
      <c r="A11871" s="3">
        <v>44152.06322916667</v>
      </c>
      <c r="B11871" s="4" t="str">
        <f>HYPERLINK("https://twitter.com/petrogustavo","@petrogustavo")</f>
        <v>@petrogustavo</v>
      </c>
      <c r="C11871" s="5" t="s">
        <v>16</v>
      </c>
      <c r="D11871" s="5" t="s">
        <v>11431</v>
      </c>
      <c r="E11871" s="6" t="str">
        <f>HYPERLINK("https://twitter.com/petrogustavo/status/1328427886794190849","1328427886794190849")</f>
        <v>1328427886794190849</v>
      </c>
      <c r="F11871" s="7" t="s">
        <v>17</v>
      </c>
      <c r="G11871" s="7">
        <v>4007927</v>
      </c>
      <c r="H11871" s="7">
        <v>2459</v>
      </c>
      <c r="I11871" s="7">
        <v>29</v>
      </c>
      <c r="J11871" s="7">
        <v>93</v>
      </c>
      <c r="K11871" s="7" t="s">
        <v>18</v>
      </c>
      <c r="L11871" s="8">
        <v>39987.315405092595</v>
      </c>
      <c r="M11871" s="9" t="s">
        <v>19</v>
      </c>
      <c r="N11871" s="9" t="s">
        <v>20</v>
      </c>
      <c r="O11871" s="6" t="str">
        <f>HYPERLINK("https://pbs.twimg.com/profile_images/962471262747529216/Uo8lOkRJ_normal.jpg","View")</f>
        <v>View</v>
      </c>
      <c r="P11871" s="7"/>
    </row>
    <row r="11872" spans="1:16">
      <c r="A11872" s="3">
        <v>44152.093229166669</v>
      </c>
      <c r="B11872" s="4" t="str">
        <f>HYPERLINK("https://twitter.com/petrogustavo","@petrogustavo")</f>
        <v>@petrogustavo</v>
      </c>
      <c r="C11872" s="5" t="s">
        <v>16</v>
      </c>
      <c r="D11872" s="5" t="s">
        <v>11432</v>
      </c>
      <c r="E11872" s="6" t="str">
        <f>HYPERLINK("https://twitter.com/petrogustavo/status/1328438756106440704","1328438756106440704")</f>
        <v>1328438756106440704</v>
      </c>
      <c r="F11872" s="7" t="s">
        <v>17</v>
      </c>
      <c r="G11872" s="7">
        <v>4007941</v>
      </c>
      <c r="H11872" s="7">
        <v>2460</v>
      </c>
      <c r="I11872" s="7">
        <v>7</v>
      </c>
      <c r="J11872" s="7">
        <v>0</v>
      </c>
      <c r="K11872" s="7" t="s">
        <v>18</v>
      </c>
      <c r="L11872" s="8">
        <v>39987.315405092595</v>
      </c>
      <c r="M11872" s="9" t="s">
        <v>19</v>
      </c>
      <c r="N11872" s="9" t="s">
        <v>20</v>
      </c>
      <c r="O11872" s="6" t="str">
        <f>HYPERLINK("https://pbs.twimg.com/profile_images/962471262747529216/Uo8lOkRJ_normal.jpg","View")</f>
        <v>View</v>
      </c>
      <c r="P11872" s="7"/>
    </row>
    <row r="11873" spans="1:16">
      <c r="A11873" s="3">
        <v>44152.103437500002</v>
      </c>
      <c r="B11873" s="4" t="str">
        <f>HYPERLINK("https://twitter.com/petrogustavo","@petrogustavo")</f>
        <v>@petrogustavo</v>
      </c>
      <c r="C11873" s="5" t="s">
        <v>16</v>
      </c>
      <c r="D11873" s="5" t="s">
        <v>11433</v>
      </c>
      <c r="E11873" s="6" t="str">
        <f>HYPERLINK("https://twitter.com/petrogustavo/status/1328442458242502659","1328442458242502659")</f>
        <v>1328442458242502659</v>
      </c>
      <c r="F11873" s="7" t="s">
        <v>17</v>
      </c>
      <c r="G11873" s="7">
        <v>4007943</v>
      </c>
      <c r="H11873" s="7">
        <v>2461</v>
      </c>
      <c r="I11873" s="7">
        <v>43</v>
      </c>
      <c r="J11873" s="7">
        <v>157</v>
      </c>
      <c r="K11873" s="7" t="s">
        <v>18</v>
      </c>
      <c r="L11873" s="8">
        <v>39987.315405092595</v>
      </c>
      <c r="M11873" s="9" t="s">
        <v>19</v>
      </c>
      <c r="N11873" s="9" t="s">
        <v>20</v>
      </c>
      <c r="O11873" s="6" t="str">
        <f>HYPERLINK("https://pbs.twimg.com/profile_images/962471262747529216/Uo8lOkRJ_normal.jpg","View")</f>
        <v>View</v>
      </c>
      <c r="P11873" s="7"/>
    </row>
    <row r="11874" spans="1:16">
      <c r="A11874" s="3">
        <v>44152.139456018514</v>
      </c>
      <c r="B11874" s="4" t="str">
        <f>HYPERLINK("https://twitter.com/petrogustavo","@petrogustavo")</f>
        <v>@petrogustavo</v>
      </c>
      <c r="C11874" s="5" t="s">
        <v>16</v>
      </c>
      <c r="D11874" s="5" t="s">
        <v>11434</v>
      </c>
      <c r="E11874" s="6" t="str">
        <f>HYPERLINK("https://twitter.com/petrogustavo/status/1328455508836093961","1328455508836093961")</f>
        <v>1328455508836093961</v>
      </c>
      <c r="F11874" s="7" t="s">
        <v>17</v>
      </c>
      <c r="G11874" s="7">
        <v>4007969</v>
      </c>
      <c r="H11874" s="7">
        <v>2461</v>
      </c>
      <c r="I11874" s="7">
        <v>87</v>
      </c>
      <c r="J11874" s="7">
        <v>292</v>
      </c>
      <c r="K11874" s="7" t="s">
        <v>18</v>
      </c>
      <c r="L11874" s="8">
        <v>39987.315405092595</v>
      </c>
      <c r="M11874" s="9" t="s">
        <v>19</v>
      </c>
      <c r="N11874" s="9" t="s">
        <v>20</v>
      </c>
      <c r="O11874" s="6" t="str">
        <f>HYPERLINK("https://pbs.twimg.com/profile_images/962471262747529216/Uo8lOkRJ_normal.jpg","View")</f>
        <v>View</v>
      </c>
      <c r="P11874" s="7"/>
    </row>
    <row r="11875" spans="1:16">
      <c r="A11875" s="3">
        <v>44152.149016203708</v>
      </c>
      <c r="B11875" s="4" t="str">
        <f>HYPERLINK("https://twitter.com/petrogustavo","@petrogustavo")</f>
        <v>@petrogustavo</v>
      </c>
      <c r="C11875" s="5" t="s">
        <v>16</v>
      </c>
      <c r="D11875" s="5" t="s">
        <v>11435</v>
      </c>
      <c r="E11875" s="6" t="str">
        <f>HYPERLINK("https://twitter.com/petrogustavo/status/1328458971586375681","1328458971586375681")</f>
        <v>1328458971586375681</v>
      </c>
      <c r="F11875" s="7" t="s">
        <v>32</v>
      </c>
      <c r="G11875" s="7">
        <v>4007969</v>
      </c>
      <c r="H11875" s="7">
        <v>2461</v>
      </c>
      <c r="I11875" s="7">
        <v>84</v>
      </c>
      <c r="J11875" s="7">
        <v>0</v>
      </c>
      <c r="K11875" s="7" t="s">
        <v>18</v>
      </c>
      <c r="L11875" s="8">
        <v>39987.315405092595</v>
      </c>
      <c r="M11875" s="9" t="s">
        <v>19</v>
      </c>
      <c r="N11875" s="9" t="s">
        <v>20</v>
      </c>
      <c r="O11875" s="6" t="str">
        <f>HYPERLINK("https://pbs.twimg.com/profile_images/962471262747529216/Uo8lOkRJ_normal.jpg","View")</f>
        <v>View</v>
      </c>
      <c r="P11875" s="7"/>
    </row>
    <row r="11876" spans="1:16">
      <c r="A11876" s="3">
        <v>44152.149930555555</v>
      </c>
      <c r="B11876" s="4" t="str">
        <f>HYPERLINK("https://twitter.com/petrogustavo","@petrogustavo")</f>
        <v>@petrogustavo</v>
      </c>
      <c r="C11876" s="5" t="s">
        <v>16</v>
      </c>
      <c r="D11876" s="5" t="s">
        <v>11436</v>
      </c>
      <c r="E11876" s="6" t="str">
        <f>HYPERLINK("https://twitter.com/petrogustavo/status/1328459302831591424","1328459302831591424")</f>
        <v>1328459302831591424</v>
      </c>
      <c r="F11876" s="7" t="s">
        <v>32</v>
      </c>
      <c r="G11876" s="7">
        <v>4007969</v>
      </c>
      <c r="H11876" s="7">
        <v>2461</v>
      </c>
      <c r="I11876" s="7">
        <v>8</v>
      </c>
      <c r="J11876" s="7">
        <v>0</v>
      </c>
      <c r="K11876" s="7" t="s">
        <v>18</v>
      </c>
      <c r="L11876" s="8">
        <v>39987.315405092595</v>
      </c>
      <c r="M11876" s="9" t="s">
        <v>19</v>
      </c>
      <c r="N11876" s="9" t="s">
        <v>20</v>
      </c>
      <c r="O11876" s="6" t="str">
        <f>HYPERLINK("https://pbs.twimg.com/profile_images/962471262747529216/Uo8lOkRJ_normal.jpg","View")</f>
        <v>View</v>
      </c>
      <c r="P11876" s="7"/>
    </row>
    <row r="11877" spans="1:16">
      <c r="A11877" s="3">
        <v>44152.17833333333</v>
      </c>
      <c r="B11877" s="4" t="str">
        <f>HYPERLINK("https://twitter.com/petrogustavo","@petrogustavo")</f>
        <v>@petrogustavo</v>
      </c>
      <c r="C11877" s="5" t="s">
        <v>16</v>
      </c>
      <c r="D11877" s="5" t="s">
        <v>11437</v>
      </c>
      <c r="E11877" s="6" t="str">
        <f>HYPERLINK("https://twitter.com/petrogustavo/status/1328469598824435720","1328469598824435720")</f>
        <v>1328469598824435720</v>
      </c>
      <c r="F11877" s="7" t="s">
        <v>17</v>
      </c>
      <c r="G11877" s="7">
        <v>4007986</v>
      </c>
      <c r="H11877" s="7">
        <v>2461</v>
      </c>
      <c r="I11877" s="7">
        <v>11</v>
      </c>
      <c r="J11877" s="7">
        <v>57</v>
      </c>
      <c r="K11877" s="7" t="s">
        <v>18</v>
      </c>
      <c r="L11877" s="8">
        <v>39987.315405092595</v>
      </c>
      <c r="M11877" s="9" t="s">
        <v>19</v>
      </c>
      <c r="N11877" s="9" t="s">
        <v>20</v>
      </c>
      <c r="O11877" s="6" t="str">
        <f>HYPERLINK("https://pbs.twimg.com/profile_images/962471262747529216/Uo8lOkRJ_normal.jpg","View")</f>
        <v>View</v>
      </c>
      <c r="P11877" s="7"/>
    </row>
    <row r="11878" spans="1:16">
      <c r="A11878" s="3">
        <v>44152.206886574073</v>
      </c>
      <c r="B11878" s="4" t="str">
        <f>HYPERLINK("https://twitter.com/petrogustavo","@petrogustavo")</f>
        <v>@petrogustavo</v>
      </c>
      <c r="C11878" s="5" t="s">
        <v>16</v>
      </c>
      <c r="D11878" s="5" t="s">
        <v>11438</v>
      </c>
      <c r="E11878" s="6" t="str">
        <f>HYPERLINK("https://twitter.com/petrogustavo/status/1328479944805117953","1328479944805117953")</f>
        <v>1328479944805117953</v>
      </c>
      <c r="F11878" s="7" t="s">
        <v>32</v>
      </c>
      <c r="G11878" s="7">
        <v>4007986</v>
      </c>
      <c r="H11878" s="7">
        <v>2461</v>
      </c>
      <c r="I11878" s="7">
        <v>43</v>
      </c>
      <c r="J11878" s="7">
        <v>117</v>
      </c>
      <c r="K11878" s="7" t="s">
        <v>18</v>
      </c>
      <c r="L11878" s="8">
        <v>39987.315405092595</v>
      </c>
      <c r="M11878" s="9" t="s">
        <v>19</v>
      </c>
      <c r="N11878" s="9" t="s">
        <v>20</v>
      </c>
      <c r="O11878" s="6" t="str">
        <f>HYPERLINK("https://pbs.twimg.com/profile_images/962471262747529216/Uo8lOkRJ_normal.jpg","View")</f>
        <v>View</v>
      </c>
      <c r="P11878" s="7"/>
    </row>
    <row r="11879" spans="1:16">
      <c r="A11879" s="3">
        <v>44152.214641203704</v>
      </c>
      <c r="B11879" s="4" t="str">
        <f>HYPERLINK("https://twitter.com/petrogustavo","@petrogustavo")</f>
        <v>@petrogustavo</v>
      </c>
      <c r="C11879" s="5" t="s">
        <v>16</v>
      </c>
      <c r="D11879" s="5" t="s">
        <v>11439</v>
      </c>
      <c r="E11879" s="6" t="str">
        <f>HYPERLINK("https://twitter.com/petrogustavo/status/1328482756205174785","1328482756205174785")</f>
        <v>1328482756205174785</v>
      </c>
      <c r="F11879" s="7" t="s">
        <v>32</v>
      </c>
      <c r="G11879" s="7">
        <v>4007986</v>
      </c>
      <c r="H11879" s="7">
        <v>2461</v>
      </c>
      <c r="I11879" s="7">
        <v>34</v>
      </c>
      <c r="J11879" s="7">
        <v>0</v>
      </c>
      <c r="K11879" s="7" t="s">
        <v>18</v>
      </c>
      <c r="L11879" s="8">
        <v>39987.315405092595</v>
      </c>
      <c r="M11879" s="9" t="s">
        <v>19</v>
      </c>
      <c r="N11879" s="9" t="s">
        <v>20</v>
      </c>
      <c r="O11879" s="6" t="str">
        <f>HYPERLINK("https://pbs.twimg.com/profile_images/962471262747529216/Uo8lOkRJ_normal.jpg","View")</f>
        <v>View</v>
      </c>
      <c r="P11879" s="7"/>
    </row>
    <row r="11880" spans="1:16">
      <c r="A11880" s="3">
        <v>44152.217164351852</v>
      </c>
      <c r="B11880" s="4" t="str">
        <f>HYPERLINK("https://twitter.com/petrogustavo","@petrogustavo")</f>
        <v>@petrogustavo</v>
      </c>
      <c r="C11880" s="5" t="s">
        <v>16</v>
      </c>
      <c r="D11880" s="5" t="s">
        <v>11440</v>
      </c>
      <c r="E11880" s="6" t="str">
        <f>HYPERLINK("https://twitter.com/petrogustavo/status/1328483669309337600","1328483669309337600")</f>
        <v>1328483669309337600</v>
      </c>
      <c r="F11880" s="7" t="s">
        <v>32</v>
      </c>
      <c r="G11880" s="7">
        <v>4007986</v>
      </c>
      <c r="H11880" s="7">
        <v>2461</v>
      </c>
      <c r="I11880" s="7">
        <v>1147</v>
      </c>
      <c r="J11880" s="7">
        <v>0</v>
      </c>
      <c r="K11880" s="7" t="s">
        <v>18</v>
      </c>
      <c r="L11880" s="8">
        <v>39987.315405092595</v>
      </c>
      <c r="M11880" s="9" t="s">
        <v>19</v>
      </c>
      <c r="N11880" s="9" t="s">
        <v>20</v>
      </c>
      <c r="O11880" s="6" t="str">
        <f>HYPERLINK("https://pbs.twimg.com/profile_images/962471262747529216/Uo8lOkRJ_normal.jpg","View")</f>
        <v>View</v>
      </c>
      <c r="P11880" s="7"/>
    </row>
    <row r="11881" spans="1:16">
      <c r="A11881" s="3">
        <v>44152.221736111111</v>
      </c>
      <c r="B11881" s="4" t="str">
        <f>HYPERLINK("https://twitter.com/petrogustavo","@petrogustavo")</f>
        <v>@petrogustavo</v>
      </c>
      <c r="C11881" s="5" t="s">
        <v>16</v>
      </c>
      <c r="D11881" s="5" t="s">
        <v>11441</v>
      </c>
      <c r="E11881" s="6" t="str">
        <f>HYPERLINK("https://twitter.com/petrogustavo/status/1328485324838871041","1328485324838871041")</f>
        <v>1328485324838871041</v>
      </c>
      <c r="F11881" s="7" t="s">
        <v>32</v>
      </c>
      <c r="G11881" s="7">
        <v>4008000</v>
      </c>
      <c r="H11881" s="7">
        <v>2461</v>
      </c>
      <c r="I11881" s="7">
        <v>582</v>
      </c>
      <c r="J11881" s="7">
        <v>0</v>
      </c>
      <c r="K11881" s="7" t="s">
        <v>18</v>
      </c>
      <c r="L11881" s="8">
        <v>39987.315405092595</v>
      </c>
      <c r="M11881" s="9" t="s">
        <v>19</v>
      </c>
      <c r="N11881" s="9" t="s">
        <v>20</v>
      </c>
      <c r="O11881" s="6" t="str">
        <f>HYPERLINK("https://pbs.twimg.com/profile_images/962471262747529216/Uo8lOkRJ_normal.jpg","View")</f>
        <v>View</v>
      </c>
      <c r="P11881" s="7"/>
    </row>
    <row r="11882" spans="1:16">
      <c r="A11882" s="3">
        <v>44152.22284722222</v>
      </c>
      <c r="B11882" s="4" t="str">
        <f>HYPERLINK("https://twitter.com/petrogustavo","@petrogustavo")</f>
        <v>@petrogustavo</v>
      </c>
      <c r="C11882" s="5" t="s">
        <v>16</v>
      </c>
      <c r="D11882" s="5" t="s">
        <v>11442</v>
      </c>
      <c r="E11882" s="6" t="str">
        <f>HYPERLINK("https://twitter.com/petrogustavo/status/1328485729291350017","1328485729291350017")</f>
        <v>1328485729291350017</v>
      </c>
      <c r="F11882" s="7" t="s">
        <v>32</v>
      </c>
      <c r="G11882" s="7">
        <v>4008000</v>
      </c>
      <c r="H11882" s="7">
        <v>2461</v>
      </c>
      <c r="I11882" s="7">
        <v>46</v>
      </c>
      <c r="J11882" s="7">
        <v>244</v>
      </c>
      <c r="K11882" s="7" t="s">
        <v>18</v>
      </c>
      <c r="L11882" s="8">
        <v>39987.315405092595</v>
      </c>
      <c r="M11882" s="9" t="s">
        <v>19</v>
      </c>
      <c r="N11882" s="9" t="s">
        <v>20</v>
      </c>
      <c r="O11882" s="6" t="str">
        <f>HYPERLINK("https://pbs.twimg.com/profile_images/962471262747529216/Uo8lOkRJ_normal.jpg","View")</f>
        <v>View</v>
      </c>
      <c r="P11882" s="7"/>
    </row>
    <row r="11883" spans="1:16">
      <c r="A11883" s="3">
        <v>44152.69731481481</v>
      </c>
      <c r="B11883" s="4" t="str">
        <f>HYPERLINK("https://twitter.com/petrogustavo","@petrogustavo")</f>
        <v>@petrogustavo</v>
      </c>
      <c r="C11883" s="5" t="s">
        <v>16</v>
      </c>
      <c r="D11883" s="5" t="s">
        <v>11443</v>
      </c>
      <c r="E11883" s="6" t="str">
        <f>HYPERLINK("https://twitter.com/petrogustavo/status/1328657670295924736","1328657670295924736")</f>
        <v>1328657670295924736</v>
      </c>
      <c r="F11883" s="7" t="s">
        <v>17</v>
      </c>
      <c r="G11883" s="7">
        <v>4008273</v>
      </c>
      <c r="H11883" s="7">
        <v>2461</v>
      </c>
      <c r="I11883" s="7">
        <v>23</v>
      </c>
      <c r="J11883" s="7">
        <v>0</v>
      </c>
      <c r="K11883" s="7" t="s">
        <v>18</v>
      </c>
      <c r="L11883" s="8">
        <v>39987.315405092595</v>
      </c>
      <c r="M11883" s="9" t="s">
        <v>19</v>
      </c>
      <c r="N11883" s="9" t="s">
        <v>20</v>
      </c>
      <c r="O11883" s="6" t="str">
        <f>HYPERLINK("https://pbs.twimg.com/profile_images/962471262747529216/Uo8lOkRJ_normal.jpg","View")</f>
        <v>View</v>
      </c>
      <c r="P11883" s="7"/>
    </row>
    <row r="11884" spans="1:16">
      <c r="A11884" s="3">
        <v>44152.698553240742</v>
      </c>
      <c r="B11884" s="4" t="str">
        <f>HYPERLINK("https://twitter.com/petrogustavo","@petrogustavo")</f>
        <v>@petrogustavo</v>
      </c>
      <c r="C11884" s="5" t="s">
        <v>16</v>
      </c>
      <c r="D11884" s="5" t="s">
        <v>11444</v>
      </c>
      <c r="E11884" s="6" t="str">
        <f>HYPERLINK("https://twitter.com/petrogustavo/status/1328658119812141058","1328658119812141058")</f>
        <v>1328658119812141058</v>
      </c>
      <c r="F11884" s="7" t="s">
        <v>17</v>
      </c>
      <c r="G11884" s="7">
        <v>4008273</v>
      </c>
      <c r="H11884" s="7">
        <v>2461</v>
      </c>
      <c r="I11884" s="7">
        <v>78</v>
      </c>
      <c r="J11884" s="7">
        <v>0</v>
      </c>
      <c r="K11884" s="7" t="s">
        <v>18</v>
      </c>
      <c r="L11884" s="8">
        <v>39987.315405092595</v>
      </c>
      <c r="M11884" s="9" t="s">
        <v>19</v>
      </c>
      <c r="N11884" s="9" t="s">
        <v>20</v>
      </c>
      <c r="O11884" s="6" t="str">
        <f>HYPERLINK("https://pbs.twimg.com/profile_images/962471262747529216/Uo8lOkRJ_normal.jpg","View")</f>
        <v>View</v>
      </c>
      <c r="P11884" s="7"/>
    </row>
    <row r="11885" spans="1:16">
      <c r="A11885" s="3">
        <v>44152.699432870373</v>
      </c>
      <c r="B11885" s="4" t="str">
        <f>HYPERLINK("https://twitter.com/petrogustavo","@petrogustavo")</f>
        <v>@petrogustavo</v>
      </c>
      <c r="C11885" s="5" t="s">
        <v>16</v>
      </c>
      <c r="D11885" s="5" t="s">
        <v>11445</v>
      </c>
      <c r="E11885" s="6" t="str">
        <f>HYPERLINK("https://twitter.com/petrogustavo/status/1328658438210154498","1328658438210154498")</f>
        <v>1328658438210154498</v>
      </c>
      <c r="F11885" s="7" t="s">
        <v>17</v>
      </c>
      <c r="G11885" s="7">
        <v>4008273</v>
      </c>
      <c r="H11885" s="7">
        <v>2461</v>
      </c>
      <c r="I11885" s="7">
        <v>73</v>
      </c>
      <c r="J11885" s="7">
        <v>0</v>
      </c>
      <c r="K11885" s="7" t="s">
        <v>18</v>
      </c>
      <c r="L11885" s="8">
        <v>39987.315405092595</v>
      </c>
      <c r="M11885" s="9" t="s">
        <v>19</v>
      </c>
      <c r="N11885" s="9" t="s">
        <v>20</v>
      </c>
      <c r="O11885" s="6" t="str">
        <f>HYPERLINK("https://pbs.twimg.com/profile_images/962471262747529216/Uo8lOkRJ_normal.jpg","View")</f>
        <v>View</v>
      </c>
      <c r="P11885" s="7"/>
    </row>
    <row r="11886" spans="1:16">
      <c r="A11886" s="3">
        <v>44152.700590277775</v>
      </c>
      <c r="B11886" s="4" t="str">
        <f>HYPERLINK("https://twitter.com/petrogustavo","@petrogustavo")</f>
        <v>@petrogustavo</v>
      </c>
      <c r="C11886" s="5" t="s">
        <v>16</v>
      </c>
      <c r="D11886" s="5" t="s">
        <v>11446</v>
      </c>
      <c r="E11886" s="6" t="str">
        <f>HYPERLINK("https://twitter.com/petrogustavo/status/1328658858034798592","1328658858034798592")</f>
        <v>1328658858034798592</v>
      </c>
      <c r="F11886" s="7" t="s">
        <v>17</v>
      </c>
      <c r="G11886" s="7">
        <v>4008273</v>
      </c>
      <c r="H11886" s="7">
        <v>2461</v>
      </c>
      <c r="I11886" s="7">
        <v>44</v>
      </c>
      <c r="J11886" s="7">
        <v>203</v>
      </c>
      <c r="K11886" s="7" t="s">
        <v>18</v>
      </c>
      <c r="L11886" s="8">
        <v>39987.315405092595</v>
      </c>
      <c r="M11886" s="9" t="s">
        <v>19</v>
      </c>
      <c r="N11886" s="9" t="s">
        <v>20</v>
      </c>
      <c r="O11886" s="6" t="str">
        <f>HYPERLINK("https://pbs.twimg.com/profile_images/962471262747529216/Uo8lOkRJ_normal.jpg","View")</f>
        <v>View</v>
      </c>
      <c r="P11886" s="7"/>
    </row>
    <row r="11887" spans="1:16">
      <c r="A11887" s="3">
        <v>44152.735162037032</v>
      </c>
      <c r="B11887" s="4" t="str">
        <f>HYPERLINK("https://twitter.com/petrogustavo","@petrogustavo")</f>
        <v>@petrogustavo</v>
      </c>
      <c r="C11887" s="5" t="s">
        <v>16</v>
      </c>
      <c r="D11887" s="5" t="s">
        <v>11447</v>
      </c>
      <c r="E11887" s="6" t="str">
        <f>HYPERLINK("https://twitter.com/petrogustavo/status/1328671385040936963","1328671385040936963")</f>
        <v>1328671385040936963</v>
      </c>
      <c r="F11887" s="7" t="s">
        <v>17</v>
      </c>
      <c r="G11887" s="7">
        <v>4008293</v>
      </c>
      <c r="H11887" s="7">
        <v>2461</v>
      </c>
      <c r="I11887" s="7">
        <v>43</v>
      </c>
      <c r="J11887" s="7">
        <v>147</v>
      </c>
      <c r="K11887" s="7" t="s">
        <v>18</v>
      </c>
      <c r="L11887" s="8">
        <v>39987.315405092595</v>
      </c>
      <c r="M11887" s="9" t="s">
        <v>19</v>
      </c>
      <c r="N11887" s="9" t="s">
        <v>20</v>
      </c>
      <c r="O11887" s="6" t="str">
        <f>HYPERLINK("https://pbs.twimg.com/profile_images/962471262747529216/Uo8lOkRJ_normal.jpg","View")</f>
        <v>View</v>
      </c>
      <c r="P11887" s="7"/>
    </row>
    <row r="11888" spans="1:16">
      <c r="A11888" s="3">
        <v>44152.736157407402</v>
      </c>
      <c r="B11888" s="4" t="str">
        <f>HYPERLINK("https://twitter.com/petrogustavo","@petrogustavo")</f>
        <v>@petrogustavo</v>
      </c>
      <c r="C11888" s="5" t="s">
        <v>16</v>
      </c>
      <c r="D11888" s="5" t="s">
        <v>11448</v>
      </c>
      <c r="E11888" s="6" t="str">
        <f>HYPERLINK("https://twitter.com/petrogustavo/status/1328671745268703240","1328671745268703240")</f>
        <v>1328671745268703240</v>
      </c>
      <c r="F11888" s="7" t="s">
        <v>17</v>
      </c>
      <c r="G11888" s="7">
        <v>4008293</v>
      </c>
      <c r="H11888" s="7">
        <v>2461</v>
      </c>
      <c r="I11888" s="7">
        <v>391</v>
      </c>
      <c r="J11888" s="7">
        <v>0</v>
      </c>
      <c r="K11888" s="7" t="s">
        <v>18</v>
      </c>
      <c r="L11888" s="8">
        <v>39987.315405092595</v>
      </c>
      <c r="M11888" s="9" t="s">
        <v>19</v>
      </c>
      <c r="N11888" s="9" t="s">
        <v>20</v>
      </c>
      <c r="O11888" s="6" t="str">
        <f>HYPERLINK("https://pbs.twimg.com/profile_images/962471262747529216/Uo8lOkRJ_normal.jpg","View")</f>
        <v>View</v>
      </c>
      <c r="P11888" s="7"/>
    </row>
    <row r="11889" spans="1:16">
      <c r="A11889" s="3">
        <v>44152.737662037034</v>
      </c>
      <c r="B11889" s="4" t="str">
        <f>HYPERLINK("https://twitter.com/petrogustavo","@petrogustavo")</f>
        <v>@petrogustavo</v>
      </c>
      <c r="C11889" s="5" t="s">
        <v>16</v>
      </c>
      <c r="D11889" s="5" t="s">
        <v>11449</v>
      </c>
      <c r="E11889" s="6" t="str">
        <f>HYPERLINK("https://twitter.com/petrogustavo/status/1328672293514596352","1328672293514596352")</f>
        <v>1328672293514596352</v>
      </c>
      <c r="F11889" s="7" t="s">
        <v>17</v>
      </c>
      <c r="G11889" s="7">
        <v>4008293</v>
      </c>
      <c r="H11889" s="7">
        <v>2461</v>
      </c>
      <c r="I11889" s="7">
        <v>625</v>
      </c>
      <c r="J11889" s="7">
        <v>0</v>
      </c>
      <c r="K11889" s="7" t="s">
        <v>18</v>
      </c>
      <c r="L11889" s="8">
        <v>39987.315405092595</v>
      </c>
      <c r="M11889" s="9" t="s">
        <v>19</v>
      </c>
      <c r="N11889" s="9" t="s">
        <v>20</v>
      </c>
      <c r="O11889" s="6" t="str">
        <f>HYPERLINK("https://pbs.twimg.com/profile_images/962471262747529216/Uo8lOkRJ_normal.jpg","View")</f>
        <v>View</v>
      </c>
      <c r="P11889" s="7"/>
    </row>
    <row r="11890" spans="1:16">
      <c r="A11890" s="3">
        <v>44152.739039351851</v>
      </c>
      <c r="B11890" s="4" t="str">
        <f>HYPERLINK("https://twitter.com/petrogustavo","@petrogustavo")</f>
        <v>@petrogustavo</v>
      </c>
      <c r="C11890" s="5" t="s">
        <v>16</v>
      </c>
      <c r="D11890" s="5" t="s">
        <v>11450</v>
      </c>
      <c r="E11890" s="6" t="str">
        <f>HYPERLINK("https://twitter.com/petrogustavo/status/1328672792573849600","1328672792573849600")</f>
        <v>1328672792573849600</v>
      </c>
      <c r="F11890" s="7" t="s">
        <v>17</v>
      </c>
      <c r="G11890" s="7">
        <v>4008293</v>
      </c>
      <c r="H11890" s="7">
        <v>2461</v>
      </c>
      <c r="I11890" s="7">
        <v>119</v>
      </c>
      <c r="J11890" s="7">
        <v>816</v>
      </c>
      <c r="K11890" s="7" t="s">
        <v>18</v>
      </c>
      <c r="L11890" s="8">
        <v>39987.315405092595</v>
      </c>
      <c r="M11890" s="9" t="s">
        <v>19</v>
      </c>
      <c r="N11890" s="9" t="s">
        <v>20</v>
      </c>
      <c r="O11890" s="6" t="str">
        <f>HYPERLINK("https://pbs.twimg.com/profile_images/962471262747529216/Uo8lOkRJ_normal.jpg","View")</f>
        <v>View</v>
      </c>
      <c r="P11890" s="7"/>
    </row>
    <row r="11891" spans="1:16">
      <c r="A11891" s="3">
        <v>44152.741157407407</v>
      </c>
      <c r="B11891" s="4" t="str">
        <f>HYPERLINK("https://twitter.com/petrogustavo","@petrogustavo")</f>
        <v>@petrogustavo</v>
      </c>
      <c r="C11891" s="5" t="s">
        <v>16</v>
      </c>
      <c r="D11891" s="5" t="s">
        <v>11451</v>
      </c>
      <c r="E11891" s="6" t="str">
        <f>HYPERLINK("https://twitter.com/petrogustavo/status/1328673558873206785","1328673558873206785")</f>
        <v>1328673558873206785</v>
      </c>
      <c r="F11891" s="7" t="s">
        <v>17</v>
      </c>
      <c r="G11891" s="7">
        <v>4008293</v>
      </c>
      <c r="H11891" s="7">
        <v>2461</v>
      </c>
      <c r="I11891" s="7">
        <v>67</v>
      </c>
      <c r="J11891" s="7">
        <v>139</v>
      </c>
      <c r="K11891" s="7" t="s">
        <v>18</v>
      </c>
      <c r="L11891" s="8">
        <v>39987.315405092595</v>
      </c>
      <c r="M11891" s="9" t="s">
        <v>19</v>
      </c>
      <c r="N11891" s="9" t="s">
        <v>20</v>
      </c>
      <c r="O11891" s="6" t="str">
        <f>HYPERLINK("https://pbs.twimg.com/profile_images/962471262747529216/Uo8lOkRJ_normal.jpg","View")</f>
        <v>View</v>
      </c>
      <c r="P11891" s="7"/>
    </row>
    <row r="11892" spans="1:16">
      <c r="A11892" s="3">
        <v>44152.744733796295</v>
      </c>
      <c r="B11892" s="4" t="str">
        <f>HYPERLINK("https://twitter.com/petrogustavo","@petrogustavo")</f>
        <v>@petrogustavo</v>
      </c>
      <c r="C11892" s="5" t="s">
        <v>16</v>
      </c>
      <c r="D11892" s="5" t="s">
        <v>11452</v>
      </c>
      <c r="E11892" s="6" t="str">
        <f>HYPERLINK("https://twitter.com/petrogustavo/status/1328674852342013952","1328674852342013952")</f>
        <v>1328674852342013952</v>
      </c>
      <c r="F11892" s="7" t="s">
        <v>17</v>
      </c>
      <c r="G11892" s="7">
        <v>4008293</v>
      </c>
      <c r="H11892" s="7">
        <v>2461</v>
      </c>
      <c r="I11892" s="7">
        <v>21</v>
      </c>
      <c r="J11892" s="7">
        <v>0</v>
      </c>
      <c r="K11892" s="7" t="s">
        <v>18</v>
      </c>
      <c r="L11892" s="8">
        <v>39987.315405092595</v>
      </c>
      <c r="M11892" s="9" t="s">
        <v>19</v>
      </c>
      <c r="N11892" s="9" t="s">
        <v>20</v>
      </c>
      <c r="O11892" s="6" t="str">
        <f>HYPERLINK("https://pbs.twimg.com/profile_images/962471262747529216/Uo8lOkRJ_normal.jpg","View")</f>
        <v>View</v>
      </c>
      <c r="P11892" s="7"/>
    </row>
    <row r="11893" spans="1:16">
      <c r="A11893" s="3">
        <v>44152.751863425925</v>
      </c>
      <c r="B11893" s="4" t="str">
        <f>HYPERLINK("https://twitter.com/petrogustavo","@petrogustavo")</f>
        <v>@petrogustavo</v>
      </c>
      <c r="C11893" s="5" t="s">
        <v>16</v>
      </c>
      <c r="D11893" s="5" t="s">
        <v>11453</v>
      </c>
      <c r="E11893" s="6" t="str">
        <f>HYPERLINK("https://twitter.com/petrogustavo/status/1328677436981121025","1328677436981121025")</f>
        <v>1328677436981121025</v>
      </c>
      <c r="F11893" s="7" t="s">
        <v>17</v>
      </c>
      <c r="G11893" s="7">
        <v>4008293</v>
      </c>
      <c r="H11893" s="7">
        <v>2461</v>
      </c>
      <c r="I11893" s="7">
        <v>17</v>
      </c>
      <c r="J11893" s="7">
        <v>0</v>
      </c>
      <c r="K11893" s="7" t="s">
        <v>18</v>
      </c>
      <c r="L11893" s="8">
        <v>39987.315405092595</v>
      </c>
      <c r="M11893" s="9" t="s">
        <v>19</v>
      </c>
      <c r="N11893" s="9" t="s">
        <v>20</v>
      </c>
      <c r="O11893" s="6" t="str">
        <f>HYPERLINK("https://pbs.twimg.com/profile_images/962471262747529216/Uo8lOkRJ_normal.jpg","View")</f>
        <v>View</v>
      </c>
      <c r="P11893" s="7"/>
    </row>
    <row r="11894" spans="1:16">
      <c r="A11894" s="3">
        <v>44152.752187499995</v>
      </c>
      <c r="B11894" s="4" t="str">
        <f>HYPERLINK("https://twitter.com/petrogustavo","@petrogustavo")</f>
        <v>@petrogustavo</v>
      </c>
      <c r="C11894" s="5" t="s">
        <v>16</v>
      </c>
      <c r="D11894" s="5" t="s">
        <v>11454</v>
      </c>
      <c r="E11894" s="6" t="str">
        <f>HYPERLINK("https://twitter.com/petrogustavo/status/1328677554820165632","1328677554820165632")</f>
        <v>1328677554820165632</v>
      </c>
      <c r="F11894" s="7" t="s">
        <v>17</v>
      </c>
      <c r="G11894" s="7">
        <v>4008293</v>
      </c>
      <c r="H11894" s="7">
        <v>2461</v>
      </c>
      <c r="I11894" s="7">
        <v>480</v>
      </c>
      <c r="J11894" s="7">
        <v>0</v>
      </c>
      <c r="K11894" s="7" t="s">
        <v>18</v>
      </c>
      <c r="L11894" s="8">
        <v>39987.315405092595</v>
      </c>
      <c r="M11894" s="9" t="s">
        <v>19</v>
      </c>
      <c r="N11894" s="9" t="s">
        <v>20</v>
      </c>
      <c r="O11894" s="6" t="str">
        <f>HYPERLINK("https://pbs.twimg.com/profile_images/962471262747529216/Uo8lOkRJ_normal.jpg","View")</f>
        <v>View</v>
      </c>
      <c r="P11894" s="7"/>
    </row>
    <row r="11895" spans="1:16">
      <c r="A11895" s="3">
        <v>44152.755497685182</v>
      </c>
      <c r="B11895" s="4" t="str">
        <f>HYPERLINK("https://twitter.com/petrogustavo","@petrogustavo")</f>
        <v>@petrogustavo</v>
      </c>
      <c r="C11895" s="5" t="s">
        <v>16</v>
      </c>
      <c r="D11895" s="5" t="s">
        <v>11455</v>
      </c>
      <c r="E11895" s="6" t="str">
        <f>HYPERLINK("https://twitter.com/petrogustavo/status/1328678755175436288","1328678755175436288")</f>
        <v>1328678755175436288</v>
      </c>
      <c r="F11895" s="7" t="s">
        <v>17</v>
      </c>
      <c r="G11895" s="7">
        <v>4008314</v>
      </c>
      <c r="H11895" s="7">
        <v>2461</v>
      </c>
      <c r="I11895" s="7">
        <v>35</v>
      </c>
      <c r="J11895" s="7">
        <v>129</v>
      </c>
      <c r="K11895" s="7" t="s">
        <v>18</v>
      </c>
      <c r="L11895" s="8">
        <v>39987.315405092595</v>
      </c>
      <c r="M11895" s="9" t="s">
        <v>19</v>
      </c>
      <c r="N11895" s="9" t="s">
        <v>20</v>
      </c>
      <c r="O11895" s="6" t="str">
        <f>HYPERLINK("https://pbs.twimg.com/profile_images/962471262747529216/Uo8lOkRJ_normal.jpg","View")</f>
        <v>View</v>
      </c>
      <c r="P11895" s="7"/>
    </row>
    <row r="11896" spans="1:16">
      <c r="A11896" s="3">
        <v>44152.767696759256</v>
      </c>
      <c r="B11896" s="4" t="str">
        <f>HYPERLINK("https://twitter.com/petrogustavo","@petrogustavo")</f>
        <v>@petrogustavo</v>
      </c>
      <c r="C11896" s="5" t="s">
        <v>16</v>
      </c>
      <c r="D11896" s="5" t="s">
        <v>11456</v>
      </c>
      <c r="E11896" s="6" t="str">
        <f>HYPERLINK("https://twitter.com/petrogustavo/status/1328683173874704384","1328683173874704384")</f>
        <v>1328683173874704384</v>
      </c>
      <c r="F11896" s="7" t="s">
        <v>32</v>
      </c>
      <c r="G11896" s="7">
        <v>4008314</v>
      </c>
      <c r="H11896" s="7">
        <v>2461</v>
      </c>
      <c r="I11896" s="7">
        <v>16</v>
      </c>
      <c r="J11896" s="7">
        <v>0</v>
      </c>
      <c r="K11896" s="7" t="s">
        <v>18</v>
      </c>
      <c r="L11896" s="8">
        <v>39987.315405092595</v>
      </c>
      <c r="M11896" s="9" t="s">
        <v>19</v>
      </c>
      <c r="N11896" s="9" t="s">
        <v>20</v>
      </c>
      <c r="O11896" s="6" t="str">
        <f>HYPERLINK("https://pbs.twimg.com/profile_images/962471262747529216/Uo8lOkRJ_normal.jpg","View")</f>
        <v>View</v>
      </c>
      <c r="P11896" s="7"/>
    </row>
    <row r="11897" spans="1:16">
      <c r="A11897" s="3">
        <v>44152.782418981486</v>
      </c>
      <c r="B11897" s="4" t="str">
        <f>HYPERLINK("https://twitter.com/petrogustavo","@petrogustavo")</f>
        <v>@petrogustavo</v>
      </c>
      <c r="C11897" s="5" t="s">
        <v>16</v>
      </c>
      <c r="D11897" s="5" t="s">
        <v>11457</v>
      </c>
      <c r="E11897" s="6" t="str">
        <f>HYPERLINK("https://twitter.com/petrogustavo/status/1328688510014984192","1328688510014984192")</f>
        <v>1328688510014984192</v>
      </c>
      <c r="F11897" s="7" t="s">
        <v>21</v>
      </c>
      <c r="G11897" s="7">
        <v>4008323</v>
      </c>
      <c r="H11897" s="7">
        <v>2461</v>
      </c>
      <c r="I11897" s="7">
        <v>71</v>
      </c>
      <c r="J11897" s="7">
        <v>264</v>
      </c>
      <c r="K11897" s="7" t="s">
        <v>18</v>
      </c>
      <c r="L11897" s="8">
        <v>39987.315405092595</v>
      </c>
      <c r="M11897" s="9" t="s">
        <v>19</v>
      </c>
      <c r="N11897" s="9" t="s">
        <v>20</v>
      </c>
      <c r="O11897" s="6" t="str">
        <f>HYPERLINK("https://pbs.twimg.com/profile_images/962471262747529216/Uo8lOkRJ_normal.jpg","View")</f>
        <v>View</v>
      </c>
      <c r="P11897" s="7"/>
    </row>
    <row r="11898" spans="1:16">
      <c r="A11898" s="3">
        <v>44152.797372685185</v>
      </c>
      <c r="B11898" s="4" t="str">
        <f>HYPERLINK("https://twitter.com/petrogustavo","@petrogustavo")</f>
        <v>@petrogustavo</v>
      </c>
      <c r="C11898" s="5" t="s">
        <v>16</v>
      </c>
      <c r="D11898" s="5" t="s">
        <v>11458</v>
      </c>
      <c r="E11898" s="6" t="str">
        <f>HYPERLINK("https://twitter.com/petrogustavo/status/1328693928045015040","1328693928045015040")</f>
        <v>1328693928045015040</v>
      </c>
      <c r="F11898" s="7" t="s">
        <v>21</v>
      </c>
      <c r="G11898" s="7">
        <v>4008334</v>
      </c>
      <c r="H11898" s="7">
        <v>2460</v>
      </c>
      <c r="I11898" s="7">
        <v>86</v>
      </c>
      <c r="J11898" s="7">
        <v>309</v>
      </c>
      <c r="K11898" s="7" t="s">
        <v>18</v>
      </c>
      <c r="L11898" s="8">
        <v>39987.315405092595</v>
      </c>
      <c r="M11898" s="9" t="s">
        <v>19</v>
      </c>
      <c r="N11898" s="9" t="s">
        <v>20</v>
      </c>
      <c r="O11898" s="6" t="str">
        <f>HYPERLINK("https://pbs.twimg.com/profile_images/962471262747529216/Uo8lOkRJ_normal.jpg","View")</f>
        <v>View</v>
      </c>
      <c r="P11898" s="7"/>
    </row>
    <row r="11899" spans="1:16">
      <c r="A11899" s="3">
        <v>44152.807129629626</v>
      </c>
      <c r="B11899" s="4" t="str">
        <f>HYPERLINK("https://twitter.com/petrogustavo","@petrogustavo")</f>
        <v>@petrogustavo</v>
      </c>
      <c r="C11899" s="5" t="s">
        <v>16</v>
      </c>
      <c r="D11899" s="5" t="s">
        <v>11459</v>
      </c>
      <c r="E11899" s="6" t="str">
        <f>HYPERLINK("https://twitter.com/petrogustavo/status/1328697464497582081","1328697464497582081")</f>
        <v>1328697464497582081</v>
      </c>
      <c r="F11899" s="7" t="s">
        <v>32</v>
      </c>
      <c r="G11899" s="7">
        <v>4008334</v>
      </c>
      <c r="H11899" s="7">
        <v>2460</v>
      </c>
      <c r="I11899" s="7">
        <v>26</v>
      </c>
      <c r="J11899" s="7">
        <v>114</v>
      </c>
      <c r="K11899" s="7" t="s">
        <v>18</v>
      </c>
      <c r="L11899" s="8">
        <v>39987.315405092595</v>
      </c>
      <c r="M11899" s="9" t="s">
        <v>19</v>
      </c>
      <c r="N11899" s="9" t="s">
        <v>20</v>
      </c>
      <c r="O11899" s="6" t="str">
        <f>HYPERLINK("https://pbs.twimg.com/profile_images/962471262747529216/Uo8lOkRJ_normal.jpg","View")</f>
        <v>View</v>
      </c>
      <c r="P11899" s="7"/>
    </row>
    <row r="11900" spans="1:16">
      <c r="A11900" s="3">
        <v>44152.807245370372</v>
      </c>
      <c r="B11900" s="4" t="str">
        <f>HYPERLINK("https://twitter.com/petrogustavo","@petrogustavo")</f>
        <v>@petrogustavo</v>
      </c>
      <c r="C11900" s="5" t="s">
        <v>16</v>
      </c>
      <c r="D11900" s="5" t="s">
        <v>11460</v>
      </c>
      <c r="E11900" s="6" t="str">
        <f>HYPERLINK("https://twitter.com/petrogustavo/status/1328697508944605184","1328697508944605184")</f>
        <v>1328697508944605184</v>
      </c>
      <c r="F11900" s="7" t="s">
        <v>32</v>
      </c>
      <c r="G11900" s="7">
        <v>4008334</v>
      </c>
      <c r="H11900" s="7">
        <v>2460</v>
      </c>
      <c r="I11900" s="7">
        <v>86</v>
      </c>
      <c r="J11900" s="7">
        <v>0</v>
      </c>
      <c r="K11900" s="7" t="s">
        <v>18</v>
      </c>
      <c r="L11900" s="8">
        <v>39987.315405092595</v>
      </c>
      <c r="M11900" s="9" t="s">
        <v>19</v>
      </c>
      <c r="N11900" s="9" t="s">
        <v>20</v>
      </c>
      <c r="O11900" s="6" t="str">
        <f>HYPERLINK("https://pbs.twimg.com/profile_images/962471262747529216/Uo8lOkRJ_normal.jpg","View")</f>
        <v>View</v>
      </c>
      <c r="P11900" s="7"/>
    </row>
    <row r="11901" spans="1:16">
      <c r="A11901" s="3">
        <v>44152.944143518514</v>
      </c>
      <c r="B11901" s="4" t="str">
        <f>HYPERLINK("https://twitter.com/petrogustavo","@petrogustavo")</f>
        <v>@petrogustavo</v>
      </c>
      <c r="C11901" s="5" t="s">
        <v>16</v>
      </c>
      <c r="D11901" s="5" t="s">
        <v>11460</v>
      </c>
      <c r="E11901" s="6" t="str">
        <f>HYPERLINK("https://twitter.com/petrogustavo/status/1328747117175779330","1328747117175779330")</f>
        <v>1328747117175779330</v>
      </c>
      <c r="F11901" s="7" t="s">
        <v>17</v>
      </c>
      <c r="G11901" s="7">
        <v>4008439</v>
      </c>
      <c r="H11901" s="7">
        <v>2459</v>
      </c>
      <c r="I11901" s="7">
        <v>300</v>
      </c>
      <c r="J11901" s="7">
        <v>0</v>
      </c>
      <c r="K11901" s="7" t="s">
        <v>18</v>
      </c>
      <c r="L11901" s="8">
        <v>39987.315405092595</v>
      </c>
      <c r="M11901" s="9" t="s">
        <v>19</v>
      </c>
      <c r="N11901" s="9" t="s">
        <v>20</v>
      </c>
      <c r="O11901" s="6" t="str">
        <f>HYPERLINK("https://pbs.twimg.com/profile_images/962471262747529216/Uo8lOkRJ_normal.jpg","View")</f>
        <v>View</v>
      </c>
      <c r="P11901" s="7"/>
    </row>
    <row r="11902" spans="1:16">
      <c r="A11902" s="3">
        <v>44152.947812500002</v>
      </c>
      <c r="B11902" s="4" t="str">
        <f>HYPERLINK("https://twitter.com/petrogustavo","@petrogustavo")</f>
        <v>@petrogustavo</v>
      </c>
      <c r="C11902" s="5" t="s">
        <v>16</v>
      </c>
      <c r="D11902" s="5" t="s">
        <v>11461</v>
      </c>
      <c r="E11902" s="6" t="str">
        <f>HYPERLINK("https://twitter.com/petrogustavo/status/1328748448397586433","1328748448397586433")</f>
        <v>1328748448397586433</v>
      </c>
      <c r="F11902" s="7" t="s">
        <v>17</v>
      </c>
      <c r="G11902" s="7">
        <v>4008439</v>
      </c>
      <c r="H11902" s="7">
        <v>2459</v>
      </c>
      <c r="I11902" s="7">
        <v>14</v>
      </c>
      <c r="J11902" s="7">
        <v>0</v>
      </c>
      <c r="K11902" s="7" t="s">
        <v>18</v>
      </c>
      <c r="L11902" s="8">
        <v>39987.315405092595</v>
      </c>
      <c r="M11902" s="9" t="s">
        <v>19</v>
      </c>
      <c r="N11902" s="9" t="s">
        <v>20</v>
      </c>
      <c r="O11902" s="6" t="str">
        <f>HYPERLINK("https://pbs.twimg.com/profile_images/962471262747529216/Uo8lOkRJ_normal.jpg","View")</f>
        <v>View</v>
      </c>
      <c r="P11902" s="7"/>
    </row>
    <row r="11903" spans="1:16">
      <c r="A11903" s="3">
        <v>44152.953229166669</v>
      </c>
      <c r="B11903" s="4" t="str">
        <f>HYPERLINK("https://twitter.com/petrogustavo","@petrogustavo")</f>
        <v>@petrogustavo</v>
      </c>
      <c r="C11903" s="5" t="s">
        <v>16</v>
      </c>
      <c r="D11903" s="5" t="s">
        <v>11462</v>
      </c>
      <c r="E11903" s="6" t="str">
        <f>HYPERLINK("https://twitter.com/petrogustavo/status/1328750409201184771","1328750409201184771")</f>
        <v>1328750409201184771</v>
      </c>
      <c r="F11903" s="7" t="s">
        <v>17</v>
      </c>
      <c r="G11903" s="7">
        <v>4008451</v>
      </c>
      <c r="H11903" s="7">
        <v>2459</v>
      </c>
      <c r="I11903" s="7">
        <v>88</v>
      </c>
      <c r="J11903" s="7">
        <v>272</v>
      </c>
      <c r="K11903" s="7" t="s">
        <v>18</v>
      </c>
      <c r="L11903" s="8">
        <v>39987.315405092595</v>
      </c>
      <c r="M11903" s="9" t="s">
        <v>19</v>
      </c>
      <c r="N11903" s="9" t="s">
        <v>20</v>
      </c>
      <c r="O11903" s="6" t="str">
        <f>HYPERLINK("https://pbs.twimg.com/profile_images/962471262747529216/Uo8lOkRJ_normal.jpg","View")</f>
        <v>View</v>
      </c>
      <c r="P11903" s="7"/>
    </row>
    <row r="11904" spans="1:16">
      <c r="A11904" s="3">
        <v>44152.961134259254</v>
      </c>
      <c r="B11904" s="4" t="str">
        <f>HYPERLINK("https://twitter.com/petrogustavo","@petrogustavo")</f>
        <v>@petrogustavo</v>
      </c>
      <c r="C11904" s="5" t="s">
        <v>16</v>
      </c>
      <c r="D11904" s="5" t="s">
        <v>11463</v>
      </c>
      <c r="E11904" s="6" t="str">
        <f>HYPERLINK("https://twitter.com/petrogustavo/status/1328753274586062853","1328753274586062853")</f>
        <v>1328753274586062853</v>
      </c>
      <c r="F11904" s="7" t="s">
        <v>17</v>
      </c>
      <c r="G11904" s="7">
        <v>4008451</v>
      </c>
      <c r="H11904" s="7">
        <v>2459</v>
      </c>
      <c r="I11904" s="7">
        <v>96</v>
      </c>
      <c r="J11904" s="7">
        <v>555</v>
      </c>
      <c r="K11904" s="7" t="s">
        <v>18</v>
      </c>
      <c r="L11904" s="8">
        <v>39987.315405092595</v>
      </c>
      <c r="M11904" s="9" t="s">
        <v>19</v>
      </c>
      <c r="N11904" s="9" t="s">
        <v>20</v>
      </c>
      <c r="O11904" s="6" t="str">
        <f>HYPERLINK("https://pbs.twimg.com/profile_images/962471262747529216/Uo8lOkRJ_normal.jpg","View")</f>
        <v>View</v>
      </c>
      <c r="P11904" s="7"/>
    </row>
    <row r="11905" spans="1:16">
      <c r="A11905" s="3">
        <v>44152.961331018523</v>
      </c>
      <c r="B11905" s="4" t="str">
        <f>HYPERLINK("https://twitter.com/petrogustavo","@petrogustavo")</f>
        <v>@petrogustavo</v>
      </c>
      <c r="C11905" s="5" t="s">
        <v>16</v>
      </c>
      <c r="D11905" s="5" t="s">
        <v>11464</v>
      </c>
      <c r="E11905" s="6" t="str">
        <f>HYPERLINK("https://twitter.com/petrogustavo/status/1328753345322946561","1328753345322946561")</f>
        <v>1328753345322946561</v>
      </c>
      <c r="F11905" s="7" t="s">
        <v>17</v>
      </c>
      <c r="G11905" s="7">
        <v>4008451</v>
      </c>
      <c r="H11905" s="7">
        <v>2459</v>
      </c>
      <c r="I11905" s="7">
        <v>88</v>
      </c>
      <c r="J11905" s="7">
        <v>0</v>
      </c>
      <c r="K11905" s="7" t="s">
        <v>18</v>
      </c>
      <c r="L11905" s="8">
        <v>39987.315405092595</v>
      </c>
      <c r="M11905" s="9" t="s">
        <v>19</v>
      </c>
      <c r="N11905" s="9" t="s">
        <v>20</v>
      </c>
      <c r="O11905" s="6" t="str">
        <f>HYPERLINK("https://pbs.twimg.com/profile_images/962471262747529216/Uo8lOkRJ_normal.jpg","View")</f>
        <v>View</v>
      </c>
      <c r="P11905" s="7"/>
    </row>
    <row r="11906" spans="1:16">
      <c r="A11906" s="3">
        <v>44152.962731481486</v>
      </c>
      <c r="B11906" s="4" t="str">
        <f>HYPERLINK("https://twitter.com/petrogustavo","@petrogustavo")</f>
        <v>@petrogustavo</v>
      </c>
      <c r="C11906" s="5" t="s">
        <v>16</v>
      </c>
      <c r="D11906" s="5" t="s">
        <v>11465</v>
      </c>
      <c r="E11906" s="6" t="str">
        <f>HYPERLINK("https://twitter.com/petrogustavo/status/1328753852271767561","1328753852271767561")</f>
        <v>1328753852271767561</v>
      </c>
      <c r="F11906" s="7" t="s">
        <v>17</v>
      </c>
      <c r="G11906" s="7">
        <v>4008451</v>
      </c>
      <c r="H11906" s="7">
        <v>2459</v>
      </c>
      <c r="I11906" s="7">
        <v>14</v>
      </c>
      <c r="J11906" s="7">
        <v>0</v>
      </c>
      <c r="K11906" s="7" t="s">
        <v>18</v>
      </c>
      <c r="L11906" s="8">
        <v>39987.315405092595</v>
      </c>
      <c r="M11906" s="9" t="s">
        <v>19</v>
      </c>
      <c r="N11906" s="9" t="s">
        <v>20</v>
      </c>
      <c r="O11906" s="6" t="str">
        <f>HYPERLINK("https://pbs.twimg.com/profile_images/962471262747529216/Uo8lOkRJ_normal.jpg","View")</f>
        <v>View</v>
      </c>
      <c r="P11906" s="7"/>
    </row>
    <row r="11907" spans="1:16">
      <c r="A11907" s="3">
        <v>44152.965555555551</v>
      </c>
      <c r="B11907" s="4" t="str">
        <f>HYPERLINK("https://twitter.com/petrogustavo","@petrogustavo")</f>
        <v>@petrogustavo</v>
      </c>
      <c r="C11907" s="5" t="s">
        <v>16</v>
      </c>
      <c r="D11907" s="5" t="s">
        <v>11466</v>
      </c>
      <c r="E11907" s="6" t="str">
        <f>HYPERLINK("https://twitter.com/petrogustavo/status/1328754877640683522","1328754877640683522")</f>
        <v>1328754877640683522</v>
      </c>
      <c r="F11907" s="7" t="s">
        <v>17</v>
      </c>
      <c r="G11907" s="7">
        <v>4008451</v>
      </c>
      <c r="H11907" s="7">
        <v>2459</v>
      </c>
      <c r="I11907" s="7">
        <v>17</v>
      </c>
      <c r="J11907" s="7">
        <v>76</v>
      </c>
      <c r="K11907" s="7" t="s">
        <v>18</v>
      </c>
      <c r="L11907" s="8">
        <v>39987.315405092595</v>
      </c>
      <c r="M11907" s="9" t="s">
        <v>19</v>
      </c>
      <c r="N11907" s="9" t="s">
        <v>20</v>
      </c>
      <c r="O11907" s="6" t="str">
        <f>HYPERLINK("https://pbs.twimg.com/profile_images/962471262747529216/Uo8lOkRJ_normal.jpg","View")</f>
        <v>View</v>
      </c>
      <c r="P11907" s="7"/>
    </row>
    <row r="11908" spans="1:16">
      <c r="A11908" s="3">
        <v>44152.966724537036</v>
      </c>
      <c r="B11908" s="4" t="str">
        <f>HYPERLINK("https://twitter.com/petrogustavo","@petrogustavo")</f>
        <v>@petrogustavo</v>
      </c>
      <c r="C11908" s="5" t="s">
        <v>16</v>
      </c>
      <c r="D11908" s="5" t="s">
        <v>11467</v>
      </c>
      <c r="E11908" s="6" t="str">
        <f>HYPERLINK("https://twitter.com/petrogustavo/status/1328755301756116996","1328755301756116996")</f>
        <v>1328755301756116996</v>
      </c>
      <c r="F11908" s="7" t="s">
        <v>17</v>
      </c>
      <c r="G11908" s="7">
        <v>4008451</v>
      </c>
      <c r="H11908" s="7">
        <v>2459</v>
      </c>
      <c r="I11908" s="7">
        <v>22</v>
      </c>
      <c r="J11908" s="7">
        <v>101</v>
      </c>
      <c r="K11908" s="7" t="s">
        <v>18</v>
      </c>
      <c r="L11908" s="8">
        <v>39987.315405092595</v>
      </c>
      <c r="M11908" s="9" t="s">
        <v>19</v>
      </c>
      <c r="N11908" s="9" t="s">
        <v>20</v>
      </c>
      <c r="O11908" s="6" t="str">
        <f>HYPERLINK("https://pbs.twimg.com/profile_images/962471262747529216/Uo8lOkRJ_normal.jpg","View")</f>
        <v>View</v>
      </c>
      <c r="P11908" s="7"/>
    </row>
    <row r="11909" spans="1:16">
      <c r="A11909" s="3">
        <v>44152.975624999999</v>
      </c>
      <c r="B11909" s="4" t="str">
        <f>HYPERLINK("https://twitter.com/petrogustavo","@petrogustavo")</f>
        <v>@petrogustavo</v>
      </c>
      <c r="C11909" s="5" t="s">
        <v>16</v>
      </c>
      <c r="D11909" s="5" t="s">
        <v>11468</v>
      </c>
      <c r="E11909" s="6" t="str">
        <f>HYPERLINK("https://twitter.com/petrogustavo/status/1328758527561781250","1328758527561781250")</f>
        <v>1328758527561781250</v>
      </c>
      <c r="F11909" s="7" t="s">
        <v>17</v>
      </c>
      <c r="G11909" s="7">
        <v>4008463</v>
      </c>
      <c r="H11909" s="7">
        <v>2459</v>
      </c>
      <c r="I11909" s="7">
        <v>81</v>
      </c>
      <c r="J11909" s="7">
        <v>212</v>
      </c>
      <c r="K11909" s="7" t="s">
        <v>18</v>
      </c>
      <c r="L11909" s="8">
        <v>39987.315405092595</v>
      </c>
      <c r="M11909" s="9" t="s">
        <v>19</v>
      </c>
      <c r="N11909" s="9" t="s">
        <v>20</v>
      </c>
      <c r="O11909" s="6" t="str">
        <f>HYPERLINK("https://pbs.twimg.com/profile_images/962471262747529216/Uo8lOkRJ_normal.jpg","View")</f>
        <v>View</v>
      </c>
      <c r="P11909" s="7"/>
    </row>
    <row r="11910" spans="1:16">
      <c r="A11910" s="3">
        <v>44152.985833333332</v>
      </c>
      <c r="B11910" s="4" t="str">
        <f>HYPERLINK("https://twitter.com/petrogustavo","@petrogustavo")</f>
        <v>@petrogustavo</v>
      </c>
      <c r="C11910" s="5" t="s">
        <v>16</v>
      </c>
      <c r="D11910" s="5" t="s">
        <v>11469</v>
      </c>
      <c r="E11910" s="6" t="str">
        <f>HYPERLINK("https://twitter.com/petrogustavo/status/1328762224362532866","1328762224362532866")</f>
        <v>1328762224362532866</v>
      </c>
      <c r="F11910" s="7" t="s">
        <v>17</v>
      </c>
      <c r="G11910" s="7">
        <v>4008463</v>
      </c>
      <c r="H11910" s="7">
        <v>2459</v>
      </c>
      <c r="I11910" s="7">
        <v>53</v>
      </c>
      <c r="J11910" s="7">
        <v>234</v>
      </c>
      <c r="K11910" s="7" t="s">
        <v>18</v>
      </c>
      <c r="L11910" s="8">
        <v>39987.315405092595</v>
      </c>
      <c r="M11910" s="9" t="s">
        <v>19</v>
      </c>
      <c r="N11910" s="9" t="s">
        <v>20</v>
      </c>
      <c r="O11910" s="6" t="str">
        <f>HYPERLINK("https://pbs.twimg.com/profile_images/962471262747529216/Uo8lOkRJ_normal.jpg","View")</f>
        <v>View</v>
      </c>
      <c r="P11910" s="7"/>
    </row>
    <row r="11911" spans="1:16">
      <c r="A11911" s="3">
        <v>44152.986944444448</v>
      </c>
      <c r="B11911" s="4" t="str">
        <f>HYPERLINK("https://twitter.com/petrogustavo","@petrogustavo")</f>
        <v>@petrogustavo</v>
      </c>
      <c r="C11911" s="5" t="s">
        <v>16</v>
      </c>
      <c r="D11911" s="5" t="s">
        <v>11470</v>
      </c>
      <c r="E11911" s="6" t="str">
        <f>HYPERLINK("https://twitter.com/petrogustavo/status/1328762629830144000","1328762629830144000")</f>
        <v>1328762629830144000</v>
      </c>
      <c r="F11911" s="7" t="s">
        <v>17</v>
      </c>
      <c r="G11911" s="7">
        <v>4008463</v>
      </c>
      <c r="H11911" s="7">
        <v>2459</v>
      </c>
      <c r="I11911" s="7">
        <v>32</v>
      </c>
      <c r="J11911" s="7">
        <v>121</v>
      </c>
      <c r="K11911" s="7" t="s">
        <v>18</v>
      </c>
      <c r="L11911" s="8">
        <v>39987.315405092595</v>
      </c>
      <c r="M11911" s="9" t="s">
        <v>19</v>
      </c>
      <c r="N11911" s="9" t="s">
        <v>20</v>
      </c>
      <c r="O11911" s="6" t="str">
        <f>HYPERLINK("https://pbs.twimg.com/profile_images/962471262747529216/Uo8lOkRJ_normal.jpg","View")</f>
        <v>View</v>
      </c>
      <c r="P11911" s="7"/>
    </row>
    <row r="11912" spans="1:16">
      <c r="A11912" s="3">
        <v>44152.989166666666</v>
      </c>
      <c r="B11912" s="4" t="str">
        <f>HYPERLINK("https://twitter.com/petrogustavo","@petrogustavo")</f>
        <v>@petrogustavo</v>
      </c>
      <c r="C11912" s="5" t="s">
        <v>16</v>
      </c>
      <c r="D11912" s="5" t="s">
        <v>11471</v>
      </c>
      <c r="E11912" s="6" t="str">
        <f>HYPERLINK("https://twitter.com/petrogustavo/status/1328763435069431808","1328763435069431808")</f>
        <v>1328763435069431808</v>
      </c>
      <c r="F11912" s="7" t="s">
        <v>17</v>
      </c>
      <c r="G11912" s="7">
        <v>4008463</v>
      </c>
      <c r="H11912" s="7">
        <v>2459</v>
      </c>
      <c r="I11912" s="7">
        <v>27</v>
      </c>
      <c r="J11912" s="7">
        <v>0</v>
      </c>
      <c r="K11912" s="7" t="s">
        <v>18</v>
      </c>
      <c r="L11912" s="8">
        <v>39987.315405092595</v>
      </c>
      <c r="M11912" s="9" t="s">
        <v>19</v>
      </c>
      <c r="N11912" s="9" t="s">
        <v>20</v>
      </c>
      <c r="O11912" s="6" t="str">
        <f>HYPERLINK("https://pbs.twimg.com/profile_images/962471262747529216/Uo8lOkRJ_normal.jpg","View")</f>
        <v>View</v>
      </c>
      <c r="P11912" s="7"/>
    </row>
    <row r="11913" spans="1:16">
      <c r="A11913" s="3">
        <v>44152.995844907404</v>
      </c>
      <c r="B11913" s="4" t="str">
        <f>HYPERLINK("https://twitter.com/petrogustavo","@petrogustavo")</f>
        <v>@petrogustavo</v>
      </c>
      <c r="C11913" s="5" t="s">
        <v>16</v>
      </c>
      <c r="D11913" s="5" t="s">
        <v>11472</v>
      </c>
      <c r="E11913" s="6" t="str">
        <f>HYPERLINK("https://twitter.com/petrogustavo/status/1328765853857419268","1328765853857419268")</f>
        <v>1328765853857419268</v>
      </c>
      <c r="F11913" s="7" t="s">
        <v>17</v>
      </c>
      <c r="G11913" s="7">
        <v>4008462</v>
      </c>
      <c r="H11913" s="7">
        <v>2459</v>
      </c>
      <c r="I11913" s="7">
        <v>7</v>
      </c>
      <c r="J11913" s="7">
        <v>0</v>
      </c>
      <c r="K11913" s="7" t="s">
        <v>18</v>
      </c>
      <c r="L11913" s="8">
        <v>39987.315405092595</v>
      </c>
      <c r="M11913" s="9" t="s">
        <v>19</v>
      </c>
      <c r="N11913" s="9" t="s">
        <v>20</v>
      </c>
      <c r="O11913" s="6" t="str">
        <f>HYPERLINK("https://pbs.twimg.com/profile_images/962471262747529216/Uo8lOkRJ_normal.jpg","View")</f>
        <v>View</v>
      </c>
      <c r="P11913" s="7"/>
    </row>
    <row r="11914" spans="1:16">
      <c r="A11914" s="3">
        <v>44152.998113425929</v>
      </c>
      <c r="B11914" s="4" t="str">
        <f>HYPERLINK("https://twitter.com/petrogustavo","@petrogustavo")</f>
        <v>@petrogustavo</v>
      </c>
      <c r="C11914" s="5" t="s">
        <v>16</v>
      </c>
      <c r="D11914" s="5" t="s">
        <v>11473</v>
      </c>
      <c r="E11914" s="6" t="str">
        <f>HYPERLINK("https://twitter.com/petrogustavo/status/1328766675710304256","1328766675710304256")</f>
        <v>1328766675710304256</v>
      </c>
      <c r="F11914" s="7" t="s">
        <v>17</v>
      </c>
      <c r="G11914" s="7">
        <v>4008462</v>
      </c>
      <c r="H11914" s="7">
        <v>2459</v>
      </c>
      <c r="I11914" s="7">
        <v>26</v>
      </c>
      <c r="J11914" s="7">
        <v>133</v>
      </c>
      <c r="K11914" s="7" t="s">
        <v>18</v>
      </c>
      <c r="L11914" s="8">
        <v>39987.315405092595</v>
      </c>
      <c r="M11914" s="9" t="s">
        <v>19</v>
      </c>
      <c r="N11914" s="9" t="s">
        <v>20</v>
      </c>
      <c r="O11914" s="6" t="str">
        <f>HYPERLINK("https://pbs.twimg.com/profile_images/962471262747529216/Uo8lOkRJ_normal.jpg","View")</f>
        <v>View</v>
      </c>
      <c r="P11914" s="7"/>
    </row>
    <row r="11915" spans="1:16">
      <c r="A11915" s="3">
        <v>44153.001967592594</v>
      </c>
      <c r="B11915" s="4" t="str">
        <f>HYPERLINK("https://twitter.com/petrogustavo","@petrogustavo")</f>
        <v>@petrogustavo</v>
      </c>
      <c r="C11915" s="5" t="s">
        <v>16</v>
      </c>
      <c r="D11915" s="5" t="s">
        <v>11474</v>
      </c>
      <c r="E11915" s="6" t="str">
        <f>HYPERLINK("https://twitter.com/petrogustavo/status/1328768071293661192","1328768071293661192")</f>
        <v>1328768071293661192</v>
      </c>
      <c r="F11915" s="7" t="s">
        <v>17</v>
      </c>
      <c r="G11915" s="7">
        <v>4008462</v>
      </c>
      <c r="H11915" s="7">
        <v>2459</v>
      </c>
      <c r="I11915" s="7">
        <v>17</v>
      </c>
      <c r="J11915" s="7">
        <v>108</v>
      </c>
      <c r="K11915" s="7" t="s">
        <v>18</v>
      </c>
      <c r="L11915" s="8">
        <v>39987.315405092595</v>
      </c>
      <c r="M11915" s="9" t="s">
        <v>19</v>
      </c>
      <c r="N11915" s="9" t="s">
        <v>20</v>
      </c>
      <c r="O11915" s="6" t="str">
        <f>HYPERLINK("https://pbs.twimg.com/profile_images/962471262747529216/Uo8lOkRJ_normal.jpg","View")</f>
        <v>View</v>
      </c>
      <c r="P11915" s="7"/>
    </row>
    <row r="11916" spans="1:16">
      <c r="A11916" s="3">
        <v>44153.004560185189</v>
      </c>
      <c r="B11916" s="4" t="str">
        <f>HYPERLINK("https://twitter.com/petrogustavo","@petrogustavo")</f>
        <v>@petrogustavo</v>
      </c>
      <c r="C11916" s="5" t="s">
        <v>16</v>
      </c>
      <c r="D11916" s="5" t="s">
        <v>11475</v>
      </c>
      <c r="E11916" s="6" t="str">
        <f>HYPERLINK("https://twitter.com/petrogustavo/status/1328769011274932225","1328769011274932225")</f>
        <v>1328769011274932225</v>
      </c>
      <c r="F11916" s="7" t="s">
        <v>17</v>
      </c>
      <c r="G11916" s="7">
        <v>4008462</v>
      </c>
      <c r="H11916" s="7">
        <v>2459</v>
      </c>
      <c r="I11916" s="7">
        <v>78</v>
      </c>
      <c r="J11916" s="7">
        <v>340</v>
      </c>
      <c r="K11916" s="7" t="s">
        <v>18</v>
      </c>
      <c r="L11916" s="8">
        <v>39987.315405092595</v>
      </c>
      <c r="M11916" s="9" t="s">
        <v>19</v>
      </c>
      <c r="N11916" s="9" t="s">
        <v>20</v>
      </c>
      <c r="O11916" s="6" t="str">
        <f>HYPERLINK("https://pbs.twimg.com/profile_images/962471262747529216/Uo8lOkRJ_normal.jpg","View")</f>
        <v>View</v>
      </c>
      <c r="P11916" s="7"/>
    </row>
    <row r="11917" spans="1:16">
      <c r="A11917" s="3">
        <v>44153.009409722217</v>
      </c>
      <c r="B11917" s="4" t="str">
        <f>HYPERLINK("https://twitter.com/petrogustavo","@petrogustavo")</f>
        <v>@petrogustavo</v>
      </c>
      <c r="C11917" s="5" t="s">
        <v>16</v>
      </c>
      <c r="D11917" s="5" t="s">
        <v>11476</v>
      </c>
      <c r="E11917" s="6" t="str">
        <f>HYPERLINK("https://twitter.com/petrogustavo/status/1328770769489457154","1328770769489457154")</f>
        <v>1328770769489457154</v>
      </c>
      <c r="F11917" s="7" t="s">
        <v>17</v>
      </c>
      <c r="G11917" s="7">
        <v>4008462</v>
      </c>
      <c r="H11917" s="7">
        <v>2459</v>
      </c>
      <c r="I11917" s="7">
        <v>32</v>
      </c>
      <c r="J11917" s="7">
        <v>84</v>
      </c>
      <c r="K11917" s="7" t="s">
        <v>18</v>
      </c>
      <c r="L11917" s="8">
        <v>39987.315405092595</v>
      </c>
      <c r="M11917" s="9" t="s">
        <v>19</v>
      </c>
      <c r="N11917" s="9" t="s">
        <v>20</v>
      </c>
      <c r="O11917" s="6" t="str">
        <f>HYPERLINK("https://pbs.twimg.com/profile_images/962471262747529216/Uo8lOkRJ_normal.jpg","View")</f>
        <v>View</v>
      </c>
      <c r="P11917" s="7"/>
    </row>
    <row r="11918" spans="1:16">
      <c r="A11918" s="3">
        <v>44153.011354166665</v>
      </c>
      <c r="B11918" s="4" t="str">
        <f>HYPERLINK("https://twitter.com/petrogustavo","@petrogustavo")</f>
        <v>@petrogustavo</v>
      </c>
      <c r="C11918" s="5" t="s">
        <v>16</v>
      </c>
      <c r="D11918" s="5" t="s">
        <v>11477</v>
      </c>
      <c r="E11918" s="6" t="str">
        <f>HYPERLINK("https://twitter.com/petrogustavo/status/1328771472958119936","1328771472958119936")</f>
        <v>1328771472958119936</v>
      </c>
      <c r="F11918" s="7" t="s">
        <v>17</v>
      </c>
      <c r="G11918" s="7">
        <v>4008462</v>
      </c>
      <c r="H11918" s="7">
        <v>2459</v>
      </c>
      <c r="I11918" s="7">
        <v>25</v>
      </c>
      <c r="J11918" s="7">
        <v>46</v>
      </c>
      <c r="K11918" s="7" t="s">
        <v>18</v>
      </c>
      <c r="L11918" s="8">
        <v>39987.315405092595</v>
      </c>
      <c r="M11918" s="9" t="s">
        <v>19</v>
      </c>
      <c r="N11918" s="9" t="s">
        <v>20</v>
      </c>
      <c r="O11918" s="6" t="str">
        <f>HYPERLINK("https://pbs.twimg.com/profile_images/962471262747529216/Uo8lOkRJ_normal.jpg","View")</f>
        <v>View</v>
      </c>
      <c r="P11918" s="7"/>
    </row>
    <row r="11919" spans="1:16">
      <c r="A11919" s="3">
        <v>44153.012326388889</v>
      </c>
      <c r="B11919" s="4" t="str">
        <f>HYPERLINK("https://twitter.com/petrogustavo","@petrogustavo")</f>
        <v>@petrogustavo</v>
      </c>
      <c r="C11919" s="5" t="s">
        <v>16</v>
      </c>
      <c r="D11919" s="5" t="s">
        <v>11478</v>
      </c>
      <c r="E11919" s="6" t="str">
        <f>HYPERLINK("https://twitter.com/petrogustavo/status/1328771827926183937","1328771827926183937")</f>
        <v>1328771827926183937</v>
      </c>
      <c r="F11919" s="7" t="s">
        <v>17</v>
      </c>
      <c r="G11919" s="7">
        <v>4008462</v>
      </c>
      <c r="H11919" s="7">
        <v>2459</v>
      </c>
      <c r="I11919" s="7">
        <v>32</v>
      </c>
      <c r="J11919" s="7">
        <v>0</v>
      </c>
      <c r="K11919" s="7" t="s">
        <v>18</v>
      </c>
      <c r="L11919" s="8">
        <v>39987.315405092595</v>
      </c>
      <c r="M11919" s="9" t="s">
        <v>19</v>
      </c>
      <c r="N11919" s="9" t="s">
        <v>20</v>
      </c>
      <c r="O11919" s="6" t="str">
        <f>HYPERLINK("https://pbs.twimg.com/profile_images/962471262747529216/Uo8lOkRJ_normal.jpg","View")</f>
        <v>View</v>
      </c>
      <c r="P11919" s="7"/>
    </row>
    <row r="11920" spans="1:16">
      <c r="A11920" s="3">
        <v>44153.05768518518</v>
      </c>
      <c r="B11920" s="4" t="str">
        <f>HYPERLINK("https://twitter.com/petrogustavo","@petrogustavo")</f>
        <v>@petrogustavo</v>
      </c>
      <c r="C11920" s="5" t="s">
        <v>16</v>
      </c>
      <c r="D11920" s="5" t="s">
        <v>11479</v>
      </c>
      <c r="E11920" s="6" t="str">
        <f>HYPERLINK("https://twitter.com/petrogustavo/status/1328788264073965568","1328788264073965568")</f>
        <v>1328788264073965568</v>
      </c>
      <c r="F11920" s="7" t="s">
        <v>17</v>
      </c>
      <c r="G11920" s="7">
        <v>4008502</v>
      </c>
      <c r="H11920" s="7">
        <v>2459</v>
      </c>
      <c r="I11920" s="7">
        <v>48</v>
      </c>
      <c r="J11920" s="7">
        <v>89</v>
      </c>
      <c r="K11920" s="7" t="s">
        <v>18</v>
      </c>
      <c r="L11920" s="8">
        <v>39987.315405092595</v>
      </c>
      <c r="M11920" s="9" t="s">
        <v>19</v>
      </c>
      <c r="N11920" s="9" t="s">
        <v>20</v>
      </c>
      <c r="O11920" s="6" t="str">
        <f>HYPERLINK("https://pbs.twimg.com/profile_images/962471262747529216/Uo8lOkRJ_normal.jpg","View")</f>
        <v>View</v>
      </c>
      <c r="P11920" s="7"/>
    </row>
    <row r="11921" spans="1:16">
      <c r="A11921" s="3">
        <v>44153.059641203705</v>
      </c>
      <c r="B11921" s="4" t="str">
        <f>HYPERLINK("https://twitter.com/petrogustavo","@petrogustavo")</f>
        <v>@petrogustavo</v>
      </c>
      <c r="C11921" s="5" t="s">
        <v>16</v>
      </c>
      <c r="D11921" s="5" t="s">
        <v>11480</v>
      </c>
      <c r="E11921" s="6" t="str">
        <f>HYPERLINK("https://twitter.com/petrogustavo/status/1328788974392012803","1328788974392012803")</f>
        <v>1328788974392012803</v>
      </c>
      <c r="F11921" s="7" t="s">
        <v>17</v>
      </c>
      <c r="G11921" s="7">
        <v>4008502</v>
      </c>
      <c r="H11921" s="7">
        <v>2459</v>
      </c>
      <c r="I11921" s="7">
        <v>68</v>
      </c>
      <c r="J11921" s="7">
        <v>231</v>
      </c>
      <c r="K11921" s="7" t="s">
        <v>18</v>
      </c>
      <c r="L11921" s="8">
        <v>39987.315405092595</v>
      </c>
      <c r="M11921" s="9" t="s">
        <v>19</v>
      </c>
      <c r="N11921" s="9" t="s">
        <v>20</v>
      </c>
      <c r="O11921" s="6" t="str">
        <f>HYPERLINK("https://pbs.twimg.com/profile_images/962471262747529216/Uo8lOkRJ_normal.jpg","View")</f>
        <v>View</v>
      </c>
      <c r="P11921" s="7"/>
    </row>
    <row r="11922" spans="1:16">
      <c r="A11922" s="3">
        <v>44153.211550925931</v>
      </c>
      <c r="B11922" s="4" t="str">
        <f>HYPERLINK("https://twitter.com/petrogustavo","@petrogustavo")</f>
        <v>@petrogustavo</v>
      </c>
      <c r="C11922" s="5" t="s">
        <v>16</v>
      </c>
      <c r="D11922" s="5" t="s">
        <v>11481</v>
      </c>
      <c r="E11922" s="6" t="str">
        <f>HYPERLINK("https://twitter.com/petrogustavo/status/1328844024673931267","1328844024673931267")</f>
        <v>1328844024673931267</v>
      </c>
      <c r="F11922" s="7" t="s">
        <v>17</v>
      </c>
      <c r="G11922" s="7">
        <v>4008627</v>
      </c>
      <c r="H11922" s="7">
        <v>2459</v>
      </c>
      <c r="I11922" s="7">
        <v>179</v>
      </c>
      <c r="J11922" s="7">
        <v>0</v>
      </c>
      <c r="K11922" s="7" t="s">
        <v>18</v>
      </c>
      <c r="L11922" s="8">
        <v>39987.315405092595</v>
      </c>
      <c r="M11922" s="9" t="s">
        <v>19</v>
      </c>
      <c r="N11922" s="9" t="s">
        <v>20</v>
      </c>
      <c r="O11922" s="6" t="str">
        <f>HYPERLINK("https://pbs.twimg.com/profile_images/962471262747529216/Uo8lOkRJ_normal.jpg","View")</f>
        <v>View</v>
      </c>
      <c r="P11922" s="7"/>
    </row>
    <row r="11923" spans="1:16">
      <c r="A11923" s="3">
        <v>44153.212523148148</v>
      </c>
      <c r="B11923" s="4" t="str">
        <f>HYPERLINK("https://twitter.com/petrogustavo","@petrogustavo")</f>
        <v>@petrogustavo</v>
      </c>
      <c r="C11923" s="5" t="s">
        <v>16</v>
      </c>
      <c r="D11923" s="5" t="s">
        <v>11482</v>
      </c>
      <c r="E11923" s="6" t="str">
        <f>HYPERLINK("https://twitter.com/petrogustavo/status/1328844374474633216","1328844374474633216")</f>
        <v>1328844374474633216</v>
      </c>
      <c r="F11923" s="7" t="s">
        <v>17</v>
      </c>
      <c r="G11923" s="7">
        <v>4008627</v>
      </c>
      <c r="H11923" s="7">
        <v>2459</v>
      </c>
      <c r="I11923" s="7">
        <v>117</v>
      </c>
      <c r="J11923" s="7">
        <v>0</v>
      </c>
      <c r="K11923" s="7" t="s">
        <v>18</v>
      </c>
      <c r="L11923" s="8">
        <v>39987.315405092595</v>
      </c>
      <c r="M11923" s="9" t="s">
        <v>19</v>
      </c>
      <c r="N11923" s="9" t="s">
        <v>20</v>
      </c>
      <c r="O11923" s="6" t="str">
        <f>HYPERLINK("https://pbs.twimg.com/profile_images/962471262747529216/Uo8lOkRJ_normal.jpg","View")</f>
        <v>View</v>
      </c>
      <c r="P11923" s="7"/>
    </row>
    <row r="11924" spans="1:16">
      <c r="A11924" s="3">
        <v>44153.213993055557</v>
      </c>
      <c r="B11924" s="4" t="str">
        <f>HYPERLINK("https://twitter.com/petrogustavo","@petrogustavo")</f>
        <v>@petrogustavo</v>
      </c>
      <c r="C11924" s="5" t="s">
        <v>16</v>
      </c>
      <c r="D11924" s="5" t="s">
        <v>11483</v>
      </c>
      <c r="E11924" s="6" t="str">
        <f>HYPERLINK("https://twitter.com/petrogustavo/status/1328844909453987840","1328844909453987840")</f>
        <v>1328844909453987840</v>
      </c>
      <c r="F11924" s="7" t="s">
        <v>17</v>
      </c>
      <c r="G11924" s="7">
        <v>4008627</v>
      </c>
      <c r="H11924" s="7">
        <v>2459</v>
      </c>
      <c r="I11924" s="7">
        <v>212</v>
      </c>
      <c r="J11924" s="7">
        <v>0</v>
      </c>
      <c r="K11924" s="7" t="s">
        <v>18</v>
      </c>
      <c r="L11924" s="8">
        <v>39987.315405092595</v>
      </c>
      <c r="M11924" s="9" t="s">
        <v>19</v>
      </c>
      <c r="N11924" s="9" t="s">
        <v>20</v>
      </c>
      <c r="O11924" s="6" t="str">
        <f>HYPERLINK("https://pbs.twimg.com/profile_images/962471262747529216/Uo8lOkRJ_normal.jpg","View")</f>
        <v>View</v>
      </c>
      <c r="P11924" s="7"/>
    </row>
    <row r="11925" spans="1:16">
      <c r="A11925" s="3">
        <v>44153.224317129629</v>
      </c>
      <c r="B11925" s="4" t="str">
        <f>HYPERLINK("https://twitter.com/petrogustavo","@petrogustavo")</f>
        <v>@petrogustavo</v>
      </c>
      <c r="C11925" s="5" t="s">
        <v>16</v>
      </c>
      <c r="D11925" s="5" t="s">
        <v>11484</v>
      </c>
      <c r="E11925" s="6" t="str">
        <f>HYPERLINK("https://twitter.com/petrogustavo/status/1328848647392473088","1328848647392473088")</f>
        <v>1328848647392473088</v>
      </c>
      <c r="F11925" s="7" t="s">
        <v>17</v>
      </c>
      <c r="G11925" s="7">
        <v>4008644</v>
      </c>
      <c r="H11925" s="7">
        <v>2459</v>
      </c>
      <c r="I11925" s="7">
        <v>145</v>
      </c>
      <c r="J11925" s="7">
        <v>328</v>
      </c>
      <c r="K11925" s="7" t="s">
        <v>18</v>
      </c>
      <c r="L11925" s="8">
        <v>39987.315405092595</v>
      </c>
      <c r="M11925" s="9" t="s">
        <v>19</v>
      </c>
      <c r="N11925" s="9" t="s">
        <v>20</v>
      </c>
      <c r="O11925" s="6" t="str">
        <f>HYPERLINK("https://pbs.twimg.com/profile_images/962471262747529216/Uo8lOkRJ_normal.jpg","View")</f>
        <v>View</v>
      </c>
      <c r="P11925" s="7"/>
    </row>
    <row r="11926" spans="1:16">
      <c r="A11926" s="3">
        <v>44153.224907407406</v>
      </c>
      <c r="B11926" s="4" t="str">
        <f>HYPERLINK("https://twitter.com/petrogustavo","@petrogustavo")</f>
        <v>@petrogustavo</v>
      </c>
      <c r="C11926" s="5" t="s">
        <v>16</v>
      </c>
      <c r="D11926" s="5" t="s">
        <v>11485</v>
      </c>
      <c r="E11926" s="6" t="str">
        <f>HYPERLINK("https://twitter.com/petrogustavo/status/1328848863680221189","1328848863680221189")</f>
        <v>1328848863680221189</v>
      </c>
      <c r="F11926" s="7" t="s">
        <v>17</v>
      </c>
      <c r="G11926" s="7">
        <v>4008644</v>
      </c>
      <c r="H11926" s="7">
        <v>2459</v>
      </c>
      <c r="I11926" s="7">
        <v>219</v>
      </c>
      <c r="J11926" s="7">
        <v>1016</v>
      </c>
      <c r="K11926" s="7" t="s">
        <v>18</v>
      </c>
      <c r="L11926" s="8">
        <v>39987.315405092595</v>
      </c>
      <c r="M11926" s="9" t="s">
        <v>19</v>
      </c>
      <c r="N11926" s="9" t="s">
        <v>20</v>
      </c>
      <c r="O11926" s="6" t="str">
        <f>HYPERLINK("https://pbs.twimg.com/profile_images/962471262747529216/Uo8lOkRJ_normal.jpg","View")</f>
        <v>View</v>
      </c>
      <c r="P11926" s="7"/>
    </row>
    <row r="11927" spans="1:16">
      <c r="A11927" s="3">
        <v>44153.229270833333</v>
      </c>
      <c r="B11927" s="4" t="str">
        <f>HYPERLINK("https://twitter.com/petrogustavo","@petrogustavo")</f>
        <v>@petrogustavo</v>
      </c>
      <c r="C11927" s="5" t="s">
        <v>16</v>
      </c>
      <c r="D11927" s="5" t="s">
        <v>11486</v>
      </c>
      <c r="E11927" s="6" t="str">
        <f>HYPERLINK("https://twitter.com/petrogustavo/status/1328850443020226561","1328850443020226561")</f>
        <v>1328850443020226561</v>
      </c>
      <c r="F11927" s="7" t="s">
        <v>17</v>
      </c>
      <c r="G11927" s="7">
        <v>4008644</v>
      </c>
      <c r="H11927" s="7">
        <v>2459</v>
      </c>
      <c r="I11927" s="7">
        <v>82</v>
      </c>
      <c r="J11927" s="7">
        <v>0</v>
      </c>
      <c r="K11927" s="7" t="s">
        <v>18</v>
      </c>
      <c r="L11927" s="8">
        <v>39987.315405092595</v>
      </c>
      <c r="M11927" s="9" t="s">
        <v>19</v>
      </c>
      <c r="N11927" s="9" t="s">
        <v>20</v>
      </c>
      <c r="O11927" s="6" t="str">
        <f>HYPERLINK("https://pbs.twimg.com/profile_images/962471262747529216/Uo8lOkRJ_normal.jpg","View")</f>
        <v>View</v>
      </c>
      <c r="P11927" s="7"/>
    </row>
    <row r="11928" spans="1:16">
      <c r="A11928" s="3">
        <v>44153.250104166669</v>
      </c>
      <c r="B11928" s="4" t="str">
        <f>HYPERLINK("https://twitter.com/petrogustavo","@petrogustavo")</f>
        <v>@petrogustavo</v>
      </c>
      <c r="C11928" s="5" t="s">
        <v>16</v>
      </c>
      <c r="D11928" s="5" t="s">
        <v>11487</v>
      </c>
      <c r="E11928" s="6" t="str">
        <f>HYPERLINK("https://twitter.com/petrogustavo/status/1328857995384643585","1328857995384643585")</f>
        <v>1328857995384643585</v>
      </c>
      <c r="F11928" s="7" t="s">
        <v>17</v>
      </c>
      <c r="G11928" s="7">
        <v>4008640</v>
      </c>
      <c r="H11928" s="7">
        <v>2459</v>
      </c>
      <c r="I11928" s="7">
        <v>126</v>
      </c>
      <c r="J11928" s="7">
        <v>0</v>
      </c>
      <c r="K11928" s="7" t="s">
        <v>18</v>
      </c>
      <c r="L11928" s="8">
        <v>39987.315405092595</v>
      </c>
      <c r="M11928" s="9" t="s">
        <v>19</v>
      </c>
      <c r="N11928" s="9" t="s">
        <v>20</v>
      </c>
      <c r="O11928" s="6" t="str">
        <f>HYPERLINK("https://pbs.twimg.com/profile_images/962471262747529216/Uo8lOkRJ_normal.jpg","View")</f>
        <v>View</v>
      </c>
      <c r="P11928" s="7"/>
    </row>
    <row r="11929" spans="1:16">
      <c r="A11929" s="3">
        <v>44153.317233796297</v>
      </c>
      <c r="B11929" s="4" t="str">
        <f>HYPERLINK("https://twitter.com/petrogustavo","@petrogustavo")</f>
        <v>@petrogustavo</v>
      </c>
      <c r="C11929" s="5" t="s">
        <v>16</v>
      </c>
      <c r="D11929" s="5" t="s">
        <v>11460</v>
      </c>
      <c r="E11929" s="6" t="str">
        <f>HYPERLINK("https://twitter.com/petrogustavo/status/1328882323237064706","1328882323237064706")</f>
        <v>1328882323237064706</v>
      </c>
      <c r="F11929" s="7" t="s">
        <v>17</v>
      </c>
      <c r="G11929" s="7">
        <v>4008711</v>
      </c>
      <c r="H11929" s="7">
        <v>2459</v>
      </c>
      <c r="I11929" s="7">
        <v>461</v>
      </c>
      <c r="J11929" s="7">
        <v>0</v>
      </c>
      <c r="K11929" s="7" t="s">
        <v>18</v>
      </c>
      <c r="L11929" s="8">
        <v>39987.315405092595</v>
      </c>
      <c r="M11929" s="9" t="s">
        <v>19</v>
      </c>
      <c r="N11929" s="9" t="s">
        <v>20</v>
      </c>
      <c r="O11929" s="6" t="str">
        <f>HYPERLINK("https://pbs.twimg.com/profile_images/962471262747529216/Uo8lOkRJ_normal.jpg","View")</f>
        <v>View</v>
      </c>
      <c r="P11929" s="7"/>
    </row>
    <row r="11930" spans="1:16">
      <c r="A11930" s="3">
        <v>44153.394004629634</v>
      </c>
      <c r="B11930" s="4" t="str">
        <f>HYPERLINK("https://twitter.com/petrogustavo","@petrogustavo")</f>
        <v>@petrogustavo</v>
      </c>
      <c r="C11930" s="5" t="s">
        <v>16</v>
      </c>
      <c r="D11930" s="5" t="s">
        <v>11488</v>
      </c>
      <c r="E11930" s="6" t="str">
        <f>HYPERLINK("https://twitter.com/petrogustavo/status/1328910141761183745","1328910141761183745")</f>
        <v>1328910141761183745</v>
      </c>
      <c r="F11930" s="7" t="s">
        <v>32</v>
      </c>
      <c r="G11930" s="7">
        <v>4008773</v>
      </c>
      <c r="H11930" s="7">
        <v>2459</v>
      </c>
      <c r="I11930" s="7">
        <v>29</v>
      </c>
      <c r="J11930" s="7">
        <v>0</v>
      </c>
      <c r="K11930" s="7" t="s">
        <v>18</v>
      </c>
      <c r="L11930" s="8">
        <v>39987.315405092595</v>
      </c>
      <c r="M11930" s="9" t="s">
        <v>19</v>
      </c>
      <c r="N11930" s="9" t="s">
        <v>20</v>
      </c>
      <c r="O11930" s="6" t="str">
        <f>HYPERLINK("https://pbs.twimg.com/profile_images/962471262747529216/Uo8lOkRJ_normal.jpg","View")</f>
        <v>View</v>
      </c>
      <c r="P11930" s="7"/>
    </row>
    <row r="11931" spans="1:16">
      <c r="A11931" s="3">
        <v>44153.395625000005</v>
      </c>
      <c r="B11931" s="4" t="str">
        <f>HYPERLINK("https://twitter.com/petrogustavo","@petrogustavo")</f>
        <v>@petrogustavo</v>
      </c>
      <c r="C11931" s="5" t="s">
        <v>16</v>
      </c>
      <c r="D11931" s="5" t="s">
        <v>11489</v>
      </c>
      <c r="E11931" s="6" t="str">
        <f>HYPERLINK("https://twitter.com/petrogustavo/status/1328910729492254726","1328910729492254726")</f>
        <v>1328910729492254726</v>
      </c>
      <c r="F11931" s="7" t="s">
        <v>32</v>
      </c>
      <c r="G11931" s="7">
        <v>4008773</v>
      </c>
      <c r="H11931" s="7">
        <v>2459</v>
      </c>
      <c r="I11931" s="7">
        <v>224</v>
      </c>
      <c r="J11931" s="7">
        <v>0</v>
      </c>
      <c r="K11931" s="7" t="s">
        <v>18</v>
      </c>
      <c r="L11931" s="8">
        <v>39987.315405092595</v>
      </c>
      <c r="M11931" s="9" t="s">
        <v>19</v>
      </c>
      <c r="N11931" s="9" t="s">
        <v>20</v>
      </c>
      <c r="O11931" s="6" t="str">
        <f>HYPERLINK("https://pbs.twimg.com/profile_images/962471262747529216/Uo8lOkRJ_normal.jpg","View")</f>
        <v>View</v>
      </c>
      <c r="P11931" s="7"/>
    </row>
    <row r="11932" spans="1:16">
      <c r="A11932" s="3">
        <v>44153.395833333328</v>
      </c>
      <c r="B11932" s="4" t="str">
        <f>HYPERLINK("https://twitter.com/petrogustavo","@petrogustavo")</f>
        <v>@petrogustavo</v>
      </c>
      <c r="C11932" s="5" t="s">
        <v>16</v>
      </c>
      <c r="D11932" s="5" t="s">
        <v>11460</v>
      </c>
      <c r="E11932" s="6" t="str">
        <f>HYPERLINK("https://twitter.com/petrogustavo/status/1328910803605610498","1328910803605610498")</f>
        <v>1328910803605610498</v>
      </c>
      <c r="F11932" s="7" t="s">
        <v>32</v>
      </c>
      <c r="G11932" s="7">
        <v>4008773</v>
      </c>
      <c r="H11932" s="7">
        <v>2459</v>
      </c>
      <c r="I11932" s="7">
        <v>538</v>
      </c>
      <c r="J11932" s="7">
        <v>0</v>
      </c>
      <c r="K11932" s="7" t="s">
        <v>18</v>
      </c>
      <c r="L11932" s="8">
        <v>39987.315405092595</v>
      </c>
      <c r="M11932" s="9" t="s">
        <v>19</v>
      </c>
      <c r="N11932" s="9" t="s">
        <v>20</v>
      </c>
      <c r="O11932" s="6" t="str">
        <f>HYPERLINK("https://pbs.twimg.com/profile_images/962471262747529216/Uo8lOkRJ_normal.jpg","View")</f>
        <v>View</v>
      </c>
      <c r="P11932" s="7"/>
    </row>
    <row r="11933" spans="1:16">
      <c r="A11933" s="3">
        <v>44153.728020833332</v>
      </c>
      <c r="B11933" s="4" t="str">
        <f>HYPERLINK("https://twitter.com/petrogustavo","@petrogustavo")</f>
        <v>@petrogustavo</v>
      </c>
      <c r="C11933" s="5" t="s">
        <v>16</v>
      </c>
      <c r="D11933" s="5" t="s">
        <v>11490</v>
      </c>
      <c r="E11933" s="6" t="str">
        <f>HYPERLINK("https://twitter.com/petrogustavo/status/1329031187063508998","1329031187063508998")</f>
        <v>1329031187063508998</v>
      </c>
      <c r="F11933" s="7" t="s">
        <v>32</v>
      </c>
      <c r="G11933" s="7">
        <v>4008816</v>
      </c>
      <c r="H11933" s="7">
        <v>2459</v>
      </c>
      <c r="I11933" s="7">
        <v>280</v>
      </c>
      <c r="J11933" s="7">
        <v>0</v>
      </c>
      <c r="K11933" s="7" t="s">
        <v>18</v>
      </c>
      <c r="L11933" s="8">
        <v>39987.315405092595</v>
      </c>
      <c r="M11933" s="9" t="s">
        <v>19</v>
      </c>
      <c r="N11933" s="9" t="s">
        <v>20</v>
      </c>
      <c r="O11933" s="6" t="str">
        <f>HYPERLINK("https://pbs.twimg.com/profile_images/962471262747529216/Uo8lOkRJ_normal.jpg","View")</f>
        <v>View</v>
      </c>
      <c r="P11933" s="7"/>
    </row>
    <row r="11934" spans="1:16">
      <c r="A11934" s="3">
        <v>44153.728738425925</v>
      </c>
      <c r="B11934" s="4" t="str">
        <f>HYPERLINK("https://twitter.com/petrogustavo","@petrogustavo")</f>
        <v>@petrogustavo</v>
      </c>
      <c r="C11934" s="5" t="s">
        <v>16</v>
      </c>
      <c r="D11934" s="5" t="s">
        <v>11491</v>
      </c>
      <c r="E11934" s="6" t="str">
        <f>HYPERLINK("https://twitter.com/petrogustavo/status/1329031446783291393","1329031446783291393")</f>
        <v>1329031446783291393</v>
      </c>
      <c r="F11934" s="7" t="s">
        <v>32</v>
      </c>
      <c r="G11934" s="7">
        <v>4008816</v>
      </c>
      <c r="H11934" s="7">
        <v>2459</v>
      </c>
      <c r="I11934" s="7">
        <v>84</v>
      </c>
      <c r="J11934" s="7">
        <v>446</v>
      </c>
      <c r="K11934" s="7" t="s">
        <v>18</v>
      </c>
      <c r="L11934" s="8">
        <v>39987.315405092595</v>
      </c>
      <c r="M11934" s="9" t="s">
        <v>19</v>
      </c>
      <c r="N11934" s="9" t="s">
        <v>20</v>
      </c>
      <c r="O11934" s="6" t="str">
        <f>HYPERLINK("https://pbs.twimg.com/profile_images/962471262747529216/Uo8lOkRJ_normal.jpg","View")</f>
        <v>View</v>
      </c>
      <c r="P11934" s="7"/>
    </row>
    <row r="11935" spans="1:16">
      <c r="A11935" s="3">
        <v>44153.763159722221</v>
      </c>
      <c r="B11935" s="4" t="str">
        <f>HYPERLINK("https://twitter.com/petrogustavo","@petrogustavo")</f>
        <v>@petrogustavo</v>
      </c>
      <c r="C11935" s="5" t="s">
        <v>16</v>
      </c>
      <c r="D11935" s="5" t="s">
        <v>11492</v>
      </c>
      <c r="E11935" s="6" t="str">
        <f>HYPERLINK("https://twitter.com/petrogustavo/status/1329043919112376321","1329043919112376321")</f>
        <v>1329043919112376321</v>
      </c>
      <c r="F11935" s="7" t="s">
        <v>17</v>
      </c>
      <c r="G11935" s="7">
        <v>4008827</v>
      </c>
      <c r="H11935" s="7">
        <v>2459</v>
      </c>
      <c r="I11935" s="7">
        <v>0</v>
      </c>
      <c r="J11935" s="7">
        <v>0</v>
      </c>
      <c r="K11935" s="7" t="s">
        <v>18</v>
      </c>
      <c r="L11935" s="8">
        <v>39987.315405092595</v>
      </c>
      <c r="M11935" s="9" t="s">
        <v>19</v>
      </c>
      <c r="N11935" s="9" t="s">
        <v>20</v>
      </c>
      <c r="O11935" s="6" t="str">
        <f>HYPERLINK("https://pbs.twimg.com/profile_images/962471262747529216/Uo8lOkRJ_normal.jpg","View")</f>
        <v>View</v>
      </c>
      <c r="P11935" s="7"/>
    </row>
    <row r="11936" spans="1:16">
      <c r="A11936" s="3">
        <v>44153.764907407407</v>
      </c>
      <c r="B11936" s="4" t="str">
        <f>HYPERLINK("https://twitter.com/petrogustavo","@petrogustavo")</f>
        <v>@petrogustavo</v>
      </c>
      <c r="C11936" s="5" t="s">
        <v>16</v>
      </c>
      <c r="D11936" s="5" t="s">
        <v>11493</v>
      </c>
      <c r="E11936" s="6" t="str">
        <f>HYPERLINK("https://twitter.com/petrogustavo/status/1329044552649502722","1329044552649502722")</f>
        <v>1329044552649502722</v>
      </c>
      <c r="F11936" s="7" t="s">
        <v>21</v>
      </c>
      <c r="G11936" s="7">
        <v>4008841</v>
      </c>
      <c r="H11936" s="7">
        <v>2459</v>
      </c>
      <c r="I11936" s="7">
        <v>59</v>
      </c>
      <c r="J11936" s="7">
        <v>187</v>
      </c>
      <c r="K11936" s="7" t="s">
        <v>18</v>
      </c>
      <c r="L11936" s="8">
        <v>39987.315405092595</v>
      </c>
      <c r="M11936" s="9" t="s">
        <v>19</v>
      </c>
      <c r="N11936" s="9" t="s">
        <v>20</v>
      </c>
      <c r="O11936" s="6" t="str">
        <f>HYPERLINK("https://pbs.twimg.com/profile_images/962471262747529216/Uo8lOkRJ_normal.jpg","View")</f>
        <v>View</v>
      </c>
      <c r="P11936" s="7"/>
    </row>
    <row r="11937" spans="1:16">
      <c r="A11937" s="3">
        <v>44153.773414351846</v>
      </c>
      <c r="B11937" s="4" t="str">
        <f>HYPERLINK("https://twitter.com/petrogustavo","@petrogustavo")</f>
        <v>@petrogustavo</v>
      </c>
      <c r="C11937" s="5" t="s">
        <v>16</v>
      </c>
      <c r="D11937" s="5" t="s">
        <v>11494</v>
      </c>
      <c r="E11937" s="6" t="str">
        <f>HYPERLINK("https://twitter.com/petrogustavo/status/1329047636104638464","1329047636104638464")</f>
        <v>1329047636104638464</v>
      </c>
      <c r="F11937" s="7" t="s">
        <v>32</v>
      </c>
      <c r="G11937" s="7">
        <v>4008841</v>
      </c>
      <c r="H11937" s="7">
        <v>2459</v>
      </c>
      <c r="I11937" s="7">
        <v>158</v>
      </c>
      <c r="J11937" s="7">
        <v>405</v>
      </c>
      <c r="K11937" s="7" t="s">
        <v>18</v>
      </c>
      <c r="L11937" s="8">
        <v>39987.315405092595</v>
      </c>
      <c r="M11937" s="9" t="s">
        <v>19</v>
      </c>
      <c r="N11937" s="9" t="s">
        <v>20</v>
      </c>
      <c r="O11937" s="6" t="str">
        <f>HYPERLINK("https://pbs.twimg.com/profile_images/962471262747529216/Uo8lOkRJ_normal.jpg","View")</f>
        <v>View</v>
      </c>
      <c r="P11937" s="7"/>
    </row>
    <row r="11938" spans="1:16">
      <c r="A11938" s="3">
        <v>44153.800717592589</v>
      </c>
      <c r="B11938" s="4" t="str">
        <f>HYPERLINK("https://twitter.com/petrogustavo","@petrogustavo")</f>
        <v>@petrogustavo</v>
      </c>
      <c r="C11938" s="5" t="s">
        <v>16</v>
      </c>
      <c r="D11938" s="5" t="s">
        <v>11495</v>
      </c>
      <c r="E11938" s="6" t="str">
        <f>HYPERLINK("https://twitter.com/petrogustavo/status/1329057528177696769","1329057528177696769")</f>
        <v>1329057528177696769</v>
      </c>
      <c r="F11938" s="7" t="s">
        <v>17</v>
      </c>
      <c r="G11938" s="7">
        <v>4008888</v>
      </c>
      <c r="H11938" s="7">
        <v>2459</v>
      </c>
      <c r="I11938" s="7">
        <v>13</v>
      </c>
      <c r="J11938" s="7">
        <v>0</v>
      </c>
      <c r="K11938" s="7" t="s">
        <v>18</v>
      </c>
      <c r="L11938" s="8">
        <v>39987.315405092595</v>
      </c>
      <c r="M11938" s="9" t="s">
        <v>19</v>
      </c>
      <c r="N11938" s="9" t="s">
        <v>20</v>
      </c>
      <c r="O11938" s="6" t="str">
        <f>HYPERLINK("https://pbs.twimg.com/profile_images/962471262747529216/Uo8lOkRJ_normal.jpg","View")</f>
        <v>View</v>
      </c>
      <c r="P11938" s="7"/>
    </row>
    <row r="11939" spans="1:16">
      <c r="A11939" s="3">
        <v>44153.801076388889</v>
      </c>
      <c r="B11939" s="4" t="str">
        <f>HYPERLINK("https://twitter.com/petrogustavo","@petrogustavo")</f>
        <v>@petrogustavo</v>
      </c>
      <c r="C11939" s="5" t="s">
        <v>16</v>
      </c>
      <c r="D11939" s="5" t="s">
        <v>11496</v>
      </c>
      <c r="E11939" s="6" t="str">
        <f>HYPERLINK("https://twitter.com/petrogustavo/status/1329057661321695233","1329057661321695233")</f>
        <v>1329057661321695233</v>
      </c>
      <c r="F11939" s="7" t="s">
        <v>17</v>
      </c>
      <c r="G11939" s="7">
        <v>4008888</v>
      </c>
      <c r="H11939" s="7">
        <v>2459</v>
      </c>
      <c r="I11939" s="7">
        <v>16</v>
      </c>
      <c r="J11939" s="7">
        <v>0</v>
      </c>
      <c r="K11939" s="7" t="s">
        <v>18</v>
      </c>
      <c r="L11939" s="8">
        <v>39987.315405092595</v>
      </c>
      <c r="M11939" s="9" t="s">
        <v>19</v>
      </c>
      <c r="N11939" s="9" t="s">
        <v>20</v>
      </c>
      <c r="O11939" s="6" t="str">
        <f>HYPERLINK("https://pbs.twimg.com/profile_images/962471262747529216/Uo8lOkRJ_normal.jpg","View")</f>
        <v>View</v>
      </c>
      <c r="P11939" s="7"/>
    </row>
    <row r="11940" spans="1:16">
      <c r="A11940" s="3">
        <v>44153.801099537042</v>
      </c>
      <c r="B11940" s="4" t="str">
        <f>HYPERLINK("https://twitter.com/petrogustavo","@petrogustavo")</f>
        <v>@petrogustavo</v>
      </c>
      <c r="C11940" s="5" t="s">
        <v>16</v>
      </c>
      <c r="D11940" s="5" t="s">
        <v>11497</v>
      </c>
      <c r="E11940" s="6" t="str">
        <f>HYPERLINK("https://twitter.com/petrogustavo/status/1329057669735460870","1329057669735460870")</f>
        <v>1329057669735460870</v>
      </c>
      <c r="F11940" s="7" t="s">
        <v>17</v>
      </c>
      <c r="G11940" s="7">
        <v>4008888</v>
      </c>
      <c r="H11940" s="7">
        <v>2459</v>
      </c>
      <c r="I11940" s="7">
        <v>25</v>
      </c>
      <c r="J11940" s="7">
        <v>0</v>
      </c>
      <c r="K11940" s="7" t="s">
        <v>18</v>
      </c>
      <c r="L11940" s="8">
        <v>39987.315405092595</v>
      </c>
      <c r="M11940" s="9" t="s">
        <v>19</v>
      </c>
      <c r="N11940" s="9" t="s">
        <v>20</v>
      </c>
      <c r="O11940" s="6" t="str">
        <f>HYPERLINK("https://pbs.twimg.com/profile_images/962471262747529216/Uo8lOkRJ_normal.jpg","View")</f>
        <v>View</v>
      </c>
      <c r="P11940" s="7"/>
    </row>
    <row r="11941" spans="1:16">
      <c r="A11941" s="3">
        <v>44153.802337962959</v>
      </c>
      <c r="B11941" s="4" t="str">
        <f>HYPERLINK("https://twitter.com/petrogustavo","@petrogustavo")</f>
        <v>@petrogustavo</v>
      </c>
      <c r="C11941" s="5" t="s">
        <v>16</v>
      </c>
      <c r="D11941" s="5" t="s">
        <v>11498</v>
      </c>
      <c r="E11941" s="6" t="str">
        <f>HYPERLINK("https://twitter.com/petrogustavo/status/1329058116592349185","1329058116592349185")</f>
        <v>1329058116592349185</v>
      </c>
      <c r="F11941" s="7" t="s">
        <v>17</v>
      </c>
      <c r="G11941" s="7">
        <v>4008888</v>
      </c>
      <c r="H11941" s="7">
        <v>2459</v>
      </c>
      <c r="I11941" s="7">
        <v>24</v>
      </c>
      <c r="J11941" s="7">
        <v>54</v>
      </c>
      <c r="K11941" s="7" t="s">
        <v>18</v>
      </c>
      <c r="L11941" s="8">
        <v>39987.315405092595</v>
      </c>
      <c r="M11941" s="9" t="s">
        <v>19</v>
      </c>
      <c r="N11941" s="9" t="s">
        <v>20</v>
      </c>
      <c r="O11941" s="6" t="str">
        <f>HYPERLINK("https://pbs.twimg.com/profile_images/962471262747529216/Uo8lOkRJ_normal.jpg","View")</f>
        <v>View</v>
      </c>
      <c r="P11941" s="7"/>
    </row>
    <row r="11942" spans="1:16">
      <c r="A11942" s="3">
        <v>44153.886238425926</v>
      </c>
      <c r="B11942" s="4" t="str">
        <f>HYPERLINK("https://twitter.com/petrogustavo","@petrogustavo")</f>
        <v>@petrogustavo</v>
      </c>
      <c r="C11942" s="5" t="s">
        <v>16</v>
      </c>
      <c r="D11942" s="5" t="s">
        <v>11499</v>
      </c>
      <c r="E11942" s="6" t="str">
        <f>HYPERLINK("https://twitter.com/petrogustavo/status/1329088523459194880","1329088523459194880")</f>
        <v>1329088523459194880</v>
      </c>
      <c r="F11942" s="7" t="s">
        <v>17</v>
      </c>
      <c r="G11942" s="7">
        <v>4008945</v>
      </c>
      <c r="H11942" s="7">
        <v>2460</v>
      </c>
      <c r="I11942" s="7">
        <v>12</v>
      </c>
      <c r="J11942" s="7">
        <v>0</v>
      </c>
      <c r="K11942" s="7" t="s">
        <v>18</v>
      </c>
      <c r="L11942" s="8">
        <v>39987.315405092595</v>
      </c>
      <c r="M11942" s="9" t="s">
        <v>19</v>
      </c>
      <c r="N11942" s="9" t="s">
        <v>20</v>
      </c>
      <c r="O11942" s="6" t="str">
        <f>HYPERLINK("https://pbs.twimg.com/profile_images/962471262747529216/Uo8lOkRJ_normal.jpg","View")</f>
        <v>View</v>
      </c>
      <c r="P11942" s="7"/>
    </row>
    <row r="11943" spans="1:16">
      <c r="A11943" s="3">
        <v>44153.916469907403</v>
      </c>
      <c r="B11943" s="4" t="str">
        <f>HYPERLINK("https://twitter.com/petrogustavo","@petrogustavo")</f>
        <v>@petrogustavo</v>
      </c>
      <c r="C11943" s="5" t="s">
        <v>16</v>
      </c>
      <c r="D11943" s="5" t="s">
        <v>11500</v>
      </c>
      <c r="E11943" s="6" t="str">
        <f>HYPERLINK("https://twitter.com/petrogustavo/status/1329099475843997696","1329099475843997696")</f>
        <v>1329099475843997696</v>
      </c>
      <c r="F11943" s="7" t="s">
        <v>17</v>
      </c>
      <c r="G11943" s="7">
        <v>4009006</v>
      </c>
      <c r="H11943" s="7">
        <v>2460</v>
      </c>
      <c r="I11943" s="7">
        <v>97</v>
      </c>
      <c r="J11943" s="7">
        <v>274</v>
      </c>
      <c r="K11943" s="7" t="s">
        <v>18</v>
      </c>
      <c r="L11943" s="8">
        <v>39987.315405092595</v>
      </c>
      <c r="M11943" s="9" t="s">
        <v>19</v>
      </c>
      <c r="N11943" s="9" t="s">
        <v>20</v>
      </c>
      <c r="O11943" s="6" t="str">
        <f>HYPERLINK("https://pbs.twimg.com/profile_images/962471262747529216/Uo8lOkRJ_normal.jpg","View")</f>
        <v>View</v>
      </c>
      <c r="P11943" s="7"/>
    </row>
    <row r="11944" spans="1:16">
      <c r="A11944" s="3">
        <v>44153.920011574075</v>
      </c>
      <c r="B11944" s="4" t="str">
        <f>HYPERLINK("https://twitter.com/petrogustavo","@petrogustavo")</f>
        <v>@petrogustavo</v>
      </c>
      <c r="C11944" s="5" t="s">
        <v>16</v>
      </c>
      <c r="D11944" s="5" t="s">
        <v>11501</v>
      </c>
      <c r="E11944" s="6" t="str">
        <f>HYPERLINK("https://twitter.com/petrogustavo/status/1329100759485603845","1329100759485603845")</f>
        <v>1329100759485603845</v>
      </c>
      <c r="F11944" s="7" t="s">
        <v>17</v>
      </c>
      <c r="G11944" s="7">
        <v>4009006</v>
      </c>
      <c r="H11944" s="7">
        <v>2460</v>
      </c>
      <c r="I11944" s="7">
        <v>21</v>
      </c>
      <c r="J11944" s="7">
        <v>82</v>
      </c>
      <c r="K11944" s="7" t="s">
        <v>18</v>
      </c>
      <c r="L11944" s="8">
        <v>39987.315405092595</v>
      </c>
      <c r="M11944" s="9" t="s">
        <v>19</v>
      </c>
      <c r="N11944" s="9" t="s">
        <v>20</v>
      </c>
      <c r="O11944" s="6" t="str">
        <f>HYPERLINK("https://pbs.twimg.com/profile_images/962471262747529216/Uo8lOkRJ_normal.jpg","View")</f>
        <v>View</v>
      </c>
      <c r="P11944" s="7"/>
    </row>
    <row r="11945" spans="1:16">
      <c r="A11945" s="3">
        <v>44153.922488425931</v>
      </c>
      <c r="B11945" s="4" t="str">
        <f>HYPERLINK("https://twitter.com/petrogustavo","@petrogustavo")</f>
        <v>@petrogustavo</v>
      </c>
      <c r="C11945" s="5" t="s">
        <v>16</v>
      </c>
      <c r="D11945" s="5" t="s">
        <v>11502</v>
      </c>
      <c r="E11945" s="6" t="str">
        <f>HYPERLINK("https://twitter.com/petrogustavo/status/1329101658979241985","1329101658979241985")</f>
        <v>1329101658979241985</v>
      </c>
      <c r="F11945" s="7" t="s">
        <v>17</v>
      </c>
      <c r="G11945" s="7">
        <v>4009006</v>
      </c>
      <c r="H11945" s="7">
        <v>2460</v>
      </c>
      <c r="I11945" s="7">
        <v>97</v>
      </c>
      <c r="J11945" s="7">
        <v>0</v>
      </c>
      <c r="K11945" s="7" t="s">
        <v>18</v>
      </c>
      <c r="L11945" s="8">
        <v>39987.315405092595</v>
      </c>
      <c r="M11945" s="9" t="s">
        <v>19</v>
      </c>
      <c r="N11945" s="9" t="s">
        <v>20</v>
      </c>
      <c r="O11945" s="6" t="str">
        <f>HYPERLINK("https://pbs.twimg.com/profile_images/962471262747529216/Uo8lOkRJ_normal.jpg","View")</f>
        <v>View</v>
      </c>
      <c r="P11945" s="7"/>
    </row>
    <row r="11946" spans="1:16">
      <c r="A11946" s="3">
        <v>44153.935763888891</v>
      </c>
      <c r="B11946" s="4" t="str">
        <f>HYPERLINK("https://twitter.com/petrogustavo","@petrogustavo")</f>
        <v>@petrogustavo</v>
      </c>
      <c r="C11946" s="5" t="s">
        <v>16</v>
      </c>
      <c r="D11946" s="5" t="s">
        <v>11503</v>
      </c>
      <c r="E11946" s="6" t="str">
        <f>HYPERLINK("https://twitter.com/petrogustavo/status/1329106467274838024","1329106467274838024")</f>
        <v>1329106467274838024</v>
      </c>
      <c r="F11946" s="7" t="s">
        <v>17</v>
      </c>
      <c r="G11946" s="7">
        <v>4009007</v>
      </c>
      <c r="H11946" s="7">
        <v>2460</v>
      </c>
      <c r="I11946" s="7">
        <v>26</v>
      </c>
      <c r="J11946" s="7">
        <v>0</v>
      </c>
      <c r="K11946" s="7" t="s">
        <v>18</v>
      </c>
      <c r="L11946" s="8">
        <v>39987.315405092595</v>
      </c>
      <c r="M11946" s="9" t="s">
        <v>19</v>
      </c>
      <c r="N11946" s="9" t="s">
        <v>20</v>
      </c>
      <c r="O11946" s="6" t="str">
        <f>HYPERLINK("https://pbs.twimg.com/profile_images/962471262747529216/Uo8lOkRJ_normal.jpg","View")</f>
        <v>View</v>
      </c>
      <c r="P11946" s="7"/>
    </row>
    <row r="11947" spans="1:16">
      <c r="A11947" s="3">
        <v>44153.936805555553</v>
      </c>
      <c r="B11947" s="4" t="str">
        <f>HYPERLINK("https://twitter.com/petrogustavo","@petrogustavo")</f>
        <v>@petrogustavo</v>
      </c>
      <c r="C11947" s="5" t="s">
        <v>16</v>
      </c>
      <c r="D11947" s="5" t="s">
        <v>11502</v>
      </c>
      <c r="E11947" s="6" t="str">
        <f>HYPERLINK("https://twitter.com/petrogustavo/status/1329106844829224964","1329106844829224964")</f>
        <v>1329106844829224964</v>
      </c>
      <c r="F11947" s="7" t="s">
        <v>17</v>
      </c>
      <c r="G11947" s="7">
        <v>4009007</v>
      </c>
      <c r="H11947" s="7">
        <v>2460</v>
      </c>
      <c r="I11947" s="7">
        <v>185</v>
      </c>
      <c r="J11947" s="7">
        <v>0</v>
      </c>
      <c r="K11947" s="7" t="s">
        <v>18</v>
      </c>
      <c r="L11947" s="8">
        <v>39987.315405092595</v>
      </c>
      <c r="M11947" s="9" t="s">
        <v>19</v>
      </c>
      <c r="N11947" s="9" t="s">
        <v>20</v>
      </c>
      <c r="O11947" s="6" t="str">
        <f>HYPERLINK("https://pbs.twimg.com/profile_images/962471262747529216/Uo8lOkRJ_normal.jpg","View")</f>
        <v>View</v>
      </c>
      <c r="P11947" s="7"/>
    </row>
    <row r="11948" spans="1:16">
      <c r="A11948" s="3">
        <v>44153.974976851852</v>
      </c>
      <c r="B11948" s="4" t="str">
        <f>HYPERLINK("https://twitter.com/petrogustavo","@petrogustavo")</f>
        <v>@petrogustavo</v>
      </c>
      <c r="C11948" s="5" t="s">
        <v>16</v>
      </c>
      <c r="D11948" s="5" t="s">
        <v>11504</v>
      </c>
      <c r="E11948" s="6" t="str">
        <f>HYPERLINK("https://twitter.com/petrogustavo/status/1329120678956687366","1329120678956687366")</f>
        <v>1329120678956687366</v>
      </c>
      <c r="F11948" s="7" t="s">
        <v>17</v>
      </c>
      <c r="G11948" s="7">
        <v>4009044</v>
      </c>
      <c r="H11948" s="7">
        <v>2460</v>
      </c>
      <c r="I11948" s="7">
        <v>71</v>
      </c>
      <c r="J11948" s="7">
        <v>0</v>
      </c>
      <c r="K11948" s="7" t="s">
        <v>18</v>
      </c>
      <c r="L11948" s="8">
        <v>39987.315405092595</v>
      </c>
      <c r="M11948" s="9" t="s">
        <v>19</v>
      </c>
      <c r="N11948" s="9" t="s">
        <v>20</v>
      </c>
      <c r="O11948" s="6" t="str">
        <f>HYPERLINK("https://pbs.twimg.com/profile_images/962471262747529216/Uo8lOkRJ_normal.jpg","View")</f>
        <v>View</v>
      </c>
      <c r="P11948" s="7"/>
    </row>
    <row r="11949" spans="1:16">
      <c r="A11949" s="3">
        <v>44154.068599537037</v>
      </c>
      <c r="B11949" s="4" t="str">
        <f>HYPERLINK("https://twitter.com/petrogustavo","@petrogustavo")</f>
        <v>@petrogustavo</v>
      </c>
      <c r="C11949" s="5" t="s">
        <v>16</v>
      </c>
      <c r="D11949" s="5" t="s">
        <v>11505</v>
      </c>
      <c r="E11949" s="6" t="str">
        <f>HYPERLINK("https://twitter.com/petrogustavo/status/1329154607034085391","1329154607034085391")</f>
        <v>1329154607034085391</v>
      </c>
      <c r="F11949" s="7" t="s">
        <v>17</v>
      </c>
      <c r="G11949" s="7">
        <v>4009108</v>
      </c>
      <c r="H11949" s="7">
        <v>2460</v>
      </c>
      <c r="I11949" s="7">
        <v>74</v>
      </c>
      <c r="J11949" s="7">
        <v>304</v>
      </c>
      <c r="K11949" s="7" t="s">
        <v>18</v>
      </c>
      <c r="L11949" s="8">
        <v>39987.315405092595</v>
      </c>
      <c r="M11949" s="9" t="s">
        <v>19</v>
      </c>
      <c r="N11949" s="9" t="s">
        <v>20</v>
      </c>
      <c r="O11949" s="6" t="str">
        <f>HYPERLINK("https://pbs.twimg.com/profile_images/962471262747529216/Uo8lOkRJ_normal.jpg","View")</f>
        <v>View</v>
      </c>
      <c r="P11949" s="7"/>
    </row>
    <row r="11950" spans="1:16">
      <c r="A11950" s="3">
        <v>44154.149386574078</v>
      </c>
      <c r="B11950" s="4" t="str">
        <f>HYPERLINK("https://twitter.com/petrogustavo","@petrogustavo")</f>
        <v>@petrogustavo</v>
      </c>
      <c r="C11950" s="5" t="s">
        <v>16</v>
      </c>
      <c r="D11950" s="5" t="s">
        <v>11506</v>
      </c>
      <c r="E11950" s="6" t="str">
        <f>HYPERLINK("https://twitter.com/petrogustavo/status/1329183883548618755","1329183883548618755")</f>
        <v>1329183883548618755</v>
      </c>
      <c r="F11950" s="7" t="s">
        <v>17</v>
      </c>
      <c r="G11950" s="7">
        <v>4009143</v>
      </c>
      <c r="H11950" s="7">
        <v>2460</v>
      </c>
      <c r="I11950" s="7">
        <v>178</v>
      </c>
      <c r="J11950" s="7">
        <v>482</v>
      </c>
      <c r="K11950" s="7" t="s">
        <v>18</v>
      </c>
      <c r="L11950" s="8">
        <v>39987.315405092595</v>
      </c>
      <c r="M11950" s="9" t="s">
        <v>19</v>
      </c>
      <c r="N11950" s="9" t="s">
        <v>20</v>
      </c>
      <c r="O11950" s="6" t="str">
        <f>HYPERLINK("https://pbs.twimg.com/profile_images/962471262747529216/Uo8lOkRJ_normal.jpg","View")</f>
        <v>View</v>
      </c>
      <c r="P11950" s="7"/>
    </row>
    <row r="11951" spans="1:16">
      <c r="A11951" s="3">
        <v>44154.686909722222</v>
      </c>
      <c r="B11951" s="4" t="str">
        <f>HYPERLINK("https://twitter.com/petrogustavo","@petrogustavo")</f>
        <v>@petrogustavo</v>
      </c>
      <c r="C11951" s="5" t="s">
        <v>16</v>
      </c>
      <c r="D11951" s="5" t="s">
        <v>11507</v>
      </c>
      <c r="E11951" s="6" t="str">
        <f>HYPERLINK("https://twitter.com/petrogustavo/status/1329378675607920646","1329378675607920646")</f>
        <v>1329378675607920646</v>
      </c>
      <c r="F11951" s="7" t="s">
        <v>17</v>
      </c>
      <c r="G11951" s="7">
        <v>4009333</v>
      </c>
      <c r="H11951" s="7">
        <v>2460</v>
      </c>
      <c r="I11951" s="7">
        <v>45</v>
      </c>
      <c r="J11951" s="7">
        <v>0</v>
      </c>
      <c r="K11951" s="7" t="s">
        <v>18</v>
      </c>
      <c r="L11951" s="8">
        <v>39987.315405092595</v>
      </c>
      <c r="M11951" s="9" t="s">
        <v>19</v>
      </c>
      <c r="N11951" s="9" t="s">
        <v>20</v>
      </c>
      <c r="O11951" s="6" t="str">
        <f>HYPERLINK("https://pbs.twimg.com/profile_images/962471262747529216/Uo8lOkRJ_normal.jpg","View")</f>
        <v>View</v>
      </c>
      <c r="P11951" s="7"/>
    </row>
    <row r="11952" spans="1:16">
      <c r="A11952" s="3">
        <v>44154.68751157407</v>
      </c>
      <c r="B11952" s="4" t="str">
        <f>HYPERLINK("https://twitter.com/petrogustavo","@petrogustavo")</f>
        <v>@petrogustavo</v>
      </c>
      <c r="C11952" s="5" t="s">
        <v>16</v>
      </c>
      <c r="D11952" s="5" t="s">
        <v>11508</v>
      </c>
      <c r="E11952" s="6" t="str">
        <f>HYPERLINK("https://twitter.com/petrogustavo/status/1329378894550609920","1329378894550609920")</f>
        <v>1329378894550609920</v>
      </c>
      <c r="F11952" s="7" t="s">
        <v>17</v>
      </c>
      <c r="G11952" s="7">
        <v>4009333</v>
      </c>
      <c r="H11952" s="7">
        <v>2460</v>
      </c>
      <c r="I11952" s="7">
        <v>169</v>
      </c>
      <c r="J11952" s="7">
        <v>0</v>
      </c>
      <c r="K11952" s="7" t="s">
        <v>18</v>
      </c>
      <c r="L11952" s="8">
        <v>39987.315405092595</v>
      </c>
      <c r="M11952" s="9" t="s">
        <v>19</v>
      </c>
      <c r="N11952" s="9" t="s">
        <v>20</v>
      </c>
      <c r="O11952" s="6" t="str">
        <f>HYPERLINK("https://pbs.twimg.com/profile_images/962471262747529216/Uo8lOkRJ_normal.jpg","View")</f>
        <v>View</v>
      </c>
      <c r="P11952" s="7"/>
    </row>
    <row r="11953" spans="1:16">
      <c r="A11953" s="3">
        <v>44154.687754629631</v>
      </c>
      <c r="B11953" s="4" t="str">
        <f>HYPERLINK("https://twitter.com/petrogustavo","@petrogustavo")</f>
        <v>@petrogustavo</v>
      </c>
      <c r="C11953" s="5" t="s">
        <v>16</v>
      </c>
      <c r="D11953" s="5" t="s">
        <v>11509</v>
      </c>
      <c r="E11953" s="6" t="str">
        <f>HYPERLINK("https://twitter.com/petrogustavo/status/1329378982920396801","1329378982920396801")</f>
        <v>1329378982920396801</v>
      </c>
      <c r="F11953" s="7" t="s">
        <v>17</v>
      </c>
      <c r="G11953" s="7">
        <v>4009333</v>
      </c>
      <c r="H11953" s="7">
        <v>2460</v>
      </c>
      <c r="I11953" s="7">
        <v>488</v>
      </c>
      <c r="J11953" s="7">
        <v>0</v>
      </c>
      <c r="K11953" s="7" t="s">
        <v>18</v>
      </c>
      <c r="L11953" s="8">
        <v>39987.315405092595</v>
      </c>
      <c r="M11953" s="9" t="s">
        <v>19</v>
      </c>
      <c r="N11953" s="9" t="s">
        <v>20</v>
      </c>
      <c r="O11953" s="6" t="str">
        <f>HYPERLINK("https://pbs.twimg.com/profile_images/962471262747529216/Uo8lOkRJ_normal.jpg","View")</f>
        <v>View</v>
      </c>
      <c r="P11953" s="7"/>
    </row>
    <row r="11954" spans="1:16">
      <c r="A11954" s="3">
        <v>44154.76939814815</v>
      </c>
      <c r="B11954" s="4" t="str">
        <f>HYPERLINK("https://twitter.com/petrogustavo","@petrogustavo")</f>
        <v>@petrogustavo</v>
      </c>
      <c r="C11954" s="5" t="s">
        <v>16</v>
      </c>
      <c r="D11954" s="5" t="s">
        <v>11510</v>
      </c>
      <c r="E11954" s="6" t="str">
        <f>HYPERLINK("https://twitter.com/petrogustavo/status/1329408569696014336","1329408569696014336")</f>
        <v>1329408569696014336</v>
      </c>
      <c r="F11954" s="7" t="s">
        <v>17</v>
      </c>
      <c r="G11954" s="7">
        <v>4009380</v>
      </c>
      <c r="H11954" s="7">
        <v>2460</v>
      </c>
      <c r="I11954" s="7">
        <v>25</v>
      </c>
      <c r="J11954" s="7">
        <v>0</v>
      </c>
      <c r="K11954" s="7" t="s">
        <v>18</v>
      </c>
      <c r="L11954" s="8">
        <v>39987.315405092595</v>
      </c>
      <c r="M11954" s="9" t="s">
        <v>19</v>
      </c>
      <c r="N11954" s="9" t="s">
        <v>20</v>
      </c>
      <c r="O11954" s="6" t="str">
        <f>HYPERLINK("https://pbs.twimg.com/profile_images/962471262747529216/Uo8lOkRJ_normal.jpg","View")</f>
        <v>View</v>
      </c>
      <c r="P11954" s="7"/>
    </row>
    <row r="11955" spans="1:16">
      <c r="A11955" s="3">
        <v>44154.787557870368</v>
      </c>
      <c r="B11955" s="4" t="str">
        <f>HYPERLINK("https://twitter.com/petrogustavo","@petrogustavo")</f>
        <v>@petrogustavo</v>
      </c>
      <c r="C11955" s="5" t="s">
        <v>16</v>
      </c>
      <c r="D11955" s="5" t="s">
        <v>11511</v>
      </c>
      <c r="E11955" s="6" t="str">
        <f>HYPERLINK("https://twitter.com/petrogustavo/status/1329415147958505478","1329415147958505478")</f>
        <v>1329415147958505478</v>
      </c>
      <c r="F11955" s="7" t="s">
        <v>17</v>
      </c>
      <c r="G11955" s="7">
        <v>4009397</v>
      </c>
      <c r="H11955" s="7">
        <v>2460</v>
      </c>
      <c r="I11955" s="7">
        <v>93</v>
      </c>
      <c r="J11955" s="7">
        <v>538</v>
      </c>
      <c r="K11955" s="7" t="s">
        <v>18</v>
      </c>
      <c r="L11955" s="8">
        <v>39987.315405092595</v>
      </c>
      <c r="M11955" s="9" t="s">
        <v>19</v>
      </c>
      <c r="N11955" s="9" t="s">
        <v>20</v>
      </c>
      <c r="O11955" s="6" t="str">
        <f>HYPERLINK("https://pbs.twimg.com/profile_images/962471262747529216/Uo8lOkRJ_normal.jpg","View")</f>
        <v>View</v>
      </c>
      <c r="P11955" s="7"/>
    </row>
    <row r="11956" spans="1:16">
      <c r="A11956" s="3">
        <v>44154.790763888886</v>
      </c>
      <c r="B11956" s="4" t="str">
        <f>HYPERLINK("https://twitter.com/petrogustavo","@petrogustavo")</f>
        <v>@petrogustavo</v>
      </c>
      <c r="C11956" s="5" t="s">
        <v>16</v>
      </c>
      <c r="D11956" s="5" t="s">
        <v>11512</v>
      </c>
      <c r="E11956" s="6" t="str">
        <f>HYPERLINK("https://twitter.com/petrogustavo/status/1329416309520691201","1329416309520691201")</f>
        <v>1329416309520691201</v>
      </c>
      <c r="F11956" s="7" t="s">
        <v>17</v>
      </c>
      <c r="G11956" s="7">
        <v>4009397</v>
      </c>
      <c r="H11956" s="7">
        <v>2460</v>
      </c>
      <c r="I11956" s="7">
        <v>46</v>
      </c>
      <c r="J11956" s="7">
        <v>168</v>
      </c>
      <c r="K11956" s="7" t="s">
        <v>18</v>
      </c>
      <c r="L11956" s="8">
        <v>39987.315405092595</v>
      </c>
      <c r="M11956" s="9" t="s">
        <v>19</v>
      </c>
      <c r="N11956" s="9" t="s">
        <v>20</v>
      </c>
      <c r="O11956" s="6" t="str">
        <f>HYPERLINK("https://pbs.twimg.com/profile_images/962471262747529216/Uo8lOkRJ_normal.jpg","View")</f>
        <v>View</v>
      </c>
      <c r="P11956" s="7"/>
    </row>
    <row r="11957" spans="1:16">
      <c r="A11957" s="3">
        <v>44154.794039351851</v>
      </c>
      <c r="B11957" s="4" t="str">
        <f>HYPERLINK("https://twitter.com/petrogustavo","@petrogustavo")</f>
        <v>@petrogustavo</v>
      </c>
      <c r="C11957" s="5" t="s">
        <v>16</v>
      </c>
      <c r="D11957" s="5" t="s">
        <v>11513</v>
      </c>
      <c r="E11957" s="6" t="str">
        <f>HYPERLINK("https://twitter.com/petrogustavo/status/1329417498714918914","1329417498714918914")</f>
        <v>1329417498714918914</v>
      </c>
      <c r="F11957" s="7" t="s">
        <v>17</v>
      </c>
      <c r="G11957" s="7">
        <v>4009397</v>
      </c>
      <c r="H11957" s="7">
        <v>2460</v>
      </c>
      <c r="I11957" s="7">
        <v>37</v>
      </c>
      <c r="J11957" s="7">
        <v>106</v>
      </c>
      <c r="K11957" s="7" t="s">
        <v>18</v>
      </c>
      <c r="L11957" s="8">
        <v>39987.315405092595</v>
      </c>
      <c r="M11957" s="9" t="s">
        <v>19</v>
      </c>
      <c r="N11957" s="9" t="s">
        <v>20</v>
      </c>
      <c r="O11957" s="6" t="str">
        <f>HYPERLINK("https://pbs.twimg.com/profile_images/962471262747529216/Uo8lOkRJ_normal.jpg","View")</f>
        <v>View</v>
      </c>
      <c r="P11957" s="7"/>
    </row>
    <row r="11958" spans="1:16">
      <c r="A11958" s="3">
        <v>44154.796018518522</v>
      </c>
      <c r="B11958" s="4" t="str">
        <f>HYPERLINK("https://twitter.com/petrogustavo","@petrogustavo")</f>
        <v>@petrogustavo</v>
      </c>
      <c r="C11958" s="5" t="s">
        <v>16</v>
      </c>
      <c r="D11958" s="5" t="s">
        <v>11514</v>
      </c>
      <c r="E11958" s="6" t="str">
        <f>HYPERLINK("https://twitter.com/petrogustavo/status/1329418212941959170","1329418212941959170")</f>
        <v>1329418212941959170</v>
      </c>
      <c r="F11958" s="7" t="s">
        <v>17</v>
      </c>
      <c r="G11958" s="7">
        <v>4009397</v>
      </c>
      <c r="H11958" s="7">
        <v>2460</v>
      </c>
      <c r="I11958" s="7">
        <v>59</v>
      </c>
      <c r="J11958" s="7">
        <v>303</v>
      </c>
      <c r="K11958" s="7" t="s">
        <v>18</v>
      </c>
      <c r="L11958" s="8">
        <v>39987.315405092595</v>
      </c>
      <c r="M11958" s="9" t="s">
        <v>19</v>
      </c>
      <c r="N11958" s="9" t="s">
        <v>20</v>
      </c>
      <c r="O11958" s="6" t="str">
        <f>HYPERLINK("https://pbs.twimg.com/profile_images/962471262747529216/Uo8lOkRJ_normal.jpg","View")</f>
        <v>View</v>
      </c>
      <c r="P11958" s="7"/>
    </row>
    <row r="11959" spans="1:16">
      <c r="A11959" s="3">
        <v>44154.802384259259</v>
      </c>
      <c r="B11959" s="4" t="str">
        <f>HYPERLINK("https://twitter.com/petrogustavo","@petrogustavo")</f>
        <v>@petrogustavo</v>
      </c>
      <c r="C11959" s="5" t="s">
        <v>16</v>
      </c>
      <c r="D11959" s="5" t="s">
        <v>11515</v>
      </c>
      <c r="E11959" s="6" t="str">
        <f>HYPERLINK("https://twitter.com/petrogustavo/status/1329420519905570820","1329420519905570820")</f>
        <v>1329420519905570820</v>
      </c>
      <c r="F11959" s="7" t="s">
        <v>17</v>
      </c>
      <c r="G11959" s="7">
        <v>4009397</v>
      </c>
      <c r="H11959" s="7">
        <v>2460</v>
      </c>
      <c r="I11959" s="7">
        <v>19</v>
      </c>
      <c r="J11959" s="7">
        <v>42</v>
      </c>
      <c r="K11959" s="7" t="s">
        <v>18</v>
      </c>
      <c r="L11959" s="8">
        <v>39987.315405092595</v>
      </c>
      <c r="M11959" s="9" t="s">
        <v>19</v>
      </c>
      <c r="N11959" s="9" t="s">
        <v>20</v>
      </c>
      <c r="O11959" s="6" t="str">
        <f>HYPERLINK("https://pbs.twimg.com/profile_images/962471262747529216/Uo8lOkRJ_normal.jpg","View")</f>
        <v>View</v>
      </c>
      <c r="P11959" s="7"/>
    </row>
    <row r="11960" spans="1:16">
      <c r="A11960" s="3">
        <v>44154.812222222223</v>
      </c>
      <c r="B11960" s="4" t="str">
        <f>HYPERLINK("https://twitter.com/petrogustavo","@petrogustavo")</f>
        <v>@petrogustavo</v>
      </c>
      <c r="C11960" s="5" t="s">
        <v>16</v>
      </c>
      <c r="D11960" s="5" t="s">
        <v>11516</v>
      </c>
      <c r="E11960" s="6" t="str">
        <f>HYPERLINK("https://twitter.com/petrogustavo/status/1329424088796983297","1329424088796983297")</f>
        <v>1329424088796983297</v>
      </c>
      <c r="F11960" s="7" t="s">
        <v>21</v>
      </c>
      <c r="G11960" s="7">
        <v>4009398</v>
      </c>
      <c r="H11960" s="7">
        <v>2460</v>
      </c>
      <c r="I11960" s="7">
        <v>16</v>
      </c>
      <c r="J11960" s="7">
        <v>56</v>
      </c>
      <c r="K11960" s="7" t="s">
        <v>18</v>
      </c>
      <c r="L11960" s="8">
        <v>39987.315405092595</v>
      </c>
      <c r="M11960" s="9" t="s">
        <v>19</v>
      </c>
      <c r="N11960" s="9" t="s">
        <v>20</v>
      </c>
      <c r="O11960" s="6" t="str">
        <f>HYPERLINK("https://pbs.twimg.com/profile_images/962471262747529216/Uo8lOkRJ_normal.jpg","View")</f>
        <v>View</v>
      </c>
      <c r="P11960" s="7"/>
    </row>
    <row r="11961" spans="1:16">
      <c r="A11961" s="3">
        <v>44154.812407407408</v>
      </c>
      <c r="B11961" s="4" t="str">
        <f>HYPERLINK("https://twitter.com/petrogustavo","@petrogustavo")</f>
        <v>@petrogustavo</v>
      </c>
      <c r="C11961" s="5" t="s">
        <v>16</v>
      </c>
      <c r="D11961" s="5" t="s">
        <v>11517</v>
      </c>
      <c r="E11961" s="6" t="str">
        <f>HYPERLINK("https://twitter.com/petrogustavo/status/1329424153569599489","1329424153569599489")</f>
        <v>1329424153569599489</v>
      </c>
      <c r="F11961" s="7" t="s">
        <v>21</v>
      </c>
      <c r="G11961" s="7">
        <v>4009398</v>
      </c>
      <c r="H11961" s="7">
        <v>2460</v>
      </c>
      <c r="I11961" s="7">
        <v>20</v>
      </c>
      <c r="J11961" s="7">
        <v>67</v>
      </c>
      <c r="K11961" s="7" t="s">
        <v>18</v>
      </c>
      <c r="L11961" s="8">
        <v>39987.315405092595</v>
      </c>
      <c r="M11961" s="9" t="s">
        <v>19</v>
      </c>
      <c r="N11961" s="9" t="s">
        <v>20</v>
      </c>
      <c r="O11961" s="6" t="str">
        <f>HYPERLINK("https://pbs.twimg.com/profile_images/962471262747529216/Uo8lOkRJ_normal.jpg","View")</f>
        <v>View</v>
      </c>
      <c r="P11961" s="7"/>
    </row>
    <row r="11962" spans="1:16">
      <c r="A11962" s="3">
        <v>44154.86928240741</v>
      </c>
      <c r="B11962" s="4" t="str">
        <f>HYPERLINK("https://twitter.com/petrogustavo","@petrogustavo")</f>
        <v>@petrogustavo</v>
      </c>
      <c r="C11962" s="5" t="s">
        <v>16</v>
      </c>
      <c r="D11962" s="5" t="s">
        <v>11518</v>
      </c>
      <c r="E11962" s="6" t="str">
        <f>HYPERLINK("https://twitter.com/petrogustavo/status/1329444762869501954","1329444762869501954")</f>
        <v>1329444762869501954</v>
      </c>
      <c r="F11962" s="7" t="s">
        <v>17</v>
      </c>
      <c r="G11962" s="7">
        <v>4009450</v>
      </c>
      <c r="H11962" s="7">
        <v>2460</v>
      </c>
      <c r="I11962" s="7">
        <v>95</v>
      </c>
      <c r="J11962" s="7">
        <v>500</v>
      </c>
      <c r="K11962" s="7" t="s">
        <v>18</v>
      </c>
      <c r="L11962" s="8">
        <v>39987.315405092595</v>
      </c>
      <c r="M11962" s="9" t="s">
        <v>19</v>
      </c>
      <c r="N11962" s="9" t="s">
        <v>20</v>
      </c>
      <c r="O11962" s="6" t="str">
        <f>HYPERLINK("https://pbs.twimg.com/profile_images/962471262747529216/Uo8lOkRJ_normal.jpg","View")</f>
        <v>View</v>
      </c>
      <c r="P11962" s="7"/>
    </row>
    <row r="11963" spans="1:16">
      <c r="A11963" s="3">
        <v>44154.900347222225</v>
      </c>
      <c r="B11963" s="4" t="str">
        <f>HYPERLINK("https://twitter.com/petrogustavo","@petrogustavo")</f>
        <v>@petrogustavo</v>
      </c>
      <c r="C11963" s="5" t="s">
        <v>16</v>
      </c>
      <c r="D11963" s="5" t="s">
        <v>11519</v>
      </c>
      <c r="E11963" s="6" t="str">
        <f>HYPERLINK("https://twitter.com/petrogustavo/status/1329456020461150208","1329456020461150208")</f>
        <v>1329456020461150208</v>
      </c>
      <c r="F11963" s="7" t="s">
        <v>17</v>
      </c>
      <c r="G11963" s="7">
        <v>4009439</v>
      </c>
      <c r="H11963" s="7">
        <v>2460</v>
      </c>
      <c r="I11963" s="7">
        <v>76</v>
      </c>
      <c r="J11963" s="7">
        <v>0</v>
      </c>
      <c r="K11963" s="7" t="s">
        <v>18</v>
      </c>
      <c r="L11963" s="8">
        <v>39987.315405092595</v>
      </c>
      <c r="M11963" s="9" t="s">
        <v>19</v>
      </c>
      <c r="N11963" s="9" t="s">
        <v>20</v>
      </c>
      <c r="O11963" s="6" t="str">
        <f>HYPERLINK("https://pbs.twimg.com/profile_images/962471262747529216/Uo8lOkRJ_normal.jpg","View")</f>
        <v>View</v>
      </c>
      <c r="P11963" s="7"/>
    </row>
    <row r="11964" spans="1:16">
      <c r="A11964" s="3">
        <v>44154.900358796294</v>
      </c>
      <c r="B11964" s="4" t="str">
        <f>HYPERLINK("https://twitter.com/petrogustavo","@petrogustavo")</f>
        <v>@petrogustavo</v>
      </c>
      <c r="C11964" s="5" t="s">
        <v>16</v>
      </c>
      <c r="D11964" s="5" t="s">
        <v>11520</v>
      </c>
      <c r="E11964" s="6" t="str">
        <f>HYPERLINK("https://twitter.com/petrogustavo/status/1329456027167756293","1329456027167756293")</f>
        <v>1329456027167756293</v>
      </c>
      <c r="F11964" s="7" t="s">
        <v>17</v>
      </c>
      <c r="G11964" s="7">
        <v>4009439</v>
      </c>
      <c r="H11964" s="7">
        <v>2460</v>
      </c>
      <c r="I11964" s="7">
        <v>79</v>
      </c>
      <c r="J11964" s="7">
        <v>0</v>
      </c>
      <c r="K11964" s="7" t="s">
        <v>18</v>
      </c>
      <c r="L11964" s="8">
        <v>39987.315405092595</v>
      </c>
      <c r="M11964" s="9" t="s">
        <v>19</v>
      </c>
      <c r="N11964" s="9" t="s">
        <v>20</v>
      </c>
      <c r="O11964" s="6" t="str">
        <f>HYPERLINK("https://pbs.twimg.com/profile_images/962471262747529216/Uo8lOkRJ_normal.jpg","View")</f>
        <v>View</v>
      </c>
      <c r="P11964" s="7"/>
    </row>
    <row r="11965" spans="1:16">
      <c r="A11965" s="3">
        <v>44155.161041666666</v>
      </c>
      <c r="B11965" s="4" t="str">
        <f>HYPERLINK("https://twitter.com/petrogustavo","@petrogustavo")</f>
        <v>@petrogustavo</v>
      </c>
      <c r="C11965" s="5" t="s">
        <v>16</v>
      </c>
      <c r="D11965" s="5" t="s">
        <v>11521</v>
      </c>
      <c r="E11965" s="6" t="str">
        <f>HYPERLINK("https://twitter.com/petrogustavo/status/1329550494042378241","1329550494042378241")</f>
        <v>1329550494042378241</v>
      </c>
      <c r="F11965" s="7" t="s">
        <v>17</v>
      </c>
      <c r="G11965" s="7">
        <v>4009674</v>
      </c>
      <c r="H11965" s="7">
        <v>2461</v>
      </c>
      <c r="I11965" s="7">
        <v>264</v>
      </c>
      <c r="J11965" s="7">
        <v>1896</v>
      </c>
      <c r="K11965" s="7" t="s">
        <v>18</v>
      </c>
      <c r="L11965" s="8">
        <v>39987.315405092595</v>
      </c>
      <c r="M11965" s="9" t="s">
        <v>19</v>
      </c>
      <c r="N11965" s="9" t="s">
        <v>20</v>
      </c>
      <c r="O11965" s="6" t="str">
        <f>HYPERLINK("https://pbs.twimg.com/profile_images/962471262747529216/Uo8lOkRJ_normal.jpg","View")</f>
        <v>View</v>
      </c>
      <c r="P11965" s="7"/>
    </row>
    <row r="11966" spans="1:16">
      <c r="A11966" s="3">
        <v>44155.161990740744</v>
      </c>
      <c r="B11966" s="4" t="str">
        <f>HYPERLINK("https://twitter.com/petrogustavo","@petrogustavo")</f>
        <v>@petrogustavo</v>
      </c>
      <c r="C11966" s="5" t="s">
        <v>16</v>
      </c>
      <c r="D11966" s="5" t="s">
        <v>11519</v>
      </c>
      <c r="E11966" s="6" t="str">
        <f>HYPERLINK("https://twitter.com/petrogustavo/status/1329550837887229953","1329550837887229953")</f>
        <v>1329550837887229953</v>
      </c>
      <c r="F11966" s="7" t="s">
        <v>17</v>
      </c>
      <c r="G11966" s="7">
        <v>4009674</v>
      </c>
      <c r="H11966" s="7">
        <v>2461</v>
      </c>
      <c r="I11966" s="7">
        <v>183</v>
      </c>
      <c r="J11966" s="7">
        <v>0</v>
      </c>
      <c r="K11966" s="7" t="s">
        <v>18</v>
      </c>
      <c r="L11966" s="8">
        <v>39987.315405092595</v>
      </c>
      <c r="M11966" s="9" t="s">
        <v>19</v>
      </c>
      <c r="N11966" s="9" t="s">
        <v>20</v>
      </c>
      <c r="O11966" s="6" t="str">
        <f>HYPERLINK("https://pbs.twimg.com/profile_images/962471262747529216/Uo8lOkRJ_normal.jpg","View")</f>
        <v>View</v>
      </c>
      <c r="P11966" s="7"/>
    </row>
    <row r="11967" spans="1:16">
      <c r="A11967" s="3">
        <v>44155.162106481483</v>
      </c>
      <c r="B11967" s="4" t="str">
        <f>HYPERLINK("https://twitter.com/petrogustavo","@petrogustavo")</f>
        <v>@petrogustavo</v>
      </c>
      <c r="C11967" s="5" t="s">
        <v>16</v>
      </c>
      <c r="D11967" s="5" t="s">
        <v>11520</v>
      </c>
      <c r="E11967" s="6" t="str">
        <f>HYPERLINK("https://twitter.com/petrogustavo/status/1329550881264726017","1329550881264726017")</f>
        <v>1329550881264726017</v>
      </c>
      <c r="F11967" s="7" t="s">
        <v>17</v>
      </c>
      <c r="G11967" s="7">
        <v>4009674</v>
      </c>
      <c r="H11967" s="7">
        <v>2461</v>
      </c>
      <c r="I11967" s="7">
        <v>156</v>
      </c>
      <c r="J11967" s="7">
        <v>0</v>
      </c>
      <c r="K11967" s="7" t="s">
        <v>18</v>
      </c>
      <c r="L11967" s="8">
        <v>39987.315405092595</v>
      </c>
      <c r="M11967" s="9" t="s">
        <v>19</v>
      </c>
      <c r="N11967" s="9" t="s">
        <v>20</v>
      </c>
      <c r="O11967" s="6" t="str">
        <f>HYPERLINK("https://pbs.twimg.com/profile_images/962471262747529216/Uo8lOkRJ_normal.jpg","View")</f>
        <v>View</v>
      </c>
      <c r="P11967" s="7"/>
    </row>
    <row r="11968" spans="1:16">
      <c r="A11968" s="3">
        <v>44155.214560185181</v>
      </c>
      <c r="B11968" s="4" t="str">
        <f>HYPERLINK("https://twitter.com/petrogustavo","@petrogustavo")</f>
        <v>@petrogustavo</v>
      </c>
      <c r="C11968" s="5" t="s">
        <v>16</v>
      </c>
      <c r="D11968" s="5" t="s">
        <v>11522</v>
      </c>
      <c r="E11968" s="6" t="str">
        <f>HYPERLINK("https://twitter.com/petrogustavo/status/1329569890097827842","1329569890097827842")</f>
        <v>1329569890097827842</v>
      </c>
      <c r="F11968" s="7" t="s">
        <v>17</v>
      </c>
      <c r="G11968" s="7">
        <v>4009674</v>
      </c>
      <c r="H11968" s="7">
        <v>2461</v>
      </c>
      <c r="I11968" s="7">
        <v>150</v>
      </c>
      <c r="J11968" s="7">
        <v>561</v>
      </c>
      <c r="K11968" s="7" t="s">
        <v>18</v>
      </c>
      <c r="L11968" s="8">
        <v>39987.315405092595</v>
      </c>
      <c r="M11968" s="9" t="s">
        <v>19</v>
      </c>
      <c r="N11968" s="9" t="s">
        <v>20</v>
      </c>
      <c r="O11968" s="6" t="str">
        <f>HYPERLINK("https://pbs.twimg.com/profile_images/962471262747529216/Uo8lOkRJ_normal.jpg","View")</f>
        <v>View</v>
      </c>
      <c r="P11968" s="7"/>
    </row>
    <row r="11969" spans="1:16">
      <c r="A11969" s="3">
        <v>44155.215150462958</v>
      </c>
      <c r="B11969" s="4" t="str">
        <f>HYPERLINK("https://twitter.com/petrogustavo","@petrogustavo")</f>
        <v>@petrogustavo</v>
      </c>
      <c r="C11969" s="5" t="s">
        <v>16</v>
      </c>
      <c r="D11969" s="5" t="s">
        <v>11523</v>
      </c>
      <c r="E11969" s="6" t="str">
        <f>HYPERLINK("https://twitter.com/petrogustavo/status/1329570103776718848","1329570103776718848")</f>
        <v>1329570103776718848</v>
      </c>
      <c r="F11969" s="7" t="s">
        <v>17</v>
      </c>
      <c r="G11969" s="7">
        <v>4009674</v>
      </c>
      <c r="H11969" s="7">
        <v>2461</v>
      </c>
      <c r="I11969" s="7">
        <v>594</v>
      </c>
      <c r="J11969" s="7">
        <v>0</v>
      </c>
      <c r="K11969" s="7" t="s">
        <v>18</v>
      </c>
      <c r="L11969" s="8">
        <v>39987.315405092595</v>
      </c>
      <c r="M11969" s="9" t="s">
        <v>19</v>
      </c>
      <c r="N11969" s="9" t="s">
        <v>20</v>
      </c>
      <c r="O11969" s="6" t="str">
        <f>HYPERLINK("https://pbs.twimg.com/profile_images/962471262747529216/Uo8lOkRJ_normal.jpg","View")</f>
        <v>View</v>
      </c>
      <c r="P11969" s="7"/>
    </row>
    <row r="11970" spans="1:16">
      <c r="A11970" s="3">
        <v>44155.220069444447</v>
      </c>
      <c r="B11970" s="4" t="str">
        <f>HYPERLINK("https://twitter.com/petrogustavo","@petrogustavo")</f>
        <v>@petrogustavo</v>
      </c>
      <c r="C11970" s="5" t="s">
        <v>16</v>
      </c>
      <c r="D11970" s="5" t="s">
        <v>11524</v>
      </c>
      <c r="E11970" s="6" t="str">
        <f>HYPERLINK("https://twitter.com/petrogustavo/status/1329571883990331392","1329571883990331392")</f>
        <v>1329571883990331392</v>
      </c>
      <c r="F11970" s="7" t="s">
        <v>17</v>
      </c>
      <c r="G11970" s="7">
        <v>4009674</v>
      </c>
      <c r="H11970" s="7">
        <v>2461</v>
      </c>
      <c r="I11970" s="7">
        <v>3</v>
      </c>
      <c r="J11970" s="7">
        <v>23</v>
      </c>
      <c r="K11970" s="7" t="s">
        <v>18</v>
      </c>
      <c r="L11970" s="8">
        <v>39987.315405092595</v>
      </c>
      <c r="M11970" s="9" t="s">
        <v>19</v>
      </c>
      <c r="N11970" s="9" t="s">
        <v>20</v>
      </c>
      <c r="O11970" s="6" t="str">
        <f>HYPERLINK("https://pbs.twimg.com/profile_images/962471262747529216/Uo8lOkRJ_normal.jpg","View")</f>
        <v>View</v>
      </c>
      <c r="P11970" s="7"/>
    </row>
    <row r="11971" spans="1:16">
      <c r="A11971" s="3">
        <v>44155.229930555557</v>
      </c>
      <c r="B11971" s="4" t="str">
        <f>HYPERLINK("https://twitter.com/petrogustavo","@petrogustavo")</f>
        <v>@petrogustavo</v>
      </c>
      <c r="C11971" s="5" t="s">
        <v>16</v>
      </c>
      <c r="D11971" s="5" t="s">
        <v>11525</v>
      </c>
      <c r="E11971" s="6" t="str">
        <f>HYPERLINK("https://twitter.com/petrogustavo/status/1329575458493640704","1329575458493640704")</f>
        <v>1329575458493640704</v>
      </c>
      <c r="F11971" s="7" t="s">
        <v>17</v>
      </c>
      <c r="G11971" s="7">
        <v>4009682</v>
      </c>
      <c r="H11971" s="7">
        <v>2461</v>
      </c>
      <c r="I11971" s="7">
        <v>83</v>
      </c>
      <c r="J11971" s="7">
        <v>302</v>
      </c>
      <c r="K11971" s="7" t="s">
        <v>18</v>
      </c>
      <c r="L11971" s="8">
        <v>39987.315405092595</v>
      </c>
      <c r="M11971" s="9" t="s">
        <v>19</v>
      </c>
      <c r="N11971" s="9" t="s">
        <v>20</v>
      </c>
      <c r="O11971" s="6" t="str">
        <f>HYPERLINK("https://pbs.twimg.com/profile_images/962471262747529216/Uo8lOkRJ_normal.jpg","View")</f>
        <v>View</v>
      </c>
      <c r="P11971" s="7"/>
    </row>
    <row r="11972" spans="1:16">
      <c r="A11972" s="3">
        <v>44155.331655092596</v>
      </c>
      <c r="B11972" s="4" t="str">
        <f>HYPERLINK("https://twitter.com/petrogustavo","@petrogustavo")</f>
        <v>@petrogustavo</v>
      </c>
      <c r="C11972" s="5" t="s">
        <v>16</v>
      </c>
      <c r="D11972" s="5" t="s">
        <v>11523</v>
      </c>
      <c r="E11972" s="6" t="str">
        <f>HYPERLINK("https://twitter.com/petrogustavo/status/1329612324941012992","1329612324941012992")</f>
        <v>1329612324941012992</v>
      </c>
      <c r="F11972" s="7" t="s">
        <v>17</v>
      </c>
      <c r="G11972" s="7">
        <v>4009808</v>
      </c>
      <c r="H11972" s="7">
        <v>2461</v>
      </c>
      <c r="I11972" s="7">
        <v>1173</v>
      </c>
      <c r="J11972" s="7">
        <v>0</v>
      </c>
      <c r="K11972" s="7" t="s">
        <v>18</v>
      </c>
      <c r="L11972" s="8">
        <v>39987.315405092595</v>
      </c>
      <c r="M11972" s="9" t="s">
        <v>19</v>
      </c>
      <c r="N11972" s="9" t="s">
        <v>20</v>
      </c>
      <c r="O11972" s="6" t="str">
        <f>HYPERLINK("https://pbs.twimg.com/profile_images/962471262747529216/Uo8lOkRJ_normal.jpg","View")</f>
        <v>View</v>
      </c>
      <c r="P11972" s="7"/>
    </row>
    <row r="11973" spans="1:16">
      <c r="A11973" s="3">
        <v>44155.33211805555</v>
      </c>
      <c r="B11973" s="4" t="str">
        <f>HYPERLINK("https://twitter.com/petrogustavo","@petrogustavo")</f>
        <v>@petrogustavo</v>
      </c>
      <c r="C11973" s="5" t="s">
        <v>16</v>
      </c>
      <c r="D11973" s="5" t="s">
        <v>11526</v>
      </c>
      <c r="E11973" s="6" t="str">
        <f>HYPERLINK("https://twitter.com/petrogustavo/status/1329612489026375681","1329612489026375681")</f>
        <v>1329612489026375681</v>
      </c>
      <c r="F11973" s="7" t="s">
        <v>17</v>
      </c>
      <c r="G11973" s="7">
        <v>4009808</v>
      </c>
      <c r="H11973" s="7">
        <v>2461</v>
      </c>
      <c r="I11973" s="7">
        <v>502</v>
      </c>
      <c r="J11973" s="7">
        <v>0</v>
      </c>
      <c r="K11973" s="7" t="s">
        <v>18</v>
      </c>
      <c r="L11973" s="8">
        <v>39987.315405092595</v>
      </c>
      <c r="M11973" s="9" t="s">
        <v>19</v>
      </c>
      <c r="N11973" s="9" t="s">
        <v>20</v>
      </c>
      <c r="O11973" s="6" t="str">
        <f>HYPERLINK("https://pbs.twimg.com/profile_images/962471262747529216/Uo8lOkRJ_normal.jpg","View")</f>
        <v>View</v>
      </c>
      <c r="P11973" s="7"/>
    </row>
    <row r="11974" spans="1:16">
      <c r="A11974" s="3">
        <v>44155.336157407408</v>
      </c>
      <c r="B11974" s="4" t="str">
        <f>HYPERLINK("https://twitter.com/petrogustavo","@petrogustavo")</f>
        <v>@petrogustavo</v>
      </c>
      <c r="C11974" s="5" t="s">
        <v>16</v>
      </c>
      <c r="D11974" s="5" t="s">
        <v>11527</v>
      </c>
      <c r="E11974" s="6" t="str">
        <f>HYPERLINK("https://twitter.com/petrogustavo/status/1329613956399370242","1329613956399370242")</f>
        <v>1329613956399370242</v>
      </c>
      <c r="F11974" s="7" t="s">
        <v>17</v>
      </c>
      <c r="G11974" s="7">
        <v>4009808</v>
      </c>
      <c r="H11974" s="7">
        <v>2461</v>
      </c>
      <c r="I11974" s="7">
        <v>128</v>
      </c>
      <c r="J11974" s="7">
        <v>352</v>
      </c>
      <c r="K11974" s="7" t="s">
        <v>18</v>
      </c>
      <c r="L11974" s="8">
        <v>39987.315405092595</v>
      </c>
      <c r="M11974" s="9" t="s">
        <v>19</v>
      </c>
      <c r="N11974" s="9" t="s">
        <v>20</v>
      </c>
      <c r="O11974" s="6" t="str">
        <f>HYPERLINK("https://pbs.twimg.com/profile_images/962471262747529216/Uo8lOkRJ_normal.jpg","View")</f>
        <v>View</v>
      </c>
      <c r="P11974" s="7"/>
    </row>
    <row r="11975" spans="1:16">
      <c r="A11975" s="3">
        <v>44155.336365740739</v>
      </c>
      <c r="B11975" s="4" t="str">
        <f>HYPERLINK("https://twitter.com/petrogustavo","@petrogustavo")</f>
        <v>@petrogustavo</v>
      </c>
      <c r="C11975" s="5" t="s">
        <v>16</v>
      </c>
      <c r="D11975" s="5" t="s">
        <v>11528</v>
      </c>
      <c r="E11975" s="6" t="str">
        <f>HYPERLINK("https://twitter.com/petrogustavo/status/1329614031326482432","1329614031326482432")</f>
        <v>1329614031326482432</v>
      </c>
      <c r="F11975" s="7" t="s">
        <v>17</v>
      </c>
      <c r="G11975" s="7">
        <v>4009808</v>
      </c>
      <c r="H11975" s="7">
        <v>2461</v>
      </c>
      <c r="I11975" s="7">
        <v>157</v>
      </c>
      <c r="J11975" s="7">
        <v>0</v>
      </c>
      <c r="K11975" s="7" t="s">
        <v>18</v>
      </c>
      <c r="L11975" s="8">
        <v>39987.315405092595</v>
      </c>
      <c r="M11975" s="9" t="s">
        <v>19</v>
      </c>
      <c r="N11975" s="9" t="s">
        <v>20</v>
      </c>
      <c r="O11975" s="6" t="str">
        <f>HYPERLINK("https://pbs.twimg.com/profile_images/962471262747529216/Uo8lOkRJ_normal.jpg","View")</f>
        <v>View</v>
      </c>
      <c r="P11975" s="7"/>
    </row>
    <row r="11976" spans="1:16">
      <c r="A11976" s="3">
        <v>44155.350138888884</v>
      </c>
      <c r="B11976" s="4" t="str">
        <f>HYPERLINK("https://twitter.com/petrogustavo","@petrogustavo")</f>
        <v>@petrogustavo</v>
      </c>
      <c r="C11976" s="5" t="s">
        <v>16</v>
      </c>
      <c r="D11976" s="5" t="s">
        <v>11529</v>
      </c>
      <c r="E11976" s="6" t="str">
        <f>HYPERLINK("https://twitter.com/petrogustavo/status/1329619022627938306","1329619022627938306")</f>
        <v>1329619022627938306</v>
      </c>
      <c r="F11976" s="7" t="s">
        <v>32</v>
      </c>
      <c r="G11976" s="7">
        <v>4009825</v>
      </c>
      <c r="H11976" s="7">
        <v>2461</v>
      </c>
      <c r="I11976" s="7">
        <v>217</v>
      </c>
      <c r="J11976" s="7">
        <v>0</v>
      </c>
      <c r="K11976" s="7" t="s">
        <v>18</v>
      </c>
      <c r="L11976" s="8">
        <v>39987.315405092595</v>
      </c>
      <c r="M11976" s="9" t="s">
        <v>19</v>
      </c>
      <c r="N11976" s="9" t="s">
        <v>20</v>
      </c>
      <c r="O11976" s="6" t="str">
        <f>HYPERLINK("https://pbs.twimg.com/profile_images/962471262747529216/Uo8lOkRJ_normal.jpg","View")</f>
        <v>View</v>
      </c>
      <c r="P11976" s="7"/>
    </row>
    <row r="11977" spans="1:16">
      <c r="A11977" s="3">
        <v>44155.351180555561</v>
      </c>
      <c r="B11977" s="4" t="str">
        <f>HYPERLINK("https://twitter.com/petrogustavo","@petrogustavo")</f>
        <v>@petrogustavo</v>
      </c>
      <c r="C11977" s="5" t="s">
        <v>16</v>
      </c>
      <c r="D11977" s="5" t="s">
        <v>11530</v>
      </c>
      <c r="E11977" s="6" t="str">
        <f>HYPERLINK("https://twitter.com/petrogustavo/status/1329619400434065408","1329619400434065408")</f>
        <v>1329619400434065408</v>
      </c>
      <c r="F11977" s="7" t="s">
        <v>32</v>
      </c>
      <c r="G11977" s="7">
        <v>4009825</v>
      </c>
      <c r="H11977" s="7">
        <v>2461</v>
      </c>
      <c r="I11977" s="7">
        <v>53</v>
      </c>
      <c r="J11977" s="7">
        <v>0</v>
      </c>
      <c r="K11977" s="7" t="s">
        <v>18</v>
      </c>
      <c r="L11977" s="8">
        <v>39987.315405092595</v>
      </c>
      <c r="M11977" s="9" t="s">
        <v>19</v>
      </c>
      <c r="N11977" s="9" t="s">
        <v>20</v>
      </c>
      <c r="O11977" s="6" t="str">
        <f>HYPERLINK("https://pbs.twimg.com/profile_images/962471262747529216/Uo8lOkRJ_normal.jpg","View")</f>
        <v>View</v>
      </c>
      <c r="P11977" s="7"/>
    </row>
    <row r="11978" spans="1:16">
      <c r="A11978" s="3">
        <v>44155.354699074072</v>
      </c>
      <c r="B11978" s="4" t="str">
        <f>HYPERLINK("https://twitter.com/petrogustavo","@petrogustavo")</f>
        <v>@petrogustavo</v>
      </c>
      <c r="C11978" s="5" t="s">
        <v>16</v>
      </c>
      <c r="D11978" s="5" t="s">
        <v>11531</v>
      </c>
      <c r="E11978" s="6" t="str">
        <f>HYPERLINK("https://twitter.com/petrogustavo/status/1329620672658681863","1329620672658681863")</f>
        <v>1329620672658681863</v>
      </c>
      <c r="F11978" s="7" t="s">
        <v>32</v>
      </c>
      <c r="G11978" s="7">
        <v>4009825</v>
      </c>
      <c r="H11978" s="7">
        <v>2461</v>
      </c>
      <c r="I11978" s="7">
        <v>34</v>
      </c>
      <c r="J11978" s="7">
        <v>0</v>
      </c>
      <c r="K11978" s="7" t="s">
        <v>18</v>
      </c>
      <c r="L11978" s="8">
        <v>39987.315405092595</v>
      </c>
      <c r="M11978" s="9" t="s">
        <v>19</v>
      </c>
      <c r="N11978" s="9" t="s">
        <v>20</v>
      </c>
      <c r="O11978" s="6" t="str">
        <f>HYPERLINK("https://pbs.twimg.com/profile_images/962471262747529216/Uo8lOkRJ_normal.jpg","View")</f>
        <v>View</v>
      </c>
      <c r="P11978" s="7"/>
    </row>
    <row r="11979" spans="1:16">
      <c r="A11979" s="3">
        <v>44155.357314814813</v>
      </c>
      <c r="B11979" s="4" t="str">
        <f>HYPERLINK("https://twitter.com/petrogustavo","@petrogustavo")</f>
        <v>@petrogustavo</v>
      </c>
      <c r="C11979" s="5" t="s">
        <v>16</v>
      </c>
      <c r="D11979" s="5" t="s">
        <v>11532</v>
      </c>
      <c r="E11979" s="6" t="str">
        <f>HYPERLINK("https://twitter.com/petrogustavo/status/1329621622173671425","1329621622173671425")</f>
        <v>1329621622173671425</v>
      </c>
      <c r="F11979" s="7" t="s">
        <v>32</v>
      </c>
      <c r="G11979" s="7">
        <v>4009825</v>
      </c>
      <c r="H11979" s="7">
        <v>2461</v>
      </c>
      <c r="I11979" s="7">
        <v>62</v>
      </c>
      <c r="J11979" s="7">
        <v>214</v>
      </c>
      <c r="K11979" s="7" t="s">
        <v>18</v>
      </c>
      <c r="L11979" s="8">
        <v>39987.315405092595</v>
      </c>
      <c r="M11979" s="9" t="s">
        <v>19</v>
      </c>
      <c r="N11979" s="9" t="s">
        <v>20</v>
      </c>
      <c r="O11979" s="6" t="str">
        <f>HYPERLINK("https://pbs.twimg.com/profile_images/962471262747529216/Uo8lOkRJ_normal.jpg","View")</f>
        <v>View</v>
      </c>
      <c r="P11979" s="7"/>
    </row>
    <row r="11980" spans="1:16">
      <c r="A11980" s="3">
        <v>44155.357754629629</v>
      </c>
      <c r="B11980" s="4" t="str">
        <f>HYPERLINK("https://twitter.com/petrogustavo","@petrogustavo")</f>
        <v>@petrogustavo</v>
      </c>
      <c r="C11980" s="5" t="s">
        <v>16</v>
      </c>
      <c r="D11980" s="5" t="s">
        <v>11533</v>
      </c>
      <c r="E11980" s="6" t="str">
        <f>HYPERLINK("https://twitter.com/petrogustavo/status/1329621782337380352","1329621782337380352")</f>
        <v>1329621782337380352</v>
      </c>
      <c r="F11980" s="7" t="s">
        <v>32</v>
      </c>
      <c r="G11980" s="7">
        <v>4009825</v>
      </c>
      <c r="H11980" s="7">
        <v>2461</v>
      </c>
      <c r="I11980" s="7">
        <v>74</v>
      </c>
      <c r="J11980" s="7">
        <v>0</v>
      </c>
      <c r="K11980" s="7" t="s">
        <v>18</v>
      </c>
      <c r="L11980" s="8">
        <v>39987.315405092595</v>
      </c>
      <c r="M11980" s="9" t="s">
        <v>19</v>
      </c>
      <c r="N11980" s="9" t="s">
        <v>20</v>
      </c>
      <c r="O11980" s="6" t="str">
        <f>HYPERLINK("https://pbs.twimg.com/profile_images/962471262747529216/Uo8lOkRJ_normal.jpg","View")</f>
        <v>View</v>
      </c>
      <c r="P11980" s="7"/>
    </row>
    <row r="11981" spans="1:16">
      <c r="A11981" s="3">
        <v>44155.358194444445</v>
      </c>
      <c r="B11981" s="4" t="str">
        <f>HYPERLINK("https://twitter.com/petrogustavo","@petrogustavo")</f>
        <v>@petrogustavo</v>
      </c>
      <c r="C11981" s="5" t="s">
        <v>16</v>
      </c>
      <c r="D11981" s="5" t="s">
        <v>11534</v>
      </c>
      <c r="E11981" s="6" t="str">
        <f>HYPERLINK("https://twitter.com/petrogustavo/status/1329621939221114883","1329621939221114883")</f>
        <v>1329621939221114883</v>
      </c>
      <c r="F11981" s="7" t="s">
        <v>32</v>
      </c>
      <c r="G11981" s="7">
        <v>4009825</v>
      </c>
      <c r="H11981" s="7">
        <v>2461</v>
      </c>
      <c r="I11981" s="7">
        <v>28</v>
      </c>
      <c r="J11981" s="7">
        <v>0</v>
      </c>
      <c r="K11981" s="7" t="s">
        <v>18</v>
      </c>
      <c r="L11981" s="8">
        <v>39987.315405092595</v>
      </c>
      <c r="M11981" s="9" t="s">
        <v>19</v>
      </c>
      <c r="N11981" s="9" t="s">
        <v>20</v>
      </c>
      <c r="O11981" s="6" t="str">
        <f>HYPERLINK("https://pbs.twimg.com/profile_images/962471262747529216/Uo8lOkRJ_normal.jpg","View")</f>
        <v>View</v>
      </c>
      <c r="P11981" s="7"/>
    </row>
    <row r="11982" spans="1:16">
      <c r="A11982" s="3">
        <v>44155.358437499999</v>
      </c>
      <c r="B11982" s="4" t="str">
        <f>HYPERLINK("https://twitter.com/petrogustavo","@petrogustavo")</f>
        <v>@petrogustavo</v>
      </c>
      <c r="C11982" s="5" t="s">
        <v>16</v>
      </c>
      <c r="D11982" s="5" t="s">
        <v>11535</v>
      </c>
      <c r="E11982" s="6" t="str">
        <f>HYPERLINK("https://twitter.com/petrogustavo/status/1329622029834858497","1329622029834858497")</f>
        <v>1329622029834858497</v>
      </c>
      <c r="F11982" s="7" t="s">
        <v>32</v>
      </c>
      <c r="G11982" s="7">
        <v>4009825</v>
      </c>
      <c r="H11982" s="7">
        <v>2461</v>
      </c>
      <c r="I11982" s="7">
        <v>26</v>
      </c>
      <c r="J11982" s="7">
        <v>0</v>
      </c>
      <c r="K11982" s="7" t="s">
        <v>18</v>
      </c>
      <c r="L11982" s="8">
        <v>39987.315405092595</v>
      </c>
      <c r="M11982" s="9" t="s">
        <v>19</v>
      </c>
      <c r="N11982" s="9" t="s">
        <v>20</v>
      </c>
      <c r="O11982" s="6" t="str">
        <f>HYPERLINK("https://pbs.twimg.com/profile_images/962471262747529216/Uo8lOkRJ_normal.jpg","View")</f>
        <v>View</v>
      </c>
      <c r="P11982" s="7"/>
    </row>
    <row r="11983" spans="1:16">
      <c r="A11983" s="3">
        <v>44155.360775462963</v>
      </c>
      <c r="B11983" s="4" t="str">
        <f>HYPERLINK("https://twitter.com/petrogustavo","@petrogustavo")</f>
        <v>@petrogustavo</v>
      </c>
      <c r="C11983" s="5" t="s">
        <v>16</v>
      </c>
      <c r="D11983" s="5" t="s">
        <v>11536</v>
      </c>
      <c r="E11983" s="6" t="str">
        <f>HYPERLINK("https://twitter.com/petrogustavo/status/1329622875855314946","1329622875855314946")</f>
        <v>1329622875855314946</v>
      </c>
      <c r="F11983" s="7" t="s">
        <v>32</v>
      </c>
      <c r="G11983" s="7">
        <v>4009825</v>
      </c>
      <c r="H11983" s="7">
        <v>2461</v>
      </c>
      <c r="I11983" s="7">
        <v>1077</v>
      </c>
      <c r="J11983" s="7">
        <v>0</v>
      </c>
      <c r="K11983" s="7" t="s">
        <v>18</v>
      </c>
      <c r="L11983" s="8">
        <v>39987.315405092595</v>
      </c>
      <c r="M11983" s="9" t="s">
        <v>19</v>
      </c>
      <c r="N11983" s="9" t="s">
        <v>20</v>
      </c>
      <c r="O11983" s="6" t="str">
        <f>HYPERLINK("https://pbs.twimg.com/profile_images/962471262747529216/Uo8lOkRJ_normal.jpg","View")</f>
        <v>View</v>
      </c>
      <c r="P11983" s="7"/>
    </row>
    <row r="11984" spans="1:16">
      <c r="A11984" s="3">
        <v>44155.372708333336</v>
      </c>
      <c r="B11984" s="4" t="str">
        <f>HYPERLINK("https://twitter.com/petrogustavo","@petrogustavo")</f>
        <v>@petrogustavo</v>
      </c>
      <c r="C11984" s="5" t="s">
        <v>16</v>
      </c>
      <c r="D11984" s="5" t="s">
        <v>11530</v>
      </c>
      <c r="E11984" s="6" t="str">
        <f>HYPERLINK("https://twitter.com/petrogustavo/status/1329627199880749059","1329627199880749059")</f>
        <v>1329627199880749059</v>
      </c>
      <c r="F11984" s="7" t="s">
        <v>32</v>
      </c>
      <c r="G11984" s="7">
        <v>4009839</v>
      </c>
      <c r="H11984" s="7">
        <v>2461</v>
      </c>
      <c r="I11984" s="7">
        <v>84</v>
      </c>
      <c r="J11984" s="7">
        <v>0</v>
      </c>
      <c r="K11984" s="7" t="s">
        <v>18</v>
      </c>
      <c r="L11984" s="8">
        <v>39987.315405092595</v>
      </c>
      <c r="M11984" s="9" t="s">
        <v>19</v>
      </c>
      <c r="N11984" s="9" t="s">
        <v>20</v>
      </c>
      <c r="O11984" s="6" t="str">
        <f>HYPERLINK("https://pbs.twimg.com/profile_images/962471262747529216/Uo8lOkRJ_normal.jpg","View")</f>
        <v>View</v>
      </c>
      <c r="P11984" s="7"/>
    </row>
    <row r="11985" spans="1:16">
      <c r="A11985" s="3">
        <v>44155.373391203699</v>
      </c>
      <c r="B11985" s="4" t="str">
        <f>HYPERLINK("https://twitter.com/petrogustavo","@petrogustavo")</f>
        <v>@petrogustavo</v>
      </c>
      <c r="C11985" s="5" t="s">
        <v>16</v>
      </c>
      <c r="D11985" s="5" t="s">
        <v>11537</v>
      </c>
      <c r="E11985" s="6" t="str">
        <f>HYPERLINK("https://twitter.com/petrogustavo/status/1329627449303379973","1329627449303379973")</f>
        <v>1329627449303379973</v>
      </c>
      <c r="F11985" s="7" t="s">
        <v>32</v>
      </c>
      <c r="G11985" s="7">
        <v>4009839</v>
      </c>
      <c r="H11985" s="7">
        <v>2461</v>
      </c>
      <c r="I11985" s="7">
        <v>134</v>
      </c>
      <c r="J11985" s="7">
        <v>0</v>
      </c>
      <c r="K11985" s="7" t="s">
        <v>18</v>
      </c>
      <c r="L11985" s="8">
        <v>39987.315405092595</v>
      </c>
      <c r="M11985" s="9" t="s">
        <v>19</v>
      </c>
      <c r="N11985" s="9" t="s">
        <v>20</v>
      </c>
      <c r="O11985" s="6" t="str">
        <f>HYPERLINK("https://pbs.twimg.com/profile_images/962471262747529216/Uo8lOkRJ_normal.jpg","View")</f>
        <v>View</v>
      </c>
      <c r="P11985" s="7"/>
    </row>
    <row r="11986" spans="1:16">
      <c r="A11986" s="3">
        <v>44155.682071759264</v>
      </c>
      <c r="B11986" s="4" t="str">
        <f>HYPERLINK("https://twitter.com/petrogustavo","@petrogustavo")</f>
        <v>@petrogustavo</v>
      </c>
      <c r="C11986" s="5" t="s">
        <v>16</v>
      </c>
      <c r="D11986" s="5" t="s">
        <v>11538</v>
      </c>
      <c r="E11986" s="6" t="str">
        <f>HYPERLINK("https://twitter.com/petrogustavo/status/1329739308312432640","1329739308312432640")</f>
        <v>1329739308312432640</v>
      </c>
      <c r="F11986" s="7" t="s">
        <v>17</v>
      </c>
      <c r="G11986" s="7">
        <v>4009882</v>
      </c>
      <c r="H11986" s="7">
        <v>2461</v>
      </c>
      <c r="I11986" s="7">
        <v>749</v>
      </c>
      <c r="J11986" s="7">
        <v>0</v>
      </c>
      <c r="K11986" s="7" t="s">
        <v>18</v>
      </c>
      <c r="L11986" s="8">
        <v>39987.315405092595</v>
      </c>
      <c r="M11986" s="9" t="s">
        <v>19</v>
      </c>
      <c r="N11986" s="9" t="s">
        <v>20</v>
      </c>
      <c r="O11986" s="6" t="str">
        <f>HYPERLINK("https://pbs.twimg.com/profile_images/962471262747529216/Uo8lOkRJ_normal.jpg","View")</f>
        <v>View</v>
      </c>
      <c r="P11986" s="7"/>
    </row>
    <row r="11987" spans="1:16">
      <c r="A11987" s="3">
        <v>44155.682476851856</v>
      </c>
      <c r="B11987" s="4" t="str">
        <f>HYPERLINK("https://twitter.com/petrogustavo","@petrogustavo")</f>
        <v>@petrogustavo</v>
      </c>
      <c r="C11987" s="5" t="s">
        <v>16</v>
      </c>
      <c r="D11987" s="5" t="s">
        <v>11539</v>
      </c>
      <c r="E11987" s="6" t="str">
        <f>HYPERLINK("https://twitter.com/petrogustavo/status/1329739456711159809","1329739456711159809")</f>
        <v>1329739456711159809</v>
      </c>
      <c r="F11987" s="7" t="s">
        <v>17</v>
      </c>
      <c r="G11987" s="7">
        <v>4009882</v>
      </c>
      <c r="H11987" s="7">
        <v>2461</v>
      </c>
      <c r="I11987" s="7">
        <v>184</v>
      </c>
      <c r="J11987" s="7">
        <v>0</v>
      </c>
      <c r="K11987" s="7" t="s">
        <v>18</v>
      </c>
      <c r="L11987" s="8">
        <v>39987.315405092595</v>
      </c>
      <c r="M11987" s="9" t="s">
        <v>19</v>
      </c>
      <c r="N11987" s="9" t="s">
        <v>20</v>
      </c>
      <c r="O11987" s="6" t="str">
        <f>HYPERLINK("https://pbs.twimg.com/profile_images/962471262747529216/Uo8lOkRJ_normal.jpg","View")</f>
        <v>View</v>
      </c>
      <c r="P11987" s="7"/>
    </row>
    <row r="11988" spans="1:16">
      <c r="A11988" s="3">
        <v>44155.683113425926</v>
      </c>
      <c r="B11988" s="4" t="str">
        <f>HYPERLINK("https://twitter.com/petrogustavo","@petrogustavo")</f>
        <v>@petrogustavo</v>
      </c>
      <c r="C11988" s="5" t="s">
        <v>16</v>
      </c>
      <c r="D11988" s="5" t="s">
        <v>11540</v>
      </c>
      <c r="E11988" s="6" t="str">
        <f>HYPERLINK("https://twitter.com/petrogustavo/status/1329739686869413890","1329739686869413890")</f>
        <v>1329739686869413890</v>
      </c>
      <c r="F11988" s="7" t="s">
        <v>17</v>
      </c>
      <c r="G11988" s="7">
        <v>4009882</v>
      </c>
      <c r="H11988" s="7">
        <v>2461</v>
      </c>
      <c r="I11988" s="7">
        <v>4804</v>
      </c>
      <c r="J11988" s="7">
        <v>0</v>
      </c>
      <c r="K11988" s="7" t="s">
        <v>18</v>
      </c>
      <c r="L11988" s="8">
        <v>39987.315405092595</v>
      </c>
      <c r="M11988" s="9" t="s">
        <v>19</v>
      </c>
      <c r="N11988" s="9" t="s">
        <v>20</v>
      </c>
      <c r="O11988" s="6" t="str">
        <f>HYPERLINK("https://pbs.twimg.com/profile_images/962471262747529216/Uo8lOkRJ_normal.jpg","View")</f>
        <v>View</v>
      </c>
      <c r="P11988" s="7"/>
    </row>
    <row r="11989" spans="1:16">
      <c r="A11989" s="3">
        <v>44155.695706018523</v>
      </c>
      <c r="B11989" s="4" t="str">
        <f>HYPERLINK("https://twitter.com/petrogustavo","@petrogustavo")</f>
        <v>@petrogustavo</v>
      </c>
      <c r="C11989" s="5" t="s">
        <v>16</v>
      </c>
      <c r="D11989" s="5" t="s">
        <v>11541</v>
      </c>
      <c r="E11989" s="6" t="str">
        <f>HYPERLINK("https://twitter.com/petrogustavo/status/1329744251488509957","1329744251488509957")</f>
        <v>1329744251488509957</v>
      </c>
      <c r="F11989" s="7" t="s">
        <v>17</v>
      </c>
      <c r="G11989" s="7">
        <v>4009882</v>
      </c>
      <c r="H11989" s="7">
        <v>2461</v>
      </c>
      <c r="I11989" s="7">
        <v>12</v>
      </c>
      <c r="J11989" s="7">
        <v>64</v>
      </c>
      <c r="K11989" s="7" t="s">
        <v>18</v>
      </c>
      <c r="L11989" s="8">
        <v>39987.315405092595</v>
      </c>
      <c r="M11989" s="9" t="s">
        <v>19</v>
      </c>
      <c r="N11989" s="9" t="s">
        <v>20</v>
      </c>
      <c r="O11989" s="6" t="str">
        <f>HYPERLINK("https://pbs.twimg.com/profile_images/962471262747529216/Uo8lOkRJ_normal.jpg","View")</f>
        <v>View</v>
      </c>
      <c r="P11989" s="7"/>
    </row>
    <row r="11990" spans="1:16">
      <c r="A11990" s="3">
        <v>44155.710416666669</v>
      </c>
      <c r="B11990" s="4" t="str">
        <f>HYPERLINK("https://twitter.com/petrogustavo","@petrogustavo")</f>
        <v>@petrogustavo</v>
      </c>
      <c r="C11990" s="5" t="s">
        <v>16</v>
      </c>
      <c r="D11990" s="5" t="s">
        <v>11542</v>
      </c>
      <c r="E11990" s="6" t="str">
        <f>HYPERLINK("https://twitter.com/petrogustavo/status/1329749580850847744","1329749580850847744")</f>
        <v>1329749580850847744</v>
      </c>
      <c r="F11990" s="7" t="s">
        <v>17</v>
      </c>
      <c r="G11990" s="7">
        <v>4009887</v>
      </c>
      <c r="H11990" s="7">
        <v>2461</v>
      </c>
      <c r="I11990" s="7">
        <v>78</v>
      </c>
      <c r="J11990" s="7">
        <v>0</v>
      </c>
      <c r="K11990" s="7" t="s">
        <v>18</v>
      </c>
      <c r="L11990" s="8">
        <v>39987.315405092595</v>
      </c>
      <c r="M11990" s="9" t="s">
        <v>19</v>
      </c>
      <c r="N11990" s="9" t="s">
        <v>20</v>
      </c>
      <c r="O11990" s="6" t="str">
        <f>HYPERLINK("https://pbs.twimg.com/profile_images/962471262747529216/Uo8lOkRJ_normal.jpg","View")</f>
        <v>View</v>
      </c>
      <c r="P11990" s="7"/>
    </row>
    <row r="11991" spans="1:16">
      <c r="A11991" s="3">
        <v>44155.714120370365</v>
      </c>
      <c r="B11991" s="4" t="str">
        <f>HYPERLINK("https://twitter.com/petrogustavo","@petrogustavo")</f>
        <v>@petrogustavo</v>
      </c>
      <c r="C11991" s="5" t="s">
        <v>16</v>
      </c>
      <c r="D11991" s="5" t="s">
        <v>11543</v>
      </c>
      <c r="E11991" s="6" t="str">
        <f>HYPERLINK("https://twitter.com/petrogustavo/status/1329750924080910339","1329750924080910339")</f>
        <v>1329750924080910339</v>
      </c>
      <c r="F11991" s="7" t="s">
        <v>17</v>
      </c>
      <c r="G11991" s="7">
        <v>4009887</v>
      </c>
      <c r="H11991" s="7">
        <v>2461</v>
      </c>
      <c r="I11991" s="7">
        <v>89</v>
      </c>
      <c r="J11991" s="7">
        <v>0</v>
      </c>
      <c r="K11991" s="7" t="s">
        <v>18</v>
      </c>
      <c r="L11991" s="8">
        <v>39987.315405092595</v>
      </c>
      <c r="M11991" s="9" t="s">
        <v>19</v>
      </c>
      <c r="N11991" s="9" t="s">
        <v>20</v>
      </c>
      <c r="O11991" s="6" t="str">
        <f>HYPERLINK("https://pbs.twimg.com/profile_images/962471262747529216/Uo8lOkRJ_normal.jpg","View")</f>
        <v>View</v>
      </c>
      <c r="P11991" s="7"/>
    </row>
    <row r="11992" spans="1:16">
      <c r="A11992" s="3">
        <v>44155.714259259257</v>
      </c>
      <c r="B11992" s="4" t="str">
        <f>HYPERLINK("https://twitter.com/petrogustavo","@petrogustavo")</f>
        <v>@petrogustavo</v>
      </c>
      <c r="C11992" s="5" t="s">
        <v>16</v>
      </c>
      <c r="D11992" s="5" t="s">
        <v>11544</v>
      </c>
      <c r="E11992" s="6" t="str">
        <f>HYPERLINK("https://twitter.com/petrogustavo/status/1329750972365742082","1329750972365742082")</f>
        <v>1329750972365742082</v>
      </c>
      <c r="F11992" s="7" t="s">
        <v>17</v>
      </c>
      <c r="G11992" s="7">
        <v>4009887</v>
      </c>
      <c r="H11992" s="7">
        <v>2461</v>
      </c>
      <c r="I11992" s="7">
        <v>140</v>
      </c>
      <c r="J11992" s="7">
        <v>0</v>
      </c>
      <c r="K11992" s="7" t="s">
        <v>18</v>
      </c>
      <c r="L11992" s="8">
        <v>39987.315405092595</v>
      </c>
      <c r="M11992" s="9" t="s">
        <v>19</v>
      </c>
      <c r="N11992" s="9" t="s">
        <v>20</v>
      </c>
      <c r="O11992" s="6" t="str">
        <f>HYPERLINK("https://pbs.twimg.com/profile_images/962471262747529216/Uo8lOkRJ_normal.jpg","View")</f>
        <v>View</v>
      </c>
      <c r="P11992" s="7"/>
    </row>
    <row r="11993" spans="1:16">
      <c r="A11993" s="3">
        <v>44155.714525462958</v>
      </c>
      <c r="B11993" s="4" t="str">
        <f>HYPERLINK("https://twitter.com/petrogustavo","@petrogustavo")</f>
        <v>@petrogustavo</v>
      </c>
      <c r="C11993" s="5" t="s">
        <v>16</v>
      </c>
      <c r="D11993" s="5" t="s">
        <v>11545</v>
      </c>
      <c r="E11993" s="6" t="str">
        <f>HYPERLINK("https://twitter.com/petrogustavo/status/1329751069568667654","1329751069568667654")</f>
        <v>1329751069568667654</v>
      </c>
      <c r="F11993" s="7" t="s">
        <v>17</v>
      </c>
      <c r="G11993" s="7">
        <v>4009887</v>
      </c>
      <c r="H11993" s="7">
        <v>2461</v>
      </c>
      <c r="I11993" s="7">
        <v>12</v>
      </c>
      <c r="J11993" s="7">
        <v>0</v>
      </c>
      <c r="K11993" s="7" t="s">
        <v>18</v>
      </c>
      <c r="L11993" s="8">
        <v>39987.315405092595</v>
      </c>
      <c r="M11993" s="9" t="s">
        <v>19</v>
      </c>
      <c r="N11993" s="9" t="s">
        <v>20</v>
      </c>
      <c r="O11993" s="6" t="str">
        <f>HYPERLINK("https://pbs.twimg.com/profile_images/962471262747529216/Uo8lOkRJ_normal.jpg","View")</f>
        <v>View</v>
      </c>
      <c r="P11993" s="7"/>
    </row>
    <row r="11994" spans="1:16">
      <c r="A11994" s="3">
        <v>44155.715520833328</v>
      </c>
      <c r="B11994" s="4" t="str">
        <f>HYPERLINK("https://twitter.com/petrogustavo","@petrogustavo")</f>
        <v>@petrogustavo</v>
      </c>
      <c r="C11994" s="5" t="s">
        <v>16</v>
      </c>
      <c r="D11994" s="5" t="s">
        <v>11546</v>
      </c>
      <c r="E11994" s="6" t="str">
        <f>HYPERLINK("https://twitter.com/petrogustavo/status/1329751430102736897","1329751430102736897")</f>
        <v>1329751430102736897</v>
      </c>
      <c r="F11994" s="7" t="s">
        <v>17</v>
      </c>
      <c r="G11994" s="7">
        <v>4009887</v>
      </c>
      <c r="H11994" s="7">
        <v>2461</v>
      </c>
      <c r="I11994" s="7">
        <v>37</v>
      </c>
      <c r="J11994" s="7">
        <v>0</v>
      </c>
      <c r="K11994" s="7" t="s">
        <v>18</v>
      </c>
      <c r="L11994" s="8">
        <v>39987.315405092595</v>
      </c>
      <c r="M11994" s="9" t="s">
        <v>19</v>
      </c>
      <c r="N11994" s="9" t="s">
        <v>20</v>
      </c>
      <c r="O11994" s="6" t="str">
        <f>HYPERLINK("https://pbs.twimg.com/profile_images/962471262747529216/Uo8lOkRJ_normal.jpg","View")</f>
        <v>View</v>
      </c>
      <c r="P11994" s="7"/>
    </row>
    <row r="11995" spans="1:16">
      <c r="A11995" s="3">
        <v>44155.718726851846</v>
      </c>
      <c r="B11995" s="4" t="str">
        <f>HYPERLINK("https://twitter.com/petrogustavo","@petrogustavo")</f>
        <v>@petrogustavo</v>
      </c>
      <c r="C11995" s="5" t="s">
        <v>16</v>
      </c>
      <c r="D11995" s="5" t="s">
        <v>11547</v>
      </c>
      <c r="E11995" s="6" t="str">
        <f>HYPERLINK("https://twitter.com/petrogustavo/status/1329752591228694530","1329752591228694530")</f>
        <v>1329752591228694530</v>
      </c>
      <c r="F11995" s="7" t="s">
        <v>17</v>
      </c>
      <c r="G11995" s="7">
        <v>4009887</v>
      </c>
      <c r="H11995" s="7">
        <v>2461</v>
      </c>
      <c r="I11995" s="7">
        <v>4</v>
      </c>
      <c r="J11995" s="7">
        <v>0</v>
      </c>
      <c r="K11995" s="7" t="s">
        <v>18</v>
      </c>
      <c r="L11995" s="8">
        <v>39987.315405092595</v>
      </c>
      <c r="M11995" s="9" t="s">
        <v>19</v>
      </c>
      <c r="N11995" s="9" t="s">
        <v>20</v>
      </c>
      <c r="O11995" s="6" t="str">
        <f>HYPERLINK("https://pbs.twimg.com/profile_images/962471262747529216/Uo8lOkRJ_normal.jpg","View")</f>
        <v>View</v>
      </c>
      <c r="P11995" s="7"/>
    </row>
    <row r="11996" spans="1:16">
      <c r="A11996" s="3">
        <v>44155.720138888893</v>
      </c>
      <c r="B11996" s="4" t="str">
        <f>HYPERLINK("https://twitter.com/petrogustavo","@petrogustavo")</f>
        <v>@petrogustavo</v>
      </c>
      <c r="C11996" s="5" t="s">
        <v>16</v>
      </c>
      <c r="D11996" s="5" t="s">
        <v>11548</v>
      </c>
      <c r="E11996" s="6" t="str">
        <f>HYPERLINK("https://twitter.com/petrogustavo/status/1329753103604854785","1329753103604854785")</f>
        <v>1329753103604854785</v>
      </c>
      <c r="F11996" s="7" t="s">
        <v>17</v>
      </c>
      <c r="G11996" s="7">
        <v>4009887</v>
      </c>
      <c r="H11996" s="7">
        <v>2461</v>
      </c>
      <c r="I11996" s="7">
        <v>316</v>
      </c>
      <c r="J11996" s="7">
        <v>0</v>
      </c>
      <c r="K11996" s="7" t="s">
        <v>18</v>
      </c>
      <c r="L11996" s="8">
        <v>39987.315405092595</v>
      </c>
      <c r="M11996" s="9" t="s">
        <v>19</v>
      </c>
      <c r="N11996" s="9" t="s">
        <v>20</v>
      </c>
      <c r="O11996" s="6" t="str">
        <f>HYPERLINK("https://pbs.twimg.com/profile_images/962471262747529216/Uo8lOkRJ_normal.jpg","View")</f>
        <v>View</v>
      </c>
      <c r="P11996" s="7"/>
    </row>
    <row r="11997" spans="1:16">
      <c r="A11997" s="3">
        <v>44155.72038194444</v>
      </c>
      <c r="B11997" s="4" t="str">
        <f>HYPERLINK("https://twitter.com/petrogustavo","@petrogustavo")</f>
        <v>@petrogustavo</v>
      </c>
      <c r="C11997" s="5" t="s">
        <v>16</v>
      </c>
      <c r="D11997" s="5" t="s">
        <v>11546</v>
      </c>
      <c r="E11997" s="6" t="str">
        <f>HYPERLINK("https://twitter.com/petrogustavo/status/1329753192394092549","1329753192394092549")</f>
        <v>1329753192394092549</v>
      </c>
      <c r="F11997" s="7" t="s">
        <v>17</v>
      </c>
      <c r="G11997" s="7">
        <v>4009897</v>
      </c>
      <c r="H11997" s="7">
        <v>2461</v>
      </c>
      <c r="I11997" s="7">
        <v>67</v>
      </c>
      <c r="J11997" s="7">
        <v>0</v>
      </c>
      <c r="K11997" s="7" t="s">
        <v>18</v>
      </c>
      <c r="L11997" s="8">
        <v>39987.315405092595</v>
      </c>
      <c r="M11997" s="9" t="s">
        <v>19</v>
      </c>
      <c r="N11997" s="9" t="s">
        <v>20</v>
      </c>
      <c r="O11997" s="6" t="str">
        <f>HYPERLINK("https://pbs.twimg.com/profile_images/962471262747529216/Uo8lOkRJ_normal.jpg","View")</f>
        <v>View</v>
      </c>
      <c r="P11997" s="7"/>
    </row>
    <row r="11998" spans="1:16">
      <c r="A11998" s="3">
        <v>44155.724247685182</v>
      </c>
      <c r="B11998" s="4" t="str">
        <f>HYPERLINK("https://twitter.com/petrogustavo","@petrogustavo")</f>
        <v>@petrogustavo</v>
      </c>
      <c r="C11998" s="5" t="s">
        <v>16</v>
      </c>
      <c r="D11998" s="5" t="s">
        <v>11549</v>
      </c>
      <c r="E11998" s="6" t="str">
        <f>HYPERLINK("https://twitter.com/petrogustavo/status/1329754594029826048","1329754594029826048")</f>
        <v>1329754594029826048</v>
      </c>
      <c r="F11998" s="7" t="s">
        <v>17</v>
      </c>
      <c r="G11998" s="7">
        <v>4009897</v>
      </c>
      <c r="H11998" s="7">
        <v>2461</v>
      </c>
      <c r="I11998" s="7">
        <v>104</v>
      </c>
      <c r="J11998" s="7">
        <v>381</v>
      </c>
      <c r="K11998" s="7" t="s">
        <v>18</v>
      </c>
      <c r="L11998" s="8">
        <v>39987.315405092595</v>
      </c>
      <c r="M11998" s="9" t="s">
        <v>19</v>
      </c>
      <c r="N11998" s="9" t="s">
        <v>20</v>
      </c>
      <c r="O11998" s="6" t="str">
        <f>HYPERLINK("https://pbs.twimg.com/profile_images/962471262747529216/Uo8lOkRJ_normal.jpg","View")</f>
        <v>View</v>
      </c>
      <c r="P11998" s="7"/>
    </row>
    <row r="11999" spans="1:16">
      <c r="A11999" s="3">
        <v>44155.731400462959</v>
      </c>
      <c r="B11999" s="4" t="str">
        <f>HYPERLINK("https://twitter.com/petrogustavo","@petrogustavo")</f>
        <v>@petrogustavo</v>
      </c>
      <c r="C11999" s="5" t="s">
        <v>16</v>
      </c>
      <c r="D11999" s="5" t="s">
        <v>11550</v>
      </c>
      <c r="E11999" s="6" t="str">
        <f>HYPERLINK("https://twitter.com/petrogustavo/status/1329757187426676747","1329757187426676747")</f>
        <v>1329757187426676747</v>
      </c>
      <c r="F11999" s="7" t="s">
        <v>17</v>
      </c>
      <c r="G11999" s="7">
        <v>4009897</v>
      </c>
      <c r="H11999" s="7">
        <v>2461</v>
      </c>
      <c r="I11999" s="7">
        <v>40</v>
      </c>
      <c r="J11999" s="7">
        <v>176</v>
      </c>
      <c r="K11999" s="7" t="s">
        <v>18</v>
      </c>
      <c r="L11999" s="8">
        <v>39987.315405092595</v>
      </c>
      <c r="M11999" s="9" t="s">
        <v>19</v>
      </c>
      <c r="N11999" s="9" t="s">
        <v>20</v>
      </c>
      <c r="O11999" s="6" t="str">
        <f>HYPERLINK("https://pbs.twimg.com/profile_images/962471262747529216/Uo8lOkRJ_normal.jpg","View")</f>
        <v>View</v>
      </c>
      <c r="P11999" s="7"/>
    </row>
    <row r="12000" spans="1:16">
      <c r="A12000" s="3">
        <v>44155.74690972222</v>
      </c>
      <c r="B12000" s="4" t="str">
        <f>HYPERLINK("https://twitter.com/petrogustavo","@petrogustavo")</f>
        <v>@petrogustavo</v>
      </c>
      <c r="C12000" s="5" t="s">
        <v>16</v>
      </c>
      <c r="D12000" s="5" t="s">
        <v>11551</v>
      </c>
      <c r="E12000" s="6" t="str">
        <f>HYPERLINK("https://twitter.com/petrogustavo/status/1329762806313443328","1329762806313443328")</f>
        <v>1329762806313443328</v>
      </c>
      <c r="F12000" s="7" t="s">
        <v>17</v>
      </c>
      <c r="G12000" s="7">
        <v>4009909</v>
      </c>
      <c r="H12000" s="7">
        <v>2462</v>
      </c>
      <c r="I12000" s="7">
        <v>117</v>
      </c>
      <c r="J12000" s="7">
        <v>0</v>
      </c>
      <c r="K12000" s="7" t="s">
        <v>18</v>
      </c>
      <c r="L12000" s="8">
        <v>39987.315405092595</v>
      </c>
      <c r="M12000" s="9" t="s">
        <v>19</v>
      </c>
      <c r="N12000" s="9" t="s">
        <v>20</v>
      </c>
      <c r="O12000" s="6" t="str">
        <f>HYPERLINK("https://pbs.twimg.com/profile_images/962471262747529216/Uo8lOkRJ_normal.jpg","View")</f>
        <v>View</v>
      </c>
      <c r="P12000" s="7"/>
    </row>
    <row r="12001" spans="1:16">
      <c r="A12001" s="3">
        <v>44155.747511574074</v>
      </c>
      <c r="B12001" s="4" t="str">
        <f>HYPERLINK("https://twitter.com/petrogustavo","@petrogustavo")</f>
        <v>@petrogustavo</v>
      </c>
      <c r="C12001" s="5" t="s">
        <v>16</v>
      </c>
      <c r="D12001" s="5" t="s">
        <v>11552</v>
      </c>
      <c r="E12001" s="6" t="str">
        <f>HYPERLINK("https://twitter.com/petrogustavo/status/1329763024161431552","1329763024161431552")</f>
        <v>1329763024161431552</v>
      </c>
      <c r="F12001" s="7" t="s">
        <v>17</v>
      </c>
      <c r="G12001" s="7">
        <v>4009909</v>
      </c>
      <c r="H12001" s="7">
        <v>2462</v>
      </c>
      <c r="I12001" s="7">
        <v>9</v>
      </c>
      <c r="J12001" s="7">
        <v>0</v>
      </c>
      <c r="K12001" s="7" t="s">
        <v>18</v>
      </c>
      <c r="L12001" s="8">
        <v>39987.315405092595</v>
      </c>
      <c r="M12001" s="9" t="s">
        <v>19</v>
      </c>
      <c r="N12001" s="9" t="s">
        <v>20</v>
      </c>
      <c r="O12001" s="6" t="str">
        <f>HYPERLINK("https://pbs.twimg.com/profile_images/962471262747529216/Uo8lOkRJ_normal.jpg","View")</f>
        <v>View</v>
      </c>
      <c r="P12001" s="7"/>
    </row>
    <row r="12002" spans="1:16">
      <c r="A12002" s="3">
        <v>44155.758101851854</v>
      </c>
      <c r="B12002" s="4" t="str">
        <f>HYPERLINK("https://twitter.com/petrogustavo","@petrogustavo")</f>
        <v>@petrogustavo</v>
      </c>
      <c r="C12002" s="5" t="s">
        <v>16</v>
      </c>
      <c r="D12002" s="5" t="s">
        <v>11553</v>
      </c>
      <c r="E12002" s="6" t="str">
        <f>HYPERLINK("https://twitter.com/petrogustavo/status/1329766863077826561","1329766863077826561")</f>
        <v>1329766863077826561</v>
      </c>
      <c r="F12002" s="7" t="s">
        <v>17</v>
      </c>
      <c r="G12002" s="7">
        <v>4009909</v>
      </c>
      <c r="H12002" s="7">
        <v>2462</v>
      </c>
      <c r="I12002" s="7">
        <v>25</v>
      </c>
      <c r="J12002" s="7">
        <v>121</v>
      </c>
      <c r="K12002" s="7" t="s">
        <v>18</v>
      </c>
      <c r="L12002" s="8">
        <v>39987.315405092595</v>
      </c>
      <c r="M12002" s="9" t="s">
        <v>19</v>
      </c>
      <c r="N12002" s="9" t="s">
        <v>20</v>
      </c>
      <c r="O12002" s="6" t="str">
        <f>HYPERLINK("https://pbs.twimg.com/profile_images/962471262747529216/Uo8lOkRJ_normal.jpg","View")</f>
        <v>View</v>
      </c>
      <c r="P12002" s="7"/>
    </row>
    <row r="12003" spans="1:16">
      <c r="A12003" s="3">
        <v>44155.764050925922</v>
      </c>
      <c r="B12003" s="4" t="str">
        <f>HYPERLINK("https://twitter.com/petrogustavo","@petrogustavo")</f>
        <v>@petrogustavo</v>
      </c>
      <c r="C12003" s="5" t="s">
        <v>16</v>
      </c>
      <c r="D12003" s="5" t="s">
        <v>11554</v>
      </c>
      <c r="E12003" s="6" t="str">
        <f>HYPERLINK("https://twitter.com/petrogustavo/status/1329769019809935360","1329769019809935360")</f>
        <v>1329769019809935360</v>
      </c>
      <c r="F12003" s="7" t="s">
        <v>17</v>
      </c>
      <c r="G12003" s="7">
        <v>4009941</v>
      </c>
      <c r="H12003" s="7">
        <v>2462</v>
      </c>
      <c r="I12003" s="7">
        <v>117</v>
      </c>
      <c r="J12003" s="7">
        <v>310</v>
      </c>
      <c r="K12003" s="7" t="s">
        <v>18</v>
      </c>
      <c r="L12003" s="8">
        <v>39987.315405092595</v>
      </c>
      <c r="M12003" s="9" t="s">
        <v>19</v>
      </c>
      <c r="N12003" s="9" t="s">
        <v>20</v>
      </c>
      <c r="O12003" s="6" t="str">
        <f>HYPERLINK("https://pbs.twimg.com/profile_images/962471262747529216/Uo8lOkRJ_normal.jpg","View")</f>
        <v>View</v>
      </c>
      <c r="P12003" s="7"/>
    </row>
    <row r="12004" spans="1:16">
      <c r="A12004" s="3">
        <v>44155.774907407409</v>
      </c>
      <c r="B12004" s="4" t="str">
        <f>HYPERLINK("https://twitter.com/petrogustavo","@petrogustavo")</f>
        <v>@petrogustavo</v>
      </c>
      <c r="C12004" s="5" t="s">
        <v>16</v>
      </c>
      <c r="D12004" s="5" t="s">
        <v>11555</v>
      </c>
      <c r="E12004" s="6" t="str">
        <f>HYPERLINK("https://twitter.com/petrogustavo/status/1329772952947204096","1329772952947204096")</f>
        <v>1329772952947204096</v>
      </c>
      <c r="F12004" s="7" t="s">
        <v>17</v>
      </c>
      <c r="G12004" s="7">
        <v>4009941</v>
      </c>
      <c r="H12004" s="7">
        <v>2462</v>
      </c>
      <c r="I12004" s="7">
        <v>19</v>
      </c>
      <c r="J12004" s="7">
        <v>0</v>
      </c>
      <c r="K12004" s="7" t="s">
        <v>18</v>
      </c>
      <c r="L12004" s="8">
        <v>39987.315405092595</v>
      </c>
      <c r="M12004" s="9" t="s">
        <v>19</v>
      </c>
      <c r="N12004" s="9" t="s">
        <v>20</v>
      </c>
      <c r="O12004" s="6" t="str">
        <f>HYPERLINK("https://pbs.twimg.com/profile_images/962471262747529216/Uo8lOkRJ_normal.jpg","View")</f>
        <v>View</v>
      </c>
      <c r="P12004" s="7"/>
    </row>
    <row r="12005" spans="1:16">
      <c r="A12005" s="3">
        <v>44155.775370370371</v>
      </c>
      <c r="B12005" s="4" t="str">
        <f>HYPERLINK("https://twitter.com/petrogustavo","@petrogustavo")</f>
        <v>@petrogustavo</v>
      </c>
      <c r="C12005" s="5" t="s">
        <v>16</v>
      </c>
      <c r="D12005" s="5" t="s">
        <v>11556</v>
      </c>
      <c r="E12005" s="6" t="str">
        <f>HYPERLINK("https://twitter.com/petrogustavo/status/1329773118173437953","1329773118173437953")</f>
        <v>1329773118173437953</v>
      </c>
      <c r="F12005" s="7" t="s">
        <v>17</v>
      </c>
      <c r="G12005" s="7">
        <v>4009941</v>
      </c>
      <c r="H12005" s="7">
        <v>2462</v>
      </c>
      <c r="I12005" s="7">
        <v>268</v>
      </c>
      <c r="J12005" s="7">
        <v>0</v>
      </c>
      <c r="K12005" s="7" t="s">
        <v>18</v>
      </c>
      <c r="L12005" s="8">
        <v>39987.315405092595</v>
      </c>
      <c r="M12005" s="9" t="s">
        <v>19</v>
      </c>
      <c r="N12005" s="9" t="s">
        <v>20</v>
      </c>
      <c r="O12005" s="6" t="str">
        <f>HYPERLINK("https://pbs.twimg.com/profile_images/962471262747529216/Uo8lOkRJ_normal.jpg","View")</f>
        <v>View</v>
      </c>
      <c r="P12005" s="7"/>
    </row>
    <row r="12006" spans="1:16">
      <c r="A12006" s="3">
        <v>44155.778993055559</v>
      </c>
      <c r="B12006" s="4" t="str">
        <f>HYPERLINK("https://twitter.com/petrogustavo","@petrogustavo")</f>
        <v>@petrogustavo</v>
      </c>
      <c r="C12006" s="5" t="s">
        <v>16</v>
      </c>
      <c r="D12006" s="5" t="s">
        <v>11557</v>
      </c>
      <c r="E12006" s="6" t="str">
        <f>HYPERLINK("https://twitter.com/petrogustavo/status/1329774433767206915","1329774433767206915")</f>
        <v>1329774433767206915</v>
      </c>
      <c r="F12006" s="7" t="s">
        <v>17</v>
      </c>
      <c r="G12006" s="7">
        <v>4009941</v>
      </c>
      <c r="H12006" s="7">
        <v>2462</v>
      </c>
      <c r="I12006" s="7">
        <v>30</v>
      </c>
      <c r="J12006" s="7">
        <v>83</v>
      </c>
      <c r="K12006" s="7" t="s">
        <v>18</v>
      </c>
      <c r="L12006" s="8">
        <v>39987.315405092595</v>
      </c>
      <c r="M12006" s="9" t="s">
        <v>19</v>
      </c>
      <c r="N12006" s="9" t="s">
        <v>20</v>
      </c>
      <c r="O12006" s="6" t="str">
        <f>HYPERLINK("https://pbs.twimg.com/profile_images/962471262747529216/Uo8lOkRJ_normal.jpg","View")</f>
        <v>View</v>
      </c>
      <c r="P12006" s="7"/>
    </row>
    <row r="12007" spans="1:16">
      <c r="A12007" s="3">
        <v>44155.781354166669</v>
      </c>
      <c r="B12007" s="4" t="str">
        <f>HYPERLINK("https://twitter.com/petrogustavo","@petrogustavo")</f>
        <v>@petrogustavo</v>
      </c>
      <c r="C12007" s="5" t="s">
        <v>16</v>
      </c>
      <c r="D12007" s="5" t="s">
        <v>11558</v>
      </c>
      <c r="E12007" s="6" t="str">
        <f>HYPERLINK("https://twitter.com/petrogustavo/status/1329775289988214785","1329775289988214785")</f>
        <v>1329775289988214785</v>
      </c>
      <c r="F12007" s="7" t="s">
        <v>17</v>
      </c>
      <c r="G12007" s="7">
        <v>4009941</v>
      </c>
      <c r="H12007" s="7">
        <v>2462</v>
      </c>
      <c r="I12007" s="7">
        <v>143</v>
      </c>
      <c r="J12007" s="7">
        <v>0</v>
      </c>
      <c r="K12007" s="7" t="s">
        <v>18</v>
      </c>
      <c r="L12007" s="8">
        <v>39987.315405092595</v>
      </c>
      <c r="M12007" s="9" t="s">
        <v>19</v>
      </c>
      <c r="N12007" s="9" t="s">
        <v>20</v>
      </c>
      <c r="O12007" s="6" t="str">
        <f>HYPERLINK("https://pbs.twimg.com/profile_images/962471262747529216/Uo8lOkRJ_normal.jpg","View")</f>
        <v>View</v>
      </c>
      <c r="P12007" s="7"/>
    </row>
    <row r="12008" spans="1:16">
      <c r="A12008" s="3">
        <v>44155.788449074069</v>
      </c>
      <c r="B12008" s="4" t="str">
        <f>HYPERLINK("https://twitter.com/petrogustavo","@petrogustavo")</f>
        <v>@petrogustavo</v>
      </c>
      <c r="C12008" s="5" t="s">
        <v>16</v>
      </c>
      <c r="D12008" s="5" t="s">
        <v>11559</v>
      </c>
      <c r="E12008" s="6" t="str">
        <f>HYPERLINK("https://twitter.com/petrogustavo/status/1329777859171405825","1329777859171405825")</f>
        <v>1329777859171405825</v>
      </c>
      <c r="F12008" s="7" t="s">
        <v>17</v>
      </c>
      <c r="G12008" s="7">
        <v>4009956</v>
      </c>
      <c r="H12008" s="7">
        <v>2462</v>
      </c>
      <c r="I12008" s="7">
        <v>34</v>
      </c>
      <c r="J12008" s="7">
        <v>136</v>
      </c>
      <c r="K12008" s="7" t="s">
        <v>18</v>
      </c>
      <c r="L12008" s="8">
        <v>39987.315405092595</v>
      </c>
      <c r="M12008" s="9" t="s">
        <v>19</v>
      </c>
      <c r="N12008" s="9" t="s">
        <v>20</v>
      </c>
      <c r="O12008" s="6" t="str">
        <f>HYPERLINK("https://pbs.twimg.com/profile_images/962471262747529216/Uo8lOkRJ_normal.jpg","View")</f>
        <v>View</v>
      </c>
      <c r="P12008" s="7"/>
    </row>
    <row r="12009" spans="1:16">
      <c r="A12009" s="3">
        <v>44155.789942129632</v>
      </c>
      <c r="B12009" s="4" t="str">
        <f>HYPERLINK("https://twitter.com/petrogustavo","@petrogustavo")</f>
        <v>@petrogustavo</v>
      </c>
      <c r="C12009" s="5" t="s">
        <v>16</v>
      </c>
      <c r="D12009" s="5" t="s">
        <v>11560</v>
      </c>
      <c r="E12009" s="6" t="str">
        <f>HYPERLINK("https://twitter.com/petrogustavo/status/1329778399771062275","1329778399771062275")</f>
        <v>1329778399771062275</v>
      </c>
      <c r="F12009" s="7" t="s">
        <v>17</v>
      </c>
      <c r="G12009" s="7">
        <v>4009956</v>
      </c>
      <c r="H12009" s="7">
        <v>2462</v>
      </c>
      <c r="I12009" s="7">
        <v>93</v>
      </c>
      <c r="J12009" s="7">
        <v>0</v>
      </c>
      <c r="K12009" s="7" t="s">
        <v>18</v>
      </c>
      <c r="L12009" s="8">
        <v>39987.315405092595</v>
      </c>
      <c r="M12009" s="9" t="s">
        <v>19</v>
      </c>
      <c r="N12009" s="9" t="s">
        <v>20</v>
      </c>
      <c r="O12009" s="6" t="str">
        <f>HYPERLINK("https://pbs.twimg.com/profile_images/962471262747529216/Uo8lOkRJ_normal.jpg","View")</f>
        <v>View</v>
      </c>
      <c r="P12009" s="7"/>
    </row>
    <row r="12010" spans="1:16">
      <c r="A12010" s="3">
        <v>44155.791365740741</v>
      </c>
      <c r="B12010" s="4" t="str">
        <f>HYPERLINK("https://twitter.com/petrogustavo","@petrogustavo")</f>
        <v>@petrogustavo</v>
      </c>
      <c r="C12010" s="5" t="s">
        <v>16</v>
      </c>
      <c r="D12010" s="5" t="s">
        <v>11561</v>
      </c>
      <c r="E12010" s="6" t="str">
        <f>HYPERLINK("https://twitter.com/petrogustavo/status/1329778917201350656","1329778917201350656")</f>
        <v>1329778917201350656</v>
      </c>
      <c r="F12010" s="7" t="s">
        <v>17</v>
      </c>
      <c r="G12010" s="7">
        <v>4009956</v>
      </c>
      <c r="H12010" s="7">
        <v>2462</v>
      </c>
      <c r="I12010" s="7">
        <v>56</v>
      </c>
      <c r="J12010" s="7">
        <v>0</v>
      </c>
      <c r="K12010" s="7" t="s">
        <v>18</v>
      </c>
      <c r="L12010" s="8">
        <v>39987.315405092595</v>
      </c>
      <c r="M12010" s="9" t="s">
        <v>19</v>
      </c>
      <c r="N12010" s="9" t="s">
        <v>20</v>
      </c>
      <c r="O12010" s="6" t="str">
        <f>HYPERLINK("https://pbs.twimg.com/profile_images/962471262747529216/Uo8lOkRJ_normal.jpg","View")</f>
        <v>View</v>
      </c>
      <c r="P12010" s="7"/>
    </row>
    <row r="12011" spans="1:16">
      <c r="A12011" s="3">
        <v>44155.792164351849</v>
      </c>
      <c r="B12011" s="4" t="str">
        <f>HYPERLINK("https://twitter.com/petrogustavo","@petrogustavo")</f>
        <v>@petrogustavo</v>
      </c>
      <c r="C12011" s="5" t="s">
        <v>16</v>
      </c>
      <c r="D12011" s="5" t="s">
        <v>11562</v>
      </c>
      <c r="E12011" s="6" t="str">
        <f>HYPERLINK("https://twitter.com/petrogustavo/status/1329779207883415558","1329779207883415558")</f>
        <v>1329779207883415558</v>
      </c>
      <c r="F12011" s="7" t="s">
        <v>17</v>
      </c>
      <c r="G12011" s="7">
        <v>4009956</v>
      </c>
      <c r="H12011" s="7">
        <v>2462</v>
      </c>
      <c r="I12011" s="7">
        <v>77</v>
      </c>
      <c r="J12011" s="7">
        <v>0</v>
      </c>
      <c r="K12011" s="7" t="s">
        <v>18</v>
      </c>
      <c r="L12011" s="8">
        <v>39987.315405092595</v>
      </c>
      <c r="M12011" s="9" t="s">
        <v>19</v>
      </c>
      <c r="N12011" s="9" t="s">
        <v>20</v>
      </c>
      <c r="O12011" s="6" t="str">
        <f>HYPERLINK("https://pbs.twimg.com/profile_images/962471262747529216/Uo8lOkRJ_normal.jpg","View")</f>
        <v>View</v>
      </c>
      <c r="P12011" s="7"/>
    </row>
    <row r="12012" spans="1:16">
      <c r="A12012" s="3">
        <v>44155.806469907402</v>
      </c>
      <c r="B12012" s="4" t="str">
        <f>HYPERLINK("https://twitter.com/petrogustavo","@petrogustavo")</f>
        <v>@petrogustavo</v>
      </c>
      <c r="C12012" s="5" t="s">
        <v>16</v>
      </c>
      <c r="D12012" s="5" t="s">
        <v>11563</v>
      </c>
      <c r="E12012" s="6" t="str">
        <f>HYPERLINK("https://twitter.com/petrogustavo/status/1329784390919086080","1329784390919086080")</f>
        <v>1329784390919086080</v>
      </c>
      <c r="F12012" s="7" t="s">
        <v>21</v>
      </c>
      <c r="G12012" s="7">
        <v>4009981</v>
      </c>
      <c r="H12012" s="7">
        <v>2462</v>
      </c>
      <c r="I12012" s="7">
        <v>51</v>
      </c>
      <c r="J12012" s="7">
        <v>210</v>
      </c>
      <c r="K12012" s="7" t="s">
        <v>18</v>
      </c>
      <c r="L12012" s="8">
        <v>39987.315405092595</v>
      </c>
      <c r="M12012" s="9" t="s">
        <v>19</v>
      </c>
      <c r="N12012" s="9" t="s">
        <v>20</v>
      </c>
      <c r="O12012" s="6" t="str">
        <f>HYPERLINK("https://pbs.twimg.com/profile_images/962471262747529216/Uo8lOkRJ_normal.jpg","View")</f>
        <v>View</v>
      </c>
      <c r="P12012" s="7"/>
    </row>
    <row r="12013" spans="1:16">
      <c r="A12013" s="3">
        <v>44155.808923611112</v>
      </c>
      <c r="B12013" s="4" t="str">
        <f>HYPERLINK("https://twitter.com/petrogustavo","@petrogustavo")</f>
        <v>@petrogustavo</v>
      </c>
      <c r="C12013" s="5" t="s">
        <v>16</v>
      </c>
      <c r="D12013" s="5" t="s">
        <v>11564</v>
      </c>
      <c r="E12013" s="6" t="str">
        <f>HYPERLINK("https://twitter.com/petrogustavo/status/1329785278886793219","1329785278886793219")</f>
        <v>1329785278886793219</v>
      </c>
      <c r="F12013" s="7" t="s">
        <v>21</v>
      </c>
      <c r="G12013" s="7">
        <v>4009981</v>
      </c>
      <c r="H12013" s="7">
        <v>2462</v>
      </c>
      <c r="I12013" s="7">
        <v>39</v>
      </c>
      <c r="J12013" s="7">
        <v>101</v>
      </c>
      <c r="K12013" s="7" t="s">
        <v>18</v>
      </c>
      <c r="L12013" s="8">
        <v>39987.315405092595</v>
      </c>
      <c r="M12013" s="9" t="s">
        <v>19</v>
      </c>
      <c r="N12013" s="9" t="s">
        <v>20</v>
      </c>
      <c r="O12013" s="6" t="str">
        <f>HYPERLINK("https://pbs.twimg.com/profile_images/962471262747529216/Uo8lOkRJ_normal.jpg","View")</f>
        <v>View</v>
      </c>
      <c r="P12013" s="7"/>
    </row>
    <row r="12014" spans="1:16">
      <c r="A12014" s="3">
        <v>44155.810891203699</v>
      </c>
      <c r="B12014" s="4" t="str">
        <f>HYPERLINK("https://twitter.com/petrogustavo","@petrogustavo")</f>
        <v>@petrogustavo</v>
      </c>
      <c r="C12014" s="5" t="s">
        <v>16</v>
      </c>
      <c r="D12014" s="5" t="s">
        <v>11565</v>
      </c>
      <c r="E12014" s="6" t="str">
        <f>HYPERLINK("https://twitter.com/petrogustavo/status/1329785994044973057","1329785994044973057")</f>
        <v>1329785994044973057</v>
      </c>
      <c r="F12014" s="7" t="s">
        <v>32</v>
      </c>
      <c r="G12014" s="7">
        <v>4009981</v>
      </c>
      <c r="H12014" s="7">
        <v>2462</v>
      </c>
      <c r="I12014" s="7">
        <v>111</v>
      </c>
      <c r="J12014" s="7">
        <v>0</v>
      </c>
      <c r="K12014" s="7" t="s">
        <v>18</v>
      </c>
      <c r="L12014" s="8">
        <v>39987.315405092595</v>
      </c>
      <c r="M12014" s="9" t="s">
        <v>19</v>
      </c>
      <c r="N12014" s="9" t="s">
        <v>20</v>
      </c>
      <c r="O12014" s="6" t="str">
        <f>HYPERLINK("https://pbs.twimg.com/profile_images/962471262747529216/Uo8lOkRJ_normal.jpg","View")</f>
        <v>View</v>
      </c>
      <c r="P12014" s="7"/>
    </row>
    <row r="12015" spans="1:16">
      <c r="A12015" s="3">
        <v>44155.811249999999</v>
      </c>
      <c r="B12015" s="4" t="str">
        <f>HYPERLINK("https://twitter.com/petrogustavo","@petrogustavo")</f>
        <v>@petrogustavo</v>
      </c>
      <c r="C12015" s="5" t="s">
        <v>16</v>
      </c>
      <c r="D12015" s="5" t="s">
        <v>11566</v>
      </c>
      <c r="E12015" s="6" t="str">
        <f>HYPERLINK("https://twitter.com/petrogustavo/status/1329786123053359105","1329786123053359105")</f>
        <v>1329786123053359105</v>
      </c>
      <c r="F12015" s="7" t="s">
        <v>32</v>
      </c>
      <c r="G12015" s="7">
        <v>4009981</v>
      </c>
      <c r="H12015" s="7">
        <v>2462</v>
      </c>
      <c r="I12015" s="7">
        <v>39</v>
      </c>
      <c r="J12015" s="7">
        <v>0</v>
      </c>
      <c r="K12015" s="7" t="s">
        <v>18</v>
      </c>
      <c r="L12015" s="8">
        <v>39987.315405092595</v>
      </c>
      <c r="M12015" s="9" t="s">
        <v>19</v>
      </c>
      <c r="N12015" s="9" t="s">
        <v>20</v>
      </c>
      <c r="O12015" s="6" t="str">
        <f>HYPERLINK("https://pbs.twimg.com/profile_images/962471262747529216/Uo8lOkRJ_normal.jpg","View")</f>
        <v>View</v>
      </c>
      <c r="P12015" s="7"/>
    </row>
    <row r="12016" spans="1:16">
      <c r="A12016" s="3">
        <v>44155.811307870375</v>
      </c>
      <c r="B12016" s="4" t="str">
        <f>HYPERLINK("https://twitter.com/petrogustavo","@petrogustavo")</f>
        <v>@petrogustavo</v>
      </c>
      <c r="C12016" s="5" t="s">
        <v>16</v>
      </c>
      <c r="D12016" s="5" t="s">
        <v>11567</v>
      </c>
      <c r="E12016" s="6" t="str">
        <f>HYPERLINK("https://twitter.com/petrogustavo/status/1329786143102164993","1329786143102164993")</f>
        <v>1329786143102164993</v>
      </c>
      <c r="F12016" s="7" t="s">
        <v>32</v>
      </c>
      <c r="G12016" s="7">
        <v>4009981</v>
      </c>
      <c r="H12016" s="7">
        <v>2462</v>
      </c>
      <c r="I12016" s="7">
        <v>51</v>
      </c>
      <c r="J12016" s="7">
        <v>0</v>
      </c>
      <c r="K12016" s="7" t="s">
        <v>18</v>
      </c>
      <c r="L12016" s="8">
        <v>39987.315405092595</v>
      </c>
      <c r="M12016" s="9" t="s">
        <v>19</v>
      </c>
      <c r="N12016" s="9" t="s">
        <v>20</v>
      </c>
      <c r="O12016" s="6" t="str">
        <f>HYPERLINK("https://pbs.twimg.com/profile_images/962471262747529216/Uo8lOkRJ_normal.jpg","View")</f>
        <v>View</v>
      </c>
      <c r="P12016" s="7"/>
    </row>
    <row r="12017" spans="1:16">
      <c r="A12017" s="3">
        <v>44155.828518518523</v>
      </c>
      <c r="B12017" s="4" t="str">
        <f>HYPERLINK("https://twitter.com/petrogustavo","@petrogustavo")</f>
        <v>@petrogustavo</v>
      </c>
      <c r="C12017" s="5" t="s">
        <v>16</v>
      </c>
      <c r="D12017" s="5" t="s">
        <v>11568</v>
      </c>
      <c r="E12017" s="6" t="str">
        <f>HYPERLINK("https://twitter.com/petrogustavo/status/1329792381336625156","1329792381336625156")</f>
        <v>1329792381336625156</v>
      </c>
      <c r="F12017" s="7" t="s">
        <v>17</v>
      </c>
      <c r="G12017" s="7">
        <v>4010033</v>
      </c>
      <c r="H12017" s="7">
        <v>2463</v>
      </c>
      <c r="I12017" s="7">
        <v>38</v>
      </c>
      <c r="J12017" s="7">
        <v>0</v>
      </c>
      <c r="K12017" s="7" t="s">
        <v>18</v>
      </c>
      <c r="L12017" s="8">
        <v>39987.315405092595</v>
      </c>
      <c r="M12017" s="9" t="s">
        <v>19</v>
      </c>
      <c r="N12017" s="9" t="s">
        <v>20</v>
      </c>
      <c r="O12017" s="6" t="str">
        <f>HYPERLINK("https://pbs.twimg.com/profile_images/962471262747529216/Uo8lOkRJ_normal.jpg","View")</f>
        <v>View</v>
      </c>
      <c r="P12017" s="7"/>
    </row>
    <row r="12018" spans="1:16">
      <c r="A12018" s="3">
        <v>44155.828784722224</v>
      </c>
      <c r="B12018" s="4" t="str">
        <f>HYPERLINK("https://twitter.com/petrogustavo","@petrogustavo")</f>
        <v>@petrogustavo</v>
      </c>
      <c r="C12018" s="5" t="s">
        <v>16</v>
      </c>
      <c r="D12018" s="5" t="s">
        <v>11566</v>
      </c>
      <c r="E12018" s="6" t="str">
        <f>HYPERLINK("https://twitter.com/petrogustavo/status/1329792478971621384","1329792478971621384")</f>
        <v>1329792478971621384</v>
      </c>
      <c r="F12018" s="7" t="s">
        <v>17</v>
      </c>
      <c r="G12018" s="7">
        <v>4010033</v>
      </c>
      <c r="H12018" s="7">
        <v>2463</v>
      </c>
      <c r="I12018" s="7">
        <v>74</v>
      </c>
      <c r="J12018" s="7">
        <v>0</v>
      </c>
      <c r="K12018" s="7" t="s">
        <v>18</v>
      </c>
      <c r="L12018" s="8">
        <v>39987.315405092595</v>
      </c>
      <c r="M12018" s="9" t="s">
        <v>19</v>
      </c>
      <c r="N12018" s="9" t="s">
        <v>20</v>
      </c>
      <c r="O12018" s="6" t="str">
        <f>HYPERLINK("https://pbs.twimg.com/profile_images/962471262747529216/Uo8lOkRJ_normal.jpg","View")</f>
        <v>View</v>
      </c>
      <c r="P12018" s="7"/>
    </row>
    <row r="12019" spans="1:16">
      <c r="A12019" s="3">
        <v>44155.903726851851</v>
      </c>
      <c r="B12019" s="4" t="str">
        <f>HYPERLINK("https://twitter.com/petrogustavo","@petrogustavo")</f>
        <v>@petrogustavo</v>
      </c>
      <c r="C12019" s="5" t="s">
        <v>16</v>
      </c>
      <c r="D12019" s="5" t="s">
        <v>11569</v>
      </c>
      <c r="E12019" s="6" t="str">
        <f>HYPERLINK("https://twitter.com/petrogustavo/status/1329819634527301632","1329819634527301632")</f>
        <v>1329819634527301632</v>
      </c>
      <c r="F12019" s="7" t="s">
        <v>17</v>
      </c>
      <c r="G12019" s="7">
        <v>4010071</v>
      </c>
      <c r="H12019" s="7">
        <v>2463</v>
      </c>
      <c r="I12019" s="7">
        <v>921</v>
      </c>
      <c r="J12019" s="7">
        <v>0</v>
      </c>
      <c r="K12019" s="7" t="s">
        <v>18</v>
      </c>
      <c r="L12019" s="8">
        <v>39987.315405092595</v>
      </c>
      <c r="M12019" s="9" t="s">
        <v>19</v>
      </c>
      <c r="N12019" s="9" t="s">
        <v>20</v>
      </c>
      <c r="O12019" s="6" t="str">
        <f>HYPERLINK("https://pbs.twimg.com/profile_images/962471262747529216/Uo8lOkRJ_normal.jpg","View")</f>
        <v>View</v>
      </c>
      <c r="P12019" s="7"/>
    </row>
    <row r="12020" spans="1:16">
      <c r="A12020" s="3">
        <v>44155.903912037036</v>
      </c>
      <c r="B12020" s="4" t="str">
        <f>HYPERLINK("https://twitter.com/petrogustavo","@petrogustavo")</f>
        <v>@petrogustavo</v>
      </c>
      <c r="C12020" s="5" t="s">
        <v>16</v>
      </c>
      <c r="D12020" s="5" t="s">
        <v>11570</v>
      </c>
      <c r="E12020" s="6" t="str">
        <f>HYPERLINK("https://twitter.com/petrogustavo/status/1329819700172365825","1329819700172365825")</f>
        <v>1329819700172365825</v>
      </c>
      <c r="F12020" s="7" t="s">
        <v>17</v>
      </c>
      <c r="G12020" s="7">
        <v>4010071</v>
      </c>
      <c r="H12020" s="7">
        <v>2463</v>
      </c>
      <c r="I12020" s="7">
        <v>20</v>
      </c>
      <c r="J12020" s="7">
        <v>0</v>
      </c>
      <c r="K12020" s="7" t="s">
        <v>18</v>
      </c>
      <c r="L12020" s="8">
        <v>39987.315405092595</v>
      </c>
      <c r="M12020" s="9" t="s">
        <v>19</v>
      </c>
      <c r="N12020" s="9" t="s">
        <v>20</v>
      </c>
      <c r="O12020" s="6" t="str">
        <f>HYPERLINK("https://pbs.twimg.com/profile_images/962471262747529216/Uo8lOkRJ_normal.jpg","View")</f>
        <v>View</v>
      </c>
      <c r="P12020" s="7"/>
    </row>
    <row r="12021" spans="1:16">
      <c r="A12021" s="3">
        <v>44155.907465277778</v>
      </c>
      <c r="B12021" s="4" t="str">
        <f>HYPERLINK("https://twitter.com/petrogustavo","@petrogustavo")</f>
        <v>@petrogustavo</v>
      </c>
      <c r="C12021" s="5" t="s">
        <v>16</v>
      </c>
      <c r="D12021" s="5" t="s">
        <v>11571</v>
      </c>
      <c r="E12021" s="6" t="str">
        <f>HYPERLINK("https://twitter.com/petrogustavo/status/1329820988427661312","1329820988427661312")</f>
        <v>1329820988427661312</v>
      </c>
      <c r="F12021" s="7" t="s">
        <v>17</v>
      </c>
      <c r="G12021" s="7">
        <v>4010071</v>
      </c>
      <c r="H12021" s="7">
        <v>2463</v>
      </c>
      <c r="I12021" s="7">
        <v>17</v>
      </c>
      <c r="J12021" s="7">
        <v>43</v>
      </c>
      <c r="K12021" s="7" t="s">
        <v>18</v>
      </c>
      <c r="L12021" s="8">
        <v>39987.315405092595</v>
      </c>
      <c r="M12021" s="9" t="s">
        <v>19</v>
      </c>
      <c r="N12021" s="9" t="s">
        <v>20</v>
      </c>
      <c r="O12021" s="6" t="str">
        <f>HYPERLINK("https://pbs.twimg.com/profile_images/962471262747529216/Uo8lOkRJ_normal.jpg","View")</f>
        <v>View</v>
      </c>
      <c r="P12021" s="7"/>
    </row>
    <row r="12022" spans="1:16">
      <c r="A12022" s="3">
        <v>44156.097997685181</v>
      </c>
      <c r="B12022" s="4" t="str">
        <f>HYPERLINK("https://twitter.com/petrogustavo","@petrogustavo")</f>
        <v>@petrogustavo</v>
      </c>
      <c r="C12022" s="5" t="s">
        <v>16</v>
      </c>
      <c r="D12022" s="5" t="s">
        <v>11572</v>
      </c>
      <c r="E12022" s="6" t="str">
        <f>HYPERLINK("https://twitter.com/petrogustavo/status/1329890037023059969","1329890037023059969")</f>
        <v>1329890037023059969</v>
      </c>
      <c r="F12022" s="7" t="s">
        <v>17</v>
      </c>
      <c r="G12022" s="7">
        <v>4010349</v>
      </c>
      <c r="H12022" s="7">
        <v>2463</v>
      </c>
      <c r="I12022" s="7">
        <v>48</v>
      </c>
      <c r="J12022" s="7">
        <v>0</v>
      </c>
      <c r="K12022" s="7" t="s">
        <v>18</v>
      </c>
      <c r="L12022" s="8">
        <v>39987.315405092595</v>
      </c>
      <c r="M12022" s="9" t="s">
        <v>19</v>
      </c>
      <c r="N12022" s="9" t="s">
        <v>20</v>
      </c>
      <c r="O12022" s="6" t="str">
        <f>HYPERLINK("https://pbs.twimg.com/profile_images/962471262747529216/Uo8lOkRJ_normal.jpg","View")</f>
        <v>View</v>
      </c>
      <c r="P12022" s="7"/>
    </row>
    <row r="12023" spans="1:16">
      <c r="A12023" s="3">
        <v>44156.175891203704</v>
      </c>
      <c r="B12023" s="4" t="str">
        <f>HYPERLINK("https://twitter.com/petrogustavo","@petrogustavo")</f>
        <v>@petrogustavo</v>
      </c>
      <c r="C12023" s="5" t="s">
        <v>16</v>
      </c>
      <c r="D12023" s="5" t="s">
        <v>11573</v>
      </c>
      <c r="E12023" s="6" t="str">
        <f>HYPERLINK("https://twitter.com/petrogustavo/status/1329918264303112201","1329918264303112201")</f>
        <v>1329918264303112201</v>
      </c>
      <c r="F12023" s="7" t="s">
        <v>17</v>
      </c>
      <c r="G12023" s="7">
        <v>4010396</v>
      </c>
      <c r="H12023" s="7">
        <v>2464</v>
      </c>
      <c r="I12023" s="7">
        <v>149</v>
      </c>
      <c r="J12023" s="7">
        <v>0</v>
      </c>
      <c r="K12023" s="7" t="s">
        <v>18</v>
      </c>
      <c r="L12023" s="8">
        <v>39987.315405092595</v>
      </c>
      <c r="M12023" s="9" t="s">
        <v>19</v>
      </c>
      <c r="N12023" s="9" t="s">
        <v>20</v>
      </c>
      <c r="O12023" s="6" t="str">
        <f>HYPERLINK("https://pbs.twimg.com/profile_images/962471262747529216/Uo8lOkRJ_normal.jpg","View")</f>
        <v>View</v>
      </c>
      <c r="P12023" s="7"/>
    </row>
    <row r="12024" spans="1:16">
      <c r="A12024" s="3">
        <v>44156.178923611107</v>
      </c>
      <c r="B12024" s="4" t="str">
        <f>HYPERLINK("https://twitter.com/petrogustavo","@petrogustavo")</f>
        <v>@petrogustavo</v>
      </c>
      <c r="C12024" s="5" t="s">
        <v>16</v>
      </c>
      <c r="D12024" s="5" t="s">
        <v>11574</v>
      </c>
      <c r="E12024" s="6" t="str">
        <f>HYPERLINK("https://twitter.com/petrogustavo/status/1329919362363494402","1329919362363494402")</f>
        <v>1329919362363494402</v>
      </c>
      <c r="F12024" s="7" t="s">
        <v>17</v>
      </c>
      <c r="G12024" s="7">
        <v>4010396</v>
      </c>
      <c r="H12024" s="7">
        <v>2464</v>
      </c>
      <c r="I12024" s="7">
        <v>2</v>
      </c>
      <c r="J12024" s="7">
        <v>14</v>
      </c>
      <c r="K12024" s="7" t="s">
        <v>18</v>
      </c>
      <c r="L12024" s="8">
        <v>39987.315405092595</v>
      </c>
      <c r="M12024" s="9" t="s">
        <v>19</v>
      </c>
      <c r="N12024" s="9" t="s">
        <v>20</v>
      </c>
      <c r="O12024" s="6" t="str">
        <f>HYPERLINK("https://pbs.twimg.com/profile_images/962471262747529216/Uo8lOkRJ_normal.jpg","View")</f>
        <v>View</v>
      </c>
      <c r="P12024" s="7"/>
    </row>
    <row r="12025" spans="1:16">
      <c r="A12025" s="3">
        <v>44156.390833333338</v>
      </c>
      <c r="B12025" s="4" t="str">
        <f>HYPERLINK("https://twitter.com/petrogustavo","@petrogustavo")</f>
        <v>@petrogustavo</v>
      </c>
      <c r="C12025" s="5" t="s">
        <v>16</v>
      </c>
      <c r="D12025" s="5" t="s">
        <v>11575</v>
      </c>
      <c r="E12025" s="6" t="str">
        <f>HYPERLINK("https://twitter.com/petrogustavo/status/1329996154747166720","1329996154747166720")</f>
        <v>1329996154747166720</v>
      </c>
      <c r="F12025" s="7" t="s">
        <v>17</v>
      </c>
      <c r="G12025" s="7">
        <v>4010568</v>
      </c>
      <c r="H12025" s="7">
        <v>2464</v>
      </c>
      <c r="I12025" s="7">
        <v>99</v>
      </c>
      <c r="J12025" s="7">
        <v>276</v>
      </c>
      <c r="K12025" s="7" t="s">
        <v>18</v>
      </c>
      <c r="L12025" s="8">
        <v>39987.315405092595</v>
      </c>
      <c r="M12025" s="9" t="s">
        <v>19</v>
      </c>
      <c r="N12025" s="9" t="s">
        <v>20</v>
      </c>
      <c r="O12025" s="6" t="str">
        <f>HYPERLINK("https://pbs.twimg.com/profile_images/962471262747529216/Uo8lOkRJ_normal.jpg","View")</f>
        <v>View</v>
      </c>
      <c r="P12025" s="7"/>
    </row>
    <row r="12026" spans="1:16">
      <c r="A12026" s="3">
        <v>44156.400983796295</v>
      </c>
      <c r="B12026" s="4" t="str">
        <f>HYPERLINK("https://twitter.com/petrogustavo","@petrogustavo")</f>
        <v>@petrogustavo</v>
      </c>
      <c r="C12026" s="5" t="s">
        <v>16</v>
      </c>
      <c r="D12026" s="5" t="s">
        <v>11576</v>
      </c>
      <c r="E12026" s="6" t="str">
        <f>HYPERLINK("https://twitter.com/petrogustavo/status/1329999834682716164","1329999834682716164")</f>
        <v>1329999834682716164</v>
      </c>
      <c r="F12026" s="7" t="s">
        <v>17</v>
      </c>
      <c r="G12026" s="7">
        <v>4010568</v>
      </c>
      <c r="H12026" s="7">
        <v>2464</v>
      </c>
      <c r="I12026" s="7">
        <v>53</v>
      </c>
      <c r="J12026" s="7">
        <v>141</v>
      </c>
      <c r="K12026" s="7" t="s">
        <v>18</v>
      </c>
      <c r="L12026" s="8">
        <v>39987.315405092595</v>
      </c>
      <c r="M12026" s="9" t="s">
        <v>19</v>
      </c>
      <c r="N12026" s="9" t="s">
        <v>20</v>
      </c>
      <c r="O12026" s="6" t="str">
        <f>HYPERLINK("https://pbs.twimg.com/profile_images/962471262747529216/Uo8lOkRJ_normal.jpg","View")</f>
        <v>View</v>
      </c>
      <c r="P12026" s="7"/>
    </row>
    <row r="12027" spans="1:16">
      <c r="A12027" s="3">
        <v>44156.402245370366</v>
      </c>
      <c r="B12027" s="4" t="str">
        <f>HYPERLINK("https://twitter.com/petrogustavo","@petrogustavo")</f>
        <v>@petrogustavo</v>
      </c>
      <c r="C12027" s="5" t="s">
        <v>16</v>
      </c>
      <c r="D12027" s="5" t="s">
        <v>11577</v>
      </c>
      <c r="E12027" s="6" t="str">
        <f>HYPERLINK("https://twitter.com/petrogustavo/status/1330000293929639937","1330000293929639937")</f>
        <v>1330000293929639937</v>
      </c>
      <c r="F12027" s="7" t="s">
        <v>17</v>
      </c>
      <c r="G12027" s="7">
        <v>4010568</v>
      </c>
      <c r="H12027" s="7">
        <v>2464</v>
      </c>
      <c r="I12027" s="7">
        <v>17</v>
      </c>
      <c r="J12027" s="7">
        <v>131</v>
      </c>
      <c r="K12027" s="7" t="s">
        <v>18</v>
      </c>
      <c r="L12027" s="8">
        <v>39987.315405092595</v>
      </c>
      <c r="M12027" s="9" t="s">
        <v>19</v>
      </c>
      <c r="N12027" s="9" t="s">
        <v>20</v>
      </c>
      <c r="O12027" s="6" t="str">
        <f>HYPERLINK("https://pbs.twimg.com/profile_images/962471262747529216/Uo8lOkRJ_normal.jpg","View")</f>
        <v>View</v>
      </c>
      <c r="P12027" s="7"/>
    </row>
    <row r="12028" spans="1:16">
      <c r="A12028" s="3">
        <v>44156.749131944445</v>
      </c>
      <c r="B12028" s="4" t="str">
        <f>HYPERLINK("https://twitter.com/petrogustavo","@petrogustavo")</f>
        <v>@petrogustavo</v>
      </c>
      <c r="C12028" s="5" t="s">
        <v>16</v>
      </c>
      <c r="D12028" s="5" t="s">
        <v>11578</v>
      </c>
      <c r="E12028" s="6" t="str">
        <f>HYPERLINK("https://twitter.com/petrogustavo/status/1330125999623839746","1330125999623839746")</f>
        <v>1330125999623839746</v>
      </c>
      <c r="F12028" s="7" t="s">
        <v>17</v>
      </c>
      <c r="G12028" s="7">
        <v>4010589</v>
      </c>
      <c r="H12028" s="7">
        <v>2465</v>
      </c>
      <c r="I12028" s="7">
        <v>243</v>
      </c>
      <c r="J12028" s="7">
        <v>0</v>
      </c>
      <c r="K12028" s="7" t="s">
        <v>18</v>
      </c>
      <c r="L12028" s="8">
        <v>39987.315405092595</v>
      </c>
      <c r="M12028" s="9" t="s">
        <v>19</v>
      </c>
      <c r="N12028" s="9" t="s">
        <v>20</v>
      </c>
      <c r="O12028" s="6" t="str">
        <f>HYPERLINK("https://pbs.twimg.com/profile_images/962471262747529216/Uo8lOkRJ_normal.jpg","View")</f>
        <v>View</v>
      </c>
      <c r="P12028" s="7"/>
    </row>
    <row r="12029" spans="1:16">
      <c r="A12029" s="3">
        <v>44156.753414351857</v>
      </c>
      <c r="B12029" s="4" t="str">
        <f>HYPERLINK("https://twitter.com/petrogustavo","@petrogustavo")</f>
        <v>@petrogustavo</v>
      </c>
      <c r="C12029" s="5" t="s">
        <v>16</v>
      </c>
      <c r="D12029" s="5" t="s">
        <v>11579</v>
      </c>
      <c r="E12029" s="6" t="str">
        <f>HYPERLINK("https://twitter.com/petrogustavo/status/1330127549679210497","1330127549679210497")</f>
        <v>1330127549679210497</v>
      </c>
      <c r="F12029" s="7" t="s">
        <v>17</v>
      </c>
      <c r="G12029" s="7">
        <v>4010589</v>
      </c>
      <c r="H12029" s="7">
        <v>2465</v>
      </c>
      <c r="I12029" s="7">
        <v>29</v>
      </c>
      <c r="J12029" s="7">
        <v>105</v>
      </c>
      <c r="K12029" s="7" t="s">
        <v>18</v>
      </c>
      <c r="L12029" s="8">
        <v>39987.315405092595</v>
      </c>
      <c r="M12029" s="9" t="s">
        <v>19</v>
      </c>
      <c r="N12029" s="9" t="s">
        <v>20</v>
      </c>
      <c r="O12029" s="6" t="str">
        <f>HYPERLINK("https://pbs.twimg.com/profile_images/962471262747529216/Uo8lOkRJ_normal.jpg","View")</f>
        <v>View</v>
      </c>
      <c r="P12029" s="7"/>
    </row>
    <row r="12030" spans="1:16">
      <c r="A12030" s="3">
        <v>44156.757777777777</v>
      </c>
      <c r="B12030" s="4" t="str">
        <f>HYPERLINK("https://twitter.com/petrogustavo","@petrogustavo")</f>
        <v>@petrogustavo</v>
      </c>
      <c r="C12030" s="5" t="s">
        <v>16</v>
      </c>
      <c r="D12030" s="5" t="s">
        <v>11580</v>
      </c>
      <c r="E12030" s="6" t="str">
        <f>HYPERLINK("https://twitter.com/petrogustavo/status/1330129130835374082","1330129130835374082")</f>
        <v>1330129130835374082</v>
      </c>
      <c r="F12030" s="7" t="s">
        <v>17</v>
      </c>
      <c r="G12030" s="7">
        <v>4010589</v>
      </c>
      <c r="H12030" s="7">
        <v>2465</v>
      </c>
      <c r="I12030" s="7">
        <v>35</v>
      </c>
      <c r="J12030" s="7">
        <v>131</v>
      </c>
      <c r="K12030" s="7" t="s">
        <v>18</v>
      </c>
      <c r="L12030" s="8">
        <v>39987.315405092595</v>
      </c>
      <c r="M12030" s="9" t="s">
        <v>19</v>
      </c>
      <c r="N12030" s="9" t="s">
        <v>20</v>
      </c>
      <c r="O12030" s="6" t="str">
        <f>HYPERLINK("https://pbs.twimg.com/profile_images/962471262747529216/Uo8lOkRJ_normal.jpg","View")</f>
        <v>View</v>
      </c>
      <c r="P12030" s="7"/>
    </row>
    <row r="12031" spans="1:16">
      <c r="A12031" s="3">
        <v>44156.758136574077</v>
      </c>
      <c r="B12031" s="4" t="str">
        <f>HYPERLINK("https://twitter.com/petrogustavo","@petrogustavo")</f>
        <v>@petrogustavo</v>
      </c>
      <c r="C12031" s="5" t="s">
        <v>16</v>
      </c>
      <c r="D12031" s="5" t="s">
        <v>11581</v>
      </c>
      <c r="E12031" s="6" t="str">
        <f>HYPERLINK("https://twitter.com/petrogustavo/status/1330129261580181505","1330129261580181505")</f>
        <v>1330129261580181505</v>
      </c>
      <c r="F12031" s="7" t="s">
        <v>17</v>
      </c>
      <c r="G12031" s="7">
        <v>4010589</v>
      </c>
      <c r="H12031" s="7">
        <v>2465</v>
      </c>
      <c r="I12031" s="7">
        <v>64</v>
      </c>
      <c r="J12031" s="7">
        <v>0</v>
      </c>
      <c r="K12031" s="7" t="s">
        <v>18</v>
      </c>
      <c r="L12031" s="8">
        <v>39987.315405092595</v>
      </c>
      <c r="M12031" s="9" t="s">
        <v>19</v>
      </c>
      <c r="N12031" s="9" t="s">
        <v>20</v>
      </c>
      <c r="O12031" s="6" t="str">
        <f>HYPERLINK("https://pbs.twimg.com/profile_images/962471262747529216/Uo8lOkRJ_normal.jpg","View")</f>
        <v>View</v>
      </c>
      <c r="P12031" s="7"/>
    </row>
    <row r="12032" spans="1:16">
      <c r="A12032" s="3">
        <v>44156.75886574074</v>
      </c>
      <c r="B12032" s="4" t="str">
        <f>HYPERLINK("https://twitter.com/petrogustavo","@petrogustavo")</f>
        <v>@petrogustavo</v>
      </c>
      <c r="C12032" s="5" t="s">
        <v>16</v>
      </c>
      <c r="D12032" s="5" t="s">
        <v>11582</v>
      </c>
      <c r="E12032" s="6" t="str">
        <f>HYPERLINK("https://twitter.com/petrogustavo/status/1330129527612256257","1330129527612256257")</f>
        <v>1330129527612256257</v>
      </c>
      <c r="F12032" s="7" t="s">
        <v>17</v>
      </c>
      <c r="G12032" s="7">
        <v>4010589</v>
      </c>
      <c r="H12032" s="7">
        <v>2465</v>
      </c>
      <c r="I12032" s="7">
        <v>234</v>
      </c>
      <c r="J12032" s="7">
        <v>0</v>
      </c>
      <c r="K12032" s="7" t="s">
        <v>18</v>
      </c>
      <c r="L12032" s="8">
        <v>39987.315405092595</v>
      </c>
      <c r="M12032" s="9" t="s">
        <v>19</v>
      </c>
      <c r="N12032" s="9" t="s">
        <v>20</v>
      </c>
      <c r="O12032" s="6" t="str">
        <f>HYPERLINK("https://pbs.twimg.com/profile_images/962471262747529216/Uo8lOkRJ_normal.jpg","View")</f>
        <v>View</v>
      </c>
      <c r="P12032" s="7"/>
    </row>
    <row r="12033" spans="1:16">
      <c r="A12033" s="3">
        <v>44156.763564814813</v>
      </c>
      <c r="B12033" s="4" t="str">
        <f>HYPERLINK("https://twitter.com/petrogustavo","@petrogustavo")</f>
        <v>@petrogustavo</v>
      </c>
      <c r="C12033" s="5" t="s">
        <v>16</v>
      </c>
      <c r="D12033" s="5" t="s">
        <v>11583</v>
      </c>
      <c r="E12033" s="6" t="str">
        <f>HYPERLINK("https://twitter.com/petrogustavo/status/1330131231556636678","1330131231556636678")</f>
        <v>1330131231556636678</v>
      </c>
      <c r="F12033" s="7" t="s">
        <v>17</v>
      </c>
      <c r="G12033" s="7">
        <v>4010602</v>
      </c>
      <c r="H12033" s="7">
        <v>2466</v>
      </c>
      <c r="I12033" s="7">
        <v>181</v>
      </c>
      <c r="J12033" s="7">
        <v>622</v>
      </c>
      <c r="K12033" s="7" t="s">
        <v>18</v>
      </c>
      <c r="L12033" s="8">
        <v>39987.315405092595</v>
      </c>
      <c r="M12033" s="9" t="s">
        <v>19</v>
      </c>
      <c r="N12033" s="9" t="s">
        <v>20</v>
      </c>
      <c r="O12033" s="6" t="str">
        <f>HYPERLINK("https://pbs.twimg.com/profile_images/962471262747529216/Uo8lOkRJ_normal.jpg","View")</f>
        <v>View</v>
      </c>
      <c r="P12033" s="7"/>
    </row>
    <row r="12034" spans="1:16">
      <c r="A12034" s="3">
        <v>44156.765625</v>
      </c>
      <c r="B12034" s="4" t="str">
        <f>HYPERLINK("https://twitter.com/petrogustavo","@petrogustavo")</f>
        <v>@petrogustavo</v>
      </c>
      <c r="C12034" s="5" t="s">
        <v>16</v>
      </c>
      <c r="D12034" s="5" t="s">
        <v>11584</v>
      </c>
      <c r="E12034" s="6" t="str">
        <f>HYPERLINK("https://twitter.com/petrogustavo/status/1330131975060000769","1330131975060000769")</f>
        <v>1330131975060000769</v>
      </c>
      <c r="F12034" s="7" t="s">
        <v>17</v>
      </c>
      <c r="G12034" s="7">
        <v>4010602</v>
      </c>
      <c r="H12034" s="7">
        <v>2466</v>
      </c>
      <c r="I12034" s="7">
        <v>109</v>
      </c>
      <c r="J12034" s="7">
        <v>348</v>
      </c>
      <c r="K12034" s="7" t="s">
        <v>18</v>
      </c>
      <c r="L12034" s="8">
        <v>39987.315405092595</v>
      </c>
      <c r="M12034" s="9" t="s">
        <v>19</v>
      </c>
      <c r="N12034" s="9" t="s">
        <v>20</v>
      </c>
      <c r="O12034" s="6" t="str">
        <f>HYPERLINK("https://pbs.twimg.com/profile_images/962471262747529216/Uo8lOkRJ_normal.jpg","View")</f>
        <v>View</v>
      </c>
      <c r="P12034" s="7"/>
    </row>
    <row r="12035" spans="1:16">
      <c r="A12035" s="3">
        <v>44156.767071759255</v>
      </c>
      <c r="B12035" s="4" t="str">
        <f>HYPERLINK("https://twitter.com/petrogustavo","@petrogustavo")</f>
        <v>@petrogustavo</v>
      </c>
      <c r="C12035" s="5" t="s">
        <v>16</v>
      </c>
      <c r="D12035" s="5" t="s">
        <v>11585</v>
      </c>
      <c r="E12035" s="6" t="str">
        <f>HYPERLINK("https://twitter.com/petrogustavo/status/1330132502158188546","1330132502158188546")</f>
        <v>1330132502158188546</v>
      </c>
      <c r="F12035" s="7" t="s">
        <v>17</v>
      </c>
      <c r="G12035" s="7">
        <v>4010602</v>
      </c>
      <c r="H12035" s="7">
        <v>2466</v>
      </c>
      <c r="I12035" s="7">
        <v>77</v>
      </c>
      <c r="J12035" s="7">
        <v>288</v>
      </c>
      <c r="K12035" s="7" t="s">
        <v>18</v>
      </c>
      <c r="L12035" s="8">
        <v>39987.315405092595</v>
      </c>
      <c r="M12035" s="9" t="s">
        <v>19</v>
      </c>
      <c r="N12035" s="9" t="s">
        <v>20</v>
      </c>
      <c r="O12035" s="6" t="str">
        <f>HYPERLINK("https://pbs.twimg.com/profile_images/962471262747529216/Uo8lOkRJ_normal.jpg","View")</f>
        <v>View</v>
      </c>
      <c r="P12035" s="7"/>
    </row>
    <row r="12036" spans="1:16">
      <c r="A12036" s="3">
        <v>44156.778217592597</v>
      </c>
      <c r="B12036" s="4" t="str">
        <f>HYPERLINK("https://twitter.com/petrogustavo","@petrogustavo")</f>
        <v>@petrogustavo</v>
      </c>
      <c r="C12036" s="5" t="s">
        <v>16</v>
      </c>
      <c r="D12036" s="5" t="s">
        <v>11586</v>
      </c>
      <c r="E12036" s="6" t="str">
        <f>HYPERLINK("https://twitter.com/petrogustavo/status/1330136541696581635","1330136541696581635")</f>
        <v>1330136541696581635</v>
      </c>
      <c r="F12036" s="7" t="s">
        <v>17</v>
      </c>
      <c r="G12036" s="7">
        <v>4010602</v>
      </c>
      <c r="H12036" s="7">
        <v>2466</v>
      </c>
      <c r="I12036" s="7">
        <v>26</v>
      </c>
      <c r="J12036" s="7">
        <v>61</v>
      </c>
      <c r="K12036" s="7" t="s">
        <v>18</v>
      </c>
      <c r="L12036" s="8">
        <v>39987.315405092595</v>
      </c>
      <c r="M12036" s="9" t="s">
        <v>19</v>
      </c>
      <c r="N12036" s="9" t="s">
        <v>20</v>
      </c>
      <c r="O12036" s="6" t="str">
        <f>HYPERLINK("https://pbs.twimg.com/profile_images/962471262747529216/Uo8lOkRJ_normal.jpg","View")</f>
        <v>View</v>
      </c>
      <c r="P12036" s="7"/>
    </row>
    <row r="12037" spans="1:16">
      <c r="A12037" s="3">
        <v>44156.780648148153</v>
      </c>
      <c r="B12037" s="4" t="str">
        <f>HYPERLINK("https://twitter.com/petrogustavo","@petrogustavo")</f>
        <v>@petrogustavo</v>
      </c>
      <c r="C12037" s="5" t="s">
        <v>16</v>
      </c>
      <c r="D12037" s="5" t="s">
        <v>11587</v>
      </c>
      <c r="E12037" s="6" t="str">
        <f>HYPERLINK("https://twitter.com/petrogustavo/status/1330137419866394628","1330137419866394628")</f>
        <v>1330137419866394628</v>
      </c>
      <c r="F12037" s="7" t="s">
        <v>17</v>
      </c>
      <c r="G12037" s="7">
        <v>4010602</v>
      </c>
      <c r="H12037" s="7">
        <v>2466</v>
      </c>
      <c r="I12037" s="7">
        <v>5</v>
      </c>
      <c r="J12037" s="7">
        <v>0</v>
      </c>
      <c r="K12037" s="7" t="s">
        <v>18</v>
      </c>
      <c r="L12037" s="8">
        <v>39987.315405092595</v>
      </c>
      <c r="M12037" s="9" t="s">
        <v>19</v>
      </c>
      <c r="N12037" s="9" t="s">
        <v>20</v>
      </c>
      <c r="O12037" s="6" t="str">
        <f>HYPERLINK("https://pbs.twimg.com/profile_images/962471262747529216/Uo8lOkRJ_normal.jpg","View")</f>
        <v>View</v>
      </c>
      <c r="P12037" s="7"/>
    </row>
    <row r="12038" spans="1:16">
      <c r="A12038" s="3">
        <v>44156.782893518517</v>
      </c>
      <c r="B12038" s="4" t="str">
        <f>HYPERLINK("https://twitter.com/petrogustavo","@petrogustavo")</f>
        <v>@petrogustavo</v>
      </c>
      <c r="C12038" s="5" t="s">
        <v>16</v>
      </c>
      <c r="D12038" s="5" t="s">
        <v>11588</v>
      </c>
      <c r="E12038" s="6" t="str">
        <f>HYPERLINK("https://twitter.com/petrogustavo/status/1330138233313906688","1330138233313906688")</f>
        <v>1330138233313906688</v>
      </c>
      <c r="F12038" s="7" t="s">
        <v>17</v>
      </c>
      <c r="G12038" s="7">
        <v>4010602</v>
      </c>
      <c r="H12038" s="7">
        <v>2466</v>
      </c>
      <c r="I12038" s="7">
        <v>3</v>
      </c>
      <c r="J12038" s="7">
        <v>11</v>
      </c>
      <c r="K12038" s="7" t="s">
        <v>18</v>
      </c>
      <c r="L12038" s="8">
        <v>39987.315405092595</v>
      </c>
      <c r="M12038" s="9" t="s">
        <v>19</v>
      </c>
      <c r="N12038" s="9" t="s">
        <v>20</v>
      </c>
      <c r="O12038" s="6" t="str">
        <f>HYPERLINK("https://pbs.twimg.com/profile_images/962471262747529216/Uo8lOkRJ_normal.jpg","View")</f>
        <v>View</v>
      </c>
      <c r="P12038" s="7"/>
    </row>
    <row r="12039" spans="1:16">
      <c r="A12039" s="3">
        <v>44156.787094907406</v>
      </c>
      <c r="B12039" s="4" t="str">
        <f>HYPERLINK("https://twitter.com/petrogustavo","@petrogustavo")</f>
        <v>@petrogustavo</v>
      </c>
      <c r="C12039" s="5" t="s">
        <v>16</v>
      </c>
      <c r="D12039" s="5" t="s">
        <v>11589</v>
      </c>
      <c r="E12039" s="6" t="str">
        <f>HYPERLINK("https://twitter.com/petrogustavo/status/1330139756039184387","1330139756039184387")</f>
        <v>1330139756039184387</v>
      </c>
      <c r="F12039" s="7" t="s">
        <v>17</v>
      </c>
      <c r="G12039" s="7">
        <v>4010597</v>
      </c>
      <c r="H12039" s="7">
        <v>2466</v>
      </c>
      <c r="I12039" s="7">
        <v>137</v>
      </c>
      <c r="J12039" s="7">
        <v>404</v>
      </c>
      <c r="K12039" s="7" t="s">
        <v>18</v>
      </c>
      <c r="L12039" s="8">
        <v>39987.315405092595</v>
      </c>
      <c r="M12039" s="9" t="s">
        <v>19</v>
      </c>
      <c r="N12039" s="9" t="s">
        <v>20</v>
      </c>
      <c r="O12039" s="6" t="str">
        <f>HYPERLINK("https://pbs.twimg.com/profile_images/962471262747529216/Uo8lOkRJ_normal.jpg","View")</f>
        <v>View</v>
      </c>
      <c r="P12039" s="7"/>
    </row>
    <row r="12040" spans="1:16">
      <c r="A12040" s="3">
        <v>44156.78875</v>
      </c>
      <c r="B12040" s="4" t="str">
        <f>HYPERLINK("https://twitter.com/petrogustavo","@petrogustavo")</f>
        <v>@petrogustavo</v>
      </c>
      <c r="C12040" s="5" t="s">
        <v>16</v>
      </c>
      <c r="D12040" s="5" t="s">
        <v>11590</v>
      </c>
      <c r="E12040" s="6" t="str">
        <f>HYPERLINK("https://twitter.com/petrogustavo/status/1330140358488055815","1330140358488055815")</f>
        <v>1330140358488055815</v>
      </c>
      <c r="F12040" s="7" t="s">
        <v>17</v>
      </c>
      <c r="G12040" s="7">
        <v>4010597</v>
      </c>
      <c r="H12040" s="7">
        <v>2466</v>
      </c>
      <c r="I12040" s="7">
        <v>116</v>
      </c>
      <c r="J12040" s="7">
        <v>0</v>
      </c>
      <c r="K12040" s="7" t="s">
        <v>18</v>
      </c>
      <c r="L12040" s="8">
        <v>39987.315405092595</v>
      </c>
      <c r="M12040" s="9" t="s">
        <v>19</v>
      </c>
      <c r="N12040" s="9" t="s">
        <v>20</v>
      </c>
      <c r="O12040" s="6" t="str">
        <f>HYPERLINK("https://pbs.twimg.com/profile_images/962471262747529216/Uo8lOkRJ_normal.jpg","View")</f>
        <v>View</v>
      </c>
      <c r="P12040" s="7"/>
    </row>
    <row r="12041" spans="1:16">
      <c r="A12041" s="3">
        <v>44156.789502314816</v>
      </c>
      <c r="B12041" s="4" t="str">
        <f>HYPERLINK("https://twitter.com/petrogustavo","@petrogustavo")</f>
        <v>@petrogustavo</v>
      </c>
      <c r="C12041" s="5" t="s">
        <v>16</v>
      </c>
      <c r="D12041" s="5" t="s">
        <v>11591</v>
      </c>
      <c r="E12041" s="6" t="str">
        <f>HYPERLINK("https://twitter.com/petrogustavo/status/1330140631218462722","1330140631218462722")</f>
        <v>1330140631218462722</v>
      </c>
      <c r="F12041" s="7" t="s">
        <v>17</v>
      </c>
      <c r="G12041" s="7">
        <v>4010597</v>
      </c>
      <c r="H12041" s="7">
        <v>2466</v>
      </c>
      <c r="I12041" s="7">
        <v>491</v>
      </c>
      <c r="J12041" s="7">
        <v>0</v>
      </c>
      <c r="K12041" s="7" t="s">
        <v>18</v>
      </c>
      <c r="L12041" s="8">
        <v>39987.315405092595</v>
      </c>
      <c r="M12041" s="9" t="s">
        <v>19</v>
      </c>
      <c r="N12041" s="9" t="s">
        <v>20</v>
      </c>
      <c r="O12041" s="6" t="str">
        <f>HYPERLINK("https://pbs.twimg.com/profile_images/962471262747529216/Uo8lOkRJ_normal.jpg","View")</f>
        <v>View</v>
      </c>
      <c r="P12041" s="7"/>
    </row>
    <row r="12042" spans="1:16">
      <c r="A12042" s="3">
        <v>44156.799259259264</v>
      </c>
      <c r="B12042" s="4" t="str">
        <f>HYPERLINK("https://twitter.com/petrogustavo","@petrogustavo")</f>
        <v>@petrogustavo</v>
      </c>
      <c r="C12042" s="5" t="s">
        <v>16</v>
      </c>
      <c r="D12042" s="5" t="s">
        <v>11592</v>
      </c>
      <c r="E12042" s="6" t="str">
        <f>HYPERLINK("https://twitter.com/petrogustavo/status/1330144165259251714","1330144165259251714")</f>
        <v>1330144165259251714</v>
      </c>
      <c r="F12042" s="7" t="s">
        <v>17</v>
      </c>
      <c r="G12042" s="7">
        <v>4010597</v>
      </c>
      <c r="H12042" s="7">
        <v>2466</v>
      </c>
      <c r="I12042" s="7">
        <v>43</v>
      </c>
      <c r="J12042" s="7">
        <v>89</v>
      </c>
      <c r="K12042" s="7" t="s">
        <v>18</v>
      </c>
      <c r="L12042" s="8">
        <v>39987.315405092595</v>
      </c>
      <c r="M12042" s="9" t="s">
        <v>19</v>
      </c>
      <c r="N12042" s="9" t="s">
        <v>20</v>
      </c>
      <c r="O12042" s="6" t="str">
        <f>HYPERLINK("https://pbs.twimg.com/profile_images/962471262747529216/Uo8lOkRJ_normal.jpg","View")</f>
        <v>View</v>
      </c>
      <c r="P12042" s="7"/>
    </row>
    <row r="12043" spans="1:16">
      <c r="A12043" s="3">
        <v>44156.800462962958</v>
      </c>
      <c r="B12043" s="4" t="str">
        <f>HYPERLINK("https://twitter.com/petrogustavo","@petrogustavo")</f>
        <v>@petrogustavo</v>
      </c>
      <c r="C12043" s="5" t="s">
        <v>16</v>
      </c>
      <c r="D12043" s="5" t="s">
        <v>11593</v>
      </c>
      <c r="E12043" s="6" t="str">
        <f>HYPERLINK("https://twitter.com/petrogustavo/status/1330144602746204161","1330144602746204161")</f>
        <v>1330144602746204161</v>
      </c>
      <c r="F12043" s="7" t="s">
        <v>17</v>
      </c>
      <c r="G12043" s="7">
        <v>4010597</v>
      </c>
      <c r="H12043" s="7">
        <v>2466</v>
      </c>
      <c r="I12043" s="7">
        <v>13</v>
      </c>
      <c r="J12043" s="7">
        <v>53</v>
      </c>
      <c r="K12043" s="7" t="s">
        <v>18</v>
      </c>
      <c r="L12043" s="8">
        <v>39987.315405092595</v>
      </c>
      <c r="M12043" s="9" t="s">
        <v>19</v>
      </c>
      <c r="N12043" s="9" t="s">
        <v>20</v>
      </c>
      <c r="O12043" s="6" t="str">
        <f>HYPERLINK("https://pbs.twimg.com/profile_images/962471262747529216/Uo8lOkRJ_normal.jpg","View")</f>
        <v>View</v>
      </c>
      <c r="P12043" s="7"/>
    </row>
    <row r="12044" spans="1:16">
      <c r="A12044" s="3">
        <v>44156.803912037038</v>
      </c>
      <c r="B12044" s="4" t="str">
        <f>HYPERLINK("https://twitter.com/petrogustavo","@petrogustavo")</f>
        <v>@petrogustavo</v>
      </c>
      <c r="C12044" s="5" t="s">
        <v>16</v>
      </c>
      <c r="D12044" s="5" t="s">
        <v>11594</v>
      </c>
      <c r="E12044" s="6" t="str">
        <f>HYPERLINK("https://twitter.com/petrogustavo/status/1330145851352739841","1330145851352739841")</f>
        <v>1330145851352739841</v>
      </c>
      <c r="F12044" s="7" t="s">
        <v>17</v>
      </c>
      <c r="G12044" s="7">
        <v>4010597</v>
      </c>
      <c r="H12044" s="7">
        <v>2466</v>
      </c>
      <c r="I12044" s="7">
        <v>0</v>
      </c>
      <c r="J12044" s="7">
        <v>0</v>
      </c>
      <c r="K12044" s="7" t="s">
        <v>18</v>
      </c>
      <c r="L12044" s="8">
        <v>39987.315405092595</v>
      </c>
      <c r="M12044" s="9" t="s">
        <v>19</v>
      </c>
      <c r="N12044" s="9" t="s">
        <v>20</v>
      </c>
      <c r="O12044" s="6" t="str">
        <f>HYPERLINK("https://pbs.twimg.com/profile_images/962471262747529216/Uo8lOkRJ_normal.jpg","View")</f>
        <v>View</v>
      </c>
      <c r="P12044" s="7"/>
    </row>
    <row r="12045" spans="1:16">
      <c r="A12045" s="3">
        <v>44156.804641203707</v>
      </c>
      <c r="B12045" s="4" t="str">
        <f>HYPERLINK("https://twitter.com/petrogustavo","@petrogustavo")</f>
        <v>@petrogustavo</v>
      </c>
      <c r="C12045" s="5" t="s">
        <v>16</v>
      </c>
      <c r="D12045" s="5" t="s">
        <v>11595</v>
      </c>
      <c r="E12045" s="6" t="str">
        <f>HYPERLINK("https://twitter.com/petrogustavo/status/1330146115178663939","1330146115178663939")</f>
        <v>1330146115178663939</v>
      </c>
      <c r="F12045" s="7" t="s">
        <v>17</v>
      </c>
      <c r="G12045" s="7">
        <v>4010605</v>
      </c>
      <c r="H12045" s="7">
        <v>2467</v>
      </c>
      <c r="I12045" s="7">
        <v>146</v>
      </c>
      <c r="J12045" s="7">
        <v>1071</v>
      </c>
      <c r="K12045" s="7" t="s">
        <v>18</v>
      </c>
      <c r="L12045" s="8">
        <v>39987.315405092595</v>
      </c>
      <c r="M12045" s="9" t="s">
        <v>19</v>
      </c>
      <c r="N12045" s="9" t="s">
        <v>20</v>
      </c>
      <c r="O12045" s="6" t="str">
        <f>HYPERLINK("https://pbs.twimg.com/profile_images/962471262747529216/Uo8lOkRJ_normal.jpg","View")</f>
        <v>View</v>
      </c>
      <c r="P12045" s="7"/>
    </row>
    <row r="12046" spans="1:16">
      <c r="A12046" s="3">
        <v>44156.818888888884</v>
      </c>
      <c r="B12046" s="4" t="str">
        <f>HYPERLINK("https://twitter.com/petrogustavo","@petrogustavo")</f>
        <v>@petrogustavo</v>
      </c>
      <c r="C12046" s="5" t="s">
        <v>16</v>
      </c>
      <c r="D12046" s="5" t="s">
        <v>11596</v>
      </c>
      <c r="E12046" s="6" t="str">
        <f>HYPERLINK("https://twitter.com/petrogustavo/status/1330151277536440326","1330151277536440326")</f>
        <v>1330151277536440326</v>
      </c>
      <c r="F12046" s="7" t="s">
        <v>17</v>
      </c>
      <c r="G12046" s="7">
        <v>4010605</v>
      </c>
      <c r="H12046" s="7">
        <v>2467</v>
      </c>
      <c r="I12046" s="7">
        <v>28</v>
      </c>
      <c r="J12046" s="7">
        <v>135</v>
      </c>
      <c r="K12046" s="7" t="s">
        <v>18</v>
      </c>
      <c r="L12046" s="8">
        <v>39987.315405092595</v>
      </c>
      <c r="M12046" s="9" t="s">
        <v>19</v>
      </c>
      <c r="N12046" s="9" t="s">
        <v>20</v>
      </c>
      <c r="O12046" s="6" t="str">
        <f>HYPERLINK("https://pbs.twimg.com/profile_images/962471262747529216/Uo8lOkRJ_normal.jpg","View")</f>
        <v>View</v>
      </c>
      <c r="P12046" s="7"/>
    </row>
    <row r="12047" spans="1:16">
      <c r="A12047" s="3">
        <v>44156.828194444446</v>
      </c>
      <c r="B12047" s="4" t="str">
        <f>HYPERLINK("https://twitter.com/petrogustavo","@petrogustavo")</f>
        <v>@petrogustavo</v>
      </c>
      <c r="C12047" s="5" t="s">
        <v>16</v>
      </c>
      <c r="D12047" s="5" t="s">
        <v>11597</v>
      </c>
      <c r="E12047" s="6" t="str">
        <f>HYPERLINK("https://twitter.com/petrogustavo/status/1330154652021764096","1330154652021764096")</f>
        <v>1330154652021764096</v>
      </c>
      <c r="F12047" s="7" t="s">
        <v>17</v>
      </c>
      <c r="G12047" s="7">
        <v>4010615</v>
      </c>
      <c r="H12047" s="7">
        <v>2467</v>
      </c>
      <c r="I12047" s="7">
        <v>42</v>
      </c>
      <c r="J12047" s="7">
        <v>133</v>
      </c>
      <c r="K12047" s="7" t="s">
        <v>18</v>
      </c>
      <c r="L12047" s="8">
        <v>39987.315405092595</v>
      </c>
      <c r="M12047" s="9" t="s">
        <v>19</v>
      </c>
      <c r="N12047" s="9" t="s">
        <v>20</v>
      </c>
      <c r="O12047" s="6" t="str">
        <f>HYPERLINK("https://pbs.twimg.com/profile_images/962471262747529216/Uo8lOkRJ_normal.jpg","View")</f>
        <v>View</v>
      </c>
      <c r="P12047" s="7"/>
    </row>
    <row r="12048" spans="1:16">
      <c r="A12048" s="3">
        <v>44156.833171296297</v>
      </c>
      <c r="B12048" s="4" t="str">
        <f>HYPERLINK("https://twitter.com/petrogustavo","@petrogustavo")</f>
        <v>@petrogustavo</v>
      </c>
      <c r="C12048" s="5" t="s">
        <v>16</v>
      </c>
      <c r="D12048" s="5" t="s">
        <v>11598</v>
      </c>
      <c r="E12048" s="6" t="str">
        <f>HYPERLINK("https://twitter.com/petrogustavo/status/1330156455538909184","1330156455538909184")</f>
        <v>1330156455538909184</v>
      </c>
      <c r="F12048" s="7" t="s">
        <v>17</v>
      </c>
      <c r="G12048" s="7">
        <v>4010615</v>
      </c>
      <c r="H12048" s="7">
        <v>2467</v>
      </c>
      <c r="I12048" s="7">
        <v>50</v>
      </c>
      <c r="J12048" s="7">
        <v>211</v>
      </c>
      <c r="K12048" s="7" t="s">
        <v>18</v>
      </c>
      <c r="L12048" s="8">
        <v>39987.315405092595</v>
      </c>
      <c r="M12048" s="9" t="s">
        <v>19</v>
      </c>
      <c r="N12048" s="9" t="s">
        <v>20</v>
      </c>
      <c r="O12048" s="6" t="str">
        <f>HYPERLINK("https://pbs.twimg.com/profile_images/962471262747529216/Uo8lOkRJ_normal.jpg","View")</f>
        <v>View</v>
      </c>
      <c r="P12048" s="7"/>
    </row>
    <row r="12049" spans="1:16">
      <c r="A12049" s="3">
        <v>44156.835439814815</v>
      </c>
      <c r="B12049" s="4" t="str">
        <f>HYPERLINK("https://twitter.com/petrogustavo","@petrogustavo")</f>
        <v>@petrogustavo</v>
      </c>
      <c r="C12049" s="5" t="s">
        <v>16</v>
      </c>
      <c r="D12049" s="5" t="s">
        <v>11599</v>
      </c>
      <c r="E12049" s="6" t="str">
        <f>HYPERLINK("https://twitter.com/petrogustavo/status/1330157276959813643","1330157276959813643")</f>
        <v>1330157276959813643</v>
      </c>
      <c r="F12049" s="7" t="s">
        <v>17</v>
      </c>
      <c r="G12049" s="7">
        <v>4010615</v>
      </c>
      <c r="H12049" s="7">
        <v>2467</v>
      </c>
      <c r="I12049" s="7">
        <v>36</v>
      </c>
      <c r="J12049" s="7">
        <v>95</v>
      </c>
      <c r="K12049" s="7" t="s">
        <v>18</v>
      </c>
      <c r="L12049" s="8">
        <v>39987.315405092595</v>
      </c>
      <c r="M12049" s="9" t="s">
        <v>19</v>
      </c>
      <c r="N12049" s="9" t="s">
        <v>20</v>
      </c>
      <c r="O12049" s="6" t="str">
        <f>HYPERLINK("https://pbs.twimg.com/profile_images/962471262747529216/Uo8lOkRJ_normal.jpg","View")</f>
        <v>View</v>
      </c>
      <c r="P12049" s="7"/>
    </row>
    <row r="12050" spans="1:16">
      <c r="A12050" s="3">
        <v>44156.836446759262</v>
      </c>
      <c r="B12050" s="4" t="str">
        <f>HYPERLINK("https://twitter.com/petrogustavo","@petrogustavo")</f>
        <v>@petrogustavo</v>
      </c>
      <c r="C12050" s="5" t="s">
        <v>16</v>
      </c>
      <c r="D12050" s="5" t="s">
        <v>11600</v>
      </c>
      <c r="E12050" s="6" t="str">
        <f>HYPERLINK("https://twitter.com/petrogustavo/status/1330157641851686916","1330157641851686916")</f>
        <v>1330157641851686916</v>
      </c>
      <c r="F12050" s="7" t="s">
        <v>17</v>
      </c>
      <c r="G12050" s="7">
        <v>4010615</v>
      </c>
      <c r="H12050" s="7">
        <v>2467</v>
      </c>
      <c r="I12050" s="7">
        <v>41</v>
      </c>
      <c r="J12050" s="7">
        <v>172</v>
      </c>
      <c r="K12050" s="7" t="s">
        <v>18</v>
      </c>
      <c r="L12050" s="8">
        <v>39987.315405092595</v>
      </c>
      <c r="M12050" s="9" t="s">
        <v>19</v>
      </c>
      <c r="N12050" s="9" t="s">
        <v>20</v>
      </c>
      <c r="O12050" s="6" t="str">
        <f>HYPERLINK("https://pbs.twimg.com/profile_images/962471262747529216/Uo8lOkRJ_normal.jpg","View")</f>
        <v>View</v>
      </c>
      <c r="P12050" s="7"/>
    </row>
    <row r="12051" spans="1:16">
      <c r="A12051" s="3">
        <v>44156.845254629632</v>
      </c>
      <c r="B12051" s="4" t="str">
        <f>HYPERLINK("https://twitter.com/petrogustavo","@petrogustavo")</f>
        <v>@petrogustavo</v>
      </c>
      <c r="C12051" s="5" t="s">
        <v>16</v>
      </c>
      <c r="D12051" s="5" t="s">
        <v>11601</v>
      </c>
      <c r="E12051" s="6" t="str">
        <f>HYPERLINK("https://twitter.com/petrogustavo/status/1330160831670136835","1330160831670136835")</f>
        <v>1330160831670136835</v>
      </c>
      <c r="F12051" s="7" t="s">
        <v>17</v>
      </c>
      <c r="G12051" s="7">
        <v>4010615</v>
      </c>
      <c r="H12051" s="7">
        <v>2467</v>
      </c>
      <c r="I12051" s="7">
        <v>3</v>
      </c>
      <c r="J12051" s="7">
        <v>3</v>
      </c>
      <c r="K12051" s="7" t="s">
        <v>18</v>
      </c>
      <c r="L12051" s="8">
        <v>39987.315405092595</v>
      </c>
      <c r="M12051" s="9" t="s">
        <v>19</v>
      </c>
      <c r="N12051" s="9" t="s">
        <v>20</v>
      </c>
      <c r="O12051" s="6" t="str">
        <f>HYPERLINK("https://pbs.twimg.com/profile_images/962471262747529216/Uo8lOkRJ_normal.jpg","View")</f>
        <v>View</v>
      </c>
      <c r="P12051" s="7"/>
    </row>
    <row r="12052" spans="1:16">
      <c r="A12052" s="3">
        <v>44156.862361111111</v>
      </c>
      <c r="B12052" s="4" t="str">
        <f>HYPERLINK("https://twitter.com/petrogustavo","@petrogustavo")</f>
        <v>@petrogustavo</v>
      </c>
      <c r="C12052" s="5" t="s">
        <v>16</v>
      </c>
      <c r="D12052" s="5" t="s">
        <v>11602</v>
      </c>
      <c r="E12052" s="6" t="str">
        <f>HYPERLINK("https://twitter.com/petrogustavo/status/1330167031182860297","1330167031182860297")</f>
        <v>1330167031182860297</v>
      </c>
      <c r="F12052" s="7" t="s">
        <v>17</v>
      </c>
      <c r="G12052" s="7">
        <v>4010627</v>
      </c>
      <c r="H12052" s="7">
        <v>2467</v>
      </c>
      <c r="I12052" s="7">
        <v>22</v>
      </c>
      <c r="J12052" s="7">
        <v>83</v>
      </c>
      <c r="K12052" s="7" t="s">
        <v>18</v>
      </c>
      <c r="L12052" s="8">
        <v>39987.315405092595</v>
      </c>
      <c r="M12052" s="9" t="s">
        <v>19</v>
      </c>
      <c r="N12052" s="9" t="s">
        <v>20</v>
      </c>
      <c r="O12052" s="6" t="str">
        <f>HYPERLINK("https://pbs.twimg.com/profile_images/962471262747529216/Uo8lOkRJ_normal.jpg","View")</f>
        <v>View</v>
      </c>
      <c r="P12052" s="7"/>
    </row>
    <row r="12053" spans="1:16">
      <c r="A12053" s="3">
        <v>44156.868634259255</v>
      </c>
      <c r="B12053" s="4" t="str">
        <f>HYPERLINK("https://twitter.com/petrogustavo","@petrogustavo")</f>
        <v>@petrogustavo</v>
      </c>
      <c r="C12053" s="5" t="s">
        <v>16</v>
      </c>
      <c r="D12053" s="5" t="s">
        <v>11603</v>
      </c>
      <c r="E12053" s="6" t="str">
        <f>HYPERLINK("https://twitter.com/petrogustavo/status/1330169306827657216","1330169306827657216")</f>
        <v>1330169306827657216</v>
      </c>
      <c r="F12053" s="7" t="s">
        <v>17</v>
      </c>
      <c r="G12053" s="7">
        <v>4010639</v>
      </c>
      <c r="H12053" s="7">
        <v>2467</v>
      </c>
      <c r="I12053" s="7">
        <v>19</v>
      </c>
      <c r="J12053" s="7">
        <v>103</v>
      </c>
      <c r="K12053" s="7" t="s">
        <v>18</v>
      </c>
      <c r="L12053" s="8">
        <v>39987.315405092595</v>
      </c>
      <c r="M12053" s="9" t="s">
        <v>19</v>
      </c>
      <c r="N12053" s="9" t="s">
        <v>20</v>
      </c>
      <c r="O12053" s="6" t="str">
        <f>HYPERLINK("https://pbs.twimg.com/profile_images/962471262747529216/Uo8lOkRJ_normal.jpg","View")</f>
        <v>View</v>
      </c>
      <c r="P12053" s="7"/>
    </row>
    <row r="12054" spans="1:16">
      <c r="A12054" s="3">
        <v>44156.870451388888</v>
      </c>
      <c r="B12054" s="4" t="str">
        <f>HYPERLINK("https://twitter.com/petrogustavo","@petrogustavo")</f>
        <v>@petrogustavo</v>
      </c>
      <c r="C12054" s="5" t="s">
        <v>16</v>
      </c>
      <c r="D12054" s="5" t="s">
        <v>11604</v>
      </c>
      <c r="E12054" s="6" t="str">
        <f>HYPERLINK("https://twitter.com/petrogustavo/status/1330169962506432513","1330169962506432513")</f>
        <v>1330169962506432513</v>
      </c>
      <c r="F12054" s="7" t="s">
        <v>17</v>
      </c>
      <c r="G12054" s="7">
        <v>4010639</v>
      </c>
      <c r="H12054" s="7">
        <v>2467</v>
      </c>
      <c r="I12054" s="7">
        <v>10</v>
      </c>
      <c r="J12054" s="7">
        <v>69</v>
      </c>
      <c r="K12054" s="7" t="s">
        <v>18</v>
      </c>
      <c r="L12054" s="8">
        <v>39987.315405092595</v>
      </c>
      <c r="M12054" s="9" t="s">
        <v>19</v>
      </c>
      <c r="N12054" s="9" t="s">
        <v>20</v>
      </c>
      <c r="O12054" s="6" t="str">
        <f>HYPERLINK("https://pbs.twimg.com/profile_images/962471262747529216/Uo8lOkRJ_normal.jpg","View")</f>
        <v>View</v>
      </c>
      <c r="P12054" s="7"/>
    </row>
    <row r="12055" spans="1:16">
      <c r="A12055" s="3">
        <v>44156.871504629627</v>
      </c>
      <c r="B12055" s="4" t="str">
        <f>HYPERLINK("https://twitter.com/petrogustavo","@petrogustavo")</f>
        <v>@petrogustavo</v>
      </c>
      <c r="C12055" s="5" t="s">
        <v>16</v>
      </c>
      <c r="D12055" s="5" t="s">
        <v>11605</v>
      </c>
      <c r="E12055" s="6" t="str">
        <f>HYPERLINK("https://twitter.com/petrogustavo/status/1330170347258322946","1330170347258322946")</f>
        <v>1330170347258322946</v>
      </c>
      <c r="F12055" s="7" t="s">
        <v>17</v>
      </c>
      <c r="G12055" s="7">
        <v>4010639</v>
      </c>
      <c r="H12055" s="7">
        <v>2467</v>
      </c>
      <c r="I12055" s="7">
        <v>14</v>
      </c>
      <c r="J12055" s="7">
        <v>73</v>
      </c>
      <c r="K12055" s="7" t="s">
        <v>18</v>
      </c>
      <c r="L12055" s="8">
        <v>39987.315405092595</v>
      </c>
      <c r="M12055" s="9" t="s">
        <v>19</v>
      </c>
      <c r="N12055" s="9" t="s">
        <v>20</v>
      </c>
      <c r="O12055" s="6" t="str">
        <f>HYPERLINK("https://pbs.twimg.com/profile_images/962471262747529216/Uo8lOkRJ_normal.jpg","View")</f>
        <v>View</v>
      </c>
      <c r="P12055" s="7"/>
    </row>
    <row r="12056" spans="1:16">
      <c r="A12056" s="3">
        <v>44156.873148148152</v>
      </c>
      <c r="B12056" s="4" t="str">
        <f>HYPERLINK("https://twitter.com/petrogustavo","@petrogustavo")</f>
        <v>@petrogustavo</v>
      </c>
      <c r="C12056" s="5" t="s">
        <v>16</v>
      </c>
      <c r="D12056" s="5" t="s">
        <v>11606</v>
      </c>
      <c r="E12056" s="6" t="str">
        <f>HYPERLINK("https://twitter.com/petrogustavo/status/1330170940362252292","1330170940362252292")</f>
        <v>1330170940362252292</v>
      </c>
      <c r="F12056" s="7" t="s">
        <v>17</v>
      </c>
      <c r="G12056" s="7">
        <v>4010639</v>
      </c>
      <c r="H12056" s="7">
        <v>2467</v>
      </c>
      <c r="I12056" s="7">
        <v>6</v>
      </c>
      <c r="J12056" s="7">
        <v>52</v>
      </c>
      <c r="K12056" s="7" t="s">
        <v>18</v>
      </c>
      <c r="L12056" s="8">
        <v>39987.315405092595</v>
      </c>
      <c r="M12056" s="9" t="s">
        <v>19</v>
      </c>
      <c r="N12056" s="9" t="s">
        <v>20</v>
      </c>
      <c r="O12056" s="6" t="str">
        <f>HYPERLINK("https://pbs.twimg.com/profile_images/962471262747529216/Uo8lOkRJ_normal.jpg","View")</f>
        <v>View</v>
      </c>
      <c r="P12056" s="7"/>
    </row>
    <row r="12057" spans="1:16">
      <c r="A12057" s="3">
        <v>44156.874201388884</v>
      </c>
      <c r="B12057" s="4" t="str">
        <f>HYPERLINK("https://twitter.com/petrogustavo","@petrogustavo")</f>
        <v>@petrogustavo</v>
      </c>
      <c r="C12057" s="5" t="s">
        <v>16</v>
      </c>
      <c r="D12057" s="5" t="s">
        <v>11607</v>
      </c>
      <c r="E12057" s="6" t="str">
        <f>HYPERLINK("https://twitter.com/petrogustavo/status/1330171324325572609","1330171324325572609")</f>
        <v>1330171324325572609</v>
      </c>
      <c r="F12057" s="7" t="s">
        <v>17</v>
      </c>
      <c r="G12057" s="7">
        <v>4010639</v>
      </c>
      <c r="H12057" s="7">
        <v>2467</v>
      </c>
      <c r="I12057" s="7">
        <v>10</v>
      </c>
      <c r="J12057" s="7">
        <v>64</v>
      </c>
      <c r="K12057" s="7" t="s">
        <v>18</v>
      </c>
      <c r="L12057" s="8">
        <v>39987.315405092595</v>
      </c>
      <c r="M12057" s="9" t="s">
        <v>19</v>
      </c>
      <c r="N12057" s="9" t="s">
        <v>20</v>
      </c>
      <c r="O12057" s="6" t="str">
        <f>HYPERLINK("https://pbs.twimg.com/profile_images/962471262747529216/Uo8lOkRJ_normal.jpg","View")</f>
        <v>View</v>
      </c>
      <c r="P12057" s="7"/>
    </row>
    <row r="12058" spans="1:16">
      <c r="A12058" s="3">
        <v>44156.875972222224</v>
      </c>
      <c r="B12058" s="4" t="str">
        <f>HYPERLINK("https://twitter.com/petrogustavo","@petrogustavo")</f>
        <v>@petrogustavo</v>
      </c>
      <c r="C12058" s="5" t="s">
        <v>16</v>
      </c>
      <c r="D12058" s="5" t="s">
        <v>11608</v>
      </c>
      <c r="E12058" s="6" t="str">
        <f>HYPERLINK("https://twitter.com/petrogustavo/status/1330171966335176707","1330171966335176707")</f>
        <v>1330171966335176707</v>
      </c>
      <c r="F12058" s="7" t="s">
        <v>17</v>
      </c>
      <c r="G12058" s="7">
        <v>4010639</v>
      </c>
      <c r="H12058" s="7">
        <v>2467</v>
      </c>
      <c r="I12058" s="7">
        <v>19</v>
      </c>
      <c r="J12058" s="7">
        <v>73</v>
      </c>
      <c r="K12058" s="7" t="s">
        <v>18</v>
      </c>
      <c r="L12058" s="8">
        <v>39987.315405092595</v>
      </c>
      <c r="M12058" s="9" t="s">
        <v>19</v>
      </c>
      <c r="N12058" s="9" t="s">
        <v>20</v>
      </c>
      <c r="O12058" s="6" t="str">
        <f>HYPERLINK("https://pbs.twimg.com/profile_images/962471262747529216/Uo8lOkRJ_normal.jpg","View")</f>
        <v>View</v>
      </c>
      <c r="P12058" s="7"/>
    </row>
    <row r="12059" spans="1:16">
      <c r="A12059" s="3">
        <v>44156.899247685185</v>
      </c>
      <c r="B12059" s="4" t="str">
        <f>HYPERLINK("https://twitter.com/petrogustavo","@petrogustavo")</f>
        <v>@petrogustavo</v>
      </c>
      <c r="C12059" s="5" t="s">
        <v>16</v>
      </c>
      <c r="D12059" s="5" t="s">
        <v>11609</v>
      </c>
      <c r="E12059" s="6" t="str">
        <f>HYPERLINK("https://twitter.com/petrogustavo/status/1330180400447107072","1330180400447107072")</f>
        <v>1330180400447107072</v>
      </c>
      <c r="F12059" s="7" t="s">
        <v>17</v>
      </c>
      <c r="G12059" s="7">
        <v>4010650</v>
      </c>
      <c r="H12059" s="7">
        <v>2467</v>
      </c>
      <c r="I12059" s="7">
        <v>187</v>
      </c>
      <c r="J12059" s="7">
        <v>0</v>
      </c>
      <c r="K12059" s="7" t="s">
        <v>18</v>
      </c>
      <c r="L12059" s="8">
        <v>39987.315405092595</v>
      </c>
      <c r="M12059" s="9" t="s">
        <v>19</v>
      </c>
      <c r="N12059" s="9" t="s">
        <v>20</v>
      </c>
      <c r="O12059" s="6" t="str">
        <f>HYPERLINK("https://pbs.twimg.com/profile_images/962471262747529216/Uo8lOkRJ_normal.jpg","View")</f>
        <v>View</v>
      </c>
      <c r="P12059" s="7"/>
    </row>
    <row r="12060" spans="1:16">
      <c r="A12060" s="3">
        <v>44156.923900462964</v>
      </c>
      <c r="B12060" s="4" t="str">
        <f>HYPERLINK("https://twitter.com/petrogustavo","@petrogustavo")</f>
        <v>@petrogustavo</v>
      </c>
      <c r="C12060" s="5" t="s">
        <v>16</v>
      </c>
      <c r="D12060" s="5" t="s">
        <v>11610</v>
      </c>
      <c r="E12060" s="6" t="str">
        <f>HYPERLINK("https://twitter.com/petrogustavo/status/1330189332657934337","1330189332657934337")</f>
        <v>1330189332657934337</v>
      </c>
      <c r="F12060" s="7" t="s">
        <v>17</v>
      </c>
      <c r="G12060" s="7">
        <v>4010668</v>
      </c>
      <c r="H12060" s="7">
        <v>2467</v>
      </c>
      <c r="I12060" s="7">
        <v>3995</v>
      </c>
      <c r="J12060" s="7">
        <v>0</v>
      </c>
      <c r="K12060" s="7" t="s">
        <v>18</v>
      </c>
      <c r="L12060" s="8">
        <v>39987.315405092595</v>
      </c>
      <c r="M12060" s="9" t="s">
        <v>19</v>
      </c>
      <c r="N12060" s="9" t="s">
        <v>20</v>
      </c>
      <c r="O12060" s="6" t="str">
        <f>HYPERLINK("https://pbs.twimg.com/profile_images/962471262747529216/Uo8lOkRJ_normal.jpg","View")</f>
        <v>View</v>
      </c>
      <c r="P12060" s="7"/>
    </row>
    <row r="12061" spans="1:16">
      <c r="A12061" s="3">
        <v>44156.977951388893</v>
      </c>
      <c r="B12061" s="4" t="str">
        <f>HYPERLINK("https://twitter.com/petrogustavo","@petrogustavo")</f>
        <v>@petrogustavo</v>
      </c>
      <c r="C12061" s="5" t="s">
        <v>16</v>
      </c>
      <c r="D12061" s="5" t="s">
        <v>11611</v>
      </c>
      <c r="E12061" s="6" t="str">
        <f>HYPERLINK("https://twitter.com/petrogustavo/status/1330208919030018049","1330208919030018049")</f>
        <v>1330208919030018049</v>
      </c>
      <c r="F12061" s="7" t="s">
        <v>17</v>
      </c>
      <c r="G12061" s="7">
        <v>4010715</v>
      </c>
      <c r="H12061" s="7">
        <v>2467</v>
      </c>
      <c r="I12061" s="7">
        <v>12</v>
      </c>
      <c r="J12061" s="7">
        <v>0</v>
      </c>
      <c r="K12061" s="7" t="s">
        <v>18</v>
      </c>
      <c r="L12061" s="8">
        <v>39987.315405092595</v>
      </c>
      <c r="M12061" s="9" t="s">
        <v>19</v>
      </c>
      <c r="N12061" s="9" t="s">
        <v>20</v>
      </c>
      <c r="O12061" s="6" t="str">
        <f>HYPERLINK("https://pbs.twimg.com/profile_images/962471262747529216/Uo8lOkRJ_normal.jpg","View")</f>
        <v>View</v>
      </c>
      <c r="P12061" s="7"/>
    </row>
    <row r="12062" spans="1:16">
      <c r="A12062" s="3">
        <v>44156.983402777776</v>
      </c>
      <c r="B12062" s="4" t="str">
        <f>HYPERLINK("https://twitter.com/petrogustavo","@petrogustavo")</f>
        <v>@petrogustavo</v>
      </c>
      <c r="C12062" s="5" t="s">
        <v>16</v>
      </c>
      <c r="D12062" s="5" t="s">
        <v>11612</v>
      </c>
      <c r="E12062" s="6" t="str">
        <f>HYPERLINK("https://twitter.com/petrogustavo/status/1330210897474752512","1330210897474752512")</f>
        <v>1330210897474752512</v>
      </c>
      <c r="F12062" s="7" t="s">
        <v>17</v>
      </c>
      <c r="G12062" s="7">
        <v>4010715</v>
      </c>
      <c r="H12062" s="7">
        <v>2467</v>
      </c>
      <c r="I12062" s="7">
        <v>43</v>
      </c>
      <c r="J12062" s="7">
        <v>145</v>
      </c>
      <c r="K12062" s="7" t="s">
        <v>18</v>
      </c>
      <c r="L12062" s="8">
        <v>39987.315405092595</v>
      </c>
      <c r="M12062" s="9" t="s">
        <v>19</v>
      </c>
      <c r="N12062" s="9" t="s">
        <v>20</v>
      </c>
      <c r="O12062" s="6" t="str">
        <f>HYPERLINK("https://pbs.twimg.com/profile_images/962471262747529216/Uo8lOkRJ_normal.jpg","View")</f>
        <v>View</v>
      </c>
      <c r="P12062" s="7"/>
    </row>
    <row r="12063" spans="1:16">
      <c r="A12063" s="3">
        <v>44156.984895833331</v>
      </c>
      <c r="B12063" s="4" t="str">
        <f>HYPERLINK("https://twitter.com/petrogustavo","@petrogustavo")</f>
        <v>@petrogustavo</v>
      </c>
      <c r="C12063" s="5" t="s">
        <v>16</v>
      </c>
      <c r="D12063" s="5" t="s">
        <v>11613</v>
      </c>
      <c r="E12063" s="6" t="str">
        <f>HYPERLINK("https://twitter.com/petrogustavo/status/1330211437625667593","1330211437625667593")</f>
        <v>1330211437625667593</v>
      </c>
      <c r="F12063" s="7" t="s">
        <v>17</v>
      </c>
      <c r="G12063" s="7">
        <v>4010715</v>
      </c>
      <c r="H12063" s="7">
        <v>2467</v>
      </c>
      <c r="I12063" s="7">
        <v>19</v>
      </c>
      <c r="J12063" s="7">
        <v>81</v>
      </c>
      <c r="K12063" s="7" t="s">
        <v>18</v>
      </c>
      <c r="L12063" s="8">
        <v>39987.315405092595</v>
      </c>
      <c r="M12063" s="9" t="s">
        <v>19</v>
      </c>
      <c r="N12063" s="9" t="s">
        <v>20</v>
      </c>
      <c r="O12063" s="6" t="str">
        <f>HYPERLINK("https://pbs.twimg.com/profile_images/962471262747529216/Uo8lOkRJ_normal.jpg","View")</f>
        <v>View</v>
      </c>
      <c r="P12063" s="7"/>
    </row>
    <row r="12064" spans="1:16">
      <c r="A12064" s="3">
        <v>44156.98715277778</v>
      </c>
      <c r="B12064" s="4" t="str">
        <f>HYPERLINK("https://twitter.com/petrogustavo","@petrogustavo")</f>
        <v>@petrogustavo</v>
      </c>
      <c r="C12064" s="5" t="s">
        <v>16</v>
      </c>
      <c r="D12064" s="5" t="s">
        <v>11614</v>
      </c>
      <c r="E12064" s="6" t="str">
        <f>HYPERLINK("https://twitter.com/petrogustavo/status/1330212256542560260","1330212256542560260")</f>
        <v>1330212256542560260</v>
      </c>
      <c r="F12064" s="7" t="s">
        <v>17</v>
      </c>
      <c r="G12064" s="7">
        <v>4010715</v>
      </c>
      <c r="H12064" s="7">
        <v>2467</v>
      </c>
      <c r="I12064" s="7">
        <v>13</v>
      </c>
      <c r="J12064" s="7">
        <v>64</v>
      </c>
      <c r="K12064" s="7" t="s">
        <v>18</v>
      </c>
      <c r="L12064" s="8">
        <v>39987.315405092595</v>
      </c>
      <c r="M12064" s="9" t="s">
        <v>19</v>
      </c>
      <c r="N12064" s="9" t="s">
        <v>20</v>
      </c>
      <c r="O12064" s="6" t="str">
        <f>HYPERLINK("https://pbs.twimg.com/profile_images/962471262747529216/Uo8lOkRJ_normal.jpg","View")</f>
        <v>View</v>
      </c>
      <c r="P12064" s="7"/>
    </row>
    <row r="12065" spans="1:16">
      <c r="A12065" s="3">
        <v>44157.000567129631</v>
      </c>
      <c r="B12065" s="4" t="str">
        <f>HYPERLINK("https://twitter.com/petrogustavo","@petrogustavo")</f>
        <v>@petrogustavo</v>
      </c>
      <c r="C12065" s="5" t="s">
        <v>16</v>
      </c>
      <c r="D12065" s="5" t="s">
        <v>11615</v>
      </c>
      <c r="E12065" s="6" t="str">
        <f>HYPERLINK("https://twitter.com/petrogustavo/status/1330217116922949632","1330217116922949632")</f>
        <v>1330217116922949632</v>
      </c>
      <c r="F12065" s="7" t="s">
        <v>17</v>
      </c>
      <c r="G12065" s="7">
        <v>4010730</v>
      </c>
      <c r="H12065" s="7">
        <v>2467</v>
      </c>
      <c r="I12065" s="7">
        <v>23</v>
      </c>
      <c r="J12065" s="7">
        <v>83</v>
      </c>
      <c r="K12065" s="7" t="s">
        <v>18</v>
      </c>
      <c r="L12065" s="8">
        <v>39987.315405092595</v>
      </c>
      <c r="M12065" s="9" t="s">
        <v>19</v>
      </c>
      <c r="N12065" s="9" t="s">
        <v>20</v>
      </c>
      <c r="O12065" s="6" t="str">
        <f>HYPERLINK("https://pbs.twimg.com/profile_images/962471262747529216/Uo8lOkRJ_normal.jpg","View")</f>
        <v>View</v>
      </c>
      <c r="P12065" s="7"/>
    </row>
    <row r="12066" spans="1:16">
      <c r="A12066" s="3">
        <v>44157.004178240742</v>
      </c>
      <c r="B12066" s="4" t="str">
        <f>HYPERLINK("https://twitter.com/petrogustavo","@petrogustavo")</f>
        <v>@petrogustavo</v>
      </c>
      <c r="C12066" s="5" t="s">
        <v>16</v>
      </c>
      <c r="D12066" s="5" t="s">
        <v>11616</v>
      </c>
      <c r="E12066" s="6" t="str">
        <f>HYPERLINK("https://twitter.com/petrogustavo/status/1330218424040120321","1330218424040120321")</f>
        <v>1330218424040120321</v>
      </c>
      <c r="F12066" s="7" t="s">
        <v>17</v>
      </c>
      <c r="G12066" s="7">
        <v>4010730</v>
      </c>
      <c r="H12066" s="7">
        <v>2467</v>
      </c>
      <c r="I12066" s="7">
        <v>10</v>
      </c>
      <c r="J12066" s="7">
        <v>42</v>
      </c>
      <c r="K12066" s="7" t="s">
        <v>18</v>
      </c>
      <c r="L12066" s="8">
        <v>39987.315405092595</v>
      </c>
      <c r="M12066" s="9" t="s">
        <v>19</v>
      </c>
      <c r="N12066" s="9" t="s">
        <v>20</v>
      </c>
      <c r="O12066" s="6" t="str">
        <f>HYPERLINK("https://pbs.twimg.com/profile_images/962471262747529216/Uo8lOkRJ_normal.jpg","View")</f>
        <v>View</v>
      </c>
      <c r="P12066" s="7"/>
    </row>
    <row r="12067" spans="1:16">
      <c r="A12067" s="3">
        <v>44157.005474537036</v>
      </c>
      <c r="B12067" s="4" t="str">
        <f>HYPERLINK("https://twitter.com/petrogustavo","@petrogustavo")</f>
        <v>@petrogustavo</v>
      </c>
      <c r="C12067" s="5" t="s">
        <v>16</v>
      </c>
      <c r="D12067" s="5" t="s">
        <v>11617</v>
      </c>
      <c r="E12067" s="6" t="str">
        <f>HYPERLINK("https://twitter.com/petrogustavo/status/1330218894351593483","1330218894351593483")</f>
        <v>1330218894351593483</v>
      </c>
      <c r="F12067" s="7" t="s">
        <v>17</v>
      </c>
      <c r="G12067" s="7">
        <v>4010730</v>
      </c>
      <c r="H12067" s="7">
        <v>2467</v>
      </c>
      <c r="I12067" s="7">
        <v>5</v>
      </c>
      <c r="J12067" s="7">
        <v>41</v>
      </c>
      <c r="K12067" s="7" t="s">
        <v>18</v>
      </c>
      <c r="L12067" s="8">
        <v>39987.315405092595</v>
      </c>
      <c r="M12067" s="9" t="s">
        <v>19</v>
      </c>
      <c r="N12067" s="9" t="s">
        <v>20</v>
      </c>
      <c r="O12067" s="6" t="str">
        <f>HYPERLINK("https://pbs.twimg.com/profile_images/962471262747529216/Uo8lOkRJ_normal.jpg","View")</f>
        <v>View</v>
      </c>
      <c r="P12067" s="7"/>
    </row>
    <row r="12068" spans="1:16">
      <c r="A12068" s="3">
        <v>44157.008217592593</v>
      </c>
      <c r="B12068" s="4" t="str">
        <f>HYPERLINK("https://twitter.com/petrogustavo","@petrogustavo")</f>
        <v>@petrogustavo</v>
      </c>
      <c r="C12068" s="5" t="s">
        <v>16</v>
      </c>
      <c r="D12068" s="5" t="s">
        <v>11618</v>
      </c>
      <c r="E12068" s="6" t="str">
        <f>HYPERLINK("https://twitter.com/petrogustavo/status/1330219890586882050","1330219890586882050")</f>
        <v>1330219890586882050</v>
      </c>
      <c r="F12068" s="7" t="s">
        <v>17</v>
      </c>
      <c r="G12068" s="7">
        <v>4010730</v>
      </c>
      <c r="H12068" s="7">
        <v>2467</v>
      </c>
      <c r="I12068" s="7">
        <v>13</v>
      </c>
      <c r="J12068" s="7">
        <v>51</v>
      </c>
      <c r="K12068" s="7" t="s">
        <v>18</v>
      </c>
      <c r="L12068" s="8">
        <v>39987.315405092595</v>
      </c>
      <c r="M12068" s="9" t="s">
        <v>19</v>
      </c>
      <c r="N12068" s="9" t="s">
        <v>20</v>
      </c>
      <c r="O12068" s="6" t="str">
        <f>HYPERLINK("https://pbs.twimg.com/profile_images/962471262747529216/Uo8lOkRJ_normal.jpg","View")</f>
        <v>View</v>
      </c>
      <c r="P12068" s="7"/>
    </row>
    <row r="12069" spans="1:16">
      <c r="A12069" s="3">
        <v>44157.009502314817</v>
      </c>
      <c r="B12069" s="4" t="str">
        <f>HYPERLINK("https://twitter.com/petrogustavo","@petrogustavo")</f>
        <v>@petrogustavo</v>
      </c>
      <c r="C12069" s="5" t="s">
        <v>16</v>
      </c>
      <c r="D12069" s="5" t="s">
        <v>11619</v>
      </c>
      <c r="E12069" s="6" t="str">
        <f>HYPERLINK("https://twitter.com/petrogustavo/status/1330220354749468673","1330220354749468673")</f>
        <v>1330220354749468673</v>
      </c>
      <c r="F12069" s="7" t="s">
        <v>17</v>
      </c>
      <c r="G12069" s="7">
        <v>4010730</v>
      </c>
      <c r="H12069" s="7">
        <v>2467</v>
      </c>
      <c r="I12069" s="7">
        <v>7</v>
      </c>
      <c r="J12069" s="7">
        <v>26</v>
      </c>
      <c r="K12069" s="7" t="s">
        <v>18</v>
      </c>
      <c r="L12069" s="8">
        <v>39987.315405092595</v>
      </c>
      <c r="M12069" s="9" t="s">
        <v>19</v>
      </c>
      <c r="N12069" s="9" t="s">
        <v>20</v>
      </c>
      <c r="O12069" s="6" t="str">
        <f>HYPERLINK("https://pbs.twimg.com/profile_images/962471262747529216/Uo8lOkRJ_normal.jpg","View")</f>
        <v>View</v>
      </c>
      <c r="P12069" s="7"/>
    </row>
    <row r="12070" spans="1:16">
      <c r="A12070" s="3">
        <v>44157.011932870373</v>
      </c>
      <c r="B12070" s="4" t="str">
        <f>HYPERLINK("https://twitter.com/petrogustavo","@petrogustavo")</f>
        <v>@petrogustavo</v>
      </c>
      <c r="C12070" s="5" t="s">
        <v>16</v>
      </c>
      <c r="D12070" s="5" t="s">
        <v>11620</v>
      </c>
      <c r="E12070" s="6" t="str">
        <f>HYPERLINK("https://twitter.com/petrogustavo/status/1330221235192655872","1330221235192655872")</f>
        <v>1330221235192655872</v>
      </c>
      <c r="F12070" s="7" t="s">
        <v>17</v>
      </c>
      <c r="G12070" s="7">
        <v>4010730</v>
      </c>
      <c r="H12070" s="7">
        <v>2467</v>
      </c>
      <c r="I12070" s="7">
        <v>2</v>
      </c>
      <c r="J12070" s="7">
        <v>6</v>
      </c>
      <c r="K12070" s="7" t="s">
        <v>18</v>
      </c>
      <c r="L12070" s="8">
        <v>39987.315405092595</v>
      </c>
      <c r="M12070" s="9" t="s">
        <v>19</v>
      </c>
      <c r="N12070" s="9" t="s">
        <v>20</v>
      </c>
      <c r="O12070" s="6" t="str">
        <f>HYPERLINK("https://pbs.twimg.com/profile_images/962471262747529216/Uo8lOkRJ_normal.jpg","View")</f>
        <v>View</v>
      </c>
      <c r="P12070" s="7"/>
    </row>
    <row r="12071" spans="1:16">
      <c r="A12071" s="3">
        <v>44157.01394675926</v>
      </c>
      <c r="B12071" s="4" t="str">
        <f>HYPERLINK("https://twitter.com/petrogustavo","@petrogustavo")</f>
        <v>@petrogustavo</v>
      </c>
      <c r="C12071" s="5" t="s">
        <v>16</v>
      </c>
      <c r="D12071" s="5" t="s">
        <v>11621</v>
      </c>
      <c r="E12071" s="6" t="str">
        <f>HYPERLINK("https://twitter.com/petrogustavo/status/1330221963361607680","1330221963361607680")</f>
        <v>1330221963361607680</v>
      </c>
      <c r="F12071" s="7" t="s">
        <v>17</v>
      </c>
      <c r="G12071" s="7">
        <v>4010733</v>
      </c>
      <c r="H12071" s="7">
        <v>2467</v>
      </c>
      <c r="I12071" s="7">
        <v>38</v>
      </c>
      <c r="J12071" s="7">
        <v>79</v>
      </c>
      <c r="K12071" s="7" t="s">
        <v>18</v>
      </c>
      <c r="L12071" s="8">
        <v>39987.315405092595</v>
      </c>
      <c r="M12071" s="9" t="s">
        <v>19</v>
      </c>
      <c r="N12071" s="9" t="s">
        <v>20</v>
      </c>
      <c r="O12071" s="6" t="str">
        <f>HYPERLINK("https://pbs.twimg.com/profile_images/962471262747529216/Uo8lOkRJ_normal.jpg","View")</f>
        <v>View</v>
      </c>
      <c r="P12071" s="7"/>
    </row>
    <row r="12072" spans="1:16">
      <c r="A12072" s="3">
        <v>44157.021238425921</v>
      </c>
      <c r="B12072" s="4" t="str">
        <f>HYPERLINK("https://twitter.com/petrogustavo","@petrogustavo")</f>
        <v>@petrogustavo</v>
      </c>
      <c r="C12072" s="5" t="s">
        <v>16</v>
      </c>
      <c r="D12072" s="5" t="s">
        <v>11622</v>
      </c>
      <c r="E12072" s="6" t="str">
        <f>HYPERLINK("https://twitter.com/petrogustavo/status/1330224609740926991","1330224609740926991")</f>
        <v>1330224609740926991</v>
      </c>
      <c r="F12072" s="7" t="s">
        <v>17</v>
      </c>
      <c r="G12072" s="7">
        <v>4010733</v>
      </c>
      <c r="H12072" s="7">
        <v>2467</v>
      </c>
      <c r="I12072" s="7">
        <v>39</v>
      </c>
      <c r="J12072" s="7">
        <v>77</v>
      </c>
      <c r="K12072" s="7" t="s">
        <v>18</v>
      </c>
      <c r="L12072" s="8">
        <v>39987.315405092595</v>
      </c>
      <c r="M12072" s="9" t="s">
        <v>19</v>
      </c>
      <c r="N12072" s="9" t="s">
        <v>20</v>
      </c>
      <c r="O12072" s="6" t="str">
        <f>HYPERLINK("https://pbs.twimg.com/profile_images/962471262747529216/Uo8lOkRJ_normal.jpg","View")</f>
        <v>View</v>
      </c>
      <c r="P12072" s="7"/>
    </row>
    <row r="12073" spans="1:16">
      <c r="A12073" s="3">
        <v>44157.02815972222</v>
      </c>
      <c r="B12073" s="4" t="str">
        <f>HYPERLINK("https://twitter.com/petrogustavo","@petrogustavo")</f>
        <v>@petrogustavo</v>
      </c>
      <c r="C12073" s="5" t="s">
        <v>16</v>
      </c>
      <c r="D12073" s="5" t="s">
        <v>11623</v>
      </c>
      <c r="E12073" s="6" t="str">
        <f>HYPERLINK("https://twitter.com/petrogustavo/status/1330227117544656898","1330227117544656898")</f>
        <v>1330227117544656898</v>
      </c>
      <c r="F12073" s="7" t="s">
        <v>17</v>
      </c>
      <c r="G12073" s="7">
        <v>4010733</v>
      </c>
      <c r="H12073" s="7">
        <v>2467</v>
      </c>
      <c r="I12073" s="7">
        <v>66</v>
      </c>
      <c r="J12073" s="7">
        <v>186</v>
      </c>
      <c r="K12073" s="7" t="s">
        <v>18</v>
      </c>
      <c r="L12073" s="8">
        <v>39987.315405092595</v>
      </c>
      <c r="M12073" s="9" t="s">
        <v>19</v>
      </c>
      <c r="N12073" s="9" t="s">
        <v>20</v>
      </c>
      <c r="O12073" s="6" t="str">
        <f>HYPERLINK("https://pbs.twimg.com/profile_images/962471262747529216/Uo8lOkRJ_normal.jpg","View")</f>
        <v>View</v>
      </c>
      <c r="P12073" s="7"/>
    </row>
    <row r="12074" spans="1:16">
      <c r="A12074" s="3">
        <v>44157.091238425928</v>
      </c>
      <c r="B12074" s="4" t="str">
        <f>HYPERLINK("https://twitter.com/petrogustavo","@petrogustavo")</f>
        <v>@petrogustavo</v>
      </c>
      <c r="C12074" s="5" t="s">
        <v>16</v>
      </c>
      <c r="D12074" s="5" t="s">
        <v>11624</v>
      </c>
      <c r="E12074" s="6" t="str">
        <f>HYPERLINK("https://twitter.com/petrogustavo/status/1330249974014238720","1330249974014238720")</f>
        <v>1330249974014238720</v>
      </c>
      <c r="F12074" s="7" t="s">
        <v>17</v>
      </c>
      <c r="G12074" s="7">
        <v>4010763</v>
      </c>
      <c r="H12074" s="7">
        <v>2467</v>
      </c>
      <c r="I12074" s="7">
        <v>181</v>
      </c>
      <c r="J12074" s="7">
        <v>0</v>
      </c>
      <c r="K12074" s="7" t="s">
        <v>18</v>
      </c>
      <c r="L12074" s="8">
        <v>39987.315405092595</v>
      </c>
      <c r="M12074" s="9" t="s">
        <v>19</v>
      </c>
      <c r="N12074" s="9" t="s">
        <v>20</v>
      </c>
      <c r="O12074" s="6" t="str">
        <f>HYPERLINK("https://pbs.twimg.com/profile_images/962471262747529216/Uo8lOkRJ_normal.jpg","View")</f>
        <v>View</v>
      </c>
      <c r="P12074" s="7"/>
    </row>
    <row r="12075" spans="1:16">
      <c r="A12075" s="3">
        <v>44157.093530092592</v>
      </c>
      <c r="B12075" s="4" t="str">
        <f>HYPERLINK("https://twitter.com/petrogustavo","@petrogustavo")</f>
        <v>@petrogustavo</v>
      </c>
      <c r="C12075" s="5" t="s">
        <v>16</v>
      </c>
      <c r="D12075" s="5" t="s">
        <v>11625</v>
      </c>
      <c r="E12075" s="6" t="str">
        <f>HYPERLINK("https://twitter.com/petrogustavo/status/1330250806986203138","1330250806986203138")</f>
        <v>1330250806986203138</v>
      </c>
      <c r="F12075" s="7" t="s">
        <v>17</v>
      </c>
      <c r="G12075" s="7">
        <v>4010763</v>
      </c>
      <c r="H12075" s="7">
        <v>2467</v>
      </c>
      <c r="I12075" s="7">
        <v>289</v>
      </c>
      <c r="J12075" s="7">
        <v>0</v>
      </c>
      <c r="K12075" s="7" t="s">
        <v>18</v>
      </c>
      <c r="L12075" s="8">
        <v>39987.315405092595</v>
      </c>
      <c r="M12075" s="9" t="s">
        <v>19</v>
      </c>
      <c r="N12075" s="9" t="s">
        <v>20</v>
      </c>
      <c r="O12075" s="6" t="str">
        <f>HYPERLINK("https://pbs.twimg.com/profile_images/962471262747529216/Uo8lOkRJ_normal.jpg","View")</f>
        <v>View</v>
      </c>
      <c r="P12075" s="7"/>
    </row>
    <row r="12076" spans="1:16">
      <c r="A12076" s="3">
        <v>44157.096412037034</v>
      </c>
      <c r="B12076" s="4" t="str">
        <f>HYPERLINK("https://twitter.com/petrogustavo","@petrogustavo")</f>
        <v>@petrogustavo</v>
      </c>
      <c r="C12076" s="5" t="s">
        <v>16</v>
      </c>
      <c r="D12076" s="5" t="s">
        <v>11626</v>
      </c>
      <c r="E12076" s="6" t="str">
        <f>HYPERLINK("https://twitter.com/petrogustavo/status/1330251851413983232","1330251851413983232")</f>
        <v>1330251851413983232</v>
      </c>
      <c r="F12076" s="7" t="s">
        <v>17</v>
      </c>
      <c r="G12076" s="7">
        <v>4010769</v>
      </c>
      <c r="H12076" s="7">
        <v>2467</v>
      </c>
      <c r="I12076" s="7">
        <v>155</v>
      </c>
      <c r="J12076" s="7">
        <v>726</v>
      </c>
      <c r="K12076" s="7" t="s">
        <v>18</v>
      </c>
      <c r="L12076" s="8">
        <v>39987.315405092595</v>
      </c>
      <c r="M12076" s="9" t="s">
        <v>19</v>
      </c>
      <c r="N12076" s="9" t="s">
        <v>20</v>
      </c>
      <c r="O12076" s="6" t="str">
        <f>HYPERLINK("https://pbs.twimg.com/profile_images/962471262747529216/Uo8lOkRJ_normal.jpg","View")</f>
        <v>View</v>
      </c>
      <c r="P12076" s="7"/>
    </row>
    <row r="12077" spans="1:16">
      <c r="A12077" s="3">
        <v>44157.099618055552</v>
      </c>
      <c r="B12077" s="4" t="str">
        <f>HYPERLINK("https://twitter.com/petrogustavo","@petrogustavo")</f>
        <v>@petrogustavo</v>
      </c>
      <c r="C12077" s="5" t="s">
        <v>16</v>
      </c>
      <c r="D12077" s="5" t="s">
        <v>11627</v>
      </c>
      <c r="E12077" s="6" t="str">
        <f>HYPERLINK("https://twitter.com/petrogustavo/status/1330253009633341441","1330253009633341441")</f>
        <v>1330253009633341441</v>
      </c>
      <c r="F12077" s="7" t="s">
        <v>17</v>
      </c>
      <c r="G12077" s="7">
        <v>4010769</v>
      </c>
      <c r="H12077" s="7">
        <v>2467</v>
      </c>
      <c r="I12077" s="7">
        <v>84</v>
      </c>
      <c r="J12077" s="7">
        <v>238</v>
      </c>
      <c r="K12077" s="7" t="s">
        <v>18</v>
      </c>
      <c r="L12077" s="8">
        <v>39987.315405092595</v>
      </c>
      <c r="M12077" s="9" t="s">
        <v>19</v>
      </c>
      <c r="N12077" s="9" t="s">
        <v>20</v>
      </c>
      <c r="O12077" s="6" t="str">
        <f>HYPERLINK("https://pbs.twimg.com/profile_images/962471262747529216/Uo8lOkRJ_normal.jpg","View")</f>
        <v>View</v>
      </c>
      <c r="P12077" s="7"/>
    </row>
    <row r="12078" spans="1:16">
      <c r="A12078" s="3">
        <v>44157.107951388884</v>
      </c>
      <c r="B12078" s="4" t="str">
        <f>HYPERLINK("https://twitter.com/petrogustavo","@petrogustavo")</f>
        <v>@petrogustavo</v>
      </c>
      <c r="C12078" s="5" t="s">
        <v>16</v>
      </c>
      <c r="D12078" s="5" t="s">
        <v>11628</v>
      </c>
      <c r="E12078" s="6" t="str">
        <f>HYPERLINK("https://twitter.com/petrogustavo/status/1330256031948083201","1330256031948083201")</f>
        <v>1330256031948083201</v>
      </c>
      <c r="F12078" s="7" t="s">
        <v>17</v>
      </c>
      <c r="G12078" s="7">
        <v>4010769</v>
      </c>
      <c r="H12078" s="7">
        <v>2467</v>
      </c>
      <c r="I12078" s="7">
        <v>26</v>
      </c>
      <c r="J12078" s="7">
        <v>111</v>
      </c>
      <c r="K12078" s="7" t="s">
        <v>18</v>
      </c>
      <c r="L12078" s="8">
        <v>39987.315405092595</v>
      </c>
      <c r="M12078" s="9" t="s">
        <v>19</v>
      </c>
      <c r="N12078" s="9" t="s">
        <v>20</v>
      </c>
      <c r="O12078" s="6" t="str">
        <f>HYPERLINK("https://pbs.twimg.com/profile_images/962471262747529216/Uo8lOkRJ_normal.jpg","View")</f>
        <v>View</v>
      </c>
      <c r="P12078" s="7"/>
    </row>
    <row r="12079" spans="1:16">
      <c r="A12079" s="3">
        <v>44157.113541666666</v>
      </c>
      <c r="B12079" s="4" t="str">
        <f>HYPERLINK("https://twitter.com/petrogustavo","@petrogustavo")</f>
        <v>@petrogustavo</v>
      </c>
      <c r="C12079" s="5" t="s">
        <v>16</v>
      </c>
      <c r="D12079" s="5" t="s">
        <v>11629</v>
      </c>
      <c r="E12079" s="6" t="str">
        <f>HYPERLINK("https://twitter.com/petrogustavo/status/1330258058400952324","1330258058400952324")</f>
        <v>1330258058400952324</v>
      </c>
      <c r="F12079" s="7" t="s">
        <v>17</v>
      </c>
      <c r="G12079" s="7">
        <v>4010769</v>
      </c>
      <c r="H12079" s="7">
        <v>2467</v>
      </c>
      <c r="I12079" s="7">
        <v>103</v>
      </c>
      <c r="J12079" s="7">
        <v>0</v>
      </c>
      <c r="K12079" s="7" t="s">
        <v>18</v>
      </c>
      <c r="L12079" s="8">
        <v>39987.315405092595</v>
      </c>
      <c r="M12079" s="9" t="s">
        <v>19</v>
      </c>
      <c r="N12079" s="9" t="s">
        <v>20</v>
      </c>
      <c r="O12079" s="6" t="str">
        <f>HYPERLINK("https://pbs.twimg.com/profile_images/962471262747529216/Uo8lOkRJ_normal.jpg","View")</f>
        <v>View</v>
      </c>
      <c r="P12079" s="7"/>
    </row>
    <row r="12080" spans="1:16">
      <c r="A12080" s="3">
        <v>44157.115115740744</v>
      </c>
      <c r="B12080" s="4" t="str">
        <f>HYPERLINK("https://twitter.com/petrogustavo","@petrogustavo")</f>
        <v>@petrogustavo</v>
      </c>
      <c r="C12080" s="5" t="s">
        <v>16</v>
      </c>
      <c r="D12080" s="5" t="s">
        <v>11630</v>
      </c>
      <c r="E12080" s="6" t="str">
        <f>HYPERLINK("https://twitter.com/petrogustavo/status/1330258629455458309","1330258629455458309")</f>
        <v>1330258629455458309</v>
      </c>
      <c r="F12080" s="7" t="s">
        <v>17</v>
      </c>
      <c r="G12080" s="7">
        <v>4010769</v>
      </c>
      <c r="H12080" s="7">
        <v>2467</v>
      </c>
      <c r="I12080" s="7">
        <v>5</v>
      </c>
      <c r="J12080" s="7">
        <v>28</v>
      </c>
      <c r="K12080" s="7" t="s">
        <v>18</v>
      </c>
      <c r="L12080" s="8">
        <v>39987.315405092595</v>
      </c>
      <c r="M12080" s="9" t="s">
        <v>19</v>
      </c>
      <c r="N12080" s="9" t="s">
        <v>20</v>
      </c>
      <c r="O12080" s="6" t="str">
        <f>HYPERLINK("https://pbs.twimg.com/profile_images/962471262747529216/Uo8lOkRJ_normal.jpg","View")</f>
        <v>View</v>
      </c>
      <c r="P12080" s="7"/>
    </row>
    <row r="12081" spans="1:16">
      <c r="A12081" s="3">
        <v>44157.122083333335</v>
      </c>
      <c r="B12081" s="4" t="str">
        <f>HYPERLINK("https://twitter.com/petrogustavo","@petrogustavo")</f>
        <v>@petrogustavo</v>
      </c>
      <c r="C12081" s="5" t="s">
        <v>16</v>
      </c>
      <c r="D12081" s="5" t="s">
        <v>11631</v>
      </c>
      <c r="E12081" s="6" t="str">
        <f>HYPERLINK("https://twitter.com/petrogustavo/status/1330261152731947011","1330261152731947011")</f>
        <v>1330261152731947011</v>
      </c>
      <c r="F12081" s="7" t="s">
        <v>17</v>
      </c>
      <c r="G12081" s="7">
        <v>4010779</v>
      </c>
      <c r="H12081" s="7">
        <v>2468</v>
      </c>
      <c r="I12081" s="7">
        <v>48</v>
      </c>
      <c r="J12081" s="7">
        <v>192</v>
      </c>
      <c r="K12081" s="7" t="s">
        <v>18</v>
      </c>
      <c r="L12081" s="8">
        <v>39987.315405092595</v>
      </c>
      <c r="M12081" s="9" t="s">
        <v>19</v>
      </c>
      <c r="N12081" s="9" t="s">
        <v>20</v>
      </c>
      <c r="O12081" s="6" t="str">
        <f>HYPERLINK("https://pbs.twimg.com/profile_images/962471262747529216/Uo8lOkRJ_normal.jpg","View")</f>
        <v>View</v>
      </c>
      <c r="P12081" s="7"/>
    </row>
    <row r="12082" spans="1:16">
      <c r="A12082" s="3">
        <v>44157.127326388887</v>
      </c>
      <c r="B12082" s="4" t="str">
        <f>HYPERLINK("https://twitter.com/petrogustavo","@petrogustavo")</f>
        <v>@petrogustavo</v>
      </c>
      <c r="C12082" s="5" t="s">
        <v>16</v>
      </c>
      <c r="D12082" s="5" t="s">
        <v>11632</v>
      </c>
      <c r="E12082" s="6" t="str">
        <f>HYPERLINK("https://twitter.com/petrogustavo/status/1330263052835549191","1330263052835549191")</f>
        <v>1330263052835549191</v>
      </c>
      <c r="F12082" s="7" t="s">
        <v>17</v>
      </c>
      <c r="G12082" s="7">
        <v>4010779</v>
      </c>
      <c r="H12082" s="7">
        <v>2468</v>
      </c>
      <c r="I12082" s="7">
        <v>27</v>
      </c>
      <c r="J12082" s="7">
        <v>127</v>
      </c>
      <c r="K12082" s="7" t="s">
        <v>18</v>
      </c>
      <c r="L12082" s="8">
        <v>39987.315405092595</v>
      </c>
      <c r="M12082" s="9" t="s">
        <v>19</v>
      </c>
      <c r="N12082" s="9" t="s">
        <v>20</v>
      </c>
      <c r="O12082" s="6" t="str">
        <f>HYPERLINK("https://pbs.twimg.com/profile_images/962471262747529216/Uo8lOkRJ_normal.jpg","View")</f>
        <v>View</v>
      </c>
      <c r="P12082" s="7"/>
    </row>
    <row r="12083" spans="1:16">
      <c r="A12083" s="3">
        <v>44157.12767361111</v>
      </c>
      <c r="B12083" s="4" t="str">
        <f>HYPERLINK("https://twitter.com/petrogustavo","@petrogustavo")</f>
        <v>@petrogustavo</v>
      </c>
      <c r="C12083" s="5" t="s">
        <v>16</v>
      </c>
      <c r="D12083" s="5" t="s">
        <v>11633</v>
      </c>
      <c r="E12083" s="6" t="str">
        <f>HYPERLINK("https://twitter.com/petrogustavo/status/1330263180560519172","1330263180560519172")</f>
        <v>1330263180560519172</v>
      </c>
      <c r="F12083" s="7" t="s">
        <v>17</v>
      </c>
      <c r="G12083" s="7">
        <v>4010779</v>
      </c>
      <c r="H12083" s="7">
        <v>2468</v>
      </c>
      <c r="I12083" s="7">
        <v>48</v>
      </c>
      <c r="J12083" s="7">
        <v>0</v>
      </c>
      <c r="K12083" s="7" t="s">
        <v>18</v>
      </c>
      <c r="L12083" s="8">
        <v>39987.315405092595</v>
      </c>
      <c r="M12083" s="9" t="s">
        <v>19</v>
      </c>
      <c r="N12083" s="9" t="s">
        <v>20</v>
      </c>
      <c r="O12083" s="6" t="str">
        <f>HYPERLINK("https://pbs.twimg.com/profile_images/962471262747529216/Uo8lOkRJ_normal.jpg","View")</f>
        <v>View</v>
      </c>
      <c r="P12083" s="7"/>
    </row>
    <row r="12084" spans="1:16">
      <c r="A12084" s="3">
        <v>44157.128425925926</v>
      </c>
      <c r="B12084" s="4" t="str">
        <f>HYPERLINK("https://twitter.com/petrogustavo","@petrogustavo")</f>
        <v>@petrogustavo</v>
      </c>
      <c r="C12084" s="5" t="s">
        <v>16</v>
      </c>
      <c r="D12084" s="5" t="s">
        <v>11634</v>
      </c>
      <c r="E12084" s="6" t="str">
        <f>HYPERLINK("https://twitter.com/petrogustavo/status/1330263451898351621","1330263451898351621")</f>
        <v>1330263451898351621</v>
      </c>
      <c r="F12084" s="7" t="s">
        <v>17</v>
      </c>
      <c r="G12084" s="7">
        <v>4010779</v>
      </c>
      <c r="H12084" s="7">
        <v>2468</v>
      </c>
      <c r="I12084" s="7">
        <v>128</v>
      </c>
      <c r="J12084" s="7">
        <v>0</v>
      </c>
      <c r="K12084" s="7" t="s">
        <v>18</v>
      </c>
      <c r="L12084" s="8">
        <v>39987.315405092595</v>
      </c>
      <c r="M12084" s="9" t="s">
        <v>19</v>
      </c>
      <c r="N12084" s="9" t="s">
        <v>20</v>
      </c>
      <c r="O12084" s="6" t="str">
        <f>HYPERLINK("https://pbs.twimg.com/profile_images/962471262747529216/Uo8lOkRJ_normal.jpg","View")</f>
        <v>View</v>
      </c>
      <c r="P12084" s="7"/>
    </row>
    <row r="12085" spans="1:16">
      <c r="A12085" s="3">
        <v>44157.142465277779</v>
      </c>
      <c r="B12085" s="4" t="str">
        <f>HYPERLINK("https://twitter.com/petrogustavo","@petrogustavo")</f>
        <v>@petrogustavo</v>
      </c>
      <c r="C12085" s="5" t="s">
        <v>16</v>
      </c>
      <c r="D12085" s="5" t="s">
        <v>11635</v>
      </c>
      <c r="E12085" s="6" t="str">
        <f>HYPERLINK("https://twitter.com/petrogustavo/status/1330268538649645059","1330268538649645059")</f>
        <v>1330268538649645059</v>
      </c>
      <c r="F12085" s="7" t="s">
        <v>32</v>
      </c>
      <c r="G12085" s="7">
        <v>4010784</v>
      </c>
      <c r="H12085" s="7">
        <v>2468</v>
      </c>
      <c r="I12085" s="7">
        <v>16</v>
      </c>
      <c r="J12085" s="7">
        <v>73</v>
      </c>
      <c r="K12085" s="7" t="s">
        <v>18</v>
      </c>
      <c r="L12085" s="8">
        <v>39987.315405092595</v>
      </c>
      <c r="M12085" s="9" t="s">
        <v>19</v>
      </c>
      <c r="N12085" s="9" t="s">
        <v>20</v>
      </c>
      <c r="O12085" s="6" t="str">
        <f>HYPERLINK("https://pbs.twimg.com/profile_images/962471262747529216/Uo8lOkRJ_normal.jpg","View")</f>
        <v>View</v>
      </c>
      <c r="P12085" s="7"/>
    </row>
    <row r="12086" spans="1:16">
      <c r="A12086" s="3">
        <v>44157.835127314815</v>
      </c>
      <c r="B12086" s="4" t="str">
        <f>HYPERLINK("https://twitter.com/petrogustavo","@petrogustavo")</f>
        <v>@petrogustavo</v>
      </c>
      <c r="C12086" s="5" t="s">
        <v>16</v>
      </c>
      <c r="D12086" s="5" t="s">
        <v>11636</v>
      </c>
      <c r="E12086" s="6" t="str">
        <f>HYPERLINK("https://twitter.com/petrogustavo/status/1330519551398862849","1330519551398862849")</f>
        <v>1330519551398862849</v>
      </c>
      <c r="F12086" s="7" t="s">
        <v>17</v>
      </c>
      <c r="G12086" s="7">
        <v>4011047</v>
      </c>
      <c r="H12086" s="7">
        <v>2467</v>
      </c>
      <c r="I12086" s="7">
        <v>141</v>
      </c>
      <c r="J12086" s="7">
        <v>283</v>
      </c>
      <c r="K12086" s="7" t="s">
        <v>18</v>
      </c>
      <c r="L12086" s="8">
        <v>39987.315405092595</v>
      </c>
      <c r="M12086" s="9" t="s">
        <v>19</v>
      </c>
      <c r="N12086" s="9" t="s">
        <v>20</v>
      </c>
      <c r="O12086" s="6" t="str">
        <f>HYPERLINK("https://pbs.twimg.com/profile_images/962471262747529216/Uo8lOkRJ_normal.jpg","View")</f>
        <v>View</v>
      </c>
      <c r="P12086" s="7"/>
    </row>
    <row r="12087" spans="1:16">
      <c r="A12087" s="3">
        <v>44157.876898148148</v>
      </c>
      <c r="B12087" s="4" t="str">
        <f>HYPERLINK("https://twitter.com/petrogustavo","@petrogustavo")</f>
        <v>@petrogustavo</v>
      </c>
      <c r="C12087" s="5" t="s">
        <v>16</v>
      </c>
      <c r="D12087" s="5" t="s">
        <v>11637</v>
      </c>
      <c r="E12087" s="6" t="str">
        <f>HYPERLINK("https://twitter.com/petrogustavo/status/1330534688759410695","1330534688759410695")</f>
        <v>1330534688759410695</v>
      </c>
      <c r="F12087" s="7" t="s">
        <v>17</v>
      </c>
      <c r="G12087" s="7">
        <v>4011085</v>
      </c>
      <c r="H12087" s="7">
        <v>2467</v>
      </c>
      <c r="I12087" s="7">
        <v>26</v>
      </c>
      <c r="J12087" s="7">
        <v>119</v>
      </c>
      <c r="K12087" s="7" t="s">
        <v>18</v>
      </c>
      <c r="L12087" s="8">
        <v>39987.315405092595</v>
      </c>
      <c r="M12087" s="9" t="s">
        <v>19</v>
      </c>
      <c r="N12087" s="9" t="s">
        <v>20</v>
      </c>
      <c r="O12087" s="6" t="str">
        <f>HYPERLINK("https://pbs.twimg.com/profile_images/962471262747529216/Uo8lOkRJ_normal.jpg","View")</f>
        <v>View</v>
      </c>
      <c r="P12087" s="7"/>
    </row>
    <row r="12088" spans="1:16">
      <c r="A12088" s="3">
        <v>44157.887800925921</v>
      </c>
      <c r="B12088" s="4" t="str">
        <f>HYPERLINK("https://twitter.com/petrogustavo","@petrogustavo")</f>
        <v>@petrogustavo</v>
      </c>
      <c r="C12088" s="5" t="s">
        <v>16</v>
      </c>
      <c r="D12088" s="5" t="s">
        <v>11638</v>
      </c>
      <c r="E12088" s="6" t="str">
        <f>HYPERLINK("https://twitter.com/petrogustavo/status/1330538641161154561","1330538641161154561")</f>
        <v>1330538641161154561</v>
      </c>
      <c r="F12088" s="7" t="s">
        <v>17</v>
      </c>
      <c r="G12088" s="7">
        <v>4011103</v>
      </c>
      <c r="H12088" s="7">
        <v>2467</v>
      </c>
      <c r="I12088" s="7">
        <v>72</v>
      </c>
      <c r="J12088" s="7">
        <v>275</v>
      </c>
      <c r="K12088" s="7" t="s">
        <v>18</v>
      </c>
      <c r="L12088" s="8">
        <v>39987.315405092595</v>
      </c>
      <c r="M12088" s="9" t="s">
        <v>19</v>
      </c>
      <c r="N12088" s="9" t="s">
        <v>20</v>
      </c>
      <c r="O12088" s="6" t="str">
        <f>HYPERLINK("https://pbs.twimg.com/profile_images/962471262747529216/Uo8lOkRJ_normal.jpg","View")</f>
        <v>View</v>
      </c>
      <c r="P12088" s="7"/>
    </row>
    <row r="12089" spans="1:16">
      <c r="A12089" s="3">
        <v>44157.929039351853</v>
      </c>
      <c r="B12089" s="4" t="str">
        <f>HYPERLINK("https://twitter.com/petrogustavo","@petrogustavo")</f>
        <v>@petrogustavo</v>
      </c>
      <c r="C12089" s="5" t="s">
        <v>16</v>
      </c>
      <c r="D12089" s="5" t="s">
        <v>11639</v>
      </c>
      <c r="E12089" s="6" t="str">
        <f>HYPERLINK("https://twitter.com/petrogustavo/status/1330553582937104393","1330553582937104393")</f>
        <v>1330553582937104393</v>
      </c>
      <c r="F12089" s="7" t="s">
        <v>17</v>
      </c>
      <c r="G12089" s="7">
        <v>4011135</v>
      </c>
      <c r="H12089" s="7">
        <v>2467</v>
      </c>
      <c r="I12089" s="7">
        <v>61</v>
      </c>
      <c r="J12089" s="7">
        <v>344</v>
      </c>
      <c r="K12089" s="7" t="s">
        <v>18</v>
      </c>
      <c r="L12089" s="8">
        <v>39987.315405092595</v>
      </c>
      <c r="M12089" s="9" t="s">
        <v>19</v>
      </c>
      <c r="N12089" s="9" t="s">
        <v>20</v>
      </c>
      <c r="O12089" s="6" t="str">
        <f>HYPERLINK("https://pbs.twimg.com/profile_images/962471262747529216/Uo8lOkRJ_normal.jpg","View")</f>
        <v>View</v>
      </c>
      <c r="P12089" s="7"/>
    </row>
    <row r="12090" spans="1:16">
      <c r="A12090" s="3">
        <v>44157.958472222221</v>
      </c>
      <c r="B12090" s="4" t="str">
        <f>HYPERLINK("https://twitter.com/petrogustavo","@petrogustavo")</f>
        <v>@petrogustavo</v>
      </c>
      <c r="C12090" s="5" t="s">
        <v>16</v>
      </c>
      <c r="D12090" s="5" t="s">
        <v>11640</v>
      </c>
      <c r="E12090" s="6" t="str">
        <f>HYPERLINK("https://twitter.com/petrogustavo/status/1330564250713133057","1330564250713133057")</f>
        <v>1330564250713133057</v>
      </c>
      <c r="F12090" s="7" t="s">
        <v>17</v>
      </c>
      <c r="G12090" s="7">
        <v>4011148</v>
      </c>
      <c r="H12090" s="7">
        <v>2467</v>
      </c>
      <c r="I12090" s="7">
        <v>49</v>
      </c>
      <c r="J12090" s="7">
        <v>132</v>
      </c>
      <c r="K12090" s="7" t="s">
        <v>18</v>
      </c>
      <c r="L12090" s="8">
        <v>39987.315405092595</v>
      </c>
      <c r="M12090" s="9" t="s">
        <v>19</v>
      </c>
      <c r="N12090" s="9" t="s">
        <v>20</v>
      </c>
      <c r="O12090" s="6" t="str">
        <f>HYPERLINK("https://pbs.twimg.com/profile_images/962471262747529216/Uo8lOkRJ_normal.jpg","View")</f>
        <v>View</v>
      </c>
      <c r="P12090" s="7"/>
    </row>
    <row r="12091" spans="1:16">
      <c r="A12091" s="3">
        <v>44157.973194444443</v>
      </c>
      <c r="B12091" s="4" t="str">
        <f>HYPERLINK("https://twitter.com/petrogustavo","@petrogustavo")</f>
        <v>@petrogustavo</v>
      </c>
      <c r="C12091" s="5" t="s">
        <v>16</v>
      </c>
      <c r="D12091" s="5" t="s">
        <v>11641</v>
      </c>
      <c r="E12091" s="6" t="str">
        <f>HYPERLINK("https://twitter.com/petrogustavo/status/1330569584781496322","1330569584781496322")</f>
        <v>1330569584781496322</v>
      </c>
      <c r="F12091" s="7" t="s">
        <v>17</v>
      </c>
      <c r="G12091" s="7">
        <v>4011161</v>
      </c>
      <c r="H12091" s="7">
        <v>2467</v>
      </c>
      <c r="I12091" s="7">
        <v>143</v>
      </c>
      <c r="J12091" s="7">
        <v>286</v>
      </c>
      <c r="K12091" s="7" t="s">
        <v>18</v>
      </c>
      <c r="L12091" s="8">
        <v>39987.315405092595</v>
      </c>
      <c r="M12091" s="9" t="s">
        <v>19</v>
      </c>
      <c r="N12091" s="9" t="s">
        <v>20</v>
      </c>
      <c r="O12091" s="6" t="str">
        <f>HYPERLINK("https://pbs.twimg.com/profile_images/962471262747529216/Uo8lOkRJ_normal.jpg","View")</f>
        <v>View</v>
      </c>
      <c r="P12091" s="7"/>
    </row>
    <row r="12092" spans="1:16">
      <c r="A12092" s="3">
        <v>44157.975081018521</v>
      </c>
      <c r="B12092" s="4" t="str">
        <f>HYPERLINK("https://twitter.com/petrogustavo","@petrogustavo")</f>
        <v>@petrogustavo</v>
      </c>
      <c r="C12092" s="5" t="s">
        <v>16</v>
      </c>
      <c r="D12092" s="5" t="s">
        <v>11642</v>
      </c>
      <c r="E12092" s="6" t="str">
        <f>HYPERLINK("https://twitter.com/petrogustavo/status/1330570268583006208","1330570268583006208")</f>
        <v>1330570268583006208</v>
      </c>
      <c r="F12092" s="7" t="s">
        <v>17</v>
      </c>
      <c r="G12092" s="7">
        <v>4011161</v>
      </c>
      <c r="H12092" s="7">
        <v>2467</v>
      </c>
      <c r="I12092" s="7">
        <v>69</v>
      </c>
      <c r="J12092" s="7">
        <v>0</v>
      </c>
      <c r="K12092" s="7" t="s">
        <v>18</v>
      </c>
      <c r="L12092" s="8">
        <v>39987.315405092595</v>
      </c>
      <c r="M12092" s="9" t="s">
        <v>19</v>
      </c>
      <c r="N12092" s="9" t="s">
        <v>20</v>
      </c>
      <c r="O12092" s="6" t="str">
        <f>HYPERLINK("https://pbs.twimg.com/profile_images/962471262747529216/Uo8lOkRJ_normal.jpg","View")</f>
        <v>View</v>
      </c>
      <c r="P12092" s="7"/>
    </row>
    <row r="12093" spans="1:16">
      <c r="A12093" s="3">
        <v>44157.97923611111</v>
      </c>
      <c r="B12093" s="4" t="str">
        <f>HYPERLINK("https://twitter.com/petrogustavo","@petrogustavo")</f>
        <v>@petrogustavo</v>
      </c>
      <c r="C12093" s="5" t="s">
        <v>16</v>
      </c>
      <c r="D12093" s="5" t="s">
        <v>11643</v>
      </c>
      <c r="E12093" s="6" t="str">
        <f>HYPERLINK("https://twitter.com/petrogustavo/status/1330571774371696642","1330571774371696642")</f>
        <v>1330571774371696642</v>
      </c>
      <c r="F12093" s="7" t="s">
        <v>17</v>
      </c>
      <c r="G12093" s="7">
        <v>4011161</v>
      </c>
      <c r="H12093" s="7">
        <v>2467</v>
      </c>
      <c r="I12093" s="7">
        <v>49</v>
      </c>
      <c r="J12093" s="7">
        <v>121</v>
      </c>
      <c r="K12093" s="7" t="s">
        <v>18</v>
      </c>
      <c r="L12093" s="8">
        <v>39987.315405092595</v>
      </c>
      <c r="M12093" s="9" t="s">
        <v>19</v>
      </c>
      <c r="N12093" s="9" t="s">
        <v>20</v>
      </c>
      <c r="O12093" s="6" t="str">
        <f>HYPERLINK("https://pbs.twimg.com/profile_images/962471262747529216/Uo8lOkRJ_normal.jpg","View")</f>
        <v>View</v>
      </c>
      <c r="P12093" s="7"/>
    </row>
    <row r="12094" spans="1:16">
      <c r="A12094" s="3">
        <v>44157.994884259257</v>
      </c>
      <c r="B12094" s="4" t="str">
        <f>HYPERLINK("https://twitter.com/petrogustavo","@petrogustavo")</f>
        <v>@petrogustavo</v>
      </c>
      <c r="C12094" s="5" t="s">
        <v>16</v>
      </c>
      <c r="D12094" s="5" t="s">
        <v>11644</v>
      </c>
      <c r="E12094" s="6" t="str">
        <f>HYPERLINK("https://twitter.com/petrogustavo/status/1330577446102573057","1330577446102573057")</f>
        <v>1330577446102573057</v>
      </c>
      <c r="F12094" s="7" t="s">
        <v>17</v>
      </c>
      <c r="G12094" s="7">
        <v>4011180</v>
      </c>
      <c r="H12094" s="7">
        <v>2467</v>
      </c>
      <c r="I12094" s="7">
        <v>93</v>
      </c>
      <c r="J12094" s="7">
        <v>224</v>
      </c>
      <c r="K12094" s="7" t="s">
        <v>18</v>
      </c>
      <c r="L12094" s="8">
        <v>39987.315405092595</v>
      </c>
      <c r="M12094" s="9" t="s">
        <v>19</v>
      </c>
      <c r="N12094" s="9" t="s">
        <v>20</v>
      </c>
      <c r="O12094" s="6" t="str">
        <f>HYPERLINK("https://pbs.twimg.com/profile_images/962471262747529216/Uo8lOkRJ_normal.jpg","View")</f>
        <v>View</v>
      </c>
      <c r="P12094" s="7"/>
    </row>
    <row r="12095" spans="1:16">
      <c r="A12095" s="3">
        <v>44158.013483796298</v>
      </c>
      <c r="B12095" s="4" t="str">
        <f>HYPERLINK("https://twitter.com/petrogustavo","@petrogustavo")</f>
        <v>@petrogustavo</v>
      </c>
      <c r="C12095" s="5" t="s">
        <v>16</v>
      </c>
      <c r="D12095" s="5" t="s">
        <v>11645</v>
      </c>
      <c r="E12095" s="6" t="str">
        <f>HYPERLINK("https://twitter.com/petrogustavo/status/1330584185359257600","1330584185359257600")</f>
        <v>1330584185359257600</v>
      </c>
      <c r="F12095" s="7" t="s">
        <v>17</v>
      </c>
      <c r="G12095" s="7">
        <v>4011196</v>
      </c>
      <c r="H12095" s="7">
        <v>2467</v>
      </c>
      <c r="I12095" s="7">
        <v>62</v>
      </c>
      <c r="J12095" s="7">
        <v>165</v>
      </c>
      <c r="K12095" s="7" t="s">
        <v>18</v>
      </c>
      <c r="L12095" s="8">
        <v>39987.315405092595</v>
      </c>
      <c r="M12095" s="9" t="s">
        <v>19</v>
      </c>
      <c r="N12095" s="9" t="s">
        <v>20</v>
      </c>
      <c r="O12095" s="6" t="str">
        <f>HYPERLINK("https://pbs.twimg.com/profile_images/962471262747529216/Uo8lOkRJ_normal.jpg","View")</f>
        <v>View</v>
      </c>
      <c r="P12095" s="7"/>
    </row>
    <row r="12096" spans="1:16">
      <c r="A12096" s="3">
        <v>44158.020312499997</v>
      </c>
      <c r="B12096" s="4" t="str">
        <f>HYPERLINK("https://twitter.com/petrogustavo","@petrogustavo")</f>
        <v>@petrogustavo</v>
      </c>
      <c r="C12096" s="5" t="s">
        <v>16</v>
      </c>
      <c r="D12096" s="5" t="s">
        <v>11646</v>
      </c>
      <c r="E12096" s="6" t="str">
        <f>HYPERLINK("https://twitter.com/petrogustavo/status/1330586658337660933","1330586658337660933")</f>
        <v>1330586658337660933</v>
      </c>
      <c r="F12096" s="7" t="s">
        <v>17</v>
      </c>
      <c r="G12096" s="7">
        <v>4011196</v>
      </c>
      <c r="H12096" s="7">
        <v>2467</v>
      </c>
      <c r="I12096" s="7">
        <v>11</v>
      </c>
      <c r="J12096" s="7">
        <v>0</v>
      </c>
      <c r="K12096" s="7" t="s">
        <v>18</v>
      </c>
      <c r="L12096" s="8">
        <v>39987.315405092595</v>
      </c>
      <c r="M12096" s="9" t="s">
        <v>19</v>
      </c>
      <c r="N12096" s="9" t="s">
        <v>20</v>
      </c>
      <c r="O12096" s="6" t="str">
        <f>HYPERLINK("https://pbs.twimg.com/profile_images/962471262747529216/Uo8lOkRJ_normal.jpg","View")</f>
        <v>View</v>
      </c>
      <c r="P12096" s="7"/>
    </row>
    <row r="12097" spans="1:16">
      <c r="A12097" s="3">
        <v>44158.02043981482</v>
      </c>
      <c r="B12097" s="4" t="str">
        <f>HYPERLINK("https://twitter.com/petrogustavo","@petrogustavo")</f>
        <v>@petrogustavo</v>
      </c>
      <c r="C12097" s="5" t="s">
        <v>16</v>
      </c>
      <c r="D12097" s="5" t="s">
        <v>11647</v>
      </c>
      <c r="E12097" s="6" t="str">
        <f>HYPERLINK("https://twitter.com/petrogustavo/status/1330586705334849537","1330586705334849537")</f>
        <v>1330586705334849537</v>
      </c>
      <c r="F12097" s="7" t="s">
        <v>17</v>
      </c>
      <c r="G12097" s="7">
        <v>4011196</v>
      </c>
      <c r="H12097" s="7">
        <v>2467</v>
      </c>
      <c r="I12097" s="7">
        <v>62</v>
      </c>
      <c r="J12097" s="7">
        <v>0</v>
      </c>
      <c r="K12097" s="7" t="s">
        <v>18</v>
      </c>
      <c r="L12097" s="8">
        <v>39987.315405092595</v>
      </c>
      <c r="M12097" s="9" t="s">
        <v>19</v>
      </c>
      <c r="N12097" s="9" t="s">
        <v>20</v>
      </c>
      <c r="O12097" s="6" t="str">
        <f>HYPERLINK("https://pbs.twimg.com/profile_images/962471262747529216/Uo8lOkRJ_normal.jpg","View")</f>
        <v>View</v>
      </c>
      <c r="P12097" s="7"/>
    </row>
    <row r="12098" spans="1:16">
      <c r="A12098" s="3">
        <v>44158.021481481483</v>
      </c>
      <c r="B12098" s="4" t="str">
        <f>HYPERLINK("https://twitter.com/petrogustavo","@petrogustavo")</f>
        <v>@petrogustavo</v>
      </c>
      <c r="C12098" s="5" t="s">
        <v>16</v>
      </c>
      <c r="D12098" s="5" t="s">
        <v>11648</v>
      </c>
      <c r="E12098" s="6" t="str">
        <f>HYPERLINK("https://twitter.com/petrogustavo/status/1330587083484827650","1330587083484827650")</f>
        <v>1330587083484827650</v>
      </c>
      <c r="F12098" s="7" t="s">
        <v>17</v>
      </c>
      <c r="G12098" s="7">
        <v>4011196</v>
      </c>
      <c r="H12098" s="7">
        <v>2467</v>
      </c>
      <c r="I12098" s="7">
        <v>114</v>
      </c>
      <c r="J12098" s="7">
        <v>0</v>
      </c>
      <c r="K12098" s="7" t="s">
        <v>18</v>
      </c>
      <c r="L12098" s="8">
        <v>39987.315405092595</v>
      </c>
      <c r="M12098" s="9" t="s">
        <v>19</v>
      </c>
      <c r="N12098" s="9" t="s">
        <v>20</v>
      </c>
      <c r="O12098" s="6" t="str">
        <f>HYPERLINK("https://pbs.twimg.com/profile_images/962471262747529216/Uo8lOkRJ_normal.jpg","View")</f>
        <v>View</v>
      </c>
      <c r="P12098" s="7"/>
    </row>
    <row r="12099" spans="1:16">
      <c r="A12099" s="3">
        <v>44158.028645833328</v>
      </c>
      <c r="B12099" s="4" t="str">
        <f>HYPERLINK("https://twitter.com/petrogustavo","@petrogustavo")</f>
        <v>@petrogustavo</v>
      </c>
      <c r="C12099" s="5" t="s">
        <v>16</v>
      </c>
      <c r="D12099" s="5" t="s">
        <v>11649</v>
      </c>
      <c r="E12099" s="6" t="str">
        <f>HYPERLINK("https://twitter.com/petrogustavo/status/1330589681520693253","1330589681520693253")</f>
        <v>1330589681520693253</v>
      </c>
      <c r="F12099" s="7" t="s">
        <v>17</v>
      </c>
      <c r="G12099" s="7">
        <v>4011196</v>
      </c>
      <c r="H12099" s="7">
        <v>2467</v>
      </c>
      <c r="I12099" s="7">
        <v>31</v>
      </c>
      <c r="J12099" s="7">
        <v>115</v>
      </c>
      <c r="K12099" s="7" t="s">
        <v>18</v>
      </c>
      <c r="L12099" s="8">
        <v>39987.315405092595</v>
      </c>
      <c r="M12099" s="9" t="s">
        <v>19</v>
      </c>
      <c r="N12099" s="9" t="s">
        <v>20</v>
      </c>
      <c r="O12099" s="6" t="str">
        <f>HYPERLINK("https://pbs.twimg.com/profile_images/962471262747529216/Uo8lOkRJ_normal.jpg","View")</f>
        <v>View</v>
      </c>
      <c r="P12099" s="7"/>
    </row>
    <row r="12100" spans="1:16">
      <c r="A12100" s="3">
        <v>44158.03634259259</v>
      </c>
      <c r="B12100" s="4" t="str">
        <f>HYPERLINK("https://twitter.com/petrogustavo","@petrogustavo")</f>
        <v>@petrogustavo</v>
      </c>
      <c r="C12100" s="5" t="s">
        <v>16</v>
      </c>
      <c r="D12100" s="5" t="s">
        <v>11650</v>
      </c>
      <c r="E12100" s="6" t="str">
        <f>HYPERLINK("https://twitter.com/petrogustavo/status/1330592468795084800","1330592468795084800")</f>
        <v>1330592468795084800</v>
      </c>
      <c r="F12100" s="7" t="s">
        <v>17</v>
      </c>
      <c r="G12100" s="7">
        <v>4011207</v>
      </c>
      <c r="H12100" s="7">
        <v>2467</v>
      </c>
      <c r="I12100" s="7">
        <v>51</v>
      </c>
      <c r="J12100" s="7">
        <v>141</v>
      </c>
      <c r="K12100" s="7" t="s">
        <v>18</v>
      </c>
      <c r="L12100" s="8">
        <v>39987.315405092595</v>
      </c>
      <c r="M12100" s="9" t="s">
        <v>19</v>
      </c>
      <c r="N12100" s="9" t="s">
        <v>20</v>
      </c>
      <c r="O12100" s="6" t="str">
        <f>HYPERLINK("https://pbs.twimg.com/profile_images/962471262747529216/Uo8lOkRJ_normal.jpg","View")</f>
        <v>View</v>
      </c>
      <c r="P12100" s="7"/>
    </row>
    <row r="12101" spans="1:16">
      <c r="A12101" s="3">
        <v>44158.052986111114</v>
      </c>
      <c r="B12101" s="4" t="str">
        <f>HYPERLINK("https://twitter.com/petrogustavo","@petrogustavo")</f>
        <v>@petrogustavo</v>
      </c>
      <c r="C12101" s="5" t="s">
        <v>16</v>
      </c>
      <c r="D12101" s="5" t="s">
        <v>11651</v>
      </c>
      <c r="E12101" s="6" t="str">
        <f>HYPERLINK("https://twitter.com/petrogustavo/status/1330598499356975104","1330598499356975104")</f>
        <v>1330598499356975104</v>
      </c>
      <c r="F12101" s="7" t="s">
        <v>17</v>
      </c>
      <c r="G12101" s="7">
        <v>4011207</v>
      </c>
      <c r="H12101" s="7">
        <v>2467</v>
      </c>
      <c r="I12101" s="7">
        <v>3</v>
      </c>
      <c r="J12101" s="7">
        <v>11</v>
      </c>
      <c r="K12101" s="7" t="s">
        <v>18</v>
      </c>
      <c r="L12101" s="8">
        <v>39987.315405092595</v>
      </c>
      <c r="M12101" s="9" t="s">
        <v>19</v>
      </c>
      <c r="N12101" s="9" t="s">
        <v>20</v>
      </c>
      <c r="O12101" s="6" t="str">
        <f>HYPERLINK("https://pbs.twimg.com/profile_images/962471262747529216/Uo8lOkRJ_normal.jpg","View")</f>
        <v>View</v>
      </c>
      <c r="P12101" s="7"/>
    </row>
    <row r="12102" spans="1:16">
      <c r="A12102" s="3">
        <v>44158.068414351852</v>
      </c>
      <c r="B12102" s="4" t="str">
        <f>HYPERLINK("https://twitter.com/petrogustavo","@petrogustavo")</f>
        <v>@petrogustavo</v>
      </c>
      <c r="C12102" s="5" t="s">
        <v>16</v>
      </c>
      <c r="D12102" s="5" t="s">
        <v>11652</v>
      </c>
      <c r="E12102" s="6" t="str">
        <f>HYPERLINK("https://twitter.com/petrogustavo/status/1330604089470836740","1330604089470836740")</f>
        <v>1330604089470836740</v>
      </c>
      <c r="F12102" s="7" t="s">
        <v>17</v>
      </c>
      <c r="G12102" s="7">
        <v>4011206</v>
      </c>
      <c r="H12102" s="7">
        <v>2467</v>
      </c>
      <c r="I12102" s="7">
        <v>346</v>
      </c>
      <c r="J12102" s="7">
        <v>0</v>
      </c>
      <c r="K12102" s="7" t="s">
        <v>18</v>
      </c>
      <c r="L12102" s="8">
        <v>39987.315405092595</v>
      </c>
      <c r="M12102" s="9" t="s">
        <v>19</v>
      </c>
      <c r="N12102" s="9" t="s">
        <v>20</v>
      </c>
      <c r="O12102" s="6" t="str">
        <f>HYPERLINK("https://pbs.twimg.com/profile_images/962471262747529216/Uo8lOkRJ_normal.jpg","View")</f>
        <v>View</v>
      </c>
      <c r="P12102" s="7"/>
    </row>
    <row r="12103" spans="1:16">
      <c r="A12103" s="3">
        <v>44158.070659722223</v>
      </c>
      <c r="B12103" s="4" t="str">
        <f>HYPERLINK("https://twitter.com/petrogustavo","@petrogustavo")</f>
        <v>@petrogustavo</v>
      </c>
      <c r="C12103" s="5" t="s">
        <v>16</v>
      </c>
      <c r="D12103" s="5" t="s">
        <v>11653</v>
      </c>
      <c r="E12103" s="6" t="str">
        <f>HYPERLINK("https://twitter.com/petrogustavo/status/1330604905883643904","1330604905883643904")</f>
        <v>1330604905883643904</v>
      </c>
      <c r="F12103" s="7" t="s">
        <v>17</v>
      </c>
      <c r="G12103" s="7">
        <v>4011206</v>
      </c>
      <c r="H12103" s="7">
        <v>2467</v>
      </c>
      <c r="I12103" s="7">
        <v>9</v>
      </c>
      <c r="J12103" s="7">
        <v>0</v>
      </c>
      <c r="K12103" s="7" t="s">
        <v>18</v>
      </c>
      <c r="L12103" s="8">
        <v>39987.315405092595</v>
      </c>
      <c r="M12103" s="9" t="s">
        <v>19</v>
      </c>
      <c r="N12103" s="9" t="s">
        <v>20</v>
      </c>
      <c r="O12103" s="6" t="str">
        <f>HYPERLINK("https://pbs.twimg.com/profile_images/962471262747529216/Uo8lOkRJ_normal.jpg","View")</f>
        <v>View</v>
      </c>
      <c r="P12103" s="7"/>
    </row>
    <row r="12104" spans="1:16">
      <c r="A12104" s="3">
        <v>44158.070960648147</v>
      </c>
      <c r="B12104" s="4" t="str">
        <f>HYPERLINK("https://twitter.com/petrogustavo","@petrogustavo")</f>
        <v>@petrogustavo</v>
      </c>
      <c r="C12104" s="5" t="s">
        <v>16</v>
      </c>
      <c r="D12104" s="5" t="s">
        <v>11654</v>
      </c>
      <c r="E12104" s="6" t="str">
        <f>HYPERLINK("https://twitter.com/petrogustavo/status/1330605012305793024","1330605012305793024")</f>
        <v>1330605012305793024</v>
      </c>
      <c r="F12104" s="7" t="s">
        <v>17</v>
      </c>
      <c r="G12104" s="7">
        <v>4011206</v>
      </c>
      <c r="H12104" s="7">
        <v>2467</v>
      </c>
      <c r="I12104" s="7">
        <v>1283</v>
      </c>
      <c r="J12104" s="7">
        <v>0</v>
      </c>
      <c r="K12104" s="7" t="s">
        <v>18</v>
      </c>
      <c r="L12104" s="8">
        <v>39987.315405092595</v>
      </c>
      <c r="M12104" s="9" t="s">
        <v>19</v>
      </c>
      <c r="N12104" s="9" t="s">
        <v>20</v>
      </c>
      <c r="O12104" s="6" t="str">
        <f>HYPERLINK("https://pbs.twimg.com/profile_images/962471262747529216/Uo8lOkRJ_normal.jpg","View")</f>
        <v>View</v>
      </c>
      <c r="P12104" s="7"/>
    </row>
    <row r="12105" spans="1:16">
      <c r="A12105" s="3">
        <v>44158.072499999995</v>
      </c>
      <c r="B12105" s="4" t="str">
        <f>HYPERLINK("https://twitter.com/petrogustavo","@petrogustavo")</f>
        <v>@petrogustavo</v>
      </c>
      <c r="C12105" s="5" t="s">
        <v>16</v>
      </c>
      <c r="D12105" s="5" t="s">
        <v>11655</v>
      </c>
      <c r="E12105" s="6" t="str">
        <f>HYPERLINK("https://twitter.com/petrogustavo/status/1330605572958392322","1330605572958392322")</f>
        <v>1330605572958392322</v>
      </c>
      <c r="F12105" s="7" t="s">
        <v>17</v>
      </c>
      <c r="G12105" s="7">
        <v>4011206</v>
      </c>
      <c r="H12105" s="7">
        <v>2467</v>
      </c>
      <c r="I12105" s="7">
        <v>7</v>
      </c>
      <c r="J12105" s="7">
        <v>0</v>
      </c>
      <c r="K12105" s="7" t="s">
        <v>18</v>
      </c>
      <c r="L12105" s="8">
        <v>39987.315405092595</v>
      </c>
      <c r="M12105" s="9" t="s">
        <v>19</v>
      </c>
      <c r="N12105" s="9" t="s">
        <v>20</v>
      </c>
      <c r="O12105" s="6" t="str">
        <f>HYPERLINK("https://pbs.twimg.com/profile_images/962471262747529216/Uo8lOkRJ_normal.jpg","View")</f>
        <v>View</v>
      </c>
      <c r="P12105" s="7"/>
    </row>
    <row r="12106" spans="1:16">
      <c r="A12106" s="3">
        <v>44158.074247685188</v>
      </c>
      <c r="B12106" s="4" t="str">
        <f>HYPERLINK("https://twitter.com/petrogustavo","@petrogustavo")</f>
        <v>@petrogustavo</v>
      </c>
      <c r="C12106" s="5" t="s">
        <v>16</v>
      </c>
      <c r="D12106" s="5" t="s">
        <v>11656</v>
      </c>
      <c r="E12106" s="6" t="str">
        <f>HYPERLINK("https://twitter.com/petrogustavo/status/1330606205098733576","1330606205098733576")</f>
        <v>1330606205098733576</v>
      </c>
      <c r="F12106" s="7" t="s">
        <v>17</v>
      </c>
      <c r="G12106" s="7">
        <v>4011206</v>
      </c>
      <c r="H12106" s="7">
        <v>2467</v>
      </c>
      <c r="I12106" s="7">
        <v>215</v>
      </c>
      <c r="J12106" s="7">
        <v>0</v>
      </c>
      <c r="K12106" s="7" t="s">
        <v>18</v>
      </c>
      <c r="L12106" s="8">
        <v>39987.315405092595</v>
      </c>
      <c r="M12106" s="9" t="s">
        <v>19</v>
      </c>
      <c r="N12106" s="9" t="s">
        <v>20</v>
      </c>
      <c r="O12106" s="6" t="str">
        <f>HYPERLINK("https://pbs.twimg.com/profile_images/962471262747529216/Uo8lOkRJ_normal.jpg","View")</f>
        <v>View</v>
      </c>
      <c r="P12106" s="7"/>
    </row>
    <row r="12107" spans="1:16">
      <c r="A12107" s="3">
        <v>44158.074502314819</v>
      </c>
      <c r="B12107" s="4" t="str">
        <f>HYPERLINK("https://twitter.com/petrogustavo","@petrogustavo")</f>
        <v>@petrogustavo</v>
      </c>
      <c r="C12107" s="5" t="s">
        <v>16</v>
      </c>
      <c r="D12107" s="5" t="s">
        <v>11657</v>
      </c>
      <c r="E12107" s="6" t="str">
        <f>HYPERLINK("https://twitter.com/petrogustavo/status/1330606299667697667","1330606299667697667")</f>
        <v>1330606299667697667</v>
      </c>
      <c r="F12107" s="7" t="s">
        <v>17</v>
      </c>
      <c r="G12107" s="7">
        <v>4011221</v>
      </c>
      <c r="H12107" s="7">
        <v>2467</v>
      </c>
      <c r="I12107" s="7">
        <v>147</v>
      </c>
      <c r="J12107" s="7">
        <v>0</v>
      </c>
      <c r="K12107" s="7" t="s">
        <v>18</v>
      </c>
      <c r="L12107" s="8">
        <v>39987.315405092595</v>
      </c>
      <c r="M12107" s="9" t="s">
        <v>19</v>
      </c>
      <c r="N12107" s="9" t="s">
        <v>20</v>
      </c>
      <c r="O12107" s="6" t="str">
        <f>HYPERLINK("https://pbs.twimg.com/profile_images/962471262747529216/Uo8lOkRJ_normal.jpg","View")</f>
        <v>View</v>
      </c>
      <c r="P12107" s="7"/>
    </row>
    <row r="12108" spans="1:16">
      <c r="A12108" s="3">
        <v>44158.074560185181</v>
      </c>
      <c r="B12108" s="4" t="str">
        <f>HYPERLINK("https://twitter.com/petrogustavo","@petrogustavo")</f>
        <v>@petrogustavo</v>
      </c>
      <c r="C12108" s="5" t="s">
        <v>16</v>
      </c>
      <c r="D12108" s="5" t="s">
        <v>11658</v>
      </c>
      <c r="E12108" s="6" t="str">
        <f>HYPERLINK("https://twitter.com/petrogustavo/status/1330606319720689669","1330606319720689669")</f>
        <v>1330606319720689669</v>
      </c>
      <c r="F12108" s="7" t="s">
        <v>17</v>
      </c>
      <c r="G12108" s="7">
        <v>4011221</v>
      </c>
      <c r="H12108" s="7">
        <v>2467</v>
      </c>
      <c r="I12108" s="7">
        <v>302</v>
      </c>
      <c r="J12108" s="7">
        <v>0</v>
      </c>
      <c r="K12108" s="7" t="s">
        <v>18</v>
      </c>
      <c r="L12108" s="8">
        <v>39987.315405092595</v>
      </c>
      <c r="M12108" s="9" t="s">
        <v>19</v>
      </c>
      <c r="N12108" s="9" t="s">
        <v>20</v>
      </c>
      <c r="O12108" s="6" t="str">
        <f>HYPERLINK("https://pbs.twimg.com/profile_images/962471262747529216/Uo8lOkRJ_normal.jpg","View")</f>
        <v>View</v>
      </c>
      <c r="P12108" s="7"/>
    </row>
    <row r="12109" spans="1:16">
      <c r="A12109" s="3">
        <v>44158.08798611111</v>
      </c>
      <c r="B12109" s="4" t="str">
        <f>HYPERLINK("https://twitter.com/petrogustavo","@petrogustavo")</f>
        <v>@petrogustavo</v>
      </c>
      <c r="C12109" s="5" t="s">
        <v>16</v>
      </c>
      <c r="D12109" s="5" t="s">
        <v>11659</v>
      </c>
      <c r="E12109" s="6" t="str">
        <f>HYPERLINK("https://twitter.com/petrogustavo/status/1330611185474023425","1330611185474023425")</f>
        <v>1330611185474023425</v>
      </c>
      <c r="F12109" s="7" t="s">
        <v>17</v>
      </c>
      <c r="G12109" s="7">
        <v>4011221</v>
      </c>
      <c r="H12109" s="7">
        <v>2467</v>
      </c>
      <c r="I12109" s="7">
        <v>679</v>
      </c>
      <c r="J12109" s="7">
        <v>0</v>
      </c>
      <c r="K12109" s="7" t="s">
        <v>18</v>
      </c>
      <c r="L12109" s="8">
        <v>39987.315405092595</v>
      </c>
      <c r="M12109" s="9" t="s">
        <v>19</v>
      </c>
      <c r="N12109" s="9" t="s">
        <v>20</v>
      </c>
      <c r="O12109" s="6" t="str">
        <f>HYPERLINK("https://pbs.twimg.com/profile_images/962471262747529216/Uo8lOkRJ_normal.jpg","View")</f>
        <v>View</v>
      </c>
      <c r="P12109" s="7"/>
    </row>
    <row r="12110" spans="1:16">
      <c r="A12110" s="3">
        <v>44158.211157407408</v>
      </c>
      <c r="B12110" s="4" t="str">
        <f>HYPERLINK("https://twitter.com/petrogustavo","@petrogustavo")</f>
        <v>@petrogustavo</v>
      </c>
      <c r="C12110" s="5" t="s">
        <v>16</v>
      </c>
      <c r="D12110" s="5" t="s">
        <v>11660</v>
      </c>
      <c r="E12110" s="6" t="str">
        <f>HYPERLINK("https://twitter.com/petrogustavo/status/1330655819248136208","1330655819248136208")</f>
        <v>1330655819248136208</v>
      </c>
      <c r="F12110" s="7" t="s">
        <v>17</v>
      </c>
      <c r="G12110" s="7">
        <v>4011315</v>
      </c>
      <c r="H12110" s="7">
        <v>2467</v>
      </c>
      <c r="I12110" s="7">
        <v>80</v>
      </c>
      <c r="J12110" s="7">
        <v>350</v>
      </c>
      <c r="K12110" s="7" t="s">
        <v>18</v>
      </c>
      <c r="L12110" s="8">
        <v>39987.315405092595</v>
      </c>
      <c r="M12110" s="9" t="s">
        <v>19</v>
      </c>
      <c r="N12110" s="9" t="s">
        <v>20</v>
      </c>
      <c r="O12110" s="6" t="str">
        <f>HYPERLINK("https://pbs.twimg.com/profile_images/962471262747529216/Uo8lOkRJ_normal.jpg","View")</f>
        <v>View</v>
      </c>
      <c r="P12110" s="7"/>
    </row>
    <row r="12111" spans="1:16">
      <c r="A12111" s="3">
        <v>44158.238819444443</v>
      </c>
      <c r="B12111" s="4" t="str">
        <f>HYPERLINK("https://twitter.com/petrogustavo","@petrogustavo")</f>
        <v>@petrogustavo</v>
      </c>
      <c r="C12111" s="5" t="s">
        <v>16</v>
      </c>
      <c r="D12111" s="5" t="s">
        <v>11661</v>
      </c>
      <c r="E12111" s="6" t="str">
        <f>HYPERLINK("https://twitter.com/petrogustavo/status/1330665844645347328","1330665844645347328")</f>
        <v>1330665844645347328</v>
      </c>
      <c r="F12111" s="7" t="s">
        <v>22</v>
      </c>
      <c r="G12111" s="7">
        <v>4011330</v>
      </c>
      <c r="H12111" s="7">
        <v>2466</v>
      </c>
      <c r="I12111" s="7">
        <v>37</v>
      </c>
      <c r="J12111" s="7">
        <v>94</v>
      </c>
      <c r="K12111" s="7" t="s">
        <v>18</v>
      </c>
      <c r="L12111" s="8">
        <v>39987.315405092595</v>
      </c>
      <c r="M12111" s="9" t="s">
        <v>19</v>
      </c>
      <c r="N12111" s="9" t="s">
        <v>20</v>
      </c>
      <c r="O12111" s="6" t="str">
        <f>HYPERLINK("https://pbs.twimg.com/profile_images/962471262747529216/Uo8lOkRJ_normal.jpg","View")</f>
        <v>View</v>
      </c>
      <c r="P12111" s="7"/>
    </row>
    <row r="12112" spans="1:16">
      <c r="A12112" s="3">
        <v>44158.735763888893</v>
      </c>
      <c r="B12112" s="4" t="str">
        <f>HYPERLINK("https://twitter.com/petrogustavo","@petrogustavo")</f>
        <v>@petrogustavo</v>
      </c>
      <c r="C12112" s="5" t="s">
        <v>16</v>
      </c>
      <c r="D12112" s="5" t="s">
        <v>11662</v>
      </c>
      <c r="E12112" s="6" t="str">
        <f>HYPERLINK("https://twitter.com/petrogustavo/status/1330845931235897344","1330845931235897344")</f>
        <v>1330845931235897344</v>
      </c>
      <c r="F12112" s="7" t="s">
        <v>32</v>
      </c>
      <c r="G12112" s="7">
        <v>4011501</v>
      </c>
      <c r="H12112" s="7">
        <v>2465</v>
      </c>
      <c r="I12112" s="7">
        <v>60</v>
      </c>
      <c r="J12112" s="7">
        <v>106</v>
      </c>
      <c r="K12112" s="7" t="s">
        <v>18</v>
      </c>
      <c r="L12112" s="8">
        <v>39987.315405092595</v>
      </c>
      <c r="M12112" s="9" t="s">
        <v>19</v>
      </c>
      <c r="N12112" s="9" t="s">
        <v>20</v>
      </c>
      <c r="O12112" s="6" t="str">
        <f>HYPERLINK("https://pbs.twimg.com/profile_images/962471262747529216/Uo8lOkRJ_normal.jpg","View")</f>
        <v>View</v>
      </c>
      <c r="P12112" s="7"/>
    </row>
    <row r="12113" spans="1:16">
      <c r="A12113" s="3">
        <v>44158.740752314814</v>
      </c>
      <c r="B12113" s="4" t="str">
        <f>HYPERLINK("https://twitter.com/petrogustavo","@petrogustavo")</f>
        <v>@petrogustavo</v>
      </c>
      <c r="C12113" s="5" t="s">
        <v>16</v>
      </c>
      <c r="D12113" s="5" t="s">
        <v>11663</v>
      </c>
      <c r="E12113" s="6" t="str">
        <f>HYPERLINK("https://twitter.com/petrogustavo/status/1330847737995202563","1330847737995202563")</f>
        <v>1330847737995202563</v>
      </c>
      <c r="F12113" s="7" t="s">
        <v>32</v>
      </c>
      <c r="G12113" s="7">
        <v>4011501</v>
      </c>
      <c r="H12113" s="7">
        <v>2465</v>
      </c>
      <c r="I12113" s="7">
        <v>8</v>
      </c>
      <c r="J12113" s="7">
        <v>17</v>
      </c>
      <c r="K12113" s="7" t="s">
        <v>18</v>
      </c>
      <c r="L12113" s="8">
        <v>39987.315405092595</v>
      </c>
      <c r="M12113" s="9" t="s">
        <v>19</v>
      </c>
      <c r="N12113" s="9" t="s">
        <v>20</v>
      </c>
      <c r="O12113" s="6" t="str">
        <f>HYPERLINK("https://pbs.twimg.com/profile_images/962471262747529216/Uo8lOkRJ_normal.jpg","View")</f>
        <v>View</v>
      </c>
      <c r="P12113" s="7"/>
    </row>
    <row r="12114" spans="1:16">
      <c r="A12114" s="3">
        <v>44158.741215277776</v>
      </c>
      <c r="B12114" s="4" t="str">
        <f>HYPERLINK("https://twitter.com/petrogustavo","@petrogustavo")</f>
        <v>@petrogustavo</v>
      </c>
      <c r="C12114" s="5" t="s">
        <v>16</v>
      </c>
      <c r="D12114" s="5" t="s">
        <v>11664</v>
      </c>
      <c r="E12114" s="6" t="str">
        <f>HYPERLINK("https://twitter.com/petrogustavo/status/1330847908065906690","1330847908065906690")</f>
        <v>1330847908065906690</v>
      </c>
      <c r="F12114" s="7" t="s">
        <v>32</v>
      </c>
      <c r="G12114" s="7">
        <v>4011501</v>
      </c>
      <c r="H12114" s="7">
        <v>2465</v>
      </c>
      <c r="I12114" s="7">
        <v>4</v>
      </c>
      <c r="J12114" s="7">
        <v>0</v>
      </c>
      <c r="K12114" s="7" t="s">
        <v>18</v>
      </c>
      <c r="L12114" s="8">
        <v>39987.315405092595</v>
      </c>
      <c r="M12114" s="9" t="s">
        <v>19</v>
      </c>
      <c r="N12114" s="9" t="s">
        <v>20</v>
      </c>
      <c r="O12114" s="6" t="str">
        <f>HYPERLINK("https://pbs.twimg.com/profile_images/962471262747529216/Uo8lOkRJ_normal.jpg","View")</f>
        <v>View</v>
      </c>
      <c r="P12114" s="7"/>
    </row>
    <row r="12115" spans="1:16">
      <c r="A12115" s="3">
        <v>44158.743090277778</v>
      </c>
      <c r="B12115" s="4" t="str">
        <f>HYPERLINK("https://twitter.com/petrogustavo","@petrogustavo")</f>
        <v>@petrogustavo</v>
      </c>
      <c r="C12115" s="5" t="s">
        <v>16</v>
      </c>
      <c r="D12115" s="5" t="s">
        <v>11665</v>
      </c>
      <c r="E12115" s="6" t="str">
        <f>HYPERLINK("https://twitter.com/petrogustavo/status/1330848585261469703","1330848585261469703")</f>
        <v>1330848585261469703</v>
      </c>
      <c r="F12115" s="7" t="s">
        <v>32</v>
      </c>
      <c r="G12115" s="7">
        <v>4011512</v>
      </c>
      <c r="H12115" s="7">
        <v>2465</v>
      </c>
      <c r="I12115" s="7">
        <v>310</v>
      </c>
      <c r="J12115" s="7">
        <v>0</v>
      </c>
      <c r="K12115" s="7" t="s">
        <v>18</v>
      </c>
      <c r="L12115" s="8">
        <v>39987.315405092595</v>
      </c>
      <c r="M12115" s="9" t="s">
        <v>19</v>
      </c>
      <c r="N12115" s="9" t="s">
        <v>20</v>
      </c>
      <c r="O12115" s="6" t="str">
        <f>HYPERLINK("https://pbs.twimg.com/profile_images/962471262747529216/Uo8lOkRJ_normal.jpg","View")</f>
        <v>View</v>
      </c>
      <c r="P12115" s="7"/>
    </row>
    <row r="12116" spans="1:16">
      <c r="A12116" s="3">
        <v>44158.743310185186</v>
      </c>
      <c r="B12116" s="4" t="str">
        <f>HYPERLINK("https://twitter.com/petrogustavo","@petrogustavo")</f>
        <v>@petrogustavo</v>
      </c>
      <c r="C12116" s="5" t="s">
        <v>16</v>
      </c>
      <c r="D12116" s="5" t="s">
        <v>11666</v>
      </c>
      <c r="E12116" s="6" t="str">
        <f>HYPERLINK("https://twitter.com/petrogustavo/status/1330848667096453120","1330848667096453120")</f>
        <v>1330848667096453120</v>
      </c>
      <c r="F12116" s="7" t="s">
        <v>32</v>
      </c>
      <c r="G12116" s="7">
        <v>4011512</v>
      </c>
      <c r="H12116" s="7">
        <v>2465</v>
      </c>
      <c r="I12116" s="7">
        <v>243</v>
      </c>
      <c r="J12116" s="7">
        <v>0</v>
      </c>
      <c r="K12116" s="7" t="s">
        <v>18</v>
      </c>
      <c r="L12116" s="8">
        <v>39987.315405092595</v>
      </c>
      <c r="M12116" s="9" t="s">
        <v>19</v>
      </c>
      <c r="N12116" s="9" t="s">
        <v>20</v>
      </c>
      <c r="O12116" s="6" t="str">
        <f>HYPERLINK("https://pbs.twimg.com/profile_images/962471262747529216/Uo8lOkRJ_normal.jpg","View")</f>
        <v>View</v>
      </c>
      <c r="P12116" s="7"/>
    </row>
    <row r="12117" spans="1:16">
      <c r="A12117" s="3">
        <v>44158.747245370367</v>
      </c>
      <c r="B12117" s="4" t="str">
        <f>HYPERLINK("https://twitter.com/petrogustavo","@petrogustavo")</f>
        <v>@petrogustavo</v>
      </c>
      <c r="C12117" s="5" t="s">
        <v>16</v>
      </c>
      <c r="D12117" s="5" t="s">
        <v>11667</v>
      </c>
      <c r="E12117" s="6" t="str">
        <f>HYPERLINK("https://twitter.com/petrogustavo/status/1330850091922493445","1330850091922493445")</f>
        <v>1330850091922493445</v>
      </c>
      <c r="F12117" s="7" t="s">
        <v>32</v>
      </c>
      <c r="G12117" s="7">
        <v>4011512</v>
      </c>
      <c r="H12117" s="7">
        <v>2465</v>
      </c>
      <c r="I12117" s="7">
        <v>173</v>
      </c>
      <c r="J12117" s="7">
        <v>365</v>
      </c>
      <c r="K12117" s="7" t="s">
        <v>18</v>
      </c>
      <c r="L12117" s="8">
        <v>39987.315405092595</v>
      </c>
      <c r="M12117" s="9" t="s">
        <v>19</v>
      </c>
      <c r="N12117" s="9" t="s">
        <v>20</v>
      </c>
      <c r="O12117" s="6" t="str">
        <f>HYPERLINK("https://pbs.twimg.com/profile_images/962471262747529216/Uo8lOkRJ_normal.jpg","View")</f>
        <v>View</v>
      </c>
      <c r="P12117" s="7"/>
    </row>
    <row r="12118" spans="1:16">
      <c r="A12118" s="3">
        <v>44158.750520833331</v>
      </c>
      <c r="B12118" s="4" t="str">
        <f>HYPERLINK("https://twitter.com/petrogustavo","@petrogustavo")</f>
        <v>@petrogustavo</v>
      </c>
      <c r="C12118" s="5" t="s">
        <v>16</v>
      </c>
      <c r="D12118" s="5" t="s">
        <v>11668</v>
      </c>
      <c r="E12118" s="6" t="str">
        <f>HYPERLINK("https://twitter.com/petrogustavo/status/1330851276775698433","1330851276775698433")</f>
        <v>1330851276775698433</v>
      </c>
      <c r="F12118" s="7" t="s">
        <v>32</v>
      </c>
      <c r="G12118" s="7">
        <v>4011512</v>
      </c>
      <c r="H12118" s="7">
        <v>2465</v>
      </c>
      <c r="I12118" s="7">
        <v>330</v>
      </c>
      <c r="J12118" s="7">
        <v>0</v>
      </c>
      <c r="K12118" s="7" t="s">
        <v>18</v>
      </c>
      <c r="L12118" s="8">
        <v>39987.315405092595</v>
      </c>
      <c r="M12118" s="9" t="s">
        <v>19</v>
      </c>
      <c r="N12118" s="9" t="s">
        <v>20</v>
      </c>
      <c r="O12118" s="6" t="str">
        <f>HYPERLINK("https://pbs.twimg.com/profile_images/962471262747529216/Uo8lOkRJ_normal.jpg","View")</f>
        <v>View</v>
      </c>
      <c r="P12118" s="7"/>
    </row>
    <row r="12119" spans="1:16">
      <c r="A12119" s="3">
        <v>44158.754166666666</v>
      </c>
      <c r="B12119" s="4" t="str">
        <f>HYPERLINK("https://twitter.com/petrogustavo","@petrogustavo")</f>
        <v>@petrogustavo</v>
      </c>
      <c r="C12119" s="5" t="s">
        <v>16</v>
      </c>
      <c r="D12119" s="5" t="s">
        <v>11669</v>
      </c>
      <c r="E12119" s="6" t="str">
        <f>HYPERLINK("https://twitter.com/petrogustavo/status/1330852600242114560","1330852600242114560")</f>
        <v>1330852600242114560</v>
      </c>
      <c r="F12119" s="7" t="s">
        <v>32</v>
      </c>
      <c r="G12119" s="7">
        <v>4011512</v>
      </c>
      <c r="H12119" s="7">
        <v>2465</v>
      </c>
      <c r="I12119" s="7">
        <v>102</v>
      </c>
      <c r="J12119" s="7">
        <v>437</v>
      </c>
      <c r="K12119" s="7" t="s">
        <v>18</v>
      </c>
      <c r="L12119" s="8">
        <v>39987.315405092595</v>
      </c>
      <c r="M12119" s="9" t="s">
        <v>19</v>
      </c>
      <c r="N12119" s="9" t="s">
        <v>20</v>
      </c>
      <c r="O12119" s="6" t="str">
        <f>HYPERLINK("https://pbs.twimg.com/profile_images/962471262747529216/Uo8lOkRJ_normal.jpg","View")</f>
        <v>View</v>
      </c>
      <c r="P12119" s="7"/>
    </row>
    <row r="12120" spans="1:16">
      <c r="A12120" s="3">
        <v>44158.755902777775</v>
      </c>
      <c r="B12120" s="4" t="str">
        <f>HYPERLINK("https://twitter.com/petrogustavo","@petrogustavo")</f>
        <v>@petrogustavo</v>
      </c>
      <c r="C12120" s="5" t="s">
        <v>16</v>
      </c>
      <c r="D12120" s="5" t="s">
        <v>11670</v>
      </c>
      <c r="E12120" s="6" t="str">
        <f>HYPERLINK("https://twitter.com/petrogustavo/status/1330853230826446848","1330853230826446848")</f>
        <v>1330853230826446848</v>
      </c>
      <c r="F12120" s="7" t="s">
        <v>32</v>
      </c>
      <c r="G12120" s="7">
        <v>4011512</v>
      </c>
      <c r="H12120" s="7">
        <v>2465</v>
      </c>
      <c r="I12120" s="7">
        <v>53</v>
      </c>
      <c r="J12120" s="7">
        <v>182</v>
      </c>
      <c r="K12120" s="7" t="s">
        <v>18</v>
      </c>
      <c r="L12120" s="8">
        <v>39987.315405092595</v>
      </c>
      <c r="M12120" s="9" t="s">
        <v>19</v>
      </c>
      <c r="N12120" s="9" t="s">
        <v>20</v>
      </c>
      <c r="O12120" s="6" t="str">
        <f>HYPERLINK("https://pbs.twimg.com/profile_images/962471262747529216/Uo8lOkRJ_normal.jpg","View")</f>
        <v>View</v>
      </c>
      <c r="P12120" s="7"/>
    </row>
    <row r="12121" spans="1:16">
      <c r="A12121" s="3">
        <v>44158.757835648154</v>
      </c>
      <c r="B12121" s="4" t="str">
        <f>HYPERLINK("https://twitter.com/petrogustavo","@petrogustavo")</f>
        <v>@petrogustavo</v>
      </c>
      <c r="C12121" s="5" t="s">
        <v>16</v>
      </c>
      <c r="D12121" s="5" t="s">
        <v>11671</v>
      </c>
      <c r="E12121" s="6" t="str">
        <f>HYPERLINK("https://twitter.com/petrogustavo/status/1330853931036127233","1330853931036127233")</f>
        <v>1330853931036127233</v>
      </c>
      <c r="F12121" s="7" t="s">
        <v>32</v>
      </c>
      <c r="G12121" s="7">
        <v>4011512</v>
      </c>
      <c r="H12121" s="7">
        <v>2465</v>
      </c>
      <c r="I12121" s="7">
        <v>35</v>
      </c>
      <c r="J12121" s="7">
        <v>0</v>
      </c>
      <c r="K12121" s="7" t="s">
        <v>18</v>
      </c>
      <c r="L12121" s="8">
        <v>39987.315405092595</v>
      </c>
      <c r="M12121" s="9" t="s">
        <v>19</v>
      </c>
      <c r="N12121" s="9" t="s">
        <v>20</v>
      </c>
      <c r="O12121" s="6" t="str">
        <f>HYPERLINK("https://pbs.twimg.com/profile_images/962471262747529216/Uo8lOkRJ_normal.jpg","View")</f>
        <v>View</v>
      </c>
      <c r="P12121" s="7"/>
    </row>
    <row r="12122" spans="1:16">
      <c r="A12122" s="3">
        <v>44158.760335648149</v>
      </c>
      <c r="B12122" s="4" t="str">
        <f>HYPERLINK("https://twitter.com/petrogustavo","@petrogustavo")</f>
        <v>@petrogustavo</v>
      </c>
      <c r="C12122" s="5" t="s">
        <v>16</v>
      </c>
      <c r="D12122" s="5" t="s">
        <v>11672</v>
      </c>
      <c r="E12122" s="6" t="str">
        <f>HYPERLINK("https://twitter.com/petrogustavo/status/1330854835357356034","1330854835357356034")</f>
        <v>1330854835357356034</v>
      </c>
      <c r="F12122" s="7" t="s">
        <v>32</v>
      </c>
      <c r="G12122" s="7">
        <v>4011512</v>
      </c>
      <c r="H12122" s="7">
        <v>2465</v>
      </c>
      <c r="I12122" s="7">
        <v>102</v>
      </c>
      <c r="J12122" s="7">
        <v>0</v>
      </c>
      <c r="K12122" s="7" t="s">
        <v>18</v>
      </c>
      <c r="L12122" s="8">
        <v>39987.315405092595</v>
      </c>
      <c r="M12122" s="9" t="s">
        <v>19</v>
      </c>
      <c r="N12122" s="9" t="s">
        <v>20</v>
      </c>
      <c r="O12122" s="6" t="str">
        <f>HYPERLINK("https://pbs.twimg.com/profile_images/962471262747529216/Uo8lOkRJ_normal.jpg","View")</f>
        <v>View</v>
      </c>
      <c r="P12122" s="7"/>
    </row>
    <row r="12123" spans="1:16">
      <c r="A12123" s="3">
        <v>44158.76054398148</v>
      </c>
      <c r="B12123" s="4" t="str">
        <f>HYPERLINK("https://twitter.com/petrogustavo","@petrogustavo")</f>
        <v>@petrogustavo</v>
      </c>
      <c r="C12123" s="5" t="s">
        <v>16</v>
      </c>
      <c r="D12123" s="5" t="s">
        <v>11673</v>
      </c>
      <c r="E12123" s="6" t="str">
        <f>HYPERLINK("https://twitter.com/petrogustavo/status/1330854912599740416","1330854912599740416")</f>
        <v>1330854912599740416</v>
      </c>
      <c r="F12123" s="7" t="s">
        <v>32</v>
      </c>
      <c r="G12123" s="7">
        <v>4011512</v>
      </c>
      <c r="H12123" s="7">
        <v>2465</v>
      </c>
      <c r="I12123" s="7">
        <v>173</v>
      </c>
      <c r="J12123" s="7">
        <v>0</v>
      </c>
      <c r="K12123" s="7" t="s">
        <v>18</v>
      </c>
      <c r="L12123" s="8">
        <v>39987.315405092595</v>
      </c>
      <c r="M12123" s="9" t="s">
        <v>19</v>
      </c>
      <c r="N12123" s="9" t="s">
        <v>20</v>
      </c>
      <c r="O12123" s="6" t="str">
        <f>HYPERLINK("https://pbs.twimg.com/profile_images/962471262747529216/Uo8lOkRJ_normal.jpg","View")</f>
        <v>View</v>
      </c>
      <c r="P12123" s="7"/>
    </row>
    <row r="12124" spans="1:16">
      <c r="A12124" s="3">
        <v>44158.76357638889</v>
      </c>
      <c r="B12124" s="4" t="str">
        <f>HYPERLINK("https://twitter.com/petrogustavo","@petrogustavo")</f>
        <v>@petrogustavo</v>
      </c>
      <c r="C12124" s="5" t="s">
        <v>16</v>
      </c>
      <c r="D12124" s="5" t="s">
        <v>11674</v>
      </c>
      <c r="E12124" s="6" t="str">
        <f>HYPERLINK("https://twitter.com/petrogustavo/status/1330856007883436038","1330856007883436038")</f>
        <v>1330856007883436038</v>
      </c>
      <c r="F12124" s="7" t="s">
        <v>32</v>
      </c>
      <c r="G12124" s="7">
        <v>4011513</v>
      </c>
      <c r="H12124" s="7">
        <v>2465</v>
      </c>
      <c r="I12124" s="7">
        <v>120</v>
      </c>
      <c r="J12124" s="7">
        <v>248</v>
      </c>
      <c r="K12124" s="7" t="s">
        <v>18</v>
      </c>
      <c r="L12124" s="8">
        <v>39987.315405092595</v>
      </c>
      <c r="M12124" s="9" t="s">
        <v>19</v>
      </c>
      <c r="N12124" s="9" t="s">
        <v>20</v>
      </c>
      <c r="O12124" s="6" t="str">
        <f>HYPERLINK("https://pbs.twimg.com/profile_images/962471262747529216/Uo8lOkRJ_normal.jpg","View")</f>
        <v>View</v>
      </c>
      <c r="P12124" s="7"/>
    </row>
    <row r="12125" spans="1:16">
      <c r="A12125" s="3">
        <v>44158.770509259259</v>
      </c>
      <c r="B12125" s="4" t="str">
        <f>HYPERLINK("https://twitter.com/petrogustavo","@petrogustavo")</f>
        <v>@petrogustavo</v>
      </c>
      <c r="C12125" s="5" t="s">
        <v>16</v>
      </c>
      <c r="D12125" s="5" t="s">
        <v>11675</v>
      </c>
      <c r="E12125" s="6" t="str">
        <f>HYPERLINK("https://twitter.com/petrogustavo/status/1330858520527462402","1330858520527462402")</f>
        <v>1330858520527462402</v>
      </c>
      <c r="F12125" s="7" t="s">
        <v>17</v>
      </c>
      <c r="G12125" s="7">
        <v>4011513</v>
      </c>
      <c r="H12125" s="7">
        <v>2465</v>
      </c>
      <c r="I12125" s="7">
        <v>258</v>
      </c>
      <c r="J12125" s="7">
        <v>0</v>
      </c>
      <c r="K12125" s="7" t="s">
        <v>18</v>
      </c>
      <c r="L12125" s="8">
        <v>39987.315405092595</v>
      </c>
      <c r="M12125" s="9" t="s">
        <v>19</v>
      </c>
      <c r="N12125" s="9" t="s">
        <v>20</v>
      </c>
      <c r="O12125" s="6" t="str">
        <f>HYPERLINK("https://pbs.twimg.com/profile_images/962471262747529216/Uo8lOkRJ_normal.jpg","View")</f>
        <v>View</v>
      </c>
      <c r="P12125" s="7"/>
    </row>
    <row r="12126" spans="1:16">
      <c r="A12126" s="3">
        <v>44158.786006944443</v>
      </c>
      <c r="B12126" s="4" t="str">
        <f>HYPERLINK("https://twitter.com/petrogustavo","@petrogustavo")</f>
        <v>@petrogustavo</v>
      </c>
      <c r="C12126" s="5" t="s">
        <v>16</v>
      </c>
      <c r="D12126" s="5" t="s">
        <v>11676</v>
      </c>
      <c r="E12126" s="6" t="str">
        <f>HYPERLINK("https://twitter.com/petrogustavo/status/1330864139128934400","1330864139128934400")</f>
        <v>1330864139128934400</v>
      </c>
      <c r="F12126" s="7" t="s">
        <v>32</v>
      </c>
      <c r="G12126" s="7">
        <v>4011522</v>
      </c>
      <c r="H12126" s="7">
        <v>2465</v>
      </c>
      <c r="I12126" s="7">
        <v>16</v>
      </c>
      <c r="J12126" s="7">
        <v>0</v>
      </c>
      <c r="K12126" s="7" t="s">
        <v>18</v>
      </c>
      <c r="L12126" s="8">
        <v>39987.315405092595</v>
      </c>
      <c r="M12126" s="9" t="s">
        <v>19</v>
      </c>
      <c r="N12126" s="9" t="s">
        <v>20</v>
      </c>
      <c r="O12126" s="6" t="str">
        <f>HYPERLINK("https://pbs.twimg.com/profile_images/962471262747529216/Uo8lOkRJ_normal.jpg","View")</f>
        <v>View</v>
      </c>
      <c r="P12126" s="7"/>
    </row>
    <row r="12127" spans="1:16">
      <c r="A12127" s="3">
        <v>44158.787291666667</v>
      </c>
      <c r="B12127" s="4" t="str">
        <f>HYPERLINK("https://twitter.com/petrogustavo","@petrogustavo")</f>
        <v>@petrogustavo</v>
      </c>
      <c r="C12127" s="5" t="s">
        <v>16</v>
      </c>
      <c r="D12127" s="5" t="s">
        <v>11677</v>
      </c>
      <c r="E12127" s="6" t="str">
        <f>HYPERLINK("https://twitter.com/petrogustavo/status/1330864605342490626","1330864605342490626")</f>
        <v>1330864605342490626</v>
      </c>
      <c r="F12127" s="7" t="s">
        <v>32</v>
      </c>
      <c r="G12127" s="7">
        <v>4011522</v>
      </c>
      <c r="H12127" s="7">
        <v>2465</v>
      </c>
      <c r="I12127" s="7">
        <v>24</v>
      </c>
      <c r="J12127" s="7">
        <v>0</v>
      </c>
      <c r="K12127" s="7" t="s">
        <v>18</v>
      </c>
      <c r="L12127" s="8">
        <v>39987.315405092595</v>
      </c>
      <c r="M12127" s="9" t="s">
        <v>19</v>
      </c>
      <c r="N12127" s="9" t="s">
        <v>20</v>
      </c>
      <c r="O12127" s="6" t="str">
        <f>HYPERLINK("https://pbs.twimg.com/profile_images/962471262747529216/Uo8lOkRJ_normal.jpg","View")</f>
        <v>View</v>
      </c>
      <c r="P12127" s="7"/>
    </row>
    <row r="12128" spans="1:16">
      <c r="A12128" s="3">
        <v>44158.788865740746</v>
      </c>
      <c r="B12128" s="4" t="str">
        <f>HYPERLINK("https://twitter.com/petrogustavo","@petrogustavo")</f>
        <v>@petrogustavo</v>
      </c>
      <c r="C12128" s="5" t="s">
        <v>16</v>
      </c>
      <c r="D12128" s="5" t="s">
        <v>11678</v>
      </c>
      <c r="E12128" s="6" t="str">
        <f>HYPERLINK("https://twitter.com/petrogustavo/status/1330865174341955585","1330865174341955585")</f>
        <v>1330865174341955585</v>
      </c>
      <c r="F12128" s="7" t="s">
        <v>32</v>
      </c>
      <c r="G12128" s="7">
        <v>4011522</v>
      </c>
      <c r="H12128" s="7">
        <v>2465</v>
      </c>
      <c r="I12128" s="7">
        <v>39</v>
      </c>
      <c r="J12128" s="7">
        <v>120</v>
      </c>
      <c r="K12128" s="7" t="s">
        <v>18</v>
      </c>
      <c r="L12128" s="8">
        <v>39987.315405092595</v>
      </c>
      <c r="M12128" s="9" t="s">
        <v>19</v>
      </c>
      <c r="N12128" s="9" t="s">
        <v>20</v>
      </c>
      <c r="O12128" s="6" t="str">
        <f>HYPERLINK("https://pbs.twimg.com/profile_images/962471262747529216/Uo8lOkRJ_normal.jpg","View")</f>
        <v>View</v>
      </c>
      <c r="P12128" s="7"/>
    </row>
    <row r="12129" spans="1:16">
      <c r="A12129" s="3">
        <v>44158.808703703704</v>
      </c>
      <c r="B12129" s="4" t="str">
        <f>HYPERLINK("https://twitter.com/petrogustavo","@petrogustavo")</f>
        <v>@petrogustavo</v>
      </c>
      <c r="C12129" s="5" t="s">
        <v>16</v>
      </c>
      <c r="D12129" s="5" t="s">
        <v>11679</v>
      </c>
      <c r="E12129" s="6" t="str">
        <f>HYPERLINK("https://twitter.com/petrogustavo/status/1330872361558663175","1330872361558663175")</f>
        <v>1330872361558663175</v>
      </c>
      <c r="F12129" s="7" t="s">
        <v>32</v>
      </c>
      <c r="G12129" s="7">
        <v>4011532</v>
      </c>
      <c r="H12129" s="7">
        <v>2465</v>
      </c>
      <c r="I12129" s="7">
        <v>91</v>
      </c>
      <c r="J12129" s="7">
        <v>200</v>
      </c>
      <c r="K12129" s="7" t="s">
        <v>18</v>
      </c>
      <c r="L12129" s="8">
        <v>39987.315405092595</v>
      </c>
      <c r="M12129" s="9" t="s">
        <v>19</v>
      </c>
      <c r="N12129" s="9" t="s">
        <v>20</v>
      </c>
      <c r="O12129" s="6" t="str">
        <f>HYPERLINK("https://pbs.twimg.com/profile_images/962471262747529216/Uo8lOkRJ_normal.jpg","View")</f>
        <v>View</v>
      </c>
      <c r="P12129" s="7"/>
    </row>
    <row r="12130" spans="1:16">
      <c r="A12130" s="3">
        <v>44158.811620370368</v>
      </c>
      <c r="B12130" s="4" t="str">
        <f>HYPERLINK("https://twitter.com/petrogustavo","@petrogustavo")</f>
        <v>@petrogustavo</v>
      </c>
      <c r="C12130" s="5" t="s">
        <v>16</v>
      </c>
      <c r="D12130" s="5" t="s">
        <v>11680</v>
      </c>
      <c r="E12130" s="6" t="str">
        <f>HYPERLINK("https://twitter.com/petrogustavo/status/1330873419513126913","1330873419513126913")</f>
        <v>1330873419513126913</v>
      </c>
      <c r="F12130" s="7" t="s">
        <v>32</v>
      </c>
      <c r="G12130" s="7">
        <v>4011532</v>
      </c>
      <c r="H12130" s="7">
        <v>2465</v>
      </c>
      <c r="I12130" s="7">
        <v>74</v>
      </c>
      <c r="J12130" s="7">
        <v>247</v>
      </c>
      <c r="K12130" s="7" t="s">
        <v>18</v>
      </c>
      <c r="L12130" s="8">
        <v>39987.315405092595</v>
      </c>
      <c r="M12130" s="9" t="s">
        <v>19</v>
      </c>
      <c r="N12130" s="9" t="s">
        <v>20</v>
      </c>
      <c r="O12130" s="6" t="str">
        <f>HYPERLINK("https://pbs.twimg.com/profile_images/962471262747529216/Uo8lOkRJ_normal.jpg","View")</f>
        <v>View</v>
      </c>
      <c r="P12130" s="7"/>
    </row>
    <row r="12131" spans="1:16">
      <c r="A12131" s="3">
        <v>44158.819270833337</v>
      </c>
      <c r="B12131" s="4" t="str">
        <f>HYPERLINK("https://twitter.com/petrogustavo","@petrogustavo")</f>
        <v>@petrogustavo</v>
      </c>
      <c r="C12131" s="5" t="s">
        <v>16</v>
      </c>
      <c r="D12131" s="5" t="s">
        <v>11681</v>
      </c>
      <c r="E12131" s="6" t="str">
        <f>HYPERLINK("https://twitter.com/petrogustavo/status/1330876191235039235","1330876191235039235")</f>
        <v>1330876191235039235</v>
      </c>
      <c r="F12131" s="7" t="s">
        <v>17</v>
      </c>
      <c r="G12131" s="7">
        <v>4011532</v>
      </c>
      <c r="H12131" s="7">
        <v>2465</v>
      </c>
      <c r="I12131" s="7">
        <v>38</v>
      </c>
      <c r="J12131" s="7">
        <v>0</v>
      </c>
      <c r="K12131" s="7" t="s">
        <v>18</v>
      </c>
      <c r="L12131" s="8">
        <v>39987.315405092595</v>
      </c>
      <c r="M12131" s="9" t="s">
        <v>19</v>
      </c>
      <c r="N12131" s="9" t="s">
        <v>20</v>
      </c>
      <c r="O12131" s="6" t="str">
        <f>HYPERLINK("https://pbs.twimg.com/profile_images/962471262747529216/Uo8lOkRJ_normal.jpg","View")</f>
        <v>View</v>
      </c>
      <c r="P12131" s="7"/>
    </row>
    <row r="12132" spans="1:16">
      <c r="A12132" s="3">
        <v>44158.821539351848</v>
      </c>
      <c r="B12132" s="4" t="str">
        <f>HYPERLINK("https://twitter.com/petrogustavo","@petrogustavo")</f>
        <v>@petrogustavo</v>
      </c>
      <c r="C12132" s="5" t="s">
        <v>16</v>
      </c>
      <c r="D12132" s="5" t="s">
        <v>11682</v>
      </c>
      <c r="E12132" s="6" t="str">
        <f>HYPERLINK("https://twitter.com/petrogustavo/status/1330877014736314370","1330877014736314370")</f>
        <v>1330877014736314370</v>
      </c>
      <c r="F12132" s="7" t="s">
        <v>17</v>
      </c>
      <c r="G12132" s="7">
        <v>4011532</v>
      </c>
      <c r="H12132" s="7">
        <v>2465</v>
      </c>
      <c r="I12132" s="7">
        <v>91</v>
      </c>
      <c r="J12132" s="7">
        <v>0</v>
      </c>
      <c r="K12132" s="7" t="s">
        <v>18</v>
      </c>
      <c r="L12132" s="8">
        <v>39987.315405092595</v>
      </c>
      <c r="M12132" s="9" t="s">
        <v>19</v>
      </c>
      <c r="N12132" s="9" t="s">
        <v>20</v>
      </c>
      <c r="O12132" s="6" t="str">
        <f>HYPERLINK("https://pbs.twimg.com/profile_images/962471262747529216/Uo8lOkRJ_normal.jpg","View")</f>
        <v>View</v>
      </c>
      <c r="P12132" s="7"/>
    </row>
    <row r="12133" spans="1:16">
      <c r="A12133" s="3">
        <v>44158.821620370371</v>
      </c>
      <c r="B12133" s="4" t="str">
        <f>HYPERLINK("https://twitter.com/petrogustavo","@petrogustavo")</f>
        <v>@petrogustavo</v>
      </c>
      <c r="C12133" s="5" t="s">
        <v>16</v>
      </c>
      <c r="D12133" s="5" t="s">
        <v>11683</v>
      </c>
      <c r="E12133" s="6" t="str">
        <f>HYPERLINK("https://twitter.com/petrogustavo/status/1330877043064639488","1330877043064639488")</f>
        <v>1330877043064639488</v>
      </c>
      <c r="F12133" s="7" t="s">
        <v>17</v>
      </c>
      <c r="G12133" s="7">
        <v>4011532</v>
      </c>
      <c r="H12133" s="7">
        <v>2465</v>
      </c>
      <c r="I12133" s="7">
        <v>65</v>
      </c>
      <c r="J12133" s="7">
        <v>0</v>
      </c>
      <c r="K12133" s="7" t="s">
        <v>18</v>
      </c>
      <c r="L12133" s="8">
        <v>39987.315405092595</v>
      </c>
      <c r="M12133" s="9" t="s">
        <v>19</v>
      </c>
      <c r="N12133" s="9" t="s">
        <v>20</v>
      </c>
      <c r="O12133" s="6" t="str">
        <f>HYPERLINK("https://pbs.twimg.com/profile_images/962471262747529216/Uo8lOkRJ_normal.jpg","View")</f>
        <v>View</v>
      </c>
      <c r="P12133" s="7"/>
    </row>
    <row r="12134" spans="1:16">
      <c r="A12134" s="3">
        <v>44158.821701388893</v>
      </c>
      <c r="B12134" s="4" t="str">
        <f>HYPERLINK("https://twitter.com/petrogustavo","@petrogustavo")</f>
        <v>@petrogustavo</v>
      </c>
      <c r="C12134" s="5" t="s">
        <v>16</v>
      </c>
      <c r="D12134" s="5" t="s">
        <v>11673</v>
      </c>
      <c r="E12134" s="6" t="str">
        <f>HYPERLINK("https://twitter.com/petrogustavo/status/1330877072634503174","1330877072634503174")</f>
        <v>1330877072634503174</v>
      </c>
      <c r="F12134" s="7" t="s">
        <v>17</v>
      </c>
      <c r="G12134" s="7">
        <v>4011532</v>
      </c>
      <c r="H12134" s="7">
        <v>2465</v>
      </c>
      <c r="I12134" s="7">
        <v>413</v>
      </c>
      <c r="J12134" s="7">
        <v>0</v>
      </c>
      <c r="K12134" s="7" t="s">
        <v>18</v>
      </c>
      <c r="L12134" s="8">
        <v>39987.315405092595</v>
      </c>
      <c r="M12134" s="9" t="s">
        <v>19</v>
      </c>
      <c r="N12134" s="9" t="s">
        <v>20</v>
      </c>
      <c r="O12134" s="6" t="str">
        <f>HYPERLINK("https://pbs.twimg.com/profile_images/962471262747529216/Uo8lOkRJ_normal.jpg","View")</f>
        <v>View</v>
      </c>
      <c r="P12134" s="7"/>
    </row>
    <row r="12135" spans="1:16">
      <c r="A12135" s="3">
        <v>44158.841064814813</v>
      </c>
      <c r="B12135" s="4" t="str">
        <f>HYPERLINK("https://twitter.com/petrogustavo","@petrogustavo")</f>
        <v>@petrogustavo</v>
      </c>
      <c r="C12135" s="5" t="s">
        <v>16</v>
      </c>
      <c r="D12135" s="5" t="s">
        <v>11684</v>
      </c>
      <c r="E12135" s="6" t="str">
        <f>HYPERLINK("https://twitter.com/petrogustavo/status/1330884091001106433","1330884091001106433")</f>
        <v>1330884091001106433</v>
      </c>
      <c r="F12135" s="7" t="s">
        <v>32</v>
      </c>
      <c r="G12135" s="7">
        <v>4011561</v>
      </c>
      <c r="H12135" s="7">
        <v>2465</v>
      </c>
      <c r="I12135" s="7">
        <v>535</v>
      </c>
      <c r="J12135" s="7">
        <v>0</v>
      </c>
      <c r="K12135" s="7" t="s">
        <v>18</v>
      </c>
      <c r="L12135" s="8">
        <v>39987.315405092595</v>
      </c>
      <c r="M12135" s="9" t="s">
        <v>19</v>
      </c>
      <c r="N12135" s="9" t="s">
        <v>20</v>
      </c>
      <c r="O12135" s="6" t="str">
        <f>HYPERLINK("https://pbs.twimg.com/profile_images/962471262747529216/Uo8lOkRJ_normal.jpg","View")</f>
        <v>View</v>
      </c>
      <c r="P12135" s="7"/>
    </row>
    <row r="12136" spans="1:16">
      <c r="A12136" s="3">
        <v>44158.845324074078</v>
      </c>
      <c r="B12136" s="4" t="str">
        <f>HYPERLINK("https://twitter.com/petrogustavo","@petrogustavo")</f>
        <v>@petrogustavo</v>
      </c>
      <c r="C12136" s="5" t="s">
        <v>16</v>
      </c>
      <c r="D12136" s="5" t="s">
        <v>11685</v>
      </c>
      <c r="E12136" s="6" t="str">
        <f>HYPERLINK("https://twitter.com/petrogustavo/status/1330885634685333507","1330885634685333507")</f>
        <v>1330885634685333507</v>
      </c>
      <c r="F12136" s="7" t="s">
        <v>32</v>
      </c>
      <c r="G12136" s="7">
        <v>4011561</v>
      </c>
      <c r="H12136" s="7">
        <v>2465</v>
      </c>
      <c r="I12136" s="7">
        <v>13</v>
      </c>
      <c r="J12136" s="7">
        <v>38</v>
      </c>
      <c r="K12136" s="7" t="s">
        <v>18</v>
      </c>
      <c r="L12136" s="8">
        <v>39987.315405092595</v>
      </c>
      <c r="M12136" s="9" t="s">
        <v>19</v>
      </c>
      <c r="N12136" s="9" t="s">
        <v>20</v>
      </c>
      <c r="O12136" s="6" t="str">
        <f>HYPERLINK("https://pbs.twimg.com/profile_images/962471262747529216/Uo8lOkRJ_normal.jpg","View")</f>
        <v>View</v>
      </c>
      <c r="P12136" s="7"/>
    </row>
    <row r="12137" spans="1:16">
      <c r="A12137" s="3">
        <v>44158.84674768518</v>
      </c>
      <c r="B12137" s="4" t="str">
        <f>HYPERLINK("https://twitter.com/petrogustavo","@petrogustavo")</f>
        <v>@petrogustavo</v>
      </c>
      <c r="C12137" s="5" t="s">
        <v>16</v>
      </c>
      <c r="D12137" s="5" t="s">
        <v>11686</v>
      </c>
      <c r="E12137" s="6" t="str">
        <f>HYPERLINK("https://twitter.com/petrogustavo/status/1330886150551179266","1330886150551179266")</f>
        <v>1330886150551179266</v>
      </c>
      <c r="F12137" s="7" t="s">
        <v>32</v>
      </c>
      <c r="G12137" s="7">
        <v>4011571</v>
      </c>
      <c r="H12137" s="7">
        <v>2466</v>
      </c>
      <c r="I12137" s="7">
        <v>127</v>
      </c>
      <c r="J12137" s="7">
        <v>575</v>
      </c>
      <c r="K12137" s="7" t="s">
        <v>18</v>
      </c>
      <c r="L12137" s="8">
        <v>39987.315405092595</v>
      </c>
      <c r="M12137" s="9" t="s">
        <v>19</v>
      </c>
      <c r="N12137" s="9" t="s">
        <v>20</v>
      </c>
      <c r="O12137" s="6" t="str">
        <f>HYPERLINK("https://pbs.twimg.com/profile_images/962471262747529216/Uo8lOkRJ_normal.jpg","View")</f>
        <v>View</v>
      </c>
      <c r="P12137" s="7"/>
    </row>
    <row r="12138" spans="1:16">
      <c r="A12138" s="3">
        <v>44158.847430555557</v>
      </c>
      <c r="B12138" s="4" t="str">
        <f>HYPERLINK("https://twitter.com/petrogustavo","@petrogustavo")</f>
        <v>@petrogustavo</v>
      </c>
      <c r="C12138" s="5" t="s">
        <v>16</v>
      </c>
      <c r="D12138" s="5" t="s">
        <v>11658</v>
      </c>
      <c r="E12138" s="6" t="str">
        <f>HYPERLINK("https://twitter.com/petrogustavo/status/1330886399436988416","1330886399436988416")</f>
        <v>1330886399436988416</v>
      </c>
      <c r="F12138" s="7" t="s">
        <v>32</v>
      </c>
      <c r="G12138" s="7">
        <v>4011571</v>
      </c>
      <c r="H12138" s="7">
        <v>2466</v>
      </c>
      <c r="I12138" s="7">
        <v>550</v>
      </c>
      <c r="J12138" s="7">
        <v>0</v>
      </c>
      <c r="K12138" s="7" t="s">
        <v>18</v>
      </c>
      <c r="L12138" s="8">
        <v>39987.315405092595</v>
      </c>
      <c r="M12138" s="9" t="s">
        <v>19</v>
      </c>
      <c r="N12138" s="9" t="s">
        <v>20</v>
      </c>
      <c r="O12138" s="6" t="str">
        <f>HYPERLINK("https://pbs.twimg.com/profile_images/962471262747529216/Uo8lOkRJ_normal.jpg","View")</f>
        <v>View</v>
      </c>
      <c r="P12138" s="7"/>
    </row>
    <row r="12139" spans="1:16">
      <c r="A12139" s="3">
        <v>44158.89366898148</v>
      </c>
      <c r="B12139" s="4" t="str">
        <f>HYPERLINK("https://twitter.com/petrogustavo","@petrogustavo")</f>
        <v>@petrogustavo</v>
      </c>
      <c r="C12139" s="5" t="s">
        <v>16</v>
      </c>
      <c r="D12139" s="5" t="s">
        <v>11687</v>
      </c>
      <c r="E12139" s="6" t="str">
        <f>HYPERLINK("https://twitter.com/petrogustavo/status/1330903155115167744","1330903155115167744")</f>
        <v>1330903155115167744</v>
      </c>
      <c r="F12139" s="7" t="s">
        <v>17</v>
      </c>
      <c r="G12139" s="7">
        <v>4011603</v>
      </c>
      <c r="H12139" s="7">
        <v>2466</v>
      </c>
      <c r="I12139" s="7">
        <v>116</v>
      </c>
      <c r="J12139" s="7">
        <v>409</v>
      </c>
      <c r="K12139" s="7" t="s">
        <v>18</v>
      </c>
      <c r="L12139" s="8">
        <v>39987.315405092595</v>
      </c>
      <c r="M12139" s="9" t="s">
        <v>19</v>
      </c>
      <c r="N12139" s="9" t="s">
        <v>20</v>
      </c>
      <c r="O12139" s="6" t="str">
        <f>HYPERLINK("https://pbs.twimg.com/profile_images/962471262747529216/Uo8lOkRJ_normal.jpg","View")</f>
        <v>View</v>
      </c>
      <c r="P12139" s="7"/>
    </row>
    <row r="12140" spans="1:16">
      <c r="A12140" s="3">
        <v>44159.004502314812</v>
      </c>
      <c r="B12140" s="4" t="str">
        <f>HYPERLINK("https://twitter.com/petrogustavo","@petrogustavo")</f>
        <v>@petrogustavo</v>
      </c>
      <c r="C12140" s="5" t="s">
        <v>16</v>
      </c>
      <c r="D12140" s="5" t="s">
        <v>11688</v>
      </c>
      <c r="E12140" s="6" t="str">
        <f>HYPERLINK("https://twitter.com/petrogustavo/status/1330943317882904577","1330943317882904577")</f>
        <v>1330943317882904577</v>
      </c>
      <c r="F12140" s="7" t="s">
        <v>17</v>
      </c>
      <c r="G12140" s="7">
        <v>4011659</v>
      </c>
      <c r="H12140" s="7">
        <v>2466</v>
      </c>
      <c r="I12140" s="7">
        <v>38</v>
      </c>
      <c r="J12140" s="7">
        <v>120</v>
      </c>
      <c r="K12140" s="7" t="s">
        <v>18</v>
      </c>
      <c r="L12140" s="8">
        <v>39987.315405092595</v>
      </c>
      <c r="M12140" s="9" t="s">
        <v>19</v>
      </c>
      <c r="N12140" s="9" t="s">
        <v>20</v>
      </c>
      <c r="O12140" s="6" t="str">
        <f>HYPERLINK("https://pbs.twimg.com/profile_images/962471262747529216/Uo8lOkRJ_normal.jpg","View")</f>
        <v>View</v>
      </c>
      <c r="P12140" s="7"/>
    </row>
    <row r="12141" spans="1:16">
      <c r="A12141" s="3">
        <v>44159.006944444445</v>
      </c>
      <c r="B12141" s="4" t="str">
        <f>HYPERLINK("https://twitter.com/petrogustavo","@petrogustavo")</f>
        <v>@petrogustavo</v>
      </c>
      <c r="C12141" s="5" t="s">
        <v>16</v>
      </c>
      <c r="D12141" s="5" t="s">
        <v>11689</v>
      </c>
      <c r="E12141" s="6" t="str">
        <f>HYPERLINK("https://twitter.com/petrogustavo/status/1330944205460541440","1330944205460541440")</f>
        <v>1330944205460541440</v>
      </c>
      <c r="F12141" s="7" t="s">
        <v>17</v>
      </c>
      <c r="G12141" s="7">
        <v>4011659</v>
      </c>
      <c r="H12141" s="7">
        <v>2466</v>
      </c>
      <c r="I12141" s="7">
        <v>46</v>
      </c>
      <c r="J12141" s="7">
        <v>0</v>
      </c>
      <c r="K12141" s="7" t="s">
        <v>18</v>
      </c>
      <c r="L12141" s="8">
        <v>39987.315405092595</v>
      </c>
      <c r="M12141" s="9" t="s">
        <v>19</v>
      </c>
      <c r="N12141" s="9" t="s">
        <v>20</v>
      </c>
      <c r="O12141" s="6" t="str">
        <f>HYPERLINK("https://pbs.twimg.com/profile_images/962471262747529216/Uo8lOkRJ_normal.jpg","View")</f>
        <v>View</v>
      </c>
      <c r="P12141" s="7"/>
    </row>
    <row r="12142" spans="1:16">
      <c r="A12142" s="3">
        <v>44159.007094907407</v>
      </c>
      <c r="B12142" s="4" t="str">
        <f>HYPERLINK("https://twitter.com/petrogustavo","@petrogustavo")</f>
        <v>@petrogustavo</v>
      </c>
      <c r="C12142" s="5" t="s">
        <v>16</v>
      </c>
      <c r="D12142" s="5" t="s">
        <v>11690</v>
      </c>
      <c r="E12142" s="6" t="str">
        <f>HYPERLINK("https://twitter.com/petrogustavo/status/1330944257226584066","1330944257226584066")</f>
        <v>1330944257226584066</v>
      </c>
      <c r="F12142" s="7" t="s">
        <v>17</v>
      </c>
      <c r="G12142" s="7">
        <v>4011659</v>
      </c>
      <c r="H12142" s="7">
        <v>2466</v>
      </c>
      <c r="I12142" s="7">
        <v>38</v>
      </c>
      <c r="J12142" s="7">
        <v>0</v>
      </c>
      <c r="K12142" s="7" t="s">
        <v>18</v>
      </c>
      <c r="L12142" s="8">
        <v>39987.315405092595</v>
      </c>
      <c r="M12142" s="9" t="s">
        <v>19</v>
      </c>
      <c r="N12142" s="9" t="s">
        <v>20</v>
      </c>
      <c r="O12142" s="6" t="str">
        <f>HYPERLINK("https://pbs.twimg.com/profile_images/962471262747529216/Uo8lOkRJ_normal.jpg","View")</f>
        <v>View</v>
      </c>
      <c r="P12142" s="7"/>
    </row>
    <row r="12143" spans="1:16">
      <c r="A12143" s="3">
        <v>44159.014421296291</v>
      </c>
      <c r="B12143" s="4" t="str">
        <f>HYPERLINK("https://twitter.com/petrogustavo","@petrogustavo")</f>
        <v>@petrogustavo</v>
      </c>
      <c r="C12143" s="5" t="s">
        <v>16</v>
      </c>
      <c r="D12143" s="5" t="s">
        <v>11691</v>
      </c>
      <c r="E12143" s="6" t="str">
        <f>HYPERLINK("https://twitter.com/petrogustavo/status/1330946912279736322","1330946912279736322")</f>
        <v>1330946912279736322</v>
      </c>
      <c r="F12143" s="7" t="s">
        <v>17</v>
      </c>
      <c r="G12143" s="7">
        <v>4011675</v>
      </c>
      <c r="H12143" s="7">
        <v>2466</v>
      </c>
      <c r="I12143" s="7">
        <v>83</v>
      </c>
      <c r="J12143" s="7">
        <v>249</v>
      </c>
      <c r="K12143" s="7" t="s">
        <v>18</v>
      </c>
      <c r="L12143" s="8">
        <v>39987.315405092595</v>
      </c>
      <c r="M12143" s="9" t="s">
        <v>19</v>
      </c>
      <c r="N12143" s="9" t="s">
        <v>20</v>
      </c>
      <c r="O12143" s="6" t="str">
        <f>HYPERLINK("https://pbs.twimg.com/profile_images/962471262747529216/Uo8lOkRJ_normal.jpg","View")</f>
        <v>View</v>
      </c>
      <c r="P12143" s="7"/>
    </row>
    <row r="12144" spans="1:16">
      <c r="A12144" s="3">
        <v>44159.277777777781</v>
      </c>
      <c r="B12144" s="4" t="str">
        <f>HYPERLINK("https://twitter.com/petrogustavo","@petrogustavo")</f>
        <v>@petrogustavo</v>
      </c>
      <c r="C12144" s="5" t="s">
        <v>16</v>
      </c>
      <c r="D12144" s="5" t="s">
        <v>11692</v>
      </c>
      <c r="E12144" s="6" t="str">
        <f>HYPERLINK("https://twitter.com/petrogustavo/status/1331042349443584000","1331042349443584000")</f>
        <v>1331042349443584000</v>
      </c>
      <c r="F12144" s="7" t="s">
        <v>17</v>
      </c>
      <c r="G12144" s="7">
        <v>4011800</v>
      </c>
      <c r="H12144" s="7">
        <v>2465</v>
      </c>
      <c r="I12144" s="7">
        <v>92</v>
      </c>
      <c r="J12144" s="7">
        <v>0</v>
      </c>
      <c r="K12144" s="7" t="s">
        <v>18</v>
      </c>
      <c r="L12144" s="8">
        <v>39987.315405092595</v>
      </c>
      <c r="M12144" s="9" t="s">
        <v>19</v>
      </c>
      <c r="N12144" s="9" t="s">
        <v>20</v>
      </c>
      <c r="O12144" s="6" t="str">
        <f>HYPERLINK("https://pbs.twimg.com/profile_images/962471262747529216/Uo8lOkRJ_normal.jpg","View")</f>
        <v>View</v>
      </c>
      <c r="P12144" s="7"/>
    </row>
    <row r="12145" spans="1:16">
      <c r="A12145" s="3">
        <v>44159.279641203699</v>
      </c>
      <c r="B12145" s="4" t="str">
        <f>HYPERLINK("https://twitter.com/petrogustavo","@petrogustavo")</f>
        <v>@petrogustavo</v>
      </c>
      <c r="C12145" s="5" t="s">
        <v>16</v>
      </c>
      <c r="D12145" s="5" t="s">
        <v>11693</v>
      </c>
      <c r="E12145" s="6" t="str">
        <f>HYPERLINK("https://twitter.com/petrogustavo/status/1331043026525958144","1331043026525958144")</f>
        <v>1331043026525958144</v>
      </c>
      <c r="F12145" s="7" t="s">
        <v>17</v>
      </c>
      <c r="G12145" s="7">
        <v>4011800</v>
      </c>
      <c r="H12145" s="7">
        <v>2465</v>
      </c>
      <c r="I12145" s="7">
        <v>115</v>
      </c>
      <c r="J12145" s="7">
        <v>0</v>
      </c>
      <c r="K12145" s="7" t="s">
        <v>18</v>
      </c>
      <c r="L12145" s="8">
        <v>39987.315405092595</v>
      </c>
      <c r="M12145" s="9" t="s">
        <v>19</v>
      </c>
      <c r="N12145" s="9" t="s">
        <v>20</v>
      </c>
      <c r="O12145" s="6" t="str">
        <f>HYPERLINK("https://pbs.twimg.com/profile_images/962471262747529216/Uo8lOkRJ_normal.jpg","View")</f>
        <v>View</v>
      </c>
      <c r="P12145" s="7"/>
    </row>
    <row r="12146" spans="1:16">
      <c r="A12146" s="3">
        <v>44159.284178240741</v>
      </c>
      <c r="B12146" s="4" t="str">
        <f>HYPERLINK("https://twitter.com/petrogustavo","@petrogustavo")</f>
        <v>@petrogustavo</v>
      </c>
      <c r="C12146" s="5" t="s">
        <v>16</v>
      </c>
      <c r="D12146" s="5" t="s">
        <v>11694</v>
      </c>
      <c r="E12146" s="6" t="str">
        <f>HYPERLINK("https://twitter.com/petrogustavo/status/1331044668809875457","1331044668809875457")</f>
        <v>1331044668809875457</v>
      </c>
      <c r="F12146" s="7" t="s">
        <v>17</v>
      </c>
      <c r="G12146" s="7">
        <v>4011818</v>
      </c>
      <c r="H12146" s="7">
        <v>2465</v>
      </c>
      <c r="I12146" s="7">
        <v>108</v>
      </c>
      <c r="J12146" s="7">
        <v>0</v>
      </c>
      <c r="K12146" s="7" t="s">
        <v>18</v>
      </c>
      <c r="L12146" s="8">
        <v>39987.315405092595</v>
      </c>
      <c r="M12146" s="9" t="s">
        <v>19</v>
      </c>
      <c r="N12146" s="9" t="s">
        <v>20</v>
      </c>
      <c r="O12146" s="6" t="str">
        <f>HYPERLINK("https://pbs.twimg.com/profile_images/962471262747529216/Uo8lOkRJ_normal.jpg","View")</f>
        <v>View</v>
      </c>
      <c r="P12146" s="7"/>
    </row>
    <row r="12147" spans="1:16">
      <c r="A12147" s="3">
        <v>44159.326458333337</v>
      </c>
      <c r="B12147" s="4" t="str">
        <f>HYPERLINK("https://twitter.com/petrogustavo","@petrogustavo")</f>
        <v>@petrogustavo</v>
      </c>
      <c r="C12147" s="5" t="s">
        <v>16</v>
      </c>
      <c r="D12147" s="5" t="s">
        <v>11695</v>
      </c>
      <c r="E12147" s="6" t="str">
        <f>HYPERLINK("https://twitter.com/petrogustavo/status/1331059992976297984","1331059992976297984")</f>
        <v>1331059992976297984</v>
      </c>
      <c r="F12147" s="7" t="s">
        <v>17</v>
      </c>
      <c r="G12147" s="7">
        <v>4011846</v>
      </c>
      <c r="H12147" s="7">
        <v>2465</v>
      </c>
      <c r="I12147" s="7">
        <v>34</v>
      </c>
      <c r="J12147" s="7">
        <v>0</v>
      </c>
      <c r="K12147" s="7" t="s">
        <v>18</v>
      </c>
      <c r="L12147" s="8">
        <v>39987.315405092595</v>
      </c>
      <c r="M12147" s="9" t="s">
        <v>19</v>
      </c>
      <c r="N12147" s="9" t="s">
        <v>20</v>
      </c>
      <c r="O12147" s="6" t="str">
        <f>HYPERLINK("https://pbs.twimg.com/profile_images/962471262747529216/Uo8lOkRJ_normal.jpg","View")</f>
        <v>View</v>
      </c>
      <c r="P12147" s="7"/>
    </row>
    <row r="12148" spans="1:16">
      <c r="A12148" s="3">
        <v>44159.703530092593</v>
      </c>
      <c r="B12148" s="4" t="str">
        <f>HYPERLINK("https://twitter.com/petrogustavo","@petrogustavo")</f>
        <v>@petrogustavo</v>
      </c>
      <c r="C12148" s="5" t="s">
        <v>16</v>
      </c>
      <c r="D12148" s="5" t="s">
        <v>11696</v>
      </c>
      <c r="E12148" s="6" t="str">
        <f>HYPERLINK("https://twitter.com/petrogustavo/status/1331196638220738560","1331196638220738560")</f>
        <v>1331196638220738560</v>
      </c>
      <c r="F12148" s="7" t="s">
        <v>17</v>
      </c>
      <c r="G12148" s="7">
        <v>4011882</v>
      </c>
      <c r="H12148" s="7">
        <v>2465</v>
      </c>
      <c r="I12148" s="7">
        <v>24</v>
      </c>
      <c r="J12148" s="7">
        <v>0</v>
      </c>
      <c r="K12148" s="7" t="s">
        <v>18</v>
      </c>
      <c r="L12148" s="8">
        <v>39987.315405092595</v>
      </c>
      <c r="M12148" s="9" t="s">
        <v>19</v>
      </c>
      <c r="N12148" s="9" t="s">
        <v>20</v>
      </c>
      <c r="O12148" s="6" t="str">
        <f>HYPERLINK("https://pbs.twimg.com/profile_images/962471262747529216/Uo8lOkRJ_normal.jpg","View")</f>
        <v>View</v>
      </c>
      <c r="P12148" s="7"/>
    </row>
    <row r="12149" spans="1:16">
      <c r="A12149" s="3">
        <v>44159.710810185185</v>
      </c>
      <c r="B12149" s="4" t="str">
        <f>HYPERLINK("https://twitter.com/petrogustavo","@petrogustavo")</f>
        <v>@petrogustavo</v>
      </c>
      <c r="C12149" s="5" t="s">
        <v>16</v>
      </c>
      <c r="D12149" s="5" t="s">
        <v>11697</v>
      </c>
      <c r="E12149" s="6" t="str">
        <f>HYPERLINK("https://twitter.com/petrogustavo/status/1331199274290384896","1331199274290384896")</f>
        <v>1331199274290384896</v>
      </c>
      <c r="F12149" s="7" t="s">
        <v>17</v>
      </c>
      <c r="G12149" s="7">
        <v>4011882</v>
      </c>
      <c r="H12149" s="7">
        <v>2465</v>
      </c>
      <c r="I12149" s="7">
        <v>88</v>
      </c>
      <c r="J12149" s="7">
        <v>285</v>
      </c>
      <c r="K12149" s="7" t="s">
        <v>18</v>
      </c>
      <c r="L12149" s="8">
        <v>39987.315405092595</v>
      </c>
      <c r="M12149" s="9" t="s">
        <v>19</v>
      </c>
      <c r="N12149" s="9" t="s">
        <v>20</v>
      </c>
      <c r="O12149" s="6" t="str">
        <f>HYPERLINK("https://pbs.twimg.com/profile_images/962471262747529216/Uo8lOkRJ_normal.jpg","View")</f>
        <v>View</v>
      </c>
      <c r="P12149" s="7"/>
    </row>
    <row r="12150" spans="1:16">
      <c r="A12150" s="3">
        <v>44159.711469907408</v>
      </c>
      <c r="B12150" s="4" t="str">
        <f>HYPERLINK("https://twitter.com/petrogustavo","@petrogustavo")</f>
        <v>@petrogustavo</v>
      </c>
      <c r="C12150" s="5" t="s">
        <v>16</v>
      </c>
      <c r="D12150" s="5" t="s">
        <v>11698</v>
      </c>
      <c r="E12150" s="6" t="str">
        <f>HYPERLINK("https://twitter.com/petrogustavo/status/1331199515651694597","1331199515651694597")</f>
        <v>1331199515651694597</v>
      </c>
      <c r="F12150" s="7" t="s">
        <v>17</v>
      </c>
      <c r="G12150" s="7">
        <v>4011882</v>
      </c>
      <c r="H12150" s="7">
        <v>2465</v>
      </c>
      <c r="I12150" s="7">
        <v>52</v>
      </c>
      <c r="J12150" s="7">
        <v>0</v>
      </c>
      <c r="K12150" s="7" t="s">
        <v>18</v>
      </c>
      <c r="L12150" s="8">
        <v>39987.315405092595</v>
      </c>
      <c r="M12150" s="9" t="s">
        <v>19</v>
      </c>
      <c r="N12150" s="9" t="s">
        <v>20</v>
      </c>
      <c r="O12150" s="6" t="str">
        <f>HYPERLINK("https://pbs.twimg.com/profile_images/962471262747529216/Uo8lOkRJ_normal.jpg","View")</f>
        <v>View</v>
      </c>
      <c r="P12150" s="7"/>
    </row>
    <row r="12151" spans="1:16">
      <c r="A12151" s="3">
        <v>44159.711701388893</v>
      </c>
      <c r="B12151" s="4" t="str">
        <f>HYPERLINK("https://twitter.com/petrogustavo","@petrogustavo")</f>
        <v>@petrogustavo</v>
      </c>
      <c r="C12151" s="5" t="s">
        <v>16</v>
      </c>
      <c r="D12151" s="5" t="s">
        <v>11699</v>
      </c>
      <c r="E12151" s="6" t="str">
        <f>HYPERLINK("https://twitter.com/petrogustavo/status/1331199597050556419","1331199597050556419")</f>
        <v>1331199597050556419</v>
      </c>
      <c r="F12151" s="7" t="s">
        <v>17</v>
      </c>
      <c r="G12151" s="7">
        <v>4011882</v>
      </c>
      <c r="H12151" s="7">
        <v>2465</v>
      </c>
      <c r="I12151" s="7">
        <v>13</v>
      </c>
      <c r="J12151" s="7">
        <v>0</v>
      </c>
      <c r="K12151" s="7" t="s">
        <v>18</v>
      </c>
      <c r="L12151" s="8">
        <v>39987.315405092595</v>
      </c>
      <c r="M12151" s="9" t="s">
        <v>19</v>
      </c>
      <c r="N12151" s="9" t="s">
        <v>20</v>
      </c>
      <c r="O12151" s="6" t="str">
        <f>HYPERLINK("https://pbs.twimg.com/profile_images/962471262747529216/Uo8lOkRJ_normal.jpg","View")</f>
        <v>View</v>
      </c>
      <c r="P12151" s="7"/>
    </row>
    <row r="12152" spans="1:16">
      <c r="A12152" s="3">
        <v>44159.715636574074</v>
      </c>
      <c r="B12152" s="4" t="str">
        <f>HYPERLINK("https://twitter.com/petrogustavo","@petrogustavo")</f>
        <v>@petrogustavo</v>
      </c>
      <c r="C12152" s="5" t="s">
        <v>16</v>
      </c>
      <c r="D12152" s="5" t="s">
        <v>11700</v>
      </c>
      <c r="E12152" s="6" t="str">
        <f>HYPERLINK("https://twitter.com/petrogustavo/status/1331201026456743936","1331201026456743936")</f>
        <v>1331201026456743936</v>
      </c>
      <c r="F12152" s="7" t="s">
        <v>17</v>
      </c>
      <c r="G12152" s="7">
        <v>4011882</v>
      </c>
      <c r="H12152" s="7">
        <v>2465</v>
      </c>
      <c r="I12152" s="7">
        <v>27</v>
      </c>
      <c r="J12152" s="7">
        <v>83</v>
      </c>
      <c r="K12152" s="7" t="s">
        <v>18</v>
      </c>
      <c r="L12152" s="8">
        <v>39987.315405092595</v>
      </c>
      <c r="M12152" s="9" t="s">
        <v>19</v>
      </c>
      <c r="N12152" s="9" t="s">
        <v>20</v>
      </c>
      <c r="O12152" s="6" t="str">
        <f>HYPERLINK("https://pbs.twimg.com/profile_images/962471262747529216/Uo8lOkRJ_normal.jpg","View")</f>
        <v>View</v>
      </c>
      <c r="P12152" s="7"/>
    </row>
    <row r="12153" spans="1:16">
      <c r="A12153" s="3">
        <v>44159.718206018515</v>
      </c>
      <c r="B12153" s="4" t="str">
        <f>HYPERLINK("https://twitter.com/petrogustavo","@petrogustavo")</f>
        <v>@petrogustavo</v>
      </c>
      <c r="C12153" s="5" t="s">
        <v>16</v>
      </c>
      <c r="D12153" s="5" t="s">
        <v>11701</v>
      </c>
      <c r="E12153" s="6" t="str">
        <f>HYPERLINK("https://twitter.com/petrogustavo/status/1331201954601689089","1331201954601689089")</f>
        <v>1331201954601689089</v>
      </c>
      <c r="F12153" s="7" t="s">
        <v>17</v>
      </c>
      <c r="G12153" s="7">
        <v>4011882</v>
      </c>
      <c r="H12153" s="7">
        <v>2465</v>
      </c>
      <c r="I12153" s="7">
        <v>16</v>
      </c>
      <c r="J12153" s="7">
        <v>70</v>
      </c>
      <c r="K12153" s="7" t="s">
        <v>18</v>
      </c>
      <c r="L12153" s="8">
        <v>39987.315405092595</v>
      </c>
      <c r="M12153" s="9" t="s">
        <v>19</v>
      </c>
      <c r="N12153" s="9" t="s">
        <v>20</v>
      </c>
      <c r="O12153" s="6" t="str">
        <f>HYPERLINK("https://pbs.twimg.com/profile_images/962471262747529216/Uo8lOkRJ_normal.jpg","View")</f>
        <v>View</v>
      </c>
      <c r="P12153" s="7"/>
    </row>
    <row r="12154" spans="1:16">
      <c r="A12154" s="3">
        <v>44159.720358796301</v>
      </c>
      <c r="B12154" s="4" t="str">
        <f>HYPERLINK("https://twitter.com/petrogustavo","@petrogustavo")</f>
        <v>@petrogustavo</v>
      </c>
      <c r="C12154" s="5" t="s">
        <v>16</v>
      </c>
      <c r="D12154" s="5" t="s">
        <v>11702</v>
      </c>
      <c r="E12154" s="6" t="str">
        <f>HYPERLINK("https://twitter.com/petrogustavo/status/1331202735006478341","1331202735006478341")</f>
        <v>1331202735006478341</v>
      </c>
      <c r="F12154" s="7" t="s">
        <v>17</v>
      </c>
      <c r="G12154" s="7">
        <v>4011882</v>
      </c>
      <c r="H12154" s="7">
        <v>2465</v>
      </c>
      <c r="I12154" s="7">
        <v>5</v>
      </c>
      <c r="J12154" s="7">
        <v>13</v>
      </c>
      <c r="K12154" s="7" t="s">
        <v>18</v>
      </c>
      <c r="L12154" s="8">
        <v>39987.315405092595</v>
      </c>
      <c r="M12154" s="9" t="s">
        <v>19</v>
      </c>
      <c r="N12154" s="9" t="s">
        <v>20</v>
      </c>
      <c r="O12154" s="6" t="str">
        <f>HYPERLINK("https://pbs.twimg.com/profile_images/962471262747529216/Uo8lOkRJ_normal.jpg","View")</f>
        <v>View</v>
      </c>
      <c r="P12154" s="7"/>
    </row>
    <row r="12155" spans="1:16">
      <c r="A12155" s="3">
        <v>44159.724120370374</v>
      </c>
      <c r="B12155" s="4" t="str">
        <f>HYPERLINK("https://twitter.com/petrogustavo","@petrogustavo")</f>
        <v>@petrogustavo</v>
      </c>
      <c r="C12155" s="5" t="s">
        <v>16</v>
      </c>
      <c r="D12155" s="5" t="s">
        <v>11703</v>
      </c>
      <c r="E12155" s="6" t="str">
        <f>HYPERLINK("https://twitter.com/petrogustavo/status/1331204098327240704","1331204098327240704")</f>
        <v>1331204098327240704</v>
      </c>
      <c r="F12155" s="7" t="s">
        <v>17</v>
      </c>
      <c r="G12155" s="7">
        <v>4011889</v>
      </c>
      <c r="H12155" s="7">
        <v>2465</v>
      </c>
      <c r="I12155" s="7">
        <v>42</v>
      </c>
      <c r="J12155" s="7">
        <v>153</v>
      </c>
      <c r="K12155" s="7" t="s">
        <v>18</v>
      </c>
      <c r="L12155" s="8">
        <v>39987.315405092595</v>
      </c>
      <c r="M12155" s="9" t="s">
        <v>19</v>
      </c>
      <c r="N12155" s="9" t="s">
        <v>20</v>
      </c>
      <c r="O12155" s="6" t="str">
        <f>HYPERLINK("https://pbs.twimg.com/profile_images/962471262747529216/Uo8lOkRJ_normal.jpg","View")</f>
        <v>View</v>
      </c>
      <c r="P12155" s="7"/>
    </row>
    <row r="12156" spans="1:16">
      <c r="A12156" s="3">
        <v>44159.725960648153</v>
      </c>
      <c r="B12156" s="4" t="str">
        <f>HYPERLINK("https://twitter.com/petrogustavo","@petrogustavo")</f>
        <v>@petrogustavo</v>
      </c>
      <c r="C12156" s="5" t="s">
        <v>16</v>
      </c>
      <c r="D12156" s="5" t="s">
        <v>11704</v>
      </c>
      <c r="E12156" s="6" t="str">
        <f>HYPERLINK("https://twitter.com/petrogustavo/status/1331204766928691200","1331204766928691200")</f>
        <v>1331204766928691200</v>
      </c>
      <c r="F12156" s="7" t="s">
        <v>17</v>
      </c>
      <c r="G12156" s="7">
        <v>4011889</v>
      </c>
      <c r="H12156" s="7">
        <v>2465</v>
      </c>
      <c r="I12156" s="7">
        <v>12</v>
      </c>
      <c r="J12156" s="7">
        <v>81</v>
      </c>
      <c r="K12156" s="7" t="s">
        <v>18</v>
      </c>
      <c r="L12156" s="8">
        <v>39987.315405092595</v>
      </c>
      <c r="M12156" s="9" t="s">
        <v>19</v>
      </c>
      <c r="N12156" s="9" t="s">
        <v>20</v>
      </c>
      <c r="O12156" s="6" t="str">
        <f>HYPERLINK("https://pbs.twimg.com/profile_images/962471262747529216/Uo8lOkRJ_normal.jpg","View")</f>
        <v>View</v>
      </c>
      <c r="P12156" s="7"/>
    </row>
    <row r="12157" spans="1:16">
      <c r="A12157" s="3">
        <v>44159.727442129632</v>
      </c>
      <c r="B12157" s="4" t="str">
        <f>HYPERLINK("https://twitter.com/petrogustavo","@petrogustavo")</f>
        <v>@petrogustavo</v>
      </c>
      <c r="C12157" s="5" t="s">
        <v>16</v>
      </c>
      <c r="D12157" s="5" t="s">
        <v>11705</v>
      </c>
      <c r="E12157" s="6" t="str">
        <f>HYPERLINK("https://twitter.com/petrogustavo/status/1331205304558743552","1331205304558743552")</f>
        <v>1331205304558743552</v>
      </c>
      <c r="F12157" s="7" t="s">
        <v>17</v>
      </c>
      <c r="G12157" s="7">
        <v>4011889</v>
      </c>
      <c r="H12157" s="7">
        <v>2465</v>
      </c>
      <c r="I12157" s="7">
        <v>15</v>
      </c>
      <c r="J12157" s="7">
        <v>70</v>
      </c>
      <c r="K12157" s="7" t="s">
        <v>18</v>
      </c>
      <c r="L12157" s="8">
        <v>39987.315405092595</v>
      </c>
      <c r="M12157" s="9" t="s">
        <v>19</v>
      </c>
      <c r="N12157" s="9" t="s">
        <v>20</v>
      </c>
      <c r="O12157" s="6" t="str">
        <f>HYPERLINK("https://pbs.twimg.com/profile_images/962471262747529216/Uo8lOkRJ_normal.jpg","View")</f>
        <v>View</v>
      </c>
      <c r="P12157" s="7"/>
    </row>
    <row r="12158" spans="1:16">
      <c r="A12158" s="3">
        <v>44159.729201388887</v>
      </c>
      <c r="B12158" s="4" t="str">
        <f>HYPERLINK("https://twitter.com/petrogustavo","@petrogustavo")</f>
        <v>@petrogustavo</v>
      </c>
      <c r="C12158" s="5" t="s">
        <v>16</v>
      </c>
      <c r="D12158" s="5" t="s">
        <v>11706</v>
      </c>
      <c r="E12158" s="6" t="str">
        <f>HYPERLINK("https://twitter.com/petrogustavo/status/1331205939131723777","1331205939131723777")</f>
        <v>1331205939131723777</v>
      </c>
      <c r="F12158" s="7" t="s">
        <v>17</v>
      </c>
      <c r="G12158" s="7">
        <v>4011889</v>
      </c>
      <c r="H12158" s="7">
        <v>2465</v>
      </c>
      <c r="I12158" s="7">
        <v>15</v>
      </c>
      <c r="J12158" s="7">
        <v>62</v>
      </c>
      <c r="K12158" s="7" t="s">
        <v>18</v>
      </c>
      <c r="L12158" s="8">
        <v>39987.315405092595</v>
      </c>
      <c r="M12158" s="9" t="s">
        <v>19</v>
      </c>
      <c r="N12158" s="9" t="s">
        <v>20</v>
      </c>
      <c r="O12158" s="6" t="str">
        <f>HYPERLINK("https://pbs.twimg.com/profile_images/962471262747529216/Uo8lOkRJ_normal.jpg","View")</f>
        <v>View</v>
      </c>
      <c r="P12158" s="7"/>
    </row>
    <row r="12159" spans="1:16">
      <c r="A12159" s="3">
        <v>44159.731087962966</v>
      </c>
      <c r="B12159" s="4" t="str">
        <f>HYPERLINK("https://twitter.com/petrogustavo","@petrogustavo")</f>
        <v>@petrogustavo</v>
      </c>
      <c r="C12159" s="5" t="s">
        <v>16</v>
      </c>
      <c r="D12159" s="5" t="s">
        <v>11707</v>
      </c>
      <c r="E12159" s="6" t="str">
        <f>HYPERLINK("https://twitter.com/petrogustavo/status/1331206623373758467","1331206623373758467")</f>
        <v>1331206623373758467</v>
      </c>
      <c r="F12159" s="7" t="s">
        <v>17</v>
      </c>
      <c r="G12159" s="7">
        <v>4011889</v>
      </c>
      <c r="H12159" s="7">
        <v>2465</v>
      </c>
      <c r="I12159" s="7">
        <v>72</v>
      </c>
      <c r="J12159" s="7">
        <v>253</v>
      </c>
      <c r="K12159" s="7" t="s">
        <v>18</v>
      </c>
      <c r="L12159" s="8">
        <v>39987.315405092595</v>
      </c>
      <c r="M12159" s="9" t="s">
        <v>19</v>
      </c>
      <c r="N12159" s="9" t="s">
        <v>20</v>
      </c>
      <c r="O12159" s="6" t="str">
        <f>HYPERLINK("https://pbs.twimg.com/profile_images/962471262747529216/Uo8lOkRJ_normal.jpg","View")</f>
        <v>View</v>
      </c>
      <c r="P12159" s="7"/>
    </row>
    <row r="12160" spans="1:16">
      <c r="A12160" s="3">
        <v>44159.733483796299</v>
      </c>
      <c r="B12160" s="4" t="str">
        <f>HYPERLINK("https://twitter.com/petrogustavo","@petrogustavo")</f>
        <v>@petrogustavo</v>
      </c>
      <c r="C12160" s="5" t="s">
        <v>16</v>
      </c>
      <c r="D12160" s="5" t="s">
        <v>11708</v>
      </c>
      <c r="E12160" s="6" t="str">
        <f>HYPERLINK("https://twitter.com/petrogustavo/status/1331207494174171136","1331207494174171136")</f>
        <v>1331207494174171136</v>
      </c>
      <c r="F12160" s="7" t="s">
        <v>17</v>
      </c>
      <c r="G12160" s="7">
        <v>4011889</v>
      </c>
      <c r="H12160" s="7">
        <v>2465</v>
      </c>
      <c r="I12160" s="7">
        <v>28</v>
      </c>
      <c r="J12160" s="7">
        <v>105</v>
      </c>
      <c r="K12160" s="7" t="s">
        <v>18</v>
      </c>
      <c r="L12160" s="8">
        <v>39987.315405092595</v>
      </c>
      <c r="M12160" s="9" t="s">
        <v>19</v>
      </c>
      <c r="N12160" s="9" t="s">
        <v>20</v>
      </c>
      <c r="O12160" s="6" t="str">
        <f>HYPERLINK("https://pbs.twimg.com/profile_images/962471262747529216/Uo8lOkRJ_normal.jpg","View")</f>
        <v>View</v>
      </c>
      <c r="P12160" s="7"/>
    </row>
    <row r="12161" spans="1:16">
      <c r="A12161" s="3">
        <v>44159.735590277778</v>
      </c>
      <c r="B12161" s="4" t="str">
        <f>HYPERLINK("https://twitter.com/petrogustavo","@petrogustavo")</f>
        <v>@petrogustavo</v>
      </c>
      <c r="C12161" s="5" t="s">
        <v>16</v>
      </c>
      <c r="D12161" s="5" t="s">
        <v>11709</v>
      </c>
      <c r="E12161" s="6" t="str">
        <f>HYPERLINK("https://twitter.com/petrogustavo/status/1331208256354725888","1331208256354725888")</f>
        <v>1331208256354725888</v>
      </c>
      <c r="F12161" s="7" t="s">
        <v>17</v>
      </c>
      <c r="G12161" s="7">
        <v>4011889</v>
      </c>
      <c r="H12161" s="7">
        <v>2465</v>
      </c>
      <c r="I12161" s="7">
        <v>17</v>
      </c>
      <c r="J12161" s="7">
        <v>74</v>
      </c>
      <c r="K12161" s="7" t="s">
        <v>18</v>
      </c>
      <c r="L12161" s="8">
        <v>39987.315405092595</v>
      </c>
      <c r="M12161" s="9" t="s">
        <v>19</v>
      </c>
      <c r="N12161" s="9" t="s">
        <v>20</v>
      </c>
      <c r="O12161" s="6" t="str">
        <f>HYPERLINK("https://pbs.twimg.com/profile_images/962471262747529216/Uo8lOkRJ_normal.jpg","View")</f>
        <v>View</v>
      </c>
      <c r="P12161" s="7"/>
    </row>
    <row r="12162" spans="1:16">
      <c r="A12162" s="3">
        <v>44159.737870370373</v>
      </c>
      <c r="B12162" s="4" t="str">
        <f>HYPERLINK("https://twitter.com/petrogustavo","@petrogustavo")</f>
        <v>@petrogustavo</v>
      </c>
      <c r="C12162" s="5" t="s">
        <v>16</v>
      </c>
      <c r="D12162" s="5" t="s">
        <v>11710</v>
      </c>
      <c r="E12162" s="6" t="str">
        <f>HYPERLINK("https://twitter.com/petrogustavo/status/1331209080602562562","1331209080602562562")</f>
        <v>1331209080602562562</v>
      </c>
      <c r="F12162" s="7" t="s">
        <v>17</v>
      </c>
      <c r="G12162" s="7">
        <v>4011889</v>
      </c>
      <c r="H12162" s="7">
        <v>2465</v>
      </c>
      <c r="I12162" s="7">
        <v>11</v>
      </c>
      <c r="J12162" s="7">
        <v>41</v>
      </c>
      <c r="K12162" s="7" t="s">
        <v>18</v>
      </c>
      <c r="L12162" s="8">
        <v>39987.315405092595</v>
      </c>
      <c r="M12162" s="9" t="s">
        <v>19</v>
      </c>
      <c r="N12162" s="9" t="s">
        <v>20</v>
      </c>
      <c r="O12162" s="6" t="str">
        <f>HYPERLINK("https://pbs.twimg.com/profile_images/962471262747529216/Uo8lOkRJ_normal.jpg","View")</f>
        <v>View</v>
      </c>
      <c r="P12162" s="7"/>
    </row>
    <row r="12163" spans="1:16">
      <c r="A12163" s="3">
        <v>44159.740011574075</v>
      </c>
      <c r="B12163" s="4" t="str">
        <f>HYPERLINK("https://twitter.com/petrogustavo","@petrogustavo")</f>
        <v>@petrogustavo</v>
      </c>
      <c r="C12163" s="5" t="s">
        <v>16</v>
      </c>
      <c r="D12163" s="5" t="s">
        <v>11711</v>
      </c>
      <c r="E12163" s="6" t="str">
        <f>HYPERLINK("https://twitter.com/petrogustavo/status/1331209858222346240","1331209858222346240")</f>
        <v>1331209858222346240</v>
      </c>
      <c r="F12163" s="7" t="s">
        <v>17</v>
      </c>
      <c r="G12163" s="7">
        <v>4011889</v>
      </c>
      <c r="H12163" s="7">
        <v>2465</v>
      </c>
      <c r="I12163" s="7">
        <v>4</v>
      </c>
      <c r="J12163" s="7">
        <v>21</v>
      </c>
      <c r="K12163" s="7" t="s">
        <v>18</v>
      </c>
      <c r="L12163" s="8">
        <v>39987.315405092595</v>
      </c>
      <c r="M12163" s="9" t="s">
        <v>19</v>
      </c>
      <c r="N12163" s="9" t="s">
        <v>20</v>
      </c>
      <c r="O12163" s="6" t="str">
        <f>HYPERLINK("https://pbs.twimg.com/profile_images/962471262747529216/Uo8lOkRJ_normal.jpg","View")</f>
        <v>View</v>
      </c>
      <c r="P12163" s="7"/>
    </row>
    <row r="12164" spans="1:16">
      <c r="A12164" s="3">
        <v>44159.745034722218</v>
      </c>
      <c r="B12164" s="4" t="str">
        <f>HYPERLINK("https://twitter.com/petrogustavo","@petrogustavo")</f>
        <v>@petrogustavo</v>
      </c>
      <c r="C12164" s="5" t="s">
        <v>16</v>
      </c>
      <c r="D12164" s="5" t="s">
        <v>11712</v>
      </c>
      <c r="E12164" s="6" t="str">
        <f>HYPERLINK("https://twitter.com/petrogustavo/status/1331211677845614593","1331211677845614593")</f>
        <v>1331211677845614593</v>
      </c>
      <c r="F12164" s="7" t="s">
        <v>17</v>
      </c>
      <c r="G12164" s="7">
        <v>4011903</v>
      </c>
      <c r="H12164" s="7">
        <v>2465</v>
      </c>
      <c r="I12164" s="7">
        <v>959</v>
      </c>
      <c r="J12164" s="7">
        <v>0</v>
      </c>
      <c r="K12164" s="7" t="s">
        <v>18</v>
      </c>
      <c r="L12164" s="8">
        <v>39987.315405092595</v>
      </c>
      <c r="M12164" s="9" t="s">
        <v>19</v>
      </c>
      <c r="N12164" s="9" t="s">
        <v>20</v>
      </c>
      <c r="O12164" s="6" t="str">
        <f>HYPERLINK("https://pbs.twimg.com/profile_images/962471262747529216/Uo8lOkRJ_normal.jpg","View")</f>
        <v>View</v>
      </c>
      <c r="P12164" s="7"/>
    </row>
    <row r="12165" spans="1:16">
      <c r="A12165" s="3">
        <v>44159.746354166666</v>
      </c>
      <c r="B12165" s="4" t="str">
        <f>HYPERLINK("https://twitter.com/petrogustavo","@petrogustavo")</f>
        <v>@petrogustavo</v>
      </c>
      <c r="C12165" s="5" t="s">
        <v>16</v>
      </c>
      <c r="D12165" s="5" t="s">
        <v>11713</v>
      </c>
      <c r="E12165" s="6" t="str">
        <f>HYPERLINK("https://twitter.com/petrogustavo/status/1331212157426540546","1331212157426540546")</f>
        <v>1331212157426540546</v>
      </c>
      <c r="F12165" s="7" t="s">
        <v>17</v>
      </c>
      <c r="G12165" s="7">
        <v>4011903</v>
      </c>
      <c r="H12165" s="7">
        <v>2465</v>
      </c>
      <c r="I12165" s="7">
        <v>67</v>
      </c>
      <c r="J12165" s="7">
        <v>0</v>
      </c>
      <c r="K12165" s="7" t="s">
        <v>18</v>
      </c>
      <c r="L12165" s="8">
        <v>39987.315405092595</v>
      </c>
      <c r="M12165" s="9" t="s">
        <v>19</v>
      </c>
      <c r="N12165" s="9" t="s">
        <v>20</v>
      </c>
      <c r="O12165" s="6" t="str">
        <f>HYPERLINK("https://pbs.twimg.com/profile_images/962471262747529216/Uo8lOkRJ_normal.jpg","View")</f>
        <v>View</v>
      </c>
      <c r="P12165" s="7"/>
    </row>
    <row r="12166" spans="1:16">
      <c r="A12166" s="3">
        <v>44159.749409722222</v>
      </c>
      <c r="B12166" s="4" t="str">
        <f>HYPERLINK("https://twitter.com/petrogustavo","@petrogustavo")</f>
        <v>@petrogustavo</v>
      </c>
      <c r="C12166" s="5" t="s">
        <v>16</v>
      </c>
      <c r="D12166" s="5" t="s">
        <v>11714</v>
      </c>
      <c r="E12166" s="6" t="str">
        <f>HYPERLINK("https://twitter.com/petrogustavo/status/1331213264538185728","1331213264538185728")</f>
        <v>1331213264538185728</v>
      </c>
      <c r="F12166" s="7" t="s">
        <v>17</v>
      </c>
      <c r="G12166" s="7">
        <v>4011903</v>
      </c>
      <c r="H12166" s="7">
        <v>2465</v>
      </c>
      <c r="I12166" s="7">
        <v>68</v>
      </c>
      <c r="J12166" s="7">
        <v>277</v>
      </c>
      <c r="K12166" s="7" t="s">
        <v>18</v>
      </c>
      <c r="L12166" s="8">
        <v>39987.315405092595</v>
      </c>
      <c r="M12166" s="9" t="s">
        <v>19</v>
      </c>
      <c r="N12166" s="9" t="s">
        <v>20</v>
      </c>
      <c r="O12166" s="6" t="str">
        <f>HYPERLINK("https://pbs.twimg.com/profile_images/962471262747529216/Uo8lOkRJ_normal.jpg","View")</f>
        <v>View</v>
      </c>
      <c r="P12166" s="7"/>
    </row>
    <row r="12167" spans="1:16">
      <c r="A12167" s="3">
        <v>44159.750057870369</v>
      </c>
      <c r="B12167" s="4" t="str">
        <f>HYPERLINK("https://twitter.com/petrogustavo","@petrogustavo")</f>
        <v>@petrogustavo</v>
      </c>
      <c r="C12167" s="5" t="s">
        <v>16</v>
      </c>
      <c r="D12167" s="5" t="s">
        <v>11715</v>
      </c>
      <c r="E12167" s="6" t="str">
        <f>HYPERLINK("https://twitter.com/petrogustavo/status/1331213497137590273","1331213497137590273")</f>
        <v>1331213497137590273</v>
      </c>
      <c r="F12167" s="7" t="s">
        <v>17</v>
      </c>
      <c r="G12167" s="7">
        <v>4011903</v>
      </c>
      <c r="H12167" s="7">
        <v>2465</v>
      </c>
      <c r="I12167" s="7">
        <v>17</v>
      </c>
      <c r="J12167" s="7">
        <v>147</v>
      </c>
      <c r="K12167" s="7" t="s">
        <v>18</v>
      </c>
      <c r="L12167" s="8">
        <v>39987.315405092595</v>
      </c>
      <c r="M12167" s="9" t="s">
        <v>19</v>
      </c>
      <c r="N12167" s="9" t="s">
        <v>20</v>
      </c>
      <c r="O12167" s="6" t="str">
        <f>HYPERLINK("https://pbs.twimg.com/profile_images/962471262747529216/Uo8lOkRJ_normal.jpg","View")</f>
        <v>View</v>
      </c>
      <c r="P12167" s="7"/>
    </row>
    <row r="12168" spans="1:16">
      <c r="A12168" s="3">
        <v>44159.751250000001</v>
      </c>
      <c r="B12168" s="4" t="str">
        <f>HYPERLINK("https://twitter.com/petrogustavo","@petrogustavo")</f>
        <v>@petrogustavo</v>
      </c>
      <c r="C12168" s="5" t="s">
        <v>16</v>
      </c>
      <c r="D12168" s="5" t="s">
        <v>11716</v>
      </c>
      <c r="E12168" s="6" t="str">
        <f>HYPERLINK("https://twitter.com/petrogustavo/status/1331213929083703298","1331213929083703298")</f>
        <v>1331213929083703298</v>
      </c>
      <c r="F12168" s="7" t="s">
        <v>17</v>
      </c>
      <c r="G12168" s="7">
        <v>4011903</v>
      </c>
      <c r="H12168" s="7">
        <v>2465</v>
      </c>
      <c r="I12168" s="7">
        <v>21</v>
      </c>
      <c r="J12168" s="7">
        <v>100</v>
      </c>
      <c r="K12168" s="7" t="s">
        <v>18</v>
      </c>
      <c r="L12168" s="8">
        <v>39987.315405092595</v>
      </c>
      <c r="M12168" s="9" t="s">
        <v>19</v>
      </c>
      <c r="N12168" s="9" t="s">
        <v>20</v>
      </c>
      <c r="O12168" s="6" t="str">
        <f>HYPERLINK("https://pbs.twimg.com/profile_images/962471262747529216/Uo8lOkRJ_normal.jpg","View")</f>
        <v>View</v>
      </c>
      <c r="P12168" s="7"/>
    </row>
    <row r="12169" spans="1:16">
      <c r="A12169" s="3">
        <v>44159.755914351852</v>
      </c>
      <c r="B12169" s="4" t="str">
        <f>HYPERLINK("https://twitter.com/petrogustavo","@petrogustavo")</f>
        <v>@petrogustavo</v>
      </c>
      <c r="C12169" s="5" t="s">
        <v>16</v>
      </c>
      <c r="D12169" s="5" t="s">
        <v>11717</v>
      </c>
      <c r="E12169" s="6" t="str">
        <f>HYPERLINK("https://twitter.com/petrogustavo/status/1331215622081040390","1331215622081040390")</f>
        <v>1331215622081040390</v>
      </c>
      <c r="F12169" s="7" t="s">
        <v>17</v>
      </c>
      <c r="G12169" s="7">
        <v>4011903</v>
      </c>
      <c r="H12169" s="7">
        <v>2465</v>
      </c>
      <c r="I12169" s="7">
        <v>51</v>
      </c>
      <c r="J12169" s="7">
        <v>204</v>
      </c>
      <c r="K12169" s="7" t="s">
        <v>18</v>
      </c>
      <c r="L12169" s="8">
        <v>39987.315405092595</v>
      </c>
      <c r="M12169" s="9" t="s">
        <v>19</v>
      </c>
      <c r="N12169" s="9" t="s">
        <v>20</v>
      </c>
      <c r="O12169" s="6" t="str">
        <f>HYPERLINK("https://pbs.twimg.com/profile_images/962471262747529216/Uo8lOkRJ_normal.jpg","View")</f>
        <v>View</v>
      </c>
      <c r="P12169" s="7"/>
    </row>
    <row r="12170" spans="1:16">
      <c r="A12170" s="3">
        <v>44159.761273148149</v>
      </c>
      <c r="B12170" s="4" t="str">
        <f>HYPERLINK("https://twitter.com/petrogustavo","@petrogustavo")</f>
        <v>@petrogustavo</v>
      </c>
      <c r="C12170" s="5" t="s">
        <v>16</v>
      </c>
      <c r="D12170" s="5" t="s">
        <v>11718</v>
      </c>
      <c r="E12170" s="6" t="str">
        <f>HYPERLINK("https://twitter.com/petrogustavo/status/1331217563720802304","1331217563720802304")</f>
        <v>1331217563720802304</v>
      </c>
      <c r="F12170" s="7" t="s">
        <v>17</v>
      </c>
      <c r="G12170" s="7">
        <v>4011903</v>
      </c>
      <c r="H12170" s="7">
        <v>2465</v>
      </c>
      <c r="I12170" s="7">
        <v>36</v>
      </c>
      <c r="J12170" s="7">
        <v>114</v>
      </c>
      <c r="K12170" s="7" t="s">
        <v>18</v>
      </c>
      <c r="L12170" s="8">
        <v>39987.315405092595</v>
      </c>
      <c r="M12170" s="9" t="s">
        <v>19</v>
      </c>
      <c r="N12170" s="9" t="s">
        <v>20</v>
      </c>
      <c r="O12170" s="6" t="str">
        <f>HYPERLINK("https://pbs.twimg.com/profile_images/962471262747529216/Uo8lOkRJ_normal.jpg","View")</f>
        <v>View</v>
      </c>
      <c r="P12170" s="7"/>
    </row>
    <row r="12171" spans="1:16">
      <c r="A12171" s="3">
        <v>44159.765775462962</v>
      </c>
      <c r="B12171" s="4" t="str">
        <f>HYPERLINK("https://twitter.com/petrogustavo","@petrogustavo")</f>
        <v>@petrogustavo</v>
      </c>
      <c r="C12171" s="5" t="s">
        <v>16</v>
      </c>
      <c r="D12171" s="5" t="s">
        <v>11719</v>
      </c>
      <c r="E12171" s="6" t="str">
        <f>HYPERLINK("https://twitter.com/petrogustavo/status/1331219193358848000","1331219193358848000")</f>
        <v>1331219193358848000</v>
      </c>
      <c r="F12171" s="7" t="s">
        <v>17</v>
      </c>
      <c r="G12171" s="7">
        <v>4011929</v>
      </c>
      <c r="H12171" s="7">
        <v>2465</v>
      </c>
      <c r="I12171" s="7">
        <v>143</v>
      </c>
      <c r="J12171" s="7">
        <v>606</v>
      </c>
      <c r="K12171" s="7" t="s">
        <v>18</v>
      </c>
      <c r="L12171" s="8">
        <v>39987.315405092595</v>
      </c>
      <c r="M12171" s="9" t="s">
        <v>19</v>
      </c>
      <c r="N12171" s="9" t="s">
        <v>20</v>
      </c>
      <c r="O12171" s="6" t="str">
        <f>HYPERLINK("https://pbs.twimg.com/profile_images/962471262747529216/Uo8lOkRJ_normal.jpg","View")</f>
        <v>View</v>
      </c>
      <c r="P12171" s="7"/>
    </row>
    <row r="12172" spans="1:16">
      <c r="A12172" s="3">
        <v>44159.772638888884</v>
      </c>
      <c r="B12172" s="4" t="str">
        <f>HYPERLINK("https://twitter.com/petrogustavo","@petrogustavo")</f>
        <v>@petrogustavo</v>
      </c>
      <c r="C12172" s="5" t="s">
        <v>16</v>
      </c>
      <c r="D12172" s="5" t="s">
        <v>11720</v>
      </c>
      <c r="E12172" s="6" t="str">
        <f>HYPERLINK("https://twitter.com/petrogustavo/status/1331221683458469893","1331221683458469893")</f>
        <v>1331221683458469893</v>
      </c>
      <c r="F12172" s="7" t="s">
        <v>17</v>
      </c>
      <c r="G12172" s="7">
        <v>4011929</v>
      </c>
      <c r="H12172" s="7">
        <v>2465</v>
      </c>
      <c r="I12172" s="7">
        <v>41</v>
      </c>
      <c r="J12172" s="7">
        <v>128</v>
      </c>
      <c r="K12172" s="7" t="s">
        <v>18</v>
      </c>
      <c r="L12172" s="8">
        <v>39987.315405092595</v>
      </c>
      <c r="M12172" s="9" t="s">
        <v>19</v>
      </c>
      <c r="N12172" s="9" t="s">
        <v>20</v>
      </c>
      <c r="O12172" s="6" t="str">
        <f>HYPERLINK("https://pbs.twimg.com/profile_images/962471262747529216/Uo8lOkRJ_normal.jpg","View")</f>
        <v>View</v>
      </c>
      <c r="P12172" s="7"/>
    </row>
    <row r="12173" spans="1:16">
      <c r="A12173" s="3">
        <v>44159.774293981478</v>
      </c>
      <c r="B12173" s="4" t="str">
        <f>HYPERLINK("https://twitter.com/petrogustavo","@petrogustavo")</f>
        <v>@petrogustavo</v>
      </c>
      <c r="C12173" s="5" t="s">
        <v>16</v>
      </c>
      <c r="D12173" s="5" t="s">
        <v>11721</v>
      </c>
      <c r="E12173" s="6" t="str">
        <f>HYPERLINK("https://twitter.com/petrogustavo/status/1331222280152768514","1331222280152768514")</f>
        <v>1331222280152768514</v>
      </c>
      <c r="F12173" s="7" t="s">
        <v>17</v>
      </c>
      <c r="G12173" s="7">
        <v>4011929</v>
      </c>
      <c r="H12173" s="7">
        <v>2465</v>
      </c>
      <c r="I12173" s="7">
        <v>82</v>
      </c>
      <c r="J12173" s="7">
        <v>284</v>
      </c>
      <c r="K12173" s="7" t="s">
        <v>18</v>
      </c>
      <c r="L12173" s="8">
        <v>39987.315405092595</v>
      </c>
      <c r="M12173" s="9" t="s">
        <v>19</v>
      </c>
      <c r="N12173" s="9" t="s">
        <v>20</v>
      </c>
      <c r="O12173" s="6" t="str">
        <f>HYPERLINK("https://pbs.twimg.com/profile_images/962471262747529216/Uo8lOkRJ_normal.jpg","View")</f>
        <v>View</v>
      </c>
      <c r="P12173" s="7"/>
    </row>
    <row r="12174" spans="1:16">
      <c r="A12174" s="3">
        <v>44159.77615740741</v>
      </c>
      <c r="B12174" s="4" t="str">
        <f>HYPERLINK("https://twitter.com/petrogustavo","@petrogustavo")</f>
        <v>@petrogustavo</v>
      </c>
      <c r="C12174" s="5" t="s">
        <v>16</v>
      </c>
      <c r="D12174" s="5" t="s">
        <v>11722</v>
      </c>
      <c r="E12174" s="6" t="str">
        <f>HYPERLINK("https://twitter.com/petrogustavo/status/1331222957830647808","1331222957830647808")</f>
        <v>1331222957830647808</v>
      </c>
      <c r="F12174" s="7" t="s">
        <v>17</v>
      </c>
      <c r="G12174" s="7">
        <v>4011929</v>
      </c>
      <c r="H12174" s="7">
        <v>2465</v>
      </c>
      <c r="I12174" s="7">
        <v>27</v>
      </c>
      <c r="J12174" s="7">
        <v>135</v>
      </c>
      <c r="K12174" s="7" t="s">
        <v>18</v>
      </c>
      <c r="L12174" s="8">
        <v>39987.315405092595</v>
      </c>
      <c r="M12174" s="9" t="s">
        <v>19</v>
      </c>
      <c r="N12174" s="9" t="s">
        <v>20</v>
      </c>
      <c r="O12174" s="6" t="str">
        <f>HYPERLINK("https://pbs.twimg.com/profile_images/962471262747529216/Uo8lOkRJ_normal.jpg","View")</f>
        <v>View</v>
      </c>
      <c r="P12174" s="7"/>
    </row>
    <row r="12175" spans="1:16">
      <c r="A12175" s="3">
        <v>44159.79991898148</v>
      </c>
      <c r="B12175" s="4" t="str">
        <f>HYPERLINK("https://twitter.com/petrogustavo","@petrogustavo")</f>
        <v>@petrogustavo</v>
      </c>
      <c r="C12175" s="5" t="s">
        <v>16</v>
      </c>
      <c r="D12175" s="5" t="s">
        <v>11723</v>
      </c>
      <c r="E12175" s="6" t="str">
        <f>HYPERLINK("https://twitter.com/petrogustavo/status/1331231568011079681","1331231568011079681")</f>
        <v>1331231568011079681</v>
      </c>
      <c r="F12175" s="7" t="s">
        <v>17</v>
      </c>
      <c r="G12175" s="7">
        <v>4011948</v>
      </c>
      <c r="H12175" s="7">
        <v>2465</v>
      </c>
      <c r="I12175" s="7">
        <v>434</v>
      </c>
      <c r="J12175" s="7">
        <v>0</v>
      </c>
      <c r="K12175" s="7" t="s">
        <v>18</v>
      </c>
      <c r="L12175" s="8">
        <v>39987.315405092595</v>
      </c>
      <c r="M12175" s="9" t="s">
        <v>19</v>
      </c>
      <c r="N12175" s="9" t="s">
        <v>20</v>
      </c>
      <c r="O12175" s="6" t="str">
        <f>HYPERLINK("https://pbs.twimg.com/profile_images/962471262747529216/Uo8lOkRJ_normal.jpg","View")</f>
        <v>View</v>
      </c>
      <c r="P12175" s="7"/>
    </row>
    <row r="12176" spans="1:16">
      <c r="A12176" s="3">
        <v>44159.800266203703</v>
      </c>
      <c r="B12176" s="4" t="str">
        <f>HYPERLINK("https://twitter.com/petrogustavo","@petrogustavo")</f>
        <v>@petrogustavo</v>
      </c>
      <c r="C12176" s="5" t="s">
        <v>16</v>
      </c>
      <c r="D12176" s="5" t="s">
        <v>11713</v>
      </c>
      <c r="E12176" s="6" t="str">
        <f>HYPERLINK("https://twitter.com/petrogustavo/status/1331231692611313664","1331231692611313664")</f>
        <v>1331231692611313664</v>
      </c>
      <c r="F12176" s="7" t="s">
        <v>17</v>
      </c>
      <c r="G12176" s="7">
        <v>4011948</v>
      </c>
      <c r="H12176" s="7">
        <v>2465</v>
      </c>
      <c r="I12176" s="7">
        <v>95</v>
      </c>
      <c r="J12176" s="7">
        <v>0</v>
      </c>
      <c r="K12176" s="7" t="s">
        <v>18</v>
      </c>
      <c r="L12176" s="8">
        <v>39987.315405092595</v>
      </c>
      <c r="M12176" s="9" t="s">
        <v>19</v>
      </c>
      <c r="N12176" s="9" t="s">
        <v>20</v>
      </c>
      <c r="O12176" s="6" t="str">
        <f>HYPERLINK("https://pbs.twimg.com/profile_images/962471262747529216/Uo8lOkRJ_normal.jpg","View")</f>
        <v>View</v>
      </c>
      <c r="P12176" s="7"/>
    </row>
    <row r="12177" spans="1:16">
      <c r="A12177" s="3">
        <v>44159.804513888885</v>
      </c>
      <c r="B12177" s="4" t="str">
        <f>HYPERLINK("https://twitter.com/petrogustavo","@petrogustavo")</f>
        <v>@petrogustavo</v>
      </c>
      <c r="C12177" s="5" t="s">
        <v>16</v>
      </c>
      <c r="D12177" s="5" t="s">
        <v>11724</v>
      </c>
      <c r="E12177" s="6" t="str">
        <f>HYPERLINK("https://twitter.com/petrogustavo/status/1331233231665057797","1331233231665057797")</f>
        <v>1331233231665057797</v>
      </c>
      <c r="F12177" s="7" t="s">
        <v>17</v>
      </c>
      <c r="G12177" s="7">
        <v>4011948</v>
      </c>
      <c r="H12177" s="7">
        <v>2465</v>
      </c>
      <c r="I12177" s="7">
        <v>1</v>
      </c>
      <c r="J12177" s="7">
        <v>2</v>
      </c>
      <c r="K12177" s="7" t="s">
        <v>18</v>
      </c>
      <c r="L12177" s="8">
        <v>39987.315405092595</v>
      </c>
      <c r="M12177" s="9" t="s">
        <v>19</v>
      </c>
      <c r="N12177" s="9" t="s">
        <v>20</v>
      </c>
      <c r="O12177" s="6" t="str">
        <f>HYPERLINK("https://pbs.twimg.com/profile_images/962471262747529216/Uo8lOkRJ_normal.jpg","View")</f>
        <v>View</v>
      </c>
      <c r="P12177" s="7"/>
    </row>
    <row r="12178" spans="1:16">
      <c r="A12178" s="3">
        <v>44159.809270833328</v>
      </c>
      <c r="B12178" s="4" t="str">
        <f>HYPERLINK("https://twitter.com/petrogustavo","@petrogustavo")</f>
        <v>@petrogustavo</v>
      </c>
      <c r="C12178" s="5" t="s">
        <v>16</v>
      </c>
      <c r="D12178" s="5" t="s">
        <v>11725</v>
      </c>
      <c r="E12178" s="6" t="str">
        <f>HYPERLINK("https://twitter.com/petrogustavo/status/1331234955389788162","1331234955389788162")</f>
        <v>1331234955389788162</v>
      </c>
      <c r="F12178" s="7" t="s">
        <v>17</v>
      </c>
      <c r="G12178" s="7">
        <v>4011955</v>
      </c>
      <c r="H12178" s="7">
        <v>2465</v>
      </c>
      <c r="I12178" s="7">
        <v>84</v>
      </c>
      <c r="J12178" s="7">
        <v>293</v>
      </c>
      <c r="K12178" s="7" t="s">
        <v>18</v>
      </c>
      <c r="L12178" s="8">
        <v>39987.315405092595</v>
      </c>
      <c r="M12178" s="9" t="s">
        <v>19</v>
      </c>
      <c r="N12178" s="9" t="s">
        <v>20</v>
      </c>
      <c r="O12178" s="6" t="str">
        <f>HYPERLINK("https://pbs.twimg.com/profile_images/962471262747529216/Uo8lOkRJ_normal.jpg","View")</f>
        <v>View</v>
      </c>
      <c r="P12178" s="7"/>
    </row>
    <row r="12179" spans="1:16">
      <c r="A12179" s="3">
        <v>44159.812824074077</v>
      </c>
      <c r="B12179" s="4" t="str">
        <f>HYPERLINK("https://twitter.com/petrogustavo","@petrogustavo")</f>
        <v>@petrogustavo</v>
      </c>
      <c r="C12179" s="5" t="s">
        <v>16</v>
      </c>
      <c r="D12179" s="5" t="s">
        <v>11726</v>
      </c>
      <c r="E12179" s="6" t="str">
        <f>HYPERLINK("https://twitter.com/petrogustavo/status/1331236245876445193","1331236245876445193")</f>
        <v>1331236245876445193</v>
      </c>
      <c r="F12179" s="7" t="s">
        <v>17</v>
      </c>
      <c r="G12179" s="7">
        <v>4011955</v>
      </c>
      <c r="H12179" s="7">
        <v>2465</v>
      </c>
      <c r="I12179" s="7">
        <v>102</v>
      </c>
      <c r="J12179" s="7">
        <v>305</v>
      </c>
      <c r="K12179" s="7" t="s">
        <v>18</v>
      </c>
      <c r="L12179" s="8">
        <v>39987.315405092595</v>
      </c>
      <c r="M12179" s="9" t="s">
        <v>19</v>
      </c>
      <c r="N12179" s="9" t="s">
        <v>20</v>
      </c>
      <c r="O12179" s="6" t="str">
        <f>HYPERLINK("https://pbs.twimg.com/profile_images/962471262747529216/Uo8lOkRJ_normal.jpg","View")</f>
        <v>View</v>
      </c>
      <c r="P12179" s="7"/>
    </row>
    <row r="12180" spans="1:16">
      <c r="A12180" s="3">
        <v>44159.814351851848</v>
      </c>
      <c r="B12180" s="4" t="str">
        <f>HYPERLINK("https://twitter.com/petrogustavo","@petrogustavo")</f>
        <v>@petrogustavo</v>
      </c>
      <c r="C12180" s="5" t="s">
        <v>16</v>
      </c>
      <c r="D12180" s="5" t="s">
        <v>11727</v>
      </c>
      <c r="E12180" s="6" t="str">
        <f>HYPERLINK("https://twitter.com/petrogustavo/status/1331236798069166080","1331236798069166080")</f>
        <v>1331236798069166080</v>
      </c>
      <c r="F12180" s="7" t="s">
        <v>17</v>
      </c>
      <c r="G12180" s="7">
        <v>4011955</v>
      </c>
      <c r="H12180" s="7">
        <v>2465</v>
      </c>
      <c r="I12180" s="7">
        <v>37</v>
      </c>
      <c r="J12180" s="7">
        <v>154</v>
      </c>
      <c r="K12180" s="7" t="s">
        <v>18</v>
      </c>
      <c r="L12180" s="8">
        <v>39987.315405092595</v>
      </c>
      <c r="M12180" s="9" t="s">
        <v>19</v>
      </c>
      <c r="N12180" s="9" t="s">
        <v>20</v>
      </c>
      <c r="O12180" s="6" t="str">
        <f>HYPERLINK("https://pbs.twimg.com/profile_images/962471262747529216/Uo8lOkRJ_normal.jpg","View")</f>
        <v>View</v>
      </c>
      <c r="P12180" s="7"/>
    </row>
    <row r="12181" spans="1:16">
      <c r="A12181" s="3">
        <v>44159.815740740742</v>
      </c>
      <c r="B12181" s="4" t="str">
        <f>HYPERLINK("https://twitter.com/petrogustavo","@petrogustavo")</f>
        <v>@petrogustavo</v>
      </c>
      <c r="C12181" s="5" t="s">
        <v>16</v>
      </c>
      <c r="D12181" s="5" t="s">
        <v>11728</v>
      </c>
      <c r="E12181" s="6" t="str">
        <f>HYPERLINK("https://twitter.com/petrogustavo/status/1331237303243694083","1331237303243694083")</f>
        <v>1331237303243694083</v>
      </c>
      <c r="F12181" s="7" t="s">
        <v>17</v>
      </c>
      <c r="G12181" s="7">
        <v>4011955</v>
      </c>
      <c r="H12181" s="7">
        <v>2465</v>
      </c>
      <c r="I12181" s="7">
        <v>70</v>
      </c>
      <c r="J12181" s="7">
        <v>286</v>
      </c>
      <c r="K12181" s="7" t="s">
        <v>18</v>
      </c>
      <c r="L12181" s="8">
        <v>39987.315405092595</v>
      </c>
      <c r="M12181" s="9" t="s">
        <v>19</v>
      </c>
      <c r="N12181" s="9" t="s">
        <v>20</v>
      </c>
      <c r="O12181" s="6" t="str">
        <f>HYPERLINK("https://pbs.twimg.com/profile_images/962471262747529216/Uo8lOkRJ_normal.jpg","View")</f>
        <v>View</v>
      </c>
      <c r="P12181" s="7"/>
    </row>
    <row r="12182" spans="1:16">
      <c r="A12182" s="3">
        <v>44159.816851851851</v>
      </c>
      <c r="B12182" s="4" t="str">
        <f>HYPERLINK("https://twitter.com/petrogustavo","@petrogustavo")</f>
        <v>@petrogustavo</v>
      </c>
      <c r="C12182" s="5" t="s">
        <v>16</v>
      </c>
      <c r="D12182" s="5" t="s">
        <v>11729</v>
      </c>
      <c r="E12182" s="6" t="str">
        <f>HYPERLINK("https://twitter.com/petrogustavo/status/1331237704122724354","1331237704122724354")</f>
        <v>1331237704122724354</v>
      </c>
      <c r="F12182" s="7" t="s">
        <v>17</v>
      </c>
      <c r="G12182" s="7">
        <v>4011955</v>
      </c>
      <c r="H12182" s="7">
        <v>2465</v>
      </c>
      <c r="I12182" s="7">
        <v>30</v>
      </c>
      <c r="J12182" s="7">
        <v>162</v>
      </c>
      <c r="K12182" s="7" t="s">
        <v>18</v>
      </c>
      <c r="L12182" s="8">
        <v>39987.315405092595</v>
      </c>
      <c r="M12182" s="9" t="s">
        <v>19</v>
      </c>
      <c r="N12182" s="9" t="s">
        <v>20</v>
      </c>
      <c r="O12182" s="6" t="str">
        <f>HYPERLINK("https://pbs.twimg.com/profile_images/962471262747529216/Uo8lOkRJ_normal.jpg","View")</f>
        <v>View</v>
      </c>
      <c r="P12182" s="7"/>
    </row>
    <row r="12183" spans="1:16">
      <c r="A12183" s="3">
        <v>44159.828842592593</v>
      </c>
      <c r="B12183" s="4" t="str">
        <f>HYPERLINK("https://twitter.com/petrogustavo","@petrogustavo")</f>
        <v>@petrogustavo</v>
      </c>
      <c r="C12183" s="5" t="s">
        <v>16</v>
      </c>
      <c r="D12183" s="5" t="s">
        <v>11730</v>
      </c>
      <c r="E12183" s="6" t="str">
        <f>HYPERLINK("https://twitter.com/petrogustavo/status/1331242047597146115","1331242047597146115")</f>
        <v>1331242047597146115</v>
      </c>
      <c r="F12183" s="7" t="s">
        <v>17</v>
      </c>
      <c r="G12183" s="7">
        <v>4011964</v>
      </c>
      <c r="H12183" s="7">
        <v>2465</v>
      </c>
      <c r="I12183" s="7">
        <v>58</v>
      </c>
      <c r="J12183" s="7">
        <v>171</v>
      </c>
      <c r="K12183" s="7" t="s">
        <v>18</v>
      </c>
      <c r="L12183" s="8">
        <v>39987.315405092595</v>
      </c>
      <c r="M12183" s="9" t="s">
        <v>19</v>
      </c>
      <c r="N12183" s="9" t="s">
        <v>20</v>
      </c>
      <c r="O12183" s="6" t="str">
        <f>HYPERLINK("https://pbs.twimg.com/profile_images/962471262747529216/Uo8lOkRJ_normal.jpg","View")</f>
        <v>View</v>
      </c>
      <c r="P12183" s="7"/>
    </row>
    <row r="12184" spans="1:16">
      <c r="A12184" s="3">
        <v>44159.830671296295</v>
      </c>
      <c r="B12184" s="4" t="str">
        <f>HYPERLINK("https://twitter.com/petrogustavo","@petrogustavo")</f>
        <v>@petrogustavo</v>
      </c>
      <c r="C12184" s="5" t="s">
        <v>16</v>
      </c>
      <c r="D12184" s="5" t="s">
        <v>11731</v>
      </c>
      <c r="E12184" s="6" t="str">
        <f>HYPERLINK("https://twitter.com/petrogustavo/status/1331242712574668803","1331242712574668803")</f>
        <v>1331242712574668803</v>
      </c>
      <c r="F12184" s="7" t="s">
        <v>17</v>
      </c>
      <c r="G12184" s="7">
        <v>4011964</v>
      </c>
      <c r="H12184" s="7">
        <v>2465</v>
      </c>
      <c r="I12184" s="7">
        <v>25</v>
      </c>
      <c r="J12184" s="7">
        <v>110</v>
      </c>
      <c r="K12184" s="7" t="s">
        <v>18</v>
      </c>
      <c r="L12184" s="8">
        <v>39987.315405092595</v>
      </c>
      <c r="M12184" s="9" t="s">
        <v>19</v>
      </c>
      <c r="N12184" s="9" t="s">
        <v>20</v>
      </c>
      <c r="O12184" s="6" t="str">
        <f>HYPERLINK("https://pbs.twimg.com/profile_images/962471262747529216/Uo8lOkRJ_normal.jpg","View")</f>
        <v>View</v>
      </c>
      <c r="P12184" s="7"/>
    </row>
    <row r="12185" spans="1:16">
      <c r="A12185" s="3">
        <v>44159.9683912037</v>
      </c>
      <c r="B12185" s="4" t="str">
        <f>HYPERLINK("https://twitter.com/petrogustavo","@petrogustavo")</f>
        <v>@petrogustavo</v>
      </c>
      <c r="C12185" s="5" t="s">
        <v>16</v>
      </c>
      <c r="D12185" s="5" t="s">
        <v>11732</v>
      </c>
      <c r="E12185" s="6" t="str">
        <f>HYPERLINK("https://twitter.com/petrogustavo/status/1331292618626621445","1331292618626621445")</f>
        <v>1331292618626621445</v>
      </c>
      <c r="F12185" s="7" t="s">
        <v>17</v>
      </c>
      <c r="G12185" s="7">
        <v>4012001</v>
      </c>
      <c r="H12185" s="7">
        <v>2466</v>
      </c>
      <c r="I12185" s="7">
        <v>53</v>
      </c>
      <c r="J12185" s="7">
        <v>262</v>
      </c>
      <c r="K12185" s="7" t="s">
        <v>18</v>
      </c>
      <c r="L12185" s="8">
        <v>39987.315405092595</v>
      </c>
      <c r="M12185" s="9" t="s">
        <v>19</v>
      </c>
      <c r="N12185" s="9" t="s">
        <v>20</v>
      </c>
      <c r="O12185" s="6" t="str">
        <f>HYPERLINK("https://pbs.twimg.com/profile_images/962471262747529216/Uo8lOkRJ_normal.jpg","View")</f>
        <v>View</v>
      </c>
      <c r="P12185" s="7"/>
    </row>
    <row r="12186" spans="1:16">
      <c r="A12186" s="3">
        <v>44160.220821759256</v>
      </c>
      <c r="B12186" s="4" t="str">
        <f>HYPERLINK("https://twitter.com/petrogustavo","@petrogustavo")</f>
        <v>@petrogustavo</v>
      </c>
      <c r="C12186" s="5" t="s">
        <v>16</v>
      </c>
      <c r="D12186" s="5" t="s">
        <v>11733</v>
      </c>
      <c r="E12186" s="6" t="str">
        <f>HYPERLINK("https://twitter.com/petrogustavo/status/1331384098619797510","1331384098619797510")</f>
        <v>1331384098619797510</v>
      </c>
      <c r="F12186" s="7" t="s">
        <v>17</v>
      </c>
      <c r="G12186" s="7">
        <v>4012156</v>
      </c>
      <c r="H12186" s="7">
        <v>2466</v>
      </c>
      <c r="I12186" s="7">
        <v>724</v>
      </c>
      <c r="J12186" s="7">
        <v>0</v>
      </c>
      <c r="K12186" s="7" t="s">
        <v>18</v>
      </c>
      <c r="L12186" s="8">
        <v>39987.315405092595</v>
      </c>
      <c r="M12186" s="9" t="s">
        <v>19</v>
      </c>
      <c r="N12186" s="9" t="s">
        <v>20</v>
      </c>
      <c r="O12186" s="6" t="str">
        <f>HYPERLINK("https://pbs.twimg.com/profile_images/962471262747529216/Uo8lOkRJ_normal.jpg","View")</f>
        <v>View</v>
      </c>
      <c r="P12186" s="7"/>
    </row>
    <row r="12187" spans="1:16">
      <c r="A12187" s="3">
        <v>44160.268287037034</v>
      </c>
      <c r="B12187" s="4" t="str">
        <f>HYPERLINK("https://twitter.com/petrogustavo","@petrogustavo")</f>
        <v>@petrogustavo</v>
      </c>
      <c r="C12187" s="5" t="s">
        <v>16</v>
      </c>
      <c r="D12187" s="5" t="s">
        <v>11734</v>
      </c>
      <c r="E12187" s="6" t="str">
        <f>HYPERLINK("https://twitter.com/petrogustavo/status/1331401298164535302","1331401298164535302")</f>
        <v>1331401298164535302</v>
      </c>
      <c r="F12187" s="7" t="s">
        <v>17</v>
      </c>
      <c r="G12187" s="7">
        <v>4012167</v>
      </c>
      <c r="H12187" s="7">
        <v>2466</v>
      </c>
      <c r="I12187" s="7">
        <v>30</v>
      </c>
      <c r="J12187" s="7">
        <v>0</v>
      </c>
      <c r="K12187" s="7" t="s">
        <v>18</v>
      </c>
      <c r="L12187" s="8">
        <v>39987.315405092595</v>
      </c>
      <c r="M12187" s="9" t="s">
        <v>19</v>
      </c>
      <c r="N12187" s="9" t="s">
        <v>20</v>
      </c>
      <c r="O12187" s="6" t="str">
        <f>HYPERLINK("https://pbs.twimg.com/profile_images/962471262747529216/Uo8lOkRJ_normal.jpg","View")</f>
        <v>View</v>
      </c>
      <c r="P12187" s="7"/>
    </row>
    <row r="12188" spans="1:16">
      <c r="A12188" s="3">
        <v>44160.268506944441</v>
      </c>
      <c r="B12188" s="4" t="str">
        <f>HYPERLINK("https://twitter.com/petrogustavo","@petrogustavo")</f>
        <v>@petrogustavo</v>
      </c>
      <c r="C12188" s="5" t="s">
        <v>16</v>
      </c>
      <c r="D12188" s="5" t="s">
        <v>11735</v>
      </c>
      <c r="E12188" s="6" t="str">
        <f>HYPERLINK("https://twitter.com/petrogustavo/status/1331401377923391490","1331401377923391490")</f>
        <v>1331401377923391490</v>
      </c>
      <c r="F12188" s="7" t="s">
        <v>17</v>
      </c>
      <c r="G12188" s="7">
        <v>4012167</v>
      </c>
      <c r="H12188" s="7">
        <v>2466</v>
      </c>
      <c r="I12188" s="7">
        <v>63</v>
      </c>
      <c r="J12188" s="7">
        <v>0</v>
      </c>
      <c r="K12188" s="7" t="s">
        <v>18</v>
      </c>
      <c r="L12188" s="8">
        <v>39987.315405092595</v>
      </c>
      <c r="M12188" s="9" t="s">
        <v>19</v>
      </c>
      <c r="N12188" s="9" t="s">
        <v>20</v>
      </c>
      <c r="O12188" s="6" t="str">
        <f>HYPERLINK("https://pbs.twimg.com/profile_images/962471262747529216/Uo8lOkRJ_normal.jpg","View")</f>
        <v>View</v>
      </c>
      <c r="P12188" s="7"/>
    </row>
    <row r="12189" spans="1:16">
      <c r="A12189" s="3">
        <v>44160.288449074069</v>
      </c>
      <c r="B12189" s="4" t="str">
        <f>HYPERLINK("https://twitter.com/petrogustavo","@petrogustavo")</f>
        <v>@petrogustavo</v>
      </c>
      <c r="C12189" s="5" t="s">
        <v>16</v>
      </c>
      <c r="D12189" s="5" t="s">
        <v>11736</v>
      </c>
      <c r="E12189" s="6" t="str">
        <f>HYPERLINK("https://twitter.com/petrogustavo/status/1331408604805599235","1331408604805599235")</f>
        <v>1331408604805599235</v>
      </c>
      <c r="F12189" s="7" t="s">
        <v>17</v>
      </c>
      <c r="G12189" s="7">
        <v>4012189</v>
      </c>
      <c r="H12189" s="7">
        <v>2466</v>
      </c>
      <c r="I12189" s="7">
        <v>252</v>
      </c>
      <c r="J12189" s="7">
        <v>0</v>
      </c>
      <c r="K12189" s="7" t="s">
        <v>18</v>
      </c>
      <c r="L12189" s="8">
        <v>39987.315405092595</v>
      </c>
      <c r="M12189" s="9" t="s">
        <v>19</v>
      </c>
      <c r="N12189" s="9" t="s">
        <v>20</v>
      </c>
      <c r="O12189" s="6" t="str">
        <f>HYPERLINK("https://pbs.twimg.com/profile_images/962471262747529216/Uo8lOkRJ_normal.jpg","View")</f>
        <v>View</v>
      </c>
      <c r="P12189" s="7"/>
    </row>
    <row r="12190" spans="1:16">
      <c r="A12190" s="3">
        <v>44160.302916666667</v>
      </c>
      <c r="B12190" s="4" t="str">
        <f>HYPERLINK("https://twitter.com/petrogustavo","@petrogustavo")</f>
        <v>@petrogustavo</v>
      </c>
      <c r="C12190" s="5" t="s">
        <v>16</v>
      </c>
      <c r="D12190" s="5" t="s">
        <v>11737</v>
      </c>
      <c r="E12190" s="6" t="str">
        <f>HYPERLINK("https://twitter.com/petrogustavo/status/1331413846372868096","1331413846372868096")</f>
        <v>1331413846372868096</v>
      </c>
      <c r="F12190" s="7" t="s">
        <v>17</v>
      </c>
      <c r="G12190" s="7">
        <v>4012189</v>
      </c>
      <c r="H12190" s="7">
        <v>2466</v>
      </c>
      <c r="I12190" s="7">
        <v>135</v>
      </c>
      <c r="J12190" s="7">
        <v>0</v>
      </c>
      <c r="K12190" s="7" t="s">
        <v>18</v>
      </c>
      <c r="L12190" s="8">
        <v>39987.315405092595</v>
      </c>
      <c r="M12190" s="9" t="s">
        <v>19</v>
      </c>
      <c r="N12190" s="9" t="s">
        <v>20</v>
      </c>
      <c r="O12190" s="6" t="str">
        <f>HYPERLINK("https://pbs.twimg.com/profile_images/962471262747529216/Uo8lOkRJ_normal.jpg","View")</f>
        <v>View</v>
      </c>
      <c r="P12190" s="7"/>
    </row>
    <row r="12191" spans="1:16">
      <c r="A12191" s="3">
        <v>44160.310428240744</v>
      </c>
      <c r="B12191" s="4" t="str">
        <f>HYPERLINK("https://twitter.com/petrogustavo","@petrogustavo")</f>
        <v>@petrogustavo</v>
      </c>
      <c r="C12191" s="5" t="s">
        <v>16</v>
      </c>
      <c r="D12191" s="5" t="s">
        <v>11738</v>
      </c>
      <c r="E12191" s="6" t="str">
        <f>HYPERLINK("https://twitter.com/petrogustavo/status/1331416571311513601","1331416571311513601")</f>
        <v>1331416571311513601</v>
      </c>
      <c r="F12191" s="7" t="s">
        <v>17</v>
      </c>
      <c r="G12191" s="7">
        <v>4012207</v>
      </c>
      <c r="H12191" s="7">
        <v>2466</v>
      </c>
      <c r="I12191" s="7">
        <v>14</v>
      </c>
      <c r="J12191" s="7">
        <v>0</v>
      </c>
      <c r="K12191" s="7" t="s">
        <v>18</v>
      </c>
      <c r="L12191" s="8">
        <v>39987.315405092595</v>
      </c>
      <c r="M12191" s="9" t="s">
        <v>19</v>
      </c>
      <c r="N12191" s="9" t="s">
        <v>20</v>
      </c>
      <c r="O12191" s="6" t="str">
        <f>HYPERLINK("https://pbs.twimg.com/profile_images/962471262747529216/Uo8lOkRJ_normal.jpg","View")</f>
        <v>View</v>
      </c>
      <c r="P12191" s="7"/>
    </row>
    <row r="12192" spans="1:16">
      <c r="A12192" s="3">
        <v>44160.312546296293</v>
      </c>
      <c r="B12192" s="4" t="str">
        <f>HYPERLINK("https://twitter.com/petrogustavo","@petrogustavo")</f>
        <v>@petrogustavo</v>
      </c>
      <c r="C12192" s="5" t="s">
        <v>16</v>
      </c>
      <c r="D12192" s="5" t="s">
        <v>11739</v>
      </c>
      <c r="E12192" s="6" t="str">
        <f>HYPERLINK("https://twitter.com/petrogustavo/status/1331417335807299587","1331417335807299587")</f>
        <v>1331417335807299587</v>
      </c>
      <c r="F12192" s="7" t="s">
        <v>17</v>
      </c>
      <c r="G12192" s="7">
        <v>4012207</v>
      </c>
      <c r="H12192" s="7">
        <v>2466</v>
      </c>
      <c r="I12192" s="7">
        <v>58</v>
      </c>
      <c r="J12192" s="7">
        <v>193</v>
      </c>
      <c r="K12192" s="7" t="s">
        <v>18</v>
      </c>
      <c r="L12192" s="8">
        <v>39987.315405092595</v>
      </c>
      <c r="M12192" s="9" t="s">
        <v>19</v>
      </c>
      <c r="N12192" s="9" t="s">
        <v>20</v>
      </c>
      <c r="O12192" s="6" t="str">
        <f>HYPERLINK("https://pbs.twimg.com/profile_images/962471262747529216/Uo8lOkRJ_normal.jpg","View")</f>
        <v>View</v>
      </c>
      <c r="P12192" s="7"/>
    </row>
    <row r="12193" spans="1:16">
      <c r="A12193" s="3">
        <v>44160.349618055552</v>
      </c>
      <c r="B12193" s="4" t="str">
        <f>HYPERLINK("https://twitter.com/petrogustavo","@petrogustavo")</f>
        <v>@petrogustavo</v>
      </c>
      <c r="C12193" s="5" t="s">
        <v>16</v>
      </c>
      <c r="D12193" s="5" t="s">
        <v>11740</v>
      </c>
      <c r="E12193" s="6" t="str">
        <f>HYPERLINK("https://twitter.com/petrogustavo/status/1331430771064795137","1331430771064795137")</f>
        <v>1331430771064795137</v>
      </c>
      <c r="F12193" s="7" t="s">
        <v>17</v>
      </c>
      <c r="G12193" s="7">
        <v>4012235</v>
      </c>
      <c r="H12193" s="7">
        <v>2466</v>
      </c>
      <c r="I12193" s="7">
        <v>34</v>
      </c>
      <c r="J12193" s="7">
        <v>0</v>
      </c>
      <c r="K12193" s="7" t="s">
        <v>18</v>
      </c>
      <c r="L12193" s="8">
        <v>39987.315405092595</v>
      </c>
      <c r="M12193" s="9" t="s">
        <v>19</v>
      </c>
      <c r="N12193" s="9" t="s">
        <v>20</v>
      </c>
      <c r="O12193" s="6" t="str">
        <f>HYPERLINK("https://pbs.twimg.com/profile_images/962471262747529216/Uo8lOkRJ_normal.jpg","View")</f>
        <v>View</v>
      </c>
      <c r="P12193" s="7"/>
    </row>
    <row r="12194" spans="1:16">
      <c r="A12194" s="3">
        <v>44160.352222222224</v>
      </c>
      <c r="B12194" s="4" t="str">
        <f>HYPERLINK("https://twitter.com/petrogustavo","@petrogustavo")</f>
        <v>@petrogustavo</v>
      </c>
      <c r="C12194" s="5" t="s">
        <v>16</v>
      </c>
      <c r="D12194" s="5" t="s">
        <v>11741</v>
      </c>
      <c r="E12194" s="6" t="str">
        <f>HYPERLINK("https://twitter.com/petrogustavo/status/1331431714921525251","1331431714921525251")</f>
        <v>1331431714921525251</v>
      </c>
      <c r="F12194" s="7" t="s">
        <v>17</v>
      </c>
      <c r="G12194" s="7">
        <v>4012235</v>
      </c>
      <c r="H12194" s="7">
        <v>2466</v>
      </c>
      <c r="I12194" s="7">
        <v>100</v>
      </c>
      <c r="J12194" s="7">
        <v>320</v>
      </c>
      <c r="K12194" s="7" t="s">
        <v>18</v>
      </c>
      <c r="L12194" s="8">
        <v>39987.315405092595</v>
      </c>
      <c r="M12194" s="9" t="s">
        <v>19</v>
      </c>
      <c r="N12194" s="9" t="s">
        <v>20</v>
      </c>
      <c r="O12194" s="6" t="str">
        <f>HYPERLINK("https://pbs.twimg.com/profile_images/962471262747529216/Uo8lOkRJ_normal.jpg","View")</f>
        <v>View</v>
      </c>
      <c r="P12194" s="7"/>
    </row>
    <row r="12195" spans="1:16">
      <c r="A12195" s="3">
        <v>44160.357164351852</v>
      </c>
      <c r="B12195" s="4" t="str">
        <f>HYPERLINK("https://twitter.com/petrogustavo","@petrogustavo")</f>
        <v>@petrogustavo</v>
      </c>
      <c r="C12195" s="5" t="s">
        <v>16</v>
      </c>
      <c r="D12195" s="5" t="s">
        <v>11742</v>
      </c>
      <c r="E12195" s="6" t="str">
        <f>HYPERLINK("https://twitter.com/petrogustavo/status/1331433505952305152","1331433505952305152")</f>
        <v>1331433505952305152</v>
      </c>
      <c r="F12195" s="7" t="s">
        <v>17</v>
      </c>
      <c r="G12195" s="7">
        <v>4012235</v>
      </c>
      <c r="H12195" s="7">
        <v>2466</v>
      </c>
      <c r="I12195" s="7">
        <v>63</v>
      </c>
      <c r="J12195" s="7">
        <v>187</v>
      </c>
      <c r="K12195" s="7" t="s">
        <v>18</v>
      </c>
      <c r="L12195" s="8">
        <v>39987.315405092595</v>
      </c>
      <c r="M12195" s="9" t="s">
        <v>19</v>
      </c>
      <c r="N12195" s="9" t="s">
        <v>20</v>
      </c>
      <c r="O12195" s="6" t="str">
        <f>HYPERLINK("https://pbs.twimg.com/profile_images/962471262747529216/Uo8lOkRJ_normal.jpg","View")</f>
        <v>View</v>
      </c>
      <c r="P12195" s="7"/>
    </row>
    <row r="12196" spans="1:16">
      <c r="A12196" s="3">
        <v>44160.358784722222</v>
      </c>
      <c r="B12196" s="4" t="str">
        <f>HYPERLINK("https://twitter.com/petrogustavo","@petrogustavo")</f>
        <v>@petrogustavo</v>
      </c>
      <c r="C12196" s="5" t="s">
        <v>16</v>
      </c>
      <c r="D12196" s="5" t="s">
        <v>11743</v>
      </c>
      <c r="E12196" s="6" t="str">
        <f>HYPERLINK("https://twitter.com/petrogustavo/status/1331434094731943938","1331434094731943938")</f>
        <v>1331434094731943938</v>
      </c>
      <c r="F12196" s="7" t="s">
        <v>17</v>
      </c>
      <c r="G12196" s="7">
        <v>4012235</v>
      </c>
      <c r="H12196" s="7">
        <v>2466</v>
      </c>
      <c r="I12196" s="7">
        <v>55</v>
      </c>
      <c r="J12196" s="7">
        <v>349</v>
      </c>
      <c r="K12196" s="7" t="s">
        <v>18</v>
      </c>
      <c r="L12196" s="8">
        <v>39987.315405092595</v>
      </c>
      <c r="M12196" s="9" t="s">
        <v>19</v>
      </c>
      <c r="N12196" s="9" t="s">
        <v>20</v>
      </c>
      <c r="O12196" s="6" t="str">
        <f>HYPERLINK("https://pbs.twimg.com/profile_images/962471262747529216/Uo8lOkRJ_normal.jpg","View")</f>
        <v>View</v>
      </c>
      <c r="P12196" s="7"/>
    </row>
    <row r="12197" spans="1:16">
      <c r="A12197" s="3">
        <v>44160.365856481483</v>
      </c>
      <c r="B12197" s="4" t="str">
        <f>HYPERLINK("https://twitter.com/petrogustavo","@petrogustavo")</f>
        <v>@petrogustavo</v>
      </c>
      <c r="C12197" s="5" t="s">
        <v>16</v>
      </c>
      <c r="D12197" s="5" t="s">
        <v>11744</v>
      </c>
      <c r="E12197" s="6" t="str">
        <f>HYPERLINK("https://twitter.com/petrogustavo/status/1331436654935072768","1331436654935072768")</f>
        <v>1331436654935072768</v>
      </c>
      <c r="F12197" s="7" t="s">
        <v>17</v>
      </c>
      <c r="G12197" s="7">
        <v>4012235</v>
      </c>
      <c r="H12197" s="7">
        <v>2466</v>
      </c>
      <c r="I12197" s="7">
        <v>14</v>
      </c>
      <c r="J12197" s="7">
        <v>69</v>
      </c>
      <c r="K12197" s="7" t="s">
        <v>18</v>
      </c>
      <c r="L12197" s="8">
        <v>39987.315405092595</v>
      </c>
      <c r="M12197" s="9" t="s">
        <v>19</v>
      </c>
      <c r="N12197" s="9" t="s">
        <v>20</v>
      </c>
      <c r="O12197" s="6" t="str">
        <f>HYPERLINK("https://pbs.twimg.com/profile_images/962471262747529216/Uo8lOkRJ_normal.jpg","View")</f>
        <v>View</v>
      </c>
      <c r="P12197" s="7"/>
    </row>
    <row r="12198" spans="1:16">
      <c r="A12198" s="3">
        <v>44160.373067129629</v>
      </c>
      <c r="B12198" s="4" t="str">
        <f>HYPERLINK("https://twitter.com/petrogustavo","@petrogustavo")</f>
        <v>@petrogustavo</v>
      </c>
      <c r="C12198" s="5" t="s">
        <v>16</v>
      </c>
      <c r="D12198" s="5" t="s">
        <v>11745</v>
      </c>
      <c r="E12198" s="6" t="str">
        <f>HYPERLINK("https://twitter.com/petrogustavo/status/1331439268087160839","1331439268087160839")</f>
        <v>1331439268087160839</v>
      </c>
      <c r="F12198" s="7" t="s">
        <v>17</v>
      </c>
      <c r="G12198" s="7">
        <v>4012248</v>
      </c>
      <c r="H12198" s="7">
        <v>2466</v>
      </c>
      <c r="I12198" s="7">
        <v>190</v>
      </c>
      <c r="J12198" s="7">
        <v>835</v>
      </c>
      <c r="K12198" s="7" t="s">
        <v>18</v>
      </c>
      <c r="L12198" s="8">
        <v>39987.315405092595</v>
      </c>
      <c r="M12198" s="9" t="s">
        <v>19</v>
      </c>
      <c r="N12198" s="9" t="s">
        <v>20</v>
      </c>
      <c r="O12198" s="6" t="str">
        <f>HYPERLINK("https://pbs.twimg.com/profile_images/962471262747529216/Uo8lOkRJ_normal.jpg","View")</f>
        <v>View</v>
      </c>
      <c r="P12198" s="7"/>
    </row>
    <row r="12199" spans="1:16">
      <c r="A12199" s="3">
        <v>44160.378402777773</v>
      </c>
      <c r="B12199" s="4" t="str">
        <f>HYPERLINK("https://twitter.com/petrogustavo","@petrogustavo")</f>
        <v>@petrogustavo</v>
      </c>
      <c r="C12199" s="5" t="s">
        <v>16</v>
      </c>
      <c r="D12199" s="5" t="s">
        <v>11746</v>
      </c>
      <c r="E12199" s="6" t="str">
        <f>HYPERLINK("https://twitter.com/petrogustavo/status/1331441203112538112","1331441203112538112")</f>
        <v>1331441203112538112</v>
      </c>
      <c r="F12199" s="7" t="s">
        <v>17</v>
      </c>
      <c r="G12199" s="7">
        <v>4012248</v>
      </c>
      <c r="H12199" s="7">
        <v>2466</v>
      </c>
      <c r="I12199" s="7">
        <v>70</v>
      </c>
      <c r="J12199" s="7">
        <v>262</v>
      </c>
      <c r="K12199" s="7" t="s">
        <v>18</v>
      </c>
      <c r="L12199" s="8">
        <v>39987.315405092595</v>
      </c>
      <c r="M12199" s="9" t="s">
        <v>19</v>
      </c>
      <c r="N12199" s="9" t="s">
        <v>20</v>
      </c>
      <c r="O12199" s="6" t="str">
        <f>HYPERLINK("https://pbs.twimg.com/profile_images/962471262747529216/Uo8lOkRJ_normal.jpg","View")</f>
        <v>View</v>
      </c>
      <c r="P12199" s="7"/>
    </row>
    <row r="12200" spans="1:16">
      <c r="A12200" s="3">
        <v>44160.702430555553</v>
      </c>
      <c r="B12200" s="4" t="str">
        <f>HYPERLINK("https://twitter.com/petrogustavo","@petrogustavo")</f>
        <v>@petrogustavo</v>
      </c>
      <c r="C12200" s="5" t="s">
        <v>16</v>
      </c>
      <c r="D12200" s="5" t="s">
        <v>11747</v>
      </c>
      <c r="E12200" s="6" t="str">
        <f>HYPERLINK("https://twitter.com/petrogustavo/status/1331558625161191426","1331558625161191426")</f>
        <v>1331558625161191426</v>
      </c>
      <c r="F12200" s="7" t="s">
        <v>17</v>
      </c>
      <c r="G12200" s="7">
        <v>4012286</v>
      </c>
      <c r="H12200" s="7">
        <v>2466</v>
      </c>
      <c r="I12200" s="7">
        <v>79</v>
      </c>
      <c r="J12200" s="7">
        <v>202</v>
      </c>
      <c r="K12200" s="7" t="s">
        <v>18</v>
      </c>
      <c r="L12200" s="8">
        <v>39987.315405092595</v>
      </c>
      <c r="M12200" s="9" t="s">
        <v>19</v>
      </c>
      <c r="N12200" s="9" t="s">
        <v>20</v>
      </c>
      <c r="O12200" s="6" t="str">
        <f>HYPERLINK("https://pbs.twimg.com/profile_images/962471262747529216/Uo8lOkRJ_normal.jpg","View")</f>
        <v>View</v>
      </c>
      <c r="P12200" s="7"/>
    </row>
    <row r="12201" spans="1:16">
      <c r="A12201" s="3">
        <v>44160.704814814817</v>
      </c>
      <c r="B12201" s="4" t="str">
        <f>HYPERLINK("https://twitter.com/petrogustavo","@petrogustavo")</f>
        <v>@petrogustavo</v>
      </c>
      <c r="C12201" s="5" t="s">
        <v>16</v>
      </c>
      <c r="D12201" s="5" t="s">
        <v>11748</v>
      </c>
      <c r="E12201" s="6" t="str">
        <f>HYPERLINK("https://twitter.com/petrogustavo/status/1331559491503075329","1331559491503075329")</f>
        <v>1331559491503075329</v>
      </c>
      <c r="F12201" s="7" t="s">
        <v>17</v>
      </c>
      <c r="G12201" s="7">
        <v>4012286</v>
      </c>
      <c r="H12201" s="7">
        <v>2466</v>
      </c>
      <c r="I12201" s="7">
        <v>30</v>
      </c>
      <c r="J12201" s="7">
        <v>75</v>
      </c>
      <c r="K12201" s="7" t="s">
        <v>18</v>
      </c>
      <c r="L12201" s="8">
        <v>39987.315405092595</v>
      </c>
      <c r="M12201" s="9" t="s">
        <v>19</v>
      </c>
      <c r="N12201" s="9" t="s">
        <v>20</v>
      </c>
      <c r="O12201" s="6" t="str">
        <f>HYPERLINK("https://pbs.twimg.com/profile_images/962471262747529216/Uo8lOkRJ_normal.jpg","View")</f>
        <v>View</v>
      </c>
      <c r="P12201" s="7"/>
    </row>
    <row r="12202" spans="1:16">
      <c r="A12202" s="3">
        <v>44160.706666666665</v>
      </c>
      <c r="B12202" s="4" t="str">
        <f>HYPERLINK("https://twitter.com/petrogustavo","@petrogustavo")</f>
        <v>@petrogustavo</v>
      </c>
      <c r="C12202" s="5" t="s">
        <v>16</v>
      </c>
      <c r="D12202" s="5" t="s">
        <v>11749</v>
      </c>
      <c r="E12202" s="6" t="str">
        <f>HYPERLINK("https://twitter.com/petrogustavo/status/1331560163757744128","1331560163757744128")</f>
        <v>1331560163757744128</v>
      </c>
      <c r="F12202" s="7" t="s">
        <v>17</v>
      </c>
      <c r="G12202" s="7">
        <v>4012286</v>
      </c>
      <c r="H12202" s="7">
        <v>2466</v>
      </c>
      <c r="I12202" s="7">
        <v>34</v>
      </c>
      <c r="J12202" s="7">
        <v>94</v>
      </c>
      <c r="K12202" s="7" t="s">
        <v>18</v>
      </c>
      <c r="L12202" s="8">
        <v>39987.315405092595</v>
      </c>
      <c r="M12202" s="9" t="s">
        <v>19</v>
      </c>
      <c r="N12202" s="9" t="s">
        <v>20</v>
      </c>
      <c r="O12202" s="6" t="str">
        <f>HYPERLINK("https://pbs.twimg.com/profile_images/962471262747529216/Uo8lOkRJ_normal.jpg","View")</f>
        <v>View</v>
      </c>
      <c r="P12202" s="7"/>
    </row>
    <row r="12203" spans="1:16">
      <c r="A12203" s="3">
        <v>44160.708634259259</v>
      </c>
      <c r="B12203" s="4" t="str">
        <f>HYPERLINK("https://twitter.com/petrogustavo","@petrogustavo")</f>
        <v>@petrogustavo</v>
      </c>
      <c r="C12203" s="5" t="s">
        <v>16</v>
      </c>
      <c r="D12203" s="5" t="s">
        <v>11750</v>
      </c>
      <c r="E12203" s="6" t="str">
        <f>HYPERLINK("https://twitter.com/petrogustavo/status/1331560873295482882","1331560873295482882")</f>
        <v>1331560873295482882</v>
      </c>
      <c r="F12203" s="7" t="s">
        <v>17</v>
      </c>
      <c r="G12203" s="7">
        <v>4012286</v>
      </c>
      <c r="H12203" s="7">
        <v>2466</v>
      </c>
      <c r="I12203" s="7">
        <v>17</v>
      </c>
      <c r="J12203" s="7">
        <v>54</v>
      </c>
      <c r="K12203" s="7" t="s">
        <v>18</v>
      </c>
      <c r="L12203" s="8">
        <v>39987.315405092595</v>
      </c>
      <c r="M12203" s="9" t="s">
        <v>19</v>
      </c>
      <c r="N12203" s="9" t="s">
        <v>20</v>
      </c>
      <c r="O12203" s="6" t="str">
        <f>HYPERLINK("https://pbs.twimg.com/profile_images/962471262747529216/Uo8lOkRJ_normal.jpg","View")</f>
        <v>View</v>
      </c>
      <c r="P12203" s="7"/>
    </row>
    <row r="12204" spans="1:16">
      <c r="A12204" s="3">
        <v>44160.710104166668</v>
      </c>
      <c r="B12204" s="4" t="str">
        <f>HYPERLINK("https://twitter.com/petrogustavo","@petrogustavo")</f>
        <v>@petrogustavo</v>
      </c>
      <c r="C12204" s="5" t="s">
        <v>16</v>
      </c>
      <c r="D12204" s="5" t="s">
        <v>11751</v>
      </c>
      <c r="E12204" s="6" t="str">
        <f>HYPERLINK("https://twitter.com/petrogustavo/status/1331561408274821121","1331561408274821121")</f>
        <v>1331561408274821121</v>
      </c>
      <c r="F12204" s="7" t="s">
        <v>17</v>
      </c>
      <c r="G12204" s="7">
        <v>4012286</v>
      </c>
      <c r="H12204" s="7">
        <v>2466</v>
      </c>
      <c r="I12204" s="7">
        <v>48</v>
      </c>
      <c r="J12204" s="7">
        <v>233</v>
      </c>
      <c r="K12204" s="7" t="s">
        <v>18</v>
      </c>
      <c r="L12204" s="8">
        <v>39987.315405092595</v>
      </c>
      <c r="M12204" s="9" t="s">
        <v>19</v>
      </c>
      <c r="N12204" s="9" t="s">
        <v>20</v>
      </c>
      <c r="O12204" s="6" t="str">
        <f>HYPERLINK("https://pbs.twimg.com/profile_images/962471262747529216/Uo8lOkRJ_normal.jpg","View")</f>
        <v>View</v>
      </c>
      <c r="P12204" s="7"/>
    </row>
    <row r="12205" spans="1:16">
      <c r="A12205" s="3">
        <v>44160.712187500001</v>
      </c>
      <c r="B12205" s="4" t="str">
        <f>HYPERLINK("https://twitter.com/petrogustavo","@petrogustavo")</f>
        <v>@petrogustavo</v>
      </c>
      <c r="C12205" s="5" t="s">
        <v>16</v>
      </c>
      <c r="D12205" s="5" t="s">
        <v>11752</v>
      </c>
      <c r="E12205" s="6" t="str">
        <f>HYPERLINK("https://twitter.com/petrogustavo/status/1331562162570096640","1331562162570096640")</f>
        <v>1331562162570096640</v>
      </c>
      <c r="F12205" s="7" t="s">
        <v>17</v>
      </c>
      <c r="G12205" s="7">
        <v>4012286</v>
      </c>
      <c r="H12205" s="7">
        <v>2466</v>
      </c>
      <c r="I12205" s="7">
        <v>29</v>
      </c>
      <c r="J12205" s="7">
        <v>71</v>
      </c>
      <c r="K12205" s="7" t="s">
        <v>18</v>
      </c>
      <c r="L12205" s="8">
        <v>39987.315405092595</v>
      </c>
      <c r="M12205" s="9" t="s">
        <v>19</v>
      </c>
      <c r="N12205" s="9" t="s">
        <v>20</v>
      </c>
      <c r="O12205" s="6" t="str">
        <f>HYPERLINK("https://pbs.twimg.com/profile_images/962471262747529216/Uo8lOkRJ_normal.jpg","View")</f>
        <v>View</v>
      </c>
      <c r="P12205" s="7"/>
    </row>
    <row r="12206" spans="1:16">
      <c r="A12206" s="3">
        <v>44160.714826388888</v>
      </c>
      <c r="B12206" s="4" t="str">
        <f>HYPERLINK("https://twitter.com/petrogustavo","@petrogustavo")</f>
        <v>@petrogustavo</v>
      </c>
      <c r="C12206" s="5" t="s">
        <v>16</v>
      </c>
      <c r="D12206" s="5" t="s">
        <v>11753</v>
      </c>
      <c r="E12206" s="6" t="str">
        <f>HYPERLINK("https://twitter.com/petrogustavo/status/1331563117072019467","1331563117072019467")</f>
        <v>1331563117072019467</v>
      </c>
      <c r="F12206" s="7" t="s">
        <v>17</v>
      </c>
      <c r="G12206" s="7">
        <v>4012286</v>
      </c>
      <c r="H12206" s="7">
        <v>2466</v>
      </c>
      <c r="I12206" s="7">
        <v>24</v>
      </c>
      <c r="J12206" s="7">
        <v>67</v>
      </c>
      <c r="K12206" s="7" t="s">
        <v>18</v>
      </c>
      <c r="L12206" s="8">
        <v>39987.315405092595</v>
      </c>
      <c r="M12206" s="9" t="s">
        <v>19</v>
      </c>
      <c r="N12206" s="9" t="s">
        <v>20</v>
      </c>
      <c r="O12206" s="6" t="str">
        <f>HYPERLINK("https://pbs.twimg.com/profile_images/962471262747529216/Uo8lOkRJ_normal.jpg","View")</f>
        <v>View</v>
      </c>
      <c r="P12206" s="7"/>
    </row>
    <row r="12207" spans="1:16">
      <c r="A12207" s="3">
        <v>44160.723182870366</v>
      </c>
      <c r="B12207" s="4" t="str">
        <f>HYPERLINK("https://twitter.com/petrogustavo","@petrogustavo")</f>
        <v>@petrogustavo</v>
      </c>
      <c r="C12207" s="5" t="s">
        <v>16</v>
      </c>
      <c r="D12207" s="5" t="s">
        <v>11754</v>
      </c>
      <c r="E12207" s="6" t="str">
        <f>HYPERLINK("https://twitter.com/petrogustavo/status/1331566145309171714","1331566145309171714")</f>
        <v>1331566145309171714</v>
      </c>
      <c r="F12207" s="7" t="s">
        <v>17</v>
      </c>
      <c r="G12207" s="7">
        <v>4012295</v>
      </c>
      <c r="H12207" s="7">
        <v>2466</v>
      </c>
      <c r="I12207" s="7">
        <v>42</v>
      </c>
      <c r="J12207" s="7">
        <v>180</v>
      </c>
      <c r="K12207" s="7" t="s">
        <v>18</v>
      </c>
      <c r="L12207" s="8">
        <v>39987.315405092595</v>
      </c>
      <c r="M12207" s="9" t="s">
        <v>19</v>
      </c>
      <c r="N12207" s="9" t="s">
        <v>20</v>
      </c>
      <c r="O12207" s="6" t="str">
        <f>HYPERLINK("https://pbs.twimg.com/profile_images/962471262747529216/Uo8lOkRJ_normal.jpg","View")</f>
        <v>View</v>
      </c>
      <c r="P12207" s="7"/>
    </row>
    <row r="12208" spans="1:16">
      <c r="A12208" s="3">
        <v>44160.750833333332</v>
      </c>
      <c r="B12208" s="4" t="str">
        <f>HYPERLINK("https://twitter.com/petrogustavo","@petrogustavo")</f>
        <v>@petrogustavo</v>
      </c>
      <c r="C12208" s="5" t="s">
        <v>16</v>
      </c>
      <c r="D12208" s="5" t="s">
        <v>11755</v>
      </c>
      <c r="E12208" s="6" t="str">
        <f>HYPERLINK("https://twitter.com/petrogustavo/status/1331576166457757699","1331576166457757699")</f>
        <v>1331576166457757699</v>
      </c>
      <c r="F12208" s="7" t="s">
        <v>32</v>
      </c>
      <c r="G12208" s="7">
        <v>4012292</v>
      </c>
      <c r="H12208" s="7">
        <v>2466</v>
      </c>
      <c r="I12208" s="7">
        <v>57</v>
      </c>
      <c r="J12208" s="7">
        <v>181</v>
      </c>
      <c r="K12208" s="7" t="s">
        <v>18</v>
      </c>
      <c r="L12208" s="8">
        <v>39987.315405092595</v>
      </c>
      <c r="M12208" s="9" t="s">
        <v>19</v>
      </c>
      <c r="N12208" s="9" t="s">
        <v>20</v>
      </c>
      <c r="O12208" s="6" t="str">
        <f>HYPERLINK("https://pbs.twimg.com/profile_images/962471262747529216/Uo8lOkRJ_normal.jpg","View")</f>
        <v>View</v>
      </c>
      <c r="P12208" s="7"/>
    </row>
    <row r="12209" spans="1:16">
      <c r="A12209" s="3">
        <v>44160.761249999996</v>
      </c>
      <c r="B12209" s="4" t="str">
        <f>HYPERLINK("https://twitter.com/petrogustavo","@petrogustavo")</f>
        <v>@petrogustavo</v>
      </c>
      <c r="C12209" s="5" t="s">
        <v>16</v>
      </c>
      <c r="D12209" s="5" t="s">
        <v>11756</v>
      </c>
      <c r="E12209" s="6" t="str">
        <f>HYPERLINK("https://twitter.com/petrogustavo/status/1331579944485474304","1331579944485474304")</f>
        <v>1331579944485474304</v>
      </c>
      <c r="F12209" s="7" t="s">
        <v>17</v>
      </c>
      <c r="G12209" s="7">
        <v>4012292</v>
      </c>
      <c r="H12209" s="7">
        <v>2466</v>
      </c>
      <c r="I12209" s="7">
        <v>3</v>
      </c>
      <c r="J12209" s="7">
        <v>10</v>
      </c>
      <c r="K12209" s="7" t="s">
        <v>18</v>
      </c>
      <c r="L12209" s="8">
        <v>39987.315405092595</v>
      </c>
      <c r="M12209" s="9" t="s">
        <v>19</v>
      </c>
      <c r="N12209" s="9" t="s">
        <v>20</v>
      </c>
      <c r="O12209" s="6" t="str">
        <f>HYPERLINK("https://pbs.twimg.com/profile_images/962471262747529216/Uo8lOkRJ_normal.jpg","View")</f>
        <v>View</v>
      </c>
      <c r="P12209" s="7"/>
    </row>
    <row r="12210" spans="1:16">
      <c r="A12210" s="3">
        <v>44160.76362268519</v>
      </c>
      <c r="B12210" s="4" t="str">
        <f>HYPERLINK("https://twitter.com/petrogustavo","@petrogustavo")</f>
        <v>@petrogustavo</v>
      </c>
      <c r="C12210" s="5" t="s">
        <v>16</v>
      </c>
      <c r="D12210" s="5" t="s">
        <v>11757</v>
      </c>
      <c r="E12210" s="6" t="str">
        <f>HYPERLINK("https://twitter.com/petrogustavo/status/1331580800547033088","1331580800547033088")</f>
        <v>1331580800547033088</v>
      </c>
      <c r="F12210" s="7" t="s">
        <v>17</v>
      </c>
      <c r="G12210" s="7">
        <v>4012302</v>
      </c>
      <c r="H12210" s="7">
        <v>2466</v>
      </c>
      <c r="I12210" s="7">
        <v>31</v>
      </c>
      <c r="J12210" s="7">
        <v>145</v>
      </c>
      <c r="K12210" s="7" t="s">
        <v>18</v>
      </c>
      <c r="L12210" s="8">
        <v>39987.315405092595</v>
      </c>
      <c r="M12210" s="9" t="s">
        <v>19</v>
      </c>
      <c r="N12210" s="9" t="s">
        <v>20</v>
      </c>
      <c r="O12210" s="6" t="str">
        <f>HYPERLINK("https://pbs.twimg.com/profile_images/962471262747529216/Uo8lOkRJ_normal.jpg","View")</f>
        <v>View</v>
      </c>
      <c r="P12210" s="7"/>
    </row>
    <row r="12211" spans="1:16">
      <c r="A12211" s="3">
        <v>44160.766180555554</v>
      </c>
      <c r="B12211" s="4" t="str">
        <f>HYPERLINK("https://twitter.com/petrogustavo","@petrogustavo")</f>
        <v>@petrogustavo</v>
      </c>
      <c r="C12211" s="5" t="s">
        <v>16</v>
      </c>
      <c r="D12211" s="5" t="s">
        <v>11758</v>
      </c>
      <c r="E12211" s="6" t="str">
        <f>HYPERLINK("https://twitter.com/petrogustavo/status/1331581731149852682","1331581731149852682")</f>
        <v>1331581731149852682</v>
      </c>
      <c r="F12211" s="7" t="s">
        <v>17</v>
      </c>
      <c r="G12211" s="7">
        <v>4012302</v>
      </c>
      <c r="H12211" s="7">
        <v>2466</v>
      </c>
      <c r="I12211" s="7">
        <v>235</v>
      </c>
      <c r="J12211" s="7">
        <v>0</v>
      </c>
      <c r="K12211" s="7" t="s">
        <v>18</v>
      </c>
      <c r="L12211" s="8">
        <v>39987.315405092595</v>
      </c>
      <c r="M12211" s="9" t="s">
        <v>19</v>
      </c>
      <c r="N12211" s="9" t="s">
        <v>20</v>
      </c>
      <c r="O12211" s="6" t="str">
        <f>HYPERLINK("https://pbs.twimg.com/profile_images/962471262747529216/Uo8lOkRJ_normal.jpg","View")</f>
        <v>View</v>
      </c>
      <c r="P12211" s="7"/>
    </row>
    <row r="12212" spans="1:16">
      <c r="A12212" s="3">
        <v>44160.772627314815</v>
      </c>
      <c r="B12212" s="4" t="str">
        <f>HYPERLINK("https://twitter.com/petrogustavo","@petrogustavo")</f>
        <v>@petrogustavo</v>
      </c>
      <c r="C12212" s="5" t="s">
        <v>16</v>
      </c>
      <c r="D12212" s="5" t="s">
        <v>11759</v>
      </c>
      <c r="E12212" s="6" t="str">
        <f>HYPERLINK("https://twitter.com/petrogustavo/status/1331584064961310720","1331584064961310720")</f>
        <v>1331584064961310720</v>
      </c>
      <c r="F12212" s="7" t="s">
        <v>17</v>
      </c>
      <c r="G12212" s="7">
        <v>4012302</v>
      </c>
      <c r="H12212" s="7">
        <v>2466</v>
      </c>
      <c r="I12212" s="7">
        <v>85</v>
      </c>
      <c r="J12212" s="7">
        <v>0</v>
      </c>
      <c r="K12212" s="7" t="s">
        <v>18</v>
      </c>
      <c r="L12212" s="8">
        <v>39987.315405092595</v>
      </c>
      <c r="M12212" s="9" t="s">
        <v>19</v>
      </c>
      <c r="N12212" s="9" t="s">
        <v>20</v>
      </c>
      <c r="O12212" s="6" t="str">
        <f>HYPERLINK("https://pbs.twimg.com/profile_images/962471262747529216/Uo8lOkRJ_normal.jpg","View")</f>
        <v>View</v>
      </c>
      <c r="P12212" s="7"/>
    </row>
    <row r="12213" spans="1:16">
      <c r="A12213" s="3">
        <v>44160.778368055559</v>
      </c>
      <c r="B12213" s="4" t="str">
        <f>HYPERLINK("https://twitter.com/petrogustavo","@petrogustavo")</f>
        <v>@petrogustavo</v>
      </c>
      <c r="C12213" s="5" t="s">
        <v>16</v>
      </c>
      <c r="D12213" s="5" t="s">
        <v>11760</v>
      </c>
      <c r="E12213" s="6" t="str">
        <f>HYPERLINK("https://twitter.com/petrogustavo/status/1331586144128167938","1331586144128167938")</f>
        <v>1331586144128167938</v>
      </c>
      <c r="F12213" s="7" t="s">
        <v>17</v>
      </c>
      <c r="G12213" s="7">
        <v>4012302</v>
      </c>
      <c r="H12213" s="7">
        <v>2466</v>
      </c>
      <c r="I12213" s="7">
        <v>22</v>
      </c>
      <c r="J12213" s="7">
        <v>93</v>
      </c>
      <c r="K12213" s="7" t="s">
        <v>18</v>
      </c>
      <c r="L12213" s="8">
        <v>39987.315405092595</v>
      </c>
      <c r="M12213" s="9" t="s">
        <v>19</v>
      </c>
      <c r="N12213" s="9" t="s">
        <v>20</v>
      </c>
      <c r="O12213" s="6" t="str">
        <f>HYPERLINK("https://pbs.twimg.com/profile_images/962471262747529216/Uo8lOkRJ_normal.jpg","View")</f>
        <v>View</v>
      </c>
      <c r="P12213" s="7"/>
    </row>
    <row r="12214" spans="1:16">
      <c r="A12214" s="3">
        <v>44160.78</v>
      </c>
      <c r="B12214" s="4" t="str">
        <f>HYPERLINK("https://twitter.com/petrogustavo","@petrogustavo")</f>
        <v>@petrogustavo</v>
      </c>
      <c r="C12214" s="5" t="s">
        <v>16</v>
      </c>
      <c r="D12214" s="5" t="s">
        <v>11761</v>
      </c>
      <c r="E12214" s="6" t="str">
        <f>HYPERLINK("https://twitter.com/petrogustavo/status/1331586736934227968","1331586736934227968")</f>
        <v>1331586736934227968</v>
      </c>
      <c r="F12214" s="7" t="s">
        <v>17</v>
      </c>
      <c r="G12214" s="7">
        <v>4012302</v>
      </c>
      <c r="H12214" s="7">
        <v>2466</v>
      </c>
      <c r="I12214" s="7">
        <v>7</v>
      </c>
      <c r="J12214" s="7">
        <v>0</v>
      </c>
      <c r="K12214" s="7" t="s">
        <v>18</v>
      </c>
      <c r="L12214" s="8">
        <v>39987.315405092595</v>
      </c>
      <c r="M12214" s="9" t="s">
        <v>19</v>
      </c>
      <c r="N12214" s="9" t="s">
        <v>20</v>
      </c>
      <c r="O12214" s="6" t="str">
        <f>HYPERLINK("https://pbs.twimg.com/profile_images/962471262747529216/Uo8lOkRJ_normal.jpg","View")</f>
        <v>View</v>
      </c>
      <c r="P12214" s="7"/>
    </row>
    <row r="12215" spans="1:16">
      <c r="A12215" s="3">
        <v>44160.781412037039</v>
      </c>
      <c r="B12215" s="4" t="str">
        <f>HYPERLINK("https://twitter.com/petrogustavo","@petrogustavo")</f>
        <v>@petrogustavo</v>
      </c>
      <c r="C12215" s="5" t="s">
        <v>16</v>
      </c>
      <c r="D12215" s="5" t="s">
        <v>11762</v>
      </c>
      <c r="E12215" s="6" t="str">
        <f>HYPERLINK("https://twitter.com/petrogustavo/status/1331587250484809729","1331587250484809729")</f>
        <v>1331587250484809729</v>
      </c>
      <c r="F12215" s="7" t="s">
        <v>17</v>
      </c>
      <c r="G12215" s="7">
        <v>4012302</v>
      </c>
      <c r="H12215" s="7">
        <v>2466</v>
      </c>
      <c r="I12215" s="7">
        <v>13</v>
      </c>
      <c r="J12215" s="7">
        <v>42</v>
      </c>
      <c r="K12215" s="7" t="s">
        <v>18</v>
      </c>
      <c r="L12215" s="8">
        <v>39987.315405092595</v>
      </c>
      <c r="M12215" s="9" t="s">
        <v>19</v>
      </c>
      <c r="N12215" s="9" t="s">
        <v>20</v>
      </c>
      <c r="O12215" s="6" t="str">
        <f>HYPERLINK("https://pbs.twimg.com/profile_images/962471262747529216/Uo8lOkRJ_normal.jpg","View")</f>
        <v>View</v>
      </c>
      <c r="P12215" s="7"/>
    </row>
    <row r="12216" spans="1:16">
      <c r="A12216" s="3">
        <v>44160.783391203702</v>
      </c>
      <c r="B12216" s="4" t="str">
        <f>HYPERLINK("https://twitter.com/petrogustavo","@petrogustavo")</f>
        <v>@petrogustavo</v>
      </c>
      <c r="C12216" s="5" t="s">
        <v>16</v>
      </c>
      <c r="D12216" s="5" t="s">
        <v>11763</v>
      </c>
      <c r="E12216" s="6" t="str">
        <f>HYPERLINK("https://twitter.com/petrogustavo/status/1331587965328429056","1331587965328429056")</f>
        <v>1331587965328429056</v>
      </c>
      <c r="F12216" s="7" t="s">
        <v>17</v>
      </c>
      <c r="G12216" s="7">
        <v>4012302</v>
      </c>
      <c r="H12216" s="7">
        <v>2466</v>
      </c>
      <c r="I12216" s="7">
        <v>4</v>
      </c>
      <c r="J12216" s="7">
        <v>8</v>
      </c>
      <c r="K12216" s="7" t="s">
        <v>18</v>
      </c>
      <c r="L12216" s="8">
        <v>39987.315405092595</v>
      </c>
      <c r="M12216" s="9" t="s">
        <v>19</v>
      </c>
      <c r="N12216" s="9" t="s">
        <v>20</v>
      </c>
      <c r="O12216" s="6" t="str">
        <f>HYPERLINK("https://pbs.twimg.com/profile_images/962471262747529216/Uo8lOkRJ_normal.jpg","View")</f>
        <v>View</v>
      </c>
      <c r="P12216" s="7"/>
    </row>
    <row r="12217" spans="1:16">
      <c r="A12217" s="3">
        <v>44160.789722222224</v>
      </c>
      <c r="B12217" s="4" t="str">
        <f>HYPERLINK("https://twitter.com/petrogustavo","@petrogustavo")</f>
        <v>@petrogustavo</v>
      </c>
      <c r="C12217" s="5" t="s">
        <v>16</v>
      </c>
      <c r="D12217" s="5" t="s">
        <v>11764</v>
      </c>
      <c r="E12217" s="6" t="str">
        <f>HYPERLINK("https://twitter.com/petrogustavo/status/1331590258945912832","1331590258945912832")</f>
        <v>1331590258945912832</v>
      </c>
      <c r="F12217" s="7" t="s">
        <v>17</v>
      </c>
      <c r="G12217" s="7">
        <v>4012307</v>
      </c>
      <c r="H12217" s="7">
        <v>2466</v>
      </c>
      <c r="I12217" s="7">
        <v>42</v>
      </c>
      <c r="J12217" s="7">
        <v>146</v>
      </c>
      <c r="K12217" s="7" t="s">
        <v>18</v>
      </c>
      <c r="L12217" s="8">
        <v>39987.315405092595</v>
      </c>
      <c r="M12217" s="9" t="s">
        <v>19</v>
      </c>
      <c r="N12217" s="9" t="s">
        <v>20</v>
      </c>
      <c r="O12217" s="6" t="str">
        <f>HYPERLINK("https://pbs.twimg.com/profile_images/962471262747529216/Uo8lOkRJ_normal.jpg","View")</f>
        <v>View</v>
      </c>
      <c r="P12217" s="7"/>
    </row>
    <row r="12218" spans="1:16">
      <c r="A12218" s="3">
        <v>44160.793761574074</v>
      </c>
      <c r="B12218" s="4" t="str">
        <f>HYPERLINK("https://twitter.com/petrogustavo","@petrogustavo")</f>
        <v>@petrogustavo</v>
      </c>
      <c r="C12218" s="5" t="s">
        <v>16</v>
      </c>
      <c r="D12218" s="5" t="s">
        <v>11765</v>
      </c>
      <c r="E12218" s="6" t="str">
        <f>HYPERLINK("https://twitter.com/petrogustavo/status/1331591724376985600","1331591724376985600")</f>
        <v>1331591724376985600</v>
      </c>
      <c r="F12218" s="7" t="s">
        <v>17</v>
      </c>
      <c r="G12218" s="7">
        <v>4012307</v>
      </c>
      <c r="H12218" s="7">
        <v>2466</v>
      </c>
      <c r="I12218" s="7">
        <v>24</v>
      </c>
      <c r="J12218" s="7">
        <v>62</v>
      </c>
      <c r="K12218" s="7" t="s">
        <v>18</v>
      </c>
      <c r="L12218" s="8">
        <v>39987.315405092595</v>
      </c>
      <c r="M12218" s="9" t="s">
        <v>19</v>
      </c>
      <c r="N12218" s="9" t="s">
        <v>20</v>
      </c>
      <c r="O12218" s="6" t="str">
        <f>HYPERLINK("https://pbs.twimg.com/profile_images/962471262747529216/Uo8lOkRJ_normal.jpg","View")</f>
        <v>View</v>
      </c>
      <c r="P12218" s="7"/>
    </row>
    <row r="12219" spans="1:16">
      <c r="A12219" s="3">
        <v>44160.796527777777</v>
      </c>
      <c r="B12219" s="4" t="str">
        <f>HYPERLINK("https://twitter.com/petrogustavo","@petrogustavo")</f>
        <v>@petrogustavo</v>
      </c>
      <c r="C12219" s="5" t="s">
        <v>16</v>
      </c>
      <c r="D12219" s="5" t="s">
        <v>11766</v>
      </c>
      <c r="E12219" s="6" t="str">
        <f>HYPERLINK("https://twitter.com/petrogustavo/status/1331592727172161538","1331592727172161538")</f>
        <v>1331592727172161538</v>
      </c>
      <c r="F12219" s="7" t="s">
        <v>17</v>
      </c>
      <c r="G12219" s="7">
        <v>4012307</v>
      </c>
      <c r="H12219" s="7">
        <v>2466</v>
      </c>
      <c r="I12219" s="7">
        <v>80</v>
      </c>
      <c r="J12219" s="7">
        <v>242</v>
      </c>
      <c r="K12219" s="7" t="s">
        <v>18</v>
      </c>
      <c r="L12219" s="8">
        <v>39987.315405092595</v>
      </c>
      <c r="M12219" s="9" t="s">
        <v>19</v>
      </c>
      <c r="N12219" s="9" t="s">
        <v>20</v>
      </c>
      <c r="O12219" s="6" t="str">
        <f>HYPERLINK("https://pbs.twimg.com/profile_images/962471262747529216/Uo8lOkRJ_normal.jpg","View")</f>
        <v>View</v>
      </c>
      <c r="P12219" s="7"/>
    </row>
    <row r="12220" spans="1:16">
      <c r="A12220" s="3">
        <v>44160.823078703703</v>
      </c>
      <c r="B12220" s="4" t="str">
        <f>HYPERLINK("https://twitter.com/petrogustavo","@petrogustavo")</f>
        <v>@petrogustavo</v>
      </c>
      <c r="C12220" s="5" t="s">
        <v>16</v>
      </c>
      <c r="D12220" s="5" t="s">
        <v>11767</v>
      </c>
      <c r="E12220" s="6" t="str">
        <f>HYPERLINK("https://twitter.com/petrogustavo/status/1331602348238626818","1331602348238626818")</f>
        <v>1331602348238626818</v>
      </c>
      <c r="F12220" s="7" t="s">
        <v>21</v>
      </c>
      <c r="G12220" s="7">
        <v>4012306</v>
      </c>
      <c r="H12220" s="7">
        <v>2466</v>
      </c>
      <c r="I12220" s="7">
        <v>19</v>
      </c>
      <c r="J12220" s="7">
        <v>32</v>
      </c>
      <c r="K12220" s="7" t="s">
        <v>18</v>
      </c>
      <c r="L12220" s="8">
        <v>39987.315405092595</v>
      </c>
      <c r="M12220" s="9" t="s">
        <v>19</v>
      </c>
      <c r="N12220" s="9" t="s">
        <v>20</v>
      </c>
      <c r="O12220" s="6" t="str">
        <f>HYPERLINK("https://pbs.twimg.com/profile_images/962471262747529216/Uo8lOkRJ_normal.jpg","View")</f>
        <v>View</v>
      </c>
      <c r="P12220" s="7"/>
    </row>
    <row r="12221" spans="1:16">
      <c r="A12221" s="3">
        <v>44160.826655092591</v>
      </c>
      <c r="B12221" s="4" t="str">
        <f>HYPERLINK("https://twitter.com/petrogustavo","@petrogustavo")</f>
        <v>@petrogustavo</v>
      </c>
      <c r="C12221" s="5" t="s">
        <v>16</v>
      </c>
      <c r="D12221" s="5" t="s">
        <v>11768</v>
      </c>
      <c r="E12221" s="6" t="str">
        <f>HYPERLINK("https://twitter.com/petrogustavo/status/1331603646480605184","1331603646480605184")</f>
        <v>1331603646480605184</v>
      </c>
      <c r="F12221" s="7" t="s">
        <v>32</v>
      </c>
      <c r="G12221" s="7">
        <v>4012314</v>
      </c>
      <c r="H12221" s="7">
        <v>2466</v>
      </c>
      <c r="I12221" s="7">
        <v>25</v>
      </c>
      <c r="J12221" s="7">
        <v>0</v>
      </c>
      <c r="K12221" s="7" t="s">
        <v>18</v>
      </c>
      <c r="L12221" s="8">
        <v>39987.315405092595</v>
      </c>
      <c r="M12221" s="9" t="s">
        <v>19</v>
      </c>
      <c r="N12221" s="9" t="s">
        <v>20</v>
      </c>
      <c r="O12221" s="6" t="str">
        <f>HYPERLINK("https://pbs.twimg.com/profile_images/962471262747529216/Uo8lOkRJ_normal.jpg","View")</f>
        <v>View</v>
      </c>
      <c r="P12221" s="7"/>
    </row>
    <row r="12222" spans="1:16">
      <c r="A12222" s="3">
        <v>44160.840937500005</v>
      </c>
      <c r="B12222" s="4" t="str">
        <f>HYPERLINK("https://twitter.com/petrogustavo","@petrogustavo")</f>
        <v>@petrogustavo</v>
      </c>
      <c r="C12222" s="5" t="s">
        <v>16</v>
      </c>
      <c r="D12222" s="5" t="s">
        <v>11769</v>
      </c>
      <c r="E12222" s="6" t="str">
        <f>HYPERLINK("https://twitter.com/petrogustavo/status/1331608821396017153","1331608821396017153")</f>
        <v>1331608821396017153</v>
      </c>
      <c r="F12222" s="7" t="s">
        <v>17</v>
      </c>
      <c r="G12222" s="7">
        <v>4012314</v>
      </c>
      <c r="H12222" s="7">
        <v>2466</v>
      </c>
      <c r="I12222" s="7">
        <v>47</v>
      </c>
      <c r="J12222" s="7">
        <v>0</v>
      </c>
      <c r="K12222" s="7" t="s">
        <v>18</v>
      </c>
      <c r="L12222" s="8">
        <v>39987.315405092595</v>
      </c>
      <c r="M12222" s="9" t="s">
        <v>19</v>
      </c>
      <c r="N12222" s="9" t="s">
        <v>20</v>
      </c>
      <c r="O12222" s="6" t="str">
        <f>HYPERLINK("https://pbs.twimg.com/profile_images/962471262747529216/Uo8lOkRJ_normal.jpg","View")</f>
        <v>View</v>
      </c>
      <c r="P12222" s="7"/>
    </row>
    <row r="12223" spans="1:16">
      <c r="A12223" s="3">
        <v>44160.851678240739</v>
      </c>
      <c r="B12223" s="4" t="str">
        <f>HYPERLINK("https://twitter.com/petrogustavo","@petrogustavo")</f>
        <v>@petrogustavo</v>
      </c>
      <c r="C12223" s="5" t="s">
        <v>16</v>
      </c>
      <c r="D12223" s="5" t="s">
        <v>11770</v>
      </c>
      <c r="E12223" s="6" t="str">
        <f>HYPERLINK("https://twitter.com/petrogustavo/status/1331612712175067138","1331612712175067138")</f>
        <v>1331612712175067138</v>
      </c>
      <c r="F12223" s="7" t="s">
        <v>17</v>
      </c>
      <c r="G12223" s="7">
        <v>4012334</v>
      </c>
      <c r="H12223" s="7">
        <v>2466</v>
      </c>
      <c r="I12223" s="7">
        <v>390</v>
      </c>
      <c r="J12223" s="7">
        <v>0</v>
      </c>
      <c r="K12223" s="7" t="s">
        <v>18</v>
      </c>
      <c r="L12223" s="8">
        <v>39987.315405092595</v>
      </c>
      <c r="M12223" s="9" t="s">
        <v>19</v>
      </c>
      <c r="N12223" s="9" t="s">
        <v>20</v>
      </c>
      <c r="O12223" s="6" t="str">
        <f>HYPERLINK("https://pbs.twimg.com/profile_images/962471262747529216/Uo8lOkRJ_normal.jpg","View")</f>
        <v>View</v>
      </c>
      <c r="P12223" s="7"/>
    </row>
    <row r="12224" spans="1:16">
      <c r="A12224" s="3">
        <v>44160.94939814815</v>
      </c>
      <c r="B12224" s="4" t="str">
        <f>HYPERLINK("https://twitter.com/petrogustavo","@petrogustavo")</f>
        <v>@petrogustavo</v>
      </c>
      <c r="C12224" s="5" t="s">
        <v>16</v>
      </c>
      <c r="D12224" s="5" t="s">
        <v>11771</v>
      </c>
      <c r="E12224" s="6" t="str">
        <f>HYPERLINK("https://twitter.com/petrogustavo/status/1331648126642495488","1331648126642495488")</f>
        <v>1331648126642495488</v>
      </c>
      <c r="F12224" s="7" t="s">
        <v>17</v>
      </c>
      <c r="G12224" s="7">
        <v>4012383</v>
      </c>
      <c r="H12224" s="7">
        <v>2467</v>
      </c>
      <c r="I12224" s="7">
        <v>0</v>
      </c>
      <c r="J12224" s="7">
        <v>1</v>
      </c>
      <c r="K12224" s="7" t="s">
        <v>18</v>
      </c>
      <c r="L12224" s="8">
        <v>39987.315405092595</v>
      </c>
      <c r="M12224" s="9" t="s">
        <v>19</v>
      </c>
      <c r="N12224" s="9" t="s">
        <v>20</v>
      </c>
      <c r="O12224" s="6" t="str">
        <f>HYPERLINK("https://pbs.twimg.com/profile_images/962471262747529216/Uo8lOkRJ_normal.jpg","View")</f>
        <v>View</v>
      </c>
      <c r="P12224" s="7"/>
    </row>
    <row r="12225" spans="1:16">
      <c r="A12225" s="3">
        <v>44160.97252314815</v>
      </c>
      <c r="B12225" s="4" t="str">
        <f>HYPERLINK("https://twitter.com/petrogustavo","@petrogustavo")</f>
        <v>@petrogustavo</v>
      </c>
      <c r="C12225" s="5" t="s">
        <v>16</v>
      </c>
      <c r="D12225" s="5" t="s">
        <v>11772</v>
      </c>
      <c r="E12225" s="6" t="str">
        <f>HYPERLINK("https://twitter.com/petrogustavo/status/1331656503284133894","1331656503284133894")</f>
        <v>1331656503284133894</v>
      </c>
      <c r="F12225" s="7" t="s">
        <v>17</v>
      </c>
      <c r="G12225" s="7">
        <v>4012453</v>
      </c>
      <c r="H12225" s="7">
        <v>2467</v>
      </c>
      <c r="I12225" s="7">
        <v>431</v>
      </c>
      <c r="J12225" s="7">
        <v>3366</v>
      </c>
      <c r="K12225" s="7" t="s">
        <v>18</v>
      </c>
      <c r="L12225" s="8">
        <v>39987.315405092595</v>
      </c>
      <c r="M12225" s="9" t="s">
        <v>19</v>
      </c>
      <c r="N12225" s="9" t="s">
        <v>20</v>
      </c>
      <c r="O12225" s="6" t="str">
        <f>HYPERLINK("https://pbs.twimg.com/profile_images/962471262747529216/Uo8lOkRJ_normal.jpg","View")</f>
        <v>View</v>
      </c>
      <c r="P12225" s="7"/>
    </row>
    <row r="12226" spans="1:16">
      <c r="A12226" s="3">
        <v>44161.375231481477</v>
      </c>
      <c r="B12226" s="4" t="str">
        <f>HYPERLINK("https://twitter.com/petrogustavo","@petrogustavo")</f>
        <v>@petrogustavo</v>
      </c>
      <c r="C12226" s="5" t="s">
        <v>16</v>
      </c>
      <c r="D12226" s="5" t="s">
        <v>11773</v>
      </c>
      <c r="E12226" s="6" t="str">
        <f>HYPERLINK("https://twitter.com/petrogustavo/status/1331802443810824192","1331802443810824192")</f>
        <v>1331802443810824192</v>
      </c>
      <c r="F12226" s="7" t="s">
        <v>17</v>
      </c>
      <c r="G12226" s="7">
        <v>4012750</v>
      </c>
      <c r="H12226" s="7">
        <v>2468</v>
      </c>
      <c r="I12226" s="7">
        <v>1780</v>
      </c>
      <c r="J12226" s="7">
        <v>0</v>
      </c>
      <c r="K12226" s="7" t="s">
        <v>18</v>
      </c>
      <c r="L12226" s="8">
        <v>39987.315405092595</v>
      </c>
      <c r="M12226" s="9" t="s">
        <v>19</v>
      </c>
      <c r="N12226" s="9" t="s">
        <v>20</v>
      </c>
      <c r="O12226" s="6" t="str">
        <f>HYPERLINK("https://pbs.twimg.com/profile_images/962471262747529216/Uo8lOkRJ_normal.jpg","View")</f>
        <v>View</v>
      </c>
      <c r="P12226" s="7"/>
    </row>
    <row r="12227" spans="1:16">
      <c r="A12227" s="3">
        <v>44161.737141203703</v>
      </c>
      <c r="B12227" s="4" t="str">
        <f>HYPERLINK("https://twitter.com/petrogustavo","@petrogustavo")</f>
        <v>@petrogustavo</v>
      </c>
      <c r="C12227" s="5" t="s">
        <v>16</v>
      </c>
      <c r="D12227" s="5" t="s">
        <v>11774</v>
      </c>
      <c r="E12227" s="6" t="str">
        <f>HYPERLINK("https://twitter.com/petrogustavo/status/1331933594508464128","1331933594508464128")</f>
        <v>1331933594508464128</v>
      </c>
      <c r="F12227" s="7" t="s">
        <v>17</v>
      </c>
      <c r="G12227" s="7">
        <v>4012794</v>
      </c>
      <c r="H12227" s="7">
        <v>2468</v>
      </c>
      <c r="I12227" s="7">
        <v>15</v>
      </c>
      <c r="J12227" s="7">
        <v>0</v>
      </c>
      <c r="K12227" s="7" t="s">
        <v>18</v>
      </c>
      <c r="L12227" s="8">
        <v>39987.315405092595</v>
      </c>
      <c r="M12227" s="9" t="s">
        <v>19</v>
      </c>
      <c r="N12227" s="9" t="s">
        <v>20</v>
      </c>
      <c r="O12227" s="6" t="str">
        <f>HYPERLINK("https://pbs.twimg.com/profile_images/962471262747529216/Uo8lOkRJ_normal.jpg","View")</f>
        <v>View</v>
      </c>
      <c r="P12227" s="7"/>
    </row>
    <row r="12228" spans="1:16">
      <c r="A12228" s="3">
        <v>44161.738425925927</v>
      </c>
      <c r="B12228" s="4" t="str">
        <f>HYPERLINK("https://twitter.com/petrogustavo","@petrogustavo")</f>
        <v>@petrogustavo</v>
      </c>
      <c r="C12228" s="5" t="s">
        <v>16</v>
      </c>
      <c r="D12228" s="5" t="s">
        <v>11775</v>
      </c>
      <c r="E12228" s="6" t="str">
        <f>HYPERLINK("https://twitter.com/petrogustavo/status/1331934060478935042","1331934060478935042")</f>
        <v>1331934060478935042</v>
      </c>
      <c r="F12228" s="7" t="s">
        <v>17</v>
      </c>
      <c r="G12228" s="7">
        <v>4012794</v>
      </c>
      <c r="H12228" s="7">
        <v>2468</v>
      </c>
      <c r="I12228" s="7">
        <v>25</v>
      </c>
      <c r="J12228" s="7">
        <v>66</v>
      </c>
      <c r="K12228" s="7" t="s">
        <v>18</v>
      </c>
      <c r="L12228" s="8">
        <v>39987.315405092595</v>
      </c>
      <c r="M12228" s="9" t="s">
        <v>19</v>
      </c>
      <c r="N12228" s="9" t="s">
        <v>20</v>
      </c>
      <c r="O12228" s="6" t="str">
        <f>HYPERLINK("https://pbs.twimg.com/profile_images/962471262747529216/Uo8lOkRJ_normal.jpg","View")</f>
        <v>View</v>
      </c>
      <c r="P12228" s="7"/>
    </row>
    <row r="12229" spans="1:16">
      <c r="A12229" s="3">
        <v>44161.741759259261</v>
      </c>
      <c r="B12229" s="4" t="str">
        <f>HYPERLINK("https://twitter.com/petrogustavo","@petrogustavo")</f>
        <v>@petrogustavo</v>
      </c>
      <c r="C12229" s="5" t="s">
        <v>16</v>
      </c>
      <c r="D12229" s="5" t="s">
        <v>11776</v>
      </c>
      <c r="E12229" s="6" t="str">
        <f>HYPERLINK("https://twitter.com/petrogustavo/status/1331935265607258113","1331935265607258113")</f>
        <v>1331935265607258113</v>
      </c>
      <c r="F12229" s="7" t="s">
        <v>17</v>
      </c>
      <c r="G12229" s="7">
        <v>4012810</v>
      </c>
      <c r="H12229" s="7">
        <v>2468</v>
      </c>
      <c r="I12229" s="7">
        <v>198</v>
      </c>
      <c r="J12229" s="7">
        <v>869</v>
      </c>
      <c r="K12229" s="7" t="s">
        <v>18</v>
      </c>
      <c r="L12229" s="8">
        <v>39987.315405092595</v>
      </c>
      <c r="M12229" s="9" t="s">
        <v>19</v>
      </c>
      <c r="N12229" s="9" t="s">
        <v>20</v>
      </c>
      <c r="O12229" s="6" t="str">
        <f>HYPERLINK("https://pbs.twimg.com/profile_images/962471262747529216/Uo8lOkRJ_normal.jpg","View")</f>
        <v>View</v>
      </c>
      <c r="P12229" s="7"/>
    </row>
    <row r="12230" spans="1:16">
      <c r="A12230" s="3">
        <v>44161.750601851847</v>
      </c>
      <c r="B12230" s="4" t="str">
        <f>HYPERLINK("https://twitter.com/petrogustavo","@petrogustavo")</f>
        <v>@petrogustavo</v>
      </c>
      <c r="C12230" s="5" t="s">
        <v>16</v>
      </c>
      <c r="D12230" s="5" t="s">
        <v>11777</v>
      </c>
      <c r="E12230" s="6" t="str">
        <f>HYPERLINK("https://twitter.com/petrogustavo/status/1331938471917875207","1331938471917875207")</f>
        <v>1331938471917875207</v>
      </c>
      <c r="F12230" s="7" t="s">
        <v>17</v>
      </c>
      <c r="G12230" s="7">
        <v>4012810</v>
      </c>
      <c r="H12230" s="7">
        <v>2468</v>
      </c>
      <c r="I12230" s="7">
        <v>109</v>
      </c>
      <c r="J12230" s="7">
        <v>890</v>
      </c>
      <c r="K12230" s="7" t="s">
        <v>18</v>
      </c>
      <c r="L12230" s="8">
        <v>39987.315405092595</v>
      </c>
      <c r="M12230" s="9" t="s">
        <v>19</v>
      </c>
      <c r="N12230" s="9" t="s">
        <v>20</v>
      </c>
      <c r="O12230" s="6" t="str">
        <f>HYPERLINK("https://pbs.twimg.com/profile_images/962471262747529216/Uo8lOkRJ_normal.jpg","View")</f>
        <v>View</v>
      </c>
      <c r="P12230" s="7"/>
    </row>
    <row r="12231" spans="1:16">
      <c r="A12231" s="3">
        <v>44161.756770833337</v>
      </c>
      <c r="B12231" s="4" t="str">
        <f>HYPERLINK("https://twitter.com/petrogustavo","@petrogustavo")</f>
        <v>@petrogustavo</v>
      </c>
      <c r="C12231" s="5" t="s">
        <v>16</v>
      </c>
      <c r="D12231" s="5" t="s">
        <v>11778</v>
      </c>
      <c r="E12231" s="6" t="str">
        <f>HYPERLINK("https://twitter.com/petrogustavo/status/1331940706601103364","1331940706601103364")</f>
        <v>1331940706601103364</v>
      </c>
      <c r="F12231" s="7" t="s">
        <v>17</v>
      </c>
      <c r="G12231" s="7">
        <v>4012810</v>
      </c>
      <c r="H12231" s="7">
        <v>2468</v>
      </c>
      <c r="I12231" s="7">
        <v>198</v>
      </c>
      <c r="J12231" s="7">
        <v>0</v>
      </c>
      <c r="K12231" s="7" t="s">
        <v>18</v>
      </c>
      <c r="L12231" s="8">
        <v>39987.315405092595</v>
      </c>
      <c r="M12231" s="9" t="s">
        <v>19</v>
      </c>
      <c r="N12231" s="9" t="s">
        <v>20</v>
      </c>
      <c r="O12231" s="6" t="str">
        <f>HYPERLINK("https://pbs.twimg.com/profile_images/962471262747529216/Uo8lOkRJ_normal.jpg","View")</f>
        <v>View</v>
      </c>
      <c r="P12231" s="7"/>
    </row>
    <row r="12232" spans="1:16">
      <c r="A12232" s="3">
        <v>44161.93582175926</v>
      </c>
      <c r="B12232" s="4" t="str">
        <f>HYPERLINK("https://twitter.com/petrogustavo","@petrogustavo")</f>
        <v>@petrogustavo</v>
      </c>
      <c r="C12232" s="5" t="s">
        <v>16</v>
      </c>
      <c r="D12232" s="5" t="s">
        <v>11779</v>
      </c>
      <c r="E12232" s="6" t="str">
        <f>HYPERLINK("https://twitter.com/petrogustavo/status/1332005592408403969","1332005592408403969")</f>
        <v>1332005592408403969</v>
      </c>
      <c r="F12232" s="7" t="s">
        <v>17</v>
      </c>
      <c r="G12232" s="7">
        <v>4012902</v>
      </c>
      <c r="H12232" s="7">
        <v>2467</v>
      </c>
      <c r="I12232" s="7">
        <v>76</v>
      </c>
      <c r="J12232" s="7">
        <v>0</v>
      </c>
      <c r="K12232" s="7" t="s">
        <v>18</v>
      </c>
      <c r="L12232" s="8">
        <v>39987.315405092595</v>
      </c>
      <c r="M12232" s="9" t="s">
        <v>19</v>
      </c>
      <c r="N12232" s="9" t="s">
        <v>20</v>
      </c>
      <c r="O12232" s="6" t="str">
        <f>HYPERLINK("https://pbs.twimg.com/profile_images/962471262747529216/Uo8lOkRJ_normal.jpg","View")</f>
        <v>View</v>
      </c>
      <c r="P12232" s="7"/>
    </row>
    <row r="12233" spans="1:16">
      <c r="A12233" s="3">
        <v>44161.935925925922</v>
      </c>
      <c r="B12233" s="4" t="str">
        <f>HYPERLINK("https://twitter.com/petrogustavo","@petrogustavo")</f>
        <v>@petrogustavo</v>
      </c>
      <c r="C12233" s="5" t="s">
        <v>16</v>
      </c>
      <c r="D12233" s="5" t="s">
        <v>11780</v>
      </c>
      <c r="E12233" s="6" t="str">
        <f>HYPERLINK("https://twitter.com/petrogustavo/status/1332005631880990721","1332005631880990721")</f>
        <v>1332005631880990721</v>
      </c>
      <c r="F12233" s="7" t="s">
        <v>17</v>
      </c>
      <c r="G12233" s="7">
        <v>4012902</v>
      </c>
      <c r="H12233" s="7">
        <v>2467</v>
      </c>
      <c r="I12233" s="7">
        <v>47</v>
      </c>
      <c r="J12233" s="7">
        <v>0</v>
      </c>
      <c r="K12233" s="7" t="s">
        <v>18</v>
      </c>
      <c r="L12233" s="8">
        <v>39987.315405092595</v>
      </c>
      <c r="M12233" s="9" t="s">
        <v>19</v>
      </c>
      <c r="N12233" s="9" t="s">
        <v>20</v>
      </c>
      <c r="O12233" s="6" t="str">
        <f>HYPERLINK("https://pbs.twimg.com/profile_images/962471262747529216/Uo8lOkRJ_normal.jpg","View")</f>
        <v>View</v>
      </c>
      <c r="P12233" s="7"/>
    </row>
    <row r="12234" spans="1:16">
      <c r="A12234" s="3">
        <v>44161.93649305556</v>
      </c>
      <c r="B12234" s="4" t="str">
        <f>HYPERLINK("https://twitter.com/petrogustavo","@petrogustavo")</f>
        <v>@petrogustavo</v>
      </c>
      <c r="C12234" s="5" t="s">
        <v>16</v>
      </c>
      <c r="D12234" s="5" t="s">
        <v>11781</v>
      </c>
      <c r="E12234" s="6" t="str">
        <f>HYPERLINK("https://twitter.com/petrogustavo/status/1332005835233501186","1332005835233501186")</f>
        <v>1332005835233501186</v>
      </c>
      <c r="F12234" s="7" t="s">
        <v>17</v>
      </c>
      <c r="G12234" s="7">
        <v>4012902</v>
      </c>
      <c r="H12234" s="7">
        <v>2467</v>
      </c>
      <c r="I12234" s="7">
        <v>74</v>
      </c>
      <c r="J12234" s="7">
        <v>0</v>
      </c>
      <c r="K12234" s="7" t="s">
        <v>18</v>
      </c>
      <c r="L12234" s="8">
        <v>39987.315405092595</v>
      </c>
      <c r="M12234" s="9" t="s">
        <v>19</v>
      </c>
      <c r="N12234" s="9" t="s">
        <v>20</v>
      </c>
      <c r="O12234" s="6" t="str">
        <f>HYPERLINK("https://pbs.twimg.com/profile_images/962471262747529216/Uo8lOkRJ_normal.jpg","View")</f>
        <v>View</v>
      </c>
      <c r="P12234" s="7"/>
    </row>
    <row r="12235" spans="1:16">
      <c r="A12235" s="3">
        <v>44161.937071759261</v>
      </c>
      <c r="B12235" s="4" t="str">
        <f>HYPERLINK("https://twitter.com/petrogustavo","@petrogustavo")</f>
        <v>@petrogustavo</v>
      </c>
      <c r="C12235" s="5" t="s">
        <v>16</v>
      </c>
      <c r="D12235" s="5" t="s">
        <v>11782</v>
      </c>
      <c r="E12235" s="6" t="str">
        <f>HYPERLINK("https://twitter.com/petrogustavo/status/1332006044357287936","1332006044357287936")</f>
        <v>1332006044357287936</v>
      </c>
      <c r="F12235" s="7" t="s">
        <v>17</v>
      </c>
      <c r="G12235" s="7">
        <v>4012902</v>
      </c>
      <c r="H12235" s="7">
        <v>2467</v>
      </c>
      <c r="I12235" s="7">
        <v>22</v>
      </c>
      <c r="J12235" s="7">
        <v>0</v>
      </c>
      <c r="K12235" s="7" t="s">
        <v>18</v>
      </c>
      <c r="L12235" s="8">
        <v>39987.315405092595</v>
      </c>
      <c r="M12235" s="9" t="s">
        <v>19</v>
      </c>
      <c r="N12235" s="9" t="s">
        <v>20</v>
      </c>
      <c r="O12235" s="6" t="str">
        <f>HYPERLINK("https://pbs.twimg.com/profile_images/962471262747529216/Uo8lOkRJ_normal.jpg","View")</f>
        <v>View</v>
      </c>
      <c r="P12235" s="7"/>
    </row>
    <row r="12236" spans="1:16">
      <c r="A12236" s="3">
        <v>44162.015752314815</v>
      </c>
      <c r="B12236" s="4" t="str">
        <f>HYPERLINK("https://twitter.com/petrogustavo","@petrogustavo")</f>
        <v>@petrogustavo</v>
      </c>
      <c r="C12236" s="5" t="s">
        <v>16</v>
      </c>
      <c r="D12236" s="5" t="s">
        <v>11783</v>
      </c>
      <c r="E12236" s="6" t="str">
        <f>HYPERLINK("https://twitter.com/petrogustavo/status/1332034559521787904","1332034559521787904")</f>
        <v>1332034559521787904</v>
      </c>
      <c r="F12236" s="7" t="s">
        <v>17</v>
      </c>
      <c r="G12236" s="7">
        <v>4012965</v>
      </c>
      <c r="H12236" s="7">
        <v>2467</v>
      </c>
      <c r="I12236" s="7">
        <v>95</v>
      </c>
      <c r="J12236" s="7">
        <v>0</v>
      </c>
      <c r="K12236" s="7" t="s">
        <v>18</v>
      </c>
      <c r="L12236" s="8">
        <v>39987.315405092595</v>
      </c>
      <c r="M12236" s="9" t="s">
        <v>19</v>
      </c>
      <c r="N12236" s="9" t="s">
        <v>20</v>
      </c>
      <c r="O12236" s="6" t="str">
        <f>HYPERLINK("https://pbs.twimg.com/profile_images/962471262747529216/Uo8lOkRJ_normal.jpg","View")</f>
        <v>View</v>
      </c>
      <c r="P12236" s="7"/>
    </row>
    <row r="12237" spans="1:16">
      <c r="A12237" s="3">
        <v>44162.015914351854</v>
      </c>
      <c r="B12237" s="4" t="str">
        <f>HYPERLINK("https://twitter.com/petrogustavo","@petrogustavo")</f>
        <v>@petrogustavo</v>
      </c>
      <c r="C12237" s="5" t="s">
        <v>16</v>
      </c>
      <c r="D12237" s="5" t="s">
        <v>11784</v>
      </c>
      <c r="E12237" s="6" t="str">
        <f>HYPERLINK("https://twitter.com/petrogustavo/status/1332034617206075393","1332034617206075393")</f>
        <v>1332034617206075393</v>
      </c>
      <c r="F12237" s="7" t="s">
        <v>17</v>
      </c>
      <c r="G12237" s="7">
        <v>4012965</v>
      </c>
      <c r="H12237" s="7">
        <v>2467</v>
      </c>
      <c r="I12237" s="7">
        <v>114</v>
      </c>
      <c r="J12237" s="7">
        <v>0</v>
      </c>
      <c r="K12237" s="7" t="s">
        <v>18</v>
      </c>
      <c r="L12237" s="8">
        <v>39987.315405092595</v>
      </c>
      <c r="M12237" s="9" t="s">
        <v>19</v>
      </c>
      <c r="N12237" s="9" t="s">
        <v>20</v>
      </c>
      <c r="O12237" s="6" t="str">
        <f>HYPERLINK("https://pbs.twimg.com/profile_images/962471262747529216/Uo8lOkRJ_normal.jpg","View")</f>
        <v>View</v>
      </c>
      <c r="P12237" s="7"/>
    </row>
    <row r="12238" spans="1:16">
      <c r="A12238" s="3">
        <v>44162.016111111108</v>
      </c>
      <c r="B12238" s="4" t="str">
        <f>HYPERLINK("https://twitter.com/petrogustavo","@petrogustavo")</f>
        <v>@petrogustavo</v>
      </c>
      <c r="C12238" s="5" t="s">
        <v>16</v>
      </c>
      <c r="D12238" s="5" t="s">
        <v>11785</v>
      </c>
      <c r="E12238" s="6" t="str">
        <f>HYPERLINK("https://twitter.com/petrogustavo/status/1332034689729753092","1332034689729753092")</f>
        <v>1332034689729753092</v>
      </c>
      <c r="F12238" s="7" t="s">
        <v>17</v>
      </c>
      <c r="G12238" s="7">
        <v>4012965</v>
      </c>
      <c r="H12238" s="7">
        <v>2467</v>
      </c>
      <c r="I12238" s="7">
        <v>161</v>
      </c>
      <c r="J12238" s="7">
        <v>0</v>
      </c>
      <c r="K12238" s="7" t="s">
        <v>18</v>
      </c>
      <c r="L12238" s="8">
        <v>39987.315405092595</v>
      </c>
      <c r="M12238" s="9" t="s">
        <v>19</v>
      </c>
      <c r="N12238" s="9" t="s">
        <v>20</v>
      </c>
      <c r="O12238" s="6" t="str">
        <f>HYPERLINK("https://pbs.twimg.com/profile_images/962471262747529216/Uo8lOkRJ_normal.jpg","View")</f>
        <v>View</v>
      </c>
      <c r="P12238" s="7"/>
    </row>
    <row r="12239" spans="1:16">
      <c r="A12239" s="3">
        <v>44162.016168981485</v>
      </c>
      <c r="B12239" s="4" t="str">
        <f>HYPERLINK("https://twitter.com/petrogustavo","@petrogustavo")</f>
        <v>@petrogustavo</v>
      </c>
      <c r="C12239" s="5" t="s">
        <v>16</v>
      </c>
      <c r="D12239" s="5" t="s">
        <v>11786</v>
      </c>
      <c r="E12239" s="6" t="str">
        <f>HYPERLINK("https://twitter.com/petrogustavo/status/1332034709887520773","1332034709887520773")</f>
        <v>1332034709887520773</v>
      </c>
      <c r="F12239" s="7" t="s">
        <v>17</v>
      </c>
      <c r="G12239" s="7">
        <v>4012965</v>
      </c>
      <c r="H12239" s="7">
        <v>2467</v>
      </c>
      <c r="I12239" s="7">
        <v>53</v>
      </c>
      <c r="J12239" s="7">
        <v>0</v>
      </c>
      <c r="K12239" s="7" t="s">
        <v>18</v>
      </c>
      <c r="L12239" s="8">
        <v>39987.315405092595</v>
      </c>
      <c r="M12239" s="9" t="s">
        <v>19</v>
      </c>
      <c r="N12239" s="9" t="s">
        <v>20</v>
      </c>
      <c r="O12239" s="6" t="str">
        <f>HYPERLINK("https://pbs.twimg.com/profile_images/962471262747529216/Uo8lOkRJ_normal.jpg","View")</f>
        <v>View</v>
      </c>
      <c r="P12239" s="7"/>
    </row>
    <row r="12240" spans="1:16">
      <c r="A12240" s="3">
        <v>44162.01635416667</v>
      </c>
      <c r="B12240" s="4" t="str">
        <f>HYPERLINK("https://twitter.com/petrogustavo","@petrogustavo")</f>
        <v>@petrogustavo</v>
      </c>
      <c r="C12240" s="5" t="s">
        <v>16</v>
      </c>
      <c r="D12240" s="5" t="s">
        <v>11787</v>
      </c>
      <c r="E12240" s="6" t="str">
        <f>HYPERLINK("https://twitter.com/petrogustavo/status/1332034776975413248","1332034776975413248")</f>
        <v>1332034776975413248</v>
      </c>
      <c r="F12240" s="7" t="s">
        <v>17</v>
      </c>
      <c r="G12240" s="7">
        <v>4012965</v>
      </c>
      <c r="H12240" s="7">
        <v>2467</v>
      </c>
      <c r="I12240" s="7">
        <v>26</v>
      </c>
      <c r="J12240" s="7">
        <v>0</v>
      </c>
      <c r="K12240" s="7" t="s">
        <v>18</v>
      </c>
      <c r="L12240" s="8">
        <v>39987.315405092595</v>
      </c>
      <c r="M12240" s="9" t="s">
        <v>19</v>
      </c>
      <c r="N12240" s="9" t="s">
        <v>20</v>
      </c>
      <c r="O12240" s="6" t="str">
        <f>HYPERLINK("https://pbs.twimg.com/profile_images/962471262747529216/Uo8lOkRJ_normal.jpg","View")</f>
        <v>View</v>
      </c>
      <c r="P12240" s="7"/>
    </row>
    <row r="12241" spans="1:16">
      <c r="A12241" s="3">
        <v>44162.016736111109</v>
      </c>
      <c r="B12241" s="4" t="str">
        <f>HYPERLINK("https://twitter.com/petrogustavo","@petrogustavo")</f>
        <v>@petrogustavo</v>
      </c>
      <c r="C12241" s="5" t="s">
        <v>16</v>
      </c>
      <c r="D12241" s="5" t="s">
        <v>11788</v>
      </c>
      <c r="E12241" s="6" t="str">
        <f>HYPERLINK("https://twitter.com/petrogustavo/status/1332034916251471873","1332034916251471873")</f>
        <v>1332034916251471873</v>
      </c>
      <c r="F12241" s="7" t="s">
        <v>17</v>
      </c>
      <c r="G12241" s="7">
        <v>4012965</v>
      </c>
      <c r="H12241" s="7">
        <v>2467</v>
      </c>
      <c r="I12241" s="7">
        <v>33</v>
      </c>
      <c r="J12241" s="7">
        <v>0</v>
      </c>
      <c r="K12241" s="7" t="s">
        <v>18</v>
      </c>
      <c r="L12241" s="8">
        <v>39987.315405092595</v>
      </c>
      <c r="M12241" s="9" t="s">
        <v>19</v>
      </c>
      <c r="N12241" s="9" t="s">
        <v>20</v>
      </c>
      <c r="O12241" s="6" t="str">
        <f>HYPERLINK("https://pbs.twimg.com/profile_images/962471262747529216/Uo8lOkRJ_normal.jpg","View")</f>
        <v>View</v>
      </c>
      <c r="P12241" s="7"/>
    </row>
    <row r="12242" spans="1:16">
      <c r="A12242" s="3">
        <v>44162.017129629632</v>
      </c>
      <c r="B12242" s="4" t="str">
        <f>HYPERLINK("https://twitter.com/petrogustavo","@petrogustavo")</f>
        <v>@petrogustavo</v>
      </c>
      <c r="C12242" s="5" t="s">
        <v>16</v>
      </c>
      <c r="D12242" s="5" t="s">
        <v>11789</v>
      </c>
      <c r="E12242" s="6" t="str">
        <f>HYPERLINK("https://twitter.com/petrogustavo/status/1332035059096891392","1332035059096891392")</f>
        <v>1332035059096891392</v>
      </c>
      <c r="F12242" s="7" t="s">
        <v>17</v>
      </c>
      <c r="G12242" s="7">
        <v>4012965</v>
      </c>
      <c r="H12242" s="7">
        <v>2467</v>
      </c>
      <c r="I12242" s="7">
        <v>245</v>
      </c>
      <c r="J12242" s="7">
        <v>0</v>
      </c>
      <c r="K12242" s="7" t="s">
        <v>18</v>
      </c>
      <c r="L12242" s="8">
        <v>39987.315405092595</v>
      </c>
      <c r="M12242" s="9" t="s">
        <v>19</v>
      </c>
      <c r="N12242" s="9" t="s">
        <v>20</v>
      </c>
      <c r="O12242" s="6" t="str">
        <f>HYPERLINK("https://pbs.twimg.com/profile_images/962471262747529216/Uo8lOkRJ_normal.jpg","View")</f>
        <v>View</v>
      </c>
      <c r="P12242" s="7"/>
    </row>
    <row r="12243" spans="1:16">
      <c r="A12243" s="3">
        <v>44162.017442129625</v>
      </c>
      <c r="B12243" s="4" t="str">
        <f>HYPERLINK("https://twitter.com/petrogustavo","@petrogustavo")</f>
        <v>@petrogustavo</v>
      </c>
      <c r="C12243" s="5" t="s">
        <v>16</v>
      </c>
      <c r="D12243" s="5" t="s">
        <v>11790</v>
      </c>
      <c r="E12243" s="6" t="str">
        <f>HYPERLINK("https://twitter.com/petrogustavo/status/1332035170090831872","1332035170090831872")</f>
        <v>1332035170090831872</v>
      </c>
      <c r="F12243" s="7" t="s">
        <v>17</v>
      </c>
      <c r="G12243" s="7">
        <v>4012965</v>
      </c>
      <c r="H12243" s="7">
        <v>2467</v>
      </c>
      <c r="I12243" s="7">
        <v>96</v>
      </c>
      <c r="J12243" s="7">
        <v>0</v>
      </c>
      <c r="K12243" s="7" t="s">
        <v>18</v>
      </c>
      <c r="L12243" s="8">
        <v>39987.315405092595</v>
      </c>
      <c r="M12243" s="9" t="s">
        <v>19</v>
      </c>
      <c r="N12243" s="9" t="s">
        <v>20</v>
      </c>
      <c r="O12243" s="6" t="str">
        <f>HYPERLINK("https://pbs.twimg.com/profile_images/962471262747529216/Uo8lOkRJ_normal.jpg","View")</f>
        <v>View</v>
      </c>
      <c r="P12243" s="7"/>
    </row>
    <row r="12244" spans="1:16">
      <c r="A12244" s="3">
        <v>44162.017766203702</v>
      </c>
      <c r="B12244" s="4" t="str">
        <f>HYPERLINK("https://twitter.com/petrogustavo","@petrogustavo")</f>
        <v>@petrogustavo</v>
      </c>
      <c r="C12244" s="5" t="s">
        <v>16</v>
      </c>
      <c r="D12244" s="5" t="s">
        <v>11791</v>
      </c>
      <c r="E12244" s="6" t="str">
        <f>HYPERLINK("https://twitter.com/petrogustavo/status/1332035286893813762","1332035286893813762")</f>
        <v>1332035286893813762</v>
      </c>
      <c r="F12244" s="7" t="s">
        <v>17</v>
      </c>
      <c r="G12244" s="7">
        <v>4012965</v>
      </c>
      <c r="H12244" s="7">
        <v>2467</v>
      </c>
      <c r="I12244" s="7">
        <v>45</v>
      </c>
      <c r="J12244" s="7">
        <v>0</v>
      </c>
      <c r="K12244" s="7" t="s">
        <v>18</v>
      </c>
      <c r="L12244" s="8">
        <v>39987.315405092595</v>
      </c>
      <c r="M12244" s="9" t="s">
        <v>19</v>
      </c>
      <c r="N12244" s="9" t="s">
        <v>20</v>
      </c>
      <c r="O12244" s="6" t="str">
        <f>HYPERLINK("https://pbs.twimg.com/profile_images/962471262747529216/Uo8lOkRJ_normal.jpg","View")</f>
        <v>View</v>
      </c>
      <c r="P12244" s="7"/>
    </row>
    <row r="12245" spans="1:16">
      <c r="A12245" s="3">
        <v>44162.026342592595</v>
      </c>
      <c r="B12245" s="4" t="str">
        <f>HYPERLINK("https://twitter.com/petrogustavo","@petrogustavo")</f>
        <v>@petrogustavo</v>
      </c>
      <c r="C12245" s="5" t="s">
        <v>16</v>
      </c>
      <c r="D12245" s="5" t="s">
        <v>11792</v>
      </c>
      <c r="E12245" s="6" t="str">
        <f>HYPERLINK("https://twitter.com/petrogustavo/status/1332038397364498433","1332038397364498433")</f>
        <v>1332038397364498433</v>
      </c>
      <c r="F12245" s="7" t="s">
        <v>17</v>
      </c>
      <c r="G12245" s="7">
        <v>4012965</v>
      </c>
      <c r="H12245" s="7">
        <v>2467</v>
      </c>
      <c r="I12245" s="7">
        <v>32</v>
      </c>
      <c r="J12245" s="7">
        <v>0</v>
      </c>
      <c r="K12245" s="7" t="s">
        <v>18</v>
      </c>
      <c r="L12245" s="8">
        <v>39987.315405092595</v>
      </c>
      <c r="M12245" s="9" t="s">
        <v>19</v>
      </c>
      <c r="N12245" s="9" t="s">
        <v>20</v>
      </c>
      <c r="O12245" s="6" t="str">
        <f>HYPERLINK("https://pbs.twimg.com/profile_images/962471262747529216/Uo8lOkRJ_normal.jpg","View")</f>
        <v>View</v>
      </c>
      <c r="P12245" s="7"/>
    </row>
    <row r="12246" spans="1:16">
      <c r="A12246" s="3">
        <v>44162.026770833334</v>
      </c>
      <c r="B12246" s="4" t="str">
        <f>HYPERLINK("https://twitter.com/petrogustavo","@petrogustavo")</f>
        <v>@petrogustavo</v>
      </c>
      <c r="C12246" s="5" t="s">
        <v>16</v>
      </c>
      <c r="D12246" s="5" t="s">
        <v>11793</v>
      </c>
      <c r="E12246" s="6" t="str">
        <f>HYPERLINK("https://twitter.com/petrogustavo/status/1332038552776036352","1332038552776036352")</f>
        <v>1332038552776036352</v>
      </c>
      <c r="F12246" s="7" t="s">
        <v>17</v>
      </c>
      <c r="G12246" s="7">
        <v>4012965</v>
      </c>
      <c r="H12246" s="7">
        <v>2467</v>
      </c>
      <c r="I12246" s="7">
        <v>18</v>
      </c>
      <c r="J12246" s="7">
        <v>0</v>
      </c>
      <c r="K12246" s="7" t="s">
        <v>18</v>
      </c>
      <c r="L12246" s="8">
        <v>39987.315405092595</v>
      </c>
      <c r="M12246" s="9" t="s">
        <v>19</v>
      </c>
      <c r="N12246" s="9" t="s">
        <v>20</v>
      </c>
      <c r="O12246" s="6" t="str">
        <f>HYPERLINK("https://pbs.twimg.com/profile_images/962471262747529216/Uo8lOkRJ_normal.jpg","View")</f>
        <v>View</v>
      </c>
      <c r="P12246" s="7"/>
    </row>
    <row r="12247" spans="1:16">
      <c r="A12247" s="3">
        <v>44162.02820601852</v>
      </c>
      <c r="B12247" s="4" t="str">
        <f>HYPERLINK("https://twitter.com/petrogustavo","@petrogustavo")</f>
        <v>@petrogustavo</v>
      </c>
      <c r="C12247" s="5" t="s">
        <v>16</v>
      </c>
      <c r="D12247" s="5" t="s">
        <v>11794</v>
      </c>
      <c r="E12247" s="6" t="str">
        <f>HYPERLINK("https://twitter.com/petrogustavo/status/1332039070248296448","1332039070248296448")</f>
        <v>1332039070248296448</v>
      </c>
      <c r="F12247" s="7" t="s">
        <v>17</v>
      </c>
      <c r="G12247" s="7">
        <v>4012965</v>
      </c>
      <c r="H12247" s="7">
        <v>2467</v>
      </c>
      <c r="I12247" s="7">
        <v>187</v>
      </c>
      <c r="J12247" s="7">
        <v>0</v>
      </c>
      <c r="K12247" s="7" t="s">
        <v>18</v>
      </c>
      <c r="L12247" s="8">
        <v>39987.315405092595</v>
      </c>
      <c r="M12247" s="9" t="s">
        <v>19</v>
      </c>
      <c r="N12247" s="9" t="s">
        <v>20</v>
      </c>
      <c r="O12247" s="6" t="str">
        <f>HYPERLINK("https://pbs.twimg.com/profile_images/962471262747529216/Uo8lOkRJ_normal.jpg","View")</f>
        <v>View</v>
      </c>
      <c r="P12247" s="7"/>
    </row>
    <row r="12248" spans="1:16">
      <c r="A12248" s="3">
        <v>44162.042581018519</v>
      </c>
      <c r="B12248" s="4" t="str">
        <f>HYPERLINK("https://twitter.com/petrogustavo","@petrogustavo")</f>
        <v>@petrogustavo</v>
      </c>
      <c r="C12248" s="5" t="s">
        <v>16</v>
      </c>
      <c r="D12248" s="5" t="s">
        <v>11795</v>
      </c>
      <c r="E12248" s="6" t="str">
        <f>HYPERLINK("https://twitter.com/petrogustavo/status/1332044281662595073","1332044281662595073")</f>
        <v>1332044281662595073</v>
      </c>
      <c r="F12248" s="7" t="s">
        <v>17</v>
      </c>
      <c r="G12248" s="7">
        <v>4012981</v>
      </c>
      <c r="H12248" s="7">
        <v>2467</v>
      </c>
      <c r="I12248" s="7">
        <v>35</v>
      </c>
      <c r="J12248" s="7">
        <v>0</v>
      </c>
      <c r="K12248" s="7" t="s">
        <v>18</v>
      </c>
      <c r="L12248" s="8">
        <v>39987.315405092595</v>
      </c>
      <c r="M12248" s="9" t="s">
        <v>19</v>
      </c>
      <c r="N12248" s="9" t="s">
        <v>20</v>
      </c>
      <c r="O12248" s="6" t="str">
        <f>HYPERLINK("https://pbs.twimg.com/profile_images/962471262747529216/Uo8lOkRJ_normal.jpg","View")</f>
        <v>View</v>
      </c>
      <c r="P12248" s="7"/>
    </row>
    <row r="12249" spans="1:16">
      <c r="A12249" s="3">
        <v>44162.042754629627</v>
      </c>
      <c r="B12249" s="4" t="str">
        <f>HYPERLINK("https://twitter.com/petrogustavo","@petrogustavo")</f>
        <v>@petrogustavo</v>
      </c>
      <c r="C12249" s="5" t="s">
        <v>16</v>
      </c>
      <c r="D12249" s="5" t="s">
        <v>11796</v>
      </c>
      <c r="E12249" s="6" t="str">
        <f>HYPERLINK("https://twitter.com/petrogustavo/status/1332044346271600640","1332044346271600640")</f>
        <v>1332044346271600640</v>
      </c>
      <c r="F12249" s="7" t="s">
        <v>17</v>
      </c>
      <c r="G12249" s="7">
        <v>4012981</v>
      </c>
      <c r="H12249" s="7">
        <v>2467</v>
      </c>
      <c r="I12249" s="7">
        <v>331</v>
      </c>
      <c r="J12249" s="7">
        <v>0</v>
      </c>
      <c r="K12249" s="7" t="s">
        <v>18</v>
      </c>
      <c r="L12249" s="8">
        <v>39987.315405092595</v>
      </c>
      <c r="M12249" s="9" t="s">
        <v>19</v>
      </c>
      <c r="N12249" s="9" t="s">
        <v>20</v>
      </c>
      <c r="O12249" s="6" t="str">
        <f>HYPERLINK("https://pbs.twimg.com/profile_images/962471262747529216/Uo8lOkRJ_normal.jpg","View")</f>
        <v>View</v>
      </c>
      <c r="P12249" s="7"/>
    </row>
    <row r="12250" spans="1:16">
      <c r="A12250" s="3">
        <v>44162.043912037036</v>
      </c>
      <c r="B12250" s="4" t="str">
        <f>HYPERLINK("https://twitter.com/petrogustavo","@petrogustavo")</f>
        <v>@petrogustavo</v>
      </c>
      <c r="C12250" s="5" t="s">
        <v>16</v>
      </c>
      <c r="D12250" s="5" t="s">
        <v>11797</v>
      </c>
      <c r="E12250" s="6" t="str">
        <f>HYPERLINK("https://twitter.com/petrogustavo/status/1332044764431212546","1332044764431212546")</f>
        <v>1332044764431212546</v>
      </c>
      <c r="F12250" s="7" t="s">
        <v>17</v>
      </c>
      <c r="G12250" s="7">
        <v>4012981</v>
      </c>
      <c r="H12250" s="7">
        <v>2467</v>
      </c>
      <c r="I12250" s="7">
        <v>49</v>
      </c>
      <c r="J12250" s="7">
        <v>0</v>
      </c>
      <c r="K12250" s="7" t="s">
        <v>18</v>
      </c>
      <c r="L12250" s="8">
        <v>39987.315405092595</v>
      </c>
      <c r="M12250" s="9" t="s">
        <v>19</v>
      </c>
      <c r="N12250" s="9" t="s">
        <v>20</v>
      </c>
      <c r="O12250" s="6" t="str">
        <f>HYPERLINK("https://pbs.twimg.com/profile_images/962471262747529216/Uo8lOkRJ_normal.jpg","View")</f>
        <v>View</v>
      </c>
      <c r="P12250" s="7"/>
    </row>
    <row r="12251" spans="1:16">
      <c r="A12251" s="3">
        <v>44162.04414351852</v>
      </c>
      <c r="B12251" s="4" t="str">
        <f>HYPERLINK("https://twitter.com/petrogustavo","@petrogustavo")</f>
        <v>@petrogustavo</v>
      </c>
      <c r="C12251" s="5" t="s">
        <v>16</v>
      </c>
      <c r="D12251" s="5" t="s">
        <v>11798</v>
      </c>
      <c r="E12251" s="6" t="str">
        <f>HYPERLINK("https://twitter.com/petrogustavo/status/1332044847944003584","1332044847944003584")</f>
        <v>1332044847944003584</v>
      </c>
      <c r="F12251" s="7" t="s">
        <v>17</v>
      </c>
      <c r="G12251" s="7">
        <v>4012981</v>
      </c>
      <c r="H12251" s="7">
        <v>2467</v>
      </c>
      <c r="I12251" s="7">
        <v>107</v>
      </c>
      <c r="J12251" s="7">
        <v>0</v>
      </c>
      <c r="K12251" s="7" t="s">
        <v>18</v>
      </c>
      <c r="L12251" s="8">
        <v>39987.315405092595</v>
      </c>
      <c r="M12251" s="9" t="s">
        <v>19</v>
      </c>
      <c r="N12251" s="9" t="s">
        <v>20</v>
      </c>
      <c r="O12251" s="6" t="str">
        <f>HYPERLINK("https://pbs.twimg.com/profile_images/962471262747529216/Uo8lOkRJ_normal.jpg","View")</f>
        <v>View</v>
      </c>
      <c r="P12251" s="7"/>
    </row>
    <row r="12252" spans="1:16">
      <c r="A12252" s="3">
        <v>44162.044328703705</v>
      </c>
      <c r="B12252" s="4" t="str">
        <f>HYPERLINK("https://twitter.com/petrogustavo","@petrogustavo")</f>
        <v>@petrogustavo</v>
      </c>
      <c r="C12252" s="5" t="s">
        <v>16</v>
      </c>
      <c r="D12252" s="5" t="s">
        <v>11799</v>
      </c>
      <c r="E12252" s="6" t="str">
        <f>HYPERLINK("https://twitter.com/petrogustavo/status/1332044914478227457","1332044914478227457")</f>
        <v>1332044914478227457</v>
      </c>
      <c r="F12252" s="7" t="s">
        <v>17</v>
      </c>
      <c r="G12252" s="7">
        <v>4012981</v>
      </c>
      <c r="H12252" s="7">
        <v>2467</v>
      </c>
      <c r="I12252" s="7">
        <v>214</v>
      </c>
      <c r="J12252" s="7">
        <v>0</v>
      </c>
      <c r="K12252" s="7" t="s">
        <v>18</v>
      </c>
      <c r="L12252" s="8">
        <v>39987.315405092595</v>
      </c>
      <c r="M12252" s="9" t="s">
        <v>19</v>
      </c>
      <c r="N12252" s="9" t="s">
        <v>20</v>
      </c>
      <c r="O12252" s="6" t="str">
        <f>HYPERLINK("https://pbs.twimg.com/profile_images/962471262747529216/Uo8lOkRJ_normal.jpg","View")</f>
        <v>View</v>
      </c>
      <c r="P12252" s="7"/>
    </row>
    <row r="12253" spans="1:16">
      <c r="A12253" s="3">
        <v>44162.046585648146</v>
      </c>
      <c r="B12253" s="4" t="str">
        <f>HYPERLINK("https://twitter.com/petrogustavo","@petrogustavo")</f>
        <v>@petrogustavo</v>
      </c>
      <c r="C12253" s="5" t="s">
        <v>16</v>
      </c>
      <c r="D12253" s="5" t="s">
        <v>11800</v>
      </c>
      <c r="E12253" s="6" t="str">
        <f>HYPERLINK("https://twitter.com/petrogustavo/status/1332045731281203201","1332045731281203201")</f>
        <v>1332045731281203201</v>
      </c>
      <c r="F12253" s="7" t="s">
        <v>17</v>
      </c>
      <c r="G12253" s="7">
        <v>4012981</v>
      </c>
      <c r="H12253" s="7">
        <v>2467</v>
      </c>
      <c r="I12253" s="7">
        <v>34</v>
      </c>
      <c r="J12253" s="7">
        <v>0</v>
      </c>
      <c r="K12253" s="7" t="s">
        <v>18</v>
      </c>
      <c r="L12253" s="8">
        <v>39987.315405092595</v>
      </c>
      <c r="M12253" s="9" t="s">
        <v>19</v>
      </c>
      <c r="N12253" s="9" t="s">
        <v>20</v>
      </c>
      <c r="O12253" s="6" t="str">
        <f>HYPERLINK("https://pbs.twimg.com/profile_images/962471262747529216/Uo8lOkRJ_normal.jpg","View")</f>
        <v>View</v>
      </c>
      <c r="P12253" s="7"/>
    </row>
    <row r="12254" spans="1:16">
      <c r="A12254" s="3">
        <v>44162.047685185185</v>
      </c>
      <c r="B12254" s="4" t="str">
        <f>HYPERLINK("https://twitter.com/petrogustavo","@petrogustavo")</f>
        <v>@petrogustavo</v>
      </c>
      <c r="C12254" s="5" t="s">
        <v>16</v>
      </c>
      <c r="D12254" s="5" t="s">
        <v>11801</v>
      </c>
      <c r="E12254" s="6" t="str">
        <f>HYPERLINK("https://twitter.com/petrogustavo/status/1332046132944527360","1332046132944527360")</f>
        <v>1332046132944527360</v>
      </c>
      <c r="F12254" s="7" t="s">
        <v>17</v>
      </c>
      <c r="G12254" s="7">
        <v>4012981</v>
      </c>
      <c r="H12254" s="7">
        <v>2467</v>
      </c>
      <c r="I12254" s="7">
        <v>75</v>
      </c>
      <c r="J12254" s="7">
        <v>0</v>
      </c>
      <c r="K12254" s="7" t="s">
        <v>18</v>
      </c>
      <c r="L12254" s="8">
        <v>39987.315405092595</v>
      </c>
      <c r="M12254" s="9" t="s">
        <v>19</v>
      </c>
      <c r="N12254" s="9" t="s">
        <v>20</v>
      </c>
      <c r="O12254" s="6" t="str">
        <f>HYPERLINK("https://pbs.twimg.com/profile_images/962471262747529216/Uo8lOkRJ_normal.jpg","View")</f>
        <v>View</v>
      </c>
      <c r="P12254" s="7"/>
    </row>
    <row r="12255" spans="1:16">
      <c r="A12255" s="3">
        <v>44162.049212962964</v>
      </c>
      <c r="B12255" s="4" t="str">
        <f>HYPERLINK("https://twitter.com/petrogustavo","@petrogustavo")</f>
        <v>@petrogustavo</v>
      </c>
      <c r="C12255" s="5" t="s">
        <v>16</v>
      </c>
      <c r="D12255" s="5" t="s">
        <v>11802</v>
      </c>
      <c r="E12255" s="6" t="str">
        <f>HYPERLINK("https://twitter.com/petrogustavo/status/1332046685980209159","1332046685980209159")</f>
        <v>1332046685980209159</v>
      </c>
      <c r="F12255" s="7" t="s">
        <v>17</v>
      </c>
      <c r="G12255" s="7">
        <v>4012981</v>
      </c>
      <c r="H12255" s="7">
        <v>2467</v>
      </c>
      <c r="I12255" s="7">
        <v>67</v>
      </c>
      <c r="J12255" s="7">
        <v>0</v>
      </c>
      <c r="K12255" s="7" t="s">
        <v>18</v>
      </c>
      <c r="L12255" s="8">
        <v>39987.315405092595</v>
      </c>
      <c r="M12255" s="9" t="s">
        <v>19</v>
      </c>
      <c r="N12255" s="9" t="s">
        <v>20</v>
      </c>
      <c r="O12255" s="6" t="str">
        <f>HYPERLINK("https://pbs.twimg.com/profile_images/962471262747529216/Uo8lOkRJ_normal.jpg","View")</f>
        <v>View</v>
      </c>
      <c r="P12255" s="7"/>
    </row>
    <row r="12256" spans="1:16">
      <c r="A12256" s="3">
        <v>44162.049490740741</v>
      </c>
      <c r="B12256" s="4" t="str">
        <f>HYPERLINK("https://twitter.com/petrogustavo","@petrogustavo")</f>
        <v>@petrogustavo</v>
      </c>
      <c r="C12256" s="5" t="s">
        <v>16</v>
      </c>
      <c r="D12256" s="5" t="s">
        <v>11803</v>
      </c>
      <c r="E12256" s="6" t="str">
        <f>HYPERLINK("https://twitter.com/petrogustavo/status/1332046786899415048","1332046786899415048")</f>
        <v>1332046786899415048</v>
      </c>
      <c r="F12256" s="7" t="s">
        <v>17</v>
      </c>
      <c r="G12256" s="7">
        <v>4012981</v>
      </c>
      <c r="H12256" s="7">
        <v>2467</v>
      </c>
      <c r="I12256" s="7">
        <v>15</v>
      </c>
      <c r="J12256" s="7">
        <v>0</v>
      </c>
      <c r="K12256" s="7" t="s">
        <v>18</v>
      </c>
      <c r="L12256" s="8">
        <v>39987.315405092595</v>
      </c>
      <c r="M12256" s="9" t="s">
        <v>19</v>
      </c>
      <c r="N12256" s="9" t="s">
        <v>20</v>
      </c>
      <c r="O12256" s="6" t="str">
        <f>HYPERLINK("https://pbs.twimg.com/profile_images/962471262747529216/Uo8lOkRJ_normal.jpg","View")</f>
        <v>View</v>
      </c>
      <c r="P12256" s="7"/>
    </row>
    <row r="12257" spans="1:16">
      <c r="A12257" s="3">
        <v>44162.050162037034</v>
      </c>
      <c r="B12257" s="4" t="str">
        <f>HYPERLINK("https://twitter.com/petrogustavo","@petrogustavo")</f>
        <v>@petrogustavo</v>
      </c>
      <c r="C12257" s="5" t="s">
        <v>16</v>
      </c>
      <c r="D12257" s="5" t="s">
        <v>11804</v>
      </c>
      <c r="E12257" s="6" t="str">
        <f>HYPERLINK("https://twitter.com/petrogustavo/status/1332047026570342400","1332047026570342400")</f>
        <v>1332047026570342400</v>
      </c>
      <c r="F12257" s="7" t="s">
        <v>17</v>
      </c>
      <c r="G12257" s="7">
        <v>4012981</v>
      </c>
      <c r="H12257" s="7">
        <v>2467</v>
      </c>
      <c r="I12257" s="7">
        <v>176</v>
      </c>
      <c r="J12257" s="7">
        <v>0</v>
      </c>
      <c r="K12257" s="7" t="s">
        <v>18</v>
      </c>
      <c r="L12257" s="8">
        <v>39987.315405092595</v>
      </c>
      <c r="M12257" s="9" t="s">
        <v>19</v>
      </c>
      <c r="N12257" s="9" t="s">
        <v>20</v>
      </c>
      <c r="O12257" s="6" t="str">
        <f>HYPERLINK("https://pbs.twimg.com/profile_images/962471262747529216/Uo8lOkRJ_normal.jpg","View")</f>
        <v>View</v>
      </c>
      <c r="P12257" s="7"/>
    </row>
    <row r="12258" spans="1:16">
      <c r="A12258" s="3">
        <v>44162.091180555552</v>
      </c>
      <c r="B12258" s="4" t="str">
        <f>HYPERLINK("https://twitter.com/petrogustavo","@petrogustavo")</f>
        <v>@petrogustavo</v>
      </c>
      <c r="C12258" s="5" t="s">
        <v>16</v>
      </c>
      <c r="D12258" s="5" t="s">
        <v>11805</v>
      </c>
      <c r="E12258" s="6" t="str">
        <f>HYPERLINK("https://twitter.com/petrogustavo/status/1332061894132240387","1332061894132240387")</f>
        <v>1332061894132240387</v>
      </c>
      <c r="F12258" s="7" t="s">
        <v>17</v>
      </c>
      <c r="G12258" s="7">
        <v>4013017</v>
      </c>
      <c r="H12258" s="7">
        <v>2467</v>
      </c>
      <c r="I12258" s="7">
        <v>44</v>
      </c>
      <c r="J12258" s="7">
        <v>0</v>
      </c>
      <c r="K12258" s="7" t="s">
        <v>18</v>
      </c>
      <c r="L12258" s="8">
        <v>39987.315405092595</v>
      </c>
      <c r="M12258" s="9" t="s">
        <v>19</v>
      </c>
      <c r="N12258" s="9" t="s">
        <v>20</v>
      </c>
      <c r="O12258" s="6" t="str">
        <f>HYPERLINK("https://pbs.twimg.com/profile_images/962471262747529216/Uo8lOkRJ_normal.jpg","View")</f>
        <v>View</v>
      </c>
      <c r="P12258" s="7"/>
    </row>
    <row r="12259" spans="1:16">
      <c r="A12259" s="3">
        <v>44162.091261574074</v>
      </c>
      <c r="B12259" s="4" t="str">
        <f>HYPERLINK("https://twitter.com/petrogustavo","@petrogustavo")</f>
        <v>@petrogustavo</v>
      </c>
      <c r="C12259" s="5" t="s">
        <v>16</v>
      </c>
      <c r="D12259" s="5" t="s">
        <v>11806</v>
      </c>
      <c r="E12259" s="6" t="str">
        <f>HYPERLINK("https://twitter.com/petrogustavo/status/1332061923953750016","1332061923953750016")</f>
        <v>1332061923953750016</v>
      </c>
      <c r="F12259" s="7" t="s">
        <v>17</v>
      </c>
      <c r="G12259" s="7">
        <v>4013017</v>
      </c>
      <c r="H12259" s="7">
        <v>2467</v>
      </c>
      <c r="I12259" s="7">
        <v>270</v>
      </c>
      <c r="J12259" s="7">
        <v>0</v>
      </c>
      <c r="K12259" s="7" t="s">
        <v>18</v>
      </c>
      <c r="L12259" s="8">
        <v>39987.315405092595</v>
      </c>
      <c r="M12259" s="9" t="s">
        <v>19</v>
      </c>
      <c r="N12259" s="9" t="s">
        <v>20</v>
      </c>
      <c r="O12259" s="6" t="str">
        <f>HYPERLINK("https://pbs.twimg.com/profile_images/962471262747529216/Uo8lOkRJ_normal.jpg","View")</f>
        <v>View</v>
      </c>
      <c r="P12259" s="7"/>
    </row>
    <row r="12260" spans="1:16">
      <c r="A12260" s="3">
        <v>44162.091319444444</v>
      </c>
      <c r="B12260" s="4" t="str">
        <f>HYPERLINK("https://twitter.com/petrogustavo","@petrogustavo")</f>
        <v>@petrogustavo</v>
      </c>
      <c r="C12260" s="5" t="s">
        <v>16</v>
      </c>
      <c r="D12260" s="5" t="s">
        <v>11807</v>
      </c>
      <c r="E12260" s="6" t="str">
        <f>HYPERLINK("https://twitter.com/petrogustavo/status/1332061942371004417","1332061942371004417")</f>
        <v>1332061942371004417</v>
      </c>
      <c r="F12260" s="7" t="s">
        <v>17</v>
      </c>
      <c r="G12260" s="7">
        <v>4013017</v>
      </c>
      <c r="H12260" s="7">
        <v>2467</v>
      </c>
      <c r="I12260" s="7">
        <v>40</v>
      </c>
      <c r="J12260" s="7">
        <v>0</v>
      </c>
      <c r="K12260" s="7" t="s">
        <v>18</v>
      </c>
      <c r="L12260" s="8">
        <v>39987.315405092595</v>
      </c>
      <c r="M12260" s="9" t="s">
        <v>19</v>
      </c>
      <c r="N12260" s="9" t="s">
        <v>20</v>
      </c>
      <c r="O12260" s="6" t="str">
        <f>HYPERLINK("https://pbs.twimg.com/profile_images/962471262747529216/Uo8lOkRJ_normal.jpg","View")</f>
        <v>View</v>
      </c>
      <c r="P12260" s="7"/>
    </row>
    <row r="12261" spans="1:16">
      <c r="A12261" s="3">
        <v>44162.09175925926</v>
      </c>
      <c r="B12261" s="4" t="str">
        <f>HYPERLINK("https://twitter.com/petrogustavo","@petrogustavo")</f>
        <v>@petrogustavo</v>
      </c>
      <c r="C12261" s="5" t="s">
        <v>16</v>
      </c>
      <c r="D12261" s="5" t="s">
        <v>11808</v>
      </c>
      <c r="E12261" s="6" t="str">
        <f>HYPERLINK("https://twitter.com/petrogustavo/status/1332062102073323520","1332062102073323520")</f>
        <v>1332062102073323520</v>
      </c>
      <c r="F12261" s="7" t="s">
        <v>17</v>
      </c>
      <c r="G12261" s="7">
        <v>4013017</v>
      </c>
      <c r="H12261" s="7">
        <v>2467</v>
      </c>
      <c r="I12261" s="7">
        <v>180</v>
      </c>
      <c r="J12261" s="7">
        <v>0</v>
      </c>
      <c r="K12261" s="7" t="s">
        <v>18</v>
      </c>
      <c r="L12261" s="8">
        <v>39987.315405092595</v>
      </c>
      <c r="M12261" s="9" t="s">
        <v>19</v>
      </c>
      <c r="N12261" s="9" t="s">
        <v>20</v>
      </c>
      <c r="O12261" s="6" t="str">
        <f>HYPERLINK("https://pbs.twimg.com/profile_images/962471262747529216/Uo8lOkRJ_normal.jpg","View")</f>
        <v>View</v>
      </c>
      <c r="P12261" s="7"/>
    </row>
    <row r="12262" spans="1:16">
      <c r="A12262" s="3">
        <v>44162.091932870375</v>
      </c>
      <c r="B12262" s="4" t="str">
        <f>HYPERLINK("https://twitter.com/petrogustavo","@petrogustavo")</f>
        <v>@petrogustavo</v>
      </c>
      <c r="C12262" s="5" t="s">
        <v>16</v>
      </c>
      <c r="D12262" s="5" t="s">
        <v>11809</v>
      </c>
      <c r="E12262" s="6" t="str">
        <f>HYPERLINK("https://twitter.com/petrogustavo/status/1332062166363598848","1332062166363598848")</f>
        <v>1332062166363598848</v>
      </c>
      <c r="F12262" s="7" t="s">
        <v>17</v>
      </c>
      <c r="G12262" s="7">
        <v>4013017</v>
      </c>
      <c r="H12262" s="7">
        <v>2467</v>
      </c>
      <c r="I12262" s="7">
        <v>70</v>
      </c>
      <c r="J12262" s="7">
        <v>0</v>
      </c>
      <c r="K12262" s="7" t="s">
        <v>18</v>
      </c>
      <c r="L12262" s="8">
        <v>39987.315405092595</v>
      </c>
      <c r="M12262" s="9" t="s">
        <v>19</v>
      </c>
      <c r="N12262" s="9" t="s">
        <v>20</v>
      </c>
      <c r="O12262" s="6" t="str">
        <f>HYPERLINK("https://pbs.twimg.com/profile_images/962471262747529216/Uo8lOkRJ_normal.jpg","View")</f>
        <v>View</v>
      </c>
      <c r="P12262" s="7"/>
    </row>
    <row r="12263" spans="1:16">
      <c r="A12263" s="3">
        <v>44162.09542824074</v>
      </c>
      <c r="B12263" s="4" t="str">
        <f>HYPERLINK("https://twitter.com/petrogustavo","@petrogustavo")</f>
        <v>@petrogustavo</v>
      </c>
      <c r="C12263" s="5" t="s">
        <v>16</v>
      </c>
      <c r="D12263" s="5" t="s">
        <v>11810</v>
      </c>
      <c r="E12263" s="6" t="str">
        <f>HYPERLINK("https://twitter.com/petrogustavo/status/1332063431176949785","1332063431176949785")</f>
        <v>1332063431176949785</v>
      </c>
      <c r="F12263" s="7" t="s">
        <v>17</v>
      </c>
      <c r="G12263" s="7">
        <v>4013017</v>
      </c>
      <c r="H12263" s="7">
        <v>2467</v>
      </c>
      <c r="I12263" s="7">
        <v>18</v>
      </c>
      <c r="J12263" s="7">
        <v>0</v>
      </c>
      <c r="K12263" s="7" t="s">
        <v>18</v>
      </c>
      <c r="L12263" s="8">
        <v>39987.315405092595</v>
      </c>
      <c r="M12263" s="9" t="s">
        <v>19</v>
      </c>
      <c r="N12263" s="9" t="s">
        <v>20</v>
      </c>
      <c r="O12263" s="6" t="str">
        <f>HYPERLINK("https://pbs.twimg.com/profile_images/962471262747529216/Uo8lOkRJ_normal.jpg","View")</f>
        <v>View</v>
      </c>
      <c r="P12263" s="7"/>
    </row>
    <row r="12264" spans="1:16">
      <c r="A12264" s="3">
        <v>44162.119479166664</v>
      </c>
      <c r="B12264" s="4" t="str">
        <f>HYPERLINK("https://twitter.com/petrogustavo","@petrogustavo")</f>
        <v>@petrogustavo</v>
      </c>
      <c r="C12264" s="5" t="s">
        <v>16</v>
      </c>
      <c r="D12264" s="5" t="s">
        <v>11811</v>
      </c>
      <c r="E12264" s="6" t="str">
        <f>HYPERLINK("https://twitter.com/petrogustavo/status/1332072147154587650","1332072147154587650")</f>
        <v>1332072147154587650</v>
      </c>
      <c r="F12264" s="7" t="s">
        <v>17</v>
      </c>
      <c r="G12264" s="7">
        <v>4013039</v>
      </c>
      <c r="H12264" s="7">
        <v>2467</v>
      </c>
      <c r="I12264" s="7">
        <v>191</v>
      </c>
      <c r="J12264" s="7">
        <v>0</v>
      </c>
      <c r="K12264" s="7" t="s">
        <v>18</v>
      </c>
      <c r="L12264" s="8">
        <v>39987.315405092595</v>
      </c>
      <c r="M12264" s="9" t="s">
        <v>19</v>
      </c>
      <c r="N12264" s="9" t="s">
        <v>20</v>
      </c>
      <c r="O12264" s="6" t="str">
        <f>HYPERLINK("https://pbs.twimg.com/profile_images/962471262747529216/Uo8lOkRJ_normal.jpg","View")</f>
        <v>View</v>
      </c>
      <c r="P12264" s="7"/>
    </row>
    <row r="12265" spans="1:16">
      <c r="A12265" s="3">
        <v>44162.119560185187</v>
      </c>
      <c r="B12265" s="4" t="str">
        <f>HYPERLINK("https://twitter.com/petrogustavo","@petrogustavo")</f>
        <v>@petrogustavo</v>
      </c>
      <c r="C12265" s="5" t="s">
        <v>16</v>
      </c>
      <c r="D12265" s="5" t="s">
        <v>11812</v>
      </c>
      <c r="E12265" s="6" t="str">
        <f>HYPERLINK("https://twitter.com/petrogustavo/status/1332072178297294850","1332072178297294850")</f>
        <v>1332072178297294850</v>
      </c>
      <c r="F12265" s="7" t="s">
        <v>17</v>
      </c>
      <c r="G12265" s="7">
        <v>4013039</v>
      </c>
      <c r="H12265" s="7">
        <v>2467</v>
      </c>
      <c r="I12265" s="7">
        <v>132</v>
      </c>
      <c r="J12265" s="7">
        <v>0</v>
      </c>
      <c r="K12265" s="7" t="s">
        <v>18</v>
      </c>
      <c r="L12265" s="8">
        <v>39987.315405092595</v>
      </c>
      <c r="M12265" s="9" t="s">
        <v>19</v>
      </c>
      <c r="N12265" s="9" t="s">
        <v>20</v>
      </c>
      <c r="O12265" s="6" t="str">
        <f>HYPERLINK("https://pbs.twimg.com/profile_images/962471262747529216/Uo8lOkRJ_normal.jpg","View")</f>
        <v>View</v>
      </c>
      <c r="P12265" s="7"/>
    </row>
    <row r="12266" spans="1:16">
      <c r="A12266" s="3">
        <v>44162.119618055556</v>
      </c>
      <c r="B12266" s="4" t="str">
        <f>HYPERLINK("https://twitter.com/petrogustavo","@petrogustavo")</f>
        <v>@petrogustavo</v>
      </c>
      <c r="C12266" s="5" t="s">
        <v>16</v>
      </c>
      <c r="D12266" s="5" t="s">
        <v>11813</v>
      </c>
      <c r="E12266" s="6" t="str">
        <f>HYPERLINK("https://twitter.com/petrogustavo/status/1332072199587569666","1332072199587569666")</f>
        <v>1332072199587569666</v>
      </c>
      <c r="F12266" s="7" t="s">
        <v>17</v>
      </c>
      <c r="G12266" s="7">
        <v>4013039</v>
      </c>
      <c r="H12266" s="7">
        <v>2467</v>
      </c>
      <c r="I12266" s="7">
        <v>91</v>
      </c>
      <c r="J12266" s="7">
        <v>0</v>
      </c>
      <c r="K12266" s="7" t="s">
        <v>18</v>
      </c>
      <c r="L12266" s="8">
        <v>39987.315405092595</v>
      </c>
      <c r="M12266" s="9" t="s">
        <v>19</v>
      </c>
      <c r="N12266" s="9" t="s">
        <v>20</v>
      </c>
      <c r="O12266" s="6" t="str">
        <f>HYPERLINK("https://pbs.twimg.com/profile_images/962471262747529216/Uo8lOkRJ_normal.jpg","View")</f>
        <v>View</v>
      </c>
      <c r="P12266" s="7"/>
    </row>
    <row r="12267" spans="1:16">
      <c r="A12267" s="3">
        <v>44162.120752314819</v>
      </c>
      <c r="B12267" s="4" t="str">
        <f>HYPERLINK("https://twitter.com/petrogustavo","@petrogustavo")</f>
        <v>@petrogustavo</v>
      </c>
      <c r="C12267" s="5" t="s">
        <v>16</v>
      </c>
      <c r="D12267" s="5" t="s">
        <v>11814</v>
      </c>
      <c r="E12267" s="6" t="str">
        <f>HYPERLINK("https://twitter.com/petrogustavo/status/1332072608590925826","1332072608590925826")</f>
        <v>1332072608590925826</v>
      </c>
      <c r="F12267" s="7" t="s">
        <v>17</v>
      </c>
      <c r="G12267" s="7">
        <v>4013039</v>
      </c>
      <c r="H12267" s="7">
        <v>2467</v>
      </c>
      <c r="I12267" s="7">
        <v>31</v>
      </c>
      <c r="J12267" s="7">
        <v>0</v>
      </c>
      <c r="K12267" s="7" t="s">
        <v>18</v>
      </c>
      <c r="L12267" s="8">
        <v>39987.315405092595</v>
      </c>
      <c r="M12267" s="9" t="s">
        <v>19</v>
      </c>
      <c r="N12267" s="9" t="s">
        <v>20</v>
      </c>
      <c r="O12267" s="6" t="str">
        <f>HYPERLINK("https://pbs.twimg.com/profile_images/962471262747529216/Uo8lOkRJ_normal.jpg","View")</f>
        <v>View</v>
      </c>
      <c r="P12267" s="7"/>
    </row>
    <row r="12268" spans="1:16">
      <c r="A12268" s="3">
        <v>44162.122060185182</v>
      </c>
      <c r="B12268" s="4" t="str">
        <f>HYPERLINK("https://twitter.com/petrogustavo","@petrogustavo")</f>
        <v>@petrogustavo</v>
      </c>
      <c r="C12268" s="5" t="s">
        <v>16</v>
      </c>
      <c r="D12268" s="5" t="s">
        <v>11815</v>
      </c>
      <c r="E12268" s="6" t="str">
        <f>HYPERLINK("https://twitter.com/petrogustavo/status/1332073085151883267","1332073085151883267")</f>
        <v>1332073085151883267</v>
      </c>
      <c r="F12268" s="7" t="s">
        <v>17</v>
      </c>
      <c r="G12268" s="7">
        <v>4013039</v>
      </c>
      <c r="H12268" s="7">
        <v>2467</v>
      </c>
      <c r="I12268" s="7">
        <v>63</v>
      </c>
      <c r="J12268" s="7">
        <v>0</v>
      </c>
      <c r="K12268" s="7" t="s">
        <v>18</v>
      </c>
      <c r="L12268" s="8">
        <v>39987.315405092595</v>
      </c>
      <c r="M12268" s="9" t="s">
        <v>19</v>
      </c>
      <c r="N12268" s="9" t="s">
        <v>20</v>
      </c>
      <c r="O12268" s="6" t="str">
        <f>HYPERLINK("https://pbs.twimg.com/profile_images/962471262747529216/Uo8lOkRJ_normal.jpg","View")</f>
        <v>View</v>
      </c>
      <c r="P12268" s="7"/>
    </row>
    <row r="12269" spans="1:16">
      <c r="A12269" s="3">
        <v>44162.122847222221</v>
      </c>
      <c r="B12269" s="4" t="str">
        <f>HYPERLINK("https://twitter.com/petrogustavo","@petrogustavo")</f>
        <v>@petrogustavo</v>
      </c>
      <c r="C12269" s="5" t="s">
        <v>16</v>
      </c>
      <c r="D12269" s="5" t="s">
        <v>11816</v>
      </c>
      <c r="E12269" s="6" t="str">
        <f>HYPERLINK("https://twitter.com/petrogustavo/status/1332073369618034693","1332073369618034693")</f>
        <v>1332073369618034693</v>
      </c>
      <c r="F12269" s="7" t="s">
        <v>17</v>
      </c>
      <c r="G12269" s="7">
        <v>4013039</v>
      </c>
      <c r="H12269" s="7">
        <v>2467</v>
      </c>
      <c r="I12269" s="7">
        <v>93</v>
      </c>
      <c r="J12269" s="7">
        <v>0</v>
      </c>
      <c r="K12269" s="7" t="s">
        <v>18</v>
      </c>
      <c r="L12269" s="8">
        <v>39987.315405092595</v>
      </c>
      <c r="M12269" s="9" t="s">
        <v>19</v>
      </c>
      <c r="N12269" s="9" t="s">
        <v>20</v>
      </c>
      <c r="O12269" s="6" t="str">
        <f>HYPERLINK("https://pbs.twimg.com/profile_images/962471262747529216/Uo8lOkRJ_normal.jpg","View")</f>
        <v>View</v>
      </c>
      <c r="P12269" s="7"/>
    </row>
    <row r="12270" spans="1:16">
      <c r="A12270" s="3">
        <v>44162.124097222222</v>
      </c>
      <c r="B12270" s="4" t="str">
        <f>HYPERLINK("https://twitter.com/petrogustavo","@petrogustavo")</f>
        <v>@petrogustavo</v>
      </c>
      <c r="C12270" s="5" t="s">
        <v>16</v>
      </c>
      <c r="D12270" s="5" t="s">
        <v>11817</v>
      </c>
      <c r="E12270" s="6" t="str">
        <f>HYPERLINK("https://twitter.com/petrogustavo/status/1332073820128206850","1332073820128206850")</f>
        <v>1332073820128206850</v>
      </c>
      <c r="F12270" s="7" t="s">
        <v>17</v>
      </c>
      <c r="G12270" s="7">
        <v>4013039</v>
      </c>
      <c r="H12270" s="7">
        <v>2467</v>
      </c>
      <c r="I12270" s="7">
        <v>30</v>
      </c>
      <c r="J12270" s="7">
        <v>0</v>
      </c>
      <c r="K12270" s="7" t="s">
        <v>18</v>
      </c>
      <c r="L12270" s="8">
        <v>39987.315405092595</v>
      </c>
      <c r="M12270" s="9" t="s">
        <v>19</v>
      </c>
      <c r="N12270" s="9" t="s">
        <v>20</v>
      </c>
      <c r="O12270" s="6" t="str">
        <f>HYPERLINK("https://pbs.twimg.com/profile_images/962471262747529216/Uo8lOkRJ_normal.jpg","View")</f>
        <v>View</v>
      </c>
      <c r="P12270" s="7"/>
    </row>
    <row r="12271" spans="1:16">
      <c r="A12271" s="3">
        <v>44162.124490740738</v>
      </c>
      <c r="B12271" s="4" t="str">
        <f>HYPERLINK("https://twitter.com/petrogustavo","@petrogustavo")</f>
        <v>@petrogustavo</v>
      </c>
      <c r="C12271" s="5" t="s">
        <v>16</v>
      </c>
      <c r="D12271" s="5" t="s">
        <v>11818</v>
      </c>
      <c r="E12271" s="6" t="str">
        <f>HYPERLINK("https://twitter.com/petrogustavo/status/1332073965653725185","1332073965653725185")</f>
        <v>1332073965653725185</v>
      </c>
      <c r="F12271" s="7" t="s">
        <v>17</v>
      </c>
      <c r="G12271" s="7">
        <v>4013039</v>
      </c>
      <c r="H12271" s="7">
        <v>2467</v>
      </c>
      <c r="I12271" s="7">
        <v>46</v>
      </c>
      <c r="J12271" s="7">
        <v>0</v>
      </c>
      <c r="K12271" s="7" t="s">
        <v>18</v>
      </c>
      <c r="L12271" s="8">
        <v>39987.315405092595</v>
      </c>
      <c r="M12271" s="9" t="s">
        <v>19</v>
      </c>
      <c r="N12271" s="9" t="s">
        <v>20</v>
      </c>
      <c r="O12271" s="6" t="str">
        <f>HYPERLINK("https://pbs.twimg.com/profile_images/962471262747529216/Uo8lOkRJ_normal.jpg","View")</f>
        <v>View</v>
      </c>
      <c r="P12271" s="7"/>
    </row>
    <row r="12272" spans="1:16">
      <c r="A12272" s="3">
        <v>44162.125555555554</v>
      </c>
      <c r="B12272" s="4" t="str">
        <f>HYPERLINK("https://twitter.com/petrogustavo","@petrogustavo")</f>
        <v>@petrogustavo</v>
      </c>
      <c r="C12272" s="5" t="s">
        <v>16</v>
      </c>
      <c r="D12272" s="5" t="s">
        <v>11819</v>
      </c>
      <c r="E12272" s="6" t="str">
        <f>HYPERLINK("https://twitter.com/petrogustavo/status/1332074351500423169","1332074351500423169")</f>
        <v>1332074351500423169</v>
      </c>
      <c r="F12272" s="7" t="s">
        <v>17</v>
      </c>
      <c r="G12272" s="7">
        <v>4013039</v>
      </c>
      <c r="H12272" s="7">
        <v>2467</v>
      </c>
      <c r="I12272" s="7">
        <v>288</v>
      </c>
      <c r="J12272" s="7">
        <v>0</v>
      </c>
      <c r="K12272" s="7" t="s">
        <v>18</v>
      </c>
      <c r="L12272" s="8">
        <v>39987.315405092595</v>
      </c>
      <c r="M12272" s="9" t="s">
        <v>19</v>
      </c>
      <c r="N12272" s="9" t="s">
        <v>20</v>
      </c>
      <c r="O12272" s="6" t="str">
        <f>HYPERLINK("https://pbs.twimg.com/profile_images/962471262747529216/Uo8lOkRJ_normal.jpg","View")</f>
        <v>View</v>
      </c>
      <c r="P12272" s="7"/>
    </row>
    <row r="12273" spans="1:16">
      <c r="A12273" s="3">
        <v>44162.125648148147</v>
      </c>
      <c r="B12273" s="4" t="str">
        <f>HYPERLINK("https://twitter.com/petrogustavo","@petrogustavo")</f>
        <v>@petrogustavo</v>
      </c>
      <c r="C12273" s="5" t="s">
        <v>16</v>
      </c>
      <c r="D12273" s="5" t="s">
        <v>11820</v>
      </c>
      <c r="E12273" s="6" t="str">
        <f>HYPERLINK("https://twitter.com/petrogustavo/status/1332074382261432323","1332074382261432323")</f>
        <v>1332074382261432323</v>
      </c>
      <c r="F12273" s="7" t="s">
        <v>17</v>
      </c>
      <c r="G12273" s="7">
        <v>4013039</v>
      </c>
      <c r="H12273" s="7">
        <v>2467</v>
      </c>
      <c r="I12273" s="7">
        <v>141</v>
      </c>
      <c r="J12273" s="7">
        <v>0</v>
      </c>
      <c r="K12273" s="7" t="s">
        <v>18</v>
      </c>
      <c r="L12273" s="8">
        <v>39987.315405092595</v>
      </c>
      <c r="M12273" s="9" t="s">
        <v>19</v>
      </c>
      <c r="N12273" s="9" t="s">
        <v>20</v>
      </c>
      <c r="O12273" s="6" t="str">
        <f>HYPERLINK("https://pbs.twimg.com/profile_images/962471262747529216/Uo8lOkRJ_normal.jpg","View")</f>
        <v>View</v>
      </c>
      <c r="P12273" s="7"/>
    </row>
    <row r="12274" spans="1:16">
      <c r="A12274" s="3">
        <v>44162.126412037032</v>
      </c>
      <c r="B12274" s="4" t="str">
        <f>HYPERLINK("https://twitter.com/petrogustavo","@petrogustavo")</f>
        <v>@petrogustavo</v>
      </c>
      <c r="C12274" s="5" t="s">
        <v>16</v>
      </c>
      <c r="D12274" s="5" t="s">
        <v>11821</v>
      </c>
      <c r="E12274" s="6" t="str">
        <f>HYPERLINK("https://twitter.com/petrogustavo/status/1332074660196966402","1332074660196966402")</f>
        <v>1332074660196966402</v>
      </c>
      <c r="F12274" s="7" t="s">
        <v>17</v>
      </c>
      <c r="G12274" s="7">
        <v>4013039</v>
      </c>
      <c r="H12274" s="7">
        <v>2467</v>
      </c>
      <c r="I12274" s="7">
        <v>16</v>
      </c>
      <c r="J12274" s="7">
        <v>0</v>
      </c>
      <c r="K12274" s="7" t="s">
        <v>18</v>
      </c>
      <c r="L12274" s="8">
        <v>39987.315405092595</v>
      </c>
      <c r="M12274" s="9" t="s">
        <v>19</v>
      </c>
      <c r="N12274" s="9" t="s">
        <v>20</v>
      </c>
      <c r="O12274" s="6" t="str">
        <f>HYPERLINK("https://pbs.twimg.com/profile_images/962471262747529216/Uo8lOkRJ_normal.jpg","View")</f>
        <v>View</v>
      </c>
      <c r="P12274" s="7"/>
    </row>
    <row r="12275" spans="1:16">
      <c r="A12275" s="3">
        <v>44162.12700231481</v>
      </c>
      <c r="B12275" s="4" t="str">
        <f>HYPERLINK("https://twitter.com/petrogustavo","@petrogustavo")</f>
        <v>@petrogustavo</v>
      </c>
      <c r="C12275" s="5" t="s">
        <v>16</v>
      </c>
      <c r="D12275" s="5" t="s">
        <v>11822</v>
      </c>
      <c r="E12275" s="6" t="str">
        <f>HYPERLINK("https://twitter.com/petrogustavo/status/1332074873133424643","1332074873133424643")</f>
        <v>1332074873133424643</v>
      </c>
      <c r="F12275" s="7" t="s">
        <v>17</v>
      </c>
      <c r="G12275" s="7">
        <v>4013039</v>
      </c>
      <c r="H12275" s="7">
        <v>2467</v>
      </c>
      <c r="I12275" s="7">
        <v>495</v>
      </c>
      <c r="J12275" s="7">
        <v>0</v>
      </c>
      <c r="K12275" s="7" t="s">
        <v>18</v>
      </c>
      <c r="L12275" s="8">
        <v>39987.315405092595</v>
      </c>
      <c r="M12275" s="9" t="s">
        <v>19</v>
      </c>
      <c r="N12275" s="9" t="s">
        <v>20</v>
      </c>
      <c r="O12275" s="6" t="str">
        <f>HYPERLINK("https://pbs.twimg.com/profile_images/962471262747529216/Uo8lOkRJ_normal.jpg","View")</f>
        <v>View</v>
      </c>
      <c r="P12275" s="7"/>
    </row>
    <row r="12276" spans="1:16">
      <c r="A12276" s="3">
        <v>44162.128032407403</v>
      </c>
      <c r="B12276" s="4" t="str">
        <f>HYPERLINK("https://twitter.com/petrogustavo","@petrogustavo")</f>
        <v>@petrogustavo</v>
      </c>
      <c r="C12276" s="5" t="s">
        <v>16</v>
      </c>
      <c r="D12276" s="5" t="s">
        <v>11823</v>
      </c>
      <c r="E12276" s="6" t="str">
        <f>HYPERLINK("https://twitter.com/petrogustavo/status/1332075249186254848","1332075249186254848")</f>
        <v>1332075249186254848</v>
      </c>
      <c r="F12276" s="7" t="s">
        <v>17</v>
      </c>
      <c r="G12276" s="7">
        <v>4013039</v>
      </c>
      <c r="H12276" s="7">
        <v>2467</v>
      </c>
      <c r="I12276" s="7">
        <v>681</v>
      </c>
      <c r="J12276" s="7">
        <v>0</v>
      </c>
      <c r="K12276" s="7" t="s">
        <v>18</v>
      </c>
      <c r="L12276" s="8">
        <v>39987.315405092595</v>
      </c>
      <c r="M12276" s="9" t="s">
        <v>19</v>
      </c>
      <c r="N12276" s="9" t="s">
        <v>20</v>
      </c>
      <c r="O12276" s="6" t="str">
        <f>HYPERLINK("https://pbs.twimg.com/profile_images/962471262747529216/Uo8lOkRJ_normal.jpg","View")</f>
        <v>View</v>
      </c>
      <c r="P12276" s="7"/>
    </row>
    <row r="12277" spans="1:16">
      <c r="A12277" s="3">
        <v>44162.128425925926</v>
      </c>
      <c r="B12277" s="4" t="str">
        <f>HYPERLINK("https://twitter.com/petrogustavo","@petrogustavo")</f>
        <v>@petrogustavo</v>
      </c>
      <c r="C12277" s="5" t="s">
        <v>16</v>
      </c>
      <c r="D12277" s="5" t="s">
        <v>11824</v>
      </c>
      <c r="E12277" s="6" t="str">
        <f>HYPERLINK("https://twitter.com/petrogustavo/status/1332075392329461765","1332075392329461765")</f>
        <v>1332075392329461765</v>
      </c>
      <c r="F12277" s="7" t="s">
        <v>17</v>
      </c>
      <c r="G12277" s="7">
        <v>4013039</v>
      </c>
      <c r="H12277" s="7">
        <v>2467</v>
      </c>
      <c r="I12277" s="7">
        <v>72</v>
      </c>
      <c r="J12277" s="7">
        <v>0</v>
      </c>
      <c r="K12277" s="7" t="s">
        <v>18</v>
      </c>
      <c r="L12277" s="8">
        <v>39987.315405092595</v>
      </c>
      <c r="M12277" s="9" t="s">
        <v>19</v>
      </c>
      <c r="N12277" s="9" t="s">
        <v>20</v>
      </c>
      <c r="O12277" s="6" t="str">
        <f>HYPERLINK("https://pbs.twimg.com/profile_images/962471262747529216/Uo8lOkRJ_normal.jpg","View")</f>
        <v>View</v>
      </c>
      <c r="P12277" s="7"/>
    </row>
    <row r="12278" spans="1:16">
      <c r="A12278" s="3">
        <v>44162.128530092596</v>
      </c>
      <c r="B12278" s="4" t="str">
        <f>HYPERLINK("https://twitter.com/petrogustavo","@petrogustavo")</f>
        <v>@petrogustavo</v>
      </c>
      <c r="C12278" s="5" t="s">
        <v>16</v>
      </c>
      <c r="D12278" s="5" t="s">
        <v>11825</v>
      </c>
      <c r="E12278" s="6" t="str">
        <f>HYPERLINK("https://twitter.com/petrogustavo/status/1332075429365211136","1332075429365211136")</f>
        <v>1332075429365211136</v>
      </c>
      <c r="F12278" s="7" t="s">
        <v>17</v>
      </c>
      <c r="G12278" s="7">
        <v>4013039</v>
      </c>
      <c r="H12278" s="7">
        <v>2467</v>
      </c>
      <c r="I12278" s="7">
        <v>170</v>
      </c>
      <c r="J12278" s="7">
        <v>0</v>
      </c>
      <c r="K12278" s="7" t="s">
        <v>18</v>
      </c>
      <c r="L12278" s="8">
        <v>39987.315405092595</v>
      </c>
      <c r="M12278" s="9" t="s">
        <v>19</v>
      </c>
      <c r="N12278" s="9" t="s">
        <v>20</v>
      </c>
      <c r="O12278" s="6" t="str">
        <f>HYPERLINK("https://pbs.twimg.com/profile_images/962471262747529216/Uo8lOkRJ_normal.jpg","View")</f>
        <v>View</v>
      </c>
      <c r="P12278" s="7"/>
    </row>
    <row r="12279" spans="1:16">
      <c r="A12279" s="3">
        <v>44162.132581018523</v>
      </c>
      <c r="B12279" s="4" t="str">
        <f>HYPERLINK("https://twitter.com/petrogustavo","@petrogustavo")</f>
        <v>@petrogustavo</v>
      </c>
      <c r="C12279" s="5" t="s">
        <v>16</v>
      </c>
      <c r="D12279" s="5" t="s">
        <v>11826</v>
      </c>
      <c r="E12279" s="6" t="str">
        <f>HYPERLINK("https://twitter.com/petrogustavo/status/1332076895148490753","1332076895148490753")</f>
        <v>1332076895148490753</v>
      </c>
      <c r="F12279" s="7" t="s">
        <v>17</v>
      </c>
      <c r="G12279" s="7">
        <v>4013039</v>
      </c>
      <c r="H12279" s="7">
        <v>2467</v>
      </c>
      <c r="I12279" s="7">
        <v>219</v>
      </c>
      <c r="J12279" s="7">
        <v>0</v>
      </c>
      <c r="K12279" s="7" t="s">
        <v>18</v>
      </c>
      <c r="L12279" s="8">
        <v>39987.315405092595</v>
      </c>
      <c r="M12279" s="9" t="s">
        <v>19</v>
      </c>
      <c r="N12279" s="9" t="s">
        <v>20</v>
      </c>
      <c r="O12279" s="6" t="str">
        <f>HYPERLINK("https://pbs.twimg.com/profile_images/962471262747529216/Uo8lOkRJ_normal.jpg","View")</f>
        <v>View</v>
      </c>
      <c r="P12279" s="7"/>
    </row>
    <row r="12280" spans="1:16">
      <c r="A12280" s="3">
        <v>44162.13480324074</v>
      </c>
      <c r="B12280" s="4" t="str">
        <f>HYPERLINK("https://twitter.com/petrogustavo","@petrogustavo")</f>
        <v>@petrogustavo</v>
      </c>
      <c r="C12280" s="5" t="s">
        <v>16</v>
      </c>
      <c r="D12280" s="5" t="s">
        <v>11827</v>
      </c>
      <c r="E12280" s="6" t="str">
        <f>HYPERLINK("https://twitter.com/petrogustavo/status/1332077703210676225","1332077703210676225")</f>
        <v>1332077703210676225</v>
      </c>
      <c r="F12280" s="7" t="s">
        <v>17</v>
      </c>
      <c r="G12280" s="7">
        <v>4013039</v>
      </c>
      <c r="H12280" s="7">
        <v>2467</v>
      </c>
      <c r="I12280" s="7">
        <v>948</v>
      </c>
      <c r="J12280" s="7">
        <v>0</v>
      </c>
      <c r="K12280" s="7" t="s">
        <v>18</v>
      </c>
      <c r="L12280" s="8">
        <v>39987.315405092595</v>
      </c>
      <c r="M12280" s="9" t="s">
        <v>19</v>
      </c>
      <c r="N12280" s="9" t="s">
        <v>20</v>
      </c>
      <c r="O12280" s="6" t="str">
        <f>HYPERLINK("https://pbs.twimg.com/profile_images/962471262747529216/Uo8lOkRJ_normal.jpg","View")</f>
        <v>View</v>
      </c>
      <c r="P12280" s="7"/>
    </row>
    <row r="12281" spans="1:16">
      <c r="A12281" s="3">
        <v>44162.136192129634</v>
      </c>
      <c r="B12281" s="4" t="str">
        <f>HYPERLINK("https://twitter.com/petrogustavo","@petrogustavo")</f>
        <v>@petrogustavo</v>
      </c>
      <c r="C12281" s="5" t="s">
        <v>16</v>
      </c>
      <c r="D12281" s="5" t="s">
        <v>11828</v>
      </c>
      <c r="E12281" s="6" t="str">
        <f>HYPERLINK("https://twitter.com/petrogustavo/status/1332078204878786562","1332078204878786562")</f>
        <v>1332078204878786562</v>
      </c>
      <c r="F12281" s="7" t="s">
        <v>17</v>
      </c>
      <c r="G12281" s="7">
        <v>4013039</v>
      </c>
      <c r="H12281" s="7">
        <v>2467</v>
      </c>
      <c r="I12281" s="7">
        <v>23</v>
      </c>
      <c r="J12281" s="7">
        <v>0</v>
      </c>
      <c r="K12281" s="7" t="s">
        <v>18</v>
      </c>
      <c r="L12281" s="8">
        <v>39987.315405092595</v>
      </c>
      <c r="M12281" s="9" t="s">
        <v>19</v>
      </c>
      <c r="N12281" s="9" t="s">
        <v>20</v>
      </c>
      <c r="O12281" s="6" t="str">
        <f>HYPERLINK("https://pbs.twimg.com/profile_images/962471262747529216/Uo8lOkRJ_normal.jpg","View")</f>
        <v>View</v>
      </c>
      <c r="P12281" s="7"/>
    </row>
    <row r="12282" spans="1:16">
      <c r="A12282" s="3">
        <v>44162.137233796297</v>
      </c>
      <c r="B12282" s="4" t="str">
        <f>HYPERLINK("https://twitter.com/petrogustavo","@petrogustavo")</f>
        <v>@petrogustavo</v>
      </c>
      <c r="C12282" s="5" t="s">
        <v>16</v>
      </c>
      <c r="D12282" s="5" t="s">
        <v>11829</v>
      </c>
      <c r="E12282" s="6" t="str">
        <f>HYPERLINK("https://twitter.com/petrogustavo/status/1332078580940075015","1332078580940075015")</f>
        <v>1332078580940075015</v>
      </c>
      <c r="F12282" s="7" t="s">
        <v>17</v>
      </c>
      <c r="G12282" s="7">
        <v>4013039</v>
      </c>
      <c r="H12282" s="7">
        <v>2467</v>
      </c>
      <c r="I12282" s="7">
        <v>2</v>
      </c>
      <c r="J12282" s="7">
        <v>0</v>
      </c>
      <c r="K12282" s="7" t="s">
        <v>18</v>
      </c>
      <c r="L12282" s="8">
        <v>39987.315405092595</v>
      </c>
      <c r="M12282" s="9" t="s">
        <v>19</v>
      </c>
      <c r="N12282" s="9" t="s">
        <v>20</v>
      </c>
      <c r="O12282" s="6" t="str">
        <f>HYPERLINK("https://pbs.twimg.com/profile_images/962471262747529216/Uo8lOkRJ_normal.jpg","View")</f>
        <v>View</v>
      </c>
      <c r="P12282" s="7"/>
    </row>
    <row r="12283" spans="1:16">
      <c r="A12283" s="3">
        <v>44162.137499999997</v>
      </c>
      <c r="B12283" s="4" t="str">
        <f>HYPERLINK("https://twitter.com/petrogustavo","@petrogustavo")</f>
        <v>@petrogustavo</v>
      </c>
      <c r="C12283" s="5" t="s">
        <v>16</v>
      </c>
      <c r="D12283" s="5" t="s">
        <v>11830</v>
      </c>
      <c r="E12283" s="6" t="str">
        <f>HYPERLINK("https://twitter.com/petrogustavo/status/1332078680563208193","1332078680563208193")</f>
        <v>1332078680563208193</v>
      </c>
      <c r="F12283" s="7" t="s">
        <v>17</v>
      </c>
      <c r="G12283" s="7">
        <v>4013039</v>
      </c>
      <c r="H12283" s="7">
        <v>2467</v>
      </c>
      <c r="I12283" s="7">
        <v>577</v>
      </c>
      <c r="J12283" s="7">
        <v>0</v>
      </c>
      <c r="K12283" s="7" t="s">
        <v>18</v>
      </c>
      <c r="L12283" s="8">
        <v>39987.315405092595</v>
      </c>
      <c r="M12283" s="9" t="s">
        <v>19</v>
      </c>
      <c r="N12283" s="9" t="s">
        <v>20</v>
      </c>
      <c r="O12283" s="6" t="str">
        <f>HYPERLINK("https://pbs.twimg.com/profile_images/962471262747529216/Uo8lOkRJ_normal.jpg","View")</f>
        <v>View</v>
      </c>
      <c r="P12283" s="7"/>
    </row>
    <row r="12284" spans="1:16">
      <c r="A12284" s="3">
        <v>44162.149340277778</v>
      </c>
      <c r="B12284" s="4" t="str">
        <f>HYPERLINK("https://twitter.com/petrogustavo","@petrogustavo")</f>
        <v>@petrogustavo</v>
      </c>
      <c r="C12284" s="5" t="s">
        <v>16</v>
      </c>
      <c r="D12284" s="5" t="s">
        <v>11831</v>
      </c>
      <c r="E12284" s="6" t="str">
        <f>HYPERLINK("https://twitter.com/petrogustavo/status/1332082969482289156","1332082969482289156")</f>
        <v>1332082969482289156</v>
      </c>
      <c r="F12284" s="7" t="s">
        <v>17</v>
      </c>
      <c r="G12284" s="7">
        <v>4013049</v>
      </c>
      <c r="H12284" s="7">
        <v>2467</v>
      </c>
      <c r="I12284" s="7">
        <v>41</v>
      </c>
      <c r="J12284" s="7">
        <v>0</v>
      </c>
      <c r="K12284" s="7" t="s">
        <v>18</v>
      </c>
      <c r="L12284" s="8">
        <v>39987.315405092595</v>
      </c>
      <c r="M12284" s="9" t="s">
        <v>19</v>
      </c>
      <c r="N12284" s="9" t="s">
        <v>20</v>
      </c>
      <c r="O12284" s="6" t="str">
        <f>HYPERLINK("https://pbs.twimg.com/profile_images/962471262747529216/Uo8lOkRJ_normal.jpg","View")</f>
        <v>View</v>
      </c>
      <c r="P12284" s="7"/>
    </row>
    <row r="12285" spans="1:16">
      <c r="A12285" s="3">
        <v>44162.149699074071</v>
      </c>
      <c r="B12285" s="4" t="str">
        <f>HYPERLINK("https://twitter.com/petrogustavo","@petrogustavo")</f>
        <v>@petrogustavo</v>
      </c>
      <c r="C12285" s="5" t="s">
        <v>16</v>
      </c>
      <c r="D12285" s="5" t="s">
        <v>11822</v>
      </c>
      <c r="E12285" s="6" t="str">
        <f>HYPERLINK("https://twitter.com/petrogustavo/status/1332083098138324997","1332083098138324997")</f>
        <v>1332083098138324997</v>
      </c>
      <c r="F12285" s="7" t="s">
        <v>17</v>
      </c>
      <c r="G12285" s="7">
        <v>4013049</v>
      </c>
      <c r="H12285" s="7">
        <v>2467</v>
      </c>
      <c r="I12285" s="7">
        <v>571</v>
      </c>
      <c r="J12285" s="7">
        <v>0</v>
      </c>
      <c r="K12285" s="7" t="s">
        <v>18</v>
      </c>
      <c r="L12285" s="8">
        <v>39987.315405092595</v>
      </c>
      <c r="M12285" s="9" t="s">
        <v>19</v>
      </c>
      <c r="N12285" s="9" t="s">
        <v>20</v>
      </c>
      <c r="O12285" s="6" t="str">
        <f>HYPERLINK("https://pbs.twimg.com/profile_images/962471262747529216/Uo8lOkRJ_normal.jpg","View")</f>
        <v>View</v>
      </c>
      <c r="P12285" s="7"/>
    </row>
    <row r="12286" spans="1:16">
      <c r="A12286" s="3">
        <v>44162.151736111111</v>
      </c>
      <c r="B12286" s="4" t="str">
        <f>HYPERLINK("https://twitter.com/petrogustavo","@petrogustavo")</f>
        <v>@petrogustavo</v>
      </c>
      <c r="C12286" s="5" t="s">
        <v>16</v>
      </c>
      <c r="D12286" s="5" t="s">
        <v>11832</v>
      </c>
      <c r="E12286" s="6" t="str">
        <f>HYPERLINK("https://twitter.com/petrogustavo/status/1332083837355036677","1332083837355036677")</f>
        <v>1332083837355036677</v>
      </c>
      <c r="F12286" s="7" t="s">
        <v>17</v>
      </c>
      <c r="G12286" s="7">
        <v>4013049</v>
      </c>
      <c r="H12286" s="7">
        <v>2467</v>
      </c>
      <c r="I12286" s="7">
        <v>492</v>
      </c>
      <c r="J12286" s="7">
        <v>0</v>
      </c>
      <c r="K12286" s="7" t="s">
        <v>18</v>
      </c>
      <c r="L12286" s="8">
        <v>39987.315405092595</v>
      </c>
      <c r="M12286" s="9" t="s">
        <v>19</v>
      </c>
      <c r="N12286" s="9" t="s">
        <v>20</v>
      </c>
      <c r="O12286" s="6" t="str">
        <f>HYPERLINK("https://pbs.twimg.com/profile_images/962471262747529216/Uo8lOkRJ_normal.jpg","View")</f>
        <v>View</v>
      </c>
      <c r="P12286" s="7"/>
    </row>
    <row r="12287" spans="1:16">
      <c r="A12287" s="3">
        <v>44162.154131944444</v>
      </c>
      <c r="B12287" s="4" t="str">
        <f>HYPERLINK("https://twitter.com/petrogustavo","@petrogustavo")</f>
        <v>@petrogustavo</v>
      </c>
      <c r="C12287" s="5" t="s">
        <v>16</v>
      </c>
      <c r="D12287" s="5" t="s">
        <v>11833</v>
      </c>
      <c r="E12287" s="6" t="str">
        <f>HYPERLINK("https://twitter.com/petrogustavo/status/1332084706624610311","1332084706624610311")</f>
        <v>1332084706624610311</v>
      </c>
      <c r="F12287" s="7" t="s">
        <v>17</v>
      </c>
      <c r="G12287" s="7">
        <v>4013049</v>
      </c>
      <c r="H12287" s="7">
        <v>2467</v>
      </c>
      <c r="I12287" s="7">
        <v>18</v>
      </c>
      <c r="J12287" s="7">
        <v>0</v>
      </c>
      <c r="K12287" s="7" t="s">
        <v>18</v>
      </c>
      <c r="L12287" s="8">
        <v>39987.315405092595</v>
      </c>
      <c r="M12287" s="9" t="s">
        <v>19</v>
      </c>
      <c r="N12287" s="9" t="s">
        <v>20</v>
      </c>
      <c r="O12287" s="6" t="str">
        <f>HYPERLINK("https://pbs.twimg.com/profile_images/962471262747529216/Uo8lOkRJ_normal.jpg","View")</f>
        <v>View</v>
      </c>
      <c r="P12287" s="7"/>
    </row>
    <row r="12288" spans="1:16">
      <c r="A12288" s="3">
        <v>44162.154733796298</v>
      </c>
      <c r="B12288" s="4" t="str">
        <f>HYPERLINK("https://twitter.com/petrogustavo","@petrogustavo")</f>
        <v>@petrogustavo</v>
      </c>
      <c r="C12288" s="5" t="s">
        <v>16</v>
      </c>
      <c r="D12288" s="5" t="s">
        <v>11834</v>
      </c>
      <c r="E12288" s="6" t="str">
        <f>HYPERLINK("https://twitter.com/petrogustavo/status/1332084926146097152","1332084926146097152")</f>
        <v>1332084926146097152</v>
      </c>
      <c r="F12288" s="7" t="s">
        <v>17</v>
      </c>
      <c r="G12288" s="7">
        <v>4013049</v>
      </c>
      <c r="H12288" s="7">
        <v>2467</v>
      </c>
      <c r="I12288" s="7">
        <v>10</v>
      </c>
      <c r="J12288" s="7">
        <v>0</v>
      </c>
      <c r="K12288" s="7" t="s">
        <v>18</v>
      </c>
      <c r="L12288" s="8">
        <v>39987.315405092595</v>
      </c>
      <c r="M12288" s="9" t="s">
        <v>19</v>
      </c>
      <c r="N12288" s="9" t="s">
        <v>20</v>
      </c>
      <c r="O12288" s="6" t="str">
        <f>HYPERLINK("https://pbs.twimg.com/profile_images/962471262747529216/Uo8lOkRJ_normal.jpg","View")</f>
        <v>View</v>
      </c>
      <c r="P12288" s="7"/>
    </row>
    <row r="12289" spans="1:16">
      <c r="A12289" s="3">
        <v>44162.155474537038</v>
      </c>
      <c r="B12289" s="4" t="str">
        <f>HYPERLINK("https://twitter.com/petrogustavo","@petrogustavo")</f>
        <v>@petrogustavo</v>
      </c>
      <c r="C12289" s="5" t="s">
        <v>16</v>
      </c>
      <c r="D12289" s="5" t="s">
        <v>11835</v>
      </c>
      <c r="E12289" s="6" t="str">
        <f>HYPERLINK("https://twitter.com/petrogustavo/status/1332085191934930946","1332085191934930946")</f>
        <v>1332085191934930946</v>
      </c>
      <c r="F12289" s="7" t="s">
        <v>17</v>
      </c>
      <c r="G12289" s="7">
        <v>4013049</v>
      </c>
      <c r="H12289" s="7">
        <v>2467</v>
      </c>
      <c r="I12289" s="7">
        <v>17</v>
      </c>
      <c r="J12289" s="7">
        <v>0</v>
      </c>
      <c r="K12289" s="7" t="s">
        <v>18</v>
      </c>
      <c r="L12289" s="8">
        <v>39987.315405092595</v>
      </c>
      <c r="M12289" s="9" t="s">
        <v>19</v>
      </c>
      <c r="N12289" s="9" t="s">
        <v>20</v>
      </c>
      <c r="O12289" s="6" t="str">
        <f>HYPERLINK("https://pbs.twimg.com/profile_images/962471262747529216/Uo8lOkRJ_normal.jpg","View")</f>
        <v>View</v>
      </c>
      <c r="P12289" s="7"/>
    </row>
    <row r="12290" spans="1:16">
      <c r="A12290" s="3">
        <v>44162.158530092594</v>
      </c>
      <c r="B12290" s="4" t="str">
        <f>HYPERLINK("https://twitter.com/petrogustavo","@petrogustavo")</f>
        <v>@petrogustavo</v>
      </c>
      <c r="C12290" s="5" t="s">
        <v>16</v>
      </c>
      <c r="D12290" s="5" t="s">
        <v>11836</v>
      </c>
      <c r="E12290" s="6" t="str">
        <f>HYPERLINK("https://twitter.com/petrogustavo/status/1332086300388843521","1332086300388843521")</f>
        <v>1332086300388843521</v>
      </c>
      <c r="F12290" s="7" t="s">
        <v>17</v>
      </c>
      <c r="G12290" s="7">
        <v>4013045</v>
      </c>
      <c r="H12290" s="7">
        <v>2467</v>
      </c>
      <c r="I12290" s="7">
        <v>210</v>
      </c>
      <c r="J12290" s="7">
        <v>0</v>
      </c>
      <c r="K12290" s="7" t="s">
        <v>18</v>
      </c>
      <c r="L12290" s="8">
        <v>39987.315405092595</v>
      </c>
      <c r="M12290" s="9" t="s">
        <v>19</v>
      </c>
      <c r="N12290" s="9" t="s">
        <v>20</v>
      </c>
      <c r="O12290" s="6" t="str">
        <f>HYPERLINK("https://pbs.twimg.com/profile_images/962471262747529216/Uo8lOkRJ_normal.jpg","View")</f>
        <v>View</v>
      </c>
      <c r="P12290" s="7"/>
    </row>
    <row r="12291" spans="1:16">
      <c r="A12291" s="3">
        <v>44162.177372685182</v>
      </c>
      <c r="B12291" s="4" t="str">
        <f>HYPERLINK("https://twitter.com/petrogustavo","@petrogustavo")</f>
        <v>@petrogustavo</v>
      </c>
      <c r="C12291" s="5" t="s">
        <v>16</v>
      </c>
      <c r="D12291" s="5" t="s">
        <v>11837</v>
      </c>
      <c r="E12291" s="6" t="str">
        <f>HYPERLINK("https://twitter.com/petrogustavo/status/1332093126597632002","1332093126597632002")</f>
        <v>1332093126597632002</v>
      </c>
      <c r="F12291" s="7" t="s">
        <v>17</v>
      </c>
      <c r="G12291" s="7">
        <v>4013045</v>
      </c>
      <c r="H12291" s="7">
        <v>2467</v>
      </c>
      <c r="I12291" s="7">
        <v>13</v>
      </c>
      <c r="J12291" s="7">
        <v>0</v>
      </c>
      <c r="K12291" s="7" t="s">
        <v>18</v>
      </c>
      <c r="L12291" s="8">
        <v>39987.315405092595</v>
      </c>
      <c r="M12291" s="9" t="s">
        <v>19</v>
      </c>
      <c r="N12291" s="9" t="s">
        <v>20</v>
      </c>
      <c r="O12291" s="6" t="str">
        <f>HYPERLINK("https://pbs.twimg.com/profile_images/962471262747529216/Uo8lOkRJ_normal.jpg","View")</f>
        <v>View</v>
      </c>
      <c r="P12291" s="7"/>
    </row>
    <row r="12292" spans="1:16">
      <c r="A12292" s="3">
        <v>44162.177453703705</v>
      </c>
      <c r="B12292" s="4" t="str">
        <f>HYPERLINK("https://twitter.com/petrogustavo","@petrogustavo")</f>
        <v>@petrogustavo</v>
      </c>
      <c r="C12292" s="5" t="s">
        <v>16</v>
      </c>
      <c r="D12292" s="5" t="s">
        <v>11838</v>
      </c>
      <c r="E12292" s="6" t="str">
        <f>HYPERLINK("https://twitter.com/petrogustavo/status/1332093159514329088","1332093159514329088")</f>
        <v>1332093159514329088</v>
      </c>
      <c r="F12292" s="7" t="s">
        <v>17</v>
      </c>
      <c r="G12292" s="7">
        <v>4013045</v>
      </c>
      <c r="H12292" s="7">
        <v>2467</v>
      </c>
      <c r="I12292" s="7">
        <v>599</v>
      </c>
      <c r="J12292" s="7">
        <v>0</v>
      </c>
      <c r="K12292" s="7" t="s">
        <v>18</v>
      </c>
      <c r="L12292" s="8">
        <v>39987.315405092595</v>
      </c>
      <c r="M12292" s="9" t="s">
        <v>19</v>
      </c>
      <c r="N12292" s="9" t="s">
        <v>20</v>
      </c>
      <c r="O12292" s="6" t="str">
        <f>HYPERLINK("https://pbs.twimg.com/profile_images/962471262747529216/Uo8lOkRJ_normal.jpg","View")</f>
        <v>View</v>
      </c>
      <c r="P12292" s="7"/>
    </row>
    <row r="12293" spans="1:16">
      <c r="A12293" s="3">
        <v>44162.177650462967</v>
      </c>
      <c r="B12293" s="4" t="str">
        <f>HYPERLINK("https://twitter.com/petrogustavo","@petrogustavo")</f>
        <v>@petrogustavo</v>
      </c>
      <c r="C12293" s="5" t="s">
        <v>16</v>
      </c>
      <c r="D12293" s="5" t="s">
        <v>11839</v>
      </c>
      <c r="E12293" s="6" t="str">
        <f>HYPERLINK("https://twitter.com/petrogustavo/status/1332093226828828679","1332093226828828679")</f>
        <v>1332093226828828679</v>
      </c>
      <c r="F12293" s="7" t="s">
        <v>17</v>
      </c>
      <c r="G12293" s="7">
        <v>4013045</v>
      </c>
      <c r="H12293" s="7">
        <v>2467</v>
      </c>
      <c r="I12293" s="7">
        <v>23</v>
      </c>
      <c r="J12293" s="7">
        <v>0</v>
      </c>
      <c r="K12293" s="7" t="s">
        <v>18</v>
      </c>
      <c r="L12293" s="8">
        <v>39987.315405092595</v>
      </c>
      <c r="M12293" s="9" t="s">
        <v>19</v>
      </c>
      <c r="N12293" s="9" t="s">
        <v>20</v>
      </c>
      <c r="O12293" s="6" t="str">
        <f>HYPERLINK("https://pbs.twimg.com/profile_images/962471262747529216/Uo8lOkRJ_normal.jpg","View")</f>
        <v>View</v>
      </c>
      <c r="P12293" s="7"/>
    </row>
    <row r="12294" spans="1:16">
      <c r="A12294" s="3">
        <v>44162.178738425922</v>
      </c>
      <c r="B12294" s="4" t="str">
        <f>HYPERLINK("https://twitter.com/petrogustavo","@petrogustavo")</f>
        <v>@petrogustavo</v>
      </c>
      <c r="C12294" s="5" t="s">
        <v>16</v>
      </c>
      <c r="D12294" s="5" t="s">
        <v>11840</v>
      </c>
      <c r="E12294" s="6" t="str">
        <f>HYPERLINK("https://twitter.com/petrogustavo/status/1332093624927051778","1332093624927051778")</f>
        <v>1332093624927051778</v>
      </c>
      <c r="F12294" s="7" t="s">
        <v>17</v>
      </c>
      <c r="G12294" s="7">
        <v>4013045</v>
      </c>
      <c r="H12294" s="7">
        <v>2467</v>
      </c>
      <c r="I12294" s="7">
        <v>10</v>
      </c>
      <c r="J12294" s="7">
        <v>33</v>
      </c>
      <c r="K12294" s="7" t="s">
        <v>18</v>
      </c>
      <c r="L12294" s="8">
        <v>39987.315405092595</v>
      </c>
      <c r="M12294" s="9" t="s">
        <v>19</v>
      </c>
      <c r="N12294" s="9" t="s">
        <v>20</v>
      </c>
      <c r="O12294" s="6" t="str">
        <f>HYPERLINK("https://pbs.twimg.com/profile_images/962471262747529216/Uo8lOkRJ_normal.jpg","View")</f>
        <v>View</v>
      </c>
      <c r="P12294" s="7"/>
    </row>
    <row r="12295" spans="1:16">
      <c r="A12295" s="3">
        <v>44162.178831018522</v>
      </c>
      <c r="B12295" s="4" t="str">
        <f>HYPERLINK("https://twitter.com/petrogustavo","@petrogustavo")</f>
        <v>@petrogustavo</v>
      </c>
      <c r="C12295" s="5" t="s">
        <v>16</v>
      </c>
      <c r="D12295" s="5" t="s">
        <v>11841</v>
      </c>
      <c r="E12295" s="6" t="str">
        <f>HYPERLINK("https://twitter.com/petrogustavo/status/1332093656262733824","1332093656262733824")</f>
        <v>1332093656262733824</v>
      </c>
      <c r="F12295" s="7" t="s">
        <v>17</v>
      </c>
      <c r="G12295" s="7">
        <v>4013045</v>
      </c>
      <c r="H12295" s="7">
        <v>2467</v>
      </c>
      <c r="I12295" s="7">
        <v>16</v>
      </c>
      <c r="J12295" s="7">
        <v>0</v>
      </c>
      <c r="K12295" s="7" t="s">
        <v>18</v>
      </c>
      <c r="L12295" s="8">
        <v>39987.315405092595</v>
      </c>
      <c r="M12295" s="9" t="s">
        <v>19</v>
      </c>
      <c r="N12295" s="9" t="s">
        <v>20</v>
      </c>
      <c r="O12295" s="6" t="str">
        <f>HYPERLINK("https://pbs.twimg.com/profile_images/962471262747529216/Uo8lOkRJ_normal.jpg","View")</f>
        <v>View</v>
      </c>
      <c r="P12295" s="7"/>
    </row>
    <row r="12296" spans="1:16">
      <c r="A12296" s="3">
        <v>44162.179131944446</v>
      </c>
      <c r="B12296" s="4" t="str">
        <f>HYPERLINK("https://twitter.com/petrogustavo","@petrogustavo")</f>
        <v>@petrogustavo</v>
      </c>
      <c r="C12296" s="5" t="s">
        <v>16</v>
      </c>
      <c r="D12296" s="5" t="s">
        <v>11842</v>
      </c>
      <c r="E12296" s="6" t="str">
        <f>HYPERLINK("https://twitter.com/petrogustavo/status/1332093765624926211","1332093765624926211")</f>
        <v>1332093765624926211</v>
      </c>
      <c r="F12296" s="7" t="s">
        <v>17</v>
      </c>
      <c r="G12296" s="7">
        <v>4013045</v>
      </c>
      <c r="H12296" s="7">
        <v>2467</v>
      </c>
      <c r="I12296" s="7">
        <v>2</v>
      </c>
      <c r="J12296" s="7">
        <v>0</v>
      </c>
      <c r="K12296" s="7" t="s">
        <v>18</v>
      </c>
      <c r="L12296" s="8">
        <v>39987.315405092595</v>
      </c>
      <c r="M12296" s="9" t="s">
        <v>19</v>
      </c>
      <c r="N12296" s="9" t="s">
        <v>20</v>
      </c>
      <c r="O12296" s="6" t="str">
        <f>HYPERLINK("https://pbs.twimg.com/profile_images/962471262747529216/Uo8lOkRJ_normal.jpg","View")</f>
        <v>View</v>
      </c>
      <c r="P12296" s="7"/>
    </row>
    <row r="12297" spans="1:16">
      <c r="A12297" s="3">
        <v>44162.17969907407</v>
      </c>
      <c r="B12297" s="4" t="str">
        <f>HYPERLINK("https://twitter.com/petrogustavo","@petrogustavo")</f>
        <v>@petrogustavo</v>
      </c>
      <c r="C12297" s="5" t="s">
        <v>16</v>
      </c>
      <c r="D12297" s="5" t="s">
        <v>11843</v>
      </c>
      <c r="E12297" s="6" t="str">
        <f>HYPERLINK("https://twitter.com/petrogustavo/status/1332093969841393666","1332093969841393666")</f>
        <v>1332093969841393666</v>
      </c>
      <c r="F12297" s="7" t="s">
        <v>17</v>
      </c>
      <c r="G12297" s="7">
        <v>4013051</v>
      </c>
      <c r="H12297" s="7">
        <v>2467</v>
      </c>
      <c r="I12297" s="7">
        <v>18</v>
      </c>
      <c r="J12297" s="7">
        <v>0</v>
      </c>
      <c r="K12297" s="7" t="s">
        <v>18</v>
      </c>
      <c r="L12297" s="8">
        <v>39987.315405092595</v>
      </c>
      <c r="M12297" s="9" t="s">
        <v>19</v>
      </c>
      <c r="N12297" s="9" t="s">
        <v>20</v>
      </c>
      <c r="O12297" s="6" t="str">
        <f>HYPERLINK("https://pbs.twimg.com/profile_images/962471262747529216/Uo8lOkRJ_normal.jpg","View")</f>
        <v>View</v>
      </c>
      <c r="P12297" s="7"/>
    </row>
    <row r="12298" spans="1:16">
      <c r="A12298" s="3">
        <v>44162.182291666672</v>
      </c>
      <c r="B12298" s="4" t="str">
        <f>HYPERLINK("https://twitter.com/petrogustavo","@petrogustavo")</f>
        <v>@petrogustavo</v>
      </c>
      <c r="C12298" s="5" t="s">
        <v>16</v>
      </c>
      <c r="D12298" s="5" t="s">
        <v>11844</v>
      </c>
      <c r="E12298" s="6" t="str">
        <f>HYPERLINK("https://twitter.com/petrogustavo/status/1332094909902442496","1332094909902442496")</f>
        <v>1332094909902442496</v>
      </c>
      <c r="F12298" s="7" t="s">
        <v>17</v>
      </c>
      <c r="G12298" s="7">
        <v>4013051</v>
      </c>
      <c r="H12298" s="7">
        <v>2467</v>
      </c>
      <c r="I12298" s="7">
        <v>25</v>
      </c>
      <c r="J12298" s="7">
        <v>0</v>
      </c>
      <c r="K12298" s="7" t="s">
        <v>18</v>
      </c>
      <c r="L12298" s="8">
        <v>39987.315405092595</v>
      </c>
      <c r="M12298" s="9" t="s">
        <v>19</v>
      </c>
      <c r="N12298" s="9" t="s">
        <v>20</v>
      </c>
      <c r="O12298" s="6" t="str">
        <f>HYPERLINK("https://pbs.twimg.com/profile_images/962471262747529216/Uo8lOkRJ_normal.jpg","View")</f>
        <v>View</v>
      </c>
      <c r="P12298" s="7"/>
    </row>
    <row r="12299" spans="1:16">
      <c r="A12299" s="3">
        <v>44162.182708333334</v>
      </c>
      <c r="B12299" s="4" t="str">
        <f>HYPERLINK("https://twitter.com/petrogustavo","@petrogustavo")</f>
        <v>@petrogustavo</v>
      </c>
      <c r="C12299" s="5" t="s">
        <v>16</v>
      </c>
      <c r="D12299" s="5" t="s">
        <v>11845</v>
      </c>
      <c r="E12299" s="6" t="str">
        <f>HYPERLINK("https://twitter.com/petrogustavo/status/1332095061874577408","1332095061874577408")</f>
        <v>1332095061874577408</v>
      </c>
      <c r="F12299" s="7" t="s">
        <v>17</v>
      </c>
      <c r="G12299" s="7">
        <v>4013051</v>
      </c>
      <c r="H12299" s="7">
        <v>2467</v>
      </c>
      <c r="I12299" s="7">
        <v>28</v>
      </c>
      <c r="J12299" s="7">
        <v>0</v>
      </c>
      <c r="K12299" s="7" t="s">
        <v>18</v>
      </c>
      <c r="L12299" s="8">
        <v>39987.315405092595</v>
      </c>
      <c r="M12299" s="9" t="s">
        <v>19</v>
      </c>
      <c r="N12299" s="9" t="s">
        <v>20</v>
      </c>
      <c r="O12299" s="6" t="str">
        <f>HYPERLINK("https://pbs.twimg.com/profile_images/962471262747529216/Uo8lOkRJ_normal.jpg","View")</f>
        <v>View</v>
      </c>
      <c r="P12299" s="7"/>
    </row>
    <row r="12300" spans="1:16">
      <c r="A12300" s="3">
        <v>44162.184861111113</v>
      </c>
      <c r="B12300" s="4" t="str">
        <f>HYPERLINK("https://twitter.com/petrogustavo","@petrogustavo")</f>
        <v>@petrogustavo</v>
      </c>
      <c r="C12300" s="5" t="s">
        <v>16</v>
      </c>
      <c r="D12300" s="5" t="s">
        <v>11846</v>
      </c>
      <c r="E12300" s="6" t="str">
        <f>HYPERLINK("https://twitter.com/petrogustavo/status/1332095840610119680","1332095840610119680")</f>
        <v>1332095840610119680</v>
      </c>
      <c r="F12300" s="7" t="s">
        <v>17</v>
      </c>
      <c r="G12300" s="7">
        <v>4013051</v>
      </c>
      <c r="H12300" s="7">
        <v>2467</v>
      </c>
      <c r="I12300" s="7">
        <v>274</v>
      </c>
      <c r="J12300" s="7">
        <v>0</v>
      </c>
      <c r="K12300" s="7" t="s">
        <v>18</v>
      </c>
      <c r="L12300" s="8">
        <v>39987.315405092595</v>
      </c>
      <c r="M12300" s="9" t="s">
        <v>19</v>
      </c>
      <c r="N12300" s="9" t="s">
        <v>20</v>
      </c>
      <c r="O12300" s="6" t="str">
        <f>HYPERLINK("https://pbs.twimg.com/profile_images/962471262747529216/Uo8lOkRJ_normal.jpg","View")</f>
        <v>View</v>
      </c>
      <c r="P12300" s="7"/>
    </row>
    <row r="12301" spans="1:16">
      <c r="A12301" s="3">
        <v>44162.185115740736</v>
      </c>
      <c r="B12301" s="4" t="str">
        <f>HYPERLINK("https://twitter.com/petrogustavo","@petrogustavo")</f>
        <v>@petrogustavo</v>
      </c>
      <c r="C12301" s="5" t="s">
        <v>16</v>
      </c>
      <c r="D12301" s="5" t="s">
        <v>11847</v>
      </c>
      <c r="E12301" s="6" t="str">
        <f>HYPERLINK("https://twitter.com/petrogustavo/status/1332095933367115777","1332095933367115777")</f>
        <v>1332095933367115777</v>
      </c>
      <c r="F12301" s="7" t="s">
        <v>17</v>
      </c>
      <c r="G12301" s="7">
        <v>4013051</v>
      </c>
      <c r="H12301" s="7">
        <v>2467</v>
      </c>
      <c r="I12301" s="7">
        <v>39</v>
      </c>
      <c r="J12301" s="7">
        <v>0</v>
      </c>
      <c r="K12301" s="7" t="s">
        <v>18</v>
      </c>
      <c r="L12301" s="8">
        <v>39987.315405092595</v>
      </c>
      <c r="M12301" s="9" t="s">
        <v>19</v>
      </c>
      <c r="N12301" s="9" t="s">
        <v>20</v>
      </c>
      <c r="O12301" s="6" t="str">
        <f>HYPERLINK("https://pbs.twimg.com/profile_images/962471262747529216/Uo8lOkRJ_normal.jpg","View")</f>
        <v>View</v>
      </c>
      <c r="P12301" s="7"/>
    </row>
    <row r="12302" spans="1:16">
      <c r="A12302" s="3">
        <v>44162.186180555553</v>
      </c>
      <c r="B12302" s="4" t="str">
        <f>HYPERLINK("https://twitter.com/petrogustavo","@petrogustavo")</f>
        <v>@petrogustavo</v>
      </c>
      <c r="C12302" s="5" t="s">
        <v>16</v>
      </c>
      <c r="D12302" s="5" t="s">
        <v>11848</v>
      </c>
      <c r="E12302" s="6" t="str">
        <f>HYPERLINK("https://twitter.com/petrogustavo/status/1332096320706924545","1332096320706924545")</f>
        <v>1332096320706924545</v>
      </c>
      <c r="F12302" s="7" t="s">
        <v>17</v>
      </c>
      <c r="G12302" s="7">
        <v>4013051</v>
      </c>
      <c r="H12302" s="7">
        <v>2467</v>
      </c>
      <c r="I12302" s="7">
        <v>97</v>
      </c>
      <c r="J12302" s="7">
        <v>0</v>
      </c>
      <c r="K12302" s="7" t="s">
        <v>18</v>
      </c>
      <c r="L12302" s="8">
        <v>39987.315405092595</v>
      </c>
      <c r="M12302" s="9" t="s">
        <v>19</v>
      </c>
      <c r="N12302" s="9" t="s">
        <v>20</v>
      </c>
      <c r="O12302" s="6" t="str">
        <f>HYPERLINK("https://pbs.twimg.com/profile_images/962471262747529216/Uo8lOkRJ_normal.jpg","View")</f>
        <v>View</v>
      </c>
      <c r="P12302" s="7"/>
    </row>
    <row r="12303" spans="1:16">
      <c r="A12303" s="3">
        <v>44162.322858796295</v>
      </c>
      <c r="B12303" s="4" t="str">
        <f>HYPERLINK("https://twitter.com/petrogustavo","@petrogustavo")</f>
        <v>@petrogustavo</v>
      </c>
      <c r="C12303" s="5" t="s">
        <v>16</v>
      </c>
      <c r="D12303" s="5" t="s">
        <v>11849</v>
      </c>
      <c r="E12303" s="6" t="str">
        <f>HYPERLINK("https://twitter.com/petrogustavo/status/1332145851981029376","1332145851981029376")</f>
        <v>1332145851981029376</v>
      </c>
      <c r="F12303" s="7" t="s">
        <v>17</v>
      </c>
      <c r="G12303" s="7">
        <v>4013157</v>
      </c>
      <c r="H12303" s="7">
        <v>2467</v>
      </c>
      <c r="I12303" s="7">
        <v>300</v>
      </c>
      <c r="J12303" s="7">
        <v>0</v>
      </c>
      <c r="K12303" s="7" t="s">
        <v>18</v>
      </c>
      <c r="L12303" s="8">
        <v>39987.315405092595</v>
      </c>
      <c r="M12303" s="9" t="s">
        <v>19</v>
      </c>
      <c r="N12303" s="9" t="s">
        <v>20</v>
      </c>
      <c r="O12303" s="6" t="str">
        <f>HYPERLINK("https://pbs.twimg.com/profile_images/962471262747529216/Uo8lOkRJ_normal.jpg","View")</f>
        <v>View</v>
      </c>
      <c r="P12303" s="7"/>
    </row>
    <row r="12304" spans="1:16">
      <c r="A12304" s="3">
        <v>44162.323009259257</v>
      </c>
      <c r="B12304" s="4" t="str">
        <f>HYPERLINK("https://twitter.com/petrogustavo","@petrogustavo")</f>
        <v>@petrogustavo</v>
      </c>
      <c r="C12304" s="5" t="s">
        <v>16</v>
      </c>
      <c r="D12304" s="5" t="s">
        <v>11850</v>
      </c>
      <c r="E12304" s="6" t="str">
        <f>HYPERLINK("https://twitter.com/petrogustavo/status/1332145906343440384","1332145906343440384")</f>
        <v>1332145906343440384</v>
      </c>
      <c r="F12304" s="7" t="s">
        <v>17</v>
      </c>
      <c r="G12304" s="7">
        <v>4013157</v>
      </c>
      <c r="H12304" s="7">
        <v>2467</v>
      </c>
      <c r="I12304" s="7">
        <v>90</v>
      </c>
      <c r="J12304" s="7">
        <v>0</v>
      </c>
      <c r="K12304" s="7" t="s">
        <v>18</v>
      </c>
      <c r="L12304" s="8">
        <v>39987.315405092595</v>
      </c>
      <c r="M12304" s="9" t="s">
        <v>19</v>
      </c>
      <c r="N12304" s="9" t="s">
        <v>20</v>
      </c>
      <c r="O12304" s="6" t="str">
        <f>HYPERLINK("https://pbs.twimg.com/profile_images/962471262747529216/Uo8lOkRJ_normal.jpg","View")</f>
        <v>View</v>
      </c>
      <c r="P12304" s="7"/>
    </row>
    <row r="12305" spans="1:16">
      <c r="A12305" s="3">
        <v>44162.323275462964</v>
      </c>
      <c r="B12305" s="4" t="str">
        <f>HYPERLINK("https://twitter.com/petrogustavo","@petrogustavo")</f>
        <v>@petrogustavo</v>
      </c>
      <c r="C12305" s="5" t="s">
        <v>16</v>
      </c>
      <c r="D12305" s="5" t="s">
        <v>11851</v>
      </c>
      <c r="E12305" s="6" t="str">
        <f>HYPERLINK("https://twitter.com/petrogustavo/status/1332146000727773184","1332146000727773184")</f>
        <v>1332146000727773184</v>
      </c>
      <c r="F12305" s="7" t="s">
        <v>17</v>
      </c>
      <c r="G12305" s="7">
        <v>4013157</v>
      </c>
      <c r="H12305" s="7">
        <v>2467</v>
      </c>
      <c r="I12305" s="7">
        <v>17</v>
      </c>
      <c r="J12305" s="7">
        <v>0</v>
      </c>
      <c r="K12305" s="7" t="s">
        <v>18</v>
      </c>
      <c r="L12305" s="8">
        <v>39987.315405092595</v>
      </c>
      <c r="M12305" s="9" t="s">
        <v>19</v>
      </c>
      <c r="N12305" s="9" t="s">
        <v>20</v>
      </c>
      <c r="O12305" s="6" t="str">
        <f>HYPERLINK("https://pbs.twimg.com/profile_images/962471262747529216/Uo8lOkRJ_normal.jpg","View")</f>
        <v>View</v>
      </c>
      <c r="P12305" s="7"/>
    </row>
    <row r="12306" spans="1:16">
      <c r="A12306" s="3">
        <v>44162.323425925926</v>
      </c>
      <c r="B12306" s="4" t="str">
        <f>HYPERLINK("https://twitter.com/petrogustavo","@petrogustavo")</f>
        <v>@petrogustavo</v>
      </c>
      <c r="C12306" s="5" t="s">
        <v>16</v>
      </c>
      <c r="D12306" s="5" t="s">
        <v>11852</v>
      </c>
      <c r="E12306" s="6" t="str">
        <f>HYPERLINK("https://twitter.com/petrogustavo/status/1332146057921310721","1332146057921310721")</f>
        <v>1332146057921310721</v>
      </c>
      <c r="F12306" s="7" t="s">
        <v>17</v>
      </c>
      <c r="G12306" s="7">
        <v>4013157</v>
      </c>
      <c r="H12306" s="7">
        <v>2467</v>
      </c>
      <c r="I12306" s="7">
        <v>168</v>
      </c>
      <c r="J12306" s="7">
        <v>0</v>
      </c>
      <c r="K12306" s="7" t="s">
        <v>18</v>
      </c>
      <c r="L12306" s="8">
        <v>39987.315405092595</v>
      </c>
      <c r="M12306" s="9" t="s">
        <v>19</v>
      </c>
      <c r="N12306" s="9" t="s">
        <v>20</v>
      </c>
      <c r="O12306" s="6" t="str">
        <f>HYPERLINK("https://pbs.twimg.com/profile_images/962471262747529216/Uo8lOkRJ_normal.jpg","View")</f>
        <v>View</v>
      </c>
      <c r="P12306" s="7"/>
    </row>
    <row r="12307" spans="1:16">
      <c r="A12307" s="3">
        <v>44162.323541666672</v>
      </c>
      <c r="B12307" s="4" t="str">
        <f>HYPERLINK("https://twitter.com/petrogustavo","@petrogustavo")</f>
        <v>@petrogustavo</v>
      </c>
      <c r="C12307" s="5" t="s">
        <v>16</v>
      </c>
      <c r="D12307" s="5" t="s">
        <v>11853</v>
      </c>
      <c r="E12307" s="6" t="str">
        <f>HYPERLINK("https://twitter.com/petrogustavo/status/1332146099403038722","1332146099403038722")</f>
        <v>1332146099403038722</v>
      </c>
      <c r="F12307" s="7" t="s">
        <v>17</v>
      </c>
      <c r="G12307" s="7">
        <v>4013157</v>
      </c>
      <c r="H12307" s="7">
        <v>2467</v>
      </c>
      <c r="I12307" s="7">
        <v>226</v>
      </c>
      <c r="J12307" s="7">
        <v>0</v>
      </c>
      <c r="K12307" s="7" t="s">
        <v>18</v>
      </c>
      <c r="L12307" s="8">
        <v>39987.315405092595</v>
      </c>
      <c r="M12307" s="9" t="s">
        <v>19</v>
      </c>
      <c r="N12307" s="9" t="s">
        <v>20</v>
      </c>
      <c r="O12307" s="6" t="str">
        <f>HYPERLINK("https://pbs.twimg.com/profile_images/962471262747529216/Uo8lOkRJ_normal.jpg","View")</f>
        <v>View</v>
      </c>
      <c r="P12307" s="7"/>
    </row>
    <row r="12308" spans="1:16">
      <c r="A12308" s="3">
        <v>44162.323854166665</v>
      </c>
      <c r="B12308" s="4" t="str">
        <f>HYPERLINK("https://twitter.com/petrogustavo","@petrogustavo")</f>
        <v>@petrogustavo</v>
      </c>
      <c r="C12308" s="5" t="s">
        <v>16</v>
      </c>
      <c r="D12308" s="5" t="s">
        <v>11854</v>
      </c>
      <c r="E12308" s="6" t="str">
        <f>HYPERLINK("https://twitter.com/petrogustavo/status/1332146212879872001","1332146212879872001")</f>
        <v>1332146212879872001</v>
      </c>
      <c r="F12308" s="7" t="s">
        <v>17</v>
      </c>
      <c r="G12308" s="7">
        <v>4013157</v>
      </c>
      <c r="H12308" s="7">
        <v>2467</v>
      </c>
      <c r="I12308" s="7">
        <v>298</v>
      </c>
      <c r="J12308" s="7">
        <v>0</v>
      </c>
      <c r="K12308" s="7" t="s">
        <v>18</v>
      </c>
      <c r="L12308" s="8">
        <v>39987.315405092595</v>
      </c>
      <c r="M12308" s="9" t="s">
        <v>19</v>
      </c>
      <c r="N12308" s="9" t="s">
        <v>20</v>
      </c>
      <c r="O12308" s="6" t="str">
        <f>HYPERLINK("https://pbs.twimg.com/profile_images/962471262747529216/Uo8lOkRJ_normal.jpg","View")</f>
        <v>View</v>
      </c>
      <c r="P12308" s="7"/>
    </row>
    <row r="12309" spans="1:16">
      <c r="A12309" s="3">
        <v>44162.323993055557</v>
      </c>
      <c r="B12309" s="4" t="str">
        <f>HYPERLINK("https://twitter.com/petrogustavo","@petrogustavo")</f>
        <v>@petrogustavo</v>
      </c>
      <c r="C12309" s="5" t="s">
        <v>16</v>
      </c>
      <c r="D12309" s="5" t="s">
        <v>11855</v>
      </c>
      <c r="E12309" s="6" t="str">
        <f>HYPERLINK("https://twitter.com/petrogustavo/status/1332146261303189506","1332146261303189506")</f>
        <v>1332146261303189506</v>
      </c>
      <c r="F12309" s="7" t="s">
        <v>17</v>
      </c>
      <c r="G12309" s="7">
        <v>4013157</v>
      </c>
      <c r="H12309" s="7">
        <v>2467</v>
      </c>
      <c r="I12309" s="7">
        <v>92</v>
      </c>
      <c r="J12309" s="7">
        <v>0</v>
      </c>
      <c r="K12309" s="7" t="s">
        <v>18</v>
      </c>
      <c r="L12309" s="8">
        <v>39987.315405092595</v>
      </c>
      <c r="M12309" s="9" t="s">
        <v>19</v>
      </c>
      <c r="N12309" s="9" t="s">
        <v>20</v>
      </c>
      <c r="O12309" s="6" t="str">
        <f>HYPERLINK("https://pbs.twimg.com/profile_images/962471262747529216/Uo8lOkRJ_normal.jpg","View")</f>
        <v>View</v>
      </c>
      <c r="P12309" s="7"/>
    </row>
    <row r="12310" spans="1:16">
      <c r="A12310" s="3">
        <v>44162.324166666665</v>
      </c>
      <c r="B12310" s="4" t="str">
        <f>HYPERLINK("https://twitter.com/petrogustavo","@petrogustavo")</f>
        <v>@petrogustavo</v>
      </c>
      <c r="C12310" s="5" t="s">
        <v>16</v>
      </c>
      <c r="D12310" s="5" t="s">
        <v>11856</v>
      </c>
      <c r="E12310" s="6" t="str">
        <f>HYPERLINK("https://twitter.com/petrogustavo/status/1332146324318416896","1332146324318416896")</f>
        <v>1332146324318416896</v>
      </c>
      <c r="F12310" s="7" t="s">
        <v>17</v>
      </c>
      <c r="G12310" s="7">
        <v>4013157</v>
      </c>
      <c r="H12310" s="7">
        <v>2467</v>
      </c>
      <c r="I12310" s="7">
        <v>659</v>
      </c>
      <c r="J12310" s="7">
        <v>0</v>
      </c>
      <c r="K12310" s="7" t="s">
        <v>18</v>
      </c>
      <c r="L12310" s="8">
        <v>39987.315405092595</v>
      </c>
      <c r="M12310" s="9" t="s">
        <v>19</v>
      </c>
      <c r="N12310" s="9" t="s">
        <v>20</v>
      </c>
      <c r="O12310" s="6" t="str">
        <f>HYPERLINK("https://pbs.twimg.com/profile_images/962471262747529216/Uo8lOkRJ_normal.jpg","View")</f>
        <v>View</v>
      </c>
      <c r="P12310" s="7"/>
    </row>
    <row r="12311" spans="1:16">
      <c r="A12311" s="3">
        <v>44162.324444444443</v>
      </c>
      <c r="B12311" s="4" t="str">
        <f>HYPERLINK("https://twitter.com/petrogustavo","@petrogustavo")</f>
        <v>@petrogustavo</v>
      </c>
      <c r="C12311" s="5" t="s">
        <v>16</v>
      </c>
      <c r="D12311" s="5" t="s">
        <v>11857</v>
      </c>
      <c r="E12311" s="6" t="str">
        <f>HYPERLINK("https://twitter.com/petrogustavo/status/1332146424583245826","1332146424583245826")</f>
        <v>1332146424583245826</v>
      </c>
      <c r="F12311" s="7" t="s">
        <v>17</v>
      </c>
      <c r="G12311" s="7">
        <v>4013157</v>
      </c>
      <c r="H12311" s="7">
        <v>2467</v>
      </c>
      <c r="I12311" s="7">
        <v>51</v>
      </c>
      <c r="J12311" s="7">
        <v>0</v>
      </c>
      <c r="K12311" s="7" t="s">
        <v>18</v>
      </c>
      <c r="L12311" s="8">
        <v>39987.315405092595</v>
      </c>
      <c r="M12311" s="9" t="s">
        <v>19</v>
      </c>
      <c r="N12311" s="9" t="s">
        <v>20</v>
      </c>
      <c r="O12311" s="6" t="str">
        <f>HYPERLINK("https://pbs.twimg.com/profile_images/962471262747529216/Uo8lOkRJ_normal.jpg","View")</f>
        <v>View</v>
      </c>
      <c r="P12311" s="7"/>
    </row>
    <row r="12312" spans="1:16">
      <c r="A12312" s="3">
        <v>44162.324629629627</v>
      </c>
      <c r="B12312" s="4" t="str">
        <f>HYPERLINK("https://twitter.com/petrogustavo","@petrogustavo")</f>
        <v>@petrogustavo</v>
      </c>
      <c r="C12312" s="5" t="s">
        <v>16</v>
      </c>
      <c r="D12312" s="5" t="s">
        <v>11858</v>
      </c>
      <c r="E12312" s="6" t="str">
        <f>HYPERLINK("https://twitter.com/petrogustavo/status/1332146491104890880","1332146491104890880")</f>
        <v>1332146491104890880</v>
      </c>
      <c r="F12312" s="7" t="s">
        <v>17</v>
      </c>
      <c r="G12312" s="7">
        <v>4013150</v>
      </c>
      <c r="H12312" s="7">
        <v>2467</v>
      </c>
      <c r="I12312" s="7">
        <v>123</v>
      </c>
      <c r="J12312" s="7">
        <v>0</v>
      </c>
      <c r="K12312" s="7" t="s">
        <v>18</v>
      </c>
      <c r="L12312" s="8">
        <v>39987.315405092595</v>
      </c>
      <c r="M12312" s="9" t="s">
        <v>19</v>
      </c>
      <c r="N12312" s="9" t="s">
        <v>20</v>
      </c>
      <c r="O12312" s="6" t="str">
        <f>HYPERLINK("https://pbs.twimg.com/profile_images/962471262747529216/Uo8lOkRJ_normal.jpg","View")</f>
        <v>View</v>
      </c>
      <c r="P12312" s="7"/>
    </row>
    <row r="12313" spans="1:16">
      <c r="A12313" s="3">
        <v>44162.324837962966</v>
      </c>
      <c r="B12313" s="4" t="str">
        <f>HYPERLINK("https://twitter.com/petrogustavo","@petrogustavo")</f>
        <v>@petrogustavo</v>
      </c>
      <c r="C12313" s="5" t="s">
        <v>16</v>
      </c>
      <c r="D12313" s="5" t="s">
        <v>11859</v>
      </c>
      <c r="E12313" s="6" t="str">
        <f>HYPERLINK("https://twitter.com/petrogustavo/status/1332146568523341826","1332146568523341826")</f>
        <v>1332146568523341826</v>
      </c>
      <c r="F12313" s="7" t="s">
        <v>17</v>
      </c>
      <c r="G12313" s="7">
        <v>4013150</v>
      </c>
      <c r="H12313" s="7">
        <v>2467</v>
      </c>
      <c r="I12313" s="7">
        <v>524</v>
      </c>
      <c r="J12313" s="7">
        <v>0</v>
      </c>
      <c r="K12313" s="7" t="s">
        <v>18</v>
      </c>
      <c r="L12313" s="8">
        <v>39987.315405092595</v>
      </c>
      <c r="M12313" s="9" t="s">
        <v>19</v>
      </c>
      <c r="N12313" s="9" t="s">
        <v>20</v>
      </c>
      <c r="O12313" s="6" t="str">
        <f>HYPERLINK("https://pbs.twimg.com/profile_images/962471262747529216/Uo8lOkRJ_normal.jpg","View")</f>
        <v>View</v>
      </c>
      <c r="P12313" s="7"/>
    </row>
    <row r="12314" spans="1:16">
      <c r="A12314" s="3">
        <v>44162.324942129635</v>
      </c>
      <c r="B12314" s="4" t="str">
        <f>HYPERLINK("https://twitter.com/petrogustavo","@petrogustavo")</f>
        <v>@petrogustavo</v>
      </c>
      <c r="C12314" s="5" t="s">
        <v>16</v>
      </c>
      <c r="D12314" s="5" t="s">
        <v>11860</v>
      </c>
      <c r="E12314" s="6" t="str">
        <f>HYPERLINK("https://twitter.com/petrogustavo/status/1332146606792171520","1332146606792171520")</f>
        <v>1332146606792171520</v>
      </c>
      <c r="F12314" s="7" t="s">
        <v>17</v>
      </c>
      <c r="G12314" s="7">
        <v>4013150</v>
      </c>
      <c r="H12314" s="7">
        <v>2467</v>
      </c>
      <c r="I12314" s="7">
        <v>715</v>
      </c>
      <c r="J12314" s="7">
        <v>0</v>
      </c>
      <c r="K12314" s="7" t="s">
        <v>18</v>
      </c>
      <c r="L12314" s="8">
        <v>39987.315405092595</v>
      </c>
      <c r="M12314" s="9" t="s">
        <v>19</v>
      </c>
      <c r="N12314" s="9" t="s">
        <v>20</v>
      </c>
      <c r="O12314" s="6" t="str">
        <f>HYPERLINK("https://pbs.twimg.com/profile_images/962471262747529216/Uo8lOkRJ_normal.jpg","View")</f>
        <v>View</v>
      </c>
      <c r="P12314" s="7"/>
    </row>
    <row r="12315" spans="1:16">
      <c r="A12315" s="3">
        <v>44162.325046296297</v>
      </c>
      <c r="B12315" s="4" t="str">
        <f>HYPERLINK("https://twitter.com/petrogustavo","@petrogustavo")</f>
        <v>@petrogustavo</v>
      </c>
      <c r="C12315" s="5" t="s">
        <v>16</v>
      </c>
      <c r="D12315" s="5" t="s">
        <v>11861</v>
      </c>
      <c r="E12315" s="6" t="str">
        <f>HYPERLINK("https://twitter.com/petrogustavo/status/1332146642565345286","1332146642565345286")</f>
        <v>1332146642565345286</v>
      </c>
      <c r="F12315" s="7" t="s">
        <v>17</v>
      </c>
      <c r="G12315" s="7">
        <v>4013150</v>
      </c>
      <c r="H12315" s="7">
        <v>2467</v>
      </c>
      <c r="I12315" s="7">
        <v>40</v>
      </c>
      <c r="J12315" s="7">
        <v>0</v>
      </c>
      <c r="K12315" s="7" t="s">
        <v>18</v>
      </c>
      <c r="L12315" s="8">
        <v>39987.315405092595</v>
      </c>
      <c r="M12315" s="9" t="s">
        <v>19</v>
      </c>
      <c r="N12315" s="9" t="s">
        <v>20</v>
      </c>
      <c r="O12315" s="6" t="str">
        <f>HYPERLINK("https://pbs.twimg.com/profile_images/962471262747529216/Uo8lOkRJ_normal.jpg","View")</f>
        <v>View</v>
      </c>
      <c r="P12315" s="7"/>
    </row>
    <row r="12316" spans="1:16">
      <c r="A12316" s="3">
        <v>44162.325613425928</v>
      </c>
      <c r="B12316" s="4" t="str">
        <f>HYPERLINK("https://twitter.com/petrogustavo","@petrogustavo")</f>
        <v>@petrogustavo</v>
      </c>
      <c r="C12316" s="5" t="s">
        <v>16</v>
      </c>
      <c r="D12316" s="5" t="s">
        <v>11862</v>
      </c>
      <c r="E12316" s="6" t="str">
        <f>HYPERLINK("https://twitter.com/petrogustavo/status/1332146850007289857","1332146850007289857")</f>
        <v>1332146850007289857</v>
      </c>
      <c r="F12316" s="7" t="s">
        <v>17</v>
      </c>
      <c r="G12316" s="7">
        <v>4013150</v>
      </c>
      <c r="H12316" s="7">
        <v>2467</v>
      </c>
      <c r="I12316" s="7">
        <v>52</v>
      </c>
      <c r="J12316" s="7">
        <v>0</v>
      </c>
      <c r="K12316" s="7" t="s">
        <v>18</v>
      </c>
      <c r="L12316" s="8">
        <v>39987.315405092595</v>
      </c>
      <c r="M12316" s="9" t="s">
        <v>19</v>
      </c>
      <c r="N12316" s="9" t="s">
        <v>20</v>
      </c>
      <c r="O12316" s="6" t="str">
        <f>HYPERLINK("https://pbs.twimg.com/profile_images/962471262747529216/Uo8lOkRJ_normal.jpg","View")</f>
        <v>View</v>
      </c>
      <c r="P12316" s="7"/>
    </row>
    <row r="12317" spans="1:16">
      <c r="A12317" s="3">
        <v>44162.326932870375</v>
      </c>
      <c r="B12317" s="4" t="str">
        <f>HYPERLINK("https://twitter.com/petrogustavo","@petrogustavo")</f>
        <v>@petrogustavo</v>
      </c>
      <c r="C12317" s="5" t="s">
        <v>16</v>
      </c>
      <c r="D12317" s="5" t="s">
        <v>11863</v>
      </c>
      <c r="E12317" s="6" t="str">
        <f>HYPERLINK("https://twitter.com/petrogustavo/status/1332147326861905922","1332147326861905922")</f>
        <v>1332147326861905922</v>
      </c>
      <c r="F12317" s="7" t="s">
        <v>17</v>
      </c>
      <c r="G12317" s="7">
        <v>4013150</v>
      </c>
      <c r="H12317" s="7">
        <v>2467</v>
      </c>
      <c r="I12317" s="7">
        <v>144</v>
      </c>
      <c r="J12317" s="7">
        <v>0</v>
      </c>
      <c r="K12317" s="7" t="s">
        <v>18</v>
      </c>
      <c r="L12317" s="8">
        <v>39987.315405092595</v>
      </c>
      <c r="M12317" s="9" t="s">
        <v>19</v>
      </c>
      <c r="N12317" s="9" t="s">
        <v>20</v>
      </c>
      <c r="O12317" s="6" t="str">
        <f>HYPERLINK("https://pbs.twimg.com/profile_images/962471262747529216/Uo8lOkRJ_normal.jpg","View")</f>
        <v>View</v>
      </c>
      <c r="P12317" s="7"/>
    </row>
    <row r="12318" spans="1:16">
      <c r="A12318" s="3">
        <v>44162.327650462961</v>
      </c>
      <c r="B12318" s="4" t="str">
        <f>HYPERLINK("https://twitter.com/petrogustavo","@petrogustavo")</f>
        <v>@petrogustavo</v>
      </c>
      <c r="C12318" s="5" t="s">
        <v>16</v>
      </c>
      <c r="D12318" s="5" t="s">
        <v>11864</v>
      </c>
      <c r="E12318" s="6" t="str">
        <f>HYPERLINK("https://twitter.com/petrogustavo/status/1332147586304798720","1332147586304798720")</f>
        <v>1332147586304798720</v>
      </c>
      <c r="F12318" s="7" t="s">
        <v>17</v>
      </c>
      <c r="G12318" s="7">
        <v>4013150</v>
      </c>
      <c r="H12318" s="7">
        <v>2467</v>
      </c>
      <c r="I12318" s="7">
        <v>69</v>
      </c>
      <c r="J12318" s="7">
        <v>0</v>
      </c>
      <c r="K12318" s="7" t="s">
        <v>18</v>
      </c>
      <c r="L12318" s="8">
        <v>39987.315405092595</v>
      </c>
      <c r="M12318" s="9" t="s">
        <v>19</v>
      </c>
      <c r="N12318" s="9" t="s">
        <v>20</v>
      </c>
      <c r="O12318" s="6" t="str">
        <f>HYPERLINK("https://pbs.twimg.com/profile_images/962471262747529216/Uo8lOkRJ_normal.jpg","View")</f>
        <v>View</v>
      </c>
      <c r="P12318" s="7"/>
    </row>
    <row r="12319" spans="1:16">
      <c r="A12319" s="3">
        <v>44162.328078703707</v>
      </c>
      <c r="B12319" s="4" t="str">
        <f>HYPERLINK("https://twitter.com/petrogustavo","@petrogustavo")</f>
        <v>@petrogustavo</v>
      </c>
      <c r="C12319" s="5" t="s">
        <v>16</v>
      </c>
      <c r="D12319" s="5" t="s">
        <v>11865</v>
      </c>
      <c r="E12319" s="6" t="str">
        <f>HYPERLINK("https://twitter.com/petrogustavo/status/1332147740298637312","1332147740298637312")</f>
        <v>1332147740298637312</v>
      </c>
      <c r="F12319" s="7" t="s">
        <v>17</v>
      </c>
      <c r="G12319" s="7">
        <v>4013150</v>
      </c>
      <c r="H12319" s="7">
        <v>2467</v>
      </c>
      <c r="I12319" s="7">
        <v>106</v>
      </c>
      <c r="J12319" s="7">
        <v>0</v>
      </c>
      <c r="K12319" s="7" t="s">
        <v>18</v>
      </c>
      <c r="L12319" s="8">
        <v>39987.315405092595</v>
      </c>
      <c r="M12319" s="9" t="s">
        <v>19</v>
      </c>
      <c r="N12319" s="9" t="s">
        <v>20</v>
      </c>
      <c r="O12319" s="6" t="str">
        <f>HYPERLINK("https://pbs.twimg.com/profile_images/962471262747529216/Uo8lOkRJ_normal.jpg","View")</f>
        <v>View</v>
      </c>
      <c r="P12319" s="7"/>
    </row>
    <row r="12320" spans="1:16">
      <c r="A12320" s="3">
        <v>44162.328217592592</v>
      </c>
      <c r="B12320" s="4" t="str">
        <f>HYPERLINK("https://twitter.com/petrogustavo","@petrogustavo")</f>
        <v>@petrogustavo</v>
      </c>
      <c r="C12320" s="5" t="s">
        <v>16</v>
      </c>
      <c r="D12320" s="5" t="s">
        <v>11866</v>
      </c>
      <c r="E12320" s="6" t="str">
        <f>HYPERLINK("https://twitter.com/petrogustavo/status/1332147792958152710","1332147792958152710")</f>
        <v>1332147792958152710</v>
      </c>
      <c r="F12320" s="7" t="s">
        <v>17</v>
      </c>
      <c r="G12320" s="7">
        <v>4013150</v>
      </c>
      <c r="H12320" s="7">
        <v>2467</v>
      </c>
      <c r="I12320" s="7">
        <v>33</v>
      </c>
      <c r="J12320" s="7">
        <v>0</v>
      </c>
      <c r="K12320" s="7" t="s">
        <v>18</v>
      </c>
      <c r="L12320" s="8">
        <v>39987.315405092595</v>
      </c>
      <c r="M12320" s="9" t="s">
        <v>19</v>
      </c>
      <c r="N12320" s="9" t="s">
        <v>20</v>
      </c>
      <c r="O12320" s="6" t="str">
        <f>HYPERLINK("https://pbs.twimg.com/profile_images/962471262747529216/Uo8lOkRJ_normal.jpg","View")</f>
        <v>View</v>
      </c>
      <c r="P12320" s="7"/>
    </row>
    <row r="12321" spans="1:16">
      <c r="A12321" s="3">
        <v>44162.331261574072</v>
      </c>
      <c r="B12321" s="4" t="str">
        <f>HYPERLINK("https://twitter.com/petrogustavo","@petrogustavo")</f>
        <v>@petrogustavo</v>
      </c>
      <c r="C12321" s="5" t="s">
        <v>16</v>
      </c>
      <c r="D12321" s="5" t="s">
        <v>11867</v>
      </c>
      <c r="E12321" s="6" t="str">
        <f>HYPERLINK("https://twitter.com/petrogustavo/status/1332148897058230273","1332148897058230273")</f>
        <v>1332148897058230273</v>
      </c>
      <c r="F12321" s="7" t="s">
        <v>17</v>
      </c>
      <c r="G12321" s="7">
        <v>4013150</v>
      </c>
      <c r="H12321" s="7">
        <v>2467</v>
      </c>
      <c r="I12321" s="7">
        <v>32</v>
      </c>
      <c r="J12321" s="7">
        <v>0</v>
      </c>
      <c r="K12321" s="7" t="s">
        <v>18</v>
      </c>
      <c r="L12321" s="8">
        <v>39987.315405092595</v>
      </c>
      <c r="M12321" s="9" t="s">
        <v>19</v>
      </c>
      <c r="N12321" s="9" t="s">
        <v>20</v>
      </c>
      <c r="O12321" s="6" t="str">
        <f>HYPERLINK("https://pbs.twimg.com/profile_images/962471262747529216/Uo8lOkRJ_normal.jpg","View")</f>
        <v>View</v>
      </c>
      <c r="P12321" s="7"/>
    </row>
    <row r="12322" spans="1:16">
      <c r="A12322" s="3">
        <v>44162.334803240738</v>
      </c>
      <c r="B12322" s="4" t="str">
        <f>HYPERLINK("https://twitter.com/petrogustavo","@petrogustavo")</f>
        <v>@petrogustavo</v>
      </c>
      <c r="C12322" s="5" t="s">
        <v>16</v>
      </c>
      <c r="D12322" s="5" t="s">
        <v>11868</v>
      </c>
      <c r="E12322" s="6" t="str">
        <f>HYPERLINK("https://twitter.com/petrogustavo/status/1332150178963468289","1332150178963468289")</f>
        <v>1332150178963468289</v>
      </c>
      <c r="F12322" s="7" t="s">
        <v>17</v>
      </c>
      <c r="G12322" s="7">
        <v>4013150</v>
      </c>
      <c r="H12322" s="7">
        <v>2467</v>
      </c>
      <c r="I12322" s="7">
        <v>1689</v>
      </c>
      <c r="J12322" s="7">
        <v>0</v>
      </c>
      <c r="K12322" s="7" t="s">
        <v>18</v>
      </c>
      <c r="L12322" s="8">
        <v>39987.315405092595</v>
      </c>
      <c r="M12322" s="9" t="s">
        <v>19</v>
      </c>
      <c r="N12322" s="9" t="s">
        <v>20</v>
      </c>
      <c r="O12322" s="6" t="str">
        <f>HYPERLINK("https://pbs.twimg.com/profile_images/962471262747529216/Uo8lOkRJ_normal.jpg","View")</f>
        <v>View</v>
      </c>
      <c r="P12322" s="7"/>
    </row>
    <row r="12323" spans="1:16">
      <c r="A12323" s="3">
        <v>44162.336608796293</v>
      </c>
      <c r="B12323" s="4" t="str">
        <f>HYPERLINK("https://twitter.com/petrogustavo","@petrogustavo")</f>
        <v>@petrogustavo</v>
      </c>
      <c r="C12323" s="5" t="s">
        <v>16</v>
      </c>
      <c r="D12323" s="5" t="s">
        <v>11869</v>
      </c>
      <c r="E12323" s="6" t="str">
        <f>HYPERLINK("https://twitter.com/petrogustavo/status/1332150831882379269","1332150831882379269")</f>
        <v>1332150831882379269</v>
      </c>
      <c r="F12323" s="7" t="s">
        <v>17</v>
      </c>
      <c r="G12323" s="7">
        <v>4013150</v>
      </c>
      <c r="H12323" s="7">
        <v>2467</v>
      </c>
      <c r="I12323" s="7">
        <v>394</v>
      </c>
      <c r="J12323" s="7">
        <v>1653</v>
      </c>
      <c r="K12323" s="7" t="s">
        <v>18</v>
      </c>
      <c r="L12323" s="8">
        <v>39987.315405092595</v>
      </c>
      <c r="M12323" s="9" t="s">
        <v>19</v>
      </c>
      <c r="N12323" s="9" t="s">
        <v>20</v>
      </c>
      <c r="O12323" s="6" t="str">
        <f>HYPERLINK("https://pbs.twimg.com/profile_images/962471262747529216/Uo8lOkRJ_normal.jpg","View")</f>
        <v>View</v>
      </c>
      <c r="P12323" s="7"/>
    </row>
    <row r="12324" spans="1:16">
      <c r="A12324" s="3">
        <v>44162.355300925927</v>
      </c>
      <c r="B12324" s="4" t="str">
        <f>HYPERLINK("https://twitter.com/petrogustavo","@petrogustavo")</f>
        <v>@petrogustavo</v>
      </c>
      <c r="C12324" s="5" t="s">
        <v>16</v>
      </c>
      <c r="D12324" s="5" t="s">
        <v>11870</v>
      </c>
      <c r="E12324" s="6" t="str">
        <f>HYPERLINK("https://twitter.com/petrogustavo/status/1332157605725265922","1332157605725265922")</f>
        <v>1332157605725265922</v>
      </c>
      <c r="F12324" s="7" t="s">
        <v>17</v>
      </c>
      <c r="G12324" s="7">
        <v>4013171</v>
      </c>
      <c r="H12324" s="7">
        <v>2467</v>
      </c>
      <c r="I12324" s="7">
        <v>831</v>
      </c>
      <c r="J12324" s="7">
        <v>0</v>
      </c>
      <c r="K12324" s="7" t="s">
        <v>18</v>
      </c>
      <c r="L12324" s="8">
        <v>39987.315405092595</v>
      </c>
      <c r="M12324" s="9" t="s">
        <v>19</v>
      </c>
      <c r="N12324" s="9" t="s">
        <v>20</v>
      </c>
      <c r="O12324" s="6" t="str">
        <f>HYPERLINK("https://pbs.twimg.com/profile_images/962471262747529216/Uo8lOkRJ_normal.jpg","View")</f>
        <v>View</v>
      </c>
      <c r="P12324" s="7"/>
    </row>
    <row r="12325" spans="1:16">
      <c r="A12325" s="3">
        <v>44162.700497685189</v>
      </c>
      <c r="B12325" s="4" t="str">
        <f>HYPERLINK("https://twitter.com/petrogustavo","@petrogustavo")</f>
        <v>@petrogustavo</v>
      </c>
      <c r="C12325" s="5" t="s">
        <v>16</v>
      </c>
      <c r="D12325" s="5" t="s">
        <v>11871</v>
      </c>
      <c r="E12325" s="6" t="str">
        <f>HYPERLINK("https://twitter.com/petrogustavo/status/1332282703757119489","1332282703757119489")</f>
        <v>1332282703757119489</v>
      </c>
      <c r="F12325" s="7" t="s">
        <v>17</v>
      </c>
      <c r="G12325" s="7">
        <v>4013240</v>
      </c>
      <c r="H12325" s="7">
        <v>2468</v>
      </c>
      <c r="I12325" s="7">
        <v>50</v>
      </c>
      <c r="J12325" s="7">
        <v>0</v>
      </c>
      <c r="K12325" s="7" t="s">
        <v>18</v>
      </c>
      <c r="L12325" s="8">
        <v>39987.315405092595</v>
      </c>
      <c r="M12325" s="9" t="s">
        <v>19</v>
      </c>
      <c r="N12325" s="9" t="s">
        <v>20</v>
      </c>
      <c r="O12325" s="6" t="str">
        <f>HYPERLINK("https://pbs.twimg.com/profile_images/962471262747529216/Uo8lOkRJ_normal.jpg","View")</f>
        <v>View</v>
      </c>
      <c r="P12325" s="7"/>
    </row>
    <row r="12326" spans="1:16">
      <c r="A12326" s="3">
        <v>44162.701840277776</v>
      </c>
      <c r="B12326" s="4" t="str">
        <f>HYPERLINK("https://twitter.com/petrogustavo","@petrogustavo")</f>
        <v>@petrogustavo</v>
      </c>
      <c r="C12326" s="5" t="s">
        <v>16</v>
      </c>
      <c r="D12326" s="5" t="s">
        <v>11872</v>
      </c>
      <c r="E12326" s="6" t="str">
        <f>HYPERLINK("https://twitter.com/petrogustavo/status/1332283190690639873","1332283190690639873")</f>
        <v>1332283190690639873</v>
      </c>
      <c r="F12326" s="7" t="s">
        <v>17</v>
      </c>
      <c r="G12326" s="7">
        <v>4013240</v>
      </c>
      <c r="H12326" s="7">
        <v>2468</v>
      </c>
      <c r="I12326" s="7">
        <v>255</v>
      </c>
      <c r="J12326" s="7">
        <v>773</v>
      </c>
      <c r="K12326" s="7" t="s">
        <v>18</v>
      </c>
      <c r="L12326" s="8">
        <v>39987.315405092595</v>
      </c>
      <c r="M12326" s="9" t="s">
        <v>19</v>
      </c>
      <c r="N12326" s="9" t="s">
        <v>20</v>
      </c>
      <c r="O12326" s="6" t="str">
        <f>HYPERLINK("https://pbs.twimg.com/profile_images/962471262747529216/Uo8lOkRJ_normal.jpg","View")</f>
        <v>View</v>
      </c>
      <c r="P12326" s="7"/>
    </row>
    <row r="12327" spans="1:16">
      <c r="A12327" s="3">
        <v>44162.707349537042</v>
      </c>
      <c r="B12327" s="4" t="str">
        <f>HYPERLINK("https://twitter.com/petrogustavo","@petrogustavo")</f>
        <v>@petrogustavo</v>
      </c>
      <c r="C12327" s="5" t="s">
        <v>16</v>
      </c>
      <c r="D12327" s="5" t="s">
        <v>11873</v>
      </c>
      <c r="E12327" s="6" t="str">
        <f>HYPERLINK("https://twitter.com/petrogustavo/status/1332285183559667713","1332285183559667713")</f>
        <v>1332285183559667713</v>
      </c>
      <c r="F12327" s="7" t="s">
        <v>17</v>
      </c>
      <c r="G12327" s="7">
        <v>4013240</v>
      </c>
      <c r="H12327" s="7">
        <v>2468</v>
      </c>
      <c r="I12327" s="7">
        <v>56</v>
      </c>
      <c r="J12327" s="7">
        <v>191</v>
      </c>
      <c r="K12327" s="7" t="s">
        <v>18</v>
      </c>
      <c r="L12327" s="8">
        <v>39987.315405092595</v>
      </c>
      <c r="M12327" s="9" t="s">
        <v>19</v>
      </c>
      <c r="N12327" s="9" t="s">
        <v>20</v>
      </c>
      <c r="O12327" s="6" t="str">
        <f>HYPERLINK("https://pbs.twimg.com/profile_images/962471262747529216/Uo8lOkRJ_normal.jpg","View")</f>
        <v>View</v>
      </c>
      <c r="P12327" s="7"/>
    </row>
    <row r="12328" spans="1:16">
      <c r="A12328" s="3">
        <v>44162.709814814814</v>
      </c>
      <c r="B12328" s="4" t="str">
        <f>HYPERLINK("https://twitter.com/petrogustavo","@petrogustavo")</f>
        <v>@petrogustavo</v>
      </c>
      <c r="C12328" s="5" t="s">
        <v>16</v>
      </c>
      <c r="D12328" s="5" t="s">
        <v>11874</v>
      </c>
      <c r="E12328" s="6" t="str">
        <f>HYPERLINK("https://twitter.com/petrogustavo/status/1332286080406745088","1332286080406745088")</f>
        <v>1332286080406745088</v>
      </c>
      <c r="F12328" s="7" t="s">
        <v>17</v>
      </c>
      <c r="G12328" s="7">
        <v>4013240</v>
      </c>
      <c r="H12328" s="7">
        <v>2468</v>
      </c>
      <c r="I12328" s="7">
        <v>55</v>
      </c>
      <c r="J12328" s="7">
        <v>149</v>
      </c>
      <c r="K12328" s="7" t="s">
        <v>18</v>
      </c>
      <c r="L12328" s="8">
        <v>39987.315405092595</v>
      </c>
      <c r="M12328" s="9" t="s">
        <v>19</v>
      </c>
      <c r="N12328" s="9" t="s">
        <v>20</v>
      </c>
      <c r="O12328" s="6" t="str">
        <f>HYPERLINK("https://pbs.twimg.com/profile_images/962471262747529216/Uo8lOkRJ_normal.jpg","View")</f>
        <v>View</v>
      </c>
      <c r="P12328" s="7"/>
    </row>
    <row r="12329" spans="1:16">
      <c r="A12329" s="3">
        <v>44162.711388888885</v>
      </c>
      <c r="B12329" s="4" t="str">
        <f>HYPERLINK("https://twitter.com/petrogustavo","@petrogustavo")</f>
        <v>@petrogustavo</v>
      </c>
      <c r="C12329" s="5" t="s">
        <v>16</v>
      </c>
      <c r="D12329" s="5" t="s">
        <v>11875</v>
      </c>
      <c r="E12329" s="6" t="str">
        <f>HYPERLINK("https://twitter.com/petrogustavo/status/1332286650026762240","1332286650026762240")</f>
        <v>1332286650026762240</v>
      </c>
      <c r="F12329" s="7" t="s">
        <v>17</v>
      </c>
      <c r="G12329" s="7">
        <v>4013240</v>
      </c>
      <c r="H12329" s="7">
        <v>2468</v>
      </c>
      <c r="I12329" s="7">
        <v>49</v>
      </c>
      <c r="J12329" s="7">
        <v>138</v>
      </c>
      <c r="K12329" s="7" t="s">
        <v>18</v>
      </c>
      <c r="L12329" s="8">
        <v>39987.315405092595</v>
      </c>
      <c r="M12329" s="9" t="s">
        <v>19</v>
      </c>
      <c r="N12329" s="9" t="s">
        <v>20</v>
      </c>
      <c r="O12329" s="6" t="str">
        <f>HYPERLINK("https://pbs.twimg.com/profile_images/962471262747529216/Uo8lOkRJ_normal.jpg","View")</f>
        <v>View</v>
      </c>
      <c r="P12329" s="7"/>
    </row>
    <row r="12330" spans="1:16">
      <c r="A12330" s="3">
        <v>44162.713136574079</v>
      </c>
      <c r="B12330" s="4" t="str">
        <f>HYPERLINK("https://twitter.com/petrogustavo","@petrogustavo")</f>
        <v>@petrogustavo</v>
      </c>
      <c r="C12330" s="5" t="s">
        <v>16</v>
      </c>
      <c r="D12330" s="5" t="s">
        <v>11876</v>
      </c>
      <c r="E12330" s="6" t="str">
        <f>HYPERLINK("https://twitter.com/petrogustavo/status/1332287284373311488","1332287284373311488")</f>
        <v>1332287284373311488</v>
      </c>
      <c r="F12330" s="7" t="s">
        <v>17</v>
      </c>
      <c r="G12330" s="7">
        <v>4013240</v>
      </c>
      <c r="H12330" s="7">
        <v>2468</v>
      </c>
      <c r="I12330" s="7">
        <v>54</v>
      </c>
      <c r="J12330" s="7">
        <v>175</v>
      </c>
      <c r="K12330" s="7" t="s">
        <v>18</v>
      </c>
      <c r="L12330" s="8">
        <v>39987.315405092595</v>
      </c>
      <c r="M12330" s="9" t="s">
        <v>19</v>
      </c>
      <c r="N12330" s="9" t="s">
        <v>20</v>
      </c>
      <c r="O12330" s="6" t="str">
        <f>HYPERLINK("https://pbs.twimg.com/profile_images/962471262747529216/Uo8lOkRJ_normal.jpg","View")</f>
        <v>View</v>
      </c>
      <c r="P12330" s="7"/>
    </row>
    <row r="12331" spans="1:16">
      <c r="A12331" s="3">
        <v>44162.71539351852</v>
      </c>
      <c r="B12331" s="4" t="str">
        <f>HYPERLINK("https://twitter.com/petrogustavo","@petrogustavo")</f>
        <v>@petrogustavo</v>
      </c>
      <c r="C12331" s="5" t="s">
        <v>16</v>
      </c>
      <c r="D12331" s="5" t="s">
        <v>11877</v>
      </c>
      <c r="E12331" s="6" t="str">
        <f>HYPERLINK("https://twitter.com/petrogustavo/status/1332288099464974337","1332288099464974337")</f>
        <v>1332288099464974337</v>
      </c>
      <c r="F12331" s="7" t="s">
        <v>17</v>
      </c>
      <c r="G12331" s="7">
        <v>4013240</v>
      </c>
      <c r="H12331" s="7">
        <v>2468</v>
      </c>
      <c r="I12331" s="7">
        <v>35</v>
      </c>
      <c r="J12331" s="7">
        <v>96</v>
      </c>
      <c r="K12331" s="7" t="s">
        <v>18</v>
      </c>
      <c r="L12331" s="8">
        <v>39987.315405092595</v>
      </c>
      <c r="M12331" s="9" t="s">
        <v>19</v>
      </c>
      <c r="N12331" s="9" t="s">
        <v>20</v>
      </c>
      <c r="O12331" s="6" t="str">
        <f>HYPERLINK("https://pbs.twimg.com/profile_images/962471262747529216/Uo8lOkRJ_normal.jpg","View")</f>
        <v>View</v>
      </c>
      <c r="P12331" s="7"/>
    </row>
    <row r="12332" spans="1:16">
      <c r="A12332" s="3">
        <v>44162.720034722224</v>
      </c>
      <c r="B12332" s="4" t="str">
        <f>HYPERLINK("https://twitter.com/petrogustavo","@petrogustavo")</f>
        <v>@petrogustavo</v>
      </c>
      <c r="C12332" s="5" t="s">
        <v>16</v>
      </c>
      <c r="D12332" s="5" t="s">
        <v>11878</v>
      </c>
      <c r="E12332" s="6" t="str">
        <f>HYPERLINK("https://twitter.com/petrogustavo/status/1332289782362365954","1332289782362365954")</f>
        <v>1332289782362365954</v>
      </c>
      <c r="F12332" s="7" t="s">
        <v>17</v>
      </c>
      <c r="G12332" s="7">
        <v>4013240</v>
      </c>
      <c r="H12332" s="7">
        <v>2468</v>
      </c>
      <c r="I12332" s="7">
        <v>3</v>
      </c>
      <c r="J12332" s="7">
        <v>5</v>
      </c>
      <c r="K12332" s="7" t="s">
        <v>18</v>
      </c>
      <c r="L12332" s="8">
        <v>39987.315405092595</v>
      </c>
      <c r="M12332" s="9" t="s">
        <v>19</v>
      </c>
      <c r="N12332" s="9" t="s">
        <v>20</v>
      </c>
      <c r="O12332" s="6" t="str">
        <f>HYPERLINK("https://pbs.twimg.com/profile_images/962471262747529216/Uo8lOkRJ_normal.jpg","View")</f>
        <v>View</v>
      </c>
      <c r="P12332" s="7"/>
    </row>
    <row r="12333" spans="1:16">
      <c r="A12333" s="3">
        <v>44162.721898148149</v>
      </c>
      <c r="B12333" s="4" t="str">
        <f>HYPERLINK("https://twitter.com/petrogustavo","@petrogustavo")</f>
        <v>@petrogustavo</v>
      </c>
      <c r="C12333" s="5" t="s">
        <v>16</v>
      </c>
      <c r="D12333" s="5" t="s">
        <v>11879</v>
      </c>
      <c r="E12333" s="6" t="str">
        <f>HYPERLINK("https://twitter.com/petrogustavo/status/1332290456198275072","1332290456198275072")</f>
        <v>1332290456198275072</v>
      </c>
      <c r="F12333" s="7" t="s">
        <v>17</v>
      </c>
      <c r="G12333" s="7">
        <v>4013247</v>
      </c>
      <c r="H12333" s="7">
        <v>2468</v>
      </c>
      <c r="I12333" s="7">
        <v>72</v>
      </c>
      <c r="J12333" s="7">
        <v>253</v>
      </c>
      <c r="K12333" s="7" t="s">
        <v>18</v>
      </c>
      <c r="L12333" s="8">
        <v>39987.315405092595</v>
      </c>
      <c r="M12333" s="9" t="s">
        <v>19</v>
      </c>
      <c r="N12333" s="9" t="s">
        <v>20</v>
      </c>
      <c r="O12333" s="6" t="str">
        <f>HYPERLINK("https://pbs.twimg.com/profile_images/962471262747529216/Uo8lOkRJ_normal.jpg","View")</f>
        <v>View</v>
      </c>
      <c r="P12333" s="7"/>
    </row>
    <row r="12334" spans="1:16">
      <c r="A12334" s="3">
        <v>44162.725868055553</v>
      </c>
      <c r="B12334" s="4" t="str">
        <f>HYPERLINK("https://twitter.com/petrogustavo","@petrogustavo")</f>
        <v>@petrogustavo</v>
      </c>
      <c r="C12334" s="5" t="s">
        <v>16</v>
      </c>
      <c r="D12334" s="5" t="s">
        <v>11880</v>
      </c>
      <c r="E12334" s="6" t="str">
        <f>HYPERLINK("https://twitter.com/petrogustavo/status/1332291897969283074","1332291897969283074")</f>
        <v>1332291897969283074</v>
      </c>
      <c r="F12334" s="7" t="s">
        <v>17</v>
      </c>
      <c r="G12334" s="7">
        <v>4013247</v>
      </c>
      <c r="H12334" s="7">
        <v>2468</v>
      </c>
      <c r="I12334" s="7">
        <v>63</v>
      </c>
      <c r="J12334" s="7">
        <v>200</v>
      </c>
      <c r="K12334" s="7" t="s">
        <v>18</v>
      </c>
      <c r="L12334" s="8">
        <v>39987.315405092595</v>
      </c>
      <c r="M12334" s="9" t="s">
        <v>19</v>
      </c>
      <c r="N12334" s="9" t="s">
        <v>20</v>
      </c>
      <c r="O12334" s="6" t="str">
        <f>HYPERLINK("https://pbs.twimg.com/profile_images/962471262747529216/Uo8lOkRJ_normal.jpg","View")</f>
        <v>View</v>
      </c>
      <c r="P12334" s="7"/>
    </row>
    <row r="12335" spans="1:16">
      <c r="A12335" s="3">
        <v>44162.727013888885</v>
      </c>
      <c r="B12335" s="4" t="str">
        <f>HYPERLINK("https://twitter.com/petrogustavo","@petrogustavo")</f>
        <v>@petrogustavo</v>
      </c>
      <c r="C12335" s="5" t="s">
        <v>16</v>
      </c>
      <c r="D12335" s="5" t="s">
        <v>11881</v>
      </c>
      <c r="E12335" s="6" t="str">
        <f>HYPERLINK("https://twitter.com/petrogustavo/status/1332292310709710849","1332292310709710849")</f>
        <v>1332292310709710849</v>
      </c>
      <c r="F12335" s="7" t="s">
        <v>17</v>
      </c>
      <c r="G12335" s="7">
        <v>4013247</v>
      </c>
      <c r="H12335" s="7">
        <v>2468</v>
      </c>
      <c r="I12335" s="7">
        <v>46</v>
      </c>
      <c r="J12335" s="7">
        <v>202</v>
      </c>
      <c r="K12335" s="7" t="s">
        <v>18</v>
      </c>
      <c r="L12335" s="8">
        <v>39987.315405092595</v>
      </c>
      <c r="M12335" s="9" t="s">
        <v>19</v>
      </c>
      <c r="N12335" s="9" t="s">
        <v>20</v>
      </c>
      <c r="O12335" s="6" t="str">
        <f>HYPERLINK("https://pbs.twimg.com/profile_images/962471262747529216/Uo8lOkRJ_normal.jpg","View")</f>
        <v>View</v>
      </c>
      <c r="P12335" s="7"/>
    </row>
    <row r="12336" spans="1:16">
      <c r="A12336" s="3">
        <v>44162.728576388894</v>
      </c>
      <c r="B12336" s="4" t="str">
        <f>HYPERLINK("https://twitter.com/petrogustavo","@petrogustavo")</f>
        <v>@petrogustavo</v>
      </c>
      <c r="C12336" s="5" t="s">
        <v>16</v>
      </c>
      <c r="D12336" s="5" t="s">
        <v>11882</v>
      </c>
      <c r="E12336" s="6" t="str">
        <f>HYPERLINK("https://twitter.com/petrogustavo/status/1332292877947461633","1332292877947461633")</f>
        <v>1332292877947461633</v>
      </c>
      <c r="F12336" s="7" t="s">
        <v>17</v>
      </c>
      <c r="G12336" s="7">
        <v>4013247</v>
      </c>
      <c r="H12336" s="7">
        <v>2468</v>
      </c>
      <c r="I12336" s="7">
        <v>68</v>
      </c>
      <c r="J12336" s="7">
        <v>296</v>
      </c>
      <c r="K12336" s="7" t="s">
        <v>18</v>
      </c>
      <c r="L12336" s="8">
        <v>39987.315405092595</v>
      </c>
      <c r="M12336" s="9" t="s">
        <v>19</v>
      </c>
      <c r="N12336" s="9" t="s">
        <v>20</v>
      </c>
      <c r="O12336" s="6" t="str">
        <f>HYPERLINK("https://pbs.twimg.com/profile_images/962471262747529216/Uo8lOkRJ_normal.jpg","View")</f>
        <v>View</v>
      </c>
      <c r="P12336" s="7"/>
    </row>
    <row r="12337" spans="1:16">
      <c r="A12337" s="3">
        <v>44162.729803240742</v>
      </c>
      <c r="B12337" s="4" t="str">
        <f>HYPERLINK("https://twitter.com/petrogustavo","@petrogustavo")</f>
        <v>@petrogustavo</v>
      </c>
      <c r="C12337" s="5" t="s">
        <v>16</v>
      </c>
      <c r="D12337" s="5" t="s">
        <v>11883</v>
      </c>
      <c r="E12337" s="6" t="str">
        <f>HYPERLINK("https://twitter.com/petrogustavo/status/1332293324082982912","1332293324082982912")</f>
        <v>1332293324082982912</v>
      </c>
      <c r="F12337" s="7" t="s">
        <v>17</v>
      </c>
      <c r="G12337" s="7">
        <v>4013247</v>
      </c>
      <c r="H12337" s="7">
        <v>2468</v>
      </c>
      <c r="I12337" s="7">
        <v>48</v>
      </c>
      <c r="J12337" s="7">
        <v>232</v>
      </c>
      <c r="K12337" s="7" t="s">
        <v>18</v>
      </c>
      <c r="L12337" s="8">
        <v>39987.315405092595</v>
      </c>
      <c r="M12337" s="9" t="s">
        <v>19</v>
      </c>
      <c r="N12337" s="9" t="s">
        <v>20</v>
      </c>
      <c r="O12337" s="6" t="str">
        <f>HYPERLINK("https://pbs.twimg.com/profile_images/962471262747529216/Uo8lOkRJ_normal.jpg","View")</f>
        <v>View</v>
      </c>
      <c r="P12337" s="7"/>
    </row>
    <row r="12338" spans="1:16">
      <c r="A12338" s="3">
        <v>44162.763958333337</v>
      </c>
      <c r="B12338" s="4" t="str">
        <f>HYPERLINK("https://twitter.com/petrogustavo","@petrogustavo")</f>
        <v>@petrogustavo</v>
      </c>
      <c r="C12338" s="5" t="s">
        <v>16</v>
      </c>
      <c r="D12338" s="5" t="s">
        <v>11884</v>
      </c>
      <c r="E12338" s="6" t="str">
        <f>HYPERLINK("https://twitter.com/petrogustavo/status/1332305699947343874","1332305699947343874")</f>
        <v>1332305699947343874</v>
      </c>
      <c r="F12338" s="7" t="s">
        <v>17</v>
      </c>
      <c r="G12338" s="7">
        <v>4013276</v>
      </c>
      <c r="H12338" s="7">
        <v>2468</v>
      </c>
      <c r="I12338" s="7">
        <v>85</v>
      </c>
      <c r="J12338" s="7">
        <v>0</v>
      </c>
      <c r="K12338" s="7" t="s">
        <v>18</v>
      </c>
      <c r="L12338" s="8">
        <v>39987.315405092595</v>
      </c>
      <c r="M12338" s="9" t="s">
        <v>19</v>
      </c>
      <c r="N12338" s="9" t="s">
        <v>20</v>
      </c>
      <c r="O12338" s="6" t="str">
        <f>HYPERLINK("https://pbs.twimg.com/profile_images/962471262747529216/Uo8lOkRJ_normal.jpg","View")</f>
        <v>View</v>
      </c>
      <c r="P12338" s="7"/>
    </row>
    <row r="12339" spans="1:16">
      <c r="A12339" s="3">
        <v>44162.767708333333</v>
      </c>
      <c r="B12339" s="4" t="str">
        <f>HYPERLINK("https://twitter.com/petrogustavo","@petrogustavo")</f>
        <v>@petrogustavo</v>
      </c>
      <c r="C12339" s="5" t="s">
        <v>16</v>
      </c>
      <c r="D12339" s="5" t="s">
        <v>11885</v>
      </c>
      <c r="E12339" s="6" t="str">
        <f>HYPERLINK("https://twitter.com/petrogustavo/status/1332307058138427393","1332307058138427393")</f>
        <v>1332307058138427393</v>
      </c>
      <c r="F12339" s="7" t="s">
        <v>17</v>
      </c>
      <c r="G12339" s="7">
        <v>4013276</v>
      </c>
      <c r="H12339" s="7">
        <v>2468</v>
      </c>
      <c r="I12339" s="7">
        <v>274</v>
      </c>
      <c r="J12339" s="7">
        <v>0</v>
      </c>
      <c r="K12339" s="7" t="s">
        <v>18</v>
      </c>
      <c r="L12339" s="8">
        <v>39987.315405092595</v>
      </c>
      <c r="M12339" s="9" t="s">
        <v>19</v>
      </c>
      <c r="N12339" s="9" t="s">
        <v>20</v>
      </c>
      <c r="O12339" s="6" t="str">
        <f>HYPERLINK("https://pbs.twimg.com/profile_images/962471262747529216/Uo8lOkRJ_normal.jpg","View")</f>
        <v>View</v>
      </c>
      <c r="P12339" s="7"/>
    </row>
    <row r="12340" spans="1:16">
      <c r="A12340" s="3">
        <v>44162.768159722225</v>
      </c>
      <c r="B12340" s="4" t="str">
        <f>HYPERLINK("https://twitter.com/petrogustavo","@petrogustavo")</f>
        <v>@petrogustavo</v>
      </c>
      <c r="C12340" s="5" t="s">
        <v>16</v>
      </c>
      <c r="D12340" s="5" t="s">
        <v>11816</v>
      </c>
      <c r="E12340" s="6" t="str">
        <f>HYPERLINK("https://twitter.com/petrogustavo/status/1332307223477940226","1332307223477940226")</f>
        <v>1332307223477940226</v>
      </c>
      <c r="F12340" s="7" t="s">
        <v>17</v>
      </c>
      <c r="G12340" s="7">
        <v>4013276</v>
      </c>
      <c r="H12340" s="7">
        <v>2468</v>
      </c>
      <c r="I12340" s="7">
        <v>374</v>
      </c>
      <c r="J12340" s="7">
        <v>0</v>
      </c>
      <c r="K12340" s="7" t="s">
        <v>18</v>
      </c>
      <c r="L12340" s="8">
        <v>39987.315405092595</v>
      </c>
      <c r="M12340" s="9" t="s">
        <v>19</v>
      </c>
      <c r="N12340" s="9" t="s">
        <v>20</v>
      </c>
      <c r="O12340" s="6" t="str">
        <f>HYPERLINK("https://pbs.twimg.com/profile_images/962471262747529216/Uo8lOkRJ_normal.jpg","View")</f>
        <v>View</v>
      </c>
      <c r="P12340" s="7"/>
    </row>
    <row r="12341" spans="1:16">
      <c r="A12341" s="3">
        <v>44162.835324074069</v>
      </c>
      <c r="B12341" s="4" t="str">
        <f>HYPERLINK("https://twitter.com/petrogustavo","@petrogustavo")</f>
        <v>@petrogustavo</v>
      </c>
      <c r="C12341" s="5" t="s">
        <v>16</v>
      </c>
      <c r="D12341" s="5" t="s">
        <v>11886</v>
      </c>
      <c r="E12341" s="6" t="str">
        <f>HYPERLINK("https://twitter.com/petrogustavo/status/1332331560750764032","1332331560750764032")</f>
        <v>1332331560750764032</v>
      </c>
      <c r="F12341" s="7" t="s">
        <v>17</v>
      </c>
      <c r="G12341" s="7">
        <v>4013310</v>
      </c>
      <c r="H12341" s="7">
        <v>2468</v>
      </c>
      <c r="I12341" s="7">
        <v>142</v>
      </c>
      <c r="J12341" s="7">
        <v>0</v>
      </c>
      <c r="K12341" s="7" t="s">
        <v>18</v>
      </c>
      <c r="L12341" s="8">
        <v>39987.315405092595</v>
      </c>
      <c r="M12341" s="9" t="s">
        <v>19</v>
      </c>
      <c r="N12341" s="9" t="s">
        <v>20</v>
      </c>
      <c r="O12341" s="6" t="str">
        <f>HYPERLINK("https://pbs.twimg.com/profile_images/962471262747529216/Uo8lOkRJ_normal.jpg","View")</f>
        <v>View</v>
      </c>
      <c r="P12341" s="7"/>
    </row>
    <row r="12342" spans="1:16">
      <c r="A12342" s="3">
        <v>44162.835636574076</v>
      </c>
      <c r="B12342" s="4" t="str">
        <f>HYPERLINK("https://twitter.com/petrogustavo","@petrogustavo")</f>
        <v>@petrogustavo</v>
      </c>
      <c r="C12342" s="5" t="s">
        <v>16</v>
      </c>
      <c r="D12342" s="5" t="s">
        <v>11887</v>
      </c>
      <c r="E12342" s="6" t="str">
        <f>HYPERLINK("https://twitter.com/petrogustavo/status/1332331675842449408","1332331675842449408")</f>
        <v>1332331675842449408</v>
      </c>
      <c r="F12342" s="7" t="s">
        <v>17</v>
      </c>
      <c r="G12342" s="7">
        <v>4013310</v>
      </c>
      <c r="H12342" s="7">
        <v>2468</v>
      </c>
      <c r="I12342" s="7">
        <v>1565</v>
      </c>
      <c r="J12342" s="7">
        <v>0</v>
      </c>
      <c r="K12342" s="7" t="s">
        <v>18</v>
      </c>
      <c r="L12342" s="8">
        <v>39987.315405092595</v>
      </c>
      <c r="M12342" s="9" t="s">
        <v>19</v>
      </c>
      <c r="N12342" s="9" t="s">
        <v>20</v>
      </c>
      <c r="O12342" s="6" t="str">
        <f>HYPERLINK("https://pbs.twimg.com/profile_images/962471262747529216/Uo8lOkRJ_normal.jpg","View")</f>
        <v>View</v>
      </c>
      <c r="P12342" s="7"/>
    </row>
    <row r="12343" spans="1:16">
      <c r="A12343" s="3">
        <v>44162.942916666667</v>
      </c>
      <c r="B12343" s="4" t="str">
        <f>HYPERLINK("https://twitter.com/petrogustavo","@petrogustavo")</f>
        <v>@petrogustavo</v>
      </c>
      <c r="C12343" s="5" t="s">
        <v>16</v>
      </c>
      <c r="D12343" s="5" t="s">
        <v>11884</v>
      </c>
      <c r="E12343" s="6" t="str">
        <f>HYPERLINK("https://twitter.com/petrogustavo/status/1332370550161895428","1332370550161895428")</f>
        <v>1332370550161895428</v>
      </c>
      <c r="F12343" s="7" t="s">
        <v>17</v>
      </c>
      <c r="G12343" s="7">
        <v>4013388</v>
      </c>
      <c r="H12343" s="7">
        <v>2468</v>
      </c>
      <c r="I12343" s="7">
        <v>30</v>
      </c>
      <c r="J12343" s="7">
        <v>0</v>
      </c>
      <c r="K12343" s="7" t="s">
        <v>18</v>
      </c>
      <c r="L12343" s="8">
        <v>39987.315405092595</v>
      </c>
      <c r="M12343" s="9" t="s">
        <v>19</v>
      </c>
      <c r="N12343" s="9" t="s">
        <v>20</v>
      </c>
      <c r="O12343" s="6" t="str">
        <f>HYPERLINK("https://pbs.twimg.com/profile_images/962471262747529216/Uo8lOkRJ_normal.jpg","View")</f>
        <v>View</v>
      </c>
      <c r="P12343" s="7"/>
    </row>
    <row r="12344" spans="1:16">
      <c r="A12344" s="3">
        <v>44162.987430555557</v>
      </c>
      <c r="B12344" s="4" t="str">
        <f>HYPERLINK("https://twitter.com/petrogustavo","@petrogustavo")</f>
        <v>@petrogustavo</v>
      </c>
      <c r="C12344" s="5" t="s">
        <v>16</v>
      </c>
      <c r="D12344" s="5" t="s">
        <v>11887</v>
      </c>
      <c r="E12344" s="6" t="str">
        <f>HYPERLINK("https://twitter.com/petrogustavo/status/1332386683145302018","1332386683145302018")</f>
        <v>1332386683145302018</v>
      </c>
      <c r="F12344" s="7" t="s">
        <v>17</v>
      </c>
      <c r="G12344" s="7">
        <v>4013400</v>
      </c>
      <c r="H12344" s="7">
        <v>2468</v>
      </c>
      <c r="I12344" s="7">
        <v>2329</v>
      </c>
      <c r="J12344" s="7">
        <v>0</v>
      </c>
      <c r="K12344" s="7" t="s">
        <v>18</v>
      </c>
      <c r="L12344" s="8">
        <v>39987.315405092595</v>
      </c>
      <c r="M12344" s="9" t="s">
        <v>19</v>
      </c>
      <c r="N12344" s="9" t="s">
        <v>20</v>
      </c>
      <c r="O12344" s="6" t="str">
        <f>HYPERLINK("https://pbs.twimg.com/profile_images/962471262747529216/Uo8lOkRJ_normal.jpg","View")</f>
        <v>View</v>
      </c>
      <c r="P12344" s="7"/>
    </row>
    <row r="12345" spans="1:16">
      <c r="A12345" s="3">
        <v>44163.227013888885</v>
      </c>
      <c r="B12345" s="4" t="str">
        <f>HYPERLINK("https://twitter.com/petrogustavo","@petrogustavo")</f>
        <v>@petrogustavo</v>
      </c>
      <c r="C12345" s="5" t="s">
        <v>16</v>
      </c>
      <c r="D12345" s="5" t="s">
        <v>11888</v>
      </c>
      <c r="E12345" s="6" t="str">
        <f>HYPERLINK("https://twitter.com/petrogustavo/status/1332473504164421632","1332473504164421632")</f>
        <v>1332473504164421632</v>
      </c>
      <c r="F12345" s="7" t="s">
        <v>32</v>
      </c>
      <c r="G12345" s="7">
        <v>4013560</v>
      </c>
      <c r="H12345" s="7">
        <v>2468</v>
      </c>
      <c r="I12345" s="7">
        <v>483</v>
      </c>
      <c r="J12345" s="7">
        <v>0</v>
      </c>
      <c r="K12345" s="7" t="s">
        <v>18</v>
      </c>
      <c r="L12345" s="8">
        <v>39987.315405092595</v>
      </c>
      <c r="M12345" s="9" t="s">
        <v>19</v>
      </c>
      <c r="N12345" s="9" t="s">
        <v>20</v>
      </c>
      <c r="O12345" s="6" t="str">
        <f>HYPERLINK("https://pbs.twimg.com/profile_images/962471262747529216/Uo8lOkRJ_normal.jpg","View")</f>
        <v>View</v>
      </c>
      <c r="P12345" s="7"/>
    </row>
    <row r="12346" spans="1:16">
      <c r="A12346" s="3">
        <v>44163.234166666662</v>
      </c>
      <c r="B12346" s="4" t="str">
        <f>HYPERLINK("https://twitter.com/petrogustavo","@petrogustavo")</f>
        <v>@petrogustavo</v>
      </c>
      <c r="C12346" s="5" t="s">
        <v>16</v>
      </c>
      <c r="D12346" s="5" t="s">
        <v>11889</v>
      </c>
      <c r="E12346" s="6" t="str">
        <f>HYPERLINK("https://twitter.com/petrogustavo/status/1332476096491696132","1332476096491696132")</f>
        <v>1332476096491696132</v>
      </c>
      <c r="F12346" s="7" t="s">
        <v>32</v>
      </c>
      <c r="G12346" s="7">
        <v>4013560</v>
      </c>
      <c r="H12346" s="7">
        <v>2468</v>
      </c>
      <c r="I12346" s="7">
        <v>73</v>
      </c>
      <c r="J12346" s="7">
        <v>178</v>
      </c>
      <c r="K12346" s="7" t="s">
        <v>18</v>
      </c>
      <c r="L12346" s="8">
        <v>39987.315405092595</v>
      </c>
      <c r="M12346" s="9" t="s">
        <v>19</v>
      </c>
      <c r="N12346" s="9" t="s">
        <v>20</v>
      </c>
      <c r="O12346" s="6" t="str">
        <f>HYPERLINK("https://pbs.twimg.com/profile_images/962471262747529216/Uo8lOkRJ_normal.jpg","View")</f>
        <v>View</v>
      </c>
      <c r="P12346" s="7"/>
    </row>
    <row r="12347" spans="1:16">
      <c r="A12347" s="3">
        <v>44163.236307870371</v>
      </c>
      <c r="B12347" s="4" t="str">
        <f>HYPERLINK("https://twitter.com/petrogustavo","@petrogustavo")</f>
        <v>@petrogustavo</v>
      </c>
      <c r="C12347" s="5" t="s">
        <v>16</v>
      </c>
      <c r="D12347" s="5" t="s">
        <v>11890</v>
      </c>
      <c r="E12347" s="6" t="str">
        <f>HYPERLINK("https://twitter.com/petrogustavo/status/1332476874421923846","1332476874421923846")</f>
        <v>1332476874421923846</v>
      </c>
      <c r="F12347" s="7" t="s">
        <v>32</v>
      </c>
      <c r="G12347" s="7">
        <v>4013560</v>
      </c>
      <c r="H12347" s="7">
        <v>2468</v>
      </c>
      <c r="I12347" s="7">
        <v>77</v>
      </c>
      <c r="J12347" s="7">
        <v>323</v>
      </c>
      <c r="K12347" s="7" t="s">
        <v>18</v>
      </c>
      <c r="L12347" s="8">
        <v>39987.315405092595</v>
      </c>
      <c r="M12347" s="9" t="s">
        <v>19</v>
      </c>
      <c r="N12347" s="9" t="s">
        <v>20</v>
      </c>
      <c r="O12347" s="6" t="str">
        <f>HYPERLINK("https://pbs.twimg.com/profile_images/962471262747529216/Uo8lOkRJ_normal.jpg","View")</f>
        <v>View</v>
      </c>
      <c r="P12347" s="7"/>
    </row>
    <row r="12348" spans="1:16">
      <c r="A12348" s="3">
        <v>44163.737002314811</v>
      </c>
      <c r="B12348" s="4" t="str">
        <f>HYPERLINK("https://twitter.com/petrogustavo","@petrogustavo")</f>
        <v>@petrogustavo</v>
      </c>
      <c r="C12348" s="5" t="s">
        <v>16</v>
      </c>
      <c r="D12348" s="5" t="s">
        <v>11891</v>
      </c>
      <c r="E12348" s="6" t="str">
        <f>HYPERLINK("https://twitter.com/petrogustavo/status/1332658318444273665","1332658318444273665")</f>
        <v>1332658318444273665</v>
      </c>
      <c r="F12348" s="7" t="s">
        <v>17</v>
      </c>
      <c r="G12348" s="7">
        <v>4013776</v>
      </c>
      <c r="H12348" s="7">
        <v>2469</v>
      </c>
      <c r="I12348" s="7">
        <v>18</v>
      </c>
      <c r="J12348" s="7">
        <v>84</v>
      </c>
      <c r="K12348" s="7" t="s">
        <v>18</v>
      </c>
      <c r="L12348" s="8">
        <v>39987.315405092595</v>
      </c>
      <c r="M12348" s="9" t="s">
        <v>19</v>
      </c>
      <c r="N12348" s="9" t="s">
        <v>20</v>
      </c>
      <c r="O12348" s="6" t="str">
        <f>HYPERLINK("https://pbs.twimg.com/profile_images/962471262747529216/Uo8lOkRJ_normal.jpg","View")</f>
        <v>View</v>
      </c>
      <c r="P12348" s="7"/>
    </row>
    <row r="12349" spans="1:16">
      <c r="A12349" s="3">
        <v>44163.737569444449</v>
      </c>
      <c r="B12349" s="4" t="str">
        <f>HYPERLINK("https://twitter.com/petrogustavo","@petrogustavo")</f>
        <v>@petrogustavo</v>
      </c>
      <c r="C12349" s="5" t="s">
        <v>16</v>
      </c>
      <c r="D12349" s="5" t="s">
        <v>11892</v>
      </c>
      <c r="E12349" s="6" t="str">
        <f>HYPERLINK("https://twitter.com/petrogustavo/status/1332658524992794625","1332658524992794625")</f>
        <v>1332658524992794625</v>
      </c>
      <c r="F12349" s="7" t="s">
        <v>17</v>
      </c>
      <c r="G12349" s="7">
        <v>4013776</v>
      </c>
      <c r="H12349" s="7">
        <v>2469</v>
      </c>
      <c r="I12349" s="7">
        <v>393</v>
      </c>
      <c r="J12349" s="7">
        <v>0</v>
      </c>
      <c r="K12349" s="7" t="s">
        <v>18</v>
      </c>
      <c r="L12349" s="8">
        <v>39987.315405092595</v>
      </c>
      <c r="M12349" s="9" t="s">
        <v>19</v>
      </c>
      <c r="N12349" s="9" t="s">
        <v>20</v>
      </c>
      <c r="O12349" s="6" t="str">
        <f>HYPERLINK("https://pbs.twimg.com/profile_images/962471262747529216/Uo8lOkRJ_normal.jpg","View")</f>
        <v>View</v>
      </c>
      <c r="P12349" s="7"/>
    </row>
    <row r="12350" spans="1:16">
      <c r="A12350" s="3">
        <v>44163.739305555559</v>
      </c>
      <c r="B12350" s="4" t="str">
        <f>HYPERLINK("https://twitter.com/petrogustavo","@petrogustavo")</f>
        <v>@petrogustavo</v>
      </c>
      <c r="C12350" s="5" t="s">
        <v>16</v>
      </c>
      <c r="D12350" s="5" t="s">
        <v>11893</v>
      </c>
      <c r="E12350" s="6" t="str">
        <f>HYPERLINK("https://twitter.com/petrogustavo/status/1332659151827296256","1332659151827296256")</f>
        <v>1332659151827296256</v>
      </c>
      <c r="F12350" s="7" t="s">
        <v>17</v>
      </c>
      <c r="G12350" s="7">
        <v>4013776</v>
      </c>
      <c r="H12350" s="7">
        <v>2469</v>
      </c>
      <c r="I12350" s="7">
        <v>27</v>
      </c>
      <c r="J12350" s="7">
        <v>80</v>
      </c>
      <c r="K12350" s="7" t="s">
        <v>18</v>
      </c>
      <c r="L12350" s="8">
        <v>39987.315405092595</v>
      </c>
      <c r="M12350" s="9" t="s">
        <v>19</v>
      </c>
      <c r="N12350" s="9" t="s">
        <v>20</v>
      </c>
      <c r="O12350" s="6" t="str">
        <f>HYPERLINK("https://pbs.twimg.com/profile_images/962471262747529216/Uo8lOkRJ_normal.jpg","View")</f>
        <v>View</v>
      </c>
      <c r="P12350" s="7"/>
    </row>
    <row r="12351" spans="1:16">
      <c r="A12351" s="3">
        <v>44163.750115740739</v>
      </c>
      <c r="B12351" s="4" t="str">
        <f>HYPERLINK("https://twitter.com/petrogustavo","@petrogustavo")</f>
        <v>@petrogustavo</v>
      </c>
      <c r="C12351" s="5" t="s">
        <v>16</v>
      </c>
      <c r="D12351" s="5" t="s">
        <v>11894</v>
      </c>
      <c r="E12351" s="6" t="str">
        <f>HYPERLINK("https://twitter.com/petrogustavo/status/1332663071320453121","1332663071320453121")</f>
        <v>1332663071320453121</v>
      </c>
      <c r="F12351" s="7" t="s">
        <v>17</v>
      </c>
      <c r="G12351" s="7">
        <v>4013792</v>
      </c>
      <c r="H12351" s="7">
        <v>2469</v>
      </c>
      <c r="I12351" s="7">
        <v>198</v>
      </c>
      <c r="J12351" s="7">
        <v>789</v>
      </c>
      <c r="K12351" s="7" t="s">
        <v>18</v>
      </c>
      <c r="L12351" s="8">
        <v>39987.315405092595</v>
      </c>
      <c r="M12351" s="9" t="s">
        <v>19</v>
      </c>
      <c r="N12351" s="9" t="s">
        <v>20</v>
      </c>
      <c r="O12351" s="6" t="str">
        <f>HYPERLINK("https://pbs.twimg.com/profile_images/962471262747529216/Uo8lOkRJ_normal.jpg","View")</f>
        <v>View</v>
      </c>
      <c r="P12351" s="7"/>
    </row>
    <row r="12352" spans="1:16">
      <c r="A12352" s="3">
        <v>44163.750543981485</v>
      </c>
      <c r="B12352" s="4" t="str">
        <f>HYPERLINK("https://twitter.com/petrogustavo","@petrogustavo")</f>
        <v>@petrogustavo</v>
      </c>
      <c r="C12352" s="5" t="s">
        <v>16</v>
      </c>
      <c r="D12352" s="5" t="s">
        <v>11895</v>
      </c>
      <c r="E12352" s="6" t="str">
        <f>HYPERLINK("https://twitter.com/petrogustavo/status/1332663226421678080","1332663226421678080")</f>
        <v>1332663226421678080</v>
      </c>
      <c r="F12352" s="7" t="s">
        <v>17</v>
      </c>
      <c r="G12352" s="7">
        <v>4013792</v>
      </c>
      <c r="H12352" s="7">
        <v>2469</v>
      </c>
      <c r="I12352" s="7">
        <v>283</v>
      </c>
      <c r="J12352" s="7">
        <v>0</v>
      </c>
      <c r="K12352" s="7" t="s">
        <v>18</v>
      </c>
      <c r="L12352" s="8">
        <v>39987.315405092595</v>
      </c>
      <c r="M12352" s="9" t="s">
        <v>19</v>
      </c>
      <c r="N12352" s="9" t="s">
        <v>20</v>
      </c>
      <c r="O12352" s="6" t="str">
        <f>HYPERLINK("https://pbs.twimg.com/profile_images/962471262747529216/Uo8lOkRJ_normal.jpg","View")</f>
        <v>View</v>
      </c>
      <c r="P12352" s="7"/>
    </row>
    <row r="12353" spans="1:16">
      <c r="A12353" s="3">
        <v>44163.754363425927</v>
      </c>
      <c r="B12353" s="4" t="str">
        <f>HYPERLINK("https://twitter.com/petrogustavo","@petrogustavo")</f>
        <v>@petrogustavo</v>
      </c>
      <c r="C12353" s="5" t="s">
        <v>16</v>
      </c>
      <c r="D12353" s="5" t="s">
        <v>11896</v>
      </c>
      <c r="E12353" s="6" t="str">
        <f>HYPERLINK("https://twitter.com/petrogustavo/status/1332664609204031490","1332664609204031490")</f>
        <v>1332664609204031490</v>
      </c>
      <c r="F12353" s="7" t="s">
        <v>17</v>
      </c>
      <c r="G12353" s="7">
        <v>4013792</v>
      </c>
      <c r="H12353" s="7">
        <v>2469</v>
      </c>
      <c r="I12353" s="7">
        <v>73</v>
      </c>
      <c r="J12353" s="7">
        <v>296</v>
      </c>
      <c r="K12353" s="7" t="s">
        <v>18</v>
      </c>
      <c r="L12353" s="8">
        <v>39987.315405092595</v>
      </c>
      <c r="M12353" s="9" t="s">
        <v>19</v>
      </c>
      <c r="N12353" s="9" t="s">
        <v>20</v>
      </c>
      <c r="O12353" s="6" t="str">
        <f>HYPERLINK("https://pbs.twimg.com/profile_images/962471262747529216/Uo8lOkRJ_normal.jpg","View")</f>
        <v>View</v>
      </c>
      <c r="P12353" s="7"/>
    </row>
    <row r="12354" spans="1:16">
      <c r="A12354" s="3">
        <v>44163.756307870368</v>
      </c>
      <c r="B12354" s="4" t="str">
        <f>HYPERLINK("https://twitter.com/petrogustavo","@petrogustavo")</f>
        <v>@petrogustavo</v>
      </c>
      <c r="C12354" s="5" t="s">
        <v>16</v>
      </c>
      <c r="D12354" s="5" t="s">
        <v>11897</v>
      </c>
      <c r="E12354" s="6" t="str">
        <f>HYPERLINK("https://twitter.com/petrogustavo/status/1332665313016614913","1332665313016614913")</f>
        <v>1332665313016614913</v>
      </c>
      <c r="F12354" s="7" t="s">
        <v>17</v>
      </c>
      <c r="G12354" s="7">
        <v>4013792</v>
      </c>
      <c r="H12354" s="7">
        <v>2469</v>
      </c>
      <c r="I12354" s="7">
        <v>18</v>
      </c>
      <c r="J12354" s="7">
        <v>141</v>
      </c>
      <c r="K12354" s="7" t="s">
        <v>18</v>
      </c>
      <c r="L12354" s="8">
        <v>39987.315405092595</v>
      </c>
      <c r="M12354" s="9" t="s">
        <v>19</v>
      </c>
      <c r="N12354" s="9" t="s">
        <v>20</v>
      </c>
      <c r="O12354" s="6" t="str">
        <f>HYPERLINK("https://pbs.twimg.com/profile_images/962471262747529216/Uo8lOkRJ_normal.jpg","View")</f>
        <v>View</v>
      </c>
      <c r="P12354" s="7"/>
    </row>
    <row r="12355" spans="1:16">
      <c r="A12355" s="3">
        <v>44163.757372685184</v>
      </c>
      <c r="B12355" s="4" t="str">
        <f>HYPERLINK("https://twitter.com/petrogustavo","@petrogustavo")</f>
        <v>@petrogustavo</v>
      </c>
      <c r="C12355" s="5" t="s">
        <v>16</v>
      </c>
      <c r="D12355" s="5" t="s">
        <v>11898</v>
      </c>
      <c r="E12355" s="6" t="str">
        <f>HYPERLINK("https://twitter.com/petrogustavo/status/1332665702126383108","1332665702126383108")</f>
        <v>1332665702126383108</v>
      </c>
      <c r="F12355" s="7" t="s">
        <v>17</v>
      </c>
      <c r="G12355" s="7">
        <v>4013792</v>
      </c>
      <c r="H12355" s="7">
        <v>2469</v>
      </c>
      <c r="I12355" s="7">
        <v>10</v>
      </c>
      <c r="J12355" s="7">
        <v>91</v>
      </c>
      <c r="K12355" s="7" t="s">
        <v>18</v>
      </c>
      <c r="L12355" s="8">
        <v>39987.315405092595</v>
      </c>
      <c r="M12355" s="9" t="s">
        <v>19</v>
      </c>
      <c r="N12355" s="9" t="s">
        <v>20</v>
      </c>
      <c r="O12355" s="6" t="str">
        <f>HYPERLINK("https://pbs.twimg.com/profile_images/962471262747529216/Uo8lOkRJ_normal.jpg","View")</f>
        <v>View</v>
      </c>
      <c r="P12355" s="7"/>
    </row>
    <row r="12356" spans="1:16">
      <c r="A12356" s="3">
        <v>44163.775694444441</v>
      </c>
      <c r="B12356" s="4" t="str">
        <f>HYPERLINK("https://twitter.com/petrogustavo","@petrogustavo")</f>
        <v>@petrogustavo</v>
      </c>
      <c r="C12356" s="5" t="s">
        <v>16</v>
      </c>
      <c r="D12356" s="5" t="s">
        <v>11895</v>
      </c>
      <c r="E12356" s="6" t="str">
        <f>HYPERLINK("https://twitter.com/petrogustavo/status/1332672340308729863","1332672340308729863")</f>
        <v>1332672340308729863</v>
      </c>
      <c r="F12356" s="7" t="s">
        <v>17</v>
      </c>
      <c r="G12356" s="7">
        <v>4013800</v>
      </c>
      <c r="H12356" s="7">
        <v>2469</v>
      </c>
      <c r="I12356" s="7">
        <v>465</v>
      </c>
      <c r="J12356" s="7">
        <v>0</v>
      </c>
      <c r="K12356" s="7" t="s">
        <v>18</v>
      </c>
      <c r="L12356" s="8">
        <v>39987.315405092595</v>
      </c>
      <c r="M12356" s="9" t="s">
        <v>19</v>
      </c>
      <c r="N12356" s="9" t="s">
        <v>20</v>
      </c>
      <c r="O12356" s="6" t="str">
        <f>HYPERLINK("https://pbs.twimg.com/profile_images/962471262747529216/Uo8lOkRJ_normal.jpg","View")</f>
        <v>View</v>
      </c>
      <c r="P12356" s="7"/>
    </row>
    <row r="12357" spans="1:16">
      <c r="A12357" s="3">
        <v>44163.794467592597</v>
      </c>
      <c r="B12357" s="4" t="str">
        <f>HYPERLINK("https://twitter.com/petrogustavo","@petrogustavo")</f>
        <v>@petrogustavo</v>
      </c>
      <c r="C12357" s="5" t="s">
        <v>16</v>
      </c>
      <c r="D12357" s="5" t="s">
        <v>11899</v>
      </c>
      <c r="E12357" s="6" t="str">
        <f>HYPERLINK("https://twitter.com/petrogustavo/status/1332679142773551104","1332679142773551104")</f>
        <v>1332679142773551104</v>
      </c>
      <c r="F12357" s="7" t="s">
        <v>32</v>
      </c>
      <c r="G12357" s="7">
        <v>4013814</v>
      </c>
      <c r="H12357" s="7">
        <v>2469</v>
      </c>
      <c r="I12357" s="7">
        <v>79</v>
      </c>
      <c r="J12357" s="7">
        <v>247</v>
      </c>
      <c r="K12357" s="7" t="s">
        <v>18</v>
      </c>
      <c r="L12357" s="8">
        <v>39987.315405092595</v>
      </c>
      <c r="M12357" s="9" t="s">
        <v>19</v>
      </c>
      <c r="N12357" s="9" t="s">
        <v>20</v>
      </c>
      <c r="O12357" s="6" t="str">
        <f>HYPERLINK("https://pbs.twimg.com/profile_images/962471262747529216/Uo8lOkRJ_normal.jpg","View")</f>
        <v>View</v>
      </c>
      <c r="P12357" s="7"/>
    </row>
    <row r="12358" spans="1:16">
      <c r="A12358" s="3">
        <v>44163.885636574079</v>
      </c>
      <c r="B12358" s="4" t="str">
        <f>HYPERLINK("https://twitter.com/petrogustavo","@petrogustavo")</f>
        <v>@petrogustavo</v>
      </c>
      <c r="C12358" s="5" t="s">
        <v>16</v>
      </c>
      <c r="D12358" s="5" t="s">
        <v>11900</v>
      </c>
      <c r="E12358" s="6" t="str">
        <f>HYPERLINK("https://twitter.com/petrogustavo/status/1332712183919218691","1332712183919218691")</f>
        <v>1332712183919218691</v>
      </c>
      <c r="F12358" s="7" t="s">
        <v>17</v>
      </c>
      <c r="G12358" s="7">
        <v>4013874</v>
      </c>
      <c r="H12358" s="7">
        <v>2469</v>
      </c>
      <c r="I12358" s="7">
        <v>411</v>
      </c>
      <c r="J12358" s="7">
        <v>0</v>
      </c>
      <c r="K12358" s="7" t="s">
        <v>18</v>
      </c>
      <c r="L12358" s="8">
        <v>39987.315405092595</v>
      </c>
      <c r="M12358" s="9" t="s">
        <v>19</v>
      </c>
      <c r="N12358" s="9" t="s">
        <v>20</v>
      </c>
      <c r="O12358" s="6" t="str">
        <f>HYPERLINK("https://pbs.twimg.com/profile_images/962471262747529216/Uo8lOkRJ_normal.jpg","View")</f>
        <v>View</v>
      </c>
      <c r="P12358" s="7"/>
    </row>
    <row r="12359" spans="1:16">
      <c r="A12359" s="3">
        <v>44163.94935185185</v>
      </c>
      <c r="B12359" s="4" t="str">
        <f>HYPERLINK("https://twitter.com/petrogustavo","@petrogustavo")</f>
        <v>@petrogustavo</v>
      </c>
      <c r="C12359" s="5" t="s">
        <v>16</v>
      </c>
      <c r="D12359" s="5" t="s">
        <v>11901</v>
      </c>
      <c r="E12359" s="6" t="str">
        <f>HYPERLINK("https://twitter.com/petrogustavo/status/1332735271419441154","1332735271419441154")</f>
        <v>1332735271419441154</v>
      </c>
      <c r="F12359" s="7" t="s">
        <v>17</v>
      </c>
      <c r="G12359" s="7">
        <v>4013916</v>
      </c>
      <c r="H12359" s="7">
        <v>2469</v>
      </c>
      <c r="I12359" s="7">
        <v>0</v>
      </c>
      <c r="J12359" s="7">
        <v>2</v>
      </c>
      <c r="K12359" s="7" t="s">
        <v>18</v>
      </c>
      <c r="L12359" s="8">
        <v>39987.315405092595</v>
      </c>
      <c r="M12359" s="9" t="s">
        <v>19</v>
      </c>
      <c r="N12359" s="9" t="s">
        <v>20</v>
      </c>
      <c r="O12359" s="6" t="str">
        <f>HYPERLINK("https://pbs.twimg.com/profile_images/962471262747529216/Uo8lOkRJ_normal.jpg","View")</f>
        <v>View</v>
      </c>
      <c r="P12359" s="7"/>
    </row>
    <row r="12360" spans="1:16">
      <c r="A12360" s="3">
        <v>44163.969282407408</v>
      </c>
      <c r="B12360" s="4" t="str">
        <f>HYPERLINK("https://twitter.com/petrogustavo","@petrogustavo")</f>
        <v>@petrogustavo</v>
      </c>
      <c r="C12360" s="5" t="s">
        <v>16</v>
      </c>
      <c r="D12360" s="5" t="s">
        <v>11902</v>
      </c>
      <c r="E12360" s="6" t="str">
        <f>HYPERLINK("https://twitter.com/petrogustavo/status/1332742493046235136","1332742493046235136")</f>
        <v>1332742493046235136</v>
      </c>
      <c r="F12360" s="7" t="s">
        <v>17</v>
      </c>
      <c r="G12360" s="7">
        <v>4013931</v>
      </c>
      <c r="H12360" s="7">
        <v>2469</v>
      </c>
      <c r="I12360" s="7">
        <v>6</v>
      </c>
      <c r="J12360" s="7">
        <v>60</v>
      </c>
      <c r="K12360" s="7" t="s">
        <v>18</v>
      </c>
      <c r="L12360" s="8">
        <v>39987.315405092595</v>
      </c>
      <c r="M12360" s="9" t="s">
        <v>19</v>
      </c>
      <c r="N12360" s="9" t="s">
        <v>20</v>
      </c>
      <c r="O12360" s="6" t="str">
        <f>HYPERLINK("https://pbs.twimg.com/profile_images/962471262747529216/Uo8lOkRJ_normal.jpg","View")</f>
        <v>View</v>
      </c>
      <c r="P12360" s="7"/>
    </row>
    <row r="12361" spans="1:16">
      <c r="A12361" s="3">
        <v>44164.268541666665</v>
      </c>
      <c r="B12361" s="4" t="str">
        <f>HYPERLINK("https://twitter.com/petrogustavo","@petrogustavo")</f>
        <v>@petrogustavo</v>
      </c>
      <c r="C12361" s="5" t="s">
        <v>16</v>
      </c>
      <c r="D12361" s="5" t="s">
        <v>11903</v>
      </c>
      <c r="E12361" s="6" t="str">
        <f>HYPERLINK("https://twitter.com/petrogustavo/status/1332850941616386048","1332850941616386048")</f>
        <v>1332850941616386048</v>
      </c>
      <c r="F12361" s="7" t="s">
        <v>17</v>
      </c>
      <c r="G12361" s="7">
        <v>4014114</v>
      </c>
      <c r="H12361" s="7">
        <v>2469</v>
      </c>
      <c r="I12361" s="7">
        <v>46</v>
      </c>
      <c r="J12361" s="7">
        <v>0</v>
      </c>
      <c r="K12361" s="7" t="s">
        <v>18</v>
      </c>
      <c r="L12361" s="8">
        <v>39987.315405092595</v>
      </c>
      <c r="M12361" s="9" t="s">
        <v>19</v>
      </c>
      <c r="N12361" s="9" t="s">
        <v>20</v>
      </c>
      <c r="O12361" s="6" t="str">
        <f>HYPERLINK("https://pbs.twimg.com/profile_images/962471262747529216/Uo8lOkRJ_normal.jpg","View")</f>
        <v>View</v>
      </c>
      <c r="P12361" s="7"/>
    </row>
    <row r="12362" spans="1:16">
      <c r="A12362" s="3">
        <v>44164.269305555557</v>
      </c>
      <c r="B12362" s="4" t="str">
        <f>HYPERLINK("https://twitter.com/petrogustavo","@petrogustavo")</f>
        <v>@petrogustavo</v>
      </c>
      <c r="C12362" s="5" t="s">
        <v>16</v>
      </c>
      <c r="D12362" s="5" t="s">
        <v>11904</v>
      </c>
      <c r="E12362" s="6" t="str">
        <f>HYPERLINK("https://twitter.com/petrogustavo/status/1332851219266678784","1332851219266678784")</f>
        <v>1332851219266678784</v>
      </c>
      <c r="F12362" s="7" t="s">
        <v>17</v>
      </c>
      <c r="G12362" s="7">
        <v>4014114</v>
      </c>
      <c r="H12362" s="7">
        <v>2469</v>
      </c>
      <c r="I12362" s="7">
        <v>191</v>
      </c>
      <c r="J12362" s="7">
        <v>0</v>
      </c>
      <c r="K12362" s="7" t="s">
        <v>18</v>
      </c>
      <c r="L12362" s="8">
        <v>39987.315405092595</v>
      </c>
      <c r="M12362" s="9" t="s">
        <v>19</v>
      </c>
      <c r="N12362" s="9" t="s">
        <v>20</v>
      </c>
      <c r="O12362" s="6" t="str">
        <f>HYPERLINK("https://pbs.twimg.com/profile_images/962471262747529216/Uo8lOkRJ_normal.jpg","View")</f>
        <v>View</v>
      </c>
      <c r="P12362" s="7"/>
    </row>
    <row r="12363" spans="1:16">
      <c r="A12363" s="3">
        <v>44164.272881944446</v>
      </c>
      <c r="B12363" s="4" t="str">
        <f>HYPERLINK("https://twitter.com/petrogustavo","@petrogustavo")</f>
        <v>@petrogustavo</v>
      </c>
      <c r="C12363" s="5" t="s">
        <v>16</v>
      </c>
      <c r="D12363" s="5" t="s">
        <v>11905</v>
      </c>
      <c r="E12363" s="6" t="str">
        <f>HYPERLINK("https://twitter.com/petrogustavo/status/1332852514048323585","1332852514048323585")</f>
        <v>1332852514048323585</v>
      </c>
      <c r="F12363" s="7" t="s">
        <v>17</v>
      </c>
      <c r="G12363" s="7">
        <v>4014114</v>
      </c>
      <c r="H12363" s="7">
        <v>2469</v>
      </c>
      <c r="I12363" s="7">
        <v>519</v>
      </c>
      <c r="J12363" s="7">
        <v>0</v>
      </c>
      <c r="K12363" s="7" t="s">
        <v>18</v>
      </c>
      <c r="L12363" s="8">
        <v>39987.315405092595</v>
      </c>
      <c r="M12363" s="9" t="s">
        <v>19</v>
      </c>
      <c r="N12363" s="9" t="s">
        <v>20</v>
      </c>
      <c r="O12363" s="6" t="str">
        <f>HYPERLINK("https://pbs.twimg.com/profile_images/962471262747529216/Uo8lOkRJ_normal.jpg","View")</f>
        <v>View</v>
      </c>
      <c r="P12363" s="7"/>
    </row>
    <row r="12364" spans="1:16">
      <c r="A12364" s="3">
        <v>44164.30877314815</v>
      </c>
      <c r="B12364" s="4" t="str">
        <f>HYPERLINK("https://twitter.com/petrogustavo","@petrogustavo")</f>
        <v>@petrogustavo</v>
      </c>
      <c r="C12364" s="5" t="s">
        <v>16</v>
      </c>
      <c r="D12364" s="5" t="s">
        <v>11906</v>
      </c>
      <c r="E12364" s="6" t="str">
        <f>HYPERLINK("https://twitter.com/petrogustavo/status/1332865521616871424","1332865521616871424")</f>
        <v>1332865521616871424</v>
      </c>
      <c r="F12364" s="7" t="s">
        <v>32</v>
      </c>
      <c r="G12364" s="7">
        <v>4014159</v>
      </c>
      <c r="H12364" s="7">
        <v>2469</v>
      </c>
      <c r="I12364" s="7">
        <v>855</v>
      </c>
      <c r="J12364" s="7">
        <v>4348</v>
      </c>
      <c r="K12364" s="7" t="s">
        <v>18</v>
      </c>
      <c r="L12364" s="8">
        <v>39987.315405092595</v>
      </c>
      <c r="M12364" s="9" t="s">
        <v>19</v>
      </c>
      <c r="N12364" s="9" t="s">
        <v>20</v>
      </c>
      <c r="O12364" s="6" t="str">
        <f>HYPERLINK("https://pbs.twimg.com/profile_images/962471262747529216/Uo8lOkRJ_normal.jpg","View")</f>
        <v>View</v>
      </c>
      <c r="P12364" s="7"/>
    </row>
    <row r="12365" spans="1:16">
      <c r="A12365" s="3">
        <v>44164.772824074069</v>
      </c>
      <c r="B12365" s="4" t="str">
        <f>HYPERLINK("https://twitter.com/petrogustavo","@petrogustavo")</f>
        <v>@petrogustavo</v>
      </c>
      <c r="C12365" s="5" t="s">
        <v>16</v>
      </c>
      <c r="D12365" s="5" t="s">
        <v>11907</v>
      </c>
      <c r="E12365" s="6" t="str">
        <f>HYPERLINK("https://twitter.com/petrogustavo/status/1333033686229520384","1333033686229520384")</f>
        <v>1333033686229520384</v>
      </c>
      <c r="F12365" s="7" t="s">
        <v>17</v>
      </c>
      <c r="G12365" s="7">
        <v>4014254</v>
      </c>
      <c r="H12365" s="7">
        <v>2468</v>
      </c>
      <c r="I12365" s="7">
        <v>76</v>
      </c>
      <c r="J12365" s="7">
        <v>215</v>
      </c>
      <c r="K12365" s="7" t="s">
        <v>18</v>
      </c>
      <c r="L12365" s="8">
        <v>39987.315405092595</v>
      </c>
      <c r="M12365" s="9" t="s">
        <v>19</v>
      </c>
      <c r="N12365" s="9" t="s">
        <v>20</v>
      </c>
      <c r="O12365" s="6" t="str">
        <f>HYPERLINK("https://pbs.twimg.com/profile_images/962471262747529216/Uo8lOkRJ_normal.jpg","View")</f>
        <v>View</v>
      </c>
      <c r="P12365" s="7"/>
    </row>
    <row r="12366" spans="1:16">
      <c r="A12366" s="3">
        <v>44164.787627314814</v>
      </c>
      <c r="B12366" s="4" t="str">
        <f>HYPERLINK("https://twitter.com/petrogustavo","@petrogustavo")</f>
        <v>@petrogustavo</v>
      </c>
      <c r="C12366" s="5" t="s">
        <v>16</v>
      </c>
      <c r="D12366" s="5" t="s">
        <v>11908</v>
      </c>
      <c r="E12366" s="6" t="str">
        <f>HYPERLINK("https://twitter.com/petrogustavo/status/1333039053848113157","1333039053848113157")</f>
        <v>1333039053848113157</v>
      </c>
      <c r="F12366" s="7" t="s">
        <v>17</v>
      </c>
      <c r="G12366" s="7">
        <v>4014277</v>
      </c>
      <c r="H12366" s="7">
        <v>2468</v>
      </c>
      <c r="I12366" s="7">
        <v>52</v>
      </c>
      <c r="J12366" s="7">
        <v>231</v>
      </c>
      <c r="K12366" s="7" t="s">
        <v>18</v>
      </c>
      <c r="L12366" s="8">
        <v>39987.315405092595</v>
      </c>
      <c r="M12366" s="9" t="s">
        <v>19</v>
      </c>
      <c r="N12366" s="9" t="s">
        <v>20</v>
      </c>
      <c r="O12366" s="6" t="str">
        <f>HYPERLINK("https://pbs.twimg.com/profile_images/962471262747529216/Uo8lOkRJ_normal.jpg","View")</f>
        <v>View</v>
      </c>
      <c r="P12366" s="7"/>
    </row>
    <row r="12367" spans="1:16">
      <c r="A12367" s="3">
        <v>44164.788634259261</v>
      </c>
      <c r="B12367" s="4" t="str">
        <f>HYPERLINK("https://twitter.com/petrogustavo","@petrogustavo")</f>
        <v>@petrogustavo</v>
      </c>
      <c r="C12367" s="5" t="s">
        <v>16</v>
      </c>
      <c r="D12367" s="5" t="s">
        <v>11909</v>
      </c>
      <c r="E12367" s="6" t="str">
        <f>HYPERLINK("https://twitter.com/petrogustavo/status/1333039417389441025","1333039417389441025")</f>
        <v>1333039417389441025</v>
      </c>
      <c r="F12367" s="7" t="s">
        <v>17</v>
      </c>
      <c r="G12367" s="7">
        <v>4014277</v>
      </c>
      <c r="H12367" s="7">
        <v>2468</v>
      </c>
      <c r="I12367" s="7">
        <v>76</v>
      </c>
      <c r="J12367" s="7">
        <v>557</v>
      </c>
      <c r="K12367" s="7" t="s">
        <v>18</v>
      </c>
      <c r="L12367" s="8">
        <v>39987.315405092595</v>
      </c>
      <c r="M12367" s="9" t="s">
        <v>19</v>
      </c>
      <c r="N12367" s="9" t="s">
        <v>20</v>
      </c>
      <c r="O12367" s="6" t="str">
        <f>HYPERLINK("https://pbs.twimg.com/profile_images/962471262747529216/Uo8lOkRJ_normal.jpg","View")</f>
        <v>View</v>
      </c>
      <c r="P12367" s="7"/>
    </row>
    <row r="12368" spans="1:16">
      <c r="A12368" s="3">
        <v>44164.810023148151</v>
      </c>
      <c r="B12368" s="4" t="str">
        <f>HYPERLINK("https://twitter.com/petrogustavo","@petrogustavo")</f>
        <v>@petrogustavo</v>
      </c>
      <c r="C12368" s="5" t="s">
        <v>16</v>
      </c>
      <c r="D12368" s="5" t="s">
        <v>11910</v>
      </c>
      <c r="E12368" s="6" t="str">
        <f>HYPERLINK("https://twitter.com/petrogustavo/status/1333047168861659142","1333047168861659142")</f>
        <v>1333047168861659142</v>
      </c>
      <c r="F12368" s="7" t="s">
        <v>17</v>
      </c>
      <c r="G12368" s="7">
        <v>4014305</v>
      </c>
      <c r="H12368" s="7">
        <v>2468</v>
      </c>
      <c r="I12368" s="7">
        <v>38</v>
      </c>
      <c r="J12368" s="7">
        <v>131</v>
      </c>
      <c r="K12368" s="7" t="s">
        <v>18</v>
      </c>
      <c r="L12368" s="8">
        <v>39987.315405092595</v>
      </c>
      <c r="M12368" s="9" t="s">
        <v>19</v>
      </c>
      <c r="N12368" s="9" t="s">
        <v>20</v>
      </c>
      <c r="O12368" s="6" t="str">
        <f>HYPERLINK("https://pbs.twimg.com/profile_images/962471262747529216/Uo8lOkRJ_normal.jpg","View")</f>
        <v>View</v>
      </c>
      <c r="P12368" s="7"/>
    </row>
    <row r="12369" spans="1:16">
      <c r="A12369" s="3">
        <v>44164.819976851853</v>
      </c>
      <c r="B12369" s="4" t="str">
        <f>HYPERLINK("https://twitter.com/petrogustavo","@petrogustavo")</f>
        <v>@petrogustavo</v>
      </c>
      <c r="C12369" s="5" t="s">
        <v>16</v>
      </c>
      <c r="D12369" s="5" t="s">
        <v>11911</v>
      </c>
      <c r="E12369" s="6" t="str">
        <f>HYPERLINK("https://twitter.com/petrogustavo/status/1333050777741488134","1333050777741488134")</f>
        <v>1333050777741488134</v>
      </c>
      <c r="F12369" s="7" t="s">
        <v>17</v>
      </c>
      <c r="G12369" s="7">
        <v>4014305</v>
      </c>
      <c r="H12369" s="7">
        <v>2468</v>
      </c>
      <c r="I12369" s="7">
        <v>23</v>
      </c>
      <c r="J12369" s="7">
        <v>61</v>
      </c>
      <c r="K12369" s="7" t="s">
        <v>18</v>
      </c>
      <c r="L12369" s="8">
        <v>39987.315405092595</v>
      </c>
      <c r="M12369" s="9" t="s">
        <v>19</v>
      </c>
      <c r="N12369" s="9" t="s">
        <v>20</v>
      </c>
      <c r="O12369" s="6" t="str">
        <f>HYPERLINK("https://pbs.twimg.com/profile_images/962471262747529216/Uo8lOkRJ_normal.jpg","View")</f>
        <v>View</v>
      </c>
      <c r="P12369" s="7"/>
    </row>
    <row r="12370" spans="1:16">
      <c r="A12370" s="3">
        <v>44164.96056712963</v>
      </c>
      <c r="B12370" s="4" t="str">
        <f>HYPERLINK("https://twitter.com/petrogustavo","@petrogustavo")</f>
        <v>@petrogustavo</v>
      </c>
      <c r="C12370" s="5" t="s">
        <v>16</v>
      </c>
      <c r="D12370" s="5" t="s">
        <v>11912</v>
      </c>
      <c r="E12370" s="6" t="str">
        <f>HYPERLINK("https://twitter.com/petrogustavo/status/1333101724417085443","1333101724417085443")</f>
        <v>1333101724417085443</v>
      </c>
      <c r="F12370" s="7" t="s">
        <v>17</v>
      </c>
      <c r="G12370" s="7">
        <v>4014380</v>
      </c>
      <c r="H12370" s="7">
        <v>2468</v>
      </c>
      <c r="I12370" s="7">
        <v>173</v>
      </c>
      <c r="J12370" s="7">
        <v>0</v>
      </c>
      <c r="K12370" s="7" t="s">
        <v>18</v>
      </c>
      <c r="L12370" s="8">
        <v>39987.315405092595</v>
      </c>
      <c r="M12370" s="9" t="s">
        <v>19</v>
      </c>
      <c r="N12370" s="9" t="s">
        <v>20</v>
      </c>
      <c r="O12370" s="6" t="str">
        <f>HYPERLINK("https://pbs.twimg.com/profile_images/962471262747529216/Uo8lOkRJ_normal.jpg","View")</f>
        <v>View</v>
      </c>
      <c r="P12370" s="7"/>
    </row>
    <row r="12371" spans="1:16">
      <c r="A12371" s="3">
        <v>44164.960659722223</v>
      </c>
      <c r="B12371" s="4" t="str">
        <f>HYPERLINK("https://twitter.com/petrogustavo","@petrogustavo")</f>
        <v>@petrogustavo</v>
      </c>
      <c r="C12371" s="5" t="s">
        <v>16</v>
      </c>
      <c r="D12371" s="5" t="s">
        <v>11913</v>
      </c>
      <c r="E12371" s="6" t="str">
        <f>HYPERLINK("https://twitter.com/petrogustavo/status/1333101757640093696","1333101757640093696")</f>
        <v>1333101757640093696</v>
      </c>
      <c r="F12371" s="7" t="s">
        <v>17</v>
      </c>
      <c r="G12371" s="7">
        <v>4014380</v>
      </c>
      <c r="H12371" s="7">
        <v>2468</v>
      </c>
      <c r="I12371" s="7">
        <v>201</v>
      </c>
      <c r="J12371" s="7">
        <v>0</v>
      </c>
      <c r="K12371" s="7" t="s">
        <v>18</v>
      </c>
      <c r="L12371" s="8">
        <v>39987.315405092595</v>
      </c>
      <c r="M12371" s="9" t="s">
        <v>19</v>
      </c>
      <c r="N12371" s="9" t="s">
        <v>20</v>
      </c>
      <c r="O12371" s="6" t="str">
        <f>HYPERLINK("https://pbs.twimg.com/profile_images/962471262747529216/Uo8lOkRJ_normal.jpg","View")</f>
        <v>View</v>
      </c>
      <c r="P12371" s="7"/>
    </row>
    <row r="12372" spans="1:16">
      <c r="A12372" s="3">
        <v>44165.235069444447</v>
      </c>
      <c r="B12372" s="4" t="str">
        <f>HYPERLINK("https://twitter.com/petrogustavo","@petrogustavo")</f>
        <v>@petrogustavo</v>
      </c>
      <c r="C12372" s="5" t="s">
        <v>16</v>
      </c>
      <c r="D12372" s="5" t="s">
        <v>11914</v>
      </c>
      <c r="E12372" s="6" t="str">
        <f>HYPERLINK("https://twitter.com/petrogustavo/status/1333201198665535489","1333201198665535489")</f>
        <v>1333201198665535489</v>
      </c>
      <c r="F12372" s="7" t="s">
        <v>22</v>
      </c>
      <c r="G12372" s="7">
        <v>4014507</v>
      </c>
      <c r="H12372" s="7">
        <v>2468</v>
      </c>
      <c r="I12372" s="7">
        <v>66</v>
      </c>
      <c r="J12372" s="7">
        <v>191</v>
      </c>
      <c r="K12372" s="7" t="s">
        <v>18</v>
      </c>
      <c r="L12372" s="8">
        <v>39987.315405092595</v>
      </c>
      <c r="M12372" s="9" t="s">
        <v>19</v>
      </c>
      <c r="N12372" s="9" t="s">
        <v>20</v>
      </c>
      <c r="O12372" s="6" t="str">
        <f>HYPERLINK("https://pbs.twimg.com/profile_images/962471262747529216/Uo8lOkRJ_normal.jpg","View")</f>
        <v>View</v>
      </c>
      <c r="P12372" s="7"/>
    </row>
    <row r="12373" spans="1:16">
      <c r="A12373" s="3">
        <v>44165.33457175926</v>
      </c>
      <c r="B12373" s="4" t="str">
        <f>HYPERLINK("https://twitter.com/petrogustavo","@petrogustavo")</f>
        <v>@petrogustavo</v>
      </c>
      <c r="C12373" s="5" t="s">
        <v>16</v>
      </c>
      <c r="D12373" s="5" t="s">
        <v>11915</v>
      </c>
      <c r="E12373" s="6" t="str">
        <f>HYPERLINK("https://twitter.com/petrogustavo/status/1333237258988769281","1333237258988769281")</f>
        <v>1333237258988769281</v>
      </c>
      <c r="F12373" s="7" t="s">
        <v>17</v>
      </c>
      <c r="G12373" s="7">
        <v>4014583</v>
      </c>
      <c r="H12373" s="7">
        <v>2468</v>
      </c>
      <c r="I12373" s="7">
        <v>282</v>
      </c>
      <c r="J12373" s="7">
        <v>0</v>
      </c>
      <c r="K12373" s="7" t="s">
        <v>18</v>
      </c>
      <c r="L12373" s="8">
        <v>39987.315405092595</v>
      </c>
      <c r="M12373" s="9" t="s">
        <v>19</v>
      </c>
      <c r="N12373" s="9" t="s">
        <v>20</v>
      </c>
      <c r="O12373" s="6" t="str">
        <f>HYPERLINK("https://pbs.twimg.com/profile_images/962471262747529216/Uo8lOkRJ_normal.jpg","View")</f>
        <v>View</v>
      </c>
      <c r="P12373" s="7"/>
    </row>
    <row r="12374" spans="1:16">
      <c r="A12374" s="3">
        <v>44165.335289351853</v>
      </c>
      <c r="B12374" s="4" t="str">
        <f>HYPERLINK("https://twitter.com/petrogustavo","@petrogustavo")</f>
        <v>@petrogustavo</v>
      </c>
      <c r="C12374" s="5" t="s">
        <v>16</v>
      </c>
      <c r="D12374" s="5" t="s">
        <v>11916</v>
      </c>
      <c r="E12374" s="6" t="str">
        <f>HYPERLINK("https://twitter.com/petrogustavo/status/1333237520126062594","1333237520126062594")</f>
        <v>1333237520126062594</v>
      </c>
      <c r="F12374" s="7" t="s">
        <v>17</v>
      </c>
      <c r="G12374" s="7">
        <v>4014583</v>
      </c>
      <c r="H12374" s="7">
        <v>2468</v>
      </c>
      <c r="I12374" s="7">
        <v>399</v>
      </c>
      <c r="J12374" s="7">
        <v>0</v>
      </c>
      <c r="K12374" s="7" t="s">
        <v>18</v>
      </c>
      <c r="L12374" s="8">
        <v>39987.315405092595</v>
      </c>
      <c r="M12374" s="9" t="s">
        <v>19</v>
      </c>
      <c r="N12374" s="9" t="s">
        <v>20</v>
      </c>
      <c r="O12374" s="6" t="str">
        <f>HYPERLINK("https://pbs.twimg.com/profile_images/962471262747529216/Uo8lOkRJ_normal.jpg","View")</f>
        <v>View</v>
      </c>
      <c r="P12374" s="7"/>
    </row>
    <row r="12375" spans="1:16">
      <c r="A12375" s="3">
        <v>44165.355208333334</v>
      </c>
      <c r="B12375" s="4" t="str">
        <f>HYPERLINK("https://twitter.com/petrogustavo","@petrogustavo")</f>
        <v>@petrogustavo</v>
      </c>
      <c r="C12375" s="5" t="s">
        <v>16</v>
      </c>
      <c r="D12375" s="5" t="s">
        <v>11917</v>
      </c>
      <c r="E12375" s="6" t="str">
        <f>HYPERLINK("https://twitter.com/petrogustavo/status/1333244737558630403","1333244737558630403")</f>
        <v>1333244737558630403</v>
      </c>
      <c r="F12375" s="7" t="s">
        <v>32</v>
      </c>
      <c r="G12375" s="7">
        <v>4014590</v>
      </c>
      <c r="H12375" s="7">
        <v>2468</v>
      </c>
      <c r="I12375" s="7">
        <v>76</v>
      </c>
      <c r="J12375" s="7">
        <v>0</v>
      </c>
      <c r="K12375" s="7" t="s">
        <v>18</v>
      </c>
      <c r="L12375" s="8">
        <v>39987.315405092595</v>
      </c>
      <c r="M12375" s="9" t="s">
        <v>19</v>
      </c>
      <c r="N12375" s="9" t="s">
        <v>20</v>
      </c>
      <c r="O12375" s="6" t="str">
        <f>HYPERLINK("https://pbs.twimg.com/profile_images/962471262747529216/Uo8lOkRJ_normal.jpg","View")</f>
        <v>View</v>
      </c>
      <c r="P12375" s="7"/>
    </row>
    <row r="12376" spans="1:16">
      <c r="A12376" s="3">
        <v>44165.357175925921</v>
      </c>
      <c r="B12376" s="4" t="str">
        <f>HYPERLINK("https://twitter.com/petrogustavo","@petrogustavo")</f>
        <v>@petrogustavo</v>
      </c>
      <c r="C12376" s="5" t="s">
        <v>16</v>
      </c>
      <c r="D12376" s="5" t="s">
        <v>11918</v>
      </c>
      <c r="E12376" s="6" t="str">
        <f>HYPERLINK("https://twitter.com/petrogustavo/status/1333245449772408832","1333245449772408832")</f>
        <v>1333245449772408832</v>
      </c>
      <c r="F12376" s="7" t="s">
        <v>32</v>
      </c>
      <c r="G12376" s="7">
        <v>4014590</v>
      </c>
      <c r="H12376" s="7">
        <v>2468</v>
      </c>
      <c r="I12376" s="7">
        <v>103</v>
      </c>
      <c r="J12376" s="7">
        <v>230</v>
      </c>
      <c r="K12376" s="7" t="s">
        <v>18</v>
      </c>
      <c r="L12376" s="8">
        <v>39987.315405092595</v>
      </c>
      <c r="M12376" s="9" t="s">
        <v>19</v>
      </c>
      <c r="N12376" s="9" t="s">
        <v>20</v>
      </c>
      <c r="O12376" s="6" t="str">
        <f>HYPERLINK("https://pbs.twimg.com/profile_images/962471262747529216/Uo8lOkRJ_normal.jpg","View")</f>
        <v>View</v>
      </c>
      <c r="P12376" s="7"/>
    </row>
    <row r="12377" spans="1:16">
      <c r="A12377" s="3">
        <v>44165.359537037039</v>
      </c>
      <c r="B12377" s="4" t="str">
        <f>HYPERLINK("https://twitter.com/petrogustavo","@petrogustavo")</f>
        <v>@petrogustavo</v>
      </c>
      <c r="C12377" s="5" t="s">
        <v>16</v>
      </c>
      <c r="D12377" s="5" t="s">
        <v>11919</v>
      </c>
      <c r="E12377" s="6" t="str">
        <f>HYPERLINK("https://twitter.com/petrogustavo/status/1333246305985032192","1333246305985032192")</f>
        <v>1333246305985032192</v>
      </c>
      <c r="F12377" s="7" t="s">
        <v>32</v>
      </c>
      <c r="G12377" s="7">
        <v>4014590</v>
      </c>
      <c r="H12377" s="7">
        <v>2468</v>
      </c>
      <c r="I12377" s="7">
        <v>38</v>
      </c>
      <c r="J12377" s="7">
        <v>157</v>
      </c>
      <c r="K12377" s="7" t="s">
        <v>18</v>
      </c>
      <c r="L12377" s="8">
        <v>39987.315405092595</v>
      </c>
      <c r="M12377" s="9" t="s">
        <v>19</v>
      </c>
      <c r="N12377" s="9" t="s">
        <v>20</v>
      </c>
      <c r="O12377" s="6" t="str">
        <f>HYPERLINK("https://pbs.twimg.com/profile_images/962471262747529216/Uo8lOkRJ_normal.jpg","View")</f>
        <v>View</v>
      </c>
      <c r="P12377" s="7"/>
    </row>
    <row r="12378" spans="1:16">
      <c r="A12378" s="3">
        <v>44165.360462962963</v>
      </c>
      <c r="B12378" s="4" t="str">
        <f>HYPERLINK("https://twitter.com/petrogustavo","@petrogustavo")</f>
        <v>@petrogustavo</v>
      </c>
      <c r="C12378" s="5" t="s">
        <v>16</v>
      </c>
      <c r="D12378" s="5" t="s">
        <v>11920</v>
      </c>
      <c r="E12378" s="6" t="str">
        <f>HYPERLINK("https://twitter.com/petrogustavo/status/1333246639545397249","1333246639545397249")</f>
        <v>1333246639545397249</v>
      </c>
      <c r="F12378" s="7" t="s">
        <v>21</v>
      </c>
      <c r="G12378" s="7">
        <v>4014590</v>
      </c>
      <c r="H12378" s="7">
        <v>2468</v>
      </c>
      <c r="I12378" s="7">
        <v>29</v>
      </c>
      <c r="J12378" s="7">
        <v>80</v>
      </c>
      <c r="K12378" s="7" t="s">
        <v>18</v>
      </c>
      <c r="L12378" s="8">
        <v>39987.315405092595</v>
      </c>
      <c r="M12378" s="9" t="s">
        <v>19</v>
      </c>
      <c r="N12378" s="9" t="s">
        <v>20</v>
      </c>
      <c r="O12378" s="6" t="str">
        <f>HYPERLINK("https://pbs.twimg.com/profile_images/962471262747529216/Uo8lOkRJ_normal.jpg","View")</f>
        <v>View</v>
      </c>
      <c r="P12378" s="7"/>
    </row>
    <row r="12379" spans="1:16">
      <c r="A12379" s="3">
        <v>44165.360601851848</v>
      </c>
      <c r="B12379" s="4" t="str">
        <f>HYPERLINK("https://twitter.com/petrogustavo","@petrogustavo")</f>
        <v>@petrogustavo</v>
      </c>
      <c r="C12379" s="5" t="s">
        <v>16</v>
      </c>
      <c r="D12379" s="5" t="s">
        <v>11921</v>
      </c>
      <c r="E12379" s="6" t="str">
        <f>HYPERLINK("https://twitter.com/petrogustavo/status/1333246691936526337","1333246691936526337")</f>
        <v>1333246691936526337</v>
      </c>
      <c r="F12379" s="7" t="s">
        <v>21</v>
      </c>
      <c r="G12379" s="7">
        <v>4014590</v>
      </c>
      <c r="H12379" s="7">
        <v>2468</v>
      </c>
      <c r="I12379" s="7">
        <v>17</v>
      </c>
      <c r="J12379" s="7">
        <v>50</v>
      </c>
      <c r="K12379" s="7" t="s">
        <v>18</v>
      </c>
      <c r="L12379" s="8">
        <v>39987.315405092595</v>
      </c>
      <c r="M12379" s="9" t="s">
        <v>19</v>
      </c>
      <c r="N12379" s="9" t="s">
        <v>20</v>
      </c>
      <c r="O12379" s="6" t="str">
        <f>HYPERLINK("https://pbs.twimg.com/profile_images/962471262747529216/Uo8lOkRJ_normal.jpg","View")</f>
        <v>View</v>
      </c>
      <c r="P12379" s="7"/>
    </row>
    <row r="12380" spans="1:16">
      <c r="A12380" s="3">
        <v>44165.360775462963</v>
      </c>
      <c r="B12380" s="4" t="str">
        <f>HYPERLINK("https://twitter.com/petrogustavo","@petrogustavo")</f>
        <v>@petrogustavo</v>
      </c>
      <c r="C12380" s="5" t="s">
        <v>16</v>
      </c>
      <c r="D12380" s="5" t="s">
        <v>11922</v>
      </c>
      <c r="E12380" s="6" t="str">
        <f>HYPERLINK("https://twitter.com/petrogustavo/status/1333246755920613376","1333246755920613376")</f>
        <v>1333246755920613376</v>
      </c>
      <c r="F12380" s="7" t="s">
        <v>21</v>
      </c>
      <c r="G12380" s="7">
        <v>4014590</v>
      </c>
      <c r="H12380" s="7">
        <v>2468</v>
      </c>
      <c r="I12380" s="7">
        <v>25</v>
      </c>
      <c r="J12380" s="7">
        <v>67</v>
      </c>
      <c r="K12380" s="7" t="s">
        <v>18</v>
      </c>
      <c r="L12380" s="8">
        <v>39987.315405092595</v>
      </c>
      <c r="M12380" s="9" t="s">
        <v>19</v>
      </c>
      <c r="N12380" s="9" t="s">
        <v>20</v>
      </c>
      <c r="O12380" s="6" t="str">
        <f>HYPERLINK("https://pbs.twimg.com/profile_images/962471262747529216/Uo8lOkRJ_normal.jpg","View")</f>
        <v>View</v>
      </c>
      <c r="P12380" s="7"/>
    </row>
    <row r="12381" spans="1:16">
      <c r="A12381" s="3">
        <v>44165.360972222217</v>
      </c>
      <c r="B12381" s="4" t="str">
        <f>HYPERLINK("https://twitter.com/petrogustavo","@petrogustavo")</f>
        <v>@petrogustavo</v>
      </c>
      <c r="C12381" s="5" t="s">
        <v>16</v>
      </c>
      <c r="D12381" s="5" t="s">
        <v>11923</v>
      </c>
      <c r="E12381" s="6" t="str">
        <f>HYPERLINK("https://twitter.com/petrogustavo/status/1333246825978097664","1333246825978097664")</f>
        <v>1333246825978097664</v>
      </c>
      <c r="F12381" s="7" t="s">
        <v>21</v>
      </c>
      <c r="G12381" s="7">
        <v>4014590</v>
      </c>
      <c r="H12381" s="7">
        <v>2468</v>
      </c>
      <c r="I12381" s="7">
        <v>22</v>
      </c>
      <c r="J12381" s="7">
        <v>68</v>
      </c>
      <c r="K12381" s="7" t="s">
        <v>18</v>
      </c>
      <c r="L12381" s="8">
        <v>39987.315405092595</v>
      </c>
      <c r="M12381" s="9" t="s">
        <v>19</v>
      </c>
      <c r="N12381" s="9" t="s">
        <v>20</v>
      </c>
      <c r="O12381" s="6" t="str">
        <f>HYPERLINK("https://pbs.twimg.com/profile_images/962471262747529216/Uo8lOkRJ_normal.jpg","View")</f>
        <v>View</v>
      </c>
      <c r="P12381" s="7"/>
    </row>
    <row r="12382" spans="1:16">
      <c r="A12382" s="3">
        <v>44165.361145833333</v>
      </c>
      <c r="B12382" s="4" t="str">
        <f>HYPERLINK("https://twitter.com/petrogustavo","@petrogustavo")</f>
        <v>@petrogustavo</v>
      </c>
      <c r="C12382" s="5" t="s">
        <v>16</v>
      </c>
      <c r="D12382" s="5" t="s">
        <v>11924</v>
      </c>
      <c r="E12382" s="6" t="str">
        <f>HYPERLINK("https://twitter.com/petrogustavo/status/1333246888385122306","1333246888385122306")</f>
        <v>1333246888385122306</v>
      </c>
      <c r="F12382" s="7" t="s">
        <v>21</v>
      </c>
      <c r="G12382" s="7">
        <v>4014590</v>
      </c>
      <c r="H12382" s="7">
        <v>2468</v>
      </c>
      <c r="I12382" s="7">
        <v>20</v>
      </c>
      <c r="J12382" s="7">
        <v>37</v>
      </c>
      <c r="K12382" s="7" t="s">
        <v>18</v>
      </c>
      <c r="L12382" s="8">
        <v>39987.315405092595</v>
      </c>
      <c r="M12382" s="9" t="s">
        <v>19</v>
      </c>
      <c r="N12382" s="9" t="s">
        <v>20</v>
      </c>
      <c r="O12382" s="6" t="str">
        <f>HYPERLINK("https://pbs.twimg.com/profile_images/962471262747529216/Uo8lOkRJ_normal.jpg","View")</f>
        <v>View</v>
      </c>
      <c r="P12382" s="7"/>
    </row>
    <row r="12383" spans="1:16">
      <c r="A12383" s="3">
        <v>44165.361307870371</v>
      </c>
      <c r="B12383" s="4" t="str">
        <f>HYPERLINK("https://twitter.com/petrogustavo","@petrogustavo")</f>
        <v>@petrogustavo</v>
      </c>
      <c r="C12383" s="5" t="s">
        <v>16</v>
      </c>
      <c r="D12383" s="5" t="s">
        <v>11925</v>
      </c>
      <c r="E12383" s="6" t="str">
        <f>HYPERLINK("https://twitter.com/petrogustavo/status/1333246948745375745","1333246948745375745")</f>
        <v>1333246948745375745</v>
      </c>
      <c r="F12383" s="7" t="s">
        <v>21</v>
      </c>
      <c r="G12383" s="7">
        <v>4014590</v>
      </c>
      <c r="H12383" s="7">
        <v>2468</v>
      </c>
      <c r="I12383" s="7">
        <v>27</v>
      </c>
      <c r="J12383" s="7">
        <v>63</v>
      </c>
      <c r="K12383" s="7" t="s">
        <v>18</v>
      </c>
      <c r="L12383" s="8">
        <v>39987.315405092595</v>
      </c>
      <c r="M12383" s="9" t="s">
        <v>19</v>
      </c>
      <c r="N12383" s="9" t="s">
        <v>20</v>
      </c>
      <c r="O12383" s="6" t="str">
        <f>HYPERLINK("https://pbs.twimg.com/profile_images/962471262747529216/Uo8lOkRJ_normal.jpg","View")</f>
        <v>View</v>
      </c>
      <c r="P12383" s="7"/>
    </row>
    <row r="12384" spans="1:16">
      <c r="A12384" s="3">
        <v>44165.361481481479</v>
      </c>
      <c r="B12384" s="4" t="str">
        <f>HYPERLINK("https://twitter.com/petrogustavo","@petrogustavo")</f>
        <v>@petrogustavo</v>
      </c>
      <c r="C12384" s="5" t="s">
        <v>16</v>
      </c>
      <c r="D12384" s="5" t="s">
        <v>11926</v>
      </c>
      <c r="E12384" s="6" t="str">
        <f>HYPERLINK("https://twitter.com/petrogustavo/status/1333247008895856640","1333247008895856640")</f>
        <v>1333247008895856640</v>
      </c>
      <c r="F12384" s="7" t="s">
        <v>21</v>
      </c>
      <c r="G12384" s="7">
        <v>4014590</v>
      </c>
      <c r="H12384" s="7">
        <v>2468</v>
      </c>
      <c r="I12384" s="7">
        <v>21</v>
      </c>
      <c r="J12384" s="7">
        <v>58</v>
      </c>
      <c r="K12384" s="7" t="s">
        <v>18</v>
      </c>
      <c r="L12384" s="8">
        <v>39987.315405092595</v>
      </c>
      <c r="M12384" s="9" t="s">
        <v>19</v>
      </c>
      <c r="N12384" s="9" t="s">
        <v>20</v>
      </c>
      <c r="O12384" s="6" t="str">
        <f>HYPERLINK("https://pbs.twimg.com/profile_images/962471262747529216/Uo8lOkRJ_normal.jpg","View")</f>
        <v>View</v>
      </c>
      <c r="P12384" s="7"/>
    </row>
    <row r="12385" spans="1:16">
      <c r="A12385" s="3">
        <v>44165.361655092594</v>
      </c>
      <c r="B12385" s="4" t="str">
        <f>HYPERLINK("https://twitter.com/petrogustavo","@petrogustavo")</f>
        <v>@petrogustavo</v>
      </c>
      <c r="C12385" s="5" t="s">
        <v>16</v>
      </c>
      <c r="D12385" s="5" t="s">
        <v>11927</v>
      </c>
      <c r="E12385" s="6" t="str">
        <f>HYPERLINK("https://twitter.com/petrogustavo/status/1333247075132248065","1333247075132248065")</f>
        <v>1333247075132248065</v>
      </c>
      <c r="F12385" s="7" t="s">
        <v>21</v>
      </c>
      <c r="G12385" s="7">
        <v>4014590</v>
      </c>
      <c r="H12385" s="7">
        <v>2468</v>
      </c>
      <c r="I12385" s="7">
        <v>21</v>
      </c>
      <c r="J12385" s="7">
        <v>51</v>
      </c>
      <c r="K12385" s="7" t="s">
        <v>18</v>
      </c>
      <c r="L12385" s="8">
        <v>39987.315405092595</v>
      </c>
      <c r="M12385" s="9" t="s">
        <v>19</v>
      </c>
      <c r="N12385" s="9" t="s">
        <v>20</v>
      </c>
      <c r="O12385" s="6" t="str">
        <f>HYPERLINK("https://pbs.twimg.com/profile_images/962471262747529216/Uo8lOkRJ_normal.jpg","View")</f>
        <v>View</v>
      </c>
      <c r="P12385" s="7"/>
    </row>
    <row r="12386" spans="1:16">
      <c r="A12386" s="3">
        <v>44165.361875000002</v>
      </c>
      <c r="B12386" s="4" t="str">
        <f>HYPERLINK("https://twitter.com/petrogustavo","@petrogustavo")</f>
        <v>@petrogustavo</v>
      </c>
      <c r="C12386" s="5" t="s">
        <v>16</v>
      </c>
      <c r="D12386" s="5" t="s">
        <v>11928</v>
      </c>
      <c r="E12386" s="6" t="str">
        <f>HYPERLINK("https://twitter.com/petrogustavo/status/1333247152882069504","1333247152882069504")</f>
        <v>1333247152882069504</v>
      </c>
      <c r="F12386" s="7" t="s">
        <v>21</v>
      </c>
      <c r="G12386" s="7">
        <v>4014590</v>
      </c>
      <c r="H12386" s="7">
        <v>2468</v>
      </c>
      <c r="I12386" s="7">
        <v>38</v>
      </c>
      <c r="J12386" s="7">
        <v>84</v>
      </c>
      <c r="K12386" s="7" t="s">
        <v>18</v>
      </c>
      <c r="L12386" s="8">
        <v>39987.315405092595</v>
      </c>
      <c r="M12386" s="9" t="s">
        <v>19</v>
      </c>
      <c r="N12386" s="9" t="s">
        <v>20</v>
      </c>
      <c r="O12386" s="6" t="str">
        <f>HYPERLINK("https://pbs.twimg.com/profile_images/962471262747529216/Uo8lOkRJ_normal.jpg","View")</f>
        <v>View</v>
      </c>
      <c r="P12386" s="7"/>
    </row>
    <row r="12387" spans="1:16">
      <c r="A12387" s="3">
        <v>44165.716956018514</v>
      </c>
      <c r="B12387" s="4" t="str">
        <f>HYPERLINK("https://twitter.com/petrogustavo","@petrogustavo")</f>
        <v>@petrogustavo</v>
      </c>
      <c r="C12387" s="5" t="s">
        <v>16</v>
      </c>
      <c r="D12387" s="5" t="s">
        <v>11929</v>
      </c>
      <c r="E12387" s="6" t="str">
        <f>HYPERLINK("https://twitter.com/petrogustavo/status/1333375829007589376","1333375829007589376")</f>
        <v>1333375829007589376</v>
      </c>
      <c r="F12387" s="7" t="s">
        <v>17</v>
      </c>
      <c r="G12387" s="7">
        <v>4014611</v>
      </c>
      <c r="H12387" s="7">
        <v>2467</v>
      </c>
      <c r="I12387" s="7">
        <v>34</v>
      </c>
      <c r="J12387" s="7">
        <v>98</v>
      </c>
      <c r="K12387" s="7" t="s">
        <v>18</v>
      </c>
      <c r="L12387" s="8">
        <v>39987.315405092595</v>
      </c>
      <c r="M12387" s="9" t="s">
        <v>19</v>
      </c>
      <c r="N12387" s="9" t="s">
        <v>20</v>
      </c>
      <c r="O12387" s="6" t="str">
        <f>HYPERLINK("https://pbs.twimg.com/profile_images/962471262747529216/Uo8lOkRJ_normal.jpg","View")</f>
        <v>View</v>
      </c>
      <c r="P12387" s="7"/>
    </row>
    <row r="12388" spans="1:16">
      <c r="A12388" s="3">
        <v>44165.718599537038</v>
      </c>
      <c r="B12388" s="4" t="str">
        <f>HYPERLINK("https://twitter.com/petrogustavo","@petrogustavo")</f>
        <v>@petrogustavo</v>
      </c>
      <c r="C12388" s="5" t="s">
        <v>16</v>
      </c>
      <c r="D12388" s="5" t="s">
        <v>24</v>
      </c>
      <c r="E12388" s="6" t="str">
        <f>HYPERLINK("https://twitter.com/petrogustavo/status/1333376423986343936","1333376423986343936")</f>
        <v>1333376423986343936</v>
      </c>
      <c r="F12388" s="7" t="s">
        <v>17</v>
      </c>
      <c r="G12388" s="7">
        <v>4014611</v>
      </c>
      <c r="H12388" s="7">
        <v>2467</v>
      </c>
      <c r="I12388" s="7">
        <v>996</v>
      </c>
      <c r="J12388" s="7">
        <v>0</v>
      </c>
      <c r="K12388" s="7" t="s">
        <v>18</v>
      </c>
      <c r="L12388" s="8">
        <v>39987.315405092595</v>
      </c>
      <c r="M12388" s="9" t="s">
        <v>19</v>
      </c>
      <c r="N12388" s="9" t="s">
        <v>20</v>
      </c>
      <c r="O12388" s="6" t="str">
        <f>HYPERLINK("https://pbs.twimg.com/profile_images/962471262747529216/Uo8lOkRJ_normal.jpg","View")</f>
        <v>View</v>
      </c>
      <c r="P12388" s="7"/>
    </row>
    <row r="12389" spans="1:16">
      <c r="A12389" s="3">
        <v>44165.733912037038</v>
      </c>
      <c r="B12389" s="4" t="str">
        <f>HYPERLINK("https://twitter.com/petrogustavo","@petrogustavo")</f>
        <v>@petrogustavo</v>
      </c>
      <c r="C12389" s="5" t="s">
        <v>16</v>
      </c>
      <c r="D12389" s="5" t="s">
        <v>11930</v>
      </c>
      <c r="E12389" s="6" t="str">
        <f>HYPERLINK("https://twitter.com/petrogustavo/status/1333381974216597505","1333381974216597505")</f>
        <v>1333381974216597505</v>
      </c>
      <c r="F12389" s="7" t="s">
        <v>17</v>
      </c>
      <c r="G12389" s="7">
        <v>4014619</v>
      </c>
      <c r="H12389" s="7">
        <v>2467</v>
      </c>
      <c r="I12389" s="7">
        <v>65</v>
      </c>
      <c r="J12389" s="7">
        <v>138</v>
      </c>
      <c r="K12389" s="7" t="s">
        <v>18</v>
      </c>
      <c r="L12389" s="8">
        <v>39987.315405092595</v>
      </c>
      <c r="M12389" s="9" t="s">
        <v>19</v>
      </c>
      <c r="N12389" s="9" t="s">
        <v>20</v>
      </c>
      <c r="O12389" s="6" t="str">
        <f>HYPERLINK("https://pbs.twimg.com/profile_images/962471262747529216/Uo8lOkRJ_normal.jpg","View")</f>
        <v>View</v>
      </c>
      <c r="P12389" s="7"/>
    </row>
    <row r="12390" spans="1:16">
      <c r="A12390" s="3">
        <v>44165.738333333335</v>
      </c>
      <c r="B12390" s="4" t="str">
        <f>HYPERLINK("https://twitter.com/petrogustavo","@petrogustavo")</f>
        <v>@petrogustavo</v>
      </c>
      <c r="C12390" s="5" t="s">
        <v>16</v>
      </c>
      <c r="D12390" s="5" t="s">
        <v>26</v>
      </c>
      <c r="E12390" s="6" t="str">
        <f>HYPERLINK("https://twitter.com/petrogustavo/status/1333383575387992066","1333383575387992066")</f>
        <v>1333383575387992066</v>
      </c>
      <c r="F12390" s="7" t="s">
        <v>17</v>
      </c>
      <c r="G12390" s="7">
        <v>4014619</v>
      </c>
      <c r="H12390" s="7">
        <v>2467</v>
      </c>
      <c r="I12390" s="7">
        <v>5159</v>
      </c>
      <c r="J12390" s="7">
        <v>0</v>
      </c>
      <c r="K12390" s="7" t="s">
        <v>18</v>
      </c>
      <c r="L12390" s="8">
        <v>39987.315405092595</v>
      </c>
      <c r="M12390" s="9" t="s">
        <v>19</v>
      </c>
      <c r="N12390" s="9" t="s">
        <v>20</v>
      </c>
      <c r="O12390" s="6" t="str">
        <f>HYPERLINK("https://pbs.twimg.com/profile_images/962471262747529216/Uo8lOkRJ_normal.jpg","View")</f>
        <v>View</v>
      </c>
      <c r="P12390" s="7"/>
    </row>
    <row r="12391" spans="1:16">
      <c r="A12391" s="3">
        <v>44165.744942129633</v>
      </c>
      <c r="B12391" s="4" t="str">
        <f>HYPERLINK("https://twitter.com/petrogustavo","@petrogustavo")</f>
        <v>@petrogustavo</v>
      </c>
      <c r="C12391" s="5" t="s">
        <v>16</v>
      </c>
      <c r="D12391" s="5" t="s">
        <v>11931</v>
      </c>
      <c r="E12391" s="6" t="str">
        <f>HYPERLINK("https://twitter.com/petrogustavo/status/1333385970608205834","1333385970608205834")</f>
        <v>1333385970608205834</v>
      </c>
      <c r="F12391" s="7" t="s">
        <v>17</v>
      </c>
      <c r="G12391" s="7">
        <v>4014623</v>
      </c>
      <c r="H12391" s="7">
        <v>2467</v>
      </c>
      <c r="I12391" s="7">
        <v>80</v>
      </c>
      <c r="J12391" s="7">
        <v>0</v>
      </c>
      <c r="K12391" s="7" t="s">
        <v>18</v>
      </c>
      <c r="L12391" s="8">
        <v>39987.315405092595</v>
      </c>
      <c r="M12391" s="9" t="s">
        <v>19</v>
      </c>
      <c r="N12391" s="9" t="s">
        <v>20</v>
      </c>
      <c r="O12391" s="6" t="str">
        <f>HYPERLINK("https://pbs.twimg.com/profile_images/962471262747529216/Uo8lOkRJ_normal.jpg","View")</f>
        <v>View</v>
      </c>
      <c r="P12391" s="7"/>
    </row>
    <row r="12392" spans="1:16">
      <c r="A12392" s="3">
        <v>44165.750127314815</v>
      </c>
      <c r="B12392" s="4" t="str">
        <f>HYPERLINK("https://twitter.com/petrogustavo","@petrogustavo")</f>
        <v>@petrogustavo</v>
      </c>
      <c r="C12392" s="5" t="s">
        <v>16</v>
      </c>
      <c r="D12392" s="5" t="s">
        <v>11932</v>
      </c>
      <c r="E12392" s="6" t="str">
        <f>HYPERLINK("https://twitter.com/petrogustavo/status/1333387852672069632","1333387852672069632")</f>
        <v>1333387852672069632</v>
      </c>
      <c r="F12392" s="7" t="s">
        <v>17</v>
      </c>
      <c r="G12392" s="7">
        <v>4014623</v>
      </c>
      <c r="H12392" s="7">
        <v>2467</v>
      </c>
      <c r="I12392" s="7">
        <v>84</v>
      </c>
      <c r="J12392" s="7">
        <v>419</v>
      </c>
      <c r="K12392" s="7" t="s">
        <v>18</v>
      </c>
      <c r="L12392" s="8">
        <v>39987.315405092595</v>
      </c>
      <c r="M12392" s="9" t="s">
        <v>19</v>
      </c>
      <c r="N12392" s="9" t="s">
        <v>20</v>
      </c>
      <c r="O12392" s="6" t="str">
        <f>HYPERLINK("https://pbs.twimg.com/profile_images/962471262747529216/Uo8lOkRJ_normal.jpg","View")</f>
        <v>View</v>
      </c>
      <c r="P12392" s="7"/>
    </row>
    <row r="12393" spans="1:16">
      <c r="A12393" s="3">
        <v>44165.754293981481</v>
      </c>
      <c r="B12393" s="4" t="str">
        <f>HYPERLINK("https://twitter.com/petrogustavo","@petrogustavo")</f>
        <v>@petrogustavo</v>
      </c>
      <c r="C12393" s="5" t="s">
        <v>16</v>
      </c>
      <c r="D12393" s="5" t="s">
        <v>11933</v>
      </c>
      <c r="E12393" s="6" t="str">
        <f>HYPERLINK("https://twitter.com/petrogustavo/status/1333389362655006722","1333389362655006722")</f>
        <v>1333389362655006722</v>
      </c>
      <c r="F12393" s="7" t="s">
        <v>17</v>
      </c>
      <c r="G12393" s="7">
        <v>4014623</v>
      </c>
      <c r="H12393" s="7">
        <v>2467</v>
      </c>
      <c r="I12393" s="7">
        <v>1691</v>
      </c>
      <c r="J12393" s="7">
        <v>0</v>
      </c>
      <c r="K12393" s="7" t="s">
        <v>18</v>
      </c>
      <c r="L12393" s="8">
        <v>39987.315405092595</v>
      </c>
      <c r="M12393" s="9" t="s">
        <v>19</v>
      </c>
      <c r="N12393" s="9" t="s">
        <v>20</v>
      </c>
      <c r="O12393" s="6" t="str">
        <f>HYPERLINK("https://pbs.twimg.com/profile_images/962471262747529216/Uo8lOkRJ_normal.jpg","View")</f>
        <v>View</v>
      </c>
      <c r="P12393" s="7"/>
    </row>
    <row r="12394" spans="1:16">
      <c r="A12394" s="3">
        <v>44165.754861111112</v>
      </c>
      <c r="B12394" s="4" t="str">
        <f>HYPERLINK("https://twitter.com/petrogustavo","@petrogustavo")</f>
        <v>@petrogustavo</v>
      </c>
      <c r="C12394" s="5" t="s">
        <v>16</v>
      </c>
      <c r="D12394" s="5" t="s">
        <v>11934</v>
      </c>
      <c r="E12394" s="6" t="str">
        <f>HYPERLINK("https://twitter.com/petrogustavo/status/1333389565806120962","1333389565806120962")</f>
        <v>1333389565806120962</v>
      </c>
      <c r="F12394" s="7" t="s">
        <v>17</v>
      </c>
      <c r="G12394" s="7">
        <v>4014623</v>
      </c>
      <c r="H12394" s="7">
        <v>2467</v>
      </c>
      <c r="I12394" s="7">
        <v>84</v>
      </c>
      <c r="J12394" s="7">
        <v>0</v>
      </c>
      <c r="K12394" s="7" t="s">
        <v>18</v>
      </c>
      <c r="L12394" s="8">
        <v>39987.315405092595</v>
      </c>
      <c r="M12394" s="9" t="s">
        <v>19</v>
      </c>
      <c r="N12394" s="9" t="s">
        <v>20</v>
      </c>
      <c r="O12394" s="6" t="str">
        <f>HYPERLINK("https://pbs.twimg.com/profile_images/962471262747529216/Uo8lOkRJ_normal.jpg","View")</f>
        <v>View</v>
      </c>
      <c r="P12394" s="7"/>
    </row>
    <row r="12395" spans="1:16">
      <c r="A12395" s="3">
        <v>44165.755682870367</v>
      </c>
      <c r="B12395" s="4" t="str">
        <f>HYPERLINK("https://twitter.com/petrogustavo","@petrogustavo")</f>
        <v>@petrogustavo</v>
      </c>
      <c r="C12395" s="5" t="s">
        <v>16</v>
      </c>
      <c r="D12395" s="5" t="s">
        <v>11935</v>
      </c>
      <c r="E12395" s="6" t="str">
        <f>HYPERLINK("https://twitter.com/petrogustavo/status/1333389862674837504","1333389862674837504")</f>
        <v>1333389862674837504</v>
      </c>
      <c r="F12395" s="7" t="s">
        <v>17</v>
      </c>
      <c r="G12395" s="7">
        <v>4014623</v>
      </c>
      <c r="H12395" s="7">
        <v>2467</v>
      </c>
      <c r="I12395" s="7">
        <v>388</v>
      </c>
      <c r="J12395" s="7">
        <v>0</v>
      </c>
      <c r="K12395" s="7" t="s">
        <v>18</v>
      </c>
      <c r="L12395" s="8">
        <v>39987.315405092595</v>
      </c>
      <c r="M12395" s="9" t="s">
        <v>19</v>
      </c>
      <c r="N12395" s="9" t="s">
        <v>20</v>
      </c>
      <c r="O12395" s="6" t="str">
        <f>HYPERLINK("https://pbs.twimg.com/profile_images/962471262747529216/Uo8lOkRJ_normal.jpg","View")</f>
        <v>View</v>
      </c>
      <c r="P12395" s="7"/>
    </row>
    <row r="12396" spans="1:16">
      <c r="A12396" s="3">
        <v>44165.75571759259</v>
      </c>
      <c r="B12396" s="4" t="str">
        <f>HYPERLINK("https://twitter.com/petrogustavo","@petrogustavo")</f>
        <v>@petrogustavo</v>
      </c>
      <c r="C12396" s="5" t="s">
        <v>16</v>
      </c>
      <c r="D12396" s="5" t="s">
        <v>11936</v>
      </c>
      <c r="E12396" s="6" t="str">
        <f>HYPERLINK("https://twitter.com/petrogustavo/status/1333389877166137345","1333389877166137345")</f>
        <v>1333389877166137345</v>
      </c>
      <c r="F12396" s="7" t="s">
        <v>17</v>
      </c>
      <c r="G12396" s="7">
        <v>4014623</v>
      </c>
      <c r="H12396" s="7">
        <v>2467</v>
      </c>
      <c r="I12396" s="7">
        <v>195</v>
      </c>
      <c r="J12396" s="7">
        <v>0</v>
      </c>
      <c r="K12396" s="7" t="s">
        <v>18</v>
      </c>
      <c r="L12396" s="8">
        <v>39987.315405092595</v>
      </c>
      <c r="M12396" s="9" t="s">
        <v>19</v>
      </c>
      <c r="N12396" s="9" t="s">
        <v>20</v>
      </c>
      <c r="O12396" s="6" t="str">
        <f>HYPERLINK("https://pbs.twimg.com/profile_images/962471262747529216/Uo8lOkRJ_normal.jpg","View")</f>
        <v>View</v>
      </c>
      <c r="P12396" s="7"/>
    </row>
    <row r="12397" spans="1:16">
      <c r="A12397" s="3">
        <v>44165.755752314813</v>
      </c>
      <c r="B12397" s="4" t="str">
        <f>HYPERLINK("https://twitter.com/petrogustavo","@petrogustavo")</f>
        <v>@petrogustavo</v>
      </c>
      <c r="C12397" s="5" t="s">
        <v>16</v>
      </c>
      <c r="D12397" s="5" t="s">
        <v>11937</v>
      </c>
      <c r="E12397" s="6" t="str">
        <f>HYPERLINK("https://twitter.com/petrogustavo/status/1333389890340392963","1333389890340392963")</f>
        <v>1333389890340392963</v>
      </c>
      <c r="F12397" s="7" t="s">
        <v>17</v>
      </c>
      <c r="G12397" s="7">
        <v>4014623</v>
      </c>
      <c r="H12397" s="7">
        <v>2467</v>
      </c>
      <c r="I12397" s="7">
        <v>145</v>
      </c>
      <c r="J12397" s="7">
        <v>0</v>
      </c>
      <c r="K12397" s="7" t="s">
        <v>18</v>
      </c>
      <c r="L12397" s="8">
        <v>39987.315405092595</v>
      </c>
      <c r="M12397" s="9" t="s">
        <v>19</v>
      </c>
      <c r="N12397" s="9" t="s">
        <v>20</v>
      </c>
      <c r="O12397" s="6" t="str">
        <f>HYPERLINK("https://pbs.twimg.com/profile_images/962471262747529216/Uo8lOkRJ_normal.jpg","View")</f>
        <v>View</v>
      </c>
      <c r="P12397" s="7"/>
    </row>
    <row r="12398" spans="1:16">
      <c r="A12398" s="3">
        <v>44165.755787037036</v>
      </c>
      <c r="B12398" s="4" t="str">
        <f>HYPERLINK("https://twitter.com/petrogustavo","@petrogustavo")</f>
        <v>@petrogustavo</v>
      </c>
      <c r="C12398" s="5" t="s">
        <v>16</v>
      </c>
      <c r="D12398" s="5" t="s">
        <v>11938</v>
      </c>
      <c r="E12398" s="6" t="str">
        <f>HYPERLINK("https://twitter.com/petrogustavo/status/1333389902675914752","1333389902675914752")</f>
        <v>1333389902675914752</v>
      </c>
      <c r="F12398" s="7" t="s">
        <v>17</v>
      </c>
      <c r="G12398" s="7">
        <v>4014623</v>
      </c>
      <c r="H12398" s="7">
        <v>2467</v>
      </c>
      <c r="I12398" s="7">
        <v>234</v>
      </c>
      <c r="J12398" s="7">
        <v>0</v>
      </c>
      <c r="K12398" s="7" t="s">
        <v>18</v>
      </c>
      <c r="L12398" s="8">
        <v>39987.315405092595</v>
      </c>
      <c r="M12398" s="9" t="s">
        <v>19</v>
      </c>
      <c r="N12398" s="9" t="s">
        <v>20</v>
      </c>
      <c r="O12398" s="6" t="str">
        <f>HYPERLINK("https://pbs.twimg.com/profile_images/962471262747529216/Uo8lOkRJ_normal.jpg","View")</f>
        <v>View</v>
      </c>
      <c r="P12398" s="7"/>
    </row>
    <row r="12399" spans="1:16">
      <c r="A12399" s="3">
        <v>44165.755833333329</v>
      </c>
      <c r="B12399" s="4" t="str">
        <f>HYPERLINK("https://twitter.com/petrogustavo","@petrogustavo")</f>
        <v>@petrogustavo</v>
      </c>
      <c r="C12399" s="5" t="s">
        <v>16</v>
      </c>
      <c r="D12399" s="5" t="s">
        <v>11939</v>
      </c>
      <c r="E12399" s="6" t="str">
        <f>HYPERLINK("https://twitter.com/petrogustavo/status/1333389918387757057","1333389918387757057")</f>
        <v>1333389918387757057</v>
      </c>
      <c r="F12399" s="7" t="s">
        <v>17</v>
      </c>
      <c r="G12399" s="7">
        <v>4014623</v>
      </c>
      <c r="H12399" s="7">
        <v>2467</v>
      </c>
      <c r="I12399" s="7">
        <v>126</v>
      </c>
      <c r="J12399" s="7">
        <v>0</v>
      </c>
      <c r="K12399" s="7" t="s">
        <v>18</v>
      </c>
      <c r="L12399" s="8">
        <v>39987.315405092595</v>
      </c>
      <c r="M12399" s="9" t="s">
        <v>19</v>
      </c>
      <c r="N12399" s="9" t="s">
        <v>20</v>
      </c>
      <c r="O12399" s="6" t="str">
        <f>HYPERLINK("https://pbs.twimg.com/profile_images/962471262747529216/Uo8lOkRJ_normal.jpg","View")</f>
        <v>View</v>
      </c>
      <c r="P12399" s="7"/>
    </row>
    <row r="12400" spans="1:16">
      <c r="A12400" s="3">
        <v>44165.755868055552</v>
      </c>
      <c r="B12400" s="4" t="str">
        <f>HYPERLINK("https://twitter.com/petrogustavo","@petrogustavo")</f>
        <v>@petrogustavo</v>
      </c>
      <c r="C12400" s="5" t="s">
        <v>16</v>
      </c>
      <c r="D12400" s="5" t="s">
        <v>11940</v>
      </c>
      <c r="E12400" s="6" t="str">
        <f>HYPERLINK("https://twitter.com/petrogustavo/status/1333389932459646982","1333389932459646982")</f>
        <v>1333389932459646982</v>
      </c>
      <c r="F12400" s="7" t="s">
        <v>17</v>
      </c>
      <c r="G12400" s="7">
        <v>4014623</v>
      </c>
      <c r="H12400" s="7">
        <v>2467</v>
      </c>
      <c r="I12400" s="7">
        <v>141</v>
      </c>
      <c r="J12400" s="7">
        <v>0</v>
      </c>
      <c r="K12400" s="7" t="s">
        <v>18</v>
      </c>
      <c r="L12400" s="8">
        <v>39987.315405092595</v>
      </c>
      <c r="M12400" s="9" t="s">
        <v>19</v>
      </c>
      <c r="N12400" s="9" t="s">
        <v>20</v>
      </c>
      <c r="O12400" s="6" t="str">
        <f>HYPERLINK("https://pbs.twimg.com/profile_images/962471262747529216/Uo8lOkRJ_normal.jpg","View")</f>
        <v>View</v>
      </c>
      <c r="P12400" s="7"/>
    </row>
    <row r="12401" spans="1:16">
      <c r="A12401" s="3">
        <v>44165.755914351852</v>
      </c>
      <c r="B12401" s="4" t="str">
        <f>HYPERLINK("https://twitter.com/petrogustavo","@petrogustavo")</f>
        <v>@petrogustavo</v>
      </c>
      <c r="C12401" s="5" t="s">
        <v>16</v>
      </c>
      <c r="D12401" s="5" t="s">
        <v>11941</v>
      </c>
      <c r="E12401" s="6" t="str">
        <f>HYPERLINK("https://twitter.com/petrogustavo/status/1333389946430906377","1333389946430906377")</f>
        <v>1333389946430906377</v>
      </c>
      <c r="F12401" s="7" t="s">
        <v>17</v>
      </c>
      <c r="G12401" s="7">
        <v>4014623</v>
      </c>
      <c r="H12401" s="7">
        <v>2467</v>
      </c>
      <c r="I12401" s="7">
        <v>133</v>
      </c>
      <c r="J12401" s="7">
        <v>0</v>
      </c>
      <c r="K12401" s="7" t="s">
        <v>18</v>
      </c>
      <c r="L12401" s="8">
        <v>39987.315405092595</v>
      </c>
      <c r="M12401" s="9" t="s">
        <v>19</v>
      </c>
      <c r="N12401" s="9" t="s">
        <v>20</v>
      </c>
      <c r="O12401" s="6" t="str">
        <f>HYPERLINK("https://pbs.twimg.com/profile_images/962471262747529216/Uo8lOkRJ_normal.jpg","View")</f>
        <v>View</v>
      </c>
      <c r="P12401" s="7"/>
    </row>
    <row r="12402" spans="1:16">
      <c r="A12402" s="3">
        <v>44165.755960648152</v>
      </c>
      <c r="B12402" s="4" t="str">
        <f>HYPERLINK("https://twitter.com/petrogustavo","@petrogustavo")</f>
        <v>@petrogustavo</v>
      </c>
      <c r="C12402" s="5" t="s">
        <v>16</v>
      </c>
      <c r="D12402" s="5" t="s">
        <v>11942</v>
      </c>
      <c r="E12402" s="6" t="str">
        <f>HYPERLINK("https://twitter.com/petrogustavo/status/1333389962985820167","1333389962985820167")</f>
        <v>1333389962985820167</v>
      </c>
      <c r="F12402" s="7" t="s">
        <v>17</v>
      </c>
      <c r="G12402" s="7">
        <v>4014623</v>
      </c>
      <c r="H12402" s="7">
        <v>2467</v>
      </c>
      <c r="I12402" s="7">
        <v>115</v>
      </c>
      <c r="J12402" s="7">
        <v>0</v>
      </c>
      <c r="K12402" s="7" t="s">
        <v>18</v>
      </c>
      <c r="L12402" s="8">
        <v>39987.315405092595</v>
      </c>
      <c r="M12402" s="9" t="s">
        <v>19</v>
      </c>
      <c r="N12402" s="9" t="s">
        <v>20</v>
      </c>
      <c r="O12402" s="6" t="str">
        <f>HYPERLINK("https://pbs.twimg.com/profile_images/962471262747529216/Uo8lOkRJ_normal.jpg","View")</f>
        <v>View</v>
      </c>
      <c r="P12402" s="7"/>
    </row>
    <row r="12403" spans="1:16">
      <c r="A12403" s="3">
        <v>44165.755995370375</v>
      </c>
      <c r="B12403" s="4" t="str">
        <f>HYPERLINK("https://twitter.com/petrogustavo","@petrogustavo")</f>
        <v>@petrogustavo</v>
      </c>
      <c r="C12403" s="5" t="s">
        <v>16</v>
      </c>
      <c r="D12403" s="5" t="s">
        <v>11943</v>
      </c>
      <c r="E12403" s="6" t="str">
        <f>HYPERLINK("https://twitter.com/petrogustavo/status/1333389979544924162","1333389979544924162")</f>
        <v>1333389979544924162</v>
      </c>
      <c r="F12403" s="7" t="s">
        <v>17</v>
      </c>
      <c r="G12403" s="7">
        <v>4014623</v>
      </c>
      <c r="H12403" s="7">
        <v>2467</v>
      </c>
      <c r="I12403" s="7">
        <v>259</v>
      </c>
      <c r="J12403" s="7">
        <v>0</v>
      </c>
      <c r="K12403" s="7" t="s">
        <v>18</v>
      </c>
      <c r="L12403" s="8">
        <v>39987.315405092595</v>
      </c>
      <c r="M12403" s="9" t="s">
        <v>19</v>
      </c>
      <c r="N12403" s="9" t="s">
        <v>20</v>
      </c>
      <c r="O12403" s="6" t="str">
        <f>HYPERLINK("https://pbs.twimg.com/profile_images/962471262747529216/Uo8lOkRJ_normal.jpg","View")</f>
        <v>View</v>
      </c>
      <c r="P12403" s="7"/>
    </row>
    <row r="12404" spans="1:16">
      <c r="A12404" s="3">
        <v>44165.969409722224</v>
      </c>
      <c r="B12404" s="4" t="str">
        <f>HYPERLINK("https://twitter.com/petrogustavo","@petrogustavo")</f>
        <v>@petrogustavo</v>
      </c>
      <c r="C12404" s="5" t="s">
        <v>16</v>
      </c>
      <c r="D12404" s="5" t="s">
        <v>11935</v>
      </c>
      <c r="E12404" s="6" t="str">
        <f>HYPERLINK("https://twitter.com/petrogustavo/status/1333467317234249732","1333467317234249732")</f>
        <v>1333467317234249732</v>
      </c>
      <c r="F12404" s="7" t="s">
        <v>17</v>
      </c>
      <c r="G12404" s="7">
        <v>4014723</v>
      </c>
      <c r="H12404" s="7">
        <v>2467</v>
      </c>
      <c r="I12404" s="7">
        <v>563</v>
      </c>
      <c r="J12404" s="7">
        <v>0</v>
      </c>
      <c r="K12404" s="7" t="s">
        <v>18</v>
      </c>
      <c r="L12404" s="8">
        <v>39987.315405092595</v>
      </c>
      <c r="M12404" s="9" t="s">
        <v>19</v>
      </c>
      <c r="N12404" s="9" t="s">
        <v>20</v>
      </c>
      <c r="O12404" s="6" t="str">
        <f>HYPERLINK("https://pbs.twimg.com/profile_images/962471262747529216/Uo8lOkRJ_normal.jpg","View")</f>
        <v>View</v>
      </c>
      <c r="P12404" s="7"/>
    </row>
    <row r="12405" spans="1:16">
      <c r="A12405" s="3">
        <v>44165.969525462962</v>
      </c>
      <c r="B12405" s="4" t="str">
        <f>HYPERLINK("https://twitter.com/petrogustavo","@petrogustavo")</f>
        <v>@petrogustavo</v>
      </c>
      <c r="C12405" s="5" t="s">
        <v>16</v>
      </c>
      <c r="D12405" s="5" t="s">
        <v>11936</v>
      </c>
      <c r="E12405" s="6" t="str">
        <f>HYPERLINK("https://twitter.com/petrogustavo/status/1333467358120333314","1333467358120333314")</f>
        <v>1333467358120333314</v>
      </c>
      <c r="F12405" s="7" t="s">
        <v>17</v>
      </c>
      <c r="G12405" s="7">
        <v>4014723</v>
      </c>
      <c r="H12405" s="7">
        <v>2467</v>
      </c>
      <c r="I12405" s="7">
        <v>303</v>
      </c>
      <c r="J12405" s="7">
        <v>0</v>
      </c>
      <c r="K12405" s="7" t="s">
        <v>18</v>
      </c>
      <c r="L12405" s="8">
        <v>39987.315405092595</v>
      </c>
      <c r="M12405" s="9" t="s">
        <v>19</v>
      </c>
      <c r="N12405" s="9" t="s">
        <v>20</v>
      </c>
      <c r="O12405" s="6" t="str">
        <f>HYPERLINK("https://pbs.twimg.com/profile_images/962471262747529216/Uo8lOkRJ_normal.jpg","View")</f>
        <v>View</v>
      </c>
      <c r="P12405" s="7"/>
    </row>
    <row r="12406" spans="1:16">
      <c r="A12406" s="3">
        <v>44165.969664351855</v>
      </c>
      <c r="B12406" s="4" t="str">
        <f>HYPERLINK("https://twitter.com/petrogustavo","@petrogustavo")</f>
        <v>@petrogustavo</v>
      </c>
      <c r="C12406" s="5" t="s">
        <v>16</v>
      </c>
      <c r="D12406" s="5" t="s">
        <v>11937</v>
      </c>
      <c r="E12406" s="6" t="str">
        <f>HYPERLINK("https://twitter.com/petrogustavo/status/1333467410029023232","1333467410029023232")</f>
        <v>1333467410029023232</v>
      </c>
      <c r="F12406" s="7" t="s">
        <v>17</v>
      </c>
      <c r="G12406" s="7">
        <v>4014723</v>
      </c>
      <c r="H12406" s="7">
        <v>2467</v>
      </c>
      <c r="I12406" s="7">
        <v>196</v>
      </c>
      <c r="J12406" s="7">
        <v>0</v>
      </c>
      <c r="K12406" s="7" t="s">
        <v>18</v>
      </c>
      <c r="L12406" s="8">
        <v>39987.315405092595</v>
      </c>
      <c r="M12406" s="9" t="s">
        <v>19</v>
      </c>
      <c r="N12406" s="9" t="s">
        <v>20</v>
      </c>
      <c r="O12406" s="6" t="str">
        <f>HYPERLINK("https://pbs.twimg.com/profile_images/962471262747529216/Uo8lOkRJ_normal.jpg","View")</f>
        <v>View</v>
      </c>
      <c r="P12406" s="7"/>
    </row>
    <row r="12407" spans="1:16">
      <c r="A12407" s="3">
        <v>44165.969780092593</v>
      </c>
      <c r="B12407" s="4" t="str">
        <f>HYPERLINK("https://twitter.com/petrogustavo","@petrogustavo")</f>
        <v>@petrogustavo</v>
      </c>
      <c r="C12407" s="5" t="s">
        <v>16</v>
      </c>
      <c r="D12407" s="5" t="s">
        <v>11938</v>
      </c>
      <c r="E12407" s="6" t="str">
        <f>HYPERLINK("https://twitter.com/petrogustavo/status/1333467450348892160","1333467450348892160")</f>
        <v>1333467450348892160</v>
      </c>
      <c r="F12407" s="7" t="s">
        <v>17</v>
      </c>
      <c r="G12407" s="7">
        <v>4014723</v>
      </c>
      <c r="H12407" s="7">
        <v>2467</v>
      </c>
      <c r="I12407" s="7">
        <v>349</v>
      </c>
      <c r="J12407" s="7">
        <v>0</v>
      </c>
      <c r="K12407" s="7" t="s">
        <v>18</v>
      </c>
      <c r="L12407" s="8">
        <v>39987.315405092595</v>
      </c>
      <c r="M12407" s="9" t="s">
        <v>19</v>
      </c>
      <c r="N12407" s="9" t="s">
        <v>20</v>
      </c>
      <c r="O12407" s="6" t="str">
        <f>HYPERLINK("https://pbs.twimg.com/profile_images/962471262747529216/Uo8lOkRJ_normal.jpg","View")</f>
        <v>View</v>
      </c>
      <c r="P12407" s="7"/>
    </row>
    <row r="12408" spans="1:16">
      <c r="A12408" s="3">
        <v>44165.969907407409</v>
      </c>
      <c r="B12408" s="4" t="str">
        <f>HYPERLINK("https://twitter.com/petrogustavo","@petrogustavo")</f>
        <v>@petrogustavo</v>
      </c>
      <c r="C12408" s="5" t="s">
        <v>16</v>
      </c>
      <c r="D12408" s="5" t="s">
        <v>11939</v>
      </c>
      <c r="E12408" s="6" t="str">
        <f>HYPERLINK("https://twitter.com/petrogustavo/status/1333467496830169090","1333467496830169090")</f>
        <v>1333467496830169090</v>
      </c>
      <c r="F12408" s="7" t="s">
        <v>17</v>
      </c>
      <c r="G12408" s="7">
        <v>4014723</v>
      </c>
      <c r="H12408" s="7">
        <v>2467</v>
      </c>
      <c r="I12408" s="7">
        <v>192</v>
      </c>
      <c r="J12408" s="7">
        <v>0</v>
      </c>
      <c r="K12408" s="7" t="s">
        <v>18</v>
      </c>
      <c r="L12408" s="8">
        <v>39987.315405092595</v>
      </c>
      <c r="M12408" s="9" t="s">
        <v>19</v>
      </c>
      <c r="N12408" s="9" t="s">
        <v>20</v>
      </c>
      <c r="O12408" s="6" t="str">
        <f>HYPERLINK("https://pbs.twimg.com/profile_images/962471262747529216/Uo8lOkRJ_normal.jpg","View")</f>
        <v>View</v>
      </c>
      <c r="P12408" s="7"/>
    </row>
    <row r="12409" spans="1:16">
      <c r="A12409" s="3">
        <v>44165.970011574071</v>
      </c>
      <c r="B12409" s="4" t="str">
        <f>HYPERLINK("https://twitter.com/petrogustavo","@petrogustavo")</f>
        <v>@petrogustavo</v>
      </c>
      <c r="C12409" s="5" t="s">
        <v>16</v>
      </c>
      <c r="D12409" s="5" t="s">
        <v>11940</v>
      </c>
      <c r="E12409" s="6" t="str">
        <f>HYPERLINK("https://twitter.com/petrogustavo/status/1333467535036051457","1333467535036051457")</f>
        <v>1333467535036051457</v>
      </c>
      <c r="F12409" s="7" t="s">
        <v>17</v>
      </c>
      <c r="G12409" s="7">
        <v>4014723</v>
      </c>
      <c r="H12409" s="7">
        <v>2467</v>
      </c>
      <c r="I12409" s="7">
        <v>203</v>
      </c>
      <c r="J12409" s="7">
        <v>0</v>
      </c>
      <c r="K12409" s="7" t="s">
        <v>18</v>
      </c>
      <c r="L12409" s="8">
        <v>39987.315405092595</v>
      </c>
      <c r="M12409" s="9" t="s">
        <v>19</v>
      </c>
      <c r="N12409" s="9" t="s">
        <v>20</v>
      </c>
      <c r="O12409" s="6" t="str">
        <f>HYPERLINK("https://pbs.twimg.com/profile_images/962471262747529216/Uo8lOkRJ_normal.jpg","View")</f>
        <v>View</v>
      </c>
      <c r="P12409" s="7"/>
    </row>
    <row r="12410" spans="1:16">
      <c r="A12410" s="3">
        <v>44165.970127314809</v>
      </c>
      <c r="B12410" s="4" t="str">
        <f>HYPERLINK("https://twitter.com/petrogustavo","@petrogustavo")</f>
        <v>@petrogustavo</v>
      </c>
      <c r="C12410" s="5" t="s">
        <v>16</v>
      </c>
      <c r="D12410" s="5" t="s">
        <v>11941</v>
      </c>
      <c r="E12410" s="6" t="str">
        <f>HYPERLINK("https://twitter.com/petrogustavo/status/1333467577683730442","1333467577683730442")</f>
        <v>1333467577683730442</v>
      </c>
      <c r="F12410" s="7" t="s">
        <v>17</v>
      </c>
      <c r="G12410" s="7">
        <v>4014723</v>
      </c>
      <c r="H12410" s="7">
        <v>2467</v>
      </c>
      <c r="I12410" s="7">
        <v>189</v>
      </c>
      <c r="J12410" s="7">
        <v>0</v>
      </c>
      <c r="K12410" s="7" t="s">
        <v>18</v>
      </c>
      <c r="L12410" s="8">
        <v>39987.315405092595</v>
      </c>
      <c r="M12410" s="9" t="s">
        <v>19</v>
      </c>
      <c r="N12410" s="9" t="s">
        <v>20</v>
      </c>
      <c r="O12410" s="6" t="str">
        <f>HYPERLINK("https://pbs.twimg.com/profile_images/962471262747529216/Uo8lOkRJ_normal.jpg","View")</f>
        <v>View</v>
      </c>
      <c r="P12410" s="7"/>
    </row>
    <row r="12411" spans="1:16">
      <c r="A12411" s="3">
        <v>44165.970254629632</v>
      </c>
      <c r="B12411" s="4" t="str">
        <f>HYPERLINK("https://twitter.com/petrogustavo","@petrogustavo")</f>
        <v>@petrogustavo</v>
      </c>
      <c r="C12411" s="5" t="s">
        <v>16</v>
      </c>
      <c r="D12411" s="5" t="s">
        <v>11942</v>
      </c>
      <c r="E12411" s="6" t="str">
        <f>HYPERLINK("https://twitter.com/petrogustavo/status/1333467620994125826","1333467620994125826")</f>
        <v>1333467620994125826</v>
      </c>
      <c r="F12411" s="7" t="s">
        <v>17</v>
      </c>
      <c r="G12411" s="7">
        <v>4014723</v>
      </c>
      <c r="H12411" s="7">
        <v>2467</v>
      </c>
      <c r="I12411" s="7">
        <v>167</v>
      </c>
      <c r="J12411" s="7">
        <v>0</v>
      </c>
      <c r="K12411" s="7" t="s">
        <v>18</v>
      </c>
      <c r="L12411" s="8">
        <v>39987.315405092595</v>
      </c>
      <c r="M12411" s="9" t="s">
        <v>19</v>
      </c>
      <c r="N12411" s="9" t="s">
        <v>20</v>
      </c>
      <c r="O12411" s="6" t="str">
        <f>HYPERLINK("https://pbs.twimg.com/profile_images/962471262747529216/Uo8lOkRJ_normal.jpg","View")</f>
        <v>View</v>
      </c>
      <c r="P12411" s="7"/>
    </row>
    <row r="12412" spans="1:16">
      <c r="A12412" s="3">
        <v>44166.15320601852</v>
      </c>
      <c r="B12412" s="4" t="str">
        <f>HYPERLINK("https://twitter.com/petrogustavo","@petrogustavo")</f>
        <v>@petrogustavo</v>
      </c>
      <c r="C12412" s="5" t="s">
        <v>16</v>
      </c>
      <c r="D12412" s="5" t="s">
        <v>11944</v>
      </c>
      <c r="E12412" s="6" t="str">
        <f>HYPERLINK("https://twitter.com/petrogustavo/status/1333533921456361477","1333533921456361477")</f>
        <v>1333533921456361477</v>
      </c>
      <c r="F12412" s="7" t="s">
        <v>17</v>
      </c>
      <c r="G12412" s="7">
        <v>4014815</v>
      </c>
      <c r="H12412" s="7">
        <v>2467</v>
      </c>
      <c r="I12412" s="7">
        <v>695</v>
      </c>
      <c r="J12412" s="7">
        <v>0</v>
      </c>
      <c r="K12412" s="7" t="s">
        <v>18</v>
      </c>
      <c r="L12412" s="8">
        <v>39987.315405092595</v>
      </c>
      <c r="M12412" s="9" t="s">
        <v>19</v>
      </c>
      <c r="N12412" s="9" t="s">
        <v>20</v>
      </c>
      <c r="O12412" s="6" t="str">
        <f>HYPERLINK("https://pbs.twimg.com/profile_images/962471262747529216/Uo8lOkRJ_normal.jpg","View")</f>
        <v>View</v>
      </c>
      <c r="P12412" s="7"/>
    </row>
    <row r="12413" spans="1:16">
      <c r="A12413" s="3">
        <v>44166.153599537036</v>
      </c>
      <c r="B12413" s="4" t="str">
        <f>HYPERLINK("https://twitter.com/petrogustavo","@petrogustavo")</f>
        <v>@petrogustavo</v>
      </c>
      <c r="C12413" s="5" t="s">
        <v>16</v>
      </c>
      <c r="D12413" s="5" t="s">
        <v>11945</v>
      </c>
      <c r="E12413" s="6" t="str">
        <f>HYPERLINK("https://twitter.com/petrogustavo/status/1333534065300017160","1333534065300017160")</f>
        <v>1333534065300017160</v>
      </c>
      <c r="F12413" s="7" t="s">
        <v>17</v>
      </c>
      <c r="G12413" s="7">
        <v>4014815</v>
      </c>
      <c r="H12413" s="7">
        <v>2467</v>
      </c>
      <c r="I12413" s="7">
        <v>62</v>
      </c>
      <c r="J12413" s="7">
        <v>387</v>
      </c>
      <c r="K12413" s="7" t="s">
        <v>18</v>
      </c>
      <c r="L12413" s="8">
        <v>39987.315405092595</v>
      </c>
      <c r="M12413" s="9" t="s">
        <v>19</v>
      </c>
      <c r="N12413" s="9" t="s">
        <v>20</v>
      </c>
      <c r="O12413" s="6" t="str">
        <f>HYPERLINK("https://pbs.twimg.com/profile_images/962471262747529216/Uo8lOkRJ_normal.jpg","View")</f>
        <v>View</v>
      </c>
      <c r="P12413" s="7"/>
    </row>
    <row r="12414" spans="1:16">
      <c r="A12414" s="3">
        <v>44166.155023148152</v>
      </c>
      <c r="B12414" s="4" t="str">
        <f>HYPERLINK("https://twitter.com/petrogustavo","@petrogustavo")</f>
        <v>@petrogustavo</v>
      </c>
      <c r="C12414" s="5" t="s">
        <v>16</v>
      </c>
      <c r="D12414" s="5" t="s">
        <v>11946</v>
      </c>
      <c r="E12414" s="6" t="str">
        <f>HYPERLINK("https://twitter.com/petrogustavo/status/1333534580708679683","1333534580708679683")</f>
        <v>1333534580708679683</v>
      </c>
      <c r="F12414" s="7" t="s">
        <v>17</v>
      </c>
      <c r="G12414" s="7">
        <v>4014815</v>
      </c>
      <c r="H12414" s="7">
        <v>2467</v>
      </c>
      <c r="I12414" s="7">
        <v>191</v>
      </c>
      <c r="J12414" s="7">
        <v>0</v>
      </c>
      <c r="K12414" s="7" t="s">
        <v>18</v>
      </c>
      <c r="L12414" s="8">
        <v>39987.315405092595</v>
      </c>
      <c r="M12414" s="9" t="s">
        <v>19</v>
      </c>
      <c r="N12414" s="9" t="s">
        <v>20</v>
      </c>
      <c r="O12414" s="6" t="str">
        <f>HYPERLINK("https://pbs.twimg.com/profile_images/962471262747529216/Uo8lOkRJ_normal.jpg","View")</f>
        <v>View</v>
      </c>
      <c r="P12414" s="7"/>
    </row>
    <row r="12415" spans="1:16">
      <c r="A12415" s="3">
        <v>44166.27516203704</v>
      </c>
      <c r="B12415" s="4" t="str">
        <f>HYPERLINK("https://twitter.com/petrogustavo","@petrogustavo")</f>
        <v>@petrogustavo</v>
      </c>
      <c r="C12415" s="5" t="s">
        <v>16</v>
      </c>
      <c r="D12415" s="5" t="s">
        <v>11947</v>
      </c>
      <c r="E12415" s="6" t="str">
        <f>HYPERLINK("https://twitter.com/petrogustavo/status/1333578118829920258","1333578118829920258")</f>
        <v>1333578118829920258</v>
      </c>
      <c r="F12415" s="7" t="s">
        <v>17</v>
      </c>
      <c r="G12415" s="7">
        <v>4014885</v>
      </c>
      <c r="H12415" s="7">
        <v>2467</v>
      </c>
      <c r="I12415" s="7">
        <v>667</v>
      </c>
      <c r="J12415" s="7">
        <v>0</v>
      </c>
      <c r="K12415" s="7" t="s">
        <v>18</v>
      </c>
      <c r="L12415" s="8">
        <v>39987.315405092595</v>
      </c>
      <c r="M12415" s="9" t="s">
        <v>19</v>
      </c>
      <c r="N12415" s="9" t="s">
        <v>20</v>
      </c>
      <c r="O12415" s="6" t="str">
        <f>HYPERLINK("https://pbs.twimg.com/profile_images/962471262747529216/Uo8lOkRJ_normal.jpg","View")</f>
        <v>View</v>
      </c>
      <c r="P12415" s="7"/>
    </row>
    <row r="12416" spans="1:16">
      <c r="A12416" s="3">
        <v>44166.280057870375</v>
      </c>
      <c r="B12416" s="4" t="str">
        <f>HYPERLINK("https://twitter.com/petrogustavo","@petrogustavo")</f>
        <v>@petrogustavo</v>
      </c>
      <c r="C12416" s="5" t="s">
        <v>16</v>
      </c>
      <c r="D12416" s="5" t="s">
        <v>11948</v>
      </c>
      <c r="E12416" s="6" t="str">
        <f>HYPERLINK("https://twitter.com/petrogustavo/status/1333579892332650496","1333579892332650496")</f>
        <v>1333579892332650496</v>
      </c>
      <c r="F12416" s="7" t="s">
        <v>17</v>
      </c>
      <c r="G12416" s="7">
        <v>4014885</v>
      </c>
      <c r="H12416" s="7">
        <v>2467</v>
      </c>
      <c r="I12416" s="7">
        <v>52</v>
      </c>
      <c r="J12416" s="7">
        <v>122</v>
      </c>
      <c r="K12416" s="7" t="s">
        <v>18</v>
      </c>
      <c r="L12416" s="8">
        <v>39987.315405092595</v>
      </c>
      <c r="M12416" s="9" t="s">
        <v>19</v>
      </c>
      <c r="N12416" s="9" t="s">
        <v>20</v>
      </c>
      <c r="O12416" s="6" t="str">
        <f>HYPERLINK("https://pbs.twimg.com/profile_images/962471262747529216/Uo8lOkRJ_normal.jpg","View")</f>
        <v>View</v>
      </c>
      <c r="P12416" s="7"/>
    </row>
    <row r="12417" spans="1:16">
      <c r="A12417" s="3">
        <v>44166.283761574072</v>
      </c>
      <c r="B12417" s="4" t="str">
        <f>HYPERLINK("https://twitter.com/petrogustavo","@petrogustavo")</f>
        <v>@petrogustavo</v>
      </c>
      <c r="C12417" s="5" t="s">
        <v>16</v>
      </c>
      <c r="D12417" s="5" t="s">
        <v>11949</v>
      </c>
      <c r="E12417" s="6" t="str">
        <f>HYPERLINK("https://twitter.com/petrogustavo/status/1333581234497261570","1333581234497261570")</f>
        <v>1333581234497261570</v>
      </c>
      <c r="F12417" s="7" t="s">
        <v>17</v>
      </c>
      <c r="G12417" s="7">
        <v>4014909</v>
      </c>
      <c r="H12417" s="7">
        <v>2467</v>
      </c>
      <c r="I12417" s="7">
        <v>780</v>
      </c>
      <c r="J12417" s="7">
        <v>0</v>
      </c>
      <c r="K12417" s="7" t="s">
        <v>18</v>
      </c>
      <c r="L12417" s="8">
        <v>39987.315405092595</v>
      </c>
      <c r="M12417" s="9" t="s">
        <v>19</v>
      </c>
      <c r="N12417" s="9" t="s">
        <v>20</v>
      </c>
      <c r="O12417" s="6" t="str">
        <f>HYPERLINK("https://pbs.twimg.com/profile_images/962471262747529216/Uo8lOkRJ_normal.jpg","View")</f>
        <v>View</v>
      </c>
      <c r="P12417" s="7"/>
    </row>
    <row r="12418" spans="1:16">
      <c r="A12418" s="3">
        <v>44166.284236111111</v>
      </c>
      <c r="B12418" s="4" t="str">
        <f>HYPERLINK("https://twitter.com/petrogustavo","@petrogustavo")</f>
        <v>@petrogustavo</v>
      </c>
      <c r="C12418" s="5" t="s">
        <v>16</v>
      </c>
      <c r="D12418" s="5" t="s">
        <v>11950</v>
      </c>
      <c r="E12418" s="6" t="str">
        <f>HYPERLINK("https://twitter.com/petrogustavo/status/1333581406010830851","1333581406010830851")</f>
        <v>1333581406010830851</v>
      </c>
      <c r="F12418" s="7" t="s">
        <v>17</v>
      </c>
      <c r="G12418" s="7">
        <v>4014909</v>
      </c>
      <c r="H12418" s="7">
        <v>2467</v>
      </c>
      <c r="I12418" s="7">
        <v>183</v>
      </c>
      <c r="J12418" s="7">
        <v>0</v>
      </c>
      <c r="K12418" s="7" t="s">
        <v>18</v>
      </c>
      <c r="L12418" s="8">
        <v>39987.315405092595</v>
      </c>
      <c r="M12418" s="9" t="s">
        <v>19</v>
      </c>
      <c r="N12418" s="9" t="s">
        <v>20</v>
      </c>
      <c r="O12418" s="6" t="str">
        <f>HYPERLINK("https://pbs.twimg.com/profile_images/962471262747529216/Uo8lOkRJ_normal.jpg","View")</f>
        <v>View</v>
      </c>
      <c r="P12418" s="7"/>
    </row>
    <row r="12419" spans="1:16">
      <c r="A12419" s="3">
        <v>44166.291180555556</v>
      </c>
      <c r="B12419" s="4" t="str">
        <f>HYPERLINK("https://twitter.com/petrogustavo","@petrogustavo")</f>
        <v>@petrogustavo</v>
      </c>
      <c r="C12419" s="5" t="s">
        <v>16</v>
      </c>
      <c r="D12419" s="5" t="s">
        <v>11951</v>
      </c>
      <c r="E12419" s="6" t="str">
        <f>HYPERLINK("https://twitter.com/petrogustavo/status/1333583922723250176","1333583922723250176")</f>
        <v>1333583922723250176</v>
      </c>
      <c r="F12419" s="7" t="s">
        <v>17</v>
      </c>
      <c r="G12419" s="7">
        <v>4014909</v>
      </c>
      <c r="H12419" s="7">
        <v>2467</v>
      </c>
      <c r="I12419" s="7">
        <v>68</v>
      </c>
      <c r="J12419" s="7">
        <v>326</v>
      </c>
      <c r="K12419" s="7" t="s">
        <v>18</v>
      </c>
      <c r="L12419" s="8">
        <v>39987.315405092595</v>
      </c>
      <c r="M12419" s="9" t="s">
        <v>19</v>
      </c>
      <c r="N12419" s="9" t="s">
        <v>20</v>
      </c>
      <c r="O12419" s="6" t="str">
        <f>HYPERLINK("https://pbs.twimg.com/profile_images/962471262747529216/Uo8lOkRJ_normal.jpg","View")</f>
        <v>View</v>
      </c>
      <c r="P12419" s="7"/>
    </row>
    <row r="12420" spans="1:16">
      <c r="A12420" s="3">
        <v>44166.305856481486</v>
      </c>
      <c r="B12420" s="4" t="str">
        <f>HYPERLINK("https://twitter.com/petrogustavo","@petrogustavo")</f>
        <v>@petrogustavo</v>
      </c>
      <c r="C12420" s="5" t="s">
        <v>16</v>
      </c>
      <c r="D12420" s="5" t="s">
        <v>11952</v>
      </c>
      <c r="E12420" s="6" t="str">
        <f>HYPERLINK("https://twitter.com/petrogustavo/status/1333589238940622848","1333589238940622848")</f>
        <v>1333589238940622848</v>
      </c>
      <c r="F12420" s="7" t="s">
        <v>32</v>
      </c>
      <c r="G12420" s="7">
        <v>4014929</v>
      </c>
      <c r="H12420" s="7">
        <v>2467</v>
      </c>
      <c r="I12420" s="7">
        <v>99</v>
      </c>
      <c r="J12420" s="7">
        <v>0</v>
      </c>
      <c r="K12420" s="7" t="s">
        <v>18</v>
      </c>
      <c r="L12420" s="8">
        <v>39987.315405092595</v>
      </c>
      <c r="M12420" s="9" t="s">
        <v>19</v>
      </c>
      <c r="N12420" s="9" t="s">
        <v>20</v>
      </c>
      <c r="O12420" s="6" t="str">
        <f>HYPERLINK("https://pbs.twimg.com/profile_images/962471262747529216/Uo8lOkRJ_normal.jpg","View")</f>
        <v>View</v>
      </c>
      <c r="P12420" s="7"/>
    </row>
    <row r="12421" spans="1:16">
      <c r="A12421" s="3">
        <v>44166.708680555559</v>
      </c>
      <c r="B12421" s="4" t="str">
        <f>HYPERLINK("https://twitter.com/petrogustavo","@petrogustavo")</f>
        <v>@petrogustavo</v>
      </c>
      <c r="C12421" s="5" t="s">
        <v>16</v>
      </c>
      <c r="D12421" s="5" t="s">
        <v>11953</v>
      </c>
      <c r="E12421" s="6" t="str">
        <f>HYPERLINK("https://twitter.com/petrogustavo/status/1333735219870969856","1333735219870969856")</f>
        <v>1333735219870969856</v>
      </c>
      <c r="F12421" s="7" t="s">
        <v>17</v>
      </c>
      <c r="G12421" s="7">
        <v>4014977</v>
      </c>
      <c r="H12421" s="7">
        <v>2467</v>
      </c>
      <c r="I12421" s="7">
        <v>59</v>
      </c>
      <c r="J12421" s="7">
        <v>140</v>
      </c>
      <c r="K12421" s="7" t="s">
        <v>18</v>
      </c>
      <c r="L12421" s="8">
        <v>39987.315405092595</v>
      </c>
      <c r="M12421" s="9" t="s">
        <v>19</v>
      </c>
      <c r="N12421" s="9" t="s">
        <v>20</v>
      </c>
      <c r="O12421" s="6" t="str">
        <f>HYPERLINK("https://pbs.twimg.com/profile_images/962471262747529216/Uo8lOkRJ_normal.jpg","View")</f>
        <v>View</v>
      </c>
      <c r="P12421" s="7"/>
    </row>
    <row r="12422" spans="1:16">
      <c r="A12422" s="3">
        <v>44166.712025462963</v>
      </c>
      <c r="B12422" s="4" t="str">
        <f>HYPERLINK("https://twitter.com/petrogustavo","@petrogustavo")</f>
        <v>@petrogustavo</v>
      </c>
      <c r="C12422" s="5" t="s">
        <v>16</v>
      </c>
      <c r="D12422" s="5" t="s">
        <v>11954</v>
      </c>
      <c r="E12422" s="6" t="str">
        <f>HYPERLINK("https://twitter.com/petrogustavo/status/1333736429827067905","1333736429827067905")</f>
        <v>1333736429827067905</v>
      </c>
      <c r="F12422" s="7" t="s">
        <v>17</v>
      </c>
      <c r="G12422" s="7">
        <v>4014977</v>
      </c>
      <c r="H12422" s="7">
        <v>2467</v>
      </c>
      <c r="I12422" s="7">
        <v>35</v>
      </c>
      <c r="J12422" s="7">
        <v>95</v>
      </c>
      <c r="K12422" s="7" t="s">
        <v>18</v>
      </c>
      <c r="L12422" s="8">
        <v>39987.315405092595</v>
      </c>
      <c r="M12422" s="9" t="s">
        <v>19</v>
      </c>
      <c r="N12422" s="9" t="s">
        <v>20</v>
      </c>
      <c r="O12422" s="6" t="str">
        <f>HYPERLINK("https://pbs.twimg.com/profile_images/962471262747529216/Uo8lOkRJ_normal.jpg","View")</f>
        <v>View</v>
      </c>
      <c r="P12422" s="7"/>
    </row>
    <row r="12423" spans="1:16">
      <c r="A12423" s="3">
        <v>44166.716145833328</v>
      </c>
      <c r="B12423" s="4" t="str">
        <f>HYPERLINK("https://twitter.com/petrogustavo","@petrogustavo")</f>
        <v>@petrogustavo</v>
      </c>
      <c r="C12423" s="5" t="s">
        <v>16</v>
      </c>
      <c r="D12423" s="5" t="s">
        <v>11955</v>
      </c>
      <c r="E12423" s="6" t="str">
        <f>HYPERLINK("https://twitter.com/petrogustavo/status/1333737922919542785","1333737922919542785")</f>
        <v>1333737922919542785</v>
      </c>
      <c r="F12423" s="7" t="s">
        <v>17</v>
      </c>
      <c r="G12423" s="7">
        <v>4014977</v>
      </c>
      <c r="H12423" s="7">
        <v>2467</v>
      </c>
      <c r="I12423" s="7">
        <v>42</v>
      </c>
      <c r="J12423" s="7">
        <v>103</v>
      </c>
      <c r="K12423" s="7" t="s">
        <v>18</v>
      </c>
      <c r="L12423" s="8">
        <v>39987.315405092595</v>
      </c>
      <c r="M12423" s="9" t="s">
        <v>19</v>
      </c>
      <c r="N12423" s="9" t="s">
        <v>20</v>
      </c>
      <c r="O12423" s="6" t="str">
        <f>HYPERLINK("https://pbs.twimg.com/profile_images/962471262747529216/Uo8lOkRJ_normal.jpg","View")</f>
        <v>View</v>
      </c>
      <c r="P12423" s="7"/>
    </row>
    <row r="12424" spans="1:16">
      <c r="A12424" s="3">
        <v>44166.717002314814</v>
      </c>
      <c r="B12424" s="4" t="str">
        <f>HYPERLINK("https://twitter.com/petrogustavo","@petrogustavo")</f>
        <v>@petrogustavo</v>
      </c>
      <c r="C12424" s="5" t="s">
        <v>16</v>
      </c>
      <c r="D12424" s="5" t="s">
        <v>11956</v>
      </c>
      <c r="E12424" s="6" t="str">
        <f>HYPERLINK("https://twitter.com/petrogustavo/status/1333738236762591232","1333738236762591232")</f>
        <v>1333738236762591232</v>
      </c>
      <c r="F12424" s="7" t="s">
        <v>17</v>
      </c>
      <c r="G12424" s="7">
        <v>4014977</v>
      </c>
      <c r="H12424" s="7">
        <v>2467</v>
      </c>
      <c r="I12424" s="7">
        <v>20</v>
      </c>
      <c r="J12424" s="7">
        <v>76</v>
      </c>
      <c r="K12424" s="7" t="s">
        <v>18</v>
      </c>
      <c r="L12424" s="8">
        <v>39987.315405092595</v>
      </c>
      <c r="M12424" s="9" t="s">
        <v>19</v>
      </c>
      <c r="N12424" s="9" t="s">
        <v>20</v>
      </c>
      <c r="O12424" s="6" t="str">
        <f>HYPERLINK("https://pbs.twimg.com/profile_images/962471262747529216/Uo8lOkRJ_normal.jpg","View")</f>
        <v>View</v>
      </c>
      <c r="P12424" s="7"/>
    </row>
    <row r="12425" spans="1:16">
      <c r="A12425" s="3">
        <v>44166.732337962967</v>
      </c>
      <c r="B12425" s="4" t="str">
        <f>HYPERLINK("https://twitter.com/petrogustavo","@petrogustavo")</f>
        <v>@petrogustavo</v>
      </c>
      <c r="C12425" s="5" t="s">
        <v>16</v>
      </c>
      <c r="D12425" s="5" t="s">
        <v>11957</v>
      </c>
      <c r="E12425" s="6" t="str">
        <f>HYPERLINK("https://twitter.com/petrogustavo/status/1333743792105676800","1333743792105676800")</f>
        <v>1333743792105676800</v>
      </c>
      <c r="F12425" s="7" t="s">
        <v>17</v>
      </c>
      <c r="G12425" s="7">
        <v>4014986</v>
      </c>
      <c r="H12425" s="7">
        <v>2467</v>
      </c>
      <c r="I12425" s="7">
        <v>14</v>
      </c>
      <c r="J12425" s="7">
        <v>70</v>
      </c>
      <c r="K12425" s="7" t="s">
        <v>18</v>
      </c>
      <c r="L12425" s="8">
        <v>39987.315405092595</v>
      </c>
      <c r="M12425" s="9" t="s">
        <v>19</v>
      </c>
      <c r="N12425" s="9" t="s">
        <v>20</v>
      </c>
      <c r="O12425" s="6" t="str">
        <f>HYPERLINK("https://pbs.twimg.com/profile_images/962471262747529216/Uo8lOkRJ_normal.jpg","View")</f>
        <v>View</v>
      </c>
      <c r="P12425" s="7"/>
    </row>
    <row r="12426" spans="1:16">
      <c r="A12426" s="3">
        <v>44166.735277777778</v>
      </c>
      <c r="B12426" s="4" t="str">
        <f>HYPERLINK("https://twitter.com/petrogustavo","@petrogustavo")</f>
        <v>@petrogustavo</v>
      </c>
      <c r="C12426" s="5" t="s">
        <v>16</v>
      </c>
      <c r="D12426" s="5" t="s">
        <v>11958</v>
      </c>
      <c r="E12426" s="6" t="str">
        <f>HYPERLINK("https://twitter.com/petrogustavo/status/1333744857299488768","1333744857299488768")</f>
        <v>1333744857299488768</v>
      </c>
      <c r="F12426" s="7" t="s">
        <v>17</v>
      </c>
      <c r="G12426" s="7">
        <v>4014986</v>
      </c>
      <c r="H12426" s="7">
        <v>2467</v>
      </c>
      <c r="I12426" s="7">
        <v>46</v>
      </c>
      <c r="J12426" s="7">
        <v>93</v>
      </c>
      <c r="K12426" s="7" t="s">
        <v>18</v>
      </c>
      <c r="L12426" s="8">
        <v>39987.315405092595</v>
      </c>
      <c r="M12426" s="9" t="s">
        <v>19</v>
      </c>
      <c r="N12426" s="9" t="s">
        <v>20</v>
      </c>
      <c r="O12426" s="6" t="str">
        <f>HYPERLINK("https://pbs.twimg.com/profile_images/962471262747529216/Uo8lOkRJ_normal.jpg","View")</f>
        <v>View</v>
      </c>
      <c r="P12426" s="7"/>
    </row>
    <row r="12427" spans="1:16">
      <c r="A12427" s="3">
        <v>44166.736886574072</v>
      </c>
      <c r="B12427" s="4" t="str">
        <f>HYPERLINK("https://twitter.com/petrogustavo","@petrogustavo")</f>
        <v>@petrogustavo</v>
      </c>
      <c r="C12427" s="5" t="s">
        <v>16</v>
      </c>
      <c r="D12427" s="5" t="s">
        <v>11959</v>
      </c>
      <c r="E12427" s="6" t="str">
        <f>HYPERLINK("https://twitter.com/petrogustavo/status/1333745441331154947","1333745441331154947")</f>
        <v>1333745441331154947</v>
      </c>
      <c r="F12427" s="7" t="s">
        <v>17</v>
      </c>
      <c r="G12427" s="7">
        <v>4014986</v>
      </c>
      <c r="H12427" s="7">
        <v>2467</v>
      </c>
      <c r="I12427" s="7">
        <v>62</v>
      </c>
      <c r="J12427" s="7">
        <v>152</v>
      </c>
      <c r="K12427" s="7" t="s">
        <v>18</v>
      </c>
      <c r="L12427" s="8">
        <v>39987.315405092595</v>
      </c>
      <c r="M12427" s="9" t="s">
        <v>19</v>
      </c>
      <c r="N12427" s="9" t="s">
        <v>20</v>
      </c>
      <c r="O12427" s="6" t="str">
        <f>HYPERLINK("https://pbs.twimg.com/profile_images/962471262747529216/Uo8lOkRJ_normal.jpg","View")</f>
        <v>View</v>
      </c>
      <c r="P12427" s="7"/>
    </row>
    <row r="12428" spans="1:16">
      <c r="A12428" s="3">
        <v>44166.741365740745</v>
      </c>
      <c r="B12428" s="4" t="str">
        <f>HYPERLINK("https://twitter.com/petrogustavo","@petrogustavo")</f>
        <v>@petrogustavo</v>
      </c>
      <c r="C12428" s="5" t="s">
        <v>16</v>
      </c>
      <c r="D12428" s="5" t="s">
        <v>11960</v>
      </c>
      <c r="E12428" s="6" t="str">
        <f>HYPERLINK("https://twitter.com/petrogustavo/status/1333747065789288454","1333747065789288454")</f>
        <v>1333747065789288454</v>
      </c>
      <c r="F12428" s="7" t="s">
        <v>17</v>
      </c>
      <c r="G12428" s="7">
        <v>4014986</v>
      </c>
      <c r="H12428" s="7">
        <v>2467</v>
      </c>
      <c r="I12428" s="7">
        <v>2</v>
      </c>
      <c r="J12428" s="7">
        <v>11</v>
      </c>
      <c r="K12428" s="7" t="s">
        <v>18</v>
      </c>
      <c r="L12428" s="8">
        <v>39987.315405092595</v>
      </c>
      <c r="M12428" s="9" t="s">
        <v>19</v>
      </c>
      <c r="N12428" s="9" t="s">
        <v>20</v>
      </c>
      <c r="O12428" s="6" t="str">
        <f>HYPERLINK("https://pbs.twimg.com/profile_images/962471262747529216/Uo8lOkRJ_normal.jpg","View")</f>
        <v>View</v>
      </c>
      <c r="P12428" s="7"/>
    </row>
    <row r="12429" spans="1:16">
      <c r="A12429" s="3">
        <v>44166.744062500002</v>
      </c>
      <c r="B12429" s="4" t="str">
        <f>HYPERLINK("https://twitter.com/petrogustavo","@petrogustavo")</f>
        <v>@petrogustavo</v>
      </c>
      <c r="C12429" s="5" t="s">
        <v>16</v>
      </c>
      <c r="D12429" s="5" t="s">
        <v>11961</v>
      </c>
      <c r="E12429" s="6" t="str">
        <f>HYPERLINK("https://twitter.com/petrogustavo/status/1333748039262085120","1333748039262085120")</f>
        <v>1333748039262085120</v>
      </c>
      <c r="F12429" s="7" t="s">
        <v>17</v>
      </c>
      <c r="G12429" s="7">
        <v>4014988</v>
      </c>
      <c r="H12429" s="7">
        <v>2467</v>
      </c>
      <c r="I12429" s="7">
        <v>62</v>
      </c>
      <c r="J12429" s="7">
        <v>140</v>
      </c>
      <c r="K12429" s="7" t="s">
        <v>18</v>
      </c>
      <c r="L12429" s="8">
        <v>39987.315405092595</v>
      </c>
      <c r="M12429" s="9" t="s">
        <v>19</v>
      </c>
      <c r="N12429" s="9" t="s">
        <v>20</v>
      </c>
      <c r="O12429" s="6" t="str">
        <f>HYPERLINK("https://pbs.twimg.com/profile_images/962471262747529216/Uo8lOkRJ_normal.jpg","View")</f>
        <v>View</v>
      </c>
      <c r="P12429" s="7"/>
    </row>
    <row r="12430" spans="1:16">
      <c r="A12430" s="3">
        <v>44166.745949074073</v>
      </c>
      <c r="B12430" s="4" t="str">
        <f>HYPERLINK("https://twitter.com/petrogustavo","@petrogustavo")</f>
        <v>@petrogustavo</v>
      </c>
      <c r="C12430" s="5" t="s">
        <v>16</v>
      </c>
      <c r="D12430" s="5" t="s">
        <v>11962</v>
      </c>
      <c r="E12430" s="6" t="str">
        <f>HYPERLINK("https://twitter.com/petrogustavo/status/1333748724720406533","1333748724720406533")</f>
        <v>1333748724720406533</v>
      </c>
      <c r="F12430" s="7" t="s">
        <v>17</v>
      </c>
      <c r="G12430" s="7">
        <v>4014988</v>
      </c>
      <c r="H12430" s="7">
        <v>2467</v>
      </c>
      <c r="I12430" s="7">
        <v>18</v>
      </c>
      <c r="J12430" s="7">
        <v>72</v>
      </c>
      <c r="K12430" s="7" t="s">
        <v>18</v>
      </c>
      <c r="L12430" s="8">
        <v>39987.315405092595</v>
      </c>
      <c r="M12430" s="9" t="s">
        <v>19</v>
      </c>
      <c r="N12430" s="9" t="s">
        <v>20</v>
      </c>
      <c r="O12430" s="6" t="str">
        <f>HYPERLINK("https://pbs.twimg.com/profile_images/962471262747529216/Uo8lOkRJ_normal.jpg","View")</f>
        <v>View</v>
      </c>
      <c r="P12430" s="7"/>
    </row>
    <row r="12431" spans="1:16">
      <c r="A12431" s="3">
        <v>44166.752013888894</v>
      </c>
      <c r="B12431" s="4" t="str">
        <f>HYPERLINK("https://twitter.com/petrogustavo","@petrogustavo")</f>
        <v>@petrogustavo</v>
      </c>
      <c r="C12431" s="5" t="s">
        <v>16</v>
      </c>
      <c r="D12431" s="5" t="s">
        <v>11963</v>
      </c>
      <c r="E12431" s="6" t="str">
        <f>HYPERLINK("https://twitter.com/petrogustavo/status/1333750922950938626","1333750922950938626")</f>
        <v>1333750922950938626</v>
      </c>
      <c r="F12431" s="7" t="s">
        <v>17</v>
      </c>
      <c r="G12431" s="7">
        <v>4014988</v>
      </c>
      <c r="H12431" s="7">
        <v>2467</v>
      </c>
      <c r="I12431" s="7">
        <v>128</v>
      </c>
      <c r="J12431" s="7">
        <v>495</v>
      </c>
      <c r="K12431" s="7" t="s">
        <v>18</v>
      </c>
      <c r="L12431" s="8">
        <v>39987.315405092595</v>
      </c>
      <c r="M12431" s="9" t="s">
        <v>19</v>
      </c>
      <c r="N12431" s="9" t="s">
        <v>20</v>
      </c>
      <c r="O12431" s="6" t="str">
        <f>HYPERLINK("https://pbs.twimg.com/profile_images/962471262747529216/Uo8lOkRJ_normal.jpg","View")</f>
        <v>View</v>
      </c>
      <c r="P12431" s="7"/>
    </row>
    <row r="12432" spans="1:16">
      <c r="A12432" s="3">
        <v>44166.753784722227</v>
      </c>
      <c r="B12432" s="4" t="str">
        <f>HYPERLINK("https://twitter.com/petrogustavo","@petrogustavo")</f>
        <v>@petrogustavo</v>
      </c>
      <c r="C12432" s="5" t="s">
        <v>16</v>
      </c>
      <c r="D12432" s="5" t="s">
        <v>11964</v>
      </c>
      <c r="E12432" s="6" t="str">
        <f>HYPERLINK("https://twitter.com/petrogustavo/status/1333751565606416384","1333751565606416384")</f>
        <v>1333751565606416384</v>
      </c>
      <c r="F12432" s="7" t="s">
        <v>17</v>
      </c>
      <c r="G12432" s="7">
        <v>4014988</v>
      </c>
      <c r="H12432" s="7">
        <v>2467</v>
      </c>
      <c r="I12432" s="7">
        <v>264</v>
      </c>
      <c r="J12432" s="7">
        <v>0</v>
      </c>
      <c r="K12432" s="7" t="s">
        <v>18</v>
      </c>
      <c r="L12432" s="8">
        <v>39987.315405092595</v>
      </c>
      <c r="M12432" s="9" t="s">
        <v>19</v>
      </c>
      <c r="N12432" s="9" t="s">
        <v>20</v>
      </c>
      <c r="O12432" s="6" t="str">
        <f>HYPERLINK("https://pbs.twimg.com/profile_images/962471262747529216/Uo8lOkRJ_normal.jpg","View")</f>
        <v>View</v>
      </c>
      <c r="P12432" s="7"/>
    </row>
    <row r="12433" spans="1:16">
      <c r="A12433" s="3">
        <v>44166.759699074071</v>
      </c>
      <c r="B12433" s="4" t="str">
        <f>HYPERLINK("https://twitter.com/petrogustavo","@petrogustavo")</f>
        <v>@petrogustavo</v>
      </c>
      <c r="C12433" s="5" t="s">
        <v>16</v>
      </c>
      <c r="D12433" s="5" t="s">
        <v>11965</v>
      </c>
      <c r="E12433" s="6" t="str">
        <f>HYPERLINK("https://twitter.com/petrogustavo/status/1333753705594818563","1333753705594818563")</f>
        <v>1333753705594818563</v>
      </c>
      <c r="F12433" s="7" t="s">
        <v>17</v>
      </c>
      <c r="G12433" s="7">
        <v>4014988</v>
      </c>
      <c r="H12433" s="7">
        <v>2467</v>
      </c>
      <c r="I12433" s="7">
        <v>25</v>
      </c>
      <c r="J12433" s="7">
        <v>99</v>
      </c>
      <c r="K12433" s="7" t="s">
        <v>18</v>
      </c>
      <c r="L12433" s="8">
        <v>39987.315405092595</v>
      </c>
      <c r="M12433" s="9" t="s">
        <v>19</v>
      </c>
      <c r="N12433" s="9" t="s">
        <v>20</v>
      </c>
      <c r="O12433" s="6" t="str">
        <f>HYPERLINK("https://pbs.twimg.com/profile_images/962471262747529216/Uo8lOkRJ_normal.jpg","View")</f>
        <v>View</v>
      </c>
      <c r="P12433" s="7"/>
    </row>
    <row r="12434" spans="1:16">
      <c r="A12434" s="3">
        <v>44166.784108796295</v>
      </c>
      <c r="B12434" s="4" t="str">
        <f>HYPERLINK("https://twitter.com/petrogustavo","@petrogustavo")</f>
        <v>@petrogustavo</v>
      </c>
      <c r="C12434" s="5" t="s">
        <v>16</v>
      </c>
      <c r="D12434" s="5" t="s">
        <v>11966</v>
      </c>
      <c r="E12434" s="6" t="str">
        <f>HYPERLINK("https://twitter.com/petrogustavo/status/1333762553030336513","1333762553030336513")</f>
        <v>1333762553030336513</v>
      </c>
      <c r="F12434" s="7" t="s">
        <v>17</v>
      </c>
      <c r="G12434" s="7">
        <v>4015018</v>
      </c>
      <c r="H12434" s="7">
        <v>2467</v>
      </c>
      <c r="I12434" s="7">
        <v>17</v>
      </c>
      <c r="J12434" s="7">
        <v>0</v>
      </c>
      <c r="K12434" s="7" t="s">
        <v>18</v>
      </c>
      <c r="L12434" s="8">
        <v>39987.315405092595</v>
      </c>
      <c r="M12434" s="9" t="s">
        <v>19</v>
      </c>
      <c r="N12434" s="9" t="s">
        <v>20</v>
      </c>
      <c r="O12434" s="6" t="str">
        <f>HYPERLINK("https://pbs.twimg.com/profile_images/962471262747529216/Uo8lOkRJ_normal.jpg","View")</f>
        <v>View</v>
      </c>
      <c r="P12434" s="7"/>
    </row>
    <row r="12435" spans="1:16">
      <c r="A12435" s="3">
        <v>44166.784409722226</v>
      </c>
      <c r="B12435" s="4" t="str">
        <f>HYPERLINK("https://twitter.com/petrogustavo","@petrogustavo")</f>
        <v>@petrogustavo</v>
      </c>
      <c r="C12435" s="5" t="s">
        <v>16</v>
      </c>
      <c r="D12435" s="5" t="s">
        <v>11967</v>
      </c>
      <c r="E12435" s="6" t="str">
        <f>HYPERLINK("https://twitter.com/petrogustavo/status/1333762660723253254","1333762660723253254")</f>
        <v>1333762660723253254</v>
      </c>
      <c r="F12435" s="7" t="s">
        <v>17</v>
      </c>
      <c r="G12435" s="7">
        <v>4015018</v>
      </c>
      <c r="H12435" s="7">
        <v>2467</v>
      </c>
      <c r="I12435" s="7">
        <v>187</v>
      </c>
      <c r="J12435" s="7">
        <v>0</v>
      </c>
      <c r="K12435" s="7" t="s">
        <v>18</v>
      </c>
      <c r="L12435" s="8">
        <v>39987.315405092595</v>
      </c>
      <c r="M12435" s="9" t="s">
        <v>19</v>
      </c>
      <c r="N12435" s="9" t="s">
        <v>20</v>
      </c>
      <c r="O12435" s="6" t="str">
        <f>HYPERLINK("https://pbs.twimg.com/profile_images/962471262747529216/Uo8lOkRJ_normal.jpg","View")</f>
        <v>View</v>
      </c>
      <c r="P12435" s="7"/>
    </row>
    <row r="12436" spans="1:16">
      <c r="A12436" s="3">
        <v>44166.808206018519</v>
      </c>
      <c r="B12436" s="4" t="str">
        <f>HYPERLINK("https://twitter.com/petrogustavo","@petrogustavo")</f>
        <v>@petrogustavo</v>
      </c>
      <c r="C12436" s="5" t="s">
        <v>16</v>
      </c>
      <c r="D12436" s="5" t="s">
        <v>11968</v>
      </c>
      <c r="E12436" s="6" t="str">
        <f>HYPERLINK("https://twitter.com/petrogustavo/status/1333771284958781443","1333771284958781443")</f>
        <v>1333771284958781443</v>
      </c>
      <c r="F12436" s="7" t="s">
        <v>32</v>
      </c>
      <c r="G12436" s="7">
        <v>4015018</v>
      </c>
      <c r="H12436" s="7">
        <v>2467</v>
      </c>
      <c r="I12436" s="7">
        <v>123</v>
      </c>
      <c r="J12436" s="7">
        <v>560</v>
      </c>
      <c r="K12436" s="7" t="s">
        <v>18</v>
      </c>
      <c r="L12436" s="8">
        <v>39987.315405092595</v>
      </c>
      <c r="M12436" s="9" t="s">
        <v>19</v>
      </c>
      <c r="N12436" s="9" t="s">
        <v>20</v>
      </c>
      <c r="O12436" s="6" t="str">
        <f>HYPERLINK("https://pbs.twimg.com/profile_images/962471262747529216/Uo8lOkRJ_normal.jpg","View")</f>
        <v>View</v>
      </c>
      <c r="P12436" s="7"/>
    </row>
    <row r="12437" spans="1:16">
      <c r="A12437" s="3">
        <v>44166.957071759258</v>
      </c>
      <c r="B12437" s="4" t="str">
        <f>HYPERLINK("https://twitter.com/petrogustavo","@petrogustavo")</f>
        <v>@petrogustavo</v>
      </c>
      <c r="C12437" s="5" t="s">
        <v>16</v>
      </c>
      <c r="D12437" s="5" t="s">
        <v>11969</v>
      </c>
      <c r="E12437" s="6" t="str">
        <f>HYPERLINK("https://twitter.com/petrogustavo/status/1333825232633798657","1333825232633798657")</f>
        <v>1333825232633798657</v>
      </c>
      <c r="F12437" s="7" t="s">
        <v>17</v>
      </c>
      <c r="G12437" s="7">
        <v>4015114</v>
      </c>
      <c r="H12437" s="7">
        <v>2468</v>
      </c>
      <c r="I12437" s="7">
        <v>409</v>
      </c>
      <c r="J12437" s="7">
        <v>0</v>
      </c>
      <c r="K12437" s="7" t="s">
        <v>18</v>
      </c>
      <c r="L12437" s="8">
        <v>39987.315405092595</v>
      </c>
      <c r="M12437" s="9" t="s">
        <v>19</v>
      </c>
      <c r="N12437" s="9" t="s">
        <v>20</v>
      </c>
      <c r="O12437" s="6" t="str">
        <f>HYPERLINK("https://pbs.twimg.com/profile_images/962471262747529216/Uo8lOkRJ_normal.jpg","View")</f>
        <v>View</v>
      </c>
      <c r="P12437" s="7"/>
    </row>
    <row r="12438" spans="1:16">
      <c r="A12438" s="3">
        <v>44167.085833333331</v>
      </c>
      <c r="B12438" s="4" t="str">
        <f>HYPERLINK("https://twitter.com/petrogustavo","@petrogustavo")</f>
        <v>@petrogustavo</v>
      </c>
      <c r="C12438" s="5" t="s">
        <v>16</v>
      </c>
      <c r="D12438" s="5" t="s">
        <v>11970</v>
      </c>
      <c r="E12438" s="6" t="str">
        <f>HYPERLINK("https://twitter.com/petrogustavo/status/1333871894555205634","1333871894555205634")</f>
        <v>1333871894555205634</v>
      </c>
      <c r="F12438" s="7" t="s">
        <v>17</v>
      </c>
      <c r="G12438" s="7">
        <v>4015197</v>
      </c>
      <c r="H12438" s="7">
        <v>2468</v>
      </c>
      <c r="I12438" s="7">
        <v>918</v>
      </c>
      <c r="J12438" s="7">
        <v>0</v>
      </c>
      <c r="K12438" s="7" t="s">
        <v>18</v>
      </c>
      <c r="L12438" s="8">
        <v>39987.315405092595</v>
      </c>
      <c r="M12438" s="9" t="s">
        <v>19</v>
      </c>
      <c r="N12438" s="9" t="s">
        <v>20</v>
      </c>
      <c r="O12438" s="6" t="str">
        <f>HYPERLINK("https://pbs.twimg.com/profile_images/962471262747529216/Uo8lOkRJ_normal.jpg","View")</f>
        <v>View</v>
      </c>
      <c r="P12438" s="7"/>
    </row>
    <row r="12439" spans="1:16">
      <c r="A12439" s="3">
        <v>44167.106168981481</v>
      </c>
      <c r="B12439" s="4" t="str">
        <f>HYPERLINK("https://twitter.com/petrogustavo","@petrogustavo")</f>
        <v>@petrogustavo</v>
      </c>
      <c r="C12439" s="5" t="s">
        <v>16</v>
      </c>
      <c r="D12439" s="5" t="s">
        <v>11971</v>
      </c>
      <c r="E12439" s="6" t="str">
        <f>HYPERLINK("https://twitter.com/petrogustavo/status/1333879263754395648","1333879263754395648")</f>
        <v>1333879263754395648</v>
      </c>
      <c r="F12439" s="7" t="s">
        <v>17</v>
      </c>
      <c r="G12439" s="7">
        <v>4015218</v>
      </c>
      <c r="H12439" s="7">
        <v>2468</v>
      </c>
      <c r="I12439" s="7">
        <v>43</v>
      </c>
      <c r="J12439" s="7">
        <v>0</v>
      </c>
      <c r="K12439" s="7" t="s">
        <v>18</v>
      </c>
      <c r="L12439" s="8">
        <v>39987.315405092595</v>
      </c>
      <c r="M12439" s="9" t="s">
        <v>19</v>
      </c>
      <c r="N12439" s="9" t="s">
        <v>20</v>
      </c>
      <c r="O12439" s="6" t="str">
        <f>HYPERLINK("https://pbs.twimg.com/profile_images/962471262747529216/Uo8lOkRJ_normal.jpg","View")</f>
        <v>View</v>
      </c>
      <c r="P12439" s="7"/>
    </row>
    <row r="12440" spans="1:16">
      <c r="A12440" s="3">
        <v>44167.109606481477</v>
      </c>
      <c r="B12440" s="4" t="str">
        <f>HYPERLINK("https://twitter.com/petrogustavo","@petrogustavo")</f>
        <v>@petrogustavo</v>
      </c>
      <c r="C12440" s="5" t="s">
        <v>16</v>
      </c>
      <c r="D12440" s="5" t="s">
        <v>11972</v>
      </c>
      <c r="E12440" s="6" t="str">
        <f>HYPERLINK("https://twitter.com/petrogustavo/status/1333880508045004805","1333880508045004805")</f>
        <v>1333880508045004805</v>
      </c>
      <c r="F12440" s="7" t="s">
        <v>17</v>
      </c>
      <c r="G12440" s="7">
        <v>4015218</v>
      </c>
      <c r="H12440" s="7">
        <v>2468</v>
      </c>
      <c r="I12440" s="7">
        <v>278</v>
      </c>
      <c r="J12440" s="7">
        <v>0</v>
      </c>
      <c r="K12440" s="7" t="s">
        <v>18</v>
      </c>
      <c r="L12440" s="8">
        <v>39987.315405092595</v>
      </c>
      <c r="M12440" s="9" t="s">
        <v>19</v>
      </c>
      <c r="N12440" s="9" t="s">
        <v>20</v>
      </c>
      <c r="O12440" s="6" t="str">
        <f>HYPERLINK("https://pbs.twimg.com/profile_images/962471262747529216/Uo8lOkRJ_normal.jpg","View")</f>
        <v>View</v>
      </c>
      <c r="P12440" s="7"/>
    </row>
    <row r="12441" spans="1:16">
      <c r="A12441" s="3">
        <v>44167.128680555557</v>
      </c>
      <c r="B12441" s="4" t="str">
        <f>HYPERLINK("https://twitter.com/petrogustavo","@petrogustavo")</f>
        <v>@petrogustavo</v>
      </c>
      <c r="C12441" s="5" t="s">
        <v>16</v>
      </c>
      <c r="D12441" s="5" t="s">
        <v>11973</v>
      </c>
      <c r="E12441" s="6" t="str">
        <f>HYPERLINK("https://twitter.com/petrogustavo/status/1333887424036999173","1333887424036999173")</f>
        <v>1333887424036999173</v>
      </c>
      <c r="F12441" s="7" t="s">
        <v>17</v>
      </c>
      <c r="G12441" s="7">
        <v>4015235</v>
      </c>
      <c r="H12441" s="7">
        <v>2468</v>
      </c>
      <c r="I12441" s="7">
        <v>139</v>
      </c>
      <c r="J12441" s="7">
        <v>405</v>
      </c>
      <c r="K12441" s="7" t="s">
        <v>18</v>
      </c>
      <c r="L12441" s="8">
        <v>39987.315405092595</v>
      </c>
      <c r="M12441" s="9" t="s">
        <v>19</v>
      </c>
      <c r="N12441" s="9" t="s">
        <v>20</v>
      </c>
      <c r="O12441" s="6" t="str">
        <f>HYPERLINK("https://pbs.twimg.com/profile_images/962471262747529216/Uo8lOkRJ_normal.jpg","View")</f>
        <v>View</v>
      </c>
      <c r="P12441" s="7"/>
    </row>
    <row r="12442" spans="1:16">
      <c r="A12442" s="3">
        <v>44167.19831018518</v>
      </c>
      <c r="B12442" s="4" t="str">
        <f>HYPERLINK("https://twitter.com/petrogustavo","@petrogustavo")</f>
        <v>@petrogustavo</v>
      </c>
      <c r="C12442" s="5" t="s">
        <v>16</v>
      </c>
      <c r="D12442" s="5" t="s">
        <v>11974</v>
      </c>
      <c r="E12442" s="6" t="str">
        <f>HYPERLINK("https://twitter.com/petrogustavo/status/1333912654717591553","1333912654717591553")</f>
        <v>1333912654717591553</v>
      </c>
      <c r="F12442" s="7" t="s">
        <v>17</v>
      </c>
      <c r="G12442" s="7">
        <v>4015272</v>
      </c>
      <c r="H12442" s="7">
        <v>2469</v>
      </c>
      <c r="I12442" s="7">
        <v>15</v>
      </c>
      <c r="J12442" s="7">
        <v>0</v>
      </c>
      <c r="K12442" s="7" t="s">
        <v>18</v>
      </c>
      <c r="L12442" s="8">
        <v>39987.315405092595</v>
      </c>
      <c r="M12442" s="9" t="s">
        <v>19</v>
      </c>
      <c r="N12442" s="9" t="s">
        <v>20</v>
      </c>
      <c r="O12442" s="6" t="str">
        <f>HYPERLINK("https://pbs.twimg.com/profile_images/962471262747529216/Uo8lOkRJ_normal.jpg","View")</f>
        <v>View</v>
      </c>
      <c r="P12442" s="7"/>
    </row>
    <row r="12443" spans="1:16">
      <c r="A12443" s="3">
        <v>44167.199178240742</v>
      </c>
      <c r="B12443" s="4" t="str">
        <f>HYPERLINK("https://twitter.com/petrogustavo","@petrogustavo")</f>
        <v>@petrogustavo</v>
      </c>
      <c r="C12443" s="5" t="s">
        <v>16</v>
      </c>
      <c r="D12443" s="5" t="s">
        <v>11975</v>
      </c>
      <c r="E12443" s="6" t="str">
        <f>HYPERLINK("https://twitter.com/petrogustavo/status/1333912969642717196","1333912969642717196")</f>
        <v>1333912969642717196</v>
      </c>
      <c r="F12443" s="7" t="s">
        <v>17</v>
      </c>
      <c r="G12443" s="7">
        <v>4015272</v>
      </c>
      <c r="H12443" s="7">
        <v>2469</v>
      </c>
      <c r="I12443" s="7">
        <v>9</v>
      </c>
      <c r="J12443" s="7">
        <v>0</v>
      </c>
      <c r="K12443" s="7" t="s">
        <v>18</v>
      </c>
      <c r="L12443" s="8">
        <v>39987.315405092595</v>
      </c>
      <c r="M12443" s="9" t="s">
        <v>19</v>
      </c>
      <c r="N12443" s="9" t="s">
        <v>20</v>
      </c>
      <c r="O12443" s="6" t="str">
        <f>HYPERLINK("https://pbs.twimg.com/profile_images/962471262747529216/Uo8lOkRJ_normal.jpg","View")</f>
        <v>View</v>
      </c>
      <c r="P12443" s="7"/>
    </row>
    <row r="12444" spans="1:16">
      <c r="A12444" s="3">
        <v>44167.716539351852</v>
      </c>
      <c r="B12444" s="4" t="str">
        <f>HYPERLINK("https://twitter.com/petrogustavo","@petrogustavo")</f>
        <v>@petrogustavo</v>
      </c>
      <c r="C12444" s="5" t="s">
        <v>16</v>
      </c>
      <c r="D12444" s="5" t="s">
        <v>11976</v>
      </c>
      <c r="E12444" s="6" t="str">
        <f>HYPERLINK("https://twitter.com/petrogustavo/status/1334100456541483009","1334100456541483009")</f>
        <v>1334100456541483009</v>
      </c>
      <c r="F12444" s="7" t="s">
        <v>32</v>
      </c>
      <c r="G12444" s="7">
        <v>4015439</v>
      </c>
      <c r="H12444" s="7">
        <v>2469</v>
      </c>
      <c r="I12444" s="7">
        <v>32</v>
      </c>
      <c r="J12444" s="7">
        <v>85</v>
      </c>
      <c r="K12444" s="7" t="s">
        <v>18</v>
      </c>
      <c r="L12444" s="8">
        <v>39987.315405092595</v>
      </c>
      <c r="M12444" s="9" t="s">
        <v>19</v>
      </c>
      <c r="N12444" s="9" t="s">
        <v>20</v>
      </c>
      <c r="O12444" s="6" t="str">
        <f>HYPERLINK("https://pbs.twimg.com/profile_images/962471262747529216/Uo8lOkRJ_normal.jpg","View")</f>
        <v>View</v>
      </c>
      <c r="P12444" s="7"/>
    </row>
    <row r="12445" spans="1:16">
      <c r="A12445" s="3">
        <v>44167.719722222224</v>
      </c>
      <c r="B12445" s="4" t="str">
        <f>HYPERLINK("https://twitter.com/petrogustavo","@petrogustavo")</f>
        <v>@petrogustavo</v>
      </c>
      <c r="C12445" s="5" t="s">
        <v>16</v>
      </c>
      <c r="D12445" s="5" t="s">
        <v>11977</v>
      </c>
      <c r="E12445" s="6" t="str">
        <f>HYPERLINK("https://twitter.com/petrogustavo/status/1334101608632889344","1334101608632889344")</f>
        <v>1334101608632889344</v>
      </c>
      <c r="F12445" s="7" t="s">
        <v>32</v>
      </c>
      <c r="G12445" s="7">
        <v>4015439</v>
      </c>
      <c r="H12445" s="7">
        <v>2469</v>
      </c>
      <c r="I12445" s="7">
        <v>17</v>
      </c>
      <c r="J12445" s="7">
        <v>61</v>
      </c>
      <c r="K12445" s="7" t="s">
        <v>18</v>
      </c>
      <c r="L12445" s="8">
        <v>39987.315405092595</v>
      </c>
      <c r="M12445" s="9" t="s">
        <v>19</v>
      </c>
      <c r="N12445" s="9" t="s">
        <v>20</v>
      </c>
      <c r="O12445" s="6" t="str">
        <f>HYPERLINK("https://pbs.twimg.com/profile_images/962471262747529216/Uo8lOkRJ_normal.jpg","View")</f>
        <v>View</v>
      </c>
      <c r="P12445" s="7"/>
    </row>
    <row r="12446" spans="1:16">
      <c r="A12446" s="3">
        <v>44167.723136574074</v>
      </c>
      <c r="B12446" s="4" t="str">
        <f>HYPERLINK("https://twitter.com/petrogustavo","@petrogustavo")</f>
        <v>@petrogustavo</v>
      </c>
      <c r="C12446" s="5" t="s">
        <v>16</v>
      </c>
      <c r="D12446" s="5" t="s">
        <v>11978</v>
      </c>
      <c r="E12446" s="6" t="str">
        <f>HYPERLINK("https://twitter.com/petrogustavo/status/1334102846866944001","1334102846866944001")</f>
        <v>1334102846866944001</v>
      </c>
      <c r="F12446" s="7" t="s">
        <v>32</v>
      </c>
      <c r="G12446" s="7">
        <v>4015446</v>
      </c>
      <c r="H12446" s="7">
        <v>2469</v>
      </c>
      <c r="I12446" s="7">
        <v>98</v>
      </c>
      <c r="J12446" s="7">
        <v>269</v>
      </c>
      <c r="K12446" s="7" t="s">
        <v>18</v>
      </c>
      <c r="L12446" s="8">
        <v>39987.315405092595</v>
      </c>
      <c r="M12446" s="9" t="s">
        <v>19</v>
      </c>
      <c r="N12446" s="9" t="s">
        <v>20</v>
      </c>
      <c r="O12446" s="6" t="str">
        <f>HYPERLINK("https://pbs.twimg.com/profile_images/962471262747529216/Uo8lOkRJ_normal.jpg","View")</f>
        <v>View</v>
      </c>
      <c r="P12446" s="7"/>
    </row>
    <row r="12447" spans="1:16">
      <c r="A12447" s="3">
        <v>44167.727349537032</v>
      </c>
      <c r="B12447" s="4" t="str">
        <f>HYPERLINK("https://twitter.com/petrogustavo","@petrogustavo")</f>
        <v>@petrogustavo</v>
      </c>
      <c r="C12447" s="5" t="s">
        <v>16</v>
      </c>
      <c r="D12447" s="5" t="s">
        <v>11979</v>
      </c>
      <c r="E12447" s="6" t="str">
        <f>HYPERLINK("https://twitter.com/petrogustavo/status/1334104370586275843","1334104370586275843")</f>
        <v>1334104370586275843</v>
      </c>
      <c r="F12447" s="7" t="s">
        <v>32</v>
      </c>
      <c r="G12447" s="7">
        <v>4015446</v>
      </c>
      <c r="H12447" s="7">
        <v>2469</v>
      </c>
      <c r="I12447" s="7">
        <v>158</v>
      </c>
      <c r="J12447" s="7">
        <v>551</v>
      </c>
      <c r="K12447" s="7" t="s">
        <v>18</v>
      </c>
      <c r="L12447" s="8">
        <v>39987.315405092595</v>
      </c>
      <c r="M12447" s="9" t="s">
        <v>19</v>
      </c>
      <c r="N12447" s="9" t="s">
        <v>20</v>
      </c>
      <c r="O12447" s="6" t="str">
        <f>HYPERLINK("https://pbs.twimg.com/profile_images/962471262747529216/Uo8lOkRJ_normal.jpg","View")</f>
        <v>View</v>
      </c>
      <c r="P12447" s="7"/>
    </row>
    <row r="12448" spans="1:16">
      <c r="A12448" s="3">
        <v>44167.745868055557</v>
      </c>
      <c r="B12448" s="4" t="str">
        <f>HYPERLINK("https://twitter.com/petrogustavo","@petrogustavo")</f>
        <v>@petrogustavo</v>
      </c>
      <c r="C12448" s="5" t="s">
        <v>16</v>
      </c>
      <c r="D12448" s="5" t="s">
        <v>11980</v>
      </c>
      <c r="E12448" s="6" t="str">
        <f>HYPERLINK("https://twitter.com/petrogustavo/status/1334111084672913409","1334111084672913409")</f>
        <v>1334111084672913409</v>
      </c>
      <c r="F12448" s="7" t="s">
        <v>32</v>
      </c>
      <c r="G12448" s="7">
        <v>4015458</v>
      </c>
      <c r="H12448" s="7">
        <v>2469</v>
      </c>
      <c r="I12448" s="7">
        <v>188</v>
      </c>
      <c r="J12448" s="7">
        <v>569</v>
      </c>
      <c r="K12448" s="7" t="s">
        <v>18</v>
      </c>
      <c r="L12448" s="8">
        <v>39987.315405092595</v>
      </c>
      <c r="M12448" s="9" t="s">
        <v>19</v>
      </c>
      <c r="N12448" s="9" t="s">
        <v>20</v>
      </c>
      <c r="O12448" s="6" t="str">
        <f>HYPERLINK("https://pbs.twimg.com/profile_images/962471262747529216/Uo8lOkRJ_normal.jpg","View")</f>
        <v>View</v>
      </c>
      <c r="P12448" s="7"/>
    </row>
    <row r="12449" spans="1:16">
      <c r="A12449" s="3">
        <v>44167.755879629629</v>
      </c>
      <c r="B12449" s="4" t="str">
        <f>HYPERLINK("https://twitter.com/petrogustavo","@petrogustavo")</f>
        <v>@petrogustavo</v>
      </c>
      <c r="C12449" s="5" t="s">
        <v>16</v>
      </c>
      <c r="D12449" s="5" t="s">
        <v>11981</v>
      </c>
      <c r="E12449" s="6" t="str">
        <f>HYPERLINK("https://twitter.com/petrogustavo/status/1334114709537255424","1334114709537255424")</f>
        <v>1334114709537255424</v>
      </c>
      <c r="F12449" s="7" t="s">
        <v>32</v>
      </c>
      <c r="G12449" s="7">
        <v>4015458</v>
      </c>
      <c r="H12449" s="7">
        <v>2469</v>
      </c>
      <c r="I12449" s="7">
        <v>54</v>
      </c>
      <c r="J12449" s="7">
        <v>149</v>
      </c>
      <c r="K12449" s="7" t="s">
        <v>18</v>
      </c>
      <c r="L12449" s="8">
        <v>39987.315405092595</v>
      </c>
      <c r="M12449" s="9" t="s">
        <v>19</v>
      </c>
      <c r="N12449" s="9" t="s">
        <v>20</v>
      </c>
      <c r="O12449" s="6" t="str">
        <f>HYPERLINK("https://pbs.twimg.com/profile_images/962471262747529216/Uo8lOkRJ_normal.jpg","View")</f>
        <v>View</v>
      </c>
      <c r="P12449" s="7"/>
    </row>
    <row r="12450" spans="1:16">
      <c r="A12450" s="3">
        <v>44167.758472222224</v>
      </c>
      <c r="B12450" s="4" t="str">
        <f>HYPERLINK("https://twitter.com/petrogustavo","@petrogustavo")</f>
        <v>@petrogustavo</v>
      </c>
      <c r="C12450" s="5" t="s">
        <v>16</v>
      </c>
      <c r="D12450" s="5" t="s">
        <v>11982</v>
      </c>
      <c r="E12450" s="6" t="str">
        <f>HYPERLINK("https://twitter.com/petrogustavo/status/1334115649757569032","1334115649757569032")</f>
        <v>1334115649757569032</v>
      </c>
      <c r="F12450" s="7" t="s">
        <v>32</v>
      </c>
      <c r="G12450" s="7">
        <v>4015458</v>
      </c>
      <c r="H12450" s="7">
        <v>2469</v>
      </c>
      <c r="I12450" s="7">
        <v>1585</v>
      </c>
      <c r="J12450" s="7">
        <v>0</v>
      </c>
      <c r="K12450" s="7" t="s">
        <v>18</v>
      </c>
      <c r="L12450" s="8">
        <v>39987.315405092595</v>
      </c>
      <c r="M12450" s="9" t="s">
        <v>19</v>
      </c>
      <c r="N12450" s="9" t="s">
        <v>20</v>
      </c>
      <c r="O12450" s="6" t="str">
        <f>HYPERLINK("https://pbs.twimg.com/profile_images/962471262747529216/Uo8lOkRJ_normal.jpg","View")</f>
        <v>View</v>
      </c>
      <c r="P12450" s="7"/>
    </row>
    <row r="12451" spans="1:16">
      <c r="A12451" s="3">
        <v>44167.762129629627</v>
      </c>
      <c r="B12451" s="4" t="str">
        <f>HYPERLINK("https://twitter.com/petrogustavo","@petrogustavo")</f>
        <v>@petrogustavo</v>
      </c>
      <c r="C12451" s="5" t="s">
        <v>16</v>
      </c>
      <c r="D12451" s="5" t="s">
        <v>11983</v>
      </c>
      <c r="E12451" s="6" t="str">
        <f>HYPERLINK("https://twitter.com/petrogustavo/status/1334116977447669760","1334116977447669760")</f>
        <v>1334116977447669760</v>
      </c>
      <c r="F12451" s="7" t="s">
        <v>32</v>
      </c>
      <c r="G12451" s="7">
        <v>4015458</v>
      </c>
      <c r="H12451" s="7">
        <v>2469</v>
      </c>
      <c r="I12451" s="7">
        <v>12</v>
      </c>
      <c r="J12451" s="7">
        <v>38</v>
      </c>
      <c r="K12451" s="7" t="s">
        <v>18</v>
      </c>
      <c r="L12451" s="8">
        <v>39987.315405092595</v>
      </c>
      <c r="M12451" s="9" t="s">
        <v>19</v>
      </c>
      <c r="N12451" s="9" t="s">
        <v>20</v>
      </c>
      <c r="O12451" s="6" t="str">
        <f>HYPERLINK("https://pbs.twimg.com/profile_images/962471262747529216/Uo8lOkRJ_normal.jpg","View")</f>
        <v>View</v>
      </c>
      <c r="P12451" s="7"/>
    </row>
    <row r="12452" spans="1:16">
      <c r="A12452" s="3">
        <v>44167.79987268518</v>
      </c>
      <c r="B12452" s="4" t="str">
        <f>HYPERLINK("https://twitter.com/petrogustavo","@petrogustavo")</f>
        <v>@petrogustavo</v>
      </c>
      <c r="C12452" s="5" t="s">
        <v>16</v>
      </c>
      <c r="D12452" s="5" t="s">
        <v>11984</v>
      </c>
      <c r="E12452" s="6" t="str">
        <f>HYPERLINK("https://twitter.com/petrogustavo/status/1334130654938853380","1334130654938853380")</f>
        <v>1334130654938853380</v>
      </c>
      <c r="F12452" s="7" t="s">
        <v>17</v>
      </c>
      <c r="G12452" s="7">
        <v>4015478</v>
      </c>
      <c r="H12452" s="7">
        <v>2469</v>
      </c>
      <c r="I12452" s="7">
        <v>66</v>
      </c>
      <c r="J12452" s="7">
        <v>0</v>
      </c>
      <c r="K12452" s="7" t="s">
        <v>18</v>
      </c>
      <c r="L12452" s="8">
        <v>39987.315405092595</v>
      </c>
      <c r="M12452" s="9" t="s">
        <v>19</v>
      </c>
      <c r="N12452" s="9" t="s">
        <v>20</v>
      </c>
      <c r="O12452" s="6" t="str">
        <f>HYPERLINK("https://pbs.twimg.com/profile_images/962471262747529216/Uo8lOkRJ_normal.jpg","View")</f>
        <v>View</v>
      </c>
      <c r="P12452" s="7"/>
    </row>
    <row r="12453" spans="1:16">
      <c r="A12453" s="3">
        <v>44167.805972222224</v>
      </c>
      <c r="B12453" s="4" t="str">
        <f>HYPERLINK("https://twitter.com/petrogustavo","@petrogustavo")</f>
        <v>@petrogustavo</v>
      </c>
      <c r="C12453" s="5" t="s">
        <v>16</v>
      </c>
      <c r="D12453" s="5" t="s">
        <v>11985</v>
      </c>
      <c r="E12453" s="6" t="str">
        <f>HYPERLINK("https://twitter.com/petrogustavo/status/1334132863307051008","1334132863307051008")</f>
        <v>1334132863307051008</v>
      </c>
      <c r="F12453" s="7" t="s">
        <v>17</v>
      </c>
      <c r="G12453" s="7">
        <v>4015493</v>
      </c>
      <c r="H12453" s="7">
        <v>2469</v>
      </c>
      <c r="I12453" s="7">
        <v>87</v>
      </c>
      <c r="J12453" s="7">
        <v>282</v>
      </c>
      <c r="K12453" s="7" t="s">
        <v>18</v>
      </c>
      <c r="L12453" s="8">
        <v>39987.315405092595</v>
      </c>
      <c r="M12453" s="9" t="s">
        <v>19</v>
      </c>
      <c r="N12453" s="9" t="s">
        <v>20</v>
      </c>
      <c r="O12453" s="6" t="str">
        <f>HYPERLINK("https://pbs.twimg.com/profile_images/962471262747529216/Uo8lOkRJ_normal.jpg","View")</f>
        <v>View</v>
      </c>
      <c r="P12453" s="7"/>
    </row>
    <row r="12454" spans="1:16">
      <c r="A12454" s="3">
        <v>44167.813599537039</v>
      </c>
      <c r="B12454" s="4" t="str">
        <f>HYPERLINK("https://twitter.com/petrogustavo","@petrogustavo")</f>
        <v>@petrogustavo</v>
      </c>
      <c r="C12454" s="5" t="s">
        <v>16</v>
      </c>
      <c r="D12454" s="5" t="s">
        <v>11986</v>
      </c>
      <c r="E12454" s="6" t="str">
        <f>HYPERLINK("https://twitter.com/petrogustavo/status/1334135629085552642","1334135629085552642")</f>
        <v>1334135629085552642</v>
      </c>
      <c r="F12454" s="7" t="s">
        <v>17</v>
      </c>
      <c r="G12454" s="7">
        <v>4015493</v>
      </c>
      <c r="H12454" s="7">
        <v>2469</v>
      </c>
      <c r="I12454" s="7">
        <v>34</v>
      </c>
      <c r="J12454" s="7">
        <v>170</v>
      </c>
      <c r="K12454" s="7" t="s">
        <v>18</v>
      </c>
      <c r="L12454" s="8">
        <v>39987.315405092595</v>
      </c>
      <c r="M12454" s="9" t="s">
        <v>19</v>
      </c>
      <c r="N12454" s="9" t="s">
        <v>20</v>
      </c>
      <c r="O12454" s="6" t="str">
        <f>HYPERLINK("https://pbs.twimg.com/profile_images/962471262747529216/Uo8lOkRJ_normal.jpg","View")</f>
        <v>View</v>
      </c>
      <c r="P12454" s="7"/>
    </row>
    <row r="12455" spans="1:16">
      <c r="A12455" s="3">
        <v>44167.91097222222</v>
      </c>
      <c r="B12455" s="4" t="str">
        <f>HYPERLINK("https://twitter.com/petrogustavo","@petrogustavo")</f>
        <v>@petrogustavo</v>
      </c>
      <c r="C12455" s="5" t="s">
        <v>16</v>
      </c>
      <c r="D12455" s="5" t="s">
        <v>11987</v>
      </c>
      <c r="E12455" s="6" t="str">
        <f>HYPERLINK("https://twitter.com/petrogustavo/status/1334170916834643970","1334170916834643970")</f>
        <v>1334170916834643970</v>
      </c>
      <c r="F12455" s="7" t="s">
        <v>17</v>
      </c>
      <c r="G12455" s="7">
        <v>4015576</v>
      </c>
      <c r="H12455" s="7">
        <v>2469</v>
      </c>
      <c r="I12455" s="7">
        <v>59</v>
      </c>
      <c r="J12455" s="7">
        <v>246</v>
      </c>
      <c r="K12455" s="7" t="s">
        <v>18</v>
      </c>
      <c r="L12455" s="8">
        <v>39987.315405092595</v>
      </c>
      <c r="M12455" s="9" t="s">
        <v>19</v>
      </c>
      <c r="N12455" s="9" t="s">
        <v>20</v>
      </c>
      <c r="O12455" s="6" t="str">
        <f>HYPERLINK("https://pbs.twimg.com/profile_images/962471262747529216/Uo8lOkRJ_normal.jpg","View")</f>
        <v>View</v>
      </c>
      <c r="P12455" s="7"/>
    </row>
    <row r="12456" spans="1:16">
      <c r="A12456" s="3">
        <v>44167.912048611106</v>
      </c>
      <c r="B12456" s="4" t="str">
        <f>HYPERLINK("https://twitter.com/petrogustavo","@petrogustavo")</f>
        <v>@petrogustavo</v>
      </c>
      <c r="C12456" s="5" t="s">
        <v>16</v>
      </c>
      <c r="D12456" s="5" t="s">
        <v>11988</v>
      </c>
      <c r="E12456" s="6" t="str">
        <f>HYPERLINK("https://twitter.com/petrogustavo/status/1334171304531025920","1334171304531025920")</f>
        <v>1334171304531025920</v>
      </c>
      <c r="F12456" s="7" t="s">
        <v>17</v>
      </c>
      <c r="G12456" s="7">
        <v>4015576</v>
      </c>
      <c r="H12456" s="7">
        <v>2469</v>
      </c>
      <c r="I12456" s="7">
        <v>1296</v>
      </c>
      <c r="J12456" s="7">
        <v>0</v>
      </c>
      <c r="K12456" s="7" t="s">
        <v>18</v>
      </c>
      <c r="L12456" s="8">
        <v>39987.315405092595</v>
      </c>
      <c r="M12456" s="9" t="s">
        <v>19</v>
      </c>
      <c r="N12456" s="9" t="s">
        <v>20</v>
      </c>
      <c r="O12456" s="6" t="str">
        <f>HYPERLINK("https://pbs.twimg.com/profile_images/962471262747529216/Uo8lOkRJ_normal.jpg","View")</f>
        <v>View</v>
      </c>
      <c r="P12456" s="7"/>
    </row>
    <row r="12457" spans="1:16">
      <c r="A12457" s="3">
        <v>44168.032719907409</v>
      </c>
      <c r="B12457" s="4" t="str">
        <f>HYPERLINK("https://twitter.com/petrogustavo","@petrogustavo")</f>
        <v>@petrogustavo</v>
      </c>
      <c r="C12457" s="5" t="s">
        <v>16</v>
      </c>
      <c r="D12457" s="5" t="s">
        <v>11989</v>
      </c>
      <c r="E12457" s="6" t="str">
        <f>HYPERLINK("https://twitter.com/petrogustavo/status/1334215033480474624","1334215033480474624")</f>
        <v>1334215033480474624</v>
      </c>
      <c r="F12457" s="7" t="s">
        <v>17</v>
      </c>
      <c r="G12457" s="7">
        <v>4015405</v>
      </c>
      <c r="H12457" s="7">
        <v>2469</v>
      </c>
      <c r="I12457" s="7">
        <v>9</v>
      </c>
      <c r="J12457" s="7">
        <v>19</v>
      </c>
      <c r="K12457" s="7" t="s">
        <v>18</v>
      </c>
      <c r="L12457" s="8">
        <v>39987.315405092595</v>
      </c>
      <c r="M12457" s="9" t="s">
        <v>19</v>
      </c>
      <c r="N12457" s="9" t="s">
        <v>20</v>
      </c>
      <c r="O12457" s="6" t="str">
        <f>HYPERLINK("https://pbs.twimg.com/profile_images/962471262747529216/Uo8lOkRJ_normal.jpg","View")</f>
        <v>View</v>
      </c>
      <c r="P12457" s="7"/>
    </row>
    <row r="12458" spans="1:16">
      <c r="A12458" s="3">
        <v>44168.070740740739</v>
      </c>
      <c r="B12458" s="4" t="str">
        <f>HYPERLINK("https://twitter.com/petrogustavo","@petrogustavo")</f>
        <v>@petrogustavo</v>
      </c>
      <c r="C12458" s="5" t="s">
        <v>16</v>
      </c>
      <c r="D12458" s="5" t="s">
        <v>11990</v>
      </c>
      <c r="E12458" s="6" t="str">
        <f>HYPERLINK("https://twitter.com/petrogustavo/status/1334228814113726464","1334228814113726464")</f>
        <v>1334228814113726464</v>
      </c>
      <c r="F12458" s="7" t="s">
        <v>17</v>
      </c>
      <c r="G12458" s="7">
        <v>4015436</v>
      </c>
      <c r="H12458" s="7">
        <v>2469</v>
      </c>
      <c r="I12458" s="7">
        <v>64</v>
      </c>
      <c r="J12458" s="7">
        <v>157</v>
      </c>
      <c r="K12458" s="7" t="s">
        <v>18</v>
      </c>
      <c r="L12458" s="8">
        <v>39987.315405092595</v>
      </c>
      <c r="M12458" s="9" t="s">
        <v>19</v>
      </c>
      <c r="N12458" s="9" t="s">
        <v>20</v>
      </c>
      <c r="O12458" s="6" t="str">
        <f>HYPERLINK("https://pbs.twimg.com/profile_images/962471262747529216/Uo8lOkRJ_normal.jpg","View")</f>
        <v>View</v>
      </c>
      <c r="P12458" s="7"/>
    </row>
    <row r="12459" spans="1:16">
      <c r="A12459" s="3">
        <v>44168.189398148148</v>
      </c>
      <c r="B12459" s="4" t="str">
        <f>HYPERLINK("https://twitter.com/petrogustavo","@petrogustavo")</f>
        <v>@petrogustavo</v>
      </c>
      <c r="C12459" s="5" t="s">
        <v>16</v>
      </c>
      <c r="D12459" s="5" t="s">
        <v>11991</v>
      </c>
      <c r="E12459" s="6" t="str">
        <f>HYPERLINK("https://twitter.com/petrogustavo/status/1334271813203992583","1334271813203992583")</f>
        <v>1334271813203992583</v>
      </c>
      <c r="F12459" s="7" t="s">
        <v>32</v>
      </c>
      <c r="G12459" s="7">
        <v>4015268</v>
      </c>
      <c r="H12459" s="7">
        <v>2469</v>
      </c>
      <c r="I12459" s="7">
        <v>153</v>
      </c>
      <c r="J12459" s="7">
        <v>489</v>
      </c>
      <c r="K12459" s="7" t="s">
        <v>18</v>
      </c>
      <c r="L12459" s="8">
        <v>39987.315405092595</v>
      </c>
      <c r="M12459" s="9" t="s">
        <v>19</v>
      </c>
      <c r="N12459" s="9" t="s">
        <v>20</v>
      </c>
      <c r="O12459" s="6" t="str">
        <f>HYPERLINK("https://pbs.twimg.com/profile_images/962471262747529216/Uo8lOkRJ_normal.jpg","View")</f>
        <v>View</v>
      </c>
      <c r="P12459" s="7"/>
    </row>
    <row r="12460" spans="1:16">
      <c r="A12460" s="3">
        <v>44168.23810185185</v>
      </c>
      <c r="B12460" s="4" t="str">
        <f>HYPERLINK("https://twitter.com/petrogustavo","@petrogustavo")</f>
        <v>@petrogustavo</v>
      </c>
      <c r="C12460" s="5" t="s">
        <v>16</v>
      </c>
      <c r="D12460" s="5" t="s">
        <v>11992</v>
      </c>
      <c r="E12460" s="6" t="str">
        <f>HYPERLINK("https://twitter.com/petrogustavo/status/1334289464638791680","1334289464638791680")</f>
        <v>1334289464638791680</v>
      </c>
      <c r="F12460" s="7" t="s">
        <v>32</v>
      </c>
      <c r="G12460" s="7">
        <v>4015182</v>
      </c>
      <c r="H12460" s="7">
        <v>2469</v>
      </c>
      <c r="I12460" s="7">
        <v>37</v>
      </c>
      <c r="J12460" s="7">
        <v>63</v>
      </c>
      <c r="K12460" s="7" t="s">
        <v>18</v>
      </c>
      <c r="L12460" s="8">
        <v>39987.315405092595</v>
      </c>
      <c r="M12460" s="9" t="s">
        <v>19</v>
      </c>
      <c r="N12460" s="9" t="s">
        <v>20</v>
      </c>
      <c r="O12460" s="6" t="str">
        <f>HYPERLINK("https://pbs.twimg.com/profile_images/962471262747529216/Uo8lOkRJ_normal.jpg","View")</f>
        <v>View</v>
      </c>
      <c r="P12460" s="7"/>
    </row>
    <row r="12461" spans="1:16">
      <c r="A12461" s="3">
        <v>44168.270590277782</v>
      </c>
      <c r="B12461" s="4" t="str">
        <f>HYPERLINK("https://twitter.com/petrogustavo","@petrogustavo")</f>
        <v>@petrogustavo</v>
      </c>
      <c r="C12461" s="5" t="s">
        <v>16</v>
      </c>
      <c r="D12461" s="5" t="s">
        <v>11993</v>
      </c>
      <c r="E12461" s="6" t="str">
        <f>HYPERLINK("https://twitter.com/petrogustavo/status/1334301235189571588","1334301235189571588")</f>
        <v>1334301235189571588</v>
      </c>
      <c r="F12461" s="7" t="s">
        <v>32</v>
      </c>
      <c r="G12461" s="7">
        <v>4015210</v>
      </c>
      <c r="H12461" s="7">
        <v>2469</v>
      </c>
      <c r="I12461" s="7">
        <v>107</v>
      </c>
      <c r="J12461" s="7">
        <v>312</v>
      </c>
      <c r="K12461" s="7" t="s">
        <v>18</v>
      </c>
      <c r="L12461" s="8">
        <v>39987.315405092595</v>
      </c>
      <c r="M12461" s="9" t="s">
        <v>19</v>
      </c>
      <c r="N12461" s="9" t="s">
        <v>20</v>
      </c>
      <c r="O12461" s="6" t="str">
        <f>HYPERLINK("https://pbs.twimg.com/profile_images/962471262747529216/Uo8lOkRJ_normal.jpg","View")</f>
        <v>View</v>
      </c>
      <c r="P12461" s="7"/>
    </row>
    <row r="12462" spans="1:16">
      <c r="A12462" s="3">
        <v>44168.727083333331</v>
      </c>
      <c r="B12462" s="4" t="str">
        <f>HYPERLINK("https://twitter.com/petrogustavo","@petrogustavo")</f>
        <v>@petrogustavo</v>
      </c>
      <c r="C12462" s="5" t="s">
        <v>16</v>
      </c>
      <c r="D12462" s="5" t="s">
        <v>11994</v>
      </c>
      <c r="E12462" s="6" t="str">
        <f>HYPERLINK("https://twitter.com/petrogustavo/status/1334466662687531010","1334466662687531010")</f>
        <v>1334466662687531010</v>
      </c>
      <c r="F12462" s="7" t="s">
        <v>17</v>
      </c>
      <c r="G12462" s="7">
        <v>4015186</v>
      </c>
      <c r="H12462" s="7">
        <v>2469</v>
      </c>
      <c r="I12462" s="7">
        <v>106</v>
      </c>
      <c r="J12462" s="7">
        <v>422</v>
      </c>
      <c r="K12462" s="7" t="s">
        <v>18</v>
      </c>
      <c r="L12462" s="8">
        <v>39987.315405092595</v>
      </c>
      <c r="M12462" s="9" t="s">
        <v>19</v>
      </c>
      <c r="N12462" s="9" t="s">
        <v>20</v>
      </c>
      <c r="O12462" s="6" t="str">
        <f>HYPERLINK("https://pbs.twimg.com/profile_images/962471262747529216/Uo8lOkRJ_normal.jpg","View")</f>
        <v>View</v>
      </c>
      <c r="P12462" s="7"/>
    </row>
    <row r="12463" spans="1:16">
      <c r="A12463" s="3">
        <v>44168.733055555553</v>
      </c>
      <c r="B12463" s="4" t="str">
        <f>HYPERLINK("https://twitter.com/petrogustavo","@petrogustavo")</f>
        <v>@petrogustavo</v>
      </c>
      <c r="C12463" s="5" t="s">
        <v>16</v>
      </c>
      <c r="D12463" s="5" t="s">
        <v>11995</v>
      </c>
      <c r="E12463" s="6" t="str">
        <f>HYPERLINK("https://twitter.com/petrogustavo/status/1334468828630310912","1334468828630310912")</f>
        <v>1334468828630310912</v>
      </c>
      <c r="F12463" s="7" t="s">
        <v>17</v>
      </c>
      <c r="G12463" s="7">
        <v>4015186</v>
      </c>
      <c r="H12463" s="7">
        <v>2469</v>
      </c>
      <c r="I12463" s="7">
        <v>69</v>
      </c>
      <c r="J12463" s="7">
        <v>0</v>
      </c>
      <c r="K12463" s="7" t="s">
        <v>18</v>
      </c>
      <c r="L12463" s="8">
        <v>39987.315405092595</v>
      </c>
      <c r="M12463" s="9" t="s">
        <v>19</v>
      </c>
      <c r="N12463" s="9" t="s">
        <v>20</v>
      </c>
      <c r="O12463" s="6" t="str">
        <f>HYPERLINK("https://pbs.twimg.com/profile_images/962471262747529216/Uo8lOkRJ_normal.jpg","View")</f>
        <v>View</v>
      </c>
      <c r="P12463" s="7"/>
    </row>
    <row r="12464" spans="1:16">
      <c r="A12464" s="3">
        <v>44168.739004629635</v>
      </c>
      <c r="B12464" s="4" t="str">
        <f>HYPERLINK("https://twitter.com/petrogustavo","@petrogustavo")</f>
        <v>@petrogustavo</v>
      </c>
      <c r="C12464" s="5" t="s">
        <v>16</v>
      </c>
      <c r="D12464" s="5" t="s">
        <v>11996</v>
      </c>
      <c r="E12464" s="6" t="str">
        <f>HYPERLINK("https://twitter.com/petrogustavo/status/1334470985060397056","1334470985060397056")</f>
        <v>1334470985060397056</v>
      </c>
      <c r="F12464" s="7" t="s">
        <v>17</v>
      </c>
      <c r="G12464" s="7">
        <v>4015186</v>
      </c>
      <c r="H12464" s="7">
        <v>2469</v>
      </c>
      <c r="I12464" s="7">
        <v>828</v>
      </c>
      <c r="J12464" s="7">
        <v>0</v>
      </c>
      <c r="K12464" s="7" t="s">
        <v>18</v>
      </c>
      <c r="L12464" s="8">
        <v>39987.315405092595</v>
      </c>
      <c r="M12464" s="9" t="s">
        <v>19</v>
      </c>
      <c r="N12464" s="9" t="s">
        <v>20</v>
      </c>
      <c r="O12464" s="6" t="str">
        <f>HYPERLINK("https://pbs.twimg.com/profile_images/962471262747529216/Uo8lOkRJ_normal.jpg","View")</f>
        <v>View</v>
      </c>
      <c r="P12464" s="7"/>
    </row>
    <row r="12465" spans="1:16">
      <c r="A12465" s="3">
        <v>44168.741689814815</v>
      </c>
      <c r="B12465" s="4" t="str">
        <f>HYPERLINK("https://twitter.com/petrogustavo","@petrogustavo")</f>
        <v>@petrogustavo</v>
      </c>
      <c r="C12465" s="5" t="s">
        <v>16</v>
      </c>
      <c r="D12465" s="5" t="s">
        <v>11997</v>
      </c>
      <c r="E12465" s="6" t="str">
        <f>HYPERLINK("https://twitter.com/petrogustavo/status/1334471958273155074","1334471958273155074")</f>
        <v>1334471958273155074</v>
      </c>
      <c r="F12465" s="7" t="s">
        <v>17</v>
      </c>
      <c r="G12465" s="7">
        <v>4015186</v>
      </c>
      <c r="H12465" s="7">
        <v>2469</v>
      </c>
      <c r="I12465" s="7">
        <v>0</v>
      </c>
      <c r="J12465" s="7">
        <v>5</v>
      </c>
      <c r="K12465" s="7" t="s">
        <v>18</v>
      </c>
      <c r="L12465" s="8">
        <v>39987.315405092595</v>
      </c>
      <c r="M12465" s="9" t="s">
        <v>19</v>
      </c>
      <c r="N12465" s="9" t="s">
        <v>20</v>
      </c>
      <c r="O12465" s="6" t="str">
        <f>HYPERLINK("https://pbs.twimg.com/profile_images/962471262747529216/Uo8lOkRJ_normal.jpg","View")</f>
        <v>View</v>
      </c>
      <c r="P12465" s="7"/>
    </row>
    <row r="12466" spans="1:16">
      <c r="A12466" s="3">
        <v>44168.745219907403</v>
      </c>
      <c r="B12466" s="4" t="str">
        <f>HYPERLINK("https://twitter.com/petrogustavo","@petrogustavo")</f>
        <v>@petrogustavo</v>
      </c>
      <c r="C12466" s="5" t="s">
        <v>16</v>
      </c>
      <c r="D12466" s="5" t="s">
        <v>11998</v>
      </c>
      <c r="E12466" s="6" t="str">
        <f>HYPERLINK("https://twitter.com/petrogustavo/status/1334473237858820098","1334473237858820098")</f>
        <v>1334473237858820098</v>
      </c>
      <c r="F12466" s="7" t="s">
        <v>17</v>
      </c>
      <c r="G12466" s="7">
        <v>4015200</v>
      </c>
      <c r="H12466" s="7">
        <v>2470</v>
      </c>
      <c r="I12466" s="7">
        <v>33</v>
      </c>
      <c r="J12466" s="7">
        <v>128</v>
      </c>
      <c r="K12466" s="7" t="s">
        <v>18</v>
      </c>
      <c r="L12466" s="8">
        <v>39987.315405092595</v>
      </c>
      <c r="M12466" s="9" t="s">
        <v>19</v>
      </c>
      <c r="N12466" s="9" t="s">
        <v>20</v>
      </c>
      <c r="O12466" s="6" t="str">
        <f>HYPERLINK("https://pbs.twimg.com/profile_images/962471262747529216/Uo8lOkRJ_normal.jpg","View")</f>
        <v>View</v>
      </c>
      <c r="P12466" s="7"/>
    </row>
    <row r="12467" spans="1:16">
      <c r="A12467" s="3">
        <v>44168.75273148148</v>
      </c>
      <c r="B12467" s="4" t="str">
        <f>HYPERLINK("https://twitter.com/petrogustavo","@petrogustavo")</f>
        <v>@petrogustavo</v>
      </c>
      <c r="C12467" s="5" t="s">
        <v>16</v>
      </c>
      <c r="D12467" s="5" t="s">
        <v>11999</v>
      </c>
      <c r="E12467" s="6" t="str">
        <f>HYPERLINK("https://twitter.com/petrogustavo/status/1334475959496544258","1334475959496544258")</f>
        <v>1334475959496544258</v>
      </c>
      <c r="F12467" s="7" t="s">
        <v>17</v>
      </c>
      <c r="G12467" s="7">
        <v>4015200</v>
      </c>
      <c r="H12467" s="7">
        <v>2470</v>
      </c>
      <c r="I12467" s="7">
        <v>63</v>
      </c>
      <c r="J12467" s="7">
        <v>330</v>
      </c>
      <c r="K12467" s="7" t="s">
        <v>18</v>
      </c>
      <c r="L12467" s="8">
        <v>39987.315405092595</v>
      </c>
      <c r="M12467" s="9" t="s">
        <v>19</v>
      </c>
      <c r="N12467" s="9" t="s">
        <v>20</v>
      </c>
      <c r="O12467" s="6" t="str">
        <f>HYPERLINK("https://pbs.twimg.com/profile_images/962471262747529216/Uo8lOkRJ_normal.jpg","View")</f>
        <v>View</v>
      </c>
      <c r="P12467" s="7"/>
    </row>
    <row r="12468" spans="1:16">
      <c r="A12468" s="3">
        <v>44168.756284722222</v>
      </c>
      <c r="B12468" s="4" t="str">
        <f>HYPERLINK("https://twitter.com/petrogustavo","@petrogustavo")</f>
        <v>@petrogustavo</v>
      </c>
      <c r="C12468" s="5" t="s">
        <v>16</v>
      </c>
      <c r="D12468" s="5" t="s">
        <v>12000</v>
      </c>
      <c r="E12468" s="6" t="str">
        <f>HYPERLINK("https://twitter.com/petrogustavo/status/1334477247013670914","1334477247013670914")</f>
        <v>1334477247013670914</v>
      </c>
      <c r="F12468" s="7" t="s">
        <v>17</v>
      </c>
      <c r="G12468" s="7">
        <v>4015200</v>
      </c>
      <c r="H12468" s="7">
        <v>2470</v>
      </c>
      <c r="I12468" s="7">
        <v>28</v>
      </c>
      <c r="J12468" s="7">
        <v>64</v>
      </c>
      <c r="K12468" s="7" t="s">
        <v>18</v>
      </c>
      <c r="L12468" s="8">
        <v>39987.315405092595</v>
      </c>
      <c r="M12468" s="9" t="s">
        <v>19</v>
      </c>
      <c r="N12468" s="9" t="s">
        <v>20</v>
      </c>
      <c r="O12468" s="6" t="str">
        <f>HYPERLINK("https://pbs.twimg.com/profile_images/962471262747529216/Uo8lOkRJ_normal.jpg","View")</f>
        <v>View</v>
      </c>
      <c r="P12468" s="7"/>
    </row>
    <row r="12469" spans="1:16">
      <c r="A12469" s="3">
        <v>44168.762002314819</v>
      </c>
      <c r="B12469" s="4" t="str">
        <f>HYPERLINK("https://twitter.com/petrogustavo","@petrogustavo")</f>
        <v>@petrogustavo</v>
      </c>
      <c r="C12469" s="5" t="s">
        <v>16</v>
      </c>
      <c r="D12469" s="5" t="s">
        <v>12001</v>
      </c>
      <c r="E12469" s="6" t="str">
        <f>HYPERLINK("https://twitter.com/petrogustavo/status/1334479319188566016","1334479319188566016")</f>
        <v>1334479319188566016</v>
      </c>
      <c r="F12469" s="7" t="s">
        <v>17</v>
      </c>
      <c r="G12469" s="7">
        <v>4015203</v>
      </c>
      <c r="H12469" s="7">
        <v>2470</v>
      </c>
      <c r="I12469" s="7">
        <v>44</v>
      </c>
      <c r="J12469" s="7">
        <v>136</v>
      </c>
      <c r="K12469" s="7" t="s">
        <v>18</v>
      </c>
      <c r="L12469" s="8">
        <v>39987.315405092595</v>
      </c>
      <c r="M12469" s="9" t="s">
        <v>19</v>
      </c>
      <c r="N12469" s="9" t="s">
        <v>20</v>
      </c>
      <c r="O12469" s="6" t="str">
        <f>HYPERLINK("https://pbs.twimg.com/profile_images/962471262747529216/Uo8lOkRJ_normal.jpg","View")</f>
        <v>View</v>
      </c>
      <c r="P12469" s="7"/>
    </row>
    <row r="12470" spans="1:16">
      <c r="A12470" s="3">
        <v>44168.763645833329</v>
      </c>
      <c r="B12470" s="4" t="str">
        <f>HYPERLINK("https://twitter.com/petrogustavo","@petrogustavo")</f>
        <v>@petrogustavo</v>
      </c>
      <c r="C12470" s="5" t="s">
        <v>16</v>
      </c>
      <c r="D12470" s="5" t="s">
        <v>12002</v>
      </c>
      <c r="E12470" s="6" t="str">
        <f>HYPERLINK("https://twitter.com/petrogustavo/status/1334479912380534786","1334479912380534786")</f>
        <v>1334479912380534786</v>
      </c>
      <c r="F12470" s="7" t="s">
        <v>17</v>
      </c>
      <c r="G12470" s="7">
        <v>4015203</v>
      </c>
      <c r="H12470" s="7">
        <v>2470</v>
      </c>
      <c r="I12470" s="7">
        <v>66</v>
      </c>
      <c r="J12470" s="7">
        <v>167</v>
      </c>
      <c r="K12470" s="7" t="s">
        <v>18</v>
      </c>
      <c r="L12470" s="8">
        <v>39987.315405092595</v>
      </c>
      <c r="M12470" s="9" t="s">
        <v>19</v>
      </c>
      <c r="N12470" s="9" t="s">
        <v>20</v>
      </c>
      <c r="O12470" s="6" t="str">
        <f>HYPERLINK("https://pbs.twimg.com/profile_images/962471262747529216/Uo8lOkRJ_normal.jpg","View")</f>
        <v>View</v>
      </c>
      <c r="P12470" s="7"/>
    </row>
    <row r="12471" spans="1:16">
      <c r="A12471" s="3">
        <v>44168.7659375</v>
      </c>
      <c r="B12471" s="4" t="str">
        <f>HYPERLINK("https://twitter.com/petrogustavo","@petrogustavo")</f>
        <v>@petrogustavo</v>
      </c>
      <c r="C12471" s="5" t="s">
        <v>16</v>
      </c>
      <c r="D12471" s="5" t="s">
        <v>12003</v>
      </c>
      <c r="E12471" s="6" t="str">
        <f>HYPERLINK("https://twitter.com/petrogustavo/status/1334480743188361219","1334480743188361219")</f>
        <v>1334480743188361219</v>
      </c>
      <c r="F12471" s="7" t="s">
        <v>17</v>
      </c>
      <c r="G12471" s="7">
        <v>4015203</v>
      </c>
      <c r="H12471" s="7">
        <v>2470</v>
      </c>
      <c r="I12471" s="7">
        <v>77</v>
      </c>
      <c r="J12471" s="7">
        <v>261</v>
      </c>
      <c r="K12471" s="7" t="s">
        <v>18</v>
      </c>
      <c r="L12471" s="8">
        <v>39987.315405092595</v>
      </c>
      <c r="M12471" s="9" t="s">
        <v>19</v>
      </c>
      <c r="N12471" s="9" t="s">
        <v>20</v>
      </c>
      <c r="O12471" s="6" t="str">
        <f>HYPERLINK("https://pbs.twimg.com/profile_images/962471262747529216/Uo8lOkRJ_normal.jpg","View")</f>
        <v>View</v>
      </c>
      <c r="P12471" s="7"/>
    </row>
    <row r="12472" spans="1:16">
      <c r="A12472" s="3">
        <v>44168.770428240736</v>
      </c>
      <c r="B12472" s="4" t="str">
        <f>HYPERLINK("https://twitter.com/petrogustavo","@petrogustavo")</f>
        <v>@petrogustavo</v>
      </c>
      <c r="C12472" s="5" t="s">
        <v>16</v>
      </c>
      <c r="D12472" s="5" t="s">
        <v>12004</v>
      </c>
      <c r="E12472" s="6" t="str">
        <f>HYPERLINK("https://twitter.com/petrogustavo/status/1334482372050497539","1334482372050497539")</f>
        <v>1334482372050497539</v>
      </c>
      <c r="F12472" s="7" t="s">
        <v>17</v>
      </c>
      <c r="G12472" s="7">
        <v>4015203</v>
      </c>
      <c r="H12472" s="7">
        <v>2470</v>
      </c>
      <c r="I12472" s="7">
        <v>32</v>
      </c>
      <c r="J12472" s="7">
        <v>92</v>
      </c>
      <c r="K12472" s="7" t="s">
        <v>18</v>
      </c>
      <c r="L12472" s="8">
        <v>39987.315405092595</v>
      </c>
      <c r="M12472" s="9" t="s">
        <v>19</v>
      </c>
      <c r="N12472" s="9" t="s">
        <v>20</v>
      </c>
      <c r="O12472" s="6" t="str">
        <f>HYPERLINK("https://pbs.twimg.com/profile_images/962471262747529216/Uo8lOkRJ_normal.jpg","View")</f>
        <v>View</v>
      </c>
      <c r="P12472" s="7"/>
    </row>
    <row r="12473" spans="1:16">
      <c r="A12473" s="3">
        <v>44168.770937499998</v>
      </c>
      <c r="B12473" s="4" t="str">
        <f>HYPERLINK("https://twitter.com/petrogustavo","@petrogustavo")</f>
        <v>@petrogustavo</v>
      </c>
      <c r="C12473" s="5" t="s">
        <v>16</v>
      </c>
      <c r="D12473" s="5" t="s">
        <v>12005</v>
      </c>
      <c r="E12473" s="6" t="str">
        <f>HYPERLINK("https://twitter.com/petrogustavo/status/1334482555068964867","1334482555068964867")</f>
        <v>1334482555068964867</v>
      </c>
      <c r="F12473" s="7" t="s">
        <v>17</v>
      </c>
      <c r="G12473" s="7">
        <v>4015203</v>
      </c>
      <c r="H12473" s="7">
        <v>2470</v>
      </c>
      <c r="I12473" s="7">
        <v>163</v>
      </c>
      <c r="J12473" s="7">
        <v>0</v>
      </c>
      <c r="K12473" s="7" t="s">
        <v>18</v>
      </c>
      <c r="L12473" s="8">
        <v>39987.315405092595</v>
      </c>
      <c r="M12473" s="9" t="s">
        <v>19</v>
      </c>
      <c r="N12473" s="9" t="s">
        <v>20</v>
      </c>
      <c r="O12473" s="6" t="str">
        <f>HYPERLINK("https://pbs.twimg.com/profile_images/962471262747529216/Uo8lOkRJ_normal.jpg","View")</f>
        <v>View</v>
      </c>
      <c r="P12473" s="7"/>
    </row>
    <row r="12474" spans="1:16">
      <c r="A12474" s="3">
        <v>44168.773321759261</v>
      </c>
      <c r="B12474" s="4" t="str">
        <f>HYPERLINK("https://twitter.com/petrogustavo","@petrogustavo")</f>
        <v>@petrogustavo</v>
      </c>
      <c r="C12474" s="5" t="s">
        <v>16</v>
      </c>
      <c r="D12474" s="5" t="s">
        <v>12006</v>
      </c>
      <c r="E12474" s="6" t="str">
        <f>HYPERLINK("https://twitter.com/petrogustavo/status/1334483419821191169","1334483419821191169")</f>
        <v>1334483419821191169</v>
      </c>
      <c r="F12474" s="7" t="s">
        <v>17</v>
      </c>
      <c r="G12474" s="7">
        <v>4015203</v>
      </c>
      <c r="H12474" s="7">
        <v>2470</v>
      </c>
      <c r="I12474" s="7">
        <v>79</v>
      </c>
      <c r="J12474" s="7">
        <v>233</v>
      </c>
      <c r="K12474" s="7" t="s">
        <v>18</v>
      </c>
      <c r="L12474" s="8">
        <v>39987.315405092595</v>
      </c>
      <c r="M12474" s="9" t="s">
        <v>19</v>
      </c>
      <c r="N12474" s="9" t="s">
        <v>20</v>
      </c>
      <c r="O12474" s="6" t="str">
        <f>HYPERLINK("https://pbs.twimg.com/profile_images/962471262747529216/Uo8lOkRJ_normal.jpg","View")</f>
        <v>View</v>
      </c>
      <c r="P12474" s="7"/>
    </row>
    <row r="12475" spans="1:16">
      <c r="A12475" s="3">
        <v>44168.784849537042</v>
      </c>
      <c r="B12475" s="4" t="str">
        <f>HYPERLINK("https://twitter.com/petrogustavo","@petrogustavo")</f>
        <v>@petrogustavo</v>
      </c>
      <c r="C12475" s="5" t="s">
        <v>16</v>
      </c>
      <c r="D12475" s="5" t="s">
        <v>12007</v>
      </c>
      <c r="E12475" s="6" t="str">
        <f>HYPERLINK("https://twitter.com/petrogustavo/status/1334487597134057476","1334487597134057476")</f>
        <v>1334487597134057476</v>
      </c>
      <c r="F12475" s="7" t="s">
        <v>17</v>
      </c>
      <c r="G12475" s="7">
        <v>4015208</v>
      </c>
      <c r="H12475" s="7">
        <v>2470</v>
      </c>
      <c r="I12475" s="7">
        <v>72</v>
      </c>
      <c r="J12475" s="7">
        <v>178</v>
      </c>
      <c r="K12475" s="7" t="s">
        <v>18</v>
      </c>
      <c r="L12475" s="8">
        <v>39987.315405092595</v>
      </c>
      <c r="M12475" s="9" t="s">
        <v>19</v>
      </c>
      <c r="N12475" s="9" t="s">
        <v>20</v>
      </c>
      <c r="O12475" s="6" t="str">
        <f>HYPERLINK("https://pbs.twimg.com/profile_images/962471262747529216/Uo8lOkRJ_normal.jpg","View")</f>
        <v>View</v>
      </c>
      <c r="P12475" s="7"/>
    </row>
    <row r="12476" spans="1:16">
      <c r="A12476" s="3">
        <v>44168.882418981477</v>
      </c>
      <c r="B12476" s="4" t="str">
        <f>HYPERLINK("https://twitter.com/petrogustavo","@petrogustavo")</f>
        <v>@petrogustavo</v>
      </c>
      <c r="C12476" s="5" t="s">
        <v>16</v>
      </c>
      <c r="D12476" s="5" t="s">
        <v>12008</v>
      </c>
      <c r="E12476" s="6" t="str">
        <f>HYPERLINK("https://twitter.com/petrogustavo/status/1334522956781936642","1334522956781936642")</f>
        <v>1334522956781936642</v>
      </c>
      <c r="F12476" s="7" t="s">
        <v>17</v>
      </c>
      <c r="G12476" s="7">
        <v>4015281</v>
      </c>
      <c r="H12476" s="7">
        <v>2470</v>
      </c>
      <c r="I12476" s="7">
        <v>134</v>
      </c>
      <c r="J12476" s="7">
        <v>0</v>
      </c>
      <c r="K12476" s="7" t="s">
        <v>18</v>
      </c>
      <c r="L12476" s="8">
        <v>39987.315405092595</v>
      </c>
      <c r="M12476" s="9" t="s">
        <v>19</v>
      </c>
      <c r="N12476" s="9" t="s">
        <v>20</v>
      </c>
      <c r="O12476" s="6" t="str">
        <f>HYPERLINK("https://pbs.twimg.com/profile_images/962471262747529216/Uo8lOkRJ_normal.jpg","View")</f>
        <v>View</v>
      </c>
      <c r="P12476" s="7"/>
    </row>
    <row r="12477" spans="1:16">
      <c r="A12477" s="3">
        <v>44168.88480324074</v>
      </c>
      <c r="B12477" s="4" t="str">
        <f>HYPERLINK("https://twitter.com/petrogustavo","@petrogustavo")</f>
        <v>@petrogustavo</v>
      </c>
      <c r="C12477" s="5" t="s">
        <v>16</v>
      </c>
      <c r="D12477" s="5" t="s">
        <v>12009</v>
      </c>
      <c r="E12477" s="6" t="str">
        <f>HYPERLINK("https://twitter.com/petrogustavo/status/1334523819369897985","1334523819369897985")</f>
        <v>1334523819369897985</v>
      </c>
      <c r="F12477" s="7" t="s">
        <v>17</v>
      </c>
      <c r="G12477" s="7">
        <v>4015281</v>
      </c>
      <c r="H12477" s="7">
        <v>2470</v>
      </c>
      <c r="I12477" s="7">
        <v>41</v>
      </c>
      <c r="J12477" s="7">
        <v>160</v>
      </c>
      <c r="K12477" s="7" t="s">
        <v>18</v>
      </c>
      <c r="L12477" s="8">
        <v>39987.315405092595</v>
      </c>
      <c r="M12477" s="9" t="s">
        <v>19</v>
      </c>
      <c r="N12477" s="9" t="s">
        <v>20</v>
      </c>
      <c r="O12477" s="6" t="str">
        <f>HYPERLINK("https://pbs.twimg.com/profile_images/962471262747529216/Uo8lOkRJ_normal.jpg","View")</f>
        <v>View</v>
      </c>
      <c r="P12477" s="7"/>
    </row>
    <row r="12478" spans="1:16">
      <c r="A12478" s="3">
        <v>44168.889108796298</v>
      </c>
      <c r="B12478" s="4" t="str">
        <f>HYPERLINK("https://twitter.com/petrogustavo","@petrogustavo")</f>
        <v>@petrogustavo</v>
      </c>
      <c r="C12478" s="5" t="s">
        <v>16</v>
      </c>
      <c r="D12478" s="5" t="s">
        <v>12010</v>
      </c>
      <c r="E12478" s="6" t="str">
        <f>HYPERLINK("https://twitter.com/petrogustavo/status/1334525380443713537","1334525380443713537")</f>
        <v>1334525380443713537</v>
      </c>
      <c r="F12478" s="7" t="s">
        <v>17</v>
      </c>
      <c r="G12478" s="7">
        <v>4015305</v>
      </c>
      <c r="H12478" s="7">
        <v>2470</v>
      </c>
      <c r="I12478" s="7">
        <v>289</v>
      </c>
      <c r="J12478" s="7">
        <v>1383</v>
      </c>
      <c r="K12478" s="7" t="s">
        <v>18</v>
      </c>
      <c r="L12478" s="8">
        <v>39987.315405092595</v>
      </c>
      <c r="M12478" s="9" t="s">
        <v>19</v>
      </c>
      <c r="N12478" s="9" t="s">
        <v>20</v>
      </c>
      <c r="O12478" s="6" t="str">
        <f>HYPERLINK("https://pbs.twimg.com/profile_images/962471262747529216/Uo8lOkRJ_normal.jpg","View")</f>
        <v>View</v>
      </c>
      <c r="P12478" s="7"/>
    </row>
    <row r="12479" spans="1:16">
      <c r="A12479" s="3">
        <v>44168.891504629632</v>
      </c>
      <c r="B12479" s="4" t="str">
        <f>HYPERLINK("https://twitter.com/petrogustavo","@petrogustavo")</f>
        <v>@petrogustavo</v>
      </c>
      <c r="C12479" s="5" t="s">
        <v>16</v>
      </c>
      <c r="D12479" s="5" t="s">
        <v>12011</v>
      </c>
      <c r="E12479" s="6" t="str">
        <f>HYPERLINK("https://twitter.com/petrogustavo/status/1334526249578995721","1334526249578995721")</f>
        <v>1334526249578995721</v>
      </c>
      <c r="F12479" s="7" t="s">
        <v>17</v>
      </c>
      <c r="G12479" s="7">
        <v>4015305</v>
      </c>
      <c r="H12479" s="7">
        <v>2470</v>
      </c>
      <c r="I12479" s="7">
        <v>182</v>
      </c>
      <c r="J12479" s="7">
        <v>670</v>
      </c>
      <c r="K12479" s="7" t="s">
        <v>18</v>
      </c>
      <c r="L12479" s="8">
        <v>39987.315405092595</v>
      </c>
      <c r="M12479" s="9" t="s">
        <v>19</v>
      </c>
      <c r="N12479" s="9" t="s">
        <v>20</v>
      </c>
      <c r="O12479" s="6" t="str">
        <f>HYPERLINK("https://pbs.twimg.com/profile_images/962471262747529216/Uo8lOkRJ_normal.jpg","View")</f>
        <v>View</v>
      </c>
      <c r="P12479" s="7"/>
    </row>
    <row r="12480" spans="1:16">
      <c r="A12480" s="3">
        <v>44168.989872685182</v>
      </c>
      <c r="B12480" s="4" t="str">
        <f>HYPERLINK("https://twitter.com/petrogustavo","@petrogustavo")</f>
        <v>@petrogustavo</v>
      </c>
      <c r="C12480" s="5" t="s">
        <v>16</v>
      </c>
      <c r="D12480" s="5" t="s">
        <v>12012</v>
      </c>
      <c r="E12480" s="6" t="str">
        <f>HYPERLINK("https://twitter.com/petrogustavo/status/1334561893562937347","1334561893562937347")</f>
        <v>1334561893562937347</v>
      </c>
      <c r="F12480" s="7" t="s">
        <v>17</v>
      </c>
      <c r="G12480" s="7">
        <v>4015384</v>
      </c>
      <c r="H12480" s="7">
        <v>2470</v>
      </c>
      <c r="I12480" s="7">
        <v>112</v>
      </c>
      <c r="J12480" s="7">
        <v>0</v>
      </c>
      <c r="K12480" s="7" t="s">
        <v>18</v>
      </c>
      <c r="L12480" s="8">
        <v>39987.315405092595</v>
      </c>
      <c r="M12480" s="9" t="s">
        <v>19</v>
      </c>
      <c r="N12480" s="9" t="s">
        <v>20</v>
      </c>
      <c r="O12480" s="6" t="str">
        <f>HYPERLINK("https://pbs.twimg.com/profile_images/962471262747529216/Uo8lOkRJ_normal.jpg","View")</f>
        <v>View</v>
      </c>
      <c r="P12480" s="7"/>
    </row>
    <row r="12481" spans="1:16">
      <c r="A12481" s="3">
        <v>44169.103125000001</v>
      </c>
      <c r="B12481" s="4" t="str">
        <f>HYPERLINK("https://twitter.com/petrogustavo","@petrogustavo")</f>
        <v>@petrogustavo</v>
      </c>
      <c r="C12481" s="5" t="s">
        <v>16</v>
      </c>
      <c r="D12481" s="5" t="s">
        <v>12013</v>
      </c>
      <c r="E12481" s="6" t="str">
        <f>HYPERLINK("https://twitter.com/petrogustavo/status/1334602937390276609","1334602937390276609")</f>
        <v>1334602937390276609</v>
      </c>
      <c r="F12481" s="7" t="s">
        <v>17</v>
      </c>
      <c r="G12481" s="7">
        <v>4015479</v>
      </c>
      <c r="H12481" s="7">
        <v>2470</v>
      </c>
      <c r="I12481" s="7">
        <v>142</v>
      </c>
      <c r="J12481" s="7">
        <v>0</v>
      </c>
      <c r="K12481" s="7" t="s">
        <v>18</v>
      </c>
      <c r="L12481" s="8">
        <v>39987.315405092595</v>
      </c>
      <c r="M12481" s="9" t="s">
        <v>19</v>
      </c>
      <c r="N12481" s="9" t="s">
        <v>20</v>
      </c>
      <c r="O12481" s="6" t="str">
        <f>HYPERLINK("https://pbs.twimg.com/profile_images/962471262747529216/Uo8lOkRJ_normal.jpg","View")</f>
        <v>View</v>
      </c>
      <c r="P12481" s="7"/>
    </row>
    <row r="12482" spans="1:16">
      <c r="A12482" s="3">
        <v>44169.158865740741</v>
      </c>
      <c r="B12482" s="4" t="str">
        <f>HYPERLINK("https://twitter.com/petrogustavo","@petrogustavo")</f>
        <v>@petrogustavo</v>
      </c>
      <c r="C12482" s="5" t="s">
        <v>16</v>
      </c>
      <c r="D12482" s="5" t="s">
        <v>12014</v>
      </c>
      <c r="E12482" s="6" t="str">
        <f>HYPERLINK("https://twitter.com/petrogustavo/status/1334623135799324682","1334623135799324682")</f>
        <v>1334623135799324682</v>
      </c>
      <c r="F12482" s="7" t="s">
        <v>17</v>
      </c>
      <c r="G12482" s="7">
        <v>4015496</v>
      </c>
      <c r="H12482" s="7">
        <v>2470</v>
      </c>
      <c r="I12482" s="7">
        <v>26</v>
      </c>
      <c r="J12482" s="7">
        <v>0</v>
      </c>
      <c r="K12482" s="7" t="s">
        <v>18</v>
      </c>
      <c r="L12482" s="8">
        <v>39987.315405092595</v>
      </c>
      <c r="M12482" s="9" t="s">
        <v>19</v>
      </c>
      <c r="N12482" s="9" t="s">
        <v>20</v>
      </c>
      <c r="O12482" s="6" t="str">
        <f>HYPERLINK("https://pbs.twimg.com/profile_images/962471262747529216/Uo8lOkRJ_normal.jpg","View")</f>
        <v>View</v>
      </c>
      <c r="P12482" s="7"/>
    </row>
    <row r="12483" spans="1:16">
      <c r="A12483" s="3">
        <v>44169.159259259264</v>
      </c>
      <c r="B12483" s="4" t="str">
        <f>HYPERLINK("https://twitter.com/petrogustavo","@petrogustavo")</f>
        <v>@petrogustavo</v>
      </c>
      <c r="C12483" s="5" t="s">
        <v>16</v>
      </c>
      <c r="D12483" s="5" t="s">
        <v>12015</v>
      </c>
      <c r="E12483" s="6" t="str">
        <f>HYPERLINK("https://twitter.com/petrogustavo/status/1334623278758043650","1334623278758043650")</f>
        <v>1334623278758043650</v>
      </c>
      <c r="F12483" s="7" t="s">
        <v>17</v>
      </c>
      <c r="G12483" s="7">
        <v>4015496</v>
      </c>
      <c r="H12483" s="7">
        <v>2470</v>
      </c>
      <c r="I12483" s="7">
        <v>326</v>
      </c>
      <c r="J12483" s="7">
        <v>1598</v>
      </c>
      <c r="K12483" s="7" t="s">
        <v>18</v>
      </c>
      <c r="L12483" s="8">
        <v>39987.315405092595</v>
      </c>
      <c r="M12483" s="9" t="s">
        <v>19</v>
      </c>
      <c r="N12483" s="9" t="s">
        <v>20</v>
      </c>
      <c r="O12483" s="6" t="str">
        <f>HYPERLINK("https://pbs.twimg.com/profile_images/962471262747529216/Uo8lOkRJ_normal.jpg","View")</f>
        <v>View</v>
      </c>
      <c r="P12483" s="7"/>
    </row>
    <row r="12484" spans="1:16">
      <c r="A12484" s="3">
        <v>44169.168333333335</v>
      </c>
      <c r="B12484" s="4" t="str">
        <f>HYPERLINK("https://twitter.com/petrogustavo","@petrogustavo")</f>
        <v>@petrogustavo</v>
      </c>
      <c r="C12484" s="5" t="s">
        <v>16</v>
      </c>
      <c r="D12484" s="5" t="s">
        <v>12016</v>
      </c>
      <c r="E12484" s="6" t="str">
        <f>HYPERLINK("https://twitter.com/petrogustavo/status/1334626567822188553","1334626567822188553")</f>
        <v>1334626567822188553</v>
      </c>
      <c r="F12484" s="7" t="s">
        <v>17</v>
      </c>
      <c r="G12484" s="7">
        <v>4015496</v>
      </c>
      <c r="H12484" s="7">
        <v>2470</v>
      </c>
      <c r="I12484" s="7">
        <v>50</v>
      </c>
      <c r="J12484" s="7">
        <v>190</v>
      </c>
      <c r="K12484" s="7" t="s">
        <v>18</v>
      </c>
      <c r="L12484" s="8">
        <v>39987.315405092595</v>
      </c>
      <c r="M12484" s="9" t="s">
        <v>19</v>
      </c>
      <c r="N12484" s="9" t="s">
        <v>20</v>
      </c>
      <c r="O12484" s="6" t="str">
        <f>HYPERLINK("https://pbs.twimg.com/profile_images/962471262747529216/Uo8lOkRJ_normal.jpg","View")</f>
        <v>View</v>
      </c>
      <c r="P12484" s="7"/>
    </row>
    <row r="12485" spans="1:16">
      <c r="A12485" s="3">
        <v>44169.216550925921</v>
      </c>
      <c r="B12485" s="4" t="str">
        <f>HYPERLINK("https://twitter.com/petrogustavo","@petrogustavo")</f>
        <v>@petrogustavo</v>
      </c>
      <c r="C12485" s="5" t="s">
        <v>16</v>
      </c>
      <c r="D12485" s="5" t="s">
        <v>12017</v>
      </c>
      <c r="E12485" s="6" t="str">
        <f>HYPERLINK("https://twitter.com/petrogustavo/status/1334644040743194629","1334644040743194629")</f>
        <v>1334644040743194629</v>
      </c>
      <c r="F12485" s="7" t="s">
        <v>17</v>
      </c>
      <c r="G12485" s="7">
        <v>4015520</v>
      </c>
      <c r="H12485" s="7">
        <v>2470</v>
      </c>
      <c r="I12485" s="7">
        <v>121</v>
      </c>
      <c r="J12485" s="7">
        <v>0</v>
      </c>
      <c r="K12485" s="7" t="s">
        <v>18</v>
      </c>
      <c r="L12485" s="8">
        <v>39987.315405092595</v>
      </c>
      <c r="M12485" s="9" t="s">
        <v>19</v>
      </c>
      <c r="N12485" s="9" t="s">
        <v>20</v>
      </c>
      <c r="O12485" s="6" t="str">
        <f>HYPERLINK("https://pbs.twimg.com/profile_images/962471262747529216/Uo8lOkRJ_normal.jpg","View")</f>
        <v>View</v>
      </c>
      <c r="P12485" s="7"/>
    </row>
    <row r="12486" spans="1:16">
      <c r="A12486" s="3">
        <v>44169.216608796298</v>
      </c>
      <c r="B12486" s="4" t="str">
        <f>HYPERLINK("https://twitter.com/petrogustavo","@petrogustavo")</f>
        <v>@petrogustavo</v>
      </c>
      <c r="C12486" s="5" t="s">
        <v>16</v>
      </c>
      <c r="D12486" s="5" t="s">
        <v>12018</v>
      </c>
      <c r="E12486" s="6" t="str">
        <f>HYPERLINK("https://twitter.com/petrogustavo/status/1334644062188662785","1334644062188662785")</f>
        <v>1334644062188662785</v>
      </c>
      <c r="F12486" s="7" t="s">
        <v>17</v>
      </c>
      <c r="G12486" s="7">
        <v>4015520</v>
      </c>
      <c r="H12486" s="7">
        <v>2470</v>
      </c>
      <c r="I12486" s="7">
        <v>125</v>
      </c>
      <c r="J12486" s="7">
        <v>0</v>
      </c>
      <c r="K12486" s="7" t="s">
        <v>18</v>
      </c>
      <c r="L12486" s="8">
        <v>39987.315405092595</v>
      </c>
      <c r="M12486" s="9" t="s">
        <v>19</v>
      </c>
      <c r="N12486" s="9" t="s">
        <v>20</v>
      </c>
      <c r="O12486" s="6" t="str">
        <f>HYPERLINK("https://pbs.twimg.com/profile_images/962471262747529216/Uo8lOkRJ_normal.jpg","View")</f>
        <v>View</v>
      </c>
      <c r="P12486" s="7"/>
    </row>
    <row r="12487" spans="1:16">
      <c r="A12487" s="3">
        <v>44169.222685185188</v>
      </c>
      <c r="B12487" s="4" t="str">
        <f>HYPERLINK("https://twitter.com/petrogustavo","@petrogustavo")</f>
        <v>@petrogustavo</v>
      </c>
      <c r="C12487" s="5" t="s">
        <v>16</v>
      </c>
      <c r="D12487" s="5" t="s">
        <v>12019</v>
      </c>
      <c r="E12487" s="6" t="str">
        <f>HYPERLINK("https://twitter.com/petrogustavo/status/1334646265741762560","1334646265741762560")</f>
        <v>1334646265741762560</v>
      </c>
      <c r="F12487" s="7" t="s">
        <v>17</v>
      </c>
      <c r="G12487" s="7">
        <v>4015538</v>
      </c>
      <c r="H12487" s="7">
        <v>2470</v>
      </c>
      <c r="I12487" s="7">
        <v>248</v>
      </c>
      <c r="J12487" s="7">
        <v>0</v>
      </c>
      <c r="K12487" s="7" t="s">
        <v>18</v>
      </c>
      <c r="L12487" s="8">
        <v>39987.315405092595</v>
      </c>
      <c r="M12487" s="9" t="s">
        <v>19</v>
      </c>
      <c r="N12487" s="9" t="s">
        <v>20</v>
      </c>
      <c r="O12487" s="6" t="str">
        <f>HYPERLINK("https://pbs.twimg.com/profile_images/962471262747529216/Uo8lOkRJ_normal.jpg","View")</f>
        <v>View</v>
      </c>
      <c r="P12487" s="7"/>
    </row>
    <row r="12488" spans="1:16">
      <c r="A12488" s="3">
        <v>44169.226122685184</v>
      </c>
      <c r="B12488" s="4" t="str">
        <f>HYPERLINK("https://twitter.com/petrogustavo","@petrogustavo")</f>
        <v>@petrogustavo</v>
      </c>
      <c r="C12488" s="5" t="s">
        <v>16</v>
      </c>
      <c r="D12488" s="5" t="s">
        <v>12020</v>
      </c>
      <c r="E12488" s="6" t="str">
        <f>HYPERLINK("https://twitter.com/petrogustavo/status/1334647508451151876","1334647508451151876")</f>
        <v>1334647508451151876</v>
      </c>
      <c r="F12488" s="7" t="s">
        <v>17</v>
      </c>
      <c r="G12488" s="7">
        <v>4015538</v>
      </c>
      <c r="H12488" s="7">
        <v>2470</v>
      </c>
      <c r="I12488" s="7">
        <v>4487</v>
      </c>
      <c r="J12488" s="7">
        <v>0</v>
      </c>
      <c r="K12488" s="7" t="s">
        <v>18</v>
      </c>
      <c r="L12488" s="8">
        <v>39987.315405092595</v>
      </c>
      <c r="M12488" s="9" t="s">
        <v>19</v>
      </c>
      <c r="N12488" s="9" t="s">
        <v>20</v>
      </c>
      <c r="O12488" s="6" t="str">
        <f>HYPERLINK("https://pbs.twimg.com/profile_images/962471262747529216/Uo8lOkRJ_normal.jpg","View")</f>
        <v>View</v>
      </c>
      <c r="P12488" s="7"/>
    </row>
    <row r="12489" spans="1:16">
      <c r="A12489" s="3">
        <v>44169.228148148148</v>
      </c>
      <c r="B12489" s="4" t="str">
        <f>HYPERLINK("https://twitter.com/petrogustavo","@petrogustavo")</f>
        <v>@petrogustavo</v>
      </c>
      <c r="C12489" s="5" t="s">
        <v>16</v>
      </c>
      <c r="D12489" s="5" t="s">
        <v>12021</v>
      </c>
      <c r="E12489" s="6" t="str">
        <f>HYPERLINK("https://twitter.com/petrogustavo/status/1334648243746201602","1334648243746201602")</f>
        <v>1334648243746201602</v>
      </c>
      <c r="F12489" s="7" t="s">
        <v>17</v>
      </c>
      <c r="G12489" s="7">
        <v>4015538</v>
      </c>
      <c r="H12489" s="7">
        <v>2470</v>
      </c>
      <c r="I12489" s="7">
        <v>37</v>
      </c>
      <c r="J12489" s="7">
        <v>0</v>
      </c>
      <c r="K12489" s="7" t="s">
        <v>18</v>
      </c>
      <c r="L12489" s="8">
        <v>39987.315405092595</v>
      </c>
      <c r="M12489" s="9" t="s">
        <v>19</v>
      </c>
      <c r="N12489" s="9" t="s">
        <v>20</v>
      </c>
      <c r="O12489" s="6" t="str">
        <f>HYPERLINK("https://pbs.twimg.com/profile_images/962471262747529216/Uo8lOkRJ_normal.jpg","View")</f>
        <v>View</v>
      </c>
      <c r="P12489" s="7"/>
    </row>
    <row r="12490" spans="1:16">
      <c r="A12490" s="3">
        <v>44169.335740740746</v>
      </c>
      <c r="B12490" s="4" t="str">
        <f>HYPERLINK("https://twitter.com/petrogustavo","@petrogustavo")</f>
        <v>@petrogustavo</v>
      </c>
      <c r="C12490" s="5" t="s">
        <v>16</v>
      </c>
      <c r="D12490" s="5" t="s">
        <v>12022</v>
      </c>
      <c r="E12490" s="6" t="str">
        <f>HYPERLINK("https://twitter.com/petrogustavo/status/1334687235027988482","1334687235027988482")</f>
        <v>1334687235027988482</v>
      </c>
      <c r="F12490" s="7" t="s">
        <v>17</v>
      </c>
      <c r="G12490" s="7">
        <v>4015603</v>
      </c>
      <c r="H12490" s="7">
        <v>2470</v>
      </c>
      <c r="I12490" s="7">
        <v>52</v>
      </c>
      <c r="J12490" s="7">
        <v>0</v>
      </c>
      <c r="K12490" s="7" t="s">
        <v>18</v>
      </c>
      <c r="L12490" s="8">
        <v>39987.315405092595</v>
      </c>
      <c r="M12490" s="9" t="s">
        <v>19</v>
      </c>
      <c r="N12490" s="9" t="s">
        <v>20</v>
      </c>
      <c r="O12490" s="6" t="str">
        <f>HYPERLINK("https://pbs.twimg.com/profile_images/962471262747529216/Uo8lOkRJ_normal.jpg","View")</f>
        <v>View</v>
      </c>
      <c r="P12490" s="7"/>
    </row>
    <row r="12491" spans="1:16">
      <c r="A12491" s="3">
        <v>44169.336886574078</v>
      </c>
      <c r="B12491" s="4" t="str">
        <f>HYPERLINK("https://twitter.com/petrogustavo","@petrogustavo")</f>
        <v>@petrogustavo</v>
      </c>
      <c r="C12491" s="5" t="s">
        <v>16</v>
      </c>
      <c r="D12491" s="5" t="s">
        <v>12023</v>
      </c>
      <c r="E12491" s="6" t="str">
        <f>HYPERLINK("https://twitter.com/petrogustavo/status/1334687650918379520","1334687650918379520")</f>
        <v>1334687650918379520</v>
      </c>
      <c r="F12491" s="7" t="s">
        <v>17</v>
      </c>
      <c r="G12491" s="7">
        <v>4015603</v>
      </c>
      <c r="H12491" s="7">
        <v>2470</v>
      </c>
      <c r="I12491" s="7">
        <v>55</v>
      </c>
      <c r="J12491" s="7">
        <v>0</v>
      </c>
      <c r="K12491" s="7" t="s">
        <v>18</v>
      </c>
      <c r="L12491" s="8">
        <v>39987.315405092595</v>
      </c>
      <c r="M12491" s="9" t="s">
        <v>19</v>
      </c>
      <c r="N12491" s="9" t="s">
        <v>20</v>
      </c>
      <c r="O12491" s="6" t="str">
        <f>HYPERLINK("https://pbs.twimg.com/profile_images/962471262747529216/Uo8lOkRJ_normal.jpg","View")</f>
        <v>View</v>
      </c>
      <c r="P12491" s="7"/>
    </row>
    <row r="12492" spans="1:16">
      <c r="A12492" s="3">
        <v>44169.339351851857</v>
      </c>
      <c r="B12492" s="4" t="str">
        <f>HYPERLINK("https://twitter.com/petrogustavo","@petrogustavo")</f>
        <v>@petrogustavo</v>
      </c>
      <c r="C12492" s="5" t="s">
        <v>16</v>
      </c>
      <c r="D12492" s="5" t="s">
        <v>12024</v>
      </c>
      <c r="E12492" s="6" t="str">
        <f>HYPERLINK("https://twitter.com/petrogustavo/status/1334688540429602816","1334688540429602816")</f>
        <v>1334688540429602816</v>
      </c>
      <c r="F12492" s="7" t="s">
        <v>17</v>
      </c>
      <c r="G12492" s="7">
        <v>4015603</v>
      </c>
      <c r="H12492" s="7">
        <v>2470</v>
      </c>
      <c r="I12492" s="7">
        <v>37</v>
      </c>
      <c r="J12492" s="7">
        <v>169</v>
      </c>
      <c r="K12492" s="7" t="s">
        <v>18</v>
      </c>
      <c r="L12492" s="8">
        <v>39987.315405092595</v>
      </c>
      <c r="M12492" s="9" t="s">
        <v>19</v>
      </c>
      <c r="N12492" s="9" t="s">
        <v>20</v>
      </c>
      <c r="O12492" s="6" t="str">
        <f>HYPERLINK("https://pbs.twimg.com/profile_images/962471262747529216/Uo8lOkRJ_normal.jpg","View")</f>
        <v>View</v>
      </c>
      <c r="P12492" s="7"/>
    </row>
    <row r="12493" spans="1:16">
      <c r="A12493" s="3">
        <v>44169.339907407411</v>
      </c>
      <c r="B12493" s="4" t="str">
        <f>HYPERLINK("https://twitter.com/petrogustavo","@petrogustavo")</f>
        <v>@petrogustavo</v>
      </c>
      <c r="C12493" s="5" t="s">
        <v>16</v>
      </c>
      <c r="D12493" s="5" t="s">
        <v>12025</v>
      </c>
      <c r="E12493" s="6" t="str">
        <f>HYPERLINK("https://twitter.com/petrogustavo/status/1334688742511161345","1334688742511161345")</f>
        <v>1334688742511161345</v>
      </c>
      <c r="F12493" s="7" t="s">
        <v>17</v>
      </c>
      <c r="G12493" s="7">
        <v>4015603</v>
      </c>
      <c r="H12493" s="7">
        <v>2470</v>
      </c>
      <c r="I12493" s="7">
        <v>691</v>
      </c>
      <c r="J12493" s="7">
        <v>0</v>
      </c>
      <c r="K12493" s="7" t="s">
        <v>18</v>
      </c>
      <c r="L12493" s="8">
        <v>39987.315405092595</v>
      </c>
      <c r="M12493" s="9" t="s">
        <v>19</v>
      </c>
      <c r="N12493" s="9" t="s">
        <v>20</v>
      </c>
      <c r="O12493" s="6" t="str">
        <f>HYPERLINK("https://pbs.twimg.com/profile_images/962471262747529216/Uo8lOkRJ_normal.jpg","View")</f>
        <v>View</v>
      </c>
      <c r="P12493" s="7"/>
    </row>
    <row r="12494" spans="1:16">
      <c r="A12494" s="3">
        <v>44169.340937500005</v>
      </c>
      <c r="B12494" s="4" t="str">
        <f>HYPERLINK("https://twitter.com/petrogustavo","@petrogustavo")</f>
        <v>@petrogustavo</v>
      </c>
      <c r="C12494" s="5" t="s">
        <v>16</v>
      </c>
      <c r="D12494" s="5" t="s">
        <v>12026</v>
      </c>
      <c r="E12494" s="6" t="str">
        <f>HYPERLINK("https://twitter.com/petrogustavo/status/1334689117859409920","1334689117859409920")</f>
        <v>1334689117859409920</v>
      </c>
      <c r="F12494" s="7" t="s">
        <v>17</v>
      </c>
      <c r="G12494" s="7">
        <v>4015603</v>
      </c>
      <c r="H12494" s="7">
        <v>2470</v>
      </c>
      <c r="I12494" s="7">
        <v>97</v>
      </c>
      <c r="J12494" s="7">
        <v>373</v>
      </c>
      <c r="K12494" s="7" t="s">
        <v>18</v>
      </c>
      <c r="L12494" s="8">
        <v>39987.315405092595</v>
      </c>
      <c r="M12494" s="9" t="s">
        <v>19</v>
      </c>
      <c r="N12494" s="9" t="s">
        <v>20</v>
      </c>
      <c r="O12494" s="6" t="str">
        <f>HYPERLINK("https://pbs.twimg.com/profile_images/962471262747529216/Uo8lOkRJ_normal.jpg","View")</f>
        <v>View</v>
      </c>
      <c r="P12494" s="7"/>
    </row>
    <row r="12495" spans="1:16">
      <c r="A12495" s="3">
        <v>44169.346631944441</v>
      </c>
      <c r="B12495" s="4" t="str">
        <f>HYPERLINK("https://twitter.com/petrogustavo","@petrogustavo")</f>
        <v>@petrogustavo</v>
      </c>
      <c r="C12495" s="5" t="s">
        <v>16</v>
      </c>
      <c r="D12495" s="5" t="s">
        <v>12027</v>
      </c>
      <c r="E12495" s="6" t="str">
        <f>HYPERLINK("https://twitter.com/petrogustavo/status/1334691179930279936","1334691179930279936")</f>
        <v>1334691179930279936</v>
      </c>
      <c r="F12495" s="7" t="s">
        <v>17</v>
      </c>
      <c r="G12495" s="7">
        <v>4015620</v>
      </c>
      <c r="H12495" s="7">
        <v>2470</v>
      </c>
      <c r="I12495" s="7">
        <v>91</v>
      </c>
      <c r="J12495" s="7">
        <v>454</v>
      </c>
      <c r="K12495" s="7" t="s">
        <v>18</v>
      </c>
      <c r="L12495" s="8">
        <v>39987.315405092595</v>
      </c>
      <c r="M12495" s="9" t="s">
        <v>19</v>
      </c>
      <c r="N12495" s="9" t="s">
        <v>20</v>
      </c>
      <c r="O12495" s="6" t="str">
        <f>HYPERLINK("https://pbs.twimg.com/profile_images/962471262747529216/Uo8lOkRJ_normal.jpg","View")</f>
        <v>View</v>
      </c>
      <c r="P12495" s="7"/>
    </row>
    <row r="12496" spans="1:16">
      <c r="A12496" s="3">
        <v>44169.759895833333</v>
      </c>
      <c r="B12496" s="4" t="str">
        <f>HYPERLINK("https://twitter.com/petrogustavo","@petrogustavo")</f>
        <v>@petrogustavo</v>
      </c>
      <c r="C12496" s="5" t="s">
        <v>16</v>
      </c>
      <c r="D12496" s="5" t="s">
        <v>12028</v>
      </c>
      <c r="E12496" s="6" t="str">
        <f>HYPERLINK("https://twitter.com/petrogustavo/status/1334840942470246403","1334840942470246403")</f>
        <v>1334840942470246403</v>
      </c>
      <c r="F12496" s="7" t="s">
        <v>17</v>
      </c>
      <c r="G12496" s="7">
        <v>4015722</v>
      </c>
      <c r="H12496" s="7">
        <v>2470</v>
      </c>
      <c r="I12496" s="7">
        <v>90</v>
      </c>
      <c r="J12496" s="7">
        <v>0</v>
      </c>
      <c r="K12496" s="7" t="s">
        <v>18</v>
      </c>
      <c r="L12496" s="8">
        <v>39987.315405092595</v>
      </c>
      <c r="M12496" s="9" t="s">
        <v>19</v>
      </c>
      <c r="N12496" s="9" t="s">
        <v>20</v>
      </c>
      <c r="O12496" s="6" t="str">
        <f>HYPERLINK("https://pbs.twimg.com/profile_images/962471262747529216/Uo8lOkRJ_normal.jpg","View")</f>
        <v>View</v>
      </c>
      <c r="P12496" s="7"/>
    </row>
    <row r="12497" spans="1:16">
      <c r="A12497" s="3">
        <v>44169.761354166665</v>
      </c>
      <c r="B12497" s="4" t="str">
        <f>HYPERLINK("https://twitter.com/petrogustavo","@petrogustavo")</f>
        <v>@petrogustavo</v>
      </c>
      <c r="C12497" s="5" t="s">
        <v>16</v>
      </c>
      <c r="D12497" s="5" t="s">
        <v>12029</v>
      </c>
      <c r="E12497" s="6" t="str">
        <f>HYPERLINK("https://twitter.com/petrogustavo/status/1334841471850213388","1334841471850213388")</f>
        <v>1334841471850213388</v>
      </c>
      <c r="F12497" s="7" t="s">
        <v>17</v>
      </c>
      <c r="G12497" s="7">
        <v>4015722</v>
      </c>
      <c r="H12497" s="7">
        <v>2470</v>
      </c>
      <c r="I12497" s="7">
        <v>3</v>
      </c>
      <c r="J12497" s="7">
        <v>14</v>
      </c>
      <c r="K12497" s="7" t="s">
        <v>18</v>
      </c>
      <c r="L12497" s="8">
        <v>39987.315405092595</v>
      </c>
      <c r="M12497" s="9" t="s">
        <v>19</v>
      </c>
      <c r="N12497" s="9" t="s">
        <v>20</v>
      </c>
      <c r="O12497" s="6" t="str">
        <f>HYPERLINK("https://pbs.twimg.com/profile_images/962471262747529216/Uo8lOkRJ_normal.jpg","View")</f>
        <v>View</v>
      </c>
      <c r="P12497" s="7"/>
    </row>
    <row r="12498" spans="1:16">
      <c r="A12498" s="3">
        <v>44169.80467592593</v>
      </c>
      <c r="B12498" s="4" t="str">
        <f>HYPERLINK("https://twitter.com/petrogustavo","@petrogustavo")</f>
        <v>@petrogustavo</v>
      </c>
      <c r="C12498" s="5" t="s">
        <v>16</v>
      </c>
      <c r="D12498" s="5" t="s">
        <v>12030</v>
      </c>
      <c r="E12498" s="6" t="str">
        <f>HYPERLINK("https://twitter.com/petrogustavo/status/1334857170031169540","1334857170031169540")</f>
        <v>1334857170031169540</v>
      </c>
      <c r="F12498" s="7" t="s">
        <v>17</v>
      </c>
      <c r="G12498" s="7">
        <v>4015760</v>
      </c>
      <c r="H12498" s="7">
        <v>2470</v>
      </c>
      <c r="I12498" s="7">
        <v>431</v>
      </c>
      <c r="J12498" s="7">
        <v>0</v>
      </c>
      <c r="K12498" s="7" t="s">
        <v>18</v>
      </c>
      <c r="L12498" s="8">
        <v>39987.315405092595</v>
      </c>
      <c r="M12498" s="9" t="s">
        <v>19</v>
      </c>
      <c r="N12498" s="9" t="s">
        <v>20</v>
      </c>
      <c r="O12498" s="6" t="str">
        <f>HYPERLINK("https://pbs.twimg.com/profile_images/962471262747529216/Uo8lOkRJ_normal.jpg","View")</f>
        <v>View</v>
      </c>
      <c r="P12498" s="7"/>
    </row>
    <row r="12499" spans="1:16">
      <c r="A12499" s="3">
        <v>44169.804826388892</v>
      </c>
      <c r="B12499" s="4" t="str">
        <f>HYPERLINK("https://twitter.com/petrogustavo","@petrogustavo")</f>
        <v>@petrogustavo</v>
      </c>
      <c r="C12499" s="5" t="s">
        <v>16</v>
      </c>
      <c r="D12499" s="5" t="s">
        <v>12031</v>
      </c>
      <c r="E12499" s="6" t="str">
        <f>HYPERLINK("https://twitter.com/petrogustavo/status/1334857225366609920","1334857225366609920")</f>
        <v>1334857225366609920</v>
      </c>
      <c r="F12499" s="7" t="s">
        <v>17</v>
      </c>
      <c r="G12499" s="7">
        <v>4015760</v>
      </c>
      <c r="H12499" s="7">
        <v>2470</v>
      </c>
      <c r="I12499" s="7">
        <v>131</v>
      </c>
      <c r="J12499" s="7">
        <v>0</v>
      </c>
      <c r="K12499" s="7" t="s">
        <v>18</v>
      </c>
      <c r="L12499" s="8">
        <v>39987.315405092595</v>
      </c>
      <c r="M12499" s="9" t="s">
        <v>19</v>
      </c>
      <c r="N12499" s="9" t="s">
        <v>20</v>
      </c>
      <c r="O12499" s="6" t="str">
        <f>HYPERLINK("https://pbs.twimg.com/profile_images/962471262747529216/Uo8lOkRJ_normal.jpg","View")</f>
        <v>View</v>
      </c>
      <c r="P12499" s="7"/>
    </row>
    <row r="12500" spans="1:16">
      <c r="A12500" s="3">
        <v>44169.806180555555</v>
      </c>
      <c r="B12500" s="4" t="str">
        <f>HYPERLINK("https://twitter.com/petrogustavo","@petrogustavo")</f>
        <v>@petrogustavo</v>
      </c>
      <c r="C12500" s="5" t="s">
        <v>16</v>
      </c>
      <c r="D12500" s="5" t="s">
        <v>12032</v>
      </c>
      <c r="E12500" s="6" t="str">
        <f>HYPERLINK("https://twitter.com/petrogustavo/status/1334857716326600705","1334857716326600705")</f>
        <v>1334857716326600705</v>
      </c>
      <c r="F12500" s="7" t="s">
        <v>17</v>
      </c>
      <c r="G12500" s="7">
        <v>4015760</v>
      </c>
      <c r="H12500" s="7">
        <v>2470</v>
      </c>
      <c r="I12500" s="7">
        <v>210</v>
      </c>
      <c r="J12500" s="7">
        <v>758</v>
      </c>
      <c r="K12500" s="7" t="s">
        <v>18</v>
      </c>
      <c r="L12500" s="8">
        <v>39987.315405092595</v>
      </c>
      <c r="M12500" s="9" t="s">
        <v>19</v>
      </c>
      <c r="N12500" s="9" t="s">
        <v>20</v>
      </c>
      <c r="O12500" s="6" t="str">
        <f>HYPERLINK("https://pbs.twimg.com/profile_images/962471262747529216/Uo8lOkRJ_normal.jpg","View")</f>
        <v>View</v>
      </c>
      <c r="P12500" s="7"/>
    </row>
    <row r="12501" spans="1:16">
      <c r="A12501" s="3">
        <v>44169.973263888889</v>
      </c>
      <c r="B12501" s="4" t="str">
        <f>HYPERLINK("https://twitter.com/petrogustavo","@petrogustavo")</f>
        <v>@petrogustavo</v>
      </c>
      <c r="C12501" s="5" t="s">
        <v>16</v>
      </c>
      <c r="D12501" s="5" t="s">
        <v>12033</v>
      </c>
      <c r="E12501" s="6" t="str">
        <f>HYPERLINK("https://twitter.com/petrogustavo/status/1334918264380600321","1334918264380600321")</f>
        <v>1334918264380600321</v>
      </c>
      <c r="F12501" s="7" t="s">
        <v>17</v>
      </c>
      <c r="G12501" s="7">
        <v>4015858</v>
      </c>
      <c r="H12501" s="7">
        <v>2470</v>
      </c>
      <c r="I12501" s="7">
        <v>140</v>
      </c>
      <c r="J12501" s="7">
        <v>534</v>
      </c>
      <c r="K12501" s="7" t="s">
        <v>18</v>
      </c>
      <c r="L12501" s="8">
        <v>39987.315405092595</v>
      </c>
      <c r="M12501" s="9" t="s">
        <v>19</v>
      </c>
      <c r="N12501" s="9" t="s">
        <v>20</v>
      </c>
      <c r="O12501" s="6" t="str">
        <f>HYPERLINK("https://pbs.twimg.com/profile_images/962471262747529216/Uo8lOkRJ_normal.jpg","View")</f>
        <v>View</v>
      </c>
      <c r="P12501" s="7"/>
    </row>
    <row r="12502" spans="1:16">
      <c r="A12502" s="3">
        <v>44169.981967592597</v>
      </c>
      <c r="B12502" s="4" t="str">
        <f>HYPERLINK("https://twitter.com/petrogustavo","@petrogustavo")</f>
        <v>@petrogustavo</v>
      </c>
      <c r="C12502" s="5" t="s">
        <v>16</v>
      </c>
      <c r="D12502" s="5" t="s">
        <v>12034</v>
      </c>
      <c r="E12502" s="6" t="str">
        <f>HYPERLINK("https://twitter.com/petrogustavo/status/1334921419243868161","1334921419243868161")</f>
        <v>1334921419243868161</v>
      </c>
      <c r="F12502" s="7" t="s">
        <v>17</v>
      </c>
      <c r="G12502" s="7">
        <v>4015858</v>
      </c>
      <c r="H12502" s="7">
        <v>2470</v>
      </c>
      <c r="I12502" s="7">
        <v>76</v>
      </c>
      <c r="J12502" s="7">
        <v>0</v>
      </c>
      <c r="K12502" s="7" t="s">
        <v>18</v>
      </c>
      <c r="L12502" s="8">
        <v>39987.315405092595</v>
      </c>
      <c r="M12502" s="9" t="s">
        <v>19</v>
      </c>
      <c r="N12502" s="9" t="s">
        <v>20</v>
      </c>
      <c r="O12502" s="6" t="str">
        <f>HYPERLINK("https://pbs.twimg.com/profile_images/962471262747529216/Uo8lOkRJ_normal.jpg","View")</f>
        <v>View</v>
      </c>
      <c r="P12502" s="7"/>
    </row>
    <row r="12503" spans="1:16">
      <c r="A12503" s="3">
        <v>44169.984097222223</v>
      </c>
      <c r="B12503" s="4" t="str">
        <f>HYPERLINK("https://twitter.com/petrogustavo","@petrogustavo")</f>
        <v>@petrogustavo</v>
      </c>
      <c r="C12503" s="5" t="s">
        <v>16</v>
      </c>
      <c r="D12503" s="5" t="s">
        <v>12035</v>
      </c>
      <c r="E12503" s="6" t="str">
        <f>HYPERLINK("https://twitter.com/petrogustavo/status/1334922190664372227","1334922190664372227")</f>
        <v>1334922190664372227</v>
      </c>
      <c r="F12503" s="7" t="s">
        <v>17</v>
      </c>
      <c r="G12503" s="7">
        <v>4015858</v>
      </c>
      <c r="H12503" s="7">
        <v>2470</v>
      </c>
      <c r="I12503" s="7">
        <v>29</v>
      </c>
      <c r="J12503" s="7">
        <v>134</v>
      </c>
      <c r="K12503" s="7" t="s">
        <v>18</v>
      </c>
      <c r="L12503" s="8">
        <v>39987.315405092595</v>
      </c>
      <c r="M12503" s="9" t="s">
        <v>19</v>
      </c>
      <c r="N12503" s="9" t="s">
        <v>20</v>
      </c>
      <c r="O12503" s="6" t="str">
        <f>HYPERLINK("https://pbs.twimg.com/profile_images/962471262747529216/Uo8lOkRJ_normal.jpg","View")</f>
        <v>View</v>
      </c>
      <c r="P12503" s="7"/>
    </row>
    <row r="12504" spans="1:16">
      <c r="A12504" s="3">
        <v>44169.989733796298</v>
      </c>
      <c r="B12504" s="4" t="str">
        <f>HYPERLINK("https://twitter.com/petrogustavo","@petrogustavo")</f>
        <v>@petrogustavo</v>
      </c>
      <c r="C12504" s="5" t="s">
        <v>16</v>
      </c>
      <c r="D12504" s="5" t="s">
        <v>12036</v>
      </c>
      <c r="E12504" s="6" t="str">
        <f>HYPERLINK("https://twitter.com/petrogustavo/status/1334924234032898057","1334924234032898057")</f>
        <v>1334924234032898057</v>
      </c>
      <c r="F12504" s="7" t="s">
        <v>17</v>
      </c>
      <c r="G12504" s="7">
        <v>4015858</v>
      </c>
      <c r="H12504" s="7">
        <v>2470</v>
      </c>
      <c r="I12504" s="7">
        <v>19</v>
      </c>
      <c r="J12504" s="7">
        <v>77</v>
      </c>
      <c r="K12504" s="7" t="s">
        <v>18</v>
      </c>
      <c r="L12504" s="8">
        <v>39987.315405092595</v>
      </c>
      <c r="M12504" s="9" t="s">
        <v>19</v>
      </c>
      <c r="N12504" s="9" t="s">
        <v>20</v>
      </c>
      <c r="O12504" s="6" t="str">
        <f>HYPERLINK("https://pbs.twimg.com/profile_images/962471262747529216/Uo8lOkRJ_normal.jpg","View")</f>
        <v>View</v>
      </c>
      <c r="P12504" s="7"/>
    </row>
    <row r="12505" spans="1:16">
      <c r="A12505" s="3">
        <v>44169.990289351852</v>
      </c>
      <c r="B12505" s="4" t="str">
        <f>HYPERLINK("https://twitter.com/petrogustavo","@petrogustavo")</f>
        <v>@petrogustavo</v>
      </c>
      <c r="C12505" s="5" t="s">
        <v>16</v>
      </c>
      <c r="D12505" s="5" t="s">
        <v>12037</v>
      </c>
      <c r="E12505" s="6" t="str">
        <f>HYPERLINK("https://twitter.com/petrogustavo/status/1334924436231905284","1334924436231905284")</f>
        <v>1334924436231905284</v>
      </c>
      <c r="F12505" s="7" t="s">
        <v>17</v>
      </c>
      <c r="G12505" s="7">
        <v>4015858</v>
      </c>
      <c r="H12505" s="7">
        <v>2470</v>
      </c>
      <c r="I12505" s="7">
        <v>140</v>
      </c>
      <c r="J12505" s="7">
        <v>0</v>
      </c>
      <c r="K12505" s="7" t="s">
        <v>18</v>
      </c>
      <c r="L12505" s="8">
        <v>39987.315405092595</v>
      </c>
      <c r="M12505" s="9" t="s">
        <v>19</v>
      </c>
      <c r="N12505" s="9" t="s">
        <v>20</v>
      </c>
      <c r="O12505" s="6" t="str">
        <f>HYPERLINK("https://pbs.twimg.com/profile_images/962471262747529216/Uo8lOkRJ_normal.jpg","View")</f>
        <v>View</v>
      </c>
      <c r="P12505" s="7"/>
    </row>
    <row r="12506" spans="1:16">
      <c r="A12506" s="3">
        <v>44169.992233796293</v>
      </c>
      <c r="B12506" s="4" t="str">
        <f>HYPERLINK("https://twitter.com/petrogustavo","@petrogustavo")</f>
        <v>@petrogustavo</v>
      </c>
      <c r="C12506" s="5" t="s">
        <v>16</v>
      </c>
      <c r="D12506" s="5" t="s">
        <v>12038</v>
      </c>
      <c r="E12506" s="6" t="str">
        <f>HYPERLINK("https://twitter.com/petrogustavo/status/1334925137142030336","1334925137142030336")</f>
        <v>1334925137142030336</v>
      </c>
      <c r="F12506" s="7" t="s">
        <v>17</v>
      </c>
      <c r="G12506" s="7">
        <v>4015858</v>
      </c>
      <c r="H12506" s="7">
        <v>2470</v>
      </c>
      <c r="I12506" s="7">
        <v>0</v>
      </c>
      <c r="J12506" s="7">
        <v>0</v>
      </c>
      <c r="K12506" s="7" t="s">
        <v>18</v>
      </c>
      <c r="L12506" s="8">
        <v>39987.315405092595</v>
      </c>
      <c r="M12506" s="9" t="s">
        <v>19</v>
      </c>
      <c r="N12506" s="9" t="s">
        <v>20</v>
      </c>
      <c r="O12506" s="6" t="str">
        <f>HYPERLINK("https://pbs.twimg.com/profile_images/962471262747529216/Uo8lOkRJ_normal.jpg","View")</f>
        <v>View</v>
      </c>
      <c r="P12506" s="7"/>
    </row>
    <row r="12507" spans="1:16">
      <c r="A12507" s="3">
        <v>44169.993518518517</v>
      </c>
      <c r="B12507" s="4" t="str">
        <f>HYPERLINK("https://twitter.com/petrogustavo","@petrogustavo")</f>
        <v>@petrogustavo</v>
      </c>
      <c r="C12507" s="5" t="s">
        <v>16</v>
      </c>
      <c r="D12507" s="5" t="s">
        <v>12039</v>
      </c>
      <c r="E12507" s="6" t="str">
        <f>HYPERLINK("https://twitter.com/petrogustavo/status/1334925605993934855","1334925605993934855")</f>
        <v>1334925605993934855</v>
      </c>
      <c r="F12507" s="7" t="s">
        <v>17</v>
      </c>
      <c r="G12507" s="7">
        <v>4015870</v>
      </c>
      <c r="H12507" s="7">
        <v>2470</v>
      </c>
      <c r="I12507" s="7">
        <v>819</v>
      </c>
      <c r="J12507" s="7">
        <v>0</v>
      </c>
      <c r="K12507" s="7" t="s">
        <v>18</v>
      </c>
      <c r="L12507" s="8">
        <v>39987.315405092595</v>
      </c>
      <c r="M12507" s="9" t="s">
        <v>19</v>
      </c>
      <c r="N12507" s="9" t="s">
        <v>20</v>
      </c>
      <c r="O12507" s="6" t="str">
        <f>HYPERLINK("https://pbs.twimg.com/profile_images/962471262747529216/Uo8lOkRJ_normal.jpg","View")</f>
        <v>View</v>
      </c>
      <c r="P12507" s="7"/>
    </row>
    <row r="12508" spans="1:16">
      <c r="A12508" s="3">
        <v>44169.999976851846</v>
      </c>
      <c r="B12508" s="4" t="str">
        <f>HYPERLINK("https://twitter.com/petrogustavo","@petrogustavo")</f>
        <v>@petrogustavo</v>
      </c>
      <c r="C12508" s="5" t="s">
        <v>16</v>
      </c>
      <c r="D12508" s="5" t="s">
        <v>12040</v>
      </c>
      <c r="E12508" s="6" t="str">
        <f>HYPERLINK("https://twitter.com/petrogustavo/status/1334927946407153666","1334927946407153666")</f>
        <v>1334927946407153666</v>
      </c>
      <c r="F12508" s="7" t="s">
        <v>17</v>
      </c>
      <c r="G12508" s="7">
        <v>4015870</v>
      </c>
      <c r="H12508" s="7">
        <v>2470</v>
      </c>
      <c r="I12508" s="7">
        <v>47</v>
      </c>
      <c r="J12508" s="7">
        <v>276</v>
      </c>
      <c r="K12508" s="7" t="s">
        <v>18</v>
      </c>
      <c r="L12508" s="8">
        <v>39987.315405092595</v>
      </c>
      <c r="M12508" s="9" t="s">
        <v>19</v>
      </c>
      <c r="N12508" s="9" t="s">
        <v>20</v>
      </c>
      <c r="O12508" s="6" t="str">
        <f>HYPERLINK("https://pbs.twimg.com/profile_images/962471262747529216/Uo8lOkRJ_normal.jpg","View")</f>
        <v>View</v>
      </c>
      <c r="P12508" s="7"/>
    </row>
    <row r="12509" spans="1:16">
      <c r="A12509" s="3">
        <v>44170.232858796298</v>
      </c>
      <c r="B12509" s="4" t="str">
        <f>HYPERLINK("https://twitter.com/petrogustavo","@petrogustavo")</f>
        <v>@petrogustavo</v>
      </c>
      <c r="C12509" s="5" t="s">
        <v>16</v>
      </c>
      <c r="D12509" s="5" t="s">
        <v>12041</v>
      </c>
      <c r="E12509" s="6" t="str">
        <f>HYPERLINK("https://twitter.com/petrogustavo/status/1335012336961249280","1335012336961249280")</f>
        <v>1335012336961249280</v>
      </c>
      <c r="F12509" s="7" t="s">
        <v>32</v>
      </c>
      <c r="G12509" s="7">
        <v>4016010</v>
      </c>
      <c r="H12509" s="7">
        <v>2470</v>
      </c>
      <c r="I12509" s="7">
        <v>150</v>
      </c>
      <c r="J12509" s="7">
        <v>0</v>
      </c>
      <c r="K12509" s="7" t="s">
        <v>18</v>
      </c>
      <c r="L12509" s="8">
        <v>39987.315405092595</v>
      </c>
      <c r="M12509" s="9" t="s">
        <v>19</v>
      </c>
      <c r="N12509" s="9" t="s">
        <v>20</v>
      </c>
      <c r="O12509" s="6" t="str">
        <f>HYPERLINK("https://pbs.twimg.com/profile_images/962471262747529216/Uo8lOkRJ_normal.jpg","View")</f>
        <v>View</v>
      </c>
      <c r="P12509" s="7"/>
    </row>
    <row r="12510" spans="1:16">
      <c r="A12510" s="3">
        <v>44170.271145833336</v>
      </c>
      <c r="B12510" s="4" t="str">
        <f>HYPERLINK("https://twitter.com/petrogustavo","@petrogustavo")</f>
        <v>@petrogustavo</v>
      </c>
      <c r="C12510" s="5" t="s">
        <v>16</v>
      </c>
      <c r="D12510" s="5" t="s">
        <v>12042</v>
      </c>
      <c r="E12510" s="6" t="str">
        <f>HYPERLINK("https://twitter.com/petrogustavo/status/1335026212213841924","1335026212213841924")</f>
        <v>1335026212213841924</v>
      </c>
      <c r="F12510" s="7" t="s">
        <v>17</v>
      </c>
      <c r="G12510" s="7">
        <v>4015764</v>
      </c>
      <c r="H12510" s="7">
        <v>2470</v>
      </c>
      <c r="I12510" s="7">
        <v>20</v>
      </c>
      <c r="J12510" s="7">
        <v>0</v>
      </c>
      <c r="K12510" s="7" t="s">
        <v>18</v>
      </c>
      <c r="L12510" s="8">
        <v>39987.315405092595</v>
      </c>
      <c r="M12510" s="9" t="s">
        <v>19</v>
      </c>
      <c r="N12510" s="9" t="s">
        <v>20</v>
      </c>
      <c r="O12510" s="6" t="str">
        <f>HYPERLINK("https://pbs.twimg.com/profile_images/962471262747529216/Uo8lOkRJ_normal.jpg","View")</f>
        <v>View</v>
      </c>
      <c r="P12510" s="7"/>
    </row>
    <row r="12511" spans="1:16">
      <c r="A12511" s="3">
        <v>44170.272233796291</v>
      </c>
      <c r="B12511" s="4" t="str">
        <f>HYPERLINK("https://twitter.com/petrogustavo","@petrogustavo")</f>
        <v>@petrogustavo</v>
      </c>
      <c r="C12511" s="5" t="s">
        <v>16</v>
      </c>
      <c r="D12511" s="5" t="s">
        <v>12043</v>
      </c>
      <c r="E12511" s="6" t="str">
        <f>HYPERLINK("https://twitter.com/petrogustavo/status/1335026609619939328","1335026609619939328")</f>
        <v>1335026609619939328</v>
      </c>
      <c r="F12511" s="7" t="s">
        <v>17</v>
      </c>
      <c r="G12511" s="7">
        <v>4015764</v>
      </c>
      <c r="H12511" s="7">
        <v>2470</v>
      </c>
      <c r="I12511" s="7">
        <v>13</v>
      </c>
      <c r="J12511" s="7">
        <v>0</v>
      </c>
      <c r="K12511" s="7" t="s">
        <v>18</v>
      </c>
      <c r="L12511" s="8">
        <v>39987.315405092595</v>
      </c>
      <c r="M12511" s="9" t="s">
        <v>19</v>
      </c>
      <c r="N12511" s="9" t="s">
        <v>20</v>
      </c>
      <c r="O12511" s="6" t="str">
        <f>HYPERLINK("https://pbs.twimg.com/profile_images/962471262747529216/Uo8lOkRJ_normal.jpg","View")</f>
        <v>View</v>
      </c>
      <c r="P12511" s="7"/>
    </row>
    <row r="12512" spans="1:16">
      <c r="A12512" s="3">
        <v>44170.275520833333</v>
      </c>
      <c r="B12512" s="4" t="str">
        <f>HYPERLINK("https://twitter.com/petrogustavo","@petrogustavo")</f>
        <v>@petrogustavo</v>
      </c>
      <c r="C12512" s="5" t="s">
        <v>16</v>
      </c>
      <c r="D12512" s="5" t="s">
        <v>12044</v>
      </c>
      <c r="E12512" s="6" t="str">
        <f>HYPERLINK("https://twitter.com/petrogustavo/status/1335027800831569921","1335027800831569921")</f>
        <v>1335027800831569921</v>
      </c>
      <c r="F12512" s="7" t="s">
        <v>17</v>
      </c>
      <c r="G12512" s="7">
        <v>4015764</v>
      </c>
      <c r="H12512" s="7">
        <v>2470</v>
      </c>
      <c r="I12512" s="7">
        <v>128</v>
      </c>
      <c r="J12512" s="7">
        <v>393</v>
      </c>
      <c r="K12512" s="7" t="s">
        <v>18</v>
      </c>
      <c r="L12512" s="8">
        <v>39987.315405092595</v>
      </c>
      <c r="M12512" s="9" t="s">
        <v>19</v>
      </c>
      <c r="N12512" s="9" t="s">
        <v>20</v>
      </c>
      <c r="O12512" s="6" t="str">
        <f>HYPERLINK("https://pbs.twimg.com/profile_images/962471262747529216/Uo8lOkRJ_normal.jpg","View")</f>
        <v>View</v>
      </c>
      <c r="P12512" s="7"/>
    </row>
    <row r="12513" spans="1:16">
      <c r="A12513" s="3">
        <v>44170.278460648144</v>
      </c>
      <c r="B12513" s="4" t="str">
        <f>HYPERLINK("https://twitter.com/petrogustavo","@petrogustavo")</f>
        <v>@petrogustavo</v>
      </c>
      <c r="C12513" s="5" t="s">
        <v>16</v>
      </c>
      <c r="D12513" s="5" t="s">
        <v>12045</v>
      </c>
      <c r="E12513" s="6" t="str">
        <f>HYPERLINK("https://twitter.com/petrogustavo/status/1335028864960122888","1335028864960122888")</f>
        <v>1335028864960122888</v>
      </c>
      <c r="F12513" s="7" t="s">
        <v>17</v>
      </c>
      <c r="G12513" s="7">
        <v>4015764</v>
      </c>
      <c r="H12513" s="7">
        <v>2470</v>
      </c>
      <c r="I12513" s="7">
        <v>88</v>
      </c>
      <c r="J12513" s="7">
        <v>301</v>
      </c>
      <c r="K12513" s="7" t="s">
        <v>18</v>
      </c>
      <c r="L12513" s="8">
        <v>39987.315405092595</v>
      </c>
      <c r="M12513" s="9" t="s">
        <v>19</v>
      </c>
      <c r="N12513" s="9" t="s">
        <v>20</v>
      </c>
      <c r="O12513" s="6" t="str">
        <f>HYPERLINK("https://pbs.twimg.com/profile_images/962471262747529216/Uo8lOkRJ_normal.jpg","View")</f>
        <v>View</v>
      </c>
      <c r="P12513" s="7"/>
    </row>
    <row r="12514" spans="1:16">
      <c r="A12514" s="3">
        <v>44170.278912037036</v>
      </c>
      <c r="B12514" s="4" t="str">
        <f>HYPERLINK("https://twitter.com/petrogustavo","@petrogustavo")</f>
        <v>@petrogustavo</v>
      </c>
      <c r="C12514" s="5" t="s">
        <v>16</v>
      </c>
      <c r="D12514" s="5" t="s">
        <v>12046</v>
      </c>
      <c r="E12514" s="6" t="str">
        <f>HYPERLINK("https://twitter.com/petrogustavo/status/1335029026960928770","1335029026960928770")</f>
        <v>1335029026960928770</v>
      </c>
      <c r="F12514" s="7" t="s">
        <v>17</v>
      </c>
      <c r="G12514" s="7">
        <v>4015764</v>
      </c>
      <c r="H12514" s="7">
        <v>2470</v>
      </c>
      <c r="I12514" s="7">
        <v>46</v>
      </c>
      <c r="J12514" s="7">
        <v>0</v>
      </c>
      <c r="K12514" s="7" t="s">
        <v>18</v>
      </c>
      <c r="L12514" s="8">
        <v>39987.315405092595</v>
      </c>
      <c r="M12514" s="9" t="s">
        <v>19</v>
      </c>
      <c r="N12514" s="9" t="s">
        <v>20</v>
      </c>
      <c r="O12514" s="6" t="str">
        <f>HYPERLINK("https://pbs.twimg.com/profile_images/962471262747529216/Uo8lOkRJ_normal.jpg","View")</f>
        <v>View</v>
      </c>
      <c r="P12514" s="7"/>
    </row>
    <row r="12515" spans="1:16">
      <c r="A12515" s="3">
        <v>44170.280034722222</v>
      </c>
      <c r="B12515" s="4" t="str">
        <f>HYPERLINK("https://twitter.com/petrogustavo","@petrogustavo")</f>
        <v>@petrogustavo</v>
      </c>
      <c r="C12515" s="5" t="s">
        <v>16</v>
      </c>
      <c r="D12515" s="5" t="s">
        <v>12047</v>
      </c>
      <c r="E12515" s="6" t="str">
        <f>HYPERLINK("https://twitter.com/petrogustavo/status/1335029435410640898","1335029435410640898")</f>
        <v>1335029435410640898</v>
      </c>
      <c r="F12515" s="7" t="s">
        <v>17</v>
      </c>
      <c r="G12515" s="7">
        <v>4015764</v>
      </c>
      <c r="H12515" s="7">
        <v>2470</v>
      </c>
      <c r="I12515" s="7">
        <v>49</v>
      </c>
      <c r="J12515" s="7">
        <v>163</v>
      </c>
      <c r="K12515" s="7" t="s">
        <v>18</v>
      </c>
      <c r="L12515" s="8">
        <v>39987.315405092595</v>
      </c>
      <c r="M12515" s="9" t="s">
        <v>19</v>
      </c>
      <c r="N12515" s="9" t="s">
        <v>20</v>
      </c>
      <c r="O12515" s="6" t="str">
        <f>HYPERLINK("https://pbs.twimg.com/profile_images/962471262747529216/Uo8lOkRJ_normal.jpg","View")</f>
        <v>View</v>
      </c>
      <c r="P12515" s="7"/>
    </row>
    <row r="12516" spans="1:16">
      <c r="A12516" s="3">
        <v>44170.292592592596</v>
      </c>
      <c r="B12516" s="4" t="str">
        <f>HYPERLINK("https://twitter.com/petrogustavo","@petrogustavo")</f>
        <v>@petrogustavo</v>
      </c>
      <c r="C12516" s="5" t="s">
        <v>16</v>
      </c>
      <c r="D12516" s="5" t="s">
        <v>12048</v>
      </c>
      <c r="E12516" s="6" t="str">
        <f>HYPERLINK("https://twitter.com/petrogustavo/status/1335033983986495488","1335033983986495488")</f>
        <v>1335033983986495488</v>
      </c>
      <c r="F12516" s="7" t="s">
        <v>17</v>
      </c>
      <c r="G12516" s="7">
        <v>4015781</v>
      </c>
      <c r="H12516" s="7">
        <v>2470</v>
      </c>
      <c r="I12516" s="7">
        <v>16</v>
      </c>
      <c r="J12516" s="7">
        <v>0</v>
      </c>
      <c r="K12516" s="7" t="s">
        <v>18</v>
      </c>
      <c r="L12516" s="8">
        <v>39987.315405092595</v>
      </c>
      <c r="M12516" s="9" t="s">
        <v>19</v>
      </c>
      <c r="N12516" s="9" t="s">
        <v>20</v>
      </c>
      <c r="O12516" s="6" t="str">
        <f>HYPERLINK("https://pbs.twimg.com/profile_images/962471262747529216/Uo8lOkRJ_normal.jpg","View")</f>
        <v>View</v>
      </c>
      <c r="P12516" s="7"/>
    </row>
    <row r="12517" spans="1:16">
      <c r="A12517" s="3">
        <v>44170.299583333333</v>
      </c>
      <c r="B12517" s="4" t="str">
        <f>HYPERLINK("https://twitter.com/petrogustavo","@petrogustavo")</f>
        <v>@petrogustavo</v>
      </c>
      <c r="C12517" s="5" t="s">
        <v>16</v>
      </c>
      <c r="D12517" s="5" t="s">
        <v>12049</v>
      </c>
      <c r="E12517" s="6" t="str">
        <f>HYPERLINK("https://twitter.com/petrogustavo/status/1335036518654746624","1335036518654746624")</f>
        <v>1335036518654746624</v>
      </c>
      <c r="F12517" s="7" t="s">
        <v>17</v>
      </c>
      <c r="G12517" s="7">
        <v>4015781</v>
      </c>
      <c r="H12517" s="7">
        <v>2470</v>
      </c>
      <c r="I12517" s="7">
        <v>82</v>
      </c>
      <c r="J12517" s="7">
        <v>0</v>
      </c>
      <c r="K12517" s="7" t="s">
        <v>18</v>
      </c>
      <c r="L12517" s="8">
        <v>39987.315405092595</v>
      </c>
      <c r="M12517" s="9" t="s">
        <v>19</v>
      </c>
      <c r="N12517" s="9" t="s">
        <v>20</v>
      </c>
      <c r="O12517" s="6" t="str">
        <f>HYPERLINK("https://pbs.twimg.com/profile_images/962471262747529216/Uo8lOkRJ_normal.jpg","View")</f>
        <v>View</v>
      </c>
      <c r="P12517" s="7"/>
    </row>
    <row r="12518" spans="1:16">
      <c r="A12518" s="3">
        <v>44170.302083333328</v>
      </c>
      <c r="B12518" s="4" t="str">
        <f>HYPERLINK("https://twitter.com/petrogustavo","@petrogustavo")</f>
        <v>@petrogustavo</v>
      </c>
      <c r="C12518" s="5" t="s">
        <v>16</v>
      </c>
      <c r="D12518" s="5" t="s">
        <v>12050</v>
      </c>
      <c r="E12518" s="6" t="str">
        <f>HYPERLINK("https://twitter.com/petrogustavo/status/1335037425094111233","1335037425094111233")</f>
        <v>1335037425094111233</v>
      </c>
      <c r="F12518" s="7" t="s">
        <v>17</v>
      </c>
      <c r="G12518" s="7">
        <v>4015781</v>
      </c>
      <c r="H12518" s="7">
        <v>2470</v>
      </c>
      <c r="I12518" s="7">
        <v>14</v>
      </c>
      <c r="J12518" s="7">
        <v>59</v>
      </c>
      <c r="K12518" s="7" t="s">
        <v>18</v>
      </c>
      <c r="L12518" s="8">
        <v>39987.315405092595</v>
      </c>
      <c r="M12518" s="9" t="s">
        <v>19</v>
      </c>
      <c r="N12518" s="9" t="s">
        <v>20</v>
      </c>
      <c r="O12518" s="6" t="str">
        <f>HYPERLINK("https://pbs.twimg.com/profile_images/962471262747529216/Uo8lOkRJ_normal.jpg","View")</f>
        <v>View</v>
      </c>
      <c r="P12518" s="7"/>
    </row>
    <row r="12519" spans="1:16">
      <c r="A12519" s="3">
        <v>44170.311030092591</v>
      </c>
      <c r="B12519" s="4" t="str">
        <f>HYPERLINK("https://twitter.com/petrogustavo","@petrogustavo")</f>
        <v>@petrogustavo</v>
      </c>
      <c r="C12519" s="5" t="s">
        <v>16</v>
      </c>
      <c r="D12519" s="5" t="s">
        <v>12051</v>
      </c>
      <c r="E12519" s="6" t="str">
        <f>HYPERLINK("https://twitter.com/petrogustavo/status/1335040665957392384","1335040665957392384")</f>
        <v>1335040665957392384</v>
      </c>
      <c r="F12519" s="7" t="s">
        <v>17</v>
      </c>
      <c r="G12519" s="7">
        <v>4015795</v>
      </c>
      <c r="H12519" s="7">
        <v>2470</v>
      </c>
      <c r="I12519" s="7">
        <v>63</v>
      </c>
      <c r="J12519" s="7">
        <v>318</v>
      </c>
      <c r="K12519" s="7" t="s">
        <v>18</v>
      </c>
      <c r="L12519" s="8">
        <v>39987.315405092595</v>
      </c>
      <c r="M12519" s="9" t="s">
        <v>19</v>
      </c>
      <c r="N12519" s="9" t="s">
        <v>20</v>
      </c>
      <c r="O12519" s="6" t="str">
        <f>HYPERLINK("https://pbs.twimg.com/profile_images/962471262747529216/Uo8lOkRJ_normal.jpg","View")</f>
        <v>View</v>
      </c>
      <c r="P12519" s="7"/>
    </row>
    <row r="12520" spans="1:16">
      <c r="A12520" s="3">
        <v>44170.315428240741</v>
      </c>
      <c r="B12520" s="4" t="str">
        <f>HYPERLINK("https://twitter.com/petrogustavo","@petrogustavo")</f>
        <v>@petrogustavo</v>
      </c>
      <c r="C12520" s="5" t="s">
        <v>16</v>
      </c>
      <c r="D12520" s="5" t="s">
        <v>12052</v>
      </c>
      <c r="E12520" s="6" t="str">
        <f>HYPERLINK("https://twitter.com/petrogustavo/status/1335042260011020291","1335042260011020291")</f>
        <v>1335042260011020291</v>
      </c>
      <c r="F12520" s="7" t="s">
        <v>17</v>
      </c>
      <c r="G12520" s="7">
        <v>4015795</v>
      </c>
      <c r="H12520" s="7">
        <v>2470</v>
      </c>
      <c r="I12520" s="7">
        <v>69</v>
      </c>
      <c r="J12520" s="7">
        <v>233</v>
      </c>
      <c r="K12520" s="7" t="s">
        <v>18</v>
      </c>
      <c r="L12520" s="8">
        <v>39987.315405092595</v>
      </c>
      <c r="M12520" s="9" t="s">
        <v>19</v>
      </c>
      <c r="N12520" s="9" t="s">
        <v>20</v>
      </c>
      <c r="O12520" s="6" t="str">
        <f>HYPERLINK("https://pbs.twimg.com/profile_images/962471262747529216/Uo8lOkRJ_normal.jpg","View")</f>
        <v>View</v>
      </c>
      <c r="P12520" s="7"/>
    </row>
    <row r="12521" spans="1:16">
      <c r="A12521" s="3">
        <v>44170.331608796296</v>
      </c>
      <c r="B12521" s="4" t="str">
        <f>HYPERLINK("https://twitter.com/petrogustavo","@petrogustavo")</f>
        <v>@petrogustavo</v>
      </c>
      <c r="C12521" s="5" t="s">
        <v>16</v>
      </c>
      <c r="D12521" s="5" t="s">
        <v>12053</v>
      </c>
      <c r="E12521" s="6" t="str">
        <f>HYPERLINK("https://twitter.com/petrogustavo/status/1335048125514440707","1335048125514440707")</f>
        <v>1335048125514440707</v>
      </c>
      <c r="F12521" s="7" t="s">
        <v>17</v>
      </c>
      <c r="G12521" s="7">
        <v>4015810</v>
      </c>
      <c r="H12521" s="7">
        <v>2470</v>
      </c>
      <c r="I12521" s="7">
        <v>118</v>
      </c>
      <c r="J12521" s="7">
        <v>0</v>
      </c>
      <c r="K12521" s="7" t="s">
        <v>18</v>
      </c>
      <c r="L12521" s="8">
        <v>39987.315405092595</v>
      </c>
      <c r="M12521" s="9" t="s">
        <v>19</v>
      </c>
      <c r="N12521" s="9" t="s">
        <v>20</v>
      </c>
      <c r="O12521" s="6" t="str">
        <f>HYPERLINK("https://pbs.twimg.com/profile_images/962471262747529216/Uo8lOkRJ_normal.jpg","View")</f>
        <v>View</v>
      </c>
      <c r="P12521" s="7"/>
    </row>
    <row r="12522" spans="1:16">
      <c r="A12522" s="3">
        <v>44170.335856481484</v>
      </c>
      <c r="B12522" s="4" t="str">
        <f>HYPERLINK("https://twitter.com/petrogustavo","@petrogustavo")</f>
        <v>@petrogustavo</v>
      </c>
      <c r="C12522" s="5" t="s">
        <v>16</v>
      </c>
      <c r="D12522" s="5" t="s">
        <v>12054</v>
      </c>
      <c r="E12522" s="6" t="str">
        <f>HYPERLINK("https://twitter.com/petrogustavo/status/1335049662676557826","1335049662676557826")</f>
        <v>1335049662676557826</v>
      </c>
      <c r="F12522" s="7" t="s">
        <v>17</v>
      </c>
      <c r="G12522" s="7">
        <v>4015810</v>
      </c>
      <c r="H12522" s="7">
        <v>2470</v>
      </c>
      <c r="I12522" s="7">
        <v>39</v>
      </c>
      <c r="J12522" s="7">
        <v>138</v>
      </c>
      <c r="K12522" s="7" t="s">
        <v>18</v>
      </c>
      <c r="L12522" s="8">
        <v>39987.315405092595</v>
      </c>
      <c r="M12522" s="9" t="s">
        <v>19</v>
      </c>
      <c r="N12522" s="9" t="s">
        <v>20</v>
      </c>
      <c r="O12522" s="6" t="str">
        <f>HYPERLINK("https://pbs.twimg.com/profile_images/962471262747529216/Uo8lOkRJ_normal.jpg","View")</f>
        <v>View</v>
      </c>
      <c r="P12522" s="7"/>
    </row>
    <row r="12523" spans="1:16">
      <c r="A12523" s="3">
        <v>44170.33625</v>
      </c>
      <c r="B12523" s="4" t="str">
        <f>HYPERLINK("https://twitter.com/petrogustavo","@petrogustavo")</f>
        <v>@petrogustavo</v>
      </c>
      <c r="C12523" s="5" t="s">
        <v>16</v>
      </c>
      <c r="D12523" s="5" t="s">
        <v>12055</v>
      </c>
      <c r="E12523" s="6" t="str">
        <f>HYPERLINK("https://twitter.com/petrogustavo/status/1335049806843088901","1335049806843088901")</f>
        <v>1335049806843088901</v>
      </c>
      <c r="F12523" s="7" t="s">
        <v>17</v>
      </c>
      <c r="G12523" s="7">
        <v>4015810</v>
      </c>
      <c r="H12523" s="7">
        <v>2470</v>
      </c>
      <c r="I12523" s="7">
        <v>154</v>
      </c>
      <c r="J12523" s="7">
        <v>0</v>
      </c>
      <c r="K12523" s="7" t="s">
        <v>18</v>
      </c>
      <c r="L12523" s="8">
        <v>39987.315405092595</v>
      </c>
      <c r="M12523" s="9" t="s">
        <v>19</v>
      </c>
      <c r="N12523" s="9" t="s">
        <v>20</v>
      </c>
      <c r="O12523" s="6" t="str">
        <f>HYPERLINK("https://pbs.twimg.com/profile_images/962471262747529216/Uo8lOkRJ_normal.jpg","View")</f>
        <v>View</v>
      </c>
      <c r="P12523" s="7"/>
    </row>
    <row r="12524" spans="1:16">
      <c r="A12524" s="3">
        <v>44170.353460648148</v>
      </c>
      <c r="B12524" s="4" t="str">
        <f>HYPERLINK("https://twitter.com/petrogustavo","@petrogustavo")</f>
        <v>@petrogustavo</v>
      </c>
      <c r="C12524" s="5" t="s">
        <v>16</v>
      </c>
      <c r="D12524" s="5" t="s">
        <v>12056</v>
      </c>
      <c r="E12524" s="6" t="str">
        <f>HYPERLINK("https://twitter.com/petrogustavo/status/1335056044695883776","1335056044695883776")</f>
        <v>1335056044695883776</v>
      </c>
      <c r="F12524" s="7" t="s">
        <v>17</v>
      </c>
      <c r="G12524" s="7">
        <v>4015812</v>
      </c>
      <c r="H12524" s="7">
        <v>2470</v>
      </c>
      <c r="I12524" s="7">
        <v>403</v>
      </c>
      <c r="J12524" s="7">
        <v>0</v>
      </c>
      <c r="K12524" s="7" t="s">
        <v>18</v>
      </c>
      <c r="L12524" s="8">
        <v>39987.315405092595</v>
      </c>
      <c r="M12524" s="9" t="s">
        <v>19</v>
      </c>
      <c r="N12524" s="9" t="s">
        <v>20</v>
      </c>
      <c r="O12524" s="6" t="str">
        <f>HYPERLINK("https://pbs.twimg.com/profile_images/962471262747529216/Uo8lOkRJ_normal.jpg","View")</f>
        <v>View</v>
      </c>
      <c r="P12524" s="7"/>
    </row>
    <row r="12525" spans="1:16">
      <c r="A12525" s="3">
        <v>44170.353715277779</v>
      </c>
      <c r="B12525" s="4" t="str">
        <f>HYPERLINK("https://twitter.com/petrogustavo","@petrogustavo")</f>
        <v>@petrogustavo</v>
      </c>
      <c r="C12525" s="5" t="s">
        <v>16</v>
      </c>
      <c r="D12525" s="5" t="s">
        <v>12057</v>
      </c>
      <c r="E12525" s="6" t="str">
        <f>HYPERLINK("https://twitter.com/petrogustavo/status/1335056135414571015","1335056135414571015")</f>
        <v>1335056135414571015</v>
      </c>
      <c r="F12525" s="7" t="s">
        <v>17</v>
      </c>
      <c r="G12525" s="7">
        <v>4015812</v>
      </c>
      <c r="H12525" s="7">
        <v>2470</v>
      </c>
      <c r="I12525" s="7">
        <v>686</v>
      </c>
      <c r="J12525" s="7">
        <v>0</v>
      </c>
      <c r="K12525" s="7" t="s">
        <v>18</v>
      </c>
      <c r="L12525" s="8">
        <v>39987.315405092595</v>
      </c>
      <c r="M12525" s="9" t="s">
        <v>19</v>
      </c>
      <c r="N12525" s="9" t="s">
        <v>20</v>
      </c>
      <c r="O12525" s="6" t="str">
        <f>HYPERLINK("https://pbs.twimg.com/profile_images/962471262747529216/Uo8lOkRJ_normal.jpg","View")</f>
        <v>View</v>
      </c>
      <c r="P12525" s="7"/>
    </row>
    <row r="12526" spans="1:16">
      <c r="A12526" s="3">
        <v>44170.353958333333</v>
      </c>
      <c r="B12526" s="4" t="str">
        <f>HYPERLINK("https://twitter.com/petrogustavo","@petrogustavo")</f>
        <v>@petrogustavo</v>
      </c>
      <c r="C12526" s="5" t="s">
        <v>16</v>
      </c>
      <c r="D12526" s="5" t="s">
        <v>12058</v>
      </c>
      <c r="E12526" s="6" t="str">
        <f>HYPERLINK("https://twitter.com/petrogustavo/status/1335056223167782912","1335056223167782912")</f>
        <v>1335056223167782912</v>
      </c>
      <c r="F12526" s="7" t="s">
        <v>17</v>
      </c>
      <c r="G12526" s="7">
        <v>4015812</v>
      </c>
      <c r="H12526" s="7">
        <v>2470</v>
      </c>
      <c r="I12526" s="7">
        <v>74</v>
      </c>
      <c r="J12526" s="7">
        <v>0</v>
      </c>
      <c r="K12526" s="7" t="s">
        <v>18</v>
      </c>
      <c r="L12526" s="8">
        <v>39987.315405092595</v>
      </c>
      <c r="M12526" s="9" t="s">
        <v>19</v>
      </c>
      <c r="N12526" s="9" t="s">
        <v>20</v>
      </c>
      <c r="O12526" s="6" t="str">
        <f>HYPERLINK("https://pbs.twimg.com/profile_images/962471262747529216/Uo8lOkRJ_normal.jpg","View")</f>
        <v>View</v>
      </c>
      <c r="P12526" s="7"/>
    </row>
    <row r="12527" spans="1:16">
      <c r="A12527" s="3">
        <v>44170.355717592596</v>
      </c>
      <c r="B12527" s="4" t="str">
        <f>HYPERLINK("https://twitter.com/petrogustavo","@petrogustavo")</f>
        <v>@petrogustavo</v>
      </c>
      <c r="C12527" s="5" t="s">
        <v>16</v>
      </c>
      <c r="D12527" s="5" t="s">
        <v>12059</v>
      </c>
      <c r="E12527" s="6" t="str">
        <f>HYPERLINK("https://twitter.com/petrogustavo/status/1335056859741478913","1335056859741478913")</f>
        <v>1335056859741478913</v>
      </c>
      <c r="F12527" s="7" t="s">
        <v>21</v>
      </c>
      <c r="G12527" s="7">
        <v>4015812</v>
      </c>
      <c r="H12527" s="7">
        <v>2470</v>
      </c>
      <c r="I12527" s="7">
        <v>57</v>
      </c>
      <c r="J12527" s="7">
        <v>203</v>
      </c>
      <c r="K12527" s="7" t="s">
        <v>18</v>
      </c>
      <c r="L12527" s="8">
        <v>39987.315405092595</v>
      </c>
      <c r="M12527" s="9" t="s">
        <v>19</v>
      </c>
      <c r="N12527" s="9" t="s">
        <v>20</v>
      </c>
      <c r="O12527" s="6" t="str">
        <f>HYPERLINK("https://pbs.twimg.com/profile_images/962471262747529216/Uo8lOkRJ_normal.jpg","View")</f>
        <v>View</v>
      </c>
      <c r="P12527" s="7"/>
    </row>
    <row r="12528" spans="1:16">
      <c r="A12528" s="3">
        <v>44170.738252314812</v>
      </c>
      <c r="B12528" s="4" t="str">
        <f>HYPERLINK("https://twitter.com/petrogustavo","@petrogustavo")</f>
        <v>@petrogustavo</v>
      </c>
      <c r="C12528" s="5" t="s">
        <v>16</v>
      </c>
      <c r="D12528" s="5" t="s">
        <v>12060</v>
      </c>
      <c r="E12528" s="6" t="str">
        <f>HYPERLINK("https://twitter.com/petrogustavo/status/1335195485301305344","1335195485301305344")</f>
        <v>1335195485301305344</v>
      </c>
      <c r="F12528" s="7" t="s">
        <v>17</v>
      </c>
      <c r="G12528" s="7">
        <v>4015874</v>
      </c>
      <c r="H12528" s="7">
        <v>2468</v>
      </c>
      <c r="I12528" s="7">
        <v>60</v>
      </c>
      <c r="J12528" s="7">
        <v>167</v>
      </c>
      <c r="K12528" s="7" t="s">
        <v>18</v>
      </c>
      <c r="L12528" s="8">
        <v>39987.315405092595</v>
      </c>
      <c r="M12528" s="9" t="s">
        <v>19</v>
      </c>
      <c r="N12528" s="9" t="s">
        <v>20</v>
      </c>
      <c r="O12528" s="6" t="str">
        <f>HYPERLINK("https://pbs.twimg.com/profile_images/962471262747529216/Uo8lOkRJ_normal.jpg","View")</f>
        <v>View</v>
      </c>
      <c r="P12528" s="7"/>
    </row>
    <row r="12529" spans="1:16">
      <c r="A12529" s="3">
        <v>44170.745486111111</v>
      </c>
      <c r="B12529" s="4" t="str">
        <f>HYPERLINK("https://twitter.com/petrogustavo","@petrogustavo")</f>
        <v>@petrogustavo</v>
      </c>
      <c r="C12529" s="5" t="s">
        <v>16</v>
      </c>
      <c r="D12529" s="5" t="s">
        <v>12061</v>
      </c>
      <c r="E12529" s="6" t="str">
        <f>HYPERLINK("https://twitter.com/petrogustavo/status/1335198107559223297","1335198107559223297")</f>
        <v>1335198107559223297</v>
      </c>
      <c r="F12529" s="7" t="s">
        <v>17</v>
      </c>
      <c r="G12529" s="7">
        <v>4015874</v>
      </c>
      <c r="H12529" s="7">
        <v>2468</v>
      </c>
      <c r="I12529" s="7">
        <v>84</v>
      </c>
      <c r="J12529" s="7">
        <v>0</v>
      </c>
      <c r="K12529" s="7" t="s">
        <v>18</v>
      </c>
      <c r="L12529" s="8">
        <v>39987.315405092595</v>
      </c>
      <c r="M12529" s="9" t="s">
        <v>19</v>
      </c>
      <c r="N12529" s="9" t="s">
        <v>20</v>
      </c>
      <c r="O12529" s="6" t="str">
        <f>HYPERLINK("https://pbs.twimg.com/profile_images/962471262747529216/Uo8lOkRJ_normal.jpg","View")</f>
        <v>View</v>
      </c>
      <c r="P12529" s="7"/>
    </row>
    <row r="12530" spans="1:16">
      <c r="A12530" s="3">
        <v>44170.749467592592</v>
      </c>
      <c r="B12530" s="4" t="str">
        <f>HYPERLINK("https://twitter.com/petrogustavo","@petrogustavo")</f>
        <v>@petrogustavo</v>
      </c>
      <c r="C12530" s="5" t="s">
        <v>16</v>
      </c>
      <c r="D12530" s="5" t="s">
        <v>12062</v>
      </c>
      <c r="E12530" s="6" t="str">
        <f>HYPERLINK("https://twitter.com/petrogustavo/status/1335199550290731010","1335199550290731010")</f>
        <v>1335199550290731010</v>
      </c>
      <c r="F12530" s="7" t="s">
        <v>17</v>
      </c>
      <c r="G12530" s="7">
        <v>4015874</v>
      </c>
      <c r="H12530" s="7">
        <v>2468</v>
      </c>
      <c r="I12530" s="7">
        <v>488</v>
      </c>
      <c r="J12530" s="7">
        <v>0</v>
      </c>
      <c r="K12530" s="7" t="s">
        <v>18</v>
      </c>
      <c r="L12530" s="8">
        <v>39987.315405092595</v>
      </c>
      <c r="M12530" s="9" t="s">
        <v>19</v>
      </c>
      <c r="N12530" s="9" t="s">
        <v>20</v>
      </c>
      <c r="O12530" s="6" t="str">
        <f>HYPERLINK("https://pbs.twimg.com/profile_images/962471262747529216/Uo8lOkRJ_normal.jpg","View")</f>
        <v>View</v>
      </c>
      <c r="P12530" s="7"/>
    </row>
    <row r="12531" spans="1:16">
      <c r="A12531" s="3">
        <v>44170.758842592593</v>
      </c>
      <c r="B12531" s="4" t="str">
        <f>HYPERLINK("https://twitter.com/petrogustavo","@petrogustavo")</f>
        <v>@petrogustavo</v>
      </c>
      <c r="C12531" s="5" t="s">
        <v>16</v>
      </c>
      <c r="D12531" s="5" t="s">
        <v>12063</v>
      </c>
      <c r="E12531" s="6" t="str">
        <f>HYPERLINK("https://twitter.com/petrogustavo/status/1335202949551845376","1335202949551845376")</f>
        <v>1335202949551845376</v>
      </c>
      <c r="F12531" s="7" t="s">
        <v>17</v>
      </c>
      <c r="G12531" s="7">
        <v>4015874</v>
      </c>
      <c r="H12531" s="7">
        <v>2468</v>
      </c>
      <c r="I12531" s="7">
        <v>23</v>
      </c>
      <c r="J12531" s="7">
        <v>0</v>
      </c>
      <c r="K12531" s="7" t="s">
        <v>18</v>
      </c>
      <c r="L12531" s="8">
        <v>39987.315405092595</v>
      </c>
      <c r="M12531" s="9" t="s">
        <v>19</v>
      </c>
      <c r="N12531" s="9" t="s">
        <v>20</v>
      </c>
      <c r="O12531" s="6" t="str">
        <f>HYPERLINK("https://pbs.twimg.com/profile_images/962471262747529216/Uo8lOkRJ_normal.jpg","View")</f>
        <v>View</v>
      </c>
      <c r="P12531" s="7"/>
    </row>
    <row r="12532" spans="1:16">
      <c r="A12532" s="3">
        <v>44170.762673611112</v>
      </c>
      <c r="B12532" s="4" t="str">
        <f>HYPERLINK("https://twitter.com/petrogustavo","@petrogustavo")</f>
        <v>@petrogustavo</v>
      </c>
      <c r="C12532" s="5" t="s">
        <v>16</v>
      </c>
      <c r="D12532" s="5" t="s">
        <v>12064</v>
      </c>
      <c r="E12532" s="6" t="str">
        <f>HYPERLINK("https://twitter.com/petrogustavo/status/1335204336578813952","1335204336578813952")</f>
        <v>1335204336578813952</v>
      </c>
      <c r="F12532" s="7" t="s">
        <v>17</v>
      </c>
      <c r="G12532" s="7">
        <v>4015881</v>
      </c>
      <c r="H12532" s="7">
        <v>2468</v>
      </c>
      <c r="I12532" s="7">
        <v>29</v>
      </c>
      <c r="J12532" s="7">
        <v>144</v>
      </c>
      <c r="K12532" s="7" t="s">
        <v>18</v>
      </c>
      <c r="L12532" s="8">
        <v>39987.315405092595</v>
      </c>
      <c r="M12532" s="9" t="s">
        <v>19</v>
      </c>
      <c r="N12532" s="9" t="s">
        <v>20</v>
      </c>
      <c r="O12532" s="6" t="str">
        <f>HYPERLINK("https://pbs.twimg.com/profile_images/962471262747529216/Uo8lOkRJ_normal.jpg","View")</f>
        <v>View</v>
      </c>
      <c r="P12532" s="7"/>
    </row>
    <row r="12533" spans="1:16">
      <c r="A12533" s="3">
        <v>44170.768657407403</v>
      </c>
      <c r="B12533" s="4" t="str">
        <f>HYPERLINK("https://twitter.com/petrogustavo","@petrogustavo")</f>
        <v>@petrogustavo</v>
      </c>
      <c r="C12533" s="5" t="s">
        <v>16</v>
      </c>
      <c r="D12533" s="5" t="s">
        <v>12065</v>
      </c>
      <c r="E12533" s="6" t="str">
        <f>HYPERLINK("https://twitter.com/petrogustavo/status/1335206506715869184","1335206506715869184")</f>
        <v>1335206506715869184</v>
      </c>
      <c r="F12533" s="7" t="s">
        <v>17</v>
      </c>
      <c r="G12533" s="7">
        <v>4015881</v>
      </c>
      <c r="H12533" s="7">
        <v>2468</v>
      </c>
      <c r="I12533" s="7">
        <v>159</v>
      </c>
      <c r="J12533" s="7">
        <v>481</v>
      </c>
      <c r="K12533" s="7" t="s">
        <v>18</v>
      </c>
      <c r="L12533" s="8">
        <v>39987.315405092595</v>
      </c>
      <c r="M12533" s="9" t="s">
        <v>19</v>
      </c>
      <c r="N12533" s="9" t="s">
        <v>20</v>
      </c>
      <c r="O12533" s="6" t="str">
        <f>HYPERLINK("https://pbs.twimg.com/profile_images/962471262747529216/Uo8lOkRJ_normal.jpg","View")</f>
        <v>View</v>
      </c>
      <c r="P12533" s="7"/>
    </row>
    <row r="12534" spans="1:16">
      <c r="A12534" s="3">
        <v>44170.77915509259</v>
      </c>
      <c r="B12534" s="4" t="str">
        <f>HYPERLINK("https://twitter.com/petrogustavo","@petrogustavo")</f>
        <v>@petrogustavo</v>
      </c>
      <c r="C12534" s="5" t="s">
        <v>16</v>
      </c>
      <c r="D12534" s="5" t="s">
        <v>12066</v>
      </c>
      <c r="E12534" s="6" t="str">
        <f>HYPERLINK("https://twitter.com/petrogustavo/status/1335210309078888449","1335210309078888449")</f>
        <v>1335210309078888449</v>
      </c>
      <c r="F12534" s="7" t="s">
        <v>17</v>
      </c>
      <c r="G12534" s="7">
        <v>4015881</v>
      </c>
      <c r="H12534" s="7">
        <v>2468</v>
      </c>
      <c r="I12534" s="7">
        <v>50</v>
      </c>
      <c r="J12534" s="7">
        <v>113</v>
      </c>
      <c r="K12534" s="7" t="s">
        <v>18</v>
      </c>
      <c r="L12534" s="8">
        <v>39987.315405092595</v>
      </c>
      <c r="M12534" s="9" t="s">
        <v>19</v>
      </c>
      <c r="N12534" s="9" t="s">
        <v>20</v>
      </c>
      <c r="O12534" s="6" t="str">
        <f>HYPERLINK("https://pbs.twimg.com/profile_images/962471262747529216/Uo8lOkRJ_normal.jpg","View")</f>
        <v>View</v>
      </c>
      <c r="P12534" s="7"/>
    </row>
    <row r="12535" spans="1:16">
      <c r="A12535" s="3">
        <v>44170.781388888892</v>
      </c>
      <c r="B12535" s="4" t="str">
        <f>HYPERLINK("https://twitter.com/petrogustavo","@petrogustavo")</f>
        <v>@petrogustavo</v>
      </c>
      <c r="C12535" s="5" t="s">
        <v>16</v>
      </c>
      <c r="D12535" s="5" t="s">
        <v>12067</v>
      </c>
      <c r="E12535" s="6" t="str">
        <f>HYPERLINK("https://twitter.com/petrogustavo/status/1335211117283577857","1335211117283577857")</f>
        <v>1335211117283577857</v>
      </c>
      <c r="F12535" s="7" t="s">
        <v>17</v>
      </c>
      <c r="G12535" s="7">
        <v>4015881</v>
      </c>
      <c r="H12535" s="7">
        <v>2468</v>
      </c>
      <c r="I12535" s="7">
        <v>20</v>
      </c>
      <c r="J12535" s="7">
        <v>52</v>
      </c>
      <c r="K12535" s="7" t="s">
        <v>18</v>
      </c>
      <c r="L12535" s="8">
        <v>39987.315405092595</v>
      </c>
      <c r="M12535" s="9" t="s">
        <v>19</v>
      </c>
      <c r="N12535" s="9" t="s">
        <v>20</v>
      </c>
      <c r="O12535" s="6" t="str">
        <f>HYPERLINK("https://pbs.twimg.com/profile_images/962471262747529216/Uo8lOkRJ_normal.jpg","View")</f>
        <v>View</v>
      </c>
      <c r="P12535" s="7"/>
    </row>
    <row r="12536" spans="1:16">
      <c r="A12536" s="3">
        <v>44170.785902777774</v>
      </c>
      <c r="B12536" s="4" t="str">
        <f>HYPERLINK("https://twitter.com/petrogustavo","@petrogustavo")</f>
        <v>@petrogustavo</v>
      </c>
      <c r="C12536" s="5" t="s">
        <v>16</v>
      </c>
      <c r="D12536" s="5" t="s">
        <v>12068</v>
      </c>
      <c r="E12536" s="6" t="str">
        <f>HYPERLINK("https://twitter.com/petrogustavo/status/1335212755503239168","1335212755503239168")</f>
        <v>1335212755503239168</v>
      </c>
      <c r="F12536" s="7" t="s">
        <v>17</v>
      </c>
      <c r="G12536" s="7">
        <v>4015877</v>
      </c>
      <c r="H12536" s="7">
        <v>2468</v>
      </c>
      <c r="I12536" s="7">
        <v>23</v>
      </c>
      <c r="J12536" s="7">
        <v>0</v>
      </c>
      <c r="K12536" s="7" t="s">
        <v>18</v>
      </c>
      <c r="L12536" s="8">
        <v>39987.315405092595</v>
      </c>
      <c r="M12536" s="9" t="s">
        <v>19</v>
      </c>
      <c r="N12536" s="9" t="s">
        <v>20</v>
      </c>
      <c r="O12536" s="6" t="str">
        <f>HYPERLINK("https://pbs.twimg.com/profile_images/962471262747529216/Uo8lOkRJ_normal.jpg","View")</f>
        <v>View</v>
      </c>
      <c r="P12536" s="7"/>
    </row>
    <row r="12537" spans="1:16">
      <c r="A12537" s="3">
        <v>44170.787395833337</v>
      </c>
      <c r="B12537" s="4" t="str">
        <f>HYPERLINK("https://twitter.com/petrogustavo","@petrogustavo")</f>
        <v>@petrogustavo</v>
      </c>
      <c r="C12537" s="5" t="s">
        <v>16</v>
      </c>
      <c r="D12537" s="5" t="s">
        <v>12069</v>
      </c>
      <c r="E12537" s="6" t="str">
        <f>HYPERLINK("https://twitter.com/petrogustavo/status/1335213297185009666","1335213297185009666")</f>
        <v>1335213297185009666</v>
      </c>
      <c r="F12537" s="7" t="s">
        <v>17</v>
      </c>
      <c r="G12537" s="7">
        <v>4015877</v>
      </c>
      <c r="H12537" s="7">
        <v>2468</v>
      </c>
      <c r="I12537" s="7">
        <v>33</v>
      </c>
      <c r="J12537" s="7">
        <v>137</v>
      </c>
      <c r="K12537" s="7" t="s">
        <v>18</v>
      </c>
      <c r="L12537" s="8">
        <v>39987.315405092595</v>
      </c>
      <c r="M12537" s="9" t="s">
        <v>19</v>
      </c>
      <c r="N12537" s="9" t="s">
        <v>20</v>
      </c>
      <c r="O12537" s="6" t="str">
        <f>HYPERLINK("https://pbs.twimg.com/profile_images/962471262747529216/Uo8lOkRJ_normal.jpg","View")</f>
        <v>View</v>
      </c>
      <c r="P12537" s="7"/>
    </row>
    <row r="12538" spans="1:16">
      <c r="A12538" s="3">
        <v>44170.789513888885</v>
      </c>
      <c r="B12538" s="4" t="str">
        <f>HYPERLINK("https://twitter.com/petrogustavo","@petrogustavo")</f>
        <v>@petrogustavo</v>
      </c>
      <c r="C12538" s="5" t="s">
        <v>16</v>
      </c>
      <c r="D12538" s="5" t="s">
        <v>12070</v>
      </c>
      <c r="E12538" s="6" t="str">
        <f>HYPERLINK("https://twitter.com/petrogustavo/status/1335214064377733122","1335214064377733122")</f>
        <v>1335214064377733122</v>
      </c>
      <c r="F12538" s="7" t="s">
        <v>17</v>
      </c>
      <c r="G12538" s="7">
        <v>4015877</v>
      </c>
      <c r="H12538" s="7">
        <v>2468</v>
      </c>
      <c r="I12538" s="7">
        <v>93</v>
      </c>
      <c r="J12538" s="7">
        <v>0</v>
      </c>
      <c r="K12538" s="7" t="s">
        <v>18</v>
      </c>
      <c r="L12538" s="8">
        <v>39987.315405092595</v>
      </c>
      <c r="M12538" s="9" t="s">
        <v>19</v>
      </c>
      <c r="N12538" s="9" t="s">
        <v>20</v>
      </c>
      <c r="O12538" s="6" t="str">
        <f>HYPERLINK("https://pbs.twimg.com/profile_images/962471262747529216/Uo8lOkRJ_normal.jpg","View")</f>
        <v>View</v>
      </c>
      <c r="P12538" s="7"/>
    </row>
    <row r="12539" spans="1:16">
      <c r="A12539" s="3">
        <v>44170.790856481486</v>
      </c>
      <c r="B12539" s="4" t="str">
        <f>HYPERLINK("https://twitter.com/petrogustavo","@petrogustavo")</f>
        <v>@petrogustavo</v>
      </c>
      <c r="C12539" s="5" t="s">
        <v>16</v>
      </c>
      <c r="D12539" s="5" t="s">
        <v>12071</v>
      </c>
      <c r="E12539" s="6" t="str">
        <f>HYPERLINK("https://twitter.com/petrogustavo/status/1335214550799540225","1335214550799540225")</f>
        <v>1335214550799540225</v>
      </c>
      <c r="F12539" s="7" t="s">
        <v>17</v>
      </c>
      <c r="G12539" s="7">
        <v>4015877</v>
      </c>
      <c r="H12539" s="7">
        <v>2468</v>
      </c>
      <c r="I12539" s="7">
        <v>93</v>
      </c>
      <c r="J12539" s="7">
        <v>432</v>
      </c>
      <c r="K12539" s="7" t="s">
        <v>18</v>
      </c>
      <c r="L12539" s="8">
        <v>39987.315405092595</v>
      </c>
      <c r="M12539" s="9" t="s">
        <v>19</v>
      </c>
      <c r="N12539" s="9" t="s">
        <v>20</v>
      </c>
      <c r="O12539" s="6" t="str">
        <f>HYPERLINK("https://pbs.twimg.com/profile_images/962471262747529216/Uo8lOkRJ_normal.jpg","View")</f>
        <v>View</v>
      </c>
      <c r="P12539" s="7"/>
    </row>
    <row r="12540" spans="1:16">
      <c r="A12540" s="3">
        <v>44170.792638888888</v>
      </c>
      <c r="B12540" s="4" t="str">
        <f>HYPERLINK("https://twitter.com/petrogustavo","@petrogustavo")</f>
        <v>@petrogustavo</v>
      </c>
      <c r="C12540" s="5" t="s">
        <v>16</v>
      </c>
      <c r="D12540" s="5" t="s">
        <v>12072</v>
      </c>
      <c r="E12540" s="6" t="str">
        <f>HYPERLINK("https://twitter.com/petrogustavo/status/1335215197640925187","1335215197640925187")</f>
        <v>1335215197640925187</v>
      </c>
      <c r="F12540" s="7" t="s">
        <v>17</v>
      </c>
      <c r="G12540" s="7">
        <v>4015877</v>
      </c>
      <c r="H12540" s="7">
        <v>2468</v>
      </c>
      <c r="I12540" s="7">
        <v>170</v>
      </c>
      <c r="J12540" s="7">
        <v>675</v>
      </c>
      <c r="K12540" s="7" t="s">
        <v>18</v>
      </c>
      <c r="L12540" s="8">
        <v>39987.315405092595</v>
      </c>
      <c r="M12540" s="9" t="s">
        <v>19</v>
      </c>
      <c r="N12540" s="9" t="s">
        <v>20</v>
      </c>
      <c r="O12540" s="6" t="str">
        <f>HYPERLINK("https://pbs.twimg.com/profile_images/962471262747529216/Uo8lOkRJ_normal.jpg","View")</f>
        <v>View</v>
      </c>
      <c r="P12540" s="7"/>
    </row>
    <row r="12541" spans="1:16">
      <c r="A12541" s="3">
        <v>44170.795775462961</v>
      </c>
      <c r="B12541" s="4" t="str">
        <f>HYPERLINK("https://twitter.com/petrogustavo","@petrogustavo")</f>
        <v>@petrogustavo</v>
      </c>
      <c r="C12541" s="5" t="s">
        <v>16</v>
      </c>
      <c r="D12541" s="5" t="s">
        <v>12073</v>
      </c>
      <c r="E12541" s="6" t="str">
        <f>HYPERLINK("https://twitter.com/petrogustavo/status/1335216331684261888","1335216331684261888")</f>
        <v>1335216331684261888</v>
      </c>
      <c r="F12541" s="7" t="s">
        <v>17</v>
      </c>
      <c r="G12541" s="7">
        <v>4015877</v>
      </c>
      <c r="H12541" s="7">
        <v>2468</v>
      </c>
      <c r="I12541" s="7">
        <v>55</v>
      </c>
      <c r="J12541" s="7">
        <v>160</v>
      </c>
      <c r="K12541" s="7" t="s">
        <v>18</v>
      </c>
      <c r="L12541" s="8">
        <v>39987.315405092595</v>
      </c>
      <c r="M12541" s="9" t="s">
        <v>19</v>
      </c>
      <c r="N12541" s="9" t="s">
        <v>20</v>
      </c>
      <c r="O12541" s="6" t="str">
        <f>HYPERLINK("https://pbs.twimg.com/profile_images/962471262747529216/Uo8lOkRJ_normal.jpg","View")</f>
        <v>View</v>
      </c>
      <c r="P12541" s="7"/>
    </row>
    <row r="12542" spans="1:16">
      <c r="A12542" s="3">
        <v>44170.79886574074</v>
      </c>
      <c r="B12542" s="4" t="str">
        <f>HYPERLINK("https://twitter.com/petrogustavo","@petrogustavo")</f>
        <v>@petrogustavo</v>
      </c>
      <c r="C12542" s="5" t="s">
        <v>16</v>
      </c>
      <c r="D12542" s="5" t="s">
        <v>12074</v>
      </c>
      <c r="E12542" s="6" t="str">
        <f>HYPERLINK("https://twitter.com/petrogustavo/status/1335217452549017602","1335217452549017602")</f>
        <v>1335217452549017602</v>
      </c>
      <c r="F12542" s="7" t="s">
        <v>17</v>
      </c>
      <c r="G12542" s="7">
        <v>4015877</v>
      </c>
      <c r="H12542" s="7">
        <v>2468</v>
      </c>
      <c r="I12542" s="7">
        <v>43</v>
      </c>
      <c r="J12542" s="7">
        <v>170</v>
      </c>
      <c r="K12542" s="7" t="s">
        <v>18</v>
      </c>
      <c r="L12542" s="8">
        <v>39987.315405092595</v>
      </c>
      <c r="M12542" s="9" t="s">
        <v>19</v>
      </c>
      <c r="N12542" s="9" t="s">
        <v>20</v>
      </c>
      <c r="O12542" s="6" t="str">
        <f>HYPERLINK("https://pbs.twimg.com/profile_images/962471262747529216/Uo8lOkRJ_normal.jpg","View")</f>
        <v>View</v>
      </c>
      <c r="P12542" s="7"/>
    </row>
    <row r="12543" spans="1:16">
      <c r="A12543" s="3">
        <v>44170.801203703704</v>
      </c>
      <c r="B12543" s="4" t="str">
        <f>HYPERLINK("https://twitter.com/petrogustavo","@petrogustavo")</f>
        <v>@petrogustavo</v>
      </c>
      <c r="C12543" s="5" t="s">
        <v>16</v>
      </c>
      <c r="D12543" s="5" t="s">
        <v>12075</v>
      </c>
      <c r="E12543" s="6" t="str">
        <f>HYPERLINK("https://twitter.com/petrogustavo/status/1335218301245513729","1335218301245513729")</f>
        <v>1335218301245513729</v>
      </c>
      <c r="F12543" s="7" t="s">
        <v>17</v>
      </c>
      <c r="G12543" s="7">
        <v>4015877</v>
      </c>
      <c r="H12543" s="7">
        <v>2468</v>
      </c>
      <c r="I12543" s="7">
        <v>26</v>
      </c>
      <c r="J12543" s="7">
        <v>63</v>
      </c>
      <c r="K12543" s="7" t="s">
        <v>18</v>
      </c>
      <c r="L12543" s="8">
        <v>39987.315405092595</v>
      </c>
      <c r="M12543" s="9" t="s">
        <v>19</v>
      </c>
      <c r="N12543" s="9" t="s">
        <v>20</v>
      </c>
      <c r="O12543" s="6" t="str">
        <f>HYPERLINK("https://pbs.twimg.com/profile_images/962471262747529216/Uo8lOkRJ_normal.jpg","View")</f>
        <v>View</v>
      </c>
      <c r="P12543" s="7"/>
    </row>
    <row r="12544" spans="1:16">
      <c r="A12544" s="3">
        <v>44170.807870370365</v>
      </c>
      <c r="B12544" s="4" t="str">
        <f>HYPERLINK("https://twitter.com/petrogustavo","@petrogustavo")</f>
        <v>@petrogustavo</v>
      </c>
      <c r="C12544" s="5" t="s">
        <v>16</v>
      </c>
      <c r="D12544" s="5" t="s">
        <v>12076</v>
      </c>
      <c r="E12544" s="6" t="str">
        <f>HYPERLINK("https://twitter.com/petrogustavo/status/1335220714492792833","1335220714492792833")</f>
        <v>1335220714492792833</v>
      </c>
      <c r="F12544" s="7" t="s">
        <v>32</v>
      </c>
      <c r="G12544" s="7">
        <v>4015879</v>
      </c>
      <c r="H12544" s="7">
        <v>2468</v>
      </c>
      <c r="I12544" s="7">
        <v>354</v>
      </c>
      <c r="J12544" s="7">
        <v>0</v>
      </c>
      <c r="K12544" s="7" t="s">
        <v>18</v>
      </c>
      <c r="L12544" s="8">
        <v>39987.315405092595</v>
      </c>
      <c r="M12544" s="9" t="s">
        <v>19</v>
      </c>
      <c r="N12544" s="9" t="s">
        <v>20</v>
      </c>
      <c r="O12544" s="6" t="str">
        <f>HYPERLINK("https://pbs.twimg.com/profile_images/962471262747529216/Uo8lOkRJ_normal.jpg","View")</f>
        <v>View</v>
      </c>
      <c r="P12544" s="7"/>
    </row>
    <row r="12545" spans="1:16">
      <c r="A12545" s="3">
        <v>44170.939027777778</v>
      </c>
      <c r="B12545" s="4" t="str">
        <f>HYPERLINK("https://twitter.com/petrogustavo","@petrogustavo")</f>
        <v>@petrogustavo</v>
      </c>
      <c r="C12545" s="5" t="s">
        <v>16</v>
      </c>
      <c r="D12545" s="5" t="s">
        <v>12077</v>
      </c>
      <c r="E12545" s="6" t="str">
        <f>HYPERLINK("https://twitter.com/petrogustavo/status/1335268244484190210","1335268244484190210")</f>
        <v>1335268244484190210</v>
      </c>
      <c r="F12545" s="7" t="s">
        <v>32</v>
      </c>
      <c r="G12545" s="7">
        <v>4015938</v>
      </c>
      <c r="H12545" s="7">
        <v>2468</v>
      </c>
      <c r="I12545" s="7">
        <v>142</v>
      </c>
      <c r="J12545" s="7">
        <v>0</v>
      </c>
      <c r="K12545" s="7" t="s">
        <v>18</v>
      </c>
      <c r="L12545" s="8">
        <v>39987.315405092595</v>
      </c>
      <c r="M12545" s="9" t="s">
        <v>19</v>
      </c>
      <c r="N12545" s="9" t="s">
        <v>20</v>
      </c>
      <c r="O12545" s="6" t="str">
        <f>HYPERLINK("https://pbs.twimg.com/profile_images/962471262747529216/Uo8lOkRJ_normal.jpg","View")</f>
        <v>View</v>
      </c>
      <c r="P12545" s="7"/>
    </row>
    <row r="12546" spans="1:16">
      <c r="A12546" s="3">
        <v>44171.067500000005</v>
      </c>
      <c r="B12546" s="4" t="str">
        <f>HYPERLINK("https://twitter.com/petrogustavo","@petrogustavo")</f>
        <v>@petrogustavo</v>
      </c>
      <c r="C12546" s="5" t="s">
        <v>16</v>
      </c>
      <c r="D12546" s="5" t="s">
        <v>12078</v>
      </c>
      <c r="E12546" s="6" t="str">
        <f>HYPERLINK("https://twitter.com/petrogustavo/status/1335314803624189953","1335314803624189953")</f>
        <v>1335314803624189953</v>
      </c>
      <c r="F12546" s="7" t="s">
        <v>32</v>
      </c>
      <c r="G12546" s="7">
        <v>4015973</v>
      </c>
      <c r="H12546" s="7">
        <v>2468</v>
      </c>
      <c r="I12546" s="7">
        <v>36</v>
      </c>
      <c r="J12546" s="7">
        <v>281</v>
      </c>
      <c r="K12546" s="7" t="s">
        <v>18</v>
      </c>
      <c r="L12546" s="8">
        <v>39987.315405092595</v>
      </c>
      <c r="M12546" s="9" t="s">
        <v>19</v>
      </c>
      <c r="N12546" s="9" t="s">
        <v>20</v>
      </c>
      <c r="O12546" s="6" t="str">
        <f>HYPERLINK("https://pbs.twimg.com/profile_images/962471262747529216/Uo8lOkRJ_normal.jpg","View")</f>
        <v>View</v>
      </c>
      <c r="P12546" s="7"/>
    </row>
    <row r="12547" spans="1:16">
      <c r="A12547" s="3">
        <v>44171.069803240738</v>
      </c>
      <c r="B12547" s="4" t="str">
        <f>HYPERLINK("https://twitter.com/petrogustavo","@petrogustavo")</f>
        <v>@petrogustavo</v>
      </c>
      <c r="C12547" s="5" t="s">
        <v>16</v>
      </c>
      <c r="D12547" s="5" t="s">
        <v>12079</v>
      </c>
      <c r="E12547" s="6" t="str">
        <f>HYPERLINK("https://twitter.com/petrogustavo/status/1335315638110347266","1335315638110347266")</f>
        <v>1335315638110347266</v>
      </c>
      <c r="F12547" s="7" t="s">
        <v>32</v>
      </c>
      <c r="G12547" s="7">
        <v>4015973</v>
      </c>
      <c r="H12547" s="7">
        <v>2468</v>
      </c>
      <c r="I12547" s="7">
        <v>48</v>
      </c>
      <c r="J12547" s="7">
        <v>110</v>
      </c>
      <c r="K12547" s="7" t="s">
        <v>18</v>
      </c>
      <c r="L12547" s="8">
        <v>39987.315405092595</v>
      </c>
      <c r="M12547" s="9" t="s">
        <v>19</v>
      </c>
      <c r="N12547" s="9" t="s">
        <v>20</v>
      </c>
      <c r="O12547" s="6" t="str">
        <f>HYPERLINK("https://pbs.twimg.com/profile_images/962471262747529216/Uo8lOkRJ_normal.jpg","View")</f>
        <v>View</v>
      </c>
      <c r="P12547" s="7"/>
    </row>
    <row r="12548" spans="1:16">
      <c r="A12548" s="3">
        <v>44171.071759259255</v>
      </c>
      <c r="B12548" s="4" t="str">
        <f>HYPERLINK("https://twitter.com/petrogustavo","@petrogustavo")</f>
        <v>@petrogustavo</v>
      </c>
      <c r="C12548" s="5" t="s">
        <v>16</v>
      </c>
      <c r="D12548" s="5" t="s">
        <v>12062</v>
      </c>
      <c r="E12548" s="6" t="str">
        <f>HYPERLINK("https://twitter.com/petrogustavo/status/1335316346461171712","1335316346461171712")</f>
        <v>1335316346461171712</v>
      </c>
      <c r="F12548" s="7" t="s">
        <v>32</v>
      </c>
      <c r="G12548" s="7">
        <v>4015973</v>
      </c>
      <c r="H12548" s="7">
        <v>2468</v>
      </c>
      <c r="I12548" s="7">
        <v>708</v>
      </c>
      <c r="J12548" s="7">
        <v>0</v>
      </c>
      <c r="K12548" s="7" t="s">
        <v>18</v>
      </c>
      <c r="L12548" s="8">
        <v>39987.315405092595</v>
      </c>
      <c r="M12548" s="9" t="s">
        <v>19</v>
      </c>
      <c r="N12548" s="9" t="s">
        <v>20</v>
      </c>
      <c r="O12548" s="6" t="str">
        <f>HYPERLINK("https://pbs.twimg.com/profile_images/962471262747529216/Uo8lOkRJ_normal.jpg","View")</f>
        <v>View</v>
      </c>
      <c r="P12548" s="7"/>
    </row>
    <row r="12549" spans="1:16">
      <c r="A12549" s="3">
        <v>44171.916331018518</v>
      </c>
      <c r="B12549" s="4" t="str">
        <f>HYPERLINK("https://twitter.com/petrogustavo","@petrogustavo")</f>
        <v>@petrogustavo</v>
      </c>
      <c r="C12549" s="5" t="s">
        <v>16</v>
      </c>
      <c r="D12549" s="5" t="s">
        <v>12080</v>
      </c>
      <c r="E12549" s="6" t="str">
        <f>HYPERLINK("https://twitter.com/petrogustavo/status/1335622407474671616","1335622407474671616")</f>
        <v>1335622407474671616</v>
      </c>
      <c r="F12549" s="7" t="s">
        <v>32</v>
      </c>
      <c r="G12549" s="7">
        <v>4016283</v>
      </c>
      <c r="H12549" s="7">
        <v>2468</v>
      </c>
      <c r="I12549" s="7">
        <v>54</v>
      </c>
      <c r="J12549" s="7">
        <v>143</v>
      </c>
      <c r="K12549" s="7" t="s">
        <v>18</v>
      </c>
      <c r="L12549" s="8">
        <v>39987.315405092595</v>
      </c>
      <c r="M12549" s="9" t="s">
        <v>19</v>
      </c>
      <c r="N12549" s="9" t="s">
        <v>20</v>
      </c>
      <c r="O12549" s="6" t="str">
        <f>HYPERLINK("https://pbs.twimg.com/profile_images/962471262747529216/Uo8lOkRJ_normal.jpg","View")</f>
        <v>View</v>
      </c>
      <c r="P12549" s="7"/>
    </row>
    <row r="12550" spans="1:16">
      <c r="A12550" s="3">
        <v>44171.917407407411</v>
      </c>
      <c r="B12550" s="4" t="str">
        <f>HYPERLINK("https://twitter.com/petrogustavo","@petrogustavo")</f>
        <v>@petrogustavo</v>
      </c>
      <c r="C12550" s="5" t="s">
        <v>16</v>
      </c>
      <c r="D12550" s="5" t="s">
        <v>12081</v>
      </c>
      <c r="E12550" s="6" t="str">
        <f>HYPERLINK("https://twitter.com/petrogustavo/status/1335622797691916290","1335622797691916290")</f>
        <v>1335622797691916290</v>
      </c>
      <c r="F12550" s="7" t="s">
        <v>32</v>
      </c>
      <c r="G12550" s="7">
        <v>4016283</v>
      </c>
      <c r="H12550" s="7">
        <v>2468</v>
      </c>
      <c r="I12550" s="7">
        <v>63</v>
      </c>
      <c r="J12550" s="7">
        <v>294</v>
      </c>
      <c r="K12550" s="7" t="s">
        <v>18</v>
      </c>
      <c r="L12550" s="8">
        <v>39987.315405092595</v>
      </c>
      <c r="M12550" s="9" t="s">
        <v>19</v>
      </c>
      <c r="N12550" s="9" t="s">
        <v>20</v>
      </c>
      <c r="O12550" s="6" t="str">
        <f>HYPERLINK("https://pbs.twimg.com/profile_images/962471262747529216/Uo8lOkRJ_normal.jpg","View")</f>
        <v>View</v>
      </c>
      <c r="P12550" s="7"/>
    </row>
    <row r="12551" spans="1:16">
      <c r="A12551" s="3">
        <v>44171.919456018513</v>
      </c>
      <c r="B12551" s="4" t="str">
        <f>HYPERLINK("https://twitter.com/petrogustavo","@petrogustavo")</f>
        <v>@petrogustavo</v>
      </c>
      <c r="C12551" s="5" t="s">
        <v>16</v>
      </c>
      <c r="D12551" s="5" t="s">
        <v>12082</v>
      </c>
      <c r="E12551" s="6" t="str">
        <f>HYPERLINK("https://twitter.com/petrogustavo/status/1335623541673365504","1335623541673365504")</f>
        <v>1335623541673365504</v>
      </c>
      <c r="F12551" s="7" t="s">
        <v>32</v>
      </c>
      <c r="G12551" s="7">
        <v>4016283</v>
      </c>
      <c r="H12551" s="7">
        <v>2468</v>
      </c>
      <c r="I12551" s="7">
        <v>56</v>
      </c>
      <c r="J12551" s="7">
        <v>138</v>
      </c>
      <c r="K12551" s="7" t="s">
        <v>18</v>
      </c>
      <c r="L12551" s="8">
        <v>39987.315405092595</v>
      </c>
      <c r="M12551" s="9" t="s">
        <v>19</v>
      </c>
      <c r="N12551" s="9" t="s">
        <v>20</v>
      </c>
      <c r="O12551" s="6" t="str">
        <f>HYPERLINK("https://pbs.twimg.com/profile_images/962471262747529216/Uo8lOkRJ_normal.jpg","View")</f>
        <v>View</v>
      </c>
      <c r="P12551" s="7"/>
    </row>
    <row r="12552" spans="1:16">
      <c r="A12552" s="3">
        <v>44171.920925925922</v>
      </c>
      <c r="B12552" s="4" t="str">
        <f>HYPERLINK("https://twitter.com/petrogustavo","@petrogustavo")</f>
        <v>@petrogustavo</v>
      </c>
      <c r="C12552" s="5" t="s">
        <v>16</v>
      </c>
      <c r="D12552" s="5" t="s">
        <v>12083</v>
      </c>
      <c r="E12552" s="6" t="str">
        <f>HYPERLINK("https://twitter.com/petrogustavo/status/1335624072798097409","1335624072798097409")</f>
        <v>1335624072798097409</v>
      </c>
      <c r="F12552" s="7" t="s">
        <v>32</v>
      </c>
      <c r="G12552" s="7">
        <v>4016283</v>
      </c>
      <c r="H12552" s="7">
        <v>2468</v>
      </c>
      <c r="I12552" s="7">
        <v>27</v>
      </c>
      <c r="J12552" s="7">
        <v>0</v>
      </c>
      <c r="K12552" s="7" t="s">
        <v>18</v>
      </c>
      <c r="L12552" s="8">
        <v>39987.315405092595</v>
      </c>
      <c r="M12552" s="9" t="s">
        <v>19</v>
      </c>
      <c r="N12552" s="9" t="s">
        <v>20</v>
      </c>
      <c r="O12552" s="6" t="str">
        <f>HYPERLINK("https://pbs.twimg.com/profile_images/962471262747529216/Uo8lOkRJ_normal.jpg","View")</f>
        <v>View</v>
      </c>
      <c r="P12552" s="7"/>
    </row>
    <row r="12553" spans="1:16">
      <c r="A12553" s="3">
        <v>44171.924317129626</v>
      </c>
      <c r="B12553" s="4" t="str">
        <f>HYPERLINK("https://twitter.com/petrogustavo","@petrogustavo")</f>
        <v>@petrogustavo</v>
      </c>
      <c r="C12553" s="5" t="s">
        <v>16</v>
      </c>
      <c r="D12553" s="5" t="s">
        <v>12084</v>
      </c>
      <c r="E12553" s="6" t="str">
        <f>HYPERLINK("https://twitter.com/petrogustavo/status/1335625304300204033","1335625304300204033")</f>
        <v>1335625304300204033</v>
      </c>
      <c r="F12553" s="7" t="s">
        <v>32</v>
      </c>
      <c r="G12553" s="7">
        <v>4016283</v>
      </c>
      <c r="H12553" s="7">
        <v>2468</v>
      </c>
      <c r="I12553" s="7">
        <v>1247</v>
      </c>
      <c r="J12553" s="7">
        <v>0</v>
      </c>
      <c r="K12553" s="7" t="s">
        <v>18</v>
      </c>
      <c r="L12553" s="8">
        <v>39987.315405092595</v>
      </c>
      <c r="M12553" s="9" t="s">
        <v>19</v>
      </c>
      <c r="N12553" s="9" t="s">
        <v>20</v>
      </c>
      <c r="O12553" s="6" t="str">
        <f>HYPERLINK("https://pbs.twimg.com/profile_images/962471262747529216/Uo8lOkRJ_normal.jpg","View")</f>
        <v>View</v>
      </c>
      <c r="P12553" s="7"/>
    </row>
    <row r="12554" spans="1:16">
      <c r="A12554" s="3">
        <v>44171.925671296296</v>
      </c>
      <c r="B12554" s="4" t="str">
        <f>HYPERLINK("https://twitter.com/petrogustavo","@petrogustavo")</f>
        <v>@petrogustavo</v>
      </c>
      <c r="C12554" s="5" t="s">
        <v>16</v>
      </c>
      <c r="D12554" s="5" t="s">
        <v>12085</v>
      </c>
      <c r="E12554" s="6" t="str">
        <f>HYPERLINK("https://twitter.com/petrogustavo/status/1335625795205795840","1335625795205795840")</f>
        <v>1335625795205795840</v>
      </c>
      <c r="F12554" s="7" t="s">
        <v>32</v>
      </c>
      <c r="G12554" s="7">
        <v>4016283</v>
      </c>
      <c r="H12554" s="7">
        <v>2468</v>
      </c>
      <c r="I12554" s="7">
        <v>396</v>
      </c>
      <c r="J12554" s="7">
        <v>0</v>
      </c>
      <c r="K12554" s="7" t="s">
        <v>18</v>
      </c>
      <c r="L12554" s="8">
        <v>39987.315405092595</v>
      </c>
      <c r="M12554" s="9" t="s">
        <v>19</v>
      </c>
      <c r="N12554" s="9" t="s">
        <v>20</v>
      </c>
      <c r="O12554" s="6" t="str">
        <f>HYPERLINK("https://pbs.twimg.com/profile_images/962471262747529216/Uo8lOkRJ_normal.jpg","View")</f>
        <v>View</v>
      </c>
      <c r="P12554" s="7"/>
    </row>
    <row r="12555" spans="1:16">
      <c r="A12555" s="3">
        <v>44171.93577546296</v>
      </c>
      <c r="B12555" s="4" t="str">
        <f>HYPERLINK("https://twitter.com/petrogustavo","@petrogustavo")</f>
        <v>@petrogustavo</v>
      </c>
      <c r="C12555" s="5" t="s">
        <v>16</v>
      </c>
      <c r="D12555" s="5" t="s">
        <v>12086</v>
      </c>
      <c r="E12555" s="6" t="str">
        <f>HYPERLINK("https://twitter.com/petrogustavo/status/1335629456489189376","1335629456489189376")</f>
        <v>1335629456489189376</v>
      </c>
      <c r="F12555" s="7" t="s">
        <v>32</v>
      </c>
      <c r="G12555" s="7">
        <v>4016298</v>
      </c>
      <c r="H12555" s="7">
        <v>2468</v>
      </c>
      <c r="I12555" s="7">
        <v>23</v>
      </c>
      <c r="J12555" s="7">
        <v>99</v>
      </c>
      <c r="K12555" s="7" t="s">
        <v>18</v>
      </c>
      <c r="L12555" s="8">
        <v>39987.315405092595</v>
      </c>
      <c r="M12555" s="9" t="s">
        <v>19</v>
      </c>
      <c r="N12555" s="9" t="s">
        <v>20</v>
      </c>
      <c r="O12555" s="6" t="str">
        <f>HYPERLINK("https://pbs.twimg.com/profile_images/962471262747529216/Uo8lOkRJ_normal.jpg","View")</f>
        <v>View</v>
      </c>
      <c r="P12555" s="7"/>
    </row>
    <row r="12556" spans="1:16">
      <c r="A12556" s="3">
        <v>44171.937384259261</v>
      </c>
      <c r="B12556" s="4" t="str">
        <f>HYPERLINK("https://twitter.com/petrogustavo","@petrogustavo")</f>
        <v>@petrogustavo</v>
      </c>
      <c r="C12556" s="5" t="s">
        <v>16</v>
      </c>
      <c r="D12556" s="5" t="s">
        <v>12087</v>
      </c>
      <c r="E12556" s="6" t="str">
        <f>HYPERLINK("https://twitter.com/petrogustavo/status/1335630038583140352","1335630038583140352")</f>
        <v>1335630038583140352</v>
      </c>
      <c r="F12556" s="7" t="s">
        <v>32</v>
      </c>
      <c r="G12556" s="7">
        <v>4016298</v>
      </c>
      <c r="H12556" s="7">
        <v>2468</v>
      </c>
      <c r="I12556" s="7">
        <v>80</v>
      </c>
      <c r="J12556" s="7">
        <v>640</v>
      </c>
      <c r="K12556" s="7" t="s">
        <v>18</v>
      </c>
      <c r="L12556" s="8">
        <v>39987.315405092595</v>
      </c>
      <c r="M12556" s="9" t="s">
        <v>19</v>
      </c>
      <c r="N12556" s="9" t="s">
        <v>20</v>
      </c>
      <c r="O12556" s="6" t="str">
        <f>HYPERLINK("https://pbs.twimg.com/profile_images/962471262747529216/Uo8lOkRJ_normal.jpg","View")</f>
        <v>View</v>
      </c>
      <c r="P12556" s="7"/>
    </row>
    <row r="12557" spans="1:16">
      <c r="A12557" s="3">
        <v>44171.941909722227</v>
      </c>
      <c r="B12557" s="4" t="str">
        <f>HYPERLINK("https://twitter.com/petrogustavo","@petrogustavo")</f>
        <v>@petrogustavo</v>
      </c>
      <c r="C12557" s="5" t="s">
        <v>16</v>
      </c>
      <c r="D12557" s="5" t="s">
        <v>12088</v>
      </c>
      <c r="E12557" s="6" t="str">
        <f>HYPERLINK("https://twitter.com/petrogustavo/status/1335631679017414659","1335631679017414659")</f>
        <v>1335631679017414659</v>
      </c>
      <c r="F12557" s="7" t="s">
        <v>32</v>
      </c>
      <c r="G12557" s="7">
        <v>4016298</v>
      </c>
      <c r="H12557" s="7">
        <v>2468</v>
      </c>
      <c r="I12557" s="7">
        <v>23</v>
      </c>
      <c r="J12557" s="7">
        <v>0</v>
      </c>
      <c r="K12557" s="7" t="s">
        <v>18</v>
      </c>
      <c r="L12557" s="8">
        <v>39987.315405092595</v>
      </c>
      <c r="M12557" s="9" t="s">
        <v>19</v>
      </c>
      <c r="N12557" s="9" t="s">
        <v>20</v>
      </c>
      <c r="O12557" s="6" t="str">
        <f>HYPERLINK("https://pbs.twimg.com/profile_images/962471262747529216/Uo8lOkRJ_normal.jpg","View")</f>
        <v>View</v>
      </c>
      <c r="P12557" s="7"/>
    </row>
    <row r="12558" spans="1:16">
      <c r="A12558" s="3">
        <v>44171.977847222224</v>
      </c>
      <c r="B12558" s="4" t="str">
        <f>HYPERLINK("https://twitter.com/petrogustavo","@petrogustavo")</f>
        <v>@petrogustavo</v>
      </c>
      <c r="C12558" s="5" t="s">
        <v>16</v>
      </c>
      <c r="D12558" s="5" t="s">
        <v>12089</v>
      </c>
      <c r="E12558" s="6" t="str">
        <f>HYPERLINK("https://twitter.com/petrogustavo/status/1335644700087300103","1335644700087300103")</f>
        <v>1335644700087300103</v>
      </c>
      <c r="F12558" s="7" t="s">
        <v>17</v>
      </c>
      <c r="G12558" s="7">
        <v>4016321</v>
      </c>
      <c r="H12558" s="7">
        <v>2468</v>
      </c>
      <c r="I12558" s="7">
        <v>49</v>
      </c>
      <c r="J12558" s="7">
        <v>136</v>
      </c>
      <c r="K12558" s="7" t="s">
        <v>18</v>
      </c>
      <c r="L12558" s="8">
        <v>39987.315405092595</v>
      </c>
      <c r="M12558" s="9" t="s">
        <v>19</v>
      </c>
      <c r="N12558" s="9" t="s">
        <v>20</v>
      </c>
      <c r="O12558" s="6" t="str">
        <f>HYPERLINK("https://pbs.twimg.com/profile_images/962471262747529216/Uo8lOkRJ_normal.jpg","View")</f>
        <v>View</v>
      </c>
      <c r="P12558" s="7"/>
    </row>
    <row r="12559" spans="1:16">
      <c r="A12559" s="3">
        <v>44172.129490740743</v>
      </c>
      <c r="B12559" s="4" t="str">
        <f>HYPERLINK("https://twitter.com/petrogustavo","@petrogustavo")</f>
        <v>@petrogustavo</v>
      </c>
      <c r="C12559" s="5" t="s">
        <v>16</v>
      </c>
      <c r="D12559" s="5" t="s">
        <v>12088</v>
      </c>
      <c r="E12559" s="6" t="str">
        <f>HYPERLINK("https://twitter.com/petrogustavo/status/1335699653862580224","1335699653862580224")</f>
        <v>1335699653862580224</v>
      </c>
      <c r="F12559" s="7" t="s">
        <v>32</v>
      </c>
      <c r="G12559" s="7">
        <v>4016338</v>
      </c>
      <c r="H12559" s="7">
        <v>2467</v>
      </c>
      <c r="I12559" s="7">
        <v>99</v>
      </c>
      <c r="J12559" s="7">
        <v>0</v>
      </c>
      <c r="K12559" s="7" t="s">
        <v>18</v>
      </c>
      <c r="L12559" s="8">
        <v>39987.315405092595</v>
      </c>
      <c r="M12559" s="9" t="s">
        <v>19</v>
      </c>
      <c r="N12559" s="9" t="s">
        <v>20</v>
      </c>
      <c r="O12559" s="6" t="str">
        <f>HYPERLINK("https://pbs.twimg.com/profile_images/962471262747529216/Uo8lOkRJ_normal.jpg","View")</f>
        <v>View</v>
      </c>
      <c r="P12559" s="7"/>
    </row>
    <row r="12560" spans="1:16">
      <c r="A12560" s="3">
        <v>44172.129641203705</v>
      </c>
      <c r="B12560" s="4" t="str">
        <f>HYPERLINK("https://twitter.com/petrogustavo","@petrogustavo")</f>
        <v>@petrogustavo</v>
      </c>
      <c r="C12560" s="5" t="s">
        <v>16</v>
      </c>
      <c r="D12560" s="5" t="s">
        <v>12090</v>
      </c>
      <c r="E12560" s="6" t="str">
        <f>HYPERLINK("https://twitter.com/petrogustavo/status/1335699711471325190","1335699711471325190")</f>
        <v>1335699711471325190</v>
      </c>
      <c r="F12560" s="7" t="s">
        <v>32</v>
      </c>
      <c r="G12560" s="7">
        <v>4016338</v>
      </c>
      <c r="H12560" s="7">
        <v>2467</v>
      </c>
      <c r="I12560" s="7">
        <v>203</v>
      </c>
      <c r="J12560" s="7">
        <v>0</v>
      </c>
      <c r="K12560" s="7" t="s">
        <v>18</v>
      </c>
      <c r="L12560" s="8">
        <v>39987.315405092595</v>
      </c>
      <c r="M12560" s="9" t="s">
        <v>19</v>
      </c>
      <c r="N12560" s="9" t="s">
        <v>20</v>
      </c>
      <c r="O12560" s="6" t="str">
        <f>HYPERLINK("https://pbs.twimg.com/profile_images/962471262747529216/Uo8lOkRJ_normal.jpg","View")</f>
        <v>View</v>
      </c>
      <c r="P12560" s="7"/>
    </row>
    <row r="12561" spans="1:16">
      <c r="A12561" s="3">
        <v>44172.235775462963</v>
      </c>
      <c r="B12561" s="4" t="str">
        <f>HYPERLINK("https://twitter.com/petrogustavo","@petrogustavo")</f>
        <v>@petrogustavo</v>
      </c>
      <c r="C12561" s="5" t="s">
        <v>16</v>
      </c>
      <c r="D12561" s="5" t="s">
        <v>12091</v>
      </c>
      <c r="E12561" s="6" t="str">
        <f>HYPERLINK("https://twitter.com/petrogustavo/status/1335738170097319937","1335738170097319937")</f>
        <v>1335738170097319937</v>
      </c>
      <c r="F12561" s="7" t="s">
        <v>22</v>
      </c>
      <c r="G12561" s="7">
        <v>4016373</v>
      </c>
      <c r="H12561" s="7">
        <v>2467</v>
      </c>
      <c r="I12561" s="7">
        <v>61</v>
      </c>
      <c r="J12561" s="7">
        <v>122</v>
      </c>
      <c r="K12561" s="7" t="s">
        <v>18</v>
      </c>
      <c r="L12561" s="8">
        <v>39987.315405092595</v>
      </c>
      <c r="M12561" s="9" t="s">
        <v>19</v>
      </c>
      <c r="N12561" s="9" t="s">
        <v>20</v>
      </c>
      <c r="O12561" s="6" t="str">
        <f>HYPERLINK("https://pbs.twimg.com/profile_images/962471262747529216/Uo8lOkRJ_normal.jpg","View")</f>
        <v>View</v>
      </c>
      <c r="P12561" s="7"/>
    </row>
    <row r="12562" spans="1:16">
      <c r="A12562" s="3">
        <v>44172.697835648149</v>
      </c>
      <c r="B12562" s="4" t="str">
        <f>HYPERLINK("https://twitter.com/petrogustavo","@petrogustavo")</f>
        <v>@petrogustavo</v>
      </c>
      <c r="C12562" s="5" t="s">
        <v>16</v>
      </c>
      <c r="D12562" s="5" t="s">
        <v>12092</v>
      </c>
      <c r="E12562" s="6" t="str">
        <f>HYPERLINK("https://twitter.com/petrogustavo/status/1335905617614172160","1335905617614172160")</f>
        <v>1335905617614172160</v>
      </c>
      <c r="F12562" s="7" t="s">
        <v>17</v>
      </c>
      <c r="G12562" s="7">
        <v>4016497</v>
      </c>
      <c r="H12562" s="7">
        <v>2467</v>
      </c>
      <c r="I12562" s="7">
        <v>844</v>
      </c>
      <c r="J12562" s="7">
        <v>0</v>
      </c>
      <c r="K12562" s="7" t="s">
        <v>18</v>
      </c>
      <c r="L12562" s="8">
        <v>39987.315405092595</v>
      </c>
      <c r="M12562" s="9" t="s">
        <v>19</v>
      </c>
      <c r="N12562" s="9" t="s">
        <v>20</v>
      </c>
      <c r="O12562" s="6" t="str">
        <f>HYPERLINK("https://pbs.twimg.com/profile_images/962471262747529216/Uo8lOkRJ_normal.jpg","View")</f>
        <v>View</v>
      </c>
      <c r="P12562" s="7"/>
    </row>
    <row r="12563" spans="1:16">
      <c r="A12563" s="3">
        <v>44172.716805555552</v>
      </c>
      <c r="B12563" s="4" t="str">
        <f>HYPERLINK("https://twitter.com/petrogustavo","@petrogustavo")</f>
        <v>@petrogustavo</v>
      </c>
      <c r="C12563" s="5" t="s">
        <v>16</v>
      </c>
      <c r="D12563" s="5" t="s">
        <v>12093</v>
      </c>
      <c r="E12563" s="6" t="str">
        <f>HYPERLINK("https://twitter.com/petrogustavo/status/1335912489213718528","1335912489213718528")</f>
        <v>1335912489213718528</v>
      </c>
      <c r="F12563" s="7" t="s">
        <v>17</v>
      </c>
      <c r="G12563" s="7">
        <v>4016509</v>
      </c>
      <c r="H12563" s="7">
        <v>2467</v>
      </c>
      <c r="I12563" s="7">
        <v>30</v>
      </c>
      <c r="J12563" s="7">
        <v>88</v>
      </c>
      <c r="K12563" s="7" t="s">
        <v>18</v>
      </c>
      <c r="L12563" s="8">
        <v>39987.315405092595</v>
      </c>
      <c r="M12563" s="9" t="s">
        <v>19</v>
      </c>
      <c r="N12563" s="9" t="s">
        <v>20</v>
      </c>
      <c r="O12563" s="6" t="str">
        <f>HYPERLINK("https://pbs.twimg.com/profile_images/962471262747529216/Uo8lOkRJ_normal.jpg","View")</f>
        <v>View</v>
      </c>
      <c r="P12563" s="7"/>
    </row>
    <row r="12564" spans="1:16">
      <c r="A12564" s="3">
        <v>44172.718854166669</v>
      </c>
      <c r="B12564" s="4" t="str">
        <f>HYPERLINK("https://twitter.com/petrogustavo","@petrogustavo")</f>
        <v>@petrogustavo</v>
      </c>
      <c r="C12564" s="5" t="s">
        <v>16</v>
      </c>
      <c r="D12564" s="5" t="s">
        <v>12094</v>
      </c>
      <c r="E12564" s="6" t="str">
        <f>HYPERLINK("https://twitter.com/petrogustavo/status/1335913232909922307","1335913232909922307")</f>
        <v>1335913232909922307</v>
      </c>
      <c r="F12564" s="7" t="s">
        <v>17</v>
      </c>
      <c r="G12564" s="7">
        <v>4016509</v>
      </c>
      <c r="H12564" s="7">
        <v>2467</v>
      </c>
      <c r="I12564" s="7">
        <v>12</v>
      </c>
      <c r="J12564" s="7">
        <v>57</v>
      </c>
      <c r="K12564" s="7" t="s">
        <v>18</v>
      </c>
      <c r="L12564" s="8">
        <v>39987.315405092595</v>
      </c>
      <c r="M12564" s="9" t="s">
        <v>19</v>
      </c>
      <c r="N12564" s="9" t="s">
        <v>20</v>
      </c>
      <c r="O12564" s="6" t="str">
        <f>HYPERLINK("https://pbs.twimg.com/profile_images/962471262747529216/Uo8lOkRJ_normal.jpg","View")</f>
        <v>View</v>
      </c>
      <c r="P12564" s="7"/>
    </row>
    <row r="12565" spans="1:16">
      <c r="A12565" s="3">
        <v>44172.719502314816</v>
      </c>
      <c r="B12565" s="4" t="str">
        <f>HYPERLINK("https://twitter.com/petrogustavo","@petrogustavo")</f>
        <v>@petrogustavo</v>
      </c>
      <c r="C12565" s="5" t="s">
        <v>16</v>
      </c>
      <c r="D12565" s="5" t="s">
        <v>12095</v>
      </c>
      <c r="E12565" s="6" t="str">
        <f>HYPERLINK("https://twitter.com/petrogustavo/status/1335913466318778368","1335913466318778368")</f>
        <v>1335913466318778368</v>
      </c>
      <c r="F12565" s="7" t="s">
        <v>17</v>
      </c>
      <c r="G12565" s="7">
        <v>4016509</v>
      </c>
      <c r="H12565" s="7">
        <v>2467</v>
      </c>
      <c r="I12565" s="7">
        <v>25</v>
      </c>
      <c r="J12565" s="7">
        <v>0</v>
      </c>
      <c r="K12565" s="7" t="s">
        <v>18</v>
      </c>
      <c r="L12565" s="8">
        <v>39987.315405092595</v>
      </c>
      <c r="M12565" s="9" t="s">
        <v>19</v>
      </c>
      <c r="N12565" s="9" t="s">
        <v>20</v>
      </c>
      <c r="O12565" s="6" t="str">
        <f>HYPERLINK("https://pbs.twimg.com/profile_images/962471262747529216/Uo8lOkRJ_normal.jpg","View")</f>
        <v>View</v>
      </c>
      <c r="P12565" s="7"/>
    </row>
    <row r="12566" spans="1:16">
      <c r="A12566" s="3">
        <v>44172.719780092593</v>
      </c>
      <c r="B12566" s="4" t="str">
        <f>HYPERLINK("https://twitter.com/petrogustavo","@petrogustavo")</f>
        <v>@petrogustavo</v>
      </c>
      <c r="C12566" s="5" t="s">
        <v>16</v>
      </c>
      <c r="D12566" s="5" t="s">
        <v>12096</v>
      </c>
      <c r="E12566" s="6" t="str">
        <f>HYPERLINK("https://twitter.com/petrogustavo/status/1335913568194195456","1335913568194195456")</f>
        <v>1335913568194195456</v>
      </c>
      <c r="F12566" s="7" t="s">
        <v>17</v>
      </c>
      <c r="G12566" s="7">
        <v>4016509</v>
      </c>
      <c r="H12566" s="7">
        <v>2467</v>
      </c>
      <c r="I12566" s="7">
        <v>48</v>
      </c>
      <c r="J12566" s="7">
        <v>0</v>
      </c>
      <c r="K12566" s="7" t="s">
        <v>18</v>
      </c>
      <c r="L12566" s="8">
        <v>39987.315405092595</v>
      </c>
      <c r="M12566" s="9" t="s">
        <v>19</v>
      </c>
      <c r="N12566" s="9" t="s">
        <v>20</v>
      </c>
      <c r="O12566" s="6" t="str">
        <f>HYPERLINK("https://pbs.twimg.com/profile_images/962471262747529216/Uo8lOkRJ_normal.jpg","View")</f>
        <v>View</v>
      </c>
      <c r="P12566" s="7"/>
    </row>
    <row r="12567" spans="1:16">
      <c r="A12567" s="3">
        <v>44172.723437499997</v>
      </c>
      <c r="B12567" s="4" t="str">
        <f>HYPERLINK("https://twitter.com/petrogustavo","@petrogustavo")</f>
        <v>@petrogustavo</v>
      </c>
      <c r="C12567" s="5" t="s">
        <v>16</v>
      </c>
      <c r="D12567" s="5" t="s">
        <v>12097</v>
      </c>
      <c r="E12567" s="6" t="str">
        <f>HYPERLINK("https://twitter.com/petrogustavo/status/1335914892495294466","1335914892495294466")</f>
        <v>1335914892495294466</v>
      </c>
      <c r="F12567" s="7" t="s">
        <v>17</v>
      </c>
      <c r="G12567" s="7">
        <v>4016521</v>
      </c>
      <c r="H12567" s="7">
        <v>2467</v>
      </c>
      <c r="I12567" s="7">
        <v>58</v>
      </c>
      <c r="J12567" s="7">
        <v>160</v>
      </c>
      <c r="K12567" s="7" t="s">
        <v>18</v>
      </c>
      <c r="L12567" s="8">
        <v>39987.315405092595</v>
      </c>
      <c r="M12567" s="9" t="s">
        <v>19</v>
      </c>
      <c r="N12567" s="9" t="s">
        <v>20</v>
      </c>
      <c r="O12567" s="6" t="str">
        <f>HYPERLINK("https://pbs.twimg.com/profile_images/962471262747529216/Uo8lOkRJ_normal.jpg","View")</f>
        <v>View</v>
      </c>
      <c r="P12567" s="7"/>
    </row>
    <row r="12568" spans="1:16">
      <c r="A12568" s="3">
        <v>44172.723692129628</v>
      </c>
      <c r="B12568" s="4" t="str">
        <f>HYPERLINK("https://twitter.com/petrogustavo","@petrogustavo")</f>
        <v>@petrogustavo</v>
      </c>
      <c r="C12568" s="5" t="s">
        <v>16</v>
      </c>
      <c r="D12568" s="5" t="s">
        <v>12098</v>
      </c>
      <c r="E12568" s="6" t="str">
        <f>HYPERLINK("https://twitter.com/petrogustavo/status/1335914986003161089","1335914986003161089")</f>
        <v>1335914986003161089</v>
      </c>
      <c r="F12568" s="7" t="s">
        <v>17</v>
      </c>
      <c r="G12568" s="7">
        <v>4016521</v>
      </c>
      <c r="H12568" s="7">
        <v>2467</v>
      </c>
      <c r="I12568" s="7">
        <v>112</v>
      </c>
      <c r="J12568" s="7">
        <v>0</v>
      </c>
      <c r="K12568" s="7" t="s">
        <v>18</v>
      </c>
      <c r="L12568" s="8">
        <v>39987.315405092595</v>
      </c>
      <c r="M12568" s="9" t="s">
        <v>19</v>
      </c>
      <c r="N12568" s="9" t="s">
        <v>20</v>
      </c>
      <c r="O12568" s="6" t="str">
        <f>HYPERLINK("https://pbs.twimg.com/profile_images/962471262747529216/Uo8lOkRJ_normal.jpg","View")</f>
        <v>View</v>
      </c>
      <c r="P12568" s="7"/>
    </row>
    <row r="12569" spans="1:16">
      <c r="A12569" s="3">
        <v>44172.729768518519</v>
      </c>
      <c r="B12569" s="4" t="str">
        <f>HYPERLINK("https://twitter.com/petrogustavo","@petrogustavo")</f>
        <v>@petrogustavo</v>
      </c>
      <c r="C12569" s="5" t="s">
        <v>16</v>
      </c>
      <c r="D12569" s="5" t="s">
        <v>12099</v>
      </c>
      <c r="E12569" s="6" t="str">
        <f>HYPERLINK("https://twitter.com/petrogustavo/status/1335917186641256448","1335917186641256448")</f>
        <v>1335917186641256448</v>
      </c>
      <c r="F12569" s="7" t="s">
        <v>17</v>
      </c>
      <c r="G12569" s="7">
        <v>4016521</v>
      </c>
      <c r="H12569" s="7">
        <v>2467</v>
      </c>
      <c r="I12569" s="7">
        <v>87</v>
      </c>
      <c r="J12569" s="7">
        <v>251</v>
      </c>
      <c r="K12569" s="7" t="s">
        <v>18</v>
      </c>
      <c r="L12569" s="8">
        <v>39987.315405092595</v>
      </c>
      <c r="M12569" s="9" t="s">
        <v>19</v>
      </c>
      <c r="N12569" s="9" t="s">
        <v>20</v>
      </c>
      <c r="O12569" s="6" t="str">
        <f>HYPERLINK("https://pbs.twimg.com/profile_images/962471262747529216/Uo8lOkRJ_normal.jpg","View")</f>
        <v>View</v>
      </c>
      <c r="P12569" s="7"/>
    </row>
    <row r="12570" spans="1:16">
      <c r="A12570" s="3">
        <v>44172.742592592593</v>
      </c>
      <c r="B12570" s="4" t="str">
        <f>HYPERLINK("https://twitter.com/petrogustavo","@petrogustavo")</f>
        <v>@petrogustavo</v>
      </c>
      <c r="C12570" s="5" t="s">
        <v>16</v>
      </c>
      <c r="D12570" s="5" t="s">
        <v>12100</v>
      </c>
      <c r="E12570" s="6" t="str">
        <f>HYPERLINK("https://twitter.com/petrogustavo/status/1335921835964239872","1335921835964239872")</f>
        <v>1335921835964239872</v>
      </c>
      <c r="F12570" s="7" t="s">
        <v>17</v>
      </c>
      <c r="G12570" s="7">
        <v>4016542</v>
      </c>
      <c r="H12570" s="7">
        <v>2467</v>
      </c>
      <c r="I12570" s="7">
        <v>137</v>
      </c>
      <c r="J12570" s="7">
        <v>436</v>
      </c>
      <c r="K12570" s="7" t="s">
        <v>18</v>
      </c>
      <c r="L12570" s="8">
        <v>39987.315405092595</v>
      </c>
      <c r="M12570" s="9" t="s">
        <v>19</v>
      </c>
      <c r="N12570" s="9" t="s">
        <v>20</v>
      </c>
      <c r="O12570" s="6" t="str">
        <f>HYPERLINK("https://pbs.twimg.com/profile_images/962471262747529216/Uo8lOkRJ_normal.jpg","View")</f>
        <v>View</v>
      </c>
      <c r="P12570" s="7"/>
    </row>
    <row r="12571" spans="1:16">
      <c r="A12571" s="3">
        <v>44172.817835648151</v>
      </c>
      <c r="B12571" s="4" t="str">
        <f>HYPERLINK("https://twitter.com/petrogustavo","@petrogustavo")</f>
        <v>@petrogustavo</v>
      </c>
      <c r="C12571" s="5" t="s">
        <v>16</v>
      </c>
      <c r="D12571" s="5" t="s">
        <v>12101</v>
      </c>
      <c r="E12571" s="6" t="str">
        <f>HYPERLINK("https://twitter.com/petrogustavo/status/1335949103205920770","1335949103205920770")</f>
        <v>1335949103205920770</v>
      </c>
      <c r="F12571" s="7" t="s">
        <v>32</v>
      </c>
      <c r="G12571" s="7">
        <v>4016548</v>
      </c>
      <c r="H12571" s="7">
        <v>2467</v>
      </c>
      <c r="I12571" s="7">
        <v>73</v>
      </c>
      <c r="J12571" s="7">
        <v>330</v>
      </c>
      <c r="K12571" s="7" t="s">
        <v>18</v>
      </c>
      <c r="L12571" s="8">
        <v>39987.315405092595</v>
      </c>
      <c r="M12571" s="9" t="s">
        <v>19</v>
      </c>
      <c r="N12571" s="9" t="s">
        <v>20</v>
      </c>
      <c r="O12571" s="6" t="str">
        <f>HYPERLINK("https://pbs.twimg.com/profile_images/962471262747529216/Uo8lOkRJ_normal.jpg","View")</f>
        <v>View</v>
      </c>
      <c r="P12571" s="7"/>
    </row>
    <row r="12572" spans="1:16">
      <c r="A12572" s="3">
        <v>44172.8200462963</v>
      </c>
      <c r="B12572" s="4" t="str">
        <f>HYPERLINK("https://twitter.com/petrogustavo","@petrogustavo")</f>
        <v>@petrogustavo</v>
      </c>
      <c r="C12572" s="5" t="s">
        <v>16</v>
      </c>
      <c r="D12572" s="5" t="s">
        <v>12102</v>
      </c>
      <c r="E12572" s="6" t="str">
        <f>HYPERLINK("https://twitter.com/petrogustavo/status/1335949902212423680","1335949902212423680")</f>
        <v>1335949902212423680</v>
      </c>
      <c r="F12572" s="7" t="s">
        <v>32</v>
      </c>
      <c r="G12572" s="7">
        <v>4016548</v>
      </c>
      <c r="H12572" s="7">
        <v>2467</v>
      </c>
      <c r="I12572" s="7">
        <v>14</v>
      </c>
      <c r="J12572" s="7">
        <v>59</v>
      </c>
      <c r="K12572" s="7" t="s">
        <v>18</v>
      </c>
      <c r="L12572" s="8">
        <v>39987.315405092595</v>
      </c>
      <c r="M12572" s="9" t="s">
        <v>19</v>
      </c>
      <c r="N12572" s="9" t="s">
        <v>20</v>
      </c>
      <c r="O12572" s="6" t="str">
        <f>HYPERLINK("https://pbs.twimg.com/profile_images/962471262747529216/Uo8lOkRJ_normal.jpg","View")</f>
        <v>View</v>
      </c>
      <c r="P12572" s="7"/>
    </row>
    <row r="12573" spans="1:16">
      <c r="A12573" s="3">
        <v>44172.823333333334</v>
      </c>
      <c r="B12573" s="4" t="str">
        <f>HYPERLINK("https://twitter.com/petrogustavo","@petrogustavo")</f>
        <v>@petrogustavo</v>
      </c>
      <c r="C12573" s="5" t="s">
        <v>16</v>
      </c>
      <c r="D12573" s="5" t="s">
        <v>12103</v>
      </c>
      <c r="E12573" s="6" t="str">
        <f>HYPERLINK("https://twitter.com/petrogustavo/status/1335951094292353025","1335951094292353025")</f>
        <v>1335951094292353025</v>
      </c>
      <c r="F12573" s="7" t="s">
        <v>32</v>
      </c>
      <c r="G12573" s="7">
        <v>4016548</v>
      </c>
      <c r="H12573" s="7">
        <v>2467</v>
      </c>
      <c r="I12573" s="7">
        <v>15</v>
      </c>
      <c r="J12573" s="7">
        <v>41</v>
      </c>
      <c r="K12573" s="7" t="s">
        <v>18</v>
      </c>
      <c r="L12573" s="8">
        <v>39987.315405092595</v>
      </c>
      <c r="M12573" s="9" t="s">
        <v>19</v>
      </c>
      <c r="N12573" s="9" t="s">
        <v>20</v>
      </c>
      <c r="O12573" s="6" t="str">
        <f>HYPERLINK("https://pbs.twimg.com/profile_images/962471262747529216/Uo8lOkRJ_normal.jpg","View")</f>
        <v>View</v>
      </c>
      <c r="P12573" s="7"/>
    </row>
    <row r="12574" spans="1:16">
      <c r="A12574" s="3">
        <v>44172.824745370366</v>
      </c>
      <c r="B12574" s="4" t="str">
        <f>HYPERLINK("https://twitter.com/petrogustavo","@petrogustavo")</f>
        <v>@petrogustavo</v>
      </c>
      <c r="C12574" s="5" t="s">
        <v>16</v>
      </c>
      <c r="D12574" s="5" t="s">
        <v>12104</v>
      </c>
      <c r="E12574" s="6" t="str">
        <f>HYPERLINK("https://twitter.com/petrogustavo/status/1335951606022594562","1335951606022594562")</f>
        <v>1335951606022594562</v>
      </c>
      <c r="F12574" s="7" t="s">
        <v>32</v>
      </c>
      <c r="G12574" s="7">
        <v>4016548</v>
      </c>
      <c r="H12574" s="7">
        <v>2467</v>
      </c>
      <c r="I12574" s="7">
        <v>4</v>
      </c>
      <c r="J12574" s="7">
        <v>9</v>
      </c>
      <c r="K12574" s="7" t="s">
        <v>18</v>
      </c>
      <c r="L12574" s="8">
        <v>39987.315405092595</v>
      </c>
      <c r="M12574" s="9" t="s">
        <v>19</v>
      </c>
      <c r="N12574" s="9" t="s">
        <v>20</v>
      </c>
      <c r="O12574" s="6" t="str">
        <f>HYPERLINK("https://pbs.twimg.com/profile_images/962471262747529216/Uo8lOkRJ_normal.jpg","View")</f>
        <v>View</v>
      </c>
      <c r="P12574" s="7"/>
    </row>
    <row r="12575" spans="1:16">
      <c r="A12575" s="3">
        <v>44172.829652777778</v>
      </c>
      <c r="B12575" s="4" t="str">
        <f>HYPERLINK("https://twitter.com/petrogustavo","@petrogustavo")</f>
        <v>@petrogustavo</v>
      </c>
      <c r="C12575" s="5" t="s">
        <v>16</v>
      </c>
      <c r="D12575" s="5" t="s">
        <v>12105</v>
      </c>
      <c r="E12575" s="6" t="str">
        <f>HYPERLINK("https://twitter.com/petrogustavo/status/1335953385783255041","1335953385783255041")</f>
        <v>1335953385783255041</v>
      </c>
      <c r="F12575" s="7" t="s">
        <v>32</v>
      </c>
      <c r="G12575" s="7">
        <v>4016551</v>
      </c>
      <c r="H12575" s="7">
        <v>2467</v>
      </c>
      <c r="I12575" s="7">
        <v>72</v>
      </c>
      <c r="J12575" s="7">
        <v>170</v>
      </c>
      <c r="K12575" s="7" t="s">
        <v>18</v>
      </c>
      <c r="L12575" s="8">
        <v>39987.315405092595</v>
      </c>
      <c r="M12575" s="9" t="s">
        <v>19</v>
      </c>
      <c r="N12575" s="9" t="s">
        <v>20</v>
      </c>
      <c r="O12575" s="6" t="str">
        <f>HYPERLINK("https://pbs.twimg.com/profile_images/962471262747529216/Uo8lOkRJ_normal.jpg","View")</f>
        <v>View</v>
      </c>
      <c r="P12575" s="7"/>
    </row>
    <row r="12576" spans="1:16">
      <c r="A12576" s="3">
        <v>44172.832592592589</v>
      </c>
      <c r="B12576" s="4" t="str">
        <f>HYPERLINK("https://twitter.com/petrogustavo","@petrogustavo")</f>
        <v>@petrogustavo</v>
      </c>
      <c r="C12576" s="5" t="s">
        <v>16</v>
      </c>
      <c r="D12576" s="5" t="s">
        <v>12106</v>
      </c>
      <c r="E12576" s="6" t="str">
        <f>HYPERLINK("https://twitter.com/petrogustavo/status/1335954451857805312","1335954451857805312")</f>
        <v>1335954451857805312</v>
      </c>
      <c r="F12576" s="7" t="s">
        <v>32</v>
      </c>
      <c r="G12576" s="7">
        <v>4016551</v>
      </c>
      <c r="H12576" s="7">
        <v>2467</v>
      </c>
      <c r="I12576" s="7">
        <v>95</v>
      </c>
      <c r="J12576" s="7">
        <v>431</v>
      </c>
      <c r="K12576" s="7" t="s">
        <v>18</v>
      </c>
      <c r="L12576" s="8">
        <v>39987.315405092595</v>
      </c>
      <c r="M12576" s="9" t="s">
        <v>19</v>
      </c>
      <c r="N12576" s="9" t="s">
        <v>20</v>
      </c>
      <c r="O12576" s="6" t="str">
        <f>HYPERLINK("https://pbs.twimg.com/profile_images/962471262747529216/Uo8lOkRJ_normal.jpg","View")</f>
        <v>View</v>
      </c>
      <c r="P12576" s="7"/>
    </row>
    <row r="12577" spans="1:16">
      <c r="A12577" s="3">
        <v>44172.838587962964</v>
      </c>
      <c r="B12577" s="4" t="str">
        <f>HYPERLINK("https://twitter.com/petrogustavo","@petrogustavo")</f>
        <v>@petrogustavo</v>
      </c>
      <c r="C12577" s="5" t="s">
        <v>16</v>
      </c>
      <c r="D12577" s="5" t="s">
        <v>12107</v>
      </c>
      <c r="E12577" s="6" t="str">
        <f>HYPERLINK("https://twitter.com/petrogustavo/status/1335956623626481667","1335956623626481667")</f>
        <v>1335956623626481667</v>
      </c>
      <c r="F12577" s="7" t="s">
        <v>32</v>
      </c>
      <c r="G12577" s="7">
        <v>4016551</v>
      </c>
      <c r="H12577" s="7">
        <v>2467</v>
      </c>
      <c r="I12577" s="7">
        <v>13</v>
      </c>
      <c r="J12577" s="7">
        <v>0</v>
      </c>
      <c r="K12577" s="7" t="s">
        <v>18</v>
      </c>
      <c r="L12577" s="8">
        <v>39987.315405092595</v>
      </c>
      <c r="M12577" s="9" t="s">
        <v>19</v>
      </c>
      <c r="N12577" s="9" t="s">
        <v>20</v>
      </c>
      <c r="O12577" s="6" t="str">
        <f>HYPERLINK("https://pbs.twimg.com/profile_images/962471262747529216/Uo8lOkRJ_normal.jpg","View")</f>
        <v>View</v>
      </c>
      <c r="P12577" s="7"/>
    </row>
    <row r="12578" spans="1:16">
      <c r="A12578" s="3">
        <v>44172.838842592595</v>
      </c>
      <c r="B12578" s="4" t="str">
        <f>HYPERLINK("https://twitter.com/petrogustavo","@petrogustavo")</f>
        <v>@petrogustavo</v>
      </c>
      <c r="C12578" s="5" t="s">
        <v>16</v>
      </c>
      <c r="D12578" s="5" t="s">
        <v>12108</v>
      </c>
      <c r="E12578" s="6" t="str">
        <f>HYPERLINK("https://twitter.com/petrogustavo/status/1335956713766178816","1335956713766178816")</f>
        <v>1335956713766178816</v>
      </c>
      <c r="F12578" s="7" t="s">
        <v>32</v>
      </c>
      <c r="G12578" s="7">
        <v>4016551</v>
      </c>
      <c r="H12578" s="7">
        <v>2467</v>
      </c>
      <c r="I12578" s="7">
        <v>176</v>
      </c>
      <c r="J12578" s="7">
        <v>0</v>
      </c>
      <c r="K12578" s="7" t="s">
        <v>18</v>
      </c>
      <c r="L12578" s="8">
        <v>39987.315405092595</v>
      </c>
      <c r="M12578" s="9" t="s">
        <v>19</v>
      </c>
      <c r="N12578" s="9" t="s">
        <v>20</v>
      </c>
      <c r="O12578" s="6" t="str">
        <f>HYPERLINK("https://pbs.twimg.com/profile_images/962471262747529216/Uo8lOkRJ_normal.jpg","View")</f>
        <v>View</v>
      </c>
      <c r="P12578" s="7"/>
    </row>
    <row r="12579" spans="1:16">
      <c r="A12579" s="3">
        <v>44172.841956018514</v>
      </c>
      <c r="B12579" s="4" t="str">
        <f>HYPERLINK("https://twitter.com/petrogustavo","@petrogustavo")</f>
        <v>@petrogustavo</v>
      </c>
      <c r="C12579" s="5" t="s">
        <v>16</v>
      </c>
      <c r="D12579" s="5" t="s">
        <v>28</v>
      </c>
      <c r="E12579" s="6" t="str">
        <f>HYPERLINK("https://twitter.com/petrogustavo/status/1335957842952671234","1335957842952671234")</f>
        <v>1335957842952671234</v>
      </c>
      <c r="F12579" s="7" t="s">
        <v>32</v>
      </c>
      <c r="G12579" s="7">
        <v>4016551</v>
      </c>
      <c r="H12579" s="7">
        <v>2467</v>
      </c>
      <c r="I12579" s="7">
        <v>1509</v>
      </c>
      <c r="J12579" s="7">
        <v>0</v>
      </c>
      <c r="K12579" s="7" t="s">
        <v>18</v>
      </c>
      <c r="L12579" s="8">
        <v>39987.315405092595</v>
      </c>
      <c r="M12579" s="9" t="s">
        <v>19</v>
      </c>
      <c r="N12579" s="9" t="s">
        <v>20</v>
      </c>
      <c r="O12579" s="6" t="str">
        <f>HYPERLINK("https://pbs.twimg.com/profile_images/962471262747529216/Uo8lOkRJ_normal.jpg","View")</f>
        <v>View</v>
      </c>
      <c r="P12579" s="7"/>
    </row>
    <row r="12580" spans="1:16">
      <c r="A12580" s="3">
        <v>44172.84443287037</v>
      </c>
      <c r="B12580" s="4" t="str">
        <f>HYPERLINK("https://twitter.com/petrogustavo","@petrogustavo")</f>
        <v>@petrogustavo</v>
      </c>
      <c r="C12580" s="5" t="s">
        <v>16</v>
      </c>
      <c r="D12580" s="5" t="s">
        <v>12109</v>
      </c>
      <c r="E12580" s="6" t="str">
        <f>HYPERLINK("https://twitter.com/petrogustavo/status/1335958743318671360","1335958743318671360")</f>
        <v>1335958743318671360</v>
      </c>
      <c r="F12580" s="7" t="s">
        <v>32</v>
      </c>
      <c r="G12580" s="7">
        <v>4016551</v>
      </c>
      <c r="H12580" s="7">
        <v>2467</v>
      </c>
      <c r="I12580" s="7">
        <v>6</v>
      </c>
      <c r="J12580" s="7">
        <v>23</v>
      </c>
      <c r="K12580" s="7" t="s">
        <v>18</v>
      </c>
      <c r="L12580" s="8">
        <v>39987.315405092595</v>
      </c>
      <c r="M12580" s="9" t="s">
        <v>19</v>
      </c>
      <c r="N12580" s="9" t="s">
        <v>20</v>
      </c>
      <c r="O12580" s="6" t="str">
        <f>HYPERLINK("https://pbs.twimg.com/profile_images/962471262747529216/Uo8lOkRJ_normal.jpg","View")</f>
        <v>View</v>
      </c>
      <c r="P12580" s="7"/>
    </row>
    <row r="12581" spans="1:16">
      <c r="A12581" s="3">
        <v>44172.844710648147</v>
      </c>
      <c r="B12581" s="4" t="str">
        <f>HYPERLINK("https://twitter.com/petrogustavo","@petrogustavo")</f>
        <v>@petrogustavo</v>
      </c>
      <c r="C12581" s="5" t="s">
        <v>16</v>
      </c>
      <c r="D12581" s="5" t="s">
        <v>12110</v>
      </c>
      <c r="E12581" s="6" t="str">
        <f>HYPERLINK("https://twitter.com/petrogustavo/status/1335958842761482240","1335958842761482240")</f>
        <v>1335958842761482240</v>
      </c>
      <c r="F12581" s="7" t="s">
        <v>32</v>
      </c>
      <c r="G12581" s="7">
        <v>4016551</v>
      </c>
      <c r="H12581" s="7">
        <v>2467</v>
      </c>
      <c r="I12581" s="7">
        <v>95</v>
      </c>
      <c r="J12581" s="7">
        <v>0</v>
      </c>
      <c r="K12581" s="7" t="s">
        <v>18</v>
      </c>
      <c r="L12581" s="8">
        <v>39987.315405092595</v>
      </c>
      <c r="M12581" s="9" t="s">
        <v>19</v>
      </c>
      <c r="N12581" s="9" t="s">
        <v>20</v>
      </c>
      <c r="O12581" s="6" t="str">
        <f>HYPERLINK("https://pbs.twimg.com/profile_images/962471262747529216/Uo8lOkRJ_normal.jpg","View")</f>
        <v>View</v>
      </c>
      <c r="P12581" s="7"/>
    </row>
    <row r="12582" spans="1:16">
      <c r="A12582" s="3">
        <v>44172.846493055556</v>
      </c>
      <c r="B12582" s="4" t="str">
        <f>HYPERLINK("https://twitter.com/petrogustavo","@petrogustavo")</f>
        <v>@petrogustavo</v>
      </c>
      <c r="C12582" s="5" t="s">
        <v>16</v>
      </c>
      <c r="D12582" s="5" t="s">
        <v>12111</v>
      </c>
      <c r="E12582" s="6" t="str">
        <f>HYPERLINK("https://twitter.com/petrogustavo/status/1335959488793350146","1335959488793350146")</f>
        <v>1335959488793350146</v>
      </c>
      <c r="F12582" s="7" t="s">
        <v>32</v>
      </c>
      <c r="G12582" s="7">
        <v>4016551</v>
      </c>
      <c r="H12582" s="7">
        <v>2466</v>
      </c>
      <c r="I12582" s="7">
        <v>155</v>
      </c>
      <c r="J12582" s="7">
        <v>0</v>
      </c>
      <c r="K12582" s="7" t="s">
        <v>18</v>
      </c>
      <c r="L12582" s="8">
        <v>39987.315405092595</v>
      </c>
      <c r="M12582" s="9" t="s">
        <v>19</v>
      </c>
      <c r="N12582" s="9" t="s">
        <v>20</v>
      </c>
      <c r="O12582" s="6" t="str">
        <f>HYPERLINK("https://pbs.twimg.com/profile_images/962471262747529216/Uo8lOkRJ_normal.jpg","View")</f>
        <v>View</v>
      </c>
      <c r="P12582" s="7"/>
    </row>
    <row r="12583" spans="1:16">
      <c r="A12583" s="3">
        <v>44172.864236111112</v>
      </c>
      <c r="B12583" s="4" t="str">
        <f>HYPERLINK("https://twitter.com/petrogustavo","@petrogustavo")</f>
        <v>@petrogustavo</v>
      </c>
      <c r="C12583" s="5" t="s">
        <v>16</v>
      </c>
      <c r="D12583" s="5" t="s">
        <v>12112</v>
      </c>
      <c r="E12583" s="6" t="str">
        <f>HYPERLINK("https://twitter.com/petrogustavo/status/1335965918460076033","1335965918460076033")</f>
        <v>1335965918460076033</v>
      </c>
      <c r="F12583" s="7" t="s">
        <v>32</v>
      </c>
      <c r="G12583" s="7">
        <v>4016551</v>
      </c>
      <c r="H12583" s="7">
        <v>2466</v>
      </c>
      <c r="I12583" s="7">
        <v>19</v>
      </c>
      <c r="J12583" s="7">
        <v>58</v>
      </c>
      <c r="K12583" s="7" t="s">
        <v>18</v>
      </c>
      <c r="L12583" s="8">
        <v>39987.315405092595</v>
      </c>
      <c r="M12583" s="9" t="s">
        <v>19</v>
      </c>
      <c r="N12583" s="9" t="s">
        <v>20</v>
      </c>
      <c r="O12583" s="6" t="str">
        <f>HYPERLINK("https://pbs.twimg.com/profile_images/962471262747529216/Uo8lOkRJ_normal.jpg","View")</f>
        <v>View</v>
      </c>
      <c r="P12583" s="7"/>
    </row>
    <row r="12584" spans="1:16">
      <c r="A12584" s="3">
        <v>44172.864247685182</v>
      </c>
      <c r="B12584" s="4" t="str">
        <f>HYPERLINK("https://twitter.com/petrogustavo","@petrogustavo")</f>
        <v>@petrogustavo</v>
      </c>
      <c r="C12584" s="5" t="s">
        <v>16</v>
      </c>
      <c r="D12584" s="5" t="s">
        <v>12113</v>
      </c>
      <c r="E12584" s="6" t="str">
        <f>HYPERLINK("https://twitter.com/petrogustavo/status/1335965920255242245","1335965920255242245")</f>
        <v>1335965920255242245</v>
      </c>
      <c r="F12584" s="7" t="s">
        <v>32</v>
      </c>
      <c r="G12584" s="7">
        <v>4016551</v>
      </c>
      <c r="H12584" s="7">
        <v>2466</v>
      </c>
      <c r="I12584" s="7">
        <v>3</v>
      </c>
      <c r="J12584" s="7">
        <v>12</v>
      </c>
      <c r="K12584" s="7" t="s">
        <v>18</v>
      </c>
      <c r="L12584" s="8">
        <v>39987.315405092595</v>
      </c>
      <c r="M12584" s="9" t="s">
        <v>19</v>
      </c>
      <c r="N12584" s="9" t="s">
        <v>20</v>
      </c>
      <c r="O12584" s="6" t="str">
        <f>HYPERLINK("https://pbs.twimg.com/profile_images/962471262747529216/Uo8lOkRJ_normal.jpg","View")</f>
        <v>View</v>
      </c>
      <c r="P12584" s="7"/>
    </row>
    <row r="12585" spans="1:16">
      <c r="A12585" s="3">
        <v>44172.864247685182</v>
      </c>
      <c r="B12585" s="4" t="str">
        <f>HYPERLINK("https://twitter.com/petrogustavo","@petrogustavo")</f>
        <v>@petrogustavo</v>
      </c>
      <c r="C12585" s="5" t="s">
        <v>16</v>
      </c>
      <c r="D12585" s="5" t="s">
        <v>12114</v>
      </c>
      <c r="E12585" s="6" t="str">
        <f>HYPERLINK("https://twitter.com/petrogustavo/status/1335965921756721154","1335965921756721154")</f>
        <v>1335965921756721154</v>
      </c>
      <c r="F12585" s="7" t="s">
        <v>32</v>
      </c>
      <c r="G12585" s="7">
        <v>4016551</v>
      </c>
      <c r="H12585" s="7">
        <v>2466</v>
      </c>
      <c r="I12585" s="7">
        <v>3</v>
      </c>
      <c r="J12585" s="7">
        <v>10</v>
      </c>
      <c r="K12585" s="7" t="s">
        <v>18</v>
      </c>
      <c r="L12585" s="8">
        <v>39987.315405092595</v>
      </c>
      <c r="M12585" s="9" t="s">
        <v>19</v>
      </c>
      <c r="N12585" s="9" t="s">
        <v>20</v>
      </c>
      <c r="O12585" s="6" t="str">
        <f>HYPERLINK("https://pbs.twimg.com/profile_images/962471262747529216/Uo8lOkRJ_normal.jpg","View")</f>
        <v>View</v>
      </c>
      <c r="P12585" s="7"/>
    </row>
    <row r="12586" spans="1:16">
      <c r="A12586" s="3">
        <v>44172.864247685182</v>
      </c>
      <c r="B12586" s="4" t="str">
        <f>HYPERLINK("https://twitter.com/petrogustavo","@petrogustavo")</f>
        <v>@petrogustavo</v>
      </c>
      <c r="C12586" s="5" t="s">
        <v>16</v>
      </c>
      <c r="D12586" s="5" t="s">
        <v>12115</v>
      </c>
      <c r="E12586" s="6" t="str">
        <f>HYPERLINK("https://twitter.com/petrogustavo/status/1335965923233193984","1335965923233193984")</f>
        <v>1335965923233193984</v>
      </c>
      <c r="F12586" s="7" t="s">
        <v>32</v>
      </c>
      <c r="G12586" s="7">
        <v>4016551</v>
      </c>
      <c r="H12586" s="7">
        <v>2466</v>
      </c>
      <c r="I12586" s="7">
        <v>3</v>
      </c>
      <c r="J12586" s="7">
        <v>10</v>
      </c>
      <c r="K12586" s="7" t="s">
        <v>18</v>
      </c>
      <c r="L12586" s="8">
        <v>39987.315405092595</v>
      </c>
      <c r="M12586" s="9" t="s">
        <v>19</v>
      </c>
      <c r="N12586" s="9" t="s">
        <v>20</v>
      </c>
      <c r="O12586" s="6" t="str">
        <f>HYPERLINK("https://pbs.twimg.com/profile_images/962471262747529216/Uo8lOkRJ_normal.jpg","View")</f>
        <v>View</v>
      </c>
      <c r="P12586" s="7"/>
    </row>
    <row r="12587" spans="1:16">
      <c r="A12587" s="3">
        <v>44172.864259259259</v>
      </c>
      <c r="B12587" s="4" t="str">
        <f>HYPERLINK("https://twitter.com/petrogustavo","@petrogustavo")</f>
        <v>@petrogustavo</v>
      </c>
      <c r="C12587" s="5" t="s">
        <v>16</v>
      </c>
      <c r="D12587" s="5" t="s">
        <v>12116</v>
      </c>
      <c r="E12587" s="6" t="str">
        <f>HYPERLINK("https://twitter.com/petrogustavo/status/1335965924655030274","1335965924655030274")</f>
        <v>1335965924655030274</v>
      </c>
      <c r="F12587" s="7" t="s">
        <v>32</v>
      </c>
      <c r="G12587" s="7">
        <v>4016551</v>
      </c>
      <c r="H12587" s="7">
        <v>2466</v>
      </c>
      <c r="I12587" s="7">
        <v>3</v>
      </c>
      <c r="J12587" s="7">
        <v>27</v>
      </c>
      <c r="K12587" s="7" t="s">
        <v>18</v>
      </c>
      <c r="L12587" s="8">
        <v>39987.315405092595</v>
      </c>
      <c r="M12587" s="9" t="s">
        <v>19</v>
      </c>
      <c r="N12587" s="9" t="s">
        <v>20</v>
      </c>
      <c r="O12587" s="6" t="str">
        <f>HYPERLINK("https://pbs.twimg.com/profile_images/962471262747529216/Uo8lOkRJ_normal.jpg","View")</f>
        <v>View</v>
      </c>
      <c r="P12587" s="7"/>
    </row>
    <row r="12588" spans="1:16">
      <c r="A12588" s="3">
        <v>44172.864259259259</v>
      </c>
      <c r="B12588" s="4" t="str">
        <f>HYPERLINK("https://twitter.com/petrogustavo","@petrogustavo")</f>
        <v>@petrogustavo</v>
      </c>
      <c r="C12588" s="5" t="s">
        <v>16</v>
      </c>
      <c r="D12588" s="5" t="s">
        <v>12117</v>
      </c>
      <c r="E12588" s="6" t="str">
        <f>HYPERLINK("https://twitter.com/petrogustavo/status/1335965925917462528","1335965925917462528")</f>
        <v>1335965925917462528</v>
      </c>
      <c r="F12588" s="7" t="s">
        <v>32</v>
      </c>
      <c r="G12588" s="7">
        <v>4016551</v>
      </c>
      <c r="H12588" s="7">
        <v>2466</v>
      </c>
      <c r="I12588" s="7">
        <v>4</v>
      </c>
      <c r="J12588" s="7">
        <v>31</v>
      </c>
      <c r="K12588" s="7" t="s">
        <v>18</v>
      </c>
      <c r="L12588" s="8">
        <v>39987.315405092595</v>
      </c>
      <c r="M12588" s="9" t="s">
        <v>19</v>
      </c>
      <c r="N12588" s="9" t="s">
        <v>20</v>
      </c>
      <c r="O12588" s="6" t="str">
        <f>HYPERLINK("https://pbs.twimg.com/profile_images/962471262747529216/Uo8lOkRJ_normal.jpg","View")</f>
        <v>View</v>
      </c>
      <c r="P12588" s="7"/>
    </row>
    <row r="12589" spans="1:16">
      <c r="A12589" s="3">
        <v>44172.864259259259</v>
      </c>
      <c r="B12589" s="4" t="str">
        <f>HYPERLINK("https://twitter.com/petrogustavo","@petrogustavo")</f>
        <v>@petrogustavo</v>
      </c>
      <c r="C12589" s="5" t="s">
        <v>16</v>
      </c>
      <c r="D12589" s="5" t="s">
        <v>12118</v>
      </c>
      <c r="E12589" s="6" t="str">
        <f>HYPERLINK("https://twitter.com/petrogustavo/status/1335965927209361413","1335965927209361413")</f>
        <v>1335965927209361413</v>
      </c>
      <c r="F12589" s="7" t="s">
        <v>32</v>
      </c>
      <c r="G12589" s="7">
        <v>4016551</v>
      </c>
      <c r="H12589" s="7">
        <v>2466</v>
      </c>
      <c r="I12589" s="7">
        <v>2</v>
      </c>
      <c r="J12589" s="7">
        <v>14</v>
      </c>
      <c r="K12589" s="7" t="s">
        <v>18</v>
      </c>
      <c r="L12589" s="8">
        <v>39987.315405092595</v>
      </c>
      <c r="M12589" s="9" t="s">
        <v>19</v>
      </c>
      <c r="N12589" s="9" t="s">
        <v>20</v>
      </c>
      <c r="O12589" s="6" t="str">
        <f>HYPERLINK("https://pbs.twimg.com/profile_images/962471262747529216/Uo8lOkRJ_normal.jpg","View")</f>
        <v>View</v>
      </c>
      <c r="P12589" s="7"/>
    </row>
    <row r="12590" spans="1:16">
      <c r="A12590" s="3">
        <v>44172.94666666667</v>
      </c>
      <c r="B12590" s="4" t="str">
        <f>HYPERLINK("https://twitter.com/petrogustavo","@petrogustavo")</f>
        <v>@petrogustavo</v>
      </c>
      <c r="C12590" s="5" t="s">
        <v>16</v>
      </c>
      <c r="D12590" s="5" t="s">
        <v>12119</v>
      </c>
      <c r="E12590" s="6" t="str">
        <f>HYPERLINK("https://twitter.com/petrogustavo/status/1335995788128882688","1335995788128882688")</f>
        <v>1335995788128882688</v>
      </c>
      <c r="F12590" s="7" t="s">
        <v>32</v>
      </c>
      <c r="G12590" s="7">
        <v>4016600</v>
      </c>
      <c r="H12590" s="7">
        <v>2466</v>
      </c>
      <c r="I12590" s="7">
        <v>65</v>
      </c>
      <c r="J12590" s="7">
        <v>0</v>
      </c>
      <c r="K12590" s="7" t="s">
        <v>18</v>
      </c>
      <c r="L12590" s="8">
        <v>39987.315405092595</v>
      </c>
      <c r="M12590" s="9" t="s">
        <v>19</v>
      </c>
      <c r="N12590" s="9" t="s">
        <v>20</v>
      </c>
      <c r="O12590" s="6" t="str">
        <f>HYPERLINK("https://pbs.twimg.com/profile_images/962471262747529216/Uo8lOkRJ_normal.jpg","View")</f>
        <v>View</v>
      </c>
      <c r="P12590" s="7"/>
    </row>
    <row r="12591" spans="1:16">
      <c r="A12591" s="3">
        <v>44172.948229166665</v>
      </c>
      <c r="B12591" s="4" t="str">
        <f>HYPERLINK("https://twitter.com/petrogustavo","@petrogustavo")</f>
        <v>@petrogustavo</v>
      </c>
      <c r="C12591" s="5" t="s">
        <v>16</v>
      </c>
      <c r="D12591" s="5" t="s">
        <v>12120</v>
      </c>
      <c r="E12591" s="6" t="str">
        <f>HYPERLINK("https://twitter.com/petrogustavo/status/1335996354733240322","1335996354733240322")</f>
        <v>1335996354733240322</v>
      </c>
      <c r="F12591" s="7" t="s">
        <v>32</v>
      </c>
      <c r="G12591" s="7">
        <v>4016600</v>
      </c>
      <c r="H12591" s="7">
        <v>2466</v>
      </c>
      <c r="I12591" s="7">
        <v>20</v>
      </c>
      <c r="J12591" s="7">
        <v>0</v>
      </c>
      <c r="K12591" s="7" t="s">
        <v>18</v>
      </c>
      <c r="L12591" s="8">
        <v>39987.315405092595</v>
      </c>
      <c r="M12591" s="9" t="s">
        <v>19</v>
      </c>
      <c r="N12591" s="9" t="s">
        <v>20</v>
      </c>
      <c r="O12591" s="6" t="str">
        <f>HYPERLINK("https://pbs.twimg.com/profile_images/962471262747529216/Uo8lOkRJ_normal.jpg","View")</f>
        <v>View</v>
      </c>
      <c r="P12591" s="7"/>
    </row>
    <row r="12592" spans="1:16">
      <c r="A12592" s="3">
        <v>44172.952280092592</v>
      </c>
      <c r="B12592" s="4" t="str">
        <f>HYPERLINK("https://twitter.com/petrogustavo","@petrogustavo")</f>
        <v>@petrogustavo</v>
      </c>
      <c r="C12592" s="5" t="s">
        <v>16</v>
      </c>
      <c r="D12592" s="5" t="s">
        <v>12121</v>
      </c>
      <c r="E12592" s="6" t="str">
        <f>HYPERLINK("https://twitter.com/petrogustavo/status/1335997823662366787","1335997823662366787")</f>
        <v>1335997823662366787</v>
      </c>
      <c r="F12592" s="7" t="s">
        <v>32</v>
      </c>
      <c r="G12592" s="7">
        <v>4016607</v>
      </c>
      <c r="H12592" s="7">
        <v>2466</v>
      </c>
      <c r="I12592" s="7">
        <v>70</v>
      </c>
      <c r="J12592" s="7">
        <v>282</v>
      </c>
      <c r="K12592" s="7" t="s">
        <v>18</v>
      </c>
      <c r="L12592" s="8">
        <v>39987.315405092595</v>
      </c>
      <c r="M12592" s="9" t="s">
        <v>19</v>
      </c>
      <c r="N12592" s="9" t="s">
        <v>20</v>
      </c>
      <c r="O12592" s="6" t="str">
        <f>HYPERLINK("https://pbs.twimg.com/profile_images/962471262747529216/Uo8lOkRJ_normal.jpg","View")</f>
        <v>View</v>
      </c>
      <c r="P12592" s="7"/>
    </row>
    <row r="12593" spans="1:16">
      <c r="A12593" s="3">
        <v>44172.952881944446</v>
      </c>
      <c r="B12593" s="4" t="str">
        <f>HYPERLINK("https://twitter.com/petrogustavo","@petrogustavo")</f>
        <v>@petrogustavo</v>
      </c>
      <c r="C12593" s="5" t="s">
        <v>16</v>
      </c>
      <c r="D12593" s="5" t="s">
        <v>12122</v>
      </c>
      <c r="E12593" s="6" t="str">
        <f>HYPERLINK("https://twitter.com/petrogustavo/status/1335998042957373441","1335998042957373441")</f>
        <v>1335998042957373441</v>
      </c>
      <c r="F12593" s="7" t="s">
        <v>32</v>
      </c>
      <c r="G12593" s="7">
        <v>4016607</v>
      </c>
      <c r="H12593" s="7">
        <v>2466</v>
      </c>
      <c r="I12593" s="7">
        <v>29</v>
      </c>
      <c r="J12593" s="7">
        <v>0</v>
      </c>
      <c r="K12593" s="7" t="s">
        <v>18</v>
      </c>
      <c r="L12593" s="8">
        <v>39987.315405092595</v>
      </c>
      <c r="M12593" s="9" t="s">
        <v>19</v>
      </c>
      <c r="N12593" s="9" t="s">
        <v>20</v>
      </c>
      <c r="O12593" s="6" t="str">
        <f>HYPERLINK("https://pbs.twimg.com/profile_images/962471262747529216/Uo8lOkRJ_normal.jpg","View")</f>
        <v>View</v>
      </c>
      <c r="P12593" s="7"/>
    </row>
    <row r="12594" spans="1:16">
      <c r="A12594" s="3">
        <v>44173.003148148149</v>
      </c>
      <c r="B12594" s="4" t="str">
        <f>HYPERLINK("https://twitter.com/petrogustavo","@petrogustavo")</f>
        <v>@petrogustavo</v>
      </c>
      <c r="C12594" s="5" t="s">
        <v>16</v>
      </c>
      <c r="D12594" s="5" t="s">
        <v>12123</v>
      </c>
      <c r="E12594" s="6" t="str">
        <f>HYPERLINK("https://twitter.com/petrogustavo/status/1336016256617558019","1336016256617558019")</f>
        <v>1336016256617558019</v>
      </c>
      <c r="F12594" s="7" t="s">
        <v>17</v>
      </c>
      <c r="G12594" s="7">
        <v>4016630</v>
      </c>
      <c r="H12594" s="7">
        <v>2466</v>
      </c>
      <c r="I12594" s="7">
        <v>143</v>
      </c>
      <c r="J12594" s="7">
        <v>463</v>
      </c>
      <c r="K12594" s="7" t="s">
        <v>18</v>
      </c>
      <c r="L12594" s="8">
        <v>39987.315405092595</v>
      </c>
      <c r="M12594" s="9" t="s">
        <v>19</v>
      </c>
      <c r="N12594" s="9" t="s">
        <v>20</v>
      </c>
      <c r="O12594" s="6" t="str">
        <f>HYPERLINK("https://pbs.twimg.com/profile_images/962471262747529216/Uo8lOkRJ_normal.jpg","View")</f>
        <v>View</v>
      </c>
      <c r="P12594" s="7"/>
    </row>
    <row r="12595" spans="1:16">
      <c r="A12595" s="3">
        <v>44173.055856481486</v>
      </c>
      <c r="B12595" s="4" t="str">
        <f>HYPERLINK("https://twitter.com/petrogustavo","@petrogustavo")</f>
        <v>@petrogustavo</v>
      </c>
      <c r="C12595" s="5" t="s">
        <v>16</v>
      </c>
      <c r="D12595" s="5" t="s">
        <v>12124</v>
      </c>
      <c r="E12595" s="6" t="str">
        <f>HYPERLINK("https://twitter.com/petrogustavo/status/1336035357201215488","1336035357201215488")</f>
        <v>1336035357201215488</v>
      </c>
      <c r="F12595" s="7" t="s">
        <v>32</v>
      </c>
      <c r="G12595" s="7">
        <v>4016653</v>
      </c>
      <c r="H12595" s="7">
        <v>2467</v>
      </c>
      <c r="I12595" s="7">
        <v>79</v>
      </c>
      <c r="J12595" s="7">
        <v>245</v>
      </c>
      <c r="K12595" s="7" t="s">
        <v>18</v>
      </c>
      <c r="L12595" s="8">
        <v>39987.315405092595</v>
      </c>
      <c r="M12595" s="9" t="s">
        <v>19</v>
      </c>
      <c r="N12595" s="9" t="s">
        <v>20</v>
      </c>
      <c r="O12595" s="6" t="str">
        <f>HYPERLINK("https://pbs.twimg.com/profile_images/962471262747529216/Uo8lOkRJ_normal.jpg","View")</f>
        <v>View</v>
      </c>
      <c r="P12595" s="7"/>
    </row>
    <row r="12596" spans="1:16">
      <c r="A12596" s="3">
        <v>44173.055868055555</v>
      </c>
      <c r="B12596" s="4" t="str">
        <f>HYPERLINK("https://twitter.com/petrogustavo","@petrogustavo")</f>
        <v>@petrogustavo</v>
      </c>
      <c r="C12596" s="5" t="s">
        <v>16</v>
      </c>
      <c r="D12596" s="5" t="s">
        <v>12125</v>
      </c>
      <c r="E12596" s="6" t="str">
        <f>HYPERLINK("https://twitter.com/petrogustavo/status/1336035360770568193","1336035360770568193")</f>
        <v>1336035360770568193</v>
      </c>
      <c r="F12596" s="7" t="s">
        <v>32</v>
      </c>
      <c r="G12596" s="7">
        <v>4016653</v>
      </c>
      <c r="H12596" s="7">
        <v>2467</v>
      </c>
      <c r="I12596" s="7">
        <v>15</v>
      </c>
      <c r="J12596" s="7">
        <v>40</v>
      </c>
      <c r="K12596" s="7" t="s">
        <v>18</v>
      </c>
      <c r="L12596" s="8">
        <v>39987.315405092595</v>
      </c>
      <c r="M12596" s="9" t="s">
        <v>19</v>
      </c>
      <c r="N12596" s="9" t="s">
        <v>20</v>
      </c>
      <c r="O12596" s="6" t="str">
        <f>HYPERLINK("https://pbs.twimg.com/profile_images/962471262747529216/Uo8lOkRJ_normal.jpg","View")</f>
        <v>View</v>
      </c>
      <c r="P12596" s="7"/>
    </row>
    <row r="12597" spans="1:16">
      <c r="A12597" s="3">
        <v>44173.055879629625</v>
      </c>
      <c r="B12597" s="4" t="str">
        <f>HYPERLINK("https://twitter.com/petrogustavo","@petrogustavo")</f>
        <v>@petrogustavo</v>
      </c>
      <c r="C12597" s="5" t="s">
        <v>16</v>
      </c>
      <c r="D12597" s="5" t="s">
        <v>12126</v>
      </c>
      <c r="E12597" s="6" t="str">
        <f>HYPERLINK("https://twitter.com/petrogustavo/status/1336035366495801348","1336035366495801348")</f>
        <v>1336035366495801348</v>
      </c>
      <c r="F12597" s="7" t="s">
        <v>32</v>
      </c>
      <c r="G12597" s="7">
        <v>4016653</v>
      </c>
      <c r="H12597" s="7">
        <v>2467</v>
      </c>
      <c r="I12597" s="7">
        <v>15</v>
      </c>
      <c r="J12597" s="7">
        <v>41</v>
      </c>
      <c r="K12597" s="7" t="s">
        <v>18</v>
      </c>
      <c r="L12597" s="8">
        <v>39987.315405092595</v>
      </c>
      <c r="M12597" s="9" t="s">
        <v>19</v>
      </c>
      <c r="N12597" s="9" t="s">
        <v>20</v>
      </c>
      <c r="O12597" s="6" t="str">
        <f>HYPERLINK("https://pbs.twimg.com/profile_images/962471262747529216/Uo8lOkRJ_normal.jpg","View")</f>
        <v>View</v>
      </c>
      <c r="P12597" s="7"/>
    </row>
    <row r="12598" spans="1:16">
      <c r="A12598" s="3">
        <v>44173.055891203709</v>
      </c>
      <c r="B12598" s="4" t="str">
        <f>HYPERLINK("https://twitter.com/petrogustavo","@petrogustavo")</f>
        <v>@petrogustavo</v>
      </c>
      <c r="C12598" s="5" t="s">
        <v>16</v>
      </c>
      <c r="D12598" s="5" t="s">
        <v>12127</v>
      </c>
      <c r="E12598" s="6" t="str">
        <f>HYPERLINK("https://twitter.com/petrogustavo/status/1336035371730219012","1336035371730219012")</f>
        <v>1336035371730219012</v>
      </c>
      <c r="F12598" s="7" t="s">
        <v>32</v>
      </c>
      <c r="G12598" s="7">
        <v>4016653</v>
      </c>
      <c r="H12598" s="7">
        <v>2467</v>
      </c>
      <c r="I12598" s="7">
        <v>18</v>
      </c>
      <c r="J12598" s="7">
        <v>45</v>
      </c>
      <c r="K12598" s="7" t="s">
        <v>18</v>
      </c>
      <c r="L12598" s="8">
        <v>39987.315405092595</v>
      </c>
      <c r="M12598" s="9" t="s">
        <v>19</v>
      </c>
      <c r="N12598" s="9" t="s">
        <v>20</v>
      </c>
      <c r="O12598" s="6" t="str">
        <f>HYPERLINK("https://pbs.twimg.com/profile_images/962471262747529216/Uo8lOkRJ_normal.jpg","View")</f>
        <v>View</v>
      </c>
      <c r="P12598" s="7"/>
    </row>
    <row r="12599" spans="1:16">
      <c r="A12599" s="3">
        <v>44173.055902777778</v>
      </c>
      <c r="B12599" s="4" t="str">
        <f>HYPERLINK("https://twitter.com/petrogustavo","@petrogustavo")</f>
        <v>@petrogustavo</v>
      </c>
      <c r="C12599" s="5" t="s">
        <v>16</v>
      </c>
      <c r="D12599" s="5" t="s">
        <v>12128</v>
      </c>
      <c r="E12599" s="6" t="str">
        <f>HYPERLINK("https://twitter.com/petrogustavo/status/1336035373617733633","1336035373617733633")</f>
        <v>1336035373617733633</v>
      </c>
      <c r="F12599" s="7" t="s">
        <v>32</v>
      </c>
      <c r="G12599" s="7">
        <v>4016653</v>
      </c>
      <c r="H12599" s="7">
        <v>2467</v>
      </c>
      <c r="I12599" s="7">
        <v>30</v>
      </c>
      <c r="J12599" s="7">
        <v>125</v>
      </c>
      <c r="K12599" s="7" t="s">
        <v>18</v>
      </c>
      <c r="L12599" s="8">
        <v>39987.315405092595</v>
      </c>
      <c r="M12599" s="9" t="s">
        <v>19</v>
      </c>
      <c r="N12599" s="9" t="s">
        <v>20</v>
      </c>
      <c r="O12599" s="6" t="str">
        <f>HYPERLINK("https://pbs.twimg.com/profile_images/962471262747529216/Uo8lOkRJ_normal.jpg","View")</f>
        <v>View</v>
      </c>
      <c r="P12599" s="7"/>
    </row>
    <row r="12600" spans="1:16">
      <c r="A12600" s="3">
        <v>44173.055902777778</v>
      </c>
      <c r="B12600" s="4" t="str">
        <f>HYPERLINK("https://twitter.com/petrogustavo","@petrogustavo")</f>
        <v>@petrogustavo</v>
      </c>
      <c r="C12600" s="5" t="s">
        <v>16</v>
      </c>
      <c r="D12600" s="5" t="s">
        <v>12129</v>
      </c>
      <c r="E12600" s="6" t="str">
        <f>HYPERLINK("https://twitter.com/petrogustavo/status/1336035374670499843","1336035374670499843")</f>
        <v>1336035374670499843</v>
      </c>
      <c r="F12600" s="7" t="s">
        <v>32</v>
      </c>
      <c r="G12600" s="7">
        <v>4016653</v>
      </c>
      <c r="H12600" s="7">
        <v>2467</v>
      </c>
      <c r="I12600" s="7">
        <v>33</v>
      </c>
      <c r="J12600" s="7">
        <v>138</v>
      </c>
      <c r="K12600" s="7" t="s">
        <v>18</v>
      </c>
      <c r="L12600" s="8">
        <v>39987.315405092595</v>
      </c>
      <c r="M12600" s="9" t="s">
        <v>19</v>
      </c>
      <c r="N12600" s="9" t="s">
        <v>20</v>
      </c>
      <c r="O12600" s="6" t="str">
        <f>HYPERLINK("https://pbs.twimg.com/profile_images/962471262747529216/Uo8lOkRJ_normal.jpg","View")</f>
        <v>View</v>
      </c>
      <c r="P12600" s="7"/>
    </row>
    <row r="12601" spans="1:16">
      <c r="A12601" s="3">
        <v>44173.158113425925</v>
      </c>
      <c r="B12601" s="4" t="str">
        <f>HYPERLINK("https://twitter.com/petrogustavo","@petrogustavo")</f>
        <v>@petrogustavo</v>
      </c>
      <c r="C12601" s="5" t="s">
        <v>16</v>
      </c>
      <c r="D12601" s="5" t="s">
        <v>12130</v>
      </c>
      <c r="E12601" s="6" t="str">
        <f>HYPERLINK("https://twitter.com/petrogustavo/status/1336072414103547906","1336072414103547906")</f>
        <v>1336072414103547906</v>
      </c>
      <c r="F12601" s="7" t="s">
        <v>17</v>
      </c>
      <c r="G12601" s="7">
        <v>4016709</v>
      </c>
      <c r="H12601" s="7">
        <v>2467</v>
      </c>
      <c r="I12601" s="7">
        <v>292</v>
      </c>
      <c r="J12601" s="7">
        <v>0</v>
      </c>
      <c r="K12601" s="7" t="s">
        <v>18</v>
      </c>
      <c r="L12601" s="8">
        <v>39987.315405092595</v>
      </c>
      <c r="M12601" s="9" t="s">
        <v>19</v>
      </c>
      <c r="N12601" s="9" t="s">
        <v>20</v>
      </c>
      <c r="O12601" s="6" t="str">
        <f>HYPERLINK("https://pbs.twimg.com/profile_images/962471262747529216/Uo8lOkRJ_normal.jpg","View")</f>
        <v>View</v>
      </c>
      <c r="P12601" s="7"/>
    </row>
    <row r="12602" spans="1:16">
      <c r="A12602" s="3">
        <v>44173.2502662037</v>
      </c>
      <c r="B12602" s="4" t="str">
        <f>HYPERLINK("https://twitter.com/petrogustavo","@petrogustavo")</f>
        <v>@petrogustavo</v>
      </c>
      <c r="C12602" s="5" t="s">
        <v>16</v>
      </c>
      <c r="D12602" s="5" t="s">
        <v>12131</v>
      </c>
      <c r="E12602" s="6" t="str">
        <f>HYPERLINK("https://twitter.com/petrogustavo/status/1336105808535367682","1336105808535367682")</f>
        <v>1336105808535367682</v>
      </c>
      <c r="F12602" s="7" t="s">
        <v>17</v>
      </c>
      <c r="G12602" s="7">
        <v>4016758</v>
      </c>
      <c r="H12602" s="7">
        <v>2467</v>
      </c>
      <c r="I12602" s="7">
        <v>438</v>
      </c>
      <c r="J12602" s="7">
        <v>0</v>
      </c>
      <c r="K12602" s="7" t="s">
        <v>18</v>
      </c>
      <c r="L12602" s="8">
        <v>39987.315405092595</v>
      </c>
      <c r="M12602" s="9" t="s">
        <v>19</v>
      </c>
      <c r="N12602" s="9" t="s">
        <v>20</v>
      </c>
      <c r="O12602" s="6" t="str">
        <f>HYPERLINK("https://pbs.twimg.com/profile_images/962471262747529216/Uo8lOkRJ_normal.jpg","View")</f>
        <v>View</v>
      </c>
      <c r="P12602" s="7"/>
    </row>
    <row r="12603" spans="1:16">
      <c r="A12603" s="3">
        <v>44173.251087962963</v>
      </c>
      <c r="B12603" s="4" t="str">
        <f>HYPERLINK("https://twitter.com/petrogustavo","@petrogustavo")</f>
        <v>@petrogustavo</v>
      </c>
      <c r="C12603" s="5" t="s">
        <v>16</v>
      </c>
      <c r="D12603" s="5" t="s">
        <v>12132</v>
      </c>
      <c r="E12603" s="6" t="str">
        <f>HYPERLINK("https://twitter.com/petrogustavo/status/1336106107899678720","1336106107899678720")</f>
        <v>1336106107899678720</v>
      </c>
      <c r="F12603" s="7" t="s">
        <v>17</v>
      </c>
      <c r="G12603" s="7">
        <v>4016758</v>
      </c>
      <c r="H12603" s="7">
        <v>2467</v>
      </c>
      <c r="I12603" s="7">
        <v>233</v>
      </c>
      <c r="J12603" s="7">
        <v>0</v>
      </c>
      <c r="K12603" s="7" t="s">
        <v>18</v>
      </c>
      <c r="L12603" s="8">
        <v>39987.315405092595</v>
      </c>
      <c r="M12603" s="9" t="s">
        <v>19</v>
      </c>
      <c r="N12603" s="9" t="s">
        <v>20</v>
      </c>
      <c r="O12603" s="6" t="str">
        <f>HYPERLINK("https://pbs.twimg.com/profile_images/962471262747529216/Uo8lOkRJ_normal.jpg","View")</f>
        <v>View</v>
      </c>
      <c r="P12603" s="7"/>
    </row>
    <row r="12604" spans="1:16">
      <c r="A12604" s="3">
        <v>44173.257291666669</v>
      </c>
      <c r="B12604" s="4" t="str">
        <f>HYPERLINK("https://twitter.com/petrogustavo","@petrogustavo")</f>
        <v>@petrogustavo</v>
      </c>
      <c r="C12604" s="5" t="s">
        <v>16</v>
      </c>
      <c r="D12604" s="5" t="s">
        <v>12130</v>
      </c>
      <c r="E12604" s="6" t="str">
        <f>HYPERLINK("https://twitter.com/petrogustavo/status/1336108357212663808","1336108357212663808")</f>
        <v>1336108357212663808</v>
      </c>
      <c r="F12604" s="7" t="s">
        <v>17</v>
      </c>
      <c r="G12604" s="7">
        <v>4016758</v>
      </c>
      <c r="H12604" s="7">
        <v>2467</v>
      </c>
      <c r="I12604" s="7">
        <v>404</v>
      </c>
      <c r="J12604" s="7">
        <v>0</v>
      </c>
      <c r="K12604" s="7" t="s">
        <v>18</v>
      </c>
      <c r="L12604" s="8">
        <v>39987.315405092595</v>
      </c>
      <c r="M12604" s="9" t="s">
        <v>19</v>
      </c>
      <c r="N12604" s="9" t="s">
        <v>20</v>
      </c>
      <c r="O12604" s="6" t="str">
        <f>HYPERLINK("https://pbs.twimg.com/profile_images/962471262747529216/Uo8lOkRJ_normal.jpg","View")</f>
        <v>View</v>
      </c>
      <c r="P12604" s="7"/>
    </row>
    <row r="12605" spans="1:16">
      <c r="A12605" s="3">
        <v>44173.287326388891</v>
      </c>
      <c r="B12605" s="4" t="str">
        <f>HYPERLINK("https://twitter.com/petrogustavo","@petrogustavo")</f>
        <v>@petrogustavo</v>
      </c>
      <c r="C12605" s="5" t="s">
        <v>16</v>
      </c>
      <c r="D12605" s="5" t="s">
        <v>12133</v>
      </c>
      <c r="E12605" s="6" t="str">
        <f>HYPERLINK("https://twitter.com/petrogustavo/status/1336119239221129220","1336119239221129220")</f>
        <v>1336119239221129220</v>
      </c>
      <c r="F12605" s="7" t="s">
        <v>17</v>
      </c>
      <c r="G12605" s="7">
        <v>4016773</v>
      </c>
      <c r="H12605" s="7">
        <v>2467</v>
      </c>
      <c r="I12605" s="7">
        <v>37</v>
      </c>
      <c r="J12605" s="7">
        <v>0</v>
      </c>
      <c r="K12605" s="7" t="s">
        <v>18</v>
      </c>
      <c r="L12605" s="8">
        <v>39987.315405092595</v>
      </c>
      <c r="M12605" s="9" t="s">
        <v>19</v>
      </c>
      <c r="N12605" s="9" t="s">
        <v>20</v>
      </c>
      <c r="O12605" s="6" t="str">
        <f>HYPERLINK("https://pbs.twimg.com/profile_images/962471262747529216/Uo8lOkRJ_normal.jpg","View")</f>
        <v>View</v>
      </c>
      <c r="P12605" s="7"/>
    </row>
    <row r="12606" spans="1:16">
      <c r="A12606" s="3">
        <v>44173.290798611109</v>
      </c>
      <c r="B12606" s="4" t="str">
        <f>HYPERLINK("https://twitter.com/petrogustavo","@petrogustavo")</f>
        <v>@petrogustavo</v>
      </c>
      <c r="C12606" s="5" t="s">
        <v>16</v>
      </c>
      <c r="D12606" s="5" t="s">
        <v>12130</v>
      </c>
      <c r="E12606" s="6" t="str">
        <f>HYPERLINK("https://twitter.com/petrogustavo/status/1336120498653175808","1336120498653175808")</f>
        <v>1336120498653175808</v>
      </c>
      <c r="F12606" s="7" t="s">
        <v>17</v>
      </c>
      <c r="G12606" s="7">
        <v>4016773</v>
      </c>
      <c r="H12606" s="7">
        <v>2467</v>
      </c>
      <c r="I12606" s="7">
        <v>444</v>
      </c>
      <c r="J12606" s="7">
        <v>0</v>
      </c>
      <c r="K12606" s="7" t="s">
        <v>18</v>
      </c>
      <c r="L12606" s="8">
        <v>39987.315405092595</v>
      </c>
      <c r="M12606" s="9" t="s">
        <v>19</v>
      </c>
      <c r="N12606" s="9" t="s">
        <v>20</v>
      </c>
      <c r="O12606" s="6" t="str">
        <f>HYPERLINK("https://pbs.twimg.com/profile_images/962471262747529216/Uo8lOkRJ_normal.jpg","View")</f>
        <v>View</v>
      </c>
      <c r="P12606" s="7"/>
    </row>
    <row r="12607" spans="1:16">
      <c r="A12607" s="3">
        <v>44173.726365740746</v>
      </c>
      <c r="B12607" s="4" t="str">
        <f>HYPERLINK("https://twitter.com/petrogustavo","@petrogustavo")</f>
        <v>@petrogustavo</v>
      </c>
      <c r="C12607" s="5" t="s">
        <v>16</v>
      </c>
      <c r="D12607" s="5" t="s">
        <v>12134</v>
      </c>
      <c r="E12607" s="6" t="str">
        <f>HYPERLINK("https://twitter.com/petrogustavo/status/1336278341649895424","1336278341649895424")</f>
        <v>1336278341649895424</v>
      </c>
      <c r="F12607" s="7" t="s">
        <v>17</v>
      </c>
      <c r="G12607" s="7">
        <v>4016832</v>
      </c>
      <c r="H12607" s="7">
        <v>2467</v>
      </c>
      <c r="I12607" s="7">
        <v>133</v>
      </c>
      <c r="J12607" s="7">
        <v>383</v>
      </c>
      <c r="K12607" s="7" t="s">
        <v>18</v>
      </c>
      <c r="L12607" s="8">
        <v>39987.315405092595</v>
      </c>
      <c r="M12607" s="9" t="s">
        <v>19</v>
      </c>
      <c r="N12607" s="9" t="s">
        <v>20</v>
      </c>
      <c r="O12607" s="6" t="str">
        <f>HYPERLINK("https://pbs.twimg.com/profile_images/962471262747529216/Uo8lOkRJ_normal.jpg","View")</f>
        <v>View</v>
      </c>
      <c r="P12607" s="7"/>
    </row>
    <row r="12608" spans="1:16">
      <c r="A12608" s="3">
        <v>44173.729999999996</v>
      </c>
      <c r="B12608" s="4" t="str">
        <f>HYPERLINK("https://twitter.com/petrogustavo","@petrogustavo")</f>
        <v>@petrogustavo</v>
      </c>
      <c r="C12608" s="5" t="s">
        <v>16</v>
      </c>
      <c r="D12608" s="5" t="s">
        <v>12135</v>
      </c>
      <c r="E12608" s="6" t="str">
        <f>HYPERLINK("https://twitter.com/petrogustavo/status/1336279658325807108","1336279658325807108")</f>
        <v>1336279658325807108</v>
      </c>
      <c r="F12608" s="7" t="s">
        <v>17</v>
      </c>
      <c r="G12608" s="7">
        <v>4016832</v>
      </c>
      <c r="H12608" s="7">
        <v>2467</v>
      </c>
      <c r="I12608" s="7">
        <v>34</v>
      </c>
      <c r="J12608" s="7">
        <v>145</v>
      </c>
      <c r="K12608" s="7" t="s">
        <v>18</v>
      </c>
      <c r="L12608" s="8">
        <v>39987.315405092595</v>
      </c>
      <c r="M12608" s="9" t="s">
        <v>19</v>
      </c>
      <c r="N12608" s="9" t="s">
        <v>20</v>
      </c>
      <c r="O12608" s="6" t="str">
        <f>HYPERLINK("https://pbs.twimg.com/profile_images/962471262747529216/Uo8lOkRJ_normal.jpg","View")</f>
        <v>View</v>
      </c>
      <c r="P12608" s="7"/>
    </row>
    <row r="12609" spans="1:16">
      <c r="A12609" s="3">
        <v>44173.74590277778</v>
      </c>
      <c r="B12609" s="4" t="str">
        <f>HYPERLINK("https://twitter.com/petrogustavo","@petrogustavo")</f>
        <v>@petrogustavo</v>
      </c>
      <c r="C12609" s="5" t="s">
        <v>16</v>
      </c>
      <c r="D12609" s="5" t="s">
        <v>12136</v>
      </c>
      <c r="E12609" s="6" t="str">
        <f>HYPERLINK("https://twitter.com/petrogustavo/status/1336285421525987328","1336285421525987328")</f>
        <v>1336285421525987328</v>
      </c>
      <c r="F12609" s="7" t="s">
        <v>17</v>
      </c>
      <c r="G12609" s="7">
        <v>4016804</v>
      </c>
      <c r="H12609" s="7">
        <v>2467</v>
      </c>
      <c r="I12609" s="7">
        <v>21</v>
      </c>
      <c r="J12609" s="7">
        <v>102</v>
      </c>
      <c r="K12609" s="7" t="s">
        <v>18</v>
      </c>
      <c r="L12609" s="8">
        <v>39987.315405092595</v>
      </c>
      <c r="M12609" s="9" t="s">
        <v>19</v>
      </c>
      <c r="N12609" s="9" t="s">
        <v>20</v>
      </c>
      <c r="O12609" s="6" t="str">
        <f>HYPERLINK("https://pbs.twimg.com/profile_images/962471262747529216/Uo8lOkRJ_normal.jpg","View")</f>
        <v>View</v>
      </c>
      <c r="P12609" s="7"/>
    </row>
    <row r="12610" spans="1:16">
      <c r="A12610" s="3">
        <v>44173.747731481482</v>
      </c>
      <c r="B12610" s="4" t="str">
        <f>HYPERLINK("https://twitter.com/petrogustavo","@petrogustavo")</f>
        <v>@petrogustavo</v>
      </c>
      <c r="C12610" s="5" t="s">
        <v>16</v>
      </c>
      <c r="D12610" s="5" t="s">
        <v>12137</v>
      </c>
      <c r="E12610" s="6" t="str">
        <f>HYPERLINK("https://twitter.com/petrogustavo/status/1336286085719134211","1336286085719134211")</f>
        <v>1336286085719134211</v>
      </c>
      <c r="F12610" s="7" t="s">
        <v>17</v>
      </c>
      <c r="G12610" s="7">
        <v>4016804</v>
      </c>
      <c r="H12610" s="7">
        <v>2467</v>
      </c>
      <c r="I12610" s="7">
        <v>14</v>
      </c>
      <c r="J12610" s="7">
        <v>0</v>
      </c>
      <c r="K12610" s="7" t="s">
        <v>18</v>
      </c>
      <c r="L12610" s="8">
        <v>39987.315405092595</v>
      </c>
      <c r="M12610" s="9" t="s">
        <v>19</v>
      </c>
      <c r="N12610" s="9" t="s">
        <v>20</v>
      </c>
      <c r="O12610" s="6" t="str">
        <f>HYPERLINK("https://pbs.twimg.com/profile_images/962471262747529216/Uo8lOkRJ_normal.jpg","View")</f>
        <v>View</v>
      </c>
      <c r="P12610" s="7"/>
    </row>
    <row r="12611" spans="1:16">
      <c r="A12611" s="3">
        <v>44173.765474537038</v>
      </c>
      <c r="B12611" s="4" t="str">
        <f>HYPERLINK("https://twitter.com/petrogustavo","@petrogustavo")</f>
        <v>@petrogustavo</v>
      </c>
      <c r="C12611" s="5" t="s">
        <v>16</v>
      </c>
      <c r="D12611" s="5" t="s">
        <v>12138</v>
      </c>
      <c r="E12611" s="6" t="str">
        <f>HYPERLINK("https://twitter.com/petrogustavo/status/1336292514865745920","1336292514865745920")</f>
        <v>1336292514865745920</v>
      </c>
      <c r="F12611" s="7" t="s">
        <v>17</v>
      </c>
      <c r="G12611" s="7">
        <v>4016809</v>
      </c>
      <c r="H12611" s="7">
        <v>2467</v>
      </c>
      <c r="I12611" s="7">
        <v>31</v>
      </c>
      <c r="J12611" s="7">
        <v>98</v>
      </c>
      <c r="K12611" s="7" t="s">
        <v>18</v>
      </c>
      <c r="L12611" s="8">
        <v>39987.315405092595</v>
      </c>
      <c r="M12611" s="9" t="s">
        <v>19</v>
      </c>
      <c r="N12611" s="9" t="s">
        <v>20</v>
      </c>
      <c r="O12611" s="6" t="str">
        <f>HYPERLINK("https://pbs.twimg.com/profile_images/962471262747529216/Uo8lOkRJ_normal.jpg","View")</f>
        <v>View</v>
      </c>
      <c r="P12611" s="7"/>
    </row>
    <row r="12612" spans="1:16">
      <c r="A12612" s="3">
        <v>44173.789710648147</v>
      </c>
      <c r="B12612" s="4" t="str">
        <f>HYPERLINK("https://twitter.com/petrogustavo","@petrogustavo")</f>
        <v>@petrogustavo</v>
      </c>
      <c r="C12612" s="5" t="s">
        <v>16</v>
      </c>
      <c r="D12612" s="5" t="s">
        <v>12139</v>
      </c>
      <c r="E12612" s="6" t="str">
        <f>HYPERLINK("https://twitter.com/petrogustavo/status/1336301299294498816","1336301299294498816")</f>
        <v>1336301299294498816</v>
      </c>
      <c r="F12612" s="7" t="s">
        <v>32</v>
      </c>
      <c r="G12612" s="7">
        <v>4016825</v>
      </c>
      <c r="H12612" s="7">
        <v>2467</v>
      </c>
      <c r="I12612" s="7">
        <v>577</v>
      </c>
      <c r="J12612" s="7">
        <v>0</v>
      </c>
      <c r="K12612" s="7" t="s">
        <v>18</v>
      </c>
      <c r="L12612" s="8">
        <v>39987.315405092595</v>
      </c>
      <c r="M12612" s="9" t="s">
        <v>19</v>
      </c>
      <c r="N12612" s="9" t="s">
        <v>20</v>
      </c>
      <c r="O12612" s="6" t="str">
        <f>HYPERLINK("https://pbs.twimg.com/profile_images/962471262747529216/Uo8lOkRJ_normal.jpg","View")</f>
        <v>View</v>
      </c>
      <c r="P12612" s="7"/>
    </row>
    <row r="12613" spans="1:16">
      <c r="A12613" s="3">
        <v>44173.862986111111</v>
      </c>
      <c r="B12613" s="4" t="str">
        <f>HYPERLINK("https://twitter.com/petrogustavo","@petrogustavo")</f>
        <v>@petrogustavo</v>
      </c>
      <c r="C12613" s="5" t="s">
        <v>16</v>
      </c>
      <c r="D12613" s="5" t="s">
        <v>12140</v>
      </c>
      <c r="E12613" s="6" t="str">
        <f>HYPERLINK("https://twitter.com/petrogustavo/status/1336327850664755201","1336327850664755201")</f>
        <v>1336327850664755201</v>
      </c>
      <c r="F12613" s="7" t="s">
        <v>17</v>
      </c>
      <c r="G12613" s="7">
        <v>4016835</v>
      </c>
      <c r="H12613" s="7">
        <v>2467</v>
      </c>
      <c r="I12613" s="7">
        <v>102</v>
      </c>
      <c r="J12613" s="7">
        <v>0</v>
      </c>
      <c r="K12613" s="7" t="s">
        <v>18</v>
      </c>
      <c r="L12613" s="8">
        <v>39987.315405092595</v>
      </c>
      <c r="M12613" s="9" t="s">
        <v>19</v>
      </c>
      <c r="N12613" s="9" t="s">
        <v>20</v>
      </c>
      <c r="O12613" s="6" t="str">
        <f>HYPERLINK("https://pbs.twimg.com/profile_images/962471262747529216/Uo8lOkRJ_normal.jpg","View")</f>
        <v>View</v>
      </c>
      <c r="P12613" s="7"/>
    </row>
    <row r="12614" spans="1:16">
      <c r="A12614" s="3">
        <v>44173.86513888889</v>
      </c>
      <c r="B12614" s="4" t="str">
        <f>HYPERLINK("https://twitter.com/petrogustavo","@petrogustavo")</f>
        <v>@petrogustavo</v>
      </c>
      <c r="C12614" s="5" t="s">
        <v>16</v>
      </c>
      <c r="D12614" s="5" t="s">
        <v>12141</v>
      </c>
      <c r="E12614" s="6" t="str">
        <f>HYPERLINK("https://twitter.com/petrogustavo/status/1336328632571056128","1336328632571056128")</f>
        <v>1336328632571056128</v>
      </c>
      <c r="F12614" s="7" t="s">
        <v>17</v>
      </c>
      <c r="G12614" s="7">
        <v>4016835</v>
      </c>
      <c r="H12614" s="7">
        <v>2467</v>
      </c>
      <c r="I12614" s="7">
        <v>13</v>
      </c>
      <c r="J12614" s="7">
        <v>41</v>
      </c>
      <c r="K12614" s="7" t="s">
        <v>18</v>
      </c>
      <c r="L12614" s="8">
        <v>39987.315405092595</v>
      </c>
      <c r="M12614" s="9" t="s">
        <v>19</v>
      </c>
      <c r="N12614" s="9" t="s">
        <v>20</v>
      </c>
      <c r="O12614" s="6" t="str">
        <f>HYPERLINK("https://pbs.twimg.com/profile_images/962471262747529216/Uo8lOkRJ_normal.jpg","View")</f>
        <v>View</v>
      </c>
      <c r="P12614" s="7"/>
    </row>
    <row r="12615" spans="1:16">
      <c r="A12615" s="3">
        <v>44173.869976851856</v>
      </c>
      <c r="B12615" s="4" t="str">
        <f>HYPERLINK("https://twitter.com/petrogustavo","@petrogustavo")</f>
        <v>@petrogustavo</v>
      </c>
      <c r="C12615" s="5" t="s">
        <v>16</v>
      </c>
      <c r="D12615" s="5" t="s">
        <v>12142</v>
      </c>
      <c r="E12615" s="6" t="str">
        <f>HYPERLINK("https://twitter.com/petrogustavo/status/1336330387690156032","1336330387690156032")</f>
        <v>1336330387690156032</v>
      </c>
      <c r="F12615" s="7" t="s">
        <v>17</v>
      </c>
      <c r="G12615" s="7">
        <v>4016841</v>
      </c>
      <c r="H12615" s="7">
        <v>2467</v>
      </c>
      <c r="I12615" s="7">
        <v>41</v>
      </c>
      <c r="J12615" s="7">
        <v>96</v>
      </c>
      <c r="K12615" s="7" t="s">
        <v>18</v>
      </c>
      <c r="L12615" s="8">
        <v>39987.315405092595</v>
      </c>
      <c r="M12615" s="9" t="s">
        <v>19</v>
      </c>
      <c r="N12615" s="9" t="s">
        <v>20</v>
      </c>
      <c r="O12615" s="6" t="str">
        <f>HYPERLINK("https://pbs.twimg.com/profile_images/962471262747529216/Uo8lOkRJ_normal.jpg","View")</f>
        <v>View</v>
      </c>
      <c r="P12615" s="7"/>
    </row>
    <row r="12616" spans="1:16">
      <c r="A12616" s="3">
        <v>44173.876331018517</v>
      </c>
      <c r="B12616" s="4" t="str">
        <f>HYPERLINK("https://twitter.com/petrogustavo","@petrogustavo")</f>
        <v>@petrogustavo</v>
      </c>
      <c r="C12616" s="5" t="s">
        <v>16</v>
      </c>
      <c r="D12616" s="5" t="s">
        <v>12143</v>
      </c>
      <c r="E12616" s="6" t="str">
        <f>HYPERLINK("https://twitter.com/petrogustavo/status/1336332688345600004","1336332688345600004")</f>
        <v>1336332688345600004</v>
      </c>
      <c r="F12616" s="7" t="s">
        <v>17</v>
      </c>
      <c r="G12616" s="7">
        <v>4016841</v>
      </c>
      <c r="H12616" s="7">
        <v>2467</v>
      </c>
      <c r="I12616" s="7">
        <v>30</v>
      </c>
      <c r="J12616" s="7">
        <v>187</v>
      </c>
      <c r="K12616" s="7" t="s">
        <v>18</v>
      </c>
      <c r="L12616" s="8">
        <v>39987.315405092595</v>
      </c>
      <c r="M12616" s="9" t="s">
        <v>19</v>
      </c>
      <c r="N12616" s="9" t="s">
        <v>20</v>
      </c>
      <c r="O12616" s="6" t="str">
        <f>HYPERLINK("https://pbs.twimg.com/profile_images/962471262747529216/Uo8lOkRJ_normal.jpg","View")</f>
        <v>View</v>
      </c>
      <c r="P12616" s="7"/>
    </row>
    <row r="12617" spans="1:16">
      <c r="A12617" s="3">
        <v>44173.876331018517</v>
      </c>
      <c r="B12617" s="4" t="str">
        <f>HYPERLINK("https://twitter.com/petrogustavo","@petrogustavo")</f>
        <v>@petrogustavo</v>
      </c>
      <c r="C12617" s="5" t="s">
        <v>16</v>
      </c>
      <c r="D12617" s="5" t="s">
        <v>12144</v>
      </c>
      <c r="E12617" s="6" t="str">
        <f>HYPERLINK("https://twitter.com/petrogustavo/status/1336332689666760710","1336332689666760710")</f>
        <v>1336332689666760710</v>
      </c>
      <c r="F12617" s="7" t="s">
        <v>17</v>
      </c>
      <c r="G12617" s="7">
        <v>4016841</v>
      </c>
      <c r="H12617" s="7">
        <v>2467</v>
      </c>
      <c r="I12617" s="7">
        <v>25</v>
      </c>
      <c r="J12617" s="7">
        <v>145</v>
      </c>
      <c r="K12617" s="7" t="s">
        <v>18</v>
      </c>
      <c r="L12617" s="8">
        <v>39987.315405092595</v>
      </c>
      <c r="M12617" s="9" t="s">
        <v>19</v>
      </c>
      <c r="N12617" s="9" t="s">
        <v>20</v>
      </c>
      <c r="O12617" s="6" t="str">
        <f>HYPERLINK("https://pbs.twimg.com/profile_images/962471262747529216/Uo8lOkRJ_normal.jpg","View")</f>
        <v>View</v>
      </c>
      <c r="P12617" s="7"/>
    </row>
    <row r="12618" spans="1:16">
      <c r="A12618" s="3">
        <v>44173.876342592594</v>
      </c>
      <c r="B12618" s="4" t="str">
        <f>HYPERLINK("https://twitter.com/petrogustavo","@petrogustavo")</f>
        <v>@petrogustavo</v>
      </c>
      <c r="C12618" s="5" t="s">
        <v>16</v>
      </c>
      <c r="D12618" s="5" t="s">
        <v>12145</v>
      </c>
      <c r="E12618" s="6" t="str">
        <f>HYPERLINK("https://twitter.com/petrogustavo/status/1336332691474542603","1336332691474542603")</f>
        <v>1336332691474542603</v>
      </c>
      <c r="F12618" s="7" t="s">
        <v>17</v>
      </c>
      <c r="G12618" s="7">
        <v>4016841</v>
      </c>
      <c r="H12618" s="7">
        <v>2467</v>
      </c>
      <c r="I12618" s="7">
        <v>29</v>
      </c>
      <c r="J12618" s="7">
        <v>140</v>
      </c>
      <c r="K12618" s="7" t="s">
        <v>18</v>
      </c>
      <c r="L12618" s="8">
        <v>39987.315405092595</v>
      </c>
      <c r="M12618" s="9" t="s">
        <v>19</v>
      </c>
      <c r="N12618" s="9" t="s">
        <v>20</v>
      </c>
      <c r="O12618" s="6" t="str">
        <f>HYPERLINK("https://pbs.twimg.com/profile_images/962471262747529216/Uo8lOkRJ_normal.jpg","View")</f>
        <v>View</v>
      </c>
      <c r="P12618" s="7"/>
    </row>
    <row r="12619" spans="1:16">
      <c r="A12619" s="3">
        <v>44173.888657407406</v>
      </c>
      <c r="B12619" s="4" t="str">
        <f>HYPERLINK("https://twitter.com/petrogustavo","@petrogustavo")</f>
        <v>@petrogustavo</v>
      </c>
      <c r="C12619" s="5" t="s">
        <v>16</v>
      </c>
      <c r="D12619" s="5" t="s">
        <v>12139</v>
      </c>
      <c r="E12619" s="6" t="str">
        <f>HYPERLINK("https://twitter.com/petrogustavo/status/1336337157154213889","1336337157154213889")</f>
        <v>1336337157154213889</v>
      </c>
      <c r="F12619" s="7" t="s">
        <v>32</v>
      </c>
      <c r="G12619" s="7">
        <v>4016874</v>
      </c>
      <c r="H12619" s="7">
        <v>2467</v>
      </c>
      <c r="I12619" s="7">
        <v>1067</v>
      </c>
      <c r="J12619" s="7">
        <v>0</v>
      </c>
      <c r="K12619" s="7" t="s">
        <v>18</v>
      </c>
      <c r="L12619" s="8">
        <v>39987.315405092595</v>
      </c>
      <c r="M12619" s="9" t="s">
        <v>19</v>
      </c>
      <c r="N12619" s="9" t="s">
        <v>20</v>
      </c>
      <c r="O12619" s="6" t="str">
        <f>HYPERLINK("https://pbs.twimg.com/profile_images/962471262747529216/Uo8lOkRJ_normal.jpg","View")</f>
        <v>View</v>
      </c>
      <c r="P12619" s="7"/>
    </row>
    <row r="12620" spans="1:16">
      <c r="A12620" s="3">
        <v>44173.995150462964</v>
      </c>
      <c r="B12620" s="4" t="str">
        <f>HYPERLINK("https://twitter.com/petrogustavo","@petrogustavo")</f>
        <v>@petrogustavo</v>
      </c>
      <c r="C12620" s="5" t="s">
        <v>16</v>
      </c>
      <c r="D12620" s="5" t="s">
        <v>12130</v>
      </c>
      <c r="E12620" s="6" t="str">
        <f>HYPERLINK("https://twitter.com/petrogustavo/status/1336375747297112064","1336375747297112064")</f>
        <v>1336375747297112064</v>
      </c>
      <c r="F12620" s="7" t="s">
        <v>32</v>
      </c>
      <c r="G12620" s="7">
        <v>4016887</v>
      </c>
      <c r="H12620" s="7">
        <v>2467</v>
      </c>
      <c r="I12620" s="7">
        <v>667</v>
      </c>
      <c r="J12620" s="7">
        <v>0</v>
      </c>
      <c r="K12620" s="7" t="s">
        <v>18</v>
      </c>
      <c r="L12620" s="8">
        <v>39987.315405092595</v>
      </c>
      <c r="M12620" s="9" t="s">
        <v>19</v>
      </c>
      <c r="N12620" s="9" t="s">
        <v>20</v>
      </c>
      <c r="O12620" s="6" t="str">
        <f>HYPERLINK("https://pbs.twimg.com/profile_images/962471262747529216/Uo8lOkRJ_normal.jpg","View")</f>
        <v>View</v>
      </c>
      <c r="P12620" s="7"/>
    </row>
    <row r="12621" spans="1:16">
      <c r="A12621" s="3">
        <v>44173.997129629628</v>
      </c>
      <c r="B12621" s="4" t="str">
        <f>HYPERLINK("https://twitter.com/petrogustavo","@petrogustavo")</f>
        <v>@petrogustavo</v>
      </c>
      <c r="C12621" s="5" t="s">
        <v>16</v>
      </c>
      <c r="D12621" s="5" t="s">
        <v>12146</v>
      </c>
      <c r="E12621" s="6" t="str">
        <f>HYPERLINK("https://twitter.com/petrogustavo/status/1336376463898054657","1336376463898054657")</f>
        <v>1336376463898054657</v>
      </c>
      <c r="F12621" s="7" t="s">
        <v>32</v>
      </c>
      <c r="G12621" s="7">
        <v>4016887</v>
      </c>
      <c r="H12621" s="7">
        <v>2467</v>
      </c>
      <c r="I12621" s="7">
        <v>35</v>
      </c>
      <c r="J12621" s="7">
        <v>0</v>
      </c>
      <c r="K12621" s="7" t="s">
        <v>18</v>
      </c>
      <c r="L12621" s="8">
        <v>39987.315405092595</v>
      </c>
      <c r="M12621" s="9" t="s">
        <v>19</v>
      </c>
      <c r="N12621" s="9" t="s">
        <v>20</v>
      </c>
      <c r="O12621" s="6" t="str">
        <f>HYPERLINK("https://pbs.twimg.com/profile_images/962471262747529216/Uo8lOkRJ_normal.jpg","View")</f>
        <v>View</v>
      </c>
      <c r="P12621" s="7"/>
    </row>
    <row r="12622" spans="1:16">
      <c r="A12622" s="3">
        <v>44174.0778125</v>
      </c>
      <c r="B12622" s="4" t="str">
        <f>HYPERLINK("https://twitter.com/petrogustavo","@petrogustavo")</f>
        <v>@petrogustavo</v>
      </c>
      <c r="C12622" s="5" t="s">
        <v>16</v>
      </c>
      <c r="D12622" s="5" t="s">
        <v>12147</v>
      </c>
      <c r="E12622" s="6" t="str">
        <f>HYPERLINK("https://twitter.com/petrogustavo/status/1336405702076674056","1336405702076674056")</f>
        <v>1336405702076674056</v>
      </c>
      <c r="F12622" s="7" t="s">
        <v>17</v>
      </c>
      <c r="G12622" s="7">
        <v>4016917</v>
      </c>
      <c r="H12622" s="7">
        <v>2467</v>
      </c>
      <c r="I12622" s="7">
        <v>46</v>
      </c>
      <c r="J12622" s="7">
        <v>0</v>
      </c>
      <c r="K12622" s="7" t="s">
        <v>18</v>
      </c>
      <c r="L12622" s="8">
        <v>39987.315405092595</v>
      </c>
      <c r="M12622" s="9" t="s">
        <v>19</v>
      </c>
      <c r="N12622" s="9" t="s">
        <v>20</v>
      </c>
      <c r="O12622" s="6" t="str">
        <f>HYPERLINK("https://pbs.twimg.com/profile_images/962471262747529216/Uo8lOkRJ_normal.jpg","View")</f>
        <v>View</v>
      </c>
      <c r="P12622" s="7"/>
    </row>
    <row r="12623" spans="1:16">
      <c r="A12623" s="3">
        <v>44174.080960648149</v>
      </c>
      <c r="B12623" s="4" t="str">
        <f>HYPERLINK("https://twitter.com/petrogustavo","@petrogustavo")</f>
        <v>@petrogustavo</v>
      </c>
      <c r="C12623" s="5" t="s">
        <v>16</v>
      </c>
      <c r="D12623" s="5" t="s">
        <v>12148</v>
      </c>
      <c r="E12623" s="6" t="str">
        <f>HYPERLINK("https://twitter.com/petrogustavo/status/1336406845779570696","1336406845779570696")</f>
        <v>1336406845779570696</v>
      </c>
      <c r="F12623" s="7" t="s">
        <v>17</v>
      </c>
      <c r="G12623" s="7">
        <v>4016917</v>
      </c>
      <c r="H12623" s="7">
        <v>2467</v>
      </c>
      <c r="I12623" s="7">
        <v>1476</v>
      </c>
      <c r="J12623" s="7">
        <v>0</v>
      </c>
      <c r="K12623" s="7" t="s">
        <v>18</v>
      </c>
      <c r="L12623" s="8">
        <v>39987.315405092595</v>
      </c>
      <c r="M12623" s="9" t="s">
        <v>19</v>
      </c>
      <c r="N12623" s="9" t="s">
        <v>20</v>
      </c>
      <c r="O12623" s="6" t="str">
        <f>HYPERLINK("https://pbs.twimg.com/profile_images/962471262747529216/Uo8lOkRJ_normal.jpg","View")</f>
        <v>View</v>
      </c>
      <c r="P12623" s="7"/>
    </row>
    <row r="12624" spans="1:16">
      <c r="A12624" s="3">
        <v>44174.705034722225</v>
      </c>
      <c r="B12624" s="4" t="str">
        <f>HYPERLINK("https://twitter.com/petrogustavo","@petrogustavo")</f>
        <v>@petrogustavo</v>
      </c>
      <c r="C12624" s="5" t="s">
        <v>16</v>
      </c>
      <c r="D12624" s="5" t="s">
        <v>12149</v>
      </c>
      <c r="E12624" s="6" t="str">
        <f>HYPERLINK("https://twitter.com/petrogustavo/status/1336633002458308609","1336633002458308609")</f>
        <v>1336633002458308609</v>
      </c>
      <c r="F12624" s="7" t="s">
        <v>17</v>
      </c>
      <c r="G12624" s="7">
        <v>4017049</v>
      </c>
      <c r="H12624" s="7">
        <v>2467</v>
      </c>
      <c r="I12624" s="7">
        <v>20</v>
      </c>
      <c r="J12624" s="7">
        <v>0</v>
      </c>
      <c r="K12624" s="7" t="s">
        <v>18</v>
      </c>
      <c r="L12624" s="8">
        <v>39987.315405092595</v>
      </c>
      <c r="M12624" s="9" t="s">
        <v>19</v>
      </c>
      <c r="N12624" s="9" t="s">
        <v>20</v>
      </c>
      <c r="O12624" s="6" t="str">
        <f>HYPERLINK("https://pbs.twimg.com/profile_images/962471262747529216/Uo8lOkRJ_normal.jpg","View")</f>
        <v>View</v>
      </c>
      <c r="P12624" s="7"/>
    </row>
    <row r="12625" spans="1:16">
      <c r="A12625" s="3">
        <v>44174.709490740745</v>
      </c>
      <c r="B12625" s="4" t="str">
        <f>HYPERLINK("https://twitter.com/petrogustavo","@petrogustavo")</f>
        <v>@petrogustavo</v>
      </c>
      <c r="C12625" s="5" t="s">
        <v>16</v>
      </c>
      <c r="D12625" s="5" t="s">
        <v>12150</v>
      </c>
      <c r="E12625" s="6" t="str">
        <f>HYPERLINK("https://twitter.com/petrogustavo/status/1336634615444934657","1336634615444934657")</f>
        <v>1336634615444934657</v>
      </c>
      <c r="F12625" s="7" t="s">
        <v>17</v>
      </c>
      <c r="G12625" s="7">
        <v>4017049</v>
      </c>
      <c r="H12625" s="7">
        <v>2467</v>
      </c>
      <c r="I12625" s="7">
        <v>91</v>
      </c>
      <c r="J12625" s="7">
        <v>0</v>
      </c>
      <c r="K12625" s="7" t="s">
        <v>18</v>
      </c>
      <c r="L12625" s="8">
        <v>39987.315405092595</v>
      </c>
      <c r="M12625" s="9" t="s">
        <v>19</v>
      </c>
      <c r="N12625" s="9" t="s">
        <v>20</v>
      </c>
      <c r="O12625" s="6" t="str">
        <f>HYPERLINK("https://pbs.twimg.com/profile_images/962471262747529216/Uo8lOkRJ_normal.jpg","View")</f>
        <v>View</v>
      </c>
      <c r="P12625" s="7"/>
    </row>
    <row r="12626" spans="1:16">
      <c r="A12626" s="3">
        <v>44174.710625</v>
      </c>
      <c r="B12626" s="4" t="str">
        <f>HYPERLINK("https://twitter.com/petrogustavo","@petrogustavo")</f>
        <v>@petrogustavo</v>
      </c>
      <c r="C12626" s="5" t="s">
        <v>16</v>
      </c>
      <c r="D12626" s="5" t="s">
        <v>12151</v>
      </c>
      <c r="E12626" s="6" t="str">
        <f>HYPERLINK("https://twitter.com/petrogustavo/status/1336635028026109952","1336635028026109952")</f>
        <v>1336635028026109952</v>
      </c>
      <c r="F12626" s="7" t="s">
        <v>17</v>
      </c>
      <c r="G12626" s="7">
        <v>4017049</v>
      </c>
      <c r="H12626" s="7">
        <v>2467</v>
      </c>
      <c r="I12626" s="7">
        <v>63</v>
      </c>
      <c r="J12626" s="7">
        <v>155</v>
      </c>
      <c r="K12626" s="7" t="s">
        <v>18</v>
      </c>
      <c r="L12626" s="8">
        <v>39987.315405092595</v>
      </c>
      <c r="M12626" s="9" t="s">
        <v>19</v>
      </c>
      <c r="N12626" s="9" t="s">
        <v>20</v>
      </c>
      <c r="O12626" s="6" t="str">
        <f>HYPERLINK("https://pbs.twimg.com/profile_images/962471262747529216/Uo8lOkRJ_normal.jpg","View")</f>
        <v>View</v>
      </c>
      <c r="P12626" s="7"/>
    </row>
    <row r="12627" spans="1:16">
      <c r="A12627" s="3">
        <v>44174.716550925921</v>
      </c>
      <c r="B12627" s="4" t="str">
        <f>HYPERLINK("https://twitter.com/petrogustavo","@petrogustavo")</f>
        <v>@petrogustavo</v>
      </c>
      <c r="C12627" s="5" t="s">
        <v>16</v>
      </c>
      <c r="D12627" s="5" t="s">
        <v>12152</v>
      </c>
      <c r="E12627" s="6" t="str">
        <f>HYPERLINK("https://twitter.com/petrogustavo/status/1336637172888301569","1336637172888301569")</f>
        <v>1336637172888301569</v>
      </c>
      <c r="F12627" s="7" t="s">
        <v>17</v>
      </c>
      <c r="G12627" s="7">
        <v>4017049</v>
      </c>
      <c r="H12627" s="7">
        <v>2467</v>
      </c>
      <c r="I12627" s="7">
        <v>37</v>
      </c>
      <c r="J12627" s="7">
        <v>0</v>
      </c>
      <c r="K12627" s="7" t="s">
        <v>18</v>
      </c>
      <c r="L12627" s="8">
        <v>39987.315405092595</v>
      </c>
      <c r="M12627" s="9" t="s">
        <v>19</v>
      </c>
      <c r="N12627" s="9" t="s">
        <v>20</v>
      </c>
      <c r="O12627" s="6" t="str">
        <f>HYPERLINK("https://pbs.twimg.com/profile_images/962471262747529216/Uo8lOkRJ_normal.jpg","View")</f>
        <v>View</v>
      </c>
      <c r="P12627" s="7"/>
    </row>
    <row r="12628" spans="1:16">
      <c r="A12628" s="3">
        <v>44174.717731481476</v>
      </c>
      <c r="B12628" s="4" t="str">
        <f>HYPERLINK("https://twitter.com/petrogustavo","@petrogustavo")</f>
        <v>@petrogustavo</v>
      </c>
      <c r="C12628" s="5" t="s">
        <v>16</v>
      </c>
      <c r="D12628" s="5" t="s">
        <v>12153</v>
      </c>
      <c r="E12628" s="6" t="str">
        <f>HYPERLINK("https://twitter.com/petrogustavo/status/1336637603727085568","1336637603727085568")</f>
        <v>1336637603727085568</v>
      </c>
      <c r="F12628" s="7" t="s">
        <v>17</v>
      </c>
      <c r="G12628" s="7">
        <v>4017049</v>
      </c>
      <c r="H12628" s="7">
        <v>2467</v>
      </c>
      <c r="I12628" s="7">
        <v>23</v>
      </c>
      <c r="J12628" s="7">
        <v>44</v>
      </c>
      <c r="K12628" s="7" t="s">
        <v>18</v>
      </c>
      <c r="L12628" s="8">
        <v>39987.315405092595</v>
      </c>
      <c r="M12628" s="9" t="s">
        <v>19</v>
      </c>
      <c r="N12628" s="9" t="s">
        <v>20</v>
      </c>
      <c r="O12628" s="6" t="str">
        <f>HYPERLINK("https://pbs.twimg.com/profile_images/962471262747529216/Uo8lOkRJ_normal.jpg","View")</f>
        <v>View</v>
      </c>
      <c r="P12628" s="7"/>
    </row>
    <row r="12629" spans="1:16">
      <c r="A12629" s="3">
        <v>44174.720312500001</v>
      </c>
      <c r="B12629" s="4" t="str">
        <f>HYPERLINK("https://twitter.com/petrogustavo","@petrogustavo")</f>
        <v>@petrogustavo</v>
      </c>
      <c r="C12629" s="5" t="s">
        <v>16</v>
      </c>
      <c r="D12629" s="5" t="s">
        <v>12154</v>
      </c>
      <c r="E12629" s="6" t="str">
        <f>HYPERLINK("https://twitter.com/petrogustavo/status/1336638538314633216","1336638538314633216")</f>
        <v>1336638538314633216</v>
      </c>
      <c r="F12629" s="7" t="s">
        <v>17</v>
      </c>
      <c r="G12629" s="7">
        <v>4017049</v>
      </c>
      <c r="H12629" s="7">
        <v>2467</v>
      </c>
      <c r="I12629" s="7">
        <v>286</v>
      </c>
      <c r="J12629" s="7">
        <v>0</v>
      </c>
      <c r="K12629" s="7" t="s">
        <v>18</v>
      </c>
      <c r="L12629" s="8">
        <v>39987.315405092595</v>
      </c>
      <c r="M12629" s="9" t="s">
        <v>19</v>
      </c>
      <c r="N12629" s="9" t="s">
        <v>20</v>
      </c>
      <c r="O12629" s="6" t="str">
        <f>HYPERLINK("https://pbs.twimg.com/profile_images/962471262747529216/Uo8lOkRJ_normal.jpg","View")</f>
        <v>View</v>
      </c>
      <c r="P12629" s="7"/>
    </row>
    <row r="12630" spans="1:16">
      <c r="A12630" s="3">
        <v>44174.722453703704</v>
      </c>
      <c r="B12630" s="4" t="str">
        <f>HYPERLINK("https://twitter.com/petrogustavo","@petrogustavo")</f>
        <v>@petrogustavo</v>
      </c>
      <c r="C12630" s="5" t="s">
        <v>16</v>
      </c>
      <c r="D12630" s="5" t="s">
        <v>12155</v>
      </c>
      <c r="E12630" s="6" t="str">
        <f>HYPERLINK("https://twitter.com/petrogustavo/status/1336639314147598337","1336639314147598337")</f>
        <v>1336639314147598337</v>
      </c>
      <c r="F12630" s="7" t="s">
        <v>17</v>
      </c>
      <c r="G12630" s="7">
        <v>4017054</v>
      </c>
      <c r="H12630" s="7">
        <v>2467</v>
      </c>
      <c r="I12630" s="7">
        <v>262</v>
      </c>
      <c r="J12630" s="7">
        <v>1051</v>
      </c>
      <c r="K12630" s="7" t="s">
        <v>18</v>
      </c>
      <c r="L12630" s="8">
        <v>39987.315405092595</v>
      </c>
      <c r="M12630" s="9" t="s">
        <v>19</v>
      </c>
      <c r="N12630" s="9" t="s">
        <v>20</v>
      </c>
      <c r="O12630" s="6" t="str">
        <f>HYPERLINK("https://pbs.twimg.com/profile_images/962471262747529216/Uo8lOkRJ_normal.jpg","View")</f>
        <v>View</v>
      </c>
      <c r="P12630" s="7"/>
    </row>
    <row r="12631" spans="1:16">
      <c r="A12631" s="3">
        <v>44174.729155092587</v>
      </c>
      <c r="B12631" s="4" t="str">
        <f>HYPERLINK("https://twitter.com/petrogustavo","@petrogustavo")</f>
        <v>@petrogustavo</v>
      </c>
      <c r="C12631" s="5" t="s">
        <v>16</v>
      </c>
      <c r="D12631" s="5" t="s">
        <v>12156</v>
      </c>
      <c r="E12631" s="6" t="str">
        <f>HYPERLINK("https://twitter.com/petrogustavo/status/1336641742272159747","1336641742272159747")</f>
        <v>1336641742272159747</v>
      </c>
      <c r="F12631" s="7" t="s">
        <v>17</v>
      </c>
      <c r="G12631" s="7">
        <v>4017054</v>
      </c>
      <c r="H12631" s="7">
        <v>2467</v>
      </c>
      <c r="I12631" s="7">
        <v>33</v>
      </c>
      <c r="J12631" s="7">
        <v>59</v>
      </c>
      <c r="K12631" s="7" t="s">
        <v>18</v>
      </c>
      <c r="L12631" s="8">
        <v>39987.315405092595</v>
      </c>
      <c r="M12631" s="9" t="s">
        <v>19</v>
      </c>
      <c r="N12631" s="9" t="s">
        <v>20</v>
      </c>
      <c r="O12631" s="6" t="str">
        <f>HYPERLINK("https://pbs.twimg.com/profile_images/962471262747529216/Uo8lOkRJ_normal.jpg","View")</f>
        <v>View</v>
      </c>
      <c r="P12631" s="7"/>
    </row>
    <row r="12632" spans="1:16">
      <c r="A12632" s="3">
        <v>44174.731261574074</v>
      </c>
      <c r="B12632" s="4" t="str">
        <f>HYPERLINK("https://twitter.com/petrogustavo","@petrogustavo")</f>
        <v>@petrogustavo</v>
      </c>
      <c r="C12632" s="5" t="s">
        <v>16</v>
      </c>
      <c r="D12632" s="5" t="s">
        <v>12157</v>
      </c>
      <c r="E12632" s="6" t="str">
        <f>HYPERLINK("https://twitter.com/petrogustavo/status/1336642505790656512","1336642505790656512")</f>
        <v>1336642505790656512</v>
      </c>
      <c r="F12632" s="7" t="s">
        <v>17</v>
      </c>
      <c r="G12632" s="7">
        <v>4017054</v>
      </c>
      <c r="H12632" s="7">
        <v>2467</v>
      </c>
      <c r="I12632" s="7">
        <v>262</v>
      </c>
      <c r="J12632" s="7">
        <v>0</v>
      </c>
      <c r="K12632" s="7" t="s">
        <v>18</v>
      </c>
      <c r="L12632" s="8">
        <v>39987.315405092595</v>
      </c>
      <c r="M12632" s="9" t="s">
        <v>19</v>
      </c>
      <c r="N12632" s="9" t="s">
        <v>20</v>
      </c>
      <c r="O12632" s="6" t="str">
        <f>HYPERLINK("https://pbs.twimg.com/profile_images/962471262747529216/Uo8lOkRJ_normal.jpg","View")</f>
        <v>View</v>
      </c>
      <c r="P12632" s="7"/>
    </row>
    <row r="12633" spans="1:16">
      <c r="A12633" s="3">
        <v>44174.781909722224</v>
      </c>
      <c r="B12633" s="4" t="str">
        <f>HYPERLINK("https://twitter.com/petrogustavo","@petrogustavo")</f>
        <v>@petrogustavo</v>
      </c>
      <c r="C12633" s="5" t="s">
        <v>16</v>
      </c>
      <c r="D12633" s="5" t="s">
        <v>12158</v>
      </c>
      <c r="E12633" s="6" t="str">
        <f>HYPERLINK("https://twitter.com/petrogustavo/status/1336660857460305920","1336660857460305920")</f>
        <v>1336660857460305920</v>
      </c>
      <c r="F12633" s="7" t="s">
        <v>17</v>
      </c>
      <c r="G12633" s="7">
        <v>4017072</v>
      </c>
      <c r="H12633" s="7">
        <v>2467</v>
      </c>
      <c r="I12633" s="7">
        <v>59</v>
      </c>
      <c r="J12633" s="7">
        <v>0</v>
      </c>
      <c r="K12633" s="7" t="s">
        <v>18</v>
      </c>
      <c r="L12633" s="8">
        <v>39987.315405092595</v>
      </c>
      <c r="M12633" s="9" t="s">
        <v>19</v>
      </c>
      <c r="N12633" s="9" t="s">
        <v>20</v>
      </c>
      <c r="O12633" s="6" t="str">
        <f>HYPERLINK("https://pbs.twimg.com/profile_images/962471262747529216/Uo8lOkRJ_normal.jpg","View")</f>
        <v>View</v>
      </c>
      <c r="P12633" s="7"/>
    </row>
    <row r="12634" spans="1:16">
      <c r="A12634" s="3">
        <v>44174.782152777778</v>
      </c>
      <c r="B12634" s="4" t="str">
        <f>HYPERLINK("https://twitter.com/petrogustavo","@petrogustavo")</f>
        <v>@petrogustavo</v>
      </c>
      <c r="C12634" s="5" t="s">
        <v>16</v>
      </c>
      <c r="D12634" s="5" t="s">
        <v>12159</v>
      </c>
      <c r="E12634" s="6" t="str">
        <f>HYPERLINK("https://twitter.com/petrogustavo/status/1336660947465891842","1336660947465891842")</f>
        <v>1336660947465891842</v>
      </c>
      <c r="F12634" s="7" t="s">
        <v>17</v>
      </c>
      <c r="G12634" s="7">
        <v>4017072</v>
      </c>
      <c r="H12634" s="7">
        <v>2467</v>
      </c>
      <c r="I12634" s="7">
        <v>679</v>
      </c>
      <c r="J12634" s="7">
        <v>0</v>
      </c>
      <c r="K12634" s="7" t="s">
        <v>18</v>
      </c>
      <c r="L12634" s="8">
        <v>39987.315405092595</v>
      </c>
      <c r="M12634" s="9" t="s">
        <v>19</v>
      </c>
      <c r="N12634" s="9" t="s">
        <v>20</v>
      </c>
      <c r="O12634" s="6" t="str">
        <f>HYPERLINK("https://pbs.twimg.com/profile_images/962471262747529216/Uo8lOkRJ_normal.jpg","View")</f>
        <v>View</v>
      </c>
      <c r="P12634" s="7"/>
    </row>
    <row r="12635" spans="1:16">
      <c r="A12635" s="3">
        <v>44174.786099537036</v>
      </c>
      <c r="B12635" s="4" t="str">
        <f>HYPERLINK("https://twitter.com/petrogustavo","@petrogustavo")</f>
        <v>@petrogustavo</v>
      </c>
      <c r="C12635" s="5" t="s">
        <v>16</v>
      </c>
      <c r="D12635" s="5" t="s">
        <v>12160</v>
      </c>
      <c r="E12635" s="6" t="str">
        <f>HYPERLINK("https://twitter.com/petrogustavo/status/1336662378105229312","1336662378105229312")</f>
        <v>1336662378105229312</v>
      </c>
      <c r="F12635" s="7" t="s">
        <v>17</v>
      </c>
      <c r="G12635" s="7">
        <v>4017075</v>
      </c>
      <c r="H12635" s="7">
        <v>2467</v>
      </c>
      <c r="I12635" s="7">
        <v>81</v>
      </c>
      <c r="J12635" s="7">
        <v>297</v>
      </c>
      <c r="K12635" s="7" t="s">
        <v>18</v>
      </c>
      <c r="L12635" s="8">
        <v>39987.315405092595</v>
      </c>
      <c r="M12635" s="9" t="s">
        <v>19</v>
      </c>
      <c r="N12635" s="9" t="s">
        <v>20</v>
      </c>
      <c r="O12635" s="6" t="str">
        <f>HYPERLINK("https://pbs.twimg.com/profile_images/962471262747529216/Uo8lOkRJ_normal.jpg","View")</f>
        <v>View</v>
      </c>
      <c r="P12635" s="7"/>
    </row>
    <row r="12636" spans="1:16">
      <c r="A12636" s="3">
        <v>44174.807175925926</v>
      </c>
      <c r="B12636" s="4" t="str">
        <f>HYPERLINK("https://twitter.com/petrogustavo","@petrogustavo")</f>
        <v>@petrogustavo</v>
      </c>
      <c r="C12636" s="5" t="s">
        <v>16</v>
      </c>
      <c r="D12636" s="5" t="s">
        <v>12161</v>
      </c>
      <c r="E12636" s="6" t="str">
        <f>HYPERLINK("https://twitter.com/petrogustavo/status/1336670017618915336","1336670017618915336")</f>
        <v>1336670017618915336</v>
      </c>
      <c r="F12636" s="7" t="s">
        <v>17</v>
      </c>
      <c r="G12636" s="7">
        <v>4017065</v>
      </c>
      <c r="H12636" s="7">
        <v>2467</v>
      </c>
      <c r="I12636" s="7">
        <v>187</v>
      </c>
      <c r="J12636" s="7">
        <v>645</v>
      </c>
      <c r="K12636" s="7" t="s">
        <v>18</v>
      </c>
      <c r="L12636" s="8">
        <v>39987.315405092595</v>
      </c>
      <c r="M12636" s="9" t="s">
        <v>19</v>
      </c>
      <c r="N12636" s="9" t="s">
        <v>20</v>
      </c>
      <c r="O12636" s="6" t="str">
        <f>HYPERLINK("https://pbs.twimg.com/profile_images/962471262747529216/Uo8lOkRJ_normal.jpg","View")</f>
        <v>View</v>
      </c>
      <c r="P12636" s="7"/>
    </row>
    <row r="12637" spans="1:16">
      <c r="A12637" s="3">
        <v>44174.937800925924</v>
      </c>
      <c r="B12637" s="4" t="str">
        <f>HYPERLINK("https://twitter.com/petrogustavo","@petrogustavo")</f>
        <v>@petrogustavo</v>
      </c>
      <c r="C12637" s="5" t="s">
        <v>16</v>
      </c>
      <c r="D12637" s="5" t="s">
        <v>12162</v>
      </c>
      <c r="E12637" s="6" t="str">
        <f>HYPERLINK("https://twitter.com/petrogustavo/status/1336717352856145922","1336717352856145922")</f>
        <v>1336717352856145922</v>
      </c>
      <c r="F12637" s="7" t="s">
        <v>17</v>
      </c>
      <c r="G12637" s="7">
        <v>4017123</v>
      </c>
      <c r="H12637" s="7">
        <v>2467</v>
      </c>
      <c r="I12637" s="7">
        <v>190</v>
      </c>
      <c r="J12637" s="7">
        <v>0</v>
      </c>
      <c r="K12637" s="7" t="s">
        <v>18</v>
      </c>
      <c r="L12637" s="8">
        <v>39987.315405092595</v>
      </c>
      <c r="M12637" s="9" t="s">
        <v>19</v>
      </c>
      <c r="N12637" s="9" t="s">
        <v>20</v>
      </c>
      <c r="O12637" s="6" t="str">
        <f>HYPERLINK("https://pbs.twimg.com/profile_images/962471262747529216/Uo8lOkRJ_normal.jpg","View")</f>
        <v>View</v>
      </c>
      <c r="P12637" s="7"/>
    </row>
    <row r="12638" spans="1:16">
      <c r="A12638" s="3">
        <v>44174.937986111108</v>
      </c>
      <c r="B12638" s="4" t="str">
        <f>HYPERLINK("https://twitter.com/petrogustavo","@petrogustavo")</f>
        <v>@petrogustavo</v>
      </c>
      <c r="C12638" s="5" t="s">
        <v>16</v>
      </c>
      <c r="D12638" s="5" t="s">
        <v>12163</v>
      </c>
      <c r="E12638" s="6" t="str">
        <f>HYPERLINK("https://twitter.com/petrogustavo/status/1336717419696492545","1336717419696492545")</f>
        <v>1336717419696492545</v>
      </c>
      <c r="F12638" s="7" t="s">
        <v>17</v>
      </c>
      <c r="G12638" s="7">
        <v>4017123</v>
      </c>
      <c r="H12638" s="7">
        <v>2467</v>
      </c>
      <c r="I12638" s="7">
        <v>53</v>
      </c>
      <c r="J12638" s="7">
        <v>0</v>
      </c>
      <c r="K12638" s="7" t="s">
        <v>18</v>
      </c>
      <c r="L12638" s="8">
        <v>39987.315405092595</v>
      </c>
      <c r="M12638" s="9" t="s">
        <v>19</v>
      </c>
      <c r="N12638" s="9" t="s">
        <v>20</v>
      </c>
      <c r="O12638" s="6" t="str">
        <f>HYPERLINK("https://pbs.twimg.com/profile_images/962471262747529216/Uo8lOkRJ_normal.jpg","View")</f>
        <v>View</v>
      </c>
      <c r="P12638" s="7"/>
    </row>
    <row r="12639" spans="1:16">
      <c r="A12639" s="3">
        <v>44174.938923611116</v>
      </c>
      <c r="B12639" s="4" t="str">
        <f>HYPERLINK("https://twitter.com/petrogustavo","@petrogustavo")</f>
        <v>@petrogustavo</v>
      </c>
      <c r="C12639" s="5" t="s">
        <v>16</v>
      </c>
      <c r="D12639" s="5" t="s">
        <v>12164</v>
      </c>
      <c r="E12639" s="6" t="str">
        <f>HYPERLINK("https://twitter.com/petrogustavo/status/1336717760013996036","1336717760013996036")</f>
        <v>1336717760013996036</v>
      </c>
      <c r="F12639" s="7" t="s">
        <v>17</v>
      </c>
      <c r="G12639" s="7">
        <v>4017123</v>
      </c>
      <c r="H12639" s="7">
        <v>2467</v>
      </c>
      <c r="I12639" s="7">
        <v>379</v>
      </c>
      <c r="J12639" s="7">
        <v>0</v>
      </c>
      <c r="K12639" s="7" t="s">
        <v>18</v>
      </c>
      <c r="L12639" s="8">
        <v>39987.315405092595</v>
      </c>
      <c r="M12639" s="9" t="s">
        <v>19</v>
      </c>
      <c r="N12639" s="9" t="s">
        <v>20</v>
      </c>
      <c r="O12639" s="6" t="str">
        <f>HYPERLINK("https://pbs.twimg.com/profile_images/962471262747529216/Uo8lOkRJ_normal.jpg","View")</f>
        <v>View</v>
      </c>
      <c r="P12639" s="7"/>
    </row>
    <row r="12640" spans="1:16">
      <c r="A12640" s="3">
        <v>44174.939479166671</v>
      </c>
      <c r="B12640" s="4" t="str">
        <f>HYPERLINK("https://twitter.com/petrogustavo","@petrogustavo")</f>
        <v>@petrogustavo</v>
      </c>
      <c r="C12640" s="5" t="s">
        <v>16</v>
      </c>
      <c r="D12640" s="5" t="s">
        <v>12165</v>
      </c>
      <c r="E12640" s="6" t="str">
        <f>HYPERLINK("https://twitter.com/petrogustavo/status/1336717961172807681","1336717961172807681")</f>
        <v>1336717961172807681</v>
      </c>
      <c r="F12640" s="7" t="s">
        <v>17</v>
      </c>
      <c r="G12640" s="7">
        <v>4017123</v>
      </c>
      <c r="H12640" s="7">
        <v>2467</v>
      </c>
      <c r="I12640" s="7">
        <v>62</v>
      </c>
      <c r="J12640" s="7">
        <v>203</v>
      </c>
      <c r="K12640" s="7" t="s">
        <v>18</v>
      </c>
      <c r="L12640" s="8">
        <v>39987.315405092595</v>
      </c>
      <c r="M12640" s="9" t="s">
        <v>19</v>
      </c>
      <c r="N12640" s="9" t="s">
        <v>20</v>
      </c>
      <c r="O12640" s="6" t="str">
        <f>HYPERLINK("https://pbs.twimg.com/profile_images/962471262747529216/Uo8lOkRJ_normal.jpg","View")</f>
        <v>View</v>
      </c>
      <c r="P12640" s="7"/>
    </row>
    <row r="12641" spans="1:16">
      <c r="A12641" s="3">
        <v>44174.941944444443</v>
      </c>
      <c r="B12641" s="4" t="str">
        <f>HYPERLINK("https://twitter.com/petrogustavo","@petrogustavo")</f>
        <v>@petrogustavo</v>
      </c>
      <c r="C12641" s="5" t="s">
        <v>16</v>
      </c>
      <c r="D12641" s="5" t="s">
        <v>12166</v>
      </c>
      <c r="E12641" s="6" t="str">
        <f>HYPERLINK("https://twitter.com/petrogustavo/status/1336718855448760320","1336718855448760320")</f>
        <v>1336718855448760320</v>
      </c>
      <c r="F12641" s="7" t="s">
        <v>17</v>
      </c>
      <c r="G12641" s="7">
        <v>4017123</v>
      </c>
      <c r="H12641" s="7">
        <v>2467</v>
      </c>
      <c r="I12641" s="7">
        <v>36</v>
      </c>
      <c r="J12641" s="7">
        <v>99</v>
      </c>
      <c r="K12641" s="7" t="s">
        <v>18</v>
      </c>
      <c r="L12641" s="8">
        <v>39987.315405092595</v>
      </c>
      <c r="M12641" s="9" t="s">
        <v>19</v>
      </c>
      <c r="N12641" s="9" t="s">
        <v>20</v>
      </c>
      <c r="O12641" s="6" t="str">
        <f>HYPERLINK("https://pbs.twimg.com/profile_images/962471262747529216/Uo8lOkRJ_normal.jpg","View")</f>
        <v>View</v>
      </c>
      <c r="P12641" s="7"/>
    </row>
    <row r="12642" spans="1:16">
      <c r="A12642" s="3">
        <v>44175.718993055554</v>
      </c>
      <c r="B12642" s="4" t="str">
        <f>HYPERLINK("https://twitter.com/petrogustavo","@petrogustavo")</f>
        <v>@petrogustavo</v>
      </c>
      <c r="C12642" s="5" t="s">
        <v>16</v>
      </c>
      <c r="D12642" s="5" t="s">
        <v>12167</v>
      </c>
      <c r="E12642" s="6" t="str">
        <f>HYPERLINK("https://twitter.com/petrogustavo/status/1337000447991828480","1337000447991828480")</f>
        <v>1337000447991828480</v>
      </c>
      <c r="F12642" s="7" t="s">
        <v>17</v>
      </c>
      <c r="G12642" s="7">
        <v>4017179</v>
      </c>
      <c r="H12642" s="7">
        <v>2468</v>
      </c>
      <c r="I12642" s="7">
        <v>10</v>
      </c>
      <c r="J12642" s="7">
        <v>0</v>
      </c>
      <c r="K12642" s="7" t="s">
        <v>18</v>
      </c>
      <c r="L12642" s="8">
        <v>39987.315405092595</v>
      </c>
      <c r="M12642" s="9" t="s">
        <v>19</v>
      </c>
      <c r="N12642" s="9" t="s">
        <v>20</v>
      </c>
      <c r="O12642" s="6" t="str">
        <f>HYPERLINK("https://pbs.twimg.com/profile_images/962471262747529216/Uo8lOkRJ_normal.jpg","View")</f>
        <v>View</v>
      </c>
      <c r="P12642" s="7"/>
    </row>
    <row r="12643" spans="1:16">
      <c r="A12643" s="3">
        <v>44175.719351851847</v>
      </c>
      <c r="B12643" s="4" t="str">
        <f>HYPERLINK("https://twitter.com/petrogustavo","@petrogustavo")</f>
        <v>@petrogustavo</v>
      </c>
      <c r="C12643" s="5" t="s">
        <v>16</v>
      </c>
      <c r="D12643" s="5" t="s">
        <v>12168</v>
      </c>
      <c r="E12643" s="6" t="str">
        <f>HYPERLINK("https://twitter.com/petrogustavo/status/1337000578845712386","1337000578845712386")</f>
        <v>1337000578845712386</v>
      </c>
      <c r="F12643" s="7" t="s">
        <v>17</v>
      </c>
      <c r="G12643" s="7">
        <v>4017179</v>
      </c>
      <c r="H12643" s="7">
        <v>2468</v>
      </c>
      <c r="I12643" s="7">
        <v>790</v>
      </c>
      <c r="J12643" s="7">
        <v>0</v>
      </c>
      <c r="K12643" s="7" t="s">
        <v>18</v>
      </c>
      <c r="L12643" s="8">
        <v>39987.315405092595</v>
      </c>
      <c r="M12643" s="9" t="s">
        <v>19</v>
      </c>
      <c r="N12643" s="9" t="s">
        <v>20</v>
      </c>
      <c r="O12643" s="6" t="str">
        <f>HYPERLINK("https://pbs.twimg.com/profile_images/962471262747529216/Uo8lOkRJ_normal.jpg","View")</f>
        <v>View</v>
      </c>
      <c r="P12643" s="7"/>
    </row>
    <row r="12644" spans="1:16">
      <c r="A12644" s="3">
        <v>44175.720208333332</v>
      </c>
      <c r="B12644" s="4" t="str">
        <f>HYPERLINK("https://twitter.com/petrogustavo","@petrogustavo")</f>
        <v>@petrogustavo</v>
      </c>
      <c r="C12644" s="5" t="s">
        <v>16</v>
      </c>
      <c r="D12644" s="5" t="s">
        <v>12169</v>
      </c>
      <c r="E12644" s="6" t="str">
        <f>HYPERLINK("https://twitter.com/petrogustavo/status/1337000888737652738","1337000888737652738")</f>
        <v>1337000888737652738</v>
      </c>
      <c r="F12644" s="7" t="s">
        <v>17</v>
      </c>
      <c r="G12644" s="7">
        <v>4017179</v>
      </c>
      <c r="H12644" s="7">
        <v>2468</v>
      </c>
      <c r="I12644" s="7">
        <v>5</v>
      </c>
      <c r="J12644" s="7">
        <v>0</v>
      </c>
      <c r="K12644" s="7" t="s">
        <v>18</v>
      </c>
      <c r="L12644" s="8">
        <v>39987.315405092595</v>
      </c>
      <c r="M12644" s="9" t="s">
        <v>19</v>
      </c>
      <c r="N12644" s="9" t="s">
        <v>20</v>
      </c>
      <c r="O12644" s="6" t="str">
        <f>HYPERLINK("https://pbs.twimg.com/profile_images/962471262747529216/Uo8lOkRJ_normal.jpg","View")</f>
        <v>View</v>
      </c>
      <c r="P12644" s="7"/>
    </row>
    <row r="12645" spans="1:16">
      <c r="A12645" s="3">
        <v>44175.72520833333</v>
      </c>
      <c r="B12645" s="4" t="str">
        <f>HYPERLINK("https://twitter.com/petrogustavo","@petrogustavo")</f>
        <v>@petrogustavo</v>
      </c>
      <c r="C12645" s="5" t="s">
        <v>16</v>
      </c>
      <c r="D12645" s="5" t="s">
        <v>12170</v>
      </c>
      <c r="E12645" s="6" t="str">
        <f>HYPERLINK("https://twitter.com/petrogustavo/status/1337002698625921027","1337002698625921027")</f>
        <v>1337002698625921027</v>
      </c>
      <c r="F12645" s="7" t="s">
        <v>17</v>
      </c>
      <c r="G12645" s="7">
        <v>4017185</v>
      </c>
      <c r="H12645" s="7">
        <v>2469</v>
      </c>
      <c r="I12645" s="7">
        <v>35</v>
      </c>
      <c r="J12645" s="7">
        <v>0</v>
      </c>
      <c r="K12645" s="7" t="s">
        <v>18</v>
      </c>
      <c r="L12645" s="8">
        <v>39987.315405092595</v>
      </c>
      <c r="M12645" s="9" t="s">
        <v>19</v>
      </c>
      <c r="N12645" s="9" t="s">
        <v>20</v>
      </c>
      <c r="O12645" s="6" t="str">
        <f>HYPERLINK("https://pbs.twimg.com/profile_images/962471262747529216/Uo8lOkRJ_normal.jpg","View")</f>
        <v>View</v>
      </c>
      <c r="P12645" s="7"/>
    </row>
    <row r="12646" spans="1:16">
      <c r="A12646" s="3">
        <v>44175.72828703704</v>
      </c>
      <c r="B12646" s="4" t="str">
        <f>HYPERLINK("https://twitter.com/petrogustavo","@petrogustavo")</f>
        <v>@petrogustavo</v>
      </c>
      <c r="C12646" s="5" t="s">
        <v>16</v>
      </c>
      <c r="D12646" s="5" t="s">
        <v>12171</v>
      </c>
      <c r="E12646" s="6" t="str">
        <f>HYPERLINK("https://twitter.com/petrogustavo/status/1337003814348591104","1337003814348591104")</f>
        <v>1337003814348591104</v>
      </c>
      <c r="F12646" s="7" t="s">
        <v>17</v>
      </c>
      <c r="G12646" s="7">
        <v>4017185</v>
      </c>
      <c r="H12646" s="7">
        <v>2469</v>
      </c>
      <c r="I12646" s="7">
        <v>998</v>
      </c>
      <c r="J12646" s="7">
        <v>0</v>
      </c>
      <c r="K12646" s="7" t="s">
        <v>18</v>
      </c>
      <c r="L12646" s="8">
        <v>39987.315405092595</v>
      </c>
      <c r="M12646" s="9" t="s">
        <v>19</v>
      </c>
      <c r="N12646" s="9" t="s">
        <v>20</v>
      </c>
      <c r="O12646" s="6" t="str">
        <f>HYPERLINK("https://pbs.twimg.com/profile_images/962471262747529216/Uo8lOkRJ_normal.jpg","View")</f>
        <v>View</v>
      </c>
      <c r="P12646" s="7"/>
    </row>
    <row r="12647" spans="1:16">
      <c r="A12647" s="3">
        <v>44175.72929398148</v>
      </c>
      <c r="B12647" s="4" t="str">
        <f>HYPERLINK("https://twitter.com/petrogustavo","@petrogustavo")</f>
        <v>@petrogustavo</v>
      </c>
      <c r="C12647" s="5" t="s">
        <v>16</v>
      </c>
      <c r="D12647" s="5" t="s">
        <v>12172</v>
      </c>
      <c r="E12647" s="6" t="str">
        <f>HYPERLINK("https://twitter.com/petrogustavo/status/1337004181673160706","1337004181673160706")</f>
        <v>1337004181673160706</v>
      </c>
      <c r="F12647" s="7" t="s">
        <v>17</v>
      </c>
      <c r="G12647" s="7">
        <v>4017185</v>
      </c>
      <c r="H12647" s="7">
        <v>2469</v>
      </c>
      <c r="I12647" s="7">
        <v>2626</v>
      </c>
      <c r="J12647" s="7">
        <v>0</v>
      </c>
      <c r="K12647" s="7" t="s">
        <v>18</v>
      </c>
      <c r="L12647" s="8">
        <v>39987.315405092595</v>
      </c>
      <c r="M12647" s="9" t="s">
        <v>19</v>
      </c>
      <c r="N12647" s="9" t="s">
        <v>20</v>
      </c>
      <c r="O12647" s="6" t="str">
        <f>HYPERLINK("https://pbs.twimg.com/profile_images/962471262747529216/Uo8lOkRJ_normal.jpg","View")</f>
        <v>View</v>
      </c>
      <c r="P12647" s="7"/>
    </row>
    <row r="12648" spans="1:16">
      <c r="A12648" s="3">
        <v>44175.73232638889</v>
      </c>
      <c r="B12648" s="4" t="str">
        <f>HYPERLINK("https://twitter.com/petrogustavo","@petrogustavo")</f>
        <v>@petrogustavo</v>
      </c>
      <c r="C12648" s="5" t="s">
        <v>16</v>
      </c>
      <c r="D12648" s="5" t="s">
        <v>12173</v>
      </c>
      <c r="E12648" s="6" t="str">
        <f>HYPERLINK("https://twitter.com/petrogustavo/status/1337005278223544322","1337005278223544322")</f>
        <v>1337005278223544322</v>
      </c>
      <c r="F12648" s="7" t="s">
        <v>17</v>
      </c>
      <c r="G12648" s="7">
        <v>4017185</v>
      </c>
      <c r="H12648" s="7">
        <v>2469</v>
      </c>
      <c r="I12648" s="7">
        <v>146</v>
      </c>
      <c r="J12648" s="7">
        <v>462</v>
      </c>
      <c r="K12648" s="7" t="s">
        <v>18</v>
      </c>
      <c r="L12648" s="8">
        <v>39987.315405092595</v>
      </c>
      <c r="M12648" s="9" t="s">
        <v>19</v>
      </c>
      <c r="N12648" s="9" t="s">
        <v>20</v>
      </c>
      <c r="O12648" s="6" t="str">
        <f>HYPERLINK("https://pbs.twimg.com/profile_images/962471262747529216/Uo8lOkRJ_normal.jpg","View")</f>
        <v>View</v>
      </c>
      <c r="P12648" s="7"/>
    </row>
    <row r="12649" spans="1:16">
      <c r="A12649" s="3">
        <v>44175.734027777777</v>
      </c>
      <c r="B12649" s="4" t="str">
        <f>HYPERLINK("https://twitter.com/petrogustavo","@petrogustavo")</f>
        <v>@petrogustavo</v>
      </c>
      <c r="C12649" s="5" t="s">
        <v>16</v>
      </c>
      <c r="D12649" s="5" t="s">
        <v>12174</v>
      </c>
      <c r="E12649" s="6" t="str">
        <f>HYPERLINK("https://twitter.com/petrogustavo/status/1337005895482564610","1337005895482564610")</f>
        <v>1337005895482564610</v>
      </c>
      <c r="F12649" s="7" t="s">
        <v>17</v>
      </c>
      <c r="G12649" s="7">
        <v>4017185</v>
      </c>
      <c r="H12649" s="7">
        <v>2469</v>
      </c>
      <c r="I12649" s="7">
        <v>129</v>
      </c>
      <c r="J12649" s="7">
        <v>492</v>
      </c>
      <c r="K12649" s="7" t="s">
        <v>18</v>
      </c>
      <c r="L12649" s="8">
        <v>39987.315405092595</v>
      </c>
      <c r="M12649" s="9" t="s">
        <v>19</v>
      </c>
      <c r="N12649" s="9" t="s">
        <v>20</v>
      </c>
      <c r="O12649" s="6" t="str">
        <f>HYPERLINK("https://pbs.twimg.com/profile_images/962471262747529216/Uo8lOkRJ_normal.jpg","View")</f>
        <v>View</v>
      </c>
      <c r="P12649" s="7"/>
    </row>
    <row r="12650" spans="1:16">
      <c r="A12650" s="3">
        <v>44175.736585648148</v>
      </c>
      <c r="B12650" s="4" t="str">
        <f>HYPERLINK("https://twitter.com/petrogustavo","@petrogustavo")</f>
        <v>@petrogustavo</v>
      </c>
      <c r="C12650" s="5" t="s">
        <v>16</v>
      </c>
      <c r="D12650" s="5" t="s">
        <v>12175</v>
      </c>
      <c r="E12650" s="6" t="str">
        <f>HYPERLINK("https://twitter.com/petrogustavo/status/1337006820582420480","1337006820582420480")</f>
        <v>1337006820582420480</v>
      </c>
      <c r="F12650" s="7" t="s">
        <v>17</v>
      </c>
      <c r="G12650" s="7">
        <v>4017185</v>
      </c>
      <c r="H12650" s="7">
        <v>2469</v>
      </c>
      <c r="I12650" s="7">
        <v>40</v>
      </c>
      <c r="J12650" s="7">
        <v>119</v>
      </c>
      <c r="K12650" s="7" t="s">
        <v>18</v>
      </c>
      <c r="L12650" s="8">
        <v>39987.315405092595</v>
      </c>
      <c r="M12650" s="9" t="s">
        <v>19</v>
      </c>
      <c r="N12650" s="9" t="s">
        <v>20</v>
      </c>
      <c r="O12650" s="6" t="str">
        <f>HYPERLINK("https://pbs.twimg.com/profile_images/962471262747529216/Uo8lOkRJ_normal.jpg","View")</f>
        <v>View</v>
      </c>
      <c r="P12650" s="7"/>
    </row>
    <row r="12651" spans="1:16">
      <c r="A12651" s="3">
        <v>44175.73814814815</v>
      </c>
      <c r="B12651" s="4" t="str">
        <f>HYPERLINK("https://twitter.com/petrogustavo","@petrogustavo")</f>
        <v>@petrogustavo</v>
      </c>
      <c r="C12651" s="5" t="s">
        <v>16</v>
      </c>
      <c r="D12651" s="5" t="s">
        <v>12176</v>
      </c>
      <c r="E12651" s="6" t="str">
        <f>HYPERLINK("https://twitter.com/petrogustavo/status/1337007388055007234","1337007388055007234")</f>
        <v>1337007388055007234</v>
      </c>
      <c r="F12651" s="7" t="s">
        <v>17</v>
      </c>
      <c r="G12651" s="7">
        <v>4017185</v>
      </c>
      <c r="H12651" s="7">
        <v>2469</v>
      </c>
      <c r="I12651" s="7">
        <v>35</v>
      </c>
      <c r="J12651" s="7">
        <v>114</v>
      </c>
      <c r="K12651" s="7" t="s">
        <v>18</v>
      </c>
      <c r="L12651" s="8">
        <v>39987.315405092595</v>
      </c>
      <c r="M12651" s="9" t="s">
        <v>19</v>
      </c>
      <c r="N12651" s="9" t="s">
        <v>20</v>
      </c>
      <c r="O12651" s="6" t="str">
        <f>HYPERLINK("https://pbs.twimg.com/profile_images/962471262747529216/Uo8lOkRJ_normal.jpg","View")</f>
        <v>View</v>
      </c>
      <c r="P12651" s="7"/>
    </row>
    <row r="12652" spans="1:16">
      <c r="A12652" s="3">
        <v>44175.742951388893</v>
      </c>
      <c r="B12652" s="4" t="str">
        <f>HYPERLINK("https://twitter.com/petrogustavo","@petrogustavo")</f>
        <v>@petrogustavo</v>
      </c>
      <c r="C12652" s="5" t="s">
        <v>16</v>
      </c>
      <c r="D12652" s="5" t="s">
        <v>12177</v>
      </c>
      <c r="E12652" s="6" t="str">
        <f>HYPERLINK("https://twitter.com/petrogustavo/status/1337009127663546370","1337009127663546370")</f>
        <v>1337009127663546370</v>
      </c>
      <c r="F12652" s="7" t="s">
        <v>17</v>
      </c>
      <c r="G12652" s="7">
        <v>4017189</v>
      </c>
      <c r="H12652" s="7">
        <v>2469</v>
      </c>
      <c r="I12652" s="7">
        <v>29</v>
      </c>
      <c r="J12652" s="7">
        <v>245</v>
      </c>
      <c r="K12652" s="7" t="s">
        <v>18</v>
      </c>
      <c r="L12652" s="8">
        <v>39987.315405092595</v>
      </c>
      <c r="M12652" s="9" t="s">
        <v>19</v>
      </c>
      <c r="N12652" s="9" t="s">
        <v>20</v>
      </c>
      <c r="O12652" s="6" t="str">
        <f>HYPERLINK("https://pbs.twimg.com/profile_images/962471262747529216/Uo8lOkRJ_normal.jpg","View")</f>
        <v>View</v>
      </c>
      <c r="P12652" s="7"/>
    </row>
    <row r="12653" spans="1:16">
      <c r="A12653" s="3">
        <v>44175.747916666667</v>
      </c>
      <c r="B12653" s="4" t="str">
        <f>HYPERLINK("https://twitter.com/petrogustavo","@petrogustavo")</f>
        <v>@petrogustavo</v>
      </c>
      <c r="C12653" s="5" t="s">
        <v>16</v>
      </c>
      <c r="D12653" s="5" t="s">
        <v>12178</v>
      </c>
      <c r="E12653" s="6" t="str">
        <f>HYPERLINK("https://twitter.com/petrogustavo/status/1337010926910844928","1337010926910844928")</f>
        <v>1337010926910844928</v>
      </c>
      <c r="F12653" s="7" t="s">
        <v>17</v>
      </c>
      <c r="G12653" s="7">
        <v>4017189</v>
      </c>
      <c r="H12653" s="7">
        <v>2469</v>
      </c>
      <c r="I12653" s="7">
        <v>157</v>
      </c>
      <c r="J12653" s="7">
        <v>0</v>
      </c>
      <c r="K12653" s="7" t="s">
        <v>18</v>
      </c>
      <c r="L12653" s="8">
        <v>39987.315405092595</v>
      </c>
      <c r="M12653" s="9" t="s">
        <v>19</v>
      </c>
      <c r="N12653" s="9" t="s">
        <v>20</v>
      </c>
      <c r="O12653" s="6" t="str">
        <f>HYPERLINK("https://pbs.twimg.com/profile_images/962471262747529216/Uo8lOkRJ_normal.jpg","View")</f>
        <v>View</v>
      </c>
      <c r="P12653" s="7"/>
    </row>
    <row r="12654" spans="1:16">
      <c r="A12654" s="3">
        <v>44175.755995370375</v>
      </c>
      <c r="B12654" s="4" t="str">
        <f>HYPERLINK("https://twitter.com/petrogustavo","@petrogustavo")</f>
        <v>@petrogustavo</v>
      </c>
      <c r="C12654" s="5" t="s">
        <v>16</v>
      </c>
      <c r="D12654" s="5" t="s">
        <v>12179</v>
      </c>
      <c r="E12654" s="6" t="str">
        <f>HYPERLINK("https://twitter.com/petrogustavo/status/1337013855617216512","1337013855617216512")</f>
        <v>1337013855617216512</v>
      </c>
      <c r="F12654" s="7" t="s">
        <v>17</v>
      </c>
      <c r="G12654" s="7">
        <v>4017189</v>
      </c>
      <c r="H12654" s="7">
        <v>2469</v>
      </c>
      <c r="I12654" s="7">
        <v>473</v>
      </c>
      <c r="J12654" s="7">
        <v>0</v>
      </c>
      <c r="K12654" s="7" t="s">
        <v>18</v>
      </c>
      <c r="L12654" s="8">
        <v>39987.315405092595</v>
      </c>
      <c r="M12654" s="9" t="s">
        <v>19</v>
      </c>
      <c r="N12654" s="9" t="s">
        <v>20</v>
      </c>
      <c r="O12654" s="6" t="str">
        <f>HYPERLINK("https://pbs.twimg.com/profile_images/962471262747529216/Uo8lOkRJ_normal.jpg","View")</f>
        <v>View</v>
      </c>
      <c r="P12654" s="7"/>
    </row>
    <row r="12655" spans="1:16">
      <c r="A12655" s="3">
        <v>44175.779513888891</v>
      </c>
      <c r="B12655" s="4" t="str">
        <f>HYPERLINK("https://twitter.com/petrogustavo","@petrogustavo")</f>
        <v>@petrogustavo</v>
      </c>
      <c r="C12655" s="5" t="s">
        <v>16</v>
      </c>
      <c r="D12655" s="5" t="s">
        <v>12180</v>
      </c>
      <c r="E12655" s="6" t="str">
        <f>HYPERLINK("https://twitter.com/petrogustavo/status/1337022379067928577","1337022379067928577")</f>
        <v>1337022379067928577</v>
      </c>
      <c r="F12655" s="7" t="s">
        <v>17</v>
      </c>
      <c r="G12655" s="7">
        <v>4017199</v>
      </c>
      <c r="H12655" s="7">
        <v>2469</v>
      </c>
      <c r="I12655" s="7">
        <v>13</v>
      </c>
      <c r="J12655" s="7">
        <v>0</v>
      </c>
      <c r="K12655" s="7" t="s">
        <v>18</v>
      </c>
      <c r="L12655" s="8">
        <v>39987.315405092595</v>
      </c>
      <c r="M12655" s="9" t="s">
        <v>19</v>
      </c>
      <c r="N12655" s="9" t="s">
        <v>20</v>
      </c>
      <c r="O12655" s="6" t="str">
        <f>HYPERLINK("https://pbs.twimg.com/profile_images/962471262747529216/Uo8lOkRJ_normal.jpg","View")</f>
        <v>View</v>
      </c>
      <c r="P12655" s="7"/>
    </row>
    <row r="12656" spans="1:16">
      <c r="A12656" s="3">
        <v>44175.783703703702</v>
      </c>
      <c r="B12656" s="4" t="str">
        <f>HYPERLINK("https://twitter.com/petrogustavo","@petrogustavo")</f>
        <v>@petrogustavo</v>
      </c>
      <c r="C12656" s="5" t="s">
        <v>16</v>
      </c>
      <c r="D12656" s="5" t="s">
        <v>12179</v>
      </c>
      <c r="E12656" s="6" t="str">
        <f>HYPERLINK("https://twitter.com/petrogustavo/status/1337023897447895041","1337023897447895041")</f>
        <v>1337023897447895041</v>
      </c>
      <c r="F12656" s="7" t="s">
        <v>17</v>
      </c>
      <c r="G12656" s="7">
        <v>4017194</v>
      </c>
      <c r="H12656" s="7">
        <v>2469</v>
      </c>
      <c r="I12656" s="7">
        <v>989</v>
      </c>
      <c r="J12656" s="7">
        <v>0</v>
      </c>
      <c r="K12656" s="7" t="s">
        <v>18</v>
      </c>
      <c r="L12656" s="8">
        <v>39987.315405092595</v>
      </c>
      <c r="M12656" s="9" t="s">
        <v>19</v>
      </c>
      <c r="N12656" s="9" t="s">
        <v>20</v>
      </c>
      <c r="O12656" s="6" t="str">
        <f>HYPERLINK("https://pbs.twimg.com/profile_images/962471262747529216/Uo8lOkRJ_normal.jpg","View")</f>
        <v>View</v>
      </c>
      <c r="P12656" s="7"/>
    </row>
    <row r="12657" spans="1:16">
      <c r="A12657" s="3">
        <v>44175.818541666667</v>
      </c>
      <c r="B12657" s="4" t="str">
        <f>HYPERLINK("https://twitter.com/petrogustavo","@petrogustavo")</f>
        <v>@petrogustavo</v>
      </c>
      <c r="C12657" s="5" t="s">
        <v>16</v>
      </c>
      <c r="D12657" s="5" t="s">
        <v>12181</v>
      </c>
      <c r="E12657" s="6" t="str">
        <f>HYPERLINK("https://twitter.com/petrogustavo/status/1337036521292107778","1337036521292107778")</f>
        <v>1337036521292107778</v>
      </c>
      <c r="F12657" s="7" t="s">
        <v>17</v>
      </c>
      <c r="G12657" s="7">
        <v>4017205</v>
      </c>
      <c r="H12657" s="7">
        <v>2469</v>
      </c>
      <c r="I12657" s="7">
        <v>73</v>
      </c>
      <c r="J12657" s="7">
        <v>320</v>
      </c>
      <c r="K12657" s="7" t="s">
        <v>18</v>
      </c>
      <c r="L12657" s="8">
        <v>39987.315405092595</v>
      </c>
      <c r="M12657" s="9" t="s">
        <v>19</v>
      </c>
      <c r="N12657" s="9" t="s">
        <v>20</v>
      </c>
      <c r="O12657" s="6" t="str">
        <f>HYPERLINK("https://pbs.twimg.com/profile_images/962471262747529216/Uo8lOkRJ_normal.jpg","View")</f>
        <v>View</v>
      </c>
      <c r="P12657" s="7"/>
    </row>
    <row r="12658" spans="1:16">
      <c r="A12658" s="3">
        <v>44175.818541666667</v>
      </c>
      <c r="B12658" s="4" t="str">
        <f>HYPERLINK("https://twitter.com/petrogustavo","@petrogustavo")</f>
        <v>@petrogustavo</v>
      </c>
      <c r="C12658" s="5" t="s">
        <v>16</v>
      </c>
      <c r="D12658" s="5" t="s">
        <v>12182</v>
      </c>
      <c r="E12658" s="6" t="str">
        <f>HYPERLINK("https://twitter.com/petrogustavo/status/1337036522613317633","1337036522613317633")</f>
        <v>1337036522613317633</v>
      </c>
      <c r="F12658" s="7" t="s">
        <v>17</v>
      </c>
      <c r="G12658" s="7">
        <v>4017205</v>
      </c>
      <c r="H12658" s="7">
        <v>2469</v>
      </c>
      <c r="I12658" s="7">
        <v>25</v>
      </c>
      <c r="J12658" s="7">
        <v>123</v>
      </c>
      <c r="K12658" s="7" t="s">
        <v>18</v>
      </c>
      <c r="L12658" s="8">
        <v>39987.315405092595</v>
      </c>
      <c r="M12658" s="9" t="s">
        <v>19</v>
      </c>
      <c r="N12658" s="9" t="s">
        <v>20</v>
      </c>
      <c r="O12658" s="6" t="str">
        <f>HYPERLINK("https://pbs.twimg.com/profile_images/962471262747529216/Uo8lOkRJ_normal.jpg","View")</f>
        <v>View</v>
      </c>
      <c r="P12658" s="7"/>
    </row>
    <row r="12659" spans="1:16">
      <c r="A12659" s="3">
        <v>44175.818541666667</v>
      </c>
      <c r="B12659" s="4" t="str">
        <f>HYPERLINK("https://twitter.com/petrogustavo","@petrogustavo")</f>
        <v>@petrogustavo</v>
      </c>
      <c r="C12659" s="5" t="s">
        <v>16</v>
      </c>
      <c r="D12659" s="5" t="s">
        <v>12183</v>
      </c>
      <c r="E12659" s="6" t="str">
        <f>HYPERLINK("https://twitter.com/petrogustavo/status/1337036524102144007","1337036524102144007")</f>
        <v>1337036524102144007</v>
      </c>
      <c r="F12659" s="7" t="s">
        <v>17</v>
      </c>
      <c r="G12659" s="7">
        <v>4017205</v>
      </c>
      <c r="H12659" s="7">
        <v>2469</v>
      </c>
      <c r="I12659" s="7">
        <v>25</v>
      </c>
      <c r="J12659" s="7">
        <v>135</v>
      </c>
      <c r="K12659" s="7" t="s">
        <v>18</v>
      </c>
      <c r="L12659" s="8">
        <v>39987.315405092595</v>
      </c>
      <c r="M12659" s="9" t="s">
        <v>19</v>
      </c>
      <c r="N12659" s="9" t="s">
        <v>20</v>
      </c>
      <c r="O12659" s="6" t="str">
        <f>HYPERLINK("https://pbs.twimg.com/profile_images/962471262747529216/Uo8lOkRJ_normal.jpg","View")</f>
        <v>View</v>
      </c>
      <c r="P12659" s="7"/>
    </row>
    <row r="12660" spans="1:16">
      <c r="A12660" s="3">
        <v>44175.831805555557</v>
      </c>
      <c r="B12660" s="4" t="str">
        <f>HYPERLINK("https://twitter.com/petrogustavo","@petrogustavo")</f>
        <v>@petrogustavo</v>
      </c>
      <c r="C12660" s="5" t="s">
        <v>16</v>
      </c>
      <c r="D12660" s="5" t="s">
        <v>12184</v>
      </c>
      <c r="E12660" s="6" t="str">
        <f>HYPERLINK("https://twitter.com/petrogustavo/status/1337041328555896840","1337041328555896840")</f>
        <v>1337041328555896840</v>
      </c>
      <c r="F12660" s="7" t="s">
        <v>17</v>
      </c>
      <c r="G12660" s="7">
        <v>4017205</v>
      </c>
      <c r="H12660" s="7">
        <v>2469</v>
      </c>
      <c r="I12660" s="7">
        <v>66</v>
      </c>
      <c r="J12660" s="7">
        <v>216</v>
      </c>
      <c r="K12660" s="7" t="s">
        <v>18</v>
      </c>
      <c r="L12660" s="8">
        <v>39987.315405092595</v>
      </c>
      <c r="M12660" s="9" t="s">
        <v>19</v>
      </c>
      <c r="N12660" s="9" t="s">
        <v>20</v>
      </c>
      <c r="O12660" s="6" t="str">
        <f>HYPERLINK("https://pbs.twimg.com/profile_images/962471262747529216/Uo8lOkRJ_normal.jpg","View")</f>
        <v>View</v>
      </c>
      <c r="P12660" s="7"/>
    </row>
    <row r="12661" spans="1:16">
      <c r="A12661" s="3">
        <v>44175.833796296298</v>
      </c>
      <c r="B12661" s="4" t="str">
        <f>HYPERLINK("https://twitter.com/petrogustavo","@petrogustavo")</f>
        <v>@petrogustavo</v>
      </c>
      <c r="C12661" s="5" t="s">
        <v>16</v>
      </c>
      <c r="D12661" s="5" t="s">
        <v>12185</v>
      </c>
      <c r="E12661" s="6" t="str">
        <f>HYPERLINK("https://twitter.com/petrogustavo/status/1337042052274589698","1337042052274589698")</f>
        <v>1337042052274589698</v>
      </c>
      <c r="F12661" s="7" t="s">
        <v>17</v>
      </c>
      <c r="G12661" s="7">
        <v>4017205</v>
      </c>
      <c r="H12661" s="7">
        <v>2469</v>
      </c>
      <c r="I12661" s="7">
        <v>62</v>
      </c>
      <c r="J12661" s="7">
        <v>170</v>
      </c>
      <c r="K12661" s="7" t="s">
        <v>18</v>
      </c>
      <c r="L12661" s="8">
        <v>39987.315405092595</v>
      </c>
      <c r="M12661" s="9" t="s">
        <v>19</v>
      </c>
      <c r="N12661" s="9" t="s">
        <v>20</v>
      </c>
      <c r="O12661" s="6" t="str">
        <f>HYPERLINK("https://pbs.twimg.com/profile_images/962471262747529216/Uo8lOkRJ_normal.jpg","View")</f>
        <v>View</v>
      </c>
      <c r="P12661" s="7"/>
    </row>
    <row r="12662" spans="1:16">
      <c r="A12662" s="3">
        <v>44175.8359375</v>
      </c>
      <c r="B12662" s="4" t="str">
        <f>HYPERLINK("https://twitter.com/petrogustavo","@petrogustavo")</f>
        <v>@petrogustavo</v>
      </c>
      <c r="C12662" s="5" t="s">
        <v>16</v>
      </c>
      <c r="D12662" s="5" t="s">
        <v>12186</v>
      </c>
      <c r="E12662" s="6" t="str">
        <f>HYPERLINK("https://twitter.com/petrogustavo/status/1337042825939193867","1337042825939193867")</f>
        <v>1337042825939193867</v>
      </c>
      <c r="F12662" s="7" t="s">
        <v>17</v>
      </c>
      <c r="G12662" s="7">
        <v>4017205</v>
      </c>
      <c r="H12662" s="7">
        <v>2469</v>
      </c>
      <c r="I12662" s="7">
        <v>25</v>
      </c>
      <c r="J12662" s="7">
        <v>76</v>
      </c>
      <c r="K12662" s="7" t="s">
        <v>18</v>
      </c>
      <c r="L12662" s="8">
        <v>39987.315405092595</v>
      </c>
      <c r="M12662" s="9" t="s">
        <v>19</v>
      </c>
      <c r="N12662" s="9" t="s">
        <v>20</v>
      </c>
      <c r="O12662" s="6" t="str">
        <f>HYPERLINK("https://pbs.twimg.com/profile_images/962471262747529216/Uo8lOkRJ_normal.jpg","View")</f>
        <v>View</v>
      </c>
      <c r="P12662" s="7"/>
    </row>
    <row r="12663" spans="1:16">
      <c r="A12663" s="3">
        <v>44175.836192129631</v>
      </c>
      <c r="B12663" s="4" t="str">
        <f>HYPERLINK("https://twitter.com/petrogustavo","@petrogustavo")</f>
        <v>@petrogustavo</v>
      </c>
      <c r="C12663" s="5" t="s">
        <v>16</v>
      </c>
      <c r="D12663" s="5" t="s">
        <v>12187</v>
      </c>
      <c r="E12663" s="6" t="str">
        <f>HYPERLINK("https://twitter.com/petrogustavo/status/1337042919170183176","1337042919170183176")</f>
        <v>1337042919170183176</v>
      </c>
      <c r="F12663" s="7" t="s">
        <v>17</v>
      </c>
      <c r="G12663" s="7">
        <v>4017205</v>
      </c>
      <c r="H12663" s="7">
        <v>2469</v>
      </c>
      <c r="I12663" s="7">
        <v>66</v>
      </c>
      <c r="J12663" s="7">
        <v>0</v>
      </c>
      <c r="K12663" s="7" t="s">
        <v>18</v>
      </c>
      <c r="L12663" s="8">
        <v>39987.315405092595</v>
      </c>
      <c r="M12663" s="9" t="s">
        <v>19</v>
      </c>
      <c r="N12663" s="9" t="s">
        <v>20</v>
      </c>
      <c r="O12663" s="6" t="str">
        <f>HYPERLINK("https://pbs.twimg.com/profile_images/962471262747529216/Uo8lOkRJ_normal.jpg","View")</f>
        <v>View</v>
      </c>
      <c r="P12663" s="7"/>
    </row>
    <row r="12664" spans="1:16">
      <c r="A12664" s="3">
        <v>44175.840486111112</v>
      </c>
      <c r="B12664" s="4" t="str">
        <f>HYPERLINK("https://twitter.com/petrogustavo","@petrogustavo")</f>
        <v>@petrogustavo</v>
      </c>
      <c r="C12664" s="5" t="s">
        <v>16</v>
      </c>
      <c r="D12664" s="5" t="s">
        <v>12188</v>
      </c>
      <c r="E12664" s="6" t="str">
        <f>HYPERLINK("https://twitter.com/petrogustavo/status/1337044473918971914","1337044473918971914")</f>
        <v>1337044473918971914</v>
      </c>
      <c r="F12664" s="7" t="s">
        <v>17</v>
      </c>
      <c r="G12664" s="7">
        <v>4017205</v>
      </c>
      <c r="H12664" s="7">
        <v>2469</v>
      </c>
      <c r="I12664" s="7">
        <v>26</v>
      </c>
      <c r="J12664" s="7">
        <v>79</v>
      </c>
      <c r="K12664" s="7" t="s">
        <v>18</v>
      </c>
      <c r="L12664" s="8">
        <v>39987.315405092595</v>
      </c>
      <c r="M12664" s="9" t="s">
        <v>19</v>
      </c>
      <c r="N12664" s="9" t="s">
        <v>20</v>
      </c>
      <c r="O12664" s="6" t="str">
        <f>HYPERLINK("https://pbs.twimg.com/profile_images/962471262747529216/Uo8lOkRJ_normal.jpg","View")</f>
        <v>View</v>
      </c>
      <c r="P12664" s="7"/>
    </row>
    <row r="12665" spans="1:16">
      <c r="A12665" s="3">
        <v>44175.841145833328</v>
      </c>
      <c r="B12665" s="4" t="str">
        <f>HYPERLINK("https://twitter.com/petrogustavo","@petrogustavo")</f>
        <v>@petrogustavo</v>
      </c>
      <c r="C12665" s="5" t="s">
        <v>16</v>
      </c>
      <c r="D12665" s="5" t="s">
        <v>12189</v>
      </c>
      <c r="E12665" s="6" t="str">
        <f>HYPERLINK("https://twitter.com/petrogustavo/status/1337044712839122945","1337044712839122945")</f>
        <v>1337044712839122945</v>
      </c>
      <c r="F12665" s="7" t="s">
        <v>17</v>
      </c>
      <c r="G12665" s="7">
        <v>4017205</v>
      </c>
      <c r="H12665" s="7">
        <v>2469</v>
      </c>
      <c r="I12665" s="7">
        <v>26</v>
      </c>
      <c r="J12665" s="7">
        <v>50</v>
      </c>
      <c r="K12665" s="7" t="s">
        <v>18</v>
      </c>
      <c r="L12665" s="8">
        <v>39987.315405092595</v>
      </c>
      <c r="M12665" s="9" t="s">
        <v>19</v>
      </c>
      <c r="N12665" s="9" t="s">
        <v>20</v>
      </c>
      <c r="O12665" s="6" t="str">
        <f>HYPERLINK("https://pbs.twimg.com/profile_images/962471262747529216/Uo8lOkRJ_normal.jpg","View")</f>
        <v>View</v>
      </c>
      <c r="P12665" s="7"/>
    </row>
    <row r="12666" spans="1:16">
      <c r="A12666" s="3">
        <v>44175.841516203705</v>
      </c>
      <c r="B12666" s="4" t="str">
        <f>HYPERLINK("https://twitter.com/petrogustavo","@petrogustavo")</f>
        <v>@petrogustavo</v>
      </c>
      <c r="C12666" s="5" t="s">
        <v>16</v>
      </c>
      <c r="D12666" s="5" t="s">
        <v>12190</v>
      </c>
      <c r="E12666" s="6" t="str">
        <f>HYPERLINK("https://twitter.com/petrogustavo/status/1337044848906547205","1337044848906547205")</f>
        <v>1337044848906547205</v>
      </c>
      <c r="F12666" s="7" t="s">
        <v>17</v>
      </c>
      <c r="G12666" s="7">
        <v>4017205</v>
      </c>
      <c r="H12666" s="7">
        <v>2469</v>
      </c>
      <c r="I12666" s="7">
        <v>30</v>
      </c>
      <c r="J12666" s="7">
        <v>0</v>
      </c>
      <c r="K12666" s="7" t="s">
        <v>18</v>
      </c>
      <c r="L12666" s="8">
        <v>39987.315405092595</v>
      </c>
      <c r="M12666" s="9" t="s">
        <v>19</v>
      </c>
      <c r="N12666" s="9" t="s">
        <v>20</v>
      </c>
      <c r="O12666" s="6" t="str">
        <f>HYPERLINK("https://pbs.twimg.com/profile_images/962471262747529216/Uo8lOkRJ_normal.jpg","View")</f>
        <v>View</v>
      </c>
      <c r="P12666" s="7"/>
    </row>
    <row r="12667" spans="1:16">
      <c r="A12667" s="3">
        <v>44175.947546296295</v>
      </c>
      <c r="B12667" s="4" t="str">
        <f>HYPERLINK("https://twitter.com/petrogustavo","@petrogustavo")</f>
        <v>@petrogustavo</v>
      </c>
      <c r="C12667" s="5" t="s">
        <v>16</v>
      </c>
      <c r="D12667" s="5" t="s">
        <v>12191</v>
      </c>
      <c r="E12667" s="6" t="str">
        <f>HYPERLINK("https://twitter.com/petrogustavo/status/1337083270895443969","1337083270895443969")</f>
        <v>1337083270895443969</v>
      </c>
      <c r="F12667" s="7" t="s">
        <v>17</v>
      </c>
      <c r="G12667" s="7">
        <v>4017216</v>
      </c>
      <c r="H12667" s="7">
        <v>2469</v>
      </c>
      <c r="I12667" s="7">
        <v>45</v>
      </c>
      <c r="J12667" s="7">
        <v>189</v>
      </c>
      <c r="K12667" s="7" t="s">
        <v>18</v>
      </c>
      <c r="L12667" s="8">
        <v>39987.315405092595</v>
      </c>
      <c r="M12667" s="9" t="s">
        <v>19</v>
      </c>
      <c r="N12667" s="9" t="s">
        <v>20</v>
      </c>
      <c r="O12667" s="6" t="str">
        <f>HYPERLINK("https://pbs.twimg.com/profile_images/962471262747529216/Uo8lOkRJ_normal.jpg","View")</f>
        <v>View</v>
      </c>
      <c r="P12667" s="7"/>
    </row>
    <row r="12668" spans="1:16">
      <c r="A12668" s="3">
        <v>44175.947974537034</v>
      </c>
      <c r="B12668" s="4" t="str">
        <f>HYPERLINK("https://twitter.com/petrogustavo","@petrogustavo")</f>
        <v>@petrogustavo</v>
      </c>
      <c r="C12668" s="5" t="s">
        <v>16</v>
      </c>
      <c r="D12668" s="5" t="s">
        <v>12192</v>
      </c>
      <c r="E12668" s="6" t="str">
        <f>HYPERLINK("https://twitter.com/petrogustavo/status/1337083429054242817","1337083429054242817")</f>
        <v>1337083429054242817</v>
      </c>
      <c r="F12668" s="7" t="s">
        <v>17</v>
      </c>
      <c r="G12668" s="7">
        <v>4017216</v>
      </c>
      <c r="H12668" s="7">
        <v>2469</v>
      </c>
      <c r="I12668" s="7">
        <v>168</v>
      </c>
      <c r="J12668" s="7">
        <v>0</v>
      </c>
      <c r="K12668" s="7" t="s">
        <v>18</v>
      </c>
      <c r="L12668" s="8">
        <v>39987.315405092595</v>
      </c>
      <c r="M12668" s="9" t="s">
        <v>19</v>
      </c>
      <c r="N12668" s="9" t="s">
        <v>20</v>
      </c>
      <c r="O12668" s="6" t="str">
        <f>HYPERLINK("https://pbs.twimg.com/profile_images/962471262747529216/Uo8lOkRJ_normal.jpg","View")</f>
        <v>View</v>
      </c>
      <c r="P12668" s="7"/>
    </row>
    <row r="12669" spans="1:16">
      <c r="A12669" s="3">
        <v>44175.980960648143</v>
      </c>
      <c r="B12669" s="4" t="str">
        <f>HYPERLINK("https://twitter.com/petrogustavo","@petrogustavo")</f>
        <v>@petrogustavo</v>
      </c>
      <c r="C12669" s="5" t="s">
        <v>16</v>
      </c>
      <c r="D12669" s="5" t="s">
        <v>12193</v>
      </c>
      <c r="E12669" s="6" t="str">
        <f>HYPERLINK("https://twitter.com/petrogustavo/status/1337095380773822468","1337095380773822468")</f>
        <v>1337095380773822468</v>
      </c>
      <c r="F12669" s="7" t="s">
        <v>17</v>
      </c>
      <c r="G12669" s="7">
        <v>4017228</v>
      </c>
      <c r="H12669" s="7">
        <v>2469</v>
      </c>
      <c r="I12669" s="7">
        <v>109</v>
      </c>
      <c r="J12669" s="7">
        <v>429</v>
      </c>
      <c r="K12669" s="7" t="s">
        <v>18</v>
      </c>
      <c r="L12669" s="8">
        <v>39987.315405092595</v>
      </c>
      <c r="M12669" s="9" t="s">
        <v>19</v>
      </c>
      <c r="N12669" s="9" t="s">
        <v>20</v>
      </c>
      <c r="O12669" s="6" t="str">
        <f>HYPERLINK("https://pbs.twimg.com/profile_images/962471262747529216/Uo8lOkRJ_normal.jpg","View")</f>
        <v>View</v>
      </c>
      <c r="P12669" s="7"/>
    </row>
    <row r="12670" spans="1:16">
      <c r="A12670" s="3">
        <v>44176.199652777781</v>
      </c>
      <c r="B12670" s="4" t="str">
        <f>HYPERLINK("https://twitter.com/petrogustavo","@petrogustavo")</f>
        <v>@petrogustavo</v>
      </c>
      <c r="C12670" s="5" t="s">
        <v>16</v>
      </c>
      <c r="D12670" s="5" t="s">
        <v>12194</v>
      </c>
      <c r="E12670" s="6" t="str">
        <f>HYPERLINK("https://twitter.com/petrogustavo/status/1337174633318113282","1337174633318113282")</f>
        <v>1337174633318113282</v>
      </c>
      <c r="F12670" s="7" t="s">
        <v>17</v>
      </c>
      <c r="G12670" s="7">
        <v>4017272</v>
      </c>
      <c r="H12670" s="7">
        <v>2468</v>
      </c>
      <c r="I12670" s="7">
        <v>9</v>
      </c>
      <c r="J12670" s="7">
        <v>0</v>
      </c>
      <c r="K12670" s="7" t="s">
        <v>18</v>
      </c>
      <c r="L12670" s="8">
        <v>39987.315405092595</v>
      </c>
      <c r="M12670" s="9" t="s">
        <v>19</v>
      </c>
      <c r="N12670" s="9" t="s">
        <v>20</v>
      </c>
      <c r="O12670" s="6" t="str">
        <f>HYPERLINK("https://pbs.twimg.com/profile_images/962471262747529216/Uo8lOkRJ_normal.jpg","View")</f>
        <v>View</v>
      </c>
      <c r="P12670" s="7"/>
    </row>
    <row r="12671" spans="1:16">
      <c r="A12671" s="3">
        <v>44176.200717592597</v>
      </c>
      <c r="B12671" s="4" t="str">
        <f>HYPERLINK("https://twitter.com/petrogustavo","@petrogustavo")</f>
        <v>@petrogustavo</v>
      </c>
      <c r="C12671" s="5" t="s">
        <v>16</v>
      </c>
      <c r="D12671" s="5" t="s">
        <v>12195</v>
      </c>
      <c r="E12671" s="6" t="str">
        <f>HYPERLINK("https://twitter.com/petrogustavo/status/1337175017130430466","1337175017130430466")</f>
        <v>1337175017130430466</v>
      </c>
      <c r="F12671" s="7" t="s">
        <v>17</v>
      </c>
      <c r="G12671" s="7">
        <v>4017275</v>
      </c>
      <c r="H12671" s="7">
        <v>2468</v>
      </c>
      <c r="I12671" s="7">
        <v>61</v>
      </c>
      <c r="J12671" s="7">
        <v>218</v>
      </c>
      <c r="K12671" s="7" t="s">
        <v>18</v>
      </c>
      <c r="L12671" s="8">
        <v>39987.315405092595</v>
      </c>
      <c r="M12671" s="9" t="s">
        <v>19</v>
      </c>
      <c r="N12671" s="9" t="s">
        <v>20</v>
      </c>
      <c r="O12671" s="6" t="str">
        <f>HYPERLINK("https://pbs.twimg.com/profile_images/962471262747529216/Uo8lOkRJ_normal.jpg","View")</f>
        <v>View</v>
      </c>
      <c r="P12671" s="7"/>
    </row>
    <row r="12672" spans="1:16">
      <c r="A12672" s="3">
        <v>44176.204571759255</v>
      </c>
      <c r="B12672" s="4" t="str">
        <f>HYPERLINK("https://twitter.com/petrogustavo","@petrogustavo")</f>
        <v>@petrogustavo</v>
      </c>
      <c r="C12672" s="5" t="s">
        <v>16</v>
      </c>
      <c r="D12672" s="5" t="s">
        <v>12196</v>
      </c>
      <c r="E12672" s="6" t="str">
        <f>HYPERLINK("https://twitter.com/petrogustavo/status/1337176416543256580","1337176416543256580")</f>
        <v>1337176416543256580</v>
      </c>
      <c r="F12672" s="7" t="s">
        <v>17</v>
      </c>
      <c r="G12672" s="7">
        <v>4017275</v>
      </c>
      <c r="H12672" s="7">
        <v>2468</v>
      </c>
      <c r="I12672" s="7">
        <v>35</v>
      </c>
      <c r="J12672" s="7">
        <v>0</v>
      </c>
      <c r="K12672" s="7" t="s">
        <v>18</v>
      </c>
      <c r="L12672" s="8">
        <v>39987.315405092595</v>
      </c>
      <c r="M12672" s="9" t="s">
        <v>19</v>
      </c>
      <c r="N12672" s="9" t="s">
        <v>20</v>
      </c>
      <c r="O12672" s="6" t="str">
        <f>HYPERLINK("https://pbs.twimg.com/profile_images/962471262747529216/Uo8lOkRJ_normal.jpg","View")</f>
        <v>View</v>
      </c>
      <c r="P12672" s="7"/>
    </row>
    <row r="12673" spans="1:16">
      <c r="A12673" s="3">
        <v>44176.301481481481</v>
      </c>
      <c r="B12673" s="4" t="str">
        <f>HYPERLINK("https://twitter.com/petrogustavo","@petrogustavo")</f>
        <v>@petrogustavo</v>
      </c>
      <c r="C12673" s="5" t="s">
        <v>16</v>
      </c>
      <c r="D12673" s="5" t="s">
        <v>12197</v>
      </c>
      <c r="E12673" s="6" t="str">
        <f>HYPERLINK("https://twitter.com/petrogustavo/status/1337211533185703940","1337211533185703940")</f>
        <v>1337211533185703940</v>
      </c>
      <c r="F12673" s="7" t="s">
        <v>17</v>
      </c>
      <c r="G12673" s="7">
        <v>4017327</v>
      </c>
      <c r="H12673" s="7">
        <v>2468</v>
      </c>
      <c r="I12673" s="7">
        <v>19</v>
      </c>
      <c r="J12673" s="7">
        <v>65</v>
      </c>
      <c r="K12673" s="7" t="s">
        <v>18</v>
      </c>
      <c r="L12673" s="8">
        <v>39987.315405092595</v>
      </c>
      <c r="M12673" s="9" t="s">
        <v>19</v>
      </c>
      <c r="N12673" s="9" t="s">
        <v>20</v>
      </c>
      <c r="O12673" s="6" t="str">
        <f>HYPERLINK("https://pbs.twimg.com/profile_images/962471262747529216/Uo8lOkRJ_normal.jpg","View")</f>
        <v>View</v>
      </c>
      <c r="P12673" s="7"/>
    </row>
    <row r="12674" spans="1:16">
      <c r="A12674" s="3">
        <v>44176.302951388891</v>
      </c>
      <c r="B12674" s="4" t="str">
        <f>HYPERLINK("https://twitter.com/petrogustavo","@petrogustavo")</f>
        <v>@petrogustavo</v>
      </c>
      <c r="C12674" s="5" t="s">
        <v>16</v>
      </c>
      <c r="D12674" s="5" t="s">
        <v>12198</v>
      </c>
      <c r="E12674" s="6" t="str">
        <f>HYPERLINK("https://twitter.com/petrogustavo/status/1337212068043378689","1337212068043378689")</f>
        <v>1337212068043378689</v>
      </c>
      <c r="F12674" s="7" t="s">
        <v>17</v>
      </c>
      <c r="G12674" s="7">
        <v>4017327</v>
      </c>
      <c r="H12674" s="7">
        <v>2468</v>
      </c>
      <c r="I12674" s="7">
        <v>5</v>
      </c>
      <c r="J12674" s="7">
        <v>0</v>
      </c>
      <c r="K12674" s="7" t="s">
        <v>18</v>
      </c>
      <c r="L12674" s="8">
        <v>39987.315405092595</v>
      </c>
      <c r="M12674" s="9" t="s">
        <v>19</v>
      </c>
      <c r="N12674" s="9" t="s">
        <v>20</v>
      </c>
      <c r="O12674" s="6" t="str">
        <f>HYPERLINK("https://pbs.twimg.com/profile_images/962471262747529216/Uo8lOkRJ_normal.jpg","View")</f>
        <v>View</v>
      </c>
      <c r="P12674" s="7"/>
    </row>
    <row r="12675" spans="1:16">
      <c r="A12675" s="3">
        <v>44176.30405092593</v>
      </c>
      <c r="B12675" s="4" t="str">
        <f>HYPERLINK("https://twitter.com/petrogustavo","@petrogustavo")</f>
        <v>@petrogustavo</v>
      </c>
      <c r="C12675" s="5" t="s">
        <v>16</v>
      </c>
      <c r="D12675" s="5" t="s">
        <v>12199</v>
      </c>
      <c r="E12675" s="6" t="str">
        <f>HYPERLINK("https://twitter.com/petrogustavo/status/1337212466795859969","1337212466795859969")</f>
        <v>1337212466795859969</v>
      </c>
      <c r="F12675" s="7" t="s">
        <v>17</v>
      </c>
      <c r="G12675" s="7">
        <v>4017327</v>
      </c>
      <c r="H12675" s="7">
        <v>2468</v>
      </c>
      <c r="I12675" s="7">
        <v>26</v>
      </c>
      <c r="J12675" s="7">
        <v>0</v>
      </c>
      <c r="K12675" s="7" t="s">
        <v>18</v>
      </c>
      <c r="L12675" s="8">
        <v>39987.315405092595</v>
      </c>
      <c r="M12675" s="9" t="s">
        <v>19</v>
      </c>
      <c r="N12675" s="9" t="s">
        <v>20</v>
      </c>
      <c r="O12675" s="6" t="str">
        <f>HYPERLINK("https://pbs.twimg.com/profile_images/962471262747529216/Uo8lOkRJ_normal.jpg","View")</f>
        <v>View</v>
      </c>
      <c r="P12675" s="7"/>
    </row>
    <row r="12676" spans="1:16">
      <c r="A12676" s="3">
        <v>44176.309097222227</v>
      </c>
      <c r="B12676" s="4" t="str">
        <f>HYPERLINK("https://twitter.com/petrogustavo","@petrogustavo")</f>
        <v>@petrogustavo</v>
      </c>
      <c r="C12676" s="5" t="s">
        <v>16</v>
      </c>
      <c r="D12676" s="5" t="s">
        <v>12200</v>
      </c>
      <c r="E12676" s="6" t="str">
        <f>HYPERLINK("https://twitter.com/petrogustavo/status/1337214292496683009","1337214292496683009")</f>
        <v>1337214292496683009</v>
      </c>
      <c r="F12676" s="7" t="s">
        <v>17</v>
      </c>
      <c r="G12676" s="7">
        <v>4017337</v>
      </c>
      <c r="H12676" s="7">
        <v>2468</v>
      </c>
      <c r="I12676" s="7">
        <v>87</v>
      </c>
      <c r="J12676" s="7">
        <v>0</v>
      </c>
      <c r="K12676" s="7" t="s">
        <v>18</v>
      </c>
      <c r="L12676" s="8">
        <v>39987.315405092595</v>
      </c>
      <c r="M12676" s="9" t="s">
        <v>19</v>
      </c>
      <c r="N12676" s="9" t="s">
        <v>20</v>
      </c>
      <c r="O12676" s="6" t="str">
        <f>HYPERLINK("https://pbs.twimg.com/profile_images/962471262747529216/Uo8lOkRJ_normal.jpg","View")</f>
        <v>View</v>
      </c>
      <c r="P12676" s="7"/>
    </row>
    <row r="12677" spans="1:16">
      <c r="A12677" s="3">
        <v>44176.697349537033</v>
      </c>
      <c r="B12677" s="4" t="str">
        <f>HYPERLINK("https://twitter.com/petrogustavo","@petrogustavo")</f>
        <v>@petrogustavo</v>
      </c>
      <c r="C12677" s="5" t="s">
        <v>16</v>
      </c>
      <c r="D12677" s="5" t="s">
        <v>12201</v>
      </c>
      <c r="E12677" s="6" t="str">
        <f>HYPERLINK("https://twitter.com/petrogustavo/status/1337354990277566465","1337354990277566465")</f>
        <v>1337354990277566465</v>
      </c>
      <c r="F12677" s="7" t="s">
        <v>17</v>
      </c>
      <c r="G12677" s="7">
        <v>4017411</v>
      </c>
      <c r="H12677" s="7">
        <v>2468</v>
      </c>
      <c r="I12677" s="7">
        <v>538</v>
      </c>
      <c r="J12677" s="7">
        <v>0</v>
      </c>
      <c r="K12677" s="7" t="s">
        <v>18</v>
      </c>
      <c r="L12677" s="8">
        <v>39987.315405092595</v>
      </c>
      <c r="M12677" s="9" t="s">
        <v>19</v>
      </c>
      <c r="N12677" s="9" t="s">
        <v>20</v>
      </c>
      <c r="O12677" s="6" t="str">
        <f>HYPERLINK("https://pbs.twimg.com/profile_images/962471262747529216/Uo8lOkRJ_normal.jpg","View")</f>
        <v>View</v>
      </c>
      <c r="P12677" s="7"/>
    </row>
    <row r="12678" spans="1:16">
      <c r="A12678" s="3">
        <v>44176.697997685187</v>
      </c>
      <c r="B12678" s="4" t="str">
        <f>HYPERLINK("https://twitter.com/petrogustavo","@petrogustavo")</f>
        <v>@petrogustavo</v>
      </c>
      <c r="C12678" s="5" t="s">
        <v>16</v>
      </c>
      <c r="D12678" s="5" t="s">
        <v>12202</v>
      </c>
      <c r="E12678" s="6" t="str">
        <f>HYPERLINK("https://twitter.com/petrogustavo/status/1337355227683545093","1337355227683545093")</f>
        <v>1337355227683545093</v>
      </c>
      <c r="F12678" s="7" t="s">
        <v>17</v>
      </c>
      <c r="G12678" s="7">
        <v>4017411</v>
      </c>
      <c r="H12678" s="7">
        <v>2468</v>
      </c>
      <c r="I12678" s="7">
        <v>149</v>
      </c>
      <c r="J12678" s="7">
        <v>0</v>
      </c>
      <c r="K12678" s="7" t="s">
        <v>18</v>
      </c>
      <c r="L12678" s="8">
        <v>39987.315405092595</v>
      </c>
      <c r="M12678" s="9" t="s">
        <v>19</v>
      </c>
      <c r="N12678" s="9" t="s">
        <v>20</v>
      </c>
      <c r="O12678" s="6" t="str">
        <f>HYPERLINK("https://pbs.twimg.com/profile_images/962471262747529216/Uo8lOkRJ_normal.jpg","View")</f>
        <v>View</v>
      </c>
      <c r="P12678" s="7"/>
    </row>
    <row r="12679" spans="1:16">
      <c r="A12679" s="3">
        <v>44176.699560185181</v>
      </c>
      <c r="B12679" s="4" t="str">
        <f>HYPERLINK("https://twitter.com/petrogustavo","@petrogustavo")</f>
        <v>@petrogustavo</v>
      </c>
      <c r="C12679" s="5" t="s">
        <v>16</v>
      </c>
      <c r="D12679" s="5" t="s">
        <v>12203</v>
      </c>
      <c r="E12679" s="6" t="str">
        <f>HYPERLINK("https://twitter.com/petrogustavo/status/1337355792450793474","1337355792450793474")</f>
        <v>1337355792450793474</v>
      </c>
      <c r="F12679" s="7" t="s">
        <v>17</v>
      </c>
      <c r="G12679" s="7">
        <v>4017413</v>
      </c>
      <c r="H12679" s="7">
        <v>2468</v>
      </c>
      <c r="I12679" s="7">
        <v>70</v>
      </c>
      <c r="J12679" s="7">
        <v>0</v>
      </c>
      <c r="K12679" s="7" t="s">
        <v>18</v>
      </c>
      <c r="L12679" s="8">
        <v>39987.315405092595</v>
      </c>
      <c r="M12679" s="9" t="s">
        <v>19</v>
      </c>
      <c r="N12679" s="9" t="s">
        <v>20</v>
      </c>
      <c r="O12679" s="6" t="str">
        <f>HYPERLINK("https://pbs.twimg.com/profile_images/962471262747529216/Uo8lOkRJ_normal.jpg","View")</f>
        <v>View</v>
      </c>
      <c r="P12679" s="7"/>
    </row>
    <row r="12680" spans="1:16">
      <c r="A12680" s="3">
        <v>44176.701516203699</v>
      </c>
      <c r="B12680" s="4" t="str">
        <f>HYPERLINK("https://twitter.com/petrogustavo","@petrogustavo")</f>
        <v>@petrogustavo</v>
      </c>
      <c r="C12680" s="5" t="s">
        <v>16</v>
      </c>
      <c r="D12680" s="5" t="s">
        <v>12204</v>
      </c>
      <c r="E12680" s="6" t="str">
        <f>HYPERLINK("https://twitter.com/petrogustavo/status/1337356499459379201","1337356499459379201")</f>
        <v>1337356499459379201</v>
      </c>
      <c r="F12680" s="7" t="s">
        <v>17</v>
      </c>
      <c r="G12680" s="7">
        <v>4017413</v>
      </c>
      <c r="H12680" s="7">
        <v>2468</v>
      </c>
      <c r="I12680" s="7">
        <v>127</v>
      </c>
      <c r="J12680" s="7">
        <v>367</v>
      </c>
      <c r="K12680" s="7" t="s">
        <v>18</v>
      </c>
      <c r="L12680" s="8">
        <v>39987.315405092595</v>
      </c>
      <c r="M12680" s="9" t="s">
        <v>19</v>
      </c>
      <c r="N12680" s="9" t="s">
        <v>20</v>
      </c>
      <c r="O12680" s="6" t="str">
        <f>HYPERLINK("https://pbs.twimg.com/profile_images/962471262747529216/Uo8lOkRJ_normal.jpg","View")</f>
        <v>View</v>
      </c>
      <c r="P12680" s="7"/>
    </row>
    <row r="12681" spans="1:16">
      <c r="A12681" s="3">
        <v>44176.703229166669</v>
      </c>
      <c r="B12681" s="4" t="str">
        <f>HYPERLINK("https://twitter.com/petrogustavo","@petrogustavo")</f>
        <v>@petrogustavo</v>
      </c>
      <c r="C12681" s="5" t="s">
        <v>16</v>
      </c>
      <c r="D12681" s="5" t="s">
        <v>12205</v>
      </c>
      <c r="E12681" s="6" t="str">
        <f>HYPERLINK("https://twitter.com/petrogustavo/status/1337357121780903937","1337357121780903937")</f>
        <v>1337357121780903937</v>
      </c>
      <c r="F12681" s="7" t="s">
        <v>17</v>
      </c>
      <c r="G12681" s="7">
        <v>4017413</v>
      </c>
      <c r="H12681" s="7">
        <v>2468</v>
      </c>
      <c r="I12681" s="7">
        <v>91</v>
      </c>
      <c r="J12681" s="7">
        <v>0</v>
      </c>
      <c r="K12681" s="7" t="s">
        <v>18</v>
      </c>
      <c r="L12681" s="8">
        <v>39987.315405092595</v>
      </c>
      <c r="M12681" s="9" t="s">
        <v>19</v>
      </c>
      <c r="N12681" s="9" t="s">
        <v>20</v>
      </c>
      <c r="O12681" s="6" t="str">
        <f>HYPERLINK("https://pbs.twimg.com/profile_images/962471262747529216/Uo8lOkRJ_normal.jpg","View")</f>
        <v>View</v>
      </c>
      <c r="P12681" s="7"/>
    </row>
    <row r="12682" spans="1:16">
      <c r="A12682" s="3">
        <v>44176.707951388889</v>
      </c>
      <c r="B12682" s="4" t="str">
        <f>HYPERLINK("https://twitter.com/petrogustavo","@petrogustavo")</f>
        <v>@petrogustavo</v>
      </c>
      <c r="C12682" s="5" t="s">
        <v>16</v>
      </c>
      <c r="D12682" s="5" t="s">
        <v>12196</v>
      </c>
      <c r="E12682" s="6" t="str">
        <f>HYPERLINK("https://twitter.com/petrogustavo/status/1337358834936016896","1337358834936016896")</f>
        <v>1337358834936016896</v>
      </c>
      <c r="F12682" s="7" t="s">
        <v>17</v>
      </c>
      <c r="G12682" s="7">
        <v>4017413</v>
      </c>
      <c r="H12682" s="7">
        <v>2468</v>
      </c>
      <c r="I12682" s="7">
        <v>182</v>
      </c>
      <c r="J12682" s="7">
        <v>0</v>
      </c>
      <c r="K12682" s="7" t="s">
        <v>18</v>
      </c>
      <c r="L12682" s="8">
        <v>39987.315405092595</v>
      </c>
      <c r="M12682" s="9" t="s">
        <v>19</v>
      </c>
      <c r="N12682" s="9" t="s">
        <v>20</v>
      </c>
      <c r="O12682" s="6" t="str">
        <f>HYPERLINK("https://pbs.twimg.com/profile_images/962471262747529216/Uo8lOkRJ_normal.jpg","View")</f>
        <v>View</v>
      </c>
      <c r="P12682" s="7"/>
    </row>
    <row r="12683" spans="1:16">
      <c r="A12683" s="3">
        <v>44176.710659722223</v>
      </c>
      <c r="B12683" s="4" t="str">
        <f>HYPERLINK("https://twitter.com/petrogustavo","@petrogustavo")</f>
        <v>@petrogustavo</v>
      </c>
      <c r="C12683" s="5" t="s">
        <v>16</v>
      </c>
      <c r="D12683" s="5" t="s">
        <v>12206</v>
      </c>
      <c r="E12683" s="6" t="str">
        <f>HYPERLINK("https://twitter.com/petrogustavo/status/1337359815719460864","1337359815719460864")</f>
        <v>1337359815719460864</v>
      </c>
      <c r="F12683" s="7" t="s">
        <v>17</v>
      </c>
      <c r="G12683" s="7">
        <v>4017413</v>
      </c>
      <c r="H12683" s="7">
        <v>2468</v>
      </c>
      <c r="I12683" s="7">
        <v>33</v>
      </c>
      <c r="J12683" s="7">
        <v>128</v>
      </c>
      <c r="K12683" s="7" t="s">
        <v>18</v>
      </c>
      <c r="L12683" s="8">
        <v>39987.315405092595</v>
      </c>
      <c r="M12683" s="9" t="s">
        <v>19</v>
      </c>
      <c r="N12683" s="9" t="s">
        <v>20</v>
      </c>
      <c r="O12683" s="6" t="str">
        <f>HYPERLINK("https://pbs.twimg.com/profile_images/962471262747529216/Uo8lOkRJ_normal.jpg","View")</f>
        <v>View</v>
      </c>
      <c r="P12683" s="7"/>
    </row>
    <row r="12684" spans="1:16">
      <c r="A12684" s="3">
        <v>44176.712847222225</v>
      </c>
      <c r="B12684" s="4" t="str">
        <f>HYPERLINK("https://twitter.com/petrogustavo","@petrogustavo")</f>
        <v>@petrogustavo</v>
      </c>
      <c r="C12684" s="5" t="s">
        <v>16</v>
      </c>
      <c r="D12684" s="5" t="s">
        <v>12207</v>
      </c>
      <c r="E12684" s="6" t="str">
        <f>HYPERLINK("https://twitter.com/petrogustavo/status/1337360607226580992","1337360607226580992")</f>
        <v>1337360607226580992</v>
      </c>
      <c r="F12684" s="7" t="s">
        <v>17</v>
      </c>
      <c r="G12684" s="7">
        <v>4017413</v>
      </c>
      <c r="H12684" s="7">
        <v>2468</v>
      </c>
      <c r="I12684" s="7">
        <v>74</v>
      </c>
      <c r="J12684" s="7">
        <v>291</v>
      </c>
      <c r="K12684" s="7" t="s">
        <v>18</v>
      </c>
      <c r="L12684" s="8">
        <v>39987.315405092595</v>
      </c>
      <c r="M12684" s="9" t="s">
        <v>19</v>
      </c>
      <c r="N12684" s="9" t="s">
        <v>20</v>
      </c>
      <c r="O12684" s="6" t="str">
        <f>HYPERLINK("https://pbs.twimg.com/profile_images/962471262747529216/Uo8lOkRJ_normal.jpg","View")</f>
        <v>View</v>
      </c>
      <c r="P12684" s="7"/>
    </row>
    <row r="12685" spans="1:16">
      <c r="A12685" s="3">
        <v>44176.722500000003</v>
      </c>
      <c r="B12685" s="4" t="str">
        <f>HYPERLINK("https://twitter.com/petrogustavo","@petrogustavo")</f>
        <v>@petrogustavo</v>
      </c>
      <c r="C12685" s="5" t="s">
        <v>16</v>
      </c>
      <c r="D12685" s="5" t="s">
        <v>12208</v>
      </c>
      <c r="E12685" s="6" t="str">
        <f>HYPERLINK("https://twitter.com/petrogustavo/status/1337364105179639810","1337364105179639810")</f>
        <v>1337364105179639810</v>
      </c>
      <c r="F12685" s="7" t="s">
        <v>17</v>
      </c>
      <c r="G12685" s="7">
        <v>4017419</v>
      </c>
      <c r="H12685" s="7">
        <v>2468</v>
      </c>
      <c r="I12685" s="7">
        <v>49</v>
      </c>
      <c r="J12685" s="7">
        <v>114</v>
      </c>
      <c r="K12685" s="7" t="s">
        <v>18</v>
      </c>
      <c r="L12685" s="8">
        <v>39987.315405092595</v>
      </c>
      <c r="M12685" s="9" t="s">
        <v>19</v>
      </c>
      <c r="N12685" s="9" t="s">
        <v>20</v>
      </c>
      <c r="O12685" s="6" t="str">
        <f>HYPERLINK("https://pbs.twimg.com/profile_images/962471262747529216/Uo8lOkRJ_normal.jpg","View")</f>
        <v>View</v>
      </c>
      <c r="P12685" s="7"/>
    </row>
    <row r="12686" spans="1:16">
      <c r="A12686" s="3">
        <v>44176.724155092597</v>
      </c>
      <c r="B12686" s="4" t="str">
        <f>HYPERLINK("https://twitter.com/petrogustavo","@petrogustavo")</f>
        <v>@petrogustavo</v>
      </c>
      <c r="C12686" s="5" t="s">
        <v>16</v>
      </c>
      <c r="D12686" s="5" t="s">
        <v>12209</v>
      </c>
      <c r="E12686" s="6" t="str">
        <f>HYPERLINK("https://twitter.com/petrogustavo/status/1337364704524709888","1337364704524709888")</f>
        <v>1337364704524709888</v>
      </c>
      <c r="F12686" s="7" t="s">
        <v>17</v>
      </c>
      <c r="G12686" s="7">
        <v>4017419</v>
      </c>
      <c r="H12686" s="7">
        <v>2468</v>
      </c>
      <c r="I12686" s="7">
        <v>51</v>
      </c>
      <c r="J12686" s="7">
        <v>242</v>
      </c>
      <c r="K12686" s="7" t="s">
        <v>18</v>
      </c>
      <c r="L12686" s="8">
        <v>39987.315405092595</v>
      </c>
      <c r="M12686" s="9" t="s">
        <v>19</v>
      </c>
      <c r="N12686" s="9" t="s">
        <v>20</v>
      </c>
      <c r="O12686" s="6" t="str">
        <f>HYPERLINK("https://pbs.twimg.com/profile_images/962471262747529216/Uo8lOkRJ_normal.jpg","View")</f>
        <v>View</v>
      </c>
      <c r="P12686" s="7"/>
    </row>
    <row r="12687" spans="1:16">
      <c r="A12687" s="3">
        <v>44176.734699074077</v>
      </c>
      <c r="B12687" s="4" t="str">
        <f>HYPERLINK("https://twitter.com/petrogustavo","@petrogustavo")</f>
        <v>@petrogustavo</v>
      </c>
      <c r="C12687" s="5" t="s">
        <v>16</v>
      </c>
      <c r="D12687" s="5" t="s">
        <v>12210</v>
      </c>
      <c r="E12687" s="6" t="str">
        <f>HYPERLINK("https://twitter.com/petrogustavo/status/1337368526517104641","1337368526517104641")</f>
        <v>1337368526517104641</v>
      </c>
      <c r="F12687" s="7" t="s">
        <v>17</v>
      </c>
      <c r="G12687" s="7">
        <v>4017419</v>
      </c>
      <c r="H12687" s="7">
        <v>2468</v>
      </c>
      <c r="I12687" s="7">
        <v>208</v>
      </c>
      <c r="J12687" s="7">
        <v>0</v>
      </c>
      <c r="K12687" s="7" t="s">
        <v>18</v>
      </c>
      <c r="L12687" s="8">
        <v>39987.315405092595</v>
      </c>
      <c r="M12687" s="9" t="s">
        <v>19</v>
      </c>
      <c r="N12687" s="9" t="s">
        <v>20</v>
      </c>
      <c r="O12687" s="6" t="str">
        <f>HYPERLINK("https://pbs.twimg.com/profile_images/962471262747529216/Uo8lOkRJ_normal.jpg","View")</f>
        <v>View</v>
      </c>
      <c r="P12687" s="7"/>
    </row>
    <row r="12688" spans="1:16">
      <c r="A12688" s="3">
        <v>44176.797326388885</v>
      </c>
      <c r="B12688" s="4" t="str">
        <f>HYPERLINK("https://twitter.com/petrogustavo","@petrogustavo")</f>
        <v>@petrogustavo</v>
      </c>
      <c r="C12688" s="5" t="s">
        <v>16</v>
      </c>
      <c r="D12688" s="5" t="s">
        <v>12211</v>
      </c>
      <c r="E12688" s="6" t="str">
        <f>HYPERLINK("https://twitter.com/petrogustavo/status/1337391221086498818","1337391221086498818")</f>
        <v>1337391221086498818</v>
      </c>
      <c r="F12688" s="7" t="s">
        <v>17</v>
      </c>
      <c r="G12688" s="7">
        <v>4017452</v>
      </c>
      <c r="H12688" s="7">
        <v>2468</v>
      </c>
      <c r="I12688" s="7">
        <v>465</v>
      </c>
      <c r="J12688" s="7">
        <v>0</v>
      </c>
      <c r="K12688" s="7" t="s">
        <v>18</v>
      </c>
      <c r="L12688" s="8">
        <v>39987.315405092595</v>
      </c>
      <c r="M12688" s="9" t="s">
        <v>19</v>
      </c>
      <c r="N12688" s="9" t="s">
        <v>20</v>
      </c>
      <c r="O12688" s="6" t="str">
        <f>HYPERLINK("https://pbs.twimg.com/profile_images/962471262747529216/Uo8lOkRJ_normal.jpg","View")</f>
        <v>View</v>
      </c>
      <c r="P12688" s="7"/>
    </row>
    <row r="12689" spans="1:16">
      <c r="A12689" s="3">
        <v>44176.798796296294</v>
      </c>
      <c r="B12689" s="4" t="str">
        <f>HYPERLINK("https://twitter.com/petrogustavo","@petrogustavo")</f>
        <v>@petrogustavo</v>
      </c>
      <c r="C12689" s="5" t="s">
        <v>16</v>
      </c>
      <c r="D12689" s="5" t="s">
        <v>12212</v>
      </c>
      <c r="E12689" s="6" t="str">
        <f>HYPERLINK("https://twitter.com/petrogustavo/status/1337391755533103109","1337391755533103109")</f>
        <v>1337391755533103109</v>
      </c>
      <c r="F12689" s="7" t="s">
        <v>17</v>
      </c>
      <c r="G12689" s="7">
        <v>4017452</v>
      </c>
      <c r="H12689" s="7">
        <v>2468</v>
      </c>
      <c r="I12689" s="7">
        <v>19</v>
      </c>
      <c r="J12689" s="7">
        <v>0</v>
      </c>
      <c r="K12689" s="7" t="s">
        <v>18</v>
      </c>
      <c r="L12689" s="8">
        <v>39987.315405092595</v>
      </c>
      <c r="M12689" s="9" t="s">
        <v>19</v>
      </c>
      <c r="N12689" s="9" t="s">
        <v>20</v>
      </c>
      <c r="O12689" s="6" t="str">
        <f>HYPERLINK("https://pbs.twimg.com/profile_images/962471262747529216/Uo8lOkRJ_normal.jpg","View")</f>
        <v>View</v>
      </c>
      <c r="P12689" s="7"/>
    </row>
    <row r="12690" spans="1:16">
      <c r="A12690" s="3">
        <v>44176.799270833333</v>
      </c>
      <c r="B12690" s="4" t="str">
        <f>HYPERLINK("https://twitter.com/petrogustavo","@petrogustavo")</f>
        <v>@petrogustavo</v>
      </c>
      <c r="C12690" s="5" t="s">
        <v>16</v>
      </c>
      <c r="D12690" s="5" t="s">
        <v>12213</v>
      </c>
      <c r="E12690" s="6" t="str">
        <f>HYPERLINK("https://twitter.com/petrogustavo/status/1337391926660755461","1337391926660755461")</f>
        <v>1337391926660755461</v>
      </c>
      <c r="F12690" s="7" t="s">
        <v>17</v>
      </c>
      <c r="G12690" s="7">
        <v>4017452</v>
      </c>
      <c r="H12690" s="7">
        <v>2468</v>
      </c>
      <c r="I12690" s="7">
        <v>23</v>
      </c>
      <c r="J12690" s="7">
        <v>0</v>
      </c>
      <c r="K12690" s="7" t="s">
        <v>18</v>
      </c>
      <c r="L12690" s="8">
        <v>39987.315405092595</v>
      </c>
      <c r="M12690" s="9" t="s">
        <v>19</v>
      </c>
      <c r="N12690" s="9" t="s">
        <v>20</v>
      </c>
      <c r="O12690" s="6" t="str">
        <f>HYPERLINK("https://pbs.twimg.com/profile_images/962471262747529216/Uo8lOkRJ_normal.jpg","View")</f>
        <v>View</v>
      </c>
      <c r="P12690" s="7"/>
    </row>
    <row r="12691" spans="1:16">
      <c r="A12691" s="3">
        <v>44176.800752314812</v>
      </c>
      <c r="B12691" s="4" t="str">
        <f>HYPERLINK("https://twitter.com/petrogustavo","@petrogustavo")</f>
        <v>@petrogustavo</v>
      </c>
      <c r="C12691" s="5" t="s">
        <v>16</v>
      </c>
      <c r="D12691" s="5" t="s">
        <v>12214</v>
      </c>
      <c r="E12691" s="6" t="str">
        <f>HYPERLINK("https://twitter.com/petrogustavo/status/1337392465201016832","1337392465201016832")</f>
        <v>1337392465201016832</v>
      </c>
      <c r="F12691" s="7" t="s">
        <v>17</v>
      </c>
      <c r="G12691" s="7">
        <v>4017452</v>
      </c>
      <c r="H12691" s="7">
        <v>2468</v>
      </c>
      <c r="I12691" s="7">
        <v>26</v>
      </c>
      <c r="J12691" s="7">
        <v>135</v>
      </c>
      <c r="K12691" s="7" t="s">
        <v>18</v>
      </c>
      <c r="L12691" s="8">
        <v>39987.315405092595</v>
      </c>
      <c r="M12691" s="9" t="s">
        <v>19</v>
      </c>
      <c r="N12691" s="9" t="s">
        <v>20</v>
      </c>
      <c r="O12691" s="6" t="str">
        <f>HYPERLINK("https://pbs.twimg.com/profile_images/962471262747529216/Uo8lOkRJ_normal.jpg","View")</f>
        <v>View</v>
      </c>
      <c r="P12691" s="7"/>
    </row>
    <row r="12692" spans="1:16">
      <c r="A12692" s="3">
        <v>44176.802372685182</v>
      </c>
      <c r="B12692" s="4" t="str">
        <f>HYPERLINK("https://twitter.com/petrogustavo","@petrogustavo")</f>
        <v>@petrogustavo</v>
      </c>
      <c r="C12692" s="5" t="s">
        <v>16</v>
      </c>
      <c r="D12692" s="5" t="s">
        <v>12215</v>
      </c>
      <c r="E12692" s="6" t="str">
        <f>HYPERLINK("https://twitter.com/petrogustavo/status/1337393050511925251","1337393050511925251")</f>
        <v>1337393050511925251</v>
      </c>
      <c r="F12692" s="7" t="s">
        <v>17</v>
      </c>
      <c r="G12692" s="7">
        <v>4017452</v>
      </c>
      <c r="H12692" s="7">
        <v>2468</v>
      </c>
      <c r="I12692" s="7">
        <v>5</v>
      </c>
      <c r="J12692" s="7">
        <v>21</v>
      </c>
      <c r="K12692" s="7" t="s">
        <v>18</v>
      </c>
      <c r="L12692" s="8">
        <v>39987.315405092595</v>
      </c>
      <c r="M12692" s="9" t="s">
        <v>19</v>
      </c>
      <c r="N12692" s="9" t="s">
        <v>20</v>
      </c>
      <c r="O12692" s="6" t="str">
        <f>HYPERLINK("https://pbs.twimg.com/profile_images/962471262747529216/Uo8lOkRJ_normal.jpg","View")</f>
        <v>View</v>
      </c>
      <c r="P12692" s="7"/>
    </row>
    <row r="12693" spans="1:16">
      <c r="A12693" s="3">
        <v>44176.802604166667</v>
      </c>
      <c r="B12693" s="4" t="str">
        <f>HYPERLINK("https://twitter.com/petrogustavo","@petrogustavo")</f>
        <v>@petrogustavo</v>
      </c>
      <c r="C12693" s="5" t="s">
        <v>16</v>
      </c>
      <c r="D12693" s="5" t="s">
        <v>12216</v>
      </c>
      <c r="E12693" s="6" t="str">
        <f>HYPERLINK("https://twitter.com/petrogustavo/status/1337393132762259457","1337393132762259457")</f>
        <v>1337393132762259457</v>
      </c>
      <c r="F12693" s="7" t="s">
        <v>17</v>
      </c>
      <c r="G12693" s="7">
        <v>4017452</v>
      </c>
      <c r="H12693" s="7">
        <v>2468</v>
      </c>
      <c r="I12693" s="7">
        <v>26</v>
      </c>
      <c r="J12693" s="7">
        <v>0</v>
      </c>
      <c r="K12693" s="7" t="s">
        <v>18</v>
      </c>
      <c r="L12693" s="8">
        <v>39987.315405092595</v>
      </c>
      <c r="M12693" s="9" t="s">
        <v>19</v>
      </c>
      <c r="N12693" s="9" t="s">
        <v>20</v>
      </c>
      <c r="O12693" s="6" t="str">
        <f>HYPERLINK("https://pbs.twimg.com/profile_images/962471262747529216/Uo8lOkRJ_normal.jpg","View")</f>
        <v>View</v>
      </c>
      <c r="P12693" s="7"/>
    </row>
    <row r="12694" spans="1:16">
      <c r="A12694" s="3">
        <v>44176.962476851855</v>
      </c>
      <c r="B12694" s="4" t="str">
        <f>HYPERLINK("https://twitter.com/petrogustavo","@petrogustavo")</f>
        <v>@petrogustavo</v>
      </c>
      <c r="C12694" s="5" t="s">
        <v>16</v>
      </c>
      <c r="D12694" s="5" t="s">
        <v>12217</v>
      </c>
      <c r="E12694" s="6" t="str">
        <f>HYPERLINK("https://twitter.com/petrogustavo/status/1337451071287988224","1337451071287988224")</f>
        <v>1337451071287988224</v>
      </c>
      <c r="F12694" s="7" t="s">
        <v>17</v>
      </c>
      <c r="G12694" s="7">
        <v>4017530</v>
      </c>
      <c r="H12694" s="7">
        <v>2468</v>
      </c>
      <c r="I12694" s="7">
        <v>73</v>
      </c>
      <c r="J12694" s="7">
        <v>411</v>
      </c>
      <c r="K12694" s="7" t="s">
        <v>18</v>
      </c>
      <c r="L12694" s="8">
        <v>39987.315405092595</v>
      </c>
      <c r="M12694" s="9" t="s">
        <v>19</v>
      </c>
      <c r="N12694" s="9" t="s">
        <v>20</v>
      </c>
      <c r="O12694" s="6" t="str">
        <f>HYPERLINK("https://pbs.twimg.com/profile_images/962471262747529216/Uo8lOkRJ_normal.jpg","View")</f>
        <v>View</v>
      </c>
      <c r="P12694" s="7"/>
    </row>
    <row r="12695" spans="1:16">
      <c r="A12695" s="3">
        <v>44177.0159375</v>
      </c>
      <c r="B12695" s="4" t="str">
        <f>HYPERLINK("https://twitter.com/petrogustavo","@petrogustavo")</f>
        <v>@petrogustavo</v>
      </c>
      <c r="C12695" s="5" t="s">
        <v>16</v>
      </c>
      <c r="D12695" s="5" t="s">
        <v>12218</v>
      </c>
      <c r="E12695" s="6" t="str">
        <f>HYPERLINK("https://twitter.com/petrogustavo/status/1337470445671641088","1337470445671641088")</f>
        <v>1337470445671641088</v>
      </c>
      <c r="F12695" s="7" t="s">
        <v>17</v>
      </c>
      <c r="G12695" s="7">
        <v>4017551</v>
      </c>
      <c r="H12695" s="7">
        <v>2468</v>
      </c>
      <c r="I12695" s="7">
        <v>224</v>
      </c>
      <c r="J12695" s="7">
        <v>672</v>
      </c>
      <c r="K12695" s="7" t="s">
        <v>18</v>
      </c>
      <c r="L12695" s="8">
        <v>39987.315405092595</v>
      </c>
      <c r="M12695" s="9" t="s">
        <v>19</v>
      </c>
      <c r="N12695" s="9" t="s">
        <v>20</v>
      </c>
      <c r="O12695" s="6" t="str">
        <f>HYPERLINK("https://pbs.twimg.com/profile_images/962471262747529216/Uo8lOkRJ_normal.jpg","View")</f>
        <v>View</v>
      </c>
      <c r="P12695" s="7"/>
    </row>
    <row r="12696" spans="1:16">
      <c r="A12696" s="3">
        <v>44177.037245370375</v>
      </c>
      <c r="B12696" s="4" t="str">
        <f>HYPERLINK("https://twitter.com/petrogustavo","@petrogustavo")</f>
        <v>@petrogustavo</v>
      </c>
      <c r="C12696" s="5" t="s">
        <v>16</v>
      </c>
      <c r="D12696" s="5" t="s">
        <v>12219</v>
      </c>
      <c r="E12696" s="6" t="str">
        <f>HYPERLINK("https://twitter.com/petrogustavo/status/1337478164197601280","1337478164197601280")</f>
        <v>1337478164197601280</v>
      </c>
      <c r="F12696" s="7" t="s">
        <v>17</v>
      </c>
      <c r="G12696" s="7">
        <v>4017564</v>
      </c>
      <c r="H12696" s="7">
        <v>2468</v>
      </c>
      <c r="I12696" s="7">
        <v>100</v>
      </c>
      <c r="J12696" s="7">
        <v>0</v>
      </c>
      <c r="K12696" s="7" t="s">
        <v>18</v>
      </c>
      <c r="L12696" s="8">
        <v>39987.315405092595</v>
      </c>
      <c r="M12696" s="9" t="s">
        <v>19</v>
      </c>
      <c r="N12696" s="9" t="s">
        <v>20</v>
      </c>
      <c r="O12696" s="6" t="str">
        <f>HYPERLINK("https://pbs.twimg.com/profile_images/962471262747529216/Uo8lOkRJ_normal.jpg","View")</f>
        <v>View</v>
      </c>
      <c r="P12696" s="7"/>
    </row>
    <row r="12697" spans="1:16">
      <c r="A12697" s="3">
        <v>44177.03769675926</v>
      </c>
      <c r="B12697" s="4" t="str">
        <f>HYPERLINK("https://twitter.com/petrogustavo","@petrogustavo")</f>
        <v>@petrogustavo</v>
      </c>
      <c r="C12697" s="5" t="s">
        <v>16</v>
      </c>
      <c r="D12697" s="5" t="s">
        <v>12220</v>
      </c>
      <c r="E12697" s="6" t="str">
        <f>HYPERLINK("https://twitter.com/petrogustavo/status/1337478328303964161","1337478328303964161")</f>
        <v>1337478328303964161</v>
      </c>
      <c r="F12697" s="7" t="s">
        <v>17</v>
      </c>
      <c r="G12697" s="7">
        <v>4017564</v>
      </c>
      <c r="H12697" s="7">
        <v>2468</v>
      </c>
      <c r="I12697" s="7">
        <v>383</v>
      </c>
      <c r="J12697" s="7">
        <v>0</v>
      </c>
      <c r="K12697" s="7" t="s">
        <v>18</v>
      </c>
      <c r="L12697" s="8">
        <v>39987.315405092595</v>
      </c>
      <c r="M12697" s="9" t="s">
        <v>19</v>
      </c>
      <c r="N12697" s="9" t="s">
        <v>20</v>
      </c>
      <c r="O12697" s="6" t="str">
        <f>HYPERLINK("https://pbs.twimg.com/profile_images/962471262747529216/Uo8lOkRJ_normal.jpg","View")</f>
        <v>View</v>
      </c>
      <c r="P12697" s="7"/>
    </row>
    <row r="12698" spans="1:16">
      <c r="A12698" s="3">
        <v>44177.037719907406</v>
      </c>
      <c r="B12698" s="4" t="str">
        <f>HYPERLINK("https://twitter.com/petrogustavo","@petrogustavo")</f>
        <v>@petrogustavo</v>
      </c>
      <c r="C12698" s="5" t="s">
        <v>16</v>
      </c>
      <c r="D12698" s="5" t="s">
        <v>12221</v>
      </c>
      <c r="E12698" s="6" t="str">
        <f>HYPERLINK("https://twitter.com/petrogustavo/status/1337478335614611464","1337478335614611464")</f>
        <v>1337478335614611464</v>
      </c>
      <c r="F12698" s="7" t="s">
        <v>17</v>
      </c>
      <c r="G12698" s="7">
        <v>4017564</v>
      </c>
      <c r="H12698" s="7">
        <v>2468</v>
      </c>
      <c r="I12698" s="7">
        <v>402</v>
      </c>
      <c r="J12698" s="7">
        <v>0</v>
      </c>
      <c r="K12698" s="7" t="s">
        <v>18</v>
      </c>
      <c r="L12698" s="8">
        <v>39987.315405092595</v>
      </c>
      <c r="M12698" s="9" t="s">
        <v>19</v>
      </c>
      <c r="N12698" s="9" t="s">
        <v>20</v>
      </c>
      <c r="O12698" s="6" t="str">
        <f>HYPERLINK("https://pbs.twimg.com/profile_images/962471262747529216/Uo8lOkRJ_normal.jpg","View")</f>
        <v>View</v>
      </c>
      <c r="P12698" s="7"/>
    </row>
    <row r="12699" spans="1:16">
      <c r="A12699" s="3">
        <v>44177.041956018518</v>
      </c>
      <c r="B12699" s="4" t="str">
        <f>HYPERLINK("https://twitter.com/petrogustavo","@petrogustavo")</f>
        <v>@petrogustavo</v>
      </c>
      <c r="C12699" s="5" t="s">
        <v>16</v>
      </c>
      <c r="D12699" s="5" t="s">
        <v>12222</v>
      </c>
      <c r="E12699" s="6" t="str">
        <f>HYPERLINK("https://twitter.com/petrogustavo/status/1337479872604680192","1337479872604680192")</f>
        <v>1337479872604680192</v>
      </c>
      <c r="F12699" s="7" t="s">
        <v>17</v>
      </c>
      <c r="G12699" s="7">
        <v>4017564</v>
      </c>
      <c r="H12699" s="7">
        <v>2468</v>
      </c>
      <c r="I12699" s="7">
        <v>46</v>
      </c>
      <c r="J12699" s="7">
        <v>150</v>
      </c>
      <c r="K12699" s="7" t="s">
        <v>18</v>
      </c>
      <c r="L12699" s="8">
        <v>39987.315405092595</v>
      </c>
      <c r="M12699" s="9" t="s">
        <v>19</v>
      </c>
      <c r="N12699" s="9" t="s">
        <v>20</v>
      </c>
      <c r="O12699" s="6" t="str">
        <f>HYPERLINK("https://pbs.twimg.com/profile_images/962471262747529216/Uo8lOkRJ_normal.jpg","View")</f>
        <v>View</v>
      </c>
      <c r="P12699" s="7"/>
    </row>
    <row r="12700" spans="1:16">
      <c r="A12700" s="3">
        <v>44177.072291666671</v>
      </c>
      <c r="B12700" s="4" t="str">
        <f>HYPERLINK("https://twitter.com/petrogustavo","@petrogustavo")</f>
        <v>@petrogustavo</v>
      </c>
      <c r="C12700" s="5" t="s">
        <v>16</v>
      </c>
      <c r="D12700" s="5" t="s">
        <v>12223</v>
      </c>
      <c r="E12700" s="6" t="str">
        <f>HYPERLINK("https://twitter.com/petrogustavo/status/1337490865216958469","1337490865216958469")</f>
        <v>1337490865216958469</v>
      </c>
      <c r="F12700" s="7" t="s">
        <v>17</v>
      </c>
      <c r="G12700" s="7">
        <v>4017554</v>
      </c>
      <c r="H12700" s="7">
        <v>2468</v>
      </c>
      <c r="I12700" s="7">
        <v>10</v>
      </c>
      <c r="J12700" s="7">
        <v>0</v>
      </c>
      <c r="K12700" s="7" t="s">
        <v>18</v>
      </c>
      <c r="L12700" s="8">
        <v>39987.315405092595</v>
      </c>
      <c r="M12700" s="9" t="s">
        <v>19</v>
      </c>
      <c r="N12700" s="9" t="s">
        <v>20</v>
      </c>
      <c r="O12700" s="6" t="str">
        <f>HYPERLINK("https://pbs.twimg.com/profile_images/962471262747529216/Uo8lOkRJ_normal.jpg","View")</f>
        <v>View</v>
      </c>
      <c r="P12700" s="7"/>
    </row>
    <row r="12701" spans="1:16">
      <c r="A12701" s="3">
        <v>44177.074108796296</v>
      </c>
      <c r="B12701" s="4" t="str">
        <f>HYPERLINK("https://twitter.com/petrogustavo","@petrogustavo")</f>
        <v>@petrogustavo</v>
      </c>
      <c r="C12701" s="5" t="s">
        <v>16</v>
      </c>
      <c r="D12701" s="5" t="s">
        <v>12224</v>
      </c>
      <c r="E12701" s="6" t="str">
        <f>HYPERLINK("https://twitter.com/petrogustavo/status/1337491522988756992","1337491522988756992")</f>
        <v>1337491522988756992</v>
      </c>
      <c r="F12701" s="7" t="s">
        <v>17</v>
      </c>
      <c r="G12701" s="7">
        <v>4017554</v>
      </c>
      <c r="H12701" s="7">
        <v>2468</v>
      </c>
      <c r="I12701" s="7">
        <v>13</v>
      </c>
      <c r="J12701" s="7">
        <v>33</v>
      </c>
      <c r="K12701" s="7" t="s">
        <v>18</v>
      </c>
      <c r="L12701" s="8">
        <v>39987.315405092595</v>
      </c>
      <c r="M12701" s="9" t="s">
        <v>19</v>
      </c>
      <c r="N12701" s="9" t="s">
        <v>20</v>
      </c>
      <c r="O12701" s="6" t="str">
        <f>HYPERLINK("https://pbs.twimg.com/profile_images/962471262747529216/Uo8lOkRJ_normal.jpg","View")</f>
        <v>View</v>
      </c>
      <c r="P12701" s="7"/>
    </row>
    <row r="12702" spans="1:16">
      <c r="A12702" s="3">
        <v>44177.077291666668</v>
      </c>
      <c r="B12702" s="4" t="str">
        <f>HYPERLINK("https://twitter.com/petrogustavo","@petrogustavo")</f>
        <v>@petrogustavo</v>
      </c>
      <c r="C12702" s="5" t="s">
        <v>16</v>
      </c>
      <c r="D12702" s="5" t="s">
        <v>12225</v>
      </c>
      <c r="E12702" s="6" t="str">
        <f>HYPERLINK("https://twitter.com/petrogustavo/status/1337492678225879046","1337492678225879046")</f>
        <v>1337492678225879046</v>
      </c>
      <c r="F12702" s="7" t="s">
        <v>17</v>
      </c>
      <c r="G12702" s="7">
        <v>4017562</v>
      </c>
      <c r="H12702" s="7">
        <v>2468</v>
      </c>
      <c r="I12702" s="7">
        <v>27</v>
      </c>
      <c r="J12702" s="7">
        <v>0</v>
      </c>
      <c r="K12702" s="7" t="s">
        <v>18</v>
      </c>
      <c r="L12702" s="8">
        <v>39987.315405092595</v>
      </c>
      <c r="M12702" s="9" t="s">
        <v>19</v>
      </c>
      <c r="N12702" s="9" t="s">
        <v>20</v>
      </c>
      <c r="O12702" s="6" t="str">
        <f>HYPERLINK("https://pbs.twimg.com/profile_images/962471262747529216/Uo8lOkRJ_normal.jpg","View")</f>
        <v>View</v>
      </c>
      <c r="P12702" s="7"/>
    </row>
    <row r="12703" spans="1:16">
      <c r="A12703" s="3">
        <v>44177.086909722224</v>
      </c>
      <c r="B12703" s="4" t="str">
        <f>HYPERLINK("https://twitter.com/petrogustavo","@petrogustavo")</f>
        <v>@petrogustavo</v>
      </c>
      <c r="C12703" s="5" t="s">
        <v>16</v>
      </c>
      <c r="D12703" s="5" t="s">
        <v>12226</v>
      </c>
      <c r="E12703" s="6" t="str">
        <f>HYPERLINK("https://twitter.com/petrogustavo/status/1337496164967600134","1337496164967600134")</f>
        <v>1337496164967600134</v>
      </c>
      <c r="F12703" s="7" t="s">
        <v>17</v>
      </c>
      <c r="G12703" s="7">
        <v>4017562</v>
      </c>
      <c r="H12703" s="7">
        <v>2468</v>
      </c>
      <c r="I12703" s="7">
        <v>87</v>
      </c>
      <c r="J12703" s="7">
        <v>0</v>
      </c>
      <c r="K12703" s="7" t="s">
        <v>18</v>
      </c>
      <c r="L12703" s="8">
        <v>39987.315405092595</v>
      </c>
      <c r="M12703" s="9" t="s">
        <v>19</v>
      </c>
      <c r="N12703" s="9" t="s">
        <v>20</v>
      </c>
      <c r="O12703" s="6" t="str">
        <f>HYPERLINK("https://pbs.twimg.com/profile_images/962471262747529216/Uo8lOkRJ_normal.jpg","View")</f>
        <v>View</v>
      </c>
      <c r="P12703" s="7"/>
    </row>
    <row r="12704" spans="1:16">
      <c r="A12704" s="3">
        <v>44177.261747685188</v>
      </c>
      <c r="B12704" s="4" t="str">
        <f>HYPERLINK("https://twitter.com/petrogustavo","@petrogustavo")</f>
        <v>@petrogustavo</v>
      </c>
      <c r="C12704" s="5" t="s">
        <v>16</v>
      </c>
      <c r="D12704" s="5" t="s">
        <v>12227</v>
      </c>
      <c r="E12704" s="6" t="str">
        <f>HYPERLINK("https://twitter.com/petrogustavo/status/1337559520625782788","1337559520625782788")</f>
        <v>1337559520625782788</v>
      </c>
      <c r="F12704" s="7" t="s">
        <v>17</v>
      </c>
      <c r="G12704" s="7">
        <v>4017632</v>
      </c>
      <c r="H12704" s="7">
        <v>2468</v>
      </c>
      <c r="I12704" s="7">
        <v>1</v>
      </c>
      <c r="J12704" s="7">
        <v>0</v>
      </c>
      <c r="K12704" s="7" t="s">
        <v>18</v>
      </c>
      <c r="L12704" s="8">
        <v>39987.315405092595</v>
      </c>
      <c r="M12704" s="9" t="s">
        <v>19</v>
      </c>
      <c r="N12704" s="9" t="s">
        <v>20</v>
      </c>
      <c r="O12704" s="6" t="str">
        <f>HYPERLINK("https://pbs.twimg.com/profile_images/962471262747529216/Uo8lOkRJ_normal.jpg","View")</f>
        <v>View</v>
      </c>
      <c r="P12704" s="7"/>
    </row>
    <row r="12705" spans="1:16">
      <c r="A12705" s="3">
        <v>44177.26284722222</v>
      </c>
      <c r="B12705" s="4" t="str">
        <f>HYPERLINK("https://twitter.com/petrogustavo","@petrogustavo")</f>
        <v>@petrogustavo</v>
      </c>
      <c r="C12705" s="5" t="s">
        <v>16</v>
      </c>
      <c r="D12705" s="5" t="s">
        <v>12228</v>
      </c>
      <c r="E12705" s="6" t="str">
        <f>HYPERLINK("https://twitter.com/petrogustavo/status/1337559921089531904","1337559921089531904")</f>
        <v>1337559921089531904</v>
      </c>
      <c r="F12705" s="7" t="s">
        <v>17</v>
      </c>
      <c r="G12705" s="7">
        <v>4017638</v>
      </c>
      <c r="H12705" s="7">
        <v>2468</v>
      </c>
      <c r="I12705" s="7">
        <v>44</v>
      </c>
      <c r="J12705" s="7">
        <v>155</v>
      </c>
      <c r="K12705" s="7" t="s">
        <v>18</v>
      </c>
      <c r="L12705" s="8">
        <v>39987.315405092595</v>
      </c>
      <c r="M12705" s="9" t="s">
        <v>19</v>
      </c>
      <c r="N12705" s="9" t="s">
        <v>20</v>
      </c>
      <c r="O12705" s="6" t="str">
        <f>HYPERLINK("https://pbs.twimg.com/profile_images/962471262747529216/Uo8lOkRJ_normal.jpg","View")</f>
        <v>View</v>
      </c>
      <c r="P12705" s="7"/>
    </row>
    <row r="12706" spans="1:16">
      <c r="A12706" s="3">
        <v>44177.359502314815</v>
      </c>
      <c r="B12706" s="4" t="str">
        <f>HYPERLINK("https://twitter.com/petrogustavo","@petrogustavo")</f>
        <v>@petrogustavo</v>
      </c>
      <c r="C12706" s="5" t="s">
        <v>16</v>
      </c>
      <c r="D12706" s="5" t="s">
        <v>12229</v>
      </c>
      <c r="E12706" s="6" t="str">
        <f>HYPERLINK("https://twitter.com/petrogustavo/status/1337594947650904065","1337594947650904065")</f>
        <v>1337594947650904065</v>
      </c>
      <c r="F12706" s="7" t="s">
        <v>32</v>
      </c>
      <c r="G12706" s="7">
        <v>4017679</v>
      </c>
      <c r="H12706" s="7">
        <v>2468</v>
      </c>
      <c r="I12706" s="7">
        <v>130</v>
      </c>
      <c r="J12706" s="7">
        <v>0</v>
      </c>
      <c r="K12706" s="7" t="s">
        <v>18</v>
      </c>
      <c r="L12706" s="8">
        <v>39987.315405092595</v>
      </c>
      <c r="M12706" s="9" t="s">
        <v>19</v>
      </c>
      <c r="N12706" s="9" t="s">
        <v>20</v>
      </c>
      <c r="O12706" s="6" t="str">
        <f>HYPERLINK("https://pbs.twimg.com/profile_images/962471262747529216/Uo8lOkRJ_normal.jpg","View")</f>
        <v>View</v>
      </c>
      <c r="P12706" s="7"/>
    </row>
    <row r="12707" spans="1:16">
      <c r="A12707" s="3">
        <v>44177.743495370371</v>
      </c>
      <c r="B12707" s="4" t="str">
        <f>HYPERLINK("https://twitter.com/petrogustavo","@petrogustavo")</f>
        <v>@petrogustavo</v>
      </c>
      <c r="C12707" s="5" t="s">
        <v>16</v>
      </c>
      <c r="D12707" s="5" t="s">
        <v>12230</v>
      </c>
      <c r="E12707" s="6" t="str">
        <f>HYPERLINK("https://twitter.com/petrogustavo/status/1337734103857311750","1337734103857311750")</f>
        <v>1337734103857311750</v>
      </c>
      <c r="F12707" s="7" t="s">
        <v>17</v>
      </c>
      <c r="G12707" s="7">
        <v>4017713</v>
      </c>
      <c r="H12707" s="7">
        <v>2468</v>
      </c>
      <c r="I12707" s="7">
        <v>29</v>
      </c>
      <c r="J12707" s="7">
        <v>118</v>
      </c>
      <c r="K12707" s="7" t="s">
        <v>18</v>
      </c>
      <c r="L12707" s="8">
        <v>39987.315405092595</v>
      </c>
      <c r="M12707" s="9" t="s">
        <v>19</v>
      </c>
      <c r="N12707" s="9" t="s">
        <v>20</v>
      </c>
      <c r="O12707" s="6" t="str">
        <f>HYPERLINK("https://pbs.twimg.com/profile_images/962471262747529216/Uo8lOkRJ_normal.jpg","View")</f>
        <v>View</v>
      </c>
      <c r="P12707" s="7"/>
    </row>
    <row r="12708" spans="1:16">
      <c r="A12708" s="3">
        <v>44177.743877314817</v>
      </c>
      <c r="B12708" s="4" t="str">
        <f>HYPERLINK("https://twitter.com/petrogustavo","@petrogustavo")</f>
        <v>@petrogustavo</v>
      </c>
      <c r="C12708" s="5" t="s">
        <v>16</v>
      </c>
      <c r="D12708" s="5" t="s">
        <v>12231</v>
      </c>
      <c r="E12708" s="6" t="str">
        <f>HYPERLINK("https://twitter.com/petrogustavo/status/1337734241128484864","1337734241128484864")</f>
        <v>1337734241128484864</v>
      </c>
      <c r="F12708" s="7" t="s">
        <v>17</v>
      </c>
      <c r="G12708" s="7">
        <v>4017713</v>
      </c>
      <c r="H12708" s="7">
        <v>2468</v>
      </c>
      <c r="I12708" s="7">
        <v>181</v>
      </c>
      <c r="J12708" s="7">
        <v>0</v>
      </c>
      <c r="K12708" s="7" t="s">
        <v>18</v>
      </c>
      <c r="L12708" s="8">
        <v>39987.315405092595</v>
      </c>
      <c r="M12708" s="9" t="s">
        <v>19</v>
      </c>
      <c r="N12708" s="9" t="s">
        <v>20</v>
      </c>
      <c r="O12708" s="6" t="str">
        <f>HYPERLINK("https://pbs.twimg.com/profile_images/962471262747529216/Uo8lOkRJ_normal.jpg","View")</f>
        <v>View</v>
      </c>
      <c r="P12708" s="7"/>
    </row>
    <row r="12709" spans="1:16">
      <c r="A12709" s="3">
        <v>44177.745729166665</v>
      </c>
      <c r="B12709" s="4" t="str">
        <f>HYPERLINK("https://twitter.com/petrogustavo","@petrogustavo")</f>
        <v>@petrogustavo</v>
      </c>
      <c r="C12709" s="5" t="s">
        <v>16</v>
      </c>
      <c r="D12709" s="5" t="s">
        <v>12232</v>
      </c>
      <c r="E12709" s="6" t="str">
        <f>HYPERLINK("https://twitter.com/petrogustavo/status/1337734909847347201","1337734909847347201")</f>
        <v>1337734909847347201</v>
      </c>
      <c r="F12709" s="7" t="s">
        <v>17</v>
      </c>
      <c r="G12709" s="7">
        <v>4017713</v>
      </c>
      <c r="H12709" s="7">
        <v>2468</v>
      </c>
      <c r="I12709" s="7">
        <v>34</v>
      </c>
      <c r="J12709" s="7">
        <v>0</v>
      </c>
      <c r="K12709" s="7" t="s">
        <v>18</v>
      </c>
      <c r="L12709" s="8">
        <v>39987.315405092595</v>
      </c>
      <c r="M12709" s="9" t="s">
        <v>19</v>
      </c>
      <c r="N12709" s="9" t="s">
        <v>20</v>
      </c>
      <c r="O12709" s="6" t="str">
        <f>HYPERLINK("https://pbs.twimg.com/profile_images/962471262747529216/Uo8lOkRJ_normal.jpg","View")</f>
        <v>View</v>
      </c>
      <c r="P12709" s="7"/>
    </row>
    <row r="12710" spans="1:16">
      <c r="A12710" s="3">
        <v>44177.748356481483</v>
      </c>
      <c r="B12710" s="4" t="str">
        <f>HYPERLINK("https://twitter.com/petrogustavo","@petrogustavo")</f>
        <v>@petrogustavo</v>
      </c>
      <c r="C12710" s="5" t="s">
        <v>16</v>
      </c>
      <c r="D12710" s="5" t="s">
        <v>12233</v>
      </c>
      <c r="E12710" s="6" t="str">
        <f>HYPERLINK("https://twitter.com/petrogustavo/status/1337735864521265152","1337735864521265152")</f>
        <v>1337735864521265152</v>
      </c>
      <c r="F12710" s="7" t="s">
        <v>17</v>
      </c>
      <c r="G12710" s="7">
        <v>4017713</v>
      </c>
      <c r="H12710" s="7">
        <v>2468</v>
      </c>
      <c r="I12710" s="7">
        <v>101</v>
      </c>
      <c r="J12710" s="7">
        <v>371</v>
      </c>
      <c r="K12710" s="7" t="s">
        <v>18</v>
      </c>
      <c r="L12710" s="8">
        <v>39987.315405092595</v>
      </c>
      <c r="M12710" s="9" t="s">
        <v>19</v>
      </c>
      <c r="N12710" s="9" t="s">
        <v>20</v>
      </c>
      <c r="O12710" s="6" t="str">
        <f>HYPERLINK("https://pbs.twimg.com/profile_images/962471262747529216/Uo8lOkRJ_normal.jpg","View")</f>
        <v>View</v>
      </c>
      <c r="P12710" s="7"/>
    </row>
    <row r="12711" spans="1:16">
      <c r="A12711" s="3">
        <v>44177.748784722222</v>
      </c>
      <c r="B12711" s="4" t="str">
        <f>HYPERLINK("https://twitter.com/petrogustavo","@petrogustavo")</f>
        <v>@petrogustavo</v>
      </c>
      <c r="C12711" s="5" t="s">
        <v>16</v>
      </c>
      <c r="D12711" s="5" t="s">
        <v>12234</v>
      </c>
      <c r="E12711" s="6" t="str">
        <f>HYPERLINK("https://twitter.com/petrogustavo/status/1337736020608118785","1337736020608118785")</f>
        <v>1337736020608118785</v>
      </c>
      <c r="F12711" s="7" t="s">
        <v>17</v>
      </c>
      <c r="G12711" s="7">
        <v>4017713</v>
      </c>
      <c r="H12711" s="7">
        <v>2468</v>
      </c>
      <c r="I12711" s="7">
        <v>32</v>
      </c>
      <c r="J12711" s="7">
        <v>0</v>
      </c>
      <c r="K12711" s="7" t="s">
        <v>18</v>
      </c>
      <c r="L12711" s="8">
        <v>39987.315405092595</v>
      </c>
      <c r="M12711" s="9" t="s">
        <v>19</v>
      </c>
      <c r="N12711" s="9" t="s">
        <v>20</v>
      </c>
      <c r="O12711" s="6" t="str">
        <f>HYPERLINK("https://pbs.twimg.com/profile_images/962471262747529216/Uo8lOkRJ_normal.jpg","View")</f>
        <v>View</v>
      </c>
      <c r="P12711" s="7"/>
    </row>
    <row r="12712" spans="1:16">
      <c r="A12712" s="3">
        <v>44177.752384259264</v>
      </c>
      <c r="B12712" s="4" t="str">
        <f>HYPERLINK("https://twitter.com/petrogustavo","@petrogustavo")</f>
        <v>@petrogustavo</v>
      </c>
      <c r="C12712" s="5" t="s">
        <v>16</v>
      </c>
      <c r="D12712" s="5" t="s">
        <v>12235</v>
      </c>
      <c r="E12712" s="6" t="str">
        <f>HYPERLINK("https://twitter.com/petrogustavo/status/1337737321832210434","1337737321832210434")</f>
        <v>1337737321832210434</v>
      </c>
      <c r="F12712" s="7" t="s">
        <v>17</v>
      </c>
      <c r="G12712" s="7">
        <v>4017713</v>
      </c>
      <c r="H12712" s="7">
        <v>2468</v>
      </c>
      <c r="I12712" s="7">
        <v>76</v>
      </c>
      <c r="J12712" s="7">
        <v>168</v>
      </c>
      <c r="K12712" s="7" t="s">
        <v>18</v>
      </c>
      <c r="L12712" s="8">
        <v>39987.315405092595</v>
      </c>
      <c r="M12712" s="9" t="s">
        <v>19</v>
      </c>
      <c r="N12712" s="9" t="s">
        <v>20</v>
      </c>
      <c r="O12712" s="6" t="str">
        <f>HYPERLINK("https://pbs.twimg.com/profile_images/962471262747529216/Uo8lOkRJ_normal.jpg","View")</f>
        <v>View</v>
      </c>
      <c r="P12712" s="7"/>
    </row>
    <row r="12713" spans="1:16">
      <c r="A12713" s="3">
        <v>44177.754201388889</v>
      </c>
      <c r="B12713" s="4" t="str">
        <f>HYPERLINK("https://twitter.com/petrogustavo","@petrogustavo")</f>
        <v>@petrogustavo</v>
      </c>
      <c r="C12713" s="5" t="s">
        <v>16</v>
      </c>
      <c r="D12713" s="5" t="s">
        <v>12236</v>
      </c>
      <c r="E12713" s="6" t="str">
        <f>HYPERLINK("https://twitter.com/petrogustavo/status/1337737980232994817","1337737980232994817")</f>
        <v>1337737980232994817</v>
      </c>
      <c r="F12713" s="7" t="s">
        <v>17</v>
      </c>
      <c r="G12713" s="7">
        <v>4017713</v>
      </c>
      <c r="H12713" s="7">
        <v>2468</v>
      </c>
      <c r="I12713" s="7">
        <v>34</v>
      </c>
      <c r="J12713" s="7">
        <v>160</v>
      </c>
      <c r="K12713" s="7" t="s">
        <v>18</v>
      </c>
      <c r="L12713" s="8">
        <v>39987.315405092595</v>
      </c>
      <c r="M12713" s="9" t="s">
        <v>19</v>
      </c>
      <c r="N12713" s="9" t="s">
        <v>20</v>
      </c>
      <c r="O12713" s="6" t="str">
        <f>HYPERLINK("https://pbs.twimg.com/profile_images/962471262747529216/Uo8lOkRJ_normal.jpg","View")</f>
        <v>View</v>
      </c>
      <c r="P12713" s="7"/>
    </row>
    <row r="12714" spans="1:16">
      <c r="A12714" s="3">
        <v>44177.757060185184</v>
      </c>
      <c r="B12714" s="4" t="str">
        <f>HYPERLINK("https://twitter.com/petrogustavo","@petrogustavo")</f>
        <v>@petrogustavo</v>
      </c>
      <c r="C12714" s="5" t="s">
        <v>16</v>
      </c>
      <c r="D12714" s="5" t="s">
        <v>12237</v>
      </c>
      <c r="E12714" s="6" t="str">
        <f>HYPERLINK("https://twitter.com/petrogustavo/status/1337739017970987013","1337739017970987013")</f>
        <v>1337739017970987013</v>
      </c>
      <c r="F12714" s="7" t="s">
        <v>17</v>
      </c>
      <c r="G12714" s="7">
        <v>4017713</v>
      </c>
      <c r="H12714" s="7">
        <v>2468</v>
      </c>
      <c r="I12714" s="7">
        <v>15</v>
      </c>
      <c r="J12714" s="7">
        <v>48</v>
      </c>
      <c r="K12714" s="7" t="s">
        <v>18</v>
      </c>
      <c r="L12714" s="8">
        <v>39987.315405092595</v>
      </c>
      <c r="M12714" s="9" t="s">
        <v>19</v>
      </c>
      <c r="N12714" s="9" t="s">
        <v>20</v>
      </c>
      <c r="O12714" s="6" t="str">
        <f>HYPERLINK("https://pbs.twimg.com/profile_images/962471262747529216/Uo8lOkRJ_normal.jpg","View")</f>
        <v>View</v>
      </c>
      <c r="P12714" s="7"/>
    </row>
    <row r="12715" spans="1:16">
      <c r="A12715" s="3">
        <v>44177.760243055556</v>
      </c>
      <c r="B12715" s="4" t="str">
        <f>HYPERLINK("https://twitter.com/petrogustavo","@petrogustavo")</f>
        <v>@petrogustavo</v>
      </c>
      <c r="C12715" s="5" t="s">
        <v>16</v>
      </c>
      <c r="D12715" s="5" t="s">
        <v>12238</v>
      </c>
      <c r="E12715" s="6" t="str">
        <f>HYPERLINK("https://twitter.com/petrogustavo/status/1337740170112757761","1337740170112757761")</f>
        <v>1337740170112757761</v>
      </c>
      <c r="F12715" s="7" t="s">
        <v>17</v>
      </c>
      <c r="G12715" s="7">
        <v>4017713</v>
      </c>
      <c r="H12715" s="7">
        <v>2468</v>
      </c>
      <c r="I12715" s="7">
        <v>30</v>
      </c>
      <c r="J12715" s="7">
        <v>90</v>
      </c>
      <c r="K12715" s="7" t="s">
        <v>18</v>
      </c>
      <c r="L12715" s="8">
        <v>39987.315405092595</v>
      </c>
      <c r="M12715" s="9" t="s">
        <v>19</v>
      </c>
      <c r="N12715" s="9" t="s">
        <v>20</v>
      </c>
      <c r="O12715" s="6" t="str">
        <f>HYPERLINK("https://pbs.twimg.com/profile_images/962471262747529216/Uo8lOkRJ_normal.jpg","View")</f>
        <v>View</v>
      </c>
      <c r="P12715" s="7"/>
    </row>
    <row r="12716" spans="1:16">
      <c r="A12716" s="3">
        <v>44177.789293981477</v>
      </c>
      <c r="B12716" s="4" t="str">
        <f>HYPERLINK("https://twitter.com/petrogustavo","@petrogustavo")</f>
        <v>@petrogustavo</v>
      </c>
      <c r="C12716" s="5" t="s">
        <v>16</v>
      </c>
      <c r="D12716" s="5" t="s">
        <v>12239</v>
      </c>
      <c r="E12716" s="6" t="str">
        <f>HYPERLINK("https://twitter.com/petrogustavo/status/1337750697362722816","1337750697362722816")</f>
        <v>1337750697362722816</v>
      </c>
      <c r="F12716" s="7" t="s">
        <v>32</v>
      </c>
      <c r="G12716" s="7">
        <v>4017719</v>
      </c>
      <c r="H12716" s="7">
        <v>2468</v>
      </c>
      <c r="I12716" s="7">
        <v>72</v>
      </c>
      <c r="J12716" s="7">
        <v>198</v>
      </c>
      <c r="K12716" s="7" t="s">
        <v>18</v>
      </c>
      <c r="L12716" s="8">
        <v>39987.315405092595</v>
      </c>
      <c r="M12716" s="9" t="s">
        <v>19</v>
      </c>
      <c r="N12716" s="9" t="s">
        <v>20</v>
      </c>
      <c r="O12716" s="6" t="str">
        <f>HYPERLINK("https://pbs.twimg.com/profile_images/962471262747529216/Uo8lOkRJ_normal.jpg","View")</f>
        <v>View</v>
      </c>
      <c r="P12716" s="7"/>
    </row>
    <row r="12717" spans="1:16">
      <c r="A12717" s="3">
        <v>44177.793460648143</v>
      </c>
      <c r="B12717" s="4" t="str">
        <f>HYPERLINK("https://twitter.com/petrogustavo","@petrogustavo")</f>
        <v>@petrogustavo</v>
      </c>
      <c r="C12717" s="5" t="s">
        <v>16</v>
      </c>
      <c r="D12717" s="5" t="s">
        <v>12240</v>
      </c>
      <c r="E12717" s="6" t="str">
        <f>HYPERLINK("https://twitter.com/petrogustavo/status/1337752209182892032","1337752209182892032")</f>
        <v>1337752209182892032</v>
      </c>
      <c r="F12717" s="7" t="s">
        <v>32</v>
      </c>
      <c r="G12717" s="7">
        <v>4017719</v>
      </c>
      <c r="H12717" s="7">
        <v>2468</v>
      </c>
      <c r="I12717" s="7">
        <v>49</v>
      </c>
      <c r="J12717" s="7">
        <v>171</v>
      </c>
      <c r="K12717" s="7" t="s">
        <v>18</v>
      </c>
      <c r="L12717" s="8">
        <v>39987.315405092595</v>
      </c>
      <c r="M12717" s="9" t="s">
        <v>19</v>
      </c>
      <c r="N12717" s="9" t="s">
        <v>20</v>
      </c>
      <c r="O12717" s="6" t="str">
        <f>HYPERLINK("https://pbs.twimg.com/profile_images/962471262747529216/Uo8lOkRJ_normal.jpg","View")</f>
        <v>View</v>
      </c>
      <c r="P12717" s="7"/>
    </row>
    <row r="12718" spans="1:16">
      <c r="A12718" s="3">
        <v>44177.794988425929</v>
      </c>
      <c r="B12718" s="4" t="str">
        <f>HYPERLINK("https://twitter.com/petrogustavo","@petrogustavo")</f>
        <v>@petrogustavo</v>
      </c>
      <c r="C12718" s="5" t="s">
        <v>16</v>
      </c>
      <c r="D12718" s="5" t="s">
        <v>12241</v>
      </c>
      <c r="E12718" s="6" t="str">
        <f>HYPERLINK("https://twitter.com/petrogustavo/status/1337752764013817856","1337752764013817856")</f>
        <v>1337752764013817856</v>
      </c>
      <c r="F12718" s="7" t="s">
        <v>32</v>
      </c>
      <c r="G12718" s="7">
        <v>4017719</v>
      </c>
      <c r="H12718" s="7">
        <v>2468</v>
      </c>
      <c r="I12718" s="7">
        <v>83</v>
      </c>
      <c r="J12718" s="7">
        <v>376</v>
      </c>
      <c r="K12718" s="7" t="s">
        <v>18</v>
      </c>
      <c r="L12718" s="8">
        <v>39987.315405092595</v>
      </c>
      <c r="M12718" s="9" t="s">
        <v>19</v>
      </c>
      <c r="N12718" s="9" t="s">
        <v>20</v>
      </c>
      <c r="O12718" s="6" t="str">
        <f>HYPERLINK("https://pbs.twimg.com/profile_images/962471262747529216/Uo8lOkRJ_normal.jpg","View")</f>
        <v>View</v>
      </c>
      <c r="P12718" s="7"/>
    </row>
    <row r="12719" spans="1:16">
      <c r="A12719" s="3">
        <v>44177.804270833338</v>
      </c>
      <c r="B12719" s="4" t="str">
        <f>HYPERLINK("https://twitter.com/petrogustavo","@petrogustavo")</f>
        <v>@petrogustavo</v>
      </c>
      <c r="C12719" s="5" t="s">
        <v>16</v>
      </c>
      <c r="D12719" s="5" t="s">
        <v>12242</v>
      </c>
      <c r="E12719" s="6" t="str">
        <f>HYPERLINK("https://twitter.com/petrogustavo/status/1337756127438712836","1337756127438712836")</f>
        <v>1337756127438712836</v>
      </c>
      <c r="F12719" s="7" t="s">
        <v>32</v>
      </c>
      <c r="G12719" s="7">
        <v>4017726</v>
      </c>
      <c r="H12719" s="7">
        <v>2468</v>
      </c>
      <c r="I12719" s="7">
        <v>59</v>
      </c>
      <c r="J12719" s="7">
        <v>141</v>
      </c>
      <c r="K12719" s="7" t="s">
        <v>18</v>
      </c>
      <c r="L12719" s="8">
        <v>39987.315405092595</v>
      </c>
      <c r="M12719" s="9" t="s">
        <v>19</v>
      </c>
      <c r="N12719" s="9" t="s">
        <v>20</v>
      </c>
      <c r="O12719" s="6" t="str">
        <f>HYPERLINK("https://pbs.twimg.com/profile_images/962471262747529216/Uo8lOkRJ_normal.jpg","View")</f>
        <v>View</v>
      </c>
      <c r="P12719" s="7"/>
    </row>
    <row r="12720" spans="1:16">
      <c r="A12720" s="3">
        <v>44177.806886574079</v>
      </c>
      <c r="B12720" s="4" t="str">
        <f>HYPERLINK("https://twitter.com/petrogustavo","@petrogustavo")</f>
        <v>@petrogustavo</v>
      </c>
      <c r="C12720" s="5" t="s">
        <v>16</v>
      </c>
      <c r="D12720" s="5" t="s">
        <v>12243</v>
      </c>
      <c r="E12720" s="6" t="str">
        <f>HYPERLINK("https://twitter.com/petrogustavo/status/1337757073375981569","1337757073375981569")</f>
        <v>1337757073375981569</v>
      </c>
      <c r="F12720" s="7" t="s">
        <v>32</v>
      </c>
      <c r="G12720" s="7">
        <v>4017726</v>
      </c>
      <c r="H12720" s="7">
        <v>2468</v>
      </c>
      <c r="I12720" s="7">
        <v>64</v>
      </c>
      <c r="J12720" s="7">
        <v>186</v>
      </c>
      <c r="K12720" s="7" t="s">
        <v>18</v>
      </c>
      <c r="L12720" s="8">
        <v>39987.315405092595</v>
      </c>
      <c r="M12720" s="9" t="s">
        <v>19</v>
      </c>
      <c r="N12720" s="9" t="s">
        <v>20</v>
      </c>
      <c r="O12720" s="6" t="str">
        <f>HYPERLINK("https://pbs.twimg.com/profile_images/962471262747529216/Uo8lOkRJ_normal.jpg","View")</f>
        <v>View</v>
      </c>
      <c r="P12720" s="7"/>
    </row>
    <row r="12721" spans="1:16">
      <c r="A12721" s="3">
        <v>44177.811122685191</v>
      </c>
      <c r="B12721" s="4" t="str">
        <f>HYPERLINK("https://twitter.com/petrogustavo","@petrogustavo")</f>
        <v>@petrogustavo</v>
      </c>
      <c r="C12721" s="5" t="s">
        <v>16</v>
      </c>
      <c r="D12721" s="5" t="s">
        <v>12244</v>
      </c>
      <c r="E12721" s="6" t="str">
        <f>HYPERLINK("https://twitter.com/petrogustavo/status/1337758607790792706","1337758607790792706")</f>
        <v>1337758607790792706</v>
      </c>
      <c r="F12721" s="7" t="s">
        <v>32</v>
      </c>
      <c r="G12721" s="7">
        <v>4017726</v>
      </c>
      <c r="H12721" s="7">
        <v>2468</v>
      </c>
      <c r="I12721" s="7">
        <v>34</v>
      </c>
      <c r="J12721" s="7">
        <v>0</v>
      </c>
      <c r="K12721" s="7" t="s">
        <v>18</v>
      </c>
      <c r="L12721" s="8">
        <v>39987.315405092595</v>
      </c>
      <c r="M12721" s="9" t="s">
        <v>19</v>
      </c>
      <c r="N12721" s="9" t="s">
        <v>20</v>
      </c>
      <c r="O12721" s="6" t="str">
        <f>HYPERLINK("https://pbs.twimg.com/profile_images/962471262747529216/Uo8lOkRJ_normal.jpg","View")</f>
        <v>View</v>
      </c>
      <c r="P12721" s="7"/>
    </row>
    <row r="12722" spans="1:16">
      <c r="A12722" s="3">
        <v>44177.811388888891</v>
      </c>
      <c r="B12722" s="4" t="str">
        <f>HYPERLINK("https://twitter.com/petrogustavo","@petrogustavo")</f>
        <v>@petrogustavo</v>
      </c>
      <c r="C12722" s="5" t="s">
        <v>16</v>
      </c>
      <c r="D12722" s="5" t="s">
        <v>12245</v>
      </c>
      <c r="E12722" s="6" t="str">
        <f>HYPERLINK("https://twitter.com/petrogustavo/status/1337758707057299456","1337758707057299456")</f>
        <v>1337758707057299456</v>
      </c>
      <c r="F12722" s="7" t="s">
        <v>32</v>
      </c>
      <c r="G12722" s="7">
        <v>4017726</v>
      </c>
      <c r="H12722" s="7">
        <v>2468</v>
      </c>
      <c r="I12722" s="7">
        <v>706</v>
      </c>
      <c r="J12722" s="7">
        <v>0</v>
      </c>
      <c r="K12722" s="7" t="s">
        <v>18</v>
      </c>
      <c r="L12722" s="8">
        <v>39987.315405092595</v>
      </c>
      <c r="M12722" s="9" t="s">
        <v>19</v>
      </c>
      <c r="N12722" s="9" t="s">
        <v>20</v>
      </c>
      <c r="O12722" s="6" t="str">
        <f>HYPERLINK("https://pbs.twimg.com/profile_images/962471262747529216/Uo8lOkRJ_normal.jpg","View")</f>
        <v>View</v>
      </c>
      <c r="P12722" s="7"/>
    </row>
    <row r="12723" spans="1:16">
      <c r="A12723" s="3">
        <v>44177.826747685191</v>
      </c>
      <c r="B12723" s="4" t="str">
        <f>HYPERLINK("https://twitter.com/petrogustavo","@petrogustavo")</f>
        <v>@petrogustavo</v>
      </c>
      <c r="C12723" s="5" t="s">
        <v>16</v>
      </c>
      <c r="D12723" s="5" t="s">
        <v>12246</v>
      </c>
      <c r="E12723" s="6" t="str">
        <f>HYPERLINK("https://twitter.com/petrogustavo/status/1337764269744680961","1337764269744680961")</f>
        <v>1337764269744680961</v>
      </c>
      <c r="F12723" s="7" t="s">
        <v>17</v>
      </c>
      <c r="G12723" s="7">
        <v>4017738</v>
      </c>
      <c r="H12723" s="7">
        <v>2468</v>
      </c>
      <c r="I12723" s="7">
        <v>188</v>
      </c>
      <c r="J12723" s="7">
        <v>0</v>
      </c>
      <c r="K12723" s="7" t="s">
        <v>18</v>
      </c>
      <c r="L12723" s="8">
        <v>39987.315405092595</v>
      </c>
      <c r="M12723" s="9" t="s">
        <v>19</v>
      </c>
      <c r="N12723" s="9" t="s">
        <v>20</v>
      </c>
      <c r="O12723" s="6" t="str">
        <f>HYPERLINK("https://pbs.twimg.com/profile_images/962471262747529216/Uo8lOkRJ_normal.jpg","View")</f>
        <v>View</v>
      </c>
      <c r="P12723" s="7"/>
    </row>
    <row r="12724" spans="1:16">
      <c r="A12724" s="3">
        <v>44177.827534722222</v>
      </c>
      <c r="B12724" s="4" t="str">
        <f>HYPERLINK("https://twitter.com/petrogustavo","@petrogustavo")</f>
        <v>@petrogustavo</v>
      </c>
      <c r="C12724" s="5" t="s">
        <v>16</v>
      </c>
      <c r="D12724" s="5" t="s">
        <v>12229</v>
      </c>
      <c r="E12724" s="6" t="str">
        <f>HYPERLINK("https://twitter.com/petrogustavo/status/1337764557775843330","1337764557775843330")</f>
        <v>1337764557775843330</v>
      </c>
      <c r="F12724" s="7" t="s">
        <v>17</v>
      </c>
      <c r="G12724" s="7">
        <v>4017738</v>
      </c>
      <c r="H12724" s="7">
        <v>2468</v>
      </c>
      <c r="I12724" s="7">
        <v>259</v>
      </c>
      <c r="J12724" s="7">
        <v>0</v>
      </c>
      <c r="K12724" s="7" t="s">
        <v>18</v>
      </c>
      <c r="L12724" s="8">
        <v>39987.315405092595</v>
      </c>
      <c r="M12724" s="9" t="s">
        <v>19</v>
      </c>
      <c r="N12724" s="9" t="s">
        <v>20</v>
      </c>
      <c r="O12724" s="6" t="str">
        <f>HYPERLINK("https://pbs.twimg.com/profile_images/962471262747529216/Uo8lOkRJ_normal.jpg","View")</f>
        <v>View</v>
      </c>
      <c r="P12724" s="7"/>
    </row>
    <row r="12725" spans="1:16">
      <c r="A12725" s="3">
        <v>44177.83320601852</v>
      </c>
      <c r="B12725" s="4" t="str">
        <f>HYPERLINK("https://twitter.com/petrogustavo","@petrogustavo")</f>
        <v>@petrogustavo</v>
      </c>
      <c r="C12725" s="5" t="s">
        <v>16</v>
      </c>
      <c r="D12725" s="5" t="s">
        <v>12247</v>
      </c>
      <c r="E12725" s="6" t="str">
        <f>HYPERLINK("https://twitter.com/petrogustavo/status/1337766612657647616","1337766612657647616")</f>
        <v>1337766612657647616</v>
      </c>
      <c r="F12725" s="7" t="s">
        <v>17</v>
      </c>
      <c r="G12725" s="7">
        <v>4017738</v>
      </c>
      <c r="H12725" s="7">
        <v>2468</v>
      </c>
      <c r="I12725" s="7">
        <v>39</v>
      </c>
      <c r="J12725" s="7">
        <v>0</v>
      </c>
      <c r="K12725" s="7" t="s">
        <v>18</v>
      </c>
      <c r="L12725" s="8">
        <v>39987.315405092595</v>
      </c>
      <c r="M12725" s="9" t="s">
        <v>19</v>
      </c>
      <c r="N12725" s="9" t="s">
        <v>20</v>
      </c>
      <c r="O12725" s="6" t="str">
        <f>HYPERLINK("https://pbs.twimg.com/profile_images/962471262747529216/Uo8lOkRJ_normal.jpg","View")</f>
        <v>View</v>
      </c>
      <c r="P12725" s="7"/>
    </row>
    <row r="12726" spans="1:16">
      <c r="A12726" s="3">
        <v>44177.850370370375</v>
      </c>
      <c r="B12726" s="4" t="str">
        <f>HYPERLINK("https://twitter.com/petrogustavo","@petrogustavo")</f>
        <v>@petrogustavo</v>
      </c>
      <c r="C12726" s="5" t="s">
        <v>16</v>
      </c>
      <c r="D12726" s="5" t="s">
        <v>12248</v>
      </c>
      <c r="E12726" s="6" t="str">
        <f>HYPERLINK("https://twitter.com/petrogustavo/status/1337772832554688524","1337772832554688524")</f>
        <v>1337772832554688524</v>
      </c>
      <c r="F12726" s="7" t="s">
        <v>17</v>
      </c>
      <c r="G12726" s="7">
        <v>4017724</v>
      </c>
      <c r="H12726" s="7">
        <v>2468</v>
      </c>
      <c r="I12726" s="7">
        <v>30</v>
      </c>
      <c r="J12726" s="7">
        <v>106</v>
      </c>
      <c r="K12726" s="7" t="s">
        <v>18</v>
      </c>
      <c r="L12726" s="8">
        <v>39987.315405092595</v>
      </c>
      <c r="M12726" s="9" t="s">
        <v>19</v>
      </c>
      <c r="N12726" s="9" t="s">
        <v>20</v>
      </c>
      <c r="O12726" s="6" t="str">
        <f>HYPERLINK("https://pbs.twimg.com/profile_images/962471262747529216/Uo8lOkRJ_normal.jpg","View")</f>
        <v>View</v>
      </c>
      <c r="P12726" s="7"/>
    </row>
    <row r="12727" spans="1:16">
      <c r="A12727" s="3">
        <v>44177.853333333333</v>
      </c>
      <c r="B12727" s="4" t="str">
        <f>HYPERLINK("https://twitter.com/petrogustavo","@petrogustavo")</f>
        <v>@petrogustavo</v>
      </c>
      <c r="C12727" s="5" t="s">
        <v>16</v>
      </c>
      <c r="D12727" s="5" t="s">
        <v>12249</v>
      </c>
      <c r="E12727" s="6" t="str">
        <f>HYPERLINK("https://twitter.com/petrogustavo/status/1337773905310781443","1337773905310781443")</f>
        <v>1337773905310781443</v>
      </c>
      <c r="F12727" s="7" t="s">
        <v>17</v>
      </c>
      <c r="G12727" s="7">
        <v>4017724</v>
      </c>
      <c r="H12727" s="7">
        <v>2468</v>
      </c>
      <c r="I12727" s="7">
        <v>23</v>
      </c>
      <c r="J12727" s="7">
        <v>0</v>
      </c>
      <c r="K12727" s="7" t="s">
        <v>18</v>
      </c>
      <c r="L12727" s="8">
        <v>39987.315405092595</v>
      </c>
      <c r="M12727" s="9" t="s">
        <v>19</v>
      </c>
      <c r="N12727" s="9" t="s">
        <v>20</v>
      </c>
      <c r="O12727" s="6" t="str">
        <f>HYPERLINK("https://pbs.twimg.com/profile_images/962471262747529216/Uo8lOkRJ_normal.jpg","View")</f>
        <v>View</v>
      </c>
      <c r="P12727" s="7"/>
    </row>
    <row r="12728" spans="1:16">
      <c r="A12728" s="3">
        <v>44177.855624999997</v>
      </c>
      <c r="B12728" s="4" t="str">
        <f>HYPERLINK("https://twitter.com/petrogustavo","@petrogustavo")</f>
        <v>@petrogustavo</v>
      </c>
      <c r="C12728" s="5" t="s">
        <v>16</v>
      </c>
      <c r="D12728" s="5" t="s">
        <v>12229</v>
      </c>
      <c r="E12728" s="6" t="str">
        <f>HYPERLINK("https://twitter.com/petrogustavo/status/1337774738421198848","1337774738421198848")</f>
        <v>1337774738421198848</v>
      </c>
      <c r="F12728" s="7" t="s">
        <v>17</v>
      </c>
      <c r="G12728" s="7">
        <v>4017724</v>
      </c>
      <c r="H12728" s="7">
        <v>2468</v>
      </c>
      <c r="I12728" s="7">
        <v>268</v>
      </c>
      <c r="J12728" s="7">
        <v>0</v>
      </c>
      <c r="K12728" s="7" t="s">
        <v>18</v>
      </c>
      <c r="L12728" s="8">
        <v>39987.315405092595</v>
      </c>
      <c r="M12728" s="9" t="s">
        <v>19</v>
      </c>
      <c r="N12728" s="9" t="s">
        <v>20</v>
      </c>
      <c r="O12728" s="6" t="str">
        <f>HYPERLINK("https://pbs.twimg.com/profile_images/962471262747529216/Uo8lOkRJ_normal.jpg","View")</f>
        <v>View</v>
      </c>
      <c r="P12728" s="7"/>
    </row>
    <row r="12729" spans="1:16">
      <c r="A12729" s="3">
        <v>44177.923055555555</v>
      </c>
      <c r="B12729" s="4" t="str">
        <f>HYPERLINK("https://twitter.com/petrogustavo","@petrogustavo")</f>
        <v>@petrogustavo</v>
      </c>
      <c r="C12729" s="5" t="s">
        <v>16</v>
      </c>
      <c r="D12729" s="5" t="s">
        <v>12250</v>
      </c>
      <c r="E12729" s="6" t="str">
        <f>HYPERLINK("https://twitter.com/petrogustavo/status/1337799170808221696","1337799170808221696")</f>
        <v>1337799170808221696</v>
      </c>
      <c r="F12729" s="7" t="s">
        <v>17</v>
      </c>
      <c r="G12729" s="7">
        <v>4017745</v>
      </c>
      <c r="H12729" s="7">
        <v>2468</v>
      </c>
      <c r="I12729" s="7">
        <v>96</v>
      </c>
      <c r="J12729" s="7">
        <v>0</v>
      </c>
      <c r="K12729" s="7" t="s">
        <v>18</v>
      </c>
      <c r="L12729" s="8">
        <v>39987.315405092595</v>
      </c>
      <c r="M12729" s="9" t="s">
        <v>19</v>
      </c>
      <c r="N12729" s="9" t="s">
        <v>20</v>
      </c>
      <c r="O12729" s="6" t="str">
        <f>HYPERLINK("https://pbs.twimg.com/profile_images/962471262747529216/Uo8lOkRJ_normal.jpg","View")</f>
        <v>View</v>
      </c>
      <c r="P12729" s="7"/>
    </row>
    <row r="12730" spans="1:16">
      <c r="A12730" s="3">
        <v>44177.953518518523</v>
      </c>
      <c r="B12730" s="4" t="str">
        <f>HYPERLINK("https://twitter.com/petrogustavo","@petrogustavo")</f>
        <v>@petrogustavo</v>
      </c>
      <c r="C12730" s="5" t="s">
        <v>16</v>
      </c>
      <c r="D12730" s="5" t="s">
        <v>12251</v>
      </c>
      <c r="E12730" s="6" t="str">
        <f>HYPERLINK("https://twitter.com/petrogustavo/status/1337810213173334031","1337810213173334031")</f>
        <v>1337810213173334031</v>
      </c>
      <c r="F12730" s="7" t="s">
        <v>17</v>
      </c>
      <c r="G12730" s="7">
        <v>4017758</v>
      </c>
      <c r="H12730" s="7">
        <v>2468</v>
      </c>
      <c r="I12730" s="7">
        <v>154</v>
      </c>
      <c r="J12730" s="7">
        <v>360</v>
      </c>
      <c r="K12730" s="7" t="s">
        <v>18</v>
      </c>
      <c r="L12730" s="8">
        <v>39987.315405092595</v>
      </c>
      <c r="M12730" s="9" t="s">
        <v>19</v>
      </c>
      <c r="N12730" s="9" t="s">
        <v>20</v>
      </c>
      <c r="O12730" s="6" t="str">
        <f>HYPERLINK("https://pbs.twimg.com/profile_images/962471262747529216/Uo8lOkRJ_normal.jpg","View")</f>
        <v>View</v>
      </c>
      <c r="P12730" s="7"/>
    </row>
    <row r="12731" spans="1:16">
      <c r="A12731" s="3">
        <v>44177.953530092593</v>
      </c>
      <c r="B12731" s="4" t="str">
        <f>HYPERLINK("https://twitter.com/petrogustavo","@petrogustavo")</f>
        <v>@petrogustavo</v>
      </c>
      <c r="C12731" s="5" t="s">
        <v>16</v>
      </c>
      <c r="D12731" s="5" t="s">
        <v>12252</v>
      </c>
      <c r="E12731" s="6" t="str">
        <f>HYPERLINK("https://twitter.com/petrogustavo/status/1337810214389682176","1337810214389682176")</f>
        <v>1337810214389682176</v>
      </c>
      <c r="F12731" s="7" t="s">
        <v>17</v>
      </c>
      <c r="G12731" s="7">
        <v>4017758</v>
      </c>
      <c r="H12731" s="7">
        <v>2468</v>
      </c>
      <c r="I12731" s="7">
        <v>66</v>
      </c>
      <c r="J12731" s="7">
        <v>225</v>
      </c>
      <c r="K12731" s="7" t="s">
        <v>18</v>
      </c>
      <c r="L12731" s="8">
        <v>39987.315405092595</v>
      </c>
      <c r="M12731" s="9" t="s">
        <v>19</v>
      </c>
      <c r="N12731" s="9" t="s">
        <v>20</v>
      </c>
      <c r="O12731" s="6" t="str">
        <f>HYPERLINK("https://pbs.twimg.com/profile_images/962471262747529216/Uo8lOkRJ_normal.jpg","View")</f>
        <v>View</v>
      </c>
      <c r="P12731" s="7"/>
    </row>
    <row r="12732" spans="1:16">
      <c r="A12732" s="3">
        <v>44177.953530092593</v>
      </c>
      <c r="B12732" s="4" t="str">
        <f>HYPERLINK("https://twitter.com/petrogustavo","@petrogustavo")</f>
        <v>@petrogustavo</v>
      </c>
      <c r="C12732" s="5" t="s">
        <v>16</v>
      </c>
      <c r="D12732" s="5" t="s">
        <v>12253</v>
      </c>
      <c r="E12732" s="6" t="str">
        <f>HYPERLINK("https://twitter.com/petrogustavo/status/1337810215639670784","1337810215639670784")</f>
        <v>1337810215639670784</v>
      </c>
      <c r="F12732" s="7" t="s">
        <v>17</v>
      </c>
      <c r="G12732" s="7">
        <v>4017758</v>
      </c>
      <c r="H12732" s="7">
        <v>2468</v>
      </c>
      <c r="I12732" s="7">
        <v>96</v>
      </c>
      <c r="J12732" s="7">
        <v>311</v>
      </c>
      <c r="K12732" s="7" t="s">
        <v>18</v>
      </c>
      <c r="L12732" s="8">
        <v>39987.315405092595</v>
      </c>
      <c r="M12732" s="9" t="s">
        <v>19</v>
      </c>
      <c r="N12732" s="9" t="s">
        <v>20</v>
      </c>
      <c r="O12732" s="6" t="str">
        <f>HYPERLINK("https://pbs.twimg.com/profile_images/962471262747529216/Uo8lOkRJ_normal.jpg","View")</f>
        <v>View</v>
      </c>
      <c r="P12732" s="7"/>
    </row>
    <row r="12733" spans="1:16">
      <c r="A12733" s="3">
        <v>44178.065393518518</v>
      </c>
      <c r="B12733" s="4" t="str">
        <f>HYPERLINK("https://twitter.com/petrogustavo","@petrogustavo")</f>
        <v>@petrogustavo</v>
      </c>
      <c r="C12733" s="5" t="s">
        <v>16</v>
      </c>
      <c r="D12733" s="5" t="s">
        <v>12254</v>
      </c>
      <c r="E12733" s="6" t="str">
        <f>HYPERLINK("https://twitter.com/petrogustavo/status/1337850752526667777","1337850752526667777")</f>
        <v>1337850752526667777</v>
      </c>
      <c r="F12733" s="7" t="s">
        <v>17</v>
      </c>
      <c r="G12733" s="7">
        <v>4017825</v>
      </c>
      <c r="H12733" s="7">
        <v>2468</v>
      </c>
      <c r="I12733" s="7">
        <v>84</v>
      </c>
      <c r="J12733" s="7">
        <v>340</v>
      </c>
      <c r="K12733" s="7" t="s">
        <v>18</v>
      </c>
      <c r="L12733" s="8">
        <v>39987.315405092595</v>
      </c>
      <c r="M12733" s="9" t="s">
        <v>19</v>
      </c>
      <c r="N12733" s="9" t="s">
        <v>20</v>
      </c>
      <c r="O12733" s="6" t="str">
        <f>HYPERLINK("https://pbs.twimg.com/profile_images/962471262747529216/Uo8lOkRJ_normal.jpg","View")</f>
        <v>View</v>
      </c>
      <c r="P12733" s="7"/>
    </row>
    <row r="12734" spans="1:16">
      <c r="A12734" s="3">
        <v>44178.264293981483</v>
      </c>
      <c r="B12734" s="4" t="str">
        <f>HYPERLINK("https://twitter.com/petrogustavo","@petrogustavo")</f>
        <v>@petrogustavo</v>
      </c>
      <c r="C12734" s="5" t="s">
        <v>16</v>
      </c>
      <c r="D12734" s="5" t="s">
        <v>12255</v>
      </c>
      <c r="E12734" s="6" t="str">
        <f>HYPERLINK("https://twitter.com/petrogustavo/status/1337922833696088066","1337922833696088066")</f>
        <v>1337922833696088066</v>
      </c>
      <c r="F12734" s="7" t="s">
        <v>21</v>
      </c>
      <c r="G12734" s="7">
        <v>4017914</v>
      </c>
      <c r="H12734" s="7">
        <v>2468</v>
      </c>
      <c r="I12734" s="7">
        <v>86</v>
      </c>
      <c r="J12734" s="7">
        <v>244</v>
      </c>
      <c r="K12734" s="7" t="s">
        <v>18</v>
      </c>
      <c r="L12734" s="8">
        <v>39987.315405092595</v>
      </c>
      <c r="M12734" s="9" t="s">
        <v>19</v>
      </c>
      <c r="N12734" s="9" t="s">
        <v>20</v>
      </c>
      <c r="O12734" s="6" t="str">
        <f>HYPERLINK("https://pbs.twimg.com/profile_images/962471262747529216/Uo8lOkRJ_normal.jpg","View")</f>
        <v>View</v>
      </c>
      <c r="P12734" s="7"/>
    </row>
    <row r="12735" spans="1:16">
      <c r="A12735" s="3">
        <v>44178.735798611116</v>
      </c>
      <c r="B12735" s="4" t="str">
        <f>HYPERLINK("https://twitter.com/petrogustavo","@petrogustavo")</f>
        <v>@petrogustavo</v>
      </c>
      <c r="C12735" s="5" t="s">
        <v>16</v>
      </c>
      <c r="D12735" s="5" t="s">
        <v>12256</v>
      </c>
      <c r="E12735" s="6" t="str">
        <f>HYPERLINK("https://twitter.com/petrogustavo/status/1338093700895924226","1338093700895924226")</f>
        <v>1338093700895924226</v>
      </c>
      <c r="F12735" s="7" t="s">
        <v>17</v>
      </c>
      <c r="G12735" s="7">
        <v>4017934</v>
      </c>
      <c r="H12735" s="7">
        <v>2468</v>
      </c>
      <c r="I12735" s="7">
        <v>27</v>
      </c>
      <c r="J12735" s="7">
        <v>66</v>
      </c>
      <c r="K12735" s="7" t="s">
        <v>18</v>
      </c>
      <c r="L12735" s="8">
        <v>39987.315405092595</v>
      </c>
      <c r="M12735" s="9" t="s">
        <v>19</v>
      </c>
      <c r="N12735" s="9" t="s">
        <v>20</v>
      </c>
      <c r="O12735" s="6" t="str">
        <f>HYPERLINK("https://pbs.twimg.com/profile_images/962471262747529216/Uo8lOkRJ_normal.jpg","View")</f>
        <v>View</v>
      </c>
      <c r="P12735" s="7"/>
    </row>
    <row r="12736" spans="1:16">
      <c r="A12736" s="3">
        <v>44178.738599537042</v>
      </c>
      <c r="B12736" s="4" t="str">
        <f>HYPERLINK("https://twitter.com/petrogustavo","@petrogustavo")</f>
        <v>@petrogustavo</v>
      </c>
      <c r="C12736" s="5" t="s">
        <v>16</v>
      </c>
      <c r="D12736" s="5" t="s">
        <v>12257</v>
      </c>
      <c r="E12736" s="6" t="str">
        <f>HYPERLINK("https://twitter.com/petrogustavo/status/1338094716001394692","1338094716001394692")</f>
        <v>1338094716001394692</v>
      </c>
      <c r="F12736" s="7" t="s">
        <v>17</v>
      </c>
      <c r="G12736" s="7">
        <v>4017934</v>
      </c>
      <c r="H12736" s="7">
        <v>2468</v>
      </c>
      <c r="I12736" s="7">
        <v>8</v>
      </c>
      <c r="J12736" s="7">
        <v>29</v>
      </c>
      <c r="K12736" s="7" t="s">
        <v>18</v>
      </c>
      <c r="L12736" s="8">
        <v>39987.315405092595</v>
      </c>
      <c r="M12736" s="9" t="s">
        <v>19</v>
      </c>
      <c r="N12736" s="9" t="s">
        <v>20</v>
      </c>
      <c r="O12736" s="6" t="str">
        <f>HYPERLINK("https://pbs.twimg.com/profile_images/962471262747529216/Uo8lOkRJ_normal.jpg","View")</f>
        <v>View</v>
      </c>
      <c r="P12736" s="7"/>
    </row>
    <row r="12737" spans="1:16">
      <c r="A12737" s="3">
        <v>44178.739814814813</v>
      </c>
      <c r="B12737" s="4" t="str">
        <f>HYPERLINK("https://twitter.com/petrogustavo","@petrogustavo")</f>
        <v>@petrogustavo</v>
      </c>
      <c r="C12737" s="5" t="s">
        <v>16</v>
      </c>
      <c r="D12737" s="5" t="s">
        <v>12258</v>
      </c>
      <c r="E12737" s="6" t="str">
        <f>HYPERLINK("https://twitter.com/petrogustavo/status/1338095158181695488","1338095158181695488")</f>
        <v>1338095158181695488</v>
      </c>
      <c r="F12737" s="7" t="s">
        <v>17</v>
      </c>
      <c r="G12737" s="7">
        <v>4017934</v>
      </c>
      <c r="H12737" s="7">
        <v>2468</v>
      </c>
      <c r="I12737" s="7">
        <v>8</v>
      </c>
      <c r="J12737" s="7">
        <v>12</v>
      </c>
      <c r="K12737" s="7" t="s">
        <v>18</v>
      </c>
      <c r="L12737" s="8">
        <v>39987.315405092595</v>
      </c>
      <c r="M12737" s="9" t="s">
        <v>19</v>
      </c>
      <c r="N12737" s="9" t="s">
        <v>20</v>
      </c>
      <c r="O12737" s="6" t="str">
        <f>HYPERLINK("https://pbs.twimg.com/profile_images/962471262747529216/Uo8lOkRJ_normal.jpg","View")</f>
        <v>View</v>
      </c>
      <c r="P12737" s="7"/>
    </row>
    <row r="12738" spans="1:16">
      <c r="A12738" s="3">
        <v>44178.748877314814</v>
      </c>
      <c r="B12738" s="4" t="str">
        <f>HYPERLINK("https://twitter.com/petrogustavo","@petrogustavo")</f>
        <v>@petrogustavo</v>
      </c>
      <c r="C12738" s="5" t="s">
        <v>16</v>
      </c>
      <c r="D12738" s="5" t="s">
        <v>12259</v>
      </c>
      <c r="E12738" s="6" t="str">
        <f>HYPERLINK("https://twitter.com/petrogustavo/status/1338098440216129536","1338098440216129536")</f>
        <v>1338098440216129536</v>
      </c>
      <c r="F12738" s="7" t="s">
        <v>17</v>
      </c>
      <c r="G12738" s="7">
        <v>4017946</v>
      </c>
      <c r="H12738" s="7">
        <v>2468</v>
      </c>
      <c r="I12738" s="7">
        <v>120</v>
      </c>
      <c r="J12738" s="7">
        <v>399</v>
      </c>
      <c r="K12738" s="7" t="s">
        <v>18</v>
      </c>
      <c r="L12738" s="8">
        <v>39987.315405092595</v>
      </c>
      <c r="M12738" s="9" t="s">
        <v>19</v>
      </c>
      <c r="N12738" s="9" t="s">
        <v>20</v>
      </c>
      <c r="O12738" s="6" t="str">
        <f>HYPERLINK("https://pbs.twimg.com/profile_images/962471262747529216/Uo8lOkRJ_normal.jpg","View")</f>
        <v>View</v>
      </c>
      <c r="P12738" s="7"/>
    </row>
    <row r="12739" spans="1:16">
      <c r="A12739" s="3">
        <v>44178.749143518522</v>
      </c>
      <c r="B12739" s="4" t="str">
        <f>HYPERLINK("https://twitter.com/petrogustavo","@petrogustavo")</f>
        <v>@petrogustavo</v>
      </c>
      <c r="C12739" s="5" t="s">
        <v>16</v>
      </c>
      <c r="D12739" s="5" t="s">
        <v>12260</v>
      </c>
      <c r="E12739" s="6" t="str">
        <f>HYPERLINK("https://twitter.com/petrogustavo/status/1338098535779196929","1338098535779196929")</f>
        <v>1338098535779196929</v>
      </c>
      <c r="F12739" s="7" t="s">
        <v>17</v>
      </c>
      <c r="G12739" s="7">
        <v>4017946</v>
      </c>
      <c r="H12739" s="7">
        <v>2468</v>
      </c>
      <c r="I12739" s="7">
        <v>74</v>
      </c>
      <c r="J12739" s="7">
        <v>0</v>
      </c>
      <c r="K12739" s="7" t="s">
        <v>18</v>
      </c>
      <c r="L12739" s="8">
        <v>39987.315405092595</v>
      </c>
      <c r="M12739" s="9" t="s">
        <v>19</v>
      </c>
      <c r="N12739" s="9" t="s">
        <v>20</v>
      </c>
      <c r="O12739" s="6" t="str">
        <f>HYPERLINK("https://pbs.twimg.com/profile_images/962471262747529216/Uo8lOkRJ_normal.jpg","View")</f>
        <v>View</v>
      </c>
      <c r="P12739" s="7"/>
    </row>
    <row r="12740" spans="1:16">
      <c r="A12740" s="3">
        <v>44178.749189814815</v>
      </c>
      <c r="B12740" s="4" t="str">
        <f>HYPERLINK("https://twitter.com/petrogustavo","@petrogustavo")</f>
        <v>@petrogustavo</v>
      </c>
      <c r="C12740" s="5" t="s">
        <v>16</v>
      </c>
      <c r="D12740" s="5" t="s">
        <v>12261</v>
      </c>
      <c r="E12740" s="6" t="str">
        <f>HYPERLINK("https://twitter.com/petrogustavo/status/1338098552720019456","1338098552720019456")</f>
        <v>1338098552720019456</v>
      </c>
      <c r="F12740" s="7" t="s">
        <v>17</v>
      </c>
      <c r="G12740" s="7">
        <v>4017946</v>
      </c>
      <c r="H12740" s="7">
        <v>2468</v>
      </c>
      <c r="I12740" s="7">
        <v>84</v>
      </c>
      <c r="J12740" s="7">
        <v>0</v>
      </c>
      <c r="K12740" s="7" t="s">
        <v>18</v>
      </c>
      <c r="L12740" s="8">
        <v>39987.315405092595</v>
      </c>
      <c r="M12740" s="9" t="s">
        <v>19</v>
      </c>
      <c r="N12740" s="9" t="s">
        <v>20</v>
      </c>
      <c r="O12740" s="6" t="str">
        <f>HYPERLINK("https://pbs.twimg.com/profile_images/962471262747529216/Uo8lOkRJ_normal.jpg","View")</f>
        <v>View</v>
      </c>
      <c r="P12740" s="7"/>
    </row>
    <row r="12741" spans="1:16">
      <c r="A12741" s="3">
        <v>44178.769432870366</v>
      </c>
      <c r="B12741" s="4" t="str">
        <f>HYPERLINK("https://twitter.com/petrogustavo","@petrogustavo")</f>
        <v>@petrogustavo</v>
      </c>
      <c r="C12741" s="5" t="s">
        <v>16</v>
      </c>
      <c r="D12741" s="5" t="s">
        <v>12262</v>
      </c>
      <c r="E12741" s="6" t="str">
        <f>HYPERLINK("https://twitter.com/petrogustavo/status/1338105889702752261","1338105889702752261")</f>
        <v>1338105889702752261</v>
      </c>
      <c r="F12741" s="7" t="s">
        <v>17</v>
      </c>
      <c r="G12741" s="7">
        <v>4017955</v>
      </c>
      <c r="H12741" s="7">
        <v>2468</v>
      </c>
      <c r="I12741" s="7">
        <v>72</v>
      </c>
      <c r="J12741" s="7">
        <v>205</v>
      </c>
      <c r="K12741" s="7" t="s">
        <v>18</v>
      </c>
      <c r="L12741" s="8">
        <v>39987.315405092595</v>
      </c>
      <c r="M12741" s="9" t="s">
        <v>19</v>
      </c>
      <c r="N12741" s="9" t="s">
        <v>20</v>
      </c>
      <c r="O12741" s="6" t="str">
        <f>HYPERLINK("https://pbs.twimg.com/profile_images/962471262747529216/Uo8lOkRJ_normal.jpg","View")</f>
        <v>View</v>
      </c>
      <c r="P12741" s="7"/>
    </row>
    <row r="12742" spans="1:16">
      <c r="A12742" s="3">
        <v>44178.77621527778</v>
      </c>
      <c r="B12742" s="4" t="str">
        <f>HYPERLINK("https://twitter.com/petrogustavo","@petrogustavo")</f>
        <v>@petrogustavo</v>
      </c>
      <c r="C12742" s="5" t="s">
        <v>16</v>
      </c>
      <c r="D12742" s="5" t="s">
        <v>12263</v>
      </c>
      <c r="E12742" s="6" t="str">
        <f>HYPERLINK("https://twitter.com/petrogustavo/status/1338108348953194496","1338108348953194496")</f>
        <v>1338108348953194496</v>
      </c>
      <c r="F12742" s="7" t="s">
        <v>17</v>
      </c>
      <c r="G12742" s="7">
        <v>4017955</v>
      </c>
      <c r="H12742" s="7">
        <v>2468</v>
      </c>
      <c r="I12742" s="7">
        <v>75</v>
      </c>
      <c r="J12742" s="7">
        <v>164</v>
      </c>
      <c r="K12742" s="7" t="s">
        <v>18</v>
      </c>
      <c r="L12742" s="8">
        <v>39987.315405092595</v>
      </c>
      <c r="M12742" s="9" t="s">
        <v>19</v>
      </c>
      <c r="N12742" s="9" t="s">
        <v>20</v>
      </c>
      <c r="O12742" s="6" t="str">
        <f>HYPERLINK("https://pbs.twimg.com/profile_images/962471262747529216/Uo8lOkRJ_normal.jpg","View")</f>
        <v>View</v>
      </c>
      <c r="P12742" s="7"/>
    </row>
    <row r="12743" spans="1:16">
      <c r="A12743" s="3">
        <v>44178.787361111114</v>
      </c>
      <c r="B12743" s="4" t="str">
        <f>HYPERLINK("https://twitter.com/petrogustavo","@petrogustavo")</f>
        <v>@petrogustavo</v>
      </c>
      <c r="C12743" s="5" t="s">
        <v>16</v>
      </c>
      <c r="D12743" s="5" t="s">
        <v>12264</v>
      </c>
      <c r="E12743" s="6" t="str">
        <f>HYPERLINK("https://twitter.com/petrogustavo/status/1338112386960646144","1338112386960646144")</f>
        <v>1338112386960646144</v>
      </c>
      <c r="F12743" s="7" t="s">
        <v>17</v>
      </c>
      <c r="G12743" s="7">
        <v>4017943</v>
      </c>
      <c r="H12743" s="7">
        <v>2468</v>
      </c>
      <c r="I12743" s="7">
        <v>131</v>
      </c>
      <c r="J12743" s="7">
        <v>382</v>
      </c>
      <c r="K12743" s="7" t="s">
        <v>18</v>
      </c>
      <c r="L12743" s="8">
        <v>39987.315405092595</v>
      </c>
      <c r="M12743" s="9" t="s">
        <v>19</v>
      </c>
      <c r="N12743" s="9" t="s">
        <v>20</v>
      </c>
      <c r="O12743" s="6" t="str">
        <f>HYPERLINK("https://pbs.twimg.com/profile_images/962471262747529216/Uo8lOkRJ_normal.jpg","View")</f>
        <v>View</v>
      </c>
      <c r="P12743" s="7"/>
    </row>
    <row r="12744" spans="1:16">
      <c r="A12744" s="3">
        <v>44178.787361111114</v>
      </c>
      <c r="B12744" s="4" t="str">
        <f>HYPERLINK("https://twitter.com/petrogustavo","@petrogustavo")</f>
        <v>@petrogustavo</v>
      </c>
      <c r="C12744" s="5" t="s">
        <v>16</v>
      </c>
      <c r="D12744" s="5" t="s">
        <v>12265</v>
      </c>
      <c r="E12744" s="6" t="str">
        <f>HYPERLINK("https://twitter.com/petrogustavo/status/1338112388420284416","1338112388420284416")</f>
        <v>1338112388420284416</v>
      </c>
      <c r="F12744" s="7" t="s">
        <v>17</v>
      </c>
      <c r="G12744" s="7">
        <v>4017943</v>
      </c>
      <c r="H12744" s="7">
        <v>2468</v>
      </c>
      <c r="I12744" s="7">
        <v>102</v>
      </c>
      <c r="J12744" s="7">
        <v>334</v>
      </c>
      <c r="K12744" s="7" t="s">
        <v>18</v>
      </c>
      <c r="L12744" s="8">
        <v>39987.315405092595</v>
      </c>
      <c r="M12744" s="9" t="s">
        <v>19</v>
      </c>
      <c r="N12744" s="9" t="s">
        <v>20</v>
      </c>
      <c r="O12744" s="6" t="str">
        <f>HYPERLINK("https://pbs.twimg.com/profile_images/962471262747529216/Uo8lOkRJ_normal.jpg","View")</f>
        <v>View</v>
      </c>
      <c r="P12744" s="7"/>
    </row>
    <row r="12745" spans="1:16">
      <c r="A12745" s="3">
        <v>44178.836493055554</v>
      </c>
      <c r="B12745" s="4" t="str">
        <f>HYPERLINK("https://twitter.com/petrogustavo","@petrogustavo")</f>
        <v>@petrogustavo</v>
      </c>
      <c r="C12745" s="5" t="s">
        <v>16</v>
      </c>
      <c r="D12745" s="5" t="s">
        <v>12266</v>
      </c>
      <c r="E12745" s="6" t="str">
        <f>HYPERLINK("https://twitter.com/petrogustavo/status/1338130189952442369","1338130189952442369")</f>
        <v>1338130189952442369</v>
      </c>
      <c r="F12745" s="7" t="s">
        <v>17</v>
      </c>
      <c r="G12745" s="7">
        <v>4017953</v>
      </c>
      <c r="H12745" s="7">
        <v>2468</v>
      </c>
      <c r="I12745" s="7">
        <v>216</v>
      </c>
      <c r="J12745" s="7">
        <v>0</v>
      </c>
      <c r="K12745" s="7" t="s">
        <v>18</v>
      </c>
      <c r="L12745" s="8">
        <v>39987.315405092595</v>
      </c>
      <c r="M12745" s="9" t="s">
        <v>19</v>
      </c>
      <c r="N12745" s="9" t="s">
        <v>20</v>
      </c>
      <c r="O12745" s="6" t="str">
        <f>HYPERLINK("https://pbs.twimg.com/profile_images/962471262747529216/Uo8lOkRJ_normal.jpg","View")</f>
        <v>View</v>
      </c>
      <c r="P12745" s="7"/>
    </row>
    <row r="12746" spans="1:16">
      <c r="A12746" s="3">
        <v>44178.842199074075</v>
      </c>
      <c r="B12746" s="4" t="str">
        <f>HYPERLINK("https://twitter.com/petrogustavo","@petrogustavo")</f>
        <v>@petrogustavo</v>
      </c>
      <c r="C12746" s="5" t="s">
        <v>16</v>
      </c>
      <c r="D12746" s="5" t="s">
        <v>12260</v>
      </c>
      <c r="E12746" s="6" t="str">
        <f>HYPERLINK("https://twitter.com/petrogustavo/status/1338132259510087680","1338132259510087680")</f>
        <v>1338132259510087680</v>
      </c>
      <c r="F12746" s="7" t="s">
        <v>17</v>
      </c>
      <c r="G12746" s="7">
        <v>4017953</v>
      </c>
      <c r="H12746" s="7">
        <v>2468</v>
      </c>
      <c r="I12746" s="7">
        <v>147</v>
      </c>
      <c r="J12746" s="7">
        <v>0</v>
      </c>
      <c r="K12746" s="7" t="s">
        <v>18</v>
      </c>
      <c r="L12746" s="8">
        <v>39987.315405092595</v>
      </c>
      <c r="M12746" s="9" t="s">
        <v>19</v>
      </c>
      <c r="N12746" s="9" t="s">
        <v>20</v>
      </c>
      <c r="O12746" s="6" t="str">
        <f>HYPERLINK("https://pbs.twimg.com/profile_images/962471262747529216/Uo8lOkRJ_normal.jpg","View")</f>
        <v>View</v>
      </c>
      <c r="P12746" s="7"/>
    </row>
    <row r="12747" spans="1:16">
      <c r="A12747" s="3">
        <v>44178.842303240745</v>
      </c>
      <c r="B12747" s="4" t="str">
        <f>HYPERLINK("https://twitter.com/petrogustavo","@petrogustavo")</f>
        <v>@petrogustavo</v>
      </c>
      <c r="C12747" s="5" t="s">
        <v>16</v>
      </c>
      <c r="D12747" s="5" t="s">
        <v>12261</v>
      </c>
      <c r="E12747" s="6" t="str">
        <f>HYPERLINK("https://twitter.com/petrogustavo/status/1338132295425908741","1338132295425908741")</f>
        <v>1338132295425908741</v>
      </c>
      <c r="F12747" s="7" t="s">
        <v>17</v>
      </c>
      <c r="G12747" s="7">
        <v>4017953</v>
      </c>
      <c r="H12747" s="7">
        <v>2468</v>
      </c>
      <c r="I12747" s="7">
        <v>201</v>
      </c>
      <c r="J12747" s="7">
        <v>0</v>
      </c>
      <c r="K12747" s="7" t="s">
        <v>18</v>
      </c>
      <c r="L12747" s="8">
        <v>39987.315405092595</v>
      </c>
      <c r="M12747" s="9" t="s">
        <v>19</v>
      </c>
      <c r="N12747" s="9" t="s">
        <v>20</v>
      </c>
      <c r="O12747" s="6" t="str">
        <f>HYPERLINK("https://pbs.twimg.com/profile_images/962471262747529216/Uo8lOkRJ_normal.jpg","View")</f>
        <v>View</v>
      </c>
      <c r="P12747" s="7"/>
    </row>
    <row r="12748" spans="1:16">
      <c r="A12748" s="3">
        <v>44178.932395833333</v>
      </c>
      <c r="B12748" s="4" t="str">
        <f>HYPERLINK("https://twitter.com/petrogustavo","@petrogustavo")</f>
        <v>@petrogustavo</v>
      </c>
      <c r="C12748" s="5" t="s">
        <v>16</v>
      </c>
      <c r="D12748" s="5" t="s">
        <v>12267</v>
      </c>
      <c r="E12748" s="6" t="str">
        <f>HYPERLINK("https://twitter.com/petrogustavo/status/1338164944425152515","1338164944425152515")</f>
        <v>1338164944425152515</v>
      </c>
      <c r="F12748" s="7" t="s">
        <v>32</v>
      </c>
      <c r="G12748" s="7">
        <v>4018002</v>
      </c>
      <c r="H12748" s="7">
        <v>2469</v>
      </c>
      <c r="I12748" s="7">
        <v>31</v>
      </c>
      <c r="J12748" s="7">
        <v>0</v>
      </c>
      <c r="K12748" s="7" t="s">
        <v>18</v>
      </c>
      <c r="L12748" s="8">
        <v>39987.315405092595</v>
      </c>
      <c r="M12748" s="9" t="s">
        <v>19</v>
      </c>
      <c r="N12748" s="9" t="s">
        <v>20</v>
      </c>
      <c r="O12748" s="6" t="str">
        <f>HYPERLINK("https://pbs.twimg.com/profile_images/962471262747529216/Uo8lOkRJ_normal.jpg","View")</f>
        <v>View</v>
      </c>
      <c r="P12748" s="7"/>
    </row>
    <row r="12749" spans="1:16">
      <c r="A12749" s="3">
        <v>44179.015694444446</v>
      </c>
      <c r="B12749" s="4" t="str">
        <f>HYPERLINK("https://twitter.com/petrogustavo","@petrogustavo")</f>
        <v>@petrogustavo</v>
      </c>
      <c r="C12749" s="5" t="s">
        <v>16</v>
      </c>
      <c r="D12749" s="5" t="s">
        <v>12268</v>
      </c>
      <c r="E12749" s="6" t="str">
        <f>HYPERLINK("https://twitter.com/petrogustavo/status/1338195129853685763","1338195129853685763")</f>
        <v>1338195129853685763</v>
      </c>
      <c r="F12749" s="7" t="s">
        <v>32</v>
      </c>
      <c r="G12749" s="7">
        <v>4018039</v>
      </c>
      <c r="H12749" s="7">
        <v>2469</v>
      </c>
      <c r="I12749" s="7">
        <v>173</v>
      </c>
      <c r="J12749" s="7">
        <v>517</v>
      </c>
      <c r="K12749" s="7" t="s">
        <v>18</v>
      </c>
      <c r="L12749" s="8">
        <v>39987.315405092595</v>
      </c>
      <c r="M12749" s="9" t="s">
        <v>19</v>
      </c>
      <c r="N12749" s="9" t="s">
        <v>20</v>
      </c>
      <c r="O12749" s="6" t="str">
        <f>HYPERLINK("https://pbs.twimg.com/profile_images/962471262747529216/Uo8lOkRJ_normal.jpg","View")</f>
        <v>View</v>
      </c>
      <c r="P12749" s="7"/>
    </row>
    <row r="12750" spans="1:16">
      <c r="A12750" s="3">
        <v>44179.058368055557</v>
      </c>
      <c r="B12750" s="4" t="str">
        <f>HYPERLINK("https://twitter.com/petrogustavo","@petrogustavo")</f>
        <v>@petrogustavo</v>
      </c>
      <c r="C12750" s="5" t="s">
        <v>16</v>
      </c>
      <c r="D12750" s="5" t="s">
        <v>12269</v>
      </c>
      <c r="E12750" s="6" t="str">
        <f>HYPERLINK("https://twitter.com/petrogustavo/status/1338210595485736963","1338210595485736963")</f>
        <v>1338210595485736963</v>
      </c>
      <c r="F12750" s="7" t="s">
        <v>21</v>
      </c>
      <c r="G12750" s="7">
        <v>4018054</v>
      </c>
      <c r="H12750" s="7">
        <v>2469</v>
      </c>
      <c r="I12750" s="7">
        <v>103</v>
      </c>
      <c r="J12750" s="7">
        <v>305</v>
      </c>
      <c r="K12750" s="7" t="s">
        <v>18</v>
      </c>
      <c r="L12750" s="8">
        <v>39987.315405092595</v>
      </c>
      <c r="M12750" s="9" t="s">
        <v>19</v>
      </c>
      <c r="N12750" s="9" t="s">
        <v>20</v>
      </c>
      <c r="O12750" s="6" t="str">
        <f>HYPERLINK("https://pbs.twimg.com/profile_images/962471262747529216/Uo8lOkRJ_normal.jpg","View")</f>
        <v>View</v>
      </c>
      <c r="P12750" s="7"/>
    </row>
    <row r="12751" spans="1:16">
      <c r="A12751" s="3">
        <v>44179.07230324074</v>
      </c>
      <c r="B12751" s="4" t="str">
        <f>HYPERLINK("https://twitter.com/petrogustavo","@petrogustavo")</f>
        <v>@petrogustavo</v>
      </c>
      <c r="C12751" s="5" t="s">
        <v>16</v>
      </c>
      <c r="D12751" s="5" t="s">
        <v>12270</v>
      </c>
      <c r="E12751" s="6" t="str">
        <f>HYPERLINK("https://twitter.com/petrogustavo/status/1338215647092813824","1338215647092813824")</f>
        <v>1338215647092813824</v>
      </c>
      <c r="F12751" s="7" t="s">
        <v>32</v>
      </c>
      <c r="G12751" s="7">
        <v>4018054</v>
      </c>
      <c r="H12751" s="7">
        <v>2469</v>
      </c>
      <c r="I12751" s="7">
        <v>34</v>
      </c>
      <c r="J12751" s="7">
        <v>100</v>
      </c>
      <c r="K12751" s="7" t="s">
        <v>18</v>
      </c>
      <c r="L12751" s="8">
        <v>39987.315405092595</v>
      </c>
      <c r="M12751" s="9" t="s">
        <v>19</v>
      </c>
      <c r="N12751" s="9" t="s">
        <v>20</v>
      </c>
      <c r="O12751" s="6" t="str">
        <f>HYPERLINK("https://pbs.twimg.com/profile_images/962471262747529216/Uo8lOkRJ_normal.jpg","View")</f>
        <v>View</v>
      </c>
      <c r="P12751" s="7"/>
    </row>
    <row r="12752" spans="1:16">
      <c r="A12752" s="3">
        <v>44179.07231481481</v>
      </c>
      <c r="B12752" s="4" t="str">
        <f>HYPERLINK("https://twitter.com/petrogustavo","@petrogustavo")</f>
        <v>@petrogustavo</v>
      </c>
      <c r="C12752" s="5" t="s">
        <v>16</v>
      </c>
      <c r="D12752" s="5" t="s">
        <v>12271</v>
      </c>
      <c r="E12752" s="6" t="str">
        <f>HYPERLINK("https://twitter.com/petrogustavo/status/1338215648728657920","1338215648728657920")</f>
        <v>1338215648728657920</v>
      </c>
      <c r="F12752" s="7" t="s">
        <v>32</v>
      </c>
      <c r="G12752" s="7">
        <v>4018054</v>
      </c>
      <c r="H12752" s="7">
        <v>2469</v>
      </c>
      <c r="I12752" s="7">
        <v>15</v>
      </c>
      <c r="J12752" s="7">
        <v>34</v>
      </c>
      <c r="K12752" s="7" t="s">
        <v>18</v>
      </c>
      <c r="L12752" s="8">
        <v>39987.315405092595</v>
      </c>
      <c r="M12752" s="9" t="s">
        <v>19</v>
      </c>
      <c r="N12752" s="9" t="s">
        <v>20</v>
      </c>
      <c r="O12752" s="6" t="str">
        <f>HYPERLINK("https://pbs.twimg.com/profile_images/962471262747529216/Uo8lOkRJ_normal.jpg","View")</f>
        <v>View</v>
      </c>
      <c r="P12752" s="7"/>
    </row>
    <row r="12753" spans="1:16">
      <c r="A12753" s="3">
        <v>44179.07231481481</v>
      </c>
      <c r="B12753" s="4" t="str">
        <f>HYPERLINK("https://twitter.com/petrogustavo","@petrogustavo")</f>
        <v>@petrogustavo</v>
      </c>
      <c r="C12753" s="5" t="s">
        <v>16</v>
      </c>
      <c r="D12753" s="5" t="s">
        <v>12272</v>
      </c>
      <c r="E12753" s="6" t="str">
        <f>HYPERLINK("https://twitter.com/petrogustavo/status/1338215649840164866","1338215649840164866")</f>
        <v>1338215649840164866</v>
      </c>
      <c r="F12753" s="7" t="s">
        <v>32</v>
      </c>
      <c r="G12753" s="7">
        <v>4018054</v>
      </c>
      <c r="H12753" s="7">
        <v>2469</v>
      </c>
      <c r="I12753" s="7">
        <v>8</v>
      </c>
      <c r="J12753" s="7">
        <v>27</v>
      </c>
      <c r="K12753" s="7" t="s">
        <v>18</v>
      </c>
      <c r="L12753" s="8">
        <v>39987.315405092595</v>
      </c>
      <c r="M12753" s="9" t="s">
        <v>19</v>
      </c>
      <c r="N12753" s="9" t="s">
        <v>20</v>
      </c>
      <c r="O12753" s="6" t="str">
        <f>HYPERLINK("https://pbs.twimg.com/profile_images/962471262747529216/Uo8lOkRJ_normal.jpg","View")</f>
        <v>View</v>
      </c>
      <c r="P12753" s="7"/>
    </row>
    <row r="12754" spans="1:16">
      <c r="A12754" s="3">
        <v>44179.07231481481</v>
      </c>
      <c r="B12754" s="4" t="str">
        <f>HYPERLINK("https://twitter.com/petrogustavo","@petrogustavo")</f>
        <v>@petrogustavo</v>
      </c>
      <c r="C12754" s="5" t="s">
        <v>16</v>
      </c>
      <c r="D12754" s="5" t="s">
        <v>12273</v>
      </c>
      <c r="E12754" s="6" t="str">
        <f>HYPERLINK("https://twitter.com/petrogustavo/status/1338215650934853634","1338215650934853634")</f>
        <v>1338215650934853634</v>
      </c>
      <c r="F12754" s="7" t="s">
        <v>32</v>
      </c>
      <c r="G12754" s="7">
        <v>4018054</v>
      </c>
      <c r="H12754" s="7">
        <v>2469</v>
      </c>
      <c r="I12754" s="7">
        <v>12</v>
      </c>
      <c r="J12754" s="7">
        <v>45</v>
      </c>
      <c r="K12754" s="7" t="s">
        <v>18</v>
      </c>
      <c r="L12754" s="8">
        <v>39987.315405092595</v>
      </c>
      <c r="M12754" s="9" t="s">
        <v>19</v>
      </c>
      <c r="N12754" s="9" t="s">
        <v>20</v>
      </c>
      <c r="O12754" s="6" t="str">
        <f>HYPERLINK("https://pbs.twimg.com/profile_images/962471262747529216/Uo8lOkRJ_normal.jpg","View")</f>
        <v>View</v>
      </c>
      <c r="P12754" s="7"/>
    </row>
    <row r="12755" spans="1:16">
      <c r="A12755" s="3">
        <v>44179.07231481481</v>
      </c>
      <c r="B12755" s="4" t="str">
        <f>HYPERLINK("https://twitter.com/petrogustavo","@petrogustavo")</f>
        <v>@petrogustavo</v>
      </c>
      <c r="C12755" s="5" t="s">
        <v>16</v>
      </c>
      <c r="D12755" s="5" t="s">
        <v>12274</v>
      </c>
      <c r="E12755" s="6" t="str">
        <f>HYPERLINK("https://twitter.com/petrogustavo/status/1338215652088311808","1338215652088311808")</f>
        <v>1338215652088311808</v>
      </c>
      <c r="F12755" s="7" t="s">
        <v>32</v>
      </c>
      <c r="G12755" s="7">
        <v>4018054</v>
      </c>
      <c r="H12755" s="7">
        <v>2469</v>
      </c>
      <c r="I12755" s="7">
        <v>12</v>
      </c>
      <c r="J12755" s="7">
        <v>54</v>
      </c>
      <c r="K12755" s="7" t="s">
        <v>18</v>
      </c>
      <c r="L12755" s="8">
        <v>39987.315405092595</v>
      </c>
      <c r="M12755" s="9" t="s">
        <v>19</v>
      </c>
      <c r="N12755" s="9" t="s">
        <v>20</v>
      </c>
      <c r="O12755" s="6" t="str">
        <f>HYPERLINK("https://pbs.twimg.com/profile_images/962471262747529216/Uo8lOkRJ_normal.jpg","View")</f>
        <v>View</v>
      </c>
      <c r="P12755" s="7"/>
    </row>
    <row r="12756" spans="1:16">
      <c r="A12756" s="3">
        <v>44179.079976851848</v>
      </c>
      <c r="B12756" s="4" t="str">
        <f>HYPERLINK("https://twitter.com/petrogustavo","@petrogustavo")</f>
        <v>@petrogustavo</v>
      </c>
      <c r="C12756" s="5" t="s">
        <v>16</v>
      </c>
      <c r="D12756" s="5" t="s">
        <v>12275</v>
      </c>
      <c r="E12756" s="6" t="str">
        <f>HYPERLINK("https://twitter.com/petrogustavo/status/1338218427991945217","1338218427991945217")</f>
        <v>1338218427991945217</v>
      </c>
      <c r="F12756" s="7" t="s">
        <v>32</v>
      </c>
      <c r="G12756" s="7">
        <v>4018060</v>
      </c>
      <c r="H12756" s="7">
        <v>2469</v>
      </c>
      <c r="I12756" s="7">
        <v>71</v>
      </c>
      <c r="J12756" s="7">
        <v>240</v>
      </c>
      <c r="K12756" s="7" t="s">
        <v>18</v>
      </c>
      <c r="L12756" s="8">
        <v>39987.315405092595</v>
      </c>
      <c r="M12756" s="9" t="s">
        <v>19</v>
      </c>
      <c r="N12756" s="9" t="s">
        <v>20</v>
      </c>
      <c r="O12756" s="6" t="str">
        <f>HYPERLINK("https://pbs.twimg.com/profile_images/962471262747529216/Uo8lOkRJ_normal.jpg","View")</f>
        <v>View</v>
      </c>
      <c r="P12756" s="7"/>
    </row>
    <row r="12757" spans="1:16">
      <c r="A12757" s="3">
        <v>44179.084131944444</v>
      </c>
      <c r="B12757" s="4" t="str">
        <f>HYPERLINK("https://twitter.com/petrogustavo","@petrogustavo")</f>
        <v>@petrogustavo</v>
      </c>
      <c r="C12757" s="5" t="s">
        <v>16</v>
      </c>
      <c r="D12757" s="5" t="s">
        <v>12276</v>
      </c>
      <c r="E12757" s="6" t="str">
        <f>HYPERLINK("https://twitter.com/petrogustavo/status/1338219934053257216","1338219934053257216")</f>
        <v>1338219934053257216</v>
      </c>
      <c r="F12757" s="7" t="s">
        <v>32</v>
      </c>
      <c r="G12757" s="7">
        <v>4018060</v>
      </c>
      <c r="H12757" s="7">
        <v>2469</v>
      </c>
      <c r="I12757" s="7">
        <v>72</v>
      </c>
      <c r="J12757" s="7">
        <v>279</v>
      </c>
      <c r="K12757" s="7" t="s">
        <v>18</v>
      </c>
      <c r="L12757" s="8">
        <v>39987.315405092595</v>
      </c>
      <c r="M12757" s="9" t="s">
        <v>19</v>
      </c>
      <c r="N12757" s="9" t="s">
        <v>20</v>
      </c>
      <c r="O12757" s="6" t="str">
        <f>HYPERLINK("https://pbs.twimg.com/profile_images/962471262747529216/Uo8lOkRJ_normal.jpg","View")</f>
        <v>View</v>
      </c>
      <c r="P12757" s="7"/>
    </row>
    <row r="12758" spans="1:16">
      <c r="A12758" s="3">
        <v>44179.084398148145</v>
      </c>
      <c r="B12758" s="4" t="str">
        <f>HYPERLINK("https://twitter.com/petrogustavo","@petrogustavo")</f>
        <v>@petrogustavo</v>
      </c>
      <c r="C12758" s="5" t="s">
        <v>16</v>
      </c>
      <c r="D12758" s="5" t="s">
        <v>12277</v>
      </c>
      <c r="E12758" s="6" t="str">
        <f>HYPERLINK("https://twitter.com/petrogustavo/status/1338220029674926080","1338220029674926080")</f>
        <v>1338220029674926080</v>
      </c>
      <c r="F12758" s="7" t="s">
        <v>32</v>
      </c>
      <c r="G12758" s="7">
        <v>4018060</v>
      </c>
      <c r="H12758" s="7">
        <v>2469</v>
      </c>
      <c r="I12758" s="7">
        <v>182</v>
      </c>
      <c r="J12758" s="7">
        <v>0</v>
      </c>
      <c r="K12758" s="7" t="s">
        <v>18</v>
      </c>
      <c r="L12758" s="8">
        <v>39987.315405092595</v>
      </c>
      <c r="M12758" s="9" t="s">
        <v>19</v>
      </c>
      <c r="N12758" s="9" t="s">
        <v>20</v>
      </c>
      <c r="O12758" s="6" t="str">
        <f>HYPERLINK("https://pbs.twimg.com/profile_images/962471262747529216/Uo8lOkRJ_normal.jpg","View")</f>
        <v>View</v>
      </c>
      <c r="P12758" s="7"/>
    </row>
    <row r="12759" spans="1:16">
      <c r="A12759" s="3">
        <v>44179.102025462962</v>
      </c>
      <c r="B12759" s="4" t="str">
        <f>HYPERLINK("https://twitter.com/petrogustavo","@petrogustavo")</f>
        <v>@petrogustavo</v>
      </c>
      <c r="C12759" s="5" t="s">
        <v>16</v>
      </c>
      <c r="D12759" s="5" t="s">
        <v>12278</v>
      </c>
      <c r="E12759" s="6" t="str">
        <f>HYPERLINK("https://twitter.com/petrogustavo/status/1338226418807869441","1338226418807869441")</f>
        <v>1338226418807869441</v>
      </c>
      <c r="F12759" s="7" t="s">
        <v>32</v>
      </c>
      <c r="G12759" s="7">
        <v>4018071</v>
      </c>
      <c r="H12759" s="7">
        <v>2469</v>
      </c>
      <c r="I12759" s="7">
        <v>127</v>
      </c>
      <c r="J12759" s="7">
        <v>327</v>
      </c>
      <c r="K12759" s="7" t="s">
        <v>18</v>
      </c>
      <c r="L12759" s="8">
        <v>39987.315405092595</v>
      </c>
      <c r="M12759" s="9" t="s">
        <v>19</v>
      </c>
      <c r="N12759" s="9" t="s">
        <v>20</v>
      </c>
      <c r="O12759" s="6" t="str">
        <f>HYPERLINK("https://pbs.twimg.com/profile_images/962471262747529216/Uo8lOkRJ_normal.jpg","View")</f>
        <v>View</v>
      </c>
      <c r="P12759" s="7"/>
    </row>
    <row r="12760" spans="1:16">
      <c r="A12760" s="3">
        <v>44179.103090277778</v>
      </c>
      <c r="B12760" s="4" t="str">
        <f>HYPERLINK("https://twitter.com/petrogustavo","@petrogustavo")</f>
        <v>@petrogustavo</v>
      </c>
      <c r="C12760" s="5" t="s">
        <v>16</v>
      </c>
      <c r="D12760" s="5" t="s">
        <v>12277</v>
      </c>
      <c r="E12760" s="6" t="str">
        <f>HYPERLINK("https://twitter.com/petrogustavo/status/1338226802242809862","1338226802242809862")</f>
        <v>1338226802242809862</v>
      </c>
      <c r="F12760" s="7" t="s">
        <v>32</v>
      </c>
      <c r="G12760" s="7">
        <v>4018071</v>
      </c>
      <c r="H12760" s="7">
        <v>2469</v>
      </c>
      <c r="I12760" s="7">
        <v>291</v>
      </c>
      <c r="J12760" s="7">
        <v>0</v>
      </c>
      <c r="K12760" s="7" t="s">
        <v>18</v>
      </c>
      <c r="L12760" s="8">
        <v>39987.315405092595</v>
      </c>
      <c r="M12760" s="9" t="s">
        <v>19</v>
      </c>
      <c r="N12760" s="9" t="s">
        <v>20</v>
      </c>
      <c r="O12760" s="6" t="str">
        <f>HYPERLINK("https://pbs.twimg.com/profile_images/962471262747529216/Uo8lOkRJ_normal.jpg","View")</f>
        <v>View</v>
      </c>
      <c r="P12760" s="7"/>
    </row>
    <row r="12761" spans="1:16">
      <c r="A12761" s="3">
        <v>44179.103495370371</v>
      </c>
      <c r="B12761" s="4" t="str">
        <f>HYPERLINK("https://twitter.com/petrogustavo","@petrogustavo")</f>
        <v>@petrogustavo</v>
      </c>
      <c r="C12761" s="5" t="s">
        <v>16</v>
      </c>
      <c r="D12761" s="5" t="s">
        <v>12279</v>
      </c>
      <c r="E12761" s="6" t="str">
        <f>HYPERLINK("https://twitter.com/petrogustavo/status/1338226950964457472","1338226950964457472")</f>
        <v>1338226950964457472</v>
      </c>
      <c r="F12761" s="7" t="s">
        <v>32</v>
      </c>
      <c r="G12761" s="7">
        <v>4018071</v>
      </c>
      <c r="H12761" s="7">
        <v>2469</v>
      </c>
      <c r="I12761" s="7">
        <v>178</v>
      </c>
      <c r="J12761" s="7">
        <v>0</v>
      </c>
      <c r="K12761" s="7" t="s">
        <v>18</v>
      </c>
      <c r="L12761" s="8">
        <v>39987.315405092595</v>
      </c>
      <c r="M12761" s="9" t="s">
        <v>19</v>
      </c>
      <c r="N12761" s="9" t="s">
        <v>20</v>
      </c>
      <c r="O12761" s="6" t="str">
        <f>HYPERLINK("https://pbs.twimg.com/profile_images/962471262747529216/Uo8lOkRJ_normal.jpg","View")</f>
        <v>View</v>
      </c>
      <c r="P12761" s="7"/>
    </row>
    <row r="12762" spans="1:16">
      <c r="A12762" s="3">
        <v>44179.194988425923</v>
      </c>
      <c r="B12762" s="4" t="str">
        <f>HYPERLINK("https://twitter.com/petrogustavo","@petrogustavo")</f>
        <v>@petrogustavo</v>
      </c>
      <c r="C12762" s="5" t="s">
        <v>16</v>
      </c>
      <c r="D12762" s="5" t="s">
        <v>12260</v>
      </c>
      <c r="E12762" s="6" t="str">
        <f>HYPERLINK("https://twitter.com/petrogustavo/status/1338260107612860422","1338260107612860422")</f>
        <v>1338260107612860422</v>
      </c>
      <c r="F12762" s="7" t="s">
        <v>32</v>
      </c>
      <c r="G12762" s="7">
        <v>4018090</v>
      </c>
      <c r="H12762" s="7">
        <v>2469</v>
      </c>
      <c r="I12762" s="7">
        <v>322</v>
      </c>
      <c r="J12762" s="7">
        <v>0</v>
      </c>
      <c r="K12762" s="7" t="s">
        <v>18</v>
      </c>
      <c r="L12762" s="8">
        <v>39987.315405092595</v>
      </c>
      <c r="M12762" s="9" t="s">
        <v>19</v>
      </c>
      <c r="N12762" s="9" t="s">
        <v>20</v>
      </c>
      <c r="O12762" s="6" t="str">
        <f>HYPERLINK("https://pbs.twimg.com/profile_images/962471262747529216/Uo8lOkRJ_normal.jpg","View")</f>
        <v>View</v>
      </c>
      <c r="P12762" s="7"/>
    </row>
    <row r="12763" spans="1:16">
      <c r="A12763" s="3">
        <v>44179.195185185185</v>
      </c>
      <c r="B12763" s="4" t="str">
        <f>HYPERLINK("https://twitter.com/petrogustavo","@petrogustavo")</f>
        <v>@petrogustavo</v>
      </c>
      <c r="C12763" s="5" t="s">
        <v>16</v>
      </c>
      <c r="D12763" s="5" t="s">
        <v>12261</v>
      </c>
      <c r="E12763" s="6" t="str">
        <f>HYPERLINK("https://twitter.com/petrogustavo/status/1338260175652868097","1338260175652868097")</f>
        <v>1338260175652868097</v>
      </c>
      <c r="F12763" s="7" t="s">
        <v>32</v>
      </c>
      <c r="G12763" s="7">
        <v>4018090</v>
      </c>
      <c r="H12763" s="7">
        <v>2469</v>
      </c>
      <c r="I12763" s="7">
        <v>393</v>
      </c>
      <c r="J12763" s="7">
        <v>0</v>
      </c>
      <c r="K12763" s="7" t="s">
        <v>18</v>
      </c>
      <c r="L12763" s="8">
        <v>39987.315405092595</v>
      </c>
      <c r="M12763" s="9" t="s">
        <v>19</v>
      </c>
      <c r="N12763" s="9" t="s">
        <v>20</v>
      </c>
      <c r="O12763" s="6" t="str">
        <f>HYPERLINK("https://pbs.twimg.com/profile_images/962471262747529216/Uo8lOkRJ_normal.jpg","View")</f>
        <v>View</v>
      </c>
      <c r="P12763" s="7"/>
    </row>
    <row r="12764" spans="1:16">
      <c r="A12764" s="3">
        <v>44179.214432870373</v>
      </c>
      <c r="B12764" s="4" t="str">
        <f>HYPERLINK("https://twitter.com/petrogustavo","@petrogustavo")</f>
        <v>@petrogustavo</v>
      </c>
      <c r="C12764" s="5" t="s">
        <v>16</v>
      </c>
      <c r="D12764" s="5" t="s">
        <v>12280</v>
      </c>
      <c r="E12764" s="6" t="str">
        <f>HYPERLINK("https://twitter.com/petrogustavo/status/1338267152789491712","1338267152789491712")</f>
        <v>1338267152789491712</v>
      </c>
      <c r="F12764" s="7" t="s">
        <v>32</v>
      </c>
      <c r="G12764" s="7">
        <v>4018109</v>
      </c>
      <c r="H12764" s="7">
        <v>2469</v>
      </c>
      <c r="I12764" s="7">
        <v>48</v>
      </c>
      <c r="J12764" s="7">
        <v>0</v>
      </c>
      <c r="K12764" s="7" t="s">
        <v>18</v>
      </c>
      <c r="L12764" s="8">
        <v>39987.315405092595</v>
      </c>
      <c r="M12764" s="9" t="s">
        <v>19</v>
      </c>
      <c r="N12764" s="9" t="s">
        <v>20</v>
      </c>
      <c r="O12764" s="6" t="str">
        <f>HYPERLINK("https://pbs.twimg.com/profile_images/962471262747529216/Uo8lOkRJ_normal.jpg","View")</f>
        <v>View</v>
      </c>
      <c r="P12764" s="7"/>
    </row>
    <row r="12765" spans="1:16">
      <c r="A12765" s="3">
        <v>44179.236087962963</v>
      </c>
      <c r="B12765" s="4" t="str">
        <f>HYPERLINK("https://twitter.com/petrogustavo","@petrogustavo")</f>
        <v>@petrogustavo</v>
      </c>
      <c r="C12765" s="5" t="s">
        <v>16</v>
      </c>
      <c r="D12765" s="5" t="s">
        <v>12281</v>
      </c>
      <c r="E12765" s="6" t="str">
        <f>HYPERLINK("https://twitter.com/petrogustavo/status/1338275000294330368","1338275000294330368")</f>
        <v>1338275000294330368</v>
      </c>
      <c r="F12765" s="7" t="s">
        <v>22</v>
      </c>
      <c r="G12765" s="7">
        <v>4018119</v>
      </c>
      <c r="H12765" s="7">
        <v>2469</v>
      </c>
      <c r="I12765" s="7">
        <v>81</v>
      </c>
      <c r="J12765" s="7">
        <v>161</v>
      </c>
      <c r="K12765" s="7" t="s">
        <v>18</v>
      </c>
      <c r="L12765" s="8">
        <v>39987.315405092595</v>
      </c>
      <c r="M12765" s="9" t="s">
        <v>19</v>
      </c>
      <c r="N12765" s="9" t="s">
        <v>20</v>
      </c>
      <c r="O12765" s="6" t="str">
        <f>HYPERLINK("https://pbs.twimg.com/profile_images/962471262747529216/Uo8lOkRJ_normal.jpg","View")</f>
        <v>View</v>
      </c>
      <c r="P12765" s="7"/>
    </row>
    <row r="12766" spans="1:16">
      <c r="A12766" s="3">
        <v>44179.380219907413</v>
      </c>
      <c r="B12766" s="4" t="str">
        <f>HYPERLINK("https://twitter.com/petrogustavo","@petrogustavo")</f>
        <v>@petrogustavo</v>
      </c>
      <c r="C12766" s="5" t="s">
        <v>16</v>
      </c>
      <c r="D12766" s="5" t="s">
        <v>12282</v>
      </c>
      <c r="E12766" s="6" t="str">
        <f>HYPERLINK("https://twitter.com/petrogustavo/status/1338327231983194112","1338327231983194112")</f>
        <v>1338327231983194112</v>
      </c>
      <c r="F12766" s="7" t="s">
        <v>32</v>
      </c>
      <c r="G12766" s="7">
        <v>4018174</v>
      </c>
      <c r="H12766" s="7">
        <v>2469</v>
      </c>
      <c r="I12766" s="7">
        <v>964</v>
      </c>
      <c r="J12766" s="7">
        <v>0</v>
      </c>
      <c r="K12766" s="7" t="s">
        <v>18</v>
      </c>
      <c r="L12766" s="8">
        <v>39987.315405092595</v>
      </c>
      <c r="M12766" s="9" t="s">
        <v>19</v>
      </c>
      <c r="N12766" s="9" t="s">
        <v>20</v>
      </c>
      <c r="O12766" s="6" t="str">
        <f>HYPERLINK("https://pbs.twimg.com/profile_images/962471262747529216/Uo8lOkRJ_normal.jpg","View")</f>
        <v>View</v>
      </c>
      <c r="P12766" s="7"/>
    </row>
    <row r="12767" spans="1:16">
      <c r="A12767" s="3">
        <v>44179.725659722222</v>
      </c>
      <c r="B12767" s="4" t="str">
        <f>HYPERLINK("https://twitter.com/petrogustavo","@petrogustavo")</f>
        <v>@petrogustavo</v>
      </c>
      <c r="C12767" s="5" t="s">
        <v>16</v>
      </c>
      <c r="D12767" s="5" t="s">
        <v>12283</v>
      </c>
      <c r="E12767" s="6" t="str">
        <f>HYPERLINK("https://twitter.com/petrogustavo/status/1338452416514109448","1338452416514109448")</f>
        <v>1338452416514109448</v>
      </c>
      <c r="F12767" s="7" t="s">
        <v>17</v>
      </c>
      <c r="G12767" s="7">
        <v>4018211</v>
      </c>
      <c r="H12767" s="7">
        <v>2469</v>
      </c>
      <c r="I12767" s="7">
        <v>461</v>
      </c>
      <c r="J12767" s="7">
        <v>0</v>
      </c>
      <c r="K12767" s="7" t="s">
        <v>18</v>
      </c>
      <c r="L12767" s="8">
        <v>39987.315405092595</v>
      </c>
      <c r="M12767" s="9" t="s">
        <v>19</v>
      </c>
      <c r="N12767" s="9" t="s">
        <v>20</v>
      </c>
      <c r="O12767" s="6" t="str">
        <f>HYPERLINK("https://pbs.twimg.com/profile_images/962471262747529216/Uo8lOkRJ_normal.jpg","View")</f>
        <v>View</v>
      </c>
      <c r="P12767" s="7"/>
    </row>
    <row r="12768" spans="1:16">
      <c r="A12768" s="3">
        <v>44179.727905092594</v>
      </c>
      <c r="B12768" s="4" t="str">
        <f>HYPERLINK("https://twitter.com/petrogustavo","@petrogustavo")</f>
        <v>@petrogustavo</v>
      </c>
      <c r="C12768" s="5" t="s">
        <v>16</v>
      </c>
      <c r="D12768" s="5" t="s">
        <v>12284</v>
      </c>
      <c r="E12768" s="6" t="str">
        <f>HYPERLINK("https://twitter.com/petrogustavo/status/1338453227575144453","1338453227575144453")</f>
        <v>1338453227575144453</v>
      </c>
      <c r="F12768" s="7" t="s">
        <v>17</v>
      </c>
      <c r="G12768" s="7">
        <v>4018211</v>
      </c>
      <c r="H12768" s="7">
        <v>2469</v>
      </c>
      <c r="I12768" s="7">
        <v>203</v>
      </c>
      <c r="J12768" s="7">
        <v>487</v>
      </c>
      <c r="K12768" s="7" t="s">
        <v>18</v>
      </c>
      <c r="L12768" s="8">
        <v>39987.315405092595</v>
      </c>
      <c r="M12768" s="9" t="s">
        <v>19</v>
      </c>
      <c r="N12768" s="9" t="s">
        <v>20</v>
      </c>
      <c r="O12768" s="6" t="str">
        <f>HYPERLINK("https://pbs.twimg.com/profile_images/962471262747529216/Uo8lOkRJ_normal.jpg","View")</f>
        <v>View</v>
      </c>
      <c r="P12768" s="7"/>
    </row>
    <row r="12769" spans="1:16">
      <c r="A12769" s="3">
        <v>44179.73201388889</v>
      </c>
      <c r="B12769" s="4" t="str">
        <f>HYPERLINK("https://twitter.com/petrogustavo","@petrogustavo")</f>
        <v>@petrogustavo</v>
      </c>
      <c r="C12769" s="5" t="s">
        <v>16</v>
      </c>
      <c r="D12769" s="5" t="s">
        <v>12285</v>
      </c>
      <c r="E12769" s="6" t="str">
        <f>HYPERLINK("https://twitter.com/petrogustavo/status/1338454715571564546","1338454715571564546")</f>
        <v>1338454715571564546</v>
      </c>
      <c r="F12769" s="7" t="s">
        <v>17</v>
      </c>
      <c r="G12769" s="7">
        <v>4018211</v>
      </c>
      <c r="H12769" s="7">
        <v>2469</v>
      </c>
      <c r="I12769" s="7">
        <v>112</v>
      </c>
      <c r="J12769" s="7">
        <v>291</v>
      </c>
      <c r="K12769" s="7" t="s">
        <v>18</v>
      </c>
      <c r="L12769" s="8">
        <v>39987.315405092595</v>
      </c>
      <c r="M12769" s="9" t="s">
        <v>19</v>
      </c>
      <c r="N12769" s="9" t="s">
        <v>20</v>
      </c>
      <c r="O12769" s="6" t="str">
        <f>HYPERLINK("https://pbs.twimg.com/profile_images/962471262747529216/Uo8lOkRJ_normal.jpg","View")</f>
        <v>View</v>
      </c>
      <c r="P12769" s="7"/>
    </row>
    <row r="12770" spans="1:16">
      <c r="A12770" s="3">
        <v>44179.733726851853</v>
      </c>
      <c r="B12770" s="4" t="str">
        <f>HYPERLINK("https://twitter.com/petrogustavo","@petrogustavo")</f>
        <v>@petrogustavo</v>
      </c>
      <c r="C12770" s="5" t="s">
        <v>16</v>
      </c>
      <c r="D12770" s="5" t="s">
        <v>12286</v>
      </c>
      <c r="E12770" s="6" t="str">
        <f>HYPERLINK("https://twitter.com/petrogustavo/status/1338455336466997249","1338455336466997249")</f>
        <v>1338455336466997249</v>
      </c>
      <c r="F12770" s="7" t="s">
        <v>17</v>
      </c>
      <c r="G12770" s="7">
        <v>4018211</v>
      </c>
      <c r="H12770" s="7">
        <v>2469</v>
      </c>
      <c r="I12770" s="7">
        <v>96</v>
      </c>
      <c r="J12770" s="7">
        <v>222</v>
      </c>
      <c r="K12770" s="7" t="s">
        <v>18</v>
      </c>
      <c r="L12770" s="8">
        <v>39987.315405092595</v>
      </c>
      <c r="M12770" s="9" t="s">
        <v>19</v>
      </c>
      <c r="N12770" s="9" t="s">
        <v>20</v>
      </c>
      <c r="O12770" s="6" t="str">
        <f>HYPERLINK("https://pbs.twimg.com/profile_images/962471262747529216/Uo8lOkRJ_normal.jpg","View")</f>
        <v>View</v>
      </c>
      <c r="P12770" s="7"/>
    </row>
    <row r="12771" spans="1:16">
      <c r="A12771" s="3">
        <v>44179.738587962958</v>
      </c>
      <c r="B12771" s="4" t="str">
        <f>HYPERLINK("https://twitter.com/petrogustavo","@petrogustavo")</f>
        <v>@petrogustavo</v>
      </c>
      <c r="C12771" s="5" t="s">
        <v>16</v>
      </c>
      <c r="D12771" s="5" t="s">
        <v>12287</v>
      </c>
      <c r="E12771" s="6" t="str">
        <f>HYPERLINK("https://twitter.com/petrogustavo/status/1338457100616409089","1338457100616409089")</f>
        <v>1338457100616409089</v>
      </c>
      <c r="F12771" s="7" t="s">
        <v>17</v>
      </c>
      <c r="G12771" s="7">
        <v>4018211</v>
      </c>
      <c r="H12771" s="7">
        <v>2469</v>
      </c>
      <c r="I12771" s="7">
        <v>40</v>
      </c>
      <c r="J12771" s="7">
        <v>127</v>
      </c>
      <c r="K12771" s="7" t="s">
        <v>18</v>
      </c>
      <c r="L12771" s="8">
        <v>39987.315405092595</v>
      </c>
      <c r="M12771" s="9" t="s">
        <v>19</v>
      </c>
      <c r="N12771" s="9" t="s">
        <v>20</v>
      </c>
      <c r="O12771" s="6" t="str">
        <f>HYPERLINK("https://pbs.twimg.com/profile_images/962471262747529216/Uo8lOkRJ_normal.jpg","View")</f>
        <v>View</v>
      </c>
      <c r="P12771" s="7"/>
    </row>
    <row r="12772" spans="1:16">
      <c r="A12772" s="3">
        <v>44179.74055555556</v>
      </c>
      <c r="B12772" s="4" t="str">
        <f>HYPERLINK("https://twitter.com/petrogustavo","@petrogustavo")</f>
        <v>@petrogustavo</v>
      </c>
      <c r="C12772" s="5" t="s">
        <v>16</v>
      </c>
      <c r="D12772" s="5" t="s">
        <v>12288</v>
      </c>
      <c r="E12772" s="6" t="str">
        <f>HYPERLINK("https://twitter.com/petrogustavo/status/1338457811349598213","1338457811349598213")</f>
        <v>1338457811349598213</v>
      </c>
      <c r="F12772" s="7" t="s">
        <v>17</v>
      </c>
      <c r="G12772" s="7">
        <v>4018211</v>
      </c>
      <c r="H12772" s="7">
        <v>2469</v>
      </c>
      <c r="I12772" s="7">
        <v>74</v>
      </c>
      <c r="J12772" s="7">
        <v>116</v>
      </c>
      <c r="K12772" s="7" t="s">
        <v>18</v>
      </c>
      <c r="L12772" s="8">
        <v>39987.315405092595</v>
      </c>
      <c r="M12772" s="9" t="s">
        <v>19</v>
      </c>
      <c r="N12772" s="9" t="s">
        <v>20</v>
      </c>
      <c r="O12772" s="6" t="str">
        <f>HYPERLINK("https://pbs.twimg.com/profile_images/962471262747529216/Uo8lOkRJ_normal.jpg","View")</f>
        <v>View</v>
      </c>
      <c r="P12772" s="7"/>
    </row>
    <row r="12773" spans="1:16">
      <c r="A12773" s="3">
        <v>44179.741284722222</v>
      </c>
      <c r="B12773" s="4" t="str">
        <f>HYPERLINK("https://twitter.com/petrogustavo","@petrogustavo")</f>
        <v>@petrogustavo</v>
      </c>
      <c r="C12773" s="5" t="s">
        <v>16</v>
      </c>
      <c r="D12773" s="5" t="s">
        <v>12289</v>
      </c>
      <c r="E12773" s="6" t="str">
        <f>HYPERLINK("https://twitter.com/petrogustavo/status/1338458075922100226","1338458075922100226")</f>
        <v>1338458075922100226</v>
      </c>
      <c r="F12773" s="7" t="s">
        <v>17</v>
      </c>
      <c r="G12773" s="7">
        <v>4018211</v>
      </c>
      <c r="H12773" s="7">
        <v>2469</v>
      </c>
      <c r="I12773" s="7">
        <v>47</v>
      </c>
      <c r="J12773" s="7">
        <v>83</v>
      </c>
      <c r="K12773" s="7" t="s">
        <v>18</v>
      </c>
      <c r="L12773" s="8">
        <v>39987.315405092595</v>
      </c>
      <c r="M12773" s="9" t="s">
        <v>19</v>
      </c>
      <c r="N12773" s="9" t="s">
        <v>20</v>
      </c>
      <c r="O12773" s="6" t="str">
        <f>HYPERLINK("https://pbs.twimg.com/profile_images/962471262747529216/Uo8lOkRJ_normal.jpg","View")</f>
        <v>View</v>
      </c>
      <c r="P12773" s="7"/>
    </row>
    <row r="12774" spans="1:16">
      <c r="A12774" s="3">
        <v>44179.746493055558</v>
      </c>
      <c r="B12774" s="4" t="str">
        <f>HYPERLINK("https://twitter.com/petrogustavo","@petrogustavo")</f>
        <v>@petrogustavo</v>
      </c>
      <c r="C12774" s="5" t="s">
        <v>16</v>
      </c>
      <c r="D12774" s="5" t="s">
        <v>12290</v>
      </c>
      <c r="E12774" s="6" t="str">
        <f>HYPERLINK("https://twitter.com/petrogustavo/status/1338459964906622976","1338459964906622976")</f>
        <v>1338459964906622976</v>
      </c>
      <c r="F12774" s="7" t="s">
        <v>17</v>
      </c>
      <c r="G12774" s="7">
        <v>4018211</v>
      </c>
      <c r="H12774" s="7">
        <v>2469</v>
      </c>
      <c r="I12774" s="7">
        <v>75</v>
      </c>
      <c r="J12774" s="7">
        <v>354</v>
      </c>
      <c r="K12774" s="7" t="s">
        <v>18</v>
      </c>
      <c r="L12774" s="8">
        <v>39987.315405092595</v>
      </c>
      <c r="M12774" s="9" t="s">
        <v>19</v>
      </c>
      <c r="N12774" s="9" t="s">
        <v>20</v>
      </c>
      <c r="O12774" s="6" t="str">
        <f>HYPERLINK("https://pbs.twimg.com/profile_images/962471262747529216/Uo8lOkRJ_normal.jpg","View")</f>
        <v>View</v>
      </c>
      <c r="P12774" s="7"/>
    </row>
    <row r="12775" spans="1:16">
      <c r="A12775" s="3">
        <v>44179.759131944447</v>
      </c>
      <c r="B12775" s="4" t="str">
        <f>HYPERLINK("https://twitter.com/petrogustavo","@petrogustavo")</f>
        <v>@petrogustavo</v>
      </c>
      <c r="C12775" s="5" t="s">
        <v>16</v>
      </c>
      <c r="D12775" s="5" t="s">
        <v>12291</v>
      </c>
      <c r="E12775" s="6" t="str">
        <f>HYPERLINK("https://twitter.com/petrogustavo/status/1338464542653898755","1338464542653898755")</f>
        <v>1338464542653898755</v>
      </c>
      <c r="F12775" s="7" t="s">
        <v>17</v>
      </c>
      <c r="G12775" s="7">
        <v>4018210</v>
      </c>
      <c r="H12775" s="7">
        <v>2469</v>
      </c>
      <c r="I12775" s="7">
        <v>20</v>
      </c>
      <c r="J12775" s="7">
        <v>80</v>
      </c>
      <c r="K12775" s="7" t="s">
        <v>18</v>
      </c>
      <c r="L12775" s="8">
        <v>39987.315405092595</v>
      </c>
      <c r="M12775" s="9" t="s">
        <v>19</v>
      </c>
      <c r="N12775" s="9" t="s">
        <v>20</v>
      </c>
      <c r="O12775" s="6" t="str">
        <f>HYPERLINK("https://pbs.twimg.com/profile_images/962471262747529216/Uo8lOkRJ_normal.jpg","View")</f>
        <v>View</v>
      </c>
      <c r="P12775" s="7"/>
    </row>
    <row r="12776" spans="1:16">
      <c r="A12776" s="3">
        <v>44179.78496527778</v>
      </c>
      <c r="B12776" s="4" t="str">
        <f>HYPERLINK("https://twitter.com/petrogustavo","@petrogustavo")</f>
        <v>@petrogustavo</v>
      </c>
      <c r="C12776" s="5" t="s">
        <v>16</v>
      </c>
      <c r="D12776" s="5" t="s">
        <v>12292</v>
      </c>
      <c r="E12776" s="6" t="str">
        <f>HYPERLINK("https://twitter.com/petrogustavo/status/1338473905959399424","1338473905959399424")</f>
        <v>1338473905959399424</v>
      </c>
      <c r="F12776" s="7" t="s">
        <v>17</v>
      </c>
      <c r="G12776" s="7">
        <v>4018229</v>
      </c>
      <c r="H12776" s="7">
        <v>2469</v>
      </c>
      <c r="I12776" s="7">
        <v>48</v>
      </c>
      <c r="J12776" s="7">
        <v>0</v>
      </c>
      <c r="K12776" s="7" t="s">
        <v>18</v>
      </c>
      <c r="L12776" s="8">
        <v>39987.315405092595</v>
      </c>
      <c r="M12776" s="9" t="s">
        <v>19</v>
      </c>
      <c r="N12776" s="9" t="s">
        <v>20</v>
      </c>
      <c r="O12776" s="6" t="str">
        <f>HYPERLINK("https://pbs.twimg.com/profile_images/962471262747529216/Uo8lOkRJ_normal.jpg","View")</f>
        <v>View</v>
      </c>
      <c r="P12776" s="7"/>
    </row>
    <row r="12777" spans="1:16">
      <c r="A12777" s="3">
        <v>44179.786608796298</v>
      </c>
      <c r="B12777" s="4" t="str">
        <f>HYPERLINK("https://twitter.com/petrogustavo","@petrogustavo")</f>
        <v>@petrogustavo</v>
      </c>
      <c r="C12777" s="5" t="s">
        <v>16</v>
      </c>
      <c r="D12777" s="5" t="s">
        <v>12293</v>
      </c>
      <c r="E12777" s="6" t="str">
        <f>HYPERLINK("https://twitter.com/petrogustavo/status/1338474502292967428","1338474502292967428")</f>
        <v>1338474502292967428</v>
      </c>
      <c r="F12777" s="7" t="s">
        <v>17</v>
      </c>
      <c r="G12777" s="7">
        <v>4018229</v>
      </c>
      <c r="H12777" s="7">
        <v>2469</v>
      </c>
      <c r="I12777" s="7">
        <v>156</v>
      </c>
      <c r="J12777" s="7">
        <v>0</v>
      </c>
      <c r="K12777" s="7" t="s">
        <v>18</v>
      </c>
      <c r="L12777" s="8">
        <v>39987.315405092595</v>
      </c>
      <c r="M12777" s="9" t="s">
        <v>19</v>
      </c>
      <c r="N12777" s="9" t="s">
        <v>20</v>
      </c>
      <c r="O12777" s="6" t="str">
        <f>HYPERLINK("https://pbs.twimg.com/profile_images/962471262747529216/Uo8lOkRJ_normal.jpg","View")</f>
        <v>View</v>
      </c>
      <c r="P12777" s="7"/>
    </row>
    <row r="12778" spans="1:16">
      <c r="A12778" s="3">
        <v>44179.787048611106</v>
      </c>
      <c r="B12778" s="4" t="str">
        <f>HYPERLINK("https://twitter.com/petrogustavo","@petrogustavo")</f>
        <v>@petrogustavo</v>
      </c>
      <c r="C12778" s="5" t="s">
        <v>16</v>
      </c>
      <c r="D12778" s="5" t="s">
        <v>12294</v>
      </c>
      <c r="E12778" s="6" t="str">
        <f>HYPERLINK("https://twitter.com/petrogustavo/status/1338474661584252929","1338474661584252929")</f>
        <v>1338474661584252929</v>
      </c>
      <c r="F12778" s="7" t="s">
        <v>17</v>
      </c>
      <c r="G12778" s="7">
        <v>4018229</v>
      </c>
      <c r="H12778" s="7">
        <v>2469</v>
      </c>
      <c r="I12778" s="7">
        <v>95</v>
      </c>
      <c r="J12778" s="7">
        <v>0</v>
      </c>
      <c r="K12778" s="7" t="s">
        <v>18</v>
      </c>
      <c r="L12778" s="8">
        <v>39987.315405092595</v>
      </c>
      <c r="M12778" s="9" t="s">
        <v>19</v>
      </c>
      <c r="N12778" s="9" t="s">
        <v>20</v>
      </c>
      <c r="O12778" s="6" t="str">
        <f>HYPERLINK("https://pbs.twimg.com/profile_images/962471262747529216/Uo8lOkRJ_normal.jpg","View")</f>
        <v>View</v>
      </c>
      <c r="P12778" s="7"/>
    </row>
    <row r="12779" spans="1:16">
      <c r="A12779" s="3">
        <v>44179.83729166667</v>
      </c>
      <c r="B12779" s="4" t="str">
        <f>HYPERLINK("https://twitter.com/petrogustavo","@petrogustavo")</f>
        <v>@petrogustavo</v>
      </c>
      <c r="C12779" s="5" t="s">
        <v>16</v>
      </c>
      <c r="D12779" s="5" t="s">
        <v>12295</v>
      </c>
      <c r="E12779" s="6" t="str">
        <f>HYPERLINK("https://twitter.com/petrogustavo/status/1338492870270050304","1338492870270050304")</f>
        <v>1338492870270050304</v>
      </c>
      <c r="F12779" s="7" t="s">
        <v>17</v>
      </c>
      <c r="G12779" s="7">
        <v>4018232</v>
      </c>
      <c r="H12779" s="7">
        <v>2469</v>
      </c>
      <c r="I12779" s="7">
        <v>57</v>
      </c>
      <c r="J12779" s="7">
        <v>0</v>
      </c>
      <c r="K12779" s="7" t="s">
        <v>18</v>
      </c>
      <c r="L12779" s="8">
        <v>39987.315405092595</v>
      </c>
      <c r="M12779" s="9" t="s">
        <v>19</v>
      </c>
      <c r="N12779" s="9" t="s">
        <v>20</v>
      </c>
      <c r="O12779" s="6" t="str">
        <f>HYPERLINK("https://pbs.twimg.com/profile_images/962471262747529216/Uo8lOkRJ_normal.jpg","View")</f>
        <v>View</v>
      </c>
      <c r="P12779" s="7"/>
    </row>
    <row r="12780" spans="1:16">
      <c r="A12780" s="3">
        <v>44179.841643518521</v>
      </c>
      <c r="B12780" s="4" t="str">
        <f>HYPERLINK("https://twitter.com/petrogustavo","@petrogustavo")</f>
        <v>@petrogustavo</v>
      </c>
      <c r="C12780" s="5" t="s">
        <v>16</v>
      </c>
      <c r="D12780" s="5" t="s">
        <v>12296</v>
      </c>
      <c r="E12780" s="6" t="str">
        <f>HYPERLINK("https://twitter.com/petrogustavo/status/1338494443813556226","1338494443813556226")</f>
        <v>1338494443813556226</v>
      </c>
      <c r="F12780" s="7" t="s">
        <v>17</v>
      </c>
      <c r="G12780" s="7">
        <v>4018232</v>
      </c>
      <c r="H12780" s="7">
        <v>2469</v>
      </c>
      <c r="I12780" s="7">
        <v>35</v>
      </c>
      <c r="J12780" s="7">
        <v>90</v>
      </c>
      <c r="K12780" s="7" t="s">
        <v>18</v>
      </c>
      <c r="L12780" s="8">
        <v>39987.315405092595</v>
      </c>
      <c r="M12780" s="9" t="s">
        <v>19</v>
      </c>
      <c r="N12780" s="9" t="s">
        <v>20</v>
      </c>
      <c r="O12780" s="6" t="str">
        <f>HYPERLINK("https://pbs.twimg.com/profile_images/962471262747529216/Uo8lOkRJ_normal.jpg","View")</f>
        <v>View</v>
      </c>
      <c r="P12780" s="7"/>
    </row>
    <row r="12781" spans="1:16">
      <c r="A12781" s="3">
        <v>44179.847060185188</v>
      </c>
      <c r="B12781" s="4" t="str">
        <f>HYPERLINK("https://twitter.com/petrogustavo","@petrogustavo")</f>
        <v>@petrogustavo</v>
      </c>
      <c r="C12781" s="5" t="s">
        <v>16</v>
      </c>
      <c r="D12781" s="5" t="s">
        <v>12297</v>
      </c>
      <c r="E12781" s="6" t="str">
        <f>HYPERLINK("https://twitter.com/petrogustavo/status/1338496409100840962","1338496409100840962")</f>
        <v>1338496409100840962</v>
      </c>
      <c r="F12781" s="7" t="s">
        <v>17</v>
      </c>
      <c r="G12781" s="7">
        <v>4018240</v>
      </c>
      <c r="H12781" s="7">
        <v>2469</v>
      </c>
      <c r="I12781" s="7">
        <v>12</v>
      </c>
      <c r="J12781" s="7">
        <v>0</v>
      </c>
      <c r="K12781" s="7" t="s">
        <v>18</v>
      </c>
      <c r="L12781" s="8">
        <v>39987.315405092595</v>
      </c>
      <c r="M12781" s="9" t="s">
        <v>19</v>
      </c>
      <c r="N12781" s="9" t="s">
        <v>20</v>
      </c>
      <c r="O12781" s="6" t="str">
        <f>HYPERLINK("https://pbs.twimg.com/profile_images/962471262747529216/Uo8lOkRJ_normal.jpg","View")</f>
        <v>View</v>
      </c>
      <c r="P12781" s="7"/>
    </row>
    <row r="12782" spans="1:16">
      <c r="A12782" s="3">
        <v>44179.963472222225</v>
      </c>
      <c r="B12782" s="4" t="str">
        <f>HYPERLINK("https://twitter.com/petrogustavo","@petrogustavo")</f>
        <v>@petrogustavo</v>
      </c>
      <c r="C12782" s="5" t="s">
        <v>16</v>
      </c>
      <c r="D12782" s="5" t="s">
        <v>12298</v>
      </c>
      <c r="E12782" s="6" t="str">
        <f>HYPERLINK("https://twitter.com/petrogustavo/status/1338538594202423306","1338538594202423306")</f>
        <v>1338538594202423306</v>
      </c>
      <c r="F12782" s="7" t="s">
        <v>17</v>
      </c>
      <c r="G12782" s="7">
        <v>4018314</v>
      </c>
      <c r="H12782" s="7">
        <v>2469</v>
      </c>
      <c r="I12782" s="7">
        <v>812</v>
      </c>
      <c r="J12782" s="7">
        <v>0</v>
      </c>
      <c r="K12782" s="7" t="s">
        <v>18</v>
      </c>
      <c r="L12782" s="8">
        <v>39987.315405092595</v>
      </c>
      <c r="M12782" s="9" t="s">
        <v>19</v>
      </c>
      <c r="N12782" s="9" t="s">
        <v>20</v>
      </c>
      <c r="O12782" s="6" t="str">
        <f>HYPERLINK("https://pbs.twimg.com/profile_images/962471262747529216/Uo8lOkRJ_normal.jpg","View")</f>
        <v>View</v>
      </c>
      <c r="P12782" s="7"/>
    </row>
    <row r="12783" spans="1:16">
      <c r="A12783" s="3">
        <v>44179.974537037036</v>
      </c>
      <c r="B12783" s="4" t="str">
        <f>HYPERLINK("https://twitter.com/petrogustavo","@petrogustavo")</f>
        <v>@petrogustavo</v>
      </c>
      <c r="C12783" s="5" t="s">
        <v>16</v>
      </c>
      <c r="D12783" s="5" t="s">
        <v>12299</v>
      </c>
      <c r="E12783" s="6" t="str">
        <f>HYPERLINK("https://twitter.com/petrogustavo/status/1338542605697736716","1338542605697736716")</f>
        <v>1338542605697736716</v>
      </c>
      <c r="F12783" s="7" t="s">
        <v>17</v>
      </c>
      <c r="G12783" s="7">
        <v>4018326</v>
      </c>
      <c r="H12783" s="7">
        <v>2469</v>
      </c>
      <c r="I12783" s="7">
        <v>358</v>
      </c>
      <c r="J12783" s="7">
        <v>0</v>
      </c>
      <c r="K12783" s="7" t="s">
        <v>18</v>
      </c>
      <c r="L12783" s="8">
        <v>39987.315405092595</v>
      </c>
      <c r="M12783" s="9" t="s">
        <v>19</v>
      </c>
      <c r="N12783" s="9" t="s">
        <v>20</v>
      </c>
      <c r="O12783" s="6" t="str">
        <f>HYPERLINK("https://pbs.twimg.com/profile_images/962471262747529216/Uo8lOkRJ_normal.jpg","View")</f>
        <v>View</v>
      </c>
      <c r="P12783" s="7"/>
    </row>
    <row r="12784" spans="1:16">
      <c r="A12784" s="3">
        <v>44179.976412037038</v>
      </c>
      <c r="B12784" s="4" t="str">
        <f>HYPERLINK("https://twitter.com/petrogustavo","@petrogustavo")</f>
        <v>@petrogustavo</v>
      </c>
      <c r="C12784" s="5" t="s">
        <v>16</v>
      </c>
      <c r="D12784" s="5" t="s">
        <v>12300</v>
      </c>
      <c r="E12784" s="6" t="str">
        <f>HYPERLINK("https://twitter.com/petrogustavo/status/1338543283245641729","1338543283245641729")</f>
        <v>1338543283245641729</v>
      </c>
      <c r="F12784" s="7" t="s">
        <v>17</v>
      </c>
      <c r="G12784" s="7">
        <v>4018326</v>
      </c>
      <c r="H12784" s="7">
        <v>2469</v>
      </c>
      <c r="I12784" s="7">
        <v>461</v>
      </c>
      <c r="J12784" s="7">
        <v>0</v>
      </c>
      <c r="K12784" s="7" t="s">
        <v>18</v>
      </c>
      <c r="L12784" s="8">
        <v>39987.315405092595</v>
      </c>
      <c r="M12784" s="9" t="s">
        <v>19</v>
      </c>
      <c r="N12784" s="9" t="s">
        <v>20</v>
      </c>
      <c r="O12784" s="6" t="str">
        <f>HYPERLINK("https://pbs.twimg.com/profile_images/962471262747529216/Uo8lOkRJ_normal.jpg","View")</f>
        <v>View</v>
      </c>
      <c r="P12784" s="7"/>
    </row>
    <row r="12785" spans="1:16">
      <c r="A12785" s="3">
        <v>44179.983437499999</v>
      </c>
      <c r="B12785" s="4" t="str">
        <f>HYPERLINK("https://twitter.com/petrogustavo","@petrogustavo")</f>
        <v>@petrogustavo</v>
      </c>
      <c r="C12785" s="5" t="s">
        <v>16</v>
      </c>
      <c r="D12785" s="5" t="s">
        <v>12301</v>
      </c>
      <c r="E12785" s="6" t="str">
        <f>HYPERLINK("https://twitter.com/petrogustavo/status/1338545830085734401","1338545830085734401")</f>
        <v>1338545830085734401</v>
      </c>
      <c r="F12785" s="7" t="s">
        <v>17</v>
      </c>
      <c r="G12785" s="7">
        <v>4018326</v>
      </c>
      <c r="H12785" s="7">
        <v>2469</v>
      </c>
      <c r="I12785" s="7">
        <v>207</v>
      </c>
      <c r="J12785" s="7">
        <v>0</v>
      </c>
      <c r="K12785" s="7" t="s">
        <v>18</v>
      </c>
      <c r="L12785" s="8">
        <v>39987.315405092595</v>
      </c>
      <c r="M12785" s="9" t="s">
        <v>19</v>
      </c>
      <c r="N12785" s="9" t="s">
        <v>20</v>
      </c>
      <c r="O12785" s="6" t="str">
        <f>HYPERLINK("https://pbs.twimg.com/profile_images/962471262747529216/Uo8lOkRJ_normal.jpg","View")</f>
        <v>View</v>
      </c>
      <c r="P12785" s="7"/>
    </row>
    <row r="12786" spans="1:16">
      <c r="A12786" s="3">
        <v>44180.706250000003</v>
      </c>
      <c r="B12786" s="4" t="str">
        <f>HYPERLINK("https://twitter.com/petrogustavo","@petrogustavo")</f>
        <v>@petrogustavo</v>
      </c>
      <c r="C12786" s="5" t="s">
        <v>16</v>
      </c>
      <c r="D12786" s="5" t="s">
        <v>12302</v>
      </c>
      <c r="E12786" s="6" t="str">
        <f>HYPERLINK("https://twitter.com/petrogustavo/status/1338807767444951040","1338807767444951040")</f>
        <v>1338807767444951040</v>
      </c>
      <c r="F12786" s="7" t="s">
        <v>17</v>
      </c>
      <c r="G12786" s="7">
        <v>4018528</v>
      </c>
      <c r="H12786" s="7">
        <v>2470</v>
      </c>
      <c r="I12786" s="7">
        <v>2696</v>
      </c>
      <c r="J12786" s="7">
        <v>0</v>
      </c>
      <c r="K12786" s="7" t="s">
        <v>18</v>
      </c>
      <c r="L12786" s="8">
        <v>39987.315405092595</v>
      </c>
      <c r="M12786" s="9" t="s">
        <v>19</v>
      </c>
      <c r="N12786" s="9" t="s">
        <v>20</v>
      </c>
      <c r="O12786" s="6" t="str">
        <f>HYPERLINK("https://pbs.twimg.com/profile_images/962471262747529216/Uo8lOkRJ_normal.jpg","View")</f>
        <v>View</v>
      </c>
      <c r="P12786" s="7"/>
    </row>
    <row r="12787" spans="1:16">
      <c r="A12787" s="3">
        <v>44180.709189814814</v>
      </c>
      <c r="B12787" s="4" t="str">
        <f>HYPERLINK("https://twitter.com/petrogustavo","@petrogustavo")</f>
        <v>@petrogustavo</v>
      </c>
      <c r="C12787" s="5" t="s">
        <v>16</v>
      </c>
      <c r="D12787" s="5" t="s">
        <v>12303</v>
      </c>
      <c r="E12787" s="6" t="str">
        <f>HYPERLINK("https://twitter.com/petrogustavo/status/1338808832252895232","1338808832252895232")</f>
        <v>1338808832252895232</v>
      </c>
      <c r="F12787" s="7" t="s">
        <v>17</v>
      </c>
      <c r="G12787" s="7">
        <v>4018528</v>
      </c>
      <c r="H12787" s="7">
        <v>2470</v>
      </c>
      <c r="I12787" s="7">
        <v>59</v>
      </c>
      <c r="J12787" s="7">
        <v>127</v>
      </c>
      <c r="K12787" s="7" t="s">
        <v>18</v>
      </c>
      <c r="L12787" s="8">
        <v>39987.315405092595</v>
      </c>
      <c r="M12787" s="9" t="s">
        <v>19</v>
      </c>
      <c r="N12787" s="9" t="s">
        <v>20</v>
      </c>
      <c r="O12787" s="6" t="str">
        <f>HYPERLINK("https://pbs.twimg.com/profile_images/962471262747529216/Uo8lOkRJ_normal.jpg","View")</f>
        <v>View</v>
      </c>
      <c r="P12787" s="7"/>
    </row>
    <row r="12788" spans="1:16">
      <c r="A12788" s="3">
        <v>44180.711840277778</v>
      </c>
      <c r="B12788" s="4" t="str">
        <f>HYPERLINK("https://twitter.com/petrogustavo","@petrogustavo")</f>
        <v>@petrogustavo</v>
      </c>
      <c r="C12788" s="5" t="s">
        <v>16</v>
      </c>
      <c r="D12788" s="5" t="s">
        <v>12304</v>
      </c>
      <c r="E12788" s="6" t="str">
        <f>HYPERLINK("https://twitter.com/petrogustavo/status/1338809794719866883","1338809794719866883")</f>
        <v>1338809794719866883</v>
      </c>
      <c r="F12788" s="7" t="s">
        <v>17</v>
      </c>
      <c r="G12788" s="7">
        <v>4018528</v>
      </c>
      <c r="H12788" s="7">
        <v>2470</v>
      </c>
      <c r="I12788" s="7">
        <v>219</v>
      </c>
      <c r="J12788" s="7">
        <v>0</v>
      </c>
      <c r="K12788" s="7" t="s">
        <v>18</v>
      </c>
      <c r="L12788" s="8">
        <v>39987.315405092595</v>
      </c>
      <c r="M12788" s="9" t="s">
        <v>19</v>
      </c>
      <c r="N12788" s="9" t="s">
        <v>20</v>
      </c>
      <c r="O12788" s="6" t="str">
        <f>HYPERLINK("https://pbs.twimg.com/profile_images/962471262747529216/Uo8lOkRJ_normal.jpg","View")</f>
        <v>View</v>
      </c>
      <c r="P12788" s="7"/>
    </row>
    <row r="12789" spans="1:16">
      <c r="A12789" s="3">
        <v>44180.712199074071</v>
      </c>
      <c r="B12789" s="4" t="str">
        <f>HYPERLINK("https://twitter.com/petrogustavo","@petrogustavo")</f>
        <v>@petrogustavo</v>
      </c>
      <c r="C12789" s="5" t="s">
        <v>16</v>
      </c>
      <c r="D12789" s="5" t="s">
        <v>12305</v>
      </c>
      <c r="E12789" s="6" t="str">
        <f>HYPERLINK("https://twitter.com/petrogustavo/status/1338809922868441089","1338809922868441089")</f>
        <v>1338809922868441089</v>
      </c>
      <c r="F12789" s="7" t="s">
        <v>17</v>
      </c>
      <c r="G12789" s="7">
        <v>4018528</v>
      </c>
      <c r="H12789" s="7">
        <v>2470</v>
      </c>
      <c r="I12789" s="7">
        <v>106</v>
      </c>
      <c r="J12789" s="7">
        <v>0</v>
      </c>
      <c r="K12789" s="7" t="s">
        <v>18</v>
      </c>
      <c r="L12789" s="8">
        <v>39987.315405092595</v>
      </c>
      <c r="M12789" s="9" t="s">
        <v>19</v>
      </c>
      <c r="N12789" s="9" t="s">
        <v>20</v>
      </c>
      <c r="O12789" s="6" t="str">
        <f>HYPERLINK("https://pbs.twimg.com/profile_images/962471262747529216/Uo8lOkRJ_normal.jpg","View")</f>
        <v>View</v>
      </c>
      <c r="P12789" s="7"/>
    </row>
    <row r="12790" spans="1:16">
      <c r="A12790" s="3">
        <v>44180.712314814809</v>
      </c>
      <c r="B12790" s="4" t="str">
        <f>HYPERLINK("https://twitter.com/petrogustavo","@petrogustavo")</f>
        <v>@petrogustavo</v>
      </c>
      <c r="C12790" s="5" t="s">
        <v>16</v>
      </c>
      <c r="D12790" s="5" t="s">
        <v>12306</v>
      </c>
      <c r="E12790" s="6" t="str">
        <f>HYPERLINK("https://twitter.com/petrogustavo/status/1338809965700673537","1338809965700673537")</f>
        <v>1338809965700673537</v>
      </c>
      <c r="F12790" s="7" t="s">
        <v>17</v>
      </c>
      <c r="G12790" s="7">
        <v>4018528</v>
      </c>
      <c r="H12790" s="7">
        <v>2470</v>
      </c>
      <c r="I12790" s="7">
        <v>240</v>
      </c>
      <c r="J12790" s="7">
        <v>0</v>
      </c>
      <c r="K12790" s="7" t="s">
        <v>18</v>
      </c>
      <c r="L12790" s="8">
        <v>39987.315405092595</v>
      </c>
      <c r="M12790" s="9" t="s">
        <v>19</v>
      </c>
      <c r="N12790" s="9" t="s">
        <v>20</v>
      </c>
      <c r="O12790" s="6" t="str">
        <f>HYPERLINK("https://pbs.twimg.com/profile_images/962471262747529216/Uo8lOkRJ_normal.jpg","View")</f>
        <v>View</v>
      </c>
      <c r="P12790" s="7"/>
    </row>
    <row r="12791" spans="1:16">
      <c r="A12791" s="3">
        <v>44180.722638888888</v>
      </c>
      <c r="B12791" s="4" t="str">
        <f>HYPERLINK("https://twitter.com/petrogustavo","@petrogustavo")</f>
        <v>@petrogustavo</v>
      </c>
      <c r="C12791" s="5" t="s">
        <v>16</v>
      </c>
      <c r="D12791" s="5" t="s">
        <v>12307</v>
      </c>
      <c r="E12791" s="6" t="str">
        <f>HYPERLINK("https://twitter.com/petrogustavo/status/1338813708114550784","1338813708114550784")</f>
        <v>1338813708114550784</v>
      </c>
      <c r="F12791" s="7" t="s">
        <v>17</v>
      </c>
      <c r="G12791" s="7">
        <v>4018531</v>
      </c>
      <c r="H12791" s="7">
        <v>2471</v>
      </c>
      <c r="I12791" s="7">
        <v>249</v>
      </c>
      <c r="J12791" s="7">
        <v>0</v>
      </c>
      <c r="K12791" s="7" t="s">
        <v>18</v>
      </c>
      <c r="L12791" s="8">
        <v>39987.315405092595</v>
      </c>
      <c r="M12791" s="9" t="s">
        <v>19</v>
      </c>
      <c r="N12791" s="9" t="s">
        <v>20</v>
      </c>
      <c r="O12791" s="6" t="str">
        <f>HYPERLINK("https://pbs.twimg.com/profile_images/962471262747529216/Uo8lOkRJ_normal.jpg","View")</f>
        <v>View</v>
      </c>
      <c r="P12791" s="7"/>
    </row>
    <row r="12792" spans="1:16">
      <c r="A12792" s="3">
        <v>44180.73373842593</v>
      </c>
      <c r="B12792" s="4" t="str">
        <f>HYPERLINK("https://twitter.com/petrogustavo","@petrogustavo")</f>
        <v>@petrogustavo</v>
      </c>
      <c r="C12792" s="5" t="s">
        <v>16</v>
      </c>
      <c r="D12792" s="5" t="s">
        <v>12308</v>
      </c>
      <c r="E12792" s="6" t="str">
        <f>HYPERLINK("https://twitter.com/petrogustavo/status/1338817727969062913","1338817727969062913")</f>
        <v>1338817727969062913</v>
      </c>
      <c r="F12792" s="7" t="s">
        <v>17</v>
      </c>
      <c r="G12792" s="7">
        <v>4018531</v>
      </c>
      <c r="H12792" s="7">
        <v>2471</v>
      </c>
      <c r="I12792" s="7">
        <v>126</v>
      </c>
      <c r="J12792" s="7">
        <v>0</v>
      </c>
      <c r="K12792" s="7" t="s">
        <v>18</v>
      </c>
      <c r="L12792" s="8">
        <v>39987.315405092595</v>
      </c>
      <c r="M12792" s="9" t="s">
        <v>19</v>
      </c>
      <c r="N12792" s="9" t="s">
        <v>20</v>
      </c>
      <c r="O12792" s="6" t="str">
        <f>HYPERLINK("https://pbs.twimg.com/profile_images/962471262747529216/Uo8lOkRJ_normal.jpg","View")</f>
        <v>View</v>
      </c>
      <c r="P12792" s="7"/>
    </row>
    <row r="12793" spans="1:16">
      <c r="A12793" s="3">
        <v>44180.73704861111</v>
      </c>
      <c r="B12793" s="4" t="str">
        <f>HYPERLINK("https://twitter.com/petrogustavo","@petrogustavo")</f>
        <v>@petrogustavo</v>
      </c>
      <c r="C12793" s="5" t="s">
        <v>16</v>
      </c>
      <c r="D12793" s="5" t="s">
        <v>12309</v>
      </c>
      <c r="E12793" s="6" t="str">
        <f>HYPERLINK("https://twitter.com/petrogustavo/status/1338818928882102272","1338818928882102272")</f>
        <v>1338818928882102272</v>
      </c>
      <c r="F12793" s="7" t="s">
        <v>17</v>
      </c>
      <c r="G12793" s="7">
        <v>4018531</v>
      </c>
      <c r="H12793" s="7">
        <v>2471</v>
      </c>
      <c r="I12793" s="7">
        <v>27</v>
      </c>
      <c r="J12793" s="7">
        <v>175</v>
      </c>
      <c r="K12793" s="7" t="s">
        <v>18</v>
      </c>
      <c r="L12793" s="8">
        <v>39987.315405092595</v>
      </c>
      <c r="M12793" s="9" t="s">
        <v>19</v>
      </c>
      <c r="N12793" s="9" t="s">
        <v>20</v>
      </c>
      <c r="O12793" s="6" t="str">
        <f>HYPERLINK("https://pbs.twimg.com/profile_images/962471262747529216/Uo8lOkRJ_normal.jpg","View")</f>
        <v>View</v>
      </c>
      <c r="P12793" s="7"/>
    </row>
    <row r="12794" spans="1:16">
      <c r="A12794" s="3">
        <v>44180.742256944446</v>
      </c>
      <c r="B12794" s="4" t="str">
        <f>HYPERLINK("https://twitter.com/petrogustavo","@petrogustavo")</f>
        <v>@petrogustavo</v>
      </c>
      <c r="C12794" s="5" t="s">
        <v>16</v>
      </c>
      <c r="D12794" s="5" t="s">
        <v>12310</v>
      </c>
      <c r="E12794" s="6" t="str">
        <f>HYPERLINK("https://twitter.com/petrogustavo/status/1338820818344824834","1338820818344824834")</f>
        <v>1338820818344824834</v>
      </c>
      <c r="F12794" s="7" t="s">
        <v>17</v>
      </c>
      <c r="G12794" s="7">
        <v>4018540</v>
      </c>
      <c r="H12794" s="7">
        <v>2471</v>
      </c>
      <c r="I12794" s="7">
        <v>63</v>
      </c>
      <c r="J12794" s="7">
        <v>134</v>
      </c>
      <c r="K12794" s="7" t="s">
        <v>18</v>
      </c>
      <c r="L12794" s="8">
        <v>39987.315405092595</v>
      </c>
      <c r="M12794" s="9" t="s">
        <v>19</v>
      </c>
      <c r="N12794" s="9" t="s">
        <v>20</v>
      </c>
      <c r="O12794" s="6" t="str">
        <f>HYPERLINK("https://pbs.twimg.com/profile_images/962471262747529216/Uo8lOkRJ_normal.jpg","View")</f>
        <v>View</v>
      </c>
      <c r="P12794" s="7"/>
    </row>
    <row r="12795" spans="1:16">
      <c r="A12795" s="3">
        <v>44180.747372685189</v>
      </c>
      <c r="B12795" s="4" t="str">
        <f>HYPERLINK("https://twitter.com/petrogustavo","@petrogustavo")</f>
        <v>@petrogustavo</v>
      </c>
      <c r="C12795" s="5" t="s">
        <v>16</v>
      </c>
      <c r="D12795" s="5" t="s">
        <v>12311</v>
      </c>
      <c r="E12795" s="6" t="str">
        <f>HYPERLINK("https://twitter.com/petrogustavo/status/1338822671971332096","1338822671971332096")</f>
        <v>1338822671971332096</v>
      </c>
      <c r="F12795" s="7" t="s">
        <v>17</v>
      </c>
      <c r="G12795" s="7">
        <v>4018540</v>
      </c>
      <c r="H12795" s="7">
        <v>2471</v>
      </c>
      <c r="I12795" s="7">
        <v>75</v>
      </c>
      <c r="J12795" s="7">
        <v>243</v>
      </c>
      <c r="K12795" s="7" t="s">
        <v>18</v>
      </c>
      <c r="L12795" s="8">
        <v>39987.315405092595</v>
      </c>
      <c r="M12795" s="9" t="s">
        <v>19</v>
      </c>
      <c r="N12795" s="9" t="s">
        <v>20</v>
      </c>
      <c r="O12795" s="6" t="str">
        <f>HYPERLINK("https://pbs.twimg.com/profile_images/962471262747529216/Uo8lOkRJ_normal.jpg","View")</f>
        <v>View</v>
      </c>
      <c r="P12795" s="7"/>
    </row>
    <row r="12796" spans="1:16">
      <c r="A12796" s="3">
        <v>44180.748437499999</v>
      </c>
      <c r="B12796" s="4" t="str">
        <f>HYPERLINK("https://twitter.com/petrogustavo","@petrogustavo")</f>
        <v>@petrogustavo</v>
      </c>
      <c r="C12796" s="5" t="s">
        <v>16</v>
      </c>
      <c r="D12796" s="5" t="s">
        <v>12312</v>
      </c>
      <c r="E12796" s="6" t="str">
        <f>HYPERLINK("https://twitter.com/petrogustavo/status/1338823055011885056","1338823055011885056")</f>
        <v>1338823055011885056</v>
      </c>
      <c r="F12796" s="7" t="s">
        <v>17</v>
      </c>
      <c r="G12796" s="7">
        <v>4018540</v>
      </c>
      <c r="H12796" s="7">
        <v>2471</v>
      </c>
      <c r="I12796" s="7">
        <v>130</v>
      </c>
      <c r="J12796" s="7">
        <v>0</v>
      </c>
      <c r="K12796" s="7" t="s">
        <v>18</v>
      </c>
      <c r="L12796" s="8">
        <v>39987.315405092595</v>
      </c>
      <c r="M12796" s="9" t="s">
        <v>19</v>
      </c>
      <c r="N12796" s="9" t="s">
        <v>20</v>
      </c>
      <c r="O12796" s="6" t="str">
        <f>HYPERLINK("https://pbs.twimg.com/profile_images/962471262747529216/Uo8lOkRJ_normal.jpg","View")</f>
        <v>View</v>
      </c>
      <c r="P12796" s="7"/>
    </row>
    <row r="12797" spans="1:16">
      <c r="A12797" s="3">
        <v>44180.752650462964</v>
      </c>
      <c r="B12797" s="4" t="str">
        <f>HYPERLINK("https://twitter.com/petrogustavo","@petrogustavo")</f>
        <v>@petrogustavo</v>
      </c>
      <c r="C12797" s="5" t="s">
        <v>16</v>
      </c>
      <c r="D12797" s="5" t="s">
        <v>12313</v>
      </c>
      <c r="E12797" s="6" t="str">
        <f>HYPERLINK("https://twitter.com/petrogustavo/status/1338824582174748674","1338824582174748674")</f>
        <v>1338824582174748674</v>
      </c>
      <c r="F12797" s="7" t="s">
        <v>17</v>
      </c>
      <c r="G12797" s="7">
        <v>4018540</v>
      </c>
      <c r="H12797" s="7">
        <v>2471</v>
      </c>
      <c r="I12797" s="7">
        <v>52</v>
      </c>
      <c r="J12797" s="7">
        <v>156</v>
      </c>
      <c r="K12797" s="7" t="s">
        <v>18</v>
      </c>
      <c r="L12797" s="8">
        <v>39987.315405092595</v>
      </c>
      <c r="M12797" s="9" t="s">
        <v>19</v>
      </c>
      <c r="N12797" s="9" t="s">
        <v>20</v>
      </c>
      <c r="O12797" s="6" t="str">
        <f>HYPERLINK("https://pbs.twimg.com/profile_images/962471262747529216/Uo8lOkRJ_normal.jpg","View")</f>
        <v>View</v>
      </c>
      <c r="P12797" s="7"/>
    </row>
    <row r="12798" spans="1:16">
      <c r="A12798" s="3">
        <v>44180.75335648148</v>
      </c>
      <c r="B12798" s="4" t="str">
        <f>HYPERLINK("https://twitter.com/petrogustavo","@petrogustavo")</f>
        <v>@petrogustavo</v>
      </c>
      <c r="C12798" s="5" t="s">
        <v>16</v>
      </c>
      <c r="D12798" s="5" t="s">
        <v>12314</v>
      </c>
      <c r="E12798" s="6" t="str">
        <f>HYPERLINK("https://twitter.com/petrogustavo/status/1338824837259816960","1338824837259816960")</f>
        <v>1338824837259816960</v>
      </c>
      <c r="F12798" s="7" t="s">
        <v>17</v>
      </c>
      <c r="G12798" s="7">
        <v>4018540</v>
      </c>
      <c r="H12798" s="7">
        <v>2471</v>
      </c>
      <c r="I12798" s="7">
        <v>160</v>
      </c>
      <c r="J12798" s="7">
        <v>0</v>
      </c>
      <c r="K12798" s="7" t="s">
        <v>18</v>
      </c>
      <c r="L12798" s="8">
        <v>39987.315405092595</v>
      </c>
      <c r="M12798" s="9" t="s">
        <v>19</v>
      </c>
      <c r="N12798" s="9" t="s">
        <v>20</v>
      </c>
      <c r="O12798" s="6" t="str">
        <f>HYPERLINK("https://pbs.twimg.com/profile_images/962471262747529216/Uo8lOkRJ_normal.jpg","View")</f>
        <v>View</v>
      </c>
      <c r="P12798" s="7"/>
    </row>
    <row r="12799" spans="1:16">
      <c r="A12799" s="3">
        <v>44180.753738425927</v>
      </c>
      <c r="B12799" s="4" t="str">
        <f>HYPERLINK("https://twitter.com/petrogustavo","@petrogustavo")</f>
        <v>@petrogustavo</v>
      </c>
      <c r="C12799" s="5" t="s">
        <v>16</v>
      </c>
      <c r="D12799" s="5" t="s">
        <v>12315</v>
      </c>
      <c r="E12799" s="6" t="str">
        <f>HYPERLINK("https://twitter.com/petrogustavo/status/1338824978423312387","1338824978423312387")</f>
        <v>1338824978423312387</v>
      </c>
      <c r="F12799" s="7" t="s">
        <v>17</v>
      </c>
      <c r="G12799" s="7">
        <v>4018540</v>
      </c>
      <c r="H12799" s="7">
        <v>2471</v>
      </c>
      <c r="I12799" s="7">
        <v>10</v>
      </c>
      <c r="J12799" s="7">
        <v>0</v>
      </c>
      <c r="K12799" s="7" t="s">
        <v>18</v>
      </c>
      <c r="L12799" s="8">
        <v>39987.315405092595</v>
      </c>
      <c r="M12799" s="9" t="s">
        <v>19</v>
      </c>
      <c r="N12799" s="9" t="s">
        <v>20</v>
      </c>
      <c r="O12799" s="6" t="str">
        <f>HYPERLINK("https://pbs.twimg.com/profile_images/962471262747529216/Uo8lOkRJ_normal.jpg","View")</f>
        <v>View</v>
      </c>
      <c r="P12799" s="7"/>
    </row>
    <row r="12800" spans="1:16">
      <c r="A12800" s="3">
        <v>44180.778298611112</v>
      </c>
      <c r="B12800" s="4" t="str">
        <f>HYPERLINK("https://twitter.com/petrogustavo","@petrogustavo")</f>
        <v>@petrogustavo</v>
      </c>
      <c r="C12800" s="5" t="s">
        <v>16</v>
      </c>
      <c r="D12800" s="5" t="s">
        <v>12316</v>
      </c>
      <c r="E12800" s="6" t="str">
        <f>HYPERLINK("https://twitter.com/petrogustavo/status/1338833878614675456","1338833878614675456")</f>
        <v>1338833878614675456</v>
      </c>
      <c r="F12800" s="7" t="s">
        <v>17</v>
      </c>
      <c r="G12800" s="7">
        <v>4018551</v>
      </c>
      <c r="H12800" s="7">
        <v>2471</v>
      </c>
      <c r="I12800" s="7">
        <v>18</v>
      </c>
      <c r="J12800" s="7">
        <v>0</v>
      </c>
      <c r="K12800" s="7" t="s">
        <v>18</v>
      </c>
      <c r="L12800" s="8">
        <v>39987.315405092595</v>
      </c>
      <c r="M12800" s="9" t="s">
        <v>19</v>
      </c>
      <c r="N12800" s="9" t="s">
        <v>20</v>
      </c>
      <c r="O12800" s="6" t="str">
        <f>HYPERLINK("https://pbs.twimg.com/profile_images/962471262747529216/Uo8lOkRJ_normal.jpg","View")</f>
        <v>View</v>
      </c>
      <c r="P12800" s="7"/>
    </row>
    <row r="12801" spans="1:16">
      <c r="A12801" s="3">
        <v>44180.825381944444</v>
      </c>
      <c r="B12801" s="4" t="str">
        <f>HYPERLINK("https://twitter.com/petrogustavo","@petrogustavo")</f>
        <v>@petrogustavo</v>
      </c>
      <c r="C12801" s="5" t="s">
        <v>16</v>
      </c>
      <c r="D12801" s="5" t="s">
        <v>12317</v>
      </c>
      <c r="E12801" s="6" t="str">
        <f>HYPERLINK("https://twitter.com/petrogustavo/status/1338850941987139591","1338850941987139591")</f>
        <v>1338850941987139591</v>
      </c>
      <c r="F12801" s="7" t="s">
        <v>17</v>
      </c>
      <c r="G12801" s="7">
        <v>4018544</v>
      </c>
      <c r="H12801" s="7">
        <v>2471</v>
      </c>
      <c r="I12801" s="7">
        <v>932</v>
      </c>
      <c r="J12801" s="7">
        <v>0</v>
      </c>
      <c r="K12801" s="7" t="s">
        <v>18</v>
      </c>
      <c r="L12801" s="8">
        <v>39987.315405092595</v>
      </c>
      <c r="M12801" s="9" t="s">
        <v>19</v>
      </c>
      <c r="N12801" s="9" t="s">
        <v>20</v>
      </c>
      <c r="O12801" s="6" t="str">
        <f>HYPERLINK("https://pbs.twimg.com/profile_images/962471262747529216/Uo8lOkRJ_normal.jpg","View")</f>
        <v>View</v>
      </c>
      <c r="P12801" s="7"/>
    </row>
    <row r="12802" spans="1:16">
      <c r="A12802" s="3">
        <v>44181.151539351849</v>
      </c>
      <c r="B12802" s="4" t="str">
        <f>HYPERLINK("https://twitter.com/petrogustavo","@petrogustavo")</f>
        <v>@petrogustavo</v>
      </c>
      <c r="C12802" s="5" t="s">
        <v>16</v>
      </c>
      <c r="D12802" s="5" t="s">
        <v>12318</v>
      </c>
      <c r="E12802" s="6" t="str">
        <f>HYPERLINK("https://twitter.com/petrogustavo/status/1338969134760144899","1338969134760144899")</f>
        <v>1338969134760144899</v>
      </c>
      <c r="F12802" s="7" t="s">
        <v>17</v>
      </c>
      <c r="G12802" s="7">
        <v>4018672</v>
      </c>
      <c r="H12802" s="7">
        <v>2471</v>
      </c>
      <c r="I12802" s="7">
        <v>27</v>
      </c>
      <c r="J12802" s="7">
        <v>0</v>
      </c>
      <c r="K12802" s="7" t="s">
        <v>18</v>
      </c>
      <c r="L12802" s="8">
        <v>39987.315405092595</v>
      </c>
      <c r="M12802" s="9" t="s">
        <v>19</v>
      </c>
      <c r="N12802" s="9" t="s">
        <v>20</v>
      </c>
      <c r="O12802" s="6" t="str">
        <f>HYPERLINK("https://pbs.twimg.com/profile_images/962471262747529216/Uo8lOkRJ_normal.jpg","View")</f>
        <v>View</v>
      </c>
      <c r="P12802" s="7"/>
    </row>
    <row r="12803" spans="1:16">
      <c r="A12803" s="3">
        <v>44181.702418981484</v>
      </c>
      <c r="B12803" s="4" t="str">
        <f>HYPERLINK("https://twitter.com/petrogustavo","@petrogustavo")</f>
        <v>@petrogustavo</v>
      </c>
      <c r="C12803" s="5" t="s">
        <v>16</v>
      </c>
      <c r="D12803" s="5" t="s">
        <v>12319</v>
      </c>
      <c r="E12803" s="6" t="str">
        <f>HYPERLINK("https://twitter.com/petrogustavo/status/1339168766832291842","1339168766832291842")</f>
        <v>1339168766832291842</v>
      </c>
      <c r="F12803" s="7" t="s">
        <v>17</v>
      </c>
      <c r="G12803" s="7">
        <v>4018839</v>
      </c>
      <c r="H12803" s="7">
        <v>2471</v>
      </c>
      <c r="I12803" s="7">
        <v>194</v>
      </c>
      <c r="J12803" s="7">
        <v>0</v>
      </c>
      <c r="K12803" s="7" t="s">
        <v>18</v>
      </c>
      <c r="L12803" s="8">
        <v>39987.315405092595</v>
      </c>
      <c r="M12803" s="9" t="s">
        <v>19</v>
      </c>
      <c r="N12803" s="9" t="s">
        <v>20</v>
      </c>
      <c r="O12803" s="6" t="str">
        <f>HYPERLINK("https://pbs.twimg.com/profile_images/962471262747529216/Uo8lOkRJ_normal.jpg","View")</f>
        <v>View</v>
      </c>
      <c r="P12803" s="7"/>
    </row>
    <row r="12804" spans="1:16">
      <c r="A12804" s="3">
        <v>44181.704236111109</v>
      </c>
      <c r="B12804" s="4" t="str">
        <f>HYPERLINK("https://twitter.com/petrogustavo","@petrogustavo")</f>
        <v>@petrogustavo</v>
      </c>
      <c r="C12804" s="5" t="s">
        <v>16</v>
      </c>
      <c r="D12804" s="5" t="s">
        <v>12320</v>
      </c>
      <c r="E12804" s="6" t="str">
        <f>HYPERLINK("https://twitter.com/petrogustavo/status/1339169425992396801","1339169425992396801")</f>
        <v>1339169425992396801</v>
      </c>
      <c r="F12804" s="7" t="s">
        <v>17</v>
      </c>
      <c r="G12804" s="7">
        <v>4018839</v>
      </c>
      <c r="H12804" s="7">
        <v>2471</v>
      </c>
      <c r="I12804" s="7">
        <v>69</v>
      </c>
      <c r="J12804" s="7">
        <v>0</v>
      </c>
      <c r="K12804" s="7" t="s">
        <v>18</v>
      </c>
      <c r="L12804" s="8">
        <v>39987.315405092595</v>
      </c>
      <c r="M12804" s="9" t="s">
        <v>19</v>
      </c>
      <c r="N12804" s="9" t="s">
        <v>20</v>
      </c>
      <c r="O12804" s="6" t="str">
        <f>HYPERLINK("https://pbs.twimg.com/profile_images/962471262747529216/Uo8lOkRJ_normal.jpg","View")</f>
        <v>View</v>
      </c>
      <c r="P12804" s="7"/>
    </row>
    <row r="12805" spans="1:16">
      <c r="A12805" s="3">
        <v>44181.707997685182</v>
      </c>
      <c r="B12805" s="4" t="str">
        <f>HYPERLINK("https://twitter.com/petrogustavo","@petrogustavo")</f>
        <v>@petrogustavo</v>
      </c>
      <c r="C12805" s="5" t="s">
        <v>16</v>
      </c>
      <c r="D12805" s="5" t="s">
        <v>12321</v>
      </c>
      <c r="E12805" s="6" t="str">
        <f>HYPERLINK("https://twitter.com/petrogustavo/status/1339170787899699201","1339170787899699201")</f>
        <v>1339170787899699201</v>
      </c>
      <c r="F12805" s="7" t="s">
        <v>17</v>
      </c>
      <c r="G12805" s="7">
        <v>4018839</v>
      </c>
      <c r="H12805" s="7">
        <v>2471</v>
      </c>
      <c r="I12805" s="7">
        <v>24</v>
      </c>
      <c r="J12805" s="7">
        <v>0</v>
      </c>
      <c r="K12805" s="7" t="s">
        <v>18</v>
      </c>
      <c r="L12805" s="8">
        <v>39987.315405092595</v>
      </c>
      <c r="M12805" s="9" t="s">
        <v>19</v>
      </c>
      <c r="N12805" s="9" t="s">
        <v>20</v>
      </c>
      <c r="O12805" s="6" t="str">
        <f>HYPERLINK("https://pbs.twimg.com/profile_images/962471262747529216/Uo8lOkRJ_normal.jpg","View")</f>
        <v>View</v>
      </c>
      <c r="P12805" s="7"/>
    </row>
    <row r="12806" spans="1:16">
      <c r="A12806" s="3">
        <v>44181.719571759255</v>
      </c>
      <c r="B12806" s="4" t="str">
        <f>HYPERLINK("https://twitter.com/petrogustavo","@petrogustavo")</f>
        <v>@petrogustavo</v>
      </c>
      <c r="C12806" s="5" t="s">
        <v>16</v>
      </c>
      <c r="D12806" s="5" t="s">
        <v>12322</v>
      </c>
      <c r="E12806" s="6" t="str">
        <f>HYPERLINK("https://twitter.com/petrogustavo/status/1339174983583535105","1339174983583535105")</f>
        <v>1339174983583535105</v>
      </c>
      <c r="F12806" s="7" t="s">
        <v>17</v>
      </c>
      <c r="G12806" s="7">
        <v>4018839</v>
      </c>
      <c r="H12806" s="7">
        <v>2471</v>
      </c>
      <c r="I12806" s="7">
        <v>320</v>
      </c>
      <c r="J12806" s="7">
        <v>0</v>
      </c>
      <c r="K12806" s="7" t="s">
        <v>18</v>
      </c>
      <c r="L12806" s="8">
        <v>39987.315405092595</v>
      </c>
      <c r="M12806" s="9" t="s">
        <v>19</v>
      </c>
      <c r="N12806" s="9" t="s">
        <v>20</v>
      </c>
      <c r="O12806" s="6" t="str">
        <f>HYPERLINK("https://pbs.twimg.com/profile_images/962471262747529216/Uo8lOkRJ_normal.jpg","View")</f>
        <v>View</v>
      </c>
      <c r="P12806" s="7"/>
    </row>
    <row r="12807" spans="1:16">
      <c r="A12807" s="3">
        <v>44181.720486111109</v>
      </c>
      <c r="B12807" s="4" t="str">
        <f>HYPERLINK("https://twitter.com/petrogustavo","@petrogustavo")</f>
        <v>@petrogustavo</v>
      </c>
      <c r="C12807" s="5" t="s">
        <v>16</v>
      </c>
      <c r="D12807" s="5" t="s">
        <v>12323</v>
      </c>
      <c r="E12807" s="6" t="str">
        <f>HYPERLINK("https://twitter.com/petrogustavo/status/1339175314585505792","1339175314585505792")</f>
        <v>1339175314585505792</v>
      </c>
      <c r="F12807" s="7" t="s">
        <v>17</v>
      </c>
      <c r="G12807" s="7">
        <v>4018839</v>
      </c>
      <c r="H12807" s="7">
        <v>2471</v>
      </c>
      <c r="I12807" s="7">
        <v>1</v>
      </c>
      <c r="J12807" s="7">
        <v>1</v>
      </c>
      <c r="K12807" s="7" t="s">
        <v>18</v>
      </c>
      <c r="L12807" s="8">
        <v>39987.315405092595</v>
      </c>
      <c r="M12807" s="9" t="s">
        <v>19</v>
      </c>
      <c r="N12807" s="9" t="s">
        <v>20</v>
      </c>
      <c r="O12807" s="6" t="str">
        <f>HYPERLINK("https://pbs.twimg.com/profile_images/962471262747529216/Uo8lOkRJ_normal.jpg","View")</f>
        <v>View</v>
      </c>
      <c r="P12807" s="7"/>
    </row>
    <row r="12808" spans="1:16">
      <c r="A12808" s="3">
        <v>44181.723599537036</v>
      </c>
      <c r="B12808" s="4" t="str">
        <f>HYPERLINK("https://twitter.com/petrogustavo","@petrogustavo")</f>
        <v>@petrogustavo</v>
      </c>
      <c r="C12808" s="5" t="s">
        <v>16</v>
      </c>
      <c r="D12808" s="5" t="s">
        <v>12324</v>
      </c>
      <c r="E12808" s="6" t="str">
        <f>HYPERLINK("https://twitter.com/petrogustavo/status/1339176443973148672","1339176443973148672")</f>
        <v>1339176443973148672</v>
      </c>
      <c r="F12808" s="7" t="s">
        <v>17</v>
      </c>
      <c r="G12808" s="7">
        <v>4018848</v>
      </c>
      <c r="H12808" s="7">
        <v>2471</v>
      </c>
      <c r="I12808" s="7">
        <v>46</v>
      </c>
      <c r="J12808" s="7">
        <v>118</v>
      </c>
      <c r="K12808" s="7" t="s">
        <v>18</v>
      </c>
      <c r="L12808" s="8">
        <v>39987.315405092595</v>
      </c>
      <c r="M12808" s="9" t="s">
        <v>19</v>
      </c>
      <c r="N12808" s="9" t="s">
        <v>20</v>
      </c>
      <c r="O12808" s="6" t="str">
        <f>HYPERLINK("https://pbs.twimg.com/profile_images/962471262747529216/Uo8lOkRJ_normal.jpg","View")</f>
        <v>View</v>
      </c>
      <c r="P12808" s="7"/>
    </row>
    <row r="12809" spans="1:16">
      <c r="A12809" s="3">
        <v>44181.72592592593</v>
      </c>
      <c r="B12809" s="4" t="str">
        <f>HYPERLINK("https://twitter.com/petrogustavo","@petrogustavo")</f>
        <v>@petrogustavo</v>
      </c>
      <c r="C12809" s="5" t="s">
        <v>16</v>
      </c>
      <c r="D12809" s="5" t="s">
        <v>12325</v>
      </c>
      <c r="E12809" s="6" t="str">
        <f>HYPERLINK("https://twitter.com/petrogustavo/status/1339177284780118016","1339177284780118016")</f>
        <v>1339177284780118016</v>
      </c>
      <c r="F12809" s="7" t="s">
        <v>17</v>
      </c>
      <c r="G12809" s="7">
        <v>4018848</v>
      </c>
      <c r="H12809" s="7">
        <v>2471</v>
      </c>
      <c r="I12809" s="7">
        <v>175</v>
      </c>
      <c r="J12809" s="7">
        <v>525</v>
      </c>
      <c r="K12809" s="7" t="s">
        <v>18</v>
      </c>
      <c r="L12809" s="8">
        <v>39987.315405092595</v>
      </c>
      <c r="M12809" s="9" t="s">
        <v>19</v>
      </c>
      <c r="N12809" s="9" t="s">
        <v>20</v>
      </c>
      <c r="O12809" s="6" t="str">
        <f>HYPERLINK("https://pbs.twimg.com/profile_images/962471262747529216/Uo8lOkRJ_normal.jpg","View")</f>
        <v>View</v>
      </c>
      <c r="P12809" s="7"/>
    </row>
    <row r="12810" spans="1:16">
      <c r="A12810" s="3">
        <v>44181.732638888891</v>
      </c>
      <c r="B12810" s="4" t="str">
        <f>HYPERLINK("https://twitter.com/petrogustavo","@petrogustavo")</f>
        <v>@petrogustavo</v>
      </c>
      <c r="C12810" s="5" t="s">
        <v>16</v>
      </c>
      <c r="D12810" s="5" t="s">
        <v>12326</v>
      </c>
      <c r="E12810" s="6" t="str">
        <f>HYPERLINK("https://twitter.com/petrogustavo/status/1339179718998970368","1339179718998970368")</f>
        <v>1339179718998970368</v>
      </c>
      <c r="F12810" s="7" t="s">
        <v>17</v>
      </c>
      <c r="G12810" s="7">
        <v>4018848</v>
      </c>
      <c r="H12810" s="7">
        <v>2471</v>
      </c>
      <c r="I12810" s="7">
        <v>23</v>
      </c>
      <c r="J12810" s="7">
        <v>77</v>
      </c>
      <c r="K12810" s="7" t="s">
        <v>18</v>
      </c>
      <c r="L12810" s="8">
        <v>39987.315405092595</v>
      </c>
      <c r="M12810" s="9" t="s">
        <v>19</v>
      </c>
      <c r="N12810" s="9" t="s">
        <v>20</v>
      </c>
      <c r="O12810" s="6" t="str">
        <f>HYPERLINK("https://pbs.twimg.com/profile_images/962471262747529216/Uo8lOkRJ_normal.jpg","View")</f>
        <v>View</v>
      </c>
      <c r="P12810" s="7"/>
    </row>
    <row r="12811" spans="1:16">
      <c r="A12811" s="3">
        <v>44181.738657407404</v>
      </c>
      <c r="B12811" s="4" t="str">
        <f>HYPERLINK("https://twitter.com/petrogustavo","@petrogustavo")</f>
        <v>@petrogustavo</v>
      </c>
      <c r="C12811" s="5" t="s">
        <v>16</v>
      </c>
      <c r="D12811" s="5" t="s">
        <v>12327</v>
      </c>
      <c r="E12811" s="6" t="str">
        <f>HYPERLINK("https://twitter.com/petrogustavo/status/1339181899047186436","1339181899047186436")</f>
        <v>1339181899047186436</v>
      </c>
      <c r="F12811" s="7" t="s">
        <v>17</v>
      </c>
      <c r="G12811" s="7">
        <v>4018848</v>
      </c>
      <c r="H12811" s="7">
        <v>2471</v>
      </c>
      <c r="I12811" s="7">
        <v>5</v>
      </c>
      <c r="J12811" s="7">
        <v>0</v>
      </c>
      <c r="K12811" s="7" t="s">
        <v>18</v>
      </c>
      <c r="L12811" s="8">
        <v>39987.315405092595</v>
      </c>
      <c r="M12811" s="9" t="s">
        <v>19</v>
      </c>
      <c r="N12811" s="9" t="s">
        <v>20</v>
      </c>
      <c r="O12811" s="6" t="str">
        <f>HYPERLINK("https://pbs.twimg.com/profile_images/962471262747529216/Uo8lOkRJ_normal.jpg","View")</f>
        <v>View</v>
      </c>
      <c r="P12811" s="7"/>
    </row>
    <row r="12812" spans="1:16">
      <c r="A12812" s="3">
        <v>44181.74046296296</v>
      </c>
      <c r="B12812" s="4" t="str">
        <f>HYPERLINK("https://twitter.com/petrogustavo","@petrogustavo")</f>
        <v>@petrogustavo</v>
      </c>
      <c r="C12812" s="5" t="s">
        <v>16</v>
      </c>
      <c r="D12812" s="5" t="s">
        <v>12328</v>
      </c>
      <c r="E12812" s="6" t="str">
        <f>HYPERLINK("https://twitter.com/petrogustavo/status/1339182552700030983","1339182552700030983")</f>
        <v>1339182552700030983</v>
      </c>
      <c r="F12812" s="7" t="s">
        <v>17</v>
      </c>
      <c r="G12812" s="7">
        <v>4018848</v>
      </c>
      <c r="H12812" s="7">
        <v>2471</v>
      </c>
      <c r="I12812" s="7">
        <v>5</v>
      </c>
      <c r="J12812" s="7">
        <v>9</v>
      </c>
      <c r="K12812" s="7" t="s">
        <v>18</v>
      </c>
      <c r="L12812" s="8">
        <v>39987.315405092595</v>
      </c>
      <c r="M12812" s="9" t="s">
        <v>19</v>
      </c>
      <c r="N12812" s="9" t="s">
        <v>20</v>
      </c>
      <c r="O12812" s="6" t="str">
        <f>HYPERLINK("https://pbs.twimg.com/profile_images/962471262747529216/Uo8lOkRJ_normal.jpg","View")</f>
        <v>View</v>
      </c>
      <c r="P12812" s="7"/>
    </row>
    <row r="12813" spans="1:16">
      <c r="A12813" s="3">
        <v>44181.746574074074</v>
      </c>
      <c r="B12813" s="4" t="str">
        <f>HYPERLINK("https://twitter.com/petrogustavo","@petrogustavo")</f>
        <v>@petrogustavo</v>
      </c>
      <c r="C12813" s="5" t="s">
        <v>16</v>
      </c>
      <c r="D12813" s="5" t="s">
        <v>12329</v>
      </c>
      <c r="E12813" s="6" t="str">
        <f>HYPERLINK("https://twitter.com/petrogustavo/status/1339184767204536320","1339184767204536320")</f>
        <v>1339184767204536320</v>
      </c>
      <c r="F12813" s="7" t="s">
        <v>17</v>
      </c>
      <c r="G12813" s="7">
        <v>4018859</v>
      </c>
      <c r="H12813" s="7">
        <v>2471</v>
      </c>
      <c r="I12813" s="7">
        <v>111</v>
      </c>
      <c r="J12813" s="7">
        <v>220</v>
      </c>
      <c r="K12813" s="7" t="s">
        <v>18</v>
      </c>
      <c r="L12813" s="8">
        <v>39987.315405092595</v>
      </c>
      <c r="M12813" s="9" t="s">
        <v>19</v>
      </c>
      <c r="N12813" s="9" t="s">
        <v>20</v>
      </c>
      <c r="O12813" s="6" t="str">
        <f>HYPERLINK("https://pbs.twimg.com/profile_images/962471262747529216/Uo8lOkRJ_normal.jpg","View")</f>
        <v>View</v>
      </c>
      <c r="P12813" s="7"/>
    </row>
    <row r="12814" spans="1:16">
      <c r="A12814" s="3">
        <v>44181.864293981482</v>
      </c>
      <c r="B12814" s="4" t="str">
        <f>HYPERLINK("https://twitter.com/petrogustavo","@petrogustavo")</f>
        <v>@petrogustavo</v>
      </c>
      <c r="C12814" s="5" t="s">
        <v>16</v>
      </c>
      <c r="D12814" s="5" t="s">
        <v>12330</v>
      </c>
      <c r="E12814" s="6" t="str">
        <f>HYPERLINK("https://twitter.com/petrogustavo/status/1339227429710286848","1339227429710286848")</f>
        <v>1339227429710286848</v>
      </c>
      <c r="F12814" s="7" t="s">
        <v>17</v>
      </c>
      <c r="G12814" s="7">
        <v>4018901</v>
      </c>
      <c r="H12814" s="7">
        <v>2471</v>
      </c>
      <c r="I12814" s="7">
        <v>24</v>
      </c>
      <c r="J12814" s="7">
        <v>57</v>
      </c>
      <c r="K12814" s="7" t="s">
        <v>18</v>
      </c>
      <c r="L12814" s="8">
        <v>39987.315405092595</v>
      </c>
      <c r="M12814" s="9" t="s">
        <v>19</v>
      </c>
      <c r="N12814" s="9" t="s">
        <v>20</v>
      </c>
      <c r="O12814" s="6" t="str">
        <f>HYPERLINK("https://pbs.twimg.com/profile_images/962471262747529216/Uo8lOkRJ_normal.jpg","View")</f>
        <v>View</v>
      </c>
      <c r="P12814" s="7"/>
    </row>
    <row r="12815" spans="1:16">
      <c r="A12815" s="3">
        <v>44181.867430555554</v>
      </c>
      <c r="B12815" s="4" t="str">
        <f>HYPERLINK("https://twitter.com/petrogustavo","@petrogustavo")</f>
        <v>@petrogustavo</v>
      </c>
      <c r="C12815" s="5" t="s">
        <v>16</v>
      </c>
      <c r="D12815" s="5" t="s">
        <v>12331</v>
      </c>
      <c r="E12815" s="6" t="str">
        <f>HYPERLINK("https://twitter.com/petrogustavo/status/1339228566026915843","1339228566026915843")</f>
        <v>1339228566026915843</v>
      </c>
      <c r="F12815" s="7" t="s">
        <v>17</v>
      </c>
      <c r="G12815" s="7">
        <v>4018912</v>
      </c>
      <c r="H12815" s="7">
        <v>2471</v>
      </c>
      <c r="I12815" s="7">
        <v>389</v>
      </c>
      <c r="J12815" s="7">
        <v>0</v>
      </c>
      <c r="K12815" s="7" t="s">
        <v>18</v>
      </c>
      <c r="L12815" s="8">
        <v>39987.315405092595</v>
      </c>
      <c r="M12815" s="9" t="s">
        <v>19</v>
      </c>
      <c r="N12815" s="9" t="s">
        <v>20</v>
      </c>
      <c r="O12815" s="6" t="str">
        <f>HYPERLINK("https://pbs.twimg.com/profile_images/962471262747529216/Uo8lOkRJ_normal.jpg","View")</f>
        <v>View</v>
      </c>
      <c r="P12815" s="7"/>
    </row>
    <row r="12816" spans="1:16">
      <c r="A12816" s="3">
        <v>44181.901388888888</v>
      </c>
      <c r="B12816" s="4" t="str">
        <f>HYPERLINK("https://twitter.com/petrogustavo","@petrogustavo")</f>
        <v>@petrogustavo</v>
      </c>
      <c r="C12816" s="5" t="s">
        <v>16</v>
      </c>
      <c r="D12816" s="5" t="s">
        <v>12332</v>
      </c>
      <c r="E12816" s="6" t="str">
        <f>HYPERLINK("https://twitter.com/petrogustavo/status/1339240872739790849","1339240872739790849")</f>
        <v>1339240872739790849</v>
      </c>
      <c r="F12816" s="7" t="s">
        <v>17</v>
      </c>
      <c r="G12816" s="7">
        <v>4018919</v>
      </c>
      <c r="H12816" s="7">
        <v>2471</v>
      </c>
      <c r="I12816" s="7">
        <v>11</v>
      </c>
      <c r="J12816" s="7">
        <v>0</v>
      </c>
      <c r="K12816" s="7" t="s">
        <v>18</v>
      </c>
      <c r="L12816" s="8">
        <v>39987.315405092595</v>
      </c>
      <c r="M12816" s="9" t="s">
        <v>19</v>
      </c>
      <c r="N12816" s="9" t="s">
        <v>20</v>
      </c>
      <c r="O12816" s="6" t="str">
        <f>HYPERLINK("https://pbs.twimg.com/profile_images/962471262747529216/Uo8lOkRJ_normal.jpg","View")</f>
        <v>View</v>
      </c>
      <c r="P12816" s="7"/>
    </row>
    <row r="12817" spans="1:16">
      <c r="A12817" s="3">
        <v>44181.90148148148</v>
      </c>
      <c r="B12817" s="4" t="str">
        <f>HYPERLINK("https://twitter.com/petrogustavo","@petrogustavo")</f>
        <v>@petrogustavo</v>
      </c>
      <c r="C12817" s="5" t="s">
        <v>16</v>
      </c>
      <c r="D12817" s="5" t="s">
        <v>12333</v>
      </c>
      <c r="E12817" s="6" t="str">
        <f>HYPERLINK("https://twitter.com/petrogustavo/status/1339240907779039232","1339240907779039232")</f>
        <v>1339240907779039232</v>
      </c>
      <c r="F12817" s="7" t="s">
        <v>17</v>
      </c>
      <c r="G12817" s="7">
        <v>4018919</v>
      </c>
      <c r="H12817" s="7">
        <v>2471</v>
      </c>
      <c r="I12817" s="7">
        <v>11</v>
      </c>
      <c r="J12817" s="7">
        <v>0</v>
      </c>
      <c r="K12817" s="7" t="s">
        <v>18</v>
      </c>
      <c r="L12817" s="8">
        <v>39987.315405092595</v>
      </c>
      <c r="M12817" s="9" t="s">
        <v>19</v>
      </c>
      <c r="N12817" s="9" t="s">
        <v>20</v>
      </c>
      <c r="O12817" s="6" t="str">
        <f>HYPERLINK("https://pbs.twimg.com/profile_images/962471262747529216/Uo8lOkRJ_normal.jpg","View")</f>
        <v>View</v>
      </c>
      <c r="P12817" s="7"/>
    </row>
    <row r="12818" spans="1:16">
      <c r="A12818" s="3">
        <v>44182.367303240739</v>
      </c>
      <c r="B12818" s="4" t="str">
        <f>HYPERLINK("https://twitter.com/petrogustavo","@petrogustavo")</f>
        <v>@petrogustavo</v>
      </c>
      <c r="C12818" s="5" t="s">
        <v>16</v>
      </c>
      <c r="D12818" s="5" t="s">
        <v>12334</v>
      </c>
      <c r="E12818" s="6" t="str">
        <f>HYPERLINK("https://twitter.com/petrogustavo/status/1339409714220851201","1339409714220851201")</f>
        <v>1339409714220851201</v>
      </c>
      <c r="F12818" s="7" t="s">
        <v>17</v>
      </c>
      <c r="G12818" s="7">
        <v>4019129</v>
      </c>
      <c r="H12818" s="7">
        <v>2470</v>
      </c>
      <c r="I12818" s="7">
        <v>227</v>
      </c>
      <c r="J12818" s="7">
        <v>775</v>
      </c>
      <c r="K12818" s="7" t="s">
        <v>18</v>
      </c>
      <c r="L12818" s="8">
        <v>39987.315405092595</v>
      </c>
      <c r="M12818" s="9" t="s">
        <v>19</v>
      </c>
      <c r="N12818" s="9" t="s">
        <v>20</v>
      </c>
      <c r="O12818" s="6" t="str">
        <f>HYPERLINK("https://pbs.twimg.com/profile_images/962471262747529216/Uo8lOkRJ_normal.jpg","View")</f>
        <v>View</v>
      </c>
      <c r="P12818" s="7"/>
    </row>
    <row r="12819" spans="1:16">
      <c r="A12819" s="3">
        <v>44182.748460648145</v>
      </c>
      <c r="B12819" s="4" t="str">
        <f>HYPERLINK("https://twitter.com/petrogustavo","@petrogustavo")</f>
        <v>@petrogustavo</v>
      </c>
      <c r="C12819" s="5" t="s">
        <v>16</v>
      </c>
      <c r="D12819" s="5" t="s">
        <v>12335</v>
      </c>
      <c r="E12819" s="6" t="str">
        <f>HYPERLINK("https://twitter.com/petrogustavo/status/1339547842218758146","1339547842218758146")</f>
        <v>1339547842218758146</v>
      </c>
      <c r="F12819" s="7" t="s">
        <v>17</v>
      </c>
      <c r="G12819" s="7">
        <v>4019190</v>
      </c>
      <c r="H12819" s="7">
        <v>2470</v>
      </c>
      <c r="I12819" s="7">
        <v>923</v>
      </c>
      <c r="J12819" s="7">
        <v>0</v>
      </c>
      <c r="K12819" s="7" t="s">
        <v>18</v>
      </c>
      <c r="L12819" s="8">
        <v>39987.315405092595</v>
      </c>
      <c r="M12819" s="9" t="s">
        <v>19</v>
      </c>
      <c r="N12819" s="9" t="s">
        <v>20</v>
      </c>
      <c r="O12819" s="6" t="str">
        <f>HYPERLINK("https://pbs.twimg.com/profile_images/962471262747529216/Uo8lOkRJ_normal.jpg","View")</f>
        <v>View</v>
      </c>
      <c r="P12819" s="7"/>
    </row>
    <row r="12820" spans="1:16">
      <c r="A12820" s="3">
        <v>44182.748807870375</v>
      </c>
      <c r="B12820" s="4" t="str">
        <f>HYPERLINK("https://twitter.com/petrogustavo","@petrogustavo")</f>
        <v>@petrogustavo</v>
      </c>
      <c r="C12820" s="5" t="s">
        <v>16</v>
      </c>
      <c r="D12820" s="5" t="s">
        <v>12336</v>
      </c>
      <c r="E12820" s="6" t="str">
        <f>HYPERLINK("https://twitter.com/petrogustavo/status/1339547966579879939","1339547966579879939")</f>
        <v>1339547966579879939</v>
      </c>
      <c r="F12820" s="7" t="s">
        <v>17</v>
      </c>
      <c r="G12820" s="7">
        <v>4019190</v>
      </c>
      <c r="H12820" s="7">
        <v>2470</v>
      </c>
      <c r="I12820" s="7">
        <v>116</v>
      </c>
      <c r="J12820" s="7">
        <v>0</v>
      </c>
      <c r="K12820" s="7" t="s">
        <v>18</v>
      </c>
      <c r="L12820" s="8">
        <v>39987.315405092595</v>
      </c>
      <c r="M12820" s="9" t="s">
        <v>19</v>
      </c>
      <c r="N12820" s="9" t="s">
        <v>20</v>
      </c>
      <c r="O12820" s="6" t="str">
        <f>HYPERLINK("https://pbs.twimg.com/profile_images/962471262747529216/Uo8lOkRJ_normal.jpg","View")</f>
        <v>View</v>
      </c>
      <c r="P12820" s="7"/>
    </row>
    <row r="12821" spans="1:16">
      <c r="A12821" s="3">
        <v>44182.75172453704</v>
      </c>
      <c r="B12821" s="4" t="str">
        <f>HYPERLINK("https://twitter.com/petrogustavo","@petrogustavo")</f>
        <v>@petrogustavo</v>
      </c>
      <c r="C12821" s="5" t="s">
        <v>16</v>
      </c>
      <c r="D12821" s="5" t="s">
        <v>12337</v>
      </c>
      <c r="E12821" s="6" t="str">
        <f>HYPERLINK("https://twitter.com/petrogustavo/status/1339549025549348864","1339549025549348864")</f>
        <v>1339549025549348864</v>
      </c>
      <c r="F12821" s="7" t="s">
        <v>17</v>
      </c>
      <c r="G12821" s="7">
        <v>4019190</v>
      </c>
      <c r="H12821" s="7">
        <v>2470</v>
      </c>
      <c r="I12821" s="7">
        <v>107</v>
      </c>
      <c r="J12821" s="7">
        <v>393</v>
      </c>
      <c r="K12821" s="7" t="s">
        <v>18</v>
      </c>
      <c r="L12821" s="8">
        <v>39987.315405092595</v>
      </c>
      <c r="M12821" s="9" t="s">
        <v>19</v>
      </c>
      <c r="N12821" s="9" t="s">
        <v>20</v>
      </c>
      <c r="O12821" s="6" t="str">
        <f>HYPERLINK("https://pbs.twimg.com/profile_images/962471262747529216/Uo8lOkRJ_normal.jpg","View")</f>
        <v>View</v>
      </c>
      <c r="P12821" s="7"/>
    </row>
    <row r="12822" spans="1:16">
      <c r="A12822" s="3">
        <v>44182.751736111109</v>
      </c>
      <c r="B12822" s="4" t="str">
        <f>HYPERLINK("https://twitter.com/petrogustavo","@petrogustavo")</f>
        <v>@petrogustavo</v>
      </c>
      <c r="C12822" s="5" t="s">
        <v>16</v>
      </c>
      <c r="D12822" s="5" t="s">
        <v>12338</v>
      </c>
      <c r="E12822" s="6" t="str">
        <f>HYPERLINK("https://twitter.com/petrogustavo/status/1339549027118051331","1339549027118051331")</f>
        <v>1339549027118051331</v>
      </c>
      <c r="F12822" s="7" t="s">
        <v>17</v>
      </c>
      <c r="G12822" s="7">
        <v>4019190</v>
      </c>
      <c r="H12822" s="7">
        <v>2470</v>
      </c>
      <c r="I12822" s="7">
        <v>66</v>
      </c>
      <c r="J12822" s="7">
        <v>264</v>
      </c>
      <c r="K12822" s="7" t="s">
        <v>18</v>
      </c>
      <c r="L12822" s="8">
        <v>39987.315405092595</v>
      </c>
      <c r="M12822" s="9" t="s">
        <v>19</v>
      </c>
      <c r="N12822" s="9" t="s">
        <v>20</v>
      </c>
      <c r="O12822" s="6" t="str">
        <f>HYPERLINK("https://pbs.twimg.com/profile_images/962471262747529216/Uo8lOkRJ_normal.jpg","View")</f>
        <v>View</v>
      </c>
      <c r="P12822" s="7"/>
    </row>
    <row r="12823" spans="1:16">
      <c r="A12823" s="3">
        <v>44182.756099537037</v>
      </c>
      <c r="B12823" s="4" t="str">
        <f>HYPERLINK("https://twitter.com/petrogustavo","@petrogustavo")</f>
        <v>@petrogustavo</v>
      </c>
      <c r="C12823" s="5" t="s">
        <v>16</v>
      </c>
      <c r="D12823" s="5" t="s">
        <v>12339</v>
      </c>
      <c r="E12823" s="6" t="str">
        <f>HYPERLINK("https://twitter.com/petrogustavo/status/1339550607506608128","1339550607506608128")</f>
        <v>1339550607506608128</v>
      </c>
      <c r="F12823" s="7" t="s">
        <v>17</v>
      </c>
      <c r="G12823" s="7">
        <v>4019190</v>
      </c>
      <c r="H12823" s="7">
        <v>2470</v>
      </c>
      <c r="I12823" s="7">
        <v>30</v>
      </c>
      <c r="J12823" s="7">
        <v>88</v>
      </c>
      <c r="K12823" s="7" t="s">
        <v>18</v>
      </c>
      <c r="L12823" s="8">
        <v>39987.315405092595</v>
      </c>
      <c r="M12823" s="9" t="s">
        <v>19</v>
      </c>
      <c r="N12823" s="9" t="s">
        <v>20</v>
      </c>
      <c r="O12823" s="6" t="str">
        <f>HYPERLINK("https://pbs.twimg.com/profile_images/962471262747529216/Uo8lOkRJ_normal.jpg","View")</f>
        <v>View</v>
      </c>
      <c r="P12823" s="7"/>
    </row>
    <row r="12824" spans="1:16">
      <c r="A12824" s="3">
        <v>44182.75818287037</v>
      </c>
      <c r="B12824" s="4" t="str">
        <f>HYPERLINK("https://twitter.com/petrogustavo","@petrogustavo")</f>
        <v>@petrogustavo</v>
      </c>
      <c r="C12824" s="5" t="s">
        <v>16</v>
      </c>
      <c r="D12824" s="5" t="s">
        <v>12340</v>
      </c>
      <c r="E12824" s="6" t="str">
        <f>HYPERLINK("https://twitter.com/petrogustavo/status/1339551363081113600","1339551363081113600")</f>
        <v>1339551363081113600</v>
      </c>
      <c r="F12824" s="7" t="s">
        <v>17</v>
      </c>
      <c r="G12824" s="7">
        <v>4019190</v>
      </c>
      <c r="H12824" s="7">
        <v>2470</v>
      </c>
      <c r="I12824" s="7">
        <v>72</v>
      </c>
      <c r="J12824" s="7">
        <v>252</v>
      </c>
      <c r="K12824" s="7" t="s">
        <v>18</v>
      </c>
      <c r="L12824" s="8">
        <v>39987.315405092595</v>
      </c>
      <c r="M12824" s="9" t="s">
        <v>19</v>
      </c>
      <c r="N12824" s="9" t="s">
        <v>20</v>
      </c>
      <c r="O12824" s="6" t="str">
        <f>HYPERLINK("https://pbs.twimg.com/profile_images/962471262747529216/Uo8lOkRJ_normal.jpg","View")</f>
        <v>View</v>
      </c>
      <c r="P12824" s="7"/>
    </row>
    <row r="12825" spans="1:16">
      <c r="A12825" s="3">
        <v>44182.76699074074</v>
      </c>
      <c r="B12825" s="4" t="str">
        <f>HYPERLINK("https://twitter.com/petrogustavo","@petrogustavo")</f>
        <v>@petrogustavo</v>
      </c>
      <c r="C12825" s="5" t="s">
        <v>16</v>
      </c>
      <c r="D12825" s="5" t="s">
        <v>12341</v>
      </c>
      <c r="E12825" s="6" t="str">
        <f>HYPERLINK("https://twitter.com/petrogustavo/status/1339554554396991488","1339554554396991488")</f>
        <v>1339554554396991488</v>
      </c>
      <c r="F12825" s="7" t="s">
        <v>17</v>
      </c>
      <c r="G12825" s="7">
        <v>4019193</v>
      </c>
      <c r="H12825" s="7">
        <v>2470</v>
      </c>
      <c r="I12825" s="7">
        <v>35</v>
      </c>
      <c r="J12825" s="7">
        <v>0</v>
      </c>
      <c r="K12825" s="7" t="s">
        <v>18</v>
      </c>
      <c r="L12825" s="8">
        <v>39987.315405092595</v>
      </c>
      <c r="M12825" s="9" t="s">
        <v>19</v>
      </c>
      <c r="N12825" s="9" t="s">
        <v>20</v>
      </c>
      <c r="O12825" s="6" t="str">
        <f>HYPERLINK("https://pbs.twimg.com/profile_images/962471262747529216/Uo8lOkRJ_normal.jpg","View")</f>
        <v>View</v>
      </c>
      <c r="P12825" s="7"/>
    </row>
    <row r="12826" spans="1:16">
      <c r="A12826" s="3">
        <v>44182.769270833334</v>
      </c>
      <c r="B12826" s="4" t="str">
        <f>HYPERLINK("https://twitter.com/petrogustavo","@petrogustavo")</f>
        <v>@petrogustavo</v>
      </c>
      <c r="C12826" s="5" t="s">
        <v>16</v>
      </c>
      <c r="D12826" s="5" t="s">
        <v>12342</v>
      </c>
      <c r="E12826" s="6" t="str">
        <f>HYPERLINK("https://twitter.com/petrogustavo/status/1339555381039800322","1339555381039800322")</f>
        <v>1339555381039800322</v>
      </c>
      <c r="F12826" s="7" t="s">
        <v>17</v>
      </c>
      <c r="G12826" s="7">
        <v>4019193</v>
      </c>
      <c r="H12826" s="7">
        <v>2470</v>
      </c>
      <c r="I12826" s="7">
        <v>87</v>
      </c>
      <c r="J12826" s="7">
        <v>194</v>
      </c>
      <c r="K12826" s="7" t="s">
        <v>18</v>
      </c>
      <c r="L12826" s="8">
        <v>39987.315405092595</v>
      </c>
      <c r="M12826" s="9" t="s">
        <v>19</v>
      </c>
      <c r="N12826" s="9" t="s">
        <v>20</v>
      </c>
      <c r="O12826" s="6" t="str">
        <f>HYPERLINK("https://pbs.twimg.com/profile_images/962471262747529216/Uo8lOkRJ_normal.jpg","View")</f>
        <v>View</v>
      </c>
      <c r="P12826" s="7"/>
    </row>
    <row r="12827" spans="1:16">
      <c r="A12827" s="3">
        <v>44182.776145833333</v>
      </c>
      <c r="B12827" s="4" t="str">
        <f>HYPERLINK("https://twitter.com/petrogustavo","@petrogustavo")</f>
        <v>@petrogustavo</v>
      </c>
      <c r="C12827" s="5" t="s">
        <v>16</v>
      </c>
      <c r="D12827" s="5" t="s">
        <v>12343</v>
      </c>
      <c r="E12827" s="6" t="str">
        <f>HYPERLINK("https://twitter.com/petrogustavo/status/1339557875111374850","1339557875111374850")</f>
        <v>1339557875111374850</v>
      </c>
      <c r="F12827" s="7" t="s">
        <v>17</v>
      </c>
      <c r="G12827" s="7">
        <v>4019193</v>
      </c>
      <c r="H12827" s="7">
        <v>2470</v>
      </c>
      <c r="I12827" s="7">
        <v>10</v>
      </c>
      <c r="J12827" s="7">
        <v>0</v>
      </c>
      <c r="K12827" s="7" t="s">
        <v>18</v>
      </c>
      <c r="L12827" s="8">
        <v>39987.315405092595</v>
      </c>
      <c r="M12827" s="9" t="s">
        <v>19</v>
      </c>
      <c r="N12827" s="9" t="s">
        <v>20</v>
      </c>
      <c r="O12827" s="6" t="str">
        <f>HYPERLINK("https://pbs.twimg.com/profile_images/962471262747529216/Uo8lOkRJ_normal.jpg","View")</f>
        <v>View</v>
      </c>
      <c r="P12827" s="7"/>
    </row>
    <row r="12828" spans="1:16">
      <c r="A12828" s="3">
        <v>44182.781504629631</v>
      </c>
      <c r="B12828" s="4" t="str">
        <f>HYPERLINK("https://twitter.com/petrogustavo","@petrogustavo")</f>
        <v>@petrogustavo</v>
      </c>
      <c r="C12828" s="5" t="s">
        <v>16</v>
      </c>
      <c r="D12828" s="5" t="s">
        <v>12344</v>
      </c>
      <c r="E12828" s="6" t="str">
        <f>HYPERLINK("https://twitter.com/petrogustavo/status/1339559815669043200","1339559815669043200")</f>
        <v>1339559815669043200</v>
      </c>
      <c r="F12828" s="7" t="s">
        <v>17</v>
      </c>
      <c r="G12828" s="7">
        <v>4019193</v>
      </c>
      <c r="H12828" s="7">
        <v>2470</v>
      </c>
      <c r="I12828" s="7">
        <v>15</v>
      </c>
      <c r="J12828" s="7">
        <v>52</v>
      </c>
      <c r="K12828" s="7" t="s">
        <v>18</v>
      </c>
      <c r="L12828" s="8">
        <v>39987.315405092595</v>
      </c>
      <c r="M12828" s="9" t="s">
        <v>19</v>
      </c>
      <c r="N12828" s="9" t="s">
        <v>20</v>
      </c>
      <c r="O12828" s="6" t="str">
        <f>HYPERLINK("https://pbs.twimg.com/profile_images/962471262747529216/Uo8lOkRJ_normal.jpg","View")</f>
        <v>View</v>
      </c>
      <c r="P12828" s="7"/>
    </row>
    <row r="12829" spans="1:16">
      <c r="A12829" s="3">
        <v>44182.781504629631</v>
      </c>
      <c r="B12829" s="4" t="str">
        <f>HYPERLINK("https://twitter.com/petrogustavo","@petrogustavo")</f>
        <v>@petrogustavo</v>
      </c>
      <c r="C12829" s="5" t="s">
        <v>16</v>
      </c>
      <c r="D12829" s="5" t="s">
        <v>12345</v>
      </c>
      <c r="E12829" s="6" t="str">
        <f>HYPERLINK("https://twitter.com/petrogustavo/status/1339559816990175233","1339559816990175233")</f>
        <v>1339559816990175233</v>
      </c>
      <c r="F12829" s="7" t="s">
        <v>17</v>
      </c>
      <c r="G12829" s="7">
        <v>4019193</v>
      </c>
      <c r="H12829" s="7">
        <v>2470</v>
      </c>
      <c r="I12829" s="7">
        <v>7</v>
      </c>
      <c r="J12829" s="7">
        <v>41</v>
      </c>
      <c r="K12829" s="7" t="s">
        <v>18</v>
      </c>
      <c r="L12829" s="8">
        <v>39987.315405092595</v>
      </c>
      <c r="M12829" s="9" t="s">
        <v>19</v>
      </c>
      <c r="N12829" s="9" t="s">
        <v>20</v>
      </c>
      <c r="O12829" s="6" t="str">
        <f>HYPERLINK("https://pbs.twimg.com/profile_images/962471262747529216/Uo8lOkRJ_normal.jpg","View")</f>
        <v>View</v>
      </c>
      <c r="P12829" s="7"/>
    </row>
    <row r="12830" spans="1:16">
      <c r="A12830" s="3">
        <v>44182.7815162037</v>
      </c>
      <c r="B12830" s="4" t="str">
        <f>HYPERLINK("https://twitter.com/petrogustavo","@petrogustavo")</f>
        <v>@petrogustavo</v>
      </c>
      <c r="C12830" s="5" t="s">
        <v>16</v>
      </c>
      <c r="D12830" s="5" t="s">
        <v>12346</v>
      </c>
      <c r="E12830" s="6" t="str">
        <f>HYPERLINK("https://twitter.com/petrogustavo/status/1339559818697302016","1339559818697302016")</f>
        <v>1339559818697302016</v>
      </c>
      <c r="F12830" s="7" t="s">
        <v>17</v>
      </c>
      <c r="G12830" s="7">
        <v>4019193</v>
      </c>
      <c r="H12830" s="7">
        <v>2470</v>
      </c>
      <c r="I12830" s="7">
        <v>7</v>
      </c>
      <c r="J12830" s="7">
        <v>40</v>
      </c>
      <c r="K12830" s="7" t="s">
        <v>18</v>
      </c>
      <c r="L12830" s="8">
        <v>39987.315405092595</v>
      </c>
      <c r="M12830" s="9" t="s">
        <v>19</v>
      </c>
      <c r="N12830" s="9" t="s">
        <v>20</v>
      </c>
      <c r="O12830" s="6" t="str">
        <f>HYPERLINK("https://pbs.twimg.com/profile_images/962471262747529216/Uo8lOkRJ_normal.jpg","View")</f>
        <v>View</v>
      </c>
      <c r="P12830" s="7"/>
    </row>
    <row r="12831" spans="1:16">
      <c r="A12831" s="3">
        <v>44182.920289351852</v>
      </c>
      <c r="B12831" s="4" t="str">
        <f>HYPERLINK("https://twitter.com/petrogustavo","@petrogustavo")</f>
        <v>@petrogustavo</v>
      </c>
      <c r="C12831" s="5" t="s">
        <v>16</v>
      </c>
      <c r="D12831" s="5" t="s">
        <v>12347</v>
      </c>
      <c r="E12831" s="6" t="str">
        <f>HYPERLINK("https://twitter.com/petrogustavo/status/1339610109815734275","1339610109815734275")</f>
        <v>1339610109815734275</v>
      </c>
      <c r="F12831" s="7" t="s">
        <v>17</v>
      </c>
      <c r="G12831" s="7">
        <v>4019245</v>
      </c>
      <c r="H12831" s="7">
        <v>2470</v>
      </c>
      <c r="I12831" s="7">
        <v>9</v>
      </c>
      <c r="J12831" s="7">
        <v>0</v>
      </c>
      <c r="K12831" s="7" t="s">
        <v>18</v>
      </c>
      <c r="L12831" s="8">
        <v>39987.315405092595</v>
      </c>
      <c r="M12831" s="9" t="s">
        <v>19</v>
      </c>
      <c r="N12831" s="9" t="s">
        <v>20</v>
      </c>
      <c r="O12831" s="6" t="str">
        <f>HYPERLINK("https://pbs.twimg.com/profile_images/962471262747529216/Uo8lOkRJ_normal.jpg","View")</f>
        <v>View</v>
      </c>
      <c r="P12831" s="7"/>
    </row>
    <row r="12832" spans="1:16">
      <c r="A12832" s="3">
        <v>44182.925740740742</v>
      </c>
      <c r="B12832" s="4" t="str">
        <f>HYPERLINK("https://twitter.com/petrogustavo","@petrogustavo")</f>
        <v>@petrogustavo</v>
      </c>
      <c r="C12832" s="5" t="s">
        <v>16</v>
      </c>
      <c r="D12832" s="5" t="s">
        <v>12348</v>
      </c>
      <c r="E12832" s="6" t="str">
        <f>HYPERLINK("https://twitter.com/petrogustavo/status/1339612086104690689","1339612086104690689")</f>
        <v>1339612086104690689</v>
      </c>
      <c r="F12832" s="7" t="s">
        <v>17</v>
      </c>
      <c r="G12832" s="7">
        <v>4019245</v>
      </c>
      <c r="H12832" s="7">
        <v>2470</v>
      </c>
      <c r="I12832" s="7">
        <v>16</v>
      </c>
      <c r="J12832" s="7">
        <v>51</v>
      </c>
      <c r="K12832" s="7" t="s">
        <v>18</v>
      </c>
      <c r="L12832" s="8">
        <v>39987.315405092595</v>
      </c>
      <c r="M12832" s="9" t="s">
        <v>19</v>
      </c>
      <c r="N12832" s="9" t="s">
        <v>20</v>
      </c>
      <c r="O12832" s="6" t="str">
        <f>HYPERLINK("https://pbs.twimg.com/profile_images/962471262747529216/Uo8lOkRJ_normal.jpg","View")</f>
        <v>View</v>
      </c>
      <c r="P12832" s="7"/>
    </row>
    <row r="12833" spans="1:16">
      <c r="A12833" s="3">
        <v>44183.030960648146</v>
      </c>
      <c r="B12833" s="4" t="str">
        <f>HYPERLINK("https://twitter.com/petrogustavo","@petrogustavo")</f>
        <v>@petrogustavo</v>
      </c>
      <c r="C12833" s="5" t="s">
        <v>16</v>
      </c>
      <c r="D12833" s="5" t="s">
        <v>12349</v>
      </c>
      <c r="E12833" s="6" t="str">
        <f>HYPERLINK("https://twitter.com/petrogustavo/status/1339650214605545473","1339650214605545473")</f>
        <v>1339650214605545473</v>
      </c>
      <c r="F12833" s="7" t="s">
        <v>17</v>
      </c>
      <c r="G12833" s="7">
        <v>4019260</v>
      </c>
      <c r="H12833" s="7">
        <v>2470</v>
      </c>
      <c r="I12833" s="7">
        <v>80</v>
      </c>
      <c r="J12833" s="7">
        <v>0</v>
      </c>
      <c r="K12833" s="7" t="s">
        <v>18</v>
      </c>
      <c r="L12833" s="8">
        <v>39987.315405092595</v>
      </c>
      <c r="M12833" s="9" t="s">
        <v>19</v>
      </c>
      <c r="N12833" s="9" t="s">
        <v>20</v>
      </c>
      <c r="O12833" s="6" t="str">
        <f>HYPERLINK("https://pbs.twimg.com/profile_images/962471262747529216/Uo8lOkRJ_normal.jpg","View")</f>
        <v>View</v>
      </c>
      <c r="P12833" s="7"/>
    </row>
    <row r="12834" spans="1:16">
      <c r="A12834" s="3">
        <v>44183.034189814818</v>
      </c>
      <c r="B12834" s="4" t="str">
        <f>HYPERLINK("https://twitter.com/petrogustavo","@petrogustavo")</f>
        <v>@petrogustavo</v>
      </c>
      <c r="C12834" s="5" t="s">
        <v>16</v>
      </c>
      <c r="D12834" s="5" t="s">
        <v>12350</v>
      </c>
      <c r="E12834" s="6" t="str">
        <f>HYPERLINK("https://twitter.com/petrogustavo/status/1339651384375959552","1339651384375959552")</f>
        <v>1339651384375959552</v>
      </c>
      <c r="F12834" s="7" t="s">
        <v>17</v>
      </c>
      <c r="G12834" s="7">
        <v>4019270</v>
      </c>
      <c r="H12834" s="7">
        <v>2470</v>
      </c>
      <c r="I12834" s="7">
        <v>2606</v>
      </c>
      <c r="J12834" s="7">
        <v>0</v>
      </c>
      <c r="K12834" s="7" t="s">
        <v>18</v>
      </c>
      <c r="L12834" s="8">
        <v>39987.315405092595</v>
      </c>
      <c r="M12834" s="9" t="s">
        <v>19</v>
      </c>
      <c r="N12834" s="9" t="s">
        <v>20</v>
      </c>
      <c r="O12834" s="6" t="str">
        <f>HYPERLINK("https://pbs.twimg.com/profile_images/962471262747529216/Uo8lOkRJ_normal.jpg","View")</f>
        <v>View</v>
      </c>
      <c r="P12834" s="7"/>
    </row>
    <row r="12835" spans="1:16">
      <c r="A12835" s="3">
        <v>44183.139178240745</v>
      </c>
      <c r="B12835" s="4" t="str">
        <f>HYPERLINK("https://twitter.com/petrogustavo","@petrogustavo")</f>
        <v>@petrogustavo</v>
      </c>
      <c r="C12835" s="5" t="s">
        <v>16</v>
      </c>
      <c r="D12835" s="5" t="s">
        <v>12351</v>
      </c>
      <c r="E12835" s="6" t="str">
        <f>HYPERLINK("https://twitter.com/petrogustavo/status/1339689430811090946","1339689430811090946")</f>
        <v>1339689430811090946</v>
      </c>
      <c r="F12835" s="7" t="s">
        <v>32</v>
      </c>
      <c r="G12835" s="7">
        <v>4019317</v>
      </c>
      <c r="H12835" s="7">
        <v>2470</v>
      </c>
      <c r="I12835" s="7">
        <v>118</v>
      </c>
      <c r="J12835" s="7">
        <v>0</v>
      </c>
      <c r="K12835" s="7" t="s">
        <v>18</v>
      </c>
      <c r="L12835" s="8">
        <v>39987.315405092595</v>
      </c>
      <c r="M12835" s="9" t="s">
        <v>19</v>
      </c>
      <c r="N12835" s="9" t="s">
        <v>20</v>
      </c>
      <c r="O12835" s="6" t="str">
        <f>HYPERLINK("https://pbs.twimg.com/profile_images/962471262747529216/Uo8lOkRJ_normal.jpg","View")</f>
        <v>View</v>
      </c>
      <c r="P12835" s="7"/>
    </row>
    <row r="12836" spans="1:16">
      <c r="A12836" s="3">
        <v>44183.275717592594</v>
      </c>
      <c r="B12836" s="4" t="str">
        <f>HYPERLINK("https://twitter.com/petrogustavo","@petrogustavo")</f>
        <v>@petrogustavo</v>
      </c>
      <c r="C12836" s="5" t="s">
        <v>16</v>
      </c>
      <c r="D12836" s="5" t="s">
        <v>12352</v>
      </c>
      <c r="E12836" s="6" t="str">
        <f>HYPERLINK("https://twitter.com/petrogustavo/status/1339738910864248832","1339738910864248832")</f>
        <v>1339738910864248832</v>
      </c>
      <c r="F12836" s="7" t="s">
        <v>17</v>
      </c>
      <c r="G12836" s="7">
        <v>4019373</v>
      </c>
      <c r="H12836" s="7">
        <v>2470</v>
      </c>
      <c r="I12836" s="7">
        <v>81</v>
      </c>
      <c r="J12836" s="7">
        <v>209</v>
      </c>
      <c r="K12836" s="7" t="s">
        <v>18</v>
      </c>
      <c r="L12836" s="8">
        <v>39987.315405092595</v>
      </c>
      <c r="M12836" s="9" t="s">
        <v>19</v>
      </c>
      <c r="N12836" s="9" t="s">
        <v>20</v>
      </c>
      <c r="O12836" s="6" t="str">
        <f>HYPERLINK("https://pbs.twimg.com/profile_images/962471262747529216/Uo8lOkRJ_normal.jpg","View")</f>
        <v>View</v>
      </c>
      <c r="P12836" s="7"/>
    </row>
    <row r="12837" spans="1:16">
      <c r="A12837" s="3">
        <v>44183.278761574074</v>
      </c>
      <c r="B12837" s="4" t="str">
        <f>HYPERLINK("https://twitter.com/petrogustavo","@petrogustavo")</f>
        <v>@petrogustavo</v>
      </c>
      <c r="C12837" s="5" t="s">
        <v>16</v>
      </c>
      <c r="D12837" s="5" t="s">
        <v>12353</v>
      </c>
      <c r="E12837" s="6" t="str">
        <f>HYPERLINK("https://twitter.com/petrogustavo/status/1339740014989742081","1339740014989742081")</f>
        <v>1339740014989742081</v>
      </c>
      <c r="F12837" s="7" t="s">
        <v>17</v>
      </c>
      <c r="G12837" s="7">
        <v>4019373</v>
      </c>
      <c r="H12837" s="7">
        <v>2470</v>
      </c>
      <c r="I12837" s="7">
        <v>31</v>
      </c>
      <c r="J12837" s="7">
        <v>70</v>
      </c>
      <c r="K12837" s="7" t="s">
        <v>18</v>
      </c>
      <c r="L12837" s="8">
        <v>39987.315405092595</v>
      </c>
      <c r="M12837" s="9" t="s">
        <v>19</v>
      </c>
      <c r="N12837" s="9" t="s">
        <v>20</v>
      </c>
      <c r="O12837" s="6" t="str">
        <f>HYPERLINK("https://pbs.twimg.com/profile_images/962471262747529216/Uo8lOkRJ_normal.jpg","View")</f>
        <v>View</v>
      </c>
      <c r="P12837" s="7"/>
    </row>
    <row r="12838" spans="1:16">
      <c r="A12838" s="3">
        <v>44183.284085648149</v>
      </c>
      <c r="B12838" s="4" t="str">
        <f>HYPERLINK("https://twitter.com/petrogustavo","@petrogustavo")</f>
        <v>@petrogustavo</v>
      </c>
      <c r="C12838" s="5" t="s">
        <v>16</v>
      </c>
      <c r="D12838" s="5" t="s">
        <v>12354</v>
      </c>
      <c r="E12838" s="6" t="str">
        <f>HYPERLINK("https://twitter.com/petrogustavo/status/1339741943694307328","1339741943694307328")</f>
        <v>1339741943694307328</v>
      </c>
      <c r="F12838" s="7" t="s">
        <v>17</v>
      </c>
      <c r="G12838" s="7">
        <v>4019385</v>
      </c>
      <c r="H12838" s="7">
        <v>2470</v>
      </c>
      <c r="I12838" s="7">
        <v>593</v>
      </c>
      <c r="J12838" s="7">
        <v>0</v>
      </c>
      <c r="K12838" s="7" t="s">
        <v>18</v>
      </c>
      <c r="L12838" s="8">
        <v>39987.315405092595</v>
      </c>
      <c r="M12838" s="9" t="s">
        <v>19</v>
      </c>
      <c r="N12838" s="9" t="s">
        <v>20</v>
      </c>
      <c r="O12838" s="6" t="str">
        <f>HYPERLINK("https://pbs.twimg.com/profile_images/962471262747529216/Uo8lOkRJ_normal.jpg","View")</f>
        <v>View</v>
      </c>
      <c r="P12838" s="7"/>
    </row>
    <row r="12839" spans="1:16">
      <c r="A12839" s="3">
        <v>44183.288090277776</v>
      </c>
      <c r="B12839" s="4" t="str">
        <f>HYPERLINK("https://twitter.com/petrogustavo","@petrogustavo")</f>
        <v>@petrogustavo</v>
      </c>
      <c r="C12839" s="5" t="s">
        <v>16</v>
      </c>
      <c r="D12839" s="5" t="s">
        <v>12355</v>
      </c>
      <c r="E12839" s="6" t="str">
        <f>HYPERLINK("https://twitter.com/petrogustavo/status/1339743398056615937","1339743398056615937")</f>
        <v>1339743398056615937</v>
      </c>
      <c r="F12839" s="7" t="s">
        <v>17</v>
      </c>
      <c r="G12839" s="7">
        <v>4019385</v>
      </c>
      <c r="H12839" s="7">
        <v>2470</v>
      </c>
      <c r="I12839" s="7">
        <v>86</v>
      </c>
      <c r="J12839" s="7">
        <v>0</v>
      </c>
      <c r="K12839" s="7" t="s">
        <v>18</v>
      </c>
      <c r="L12839" s="8">
        <v>39987.315405092595</v>
      </c>
      <c r="M12839" s="9" t="s">
        <v>19</v>
      </c>
      <c r="N12839" s="9" t="s">
        <v>20</v>
      </c>
      <c r="O12839" s="6" t="str">
        <f>HYPERLINK("https://pbs.twimg.com/profile_images/962471262747529216/Uo8lOkRJ_normal.jpg","View")</f>
        <v>View</v>
      </c>
      <c r="P12839" s="7"/>
    </row>
    <row r="12840" spans="1:16">
      <c r="A12840" s="3">
        <v>44183.288136574076</v>
      </c>
      <c r="B12840" s="4" t="str">
        <f>HYPERLINK("https://twitter.com/petrogustavo","@petrogustavo")</f>
        <v>@petrogustavo</v>
      </c>
      <c r="C12840" s="5" t="s">
        <v>16</v>
      </c>
      <c r="D12840" s="5" t="s">
        <v>12356</v>
      </c>
      <c r="E12840" s="6" t="str">
        <f>HYPERLINK("https://twitter.com/petrogustavo/status/1339743414234079232","1339743414234079232")</f>
        <v>1339743414234079232</v>
      </c>
      <c r="F12840" s="7" t="s">
        <v>17</v>
      </c>
      <c r="G12840" s="7">
        <v>4019385</v>
      </c>
      <c r="H12840" s="7">
        <v>2470</v>
      </c>
      <c r="I12840" s="7">
        <v>174</v>
      </c>
      <c r="J12840" s="7">
        <v>0</v>
      </c>
      <c r="K12840" s="7" t="s">
        <v>18</v>
      </c>
      <c r="L12840" s="8">
        <v>39987.315405092595</v>
      </c>
      <c r="M12840" s="9" t="s">
        <v>19</v>
      </c>
      <c r="N12840" s="9" t="s">
        <v>20</v>
      </c>
      <c r="O12840" s="6" t="str">
        <f>HYPERLINK("https://pbs.twimg.com/profile_images/962471262747529216/Uo8lOkRJ_normal.jpg","View")</f>
        <v>View</v>
      </c>
      <c r="P12840" s="7"/>
    </row>
    <row r="12841" spans="1:16">
      <c r="A12841" s="3">
        <v>44183.327453703707</v>
      </c>
      <c r="B12841" s="4" t="str">
        <f>HYPERLINK("https://twitter.com/petrogustavo","@petrogustavo")</f>
        <v>@petrogustavo</v>
      </c>
      <c r="C12841" s="5" t="s">
        <v>16</v>
      </c>
      <c r="D12841" s="5" t="s">
        <v>12357</v>
      </c>
      <c r="E12841" s="6" t="str">
        <f>HYPERLINK("https://twitter.com/petrogustavo/status/1339757660946755585","1339757660946755585")</f>
        <v>1339757660946755585</v>
      </c>
      <c r="F12841" s="7" t="s">
        <v>17</v>
      </c>
      <c r="G12841" s="7">
        <v>4019403</v>
      </c>
      <c r="H12841" s="7">
        <v>2470</v>
      </c>
      <c r="I12841" s="7">
        <v>85</v>
      </c>
      <c r="J12841" s="7">
        <v>247</v>
      </c>
      <c r="K12841" s="7" t="s">
        <v>18</v>
      </c>
      <c r="L12841" s="8">
        <v>39987.315405092595</v>
      </c>
      <c r="M12841" s="9" t="s">
        <v>19</v>
      </c>
      <c r="N12841" s="9" t="s">
        <v>20</v>
      </c>
      <c r="O12841" s="6" t="str">
        <f>HYPERLINK("https://pbs.twimg.com/profile_images/962471262747529216/Uo8lOkRJ_normal.jpg","View")</f>
        <v>View</v>
      </c>
      <c r="P12841" s="7"/>
    </row>
    <row r="12842" spans="1:16">
      <c r="A12842" s="3">
        <v>44183.337534722217</v>
      </c>
      <c r="B12842" s="4" t="str">
        <f>HYPERLINK("https://twitter.com/petrogustavo","@petrogustavo")</f>
        <v>@petrogustavo</v>
      </c>
      <c r="C12842" s="5" t="s">
        <v>16</v>
      </c>
      <c r="D12842" s="5" t="s">
        <v>12358</v>
      </c>
      <c r="E12842" s="6" t="str">
        <f>HYPERLINK("https://twitter.com/petrogustavo/status/1339761313614946305","1339761313614946305")</f>
        <v>1339761313614946305</v>
      </c>
      <c r="F12842" s="7" t="s">
        <v>17</v>
      </c>
      <c r="G12842" s="7">
        <v>4019403</v>
      </c>
      <c r="H12842" s="7">
        <v>2470</v>
      </c>
      <c r="I12842" s="7">
        <v>36</v>
      </c>
      <c r="J12842" s="7">
        <v>0</v>
      </c>
      <c r="K12842" s="7" t="s">
        <v>18</v>
      </c>
      <c r="L12842" s="8">
        <v>39987.315405092595</v>
      </c>
      <c r="M12842" s="9" t="s">
        <v>19</v>
      </c>
      <c r="N12842" s="9" t="s">
        <v>20</v>
      </c>
      <c r="O12842" s="6" t="str">
        <f>HYPERLINK("https://pbs.twimg.com/profile_images/962471262747529216/Uo8lOkRJ_normal.jpg","View")</f>
        <v>View</v>
      </c>
      <c r="P12842" s="7"/>
    </row>
    <row r="12843" spans="1:16">
      <c r="A12843" s="3">
        <v>44183.338923611111</v>
      </c>
      <c r="B12843" s="4" t="str">
        <f>HYPERLINK("https://twitter.com/petrogustavo","@petrogustavo")</f>
        <v>@petrogustavo</v>
      </c>
      <c r="C12843" s="5" t="s">
        <v>16</v>
      </c>
      <c r="D12843" s="5" t="s">
        <v>12359</v>
      </c>
      <c r="E12843" s="6" t="str">
        <f>HYPERLINK("https://twitter.com/petrogustavo/status/1339761817002913798","1339761817002913798")</f>
        <v>1339761817002913798</v>
      </c>
      <c r="F12843" s="7" t="s">
        <v>17</v>
      </c>
      <c r="G12843" s="7">
        <v>4019403</v>
      </c>
      <c r="H12843" s="7">
        <v>2470</v>
      </c>
      <c r="I12843" s="7">
        <v>33</v>
      </c>
      <c r="J12843" s="7">
        <v>0</v>
      </c>
      <c r="K12843" s="7" t="s">
        <v>18</v>
      </c>
      <c r="L12843" s="8">
        <v>39987.315405092595</v>
      </c>
      <c r="M12843" s="9" t="s">
        <v>19</v>
      </c>
      <c r="N12843" s="9" t="s">
        <v>20</v>
      </c>
      <c r="O12843" s="6" t="str">
        <f>HYPERLINK("https://pbs.twimg.com/profile_images/962471262747529216/Uo8lOkRJ_normal.jpg","View")</f>
        <v>View</v>
      </c>
      <c r="P12843" s="7"/>
    </row>
    <row r="12844" spans="1:16">
      <c r="A12844" s="3">
        <v>44183.344722222224</v>
      </c>
      <c r="B12844" s="4" t="str">
        <f>HYPERLINK("https://twitter.com/petrogustavo","@petrogustavo")</f>
        <v>@petrogustavo</v>
      </c>
      <c r="C12844" s="5" t="s">
        <v>16</v>
      </c>
      <c r="D12844" s="5" t="s">
        <v>12356</v>
      </c>
      <c r="E12844" s="6" t="str">
        <f>HYPERLINK("https://twitter.com/petrogustavo/status/1339763917669736448","1339763917669736448")</f>
        <v>1339763917669736448</v>
      </c>
      <c r="F12844" s="7" t="s">
        <v>17</v>
      </c>
      <c r="G12844" s="7">
        <v>4019403</v>
      </c>
      <c r="H12844" s="7">
        <v>2470</v>
      </c>
      <c r="I12844" s="7">
        <v>296</v>
      </c>
      <c r="J12844" s="7">
        <v>0</v>
      </c>
      <c r="K12844" s="7" t="s">
        <v>18</v>
      </c>
      <c r="L12844" s="8">
        <v>39987.315405092595</v>
      </c>
      <c r="M12844" s="9" t="s">
        <v>19</v>
      </c>
      <c r="N12844" s="9" t="s">
        <v>20</v>
      </c>
      <c r="O12844" s="6" t="str">
        <f>HYPERLINK("https://pbs.twimg.com/profile_images/962471262747529216/Uo8lOkRJ_normal.jpg","View")</f>
        <v>View</v>
      </c>
      <c r="P12844" s="7"/>
    </row>
    <row r="12845" spans="1:16">
      <c r="A12845" s="3">
        <v>44183.83084490741</v>
      </c>
      <c r="B12845" s="4" t="str">
        <f>HYPERLINK("https://twitter.com/petrogustavo","@petrogustavo")</f>
        <v>@petrogustavo</v>
      </c>
      <c r="C12845" s="5" t="s">
        <v>16</v>
      </c>
      <c r="D12845" s="5" t="s">
        <v>12360</v>
      </c>
      <c r="E12845" s="6" t="str">
        <f>HYPERLINK("https://twitter.com/petrogustavo/status/1339940082120335360","1339940082120335360")</f>
        <v>1339940082120335360</v>
      </c>
      <c r="F12845" s="7" t="s">
        <v>17</v>
      </c>
      <c r="G12845" s="7">
        <v>4019507</v>
      </c>
      <c r="H12845" s="7">
        <v>2469</v>
      </c>
      <c r="I12845" s="7">
        <v>45</v>
      </c>
      <c r="J12845" s="7">
        <v>206</v>
      </c>
      <c r="K12845" s="7" t="s">
        <v>18</v>
      </c>
      <c r="L12845" s="8">
        <v>39987.315405092595</v>
      </c>
      <c r="M12845" s="9" t="s">
        <v>19</v>
      </c>
      <c r="N12845" s="9" t="s">
        <v>20</v>
      </c>
      <c r="O12845" s="6" t="str">
        <f>HYPERLINK("https://pbs.twimg.com/profile_images/962471262747529216/Uo8lOkRJ_normal.jpg","View")</f>
        <v>View</v>
      </c>
      <c r="P12845" s="7"/>
    </row>
    <row r="12846" spans="1:16">
      <c r="A12846" s="3">
        <v>44183.986817129626</v>
      </c>
      <c r="B12846" s="4" t="str">
        <f>HYPERLINK("https://twitter.com/petrogustavo","@petrogustavo")</f>
        <v>@petrogustavo</v>
      </c>
      <c r="C12846" s="5" t="s">
        <v>16</v>
      </c>
      <c r="D12846" s="5" t="s">
        <v>12361</v>
      </c>
      <c r="E12846" s="6" t="str">
        <f>HYPERLINK("https://twitter.com/petrogustavo/status/1339996606746288128","1339996606746288128")</f>
        <v>1339996606746288128</v>
      </c>
      <c r="F12846" s="7" t="s">
        <v>17</v>
      </c>
      <c r="G12846" s="7">
        <v>4019535</v>
      </c>
      <c r="H12846" s="7">
        <v>2469</v>
      </c>
      <c r="I12846" s="7">
        <v>131</v>
      </c>
      <c r="J12846" s="7">
        <v>369</v>
      </c>
      <c r="K12846" s="7" t="s">
        <v>18</v>
      </c>
      <c r="L12846" s="8">
        <v>39987.315405092595</v>
      </c>
      <c r="M12846" s="9" t="s">
        <v>19</v>
      </c>
      <c r="N12846" s="9" t="s">
        <v>20</v>
      </c>
      <c r="O12846" s="6" t="str">
        <f>HYPERLINK("https://pbs.twimg.com/profile_images/962471262747529216/Uo8lOkRJ_normal.jpg","View")</f>
        <v>View</v>
      </c>
      <c r="P12846" s="7"/>
    </row>
    <row r="12847" spans="1:16">
      <c r="A12847" s="3">
        <v>44184.034675925926</v>
      </c>
      <c r="B12847" s="4" t="str">
        <f>HYPERLINK("https://twitter.com/petrogustavo","@petrogustavo")</f>
        <v>@petrogustavo</v>
      </c>
      <c r="C12847" s="5" t="s">
        <v>16</v>
      </c>
      <c r="D12847" s="5" t="s">
        <v>12362</v>
      </c>
      <c r="E12847" s="6" t="str">
        <f>HYPERLINK("https://twitter.com/petrogustavo/status/1340013948876238853","1340013948876238853")</f>
        <v>1340013948876238853</v>
      </c>
      <c r="F12847" s="7" t="s">
        <v>17</v>
      </c>
      <c r="G12847" s="7">
        <v>4019568</v>
      </c>
      <c r="H12847" s="7">
        <v>2469</v>
      </c>
      <c r="I12847" s="7">
        <v>110</v>
      </c>
      <c r="J12847" s="7">
        <v>272</v>
      </c>
      <c r="K12847" s="7" t="s">
        <v>18</v>
      </c>
      <c r="L12847" s="8">
        <v>39987.315405092595</v>
      </c>
      <c r="M12847" s="9" t="s">
        <v>19</v>
      </c>
      <c r="N12847" s="9" t="s">
        <v>20</v>
      </c>
      <c r="O12847" s="6" t="str">
        <f>HYPERLINK("https://pbs.twimg.com/profile_images/962471262747529216/Uo8lOkRJ_normal.jpg","View")</f>
        <v>View</v>
      </c>
      <c r="P12847" s="7"/>
    </row>
    <row r="12848" spans="1:16">
      <c r="A12848" s="3">
        <v>44184.035046296296</v>
      </c>
      <c r="B12848" s="4" t="str">
        <f>HYPERLINK("https://twitter.com/petrogustavo","@petrogustavo")</f>
        <v>@petrogustavo</v>
      </c>
      <c r="C12848" s="5" t="s">
        <v>16</v>
      </c>
      <c r="D12848" s="5" t="s">
        <v>12363</v>
      </c>
      <c r="E12848" s="6" t="str">
        <f>HYPERLINK("https://twitter.com/petrogustavo/status/1340014083018530817","1340014083018530817")</f>
        <v>1340014083018530817</v>
      </c>
      <c r="F12848" s="7" t="s">
        <v>17</v>
      </c>
      <c r="G12848" s="7">
        <v>4019568</v>
      </c>
      <c r="H12848" s="7">
        <v>2469</v>
      </c>
      <c r="I12848" s="7">
        <v>976</v>
      </c>
      <c r="J12848" s="7">
        <v>0</v>
      </c>
      <c r="K12848" s="7" t="s">
        <v>18</v>
      </c>
      <c r="L12848" s="8">
        <v>39987.315405092595</v>
      </c>
      <c r="M12848" s="9" t="s">
        <v>19</v>
      </c>
      <c r="N12848" s="9" t="s">
        <v>20</v>
      </c>
      <c r="O12848" s="6" t="str">
        <f>HYPERLINK("https://pbs.twimg.com/profile_images/962471262747529216/Uo8lOkRJ_normal.jpg","View")</f>
        <v>View</v>
      </c>
      <c r="P12848" s="7"/>
    </row>
    <row r="12849" spans="1:16">
      <c r="A12849" s="3">
        <v>44184.055902777778</v>
      </c>
      <c r="B12849" s="4" t="str">
        <f>HYPERLINK("https://twitter.com/petrogustavo","@petrogustavo")</f>
        <v>@petrogustavo</v>
      </c>
      <c r="C12849" s="5" t="s">
        <v>16</v>
      </c>
      <c r="D12849" s="5" t="s">
        <v>12363</v>
      </c>
      <c r="E12849" s="6" t="str">
        <f>HYPERLINK("https://twitter.com/petrogustavo/status/1340021642878210054","1340021642878210054")</f>
        <v>1340021642878210054</v>
      </c>
      <c r="F12849" s="7" t="s">
        <v>17</v>
      </c>
      <c r="G12849" s="7">
        <v>4019581</v>
      </c>
      <c r="H12849" s="7">
        <v>2469</v>
      </c>
      <c r="I12849" s="7">
        <v>1178</v>
      </c>
      <c r="J12849" s="7">
        <v>0</v>
      </c>
      <c r="K12849" s="7" t="s">
        <v>18</v>
      </c>
      <c r="L12849" s="8">
        <v>39987.315405092595</v>
      </c>
      <c r="M12849" s="9" t="s">
        <v>19</v>
      </c>
      <c r="N12849" s="9" t="s">
        <v>20</v>
      </c>
      <c r="O12849" s="6" t="str">
        <f>HYPERLINK("https://pbs.twimg.com/profile_images/962471262747529216/Uo8lOkRJ_normal.jpg","View")</f>
        <v>View</v>
      </c>
      <c r="P12849" s="7"/>
    </row>
    <row r="12850" spans="1:16">
      <c r="A12850" s="3">
        <v>44184.062326388885</v>
      </c>
      <c r="B12850" s="4" t="str">
        <f>HYPERLINK("https://twitter.com/petrogustavo","@petrogustavo")</f>
        <v>@petrogustavo</v>
      </c>
      <c r="C12850" s="5" t="s">
        <v>16</v>
      </c>
      <c r="D12850" s="5" t="s">
        <v>12364</v>
      </c>
      <c r="E12850" s="6" t="str">
        <f>HYPERLINK("https://twitter.com/petrogustavo/status/1340023970033221633","1340023970033221633")</f>
        <v>1340023970033221633</v>
      </c>
      <c r="F12850" s="7" t="s">
        <v>17</v>
      </c>
      <c r="G12850" s="7">
        <v>4019581</v>
      </c>
      <c r="H12850" s="7">
        <v>2469</v>
      </c>
      <c r="I12850" s="7">
        <v>109</v>
      </c>
      <c r="J12850" s="7">
        <v>290</v>
      </c>
      <c r="K12850" s="7" t="s">
        <v>18</v>
      </c>
      <c r="L12850" s="8">
        <v>39987.315405092595</v>
      </c>
      <c r="M12850" s="9" t="s">
        <v>19</v>
      </c>
      <c r="N12850" s="9" t="s">
        <v>20</v>
      </c>
      <c r="O12850" s="6" t="str">
        <f>HYPERLINK("https://pbs.twimg.com/profile_images/962471262747529216/Uo8lOkRJ_normal.jpg","View")</f>
        <v>View</v>
      </c>
      <c r="P12850" s="7"/>
    </row>
    <row r="12851" spans="1:16">
      <c r="A12851" s="3">
        <v>44184.062326388885</v>
      </c>
      <c r="B12851" s="4" t="str">
        <f>HYPERLINK("https://twitter.com/petrogustavo","@petrogustavo")</f>
        <v>@petrogustavo</v>
      </c>
      <c r="C12851" s="5" t="s">
        <v>16</v>
      </c>
      <c r="D12851" s="5" t="s">
        <v>12365</v>
      </c>
      <c r="E12851" s="6" t="str">
        <f>HYPERLINK("https://twitter.com/petrogustavo/status/1340023971585126400","1340023971585126400")</f>
        <v>1340023971585126400</v>
      </c>
      <c r="F12851" s="7" t="s">
        <v>17</v>
      </c>
      <c r="G12851" s="7">
        <v>4019581</v>
      </c>
      <c r="H12851" s="7">
        <v>2469</v>
      </c>
      <c r="I12851" s="7">
        <v>81</v>
      </c>
      <c r="J12851" s="7">
        <v>246</v>
      </c>
      <c r="K12851" s="7" t="s">
        <v>18</v>
      </c>
      <c r="L12851" s="8">
        <v>39987.315405092595</v>
      </c>
      <c r="M12851" s="9" t="s">
        <v>19</v>
      </c>
      <c r="N12851" s="9" t="s">
        <v>20</v>
      </c>
      <c r="O12851" s="6" t="str">
        <f>HYPERLINK("https://pbs.twimg.com/profile_images/962471262747529216/Uo8lOkRJ_normal.jpg","View")</f>
        <v>View</v>
      </c>
      <c r="P12851" s="7"/>
    </row>
    <row r="12852" spans="1:16">
      <c r="A12852" s="3">
        <v>44184.220138888893</v>
      </c>
      <c r="B12852" s="4" t="str">
        <f>HYPERLINK("https://twitter.com/petrogustavo","@petrogustavo")</f>
        <v>@petrogustavo</v>
      </c>
      <c r="C12852" s="5" t="s">
        <v>16</v>
      </c>
      <c r="D12852" s="5" t="s">
        <v>12366</v>
      </c>
      <c r="E12852" s="6" t="str">
        <f>HYPERLINK("https://twitter.com/petrogustavo/status/1340081159259172864","1340081159259172864")</f>
        <v>1340081159259172864</v>
      </c>
      <c r="F12852" s="7" t="s">
        <v>17</v>
      </c>
      <c r="G12852" s="7">
        <v>4019655</v>
      </c>
      <c r="H12852" s="7">
        <v>2469</v>
      </c>
      <c r="I12852" s="7">
        <v>842</v>
      </c>
      <c r="J12852" s="7">
        <v>0</v>
      </c>
      <c r="K12852" s="7" t="s">
        <v>18</v>
      </c>
      <c r="L12852" s="8">
        <v>39987.315405092595</v>
      </c>
      <c r="M12852" s="9" t="s">
        <v>19</v>
      </c>
      <c r="N12852" s="9" t="s">
        <v>20</v>
      </c>
      <c r="O12852" s="6" t="str">
        <f>HYPERLINK("https://pbs.twimg.com/profile_images/962471262747529216/Uo8lOkRJ_normal.jpg","View")</f>
        <v>View</v>
      </c>
      <c r="P12852" s="7"/>
    </row>
    <row r="12853" spans="1:16">
      <c r="A12853" s="3">
        <v>44184.302870370375</v>
      </c>
      <c r="B12853" s="4" t="str">
        <f>HYPERLINK("https://twitter.com/petrogustavo","@petrogustavo")</f>
        <v>@petrogustavo</v>
      </c>
      <c r="C12853" s="5" t="s">
        <v>16</v>
      </c>
      <c r="D12853" s="5" t="s">
        <v>12366</v>
      </c>
      <c r="E12853" s="6" t="str">
        <f>HYPERLINK("https://twitter.com/petrogustavo/status/1340111140257468416","1340111140257468416")</f>
        <v>1340111140257468416</v>
      </c>
      <c r="F12853" s="7" t="s">
        <v>32</v>
      </c>
      <c r="G12853" s="7">
        <v>4019707</v>
      </c>
      <c r="H12853" s="7">
        <v>2469</v>
      </c>
      <c r="I12853" s="7">
        <v>1116</v>
      </c>
      <c r="J12853" s="7">
        <v>0</v>
      </c>
      <c r="K12853" s="7" t="s">
        <v>18</v>
      </c>
      <c r="L12853" s="8">
        <v>39987.315405092595</v>
      </c>
      <c r="M12853" s="9" t="s">
        <v>19</v>
      </c>
      <c r="N12853" s="9" t="s">
        <v>20</v>
      </c>
      <c r="O12853" s="6" t="str">
        <f>HYPERLINK("https://pbs.twimg.com/profile_images/962471262747529216/Uo8lOkRJ_normal.jpg","View")</f>
        <v>View</v>
      </c>
      <c r="P12853" s="7"/>
    </row>
    <row r="12854" spans="1:16">
      <c r="A12854" s="3">
        <v>44184.360682870371</v>
      </c>
      <c r="B12854" s="4" t="str">
        <f>HYPERLINK("https://twitter.com/petrogustavo","@petrogustavo")</f>
        <v>@petrogustavo</v>
      </c>
      <c r="C12854" s="5" t="s">
        <v>16</v>
      </c>
      <c r="D12854" s="5" t="s">
        <v>12367</v>
      </c>
      <c r="E12854" s="6" t="str">
        <f>HYPERLINK("https://twitter.com/petrogustavo/status/1340132089828696064","1340132089828696064")</f>
        <v>1340132089828696064</v>
      </c>
      <c r="F12854" s="7" t="s">
        <v>32</v>
      </c>
      <c r="G12854" s="7">
        <v>4019750</v>
      </c>
      <c r="H12854" s="7">
        <v>2469</v>
      </c>
      <c r="I12854" s="7">
        <v>61</v>
      </c>
      <c r="J12854" s="7">
        <v>152</v>
      </c>
      <c r="K12854" s="7" t="s">
        <v>18</v>
      </c>
      <c r="L12854" s="8">
        <v>39987.315405092595</v>
      </c>
      <c r="M12854" s="9" t="s">
        <v>19</v>
      </c>
      <c r="N12854" s="9" t="s">
        <v>20</v>
      </c>
      <c r="O12854" s="6" t="str">
        <f>HYPERLINK("https://pbs.twimg.com/profile_images/962471262747529216/Uo8lOkRJ_normal.jpg","View")</f>
        <v>View</v>
      </c>
      <c r="P12854" s="7"/>
    </row>
    <row r="12855" spans="1:16">
      <c r="A12855" s="3">
        <v>44184.361851851849</v>
      </c>
      <c r="B12855" s="4" t="str">
        <f>HYPERLINK("https://twitter.com/petrogustavo","@petrogustavo")</f>
        <v>@petrogustavo</v>
      </c>
      <c r="C12855" s="5" t="s">
        <v>16</v>
      </c>
      <c r="D12855" s="5" t="s">
        <v>12368</v>
      </c>
      <c r="E12855" s="6" t="str">
        <f>HYPERLINK("https://twitter.com/petrogustavo/status/1340132514506170369","1340132514506170369")</f>
        <v>1340132514506170369</v>
      </c>
      <c r="F12855" s="7" t="s">
        <v>32</v>
      </c>
      <c r="G12855" s="7">
        <v>4019750</v>
      </c>
      <c r="H12855" s="7">
        <v>2469</v>
      </c>
      <c r="I12855" s="7">
        <v>57</v>
      </c>
      <c r="J12855" s="7">
        <v>133</v>
      </c>
      <c r="K12855" s="7" t="s">
        <v>18</v>
      </c>
      <c r="L12855" s="8">
        <v>39987.315405092595</v>
      </c>
      <c r="M12855" s="9" t="s">
        <v>19</v>
      </c>
      <c r="N12855" s="9" t="s">
        <v>20</v>
      </c>
      <c r="O12855" s="6" t="str">
        <f>HYPERLINK("https://pbs.twimg.com/profile_images/962471262747529216/Uo8lOkRJ_normal.jpg","View")</f>
        <v>View</v>
      </c>
      <c r="P12855" s="7"/>
    </row>
    <row r="12856" spans="1:16">
      <c r="A12856" s="3">
        <v>44184.721932870365</v>
      </c>
      <c r="B12856" s="4" t="str">
        <f>HYPERLINK("https://twitter.com/petrogustavo","@petrogustavo")</f>
        <v>@petrogustavo</v>
      </c>
      <c r="C12856" s="5" t="s">
        <v>16</v>
      </c>
      <c r="D12856" s="5" t="s">
        <v>12369</v>
      </c>
      <c r="E12856" s="6" t="str">
        <f>HYPERLINK("https://twitter.com/petrogustavo/status/1340263002512211970","1340263002512211970")</f>
        <v>1340263002512211970</v>
      </c>
      <c r="F12856" s="7" t="s">
        <v>17</v>
      </c>
      <c r="G12856" s="7">
        <v>4019813</v>
      </c>
      <c r="H12856" s="7">
        <v>2469</v>
      </c>
      <c r="I12856" s="7">
        <v>47</v>
      </c>
      <c r="J12856" s="7">
        <v>164</v>
      </c>
      <c r="K12856" s="7" t="s">
        <v>18</v>
      </c>
      <c r="L12856" s="8">
        <v>39987.315405092595</v>
      </c>
      <c r="M12856" s="9" t="s">
        <v>19</v>
      </c>
      <c r="N12856" s="9" t="s">
        <v>20</v>
      </c>
      <c r="O12856" s="6" t="str">
        <f>HYPERLINK("https://pbs.twimg.com/profile_images/962471262747529216/Uo8lOkRJ_normal.jpg","View")</f>
        <v>View</v>
      </c>
      <c r="P12856" s="7"/>
    </row>
    <row r="12857" spans="1:16">
      <c r="A12857" s="3">
        <v>44184.761331018519</v>
      </c>
      <c r="B12857" s="4" t="str">
        <f>HYPERLINK("https://twitter.com/petrogustavo","@petrogustavo")</f>
        <v>@petrogustavo</v>
      </c>
      <c r="C12857" s="5" t="s">
        <v>16</v>
      </c>
      <c r="D12857" s="5" t="s">
        <v>12370</v>
      </c>
      <c r="E12857" s="6" t="str">
        <f>HYPERLINK("https://twitter.com/petrogustavo/status/1340277278744457220","1340277278744457220")</f>
        <v>1340277278744457220</v>
      </c>
      <c r="F12857" s="7" t="s">
        <v>17</v>
      </c>
      <c r="G12857" s="7">
        <v>4019826</v>
      </c>
      <c r="H12857" s="7">
        <v>2469</v>
      </c>
      <c r="I12857" s="7">
        <v>4</v>
      </c>
      <c r="J12857" s="7">
        <v>9</v>
      </c>
      <c r="K12857" s="7" t="s">
        <v>18</v>
      </c>
      <c r="L12857" s="8">
        <v>39987.315405092595</v>
      </c>
      <c r="M12857" s="9" t="s">
        <v>19</v>
      </c>
      <c r="N12857" s="9" t="s">
        <v>20</v>
      </c>
      <c r="O12857" s="6" t="str">
        <f>HYPERLINK("https://pbs.twimg.com/profile_images/962471262747529216/Uo8lOkRJ_normal.jpg","View")</f>
        <v>View</v>
      </c>
      <c r="P12857" s="7"/>
    </row>
    <row r="12858" spans="1:16">
      <c r="A12858" s="3">
        <v>44184.761331018519</v>
      </c>
      <c r="B12858" s="4" t="str">
        <f>HYPERLINK("https://twitter.com/petrogustavo","@petrogustavo")</f>
        <v>@petrogustavo</v>
      </c>
      <c r="C12858" s="5" t="s">
        <v>16</v>
      </c>
      <c r="D12858" s="5" t="s">
        <v>12371</v>
      </c>
      <c r="E12858" s="6" t="str">
        <f>HYPERLINK("https://twitter.com/petrogustavo/status/1340277279767875586","1340277279767875586")</f>
        <v>1340277279767875586</v>
      </c>
      <c r="F12858" s="7" t="s">
        <v>17</v>
      </c>
      <c r="G12858" s="7">
        <v>4019826</v>
      </c>
      <c r="H12858" s="7">
        <v>2469</v>
      </c>
      <c r="I12858" s="7">
        <v>2</v>
      </c>
      <c r="J12858" s="7">
        <v>3</v>
      </c>
      <c r="K12858" s="7" t="s">
        <v>18</v>
      </c>
      <c r="L12858" s="8">
        <v>39987.315405092595</v>
      </c>
      <c r="M12858" s="9" t="s">
        <v>19</v>
      </c>
      <c r="N12858" s="9" t="s">
        <v>20</v>
      </c>
      <c r="O12858" s="6" t="str">
        <f>HYPERLINK("https://pbs.twimg.com/profile_images/962471262747529216/Uo8lOkRJ_normal.jpg","View")</f>
        <v>View</v>
      </c>
      <c r="P12858" s="7"/>
    </row>
    <row r="12859" spans="1:16">
      <c r="A12859" s="3">
        <v>44184.761331018519</v>
      </c>
      <c r="B12859" s="4" t="str">
        <f>HYPERLINK("https://twitter.com/petrogustavo","@petrogustavo")</f>
        <v>@petrogustavo</v>
      </c>
      <c r="C12859" s="5" t="s">
        <v>16</v>
      </c>
      <c r="D12859" s="5" t="s">
        <v>12372</v>
      </c>
      <c r="E12859" s="6" t="str">
        <f>HYPERLINK("https://twitter.com/petrogustavo/status/1340277280782905345","1340277280782905345")</f>
        <v>1340277280782905345</v>
      </c>
      <c r="F12859" s="7" t="s">
        <v>17</v>
      </c>
      <c r="G12859" s="7">
        <v>4019826</v>
      </c>
      <c r="H12859" s="7">
        <v>2469</v>
      </c>
      <c r="I12859" s="7">
        <v>2</v>
      </c>
      <c r="J12859" s="7">
        <v>7</v>
      </c>
      <c r="K12859" s="7" t="s">
        <v>18</v>
      </c>
      <c r="L12859" s="8">
        <v>39987.315405092595</v>
      </c>
      <c r="M12859" s="9" t="s">
        <v>19</v>
      </c>
      <c r="N12859" s="9" t="s">
        <v>20</v>
      </c>
      <c r="O12859" s="6" t="str">
        <f>HYPERLINK("https://pbs.twimg.com/profile_images/962471262747529216/Uo8lOkRJ_normal.jpg","View")</f>
        <v>View</v>
      </c>
      <c r="P12859" s="7"/>
    </row>
    <row r="12860" spans="1:16">
      <c r="A12860" s="3">
        <v>44184.815289351856</v>
      </c>
      <c r="B12860" s="4" t="str">
        <f>HYPERLINK("https://twitter.com/petrogustavo","@petrogustavo")</f>
        <v>@petrogustavo</v>
      </c>
      <c r="C12860" s="5" t="s">
        <v>16</v>
      </c>
      <c r="D12860" s="5" t="s">
        <v>12373</v>
      </c>
      <c r="E12860" s="6" t="str">
        <f>HYPERLINK("https://twitter.com/petrogustavo/status/1340296833990582272","1340296833990582272")</f>
        <v>1340296833990582272</v>
      </c>
      <c r="F12860" s="7" t="s">
        <v>17</v>
      </c>
      <c r="G12860" s="7">
        <v>4019849</v>
      </c>
      <c r="H12860" s="7">
        <v>2469</v>
      </c>
      <c r="I12860" s="7">
        <v>152</v>
      </c>
      <c r="J12860" s="7">
        <v>416</v>
      </c>
      <c r="K12860" s="7" t="s">
        <v>18</v>
      </c>
      <c r="L12860" s="8">
        <v>39987.315405092595</v>
      </c>
      <c r="M12860" s="9" t="s">
        <v>19</v>
      </c>
      <c r="N12860" s="9" t="s">
        <v>20</v>
      </c>
      <c r="O12860" s="6" t="str">
        <f>HYPERLINK("https://pbs.twimg.com/profile_images/962471262747529216/Uo8lOkRJ_normal.jpg","View")</f>
        <v>View</v>
      </c>
      <c r="P12860" s="7"/>
    </row>
    <row r="12861" spans="1:16">
      <c r="A12861" s="3">
        <v>44184.821550925924</v>
      </c>
      <c r="B12861" s="4" t="str">
        <f>HYPERLINK("https://twitter.com/petrogustavo","@petrogustavo")</f>
        <v>@petrogustavo</v>
      </c>
      <c r="C12861" s="5" t="s">
        <v>16</v>
      </c>
      <c r="D12861" s="5" t="s">
        <v>12374</v>
      </c>
      <c r="E12861" s="6" t="str">
        <f>HYPERLINK("https://twitter.com/petrogustavo/status/1340299105298464770","1340299105298464770")</f>
        <v>1340299105298464770</v>
      </c>
      <c r="F12861" s="7" t="s">
        <v>17</v>
      </c>
      <c r="G12861" s="7">
        <v>4019849</v>
      </c>
      <c r="H12861" s="7">
        <v>2469</v>
      </c>
      <c r="I12861" s="7">
        <v>20</v>
      </c>
      <c r="J12861" s="7">
        <v>61</v>
      </c>
      <c r="K12861" s="7" t="s">
        <v>18</v>
      </c>
      <c r="L12861" s="8">
        <v>39987.315405092595</v>
      </c>
      <c r="M12861" s="9" t="s">
        <v>19</v>
      </c>
      <c r="N12861" s="9" t="s">
        <v>20</v>
      </c>
      <c r="O12861" s="6" t="str">
        <f>HYPERLINK("https://pbs.twimg.com/profile_images/962471262747529216/Uo8lOkRJ_normal.jpg","View")</f>
        <v>View</v>
      </c>
      <c r="P12861" s="7"/>
    </row>
    <row r="12862" spans="1:16">
      <c r="A12862" s="3">
        <v>44184.821851851855</v>
      </c>
      <c r="B12862" s="4" t="str">
        <f>HYPERLINK("https://twitter.com/petrogustavo","@petrogustavo")</f>
        <v>@petrogustavo</v>
      </c>
      <c r="C12862" s="5" t="s">
        <v>16</v>
      </c>
      <c r="D12862" s="5" t="s">
        <v>12375</v>
      </c>
      <c r="E12862" s="6" t="str">
        <f>HYPERLINK("https://twitter.com/petrogustavo/status/1340299211120766981","1340299211120766981")</f>
        <v>1340299211120766981</v>
      </c>
      <c r="F12862" s="7" t="s">
        <v>17</v>
      </c>
      <c r="G12862" s="7">
        <v>4019849</v>
      </c>
      <c r="H12862" s="7">
        <v>2469</v>
      </c>
      <c r="I12862" s="7">
        <v>152</v>
      </c>
      <c r="J12862" s="7">
        <v>0</v>
      </c>
      <c r="K12862" s="7" t="s">
        <v>18</v>
      </c>
      <c r="L12862" s="8">
        <v>39987.315405092595</v>
      </c>
      <c r="M12862" s="9" t="s">
        <v>19</v>
      </c>
      <c r="N12862" s="9" t="s">
        <v>20</v>
      </c>
      <c r="O12862" s="6" t="str">
        <f>HYPERLINK("https://pbs.twimg.com/profile_images/962471262747529216/Uo8lOkRJ_normal.jpg","View")</f>
        <v>View</v>
      </c>
      <c r="P12862" s="7"/>
    </row>
    <row r="12863" spans="1:16">
      <c r="A12863" s="3">
        <v>44184.871261574073</v>
      </c>
      <c r="B12863" s="4" t="str">
        <f>HYPERLINK("https://twitter.com/petrogustavo","@petrogustavo")</f>
        <v>@petrogustavo</v>
      </c>
      <c r="C12863" s="5" t="s">
        <v>16</v>
      </c>
      <c r="D12863" s="5" t="s">
        <v>12376</v>
      </c>
      <c r="E12863" s="6" t="str">
        <f>HYPERLINK("https://twitter.com/petrogustavo/status/1340317119507013634","1340317119507013634")</f>
        <v>1340317119507013634</v>
      </c>
      <c r="F12863" s="7" t="s">
        <v>17</v>
      </c>
      <c r="G12863" s="7">
        <v>4019873</v>
      </c>
      <c r="H12863" s="7">
        <v>2469</v>
      </c>
      <c r="I12863" s="7">
        <v>850</v>
      </c>
      <c r="J12863" s="7">
        <v>0</v>
      </c>
      <c r="K12863" s="7" t="s">
        <v>18</v>
      </c>
      <c r="L12863" s="8">
        <v>39987.315405092595</v>
      </c>
      <c r="M12863" s="9" t="s">
        <v>19</v>
      </c>
      <c r="N12863" s="9" t="s">
        <v>20</v>
      </c>
      <c r="O12863" s="6" t="str">
        <f>HYPERLINK("https://pbs.twimg.com/profile_images/962471262747529216/Uo8lOkRJ_normal.jpg","View")</f>
        <v>View</v>
      </c>
      <c r="P12863" s="7"/>
    </row>
    <row r="12864" spans="1:16">
      <c r="A12864" s="3">
        <v>44184.876956018517</v>
      </c>
      <c r="B12864" s="4" t="str">
        <f>HYPERLINK("https://twitter.com/petrogustavo","@petrogustavo")</f>
        <v>@petrogustavo</v>
      </c>
      <c r="C12864" s="5" t="s">
        <v>16</v>
      </c>
      <c r="D12864" s="5" t="s">
        <v>12377</v>
      </c>
      <c r="E12864" s="6" t="str">
        <f>HYPERLINK("https://twitter.com/petrogustavo/status/1340319182169264128","1340319182169264128")</f>
        <v>1340319182169264128</v>
      </c>
      <c r="F12864" s="7" t="s">
        <v>17</v>
      </c>
      <c r="G12864" s="7">
        <v>4019873</v>
      </c>
      <c r="H12864" s="7">
        <v>2469</v>
      </c>
      <c r="I12864" s="7">
        <v>264</v>
      </c>
      <c r="J12864" s="7">
        <v>0</v>
      </c>
      <c r="K12864" s="7" t="s">
        <v>18</v>
      </c>
      <c r="L12864" s="8">
        <v>39987.315405092595</v>
      </c>
      <c r="M12864" s="9" t="s">
        <v>19</v>
      </c>
      <c r="N12864" s="9" t="s">
        <v>20</v>
      </c>
      <c r="O12864" s="6" t="str">
        <f>HYPERLINK("https://pbs.twimg.com/profile_images/962471262747529216/Uo8lOkRJ_normal.jpg","View")</f>
        <v>View</v>
      </c>
      <c r="P12864" s="7"/>
    </row>
    <row r="12865" spans="1:16">
      <c r="A12865" s="3">
        <v>44184.877893518518</v>
      </c>
      <c r="B12865" s="4" t="str">
        <f>HYPERLINK("https://twitter.com/petrogustavo","@petrogustavo")</f>
        <v>@petrogustavo</v>
      </c>
      <c r="C12865" s="5" t="s">
        <v>16</v>
      </c>
      <c r="D12865" s="5" t="s">
        <v>12378</v>
      </c>
      <c r="E12865" s="6" t="str">
        <f>HYPERLINK("https://twitter.com/petrogustavo/status/1340319523359088642","1340319523359088642")</f>
        <v>1340319523359088642</v>
      </c>
      <c r="F12865" s="7" t="s">
        <v>17</v>
      </c>
      <c r="G12865" s="7">
        <v>4019873</v>
      </c>
      <c r="H12865" s="7">
        <v>2469</v>
      </c>
      <c r="I12865" s="7">
        <v>618</v>
      </c>
      <c r="J12865" s="7">
        <v>0</v>
      </c>
      <c r="K12865" s="7" t="s">
        <v>18</v>
      </c>
      <c r="L12865" s="8">
        <v>39987.315405092595</v>
      </c>
      <c r="M12865" s="9" t="s">
        <v>19</v>
      </c>
      <c r="N12865" s="9" t="s">
        <v>20</v>
      </c>
      <c r="O12865" s="6" t="str">
        <f>HYPERLINK("https://pbs.twimg.com/profile_images/962471262747529216/Uo8lOkRJ_normal.jpg","View")</f>
        <v>View</v>
      </c>
      <c r="P12865" s="7"/>
    </row>
    <row r="12866" spans="1:16">
      <c r="A12866" s="3">
        <v>44184.911875000005</v>
      </c>
      <c r="B12866" s="4" t="str">
        <f>HYPERLINK("https://twitter.com/petrogustavo","@petrogustavo")</f>
        <v>@petrogustavo</v>
      </c>
      <c r="C12866" s="5" t="s">
        <v>16</v>
      </c>
      <c r="D12866" s="5" t="s">
        <v>12379</v>
      </c>
      <c r="E12866" s="6" t="str">
        <f>HYPERLINK("https://twitter.com/petrogustavo/status/1340331834668924928","1340331834668924928")</f>
        <v>1340331834668924928</v>
      </c>
      <c r="F12866" s="7" t="s">
        <v>17</v>
      </c>
      <c r="G12866" s="7">
        <v>4019890</v>
      </c>
      <c r="H12866" s="7">
        <v>2469</v>
      </c>
      <c r="I12866" s="7">
        <v>141</v>
      </c>
      <c r="J12866" s="7">
        <v>455</v>
      </c>
      <c r="K12866" s="7" t="s">
        <v>18</v>
      </c>
      <c r="L12866" s="8">
        <v>39987.315405092595</v>
      </c>
      <c r="M12866" s="9" t="s">
        <v>19</v>
      </c>
      <c r="N12866" s="9" t="s">
        <v>20</v>
      </c>
      <c r="O12866" s="6" t="str">
        <f>HYPERLINK("https://pbs.twimg.com/profile_images/962471262747529216/Uo8lOkRJ_normal.jpg","View")</f>
        <v>View</v>
      </c>
      <c r="P12866" s="7"/>
    </row>
    <row r="12867" spans="1:16">
      <c r="A12867" s="3">
        <v>44184.946793981479</v>
      </c>
      <c r="B12867" s="4" t="str">
        <f>HYPERLINK("https://twitter.com/petrogustavo","@petrogustavo")</f>
        <v>@petrogustavo</v>
      </c>
      <c r="C12867" s="5" t="s">
        <v>16</v>
      </c>
      <c r="D12867" s="5" t="s">
        <v>12380</v>
      </c>
      <c r="E12867" s="6" t="str">
        <f>HYPERLINK("https://twitter.com/petrogustavo/status/1340344492033978370","1340344492033978370")</f>
        <v>1340344492033978370</v>
      </c>
      <c r="F12867" s="7" t="s">
        <v>32</v>
      </c>
      <c r="G12867" s="7">
        <v>4019903</v>
      </c>
      <c r="H12867" s="7">
        <v>2468</v>
      </c>
      <c r="I12867" s="7">
        <v>18</v>
      </c>
      <c r="J12867" s="7">
        <v>61</v>
      </c>
      <c r="K12867" s="7" t="s">
        <v>18</v>
      </c>
      <c r="L12867" s="8">
        <v>39987.315405092595</v>
      </c>
      <c r="M12867" s="9" t="s">
        <v>19</v>
      </c>
      <c r="N12867" s="9" t="s">
        <v>20</v>
      </c>
      <c r="O12867" s="6" t="str">
        <f>HYPERLINK("https://pbs.twimg.com/profile_images/962471262747529216/Uo8lOkRJ_normal.jpg","View")</f>
        <v>View</v>
      </c>
      <c r="P12867" s="7"/>
    </row>
    <row r="12868" spans="1:16">
      <c r="A12868" s="3">
        <v>44184.950011574074</v>
      </c>
      <c r="B12868" s="4" t="str">
        <f>HYPERLINK("https://twitter.com/petrogustavo","@petrogustavo")</f>
        <v>@petrogustavo</v>
      </c>
      <c r="C12868" s="5" t="s">
        <v>16</v>
      </c>
      <c r="D12868" s="5" t="s">
        <v>12381</v>
      </c>
      <c r="E12868" s="6" t="str">
        <f>HYPERLINK("https://twitter.com/petrogustavo/status/1340345655399772161","1340345655399772161")</f>
        <v>1340345655399772161</v>
      </c>
      <c r="F12868" s="7" t="s">
        <v>32</v>
      </c>
      <c r="G12868" s="7">
        <v>4019903</v>
      </c>
      <c r="H12868" s="7">
        <v>2468</v>
      </c>
      <c r="I12868" s="7">
        <v>0</v>
      </c>
      <c r="J12868" s="7">
        <v>0</v>
      </c>
      <c r="K12868" s="7" t="s">
        <v>18</v>
      </c>
      <c r="L12868" s="8">
        <v>39987.315405092595</v>
      </c>
      <c r="M12868" s="9" t="s">
        <v>19</v>
      </c>
      <c r="N12868" s="9" t="s">
        <v>20</v>
      </c>
      <c r="O12868" s="6" t="str">
        <f>HYPERLINK("https://pbs.twimg.com/profile_images/962471262747529216/Uo8lOkRJ_normal.jpg","View")</f>
        <v>View</v>
      </c>
      <c r="P12868" s="7"/>
    </row>
    <row r="12869" spans="1:16">
      <c r="A12869" s="3">
        <v>44184.950277777782</v>
      </c>
      <c r="B12869" s="4" t="str">
        <f>HYPERLINK("https://twitter.com/petrogustavo","@petrogustavo")</f>
        <v>@petrogustavo</v>
      </c>
      <c r="C12869" s="5" t="s">
        <v>16</v>
      </c>
      <c r="D12869" s="5" t="s">
        <v>12382</v>
      </c>
      <c r="E12869" s="6" t="str">
        <f>HYPERLINK("https://twitter.com/petrogustavo/status/1340345753168965634","1340345753168965634")</f>
        <v>1340345753168965634</v>
      </c>
      <c r="F12869" s="7" t="s">
        <v>32</v>
      </c>
      <c r="G12869" s="7">
        <v>4019916</v>
      </c>
      <c r="H12869" s="7">
        <v>2468</v>
      </c>
      <c r="I12869" s="7">
        <v>73</v>
      </c>
      <c r="J12869" s="7">
        <v>0</v>
      </c>
      <c r="K12869" s="7" t="s">
        <v>18</v>
      </c>
      <c r="L12869" s="8">
        <v>39987.315405092595</v>
      </c>
      <c r="M12869" s="9" t="s">
        <v>19</v>
      </c>
      <c r="N12869" s="9" t="s">
        <v>20</v>
      </c>
      <c r="O12869" s="6" t="str">
        <f>HYPERLINK("https://pbs.twimg.com/profile_images/962471262747529216/Uo8lOkRJ_normal.jpg","View")</f>
        <v>View</v>
      </c>
      <c r="P12869" s="7"/>
    </row>
    <row r="12870" spans="1:16">
      <c r="A12870" s="3">
        <v>44184.951851851853</v>
      </c>
      <c r="B12870" s="4" t="str">
        <f>HYPERLINK("https://twitter.com/petrogustavo","@petrogustavo")</f>
        <v>@petrogustavo</v>
      </c>
      <c r="C12870" s="5" t="s">
        <v>16</v>
      </c>
      <c r="D12870" s="5" t="s">
        <v>12383</v>
      </c>
      <c r="E12870" s="6" t="str">
        <f>HYPERLINK("https://twitter.com/petrogustavo/status/1340346324512858112","1340346324512858112")</f>
        <v>1340346324512858112</v>
      </c>
      <c r="F12870" s="7" t="s">
        <v>32</v>
      </c>
      <c r="G12870" s="7">
        <v>4019916</v>
      </c>
      <c r="H12870" s="7">
        <v>2468</v>
      </c>
      <c r="I12870" s="7">
        <v>172</v>
      </c>
      <c r="J12870" s="7">
        <v>489</v>
      </c>
      <c r="K12870" s="7" t="s">
        <v>18</v>
      </c>
      <c r="L12870" s="8">
        <v>39987.315405092595</v>
      </c>
      <c r="M12870" s="9" t="s">
        <v>19</v>
      </c>
      <c r="N12870" s="9" t="s">
        <v>20</v>
      </c>
      <c r="O12870" s="6" t="str">
        <f>HYPERLINK("https://pbs.twimg.com/profile_images/962471262747529216/Uo8lOkRJ_normal.jpg","View")</f>
        <v>View</v>
      </c>
      <c r="P12870" s="7"/>
    </row>
    <row r="12871" spans="1:16">
      <c r="A12871" s="3">
        <v>44184.975300925929</v>
      </c>
      <c r="B12871" s="4" t="str">
        <f>HYPERLINK("https://twitter.com/petrogustavo","@petrogustavo")</f>
        <v>@petrogustavo</v>
      </c>
      <c r="C12871" s="5" t="s">
        <v>16</v>
      </c>
      <c r="D12871" s="5" t="s">
        <v>12384</v>
      </c>
      <c r="E12871" s="6" t="str">
        <f>HYPERLINK("https://twitter.com/petrogustavo/status/1340354820306296833","1340354820306296833")</f>
        <v>1340354820306296833</v>
      </c>
      <c r="F12871" s="7" t="s">
        <v>32</v>
      </c>
      <c r="G12871" s="7">
        <v>4019930</v>
      </c>
      <c r="H12871" s="7">
        <v>2468</v>
      </c>
      <c r="I12871" s="7">
        <v>302</v>
      </c>
      <c r="J12871" s="7">
        <v>0</v>
      </c>
      <c r="K12871" s="7" t="s">
        <v>18</v>
      </c>
      <c r="L12871" s="8">
        <v>39987.315405092595</v>
      </c>
      <c r="M12871" s="9" t="s">
        <v>19</v>
      </c>
      <c r="N12871" s="9" t="s">
        <v>20</v>
      </c>
      <c r="O12871" s="6" t="str">
        <f>HYPERLINK("https://pbs.twimg.com/profile_images/962471262747529216/Uo8lOkRJ_normal.jpg","View")</f>
        <v>View</v>
      </c>
      <c r="P12871" s="7"/>
    </row>
    <row r="12872" spans="1:16">
      <c r="A12872" s="3">
        <v>44184.994328703702</v>
      </c>
      <c r="B12872" s="4" t="str">
        <f>HYPERLINK("https://twitter.com/petrogustavo","@petrogustavo")</f>
        <v>@petrogustavo</v>
      </c>
      <c r="C12872" s="5" t="s">
        <v>16</v>
      </c>
      <c r="D12872" s="5" t="s">
        <v>12385</v>
      </c>
      <c r="E12872" s="6" t="str">
        <f>HYPERLINK("https://twitter.com/petrogustavo/status/1340361716111183873","1340361716111183873")</f>
        <v>1340361716111183873</v>
      </c>
      <c r="F12872" s="7" t="s">
        <v>17</v>
      </c>
      <c r="G12872" s="7">
        <v>4019937</v>
      </c>
      <c r="H12872" s="7">
        <v>2468</v>
      </c>
      <c r="I12872" s="7">
        <v>77</v>
      </c>
      <c r="J12872" s="7">
        <v>265</v>
      </c>
      <c r="K12872" s="7" t="s">
        <v>18</v>
      </c>
      <c r="L12872" s="8">
        <v>39987.315405092595</v>
      </c>
      <c r="M12872" s="9" t="s">
        <v>19</v>
      </c>
      <c r="N12872" s="9" t="s">
        <v>20</v>
      </c>
      <c r="O12872" s="6" t="str">
        <f>HYPERLINK("https://pbs.twimg.com/profile_images/962471262747529216/Uo8lOkRJ_normal.jpg","View")</f>
        <v>View</v>
      </c>
      <c r="P12872" s="7"/>
    </row>
    <row r="12873" spans="1:16">
      <c r="A12873" s="3">
        <v>44185.071979166663</v>
      </c>
      <c r="B12873" s="4" t="str">
        <f>HYPERLINK("https://twitter.com/petrogustavo","@petrogustavo")</f>
        <v>@petrogustavo</v>
      </c>
      <c r="C12873" s="5" t="s">
        <v>16</v>
      </c>
      <c r="D12873" s="5" t="s">
        <v>12366</v>
      </c>
      <c r="E12873" s="6" t="str">
        <f>HYPERLINK("https://twitter.com/petrogustavo/status/1340389855524757504","1340389855524757504")</f>
        <v>1340389855524757504</v>
      </c>
      <c r="F12873" s="7" t="s">
        <v>32</v>
      </c>
      <c r="G12873" s="7">
        <v>4019973</v>
      </c>
      <c r="H12873" s="7">
        <v>2468</v>
      </c>
      <c r="I12873" s="7">
        <v>1768</v>
      </c>
      <c r="J12873" s="7">
        <v>0</v>
      </c>
      <c r="K12873" s="7" t="s">
        <v>18</v>
      </c>
      <c r="L12873" s="8">
        <v>39987.315405092595</v>
      </c>
      <c r="M12873" s="9" t="s">
        <v>19</v>
      </c>
      <c r="N12873" s="9" t="s">
        <v>20</v>
      </c>
      <c r="O12873" s="6" t="str">
        <f>HYPERLINK("https://pbs.twimg.com/profile_images/962471262747529216/Uo8lOkRJ_normal.jpg","View")</f>
        <v>View</v>
      </c>
      <c r="P12873" s="7"/>
    </row>
    <row r="12874" spans="1:16">
      <c r="A12874" s="3">
        <v>44185.154386574075</v>
      </c>
      <c r="B12874" s="4" t="str">
        <f>HYPERLINK("https://twitter.com/petrogustavo","@petrogustavo")</f>
        <v>@petrogustavo</v>
      </c>
      <c r="C12874" s="5" t="s">
        <v>16</v>
      </c>
      <c r="D12874" s="5" t="s">
        <v>12386</v>
      </c>
      <c r="E12874" s="6" t="str">
        <f>HYPERLINK("https://twitter.com/petrogustavo/status/1340419719921360897","1340419719921360897")</f>
        <v>1340419719921360897</v>
      </c>
      <c r="F12874" s="7" t="s">
        <v>17</v>
      </c>
      <c r="G12874" s="7">
        <v>4020025</v>
      </c>
      <c r="H12874" s="7">
        <v>2468</v>
      </c>
      <c r="I12874" s="7">
        <v>34</v>
      </c>
      <c r="J12874" s="7">
        <v>75</v>
      </c>
      <c r="K12874" s="7" t="s">
        <v>18</v>
      </c>
      <c r="L12874" s="8">
        <v>39987.315405092595</v>
      </c>
      <c r="M12874" s="9" t="s">
        <v>19</v>
      </c>
      <c r="N12874" s="9" t="s">
        <v>20</v>
      </c>
      <c r="O12874" s="6" t="str">
        <f>HYPERLINK("https://pbs.twimg.com/profile_images/962471262747529216/Uo8lOkRJ_normal.jpg","View")</f>
        <v>View</v>
      </c>
      <c r="P12874" s="7"/>
    </row>
    <row r="12875" spans="1:16">
      <c r="A12875" s="3">
        <v>44185.212106481486</v>
      </c>
      <c r="B12875" s="4" t="str">
        <f>HYPERLINK("https://twitter.com/petrogustavo","@petrogustavo")</f>
        <v>@petrogustavo</v>
      </c>
      <c r="C12875" s="5" t="s">
        <v>16</v>
      </c>
      <c r="D12875" s="5" t="s">
        <v>12387</v>
      </c>
      <c r="E12875" s="6" t="str">
        <f>HYPERLINK("https://twitter.com/petrogustavo/status/1340440637125103616","1340440637125103616")</f>
        <v>1340440637125103616</v>
      </c>
      <c r="F12875" s="7" t="s">
        <v>17</v>
      </c>
      <c r="G12875" s="7">
        <v>4020055</v>
      </c>
      <c r="H12875" s="7">
        <v>2468</v>
      </c>
      <c r="I12875" s="7">
        <v>1964</v>
      </c>
      <c r="J12875" s="7">
        <v>0</v>
      </c>
      <c r="K12875" s="7" t="s">
        <v>18</v>
      </c>
      <c r="L12875" s="8">
        <v>39987.315405092595</v>
      </c>
      <c r="M12875" s="9" t="s">
        <v>19</v>
      </c>
      <c r="N12875" s="9" t="s">
        <v>20</v>
      </c>
      <c r="O12875" s="6" t="str">
        <f>HYPERLINK("https://pbs.twimg.com/profile_images/962471262747529216/Uo8lOkRJ_normal.jpg","View")</f>
        <v>View</v>
      </c>
      <c r="P12875" s="7"/>
    </row>
    <row r="12876" spans="1:16">
      <c r="A12876" s="3">
        <v>44185.212824074071</v>
      </c>
      <c r="B12876" s="4" t="str">
        <f>HYPERLINK("https://twitter.com/petrogustavo","@petrogustavo")</f>
        <v>@petrogustavo</v>
      </c>
      <c r="C12876" s="5" t="s">
        <v>16</v>
      </c>
      <c r="D12876" s="5" t="s">
        <v>12366</v>
      </c>
      <c r="E12876" s="6" t="str">
        <f>HYPERLINK("https://twitter.com/petrogustavo/status/1340440896446341120","1340440896446341120")</f>
        <v>1340440896446341120</v>
      </c>
      <c r="F12876" s="7" t="s">
        <v>17</v>
      </c>
      <c r="G12876" s="7">
        <v>4020055</v>
      </c>
      <c r="H12876" s="7">
        <v>2468</v>
      </c>
      <c r="I12876" s="7">
        <v>1808</v>
      </c>
      <c r="J12876" s="7">
        <v>0</v>
      </c>
      <c r="K12876" s="7" t="s">
        <v>18</v>
      </c>
      <c r="L12876" s="8">
        <v>39987.315405092595</v>
      </c>
      <c r="M12876" s="9" t="s">
        <v>19</v>
      </c>
      <c r="N12876" s="9" t="s">
        <v>20</v>
      </c>
      <c r="O12876" s="6" t="str">
        <f>HYPERLINK("https://pbs.twimg.com/profile_images/962471262747529216/Uo8lOkRJ_normal.jpg","View")</f>
        <v>View</v>
      </c>
      <c r="P12876" s="7"/>
    </row>
    <row r="12877" spans="1:16">
      <c r="A12877" s="3">
        <v>44185.224675925929</v>
      </c>
      <c r="B12877" s="4" t="str">
        <f>HYPERLINK("https://twitter.com/petrogustavo","@petrogustavo")</f>
        <v>@petrogustavo</v>
      </c>
      <c r="C12877" s="5" t="s">
        <v>16</v>
      </c>
      <c r="D12877" s="5" t="s">
        <v>12388</v>
      </c>
      <c r="E12877" s="6" t="str">
        <f>HYPERLINK("https://twitter.com/petrogustavo/status/1340445192265101313","1340445192265101313")</f>
        <v>1340445192265101313</v>
      </c>
      <c r="F12877" s="7" t="s">
        <v>17</v>
      </c>
      <c r="G12877" s="7">
        <v>4020057</v>
      </c>
      <c r="H12877" s="7">
        <v>2468</v>
      </c>
      <c r="I12877" s="7">
        <v>122</v>
      </c>
      <c r="J12877" s="7">
        <v>0</v>
      </c>
      <c r="K12877" s="7" t="s">
        <v>18</v>
      </c>
      <c r="L12877" s="8">
        <v>39987.315405092595</v>
      </c>
      <c r="M12877" s="9" t="s">
        <v>19</v>
      </c>
      <c r="N12877" s="9" t="s">
        <v>20</v>
      </c>
      <c r="O12877" s="6" t="str">
        <f>HYPERLINK("https://pbs.twimg.com/profile_images/962471262747529216/Uo8lOkRJ_normal.jpg","View")</f>
        <v>View</v>
      </c>
      <c r="P12877" s="7"/>
    </row>
    <row r="12878" spans="1:16">
      <c r="A12878" s="3">
        <v>44185.347442129627</v>
      </c>
      <c r="B12878" s="4" t="str">
        <f>HYPERLINK("https://twitter.com/petrogustavo","@petrogustavo")</f>
        <v>@petrogustavo</v>
      </c>
      <c r="C12878" s="5" t="s">
        <v>16</v>
      </c>
      <c r="D12878" s="5" t="s">
        <v>12366</v>
      </c>
      <c r="E12878" s="6" t="str">
        <f>HYPERLINK("https://twitter.com/petrogustavo/status/1340489679234326528","1340489679234326528")</f>
        <v>1340489679234326528</v>
      </c>
      <c r="F12878" s="7" t="s">
        <v>17</v>
      </c>
      <c r="G12878" s="7">
        <v>4020114</v>
      </c>
      <c r="H12878" s="7">
        <v>2468</v>
      </c>
      <c r="I12878" s="7">
        <v>1857</v>
      </c>
      <c r="J12878" s="7">
        <v>0</v>
      </c>
      <c r="K12878" s="7" t="s">
        <v>18</v>
      </c>
      <c r="L12878" s="8">
        <v>39987.315405092595</v>
      </c>
      <c r="M12878" s="9" t="s">
        <v>19</v>
      </c>
      <c r="N12878" s="9" t="s">
        <v>20</v>
      </c>
      <c r="O12878" s="6" t="str">
        <f>HYPERLINK("https://pbs.twimg.com/profile_images/962471262747529216/Uo8lOkRJ_normal.jpg","View")</f>
        <v>View</v>
      </c>
      <c r="P12878" s="7"/>
    </row>
    <row r="12879" spans="1:16">
      <c r="A12879" s="3">
        <v>44186.84375</v>
      </c>
      <c r="B12879" s="4" t="str">
        <f>HYPERLINK("https://twitter.com/petrogustavo","@petrogustavo")</f>
        <v>@petrogustavo</v>
      </c>
      <c r="C12879" s="5" t="s">
        <v>16</v>
      </c>
      <c r="D12879" s="5" t="s">
        <v>12389</v>
      </c>
      <c r="E12879" s="6" t="str">
        <f>HYPERLINK("https://twitter.com/petrogustavo/status/1341031924530331649","1341031924530331649")</f>
        <v>1341031924530331649</v>
      </c>
      <c r="F12879" s="7" t="s">
        <v>17</v>
      </c>
      <c r="G12879" s="7">
        <v>4020555</v>
      </c>
      <c r="H12879" s="7">
        <v>2467</v>
      </c>
      <c r="I12879" s="7">
        <v>10</v>
      </c>
      <c r="J12879" s="7">
        <v>49</v>
      </c>
      <c r="K12879" s="7" t="s">
        <v>18</v>
      </c>
      <c r="L12879" s="8">
        <v>39987.315405092595</v>
      </c>
      <c r="M12879" s="9" t="s">
        <v>19</v>
      </c>
      <c r="N12879" s="9" t="s">
        <v>20</v>
      </c>
      <c r="O12879" s="6" t="str">
        <f>HYPERLINK("https://pbs.twimg.com/profile_images/962471262747529216/Uo8lOkRJ_normal.jpg","View")</f>
        <v>View</v>
      </c>
      <c r="P12879" s="7"/>
    </row>
    <row r="12880" spans="1:16">
      <c r="A12880" s="3">
        <v>44186.909004629633</v>
      </c>
      <c r="B12880" s="4" t="str">
        <f>HYPERLINK("https://twitter.com/petrogustavo","@petrogustavo")</f>
        <v>@petrogustavo</v>
      </c>
      <c r="C12880" s="5" t="s">
        <v>16</v>
      </c>
      <c r="D12880" s="5" t="s">
        <v>12390</v>
      </c>
      <c r="E12880" s="6" t="str">
        <f>HYPERLINK("https://twitter.com/petrogustavo/status/1341055573454954497","1341055573454954497")</f>
        <v>1341055573454954497</v>
      </c>
      <c r="F12880" s="7" t="s">
        <v>17</v>
      </c>
      <c r="G12880" s="7">
        <v>4020624</v>
      </c>
      <c r="H12880" s="7">
        <v>2467</v>
      </c>
      <c r="I12880" s="7">
        <v>346</v>
      </c>
      <c r="J12880" s="7">
        <v>1155</v>
      </c>
      <c r="K12880" s="7" t="s">
        <v>18</v>
      </c>
      <c r="L12880" s="8">
        <v>39987.315405092595</v>
      </c>
      <c r="M12880" s="9" t="s">
        <v>19</v>
      </c>
      <c r="N12880" s="9" t="s">
        <v>20</v>
      </c>
      <c r="O12880" s="6" t="str">
        <f>HYPERLINK("https://pbs.twimg.com/profile_images/962471262747529216/Uo8lOkRJ_normal.jpg","View")</f>
        <v>View</v>
      </c>
      <c r="P12880" s="7"/>
    </row>
    <row r="12881" spans="1:16">
      <c r="A12881" s="3">
        <v>44186.915127314816</v>
      </c>
      <c r="B12881" s="4" t="str">
        <f>HYPERLINK("https://twitter.com/petrogustavo","@petrogustavo")</f>
        <v>@petrogustavo</v>
      </c>
      <c r="C12881" s="5" t="s">
        <v>16</v>
      </c>
      <c r="D12881" s="5" t="s">
        <v>12391</v>
      </c>
      <c r="E12881" s="6" t="str">
        <f>HYPERLINK("https://twitter.com/petrogustavo/status/1341057790677282820","1341057790677282820")</f>
        <v>1341057790677282820</v>
      </c>
      <c r="F12881" s="7" t="s">
        <v>17</v>
      </c>
      <c r="G12881" s="7">
        <v>4020624</v>
      </c>
      <c r="H12881" s="7">
        <v>2467</v>
      </c>
      <c r="I12881" s="7">
        <v>67</v>
      </c>
      <c r="J12881" s="7">
        <v>172</v>
      </c>
      <c r="K12881" s="7" t="s">
        <v>18</v>
      </c>
      <c r="L12881" s="8">
        <v>39987.315405092595</v>
      </c>
      <c r="M12881" s="9" t="s">
        <v>19</v>
      </c>
      <c r="N12881" s="9" t="s">
        <v>20</v>
      </c>
      <c r="O12881" s="6" t="str">
        <f>HYPERLINK("https://pbs.twimg.com/profile_images/962471262747529216/Uo8lOkRJ_normal.jpg","View")</f>
        <v>View</v>
      </c>
      <c r="P12881" s="7"/>
    </row>
    <row r="12882" spans="1:16">
      <c r="A12882" s="3">
        <v>44186.927974537037</v>
      </c>
      <c r="B12882" s="4" t="str">
        <f>HYPERLINK("https://twitter.com/petrogustavo","@petrogustavo")</f>
        <v>@petrogustavo</v>
      </c>
      <c r="C12882" s="5" t="s">
        <v>16</v>
      </c>
      <c r="D12882" s="5" t="s">
        <v>12392</v>
      </c>
      <c r="E12882" s="6" t="str">
        <f>HYPERLINK("https://twitter.com/petrogustavo/status/1341062445893365766","1341062445893365766")</f>
        <v>1341062445893365766</v>
      </c>
      <c r="F12882" s="7" t="s">
        <v>17</v>
      </c>
      <c r="G12882" s="7">
        <v>4020624</v>
      </c>
      <c r="H12882" s="7">
        <v>2467</v>
      </c>
      <c r="I12882" s="7">
        <v>19</v>
      </c>
      <c r="J12882" s="7">
        <v>95</v>
      </c>
      <c r="K12882" s="7" t="s">
        <v>18</v>
      </c>
      <c r="L12882" s="8">
        <v>39987.315405092595</v>
      </c>
      <c r="M12882" s="9" t="s">
        <v>19</v>
      </c>
      <c r="N12882" s="9" t="s">
        <v>20</v>
      </c>
      <c r="O12882" s="6" t="str">
        <f>HYPERLINK("https://pbs.twimg.com/profile_images/962471262747529216/Uo8lOkRJ_normal.jpg","View")</f>
        <v>View</v>
      </c>
      <c r="P12882" s="7"/>
    </row>
    <row r="12883" spans="1:16">
      <c r="A12883" s="3">
        <v>44186.932916666672</v>
      </c>
      <c r="B12883" s="4" t="str">
        <f>HYPERLINK("https://twitter.com/petrogustavo","@petrogustavo")</f>
        <v>@petrogustavo</v>
      </c>
      <c r="C12883" s="5" t="s">
        <v>16</v>
      </c>
      <c r="D12883" s="5" t="s">
        <v>12393</v>
      </c>
      <c r="E12883" s="6" t="str">
        <f>HYPERLINK("https://twitter.com/petrogustavo/status/1341064238765400065","1341064238765400065")</f>
        <v>1341064238765400065</v>
      </c>
      <c r="F12883" s="7" t="s">
        <v>17</v>
      </c>
      <c r="G12883" s="7">
        <v>4020624</v>
      </c>
      <c r="H12883" s="7">
        <v>2467</v>
      </c>
      <c r="I12883" s="7">
        <v>170</v>
      </c>
      <c r="J12883" s="7">
        <v>335</v>
      </c>
      <c r="K12883" s="7" t="s">
        <v>18</v>
      </c>
      <c r="L12883" s="8">
        <v>39987.315405092595</v>
      </c>
      <c r="M12883" s="9" t="s">
        <v>19</v>
      </c>
      <c r="N12883" s="9" t="s">
        <v>20</v>
      </c>
      <c r="O12883" s="6" t="str">
        <f>HYPERLINK("https://pbs.twimg.com/profile_images/962471262747529216/Uo8lOkRJ_normal.jpg","View")</f>
        <v>View</v>
      </c>
      <c r="P12883" s="7"/>
    </row>
    <row r="12884" spans="1:16">
      <c r="A12884" s="3">
        <v>44186.938773148147</v>
      </c>
      <c r="B12884" s="4" t="str">
        <f>HYPERLINK("https://twitter.com/petrogustavo","@petrogustavo")</f>
        <v>@petrogustavo</v>
      </c>
      <c r="C12884" s="5" t="s">
        <v>16</v>
      </c>
      <c r="D12884" s="5" t="s">
        <v>12394</v>
      </c>
      <c r="E12884" s="6" t="str">
        <f>HYPERLINK("https://twitter.com/petrogustavo/status/1341066359871053827","1341066359871053827")</f>
        <v>1341066359871053827</v>
      </c>
      <c r="F12884" s="7" t="s">
        <v>17</v>
      </c>
      <c r="G12884" s="7">
        <v>4020624</v>
      </c>
      <c r="H12884" s="7">
        <v>2467</v>
      </c>
      <c r="I12884" s="7">
        <v>42</v>
      </c>
      <c r="J12884" s="7">
        <v>107</v>
      </c>
      <c r="K12884" s="7" t="s">
        <v>18</v>
      </c>
      <c r="L12884" s="8">
        <v>39987.315405092595</v>
      </c>
      <c r="M12884" s="9" t="s">
        <v>19</v>
      </c>
      <c r="N12884" s="9" t="s">
        <v>20</v>
      </c>
      <c r="O12884" s="6" t="str">
        <f>HYPERLINK("https://pbs.twimg.com/profile_images/962471262747529216/Uo8lOkRJ_normal.jpg","View")</f>
        <v>View</v>
      </c>
      <c r="P12884" s="7"/>
    </row>
    <row r="12885" spans="1:16">
      <c r="A12885" s="3">
        <v>44186.938784722224</v>
      </c>
      <c r="B12885" s="4" t="str">
        <f>HYPERLINK("https://twitter.com/petrogustavo","@petrogustavo")</f>
        <v>@petrogustavo</v>
      </c>
      <c r="C12885" s="5" t="s">
        <v>16</v>
      </c>
      <c r="D12885" s="5" t="s">
        <v>12395</v>
      </c>
      <c r="E12885" s="6" t="str">
        <f>HYPERLINK("https://twitter.com/petrogustavo/status/1341066361435516934","1341066361435516934")</f>
        <v>1341066361435516934</v>
      </c>
      <c r="F12885" s="7" t="s">
        <v>17</v>
      </c>
      <c r="G12885" s="7">
        <v>4020624</v>
      </c>
      <c r="H12885" s="7">
        <v>2467</v>
      </c>
      <c r="I12885" s="7">
        <v>24</v>
      </c>
      <c r="J12885" s="7">
        <v>75</v>
      </c>
      <c r="K12885" s="7" t="s">
        <v>18</v>
      </c>
      <c r="L12885" s="8">
        <v>39987.315405092595</v>
      </c>
      <c r="M12885" s="9" t="s">
        <v>19</v>
      </c>
      <c r="N12885" s="9" t="s">
        <v>20</v>
      </c>
      <c r="O12885" s="6" t="str">
        <f>HYPERLINK("https://pbs.twimg.com/profile_images/962471262747529216/Uo8lOkRJ_normal.jpg","View")</f>
        <v>View</v>
      </c>
      <c r="P12885" s="7"/>
    </row>
    <row r="12886" spans="1:16">
      <c r="A12886" s="3">
        <v>44186.938784722224</v>
      </c>
      <c r="B12886" s="4" t="str">
        <f>HYPERLINK("https://twitter.com/petrogustavo","@petrogustavo")</f>
        <v>@petrogustavo</v>
      </c>
      <c r="C12886" s="5" t="s">
        <v>16</v>
      </c>
      <c r="D12886" s="5" t="s">
        <v>12396</v>
      </c>
      <c r="E12886" s="6" t="str">
        <f>HYPERLINK("https://twitter.com/petrogustavo/status/1341066362517598209","1341066362517598209")</f>
        <v>1341066362517598209</v>
      </c>
      <c r="F12886" s="7" t="s">
        <v>17</v>
      </c>
      <c r="G12886" s="7">
        <v>4020624</v>
      </c>
      <c r="H12886" s="7">
        <v>2467</v>
      </c>
      <c r="I12886" s="7">
        <v>27</v>
      </c>
      <c r="J12886" s="7">
        <v>82</v>
      </c>
      <c r="K12886" s="7" t="s">
        <v>18</v>
      </c>
      <c r="L12886" s="8">
        <v>39987.315405092595</v>
      </c>
      <c r="M12886" s="9" t="s">
        <v>19</v>
      </c>
      <c r="N12886" s="9" t="s">
        <v>20</v>
      </c>
      <c r="O12886" s="6" t="str">
        <f>HYPERLINK("https://pbs.twimg.com/profile_images/962471262747529216/Uo8lOkRJ_normal.jpg","View")</f>
        <v>View</v>
      </c>
      <c r="P12886" s="7"/>
    </row>
    <row r="12887" spans="1:16">
      <c r="A12887" s="3">
        <v>44186.96769675926</v>
      </c>
      <c r="B12887" s="4" t="str">
        <f>HYPERLINK("https://twitter.com/petrogustavo","@petrogustavo")</f>
        <v>@petrogustavo</v>
      </c>
      <c r="C12887" s="5" t="s">
        <v>16</v>
      </c>
      <c r="D12887" s="5" t="s">
        <v>12397</v>
      </c>
      <c r="E12887" s="6" t="str">
        <f>HYPERLINK("https://twitter.com/petrogustavo/status/1341076841847812097","1341076841847812097")</f>
        <v>1341076841847812097</v>
      </c>
      <c r="F12887" s="7" t="s">
        <v>17</v>
      </c>
      <c r="G12887" s="7">
        <v>4020654</v>
      </c>
      <c r="H12887" s="7">
        <v>2467</v>
      </c>
      <c r="I12887" s="7">
        <v>1044</v>
      </c>
      <c r="J12887" s="7">
        <v>0</v>
      </c>
      <c r="K12887" s="7" t="s">
        <v>18</v>
      </c>
      <c r="L12887" s="8">
        <v>39987.315405092595</v>
      </c>
      <c r="M12887" s="9" t="s">
        <v>19</v>
      </c>
      <c r="N12887" s="9" t="s">
        <v>20</v>
      </c>
      <c r="O12887" s="6" t="str">
        <f>HYPERLINK("https://pbs.twimg.com/profile_images/962471262747529216/Uo8lOkRJ_normal.jpg","View")</f>
        <v>View</v>
      </c>
      <c r="P12887" s="7"/>
    </row>
    <row r="12888" spans="1:16">
      <c r="A12888" s="3">
        <v>44187.016041666662</v>
      </c>
      <c r="B12888" s="4" t="str">
        <f>HYPERLINK("https://twitter.com/petrogustavo","@petrogustavo")</f>
        <v>@petrogustavo</v>
      </c>
      <c r="C12888" s="5" t="s">
        <v>16</v>
      </c>
      <c r="D12888" s="5" t="s">
        <v>12398</v>
      </c>
      <c r="E12888" s="6" t="str">
        <f>HYPERLINK("https://twitter.com/petrogustavo/status/1341094359836594177","1341094359836594177")</f>
        <v>1341094359836594177</v>
      </c>
      <c r="F12888" s="7" t="s">
        <v>17</v>
      </c>
      <c r="G12888" s="7">
        <v>4020694</v>
      </c>
      <c r="H12888" s="7">
        <v>2467</v>
      </c>
      <c r="I12888" s="7">
        <v>22</v>
      </c>
      <c r="J12888" s="7">
        <v>0</v>
      </c>
      <c r="K12888" s="7" t="s">
        <v>18</v>
      </c>
      <c r="L12888" s="8">
        <v>39987.315405092595</v>
      </c>
      <c r="M12888" s="9" t="s">
        <v>19</v>
      </c>
      <c r="N12888" s="9" t="s">
        <v>20</v>
      </c>
      <c r="O12888" s="6" t="str">
        <f>HYPERLINK("https://pbs.twimg.com/profile_images/962471262747529216/Uo8lOkRJ_normal.jpg","View")</f>
        <v>View</v>
      </c>
      <c r="P12888" s="7"/>
    </row>
    <row r="12889" spans="1:16">
      <c r="A12889" s="3">
        <v>44187.018217592587</v>
      </c>
      <c r="B12889" s="4" t="str">
        <f>HYPERLINK("https://twitter.com/petrogustavo","@petrogustavo")</f>
        <v>@petrogustavo</v>
      </c>
      <c r="C12889" s="5" t="s">
        <v>16</v>
      </c>
      <c r="D12889" s="5" t="s">
        <v>12399</v>
      </c>
      <c r="E12889" s="6" t="str">
        <f>HYPERLINK("https://twitter.com/petrogustavo/status/1341095146922909698","1341095146922909698")</f>
        <v>1341095146922909698</v>
      </c>
      <c r="F12889" s="7" t="s">
        <v>17</v>
      </c>
      <c r="G12889" s="7">
        <v>4020694</v>
      </c>
      <c r="H12889" s="7">
        <v>2467</v>
      </c>
      <c r="I12889" s="7">
        <v>2926</v>
      </c>
      <c r="J12889" s="7">
        <v>0</v>
      </c>
      <c r="K12889" s="7" t="s">
        <v>18</v>
      </c>
      <c r="L12889" s="8">
        <v>39987.315405092595</v>
      </c>
      <c r="M12889" s="9" t="s">
        <v>19</v>
      </c>
      <c r="N12889" s="9" t="s">
        <v>20</v>
      </c>
      <c r="O12889" s="6" t="str">
        <f>HYPERLINK("https://pbs.twimg.com/profile_images/962471262747529216/Uo8lOkRJ_normal.jpg","View")</f>
        <v>View</v>
      </c>
      <c r="P12889" s="7"/>
    </row>
    <row r="12890" spans="1:16">
      <c r="A12890" s="3">
        <v>44187.024942129632</v>
      </c>
      <c r="B12890" s="4" t="str">
        <f>HYPERLINK("https://twitter.com/petrogustavo","@petrogustavo")</f>
        <v>@petrogustavo</v>
      </c>
      <c r="C12890" s="5" t="s">
        <v>16</v>
      </c>
      <c r="D12890" s="5" t="s">
        <v>12400</v>
      </c>
      <c r="E12890" s="6" t="str">
        <f>HYPERLINK("https://twitter.com/petrogustavo/status/1341097587475165194","1341097587475165194")</f>
        <v>1341097587475165194</v>
      </c>
      <c r="F12890" s="7" t="s">
        <v>17</v>
      </c>
      <c r="G12890" s="7">
        <v>4020694</v>
      </c>
      <c r="H12890" s="7">
        <v>2467</v>
      </c>
      <c r="I12890" s="7">
        <v>69</v>
      </c>
      <c r="J12890" s="7">
        <v>231</v>
      </c>
      <c r="K12890" s="7" t="s">
        <v>18</v>
      </c>
      <c r="L12890" s="8">
        <v>39987.315405092595</v>
      </c>
      <c r="M12890" s="9" t="s">
        <v>19</v>
      </c>
      <c r="N12890" s="9" t="s">
        <v>20</v>
      </c>
      <c r="O12890" s="6" t="str">
        <f>HYPERLINK("https://pbs.twimg.com/profile_images/962471262747529216/Uo8lOkRJ_normal.jpg","View")</f>
        <v>View</v>
      </c>
      <c r="P12890" s="7"/>
    </row>
    <row r="12891" spans="1:16">
      <c r="A12891" s="3">
        <v>44187.033657407403</v>
      </c>
      <c r="B12891" s="4" t="str">
        <f>HYPERLINK("https://twitter.com/petrogustavo","@petrogustavo")</f>
        <v>@petrogustavo</v>
      </c>
      <c r="C12891" s="5" t="s">
        <v>16</v>
      </c>
      <c r="D12891" s="5" t="s">
        <v>12401</v>
      </c>
      <c r="E12891" s="6" t="str">
        <f>HYPERLINK("https://twitter.com/petrogustavo/status/1341100743340797958","1341100743340797958")</f>
        <v>1341100743340797958</v>
      </c>
      <c r="F12891" s="7" t="s">
        <v>17</v>
      </c>
      <c r="G12891" s="7">
        <v>4020701</v>
      </c>
      <c r="H12891" s="7">
        <v>2467</v>
      </c>
      <c r="I12891" s="7">
        <v>78</v>
      </c>
      <c r="J12891" s="7">
        <v>193</v>
      </c>
      <c r="K12891" s="7" t="s">
        <v>18</v>
      </c>
      <c r="L12891" s="8">
        <v>39987.315405092595</v>
      </c>
      <c r="M12891" s="9" t="s">
        <v>19</v>
      </c>
      <c r="N12891" s="9" t="s">
        <v>20</v>
      </c>
      <c r="O12891" s="6" t="str">
        <f>HYPERLINK("https://pbs.twimg.com/profile_images/962471262747529216/Uo8lOkRJ_normal.jpg","View")</f>
        <v>View</v>
      </c>
      <c r="P12891" s="7"/>
    </row>
    <row r="12892" spans="1:16">
      <c r="A12892" s="3">
        <v>44187.035185185188</v>
      </c>
      <c r="B12892" s="4" t="str">
        <f>HYPERLINK("https://twitter.com/petrogustavo","@petrogustavo")</f>
        <v>@petrogustavo</v>
      </c>
      <c r="C12892" s="5" t="s">
        <v>16</v>
      </c>
      <c r="D12892" s="5" t="s">
        <v>12402</v>
      </c>
      <c r="E12892" s="6" t="str">
        <f>HYPERLINK("https://twitter.com/petrogustavo/status/1341101297056026624","1341101297056026624")</f>
        <v>1341101297056026624</v>
      </c>
      <c r="F12892" s="7" t="s">
        <v>17</v>
      </c>
      <c r="G12892" s="7">
        <v>4020701</v>
      </c>
      <c r="H12892" s="7">
        <v>2467</v>
      </c>
      <c r="I12892" s="7">
        <v>469</v>
      </c>
      <c r="J12892" s="7">
        <v>0</v>
      </c>
      <c r="K12892" s="7" t="s">
        <v>18</v>
      </c>
      <c r="L12892" s="8">
        <v>39987.315405092595</v>
      </c>
      <c r="M12892" s="9" t="s">
        <v>19</v>
      </c>
      <c r="N12892" s="9" t="s">
        <v>20</v>
      </c>
      <c r="O12892" s="6" t="str">
        <f>HYPERLINK("https://pbs.twimg.com/profile_images/962471262747529216/Uo8lOkRJ_normal.jpg","View")</f>
        <v>View</v>
      </c>
      <c r="P12892" s="7"/>
    </row>
    <row r="12893" spans="1:16">
      <c r="A12893" s="3">
        <v>44187.052083333328</v>
      </c>
      <c r="B12893" s="4" t="str">
        <f>HYPERLINK("https://twitter.com/petrogustavo","@petrogustavo")</f>
        <v>@petrogustavo</v>
      </c>
      <c r="C12893" s="5" t="s">
        <v>16</v>
      </c>
      <c r="D12893" s="5" t="s">
        <v>12403</v>
      </c>
      <c r="E12893" s="6" t="str">
        <f>HYPERLINK("https://twitter.com/petrogustavo/status/1341107420077109254","1341107420077109254")</f>
        <v>1341107420077109254</v>
      </c>
      <c r="F12893" s="7" t="s">
        <v>17</v>
      </c>
      <c r="G12893" s="7">
        <v>4020701</v>
      </c>
      <c r="H12893" s="7">
        <v>2467</v>
      </c>
      <c r="I12893" s="7">
        <v>25</v>
      </c>
      <c r="J12893" s="7">
        <v>94</v>
      </c>
      <c r="K12893" s="7" t="s">
        <v>18</v>
      </c>
      <c r="L12893" s="8">
        <v>39987.315405092595</v>
      </c>
      <c r="M12893" s="9" t="s">
        <v>19</v>
      </c>
      <c r="N12893" s="9" t="s">
        <v>20</v>
      </c>
      <c r="O12893" s="6" t="str">
        <f>HYPERLINK("https://pbs.twimg.com/profile_images/962471262747529216/Uo8lOkRJ_normal.jpg","View")</f>
        <v>View</v>
      </c>
      <c r="P12893" s="7"/>
    </row>
    <row r="12894" spans="1:16">
      <c r="A12894" s="3">
        <v>44187.094537037032</v>
      </c>
      <c r="B12894" s="4" t="str">
        <f>HYPERLINK("https://twitter.com/petrogustavo","@petrogustavo")</f>
        <v>@petrogustavo</v>
      </c>
      <c r="C12894" s="5" t="s">
        <v>16</v>
      </c>
      <c r="D12894" s="5" t="s">
        <v>12404</v>
      </c>
      <c r="E12894" s="6" t="str">
        <f>HYPERLINK("https://twitter.com/petrogustavo/status/1341122805287497728","1341122805287497728")</f>
        <v>1341122805287497728</v>
      </c>
      <c r="F12894" s="7" t="s">
        <v>17</v>
      </c>
      <c r="G12894" s="7">
        <v>4020748</v>
      </c>
      <c r="H12894" s="7">
        <v>2467</v>
      </c>
      <c r="I12894" s="7">
        <v>7</v>
      </c>
      <c r="J12894" s="7">
        <v>15</v>
      </c>
      <c r="K12894" s="7" t="s">
        <v>18</v>
      </c>
      <c r="L12894" s="8">
        <v>39987.315405092595</v>
      </c>
      <c r="M12894" s="9" t="s">
        <v>19</v>
      </c>
      <c r="N12894" s="9" t="s">
        <v>20</v>
      </c>
      <c r="O12894" s="6" t="str">
        <f>HYPERLINK("https://pbs.twimg.com/profile_images/962471262747529216/Uo8lOkRJ_normal.jpg","View")</f>
        <v>View</v>
      </c>
      <c r="P12894" s="7"/>
    </row>
    <row r="12895" spans="1:16">
      <c r="A12895" s="3">
        <v>44187.116886574076</v>
      </c>
      <c r="B12895" s="4" t="str">
        <f>HYPERLINK("https://twitter.com/petrogustavo","@petrogustavo")</f>
        <v>@petrogustavo</v>
      </c>
      <c r="C12895" s="5" t="s">
        <v>16</v>
      </c>
      <c r="D12895" s="5" t="s">
        <v>12405</v>
      </c>
      <c r="E12895" s="6" t="str">
        <f>HYPERLINK("https://twitter.com/petrogustavo/status/1341130903880425476","1341130903880425476")</f>
        <v>1341130903880425476</v>
      </c>
      <c r="F12895" s="7" t="s">
        <v>17</v>
      </c>
      <c r="G12895" s="7">
        <v>4020762</v>
      </c>
      <c r="H12895" s="7">
        <v>2467</v>
      </c>
      <c r="I12895" s="7">
        <v>2</v>
      </c>
      <c r="J12895" s="7">
        <v>0</v>
      </c>
      <c r="K12895" s="7" t="s">
        <v>18</v>
      </c>
      <c r="L12895" s="8">
        <v>39987.315405092595</v>
      </c>
      <c r="M12895" s="9" t="s">
        <v>19</v>
      </c>
      <c r="N12895" s="9" t="s">
        <v>20</v>
      </c>
      <c r="O12895" s="6" t="str">
        <f>HYPERLINK("https://pbs.twimg.com/profile_images/962471262747529216/Uo8lOkRJ_normal.jpg","View")</f>
        <v>View</v>
      </c>
      <c r="P12895" s="7"/>
    </row>
    <row r="12896" spans="1:16">
      <c r="A12896" s="3">
        <v>44187.123067129629</v>
      </c>
      <c r="B12896" s="4" t="str">
        <f>HYPERLINK("https://twitter.com/petrogustavo","@petrogustavo")</f>
        <v>@petrogustavo</v>
      </c>
      <c r="C12896" s="5" t="s">
        <v>16</v>
      </c>
      <c r="D12896" s="5" t="s">
        <v>12406</v>
      </c>
      <c r="E12896" s="6" t="str">
        <f>HYPERLINK("https://twitter.com/petrogustavo/status/1341133144540508161","1341133144540508161")</f>
        <v>1341133144540508161</v>
      </c>
      <c r="F12896" s="7" t="s">
        <v>17</v>
      </c>
      <c r="G12896" s="7">
        <v>4020779</v>
      </c>
      <c r="H12896" s="7">
        <v>2467</v>
      </c>
      <c r="I12896" s="7">
        <v>26</v>
      </c>
      <c r="J12896" s="7">
        <v>81</v>
      </c>
      <c r="K12896" s="7" t="s">
        <v>18</v>
      </c>
      <c r="L12896" s="8">
        <v>39987.315405092595</v>
      </c>
      <c r="M12896" s="9" t="s">
        <v>19</v>
      </c>
      <c r="N12896" s="9" t="s">
        <v>20</v>
      </c>
      <c r="O12896" s="6" t="str">
        <f>HYPERLINK("https://pbs.twimg.com/profile_images/962471262747529216/Uo8lOkRJ_normal.jpg","View")</f>
        <v>View</v>
      </c>
      <c r="P12896" s="7"/>
    </row>
    <row r="12897" spans="1:16">
      <c r="A12897" s="3">
        <v>44187.132187499999</v>
      </c>
      <c r="B12897" s="4" t="str">
        <f>HYPERLINK("https://twitter.com/petrogustavo","@petrogustavo")</f>
        <v>@petrogustavo</v>
      </c>
      <c r="C12897" s="5" t="s">
        <v>16</v>
      </c>
      <c r="D12897" s="5" t="s">
        <v>12407</v>
      </c>
      <c r="E12897" s="6" t="str">
        <f>HYPERLINK("https://twitter.com/petrogustavo/status/1341136449719197700","1341136449719197700")</f>
        <v>1341136449719197700</v>
      </c>
      <c r="F12897" s="7" t="s">
        <v>17</v>
      </c>
      <c r="G12897" s="7">
        <v>4020779</v>
      </c>
      <c r="H12897" s="7">
        <v>2467</v>
      </c>
      <c r="I12897" s="7">
        <v>74</v>
      </c>
      <c r="J12897" s="7">
        <v>258</v>
      </c>
      <c r="K12897" s="7" t="s">
        <v>18</v>
      </c>
      <c r="L12897" s="8">
        <v>39987.315405092595</v>
      </c>
      <c r="M12897" s="9" t="s">
        <v>19</v>
      </c>
      <c r="N12897" s="9" t="s">
        <v>20</v>
      </c>
      <c r="O12897" s="6" t="str">
        <f>HYPERLINK("https://pbs.twimg.com/profile_images/962471262747529216/Uo8lOkRJ_normal.jpg","View")</f>
        <v>View</v>
      </c>
      <c r="P12897" s="7"/>
    </row>
    <row r="12898" spans="1:16">
      <c r="A12898" s="3">
        <v>44188.08012731481</v>
      </c>
      <c r="B12898" s="4" t="str">
        <f>HYPERLINK("https://twitter.com/petrogustavo","@petrogustavo")</f>
        <v>@petrogustavo</v>
      </c>
      <c r="C12898" s="5" t="s">
        <v>16</v>
      </c>
      <c r="D12898" s="5" t="s">
        <v>12408</v>
      </c>
      <c r="E12898" s="6" t="str">
        <f>HYPERLINK("https://twitter.com/petrogustavo/status/1341479971290791936","1341479971290791936")</f>
        <v>1341479971290791936</v>
      </c>
      <c r="F12898" s="7" t="s">
        <v>17</v>
      </c>
      <c r="G12898" s="7">
        <v>4021399</v>
      </c>
      <c r="H12898" s="7">
        <v>2467</v>
      </c>
      <c r="I12898" s="7">
        <v>73</v>
      </c>
      <c r="J12898" s="7">
        <v>218</v>
      </c>
      <c r="K12898" s="7" t="s">
        <v>18</v>
      </c>
      <c r="L12898" s="8">
        <v>39987.315405092595</v>
      </c>
      <c r="M12898" s="9" t="s">
        <v>19</v>
      </c>
      <c r="N12898" s="9" t="s">
        <v>20</v>
      </c>
      <c r="O12898" s="6" t="str">
        <f>HYPERLINK("https://pbs.twimg.com/profile_images/962471262747529216/Uo8lOkRJ_normal.jpg","View")</f>
        <v>View</v>
      </c>
      <c r="P12898" s="7"/>
    </row>
    <row r="12899" spans="1:16">
      <c r="A12899" s="3">
        <v>44188.081493055557</v>
      </c>
      <c r="B12899" s="4" t="str">
        <f>HYPERLINK("https://twitter.com/petrogustavo","@petrogustavo")</f>
        <v>@petrogustavo</v>
      </c>
      <c r="C12899" s="5" t="s">
        <v>16</v>
      </c>
      <c r="D12899" s="5" t="s">
        <v>12409</v>
      </c>
      <c r="E12899" s="6" t="str">
        <f>HYPERLINK("https://twitter.com/petrogustavo/status/1341480466973667328","1341480466973667328")</f>
        <v>1341480466973667328</v>
      </c>
      <c r="F12899" s="7" t="s">
        <v>17</v>
      </c>
      <c r="G12899" s="7">
        <v>4021399</v>
      </c>
      <c r="H12899" s="7">
        <v>2467</v>
      </c>
      <c r="I12899" s="7">
        <v>62</v>
      </c>
      <c r="J12899" s="7">
        <v>193</v>
      </c>
      <c r="K12899" s="7" t="s">
        <v>18</v>
      </c>
      <c r="L12899" s="8">
        <v>39987.315405092595</v>
      </c>
      <c r="M12899" s="9" t="s">
        <v>19</v>
      </c>
      <c r="N12899" s="9" t="s">
        <v>20</v>
      </c>
      <c r="O12899" s="6" t="str">
        <f>HYPERLINK("https://pbs.twimg.com/profile_images/962471262747529216/Uo8lOkRJ_normal.jpg","View")</f>
        <v>View</v>
      </c>
      <c r="P12899" s="7"/>
    </row>
    <row r="12900" spans="1:16">
      <c r="A12900" s="3">
        <v>44188.088796296295</v>
      </c>
      <c r="B12900" s="4" t="str">
        <f>HYPERLINK("https://twitter.com/petrogustavo","@petrogustavo")</f>
        <v>@petrogustavo</v>
      </c>
      <c r="C12900" s="5" t="s">
        <v>16</v>
      </c>
      <c r="D12900" s="5" t="s">
        <v>12410</v>
      </c>
      <c r="E12900" s="6" t="str">
        <f>HYPERLINK("https://twitter.com/petrogustavo/status/1341483113705254915","1341483113705254915")</f>
        <v>1341483113705254915</v>
      </c>
      <c r="F12900" s="7" t="s">
        <v>17</v>
      </c>
      <c r="G12900" s="7">
        <v>4021399</v>
      </c>
      <c r="H12900" s="7">
        <v>2467</v>
      </c>
      <c r="I12900" s="7">
        <v>188</v>
      </c>
      <c r="J12900" s="7">
        <v>0</v>
      </c>
      <c r="K12900" s="7" t="s">
        <v>18</v>
      </c>
      <c r="L12900" s="8">
        <v>39987.315405092595</v>
      </c>
      <c r="M12900" s="9" t="s">
        <v>19</v>
      </c>
      <c r="N12900" s="9" t="s">
        <v>20</v>
      </c>
      <c r="O12900" s="6" t="str">
        <f>HYPERLINK("https://pbs.twimg.com/profile_images/962471262747529216/Uo8lOkRJ_normal.jpg","View")</f>
        <v>View</v>
      </c>
      <c r="P12900" s="7"/>
    </row>
    <row r="12901" spans="1:16">
      <c r="A12901" s="3">
        <v>44188.09579861111</v>
      </c>
      <c r="B12901" s="4" t="str">
        <f>HYPERLINK("https://twitter.com/petrogustavo","@petrogustavo")</f>
        <v>@petrogustavo</v>
      </c>
      <c r="C12901" s="5" t="s">
        <v>16</v>
      </c>
      <c r="D12901" s="5" t="s">
        <v>12411</v>
      </c>
      <c r="E12901" s="6" t="str">
        <f>HYPERLINK("https://twitter.com/petrogustavo/status/1341485651779305474","1341485651779305474")</f>
        <v>1341485651779305474</v>
      </c>
      <c r="F12901" s="7" t="s">
        <v>17</v>
      </c>
      <c r="G12901" s="7">
        <v>4021413</v>
      </c>
      <c r="H12901" s="7">
        <v>2467</v>
      </c>
      <c r="I12901" s="7">
        <v>579</v>
      </c>
      <c r="J12901" s="7">
        <v>0</v>
      </c>
      <c r="K12901" s="7" t="s">
        <v>18</v>
      </c>
      <c r="L12901" s="8">
        <v>39987.315405092595</v>
      </c>
      <c r="M12901" s="9" t="s">
        <v>19</v>
      </c>
      <c r="N12901" s="9" t="s">
        <v>20</v>
      </c>
      <c r="O12901" s="6" t="str">
        <f>HYPERLINK("https://pbs.twimg.com/profile_images/962471262747529216/Uo8lOkRJ_normal.jpg","View")</f>
        <v>View</v>
      </c>
      <c r="P12901" s="7"/>
    </row>
    <row r="12902" spans="1:16">
      <c r="A12902" s="3">
        <v>44188.096296296295</v>
      </c>
      <c r="B12902" s="4" t="str">
        <f>HYPERLINK("https://twitter.com/petrogustavo","@petrogustavo")</f>
        <v>@petrogustavo</v>
      </c>
      <c r="C12902" s="5" t="s">
        <v>16</v>
      </c>
      <c r="D12902" s="5" t="s">
        <v>12412</v>
      </c>
      <c r="E12902" s="6" t="str">
        <f>HYPERLINK("https://twitter.com/petrogustavo/status/1341485831966617607","1341485831966617607")</f>
        <v>1341485831966617607</v>
      </c>
      <c r="F12902" s="7" t="s">
        <v>17</v>
      </c>
      <c r="G12902" s="7">
        <v>4021413</v>
      </c>
      <c r="H12902" s="7">
        <v>2467</v>
      </c>
      <c r="I12902" s="7">
        <v>121</v>
      </c>
      <c r="J12902" s="7">
        <v>0</v>
      </c>
      <c r="K12902" s="7" t="s">
        <v>18</v>
      </c>
      <c r="L12902" s="8">
        <v>39987.315405092595</v>
      </c>
      <c r="M12902" s="9" t="s">
        <v>19</v>
      </c>
      <c r="N12902" s="9" t="s">
        <v>20</v>
      </c>
      <c r="O12902" s="6" t="str">
        <f>HYPERLINK("https://pbs.twimg.com/profile_images/962471262747529216/Uo8lOkRJ_normal.jpg","View")</f>
        <v>View</v>
      </c>
      <c r="P12902" s="7"/>
    </row>
    <row r="12903" spans="1:16">
      <c r="A12903" s="3">
        <v>44188.977731481486</v>
      </c>
      <c r="B12903" s="4" t="str">
        <f>HYPERLINK("https://twitter.com/petrogustavo","@petrogustavo")</f>
        <v>@petrogustavo</v>
      </c>
      <c r="C12903" s="5" t="s">
        <v>16</v>
      </c>
      <c r="D12903" s="5" t="s">
        <v>12413</v>
      </c>
      <c r="E12903" s="6" t="str">
        <f>HYPERLINK("https://twitter.com/petrogustavo/status/1341805253168132098","1341805253168132098")</f>
        <v>1341805253168132098</v>
      </c>
      <c r="F12903" s="7" t="s">
        <v>17</v>
      </c>
      <c r="G12903" s="7">
        <v>4021886</v>
      </c>
      <c r="H12903" s="7">
        <v>2467</v>
      </c>
      <c r="I12903" s="7">
        <v>62</v>
      </c>
      <c r="J12903" s="7">
        <v>139</v>
      </c>
      <c r="K12903" s="7" t="s">
        <v>18</v>
      </c>
      <c r="L12903" s="8">
        <v>39987.315405092595</v>
      </c>
      <c r="M12903" s="9" t="s">
        <v>19</v>
      </c>
      <c r="N12903" s="9" t="s">
        <v>20</v>
      </c>
      <c r="O12903" s="6" t="str">
        <f>HYPERLINK("https://pbs.twimg.com/profile_images/962471262747529216/Uo8lOkRJ_normal.jpg","View")</f>
        <v>View</v>
      </c>
      <c r="P12903" s="7"/>
    </row>
    <row r="12904" spans="1:16">
      <c r="A12904" s="3">
        <v>44188.983032407406</v>
      </c>
      <c r="B12904" s="4" t="str">
        <f>HYPERLINK("https://twitter.com/petrogustavo","@petrogustavo")</f>
        <v>@petrogustavo</v>
      </c>
      <c r="C12904" s="5" t="s">
        <v>16</v>
      </c>
      <c r="D12904" s="5" t="s">
        <v>12414</v>
      </c>
      <c r="E12904" s="6" t="str">
        <f>HYPERLINK("https://twitter.com/petrogustavo/status/1341807175505735685","1341807175505735685")</f>
        <v>1341807175505735685</v>
      </c>
      <c r="F12904" s="7" t="s">
        <v>17</v>
      </c>
      <c r="G12904" s="7">
        <v>4021886</v>
      </c>
      <c r="H12904" s="7">
        <v>2467</v>
      </c>
      <c r="I12904" s="7">
        <v>47</v>
      </c>
      <c r="J12904" s="7">
        <v>143</v>
      </c>
      <c r="K12904" s="7" t="s">
        <v>18</v>
      </c>
      <c r="L12904" s="8">
        <v>39987.315405092595</v>
      </c>
      <c r="M12904" s="9" t="s">
        <v>19</v>
      </c>
      <c r="N12904" s="9" t="s">
        <v>20</v>
      </c>
      <c r="O12904" s="6" t="str">
        <f>HYPERLINK("https://pbs.twimg.com/profile_images/962471262747529216/Uo8lOkRJ_normal.jpg","View")</f>
        <v>View</v>
      </c>
      <c r="P12904" s="7"/>
    </row>
    <row r="12905" spans="1:16">
      <c r="A12905" s="3">
        <v>44188.983043981483</v>
      </c>
      <c r="B12905" s="4" t="str">
        <f>HYPERLINK("https://twitter.com/petrogustavo","@petrogustavo")</f>
        <v>@petrogustavo</v>
      </c>
      <c r="C12905" s="5" t="s">
        <v>16</v>
      </c>
      <c r="D12905" s="5" t="s">
        <v>12415</v>
      </c>
      <c r="E12905" s="6" t="str">
        <f>HYPERLINK("https://twitter.com/petrogustavo/status/1341807179435823105","1341807179435823105")</f>
        <v>1341807179435823105</v>
      </c>
      <c r="F12905" s="7" t="s">
        <v>17</v>
      </c>
      <c r="G12905" s="7">
        <v>4021886</v>
      </c>
      <c r="H12905" s="7">
        <v>2467</v>
      </c>
      <c r="I12905" s="7">
        <v>28</v>
      </c>
      <c r="J12905" s="7">
        <v>120</v>
      </c>
      <c r="K12905" s="7" t="s">
        <v>18</v>
      </c>
      <c r="L12905" s="8">
        <v>39987.315405092595</v>
      </c>
      <c r="M12905" s="9" t="s">
        <v>19</v>
      </c>
      <c r="N12905" s="9" t="s">
        <v>20</v>
      </c>
      <c r="O12905" s="6" t="str">
        <f>HYPERLINK("https://pbs.twimg.com/profile_images/962471262747529216/Uo8lOkRJ_normal.jpg","View")</f>
        <v>View</v>
      </c>
      <c r="P12905" s="7"/>
    </row>
    <row r="12906" spans="1:16">
      <c r="A12906" s="3">
        <v>44188.983819444446</v>
      </c>
      <c r="B12906" s="4" t="str">
        <f>HYPERLINK("https://twitter.com/petrogustavo","@petrogustavo")</f>
        <v>@petrogustavo</v>
      </c>
      <c r="C12906" s="5" t="s">
        <v>16</v>
      </c>
      <c r="D12906" s="5" t="s">
        <v>12416</v>
      </c>
      <c r="E12906" s="6" t="str">
        <f>HYPERLINK("https://twitter.com/petrogustavo/status/1341807458092761088","1341807458092761088")</f>
        <v>1341807458092761088</v>
      </c>
      <c r="F12906" s="7" t="s">
        <v>17</v>
      </c>
      <c r="G12906" s="7">
        <v>4021886</v>
      </c>
      <c r="H12906" s="7">
        <v>2467</v>
      </c>
      <c r="I12906" s="7">
        <v>138</v>
      </c>
      <c r="J12906" s="7">
        <v>645</v>
      </c>
      <c r="K12906" s="7" t="s">
        <v>18</v>
      </c>
      <c r="L12906" s="8">
        <v>39987.315405092595</v>
      </c>
      <c r="M12906" s="9" t="s">
        <v>19</v>
      </c>
      <c r="N12906" s="9" t="s">
        <v>20</v>
      </c>
      <c r="O12906" s="6" t="str">
        <f>HYPERLINK("https://pbs.twimg.com/profile_images/962471262747529216/Uo8lOkRJ_normal.jpg","View")</f>
        <v>View</v>
      </c>
      <c r="P12906" s="7"/>
    </row>
    <row r="12907" spans="1:16">
      <c r="A12907" s="3">
        <v>44188.989791666667</v>
      </c>
      <c r="B12907" s="4" t="str">
        <f>HYPERLINK("https://twitter.com/petrogustavo","@petrogustavo")</f>
        <v>@petrogustavo</v>
      </c>
      <c r="C12907" s="5" t="s">
        <v>16</v>
      </c>
      <c r="D12907" s="5" t="s">
        <v>12417</v>
      </c>
      <c r="E12907" s="6" t="str">
        <f>HYPERLINK("https://twitter.com/petrogustavo/status/1341809623150583813","1341809623150583813")</f>
        <v>1341809623150583813</v>
      </c>
      <c r="F12907" s="7" t="s">
        <v>17</v>
      </c>
      <c r="G12907" s="7">
        <v>4021886</v>
      </c>
      <c r="H12907" s="7">
        <v>2467</v>
      </c>
      <c r="I12907" s="7">
        <v>9</v>
      </c>
      <c r="J12907" s="7">
        <v>11</v>
      </c>
      <c r="K12907" s="7" t="s">
        <v>18</v>
      </c>
      <c r="L12907" s="8">
        <v>39987.315405092595</v>
      </c>
      <c r="M12907" s="9" t="s">
        <v>19</v>
      </c>
      <c r="N12907" s="9" t="s">
        <v>20</v>
      </c>
      <c r="O12907" s="6" t="str">
        <f>HYPERLINK("https://pbs.twimg.com/profile_images/962471262747529216/Uo8lOkRJ_normal.jpg","View")</f>
        <v>View</v>
      </c>
      <c r="P12907" s="7"/>
    </row>
    <row r="12908" spans="1:16">
      <c r="A12908" s="3">
        <v>44189.022523148145</v>
      </c>
      <c r="B12908" s="4" t="str">
        <f>HYPERLINK("https://twitter.com/petrogustavo","@petrogustavo")</f>
        <v>@petrogustavo</v>
      </c>
      <c r="C12908" s="5" t="s">
        <v>16</v>
      </c>
      <c r="D12908" s="5" t="s">
        <v>12418</v>
      </c>
      <c r="E12908" s="6" t="str">
        <f>HYPERLINK("https://twitter.com/petrogustavo/status/1341821484721991681","1341821484721991681")</f>
        <v>1341821484721991681</v>
      </c>
      <c r="F12908" s="7" t="s">
        <v>17</v>
      </c>
      <c r="G12908" s="7">
        <v>4021911</v>
      </c>
      <c r="H12908" s="7">
        <v>2467</v>
      </c>
      <c r="I12908" s="7">
        <v>42</v>
      </c>
      <c r="J12908" s="7">
        <v>103</v>
      </c>
      <c r="K12908" s="7" t="s">
        <v>18</v>
      </c>
      <c r="L12908" s="8">
        <v>39987.315405092595</v>
      </c>
      <c r="M12908" s="9" t="s">
        <v>19</v>
      </c>
      <c r="N12908" s="9" t="s">
        <v>20</v>
      </c>
      <c r="O12908" s="6" t="str">
        <f>HYPERLINK("https://pbs.twimg.com/profile_images/962471262747529216/Uo8lOkRJ_normal.jpg","View")</f>
        <v>View</v>
      </c>
      <c r="P12908" s="7"/>
    </row>
    <row r="12909" spans="1:16">
      <c r="A12909" s="3">
        <v>44189.044224537036</v>
      </c>
      <c r="B12909" s="4" t="str">
        <f>HYPERLINK("https://twitter.com/petrogustavo","@petrogustavo")</f>
        <v>@petrogustavo</v>
      </c>
      <c r="C12909" s="5" t="s">
        <v>16</v>
      </c>
      <c r="D12909" s="5" t="s">
        <v>12419</v>
      </c>
      <c r="E12909" s="6" t="str">
        <f>HYPERLINK("https://twitter.com/petrogustavo/status/1341829350472245249","1341829350472245249")</f>
        <v>1341829350472245249</v>
      </c>
      <c r="F12909" s="7" t="s">
        <v>17</v>
      </c>
      <c r="G12909" s="7">
        <v>4021917</v>
      </c>
      <c r="H12909" s="7">
        <v>2467</v>
      </c>
      <c r="I12909" s="7">
        <v>42</v>
      </c>
      <c r="J12909" s="7">
        <v>134</v>
      </c>
      <c r="K12909" s="7" t="s">
        <v>18</v>
      </c>
      <c r="L12909" s="8">
        <v>39987.315405092595</v>
      </c>
      <c r="M12909" s="9" t="s">
        <v>19</v>
      </c>
      <c r="N12909" s="9" t="s">
        <v>20</v>
      </c>
      <c r="O12909" s="6" t="str">
        <f>HYPERLINK("https://pbs.twimg.com/profile_images/962471262747529216/Uo8lOkRJ_normal.jpg","View")</f>
        <v>View</v>
      </c>
      <c r="P12909" s="7"/>
    </row>
    <row r="12910" spans="1:16">
      <c r="A12910" s="3">
        <v>44189.044236111113</v>
      </c>
      <c r="B12910" s="4" t="str">
        <f>HYPERLINK("https://twitter.com/petrogustavo","@petrogustavo")</f>
        <v>@petrogustavo</v>
      </c>
      <c r="C12910" s="5" t="s">
        <v>16</v>
      </c>
      <c r="D12910" s="5" t="s">
        <v>12420</v>
      </c>
      <c r="E12910" s="6" t="str">
        <f>HYPERLINK("https://twitter.com/petrogustavo/status/1341829352342892551","1341829352342892551")</f>
        <v>1341829352342892551</v>
      </c>
      <c r="F12910" s="7" t="s">
        <v>17</v>
      </c>
      <c r="G12910" s="7">
        <v>4021917</v>
      </c>
      <c r="H12910" s="7">
        <v>2467</v>
      </c>
      <c r="I12910" s="7">
        <v>29</v>
      </c>
      <c r="J12910" s="7">
        <v>134</v>
      </c>
      <c r="K12910" s="7" t="s">
        <v>18</v>
      </c>
      <c r="L12910" s="8">
        <v>39987.315405092595</v>
      </c>
      <c r="M12910" s="9" t="s">
        <v>19</v>
      </c>
      <c r="N12910" s="9" t="s">
        <v>20</v>
      </c>
      <c r="O12910" s="6" t="str">
        <f>HYPERLINK("https://pbs.twimg.com/profile_images/962471262747529216/Uo8lOkRJ_normal.jpg","View")</f>
        <v>View</v>
      </c>
      <c r="P12910" s="7"/>
    </row>
    <row r="12911" spans="1:16">
      <c r="A12911" s="3">
        <v>44189.090497685189</v>
      </c>
      <c r="B12911" s="4" t="str">
        <f>HYPERLINK("https://twitter.com/petrogustavo","@petrogustavo")</f>
        <v>@petrogustavo</v>
      </c>
      <c r="C12911" s="5" t="s">
        <v>16</v>
      </c>
      <c r="D12911" s="5" t="s">
        <v>12421</v>
      </c>
      <c r="E12911" s="6" t="str">
        <f>HYPERLINK("https://twitter.com/petrogustavo/status/1341846116850085893","1341846116850085893")</f>
        <v>1341846116850085893</v>
      </c>
      <c r="F12911" s="7" t="s">
        <v>17</v>
      </c>
      <c r="G12911" s="7">
        <v>4021936</v>
      </c>
      <c r="H12911" s="7">
        <v>2467</v>
      </c>
      <c r="I12911" s="7">
        <v>31</v>
      </c>
      <c r="J12911" s="7">
        <v>122</v>
      </c>
      <c r="K12911" s="7" t="s">
        <v>18</v>
      </c>
      <c r="L12911" s="8">
        <v>39987.315405092595</v>
      </c>
      <c r="M12911" s="9" t="s">
        <v>19</v>
      </c>
      <c r="N12911" s="9" t="s">
        <v>20</v>
      </c>
      <c r="O12911" s="6" t="str">
        <f>HYPERLINK("https://pbs.twimg.com/profile_images/962471262747529216/Uo8lOkRJ_normal.jpg","View")</f>
        <v>View</v>
      </c>
      <c r="P12911" s="7"/>
    </row>
    <row r="12912" spans="1:16">
      <c r="A12912" s="3">
        <v>44189.100312499999</v>
      </c>
      <c r="B12912" s="4" t="str">
        <f>HYPERLINK("https://twitter.com/petrogustavo","@petrogustavo")</f>
        <v>@petrogustavo</v>
      </c>
      <c r="C12912" s="5" t="s">
        <v>16</v>
      </c>
      <c r="D12912" s="5" t="s">
        <v>12422</v>
      </c>
      <c r="E12912" s="6" t="str">
        <f>HYPERLINK("https://twitter.com/petrogustavo/status/1341849676295925761","1341849676295925761")</f>
        <v>1341849676295925761</v>
      </c>
      <c r="F12912" s="7" t="s">
        <v>17</v>
      </c>
      <c r="G12912" s="7">
        <v>4021947</v>
      </c>
      <c r="H12912" s="7">
        <v>2467</v>
      </c>
      <c r="I12912" s="7">
        <v>412</v>
      </c>
      <c r="J12912" s="7">
        <v>0</v>
      </c>
      <c r="K12912" s="7" t="s">
        <v>18</v>
      </c>
      <c r="L12912" s="8">
        <v>39987.315405092595</v>
      </c>
      <c r="M12912" s="9" t="s">
        <v>19</v>
      </c>
      <c r="N12912" s="9" t="s">
        <v>20</v>
      </c>
      <c r="O12912" s="6" t="str">
        <f>HYPERLINK("https://pbs.twimg.com/profile_images/962471262747529216/Uo8lOkRJ_normal.jpg","View")</f>
        <v>View</v>
      </c>
      <c r="P12912" s="7"/>
    </row>
    <row r="12913" spans="1:16">
      <c r="A12913" s="3">
        <v>44189.110034722224</v>
      </c>
      <c r="B12913" s="4" t="str">
        <f>HYPERLINK("https://twitter.com/petrogustavo","@petrogustavo")</f>
        <v>@petrogustavo</v>
      </c>
      <c r="C12913" s="5" t="s">
        <v>16</v>
      </c>
      <c r="D12913" s="5" t="s">
        <v>12423</v>
      </c>
      <c r="E12913" s="6" t="str">
        <f>HYPERLINK("https://twitter.com/petrogustavo/status/1341853196210335744","1341853196210335744")</f>
        <v>1341853196210335744</v>
      </c>
      <c r="F12913" s="7" t="s">
        <v>17</v>
      </c>
      <c r="G12913" s="7">
        <v>4021947</v>
      </c>
      <c r="H12913" s="7">
        <v>2467</v>
      </c>
      <c r="I12913" s="7">
        <v>1011</v>
      </c>
      <c r="J12913" s="7">
        <v>0</v>
      </c>
      <c r="K12913" s="7" t="s">
        <v>18</v>
      </c>
      <c r="L12913" s="8">
        <v>39987.315405092595</v>
      </c>
      <c r="M12913" s="9" t="s">
        <v>19</v>
      </c>
      <c r="N12913" s="9" t="s">
        <v>20</v>
      </c>
      <c r="O12913" s="6" t="str">
        <f>HYPERLINK("https://pbs.twimg.com/profile_images/962471262747529216/Uo8lOkRJ_normal.jpg","View")</f>
        <v>View</v>
      </c>
      <c r="P12913" s="7"/>
    </row>
    <row r="12914" spans="1:16">
      <c r="A12914" s="3">
        <v>44189.818749999999</v>
      </c>
      <c r="B12914" s="4" t="str">
        <f>HYPERLINK("https://twitter.com/petrogustavo","@petrogustavo")</f>
        <v>@petrogustavo</v>
      </c>
      <c r="C12914" s="5" t="s">
        <v>16</v>
      </c>
      <c r="D12914" s="5" t="s">
        <v>12424</v>
      </c>
      <c r="E12914" s="6" t="str">
        <f>HYPERLINK("https://twitter.com/petrogustavo/status/1342110027230928896","1342110027230928896")</f>
        <v>1342110027230928896</v>
      </c>
      <c r="F12914" s="7" t="s">
        <v>17</v>
      </c>
      <c r="G12914" s="7">
        <v>4022170</v>
      </c>
      <c r="H12914" s="7">
        <v>2467</v>
      </c>
      <c r="I12914" s="7">
        <v>24</v>
      </c>
      <c r="J12914" s="7">
        <v>0</v>
      </c>
      <c r="K12914" s="7" t="s">
        <v>18</v>
      </c>
      <c r="L12914" s="8">
        <v>39987.315405092595</v>
      </c>
      <c r="M12914" s="9" t="s">
        <v>19</v>
      </c>
      <c r="N12914" s="9" t="s">
        <v>20</v>
      </c>
      <c r="O12914" s="6" t="str">
        <f>HYPERLINK("https://pbs.twimg.com/profile_images/962471262747529216/Uo8lOkRJ_normal.jpg","View")</f>
        <v>View</v>
      </c>
      <c r="P12914" s="7"/>
    </row>
    <row r="12915" spans="1:16">
      <c r="A12915" s="3">
        <v>44189.821134259255</v>
      </c>
      <c r="B12915" s="4" t="str">
        <f>HYPERLINK("https://twitter.com/petrogustavo","@petrogustavo")</f>
        <v>@petrogustavo</v>
      </c>
      <c r="C12915" s="5" t="s">
        <v>16</v>
      </c>
      <c r="D12915" s="5" t="s">
        <v>12425</v>
      </c>
      <c r="E12915" s="6" t="str">
        <f>HYPERLINK("https://twitter.com/petrogustavo/status/1342110890276089856","1342110890276089856")</f>
        <v>1342110890276089856</v>
      </c>
      <c r="F12915" s="7" t="s">
        <v>17</v>
      </c>
      <c r="G12915" s="7">
        <v>4022170</v>
      </c>
      <c r="H12915" s="7">
        <v>2467</v>
      </c>
      <c r="I12915" s="7">
        <v>10</v>
      </c>
      <c r="J12915" s="7">
        <v>0</v>
      </c>
      <c r="K12915" s="7" t="s">
        <v>18</v>
      </c>
      <c r="L12915" s="8">
        <v>39987.315405092595</v>
      </c>
      <c r="M12915" s="9" t="s">
        <v>19</v>
      </c>
      <c r="N12915" s="9" t="s">
        <v>20</v>
      </c>
      <c r="O12915" s="6" t="str">
        <f>HYPERLINK("https://pbs.twimg.com/profile_images/962471262747529216/Uo8lOkRJ_normal.jpg","View")</f>
        <v>View</v>
      </c>
      <c r="P12915" s="7"/>
    </row>
    <row r="12916" spans="1:16">
      <c r="A12916" s="3">
        <v>44189.825300925921</v>
      </c>
      <c r="B12916" s="4" t="str">
        <f>HYPERLINK("https://twitter.com/petrogustavo","@petrogustavo")</f>
        <v>@petrogustavo</v>
      </c>
      <c r="C12916" s="5" t="s">
        <v>16</v>
      </c>
      <c r="D12916" s="5" t="s">
        <v>12426</v>
      </c>
      <c r="E12916" s="6" t="str">
        <f>HYPERLINK("https://twitter.com/petrogustavo/status/1342112402125500417","1342112402125500417")</f>
        <v>1342112402125500417</v>
      </c>
      <c r="F12916" s="7" t="s">
        <v>17</v>
      </c>
      <c r="G12916" s="7">
        <v>4022181</v>
      </c>
      <c r="H12916" s="7">
        <v>2467</v>
      </c>
      <c r="I12916" s="7">
        <v>142</v>
      </c>
      <c r="J12916" s="7">
        <v>658</v>
      </c>
      <c r="K12916" s="7" t="s">
        <v>18</v>
      </c>
      <c r="L12916" s="8">
        <v>39987.315405092595</v>
      </c>
      <c r="M12916" s="9" t="s">
        <v>19</v>
      </c>
      <c r="N12916" s="9" t="s">
        <v>20</v>
      </c>
      <c r="O12916" s="6" t="str">
        <f>HYPERLINK("https://pbs.twimg.com/profile_images/962471262747529216/Uo8lOkRJ_normal.jpg","View")</f>
        <v>View</v>
      </c>
      <c r="P12916" s="7"/>
    </row>
    <row r="12917" spans="1:16">
      <c r="A12917" s="3">
        <v>44189.886458333334</v>
      </c>
      <c r="B12917" s="4" t="str">
        <f>HYPERLINK("https://twitter.com/petrogustavo","@petrogustavo")</f>
        <v>@petrogustavo</v>
      </c>
      <c r="C12917" s="5" t="s">
        <v>16</v>
      </c>
      <c r="D12917" s="5" t="s">
        <v>12427</v>
      </c>
      <c r="E12917" s="6" t="str">
        <f>HYPERLINK("https://twitter.com/petrogustavo/status/1342134564777549824","1342134564777549824")</f>
        <v>1342134564777549824</v>
      </c>
      <c r="F12917" s="7" t="s">
        <v>17</v>
      </c>
      <c r="G12917" s="7">
        <v>4022177</v>
      </c>
      <c r="H12917" s="7">
        <v>2467</v>
      </c>
      <c r="I12917" s="7">
        <v>19</v>
      </c>
      <c r="J12917" s="7">
        <v>54</v>
      </c>
      <c r="K12917" s="7" t="s">
        <v>18</v>
      </c>
      <c r="L12917" s="8">
        <v>39987.315405092595</v>
      </c>
      <c r="M12917" s="9" t="s">
        <v>19</v>
      </c>
      <c r="N12917" s="9" t="s">
        <v>20</v>
      </c>
      <c r="O12917" s="6" t="str">
        <f>HYPERLINK("https://pbs.twimg.com/profile_images/962471262747529216/Uo8lOkRJ_normal.jpg","View")</f>
        <v>View</v>
      </c>
      <c r="P12917" s="7"/>
    </row>
    <row r="12918" spans="1:16">
      <c r="A12918" s="3">
        <v>44189.887997685189</v>
      </c>
      <c r="B12918" s="4" t="str">
        <f>HYPERLINK("https://twitter.com/petrogustavo","@petrogustavo")</f>
        <v>@petrogustavo</v>
      </c>
      <c r="C12918" s="5" t="s">
        <v>16</v>
      </c>
      <c r="D12918" s="5" t="s">
        <v>12428</v>
      </c>
      <c r="E12918" s="6" t="str">
        <f>HYPERLINK("https://twitter.com/petrogustavo/status/1342135122410299392","1342135122410299392")</f>
        <v>1342135122410299392</v>
      </c>
      <c r="F12918" s="7" t="s">
        <v>17</v>
      </c>
      <c r="G12918" s="7">
        <v>4022184</v>
      </c>
      <c r="H12918" s="7">
        <v>2468</v>
      </c>
      <c r="I12918" s="7">
        <v>29</v>
      </c>
      <c r="J12918" s="7">
        <v>140</v>
      </c>
      <c r="K12918" s="7" t="s">
        <v>18</v>
      </c>
      <c r="L12918" s="8">
        <v>39987.315405092595</v>
      </c>
      <c r="M12918" s="9" t="s">
        <v>19</v>
      </c>
      <c r="N12918" s="9" t="s">
        <v>20</v>
      </c>
      <c r="O12918" s="6" t="str">
        <f>HYPERLINK("https://pbs.twimg.com/profile_images/962471262747529216/Uo8lOkRJ_normal.jpg","View")</f>
        <v>View</v>
      </c>
      <c r="P12918" s="7"/>
    </row>
    <row r="12919" spans="1:16">
      <c r="A12919" s="3">
        <v>44189.892326388886</v>
      </c>
      <c r="B12919" s="4" t="str">
        <f>HYPERLINK("https://twitter.com/petrogustavo","@petrogustavo")</f>
        <v>@petrogustavo</v>
      </c>
      <c r="C12919" s="5" t="s">
        <v>16</v>
      </c>
      <c r="D12919" s="5" t="s">
        <v>12429</v>
      </c>
      <c r="E12919" s="6" t="str">
        <f>HYPERLINK("https://twitter.com/petrogustavo/status/1342136689448398850","1342136689448398850")</f>
        <v>1342136689448398850</v>
      </c>
      <c r="F12919" s="7" t="s">
        <v>17</v>
      </c>
      <c r="G12919" s="7">
        <v>4022184</v>
      </c>
      <c r="H12919" s="7">
        <v>2468</v>
      </c>
      <c r="I12919" s="7">
        <v>81</v>
      </c>
      <c r="J12919" s="7">
        <v>299</v>
      </c>
      <c r="K12919" s="7" t="s">
        <v>18</v>
      </c>
      <c r="L12919" s="8">
        <v>39987.315405092595</v>
      </c>
      <c r="M12919" s="9" t="s">
        <v>19</v>
      </c>
      <c r="N12919" s="9" t="s">
        <v>20</v>
      </c>
      <c r="O12919" s="6" t="str">
        <f>HYPERLINK("https://pbs.twimg.com/profile_images/962471262747529216/Uo8lOkRJ_normal.jpg","View")</f>
        <v>View</v>
      </c>
      <c r="P12919" s="7"/>
    </row>
    <row r="12920" spans="1:16">
      <c r="A12920" s="3">
        <v>44189.917534722219</v>
      </c>
      <c r="B12920" s="4" t="str">
        <f>HYPERLINK("https://twitter.com/petrogustavo","@petrogustavo")</f>
        <v>@petrogustavo</v>
      </c>
      <c r="C12920" s="5" t="s">
        <v>16</v>
      </c>
      <c r="D12920" s="5" t="s">
        <v>12430</v>
      </c>
      <c r="E12920" s="6" t="str">
        <f>HYPERLINK("https://twitter.com/petrogustavo/status/1342145826827751424","1342145826827751424")</f>
        <v>1342145826827751424</v>
      </c>
      <c r="F12920" s="7" t="s">
        <v>17</v>
      </c>
      <c r="G12920" s="7">
        <v>4022191</v>
      </c>
      <c r="H12920" s="7">
        <v>2468</v>
      </c>
      <c r="I12920" s="7">
        <v>23</v>
      </c>
      <c r="J12920" s="7">
        <v>158</v>
      </c>
      <c r="K12920" s="7" t="s">
        <v>18</v>
      </c>
      <c r="L12920" s="8">
        <v>39987.315405092595</v>
      </c>
      <c r="M12920" s="9" t="s">
        <v>19</v>
      </c>
      <c r="N12920" s="9" t="s">
        <v>20</v>
      </c>
      <c r="O12920" s="6" t="str">
        <f>HYPERLINK("https://pbs.twimg.com/profile_images/962471262747529216/Uo8lOkRJ_normal.jpg","View")</f>
        <v>View</v>
      </c>
      <c r="P12920" s="7"/>
    </row>
    <row r="12921" spans="1:16">
      <c r="A12921" s="3">
        <v>44189.974409722221</v>
      </c>
      <c r="B12921" s="4" t="str">
        <f>HYPERLINK("https://twitter.com/petrogustavo","@petrogustavo")</f>
        <v>@petrogustavo</v>
      </c>
      <c r="C12921" s="5" t="s">
        <v>16</v>
      </c>
      <c r="D12921" s="5" t="s">
        <v>12431</v>
      </c>
      <c r="E12921" s="6" t="str">
        <f>HYPERLINK("https://twitter.com/petrogustavo/status/1342166435821481986","1342166435821481986")</f>
        <v>1342166435821481986</v>
      </c>
      <c r="F12921" s="7" t="s">
        <v>17</v>
      </c>
      <c r="G12921" s="7">
        <v>4022208</v>
      </c>
      <c r="H12921" s="7">
        <v>2468</v>
      </c>
      <c r="I12921" s="7">
        <v>57</v>
      </c>
      <c r="J12921" s="7">
        <v>197</v>
      </c>
      <c r="K12921" s="7" t="s">
        <v>18</v>
      </c>
      <c r="L12921" s="8">
        <v>39987.315405092595</v>
      </c>
      <c r="M12921" s="9" t="s">
        <v>19</v>
      </c>
      <c r="N12921" s="9" t="s">
        <v>20</v>
      </c>
      <c r="O12921" s="6" t="str">
        <f>HYPERLINK("https://pbs.twimg.com/profile_images/962471262747529216/Uo8lOkRJ_normal.jpg","View")</f>
        <v>View</v>
      </c>
      <c r="P12921" s="7"/>
    </row>
    <row r="12922" spans="1:16">
      <c r="A12922" s="3">
        <v>44189.976620370369</v>
      </c>
      <c r="B12922" s="4" t="str">
        <f>HYPERLINK("https://twitter.com/petrogustavo","@petrogustavo")</f>
        <v>@petrogustavo</v>
      </c>
      <c r="C12922" s="5" t="s">
        <v>16</v>
      </c>
      <c r="D12922" s="5" t="s">
        <v>12432</v>
      </c>
      <c r="E12922" s="6" t="str">
        <f>HYPERLINK("https://twitter.com/petrogustavo/status/1342167237797572608","1342167237797572608")</f>
        <v>1342167237797572608</v>
      </c>
      <c r="F12922" s="7" t="s">
        <v>17</v>
      </c>
      <c r="G12922" s="7">
        <v>4022208</v>
      </c>
      <c r="H12922" s="7">
        <v>2468</v>
      </c>
      <c r="I12922" s="7">
        <v>180</v>
      </c>
      <c r="J12922" s="7">
        <v>855</v>
      </c>
      <c r="K12922" s="7" t="s">
        <v>18</v>
      </c>
      <c r="L12922" s="8">
        <v>39987.315405092595</v>
      </c>
      <c r="M12922" s="9" t="s">
        <v>19</v>
      </c>
      <c r="N12922" s="9" t="s">
        <v>20</v>
      </c>
      <c r="O12922" s="6" t="str">
        <f>HYPERLINK("https://pbs.twimg.com/profile_images/962471262747529216/Uo8lOkRJ_normal.jpg","View")</f>
        <v>View</v>
      </c>
      <c r="P12922" s="7"/>
    </row>
    <row r="12923" spans="1:16">
      <c r="A12923" s="3">
        <v>44189.985185185185</v>
      </c>
      <c r="B12923" s="4" t="str">
        <f>HYPERLINK("https://twitter.com/petrogustavo","@petrogustavo")</f>
        <v>@petrogustavo</v>
      </c>
      <c r="C12923" s="5" t="s">
        <v>16</v>
      </c>
      <c r="D12923" s="5" t="s">
        <v>12433</v>
      </c>
      <c r="E12923" s="6" t="str">
        <f>HYPERLINK("https://twitter.com/petrogustavo/status/1342170341599309826","1342170341599309826")</f>
        <v>1342170341599309826</v>
      </c>
      <c r="F12923" s="7" t="s">
        <v>17</v>
      </c>
      <c r="G12923" s="7">
        <v>4022208</v>
      </c>
      <c r="H12923" s="7">
        <v>2468</v>
      </c>
      <c r="I12923" s="7">
        <v>105</v>
      </c>
      <c r="J12923" s="7">
        <v>1153</v>
      </c>
      <c r="K12923" s="7" t="s">
        <v>18</v>
      </c>
      <c r="L12923" s="8">
        <v>39987.315405092595</v>
      </c>
      <c r="M12923" s="9" t="s">
        <v>19</v>
      </c>
      <c r="N12923" s="9" t="s">
        <v>20</v>
      </c>
      <c r="O12923" s="6" t="str">
        <f>HYPERLINK("https://pbs.twimg.com/profile_images/962471262747529216/Uo8lOkRJ_normal.jpg","View")</f>
        <v>View</v>
      </c>
      <c r="P12923" s="7"/>
    </row>
    <row r="12924" spans="1:16">
      <c r="A12924" s="3">
        <v>44190.129178240742</v>
      </c>
      <c r="B12924" s="4" t="str">
        <f>HYPERLINK("https://twitter.com/petrogustavo","@petrogustavo")</f>
        <v>@petrogustavo</v>
      </c>
      <c r="C12924" s="5" t="s">
        <v>16</v>
      </c>
      <c r="D12924" s="5" t="s">
        <v>12434</v>
      </c>
      <c r="E12924" s="6" t="str">
        <f>HYPERLINK("https://twitter.com/petrogustavo/status/1342222521924538371","1342222521924538371")</f>
        <v>1342222521924538371</v>
      </c>
      <c r="F12924" s="7" t="s">
        <v>17</v>
      </c>
      <c r="G12924" s="7">
        <v>4022308</v>
      </c>
      <c r="H12924" s="7">
        <v>2467</v>
      </c>
      <c r="I12924" s="7">
        <v>914</v>
      </c>
      <c r="J12924" s="7">
        <v>0</v>
      </c>
      <c r="K12924" s="7" t="s">
        <v>18</v>
      </c>
      <c r="L12924" s="8">
        <v>39987.315405092595</v>
      </c>
      <c r="M12924" s="9" t="s">
        <v>19</v>
      </c>
      <c r="N12924" s="9" t="s">
        <v>20</v>
      </c>
      <c r="O12924" s="6" t="str">
        <f>HYPERLINK("https://pbs.twimg.com/profile_images/962471262747529216/Uo8lOkRJ_normal.jpg","View")</f>
        <v>View</v>
      </c>
      <c r="P12924" s="7"/>
    </row>
    <row r="12925" spans="1:16">
      <c r="A12925" s="3">
        <v>44190.191435185188</v>
      </c>
      <c r="B12925" s="4" t="str">
        <f>HYPERLINK("https://twitter.com/petrogustavo","@petrogustavo")</f>
        <v>@petrogustavo</v>
      </c>
      <c r="C12925" s="5" t="s">
        <v>16</v>
      </c>
      <c r="D12925" s="5" t="s">
        <v>12434</v>
      </c>
      <c r="E12925" s="6" t="str">
        <f>HYPERLINK("https://twitter.com/petrogustavo/status/1342245084004278273","1342245084004278273")</f>
        <v>1342245084004278273</v>
      </c>
      <c r="F12925" s="7" t="s">
        <v>17</v>
      </c>
      <c r="G12925" s="7">
        <v>4022337</v>
      </c>
      <c r="H12925" s="7">
        <v>2467</v>
      </c>
      <c r="I12925" s="7">
        <v>1122</v>
      </c>
      <c r="J12925" s="7">
        <v>0</v>
      </c>
      <c r="K12925" s="7" t="s">
        <v>18</v>
      </c>
      <c r="L12925" s="8">
        <v>39987.315405092595</v>
      </c>
      <c r="M12925" s="9" t="s">
        <v>19</v>
      </c>
      <c r="N12925" s="9" t="s">
        <v>20</v>
      </c>
      <c r="O12925" s="6" t="str">
        <f>HYPERLINK("https://pbs.twimg.com/profile_images/962471262747529216/Uo8lOkRJ_normal.jpg","View")</f>
        <v>View</v>
      </c>
      <c r="P12925" s="7"/>
    </row>
    <row r="12926" spans="1:16">
      <c r="A12926" s="3">
        <v>44190.26498842593</v>
      </c>
      <c r="B12926" s="4" t="str">
        <f>HYPERLINK("https://twitter.com/petrogustavo","@petrogustavo")</f>
        <v>@petrogustavo</v>
      </c>
      <c r="C12926" s="5" t="s">
        <v>16</v>
      </c>
      <c r="D12926" s="5" t="s">
        <v>12434</v>
      </c>
      <c r="E12926" s="6" t="str">
        <f>HYPERLINK("https://twitter.com/petrogustavo/status/1342271739108196352","1342271739108196352")</f>
        <v>1342271739108196352</v>
      </c>
      <c r="F12926" s="7" t="s">
        <v>17</v>
      </c>
      <c r="G12926" s="7">
        <v>4022371</v>
      </c>
      <c r="H12926" s="7">
        <v>2467</v>
      </c>
      <c r="I12926" s="7">
        <v>1323</v>
      </c>
      <c r="J12926" s="7">
        <v>0</v>
      </c>
      <c r="K12926" s="7" t="s">
        <v>18</v>
      </c>
      <c r="L12926" s="8">
        <v>39987.315405092595</v>
      </c>
      <c r="M12926" s="9" t="s">
        <v>19</v>
      </c>
      <c r="N12926" s="9" t="s">
        <v>20</v>
      </c>
      <c r="O12926" s="6" t="str">
        <f>HYPERLINK("https://pbs.twimg.com/profile_images/962471262747529216/Uo8lOkRJ_normal.jpg","View")</f>
        <v>View</v>
      </c>
      <c r="P12926" s="7"/>
    </row>
    <row r="12927" spans="1:16">
      <c r="A12927" s="3">
        <v>44190.724895833337</v>
      </c>
      <c r="B12927" s="4" t="str">
        <f>HYPERLINK("https://twitter.com/petrogustavo","@petrogustavo")</f>
        <v>@petrogustavo</v>
      </c>
      <c r="C12927" s="5" t="s">
        <v>16</v>
      </c>
      <c r="D12927" s="5" t="s">
        <v>12434</v>
      </c>
      <c r="E12927" s="6" t="str">
        <f>HYPERLINK("https://twitter.com/petrogustavo/status/1342438403791581184","1342438403791581184")</f>
        <v>1342438403791581184</v>
      </c>
      <c r="F12927" s="7" t="s">
        <v>17</v>
      </c>
      <c r="G12927" s="7">
        <v>4022445</v>
      </c>
      <c r="H12927" s="7">
        <v>2467</v>
      </c>
      <c r="I12927" s="7">
        <v>1703</v>
      </c>
      <c r="J12927" s="7">
        <v>0</v>
      </c>
      <c r="K12927" s="7" t="s">
        <v>18</v>
      </c>
      <c r="L12927" s="8">
        <v>39987.315405092595</v>
      </c>
      <c r="M12927" s="9" t="s">
        <v>19</v>
      </c>
      <c r="N12927" s="9" t="s">
        <v>20</v>
      </c>
      <c r="O12927" s="6" t="str">
        <f>HYPERLINK("https://pbs.twimg.com/profile_images/962471262747529216/Uo8lOkRJ_normal.jpg","View")</f>
        <v>View</v>
      </c>
      <c r="P12927" s="7"/>
    </row>
    <row r="12928" spans="1:16">
      <c r="A12928" s="3">
        <v>44191.736180555556</v>
      </c>
      <c r="B12928" s="4" t="str">
        <f>HYPERLINK("https://twitter.com/petrogustavo","@petrogustavo")</f>
        <v>@petrogustavo</v>
      </c>
      <c r="C12928" s="5" t="s">
        <v>16</v>
      </c>
      <c r="D12928" s="5" t="s">
        <v>12435</v>
      </c>
      <c r="E12928" s="6" t="str">
        <f>HYPERLINK("https://twitter.com/petrogustavo/status/1342804880201801729","1342804880201801729")</f>
        <v>1342804880201801729</v>
      </c>
      <c r="F12928" s="7" t="s">
        <v>17</v>
      </c>
      <c r="G12928" s="7">
        <v>4022888</v>
      </c>
      <c r="H12928" s="7">
        <v>2468</v>
      </c>
      <c r="I12928" s="7">
        <v>30</v>
      </c>
      <c r="J12928" s="7">
        <v>94</v>
      </c>
      <c r="K12928" s="7" t="s">
        <v>18</v>
      </c>
      <c r="L12928" s="8">
        <v>39987.315405092595</v>
      </c>
      <c r="M12928" s="9" t="s">
        <v>19</v>
      </c>
      <c r="N12928" s="9" t="s">
        <v>20</v>
      </c>
      <c r="O12928" s="6" t="str">
        <f>HYPERLINK("https://pbs.twimg.com/profile_images/962471262747529216/Uo8lOkRJ_normal.jpg","View")</f>
        <v>View</v>
      </c>
      <c r="P12928" s="7"/>
    </row>
    <row r="12929" spans="1:16">
      <c r="A12929" s="3">
        <v>44191.749930555554</v>
      </c>
      <c r="B12929" s="4" t="str">
        <f>HYPERLINK("https://twitter.com/petrogustavo","@petrogustavo")</f>
        <v>@petrogustavo</v>
      </c>
      <c r="C12929" s="5" t="s">
        <v>16</v>
      </c>
      <c r="D12929" s="5" t="s">
        <v>12436</v>
      </c>
      <c r="E12929" s="6" t="str">
        <f>HYPERLINK("https://twitter.com/petrogustavo/status/1342809865299894274","1342809865299894274")</f>
        <v>1342809865299894274</v>
      </c>
      <c r="F12929" s="7" t="s">
        <v>17</v>
      </c>
      <c r="G12929" s="7">
        <v>4022899</v>
      </c>
      <c r="H12929" s="7">
        <v>2468</v>
      </c>
      <c r="I12929" s="7">
        <v>13</v>
      </c>
      <c r="J12929" s="7">
        <v>0</v>
      </c>
      <c r="K12929" s="7" t="s">
        <v>18</v>
      </c>
      <c r="L12929" s="8">
        <v>39987.315405092595</v>
      </c>
      <c r="M12929" s="9" t="s">
        <v>19</v>
      </c>
      <c r="N12929" s="9" t="s">
        <v>20</v>
      </c>
      <c r="O12929" s="6" t="str">
        <f>HYPERLINK("https://pbs.twimg.com/profile_images/962471262747529216/Uo8lOkRJ_normal.jpg","View")</f>
        <v>View</v>
      </c>
      <c r="P12929" s="7"/>
    </row>
    <row r="12930" spans="1:16">
      <c r="A12930" s="3">
        <v>44191.768819444449</v>
      </c>
      <c r="B12930" s="4" t="str">
        <f>HYPERLINK("https://twitter.com/petrogustavo","@petrogustavo")</f>
        <v>@petrogustavo</v>
      </c>
      <c r="C12930" s="5" t="s">
        <v>16</v>
      </c>
      <c r="D12930" s="5" t="s">
        <v>12437</v>
      </c>
      <c r="E12930" s="6" t="str">
        <f>HYPERLINK("https://twitter.com/petrogustavo/status/1342816708239699969","1342816708239699969")</f>
        <v>1342816708239699969</v>
      </c>
      <c r="F12930" s="7" t="s">
        <v>17</v>
      </c>
      <c r="G12930" s="7">
        <v>4022905</v>
      </c>
      <c r="H12930" s="7">
        <v>2468</v>
      </c>
      <c r="I12930" s="7">
        <v>108</v>
      </c>
      <c r="J12930" s="7">
        <v>242</v>
      </c>
      <c r="K12930" s="7" t="s">
        <v>18</v>
      </c>
      <c r="L12930" s="8">
        <v>39987.315405092595</v>
      </c>
      <c r="M12930" s="9" t="s">
        <v>19</v>
      </c>
      <c r="N12930" s="9" t="s">
        <v>20</v>
      </c>
      <c r="O12930" s="6" t="str">
        <f>HYPERLINK("https://pbs.twimg.com/profile_images/962471262747529216/Uo8lOkRJ_normal.jpg","View")</f>
        <v>View</v>
      </c>
      <c r="P12930" s="7"/>
    </row>
    <row r="12931" spans="1:16">
      <c r="A12931" s="3">
        <v>44191.785821759258</v>
      </c>
      <c r="B12931" s="4" t="str">
        <f>HYPERLINK("https://twitter.com/petrogustavo","@petrogustavo")</f>
        <v>@petrogustavo</v>
      </c>
      <c r="C12931" s="5" t="s">
        <v>16</v>
      </c>
      <c r="D12931" s="5" t="s">
        <v>12438</v>
      </c>
      <c r="E12931" s="6" t="str">
        <f>HYPERLINK("https://twitter.com/petrogustavo/status/1342822872901951493","1342822872901951493")</f>
        <v>1342822872901951493</v>
      </c>
      <c r="F12931" s="7" t="s">
        <v>17</v>
      </c>
      <c r="G12931" s="7">
        <v>4022924</v>
      </c>
      <c r="H12931" s="7">
        <v>2468</v>
      </c>
      <c r="I12931" s="7">
        <v>169</v>
      </c>
      <c r="J12931" s="7">
        <v>568</v>
      </c>
      <c r="K12931" s="7" t="s">
        <v>18</v>
      </c>
      <c r="L12931" s="8">
        <v>39987.315405092595</v>
      </c>
      <c r="M12931" s="9" t="s">
        <v>19</v>
      </c>
      <c r="N12931" s="9" t="s">
        <v>20</v>
      </c>
      <c r="O12931" s="6" t="str">
        <f>HYPERLINK("https://pbs.twimg.com/profile_images/962471262747529216/Uo8lOkRJ_normal.jpg","View")</f>
        <v>View</v>
      </c>
      <c r="P12931" s="7"/>
    </row>
    <row r="12932" spans="1:16">
      <c r="A12932" s="3">
        <v>44191.838726851856</v>
      </c>
      <c r="B12932" s="4" t="str">
        <f>HYPERLINK("https://twitter.com/petrogustavo","@petrogustavo")</f>
        <v>@petrogustavo</v>
      </c>
      <c r="C12932" s="5" t="s">
        <v>16</v>
      </c>
      <c r="D12932" s="5" t="s">
        <v>30</v>
      </c>
      <c r="E12932" s="6" t="str">
        <f>HYPERLINK("https://twitter.com/petrogustavo/status/1342842044440567809","1342842044440567809")</f>
        <v>1342842044440567809</v>
      </c>
      <c r="F12932" s="7" t="s">
        <v>17</v>
      </c>
      <c r="G12932" s="7">
        <v>4022948</v>
      </c>
      <c r="H12932" s="7">
        <v>2468</v>
      </c>
      <c r="I12932" s="7">
        <v>7521</v>
      </c>
      <c r="J12932" s="7">
        <v>0</v>
      </c>
      <c r="K12932" s="7" t="s">
        <v>18</v>
      </c>
      <c r="L12932" s="8">
        <v>39987.315405092595</v>
      </c>
      <c r="M12932" s="9" t="s">
        <v>19</v>
      </c>
      <c r="N12932" s="9" t="s">
        <v>20</v>
      </c>
      <c r="O12932" s="6" t="str">
        <f>HYPERLINK("https://pbs.twimg.com/profile_images/962471262747529216/Uo8lOkRJ_normal.jpg","View")</f>
        <v>View</v>
      </c>
      <c r="P12932" s="7"/>
    </row>
    <row r="12933" spans="1:16">
      <c r="A12933" s="3">
        <v>44191.870462962965</v>
      </c>
      <c r="B12933" s="4" t="str">
        <f>HYPERLINK("https://twitter.com/petrogustavo","@petrogustavo")</f>
        <v>@petrogustavo</v>
      </c>
      <c r="C12933" s="5" t="s">
        <v>16</v>
      </c>
      <c r="D12933" s="5" t="s">
        <v>12439</v>
      </c>
      <c r="E12933" s="6" t="str">
        <f>HYPERLINK("https://twitter.com/petrogustavo/status/1342853541816373248","1342853541816373248")</f>
        <v>1342853541816373248</v>
      </c>
      <c r="F12933" s="7" t="s">
        <v>17</v>
      </c>
      <c r="G12933" s="7">
        <v>4022959</v>
      </c>
      <c r="H12933" s="7">
        <v>2468</v>
      </c>
      <c r="I12933" s="7">
        <v>433</v>
      </c>
      <c r="J12933" s="7">
        <v>1691</v>
      </c>
      <c r="K12933" s="7" t="s">
        <v>18</v>
      </c>
      <c r="L12933" s="8">
        <v>39987.315405092595</v>
      </c>
      <c r="M12933" s="9" t="s">
        <v>19</v>
      </c>
      <c r="N12933" s="9" t="s">
        <v>20</v>
      </c>
      <c r="O12933" s="6" t="str">
        <f>HYPERLINK("https://pbs.twimg.com/profile_images/962471262747529216/Uo8lOkRJ_normal.jpg","View")</f>
        <v>View</v>
      </c>
      <c r="P12933" s="7"/>
    </row>
    <row r="12934" spans="1:16">
      <c r="A12934" s="3">
        <v>44192.10732638889</v>
      </c>
      <c r="B12934" s="4" t="str">
        <f>HYPERLINK("https://twitter.com/petrogustavo","@petrogustavo")</f>
        <v>@petrogustavo</v>
      </c>
      <c r="C12934" s="5" t="s">
        <v>16</v>
      </c>
      <c r="D12934" s="5" t="s">
        <v>12440</v>
      </c>
      <c r="E12934" s="6" t="str">
        <f>HYPERLINK("https://twitter.com/petrogustavo/status/1342939381590589443","1342939381590589443")</f>
        <v>1342939381590589443</v>
      </c>
      <c r="F12934" s="7" t="s">
        <v>17</v>
      </c>
      <c r="G12934" s="7">
        <v>4023170</v>
      </c>
      <c r="H12934" s="7">
        <v>2468</v>
      </c>
      <c r="I12934" s="7">
        <v>129</v>
      </c>
      <c r="J12934" s="7">
        <v>0</v>
      </c>
      <c r="K12934" s="7" t="s">
        <v>18</v>
      </c>
      <c r="L12934" s="8">
        <v>39987.315405092595</v>
      </c>
      <c r="M12934" s="9" t="s">
        <v>19</v>
      </c>
      <c r="N12934" s="9" t="s">
        <v>20</v>
      </c>
      <c r="O12934" s="6" t="str">
        <f>HYPERLINK("https://pbs.twimg.com/profile_images/962471262747529216/Uo8lOkRJ_normal.jpg","View")</f>
        <v>View</v>
      </c>
      <c r="P12934" s="7"/>
    </row>
    <row r="12935" spans="1:16">
      <c r="A12935" s="3">
        <v>44192.112013888887</v>
      </c>
      <c r="B12935" s="4" t="str">
        <f>HYPERLINK("https://twitter.com/petrogustavo","@petrogustavo")</f>
        <v>@petrogustavo</v>
      </c>
      <c r="C12935" s="5" t="s">
        <v>16</v>
      </c>
      <c r="D12935" s="5" t="s">
        <v>12441</v>
      </c>
      <c r="E12935" s="6" t="str">
        <f>HYPERLINK("https://twitter.com/petrogustavo/status/1342941079692312576","1342941079692312576")</f>
        <v>1342941079692312576</v>
      </c>
      <c r="F12935" s="7" t="s">
        <v>17</v>
      </c>
      <c r="G12935" s="7">
        <v>4023170</v>
      </c>
      <c r="H12935" s="7">
        <v>2468</v>
      </c>
      <c r="I12935" s="7">
        <v>12</v>
      </c>
      <c r="J12935" s="7">
        <v>0</v>
      </c>
      <c r="K12935" s="7" t="s">
        <v>18</v>
      </c>
      <c r="L12935" s="8">
        <v>39987.315405092595</v>
      </c>
      <c r="M12935" s="9" t="s">
        <v>19</v>
      </c>
      <c r="N12935" s="9" t="s">
        <v>20</v>
      </c>
      <c r="O12935" s="6" t="str">
        <f>HYPERLINK("https://pbs.twimg.com/profile_images/962471262747529216/Uo8lOkRJ_normal.jpg","View")</f>
        <v>View</v>
      </c>
      <c r="P12935" s="7"/>
    </row>
    <row r="12936" spans="1:16">
      <c r="A12936" s="3">
        <v>44192.11550925926</v>
      </c>
      <c r="B12936" s="4" t="str">
        <f>HYPERLINK("https://twitter.com/petrogustavo","@petrogustavo")</f>
        <v>@petrogustavo</v>
      </c>
      <c r="C12936" s="5" t="s">
        <v>16</v>
      </c>
      <c r="D12936" s="5" t="s">
        <v>12442</v>
      </c>
      <c r="E12936" s="6" t="str">
        <f>HYPERLINK("https://twitter.com/petrogustavo/status/1342942346607026176","1342942346607026176")</f>
        <v>1342942346607026176</v>
      </c>
      <c r="F12936" s="7" t="s">
        <v>17</v>
      </c>
      <c r="G12936" s="7">
        <v>4023170</v>
      </c>
      <c r="H12936" s="7">
        <v>2468</v>
      </c>
      <c r="I12936" s="7">
        <v>60</v>
      </c>
      <c r="J12936" s="7">
        <v>0</v>
      </c>
      <c r="K12936" s="7" t="s">
        <v>18</v>
      </c>
      <c r="L12936" s="8">
        <v>39987.315405092595</v>
      </c>
      <c r="M12936" s="9" t="s">
        <v>19</v>
      </c>
      <c r="N12936" s="9" t="s">
        <v>20</v>
      </c>
      <c r="O12936" s="6" t="str">
        <f>HYPERLINK("https://pbs.twimg.com/profile_images/962471262747529216/Uo8lOkRJ_normal.jpg","View")</f>
        <v>View</v>
      </c>
      <c r="P12936" s="7"/>
    </row>
    <row r="12937" spans="1:16">
      <c r="A12937" s="3">
        <v>44192.605717592596</v>
      </c>
      <c r="B12937" s="4" t="str">
        <f>HYPERLINK("https://twitter.com/petrogustavo","@petrogustavo")</f>
        <v>@petrogustavo</v>
      </c>
      <c r="C12937" s="5" t="s">
        <v>16</v>
      </c>
      <c r="D12937" s="5" t="s">
        <v>12443</v>
      </c>
      <c r="E12937" s="6" t="str">
        <f>HYPERLINK("https://twitter.com/petrogustavo/status/1343119992867454976","1343119992867454976")</f>
        <v>1343119992867454976</v>
      </c>
      <c r="F12937" s="7" t="s">
        <v>17</v>
      </c>
      <c r="G12937" s="7">
        <v>4023473</v>
      </c>
      <c r="H12937" s="7">
        <v>2470</v>
      </c>
      <c r="I12937" s="7">
        <v>3381</v>
      </c>
      <c r="J12937" s="7">
        <v>0</v>
      </c>
      <c r="K12937" s="7" t="s">
        <v>18</v>
      </c>
      <c r="L12937" s="8">
        <v>39987.315405092595</v>
      </c>
      <c r="M12937" s="9" t="s">
        <v>19</v>
      </c>
      <c r="N12937" s="9" t="s">
        <v>20</v>
      </c>
      <c r="O12937" s="6" t="str">
        <f>HYPERLINK("https://pbs.twimg.com/profile_images/962471262747529216/Uo8lOkRJ_normal.jpg","View")</f>
        <v>View</v>
      </c>
      <c r="P12937" s="7"/>
    </row>
    <row r="12938" spans="1:16">
      <c r="A12938" s="3">
        <v>44192.787372685183</v>
      </c>
      <c r="B12938" s="4" t="str">
        <f>HYPERLINK("https://twitter.com/petrogustavo","@petrogustavo")</f>
        <v>@petrogustavo</v>
      </c>
      <c r="C12938" s="5" t="s">
        <v>16</v>
      </c>
      <c r="D12938" s="5" t="s">
        <v>12444</v>
      </c>
      <c r="E12938" s="6" t="str">
        <f>HYPERLINK("https://twitter.com/petrogustavo/status/1343185819411111938","1343185819411111938")</f>
        <v>1343185819411111938</v>
      </c>
      <c r="F12938" s="7" t="s">
        <v>17</v>
      </c>
      <c r="G12938" s="7">
        <v>4023546</v>
      </c>
      <c r="H12938" s="7">
        <v>2470</v>
      </c>
      <c r="I12938" s="7">
        <v>305</v>
      </c>
      <c r="J12938" s="7">
        <v>846</v>
      </c>
      <c r="K12938" s="7" t="s">
        <v>18</v>
      </c>
      <c r="L12938" s="8">
        <v>39987.315405092595</v>
      </c>
      <c r="M12938" s="9" t="s">
        <v>19</v>
      </c>
      <c r="N12938" s="9" t="s">
        <v>20</v>
      </c>
      <c r="O12938" s="6" t="str">
        <f>HYPERLINK("https://pbs.twimg.com/profile_images/962471262747529216/Uo8lOkRJ_normal.jpg","View")</f>
        <v>View</v>
      </c>
      <c r="P12938" s="7"/>
    </row>
    <row r="12939" spans="1:16">
      <c r="A12939" s="3">
        <v>44192.915393518517</v>
      </c>
      <c r="B12939" s="4" t="str">
        <f>HYPERLINK("https://twitter.com/petrogustavo","@petrogustavo")</f>
        <v>@petrogustavo</v>
      </c>
      <c r="C12939" s="5" t="s">
        <v>16</v>
      </c>
      <c r="D12939" s="5" t="s">
        <v>12445</v>
      </c>
      <c r="E12939" s="6" t="str">
        <f>HYPERLINK("https://twitter.com/petrogustavo/status/1343232213983367169","1343232213983367169")</f>
        <v>1343232213983367169</v>
      </c>
      <c r="F12939" s="7" t="s">
        <v>17</v>
      </c>
      <c r="G12939" s="7">
        <v>4023656</v>
      </c>
      <c r="H12939" s="7">
        <v>2470</v>
      </c>
      <c r="I12939" s="7">
        <v>1550</v>
      </c>
      <c r="J12939" s="7">
        <v>0</v>
      </c>
      <c r="K12939" s="7" t="s">
        <v>18</v>
      </c>
      <c r="L12939" s="8">
        <v>39987.315405092595</v>
      </c>
      <c r="M12939" s="9" t="s">
        <v>19</v>
      </c>
      <c r="N12939" s="9" t="s">
        <v>20</v>
      </c>
      <c r="O12939" s="6" t="str">
        <f>HYPERLINK("https://pbs.twimg.com/profile_images/962471262747529216/Uo8lOkRJ_normal.jpg","View")</f>
        <v>View</v>
      </c>
      <c r="P12939" s="7"/>
    </row>
    <row r="12940" spans="1:16">
      <c r="A12940" s="3">
        <v>44192.925289351857</v>
      </c>
      <c r="B12940" s="4" t="str">
        <f>HYPERLINK("https://twitter.com/petrogustavo","@petrogustavo")</f>
        <v>@petrogustavo</v>
      </c>
      <c r="C12940" s="5" t="s">
        <v>16</v>
      </c>
      <c r="D12940" s="5" t="s">
        <v>12446</v>
      </c>
      <c r="E12940" s="6" t="str">
        <f>HYPERLINK("https://twitter.com/petrogustavo/status/1343235799979061248","1343235799979061248")</f>
        <v>1343235799979061248</v>
      </c>
      <c r="F12940" s="7" t="s">
        <v>17</v>
      </c>
      <c r="G12940" s="7">
        <v>4023656</v>
      </c>
      <c r="H12940" s="7">
        <v>2470</v>
      </c>
      <c r="I12940" s="7">
        <v>64</v>
      </c>
      <c r="J12940" s="7">
        <v>187</v>
      </c>
      <c r="K12940" s="7" t="s">
        <v>18</v>
      </c>
      <c r="L12940" s="8">
        <v>39987.315405092595</v>
      </c>
      <c r="M12940" s="9" t="s">
        <v>19</v>
      </c>
      <c r="N12940" s="9" t="s">
        <v>20</v>
      </c>
      <c r="O12940" s="6" t="str">
        <f>HYPERLINK("https://pbs.twimg.com/profile_images/962471262747529216/Uo8lOkRJ_normal.jpg","View")</f>
        <v>View</v>
      </c>
      <c r="P12940" s="7"/>
    </row>
    <row r="12941" spans="1:16">
      <c r="A12941" s="3">
        <v>44192.976307870369</v>
      </c>
      <c r="B12941" s="4" t="str">
        <f>HYPERLINK("https://twitter.com/petrogustavo","@petrogustavo")</f>
        <v>@petrogustavo</v>
      </c>
      <c r="C12941" s="5" t="s">
        <v>16</v>
      </c>
      <c r="D12941" s="5" t="s">
        <v>12447</v>
      </c>
      <c r="E12941" s="6" t="str">
        <f>HYPERLINK("https://twitter.com/petrogustavo/status/1343254290396307456","1343254290396307456")</f>
        <v>1343254290396307456</v>
      </c>
      <c r="F12941" s="7" t="s">
        <v>17</v>
      </c>
      <c r="G12941" s="7">
        <v>4023701</v>
      </c>
      <c r="H12941" s="7">
        <v>2470</v>
      </c>
      <c r="I12941" s="7">
        <v>106</v>
      </c>
      <c r="J12941" s="7">
        <v>226</v>
      </c>
      <c r="K12941" s="7" t="s">
        <v>18</v>
      </c>
      <c r="L12941" s="8">
        <v>39987.315405092595</v>
      </c>
      <c r="M12941" s="9" t="s">
        <v>19</v>
      </c>
      <c r="N12941" s="9" t="s">
        <v>20</v>
      </c>
      <c r="O12941" s="6" t="str">
        <f>HYPERLINK("https://pbs.twimg.com/profile_images/962471262747529216/Uo8lOkRJ_normal.jpg","View")</f>
        <v>View</v>
      </c>
      <c r="P12941" s="7"/>
    </row>
    <row r="12942" spans="1:16">
      <c r="A12942" s="3">
        <v>44192.989282407405</v>
      </c>
      <c r="B12942" s="4" t="str">
        <f>HYPERLINK("https://twitter.com/petrogustavo","@petrogustavo")</f>
        <v>@petrogustavo</v>
      </c>
      <c r="C12942" s="5" t="s">
        <v>16</v>
      </c>
      <c r="D12942" s="5" t="s">
        <v>12448</v>
      </c>
      <c r="E12942" s="6" t="str">
        <f>HYPERLINK("https://twitter.com/petrogustavo/status/1343258990898253824","1343258990898253824")</f>
        <v>1343258990898253824</v>
      </c>
      <c r="F12942" s="7" t="s">
        <v>17</v>
      </c>
      <c r="G12942" s="7">
        <v>4023701</v>
      </c>
      <c r="H12942" s="7">
        <v>2470</v>
      </c>
      <c r="I12942" s="7">
        <v>29</v>
      </c>
      <c r="J12942" s="7">
        <v>0</v>
      </c>
      <c r="K12942" s="7" t="s">
        <v>18</v>
      </c>
      <c r="L12942" s="8">
        <v>39987.315405092595</v>
      </c>
      <c r="M12942" s="9" t="s">
        <v>19</v>
      </c>
      <c r="N12942" s="9" t="s">
        <v>20</v>
      </c>
      <c r="O12942" s="6" t="str">
        <f>HYPERLINK("https://pbs.twimg.com/profile_images/962471262747529216/Uo8lOkRJ_normal.jpg","View")</f>
        <v>View</v>
      </c>
      <c r="P12942" s="7"/>
    </row>
    <row r="12943" spans="1:16">
      <c r="A12943" s="3">
        <v>44192.989884259259</v>
      </c>
      <c r="B12943" s="4" t="str">
        <f>HYPERLINK("https://twitter.com/petrogustavo","@petrogustavo")</f>
        <v>@petrogustavo</v>
      </c>
      <c r="C12943" s="5" t="s">
        <v>16</v>
      </c>
      <c r="D12943" s="5" t="s">
        <v>12449</v>
      </c>
      <c r="E12943" s="6" t="str">
        <f>HYPERLINK("https://twitter.com/petrogustavo/status/1343259209123557376","1343259209123557376")</f>
        <v>1343259209123557376</v>
      </c>
      <c r="F12943" s="7" t="s">
        <v>17</v>
      </c>
      <c r="G12943" s="7">
        <v>4023701</v>
      </c>
      <c r="H12943" s="7">
        <v>2470</v>
      </c>
      <c r="I12943" s="7">
        <v>84</v>
      </c>
      <c r="J12943" s="7">
        <v>0</v>
      </c>
      <c r="K12943" s="7" t="s">
        <v>18</v>
      </c>
      <c r="L12943" s="8">
        <v>39987.315405092595</v>
      </c>
      <c r="M12943" s="9" t="s">
        <v>19</v>
      </c>
      <c r="N12943" s="9" t="s">
        <v>20</v>
      </c>
      <c r="O12943" s="6" t="str">
        <f>HYPERLINK("https://pbs.twimg.com/profile_images/962471262747529216/Uo8lOkRJ_normal.jpg","View")</f>
        <v>View</v>
      </c>
      <c r="P12943" s="7"/>
    </row>
    <row r="12944" spans="1:16">
      <c r="A12944" s="3">
        <v>44192.993101851855</v>
      </c>
      <c r="B12944" s="4" t="str">
        <f>HYPERLINK("https://twitter.com/petrogustavo","@petrogustavo")</f>
        <v>@petrogustavo</v>
      </c>
      <c r="C12944" s="5" t="s">
        <v>16</v>
      </c>
      <c r="D12944" s="5" t="s">
        <v>12450</v>
      </c>
      <c r="E12944" s="6" t="str">
        <f>HYPERLINK("https://twitter.com/petrogustavo/status/1343260376402698241","1343260376402698241")</f>
        <v>1343260376402698241</v>
      </c>
      <c r="F12944" s="7" t="s">
        <v>17</v>
      </c>
      <c r="G12944" s="7">
        <v>4023720</v>
      </c>
      <c r="H12944" s="7">
        <v>2470</v>
      </c>
      <c r="I12944" s="7">
        <v>3072</v>
      </c>
      <c r="J12944" s="7">
        <v>0</v>
      </c>
      <c r="K12944" s="7" t="s">
        <v>18</v>
      </c>
      <c r="L12944" s="8">
        <v>39987.315405092595</v>
      </c>
      <c r="M12944" s="9" t="s">
        <v>19</v>
      </c>
      <c r="N12944" s="9" t="s">
        <v>20</v>
      </c>
      <c r="O12944" s="6" t="str">
        <f>HYPERLINK("https://pbs.twimg.com/profile_images/962471262747529216/Uo8lOkRJ_normal.jpg","View")</f>
        <v>View</v>
      </c>
      <c r="P12944" s="7"/>
    </row>
    <row r="12945" spans="1:16">
      <c r="A12945" s="3">
        <v>44193.010300925926</v>
      </c>
      <c r="B12945" s="4" t="str">
        <f>HYPERLINK("https://twitter.com/petrogustavo","@petrogustavo")</f>
        <v>@petrogustavo</v>
      </c>
      <c r="C12945" s="5" t="s">
        <v>16</v>
      </c>
      <c r="D12945" s="5" t="s">
        <v>12451</v>
      </c>
      <c r="E12945" s="6" t="str">
        <f>HYPERLINK("https://twitter.com/petrogustavo/status/1343266605275471872","1343266605275471872")</f>
        <v>1343266605275471872</v>
      </c>
      <c r="F12945" s="7" t="s">
        <v>17</v>
      </c>
      <c r="G12945" s="7">
        <v>4023720</v>
      </c>
      <c r="H12945" s="7">
        <v>2470</v>
      </c>
      <c r="I12945" s="7">
        <v>11</v>
      </c>
      <c r="J12945" s="7">
        <v>30</v>
      </c>
      <c r="K12945" s="7" t="s">
        <v>18</v>
      </c>
      <c r="L12945" s="8">
        <v>39987.315405092595</v>
      </c>
      <c r="M12945" s="9" t="s">
        <v>19</v>
      </c>
      <c r="N12945" s="9" t="s">
        <v>20</v>
      </c>
      <c r="O12945" s="6" t="str">
        <f>HYPERLINK("https://pbs.twimg.com/profile_images/962471262747529216/Uo8lOkRJ_normal.jpg","View")</f>
        <v>View</v>
      </c>
      <c r="P12945" s="7"/>
    </row>
    <row r="12946" spans="1:16">
      <c r="A12946" s="3">
        <v>44193.064259259263</v>
      </c>
      <c r="B12946" s="4" t="str">
        <f>HYPERLINK("https://twitter.com/petrogustavo","@petrogustavo")</f>
        <v>@petrogustavo</v>
      </c>
      <c r="C12946" s="5" t="s">
        <v>16</v>
      </c>
      <c r="D12946" s="5" t="s">
        <v>12452</v>
      </c>
      <c r="E12946" s="6" t="str">
        <f>HYPERLINK("https://twitter.com/petrogustavo/status/1343286161129746440","1343286161129746440")</f>
        <v>1343286161129746440</v>
      </c>
      <c r="F12946" s="7" t="s">
        <v>17</v>
      </c>
      <c r="G12946" s="7">
        <v>4023777</v>
      </c>
      <c r="H12946" s="7">
        <v>2470</v>
      </c>
      <c r="I12946" s="7">
        <v>46</v>
      </c>
      <c r="J12946" s="7">
        <v>101</v>
      </c>
      <c r="K12946" s="7" t="s">
        <v>18</v>
      </c>
      <c r="L12946" s="8">
        <v>39987.315405092595</v>
      </c>
      <c r="M12946" s="9" t="s">
        <v>19</v>
      </c>
      <c r="N12946" s="9" t="s">
        <v>20</v>
      </c>
      <c r="O12946" s="6" t="str">
        <f>HYPERLINK("https://pbs.twimg.com/profile_images/962471262747529216/Uo8lOkRJ_normal.jpg","View")</f>
        <v>View</v>
      </c>
      <c r="P12946" s="7"/>
    </row>
    <row r="12947" spans="1:16">
      <c r="A12947" s="3">
        <v>44193.066759259258</v>
      </c>
      <c r="B12947" s="4" t="str">
        <f>HYPERLINK("https://twitter.com/petrogustavo","@petrogustavo")</f>
        <v>@petrogustavo</v>
      </c>
      <c r="C12947" s="5" t="s">
        <v>16</v>
      </c>
      <c r="D12947" s="5" t="s">
        <v>12453</v>
      </c>
      <c r="E12947" s="6" t="str">
        <f>HYPERLINK("https://twitter.com/petrogustavo/status/1343287066587766785","1343287066587766785")</f>
        <v>1343287066587766785</v>
      </c>
      <c r="F12947" s="7" t="s">
        <v>17</v>
      </c>
      <c r="G12947" s="7">
        <v>4023777</v>
      </c>
      <c r="H12947" s="7">
        <v>2470</v>
      </c>
      <c r="I12947" s="7">
        <v>73</v>
      </c>
      <c r="J12947" s="7">
        <v>143</v>
      </c>
      <c r="K12947" s="7" t="s">
        <v>18</v>
      </c>
      <c r="L12947" s="8">
        <v>39987.315405092595</v>
      </c>
      <c r="M12947" s="9" t="s">
        <v>19</v>
      </c>
      <c r="N12947" s="9" t="s">
        <v>20</v>
      </c>
      <c r="O12947" s="6" t="str">
        <f>HYPERLINK("https://pbs.twimg.com/profile_images/962471262747529216/Uo8lOkRJ_normal.jpg","View")</f>
        <v>View</v>
      </c>
      <c r="P12947" s="7"/>
    </row>
    <row r="12948" spans="1:16">
      <c r="A12948" s="3">
        <v>44193.067974537036</v>
      </c>
      <c r="B12948" s="4" t="str">
        <f>HYPERLINK("https://twitter.com/petrogustavo","@petrogustavo")</f>
        <v>@petrogustavo</v>
      </c>
      <c r="C12948" s="5" t="s">
        <v>16</v>
      </c>
      <c r="D12948" s="5" t="s">
        <v>12454</v>
      </c>
      <c r="E12948" s="6" t="str">
        <f>HYPERLINK("https://twitter.com/petrogustavo/status/1343287507186806787","1343287507186806787")</f>
        <v>1343287507186806787</v>
      </c>
      <c r="F12948" s="7" t="s">
        <v>17</v>
      </c>
      <c r="G12948" s="7">
        <v>4023777</v>
      </c>
      <c r="H12948" s="7">
        <v>2470</v>
      </c>
      <c r="I12948" s="7">
        <v>32</v>
      </c>
      <c r="J12948" s="7">
        <v>0</v>
      </c>
      <c r="K12948" s="7" t="s">
        <v>18</v>
      </c>
      <c r="L12948" s="8">
        <v>39987.315405092595</v>
      </c>
      <c r="M12948" s="9" t="s">
        <v>19</v>
      </c>
      <c r="N12948" s="9" t="s">
        <v>20</v>
      </c>
      <c r="O12948" s="6" t="str">
        <f>HYPERLINK("https://pbs.twimg.com/profile_images/962471262747529216/Uo8lOkRJ_normal.jpg","View")</f>
        <v>View</v>
      </c>
      <c r="P12948" s="7"/>
    </row>
    <row r="12949" spans="1:16">
      <c r="A12949" s="3">
        <v>44193.075648148151</v>
      </c>
      <c r="B12949" s="4" t="str">
        <f>HYPERLINK("https://twitter.com/petrogustavo","@petrogustavo")</f>
        <v>@petrogustavo</v>
      </c>
      <c r="C12949" s="5" t="s">
        <v>16</v>
      </c>
      <c r="D12949" s="5" t="s">
        <v>12455</v>
      </c>
      <c r="E12949" s="6" t="str">
        <f>HYPERLINK("https://twitter.com/petrogustavo/status/1343290288828272646","1343290288828272646")</f>
        <v>1343290288828272646</v>
      </c>
      <c r="F12949" s="7" t="s">
        <v>17</v>
      </c>
      <c r="G12949" s="7">
        <v>4023805</v>
      </c>
      <c r="H12949" s="7">
        <v>2470</v>
      </c>
      <c r="I12949" s="7">
        <v>391</v>
      </c>
      <c r="J12949" s="7">
        <v>1151</v>
      </c>
      <c r="K12949" s="7" t="s">
        <v>18</v>
      </c>
      <c r="L12949" s="8">
        <v>39987.315405092595</v>
      </c>
      <c r="M12949" s="9" t="s">
        <v>19</v>
      </c>
      <c r="N12949" s="9" t="s">
        <v>20</v>
      </c>
      <c r="O12949" s="6" t="str">
        <f>HYPERLINK("https://pbs.twimg.com/profile_images/962471262747529216/Uo8lOkRJ_normal.jpg","View")</f>
        <v>View</v>
      </c>
      <c r="P12949" s="7"/>
    </row>
    <row r="12950" spans="1:16">
      <c r="A12950" s="3">
        <v>44193.119803240741</v>
      </c>
      <c r="B12950" s="4" t="str">
        <f>HYPERLINK("https://twitter.com/petrogustavo","@petrogustavo")</f>
        <v>@petrogustavo</v>
      </c>
      <c r="C12950" s="5" t="s">
        <v>16</v>
      </c>
      <c r="D12950" s="5" t="s">
        <v>12456</v>
      </c>
      <c r="E12950" s="6" t="str">
        <f>HYPERLINK("https://twitter.com/petrogustavo/status/1343306291066904576","1343306291066904576")</f>
        <v>1343306291066904576</v>
      </c>
      <c r="F12950" s="7" t="s">
        <v>17</v>
      </c>
      <c r="G12950" s="7">
        <v>4023817</v>
      </c>
      <c r="H12950" s="7">
        <v>2470</v>
      </c>
      <c r="I12950" s="7">
        <v>63</v>
      </c>
      <c r="J12950" s="7">
        <v>141</v>
      </c>
      <c r="K12950" s="7" t="s">
        <v>18</v>
      </c>
      <c r="L12950" s="8">
        <v>39987.315405092595</v>
      </c>
      <c r="M12950" s="9" t="s">
        <v>19</v>
      </c>
      <c r="N12950" s="9" t="s">
        <v>20</v>
      </c>
      <c r="O12950" s="6" t="str">
        <f>HYPERLINK("https://pbs.twimg.com/profile_images/962471262747529216/Uo8lOkRJ_normal.jpg","View")</f>
        <v>View</v>
      </c>
      <c r="P12950" s="7"/>
    </row>
    <row r="12951" spans="1:16">
      <c r="A12951" s="3">
        <v>44193.132233796292</v>
      </c>
      <c r="B12951" s="4" t="str">
        <f>HYPERLINK("https://twitter.com/petrogustavo","@petrogustavo")</f>
        <v>@petrogustavo</v>
      </c>
      <c r="C12951" s="5" t="s">
        <v>16</v>
      </c>
      <c r="D12951" s="5" t="s">
        <v>12457</v>
      </c>
      <c r="E12951" s="6" t="str">
        <f>HYPERLINK("https://twitter.com/petrogustavo/status/1343310796210774016","1343310796210774016")</f>
        <v>1343310796210774016</v>
      </c>
      <c r="F12951" s="7" t="s">
        <v>17</v>
      </c>
      <c r="G12951" s="7">
        <v>4023817</v>
      </c>
      <c r="H12951" s="7">
        <v>2470</v>
      </c>
      <c r="I12951" s="7">
        <v>62</v>
      </c>
      <c r="J12951" s="7">
        <v>84</v>
      </c>
      <c r="K12951" s="7" t="s">
        <v>18</v>
      </c>
      <c r="L12951" s="8">
        <v>39987.315405092595</v>
      </c>
      <c r="M12951" s="9" t="s">
        <v>19</v>
      </c>
      <c r="N12951" s="9" t="s">
        <v>20</v>
      </c>
      <c r="O12951" s="6" t="str">
        <f>HYPERLINK("https://pbs.twimg.com/profile_images/962471262747529216/Uo8lOkRJ_normal.jpg","View")</f>
        <v>View</v>
      </c>
      <c r="P12951" s="7"/>
    </row>
    <row r="12952" spans="1:16">
      <c r="A12952" s="3">
        <v>44193.1408912037</v>
      </c>
      <c r="B12952" s="4" t="str">
        <f>HYPERLINK("https://twitter.com/petrogustavo","@petrogustavo")</f>
        <v>@petrogustavo</v>
      </c>
      <c r="C12952" s="5" t="s">
        <v>16</v>
      </c>
      <c r="D12952" s="5" t="s">
        <v>12458</v>
      </c>
      <c r="E12952" s="6" t="str">
        <f>HYPERLINK("https://twitter.com/petrogustavo/status/1343313929645207555","1343313929645207555")</f>
        <v>1343313929645207555</v>
      </c>
      <c r="F12952" s="7" t="s">
        <v>17</v>
      </c>
      <c r="G12952" s="7">
        <v>4023840</v>
      </c>
      <c r="H12952" s="7">
        <v>2470</v>
      </c>
      <c r="I12952" s="7">
        <v>1034</v>
      </c>
      <c r="J12952" s="7">
        <v>0</v>
      </c>
      <c r="K12952" s="7" t="s">
        <v>18</v>
      </c>
      <c r="L12952" s="8">
        <v>39987.315405092595</v>
      </c>
      <c r="M12952" s="9" t="s">
        <v>19</v>
      </c>
      <c r="N12952" s="9" t="s">
        <v>20</v>
      </c>
      <c r="O12952" s="6" t="str">
        <f>HYPERLINK("https://pbs.twimg.com/profile_images/962471262747529216/Uo8lOkRJ_normal.jpg","View")</f>
        <v>View</v>
      </c>
      <c r="P12952" s="7"/>
    </row>
    <row r="12953" spans="1:16">
      <c r="A12953" s="3">
        <v>44193.740497685183</v>
      </c>
      <c r="B12953" s="4" t="str">
        <f>HYPERLINK("https://twitter.com/petrogustavo","@petrogustavo")</f>
        <v>@petrogustavo</v>
      </c>
      <c r="C12953" s="5" t="s">
        <v>16</v>
      </c>
      <c r="D12953" s="5" t="s">
        <v>12459</v>
      </c>
      <c r="E12953" s="6" t="str">
        <f>HYPERLINK("https://twitter.com/petrogustavo/status/1343531222614597637","1343531222614597637")</f>
        <v>1343531222614597637</v>
      </c>
      <c r="F12953" s="7" t="s">
        <v>17</v>
      </c>
      <c r="G12953" s="7">
        <v>4024155</v>
      </c>
      <c r="H12953" s="7">
        <v>2468</v>
      </c>
      <c r="I12953" s="7">
        <v>6</v>
      </c>
      <c r="J12953" s="7">
        <v>24</v>
      </c>
      <c r="K12953" s="7" t="s">
        <v>18</v>
      </c>
      <c r="L12953" s="8">
        <v>39987.315405092595</v>
      </c>
      <c r="M12953" s="9" t="s">
        <v>19</v>
      </c>
      <c r="N12953" s="9" t="s">
        <v>20</v>
      </c>
      <c r="O12953" s="6" t="str">
        <f>HYPERLINK("https://pbs.twimg.com/profile_images/962471262747529216/Uo8lOkRJ_normal.jpg","View")</f>
        <v>View</v>
      </c>
      <c r="P12953" s="7"/>
    </row>
    <row r="12954" spans="1:16">
      <c r="A12954" s="3">
        <v>44193.746157407411</v>
      </c>
      <c r="B12954" s="4" t="str">
        <f>HYPERLINK("https://twitter.com/petrogustavo","@petrogustavo")</f>
        <v>@petrogustavo</v>
      </c>
      <c r="C12954" s="5" t="s">
        <v>16</v>
      </c>
      <c r="D12954" s="5" t="s">
        <v>12460</v>
      </c>
      <c r="E12954" s="6" t="str">
        <f>HYPERLINK("https://twitter.com/petrogustavo/status/1343533270579994625","1343533270579994625")</f>
        <v>1343533270579994625</v>
      </c>
      <c r="F12954" s="7" t="s">
        <v>17</v>
      </c>
      <c r="G12954" s="7">
        <v>4024166</v>
      </c>
      <c r="H12954" s="7">
        <v>2468</v>
      </c>
      <c r="I12954" s="7">
        <v>105</v>
      </c>
      <c r="J12954" s="7">
        <v>282</v>
      </c>
      <c r="K12954" s="7" t="s">
        <v>18</v>
      </c>
      <c r="L12954" s="8">
        <v>39987.315405092595</v>
      </c>
      <c r="M12954" s="9" t="s">
        <v>19</v>
      </c>
      <c r="N12954" s="9" t="s">
        <v>20</v>
      </c>
      <c r="O12954" s="6" t="str">
        <f>HYPERLINK("https://pbs.twimg.com/profile_images/962471262747529216/Uo8lOkRJ_normal.jpg","View")</f>
        <v>View</v>
      </c>
      <c r="P12954" s="7"/>
    </row>
    <row r="12955" spans="1:16">
      <c r="A12955" s="3">
        <v>44193.774814814809</v>
      </c>
      <c r="B12955" s="4" t="str">
        <f>HYPERLINK("https://twitter.com/petrogustavo","@petrogustavo")</f>
        <v>@petrogustavo</v>
      </c>
      <c r="C12955" s="5" t="s">
        <v>16</v>
      </c>
      <c r="D12955" s="5" t="s">
        <v>12461</v>
      </c>
      <c r="E12955" s="6" t="str">
        <f>HYPERLINK("https://twitter.com/petrogustavo/status/1343543656331042817","1343543656331042817")</f>
        <v>1343543656331042817</v>
      </c>
      <c r="F12955" s="7" t="s">
        <v>17</v>
      </c>
      <c r="G12955" s="7">
        <v>4024186</v>
      </c>
      <c r="H12955" s="7">
        <v>2468</v>
      </c>
      <c r="I12955" s="7">
        <v>54</v>
      </c>
      <c r="J12955" s="7">
        <v>155</v>
      </c>
      <c r="K12955" s="7" t="s">
        <v>18</v>
      </c>
      <c r="L12955" s="8">
        <v>39987.315405092595</v>
      </c>
      <c r="M12955" s="9" t="s">
        <v>19</v>
      </c>
      <c r="N12955" s="9" t="s">
        <v>20</v>
      </c>
      <c r="O12955" s="6" t="str">
        <f>HYPERLINK("https://pbs.twimg.com/profile_images/962471262747529216/Uo8lOkRJ_normal.jpg","View")</f>
        <v>View</v>
      </c>
      <c r="P12955" s="7"/>
    </row>
    <row r="12956" spans="1:16">
      <c r="A12956" s="3">
        <v>44193.862719907411</v>
      </c>
      <c r="B12956" s="4" t="str">
        <f>HYPERLINK("https://twitter.com/petrogustavo","@petrogustavo")</f>
        <v>@petrogustavo</v>
      </c>
      <c r="C12956" s="5" t="s">
        <v>16</v>
      </c>
      <c r="D12956" s="5" t="s">
        <v>12462</v>
      </c>
      <c r="E12956" s="6" t="str">
        <f>HYPERLINK("https://twitter.com/petrogustavo/status/1343575511952457728","1343575511952457728")</f>
        <v>1343575511952457728</v>
      </c>
      <c r="F12956" s="7" t="s">
        <v>17</v>
      </c>
      <c r="G12956" s="7">
        <v>4024236</v>
      </c>
      <c r="H12956" s="7">
        <v>2468</v>
      </c>
      <c r="I12956" s="7">
        <v>1179</v>
      </c>
      <c r="J12956" s="7">
        <v>0</v>
      </c>
      <c r="K12956" s="7" t="s">
        <v>18</v>
      </c>
      <c r="L12956" s="8">
        <v>39987.315405092595</v>
      </c>
      <c r="M12956" s="9" t="s">
        <v>19</v>
      </c>
      <c r="N12956" s="9" t="s">
        <v>20</v>
      </c>
      <c r="O12956" s="6" t="str">
        <f>HYPERLINK("https://pbs.twimg.com/profile_images/962471262747529216/Uo8lOkRJ_normal.jpg","View")</f>
        <v>View</v>
      </c>
      <c r="P12956" s="7"/>
    </row>
    <row r="12957" spans="1:16">
      <c r="A12957" s="3">
        <v>44195.069687499999</v>
      </c>
      <c r="B12957" s="4" t="str">
        <f>HYPERLINK("https://twitter.com/petrogustavo","@petrogustavo")</f>
        <v>@petrogustavo</v>
      </c>
      <c r="C12957" s="5" t="s">
        <v>16</v>
      </c>
      <c r="D12957" s="5" t="s">
        <v>12463</v>
      </c>
      <c r="E12957" s="6" t="str">
        <f>HYPERLINK("https://twitter.com/petrogustavo/status/1344012903251374083","1344012903251374083")</f>
        <v>1344012903251374083</v>
      </c>
      <c r="F12957" s="7" t="s">
        <v>17</v>
      </c>
      <c r="G12957" s="7">
        <v>4025230</v>
      </c>
      <c r="H12957" s="7">
        <v>2467</v>
      </c>
      <c r="I12957" s="7">
        <v>731</v>
      </c>
      <c r="J12957" s="7">
        <v>0</v>
      </c>
      <c r="K12957" s="7" t="s">
        <v>18</v>
      </c>
      <c r="L12957" s="8">
        <v>39987.315405092595</v>
      </c>
      <c r="M12957" s="9" t="s">
        <v>19</v>
      </c>
      <c r="N12957" s="9" t="s">
        <v>20</v>
      </c>
      <c r="O12957" s="6" t="str">
        <f>HYPERLINK("https://pbs.twimg.com/profile_images/962471262747529216/Uo8lOkRJ_normal.jpg","View")</f>
        <v>View</v>
      </c>
      <c r="P12957" s="7"/>
    </row>
    <row r="12958" spans="1:16">
      <c r="A12958" s="3">
        <v>44195.085219907407</v>
      </c>
      <c r="B12958" s="4" t="str">
        <f>HYPERLINK("https://twitter.com/petrogustavo","@petrogustavo")</f>
        <v>@petrogustavo</v>
      </c>
      <c r="C12958" s="5" t="s">
        <v>16</v>
      </c>
      <c r="D12958" s="5" t="s">
        <v>12464</v>
      </c>
      <c r="E12958" s="6" t="str">
        <f>HYPERLINK("https://twitter.com/petrogustavo/status/1344018531076218881","1344018531076218881")</f>
        <v>1344018531076218881</v>
      </c>
      <c r="F12958" s="7" t="s">
        <v>17</v>
      </c>
      <c r="G12958" s="7">
        <v>4025257</v>
      </c>
      <c r="H12958" s="7">
        <v>2467</v>
      </c>
      <c r="I12958" s="7">
        <v>100</v>
      </c>
      <c r="J12958" s="7">
        <v>398</v>
      </c>
      <c r="K12958" s="7" t="s">
        <v>18</v>
      </c>
      <c r="L12958" s="8">
        <v>39987.315405092595</v>
      </c>
      <c r="M12958" s="9" t="s">
        <v>19</v>
      </c>
      <c r="N12958" s="9" t="s">
        <v>20</v>
      </c>
      <c r="O12958" s="6" t="str">
        <f>HYPERLINK("https://pbs.twimg.com/profile_images/962471262747529216/Uo8lOkRJ_normal.jpg","View")</f>
        <v>View</v>
      </c>
      <c r="P12958" s="7"/>
    </row>
    <row r="12959" spans="1:16">
      <c r="A12959" s="3">
        <v>44195.085219907407</v>
      </c>
      <c r="B12959" s="4" t="str">
        <f>HYPERLINK("https://twitter.com/petrogustavo","@petrogustavo")</f>
        <v>@petrogustavo</v>
      </c>
      <c r="C12959" s="5" t="s">
        <v>16</v>
      </c>
      <c r="D12959" s="5" t="s">
        <v>12465</v>
      </c>
      <c r="E12959" s="6" t="str">
        <f>HYPERLINK("https://twitter.com/petrogustavo/status/1344018534301659142","1344018534301659142")</f>
        <v>1344018534301659142</v>
      </c>
      <c r="F12959" s="7" t="s">
        <v>17</v>
      </c>
      <c r="G12959" s="7">
        <v>4025257</v>
      </c>
      <c r="H12959" s="7">
        <v>2467</v>
      </c>
      <c r="I12959" s="7">
        <v>39</v>
      </c>
      <c r="J12959" s="7">
        <v>225</v>
      </c>
      <c r="K12959" s="7" t="s">
        <v>18</v>
      </c>
      <c r="L12959" s="8">
        <v>39987.315405092595</v>
      </c>
      <c r="M12959" s="9" t="s">
        <v>19</v>
      </c>
      <c r="N12959" s="9" t="s">
        <v>20</v>
      </c>
      <c r="O12959" s="6" t="str">
        <f>HYPERLINK("https://pbs.twimg.com/profile_images/962471262747529216/Uo8lOkRJ_normal.jpg","View")</f>
        <v>View</v>
      </c>
      <c r="P12959" s="7"/>
    </row>
    <row r="12960" spans="1:16">
      <c r="A12960" s="3">
        <v>44195.817118055551</v>
      </c>
      <c r="B12960" s="4" t="str">
        <f>HYPERLINK("https://twitter.com/petrogustavo","@petrogustavo")</f>
        <v>@petrogustavo</v>
      </c>
      <c r="C12960" s="5" t="s">
        <v>16</v>
      </c>
      <c r="D12960" s="5" t="s">
        <v>12466</v>
      </c>
      <c r="E12960" s="6" t="str">
        <f>HYPERLINK("https://twitter.com/petrogustavo/status/1344283765359702028","1344283765359702028")</f>
        <v>1344283765359702028</v>
      </c>
      <c r="F12960" s="7" t="s">
        <v>17</v>
      </c>
      <c r="G12960" s="7">
        <v>4025764</v>
      </c>
      <c r="H12960" s="7">
        <v>2467</v>
      </c>
      <c r="I12960" s="7">
        <v>1430</v>
      </c>
      <c r="J12960" s="7">
        <v>0</v>
      </c>
      <c r="K12960" s="7" t="s">
        <v>18</v>
      </c>
      <c r="L12960" s="8">
        <v>39987.315405092595</v>
      </c>
      <c r="M12960" s="9" t="s">
        <v>19</v>
      </c>
      <c r="N12960" s="9" t="s">
        <v>20</v>
      </c>
      <c r="O12960" s="6" t="str">
        <f>HYPERLINK("https://pbs.twimg.com/profile_images/962471262747529216/Uo8lOkRJ_normal.jpg","View")</f>
        <v>View</v>
      </c>
      <c r="P12960" s="7"/>
    </row>
    <row r="12961" spans="1:16">
      <c r="A12961" s="3">
        <v>44196.006203703699</v>
      </c>
      <c r="B12961" s="4" t="str">
        <f>HYPERLINK("https://twitter.com/petrogustavo","@petrogustavo")</f>
        <v>@petrogustavo</v>
      </c>
      <c r="C12961" s="5" t="s">
        <v>16</v>
      </c>
      <c r="D12961" s="5" t="s">
        <v>12467</v>
      </c>
      <c r="E12961" s="6" t="str">
        <f>HYPERLINK("https://twitter.com/petrogustavo/status/1344352287779680257","1344352287779680257")</f>
        <v>1344352287779680257</v>
      </c>
      <c r="F12961" s="7" t="s">
        <v>17</v>
      </c>
      <c r="G12961" s="7">
        <v>4025923</v>
      </c>
      <c r="H12961" s="7">
        <v>2467</v>
      </c>
      <c r="I12961" s="7">
        <v>258</v>
      </c>
      <c r="J12961" s="7">
        <v>1254</v>
      </c>
      <c r="K12961" s="7" t="s">
        <v>18</v>
      </c>
      <c r="L12961" s="8">
        <v>39987.315405092595</v>
      </c>
      <c r="M12961" s="9" t="s">
        <v>19</v>
      </c>
      <c r="N12961" s="9" t="s">
        <v>20</v>
      </c>
      <c r="O12961" s="6" t="str">
        <f>HYPERLINK("https://pbs.twimg.com/profile_images/962471262747529216/Uo8lOkRJ_normal.jpg","View")</f>
        <v>View</v>
      </c>
      <c r="P12961" s="7"/>
    </row>
    <row r="12962" spans="1:16">
      <c r="A12962" s="3">
        <v>44196.582048611112</v>
      </c>
      <c r="B12962" s="4" t="str">
        <f>HYPERLINK("https://twitter.com/petrogustavo","@petrogustavo")</f>
        <v>@petrogustavo</v>
      </c>
      <c r="C12962" s="5" t="s">
        <v>16</v>
      </c>
      <c r="D12962" s="5" t="s">
        <v>12468</v>
      </c>
      <c r="E12962" s="6" t="str">
        <f>HYPERLINK("https://twitter.com/petrogustavo/status/1344560964033794050","1344560964033794050")</f>
        <v>1344560964033794050</v>
      </c>
      <c r="F12962" s="7" t="s">
        <v>17</v>
      </c>
      <c r="G12962" s="7">
        <v>4026306</v>
      </c>
      <c r="H12962" s="7">
        <v>2468</v>
      </c>
      <c r="I12962" s="7">
        <v>47</v>
      </c>
      <c r="J12962" s="7">
        <v>199</v>
      </c>
      <c r="K12962" s="7" t="s">
        <v>18</v>
      </c>
      <c r="L12962" s="8">
        <v>39987.315405092595</v>
      </c>
      <c r="M12962" s="9" t="s">
        <v>19</v>
      </c>
      <c r="N12962" s="9" t="s">
        <v>20</v>
      </c>
      <c r="O12962" s="6" t="str">
        <f>HYPERLINK("https://pbs.twimg.com/profile_images/962471262747529216/Uo8lOkRJ_normal.jpg","View")</f>
        <v>View</v>
      </c>
      <c r="P12962" s="7"/>
    </row>
    <row r="12963" spans="1:16">
      <c r="A12963" s="3">
        <v>44196.733576388884</v>
      </c>
      <c r="B12963" s="4" t="str">
        <f>HYPERLINK("https://twitter.com/petrogustavo","@petrogustavo")</f>
        <v>@petrogustavo</v>
      </c>
      <c r="C12963" s="5" t="s">
        <v>16</v>
      </c>
      <c r="D12963" s="5" t="s">
        <v>12469</v>
      </c>
      <c r="E12963" s="6" t="str">
        <f>HYPERLINK("https://twitter.com/petrogustavo/status/1344615878323810305","1344615878323810305")</f>
        <v>1344615878323810305</v>
      </c>
      <c r="F12963" s="7" t="s">
        <v>17</v>
      </c>
      <c r="G12963" s="7">
        <v>4026332</v>
      </c>
      <c r="H12963" s="7">
        <v>2468</v>
      </c>
      <c r="I12963" s="7">
        <v>48</v>
      </c>
      <c r="J12963" s="7">
        <v>146</v>
      </c>
      <c r="K12963" s="7" t="s">
        <v>18</v>
      </c>
      <c r="L12963" s="8">
        <v>39987.315405092595</v>
      </c>
      <c r="M12963" s="9" t="s">
        <v>19</v>
      </c>
      <c r="N12963" s="9" t="s">
        <v>20</v>
      </c>
      <c r="O12963" s="6" t="str">
        <f>HYPERLINK("https://pbs.twimg.com/profile_images/962471262747529216/Uo8lOkRJ_normal.jpg","View")</f>
        <v>View</v>
      </c>
      <c r="P12963" s="7"/>
    </row>
    <row r="12964" spans="1:16">
      <c r="A12964" s="3">
        <v>44196.992893518516</v>
      </c>
      <c r="B12964" s="4" t="str">
        <f>HYPERLINK("https://twitter.com/petrogustavo","@petrogustavo")</f>
        <v>@petrogustavo</v>
      </c>
      <c r="C12964" s="5" t="s">
        <v>16</v>
      </c>
      <c r="D12964" s="5" t="s">
        <v>12470</v>
      </c>
      <c r="E12964" s="6" t="str">
        <f>HYPERLINK("https://twitter.com/petrogustavo/status/1344709850866085890","1344709850866085890")</f>
        <v>1344709850866085890</v>
      </c>
      <c r="F12964" s="7" t="s">
        <v>17</v>
      </c>
      <c r="G12964" s="7">
        <v>4026490</v>
      </c>
      <c r="H12964" s="7">
        <v>2468</v>
      </c>
      <c r="I12964" s="7">
        <v>204</v>
      </c>
      <c r="J12964" s="7">
        <v>724</v>
      </c>
      <c r="K12964" s="7" t="s">
        <v>18</v>
      </c>
      <c r="L12964" s="8">
        <v>39987.315405092595</v>
      </c>
      <c r="M12964" s="9" t="s">
        <v>19</v>
      </c>
      <c r="N12964" s="9" t="s">
        <v>20</v>
      </c>
      <c r="O12964" s="6" t="str">
        <f>HYPERLINK("https://pbs.twimg.com/profile_images/962471262747529216/Uo8lOkRJ_normal.jpg","View")</f>
        <v>View</v>
      </c>
      <c r="P12964" s="7"/>
    </row>
    <row r="12965" spans="1:16">
      <c r="A12965" s="3">
        <v>44197.834328703699</v>
      </c>
      <c r="B12965" s="4" t="str">
        <f>HYPERLINK("https://twitter.com/petrogustavo","@petrogustavo")</f>
        <v>@petrogustavo</v>
      </c>
      <c r="C12965" s="5" t="s">
        <v>16</v>
      </c>
      <c r="D12965" s="5" t="s">
        <v>12471</v>
      </c>
      <c r="E12965" s="6" t="str">
        <f>HYPERLINK("https://twitter.com/petrogustavo/status/1345014775047192577","1345014775047192577")</f>
        <v>1345014775047192577</v>
      </c>
      <c r="F12965" s="7" t="s">
        <v>17</v>
      </c>
      <c r="G12965" s="7">
        <v>4026675</v>
      </c>
      <c r="H12965" s="7">
        <v>2466</v>
      </c>
      <c r="I12965" s="7">
        <v>1545</v>
      </c>
      <c r="J12965" s="7">
        <v>0</v>
      </c>
      <c r="K12965" s="7" t="s">
        <v>18</v>
      </c>
      <c r="L12965" s="8">
        <v>39987.315405092595</v>
      </c>
      <c r="M12965" s="9" t="s">
        <v>19</v>
      </c>
      <c r="N12965" s="9" t="s">
        <v>20</v>
      </c>
      <c r="O12965" s="6" t="str">
        <f>HYPERLINK("https://pbs.twimg.com/profile_images/962471262747529216/Uo8lOkRJ_normal.jpg","View")</f>
        <v>View</v>
      </c>
      <c r="P12965" s="7"/>
    </row>
    <row r="12966" spans="1:16">
      <c r="A12966" s="3">
        <v>44198.963113425925</v>
      </c>
      <c r="B12966" s="4" t="str">
        <f>HYPERLINK("https://twitter.com/petrogustavo","@petrogustavo")</f>
        <v>@petrogustavo</v>
      </c>
      <c r="C12966" s="5" t="s">
        <v>16</v>
      </c>
      <c r="D12966" s="5" t="s">
        <v>12472</v>
      </c>
      <c r="E12966" s="6" t="str">
        <f>HYPERLINK("https://twitter.com/petrogustavo/status/1345423833004716032","1345423833004716032")</f>
        <v>1345423833004716032</v>
      </c>
      <c r="F12966" s="7" t="s">
        <v>17</v>
      </c>
      <c r="G12966" s="7">
        <v>4027185</v>
      </c>
      <c r="H12966" s="7">
        <v>2467</v>
      </c>
      <c r="I12966" s="7">
        <v>87</v>
      </c>
      <c r="J12966" s="7">
        <v>285</v>
      </c>
      <c r="K12966" s="7" t="s">
        <v>18</v>
      </c>
      <c r="L12966" s="8">
        <v>39987.315405092595</v>
      </c>
      <c r="M12966" s="9" t="s">
        <v>19</v>
      </c>
      <c r="N12966" s="9" t="s">
        <v>20</v>
      </c>
      <c r="O12966" s="6" t="str">
        <f>HYPERLINK("https://pbs.twimg.com/profile_images/962471262747529216/Uo8lOkRJ_normal.jpg","View")</f>
        <v>View</v>
      </c>
      <c r="P12966" s="7"/>
    </row>
    <row r="12967" spans="1:16">
      <c r="A12967" s="3">
        <v>44199.100532407407</v>
      </c>
      <c r="B12967" s="4" t="str">
        <f>HYPERLINK("https://twitter.com/petrogustavo","@petrogustavo")</f>
        <v>@petrogustavo</v>
      </c>
      <c r="C12967" s="5" t="s">
        <v>16</v>
      </c>
      <c r="D12967" s="5" t="s">
        <v>12473</v>
      </c>
      <c r="E12967" s="6" t="str">
        <f>HYPERLINK("https://twitter.com/petrogustavo/status/1345473634761138179","1345473634761138179")</f>
        <v>1345473634761138179</v>
      </c>
      <c r="F12967" s="7" t="s">
        <v>17</v>
      </c>
      <c r="G12967" s="7">
        <v>4027242</v>
      </c>
      <c r="H12967" s="7">
        <v>2467</v>
      </c>
      <c r="I12967" s="7">
        <v>44</v>
      </c>
      <c r="J12967" s="7">
        <v>0</v>
      </c>
      <c r="K12967" s="7" t="s">
        <v>18</v>
      </c>
      <c r="L12967" s="8">
        <v>39987.315405092595</v>
      </c>
      <c r="M12967" s="9" t="s">
        <v>19</v>
      </c>
      <c r="N12967" s="9" t="s">
        <v>20</v>
      </c>
      <c r="O12967" s="6" t="str">
        <f>HYPERLINK("https://pbs.twimg.com/profile_images/962471262747529216/Uo8lOkRJ_normal.jpg","View")</f>
        <v>View</v>
      </c>
      <c r="P12967" s="7"/>
    </row>
    <row r="12968" spans="1:16">
      <c r="A12968" s="3">
        <v>44199.685937499999</v>
      </c>
      <c r="B12968" s="4" t="str">
        <f>HYPERLINK("https://twitter.com/petrogustavo","@petrogustavo")</f>
        <v>@petrogustavo</v>
      </c>
      <c r="C12968" s="5" t="s">
        <v>16</v>
      </c>
      <c r="D12968" s="5" t="s">
        <v>12474</v>
      </c>
      <c r="E12968" s="6" t="str">
        <f>HYPERLINK("https://twitter.com/petrogustavo/status/1345685778425409538","1345685778425409538")</f>
        <v>1345685778425409538</v>
      </c>
      <c r="F12968" s="7" t="s">
        <v>17</v>
      </c>
      <c r="G12968" s="7">
        <v>4027607</v>
      </c>
      <c r="H12968" s="7">
        <v>2467</v>
      </c>
      <c r="I12968" s="7">
        <v>1256</v>
      </c>
      <c r="J12968" s="7">
        <v>0</v>
      </c>
      <c r="K12968" s="7" t="s">
        <v>18</v>
      </c>
      <c r="L12968" s="8">
        <v>39987.315405092595</v>
      </c>
      <c r="M12968" s="9" t="s">
        <v>19</v>
      </c>
      <c r="N12968" s="9" t="s">
        <v>20</v>
      </c>
      <c r="O12968" s="6" t="str">
        <f>HYPERLINK("https://pbs.twimg.com/profile_images/962471262747529216/Uo8lOkRJ_normal.jpg","View")</f>
        <v>View</v>
      </c>
      <c r="P12968" s="7"/>
    </row>
    <row r="12969" spans="1:16">
      <c r="A12969" s="3">
        <v>44199.686909722222</v>
      </c>
      <c r="B12969" s="4" t="str">
        <f>HYPERLINK("https://twitter.com/petrogustavo","@petrogustavo")</f>
        <v>@petrogustavo</v>
      </c>
      <c r="C12969" s="5" t="s">
        <v>16</v>
      </c>
      <c r="D12969" s="5" t="s">
        <v>12475</v>
      </c>
      <c r="E12969" s="6" t="str">
        <f>HYPERLINK("https://twitter.com/petrogustavo/status/1345686128725262339","1345686128725262339")</f>
        <v>1345686128725262339</v>
      </c>
      <c r="F12969" s="7" t="s">
        <v>17</v>
      </c>
      <c r="G12969" s="7">
        <v>4027607</v>
      </c>
      <c r="H12969" s="7">
        <v>2467</v>
      </c>
      <c r="I12969" s="7">
        <v>934</v>
      </c>
      <c r="J12969" s="7">
        <v>0</v>
      </c>
      <c r="K12969" s="7" t="s">
        <v>18</v>
      </c>
      <c r="L12969" s="8">
        <v>39987.315405092595</v>
      </c>
      <c r="M12969" s="9" t="s">
        <v>19</v>
      </c>
      <c r="N12969" s="9" t="s">
        <v>20</v>
      </c>
      <c r="O12969" s="6" t="str">
        <f>HYPERLINK("https://pbs.twimg.com/profile_images/962471262747529216/Uo8lOkRJ_normal.jpg","View")</f>
        <v>View</v>
      </c>
      <c r="P12969" s="7"/>
    </row>
    <row r="12970" spans="1:16">
      <c r="A12970" s="3">
        <v>44199.687256944446</v>
      </c>
      <c r="B12970" s="4" t="str">
        <f>HYPERLINK("https://twitter.com/petrogustavo","@petrogustavo")</f>
        <v>@petrogustavo</v>
      </c>
      <c r="C12970" s="5" t="s">
        <v>16</v>
      </c>
      <c r="D12970" s="5" t="s">
        <v>12476</v>
      </c>
      <c r="E12970" s="6" t="str">
        <f>HYPERLINK("https://twitter.com/petrogustavo/status/1345686255930142720","1345686255930142720")</f>
        <v>1345686255930142720</v>
      </c>
      <c r="F12970" s="7" t="s">
        <v>17</v>
      </c>
      <c r="G12970" s="7">
        <v>4027607</v>
      </c>
      <c r="H12970" s="7">
        <v>2467</v>
      </c>
      <c r="I12970" s="7">
        <v>453</v>
      </c>
      <c r="J12970" s="7">
        <v>0</v>
      </c>
      <c r="K12970" s="7" t="s">
        <v>18</v>
      </c>
      <c r="L12970" s="8">
        <v>39987.315405092595</v>
      </c>
      <c r="M12970" s="9" t="s">
        <v>19</v>
      </c>
      <c r="N12970" s="9" t="s">
        <v>20</v>
      </c>
      <c r="O12970" s="6" t="str">
        <f>HYPERLINK("https://pbs.twimg.com/profile_images/962471262747529216/Uo8lOkRJ_normal.jpg","View")</f>
        <v>View</v>
      </c>
      <c r="P12970" s="7"/>
    </row>
    <row r="12971" spans="1:16">
      <c r="A12971" s="3">
        <v>44199.687743055554</v>
      </c>
      <c r="B12971" s="4" t="str">
        <f>HYPERLINK("https://twitter.com/petrogustavo","@petrogustavo")</f>
        <v>@petrogustavo</v>
      </c>
      <c r="C12971" s="5" t="s">
        <v>16</v>
      </c>
      <c r="D12971" s="5" t="s">
        <v>12477</v>
      </c>
      <c r="E12971" s="6" t="str">
        <f>HYPERLINK("https://twitter.com/petrogustavo/status/1345686430098599937","1345686430098599937")</f>
        <v>1345686430098599937</v>
      </c>
      <c r="F12971" s="7" t="s">
        <v>17</v>
      </c>
      <c r="G12971" s="7">
        <v>4027607</v>
      </c>
      <c r="H12971" s="7">
        <v>2467</v>
      </c>
      <c r="I12971" s="7">
        <v>156</v>
      </c>
      <c r="J12971" s="7">
        <v>0</v>
      </c>
      <c r="K12971" s="7" t="s">
        <v>18</v>
      </c>
      <c r="L12971" s="8">
        <v>39987.315405092595</v>
      </c>
      <c r="M12971" s="9" t="s">
        <v>19</v>
      </c>
      <c r="N12971" s="9" t="s">
        <v>20</v>
      </c>
      <c r="O12971" s="6" t="str">
        <f>HYPERLINK("https://pbs.twimg.com/profile_images/962471262747529216/Uo8lOkRJ_normal.jpg","View")</f>
        <v>View</v>
      </c>
      <c r="P12971" s="7"/>
    </row>
    <row r="12972" spans="1:16">
      <c r="A12972" s="3">
        <v>44199.688344907408</v>
      </c>
      <c r="B12972" s="4" t="str">
        <f>HYPERLINK("https://twitter.com/petrogustavo","@petrogustavo")</f>
        <v>@petrogustavo</v>
      </c>
      <c r="C12972" s="5" t="s">
        <v>16</v>
      </c>
      <c r="D12972" s="5" t="s">
        <v>12478</v>
      </c>
      <c r="E12972" s="6" t="str">
        <f>HYPERLINK("https://twitter.com/petrogustavo/status/1345686650698014720","1345686650698014720")</f>
        <v>1345686650698014720</v>
      </c>
      <c r="F12972" s="7" t="s">
        <v>17</v>
      </c>
      <c r="G12972" s="7">
        <v>4027607</v>
      </c>
      <c r="H12972" s="7">
        <v>2467</v>
      </c>
      <c r="I12972" s="7">
        <v>343</v>
      </c>
      <c r="J12972" s="7">
        <v>0</v>
      </c>
      <c r="K12972" s="7" t="s">
        <v>18</v>
      </c>
      <c r="L12972" s="8">
        <v>39987.315405092595</v>
      </c>
      <c r="M12972" s="9" t="s">
        <v>19</v>
      </c>
      <c r="N12972" s="9" t="s">
        <v>20</v>
      </c>
      <c r="O12972" s="6" t="str">
        <f>HYPERLINK("https://pbs.twimg.com/profile_images/962471262747529216/Uo8lOkRJ_normal.jpg","View")</f>
        <v>View</v>
      </c>
      <c r="P12972" s="7"/>
    </row>
    <row r="12973" spans="1:16">
      <c r="A12973" s="3">
        <v>44199.690520833334</v>
      </c>
      <c r="B12973" s="4" t="str">
        <f>HYPERLINK("https://twitter.com/petrogustavo","@petrogustavo")</f>
        <v>@petrogustavo</v>
      </c>
      <c r="C12973" s="5" t="s">
        <v>16</v>
      </c>
      <c r="D12973" s="5" t="s">
        <v>12479</v>
      </c>
      <c r="E12973" s="6" t="str">
        <f>HYPERLINK("https://twitter.com/petrogustavo/status/1345687437532684289","1345687437532684289")</f>
        <v>1345687437532684289</v>
      </c>
      <c r="F12973" s="7" t="s">
        <v>17</v>
      </c>
      <c r="G12973" s="7">
        <v>4027607</v>
      </c>
      <c r="H12973" s="7">
        <v>2467</v>
      </c>
      <c r="I12973" s="7">
        <v>24</v>
      </c>
      <c r="J12973" s="7">
        <v>53</v>
      </c>
      <c r="K12973" s="7" t="s">
        <v>18</v>
      </c>
      <c r="L12973" s="8">
        <v>39987.315405092595</v>
      </c>
      <c r="M12973" s="9" t="s">
        <v>19</v>
      </c>
      <c r="N12973" s="9" t="s">
        <v>20</v>
      </c>
      <c r="O12973" s="6" t="str">
        <f>HYPERLINK("https://pbs.twimg.com/profile_images/962471262747529216/Uo8lOkRJ_normal.jpg","View")</f>
        <v>View</v>
      </c>
      <c r="P12973" s="7"/>
    </row>
    <row r="12974" spans="1:16">
      <c r="A12974" s="3">
        <v>44199.728229166663</v>
      </c>
      <c r="B12974" s="4" t="str">
        <f>HYPERLINK("https://twitter.com/petrogustavo","@petrogustavo")</f>
        <v>@petrogustavo</v>
      </c>
      <c r="C12974" s="5" t="s">
        <v>16</v>
      </c>
      <c r="D12974" s="5" t="s">
        <v>12480</v>
      </c>
      <c r="E12974" s="6" t="str">
        <f>HYPERLINK("https://twitter.com/petrogustavo/status/1345701104391233537","1345701104391233537")</f>
        <v>1345701104391233537</v>
      </c>
      <c r="F12974" s="7" t="s">
        <v>17</v>
      </c>
      <c r="G12974" s="7">
        <v>4027628</v>
      </c>
      <c r="H12974" s="7">
        <v>2467</v>
      </c>
      <c r="I12974" s="7">
        <v>228</v>
      </c>
      <c r="J12974" s="7">
        <v>0</v>
      </c>
      <c r="K12974" s="7" t="s">
        <v>18</v>
      </c>
      <c r="L12974" s="8">
        <v>39987.315405092595</v>
      </c>
      <c r="M12974" s="9" t="s">
        <v>19</v>
      </c>
      <c r="N12974" s="9" t="s">
        <v>20</v>
      </c>
      <c r="O12974" s="6" t="str">
        <f>HYPERLINK("https://pbs.twimg.com/profile_images/962471262747529216/Uo8lOkRJ_normal.jpg","View")</f>
        <v>View</v>
      </c>
      <c r="P12974" s="7"/>
    </row>
    <row r="12975" spans="1:16">
      <c r="A12975" s="3">
        <v>44199.731689814813</v>
      </c>
      <c r="B12975" s="4" t="str">
        <f>HYPERLINK("https://twitter.com/petrogustavo","@petrogustavo")</f>
        <v>@petrogustavo</v>
      </c>
      <c r="C12975" s="5" t="s">
        <v>16</v>
      </c>
      <c r="D12975" s="5" t="s">
        <v>12481</v>
      </c>
      <c r="E12975" s="6" t="str">
        <f>HYPERLINK("https://twitter.com/petrogustavo/status/1345702358702051328","1345702358702051328")</f>
        <v>1345702358702051328</v>
      </c>
      <c r="F12975" s="7" t="s">
        <v>17</v>
      </c>
      <c r="G12975" s="7">
        <v>4027628</v>
      </c>
      <c r="H12975" s="7">
        <v>2467</v>
      </c>
      <c r="I12975" s="7">
        <v>41</v>
      </c>
      <c r="J12975" s="7">
        <v>97</v>
      </c>
      <c r="K12975" s="7" t="s">
        <v>18</v>
      </c>
      <c r="L12975" s="8">
        <v>39987.315405092595</v>
      </c>
      <c r="M12975" s="9" t="s">
        <v>19</v>
      </c>
      <c r="N12975" s="9" t="s">
        <v>20</v>
      </c>
      <c r="O12975" s="6" t="str">
        <f>HYPERLINK("https://pbs.twimg.com/profile_images/962471262747529216/Uo8lOkRJ_normal.jpg","View")</f>
        <v>View</v>
      </c>
      <c r="P12975" s="7"/>
    </row>
    <row r="12976" spans="1:16">
      <c r="A12976" s="3">
        <v>44199.745046296295</v>
      </c>
      <c r="B12976" s="4" t="str">
        <f>HYPERLINK("https://twitter.com/petrogustavo","@petrogustavo")</f>
        <v>@petrogustavo</v>
      </c>
      <c r="C12976" s="5" t="s">
        <v>16</v>
      </c>
      <c r="D12976" s="5" t="s">
        <v>12482</v>
      </c>
      <c r="E12976" s="6" t="str">
        <f>HYPERLINK("https://twitter.com/petrogustavo/status/1345707199079833602","1345707199079833602")</f>
        <v>1345707199079833602</v>
      </c>
      <c r="F12976" s="7" t="s">
        <v>17</v>
      </c>
      <c r="G12976" s="7">
        <v>4027633</v>
      </c>
      <c r="H12976" s="7">
        <v>2467</v>
      </c>
      <c r="I12976" s="7">
        <v>68</v>
      </c>
      <c r="J12976" s="7">
        <v>0</v>
      </c>
      <c r="K12976" s="7" t="s">
        <v>18</v>
      </c>
      <c r="L12976" s="8">
        <v>39987.315405092595</v>
      </c>
      <c r="M12976" s="9" t="s">
        <v>19</v>
      </c>
      <c r="N12976" s="9" t="s">
        <v>20</v>
      </c>
      <c r="O12976" s="6" t="str">
        <f>HYPERLINK("https://pbs.twimg.com/profile_images/962471262747529216/Uo8lOkRJ_normal.jpg","View")</f>
        <v>View</v>
      </c>
      <c r="P12976" s="7"/>
    </row>
    <row r="12977" spans="1:16">
      <c r="A12977" s="3">
        <v>44199.945393518516</v>
      </c>
      <c r="B12977" s="4" t="str">
        <f>HYPERLINK("https://twitter.com/petrogustavo","@petrogustavo")</f>
        <v>@petrogustavo</v>
      </c>
      <c r="C12977" s="5" t="s">
        <v>16</v>
      </c>
      <c r="D12977" s="5" t="s">
        <v>12483</v>
      </c>
      <c r="E12977" s="6" t="str">
        <f>HYPERLINK("https://twitter.com/petrogustavo/status/1345779799952936960","1345779799952936960")</f>
        <v>1345779799952936960</v>
      </c>
      <c r="F12977" s="7" t="s">
        <v>17</v>
      </c>
      <c r="G12977" s="7">
        <v>4027813</v>
      </c>
      <c r="H12977" s="7">
        <v>2468</v>
      </c>
      <c r="I12977" s="7">
        <v>388</v>
      </c>
      <c r="J12977" s="7">
        <v>0</v>
      </c>
      <c r="K12977" s="7" t="s">
        <v>18</v>
      </c>
      <c r="L12977" s="8">
        <v>39987.315405092595</v>
      </c>
      <c r="M12977" s="9" t="s">
        <v>19</v>
      </c>
      <c r="N12977" s="9" t="s">
        <v>20</v>
      </c>
      <c r="O12977" s="6" t="str">
        <f>HYPERLINK("https://pbs.twimg.com/profile_images/962471262747529216/Uo8lOkRJ_normal.jpg","View")</f>
        <v>View</v>
      </c>
      <c r="P12977" s="7"/>
    </row>
    <row r="12978" spans="1:16">
      <c r="A12978" s="3">
        <v>44199.964201388888</v>
      </c>
      <c r="B12978" s="4" t="str">
        <f>HYPERLINK("https://twitter.com/petrogustavo","@petrogustavo")</f>
        <v>@petrogustavo</v>
      </c>
      <c r="C12978" s="5" t="s">
        <v>16</v>
      </c>
      <c r="D12978" s="5" t="s">
        <v>12484</v>
      </c>
      <c r="E12978" s="6" t="str">
        <f>HYPERLINK("https://twitter.com/petrogustavo/status/1345786617789898752","1345786617789898752")</f>
        <v>1345786617789898752</v>
      </c>
      <c r="F12978" s="7" t="s">
        <v>17</v>
      </c>
      <c r="G12978" s="7">
        <v>4027844</v>
      </c>
      <c r="H12978" s="7">
        <v>2468</v>
      </c>
      <c r="I12978" s="7">
        <v>54</v>
      </c>
      <c r="J12978" s="7">
        <v>135</v>
      </c>
      <c r="K12978" s="7" t="s">
        <v>18</v>
      </c>
      <c r="L12978" s="8">
        <v>39987.315405092595</v>
      </c>
      <c r="M12978" s="9" t="s">
        <v>19</v>
      </c>
      <c r="N12978" s="9" t="s">
        <v>20</v>
      </c>
      <c r="O12978" s="6" t="str">
        <f>HYPERLINK("https://pbs.twimg.com/profile_images/962471262747529216/Uo8lOkRJ_normal.jpg","View")</f>
        <v>View</v>
      </c>
      <c r="P12978" s="7"/>
    </row>
    <row r="12979" spans="1:16">
      <c r="A12979" s="3">
        <v>44199.964270833334</v>
      </c>
      <c r="B12979" s="4" t="str">
        <f>HYPERLINK("https://twitter.com/petrogustavo","@petrogustavo")</f>
        <v>@petrogustavo</v>
      </c>
      <c r="C12979" s="5" t="s">
        <v>16</v>
      </c>
      <c r="D12979" s="5" t="s">
        <v>12485</v>
      </c>
      <c r="E12979" s="6" t="str">
        <f>HYPERLINK("https://twitter.com/petrogustavo/status/1345786640032215042","1345786640032215042")</f>
        <v>1345786640032215042</v>
      </c>
      <c r="F12979" s="7" t="s">
        <v>17</v>
      </c>
      <c r="G12979" s="7">
        <v>4027844</v>
      </c>
      <c r="H12979" s="7">
        <v>2468</v>
      </c>
      <c r="I12979" s="7">
        <v>10</v>
      </c>
      <c r="J12979" s="7">
        <v>29</v>
      </c>
      <c r="K12979" s="7" t="s">
        <v>18</v>
      </c>
      <c r="L12979" s="8">
        <v>39987.315405092595</v>
      </c>
      <c r="M12979" s="9" t="s">
        <v>19</v>
      </c>
      <c r="N12979" s="9" t="s">
        <v>20</v>
      </c>
      <c r="O12979" s="6" t="str">
        <f>HYPERLINK("https://pbs.twimg.com/profile_images/962471262747529216/Uo8lOkRJ_normal.jpg","View")</f>
        <v>View</v>
      </c>
      <c r="P12979" s="7"/>
    </row>
    <row r="12980" spans="1:16">
      <c r="A12980" s="3">
        <v>44199.964351851857</v>
      </c>
      <c r="B12980" s="4" t="str">
        <f>HYPERLINK("https://twitter.com/petrogustavo","@petrogustavo")</f>
        <v>@petrogustavo</v>
      </c>
      <c r="C12980" s="5" t="s">
        <v>16</v>
      </c>
      <c r="D12980" s="5" t="s">
        <v>12486</v>
      </c>
      <c r="E12980" s="6" t="str">
        <f>HYPERLINK("https://twitter.com/petrogustavo/status/1345786671011426307","1345786671011426307")</f>
        <v>1345786671011426307</v>
      </c>
      <c r="F12980" s="7" t="s">
        <v>17</v>
      </c>
      <c r="G12980" s="7">
        <v>4027844</v>
      </c>
      <c r="H12980" s="7">
        <v>2468</v>
      </c>
      <c r="I12980" s="7">
        <v>6</v>
      </c>
      <c r="J12980" s="7">
        <v>20</v>
      </c>
      <c r="K12980" s="7" t="s">
        <v>18</v>
      </c>
      <c r="L12980" s="8">
        <v>39987.315405092595</v>
      </c>
      <c r="M12980" s="9" t="s">
        <v>19</v>
      </c>
      <c r="N12980" s="9" t="s">
        <v>20</v>
      </c>
      <c r="O12980" s="6" t="str">
        <f>HYPERLINK("https://pbs.twimg.com/profile_images/962471262747529216/Uo8lOkRJ_normal.jpg","View")</f>
        <v>View</v>
      </c>
      <c r="P12980" s="7"/>
    </row>
    <row r="12981" spans="1:16">
      <c r="A12981" s="3">
        <v>44199.964363425926</v>
      </c>
      <c r="B12981" s="4" t="str">
        <f>HYPERLINK("https://twitter.com/petrogustavo","@petrogustavo")</f>
        <v>@petrogustavo</v>
      </c>
      <c r="C12981" s="5" t="s">
        <v>16</v>
      </c>
      <c r="D12981" s="5" t="s">
        <v>12487</v>
      </c>
      <c r="E12981" s="6" t="str">
        <f>HYPERLINK("https://twitter.com/petrogustavo/status/1345786673246990336","1345786673246990336")</f>
        <v>1345786673246990336</v>
      </c>
      <c r="F12981" s="7" t="s">
        <v>17</v>
      </c>
      <c r="G12981" s="7">
        <v>4027844</v>
      </c>
      <c r="H12981" s="7">
        <v>2468</v>
      </c>
      <c r="I12981" s="7">
        <v>7</v>
      </c>
      <c r="J12981" s="7">
        <v>21</v>
      </c>
      <c r="K12981" s="7" t="s">
        <v>18</v>
      </c>
      <c r="L12981" s="8">
        <v>39987.315405092595</v>
      </c>
      <c r="M12981" s="9" t="s">
        <v>19</v>
      </c>
      <c r="N12981" s="9" t="s">
        <v>20</v>
      </c>
      <c r="O12981" s="6" t="str">
        <f>HYPERLINK("https://pbs.twimg.com/profile_images/962471262747529216/Uo8lOkRJ_normal.jpg","View")</f>
        <v>View</v>
      </c>
      <c r="P12981" s="7"/>
    </row>
    <row r="12982" spans="1:16">
      <c r="A12982" s="3">
        <v>44199.964363425926</v>
      </c>
      <c r="B12982" s="4" t="str">
        <f>HYPERLINK("https://twitter.com/petrogustavo","@petrogustavo")</f>
        <v>@petrogustavo</v>
      </c>
      <c r="C12982" s="5" t="s">
        <v>16</v>
      </c>
      <c r="D12982" s="5" t="s">
        <v>12488</v>
      </c>
      <c r="E12982" s="6" t="str">
        <f>HYPERLINK("https://twitter.com/petrogustavo/status/1345786674534621199","1345786674534621199")</f>
        <v>1345786674534621199</v>
      </c>
      <c r="F12982" s="7" t="s">
        <v>17</v>
      </c>
      <c r="G12982" s="7">
        <v>4027844</v>
      </c>
      <c r="H12982" s="7">
        <v>2468</v>
      </c>
      <c r="I12982" s="7">
        <v>6</v>
      </c>
      <c r="J12982" s="7">
        <v>19</v>
      </c>
      <c r="K12982" s="7" t="s">
        <v>18</v>
      </c>
      <c r="L12982" s="8">
        <v>39987.315405092595</v>
      </c>
      <c r="M12982" s="9" t="s">
        <v>19</v>
      </c>
      <c r="N12982" s="9" t="s">
        <v>20</v>
      </c>
      <c r="O12982" s="6" t="str">
        <f>HYPERLINK("https://pbs.twimg.com/profile_images/962471262747529216/Uo8lOkRJ_normal.jpg","View")</f>
        <v>View</v>
      </c>
      <c r="P12982" s="7"/>
    </row>
    <row r="12983" spans="1:16">
      <c r="A12983" s="3">
        <v>44199.964363425926</v>
      </c>
      <c r="B12983" s="4" t="str">
        <f>HYPERLINK("https://twitter.com/petrogustavo","@petrogustavo")</f>
        <v>@petrogustavo</v>
      </c>
      <c r="C12983" s="5" t="s">
        <v>16</v>
      </c>
      <c r="D12983" s="5" t="s">
        <v>12489</v>
      </c>
      <c r="E12983" s="6" t="str">
        <f>HYPERLINK("https://twitter.com/petrogustavo/status/1345786676157800448","1345786676157800448")</f>
        <v>1345786676157800448</v>
      </c>
      <c r="F12983" s="7" t="s">
        <v>17</v>
      </c>
      <c r="G12983" s="7">
        <v>4027844</v>
      </c>
      <c r="H12983" s="7">
        <v>2468</v>
      </c>
      <c r="I12983" s="7">
        <v>8</v>
      </c>
      <c r="J12983" s="7">
        <v>20</v>
      </c>
      <c r="K12983" s="7" t="s">
        <v>18</v>
      </c>
      <c r="L12983" s="8">
        <v>39987.315405092595</v>
      </c>
      <c r="M12983" s="9" t="s">
        <v>19</v>
      </c>
      <c r="N12983" s="9" t="s">
        <v>20</v>
      </c>
      <c r="O12983" s="6" t="str">
        <f>HYPERLINK("https://pbs.twimg.com/profile_images/962471262747529216/Uo8lOkRJ_normal.jpg","View")</f>
        <v>View</v>
      </c>
      <c r="P12983" s="7"/>
    </row>
    <row r="12984" spans="1:16">
      <c r="A12984" s="3">
        <v>44199.964374999996</v>
      </c>
      <c r="B12984" s="4" t="str">
        <f>HYPERLINK("https://twitter.com/petrogustavo","@petrogustavo")</f>
        <v>@petrogustavo</v>
      </c>
      <c r="C12984" s="5" t="s">
        <v>16</v>
      </c>
      <c r="D12984" s="5" t="s">
        <v>12490</v>
      </c>
      <c r="E12984" s="6" t="str">
        <f>HYPERLINK("https://twitter.com/petrogustavo/status/1345786677420306434","1345786677420306434")</f>
        <v>1345786677420306434</v>
      </c>
      <c r="F12984" s="7" t="s">
        <v>17</v>
      </c>
      <c r="G12984" s="7">
        <v>4027844</v>
      </c>
      <c r="H12984" s="7">
        <v>2468</v>
      </c>
      <c r="I12984" s="7">
        <v>13</v>
      </c>
      <c r="J12984" s="7">
        <v>57</v>
      </c>
      <c r="K12984" s="7" t="s">
        <v>18</v>
      </c>
      <c r="L12984" s="8">
        <v>39987.315405092595</v>
      </c>
      <c r="M12984" s="9" t="s">
        <v>19</v>
      </c>
      <c r="N12984" s="9" t="s">
        <v>20</v>
      </c>
      <c r="O12984" s="6" t="str">
        <f>HYPERLINK("https://pbs.twimg.com/profile_images/962471262747529216/Uo8lOkRJ_normal.jpg","View")</f>
        <v>View</v>
      </c>
      <c r="P12984" s="7"/>
    </row>
    <row r="12985" spans="1:16">
      <c r="A12985" s="3">
        <v>44199.964374999996</v>
      </c>
      <c r="B12985" s="4" t="str">
        <f>HYPERLINK("https://twitter.com/petrogustavo","@petrogustavo")</f>
        <v>@petrogustavo</v>
      </c>
      <c r="C12985" s="5" t="s">
        <v>16</v>
      </c>
      <c r="D12985" s="5" t="s">
        <v>12491</v>
      </c>
      <c r="E12985" s="6" t="str">
        <f>HYPERLINK("https://twitter.com/petrogustavo/status/1345786678666010626","1345786678666010626")</f>
        <v>1345786678666010626</v>
      </c>
      <c r="F12985" s="7" t="s">
        <v>17</v>
      </c>
      <c r="G12985" s="7">
        <v>4027844</v>
      </c>
      <c r="H12985" s="7">
        <v>2468</v>
      </c>
      <c r="I12985" s="7">
        <v>26</v>
      </c>
      <c r="J12985" s="7">
        <v>98</v>
      </c>
      <c r="K12985" s="7" t="s">
        <v>18</v>
      </c>
      <c r="L12985" s="8">
        <v>39987.315405092595</v>
      </c>
      <c r="M12985" s="9" t="s">
        <v>19</v>
      </c>
      <c r="N12985" s="9" t="s">
        <v>20</v>
      </c>
      <c r="O12985" s="6" t="str">
        <f>HYPERLINK("https://pbs.twimg.com/profile_images/962471262747529216/Uo8lOkRJ_normal.jpg","View")</f>
        <v>View</v>
      </c>
      <c r="P12985" s="7"/>
    </row>
    <row r="12986" spans="1:16">
      <c r="A12986" s="3">
        <v>44199.964374999996</v>
      </c>
      <c r="B12986" s="4" t="str">
        <f>HYPERLINK("https://twitter.com/petrogustavo","@petrogustavo")</f>
        <v>@petrogustavo</v>
      </c>
      <c r="C12986" s="5" t="s">
        <v>16</v>
      </c>
      <c r="D12986" s="5" t="s">
        <v>12492</v>
      </c>
      <c r="E12986" s="6" t="str">
        <f>HYPERLINK("https://twitter.com/petrogustavo/status/1345786679974653952","1345786679974653952")</f>
        <v>1345786679974653952</v>
      </c>
      <c r="F12986" s="7" t="s">
        <v>17</v>
      </c>
      <c r="G12986" s="7">
        <v>4027844</v>
      </c>
      <c r="H12986" s="7">
        <v>2468</v>
      </c>
      <c r="I12986" s="7">
        <v>22</v>
      </c>
      <c r="J12986" s="7">
        <v>62</v>
      </c>
      <c r="K12986" s="7" t="s">
        <v>18</v>
      </c>
      <c r="L12986" s="8">
        <v>39987.315405092595</v>
      </c>
      <c r="M12986" s="9" t="s">
        <v>19</v>
      </c>
      <c r="N12986" s="9" t="s">
        <v>20</v>
      </c>
      <c r="O12986" s="6" t="str">
        <f>HYPERLINK("https://pbs.twimg.com/profile_images/962471262747529216/Uo8lOkRJ_normal.jpg","View")</f>
        <v>View</v>
      </c>
      <c r="P12986" s="7"/>
    </row>
    <row r="12987" spans="1:16">
      <c r="A12987" s="3">
        <v>44200.757361111115</v>
      </c>
      <c r="B12987" s="4" t="str">
        <f>HYPERLINK("https://twitter.com/petrogustavo","@petrogustavo")</f>
        <v>@petrogustavo</v>
      </c>
      <c r="C12987" s="5" t="s">
        <v>16</v>
      </c>
      <c r="D12987" s="5" t="s">
        <v>12493</v>
      </c>
      <c r="E12987" s="6" t="str">
        <f>HYPERLINK("https://twitter.com/petrogustavo/status/1346074046673399808","1346074046673399808")</f>
        <v>1346074046673399808</v>
      </c>
      <c r="F12987" s="7" t="s">
        <v>17</v>
      </c>
      <c r="G12987" s="7">
        <v>4028440</v>
      </c>
      <c r="H12987" s="7">
        <v>2468</v>
      </c>
      <c r="I12987" s="7">
        <v>1011</v>
      </c>
      <c r="J12987" s="7">
        <v>0</v>
      </c>
      <c r="K12987" s="7" t="s">
        <v>18</v>
      </c>
      <c r="L12987" s="8">
        <v>39987.315405092595</v>
      </c>
      <c r="M12987" s="9" t="s">
        <v>19</v>
      </c>
      <c r="N12987" s="9" t="s">
        <v>20</v>
      </c>
      <c r="O12987" s="6" t="str">
        <f>HYPERLINK("https://pbs.twimg.com/profile_images/962471262747529216/Uo8lOkRJ_normal.jpg","View")</f>
        <v>View</v>
      </c>
      <c r="P12987" s="7"/>
    </row>
    <row r="12988" spans="1:16">
      <c r="A12988" s="3">
        <v>44200.780833333338</v>
      </c>
      <c r="B12988" s="4" t="str">
        <f>HYPERLINK("https://twitter.com/petrogustavo","@petrogustavo")</f>
        <v>@petrogustavo</v>
      </c>
      <c r="C12988" s="5" t="s">
        <v>16</v>
      </c>
      <c r="D12988" s="5" t="s">
        <v>12494</v>
      </c>
      <c r="E12988" s="6" t="str">
        <f>HYPERLINK("https://twitter.com/petrogustavo/status/1346082552310870018","1346082552310870018")</f>
        <v>1346082552310870018</v>
      </c>
      <c r="F12988" s="7" t="s">
        <v>17</v>
      </c>
      <c r="G12988" s="7">
        <v>4028455</v>
      </c>
      <c r="H12988" s="7">
        <v>2468</v>
      </c>
      <c r="I12988" s="7">
        <v>40</v>
      </c>
      <c r="J12988" s="7">
        <v>98</v>
      </c>
      <c r="K12988" s="7" t="s">
        <v>18</v>
      </c>
      <c r="L12988" s="8">
        <v>39987.315405092595</v>
      </c>
      <c r="M12988" s="9" t="s">
        <v>19</v>
      </c>
      <c r="N12988" s="9" t="s">
        <v>20</v>
      </c>
      <c r="O12988" s="6" t="str">
        <f>HYPERLINK("https://pbs.twimg.com/profile_images/962471262747529216/Uo8lOkRJ_normal.jpg","View")</f>
        <v>View</v>
      </c>
      <c r="P12988" s="7"/>
    </row>
    <row r="12989" spans="1:16">
      <c r="A12989" s="3">
        <v>44200.792129629626</v>
      </c>
      <c r="B12989" s="4" t="str">
        <f>HYPERLINK("https://twitter.com/petrogustavo","@petrogustavo")</f>
        <v>@petrogustavo</v>
      </c>
      <c r="C12989" s="5" t="s">
        <v>16</v>
      </c>
      <c r="D12989" s="5" t="s">
        <v>12495</v>
      </c>
      <c r="E12989" s="6" t="str">
        <f>HYPERLINK("https://twitter.com/petrogustavo/status/1346086648929509376","1346086648929509376")</f>
        <v>1346086648929509376</v>
      </c>
      <c r="F12989" s="7" t="s">
        <v>17</v>
      </c>
      <c r="G12989" s="7">
        <v>4028472</v>
      </c>
      <c r="H12989" s="7">
        <v>2468</v>
      </c>
      <c r="I12989" s="7">
        <v>62</v>
      </c>
      <c r="J12989" s="7">
        <v>149</v>
      </c>
      <c r="K12989" s="7" t="s">
        <v>18</v>
      </c>
      <c r="L12989" s="8">
        <v>39987.315405092595</v>
      </c>
      <c r="M12989" s="9" t="s">
        <v>19</v>
      </c>
      <c r="N12989" s="9" t="s">
        <v>20</v>
      </c>
      <c r="O12989" s="6" t="str">
        <f>HYPERLINK("https://pbs.twimg.com/profile_images/962471262747529216/Uo8lOkRJ_normal.jpg","View")</f>
        <v>View</v>
      </c>
      <c r="P12989" s="7"/>
    </row>
    <row r="12990" spans="1:16">
      <c r="A12990" s="3">
        <v>44200.82947916667</v>
      </c>
      <c r="B12990" s="4" t="str">
        <f>HYPERLINK("https://twitter.com/petrogustavo","@petrogustavo")</f>
        <v>@petrogustavo</v>
      </c>
      <c r="C12990" s="5" t="s">
        <v>16</v>
      </c>
      <c r="D12990" s="5" t="s">
        <v>12496</v>
      </c>
      <c r="E12990" s="6" t="str">
        <f>HYPERLINK("https://twitter.com/petrogustavo/status/1346100182962868224","1346100182962868224")</f>
        <v>1346100182962868224</v>
      </c>
      <c r="F12990" s="7" t="s">
        <v>17</v>
      </c>
      <c r="G12990" s="7">
        <v>4028500</v>
      </c>
      <c r="H12990" s="7">
        <v>2469</v>
      </c>
      <c r="I12990" s="7">
        <v>783</v>
      </c>
      <c r="J12990" s="7">
        <v>0</v>
      </c>
      <c r="K12990" s="7" t="s">
        <v>18</v>
      </c>
      <c r="L12990" s="8">
        <v>39987.315405092595</v>
      </c>
      <c r="M12990" s="9" t="s">
        <v>19</v>
      </c>
      <c r="N12990" s="9" t="s">
        <v>20</v>
      </c>
      <c r="O12990" s="6" t="str">
        <f>HYPERLINK("https://pbs.twimg.com/profile_images/962471262747529216/Uo8lOkRJ_normal.jpg","View")</f>
        <v>View</v>
      </c>
      <c r="P12990" s="7"/>
    </row>
    <row r="12991" spans="1:16">
      <c r="A12991" s="3">
        <v>44200.830092592594</v>
      </c>
      <c r="B12991" s="4" t="str">
        <f>HYPERLINK("https://twitter.com/petrogustavo","@petrogustavo")</f>
        <v>@petrogustavo</v>
      </c>
      <c r="C12991" s="5" t="s">
        <v>16</v>
      </c>
      <c r="D12991" s="5" t="s">
        <v>12497</v>
      </c>
      <c r="E12991" s="6" t="str">
        <f>HYPERLINK("https://twitter.com/petrogustavo/status/1346100405986598912","1346100405986598912")</f>
        <v>1346100405986598912</v>
      </c>
      <c r="F12991" s="7" t="s">
        <v>17</v>
      </c>
      <c r="G12991" s="7">
        <v>4028500</v>
      </c>
      <c r="H12991" s="7">
        <v>2469</v>
      </c>
      <c r="I12991" s="7">
        <v>137</v>
      </c>
      <c r="J12991" s="7">
        <v>0</v>
      </c>
      <c r="K12991" s="7" t="s">
        <v>18</v>
      </c>
      <c r="L12991" s="8">
        <v>39987.315405092595</v>
      </c>
      <c r="M12991" s="9" t="s">
        <v>19</v>
      </c>
      <c r="N12991" s="9" t="s">
        <v>20</v>
      </c>
      <c r="O12991" s="6" t="str">
        <f>HYPERLINK("https://pbs.twimg.com/profile_images/962471262747529216/Uo8lOkRJ_normal.jpg","View")</f>
        <v>View</v>
      </c>
      <c r="P12991" s="7"/>
    </row>
    <row r="12992" spans="1:16">
      <c r="A12992" s="3">
        <v>44200.839259259257</v>
      </c>
      <c r="B12992" s="4" t="str">
        <f>HYPERLINK("https://twitter.com/petrogustavo","@petrogustavo")</f>
        <v>@petrogustavo</v>
      </c>
      <c r="C12992" s="5" t="s">
        <v>16</v>
      </c>
      <c r="D12992" s="5" t="s">
        <v>12498</v>
      </c>
      <c r="E12992" s="6" t="str">
        <f>HYPERLINK("https://twitter.com/petrogustavo/status/1346103725522354183","1346103725522354183")</f>
        <v>1346103725522354183</v>
      </c>
      <c r="F12992" s="7" t="s">
        <v>17</v>
      </c>
      <c r="G12992" s="7">
        <v>4028500</v>
      </c>
      <c r="H12992" s="7">
        <v>2469</v>
      </c>
      <c r="I12992" s="7">
        <v>95</v>
      </c>
      <c r="J12992" s="7">
        <v>381</v>
      </c>
      <c r="K12992" s="7" t="s">
        <v>18</v>
      </c>
      <c r="L12992" s="8">
        <v>39987.315405092595</v>
      </c>
      <c r="M12992" s="9" t="s">
        <v>19</v>
      </c>
      <c r="N12992" s="9" t="s">
        <v>20</v>
      </c>
      <c r="O12992" s="6" t="str">
        <f>HYPERLINK("https://pbs.twimg.com/profile_images/962471262747529216/Uo8lOkRJ_normal.jpg","View")</f>
        <v>View</v>
      </c>
      <c r="P12992" s="7"/>
    </row>
    <row r="12993" spans="1:16">
      <c r="A12993" s="3">
        <v>44200.853310185186</v>
      </c>
      <c r="B12993" s="4" t="str">
        <f>HYPERLINK("https://twitter.com/petrogustavo","@petrogustavo")</f>
        <v>@petrogustavo</v>
      </c>
      <c r="C12993" s="5" t="s">
        <v>16</v>
      </c>
      <c r="D12993" s="5" t="s">
        <v>12499</v>
      </c>
      <c r="E12993" s="6" t="str">
        <f>HYPERLINK("https://twitter.com/petrogustavo/status/1346108816857903104","1346108816857903104")</f>
        <v>1346108816857903104</v>
      </c>
      <c r="F12993" s="7" t="s">
        <v>17</v>
      </c>
      <c r="G12993" s="7">
        <v>4028532</v>
      </c>
      <c r="H12993" s="7">
        <v>2469</v>
      </c>
      <c r="I12993" s="7">
        <v>686</v>
      </c>
      <c r="J12993" s="7">
        <v>0</v>
      </c>
      <c r="K12993" s="7" t="s">
        <v>18</v>
      </c>
      <c r="L12993" s="8">
        <v>39987.315405092595</v>
      </c>
      <c r="M12993" s="9" t="s">
        <v>19</v>
      </c>
      <c r="N12993" s="9" t="s">
        <v>20</v>
      </c>
      <c r="O12993" s="6" t="str">
        <f>HYPERLINK("https://pbs.twimg.com/profile_images/962471262747529216/Uo8lOkRJ_normal.jpg","View")</f>
        <v>View</v>
      </c>
      <c r="P12993" s="7"/>
    </row>
    <row r="12994" spans="1:16">
      <c r="A12994" s="3">
        <v>44200.854861111111</v>
      </c>
      <c r="B12994" s="4" t="str">
        <f>HYPERLINK("https://twitter.com/petrogustavo","@petrogustavo")</f>
        <v>@petrogustavo</v>
      </c>
      <c r="C12994" s="5" t="s">
        <v>16</v>
      </c>
      <c r="D12994" s="5" t="s">
        <v>12500</v>
      </c>
      <c r="E12994" s="6" t="str">
        <f>HYPERLINK("https://twitter.com/petrogustavo/status/1346109379859386368","1346109379859386368")</f>
        <v>1346109379859386368</v>
      </c>
      <c r="F12994" s="7" t="s">
        <v>17</v>
      </c>
      <c r="G12994" s="7">
        <v>4028532</v>
      </c>
      <c r="H12994" s="7">
        <v>2469</v>
      </c>
      <c r="I12994" s="7">
        <v>216</v>
      </c>
      <c r="J12994" s="7">
        <v>700</v>
      </c>
      <c r="K12994" s="7" t="s">
        <v>18</v>
      </c>
      <c r="L12994" s="8">
        <v>39987.315405092595</v>
      </c>
      <c r="M12994" s="9" t="s">
        <v>19</v>
      </c>
      <c r="N12994" s="9" t="s">
        <v>20</v>
      </c>
      <c r="O12994" s="6" t="str">
        <f>HYPERLINK("https://pbs.twimg.com/profile_images/962471262747529216/Uo8lOkRJ_normal.jpg","View")</f>
        <v>View</v>
      </c>
      <c r="P12994" s="7"/>
    </row>
    <row r="12995" spans="1:16">
      <c r="A12995" s="3">
        <v>44200.89806712963</v>
      </c>
      <c r="B12995" s="4" t="str">
        <f>HYPERLINK("https://twitter.com/petrogustavo","@petrogustavo")</f>
        <v>@petrogustavo</v>
      </c>
      <c r="C12995" s="5" t="s">
        <v>16</v>
      </c>
      <c r="D12995" s="5" t="s">
        <v>12501</v>
      </c>
      <c r="E12995" s="6" t="str">
        <f>HYPERLINK("https://twitter.com/petrogustavo/status/1346125037087154176","1346125037087154176")</f>
        <v>1346125037087154176</v>
      </c>
      <c r="F12995" s="7" t="s">
        <v>17</v>
      </c>
      <c r="G12995" s="7">
        <v>4028549</v>
      </c>
      <c r="H12995" s="7">
        <v>2469</v>
      </c>
      <c r="I12995" s="7">
        <v>87</v>
      </c>
      <c r="J12995" s="7">
        <v>0</v>
      </c>
      <c r="K12995" s="7" t="s">
        <v>18</v>
      </c>
      <c r="L12995" s="8">
        <v>39987.315405092595</v>
      </c>
      <c r="M12995" s="9" t="s">
        <v>19</v>
      </c>
      <c r="N12995" s="9" t="s">
        <v>20</v>
      </c>
      <c r="O12995" s="6" t="str">
        <f>HYPERLINK("https://pbs.twimg.com/profile_images/962471262747529216/Uo8lOkRJ_normal.jpg","View")</f>
        <v>View</v>
      </c>
      <c r="P12995" s="7"/>
    </row>
    <row r="12996" spans="1:16">
      <c r="A12996" s="3">
        <v>44200.904317129629</v>
      </c>
      <c r="B12996" s="4" t="str">
        <f>HYPERLINK("https://twitter.com/petrogustavo","@petrogustavo")</f>
        <v>@petrogustavo</v>
      </c>
      <c r="C12996" s="5" t="s">
        <v>16</v>
      </c>
      <c r="D12996" s="5" t="s">
        <v>12502</v>
      </c>
      <c r="E12996" s="6" t="str">
        <f>HYPERLINK("https://twitter.com/petrogustavo/status/1346127300811657221","1346127300811657221")</f>
        <v>1346127300811657221</v>
      </c>
      <c r="F12996" s="7" t="s">
        <v>17</v>
      </c>
      <c r="G12996" s="7">
        <v>4028549</v>
      </c>
      <c r="H12996" s="7">
        <v>2469</v>
      </c>
      <c r="I12996" s="7">
        <v>37</v>
      </c>
      <c r="J12996" s="7">
        <v>129</v>
      </c>
      <c r="K12996" s="7" t="s">
        <v>18</v>
      </c>
      <c r="L12996" s="8">
        <v>39987.315405092595</v>
      </c>
      <c r="M12996" s="9" t="s">
        <v>19</v>
      </c>
      <c r="N12996" s="9" t="s">
        <v>20</v>
      </c>
      <c r="O12996" s="6" t="str">
        <f>HYPERLINK("https://pbs.twimg.com/profile_images/962471262747529216/Uo8lOkRJ_normal.jpg","View")</f>
        <v>View</v>
      </c>
      <c r="P12996" s="7"/>
    </row>
    <row r="12997" spans="1:16">
      <c r="A12997" s="3">
        <v>44200.909537037034</v>
      </c>
      <c r="B12997" s="4" t="str">
        <f>HYPERLINK("https://twitter.com/petrogustavo","@petrogustavo")</f>
        <v>@petrogustavo</v>
      </c>
      <c r="C12997" s="5" t="s">
        <v>16</v>
      </c>
      <c r="D12997" s="5" t="s">
        <v>12503</v>
      </c>
      <c r="E12997" s="6" t="str">
        <f>HYPERLINK("https://twitter.com/petrogustavo/status/1346129192874897410","1346129192874897410")</f>
        <v>1346129192874897410</v>
      </c>
      <c r="F12997" s="7" t="s">
        <v>17</v>
      </c>
      <c r="G12997" s="7">
        <v>4028569</v>
      </c>
      <c r="H12997" s="7">
        <v>2469</v>
      </c>
      <c r="I12997" s="7">
        <v>90</v>
      </c>
      <c r="J12997" s="7">
        <v>235</v>
      </c>
      <c r="K12997" s="7" t="s">
        <v>18</v>
      </c>
      <c r="L12997" s="8">
        <v>39987.315405092595</v>
      </c>
      <c r="M12997" s="9" t="s">
        <v>19</v>
      </c>
      <c r="N12997" s="9" t="s">
        <v>20</v>
      </c>
      <c r="O12997" s="6" t="str">
        <f>HYPERLINK("https://pbs.twimg.com/profile_images/962471262747529216/Uo8lOkRJ_normal.jpg","View")</f>
        <v>View</v>
      </c>
      <c r="P12997" s="7"/>
    </row>
    <row r="12998" spans="1:16">
      <c r="A12998" s="3">
        <v>44200.991446759261</v>
      </c>
      <c r="B12998" s="4" t="str">
        <f>HYPERLINK("https://twitter.com/petrogustavo","@petrogustavo")</f>
        <v>@petrogustavo</v>
      </c>
      <c r="C12998" s="5" t="s">
        <v>16</v>
      </c>
      <c r="D12998" s="5" t="s">
        <v>12504</v>
      </c>
      <c r="E12998" s="6" t="str">
        <f>HYPERLINK("https://twitter.com/petrogustavo/status/1346158877197410305","1346158877197410305")</f>
        <v>1346158877197410305</v>
      </c>
      <c r="F12998" s="7" t="s">
        <v>17</v>
      </c>
      <c r="G12998" s="7">
        <v>4028701</v>
      </c>
      <c r="H12998" s="7">
        <v>2469</v>
      </c>
      <c r="I12998" s="7">
        <v>3</v>
      </c>
      <c r="J12998" s="7">
        <v>5</v>
      </c>
      <c r="K12998" s="7" t="s">
        <v>18</v>
      </c>
      <c r="L12998" s="8">
        <v>39987.315405092595</v>
      </c>
      <c r="M12998" s="9" t="s">
        <v>19</v>
      </c>
      <c r="N12998" s="9" t="s">
        <v>20</v>
      </c>
      <c r="O12998" s="6" t="str">
        <f>HYPERLINK("https://pbs.twimg.com/profile_images/962471262747529216/Uo8lOkRJ_normal.jpg","View")</f>
        <v>View</v>
      </c>
      <c r="P12998" s="7"/>
    </row>
    <row r="12999" spans="1:16">
      <c r="A12999" s="3">
        <v>44201.092650462961</v>
      </c>
      <c r="B12999" s="4" t="str">
        <f>HYPERLINK("https://twitter.com/petrogustavo","@petrogustavo")</f>
        <v>@petrogustavo</v>
      </c>
      <c r="C12999" s="5" t="s">
        <v>16</v>
      </c>
      <c r="D12999" s="5" t="s">
        <v>12505</v>
      </c>
      <c r="E12999" s="6" t="str">
        <f>HYPERLINK("https://twitter.com/petrogustavo/status/1346195551277219842","1346195551277219842")</f>
        <v>1346195551277219842</v>
      </c>
      <c r="F12999" s="7" t="s">
        <v>17</v>
      </c>
      <c r="G12999" s="7">
        <v>4028848</v>
      </c>
      <c r="H12999" s="7">
        <v>2470</v>
      </c>
      <c r="I12999" s="7">
        <v>6</v>
      </c>
      <c r="J12999" s="7">
        <v>0</v>
      </c>
      <c r="K12999" s="7" t="s">
        <v>18</v>
      </c>
      <c r="L12999" s="8">
        <v>39987.315405092595</v>
      </c>
      <c r="M12999" s="9" t="s">
        <v>19</v>
      </c>
      <c r="N12999" s="9" t="s">
        <v>20</v>
      </c>
      <c r="O12999" s="6" t="str">
        <f>HYPERLINK("https://pbs.twimg.com/profile_images/962471262747529216/Uo8lOkRJ_normal.jpg","View")</f>
        <v>View</v>
      </c>
      <c r="P12999" s="7"/>
    </row>
    <row r="13000" spans="1:16">
      <c r="A13000" s="3">
        <v>44201.098611111112</v>
      </c>
      <c r="B13000" s="4" t="str">
        <f>HYPERLINK("https://twitter.com/petrogustavo","@petrogustavo")</f>
        <v>@petrogustavo</v>
      </c>
      <c r="C13000" s="5" t="s">
        <v>16</v>
      </c>
      <c r="D13000" s="5" t="s">
        <v>12506</v>
      </c>
      <c r="E13000" s="6" t="str">
        <f>HYPERLINK("https://twitter.com/petrogustavo/status/1346197710953738246","1346197710953738246")</f>
        <v>1346197710953738246</v>
      </c>
      <c r="F13000" s="7" t="s">
        <v>17</v>
      </c>
      <c r="G13000" s="7">
        <v>4028872</v>
      </c>
      <c r="H13000" s="7">
        <v>2470</v>
      </c>
      <c r="I13000" s="7">
        <v>94</v>
      </c>
      <c r="J13000" s="7">
        <v>301</v>
      </c>
      <c r="K13000" s="7" t="s">
        <v>18</v>
      </c>
      <c r="L13000" s="8">
        <v>39987.315405092595</v>
      </c>
      <c r="M13000" s="9" t="s">
        <v>19</v>
      </c>
      <c r="N13000" s="9" t="s">
        <v>20</v>
      </c>
      <c r="O13000" s="6" t="str">
        <f>HYPERLINK("https://pbs.twimg.com/profile_images/962471262747529216/Uo8lOkRJ_normal.jpg","View")</f>
        <v>View</v>
      </c>
      <c r="P13000" s="7"/>
    </row>
    <row r="13001" spans="1:16">
      <c r="A13001" s="3">
        <v>44201.098611111112</v>
      </c>
      <c r="B13001" s="4" t="str">
        <f>HYPERLINK("https://twitter.com/petrogustavo","@petrogustavo")</f>
        <v>@petrogustavo</v>
      </c>
      <c r="C13001" s="5" t="s">
        <v>16</v>
      </c>
      <c r="D13001" s="5" t="s">
        <v>12507</v>
      </c>
      <c r="E13001" s="6" t="str">
        <f>HYPERLINK("https://twitter.com/petrogustavo/status/1346197712694341633","1346197712694341633")</f>
        <v>1346197712694341633</v>
      </c>
      <c r="F13001" s="7" t="s">
        <v>17</v>
      </c>
      <c r="G13001" s="7">
        <v>4028872</v>
      </c>
      <c r="H13001" s="7">
        <v>2470</v>
      </c>
      <c r="I13001" s="7">
        <v>48</v>
      </c>
      <c r="J13001" s="7">
        <v>196</v>
      </c>
      <c r="K13001" s="7" t="s">
        <v>18</v>
      </c>
      <c r="L13001" s="8">
        <v>39987.315405092595</v>
      </c>
      <c r="M13001" s="9" t="s">
        <v>19</v>
      </c>
      <c r="N13001" s="9" t="s">
        <v>20</v>
      </c>
      <c r="O13001" s="6" t="str">
        <f>HYPERLINK("https://pbs.twimg.com/profile_images/962471262747529216/Uo8lOkRJ_normal.jpg","View")</f>
        <v>View</v>
      </c>
      <c r="P13001" s="7"/>
    </row>
    <row r="13002" spans="1:16">
      <c r="A13002" s="3">
        <v>44201.098611111112</v>
      </c>
      <c r="B13002" s="4" t="str">
        <f>HYPERLINK("https://twitter.com/petrogustavo","@petrogustavo")</f>
        <v>@petrogustavo</v>
      </c>
      <c r="C13002" s="5" t="s">
        <v>16</v>
      </c>
      <c r="D13002" s="5" t="s">
        <v>12508</v>
      </c>
      <c r="E13002" s="6" t="str">
        <f>HYPERLINK("https://twitter.com/petrogustavo/status/1346197714447585285","1346197714447585285")</f>
        <v>1346197714447585285</v>
      </c>
      <c r="F13002" s="7" t="s">
        <v>17</v>
      </c>
      <c r="G13002" s="7">
        <v>4028872</v>
      </c>
      <c r="H13002" s="7">
        <v>2470</v>
      </c>
      <c r="I13002" s="7">
        <v>43</v>
      </c>
      <c r="J13002" s="7">
        <v>182</v>
      </c>
      <c r="K13002" s="7" t="s">
        <v>18</v>
      </c>
      <c r="L13002" s="8">
        <v>39987.315405092595</v>
      </c>
      <c r="M13002" s="9" t="s">
        <v>19</v>
      </c>
      <c r="N13002" s="9" t="s">
        <v>20</v>
      </c>
      <c r="O13002" s="6" t="str">
        <f>HYPERLINK("https://pbs.twimg.com/profile_images/962471262747529216/Uo8lOkRJ_normal.jpg","View")</f>
        <v>View</v>
      </c>
      <c r="P13002" s="7"/>
    </row>
    <row r="13003" spans="1:16">
      <c r="A13003" s="3">
        <v>44201.829062500001</v>
      </c>
      <c r="B13003" s="4" t="str">
        <f>HYPERLINK("https://twitter.com/petrogustavo","@petrogustavo")</f>
        <v>@petrogustavo</v>
      </c>
      <c r="C13003" s="5" t="s">
        <v>16</v>
      </c>
      <c r="D13003" s="5" t="s">
        <v>12509</v>
      </c>
      <c r="E13003" s="6" t="str">
        <f>HYPERLINK("https://twitter.com/petrogustavo/status/1346462419279884289","1346462419279884289")</f>
        <v>1346462419279884289</v>
      </c>
      <c r="F13003" s="7" t="s">
        <v>17</v>
      </c>
      <c r="G13003" s="7">
        <v>4029400</v>
      </c>
      <c r="H13003" s="7">
        <v>2470</v>
      </c>
      <c r="I13003" s="7">
        <v>236</v>
      </c>
      <c r="J13003" s="7">
        <v>561</v>
      </c>
      <c r="K13003" s="7" t="s">
        <v>18</v>
      </c>
      <c r="L13003" s="8">
        <v>39987.315405092595</v>
      </c>
      <c r="M13003" s="9" t="s">
        <v>19</v>
      </c>
      <c r="N13003" s="9" t="s">
        <v>20</v>
      </c>
      <c r="O13003" s="6" t="str">
        <f>HYPERLINK("https://pbs.twimg.com/profile_images/962471262747529216/Uo8lOkRJ_normal.jpg","View")</f>
        <v>View</v>
      </c>
      <c r="P13003" s="7"/>
    </row>
    <row r="13004" spans="1:16">
      <c r="A13004" s="3">
        <v>44201.833032407405</v>
      </c>
      <c r="B13004" s="4" t="str">
        <f>HYPERLINK("https://twitter.com/petrogustavo","@petrogustavo")</f>
        <v>@petrogustavo</v>
      </c>
      <c r="C13004" s="5" t="s">
        <v>16</v>
      </c>
      <c r="D13004" s="5" t="s">
        <v>12510</v>
      </c>
      <c r="E13004" s="6" t="str">
        <f>HYPERLINK("https://twitter.com/petrogustavo/status/1346463858249015298","1346463858249015298")</f>
        <v>1346463858249015298</v>
      </c>
      <c r="F13004" s="7" t="s">
        <v>17</v>
      </c>
      <c r="G13004" s="7">
        <v>4029400</v>
      </c>
      <c r="H13004" s="7">
        <v>2470</v>
      </c>
      <c r="I13004" s="7">
        <v>51</v>
      </c>
      <c r="J13004" s="7">
        <v>189</v>
      </c>
      <c r="K13004" s="7" t="s">
        <v>18</v>
      </c>
      <c r="L13004" s="8">
        <v>39987.315405092595</v>
      </c>
      <c r="M13004" s="9" t="s">
        <v>19</v>
      </c>
      <c r="N13004" s="9" t="s">
        <v>20</v>
      </c>
      <c r="O13004" s="6" t="str">
        <f>HYPERLINK("https://pbs.twimg.com/profile_images/962471262747529216/Uo8lOkRJ_normal.jpg","View")</f>
        <v>View</v>
      </c>
      <c r="P13004" s="7"/>
    </row>
    <row r="13005" spans="1:16">
      <c r="A13005" s="3">
        <v>44201.846898148149</v>
      </c>
      <c r="B13005" s="4" t="str">
        <f>HYPERLINK("https://twitter.com/petrogustavo","@petrogustavo")</f>
        <v>@petrogustavo</v>
      </c>
      <c r="C13005" s="5" t="s">
        <v>16</v>
      </c>
      <c r="D13005" s="5" t="s">
        <v>12511</v>
      </c>
      <c r="E13005" s="6" t="str">
        <f>HYPERLINK("https://twitter.com/petrogustavo/status/1346468880986750979","1346468880986750979")</f>
        <v>1346468880986750979</v>
      </c>
      <c r="F13005" s="7" t="s">
        <v>17</v>
      </c>
      <c r="G13005" s="7">
        <v>4029400</v>
      </c>
      <c r="H13005" s="7">
        <v>2470</v>
      </c>
      <c r="I13005" s="7">
        <v>74</v>
      </c>
      <c r="J13005" s="7">
        <v>195</v>
      </c>
      <c r="K13005" s="7" t="s">
        <v>18</v>
      </c>
      <c r="L13005" s="8">
        <v>39987.315405092595</v>
      </c>
      <c r="M13005" s="9" t="s">
        <v>19</v>
      </c>
      <c r="N13005" s="9" t="s">
        <v>20</v>
      </c>
      <c r="O13005" s="6" t="str">
        <f>HYPERLINK("https://pbs.twimg.com/profile_images/962471262747529216/Uo8lOkRJ_normal.jpg","View")</f>
        <v>View</v>
      </c>
      <c r="P13005" s="7"/>
    </row>
    <row r="13006" spans="1:16">
      <c r="A13006" s="3">
        <v>44201.848032407404</v>
      </c>
      <c r="B13006" s="4" t="str">
        <f>HYPERLINK("https://twitter.com/petrogustavo","@petrogustavo")</f>
        <v>@petrogustavo</v>
      </c>
      <c r="C13006" s="5" t="s">
        <v>16</v>
      </c>
      <c r="D13006" s="5" t="s">
        <v>12512</v>
      </c>
      <c r="E13006" s="6" t="str">
        <f>HYPERLINK("https://twitter.com/petrogustavo/status/1346469295551729667","1346469295551729667")</f>
        <v>1346469295551729667</v>
      </c>
      <c r="F13006" s="7" t="s">
        <v>17</v>
      </c>
      <c r="G13006" s="7">
        <v>4029400</v>
      </c>
      <c r="H13006" s="7">
        <v>2470</v>
      </c>
      <c r="I13006" s="7">
        <v>44</v>
      </c>
      <c r="J13006" s="7">
        <v>90</v>
      </c>
      <c r="K13006" s="7" t="s">
        <v>18</v>
      </c>
      <c r="L13006" s="8">
        <v>39987.315405092595</v>
      </c>
      <c r="M13006" s="9" t="s">
        <v>19</v>
      </c>
      <c r="N13006" s="9" t="s">
        <v>20</v>
      </c>
      <c r="O13006" s="6" t="str">
        <f>HYPERLINK("https://pbs.twimg.com/profile_images/962471262747529216/Uo8lOkRJ_normal.jpg","View")</f>
        <v>View</v>
      </c>
      <c r="P13006" s="7"/>
    </row>
    <row r="13007" spans="1:16">
      <c r="A13007" s="3">
        <v>44201.851782407408</v>
      </c>
      <c r="B13007" s="4" t="str">
        <f>HYPERLINK("https://twitter.com/petrogustavo","@petrogustavo")</f>
        <v>@petrogustavo</v>
      </c>
      <c r="C13007" s="5" t="s">
        <v>16</v>
      </c>
      <c r="D13007" s="5" t="s">
        <v>12513</v>
      </c>
      <c r="E13007" s="6" t="str">
        <f>HYPERLINK("https://twitter.com/petrogustavo/status/1346470654510473217","1346470654510473217")</f>
        <v>1346470654510473217</v>
      </c>
      <c r="F13007" s="7" t="s">
        <v>17</v>
      </c>
      <c r="G13007" s="7">
        <v>4029400</v>
      </c>
      <c r="H13007" s="7">
        <v>2470</v>
      </c>
      <c r="I13007" s="7">
        <v>23</v>
      </c>
      <c r="J13007" s="7">
        <v>60</v>
      </c>
      <c r="K13007" s="7" t="s">
        <v>18</v>
      </c>
      <c r="L13007" s="8">
        <v>39987.315405092595</v>
      </c>
      <c r="M13007" s="9" t="s">
        <v>19</v>
      </c>
      <c r="N13007" s="9" t="s">
        <v>20</v>
      </c>
      <c r="O13007" s="6" t="str">
        <f>HYPERLINK("https://pbs.twimg.com/profile_images/962471262747529216/Uo8lOkRJ_normal.jpg","View")</f>
        <v>View</v>
      </c>
      <c r="P13007" s="7"/>
    </row>
    <row r="13008" spans="1:16">
      <c r="A13008" s="3">
        <v>44201.869745370372</v>
      </c>
      <c r="B13008" s="4" t="str">
        <f>HYPERLINK("https://twitter.com/petrogustavo","@petrogustavo")</f>
        <v>@petrogustavo</v>
      </c>
      <c r="C13008" s="5" t="s">
        <v>16</v>
      </c>
      <c r="D13008" s="5" t="s">
        <v>12514</v>
      </c>
      <c r="E13008" s="6" t="str">
        <f>HYPERLINK("https://twitter.com/petrogustavo/status/1346477161922760704","1346477161922760704")</f>
        <v>1346477161922760704</v>
      </c>
      <c r="F13008" s="7" t="s">
        <v>17</v>
      </c>
      <c r="G13008" s="7">
        <v>4029425</v>
      </c>
      <c r="H13008" s="7">
        <v>2470</v>
      </c>
      <c r="I13008" s="7">
        <v>84</v>
      </c>
      <c r="J13008" s="7">
        <v>155</v>
      </c>
      <c r="K13008" s="7" t="s">
        <v>18</v>
      </c>
      <c r="L13008" s="8">
        <v>39987.315405092595</v>
      </c>
      <c r="M13008" s="9" t="s">
        <v>19</v>
      </c>
      <c r="N13008" s="9" t="s">
        <v>20</v>
      </c>
      <c r="O13008" s="6" t="str">
        <f>HYPERLINK("https://pbs.twimg.com/profile_images/962471262747529216/Uo8lOkRJ_normal.jpg","View")</f>
        <v>View</v>
      </c>
      <c r="P13008" s="7"/>
    </row>
    <row r="13009" spans="1:16">
      <c r="A13009" s="3">
        <v>44201.869745370372</v>
      </c>
      <c r="B13009" s="4" t="str">
        <f>HYPERLINK("https://twitter.com/petrogustavo","@petrogustavo")</f>
        <v>@petrogustavo</v>
      </c>
      <c r="C13009" s="5" t="s">
        <v>16</v>
      </c>
      <c r="D13009" s="5" t="s">
        <v>12515</v>
      </c>
      <c r="E13009" s="6" t="str">
        <f>HYPERLINK("https://twitter.com/petrogustavo/status/1346477163810181121","1346477163810181121")</f>
        <v>1346477163810181121</v>
      </c>
      <c r="F13009" s="7" t="s">
        <v>17</v>
      </c>
      <c r="G13009" s="7">
        <v>4029425</v>
      </c>
      <c r="H13009" s="7">
        <v>2470</v>
      </c>
      <c r="I13009" s="7">
        <v>40</v>
      </c>
      <c r="J13009" s="7">
        <v>109</v>
      </c>
      <c r="K13009" s="7" t="s">
        <v>18</v>
      </c>
      <c r="L13009" s="8">
        <v>39987.315405092595</v>
      </c>
      <c r="M13009" s="9" t="s">
        <v>19</v>
      </c>
      <c r="N13009" s="9" t="s">
        <v>20</v>
      </c>
      <c r="O13009" s="6" t="str">
        <f>HYPERLINK("https://pbs.twimg.com/profile_images/962471262747529216/Uo8lOkRJ_normal.jpg","View")</f>
        <v>View</v>
      </c>
      <c r="P13009" s="7"/>
    </row>
    <row r="13010" spans="1:16">
      <c r="A13010" s="3">
        <v>44201.869756944448</v>
      </c>
      <c r="B13010" s="4" t="str">
        <f>HYPERLINK("https://twitter.com/petrogustavo","@petrogustavo")</f>
        <v>@petrogustavo</v>
      </c>
      <c r="C13010" s="5" t="s">
        <v>16</v>
      </c>
      <c r="D13010" s="5" t="s">
        <v>12516</v>
      </c>
      <c r="E13010" s="6" t="str">
        <f>HYPERLINK("https://twitter.com/petrogustavo/status/1346477165773090818","1346477165773090818")</f>
        <v>1346477165773090818</v>
      </c>
      <c r="F13010" s="7" t="s">
        <v>17</v>
      </c>
      <c r="G13010" s="7">
        <v>4029425</v>
      </c>
      <c r="H13010" s="7">
        <v>2470</v>
      </c>
      <c r="I13010" s="7">
        <v>32</v>
      </c>
      <c r="J13010" s="7">
        <v>97</v>
      </c>
      <c r="K13010" s="7" t="s">
        <v>18</v>
      </c>
      <c r="L13010" s="8">
        <v>39987.315405092595</v>
      </c>
      <c r="M13010" s="9" t="s">
        <v>19</v>
      </c>
      <c r="N13010" s="9" t="s">
        <v>20</v>
      </c>
      <c r="O13010" s="6" t="str">
        <f>HYPERLINK("https://pbs.twimg.com/profile_images/962471262747529216/Uo8lOkRJ_normal.jpg","View")</f>
        <v>View</v>
      </c>
      <c r="P13010" s="7"/>
    </row>
    <row r="13011" spans="1:16">
      <c r="A13011" s="3">
        <v>44201.971909722226</v>
      </c>
      <c r="B13011" s="4" t="str">
        <f>HYPERLINK("https://twitter.com/petrogustavo","@petrogustavo")</f>
        <v>@petrogustavo</v>
      </c>
      <c r="C13011" s="5" t="s">
        <v>16</v>
      </c>
      <c r="D13011" s="5" t="s">
        <v>12517</v>
      </c>
      <c r="E13011" s="6" t="str">
        <f>HYPERLINK("https://twitter.com/petrogustavo/status/1346514185488883712","1346514185488883712")</f>
        <v>1346514185488883712</v>
      </c>
      <c r="F13011" s="7" t="s">
        <v>17</v>
      </c>
      <c r="G13011" s="7">
        <v>4029532</v>
      </c>
      <c r="H13011" s="7">
        <v>2472</v>
      </c>
      <c r="I13011" s="7">
        <v>68</v>
      </c>
      <c r="J13011" s="7">
        <v>142</v>
      </c>
      <c r="K13011" s="7" t="s">
        <v>18</v>
      </c>
      <c r="L13011" s="8">
        <v>39987.315405092595</v>
      </c>
      <c r="M13011" s="9" t="s">
        <v>19</v>
      </c>
      <c r="N13011" s="9" t="s">
        <v>20</v>
      </c>
      <c r="O13011" s="6" t="str">
        <f>HYPERLINK("https://pbs.twimg.com/profile_images/962471262747529216/Uo8lOkRJ_normal.jpg","View")</f>
        <v>View</v>
      </c>
      <c r="P13011" s="7"/>
    </row>
    <row r="13012" spans="1:16">
      <c r="A13012" s="3">
        <v>44201.982916666668</v>
      </c>
      <c r="B13012" s="4" t="str">
        <f>HYPERLINK("https://twitter.com/petrogustavo","@petrogustavo")</f>
        <v>@petrogustavo</v>
      </c>
      <c r="C13012" s="5" t="s">
        <v>16</v>
      </c>
      <c r="D13012" s="5" t="s">
        <v>12518</v>
      </c>
      <c r="E13012" s="6" t="str">
        <f>HYPERLINK("https://twitter.com/petrogustavo/status/1346518173399609346","1346518173399609346")</f>
        <v>1346518173399609346</v>
      </c>
      <c r="F13012" s="7" t="s">
        <v>17</v>
      </c>
      <c r="G13012" s="7">
        <v>4029549</v>
      </c>
      <c r="H13012" s="7">
        <v>2472</v>
      </c>
      <c r="I13012" s="7">
        <v>995</v>
      </c>
      <c r="J13012" s="7">
        <v>0</v>
      </c>
      <c r="K13012" s="7" t="s">
        <v>18</v>
      </c>
      <c r="L13012" s="8">
        <v>39987.315405092595</v>
      </c>
      <c r="M13012" s="9" t="s">
        <v>19</v>
      </c>
      <c r="N13012" s="9" t="s">
        <v>20</v>
      </c>
      <c r="O13012" s="6" t="str">
        <f>HYPERLINK("https://pbs.twimg.com/profile_images/962471262747529216/Uo8lOkRJ_normal.jpg","View")</f>
        <v>View</v>
      </c>
      <c r="P13012" s="7"/>
    </row>
    <row r="13013" spans="1:16">
      <c r="A13013" s="3">
        <v>44201.992256944446</v>
      </c>
      <c r="B13013" s="4" t="str">
        <f>HYPERLINK("https://twitter.com/petrogustavo","@petrogustavo")</f>
        <v>@petrogustavo</v>
      </c>
      <c r="C13013" s="5" t="s">
        <v>16</v>
      </c>
      <c r="D13013" s="5" t="s">
        <v>12519</v>
      </c>
      <c r="E13013" s="6" t="str">
        <f>HYPERLINK("https://twitter.com/petrogustavo/status/1346521560581099524","1346521560581099524")</f>
        <v>1346521560581099524</v>
      </c>
      <c r="F13013" s="7" t="s">
        <v>17</v>
      </c>
      <c r="G13013" s="7">
        <v>4029549</v>
      </c>
      <c r="H13013" s="7">
        <v>2472</v>
      </c>
      <c r="I13013" s="7">
        <v>41</v>
      </c>
      <c r="J13013" s="7">
        <v>147</v>
      </c>
      <c r="K13013" s="7" t="s">
        <v>18</v>
      </c>
      <c r="L13013" s="8">
        <v>39987.315405092595</v>
      </c>
      <c r="M13013" s="9" t="s">
        <v>19</v>
      </c>
      <c r="N13013" s="9" t="s">
        <v>20</v>
      </c>
      <c r="O13013" s="6" t="str">
        <f>HYPERLINK("https://pbs.twimg.com/profile_images/962471262747529216/Uo8lOkRJ_normal.jpg","View")</f>
        <v>View</v>
      </c>
      <c r="P13013" s="7"/>
    </row>
    <row r="13014" spans="1:16">
      <c r="A13014" s="3">
        <v>44201.996793981481</v>
      </c>
      <c r="B13014" s="4" t="str">
        <f>HYPERLINK("https://twitter.com/petrogustavo","@petrogustavo")</f>
        <v>@petrogustavo</v>
      </c>
      <c r="C13014" s="5" t="s">
        <v>16</v>
      </c>
      <c r="D13014" s="5" t="s">
        <v>12520</v>
      </c>
      <c r="E13014" s="6" t="str">
        <f>HYPERLINK("https://twitter.com/petrogustavo/status/1346523203640954882","1346523203640954882")</f>
        <v>1346523203640954882</v>
      </c>
      <c r="F13014" s="7" t="s">
        <v>17</v>
      </c>
      <c r="G13014" s="7">
        <v>4029549</v>
      </c>
      <c r="H13014" s="7">
        <v>2472</v>
      </c>
      <c r="I13014" s="7">
        <v>40</v>
      </c>
      <c r="J13014" s="7">
        <v>128</v>
      </c>
      <c r="K13014" s="7" t="s">
        <v>18</v>
      </c>
      <c r="L13014" s="8">
        <v>39987.315405092595</v>
      </c>
      <c r="M13014" s="9" t="s">
        <v>19</v>
      </c>
      <c r="N13014" s="9" t="s">
        <v>20</v>
      </c>
      <c r="O13014" s="6" t="str">
        <f>HYPERLINK("https://pbs.twimg.com/profile_images/962471262747529216/Uo8lOkRJ_normal.jpg","View")</f>
        <v>View</v>
      </c>
      <c r="P13014" s="7"/>
    </row>
    <row r="13015" spans="1:16">
      <c r="A13015" s="3">
        <v>44201.997523148151</v>
      </c>
      <c r="B13015" s="4" t="str">
        <f>HYPERLINK("https://twitter.com/petrogustavo","@petrogustavo")</f>
        <v>@petrogustavo</v>
      </c>
      <c r="C13015" s="5" t="s">
        <v>16</v>
      </c>
      <c r="D13015" s="5" t="s">
        <v>12521</v>
      </c>
      <c r="E13015" s="6" t="str">
        <f>HYPERLINK("https://twitter.com/petrogustavo/status/1346523469186535424","1346523469186535424")</f>
        <v>1346523469186535424</v>
      </c>
      <c r="F13015" s="7" t="s">
        <v>17</v>
      </c>
      <c r="G13015" s="7">
        <v>4029549</v>
      </c>
      <c r="H13015" s="7">
        <v>2472</v>
      </c>
      <c r="I13015" s="7">
        <v>456</v>
      </c>
      <c r="J13015" s="7">
        <v>0</v>
      </c>
      <c r="K13015" s="7" t="s">
        <v>18</v>
      </c>
      <c r="L13015" s="8">
        <v>39987.315405092595</v>
      </c>
      <c r="M13015" s="9" t="s">
        <v>19</v>
      </c>
      <c r="N13015" s="9" t="s">
        <v>20</v>
      </c>
      <c r="O13015" s="6" t="str">
        <f>HYPERLINK("https://pbs.twimg.com/profile_images/962471262747529216/Uo8lOkRJ_normal.jpg","View")</f>
        <v>View</v>
      </c>
      <c r="P13015" s="7"/>
    </row>
    <row r="13016" spans="1:16">
      <c r="A13016" s="3">
        <v>44202.058703703704</v>
      </c>
      <c r="B13016" s="4" t="str">
        <f>HYPERLINK("https://twitter.com/petrogustavo","@petrogustavo")</f>
        <v>@petrogustavo</v>
      </c>
      <c r="C13016" s="5" t="s">
        <v>16</v>
      </c>
      <c r="D13016" s="5" t="s">
        <v>12522</v>
      </c>
      <c r="E13016" s="6" t="str">
        <f>HYPERLINK("https://twitter.com/petrogustavo/status/1346545636959793155","1346545636959793155")</f>
        <v>1346545636959793155</v>
      </c>
      <c r="F13016" s="7" t="s">
        <v>17</v>
      </c>
      <c r="G13016" s="7">
        <v>4029605</v>
      </c>
      <c r="H13016" s="7">
        <v>2472</v>
      </c>
      <c r="I13016" s="7">
        <v>25</v>
      </c>
      <c r="J13016" s="7">
        <v>72</v>
      </c>
      <c r="K13016" s="7" t="s">
        <v>18</v>
      </c>
      <c r="L13016" s="8">
        <v>39987.315405092595</v>
      </c>
      <c r="M13016" s="9" t="s">
        <v>19</v>
      </c>
      <c r="N13016" s="9" t="s">
        <v>20</v>
      </c>
      <c r="O13016" s="6" t="str">
        <f>HYPERLINK("https://pbs.twimg.com/profile_images/962471262747529216/Uo8lOkRJ_normal.jpg","View")</f>
        <v>View</v>
      </c>
      <c r="P13016" s="7"/>
    </row>
    <row r="13017" spans="1:16">
      <c r="A13017" s="3">
        <v>44202.068032407406</v>
      </c>
      <c r="B13017" s="4" t="str">
        <f>HYPERLINK("https://twitter.com/petrogustavo","@petrogustavo")</f>
        <v>@petrogustavo</v>
      </c>
      <c r="C13017" s="5" t="s">
        <v>16</v>
      </c>
      <c r="D13017" s="5" t="s">
        <v>12523</v>
      </c>
      <c r="E13017" s="6" t="str">
        <f>HYPERLINK("https://twitter.com/petrogustavo/status/1346549020446126082","1346549020446126082")</f>
        <v>1346549020446126082</v>
      </c>
      <c r="F13017" s="7" t="s">
        <v>17</v>
      </c>
      <c r="G13017" s="7">
        <v>4029624</v>
      </c>
      <c r="H13017" s="7">
        <v>2472</v>
      </c>
      <c r="I13017" s="7">
        <v>101</v>
      </c>
      <c r="J13017" s="7">
        <v>270</v>
      </c>
      <c r="K13017" s="7" t="s">
        <v>18</v>
      </c>
      <c r="L13017" s="8">
        <v>39987.315405092595</v>
      </c>
      <c r="M13017" s="9" t="s">
        <v>19</v>
      </c>
      <c r="N13017" s="9" t="s">
        <v>20</v>
      </c>
      <c r="O13017" s="6" t="str">
        <f>HYPERLINK("https://pbs.twimg.com/profile_images/962471262747529216/Uo8lOkRJ_normal.jpg","View")</f>
        <v>View</v>
      </c>
      <c r="P13017" s="7"/>
    </row>
    <row r="13018" spans="1:16">
      <c r="A13018" s="3">
        <v>44202.077939814815</v>
      </c>
      <c r="B13018" s="4" t="str">
        <f>HYPERLINK("https://twitter.com/petrogustavo","@petrogustavo")</f>
        <v>@petrogustavo</v>
      </c>
      <c r="C13018" s="5" t="s">
        <v>16</v>
      </c>
      <c r="D13018" s="5" t="s">
        <v>12521</v>
      </c>
      <c r="E13018" s="6" t="str">
        <f>HYPERLINK("https://twitter.com/petrogustavo/status/1346552609172299776","1346552609172299776")</f>
        <v>1346552609172299776</v>
      </c>
      <c r="F13018" s="7" t="s">
        <v>17</v>
      </c>
      <c r="G13018" s="7">
        <v>4029624</v>
      </c>
      <c r="H13018" s="7">
        <v>2472</v>
      </c>
      <c r="I13018" s="7">
        <v>578</v>
      </c>
      <c r="J13018" s="7">
        <v>0</v>
      </c>
      <c r="K13018" s="7" t="s">
        <v>18</v>
      </c>
      <c r="L13018" s="8">
        <v>39987.315405092595</v>
      </c>
      <c r="M13018" s="9" t="s">
        <v>19</v>
      </c>
      <c r="N13018" s="9" t="s">
        <v>20</v>
      </c>
      <c r="O13018" s="6" t="str">
        <f>HYPERLINK("https://pbs.twimg.com/profile_images/962471262747529216/Uo8lOkRJ_normal.jpg","View")</f>
        <v>View</v>
      </c>
      <c r="P13018" s="7"/>
    </row>
    <row r="13019" spans="1:16">
      <c r="A13019" s="3">
        <v>44202.735706018517</v>
      </c>
      <c r="B13019" s="4" t="str">
        <f>HYPERLINK("https://twitter.com/petrogustavo","@petrogustavo")</f>
        <v>@petrogustavo</v>
      </c>
      <c r="C13019" s="5" t="s">
        <v>16</v>
      </c>
      <c r="D13019" s="5" t="s">
        <v>12524</v>
      </c>
      <c r="E13019" s="6" t="str">
        <f>HYPERLINK("https://twitter.com/petrogustavo/status/1346790976204009472","1346790976204009472")</f>
        <v>1346790976204009472</v>
      </c>
      <c r="F13019" s="7" t="s">
        <v>17</v>
      </c>
      <c r="G13019" s="7">
        <v>4029978</v>
      </c>
      <c r="H13019" s="7">
        <v>2472</v>
      </c>
      <c r="I13019" s="7">
        <v>60</v>
      </c>
      <c r="J13019" s="7">
        <v>116</v>
      </c>
      <c r="K13019" s="7" t="s">
        <v>18</v>
      </c>
      <c r="L13019" s="8">
        <v>39987.315405092595</v>
      </c>
      <c r="M13019" s="9" t="s">
        <v>19</v>
      </c>
      <c r="N13019" s="9" t="s">
        <v>20</v>
      </c>
      <c r="O13019" s="6" t="str">
        <f>HYPERLINK("https://pbs.twimg.com/profile_images/962471262747529216/Uo8lOkRJ_normal.jpg","View")</f>
        <v>View</v>
      </c>
      <c r="P13019" s="7"/>
    </row>
    <row r="13020" spans="1:16">
      <c r="A13020" s="3">
        <v>44202.754259259258</v>
      </c>
      <c r="B13020" s="4" t="str">
        <f>HYPERLINK("https://twitter.com/petrogustavo","@petrogustavo")</f>
        <v>@petrogustavo</v>
      </c>
      <c r="C13020" s="5" t="s">
        <v>16</v>
      </c>
      <c r="D13020" s="5" t="s">
        <v>12525</v>
      </c>
      <c r="E13020" s="6" t="str">
        <f>HYPERLINK("https://twitter.com/petrogustavo/status/1346797700033994753","1346797700033994753")</f>
        <v>1346797700033994753</v>
      </c>
      <c r="F13020" s="7" t="s">
        <v>17</v>
      </c>
      <c r="G13020" s="7">
        <v>4029991</v>
      </c>
      <c r="H13020" s="7">
        <v>2472</v>
      </c>
      <c r="I13020" s="7">
        <v>106</v>
      </c>
      <c r="J13020" s="7">
        <v>637</v>
      </c>
      <c r="K13020" s="7" t="s">
        <v>18</v>
      </c>
      <c r="L13020" s="8">
        <v>39987.315405092595</v>
      </c>
      <c r="M13020" s="9" t="s">
        <v>19</v>
      </c>
      <c r="N13020" s="9" t="s">
        <v>20</v>
      </c>
      <c r="O13020" s="6" t="str">
        <f>HYPERLINK("https://pbs.twimg.com/profile_images/962471262747529216/Uo8lOkRJ_normal.jpg","View")</f>
        <v>View</v>
      </c>
      <c r="P13020" s="7"/>
    </row>
    <row r="13021" spans="1:16">
      <c r="A13021" s="3">
        <v>44202.759629629625</v>
      </c>
      <c r="B13021" s="4" t="str">
        <f>HYPERLINK("https://twitter.com/petrogustavo","@petrogustavo")</f>
        <v>@petrogustavo</v>
      </c>
      <c r="C13021" s="5" t="s">
        <v>16</v>
      </c>
      <c r="D13021" s="5" t="s">
        <v>12526</v>
      </c>
      <c r="E13021" s="6" t="str">
        <f>HYPERLINK("https://twitter.com/petrogustavo/status/1346799644601417731","1346799644601417731")</f>
        <v>1346799644601417731</v>
      </c>
      <c r="F13021" s="7" t="s">
        <v>17</v>
      </c>
      <c r="G13021" s="7">
        <v>4029991</v>
      </c>
      <c r="H13021" s="7">
        <v>2472</v>
      </c>
      <c r="I13021" s="7">
        <v>65</v>
      </c>
      <c r="J13021" s="7">
        <v>147</v>
      </c>
      <c r="K13021" s="7" t="s">
        <v>18</v>
      </c>
      <c r="L13021" s="8">
        <v>39987.315405092595</v>
      </c>
      <c r="M13021" s="9" t="s">
        <v>19</v>
      </c>
      <c r="N13021" s="9" t="s">
        <v>20</v>
      </c>
      <c r="O13021" s="6" t="str">
        <f>HYPERLINK("https://pbs.twimg.com/profile_images/962471262747529216/Uo8lOkRJ_normal.jpg","View")</f>
        <v>View</v>
      </c>
      <c r="P13021" s="7"/>
    </row>
    <row r="13022" spans="1:16">
      <c r="A13022" s="3">
        <v>44202.766851851848</v>
      </c>
      <c r="B13022" s="4" t="str">
        <f>HYPERLINK("https://twitter.com/petrogustavo","@petrogustavo")</f>
        <v>@petrogustavo</v>
      </c>
      <c r="C13022" s="5" t="s">
        <v>16</v>
      </c>
      <c r="D13022" s="5" t="s">
        <v>12527</v>
      </c>
      <c r="E13022" s="6" t="str">
        <f>HYPERLINK("https://twitter.com/petrogustavo/status/1346802263575171072","1346802263575171072")</f>
        <v>1346802263575171072</v>
      </c>
      <c r="F13022" s="7" t="s">
        <v>17</v>
      </c>
      <c r="G13022" s="7">
        <v>4030010</v>
      </c>
      <c r="H13022" s="7">
        <v>2472</v>
      </c>
      <c r="I13022" s="7">
        <v>130</v>
      </c>
      <c r="J13022" s="7">
        <v>495</v>
      </c>
      <c r="K13022" s="7" t="s">
        <v>18</v>
      </c>
      <c r="L13022" s="8">
        <v>39987.315405092595</v>
      </c>
      <c r="M13022" s="9" t="s">
        <v>19</v>
      </c>
      <c r="N13022" s="9" t="s">
        <v>20</v>
      </c>
      <c r="O13022" s="6" t="str">
        <f>HYPERLINK("https://pbs.twimg.com/profile_images/962471262747529216/Uo8lOkRJ_normal.jpg","View")</f>
        <v>View</v>
      </c>
      <c r="P13022" s="7"/>
    </row>
    <row r="13023" spans="1:16">
      <c r="A13023" s="3">
        <v>44202.782754629632</v>
      </c>
      <c r="B13023" s="4" t="str">
        <f>HYPERLINK("https://twitter.com/petrogustavo","@petrogustavo")</f>
        <v>@petrogustavo</v>
      </c>
      <c r="C13023" s="5" t="s">
        <v>16</v>
      </c>
      <c r="D13023" s="5" t="s">
        <v>12528</v>
      </c>
      <c r="E13023" s="6" t="str">
        <f>HYPERLINK("https://twitter.com/petrogustavo/status/1346808027589054466","1346808027589054466")</f>
        <v>1346808027589054466</v>
      </c>
      <c r="F13023" s="7" t="s">
        <v>17</v>
      </c>
      <c r="G13023" s="7">
        <v>4030010</v>
      </c>
      <c r="H13023" s="7">
        <v>2472</v>
      </c>
      <c r="I13023" s="7">
        <v>384</v>
      </c>
      <c r="J13023" s="7">
        <v>1633</v>
      </c>
      <c r="K13023" s="7" t="s">
        <v>18</v>
      </c>
      <c r="L13023" s="8">
        <v>39987.315405092595</v>
      </c>
      <c r="M13023" s="9" t="s">
        <v>19</v>
      </c>
      <c r="N13023" s="9" t="s">
        <v>20</v>
      </c>
      <c r="O13023" s="6" t="str">
        <f>HYPERLINK("https://pbs.twimg.com/profile_images/962471262747529216/Uo8lOkRJ_normal.jpg","View")</f>
        <v>View</v>
      </c>
      <c r="P13023" s="7"/>
    </row>
    <row r="13024" spans="1:16">
      <c r="A13024" s="3">
        <v>44202.878692129627</v>
      </c>
      <c r="B13024" s="4" t="str">
        <f>HYPERLINK("https://twitter.com/petrogustavo","@petrogustavo")</f>
        <v>@petrogustavo</v>
      </c>
      <c r="C13024" s="5" t="s">
        <v>16</v>
      </c>
      <c r="D13024" s="5" t="s">
        <v>12529</v>
      </c>
      <c r="E13024" s="6" t="str">
        <f>HYPERLINK("https://twitter.com/petrogustavo/status/1346842791700267009","1346842791700267009")</f>
        <v>1346842791700267009</v>
      </c>
      <c r="F13024" s="7" t="s">
        <v>17</v>
      </c>
      <c r="G13024" s="7">
        <v>4030098</v>
      </c>
      <c r="H13024" s="7">
        <v>2471</v>
      </c>
      <c r="I13024" s="7">
        <v>557</v>
      </c>
      <c r="J13024" s="7">
        <v>0</v>
      </c>
      <c r="K13024" s="7" t="s">
        <v>18</v>
      </c>
      <c r="L13024" s="8">
        <v>39987.315405092595</v>
      </c>
      <c r="M13024" s="9" t="s">
        <v>19</v>
      </c>
      <c r="N13024" s="9" t="s">
        <v>20</v>
      </c>
      <c r="O13024" s="6" t="str">
        <f>HYPERLINK("https://pbs.twimg.com/profile_images/962471262747529216/Uo8lOkRJ_normal.jpg","View")</f>
        <v>View</v>
      </c>
      <c r="P13024" s="7"/>
    </row>
    <row r="13025" spans="1:16">
      <c r="A13025" s="3">
        <v>44202.913761574076</v>
      </c>
      <c r="B13025" s="4" t="str">
        <f>HYPERLINK("https://twitter.com/petrogustavo","@petrogustavo")</f>
        <v>@petrogustavo</v>
      </c>
      <c r="C13025" s="5" t="s">
        <v>16</v>
      </c>
      <c r="D13025" s="5" t="s">
        <v>12530</v>
      </c>
      <c r="E13025" s="6" t="str">
        <f>HYPERLINK("https://twitter.com/petrogustavo/status/1346855501775175686","1346855501775175686")</f>
        <v>1346855501775175686</v>
      </c>
      <c r="F13025" s="7" t="s">
        <v>17</v>
      </c>
      <c r="G13025" s="7">
        <v>4030137</v>
      </c>
      <c r="H13025" s="7">
        <v>2471</v>
      </c>
      <c r="I13025" s="7">
        <v>50</v>
      </c>
      <c r="J13025" s="7">
        <v>0</v>
      </c>
      <c r="K13025" s="7" t="s">
        <v>18</v>
      </c>
      <c r="L13025" s="8">
        <v>39987.315405092595</v>
      </c>
      <c r="M13025" s="9" t="s">
        <v>19</v>
      </c>
      <c r="N13025" s="9" t="s">
        <v>20</v>
      </c>
      <c r="O13025" s="6" t="str">
        <f>HYPERLINK("https://pbs.twimg.com/profile_images/962471262747529216/Uo8lOkRJ_normal.jpg","View")</f>
        <v>View</v>
      </c>
      <c r="P13025" s="7"/>
    </row>
    <row r="13026" spans="1:16">
      <c r="A13026" s="3">
        <v>44202.955254629633</v>
      </c>
      <c r="B13026" s="4" t="str">
        <f>HYPERLINK("https://twitter.com/petrogustavo","@petrogustavo")</f>
        <v>@petrogustavo</v>
      </c>
      <c r="C13026" s="5" t="s">
        <v>16</v>
      </c>
      <c r="D13026" s="5" t="s">
        <v>12531</v>
      </c>
      <c r="E13026" s="6" t="str">
        <f>HYPERLINK("https://twitter.com/petrogustavo/status/1346870537520353282","1346870537520353282")</f>
        <v>1346870537520353282</v>
      </c>
      <c r="F13026" s="7" t="s">
        <v>17</v>
      </c>
      <c r="G13026" s="7">
        <v>4030176</v>
      </c>
      <c r="H13026" s="7">
        <v>2471</v>
      </c>
      <c r="I13026" s="7">
        <v>76</v>
      </c>
      <c r="J13026" s="7">
        <v>136</v>
      </c>
      <c r="K13026" s="7" t="s">
        <v>18</v>
      </c>
      <c r="L13026" s="8">
        <v>39987.315405092595</v>
      </c>
      <c r="M13026" s="9" t="s">
        <v>19</v>
      </c>
      <c r="N13026" s="9" t="s">
        <v>20</v>
      </c>
      <c r="O13026" s="6" t="str">
        <f>HYPERLINK("https://pbs.twimg.com/profile_images/962471262747529216/Uo8lOkRJ_normal.jpg","View")</f>
        <v>View</v>
      </c>
      <c r="P13026" s="7"/>
    </row>
    <row r="13027" spans="1:16">
      <c r="A13027" s="3">
        <v>44202.961030092592</v>
      </c>
      <c r="B13027" s="4" t="str">
        <f>HYPERLINK("https://twitter.com/petrogustavo","@petrogustavo")</f>
        <v>@petrogustavo</v>
      </c>
      <c r="C13027" s="5" t="s">
        <v>16</v>
      </c>
      <c r="D13027" s="5" t="s">
        <v>12532</v>
      </c>
      <c r="E13027" s="6" t="str">
        <f>HYPERLINK("https://twitter.com/petrogustavo/status/1346872630431903744","1346872630431903744")</f>
        <v>1346872630431903744</v>
      </c>
      <c r="F13027" s="7" t="s">
        <v>17</v>
      </c>
      <c r="G13027" s="7">
        <v>4030196</v>
      </c>
      <c r="H13027" s="7">
        <v>2471</v>
      </c>
      <c r="I13027" s="7">
        <v>336</v>
      </c>
      <c r="J13027" s="7">
        <v>0</v>
      </c>
      <c r="K13027" s="7" t="s">
        <v>18</v>
      </c>
      <c r="L13027" s="8">
        <v>39987.315405092595</v>
      </c>
      <c r="M13027" s="9" t="s">
        <v>19</v>
      </c>
      <c r="N13027" s="9" t="s">
        <v>20</v>
      </c>
      <c r="O13027" s="6" t="str">
        <f>HYPERLINK("https://pbs.twimg.com/profile_images/962471262747529216/Uo8lOkRJ_normal.jpg","View")</f>
        <v>View</v>
      </c>
      <c r="P13027" s="7"/>
    </row>
    <row r="13028" spans="1:16">
      <c r="A13028" s="3">
        <v>44202.979386574079</v>
      </c>
      <c r="B13028" s="4" t="str">
        <f>HYPERLINK("https://twitter.com/petrogustavo","@petrogustavo")</f>
        <v>@petrogustavo</v>
      </c>
      <c r="C13028" s="5" t="s">
        <v>16</v>
      </c>
      <c r="D13028" s="5" t="s">
        <v>12533</v>
      </c>
      <c r="E13028" s="6" t="str">
        <f>HYPERLINK("https://twitter.com/petrogustavo/status/1346879283877306375","1346879283877306375")</f>
        <v>1346879283877306375</v>
      </c>
      <c r="F13028" s="7" t="s">
        <v>17</v>
      </c>
      <c r="G13028" s="7">
        <v>4030196</v>
      </c>
      <c r="H13028" s="7">
        <v>2471</v>
      </c>
      <c r="I13028" s="7">
        <v>13</v>
      </c>
      <c r="J13028" s="7">
        <v>49</v>
      </c>
      <c r="K13028" s="7" t="s">
        <v>18</v>
      </c>
      <c r="L13028" s="8">
        <v>39987.315405092595</v>
      </c>
      <c r="M13028" s="9" t="s">
        <v>19</v>
      </c>
      <c r="N13028" s="9" t="s">
        <v>20</v>
      </c>
      <c r="O13028" s="6" t="str">
        <f>HYPERLINK("https://pbs.twimg.com/profile_images/962471262747529216/Uo8lOkRJ_normal.jpg","View")</f>
        <v>View</v>
      </c>
      <c r="P13028" s="7"/>
    </row>
    <row r="13029" spans="1:16">
      <c r="A13029" s="3">
        <v>44203.038946759261</v>
      </c>
      <c r="B13029" s="4" t="str">
        <f>HYPERLINK("https://twitter.com/petrogustavo","@petrogustavo")</f>
        <v>@petrogustavo</v>
      </c>
      <c r="C13029" s="5" t="s">
        <v>16</v>
      </c>
      <c r="D13029" s="5" t="s">
        <v>12529</v>
      </c>
      <c r="E13029" s="6" t="str">
        <f>HYPERLINK("https://twitter.com/petrogustavo/status/1346900868835258368","1346900868835258368")</f>
        <v>1346900868835258368</v>
      </c>
      <c r="F13029" s="7" t="s">
        <v>17</v>
      </c>
      <c r="G13029" s="7">
        <v>4030254</v>
      </c>
      <c r="H13029" s="7">
        <v>2471</v>
      </c>
      <c r="I13029" s="7">
        <v>771</v>
      </c>
      <c r="J13029" s="7">
        <v>0</v>
      </c>
      <c r="K13029" s="7" t="s">
        <v>18</v>
      </c>
      <c r="L13029" s="8">
        <v>39987.315405092595</v>
      </c>
      <c r="M13029" s="9" t="s">
        <v>19</v>
      </c>
      <c r="N13029" s="9" t="s">
        <v>20</v>
      </c>
      <c r="O13029" s="6" t="str">
        <f>HYPERLINK("https://pbs.twimg.com/profile_images/962471262747529216/Uo8lOkRJ_normal.jpg","View")</f>
        <v>View</v>
      </c>
      <c r="P13029" s="7"/>
    </row>
    <row r="13030" spans="1:16">
      <c r="A13030" s="3">
        <v>44203.91878472222</v>
      </c>
      <c r="B13030" s="4" t="str">
        <f>HYPERLINK("https://twitter.com/petrogustavo","@petrogustavo")</f>
        <v>@petrogustavo</v>
      </c>
      <c r="C13030" s="5" t="s">
        <v>16</v>
      </c>
      <c r="D13030" s="5" t="s">
        <v>12534</v>
      </c>
      <c r="E13030" s="6" t="str">
        <f>HYPERLINK("https://twitter.com/petrogustavo/status/1347219708945309696","1347219708945309696")</f>
        <v>1347219708945309696</v>
      </c>
      <c r="F13030" s="7" t="s">
        <v>17</v>
      </c>
      <c r="G13030" s="7">
        <v>4031077</v>
      </c>
      <c r="H13030" s="7">
        <v>2470</v>
      </c>
      <c r="I13030" s="7">
        <v>216</v>
      </c>
      <c r="J13030" s="7">
        <v>734</v>
      </c>
      <c r="K13030" s="7" t="s">
        <v>18</v>
      </c>
      <c r="L13030" s="8">
        <v>39987.315405092595</v>
      </c>
      <c r="M13030" s="9" t="s">
        <v>19</v>
      </c>
      <c r="N13030" s="9" t="s">
        <v>20</v>
      </c>
      <c r="O13030" s="6" t="str">
        <f>HYPERLINK("https://pbs.twimg.com/profile_images/962471262747529216/Uo8lOkRJ_normal.jpg","View")</f>
        <v>View</v>
      </c>
      <c r="P13030" s="7"/>
    </row>
    <row r="13031" spans="1:16">
      <c r="A13031" s="3">
        <v>44203.924027777779</v>
      </c>
      <c r="B13031" s="4" t="str">
        <f>HYPERLINK("https://twitter.com/petrogustavo","@petrogustavo")</f>
        <v>@petrogustavo</v>
      </c>
      <c r="C13031" s="5" t="s">
        <v>16</v>
      </c>
      <c r="D13031" s="5" t="s">
        <v>12535</v>
      </c>
      <c r="E13031" s="6" t="str">
        <f>HYPERLINK("https://twitter.com/petrogustavo/status/1347221607824154625","1347221607824154625")</f>
        <v>1347221607824154625</v>
      </c>
      <c r="F13031" s="7" t="s">
        <v>17</v>
      </c>
      <c r="G13031" s="7">
        <v>4031077</v>
      </c>
      <c r="H13031" s="7">
        <v>2470</v>
      </c>
      <c r="I13031" s="7">
        <v>72</v>
      </c>
      <c r="J13031" s="7">
        <v>234</v>
      </c>
      <c r="K13031" s="7" t="s">
        <v>18</v>
      </c>
      <c r="L13031" s="8">
        <v>39987.315405092595</v>
      </c>
      <c r="M13031" s="9" t="s">
        <v>19</v>
      </c>
      <c r="N13031" s="9" t="s">
        <v>20</v>
      </c>
      <c r="O13031" s="6" t="str">
        <f>HYPERLINK("https://pbs.twimg.com/profile_images/962471262747529216/Uo8lOkRJ_normal.jpg","View")</f>
        <v>View</v>
      </c>
      <c r="P13031" s="7"/>
    </row>
    <row r="13032" spans="1:16">
      <c r="A13032" s="3">
        <v>44203.936030092591</v>
      </c>
      <c r="B13032" s="4" t="str">
        <f>HYPERLINK("https://twitter.com/petrogustavo","@petrogustavo")</f>
        <v>@petrogustavo</v>
      </c>
      <c r="C13032" s="5" t="s">
        <v>16</v>
      </c>
      <c r="D13032" s="5" t="s">
        <v>12536</v>
      </c>
      <c r="E13032" s="6" t="str">
        <f>HYPERLINK("https://twitter.com/petrogustavo/status/1347225957464231936","1347225957464231936")</f>
        <v>1347225957464231936</v>
      </c>
      <c r="F13032" s="7" t="s">
        <v>17</v>
      </c>
      <c r="G13032" s="7">
        <v>4031136</v>
      </c>
      <c r="H13032" s="7">
        <v>2470</v>
      </c>
      <c r="I13032" s="7">
        <v>280</v>
      </c>
      <c r="J13032" s="7">
        <v>962</v>
      </c>
      <c r="K13032" s="7" t="s">
        <v>18</v>
      </c>
      <c r="L13032" s="8">
        <v>39987.315405092595</v>
      </c>
      <c r="M13032" s="9" t="s">
        <v>19</v>
      </c>
      <c r="N13032" s="9" t="s">
        <v>20</v>
      </c>
      <c r="O13032" s="6" t="str">
        <f>HYPERLINK("https://pbs.twimg.com/profile_images/962471262747529216/Uo8lOkRJ_normal.jpg","View")</f>
        <v>View</v>
      </c>
      <c r="P13032" s="7"/>
    </row>
    <row r="13033" spans="1:16">
      <c r="A13033" s="3">
        <v>44203.936030092591</v>
      </c>
      <c r="B13033" s="4" t="str">
        <f>HYPERLINK("https://twitter.com/petrogustavo","@petrogustavo")</f>
        <v>@petrogustavo</v>
      </c>
      <c r="C13033" s="5" t="s">
        <v>16</v>
      </c>
      <c r="D13033" s="5" t="s">
        <v>12537</v>
      </c>
      <c r="E13033" s="6" t="str">
        <f>HYPERLINK("https://twitter.com/petrogustavo/status/1347225959154528256","1347225959154528256")</f>
        <v>1347225959154528256</v>
      </c>
      <c r="F13033" s="7" t="s">
        <v>17</v>
      </c>
      <c r="G13033" s="7">
        <v>4031136</v>
      </c>
      <c r="H13033" s="7">
        <v>2470</v>
      </c>
      <c r="I13033" s="7">
        <v>199</v>
      </c>
      <c r="J13033" s="7">
        <v>688</v>
      </c>
      <c r="K13033" s="7" t="s">
        <v>18</v>
      </c>
      <c r="L13033" s="8">
        <v>39987.315405092595</v>
      </c>
      <c r="M13033" s="9" t="s">
        <v>19</v>
      </c>
      <c r="N13033" s="9" t="s">
        <v>20</v>
      </c>
      <c r="O13033" s="6" t="str">
        <f>HYPERLINK("https://pbs.twimg.com/profile_images/962471262747529216/Uo8lOkRJ_normal.jpg","View")</f>
        <v>View</v>
      </c>
      <c r="P13033" s="7"/>
    </row>
    <row r="13034" spans="1:16">
      <c r="A13034" s="3">
        <v>44204.01798611111</v>
      </c>
      <c r="B13034" s="4" t="str">
        <f>HYPERLINK("https://twitter.com/petrogustavo","@petrogustavo")</f>
        <v>@petrogustavo</v>
      </c>
      <c r="C13034" s="5" t="s">
        <v>16</v>
      </c>
      <c r="D13034" s="5" t="s">
        <v>12538</v>
      </c>
      <c r="E13034" s="6" t="str">
        <f>HYPERLINK("https://twitter.com/petrogustavo/status/1347255659948105729","1347255659948105729")</f>
        <v>1347255659948105729</v>
      </c>
      <c r="F13034" s="7" t="s">
        <v>17</v>
      </c>
      <c r="G13034" s="7">
        <v>4031307</v>
      </c>
      <c r="H13034" s="7">
        <v>2470</v>
      </c>
      <c r="I13034" s="7">
        <v>144</v>
      </c>
      <c r="J13034" s="7">
        <v>0</v>
      </c>
      <c r="K13034" s="7" t="s">
        <v>18</v>
      </c>
      <c r="L13034" s="8">
        <v>39987.315405092595</v>
      </c>
      <c r="M13034" s="9" t="s">
        <v>19</v>
      </c>
      <c r="N13034" s="9" t="s">
        <v>20</v>
      </c>
      <c r="O13034" s="6" t="str">
        <f>HYPERLINK("https://pbs.twimg.com/profile_images/962471262747529216/Uo8lOkRJ_normal.jpg","View")</f>
        <v>View</v>
      </c>
      <c r="P13034" s="7"/>
    </row>
    <row r="13035" spans="1:16">
      <c r="A13035" s="3">
        <v>44204.020578703705</v>
      </c>
      <c r="B13035" s="4" t="str">
        <f>HYPERLINK("https://twitter.com/petrogustavo","@petrogustavo")</f>
        <v>@petrogustavo</v>
      </c>
      <c r="C13035" s="5" t="s">
        <v>16</v>
      </c>
      <c r="D13035" s="5" t="s">
        <v>12539</v>
      </c>
      <c r="E13035" s="6" t="str">
        <f>HYPERLINK("https://twitter.com/petrogustavo/status/1347256599556071428","1347256599556071428")</f>
        <v>1347256599556071428</v>
      </c>
      <c r="F13035" s="7" t="s">
        <v>17</v>
      </c>
      <c r="G13035" s="7">
        <v>4031307</v>
      </c>
      <c r="H13035" s="7">
        <v>2470</v>
      </c>
      <c r="I13035" s="7">
        <v>29</v>
      </c>
      <c r="J13035" s="7">
        <v>66</v>
      </c>
      <c r="K13035" s="7" t="s">
        <v>18</v>
      </c>
      <c r="L13035" s="8">
        <v>39987.315405092595</v>
      </c>
      <c r="M13035" s="9" t="s">
        <v>19</v>
      </c>
      <c r="N13035" s="9" t="s">
        <v>20</v>
      </c>
      <c r="O13035" s="6" t="str">
        <f>HYPERLINK("https://pbs.twimg.com/profile_images/962471262747529216/Uo8lOkRJ_normal.jpg","View")</f>
        <v>View</v>
      </c>
      <c r="P13035" s="7"/>
    </row>
    <row r="13036" spans="1:16">
      <c r="A13036" s="3">
        <v>44204.110833333332</v>
      </c>
      <c r="B13036" s="4" t="str">
        <f>HYPERLINK("https://twitter.com/petrogustavo","@petrogustavo")</f>
        <v>@petrogustavo</v>
      </c>
      <c r="C13036" s="5" t="s">
        <v>16</v>
      </c>
      <c r="D13036" s="5" t="s">
        <v>12540</v>
      </c>
      <c r="E13036" s="6" t="str">
        <f>HYPERLINK("https://twitter.com/petrogustavo/status/1347289304591200256","1347289304591200256")</f>
        <v>1347289304591200256</v>
      </c>
      <c r="F13036" s="7" t="s">
        <v>17</v>
      </c>
      <c r="G13036" s="7">
        <v>4031426</v>
      </c>
      <c r="H13036" s="7">
        <v>2470</v>
      </c>
      <c r="I13036" s="7">
        <v>169</v>
      </c>
      <c r="J13036" s="7">
        <v>574</v>
      </c>
      <c r="K13036" s="7" t="s">
        <v>18</v>
      </c>
      <c r="L13036" s="8">
        <v>39987.315405092595</v>
      </c>
      <c r="M13036" s="9" t="s">
        <v>19</v>
      </c>
      <c r="N13036" s="9" t="s">
        <v>20</v>
      </c>
      <c r="O13036" s="6" t="str">
        <f>HYPERLINK("https://pbs.twimg.com/profile_images/962471262747529216/Uo8lOkRJ_normal.jpg","View")</f>
        <v>View</v>
      </c>
      <c r="P13036" s="7"/>
    </row>
    <row r="13037" spans="1:16">
      <c r="A13037" s="3">
        <v>44204.118148148147</v>
      </c>
      <c r="B13037" s="4" t="str">
        <f>HYPERLINK("https://twitter.com/petrogustavo","@petrogustavo")</f>
        <v>@petrogustavo</v>
      </c>
      <c r="C13037" s="5" t="s">
        <v>16</v>
      </c>
      <c r="D13037" s="5" t="s">
        <v>12541</v>
      </c>
      <c r="E13037" s="6" t="str">
        <f>HYPERLINK("https://twitter.com/petrogustavo/status/1347291954669883394","1347291954669883394")</f>
        <v>1347291954669883394</v>
      </c>
      <c r="F13037" s="7" t="s">
        <v>17</v>
      </c>
      <c r="G13037" s="7">
        <v>4031426</v>
      </c>
      <c r="H13037" s="7">
        <v>2470</v>
      </c>
      <c r="I13037" s="7">
        <v>1289</v>
      </c>
      <c r="J13037" s="7">
        <v>0</v>
      </c>
      <c r="K13037" s="7" t="s">
        <v>18</v>
      </c>
      <c r="L13037" s="8">
        <v>39987.315405092595</v>
      </c>
      <c r="M13037" s="9" t="s">
        <v>19</v>
      </c>
      <c r="N13037" s="9" t="s">
        <v>20</v>
      </c>
      <c r="O13037" s="6" t="str">
        <f>HYPERLINK("https://pbs.twimg.com/profile_images/962471262747529216/Uo8lOkRJ_normal.jpg","View")</f>
        <v>View</v>
      </c>
      <c r="P13037" s="7"/>
    </row>
    <row r="13038" spans="1:16">
      <c r="A13038" s="3">
        <v>44204.122384259259</v>
      </c>
      <c r="B13038" s="4" t="str">
        <f>HYPERLINK("https://twitter.com/petrogustavo","@petrogustavo")</f>
        <v>@petrogustavo</v>
      </c>
      <c r="C13038" s="5" t="s">
        <v>16</v>
      </c>
      <c r="D13038" s="5" t="s">
        <v>12542</v>
      </c>
      <c r="E13038" s="6" t="str">
        <f>HYPERLINK("https://twitter.com/petrogustavo/status/1347293492633104386","1347293492633104386")</f>
        <v>1347293492633104386</v>
      </c>
      <c r="F13038" s="7" t="s">
        <v>17</v>
      </c>
      <c r="G13038" s="7">
        <v>4031426</v>
      </c>
      <c r="H13038" s="7">
        <v>2470</v>
      </c>
      <c r="I13038" s="7">
        <v>40</v>
      </c>
      <c r="J13038" s="7">
        <v>129</v>
      </c>
      <c r="K13038" s="7" t="s">
        <v>18</v>
      </c>
      <c r="L13038" s="8">
        <v>39987.315405092595</v>
      </c>
      <c r="M13038" s="9" t="s">
        <v>19</v>
      </c>
      <c r="N13038" s="9" t="s">
        <v>20</v>
      </c>
      <c r="O13038" s="6" t="str">
        <f>HYPERLINK("https://pbs.twimg.com/profile_images/962471262747529216/Uo8lOkRJ_normal.jpg","View")</f>
        <v>View</v>
      </c>
      <c r="P13038" s="7"/>
    </row>
    <row r="13039" spans="1:16">
      <c r="A13039" s="3">
        <v>44204.669270833328</v>
      </c>
      <c r="B13039" s="4" t="str">
        <f>HYPERLINK("https://twitter.com/petrogustavo","@petrogustavo")</f>
        <v>@petrogustavo</v>
      </c>
      <c r="C13039" s="5" t="s">
        <v>16</v>
      </c>
      <c r="D13039" s="5" t="s">
        <v>12543</v>
      </c>
      <c r="E13039" s="6" t="str">
        <f>HYPERLINK("https://twitter.com/petrogustavo/status/1347491674738618371","1347491674738618371")</f>
        <v>1347491674738618371</v>
      </c>
      <c r="F13039" s="7" t="s">
        <v>17</v>
      </c>
      <c r="G13039" s="7">
        <v>4031912</v>
      </c>
      <c r="H13039" s="7">
        <v>2470</v>
      </c>
      <c r="I13039" s="7">
        <v>45</v>
      </c>
      <c r="J13039" s="7">
        <v>0</v>
      </c>
      <c r="K13039" s="7" t="s">
        <v>18</v>
      </c>
      <c r="L13039" s="8">
        <v>39987.315405092595</v>
      </c>
      <c r="M13039" s="9" t="s">
        <v>19</v>
      </c>
      <c r="N13039" s="9" t="s">
        <v>20</v>
      </c>
      <c r="O13039" s="6" t="str">
        <f>HYPERLINK("https://pbs.twimg.com/profile_images/962471262747529216/Uo8lOkRJ_normal.jpg","View")</f>
        <v>View</v>
      </c>
      <c r="P13039" s="7"/>
    </row>
    <row r="13040" spans="1:16">
      <c r="A13040" s="3">
        <v>44204.672534722224</v>
      </c>
      <c r="B13040" s="4" t="str">
        <f>HYPERLINK("https://twitter.com/petrogustavo","@petrogustavo")</f>
        <v>@petrogustavo</v>
      </c>
      <c r="C13040" s="5" t="s">
        <v>16</v>
      </c>
      <c r="D13040" s="5" t="s">
        <v>12544</v>
      </c>
      <c r="E13040" s="6" t="str">
        <f>HYPERLINK("https://twitter.com/petrogustavo/status/1347492859780493312","1347492859780493312")</f>
        <v>1347492859780493312</v>
      </c>
      <c r="F13040" s="7" t="s">
        <v>17</v>
      </c>
      <c r="G13040" s="7">
        <v>4031912</v>
      </c>
      <c r="H13040" s="7">
        <v>2470</v>
      </c>
      <c r="I13040" s="7">
        <v>74</v>
      </c>
      <c r="J13040" s="7">
        <v>182</v>
      </c>
      <c r="K13040" s="7" t="s">
        <v>18</v>
      </c>
      <c r="L13040" s="8">
        <v>39987.315405092595</v>
      </c>
      <c r="M13040" s="9" t="s">
        <v>19</v>
      </c>
      <c r="N13040" s="9" t="s">
        <v>20</v>
      </c>
      <c r="O13040" s="6" t="str">
        <f>HYPERLINK("https://pbs.twimg.com/profile_images/962471262747529216/Uo8lOkRJ_normal.jpg","View")</f>
        <v>View</v>
      </c>
      <c r="P13040" s="7"/>
    </row>
    <row r="13041" spans="1:16">
      <c r="A13041" s="3">
        <v>44205.074618055558</v>
      </c>
      <c r="B13041" s="4" t="str">
        <f>HYPERLINK("https://twitter.com/petrogustavo","@petrogustavo")</f>
        <v>@petrogustavo</v>
      </c>
      <c r="C13041" s="5" t="s">
        <v>16</v>
      </c>
      <c r="D13041" s="5" t="s">
        <v>12545</v>
      </c>
      <c r="E13041" s="6" t="str">
        <f>HYPERLINK("https://twitter.com/petrogustavo/status/1347638568689299464","1347638568689299464")</f>
        <v>1347638568689299464</v>
      </c>
      <c r="F13041" s="7" t="s">
        <v>17</v>
      </c>
      <c r="G13041" s="7">
        <v>4032430</v>
      </c>
      <c r="H13041" s="7">
        <v>2470</v>
      </c>
      <c r="I13041" s="7">
        <v>133</v>
      </c>
      <c r="J13041" s="7">
        <v>394</v>
      </c>
      <c r="K13041" s="7" t="s">
        <v>18</v>
      </c>
      <c r="L13041" s="8">
        <v>39987.315405092595</v>
      </c>
      <c r="M13041" s="9" t="s">
        <v>19</v>
      </c>
      <c r="N13041" s="9" t="s">
        <v>20</v>
      </c>
      <c r="O13041" s="6" t="str">
        <f>HYPERLINK("https://pbs.twimg.com/profile_images/962471262747529216/Uo8lOkRJ_normal.jpg","View")</f>
        <v>View</v>
      </c>
      <c r="P13041" s="7"/>
    </row>
    <row r="13042" spans="1:16">
      <c r="A13042" s="3">
        <v>44205.870034722218</v>
      </c>
      <c r="B13042" s="4" t="str">
        <f>HYPERLINK("https://twitter.com/petrogustavo","@petrogustavo")</f>
        <v>@petrogustavo</v>
      </c>
      <c r="C13042" s="5" t="s">
        <v>16</v>
      </c>
      <c r="D13042" s="5" t="s">
        <v>12546</v>
      </c>
      <c r="E13042" s="6" t="str">
        <f>HYPERLINK("https://twitter.com/petrogustavo/status/1347926817949233153","1347926817949233153")</f>
        <v>1347926817949233153</v>
      </c>
      <c r="F13042" s="7" t="s">
        <v>17</v>
      </c>
      <c r="G13042" s="7">
        <v>4033292</v>
      </c>
      <c r="H13042" s="7">
        <v>2471</v>
      </c>
      <c r="I13042" s="7">
        <v>220</v>
      </c>
      <c r="J13042" s="7">
        <v>740</v>
      </c>
      <c r="K13042" s="7" t="s">
        <v>18</v>
      </c>
      <c r="L13042" s="8">
        <v>39987.315405092595</v>
      </c>
      <c r="M13042" s="9" t="s">
        <v>19</v>
      </c>
      <c r="N13042" s="9" t="s">
        <v>20</v>
      </c>
      <c r="O13042" s="6" t="str">
        <f>HYPERLINK("https://pbs.twimg.com/profile_images/962471262747529216/Uo8lOkRJ_normal.jpg","View")</f>
        <v>View</v>
      </c>
      <c r="P13042" s="7"/>
    </row>
    <row r="13043" spans="1:16">
      <c r="A13043" s="3">
        <v>44205.872939814813</v>
      </c>
      <c r="B13043" s="4" t="str">
        <f>HYPERLINK("https://twitter.com/petrogustavo","@petrogustavo")</f>
        <v>@petrogustavo</v>
      </c>
      <c r="C13043" s="5" t="s">
        <v>16</v>
      </c>
      <c r="D13043" s="5" t="s">
        <v>12547</v>
      </c>
      <c r="E13043" s="6" t="str">
        <f>HYPERLINK("https://twitter.com/petrogustavo/status/1347927871390670854","1347927871390670854")</f>
        <v>1347927871390670854</v>
      </c>
      <c r="F13043" s="7" t="s">
        <v>17</v>
      </c>
      <c r="G13043" s="7">
        <v>4033292</v>
      </c>
      <c r="H13043" s="7">
        <v>2471</v>
      </c>
      <c r="I13043" s="7">
        <v>817</v>
      </c>
      <c r="J13043" s="7">
        <v>0</v>
      </c>
      <c r="K13043" s="7" t="s">
        <v>18</v>
      </c>
      <c r="L13043" s="8">
        <v>39987.315405092595</v>
      </c>
      <c r="M13043" s="9" t="s">
        <v>19</v>
      </c>
      <c r="N13043" s="9" t="s">
        <v>20</v>
      </c>
      <c r="O13043" s="6" t="str">
        <f>HYPERLINK("https://pbs.twimg.com/profile_images/962471262747529216/Uo8lOkRJ_normal.jpg","View")</f>
        <v>View</v>
      </c>
      <c r="P13043" s="7"/>
    </row>
    <row r="13044" spans="1:16">
      <c r="A13044" s="3">
        <v>44205.87300925926</v>
      </c>
      <c r="B13044" s="4" t="str">
        <f>HYPERLINK("https://twitter.com/petrogustavo","@petrogustavo")</f>
        <v>@petrogustavo</v>
      </c>
      <c r="C13044" s="5" t="s">
        <v>16</v>
      </c>
      <c r="D13044" s="5" t="s">
        <v>12548</v>
      </c>
      <c r="E13044" s="6" t="str">
        <f>HYPERLINK("https://twitter.com/petrogustavo/status/1347927895474319360","1347927895474319360")</f>
        <v>1347927895474319360</v>
      </c>
      <c r="F13044" s="7" t="s">
        <v>17</v>
      </c>
      <c r="G13044" s="7">
        <v>4033292</v>
      </c>
      <c r="H13044" s="7">
        <v>2471</v>
      </c>
      <c r="I13044" s="7">
        <v>160</v>
      </c>
      <c r="J13044" s="7">
        <v>0</v>
      </c>
      <c r="K13044" s="7" t="s">
        <v>18</v>
      </c>
      <c r="L13044" s="8">
        <v>39987.315405092595</v>
      </c>
      <c r="M13044" s="9" t="s">
        <v>19</v>
      </c>
      <c r="N13044" s="9" t="s">
        <v>20</v>
      </c>
      <c r="O13044" s="6" t="str">
        <f>HYPERLINK("https://pbs.twimg.com/profile_images/962471262747529216/Uo8lOkRJ_normal.jpg","View")</f>
        <v>View</v>
      </c>
      <c r="P13044" s="7"/>
    </row>
    <row r="13045" spans="1:16">
      <c r="A13045" s="3">
        <v>44205.874664351853</v>
      </c>
      <c r="B13045" s="4" t="str">
        <f>HYPERLINK("https://twitter.com/petrogustavo","@petrogustavo")</f>
        <v>@petrogustavo</v>
      </c>
      <c r="C13045" s="5" t="s">
        <v>16</v>
      </c>
      <c r="D13045" s="5" t="s">
        <v>12549</v>
      </c>
      <c r="E13045" s="6" t="str">
        <f>HYPERLINK("https://twitter.com/petrogustavo/status/1347928495113048067","1347928495113048067")</f>
        <v>1347928495113048067</v>
      </c>
      <c r="F13045" s="7" t="s">
        <v>17</v>
      </c>
      <c r="G13045" s="7">
        <v>4033292</v>
      </c>
      <c r="H13045" s="7">
        <v>2471</v>
      </c>
      <c r="I13045" s="7">
        <v>83</v>
      </c>
      <c r="J13045" s="7">
        <v>227</v>
      </c>
      <c r="K13045" s="7" t="s">
        <v>18</v>
      </c>
      <c r="L13045" s="8">
        <v>39987.315405092595</v>
      </c>
      <c r="M13045" s="9" t="s">
        <v>19</v>
      </c>
      <c r="N13045" s="9" t="s">
        <v>20</v>
      </c>
      <c r="O13045" s="6" t="str">
        <f>HYPERLINK("https://pbs.twimg.com/profile_images/962471262747529216/Uo8lOkRJ_normal.jpg","View")</f>
        <v>View</v>
      </c>
      <c r="P13045" s="7"/>
    </row>
    <row r="13046" spans="1:16">
      <c r="A13046" s="3">
        <v>44205.890370370369</v>
      </c>
      <c r="B13046" s="4" t="str">
        <f>HYPERLINK("https://twitter.com/petrogustavo","@petrogustavo")</f>
        <v>@petrogustavo</v>
      </c>
      <c r="C13046" s="5" t="s">
        <v>16</v>
      </c>
      <c r="D13046" s="5" t="s">
        <v>12550</v>
      </c>
      <c r="E13046" s="6" t="str">
        <f>HYPERLINK("https://twitter.com/petrogustavo/status/1347934188088004610","1347934188088004610")</f>
        <v>1347934188088004610</v>
      </c>
      <c r="F13046" s="7" t="s">
        <v>17</v>
      </c>
      <c r="G13046" s="7">
        <v>4033318</v>
      </c>
      <c r="H13046" s="7">
        <v>2471</v>
      </c>
      <c r="I13046" s="7">
        <v>141</v>
      </c>
      <c r="J13046" s="7">
        <v>324</v>
      </c>
      <c r="K13046" s="7" t="s">
        <v>18</v>
      </c>
      <c r="L13046" s="8">
        <v>39987.315405092595</v>
      </c>
      <c r="M13046" s="9" t="s">
        <v>19</v>
      </c>
      <c r="N13046" s="9" t="s">
        <v>20</v>
      </c>
      <c r="O13046" s="6" t="str">
        <f>HYPERLINK("https://pbs.twimg.com/profile_images/962471262747529216/Uo8lOkRJ_normal.jpg","View")</f>
        <v>View</v>
      </c>
      <c r="P13046" s="7"/>
    </row>
    <row r="13047" spans="1:16">
      <c r="A13047" s="3">
        <v>44206.028657407413</v>
      </c>
      <c r="B13047" s="4" t="str">
        <f>HYPERLINK("https://twitter.com/petrogustavo","@petrogustavo")</f>
        <v>@petrogustavo</v>
      </c>
      <c r="C13047" s="5" t="s">
        <v>16</v>
      </c>
      <c r="D13047" s="5" t="s">
        <v>12551</v>
      </c>
      <c r="E13047" s="6" t="str">
        <f>HYPERLINK("https://twitter.com/petrogustavo/status/1347984300084490251","1347984300084490251")</f>
        <v>1347984300084490251</v>
      </c>
      <c r="F13047" s="7" t="s">
        <v>17</v>
      </c>
      <c r="G13047" s="7">
        <v>4033538</v>
      </c>
      <c r="H13047" s="7">
        <v>2471</v>
      </c>
      <c r="I13047" s="7">
        <v>50</v>
      </c>
      <c r="J13047" s="7">
        <v>0</v>
      </c>
      <c r="K13047" s="7" t="s">
        <v>18</v>
      </c>
      <c r="L13047" s="8">
        <v>39987.315405092595</v>
      </c>
      <c r="M13047" s="9" t="s">
        <v>19</v>
      </c>
      <c r="N13047" s="9" t="s">
        <v>20</v>
      </c>
      <c r="O13047" s="6" t="str">
        <f>HYPERLINK("https://pbs.twimg.com/profile_images/962471262747529216/Uo8lOkRJ_normal.jpg","View")</f>
        <v>View</v>
      </c>
      <c r="P13047" s="7"/>
    </row>
    <row r="13048" spans="1:16">
      <c r="A13048" s="3">
        <v>44206.033842592587</v>
      </c>
      <c r="B13048" s="4" t="str">
        <f>HYPERLINK("https://twitter.com/petrogustavo","@petrogustavo")</f>
        <v>@petrogustavo</v>
      </c>
      <c r="C13048" s="5" t="s">
        <v>16</v>
      </c>
      <c r="D13048" s="5" t="s">
        <v>12552</v>
      </c>
      <c r="E13048" s="6" t="str">
        <f>HYPERLINK("https://twitter.com/petrogustavo/status/1347986179002662914","1347986179002662914")</f>
        <v>1347986179002662914</v>
      </c>
      <c r="F13048" s="7" t="s">
        <v>17</v>
      </c>
      <c r="G13048" s="7">
        <v>4033567</v>
      </c>
      <c r="H13048" s="7">
        <v>2471</v>
      </c>
      <c r="I13048" s="7">
        <v>134</v>
      </c>
      <c r="J13048" s="7">
        <v>376</v>
      </c>
      <c r="K13048" s="7" t="s">
        <v>18</v>
      </c>
      <c r="L13048" s="8">
        <v>39987.315405092595</v>
      </c>
      <c r="M13048" s="9" t="s">
        <v>19</v>
      </c>
      <c r="N13048" s="9" t="s">
        <v>20</v>
      </c>
      <c r="O13048" s="6" t="str">
        <f>HYPERLINK("https://pbs.twimg.com/profile_images/962471262747529216/Uo8lOkRJ_normal.jpg","View")</f>
        <v>View</v>
      </c>
      <c r="P13048" s="7"/>
    </row>
    <row r="13049" spans="1:16">
      <c r="A13049" s="3">
        <v>44206.067002314812</v>
      </c>
      <c r="B13049" s="4" t="str">
        <f>HYPERLINK("https://twitter.com/petrogustavo","@petrogustavo")</f>
        <v>@petrogustavo</v>
      </c>
      <c r="C13049" s="5" t="s">
        <v>16</v>
      </c>
      <c r="D13049" s="5" t="s">
        <v>12553</v>
      </c>
      <c r="E13049" s="6" t="str">
        <f>HYPERLINK("https://twitter.com/petrogustavo/status/1347998196866437121","1347998196866437121")</f>
        <v>1347998196866437121</v>
      </c>
      <c r="F13049" s="7" t="s">
        <v>17</v>
      </c>
      <c r="G13049" s="7">
        <v>4033588</v>
      </c>
      <c r="H13049" s="7">
        <v>2471</v>
      </c>
      <c r="I13049" s="7">
        <v>100</v>
      </c>
      <c r="J13049" s="7">
        <v>196</v>
      </c>
      <c r="K13049" s="7" t="s">
        <v>18</v>
      </c>
      <c r="L13049" s="8">
        <v>39987.315405092595</v>
      </c>
      <c r="M13049" s="9" t="s">
        <v>19</v>
      </c>
      <c r="N13049" s="9" t="s">
        <v>20</v>
      </c>
      <c r="O13049" s="6" t="str">
        <f>HYPERLINK("https://pbs.twimg.com/profile_images/962471262747529216/Uo8lOkRJ_normal.jpg","View")</f>
        <v>View</v>
      </c>
      <c r="P13049" s="7"/>
    </row>
    <row r="13050" spans="1:16">
      <c r="A13050" s="3">
        <v>44206.078148148154</v>
      </c>
      <c r="B13050" s="4" t="str">
        <f>HYPERLINK("https://twitter.com/petrogustavo","@petrogustavo")</f>
        <v>@petrogustavo</v>
      </c>
      <c r="C13050" s="5" t="s">
        <v>16</v>
      </c>
      <c r="D13050" s="5" t="s">
        <v>12554</v>
      </c>
      <c r="E13050" s="6" t="str">
        <f>HYPERLINK("https://twitter.com/petrogustavo/status/1348002238359343105","1348002238359343105")</f>
        <v>1348002238359343105</v>
      </c>
      <c r="F13050" s="7" t="s">
        <v>17</v>
      </c>
      <c r="G13050" s="7">
        <v>4033617</v>
      </c>
      <c r="H13050" s="7">
        <v>2471</v>
      </c>
      <c r="I13050" s="7">
        <v>93</v>
      </c>
      <c r="J13050" s="7">
        <v>257</v>
      </c>
      <c r="K13050" s="7" t="s">
        <v>18</v>
      </c>
      <c r="L13050" s="8">
        <v>39987.315405092595</v>
      </c>
      <c r="M13050" s="9" t="s">
        <v>19</v>
      </c>
      <c r="N13050" s="9" t="s">
        <v>20</v>
      </c>
      <c r="O13050" s="6" t="str">
        <f>HYPERLINK("https://pbs.twimg.com/profile_images/962471262747529216/Uo8lOkRJ_normal.jpg","View")</f>
        <v>View</v>
      </c>
      <c r="P13050" s="7"/>
    </row>
    <row r="13051" spans="1:16">
      <c r="A13051" s="3">
        <v>44206.078171296293</v>
      </c>
      <c r="B13051" s="4" t="str">
        <f>HYPERLINK("https://twitter.com/petrogustavo","@petrogustavo")</f>
        <v>@petrogustavo</v>
      </c>
      <c r="C13051" s="5" t="s">
        <v>16</v>
      </c>
      <c r="D13051" s="5" t="s">
        <v>12555</v>
      </c>
      <c r="E13051" s="6" t="str">
        <f>HYPERLINK("https://twitter.com/petrogustavo/status/1348002243128258561","1348002243128258561")</f>
        <v>1348002243128258561</v>
      </c>
      <c r="F13051" s="7" t="s">
        <v>17</v>
      </c>
      <c r="G13051" s="7">
        <v>4033617</v>
      </c>
      <c r="H13051" s="7">
        <v>2471</v>
      </c>
      <c r="I13051" s="7">
        <v>9</v>
      </c>
      <c r="J13051" s="7">
        <v>35</v>
      </c>
      <c r="K13051" s="7" t="s">
        <v>18</v>
      </c>
      <c r="L13051" s="8">
        <v>39987.315405092595</v>
      </c>
      <c r="M13051" s="9" t="s">
        <v>19</v>
      </c>
      <c r="N13051" s="9" t="s">
        <v>20</v>
      </c>
      <c r="O13051" s="6" t="str">
        <f>HYPERLINK("https://pbs.twimg.com/profile_images/962471262747529216/Uo8lOkRJ_normal.jpg","View")</f>
        <v>View</v>
      </c>
      <c r="P13051" s="7"/>
    </row>
    <row r="13052" spans="1:16">
      <c r="A13052" s="3">
        <v>44206.078171296293</v>
      </c>
      <c r="B13052" s="4" t="str">
        <f>HYPERLINK("https://twitter.com/petrogustavo","@petrogustavo")</f>
        <v>@petrogustavo</v>
      </c>
      <c r="C13052" s="5" t="s">
        <v>16</v>
      </c>
      <c r="D13052" s="5" t="s">
        <v>12556</v>
      </c>
      <c r="E13052" s="6" t="str">
        <f>HYPERLINK("https://twitter.com/petrogustavo/status/1348002246613721089","1348002246613721089")</f>
        <v>1348002246613721089</v>
      </c>
      <c r="F13052" s="7" t="s">
        <v>17</v>
      </c>
      <c r="G13052" s="7">
        <v>4033617</v>
      </c>
      <c r="H13052" s="7">
        <v>2471</v>
      </c>
      <c r="I13052" s="7">
        <v>38</v>
      </c>
      <c r="J13052" s="7">
        <v>123</v>
      </c>
      <c r="K13052" s="7" t="s">
        <v>18</v>
      </c>
      <c r="L13052" s="8">
        <v>39987.315405092595</v>
      </c>
      <c r="M13052" s="9" t="s">
        <v>19</v>
      </c>
      <c r="N13052" s="9" t="s">
        <v>20</v>
      </c>
      <c r="O13052" s="6" t="str">
        <f>HYPERLINK("https://pbs.twimg.com/profile_images/962471262747529216/Uo8lOkRJ_normal.jpg","View")</f>
        <v>View</v>
      </c>
      <c r="P13052" s="7"/>
    </row>
    <row r="13053" spans="1:16">
      <c r="A13053" s="3">
        <v>44206.078194444446</v>
      </c>
      <c r="B13053" s="4" t="str">
        <f>HYPERLINK("https://twitter.com/petrogustavo","@petrogustavo")</f>
        <v>@petrogustavo</v>
      </c>
      <c r="C13053" s="5" t="s">
        <v>16</v>
      </c>
      <c r="D13053" s="5" t="s">
        <v>12557</v>
      </c>
      <c r="E13053" s="6" t="str">
        <f>HYPERLINK("https://twitter.com/petrogustavo/status/1348002252276035584","1348002252276035584")</f>
        <v>1348002252276035584</v>
      </c>
      <c r="F13053" s="7" t="s">
        <v>17</v>
      </c>
      <c r="G13053" s="7">
        <v>4033617</v>
      </c>
      <c r="H13053" s="7">
        <v>2471</v>
      </c>
      <c r="I13053" s="7">
        <v>35</v>
      </c>
      <c r="J13053" s="7">
        <v>124</v>
      </c>
      <c r="K13053" s="7" t="s">
        <v>18</v>
      </c>
      <c r="L13053" s="8">
        <v>39987.315405092595</v>
      </c>
      <c r="M13053" s="9" t="s">
        <v>19</v>
      </c>
      <c r="N13053" s="9" t="s">
        <v>20</v>
      </c>
      <c r="O13053" s="6" t="str">
        <f>HYPERLINK("https://pbs.twimg.com/profile_images/962471262747529216/Uo8lOkRJ_normal.jpg","View")</f>
        <v>View</v>
      </c>
      <c r="P13053" s="7"/>
    </row>
    <row r="13054" spans="1:16">
      <c r="A13054" s="3">
        <v>44206.911458333328</v>
      </c>
      <c r="B13054" s="4" t="str">
        <f>HYPERLINK("https://twitter.com/petrogustavo","@petrogustavo")</f>
        <v>@petrogustavo</v>
      </c>
      <c r="C13054" s="5" t="s">
        <v>16</v>
      </c>
      <c r="D13054" s="5" t="s">
        <v>12558</v>
      </c>
      <c r="E13054" s="6" t="str">
        <f>HYPERLINK("https://twitter.com/petrogustavo/status/1348304218407526405","1348304218407526405")</f>
        <v>1348304218407526405</v>
      </c>
      <c r="F13054" s="7" t="s">
        <v>17</v>
      </c>
      <c r="G13054" s="7">
        <v>4034284</v>
      </c>
      <c r="H13054" s="7">
        <v>2471</v>
      </c>
      <c r="I13054" s="7">
        <v>72</v>
      </c>
      <c r="J13054" s="7">
        <v>191</v>
      </c>
      <c r="K13054" s="7" t="s">
        <v>18</v>
      </c>
      <c r="L13054" s="8">
        <v>39987.315405092595</v>
      </c>
      <c r="M13054" s="9" t="s">
        <v>19</v>
      </c>
      <c r="N13054" s="9" t="s">
        <v>20</v>
      </c>
      <c r="O13054" s="6" t="str">
        <f>HYPERLINK("https://pbs.twimg.com/profile_images/962471262747529216/Uo8lOkRJ_normal.jpg","View")</f>
        <v>View</v>
      </c>
      <c r="P13054" s="7"/>
    </row>
    <row r="13055" spans="1:16">
      <c r="A13055" s="3">
        <v>44206.931874999995</v>
      </c>
      <c r="B13055" s="4" t="str">
        <f>HYPERLINK("https://twitter.com/petrogustavo","@petrogustavo")</f>
        <v>@petrogustavo</v>
      </c>
      <c r="C13055" s="5" t="s">
        <v>16</v>
      </c>
      <c r="D13055" s="5" t="s">
        <v>12559</v>
      </c>
      <c r="E13055" s="6" t="str">
        <f>HYPERLINK("https://twitter.com/petrogustavo/status/1348311616266371072","1348311616266371072")</f>
        <v>1348311616266371072</v>
      </c>
      <c r="F13055" s="7" t="s">
        <v>17</v>
      </c>
      <c r="G13055" s="7">
        <v>4034293</v>
      </c>
      <c r="H13055" s="7">
        <v>2470</v>
      </c>
      <c r="I13055" s="7">
        <v>188</v>
      </c>
      <c r="J13055" s="7">
        <v>565</v>
      </c>
      <c r="K13055" s="7" t="s">
        <v>18</v>
      </c>
      <c r="L13055" s="8">
        <v>39987.315405092595</v>
      </c>
      <c r="M13055" s="9" t="s">
        <v>19</v>
      </c>
      <c r="N13055" s="9" t="s">
        <v>20</v>
      </c>
      <c r="O13055" s="6" t="str">
        <f>HYPERLINK("https://pbs.twimg.com/profile_images/962471262747529216/Uo8lOkRJ_normal.jpg","View")</f>
        <v>View</v>
      </c>
      <c r="P13055" s="7"/>
    </row>
    <row r="13056" spans="1:16">
      <c r="A13056" s="3">
        <v>44207.005312499998</v>
      </c>
      <c r="B13056" s="4" t="str">
        <f>HYPERLINK("https://twitter.com/petrogustavo","@petrogustavo")</f>
        <v>@petrogustavo</v>
      </c>
      <c r="C13056" s="5" t="s">
        <v>16</v>
      </c>
      <c r="D13056" s="5" t="s">
        <v>12560</v>
      </c>
      <c r="E13056" s="6" t="str">
        <f>HYPERLINK("https://twitter.com/petrogustavo/status/1348338230769410051","1348338230769410051")</f>
        <v>1348338230769410051</v>
      </c>
      <c r="F13056" s="7" t="s">
        <v>17</v>
      </c>
      <c r="G13056" s="7">
        <v>4034386</v>
      </c>
      <c r="H13056" s="7">
        <v>2470</v>
      </c>
      <c r="I13056" s="7">
        <v>58</v>
      </c>
      <c r="J13056" s="7">
        <v>0</v>
      </c>
      <c r="K13056" s="7" t="s">
        <v>18</v>
      </c>
      <c r="L13056" s="8">
        <v>39987.315405092595</v>
      </c>
      <c r="M13056" s="9" t="s">
        <v>19</v>
      </c>
      <c r="N13056" s="9" t="s">
        <v>20</v>
      </c>
      <c r="O13056" s="6" t="str">
        <f>HYPERLINK("https://pbs.twimg.com/profile_images/962471262747529216/Uo8lOkRJ_normal.jpg","View")</f>
        <v>View</v>
      </c>
      <c r="P13056" s="7"/>
    </row>
    <row r="13057" spans="1:16">
      <c r="A13057" s="3">
        <v>44207.016203703708</v>
      </c>
      <c r="B13057" s="4" t="str">
        <f>HYPERLINK("https://twitter.com/petrogustavo","@petrogustavo")</f>
        <v>@petrogustavo</v>
      </c>
      <c r="C13057" s="5" t="s">
        <v>16</v>
      </c>
      <c r="D13057" s="5" t="s">
        <v>12561</v>
      </c>
      <c r="E13057" s="6" t="str">
        <f>HYPERLINK("https://twitter.com/petrogustavo/status/1348342178360287237","1348342178360287237")</f>
        <v>1348342178360287237</v>
      </c>
      <c r="F13057" s="7" t="s">
        <v>17</v>
      </c>
      <c r="G13057" s="7">
        <v>4034409</v>
      </c>
      <c r="H13057" s="7">
        <v>2470</v>
      </c>
      <c r="I13057" s="7">
        <v>146</v>
      </c>
      <c r="J13057" s="7">
        <v>327</v>
      </c>
      <c r="K13057" s="7" t="s">
        <v>18</v>
      </c>
      <c r="L13057" s="8">
        <v>39987.315405092595</v>
      </c>
      <c r="M13057" s="9" t="s">
        <v>19</v>
      </c>
      <c r="N13057" s="9" t="s">
        <v>20</v>
      </c>
      <c r="O13057" s="6" t="str">
        <f>HYPERLINK("https://pbs.twimg.com/profile_images/962471262747529216/Uo8lOkRJ_normal.jpg","View")</f>
        <v>View</v>
      </c>
      <c r="P13057" s="7"/>
    </row>
    <row r="13058" spans="1:16">
      <c r="A13058" s="3">
        <v>44207.025312500002</v>
      </c>
      <c r="B13058" s="4" t="str">
        <f>HYPERLINK("https://twitter.com/petrogustavo","@petrogustavo")</f>
        <v>@petrogustavo</v>
      </c>
      <c r="C13058" s="5" t="s">
        <v>16</v>
      </c>
      <c r="D13058" s="5" t="s">
        <v>12562</v>
      </c>
      <c r="E13058" s="6" t="str">
        <f>HYPERLINK("https://twitter.com/petrogustavo/status/1348345477499138052","1348345477499138052")</f>
        <v>1348345477499138052</v>
      </c>
      <c r="F13058" s="7" t="s">
        <v>17</v>
      </c>
      <c r="G13058" s="7">
        <v>4034409</v>
      </c>
      <c r="H13058" s="7">
        <v>2470</v>
      </c>
      <c r="I13058" s="7">
        <v>68</v>
      </c>
      <c r="J13058" s="7">
        <v>121</v>
      </c>
      <c r="K13058" s="7" t="s">
        <v>18</v>
      </c>
      <c r="L13058" s="8">
        <v>39987.315405092595</v>
      </c>
      <c r="M13058" s="9" t="s">
        <v>19</v>
      </c>
      <c r="N13058" s="9" t="s">
        <v>20</v>
      </c>
      <c r="O13058" s="6" t="str">
        <f>HYPERLINK("https://pbs.twimg.com/profile_images/962471262747529216/Uo8lOkRJ_normal.jpg","View")</f>
        <v>View</v>
      </c>
      <c r="P13058" s="7"/>
    </row>
    <row r="13059" spans="1:16">
      <c r="A13059" s="3">
        <v>44207.026516203703</v>
      </c>
      <c r="B13059" s="4" t="str">
        <f>HYPERLINK("https://twitter.com/petrogustavo","@petrogustavo")</f>
        <v>@petrogustavo</v>
      </c>
      <c r="C13059" s="5" t="s">
        <v>16</v>
      </c>
      <c r="D13059" s="5" t="s">
        <v>12563</v>
      </c>
      <c r="E13059" s="6" t="str">
        <f>HYPERLINK("https://twitter.com/petrogustavo/status/1348345912188428289","1348345912188428289")</f>
        <v>1348345912188428289</v>
      </c>
      <c r="F13059" s="7" t="s">
        <v>17</v>
      </c>
      <c r="G13059" s="7">
        <v>4034409</v>
      </c>
      <c r="H13059" s="7">
        <v>2470</v>
      </c>
      <c r="I13059" s="7">
        <v>576</v>
      </c>
      <c r="J13059" s="7">
        <v>0</v>
      </c>
      <c r="K13059" s="7" t="s">
        <v>18</v>
      </c>
      <c r="L13059" s="8">
        <v>39987.315405092595</v>
      </c>
      <c r="M13059" s="9" t="s">
        <v>19</v>
      </c>
      <c r="N13059" s="9" t="s">
        <v>20</v>
      </c>
      <c r="O13059" s="6" t="str">
        <f>HYPERLINK("https://pbs.twimg.com/profile_images/962471262747529216/Uo8lOkRJ_normal.jpg","View")</f>
        <v>View</v>
      </c>
      <c r="P13059" s="7"/>
    </row>
    <row r="13060" spans="1:16">
      <c r="A13060" s="3">
        <v>44207.664444444439</v>
      </c>
      <c r="B13060" s="4" t="str">
        <f>HYPERLINK("https://twitter.com/petrogustavo","@petrogustavo")</f>
        <v>@petrogustavo</v>
      </c>
      <c r="C13060" s="5" t="s">
        <v>16</v>
      </c>
      <c r="D13060" s="5" t="s">
        <v>12564</v>
      </c>
      <c r="E13060" s="6" t="str">
        <f>HYPERLINK("https://twitter.com/petrogustavo/status/1348577091252531200","1348577091252531200")</f>
        <v>1348577091252531200</v>
      </c>
      <c r="F13060" s="7" t="s">
        <v>17</v>
      </c>
      <c r="G13060" s="7">
        <v>4034964</v>
      </c>
      <c r="H13060" s="7">
        <v>2473</v>
      </c>
      <c r="I13060" s="7">
        <v>36</v>
      </c>
      <c r="J13060" s="7">
        <v>109</v>
      </c>
      <c r="K13060" s="7" t="s">
        <v>18</v>
      </c>
      <c r="L13060" s="8">
        <v>39987.315405092595</v>
      </c>
      <c r="M13060" s="9" t="s">
        <v>19</v>
      </c>
      <c r="N13060" s="9" t="s">
        <v>20</v>
      </c>
      <c r="O13060" s="6" t="str">
        <f>HYPERLINK("https://pbs.twimg.com/profile_images/962471262747529216/Uo8lOkRJ_normal.jpg","View")</f>
        <v>View</v>
      </c>
      <c r="P13060" s="7"/>
    </row>
    <row r="13061" spans="1:16">
      <c r="A13061" s="3">
        <v>44207.664444444439</v>
      </c>
      <c r="B13061" s="4" t="str">
        <f>HYPERLINK("https://twitter.com/petrogustavo","@petrogustavo")</f>
        <v>@petrogustavo</v>
      </c>
      <c r="C13061" s="5" t="s">
        <v>16</v>
      </c>
      <c r="D13061" s="5" t="s">
        <v>12565</v>
      </c>
      <c r="E13061" s="6" t="str">
        <f>HYPERLINK("https://twitter.com/petrogustavo/status/1348577091370037248","1348577091370037248")</f>
        <v>1348577091370037248</v>
      </c>
      <c r="F13061" s="7" t="s">
        <v>17</v>
      </c>
      <c r="G13061" s="7">
        <v>4034964</v>
      </c>
      <c r="H13061" s="7">
        <v>2473</v>
      </c>
      <c r="I13061" s="7">
        <v>15</v>
      </c>
      <c r="J13061" s="7">
        <v>31</v>
      </c>
      <c r="K13061" s="7" t="s">
        <v>18</v>
      </c>
      <c r="L13061" s="8">
        <v>39987.315405092595</v>
      </c>
      <c r="M13061" s="9" t="s">
        <v>19</v>
      </c>
      <c r="N13061" s="9" t="s">
        <v>20</v>
      </c>
      <c r="O13061" s="6" t="str">
        <f>HYPERLINK("https://pbs.twimg.com/profile_images/962471262747529216/Uo8lOkRJ_normal.jpg","View")</f>
        <v>View</v>
      </c>
      <c r="P13061" s="7"/>
    </row>
    <row r="13062" spans="1:16">
      <c r="A13062" s="3">
        <v>44207.664456018523</v>
      </c>
      <c r="B13062" s="4" t="str">
        <f>HYPERLINK("https://twitter.com/petrogustavo","@petrogustavo")</f>
        <v>@petrogustavo</v>
      </c>
      <c r="C13062" s="5" t="s">
        <v>16</v>
      </c>
      <c r="D13062" s="5" t="s">
        <v>12566</v>
      </c>
      <c r="E13062" s="6" t="str">
        <f>HYPERLINK("https://twitter.com/petrogustavo/status/1348577093270040576","1348577093270040576")</f>
        <v>1348577093270040576</v>
      </c>
      <c r="F13062" s="7" t="s">
        <v>17</v>
      </c>
      <c r="G13062" s="7">
        <v>4034964</v>
      </c>
      <c r="H13062" s="7">
        <v>2473</v>
      </c>
      <c r="I13062" s="7">
        <v>6</v>
      </c>
      <c r="J13062" s="7">
        <v>19</v>
      </c>
      <c r="K13062" s="7" t="s">
        <v>18</v>
      </c>
      <c r="L13062" s="8">
        <v>39987.315405092595</v>
      </c>
      <c r="M13062" s="9" t="s">
        <v>19</v>
      </c>
      <c r="N13062" s="9" t="s">
        <v>20</v>
      </c>
      <c r="O13062" s="6" t="str">
        <f>HYPERLINK("https://pbs.twimg.com/profile_images/962471262747529216/Uo8lOkRJ_normal.jpg","View")</f>
        <v>View</v>
      </c>
      <c r="P13062" s="7"/>
    </row>
    <row r="13063" spans="1:16">
      <c r="A13063" s="3">
        <v>44207.664456018523</v>
      </c>
      <c r="B13063" s="4" t="str">
        <f>HYPERLINK("https://twitter.com/petrogustavo","@petrogustavo")</f>
        <v>@petrogustavo</v>
      </c>
      <c r="C13063" s="5" t="s">
        <v>16</v>
      </c>
      <c r="D13063" s="5" t="s">
        <v>12567</v>
      </c>
      <c r="E13063" s="6" t="str">
        <f>HYPERLINK("https://twitter.com/petrogustavo/status/1348577094788378625","1348577094788378625")</f>
        <v>1348577094788378625</v>
      </c>
      <c r="F13063" s="7" t="s">
        <v>17</v>
      </c>
      <c r="G13063" s="7">
        <v>4034964</v>
      </c>
      <c r="H13063" s="7">
        <v>2473</v>
      </c>
      <c r="I13063" s="7">
        <v>6</v>
      </c>
      <c r="J13063" s="7">
        <v>16</v>
      </c>
      <c r="K13063" s="7" t="s">
        <v>18</v>
      </c>
      <c r="L13063" s="8">
        <v>39987.315405092595</v>
      </c>
      <c r="M13063" s="9" t="s">
        <v>19</v>
      </c>
      <c r="N13063" s="9" t="s">
        <v>20</v>
      </c>
      <c r="O13063" s="6" t="str">
        <f>HYPERLINK("https://pbs.twimg.com/profile_images/962471262747529216/Uo8lOkRJ_normal.jpg","View")</f>
        <v>View</v>
      </c>
      <c r="P13063" s="7"/>
    </row>
    <row r="13064" spans="1:16">
      <c r="A13064" s="3">
        <v>44207.664456018523</v>
      </c>
      <c r="B13064" s="4" t="str">
        <f>HYPERLINK("https://twitter.com/petrogustavo","@petrogustavo")</f>
        <v>@petrogustavo</v>
      </c>
      <c r="C13064" s="5" t="s">
        <v>16</v>
      </c>
      <c r="D13064" s="5" t="s">
        <v>12568</v>
      </c>
      <c r="E13064" s="6" t="str">
        <f>HYPERLINK("https://twitter.com/petrogustavo/status/1348577096193470467","1348577096193470467")</f>
        <v>1348577096193470467</v>
      </c>
      <c r="F13064" s="7" t="s">
        <v>17</v>
      </c>
      <c r="G13064" s="7">
        <v>4034964</v>
      </c>
      <c r="H13064" s="7">
        <v>2473</v>
      </c>
      <c r="I13064" s="7">
        <v>6</v>
      </c>
      <c r="J13064" s="7">
        <v>18</v>
      </c>
      <c r="K13064" s="7" t="s">
        <v>18</v>
      </c>
      <c r="L13064" s="8">
        <v>39987.315405092595</v>
      </c>
      <c r="M13064" s="9" t="s">
        <v>19</v>
      </c>
      <c r="N13064" s="9" t="s">
        <v>20</v>
      </c>
      <c r="O13064" s="6" t="str">
        <f>HYPERLINK("https://pbs.twimg.com/profile_images/962471262747529216/Uo8lOkRJ_normal.jpg","View")</f>
        <v>View</v>
      </c>
      <c r="P13064" s="7"/>
    </row>
    <row r="13065" spans="1:16">
      <c r="A13065" s="3">
        <v>44207.664467592593</v>
      </c>
      <c r="B13065" s="4" t="str">
        <f>HYPERLINK("https://twitter.com/petrogustavo","@petrogustavo")</f>
        <v>@petrogustavo</v>
      </c>
      <c r="C13065" s="5" t="s">
        <v>16</v>
      </c>
      <c r="D13065" s="5" t="s">
        <v>12569</v>
      </c>
      <c r="E13065" s="6" t="str">
        <f>HYPERLINK("https://twitter.com/petrogustavo/status/1348577097732804608","1348577097732804608")</f>
        <v>1348577097732804608</v>
      </c>
      <c r="F13065" s="7" t="s">
        <v>17</v>
      </c>
      <c r="G13065" s="7">
        <v>4034964</v>
      </c>
      <c r="H13065" s="7">
        <v>2473</v>
      </c>
      <c r="I13065" s="7">
        <v>7</v>
      </c>
      <c r="J13065" s="7">
        <v>24</v>
      </c>
      <c r="K13065" s="7" t="s">
        <v>18</v>
      </c>
      <c r="L13065" s="8">
        <v>39987.315405092595</v>
      </c>
      <c r="M13065" s="9" t="s">
        <v>19</v>
      </c>
      <c r="N13065" s="9" t="s">
        <v>20</v>
      </c>
      <c r="O13065" s="6" t="str">
        <f>HYPERLINK("https://pbs.twimg.com/profile_images/962471262747529216/Uo8lOkRJ_normal.jpg","View")</f>
        <v>View</v>
      </c>
      <c r="P13065" s="7"/>
    </row>
    <row r="13066" spans="1:16">
      <c r="A13066" s="3">
        <v>44207.664467592593</v>
      </c>
      <c r="B13066" s="4" t="str">
        <f>HYPERLINK("https://twitter.com/petrogustavo","@petrogustavo")</f>
        <v>@petrogustavo</v>
      </c>
      <c r="C13066" s="5" t="s">
        <v>16</v>
      </c>
      <c r="D13066" s="5" t="s">
        <v>12570</v>
      </c>
      <c r="E13066" s="6" t="str">
        <f>HYPERLINK("https://twitter.com/petrogustavo/status/1348577100236795909","1348577100236795909")</f>
        <v>1348577100236795909</v>
      </c>
      <c r="F13066" s="7" t="s">
        <v>17</v>
      </c>
      <c r="G13066" s="7">
        <v>4034964</v>
      </c>
      <c r="H13066" s="7">
        <v>2473</v>
      </c>
      <c r="I13066" s="7">
        <v>12</v>
      </c>
      <c r="J13066" s="7">
        <v>53</v>
      </c>
      <c r="K13066" s="7" t="s">
        <v>18</v>
      </c>
      <c r="L13066" s="8">
        <v>39987.315405092595</v>
      </c>
      <c r="M13066" s="9" t="s">
        <v>19</v>
      </c>
      <c r="N13066" s="9" t="s">
        <v>20</v>
      </c>
      <c r="O13066" s="6" t="str">
        <f>HYPERLINK("https://pbs.twimg.com/profile_images/962471262747529216/Uo8lOkRJ_normal.jpg","View")</f>
        <v>View</v>
      </c>
      <c r="P13066" s="7"/>
    </row>
    <row r="13067" spans="1:16">
      <c r="A13067" s="3">
        <v>44207.664479166662</v>
      </c>
      <c r="B13067" s="4" t="str">
        <f>HYPERLINK("https://twitter.com/petrogustavo","@petrogustavo")</f>
        <v>@petrogustavo</v>
      </c>
      <c r="C13067" s="5" t="s">
        <v>16</v>
      </c>
      <c r="D13067" s="5" t="s">
        <v>12571</v>
      </c>
      <c r="E13067" s="6" t="str">
        <f>HYPERLINK("https://twitter.com/petrogustavo/status/1348577101667049472","1348577101667049472")</f>
        <v>1348577101667049472</v>
      </c>
      <c r="F13067" s="7" t="s">
        <v>17</v>
      </c>
      <c r="G13067" s="7">
        <v>4034964</v>
      </c>
      <c r="H13067" s="7">
        <v>2473</v>
      </c>
      <c r="I13067" s="7">
        <v>12</v>
      </c>
      <c r="J13067" s="7">
        <v>43</v>
      </c>
      <c r="K13067" s="7" t="s">
        <v>18</v>
      </c>
      <c r="L13067" s="8">
        <v>39987.315405092595</v>
      </c>
      <c r="M13067" s="9" t="s">
        <v>19</v>
      </c>
      <c r="N13067" s="9" t="s">
        <v>20</v>
      </c>
      <c r="O13067" s="6" t="str">
        <f>HYPERLINK("https://pbs.twimg.com/profile_images/962471262747529216/Uo8lOkRJ_normal.jpg","View")</f>
        <v>View</v>
      </c>
      <c r="P13067" s="7"/>
    </row>
    <row r="13068" spans="1:16">
      <c r="A13068" s="3">
        <v>44207.779050925921</v>
      </c>
      <c r="B13068" s="4" t="str">
        <f>HYPERLINK("https://twitter.com/petrogustavo","@petrogustavo")</f>
        <v>@petrogustavo</v>
      </c>
      <c r="C13068" s="5" t="s">
        <v>16</v>
      </c>
      <c r="D13068" s="5" t="s">
        <v>12572</v>
      </c>
      <c r="E13068" s="6" t="str">
        <f>HYPERLINK("https://twitter.com/petrogustavo/status/1348618623225573378","1348618623225573378")</f>
        <v>1348618623225573378</v>
      </c>
      <c r="F13068" s="7" t="s">
        <v>17</v>
      </c>
      <c r="G13068" s="7">
        <v>4035004</v>
      </c>
      <c r="H13068" s="7">
        <v>2473</v>
      </c>
      <c r="I13068" s="7">
        <v>1171</v>
      </c>
      <c r="J13068" s="7">
        <v>0</v>
      </c>
      <c r="K13068" s="7" t="s">
        <v>18</v>
      </c>
      <c r="L13068" s="8">
        <v>39987.315405092595</v>
      </c>
      <c r="M13068" s="9" t="s">
        <v>19</v>
      </c>
      <c r="N13068" s="9" t="s">
        <v>20</v>
      </c>
      <c r="O13068" s="6" t="str">
        <f>HYPERLINK("https://pbs.twimg.com/profile_images/962471262747529216/Uo8lOkRJ_normal.jpg","View")</f>
        <v>View</v>
      </c>
      <c r="P13068" s="7"/>
    </row>
    <row r="13069" spans="1:16">
      <c r="A13069" s="3">
        <v>44207.781493055554</v>
      </c>
      <c r="B13069" s="4" t="str">
        <f>HYPERLINK("https://twitter.com/petrogustavo","@petrogustavo")</f>
        <v>@petrogustavo</v>
      </c>
      <c r="C13069" s="5" t="s">
        <v>16</v>
      </c>
      <c r="D13069" s="5" t="s">
        <v>12573</v>
      </c>
      <c r="E13069" s="6" t="str">
        <f>HYPERLINK("https://twitter.com/petrogustavo/status/1348619509071032329","1348619509071032329")</f>
        <v>1348619509071032329</v>
      </c>
      <c r="F13069" s="7" t="s">
        <v>17</v>
      </c>
      <c r="G13069" s="7">
        <v>4035004</v>
      </c>
      <c r="H13069" s="7">
        <v>2473</v>
      </c>
      <c r="I13069" s="7">
        <v>398</v>
      </c>
      <c r="J13069" s="7">
        <v>0</v>
      </c>
      <c r="K13069" s="7" t="s">
        <v>18</v>
      </c>
      <c r="L13069" s="8">
        <v>39987.315405092595</v>
      </c>
      <c r="M13069" s="9" t="s">
        <v>19</v>
      </c>
      <c r="N13069" s="9" t="s">
        <v>20</v>
      </c>
      <c r="O13069" s="6" t="str">
        <f>HYPERLINK("https://pbs.twimg.com/profile_images/962471262747529216/Uo8lOkRJ_normal.jpg","View")</f>
        <v>View</v>
      </c>
      <c r="P13069" s="7"/>
    </row>
    <row r="13070" spans="1:16">
      <c r="A13070" s="3">
        <v>44207.781967592593</v>
      </c>
      <c r="B13070" s="4" t="str">
        <f>HYPERLINK("https://twitter.com/petrogustavo","@petrogustavo")</f>
        <v>@petrogustavo</v>
      </c>
      <c r="C13070" s="5" t="s">
        <v>16</v>
      </c>
      <c r="D13070" s="5" t="s">
        <v>12574</v>
      </c>
      <c r="E13070" s="6" t="str">
        <f>HYPERLINK("https://twitter.com/petrogustavo/status/1348619678474768385","1348619678474768385")</f>
        <v>1348619678474768385</v>
      </c>
      <c r="F13070" s="7" t="s">
        <v>17</v>
      </c>
      <c r="G13070" s="7">
        <v>4035004</v>
      </c>
      <c r="H13070" s="7">
        <v>2473</v>
      </c>
      <c r="I13070" s="7">
        <v>129</v>
      </c>
      <c r="J13070" s="7">
        <v>0</v>
      </c>
      <c r="K13070" s="7" t="s">
        <v>18</v>
      </c>
      <c r="L13070" s="8">
        <v>39987.315405092595</v>
      </c>
      <c r="M13070" s="9" t="s">
        <v>19</v>
      </c>
      <c r="N13070" s="9" t="s">
        <v>20</v>
      </c>
      <c r="O13070" s="6" t="str">
        <f>HYPERLINK("https://pbs.twimg.com/profile_images/962471262747529216/Uo8lOkRJ_normal.jpg","View")</f>
        <v>View</v>
      </c>
      <c r="P13070" s="7"/>
    </row>
    <row r="13071" spans="1:16">
      <c r="A13071" s="3">
        <v>44207.840844907405</v>
      </c>
      <c r="B13071" s="4" t="str">
        <f>HYPERLINK("https://twitter.com/petrogustavo","@petrogustavo")</f>
        <v>@petrogustavo</v>
      </c>
      <c r="C13071" s="5" t="s">
        <v>16</v>
      </c>
      <c r="D13071" s="5" t="s">
        <v>12575</v>
      </c>
      <c r="E13071" s="6" t="str">
        <f>HYPERLINK("https://twitter.com/petrogustavo/status/1348641017759723525","1348641017759723525")</f>
        <v>1348641017759723525</v>
      </c>
      <c r="F13071" s="7" t="s">
        <v>17</v>
      </c>
      <c r="G13071" s="7">
        <v>4035081</v>
      </c>
      <c r="H13071" s="7">
        <v>2472</v>
      </c>
      <c r="I13071" s="7">
        <v>39</v>
      </c>
      <c r="J13071" s="7">
        <v>0</v>
      </c>
      <c r="K13071" s="7" t="s">
        <v>18</v>
      </c>
      <c r="L13071" s="8">
        <v>39987.315405092595</v>
      </c>
      <c r="M13071" s="9" t="s">
        <v>19</v>
      </c>
      <c r="N13071" s="9" t="s">
        <v>20</v>
      </c>
      <c r="O13071" s="6" t="str">
        <f>HYPERLINK("https://pbs.twimg.com/profile_images/962471262747529216/Uo8lOkRJ_normal.jpg","View")</f>
        <v>View</v>
      </c>
      <c r="P13071" s="7"/>
    </row>
    <row r="13072" spans="1:16">
      <c r="A13072" s="3">
        <v>44207.843321759261</v>
      </c>
      <c r="B13072" s="4" t="str">
        <f>HYPERLINK("https://twitter.com/petrogustavo","@petrogustavo")</f>
        <v>@petrogustavo</v>
      </c>
      <c r="C13072" s="5" t="s">
        <v>16</v>
      </c>
      <c r="D13072" s="5" t="s">
        <v>12576</v>
      </c>
      <c r="E13072" s="6" t="str">
        <f>HYPERLINK("https://twitter.com/petrogustavo/status/1348641911909834752","1348641911909834752")</f>
        <v>1348641911909834752</v>
      </c>
      <c r="F13072" s="7" t="s">
        <v>17</v>
      </c>
      <c r="G13072" s="7">
        <v>4035081</v>
      </c>
      <c r="H13072" s="7">
        <v>2472</v>
      </c>
      <c r="I13072" s="7">
        <v>52</v>
      </c>
      <c r="J13072" s="7">
        <v>156</v>
      </c>
      <c r="K13072" s="7" t="s">
        <v>18</v>
      </c>
      <c r="L13072" s="8">
        <v>39987.315405092595</v>
      </c>
      <c r="M13072" s="9" t="s">
        <v>19</v>
      </c>
      <c r="N13072" s="9" t="s">
        <v>20</v>
      </c>
      <c r="O13072" s="6" t="str">
        <f>HYPERLINK("https://pbs.twimg.com/profile_images/962471262747529216/Uo8lOkRJ_normal.jpg","View")</f>
        <v>View</v>
      </c>
      <c r="P13072" s="7"/>
    </row>
    <row r="13073" spans="1:16">
      <c r="A13073" s="3">
        <v>44207.84584490741</v>
      </c>
      <c r="B13073" s="4" t="str">
        <f>HYPERLINK("https://twitter.com/petrogustavo","@petrogustavo")</f>
        <v>@petrogustavo</v>
      </c>
      <c r="C13073" s="5" t="s">
        <v>16</v>
      </c>
      <c r="D13073" s="5" t="s">
        <v>12577</v>
      </c>
      <c r="E13073" s="6" t="str">
        <f>HYPERLINK("https://twitter.com/petrogustavo/status/1348642827048251401","1348642827048251401")</f>
        <v>1348642827048251401</v>
      </c>
      <c r="F13073" s="7" t="s">
        <v>17</v>
      </c>
      <c r="G13073" s="7">
        <v>4035109</v>
      </c>
      <c r="H13073" s="7">
        <v>2472</v>
      </c>
      <c r="I13073" s="7">
        <v>79</v>
      </c>
      <c r="J13073" s="7">
        <v>0</v>
      </c>
      <c r="K13073" s="7" t="s">
        <v>18</v>
      </c>
      <c r="L13073" s="8">
        <v>39987.315405092595</v>
      </c>
      <c r="M13073" s="9" t="s">
        <v>19</v>
      </c>
      <c r="N13073" s="9" t="s">
        <v>20</v>
      </c>
      <c r="O13073" s="6" t="str">
        <f>HYPERLINK("https://pbs.twimg.com/profile_images/962471262747529216/Uo8lOkRJ_normal.jpg","View")</f>
        <v>View</v>
      </c>
      <c r="P13073" s="7"/>
    </row>
    <row r="13074" spans="1:16">
      <c r="A13074" s="3">
        <v>44208.122106481482</v>
      </c>
      <c r="B13074" s="4" t="str">
        <f>HYPERLINK("https://twitter.com/petrogustavo","@petrogustavo")</f>
        <v>@petrogustavo</v>
      </c>
      <c r="C13074" s="5" t="s">
        <v>16</v>
      </c>
      <c r="D13074" s="5" t="s">
        <v>12574</v>
      </c>
      <c r="E13074" s="6" t="str">
        <f>HYPERLINK("https://twitter.com/petrogustavo/status/1348742940609413122","1348742940609413122")</f>
        <v>1348742940609413122</v>
      </c>
      <c r="F13074" s="7" t="s">
        <v>17</v>
      </c>
      <c r="G13074" s="7">
        <v>4035456</v>
      </c>
      <c r="H13074" s="7">
        <v>2472</v>
      </c>
      <c r="I13074" s="7">
        <v>460</v>
      </c>
      <c r="J13074" s="7">
        <v>0</v>
      </c>
      <c r="K13074" s="7" t="s">
        <v>18</v>
      </c>
      <c r="L13074" s="8">
        <v>39987.315405092595</v>
      </c>
      <c r="M13074" s="9" t="s">
        <v>19</v>
      </c>
      <c r="N13074" s="9" t="s">
        <v>20</v>
      </c>
      <c r="O13074" s="6" t="str">
        <f>HYPERLINK("https://pbs.twimg.com/profile_images/962471262747529216/Uo8lOkRJ_normal.jpg","View")</f>
        <v>View</v>
      </c>
      <c r="P13074" s="7"/>
    </row>
    <row r="13075" spans="1:16">
      <c r="A13075" s="3">
        <v>44208.122465277775</v>
      </c>
      <c r="B13075" s="4" t="str">
        <f>HYPERLINK("https://twitter.com/petrogustavo","@petrogustavo")</f>
        <v>@petrogustavo</v>
      </c>
      <c r="C13075" s="5" t="s">
        <v>16</v>
      </c>
      <c r="D13075" s="5" t="s">
        <v>12573</v>
      </c>
      <c r="E13075" s="6" t="str">
        <f>HYPERLINK("https://twitter.com/petrogustavo/status/1348743071551401992","1348743071551401992")</f>
        <v>1348743071551401992</v>
      </c>
      <c r="F13075" s="7" t="s">
        <v>17</v>
      </c>
      <c r="G13075" s="7">
        <v>4035456</v>
      </c>
      <c r="H13075" s="7">
        <v>2472</v>
      </c>
      <c r="I13075" s="7">
        <v>1329</v>
      </c>
      <c r="J13075" s="7">
        <v>0</v>
      </c>
      <c r="K13075" s="7" t="s">
        <v>18</v>
      </c>
      <c r="L13075" s="8">
        <v>39987.315405092595</v>
      </c>
      <c r="M13075" s="9" t="s">
        <v>19</v>
      </c>
      <c r="N13075" s="9" t="s">
        <v>20</v>
      </c>
      <c r="O13075" s="6" t="str">
        <f>HYPERLINK("https://pbs.twimg.com/profile_images/962471262747529216/Uo8lOkRJ_normal.jpg","View")</f>
        <v>View</v>
      </c>
      <c r="P13075" s="7"/>
    </row>
    <row r="13076" spans="1:16">
      <c r="A13076" s="3">
        <v>44209.021250000005</v>
      </c>
      <c r="B13076" s="4" t="str">
        <f>HYPERLINK("https://twitter.com/petrogustavo","@petrogustavo")</f>
        <v>@petrogustavo</v>
      </c>
      <c r="C13076" s="5" t="s">
        <v>16</v>
      </c>
      <c r="D13076" s="5" t="s">
        <v>12578</v>
      </c>
      <c r="E13076" s="6" t="str">
        <f>HYPERLINK("https://twitter.com/petrogustavo/status/1349068782883450880","1349068782883450880")</f>
        <v>1349068782883450880</v>
      </c>
      <c r="F13076" s="7" t="s">
        <v>17</v>
      </c>
      <c r="G13076" s="7">
        <v>4036140</v>
      </c>
      <c r="H13076" s="7">
        <v>2473</v>
      </c>
      <c r="I13076" s="7">
        <v>63</v>
      </c>
      <c r="J13076" s="7">
        <v>288</v>
      </c>
      <c r="K13076" s="7" t="s">
        <v>18</v>
      </c>
      <c r="L13076" s="8">
        <v>39987.315405092595</v>
      </c>
      <c r="M13076" s="9" t="s">
        <v>19</v>
      </c>
      <c r="N13076" s="9" t="s">
        <v>20</v>
      </c>
      <c r="O13076" s="6" t="str">
        <f>HYPERLINK("https://pbs.twimg.com/profile_images/962471262747529216/Uo8lOkRJ_normal.jpg","View")</f>
        <v>View</v>
      </c>
      <c r="P13076" s="7"/>
    </row>
    <row r="13077" spans="1:16">
      <c r="A13077" s="3">
        <v>44209.028414351851</v>
      </c>
      <c r="B13077" s="4" t="str">
        <f>HYPERLINK("https://twitter.com/petrogustavo","@petrogustavo")</f>
        <v>@petrogustavo</v>
      </c>
      <c r="C13077" s="5" t="s">
        <v>16</v>
      </c>
      <c r="D13077" s="5" t="s">
        <v>12579</v>
      </c>
      <c r="E13077" s="6" t="str">
        <f>HYPERLINK("https://twitter.com/petrogustavo/status/1349071376339116037","1349071376339116037")</f>
        <v>1349071376339116037</v>
      </c>
      <c r="F13077" s="7" t="s">
        <v>17</v>
      </c>
      <c r="G13077" s="7">
        <v>4036140</v>
      </c>
      <c r="H13077" s="7">
        <v>2473</v>
      </c>
      <c r="I13077" s="7">
        <v>36</v>
      </c>
      <c r="J13077" s="7">
        <v>97</v>
      </c>
      <c r="K13077" s="7" t="s">
        <v>18</v>
      </c>
      <c r="L13077" s="8">
        <v>39987.315405092595</v>
      </c>
      <c r="M13077" s="9" t="s">
        <v>19</v>
      </c>
      <c r="N13077" s="9" t="s">
        <v>20</v>
      </c>
      <c r="O13077" s="6" t="str">
        <f>HYPERLINK("https://pbs.twimg.com/profile_images/962471262747529216/Uo8lOkRJ_normal.jpg","View")</f>
        <v>View</v>
      </c>
      <c r="P13077" s="7"/>
    </row>
    <row r="13078" spans="1:16">
      <c r="A13078" s="3">
        <v>44209.034826388888</v>
      </c>
      <c r="B13078" s="4" t="str">
        <f>HYPERLINK("https://twitter.com/petrogustavo","@petrogustavo")</f>
        <v>@petrogustavo</v>
      </c>
      <c r="C13078" s="5" t="s">
        <v>16</v>
      </c>
      <c r="D13078" s="5" t="s">
        <v>12580</v>
      </c>
      <c r="E13078" s="6" t="str">
        <f>HYPERLINK("https://twitter.com/petrogustavo/status/1349073699341795341","1349073699341795341")</f>
        <v>1349073699341795341</v>
      </c>
      <c r="F13078" s="7" t="s">
        <v>17</v>
      </c>
      <c r="G13078" s="7">
        <v>4036163</v>
      </c>
      <c r="H13078" s="7">
        <v>2473</v>
      </c>
      <c r="I13078" s="7">
        <v>43</v>
      </c>
      <c r="J13078" s="7">
        <v>112</v>
      </c>
      <c r="K13078" s="7" t="s">
        <v>18</v>
      </c>
      <c r="L13078" s="8">
        <v>39987.315405092595</v>
      </c>
      <c r="M13078" s="9" t="s">
        <v>19</v>
      </c>
      <c r="N13078" s="9" t="s">
        <v>20</v>
      </c>
      <c r="O13078" s="6" t="str">
        <f>HYPERLINK("https://pbs.twimg.com/profile_images/962471262747529216/Uo8lOkRJ_normal.jpg","View")</f>
        <v>View</v>
      </c>
      <c r="P13078" s="7"/>
    </row>
    <row r="13079" spans="1:16">
      <c r="A13079" s="3">
        <v>44209.036631944444</v>
      </c>
      <c r="B13079" s="4" t="str">
        <f>HYPERLINK("https://twitter.com/petrogustavo","@petrogustavo")</f>
        <v>@petrogustavo</v>
      </c>
      <c r="C13079" s="5" t="s">
        <v>16</v>
      </c>
      <c r="D13079" s="5" t="s">
        <v>12581</v>
      </c>
      <c r="E13079" s="6" t="str">
        <f>HYPERLINK("https://twitter.com/petrogustavo/status/1349074355192520709","1349074355192520709")</f>
        <v>1349074355192520709</v>
      </c>
      <c r="F13079" s="7" t="s">
        <v>17</v>
      </c>
      <c r="G13079" s="7">
        <v>4036163</v>
      </c>
      <c r="H13079" s="7">
        <v>2473</v>
      </c>
      <c r="I13079" s="7">
        <v>171</v>
      </c>
      <c r="J13079" s="7">
        <v>478</v>
      </c>
      <c r="K13079" s="7" t="s">
        <v>18</v>
      </c>
      <c r="L13079" s="8">
        <v>39987.315405092595</v>
      </c>
      <c r="M13079" s="9" t="s">
        <v>19</v>
      </c>
      <c r="N13079" s="9" t="s">
        <v>20</v>
      </c>
      <c r="O13079" s="6" t="str">
        <f>HYPERLINK("https://pbs.twimg.com/profile_images/962471262747529216/Uo8lOkRJ_normal.jpg","View")</f>
        <v>View</v>
      </c>
      <c r="P13079" s="7"/>
    </row>
    <row r="13080" spans="1:16">
      <c r="A13080" s="3">
        <v>44209.044224537036</v>
      </c>
      <c r="B13080" s="4" t="str">
        <f>HYPERLINK("https://twitter.com/petrogustavo","@petrogustavo")</f>
        <v>@petrogustavo</v>
      </c>
      <c r="C13080" s="5" t="s">
        <v>16</v>
      </c>
      <c r="D13080" s="5" t="s">
        <v>12582</v>
      </c>
      <c r="E13080" s="6" t="str">
        <f>HYPERLINK("https://twitter.com/petrogustavo/status/1349077106265890818","1349077106265890818")</f>
        <v>1349077106265890818</v>
      </c>
      <c r="F13080" s="7" t="s">
        <v>17</v>
      </c>
      <c r="G13080" s="7">
        <v>4036163</v>
      </c>
      <c r="H13080" s="7">
        <v>2473</v>
      </c>
      <c r="I13080" s="7">
        <v>62</v>
      </c>
      <c r="J13080" s="7">
        <v>160</v>
      </c>
      <c r="K13080" s="7" t="s">
        <v>18</v>
      </c>
      <c r="L13080" s="8">
        <v>39987.315405092595</v>
      </c>
      <c r="M13080" s="9" t="s">
        <v>19</v>
      </c>
      <c r="N13080" s="9" t="s">
        <v>20</v>
      </c>
      <c r="O13080" s="6" t="str">
        <f>HYPERLINK("https://pbs.twimg.com/profile_images/962471262747529216/Uo8lOkRJ_normal.jpg","View")</f>
        <v>View</v>
      </c>
      <c r="P13080" s="7"/>
    </row>
    <row r="13081" spans="1:16">
      <c r="A13081" s="3">
        <v>44209.055671296301</v>
      </c>
      <c r="B13081" s="4" t="str">
        <f>HYPERLINK("https://twitter.com/petrogustavo","@petrogustavo")</f>
        <v>@petrogustavo</v>
      </c>
      <c r="C13081" s="5" t="s">
        <v>16</v>
      </c>
      <c r="D13081" s="5" t="s">
        <v>12583</v>
      </c>
      <c r="E13081" s="6" t="str">
        <f>HYPERLINK("https://twitter.com/petrogustavo/status/1349081254008905730","1349081254008905730")</f>
        <v>1349081254008905730</v>
      </c>
      <c r="F13081" s="7" t="s">
        <v>17</v>
      </c>
      <c r="G13081" s="7">
        <v>4036203</v>
      </c>
      <c r="H13081" s="7">
        <v>2474</v>
      </c>
      <c r="I13081" s="7">
        <v>219</v>
      </c>
      <c r="J13081" s="7">
        <v>0</v>
      </c>
      <c r="K13081" s="7" t="s">
        <v>18</v>
      </c>
      <c r="L13081" s="8">
        <v>39987.315405092595</v>
      </c>
      <c r="M13081" s="9" t="s">
        <v>19</v>
      </c>
      <c r="N13081" s="9" t="s">
        <v>20</v>
      </c>
      <c r="O13081" s="6" t="str">
        <f>HYPERLINK("https://pbs.twimg.com/profile_images/962471262747529216/Uo8lOkRJ_normal.jpg","View")</f>
        <v>View</v>
      </c>
      <c r="P13081" s="7"/>
    </row>
    <row r="13082" spans="1:16">
      <c r="A13082" s="3">
        <v>44209.059930555552</v>
      </c>
      <c r="B13082" s="4" t="str">
        <f>HYPERLINK("https://twitter.com/petrogustavo","@petrogustavo")</f>
        <v>@petrogustavo</v>
      </c>
      <c r="C13082" s="5" t="s">
        <v>16</v>
      </c>
      <c r="D13082" s="5" t="s">
        <v>12584</v>
      </c>
      <c r="E13082" s="6" t="str">
        <f>HYPERLINK("https://twitter.com/petrogustavo/status/1349082798859182081","1349082798859182081")</f>
        <v>1349082798859182081</v>
      </c>
      <c r="F13082" s="7" t="s">
        <v>17</v>
      </c>
      <c r="G13082" s="7">
        <v>4036203</v>
      </c>
      <c r="H13082" s="7">
        <v>2474</v>
      </c>
      <c r="I13082" s="7">
        <v>239</v>
      </c>
      <c r="J13082" s="7">
        <v>0</v>
      </c>
      <c r="K13082" s="7" t="s">
        <v>18</v>
      </c>
      <c r="L13082" s="8">
        <v>39987.315405092595</v>
      </c>
      <c r="M13082" s="9" t="s">
        <v>19</v>
      </c>
      <c r="N13082" s="9" t="s">
        <v>20</v>
      </c>
      <c r="O13082" s="6" t="str">
        <f>HYPERLINK("https://pbs.twimg.com/profile_images/962471262747529216/Uo8lOkRJ_normal.jpg","View")</f>
        <v>View</v>
      </c>
      <c r="P13082" s="7"/>
    </row>
    <row r="13083" spans="1:16">
      <c r="A13083" s="3">
        <v>44209.066562499997</v>
      </c>
      <c r="B13083" s="4" t="str">
        <f>HYPERLINK("https://twitter.com/petrogustavo","@petrogustavo")</f>
        <v>@petrogustavo</v>
      </c>
      <c r="C13083" s="5" t="s">
        <v>16</v>
      </c>
      <c r="D13083" s="5" t="s">
        <v>12585</v>
      </c>
      <c r="E13083" s="6" t="str">
        <f>HYPERLINK("https://twitter.com/petrogustavo/status/1349085200614109185","1349085200614109185")</f>
        <v>1349085200614109185</v>
      </c>
      <c r="F13083" s="7" t="s">
        <v>17</v>
      </c>
      <c r="G13083" s="7">
        <v>4036203</v>
      </c>
      <c r="H13083" s="7">
        <v>2474</v>
      </c>
      <c r="I13083" s="7">
        <v>89</v>
      </c>
      <c r="J13083" s="7">
        <v>213</v>
      </c>
      <c r="K13083" s="7" t="s">
        <v>18</v>
      </c>
      <c r="L13083" s="8">
        <v>39987.315405092595</v>
      </c>
      <c r="M13083" s="9" t="s">
        <v>19</v>
      </c>
      <c r="N13083" s="9" t="s">
        <v>20</v>
      </c>
      <c r="O13083" s="6" t="str">
        <f>HYPERLINK("https://pbs.twimg.com/profile_images/962471262747529216/Uo8lOkRJ_normal.jpg","View")</f>
        <v>View</v>
      </c>
      <c r="P13083" s="7"/>
    </row>
    <row r="13084" spans="1:16">
      <c r="A13084" s="3">
        <v>44209.493263888886</v>
      </c>
      <c r="B13084" s="4" t="str">
        <f>HYPERLINK("https://twitter.com/petrogustavo","@petrogustavo")</f>
        <v>@petrogustavo</v>
      </c>
      <c r="C13084" s="5" t="s">
        <v>16</v>
      </c>
      <c r="D13084" s="5" t="s">
        <v>12586</v>
      </c>
      <c r="E13084" s="6" t="str">
        <f>HYPERLINK("https://twitter.com/petrogustavo/status/1349239833194090496","1349239833194090496")</f>
        <v>1349239833194090496</v>
      </c>
      <c r="F13084" s="7" t="s">
        <v>17</v>
      </c>
      <c r="G13084" s="7">
        <v>4036714</v>
      </c>
      <c r="H13084" s="7">
        <v>2476</v>
      </c>
      <c r="I13084" s="7">
        <v>58</v>
      </c>
      <c r="J13084" s="7">
        <v>505</v>
      </c>
      <c r="K13084" s="7" t="s">
        <v>18</v>
      </c>
      <c r="L13084" s="8">
        <v>39987.315405092595</v>
      </c>
      <c r="M13084" s="9" t="s">
        <v>19</v>
      </c>
      <c r="N13084" s="9" t="s">
        <v>20</v>
      </c>
      <c r="O13084" s="6" t="str">
        <f>HYPERLINK("https://pbs.twimg.com/profile_images/962471262747529216/Uo8lOkRJ_normal.jpg","View")</f>
        <v>View</v>
      </c>
      <c r="P13084" s="7"/>
    </row>
    <row r="13085" spans="1:16">
      <c r="A13085" s="3">
        <v>44209.88118055556</v>
      </c>
      <c r="B13085" s="4" t="str">
        <f>HYPERLINK("https://twitter.com/petrogustavo","@petrogustavo")</f>
        <v>@petrogustavo</v>
      </c>
      <c r="C13085" s="5" t="s">
        <v>16</v>
      </c>
      <c r="D13085" s="5" t="s">
        <v>12587</v>
      </c>
      <c r="E13085" s="6" t="str">
        <f>HYPERLINK("https://twitter.com/petrogustavo/status/1349380408715177984","1349380408715177984")</f>
        <v>1349380408715177984</v>
      </c>
      <c r="F13085" s="7" t="s">
        <v>17</v>
      </c>
      <c r="G13085" s="7">
        <v>4036909</v>
      </c>
      <c r="H13085" s="7">
        <v>2477</v>
      </c>
      <c r="I13085" s="7">
        <v>752</v>
      </c>
      <c r="J13085" s="7">
        <v>0</v>
      </c>
      <c r="K13085" s="7" t="s">
        <v>18</v>
      </c>
      <c r="L13085" s="8">
        <v>39987.315405092595</v>
      </c>
      <c r="M13085" s="9" t="s">
        <v>19</v>
      </c>
      <c r="N13085" s="9" t="s">
        <v>20</v>
      </c>
      <c r="O13085" s="6" t="str">
        <f>HYPERLINK("https://pbs.twimg.com/profile_images/962471262747529216/Uo8lOkRJ_normal.jpg","View")</f>
        <v>View</v>
      </c>
      <c r="P13085" s="7"/>
    </row>
    <row r="13086" spans="1:16">
      <c r="A13086" s="3">
        <v>44209.962800925925</v>
      </c>
      <c r="B13086" s="4" t="str">
        <f>HYPERLINK("https://twitter.com/petrogustavo","@petrogustavo")</f>
        <v>@petrogustavo</v>
      </c>
      <c r="C13086" s="5" t="s">
        <v>16</v>
      </c>
      <c r="D13086" s="5" t="s">
        <v>12588</v>
      </c>
      <c r="E13086" s="6" t="str">
        <f>HYPERLINK("https://twitter.com/petrogustavo/status/1349409988716933120","1349409988716933120")</f>
        <v>1349409988716933120</v>
      </c>
      <c r="F13086" s="7" t="s">
        <v>17</v>
      </c>
      <c r="G13086" s="7">
        <v>4036999</v>
      </c>
      <c r="H13086" s="7">
        <v>2477</v>
      </c>
      <c r="I13086" s="7">
        <v>57</v>
      </c>
      <c r="J13086" s="7">
        <v>309</v>
      </c>
      <c r="K13086" s="7" t="s">
        <v>18</v>
      </c>
      <c r="L13086" s="8">
        <v>39987.315405092595</v>
      </c>
      <c r="M13086" s="9" t="s">
        <v>19</v>
      </c>
      <c r="N13086" s="9" t="s">
        <v>20</v>
      </c>
      <c r="O13086" s="6" t="str">
        <f>HYPERLINK("https://pbs.twimg.com/profile_images/962471262747529216/Uo8lOkRJ_normal.jpg","View")</f>
        <v>View</v>
      </c>
      <c r="P13086" s="7"/>
    </row>
    <row r="13087" spans="1:16">
      <c r="A13087" s="3">
        <v>44210.789212962962</v>
      </c>
      <c r="B13087" s="4" t="str">
        <f>HYPERLINK("https://twitter.com/petrogustavo","@petrogustavo")</f>
        <v>@petrogustavo</v>
      </c>
      <c r="C13087" s="5" t="s">
        <v>16</v>
      </c>
      <c r="D13087" s="5" t="s">
        <v>12589</v>
      </c>
      <c r="E13087" s="6" t="str">
        <f>HYPERLINK("https://twitter.com/petrogustavo/status/1349709470591561728","1349709470591561728")</f>
        <v>1349709470591561728</v>
      </c>
      <c r="F13087" s="7" t="s">
        <v>17</v>
      </c>
      <c r="G13087" s="7">
        <v>4037724</v>
      </c>
      <c r="H13087" s="7">
        <v>2478</v>
      </c>
      <c r="I13087" s="7">
        <v>214</v>
      </c>
      <c r="J13087" s="7">
        <v>0</v>
      </c>
      <c r="K13087" s="7" t="s">
        <v>18</v>
      </c>
      <c r="L13087" s="8">
        <v>39987.315405092595</v>
      </c>
      <c r="M13087" s="9" t="s">
        <v>19</v>
      </c>
      <c r="N13087" s="9" t="s">
        <v>20</v>
      </c>
      <c r="O13087" s="6" t="str">
        <f>HYPERLINK("https://pbs.twimg.com/profile_images/962471262747529216/Uo8lOkRJ_normal.jpg","View")</f>
        <v>View</v>
      </c>
      <c r="P13087" s="7"/>
    </row>
    <row r="13088" spans="1:16">
      <c r="A13088" s="3">
        <v>44210.795949074076</v>
      </c>
      <c r="B13088" s="4" t="str">
        <f>HYPERLINK("https://twitter.com/petrogustavo","@petrogustavo")</f>
        <v>@petrogustavo</v>
      </c>
      <c r="C13088" s="5" t="s">
        <v>16</v>
      </c>
      <c r="D13088" s="5" t="s">
        <v>12590</v>
      </c>
      <c r="E13088" s="6" t="str">
        <f>HYPERLINK("https://twitter.com/petrogustavo/status/1349711908732071941","1349711908732071941")</f>
        <v>1349711908732071941</v>
      </c>
      <c r="F13088" s="7" t="s">
        <v>17</v>
      </c>
      <c r="G13088" s="7">
        <v>4037724</v>
      </c>
      <c r="H13088" s="7">
        <v>2478</v>
      </c>
      <c r="I13088" s="7">
        <v>48</v>
      </c>
      <c r="J13088" s="7">
        <v>149</v>
      </c>
      <c r="K13088" s="7" t="s">
        <v>18</v>
      </c>
      <c r="L13088" s="8">
        <v>39987.315405092595</v>
      </c>
      <c r="M13088" s="9" t="s">
        <v>19</v>
      </c>
      <c r="N13088" s="9" t="s">
        <v>20</v>
      </c>
      <c r="O13088" s="6" t="str">
        <f>HYPERLINK("https://pbs.twimg.com/profile_images/962471262747529216/Uo8lOkRJ_normal.jpg","View")</f>
        <v>View</v>
      </c>
      <c r="P13088" s="7"/>
    </row>
    <row r="13089" spans="1:16">
      <c r="A13089" s="3">
        <v>44210.795949074076</v>
      </c>
      <c r="B13089" s="4" t="str">
        <f>HYPERLINK("https://twitter.com/petrogustavo","@petrogustavo")</f>
        <v>@petrogustavo</v>
      </c>
      <c r="C13089" s="5" t="s">
        <v>16</v>
      </c>
      <c r="D13089" s="5" t="s">
        <v>12591</v>
      </c>
      <c r="E13089" s="6" t="str">
        <f>HYPERLINK("https://twitter.com/petrogustavo/status/1349711912074960896","1349711912074960896")</f>
        <v>1349711912074960896</v>
      </c>
      <c r="F13089" s="7" t="s">
        <v>17</v>
      </c>
      <c r="G13089" s="7">
        <v>4037724</v>
      </c>
      <c r="H13089" s="7">
        <v>2478</v>
      </c>
      <c r="I13089" s="7">
        <v>25</v>
      </c>
      <c r="J13089" s="7">
        <v>96</v>
      </c>
      <c r="K13089" s="7" t="s">
        <v>18</v>
      </c>
      <c r="L13089" s="8">
        <v>39987.315405092595</v>
      </c>
      <c r="M13089" s="9" t="s">
        <v>19</v>
      </c>
      <c r="N13089" s="9" t="s">
        <v>20</v>
      </c>
      <c r="O13089" s="6" t="str">
        <f>HYPERLINK("https://pbs.twimg.com/profile_images/962471262747529216/Uo8lOkRJ_normal.jpg","View")</f>
        <v>View</v>
      </c>
      <c r="P13089" s="7"/>
    </row>
    <row r="13090" spans="1:16">
      <c r="A13090" s="3">
        <v>44210.795960648145</v>
      </c>
      <c r="B13090" s="4" t="str">
        <f>HYPERLINK("https://twitter.com/petrogustavo","@petrogustavo")</f>
        <v>@petrogustavo</v>
      </c>
      <c r="C13090" s="5" t="s">
        <v>16</v>
      </c>
      <c r="D13090" s="5" t="s">
        <v>12592</v>
      </c>
      <c r="E13090" s="6" t="str">
        <f>HYPERLINK("https://twitter.com/petrogustavo/status/1349711913735876611","1349711913735876611")</f>
        <v>1349711913735876611</v>
      </c>
      <c r="F13090" s="7" t="s">
        <v>17</v>
      </c>
      <c r="G13090" s="7">
        <v>4037724</v>
      </c>
      <c r="H13090" s="7">
        <v>2478</v>
      </c>
      <c r="I13090" s="7">
        <v>24</v>
      </c>
      <c r="J13090" s="7">
        <v>93</v>
      </c>
      <c r="K13090" s="7" t="s">
        <v>18</v>
      </c>
      <c r="L13090" s="8">
        <v>39987.315405092595</v>
      </c>
      <c r="M13090" s="9" t="s">
        <v>19</v>
      </c>
      <c r="N13090" s="9" t="s">
        <v>20</v>
      </c>
      <c r="O13090" s="6" t="str">
        <f>HYPERLINK("https://pbs.twimg.com/profile_images/962471262747529216/Uo8lOkRJ_normal.jpg","View")</f>
        <v>View</v>
      </c>
      <c r="P13090" s="7"/>
    </row>
    <row r="13091" spans="1:16">
      <c r="A13091" s="3">
        <v>44210.798298611116</v>
      </c>
      <c r="B13091" s="4" t="str">
        <f>HYPERLINK("https://twitter.com/petrogustavo","@petrogustavo")</f>
        <v>@petrogustavo</v>
      </c>
      <c r="C13091" s="5" t="s">
        <v>16</v>
      </c>
      <c r="D13091" s="5" t="s">
        <v>12593</v>
      </c>
      <c r="E13091" s="6" t="str">
        <f>HYPERLINK("https://twitter.com/petrogustavo/status/1349712760922374154","1349712760922374154")</f>
        <v>1349712760922374154</v>
      </c>
      <c r="F13091" s="7" t="s">
        <v>17</v>
      </c>
      <c r="G13091" s="7">
        <v>4037724</v>
      </c>
      <c r="H13091" s="7">
        <v>2478</v>
      </c>
      <c r="I13091" s="7">
        <v>23</v>
      </c>
      <c r="J13091" s="7">
        <v>0</v>
      </c>
      <c r="K13091" s="7" t="s">
        <v>18</v>
      </c>
      <c r="L13091" s="8">
        <v>39987.315405092595</v>
      </c>
      <c r="M13091" s="9" t="s">
        <v>19</v>
      </c>
      <c r="N13091" s="9" t="s">
        <v>20</v>
      </c>
      <c r="O13091" s="6" t="str">
        <f>HYPERLINK("https://pbs.twimg.com/profile_images/962471262747529216/Uo8lOkRJ_normal.jpg","View")</f>
        <v>View</v>
      </c>
      <c r="P13091" s="7"/>
    </row>
    <row r="13092" spans="1:16">
      <c r="A13092" s="3">
        <v>44210.819120370375</v>
      </c>
      <c r="B13092" s="4" t="str">
        <f>HYPERLINK("https://twitter.com/petrogustavo","@petrogustavo")</f>
        <v>@petrogustavo</v>
      </c>
      <c r="C13092" s="5" t="s">
        <v>16</v>
      </c>
      <c r="D13092" s="5" t="s">
        <v>12594</v>
      </c>
      <c r="E13092" s="6" t="str">
        <f>HYPERLINK("https://twitter.com/petrogustavo/status/1349720308182380552","1349720308182380552")</f>
        <v>1349720308182380552</v>
      </c>
      <c r="F13092" s="7" t="s">
        <v>17</v>
      </c>
      <c r="G13092" s="7">
        <v>4037716</v>
      </c>
      <c r="H13092" s="7">
        <v>2478</v>
      </c>
      <c r="I13092" s="7">
        <v>116</v>
      </c>
      <c r="J13092" s="7">
        <v>0</v>
      </c>
      <c r="K13092" s="7" t="s">
        <v>18</v>
      </c>
      <c r="L13092" s="8">
        <v>39987.315405092595</v>
      </c>
      <c r="M13092" s="9" t="s">
        <v>19</v>
      </c>
      <c r="N13092" s="9" t="s">
        <v>20</v>
      </c>
      <c r="O13092" s="6" t="str">
        <f>HYPERLINK("https://pbs.twimg.com/profile_images/962471262747529216/Uo8lOkRJ_normal.jpg","View")</f>
        <v>View</v>
      </c>
      <c r="P13092" s="7"/>
    </row>
    <row r="13093" spans="1:16">
      <c r="A13093" s="3">
        <v>44210.819467592592</v>
      </c>
      <c r="B13093" s="4" t="str">
        <f>HYPERLINK("https://twitter.com/petrogustavo","@petrogustavo")</f>
        <v>@petrogustavo</v>
      </c>
      <c r="C13093" s="5" t="s">
        <v>16</v>
      </c>
      <c r="D13093" s="5" t="s">
        <v>12595</v>
      </c>
      <c r="E13093" s="6" t="str">
        <f>HYPERLINK("https://twitter.com/petrogustavo/status/1349720431360700419","1349720431360700419")</f>
        <v>1349720431360700419</v>
      </c>
      <c r="F13093" s="7" t="s">
        <v>17</v>
      </c>
      <c r="G13093" s="7">
        <v>4037716</v>
      </c>
      <c r="H13093" s="7">
        <v>2478</v>
      </c>
      <c r="I13093" s="7">
        <v>3506</v>
      </c>
      <c r="J13093" s="7">
        <v>0</v>
      </c>
      <c r="K13093" s="7" t="s">
        <v>18</v>
      </c>
      <c r="L13093" s="8">
        <v>39987.315405092595</v>
      </c>
      <c r="M13093" s="9" t="s">
        <v>19</v>
      </c>
      <c r="N13093" s="9" t="s">
        <v>20</v>
      </c>
      <c r="O13093" s="6" t="str">
        <f>HYPERLINK("https://pbs.twimg.com/profile_images/962471262747529216/Uo8lOkRJ_normal.jpg","View")</f>
        <v>View</v>
      </c>
      <c r="P13093" s="7"/>
    </row>
    <row r="13094" spans="1:16">
      <c r="A13094" s="3">
        <v>44210.820335648154</v>
      </c>
      <c r="B13094" s="4" t="str">
        <f>HYPERLINK("https://twitter.com/petrogustavo","@petrogustavo")</f>
        <v>@petrogustavo</v>
      </c>
      <c r="C13094" s="5" t="s">
        <v>16</v>
      </c>
      <c r="D13094" s="5" t="s">
        <v>12596</v>
      </c>
      <c r="E13094" s="6" t="str">
        <f>HYPERLINK("https://twitter.com/petrogustavo/status/1349720748689158146","1349720748689158146")</f>
        <v>1349720748689158146</v>
      </c>
      <c r="F13094" s="7" t="s">
        <v>17</v>
      </c>
      <c r="G13094" s="7">
        <v>4037716</v>
      </c>
      <c r="H13094" s="7">
        <v>2478</v>
      </c>
      <c r="I13094" s="7">
        <v>37</v>
      </c>
      <c r="J13094" s="7">
        <v>100</v>
      </c>
      <c r="K13094" s="7" t="s">
        <v>18</v>
      </c>
      <c r="L13094" s="8">
        <v>39987.315405092595</v>
      </c>
      <c r="M13094" s="9" t="s">
        <v>19</v>
      </c>
      <c r="N13094" s="9" t="s">
        <v>20</v>
      </c>
      <c r="O13094" s="6" t="str">
        <f>HYPERLINK("https://pbs.twimg.com/profile_images/962471262747529216/Uo8lOkRJ_normal.jpg","View")</f>
        <v>View</v>
      </c>
      <c r="P13094" s="7"/>
    </row>
    <row r="13095" spans="1:16">
      <c r="A13095" s="3">
        <v>44210.853587962964</v>
      </c>
      <c r="B13095" s="4" t="str">
        <f>HYPERLINK("https://twitter.com/petrogustavo","@petrogustavo")</f>
        <v>@petrogustavo</v>
      </c>
      <c r="C13095" s="5" t="s">
        <v>16</v>
      </c>
      <c r="D13095" s="5" t="s">
        <v>12597</v>
      </c>
      <c r="E13095" s="6" t="str">
        <f>HYPERLINK("https://twitter.com/petrogustavo/status/1349732796143607814","1349732796143607814")</f>
        <v>1349732796143607814</v>
      </c>
      <c r="F13095" s="7" t="s">
        <v>17</v>
      </c>
      <c r="G13095" s="7">
        <v>4037761</v>
      </c>
      <c r="H13095" s="7">
        <v>2478</v>
      </c>
      <c r="I13095" s="7">
        <v>36</v>
      </c>
      <c r="J13095" s="7">
        <v>104</v>
      </c>
      <c r="K13095" s="7" t="s">
        <v>18</v>
      </c>
      <c r="L13095" s="8">
        <v>39987.315405092595</v>
      </c>
      <c r="M13095" s="9" t="s">
        <v>19</v>
      </c>
      <c r="N13095" s="9" t="s">
        <v>20</v>
      </c>
      <c r="O13095" s="6" t="str">
        <f>HYPERLINK("https://pbs.twimg.com/profile_images/962471262747529216/Uo8lOkRJ_normal.jpg","View")</f>
        <v>View</v>
      </c>
      <c r="P13095" s="7"/>
    </row>
    <row r="13096" spans="1:16">
      <c r="A13096" s="3">
        <v>44210.857847222222</v>
      </c>
      <c r="B13096" s="4" t="str">
        <f>HYPERLINK("https://twitter.com/petrogustavo","@petrogustavo")</f>
        <v>@petrogustavo</v>
      </c>
      <c r="C13096" s="5" t="s">
        <v>16</v>
      </c>
      <c r="D13096" s="5" t="s">
        <v>12598</v>
      </c>
      <c r="E13096" s="6" t="str">
        <f>HYPERLINK("https://twitter.com/petrogustavo/status/1349734342726021126","1349734342726021126")</f>
        <v>1349734342726021126</v>
      </c>
      <c r="F13096" s="7" t="s">
        <v>17</v>
      </c>
      <c r="G13096" s="7">
        <v>4037761</v>
      </c>
      <c r="H13096" s="7">
        <v>2478</v>
      </c>
      <c r="I13096" s="7">
        <v>147</v>
      </c>
      <c r="J13096" s="7">
        <v>304</v>
      </c>
      <c r="K13096" s="7" t="s">
        <v>18</v>
      </c>
      <c r="L13096" s="8">
        <v>39987.315405092595</v>
      </c>
      <c r="M13096" s="9" t="s">
        <v>19</v>
      </c>
      <c r="N13096" s="9" t="s">
        <v>20</v>
      </c>
      <c r="O13096" s="6" t="str">
        <f>HYPERLINK("https://pbs.twimg.com/profile_images/962471262747529216/Uo8lOkRJ_normal.jpg","View")</f>
        <v>View</v>
      </c>
      <c r="P13096" s="7"/>
    </row>
    <row r="13097" spans="1:16">
      <c r="A13097" s="3">
        <v>44210.857858796298</v>
      </c>
      <c r="B13097" s="4" t="str">
        <f>HYPERLINK("https://twitter.com/petrogustavo","@petrogustavo")</f>
        <v>@petrogustavo</v>
      </c>
      <c r="C13097" s="5" t="s">
        <v>16</v>
      </c>
      <c r="D13097" s="5" t="s">
        <v>12599</v>
      </c>
      <c r="E13097" s="6" t="str">
        <f>HYPERLINK("https://twitter.com/petrogustavo/status/1349734345028759554","1349734345028759554")</f>
        <v>1349734345028759554</v>
      </c>
      <c r="F13097" s="7" t="s">
        <v>17</v>
      </c>
      <c r="G13097" s="7">
        <v>4037761</v>
      </c>
      <c r="H13097" s="7">
        <v>2478</v>
      </c>
      <c r="I13097" s="7">
        <v>92</v>
      </c>
      <c r="J13097" s="7">
        <v>242</v>
      </c>
      <c r="K13097" s="7" t="s">
        <v>18</v>
      </c>
      <c r="L13097" s="8">
        <v>39987.315405092595</v>
      </c>
      <c r="M13097" s="9" t="s">
        <v>19</v>
      </c>
      <c r="N13097" s="9" t="s">
        <v>20</v>
      </c>
      <c r="O13097" s="6" t="str">
        <f>HYPERLINK("https://pbs.twimg.com/profile_images/962471262747529216/Uo8lOkRJ_normal.jpg","View")</f>
        <v>View</v>
      </c>
      <c r="P13097" s="7"/>
    </row>
    <row r="13098" spans="1:16">
      <c r="A13098" s="3">
        <v>44211.065370370372</v>
      </c>
      <c r="B13098" s="4" t="str">
        <f>HYPERLINK("https://twitter.com/petrogustavo","@petrogustavo")</f>
        <v>@petrogustavo</v>
      </c>
      <c r="C13098" s="5" t="s">
        <v>16</v>
      </c>
      <c r="D13098" s="5" t="s">
        <v>12600</v>
      </c>
      <c r="E13098" s="6" t="str">
        <f>HYPERLINK("https://twitter.com/petrogustavo/status/1349809543669293057","1349809543669293057")</f>
        <v>1349809543669293057</v>
      </c>
      <c r="F13098" s="7" t="s">
        <v>17</v>
      </c>
      <c r="G13098" s="7">
        <v>4038018</v>
      </c>
      <c r="H13098" s="7">
        <v>2478</v>
      </c>
      <c r="I13098" s="7">
        <v>57</v>
      </c>
      <c r="J13098" s="7">
        <v>0</v>
      </c>
      <c r="K13098" s="7" t="s">
        <v>18</v>
      </c>
      <c r="L13098" s="8">
        <v>39987.315405092595</v>
      </c>
      <c r="M13098" s="9" t="s">
        <v>19</v>
      </c>
      <c r="N13098" s="9" t="s">
        <v>20</v>
      </c>
      <c r="O13098" s="6" t="str">
        <f>HYPERLINK("https://pbs.twimg.com/profile_images/962471262747529216/Uo8lOkRJ_normal.jpg","View")</f>
        <v>View</v>
      </c>
      <c r="P13098" s="7"/>
    </row>
    <row r="13099" spans="1:16">
      <c r="A13099" s="3">
        <v>44211.071342592593</v>
      </c>
      <c r="B13099" s="4" t="str">
        <f>HYPERLINK("https://twitter.com/petrogustavo","@petrogustavo")</f>
        <v>@petrogustavo</v>
      </c>
      <c r="C13099" s="5" t="s">
        <v>16</v>
      </c>
      <c r="D13099" s="5" t="s">
        <v>12601</v>
      </c>
      <c r="E13099" s="6" t="str">
        <f>HYPERLINK("https://twitter.com/petrogustavo/status/1349811708160864258","1349811708160864258")</f>
        <v>1349811708160864258</v>
      </c>
      <c r="F13099" s="7" t="s">
        <v>17</v>
      </c>
      <c r="G13099" s="7">
        <v>4038018</v>
      </c>
      <c r="H13099" s="7">
        <v>2478</v>
      </c>
      <c r="I13099" s="7">
        <v>8</v>
      </c>
      <c r="J13099" s="7">
        <v>0</v>
      </c>
      <c r="K13099" s="7" t="s">
        <v>18</v>
      </c>
      <c r="L13099" s="8">
        <v>39987.315405092595</v>
      </c>
      <c r="M13099" s="9" t="s">
        <v>19</v>
      </c>
      <c r="N13099" s="9" t="s">
        <v>20</v>
      </c>
      <c r="O13099" s="6" t="str">
        <f>HYPERLINK("https://pbs.twimg.com/profile_images/962471262747529216/Uo8lOkRJ_normal.jpg","View")</f>
        <v>View</v>
      </c>
      <c r="P13099" s="7"/>
    </row>
    <row r="13100" spans="1:16">
      <c r="A13100" s="3">
        <v>44211.073877314819</v>
      </c>
      <c r="B13100" s="4" t="str">
        <f>HYPERLINK("https://twitter.com/petrogustavo","@petrogustavo")</f>
        <v>@petrogustavo</v>
      </c>
      <c r="C13100" s="5" t="s">
        <v>16</v>
      </c>
      <c r="D13100" s="5" t="s">
        <v>12602</v>
      </c>
      <c r="E13100" s="6" t="str">
        <f>HYPERLINK("https://twitter.com/petrogustavo/status/1349812626457579520","1349812626457579520")</f>
        <v>1349812626457579520</v>
      </c>
      <c r="F13100" s="7" t="s">
        <v>17</v>
      </c>
      <c r="G13100" s="7">
        <v>4038018</v>
      </c>
      <c r="H13100" s="7">
        <v>2478</v>
      </c>
      <c r="I13100" s="7">
        <v>1724</v>
      </c>
      <c r="J13100" s="7">
        <v>0</v>
      </c>
      <c r="K13100" s="7" t="s">
        <v>18</v>
      </c>
      <c r="L13100" s="8">
        <v>39987.315405092595</v>
      </c>
      <c r="M13100" s="9" t="s">
        <v>19</v>
      </c>
      <c r="N13100" s="9" t="s">
        <v>20</v>
      </c>
      <c r="O13100" s="6" t="str">
        <f>HYPERLINK("https://pbs.twimg.com/profile_images/962471262747529216/Uo8lOkRJ_normal.jpg","View")</f>
        <v>View</v>
      </c>
      <c r="P13100" s="7"/>
    </row>
    <row r="13101" spans="1:16">
      <c r="A13101" s="3">
        <v>44211.078634259262</v>
      </c>
      <c r="B13101" s="4" t="str">
        <f>HYPERLINK("https://twitter.com/petrogustavo","@petrogustavo")</f>
        <v>@petrogustavo</v>
      </c>
      <c r="C13101" s="5" t="s">
        <v>16</v>
      </c>
      <c r="D13101" s="5" t="s">
        <v>12603</v>
      </c>
      <c r="E13101" s="6" t="str">
        <f>HYPERLINK("https://twitter.com/petrogustavo/status/1349814351004200960","1349814351004200960")</f>
        <v>1349814351004200960</v>
      </c>
      <c r="F13101" s="7" t="s">
        <v>17</v>
      </c>
      <c r="G13101" s="7">
        <v>4038043</v>
      </c>
      <c r="H13101" s="7">
        <v>2478</v>
      </c>
      <c r="I13101" s="7">
        <v>59</v>
      </c>
      <c r="J13101" s="7">
        <v>0</v>
      </c>
      <c r="K13101" s="7" t="s">
        <v>18</v>
      </c>
      <c r="L13101" s="8">
        <v>39987.315405092595</v>
      </c>
      <c r="M13101" s="9" t="s">
        <v>19</v>
      </c>
      <c r="N13101" s="9" t="s">
        <v>20</v>
      </c>
      <c r="O13101" s="6" t="str">
        <f>HYPERLINK("https://pbs.twimg.com/profile_images/962471262747529216/Uo8lOkRJ_normal.jpg","View")</f>
        <v>View</v>
      </c>
      <c r="P13101" s="7"/>
    </row>
    <row r="13102" spans="1:16">
      <c r="A13102" s="3">
        <v>44211.084155092598</v>
      </c>
      <c r="B13102" s="4" t="str">
        <f>HYPERLINK("https://twitter.com/petrogustavo","@petrogustavo")</f>
        <v>@petrogustavo</v>
      </c>
      <c r="C13102" s="5" t="s">
        <v>16</v>
      </c>
      <c r="D13102" s="5" t="s">
        <v>12604</v>
      </c>
      <c r="E13102" s="6" t="str">
        <f>HYPERLINK("https://twitter.com/petrogustavo/status/1349816353696452608","1349816353696452608")</f>
        <v>1349816353696452608</v>
      </c>
      <c r="F13102" s="7" t="s">
        <v>17</v>
      </c>
      <c r="G13102" s="7">
        <v>4038043</v>
      </c>
      <c r="H13102" s="7">
        <v>2478</v>
      </c>
      <c r="I13102" s="7">
        <v>99</v>
      </c>
      <c r="J13102" s="7">
        <v>237</v>
      </c>
      <c r="K13102" s="7" t="s">
        <v>18</v>
      </c>
      <c r="L13102" s="8">
        <v>39987.315405092595</v>
      </c>
      <c r="M13102" s="9" t="s">
        <v>19</v>
      </c>
      <c r="N13102" s="9" t="s">
        <v>20</v>
      </c>
      <c r="O13102" s="6" t="str">
        <f>HYPERLINK("https://pbs.twimg.com/profile_images/962471262747529216/Uo8lOkRJ_normal.jpg","View")</f>
        <v>View</v>
      </c>
      <c r="P13102" s="7"/>
    </row>
    <row r="13103" spans="1:16">
      <c r="A13103" s="3">
        <v>44211.086446759262</v>
      </c>
      <c r="B13103" s="4" t="str">
        <f>HYPERLINK("https://twitter.com/petrogustavo","@petrogustavo")</f>
        <v>@petrogustavo</v>
      </c>
      <c r="C13103" s="5" t="s">
        <v>16</v>
      </c>
      <c r="D13103" s="5" t="s">
        <v>12605</v>
      </c>
      <c r="E13103" s="6" t="str">
        <f>HYPERLINK("https://twitter.com/petrogustavo/status/1349817184948781072","1349817184948781072")</f>
        <v>1349817184948781072</v>
      </c>
      <c r="F13103" s="7" t="s">
        <v>17</v>
      </c>
      <c r="G13103" s="7">
        <v>4038043</v>
      </c>
      <c r="H13103" s="7">
        <v>2478</v>
      </c>
      <c r="I13103" s="7">
        <v>55</v>
      </c>
      <c r="J13103" s="7">
        <v>121</v>
      </c>
      <c r="K13103" s="7" t="s">
        <v>18</v>
      </c>
      <c r="L13103" s="8">
        <v>39987.315405092595</v>
      </c>
      <c r="M13103" s="9" t="s">
        <v>19</v>
      </c>
      <c r="N13103" s="9" t="s">
        <v>20</v>
      </c>
      <c r="O13103" s="6" t="str">
        <f>HYPERLINK("https://pbs.twimg.com/profile_images/962471262747529216/Uo8lOkRJ_normal.jpg","View")</f>
        <v>View</v>
      </c>
      <c r="P13103" s="7"/>
    </row>
    <row r="13104" spans="1:16">
      <c r="A13104" s="3">
        <v>44211.104525462964</v>
      </c>
      <c r="B13104" s="4" t="str">
        <f>HYPERLINK("https://twitter.com/petrogustavo","@petrogustavo")</f>
        <v>@petrogustavo</v>
      </c>
      <c r="C13104" s="5" t="s">
        <v>16</v>
      </c>
      <c r="D13104" s="5" t="s">
        <v>12606</v>
      </c>
      <c r="E13104" s="6" t="str">
        <f>HYPERLINK("https://twitter.com/petrogustavo/status/1349823735986085893","1349823735986085893")</f>
        <v>1349823735986085893</v>
      </c>
      <c r="F13104" s="7" t="s">
        <v>17</v>
      </c>
      <c r="G13104" s="7">
        <v>4038067</v>
      </c>
      <c r="H13104" s="7">
        <v>2478</v>
      </c>
      <c r="I13104" s="7">
        <v>50</v>
      </c>
      <c r="J13104" s="7">
        <v>176</v>
      </c>
      <c r="K13104" s="7" t="s">
        <v>18</v>
      </c>
      <c r="L13104" s="8">
        <v>39987.315405092595</v>
      </c>
      <c r="M13104" s="9" t="s">
        <v>19</v>
      </c>
      <c r="N13104" s="9" t="s">
        <v>20</v>
      </c>
      <c r="O13104" s="6" t="str">
        <f>HYPERLINK("https://pbs.twimg.com/profile_images/962471262747529216/Uo8lOkRJ_normal.jpg","View")</f>
        <v>View</v>
      </c>
      <c r="P13104" s="7"/>
    </row>
    <row r="13105" spans="1:16">
      <c r="A13105" s="3">
        <v>44211.104537037041</v>
      </c>
      <c r="B13105" s="4" t="str">
        <f>HYPERLINK("https://twitter.com/petrogustavo","@petrogustavo")</f>
        <v>@petrogustavo</v>
      </c>
      <c r="C13105" s="5" t="s">
        <v>16</v>
      </c>
      <c r="D13105" s="5" t="s">
        <v>12607</v>
      </c>
      <c r="E13105" s="6" t="str">
        <f>HYPERLINK("https://twitter.com/petrogustavo/status/1349823737458262018","1349823737458262018")</f>
        <v>1349823737458262018</v>
      </c>
      <c r="F13105" s="7" t="s">
        <v>17</v>
      </c>
      <c r="G13105" s="7">
        <v>4038067</v>
      </c>
      <c r="H13105" s="7">
        <v>2478</v>
      </c>
      <c r="I13105" s="7">
        <v>20</v>
      </c>
      <c r="J13105" s="7">
        <v>91</v>
      </c>
      <c r="K13105" s="7" t="s">
        <v>18</v>
      </c>
      <c r="L13105" s="8">
        <v>39987.315405092595</v>
      </c>
      <c r="M13105" s="9" t="s">
        <v>19</v>
      </c>
      <c r="N13105" s="9" t="s">
        <v>20</v>
      </c>
      <c r="O13105" s="6" t="str">
        <f>HYPERLINK("https://pbs.twimg.com/profile_images/962471262747529216/Uo8lOkRJ_normal.jpg","View")</f>
        <v>View</v>
      </c>
      <c r="P13105" s="7"/>
    </row>
    <row r="13106" spans="1:16">
      <c r="A13106" s="3">
        <v>44211.104537037041</v>
      </c>
      <c r="B13106" s="4" t="str">
        <f>HYPERLINK("https://twitter.com/petrogustavo","@petrogustavo")</f>
        <v>@petrogustavo</v>
      </c>
      <c r="C13106" s="5" t="s">
        <v>16</v>
      </c>
      <c r="D13106" s="5" t="s">
        <v>12608</v>
      </c>
      <c r="E13106" s="6" t="str">
        <f>HYPERLINK("https://twitter.com/petrogustavo/status/1349823739018563584","1349823739018563584")</f>
        <v>1349823739018563584</v>
      </c>
      <c r="F13106" s="7" t="s">
        <v>17</v>
      </c>
      <c r="G13106" s="7">
        <v>4038067</v>
      </c>
      <c r="H13106" s="7">
        <v>2478</v>
      </c>
      <c r="I13106" s="7">
        <v>28</v>
      </c>
      <c r="J13106" s="7">
        <v>91</v>
      </c>
      <c r="K13106" s="7" t="s">
        <v>18</v>
      </c>
      <c r="L13106" s="8">
        <v>39987.315405092595</v>
      </c>
      <c r="M13106" s="9" t="s">
        <v>19</v>
      </c>
      <c r="N13106" s="9" t="s">
        <v>20</v>
      </c>
      <c r="O13106" s="6" t="str">
        <f>HYPERLINK("https://pbs.twimg.com/profile_images/962471262747529216/Uo8lOkRJ_normal.jpg","View")</f>
        <v>View</v>
      </c>
      <c r="P13106" s="7"/>
    </row>
    <row r="13107" spans="1:16">
      <c r="A13107" s="3">
        <v>44211.107592592598</v>
      </c>
      <c r="B13107" s="4" t="str">
        <f>HYPERLINK("https://twitter.com/petrogustavo","@petrogustavo")</f>
        <v>@petrogustavo</v>
      </c>
      <c r="C13107" s="5" t="s">
        <v>16</v>
      </c>
      <c r="D13107" s="5" t="s">
        <v>12609</v>
      </c>
      <c r="E13107" s="6" t="str">
        <f>HYPERLINK("https://twitter.com/petrogustavo/status/1349824846633562113","1349824846633562113")</f>
        <v>1349824846633562113</v>
      </c>
      <c r="F13107" s="7" t="s">
        <v>17</v>
      </c>
      <c r="G13107" s="7">
        <v>4038067</v>
      </c>
      <c r="H13107" s="7">
        <v>2478</v>
      </c>
      <c r="I13107" s="7">
        <v>42</v>
      </c>
      <c r="J13107" s="7">
        <v>119</v>
      </c>
      <c r="K13107" s="7" t="s">
        <v>18</v>
      </c>
      <c r="L13107" s="8">
        <v>39987.315405092595</v>
      </c>
      <c r="M13107" s="9" t="s">
        <v>19</v>
      </c>
      <c r="N13107" s="9" t="s">
        <v>20</v>
      </c>
      <c r="O13107" s="6" t="str">
        <f>HYPERLINK("https://pbs.twimg.com/profile_images/962471262747529216/Uo8lOkRJ_normal.jpg","View")</f>
        <v>View</v>
      </c>
      <c r="P13107" s="7"/>
    </row>
    <row r="13108" spans="1:16">
      <c r="A13108" s="3">
        <v>44211.10974537037</v>
      </c>
      <c r="B13108" s="4" t="str">
        <f>HYPERLINK("https://twitter.com/petrogustavo","@petrogustavo")</f>
        <v>@petrogustavo</v>
      </c>
      <c r="C13108" s="5" t="s">
        <v>16</v>
      </c>
      <c r="D13108" s="5" t="s">
        <v>12610</v>
      </c>
      <c r="E13108" s="6" t="str">
        <f>HYPERLINK("https://twitter.com/petrogustavo/status/1349825627969499138","1349825627969499138")</f>
        <v>1349825627969499138</v>
      </c>
      <c r="F13108" s="7" t="s">
        <v>17</v>
      </c>
      <c r="G13108" s="7">
        <v>4038067</v>
      </c>
      <c r="H13108" s="7">
        <v>2478</v>
      </c>
      <c r="I13108" s="7">
        <v>979</v>
      </c>
      <c r="J13108" s="7">
        <v>0</v>
      </c>
      <c r="K13108" s="7" t="s">
        <v>18</v>
      </c>
      <c r="L13108" s="8">
        <v>39987.315405092595</v>
      </c>
      <c r="M13108" s="9" t="s">
        <v>19</v>
      </c>
      <c r="N13108" s="9" t="s">
        <v>20</v>
      </c>
      <c r="O13108" s="6" t="str">
        <f>HYPERLINK("https://pbs.twimg.com/profile_images/962471262747529216/Uo8lOkRJ_normal.jpg","View")</f>
        <v>View</v>
      </c>
      <c r="P13108" s="7"/>
    </row>
    <row r="13109" spans="1:16">
      <c r="A13109" s="3">
        <v>44211.113738425927</v>
      </c>
      <c r="B13109" s="4" t="str">
        <f>HYPERLINK("https://twitter.com/petrogustavo","@petrogustavo")</f>
        <v>@petrogustavo</v>
      </c>
      <c r="C13109" s="5" t="s">
        <v>16</v>
      </c>
      <c r="D13109" s="5" t="s">
        <v>12611</v>
      </c>
      <c r="E13109" s="6" t="str">
        <f>HYPERLINK("https://twitter.com/petrogustavo/status/1349827072055775233","1349827072055775233")</f>
        <v>1349827072055775233</v>
      </c>
      <c r="F13109" s="7" t="s">
        <v>17</v>
      </c>
      <c r="G13109" s="7">
        <v>4038067</v>
      </c>
      <c r="H13109" s="7">
        <v>2478</v>
      </c>
      <c r="I13109" s="7">
        <v>20</v>
      </c>
      <c r="J13109" s="7">
        <v>55</v>
      </c>
      <c r="K13109" s="7" t="s">
        <v>18</v>
      </c>
      <c r="L13109" s="8">
        <v>39987.315405092595</v>
      </c>
      <c r="M13109" s="9" t="s">
        <v>19</v>
      </c>
      <c r="N13109" s="9" t="s">
        <v>20</v>
      </c>
      <c r="O13109" s="6" t="str">
        <f>HYPERLINK("https://pbs.twimg.com/profile_images/962471262747529216/Uo8lOkRJ_normal.jpg","View")</f>
        <v>View</v>
      </c>
      <c r="P13109" s="7"/>
    </row>
    <row r="13110" spans="1:16">
      <c r="A13110" s="3">
        <v>44211.125034722223</v>
      </c>
      <c r="B13110" s="4" t="str">
        <f>HYPERLINK("https://twitter.com/petrogustavo","@petrogustavo")</f>
        <v>@petrogustavo</v>
      </c>
      <c r="C13110" s="5" t="s">
        <v>16</v>
      </c>
      <c r="D13110" s="5" t="s">
        <v>12612</v>
      </c>
      <c r="E13110" s="6" t="str">
        <f>HYPERLINK("https://twitter.com/petrogustavo/status/1349831166329761800","1349831166329761800")</f>
        <v>1349831166329761800</v>
      </c>
      <c r="F13110" s="7" t="s">
        <v>17</v>
      </c>
      <c r="G13110" s="7">
        <v>4038058</v>
      </c>
      <c r="H13110" s="7">
        <v>2478</v>
      </c>
      <c r="I13110" s="7">
        <v>137</v>
      </c>
      <c r="J13110" s="7">
        <v>512</v>
      </c>
      <c r="K13110" s="7" t="s">
        <v>18</v>
      </c>
      <c r="L13110" s="8">
        <v>39987.315405092595</v>
      </c>
      <c r="M13110" s="9" t="s">
        <v>19</v>
      </c>
      <c r="N13110" s="9" t="s">
        <v>20</v>
      </c>
      <c r="O13110" s="6" t="str">
        <f>HYPERLINK("https://pbs.twimg.com/profile_images/962471262747529216/Uo8lOkRJ_normal.jpg","View")</f>
        <v>View</v>
      </c>
      <c r="P13110" s="7"/>
    </row>
    <row r="13111" spans="1:16">
      <c r="A13111" s="3">
        <v>44211.127256944441</v>
      </c>
      <c r="B13111" s="4" t="str">
        <f>HYPERLINK("https://twitter.com/petrogustavo","@petrogustavo")</f>
        <v>@petrogustavo</v>
      </c>
      <c r="C13111" s="5" t="s">
        <v>16</v>
      </c>
      <c r="D13111" s="5" t="s">
        <v>12613</v>
      </c>
      <c r="E13111" s="6" t="str">
        <f>HYPERLINK("https://twitter.com/petrogustavo/status/1349831973011939343","1349831973011939343")</f>
        <v>1349831973011939343</v>
      </c>
      <c r="F13111" s="7" t="s">
        <v>17</v>
      </c>
      <c r="G13111" s="7">
        <v>4038058</v>
      </c>
      <c r="H13111" s="7">
        <v>2478</v>
      </c>
      <c r="I13111" s="7">
        <v>78</v>
      </c>
      <c r="J13111" s="7">
        <v>195</v>
      </c>
      <c r="K13111" s="7" t="s">
        <v>18</v>
      </c>
      <c r="L13111" s="8">
        <v>39987.315405092595</v>
      </c>
      <c r="M13111" s="9" t="s">
        <v>19</v>
      </c>
      <c r="N13111" s="9" t="s">
        <v>20</v>
      </c>
      <c r="O13111" s="6" t="str">
        <f>HYPERLINK("https://pbs.twimg.com/profile_images/962471262747529216/Uo8lOkRJ_normal.jpg","View")</f>
        <v>View</v>
      </c>
      <c r="P13111" s="7"/>
    </row>
    <row r="13112" spans="1:16">
      <c r="A13112" s="3">
        <v>44211.127685185187</v>
      </c>
      <c r="B13112" s="4" t="str">
        <f>HYPERLINK("https://twitter.com/petrogustavo","@petrogustavo")</f>
        <v>@petrogustavo</v>
      </c>
      <c r="C13112" s="5" t="s">
        <v>16</v>
      </c>
      <c r="D13112" s="5" t="s">
        <v>12614</v>
      </c>
      <c r="E13112" s="6" t="str">
        <f>HYPERLINK("https://twitter.com/petrogustavo/status/1349832128280875008","1349832128280875008")</f>
        <v>1349832128280875008</v>
      </c>
      <c r="F13112" s="7" t="s">
        <v>17</v>
      </c>
      <c r="G13112" s="7">
        <v>4038058</v>
      </c>
      <c r="H13112" s="7">
        <v>2478</v>
      </c>
      <c r="I13112" s="7">
        <v>137</v>
      </c>
      <c r="J13112" s="7">
        <v>0</v>
      </c>
      <c r="K13112" s="7" t="s">
        <v>18</v>
      </c>
      <c r="L13112" s="8">
        <v>39987.315405092595</v>
      </c>
      <c r="M13112" s="9" t="s">
        <v>19</v>
      </c>
      <c r="N13112" s="9" t="s">
        <v>20</v>
      </c>
      <c r="O13112" s="6" t="str">
        <f>HYPERLINK("https://pbs.twimg.com/profile_images/962471262747529216/Uo8lOkRJ_normal.jpg","View")</f>
        <v>View</v>
      </c>
      <c r="P13112" s="7"/>
    </row>
    <row r="13113" spans="1:16">
      <c r="A13113" s="3">
        <v>44211.493125000001</v>
      </c>
      <c r="B13113" s="4" t="str">
        <f>HYPERLINK("https://twitter.com/petrogustavo","@petrogustavo")</f>
        <v>@petrogustavo</v>
      </c>
      <c r="C13113" s="5" t="s">
        <v>16</v>
      </c>
      <c r="D13113" s="5" t="s">
        <v>12615</v>
      </c>
      <c r="E13113" s="6" t="str">
        <f>HYPERLINK("https://twitter.com/petrogustavo/status/1349964558065143808","1349964558065143808")</f>
        <v>1349964558065143808</v>
      </c>
      <c r="F13113" s="7" t="s">
        <v>17</v>
      </c>
      <c r="G13113" s="7">
        <v>4038418</v>
      </c>
      <c r="H13113" s="7">
        <v>2478</v>
      </c>
      <c r="I13113" s="7">
        <v>60</v>
      </c>
      <c r="J13113" s="7">
        <v>184</v>
      </c>
      <c r="K13113" s="7" t="s">
        <v>18</v>
      </c>
      <c r="L13113" s="8">
        <v>39987.315405092595</v>
      </c>
      <c r="M13113" s="9" t="s">
        <v>19</v>
      </c>
      <c r="N13113" s="9" t="s">
        <v>20</v>
      </c>
      <c r="O13113" s="6" t="str">
        <f>HYPERLINK("https://pbs.twimg.com/profile_images/962471262747529216/Uo8lOkRJ_normal.jpg","View")</f>
        <v>View</v>
      </c>
      <c r="P13113" s="7"/>
    </row>
    <row r="13114" spans="1:16">
      <c r="A13114" s="3">
        <v>44211.71056712963</v>
      </c>
      <c r="B13114" s="4" t="str">
        <f>HYPERLINK("https://twitter.com/petrogustavo","@petrogustavo")</f>
        <v>@petrogustavo</v>
      </c>
      <c r="C13114" s="5" t="s">
        <v>16</v>
      </c>
      <c r="D13114" s="5" t="s">
        <v>12616</v>
      </c>
      <c r="E13114" s="6" t="str">
        <f>HYPERLINK("https://twitter.com/petrogustavo/status/1350043355477110784","1350043355477110784")</f>
        <v>1350043355477110784</v>
      </c>
      <c r="F13114" s="7" t="s">
        <v>17</v>
      </c>
      <c r="G13114" s="7">
        <v>4038432</v>
      </c>
      <c r="H13114" s="7">
        <v>2478</v>
      </c>
      <c r="I13114" s="7">
        <v>43</v>
      </c>
      <c r="J13114" s="7">
        <v>102</v>
      </c>
      <c r="K13114" s="7" t="s">
        <v>18</v>
      </c>
      <c r="L13114" s="8">
        <v>39987.315405092595</v>
      </c>
      <c r="M13114" s="9" t="s">
        <v>19</v>
      </c>
      <c r="N13114" s="9" t="s">
        <v>20</v>
      </c>
      <c r="O13114" s="6" t="str">
        <f>HYPERLINK("https://pbs.twimg.com/profile_images/962471262747529216/Uo8lOkRJ_normal.jpg","View")</f>
        <v>View</v>
      </c>
      <c r="P13114" s="7"/>
    </row>
    <row r="13115" spans="1:16">
      <c r="A13115" s="3">
        <v>44211.71429398148</v>
      </c>
      <c r="B13115" s="4" t="str">
        <f>HYPERLINK("https://twitter.com/petrogustavo","@petrogustavo")</f>
        <v>@petrogustavo</v>
      </c>
      <c r="C13115" s="5" t="s">
        <v>16</v>
      </c>
      <c r="D13115" s="5" t="s">
        <v>12617</v>
      </c>
      <c r="E13115" s="6" t="str">
        <f>HYPERLINK("https://twitter.com/petrogustavo/status/1350044705267077120","1350044705267077120")</f>
        <v>1350044705267077120</v>
      </c>
      <c r="F13115" s="7" t="s">
        <v>17</v>
      </c>
      <c r="G13115" s="7">
        <v>4038432</v>
      </c>
      <c r="H13115" s="7">
        <v>2478</v>
      </c>
      <c r="I13115" s="7">
        <v>288</v>
      </c>
      <c r="J13115" s="7">
        <v>0</v>
      </c>
      <c r="K13115" s="7" t="s">
        <v>18</v>
      </c>
      <c r="L13115" s="8">
        <v>39987.315405092595</v>
      </c>
      <c r="M13115" s="9" t="s">
        <v>19</v>
      </c>
      <c r="N13115" s="9" t="s">
        <v>20</v>
      </c>
      <c r="O13115" s="6" t="str">
        <f>HYPERLINK("https://pbs.twimg.com/profile_images/962471262747529216/Uo8lOkRJ_normal.jpg","View")</f>
        <v>View</v>
      </c>
      <c r="P13115" s="7"/>
    </row>
    <row r="13116" spans="1:16">
      <c r="A13116" s="3">
        <v>44211.753680555557</v>
      </c>
      <c r="B13116" s="4" t="str">
        <f>HYPERLINK("https://twitter.com/petrogustavo","@petrogustavo")</f>
        <v>@petrogustavo</v>
      </c>
      <c r="C13116" s="5" t="s">
        <v>16</v>
      </c>
      <c r="D13116" s="5" t="s">
        <v>12618</v>
      </c>
      <c r="E13116" s="6" t="str">
        <f>HYPERLINK("https://twitter.com/petrogustavo/status/1350058978533900289","1350058978533900289")</f>
        <v>1350058978533900289</v>
      </c>
      <c r="F13116" s="7" t="s">
        <v>17</v>
      </c>
      <c r="G13116" s="7">
        <v>4038470</v>
      </c>
      <c r="H13116" s="7">
        <v>2478</v>
      </c>
      <c r="I13116" s="7">
        <v>60</v>
      </c>
      <c r="J13116" s="7">
        <v>166</v>
      </c>
      <c r="K13116" s="7" t="s">
        <v>18</v>
      </c>
      <c r="L13116" s="8">
        <v>39987.315405092595</v>
      </c>
      <c r="M13116" s="9" t="s">
        <v>19</v>
      </c>
      <c r="N13116" s="9" t="s">
        <v>20</v>
      </c>
      <c r="O13116" s="6" t="str">
        <f>HYPERLINK("https://pbs.twimg.com/profile_images/962471262747529216/Uo8lOkRJ_normal.jpg","View")</f>
        <v>View</v>
      </c>
      <c r="P13116" s="7"/>
    </row>
    <row r="13117" spans="1:16">
      <c r="A13117" s="3">
        <v>44211.782453703709</v>
      </c>
      <c r="B13117" s="4" t="str">
        <f>HYPERLINK("https://twitter.com/petrogustavo","@petrogustavo")</f>
        <v>@petrogustavo</v>
      </c>
      <c r="C13117" s="5" t="s">
        <v>16</v>
      </c>
      <c r="D13117" s="5" t="s">
        <v>12619</v>
      </c>
      <c r="E13117" s="6" t="str">
        <f>HYPERLINK("https://twitter.com/petrogustavo/status/1350069406043426820","1350069406043426820")</f>
        <v>1350069406043426820</v>
      </c>
      <c r="F13117" s="7" t="s">
        <v>17</v>
      </c>
      <c r="G13117" s="7">
        <v>4038486</v>
      </c>
      <c r="H13117" s="7">
        <v>2478</v>
      </c>
      <c r="I13117" s="7">
        <v>11</v>
      </c>
      <c r="J13117" s="7">
        <v>37</v>
      </c>
      <c r="K13117" s="7" t="s">
        <v>18</v>
      </c>
      <c r="L13117" s="8">
        <v>39987.315405092595</v>
      </c>
      <c r="M13117" s="9" t="s">
        <v>19</v>
      </c>
      <c r="N13117" s="9" t="s">
        <v>20</v>
      </c>
      <c r="O13117" s="6" t="str">
        <f>HYPERLINK("https://pbs.twimg.com/profile_images/962471262747529216/Uo8lOkRJ_normal.jpg","View")</f>
        <v>View</v>
      </c>
      <c r="P13117" s="7"/>
    </row>
    <row r="13118" spans="1:16">
      <c r="A13118" s="3">
        <v>44211.789131944446</v>
      </c>
      <c r="B13118" s="4" t="str">
        <f>HYPERLINK("https://twitter.com/petrogustavo","@petrogustavo")</f>
        <v>@petrogustavo</v>
      </c>
      <c r="C13118" s="5" t="s">
        <v>16</v>
      </c>
      <c r="D13118" s="5" t="s">
        <v>12620</v>
      </c>
      <c r="E13118" s="6" t="str">
        <f>HYPERLINK("https://twitter.com/petrogustavo/status/1350071827658403843","1350071827658403843")</f>
        <v>1350071827658403843</v>
      </c>
      <c r="F13118" s="7" t="s">
        <v>17</v>
      </c>
      <c r="G13118" s="7">
        <v>4038489</v>
      </c>
      <c r="H13118" s="7">
        <v>2478</v>
      </c>
      <c r="I13118" s="7">
        <v>114</v>
      </c>
      <c r="J13118" s="7">
        <v>315</v>
      </c>
      <c r="K13118" s="7" t="s">
        <v>18</v>
      </c>
      <c r="L13118" s="8">
        <v>39987.315405092595</v>
      </c>
      <c r="M13118" s="9" t="s">
        <v>19</v>
      </c>
      <c r="N13118" s="9" t="s">
        <v>20</v>
      </c>
      <c r="O13118" s="6" t="str">
        <f>HYPERLINK("https://pbs.twimg.com/profile_images/962471262747529216/Uo8lOkRJ_normal.jpg","View")</f>
        <v>View</v>
      </c>
      <c r="P13118" s="7"/>
    </row>
    <row r="13119" spans="1:16">
      <c r="A13119" s="3">
        <v>44211.789131944446</v>
      </c>
      <c r="B13119" s="4" t="str">
        <f>HYPERLINK("https://twitter.com/petrogustavo","@petrogustavo")</f>
        <v>@petrogustavo</v>
      </c>
      <c r="C13119" s="5" t="s">
        <v>16</v>
      </c>
      <c r="D13119" s="5" t="s">
        <v>12621</v>
      </c>
      <c r="E13119" s="6" t="str">
        <f>HYPERLINK("https://twitter.com/petrogustavo/status/1350071829168316416","1350071829168316416")</f>
        <v>1350071829168316416</v>
      </c>
      <c r="F13119" s="7" t="s">
        <v>17</v>
      </c>
      <c r="G13119" s="7">
        <v>4038489</v>
      </c>
      <c r="H13119" s="7">
        <v>2478</v>
      </c>
      <c r="I13119" s="7">
        <v>75</v>
      </c>
      <c r="J13119" s="7">
        <v>226</v>
      </c>
      <c r="K13119" s="7" t="s">
        <v>18</v>
      </c>
      <c r="L13119" s="8">
        <v>39987.315405092595</v>
      </c>
      <c r="M13119" s="9" t="s">
        <v>19</v>
      </c>
      <c r="N13119" s="9" t="s">
        <v>20</v>
      </c>
      <c r="O13119" s="6" t="str">
        <f>HYPERLINK("https://pbs.twimg.com/profile_images/962471262747529216/Uo8lOkRJ_normal.jpg","View")</f>
        <v>View</v>
      </c>
      <c r="P13119" s="7"/>
    </row>
    <row r="13120" spans="1:16">
      <c r="A13120" s="3">
        <v>44211.80096064815</v>
      </c>
      <c r="B13120" s="4" t="str">
        <f>HYPERLINK("https://twitter.com/petrogustavo","@petrogustavo")</f>
        <v>@petrogustavo</v>
      </c>
      <c r="C13120" s="5" t="s">
        <v>16</v>
      </c>
      <c r="D13120" s="5" t="s">
        <v>12622</v>
      </c>
      <c r="E13120" s="6" t="str">
        <f>HYPERLINK("https://twitter.com/petrogustavo/status/1350076115507957765","1350076115507957765")</f>
        <v>1350076115507957765</v>
      </c>
      <c r="F13120" s="7" t="s">
        <v>17</v>
      </c>
      <c r="G13120" s="7">
        <v>4038489</v>
      </c>
      <c r="H13120" s="7">
        <v>2478</v>
      </c>
      <c r="I13120" s="7">
        <v>175</v>
      </c>
      <c r="J13120" s="7">
        <v>0</v>
      </c>
      <c r="K13120" s="7" t="s">
        <v>18</v>
      </c>
      <c r="L13120" s="8">
        <v>39987.315405092595</v>
      </c>
      <c r="M13120" s="9" t="s">
        <v>19</v>
      </c>
      <c r="N13120" s="9" t="s">
        <v>20</v>
      </c>
      <c r="O13120" s="6" t="str">
        <f>HYPERLINK("https://pbs.twimg.com/profile_images/962471262747529216/Uo8lOkRJ_normal.jpg","View")</f>
        <v>View</v>
      </c>
      <c r="P13120" s="7"/>
    </row>
    <row r="13121" spans="1:16">
      <c r="A13121" s="3">
        <v>44212.084409722222</v>
      </c>
      <c r="B13121" s="4" t="str">
        <f>HYPERLINK("https://twitter.com/petrogustavo","@petrogustavo")</f>
        <v>@petrogustavo</v>
      </c>
      <c r="C13121" s="5" t="s">
        <v>16</v>
      </c>
      <c r="D13121" s="5" t="s">
        <v>12623</v>
      </c>
      <c r="E13121" s="6" t="str">
        <f>HYPERLINK("https://twitter.com/petrogustavo/status/1350178833073373188","1350178833073373188")</f>
        <v>1350178833073373188</v>
      </c>
      <c r="F13121" s="7" t="s">
        <v>17</v>
      </c>
      <c r="G13121" s="7">
        <v>4039161</v>
      </c>
      <c r="H13121" s="7">
        <v>2478</v>
      </c>
      <c r="I13121" s="7">
        <v>259</v>
      </c>
      <c r="J13121" s="7">
        <v>927</v>
      </c>
      <c r="K13121" s="7" t="s">
        <v>18</v>
      </c>
      <c r="L13121" s="8">
        <v>39987.315405092595</v>
      </c>
      <c r="M13121" s="9" t="s">
        <v>19</v>
      </c>
      <c r="N13121" s="9" t="s">
        <v>20</v>
      </c>
      <c r="O13121" s="6" t="str">
        <f>HYPERLINK("https://pbs.twimg.com/profile_images/962471262747529216/Uo8lOkRJ_normal.jpg","View")</f>
        <v>View</v>
      </c>
      <c r="P13121" s="7"/>
    </row>
    <row r="13122" spans="1:16">
      <c r="A13122" s="3">
        <v>44212.089039351849</v>
      </c>
      <c r="B13122" s="4" t="str">
        <f>HYPERLINK("https://twitter.com/petrogustavo","@petrogustavo")</f>
        <v>@petrogustavo</v>
      </c>
      <c r="C13122" s="5" t="s">
        <v>16</v>
      </c>
      <c r="D13122" s="5" t="s">
        <v>12624</v>
      </c>
      <c r="E13122" s="6" t="str">
        <f>HYPERLINK("https://twitter.com/petrogustavo/status/1350180508983042048","1350180508983042048")</f>
        <v>1350180508983042048</v>
      </c>
      <c r="F13122" s="7" t="s">
        <v>17</v>
      </c>
      <c r="G13122" s="7">
        <v>4039161</v>
      </c>
      <c r="H13122" s="7">
        <v>2478</v>
      </c>
      <c r="I13122" s="7">
        <v>192</v>
      </c>
      <c r="J13122" s="7">
        <v>0</v>
      </c>
      <c r="K13122" s="7" t="s">
        <v>18</v>
      </c>
      <c r="L13122" s="8">
        <v>39987.315405092595</v>
      </c>
      <c r="M13122" s="9" t="s">
        <v>19</v>
      </c>
      <c r="N13122" s="9" t="s">
        <v>20</v>
      </c>
      <c r="O13122" s="6" t="str">
        <f>HYPERLINK("https://pbs.twimg.com/profile_images/962471262747529216/Uo8lOkRJ_normal.jpg","View")</f>
        <v>View</v>
      </c>
      <c r="P13122" s="7"/>
    </row>
    <row r="13123" spans="1:16">
      <c r="A13123" s="3">
        <v>44212.096053240741</v>
      </c>
      <c r="B13123" s="4" t="str">
        <f>HYPERLINK("https://twitter.com/petrogustavo","@petrogustavo")</f>
        <v>@petrogustavo</v>
      </c>
      <c r="C13123" s="5" t="s">
        <v>16</v>
      </c>
      <c r="D13123" s="5" t="s">
        <v>12625</v>
      </c>
      <c r="E13123" s="6" t="str">
        <f>HYPERLINK("https://twitter.com/petrogustavo/status/1350183050781585411","1350183050781585411")</f>
        <v>1350183050781585411</v>
      </c>
      <c r="F13123" s="7" t="s">
        <v>17</v>
      </c>
      <c r="G13123" s="7">
        <v>4039211</v>
      </c>
      <c r="H13123" s="7">
        <v>2478</v>
      </c>
      <c r="I13123" s="7">
        <v>114</v>
      </c>
      <c r="J13123" s="7">
        <v>272</v>
      </c>
      <c r="K13123" s="7" t="s">
        <v>18</v>
      </c>
      <c r="L13123" s="8">
        <v>39987.315405092595</v>
      </c>
      <c r="M13123" s="9" t="s">
        <v>19</v>
      </c>
      <c r="N13123" s="9" t="s">
        <v>20</v>
      </c>
      <c r="O13123" s="6" t="str">
        <f>HYPERLINK("https://pbs.twimg.com/profile_images/962471262747529216/Uo8lOkRJ_normal.jpg","View")</f>
        <v>View</v>
      </c>
      <c r="P13123" s="7"/>
    </row>
    <row r="13124" spans="1:16">
      <c r="A13124" s="3">
        <v>44212.098634259259</v>
      </c>
      <c r="B13124" s="4" t="str">
        <f>HYPERLINK("https://twitter.com/petrogustavo","@petrogustavo")</f>
        <v>@petrogustavo</v>
      </c>
      <c r="C13124" s="5" t="s">
        <v>16</v>
      </c>
      <c r="D13124" s="5" t="s">
        <v>12626</v>
      </c>
      <c r="E13124" s="6" t="str">
        <f>HYPERLINK("https://twitter.com/petrogustavo/status/1350183986698575879","1350183986698575879")</f>
        <v>1350183986698575879</v>
      </c>
      <c r="F13124" s="7" t="s">
        <v>17</v>
      </c>
      <c r="G13124" s="7">
        <v>4039211</v>
      </c>
      <c r="H13124" s="7">
        <v>2478</v>
      </c>
      <c r="I13124" s="7">
        <v>72</v>
      </c>
      <c r="J13124" s="7">
        <v>0</v>
      </c>
      <c r="K13124" s="7" t="s">
        <v>18</v>
      </c>
      <c r="L13124" s="8">
        <v>39987.315405092595</v>
      </c>
      <c r="M13124" s="9" t="s">
        <v>19</v>
      </c>
      <c r="N13124" s="9" t="s">
        <v>20</v>
      </c>
      <c r="O13124" s="6" t="str">
        <f>HYPERLINK("https://pbs.twimg.com/profile_images/962471262747529216/Uo8lOkRJ_normal.jpg","View")</f>
        <v>View</v>
      </c>
      <c r="P13124" s="7"/>
    </row>
    <row r="13125" spans="1:16">
      <c r="A13125" s="3">
        <v>44212.111782407403</v>
      </c>
      <c r="B13125" s="4" t="str">
        <f>HYPERLINK("https://twitter.com/petrogustavo","@petrogustavo")</f>
        <v>@petrogustavo</v>
      </c>
      <c r="C13125" s="5" t="s">
        <v>16</v>
      </c>
      <c r="D13125" s="5" t="s">
        <v>12627</v>
      </c>
      <c r="E13125" s="6" t="str">
        <f>HYPERLINK("https://twitter.com/petrogustavo/status/1350188751411163136","1350188751411163136")</f>
        <v>1350188751411163136</v>
      </c>
      <c r="F13125" s="7" t="s">
        <v>17</v>
      </c>
      <c r="G13125" s="7">
        <v>4039211</v>
      </c>
      <c r="H13125" s="7">
        <v>2478</v>
      </c>
      <c r="I13125" s="7">
        <v>114</v>
      </c>
      <c r="J13125" s="7">
        <v>0</v>
      </c>
      <c r="K13125" s="7" t="s">
        <v>18</v>
      </c>
      <c r="L13125" s="8">
        <v>39987.315405092595</v>
      </c>
      <c r="M13125" s="9" t="s">
        <v>19</v>
      </c>
      <c r="N13125" s="9" t="s">
        <v>20</v>
      </c>
      <c r="O13125" s="6" t="str">
        <f>HYPERLINK("https://pbs.twimg.com/profile_images/962471262747529216/Uo8lOkRJ_normal.jpg","View")</f>
        <v>View</v>
      </c>
      <c r="P13125" s="7"/>
    </row>
    <row r="13126" spans="1:16">
      <c r="A13126" s="3">
        <v>44212.112175925926</v>
      </c>
      <c r="B13126" s="4" t="str">
        <f>HYPERLINK("https://twitter.com/petrogustavo","@petrogustavo")</f>
        <v>@petrogustavo</v>
      </c>
      <c r="C13126" s="5" t="s">
        <v>16</v>
      </c>
      <c r="D13126" s="5" t="s">
        <v>12628</v>
      </c>
      <c r="E13126" s="6" t="str">
        <f>HYPERLINK("https://twitter.com/petrogustavo/status/1350188895229661184","1350188895229661184")</f>
        <v>1350188895229661184</v>
      </c>
      <c r="F13126" s="7" t="s">
        <v>17</v>
      </c>
      <c r="G13126" s="7">
        <v>4039211</v>
      </c>
      <c r="H13126" s="7">
        <v>2478</v>
      </c>
      <c r="I13126" s="7">
        <v>832</v>
      </c>
      <c r="J13126" s="7">
        <v>0</v>
      </c>
      <c r="K13126" s="7" t="s">
        <v>18</v>
      </c>
      <c r="L13126" s="8">
        <v>39987.315405092595</v>
      </c>
      <c r="M13126" s="9" t="s">
        <v>19</v>
      </c>
      <c r="N13126" s="9" t="s">
        <v>20</v>
      </c>
      <c r="O13126" s="6" t="str">
        <f>HYPERLINK("https://pbs.twimg.com/profile_images/962471262747529216/Uo8lOkRJ_normal.jpg","View")</f>
        <v>View</v>
      </c>
      <c r="P13126" s="7"/>
    </row>
    <row r="13127" spans="1:16">
      <c r="A13127" s="3">
        <v>44212.117743055554</v>
      </c>
      <c r="B13127" s="4" t="str">
        <f>HYPERLINK("https://twitter.com/petrogustavo","@petrogustavo")</f>
        <v>@petrogustavo</v>
      </c>
      <c r="C13127" s="5" t="s">
        <v>16</v>
      </c>
      <c r="D13127" s="5" t="s">
        <v>12629</v>
      </c>
      <c r="E13127" s="6" t="str">
        <f>HYPERLINK("https://twitter.com/petrogustavo/status/1350190910903099393","1350190910903099393")</f>
        <v>1350190910903099393</v>
      </c>
      <c r="F13127" s="7" t="s">
        <v>17</v>
      </c>
      <c r="G13127" s="7">
        <v>4039214</v>
      </c>
      <c r="H13127" s="7">
        <v>2478</v>
      </c>
      <c r="I13127" s="7">
        <v>141</v>
      </c>
      <c r="J13127" s="7">
        <v>453</v>
      </c>
      <c r="K13127" s="7" t="s">
        <v>18</v>
      </c>
      <c r="L13127" s="8">
        <v>39987.315405092595</v>
      </c>
      <c r="M13127" s="9" t="s">
        <v>19</v>
      </c>
      <c r="N13127" s="9" t="s">
        <v>20</v>
      </c>
      <c r="O13127" s="6" t="str">
        <f>HYPERLINK("https://pbs.twimg.com/profile_images/962471262747529216/Uo8lOkRJ_normal.jpg","View")</f>
        <v>View</v>
      </c>
      <c r="P13127" s="7"/>
    </row>
    <row r="13128" spans="1:16">
      <c r="A13128" s="3">
        <v>44212.1409837963</v>
      </c>
      <c r="B13128" s="4" t="str">
        <f>HYPERLINK("https://twitter.com/petrogustavo","@petrogustavo")</f>
        <v>@petrogustavo</v>
      </c>
      <c r="C13128" s="5" t="s">
        <v>16</v>
      </c>
      <c r="D13128" s="5" t="s">
        <v>12630</v>
      </c>
      <c r="E13128" s="6" t="str">
        <f>HYPERLINK("https://twitter.com/petrogustavo/status/1350199335691153409","1350199335691153409")</f>
        <v>1350199335691153409</v>
      </c>
      <c r="F13128" s="7" t="s">
        <v>17</v>
      </c>
      <c r="G13128" s="7">
        <v>4039249</v>
      </c>
      <c r="H13128" s="7">
        <v>2478</v>
      </c>
      <c r="I13128" s="7">
        <v>147</v>
      </c>
      <c r="J13128" s="7">
        <v>518</v>
      </c>
      <c r="K13128" s="7" t="s">
        <v>18</v>
      </c>
      <c r="L13128" s="8">
        <v>39987.315405092595</v>
      </c>
      <c r="M13128" s="9" t="s">
        <v>19</v>
      </c>
      <c r="N13128" s="9" t="s">
        <v>20</v>
      </c>
      <c r="O13128" s="6" t="str">
        <f>HYPERLINK("https://pbs.twimg.com/profile_images/962471262747529216/Uo8lOkRJ_normal.jpg","View")</f>
        <v>View</v>
      </c>
      <c r="P13128" s="7"/>
    </row>
    <row r="13129" spans="1:16">
      <c r="A13129" s="3">
        <v>44212.142581018517</v>
      </c>
      <c r="B13129" s="4" t="str">
        <f>HYPERLINK("https://twitter.com/petrogustavo","@petrogustavo")</f>
        <v>@petrogustavo</v>
      </c>
      <c r="C13129" s="5" t="s">
        <v>16</v>
      </c>
      <c r="D13129" s="5" t="s">
        <v>12631</v>
      </c>
      <c r="E13129" s="6" t="str">
        <f>HYPERLINK("https://twitter.com/petrogustavo/status/1350199913062273032","1350199913062273032")</f>
        <v>1350199913062273032</v>
      </c>
      <c r="F13129" s="7" t="s">
        <v>17</v>
      </c>
      <c r="G13129" s="7">
        <v>4039249</v>
      </c>
      <c r="H13129" s="7">
        <v>2478</v>
      </c>
      <c r="I13129" s="7">
        <v>61</v>
      </c>
      <c r="J13129" s="7">
        <v>157</v>
      </c>
      <c r="K13129" s="7" t="s">
        <v>18</v>
      </c>
      <c r="L13129" s="8">
        <v>39987.315405092595</v>
      </c>
      <c r="M13129" s="9" t="s">
        <v>19</v>
      </c>
      <c r="N13129" s="9" t="s">
        <v>20</v>
      </c>
      <c r="O13129" s="6" t="str">
        <f>HYPERLINK("https://pbs.twimg.com/profile_images/962471262747529216/Uo8lOkRJ_normal.jpg","View")</f>
        <v>View</v>
      </c>
      <c r="P13129" s="7"/>
    </row>
    <row r="13130" spans="1:16">
      <c r="A13130" s="3">
        <v>44212.14916666667</v>
      </c>
      <c r="B13130" s="4" t="str">
        <f>HYPERLINK("https://twitter.com/petrogustavo","@petrogustavo")</f>
        <v>@petrogustavo</v>
      </c>
      <c r="C13130" s="5" t="s">
        <v>16</v>
      </c>
      <c r="D13130" s="5" t="s">
        <v>12632</v>
      </c>
      <c r="E13130" s="6" t="str">
        <f>HYPERLINK("https://twitter.com/petrogustavo/status/1350202298698444813","1350202298698444813")</f>
        <v>1350202298698444813</v>
      </c>
      <c r="F13130" s="7" t="s">
        <v>17</v>
      </c>
      <c r="G13130" s="7">
        <v>4039249</v>
      </c>
      <c r="H13130" s="7">
        <v>2478</v>
      </c>
      <c r="I13130" s="7">
        <v>955</v>
      </c>
      <c r="J13130" s="7">
        <v>0</v>
      </c>
      <c r="K13130" s="7" t="s">
        <v>18</v>
      </c>
      <c r="L13130" s="8">
        <v>39987.315405092595</v>
      </c>
      <c r="M13130" s="9" t="s">
        <v>19</v>
      </c>
      <c r="N13130" s="9" t="s">
        <v>20</v>
      </c>
      <c r="O13130" s="6" t="str">
        <f>HYPERLINK("https://pbs.twimg.com/profile_images/962471262747529216/Uo8lOkRJ_normal.jpg","View")</f>
        <v>View</v>
      </c>
      <c r="P13130" s="7"/>
    </row>
    <row r="13131" spans="1:16">
      <c r="A13131" s="3">
        <v>44212.150937500002</v>
      </c>
      <c r="B13131" s="4" t="str">
        <f>HYPERLINK("https://twitter.com/petrogustavo","@petrogustavo")</f>
        <v>@petrogustavo</v>
      </c>
      <c r="C13131" s="5" t="s">
        <v>16</v>
      </c>
      <c r="D13131" s="5" t="s">
        <v>12633</v>
      </c>
      <c r="E13131" s="6" t="str">
        <f>HYPERLINK("https://twitter.com/petrogustavo/status/1350202941907623936","1350202941907623936")</f>
        <v>1350202941907623936</v>
      </c>
      <c r="F13131" s="7" t="s">
        <v>17</v>
      </c>
      <c r="G13131" s="7">
        <v>4039249</v>
      </c>
      <c r="H13131" s="7">
        <v>2478</v>
      </c>
      <c r="I13131" s="7">
        <v>97</v>
      </c>
      <c r="J13131" s="7">
        <v>286</v>
      </c>
      <c r="K13131" s="7" t="s">
        <v>18</v>
      </c>
      <c r="L13131" s="8">
        <v>39987.315405092595</v>
      </c>
      <c r="M13131" s="9" t="s">
        <v>19</v>
      </c>
      <c r="N13131" s="9" t="s">
        <v>20</v>
      </c>
      <c r="O13131" s="6" t="str">
        <f>HYPERLINK("https://pbs.twimg.com/profile_images/962471262747529216/Uo8lOkRJ_normal.jpg","View")</f>
        <v>View</v>
      </c>
      <c r="P13131" s="7"/>
    </row>
    <row r="13132" spans="1:16">
      <c r="A13132" s="3">
        <v>44212.153900462959</v>
      </c>
      <c r="B13132" s="4" t="str">
        <f>HYPERLINK("https://twitter.com/petrogustavo","@petrogustavo")</f>
        <v>@petrogustavo</v>
      </c>
      <c r="C13132" s="5" t="s">
        <v>16</v>
      </c>
      <c r="D13132" s="5" t="s">
        <v>12634</v>
      </c>
      <c r="E13132" s="6" t="str">
        <f>HYPERLINK("https://twitter.com/petrogustavo/status/1350204015687172097","1350204015687172097")</f>
        <v>1350204015687172097</v>
      </c>
      <c r="F13132" s="7" t="s">
        <v>17</v>
      </c>
      <c r="G13132" s="7">
        <v>4039249</v>
      </c>
      <c r="H13132" s="7">
        <v>2478</v>
      </c>
      <c r="I13132" s="7">
        <v>19</v>
      </c>
      <c r="J13132" s="7">
        <v>0</v>
      </c>
      <c r="K13132" s="7" t="s">
        <v>18</v>
      </c>
      <c r="L13132" s="8">
        <v>39987.315405092595</v>
      </c>
      <c r="M13132" s="9" t="s">
        <v>19</v>
      </c>
      <c r="N13132" s="9" t="s">
        <v>20</v>
      </c>
      <c r="O13132" s="6" t="str">
        <f>HYPERLINK("https://pbs.twimg.com/profile_images/962471262747529216/Uo8lOkRJ_normal.jpg","View")</f>
        <v>View</v>
      </c>
      <c r="P13132" s="7"/>
    </row>
    <row r="13133" spans="1:16">
      <c r="A13133" s="3">
        <v>44212.154282407406</v>
      </c>
      <c r="B13133" s="4" t="str">
        <f>HYPERLINK("https://twitter.com/petrogustavo","@petrogustavo")</f>
        <v>@petrogustavo</v>
      </c>
      <c r="C13133" s="5" t="s">
        <v>16</v>
      </c>
      <c r="D13133" s="5" t="s">
        <v>12635</v>
      </c>
      <c r="E13133" s="6" t="str">
        <f>HYPERLINK("https://twitter.com/petrogustavo/status/1350204153906278400","1350204153906278400")</f>
        <v>1350204153906278400</v>
      </c>
      <c r="F13133" s="7" t="s">
        <v>17</v>
      </c>
      <c r="G13133" s="7">
        <v>4039249</v>
      </c>
      <c r="H13133" s="7">
        <v>2478</v>
      </c>
      <c r="I13133" s="7">
        <v>217</v>
      </c>
      <c r="J13133" s="7">
        <v>0</v>
      </c>
      <c r="K13133" s="7" t="s">
        <v>18</v>
      </c>
      <c r="L13133" s="8">
        <v>39987.315405092595</v>
      </c>
      <c r="M13133" s="9" t="s">
        <v>19</v>
      </c>
      <c r="N13133" s="9" t="s">
        <v>20</v>
      </c>
      <c r="O13133" s="6" t="str">
        <f>HYPERLINK("https://pbs.twimg.com/profile_images/962471262747529216/Uo8lOkRJ_normal.jpg","View")</f>
        <v>View</v>
      </c>
      <c r="P13133" s="7"/>
    </row>
    <row r="13134" spans="1:16">
      <c r="A13134" s="3">
        <v>44212.154432870375</v>
      </c>
      <c r="B13134" s="4" t="str">
        <f>HYPERLINK("https://twitter.com/petrogustavo","@petrogustavo")</f>
        <v>@petrogustavo</v>
      </c>
      <c r="C13134" s="5" t="s">
        <v>16</v>
      </c>
      <c r="D13134" s="5" t="s">
        <v>12628</v>
      </c>
      <c r="E13134" s="6" t="str">
        <f>HYPERLINK("https://twitter.com/petrogustavo/status/1350204209019412482","1350204209019412482")</f>
        <v>1350204209019412482</v>
      </c>
      <c r="F13134" s="7" t="s">
        <v>17</v>
      </c>
      <c r="G13134" s="7">
        <v>4039249</v>
      </c>
      <c r="H13134" s="7">
        <v>2478</v>
      </c>
      <c r="I13134" s="7">
        <v>863</v>
      </c>
      <c r="J13134" s="7">
        <v>0</v>
      </c>
      <c r="K13134" s="7" t="s">
        <v>18</v>
      </c>
      <c r="L13134" s="8">
        <v>39987.315405092595</v>
      </c>
      <c r="M13134" s="9" t="s">
        <v>19</v>
      </c>
      <c r="N13134" s="9" t="s">
        <v>20</v>
      </c>
      <c r="O13134" s="6" t="str">
        <f>HYPERLINK("https://pbs.twimg.com/profile_images/962471262747529216/Uo8lOkRJ_normal.jpg","View")</f>
        <v>View</v>
      </c>
      <c r="P13134" s="7"/>
    </row>
    <row r="13135" spans="1:16">
      <c r="A13135" s="3">
        <v>44212.159513888888</v>
      </c>
      <c r="B13135" s="4" t="str">
        <f>HYPERLINK("https://twitter.com/petrogustavo","@petrogustavo")</f>
        <v>@petrogustavo</v>
      </c>
      <c r="C13135" s="5" t="s">
        <v>16</v>
      </c>
      <c r="D13135" s="5" t="s">
        <v>12636</v>
      </c>
      <c r="E13135" s="6" t="str">
        <f>HYPERLINK("https://twitter.com/petrogustavo/status/1350206048435662854","1350206048435662854")</f>
        <v>1350206048435662854</v>
      </c>
      <c r="F13135" s="7" t="s">
        <v>17</v>
      </c>
      <c r="G13135" s="7">
        <v>4039279</v>
      </c>
      <c r="H13135" s="7">
        <v>2478</v>
      </c>
      <c r="I13135" s="7">
        <v>101</v>
      </c>
      <c r="J13135" s="7">
        <v>177</v>
      </c>
      <c r="K13135" s="7" t="s">
        <v>18</v>
      </c>
      <c r="L13135" s="8">
        <v>39987.315405092595</v>
      </c>
      <c r="M13135" s="9" t="s">
        <v>19</v>
      </c>
      <c r="N13135" s="9" t="s">
        <v>20</v>
      </c>
      <c r="O13135" s="6" t="str">
        <f>HYPERLINK("https://pbs.twimg.com/profile_images/962471262747529216/Uo8lOkRJ_normal.jpg","View")</f>
        <v>View</v>
      </c>
      <c r="P13135" s="7"/>
    </row>
    <row r="13136" spans="1:16">
      <c r="A13136" s="3">
        <v>44212.160196759258</v>
      </c>
      <c r="B13136" s="4" t="str">
        <f>HYPERLINK("https://twitter.com/petrogustavo","@petrogustavo")</f>
        <v>@petrogustavo</v>
      </c>
      <c r="C13136" s="5" t="s">
        <v>16</v>
      </c>
      <c r="D13136" s="5" t="s">
        <v>12627</v>
      </c>
      <c r="E13136" s="6" t="str">
        <f>HYPERLINK("https://twitter.com/petrogustavo/status/1350206296113426433","1350206296113426433")</f>
        <v>1350206296113426433</v>
      </c>
      <c r="F13136" s="7" t="s">
        <v>17</v>
      </c>
      <c r="G13136" s="7">
        <v>4039279</v>
      </c>
      <c r="H13136" s="7">
        <v>2478</v>
      </c>
      <c r="I13136" s="7">
        <v>235</v>
      </c>
      <c r="J13136" s="7">
        <v>0</v>
      </c>
      <c r="K13136" s="7" t="s">
        <v>18</v>
      </c>
      <c r="L13136" s="8">
        <v>39987.315405092595</v>
      </c>
      <c r="M13136" s="9" t="s">
        <v>19</v>
      </c>
      <c r="N13136" s="9" t="s">
        <v>20</v>
      </c>
      <c r="O13136" s="6" t="str">
        <f>HYPERLINK("https://pbs.twimg.com/profile_images/962471262747529216/Uo8lOkRJ_normal.jpg","View")</f>
        <v>View</v>
      </c>
      <c r="P13136" s="7"/>
    </row>
    <row r="13137" spans="1:16">
      <c r="A13137" s="3">
        <v>44212.967337962968</v>
      </c>
      <c r="B13137" s="4" t="str">
        <f>HYPERLINK("https://twitter.com/petrogustavo","@petrogustavo")</f>
        <v>@petrogustavo</v>
      </c>
      <c r="C13137" s="5" t="s">
        <v>16</v>
      </c>
      <c r="D13137" s="5" t="s">
        <v>12637</v>
      </c>
      <c r="E13137" s="6" t="str">
        <f>HYPERLINK("https://twitter.com/petrogustavo/status/1350498795767922689","1350498795767922689")</f>
        <v>1350498795767922689</v>
      </c>
      <c r="F13137" s="7" t="s">
        <v>17</v>
      </c>
      <c r="G13137" s="7">
        <v>4040163</v>
      </c>
      <c r="H13137" s="7">
        <v>2479</v>
      </c>
      <c r="I13137" s="7">
        <v>18</v>
      </c>
      <c r="J13137" s="7">
        <v>79</v>
      </c>
      <c r="K13137" s="7" t="s">
        <v>18</v>
      </c>
      <c r="L13137" s="8">
        <v>39987.315405092595</v>
      </c>
      <c r="M13137" s="9" t="s">
        <v>19</v>
      </c>
      <c r="N13137" s="9" t="s">
        <v>20</v>
      </c>
      <c r="O13137" s="6" t="str">
        <f>HYPERLINK("https://pbs.twimg.com/profile_images/962471262747529216/Uo8lOkRJ_normal.jpg","View")</f>
        <v>View</v>
      </c>
      <c r="P13137" s="7"/>
    </row>
    <row r="13138" spans="1:16">
      <c r="A13138" s="3">
        <v>44212.967337962968</v>
      </c>
      <c r="B13138" s="4" t="str">
        <f>HYPERLINK("https://twitter.com/petrogustavo","@petrogustavo")</f>
        <v>@petrogustavo</v>
      </c>
      <c r="C13138" s="5" t="s">
        <v>16</v>
      </c>
      <c r="D13138" s="5" t="s">
        <v>12638</v>
      </c>
      <c r="E13138" s="6" t="str">
        <f>HYPERLINK("https://twitter.com/petrogustavo/status/1350498797265281024","1350498797265281024")</f>
        <v>1350498797265281024</v>
      </c>
      <c r="F13138" s="7" t="s">
        <v>17</v>
      </c>
      <c r="G13138" s="7">
        <v>4040163</v>
      </c>
      <c r="H13138" s="7">
        <v>2479</v>
      </c>
      <c r="I13138" s="7">
        <v>15</v>
      </c>
      <c r="J13138" s="7">
        <v>62</v>
      </c>
      <c r="K13138" s="7" t="s">
        <v>18</v>
      </c>
      <c r="L13138" s="8">
        <v>39987.315405092595</v>
      </c>
      <c r="M13138" s="9" t="s">
        <v>19</v>
      </c>
      <c r="N13138" s="9" t="s">
        <v>20</v>
      </c>
      <c r="O13138" s="6" t="str">
        <f>HYPERLINK("https://pbs.twimg.com/profile_images/962471262747529216/Uo8lOkRJ_normal.jpg","View")</f>
        <v>View</v>
      </c>
      <c r="P13138" s="7"/>
    </row>
    <row r="13139" spans="1:16">
      <c r="A13139" s="3">
        <v>44212.968692129631</v>
      </c>
      <c r="B13139" s="4" t="str">
        <f>HYPERLINK("https://twitter.com/petrogustavo","@petrogustavo")</f>
        <v>@petrogustavo</v>
      </c>
      <c r="C13139" s="5" t="s">
        <v>16</v>
      </c>
      <c r="D13139" s="5" t="s">
        <v>12639</v>
      </c>
      <c r="E13139" s="6" t="str">
        <f>HYPERLINK("https://twitter.com/petrogustavo/status/1350499284106489856","1350499284106489856")</f>
        <v>1350499284106489856</v>
      </c>
      <c r="F13139" s="7" t="s">
        <v>17</v>
      </c>
      <c r="G13139" s="7">
        <v>4040163</v>
      </c>
      <c r="H13139" s="7">
        <v>2479</v>
      </c>
      <c r="I13139" s="7">
        <v>10</v>
      </c>
      <c r="J13139" s="7">
        <v>51</v>
      </c>
      <c r="K13139" s="7" t="s">
        <v>18</v>
      </c>
      <c r="L13139" s="8">
        <v>39987.315405092595</v>
      </c>
      <c r="M13139" s="9" t="s">
        <v>19</v>
      </c>
      <c r="N13139" s="9" t="s">
        <v>20</v>
      </c>
      <c r="O13139" s="6" t="str">
        <f>HYPERLINK("https://pbs.twimg.com/profile_images/962471262747529216/Uo8lOkRJ_normal.jpg","View")</f>
        <v>View</v>
      </c>
      <c r="P13139" s="7"/>
    </row>
    <row r="13140" spans="1:16">
      <c r="A13140" s="3">
        <v>44212.971608796295</v>
      </c>
      <c r="B13140" s="4" t="str">
        <f>HYPERLINK("https://twitter.com/petrogustavo","@petrogustavo")</f>
        <v>@petrogustavo</v>
      </c>
      <c r="C13140" s="5" t="s">
        <v>16</v>
      </c>
      <c r="D13140" s="5" t="s">
        <v>12640</v>
      </c>
      <c r="E13140" s="6" t="str">
        <f>HYPERLINK("https://twitter.com/petrogustavo/status/1350500340974710791","1350500340974710791")</f>
        <v>1350500340974710791</v>
      </c>
      <c r="F13140" s="7" t="s">
        <v>17</v>
      </c>
      <c r="G13140" s="7">
        <v>4040181</v>
      </c>
      <c r="H13140" s="7">
        <v>2479</v>
      </c>
      <c r="I13140" s="7">
        <v>80</v>
      </c>
      <c r="J13140" s="7">
        <v>260</v>
      </c>
      <c r="K13140" s="7" t="s">
        <v>18</v>
      </c>
      <c r="L13140" s="8">
        <v>39987.315405092595</v>
      </c>
      <c r="M13140" s="9" t="s">
        <v>19</v>
      </c>
      <c r="N13140" s="9" t="s">
        <v>20</v>
      </c>
      <c r="O13140" s="6" t="str">
        <f>HYPERLINK("https://pbs.twimg.com/profile_images/962471262747529216/Uo8lOkRJ_normal.jpg","View")</f>
        <v>View</v>
      </c>
      <c r="P13140" s="7"/>
    </row>
    <row r="13141" spans="1:16">
      <c r="A13141" s="3">
        <v>44212.973125000004</v>
      </c>
      <c r="B13141" s="4" t="str">
        <f>HYPERLINK("https://twitter.com/petrogustavo","@petrogustavo")</f>
        <v>@petrogustavo</v>
      </c>
      <c r="C13141" s="5" t="s">
        <v>16</v>
      </c>
      <c r="D13141" s="5" t="s">
        <v>12641</v>
      </c>
      <c r="E13141" s="6" t="str">
        <f>HYPERLINK("https://twitter.com/petrogustavo/status/1350500893624573960","1350500893624573960")</f>
        <v>1350500893624573960</v>
      </c>
      <c r="F13141" s="7" t="s">
        <v>17</v>
      </c>
      <c r="G13141" s="7">
        <v>4040181</v>
      </c>
      <c r="H13141" s="7">
        <v>2479</v>
      </c>
      <c r="I13141" s="7">
        <v>79</v>
      </c>
      <c r="J13141" s="7">
        <v>196</v>
      </c>
      <c r="K13141" s="7" t="s">
        <v>18</v>
      </c>
      <c r="L13141" s="8">
        <v>39987.315405092595</v>
      </c>
      <c r="M13141" s="9" t="s">
        <v>19</v>
      </c>
      <c r="N13141" s="9" t="s">
        <v>20</v>
      </c>
      <c r="O13141" s="6" t="str">
        <f>HYPERLINK("https://pbs.twimg.com/profile_images/962471262747529216/Uo8lOkRJ_normal.jpg","View")</f>
        <v>View</v>
      </c>
      <c r="P13141" s="7"/>
    </row>
    <row r="13142" spans="1:16">
      <c r="A13142" s="3">
        <v>44212.976504629631</v>
      </c>
      <c r="B13142" s="4" t="str">
        <f>HYPERLINK("https://twitter.com/petrogustavo","@petrogustavo")</f>
        <v>@petrogustavo</v>
      </c>
      <c r="C13142" s="5" t="s">
        <v>16</v>
      </c>
      <c r="D13142" s="5" t="s">
        <v>12642</v>
      </c>
      <c r="E13142" s="6" t="str">
        <f>HYPERLINK("https://twitter.com/petrogustavo/status/1350502116020924423","1350502116020924423")</f>
        <v>1350502116020924423</v>
      </c>
      <c r="F13142" s="7" t="s">
        <v>17</v>
      </c>
      <c r="G13142" s="7">
        <v>4040181</v>
      </c>
      <c r="H13142" s="7">
        <v>2479</v>
      </c>
      <c r="I13142" s="7">
        <v>283</v>
      </c>
      <c r="J13142" s="7">
        <v>990</v>
      </c>
      <c r="K13142" s="7" t="s">
        <v>18</v>
      </c>
      <c r="L13142" s="8">
        <v>39987.315405092595</v>
      </c>
      <c r="M13142" s="9" t="s">
        <v>19</v>
      </c>
      <c r="N13142" s="9" t="s">
        <v>20</v>
      </c>
      <c r="O13142" s="6" t="str">
        <f>HYPERLINK("https://pbs.twimg.com/profile_images/962471262747529216/Uo8lOkRJ_normal.jpg","View")</f>
        <v>View</v>
      </c>
      <c r="P13142" s="7"/>
    </row>
    <row r="13143" spans="1:16">
      <c r="A13143" s="3">
        <v>44212.981863425928</v>
      </c>
      <c r="B13143" s="4" t="str">
        <f>HYPERLINK("https://twitter.com/petrogustavo","@petrogustavo")</f>
        <v>@petrogustavo</v>
      </c>
      <c r="C13143" s="5" t="s">
        <v>16</v>
      </c>
      <c r="D13143" s="5" t="s">
        <v>12643</v>
      </c>
      <c r="E13143" s="6" t="str">
        <f>HYPERLINK("https://twitter.com/petrogustavo/status/1350504058768011264","1350504058768011264")</f>
        <v>1350504058768011264</v>
      </c>
      <c r="F13143" s="7" t="s">
        <v>17</v>
      </c>
      <c r="G13143" s="7">
        <v>4040181</v>
      </c>
      <c r="H13143" s="7">
        <v>2479</v>
      </c>
      <c r="I13143" s="7">
        <v>136</v>
      </c>
      <c r="J13143" s="7">
        <v>0</v>
      </c>
      <c r="K13143" s="7" t="s">
        <v>18</v>
      </c>
      <c r="L13143" s="8">
        <v>39987.315405092595</v>
      </c>
      <c r="M13143" s="9" t="s">
        <v>19</v>
      </c>
      <c r="N13143" s="9" t="s">
        <v>20</v>
      </c>
      <c r="O13143" s="6" t="str">
        <f>HYPERLINK("https://pbs.twimg.com/profile_images/962471262747529216/Uo8lOkRJ_normal.jpg","View")</f>
        <v>View</v>
      </c>
      <c r="P13143" s="7"/>
    </row>
    <row r="13144" spans="1:16">
      <c r="A13144" s="3">
        <v>44212.98237268519</v>
      </c>
      <c r="B13144" s="4" t="str">
        <f>HYPERLINK("https://twitter.com/petrogustavo","@petrogustavo")</f>
        <v>@petrogustavo</v>
      </c>
      <c r="C13144" s="5" t="s">
        <v>16</v>
      </c>
      <c r="D13144" s="5" t="s">
        <v>12644</v>
      </c>
      <c r="E13144" s="6" t="str">
        <f>HYPERLINK("https://twitter.com/petrogustavo/status/1350504242172354568","1350504242172354568")</f>
        <v>1350504242172354568</v>
      </c>
      <c r="F13144" s="7" t="s">
        <v>17</v>
      </c>
      <c r="G13144" s="7">
        <v>4040181</v>
      </c>
      <c r="H13144" s="7">
        <v>2479</v>
      </c>
      <c r="I13144" s="7">
        <v>283</v>
      </c>
      <c r="J13144" s="7">
        <v>0</v>
      </c>
      <c r="K13144" s="7" t="s">
        <v>18</v>
      </c>
      <c r="L13144" s="8">
        <v>39987.315405092595</v>
      </c>
      <c r="M13144" s="9" t="s">
        <v>19</v>
      </c>
      <c r="N13144" s="9" t="s">
        <v>20</v>
      </c>
      <c r="O13144" s="6" t="str">
        <f>HYPERLINK("https://pbs.twimg.com/profile_images/962471262747529216/Uo8lOkRJ_normal.jpg","View")</f>
        <v>View</v>
      </c>
      <c r="P13144" s="7"/>
    </row>
    <row r="13145" spans="1:16">
      <c r="A13145" s="3">
        <v>44212.986655092594</v>
      </c>
      <c r="B13145" s="4" t="str">
        <f>HYPERLINK("https://twitter.com/petrogustavo","@petrogustavo")</f>
        <v>@petrogustavo</v>
      </c>
      <c r="C13145" s="5" t="s">
        <v>16</v>
      </c>
      <c r="D13145" s="5" t="s">
        <v>12645</v>
      </c>
      <c r="E13145" s="6" t="str">
        <f>HYPERLINK("https://twitter.com/petrogustavo/status/1350505794660397060","1350505794660397060")</f>
        <v>1350505794660397060</v>
      </c>
      <c r="F13145" s="7" t="s">
        <v>17</v>
      </c>
      <c r="G13145" s="7">
        <v>4040181</v>
      </c>
      <c r="H13145" s="7">
        <v>2479</v>
      </c>
      <c r="I13145" s="7">
        <v>72</v>
      </c>
      <c r="J13145" s="7">
        <v>136</v>
      </c>
      <c r="K13145" s="7" t="s">
        <v>18</v>
      </c>
      <c r="L13145" s="8">
        <v>39987.315405092595</v>
      </c>
      <c r="M13145" s="9" t="s">
        <v>19</v>
      </c>
      <c r="N13145" s="9" t="s">
        <v>20</v>
      </c>
      <c r="O13145" s="6" t="str">
        <f>HYPERLINK("https://pbs.twimg.com/profile_images/962471262747529216/Uo8lOkRJ_normal.jpg","View")</f>
        <v>View</v>
      </c>
      <c r="P13145" s="7"/>
    </row>
    <row r="13146" spans="1:16">
      <c r="A13146" s="3">
        <v>44212.99486111111</v>
      </c>
      <c r="B13146" s="4" t="str">
        <f>HYPERLINK("https://twitter.com/petrogustavo","@petrogustavo")</f>
        <v>@petrogustavo</v>
      </c>
      <c r="C13146" s="5" t="s">
        <v>16</v>
      </c>
      <c r="D13146" s="5" t="s">
        <v>12646</v>
      </c>
      <c r="E13146" s="6" t="str">
        <f>HYPERLINK("https://twitter.com/petrogustavo/status/1350508771332808704","1350508771332808704")</f>
        <v>1350508771332808704</v>
      </c>
      <c r="F13146" s="7" t="s">
        <v>17</v>
      </c>
      <c r="G13146" s="7">
        <v>4040208</v>
      </c>
      <c r="H13146" s="7">
        <v>2479</v>
      </c>
      <c r="I13146" s="7">
        <v>89</v>
      </c>
      <c r="J13146" s="7">
        <v>264</v>
      </c>
      <c r="K13146" s="7" t="s">
        <v>18</v>
      </c>
      <c r="L13146" s="8">
        <v>39987.315405092595</v>
      </c>
      <c r="M13146" s="9" t="s">
        <v>19</v>
      </c>
      <c r="N13146" s="9" t="s">
        <v>20</v>
      </c>
      <c r="O13146" s="6" t="str">
        <f>HYPERLINK("https://pbs.twimg.com/profile_images/962471262747529216/Uo8lOkRJ_normal.jpg","View")</f>
        <v>View</v>
      </c>
      <c r="P13146" s="7"/>
    </row>
    <row r="13147" spans="1:16">
      <c r="A13147" s="3">
        <v>44212.996793981481</v>
      </c>
      <c r="B13147" s="4" t="str">
        <f>HYPERLINK("https://twitter.com/petrogustavo","@petrogustavo")</f>
        <v>@petrogustavo</v>
      </c>
      <c r="C13147" s="5" t="s">
        <v>16</v>
      </c>
      <c r="D13147" s="5" t="s">
        <v>12647</v>
      </c>
      <c r="E13147" s="6" t="str">
        <f>HYPERLINK("https://twitter.com/petrogustavo/status/1350509469126504448","1350509469126504448")</f>
        <v>1350509469126504448</v>
      </c>
      <c r="F13147" s="7" t="s">
        <v>17</v>
      </c>
      <c r="G13147" s="7">
        <v>4040208</v>
      </c>
      <c r="H13147" s="7">
        <v>2479</v>
      </c>
      <c r="I13147" s="7">
        <v>60</v>
      </c>
      <c r="J13147" s="7">
        <v>172</v>
      </c>
      <c r="K13147" s="7" t="s">
        <v>18</v>
      </c>
      <c r="L13147" s="8">
        <v>39987.315405092595</v>
      </c>
      <c r="M13147" s="9" t="s">
        <v>19</v>
      </c>
      <c r="N13147" s="9" t="s">
        <v>20</v>
      </c>
      <c r="O13147" s="6" t="str">
        <f>HYPERLINK("https://pbs.twimg.com/profile_images/962471262747529216/Uo8lOkRJ_normal.jpg","View")</f>
        <v>View</v>
      </c>
      <c r="P13147" s="7"/>
    </row>
    <row r="13148" spans="1:16">
      <c r="A13148" s="3">
        <v>44213.005185185189</v>
      </c>
      <c r="B13148" s="4" t="str">
        <f>HYPERLINK("https://twitter.com/petrogustavo","@petrogustavo")</f>
        <v>@petrogustavo</v>
      </c>
      <c r="C13148" s="5" t="s">
        <v>16</v>
      </c>
      <c r="D13148" s="5" t="s">
        <v>12648</v>
      </c>
      <c r="E13148" s="6" t="str">
        <f>HYPERLINK("https://twitter.com/petrogustavo/status/1350512508545757187","1350512508545757187")</f>
        <v>1350512508545757187</v>
      </c>
      <c r="F13148" s="7" t="s">
        <v>17</v>
      </c>
      <c r="G13148" s="7">
        <v>4040208</v>
      </c>
      <c r="H13148" s="7">
        <v>2479</v>
      </c>
      <c r="I13148" s="7">
        <v>109</v>
      </c>
      <c r="J13148" s="7">
        <v>306</v>
      </c>
      <c r="K13148" s="7" t="s">
        <v>18</v>
      </c>
      <c r="L13148" s="8">
        <v>39987.315405092595</v>
      </c>
      <c r="M13148" s="9" t="s">
        <v>19</v>
      </c>
      <c r="N13148" s="9" t="s">
        <v>20</v>
      </c>
      <c r="O13148" s="6" t="str">
        <f>HYPERLINK("https://pbs.twimg.com/profile_images/962471262747529216/Uo8lOkRJ_normal.jpg","View")</f>
        <v>View</v>
      </c>
      <c r="P13148" s="7"/>
    </row>
    <row r="13149" spans="1:16">
      <c r="A13149" s="3">
        <v>44213.008750000001</v>
      </c>
      <c r="B13149" s="4" t="str">
        <f>HYPERLINK("https://twitter.com/petrogustavo","@petrogustavo")</f>
        <v>@petrogustavo</v>
      </c>
      <c r="C13149" s="5" t="s">
        <v>16</v>
      </c>
      <c r="D13149" s="5" t="s">
        <v>12649</v>
      </c>
      <c r="E13149" s="6" t="str">
        <f>HYPERLINK("https://twitter.com/petrogustavo/status/1350513801695809538","1350513801695809538")</f>
        <v>1350513801695809538</v>
      </c>
      <c r="F13149" s="7" t="s">
        <v>17</v>
      </c>
      <c r="G13149" s="7">
        <v>4040208</v>
      </c>
      <c r="H13149" s="7">
        <v>2479</v>
      </c>
      <c r="I13149" s="7">
        <v>20</v>
      </c>
      <c r="J13149" s="7">
        <v>0</v>
      </c>
      <c r="K13149" s="7" t="s">
        <v>18</v>
      </c>
      <c r="L13149" s="8">
        <v>39987.315405092595</v>
      </c>
      <c r="M13149" s="9" t="s">
        <v>19</v>
      </c>
      <c r="N13149" s="9" t="s">
        <v>20</v>
      </c>
      <c r="O13149" s="6" t="str">
        <f>HYPERLINK("https://pbs.twimg.com/profile_images/962471262747529216/Uo8lOkRJ_normal.jpg","View")</f>
        <v>View</v>
      </c>
      <c r="P13149" s="7"/>
    </row>
    <row r="13150" spans="1:16">
      <c r="A13150" s="3">
        <v>44213.013182870374</v>
      </c>
      <c r="B13150" s="4" t="str">
        <f>HYPERLINK("https://twitter.com/petrogustavo","@petrogustavo")</f>
        <v>@petrogustavo</v>
      </c>
      <c r="C13150" s="5" t="s">
        <v>16</v>
      </c>
      <c r="D13150" s="5" t="s">
        <v>12650</v>
      </c>
      <c r="E13150" s="6" t="str">
        <f>HYPERLINK("https://twitter.com/petrogustavo/status/1350515410643382275","1350515410643382275")</f>
        <v>1350515410643382275</v>
      </c>
      <c r="F13150" s="7" t="s">
        <v>17</v>
      </c>
      <c r="G13150" s="7">
        <v>4040235</v>
      </c>
      <c r="H13150" s="7">
        <v>2479</v>
      </c>
      <c r="I13150" s="7">
        <v>502</v>
      </c>
      <c r="J13150" s="7">
        <v>0</v>
      </c>
      <c r="K13150" s="7" t="s">
        <v>18</v>
      </c>
      <c r="L13150" s="8">
        <v>39987.315405092595</v>
      </c>
      <c r="M13150" s="9" t="s">
        <v>19</v>
      </c>
      <c r="N13150" s="9" t="s">
        <v>20</v>
      </c>
      <c r="O13150" s="6" t="str">
        <f>HYPERLINK("https://pbs.twimg.com/profile_images/962471262747529216/Uo8lOkRJ_normal.jpg","View")</f>
        <v>View</v>
      </c>
      <c r="P13150" s="7"/>
    </row>
    <row r="13151" spans="1:16">
      <c r="A13151" s="3">
        <v>44213.018553240741</v>
      </c>
      <c r="B13151" s="4" t="str">
        <f>HYPERLINK("https://twitter.com/petrogustavo","@petrogustavo")</f>
        <v>@petrogustavo</v>
      </c>
      <c r="C13151" s="5" t="s">
        <v>16</v>
      </c>
      <c r="D13151" s="5" t="s">
        <v>12651</v>
      </c>
      <c r="E13151" s="6" t="str">
        <f>HYPERLINK("https://twitter.com/petrogustavo/status/1350517353247891457","1350517353247891457")</f>
        <v>1350517353247891457</v>
      </c>
      <c r="F13151" s="7" t="s">
        <v>17</v>
      </c>
      <c r="G13151" s="7">
        <v>4040235</v>
      </c>
      <c r="H13151" s="7">
        <v>2479</v>
      </c>
      <c r="I13151" s="7">
        <v>245</v>
      </c>
      <c r="J13151" s="7">
        <v>693</v>
      </c>
      <c r="K13151" s="7" t="s">
        <v>18</v>
      </c>
      <c r="L13151" s="8">
        <v>39987.315405092595</v>
      </c>
      <c r="M13151" s="9" t="s">
        <v>19</v>
      </c>
      <c r="N13151" s="9" t="s">
        <v>20</v>
      </c>
      <c r="O13151" s="6" t="str">
        <f>HYPERLINK("https://pbs.twimg.com/profile_images/962471262747529216/Uo8lOkRJ_normal.jpg","View")</f>
        <v>View</v>
      </c>
      <c r="P13151" s="7"/>
    </row>
    <row r="13152" spans="1:16">
      <c r="A13152" s="3">
        <v>44213.021157407406</v>
      </c>
      <c r="B13152" s="4" t="str">
        <f>HYPERLINK("https://twitter.com/petrogustavo","@petrogustavo")</f>
        <v>@petrogustavo</v>
      </c>
      <c r="C13152" s="5" t="s">
        <v>16</v>
      </c>
      <c r="D13152" s="5" t="s">
        <v>12652</v>
      </c>
      <c r="E13152" s="6" t="str">
        <f>HYPERLINK("https://twitter.com/petrogustavo/status/1350518297213739009","1350518297213739009")</f>
        <v>1350518297213739009</v>
      </c>
      <c r="F13152" s="7" t="s">
        <v>17</v>
      </c>
      <c r="G13152" s="7">
        <v>4040235</v>
      </c>
      <c r="H13152" s="7">
        <v>2479</v>
      </c>
      <c r="I13152" s="7">
        <v>1968</v>
      </c>
      <c r="J13152" s="7">
        <v>0</v>
      </c>
      <c r="K13152" s="7" t="s">
        <v>18</v>
      </c>
      <c r="L13152" s="8">
        <v>39987.315405092595</v>
      </c>
      <c r="M13152" s="9" t="s">
        <v>19</v>
      </c>
      <c r="N13152" s="9" t="s">
        <v>20</v>
      </c>
      <c r="O13152" s="6" t="str">
        <f>HYPERLINK("https://pbs.twimg.com/profile_images/962471262747529216/Uo8lOkRJ_normal.jpg","View")</f>
        <v>View</v>
      </c>
      <c r="P13152" s="7"/>
    </row>
    <row r="13153" spans="1:16">
      <c r="A13153" s="3">
        <v>44213.022893518515</v>
      </c>
      <c r="B13153" s="4" t="str">
        <f>HYPERLINK("https://twitter.com/petrogustavo","@petrogustavo")</f>
        <v>@petrogustavo</v>
      </c>
      <c r="C13153" s="5" t="s">
        <v>16</v>
      </c>
      <c r="D13153" s="5" t="s">
        <v>12653</v>
      </c>
      <c r="E13153" s="6" t="str">
        <f>HYPERLINK("https://twitter.com/petrogustavo/status/1350518927747653632","1350518927747653632")</f>
        <v>1350518927747653632</v>
      </c>
      <c r="F13153" s="7" t="s">
        <v>17</v>
      </c>
      <c r="G13153" s="7">
        <v>4040235</v>
      </c>
      <c r="H13153" s="7">
        <v>2479</v>
      </c>
      <c r="I13153" s="7">
        <v>52</v>
      </c>
      <c r="J13153" s="7">
        <v>136</v>
      </c>
      <c r="K13153" s="7" t="s">
        <v>18</v>
      </c>
      <c r="L13153" s="8">
        <v>39987.315405092595</v>
      </c>
      <c r="M13153" s="9" t="s">
        <v>19</v>
      </c>
      <c r="N13153" s="9" t="s">
        <v>20</v>
      </c>
      <c r="O13153" s="6" t="str">
        <f>HYPERLINK("https://pbs.twimg.com/profile_images/962471262747529216/Uo8lOkRJ_normal.jpg","View")</f>
        <v>View</v>
      </c>
      <c r="P13153" s="7"/>
    </row>
    <row r="13154" spans="1:16">
      <c r="A13154" s="3">
        <v>44213.029467592598</v>
      </c>
      <c r="B13154" s="4" t="str">
        <f>HYPERLINK("https://twitter.com/petrogustavo","@petrogustavo")</f>
        <v>@petrogustavo</v>
      </c>
      <c r="C13154" s="5" t="s">
        <v>16</v>
      </c>
      <c r="D13154" s="5" t="s">
        <v>12654</v>
      </c>
      <c r="E13154" s="6" t="str">
        <f>HYPERLINK("https://twitter.com/petrogustavo/status/1350521311051862023","1350521311051862023")</f>
        <v>1350521311051862023</v>
      </c>
      <c r="F13154" s="7" t="s">
        <v>17</v>
      </c>
      <c r="G13154" s="7">
        <v>4040235</v>
      </c>
      <c r="H13154" s="7">
        <v>2479</v>
      </c>
      <c r="I13154" s="7">
        <v>17</v>
      </c>
      <c r="J13154" s="7">
        <v>80</v>
      </c>
      <c r="K13154" s="7" t="s">
        <v>18</v>
      </c>
      <c r="L13154" s="8">
        <v>39987.315405092595</v>
      </c>
      <c r="M13154" s="9" t="s">
        <v>19</v>
      </c>
      <c r="N13154" s="9" t="s">
        <v>20</v>
      </c>
      <c r="O13154" s="6" t="str">
        <f>HYPERLINK("https://pbs.twimg.com/profile_images/962471262747529216/Uo8lOkRJ_normal.jpg","View")</f>
        <v>View</v>
      </c>
      <c r="P13154" s="7"/>
    </row>
    <row r="13155" spans="1:16">
      <c r="A13155" s="3">
        <v>44213.04451388889</v>
      </c>
      <c r="B13155" s="4" t="str">
        <f>HYPERLINK("https://twitter.com/petrogustavo","@petrogustavo")</f>
        <v>@petrogustavo</v>
      </c>
      <c r="C13155" s="5" t="s">
        <v>16</v>
      </c>
      <c r="D13155" s="5" t="s">
        <v>12655</v>
      </c>
      <c r="E13155" s="6" t="str">
        <f>HYPERLINK("https://twitter.com/petrogustavo/status/1350526760891330569","1350526760891330569")</f>
        <v>1350526760891330569</v>
      </c>
      <c r="F13155" s="7" t="s">
        <v>17</v>
      </c>
      <c r="G13155" s="7">
        <v>4040279</v>
      </c>
      <c r="H13155" s="7">
        <v>2479</v>
      </c>
      <c r="I13155" s="7">
        <v>121</v>
      </c>
      <c r="J13155" s="7">
        <v>281</v>
      </c>
      <c r="K13155" s="7" t="s">
        <v>18</v>
      </c>
      <c r="L13155" s="8">
        <v>39987.315405092595</v>
      </c>
      <c r="M13155" s="9" t="s">
        <v>19</v>
      </c>
      <c r="N13155" s="9" t="s">
        <v>20</v>
      </c>
      <c r="O13155" s="6" t="str">
        <f>HYPERLINK("https://pbs.twimg.com/profile_images/962471262747529216/Uo8lOkRJ_normal.jpg","View")</f>
        <v>View</v>
      </c>
      <c r="P13155" s="7"/>
    </row>
    <row r="13156" spans="1:16">
      <c r="A13156" s="3">
        <v>44213.062592592592</v>
      </c>
      <c r="B13156" s="4" t="str">
        <f>HYPERLINK("https://twitter.com/petrogustavo","@petrogustavo")</f>
        <v>@petrogustavo</v>
      </c>
      <c r="C13156" s="5" t="s">
        <v>16</v>
      </c>
      <c r="D13156" s="5" t="s">
        <v>12656</v>
      </c>
      <c r="E13156" s="6" t="str">
        <f>HYPERLINK("https://twitter.com/petrogustavo/status/1350533314294243329","1350533314294243329")</f>
        <v>1350533314294243329</v>
      </c>
      <c r="F13156" s="7" t="s">
        <v>17</v>
      </c>
      <c r="G13156" s="7">
        <v>4040289</v>
      </c>
      <c r="H13156" s="7">
        <v>2479</v>
      </c>
      <c r="I13156" s="7">
        <v>292</v>
      </c>
      <c r="J13156" s="7">
        <v>0</v>
      </c>
      <c r="K13156" s="7" t="s">
        <v>18</v>
      </c>
      <c r="L13156" s="8">
        <v>39987.315405092595</v>
      </c>
      <c r="M13156" s="9" t="s">
        <v>19</v>
      </c>
      <c r="N13156" s="9" t="s">
        <v>20</v>
      </c>
      <c r="O13156" s="6" t="str">
        <f>HYPERLINK("https://pbs.twimg.com/profile_images/962471262747529216/Uo8lOkRJ_normal.jpg","View")</f>
        <v>View</v>
      </c>
      <c r="P13156" s="7"/>
    </row>
    <row r="13157" spans="1:16">
      <c r="A13157" s="3">
        <v>44213.06454861111</v>
      </c>
      <c r="B13157" s="4" t="str">
        <f>HYPERLINK("https://twitter.com/petrogustavo","@petrogustavo")</f>
        <v>@petrogustavo</v>
      </c>
      <c r="C13157" s="5" t="s">
        <v>16</v>
      </c>
      <c r="D13157" s="5" t="s">
        <v>12657</v>
      </c>
      <c r="E13157" s="6" t="str">
        <f>HYPERLINK("https://twitter.com/petrogustavo/status/1350534024217976832","1350534024217976832")</f>
        <v>1350534024217976832</v>
      </c>
      <c r="F13157" s="7" t="s">
        <v>17</v>
      </c>
      <c r="G13157" s="7">
        <v>4040289</v>
      </c>
      <c r="H13157" s="7">
        <v>2479</v>
      </c>
      <c r="I13157" s="7">
        <v>114</v>
      </c>
      <c r="J13157" s="7">
        <v>0</v>
      </c>
      <c r="K13157" s="7" t="s">
        <v>18</v>
      </c>
      <c r="L13157" s="8">
        <v>39987.315405092595</v>
      </c>
      <c r="M13157" s="9" t="s">
        <v>19</v>
      </c>
      <c r="N13157" s="9" t="s">
        <v>20</v>
      </c>
      <c r="O13157" s="6" t="str">
        <f>HYPERLINK("https://pbs.twimg.com/profile_images/962471262747529216/Uo8lOkRJ_normal.jpg","View")</f>
        <v>View</v>
      </c>
      <c r="P13157" s="7"/>
    </row>
    <row r="13158" spans="1:16">
      <c r="A13158" s="3">
        <v>44213.06517361111</v>
      </c>
      <c r="B13158" s="4" t="str">
        <f>HYPERLINK("https://twitter.com/petrogustavo","@petrogustavo")</f>
        <v>@petrogustavo</v>
      </c>
      <c r="C13158" s="5" t="s">
        <v>16</v>
      </c>
      <c r="D13158" s="5" t="s">
        <v>12658</v>
      </c>
      <c r="E13158" s="6" t="str">
        <f>HYPERLINK("https://twitter.com/petrogustavo/status/1350534250907525121","1350534250907525121")</f>
        <v>1350534250907525121</v>
      </c>
      <c r="F13158" s="7" t="s">
        <v>17</v>
      </c>
      <c r="G13158" s="7">
        <v>4040289</v>
      </c>
      <c r="H13158" s="7">
        <v>2479</v>
      </c>
      <c r="I13158" s="7">
        <v>144</v>
      </c>
      <c r="J13158" s="7">
        <v>0</v>
      </c>
      <c r="K13158" s="7" t="s">
        <v>18</v>
      </c>
      <c r="L13158" s="8">
        <v>39987.315405092595</v>
      </c>
      <c r="M13158" s="9" t="s">
        <v>19</v>
      </c>
      <c r="N13158" s="9" t="s">
        <v>20</v>
      </c>
      <c r="O13158" s="6" t="str">
        <f>HYPERLINK("https://pbs.twimg.com/profile_images/962471262747529216/Uo8lOkRJ_normal.jpg","View")</f>
        <v>View</v>
      </c>
      <c r="P13158" s="7"/>
    </row>
    <row r="13159" spans="1:16">
      <c r="A13159" s="3">
        <v>44213.068020833336</v>
      </c>
      <c r="B13159" s="4" t="str">
        <f>HYPERLINK("https://twitter.com/petrogustavo","@petrogustavo")</f>
        <v>@petrogustavo</v>
      </c>
      <c r="C13159" s="5" t="s">
        <v>16</v>
      </c>
      <c r="D13159" s="5" t="s">
        <v>12659</v>
      </c>
      <c r="E13159" s="6" t="str">
        <f>HYPERLINK("https://twitter.com/petrogustavo/status/1350535279564750849","1350535279564750849")</f>
        <v>1350535279564750849</v>
      </c>
      <c r="F13159" s="7" t="s">
        <v>17</v>
      </c>
      <c r="G13159" s="7">
        <v>4040289</v>
      </c>
      <c r="H13159" s="7">
        <v>2479</v>
      </c>
      <c r="I13159" s="7">
        <v>34</v>
      </c>
      <c r="J13159" s="7">
        <v>101</v>
      </c>
      <c r="K13159" s="7" t="s">
        <v>18</v>
      </c>
      <c r="L13159" s="8">
        <v>39987.315405092595</v>
      </c>
      <c r="M13159" s="9" t="s">
        <v>19</v>
      </c>
      <c r="N13159" s="9" t="s">
        <v>20</v>
      </c>
      <c r="O13159" s="6" t="str">
        <f>HYPERLINK("https://pbs.twimg.com/profile_images/962471262747529216/Uo8lOkRJ_normal.jpg","View")</f>
        <v>View</v>
      </c>
      <c r="P13159" s="7"/>
    </row>
    <row r="13160" spans="1:16">
      <c r="A13160" s="3">
        <v>44213.091932870375</v>
      </c>
      <c r="B13160" s="4" t="str">
        <f>HYPERLINK("https://twitter.com/petrogustavo","@petrogustavo")</f>
        <v>@petrogustavo</v>
      </c>
      <c r="C13160" s="5" t="s">
        <v>16</v>
      </c>
      <c r="D13160" s="5" t="s">
        <v>12660</v>
      </c>
      <c r="E13160" s="6" t="str">
        <f>HYPERLINK("https://twitter.com/petrogustavo/status/1350543946863308801","1350543946863308801")</f>
        <v>1350543946863308801</v>
      </c>
      <c r="F13160" s="7" t="s">
        <v>17</v>
      </c>
      <c r="G13160" s="7">
        <v>4040316</v>
      </c>
      <c r="H13160" s="7">
        <v>2479</v>
      </c>
      <c r="I13160" s="7">
        <v>46</v>
      </c>
      <c r="J13160" s="7">
        <v>0</v>
      </c>
      <c r="K13160" s="7" t="s">
        <v>18</v>
      </c>
      <c r="L13160" s="8">
        <v>39987.315405092595</v>
      </c>
      <c r="M13160" s="9" t="s">
        <v>19</v>
      </c>
      <c r="N13160" s="9" t="s">
        <v>20</v>
      </c>
      <c r="O13160" s="6" t="str">
        <f>HYPERLINK("https://pbs.twimg.com/profile_images/962471262747529216/Uo8lOkRJ_normal.jpg","View")</f>
        <v>View</v>
      </c>
      <c r="P13160" s="7"/>
    </row>
    <row r="13161" spans="1:16">
      <c r="A13161" s="3">
        <v>44213.093217592592</v>
      </c>
      <c r="B13161" s="4" t="str">
        <f>HYPERLINK("https://twitter.com/petrogustavo","@petrogustavo")</f>
        <v>@petrogustavo</v>
      </c>
      <c r="C13161" s="5" t="s">
        <v>16</v>
      </c>
      <c r="D13161" s="5" t="s">
        <v>12661</v>
      </c>
      <c r="E13161" s="6" t="str">
        <f>HYPERLINK("https://twitter.com/petrogustavo/status/1350544410933682177","1350544410933682177")</f>
        <v>1350544410933682177</v>
      </c>
      <c r="F13161" s="7" t="s">
        <v>17</v>
      </c>
      <c r="G13161" s="7">
        <v>4040316</v>
      </c>
      <c r="H13161" s="7">
        <v>2479</v>
      </c>
      <c r="I13161" s="7">
        <v>212</v>
      </c>
      <c r="J13161" s="7">
        <v>0</v>
      </c>
      <c r="K13161" s="7" t="s">
        <v>18</v>
      </c>
      <c r="L13161" s="8">
        <v>39987.315405092595</v>
      </c>
      <c r="M13161" s="9" t="s">
        <v>19</v>
      </c>
      <c r="N13161" s="9" t="s">
        <v>20</v>
      </c>
      <c r="O13161" s="6" t="str">
        <f>HYPERLINK("https://pbs.twimg.com/profile_images/962471262747529216/Uo8lOkRJ_normal.jpg","View")</f>
        <v>View</v>
      </c>
      <c r="P13161" s="7"/>
    </row>
    <row r="13162" spans="1:16">
      <c r="A13162" s="3">
        <v>44213.102280092593</v>
      </c>
      <c r="B13162" s="4" t="str">
        <f>HYPERLINK("https://twitter.com/petrogustavo","@petrogustavo")</f>
        <v>@petrogustavo</v>
      </c>
      <c r="C13162" s="5" t="s">
        <v>16</v>
      </c>
      <c r="D13162" s="5" t="s">
        <v>12662</v>
      </c>
      <c r="E13162" s="6" t="str">
        <f>HYPERLINK("https://twitter.com/petrogustavo/status/1350547698043265030","1350547698043265030")</f>
        <v>1350547698043265030</v>
      </c>
      <c r="F13162" s="7" t="s">
        <v>17</v>
      </c>
      <c r="G13162" s="7">
        <v>4040340</v>
      </c>
      <c r="H13162" s="7">
        <v>2479</v>
      </c>
      <c r="I13162" s="7">
        <v>9261</v>
      </c>
      <c r="J13162" s="7">
        <v>0</v>
      </c>
      <c r="K13162" s="7" t="s">
        <v>18</v>
      </c>
      <c r="L13162" s="8">
        <v>39987.315405092595</v>
      </c>
      <c r="M13162" s="9" t="s">
        <v>19</v>
      </c>
      <c r="N13162" s="9" t="s">
        <v>20</v>
      </c>
      <c r="O13162" s="6" t="str">
        <f>HYPERLINK("https://pbs.twimg.com/profile_images/962471262747529216/Uo8lOkRJ_normal.jpg","View")</f>
        <v>View</v>
      </c>
      <c r="P13162" s="7"/>
    </row>
    <row r="13163" spans="1:16">
      <c r="A13163" s="3">
        <v>44213.10628472222</v>
      </c>
      <c r="B13163" s="4" t="str">
        <f>HYPERLINK("https://twitter.com/petrogustavo","@petrogustavo")</f>
        <v>@petrogustavo</v>
      </c>
      <c r="C13163" s="5" t="s">
        <v>16</v>
      </c>
      <c r="D13163" s="5" t="s">
        <v>12663</v>
      </c>
      <c r="E13163" s="6" t="str">
        <f>HYPERLINK("https://twitter.com/petrogustavo/status/1350549148190318593","1350549148190318593")</f>
        <v>1350549148190318593</v>
      </c>
      <c r="F13163" s="7" t="s">
        <v>17</v>
      </c>
      <c r="G13163" s="7">
        <v>4040340</v>
      </c>
      <c r="H13163" s="7">
        <v>2479</v>
      </c>
      <c r="I13163" s="7">
        <v>45</v>
      </c>
      <c r="J13163" s="7">
        <v>0</v>
      </c>
      <c r="K13163" s="7" t="s">
        <v>18</v>
      </c>
      <c r="L13163" s="8">
        <v>39987.315405092595</v>
      </c>
      <c r="M13163" s="9" t="s">
        <v>19</v>
      </c>
      <c r="N13163" s="9" t="s">
        <v>20</v>
      </c>
      <c r="O13163" s="6" t="str">
        <f>HYPERLINK("https://pbs.twimg.com/profile_images/962471262747529216/Uo8lOkRJ_normal.jpg","View")</f>
        <v>View</v>
      </c>
      <c r="P13163" s="7"/>
    </row>
    <row r="13164" spans="1:16">
      <c r="A13164" s="3">
        <v>44213.115000000005</v>
      </c>
      <c r="B13164" s="4" t="str">
        <f>HYPERLINK("https://twitter.com/petrogustavo","@petrogustavo")</f>
        <v>@petrogustavo</v>
      </c>
      <c r="C13164" s="5" t="s">
        <v>16</v>
      </c>
      <c r="D13164" s="5" t="s">
        <v>12664</v>
      </c>
      <c r="E13164" s="6" t="str">
        <f>HYPERLINK("https://twitter.com/petrogustavo/status/1350552307465920516","1350552307465920516")</f>
        <v>1350552307465920516</v>
      </c>
      <c r="F13164" s="7" t="s">
        <v>17</v>
      </c>
      <c r="G13164" s="7">
        <v>4040340</v>
      </c>
      <c r="H13164" s="7">
        <v>2479</v>
      </c>
      <c r="I13164" s="7">
        <v>29</v>
      </c>
      <c r="J13164" s="7">
        <v>0</v>
      </c>
      <c r="K13164" s="7" t="s">
        <v>18</v>
      </c>
      <c r="L13164" s="8">
        <v>39987.315405092595</v>
      </c>
      <c r="M13164" s="9" t="s">
        <v>19</v>
      </c>
      <c r="N13164" s="9" t="s">
        <v>20</v>
      </c>
      <c r="O13164" s="6" t="str">
        <f>HYPERLINK("https://pbs.twimg.com/profile_images/962471262747529216/Uo8lOkRJ_normal.jpg","View")</f>
        <v>View</v>
      </c>
      <c r="P13164" s="7"/>
    </row>
    <row r="13165" spans="1:16">
      <c r="A13165" s="3">
        <v>44213.116145833337</v>
      </c>
      <c r="B13165" s="4" t="str">
        <f>HYPERLINK("https://twitter.com/petrogustavo","@petrogustavo")</f>
        <v>@petrogustavo</v>
      </c>
      <c r="C13165" s="5" t="s">
        <v>16</v>
      </c>
      <c r="D13165" s="5" t="s">
        <v>12665</v>
      </c>
      <c r="E13165" s="6" t="str">
        <f>HYPERLINK("https://twitter.com/petrogustavo/status/1350552719833108482","1350552719833108482")</f>
        <v>1350552719833108482</v>
      </c>
      <c r="F13165" s="7" t="s">
        <v>17</v>
      </c>
      <c r="G13165" s="7">
        <v>4040340</v>
      </c>
      <c r="H13165" s="7">
        <v>2479</v>
      </c>
      <c r="I13165" s="7">
        <v>5</v>
      </c>
      <c r="J13165" s="7">
        <v>38</v>
      </c>
      <c r="K13165" s="7" t="s">
        <v>18</v>
      </c>
      <c r="L13165" s="8">
        <v>39987.315405092595</v>
      </c>
      <c r="M13165" s="9" t="s">
        <v>19</v>
      </c>
      <c r="N13165" s="9" t="s">
        <v>20</v>
      </c>
      <c r="O13165" s="6" t="str">
        <f>HYPERLINK("https://pbs.twimg.com/profile_images/962471262747529216/Uo8lOkRJ_normal.jpg","View")</f>
        <v>View</v>
      </c>
      <c r="P13165" s="7"/>
    </row>
    <row r="13166" spans="1:16">
      <c r="A13166" s="3">
        <v>44213.126076388886</v>
      </c>
      <c r="B13166" s="4" t="str">
        <f>HYPERLINK("https://twitter.com/petrogustavo","@petrogustavo")</f>
        <v>@petrogustavo</v>
      </c>
      <c r="C13166" s="5" t="s">
        <v>16</v>
      </c>
      <c r="D13166" s="5" t="s">
        <v>12666</v>
      </c>
      <c r="E13166" s="6" t="str">
        <f>HYPERLINK("https://twitter.com/petrogustavo/status/1350556322157178887","1350556322157178887")</f>
        <v>1350556322157178887</v>
      </c>
      <c r="F13166" s="7" t="s">
        <v>17</v>
      </c>
      <c r="G13166" s="7">
        <v>4040362</v>
      </c>
      <c r="H13166" s="7">
        <v>2479</v>
      </c>
      <c r="I13166" s="7">
        <v>278</v>
      </c>
      <c r="J13166" s="7">
        <v>0</v>
      </c>
      <c r="K13166" s="7" t="s">
        <v>18</v>
      </c>
      <c r="L13166" s="8">
        <v>39987.315405092595</v>
      </c>
      <c r="M13166" s="9" t="s">
        <v>19</v>
      </c>
      <c r="N13166" s="9" t="s">
        <v>20</v>
      </c>
      <c r="O13166" s="6" t="str">
        <f>HYPERLINK("https://pbs.twimg.com/profile_images/962471262747529216/Uo8lOkRJ_normal.jpg","View")</f>
        <v>View</v>
      </c>
      <c r="P13166" s="7"/>
    </row>
    <row r="13167" spans="1:16">
      <c r="A13167" s="3">
        <v>44213.126504629632</v>
      </c>
      <c r="B13167" s="4" t="str">
        <f>HYPERLINK("https://twitter.com/petrogustavo","@petrogustavo")</f>
        <v>@petrogustavo</v>
      </c>
      <c r="C13167" s="5" t="s">
        <v>16</v>
      </c>
      <c r="D13167" s="5" t="s">
        <v>12667</v>
      </c>
      <c r="E13167" s="6" t="str">
        <f>HYPERLINK("https://twitter.com/petrogustavo/status/1350556474959933440","1350556474959933440")</f>
        <v>1350556474959933440</v>
      </c>
      <c r="F13167" s="7" t="s">
        <v>17</v>
      </c>
      <c r="G13167" s="7">
        <v>4040362</v>
      </c>
      <c r="H13167" s="7">
        <v>2479</v>
      </c>
      <c r="I13167" s="7">
        <v>872</v>
      </c>
      <c r="J13167" s="7">
        <v>0</v>
      </c>
      <c r="K13167" s="7" t="s">
        <v>18</v>
      </c>
      <c r="L13167" s="8">
        <v>39987.315405092595</v>
      </c>
      <c r="M13167" s="9" t="s">
        <v>19</v>
      </c>
      <c r="N13167" s="9" t="s">
        <v>20</v>
      </c>
      <c r="O13167" s="6" t="str">
        <f>HYPERLINK("https://pbs.twimg.com/profile_images/962471262747529216/Uo8lOkRJ_normal.jpg","View")</f>
        <v>View</v>
      </c>
      <c r="P13167" s="7"/>
    </row>
    <row r="13168" spans="1:16">
      <c r="A13168" s="3">
        <v>44213.126759259263</v>
      </c>
      <c r="B13168" s="4" t="str">
        <f>HYPERLINK("https://twitter.com/petrogustavo","@petrogustavo")</f>
        <v>@petrogustavo</v>
      </c>
      <c r="C13168" s="5" t="s">
        <v>16</v>
      </c>
      <c r="D13168" s="5" t="s">
        <v>12668</v>
      </c>
      <c r="E13168" s="6" t="str">
        <f>HYPERLINK("https://twitter.com/petrogustavo/status/1350556566517329921","1350556566517329921")</f>
        <v>1350556566517329921</v>
      </c>
      <c r="F13168" s="7" t="s">
        <v>17</v>
      </c>
      <c r="G13168" s="7">
        <v>4040362</v>
      </c>
      <c r="H13168" s="7">
        <v>2479</v>
      </c>
      <c r="I13168" s="7">
        <v>558</v>
      </c>
      <c r="J13168" s="7">
        <v>0</v>
      </c>
      <c r="K13168" s="7" t="s">
        <v>18</v>
      </c>
      <c r="L13168" s="8">
        <v>39987.315405092595</v>
      </c>
      <c r="M13168" s="9" t="s">
        <v>19</v>
      </c>
      <c r="N13168" s="9" t="s">
        <v>20</v>
      </c>
      <c r="O13168" s="6" t="str">
        <f>HYPERLINK("https://pbs.twimg.com/profile_images/962471262747529216/Uo8lOkRJ_normal.jpg","View")</f>
        <v>View</v>
      </c>
      <c r="P13168" s="7"/>
    </row>
    <row r="13169" spans="1:16">
      <c r="A13169" s="3">
        <v>44213.645370370374</v>
      </c>
      <c r="B13169" s="4" t="str">
        <f>HYPERLINK("https://twitter.com/petrogustavo","@petrogustavo")</f>
        <v>@petrogustavo</v>
      </c>
      <c r="C13169" s="5" t="s">
        <v>16</v>
      </c>
      <c r="D13169" s="5" t="s">
        <v>12669</v>
      </c>
      <c r="E13169" s="6" t="str">
        <f>HYPERLINK("https://twitter.com/petrogustavo/status/1350744506916884480","1350744506916884480")</f>
        <v>1350744506916884480</v>
      </c>
      <c r="F13169" s="7" t="s">
        <v>17</v>
      </c>
      <c r="G13169" s="7">
        <v>4040788</v>
      </c>
      <c r="H13169" s="7">
        <v>2479</v>
      </c>
      <c r="I13169" s="7">
        <v>70</v>
      </c>
      <c r="J13169" s="7">
        <v>0</v>
      </c>
      <c r="K13169" s="7" t="s">
        <v>18</v>
      </c>
      <c r="L13169" s="8">
        <v>39987.315405092595</v>
      </c>
      <c r="M13169" s="9" t="s">
        <v>19</v>
      </c>
      <c r="N13169" s="9" t="s">
        <v>20</v>
      </c>
      <c r="O13169" s="6" t="str">
        <f>HYPERLINK("https://pbs.twimg.com/profile_images/962471262747529216/Uo8lOkRJ_normal.jpg","View")</f>
        <v>View</v>
      </c>
      <c r="P13169" s="7"/>
    </row>
    <row r="13170" spans="1:16">
      <c r="A13170" s="3">
        <v>44213.703206018516</v>
      </c>
      <c r="B13170" s="4" t="str">
        <f>HYPERLINK("https://twitter.com/petrogustavo","@petrogustavo")</f>
        <v>@petrogustavo</v>
      </c>
      <c r="C13170" s="5" t="s">
        <v>16</v>
      </c>
      <c r="D13170" s="5" t="s">
        <v>12670</v>
      </c>
      <c r="E13170" s="6" t="str">
        <f>HYPERLINK("https://twitter.com/petrogustavo/status/1350765466776690688","1350765466776690688")</f>
        <v>1350765466776690688</v>
      </c>
      <c r="F13170" s="7" t="s">
        <v>17</v>
      </c>
      <c r="G13170" s="7">
        <v>4040803</v>
      </c>
      <c r="H13170" s="7">
        <v>2481</v>
      </c>
      <c r="I13170" s="7">
        <v>117</v>
      </c>
      <c r="J13170" s="7">
        <v>230</v>
      </c>
      <c r="K13170" s="7" t="s">
        <v>18</v>
      </c>
      <c r="L13170" s="8">
        <v>39987.315405092595</v>
      </c>
      <c r="M13170" s="9" t="s">
        <v>19</v>
      </c>
      <c r="N13170" s="9" t="s">
        <v>20</v>
      </c>
      <c r="O13170" s="6" t="str">
        <f>HYPERLINK("https://pbs.twimg.com/profile_images/962471262747529216/Uo8lOkRJ_normal.jpg","View")</f>
        <v>View</v>
      </c>
      <c r="P13170" s="7"/>
    </row>
    <row r="13171" spans="1:16">
      <c r="A13171" s="3">
        <v>44213.712025462963</v>
      </c>
      <c r="B13171" s="4" t="str">
        <f>HYPERLINK("https://twitter.com/petrogustavo","@petrogustavo")</f>
        <v>@petrogustavo</v>
      </c>
      <c r="C13171" s="5" t="s">
        <v>16</v>
      </c>
      <c r="D13171" s="5" t="s">
        <v>12671</v>
      </c>
      <c r="E13171" s="6" t="str">
        <f>HYPERLINK("https://twitter.com/petrogustavo/status/1350768660630171648","1350768660630171648")</f>
        <v>1350768660630171648</v>
      </c>
      <c r="F13171" s="7" t="s">
        <v>17</v>
      </c>
      <c r="G13171" s="7">
        <v>4040803</v>
      </c>
      <c r="H13171" s="7">
        <v>2481</v>
      </c>
      <c r="I13171" s="7">
        <v>32</v>
      </c>
      <c r="J13171" s="7">
        <v>85</v>
      </c>
      <c r="K13171" s="7" t="s">
        <v>18</v>
      </c>
      <c r="L13171" s="8">
        <v>39987.315405092595</v>
      </c>
      <c r="M13171" s="9" t="s">
        <v>19</v>
      </c>
      <c r="N13171" s="9" t="s">
        <v>20</v>
      </c>
      <c r="O13171" s="6" t="str">
        <f>HYPERLINK("https://pbs.twimg.com/profile_images/962471262747529216/Uo8lOkRJ_normal.jpg","View")</f>
        <v>View</v>
      </c>
      <c r="P13171" s="7"/>
    </row>
    <row r="13172" spans="1:16">
      <c r="A13172" s="3">
        <v>44213.715717592597</v>
      </c>
      <c r="B13172" s="4" t="str">
        <f>HYPERLINK("https://twitter.com/petrogustavo","@petrogustavo")</f>
        <v>@petrogustavo</v>
      </c>
      <c r="C13172" s="5" t="s">
        <v>16</v>
      </c>
      <c r="D13172" s="5" t="s">
        <v>12672</v>
      </c>
      <c r="E13172" s="6" t="str">
        <f>HYPERLINK("https://twitter.com/petrogustavo/status/1350769997115760640","1350769997115760640")</f>
        <v>1350769997115760640</v>
      </c>
      <c r="F13172" s="7" t="s">
        <v>17</v>
      </c>
      <c r="G13172" s="7">
        <v>4040803</v>
      </c>
      <c r="H13172" s="7">
        <v>2481</v>
      </c>
      <c r="I13172" s="7">
        <v>25</v>
      </c>
      <c r="J13172" s="7">
        <v>44</v>
      </c>
      <c r="K13172" s="7" t="s">
        <v>18</v>
      </c>
      <c r="L13172" s="8">
        <v>39987.315405092595</v>
      </c>
      <c r="M13172" s="9" t="s">
        <v>19</v>
      </c>
      <c r="N13172" s="9" t="s">
        <v>20</v>
      </c>
      <c r="O13172" s="6" t="str">
        <f>HYPERLINK("https://pbs.twimg.com/profile_images/962471262747529216/Uo8lOkRJ_normal.jpg","View")</f>
        <v>View</v>
      </c>
      <c r="P13172" s="7"/>
    </row>
    <row r="13173" spans="1:16">
      <c r="A13173" s="3">
        <v>44213.723587962959</v>
      </c>
      <c r="B13173" s="4" t="str">
        <f>HYPERLINK("https://twitter.com/petrogustavo","@petrogustavo")</f>
        <v>@petrogustavo</v>
      </c>
      <c r="C13173" s="5" t="s">
        <v>16</v>
      </c>
      <c r="D13173" s="5" t="s">
        <v>12673</v>
      </c>
      <c r="E13173" s="6" t="str">
        <f>HYPERLINK("https://twitter.com/petrogustavo/status/1350772850031026176","1350772850031026176")</f>
        <v>1350772850031026176</v>
      </c>
      <c r="F13173" s="7" t="s">
        <v>17</v>
      </c>
      <c r="G13173" s="7">
        <v>4040816</v>
      </c>
      <c r="H13173" s="7">
        <v>2481</v>
      </c>
      <c r="I13173" s="7">
        <v>263</v>
      </c>
      <c r="J13173" s="7">
        <v>0</v>
      </c>
      <c r="K13173" s="7" t="s">
        <v>18</v>
      </c>
      <c r="L13173" s="8">
        <v>39987.315405092595</v>
      </c>
      <c r="M13173" s="9" t="s">
        <v>19</v>
      </c>
      <c r="N13173" s="9" t="s">
        <v>20</v>
      </c>
      <c r="O13173" s="6" t="str">
        <f>HYPERLINK("https://pbs.twimg.com/profile_images/962471262747529216/Uo8lOkRJ_normal.jpg","View")</f>
        <v>View</v>
      </c>
      <c r="P13173" s="7"/>
    </row>
    <row r="13174" spans="1:16">
      <c r="A13174" s="3">
        <v>44213.794236111113</v>
      </c>
      <c r="B13174" s="4" t="str">
        <f>HYPERLINK("https://twitter.com/petrogustavo","@petrogustavo")</f>
        <v>@petrogustavo</v>
      </c>
      <c r="C13174" s="5" t="s">
        <v>16</v>
      </c>
      <c r="D13174" s="5" t="s">
        <v>12674</v>
      </c>
      <c r="E13174" s="6" t="str">
        <f>HYPERLINK("https://twitter.com/petrogustavo/status/1350798452733710338","1350798452733710338")</f>
        <v>1350798452733710338</v>
      </c>
      <c r="F13174" s="7" t="s">
        <v>17</v>
      </c>
      <c r="G13174" s="7">
        <v>4040889</v>
      </c>
      <c r="H13174" s="7">
        <v>2481</v>
      </c>
      <c r="I13174" s="7">
        <v>52</v>
      </c>
      <c r="J13174" s="7">
        <v>0</v>
      </c>
      <c r="K13174" s="7" t="s">
        <v>18</v>
      </c>
      <c r="L13174" s="8">
        <v>39987.315405092595</v>
      </c>
      <c r="M13174" s="9" t="s">
        <v>19</v>
      </c>
      <c r="N13174" s="9" t="s">
        <v>20</v>
      </c>
      <c r="O13174" s="6" t="str">
        <f>HYPERLINK("https://pbs.twimg.com/profile_images/962471262747529216/Uo8lOkRJ_normal.jpg","View")</f>
        <v>View</v>
      </c>
      <c r="P13174" s="7"/>
    </row>
    <row r="13175" spans="1:16">
      <c r="A13175" s="3">
        <v>44213.801921296297</v>
      </c>
      <c r="B13175" s="4" t="str">
        <f>HYPERLINK("https://twitter.com/petrogustavo","@petrogustavo")</f>
        <v>@petrogustavo</v>
      </c>
      <c r="C13175" s="5" t="s">
        <v>16</v>
      </c>
      <c r="D13175" s="5" t="s">
        <v>12675</v>
      </c>
      <c r="E13175" s="6" t="str">
        <f>HYPERLINK("https://twitter.com/petrogustavo/status/1350801238850465793","1350801238850465793")</f>
        <v>1350801238850465793</v>
      </c>
      <c r="F13175" s="7" t="s">
        <v>17</v>
      </c>
      <c r="G13175" s="7">
        <v>4040889</v>
      </c>
      <c r="H13175" s="7">
        <v>2481</v>
      </c>
      <c r="I13175" s="7">
        <v>21</v>
      </c>
      <c r="J13175" s="7">
        <v>52</v>
      </c>
      <c r="K13175" s="7" t="s">
        <v>18</v>
      </c>
      <c r="L13175" s="8">
        <v>39987.315405092595</v>
      </c>
      <c r="M13175" s="9" t="s">
        <v>19</v>
      </c>
      <c r="N13175" s="9" t="s">
        <v>20</v>
      </c>
      <c r="O13175" s="6" t="str">
        <f>HYPERLINK("https://pbs.twimg.com/profile_images/962471262747529216/Uo8lOkRJ_normal.jpg","View")</f>
        <v>View</v>
      </c>
      <c r="P13175" s="7"/>
    </row>
    <row r="13176" spans="1:16">
      <c r="A13176" s="3">
        <v>44213.8046875</v>
      </c>
      <c r="B13176" s="4" t="str">
        <f>HYPERLINK("https://twitter.com/petrogustavo","@petrogustavo")</f>
        <v>@petrogustavo</v>
      </c>
      <c r="C13176" s="5" t="s">
        <v>16</v>
      </c>
      <c r="D13176" s="5" t="s">
        <v>12676</v>
      </c>
      <c r="E13176" s="6" t="str">
        <f>HYPERLINK("https://twitter.com/petrogustavo/status/1350802239749820419","1350802239749820419")</f>
        <v>1350802239749820419</v>
      </c>
      <c r="F13176" s="7" t="s">
        <v>17</v>
      </c>
      <c r="G13176" s="7">
        <v>4040906</v>
      </c>
      <c r="H13176" s="7">
        <v>2481</v>
      </c>
      <c r="I13176" s="7">
        <v>133</v>
      </c>
      <c r="J13176" s="7">
        <v>0</v>
      </c>
      <c r="K13176" s="7" t="s">
        <v>18</v>
      </c>
      <c r="L13176" s="8">
        <v>39987.315405092595</v>
      </c>
      <c r="M13176" s="9" t="s">
        <v>19</v>
      </c>
      <c r="N13176" s="9" t="s">
        <v>20</v>
      </c>
      <c r="O13176" s="6" t="str">
        <f>HYPERLINK("https://pbs.twimg.com/profile_images/962471262747529216/Uo8lOkRJ_normal.jpg","View")</f>
        <v>View</v>
      </c>
      <c r="P13176" s="7"/>
    </row>
    <row r="13177" spans="1:16">
      <c r="A13177" s="3">
        <v>44214.041203703702</v>
      </c>
      <c r="B13177" s="4" t="str">
        <f>HYPERLINK("https://twitter.com/petrogustavo","@petrogustavo")</f>
        <v>@petrogustavo</v>
      </c>
      <c r="C13177" s="5" t="s">
        <v>16</v>
      </c>
      <c r="D13177" s="5" t="s">
        <v>12673</v>
      </c>
      <c r="E13177" s="6" t="str">
        <f>HYPERLINK("https://twitter.com/petrogustavo/status/1350887950041624576","1350887950041624576")</f>
        <v>1350887950041624576</v>
      </c>
      <c r="F13177" s="7" t="s">
        <v>17</v>
      </c>
      <c r="G13177" s="7">
        <v>4041140</v>
      </c>
      <c r="H13177" s="7">
        <v>2481</v>
      </c>
      <c r="I13177" s="7">
        <v>2132</v>
      </c>
      <c r="J13177" s="7">
        <v>0</v>
      </c>
      <c r="K13177" s="7" t="s">
        <v>18</v>
      </c>
      <c r="L13177" s="8">
        <v>39987.315405092595</v>
      </c>
      <c r="M13177" s="9" t="s">
        <v>19</v>
      </c>
      <c r="N13177" s="9" t="s">
        <v>20</v>
      </c>
      <c r="O13177" s="6" t="str">
        <f>HYPERLINK("https://pbs.twimg.com/profile_images/962471262747529216/Uo8lOkRJ_normal.jpg","View")</f>
        <v>View</v>
      </c>
      <c r="P13177" s="7"/>
    </row>
    <row r="13178" spans="1:16">
      <c r="A13178" s="3">
        <v>44214.043935185182</v>
      </c>
      <c r="B13178" s="4" t="str">
        <f>HYPERLINK("https://twitter.com/petrogustavo","@petrogustavo")</f>
        <v>@petrogustavo</v>
      </c>
      <c r="C13178" s="5" t="s">
        <v>16</v>
      </c>
      <c r="D13178" s="5" t="s">
        <v>12677</v>
      </c>
      <c r="E13178" s="6" t="str">
        <f>HYPERLINK("https://twitter.com/petrogustavo/status/1350888940027457540","1350888940027457540")</f>
        <v>1350888940027457540</v>
      </c>
      <c r="F13178" s="7" t="s">
        <v>17</v>
      </c>
      <c r="G13178" s="7">
        <v>4041140</v>
      </c>
      <c r="H13178" s="7">
        <v>2481</v>
      </c>
      <c r="I13178" s="7">
        <v>137</v>
      </c>
      <c r="J13178" s="7">
        <v>0</v>
      </c>
      <c r="K13178" s="7" t="s">
        <v>18</v>
      </c>
      <c r="L13178" s="8">
        <v>39987.315405092595</v>
      </c>
      <c r="M13178" s="9" t="s">
        <v>19</v>
      </c>
      <c r="N13178" s="9" t="s">
        <v>20</v>
      </c>
      <c r="O13178" s="6" t="str">
        <f>HYPERLINK("https://pbs.twimg.com/profile_images/962471262747529216/Uo8lOkRJ_normal.jpg","View")</f>
        <v>View</v>
      </c>
      <c r="P13178" s="7"/>
    </row>
    <row r="13179" spans="1:16">
      <c r="A13179" s="3">
        <v>44214.047534722224</v>
      </c>
      <c r="B13179" s="4" t="str">
        <f>HYPERLINK("https://twitter.com/petrogustavo","@petrogustavo")</f>
        <v>@petrogustavo</v>
      </c>
      <c r="C13179" s="5" t="s">
        <v>16</v>
      </c>
      <c r="D13179" s="5" t="s">
        <v>12678</v>
      </c>
      <c r="E13179" s="6" t="str">
        <f>HYPERLINK("https://twitter.com/petrogustavo/status/1350890245089353729","1350890245089353729")</f>
        <v>1350890245089353729</v>
      </c>
      <c r="F13179" s="7" t="s">
        <v>17</v>
      </c>
      <c r="G13179" s="7">
        <v>4041140</v>
      </c>
      <c r="H13179" s="7">
        <v>2481</v>
      </c>
      <c r="I13179" s="7">
        <v>40</v>
      </c>
      <c r="J13179" s="7">
        <v>0</v>
      </c>
      <c r="K13179" s="7" t="s">
        <v>18</v>
      </c>
      <c r="L13179" s="8">
        <v>39987.315405092595</v>
      </c>
      <c r="M13179" s="9" t="s">
        <v>19</v>
      </c>
      <c r="N13179" s="9" t="s">
        <v>20</v>
      </c>
      <c r="O13179" s="6" t="str">
        <f>HYPERLINK("https://pbs.twimg.com/profile_images/962471262747529216/Uo8lOkRJ_normal.jpg","View")</f>
        <v>View</v>
      </c>
      <c r="P13179" s="7"/>
    </row>
    <row r="13180" spans="1:16">
      <c r="A13180" s="3">
        <v>44214.052453703705</v>
      </c>
      <c r="B13180" s="4" t="str">
        <f>HYPERLINK("https://twitter.com/petrogustavo","@petrogustavo")</f>
        <v>@petrogustavo</v>
      </c>
      <c r="C13180" s="5" t="s">
        <v>16</v>
      </c>
      <c r="D13180" s="5" t="s">
        <v>12679</v>
      </c>
      <c r="E13180" s="6" t="str">
        <f>HYPERLINK("https://twitter.com/petrogustavo/status/1350892029874745350","1350892029874745350")</f>
        <v>1350892029874745350</v>
      </c>
      <c r="F13180" s="7" t="s">
        <v>17</v>
      </c>
      <c r="G13180" s="7">
        <v>4041140</v>
      </c>
      <c r="H13180" s="7">
        <v>2481</v>
      </c>
      <c r="I13180" s="7">
        <v>33</v>
      </c>
      <c r="J13180" s="7">
        <v>63</v>
      </c>
      <c r="K13180" s="7" t="s">
        <v>18</v>
      </c>
      <c r="L13180" s="8">
        <v>39987.315405092595</v>
      </c>
      <c r="M13180" s="9" t="s">
        <v>19</v>
      </c>
      <c r="N13180" s="9" t="s">
        <v>20</v>
      </c>
      <c r="O13180" s="6" t="str">
        <f>HYPERLINK("https://pbs.twimg.com/profile_images/962471262747529216/Uo8lOkRJ_normal.jpg","View")</f>
        <v>View</v>
      </c>
      <c r="P13180" s="7"/>
    </row>
    <row r="13181" spans="1:16">
      <c r="A13181" s="3">
        <v>44214.057303240741</v>
      </c>
      <c r="B13181" s="4" t="str">
        <f>HYPERLINK("https://twitter.com/petrogustavo","@petrogustavo")</f>
        <v>@petrogustavo</v>
      </c>
      <c r="C13181" s="5" t="s">
        <v>16</v>
      </c>
      <c r="D13181" s="5" t="s">
        <v>12680</v>
      </c>
      <c r="E13181" s="6" t="str">
        <f>HYPERLINK("https://twitter.com/petrogustavo/status/1350893787187445763","1350893787187445763")</f>
        <v>1350893787187445763</v>
      </c>
      <c r="F13181" s="7" t="s">
        <v>17</v>
      </c>
      <c r="G13181" s="7">
        <v>4041165</v>
      </c>
      <c r="H13181" s="7">
        <v>2481</v>
      </c>
      <c r="I13181" s="7">
        <v>516</v>
      </c>
      <c r="J13181" s="7">
        <v>0</v>
      </c>
      <c r="K13181" s="7" t="s">
        <v>18</v>
      </c>
      <c r="L13181" s="8">
        <v>39987.315405092595</v>
      </c>
      <c r="M13181" s="9" t="s">
        <v>19</v>
      </c>
      <c r="N13181" s="9" t="s">
        <v>20</v>
      </c>
      <c r="O13181" s="6" t="str">
        <f>HYPERLINK("https://pbs.twimg.com/profile_images/962471262747529216/Uo8lOkRJ_normal.jpg","View")</f>
        <v>View</v>
      </c>
      <c r="P13181" s="7"/>
    </row>
    <row r="13182" spans="1:16">
      <c r="A13182" s="3">
        <v>44214.083865740744</v>
      </c>
      <c r="B13182" s="4" t="str">
        <f>HYPERLINK("https://twitter.com/petrogustavo","@petrogustavo")</f>
        <v>@petrogustavo</v>
      </c>
      <c r="C13182" s="5" t="s">
        <v>16</v>
      </c>
      <c r="D13182" s="5" t="s">
        <v>12681</v>
      </c>
      <c r="E13182" s="6" t="str">
        <f>HYPERLINK("https://twitter.com/petrogustavo/status/1350903409348669441","1350903409348669441")</f>
        <v>1350903409348669441</v>
      </c>
      <c r="F13182" s="7" t="s">
        <v>17</v>
      </c>
      <c r="G13182" s="7">
        <v>4041188</v>
      </c>
      <c r="H13182" s="7">
        <v>2481</v>
      </c>
      <c r="I13182" s="7">
        <v>131</v>
      </c>
      <c r="J13182" s="7">
        <v>686</v>
      </c>
      <c r="K13182" s="7" t="s">
        <v>18</v>
      </c>
      <c r="L13182" s="8">
        <v>39987.315405092595</v>
      </c>
      <c r="M13182" s="9" t="s">
        <v>19</v>
      </c>
      <c r="N13182" s="9" t="s">
        <v>20</v>
      </c>
      <c r="O13182" s="6" t="str">
        <f>HYPERLINK("https://pbs.twimg.com/profile_images/962471262747529216/Uo8lOkRJ_normal.jpg","View")</f>
        <v>View</v>
      </c>
      <c r="P13182" s="7"/>
    </row>
    <row r="13183" spans="1:16">
      <c r="A13183" s="3">
        <v>44214.102210648147</v>
      </c>
      <c r="B13183" s="4" t="str">
        <f>HYPERLINK("https://twitter.com/petrogustavo","@petrogustavo")</f>
        <v>@petrogustavo</v>
      </c>
      <c r="C13183" s="5" t="s">
        <v>16</v>
      </c>
      <c r="D13183" s="5" t="s">
        <v>12682</v>
      </c>
      <c r="E13183" s="6" t="str">
        <f>HYPERLINK("https://twitter.com/petrogustavo/status/1350910057744113668","1350910057744113668")</f>
        <v>1350910057744113668</v>
      </c>
      <c r="F13183" s="7" t="s">
        <v>17</v>
      </c>
      <c r="G13183" s="7">
        <v>4041217</v>
      </c>
      <c r="H13183" s="7">
        <v>2481</v>
      </c>
      <c r="I13183" s="7">
        <v>45</v>
      </c>
      <c r="J13183" s="7">
        <v>121</v>
      </c>
      <c r="K13183" s="7" t="s">
        <v>18</v>
      </c>
      <c r="L13183" s="8">
        <v>39987.315405092595</v>
      </c>
      <c r="M13183" s="9" t="s">
        <v>19</v>
      </c>
      <c r="N13183" s="9" t="s">
        <v>20</v>
      </c>
      <c r="O13183" s="6" t="str">
        <f>HYPERLINK("https://pbs.twimg.com/profile_images/962471262747529216/Uo8lOkRJ_normal.jpg","View")</f>
        <v>View</v>
      </c>
      <c r="P13183" s="7"/>
    </row>
    <row r="13184" spans="1:16">
      <c r="A13184" s="3">
        <v>44214.123101851852</v>
      </c>
      <c r="B13184" s="4" t="str">
        <f>HYPERLINK("https://twitter.com/petrogustavo","@petrogustavo")</f>
        <v>@petrogustavo</v>
      </c>
      <c r="C13184" s="5" t="s">
        <v>16</v>
      </c>
      <c r="D13184" s="5" t="s">
        <v>12683</v>
      </c>
      <c r="E13184" s="6" t="str">
        <f>HYPERLINK("https://twitter.com/petrogustavo/status/1350917630442528768","1350917630442528768")</f>
        <v>1350917630442528768</v>
      </c>
      <c r="F13184" s="7" t="s">
        <v>17</v>
      </c>
      <c r="G13184" s="7">
        <v>4041240</v>
      </c>
      <c r="H13184" s="7">
        <v>2481</v>
      </c>
      <c r="I13184" s="7">
        <v>84</v>
      </c>
      <c r="J13184" s="7">
        <v>204</v>
      </c>
      <c r="K13184" s="7" t="s">
        <v>18</v>
      </c>
      <c r="L13184" s="8">
        <v>39987.315405092595</v>
      </c>
      <c r="M13184" s="9" t="s">
        <v>19</v>
      </c>
      <c r="N13184" s="9" t="s">
        <v>20</v>
      </c>
      <c r="O13184" s="6" t="str">
        <f>HYPERLINK("https://pbs.twimg.com/profile_images/962471262747529216/Uo8lOkRJ_normal.jpg","View")</f>
        <v>View</v>
      </c>
      <c r="P13184" s="7"/>
    </row>
    <row r="13185" spans="1:16">
      <c r="A13185" s="3">
        <v>44214.597719907411</v>
      </c>
      <c r="B13185" s="4" t="str">
        <f>HYPERLINK("https://twitter.com/petrogustavo","@petrogustavo")</f>
        <v>@petrogustavo</v>
      </c>
      <c r="C13185" s="5" t="s">
        <v>16</v>
      </c>
      <c r="D13185" s="5" t="s">
        <v>12684</v>
      </c>
      <c r="E13185" s="6" t="str">
        <f>HYPERLINK("https://twitter.com/petrogustavo/status/1351089627810168835","1351089627810168835")</f>
        <v>1351089627810168835</v>
      </c>
      <c r="F13185" s="7" t="s">
        <v>17</v>
      </c>
      <c r="G13185" s="7">
        <v>4041647</v>
      </c>
      <c r="H13185" s="7">
        <v>2480</v>
      </c>
      <c r="I13185" s="7">
        <v>15</v>
      </c>
      <c r="J13185" s="7">
        <v>44</v>
      </c>
      <c r="K13185" s="7" t="s">
        <v>18</v>
      </c>
      <c r="L13185" s="8">
        <v>39987.315405092595</v>
      </c>
      <c r="M13185" s="9" t="s">
        <v>19</v>
      </c>
      <c r="N13185" s="9" t="s">
        <v>20</v>
      </c>
      <c r="O13185" s="6" t="str">
        <f>HYPERLINK("https://pbs.twimg.com/profile_images/962471262747529216/Uo8lOkRJ_normal.jpg","View")</f>
        <v>View</v>
      </c>
      <c r="P13185" s="7"/>
    </row>
    <row r="13186" spans="1:16">
      <c r="A13186" s="3">
        <v>44214.640011574069</v>
      </c>
      <c r="B13186" s="4" t="str">
        <f>HYPERLINK("https://twitter.com/petrogustavo","@petrogustavo")</f>
        <v>@petrogustavo</v>
      </c>
      <c r="C13186" s="5" t="s">
        <v>16</v>
      </c>
      <c r="D13186" s="5" t="s">
        <v>12685</v>
      </c>
      <c r="E13186" s="6" t="str">
        <f>HYPERLINK("https://twitter.com/petrogustavo/status/1351104951146131460","1351104951146131460")</f>
        <v>1351104951146131460</v>
      </c>
      <c r="F13186" s="7" t="s">
        <v>17</v>
      </c>
      <c r="G13186" s="7">
        <v>4041652</v>
      </c>
      <c r="H13186" s="7">
        <v>2480</v>
      </c>
      <c r="I13186" s="7">
        <v>26</v>
      </c>
      <c r="J13186" s="7">
        <v>53</v>
      </c>
      <c r="K13186" s="7" t="s">
        <v>18</v>
      </c>
      <c r="L13186" s="8">
        <v>39987.315405092595</v>
      </c>
      <c r="M13186" s="9" t="s">
        <v>19</v>
      </c>
      <c r="N13186" s="9" t="s">
        <v>20</v>
      </c>
      <c r="O13186" s="6" t="str">
        <f>HYPERLINK("https://pbs.twimg.com/profile_images/962471262747529216/Uo8lOkRJ_normal.jpg","View")</f>
        <v>View</v>
      </c>
      <c r="P13186" s="7"/>
    </row>
    <row r="13187" spans="1:16">
      <c r="A13187" s="3">
        <v>44214.68950231481</v>
      </c>
      <c r="B13187" s="4" t="str">
        <f>HYPERLINK("https://twitter.com/petrogustavo","@petrogustavo")</f>
        <v>@petrogustavo</v>
      </c>
      <c r="C13187" s="5" t="s">
        <v>16</v>
      </c>
      <c r="D13187" s="5" t="s">
        <v>12686</v>
      </c>
      <c r="E13187" s="6" t="str">
        <f>HYPERLINK("https://twitter.com/petrogustavo/status/1351122884694069248","1351122884694069248")</f>
        <v>1351122884694069248</v>
      </c>
      <c r="F13187" s="7" t="s">
        <v>17</v>
      </c>
      <c r="G13187" s="7">
        <v>4041660</v>
      </c>
      <c r="H13187" s="7">
        <v>2480</v>
      </c>
      <c r="I13187" s="7">
        <v>698</v>
      </c>
      <c r="J13187" s="7">
        <v>0</v>
      </c>
      <c r="K13187" s="7" t="s">
        <v>18</v>
      </c>
      <c r="L13187" s="8">
        <v>39987.315405092595</v>
      </c>
      <c r="M13187" s="9" t="s">
        <v>19</v>
      </c>
      <c r="N13187" s="9" t="s">
        <v>20</v>
      </c>
      <c r="O13187" s="6" t="str">
        <f>HYPERLINK("https://pbs.twimg.com/profile_images/962471262747529216/Uo8lOkRJ_normal.jpg","View")</f>
        <v>View</v>
      </c>
      <c r="P13187" s="7"/>
    </row>
    <row r="13188" spans="1:16">
      <c r="A13188" s="3">
        <v>44214.693518518514</v>
      </c>
      <c r="B13188" s="4" t="str">
        <f>HYPERLINK("https://twitter.com/petrogustavo","@petrogustavo")</f>
        <v>@petrogustavo</v>
      </c>
      <c r="C13188" s="5" t="s">
        <v>16</v>
      </c>
      <c r="D13188" s="5" t="s">
        <v>12687</v>
      </c>
      <c r="E13188" s="6" t="str">
        <f>HYPERLINK("https://twitter.com/petrogustavo/status/1351124341816254464","1351124341816254464")</f>
        <v>1351124341816254464</v>
      </c>
      <c r="F13188" s="7" t="s">
        <v>17</v>
      </c>
      <c r="G13188" s="7">
        <v>4041655</v>
      </c>
      <c r="H13188" s="7">
        <v>2480</v>
      </c>
      <c r="I13188" s="7">
        <v>48</v>
      </c>
      <c r="J13188" s="7">
        <v>112</v>
      </c>
      <c r="K13188" s="7" t="s">
        <v>18</v>
      </c>
      <c r="L13188" s="8">
        <v>39987.315405092595</v>
      </c>
      <c r="M13188" s="9" t="s">
        <v>19</v>
      </c>
      <c r="N13188" s="9" t="s">
        <v>20</v>
      </c>
      <c r="O13188" s="6" t="str">
        <f>HYPERLINK("https://pbs.twimg.com/profile_images/962471262747529216/Uo8lOkRJ_normal.jpg","View")</f>
        <v>View</v>
      </c>
      <c r="P13188" s="7"/>
    </row>
    <row r="13189" spans="1:16">
      <c r="A13189" s="3">
        <v>44214.693530092598</v>
      </c>
      <c r="B13189" s="4" t="str">
        <f>HYPERLINK("https://twitter.com/petrogustavo","@petrogustavo")</f>
        <v>@petrogustavo</v>
      </c>
      <c r="C13189" s="5" t="s">
        <v>16</v>
      </c>
      <c r="D13189" s="5" t="s">
        <v>12688</v>
      </c>
      <c r="E13189" s="6" t="str">
        <f>HYPERLINK("https://twitter.com/petrogustavo/status/1351124344274083844","1351124344274083844")</f>
        <v>1351124344274083844</v>
      </c>
      <c r="F13189" s="7" t="s">
        <v>17</v>
      </c>
      <c r="G13189" s="7">
        <v>4041655</v>
      </c>
      <c r="H13189" s="7">
        <v>2480</v>
      </c>
      <c r="I13189" s="7">
        <v>38</v>
      </c>
      <c r="J13189" s="7">
        <v>121</v>
      </c>
      <c r="K13189" s="7" t="s">
        <v>18</v>
      </c>
      <c r="L13189" s="8">
        <v>39987.315405092595</v>
      </c>
      <c r="M13189" s="9" t="s">
        <v>19</v>
      </c>
      <c r="N13189" s="9" t="s">
        <v>20</v>
      </c>
      <c r="O13189" s="6" t="str">
        <f>HYPERLINK("https://pbs.twimg.com/profile_images/962471262747529216/Uo8lOkRJ_normal.jpg","View")</f>
        <v>View</v>
      </c>
      <c r="P13189" s="7"/>
    </row>
    <row r="13190" spans="1:16">
      <c r="A13190" s="3">
        <v>44214.731724537036</v>
      </c>
      <c r="B13190" s="4" t="str">
        <f>HYPERLINK("https://twitter.com/petrogustavo","@petrogustavo")</f>
        <v>@petrogustavo</v>
      </c>
      <c r="C13190" s="5" t="s">
        <v>16</v>
      </c>
      <c r="D13190" s="5" t="s">
        <v>12689</v>
      </c>
      <c r="E13190" s="6" t="str">
        <f>HYPERLINK("https://twitter.com/petrogustavo/status/1351138188052586499","1351138188052586499")</f>
        <v>1351138188052586499</v>
      </c>
      <c r="F13190" s="7" t="s">
        <v>17</v>
      </c>
      <c r="G13190" s="7">
        <v>4041680</v>
      </c>
      <c r="H13190" s="7">
        <v>2480</v>
      </c>
      <c r="I13190" s="7">
        <v>210</v>
      </c>
      <c r="J13190" s="7">
        <v>0</v>
      </c>
      <c r="K13190" s="7" t="s">
        <v>18</v>
      </c>
      <c r="L13190" s="8">
        <v>39987.315405092595</v>
      </c>
      <c r="M13190" s="9" t="s">
        <v>19</v>
      </c>
      <c r="N13190" s="9" t="s">
        <v>20</v>
      </c>
      <c r="O13190" s="6" t="str">
        <f>HYPERLINK("https://pbs.twimg.com/profile_images/962471262747529216/Uo8lOkRJ_normal.jpg","View")</f>
        <v>View</v>
      </c>
      <c r="P13190" s="7"/>
    </row>
    <row r="13191" spans="1:16">
      <c r="A13191" s="3">
        <v>44214.989212962959</v>
      </c>
      <c r="B13191" s="4" t="str">
        <f>HYPERLINK("https://twitter.com/petrogustavo","@petrogustavo")</f>
        <v>@petrogustavo</v>
      </c>
      <c r="C13191" s="5" t="s">
        <v>16</v>
      </c>
      <c r="D13191" s="5" t="s">
        <v>12690</v>
      </c>
      <c r="E13191" s="6" t="str">
        <f>HYPERLINK("https://twitter.com/petrogustavo/status/1351231499845201921","1351231499845201921")</f>
        <v>1351231499845201921</v>
      </c>
      <c r="F13191" s="7" t="s">
        <v>17</v>
      </c>
      <c r="G13191" s="7">
        <v>4041954</v>
      </c>
      <c r="H13191" s="7">
        <v>2480</v>
      </c>
      <c r="I13191" s="7">
        <v>110</v>
      </c>
      <c r="J13191" s="7">
        <v>301</v>
      </c>
      <c r="K13191" s="7" t="s">
        <v>18</v>
      </c>
      <c r="L13191" s="8">
        <v>39987.315405092595</v>
      </c>
      <c r="M13191" s="9" t="s">
        <v>19</v>
      </c>
      <c r="N13191" s="9" t="s">
        <v>20</v>
      </c>
      <c r="O13191" s="6" t="str">
        <f>HYPERLINK("https://pbs.twimg.com/profile_images/962471262747529216/Uo8lOkRJ_normal.jpg","View")</f>
        <v>View</v>
      </c>
      <c r="P13191" s="7"/>
    </row>
    <row r="13192" spans="1:16">
      <c r="A13192" s="3">
        <v>44214.993726851855</v>
      </c>
      <c r="B13192" s="4" t="str">
        <f>HYPERLINK("https://twitter.com/petrogustavo","@petrogustavo")</f>
        <v>@petrogustavo</v>
      </c>
      <c r="C13192" s="5" t="s">
        <v>16</v>
      </c>
      <c r="D13192" s="5" t="s">
        <v>12691</v>
      </c>
      <c r="E13192" s="6" t="str">
        <f>HYPERLINK("https://twitter.com/petrogustavo/status/1351233134294159360","1351233134294159360")</f>
        <v>1351233134294159360</v>
      </c>
      <c r="F13192" s="7" t="s">
        <v>17</v>
      </c>
      <c r="G13192" s="7">
        <v>4041954</v>
      </c>
      <c r="H13192" s="7">
        <v>2480</v>
      </c>
      <c r="I13192" s="7">
        <v>107</v>
      </c>
      <c r="J13192" s="7">
        <v>395</v>
      </c>
      <c r="K13192" s="7" t="s">
        <v>18</v>
      </c>
      <c r="L13192" s="8">
        <v>39987.315405092595</v>
      </c>
      <c r="M13192" s="9" t="s">
        <v>19</v>
      </c>
      <c r="N13192" s="9" t="s">
        <v>20</v>
      </c>
      <c r="O13192" s="6" t="str">
        <f>HYPERLINK("https://pbs.twimg.com/profile_images/962471262747529216/Uo8lOkRJ_normal.jpg","View")</f>
        <v>View</v>
      </c>
      <c r="P13192" s="7"/>
    </row>
    <row r="13193" spans="1:16">
      <c r="A13193" s="3">
        <v>44215.054363425923</v>
      </c>
      <c r="B13193" s="4" t="str">
        <f>HYPERLINK("https://twitter.com/petrogustavo","@petrogustavo")</f>
        <v>@petrogustavo</v>
      </c>
      <c r="C13193" s="5" t="s">
        <v>16</v>
      </c>
      <c r="D13193" s="5" t="s">
        <v>12692</v>
      </c>
      <c r="E13193" s="6" t="str">
        <f>HYPERLINK("https://twitter.com/petrogustavo/status/1351255109725024262","1351255109725024262")</f>
        <v>1351255109725024262</v>
      </c>
      <c r="F13193" s="7" t="s">
        <v>17</v>
      </c>
      <c r="G13193" s="7">
        <v>4042000</v>
      </c>
      <c r="H13193" s="7">
        <v>2480</v>
      </c>
      <c r="I13193" s="7">
        <v>87</v>
      </c>
      <c r="J13193" s="7">
        <v>190</v>
      </c>
      <c r="K13193" s="7" t="s">
        <v>18</v>
      </c>
      <c r="L13193" s="8">
        <v>39987.315405092595</v>
      </c>
      <c r="M13193" s="9" t="s">
        <v>19</v>
      </c>
      <c r="N13193" s="9" t="s">
        <v>20</v>
      </c>
      <c r="O13193" s="6" t="str">
        <f>HYPERLINK("https://pbs.twimg.com/profile_images/962471262747529216/Uo8lOkRJ_normal.jpg","View")</f>
        <v>View</v>
      </c>
      <c r="P13193" s="7"/>
    </row>
    <row r="13194" spans="1:16">
      <c r="A13194" s="3">
        <v>44215.072395833333</v>
      </c>
      <c r="B13194" s="4" t="str">
        <f>HYPERLINK("https://twitter.com/petrogustavo","@petrogustavo")</f>
        <v>@petrogustavo</v>
      </c>
      <c r="C13194" s="5" t="s">
        <v>16</v>
      </c>
      <c r="D13194" s="5" t="s">
        <v>12693</v>
      </c>
      <c r="E13194" s="6" t="str">
        <f>HYPERLINK("https://twitter.com/petrogustavo/status/1351261644006039552","1351261644006039552")</f>
        <v>1351261644006039552</v>
      </c>
      <c r="F13194" s="7" t="s">
        <v>17</v>
      </c>
      <c r="G13194" s="7">
        <v>4042026</v>
      </c>
      <c r="H13194" s="7">
        <v>2480</v>
      </c>
      <c r="I13194" s="7">
        <v>136</v>
      </c>
      <c r="J13194" s="7">
        <v>290</v>
      </c>
      <c r="K13194" s="7" t="s">
        <v>18</v>
      </c>
      <c r="L13194" s="8">
        <v>39987.315405092595</v>
      </c>
      <c r="M13194" s="9" t="s">
        <v>19</v>
      </c>
      <c r="N13194" s="9" t="s">
        <v>20</v>
      </c>
      <c r="O13194" s="6" t="str">
        <f>HYPERLINK("https://pbs.twimg.com/profile_images/962471262747529216/Uo8lOkRJ_normal.jpg","View")</f>
        <v>View</v>
      </c>
      <c r="P13194" s="7"/>
    </row>
    <row r="13195" spans="1:16">
      <c r="A13195" s="3">
        <v>44215.126307870371</v>
      </c>
      <c r="B13195" s="4" t="str">
        <f>HYPERLINK("https://twitter.com/petrogustavo","@petrogustavo")</f>
        <v>@petrogustavo</v>
      </c>
      <c r="C13195" s="5" t="s">
        <v>16</v>
      </c>
      <c r="D13195" s="5" t="s">
        <v>12694</v>
      </c>
      <c r="E13195" s="6" t="str">
        <f>HYPERLINK("https://twitter.com/petrogustavo/status/1351281181447303169","1351281181447303169")</f>
        <v>1351281181447303169</v>
      </c>
      <c r="F13195" s="7" t="s">
        <v>17</v>
      </c>
      <c r="G13195" s="7">
        <v>4042077</v>
      </c>
      <c r="H13195" s="7">
        <v>2481</v>
      </c>
      <c r="I13195" s="7">
        <v>639</v>
      </c>
      <c r="J13195" s="7">
        <v>0</v>
      </c>
      <c r="K13195" s="7" t="s">
        <v>18</v>
      </c>
      <c r="L13195" s="8">
        <v>39987.315405092595</v>
      </c>
      <c r="M13195" s="9" t="s">
        <v>19</v>
      </c>
      <c r="N13195" s="9" t="s">
        <v>20</v>
      </c>
      <c r="O13195" s="6" t="str">
        <f>HYPERLINK("https://pbs.twimg.com/profile_images/962471262747529216/Uo8lOkRJ_normal.jpg","View")</f>
        <v>View</v>
      </c>
      <c r="P13195" s="7"/>
    </row>
    <row r="13196" spans="1:16">
      <c r="A13196" s="3">
        <v>44215.642731481479</v>
      </c>
      <c r="B13196" s="4" t="str">
        <f>HYPERLINK("https://twitter.com/petrogustavo","@petrogustavo")</f>
        <v>@petrogustavo</v>
      </c>
      <c r="C13196" s="5" t="s">
        <v>16</v>
      </c>
      <c r="D13196" s="5" t="s">
        <v>12695</v>
      </c>
      <c r="E13196" s="6" t="str">
        <f>HYPERLINK("https://twitter.com/petrogustavo/status/1351468325025492997","1351468325025492997")</f>
        <v>1351468325025492997</v>
      </c>
      <c r="F13196" s="7" t="s">
        <v>17</v>
      </c>
      <c r="G13196" s="7">
        <v>4042466</v>
      </c>
      <c r="H13196" s="7">
        <v>2481</v>
      </c>
      <c r="I13196" s="7">
        <v>152</v>
      </c>
      <c r="J13196" s="7">
        <v>0</v>
      </c>
      <c r="K13196" s="7" t="s">
        <v>18</v>
      </c>
      <c r="L13196" s="8">
        <v>39987.315405092595</v>
      </c>
      <c r="M13196" s="9" t="s">
        <v>19</v>
      </c>
      <c r="N13196" s="9" t="s">
        <v>20</v>
      </c>
      <c r="O13196" s="6" t="str">
        <f>HYPERLINK("https://pbs.twimg.com/profile_images/962471262747529216/Uo8lOkRJ_normal.jpg","View")</f>
        <v>View</v>
      </c>
      <c r="P13196" s="7"/>
    </row>
    <row r="13197" spans="1:16">
      <c r="A13197" s="3">
        <v>44215.642731481479</v>
      </c>
      <c r="B13197" s="4" t="str">
        <f>HYPERLINK("https://twitter.com/petrogustavo","@petrogustavo")</f>
        <v>@petrogustavo</v>
      </c>
      <c r="C13197" s="5" t="s">
        <v>16</v>
      </c>
      <c r="D13197" s="5" t="s">
        <v>12696</v>
      </c>
      <c r="E13197" s="6" t="str">
        <f>HYPERLINK("https://twitter.com/petrogustavo/status/1351468327382740992","1351468327382740992")</f>
        <v>1351468327382740992</v>
      </c>
      <c r="F13197" s="7" t="s">
        <v>17</v>
      </c>
      <c r="G13197" s="7">
        <v>4042466</v>
      </c>
      <c r="H13197" s="7">
        <v>2481</v>
      </c>
      <c r="I13197" s="7">
        <v>1252</v>
      </c>
      <c r="J13197" s="7">
        <v>0</v>
      </c>
      <c r="K13197" s="7" t="s">
        <v>18</v>
      </c>
      <c r="L13197" s="8">
        <v>39987.315405092595</v>
      </c>
      <c r="M13197" s="9" t="s">
        <v>19</v>
      </c>
      <c r="N13197" s="9" t="s">
        <v>20</v>
      </c>
      <c r="O13197" s="6" t="str">
        <f>HYPERLINK("https://pbs.twimg.com/profile_images/962471262747529216/Uo8lOkRJ_normal.jpg","View")</f>
        <v>View</v>
      </c>
      <c r="P13197" s="7"/>
    </row>
    <row r="13198" spans="1:16">
      <c r="A13198" s="3">
        <v>44215.648726851854</v>
      </c>
      <c r="B13198" s="4" t="str">
        <f>HYPERLINK("https://twitter.com/petrogustavo","@petrogustavo")</f>
        <v>@petrogustavo</v>
      </c>
      <c r="C13198" s="5" t="s">
        <v>16</v>
      </c>
      <c r="D13198" s="5" t="s">
        <v>12697</v>
      </c>
      <c r="E13198" s="6" t="str">
        <f>HYPERLINK("https://twitter.com/petrogustavo/status/1351470497167503360","1351470497167503360")</f>
        <v>1351470497167503360</v>
      </c>
      <c r="F13198" s="7" t="s">
        <v>17</v>
      </c>
      <c r="G13198" s="7">
        <v>4042473</v>
      </c>
      <c r="H13198" s="7">
        <v>2481</v>
      </c>
      <c r="I13198" s="7">
        <v>55</v>
      </c>
      <c r="J13198" s="7">
        <v>103</v>
      </c>
      <c r="K13198" s="7" t="s">
        <v>18</v>
      </c>
      <c r="L13198" s="8">
        <v>39987.315405092595</v>
      </c>
      <c r="M13198" s="9" t="s">
        <v>19</v>
      </c>
      <c r="N13198" s="9" t="s">
        <v>20</v>
      </c>
      <c r="O13198" s="6" t="str">
        <f>HYPERLINK("https://pbs.twimg.com/profile_images/962471262747529216/Uo8lOkRJ_normal.jpg","View")</f>
        <v>View</v>
      </c>
      <c r="P13198" s="7"/>
    </row>
    <row r="13199" spans="1:16">
      <c r="A13199" s="3">
        <v>44215.791516203702</v>
      </c>
      <c r="B13199" s="4" t="str">
        <f>HYPERLINK("https://twitter.com/petrogustavo","@petrogustavo")</f>
        <v>@petrogustavo</v>
      </c>
      <c r="C13199" s="5" t="s">
        <v>16</v>
      </c>
      <c r="D13199" s="5" t="s">
        <v>12698</v>
      </c>
      <c r="E13199" s="6" t="str">
        <f>HYPERLINK("https://twitter.com/petrogustavo/status/1351522245127135235","1351522245127135235")</f>
        <v>1351522245127135235</v>
      </c>
      <c r="F13199" s="7" t="s">
        <v>17</v>
      </c>
      <c r="G13199" s="7">
        <v>4042565</v>
      </c>
      <c r="H13199" s="7">
        <v>2481</v>
      </c>
      <c r="I13199" s="7">
        <v>63</v>
      </c>
      <c r="J13199" s="7">
        <v>127</v>
      </c>
      <c r="K13199" s="7" t="s">
        <v>18</v>
      </c>
      <c r="L13199" s="8">
        <v>39987.315405092595</v>
      </c>
      <c r="M13199" s="9" t="s">
        <v>19</v>
      </c>
      <c r="N13199" s="9" t="s">
        <v>20</v>
      </c>
      <c r="O13199" s="6" t="str">
        <f>HYPERLINK("https://pbs.twimg.com/profile_images/962471262747529216/Uo8lOkRJ_normal.jpg","View")</f>
        <v>View</v>
      </c>
      <c r="P13199" s="7"/>
    </row>
    <row r="13200" spans="1:16">
      <c r="A13200" s="3">
        <v>44215.796493055561</v>
      </c>
      <c r="B13200" s="4" t="str">
        <f>HYPERLINK("https://twitter.com/petrogustavo","@petrogustavo")</f>
        <v>@petrogustavo</v>
      </c>
      <c r="C13200" s="5" t="s">
        <v>16</v>
      </c>
      <c r="D13200" s="5" t="s">
        <v>12699</v>
      </c>
      <c r="E13200" s="6" t="str">
        <f>HYPERLINK("https://twitter.com/petrogustavo/status/1351524046689759234","1351524046689759234")</f>
        <v>1351524046689759234</v>
      </c>
      <c r="F13200" s="7" t="s">
        <v>17</v>
      </c>
      <c r="G13200" s="7">
        <v>4042587</v>
      </c>
      <c r="H13200" s="7">
        <v>2481</v>
      </c>
      <c r="I13200" s="7">
        <v>278</v>
      </c>
      <c r="J13200" s="7">
        <v>796</v>
      </c>
      <c r="K13200" s="7" t="s">
        <v>18</v>
      </c>
      <c r="L13200" s="8">
        <v>39987.315405092595</v>
      </c>
      <c r="M13200" s="9" t="s">
        <v>19</v>
      </c>
      <c r="N13200" s="9" t="s">
        <v>20</v>
      </c>
      <c r="O13200" s="6" t="str">
        <f>HYPERLINK("https://pbs.twimg.com/profile_images/962471262747529216/Uo8lOkRJ_normal.jpg","View")</f>
        <v>View</v>
      </c>
      <c r="P13200" s="7"/>
    </row>
    <row r="13201" spans="1:16">
      <c r="A13201" s="3">
        <v>44215.902025462958</v>
      </c>
      <c r="B13201" s="4" t="str">
        <f>HYPERLINK("https://twitter.com/petrogustavo","@petrogustavo")</f>
        <v>@petrogustavo</v>
      </c>
      <c r="C13201" s="5" t="s">
        <v>16</v>
      </c>
      <c r="D13201" s="5" t="s">
        <v>12700</v>
      </c>
      <c r="E13201" s="6" t="str">
        <f>HYPERLINK("https://twitter.com/petrogustavo/status/1351562289263095810","1351562289263095810")</f>
        <v>1351562289263095810</v>
      </c>
      <c r="F13201" s="7" t="s">
        <v>17</v>
      </c>
      <c r="G13201" s="7">
        <v>4042688</v>
      </c>
      <c r="H13201" s="7">
        <v>2481</v>
      </c>
      <c r="I13201" s="7">
        <v>131</v>
      </c>
      <c r="J13201" s="7">
        <v>0</v>
      </c>
      <c r="K13201" s="7" t="s">
        <v>18</v>
      </c>
      <c r="L13201" s="8">
        <v>39987.315405092595</v>
      </c>
      <c r="M13201" s="9" t="s">
        <v>19</v>
      </c>
      <c r="N13201" s="9" t="s">
        <v>20</v>
      </c>
      <c r="O13201" s="6" t="str">
        <f>HYPERLINK("https://pbs.twimg.com/profile_images/962471262747529216/Uo8lOkRJ_normal.jpg","View")</f>
        <v>View</v>
      </c>
      <c r="P13201" s="7"/>
    </row>
    <row r="13202" spans="1:16">
      <c r="A13202" s="3">
        <v>44215.95103009259</v>
      </c>
      <c r="B13202" s="4" t="str">
        <f>HYPERLINK("https://twitter.com/petrogustavo","@petrogustavo")</f>
        <v>@petrogustavo</v>
      </c>
      <c r="C13202" s="5" t="s">
        <v>16</v>
      </c>
      <c r="D13202" s="5" t="s">
        <v>12701</v>
      </c>
      <c r="E13202" s="6" t="str">
        <f>HYPERLINK("https://twitter.com/petrogustavo/status/1351580050504691717","1351580050504691717")</f>
        <v>1351580050504691717</v>
      </c>
      <c r="F13202" s="7" t="s">
        <v>17</v>
      </c>
      <c r="G13202" s="7">
        <v>4042711</v>
      </c>
      <c r="H13202" s="7">
        <v>2481</v>
      </c>
      <c r="I13202" s="7">
        <v>76</v>
      </c>
      <c r="J13202" s="7">
        <v>161</v>
      </c>
      <c r="K13202" s="7" t="s">
        <v>18</v>
      </c>
      <c r="L13202" s="8">
        <v>39987.315405092595</v>
      </c>
      <c r="M13202" s="9" t="s">
        <v>19</v>
      </c>
      <c r="N13202" s="9" t="s">
        <v>20</v>
      </c>
      <c r="O13202" s="6" t="str">
        <f>HYPERLINK("https://pbs.twimg.com/profile_images/962471262747529216/Uo8lOkRJ_normal.jpg","View")</f>
        <v>View</v>
      </c>
      <c r="P13202" s="7"/>
    </row>
    <row r="13203" spans="1:16">
      <c r="A13203" s="3">
        <v>44215.961030092592</v>
      </c>
      <c r="B13203" s="4" t="str">
        <f>HYPERLINK("https://twitter.com/petrogustavo","@petrogustavo")</f>
        <v>@petrogustavo</v>
      </c>
      <c r="C13203" s="5" t="s">
        <v>16</v>
      </c>
      <c r="D13203" s="5" t="s">
        <v>12702</v>
      </c>
      <c r="E13203" s="6" t="str">
        <f>HYPERLINK("https://twitter.com/petrogustavo/status/1351583672739258370","1351583672739258370")</f>
        <v>1351583672739258370</v>
      </c>
      <c r="F13203" s="7" t="s">
        <v>17</v>
      </c>
      <c r="G13203" s="7">
        <v>4042730</v>
      </c>
      <c r="H13203" s="7">
        <v>2481</v>
      </c>
      <c r="I13203" s="7">
        <v>93</v>
      </c>
      <c r="J13203" s="7">
        <v>0</v>
      </c>
      <c r="K13203" s="7" t="s">
        <v>18</v>
      </c>
      <c r="L13203" s="8">
        <v>39987.315405092595</v>
      </c>
      <c r="M13203" s="9" t="s">
        <v>19</v>
      </c>
      <c r="N13203" s="9" t="s">
        <v>20</v>
      </c>
      <c r="O13203" s="6" t="str">
        <f>HYPERLINK("https://pbs.twimg.com/profile_images/962471262747529216/Uo8lOkRJ_normal.jpg","View")</f>
        <v>View</v>
      </c>
      <c r="P13203" s="7"/>
    </row>
    <row r="13204" spans="1:16">
      <c r="A13204" s="3">
        <v>44215.963229166664</v>
      </c>
      <c r="B13204" s="4" t="str">
        <f>HYPERLINK("https://twitter.com/petrogustavo","@petrogustavo")</f>
        <v>@petrogustavo</v>
      </c>
      <c r="C13204" s="5" t="s">
        <v>16</v>
      </c>
      <c r="D13204" s="5" t="s">
        <v>12703</v>
      </c>
      <c r="E13204" s="6" t="str">
        <f>HYPERLINK("https://twitter.com/petrogustavo/status/1351584471817056259","1351584471817056259")</f>
        <v>1351584471817056259</v>
      </c>
      <c r="F13204" s="7" t="s">
        <v>17</v>
      </c>
      <c r="G13204" s="7">
        <v>4042730</v>
      </c>
      <c r="H13204" s="7">
        <v>2481</v>
      </c>
      <c r="I13204" s="7">
        <v>41</v>
      </c>
      <c r="J13204" s="7">
        <v>0</v>
      </c>
      <c r="K13204" s="7" t="s">
        <v>18</v>
      </c>
      <c r="L13204" s="8">
        <v>39987.315405092595</v>
      </c>
      <c r="M13204" s="9" t="s">
        <v>19</v>
      </c>
      <c r="N13204" s="9" t="s">
        <v>20</v>
      </c>
      <c r="O13204" s="6" t="str">
        <f>HYPERLINK("https://pbs.twimg.com/profile_images/962471262747529216/Uo8lOkRJ_normal.jpg","View")</f>
        <v>View</v>
      </c>
      <c r="P13204" s="7"/>
    </row>
    <row r="13205" spans="1:16">
      <c r="A13205" s="3">
        <v>44215.967881944445</v>
      </c>
      <c r="B13205" s="4" t="str">
        <f>HYPERLINK("https://twitter.com/petrogustavo","@petrogustavo")</f>
        <v>@petrogustavo</v>
      </c>
      <c r="C13205" s="5" t="s">
        <v>16</v>
      </c>
      <c r="D13205" s="5" t="s">
        <v>12704</v>
      </c>
      <c r="E13205" s="6" t="str">
        <f>HYPERLINK("https://twitter.com/petrogustavo/status/1351586154940952586","1351586154940952586")</f>
        <v>1351586154940952586</v>
      </c>
      <c r="F13205" s="7" t="s">
        <v>17</v>
      </c>
      <c r="G13205" s="7">
        <v>4042730</v>
      </c>
      <c r="H13205" s="7">
        <v>2481</v>
      </c>
      <c r="I13205" s="7">
        <v>78</v>
      </c>
      <c r="J13205" s="7">
        <v>0</v>
      </c>
      <c r="K13205" s="7" t="s">
        <v>18</v>
      </c>
      <c r="L13205" s="8">
        <v>39987.315405092595</v>
      </c>
      <c r="M13205" s="9" t="s">
        <v>19</v>
      </c>
      <c r="N13205" s="9" t="s">
        <v>20</v>
      </c>
      <c r="O13205" s="6" t="str">
        <f>HYPERLINK("https://pbs.twimg.com/profile_images/962471262747529216/Uo8lOkRJ_normal.jpg","View")</f>
        <v>View</v>
      </c>
      <c r="P13205" s="7"/>
    </row>
    <row r="13206" spans="1:16">
      <c r="A13206" s="3">
        <v>44215.970046296294</v>
      </c>
      <c r="B13206" s="4" t="str">
        <f>HYPERLINK("https://twitter.com/petrogustavo","@petrogustavo")</f>
        <v>@petrogustavo</v>
      </c>
      <c r="C13206" s="5" t="s">
        <v>16</v>
      </c>
      <c r="D13206" s="5" t="s">
        <v>12705</v>
      </c>
      <c r="E13206" s="6" t="str">
        <f>HYPERLINK("https://twitter.com/petrogustavo/status/1351586940118822913","1351586940118822913")</f>
        <v>1351586940118822913</v>
      </c>
      <c r="F13206" s="7" t="s">
        <v>17</v>
      </c>
      <c r="G13206" s="7">
        <v>4042730</v>
      </c>
      <c r="H13206" s="7">
        <v>2481</v>
      </c>
      <c r="I13206" s="7">
        <v>91</v>
      </c>
      <c r="J13206" s="7">
        <v>0</v>
      </c>
      <c r="K13206" s="7" t="s">
        <v>18</v>
      </c>
      <c r="L13206" s="8">
        <v>39987.315405092595</v>
      </c>
      <c r="M13206" s="9" t="s">
        <v>19</v>
      </c>
      <c r="N13206" s="9" t="s">
        <v>20</v>
      </c>
      <c r="O13206" s="6" t="str">
        <f>HYPERLINK("https://pbs.twimg.com/profile_images/962471262747529216/Uo8lOkRJ_normal.jpg","View")</f>
        <v>View</v>
      </c>
      <c r="P13206" s="7"/>
    </row>
    <row r="13207" spans="1:16">
      <c r="A13207" s="3">
        <v>44215.981793981482</v>
      </c>
      <c r="B13207" s="4" t="str">
        <f>HYPERLINK("https://twitter.com/petrogustavo","@petrogustavo")</f>
        <v>@petrogustavo</v>
      </c>
      <c r="C13207" s="5" t="s">
        <v>16</v>
      </c>
      <c r="D13207" s="5" t="s">
        <v>12706</v>
      </c>
      <c r="E13207" s="6" t="str">
        <f>HYPERLINK("https://twitter.com/petrogustavo/status/1351591197819723780","1351591197819723780")</f>
        <v>1351591197819723780</v>
      </c>
      <c r="F13207" s="7" t="s">
        <v>17</v>
      </c>
      <c r="G13207" s="7">
        <v>4042754</v>
      </c>
      <c r="H13207" s="7">
        <v>2482</v>
      </c>
      <c r="I13207" s="7">
        <v>70</v>
      </c>
      <c r="J13207" s="7">
        <v>165</v>
      </c>
      <c r="K13207" s="7" t="s">
        <v>18</v>
      </c>
      <c r="L13207" s="8">
        <v>39987.315405092595</v>
      </c>
      <c r="M13207" s="9" t="s">
        <v>19</v>
      </c>
      <c r="N13207" s="9" t="s">
        <v>20</v>
      </c>
      <c r="O13207" s="6" t="str">
        <f>HYPERLINK("https://pbs.twimg.com/profile_images/962471262747529216/Uo8lOkRJ_normal.jpg","View")</f>
        <v>View</v>
      </c>
      <c r="P13207" s="7"/>
    </row>
    <row r="13208" spans="1:16">
      <c r="A13208" s="3">
        <v>44215.981805555552</v>
      </c>
      <c r="B13208" s="4" t="str">
        <f>HYPERLINK("https://twitter.com/petrogustavo","@petrogustavo")</f>
        <v>@petrogustavo</v>
      </c>
      <c r="C13208" s="5" t="s">
        <v>16</v>
      </c>
      <c r="D13208" s="5" t="s">
        <v>12707</v>
      </c>
      <c r="E13208" s="6" t="str">
        <f>HYPERLINK("https://twitter.com/petrogustavo/status/1351591199732334593","1351591199732334593")</f>
        <v>1351591199732334593</v>
      </c>
      <c r="F13208" s="7" t="s">
        <v>17</v>
      </c>
      <c r="G13208" s="7">
        <v>4042754</v>
      </c>
      <c r="H13208" s="7">
        <v>2482</v>
      </c>
      <c r="I13208" s="7">
        <v>20</v>
      </c>
      <c r="J13208" s="7">
        <v>47</v>
      </c>
      <c r="K13208" s="7" t="s">
        <v>18</v>
      </c>
      <c r="L13208" s="8">
        <v>39987.315405092595</v>
      </c>
      <c r="M13208" s="9" t="s">
        <v>19</v>
      </c>
      <c r="N13208" s="9" t="s">
        <v>20</v>
      </c>
      <c r="O13208" s="6" t="str">
        <f>HYPERLINK("https://pbs.twimg.com/profile_images/962471262747529216/Uo8lOkRJ_normal.jpg","View")</f>
        <v>View</v>
      </c>
      <c r="P13208" s="7"/>
    </row>
    <row r="13209" spans="1:16">
      <c r="A13209" s="3">
        <v>44215.981805555552</v>
      </c>
      <c r="B13209" s="4" t="str">
        <f>HYPERLINK("https://twitter.com/petrogustavo","@petrogustavo")</f>
        <v>@petrogustavo</v>
      </c>
      <c r="C13209" s="5" t="s">
        <v>16</v>
      </c>
      <c r="D13209" s="5" t="s">
        <v>12708</v>
      </c>
      <c r="E13209" s="6" t="str">
        <f>HYPERLINK("https://twitter.com/petrogustavo/status/1351591201158389761","1351591201158389761")</f>
        <v>1351591201158389761</v>
      </c>
      <c r="F13209" s="7" t="s">
        <v>17</v>
      </c>
      <c r="G13209" s="7">
        <v>4042754</v>
      </c>
      <c r="H13209" s="7">
        <v>2482</v>
      </c>
      <c r="I13209" s="7">
        <v>83</v>
      </c>
      <c r="J13209" s="7">
        <v>210</v>
      </c>
      <c r="K13209" s="7" t="s">
        <v>18</v>
      </c>
      <c r="L13209" s="8">
        <v>39987.315405092595</v>
      </c>
      <c r="M13209" s="9" t="s">
        <v>19</v>
      </c>
      <c r="N13209" s="9" t="s">
        <v>20</v>
      </c>
      <c r="O13209" s="6" t="str">
        <f>HYPERLINK("https://pbs.twimg.com/profile_images/962471262747529216/Uo8lOkRJ_normal.jpg","View")</f>
        <v>View</v>
      </c>
      <c r="P13209" s="7"/>
    </row>
    <row r="13210" spans="1:16">
      <c r="A13210" s="3">
        <v>44215.981805555552</v>
      </c>
      <c r="B13210" s="4" t="str">
        <f>HYPERLINK("https://twitter.com/petrogustavo","@petrogustavo")</f>
        <v>@petrogustavo</v>
      </c>
      <c r="C13210" s="5" t="s">
        <v>16</v>
      </c>
      <c r="D13210" s="5" t="s">
        <v>12709</v>
      </c>
      <c r="E13210" s="6" t="str">
        <f>HYPERLINK("https://twitter.com/petrogustavo/status/1351591202538270721","1351591202538270721")</f>
        <v>1351591202538270721</v>
      </c>
      <c r="F13210" s="7" t="s">
        <v>17</v>
      </c>
      <c r="G13210" s="7">
        <v>4042754</v>
      </c>
      <c r="H13210" s="7">
        <v>2482</v>
      </c>
      <c r="I13210" s="7">
        <v>93</v>
      </c>
      <c r="J13210" s="7">
        <v>200</v>
      </c>
      <c r="K13210" s="7" t="s">
        <v>18</v>
      </c>
      <c r="L13210" s="8">
        <v>39987.315405092595</v>
      </c>
      <c r="M13210" s="9" t="s">
        <v>19</v>
      </c>
      <c r="N13210" s="9" t="s">
        <v>20</v>
      </c>
      <c r="O13210" s="6" t="str">
        <f>HYPERLINK("https://pbs.twimg.com/profile_images/962471262747529216/Uo8lOkRJ_normal.jpg","View")</f>
        <v>View</v>
      </c>
      <c r="P13210" s="7"/>
    </row>
    <row r="13211" spans="1:16">
      <c r="A13211" s="3">
        <v>44215.99790509259</v>
      </c>
      <c r="B13211" s="4" t="str">
        <f>HYPERLINK("https://twitter.com/petrogustavo","@petrogustavo")</f>
        <v>@petrogustavo</v>
      </c>
      <c r="C13211" s="5" t="s">
        <v>16</v>
      </c>
      <c r="D13211" s="5" t="s">
        <v>12710</v>
      </c>
      <c r="E13211" s="6" t="str">
        <f>HYPERLINK("https://twitter.com/petrogustavo/status/1351597036500561926","1351597036500561926")</f>
        <v>1351597036500561926</v>
      </c>
      <c r="F13211" s="7" t="s">
        <v>17</v>
      </c>
      <c r="G13211" s="7">
        <v>4042754</v>
      </c>
      <c r="H13211" s="7">
        <v>2482</v>
      </c>
      <c r="I13211" s="7">
        <v>480</v>
      </c>
      <c r="J13211" s="7">
        <v>0</v>
      </c>
      <c r="K13211" s="7" t="s">
        <v>18</v>
      </c>
      <c r="L13211" s="8">
        <v>39987.315405092595</v>
      </c>
      <c r="M13211" s="9" t="s">
        <v>19</v>
      </c>
      <c r="N13211" s="9" t="s">
        <v>20</v>
      </c>
      <c r="O13211" s="6" t="str">
        <f>HYPERLINK("https://pbs.twimg.com/profile_images/962471262747529216/Uo8lOkRJ_normal.jpg","View")</f>
        <v>View</v>
      </c>
      <c r="P13211" s="7"/>
    </row>
    <row r="13212" spans="1:16">
      <c r="A13212" s="3">
        <v>44216.000196759254</v>
      </c>
      <c r="B13212" s="4" t="str">
        <f>HYPERLINK("https://twitter.com/petrogustavo","@petrogustavo")</f>
        <v>@petrogustavo</v>
      </c>
      <c r="C13212" s="5" t="s">
        <v>16</v>
      </c>
      <c r="D13212" s="5" t="s">
        <v>12711</v>
      </c>
      <c r="E13212" s="6" t="str">
        <f>HYPERLINK("https://twitter.com/petrogustavo/status/1351597866209439746","1351597866209439746")</f>
        <v>1351597866209439746</v>
      </c>
      <c r="F13212" s="7" t="s">
        <v>17</v>
      </c>
      <c r="G13212" s="7">
        <v>4042754</v>
      </c>
      <c r="H13212" s="7">
        <v>2482</v>
      </c>
      <c r="I13212" s="7">
        <v>232</v>
      </c>
      <c r="J13212" s="7">
        <v>0</v>
      </c>
      <c r="K13212" s="7" t="s">
        <v>18</v>
      </c>
      <c r="L13212" s="8">
        <v>39987.315405092595</v>
      </c>
      <c r="M13212" s="9" t="s">
        <v>19</v>
      </c>
      <c r="N13212" s="9" t="s">
        <v>20</v>
      </c>
      <c r="O13212" s="6" t="str">
        <f>HYPERLINK("https://pbs.twimg.com/profile_images/962471262747529216/Uo8lOkRJ_normal.jpg","View")</f>
        <v>View</v>
      </c>
      <c r="P13212" s="7"/>
    </row>
    <row r="13213" spans="1:16">
      <c r="A13213" s="3">
        <v>44216.001203703709</v>
      </c>
      <c r="B13213" s="4" t="str">
        <f>HYPERLINK("https://twitter.com/petrogustavo","@petrogustavo")</f>
        <v>@petrogustavo</v>
      </c>
      <c r="C13213" s="5" t="s">
        <v>16</v>
      </c>
      <c r="D13213" s="5" t="s">
        <v>12712</v>
      </c>
      <c r="E13213" s="6" t="str">
        <f>HYPERLINK("https://twitter.com/petrogustavo/status/1351598232174997506","1351598232174997506")</f>
        <v>1351598232174997506</v>
      </c>
      <c r="F13213" s="7" t="s">
        <v>17</v>
      </c>
      <c r="G13213" s="7">
        <v>4042754</v>
      </c>
      <c r="H13213" s="7">
        <v>2482</v>
      </c>
      <c r="I13213" s="7">
        <v>145</v>
      </c>
      <c r="J13213" s="7">
        <v>0</v>
      </c>
      <c r="K13213" s="7" t="s">
        <v>18</v>
      </c>
      <c r="L13213" s="8">
        <v>39987.315405092595</v>
      </c>
      <c r="M13213" s="9" t="s">
        <v>19</v>
      </c>
      <c r="N13213" s="9" t="s">
        <v>20</v>
      </c>
      <c r="O13213" s="6" t="str">
        <f>HYPERLINK("https://pbs.twimg.com/profile_images/962471262747529216/Uo8lOkRJ_normal.jpg","View")</f>
        <v>View</v>
      </c>
      <c r="P13213" s="7"/>
    </row>
    <row r="13214" spans="1:16">
      <c r="A13214" s="3">
        <v>44216.004664351851</v>
      </c>
      <c r="B13214" s="4" t="str">
        <f>HYPERLINK("https://twitter.com/petrogustavo","@petrogustavo")</f>
        <v>@petrogustavo</v>
      </c>
      <c r="C13214" s="5" t="s">
        <v>16</v>
      </c>
      <c r="D13214" s="5" t="s">
        <v>12713</v>
      </c>
      <c r="E13214" s="6" t="str">
        <f>HYPERLINK("https://twitter.com/petrogustavo/status/1351599485777031172","1351599485777031172")</f>
        <v>1351599485777031172</v>
      </c>
      <c r="F13214" s="7" t="s">
        <v>17</v>
      </c>
      <c r="G13214" s="7">
        <v>4042776</v>
      </c>
      <c r="H13214" s="7">
        <v>2482</v>
      </c>
      <c r="I13214" s="7">
        <v>38</v>
      </c>
      <c r="J13214" s="7">
        <v>0</v>
      </c>
      <c r="K13214" s="7" t="s">
        <v>18</v>
      </c>
      <c r="L13214" s="8">
        <v>39987.315405092595</v>
      </c>
      <c r="M13214" s="9" t="s">
        <v>19</v>
      </c>
      <c r="N13214" s="9" t="s">
        <v>20</v>
      </c>
      <c r="O13214" s="6" t="str">
        <f>HYPERLINK("https://pbs.twimg.com/profile_images/962471262747529216/Uo8lOkRJ_normal.jpg","View")</f>
        <v>View</v>
      </c>
      <c r="P13214" s="7"/>
    </row>
    <row r="13215" spans="1:16">
      <c r="A13215" s="3">
        <v>44216.007939814815</v>
      </c>
      <c r="B13215" s="4" t="str">
        <f>HYPERLINK("https://twitter.com/petrogustavo","@petrogustavo")</f>
        <v>@petrogustavo</v>
      </c>
      <c r="C13215" s="5" t="s">
        <v>16</v>
      </c>
      <c r="D13215" s="5" t="s">
        <v>12714</v>
      </c>
      <c r="E13215" s="6" t="str">
        <f>HYPERLINK("https://twitter.com/petrogustavo/status/1351600671431290881","1351600671431290881")</f>
        <v>1351600671431290881</v>
      </c>
      <c r="F13215" s="7" t="s">
        <v>17</v>
      </c>
      <c r="G13215" s="7">
        <v>4042776</v>
      </c>
      <c r="H13215" s="7">
        <v>2482</v>
      </c>
      <c r="I13215" s="7">
        <v>78</v>
      </c>
      <c r="J13215" s="7">
        <v>0</v>
      </c>
      <c r="K13215" s="7" t="s">
        <v>18</v>
      </c>
      <c r="L13215" s="8">
        <v>39987.315405092595</v>
      </c>
      <c r="M13215" s="9" t="s">
        <v>19</v>
      </c>
      <c r="N13215" s="9" t="s">
        <v>20</v>
      </c>
      <c r="O13215" s="6" t="str">
        <f>HYPERLINK("https://pbs.twimg.com/profile_images/962471262747529216/Uo8lOkRJ_normal.jpg","View")</f>
        <v>View</v>
      </c>
      <c r="P13215" s="7"/>
    </row>
    <row r="13216" spans="1:16">
      <c r="A13216" s="3">
        <v>44216.016250000001</v>
      </c>
      <c r="B13216" s="4" t="str">
        <f>HYPERLINK("https://twitter.com/petrogustavo","@petrogustavo")</f>
        <v>@petrogustavo</v>
      </c>
      <c r="C13216" s="5" t="s">
        <v>16</v>
      </c>
      <c r="D13216" s="5" t="s">
        <v>12715</v>
      </c>
      <c r="E13216" s="6" t="str">
        <f>HYPERLINK("https://twitter.com/petrogustavo/status/1351603683847528451","1351603683847528451")</f>
        <v>1351603683847528451</v>
      </c>
      <c r="F13216" s="7" t="s">
        <v>17</v>
      </c>
      <c r="G13216" s="7">
        <v>4042776</v>
      </c>
      <c r="H13216" s="7">
        <v>2482</v>
      </c>
      <c r="I13216" s="7">
        <v>47</v>
      </c>
      <c r="J13216" s="7">
        <v>130</v>
      </c>
      <c r="K13216" s="7" t="s">
        <v>18</v>
      </c>
      <c r="L13216" s="8">
        <v>39987.315405092595</v>
      </c>
      <c r="M13216" s="9" t="s">
        <v>19</v>
      </c>
      <c r="N13216" s="9" t="s">
        <v>20</v>
      </c>
      <c r="O13216" s="6" t="str">
        <f>HYPERLINK("https://pbs.twimg.com/profile_images/962471262747529216/Uo8lOkRJ_normal.jpg","View")</f>
        <v>View</v>
      </c>
      <c r="P13216" s="7"/>
    </row>
    <row r="13217" spans="1:16">
      <c r="A13217" s="3">
        <v>44216.02071759259</v>
      </c>
      <c r="B13217" s="4" t="str">
        <f>HYPERLINK("https://twitter.com/petrogustavo","@petrogustavo")</f>
        <v>@petrogustavo</v>
      </c>
      <c r="C13217" s="5" t="s">
        <v>16</v>
      </c>
      <c r="D13217" s="5" t="s">
        <v>12716</v>
      </c>
      <c r="E13217" s="6" t="str">
        <f>HYPERLINK("https://twitter.com/petrogustavo/status/1351605304153288710","1351605304153288710")</f>
        <v>1351605304153288710</v>
      </c>
      <c r="F13217" s="7" t="s">
        <v>17</v>
      </c>
      <c r="G13217" s="7">
        <v>4042776</v>
      </c>
      <c r="H13217" s="7">
        <v>2482</v>
      </c>
      <c r="I13217" s="7">
        <v>12</v>
      </c>
      <c r="J13217" s="7">
        <v>0</v>
      </c>
      <c r="K13217" s="7" t="s">
        <v>18</v>
      </c>
      <c r="L13217" s="8">
        <v>39987.315405092595</v>
      </c>
      <c r="M13217" s="9" t="s">
        <v>19</v>
      </c>
      <c r="N13217" s="9" t="s">
        <v>20</v>
      </c>
      <c r="O13217" s="6" t="str">
        <f>HYPERLINK("https://pbs.twimg.com/profile_images/962471262747529216/Uo8lOkRJ_normal.jpg","View")</f>
        <v>View</v>
      </c>
      <c r="P13217" s="7"/>
    </row>
    <row r="13218" spans="1:16">
      <c r="A13218" s="3">
        <v>44216.025937500002</v>
      </c>
      <c r="B13218" s="4" t="str">
        <f>HYPERLINK("https://twitter.com/petrogustavo","@petrogustavo")</f>
        <v>@petrogustavo</v>
      </c>
      <c r="C13218" s="5" t="s">
        <v>16</v>
      </c>
      <c r="D13218" s="5" t="s">
        <v>12717</v>
      </c>
      <c r="E13218" s="6" t="str">
        <f>HYPERLINK("https://twitter.com/petrogustavo/status/1351607195356557315","1351607195356557315")</f>
        <v>1351607195356557315</v>
      </c>
      <c r="F13218" s="7" t="s">
        <v>17</v>
      </c>
      <c r="G13218" s="7">
        <v>4042784</v>
      </c>
      <c r="H13218" s="7">
        <v>2482</v>
      </c>
      <c r="I13218" s="7">
        <v>82</v>
      </c>
      <c r="J13218" s="7">
        <v>254</v>
      </c>
      <c r="K13218" s="7" t="s">
        <v>18</v>
      </c>
      <c r="L13218" s="8">
        <v>39987.315405092595</v>
      </c>
      <c r="M13218" s="9" t="s">
        <v>19</v>
      </c>
      <c r="N13218" s="9" t="s">
        <v>20</v>
      </c>
      <c r="O13218" s="6" t="str">
        <f>HYPERLINK("https://pbs.twimg.com/profile_images/962471262747529216/Uo8lOkRJ_normal.jpg","View")</f>
        <v>View</v>
      </c>
      <c r="P13218" s="7"/>
    </row>
    <row r="13219" spans="1:16">
      <c r="A13219" s="3">
        <v>44216.139062499999</v>
      </c>
      <c r="B13219" s="4" t="str">
        <f>HYPERLINK("https://twitter.com/petrogustavo","@petrogustavo")</f>
        <v>@petrogustavo</v>
      </c>
      <c r="C13219" s="5" t="s">
        <v>16</v>
      </c>
      <c r="D13219" s="5" t="s">
        <v>12718</v>
      </c>
      <c r="E13219" s="6" t="str">
        <f>HYPERLINK("https://twitter.com/petrogustavo/status/1351648189619830784","1351648189619830784")</f>
        <v>1351648189619830784</v>
      </c>
      <c r="F13219" s="7" t="s">
        <v>17</v>
      </c>
      <c r="G13219" s="7">
        <v>4042888</v>
      </c>
      <c r="H13219" s="7">
        <v>2482</v>
      </c>
      <c r="I13219" s="7">
        <v>70</v>
      </c>
      <c r="J13219" s="7">
        <v>152</v>
      </c>
      <c r="K13219" s="7" t="s">
        <v>18</v>
      </c>
      <c r="L13219" s="8">
        <v>39987.315405092595</v>
      </c>
      <c r="M13219" s="9" t="s">
        <v>19</v>
      </c>
      <c r="N13219" s="9" t="s">
        <v>20</v>
      </c>
      <c r="O13219" s="6" t="str">
        <f>HYPERLINK("https://pbs.twimg.com/profile_images/962471262747529216/Uo8lOkRJ_normal.jpg","View")</f>
        <v>View</v>
      </c>
      <c r="P13219" s="7"/>
    </row>
    <row r="13220" spans="1:16">
      <c r="A13220" s="3">
        <v>44216.142870370371</v>
      </c>
      <c r="B13220" s="4" t="str">
        <f>HYPERLINK("https://twitter.com/petrogustavo","@petrogustavo")</f>
        <v>@petrogustavo</v>
      </c>
      <c r="C13220" s="5" t="s">
        <v>16</v>
      </c>
      <c r="D13220" s="5" t="s">
        <v>12719</v>
      </c>
      <c r="E13220" s="6" t="str">
        <f>HYPERLINK("https://twitter.com/petrogustavo/status/1351649569621364737","1351649569621364737")</f>
        <v>1351649569621364737</v>
      </c>
      <c r="F13220" s="7" t="s">
        <v>17</v>
      </c>
      <c r="G13220" s="7">
        <v>4042888</v>
      </c>
      <c r="H13220" s="7">
        <v>2482</v>
      </c>
      <c r="I13220" s="7">
        <v>297</v>
      </c>
      <c r="J13220" s="7">
        <v>1271</v>
      </c>
      <c r="K13220" s="7" t="s">
        <v>18</v>
      </c>
      <c r="L13220" s="8">
        <v>39987.315405092595</v>
      </c>
      <c r="M13220" s="9" t="s">
        <v>19</v>
      </c>
      <c r="N13220" s="9" t="s">
        <v>20</v>
      </c>
      <c r="O13220" s="6" t="str">
        <f>HYPERLINK("https://pbs.twimg.com/profile_images/962471262747529216/Uo8lOkRJ_normal.jpg","View")</f>
        <v>View</v>
      </c>
      <c r="P13220" s="7"/>
    </row>
    <row r="13221" spans="1:16">
      <c r="A13221" s="3">
        <v>44216.806099537032</v>
      </c>
      <c r="B13221" s="4" t="str">
        <f>HYPERLINK("https://twitter.com/petrogustavo","@petrogustavo")</f>
        <v>@petrogustavo</v>
      </c>
      <c r="C13221" s="5" t="s">
        <v>16</v>
      </c>
      <c r="D13221" s="5" t="s">
        <v>12720</v>
      </c>
      <c r="E13221" s="6" t="str">
        <f>HYPERLINK("https://twitter.com/petrogustavo/status/1351889913801797636","1351889913801797636")</f>
        <v>1351889913801797636</v>
      </c>
      <c r="F13221" s="7" t="s">
        <v>17</v>
      </c>
      <c r="G13221" s="7">
        <v>4043388</v>
      </c>
      <c r="H13221" s="7">
        <v>2482</v>
      </c>
      <c r="I13221" s="7">
        <v>30</v>
      </c>
      <c r="J13221" s="7">
        <v>96</v>
      </c>
      <c r="K13221" s="7" t="s">
        <v>18</v>
      </c>
      <c r="L13221" s="8">
        <v>39987.315405092595</v>
      </c>
      <c r="M13221" s="9" t="s">
        <v>19</v>
      </c>
      <c r="N13221" s="9" t="s">
        <v>20</v>
      </c>
      <c r="O13221" s="6" t="str">
        <f>HYPERLINK("https://pbs.twimg.com/profile_images/962471262747529216/Uo8lOkRJ_normal.jpg","View")</f>
        <v>View</v>
      </c>
      <c r="P13221" s="7"/>
    </row>
    <row r="13222" spans="1:16">
      <c r="A13222" s="3">
        <v>44216.806099537032</v>
      </c>
      <c r="B13222" s="4" t="str">
        <f>HYPERLINK("https://twitter.com/petrogustavo","@petrogustavo")</f>
        <v>@petrogustavo</v>
      </c>
      <c r="C13222" s="5" t="s">
        <v>16</v>
      </c>
      <c r="D13222" s="5" t="s">
        <v>12721</v>
      </c>
      <c r="E13222" s="6" t="str">
        <f>HYPERLINK("https://twitter.com/petrogustavo/status/1351889915714424833","1351889915714424833")</f>
        <v>1351889915714424833</v>
      </c>
      <c r="F13222" s="7" t="s">
        <v>17</v>
      </c>
      <c r="G13222" s="7">
        <v>4043388</v>
      </c>
      <c r="H13222" s="7">
        <v>2482</v>
      </c>
      <c r="I13222" s="7">
        <v>34</v>
      </c>
      <c r="J13222" s="7">
        <v>119</v>
      </c>
      <c r="K13222" s="7" t="s">
        <v>18</v>
      </c>
      <c r="L13222" s="8">
        <v>39987.315405092595</v>
      </c>
      <c r="M13222" s="9" t="s">
        <v>19</v>
      </c>
      <c r="N13222" s="9" t="s">
        <v>20</v>
      </c>
      <c r="O13222" s="6" t="str">
        <f>HYPERLINK("https://pbs.twimg.com/profile_images/962471262747529216/Uo8lOkRJ_normal.jpg","View")</f>
        <v>View</v>
      </c>
      <c r="P13222" s="7"/>
    </row>
    <row r="13223" spans="1:16">
      <c r="A13223" s="3">
        <v>44216.865868055553</v>
      </c>
      <c r="B13223" s="4" t="str">
        <f>HYPERLINK("https://twitter.com/petrogustavo","@petrogustavo")</f>
        <v>@petrogustavo</v>
      </c>
      <c r="C13223" s="5" t="s">
        <v>16</v>
      </c>
      <c r="D13223" s="5" t="s">
        <v>12722</v>
      </c>
      <c r="E13223" s="6" t="str">
        <f>HYPERLINK("https://twitter.com/petrogustavo/status/1351911576455016449","1351911576455016449")</f>
        <v>1351911576455016449</v>
      </c>
      <c r="F13223" s="7" t="s">
        <v>17</v>
      </c>
      <c r="G13223" s="7">
        <v>4043462</v>
      </c>
      <c r="H13223" s="7">
        <v>2483</v>
      </c>
      <c r="I13223" s="7">
        <v>15</v>
      </c>
      <c r="J13223" s="7">
        <v>0</v>
      </c>
      <c r="K13223" s="7" t="s">
        <v>18</v>
      </c>
      <c r="L13223" s="8">
        <v>39987.315405092595</v>
      </c>
      <c r="M13223" s="9" t="s">
        <v>19</v>
      </c>
      <c r="N13223" s="9" t="s">
        <v>20</v>
      </c>
      <c r="O13223" s="6" t="str">
        <f>HYPERLINK("https://pbs.twimg.com/profile_images/962471262747529216/Uo8lOkRJ_normal.jpg","View")</f>
        <v>View</v>
      </c>
      <c r="P13223" s="7"/>
    </row>
    <row r="13224" spans="1:16">
      <c r="A13224" s="3">
        <v>44216.872812500005</v>
      </c>
      <c r="B13224" s="4" t="str">
        <f>HYPERLINK("https://twitter.com/petrogustavo","@petrogustavo")</f>
        <v>@petrogustavo</v>
      </c>
      <c r="C13224" s="5" t="s">
        <v>16</v>
      </c>
      <c r="D13224" s="5" t="s">
        <v>12723</v>
      </c>
      <c r="E13224" s="6" t="str">
        <f>HYPERLINK("https://twitter.com/petrogustavo/status/1351914092789960712","1351914092789960712")</f>
        <v>1351914092789960712</v>
      </c>
      <c r="F13224" s="7" t="s">
        <v>17</v>
      </c>
      <c r="G13224" s="7">
        <v>4043462</v>
      </c>
      <c r="H13224" s="7">
        <v>2483</v>
      </c>
      <c r="I13224" s="7">
        <v>37</v>
      </c>
      <c r="J13224" s="7">
        <v>73</v>
      </c>
      <c r="K13224" s="7" t="s">
        <v>18</v>
      </c>
      <c r="L13224" s="8">
        <v>39987.315405092595</v>
      </c>
      <c r="M13224" s="9" t="s">
        <v>19</v>
      </c>
      <c r="N13224" s="9" t="s">
        <v>20</v>
      </c>
      <c r="O13224" s="6" t="str">
        <f>HYPERLINK("https://pbs.twimg.com/profile_images/962471262747529216/Uo8lOkRJ_normal.jpg","View")</f>
        <v>View</v>
      </c>
      <c r="P13224" s="7"/>
    </row>
    <row r="13225" spans="1:16">
      <c r="A13225" s="3">
        <v>44216.872824074075</v>
      </c>
      <c r="B13225" s="4" t="str">
        <f>HYPERLINK("https://twitter.com/petrogustavo","@petrogustavo")</f>
        <v>@petrogustavo</v>
      </c>
      <c r="C13225" s="5" t="s">
        <v>16</v>
      </c>
      <c r="D13225" s="5" t="s">
        <v>12724</v>
      </c>
      <c r="E13225" s="6" t="str">
        <f>HYPERLINK("https://twitter.com/petrogustavo/status/1351914094069211137","1351914094069211137")</f>
        <v>1351914094069211137</v>
      </c>
      <c r="F13225" s="7" t="s">
        <v>17</v>
      </c>
      <c r="G13225" s="7">
        <v>4043462</v>
      </c>
      <c r="H13225" s="7">
        <v>2483</v>
      </c>
      <c r="I13225" s="7">
        <v>23</v>
      </c>
      <c r="J13225" s="7">
        <v>66</v>
      </c>
      <c r="K13225" s="7" t="s">
        <v>18</v>
      </c>
      <c r="L13225" s="8">
        <v>39987.315405092595</v>
      </c>
      <c r="M13225" s="9" t="s">
        <v>19</v>
      </c>
      <c r="N13225" s="9" t="s">
        <v>20</v>
      </c>
      <c r="O13225" s="6" t="str">
        <f>HYPERLINK("https://pbs.twimg.com/profile_images/962471262747529216/Uo8lOkRJ_normal.jpg","View")</f>
        <v>View</v>
      </c>
      <c r="P13225" s="7"/>
    </row>
    <row r="13226" spans="1:16">
      <c r="A13226" s="3">
        <v>44216.958240740743</v>
      </c>
      <c r="B13226" s="4" t="str">
        <f>HYPERLINK("https://twitter.com/petrogustavo","@petrogustavo")</f>
        <v>@petrogustavo</v>
      </c>
      <c r="C13226" s="5" t="s">
        <v>16</v>
      </c>
      <c r="D13226" s="5" t="s">
        <v>12725</v>
      </c>
      <c r="E13226" s="6" t="str">
        <f>HYPERLINK("https://twitter.com/petrogustavo/status/1351945049303642114","1351945049303642114")</f>
        <v>1351945049303642114</v>
      </c>
      <c r="F13226" s="7" t="s">
        <v>17</v>
      </c>
      <c r="G13226" s="7">
        <v>4043559</v>
      </c>
      <c r="H13226" s="7">
        <v>2483</v>
      </c>
      <c r="I13226" s="7">
        <v>48</v>
      </c>
      <c r="J13226" s="7">
        <v>101</v>
      </c>
      <c r="K13226" s="7" t="s">
        <v>18</v>
      </c>
      <c r="L13226" s="8">
        <v>39987.315405092595</v>
      </c>
      <c r="M13226" s="9" t="s">
        <v>19</v>
      </c>
      <c r="N13226" s="9" t="s">
        <v>20</v>
      </c>
      <c r="O13226" s="6" t="str">
        <f>HYPERLINK("https://pbs.twimg.com/profile_images/962471262747529216/Uo8lOkRJ_normal.jpg","View")</f>
        <v>View</v>
      </c>
      <c r="P13226" s="7"/>
    </row>
    <row r="13227" spans="1:16">
      <c r="A13227" s="3">
        <v>44216.972060185188</v>
      </c>
      <c r="B13227" s="4" t="str">
        <f>HYPERLINK("https://twitter.com/petrogustavo","@petrogustavo")</f>
        <v>@petrogustavo</v>
      </c>
      <c r="C13227" s="5" t="s">
        <v>16</v>
      </c>
      <c r="D13227" s="5" t="s">
        <v>12726</v>
      </c>
      <c r="E13227" s="6" t="str">
        <f>HYPERLINK("https://twitter.com/petrogustavo/status/1351950057055145985","1351950057055145985")</f>
        <v>1351950057055145985</v>
      </c>
      <c r="F13227" s="7" t="s">
        <v>17</v>
      </c>
      <c r="G13227" s="7">
        <v>4043601</v>
      </c>
      <c r="H13227" s="7">
        <v>2485</v>
      </c>
      <c r="I13227" s="7">
        <v>612</v>
      </c>
      <c r="J13227" s="7">
        <v>0</v>
      </c>
      <c r="K13227" s="7" t="s">
        <v>18</v>
      </c>
      <c r="L13227" s="8">
        <v>39987.315405092595</v>
      </c>
      <c r="M13227" s="9" t="s">
        <v>19</v>
      </c>
      <c r="N13227" s="9" t="s">
        <v>20</v>
      </c>
      <c r="O13227" s="6" t="str">
        <f>HYPERLINK("https://pbs.twimg.com/profile_images/962471262747529216/Uo8lOkRJ_normal.jpg","View")</f>
        <v>View</v>
      </c>
      <c r="P13227" s="7"/>
    </row>
    <row r="13228" spans="1:16">
      <c r="A13228" s="3">
        <v>44216.976724537039</v>
      </c>
      <c r="B13228" s="4" t="str">
        <f>HYPERLINK("https://twitter.com/petrogustavo","@petrogustavo")</f>
        <v>@petrogustavo</v>
      </c>
      <c r="C13228" s="5" t="s">
        <v>16</v>
      </c>
      <c r="D13228" s="5" t="s">
        <v>12727</v>
      </c>
      <c r="E13228" s="6" t="str">
        <f>HYPERLINK("https://twitter.com/petrogustavo/status/1351951746692751367","1351951746692751367")</f>
        <v>1351951746692751367</v>
      </c>
      <c r="F13228" s="7" t="s">
        <v>17</v>
      </c>
      <c r="G13228" s="7">
        <v>4043601</v>
      </c>
      <c r="H13228" s="7">
        <v>2485</v>
      </c>
      <c r="I13228" s="7">
        <v>98</v>
      </c>
      <c r="J13228" s="7">
        <v>347</v>
      </c>
      <c r="K13228" s="7" t="s">
        <v>18</v>
      </c>
      <c r="L13228" s="8">
        <v>39987.315405092595</v>
      </c>
      <c r="M13228" s="9" t="s">
        <v>19</v>
      </c>
      <c r="N13228" s="9" t="s">
        <v>20</v>
      </c>
      <c r="O13228" s="6" t="str">
        <f>HYPERLINK("https://pbs.twimg.com/profile_images/962471262747529216/Uo8lOkRJ_normal.jpg","View")</f>
        <v>View</v>
      </c>
      <c r="P13228" s="7"/>
    </row>
    <row r="13229" spans="1:16">
      <c r="A13229" s="3">
        <v>44216.983923611115</v>
      </c>
      <c r="B13229" s="4" t="str">
        <f>HYPERLINK("https://twitter.com/petrogustavo","@petrogustavo")</f>
        <v>@petrogustavo</v>
      </c>
      <c r="C13229" s="5" t="s">
        <v>16</v>
      </c>
      <c r="D13229" s="5" t="s">
        <v>12728</v>
      </c>
      <c r="E13229" s="6" t="str">
        <f>HYPERLINK("https://twitter.com/petrogustavo/status/1351954356464197633","1351954356464197633")</f>
        <v>1351954356464197633</v>
      </c>
      <c r="F13229" s="7" t="s">
        <v>17</v>
      </c>
      <c r="G13229" s="7">
        <v>4043629</v>
      </c>
      <c r="H13229" s="7">
        <v>2485</v>
      </c>
      <c r="I13229" s="7">
        <v>211</v>
      </c>
      <c r="J13229" s="7">
        <v>499</v>
      </c>
      <c r="K13229" s="7" t="s">
        <v>18</v>
      </c>
      <c r="L13229" s="8">
        <v>39987.315405092595</v>
      </c>
      <c r="M13229" s="9" t="s">
        <v>19</v>
      </c>
      <c r="N13229" s="9" t="s">
        <v>20</v>
      </c>
      <c r="O13229" s="6" t="str">
        <f>HYPERLINK("https://pbs.twimg.com/profile_images/962471262747529216/Uo8lOkRJ_normal.jpg","View")</f>
        <v>View</v>
      </c>
      <c r="P13229" s="7"/>
    </row>
    <row r="13230" spans="1:16">
      <c r="A13230" s="3">
        <v>44217.186087962968</v>
      </c>
      <c r="B13230" s="4" t="str">
        <f>HYPERLINK("https://twitter.com/petrogustavo","@petrogustavo")</f>
        <v>@petrogustavo</v>
      </c>
      <c r="C13230" s="5" t="s">
        <v>16</v>
      </c>
      <c r="D13230" s="5" t="s">
        <v>12729</v>
      </c>
      <c r="E13230" s="6" t="str">
        <f>HYPERLINK("https://twitter.com/petrogustavo/status/1352027619643056128","1352027619643056128")</f>
        <v>1352027619643056128</v>
      </c>
      <c r="F13230" s="7" t="s">
        <v>17</v>
      </c>
      <c r="G13230" s="7">
        <v>4043849</v>
      </c>
      <c r="H13230" s="7">
        <v>2484</v>
      </c>
      <c r="I13230" s="7">
        <v>53</v>
      </c>
      <c r="J13230" s="7">
        <v>219</v>
      </c>
      <c r="K13230" s="7" t="s">
        <v>18</v>
      </c>
      <c r="L13230" s="8">
        <v>39987.315405092595</v>
      </c>
      <c r="M13230" s="9" t="s">
        <v>19</v>
      </c>
      <c r="N13230" s="9" t="s">
        <v>20</v>
      </c>
      <c r="O13230" s="6" t="str">
        <f>HYPERLINK("https://pbs.twimg.com/profile_images/962471262747529216/Uo8lOkRJ_normal.jpg","View")</f>
        <v>View</v>
      </c>
      <c r="P13230" s="7"/>
    </row>
    <row r="13231" spans="1:16">
      <c r="A13231" s="3">
        <v>44217.194143518514</v>
      </c>
      <c r="B13231" s="4" t="str">
        <f>HYPERLINK("https://twitter.com/petrogustavo","@petrogustavo")</f>
        <v>@petrogustavo</v>
      </c>
      <c r="C13231" s="5" t="s">
        <v>16</v>
      </c>
      <c r="D13231" s="5" t="s">
        <v>12730</v>
      </c>
      <c r="E13231" s="6" t="str">
        <f>HYPERLINK("https://twitter.com/petrogustavo/status/1352030538245222405","1352030538245222405")</f>
        <v>1352030538245222405</v>
      </c>
      <c r="F13231" s="7" t="s">
        <v>17</v>
      </c>
      <c r="G13231" s="7">
        <v>4043887</v>
      </c>
      <c r="H13231" s="7">
        <v>2484</v>
      </c>
      <c r="I13231" s="7">
        <v>114</v>
      </c>
      <c r="J13231" s="7">
        <v>226</v>
      </c>
      <c r="K13231" s="7" t="s">
        <v>18</v>
      </c>
      <c r="L13231" s="8">
        <v>39987.315405092595</v>
      </c>
      <c r="M13231" s="9" t="s">
        <v>19</v>
      </c>
      <c r="N13231" s="9" t="s">
        <v>20</v>
      </c>
      <c r="O13231" s="6" t="str">
        <f>HYPERLINK("https://pbs.twimg.com/profile_images/962471262747529216/Uo8lOkRJ_normal.jpg","View")</f>
        <v>View</v>
      </c>
      <c r="P13231" s="7"/>
    </row>
    <row r="13232" spans="1:16">
      <c r="A13232" s="3">
        <v>44217.64744212963</v>
      </c>
      <c r="B13232" s="4" t="str">
        <f>HYPERLINK("https://twitter.com/petrogustavo","@petrogustavo")</f>
        <v>@petrogustavo</v>
      </c>
      <c r="C13232" s="5" t="s">
        <v>16</v>
      </c>
      <c r="D13232" s="5" t="s">
        <v>12731</v>
      </c>
      <c r="E13232" s="6" t="str">
        <f>HYPERLINK("https://twitter.com/petrogustavo/status/1352194807733620736","1352194807733620736")</f>
        <v>1352194807733620736</v>
      </c>
      <c r="F13232" s="7" t="s">
        <v>17</v>
      </c>
      <c r="G13232" s="7">
        <v>4044217</v>
      </c>
      <c r="H13232" s="7">
        <v>2484</v>
      </c>
      <c r="I13232" s="7">
        <v>99</v>
      </c>
      <c r="J13232" s="7">
        <v>278</v>
      </c>
      <c r="K13232" s="7" t="s">
        <v>18</v>
      </c>
      <c r="L13232" s="8">
        <v>39987.315405092595</v>
      </c>
      <c r="M13232" s="9" t="s">
        <v>19</v>
      </c>
      <c r="N13232" s="9" t="s">
        <v>20</v>
      </c>
      <c r="O13232" s="6" t="str">
        <f>HYPERLINK("https://pbs.twimg.com/profile_images/962471262747529216/Uo8lOkRJ_normal.jpg","View")</f>
        <v>View</v>
      </c>
      <c r="P13232" s="7"/>
    </row>
    <row r="13233" spans="1:16">
      <c r="A13233" s="3">
        <v>44217.647453703699</v>
      </c>
      <c r="B13233" s="4" t="str">
        <f>HYPERLINK("https://twitter.com/petrogustavo","@petrogustavo")</f>
        <v>@petrogustavo</v>
      </c>
      <c r="C13233" s="5" t="s">
        <v>16</v>
      </c>
      <c r="D13233" s="5" t="s">
        <v>12732</v>
      </c>
      <c r="E13233" s="6" t="str">
        <f>HYPERLINK("https://twitter.com/petrogustavo/status/1352194813895061504","1352194813895061504")</f>
        <v>1352194813895061504</v>
      </c>
      <c r="F13233" s="7" t="s">
        <v>17</v>
      </c>
      <c r="G13233" s="7">
        <v>4044217</v>
      </c>
      <c r="H13233" s="7">
        <v>2484</v>
      </c>
      <c r="I13233" s="7">
        <v>59</v>
      </c>
      <c r="J13233" s="7">
        <v>239</v>
      </c>
      <c r="K13233" s="7" t="s">
        <v>18</v>
      </c>
      <c r="L13233" s="8">
        <v>39987.315405092595</v>
      </c>
      <c r="M13233" s="9" t="s">
        <v>19</v>
      </c>
      <c r="N13233" s="9" t="s">
        <v>20</v>
      </c>
      <c r="O13233" s="6" t="str">
        <f>HYPERLINK("https://pbs.twimg.com/profile_images/962471262747529216/Uo8lOkRJ_normal.jpg","View")</f>
        <v>View</v>
      </c>
      <c r="P13233" s="7"/>
    </row>
    <row r="13234" spans="1:16">
      <c r="A13234" s="3">
        <v>44217.858969907407</v>
      </c>
      <c r="B13234" s="4" t="str">
        <f>HYPERLINK("https://twitter.com/petrogustavo","@petrogustavo")</f>
        <v>@petrogustavo</v>
      </c>
      <c r="C13234" s="5" t="s">
        <v>16</v>
      </c>
      <c r="D13234" s="5" t="s">
        <v>12733</v>
      </c>
      <c r="E13234" s="6" t="str">
        <f>HYPERLINK("https://twitter.com/petrogustavo/status/1352271464557326340","1352271464557326340")</f>
        <v>1352271464557326340</v>
      </c>
      <c r="F13234" s="7" t="s">
        <v>17</v>
      </c>
      <c r="G13234" s="7">
        <v>4044417</v>
      </c>
      <c r="H13234" s="7">
        <v>2483</v>
      </c>
      <c r="I13234" s="7">
        <v>1353</v>
      </c>
      <c r="J13234" s="7">
        <v>0</v>
      </c>
      <c r="K13234" s="7" t="s">
        <v>18</v>
      </c>
      <c r="L13234" s="8">
        <v>39987.315405092595</v>
      </c>
      <c r="M13234" s="9" t="s">
        <v>19</v>
      </c>
      <c r="N13234" s="9" t="s">
        <v>20</v>
      </c>
      <c r="O13234" s="6" t="str">
        <f>HYPERLINK("https://pbs.twimg.com/profile_images/962471262747529216/Uo8lOkRJ_normal.jpg","View")</f>
        <v>View</v>
      </c>
      <c r="P13234" s="7"/>
    </row>
    <row r="13235" spans="1:16">
      <c r="A13235" s="3">
        <v>44217.992800925931</v>
      </c>
      <c r="B13235" s="4" t="str">
        <f>HYPERLINK("https://twitter.com/petrogustavo","@petrogustavo")</f>
        <v>@petrogustavo</v>
      </c>
      <c r="C13235" s="5" t="s">
        <v>16</v>
      </c>
      <c r="D13235" s="5" t="s">
        <v>12733</v>
      </c>
      <c r="E13235" s="6" t="str">
        <f>HYPERLINK("https://twitter.com/petrogustavo/status/1352319963894263808","1352319963894263808")</f>
        <v>1352319963894263808</v>
      </c>
      <c r="F13235" s="7" t="s">
        <v>17</v>
      </c>
      <c r="G13235" s="7">
        <v>4044579</v>
      </c>
      <c r="H13235" s="7">
        <v>2483</v>
      </c>
      <c r="I13235" s="7">
        <v>1736</v>
      </c>
      <c r="J13235" s="7">
        <v>0</v>
      </c>
      <c r="K13235" s="7" t="s">
        <v>18</v>
      </c>
      <c r="L13235" s="8">
        <v>39987.315405092595</v>
      </c>
      <c r="M13235" s="9" t="s">
        <v>19</v>
      </c>
      <c r="N13235" s="9" t="s">
        <v>20</v>
      </c>
      <c r="O13235" s="6" t="str">
        <f>HYPERLINK("https://pbs.twimg.com/profile_images/962471262747529216/Uo8lOkRJ_normal.jpg","View")</f>
        <v>View</v>
      </c>
      <c r="P13235" s="7"/>
    </row>
    <row r="13236" spans="1:16">
      <c r="A13236" s="3">
        <v>44218.009930555556</v>
      </c>
      <c r="B13236" s="4" t="str">
        <f>HYPERLINK("https://twitter.com/petrogustavo","@petrogustavo")</f>
        <v>@petrogustavo</v>
      </c>
      <c r="C13236" s="5" t="s">
        <v>16</v>
      </c>
      <c r="D13236" s="5" t="s">
        <v>12734</v>
      </c>
      <c r="E13236" s="6" t="str">
        <f>HYPERLINK("https://twitter.com/petrogustavo/status/1352326170088505344","1352326170088505344")</f>
        <v>1352326170088505344</v>
      </c>
      <c r="F13236" s="7" t="s">
        <v>17</v>
      </c>
      <c r="G13236" s="7">
        <v>4044598</v>
      </c>
      <c r="H13236" s="7">
        <v>2483</v>
      </c>
      <c r="I13236" s="7">
        <v>126</v>
      </c>
      <c r="J13236" s="7">
        <v>331</v>
      </c>
      <c r="K13236" s="7" t="s">
        <v>18</v>
      </c>
      <c r="L13236" s="8">
        <v>39987.315405092595</v>
      </c>
      <c r="M13236" s="9" t="s">
        <v>19</v>
      </c>
      <c r="N13236" s="9" t="s">
        <v>20</v>
      </c>
      <c r="O13236" s="6" t="str">
        <f>HYPERLINK("https://pbs.twimg.com/profile_images/962471262747529216/Uo8lOkRJ_normal.jpg","View")</f>
        <v>View</v>
      </c>
      <c r="P13236" s="7"/>
    </row>
    <row r="13237" spans="1:16">
      <c r="A13237" s="3">
        <v>44218.018761574072</v>
      </c>
      <c r="B13237" s="4" t="str">
        <f>HYPERLINK("https://twitter.com/petrogustavo","@petrogustavo")</f>
        <v>@petrogustavo</v>
      </c>
      <c r="C13237" s="5" t="s">
        <v>16</v>
      </c>
      <c r="D13237" s="5" t="s">
        <v>12735</v>
      </c>
      <c r="E13237" s="6" t="str">
        <f>HYPERLINK("https://twitter.com/petrogustavo/status/1352329367985278977","1352329367985278977")</f>
        <v>1352329367985278977</v>
      </c>
      <c r="F13237" s="7" t="s">
        <v>17</v>
      </c>
      <c r="G13237" s="7">
        <v>4044598</v>
      </c>
      <c r="H13237" s="7">
        <v>2483</v>
      </c>
      <c r="I13237" s="7">
        <v>31</v>
      </c>
      <c r="J13237" s="7">
        <v>0</v>
      </c>
      <c r="K13237" s="7" t="s">
        <v>18</v>
      </c>
      <c r="L13237" s="8">
        <v>39987.315405092595</v>
      </c>
      <c r="M13237" s="9" t="s">
        <v>19</v>
      </c>
      <c r="N13237" s="9" t="s">
        <v>20</v>
      </c>
      <c r="O13237" s="6" t="str">
        <f>HYPERLINK("https://pbs.twimg.com/profile_images/962471262747529216/Uo8lOkRJ_normal.jpg","View")</f>
        <v>View</v>
      </c>
      <c r="P13237" s="7"/>
    </row>
    <row r="13238" spans="1:16">
      <c r="A13238" s="3">
        <v>44218.021041666667</v>
      </c>
      <c r="B13238" s="4" t="str">
        <f>HYPERLINK("https://twitter.com/petrogustavo","@petrogustavo")</f>
        <v>@petrogustavo</v>
      </c>
      <c r="C13238" s="5" t="s">
        <v>16</v>
      </c>
      <c r="D13238" s="5" t="s">
        <v>12736</v>
      </c>
      <c r="E13238" s="6" t="str">
        <f>HYPERLINK("https://twitter.com/petrogustavo/status/1352330194913255429","1352330194913255429")</f>
        <v>1352330194913255429</v>
      </c>
      <c r="F13238" s="7" t="s">
        <v>17</v>
      </c>
      <c r="G13238" s="7">
        <v>4044598</v>
      </c>
      <c r="H13238" s="7">
        <v>2483</v>
      </c>
      <c r="I13238" s="7">
        <v>809</v>
      </c>
      <c r="J13238" s="7">
        <v>0</v>
      </c>
      <c r="K13238" s="7" t="s">
        <v>18</v>
      </c>
      <c r="L13238" s="8">
        <v>39987.315405092595</v>
      </c>
      <c r="M13238" s="9" t="s">
        <v>19</v>
      </c>
      <c r="N13238" s="9" t="s">
        <v>20</v>
      </c>
      <c r="O13238" s="6" t="str">
        <f>HYPERLINK("https://pbs.twimg.com/profile_images/962471262747529216/Uo8lOkRJ_normal.jpg","View")</f>
        <v>View</v>
      </c>
      <c r="P13238" s="7"/>
    </row>
    <row r="13239" spans="1:16">
      <c r="A13239" s="3">
        <v>44218.028807870374</v>
      </c>
      <c r="B13239" s="4" t="str">
        <f>HYPERLINK("https://twitter.com/petrogustavo","@petrogustavo")</f>
        <v>@petrogustavo</v>
      </c>
      <c r="C13239" s="5" t="s">
        <v>16</v>
      </c>
      <c r="D13239" s="5" t="s">
        <v>12737</v>
      </c>
      <c r="E13239" s="6" t="str">
        <f>HYPERLINK("https://twitter.com/petrogustavo/status/1352333009249333254","1352333009249333254")</f>
        <v>1352333009249333254</v>
      </c>
      <c r="F13239" s="7" t="s">
        <v>17</v>
      </c>
      <c r="G13239" s="7">
        <v>4044623</v>
      </c>
      <c r="H13239" s="7">
        <v>2483</v>
      </c>
      <c r="I13239" s="7">
        <v>153</v>
      </c>
      <c r="J13239" s="7">
        <v>597</v>
      </c>
      <c r="K13239" s="7" t="s">
        <v>18</v>
      </c>
      <c r="L13239" s="8">
        <v>39987.315405092595</v>
      </c>
      <c r="M13239" s="9" t="s">
        <v>19</v>
      </c>
      <c r="N13239" s="9" t="s">
        <v>20</v>
      </c>
      <c r="O13239" s="6" t="str">
        <f>HYPERLINK("https://pbs.twimg.com/profile_images/962471262747529216/Uo8lOkRJ_normal.jpg","View")</f>
        <v>View</v>
      </c>
      <c r="P13239" s="7"/>
    </row>
    <row r="13240" spans="1:16">
      <c r="A13240" s="3">
        <v>44218.139074074075</v>
      </c>
      <c r="B13240" s="4" t="str">
        <f>HYPERLINK("https://twitter.com/petrogustavo","@petrogustavo")</f>
        <v>@petrogustavo</v>
      </c>
      <c r="C13240" s="5" t="s">
        <v>16</v>
      </c>
      <c r="D13240" s="5" t="s">
        <v>12738</v>
      </c>
      <c r="E13240" s="6" t="str">
        <f>HYPERLINK("https://twitter.com/petrogustavo/status/1352372967938928645","1352372967938928645")</f>
        <v>1352372967938928645</v>
      </c>
      <c r="F13240" s="7" t="s">
        <v>17</v>
      </c>
      <c r="G13240" s="7">
        <v>4044638</v>
      </c>
      <c r="H13240" s="7">
        <v>2483</v>
      </c>
      <c r="I13240" s="7">
        <v>107</v>
      </c>
      <c r="J13240" s="7">
        <v>0</v>
      </c>
      <c r="K13240" s="7" t="s">
        <v>18</v>
      </c>
      <c r="L13240" s="8">
        <v>39987.315405092595</v>
      </c>
      <c r="M13240" s="9" t="s">
        <v>19</v>
      </c>
      <c r="N13240" s="9" t="s">
        <v>20</v>
      </c>
      <c r="O13240" s="6" t="str">
        <f>HYPERLINK("https://pbs.twimg.com/profile_images/962471262747529216/Uo8lOkRJ_normal.jpg","View")</f>
        <v>View</v>
      </c>
      <c r="P13240" s="7"/>
    </row>
    <row r="13241" spans="1:16">
      <c r="A13241" s="3">
        <v>44218.17487268518</v>
      </c>
      <c r="B13241" s="4" t="str">
        <f>HYPERLINK("https://twitter.com/petrogustavo","@petrogustavo")</f>
        <v>@petrogustavo</v>
      </c>
      <c r="C13241" s="5" t="s">
        <v>16</v>
      </c>
      <c r="D13241" s="5" t="s">
        <v>12739</v>
      </c>
      <c r="E13241" s="6" t="str">
        <f>HYPERLINK("https://twitter.com/petrogustavo/status/1352385941558734849","1352385941558734849")</f>
        <v>1352385941558734849</v>
      </c>
      <c r="F13241" s="7" t="s">
        <v>17</v>
      </c>
      <c r="G13241" s="7">
        <v>4044678</v>
      </c>
      <c r="H13241" s="7">
        <v>2483</v>
      </c>
      <c r="I13241" s="7">
        <v>132</v>
      </c>
      <c r="J13241" s="7">
        <v>280</v>
      </c>
      <c r="K13241" s="7" t="s">
        <v>18</v>
      </c>
      <c r="L13241" s="8">
        <v>39987.315405092595</v>
      </c>
      <c r="M13241" s="9" t="s">
        <v>19</v>
      </c>
      <c r="N13241" s="9" t="s">
        <v>20</v>
      </c>
      <c r="O13241" s="6" t="str">
        <f>HYPERLINK("https://pbs.twimg.com/profile_images/962471262747529216/Uo8lOkRJ_normal.jpg","View")</f>
        <v>View</v>
      </c>
      <c r="P13241" s="7"/>
    </row>
    <row r="13242" spans="1:16">
      <c r="A13242" s="3">
        <v>44218.174884259264</v>
      </c>
      <c r="B13242" s="4" t="str">
        <f>HYPERLINK("https://twitter.com/petrogustavo","@petrogustavo")</f>
        <v>@petrogustavo</v>
      </c>
      <c r="C13242" s="5" t="s">
        <v>16</v>
      </c>
      <c r="D13242" s="5" t="s">
        <v>12740</v>
      </c>
      <c r="E13242" s="6" t="str">
        <f>HYPERLINK("https://twitter.com/petrogustavo/status/1352385946210209799","1352385946210209799")</f>
        <v>1352385946210209799</v>
      </c>
      <c r="F13242" s="7" t="s">
        <v>17</v>
      </c>
      <c r="G13242" s="7">
        <v>4044678</v>
      </c>
      <c r="H13242" s="7">
        <v>2483</v>
      </c>
      <c r="I13242" s="7">
        <v>48</v>
      </c>
      <c r="J13242" s="7">
        <v>155</v>
      </c>
      <c r="K13242" s="7" t="s">
        <v>18</v>
      </c>
      <c r="L13242" s="8">
        <v>39987.315405092595</v>
      </c>
      <c r="M13242" s="9" t="s">
        <v>19</v>
      </c>
      <c r="N13242" s="9" t="s">
        <v>20</v>
      </c>
      <c r="O13242" s="6" t="str">
        <f>HYPERLINK("https://pbs.twimg.com/profile_images/962471262747529216/Uo8lOkRJ_normal.jpg","View")</f>
        <v>View</v>
      </c>
      <c r="P13242" s="7"/>
    </row>
    <row r="13243" spans="1:16">
      <c r="A13243" s="3">
        <v>44218.637337962966</v>
      </c>
      <c r="B13243" s="4" t="str">
        <f>HYPERLINK("https://twitter.com/petrogustavo","@petrogustavo")</f>
        <v>@petrogustavo</v>
      </c>
      <c r="C13243" s="5" t="s">
        <v>16</v>
      </c>
      <c r="D13243" s="5" t="s">
        <v>12741</v>
      </c>
      <c r="E13243" s="6" t="str">
        <f>HYPERLINK("https://twitter.com/petrogustavo/status/1352553532558364672","1352553532558364672")</f>
        <v>1352553532558364672</v>
      </c>
      <c r="F13243" s="7" t="s">
        <v>17</v>
      </c>
      <c r="G13243" s="7">
        <v>4045069</v>
      </c>
      <c r="H13243" s="7">
        <v>2483</v>
      </c>
      <c r="I13243" s="7">
        <v>908</v>
      </c>
      <c r="J13243" s="7">
        <v>0</v>
      </c>
      <c r="K13243" s="7" t="s">
        <v>18</v>
      </c>
      <c r="L13243" s="8">
        <v>39987.315405092595</v>
      </c>
      <c r="M13243" s="9" t="s">
        <v>19</v>
      </c>
      <c r="N13243" s="9" t="s">
        <v>20</v>
      </c>
      <c r="O13243" s="6" t="str">
        <f>HYPERLINK("https://pbs.twimg.com/profile_images/962471262747529216/Uo8lOkRJ_normal.jpg","View")</f>
        <v>View</v>
      </c>
      <c r="P13243" s="7"/>
    </row>
    <row r="13244" spans="1:16">
      <c r="A13244" s="3">
        <v>44218.790983796294</v>
      </c>
      <c r="B13244" s="4" t="str">
        <f>HYPERLINK("https://twitter.com/petrogustavo","@petrogustavo")</f>
        <v>@petrogustavo</v>
      </c>
      <c r="C13244" s="5" t="s">
        <v>16</v>
      </c>
      <c r="D13244" s="5" t="s">
        <v>12742</v>
      </c>
      <c r="E13244" s="6" t="str">
        <f>HYPERLINK("https://twitter.com/petrogustavo/status/1352609212589879297","1352609212589879297")</f>
        <v>1352609212589879297</v>
      </c>
      <c r="F13244" s="7" t="s">
        <v>17</v>
      </c>
      <c r="G13244" s="7">
        <v>4045152</v>
      </c>
      <c r="H13244" s="7">
        <v>2482</v>
      </c>
      <c r="I13244" s="7">
        <v>41</v>
      </c>
      <c r="J13244" s="7">
        <v>0</v>
      </c>
      <c r="K13244" s="7" t="s">
        <v>18</v>
      </c>
      <c r="L13244" s="8">
        <v>39987.315405092595</v>
      </c>
      <c r="M13244" s="9" t="s">
        <v>19</v>
      </c>
      <c r="N13244" s="9" t="s">
        <v>20</v>
      </c>
      <c r="O13244" s="6" t="str">
        <f>HYPERLINK("https://pbs.twimg.com/profile_images/962471262747529216/Uo8lOkRJ_normal.jpg","View")</f>
        <v>View</v>
      </c>
      <c r="P13244" s="7"/>
    </row>
    <row r="13245" spans="1:16">
      <c r="A13245" s="3">
        <v>44218.791886574079</v>
      </c>
      <c r="B13245" s="4" t="str">
        <f>HYPERLINK("https://twitter.com/petrogustavo","@petrogustavo")</f>
        <v>@petrogustavo</v>
      </c>
      <c r="C13245" s="5" t="s">
        <v>16</v>
      </c>
      <c r="D13245" s="5" t="s">
        <v>12743</v>
      </c>
      <c r="E13245" s="6" t="str">
        <f>HYPERLINK("https://twitter.com/petrogustavo/status/1352609540957741063","1352609540957741063")</f>
        <v>1352609540957741063</v>
      </c>
      <c r="F13245" s="7" t="s">
        <v>17</v>
      </c>
      <c r="G13245" s="7">
        <v>4045152</v>
      </c>
      <c r="H13245" s="7">
        <v>2482</v>
      </c>
      <c r="I13245" s="7">
        <v>18</v>
      </c>
      <c r="J13245" s="7">
        <v>36</v>
      </c>
      <c r="K13245" s="7" t="s">
        <v>18</v>
      </c>
      <c r="L13245" s="8">
        <v>39987.315405092595</v>
      </c>
      <c r="M13245" s="9" t="s">
        <v>19</v>
      </c>
      <c r="N13245" s="9" t="s">
        <v>20</v>
      </c>
      <c r="O13245" s="6" t="str">
        <f>HYPERLINK("https://pbs.twimg.com/profile_images/962471262747529216/Uo8lOkRJ_normal.jpg","View")</f>
        <v>View</v>
      </c>
      <c r="P13245" s="7"/>
    </row>
    <row r="13246" spans="1:16">
      <c r="A13246" s="3">
        <v>44218.808865740742</v>
      </c>
      <c r="B13246" s="4" t="str">
        <f>HYPERLINK("https://twitter.com/petrogustavo","@petrogustavo")</f>
        <v>@petrogustavo</v>
      </c>
      <c r="C13246" s="5" t="s">
        <v>16</v>
      </c>
      <c r="D13246" s="5" t="s">
        <v>12744</v>
      </c>
      <c r="E13246" s="6" t="str">
        <f>HYPERLINK("https://twitter.com/petrogustavo/status/1352615695595528208","1352615695595528208")</f>
        <v>1352615695595528208</v>
      </c>
      <c r="F13246" s="7" t="s">
        <v>17</v>
      </c>
      <c r="G13246" s="7">
        <v>4045176</v>
      </c>
      <c r="H13246" s="7">
        <v>2482</v>
      </c>
      <c r="I13246" s="7">
        <v>34</v>
      </c>
      <c r="J13246" s="7">
        <v>113</v>
      </c>
      <c r="K13246" s="7" t="s">
        <v>18</v>
      </c>
      <c r="L13246" s="8">
        <v>39987.315405092595</v>
      </c>
      <c r="M13246" s="9" t="s">
        <v>19</v>
      </c>
      <c r="N13246" s="9" t="s">
        <v>20</v>
      </c>
      <c r="O13246" s="6" t="str">
        <f>HYPERLINK("https://pbs.twimg.com/profile_images/962471262747529216/Uo8lOkRJ_normal.jpg","View")</f>
        <v>View</v>
      </c>
      <c r="P13246" s="7"/>
    </row>
    <row r="13247" spans="1:16">
      <c r="A13247" s="3">
        <v>44218.817789351851</v>
      </c>
      <c r="B13247" s="4" t="str">
        <f>HYPERLINK("https://twitter.com/petrogustavo","@petrogustavo")</f>
        <v>@petrogustavo</v>
      </c>
      <c r="C13247" s="5" t="s">
        <v>16</v>
      </c>
      <c r="D13247" s="5" t="s">
        <v>12745</v>
      </c>
      <c r="E13247" s="6" t="str">
        <f>HYPERLINK("https://twitter.com/petrogustavo/status/1352618926795059203","1352618926795059203")</f>
        <v>1352618926795059203</v>
      </c>
      <c r="F13247" s="7" t="s">
        <v>17</v>
      </c>
      <c r="G13247" s="7">
        <v>4045196</v>
      </c>
      <c r="H13247" s="7">
        <v>2482</v>
      </c>
      <c r="I13247" s="7">
        <v>77</v>
      </c>
      <c r="J13247" s="7">
        <v>0</v>
      </c>
      <c r="K13247" s="7" t="s">
        <v>18</v>
      </c>
      <c r="L13247" s="8">
        <v>39987.315405092595</v>
      </c>
      <c r="M13247" s="9" t="s">
        <v>19</v>
      </c>
      <c r="N13247" s="9" t="s">
        <v>20</v>
      </c>
      <c r="O13247" s="6" t="str">
        <f>HYPERLINK("https://pbs.twimg.com/profile_images/962471262747529216/Uo8lOkRJ_normal.jpg","View")</f>
        <v>View</v>
      </c>
      <c r="P13247" s="7"/>
    </row>
    <row r="13248" spans="1:16">
      <c r="A13248" s="3">
        <v>44218.823506944449</v>
      </c>
      <c r="B13248" s="4" t="str">
        <f>HYPERLINK("https://twitter.com/petrogustavo","@petrogustavo")</f>
        <v>@petrogustavo</v>
      </c>
      <c r="C13248" s="5" t="s">
        <v>16</v>
      </c>
      <c r="D13248" s="5" t="s">
        <v>12746</v>
      </c>
      <c r="E13248" s="6" t="str">
        <f>HYPERLINK("https://twitter.com/petrogustavo/status/1352621000555433985","1352621000555433985")</f>
        <v>1352621000555433985</v>
      </c>
      <c r="F13248" s="7" t="s">
        <v>17</v>
      </c>
      <c r="G13248" s="7">
        <v>4045196</v>
      </c>
      <c r="H13248" s="7">
        <v>2482</v>
      </c>
      <c r="I13248" s="7">
        <v>91</v>
      </c>
      <c r="J13248" s="7">
        <v>0</v>
      </c>
      <c r="K13248" s="7" t="s">
        <v>18</v>
      </c>
      <c r="L13248" s="8">
        <v>39987.315405092595</v>
      </c>
      <c r="M13248" s="9" t="s">
        <v>19</v>
      </c>
      <c r="N13248" s="9" t="s">
        <v>20</v>
      </c>
      <c r="O13248" s="6" t="str">
        <f>HYPERLINK("https://pbs.twimg.com/profile_images/962471262747529216/Uo8lOkRJ_normal.jpg","View")</f>
        <v>View</v>
      </c>
      <c r="P13248" s="7"/>
    </row>
    <row r="13249" spans="1:16">
      <c r="A13249" s="3">
        <v>44218.834699074076</v>
      </c>
      <c r="B13249" s="4" t="str">
        <f>HYPERLINK("https://twitter.com/petrogustavo","@petrogustavo")</f>
        <v>@petrogustavo</v>
      </c>
      <c r="C13249" s="5" t="s">
        <v>16</v>
      </c>
      <c r="D13249" s="5" t="s">
        <v>12747</v>
      </c>
      <c r="E13249" s="6" t="str">
        <f>HYPERLINK("https://twitter.com/petrogustavo/status/1352625054123745286","1352625054123745286")</f>
        <v>1352625054123745286</v>
      </c>
      <c r="F13249" s="7" t="s">
        <v>17</v>
      </c>
      <c r="G13249" s="7">
        <v>4045196</v>
      </c>
      <c r="H13249" s="7">
        <v>2482</v>
      </c>
      <c r="I13249" s="7">
        <v>959</v>
      </c>
      <c r="J13249" s="7">
        <v>0</v>
      </c>
      <c r="K13249" s="7" t="s">
        <v>18</v>
      </c>
      <c r="L13249" s="8">
        <v>39987.315405092595</v>
      </c>
      <c r="M13249" s="9" t="s">
        <v>19</v>
      </c>
      <c r="N13249" s="9" t="s">
        <v>20</v>
      </c>
      <c r="O13249" s="6" t="str">
        <f>HYPERLINK("https://pbs.twimg.com/profile_images/962471262747529216/Uo8lOkRJ_normal.jpg","View")</f>
        <v>View</v>
      </c>
      <c r="P13249" s="7"/>
    </row>
    <row r="13250" spans="1:16">
      <c r="A13250" s="3">
        <v>44218.835659722223</v>
      </c>
      <c r="B13250" s="4" t="str">
        <f>HYPERLINK("https://twitter.com/petrogustavo","@petrogustavo")</f>
        <v>@petrogustavo</v>
      </c>
      <c r="C13250" s="5" t="s">
        <v>16</v>
      </c>
      <c r="D13250" s="5" t="s">
        <v>12748</v>
      </c>
      <c r="E13250" s="6" t="str">
        <f>HYPERLINK("https://twitter.com/petrogustavo/status/1352625404377493508","1352625404377493508")</f>
        <v>1352625404377493508</v>
      </c>
      <c r="F13250" s="7" t="s">
        <v>17</v>
      </c>
      <c r="G13250" s="7">
        <v>4045219</v>
      </c>
      <c r="H13250" s="7">
        <v>2482</v>
      </c>
      <c r="I13250" s="7">
        <v>25</v>
      </c>
      <c r="J13250" s="7">
        <v>0</v>
      </c>
      <c r="K13250" s="7" t="s">
        <v>18</v>
      </c>
      <c r="L13250" s="8">
        <v>39987.315405092595</v>
      </c>
      <c r="M13250" s="9" t="s">
        <v>19</v>
      </c>
      <c r="N13250" s="9" t="s">
        <v>20</v>
      </c>
      <c r="O13250" s="6" t="str">
        <f>HYPERLINK("https://pbs.twimg.com/profile_images/962471262747529216/Uo8lOkRJ_normal.jpg","View")</f>
        <v>View</v>
      </c>
      <c r="P13250" s="7"/>
    </row>
    <row r="13251" spans="1:16">
      <c r="A13251" s="3">
        <v>44218.841666666667</v>
      </c>
      <c r="B13251" s="4" t="str">
        <f>HYPERLINK("https://twitter.com/petrogustavo","@petrogustavo")</f>
        <v>@petrogustavo</v>
      </c>
      <c r="C13251" s="5" t="s">
        <v>16</v>
      </c>
      <c r="D13251" s="5" t="s">
        <v>12749</v>
      </c>
      <c r="E13251" s="6" t="str">
        <f>HYPERLINK("https://twitter.com/petrogustavo/status/1352627581250641920","1352627581250641920")</f>
        <v>1352627581250641920</v>
      </c>
      <c r="F13251" s="7" t="s">
        <v>17</v>
      </c>
      <c r="G13251" s="7">
        <v>4045219</v>
      </c>
      <c r="H13251" s="7">
        <v>2482</v>
      </c>
      <c r="I13251" s="7">
        <v>220</v>
      </c>
      <c r="J13251" s="7">
        <v>517</v>
      </c>
      <c r="K13251" s="7" t="s">
        <v>18</v>
      </c>
      <c r="L13251" s="8">
        <v>39987.315405092595</v>
      </c>
      <c r="M13251" s="9" t="s">
        <v>19</v>
      </c>
      <c r="N13251" s="9" t="s">
        <v>20</v>
      </c>
      <c r="O13251" s="6" t="str">
        <f>HYPERLINK("https://pbs.twimg.com/profile_images/962471262747529216/Uo8lOkRJ_normal.jpg","View")</f>
        <v>View</v>
      </c>
      <c r="P13251" s="7"/>
    </row>
    <row r="13252" spans="1:16">
      <c r="A13252" s="3">
        <v>44218.843645833331</v>
      </c>
      <c r="B13252" s="4" t="str">
        <f>HYPERLINK("https://twitter.com/petrogustavo","@petrogustavo")</f>
        <v>@petrogustavo</v>
      </c>
      <c r="C13252" s="5" t="s">
        <v>16</v>
      </c>
      <c r="D13252" s="5" t="s">
        <v>12750</v>
      </c>
      <c r="E13252" s="6" t="str">
        <f>HYPERLINK("https://twitter.com/petrogustavo/status/1352628296933109760","1352628296933109760")</f>
        <v>1352628296933109760</v>
      </c>
      <c r="F13252" s="7" t="s">
        <v>17</v>
      </c>
      <c r="G13252" s="7">
        <v>4045219</v>
      </c>
      <c r="H13252" s="7">
        <v>2482</v>
      </c>
      <c r="I13252" s="7">
        <v>233</v>
      </c>
      <c r="J13252" s="7">
        <v>0</v>
      </c>
      <c r="K13252" s="7" t="s">
        <v>18</v>
      </c>
      <c r="L13252" s="8">
        <v>39987.315405092595</v>
      </c>
      <c r="M13252" s="9" t="s">
        <v>19</v>
      </c>
      <c r="N13252" s="9" t="s">
        <v>20</v>
      </c>
      <c r="O13252" s="6" t="str">
        <f>HYPERLINK("https://pbs.twimg.com/profile_images/962471262747529216/Uo8lOkRJ_normal.jpg","View")</f>
        <v>View</v>
      </c>
      <c r="P13252" s="7"/>
    </row>
    <row r="13253" spans="1:16">
      <c r="A13253" s="3">
        <v>44218.867754629631</v>
      </c>
      <c r="B13253" s="4" t="str">
        <f>HYPERLINK("https://twitter.com/petrogustavo","@petrogustavo")</f>
        <v>@petrogustavo</v>
      </c>
      <c r="C13253" s="5" t="s">
        <v>16</v>
      </c>
      <c r="D13253" s="5" t="s">
        <v>12751</v>
      </c>
      <c r="E13253" s="6" t="str">
        <f>HYPERLINK("https://twitter.com/petrogustavo/status/1352637034234576896","1352637034234576896")</f>
        <v>1352637034234576896</v>
      </c>
      <c r="F13253" s="7" t="s">
        <v>17</v>
      </c>
      <c r="G13253" s="7">
        <v>4045264</v>
      </c>
      <c r="H13253" s="7">
        <v>2482</v>
      </c>
      <c r="I13253" s="7">
        <v>26</v>
      </c>
      <c r="J13253" s="7">
        <v>0</v>
      </c>
      <c r="K13253" s="7" t="s">
        <v>18</v>
      </c>
      <c r="L13253" s="8">
        <v>39987.315405092595</v>
      </c>
      <c r="M13253" s="9" t="s">
        <v>19</v>
      </c>
      <c r="N13253" s="9" t="s">
        <v>20</v>
      </c>
      <c r="O13253" s="6" t="str">
        <f>HYPERLINK("https://pbs.twimg.com/profile_images/962471262747529216/Uo8lOkRJ_normal.jpg","View")</f>
        <v>View</v>
      </c>
      <c r="P13253" s="7"/>
    </row>
    <row r="13254" spans="1:16">
      <c r="A13254" s="3">
        <v>44218.869386574079</v>
      </c>
      <c r="B13254" s="4" t="str">
        <f>HYPERLINK("https://twitter.com/petrogustavo","@petrogustavo")</f>
        <v>@petrogustavo</v>
      </c>
      <c r="C13254" s="5" t="s">
        <v>16</v>
      </c>
      <c r="D13254" s="5" t="s">
        <v>12752</v>
      </c>
      <c r="E13254" s="6" t="str">
        <f>HYPERLINK("https://twitter.com/petrogustavo/status/1352637624603860994","1352637624603860994")</f>
        <v>1352637624603860994</v>
      </c>
      <c r="F13254" s="7" t="s">
        <v>17</v>
      </c>
      <c r="G13254" s="7">
        <v>4045264</v>
      </c>
      <c r="H13254" s="7">
        <v>2482</v>
      </c>
      <c r="I13254" s="7">
        <v>95</v>
      </c>
      <c r="J13254" s="7">
        <v>204</v>
      </c>
      <c r="K13254" s="7" t="s">
        <v>18</v>
      </c>
      <c r="L13254" s="8">
        <v>39987.315405092595</v>
      </c>
      <c r="M13254" s="9" t="s">
        <v>19</v>
      </c>
      <c r="N13254" s="9" t="s">
        <v>20</v>
      </c>
      <c r="O13254" s="6" t="str">
        <f>HYPERLINK("https://pbs.twimg.com/profile_images/962471262747529216/Uo8lOkRJ_normal.jpg","View")</f>
        <v>View</v>
      </c>
      <c r="P13254" s="7"/>
    </row>
    <row r="13255" spans="1:16">
      <c r="A13255" s="3">
        <v>44218.872164351851</v>
      </c>
      <c r="B13255" s="4" t="str">
        <f>HYPERLINK("https://twitter.com/petrogustavo","@petrogustavo")</f>
        <v>@petrogustavo</v>
      </c>
      <c r="C13255" s="5" t="s">
        <v>16</v>
      </c>
      <c r="D13255" s="5" t="s">
        <v>12753</v>
      </c>
      <c r="E13255" s="6" t="str">
        <f>HYPERLINK("https://twitter.com/petrogustavo/status/1352638632318951424","1352638632318951424")</f>
        <v>1352638632318951424</v>
      </c>
      <c r="F13255" s="7" t="s">
        <v>17</v>
      </c>
      <c r="G13255" s="7">
        <v>4045264</v>
      </c>
      <c r="H13255" s="7">
        <v>2482</v>
      </c>
      <c r="I13255" s="7">
        <v>143</v>
      </c>
      <c r="J13255" s="7">
        <v>390</v>
      </c>
      <c r="K13255" s="7" t="s">
        <v>18</v>
      </c>
      <c r="L13255" s="8">
        <v>39987.315405092595</v>
      </c>
      <c r="M13255" s="9" t="s">
        <v>19</v>
      </c>
      <c r="N13255" s="9" t="s">
        <v>20</v>
      </c>
      <c r="O13255" s="6" t="str">
        <f>HYPERLINK("https://pbs.twimg.com/profile_images/962471262747529216/Uo8lOkRJ_normal.jpg","View")</f>
        <v>View</v>
      </c>
      <c r="P13255" s="7"/>
    </row>
    <row r="13256" spans="1:16">
      <c r="A13256" s="3">
        <v>44218.879618055551</v>
      </c>
      <c r="B13256" s="4" t="str">
        <f>HYPERLINK("https://twitter.com/petrogustavo","@petrogustavo")</f>
        <v>@petrogustavo</v>
      </c>
      <c r="C13256" s="5" t="s">
        <v>16</v>
      </c>
      <c r="D13256" s="5" t="s">
        <v>12754</v>
      </c>
      <c r="E13256" s="6" t="str">
        <f>HYPERLINK("https://twitter.com/petrogustavo/status/1352641332620255233","1352641332620255233")</f>
        <v>1352641332620255233</v>
      </c>
      <c r="F13256" s="7" t="s">
        <v>17</v>
      </c>
      <c r="G13256" s="7">
        <v>4045264</v>
      </c>
      <c r="H13256" s="7">
        <v>2482</v>
      </c>
      <c r="I13256" s="7">
        <v>192</v>
      </c>
      <c r="J13256" s="7">
        <v>553</v>
      </c>
      <c r="K13256" s="7" t="s">
        <v>18</v>
      </c>
      <c r="L13256" s="8">
        <v>39987.315405092595</v>
      </c>
      <c r="M13256" s="9" t="s">
        <v>19</v>
      </c>
      <c r="N13256" s="9" t="s">
        <v>20</v>
      </c>
      <c r="O13256" s="6" t="str">
        <f>HYPERLINK("https://pbs.twimg.com/profile_images/962471262747529216/Uo8lOkRJ_normal.jpg","View")</f>
        <v>View</v>
      </c>
      <c r="P13256" s="7"/>
    </row>
    <row r="13257" spans="1:16">
      <c r="A13257" s="3">
        <v>44218.879618055551</v>
      </c>
      <c r="B13257" s="4" t="str">
        <f>HYPERLINK("https://twitter.com/petrogustavo","@petrogustavo")</f>
        <v>@petrogustavo</v>
      </c>
      <c r="C13257" s="5" t="s">
        <v>16</v>
      </c>
      <c r="D13257" s="5" t="s">
        <v>12755</v>
      </c>
      <c r="E13257" s="6" t="str">
        <f>HYPERLINK("https://twitter.com/petrogustavo/status/1352641334146904070","1352641334146904070")</f>
        <v>1352641334146904070</v>
      </c>
      <c r="F13257" s="7" t="s">
        <v>17</v>
      </c>
      <c r="G13257" s="7">
        <v>4045264</v>
      </c>
      <c r="H13257" s="7">
        <v>2482</v>
      </c>
      <c r="I13257" s="7">
        <v>81</v>
      </c>
      <c r="J13257" s="7">
        <v>289</v>
      </c>
      <c r="K13257" s="7" t="s">
        <v>18</v>
      </c>
      <c r="L13257" s="8">
        <v>39987.315405092595</v>
      </c>
      <c r="M13257" s="9" t="s">
        <v>19</v>
      </c>
      <c r="N13257" s="9" t="s">
        <v>20</v>
      </c>
      <c r="O13257" s="6" t="str">
        <f>HYPERLINK("https://pbs.twimg.com/profile_images/962471262747529216/Uo8lOkRJ_normal.jpg","View")</f>
        <v>View</v>
      </c>
      <c r="P13257" s="7"/>
    </row>
    <row r="13258" spans="1:16">
      <c r="A13258" s="3">
        <v>44219.00953703704</v>
      </c>
      <c r="B13258" s="4" t="str">
        <f>HYPERLINK("https://twitter.com/petrogustavo","@petrogustavo")</f>
        <v>@petrogustavo</v>
      </c>
      <c r="C13258" s="5" t="s">
        <v>16</v>
      </c>
      <c r="D13258" s="5" t="s">
        <v>12756</v>
      </c>
      <c r="E13258" s="6" t="str">
        <f>HYPERLINK("https://twitter.com/petrogustavo/status/1352688413695160322","1352688413695160322")</f>
        <v>1352688413695160322</v>
      </c>
      <c r="F13258" s="7" t="s">
        <v>17</v>
      </c>
      <c r="G13258" s="7">
        <v>4045446</v>
      </c>
      <c r="H13258" s="7">
        <v>2482</v>
      </c>
      <c r="I13258" s="7">
        <v>491</v>
      </c>
      <c r="J13258" s="7">
        <v>0</v>
      </c>
      <c r="K13258" s="7" t="s">
        <v>18</v>
      </c>
      <c r="L13258" s="8">
        <v>39987.315405092595</v>
      </c>
      <c r="M13258" s="9" t="s">
        <v>19</v>
      </c>
      <c r="N13258" s="9" t="s">
        <v>20</v>
      </c>
      <c r="O13258" s="6" t="str">
        <f>HYPERLINK("https://pbs.twimg.com/profile_images/962471262747529216/Uo8lOkRJ_normal.jpg","View")</f>
        <v>View</v>
      </c>
      <c r="P13258" s="7"/>
    </row>
    <row r="13259" spans="1:16">
      <c r="A13259" s="3">
        <v>44219.151921296296</v>
      </c>
      <c r="B13259" s="4" t="str">
        <f>HYPERLINK("https://twitter.com/petrogustavo","@petrogustavo")</f>
        <v>@petrogustavo</v>
      </c>
      <c r="C13259" s="5" t="s">
        <v>16</v>
      </c>
      <c r="D13259" s="5" t="s">
        <v>12757</v>
      </c>
      <c r="E13259" s="6" t="str">
        <f>HYPERLINK("https://twitter.com/petrogustavo/status/1352740011469402113","1352740011469402113")</f>
        <v>1352740011469402113</v>
      </c>
      <c r="F13259" s="7" t="s">
        <v>17</v>
      </c>
      <c r="G13259" s="7">
        <v>4045621</v>
      </c>
      <c r="H13259" s="7">
        <v>2482</v>
      </c>
      <c r="I13259" s="7">
        <v>153</v>
      </c>
      <c r="J13259" s="7">
        <v>387</v>
      </c>
      <c r="K13259" s="7" t="s">
        <v>18</v>
      </c>
      <c r="L13259" s="8">
        <v>39987.315405092595</v>
      </c>
      <c r="M13259" s="9" t="s">
        <v>19</v>
      </c>
      <c r="N13259" s="9" t="s">
        <v>20</v>
      </c>
      <c r="O13259" s="6" t="str">
        <f>HYPERLINK("https://pbs.twimg.com/profile_images/962471262747529216/Uo8lOkRJ_normal.jpg","View")</f>
        <v>View</v>
      </c>
      <c r="P13259" s="7"/>
    </row>
    <row r="13260" spans="1:16">
      <c r="A13260" s="3">
        <v>44219.723113425927</v>
      </c>
      <c r="B13260" s="4" t="str">
        <f>HYPERLINK("https://twitter.com/petrogustavo","@petrogustavo")</f>
        <v>@petrogustavo</v>
      </c>
      <c r="C13260" s="5" t="s">
        <v>16</v>
      </c>
      <c r="D13260" s="5" t="s">
        <v>12758</v>
      </c>
      <c r="E13260" s="6" t="str">
        <f>HYPERLINK("https://twitter.com/petrogustavo/status/1352947005543297024","1352947005543297024")</f>
        <v>1352947005543297024</v>
      </c>
      <c r="F13260" s="7" t="s">
        <v>17</v>
      </c>
      <c r="G13260" s="7">
        <v>4045985</v>
      </c>
      <c r="H13260" s="7">
        <v>2482</v>
      </c>
      <c r="I13260" s="7">
        <v>2316</v>
      </c>
      <c r="J13260" s="7">
        <v>0</v>
      </c>
      <c r="K13260" s="7" t="s">
        <v>18</v>
      </c>
      <c r="L13260" s="8">
        <v>39987.315405092595</v>
      </c>
      <c r="M13260" s="9" t="s">
        <v>19</v>
      </c>
      <c r="N13260" s="9" t="s">
        <v>20</v>
      </c>
      <c r="O13260" s="6" t="str">
        <f>HYPERLINK("https://pbs.twimg.com/profile_images/962471262747529216/Uo8lOkRJ_normal.jpg","View")</f>
        <v>View</v>
      </c>
      <c r="P13260" s="7"/>
    </row>
    <row r="13261" spans="1:16">
      <c r="A13261" s="3">
        <v>44219.728773148148</v>
      </c>
      <c r="B13261" s="4" t="str">
        <f>HYPERLINK("https://twitter.com/petrogustavo","@petrogustavo")</f>
        <v>@petrogustavo</v>
      </c>
      <c r="C13261" s="5" t="s">
        <v>16</v>
      </c>
      <c r="D13261" s="5" t="s">
        <v>12759</v>
      </c>
      <c r="E13261" s="6" t="str">
        <f>HYPERLINK("https://twitter.com/petrogustavo/status/1352949059292712961","1352949059292712961")</f>
        <v>1352949059292712961</v>
      </c>
      <c r="F13261" s="7" t="s">
        <v>17</v>
      </c>
      <c r="G13261" s="7">
        <v>4045985</v>
      </c>
      <c r="H13261" s="7">
        <v>2482</v>
      </c>
      <c r="I13261" s="7">
        <v>17</v>
      </c>
      <c r="J13261" s="7">
        <v>40</v>
      </c>
      <c r="K13261" s="7" t="s">
        <v>18</v>
      </c>
      <c r="L13261" s="8">
        <v>39987.315405092595</v>
      </c>
      <c r="M13261" s="9" t="s">
        <v>19</v>
      </c>
      <c r="N13261" s="9" t="s">
        <v>20</v>
      </c>
      <c r="O13261" s="6" t="str">
        <f>HYPERLINK("https://pbs.twimg.com/profile_images/962471262747529216/Uo8lOkRJ_normal.jpg","View")</f>
        <v>View</v>
      </c>
      <c r="P13261" s="7"/>
    </row>
    <row r="13262" spans="1:16">
      <c r="A13262" s="3">
        <v>44219.733043981483</v>
      </c>
      <c r="B13262" s="4" t="str">
        <f>HYPERLINK("https://twitter.com/petrogustavo","@petrogustavo")</f>
        <v>@petrogustavo</v>
      </c>
      <c r="C13262" s="5" t="s">
        <v>16</v>
      </c>
      <c r="D13262" s="5" t="s">
        <v>12760</v>
      </c>
      <c r="E13262" s="6" t="str">
        <f>HYPERLINK("https://twitter.com/petrogustavo/status/1352950603354398720","1352950603354398720")</f>
        <v>1352950603354398720</v>
      </c>
      <c r="F13262" s="7" t="s">
        <v>17</v>
      </c>
      <c r="G13262" s="7">
        <v>4046004</v>
      </c>
      <c r="H13262" s="7">
        <v>2482</v>
      </c>
      <c r="I13262" s="7">
        <v>189</v>
      </c>
      <c r="J13262" s="7">
        <v>438</v>
      </c>
      <c r="K13262" s="7" t="s">
        <v>18</v>
      </c>
      <c r="L13262" s="8">
        <v>39987.315405092595</v>
      </c>
      <c r="M13262" s="9" t="s">
        <v>19</v>
      </c>
      <c r="N13262" s="9" t="s">
        <v>20</v>
      </c>
      <c r="O13262" s="6" t="str">
        <f>HYPERLINK("https://pbs.twimg.com/profile_images/962471262747529216/Uo8lOkRJ_normal.jpg","View")</f>
        <v>View</v>
      </c>
      <c r="P13262" s="7"/>
    </row>
    <row r="13263" spans="1:16">
      <c r="A13263" s="3">
        <v>44219.790254629625</v>
      </c>
      <c r="B13263" s="4" t="str">
        <f>HYPERLINK("https://twitter.com/petrogustavo","@petrogustavo")</f>
        <v>@petrogustavo</v>
      </c>
      <c r="C13263" s="5" t="s">
        <v>16</v>
      </c>
      <c r="D13263" s="5" t="s">
        <v>12761</v>
      </c>
      <c r="E13263" s="6" t="str">
        <f>HYPERLINK("https://twitter.com/petrogustavo/status/1352971336310775809","1352971336310775809")</f>
        <v>1352971336310775809</v>
      </c>
      <c r="F13263" s="7" t="s">
        <v>17</v>
      </c>
      <c r="G13263" s="7">
        <v>4046047</v>
      </c>
      <c r="H13263" s="7">
        <v>2482</v>
      </c>
      <c r="I13263" s="7">
        <v>185</v>
      </c>
      <c r="J13263" s="7">
        <v>452</v>
      </c>
      <c r="K13263" s="7" t="s">
        <v>18</v>
      </c>
      <c r="L13263" s="8">
        <v>39987.315405092595</v>
      </c>
      <c r="M13263" s="9" t="s">
        <v>19</v>
      </c>
      <c r="N13263" s="9" t="s">
        <v>20</v>
      </c>
      <c r="O13263" s="6" t="str">
        <f>HYPERLINK("https://pbs.twimg.com/profile_images/962471262747529216/Uo8lOkRJ_normal.jpg","View")</f>
        <v>View</v>
      </c>
      <c r="P13263" s="7"/>
    </row>
    <row r="13264" spans="1:16">
      <c r="A13264" s="3">
        <v>44219.927824074075</v>
      </c>
      <c r="B13264" s="4" t="str">
        <f>HYPERLINK("https://twitter.com/petrogustavo","@petrogustavo")</f>
        <v>@petrogustavo</v>
      </c>
      <c r="C13264" s="5" t="s">
        <v>16</v>
      </c>
      <c r="D13264" s="5" t="s">
        <v>12762</v>
      </c>
      <c r="E13264" s="6" t="str">
        <f>HYPERLINK("https://twitter.com/petrogustavo/status/1353021190063984645","1353021190063984645")</f>
        <v>1353021190063984645</v>
      </c>
      <c r="F13264" s="7" t="s">
        <v>17</v>
      </c>
      <c r="G13264" s="7">
        <v>4046181</v>
      </c>
      <c r="H13264" s="7">
        <v>2482</v>
      </c>
      <c r="I13264" s="7">
        <v>336</v>
      </c>
      <c r="J13264" s="7">
        <v>0</v>
      </c>
      <c r="K13264" s="7" t="s">
        <v>18</v>
      </c>
      <c r="L13264" s="8">
        <v>39987.315405092595</v>
      </c>
      <c r="M13264" s="9" t="s">
        <v>19</v>
      </c>
      <c r="N13264" s="9" t="s">
        <v>20</v>
      </c>
      <c r="O13264" s="6" t="str">
        <f>HYPERLINK("https://pbs.twimg.com/profile_images/962471262747529216/Uo8lOkRJ_normal.jpg","View")</f>
        <v>View</v>
      </c>
      <c r="P13264" s="7"/>
    </row>
    <row r="13265" spans="1:16">
      <c r="A13265" s="3">
        <v>44220.142708333333</v>
      </c>
      <c r="B13265" s="4" t="str">
        <f>HYPERLINK("https://twitter.com/petrogustavo","@petrogustavo")</f>
        <v>@petrogustavo</v>
      </c>
      <c r="C13265" s="5" t="s">
        <v>16</v>
      </c>
      <c r="D13265" s="5" t="s">
        <v>12763</v>
      </c>
      <c r="E13265" s="6" t="str">
        <f>HYPERLINK("https://twitter.com/petrogustavo/status/1353099064452280325","1353099064452280325")</f>
        <v>1353099064452280325</v>
      </c>
      <c r="F13265" s="7" t="s">
        <v>17</v>
      </c>
      <c r="G13265" s="7">
        <v>4046378</v>
      </c>
      <c r="H13265" s="7">
        <v>2482</v>
      </c>
      <c r="I13265" s="7">
        <v>6576</v>
      </c>
      <c r="J13265" s="7">
        <v>0</v>
      </c>
      <c r="K13265" s="7" t="s">
        <v>18</v>
      </c>
      <c r="L13265" s="8">
        <v>39987.315405092595</v>
      </c>
      <c r="M13265" s="9" t="s">
        <v>19</v>
      </c>
      <c r="N13265" s="9" t="s">
        <v>20</v>
      </c>
      <c r="O13265" s="6" t="str">
        <f>HYPERLINK("https://pbs.twimg.com/profile_images/962471262747529216/Uo8lOkRJ_normal.jpg","View")</f>
        <v>View</v>
      </c>
      <c r="P13265" s="7"/>
    </row>
    <row r="13266" spans="1:16">
      <c r="A13266" s="3">
        <v>44220.158935185187</v>
      </c>
      <c r="B13266" s="4" t="str">
        <f>HYPERLINK("https://twitter.com/petrogustavo","@petrogustavo")</f>
        <v>@petrogustavo</v>
      </c>
      <c r="C13266" s="5" t="s">
        <v>16</v>
      </c>
      <c r="D13266" s="5" t="s">
        <v>12764</v>
      </c>
      <c r="E13266" s="6" t="str">
        <f>HYPERLINK("https://twitter.com/petrogustavo/status/1353104944207966210","1353104944207966210")</f>
        <v>1353104944207966210</v>
      </c>
      <c r="F13266" s="7" t="s">
        <v>17</v>
      </c>
      <c r="G13266" s="7">
        <v>4046394</v>
      </c>
      <c r="H13266" s="7">
        <v>2482</v>
      </c>
      <c r="I13266" s="7">
        <v>78</v>
      </c>
      <c r="J13266" s="7">
        <v>184</v>
      </c>
      <c r="K13266" s="7" t="s">
        <v>18</v>
      </c>
      <c r="L13266" s="8">
        <v>39987.315405092595</v>
      </c>
      <c r="M13266" s="9" t="s">
        <v>19</v>
      </c>
      <c r="N13266" s="9" t="s">
        <v>20</v>
      </c>
      <c r="O13266" s="6" t="str">
        <f>HYPERLINK("https://pbs.twimg.com/profile_images/962471262747529216/Uo8lOkRJ_normal.jpg","View")</f>
        <v>View</v>
      </c>
      <c r="P13266" s="7"/>
    </row>
    <row r="13267" spans="1:16">
      <c r="A13267" s="3">
        <v>44220.16134259259</v>
      </c>
      <c r="B13267" s="4" t="str">
        <f>HYPERLINK("https://twitter.com/petrogustavo","@petrogustavo")</f>
        <v>@petrogustavo</v>
      </c>
      <c r="C13267" s="5" t="s">
        <v>16</v>
      </c>
      <c r="D13267" s="5" t="s">
        <v>12765</v>
      </c>
      <c r="E13267" s="6" t="str">
        <f>HYPERLINK("https://twitter.com/petrogustavo/status/1353105815390072834","1353105815390072834")</f>
        <v>1353105815390072834</v>
      </c>
      <c r="F13267" s="7" t="s">
        <v>17</v>
      </c>
      <c r="G13267" s="7">
        <v>4046394</v>
      </c>
      <c r="H13267" s="7">
        <v>2482</v>
      </c>
      <c r="I13267" s="7">
        <v>80</v>
      </c>
      <c r="J13267" s="7">
        <v>183</v>
      </c>
      <c r="K13267" s="7" t="s">
        <v>18</v>
      </c>
      <c r="L13267" s="8">
        <v>39987.315405092595</v>
      </c>
      <c r="M13267" s="9" t="s">
        <v>19</v>
      </c>
      <c r="N13267" s="9" t="s">
        <v>20</v>
      </c>
      <c r="O13267" s="6" t="str">
        <f>HYPERLINK("https://pbs.twimg.com/profile_images/962471262747529216/Uo8lOkRJ_normal.jpg","View")</f>
        <v>View</v>
      </c>
      <c r="P13267" s="7"/>
    </row>
    <row r="13268" spans="1:16">
      <c r="A13268" s="3">
        <v>44220.166874999995</v>
      </c>
      <c r="B13268" s="4" t="str">
        <f>HYPERLINK("https://twitter.com/petrogustavo","@petrogustavo")</f>
        <v>@petrogustavo</v>
      </c>
      <c r="C13268" s="5" t="s">
        <v>16</v>
      </c>
      <c r="D13268" s="5" t="s">
        <v>12766</v>
      </c>
      <c r="E13268" s="6" t="str">
        <f>HYPERLINK("https://twitter.com/petrogustavo/status/1353107821617930246","1353107821617930246")</f>
        <v>1353107821617930246</v>
      </c>
      <c r="F13268" s="7" t="s">
        <v>17</v>
      </c>
      <c r="G13268" s="7">
        <v>4046394</v>
      </c>
      <c r="H13268" s="7">
        <v>2482</v>
      </c>
      <c r="I13268" s="7">
        <v>21</v>
      </c>
      <c r="J13268" s="7">
        <v>54</v>
      </c>
      <c r="K13268" s="7" t="s">
        <v>18</v>
      </c>
      <c r="L13268" s="8">
        <v>39987.315405092595</v>
      </c>
      <c r="M13268" s="9" t="s">
        <v>19</v>
      </c>
      <c r="N13268" s="9" t="s">
        <v>20</v>
      </c>
      <c r="O13268" s="6" t="str">
        <f>HYPERLINK("https://pbs.twimg.com/profile_images/962471262747529216/Uo8lOkRJ_normal.jpg","View")</f>
        <v>View</v>
      </c>
      <c r="P13268" s="7"/>
    </row>
    <row r="13269" spans="1:16">
      <c r="A13269" s="3">
        <v>44220.18346064815</v>
      </c>
      <c r="B13269" s="4" t="str">
        <f>HYPERLINK("https://twitter.com/petrogustavo","@petrogustavo")</f>
        <v>@petrogustavo</v>
      </c>
      <c r="C13269" s="5" t="s">
        <v>16</v>
      </c>
      <c r="D13269" s="5" t="s">
        <v>12767</v>
      </c>
      <c r="E13269" s="6" t="str">
        <f>HYPERLINK("https://twitter.com/petrogustavo/status/1353113828712718338","1353113828712718338")</f>
        <v>1353113828712718338</v>
      </c>
      <c r="F13269" s="7" t="s">
        <v>17</v>
      </c>
      <c r="G13269" s="7">
        <v>4046417</v>
      </c>
      <c r="H13269" s="7">
        <v>2481</v>
      </c>
      <c r="I13269" s="7">
        <v>632</v>
      </c>
      <c r="J13269" s="7">
        <v>0</v>
      </c>
      <c r="K13269" s="7" t="s">
        <v>18</v>
      </c>
      <c r="L13269" s="8">
        <v>39987.315405092595</v>
      </c>
      <c r="M13269" s="9" t="s">
        <v>19</v>
      </c>
      <c r="N13269" s="9" t="s">
        <v>20</v>
      </c>
      <c r="O13269" s="6" t="str">
        <f>HYPERLINK("https://pbs.twimg.com/profile_images/962471262747529216/Uo8lOkRJ_normal.jpg","View")</f>
        <v>View</v>
      </c>
      <c r="P13269" s="7"/>
    </row>
    <row r="13270" spans="1:16">
      <c r="A13270" s="3">
        <v>44220.183738425927</v>
      </c>
      <c r="B13270" s="4" t="str">
        <f>HYPERLINK("https://twitter.com/petrogustavo","@petrogustavo")</f>
        <v>@petrogustavo</v>
      </c>
      <c r="C13270" s="5" t="s">
        <v>16</v>
      </c>
      <c r="D13270" s="5" t="s">
        <v>12768</v>
      </c>
      <c r="E13270" s="6" t="str">
        <f>HYPERLINK("https://twitter.com/petrogustavo/status/1353113931846459394","1353113931846459394")</f>
        <v>1353113931846459394</v>
      </c>
      <c r="F13270" s="7" t="s">
        <v>17</v>
      </c>
      <c r="G13270" s="7">
        <v>4046417</v>
      </c>
      <c r="H13270" s="7">
        <v>2481</v>
      </c>
      <c r="I13270" s="7">
        <v>1498</v>
      </c>
      <c r="J13270" s="7">
        <v>0</v>
      </c>
      <c r="K13270" s="7" t="s">
        <v>18</v>
      </c>
      <c r="L13270" s="8">
        <v>39987.315405092595</v>
      </c>
      <c r="M13270" s="9" t="s">
        <v>19</v>
      </c>
      <c r="N13270" s="9" t="s">
        <v>20</v>
      </c>
      <c r="O13270" s="6" t="str">
        <f>HYPERLINK("https://pbs.twimg.com/profile_images/962471262747529216/Uo8lOkRJ_normal.jpg","View")</f>
        <v>View</v>
      </c>
      <c r="P13270" s="7"/>
    </row>
    <row r="13271" spans="1:16">
      <c r="A13271" s="3">
        <v>44220.186851851853</v>
      </c>
      <c r="B13271" s="4" t="str">
        <f>HYPERLINK("https://twitter.com/petrogustavo","@petrogustavo")</f>
        <v>@petrogustavo</v>
      </c>
      <c r="C13271" s="5" t="s">
        <v>16</v>
      </c>
      <c r="D13271" s="5" t="s">
        <v>12769</v>
      </c>
      <c r="E13271" s="6" t="str">
        <f>HYPERLINK("https://twitter.com/petrogustavo/status/1353115058436452357","1353115058436452357")</f>
        <v>1353115058436452357</v>
      </c>
      <c r="F13271" s="7" t="s">
        <v>17</v>
      </c>
      <c r="G13271" s="7">
        <v>4046417</v>
      </c>
      <c r="H13271" s="7">
        <v>2481</v>
      </c>
      <c r="I13271" s="7">
        <v>3</v>
      </c>
      <c r="J13271" s="7">
        <v>0</v>
      </c>
      <c r="K13271" s="7" t="s">
        <v>18</v>
      </c>
      <c r="L13271" s="8">
        <v>39987.315405092595</v>
      </c>
      <c r="M13271" s="9" t="s">
        <v>19</v>
      </c>
      <c r="N13271" s="9" t="s">
        <v>20</v>
      </c>
      <c r="O13271" s="6" t="str">
        <f>HYPERLINK("https://pbs.twimg.com/profile_images/962471262747529216/Uo8lOkRJ_normal.jpg","View")</f>
        <v>View</v>
      </c>
      <c r="P13271" s="7"/>
    </row>
    <row r="13272" spans="1:16">
      <c r="A13272" s="3">
        <v>44220.194212962961</v>
      </c>
      <c r="B13272" s="4" t="str">
        <f>HYPERLINK("https://twitter.com/petrogustavo","@petrogustavo")</f>
        <v>@petrogustavo</v>
      </c>
      <c r="C13272" s="5" t="s">
        <v>16</v>
      </c>
      <c r="D13272" s="5" t="s">
        <v>12770</v>
      </c>
      <c r="E13272" s="6" t="str">
        <f>HYPERLINK("https://twitter.com/petrogustavo/status/1353117726823374852","1353117726823374852")</f>
        <v>1353117726823374852</v>
      </c>
      <c r="F13272" s="7" t="s">
        <v>17</v>
      </c>
      <c r="G13272" s="7">
        <v>4046441</v>
      </c>
      <c r="H13272" s="7">
        <v>2481</v>
      </c>
      <c r="I13272" s="7">
        <v>72</v>
      </c>
      <c r="J13272" s="7">
        <v>0</v>
      </c>
      <c r="K13272" s="7" t="s">
        <v>18</v>
      </c>
      <c r="L13272" s="8">
        <v>39987.315405092595</v>
      </c>
      <c r="M13272" s="9" t="s">
        <v>19</v>
      </c>
      <c r="N13272" s="9" t="s">
        <v>20</v>
      </c>
      <c r="O13272" s="6" t="str">
        <f>HYPERLINK("https://pbs.twimg.com/profile_images/962471262747529216/Uo8lOkRJ_normal.jpg","View")</f>
        <v>View</v>
      </c>
      <c r="P13272" s="7"/>
    </row>
    <row r="13273" spans="1:16">
      <c r="A13273" s="3">
        <v>44220.693078703705</v>
      </c>
      <c r="B13273" s="4" t="str">
        <f>HYPERLINK("https://twitter.com/petrogustavo","@petrogustavo")</f>
        <v>@petrogustavo</v>
      </c>
      <c r="C13273" s="5" t="s">
        <v>16</v>
      </c>
      <c r="D13273" s="5" t="s">
        <v>12771</v>
      </c>
      <c r="E13273" s="6" t="str">
        <f>HYPERLINK("https://twitter.com/petrogustavo/status/1353298508066000896","1353298508066000896")</f>
        <v>1353298508066000896</v>
      </c>
      <c r="F13273" s="7" t="s">
        <v>17</v>
      </c>
      <c r="G13273" s="7">
        <v>4046727</v>
      </c>
      <c r="H13273" s="7">
        <v>2482</v>
      </c>
      <c r="I13273" s="7">
        <v>949</v>
      </c>
      <c r="J13273" s="7">
        <v>0</v>
      </c>
      <c r="K13273" s="7" t="s">
        <v>18</v>
      </c>
      <c r="L13273" s="8">
        <v>39987.315405092595</v>
      </c>
      <c r="M13273" s="9" t="s">
        <v>19</v>
      </c>
      <c r="N13273" s="9" t="s">
        <v>20</v>
      </c>
      <c r="O13273" s="6" t="str">
        <f>HYPERLINK("https://pbs.twimg.com/profile_images/962471262747529216/Uo8lOkRJ_normal.jpg","View")</f>
        <v>View</v>
      </c>
      <c r="P13273" s="7"/>
    </row>
    <row r="13274" spans="1:16">
      <c r="A13274" s="3">
        <v>44220.694502314815</v>
      </c>
      <c r="B13274" s="4" t="str">
        <f>HYPERLINK("https://twitter.com/petrogustavo","@petrogustavo")</f>
        <v>@petrogustavo</v>
      </c>
      <c r="C13274" s="5" t="s">
        <v>16</v>
      </c>
      <c r="D13274" s="5" t="s">
        <v>12772</v>
      </c>
      <c r="E13274" s="6" t="str">
        <f>HYPERLINK("https://twitter.com/petrogustavo/status/1353299026150629377","1353299026150629377")</f>
        <v>1353299026150629377</v>
      </c>
      <c r="F13274" s="7" t="s">
        <v>17</v>
      </c>
      <c r="G13274" s="7">
        <v>4046727</v>
      </c>
      <c r="H13274" s="7">
        <v>2482</v>
      </c>
      <c r="I13274" s="7">
        <v>71</v>
      </c>
      <c r="J13274" s="7">
        <v>176</v>
      </c>
      <c r="K13274" s="7" t="s">
        <v>18</v>
      </c>
      <c r="L13274" s="8">
        <v>39987.315405092595</v>
      </c>
      <c r="M13274" s="9" t="s">
        <v>19</v>
      </c>
      <c r="N13274" s="9" t="s">
        <v>20</v>
      </c>
      <c r="O13274" s="6" t="str">
        <f>HYPERLINK("https://pbs.twimg.com/profile_images/962471262747529216/Uo8lOkRJ_normal.jpg","View")</f>
        <v>View</v>
      </c>
      <c r="P13274" s="7"/>
    </row>
    <row r="13275" spans="1:16">
      <c r="A13275" s="3">
        <v>44220.999027777776</v>
      </c>
      <c r="B13275" s="4" t="str">
        <f>HYPERLINK("https://twitter.com/petrogustavo","@petrogustavo")</f>
        <v>@petrogustavo</v>
      </c>
      <c r="C13275" s="5" t="s">
        <v>16</v>
      </c>
      <c r="D13275" s="5" t="s">
        <v>12773</v>
      </c>
      <c r="E13275" s="6" t="str">
        <f>HYPERLINK("https://twitter.com/petrogustavo/status/1353409382176976896","1353409382176976896")</f>
        <v>1353409382176976896</v>
      </c>
      <c r="F13275" s="7" t="s">
        <v>17</v>
      </c>
      <c r="G13275" s="7">
        <v>4046962</v>
      </c>
      <c r="H13275" s="7">
        <v>2482</v>
      </c>
      <c r="I13275" s="7">
        <v>97</v>
      </c>
      <c r="J13275" s="7">
        <v>316</v>
      </c>
      <c r="K13275" s="7" t="s">
        <v>18</v>
      </c>
      <c r="L13275" s="8">
        <v>39987.315405092595</v>
      </c>
      <c r="M13275" s="9" t="s">
        <v>19</v>
      </c>
      <c r="N13275" s="9" t="s">
        <v>20</v>
      </c>
      <c r="O13275" s="6" t="str">
        <f>HYPERLINK("https://pbs.twimg.com/profile_images/962471262747529216/Uo8lOkRJ_normal.jpg","View")</f>
        <v>View</v>
      </c>
      <c r="P13275" s="7"/>
    </row>
    <row r="13276" spans="1:16">
      <c r="A13276" s="3">
        <v>44221.003148148149</v>
      </c>
      <c r="B13276" s="4" t="str">
        <f>HYPERLINK("https://twitter.com/petrogustavo","@petrogustavo")</f>
        <v>@petrogustavo</v>
      </c>
      <c r="C13276" s="5" t="s">
        <v>16</v>
      </c>
      <c r="D13276" s="5" t="s">
        <v>12774</v>
      </c>
      <c r="E13276" s="6" t="str">
        <f>HYPERLINK("https://twitter.com/petrogustavo/status/1353410873910550530","1353410873910550530")</f>
        <v>1353410873910550530</v>
      </c>
      <c r="F13276" s="7" t="s">
        <v>17</v>
      </c>
      <c r="G13276" s="7">
        <v>4046962</v>
      </c>
      <c r="H13276" s="7">
        <v>2482</v>
      </c>
      <c r="I13276" s="7">
        <v>60</v>
      </c>
      <c r="J13276" s="7">
        <v>162</v>
      </c>
      <c r="K13276" s="7" t="s">
        <v>18</v>
      </c>
      <c r="L13276" s="8">
        <v>39987.315405092595</v>
      </c>
      <c r="M13276" s="9" t="s">
        <v>19</v>
      </c>
      <c r="N13276" s="9" t="s">
        <v>20</v>
      </c>
      <c r="O13276" s="6" t="str">
        <f>HYPERLINK("https://pbs.twimg.com/profile_images/962471262747529216/Uo8lOkRJ_normal.jpg","View")</f>
        <v>View</v>
      </c>
      <c r="P13276" s="7"/>
    </row>
    <row r="13277" spans="1:16">
      <c r="A13277" s="3">
        <v>44221.011400462958</v>
      </c>
      <c r="B13277" s="4" t="str">
        <f>HYPERLINK("https://twitter.com/petrogustavo","@petrogustavo")</f>
        <v>@petrogustavo</v>
      </c>
      <c r="C13277" s="5" t="s">
        <v>16</v>
      </c>
      <c r="D13277" s="5" t="s">
        <v>12775</v>
      </c>
      <c r="E13277" s="6" t="str">
        <f>HYPERLINK("https://twitter.com/petrogustavo/status/1353413863912267781","1353413863912267781")</f>
        <v>1353413863912267781</v>
      </c>
      <c r="F13277" s="7" t="s">
        <v>17</v>
      </c>
      <c r="G13277" s="7">
        <v>4046962</v>
      </c>
      <c r="H13277" s="7">
        <v>2482</v>
      </c>
      <c r="I13277" s="7">
        <v>489</v>
      </c>
      <c r="J13277" s="7">
        <v>0</v>
      </c>
      <c r="K13277" s="7" t="s">
        <v>18</v>
      </c>
      <c r="L13277" s="8">
        <v>39987.315405092595</v>
      </c>
      <c r="M13277" s="9" t="s">
        <v>19</v>
      </c>
      <c r="N13277" s="9" t="s">
        <v>20</v>
      </c>
      <c r="O13277" s="6" t="str">
        <f>HYPERLINK("https://pbs.twimg.com/profile_images/962471262747529216/Uo8lOkRJ_normal.jpg","View")</f>
        <v>View</v>
      </c>
      <c r="P13277" s="7"/>
    </row>
    <row r="13278" spans="1:16">
      <c r="A13278" s="3">
        <v>44221.013229166667</v>
      </c>
      <c r="B13278" s="4" t="str">
        <f>HYPERLINK("https://twitter.com/petrogustavo","@petrogustavo")</f>
        <v>@petrogustavo</v>
      </c>
      <c r="C13278" s="5" t="s">
        <v>16</v>
      </c>
      <c r="D13278" s="5" t="s">
        <v>12776</v>
      </c>
      <c r="E13278" s="6" t="str">
        <f>HYPERLINK("https://twitter.com/petrogustavo/status/1353414526683783168","1353414526683783168")</f>
        <v>1353414526683783168</v>
      </c>
      <c r="F13278" s="7" t="s">
        <v>17</v>
      </c>
      <c r="G13278" s="7">
        <v>4046982</v>
      </c>
      <c r="H13278" s="7">
        <v>2482</v>
      </c>
      <c r="I13278" s="7">
        <v>415</v>
      </c>
      <c r="J13278" s="7">
        <v>1302</v>
      </c>
      <c r="K13278" s="7" t="s">
        <v>18</v>
      </c>
      <c r="L13278" s="8">
        <v>39987.315405092595</v>
      </c>
      <c r="M13278" s="9" t="s">
        <v>19</v>
      </c>
      <c r="N13278" s="9" t="s">
        <v>20</v>
      </c>
      <c r="O13278" s="6" t="str">
        <f>HYPERLINK("https://pbs.twimg.com/profile_images/962471262747529216/Uo8lOkRJ_normal.jpg","View")</f>
        <v>View</v>
      </c>
      <c r="P13278" s="7"/>
    </row>
    <row r="13279" spans="1:16">
      <c r="A13279" s="3">
        <v>44221.033807870372</v>
      </c>
      <c r="B13279" s="4" t="str">
        <f>HYPERLINK("https://twitter.com/petrogustavo","@petrogustavo")</f>
        <v>@petrogustavo</v>
      </c>
      <c r="C13279" s="5" t="s">
        <v>16</v>
      </c>
      <c r="D13279" s="5" t="s">
        <v>12777</v>
      </c>
      <c r="E13279" s="6" t="str">
        <f>HYPERLINK("https://twitter.com/petrogustavo/status/1353421985108406272","1353421985108406272")</f>
        <v>1353421985108406272</v>
      </c>
      <c r="F13279" s="7" t="s">
        <v>17</v>
      </c>
      <c r="G13279" s="7">
        <v>4046999</v>
      </c>
      <c r="H13279" s="7">
        <v>2482</v>
      </c>
      <c r="I13279" s="7">
        <v>107</v>
      </c>
      <c r="J13279" s="7">
        <v>246</v>
      </c>
      <c r="K13279" s="7" t="s">
        <v>18</v>
      </c>
      <c r="L13279" s="8">
        <v>39987.315405092595</v>
      </c>
      <c r="M13279" s="9" t="s">
        <v>19</v>
      </c>
      <c r="N13279" s="9" t="s">
        <v>20</v>
      </c>
      <c r="O13279" s="6" t="str">
        <f>HYPERLINK("https://pbs.twimg.com/profile_images/962471262747529216/Uo8lOkRJ_normal.jpg","View")</f>
        <v>View</v>
      </c>
      <c r="P13279" s="7"/>
    </row>
    <row r="13280" spans="1:16">
      <c r="A13280" s="3">
        <v>44221.033831018518</v>
      </c>
      <c r="B13280" s="4" t="str">
        <f>HYPERLINK("https://twitter.com/petrogustavo","@petrogustavo")</f>
        <v>@petrogustavo</v>
      </c>
      <c r="C13280" s="5" t="s">
        <v>16</v>
      </c>
      <c r="D13280" s="5" t="s">
        <v>12778</v>
      </c>
      <c r="E13280" s="6" t="str">
        <f>HYPERLINK("https://twitter.com/petrogustavo/status/1353421995837415428","1353421995837415428")</f>
        <v>1353421995837415428</v>
      </c>
      <c r="F13280" s="7" t="s">
        <v>17</v>
      </c>
      <c r="G13280" s="7">
        <v>4046999</v>
      </c>
      <c r="H13280" s="7">
        <v>2482</v>
      </c>
      <c r="I13280" s="7">
        <v>33</v>
      </c>
      <c r="J13280" s="7">
        <v>83</v>
      </c>
      <c r="K13280" s="7" t="s">
        <v>18</v>
      </c>
      <c r="L13280" s="8">
        <v>39987.315405092595</v>
      </c>
      <c r="M13280" s="9" t="s">
        <v>19</v>
      </c>
      <c r="N13280" s="9" t="s">
        <v>20</v>
      </c>
      <c r="O13280" s="6" t="str">
        <f>HYPERLINK("https://pbs.twimg.com/profile_images/962471262747529216/Uo8lOkRJ_normal.jpg","View")</f>
        <v>View</v>
      </c>
      <c r="P13280" s="7"/>
    </row>
    <row r="13281" spans="1:16">
      <c r="A13281" s="3">
        <v>44221.033877314811</v>
      </c>
      <c r="B13281" s="4" t="str">
        <f>HYPERLINK("https://twitter.com/petrogustavo","@petrogustavo")</f>
        <v>@petrogustavo</v>
      </c>
      <c r="C13281" s="5" t="s">
        <v>16</v>
      </c>
      <c r="D13281" s="5" t="s">
        <v>12779</v>
      </c>
      <c r="E13281" s="6" t="str">
        <f>HYPERLINK("https://twitter.com/petrogustavo/status/1353422011696099328","1353422011696099328")</f>
        <v>1353422011696099328</v>
      </c>
      <c r="F13281" s="7" t="s">
        <v>17</v>
      </c>
      <c r="G13281" s="7">
        <v>4046999</v>
      </c>
      <c r="H13281" s="7">
        <v>2482</v>
      </c>
      <c r="I13281" s="7">
        <v>33</v>
      </c>
      <c r="J13281" s="7">
        <v>91</v>
      </c>
      <c r="K13281" s="7" t="s">
        <v>18</v>
      </c>
      <c r="L13281" s="8">
        <v>39987.315405092595</v>
      </c>
      <c r="M13281" s="9" t="s">
        <v>19</v>
      </c>
      <c r="N13281" s="9" t="s">
        <v>20</v>
      </c>
      <c r="O13281" s="6" t="str">
        <f>HYPERLINK("https://pbs.twimg.com/profile_images/962471262747529216/Uo8lOkRJ_normal.jpg","View")</f>
        <v>View</v>
      </c>
      <c r="P13281" s="7"/>
    </row>
    <row r="13282" spans="1:16">
      <c r="A13282" s="3">
        <v>44221.03392361111</v>
      </c>
      <c r="B13282" s="4" t="str">
        <f>HYPERLINK("https://twitter.com/petrogustavo","@petrogustavo")</f>
        <v>@petrogustavo</v>
      </c>
      <c r="C13282" s="5" t="s">
        <v>16</v>
      </c>
      <c r="D13282" s="5" t="s">
        <v>12780</v>
      </c>
      <c r="E13282" s="6" t="str">
        <f>HYPERLINK("https://twitter.com/petrogustavo/status/1353422027642826753","1353422027642826753")</f>
        <v>1353422027642826753</v>
      </c>
      <c r="F13282" s="7" t="s">
        <v>17</v>
      </c>
      <c r="G13282" s="7">
        <v>4046999</v>
      </c>
      <c r="H13282" s="7">
        <v>2482</v>
      </c>
      <c r="I13282" s="7">
        <v>51</v>
      </c>
      <c r="J13282" s="7">
        <v>131</v>
      </c>
      <c r="K13282" s="7" t="s">
        <v>18</v>
      </c>
      <c r="L13282" s="8">
        <v>39987.315405092595</v>
      </c>
      <c r="M13282" s="9" t="s">
        <v>19</v>
      </c>
      <c r="N13282" s="9" t="s">
        <v>20</v>
      </c>
      <c r="O13282" s="6" t="str">
        <f>HYPERLINK("https://pbs.twimg.com/profile_images/962471262747529216/Uo8lOkRJ_normal.jpg","View")</f>
        <v>View</v>
      </c>
      <c r="P13282" s="7"/>
    </row>
    <row r="13283" spans="1:16">
      <c r="A13283" s="3">
        <v>44221.033946759257</v>
      </c>
      <c r="B13283" s="4" t="str">
        <f>HYPERLINK("https://twitter.com/petrogustavo","@petrogustavo")</f>
        <v>@petrogustavo</v>
      </c>
      <c r="C13283" s="5" t="s">
        <v>16</v>
      </c>
      <c r="D13283" s="5" t="s">
        <v>12781</v>
      </c>
      <c r="E13283" s="6" t="str">
        <f>HYPERLINK("https://twitter.com/petrogustavo/status/1353422037973422082","1353422037973422082")</f>
        <v>1353422037973422082</v>
      </c>
      <c r="F13283" s="7" t="s">
        <v>17</v>
      </c>
      <c r="G13283" s="7">
        <v>4046999</v>
      </c>
      <c r="H13283" s="7">
        <v>2482</v>
      </c>
      <c r="I13283" s="7">
        <v>52</v>
      </c>
      <c r="J13283" s="7">
        <v>129</v>
      </c>
      <c r="K13283" s="7" t="s">
        <v>18</v>
      </c>
      <c r="L13283" s="8">
        <v>39987.315405092595</v>
      </c>
      <c r="M13283" s="9" t="s">
        <v>19</v>
      </c>
      <c r="N13283" s="9" t="s">
        <v>20</v>
      </c>
      <c r="O13283" s="6" t="str">
        <f>HYPERLINK("https://pbs.twimg.com/profile_images/962471262747529216/Uo8lOkRJ_normal.jpg","View")</f>
        <v>View</v>
      </c>
      <c r="P13283" s="7"/>
    </row>
    <row r="13284" spans="1:16">
      <c r="A13284" s="3">
        <v>44221.668275462958</v>
      </c>
      <c r="B13284" s="4" t="str">
        <f>HYPERLINK("https://twitter.com/petrogustavo","@petrogustavo")</f>
        <v>@petrogustavo</v>
      </c>
      <c r="C13284" s="5" t="s">
        <v>16</v>
      </c>
      <c r="D13284" s="5" t="s">
        <v>12782</v>
      </c>
      <c r="E13284" s="6" t="str">
        <f>HYPERLINK("https://twitter.com/petrogustavo/status/1353651911346561024","1353651911346561024")</f>
        <v>1353651911346561024</v>
      </c>
      <c r="F13284" s="7" t="s">
        <v>17</v>
      </c>
      <c r="G13284" s="7">
        <v>4047485</v>
      </c>
      <c r="H13284" s="7">
        <v>2482</v>
      </c>
      <c r="I13284" s="7">
        <v>204</v>
      </c>
      <c r="J13284" s="7">
        <v>0</v>
      </c>
      <c r="K13284" s="7" t="s">
        <v>18</v>
      </c>
      <c r="L13284" s="8">
        <v>39987.315405092595</v>
      </c>
      <c r="M13284" s="9" t="s">
        <v>19</v>
      </c>
      <c r="N13284" s="9" t="s">
        <v>20</v>
      </c>
      <c r="O13284" s="6" t="str">
        <f>HYPERLINK("https://pbs.twimg.com/profile_images/962471262747529216/Uo8lOkRJ_normal.jpg","View")</f>
        <v>View</v>
      </c>
      <c r="P13284" s="7"/>
    </row>
    <row r="13285" spans="1:16">
      <c r="A13285" s="3">
        <v>44221.669328703705</v>
      </c>
      <c r="B13285" s="4" t="str">
        <f>HYPERLINK("https://twitter.com/petrogustavo","@petrogustavo")</f>
        <v>@petrogustavo</v>
      </c>
      <c r="C13285" s="5" t="s">
        <v>16</v>
      </c>
      <c r="D13285" s="5" t="s">
        <v>12783</v>
      </c>
      <c r="E13285" s="6" t="str">
        <f>HYPERLINK("https://twitter.com/petrogustavo/status/1353652291140771840","1353652291140771840")</f>
        <v>1353652291140771840</v>
      </c>
      <c r="F13285" s="7" t="s">
        <v>17</v>
      </c>
      <c r="G13285" s="7">
        <v>4047485</v>
      </c>
      <c r="H13285" s="7">
        <v>2482</v>
      </c>
      <c r="I13285" s="7">
        <v>14</v>
      </c>
      <c r="J13285" s="7">
        <v>28</v>
      </c>
      <c r="K13285" s="7" t="s">
        <v>18</v>
      </c>
      <c r="L13285" s="8">
        <v>39987.315405092595</v>
      </c>
      <c r="M13285" s="9" t="s">
        <v>19</v>
      </c>
      <c r="N13285" s="9" t="s">
        <v>20</v>
      </c>
      <c r="O13285" s="6" t="str">
        <f>HYPERLINK("https://pbs.twimg.com/profile_images/962471262747529216/Uo8lOkRJ_normal.jpg","View")</f>
        <v>View</v>
      </c>
      <c r="P13285" s="7"/>
    </row>
    <row r="13286" spans="1:16">
      <c r="A13286" s="3">
        <v>44221.669837962967</v>
      </c>
      <c r="B13286" s="4" t="str">
        <f>HYPERLINK("https://twitter.com/petrogustavo","@petrogustavo")</f>
        <v>@petrogustavo</v>
      </c>
      <c r="C13286" s="5" t="s">
        <v>16</v>
      </c>
      <c r="D13286" s="5" t="s">
        <v>12784</v>
      </c>
      <c r="E13286" s="6" t="str">
        <f>HYPERLINK("https://twitter.com/petrogustavo/status/1353652473655947267","1353652473655947267")</f>
        <v>1353652473655947267</v>
      </c>
      <c r="F13286" s="7" t="s">
        <v>17</v>
      </c>
      <c r="G13286" s="7">
        <v>4047485</v>
      </c>
      <c r="H13286" s="7">
        <v>2482</v>
      </c>
      <c r="I13286" s="7">
        <v>65</v>
      </c>
      <c r="J13286" s="7">
        <v>102</v>
      </c>
      <c r="K13286" s="7" t="s">
        <v>18</v>
      </c>
      <c r="L13286" s="8">
        <v>39987.315405092595</v>
      </c>
      <c r="M13286" s="9" t="s">
        <v>19</v>
      </c>
      <c r="N13286" s="9" t="s">
        <v>20</v>
      </c>
      <c r="O13286" s="6" t="str">
        <f>HYPERLINK("https://pbs.twimg.com/profile_images/962471262747529216/Uo8lOkRJ_normal.jpg","View")</f>
        <v>View</v>
      </c>
      <c r="P13286" s="7"/>
    </row>
    <row r="13287" spans="1:16">
      <c r="A13287" s="3">
        <v>44221.670682870375</v>
      </c>
      <c r="B13287" s="4" t="str">
        <f>HYPERLINK("https://twitter.com/petrogustavo","@petrogustavo")</f>
        <v>@petrogustavo</v>
      </c>
      <c r="C13287" s="5" t="s">
        <v>16</v>
      </c>
      <c r="D13287" s="5" t="s">
        <v>12785</v>
      </c>
      <c r="E13287" s="6" t="str">
        <f>HYPERLINK("https://twitter.com/petrogustavo/status/1353652781626875905","1353652781626875905")</f>
        <v>1353652781626875905</v>
      </c>
      <c r="F13287" s="7" t="s">
        <v>17</v>
      </c>
      <c r="G13287" s="7">
        <v>4047485</v>
      </c>
      <c r="H13287" s="7">
        <v>2482</v>
      </c>
      <c r="I13287" s="7">
        <v>40</v>
      </c>
      <c r="J13287" s="7">
        <v>77</v>
      </c>
      <c r="K13287" s="7" t="s">
        <v>18</v>
      </c>
      <c r="L13287" s="8">
        <v>39987.315405092595</v>
      </c>
      <c r="M13287" s="9" t="s">
        <v>19</v>
      </c>
      <c r="N13287" s="9" t="s">
        <v>20</v>
      </c>
      <c r="O13287" s="6" t="str">
        <f>HYPERLINK("https://pbs.twimg.com/profile_images/962471262747529216/Uo8lOkRJ_normal.jpg","View")</f>
        <v>View</v>
      </c>
      <c r="P13287" s="7"/>
    </row>
    <row r="13288" spans="1:16">
      <c r="A13288" s="3">
        <v>44221.670682870375</v>
      </c>
      <c r="B13288" s="4" t="str">
        <f>HYPERLINK("https://twitter.com/petrogustavo","@petrogustavo")</f>
        <v>@petrogustavo</v>
      </c>
      <c r="C13288" s="5" t="s">
        <v>16</v>
      </c>
      <c r="D13288" s="5" t="s">
        <v>12786</v>
      </c>
      <c r="E13288" s="6" t="str">
        <f>HYPERLINK("https://twitter.com/petrogustavo/status/1353652782910345217","1353652782910345217")</f>
        <v>1353652782910345217</v>
      </c>
      <c r="F13288" s="7" t="s">
        <v>17</v>
      </c>
      <c r="G13288" s="7">
        <v>4047485</v>
      </c>
      <c r="H13288" s="7">
        <v>2482</v>
      </c>
      <c r="I13288" s="7">
        <v>28</v>
      </c>
      <c r="J13288" s="7">
        <v>69</v>
      </c>
      <c r="K13288" s="7" t="s">
        <v>18</v>
      </c>
      <c r="L13288" s="8">
        <v>39987.315405092595</v>
      </c>
      <c r="M13288" s="9" t="s">
        <v>19</v>
      </c>
      <c r="N13288" s="9" t="s">
        <v>20</v>
      </c>
      <c r="O13288" s="6" t="str">
        <f>HYPERLINK("https://pbs.twimg.com/profile_images/962471262747529216/Uo8lOkRJ_normal.jpg","View")</f>
        <v>View</v>
      </c>
      <c r="P13288" s="7"/>
    </row>
    <row r="13289" spans="1:16">
      <c r="A13289" s="3">
        <v>44221.736134259263</v>
      </c>
      <c r="B13289" s="4" t="str">
        <f>HYPERLINK("https://twitter.com/petrogustavo","@petrogustavo")</f>
        <v>@petrogustavo</v>
      </c>
      <c r="C13289" s="5" t="s">
        <v>16</v>
      </c>
      <c r="D13289" s="5" t="s">
        <v>12787</v>
      </c>
      <c r="E13289" s="6" t="str">
        <f>HYPERLINK("https://twitter.com/petrogustavo/status/1353676499438759936","1353676499438759936")</f>
        <v>1353676499438759936</v>
      </c>
      <c r="F13289" s="7" t="s">
        <v>17</v>
      </c>
      <c r="G13289" s="7">
        <v>4047520</v>
      </c>
      <c r="H13289" s="7">
        <v>2483</v>
      </c>
      <c r="I13289" s="7">
        <v>49</v>
      </c>
      <c r="J13289" s="7">
        <v>110</v>
      </c>
      <c r="K13289" s="7" t="s">
        <v>18</v>
      </c>
      <c r="L13289" s="8">
        <v>39987.315405092595</v>
      </c>
      <c r="M13289" s="9" t="s">
        <v>19</v>
      </c>
      <c r="N13289" s="9" t="s">
        <v>20</v>
      </c>
      <c r="O13289" s="6" t="str">
        <f>HYPERLINK("https://pbs.twimg.com/profile_images/962471262747529216/Uo8lOkRJ_normal.jpg","View")</f>
        <v>View</v>
      </c>
      <c r="P13289" s="7"/>
    </row>
    <row r="13290" spans="1:16">
      <c r="A13290" s="3">
        <v>44221.736168981486</v>
      </c>
      <c r="B13290" s="4" t="str">
        <f>HYPERLINK("https://twitter.com/petrogustavo","@petrogustavo")</f>
        <v>@petrogustavo</v>
      </c>
      <c r="C13290" s="5" t="s">
        <v>16</v>
      </c>
      <c r="D13290" s="5" t="s">
        <v>12788</v>
      </c>
      <c r="E13290" s="6" t="str">
        <f>HYPERLINK("https://twitter.com/petrogustavo/status/1353676513103798274","1353676513103798274")</f>
        <v>1353676513103798274</v>
      </c>
      <c r="F13290" s="7" t="s">
        <v>17</v>
      </c>
      <c r="G13290" s="7">
        <v>4047520</v>
      </c>
      <c r="H13290" s="7">
        <v>2483</v>
      </c>
      <c r="I13290" s="7">
        <v>22</v>
      </c>
      <c r="J13290" s="7">
        <v>72</v>
      </c>
      <c r="K13290" s="7" t="s">
        <v>18</v>
      </c>
      <c r="L13290" s="8">
        <v>39987.315405092595</v>
      </c>
      <c r="M13290" s="9" t="s">
        <v>19</v>
      </c>
      <c r="N13290" s="9" t="s">
        <v>20</v>
      </c>
      <c r="O13290" s="6" t="str">
        <f>HYPERLINK("https://pbs.twimg.com/profile_images/962471262747529216/Uo8lOkRJ_normal.jpg","View")</f>
        <v>View</v>
      </c>
      <c r="P13290" s="7"/>
    </row>
    <row r="13291" spans="1:16">
      <c r="A13291" s="3">
        <v>44221.736215277779</v>
      </c>
      <c r="B13291" s="4" t="str">
        <f>HYPERLINK("https://twitter.com/petrogustavo","@petrogustavo")</f>
        <v>@petrogustavo</v>
      </c>
      <c r="C13291" s="5" t="s">
        <v>16</v>
      </c>
      <c r="D13291" s="5" t="s">
        <v>12789</v>
      </c>
      <c r="E13291" s="6" t="str">
        <f>HYPERLINK("https://twitter.com/petrogustavo/status/1353676528006135813","1353676528006135813")</f>
        <v>1353676528006135813</v>
      </c>
      <c r="F13291" s="7" t="s">
        <v>17</v>
      </c>
      <c r="G13291" s="7">
        <v>4047520</v>
      </c>
      <c r="H13291" s="7">
        <v>2483</v>
      </c>
      <c r="I13291" s="7">
        <v>19</v>
      </c>
      <c r="J13291" s="7">
        <v>56</v>
      </c>
      <c r="K13291" s="7" t="s">
        <v>18</v>
      </c>
      <c r="L13291" s="8">
        <v>39987.315405092595</v>
      </c>
      <c r="M13291" s="9" t="s">
        <v>19</v>
      </c>
      <c r="N13291" s="9" t="s">
        <v>20</v>
      </c>
      <c r="O13291" s="6" t="str">
        <f>HYPERLINK("https://pbs.twimg.com/profile_images/962471262747529216/Uo8lOkRJ_normal.jpg","View")</f>
        <v>View</v>
      </c>
      <c r="P13291" s="7"/>
    </row>
    <row r="13292" spans="1:16">
      <c r="A13292" s="3">
        <v>44221.739675925928</v>
      </c>
      <c r="B13292" s="4" t="str">
        <f>HYPERLINK("https://twitter.com/petrogustavo","@petrogustavo")</f>
        <v>@petrogustavo</v>
      </c>
      <c r="C13292" s="5" t="s">
        <v>16</v>
      </c>
      <c r="D13292" s="5" t="s">
        <v>12790</v>
      </c>
      <c r="E13292" s="6" t="str">
        <f>HYPERLINK("https://twitter.com/petrogustavo/status/1353677785588498433","1353677785588498433")</f>
        <v>1353677785588498433</v>
      </c>
      <c r="F13292" s="7" t="s">
        <v>17</v>
      </c>
      <c r="G13292" s="7">
        <v>4047520</v>
      </c>
      <c r="H13292" s="7">
        <v>2483</v>
      </c>
      <c r="I13292" s="7">
        <v>271</v>
      </c>
      <c r="J13292" s="7">
        <v>0</v>
      </c>
      <c r="K13292" s="7" t="s">
        <v>18</v>
      </c>
      <c r="L13292" s="8">
        <v>39987.315405092595</v>
      </c>
      <c r="M13292" s="9" t="s">
        <v>19</v>
      </c>
      <c r="N13292" s="9" t="s">
        <v>20</v>
      </c>
      <c r="O13292" s="6" t="str">
        <f>HYPERLINK("https://pbs.twimg.com/profile_images/962471262747529216/Uo8lOkRJ_normal.jpg","View")</f>
        <v>View</v>
      </c>
      <c r="P13292" s="7"/>
    </row>
    <row r="13293" spans="1:16">
      <c r="A13293" s="3">
        <v>44221.752534722225</v>
      </c>
      <c r="B13293" s="4" t="str">
        <f>HYPERLINK("https://twitter.com/petrogustavo","@petrogustavo")</f>
        <v>@petrogustavo</v>
      </c>
      <c r="C13293" s="5" t="s">
        <v>16</v>
      </c>
      <c r="D13293" s="5" t="s">
        <v>12791</v>
      </c>
      <c r="E13293" s="6" t="str">
        <f>HYPERLINK("https://twitter.com/petrogustavo/status/1353682443816079360","1353682443816079360")</f>
        <v>1353682443816079360</v>
      </c>
      <c r="F13293" s="7" t="s">
        <v>17</v>
      </c>
      <c r="G13293" s="7">
        <v>4047537</v>
      </c>
      <c r="H13293" s="7">
        <v>2483</v>
      </c>
      <c r="I13293" s="7">
        <v>503</v>
      </c>
      <c r="J13293" s="7">
        <v>0</v>
      </c>
      <c r="K13293" s="7" t="s">
        <v>18</v>
      </c>
      <c r="L13293" s="8">
        <v>39987.315405092595</v>
      </c>
      <c r="M13293" s="9" t="s">
        <v>19</v>
      </c>
      <c r="N13293" s="9" t="s">
        <v>20</v>
      </c>
      <c r="O13293" s="6" t="str">
        <f>HYPERLINK("https://pbs.twimg.com/profile_images/962471262747529216/Uo8lOkRJ_normal.jpg","View")</f>
        <v>View</v>
      </c>
      <c r="P13293" s="7"/>
    </row>
    <row r="13294" spans="1:16">
      <c r="A13294" s="3">
        <v>44221.77412037037</v>
      </c>
      <c r="B13294" s="4" t="str">
        <f>HYPERLINK("https://twitter.com/petrogustavo","@petrogustavo")</f>
        <v>@petrogustavo</v>
      </c>
      <c r="C13294" s="5" t="s">
        <v>16</v>
      </c>
      <c r="D13294" s="5" t="s">
        <v>12792</v>
      </c>
      <c r="E13294" s="6" t="str">
        <f>HYPERLINK("https://twitter.com/petrogustavo/status/1353690266373419009","1353690266373419009")</f>
        <v>1353690266373419009</v>
      </c>
      <c r="F13294" s="7" t="s">
        <v>17</v>
      </c>
      <c r="G13294" s="7">
        <v>4047545</v>
      </c>
      <c r="H13294" s="7">
        <v>2483</v>
      </c>
      <c r="I13294" s="7">
        <v>49</v>
      </c>
      <c r="J13294" s="7">
        <v>296</v>
      </c>
      <c r="K13294" s="7" t="s">
        <v>18</v>
      </c>
      <c r="L13294" s="8">
        <v>39987.315405092595</v>
      </c>
      <c r="M13294" s="9" t="s">
        <v>19</v>
      </c>
      <c r="N13294" s="9" t="s">
        <v>20</v>
      </c>
      <c r="O13294" s="6" t="str">
        <f>HYPERLINK("https://pbs.twimg.com/profile_images/962471262747529216/Uo8lOkRJ_normal.jpg","View")</f>
        <v>View</v>
      </c>
      <c r="P13294" s="7"/>
    </row>
    <row r="13295" spans="1:16">
      <c r="A13295" s="3">
        <v>44221.790347222224</v>
      </c>
      <c r="B13295" s="4" t="str">
        <f>HYPERLINK("https://twitter.com/petrogustavo","@petrogustavo")</f>
        <v>@petrogustavo</v>
      </c>
      <c r="C13295" s="5" t="s">
        <v>16</v>
      </c>
      <c r="D13295" s="5" t="s">
        <v>12793</v>
      </c>
      <c r="E13295" s="6" t="str">
        <f>HYPERLINK("https://twitter.com/petrogustavo/status/1353696147110506503","1353696147110506503")</f>
        <v>1353696147110506503</v>
      </c>
      <c r="F13295" s="7" t="s">
        <v>17</v>
      </c>
      <c r="G13295" s="7">
        <v>4047569</v>
      </c>
      <c r="H13295" s="7">
        <v>2483</v>
      </c>
      <c r="I13295" s="7">
        <v>276</v>
      </c>
      <c r="J13295" s="7">
        <v>0</v>
      </c>
      <c r="K13295" s="7" t="s">
        <v>18</v>
      </c>
      <c r="L13295" s="8">
        <v>39987.315405092595</v>
      </c>
      <c r="M13295" s="9" t="s">
        <v>19</v>
      </c>
      <c r="N13295" s="9" t="s">
        <v>20</v>
      </c>
      <c r="O13295" s="6" t="str">
        <f>HYPERLINK("https://pbs.twimg.com/profile_images/962471262747529216/Uo8lOkRJ_normal.jpg","View")</f>
        <v>View</v>
      </c>
      <c r="P13295" s="7"/>
    </row>
    <row r="13296" spans="1:16">
      <c r="A13296" s="3">
        <v>44221.79041666667</v>
      </c>
      <c r="B13296" s="4" t="str">
        <f>HYPERLINK("https://twitter.com/petrogustavo","@petrogustavo")</f>
        <v>@petrogustavo</v>
      </c>
      <c r="C13296" s="5" t="s">
        <v>16</v>
      </c>
      <c r="D13296" s="5" t="s">
        <v>12794</v>
      </c>
      <c r="E13296" s="6" t="str">
        <f>HYPERLINK("https://twitter.com/petrogustavo/status/1353696172158935040","1353696172158935040")</f>
        <v>1353696172158935040</v>
      </c>
      <c r="F13296" s="7" t="s">
        <v>17</v>
      </c>
      <c r="G13296" s="7">
        <v>4047569</v>
      </c>
      <c r="H13296" s="7">
        <v>2483</v>
      </c>
      <c r="I13296" s="7">
        <v>286</v>
      </c>
      <c r="J13296" s="7">
        <v>0</v>
      </c>
      <c r="K13296" s="7" t="s">
        <v>18</v>
      </c>
      <c r="L13296" s="8">
        <v>39987.315405092595</v>
      </c>
      <c r="M13296" s="9" t="s">
        <v>19</v>
      </c>
      <c r="N13296" s="9" t="s">
        <v>20</v>
      </c>
      <c r="O13296" s="6" t="str">
        <f>HYPERLINK("https://pbs.twimg.com/profile_images/962471262747529216/Uo8lOkRJ_normal.jpg","View")</f>
        <v>View</v>
      </c>
      <c r="P13296" s="7"/>
    </row>
    <row r="13297" spans="1:16">
      <c r="A13297" s="3">
        <v>44221.928495370375</v>
      </c>
      <c r="B13297" s="4" t="str">
        <f>HYPERLINK("https://twitter.com/petrogustavo","@petrogustavo")</f>
        <v>@petrogustavo</v>
      </c>
      <c r="C13297" s="5" t="s">
        <v>16</v>
      </c>
      <c r="D13297" s="5" t="s">
        <v>12795</v>
      </c>
      <c r="E13297" s="6" t="str">
        <f>HYPERLINK("https://twitter.com/petrogustavo/status/1353746209345855489","1353746209345855489")</f>
        <v>1353746209345855489</v>
      </c>
      <c r="F13297" s="7" t="s">
        <v>17</v>
      </c>
      <c r="G13297" s="7">
        <v>4047712</v>
      </c>
      <c r="H13297" s="7">
        <v>2483</v>
      </c>
      <c r="I13297" s="7">
        <v>27</v>
      </c>
      <c r="J13297" s="7">
        <v>59</v>
      </c>
      <c r="K13297" s="7" t="s">
        <v>18</v>
      </c>
      <c r="L13297" s="8">
        <v>39987.315405092595</v>
      </c>
      <c r="M13297" s="9" t="s">
        <v>19</v>
      </c>
      <c r="N13297" s="9" t="s">
        <v>20</v>
      </c>
      <c r="O13297" s="6" t="str">
        <f>HYPERLINK("https://pbs.twimg.com/profile_images/962471262747529216/Uo8lOkRJ_normal.jpg","View")</f>
        <v>View</v>
      </c>
      <c r="P13297" s="7"/>
    </row>
    <row r="13298" spans="1:16">
      <c r="A13298" s="3">
        <v>44221.929618055554</v>
      </c>
      <c r="B13298" s="4" t="str">
        <f>HYPERLINK("https://twitter.com/petrogustavo","@petrogustavo")</f>
        <v>@petrogustavo</v>
      </c>
      <c r="C13298" s="5" t="s">
        <v>16</v>
      </c>
      <c r="D13298" s="5" t="s">
        <v>12796</v>
      </c>
      <c r="E13298" s="6" t="str">
        <f>HYPERLINK("https://twitter.com/petrogustavo/status/1353746615731949568","1353746615731949568")</f>
        <v>1353746615731949568</v>
      </c>
      <c r="F13298" s="7" t="s">
        <v>17</v>
      </c>
      <c r="G13298" s="7">
        <v>4047701</v>
      </c>
      <c r="H13298" s="7">
        <v>2483</v>
      </c>
      <c r="I13298" s="7">
        <v>41</v>
      </c>
      <c r="J13298" s="7">
        <v>0</v>
      </c>
      <c r="K13298" s="7" t="s">
        <v>18</v>
      </c>
      <c r="L13298" s="8">
        <v>39987.315405092595</v>
      </c>
      <c r="M13298" s="9" t="s">
        <v>19</v>
      </c>
      <c r="N13298" s="9" t="s">
        <v>20</v>
      </c>
      <c r="O13298" s="6" t="str">
        <f>HYPERLINK("https://pbs.twimg.com/profile_images/962471262747529216/Uo8lOkRJ_normal.jpg","View")</f>
        <v>View</v>
      </c>
      <c r="P13298" s="7"/>
    </row>
    <row r="13299" spans="1:16">
      <c r="A13299" s="3">
        <v>44221.933020833334</v>
      </c>
      <c r="B13299" s="4" t="str">
        <f>HYPERLINK("https://twitter.com/petrogustavo","@petrogustavo")</f>
        <v>@petrogustavo</v>
      </c>
      <c r="C13299" s="5" t="s">
        <v>16</v>
      </c>
      <c r="D13299" s="5" t="s">
        <v>12797</v>
      </c>
      <c r="E13299" s="6" t="str">
        <f>HYPERLINK("https://twitter.com/petrogustavo/status/1353747848488226817","1353747848488226817")</f>
        <v>1353747848488226817</v>
      </c>
      <c r="F13299" s="7" t="s">
        <v>17</v>
      </c>
      <c r="G13299" s="7">
        <v>4047701</v>
      </c>
      <c r="H13299" s="7">
        <v>2483</v>
      </c>
      <c r="I13299" s="7">
        <v>127</v>
      </c>
      <c r="J13299" s="7">
        <v>298</v>
      </c>
      <c r="K13299" s="7" t="s">
        <v>18</v>
      </c>
      <c r="L13299" s="8">
        <v>39987.315405092595</v>
      </c>
      <c r="M13299" s="9" t="s">
        <v>19</v>
      </c>
      <c r="N13299" s="9" t="s">
        <v>20</v>
      </c>
      <c r="O13299" s="6" t="str">
        <f>HYPERLINK("https://pbs.twimg.com/profile_images/962471262747529216/Uo8lOkRJ_normal.jpg","View")</f>
        <v>View</v>
      </c>
      <c r="P13299" s="7"/>
    </row>
    <row r="13300" spans="1:16">
      <c r="A13300" s="3">
        <v>44221.934560185182</v>
      </c>
      <c r="B13300" s="4" t="str">
        <f>HYPERLINK("https://twitter.com/petrogustavo","@petrogustavo")</f>
        <v>@petrogustavo</v>
      </c>
      <c r="C13300" s="5" t="s">
        <v>16</v>
      </c>
      <c r="D13300" s="5" t="s">
        <v>12798</v>
      </c>
      <c r="E13300" s="6" t="str">
        <f>HYPERLINK("https://twitter.com/petrogustavo/status/1353748409048588288","1353748409048588288")</f>
        <v>1353748409048588288</v>
      </c>
      <c r="F13300" s="7" t="s">
        <v>17</v>
      </c>
      <c r="G13300" s="7">
        <v>4047701</v>
      </c>
      <c r="H13300" s="7">
        <v>2483</v>
      </c>
      <c r="I13300" s="7">
        <v>271</v>
      </c>
      <c r="J13300" s="7">
        <v>974</v>
      </c>
      <c r="K13300" s="7" t="s">
        <v>18</v>
      </c>
      <c r="L13300" s="8">
        <v>39987.315405092595</v>
      </c>
      <c r="M13300" s="9" t="s">
        <v>19</v>
      </c>
      <c r="N13300" s="9" t="s">
        <v>20</v>
      </c>
      <c r="O13300" s="6" t="str">
        <f>HYPERLINK("https://pbs.twimg.com/profile_images/962471262747529216/Uo8lOkRJ_normal.jpg","View")</f>
        <v>View</v>
      </c>
      <c r="P13300" s="7"/>
    </row>
    <row r="13301" spans="1:16">
      <c r="A13301" s="3">
        <v>44221.943275462967</v>
      </c>
      <c r="B13301" s="4" t="str">
        <f>HYPERLINK("https://twitter.com/petrogustavo","@petrogustavo")</f>
        <v>@petrogustavo</v>
      </c>
      <c r="C13301" s="5" t="s">
        <v>16</v>
      </c>
      <c r="D13301" s="5" t="s">
        <v>12799</v>
      </c>
      <c r="E13301" s="6" t="str">
        <f>HYPERLINK("https://twitter.com/petrogustavo/status/1353751565392343044","1353751565392343044")</f>
        <v>1353751565392343044</v>
      </c>
      <c r="F13301" s="7" t="s">
        <v>17</v>
      </c>
      <c r="G13301" s="7">
        <v>4047701</v>
      </c>
      <c r="H13301" s="7">
        <v>2483</v>
      </c>
      <c r="I13301" s="7">
        <v>63</v>
      </c>
      <c r="J13301" s="7">
        <v>167</v>
      </c>
      <c r="K13301" s="7" t="s">
        <v>18</v>
      </c>
      <c r="L13301" s="8">
        <v>39987.315405092595</v>
      </c>
      <c r="M13301" s="9" t="s">
        <v>19</v>
      </c>
      <c r="N13301" s="9" t="s">
        <v>20</v>
      </c>
      <c r="O13301" s="6" t="str">
        <f>HYPERLINK("https://pbs.twimg.com/profile_images/962471262747529216/Uo8lOkRJ_normal.jpg","View")</f>
        <v>View</v>
      </c>
      <c r="P13301" s="7"/>
    </row>
    <row r="13302" spans="1:16">
      <c r="A13302" s="3">
        <v>44221.978333333333</v>
      </c>
      <c r="B13302" s="4" t="str">
        <f>HYPERLINK("https://twitter.com/petrogustavo","@petrogustavo")</f>
        <v>@petrogustavo</v>
      </c>
      <c r="C13302" s="5" t="s">
        <v>16</v>
      </c>
      <c r="D13302" s="5" t="s">
        <v>12800</v>
      </c>
      <c r="E13302" s="6" t="str">
        <f>HYPERLINK("https://twitter.com/petrogustavo/status/1353764268630532096","1353764268630532096")</f>
        <v>1353764268630532096</v>
      </c>
      <c r="F13302" s="7" t="s">
        <v>17</v>
      </c>
      <c r="G13302" s="7">
        <v>4047744</v>
      </c>
      <c r="H13302" s="7">
        <v>2483</v>
      </c>
      <c r="I13302" s="7">
        <v>132</v>
      </c>
      <c r="J13302" s="7">
        <v>441</v>
      </c>
      <c r="K13302" s="7" t="s">
        <v>18</v>
      </c>
      <c r="L13302" s="8">
        <v>39987.315405092595</v>
      </c>
      <c r="M13302" s="9" t="s">
        <v>19</v>
      </c>
      <c r="N13302" s="9" t="s">
        <v>20</v>
      </c>
      <c r="O13302" s="6" t="str">
        <f>HYPERLINK("https://pbs.twimg.com/profile_images/962471262747529216/Uo8lOkRJ_normal.jpg","View")</f>
        <v>View</v>
      </c>
      <c r="P13302" s="7"/>
    </row>
    <row r="13303" spans="1:16">
      <c r="A13303" s="3">
        <v>44221.978368055556</v>
      </c>
      <c r="B13303" s="4" t="str">
        <f>HYPERLINK("https://twitter.com/petrogustavo","@petrogustavo")</f>
        <v>@petrogustavo</v>
      </c>
      <c r="C13303" s="5" t="s">
        <v>16</v>
      </c>
      <c r="D13303" s="5" t="s">
        <v>12801</v>
      </c>
      <c r="E13303" s="6" t="str">
        <f>HYPERLINK("https://twitter.com/petrogustavo/status/1353764282173943808","1353764282173943808")</f>
        <v>1353764282173943808</v>
      </c>
      <c r="F13303" s="7" t="s">
        <v>17</v>
      </c>
      <c r="G13303" s="7">
        <v>4047744</v>
      </c>
      <c r="H13303" s="7">
        <v>2483</v>
      </c>
      <c r="I13303" s="7">
        <v>102</v>
      </c>
      <c r="J13303" s="7">
        <v>387</v>
      </c>
      <c r="K13303" s="7" t="s">
        <v>18</v>
      </c>
      <c r="L13303" s="8">
        <v>39987.315405092595</v>
      </c>
      <c r="M13303" s="9" t="s">
        <v>19</v>
      </c>
      <c r="N13303" s="9" t="s">
        <v>20</v>
      </c>
      <c r="O13303" s="6" t="str">
        <f>HYPERLINK("https://pbs.twimg.com/profile_images/962471262747529216/Uo8lOkRJ_normal.jpg","View")</f>
        <v>View</v>
      </c>
      <c r="P13303" s="7"/>
    </row>
    <row r="13304" spans="1:16">
      <c r="A13304" s="3">
        <v>44222.024722222224</v>
      </c>
      <c r="B13304" s="4" t="str">
        <f>HYPERLINK("https://twitter.com/petrogustavo","@petrogustavo")</f>
        <v>@petrogustavo</v>
      </c>
      <c r="C13304" s="5" t="s">
        <v>16</v>
      </c>
      <c r="D13304" s="5" t="s">
        <v>12802</v>
      </c>
      <c r="E13304" s="6" t="str">
        <f>HYPERLINK("https://twitter.com/petrogustavo/status/1353781080961257476","1353781080961257476")</f>
        <v>1353781080961257476</v>
      </c>
      <c r="F13304" s="7" t="s">
        <v>17</v>
      </c>
      <c r="G13304" s="7">
        <v>4047787</v>
      </c>
      <c r="H13304" s="7">
        <v>2483</v>
      </c>
      <c r="I13304" s="7">
        <v>69</v>
      </c>
      <c r="J13304" s="7">
        <v>220</v>
      </c>
      <c r="K13304" s="7" t="s">
        <v>18</v>
      </c>
      <c r="L13304" s="8">
        <v>39987.315405092595</v>
      </c>
      <c r="M13304" s="9" t="s">
        <v>19</v>
      </c>
      <c r="N13304" s="9" t="s">
        <v>20</v>
      </c>
      <c r="O13304" s="6" t="str">
        <f>HYPERLINK("https://pbs.twimg.com/profile_images/962471262747529216/Uo8lOkRJ_normal.jpg","View")</f>
        <v>View</v>
      </c>
      <c r="P13304" s="7"/>
    </row>
    <row r="13305" spans="1:16">
      <c r="A13305" s="3">
        <v>44222.121018518519</v>
      </c>
      <c r="B13305" s="4" t="str">
        <f>HYPERLINK("https://twitter.com/petrogustavo","@petrogustavo")</f>
        <v>@petrogustavo</v>
      </c>
      <c r="C13305" s="5" t="s">
        <v>16</v>
      </c>
      <c r="D13305" s="5" t="s">
        <v>12803</v>
      </c>
      <c r="E13305" s="6" t="str">
        <f>HYPERLINK("https://twitter.com/petrogustavo/status/1353815979210510336","1353815979210510336")</f>
        <v>1353815979210510336</v>
      </c>
      <c r="F13305" s="7" t="s">
        <v>17</v>
      </c>
      <c r="G13305" s="7">
        <v>4047868</v>
      </c>
      <c r="H13305" s="7">
        <v>2482</v>
      </c>
      <c r="I13305" s="7">
        <v>27</v>
      </c>
      <c r="J13305" s="7">
        <v>0</v>
      </c>
      <c r="K13305" s="7" t="s">
        <v>18</v>
      </c>
      <c r="L13305" s="8">
        <v>39987.315405092595</v>
      </c>
      <c r="M13305" s="9" t="s">
        <v>19</v>
      </c>
      <c r="N13305" s="9" t="s">
        <v>20</v>
      </c>
      <c r="O13305" s="6" t="str">
        <f>HYPERLINK("https://pbs.twimg.com/profile_images/962471262747529216/Uo8lOkRJ_normal.jpg","View")</f>
        <v>View</v>
      </c>
      <c r="P13305" s="7"/>
    </row>
    <row r="13306" spans="1:16">
      <c r="A13306" s="3">
        <v>44222.124560185184</v>
      </c>
      <c r="B13306" s="4" t="str">
        <f>HYPERLINK("https://twitter.com/petrogustavo","@petrogustavo")</f>
        <v>@petrogustavo</v>
      </c>
      <c r="C13306" s="5" t="s">
        <v>16</v>
      </c>
      <c r="D13306" s="5" t="s">
        <v>12804</v>
      </c>
      <c r="E13306" s="6" t="str">
        <f>HYPERLINK("https://twitter.com/petrogustavo/status/1353817261430222848","1353817261430222848")</f>
        <v>1353817261430222848</v>
      </c>
      <c r="F13306" s="7" t="s">
        <v>17</v>
      </c>
      <c r="G13306" s="7">
        <v>4047868</v>
      </c>
      <c r="H13306" s="7">
        <v>2482</v>
      </c>
      <c r="I13306" s="7">
        <v>187</v>
      </c>
      <c r="J13306" s="7">
        <v>521</v>
      </c>
      <c r="K13306" s="7" t="s">
        <v>18</v>
      </c>
      <c r="L13306" s="8">
        <v>39987.315405092595</v>
      </c>
      <c r="M13306" s="9" t="s">
        <v>19</v>
      </c>
      <c r="N13306" s="9" t="s">
        <v>20</v>
      </c>
      <c r="O13306" s="6" t="str">
        <f>HYPERLINK("https://pbs.twimg.com/profile_images/962471262747529216/Uo8lOkRJ_normal.jpg","View")</f>
        <v>View</v>
      </c>
      <c r="P13306" s="7"/>
    </row>
    <row r="13307" spans="1:16">
      <c r="A13307" s="3">
        <v>44222.124560185184</v>
      </c>
      <c r="B13307" s="4" t="str">
        <f>HYPERLINK("https://twitter.com/petrogustavo","@petrogustavo")</f>
        <v>@petrogustavo</v>
      </c>
      <c r="C13307" s="5" t="s">
        <v>16</v>
      </c>
      <c r="D13307" s="5" t="s">
        <v>12805</v>
      </c>
      <c r="E13307" s="6" t="str">
        <f>HYPERLINK("https://twitter.com/petrogustavo/status/1353817262797561856","1353817262797561856")</f>
        <v>1353817262797561856</v>
      </c>
      <c r="F13307" s="7" t="s">
        <v>17</v>
      </c>
      <c r="G13307" s="7">
        <v>4047868</v>
      </c>
      <c r="H13307" s="7">
        <v>2482</v>
      </c>
      <c r="I13307" s="7">
        <v>90</v>
      </c>
      <c r="J13307" s="7">
        <v>335</v>
      </c>
      <c r="K13307" s="7" t="s">
        <v>18</v>
      </c>
      <c r="L13307" s="8">
        <v>39987.315405092595</v>
      </c>
      <c r="M13307" s="9" t="s">
        <v>19</v>
      </c>
      <c r="N13307" s="9" t="s">
        <v>20</v>
      </c>
      <c r="O13307" s="6" t="str">
        <f>HYPERLINK("https://pbs.twimg.com/profile_images/962471262747529216/Uo8lOkRJ_normal.jpg","View")</f>
        <v>View</v>
      </c>
      <c r="P13307" s="7"/>
    </row>
    <row r="13308" spans="1:16">
      <c r="A13308" s="3">
        <v>44222.125173611115</v>
      </c>
      <c r="B13308" s="4" t="str">
        <f>HYPERLINK("https://twitter.com/petrogustavo","@petrogustavo")</f>
        <v>@petrogustavo</v>
      </c>
      <c r="C13308" s="5" t="s">
        <v>16</v>
      </c>
      <c r="D13308" s="5" t="s">
        <v>12806</v>
      </c>
      <c r="E13308" s="6" t="str">
        <f>HYPERLINK("https://twitter.com/petrogustavo/status/1353817484789489664","1353817484789489664")</f>
        <v>1353817484789489664</v>
      </c>
      <c r="F13308" s="7" t="s">
        <v>17</v>
      </c>
      <c r="G13308" s="7">
        <v>4047868</v>
      </c>
      <c r="H13308" s="7">
        <v>2482</v>
      </c>
      <c r="I13308" s="7">
        <v>31</v>
      </c>
      <c r="J13308" s="7">
        <v>0</v>
      </c>
      <c r="K13308" s="7" t="s">
        <v>18</v>
      </c>
      <c r="L13308" s="8">
        <v>39987.315405092595</v>
      </c>
      <c r="M13308" s="9" t="s">
        <v>19</v>
      </c>
      <c r="N13308" s="9" t="s">
        <v>20</v>
      </c>
      <c r="O13308" s="6" t="str">
        <f>HYPERLINK("https://pbs.twimg.com/profile_images/962471262747529216/Uo8lOkRJ_normal.jpg","View")</f>
        <v>View</v>
      </c>
      <c r="P13308" s="7"/>
    </row>
    <row r="13309" spans="1:16">
      <c r="A13309" s="3">
        <v>44222.13490740741</v>
      </c>
      <c r="B13309" s="4" t="str">
        <f>HYPERLINK("https://twitter.com/petrogustavo","@petrogustavo")</f>
        <v>@petrogustavo</v>
      </c>
      <c r="C13309" s="5" t="s">
        <v>16</v>
      </c>
      <c r="D13309" s="5" t="s">
        <v>12807</v>
      </c>
      <c r="E13309" s="6" t="str">
        <f>HYPERLINK("https://twitter.com/petrogustavo/status/1353821010609508354","1353821010609508354")</f>
        <v>1353821010609508354</v>
      </c>
      <c r="F13309" s="7" t="s">
        <v>17</v>
      </c>
      <c r="G13309" s="7">
        <v>4047868</v>
      </c>
      <c r="H13309" s="7">
        <v>2482</v>
      </c>
      <c r="I13309" s="7">
        <v>18</v>
      </c>
      <c r="J13309" s="7">
        <v>0</v>
      </c>
      <c r="K13309" s="7" t="s">
        <v>18</v>
      </c>
      <c r="L13309" s="8">
        <v>39987.315405092595</v>
      </c>
      <c r="M13309" s="9" t="s">
        <v>19</v>
      </c>
      <c r="N13309" s="9" t="s">
        <v>20</v>
      </c>
      <c r="O13309" s="6" t="str">
        <f>HYPERLINK("https://pbs.twimg.com/profile_images/962471262747529216/Uo8lOkRJ_normal.jpg","View")</f>
        <v>View</v>
      </c>
      <c r="P13309" s="7"/>
    </row>
    <row r="13310" spans="1:16">
      <c r="A13310" s="3">
        <v>44222.152581018519</v>
      </c>
      <c r="B13310" s="4" t="str">
        <f>HYPERLINK("https://twitter.com/petrogustavo","@petrogustavo")</f>
        <v>@petrogustavo</v>
      </c>
      <c r="C13310" s="5" t="s">
        <v>16</v>
      </c>
      <c r="D13310" s="5" t="s">
        <v>12808</v>
      </c>
      <c r="E13310" s="6" t="str">
        <f>HYPERLINK("https://twitter.com/petrogustavo/status/1353827415395622912","1353827415395622912")</f>
        <v>1353827415395622912</v>
      </c>
      <c r="F13310" s="7" t="s">
        <v>17</v>
      </c>
      <c r="G13310" s="7">
        <v>4047895</v>
      </c>
      <c r="H13310" s="7">
        <v>2482</v>
      </c>
      <c r="I13310" s="7">
        <v>408</v>
      </c>
      <c r="J13310" s="7">
        <v>0</v>
      </c>
      <c r="K13310" s="7" t="s">
        <v>18</v>
      </c>
      <c r="L13310" s="8">
        <v>39987.315405092595</v>
      </c>
      <c r="M13310" s="9" t="s">
        <v>19</v>
      </c>
      <c r="N13310" s="9" t="s">
        <v>20</v>
      </c>
      <c r="O13310" s="6" t="str">
        <f>HYPERLINK("https://pbs.twimg.com/profile_images/962471262747529216/Uo8lOkRJ_normal.jpg","View")</f>
        <v>View</v>
      </c>
      <c r="P13310" s="7"/>
    </row>
    <row r="13311" spans="1:16">
      <c r="A13311" s="3">
        <v>44222.571435185186</v>
      </c>
      <c r="B13311" s="4" t="str">
        <f>HYPERLINK("https://twitter.com/petrogustavo","@petrogustavo")</f>
        <v>@petrogustavo</v>
      </c>
      <c r="C13311" s="5" t="s">
        <v>16</v>
      </c>
      <c r="D13311" s="5" t="s">
        <v>12809</v>
      </c>
      <c r="E13311" s="6" t="str">
        <f>HYPERLINK("https://twitter.com/petrogustavo/status/1353979201599254533","1353979201599254533")</f>
        <v>1353979201599254533</v>
      </c>
      <c r="F13311" s="7" t="s">
        <v>17</v>
      </c>
      <c r="G13311" s="7">
        <v>4048228</v>
      </c>
      <c r="H13311" s="7">
        <v>2483</v>
      </c>
      <c r="I13311" s="7">
        <v>8</v>
      </c>
      <c r="J13311" s="7">
        <v>26</v>
      </c>
      <c r="K13311" s="7" t="s">
        <v>18</v>
      </c>
      <c r="L13311" s="8">
        <v>39987.315405092595</v>
      </c>
      <c r="M13311" s="9" t="s">
        <v>19</v>
      </c>
      <c r="N13311" s="9" t="s">
        <v>20</v>
      </c>
      <c r="O13311" s="6" t="str">
        <f>HYPERLINK("https://pbs.twimg.com/profile_images/962471262747529216/Uo8lOkRJ_normal.jpg","View")</f>
        <v>View</v>
      </c>
      <c r="P13311" s="7"/>
    </row>
    <row r="13312" spans="1:16">
      <c r="A13312" s="3">
        <v>44222.624861111108</v>
      </c>
      <c r="B13312" s="4" t="str">
        <f>HYPERLINK("https://twitter.com/petrogustavo","@petrogustavo")</f>
        <v>@petrogustavo</v>
      </c>
      <c r="C13312" s="5" t="s">
        <v>16</v>
      </c>
      <c r="D13312" s="5" t="s">
        <v>12810</v>
      </c>
      <c r="E13312" s="6" t="str">
        <f>HYPERLINK("https://twitter.com/petrogustavo/status/1353998562846257152","1353998562846257152")</f>
        <v>1353998562846257152</v>
      </c>
      <c r="F13312" s="7" t="s">
        <v>17</v>
      </c>
      <c r="G13312" s="7">
        <v>4048238</v>
      </c>
      <c r="H13312" s="7">
        <v>2483</v>
      </c>
      <c r="I13312" s="7">
        <v>93</v>
      </c>
      <c r="J13312" s="7">
        <v>385</v>
      </c>
      <c r="K13312" s="7" t="s">
        <v>18</v>
      </c>
      <c r="L13312" s="8">
        <v>39987.315405092595</v>
      </c>
      <c r="M13312" s="9" t="s">
        <v>19</v>
      </c>
      <c r="N13312" s="9" t="s">
        <v>20</v>
      </c>
      <c r="O13312" s="6" t="str">
        <f>HYPERLINK("https://pbs.twimg.com/profile_images/962471262747529216/Uo8lOkRJ_normal.jpg","View")</f>
        <v>View</v>
      </c>
      <c r="P13312" s="7"/>
    </row>
    <row r="13313" spans="1:16">
      <c r="A13313" s="3">
        <v>44222.93582175926</v>
      </c>
      <c r="B13313" s="4" t="str">
        <f>HYPERLINK("https://twitter.com/petrogustavo","@petrogustavo")</f>
        <v>@petrogustavo</v>
      </c>
      <c r="C13313" s="5" t="s">
        <v>16</v>
      </c>
      <c r="D13313" s="5" t="s">
        <v>12811</v>
      </c>
      <c r="E13313" s="6" t="str">
        <f>HYPERLINK("https://twitter.com/petrogustavo/status/1354111253921345536","1354111253921345536")</f>
        <v>1354111253921345536</v>
      </c>
      <c r="F13313" s="7" t="s">
        <v>17</v>
      </c>
      <c r="G13313" s="7">
        <v>4048763</v>
      </c>
      <c r="H13313" s="7">
        <v>2482</v>
      </c>
      <c r="I13313" s="7">
        <v>71</v>
      </c>
      <c r="J13313" s="7">
        <v>206</v>
      </c>
      <c r="K13313" s="7" t="s">
        <v>18</v>
      </c>
      <c r="L13313" s="8">
        <v>39987.315405092595</v>
      </c>
      <c r="M13313" s="9" t="s">
        <v>19</v>
      </c>
      <c r="N13313" s="9" t="s">
        <v>20</v>
      </c>
      <c r="O13313" s="6" t="str">
        <f>HYPERLINK("https://pbs.twimg.com/profile_images/962471262747529216/Uo8lOkRJ_normal.jpg","View")</f>
        <v>View</v>
      </c>
      <c r="P13313" s="7"/>
    </row>
    <row r="13314" spans="1:16">
      <c r="A13314" s="3">
        <v>44222.940937499996</v>
      </c>
      <c r="B13314" s="4" t="str">
        <f>HYPERLINK("https://twitter.com/petrogustavo","@petrogustavo")</f>
        <v>@petrogustavo</v>
      </c>
      <c r="C13314" s="5" t="s">
        <v>16</v>
      </c>
      <c r="D13314" s="5" t="s">
        <v>12812</v>
      </c>
      <c r="E13314" s="6" t="str">
        <f>HYPERLINK("https://twitter.com/petrogustavo/status/1354113106415382534","1354113106415382534")</f>
        <v>1354113106415382534</v>
      </c>
      <c r="F13314" s="7" t="s">
        <v>17</v>
      </c>
      <c r="G13314" s="7">
        <v>4048763</v>
      </c>
      <c r="H13314" s="7">
        <v>2482</v>
      </c>
      <c r="I13314" s="7">
        <v>299</v>
      </c>
      <c r="J13314" s="7">
        <v>1110</v>
      </c>
      <c r="K13314" s="7" t="s">
        <v>18</v>
      </c>
      <c r="L13314" s="8">
        <v>39987.315405092595</v>
      </c>
      <c r="M13314" s="9" t="s">
        <v>19</v>
      </c>
      <c r="N13314" s="9" t="s">
        <v>20</v>
      </c>
      <c r="O13314" s="6" t="str">
        <f>HYPERLINK("https://pbs.twimg.com/profile_images/962471262747529216/Uo8lOkRJ_normal.jpg","View")</f>
        <v>View</v>
      </c>
      <c r="P13314" s="7"/>
    </row>
    <row r="13315" spans="1:16">
      <c r="A13315" s="3">
        <v>44222.950694444444</v>
      </c>
      <c r="B13315" s="4" t="str">
        <f>HYPERLINK("https://twitter.com/petrogustavo","@petrogustavo")</f>
        <v>@petrogustavo</v>
      </c>
      <c r="C13315" s="5" t="s">
        <v>16</v>
      </c>
      <c r="D13315" s="5" t="s">
        <v>12813</v>
      </c>
      <c r="E13315" s="6" t="str">
        <f>HYPERLINK("https://twitter.com/petrogustavo/status/1354116642243026944","1354116642243026944")</f>
        <v>1354116642243026944</v>
      </c>
      <c r="F13315" s="7" t="s">
        <v>17</v>
      </c>
      <c r="G13315" s="7">
        <v>4048803</v>
      </c>
      <c r="H13315" s="7">
        <v>2482</v>
      </c>
      <c r="I13315" s="7">
        <v>44</v>
      </c>
      <c r="J13315" s="7">
        <v>0</v>
      </c>
      <c r="K13315" s="7" t="s">
        <v>18</v>
      </c>
      <c r="L13315" s="8">
        <v>39987.315405092595</v>
      </c>
      <c r="M13315" s="9" t="s">
        <v>19</v>
      </c>
      <c r="N13315" s="9" t="s">
        <v>20</v>
      </c>
      <c r="O13315" s="6" t="str">
        <f>HYPERLINK("https://pbs.twimg.com/profile_images/962471262747529216/Uo8lOkRJ_normal.jpg","View")</f>
        <v>View</v>
      </c>
      <c r="P13315" s="7"/>
    </row>
    <row r="13316" spans="1:16">
      <c r="A13316" s="3">
        <v>44222.950925925921</v>
      </c>
      <c r="B13316" s="4" t="str">
        <f>HYPERLINK("https://twitter.com/petrogustavo","@petrogustavo")</f>
        <v>@petrogustavo</v>
      </c>
      <c r="C13316" s="5" t="s">
        <v>16</v>
      </c>
      <c r="D13316" s="5" t="s">
        <v>12814</v>
      </c>
      <c r="E13316" s="6" t="str">
        <f>HYPERLINK("https://twitter.com/petrogustavo/status/1354116724375891971","1354116724375891971")</f>
        <v>1354116724375891971</v>
      </c>
      <c r="F13316" s="7" t="s">
        <v>17</v>
      </c>
      <c r="G13316" s="7">
        <v>4048803</v>
      </c>
      <c r="H13316" s="7">
        <v>2482</v>
      </c>
      <c r="I13316" s="7">
        <v>722</v>
      </c>
      <c r="J13316" s="7">
        <v>0</v>
      </c>
      <c r="K13316" s="7" t="s">
        <v>18</v>
      </c>
      <c r="L13316" s="8">
        <v>39987.315405092595</v>
      </c>
      <c r="M13316" s="9" t="s">
        <v>19</v>
      </c>
      <c r="N13316" s="9" t="s">
        <v>20</v>
      </c>
      <c r="O13316" s="6" t="str">
        <f>HYPERLINK("https://pbs.twimg.com/profile_images/962471262747529216/Uo8lOkRJ_normal.jpg","View")</f>
        <v>View</v>
      </c>
      <c r="P13316" s="7"/>
    </row>
    <row r="13317" spans="1:16">
      <c r="A13317" s="3">
        <v>44223.126921296294</v>
      </c>
      <c r="B13317" s="4" t="str">
        <f>HYPERLINK("https://twitter.com/petrogustavo","@petrogustavo")</f>
        <v>@petrogustavo</v>
      </c>
      <c r="C13317" s="5" t="s">
        <v>16</v>
      </c>
      <c r="D13317" s="5" t="s">
        <v>12815</v>
      </c>
      <c r="E13317" s="6" t="str">
        <f>HYPERLINK("https://twitter.com/petrogustavo/status/1354180506112417792","1354180506112417792")</f>
        <v>1354180506112417792</v>
      </c>
      <c r="F13317" s="7" t="s">
        <v>17</v>
      </c>
      <c r="G13317" s="7">
        <v>4048980</v>
      </c>
      <c r="H13317" s="7">
        <v>2482</v>
      </c>
      <c r="I13317" s="7">
        <v>89</v>
      </c>
      <c r="J13317" s="7">
        <v>327</v>
      </c>
      <c r="K13317" s="7" t="s">
        <v>18</v>
      </c>
      <c r="L13317" s="8">
        <v>39987.315405092595</v>
      </c>
      <c r="M13317" s="9" t="s">
        <v>19</v>
      </c>
      <c r="N13317" s="9" t="s">
        <v>20</v>
      </c>
      <c r="O13317" s="6" t="str">
        <f>HYPERLINK("https://pbs.twimg.com/profile_images/962471262747529216/Uo8lOkRJ_normal.jpg","View")</f>
        <v>View</v>
      </c>
      <c r="P13317" s="7"/>
    </row>
    <row r="13318" spans="1:16">
      <c r="A13318" s="3">
        <v>44223.142384259263</v>
      </c>
      <c r="B13318" s="4" t="str">
        <f>HYPERLINK("https://twitter.com/petrogustavo","@petrogustavo")</f>
        <v>@petrogustavo</v>
      </c>
      <c r="C13318" s="5" t="s">
        <v>16</v>
      </c>
      <c r="D13318" s="5" t="s">
        <v>12816</v>
      </c>
      <c r="E13318" s="6" t="str">
        <f>HYPERLINK("https://twitter.com/petrogustavo/status/1354186106753966085","1354186106753966085")</f>
        <v>1354186106753966085</v>
      </c>
      <c r="F13318" s="7" t="s">
        <v>17</v>
      </c>
      <c r="G13318" s="7">
        <v>4049009</v>
      </c>
      <c r="H13318" s="7">
        <v>2482</v>
      </c>
      <c r="I13318" s="7">
        <v>266</v>
      </c>
      <c r="J13318" s="7">
        <v>554</v>
      </c>
      <c r="K13318" s="7" t="s">
        <v>18</v>
      </c>
      <c r="L13318" s="8">
        <v>39987.315405092595</v>
      </c>
      <c r="M13318" s="9" t="s">
        <v>19</v>
      </c>
      <c r="N13318" s="9" t="s">
        <v>20</v>
      </c>
      <c r="O13318" s="6" t="str">
        <f>HYPERLINK("https://pbs.twimg.com/profile_images/962471262747529216/Uo8lOkRJ_normal.jpg","View")</f>
        <v>View</v>
      </c>
      <c r="P13318" s="7"/>
    </row>
    <row r="13319" spans="1:16">
      <c r="A13319" s="3">
        <v>44223.723865740743</v>
      </c>
      <c r="B13319" s="4" t="str">
        <f>HYPERLINK("https://twitter.com/petrogustavo","@petrogustavo")</f>
        <v>@petrogustavo</v>
      </c>
      <c r="C13319" s="5" t="s">
        <v>16</v>
      </c>
      <c r="D13319" s="5" t="s">
        <v>12817</v>
      </c>
      <c r="E13319" s="6" t="str">
        <f>HYPERLINK("https://twitter.com/petrogustavo/status/1354396829442592768","1354396829442592768")</f>
        <v>1354396829442592768</v>
      </c>
      <c r="F13319" s="7" t="s">
        <v>17</v>
      </c>
      <c r="G13319" s="7">
        <v>4049389</v>
      </c>
      <c r="H13319" s="7">
        <v>2481</v>
      </c>
      <c r="I13319" s="7">
        <v>93</v>
      </c>
      <c r="J13319" s="7">
        <v>417</v>
      </c>
      <c r="K13319" s="7" t="s">
        <v>18</v>
      </c>
      <c r="L13319" s="8">
        <v>39987.315405092595</v>
      </c>
      <c r="M13319" s="9" t="s">
        <v>19</v>
      </c>
      <c r="N13319" s="9" t="s">
        <v>20</v>
      </c>
      <c r="O13319" s="6" t="str">
        <f>HYPERLINK("https://pbs.twimg.com/profile_images/962471262747529216/Uo8lOkRJ_normal.jpg","View")</f>
        <v>View</v>
      </c>
      <c r="P13319" s="7"/>
    </row>
    <row r="13320" spans="1:16">
      <c r="A13320" s="3">
        <v>44223.727025462962</v>
      </c>
      <c r="B13320" s="4" t="str">
        <f>HYPERLINK("https://twitter.com/petrogustavo","@petrogustavo")</f>
        <v>@petrogustavo</v>
      </c>
      <c r="C13320" s="5" t="s">
        <v>16</v>
      </c>
      <c r="D13320" s="5" t="s">
        <v>12818</v>
      </c>
      <c r="E13320" s="6" t="str">
        <f>HYPERLINK("https://twitter.com/petrogustavo/status/1354397973971677185","1354397973971677185")</f>
        <v>1354397973971677185</v>
      </c>
      <c r="F13320" s="7" t="s">
        <v>17</v>
      </c>
      <c r="G13320" s="7">
        <v>4049389</v>
      </c>
      <c r="H13320" s="7">
        <v>2481</v>
      </c>
      <c r="I13320" s="7">
        <v>51</v>
      </c>
      <c r="J13320" s="7">
        <v>144</v>
      </c>
      <c r="K13320" s="7" t="s">
        <v>18</v>
      </c>
      <c r="L13320" s="8">
        <v>39987.315405092595</v>
      </c>
      <c r="M13320" s="9" t="s">
        <v>19</v>
      </c>
      <c r="N13320" s="9" t="s">
        <v>20</v>
      </c>
      <c r="O13320" s="6" t="str">
        <f>HYPERLINK("https://pbs.twimg.com/profile_images/962471262747529216/Uo8lOkRJ_normal.jpg","View")</f>
        <v>View</v>
      </c>
      <c r="P13320" s="7"/>
    </row>
    <row r="13321" spans="1:16">
      <c r="A13321" s="3">
        <v>44223.833379629628</v>
      </c>
      <c r="B13321" s="4" t="str">
        <f>HYPERLINK("https://twitter.com/petrogustavo","@petrogustavo")</f>
        <v>@petrogustavo</v>
      </c>
      <c r="C13321" s="5" t="s">
        <v>16</v>
      </c>
      <c r="D13321" s="5" t="s">
        <v>12819</v>
      </c>
      <c r="E13321" s="6" t="str">
        <f>HYPERLINK("https://twitter.com/petrogustavo/status/1354436517977063426","1354436517977063426")</f>
        <v>1354436517977063426</v>
      </c>
      <c r="F13321" s="7" t="s">
        <v>17</v>
      </c>
      <c r="G13321" s="7">
        <v>4049497</v>
      </c>
      <c r="H13321" s="7">
        <v>2481</v>
      </c>
      <c r="I13321" s="7">
        <v>78</v>
      </c>
      <c r="J13321" s="7">
        <v>419</v>
      </c>
      <c r="K13321" s="7" t="s">
        <v>18</v>
      </c>
      <c r="L13321" s="8">
        <v>39987.315405092595</v>
      </c>
      <c r="M13321" s="9" t="s">
        <v>19</v>
      </c>
      <c r="N13321" s="9" t="s">
        <v>20</v>
      </c>
      <c r="O13321" s="6" t="str">
        <f>HYPERLINK("https://pbs.twimg.com/profile_images/962471262747529216/Uo8lOkRJ_normal.jpg","View")</f>
        <v>View</v>
      </c>
      <c r="P13321" s="7"/>
    </row>
    <row r="13322" spans="1:16">
      <c r="A13322" s="3">
        <v>44223.835798611108</v>
      </c>
      <c r="B13322" s="4" t="str">
        <f>HYPERLINK("https://twitter.com/petrogustavo","@petrogustavo")</f>
        <v>@petrogustavo</v>
      </c>
      <c r="C13322" s="5" t="s">
        <v>16</v>
      </c>
      <c r="D13322" s="5" t="s">
        <v>12820</v>
      </c>
      <c r="E13322" s="6" t="str">
        <f>HYPERLINK("https://twitter.com/petrogustavo/status/1354437393168932866","1354437393168932866")</f>
        <v>1354437393168932866</v>
      </c>
      <c r="F13322" s="7" t="s">
        <v>17</v>
      </c>
      <c r="G13322" s="7">
        <v>4049497</v>
      </c>
      <c r="H13322" s="7">
        <v>2481</v>
      </c>
      <c r="I13322" s="7">
        <v>57</v>
      </c>
      <c r="J13322" s="7">
        <v>143</v>
      </c>
      <c r="K13322" s="7" t="s">
        <v>18</v>
      </c>
      <c r="L13322" s="8">
        <v>39987.315405092595</v>
      </c>
      <c r="M13322" s="9" t="s">
        <v>19</v>
      </c>
      <c r="N13322" s="9" t="s">
        <v>20</v>
      </c>
      <c r="O13322" s="6" t="str">
        <f>HYPERLINK("https://pbs.twimg.com/profile_images/962471262747529216/Uo8lOkRJ_normal.jpg","View")</f>
        <v>View</v>
      </c>
      <c r="P13322" s="7"/>
    </row>
    <row r="13323" spans="1:16">
      <c r="A13323" s="3">
        <v>44223.848287037035</v>
      </c>
      <c r="B13323" s="4" t="str">
        <f>HYPERLINK("https://twitter.com/petrogustavo","@petrogustavo")</f>
        <v>@petrogustavo</v>
      </c>
      <c r="C13323" s="5" t="s">
        <v>16</v>
      </c>
      <c r="D13323" s="5" t="s">
        <v>12821</v>
      </c>
      <c r="E13323" s="6" t="str">
        <f>HYPERLINK("https://twitter.com/petrogustavo/status/1354441917258477573","1354441917258477573")</f>
        <v>1354441917258477573</v>
      </c>
      <c r="F13323" s="7" t="s">
        <v>17</v>
      </c>
      <c r="G13323" s="7">
        <v>4049525</v>
      </c>
      <c r="H13323" s="7">
        <v>2481</v>
      </c>
      <c r="I13323" s="7">
        <v>72</v>
      </c>
      <c r="J13323" s="7">
        <v>166</v>
      </c>
      <c r="K13323" s="7" t="s">
        <v>18</v>
      </c>
      <c r="L13323" s="8">
        <v>39987.315405092595</v>
      </c>
      <c r="M13323" s="9" t="s">
        <v>19</v>
      </c>
      <c r="N13323" s="9" t="s">
        <v>20</v>
      </c>
      <c r="O13323" s="6" t="str">
        <f>HYPERLINK("https://pbs.twimg.com/profile_images/962471262747529216/Uo8lOkRJ_normal.jpg","View")</f>
        <v>View</v>
      </c>
      <c r="P13323" s="7"/>
    </row>
    <row r="13324" spans="1:16">
      <c r="A13324" s="3">
        <v>44223.850856481484</v>
      </c>
      <c r="B13324" s="4" t="str">
        <f>HYPERLINK("https://twitter.com/petrogustavo","@petrogustavo")</f>
        <v>@petrogustavo</v>
      </c>
      <c r="C13324" s="5" t="s">
        <v>16</v>
      </c>
      <c r="D13324" s="5" t="s">
        <v>12822</v>
      </c>
      <c r="E13324" s="6" t="str">
        <f>HYPERLINK("https://twitter.com/petrogustavo/status/1354442848897216512","1354442848897216512")</f>
        <v>1354442848897216512</v>
      </c>
      <c r="F13324" s="7" t="s">
        <v>17</v>
      </c>
      <c r="G13324" s="7">
        <v>4049525</v>
      </c>
      <c r="H13324" s="7">
        <v>2481</v>
      </c>
      <c r="I13324" s="7">
        <v>189</v>
      </c>
      <c r="J13324" s="7">
        <v>580</v>
      </c>
      <c r="K13324" s="7" t="s">
        <v>18</v>
      </c>
      <c r="L13324" s="8">
        <v>39987.315405092595</v>
      </c>
      <c r="M13324" s="9" t="s">
        <v>19</v>
      </c>
      <c r="N13324" s="9" t="s">
        <v>20</v>
      </c>
      <c r="O13324" s="6" t="str">
        <f>HYPERLINK("https://pbs.twimg.com/profile_images/962471262747529216/Uo8lOkRJ_normal.jpg","View")</f>
        <v>View</v>
      </c>
      <c r="P13324" s="7"/>
    </row>
    <row r="13325" spans="1:16">
      <c r="A13325" s="3">
        <v>44224.144918981481</v>
      </c>
      <c r="B13325" s="4" t="str">
        <f>HYPERLINK("https://twitter.com/petrogustavo","@petrogustavo")</f>
        <v>@petrogustavo</v>
      </c>
      <c r="C13325" s="5" t="s">
        <v>16</v>
      </c>
      <c r="D13325" s="5" t="s">
        <v>12823</v>
      </c>
      <c r="E13325" s="6" t="str">
        <f>HYPERLINK("https://twitter.com/petrogustavo/status/1354549414392705029","1354549414392705029")</f>
        <v>1354549414392705029</v>
      </c>
      <c r="F13325" s="7" t="s">
        <v>17</v>
      </c>
      <c r="G13325" s="7">
        <v>4049926</v>
      </c>
      <c r="H13325" s="7">
        <v>2480</v>
      </c>
      <c r="I13325" s="7">
        <v>70</v>
      </c>
      <c r="J13325" s="7">
        <v>0</v>
      </c>
      <c r="K13325" s="7" t="s">
        <v>18</v>
      </c>
      <c r="L13325" s="8">
        <v>39987.315405092595</v>
      </c>
      <c r="M13325" s="9" t="s">
        <v>19</v>
      </c>
      <c r="N13325" s="9" t="s">
        <v>20</v>
      </c>
      <c r="O13325" s="6" t="str">
        <f>HYPERLINK("https://pbs.twimg.com/profile_images/962471262747529216/Uo8lOkRJ_normal.jpg","View")</f>
        <v>View</v>
      </c>
      <c r="P13325" s="7"/>
    </row>
    <row r="13326" spans="1:16">
      <c r="A13326" s="3">
        <v>44224.146192129629</v>
      </c>
      <c r="B13326" s="4" t="str">
        <f>HYPERLINK("https://twitter.com/petrogustavo","@petrogustavo")</f>
        <v>@petrogustavo</v>
      </c>
      <c r="C13326" s="5" t="s">
        <v>16</v>
      </c>
      <c r="D13326" s="5" t="s">
        <v>12824</v>
      </c>
      <c r="E13326" s="6" t="str">
        <f>HYPERLINK("https://twitter.com/petrogustavo/status/1354549876374298627","1354549876374298627")</f>
        <v>1354549876374298627</v>
      </c>
      <c r="F13326" s="7" t="s">
        <v>17</v>
      </c>
      <c r="G13326" s="7">
        <v>4049926</v>
      </c>
      <c r="H13326" s="7">
        <v>2480</v>
      </c>
      <c r="I13326" s="7">
        <v>315</v>
      </c>
      <c r="J13326" s="7">
        <v>718</v>
      </c>
      <c r="K13326" s="7" t="s">
        <v>18</v>
      </c>
      <c r="L13326" s="8">
        <v>39987.315405092595</v>
      </c>
      <c r="M13326" s="9" t="s">
        <v>19</v>
      </c>
      <c r="N13326" s="9" t="s">
        <v>20</v>
      </c>
      <c r="O13326" s="6" t="str">
        <f>HYPERLINK("https://pbs.twimg.com/profile_images/962471262747529216/Uo8lOkRJ_normal.jpg","View")</f>
        <v>View</v>
      </c>
      <c r="P13326" s="7"/>
    </row>
    <row r="13327" spans="1:16">
      <c r="A13327" s="3">
        <v>44224.155624999999</v>
      </c>
      <c r="B13327" s="4" t="str">
        <f>HYPERLINK("https://twitter.com/petrogustavo","@petrogustavo")</f>
        <v>@petrogustavo</v>
      </c>
      <c r="C13327" s="5" t="s">
        <v>16</v>
      </c>
      <c r="D13327" s="5" t="s">
        <v>12825</v>
      </c>
      <c r="E13327" s="6" t="str">
        <f>HYPERLINK("https://twitter.com/petrogustavo/status/1354553294568517647","1354553294568517647")</f>
        <v>1354553294568517647</v>
      </c>
      <c r="F13327" s="7" t="s">
        <v>17</v>
      </c>
      <c r="G13327" s="7">
        <v>4049926</v>
      </c>
      <c r="H13327" s="7">
        <v>2480</v>
      </c>
      <c r="I13327" s="7">
        <v>27</v>
      </c>
      <c r="J13327" s="7">
        <v>80</v>
      </c>
      <c r="K13327" s="7" t="s">
        <v>18</v>
      </c>
      <c r="L13327" s="8">
        <v>39987.315405092595</v>
      </c>
      <c r="M13327" s="9" t="s">
        <v>19</v>
      </c>
      <c r="N13327" s="9" t="s">
        <v>20</v>
      </c>
      <c r="O13327" s="6" t="str">
        <f>HYPERLINK("https://pbs.twimg.com/profile_images/962471262747529216/Uo8lOkRJ_normal.jpg","View")</f>
        <v>View</v>
      </c>
      <c r="P13327" s="7"/>
    </row>
    <row r="13328" spans="1:16">
      <c r="A13328" s="3">
        <v>44224.172488425931</v>
      </c>
      <c r="B13328" s="4" t="str">
        <f>HYPERLINK("https://twitter.com/petrogustavo","@petrogustavo")</f>
        <v>@petrogustavo</v>
      </c>
      <c r="C13328" s="5" t="s">
        <v>16</v>
      </c>
      <c r="D13328" s="5" t="s">
        <v>12826</v>
      </c>
      <c r="E13328" s="6" t="str">
        <f>HYPERLINK("https://twitter.com/petrogustavo/status/1354559406151790596","1354559406151790596")</f>
        <v>1354559406151790596</v>
      </c>
      <c r="F13328" s="7" t="s">
        <v>17</v>
      </c>
      <c r="G13328" s="7">
        <v>4049951</v>
      </c>
      <c r="H13328" s="7">
        <v>2480</v>
      </c>
      <c r="I13328" s="7">
        <v>39</v>
      </c>
      <c r="J13328" s="7">
        <v>0</v>
      </c>
      <c r="K13328" s="7" t="s">
        <v>18</v>
      </c>
      <c r="L13328" s="8">
        <v>39987.315405092595</v>
      </c>
      <c r="M13328" s="9" t="s">
        <v>19</v>
      </c>
      <c r="N13328" s="9" t="s">
        <v>20</v>
      </c>
      <c r="O13328" s="6" t="str">
        <f>HYPERLINK("https://pbs.twimg.com/profile_images/962471262747529216/Uo8lOkRJ_normal.jpg","View")</f>
        <v>View</v>
      </c>
      <c r="P13328" s="7"/>
    </row>
    <row r="13329" spans="1:16">
      <c r="A13329" s="3">
        <v>44224.173819444448</v>
      </c>
      <c r="B13329" s="4" t="str">
        <f>HYPERLINK("https://twitter.com/petrogustavo","@petrogustavo")</f>
        <v>@petrogustavo</v>
      </c>
      <c r="C13329" s="5" t="s">
        <v>16</v>
      </c>
      <c r="D13329" s="5" t="s">
        <v>12827</v>
      </c>
      <c r="E13329" s="6" t="str">
        <f>HYPERLINK("https://twitter.com/petrogustavo/status/1354559887032905731","1354559887032905731")</f>
        <v>1354559887032905731</v>
      </c>
      <c r="F13329" s="7" t="s">
        <v>17</v>
      </c>
      <c r="G13329" s="7">
        <v>4049951</v>
      </c>
      <c r="H13329" s="7">
        <v>2480</v>
      </c>
      <c r="I13329" s="7">
        <v>94</v>
      </c>
      <c r="J13329" s="7">
        <v>0</v>
      </c>
      <c r="K13329" s="7" t="s">
        <v>18</v>
      </c>
      <c r="L13329" s="8">
        <v>39987.315405092595</v>
      </c>
      <c r="M13329" s="9" t="s">
        <v>19</v>
      </c>
      <c r="N13329" s="9" t="s">
        <v>20</v>
      </c>
      <c r="O13329" s="6" t="str">
        <f>HYPERLINK("https://pbs.twimg.com/profile_images/962471262747529216/Uo8lOkRJ_normal.jpg","View")</f>
        <v>View</v>
      </c>
      <c r="P13329" s="7"/>
    </row>
    <row r="13330" spans="1:16">
      <c r="A13330" s="3">
        <v>44224.774282407408</v>
      </c>
      <c r="B13330" s="4" t="str">
        <f>HYPERLINK("https://twitter.com/petrogustavo","@petrogustavo")</f>
        <v>@petrogustavo</v>
      </c>
      <c r="C13330" s="5" t="s">
        <v>16</v>
      </c>
      <c r="D13330" s="5" t="s">
        <v>12828</v>
      </c>
      <c r="E13330" s="6" t="str">
        <f>HYPERLINK("https://twitter.com/petrogustavo/status/1354777489860677633","1354777489860677633")</f>
        <v>1354777489860677633</v>
      </c>
      <c r="F13330" s="7" t="s">
        <v>17</v>
      </c>
      <c r="G13330" s="7">
        <v>4050762</v>
      </c>
      <c r="H13330" s="7">
        <v>2480</v>
      </c>
      <c r="I13330" s="7">
        <v>92</v>
      </c>
      <c r="J13330" s="7">
        <v>318</v>
      </c>
      <c r="K13330" s="7" t="s">
        <v>18</v>
      </c>
      <c r="L13330" s="8">
        <v>39987.315405092595</v>
      </c>
      <c r="M13330" s="9" t="s">
        <v>19</v>
      </c>
      <c r="N13330" s="9" t="s">
        <v>20</v>
      </c>
      <c r="O13330" s="6" t="str">
        <f>HYPERLINK("https://pbs.twimg.com/profile_images/962471262747529216/Uo8lOkRJ_normal.jpg","View")</f>
        <v>View</v>
      </c>
      <c r="P13330" s="7"/>
    </row>
    <row r="13331" spans="1:16">
      <c r="A13331" s="3">
        <v>44224.774826388893</v>
      </c>
      <c r="B13331" s="4" t="str">
        <f>HYPERLINK("https://twitter.com/petrogustavo","@petrogustavo")</f>
        <v>@petrogustavo</v>
      </c>
      <c r="C13331" s="5" t="s">
        <v>16</v>
      </c>
      <c r="D13331" s="5" t="s">
        <v>12829</v>
      </c>
      <c r="E13331" s="6" t="str">
        <f>HYPERLINK("https://twitter.com/petrogustavo/status/1354777685218779136","1354777685218779136")</f>
        <v>1354777685218779136</v>
      </c>
      <c r="F13331" s="7" t="s">
        <v>17</v>
      </c>
      <c r="G13331" s="7">
        <v>4050762</v>
      </c>
      <c r="H13331" s="7">
        <v>2480</v>
      </c>
      <c r="I13331" s="7">
        <v>42</v>
      </c>
      <c r="J13331" s="7">
        <v>132</v>
      </c>
      <c r="K13331" s="7" t="s">
        <v>18</v>
      </c>
      <c r="L13331" s="8">
        <v>39987.315405092595</v>
      </c>
      <c r="M13331" s="9" t="s">
        <v>19</v>
      </c>
      <c r="N13331" s="9" t="s">
        <v>20</v>
      </c>
      <c r="O13331" s="6" t="str">
        <f>HYPERLINK("https://pbs.twimg.com/profile_images/962471262747529216/Uo8lOkRJ_normal.jpg","View")</f>
        <v>View</v>
      </c>
      <c r="P13331" s="7"/>
    </row>
    <row r="13332" spans="1:16">
      <c r="A13332" s="3">
        <v>44224.939166666663</v>
      </c>
      <c r="B13332" s="4" t="str">
        <f>HYPERLINK("https://twitter.com/petrogustavo","@petrogustavo")</f>
        <v>@petrogustavo</v>
      </c>
      <c r="C13332" s="5" t="s">
        <v>16</v>
      </c>
      <c r="D13332" s="5" t="s">
        <v>12830</v>
      </c>
      <c r="E13332" s="6" t="str">
        <f>HYPERLINK("https://twitter.com/petrogustavo/status/1354837241261154307","1354837241261154307")</f>
        <v>1354837241261154307</v>
      </c>
      <c r="F13332" s="7" t="s">
        <v>17</v>
      </c>
      <c r="G13332" s="7">
        <v>4051090</v>
      </c>
      <c r="H13332" s="7">
        <v>2479</v>
      </c>
      <c r="I13332" s="7">
        <v>84</v>
      </c>
      <c r="J13332" s="7">
        <v>0</v>
      </c>
      <c r="K13332" s="7" t="s">
        <v>18</v>
      </c>
      <c r="L13332" s="8">
        <v>39987.315405092595</v>
      </c>
      <c r="M13332" s="9" t="s">
        <v>19</v>
      </c>
      <c r="N13332" s="9" t="s">
        <v>20</v>
      </c>
      <c r="O13332" s="6" t="str">
        <f>HYPERLINK("https://pbs.twimg.com/profile_images/962471262747529216/Uo8lOkRJ_normal.jpg","View")</f>
        <v>View</v>
      </c>
      <c r="P13332" s="7"/>
    </row>
    <row r="13333" spans="1:16">
      <c r="A13333" s="3">
        <v>44224.95820601852</v>
      </c>
      <c r="B13333" s="4" t="str">
        <f>HYPERLINK("https://twitter.com/petrogustavo","@petrogustavo")</f>
        <v>@petrogustavo</v>
      </c>
      <c r="C13333" s="5" t="s">
        <v>16</v>
      </c>
      <c r="D13333" s="5" t="s">
        <v>12831</v>
      </c>
      <c r="E13333" s="6" t="str">
        <f>HYPERLINK("https://twitter.com/petrogustavo/status/1354844140249481220","1354844140249481220")</f>
        <v>1354844140249481220</v>
      </c>
      <c r="F13333" s="7" t="s">
        <v>17</v>
      </c>
      <c r="G13333" s="7">
        <v>4051146</v>
      </c>
      <c r="H13333" s="7">
        <v>2479</v>
      </c>
      <c r="I13333" s="7">
        <v>53</v>
      </c>
      <c r="J13333" s="7">
        <v>370</v>
      </c>
      <c r="K13333" s="7" t="s">
        <v>18</v>
      </c>
      <c r="L13333" s="8">
        <v>39987.315405092595</v>
      </c>
      <c r="M13333" s="9" t="s">
        <v>19</v>
      </c>
      <c r="N13333" s="9" t="s">
        <v>20</v>
      </c>
      <c r="O13333" s="6" t="str">
        <f>HYPERLINK("https://pbs.twimg.com/profile_images/962471262747529216/Uo8lOkRJ_normal.jpg","View")</f>
        <v>View</v>
      </c>
      <c r="P13333" s="7"/>
    </row>
    <row r="13334" spans="1:16">
      <c r="A13334" s="3">
        <v>44224.960069444445</v>
      </c>
      <c r="B13334" s="4" t="str">
        <f>HYPERLINK("https://twitter.com/petrogustavo","@petrogustavo")</f>
        <v>@petrogustavo</v>
      </c>
      <c r="C13334" s="5" t="s">
        <v>16</v>
      </c>
      <c r="D13334" s="5" t="s">
        <v>12832</v>
      </c>
      <c r="E13334" s="6" t="str">
        <f>HYPERLINK("https://twitter.com/petrogustavo/status/1354844814987177985","1354844814987177985")</f>
        <v>1354844814987177985</v>
      </c>
      <c r="F13334" s="7" t="s">
        <v>17</v>
      </c>
      <c r="G13334" s="7">
        <v>4051146</v>
      </c>
      <c r="H13334" s="7">
        <v>2479</v>
      </c>
      <c r="I13334" s="7">
        <v>150</v>
      </c>
      <c r="J13334" s="7">
        <v>344</v>
      </c>
      <c r="K13334" s="7" t="s">
        <v>18</v>
      </c>
      <c r="L13334" s="8">
        <v>39987.315405092595</v>
      </c>
      <c r="M13334" s="9" t="s">
        <v>19</v>
      </c>
      <c r="N13334" s="9" t="s">
        <v>20</v>
      </c>
      <c r="O13334" s="6" t="str">
        <f>HYPERLINK("https://pbs.twimg.com/profile_images/962471262747529216/Uo8lOkRJ_normal.jpg","View")</f>
        <v>View</v>
      </c>
      <c r="P13334" s="7"/>
    </row>
    <row r="13335" spans="1:16">
      <c r="A13335" s="3">
        <v>44224.963900462964</v>
      </c>
      <c r="B13335" s="4" t="str">
        <f>HYPERLINK("https://twitter.com/petrogustavo","@petrogustavo")</f>
        <v>@petrogustavo</v>
      </c>
      <c r="C13335" s="5" t="s">
        <v>16</v>
      </c>
      <c r="D13335" s="5" t="s">
        <v>12833</v>
      </c>
      <c r="E13335" s="6" t="str">
        <f>HYPERLINK("https://twitter.com/petrogustavo/status/1354846203352129542","1354846203352129542")</f>
        <v>1354846203352129542</v>
      </c>
      <c r="F13335" s="7" t="s">
        <v>17</v>
      </c>
      <c r="G13335" s="7">
        <v>4051146</v>
      </c>
      <c r="H13335" s="7">
        <v>2479</v>
      </c>
      <c r="I13335" s="7">
        <v>103</v>
      </c>
      <c r="J13335" s="7">
        <v>170</v>
      </c>
      <c r="K13335" s="7" t="s">
        <v>18</v>
      </c>
      <c r="L13335" s="8">
        <v>39987.315405092595</v>
      </c>
      <c r="M13335" s="9" t="s">
        <v>19</v>
      </c>
      <c r="N13335" s="9" t="s">
        <v>20</v>
      </c>
      <c r="O13335" s="6" t="str">
        <f>HYPERLINK("https://pbs.twimg.com/profile_images/962471262747529216/Uo8lOkRJ_normal.jpg","View")</f>
        <v>View</v>
      </c>
      <c r="P13335" s="7"/>
    </row>
    <row r="13336" spans="1:16">
      <c r="A13336" s="3">
        <v>44224.976099537038</v>
      </c>
      <c r="B13336" s="4" t="str">
        <f>HYPERLINK("https://twitter.com/petrogustavo","@petrogustavo")</f>
        <v>@petrogustavo</v>
      </c>
      <c r="C13336" s="5" t="s">
        <v>16</v>
      </c>
      <c r="D13336" s="5" t="s">
        <v>12834</v>
      </c>
      <c r="E13336" s="6" t="str">
        <f>HYPERLINK("https://twitter.com/petrogustavo/status/1354850625658511360","1354850625658511360")</f>
        <v>1354850625658511360</v>
      </c>
      <c r="F13336" s="7" t="s">
        <v>17</v>
      </c>
      <c r="G13336" s="7">
        <v>4051211</v>
      </c>
      <c r="H13336" s="7">
        <v>2479</v>
      </c>
      <c r="I13336" s="7">
        <v>114</v>
      </c>
      <c r="J13336" s="7">
        <v>0</v>
      </c>
      <c r="K13336" s="7" t="s">
        <v>18</v>
      </c>
      <c r="L13336" s="8">
        <v>39987.315405092595</v>
      </c>
      <c r="M13336" s="9" t="s">
        <v>19</v>
      </c>
      <c r="N13336" s="9" t="s">
        <v>20</v>
      </c>
      <c r="O13336" s="6" t="str">
        <f>HYPERLINK("https://pbs.twimg.com/profile_images/962471262747529216/Uo8lOkRJ_normal.jpg","View")</f>
        <v>View</v>
      </c>
      <c r="P13336" s="7"/>
    </row>
    <row r="13337" spans="1:16">
      <c r="A13337" s="3">
        <v>44224.977129629631</v>
      </c>
      <c r="B13337" s="4" t="str">
        <f>HYPERLINK("https://twitter.com/petrogustavo","@petrogustavo")</f>
        <v>@petrogustavo</v>
      </c>
      <c r="C13337" s="5" t="s">
        <v>16</v>
      </c>
      <c r="D13337" s="5" t="s">
        <v>12835</v>
      </c>
      <c r="E13337" s="6" t="str">
        <f>HYPERLINK("https://twitter.com/petrogustavo/status/1354850995948449796","1354850995948449796")</f>
        <v>1354850995948449796</v>
      </c>
      <c r="F13337" s="7" t="s">
        <v>17</v>
      </c>
      <c r="G13337" s="7">
        <v>4051211</v>
      </c>
      <c r="H13337" s="7">
        <v>2479</v>
      </c>
      <c r="I13337" s="7">
        <v>170</v>
      </c>
      <c r="J13337" s="7">
        <v>0</v>
      </c>
      <c r="K13337" s="7" t="s">
        <v>18</v>
      </c>
      <c r="L13337" s="8">
        <v>39987.315405092595</v>
      </c>
      <c r="M13337" s="9" t="s">
        <v>19</v>
      </c>
      <c r="N13337" s="9" t="s">
        <v>20</v>
      </c>
      <c r="O13337" s="6" t="str">
        <f>HYPERLINK("https://pbs.twimg.com/profile_images/962471262747529216/Uo8lOkRJ_normal.jpg","View")</f>
        <v>View</v>
      </c>
      <c r="P13337" s="7"/>
    </row>
    <row r="13338" spans="1:16">
      <c r="A13338" s="3">
        <v>44224.977349537032</v>
      </c>
      <c r="B13338" s="4" t="str">
        <f>HYPERLINK("https://twitter.com/petrogustavo","@petrogustavo")</f>
        <v>@petrogustavo</v>
      </c>
      <c r="C13338" s="5" t="s">
        <v>16</v>
      </c>
      <c r="D13338" s="5" t="s">
        <v>12836</v>
      </c>
      <c r="E13338" s="6" t="str">
        <f>HYPERLINK("https://twitter.com/petrogustavo/status/1354851078865616897","1354851078865616897")</f>
        <v>1354851078865616897</v>
      </c>
      <c r="F13338" s="7" t="s">
        <v>17</v>
      </c>
      <c r="G13338" s="7">
        <v>4051211</v>
      </c>
      <c r="H13338" s="7">
        <v>2479</v>
      </c>
      <c r="I13338" s="7">
        <v>311</v>
      </c>
      <c r="J13338" s="7">
        <v>0</v>
      </c>
      <c r="K13338" s="7" t="s">
        <v>18</v>
      </c>
      <c r="L13338" s="8">
        <v>39987.315405092595</v>
      </c>
      <c r="M13338" s="9" t="s">
        <v>19</v>
      </c>
      <c r="N13338" s="9" t="s">
        <v>20</v>
      </c>
      <c r="O13338" s="6" t="str">
        <f>HYPERLINK("https://pbs.twimg.com/profile_images/962471262747529216/Uo8lOkRJ_normal.jpg","View")</f>
        <v>View</v>
      </c>
      <c r="P13338" s="7"/>
    </row>
    <row r="13339" spans="1:16">
      <c r="A13339" s="3">
        <v>44225.659062499995</v>
      </c>
      <c r="B13339" s="4" t="str">
        <f>HYPERLINK("https://twitter.com/petrogustavo","@petrogustavo")</f>
        <v>@petrogustavo</v>
      </c>
      <c r="C13339" s="5" t="s">
        <v>16</v>
      </c>
      <c r="D13339" s="5" t="s">
        <v>12837</v>
      </c>
      <c r="E13339" s="6" t="str">
        <f>HYPERLINK("https://twitter.com/petrogustavo/status/1355098123048259586","1355098123048259586")</f>
        <v>1355098123048259586</v>
      </c>
      <c r="F13339" s="7" t="s">
        <v>17</v>
      </c>
      <c r="G13339" s="7">
        <v>4051870</v>
      </c>
      <c r="H13339" s="7">
        <v>2480</v>
      </c>
      <c r="I13339" s="7">
        <v>243</v>
      </c>
      <c r="J13339" s="7">
        <v>0</v>
      </c>
      <c r="K13339" s="7" t="s">
        <v>18</v>
      </c>
      <c r="L13339" s="8">
        <v>39987.315405092595</v>
      </c>
      <c r="M13339" s="9" t="s">
        <v>19</v>
      </c>
      <c r="N13339" s="9" t="s">
        <v>20</v>
      </c>
      <c r="O13339" s="6" t="str">
        <f>HYPERLINK("https://pbs.twimg.com/profile_images/962471262747529216/Uo8lOkRJ_normal.jpg","View")</f>
        <v>View</v>
      </c>
      <c r="P13339" s="7"/>
    </row>
    <row r="13340" spans="1:16">
      <c r="A13340" s="3">
        <v>44225.666909722218</v>
      </c>
      <c r="B13340" s="4" t="str">
        <f>HYPERLINK("https://twitter.com/petrogustavo","@petrogustavo")</f>
        <v>@petrogustavo</v>
      </c>
      <c r="C13340" s="5" t="s">
        <v>16</v>
      </c>
      <c r="D13340" s="5" t="s">
        <v>12838</v>
      </c>
      <c r="E13340" s="6" t="str">
        <f>HYPERLINK("https://twitter.com/petrogustavo/status/1355100965733617665","1355100965733617665")</f>
        <v>1355100965733617665</v>
      </c>
      <c r="F13340" s="7" t="s">
        <v>17</v>
      </c>
      <c r="G13340" s="7">
        <v>4051870</v>
      </c>
      <c r="H13340" s="7">
        <v>2480</v>
      </c>
      <c r="I13340" s="7">
        <v>85</v>
      </c>
      <c r="J13340" s="7">
        <v>164</v>
      </c>
      <c r="K13340" s="7" t="s">
        <v>18</v>
      </c>
      <c r="L13340" s="8">
        <v>39987.315405092595</v>
      </c>
      <c r="M13340" s="9" t="s">
        <v>19</v>
      </c>
      <c r="N13340" s="9" t="s">
        <v>20</v>
      </c>
      <c r="O13340" s="6" t="str">
        <f>HYPERLINK("https://pbs.twimg.com/profile_images/962471262747529216/Uo8lOkRJ_normal.jpg","View")</f>
        <v>View</v>
      </c>
      <c r="P13340" s="7"/>
    </row>
    <row r="13341" spans="1:16">
      <c r="A13341" s="3">
        <v>44225.666921296295</v>
      </c>
      <c r="B13341" s="4" t="str">
        <f>HYPERLINK("https://twitter.com/petrogustavo","@petrogustavo")</f>
        <v>@petrogustavo</v>
      </c>
      <c r="C13341" s="5" t="s">
        <v>16</v>
      </c>
      <c r="D13341" s="5" t="s">
        <v>12839</v>
      </c>
      <c r="E13341" s="6" t="str">
        <f>HYPERLINK("https://twitter.com/petrogustavo/status/1355100968124350467","1355100968124350467")</f>
        <v>1355100968124350467</v>
      </c>
      <c r="F13341" s="7" t="s">
        <v>17</v>
      </c>
      <c r="G13341" s="7">
        <v>4051870</v>
      </c>
      <c r="H13341" s="7">
        <v>2480</v>
      </c>
      <c r="I13341" s="7">
        <v>38</v>
      </c>
      <c r="J13341" s="7">
        <v>117</v>
      </c>
      <c r="K13341" s="7" t="s">
        <v>18</v>
      </c>
      <c r="L13341" s="8">
        <v>39987.315405092595</v>
      </c>
      <c r="M13341" s="9" t="s">
        <v>19</v>
      </c>
      <c r="N13341" s="9" t="s">
        <v>20</v>
      </c>
      <c r="O13341" s="6" t="str">
        <f>HYPERLINK("https://pbs.twimg.com/profile_images/962471262747529216/Uo8lOkRJ_normal.jpg","View")</f>
        <v>View</v>
      </c>
      <c r="P13341" s="7"/>
    </row>
    <row r="13342" spans="1:16">
      <c r="A13342" s="3">
        <v>44225.666921296295</v>
      </c>
      <c r="B13342" s="4" t="str">
        <f>HYPERLINK("https://twitter.com/petrogustavo","@petrogustavo")</f>
        <v>@petrogustavo</v>
      </c>
      <c r="C13342" s="5" t="s">
        <v>16</v>
      </c>
      <c r="D13342" s="5" t="s">
        <v>12840</v>
      </c>
      <c r="E13342" s="6" t="str">
        <f>HYPERLINK("https://twitter.com/petrogustavo/status/1355100969537777664","1355100969537777664")</f>
        <v>1355100969537777664</v>
      </c>
      <c r="F13342" s="7" t="s">
        <v>17</v>
      </c>
      <c r="G13342" s="7">
        <v>4051870</v>
      </c>
      <c r="H13342" s="7">
        <v>2480</v>
      </c>
      <c r="I13342" s="7">
        <v>41</v>
      </c>
      <c r="J13342" s="7">
        <v>150</v>
      </c>
      <c r="K13342" s="7" t="s">
        <v>18</v>
      </c>
      <c r="L13342" s="8">
        <v>39987.315405092595</v>
      </c>
      <c r="M13342" s="9" t="s">
        <v>19</v>
      </c>
      <c r="N13342" s="9" t="s">
        <v>20</v>
      </c>
      <c r="O13342" s="6" t="str">
        <f>HYPERLINK("https://pbs.twimg.com/profile_images/962471262747529216/Uo8lOkRJ_normal.jpg","View")</f>
        <v>View</v>
      </c>
      <c r="P13342" s="7"/>
    </row>
    <row r="13343" spans="1:16">
      <c r="A13343" s="3">
        <v>44225.87663194444</v>
      </c>
      <c r="B13343" s="4" t="str">
        <f>HYPERLINK("https://twitter.com/petrogustavo","@petrogustavo")</f>
        <v>@petrogustavo</v>
      </c>
      <c r="C13343" s="5" t="s">
        <v>16</v>
      </c>
      <c r="D13343" s="5" t="s">
        <v>12841</v>
      </c>
      <c r="E13343" s="6" t="str">
        <f>HYPERLINK("https://twitter.com/petrogustavo/status/1355176965217644549","1355176965217644549")</f>
        <v>1355176965217644549</v>
      </c>
      <c r="F13343" s="7" t="s">
        <v>17</v>
      </c>
      <c r="G13343" s="7">
        <v>4052061</v>
      </c>
      <c r="H13343" s="7">
        <v>2480</v>
      </c>
      <c r="I13343" s="7">
        <v>146</v>
      </c>
      <c r="J13343" s="7">
        <v>350</v>
      </c>
      <c r="K13343" s="7" t="s">
        <v>18</v>
      </c>
      <c r="L13343" s="8">
        <v>39987.315405092595</v>
      </c>
      <c r="M13343" s="9" t="s">
        <v>19</v>
      </c>
      <c r="N13343" s="9" t="s">
        <v>20</v>
      </c>
      <c r="O13343" s="6" t="str">
        <f>HYPERLINK("https://pbs.twimg.com/profile_images/962471262747529216/Uo8lOkRJ_normal.jpg","View")</f>
        <v>View</v>
      </c>
      <c r="P13343" s="7"/>
    </row>
    <row r="13344" spans="1:16">
      <c r="A13344" s="3">
        <v>44225.881747685184</v>
      </c>
      <c r="B13344" s="4" t="str">
        <f>HYPERLINK("https://twitter.com/petrogustavo","@petrogustavo")</f>
        <v>@petrogustavo</v>
      </c>
      <c r="C13344" s="5" t="s">
        <v>16</v>
      </c>
      <c r="D13344" s="5" t="s">
        <v>12842</v>
      </c>
      <c r="E13344" s="6" t="str">
        <f>HYPERLINK("https://twitter.com/petrogustavo/status/1355178820890984451","1355178820890984451")</f>
        <v>1355178820890984451</v>
      </c>
      <c r="F13344" s="7" t="s">
        <v>17</v>
      </c>
      <c r="G13344" s="7">
        <v>4052061</v>
      </c>
      <c r="H13344" s="7">
        <v>2480</v>
      </c>
      <c r="I13344" s="7">
        <v>487</v>
      </c>
      <c r="J13344" s="7">
        <v>0</v>
      </c>
      <c r="K13344" s="7" t="s">
        <v>18</v>
      </c>
      <c r="L13344" s="8">
        <v>39987.315405092595</v>
      </c>
      <c r="M13344" s="9" t="s">
        <v>19</v>
      </c>
      <c r="N13344" s="9" t="s">
        <v>20</v>
      </c>
      <c r="O13344" s="6" t="str">
        <f>HYPERLINK("https://pbs.twimg.com/profile_images/962471262747529216/Uo8lOkRJ_normal.jpg","View")</f>
        <v>View</v>
      </c>
      <c r="P13344" s="7"/>
    </row>
    <row r="13345" spans="1:16">
      <c r="A13345" s="3">
        <v>44225.884328703702</v>
      </c>
      <c r="B13345" s="4" t="str">
        <f>HYPERLINK("https://twitter.com/petrogustavo","@petrogustavo")</f>
        <v>@petrogustavo</v>
      </c>
      <c r="C13345" s="5" t="s">
        <v>16</v>
      </c>
      <c r="D13345" s="5" t="s">
        <v>12843</v>
      </c>
      <c r="E13345" s="6" t="str">
        <f>HYPERLINK("https://twitter.com/petrogustavo/status/1355179757516763137","1355179757516763137")</f>
        <v>1355179757516763137</v>
      </c>
      <c r="F13345" s="7" t="s">
        <v>17</v>
      </c>
      <c r="G13345" s="7">
        <v>4052061</v>
      </c>
      <c r="H13345" s="7">
        <v>2480</v>
      </c>
      <c r="I13345" s="7">
        <v>40</v>
      </c>
      <c r="J13345" s="7">
        <v>121</v>
      </c>
      <c r="K13345" s="7" t="s">
        <v>18</v>
      </c>
      <c r="L13345" s="8">
        <v>39987.315405092595</v>
      </c>
      <c r="M13345" s="9" t="s">
        <v>19</v>
      </c>
      <c r="N13345" s="9" t="s">
        <v>20</v>
      </c>
      <c r="O13345" s="6" t="str">
        <f>HYPERLINK("https://pbs.twimg.com/profile_images/962471262747529216/Uo8lOkRJ_normal.jpg","View")</f>
        <v>View</v>
      </c>
      <c r="P13345" s="7"/>
    </row>
    <row r="13346" spans="1:16">
      <c r="A13346" s="3">
        <v>44225.888020833328</v>
      </c>
      <c r="B13346" s="4" t="str">
        <f>HYPERLINK("https://twitter.com/petrogustavo","@petrogustavo")</f>
        <v>@petrogustavo</v>
      </c>
      <c r="C13346" s="5" t="s">
        <v>16</v>
      </c>
      <c r="D13346" s="5" t="s">
        <v>12844</v>
      </c>
      <c r="E13346" s="6" t="str">
        <f>HYPERLINK("https://twitter.com/petrogustavo/status/1355181095961169921","1355181095961169921")</f>
        <v>1355181095961169921</v>
      </c>
      <c r="F13346" s="7" t="s">
        <v>17</v>
      </c>
      <c r="G13346" s="7">
        <v>4052076</v>
      </c>
      <c r="H13346" s="7">
        <v>2480</v>
      </c>
      <c r="I13346" s="7">
        <v>80</v>
      </c>
      <c r="J13346" s="7">
        <v>199</v>
      </c>
      <c r="K13346" s="7" t="s">
        <v>18</v>
      </c>
      <c r="L13346" s="8">
        <v>39987.315405092595</v>
      </c>
      <c r="M13346" s="9" t="s">
        <v>19</v>
      </c>
      <c r="N13346" s="9" t="s">
        <v>20</v>
      </c>
      <c r="O13346" s="6" t="str">
        <f>HYPERLINK("https://pbs.twimg.com/profile_images/962471262747529216/Uo8lOkRJ_normal.jpg","View")</f>
        <v>View</v>
      </c>
      <c r="P13346" s="7"/>
    </row>
    <row r="13347" spans="1:16">
      <c r="A13347" s="3">
        <v>44225.889606481476</v>
      </c>
      <c r="B13347" s="4" t="str">
        <f>HYPERLINK("https://twitter.com/petrogustavo","@petrogustavo")</f>
        <v>@petrogustavo</v>
      </c>
      <c r="C13347" s="5" t="s">
        <v>16</v>
      </c>
      <c r="D13347" s="5" t="s">
        <v>12845</v>
      </c>
      <c r="E13347" s="6" t="str">
        <f>HYPERLINK("https://twitter.com/petrogustavo/status/1355181669129588737","1355181669129588737")</f>
        <v>1355181669129588737</v>
      </c>
      <c r="F13347" s="7" t="s">
        <v>17</v>
      </c>
      <c r="G13347" s="7">
        <v>4052076</v>
      </c>
      <c r="H13347" s="7">
        <v>2480</v>
      </c>
      <c r="I13347" s="7">
        <v>138</v>
      </c>
      <c r="J13347" s="7">
        <v>299</v>
      </c>
      <c r="K13347" s="7" t="s">
        <v>18</v>
      </c>
      <c r="L13347" s="8">
        <v>39987.315405092595</v>
      </c>
      <c r="M13347" s="9" t="s">
        <v>19</v>
      </c>
      <c r="N13347" s="9" t="s">
        <v>20</v>
      </c>
      <c r="O13347" s="6" t="str">
        <f>HYPERLINK("https://pbs.twimg.com/profile_images/962471262747529216/Uo8lOkRJ_normal.jpg","View")</f>
        <v>View</v>
      </c>
      <c r="P13347" s="7"/>
    </row>
    <row r="13348" spans="1:16">
      <c r="A13348" s="3">
        <v>44225.894224537042</v>
      </c>
      <c r="B13348" s="4" t="str">
        <f>HYPERLINK("https://twitter.com/petrogustavo","@petrogustavo")</f>
        <v>@petrogustavo</v>
      </c>
      <c r="C13348" s="5" t="s">
        <v>16</v>
      </c>
      <c r="D13348" s="5" t="s">
        <v>12846</v>
      </c>
      <c r="E13348" s="6" t="str">
        <f>HYPERLINK("https://twitter.com/petrogustavo/status/1355183340240953344","1355183340240953344")</f>
        <v>1355183340240953344</v>
      </c>
      <c r="F13348" s="7" t="s">
        <v>17</v>
      </c>
      <c r="G13348" s="7">
        <v>4052076</v>
      </c>
      <c r="H13348" s="7">
        <v>2480</v>
      </c>
      <c r="I13348" s="7">
        <v>24</v>
      </c>
      <c r="J13348" s="7">
        <v>0</v>
      </c>
      <c r="K13348" s="7" t="s">
        <v>18</v>
      </c>
      <c r="L13348" s="8">
        <v>39987.315405092595</v>
      </c>
      <c r="M13348" s="9" t="s">
        <v>19</v>
      </c>
      <c r="N13348" s="9" t="s">
        <v>20</v>
      </c>
      <c r="O13348" s="6" t="str">
        <f>HYPERLINK("https://pbs.twimg.com/profile_images/962471262747529216/Uo8lOkRJ_normal.jpg","View")</f>
        <v>View</v>
      </c>
      <c r="P13348" s="7"/>
    </row>
    <row r="13349" spans="1:16">
      <c r="A13349" s="3">
        <v>44225.89444444445</v>
      </c>
      <c r="B13349" s="4" t="str">
        <f>HYPERLINK("https://twitter.com/petrogustavo","@petrogustavo")</f>
        <v>@petrogustavo</v>
      </c>
      <c r="C13349" s="5" t="s">
        <v>16</v>
      </c>
      <c r="D13349" s="5" t="s">
        <v>12847</v>
      </c>
      <c r="E13349" s="6" t="str">
        <f>HYPERLINK("https://twitter.com/petrogustavo/status/1355183420251500544","1355183420251500544")</f>
        <v>1355183420251500544</v>
      </c>
      <c r="F13349" s="7" t="s">
        <v>17</v>
      </c>
      <c r="G13349" s="7">
        <v>4052076</v>
      </c>
      <c r="H13349" s="7">
        <v>2480</v>
      </c>
      <c r="I13349" s="7">
        <v>99</v>
      </c>
      <c r="J13349" s="7">
        <v>0</v>
      </c>
      <c r="K13349" s="7" t="s">
        <v>18</v>
      </c>
      <c r="L13349" s="8">
        <v>39987.315405092595</v>
      </c>
      <c r="M13349" s="9" t="s">
        <v>19</v>
      </c>
      <c r="N13349" s="9" t="s">
        <v>20</v>
      </c>
      <c r="O13349" s="6" t="str">
        <f>HYPERLINK("https://pbs.twimg.com/profile_images/962471262747529216/Uo8lOkRJ_normal.jpg","View")</f>
        <v>View</v>
      </c>
      <c r="P13349" s="7"/>
    </row>
    <row r="13350" spans="1:16">
      <c r="A13350" s="3">
        <v>44225.92359953704</v>
      </c>
      <c r="B13350" s="4" t="str">
        <f>HYPERLINK("https://twitter.com/petrogustavo","@petrogustavo")</f>
        <v>@petrogustavo</v>
      </c>
      <c r="C13350" s="5" t="s">
        <v>16</v>
      </c>
      <c r="D13350" s="5" t="s">
        <v>12848</v>
      </c>
      <c r="E13350" s="6" t="str">
        <f>HYPERLINK("https://twitter.com/petrogustavo/status/1355193988945469443","1355193988945469443")</f>
        <v>1355193988945469443</v>
      </c>
      <c r="F13350" s="7" t="s">
        <v>17</v>
      </c>
      <c r="G13350" s="7">
        <v>4052100</v>
      </c>
      <c r="H13350" s="7">
        <v>2480</v>
      </c>
      <c r="I13350" s="7">
        <v>171</v>
      </c>
      <c r="J13350" s="7">
        <v>0</v>
      </c>
      <c r="K13350" s="7" t="s">
        <v>18</v>
      </c>
      <c r="L13350" s="8">
        <v>39987.315405092595</v>
      </c>
      <c r="M13350" s="9" t="s">
        <v>19</v>
      </c>
      <c r="N13350" s="9" t="s">
        <v>20</v>
      </c>
      <c r="O13350" s="6" t="str">
        <f>HYPERLINK("https://pbs.twimg.com/profile_images/962471262747529216/Uo8lOkRJ_normal.jpg","View")</f>
        <v>View</v>
      </c>
      <c r="P13350" s="7"/>
    </row>
    <row r="13351" spans="1:16">
      <c r="A13351" s="3">
        <v>44225.949317129634</v>
      </c>
      <c r="B13351" s="4" t="str">
        <f>HYPERLINK("https://twitter.com/petrogustavo","@petrogustavo")</f>
        <v>@petrogustavo</v>
      </c>
      <c r="C13351" s="5" t="s">
        <v>16</v>
      </c>
      <c r="D13351" s="5" t="s">
        <v>12849</v>
      </c>
      <c r="E13351" s="6" t="str">
        <f>HYPERLINK("https://twitter.com/petrogustavo/status/1355203305207705600","1355203305207705600")</f>
        <v>1355203305207705600</v>
      </c>
      <c r="F13351" s="7" t="s">
        <v>17</v>
      </c>
      <c r="G13351" s="7">
        <v>4052117</v>
      </c>
      <c r="H13351" s="7">
        <v>2480</v>
      </c>
      <c r="I13351" s="7">
        <v>11</v>
      </c>
      <c r="J13351" s="7">
        <v>32</v>
      </c>
      <c r="K13351" s="7" t="s">
        <v>18</v>
      </c>
      <c r="L13351" s="8">
        <v>39987.315405092595</v>
      </c>
      <c r="M13351" s="9" t="s">
        <v>19</v>
      </c>
      <c r="N13351" s="9" t="s">
        <v>20</v>
      </c>
      <c r="O13351" s="6" t="str">
        <f>HYPERLINK("https://pbs.twimg.com/profile_images/962471262747529216/Uo8lOkRJ_normal.jpg","View")</f>
        <v>View</v>
      </c>
      <c r="P13351" s="7"/>
    </row>
    <row r="13352" spans="1:16">
      <c r="A13352" s="3">
        <v>44225.956736111111</v>
      </c>
      <c r="B13352" s="4" t="str">
        <f>HYPERLINK("https://twitter.com/petrogustavo","@petrogustavo")</f>
        <v>@petrogustavo</v>
      </c>
      <c r="C13352" s="5" t="s">
        <v>16</v>
      </c>
      <c r="D13352" s="5" t="s">
        <v>12850</v>
      </c>
      <c r="E13352" s="6" t="str">
        <f>HYPERLINK("https://twitter.com/petrogustavo/status/1355205997460074498","1355205997460074498")</f>
        <v>1355205997460074498</v>
      </c>
      <c r="F13352" s="7" t="s">
        <v>17</v>
      </c>
      <c r="G13352" s="7">
        <v>4052132</v>
      </c>
      <c r="H13352" s="7">
        <v>2480</v>
      </c>
      <c r="I13352" s="7">
        <v>127</v>
      </c>
      <c r="J13352" s="7">
        <v>0</v>
      </c>
      <c r="K13352" s="7" t="s">
        <v>18</v>
      </c>
      <c r="L13352" s="8">
        <v>39987.315405092595</v>
      </c>
      <c r="M13352" s="9" t="s">
        <v>19</v>
      </c>
      <c r="N13352" s="9" t="s">
        <v>20</v>
      </c>
      <c r="O13352" s="6" t="str">
        <f>HYPERLINK("https://pbs.twimg.com/profile_images/962471262747529216/Uo8lOkRJ_normal.jpg","View")</f>
        <v>View</v>
      </c>
      <c r="P13352" s="7"/>
    </row>
    <row r="13353" spans="1:16">
      <c r="A13353" s="3">
        <v>44225.958414351851</v>
      </c>
      <c r="B13353" s="4" t="str">
        <f>HYPERLINK("https://twitter.com/petrogustavo","@petrogustavo")</f>
        <v>@petrogustavo</v>
      </c>
      <c r="C13353" s="5" t="s">
        <v>16</v>
      </c>
      <c r="D13353" s="5" t="s">
        <v>12851</v>
      </c>
      <c r="E13353" s="6" t="str">
        <f>HYPERLINK("https://twitter.com/petrogustavo/status/1355206604195581954","1355206604195581954")</f>
        <v>1355206604195581954</v>
      </c>
      <c r="F13353" s="7" t="s">
        <v>17</v>
      </c>
      <c r="G13353" s="7">
        <v>4052132</v>
      </c>
      <c r="H13353" s="7">
        <v>2480</v>
      </c>
      <c r="I13353" s="7">
        <v>72</v>
      </c>
      <c r="J13353" s="7">
        <v>0</v>
      </c>
      <c r="K13353" s="7" t="s">
        <v>18</v>
      </c>
      <c r="L13353" s="8">
        <v>39987.315405092595</v>
      </c>
      <c r="M13353" s="9" t="s">
        <v>19</v>
      </c>
      <c r="N13353" s="9" t="s">
        <v>20</v>
      </c>
      <c r="O13353" s="6" t="str">
        <f>HYPERLINK("https://pbs.twimg.com/profile_images/962471262747529216/Uo8lOkRJ_normal.jpg","View")</f>
        <v>View</v>
      </c>
      <c r="P13353" s="7"/>
    </row>
    <row r="13354" spans="1:16">
      <c r="A13354" s="3">
        <v>44225.958981481483</v>
      </c>
      <c r="B13354" s="4" t="str">
        <f>HYPERLINK("https://twitter.com/petrogustavo","@petrogustavo")</f>
        <v>@petrogustavo</v>
      </c>
      <c r="C13354" s="5" t="s">
        <v>16</v>
      </c>
      <c r="D13354" s="5" t="s">
        <v>12852</v>
      </c>
      <c r="E13354" s="6" t="str">
        <f>HYPERLINK("https://twitter.com/petrogustavo/status/1355206809993310211","1355206809993310211")</f>
        <v>1355206809993310211</v>
      </c>
      <c r="F13354" s="7" t="s">
        <v>17</v>
      </c>
      <c r="G13354" s="7">
        <v>4052132</v>
      </c>
      <c r="H13354" s="7">
        <v>2480</v>
      </c>
      <c r="I13354" s="7">
        <v>46</v>
      </c>
      <c r="J13354" s="7">
        <v>0</v>
      </c>
      <c r="K13354" s="7" t="s">
        <v>18</v>
      </c>
      <c r="L13354" s="8">
        <v>39987.315405092595</v>
      </c>
      <c r="M13354" s="9" t="s">
        <v>19</v>
      </c>
      <c r="N13354" s="9" t="s">
        <v>20</v>
      </c>
      <c r="O13354" s="6" t="str">
        <f>HYPERLINK("https://pbs.twimg.com/profile_images/962471262747529216/Uo8lOkRJ_normal.jpg","View")</f>
        <v>View</v>
      </c>
      <c r="P13354" s="7"/>
    </row>
    <row r="13355" spans="1:16">
      <c r="A13355" s="3">
        <v>44225.962511574078</v>
      </c>
      <c r="B13355" s="4" t="str">
        <f>HYPERLINK("https://twitter.com/petrogustavo","@petrogustavo")</f>
        <v>@petrogustavo</v>
      </c>
      <c r="C13355" s="5" t="s">
        <v>16</v>
      </c>
      <c r="D13355" s="5" t="s">
        <v>12853</v>
      </c>
      <c r="E13355" s="6" t="str">
        <f>HYPERLINK("https://twitter.com/petrogustavo/status/1355208087754448896","1355208087754448896")</f>
        <v>1355208087754448896</v>
      </c>
      <c r="F13355" s="7" t="s">
        <v>17</v>
      </c>
      <c r="G13355" s="7">
        <v>4052132</v>
      </c>
      <c r="H13355" s="7">
        <v>2480</v>
      </c>
      <c r="I13355" s="7">
        <v>754</v>
      </c>
      <c r="J13355" s="7">
        <v>0</v>
      </c>
      <c r="K13355" s="7" t="s">
        <v>18</v>
      </c>
      <c r="L13355" s="8">
        <v>39987.315405092595</v>
      </c>
      <c r="M13355" s="9" t="s">
        <v>19</v>
      </c>
      <c r="N13355" s="9" t="s">
        <v>20</v>
      </c>
      <c r="O13355" s="6" t="str">
        <f>HYPERLINK("https://pbs.twimg.com/profile_images/962471262747529216/Uo8lOkRJ_normal.jpg","View")</f>
        <v>View</v>
      </c>
      <c r="P13355" s="7"/>
    </row>
    <row r="13356" spans="1:16">
      <c r="A13356" s="3">
        <v>44225.962800925925</v>
      </c>
      <c r="B13356" s="4" t="str">
        <f>HYPERLINK("https://twitter.com/petrogustavo","@petrogustavo")</f>
        <v>@petrogustavo</v>
      </c>
      <c r="C13356" s="5" t="s">
        <v>16</v>
      </c>
      <c r="D13356" s="5" t="s">
        <v>12854</v>
      </c>
      <c r="E13356" s="6" t="str">
        <f>HYPERLINK("https://twitter.com/petrogustavo/status/1355208194579181574","1355208194579181574")</f>
        <v>1355208194579181574</v>
      </c>
      <c r="F13356" s="7" t="s">
        <v>17</v>
      </c>
      <c r="G13356" s="7">
        <v>4052132</v>
      </c>
      <c r="H13356" s="7">
        <v>2480</v>
      </c>
      <c r="I13356" s="7">
        <v>100</v>
      </c>
      <c r="J13356" s="7">
        <v>0</v>
      </c>
      <c r="K13356" s="7" t="s">
        <v>18</v>
      </c>
      <c r="L13356" s="8">
        <v>39987.315405092595</v>
      </c>
      <c r="M13356" s="9" t="s">
        <v>19</v>
      </c>
      <c r="N13356" s="9" t="s">
        <v>20</v>
      </c>
      <c r="O13356" s="6" t="str">
        <f>HYPERLINK("https://pbs.twimg.com/profile_images/962471262747529216/Uo8lOkRJ_normal.jpg","View")</f>
        <v>View</v>
      </c>
      <c r="P13356" s="7"/>
    </row>
    <row r="13357" spans="1:16">
      <c r="A13357" s="3">
        <v>44225.963761574079</v>
      </c>
      <c r="B13357" s="4" t="str">
        <f>HYPERLINK("https://twitter.com/petrogustavo","@petrogustavo")</f>
        <v>@petrogustavo</v>
      </c>
      <c r="C13357" s="5" t="s">
        <v>16</v>
      </c>
      <c r="D13357" s="5" t="s">
        <v>12855</v>
      </c>
      <c r="E13357" s="6" t="str">
        <f>HYPERLINK("https://twitter.com/petrogustavo/status/1355208542156951555","1355208542156951555")</f>
        <v>1355208542156951555</v>
      </c>
      <c r="F13357" s="7" t="s">
        <v>17</v>
      </c>
      <c r="G13357" s="7">
        <v>4052132</v>
      </c>
      <c r="H13357" s="7">
        <v>2480</v>
      </c>
      <c r="I13357" s="7">
        <v>78</v>
      </c>
      <c r="J13357" s="7">
        <v>243</v>
      </c>
      <c r="K13357" s="7" t="s">
        <v>18</v>
      </c>
      <c r="L13357" s="8">
        <v>39987.315405092595</v>
      </c>
      <c r="M13357" s="9" t="s">
        <v>19</v>
      </c>
      <c r="N13357" s="9" t="s">
        <v>20</v>
      </c>
      <c r="O13357" s="6" t="str">
        <f>HYPERLINK("https://pbs.twimg.com/profile_images/962471262747529216/Uo8lOkRJ_normal.jpg","View")</f>
        <v>View</v>
      </c>
      <c r="P13357" s="7"/>
    </row>
    <row r="13358" spans="1:16">
      <c r="A13358" s="3">
        <v>44226.072337962964</v>
      </c>
      <c r="B13358" s="4" t="str">
        <f>HYPERLINK("https://twitter.com/petrogustavo","@petrogustavo")</f>
        <v>@petrogustavo</v>
      </c>
      <c r="C13358" s="5" t="s">
        <v>16</v>
      </c>
      <c r="D13358" s="5" t="s">
        <v>12856</v>
      </c>
      <c r="E13358" s="6" t="str">
        <f>HYPERLINK("https://twitter.com/petrogustavo/status/1355247888541085701","1355247888541085701")</f>
        <v>1355247888541085701</v>
      </c>
      <c r="F13358" s="7" t="s">
        <v>17</v>
      </c>
      <c r="G13358" s="7">
        <v>4052255</v>
      </c>
      <c r="H13358" s="7">
        <v>2480</v>
      </c>
      <c r="I13358" s="7">
        <v>63</v>
      </c>
      <c r="J13358" s="7">
        <v>218</v>
      </c>
      <c r="K13358" s="7" t="s">
        <v>18</v>
      </c>
      <c r="L13358" s="8">
        <v>39987.315405092595</v>
      </c>
      <c r="M13358" s="9" t="s">
        <v>19</v>
      </c>
      <c r="N13358" s="9" t="s">
        <v>20</v>
      </c>
      <c r="O13358" s="6" t="str">
        <f>HYPERLINK("https://pbs.twimg.com/profile_images/962471262747529216/Uo8lOkRJ_normal.jpg","View")</f>
        <v>View</v>
      </c>
      <c r="P13358" s="7"/>
    </row>
    <row r="13359" spans="1:16">
      <c r="A13359" s="3">
        <v>44226.654664351852</v>
      </c>
      <c r="B13359" s="4" t="str">
        <f>HYPERLINK("https://twitter.com/petrogustavo","@petrogustavo")</f>
        <v>@petrogustavo</v>
      </c>
      <c r="C13359" s="5" t="s">
        <v>16</v>
      </c>
      <c r="D13359" s="5" t="s">
        <v>12857</v>
      </c>
      <c r="E13359" s="6" t="str">
        <f>HYPERLINK("https://twitter.com/petrogustavo/status/1355458917434871811","1355458917434871811")</f>
        <v>1355458917434871811</v>
      </c>
      <c r="F13359" s="7" t="s">
        <v>17</v>
      </c>
      <c r="G13359" s="7">
        <v>4052582</v>
      </c>
      <c r="H13359" s="7">
        <v>2479</v>
      </c>
      <c r="I13359" s="7">
        <v>11</v>
      </c>
      <c r="J13359" s="7">
        <v>23</v>
      </c>
      <c r="K13359" s="7" t="s">
        <v>18</v>
      </c>
      <c r="L13359" s="8">
        <v>39987.315405092595</v>
      </c>
      <c r="M13359" s="9" t="s">
        <v>19</v>
      </c>
      <c r="N13359" s="9" t="s">
        <v>20</v>
      </c>
      <c r="O13359" s="6" t="str">
        <f>HYPERLINK("https://pbs.twimg.com/profile_images/962471262747529216/Uo8lOkRJ_normal.jpg","View")</f>
        <v>View</v>
      </c>
      <c r="P13359" s="7"/>
    </row>
    <row r="13360" spans="1:16">
      <c r="A13360" s="3">
        <v>44226.657997685186</v>
      </c>
      <c r="B13360" s="4" t="str">
        <f>HYPERLINK("https://twitter.com/petrogustavo","@petrogustavo")</f>
        <v>@petrogustavo</v>
      </c>
      <c r="C13360" s="5" t="s">
        <v>16</v>
      </c>
      <c r="D13360" s="5" t="s">
        <v>12858</v>
      </c>
      <c r="E13360" s="6" t="str">
        <f>HYPERLINK("https://twitter.com/petrogustavo/status/1355460122139619328","1355460122139619328")</f>
        <v>1355460122139619328</v>
      </c>
      <c r="F13360" s="7" t="s">
        <v>17</v>
      </c>
      <c r="G13360" s="7">
        <v>4052587</v>
      </c>
      <c r="H13360" s="7">
        <v>2479</v>
      </c>
      <c r="I13360" s="7">
        <v>540</v>
      </c>
      <c r="J13360" s="7">
        <v>0</v>
      </c>
      <c r="K13360" s="7" t="s">
        <v>18</v>
      </c>
      <c r="L13360" s="8">
        <v>39987.315405092595</v>
      </c>
      <c r="M13360" s="9" t="s">
        <v>19</v>
      </c>
      <c r="N13360" s="9" t="s">
        <v>20</v>
      </c>
      <c r="O13360" s="6" t="str">
        <f>HYPERLINK("https://pbs.twimg.com/profile_images/962471262747529216/Uo8lOkRJ_normal.jpg","View")</f>
        <v>View</v>
      </c>
      <c r="P13360" s="7"/>
    </row>
    <row r="13361" spans="1:16">
      <c r="A13361" s="3">
        <v>44226.710069444445</v>
      </c>
      <c r="B13361" s="4" t="str">
        <f>HYPERLINK("https://twitter.com/petrogustavo","@petrogustavo")</f>
        <v>@petrogustavo</v>
      </c>
      <c r="C13361" s="5" t="s">
        <v>16</v>
      </c>
      <c r="D13361" s="5" t="s">
        <v>12859</v>
      </c>
      <c r="E13361" s="6" t="str">
        <f>HYPERLINK("https://twitter.com/petrogustavo/status/1355478994611789824","1355478994611789824")</f>
        <v>1355478994611789824</v>
      </c>
      <c r="F13361" s="7" t="s">
        <v>17</v>
      </c>
      <c r="G13361" s="7">
        <v>4052601</v>
      </c>
      <c r="H13361" s="7">
        <v>2479</v>
      </c>
      <c r="I13361" s="7">
        <v>781</v>
      </c>
      <c r="J13361" s="7">
        <v>0</v>
      </c>
      <c r="K13361" s="7" t="s">
        <v>18</v>
      </c>
      <c r="L13361" s="8">
        <v>39987.315405092595</v>
      </c>
      <c r="M13361" s="9" t="s">
        <v>19</v>
      </c>
      <c r="N13361" s="9" t="s">
        <v>20</v>
      </c>
      <c r="O13361" s="6" t="str">
        <f>HYPERLINK("https://pbs.twimg.com/profile_images/962471262747529216/Uo8lOkRJ_normal.jpg","View")</f>
        <v>View</v>
      </c>
      <c r="P13361" s="7"/>
    </row>
    <row r="13362" spans="1:16">
      <c r="A13362" s="3">
        <v>44226.710277777776</v>
      </c>
      <c r="B13362" s="4" t="str">
        <f>HYPERLINK("https://twitter.com/petrogustavo","@petrogustavo")</f>
        <v>@petrogustavo</v>
      </c>
      <c r="C13362" s="5" t="s">
        <v>16</v>
      </c>
      <c r="D13362" s="5" t="s">
        <v>12860</v>
      </c>
      <c r="E13362" s="6" t="str">
        <f>HYPERLINK("https://twitter.com/petrogustavo/status/1355479071141081090","1355479071141081090")</f>
        <v>1355479071141081090</v>
      </c>
      <c r="F13362" s="7" t="s">
        <v>17</v>
      </c>
      <c r="G13362" s="7">
        <v>4052601</v>
      </c>
      <c r="H13362" s="7">
        <v>2479</v>
      </c>
      <c r="I13362" s="7">
        <v>2397</v>
      </c>
      <c r="J13362" s="7">
        <v>0</v>
      </c>
      <c r="K13362" s="7" t="s">
        <v>18</v>
      </c>
      <c r="L13362" s="8">
        <v>39987.315405092595</v>
      </c>
      <c r="M13362" s="9" t="s">
        <v>19</v>
      </c>
      <c r="N13362" s="9" t="s">
        <v>20</v>
      </c>
      <c r="O13362" s="6" t="str">
        <f>HYPERLINK("https://pbs.twimg.com/profile_images/962471262747529216/Uo8lOkRJ_normal.jpg","View")</f>
        <v>View</v>
      </c>
      <c r="P13362" s="7"/>
    </row>
    <row r="13363" spans="1:16">
      <c r="A13363" s="3">
        <v>44227.008530092593</v>
      </c>
      <c r="B13363" s="4" t="str">
        <f>HYPERLINK("https://twitter.com/petrogustavo","@petrogustavo")</f>
        <v>@petrogustavo</v>
      </c>
      <c r="C13363" s="5" t="s">
        <v>16</v>
      </c>
      <c r="D13363" s="5" t="s">
        <v>12861</v>
      </c>
      <c r="E13363" s="6" t="str">
        <f>HYPERLINK("https://twitter.com/petrogustavo/status/1355587154316062723","1355587154316062723")</f>
        <v>1355587154316062723</v>
      </c>
      <c r="F13363" s="7" t="s">
        <v>17</v>
      </c>
      <c r="G13363" s="7">
        <v>4052834</v>
      </c>
      <c r="H13363" s="7">
        <v>2479</v>
      </c>
      <c r="I13363" s="7">
        <v>30</v>
      </c>
      <c r="J13363" s="7">
        <v>127</v>
      </c>
      <c r="K13363" s="7" t="s">
        <v>18</v>
      </c>
      <c r="L13363" s="8">
        <v>39987.315405092595</v>
      </c>
      <c r="M13363" s="9" t="s">
        <v>19</v>
      </c>
      <c r="N13363" s="9" t="s">
        <v>20</v>
      </c>
      <c r="O13363" s="6" t="str">
        <f>HYPERLINK("https://pbs.twimg.com/profile_images/962471262747529216/Uo8lOkRJ_normal.jpg","View")</f>
        <v>View</v>
      </c>
      <c r="P13363" s="7"/>
    </row>
    <row r="13364" spans="1:16">
      <c r="A13364" s="3">
        <v>44227.075567129628</v>
      </c>
      <c r="B13364" s="4" t="str">
        <f>HYPERLINK("https://twitter.com/petrogustavo","@petrogustavo")</f>
        <v>@petrogustavo</v>
      </c>
      <c r="C13364" s="5" t="s">
        <v>16</v>
      </c>
      <c r="D13364" s="5" t="s">
        <v>12862</v>
      </c>
      <c r="E13364" s="6" t="str">
        <f>HYPERLINK("https://twitter.com/petrogustavo/status/1355611448152645634","1355611448152645634")</f>
        <v>1355611448152645634</v>
      </c>
      <c r="F13364" s="7" t="s">
        <v>17</v>
      </c>
      <c r="G13364" s="7">
        <v>4052850</v>
      </c>
      <c r="H13364" s="7">
        <v>2479</v>
      </c>
      <c r="I13364" s="7">
        <v>109</v>
      </c>
      <c r="J13364" s="7">
        <v>363</v>
      </c>
      <c r="K13364" s="7" t="s">
        <v>18</v>
      </c>
      <c r="L13364" s="8">
        <v>39987.315405092595</v>
      </c>
      <c r="M13364" s="9" t="s">
        <v>19</v>
      </c>
      <c r="N13364" s="9" t="s">
        <v>20</v>
      </c>
      <c r="O13364" s="6" t="str">
        <f>HYPERLINK("https://pbs.twimg.com/profile_images/962471262747529216/Uo8lOkRJ_normal.jpg","View")</f>
        <v>View</v>
      </c>
      <c r="P13364" s="7"/>
    </row>
    <row r="13365" spans="1:16">
      <c r="A13365" s="3">
        <v>44227.080671296295</v>
      </c>
      <c r="B13365" s="4" t="str">
        <f>HYPERLINK("https://twitter.com/petrogustavo","@petrogustavo")</f>
        <v>@petrogustavo</v>
      </c>
      <c r="C13365" s="5" t="s">
        <v>16</v>
      </c>
      <c r="D13365" s="5" t="s">
        <v>12863</v>
      </c>
      <c r="E13365" s="6" t="str">
        <f>HYPERLINK("https://twitter.com/petrogustavo/status/1355613296435539970","1355613296435539970")</f>
        <v>1355613296435539970</v>
      </c>
      <c r="F13365" s="7" t="s">
        <v>17</v>
      </c>
      <c r="G13365" s="7">
        <v>4052850</v>
      </c>
      <c r="H13365" s="7">
        <v>2479</v>
      </c>
      <c r="I13365" s="7">
        <v>249</v>
      </c>
      <c r="J13365" s="7">
        <v>0</v>
      </c>
      <c r="K13365" s="7" t="s">
        <v>18</v>
      </c>
      <c r="L13365" s="8">
        <v>39987.315405092595</v>
      </c>
      <c r="M13365" s="9" t="s">
        <v>19</v>
      </c>
      <c r="N13365" s="9" t="s">
        <v>20</v>
      </c>
      <c r="O13365" s="6" t="str">
        <f>HYPERLINK("https://pbs.twimg.com/profile_images/962471262747529216/Uo8lOkRJ_normal.jpg","View")</f>
        <v>View</v>
      </c>
      <c r="P13365" s="7"/>
    </row>
    <row r="13366" spans="1:16">
      <c r="A13366" s="3">
        <v>44227.081446759257</v>
      </c>
      <c r="B13366" s="4" t="str">
        <f>HYPERLINK("https://twitter.com/petrogustavo","@petrogustavo")</f>
        <v>@petrogustavo</v>
      </c>
      <c r="C13366" s="5" t="s">
        <v>16</v>
      </c>
      <c r="D13366" s="5" t="s">
        <v>12864</v>
      </c>
      <c r="E13366" s="6" t="str">
        <f>HYPERLINK("https://twitter.com/petrogustavo/status/1355613576824819726","1355613576824819726")</f>
        <v>1355613576824819726</v>
      </c>
      <c r="F13366" s="7" t="s">
        <v>17</v>
      </c>
      <c r="G13366" s="7">
        <v>4052850</v>
      </c>
      <c r="H13366" s="7">
        <v>2479</v>
      </c>
      <c r="I13366" s="7">
        <v>51</v>
      </c>
      <c r="J13366" s="7">
        <v>0</v>
      </c>
      <c r="K13366" s="7" t="s">
        <v>18</v>
      </c>
      <c r="L13366" s="8">
        <v>39987.315405092595</v>
      </c>
      <c r="M13366" s="9" t="s">
        <v>19</v>
      </c>
      <c r="N13366" s="9" t="s">
        <v>20</v>
      </c>
      <c r="O13366" s="6" t="str">
        <f>HYPERLINK("https://pbs.twimg.com/profile_images/962471262747529216/Uo8lOkRJ_normal.jpg","View")</f>
        <v>View</v>
      </c>
      <c r="P13366" s="7"/>
    </row>
    <row r="13367" spans="1:16">
      <c r="A13367" s="3">
        <v>44227.088773148149</v>
      </c>
      <c r="B13367" s="4" t="str">
        <f>HYPERLINK("https://twitter.com/petrogustavo","@petrogustavo")</f>
        <v>@petrogustavo</v>
      </c>
      <c r="C13367" s="5" t="s">
        <v>16</v>
      </c>
      <c r="D13367" s="5" t="s">
        <v>12865</v>
      </c>
      <c r="E13367" s="6" t="str">
        <f>HYPERLINK("https://twitter.com/petrogustavo/status/1355616230045057026","1355616230045057026")</f>
        <v>1355616230045057026</v>
      </c>
      <c r="F13367" s="7" t="s">
        <v>17</v>
      </c>
      <c r="G13367" s="7">
        <v>4052850</v>
      </c>
      <c r="H13367" s="7">
        <v>2479</v>
      </c>
      <c r="I13367" s="7">
        <v>777</v>
      </c>
      <c r="J13367" s="7">
        <v>0</v>
      </c>
      <c r="K13367" s="7" t="s">
        <v>18</v>
      </c>
      <c r="L13367" s="8">
        <v>39987.315405092595</v>
      </c>
      <c r="M13367" s="9" t="s">
        <v>19</v>
      </c>
      <c r="N13367" s="9" t="s">
        <v>20</v>
      </c>
      <c r="O13367" s="6" t="str">
        <f>HYPERLINK("https://pbs.twimg.com/profile_images/962471262747529216/Uo8lOkRJ_normal.jpg","View")</f>
        <v>View</v>
      </c>
      <c r="P13367" s="7"/>
    </row>
    <row r="13368" spans="1:16">
      <c r="A13368" s="3">
        <v>44227.090520833328</v>
      </c>
      <c r="B13368" s="4" t="str">
        <f>HYPERLINK("https://twitter.com/petrogustavo","@petrogustavo")</f>
        <v>@petrogustavo</v>
      </c>
      <c r="C13368" s="5" t="s">
        <v>16</v>
      </c>
      <c r="D13368" s="5" t="s">
        <v>12866</v>
      </c>
      <c r="E13368" s="6" t="str">
        <f>HYPERLINK("https://twitter.com/petrogustavo/status/1355616866526515200","1355616866526515200")</f>
        <v>1355616866526515200</v>
      </c>
      <c r="F13368" s="7" t="s">
        <v>17</v>
      </c>
      <c r="G13368" s="7">
        <v>4052850</v>
      </c>
      <c r="H13368" s="7">
        <v>2479</v>
      </c>
      <c r="I13368" s="7">
        <v>37</v>
      </c>
      <c r="J13368" s="7">
        <v>180</v>
      </c>
      <c r="K13368" s="7" t="s">
        <v>18</v>
      </c>
      <c r="L13368" s="8">
        <v>39987.315405092595</v>
      </c>
      <c r="M13368" s="9" t="s">
        <v>19</v>
      </c>
      <c r="N13368" s="9" t="s">
        <v>20</v>
      </c>
      <c r="O13368" s="6" t="str">
        <f>HYPERLINK("https://pbs.twimg.com/profile_images/962471262747529216/Uo8lOkRJ_normal.jpg","View")</f>
        <v>View</v>
      </c>
      <c r="P13368" s="7"/>
    </row>
    <row r="13369" spans="1:16">
      <c r="A13369" s="3">
        <v>44227.092361111107</v>
      </c>
      <c r="B13369" s="4" t="str">
        <f>HYPERLINK("https://twitter.com/petrogustavo","@petrogustavo")</f>
        <v>@petrogustavo</v>
      </c>
      <c r="C13369" s="5" t="s">
        <v>16</v>
      </c>
      <c r="D13369" s="5" t="s">
        <v>12867</v>
      </c>
      <c r="E13369" s="6" t="str">
        <f>HYPERLINK("https://twitter.com/petrogustavo/status/1355617531847962628","1355617531847962628")</f>
        <v>1355617531847962628</v>
      </c>
      <c r="F13369" s="7" t="s">
        <v>17</v>
      </c>
      <c r="G13369" s="7">
        <v>4052850</v>
      </c>
      <c r="H13369" s="7">
        <v>2479</v>
      </c>
      <c r="I13369" s="7">
        <v>89</v>
      </c>
      <c r="J13369" s="7">
        <v>182</v>
      </c>
      <c r="K13369" s="7" t="s">
        <v>18</v>
      </c>
      <c r="L13369" s="8">
        <v>39987.315405092595</v>
      </c>
      <c r="M13369" s="9" t="s">
        <v>19</v>
      </c>
      <c r="N13369" s="9" t="s">
        <v>20</v>
      </c>
      <c r="O13369" s="6" t="str">
        <f>HYPERLINK("https://pbs.twimg.com/profile_images/962471262747529216/Uo8lOkRJ_normal.jpg","View")</f>
        <v>View</v>
      </c>
      <c r="P13369" s="7"/>
    </row>
    <row r="13370" spans="1:16">
      <c r="A13370" s="3">
        <v>44227.095208333332</v>
      </c>
      <c r="B13370" s="4" t="str">
        <f>HYPERLINK("https://twitter.com/petrogustavo","@petrogustavo")</f>
        <v>@petrogustavo</v>
      </c>
      <c r="C13370" s="5" t="s">
        <v>16</v>
      </c>
      <c r="D13370" s="5" t="s">
        <v>12868</v>
      </c>
      <c r="E13370" s="6" t="str">
        <f>HYPERLINK("https://twitter.com/petrogustavo/status/1355618564435226633","1355618564435226633")</f>
        <v>1355618564435226633</v>
      </c>
      <c r="F13370" s="7" t="s">
        <v>17</v>
      </c>
      <c r="G13370" s="7">
        <v>4052850</v>
      </c>
      <c r="H13370" s="7">
        <v>2479</v>
      </c>
      <c r="I13370" s="7">
        <v>17</v>
      </c>
      <c r="J13370" s="7">
        <v>24</v>
      </c>
      <c r="K13370" s="7" t="s">
        <v>18</v>
      </c>
      <c r="L13370" s="8">
        <v>39987.315405092595</v>
      </c>
      <c r="M13370" s="9" t="s">
        <v>19</v>
      </c>
      <c r="N13370" s="9" t="s">
        <v>20</v>
      </c>
      <c r="O13370" s="6" t="str">
        <f>HYPERLINK("https://pbs.twimg.com/profile_images/962471262747529216/Uo8lOkRJ_normal.jpg","View")</f>
        <v>View</v>
      </c>
      <c r="P13370" s="7"/>
    </row>
    <row r="13371" spans="1:16">
      <c r="A13371" s="3">
        <v>44227.101400462961</v>
      </c>
      <c r="B13371" s="4" t="str">
        <f>HYPERLINK("https://twitter.com/petrogustavo","@petrogustavo")</f>
        <v>@petrogustavo</v>
      </c>
      <c r="C13371" s="5" t="s">
        <v>16</v>
      </c>
      <c r="D13371" s="5" t="s">
        <v>12869</v>
      </c>
      <c r="E13371" s="6" t="str">
        <f>HYPERLINK("https://twitter.com/petrogustavo/status/1355620807989481474","1355620807989481474")</f>
        <v>1355620807989481474</v>
      </c>
      <c r="F13371" s="7" t="s">
        <v>17</v>
      </c>
      <c r="G13371" s="7">
        <v>4052862</v>
      </c>
      <c r="H13371" s="7">
        <v>2479</v>
      </c>
      <c r="I13371" s="7">
        <v>46</v>
      </c>
      <c r="J13371" s="7">
        <v>0</v>
      </c>
      <c r="K13371" s="7" t="s">
        <v>18</v>
      </c>
      <c r="L13371" s="8">
        <v>39987.315405092595</v>
      </c>
      <c r="M13371" s="9" t="s">
        <v>19</v>
      </c>
      <c r="N13371" s="9" t="s">
        <v>20</v>
      </c>
      <c r="O13371" s="6" t="str">
        <f>HYPERLINK("https://pbs.twimg.com/profile_images/962471262747529216/Uo8lOkRJ_normal.jpg","View")</f>
        <v>View</v>
      </c>
      <c r="P13371" s="7"/>
    </row>
    <row r="13372" spans="1:16">
      <c r="A13372" s="3">
        <v>44227.103460648148</v>
      </c>
      <c r="B13372" s="4" t="str">
        <f>HYPERLINK("https://twitter.com/petrogustavo","@petrogustavo")</f>
        <v>@petrogustavo</v>
      </c>
      <c r="C13372" s="5" t="s">
        <v>16</v>
      </c>
      <c r="D13372" s="5" t="s">
        <v>12870</v>
      </c>
      <c r="E13372" s="6" t="str">
        <f>HYPERLINK("https://twitter.com/petrogustavo/status/1355621553422135298","1355621553422135298")</f>
        <v>1355621553422135298</v>
      </c>
      <c r="F13372" s="7" t="s">
        <v>17</v>
      </c>
      <c r="G13372" s="7">
        <v>4052862</v>
      </c>
      <c r="H13372" s="7">
        <v>2479</v>
      </c>
      <c r="I13372" s="7">
        <v>1413</v>
      </c>
      <c r="J13372" s="7">
        <v>0</v>
      </c>
      <c r="K13372" s="7" t="s">
        <v>18</v>
      </c>
      <c r="L13372" s="8">
        <v>39987.315405092595</v>
      </c>
      <c r="M13372" s="9" t="s">
        <v>19</v>
      </c>
      <c r="N13372" s="9" t="s">
        <v>20</v>
      </c>
      <c r="O13372" s="6" t="str">
        <f>HYPERLINK("https://pbs.twimg.com/profile_images/962471262747529216/Uo8lOkRJ_normal.jpg","View")</f>
        <v>View</v>
      </c>
      <c r="P13372" s="7"/>
    </row>
    <row r="13373" spans="1:16">
      <c r="A13373" s="3">
        <v>44227.111539351856</v>
      </c>
      <c r="B13373" s="4" t="str">
        <f>HYPERLINK("https://twitter.com/petrogustavo","@petrogustavo")</f>
        <v>@petrogustavo</v>
      </c>
      <c r="C13373" s="5" t="s">
        <v>16</v>
      </c>
      <c r="D13373" s="5" t="s">
        <v>12871</v>
      </c>
      <c r="E13373" s="6" t="str">
        <f>HYPERLINK("https://twitter.com/petrogustavo/status/1355624480899534850","1355624480899534850")</f>
        <v>1355624480899534850</v>
      </c>
      <c r="F13373" s="7" t="s">
        <v>17</v>
      </c>
      <c r="G13373" s="7">
        <v>4052862</v>
      </c>
      <c r="H13373" s="7">
        <v>2479</v>
      </c>
      <c r="I13373" s="7">
        <v>45</v>
      </c>
      <c r="J13373" s="7">
        <v>140</v>
      </c>
      <c r="K13373" s="7" t="s">
        <v>18</v>
      </c>
      <c r="L13373" s="8">
        <v>39987.315405092595</v>
      </c>
      <c r="M13373" s="9" t="s">
        <v>19</v>
      </c>
      <c r="N13373" s="9" t="s">
        <v>20</v>
      </c>
      <c r="O13373" s="6" t="str">
        <f>HYPERLINK("https://pbs.twimg.com/profile_images/962471262747529216/Uo8lOkRJ_normal.jpg","View")</f>
        <v>View</v>
      </c>
      <c r="P13373" s="7"/>
    </row>
    <row r="13374" spans="1:16">
      <c r="A13374" s="3">
        <v>44227.657569444447</v>
      </c>
      <c r="B13374" s="4" t="str">
        <f>HYPERLINK("https://twitter.com/petrogustavo","@petrogustavo")</f>
        <v>@petrogustavo</v>
      </c>
      <c r="C13374" s="5" t="s">
        <v>16</v>
      </c>
      <c r="D13374" s="5" t="s">
        <v>12872</v>
      </c>
      <c r="E13374" s="6" t="str">
        <f>HYPERLINK("https://twitter.com/petrogustavo/status/1355822355814166530","1355822355814166530")</f>
        <v>1355822355814166530</v>
      </c>
      <c r="F13374" s="7" t="s">
        <v>17</v>
      </c>
      <c r="G13374" s="7">
        <v>4053240</v>
      </c>
      <c r="H13374" s="7">
        <v>2480</v>
      </c>
      <c r="I13374" s="7">
        <v>1</v>
      </c>
      <c r="J13374" s="7">
        <v>0</v>
      </c>
      <c r="K13374" s="7" t="s">
        <v>18</v>
      </c>
      <c r="L13374" s="8">
        <v>39987.315405092595</v>
      </c>
      <c r="M13374" s="9" t="s">
        <v>19</v>
      </c>
      <c r="N13374" s="9" t="s">
        <v>20</v>
      </c>
      <c r="O13374" s="6" t="str">
        <f>HYPERLINK("https://pbs.twimg.com/profile_images/962471262747529216/Uo8lOkRJ_normal.jpg","View")</f>
        <v>View</v>
      </c>
      <c r="P13374" s="7"/>
    </row>
    <row r="13375" spans="1:16">
      <c r="A13375" s="3">
        <v>44227.659594907411</v>
      </c>
      <c r="B13375" s="4" t="str">
        <f>HYPERLINK("https://twitter.com/petrogustavo","@petrogustavo")</f>
        <v>@petrogustavo</v>
      </c>
      <c r="C13375" s="5" t="s">
        <v>16</v>
      </c>
      <c r="D13375" s="5" t="s">
        <v>12873</v>
      </c>
      <c r="E13375" s="6" t="str">
        <f>HYPERLINK("https://twitter.com/petrogustavo/status/1355823092086558720","1355823092086558720")</f>
        <v>1355823092086558720</v>
      </c>
      <c r="F13375" s="7" t="s">
        <v>17</v>
      </c>
      <c r="G13375" s="7">
        <v>4053238</v>
      </c>
      <c r="H13375" s="7">
        <v>2480</v>
      </c>
      <c r="I13375" s="7">
        <v>47</v>
      </c>
      <c r="J13375" s="7">
        <v>146</v>
      </c>
      <c r="K13375" s="7" t="s">
        <v>18</v>
      </c>
      <c r="L13375" s="8">
        <v>39987.315405092595</v>
      </c>
      <c r="M13375" s="9" t="s">
        <v>19</v>
      </c>
      <c r="N13375" s="9" t="s">
        <v>20</v>
      </c>
      <c r="O13375" s="6" t="str">
        <f>HYPERLINK("https://pbs.twimg.com/profile_images/962471262747529216/Uo8lOkRJ_normal.jpg","View")</f>
        <v>View</v>
      </c>
      <c r="P13375" s="7"/>
    </row>
    <row r="13376" spans="1:16">
      <c r="A13376" s="3">
        <v>44227.659803240742</v>
      </c>
      <c r="B13376" s="4" t="str">
        <f>HYPERLINK("https://twitter.com/petrogustavo","@petrogustavo")</f>
        <v>@petrogustavo</v>
      </c>
      <c r="C13376" s="5" t="s">
        <v>16</v>
      </c>
      <c r="D13376" s="5" t="s">
        <v>12874</v>
      </c>
      <c r="E13376" s="6" t="str">
        <f>HYPERLINK("https://twitter.com/petrogustavo/status/1355823167655313410","1355823167655313410")</f>
        <v>1355823167655313410</v>
      </c>
      <c r="F13376" s="7" t="s">
        <v>17</v>
      </c>
      <c r="G13376" s="7">
        <v>4053238</v>
      </c>
      <c r="H13376" s="7">
        <v>2480</v>
      </c>
      <c r="I13376" s="7">
        <v>2101</v>
      </c>
      <c r="J13376" s="7">
        <v>0</v>
      </c>
      <c r="K13376" s="7" t="s">
        <v>18</v>
      </c>
      <c r="L13376" s="8">
        <v>39987.315405092595</v>
      </c>
      <c r="M13376" s="9" t="s">
        <v>19</v>
      </c>
      <c r="N13376" s="9" t="s">
        <v>20</v>
      </c>
      <c r="O13376" s="6" t="str">
        <f>HYPERLINK("https://pbs.twimg.com/profile_images/962471262747529216/Uo8lOkRJ_normal.jpg","View")</f>
        <v>View</v>
      </c>
      <c r="P13376" s="7"/>
    </row>
    <row r="13377" spans="1:16">
      <c r="A13377" s="3">
        <v>44227.91469907407</v>
      </c>
      <c r="B13377" s="4" t="str">
        <f>HYPERLINK("https://twitter.com/petrogustavo","@petrogustavo")</f>
        <v>@petrogustavo</v>
      </c>
      <c r="C13377" s="5" t="s">
        <v>16</v>
      </c>
      <c r="D13377" s="5" t="s">
        <v>12875</v>
      </c>
      <c r="E13377" s="6" t="str">
        <f>HYPERLINK("https://twitter.com/petrogustavo/status/1355915537612738562","1355915537612738562")</f>
        <v>1355915537612738562</v>
      </c>
      <c r="F13377" s="7" t="s">
        <v>17</v>
      </c>
      <c r="G13377" s="7">
        <v>4053411</v>
      </c>
      <c r="H13377" s="7">
        <v>2480</v>
      </c>
      <c r="I13377" s="7">
        <v>159</v>
      </c>
      <c r="J13377" s="7">
        <v>416</v>
      </c>
      <c r="K13377" s="7" t="s">
        <v>18</v>
      </c>
      <c r="L13377" s="8">
        <v>39987.315405092595</v>
      </c>
      <c r="M13377" s="9" t="s">
        <v>19</v>
      </c>
      <c r="N13377" s="9" t="s">
        <v>20</v>
      </c>
      <c r="O13377" s="6" t="str">
        <f>HYPERLINK("https://pbs.twimg.com/profile_images/962471262747529216/Uo8lOkRJ_normal.jpg","View")</f>
        <v>View</v>
      </c>
      <c r="P13377" s="7"/>
    </row>
    <row r="13378" spans="1:16">
      <c r="A13378" s="3">
        <v>44227.91469907407</v>
      </c>
      <c r="B13378" s="4" t="str">
        <f>HYPERLINK("https://twitter.com/petrogustavo","@petrogustavo")</f>
        <v>@petrogustavo</v>
      </c>
      <c r="C13378" s="5" t="s">
        <v>16</v>
      </c>
      <c r="D13378" s="5" t="s">
        <v>12876</v>
      </c>
      <c r="E13378" s="6" t="str">
        <f>HYPERLINK("https://twitter.com/petrogustavo/status/1355915539210772480","1355915539210772480")</f>
        <v>1355915539210772480</v>
      </c>
      <c r="F13378" s="7" t="s">
        <v>17</v>
      </c>
      <c r="G13378" s="7">
        <v>4053411</v>
      </c>
      <c r="H13378" s="7">
        <v>2480</v>
      </c>
      <c r="I13378" s="7">
        <v>131</v>
      </c>
      <c r="J13378" s="7">
        <v>515</v>
      </c>
      <c r="K13378" s="7" t="s">
        <v>18</v>
      </c>
      <c r="L13378" s="8">
        <v>39987.315405092595</v>
      </c>
      <c r="M13378" s="9" t="s">
        <v>19</v>
      </c>
      <c r="N13378" s="9" t="s">
        <v>20</v>
      </c>
      <c r="O13378" s="6" t="str">
        <f>HYPERLINK("https://pbs.twimg.com/profile_images/962471262747529216/Uo8lOkRJ_normal.jpg","View")</f>
        <v>View</v>
      </c>
      <c r="P13378" s="7"/>
    </row>
    <row r="13379" spans="1:16">
      <c r="A13379" s="3">
        <v>44227.954814814817</v>
      </c>
      <c r="B13379" s="4" t="str">
        <f>HYPERLINK("https://twitter.com/petrogustavo","@petrogustavo")</f>
        <v>@petrogustavo</v>
      </c>
      <c r="C13379" s="5" t="s">
        <v>16</v>
      </c>
      <c r="D13379" s="5" t="s">
        <v>12877</v>
      </c>
      <c r="E13379" s="6" t="str">
        <f>HYPERLINK("https://twitter.com/petrogustavo/status/1355930074902634496","1355930074902634496")</f>
        <v>1355930074902634496</v>
      </c>
      <c r="F13379" s="7" t="s">
        <v>17</v>
      </c>
      <c r="G13379" s="7">
        <v>4053457</v>
      </c>
      <c r="H13379" s="7">
        <v>2480</v>
      </c>
      <c r="I13379" s="7">
        <v>384</v>
      </c>
      <c r="J13379" s="7">
        <v>1522</v>
      </c>
      <c r="K13379" s="7" t="s">
        <v>18</v>
      </c>
      <c r="L13379" s="8">
        <v>39987.315405092595</v>
      </c>
      <c r="M13379" s="9" t="s">
        <v>19</v>
      </c>
      <c r="N13379" s="9" t="s">
        <v>20</v>
      </c>
      <c r="O13379" s="6" t="str">
        <f>HYPERLINK("https://pbs.twimg.com/profile_images/962471262747529216/Uo8lOkRJ_normal.jpg","View")</f>
        <v>View</v>
      </c>
      <c r="P13379" s="7"/>
    </row>
    <row r="13380" spans="1:16">
      <c r="A13380" s="3">
        <v>44228.034733796296</v>
      </c>
      <c r="B13380" s="4" t="str">
        <f>HYPERLINK("https://twitter.com/petrogustavo","@petrogustavo")</f>
        <v>@petrogustavo</v>
      </c>
      <c r="C13380" s="5" t="s">
        <v>16</v>
      </c>
      <c r="D13380" s="5" t="s">
        <v>12878</v>
      </c>
      <c r="E13380" s="6" t="str">
        <f>HYPERLINK("https://twitter.com/petrogustavo/status/1355959036517232640","1355959036517232640")</f>
        <v>1355959036517232640</v>
      </c>
      <c r="F13380" s="7" t="s">
        <v>17</v>
      </c>
      <c r="G13380" s="7">
        <v>4053500</v>
      </c>
      <c r="H13380" s="7">
        <v>2481</v>
      </c>
      <c r="I13380" s="7">
        <v>478</v>
      </c>
      <c r="J13380" s="7">
        <v>0</v>
      </c>
      <c r="K13380" s="7" t="s">
        <v>18</v>
      </c>
      <c r="L13380" s="8">
        <v>39987.315405092595</v>
      </c>
      <c r="M13380" s="9" t="s">
        <v>19</v>
      </c>
      <c r="N13380" s="9" t="s">
        <v>20</v>
      </c>
      <c r="O13380" s="6" t="str">
        <f>HYPERLINK("https://pbs.twimg.com/profile_images/962471262747529216/Uo8lOkRJ_normal.jpg","View")</f>
        <v>View</v>
      </c>
      <c r="P13380" s="7"/>
    </row>
    <row r="13381" spans="1:16">
      <c r="A13381" s="3">
        <v>44228.034895833334</v>
      </c>
      <c r="B13381" s="4" t="str">
        <f>HYPERLINK("https://twitter.com/petrogustavo","@petrogustavo")</f>
        <v>@petrogustavo</v>
      </c>
      <c r="C13381" s="5" t="s">
        <v>16</v>
      </c>
      <c r="D13381" s="5" t="s">
        <v>12879</v>
      </c>
      <c r="E13381" s="6" t="str">
        <f>HYPERLINK("https://twitter.com/petrogustavo/status/1355959094914506758","1355959094914506758")</f>
        <v>1355959094914506758</v>
      </c>
      <c r="F13381" s="7" t="s">
        <v>17</v>
      </c>
      <c r="G13381" s="7">
        <v>4053500</v>
      </c>
      <c r="H13381" s="7">
        <v>2481</v>
      </c>
      <c r="I13381" s="7">
        <v>699</v>
      </c>
      <c r="J13381" s="7">
        <v>0</v>
      </c>
      <c r="K13381" s="7" t="s">
        <v>18</v>
      </c>
      <c r="L13381" s="8">
        <v>39987.315405092595</v>
      </c>
      <c r="M13381" s="9" t="s">
        <v>19</v>
      </c>
      <c r="N13381" s="9" t="s">
        <v>20</v>
      </c>
      <c r="O13381" s="6" t="str">
        <f>HYPERLINK("https://pbs.twimg.com/profile_images/962471262747529216/Uo8lOkRJ_normal.jpg","View")</f>
        <v>View</v>
      </c>
      <c r="P13381" s="7"/>
    </row>
    <row r="13382" spans="1:16">
      <c r="A13382" s="3">
        <v>44228.035590277781</v>
      </c>
      <c r="B13382" s="4" t="str">
        <f>HYPERLINK("https://twitter.com/petrogustavo","@petrogustavo")</f>
        <v>@petrogustavo</v>
      </c>
      <c r="C13382" s="5" t="s">
        <v>16</v>
      </c>
      <c r="D13382" s="5" t="s">
        <v>12880</v>
      </c>
      <c r="E13382" s="6" t="str">
        <f>HYPERLINK("https://twitter.com/petrogustavo/status/1355959348334366720","1355959348334366720")</f>
        <v>1355959348334366720</v>
      </c>
      <c r="F13382" s="7" t="s">
        <v>17</v>
      </c>
      <c r="G13382" s="7">
        <v>4053500</v>
      </c>
      <c r="H13382" s="7">
        <v>2481</v>
      </c>
      <c r="I13382" s="7">
        <v>1425</v>
      </c>
      <c r="J13382" s="7">
        <v>0</v>
      </c>
      <c r="K13382" s="7" t="s">
        <v>18</v>
      </c>
      <c r="L13382" s="8">
        <v>39987.315405092595</v>
      </c>
      <c r="M13382" s="9" t="s">
        <v>19</v>
      </c>
      <c r="N13382" s="9" t="s">
        <v>20</v>
      </c>
      <c r="O13382" s="6" t="str">
        <f>HYPERLINK("https://pbs.twimg.com/profile_images/962471262747529216/Uo8lOkRJ_normal.jpg","View")</f>
        <v>View</v>
      </c>
      <c r="P13382" s="7"/>
    </row>
    <row r="13383" spans="1:16">
      <c r="A13383" s="3">
        <v>44228.069039351853</v>
      </c>
      <c r="B13383" s="4" t="str">
        <f>HYPERLINK("https://twitter.com/petrogustavo","@petrogustavo")</f>
        <v>@petrogustavo</v>
      </c>
      <c r="C13383" s="5" t="s">
        <v>16</v>
      </c>
      <c r="D13383" s="5" t="s">
        <v>12881</v>
      </c>
      <c r="E13383" s="6" t="str">
        <f>HYPERLINK("https://twitter.com/petrogustavo/status/1355971467951927298","1355971467951927298")</f>
        <v>1355971467951927298</v>
      </c>
      <c r="F13383" s="7" t="s">
        <v>17</v>
      </c>
      <c r="G13383" s="7">
        <v>4053500</v>
      </c>
      <c r="H13383" s="7">
        <v>2481</v>
      </c>
      <c r="I13383" s="7">
        <v>865</v>
      </c>
      <c r="J13383" s="7">
        <v>0</v>
      </c>
      <c r="K13383" s="7" t="s">
        <v>18</v>
      </c>
      <c r="L13383" s="8">
        <v>39987.315405092595</v>
      </c>
      <c r="M13383" s="9" t="s">
        <v>19</v>
      </c>
      <c r="N13383" s="9" t="s">
        <v>20</v>
      </c>
      <c r="O13383" s="6" t="str">
        <f>HYPERLINK("https://pbs.twimg.com/profile_images/962471262747529216/Uo8lOkRJ_normal.jpg","View")</f>
        <v>View</v>
      </c>
      <c r="P13383" s="7"/>
    </row>
    <row r="13384" spans="1:16">
      <c r="A13384" s="3">
        <v>44228.076701388884</v>
      </c>
      <c r="B13384" s="4" t="str">
        <f>HYPERLINK("https://twitter.com/petrogustavo","@petrogustavo")</f>
        <v>@petrogustavo</v>
      </c>
      <c r="C13384" s="5" t="s">
        <v>16</v>
      </c>
      <c r="D13384" s="5" t="s">
        <v>12880</v>
      </c>
      <c r="E13384" s="6" t="str">
        <f>HYPERLINK("https://twitter.com/petrogustavo/status/1355974244514066435","1355974244514066435")</f>
        <v>1355974244514066435</v>
      </c>
      <c r="F13384" s="7" t="s">
        <v>17</v>
      </c>
      <c r="G13384" s="7">
        <v>4053519</v>
      </c>
      <c r="H13384" s="7">
        <v>2481</v>
      </c>
      <c r="I13384" s="7">
        <v>1683</v>
      </c>
      <c r="J13384" s="7">
        <v>0</v>
      </c>
      <c r="K13384" s="7" t="s">
        <v>18</v>
      </c>
      <c r="L13384" s="8">
        <v>39987.315405092595</v>
      </c>
      <c r="M13384" s="9" t="s">
        <v>19</v>
      </c>
      <c r="N13384" s="9" t="s">
        <v>20</v>
      </c>
      <c r="O13384" s="6" t="str">
        <f>HYPERLINK("https://pbs.twimg.com/profile_images/962471262747529216/Uo8lOkRJ_normal.jpg","View")</f>
        <v>View</v>
      </c>
      <c r="P13384" s="7"/>
    </row>
    <row r="13385" spans="1:16">
      <c r="A13385" s="3">
        <v>44228.080150462964</v>
      </c>
      <c r="B13385" s="4" t="str">
        <f>HYPERLINK("https://twitter.com/petrogustavo","@petrogustavo")</f>
        <v>@petrogustavo</v>
      </c>
      <c r="C13385" s="5" t="s">
        <v>16</v>
      </c>
      <c r="D13385" s="5" t="s">
        <v>12882</v>
      </c>
      <c r="E13385" s="6" t="str">
        <f>HYPERLINK("https://twitter.com/petrogustavo/status/1355975497075859460","1355975497075859460")</f>
        <v>1355975497075859460</v>
      </c>
      <c r="F13385" s="7" t="s">
        <v>17</v>
      </c>
      <c r="G13385" s="7">
        <v>4053519</v>
      </c>
      <c r="H13385" s="7">
        <v>2481</v>
      </c>
      <c r="I13385" s="7">
        <v>221</v>
      </c>
      <c r="J13385" s="7">
        <v>605</v>
      </c>
      <c r="K13385" s="7" t="s">
        <v>18</v>
      </c>
      <c r="L13385" s="8">
        <v>39987.315405092595</v>
      </c>
      <c r="M13385" s="9" t="s">
        <v>19</v>
      </c>
      <c r="N13385" s="9" t="s">
        <v>20</v>
      </c>
      <c r="O13385" s="6" t="str">
        <f>HYPERLINK("https://pbs.twimg.com/profile_images/962471262747529216/Uo8lOkRJ_normal.jpg","View")</f>
        <v>View</v>
      </c>
      <c r="P13385" s="7"/>
    </row>
    <row r="13386" spans="1:16">
      <c r="A13386" s="3">
        <v>44228.094456018516</v>
      </c>
      <c r="B13386" s="4" t="str">
        <f>HYPERLINK("https://twitter.com/petrogustavo","@petrogustavo")</f>
        <v>@petrogustavo</v>
      </c>
      <c r="C13386" s="5" t="s">
        <v>16</v>
      </c>
      <c r="D13386" s="5" t="s">
        <v>12883</v>
      </c>
      <c r="E13386" s="6" t="str">
        <f>HYPERLINK("https://twitter.com/petrogustavo/status/1355980679952134145","1355980679952134145")</f>
        <v>1355980679952134145</v>
      </c>
      <c r="F13386" s="7" t="s">
        <v>17</v>
      </c>
      <c r="G13386" s="7">
        <v>4053519</v>
      </c>
      <c r="H13386" s="7">
        <v>2481</v>
      </c>
      <c r="I13386" s="7">
        <v>21</v>
      </c>
      <c r="J13386" s="7">
        <v>47</v>
      </c>
      <c r="K13386" s="7" t="s">
        <v>18</v>
      </c>
      <c r="L13386" s="8">
        <v>39987.315405092595</v>
      </c>
      <c r="M13386" s="9" t="s">
        <v>19</v>
      </c>
      <c r="N13386" s="9" t="s">
        <v>20</v>
      </c>
      <c r="O13386" s="6" t="str">
        <f>HYPERLINK("https://pbs.twimg.com/profile_images/962471262747529216/Uo8lOkRJ_normal.jpg","View")</f>
        <v>View</v>
      </c>
      <c r="P13386" s="7"/>
    </row>
    <row r="13387" spans="1:16">
      <c r="A13387" s="3">
        <v>44228.10219907407</v>
      </c>
      <c r="B13387" s="4" t="str">
        <f>HYPERLINK("https://twitter.com/petrogustavo","@petrogustavo")</f>
        <v>@petrogustavo</v>
      </c>
      <c r="C13387" s="5" t="s">
        <v>16</v>
      </c>
      <c r="D13387" s="5" t="s">
        <v>12884</v>
      </c>
      <c r="E13387" s="6" t="str">
        <f>HYPERLINK("https://twitter.com/petrogustavo/status/1355983487048806411","1355983487048806411")</f>
        <v>1355983487048806411</v>
      </c>
      <c r="F13387" s="7" t="s">
        <v>17</v>
      </c>
      <c r="G13387" s="7">
        <v>4053531</v>
      </c>
      <c r="H13387" s="7">
        <v>2481</v>
      </c>
      <c r="I13387" s="7">
        <v>350</v>
      </c>
      <c r="J13387" s="7">
        <v>0</v>
      </c>
      <c r="K13387" s="7" t="s">
        <v>18</v>
      </c>
      <c r="L13387" s="8">
        <v>39987.315405092595</v>
      </c>
      <c r="M13387" s="9" t="s">
        <v>19</v>
      </c>
      <c r="N13387" s="9" t="s">
        <v>20</v>
      </c>
      <c r="O13387" s="6" t="str">
        <f>HYPERLINK("https://pbs.twimg.com/profile_images/962471262747529216/Uo8lOkRJ_normal.jpg","View")</f>
        <v>View</v>
      </c>
      <c r="P13387" s="7"/>
    </row>
    <row r="13388" spans="1:16">
      <c r="A13388" s="3">
        <v>44228.681342592594</v>
      </c>
      <c r="B13388" s="4" t="str">
        <f>HYPERLINK("https://twitter.com/petrogustavo","@petrogustavo")</f>
        <v>@petrogustavo</v>
      </c>
      <c r="C13388" s="5" t="s">
        <v>16</v>
      </c>
      <c r="D13388" s="5" t="s">
        <v>12885</v>
      </c>
      <c r="E13388" s="6" t="str">
        <f>HYPERLINK("https://twitter.com/petrogustavo/status/1356193358939611136","1356193358939611136")</f>
        <v>1356193358939611136</v>
      </c>
      <c r="F13388" s="7" t="s">
        <v>17</v>
      </c>
      <c r="G13388" s="7">
        <v>4053828</v>
      </c>
      <c r="H13388" s="7">
        <v>2481</v>
      </c>
      <c r="I13388" s="7">
        <v>110</v>
      </c>
      <c r="J13388" s="7">
        <v>0</v>
      </c>
      <c r="K13388" s="7" t="s">
        <v>18</v>
      </c>
      <c r="L13388" s="8">
        <v>39987.315405092595</v>
      </c>
      <c r="M13388" s="9" t="s">
        <v>19</v>
      </c>
      <c r="N13388" s="9" t="s">
        <v>20</v>
      </c>
      <c r="O13388" s="6" t="str">
        <f>HYPERLINK("https://pbs.twimg.com/profile_images/962471262747529216/Uo8lOkRJ_normal.jpg","View")</f>
        <v>View</v>
      </c>
      <c r="P13388" s="7"/>
    </row>
    <row r="13389" spans="1:16">
      <c r="A13389" s="3">
        <v>44228.682002314818</v>
      </c>
      <c r="B13389" s="4" t="str">
        <f>HYPERLINK("https://twitter.com/petrogustavo","@petrogustavo")</f>
        <v>@petrogustavo</v>
      </c>
      <c r="C13389" s="5" t="s">
        <v>16</v>
      </c>
      <c r="D13389" s="5" t="s">
        <v>12880</v>
      </c>
      <c r="E13389" s="6" t="str">
        <f>HYPERLINK("https://twitter.com/petrogustavo/status/1356193599994654723","1356193599994654723")</f>
        <v>1356193599994654723</v>
      </c>
      <c r="F13389" s="7" t="s">
        <v>17</v>
      </c>
      <c r="G13389" s="7">
        <v>4053828</v>
      </c>
      <c r="H13389" s="7">
        <v>2481</v>
      </c>
      <c r="I13389" s="7">
        <v>3215</v>
      </c>
      <c r="J13389" s="7">
        <v>0</v>
      </c>
      <c r="K13389" s="7" t="s">
        <v>18</v>
      </c>
      <c r="L13389" s="8">
        <v>39987.315405092595</v>
      </c>
      <c r="M13389" s="9" t="s">
        <v>19</v>
      </c>
      <c r="N13389" s="9" t="s">
        <v>20</v>
      </c>
      <c r="O13389" s="6" t="str">
        <f>HYPERLINK("https://pbs.twimg.com/profile_images/962471262747529216/Uo8lOkRJ_normal.jpg","View")</f>
        <v>View</v>
      </c>
      <c r="P13389" s="7"/>
    </row>
    <row r="13390" spans="1:16">
      <c r="A13390" s="3">
        <v>44228.733807870369</v>
      </c>
      <c r="B13390" s="4" t="str">
        <f>HYPERLINK("https://twitter.com/petrogustavo","@petrogustavo")</f>
        <v>@petrogustavo</v>
      </c>
      <c r="C13390" s="5" t="s">
        <v>16</v>
      </c>
      <c r="D13390" s="5" t="s">
        <v>12886</v>
      </c>
      <c r="E13390" s="6" t="str">
        <f>HYPERLINK("https://twitter.com/petrogustavo/status/1356212372701118464","1356212372701118464")</f>
        <v>1356212372701118464</v>
      </c>
      <c r="F13390" s="7" t="s">
        <v>17</v>
      </c>
      <c r="G13390" s="7">
        <v>4053841</v>
      </c>
      <c r="H13390" s="7">
        <v>2481</v>
      </c>
      <c r="I13390" s="7">
        <v>1507</v>
      </c>
      <c r="J13390" s="7">
        <v>0</v>
      </c>
      <c r="K13390" s="7" t="s">
        <v>18</v>
      </c>
      <c r="L13390" s="8">
        <v>39987.315405092595</v>
      </c>
      <c r="M13390" s="9" t="s">
        <v>19</v>
      </c>
      <c r="N13390" s="9" t="s">
        <v>20</v>
      </c>
      <c r="O13390" s="6" t="str">
        <f>HYPERLINK("https://pbs.twimg.com/profile_images/962471262747529216/Uo8lOkRJ_normal.jpg","View")</f>
        <v>View</v>
      </c>
      <c r="P13390" s="7"/>
    </row>
    <row r="13391" spans="1:16">
      <c r="A13391" s="3">
        <v>44228.735173611116</v>
      </c>
      <c r="B13391" s="4" t="str">
        <f>HYPERLINK("https://twitter.com/petrogustavo","@petrogustavo")</f>
        <v>@petrogustavo</v>
      </c>
      <c r="C13391" s="5" t="s">
        <v>16</v>
      </c>
      <c r="D13391" s="5" t="s">
        <v>12887</v>
      </c>
      <c r="E13391" s="6" t="str">
        <f>HYPERLINK("https://twitter.com/petrogustavo/status/1356212866370695172","1356212866370695172")</f>
        <v>1356212866370695172</v>
      </c>
      <c r="F13391" s="7" t="s">
        <v>17</v>
      </c>
      <c r="G13391" s="7">
        <v>4053841</v>
      </c>
      <c r="H13391" s="7">
        <v>2481</v>
      </c>
      <c r="I13391" s="7">
        <v>597</v>
      </c>
      <c r="J13391" s="7">
        <v>0</v>
      </c>
      <c r="K13391" s="7" t="s">
        <v>18</v>
      </c>
      <c r="L13391" s="8">
        <v>39987.315405092595</v>
      </c>
      <c r="M13391" s="9" t="s">
        <v>19</v>
      </c>
      <c r="N13391" s="9" t="s">
        <v>20</v>
      </c>
      <c r="O13391" s="6" t="str">
        <f>HYPERLINK("https://pbs.twimg.com/profile_images/962471262747529216/Uo8lOkRJ_normal.jpg","View")</f>
        <v>View</v>
      </c>
      <c r="P13391" s="7"/>
    </row>
    <row r="13392" spans="1:16">
      <c r="A13392" s="3">
        <v>44228.735833333332</v>
      </c>
      <c r="B13392" s="4" t="str">
        <f>HYPERLINK("https://twitter.com/petrogustavo","@petrogustavo")</f>
        <v>@petrogustavo</v>
      </c>
      <c r="C13392" s="5" t="s">
        <v>16</v>
      </c>
      <c r="D13392" s="5" t="s">
        <v>12888</v>
      </c>
      <c r="E13392" s="6" t="str">
        <f>HYPERLINK("https://twitter.com/petrogustavo/status/1356213108059025408","1356213108059025408")</f>
        <v>1356213108059025408</v>
      </c>
      <c r="F13392" s="7" t="s">
        <v>17</v>
      </c>
      <c r="G13392" s="7">
        <v>4053841</v>
      </c>
      <c r="H13392" s="7">
        <v>2481</v>
      </c>
      <c r="I13392" s="7">
        <v>50</v>
      </c>
      <c r="J13392" s="7">
        <v>0</v>
      </c>
      <c r="K13392" s="7" t="s">
        <v>18</v>
      </c>
      <c r="L13392" s="8">
        <v>39987.315405092595</v>
      </c>
      <c r="M13392" s="9" t="s">
        <v>19</v>
      </c>
      <c r="N13392" s="9" t="s">
        <v>20</v>
      </c>
      <c r="O13392" s="6" t="str">
        <f>HYPERLINK("https://pbs.twimg.com/profile_images/962471262747529216/Uo8lOkRJ_normal.jpg","View")</f>
        <v>View</v>
      </c>
      <c r="P13392" s="7"/>
    </row>
    <row r="13393" spans="1:16">
      <c r="A13393" s="3">
        <v>44228.745023148149</v>
      </c>
      <c r="B13393" s="4" t="str">
        <f>HYPERLINK("https://twitter.com/petrogustavo","@petrogustavo")</f>
        <v>@petrogustavo</v>
      </c>
      <c r="C13393" s="5" t="s">
        <v>16</v>
      </c>
      <c r="D13393" s="5" t="s">
        <v>12889</v>
      </c>
      <c r="E13393" s="6" t="str">
        <f>HYPERLINK("https://twitter.com/petrogustavo/status/1356216434876178437","1356216434876178437")</f>
        <v>1356216434876178437</v>
      </c>
      <c r="F13393" s="7" t="s">
        <v>17</v>
      </c>
      <c r="G13393" s="7">
        <v>4053858</v>
      </c>
      <c r="H13393" s="7">
        <v>2481</v>
      </c>
      <c r="I13393" s="7">
        <v>126</v>
      </c>
      <c r="J13393" s="7">
        <v>518</v>
      </c>
      <c r="K13393" s="7" t="s">
        <v>18</v>
      </c>
      <c r="L13393" s="8">
        <v>39987.315405092595</v>
      </c>
      <c r="M13393" s="9" t="s">
        <v>19</v>
      </c>
      <c r="N13393" s="9" t="s">
        <v>20</v>
      </c>
      <c r="O13393" s="6" t="str">
        <f>HYPERLINK("https://pbs.twimg.com/profile_images/962471262747529216/Uo8lOkRJ_normal.jpg","View")</f>
        <v>View</v>
      </c>
      <c r="P13393" s="7"/>
    </row>
    <row r="13394" spans="1:16">
      <c r="A13394" s="3">
        <v>44228.745023148149</v>
      </c>
      <c r="B13394" s="4" t="str">
        <f>HYPERLINK("https://twitter.com/petrogustavo","@petrogustavo")</f>
        <v>@petrogustavo</v>
      </c>
      <c r="C13394" s="5" t="s">
        <v>16</v>
      </c>
      <c r="D13394" s="5" t="s">
        <v>12890</v>
      </c>
      <c r="E13394" s="6" t="str">
        <f>HYPERLINK("https://twitter.com/petrogustavo/status/1356216436390309895","1356216436390309895")</f>
        <v>1356216436390309895</v>
      </c>
      <c r="F13394" s="7" t="s">
        <v>17</v>
      </c>
      <c r="G13394" s="7">
        <v>4053858</v>
      </c>
      <c r="H13394" s="7">
        <v>2481</v>
      </c>
      <c r="I13394" s="7">
        <v>60</v>
      </c>
      <c r="J13394" s="7">
        <v>290</v>
      </c>
      <c r="K13394" s="7" t="s">
        <v>18</v>
      </c>
      <c r="L13394" s="8">
        <v>39987.315405092595</v>
      </c>
      <c r="M13394" s="9" t="s">
        <v>19</v>
      </c>
      <c r="N13394" s="9" t="s">
        <v>20</v>
      </c>
      <c r="O13394" s="6" t="str">
        <f>HYPERLINK("https://pbs.twimg.com/profile_images/962471262747529216/Uo8lOkRJ_normal.jpg","View")</f>
        <v>View</v>
      </c>
      <c r="P13394" s="7"/>
    </row>
    <row r="13395" spans="1:16">
      <c r="A13395" s="3">
        <v>44228.75136574074</v>
      </c>
      <c r="B13395" s="4" t="str">
        <f>HYPERLINK("https://twitter.com/petrogustavo","@petrogustavo")</f>
        <v>@petrogustavo</v>
      </c>
      <c r="C13395" s="5" t="s">
        <v>16</v>
      </c>
      <c r="D13395" s="5" t="s">
        <v>12891</v>
      </c>
      <c r="E13395" s="6" t="str">
        <f>HYPERLINK("https://twitter.com/petrogustavo/status/1356218734311075842","1356218734311075842")</f>
        <v>1356218734311075842</v>
      </c>
      <c r="F13395" s="7" t="s">
        <v>17</v>
      </c>
      <c r="G13395" s="7">
        <v>4053858</v>
      </c>
      <c r="H13395" s="7">
        <v>2481</v>
      </c>
      <c r="I13395" s="7">
        <v>47</v>
      </c>
      <c r="J13395" s="7">
        <v>127</v>
      </c>
      <c r="K13395" s="7" t="s">
        <v>18</v>
      </c>
      <c r="L13395" s="8">
        <v>39987.315405092595</v>
      </c>
      <c r="M13395" s="9" t="s">
        <v>19</v>
      </c>
      <c r="N13395" s="9" t="s">
        <v>20</v>
      </c>
      <c r="O13395" s="6" t="str">
        <f>HYPERLINK("https://pbs.twimg.com/profile_images/962471262747529216/Uo8lOkRJ_normal.jpg","View")</f>
        <v>View</v>
      </c>
      <c r="P13395" s="7"/>
    </row>
    <row r="13396" spans="1:16">
      <c r="A13396" s="3">
        <v>44228.751493055555</v>
      </c>
      <c r="B13396" s="4" t="str">
        <f>HYPERLINK("https://twitter.com/petrogustavo","@petrogustavo")</f>
        <v>@petrogustavo</v>
      </c>
      <c r="C13396" s="5" t="s">
        <v>16</v>
      </c>
      <c r="D13396" s="5" t="s">
        <v>12892</v>
      </c>
      <c r="E13396" s="6" t="str">
        <f>HYPERLINK("https://twitter.com/petrogustavo/status/1356218781966741504","1356218781966741504")</f>
        <v>1356218781966741504</v>
      </c>
      <c r="F13396" s="7" t="s">
        <v>17</v>
      </c>
      <c r="G13396" s="7">
        <v>4053858</v>
      </c>
      <c r="H13396" s="7">
        <v>2481</v>
      </c>
      <c r="I13396" s="7">
        <v>126</v>
      </c>
      <c r="J13396" s="7">
        <v>0</v>
      </c>
      <c r="K13396" s="7" t="s">
        <v>18</v>
      </c>
      <c r="L13396" s="8">
        <v>39987.315405092595</v>
      </c>
      <c r="M13396" s="9" t="s">
        <v>19</v>
      </c>
      <c r="N13396" s="9" t="s">
        <v>20</v>
      </c>
      <c r="O13396" s="6" t="str">
        <f>HYPERLINK("https://pbs.twimg.com/profile_images/962471262747529216/Uo8lOkRJ_normal.jpg","View")</f>
        <v>View</v>
      </c>
      <c r="P13396" s="7"/>
    </row>
    <row r="13397" spans="1:16">
      <c r="A13397" s="3">
        <v>44228.755057870367</v>
      </c>
      <c r="B13397" s="4" t="str">
        <f>HYPERLINK("https://twitter.com/petrogustavo","@petrogustavo")</f>
        <v>@petrogustavo</v>
      </c>
      <c r="C13397" s="5" t="s">
        <v>16</v>
      </c>
      <c r="D13397" s="5" t="s">
        <v>12893</v>
      </c>
      <c r="E13397" s="6" t="str">
        <f>HYPERLINK("https://twitter.com/petrogustavo/status/1356220074617659398","1356220074617659398")</f>
        <v>1356220074617659398</v>
      </c>
      <c r="F13397" s="7" t="s">
        <v>17</v>
      </c>
      <c r="G13397" s="7">
        <v>4053858</v>
      </c>
      <c r="H13397" s="7">
        <v>2481</v>
      </c>
      <c r="I13397" s="7">
        <v>54</v>
      </c>
      <c r="J13397" s="7">
        <v>117</v>
      </c>
      <c r="K13397" s="7" t="s">
        <v>18</v>
      </c>
      <c r="L13397" s="8">
        <v>39987.315405092595</v>
      </c>
      <c r="M13397" s="9" t="s">
        <v>19</v>
      </c>
      <c r="N13397" s="9" t="s">
        <v>20</v>
      </c>
      <c r="O13397" s="6" t="str">
        <f>HYPERLINK("https://pbs.twimg.com/profile_images/962471262747529216/Uo8lOkRJ_normal.jpg","View")</f>
        <v>View</v>
      </c>
      <c r="P13397" s="7"/>
    </row>
    <row r="13398" spans="1:16">
      <c r="A13398" s="3">
        <v>44228.980949074074</v>
      </c>
      <c r="B13398" s="4" t="str">
        <f>HYPERLINK("https://twitter.com/petrogustavo","@petrogustavo")</f>
        <v>@petrogustavo</v>
      </c>
      <c r="C13398" s="5" t="s">
        <v>16</v>
      </c>
      <c r="D13398" s="5" t="s">
        <v>12894</v>
      </c>
      <c r="E13398" s="6" t="str">
        <f>HYPERLINK("https://twitter.com/petrogustavo/status/1356301932592312320","1356301932592312320")</f>
        <v>1356301932592312320</v>
      </c>
      <c r="F13398" s="7" t="s">
        <v>17</v>
      </c>
      <c r="G13398" s="7">
        <v>4054046</v>
      </c>
      <c r="H13398" s="7">
        <v>2481</v>
      </c>
      <c r="I13398" s="7">
        <v>135</v>
      </c>
      <c r="J13398" s="7">
        <v>0</v>
      </c>
      <c r="K13398" s="7" t="s">
        <v>18</v>
      </c>
      <c r="L13398" s="8">
        <v>39987.315405092595</v>
      </c>
      <c r="M13398" s="9" t="s">
        <v>19</v>
      </c>
      <c r="N13398" s="9" t="s">
        <v>20</v>
      </c>
      <c r="O13398" s="6" t="str">
        <f>HYPERLINK("https://pbs.twimg.com/profile_images/962471262747529216/Uo8lOkRJ_normal.jpg","View")</f>
        <v>View</v>
      </c>
      <c r="P13398" s="7"/>
    </row>
    <row r="13399" spans="1:16">
      <c r="A13399" s="3">
        <v>44228.986076388886</v>
      </c>
      <c r="B13399" s="4" t="str">
        <f>HYPERLINK("https://twitter.com/petrogustavo","@petrogustavo")</f>
        <v>@petrogustavo</v>
      </c>
      <c r="C13399" s="5" t="s">
        <v>16</v>
      </c>
      <c r="D13399" s="5" t="s">
        <v>12895</v>
      </c>
      <c r="E13399" s="6" t="str">
        <f>HYPERLINK("https://twitter.com/petrogustavo/status/1356303789641371649","1356303789641371649")</f>
        <v>1356303789641371649</v>
      </c>
      <c r="F13399" s="7" t="s">
        <v>17</v>
      </c>
      <c r="G13399" s="7">
        <v>4054046</v>
      </c>
      <c r="H13399" s="7">
        <v>2481</v>
      </c>
      <c r="I13399" s="7">
        <v>95</v>
      </c>
      <c r="J13399" s="7">
        <v>315</v>
      </c>
      <c r="K13399" s="7" t="s">
        <v>18</v>
      </c>
      <c r="L13399" s="8">
        <v>39987.315405092595</v>
      </c>
      <c r="M13399" s="9" t="s">
        <v>19</v>
      </c>
      <c r="N13399" s="9" t="s">
        <v>20</v>
      </c>
      <c r="O13399" s="6" t="str">
        <f>HYPERLINK("https://pbs.twimg.com/profile_images/962471262747529216/Uo8lOkRJ_normal.jpg","View")</f>
        <v>View</v>
      </c>
      <c r="P13399" s="7"/>
    </row>
    <row r="13400" spans="1:16">
      <c r="A13400" s="3">
        <v>44228.993576388893</v>
      </c>
      <c r="B13400" s="4" t="str">
        <f>HYPERLINK("https://twitter.com/petrogustavo","@petrogustavo")</f>
        <v>@petrogustavo</v>
      </c>
      <c r="C13400" s="5" t="s">
        <v>16</v>
      </c>
      <c r="D13400" s="5" t="s">
        <v>12896</v>
      </c>
      <c r="E13400" s="6" t="str">
        <f>HYPERLINK("https://twitter.com/petrogustavo/status/1356306511614640130","1356306511614640130")</f>
        <v>1356306511614640130</v>
      </c>
      <c r="F13400" s="7" t="s">
        <v>17</v>
      </c>
      <c r="G13400" s="7">
        <v>4054070</v>
      </c>
      <c r="H13400" s="7">
        <v>2481</v>
      </c>
      <c r="I13400" s="7">
        <v>371</v>
      </c>
      <c r="J13400" s="7">
        <v>863</v>
      </c>
      <c r="K13400" s="7" t="s">
        <v>18</v>
      </c>
      <c r="L13400" s="8">
        <v>39987.315405092595</v>
      </c>
      <c r="M13400" s="9" t="s">
        <v>19</v>
      </c>
      <c r="N13400" s="9" t="s">
        <v>20</v>
      </c>
      <c r="O13400" s="6" t="str">
        <f>HYPERLINK("https://pbs.twimg.com/profile_images/962471262747529216/Uo8lOkRJ_normal.jpg","View")</f>
        <v>View</v>
      </c>
      <c r="P13400" s="7"/>
    </row>
    <row r="13401" spans="1:16">
      <c r="A13401" s="3">
        <v>44229.005902777775</v>
      </c>
      <c r="B13401" s="4" t="str">
        <f>HYPERLINK("https://twitter.com/petrogustavo","@petrogustavo")</f>
        <v>@petrogustavo</v>
      </c>
      <c r="C13401" s="5" t="s">
        <v>16</v>
      </c>
      <c r="D13401" s="5" t="s">
        <v>12897</v>
      </c>
      <c r="E13401" s="6" t="str">
        <f>HYPERLINK("https://twitter.com/petrogustavo/status/1356310975071318023","1356310975071318023")</f>
        <v>1356310975071318023</v>
      </c>
      <c r="F13401" s="7" t="s">
        <v>17</v>
      </c>
      <c r="G13401" s="7">
        <v>4054070</v>
      </c>
      <c r="H13401" s="7">
        <v>2481</v>
      </c>
      <c r="I13401" s="7">
        <v>98</v>
      </c>
      <c r="J13401" s="7">
        <v>150</v>
      </c>
      <c r="K13401" s="7" t="s">
        <v>18</v>
      </c>
      <c r="L13401" s="8">
        <v>39987.315405092595</v>
      </c>
      <c r="M13401" s="9" t="s">
        <v>19</v>
      </c>
      <c r="N13401" s="9" t="s">
        <v>20</v>
      </c>
      <c r="O13401" s="6" t="str">
        <f>HYPERLINK("https://pbs.twimg.com/profile_images/962471262747529216/Uo8lOkRJ_normal.jpg","View")</f>
        <v>View</v>
      </c>
      <c r="P13401" s="7"/>
    </row>
    <row r="13402" spans="1:16">
      <c r="A13402" s="3">
        <v>44229.008715277778</v>
      </c>
      <c r="B13402" s="4" t="str">
        <f>HYPERLINK("https://twitter.com/petrogustavo","@petrogustavo")</f>
        <v>@petrogustavo</v>
      </c>
      <c r="C13402" s="5" t="s">
        <v>16</v>
      </c>
      <c r="D13402" s="5" t="s">
        <v>12898</v>
      </c>
      <c r="E13402" s="6" t="str">
        <f>HYPERLINK("https://twitter.com/petrogustavo/status/1356311996426280969","1356311996426280969")</f>
        <v>1356311996426280969</v>
      </c>
      <c r="F13402" s="7" t="s">
        <v>17</v>
      </c>
      <c r="G13402" s="7">
        <v>4054070</v>
      </c>
      <c r="H13402" s="7">
        <v>2481</v>
      </c>
      <c r="I13402" s="7">
        <v>71</v>
      </c>
      <c r="J13402" s="7">
        <v>223</v>
      </c>
      <c r="K13402" s="7" t="s">
        <v>18</v>
      </c>
      <c r="L13402" s="8">
        <v>39987.315405092595</v>
      </c>
      <c r="M13402" s="9" t="s">
        <v>19</v>
      </c>
      <c r="N13402" s="9" t="s">
        <v>20</v>
      </c>
      <c r="O13402" s="6" t="str">
        <f>HYPERLINK("https://pbs.twimg.com/profile_images/962471262747529216/Uo8lOkRJ_normal.jpg","View")</f>
        <v>View</v>
      </c>
      <c r="P13402" s="7"/>
    </row>
    <row r="13403" spans="1:16">
      <c r="A13403" s="3">
        <v>44229.009027777778</v>
      </c>
      <c r="B13403" s="4" t="str">
        <f>HYPERLINK("https://twitter.com/petrogustavo","@petrogustavo")</f>
        <v>@petrogustavo</v>
      </c>
      <c r="C13403" s="5" t="s">
        <v>16</v>
      </c>
      <c r="D13403" s="5" t="s">
        <v>12899</v>
      </c>
      <c r="E13403" s="6" t="str">
        <f>HYPERLINK("https://twitter.com/petrogustavo/status/1356312110821765122","1356312110821765122")</f>
        <v>1356312110821765122</v>
      </c>
      <c r="F13403" s="7" t="s">
        <v>17</v>
      </c>
      <c r="G13403" s="7">
        <v>4054070</v>
      </c>
      <c r="H13403" s="7">
        <v>2481</v>
      </c>
      <c r="I13403" s="7">
        <v>54</v>
      </c>
      <c r="J13403" s="7">
        <v>0</v>
      </c>
      <c r="K13403" s="7" t="s">
        <v>18</v>
      </c>
      <c r="L13403" s="8">
        <v>39987.315405092595</v>
      </c>
      <c r="M13403" s="9" t="s">
        <v>19</v>
      </c>
      <c r="N13403" s="9" t="s">
        <v>20</v>
      </c>
      <c r="O13403" s="6" t="str">
        <f>HYPERLINK("https://pbs.twimg.com/profile_images/962471262747529216/Uo8lOkRJ_normal.jpg","View")</f>
        <v>View</v>
      </c>
      <c r="P13403" s="7"/>
    </row>
    <row r="13404" spans="1:16">
      <c r="A13404" s="3">
        <v>44229.009768518517</v>
      </c>
      <c r="B13404" s="4" t="str">
        <f>HYPERLINK("https://twitter.com/petrogustavo","@petrogustavo")</f>
        <v>@petrogustavo</v>
      </c>
      <c r="C13404" s="5" t="s">
        <v>16</v>
      </c>
      <c r="D13404" s="5" t="s">
        <v>12900</v>
      </c>
      <c r="E13404" s="6" t="str">
        <f>HYPERLINK("https://twitter.com/petrogustavo/status/1356312376828690433","1356312376828690433")</f>
        <v>1356312376828690433</v>
      </c>
      <c r="F13404" s="7" t="s">
        <v>17</v>
      </c>
      <c r="G13404" s="7">
        <v>4054070</v>
      </c>
      <c r="H13404" s="7">
        <v>2481</v>
      </c>
      <c r="I13404" s="7">
        <v>27</v>
      </c>
      <c r="J13404" s="7">
        <v>78</v>
      </c>
      <c r="K13404" s="7" t="s">
        <v>18</v>
      </c>
      <c r="L13404" s="8">
        <v>39987.315405092595</v>
      </c>
      <c r="M13404" s="9" t="s">
        <v>19</v>
      </c>
      <c r="N13404" s="9" t="s">
        <v>20</v>
      </c>
      <c r="O13404" s="6" t="str">
        <f>HYPERLINK("https://pbs.twimg.com/profile_images/962471262747529216/Uo8lOkRJ_normal.jpg","View")</f>
        <v>View</v>
      </c>
      <c r="P13404" s="7"/>
    </row>
    <row r="13405" spans="1:16">
      <c r="A13405" s="3">
        <v>44229.018263888887</v>
      </c>
      <c r="B13405" s="4" t="str">
        <f>HYPERLINK("https://twitter.com/petrogustavo","@petrogustavo")</f>
        <v>@petrogustavo</v>
      </c>
      <c r="C13405" s="5" t="s">
        <v>16</v>
      </c>
      <c r="D13405" s="5" t="s">
        <v>12901</v>
      </c>
      <c r="E13405" s="6" t="str">
        <f>HYPERLINK("https://twitter.com/petrogustavo/status/1356315455145783301","1356315455145783301")</f>
        <v>1356315455145783301</v>
      </c>
      <c r="F13405" s="7" t="s">
        <v>17</v>
      </c>
      <c r="G13405" s="7">
        <v>4054081</v>
      </c>
      <c r="H13405" s="7">
        <v>2481</v>
      </c>
      <c r="I13405" s="7">
        <v>129</v>
      </c>
      <c r="J13405" s="7">
        <v>0</v>
      </c>
      <c r="K13405" s="7" t="s">
        <v>18</v>
      </c>
      <c r="L13405" s="8">
        <v>39987.315405092595</v>
      </c>
      <c r="M13405" s="9" t="s">
        <v>19</v>
      </c>
      <c r="N13405" s="9" t="s">
        <v>20</v>
      </c>
      <c r="O13405" s="6" t="str">
        <f>HYPERLINK("https://pbs.twimg.com/profile_images/962471262747529216/Uo8lOkRJ_normal.jpg","View")</f>
        <v>View</v>
      </c>
      <c r="P13405" s="7"/>
    </row>
    <row r="13406" spans="1:16">
      <c r="A13406" s="3">
        <v>44229.589131944449</v>
      </c>
      <c r="B13406" s="4" t="str">
        <f>HYPERLINK("https://twitter.com/petrogustavo","@petrogustavo")</f>
        <v>@petrogustavo</v>
      </c>
      <c r="C13406" s="5" t="s">
        <v>16</v>
      </c>
      <c r="D13406" s="5" t="s">
        <v>12902</v>
      </c>
      <c r="E13406" s="6" t="str">
        <f>HYPERLINK("https://twitter.com/petrogustavo/status/1356522333129834497","1356522333129834497")</f>
        <v>1356522333129834497</v>
      </c>
      <c r="F13406" s="7" t="s">
        <v>17</v>
      </c>
      <c r="G13406" s="7">
        <v>4054401</v>
      </c>
      <c r="H13406" s="7">
        <v>2482</v>
      </c>
      <c r="I13406" s="7">
        <v>14</v>
      </c>
      <c r="J13406" s="7">
        <v>31</v>
      </c>
      <c r="K13406" s="7" t="s">
        <v>18</v>
      </c>
      <c r="L13406" s="8">
        <v>39987.315405092595</v>
      </c>
      <c r="M13406" s="9" t="s">
        <v>19</v>
      </c>
      <c r="N13406" s="9" t="s">
        <v>20</v>
      </c>
      <c r="O13406" s="6" t="str">
        <f>HYPERLINK("https://pbs.twimg.com/profile_images/962471262747529216/Uo8lOkRJ_normal.jpg","View")</f>
        <v>View</v>
      </c>
      <c r="P13406" s="7"/>
    </row>
    <row r="13407" spans="1:16">
      <c r="A13407" s="3">
        <v>44229.589155092588</v>
      </c>
      <c r="B13407" s="4" t="str">
        <f>HYPERLINK("https://twitter.com/petrogustavo","@petrogustavo")</f>
        <v>@petrogustavo</v>
      </c>
      <c r="C13407" s="5" t="s">
        <v>16</v>
      </c>
      <c r="D13407" s="5" t="s">
        <v>12903</v>
      </c>
      <c r="E13407" s="6" t="str">
        <f>HYPERLINK("https://twitter.com/petrogustavo/status/1356522339341660160","1356522339341660160")</f>
        <v>1356522339341660160</v>
      </c>
      <c r="F13407" s="7" t="s">
        <v>17</v>
      </c>
      <c r="G13407" s="7">
        <v>4054401</v>
      </c>
      <c r="H13407" s="7">
        <v>2482</v>
      </c>
      <c r="I13407" s="7">
        <v>7</v>
      </c>
      <c r="J13407" s="7">
        <v>20</v>
      </c>
      <c r="K13407" s="7" t="s">
        <v>18</v>
      </c>
      <c r="L13407" s="8">
        <v>39987.315405092595</v>
      </c>
      <c r="M13407" s="9" t="s">
        <v>19</v>
      </c>
      <c r="N13407" s="9" t="s">
        <v>20</v>
      </c>
      <c r="O13407" s="6" t="str">
        <f>HYPERLINK("https://pbs.twimg.com/profile_images/962471262747529216/Uo8lOkRJ_normal.jpg","View")</f>
        <v>View</v>
      </c>
      <c r="P13407" s="7"/>
    </row>
    <row r="13408" spans="1:16">
      <c r="A13408" s="3">
        <v>44229.589189814811</v>
      </c>
      <c r="B13408" s="4" t="str">
        <f>HYPERLINK("https://twitter.com/petrogustavo","@petrogustavo")</f>
        <v>@petrogustavo</v>
      </c>
      <c r="C13408" s="5" t="s">
        <v>16</v>
      </c>
      <c r="D13408" s="5" t="s">
        <v>12904</v>
      </c>
      <c r="E13408" s="6" t="str">
        <f>HYPERLINK("https://twitter.com/petrogustavo/status/1356522351144431617","1356522351144431617")</f>
        <v>1356522351144431617</v>
      </c>
      <c r="F13408" s="7" t="s">
        <v>17</v>
      </c>
      <c r="G13408" s="7">
        <v>4054401</v>
      </c>
      <c r="H13408" s="7">
        <v>2482</v>
      </c>
      <c r="I13408" s="7">
        <v>9</v>
      </c>
      <c r="J13408" s="7">
        <v>24</v>
      </c>
      <c r="K13408" s="7" t="s">
        <v>18</v>
      </c>
      <c r="L13408" s="8">
        <v>39987.315405092595</v>
      </c>
      <c r="M13408" s="9" t="s">
        <v>19</v>
      </c>
      <c r="N13408" s="9" t="s">
        <v>20</v>
      </c>
      <c r="O13408" s="6" t="str">
        <f>HYPERLINK("https://pbs.twimg.com/profile_images/962471262747529216/Uo8lOkRJ_normal.jpg","View")</f>
        <v>View</v>
      </c>
      <c r="P13408" s="7"/>
    </row>
    <row r="13409" spans="1:16">
      <c r="A13409" s="3">
        <v>44229.647210648152</v>
      </c>
      <c r="B13409" s="4" t="str">
        <f>HYPERLINK("https://twitter.com/petrogustavo","@petrogustavo")</f>
        <v>@petrogustavo</v>
      </c>
      <c r="C13409" s="5" t="s">
        <v>16</v>
      </c>
      <c r="D13409" s="5" t="s">
        <v>12905</v>
      </c>
      <c r="E13409" s="6" t="str">
        <f>HYPERLINK("https://twitter.com/petrogustavo/status/1356543380113743872","1356543380113743872")</f>
        <v>1356543380113743872</v>
      </c>
      <c r="F13409" s="7" t="s">
        <v>17</v>
      </c>
      <c r="G13409" s="7">
        <v>4054409</v>
      </c>
      <c r="H13409" s="7">
        <v>2482</v>
      </c>
      <c r="I13409" s="7">
        <v>82</v>
      </c>
      <c r="J13409" s="7">
        <v>0</v>
      </c>
      <c r="K13409" s="7" t="s">
        <v>18</v>
      </c>
      <c r="L13409" s="8">
        <v>39987.315405092595</v>
      </c>
      <c r="M13409" s="9" t="s">
        <v>19</v>
      </c>
      <c r="N13409" s="9" t="s">
        <v>20</v>
      </c>
      <c r="O13409" s="6" t="str">
        <f>HYPERLINK("https://pbs.twimg.com/profile_images/962471262747529216/Uo8lOkRJ_normal.jpg","View")</f>
        <v>View</v>
      </c>
      <c r="P13409" s="7"/>
    </row>
    <row r="13410" spans="1:16">
      <c r="A13410" s="3">
        <v>44229.793124999997</v>
      </c>
      <c r="B13410" s="4" t="str">
        <f>HYPERLINK("https://twitter.com/petrogustavo","@petrogustavo")</f>
        <v>@petrogustavo</v>
      </c>
      <c r="C13410" s="5" t="s">
        <v>16</v>
      </c>
      <c r="D13410" s="5" t="s">
        <v>12905</v>
      </c>
      <c r="E13410" s="6" t="str">
        <f>HYPERLINK("https://twitter.com/petrogustavo/status/1356596256127266816","1356596256127266816")</f>
        <v>1356596256127266816</v>
      </c>
      <c r="F13410" s="7" t="s">
        <v>17</v>
      </c>
      <c r="G13410" s="7">
        <v>4054493</v>
      </c>
      <c r="H13410" s="7">
        <v>2482</v>
      </c>
      <c r="I13410" s="7">
        <v>459</v>
      </c>
      <c r="J13410" s="7">
        <v>0</v>
      </c>
      <c r="K13410" s="7" t="s">
        <v>18</v>
      </c>
      <c r="L13410" s="8">
        <v>39987.315405092595</v>
      </c>
      <c r="M13410" s="9" t="s">
        <v>19</v>
      </c>
      <c r="N13410" s="9" t="s">
        <v>20</v>
      </c>
      <c r="O13410" s="6" t="str">
        <f>HYPERLINK("https://pbs.twimg.com/profile_images/962471262747529216/Uo8lOkRJ_normal.jpg","View")</f>
        <v>View</v>
      </c>
      <c r="P13410" s="7"/>
    </row>
    <row r="13411" spans="1:16">
      <c r="A13411" s="3">
        <v>44229.802222222221</v>
      </c>
      <c r="B13411" s="4" t="str">
        <f>HYPERLINK("https://twitter.com/petrogustavo","@petrogustavo")</f>
        <v>@petrogustavo</v>
      </c>
      <c r="C13411" s="5" t="s">
        <v>16</v>
      </c>
      <c r="D13411" s="5" t="s">
        <v>12906</v>
      </c>
      <c r="E13411" s="6" t="str">
        <f>HYPERLINK("https://twitter.com/petrogustavo/status/1356599554330755077","1356599554330755077")</f>
        <v>1356599554330755077</v>
      </c>
      <c r="F13411" s="7" t="s">
        <v>17</v>
      </c>
      <c r="G13411" s="7">
        <v>4054493</v>
      </c>
      <c r="H13411" s="7">
        <v>2482</v>
      </c>
      <c r="I13411" s="7">
        <v>57</v>
      </c>
      <c r="J13411" s="7">
        <v>161</v>
      </c>
      <c r="K13411" s="7" t="s">
        <v>18</v>
      </c>
      <c r="L13411" s="8">
        <v>39987.315405092595</v>
      </c>
      <c r="M13411" s="9" t="s">
        <v>19</v>
      </c>
      <c r="N13411" s="9" t="s">
        <v>20</v>
      </c>
      <c r="O13411" s="6" t="str">
        <f>HYPERLINK("https://pbs.twimg.com/profile_images/962471262747529216/Uo8lOkRJ_normal.jpg","View")</f>
        <v>View</v>
      </c>
      <c r="P13411" s="7"/>
    </row>
    <row r="13412" spans="1:16">
      <c r="A13412" s="3">
        <v>44229.805636574078</v>
      </c>
      <c r="B13412" s="4" t="str">
        <f>HYPERLINK("https://twitter.com/petrogustavo","@petrogustavo")</f>
        <v>@petrogustavo</v>
      </c>
      <c r="C13412" s="5" t="s">
        <v>16</v>
      </c>
      <c r="D13412" s="5" t="s">
        <v>12907</v>
      </c>
      <c r="E13412" s="6" t="str">
        <f>HYPERLINK("https://twitter.com/petrogustavo/status/1356600791138762755","1356600791138762755")</f>
        <v>1356600791138762755</v>
      </c>
      <c r="F13412" s="7" t="s">
        <v>17</v>
      </c>
      <c r="G13412" s="7">
        <v>4054503</v>
      </c>
      <c r="H13412" s="7">
        <v>2482</v>
      </c>
      <c r="I13412" s="7">
        <v>94</v>
      </c>
      <c r="J13412" s="7">
        <v>0</v>
      </c>
      <c r="K13412" s="7" t="s">
        <v>18</v>
      </c>
      <c r="L13412" s="8">
        <v>39987.315405092595</v>
      </c>
      <c r="M13412" s="9" t="s">
        <v>19</v>
      </c>
      <c r="N13412" s="9" t="s">
        <v>20</v>
      </c>
      <c r="O13412" s="6" t="str">
        <f>HYPERLINK("https://pbs.twimg.com/profile_images/962471262747529216/Uo8lOkRJ_normal.jpg","View")</f>
        <v>View</v>
      </c>
      <c r="P13412" s="7"/>
    </row>
    <row r="13413" spans="1:16">
      <c r="A13413" s="3">
        <v>44230.050613425927</v>
      </c>
      <c r="B13413" s="4" t="str">
        <f>HYPERLINK("https://twitter.com/petrogustavo","@petrogustavo")</f>
        <v>@petrogustavo</v>
      </c>
      <c r="C13413" s="5" t="s">
        <v>16</v>
      </c>
      <c r="D13413" s="5" t="s">
        <v>12908</v>
      </c>
      <c r="E13413" s="6" t="str">
        <f>HYPERLINK("https://twitter.com/petrogustavo/status/1356689565990477825","1356689565990477825")</f>
        <v>1356689565990477825</v>
      </c>
      <c r="F13413" s="7" t="s">
        <v>17</v>
      </c>
      <c r="G13413" s="7">
        <v>4054699</v>
      </c>
      <c r="H13413" s="7">
        <v>2482</v>
      </c>
      <c r="I13413" s="7">
        <v>12</v>
      </c>
      <c r="J13413" s="7">
        <v>42</v>
      </c>
      <c r="K13413" s="7" t="s">
        <v>18</v>
      </c>
      <c r="L13413" s="8">
        <v>39987.315405092595</v>
      </c>
      <c r="M13413" s="9" t="s">
        <v>19</v>
      </c>
      <c r="N13413" s="9" t="s">
        <v>20</v>
      </c>
      <c r="O13413" s="6" t="str">
        <f>HYPERLINK("https://pbs.twimg.com/profile_images/962471262747529216/Uo8lOkRJ_normal.jpg","View")</f>
        <v>View</v>
      </c>
      <c r="P13413" s="7"/>
    </row>
    <row r="13414" spans="1:16">
      <c r="A13414" s="3">
        <v>44230.131168981483</v>
      </c>
      <c r="B13414" s="4" t="str">
        <f>HYPERLINK("https://twitter.com/petrogustavo","@petrogustavo")</f>
        <v>@petrogustavo</v>
      </c>
      <c r="C13414" s="5" t="s">
        <v>16</v>
      </c>
      <c r="D13414" s="5" t="s">
        <v>12909</v>
      </c>
      <c r="E13414" s="6" t="str">
        <f>HYPERLINK("https://twitter.com/petrogustavo/status/1356718757759102987","1356718757759102987")</f>
        <v>1356718757759102987</v>
      </c>
      <c r="F13414" s="7" t="s">
        <v>17</v>
      </c>
      <c r="G13414" s="7">
        <v>4054783</v>
      </c>
      <c r="H13414" s="7">
        <v>2482</v>
      </c>
      <c r="I13414" s="7">
        <v>300</v>
      </c>
      <c r="J13414" s="7">
        <v>731</v>
      </c>
      <c r="K13414" s="7" t="s">
        <v>18</v>
      </c>
      <c r="L13414" s="8">
        <v>39987.315405092595</v>
      </c>
      <c r="M13414" s="9" t="s">
        <v>19</v>
      </c>
      <c r="N13414" s="9" t="s">
        <v>20</v>
      </c>
      <c r="O13414" s="6" t="str">
        <f>HYPERLINK("https://pbs.twimg.com/profile_images/962471262747529216/Uo8lOkRJ_normal.jpg","View")</f>
        <v>View</v>
      </c>
      <c r="P13414" s="7"/>
    </row>
    <row r="13415" spans="1:16">
      <c r="A13415" s="3">
        <v>44230.136562500003</v>
      </c>
      <c r="B13415" s="4" t="str">
        <f>HYPERLINK("https://twitter.com/petrogustavo","@petrogustavo")</f>
        <v>@petrogustavo</v>
      </c>
      <c r="C13415" s="5" t="s">
        <v>16</v>
      </c>
      <c r="D13415" s="5" t="s">
        <v>12910</v>
      </c>
      <c r="E13415" s="6" t="str">
        <f>HYPERLINK("https://twitter.com/petrogustavo/status/1356720715236601857","1356720715236601857")</f>
        <v>1356720715236601857</v>
      </c>
      <c r="F13415" s="7" t="s">
        <v>17</v>
      </c>
      <c r="G13415" s="7">
        <v>4054783</v>
      </c>
      <c r="H13415" s="7">
        <v>2482</v>
      </c>
      <c r="I13415" s="7">
        <v>449</v>
      </c>
      <c r="J13415" s="7">
        <v>0</v>
      </c>
      <c r="K13415" s="7" t="s">
        <v>18</v>
      </c>
      <c r="L13415" s="8">
        <v>39987.315405092595</v>
      </c>
      <c r="M13415" s="9" t="s">
        <v>19</v>
      </c>
      <c r="N13415" s="9" t="s">
        <v>20</v>
      </c>
      <c r="O13415" s="6" t="str">
        <f>HYPERLINK("https://pbs.twimg.com/profile_images/962471262747529216/Uo8lOkRJ_normal.jpg","View")</f>
        <v>View</v>
      </c>
      <c r="P13415" s="7"/>
    </row>
    <row r="13416" spans="1:16">
      <c r="A13416" s="3">
        <v>44230.143194444448</v>
      </c>
      <c r="B13416" s="4" t="str">
        <f>HYPERLINK("https://twitter.com/petrogustavo","@petrogustavo")</f>
        <v>@petrogustavo</v>
      </c>
      <c r="C13416" s="5" t="s">
        <v>16</v>
      </c>
      <c r="D13416" s="5" t="s">
        <v>12911</v>
      </c>
      <c r="E13416" s="6" t="str">
        <f>HYPERLINK("https://twitter.com/petrogustavo/status/1356723116047822848","1356723116047822848")</f>
        <v>1356723116047822848</v>
      </c>
      <c r="F13416" s="7" t="s">
        <v>17</v>
      </c>
      <c r="G13416" s="7">
        <v>4054783</v>
      </c>
      <c r="H13416" s="7">
        <v>2482</v>
      </c>
      <c r="I13416" s="7">
        <v>1396</v>
      </c>
      <c r="J13416" s="7">
        <v>0</v>
      </c>
      <c r="K13416" s="7" t="s">
        <v>18</v>
      </c>
      <c r="L13416" s="8">
        <v>39987.315405092595</v>
      </c>
      <c r="M13416" s="9" t="s">
        <v>19</v>
      </c>
      <c r="N13416" s="9" t="s">
        <v>20</v>
      </c>
      <c r="O13416" s="6" t="str">
        <f>HYPERLINK("https://pbs.twimg.com/profile_images/962471262747529216/Uo8lOkRJ_normal.jpg","View")</f>
        <v>View</v>
      </c>
      <c r="P13416" s="7"/>
    </row>
    <row r="13417" spans="1:16">
      <c r="A13417" s="3">
        <v>44230.144884259258</v>
      </c>
      <c r="B13417" s="4" t="str">
        <f>HYPERLINK("https://twitter.com/petrogustavo","@petrogustavo")</f>
        <v>@petrogustavo</v>
      </c>
      <c r="C13417" s="5" t="s">
        <v>16</v>
      </c>
      <c r="D13417" s="5" t="s">
        <v>12912</v>
      </c>
      <c r="E13417" s="6" t="str">
        <f>HYPERLINK("https://twitter.com/petrogustavo/status/1356723729796071425","1356723729796071425")</f>
        <v>1356723729796071425</v>
      </c>
      <c r="F13417" s="7" t="s">
        <v>17</v>
      </c>
      <c r="G13417" s="7">
        <v>4054783</v>
      </c>
      <c r="H13417" s="7">
        <v>2482</v>
      </c>
      <c r="I13417" s="7">
        <v>46</v>
      </c>
      <c r="J13417" s="7">
        <v>0</v>
      </c>
      <c r="K13417" s="7" t="s">
        <v>18</v>
      </c>
      <c r="L13417" s="8">
        <v>39987.315405092595</v>
      </c>
      <c r="M13417" s="9" t="s">
        <v>19</v>
      </c>
      <c r="N13417" s="9" t="s">
        <v>20</v>
      </c>
      <c r="O13417" s="6" t="str">
        <f>HYPERLINK("https://pbs.twimg.com/profile_images/962471262747529216/Uo8lOkRJ_normal.jpg","View")</f>
        <v>View</v>
      </c>
      <c r="P13417" s="7"/>
    </row>
    <row r="13418" spans="1:16">
      <c r="A13418" s="3">
        <v>44230.7424537037</v>
      </c>
      <c r="B13418" s="4" t="str">
        <f>HYPERLINK("https://twitter.com/petrogustavo","@petrogustavo")</f>
        <v>@petrogustavo</v>
      </c>
      <c r="C13418" s="5" t="s">
        <v>16</v>
      </c>
      <c r="D13418" s="5" t="s">
        <v>12913</v>
      </c>
      <c r="E13418" s="6" t="str">
        <f>HYPERLINK("https://twitter.com/petrogustavo/status/1356940282164609028","1356940282164609028")</f>
        <v>1356940282164609028</v>
      </c>
      <c r="F13418" s="7" t="s">
        <v>17</v>
      </c>
      <c r="G13418" s="7">
        <v>4055177</v>
      </c>
      <c r="H13418" s="7">
        <v>2483</v>
      </c>
      <c r="I13418" s="7">
        <v>12</v>
      </c>
      <c r="J13418" s="7">
        <v>0</v>
      </c>
      <c r="K13418" s="7" t="s">
        <v>18</v>
      </c>
      <c r="L13418" s="8">
        <v>39987.315405092595</v>
      </c>
      <c r="M13418" s="9" t="s">
        <v>19</v>
      </c>
      <c r="N13418" s="9" t="s">
        <v>20</v>
      </c>
      <c r="O13418" s="6" t="str">
        <f>HYPERLINK("https://pbs.twimg.com/profile_images/962471262747529216/Uo8lOkRJ_normal.jpg","View")</f>
        <v>View</v>
      </c>
      <c r="P13418" s="7"/>
    </row>
    <row r="13419" spans="1:16">
      <c r="A13419" s="3">
        <v>44230.742604166662</v>
      </c>
      <c r="B13419" s="4" t="str">
        <f>HYPERLINK("https://twitter.com/petrogustavo","@petrogustavo")</f>
        <v>@petrogustavo</v>
      </c>
      <c r="C13419" s="5" t="s">
        <v>16</v>
      </c>
      <c r="D13419" s="5" t="s">
        <v>12914</v>
      </c>
      <c r="E13419" s="6" t="str">
        <f>HYPERLINK("https://twitter.com/petrogustavo/status/1356940335230894088","1356940335230894088")</f>
        <v>1356940335230894088</v>
      </c>
      <c r="F13419" s="7" t="s">
        <v>17</v>
      </c>
      <c r="G13419" s="7">
        <v>4055177</v>
      </c>
      <c r="H13419" s="7">
        <v>2483</v>
      </c>
      <c r="I13419" s="7">
        <v>52</v>
      </c>
      <c r="J13419" s="7">
        <v>0</v>
      </c>
      <c r="K13419" s="7" t="s">
        <v>18</v>
      </c>
      <c r="L13419" s="8">
        <v>39987.315405092595</v>
      </c>
      <c r="M13419" s="9" t="s">
        <v>19</v>
      </c>
      <c r="N13419" s="9" t="s">
        <v>20</v>
      </c>
      <c r="O13419" s="6" t="str">
        <f>HYPERLINK("https://pbs.twimg.com/profile_images/962471262747529216/Uo8lOkRJ_normal.jpg","View")</f>
        <v>View</v>
      </c>
      <c r="P13419" s="7"/>
    </row>
    <row r="13420" spans="1:16">
      <c r="A13420" s="3">
        <v>44230.747199074074</v>
      </c>
      <c r="B13420" s="4" t="str">
        <f>HYPERLINK("https://twitter.com/petrogustavo","@petrogustavo")</f>
        <v>@petrogustavo</v>
      </c>
      <c r="C13420" s="5" t="s">
        <v>16</v>
      </c>
      <c r="D13420" s="5" t="s">
        <v>12915</v>
      </c>
      <c r="E13420" s="6" t="str">
        <f>HYPERLINK("https://twitter.com/petrogustavo/status/1356941999706882049","1356941999706882049")</f>
        <v>1356941999706882049</v>
      </c>
      <c r="F13420" s="7" t="s">
        <v>17</v>
      </c>
      <c r="G13420" s="7">
        <v>4055177</v>
      </c>
      <c r="H13420" s="7">
        <v>2483</v>
      </c>
      <c r="I13420" s="7">
        <v>84</v>
      </c>
      <c r="J13420" s="7">
        <v>255</v>
      </c>
      <c r="K13420" s="7" t="s">
        <v>18</v>
      </c>
      <c r="L13420" s="8">
        <v>39987.315405092595</v>
      </c>
      <c r="M13420" s="9" t="s">
        <v>19</v>
      </c>
      <c r="N13420" s="9" t="s">
        <v>20</v>
      </c>
      <c r="O13420" s="6" t="str">
        <f>HYPERLINK("https://pbs.twimg.com/profile_images/962471262747529216/Uo8lOkRJ_normal.jpg","View")</f>
        <v>View</v>
      </c>
      <c r="P13420" s="7"/>
    </row>
    <row r="13421" spans="1:16">
      <c r="A13421" s="3">
        <v>44230.972002314811</v>
      </c>
      <c r="B13421" s="4" t="str">
        <f>HYPERLINK("https://twitter.com/petrogustavo","@petrogustavo")</f>
        <v>@petrogustavo</v>
      </c>
      <c r="C13421" s="5" t="s">
        <v>16</v>
      </c>
      <c r="D13421" s="5" t="s">
        <v>12916</v>
      </c>
      <c r="E13421" s="6" t="str">
        <f>HYPERLINK("https://twitter.com/petrogustavo/status/1357023465329541120","1357023465329541120")</f>
        <v>1357023465329541120</v>
      </c>
      <c r="F13421" s="7" t="s">
        <v>17</v>
      </c>
      <c r="G13421" s="7">
        <v>4055340</v>
      </c>
      <c r="H13421" s="7">
        <v>2483</v>
      </c>
      <c r="I13421" s="7">
        <v>326</v>
      </c>
      <c r="J13421" s="7">
        <v>868</v>
      </c>
      <c r="K13421" s="7" t="s">
        <v>18</v>
      </c>
      <c r="L13421" s="8">
        <v>39987.315405092595</v>
      </c>
      <c r="M13421" s="9" t="s">
        <v>19</v>
      </c>
      <c r="N13421" s="9" t="s">
        <v>20</v>
      </c>
      <c r="O13421" s="6" t="str">
        <f>HYPERLINK("https://pbs.twimg.com/profile_images/962471262747529216/Uo8lOkRJ_normal.jpg","View")</f>
        <v>View</v>
      </c>
      <c r="P13421" s="7"/>
    </row>
    <row r="13422" spans="1:16">
      <c r="A13422" s="3">
        <v>44230.972002314811</v>
      </c>
      <c r="B13422" s="4" t="str">
        <f>HYPERLINK("https://twitter.com/petrogustavo","@petrogustavo")</f>
        <v>@petrogustavo</v>
      </c>
      <c r="C13422" s="5" t="s">
        <v>16</v>
      </c>
      <c r="D13422" s="5" t="s">
        <v>12917</v>
      </c>
      <c r="E13422" s="6" t="str">
        <f>HYPERLINK("https://twitter.com/petrogustavo/status/1357023466613075974","1357023466613075974")</f>
        <v>1357023466613075974</v>
      </c>
      <c r="F13422" s="7" t="s">
        <v>17</v>
      </c>
      <c r="G13422" s="7">
        <v>4055340</v>
      </c>
      <c r="H13422" s="7">
        <v>2483</v>
      </c>
      <c r="I13422" s="7">
        <v>161</v>
      </c>
      <c r="J13422" s="7">
        <v>613</v>
      </c>
      <c r="K13422" s="7" t="s">
        <v>18</v>
      </c>
      <c r="L13422" s="8">
        <v>39987.315405092595</v>
      </c>
      <c r="M13422" s="9" t="s">
        <v>19</v>
      </c>
      <c r="N13422" s="9" t="s">
        <v>20</v>
      </c>
      <c r="O13422" s="6" t="str">
        <f>HYPERLINK("https://pbs.twimg.com/profile_images/962471262747529216/Uo8lOkRJ_normal.jpg","View")</f>
        <v>View</v>
      </c>
      <c r="P13422" s="7"/>
    </row>
    <row r="13423" spans="1:16">
      <c r="A13423" s="3">
        <v>44230.979999999996</v>
      </c>
      <c r="B13423" s="4" t="str">
        <f>HYPERLINK("https://twitter.com/petrogustavo","@petrogustavo")</f>
        <v>@petrogustavo</v>
      </c>
      <c r="C13423" s="5" t="s">
        <v>16</v>
      </c>
      <c r="D13423" s="5" t="s">
        <v>12918</v>
      </c>
      <c r="E13423" s="6" t="str">
        <f>HYPERLINK("https://twitter.com/petrogustavo/status/1357026367158841346","1357026367158841346")</f>
        <v>1357026367158841346</v>
      </c>
      <c r="F13423" s="7" t="s">
        <v>17</v>
      </c>
      <c r="G13423" s="7">
        <v>4055340</v>
      </c>
      <c r="H13423" s="7">
        <v>2483</v>
      </c>
      <c r="I13423" s="7">
        <v>49</v>
      </c>
      <c r="J13423" s="7">
        <v>0</v>
      </c>
      <c r="K13423" s="7" t="s">
        <v>18</v>
      </c>
      <c r="L13423" s="8">
        <v>39987.315405092595</v>
      </c>
      <c r="M13423" s="9" t="s">
        <v>19</v>
      </c>
      <c r="N13423" s="9" t="s">
        <v>20</v>
      </c>
      <c r="O13423" s="6" t="str">
        <f>HYPERLINK("https://pbs.twimg.com/profile_images/962471262747529216/Uo8lOkRJ_normal.jpg","View")</f>
        <v>View</v>
      </c>
      <c r="P13423" s="7"/>
    </row>
    <row r="13424" spans="1:16">
      <c r="A13424" s="3">
        <v>44231.776782407411</v>
      </c>
      <c r="B13424" s="4" t="str">
        <f>HYPERLINK("https://twitter.com/petrogustavo","@petrogustavo")</f>
        <v>@petrogustavo</v>
      </c>
      <c r="C13424" s="5" t="s">
        <v>16</v>
      </c>
      <c r="D13424" s="5" t="s">
        <v>12919</v>
      </c>
      <c r="E13424" s="6" t="str">
        <f>HYPERLINK("https://twitter.com/petrogustavo/status/1357315109618675716","1357315109618675716")</f>
        <v>1357315109618675716</v>
      </c>
      <c r="F13424" s="7" t="s">
        <v>17</v>
      </c>
      <c r="G13424" s="7">
        <v>4055829</v>
      </c>
      <c r="H13424" s="7">
        <v>2483</v>
      </c>
      <c r="I13424" s="7">
        <v>58</v>
      </c>
      <c r="J13424" s="7">
        <v>151</v>
      </c>
      <c r="K13424" s="7" t="s">
        <v>18</v>
      </c>
      <c r="L13424" s="8">
        <v>39987.315405092595</v>
      </c>
      <c r="M13424" s="9" t="s">
        <v>19</v>
      </c>
      <c r="N13424" s="9" t="s">
        <v>20</v>
      </c>
      <c r="O13424" s="6" t="str">
        <f>HYPERLINK("https://pbs.twimg.com/profile_images/962471262747529216/Uo8lOkRJ_normal.jpg","View")</f>
        <v>View</v>
      </c>
      <c r="P13424" s="7"/>
    </row>
    <row r="13425" spans="1:16">
      <c r="A13425" s="3">
        <v>44231.796388888892</v>
      </c>
      <c r="B13425" s="4" t="str">
        <f>HYPERLINK("https://twitter.com/petrogustavo","@petrogustavo")</f>
        <v>@petrogustavo</v>
      </c>
      <c r="C13425" s="5" t="s">
        <v>16</v>
      </c>
      <c r="D13425" s="5" t="s">
        <v>12920</v>
      </c>
      <c r="E13425" s="6" t="str">
        <f>HYPERLINK("https://twitter.com/petrogustavo/status/1357322214455070721","1357322214455070721")</f>
        <v>1357322214455070721</v>
      </c>
      <c r="F13425" s="7" t="s">
        <v>17</v>
      </c>
      <c r="G13425" s="7">
        <v>4055855</v>
      </c>
      <c r="H13425" s="7">
        <v>2483</v>
      </c>
      <c r="I13425" s="7">
        <v>89</v>
      </c>
      <c r="J13425" s="7">
        <v>0</v>
      </c>
      <c r="K13425" s="7" t="s">
        <v>18</v>
      </c>
      <c r="L13425" s="8">
        <v>39987.315405092595</v>
      </c>
      <c r="M13425" s="9" t="s">
        <v>19</v>
      </c>
      <c r="N13425" s="9" t="s">
        <v>20</v>
      </c>
      <c r="O13425" s="6" t="str">
        <f>HYPERLINK("https://pbs.twimg.com/profile_images/962471262747529216/Uo8lOkRJ_normal.jpg","View")</f>
        <v>View</v>
      </c>
      <c r="P13425" s="7"/>
    </row>
    <row r="13426" spans="1:16">
      <c r="A13426" s="3">
        <v>44231.806643518517</v>
      </c>
      <c r="B13426" s="4" t="str">
        <f>HYPERLINK("https://twitter.com/petrogustavo","@petrogustavo")</f>
        <v>@petrogustavo</v>
      </c>
      <c r="C13426" s="5" t="s">
        <v>16</v>
      </c>
      <c r="D13426" s="5" t="s">
        <v>12921</v>
      </c>
      <c r="E13426" s="6" t="str">
        <f>HYPERLINK("https://twitter.com/petrogustavo/status/1357325932206428167","1357325932206428167")</f>
        <v>1357325932206428167</v>
      </c>
      <c r="F13426" s="7" t="s">
        <v>17</v>
      </c>
      <c r="G13426" s="7">
        <v>4055880</v>
      </c>
      <c r="H13426" s="7">
        <v>2483</v>
      </c>
      <c r="I13426" s="7">
        <v>214</v>
      </c>
      <c r="J13426" s="7">
        <v>631</v>
      </c>
      <c r="K13426" s="7" t="s">
        <v>18</v>
      </c>
      <c r="L13426" s="8">
        <v>39987.315405092595</v>
      </c>
      <c r="M13426" s="9" t="s">
        <v>19</v>
      </c>
      <c r="N13426" s="9" t="s">
        <v>20</v>
      </c>
      <c r="O13426" s="6" t="str">
        <f>HYPERLINK("https://pbs.twimg.com/profile_images/962471262747529216/Uo8lOkRJ_normal.jpg","View")</f>
        <v>View</v>
      </c>
      <c r="P13426" s="7"/>
    </row>
    <row r="13427" spans="1:16">
      <c r="A13427" s="3">
        <v>44231.909907407404</v>
      </c>
      <c r="B13427" s="4" t="str">
        <f>HYPERLINK("https://twitter.com/petrogustavo","@petrogustavo")</f>
        <v>@petrogustavo</v>
      </c>
      <c r="C13427" s="5" t="s">
        <v>16</v>
      </c>
      <c r="D13427" s="5" t="s">
        <v>12922</v>
      </c>
      <c r="E13427" s="6" t="str">
        <f>HYPERLINK("https://twitter.com/petrogustavo/status/1357363351295324162","1357363351295324162")</f>
        <v>1357363351295324162</v>
      </c>
      <c r="F13427" s="7" t="s">
        <v>17</v>
      </c>
      <c r="G13427" s="7">
        <v>4055988</v>
      </c>
      <c r="H13427" s="7">
        <v>2483</v>
      </c>
      <c r="I13427" s="7">
        <v>102</v>
      </c>
      <c r="J13427" s="7">
        <v>0</v>
      </c>
      <c r="K13427" s="7" t="s">
        <v>18</v>
      </c>
      <c r="L13427" s="8">
        <v>39987.315405092595</v>
      </c>
      <c r="M13427" s="9" t="s">
        <v>19</v>
      </c>
      <c r="N13427" s="9" t="s">
        <v>20</v>
      </c>
      <c r="O13427" s="6" t="str">
        <f>HYPERLINK("https://pbs.twimg.com/profile_images/962471262747529216/Uo8lOkRJ_normal.jpg","View")</f>
        <v>View</v>
      </c>
      <c r="P13427" s="7"/>
    </row>
    <row r="13428" spans="1:16">
      <c r="A13428" s="3">
        <v>44231.97493055556</v>
      </c>
      <c r="B13428" s="4" t="str">
        <f>HYPERLINK("https://twitter.com/petrogustavo","@petrogustavo")</f>
        <v>@petrogustavo</v>
      </c>
      <c r="C13428" s="5" t="s">
        <v>16</v>
      </c>
      <c r="D13428" s="5" t="s">
        <v>12923</v>
      </c>
      <c r="E13428" s="6" t="str">
        <f>HYPERLINK("https://twitter.com/petrogustavo/status/1357386915478142976","1357386915478142976")</f>
        <v>1357386915478142976</v>
      </c>
      <c r="F13428" s="7" t="s">
        <v>17</v>
      </c>
      <c r="G13428" s="7">
        <v>4056143</v>
      </c>
      <c r="H13428" s="7">
        <v>2483</v>
      </c>
      <c r="I13428" s="7">
        <v>263</v>
      </c>
      <c r="J13428" s="7">
        <v>591</v>
      </c>
      <c r="K13428" s="7" t="s">
        <v>18</v>
      </c>
      <c r="L13428" s="8">
        <v>39987.315405092595</v>
      </c>
      <c r="M13428" s="9" t="s">
        <v>19</v>
      </c>
      <c r="N13428" s="9" t="s">
        <v>20</v>
      </c>
      <c r="O13428" s="6" t="str">
        <f>HYPERLINK("https://pbs.twimg.com/profile_images/962471262747529216/Uo8lOkRJ_normal.jpg","View")</f>
        <v>View</v>
      </c>
      <c r="P13428" s="7"/>
    </row>
    <row r="13429" spans="1:16">
      <c r="A13429" s="3">
        <v>44232.084502314814</v>
      </c>
      <c r="B13429" s="4" t="str">
        <f>HYPERLINK("https://twitter.com/petrogustavo","@petrogustavo")</f>
        <v>@petrogustavo</v>
      </c>
      <c r="C13429" s="5" t="s">
        <v>16</v>
      </c>
      <c r="D13429" s="5" t="s">
        <v>12924</v>
      </c>
      <c r="E13429" s="6" t="str">
        <f>HYPERLINK("https://twitter.com/petrogustavo/status/1357426622274691072","1357426622274691072")</f>
        <v>1357426622274691072</v>
      </c>
      <c r="F13429" s="7" t="s">
        <v>17</v>
      </c>
      <c r="G13429" s="7">
        <v>4056229</v>
      </c>
      <c r="H13429" s="7">
        <v>2483</v>
      </c>
      <c r="I13429" s="7">
        <v>43</v>
      </c>
      <c r="J13429" s="7">
        <v>0</v>
      </c>
      <c r="K13429" s="7" t="s">
        <v>18</v>
      </c>
      <c r="L13429" s="8">
        <v>39987.315405092595</v>
      </c>
      <c r="M13429" s="9" t="s">
        <v>19</v>
      </c>
      <c r="N13429" s="9" t="s">
        <v>20</v>
      </c>
      <c r="O13429" s="6" t="str">
        <f>HYPERLINK("https://pbs.twimg.com/profile_images/962471262747529216/Uo8lOkRJ_normal.jpg","View")</f>
        <v>View</v>
      </c>
      <c r="P13429" s="7"/>
    </row>
    <row r="13430" spans="1:16">
      <c r="A13430" s="3">
        <v>44232.08729166667</v>
      </c>
      <c r="B13430" s="4" t="str">
        <f>HYPERLINK("https://twitter.com/petrogustavo","@petrogustavo")</f>
        <v>@petrogustavo</v>
      </c>
      <c r="C13430" s="5" t="s">
        <v>16</v>
      </c>
      <c r="D13430" s="5" t="s">
        <v>12925</v>
      </c>
      <c r="E13430" s="6" t="str">
        <f>HYPERLINK("https://twitter.com/petrogustavo/status/1357427636046352389","1357427636046352389")</f>
        <v>1357427636046352389</v>
      </c>
      <c r="F13430" s="7" t="s">
        <v>17</v>
      </c>
      <c r="G13430" s="7">
        <v>4056229</v>
      </c>
      <c r="H13430" s="7">
        <v>2483</v>
      </c>
      <c r="I13430" s="7">
        <v>81</v>
      </c>
      <c r="J13430" s="7">
        <v>336</v>
      </c>
      <c r="K13430" s="7" t="s">
        <v>18</v>
      </c>
      <c r="L13430" s="8">
        <v>39987.315405092595</v>
      </c>
      <c r="M13430" s="9" t="s">
        <v>19</v>
      </c>
      <c r="N13430" s="9" t="s">
        <v>20</v>
      </c>
      <c r="O13430" s="6" t="str">
        <f>HYPERLINK("https://pbs.twimg.com/profile_images/962471262747529216/Uo8lOkRJ_normal.jpg","View")</f>
        <v>View</v>
      </c>
      <c r="P13430" s="7"/>
    </row>
    <row r="13431" spans="1:16">
      <c r="A13431" s="3">
        <v>44232.106203703705</v>
      </c>
      <c r="B13431" s="4" t="str">
        <f>HYPERLINK("https://twitter.com/petrogustavo","@petrogustavo")</f>
        <v>@petrogustavo</v>
      </c>
      <c r="C13431" s="5" t="s">
        <v>16</v>
      </c>
      <c r="D13431" s="5" t="s">
        <v>12926</v>
      </c>
      <c r="E13431" s="6" t="str">
        <f>HYPERLINK("https://twitter.com/petrogustavo/status/1357434487823601666","1357434487823601666")</f>
        <v>1357434487823601666</v>
      </c>
      <c r="F13431" s="7" t="s">
        <v>17</v>
      </c>
      <c r="G13431" s="7">
        <v>4056247</v>
      </c>
      <c r="H13431" s="7">
        <v>2483</v>
      </c>
      <c r="I13431" s="7">
        <v>146</v>
      </c>
      <c r="J13431" s="7">
        <v>352</v>
      </c>
      <c r="K13431" s="7" t="s">
        <v>18</v>
      </c>
      <c r="L13431" s="8">
        <v>39987.315405092595</v>
      </c>
      <c r="M13431" s="9" t="s">
        <v>19</v>
      </c>
      <c r="N13431" s="9" t="s">
        <v>20</v>
      </c>
      <c r="O13431" s="6" t="str">
        <f>HYPERLINK("https://pbs.twimg.com/profile_images/962471262747529216/Uo8lOkRJ_normal.jpg","View")</f>
        <v>View</v>
      </c>
      <c r="P13431" s="7"/>
    </row>
    <row r="13432" spans="1:16">
      <c r="A13432" s="3">
        <v>44232.106203703705</v>
      </c>
      <c r="B13432" s="4" t="str">
        <f>HYPERLINK("https://twitter.com/petrogustavo","@petrogustavo")</f>
        <v>@petrogustavo</v>
      </c>
      <c r="C13432" s="5" t="s">
        <v>16</v>
      </c>
      <c r="D13432" s="5" t="s">
        <v>12927</v>
      </c>
      <c r="E13432" s="6" t="str">
        <f>HYPERLINK("https://twitter.com/petrogustavo/status/1357434489165733895","1357434489165733895")</f>
        <v>1357434489165733895</v>
      </c>
      <c r="F13432" s="7" t="s">
        <v>17</v>
      </c>
      <c r="G13432" s="7">
        <v>4056247</v>
      </c>
      <c r="H13432" s="7">
        <v>2483</v>
      </c>
      <c r="I13432" s="7">
        <v>89</v>
      </c>
      <c r="J13432" s="7">
        <v>245</v>
      </c>
      <c r="K13432" s="7" t="s">
        <v>18</v>
      </c>
      <c r="L13432" s="8">
        <v>39987.315405092595</v>
      </c>
      <c r="M13432" s="9" t="s">
        <v>19</v>
      </c>
      <c r="N13432" s="9" t="s">
        <v>20</v>
      </c>
      <c r="O13432" s="6" t="str">
        <f>HYPERLINK("https://pbs.twimg.com/profile_images/962471262747529216/Uo8lOkRJ_normal.jpg","View")</f>
        <v>View</v>
      </c>
      <c r="P13432" s="7"/>
    </row>
    <row r="13433" spans="1:16">
      <c r="A13433" s="3">
        <v>44232.111481481479</v>
      </c>
      <c r="B13433" s="4" t="str">
        <f>HYPERLINK("https://twitter.com/petrogustavo","@petrogustavo")</f>
        <v>@petrogustavo</v>
      </c>
      <c r="C13433" s="5" t="s">
        <v>16</v>
      </c>
      <c r="D13433" s="5" t="s">
        <v>12928</v>
      </c>
      <c r="E13433" s="6" t="str">
        <f>HYPERLINK("https://twitter.com/petrogustavo/status/1357436402200363008","1357436402200363008")</f>
        <v>1357436402200363008</v>
      </c>
      <c r="F13433" s="7" t="s">
        <v>17</v>
      </c>
      <c r="G13433" s="7">
        <v>4056247</v>
      </c>
      <c r="H13433" s="7">
        <v>2483</v>
      </c>
      <c r="I13433" s="7">
        <v>460</v>
      </c>
      <c r="J13433" s="7">
        <v>0</v>
      </c>
      <c r="K13433" s="7" t="s">
        <v>18</v>
      </c>
      <c r="L13433" s="8">
        <v>39987.315405092595</v>
      </c>
      <c r="M13433" s="9" t="s">
        <v>19</v>
      </c>
      <c r="N13433" s="9" t="s">
        <v>20</v>
      </c>
      <c r="O13433" s="6" t="str">
        <f>HYPERLINK("https://pbs.twimg.com/profile_images/962471262747529216/Uo8lOkRJ_normal.jpg","View")</f>
        <v>View</v>
      </c>
      <c r="P13433" s="7"/>
    </row>
    <row r="13434" spans="1:16">
      <c r="A13434" s="3">
        <v>44232.665821759263</v>
      </c>
      <c r="B13434" s="4" t="str">
        <f>HYPERLINK("https://twitter.com/petrogustavo","@petrogustavo")</f>
        <v>@petrogustavo</v>
      </c>
      <c r="C13434" s="5" t="s">
        <v>16</v>
      </c>
      <c r="D13434" s="5" t="s">
        <v>12929</v>
      </c>
      <c r="E13434" s="6" t="str">
        <f>HYPERLINK("https://twitter.com/petrogustavo/status/1357637286863716352","1357637286863716352")</f>
        <v>1357637286863716352</v>
      </c>
      <c r="F13434" s="7" t="s">
        <v>17</v>
      </c>
      <c r="G13434" s="7">
        <v>4056645</v>
      </c>
      <c r="H13434" s="7">
        <v>2483</v>
      </c>
      <c r="I13434" s="7">
        <v>1028</v>
      </c>
      <c r="J13434" s="7">
        <v>0</v>
      </c>
      <c r="K13434" s="7" t="s">
        <v>18</v>
      </c>
      <c r="L13434" s="8">
        <v>39987.315405092595</v>
      </c>
      <c r="M13434" s="9" t="s">
        <v>19</v>
      </c>
      <c r="N13434" s="9" t="s">
        <v>20</v>
      </c>
      <c r="O13434" s="6" t="str">
        <f>HYPERLINK("https://pbs.twimg.com/profile_images/962471262747529216/Uo8lOkRJ_normal.jpg","View")</f>
        <v>View</v>
      </c>
      <c r="P13434" s="7"/>
    </row>
    <row r="13435" spans="1:16">
      <c r="A13435" s="3">
        <v>44232.666585648149</v>
      </c>
      <c r="B13435" s="4" t="str">
        <f>HYPERLINK("https://twitter.com/petrogustavo","@petrogustavo")</f>
        <v>@petrogustavo</v>
      </c>
      <c r="C13435" s="5" t="s">
        <v>16</v>
      </c>
      <c r="D13435" s="5" t="s">
        <v>12930</v>
      </c>
      <c r="E13435" s="6" t="str">
        <f>HYPERLINK("https://twitter.com/petrogustavo/status/1357637565495595011","1357637565495595011")</f>
        <v>1357637565495595011</v>
      </c>
      <c r="F13435" s="7" t="s">
        <v>17</v>
      </c>
      <c r="G13435" s="7">
        <v>4056645</v>
      </c>
      <c r="H13435" s="7">
        <v>2483</v>
      </c>
      <c r="I13435" s="7">
        <v>38</v>
      </c>
      <c r="J13435" s="7">
        <v>60</v>
      </c>
      <c r="K13435" s="7" t="s">
        <v>18</v>
      </c>
      <c r="L13435" s="8">
        <v>39987.315405092595</v>
      </c>
      <c r="M13435" s="9" t="s">
        <v>19</v>
      </c>
      <c r="N13435" s="9" t="s">
        <v>20</v>
      </c>
      <c r="O13435" s="6" t="str">
        <f>HYPERLINK("https://pbs.twimg.com/profile_images/962471262747529216/Uo8lOkRJ_normal.jpg","View")</f>
        <v>View</v>
      </c>
      <c r="P13435" s="7"/>
    </row>
    <row r="13436" spans="1:16">
      <c r="A13436" s="3">
        <v>44232.667986111112</v>
      </c>
      <c r="B13436" s="4" t="str">
        <f>HYPERLINK("https://twitter.com/petrogustavo","@petrogustavo")</f>
        <v>@petrogustavo</v>
      </c>
      <c r="C13436" s="5" t="s">
        <v>16</v>
      </c>
      <c r="D13436" s="5" t="s">
        <v>12931</v>
      </c>
      <c r="E13436" s="6" t="str">
        <f>HYPERLINK("https://twitter.com/petrogustavo/status/1357638071777435649","1357638071777435649")</f>
        <v>1357638071777435649</v>
      </c>
      <c r="F13436" s="7" t="s">
        <v>17</v>
      </c>
      <c r="G13436" s="7">
        <v>4056645</v>
      </c>
      <c r="H13436" s="7">
        <v>2483</v>
      </c>
      <c r="I13436" s="7">
        <v>425</v>
      </c>
      <c r="J13436" s="7">
        <v>0</v>
      </c>
      <c r="K13436" s="7" t="s">
        <v>18</v>
      </c>
      <c r="L13436" s="8">
        <v>39987.315405092595</v>
      </c>
      <c r="M13436" s="9" t="s">
        <v>19</v>
      </c>
      <c r="N13436" s="9" t="s">
        <v>20</v>
      </c>
      <c r="O13436" s="6" t="str">
        <f>HYPERLINK("https://pbs.twimg.com/profile_images/962471262747529216/Uo8lOkRJ_normal.jpg","View")</f>
        <v>View</v>
      </c>
      <c r="P13436" s="7"/>
    </row>
    <row r="13437" spans="1:16">
      <c r="A13437" s="3">
        <v>44232.668229166666</v>
      </c>
      <c r="B13437" s="4" t="str">
        <f>HYPERLINK("https://twitter.com/petrogustavo","@petrogustavo")</f>
        <v>@petrogustavo</v>
      </c>
      <c r="C13437" s="5" t="s">
        <v>16</v>
      </c>
      <c r="D13437" s="5" t="s">
        <v>12932</v>
      </c>
      <c r="E13437" s="6" t="str">
        <f>HYPERLINK("https://twitter.com/petrogustavo/status/1357638158637228034","1357638158637228034")</f>
        <v>1357638158637228034</v>
      </c>
      <c r="F13437" s="7" t="s">
        <v>17</v>
      </c>
      <c r="G13437" s="7">
        <v>4056645</v>
      </c>
      <c r="H13437" s="7">
        <v>2483</v>
      </c>
      <c r="I13437" s="7">
        <v>40</v>
      </c>
      <c r="J13437" s="7">
        <v>0</v>
      </c>
      <c r="K13437" s="7" t="s">
        <v>18</v>
      </c>
      <c r="L13437" s="8">
        <v>39987.315405092595</v>
      </c>
      <c r="M13437" s="9" t="s">
        <v>19</v>
      </c>
      <c r="N13437" s="9" t="s">
        <v>20</v>
      </c>
      <c r="O13437" s="6" t="str">
        <f>HYPERLINK("https://pbs.twimg.com/profile_images/962471262747529216/Uo8lOkRJ_normal.jpg","View")</f>
        <v>View</v>
      </c>
      <c r="P13437" s="7"/>
    </row>
    <row r="13438" spans="1:16">
      <c r="A13438" s="3">
        <v>44232.668680555551</v>
      </c>
      <c r="B13438" s="4" t="str">
        <f>HYPERLINK("https://twitter.com/petrogustavo","@petrogustavo")</f>
        <v>@petrogustavo</v>
      </c>
      <c r="C13438" s="5" t="s">
        <v>16</v>
      </c>
      <c r="D13438" s="5" t="s">
        <v>12933</v>
      </c>
      <c r="E13438" s="6" t="str">
        <f>HYPERLINK("https://twitter.com/petrogustavo/status/1357638321812480001","1357638321812480001")</f>
        <v>1357638321812480001</v>
      </c>
      <c r="F13438" s="7" t="s">
        <v>17</v>
      </c>
      <c r="G13438" s="7">
        <v>4056645</v>
      </c>
      <c r="H13438" s="7">
        <v>2483</v>
      </c>
      <c r="I13438" s="7">
        <v>38</v>
      </c>
      <c r="J13438" s="7">
        <v>0</v>
      </c>
      <c r="K13438" s="7" t="s">
        <v>18</v>
      </c>
      <c r="L13438" s="8">
        <v>39987.315405092595</v>
      </c>
      <c r="M13438" s="9" t="s">
        <v>19</v>
      </c>
      <c r="N13438" s="9" t="s">
        <v>20</v>
      </c>
      <c r="O13438" s="6" t="str">
        <f>HYPERLINK("https://pbs.twimg.com/profile_images/962471262747529216/Uo8lOkRJ_normal.jpg","View")</f>
        <v>View</v>
      </c>
      <c r="P13438" s="7"/>
    </row>
    <row r="13439" spans="1:16">
      <c r="A13439" s="3">
        <v>44232.8044212963</v>
      </c>
      <c r="B13439" s="4" t="str">
        <f>HYPERLINK("https://twitter.com/petrogustavo","@petrogustavo")</f>
        <v>@petrogustavo</v>
      </c>
      <c r="C13439" s="5" t="s">
        <v>16</v>
      </c>
      <c r="D13439" s="5" t="s">
        <v>12934</v>
      </c>
      <c r="E13439" s="6" t="str">
        <f>HYPERLINK("https://twitter.com/petrogustavo/status/1357687513767440385","1357687513767440385")</f>
        <v>1357687513767440385</v>
      </c>
      <c r="F13439" s="7" t="s">
        <v>17</v>
      </c>
      <c r="G13439" s="7">
        <v>4056769</v>
      </c>
      <c r="H13439" s="7">
        <v>2483</v>
      </c>
      <c r="I13439" s="7">
        <v>219</v>
      </c>
      <c r="J13439" s="7">
        <v>0</v>
      </c>
      <c r="K13439" s="7" t="s">
        <v>18</v>
      </c>
      <c r="L13439" s="8">
        <v>39987.315405092595</v>
      </c>
      <c r="M13439" s="9" t="s">
        <v>19</v>
      </c>
      <c r="N13439" s="9" t="s">
        <v>20</v>
      </c>
      <c r="O13439" s="6" t="str">
        <f>HYPERLINK("https://pbs.twimg.com/profile_images/962471262747529216/Uo8lOkRJ_normal.jpg","View")</f>
        <v>View</v>
      </c>
      <c r="P13439" s="7"/>
    </row>
    <row r="13440" spans="1:16">
      <c r="A13440" s="3">
        <v>44232.825057870374</v>
      </c>
      <c r="B13440" s="4" t="str">
        <f>HYPERLINK("https://twitter.com/petrogustavo","@petrogustavo")</f>
        <v>@petrogustavo</v>
      </c>
      <c r="C13440" s="5" t="s">
        <v>16</v>
      </c>
      <c r="D13440" s="5" t="s">
        <v>12935</v>
      </c>
      <c r="E13440" s="6" t="str">
        <f>HYPERLINK("https://twitter.com/petrogustavo/status/1357694989954916359","1357694989954916359")</f>
        <v>1357694989954916359</v>
      </c>
      <c r="F13440" s="7" t="s">
        <v>17</v>
      </c>
      <c r="G13440" s="7">
        <v>4056769</v>
      </c>
      <c r="H13440" s="7">
        <v>2483</v>
      </c>
      <c r="I13440" s="7">
        <v>240</v>
      </c>
      <c r="J13440" s="7">
        <v>0</v>
      </c>
      <c r="K13440" s="7" t="s">
        <v>18</v>
      </c>
      <c r="L13440" s="8">
        <v>39987.315405092595</v>
      </c>
      <c r="M13440" s="9" t="s">
        <v>19</v>
      </c>
      <c r="N13440" s="9" t="s">
        <v>20</v>
      </c>
      <c r="O13440" s="6" t="str">
        <f>HYPERLINK("https://pbs.twimg.com/profile_images/962471262747529216/Uo8lOkRJ_normal.jpg","View")</f>
        <v>View</v>
      </c>
      <c r="P13440" s="7"/>
    </row>
    <row r="13441" spans="1:16">
      <c r="A13441" s="3">
        <v>44232.826481481483</v>
      </c>
      <c r="B13441" s="4" t="str">
        <f>HYPERLINK("https://twitter.com/petrogustavo","@petrogustavo")</f>
        <v>@petrogustavo</v>
      </c>
      <c r="C13441" s="5" t="s">
        <v>16</v>
      </c>
      <c r="D13441" s="5" t="s">
        <v>12936</v>
      </c>
      <c r="E13441" s="6" t="str">
        <f>HYPERLINK("https://twitter.com/petrogustavo/status/1357695507427172365","1357695507427172365")</f>
        <v>1357695507427172365</v>
      </c>
      <c r="F13441" s="7" t="s">
        <v>17</v>
      </c>
      <c r="G13441" s="7">
        <v>4056798</v>
      </c>
      <c r="H13441" s="7">
        <v>2483</v>
      </c>
      <c r="I13441" s="7">
        <v>785</v>
      </c>
      <c r="J13441" s="7">
        <v>0</v>
      </c>
      <c r="K13441" s="7" t="s">
        <v>18</v>
      </c>
      <c r="L13441" s="8">
        <v>39987.315405092595</v>
      </c>
      <c r="M13441" s="9" t="s">
        <v>19</v>
      </c>
      <c r="N13441" s="9" t="s">
        <v>20</v>
      </c>
      <c r="O13441" s="6" t="str">
        <f>HYPERLINK("https://pbs.twimg.com/profile_images/962471262747529216/Uo8lOkRJ_normal.jpg","View")</f>
        <v>View</v>
      </c>
      <c r="P13441" s="7"/>
    </row>
    <row r="13442" spans="1:16">
      <c r="A13442" s="3">
        <v>44232.830324074079</v>
      </c>
      <c r="B13442" s="4" t="str">
        <f>HYPERLINK("https://twitter.com/petrogustavo","@petrogustavo")</f>
        <v>@petrogustavo</v>
      </c>
      <c r="C13442" s="5" t="s">
        <v>16</v>
      </c>
      <c r="D13442" s="5" t="s">
        <v>12937</v>
      </c>
      <c r="E13442" s="6" t="str">
        <f>HYPERLINK("https://twitter.com/petrogustavo/status/1357696901005647875","1357696901005647875")</f>
        <v>1357696901005647875</v>
      </c>
      <c r="F13442" s="7" t="s">
        <v>17</v>
      </c>
      <c r="G13442" s="7">
        <v>4056798</v>
      </c>
      <c r="H13442" s="7">
        <v>2483</v>
      </c>
      <c r="I13442" s="7">
        <v>709</v>
      </c>
      <c r="J13442" s="7">
        <v>0</v>
      </c>
      <c r="K13442" s="7" t="s">
        <v>18</v>
      </c>
      <c r="L13442" s="8">
        <v>39987.315405092595</v>
      </c>
      <c r="M13442" s="9" t="s">
        <v>19</v>
      </c>
      <c r="N13442" s="9" t="s">
        <v>20</v>
      </c>
      <c r="O13442" s="6" t="str">
        <f>HYPERLINK("https://pbs.twimg.com/profile_images/962471262747529216/Uo8lOkRJ_normal.jpg","View")</f>
        <v>View</v>
      </c>
      <c r="P13442" s="7"/>
    </row>
    <row r="13443" spans="1:16">
      <c r="A13443" s="3">
        <v>44232.831400462965</v>
      </c>
      <c r="B13443" s="4" t="str">
        <f>HYPERLINK("https://twitter.com/petrogustavo","@petrogustavo")</f>
        <v>@petrogustavo</v>
      </c>
      <c r="C13443" s="5" t="s">
        <v>16</v>
      </c>
      <c r="D13443" s="5" t="s">
        <v>12938</v>
      </c>
      <c r="E13443" s="6" t="str">
        <f>HYPERLINK("https://twitter.com/petrogustavo/status/1357697288848736257","1357697288848736257")</f>
        <v>1357697288848736257</v>
      </c>
      <c r="F13443" s="7" t="s">
        <v>17</v>
      </c>
      <c r="G13443" s="7">
        <v>4056798</v>
      </c>
      <c r="H13443" s="7">
        <v>2483</v>
      </c>
      <c r="I13443" s="7">
        <v>87</v>
      </c>
      <c r="J13443" s="7">
        <v>0</v>
      </c>
      <c r="K13443" s="7" t="s">
        <v>18</v>
      </c>
      <c r="L13443" s="8">
        <v>39987.315405092595</v>
      </c>
      <c r="M13443" s="9" t="s">
        <v>19</v>
      </c>
      <c r="N13443" s="9" t="s">
        <v>20</v>
      </c>
      <c r="O13443" s="6" t="str">
        <f>HYPERLINK("https://pbs.twimg.com/profile_images/962471262747529216/Uo8lOkRJ_normal.jpg","View")</f>
        <v>View</v>
      </c>
      <c r="P13443" s="7"/>
    </row>
    <row r="13444" spans="1:16">
      <c r="A13444" s="3">
        <v>44232.831620370373</v>
      </c>
      <c r="B13444" s="4" t="str">
        <f>HYPERLINK("https://twitter.com/petrogustavo","@petrogustavo")</f>
        <v>@petrogustavo</v>
      </c>
      <c r="C13444" s="5" t="s">
        <v>16</v>
      </c>
      <c r="D13444" s="5" t="s">
        <v>12939</v>
      </c>
      <c r="E13444" s="6" t="str">
        <f>HYPERLINK("https://twitter.com/petrogustavo/status/1357697368397934594","1357697368397934594")</f>
        <v>1357697368397934594</v>
      </c>
      <c r="F13444" s="7" t="s">
        <v>17</v>
      </c>
      <c r="G13444" s="7">
        <v>4056798</v>
      </c>
      <c r="H13444" s="7">
        <v>2483</v>
      </c>
      <c r="I13444" s="7">
        <v>169</v>
      </c>
      <c r="J13444" s="7">
        <v>0</v>
      </c>
      <c r="K13444" s="7" t="s">
        <v>18</v>
      </c>
      <c r="L13444" s="8">
        <v>39987.315405092595</v>
      </c>
      <c r="M13444" s="9" t="s">
        <v>19</v>
      </c>
      <c r="N13444" s="9" t="s">
        <v>20</v>
      </c>
      <c r="O13444" s="6" t="str">
        <f>HYPERLINK("https://pbs.twimg.com/profile_images/962471262747529216/Uo8lOkRJ_normal.jpg","View")</f>
        <v>View</v>
      </c>
      <c r="P13444" s="7"/>
    </row>
    <row r="13445" spans="1:16">
      <c r="A13445" s="3">
        <v>44232.889236111107</v>
      </c>
      <c r="B13445" s="4" t="str">
        <f>HYPERLINK("https://twitter.com/petrogustavo","@petrogustavo")</f>
        <v>@petrogustavo</v>
      </c>
      <c r="C13445" s="5" t="s">
        <v>16</v>
      </c>
      <c r="D13445" s="5" t="s">
        <v>12933</v>
      </c>
      <c r="E13445" s="6" t="str">
        <f>HYPERLINK("https://twitter.com/petrogustavo/status/1357718250407292936","1357718250407292936")</f>
        <v>1357718250407292936</v>
      </c>
      <c r="F13445" s="7" t="s">
        <v>17</v>
      </c>
      <c r="G13445" s="7">
        <v>4057013</v>
      </c>
      <c r="H13445" s="7">
        <v>2483</v>
      </c>
      <c r="I13445" s="7">
        <v>634</v>
      </c>
      <c r="J13445" s="7">
        <v>0</v>
      </c>
      <c r="K13445" s="7" t="s">
        <v>18</v>
      </c>
      <c r="L13445" s="8">
        <v>39987.315405092595</v>
      </c>
      <c r="M13445" s="9" t="s">
        <v>19</v>
      </c>
      <c r="N13445" s="9" t="s">
        <v>20</v>
      </c>
      <c r="O13445" s="6" t="str">
        <f>HYPERLINK("https://pbs.twimg.com/profile_images/962471262747529216/Uo8lOkRJ_normal.jpg","View")</f>
        <v>View</v>
      </c>
      <c r="P13445" s="7"/>
    </row>
    <row r="13446" spans="1:16">
      <c r="A13446" s="3">
        <v>44233.023321759261</v>
      </c>
      <c r="B13446" s="4" t="str">
        <f>HYPERLINK("https://twitter.com/petrogustavo","@petrogustavo")</f>
        <v>@petrogustavo</v>
      </c>
      <c r="C13446" s="5" t="s">
        <v>16</v>
      </c>
      <c r="D13446" s="5" t="s">
        <v>12940</v>
      </c>
      <c r="E13446" s="6" t="str">
        <f>HYPERLINK("https://twitter.com/petrogustavo/status/1357766841339412482","1357766841339412482")</f>
        <v>1357766841339412482</v>
      </c>
      <c r="F13446" s="7" t="s">
        <v>17</v>
      </c>
      <c r="G13446" s="7">
        <v>4057013</v>
      </c>
      <c r="H13446" s="7">
        <v>2483</v>
      </c>
      <c r="I13446" s="7">
        <v>178</v>
      </c>
      <c r="J13446" s="7">
        <v>529</v>
      </c>
      <c r="K13446" s="7" t="s">
        <v>18</v>
      </c>
      <c r="L13446" s="8">
        <v>39987.315405092595</v>
      </c>
      <c r="M13446" s="9" t="s">
        <v>19</v>
      </c>
      <c r="N13446" s="9" t="s">
        <v>20</v>
      </c>
      <c r="O13446" s="6" t="str">
        <f>HYPERLINK("https://pbs.twimg.com/profile_images/962471262747529216/Uo8lOkRJ_normal.jpg","View")</f>
        <v>View</v>
      </c>
      <c r="P13446" s="7"/>
    </row>
    <row r="13447" spans="1:16">
      <c r="A13447" s="3">
        <v>44233.025208333333</v>
      </c>
      <c r="B13447" s="4" t="str">
        <f>HYPERLINK("https://twitter.com/petrogustavo","@petrogustavo")</f>
        <v>@petrogustavo</v>
      </c>
      <c r="C13447" s="5" t="s">
        <v>16</v>
      </c>
      <c r="D13447" s="5" t="s">
        <v>12941</v>
      </c>
      <c r="E13447" s="6" t="str">
        <f>HYPERLINK("https://twitter.com/petrogustavo/status/1357767524797075457","1357767524797075457")</f>
        <v>1357767524797075457</v>
      </c>
      <c r="F13447" s="7" t="s">
        <v>17</v>
      </c>
      <c r="G13447" s="7">
        <v>4057013</v>
      </c>
      <c r="H13447" s="7">
        <v>2483</v>
      </c>
      <c r="I13447" s="7">
        <v>125</v>
      </c>
      <c r="J13447" s="7">
        <v>418</v>
      </c>
      <c r="K13447" s="7" t="s">
        <v>18</v>
      </c>
      <c r="L13447" s="8">
        <v>39987.315405092595</v>
      </c>
      <c r="M13447" s="9" t="s">
        <v>19</v>
      </c>
      <c r="N13447" s="9" t="s">
        <v>20</v>
      </c>
      <c r="O13447" s="6" t="str">
        <f>HYPERLINK("https://pbs.twimg.com/profile_images/962471262747529216/Uo8lOkRJ_normal.jpg","View")</f>
        <v>View</v>
      </c>
      <c r="P13447" s="7"/>
    </row>
    <row r="13448" spans="1:16">
      <c r="A13448" s="3">
        <v>44233.065243055556</v>
      </c>
      <c r="B13448" s="4" t="str">
        <f>HYPERLINK("https://twitter.com/petrogustavo","@petrogustavo")</f>
        <v>@petrogustavo</v>
      </c>
      <c r="C13448" s="5" t="s">
        <v>16</v>
      </c>
      <c r="D13448" s="5" t="s">
        <v>12942</v>
      </c>
      <c r="E13448" s="6" t="str">
        <f>HYPERLINK("https://twitter.com/petrogustavo/status/1357782034001899527","1357782034001899527")</f>
        <v>1357782034001899527</v>
      </c>
      <c r="F13448" s="7" t="s">
        <v>17</v>
      </c>
      <c r="G13448" s="7">
        <v>4057046</v>
      </c>
      <c r="H13448" s="7">
        <v>2484</v>
      </c>
      <c r="I13448" s="7">
        <v>82</v>
      </c>
      <c r="J13448" s="7">
        <v>192</v>
      </c>
      <c r="K13448" s="7" t="s">
        <v>18</v>
      </c>
      <c r="L13448" s="8">
        <v>39987.315405092595</v>
      </c>
      <c r="M13448" s="9" t="s">
        <v>19</v>
      </c>
      <c r="N13448" s="9" t="s">
        <v>20</v>
      </c>
      <c r="O13448" s="6" t="str">
        <f>HYPERLINK("https://pbs.twimg.com/profile_images/962471262747529216/Uo8lOkRJ_normal.jpg","View")</f>
        <v>View</v>
      </c>
      <c r="P13448" s="7"/>
    </row>
    <row r="13449" spans="1:16">
      <c r="A13449" s="3">
        <v>44233.065254629633</v>
      </c>
      <c r="B13449" s="4" t="str">
        <f>HYPERLINK("https://twitter.com/petrogustavo","@petrogustavo")</f>
        <v>@petrogustavo</v>
      </c>
      <c r="C13449" s="5" t="s">
        <v>16</v>
      </c>
      <c r="D13449" s="5" t="s">
        <v>12943</v>
      </c>
      <c r="E13449" s="6" t="str">
        <f>HYPERLINK("https://twitter.com/petrogustavo/status/1357782036833046530","1357782036833046530")</f>
        <v>1357782036833046530</v>
      </c>
      <c r="F13449" s="7" t="s">
        <v>17</v>
      </c>
      <c r="G13449" s="7">
        <v>4057046</v>
      </c>
      <c r="H13449" s="7">
        <v>2484</v>
      </c>
      <c r="I13449" s="7">
        <v>48</v>
      </c>
      <c r="J13449" s="7">
        <v>161</v>
      </c>
      <c r="K13449" s="7" t="s">
        <v>18</v>
      </c>
      <c r="L13449" s="8">
        <v>39987.315405092595</v>
      </c>
      <c r="M13449" s="9" t="s">
        <v>19</v>
      </c>
      <c r="N13449" s="9" t="s">
        <v>20</v>
      </c>
      <c r="O13449" s="6" t="str">
        <f>HYPERLINK("https://pbs.twimg.com/profile_images/962471262747529216/Uo8lOkRJ_normal.jpg","View")</f>
        <v>View</v>
      </c>
      <c r="P13449" s="7"/>
    </row>
    <row r="13450" spans="1:16">
      <c r="A13450" s="3">
        <v>44233.065266203703</v>
      </c>
      <c r="B13450" s="4" t="str">
        <f>HYPERLINK("https://twitter.com/petrogustavo","@petrogustavo")</f>
        <v>@petrogustavo</v>
      </c>
      <c r="C13450" s="5" t="s">
        <v>16</v>
      </c>
      <c r="D13450" s="5" t="s">
        <v>12944</v>
      </c>
      <c r="E13450" s="6" t="str">
        <f>HYPERLINK("https://twitter.com/petrogustavo/status/1357782039320264710","1357782039320264710")</f>
        <v>1357782039320264710</v>
      </c>
      <c r="F13450" s="7" t="s">
        <v>17</v>
      </c>
      <c r="G13450" s="7">
        <v>4057046</v>
      </c>
      <c r="H13450" s="7">
        <v>2484</v>
      </c>
      <c r="I13450" s="7">
        <v>45</v>
      </c>
      <c r="J13450" s="7">
        <v>131</v>
      </c>
      <c r="K13450" s="7" t="s">
        <v>18</v>
      </c>
      <c r="L13450" s="8">
        <v>39987.315405092595</v>
      </c>
      <c r="M13450" s="9" t="s">
        <v>19</v>
      </c>
      <c r="N13450" s="9" t="s">
        <v>20</v>
      </c>
      <c r="O13450" s="6" t="str">
        <f>HYPERLINK("https://pbs.twimg.com/profile_images/962471262747529216/Uo8lOkRJ_normal.jpg","View")</f>
        <v>View</v>
      </c>
      <c r="P13450" s="7"/>
    </row>
    <row r="13451" spans="1:16">
      <c r="A13451" s="3">
        <v>44233.08861111111</v>
      </c>
      <c r="B13451" s="4" t="str">
        <f>HYPERLINK("https://twitter.com/petrogustavo","@petrogustavo")</f>
        <v>@petrogustavo</v>
      </c>
      <c r="C13451" s="5" t="s">
        <v>16</v>
      </c>
      <c r="D13451" s="5" t="s">
        <v>12945</v>
      </c>
      <c r="E13451" s="6" t="str">
        <f>HYPERLINK("https://twitter.com/petrogustavo/status/1357790502054203392","1357790502054203392")</f>
        <v>1357790502054203392</v>
      </c>
      <c r="F13451" s="7" t="s">
        <v>17</v>
      </c>
      <c r="G13451" s="7">
        <v>4057067</v>
      </c>
      <c r="H13451" s="7">
        <v>2485</v>
      </c>
      <c r="I13451" s="7">
        <v>112</v>
      </c>
      <c r="J13451" s="7">
        <v>568</v>
      </c>
      <c r="K13451" s="7" t="s">
        <v>18</v>
      </c>
      <c r="L13451" s="8">
        <v>39987.315405092595</v>
      </c>
      <c r="M13451" s="9" t="s">
        <v>19</v>
      </c>
      <c r="N13451" s="9" t="s">
        <v>20</v>
      </c>
      <c r="O13451" s="6" t="str">
        <f>HYPERLINK("https://pbs.twimg.com/profile_images/962471262747529216/Uo8lOkRJ_normal.jpg","View")</f>
        <v>View</v>
      </c>
      <c r="P13451" s="7"/>
    </row>
    <row r="13452" spans="1:16">
      <c r="A13452" s="3">
        <v>44233.089328703703</v>
      </c>
      <c r="B13452" s="4" t="str">
        <f>HYPERLINK("https://twitter.com/petrogustavo","@petrogustavo")</f>
        <v>@petrogustavo</v>
      </c>
      <c r="C13452" s="5" t="s">
        <v>16</v>
      </c>
      <c r="D13452" s="5" t="s">
        <v>12946</v>
      </c>
      <c r="E13452" s="6" t="str">
        <f>HYPERLINK("https://twitter.com/petrogustavo/status/1357790759781601282","1357790759781601282")</f>
        <v>1357790759781601282</v>
      </c>
      <c r="F13452" s="7" t="s">
        <v>17</v>
      </c>
      <c r="G13452" s="7">
        <v>4057067</v>
      </c>
      <c r="H13452" s="7">
        <v>2485</v>
      </c>
      <c r="I13452" s="7">
        <v>68</v>
      </c>
      <c r="J13452" s="7">
        <v>0</v>
      </c>
      <c r="K13452" s="7" t="s">
        <v>18</v>
      </c>
      <c r="L13452" s="8">
        <v>39987.315405092595</v>
      </c>
      <c r="M13452" s="9" t="s">
        <v>19</v>
      </c>
      <c r="N13452" s="9" t="s">
        <v>20</v>
      </c>
      <c r="O13452" s="6" t="str">
        <f>HYPERLINK("https://pbs.twimg.com/profile_images/962471262747529216/Uo8lOkRJ_normal.jpg","View")</f>
        <v>View</v>
      </c>
      <c r="P13452" s="7"/>
    </row>
    <row r="13453" spans="1:16">
      <c r="A13453" s="3">
        <v>44233.097951388889</v>
      </c>
      <c r="B13453" s="4" t="str">
        <f>HYPERLINK("https://twitter.com/petrogustavo","@petrogustavo")</f>
        <v>@petrogustavo</v>
      </c>
      <c r="C13453" s="5" t="s">
        <v>16</v>
      </c>
      <c r="D13453" s="5" t="s">
        <v>12947</v>
      </c>
      <c r="E13453" s="6" t="str">
        <f>HYPERLINK("https://twitter.com/petrogustavo/status/1357793883569221634","1357793883569221634")</f>
        <v>1357793883569221634</v>
      </c>
      <c r="F13453" s="7" t="s">
        <v>17</v>
      </c>
      <c r="G13453" s="7">
        <v>4057071</v>
      </c>
      <c r="H13453" s="7">
        <v>2485</v>
      </c>
      <c r="I13453" s="7">
        <v>78</v>
      </c>
      <c r="J13453" s="7">
        <v>224</v>
      </c>
      <c r="K13453" s="7" t="s">
        <v>18</v>
      </c>
      <c r="L13453" s="8">
        <v>39987.315405092595</v>
      </c>
      <c r="M13453" s="9" t="s">
        <v>19</v>
      </c>
      <c r="N13453" s="9" t="s">
        <v>20</v>
      </c>
      <c r="O13453" s="6" t="str">
        <f>HYPERLINK("https://pbs.twimg.com/profile_images/962471262747529216/Uo8lOkRJ_normal.jpg","View")</f>
        <v>View</v>
      </c>
      <c r="P13453" s="7"/>
    </row>
    <row r="13454" spans="1:16">
      <c r="A13454" s="3">
        <v>44233.104490740741</v>
      </c>
      <c r="B13454" s="4" t="str">
        <f>HYPERLINK("https://twitter.com/petrogustavo","@petrogustavo")</f>
        <v>@petrogustavo</v>
      </c>
      <c r="C13454" s="5" t="s">
        <v>16</v>
      </c>
      <c r="D13454" s="5" t="s">
        <v>12948</v>
      </c>
      <c r="E13454" s="6" t="str">
        <f>HYPERLINK("https://twitter.com/petrogustavo/status/1357796256077258754","1357796256077258754")</f>
        <v>1357796256077258754</v>
      </c>
      <c r="F13454" s="7" t="s">
        <v>17</v>
      </c>
      <c r="G13454" s="7">
        <v>4057071</v>
      </c>
      <c r="H13454" s="7">
        <v>2485</v>
      </c>
      <c r="I13454" s="7">
        <v>79</v>
      </c>
      <c r="J13454" s="7">
        <v>227</v>
      </c>
      <c r="K13454" s="7" t="s">
        <v>18</v>
      </c>
      <c r="L13454" s="8">
        <v>39987.315405092595</v>
      </c>
      <c r="M13454" s="9" t="s">
        <v>19</v>
      </c>
      <c r="N13454" s="9" t="s">
        <v>20</v>
      </c>
      <c r="O13454" s="6" t="str">
        <f>HYPERLINK("https://pbs.twimg.com/profile_images/962471262747529216/Uo8lOkRJ_normal.jpg","View")</f>
        <v>View</v>
      </c>
      <c r="P13454" s="7"/>
    </row>
    <row r="13455" spans="1:16">
      <c r="A13455" s="3">
        <v>44233.105821759258</v>
      </c>
      <c r="B13455" s="4" t="str">
        <f>HYPERLINK("https://twitter.com/petrogustavo","@petrogustavo")</f>
        <v>@petrogustavo</v>
      </c>
      <c r="C13455" s="5" t="s">
        <v>16</v>
      </c>
      <c r="D13455" s="5" t="s">
        <v>12949</v>
      </c>
      <c r="E13455" s="6" t="str">
        <f>HYPERLINK("https://twitter.com/petrogustavo/status/1357796739286261766","1357796739286261766")</f>
        <v>1357796739286261766</v>
      </c>
      <c r="F13455" s="7" t="s">
        <v>17</v>
      </c>
      <c r="G13455" s="7">
        <v>4057071</v>
      </c>
      <c r="H13455" s="7">
        <v>2485</v>
      </c>
      <c r="I13455" s="7">
        <v>495</v>
      </c>
      <c r="J13455" s="7">
        <v>0</v>
      </c>
      <c r="K13455" s="7" t="s">
        <v>18</v>
      </c>
      <c r="L13455" s="8">
        <v>39987.315405092595</v>
      </c>
      <c r="M13455" s="9" t="s">
        <v>19</v>
      </c>
      <c r="N13455" s="9" t="s">
        <v>20</v>
      </c>
      <c r="O13455" s="6" t="str">
        <f>HYPERLINK("https://pbs.twimg.com/profile_images/962471262747529216/Uo8lOkRJ_normal.jpg","View")</f>
        <v>View</v>
      </c>
      <c r="P13455" s="7"/>
    </row>
    <row r="13456" spans="1:16">
      <c r="A13456" s="3">
        <v>44233.112488425926</v>
      </c>
      <c r="B13456" s="4" t="str">
        <f>HYPERLINK("https://twitter.com/petrogustavo","@petrogustavo")</f>
        <v>@petrogustavo</v>
      </c>
      <c r="C13456" s="5" t="s">
        <v>16</v>
      </c>
      <c r="D13456" s="5" t="s">
        <v>12950</v>
      </c>
      <c r="E13456" s="6" t="str">
        <f>HYPERLINK("https://twitter.com/petrogustavo/status/1357799153636700160","1357799153636700160")</f>
        <v>1357799153636700160</v>
      </c>
      <c r="F13456" s="7" t="s">
        <v>17</v>
      </c>
      <c r="G13456" s="7">
        <v>4057071</v>
      </c>
      <c r="H13456" s="7">
        <v>2485</v>
      </c>
      <c r="I13456" s="7">
        <v>26</v>
      </c>
      <c r="J13456" s="7">
        <v>74</v>
      </c>
      <c r="K13456" s="7" t="s">
        <v>18</v>
      </c>
      <c r="L13456" s="8">
        <v>39987.315405092595</v>
      </c>
      <c r="M13456" s="9" t="s">
        <v>19</v>
      </c>
      <c r="N13456" s="9" t="s">
        <v>20</v>
      </c>
      <c r="O13456" s="6" t="str">
        <f>HYPERLINK("https://pbs.twimg.com/profile_images/962471262747529216/Uo8lOkRJ_normal.jpg","View")</f>
        <v>View</v>
      </c>
      <c r="P13456" s="7"/>
    </row>
    <row r="13457" spans="1:16">
      <c r="A13457" s="3">
        <v>44233.112488425926</v>
      </c>
      <c r="B13457" s="4" t="str">
        <f>HYPERLINK("https://twitter.com/petrogustavo","@petrogustavo")</f>
        <v>@petrogustavo</v>
      </c>
      <c r="C13457" s="5" t="s">
        <v>16</v>
      </c>
      <c r="D13457" s="5" t="s">
        <v>12951</v>
      </c>
      <c r="E13457" s="6" t="str">
        <f>HYPERLINK("https://twitter.com/petrogustavo/status/1357799155213750272","1357799155213750272")</f>
        <v>1357799155213750272</v>
      </c>
      <c r="F13457" s="7" t="s">
        <v>17</v>
      </c>
      <c r="G13457" s="7">
        <v>4057071</v>
      </c>
      <c r="H13457" s="7">
        <v>2485</v>
      </c>
      <c r="I13457" s="7">
        <v>16</v>
      </c>
      <c r="J13457" s="7">
        <v>63</v>
      </c>
      <c r="K13457" s="7" t="s">
        <v>18</v>
      </c>
      <c r="L13457" s="8">
        <v>39987.315405092595</v>
      </c>
      <c r="M13457" s="9" t="s">
        <v>19</v>
      </c>
      <c r="N13457" s="9" t="s">
        <v>20</v>
      </c>
      <c r="O13457" s="6" t="str">
        <f>HYPERLINK("https://pbs.twimg.com/profile_images/962471262747529216/Uo8lOkRJ_normal.jpg","View")</f>
        <v>View</v>
      </c>
      <c r="P13457" s="7"/>
    </row>
    <row r="13458" spans="1:16">
      <c r="A13458" s="3">
        <v>44233.112858796296</v>
      </c>
      <c r="B13458" s="4" t="str">
        <f>HYPERLINK("https://twitter.com/petrogustavo","@petrogustavo")</f>
        <v>@petrogustavo</v>
      </c>
      <c r="C13458" s="5" t="s">
        <v>16</v>
      </c>
      <c r="D13458" s="5" t="s">
        <v>12952</v>
      </c>
      <c r="E13458" s="6" t="str">
        <f>HYPERLINK("https://twitter.com/petrogustavo/status/1357799288655462400","1357799288655462400")</f>
        <v>1357799288655462400</v>
      </c>
      <c r="F13458" s="7" t="s">
        <v>17</v>
      </c>
      <c r="G13458" s="7">
        <v>4057071</v>
      </c>
      <c r="H13458" s="7">
        <v>2485</v>
      </c>
      <c r="I13458" s="7">
        <v>310</v>
      </c>
      <c r="J13458" s="7">
        <v>0</v>
      </c>
      <c r="K13458" s="7" t="s">
        <v>18</v>
      </c>
      <c r="L13458" s="8">
        <v>39987.315405092595</v>
      </c>
      <c r="M13458" s="9" t="s">
        <v>19</v>
      </c>
      <c r="N13458" s="9" t="s">
        <v>20</v>
      </c>
      <c r="O13458" s="6" t="str">
        <f>HYPERLINK("https://pbs.twimg.com/profile_images/962471262747529216/Uo8lOkRJ_normal.jpg","View")</f>
        <v>View</v>
      </c>
      <c r="P13458" s="7"/>
    </row>
    <row r="13459" spans="1:16">
      <c r="A13459" s="3">
        <v>44233.135219907403</v>
      </c>
      <c r="B13459" s="4" t="str">
        <f>HYPERLINK("https://twitter.com/petrogustavo","@petrogustavo")</f>
        <v>@petrogustavo</v>
      </c>
      <c r="C13459" s="5" t="s">
        <v>16</v>
      </c>
      <c r="D13459" s="5" t="s">
        <v>12953</v>
      </c>
      <c r="E13459" s="6" t="str">
        <f>HYPERLINK("https://twitter.com/petrogustavo/status/1357807391266471937","1357807391266471937")</f>
        <v>1357807391266471937</v>
      </c>
      <c r="F13459" s="7" t="s">
        <v>17</v>
      </c>
      <c r="G13459" s="7">
        <v>4057089</v>
      </c>
      <c r="H13459" s="7">
        <v>2485</v>
      </c>
      <c r="I13459" s="7">
        <v>125</v>
      </c>
      <c r="J13459" s="7">
        <v>384</v>
      </c>
      <c r="K13459" s="7" t="s">
        <v>18</v>
      </c>
      <c r="L13459" s="8">
        <v>39987.315405092595</v>
      </c>
      <c r="M13459" s="9" t="s">
        <v>19</v>
      </c>
      <c r="N13459" s="9" t="s">
        <v>20</v>
      </c>
      <c r="O13459" s="6" t="str">
        <f>HYPERLINK("https://pbs.twimg.com/profile_images/962471262747529216/Uo8lOkRJ_normal.jpg","View")</f>
        <v>View</v>
      </c>
      <c r="P13459" s="7"/>
    </row>
    <row r="13460" spans="1:16">
      <c r="A13460" s="3">
        <v>44233.653784722221</v>
      </c>
      <c r="B13460" s="4" t="str">
        <f>HYPERLINK("https://twitter.com/petrogustavo","@petrogustavo")</f>
        <v>@petrogustavo</v>
      </c>
      <c r="C13460" s="5" t="s">
        <v>16</v>
      </c>
      <c r="D13460" s="5" t="s">
        <v>12954</v>
      </c>
      <c r="E13460" s="6" t="str">
        <f>HYPERLINK("https://twitter.com/petrogustavo/status/1357995314431541248","1357995314431541248")</f>
        <v>1357995314431541248</v>
      </c>
      <c r="F13460" s="7" t="s">
        <v>17</v>
      </c>
      <c r="G13460" s="7">
        <v>4057457</v>
      </c>
      <c r="H13460" s="7">
        <v>2486</v>
      </c>
      <c r="I13460" s="7">
        <v>6022</v>
      </c>
      <c r="J13460" s="7">
        <v>0</v>
      </c>
      <c r="K13460" s="7" t="s">
        <v>18</v>
      </c>
      <c r="L13460" s="8">
        <v>39987.315405092595</v>
      </c>
      <c r="M13460" s="9" t="s">
        <v>19</v>
      </c>
      <c r="N13460" s="9" t="s">
        <v>20</v>
      </c>
      <c r="O13460" s="6" t="str">
        <f>HYPERLINK("https://pbs.twimg.com/profile_images/962471262747529216/Uo8lOkRJ_normal.jpg","View")</f>
        <v>View</v>
      </c>
      <c r="P13460" s="7"/>
    </row>
    <row r="13461" spans="1:16">
      <c r="A13461" s="3">
        <v>44233.962106481486</v>
      </c>
      <c r="B13461" s="4" t="str">
        <f>HYPERLINK("https://twitter.com/petrogustavo","@petrogustavo")</f>
        <v>@petrogustavo</v>
      </c>
      <c r="C13461" s="5" t="s">
        <v>16</v>
      </c>
      <c r="D13461" s="5" t="s">
        <v>12955</v>
      </c>
      <c r="E13461" s="6" t="str">
        <f>HYPERLINK("https://twitter.com/petrogustavo/status/1358107042649673728","1358107042649673728")</f>
        <v>1358107042649673728</v>
      </c>
      <c r="F13461" s="7" t="s">
        <v>17</v>
      </c>
      <c r="G13461" s="7">
        <v>4057670</v>
      </c>
      <c r="H13461" s="7">
        <v>2486</v>
      </c>
      <c r="I13461" s="7">
        <v>195</v>
      </c>
      <c r="J13461" s="7">
        <v>321</v>
      </c>
      <c r="K13461" s="7" t="s">
        <v>18</v>
      </c>
      <c r="L13461" s="8">
        <v>39987.315405092595</v>
      </c>
      <c r="M13461" s="9" t="s">
        <v>19</v>
      </c>
      <c r="N13461" s="9" t="s">
        <v>20</v>
      </c>
      <c r="O13461" s="6" t="str">
        <f>HYPERLINK("https://pbs.twimg.com/profile_images/962471262747529216/Uo8lOkRJ_normal.jpg","View")</f>
        <v>View</v>
      </c>
      <c r="P13461" s="7"/>
    </row>
    <row r="13462" spans="1:16">
      <c r="A13462" s="3">
        <v>44234.092476851853</v>
      </c>
      <c r="B13462" s="4" t="str">
        <f>HYPERLINK("https://twitter.com/petrogustavo","@petrogustavo")</f>
        <v>@petrogustavo</v>
      </c>
      <c r="C13462" s="5" t="s">
        <v>16</v>
      </c>
      <c r="D13462" s="5" t="s">
        <v>12956</v>
      </c>
      <c r="E13462" s="6" t="str">
        <f>HYPERLINK("https://twitter.com/petrogustavo/status/1358154290691506187","1358154290691506187")</f>
        <v>1358154290691506187</v>
      </c>
      <c r="F13462" s="7" t="s">
        <v>17</v>
      </c>
      <c r="G13462" s="7">
        <v>4057791</v>
      </c>
      <c r="H13462" s="7">
        <v>2486</v>
      </c>
      <c r="I13462" s="7">
        <v>31</v>
      </c>
      <c r="J13462" s="7">
        <v>105</v>
      </c>
      <c r="K13462" s="7" t="s">
        <v>18</v>
      </c>
      <c r="L13462" s="8">
        <v>39987.315405092595</v>
      </c>
      <c r="M13462" s="9" t="s">
        <v>19</v>
      </c>
      <c r="N13462" s="9" t="s">
        <v>20</v>
      </c>
      <c r="O13462" s="6" t="str">
        <f>HYPERLINK("https://pbs.twimg.com/profile_images/962471262747529216/Uo8lOkRJ_normal.jpg","View")</f>
        <v>View</v>
      </c>
      <c r="P13462" s="7"/>
    </row>
    <row r="13463" spans="1:16">
      <c r="A13463" s="3">
        <v>44234.101481481484</v>
      </c>
      <c r="B13463" s="4" t="str">
        <f>HYPERLINK("https://twitter.com/petrogustavo","@petrogustavo")</f>
        <v>@petrogustavo</v>
      </c>
      <c r="C13463" s="5" t="s">
        <v>16</v>
      </c>
      <c r="D13463" s="5" t="s">
        <v>12957</v>
      </c>
      <c r="E13463" s="6" t="str">
        <f>HYPERLINK("https://twitter.com/petrogustavo/status/1358157553457364996","1358157553457364996")</f>
        <v>1358157553457364996</v>
      </c>
      <c r="F13463" s="7" t="s">
        <v>17</v>
      </c>
      <c r="G13463" s="7">
        <v>4057803</v>
      </c>
      <c r="H13463" s="7">
        <v>2487</v>
      </c>
      <c r="I13463" s="7">
        <v>98</v>
      </c>
      <c r="J13463" s="7">
        <v>0</v>
      </c>
      <c r="K13463" s="7" t="s">
        <v>18</v>
      </c>
      <c r="L13463" s="8">
        <v>39987.315405092595</v>
      </c>
      <c r="M13463" s="9" t="s">
        <v>19</v>
      </c>
      <c r="N13463" s="9" t="s">
        <v>20</v>
      </c>
      <c r="O13463" s="6" t="str">
        <f>HYPERLINK("https://pbs.twimg.com/profile_images/962471262747529216/Uo8lOkRJ_normal.jpg","View")</f>
        <v>View</v>
      </c>
      <c r="P13463" s="7"/>
    </row>
    <row r="13464" spans="1:16">
      <c r="A13464" s="3">
        <v>44234.106979166667</v>
      </c>
      <c r="B13464" s="4" t="str">
        <f>HYPERLINK("https://twitter.com/petrogustavo","@petrogustavo")</f>
        <v>@petrogustavo</v>
      </c>
      <c r="C13464" s="5" t="s">
        <v>16</v>
      </c>
      <c r="D13464" s="5" t="s">
        <v>12958</v>
      </c>
      <c r="E13464" s="6" t="str">
        <f>HYPERLINK("https://twitter.com/petrogustavo/status/1358159546179534849","1358159546179534849")</f>
        <v>1358159546179534849</v>
      </c>
      <c r="F13464" s="7" t="s">
        <v>17</v>
      </c>
      <c r="G13464" s="7">
        <v>4057803</v>
      </c>
      <c r="H13464" s="7">
        <v>2487</v>
      </c>
      <c r="I13464" s="7">
        <v>212</v>
      </c>
      <c r="J13464" s="7">
        <v>703</v>
      </c>
      <c r="K13464" s="7" t="s">
        <v>18</v>
      </c>
      <c r="L13464" s="8">
        <v>39987.315405092595</v>
      </c>
      <c r="M13464" s="9" t="s">
        <v>19</v>
      </c>
      <c r="N13464" s="9" t="s">
        <v>20</v>
      </c>
      <c r="O13464" s="6" t="str">
        <f>HYPERLINK("https://pbs.twimg.com/profile_images/962471262747529216/Uo8lOkRJ_normal.jpg","View")</f>
        <v>View</v>
      </c>
      <c r="P13464" s="7"/>
    </row>
    <row r="13465" spans="1:16">
      <c r="A13465" s="3">
        <v>44234.107673611114</v>
      </c>
      <c r="B13465" s="4" t="str">
        <f>HYPERLINK("https://twitter.com/petrogustavo","@petrogustavo")</f>
        <v>@petrogustavo</v>
      </c>
      <c r="C13465" s="5" t="s">
        <v>16</v>
      </c>
      <c r="D13465" s="5" t="s">
        <v>12959</v>
      </c>
      <c r="E13465" s="6" t="str">
        <f>HYPERLINK("https://twitter.com/petrogustavo/status/1358159796734722049","1358159796734722049")</f>
        <v>1358159796734722049</v>
      </c>
      <c r="F13465" s="7" t="s">
        <v>17</v>
      </c>
      <c r="G13465" s="7">
        <v>4057803</v>
      </c>
      <c r="H13465" s="7">
        <v>2487</v>
      </c>
      <c r="I13465" s="7">
        <v>207</v>
      </c>
      <c r="J13465" s="7">
        <v>0</v>
      </c>
      <c r="K13465" s="7" t="s">
        <v>18</v>
      </c>
      <c r="L13465" s="8">
        <v>39987.315405092595</v>
      </c>
      <c r="M13465" s="9" t="s">
        <v>19</v>
      </c>
      <c r="N13465" s="9" t="s">
        <v>20</v>
      </c>
      <c r="O13465" s="6" t="str">
        <f>HYPERLINK("https://pbs.twimg.com/profile_images/962471262747529216/Uo8lOkRJ_normal.jpg","View")</f>
        <v>View</v>
      </c>
      <c r="P13465" s="7"/>
    </row>
    <row r="13466" spans="1:16">
      <c r="A13466" s="3">
        <v>44234.11509259259</v>
      </c>
      <c r="B13466" s="4" t="str">
        <f>HYPERLINK("https://twitter.com/petrogustavo","@petrogustavo")</f>
        <v>@petrogustavo</v>
      </c>
      <c r="C13466" s="5" t="s">
        <v>16</v>
      </c>
      <c r="D13466" s="5" t="s">
        <v>12960</v>
      </c>
      <c r="E13466" s="6" t="str">
        <f>HYPERLINK("https://twitter.com/petrogustavo/status/1358162485342318595","1358162485342318595")</f>
        <v>1358162485342318595</v>
      </c>
      <c r="F13466" s="7" t="s">
        <v>17</v>
      </c>
      <c r="G13466" s="7">
        <v>4057803</v>
      </c>
      <c r="H13466" s="7">
        <v>2487</v>
      </c>
      <c r="I13466" s="7">
        <v>26</v>
      </c>
      <c r="J13466" s="7">
        <v>78</v>
      </c>
      <c r="K13466" s="7" t="s">
        <v>18</v>
      </c>
      <c r="L13466" s="8">
        <v>39987.315405092595</v>
      </c>
      <c r="M13466" s="9" t="s">
        <v>19</v>
      </c>
      <c r="N13466" s="9" t="s">
        <v>20</v>
      </c>
      <c r="O13466" s="6" t="str">
        <f>HYPERLINK("https://pbs.twimg.com/profile_images/962471262747529216/Uo8lOkRJ_normal.jpg","View")</f>
        <v>View</v>
      </c>
      <c r="P13466" s="7"/>
    </row>
    <row r="13467" spans="1:16">
      <c r="A13467" s="3">
        <v>44234.116990740746</v>
      </c>
      <c r="B13467" s="4" t="str">
        <f>HYPERLINK("https://twitter.com/petrogustavo","@petrogustavo")</f>
        <v>@petrogustavo</v>
      </c>
      <c r="C13467" s="5" t="s">
        <v>16</v>
      </c>
      <c r="D13467" s="5" t="s">
        <v>12961</v>
      </c>
      <c r="E13467" s="6" t="str">
        <f>HYPERLINK("https://twitter.com/petrogustavo/status/1358163171366862851","1358163171366862851")</f>
        <v>1358163171366862851</v>
      </c>
      <c r="F13467" s="7" t="s">
        <v>17</v>
      </c>
      <c r="G13467" s="7">
        <v>4057814</v>
      </c>
      <c r="H13467" s="7">
        <v>2487</v>
      </c>
      <c r="I13467" s="7">
        <v>192</v>
      </c>
      <c r="J13467" s="7">
        <v>0</v>
      </c>
      <c r="K13467" s="7" t="s">
        <v>18</v>
      </c>
      <c r="L13467" s="8">
        <v>39987.315405092595</v>
      </c>
      <c r="M13467" s="9" t="s">
        <v>19</v>
      </c>
      <c r="N13467" s="9" t="s">
        <v>20</v>
      </c>
      <c r="O13467" s="6" t="str">
        <f>HYPERLINK("https://pbs.twimg.com/profile_images/962471262747529216/Uo8lOkRJ_normal.jpg","View")</f>
        <v>View</v>
      </c>
      <c r="P13467" s="7"/>
    </row>
    <row r="13468" spans="1:16">
      <c r="A13468" s="3">
        <v>44234.122430555552</v>
      </c>
      <c r="B13468" s="4" t="str">
        <f>HYPERLINK("https://twitter.com/petrogustavo","@petrogustavo")</f>
        <v>@petrogustavo</v>
      </c>
      <c r="C13468" s="5" t="s">
        <v>16</v>
      </c>
      <c r="D13468" s="5" t="s">
        <v>12954</v>
      </c>
      <c r="E13468" s="6" t="str">
        <f>HYPERLINK("https://twitter.com/petrogustavo/status/1358165142530371584","1358165142530371584")</f>
        <v>1358165142530371584</v>
      </c>
      <c r="F13468" s="7" t="s">
        <v>17</v>
      </c>
      <c r="G13468" s="7">
        <v>4057814</v>
      </c>
      <c r="H13468" s="7">
        <v>2487</v>
      </c>
      <c r="I13468" s="7">
        <v>7693</v>
      </c>
      <c r="J13468" s="7">
        <v>0</v>
      </c>
      <c r="K13468" s="7" t="s">
        <v>18</v>
      </c>
      <c r="L13468" s="8">
        <v>39987.315405092595</v>
      </c>
      <c r="M13468" s="9" t="s">
        <v>19</v>
      </c>
      <c r="N13468" s="9" t="s">
        <v>20</v>
      </c>
      <c r="O13468" s="6" t="str">
        <f>HYPERLINK("https://pbs.twimg.com/profile_images/962471262747529216/Uo8lOkRJ_normal.jpg","View")</f>
        <v>View</v>
      </c>
      <c r="P13468" s="7"/>
    </row>
    <row r="13469" spans="1:16">
      <c r="A13469" s="3">
        <v>44234.914537037039</v>
      </c>
      <c r="B13469" s="4" t="str">
        <f>HYPERLINK("https://twitter.com/petrogustavo","@petrogustavo")</f>
        <v>@petrogustavo</v>
      </c>
      <c r="C13469" s="5" t="s">
        <v>16</v>
      </c>
      <c r="D13469" s="5" t="s">
        <v>12962</v>
      </c>
      <c r="E13469" s="6" t="str">
        <f>HYPERLINK("https://twitter.com/petrogustavo/status/1358452194933153793","1358452194933153793")</f>
        <v>1358452194933153793</v>
      </c>
      <c r="F13469" s="7" t="s">
        <v>17</v>
      </c>
      <c r="G13469" s="7">
        <v>4058273</v>
      </c>
      <c r="H13469" s="7">
        <v>2486</v>
      </c>
      <c r="I13469" s="7">
        <v>1055</v>
      </c>
      <c r="J13469" s="7">
        <v>0</v>
      </c>
      <c r="K13469" s="7" t="s">
        <v>18</v>
      </c>
      <c r="L13469" s="8">
        <v>39987.315405092595</v>
      </c>
      <c r="M13469" s="9" t="s">
        <v>19</v>
      </c>
      <c r="N13469" s="9" t="s">
        <v>20</v>
      </c>
      <c r="O13469" s="6" t="str">
        <f>HYPERLINK("https://pbs.twimg.com/profile_images/962471262747529216/Uo8lOkRJ_normal.jpg","View")</f>
        <v>View</v>
      </c>
      <c r="P13469" s="7"/>
    </row>
    <row r="13470" spans="1:16">
      <c r="A13470" s="3">
        <v>44234.994837962964</v>
      </c>
      <c r="B13470" s="4" t="str">
        <f>HYPERLINK("https://twitter.com/petrogustavo","@petrogustavo")</f>
        <v>@petrogustavo</v>
      </c>
      <c r="C13470" s="5" t="s">
        <v>16</v>
      </c>
      <c r="D13470" s="5" t="s">
        <v>12963</v>
      </c>
      <c r="E13470" s="6" t="str">
        <f>HYPERLINK("https://twitter.com/petrogustavo/status/1358481293609230336","1358481293609230336")</f>
        <v>1358481293609230336</v>
      </c>
      <c r="F13470" s="7" t="s">
        <v>17</v>
      </c>
      <c r="G13470" s="7">
        <v>4058359</v>
      </c>
      <c r="H13470" s="7">
        <v>2487</v>
      </c>
      <c r="I13470" s="7">
        <v>223</v>
      </c>
      <c r="J13470" s="7">
        <v>0</v>
      </c>
      <c r="K13470" s="7" t="s">
        <v>18</v>
      </c>
      <c r="L13470" s="8">
        <v>39987.315405092595</v>
      </c>
      <c r="M13470" s="9" t="s">
        <v>19</v>
      </c>
      <c r="N13470" s="9" t="s">
        <v>20</v>
      </c>
      <c r="O13470" s="6" t="str">
        <f>HYPERLINK("https://pbs.twimg.com/profile_images/962471262747529216/Uo8lOkRJ_normal.jpg","View")</f>
        <v>View</v>
      </c>
      <c r="P13470" s="7"/>
    </row>
    <row r="13471" spans="1:16">
      <c r="A13471" s="3">
        <v>44235.021273148144</v>
      </c>
      <c r="B13471" s="4" t="str">
        <f>HYPERLINK("https://twitter.com/petrogustavo","@petrogustavo")</f>
        <v>@petrogustavo</v>
      </c>
      <c r="C13471" s="5" t="s">
        <v>16</v>
      </c>
      <c r="D13471" s="5" t="s">
        <v>12964</v>
      </c>
      <c r="E13471" s="6" t="str">
        <f>HYPERLINK("https://twitter.com/petrogustavo/status/1358490875098243075","1358490875098243075")</f>
        <v>1358490875098243075</v>
      </c>
      <c r="F13471" s="7" t="s">
        <v>17</v>
      </c>
      <c r="G13471" s="7">
        <v>4058377</v>
      </c>
      <c r="H13471" s="7">
        <v>2487</v>
      </c>
      <c r="I13471" s="7">
        <v>223</v>
      </c>
      <c r="J13471" s="7">
        <v>708</v>
      </c>
      <c r="K13471" s="7" t="s">
        <v>18</v>
      </c>
      <c r="L13471" s="8">
        <v>39987.315405092595</v>
      </c>
      <c r="M13471" s="9" t="s">
        <v>19</v>
      </c>
      <c r="N13471" s="9" t="s">
        <v>20</v>
      </c>
      <c r="O13471" s="6" t="str">
        <f>HYPERLINK("https://pbs.twimg.com/profile_images/962471262747529216/Uo8lOkRJ_normal.jpg","View")</f>
        <v>View</v>
      </c>
      <c r="P13471" s="7"/>
    </row>
    <row r="13472" spans="1:16">
      <c r="A13472" s="3">
        <v>44235.049016203702</v>
      </c>
      <c r="B13472" s="4" t="str">
        <f>HYPERLINK("https://twitter.com/petrogustavo","@petrogustavo")</f>
        <v>@petrogustavo</v>
      </c>
      <c r="C13472" s="5" t="s">
        <v>16</v>
      </c>
      <c r="D13472" s="5" t="s">
        <v>12965</v>
      </c>
      <c r="E13472" s="6" t="str">
        <f>HYPERLINK("https://twitter.com/petrogustavo/status/1358500926680666117","1358500926680666117")</f>
        <v>1358500926680666117</v>
      </c>
      <c r="F13472" s="7" t="s">
        <v>17</v>
      </c>
      <c r="G13472" s="7">
        <v>4058394</v>
      </c>
      <c r="H13472" s="7">
        <v>2487</v>
      </c>
      <c r="I13472" s="7">
        <v>75</v>
      </c>
      <c r="J13472" s="7">
        <v>205</v>
      </c>
      <c r="K13472" s="7" t="s">
        <v>18</v>
      </c>
      <c r="L13472" s="8">
        <v>39987.315405092595</v>
      </c>
      <c r="M13472" s="9" t="s">
        <v>19</v>
      </c>
      <c r="N13472" s="9" t="s">
        <v>20</v>
      </c>
      <c r="O13472" s="6" t="str">
        <f>HYPERLINK("https://pbs.twimg.com/profile_images/962471262747529216/Uo8lOkRJ_normal.jpg","View")</f>
        <v>View</v>
      </c>
      <c r="P13472" s="7"/>
    </row>
    <row r="13473" spans="1:16">
      <c r="A13473" s="3">
        <v>44235.051655092597</v>
      </c>
      <c r="B13473" s="4" t="str">
        <f>HYPERLINK("https://twitter.com/petrogustavo","@petrogustavo")</f>
        <v>@petrogustavo</v>
      </c>
      <c r="C13473" s="5" t="s">
        <v>16</v>
      </c>
      <c r="D13473" s="5" t="s">
        <v>12966</v>
      </c>
      <c r="E13473" s="6" t="str">
        <f>HYPERLINK("https://twitter.com/petrogustavo/status/1358501882898096131","1358501882898096131")</f>
        <v>1358501882898096131</v>
      </c>
      <c r="F13473" s="7" t="s">
        <v>17</v>
      </c>
      <c r="G13473" s="7">
        <v>4058394</v>
      </c>
      <c r="H13473" s="7">
        <v>2487</v>
      </c>
      <c r="I13473" s="7">
        <v>535</v>
      </c>
      <c r="J13473" s="7">
        <v>0</v>
      </c>
      <c r="K13473" s="7" t="s">
        <v>18</v>
      </c>
      <c r="L13473" s="8">
        <v>39987.315405092595</v>
      </c>
      <c r="M13473" s="9" t="s">
        <v>19</v>
      </c>
      <c r="N13473" s="9" t="s">
        <v>20</v>
      </c>
      <c r="O13473" s="6" t="str">
        <f>HYPERLINK("https://pbs.twimg.com/profile_images/962471262747529216/Uo8lOkRJ_normal.jpg","View")</f>
        <v>View</v>
      </c>
      <c r="P13473" s="7"/>
    </row>
    <row r="13474" spans="1:16">
      <c r="A13474" s="3">
        <v>44235.052581018521</v>
      </c>
      <c r="B13474" s="4" t="str">
        <f>HYPERLINK("https://twitter.com/petrogustavo","@petrogustavo")</f>
        <v>@petrogustavo</v>
      </c>
      <c r="C13474" s="5" t="s">
        <v>16</v>
      </c>
      <c r="D13474" s="5" t="s">
        <v>12967</v>
      </c>
      <c r="E13474" s="6" t="str">
        <f>HYPERLINK("https://twitter.com/petrogustavo/status/1358502220837355520","1358502220837355520")</f>
        <v>1358502220837355520</v>
      </c>
      <c r="F13474" s="7" t="s">
        <v>17</v>
      </c>
      <c r="G13474" s="7">
        <v>4058394</v>
      </c>
      <c r="H13474" s="7">
        <v>2487</v>
      </c>
      <c r="I13474" s="7">
        <v>5135</v>
      </c>
      <c r="J13474" s="7">
        <v>0</v>
      </c>
      <c r="K13474" s="7" t="s">
        <v>18</v>
      </c>
      <c r="L13474" s="8">
        <v>39987.315405092595</v>
      </c>
      <c r="M13474" s="9" t="s">
        <v>19</v>
      </c>
      <c r="N13474" s="9" t="s">
        <v>20</v>
      </c>
      <c r="O13474" s="6" t="str">
        <f>HYPERLINK("https://pbs.twimg.com/profile_images/962471262747529216/Uo8lOkRJ_normal.jpg","View")</f>
        <v>View</v>
      </c>
      <c r="P13474" s="7"/>
    </row>
    <row r="13475" spans="1:16">
      <c r="A13475" s="3">
        <v>44235.054432870369</v>
      </c>
      <c r="B13475" s="4" t="str">
        <f>HYPERLINK("https://twitter.com/petrogustavo","@petrogustavo")</f>
        <v>@petrogustavo</v>
      </c>
      <c r="C13475" s="5" t="s">
        <v>16</v>
      </c>
      <c r="D13475" s="5" t="s">
        <v>12968</v>
      </c>
      <c r="E13475" s="6" t="str">
        <f>HYPERLINK("https://twitter.com/petrogustavo/status/1358502889627475977","1358502889627475977")</f>
        <v>1358502889627475977</v>
      </c>
      <c r="F13475" s="7" t="s">
        <v>17</v>
      </c>
      <c r="G13475" s="7">
        <v>4058396</v>
      </c>
      <c r="H13475" s="7">
        <v>2487</v>
      </c>
      <c r="I13475" s="7">
        <v>153</v>
      </c>
      <c r="J13475" s="7">
        <v>298</v>
      </c>
      <c r="K13475" s="7" t="s">
        <v>18</v>
      </c>
      <c r="L13475" s="8">
        <v>39987.315405092595</v>
      </c>
      <c r="M13475" s="9" t="s">
        <v>19</v>
      </c>
      <c r="N13475" s="9" t="s">
        <v>20</v>
      </c>
      <c r="O13475" s="6" t="str">
        <f>HYPERLINK("https://pbs.twimg.com/profile_images/962471262747529216/Uo8lOkRJ_normal.jpg","View")</f>
        <v>View</v>
      </c>
      <c r="P13475" s="7"/>
    </row>
    <row r="13476" spans="1:16">
      <c r="A13476" s="3">
        <v>44235.058981481481</v>
      </c>
      <c r="B13476" s="4" t="str">
        <f>HYPERLINK("https://twitter.com/petrogustavo","@petrogustavo")</f>
        <v>@petrogustavo</v>
      </c>
      <c r="C13476" s="5" t="s">
        <v>16</v>
      </c>
      <c r="D13476" s="5" t="s">
        <v>12969</v>
      </c>
      <c r="E13476" s="6" t="str">
        <f>HYPERLINK("https://twitter.com/petrogustavo/status/1358504539624771589","1358504539624771589")</f>
        <v>1358504539624771589</v>
      </c>
      <c r="F13476" s="7" t="s">
        <v>17</v>
      </c>
      <c r="G13476" s="7">
        <v>4058396</v>
      </c>
      <c r="H13476" s="7">
        <v>2487</v>
      </c>
      <c r="I13476" s="7">
        <v>160</v>
      </c>
      <c r="J13476" s="7">
        <v>282</v>
      </c>
      <c r="K13476" s="7" t="s">
        <v>18</v>
      </c>
      <c r="L13476" s="8">
        <v>39987.315405092595</v>
      </c>
      <c r="M13476" s="9" t="s">
        <v>19</v>
      </c>
      <c r="N13476" s="9" t="s">
        <v>20</v>
      </c>
      <c r="O13476" s="6" t="str">
        <f>HYPERLINK("https://pbs.twimg.com/profile_images/962471262747529216/Uo8lOkRJ_normal.jpg","View")</f>
        <v>View</v>
      </c>
      <c r="P13476" s="7"/>
    </row>
    <row r="13477" spans="1:16">
      <c r="A13477" s="3">
        <v>44235.069606481484</v>
      </c>
      <c r="B13477" s="4" t="str">
        <f>HYPERLINK("https://twitter.com/petrogustavo","@petrogustavo")</f>
        <v>@petrogustavo</v>
      </c>
      <c r="C13477" s="5" t="s">
        <v>16</v>
      </c>
      <c r="D13477" s="5" t="s">
        <v>12970</v>
      </c>
      <c r="E13477" s="6" t="str">
        <f>HYPERLINK("https://twitter.com/petrogustavo/status/1358508388884357122","1358508388884357122")</f>
        <v>1358508388884357122</v>
      </c>
      <c r="F13477" s="7" t="s">
        <v>17</v>
      </c>
      <c r="G13477" s="7">
        <v>4058396</v>
      </c>
      <c r="H13477" s="7">
        <v>2487</v>
      </c>
      <c r="I13477" s="7">
        <v>1757</v>
      </c>
      <c r="J13477" s="7">
        <v>0</v>
      </c>
      <c r="K13477" s="7" t="s">
        <v>18</v>
      </c>
      <c r="L13477" s="8">
        <v>39987.315405092595</v>
      </c>
      <c r="M13477" s="9" t="s">
        <v>19</v>
      </c>
      <c r="N13477" s="9" t="s">
        <v>20</v>
      </c>
      <c r="O13477" s="6" t="str">
        <f>HYPERLINK("https://pbs.twimg.com/profile_images/962471262747529216/Uo8lOkRJ_normal.jpg","View")</f>
        <v>View</v>
      </c>
      <c r="P13477" s="7"/>
    </row>
    <row r="13478" spans="1:16">
      <c r="A13478" s="3">
        <v>44235.072962962964</v>
      </c>
      <c r="B13478" s="4" t="str">
        <f>HYPERLINK("https://twitter.com/petrogustavo","@petrogustavo")</f>
        <v>@petrogustavo</v>
      </c>
      <c r="C13478" s="5" t="s">
        <v>16</v>
      </c>
      <c r="D13478" s="5" t="s">
        <v>12971</v>
      </c>
      <c r="E13478" s="6" t="str">
        <f>HYPERLINK("https://twitter.com/petrogustavo/status/1358509606264258561","1358509606264258561")</f>
        <v>1358509606264258561</v>
      </c>
      <c r="F13478" s="7" t="s">
        <v>17</v>
      </c>
      <c r="G13478" s="7">
        <v>4058396</v>
      </c>
      <c r="H13478" s="7">
        <v>2487</v>
      </c>
      <c r="I13478" s="7">
        <v>160</v>
      </c>
      <c r="J13478" s="7">
        <v>0</v>
      </c>
      <c r="K13478" s="7" t="s">
        <v>18</v>
      </c>
      <c r="L13478" s="8">
        <v>39987.315405092595</v>
      </c>
      <c r="M13478" s="9" t="s">
        <v>19</v>
      </c>
      <c r="N13478" s="9" t="s">
        <v>20</v>
      </c>
      <c r="O13478" s="6" t="str">
        <f>HYPERLINK("https://pbs.twimg.com/profile_images/962471262747529216/Uo8lOkRJ_normal.jpg","View")</f>
        <v>View</v>
      </c>
      <c r="P13478" s="7"/>
    </row>
    <row r="13479" spans="1:16">
      <c r="A13479" s="3">
        <v>44235.08</v>
      </c>
      <c r="B13479" s="4" t="str">
        <f>HYPERLINK("https://twitter.com/petrogustavo","@petrogustavo")</f>
        <v>@petrogustavo</v>
      </c>
      <c r="C13479" s="5" t="s">
        <v>16</v>
      </c>
      <c r="D13479" s="5" t="s">
        <v>12972</v>
      </c>
      <c r="E13479" s="6" t="str">
        <f>HYPERLINK("https://twitter.com/petrogustavo/status/1358512157055459329","1358512157055459329")</f>
        <v>1358512157055459329</v>
      </c>
      <c r="F13479" s="7" t="s">
        <v>17</v>
      </c>
      <c r="G13479" s="7">
        <v>4058410</v>
      </c>
      <c r="H13479" s="7">
        <v>2487</v>
      </c>
      <c r="I13479" s="7">
        <v>101</v>
      </c>
      <c r="J13479" s="7">
        <v>239</v>
      </c>
      <c r="K13479" s="7" t="s">
        <v>18</v>
      </c>
      <c r="L13479" s="8">
        <v>39987.315405092595</v>
      </c>
      <c r="M13479" s="9" t="s">
        <v>19</v>
      </c>
      <c r="N13479" s="9" t="s">
        <v>20</v>
      </c>
      <c r="O13479" s="6" t="str">
        <f>HYPERLINK("https://pbs.twimg.com/profile_images/962471262747529216/Uo8lOkRJ_normal.jpg","View")</f>
        <v>View</v>
      </c>
      <c r="P13479" s="7"/>
    </row>
    <row r="13480" spans="1:16">
      <c r="A13480" s="3">
        <v>44235.080011574071</v>
      </c>
      <c r="B13480" s="4" t="str">
        <f>HYPERLINK("https://twitter.com/petrogustavo","@petrogustavo")</f>
        <v>@petrogustavo</v>
      </c>
      <c r="C13480" s="5" t="s">
        <v>16</v>
      </c>
      <c r="D13480" s="5" t="s">
        <v>12973</v>
      </c>
      <c r="E13480" s="6" t="str">
        <f>HYPERLINK("https://twitter.com/petrogustavo/status/1358512158552768517","1358512158552768517")</f>
        <v>1358512158552768517</v>
      </c>
      <c r="F13480" s="7" t="s">
        <v>17</v>
      </c>
      <c r="G13480" s="7">
        <v>4058410</v>
      </c>
      <c r="H13480" s="7">
        <v>2487</v>
      </c>
      <c r="I13480" s="7">
        <v>84</v>
      </c>
      <c r="J13480" s="7">
        <v>243</v>
      </c>
      <c r="K13480" s="7" t="s">
        <v>18</v>
      </c>
      <c r="L13480" s="8">
        <v>39987.315405092595</v>
      </c>
      <c r="M13480" s="9" t="s">
        <v>19</v>
      </c>
      <c r="N13480" s="9" t="s">
        <v>20</v>
      </c>
      <c r="O13480" s="6" t="str">
        <f>HYPERLINK("https://pbs.twimg.com/profile_images/962471262747529216/Uo8lOkRJ_normal.jpg","View")</f>
        <v>View</v>
      </c>
      <c r="P13480" s="7"/>
    </row>
    <row r="13481" spans="1:16">
      <c r="A13481" s="3">
        <v>44235.09002314815</v>
      </c>
      <c r="B13481" s="4" t="str">
        <f>HYPERLINK("https://twitter.com/petrogustavo","@petrogustavo")</f>
        <v>@petrogustavo</v>
      </c>
      <c r="C13481" s="5" t="s">
        <v>16</v>
      </c>
      <c r="D13481" s="5" t="s">
        <v>12974</v>
      </c>
      <c r="E13481" s="6" t="str">
        <f>HYPERLINK("https://twitter.com/petrogustavo/status/1358515787695329280","1358515787695329280")</f>
        <v>1358515787695329280</v>
      </c>
      <c r="F13481" s="7" t="s">
        <v>17</v>
      </c>
      <c r="G13481" s="7">
        <v>4058410</v>
      </c>
      <c r="H13481" s="7">
        <v>2487</v>
      </c>
      <c r="I13481" s="7">
        <v>16</v>
      </c>
      <c r="J13481" s="7">
        <v>0</v>
      </c>
      <c r="K13481" s="7" t="s">
        <v>18</v>
      </c>
      <c r="L13481" s="8">
        <v>39987.315405092595</v>
      </c>
      <c r="M13481" s="9" t="s">
        <v>19</v>
      </c>
      <c r="N13481" s="9" t="s">
        <v>20</v>
      </c>
      <c r="O13481" s="6" t="str">
        <f>HYPERLINK("https://pbs.twimg.com/profile_images/962471262747529216/Uo8lOkRJ_normal.jpg","View")</f>
        <v>View</v>
      </c>
      <c r="P13481" s="7"/>
    </row>
    <row r="13482" spans="1:16">
      <c r="A13482" s="3">
        <v>44235.090381944443</v>
      </c>
      <c r="B13482" s="4" t="str">
        <f>HYPERLINK("https://twitter.com/petrogustavo","@petrogustavo")</f>
        <v>@petrogustavo</v>
      </c>
      <c r="C13482" s="5" t="s">
        <v>16</v>
      </c>
      <c r="D13482" s="5" t="s">
        <v>12975</v>
      </c>
      <c r="E13482" s="6" t="str">
        <f>HYPERLINK("https://twitter.com/petrogustavo/status/1358515916745629696","1358515916745629696")</f>
        <v>1358515916745629696</v>
      </c>
      <c r="F13482" s="7" t="s">
        <v>17</v>
      </c>
      <c r="G13482" s="7">
        <v>4058410</v>
      </c>
      <c r="H13482" s="7">
        <v>2487</v>
      </c>
      <c r="I13482" s="7">
        <v>774</v>
      </c>
      <c r="J13482" s="7">
        <v>0</v>
      </c>
      <c r="K13482" s="7" t="s">
        <v>18</v>
      </c>
      <c r="L13482" s="8">
        <v>39987.315405092595</v>
      </c>
      <c r="M13482" s="9" t="s">
        <v>19</v>
      </c>
      <c r="N13482" s="9" t="s">
        <v>20</v>
      </c>
      <c r="O13482" s="6" t="str">
        <f>HYPERLINK("https://pbs.twimg.com/profile_images/962471262747529216/Uo8lOkRJ_normal.jpg","View")</f>
        <v>View</v>
      </c>
      <c r="P13482" s="7"/>
    </row>
    <row r="13483" spans="1:16">
      <c r="A13483" s="3">
        <v>44235.539398148147</v>
      </c>
      <c r="B13483" s="4" t="str">
        <f>HYPERLINK("https://twitter.com/petrogustavo","@petrogustavo")</f>
        <v>@petrogustavo</v>
      </c>
      <c r="C13483" s="5" t="s">
        <v>16</v>
      </c>
      <c r="D13483" s="5" t="s">
        <v>12976</v>
      </c>
      <c r="E13483" s="6" t="str">
        <f>HYPERLINK("https://twitter.com/petrogustavo/status/1358678633951469568","1358678633951469568")</f>
        <v>1358678633951469568</v>
      </c>
      <c r="F13483" s="7" t="s">
        <v>17</v>
      </c>
      <c r="G13483" s="7">
        <v>4058686</v>
      </c>
      <c r="H13483" s="7">
        <v>2487</v>
      </c>
      <c r="I13483" s="7">
        <v>30</v>
      </c>
      <c r="J13483" s="7">
        <v>119</v>
      </c>
      <c r="K13483" s="7" t="s">
        <v>18</v>
      </c>
      <c r="L13483" s="8">
        <v>39987.315405092595</v>
      </c>
      <c r="M13483" s="9" t="s">
        <v>19</v>
      </c>
      <c r="N13483" s="9" t="s">
        <v>20</v>
      </c>
      <c r="O13483" s="6" t="str">
        <f>HYPERLINK("https://pbs.twimg.com/profile_images/962471262747529216/Uo8lOkRJ_normal.jpg","View")</f>
        <v>View</v>
      </c>
      <c r="P13483" s="7"/>
    </row>
    <row r="13484" spans="1:16">
      <c r="A13484" s="3">
        <v>44235.692962962959</v>
      </c>
      <c r="B13484" s="4" t="str">
        <f>HYPERLINK("https://twitter.com/petrogustavo","@petrogustavo")</f>
        <v>@petrogustavo</v>
      </c>
      <c r="C13484" s="5" t="s">
        <v>16</v>
      </c>
      <c r="D13484" s="5" t="s">
        <v>12977</v>
      </c>
      <c r="E13484" s="6" t="str">
        <f>HYPERLINK("https://twitter.com/petrogustavo/status/1358734286912970753","1358734286912970753")</f>
        <v>1358734286912970753</v>
      </c>
      <c r="F13484" s="7" t="s">
        <v>17</v>
      </c>
      <c r="G13484" s="7">
        <v>4058701</v>
      </c>
      <c r="H13484" s="7">
        <v>2487</v>
      </c>
      <c r="I13484" s="7">
        <v>168</v>
      </c>
      <c r="J13484" s="7">
        <v>0</v>
      </c>
      <c r="K13484" s="7" t="s">
        <v>18</v>
      </c>
      <c r="L13484" s="8">
        <v>39987.315405092595</v>
      </c>
      <c r="M13484" s="9" t="s">
        <v>19</v>
      </c>
      <c r="N13484" s="9" t="s">
        <v>20</v>
      </c>
      <c r="O13484" s="6" t="str">
        <f>HYPERLINK("https://pbs.twimg.com/profile_images/962471262747529216/Uo8lOkRJ_normal.jpg","View")</f>
        <v>View</v>
      </c>
      <c r="P13484" s="7"/>
    </row>
    <row r="13485" spans="1:16">
      <c r="A13485" s="3">
        <v>44235.743738425925</v>
      </c>
      <c r="B13485" s="4" t="str">
        <f>HYPERLINK("https://twitter.com/petrogustavo","@petrogustavo")</f>
        <v>@petrogustavo</v>
      </c>
      <c r="C13485" s="5" t="s">
        <v>16</v>
      </c>
      <c r="D13485" s="5" t="s">
        <v>12978</v>
      </c>
      <c r="E13485" s="6" t="str">
        <f>HYPERLINK("https://twitter.com/petrogustavo/status/1358752687551086593","1358752687551086593")</f>
        <v>1358752687551086593</v>
      </c>
      <c r="F13485" s="7" t="s">
        <v>17</v>
      </c>
      <c r="G13485" s="7">
        <v>4058731</v>
      </c>
      <c r="H13485" s="7">
        <v>2487</v>
      </c>
      <c r="I13485" s="7">
        <v>233</v>
      </c>
      <c r="J13485" s="7">
        <v>554</v>
      </c>
      <c r="K13485" s="7" t="s">
        <v>18</v>
      </c>
      <c r="L13485" s="8">
        <v>39987.315405092595</v>
      </c>
      <c r="M13485" s="9" t="s">
        <v>19</v>
      </c>
      <c r="N13485" s="9" t="s">
        <v>20</v>
      </c>
      <c r="O13485" s="6" t="str">
        <f>HYPERLINK("https://pbs.twimg.com/profile_images/962471262747529216/Uo8lOkRJ_normal.jpg","View")</f>
        <v>View</v>
      </c>
      <c r="P13485" s="7"/>
    </row>
    <row r="13486" spans="1:16">
      <c r="A13486" s="3">
        <v>44235.745636574073</v>
      </c>
      <c r="B13486" s="4" t="str">
        <f>HYPERLINK("https://twitter.com/petrogustavo","@petrogustavo")</f>
        <v>@petrogustavo</v>
      </c>
      <c r="C13486" s="5" t="s">
        <v>16</v>
      </c>
      <c r="D13486" s="5" t="s">
        <v>12979</v>
      </c>
      <c r="E13486" s="6" t="str">
        <f>HYPERLINK("https://twitter.com/petrogustavo/status/1358753373475000322","1358753373475000322")</f>
        <v>1358753373475000322</v>
      </c>
      <c r="F13486" s="7" t="s">
        <v>17</v>
      </c>
      <c r="G13486" s="7">
        <v>4058731</v>
      </c>
      <c r="H13486" s="7">
        <v>2487</v>
      </c>
      <c r="I13486" s="7">
        <v>51</v>
      </c>
      <c r="J13486" s="7">
        <v>179</v>
      </c>
      <c r="K13486" s="7" t="s">
        <v>18</v>
      </c>
      <c r="L13486" s="8">
        <v>39987.315405092595</v>
      </c>
      <c r="M13486" s="9" t="s">
        <v>19</v>
      </c>
      <c r="N13486" s="9" t="s">
        <v>20</v>
      </c>
      <c r="O13486" s="6" t="str">
        <f>HYPERLINK("https://pbs.twimg.com/profile_images/962471262747529216/Uo8lOkRJ_normal.jpg","View")</f>
        <v>View</v>
      </c>
      <c r="P13486" s="7"/>
    </row>
    <row r="13487" spans="1:16">
      <c r="A13487" s="3">
        <v>44235.748217592598</v>
      </c>
      <c r="B13487" s="4" t="str">
        <f>HYPERLINK("https://twitter.com/petrogustavo","@petrogustavo")</f>
        <v>@petrogustavo</v>
      </c>
      <c r="C13487" s="5" t="s">
        <v>16</v>
      </c>
      <c r="D13487" s="5" t="s">
        <v>12980</v>
      </c>
      <c r="E13487" s="6" t="str">
        <f>HYPERLINK("https://twitter.com/petrogustavo/status/1358754307915583488","1358754307915583488")</f>
        <v>1358754307915583488</v>
      </c>
      <c r="F13487" s="7" t="s">
        <v>17</v>
      </c>
      <c r="G13487" s="7">
        <v>4058731</v>
      </c>
      <c r="H13487" s="7">
        <v>2487</v>
      </c>
      <c r="I13487" s="7">
        <v>97</v>
      </c>
      <c r="J13487" s="7">
        <v>229</v>
      </c>
      <c r="K13487" s="7" t="s">
        <v>18</v>
      </c>
      <c r="L13487" s="8">
        <v>39987.315405092595</v>
      </c>
      <c r="M13487" s="9" t="s">
        <v>19</v>
      </c>
      <c r="N13487" s="9" t="s">
        <v>20</v>
      </c>
      <c r="O13487" s="6" t="str">
        <f>HYPERLINK("https://pbs.twimg.com/profile_images/962471262747529216/Uo8lOkRJ_normal.jpg","View")</f>
        <v>View</v>
      </c>
      <c r="P13487" s="7"/>
    </row>
    <row r="13488" spans="1:16">
      <c r="A13488" s="3">
        <v>44235.759050925924</v>
      </c>
      <c r="B13488" s="4" t="str">
        <f>HYPERLINK("https://twitter.com/petrogustavo","@petrogustavo")</f>
        <v>@petrogustavo</v>
      </c>
      <c r="C13488" s="5" t="s">
        <v>16</v>
      </c>
      <c r="D13488" s="5" t="s">
        <v>12981</v>
      </c>
      <c r="E13488" s="6" t="str">
        <f>HYPERLINK("https://twitter.com/petrogustavo/status/1358758235839344645","1358758235839344645")</f>
        <v>1358758235839344645</v>
      </c>
      <c r="F13488" s="7" t="s">
        <v>17</v>
      </c>
      <c r="G13488" s="7">
        <v>4058731</v>
      </c>
      <c r="H13488" s="7">
        <v>2487</v>
      </c>
      <c r="I13488" s="7">
        <v>233</v>
      </c>
      <c r="J13488" s="7">
        <v>0</v>
      </c>
      <c r="K13488" s="7" t="s">
        <v>18</v>
      </c>
      <c r="L13488" s="8">
        <v>39987.315405092595</v>
      </c>
      <c r="M13488" s="9" t="s">
        <v>19</v>
      </c>
      <c r="N13488" s="9" t="s">
        <v>20</v>
      </c>
      <c r="O13488" s="6" t="str">
        <f>HYPERLINK("https://pbs.twimg.com/profile_images/962471262747529216/Uo8lOkRJ_normal.jpg","View")</f>
        <v>View</v>
      </c>
      <c r="P13488" s="7"/>
    </row>
    <row r="13489" spans="1:16">
      <c r="A13489" s="3">
        <v>44235.789641203708</v>
      </c>
      <c r="B13489" s="4" t="str">
        <f>HYPERLINK("https://twitter.com/petrogustavo","@petrogustavo")</f>
        <v>@petrogustavo</v>
      </c>
      <c r="C13489" s="5" t="s">
        <v>16</v>
      </c>
      <c r="D13489" s="5" t="s">
        <v>12982</v>
      </c>
      <c r="E13489" s="6" t="str">
        <f>HYPERLINK("https://twitter.com/petrogustavo/status/1358769322609553411","1358769322609553411")</f>
        <v>1358769322609553411</v>
      </c>
      <c r="F13489" s="7" t="s">
        <v>17</v>
      </c>
      <c r="G13489" s="7">
        <v>4058762</v>
      </c>
      <c r="H13489" s="7">
        <v>2487</v>
      </c>
      <c r="I13489" s="7">
        <v>128</v>
      </c>
      <c r="J13489" s="7">
        <v>298</v>
      </c>
      <c r="K13489" s="7" t="s">
        <v>18</v>
      </c>
      <c r="L13489" s="8">
        <v>39987.315405092595</v>
      </c>
      <c r="M13489" s="9" t="s">
        <v>19</v>
      </c>
      <c r="N13489" s="9" t="s">
        <v>20</v>
      </c>
      <c r="O13489" s="6" t="str">
        <f>HYPERLINK("https://pbs.twimg.com/profile_images/962471262747529216/Uo8lOkRJ_normal.jpg","View")</f>
        <v>View</v>
      </c>
      <c r="P13489" s="7"/>
    </row>
    <row r="13490" spans="1:16">
      <c r="A13490" s="3">
        <v>44235.794467592597</v>
      </c>
      <c r="B13490" s="4" t="str">
        <f>HYPERLINK("https://twitter.com/petrogustavo","@petrogustavo")</f>
        <v>@petrogustavo</v>
      </c>
      <c r="C13490" s="5" t="s">
        <v>16</v>
      </c>
      <c r="D13490" s="5" t="s">
        <v>12983</v>
      </c>
      <c r="E13490" s="6" t="str">
        <f>HYPERLINK("https://twitter.com/petrogustavo/status/1358771070573117444","1358771070573117444")</f>
        <v>1358771070573117444</v>
      </c>
      <c r="F13490" s="7" t="s">
        <v>17</v>
      </c>
      <c r="G13490" s="7">
        <v>4058762</v>
      </c>
      <c r="H13490" s="7">
        <v>2487</v>
      </c>
      <c r="I13490" s="7">
        <v>40</v>
      </c>
      <c r="J13490" s="7">
        <v>154</v>
      </c>
      <c r="K13490" s="7" t="s">
        <v>18</v>
      </c>
      <c r="L13490" s="8">
        <v>39987.315405092595</v>
      </c>
      <c r="M13490" s="9" t="s">
        <v>19</v>
      </c>
      <c r="N13490" s="9" t="s">
        <v>20</v>
      </c>
      <c r="O13490" s="6" t="str">
        <f>HYPERLINK("https://pbs.twimg.com/profile_images/962471262747529216/Uo8lOkRJ_normal.jpg","View")</f>
        <v>View</v>
      </c>
      <c r="P13490" s="7"/>
    </row>
    <row r="13491" spans="1:16">
      <c r="A13491" s="3">
        <v>44235.794930555552</v>
      </c>
      <c r="B13491" s="4" t="str">
        <f>HYPERLINK("https://twitter.com/petrogustavo","@petrogustavo")</f>
        <v>@petrogustavo</v>
      </c>
      <c r="C13491" s="5" t="s">
        <v>16</v>
      </c>
      <c r="D13491" s="5" t="s">
        <v>12981</v>
      </c>
      <c r="E13491" s="6" t="str">
        <f>HYPERLINK("https://twitter.com/petrogustavo/status/1358771235807780866","1358771235807780866")</f>
        <v>1358771235807780866</v>
      </c>
      <c r="F13491" s="7" t="s">
        <v>17</v>
      </c>
      <c r="G13491" s="7">
        <v>4058762</v>
      </c>
      <c r="H13491" s="7">
        <v>2487</v>
      </c>
      <c r="I13491" s="7">
        <v>544</v>
      </c>
      <c r="J13491" s="7">
        <v>0</v>
      </c>
      <c r="K13491" s="7" t="s">
        <v>18</v>
      </c>
      <c r="L13491" s="8">
        <v>39987.315405092595</v>
      </c>
      <c r="M13491" s="9" t="s">
        <v>19</v>
      </c>
      <c r="N13491" s="9" t="s">
        <v>20</v>
      </c>
      <c r="O13491" s="6" t="str">
        <f>HYPERLINK("https://pbs.twimg.com/profile_images/962471262747529216/Uo8lOkRJ_normal.jpg","View")</f>
        <v>View</v>
      </c>
      <c r="P13491" s="7"/>
    </row>
    <row r="13492" spans="1:16">
      <c r="A13492" s="3">
        <v>44235.812303240746</v>
      </c>
      <c r="B13492" s="4" t="str">
        <f>HYPERLINK("https://twitter.com/petrogustavo","@petrogustavo")</f>
        <v>@petrogustavo</v>
      </c>
      <c r="C13492" s="5" t="s">
        <v>16</v>
      </c>
      <c r="D13492" s="5" t="s">
        <v>12984</v>
      </c>
      <c r="E13492" s="6" t="str">
        <f>HYPERLINK("https://twitter.com/petrogustavo/status/1358777532770836480","1358777532770836480")</f>
        <v>1358777532770836480</v>
      </c>
      <c r="F13492" s="7" t="s">
        <v>17</v>
      </c>
      <c r="G13492" s="7">
        <v>4058778</v>
      </c>
      <c r="H13492" s="7">
        <v>2487</v>
      </c>
      <c r="I13492" s="7">
        <v>101</v>
      </c>
      <c r="J13492" s="7">
        <v>221</v>
      </c>
      <c r="K13492" s="7" t="s">
        <v>18</v>
      </c>
      <c r="L13492" s="8">
        <v>39987.315405092595</v>
      </c>
      <c r="M13492" s="9" t="s">
        <v>19</v>
      </c>
      <c r="N13492" s="9" t="s">
        <v>20</v>
      </c>
      <c r="O13492" s="6" t="str">
        <f>HYPERLINK("https://pbs.twimg.com/profile_images/962471262747529216/Uo8lOkRJ_normal.jpg","View")</f>
        <v>View</v>
      </c>
      <c r="P13492" s="7"/>
    </row>
    <row r="13493" spans="1:16">
      <c r="A13493" s="3">
        <v>44235.86241898148</v>
      </c>
      <c r="B13493" s="4" t="str">
        <f>HYPERLINK("https://twitter.com/petrogustavo","@petrogustavo")</f>
        <v>@petrogustavo</v>
      </c>
      <c r="C13493" s="5" t="s">
        <v>16</v>
      </c>
      <c r="D13493" s="5" t="s">
        <v>12985</v>
      </c>
      <c r="E13493" s="6" t="str">
        <f>HYPERLINK("https://twitter.com/petrogustavo/status/1358795696187592704","1358795696187592704")</f>
        <v>1358795696187592704</v>
      </c>
      <c r="F13493" s="7" t="s">
        <v>17</v>
      </c>
      <c r="G13493" s="7">
        <v>4058803</v>
      </c>
      <c r="H13493" s="7">
        <v>2487</v>
      </c>
      <c r="I13493" s="7">
        <v>64</v>
      </c>
      <c r="J13493" s="7">
        <v>157</v>
      </c>
      <c r="K13493" s="7" t="s">
        <v>18</v>
      </c>
      <c r="L13493" s="8">
        <v>39987.315405092595</v>
      </c>
      <c r="M13493" s="9" t="s">
        <v>19</v>
      </c>
      <c r="N13493" s="9" t="s">
        <v>20</v>
      </c>
      <c r="O13493" s="6" t="str">
        <f>HYPERLINK("https://pbs.twimg.com/profile_images/962471262747529216/Uo8lOkRJ_normal.jpg","View")</f>
        <v>View</v>
      </c>
      <c r="P13493" s="7"/>
    </row>
    <row r="13494" spans="1:16">
      <c r="A13494" s="3">
        <v>44236.075925925921</v>
      </c>
      <c r="B13494" s="4" t="str">
        <f>HYPERLINK("https://twitter.com/petrogustavo","@petrogustavo")</f>
        <v>@petrogustavo</v>
      </c>
      <c r="C13494" s="5" t="s">
        <v>16</v>
      </c>
      <c r="D13494" s="5" t="s">
        <v>12986</v>
      </c>
      <c r="E13494" s="6" t="str">
        <f>HYPERLINK("https://twitter.com/petrogustavo/status/1358873065623613444","1358873065623613444")</f>
        <v>1358873065623613444</v>
      </c>
      <c r="F13494" s="7" t="s">
        <v>17</v>
      </c>
      <c r="G13494" s="7">
        <v>4059001</v>
      </c>
      <c r="H13494" s="7">
        <v>2487</v>
      </c>
      <c r="I13494" s="7">
        <v>186</v>
      </c>
      <c r="J13494" s="7">
        <v>697</v>
      </c>
      <c r="K13494" s="7" t="s">
        <v>18</v>
      </c>
      <c r="L13494" s="8">
        <v>39987.315405092595</v>
      </c>
      <c r="M13494" s="9" t="s">
        <v>19</v>
      </c>
      <c r="N13494" s="9" t="s">
        <v>20</v>
      </c>
      <c r="O13494" s="6" t="str">
        <f>HYPERLINK("https://pbs.twimg.com/profile_images/962471262747529216/Uo8lOkRJ_normal.jpg","View")</f>
        <v>View</v>
      </c>
      <c r="P13494" s="7"/>
    </row>
    <row r="13495" spans="1:16">
      <c r="A13495" s="3">
        <v>44236.101631944446</v>
      </c>
      <c r="B13495" s="4" t="str">
        <f>HYPERLINK("https://twitter.com/petrogustavo","@petrogustavo")</f>
        <v>@petrogustavo</v>
      </c>
      <c r="C13495" s="5" t="s">
        <v>16</v>
      </c>
      <c r="D13495" s="5" t="s">
        <v>12987</v>
      </c>
      <c r="E13495" s="6" t="str">
        <f>HYPERLINK("https://twitter.com/petrogustavo/status/1358882383144099846","1358882383144099846")</f>
        <v>1358882383144099846</v>
      </c>
      <c r="F13495" s="7" t="s">
        <v>17</v>
      </c>
      <c r="G13495" s="7">
        <v>4059017</v>
      </c>
      <c r="H13495" s="7">
        <v>2487</v>
      </c>
      <c r="I13495" s="7">
        <v>225</v>
      </c>
      <c r="J13495" s="7">
        <v>0</v>
      </c>
      <c r="K13495" s="7" t="s">
        <v>18</v>
      </c>
      <c r="L13495" s="8">
        <v>39987.315405092595</v>
      </c>
      <c r="M13495" s="9" t="s">
        <v>19</v>
      </c>
      <c r="N13495" s="9" t="s">
        <v>20</v>
      </c>
      <c r="O13495" s="6" t="str">
        <f>HYPERLINK("https://pbs.twimg.com/profile_images/962471262747529216/Uo8lOkRJ_normal.jpg","View")</f>
        <v>View</v>
      </c>
      <c r="P13495" s="7"/>
    </row>
    <row r="13496" spans="1:16">
      <c r="A13496" s="3">
        <v>44236.581608796296</v>
      </c>
      <c r="B13496" s="4" t="str">
        <f>HYPERLINK("https://twitter.com/petrogustavo","@petrogustavo")</f>
        <v>@petrogustavo</v>
      </c>
      <c r="C13496" s="5" t="s">
        <v>16</v>
      </c>
      <c r="D13496" s="5" t="s">
        <v>12988</v>
      </c>
      <c r="E13496" s="6" t="str">
        <f>HYPERLINK("https://twitter.com/petrogustavo/status/1359056322239602693","1359056322239602693")</f>
        <v>1359056322239602693</v>
      </c>
      <c r="F13496" s="7" t="s">
        <v>17</v>
      </c>
      <c r="G13496" s="7">
        <v>4059296</v>
      </c>
      <c r="H13496" s="7">
        <v>2487</v>
      </c>
      <c r="I13496" s="7">
        <v>26</v>
      </c>
      <c r="J13496" s="7">
        <v>141</v>
      </c>
      <c r="K13496" s="7" t="s">
        <v>18</v>
      </c>
      <c r="L13496" s="8">
        <v>39987.315405092595</v>
      </c>
      <c r="M13496" s="9" t="s">
        <v>19</v>
      </c>
      <c r="N13496" s="9" t="s">
        <v>20</v>
      </c>
      <c r="O13496" s="6" t="str">
        <f>HYPERLINK("https://pbs.twimg.com/profile_images/962471262747529216/Uo8lOkRJ_normal.jpg","View")</f>
        <v>View</v>
      </c>
      <c r="P13496" s="7"/>
    </row>
    <row r="13497" spans="1:16">
      <c r="A13497" s="3">
        <v>44236.581620370373</v>
      </c>
      <c r="B13497" s="4" t="str">
        <f>HYPERLINK("https://twitter.com/petrogustavo","@petrogustavo")</f>
        <v>@petrogustavo</v>
      </c>
      <c r="C13497" s="5" t="s">
        <v>16</v>
      </c>
      <c r="D13497" s="5" t="s">
        <v>12989</v>
      </c>
      <c r="E13497" s="6" t="str">
        <f>HYPERLINK("https://twitter.com/petrogustavo/status/1359056323460141057","1359056323460141057")</f>
        <v>1359056323460141057</v>
      </c>
      <c r="F13497" s="7" t="s">
        <v>17</v>
      </c>
      <c r="G13497" s="7">
        <v>4059296</v>
      </c>
      <c r="H13497" s="7">
        <v>2487</v>
      </c>
      <c r="I13497" s="7">
        <v>5</v>
      </c>
      <c r="J13497" s="7">
        <v>27</v>
      </c>
      <c r="K13497" s="7" t="s">
        <v>18</v>
      </c>
      <c r="L13497" s="8">
        <v>39987.315405092595</v>
      </c>
      <c r="M13497" s="9" t="s">
        <v>19</v>
      </c>
      <c r="N13497" s="9" t="s">
        <v>20</v>
      </c>
      <c r="O13497" s="6" t="str">
        <f>HYPERLINK("https://pbs.twimg.com/profile_images/962471262747529216/Uo8lOkRJ_normal.jpg","View")</f>
        <v>View</v>
      </c>
      <c r="P13497" s="7"/>
    </row>
    <row r="13498" spans="1:16">
      <c r="A13498" s="3">
        <v>44236.581620370373</v>
      </c>
      <c r="B13498" s="4" t="str">
        <f>HYPERLINK("https://twitter.com/petrogustavo","@petrogustavo")</f>
        <v>@petrogustavo</v>
      </c>
      <c r="C13498" s="5" t="s">
        <v>16</v>
      </c>
      <c r="D13498" s="5" t="s">
        <v>12990</v>
      </c>
      <c r="E13498" s="6" t="str">
        <f>HYPERLINK("https://twitter.com/petrogustavo/status/1359056324898803716","1359056324898803716")</f>
        <v>1359056324898803716</v>
      </c>
      <c r="F13498" s="7" t="s">
        <v>17</v>
      </c>
      <c r="G13498" s="7">
        <v>4059296</v>
      </c>
      <c r="H13498" s="7">
        <v>2487</v>
      </c>
      <c r="I13498" s="7">
        <v>3</v>
      </c>
      <c r="J13498" s="7">
        <v>26</v>
      </c>
      <c r="K13498" s="7" t="s">
        <v>18</v>
      </c>
      <c r="L13498" s="8">
        <v>39987.315405092595</v>
      </c>
      <c r="M13498" s="9" t="s">
        <v>19</v>
      </c>
      <c r="N13498" s="9" t="s">
        <v>20</v>
      </c>
      <c r="O13498" s="6" t="str">
        <f>HYPERLINK("https://pbs.twimg.com/profile_images/962471262747529216/Uo8lOkRJ_normal.jpg","View")</f>
        <v>View</v>
      </c>
      <c r="P13498" s="7"/>
    </row>
    <row r="13499" spans="1:16">
      <c r="A13499" s="3">
        <v>44236.581620370373</v>
      </c>
      <c r="B13499" s="4" t="str">
        <f>HYPERLINK("https://twitter.com/petrogustavo","@petrogustavo")</f>
        <v>@petrogustavo</v>
      </c>
      <c r="C13499" s="5" t="s">
        <v>16</v>
      </c>
      <c r="D13499" s="5" t="s">
        <v>12991</v>
      </c>
      <c r="E13499" s="6" t="str">
        <f>HYPERLINK("https://twitter.com/petrogustavo/status/1359056326224191489","1359056326224191489")</f>
        <v>1359056326224191489</v>
      </c>
      <c r="F13499" s="7" t="s">
        <v>17</v>
      </c>
      <c r="G13499" s="7">
        <v>4059296</v>
      </c>
      <c r="H13499" s="7">
        <v>2487</v>
      </c>
      <c r="I13499" s="7">
        <v>6</v>
      </c>
      <c r="J13499" s="7">
        <v>66</v>
      </c>
      <c r="K13499" s="7" t="s">
        <v>18</v>
      </c>
      <c r="L13499" s="8">
        <v>39987.315405092595</v>
      </c>
      <c r="M13499" s="9" t="s">
        <v>19</v>
      </c>
      <c r="N13499" s="9" t="s">
        <v>20</v>
      </c>
      <c r="O13499" s="6" t="str">
        <f>HYPERLINK("https://pbs.twimg.com/profile_images/962471262747529216/Uo8lOkRJ_normal.jpg","View")</f>
        <v>View</v>
      </c>
      <c r="P13499" s="7"/>
    </row>
    <row r="13500" spans="1:16">
      <c r="A13500" s="3">
        <v>44236.581631944442</v>
      </c>
      <c r="B13500" s="4" t="str">
        <f>HYPERLINK("https://twitter.com/petrogustavo","@petrogustavo")</f>
        <v>@petrogustavo</v>
      </c>
      <c r="C13500" s="5" t="s">
        <v>16</v>
      </c>
      <c r="D13500" s="5" t="s">
        <v>12992</v>
      </c>
      <c r="E13500" s="6" t="str">
        <f>HYPERLINK("https://twitter.com/petrogustavo/status/1359056327872544768","1359056327872544768")</f>
        <v>1359056327872544768</v>
      </c>
      <c r="F13500" s="7" t="s">
        <v>17</v>
      </c>
      <c r="G13500" s="7">
        <v>4059296</v>
      </c>
      <c r="H13500" s="7">
        <v>2487</v>
      </c>
      <c r="I13500" s="7">
        <v>7</v>
      </c>
      <c r="J13500" s="7">
        <v>73</v>
      </c>
      <c r="K13500" s="7" t="s">
        <v>18</v>
      </c>
      <c r="L13500" s="8">
        <v>39987.315405092595</v>
      </c>
      <c r="M13500" s="9" t="s">
        <v>19</v>
      </c>
      <c r="N13500" s="9" t="s">
        <v>20</v>
      </c>
      <c r="O13500" s="6" t="str">
        <f>HYPERLINK("https://pbs.twimg.com/profile_images/962471262747529216/Uo8lOkRJ_normal.jpg","View")</f>
        <v>View</v>
      </c>
      <c r="P13500" s="7"/>
    </row>
    <row r="13501" spans="1:16">
      <c r="A13501" s="3">
        <v>44236.682766203703</v>
      </c>
      <c r="B13501" s="4" t="str">
        <f>HYPERLINK("https://twitter.com/petrogustavo","@petrogustavo")</f>
        <v>@petrogustavo</v>
      </c>
      <c r="C13501" s="5" t="s">
        <v>16</v>
      </c>
      <c r="D13501" s="5" t="s">
        <v>12993</v>
      </c>
      <c r="E13501" s="6" t="str">
        <f>HYPERLINK("https://twitter.com/petrogustavo/status/1359092979345063937","1359092979345063937")</f>
        <v>1359092979345063937</v>
      </c>
      <c r="F13501" s="7" t="s">
        <v>17</v>
      </c>
      <c r="G13501" s="7">
        <v>4059321</v>
      </c>
      <c r="H13501" s="7">
        <v>2487</v>
      </c>
      <c r="I13501" s="7">
        <v>243</v>
      </c>
      <c r="J13501" s="7">
        <v>0</v>
      </c>
      <c r="K13501" s="7" t="s">
        <v>18</v>
      </c>
      <c r="L13501" s="8">
        <v>39987.315405092595</v>
      </c>
      <c r="M13501" s="9" t="s">
        <v>19</v>
      </c>
      <c r="N13501" s="9" t="s">
        <v>20</v>
      </c>
      <c r="O13501" s="6" t="str">
        <f>HYPERLINK("https://pbs.twimg.com/profile_images/962471262747529216/Uo8lOkRJ_normal.jpg","View")</f>
        <v>View</v>
      </c>
      <c r="P13501" s="7"/>
    </row>
    <row r="13502" spans="1:16">
      <c r="A13502" s="3">
        <v>44236.819560185184</v>
      </c>
      <c r="B13502" s="4" t="str">
        <f>HYPERLINK("https://twitter.com/petrogustavo","@petrogustavo")</f>
        <v>@petrogustavo</v>
      </c>
      <c r="C13502" s="5" t="s">
        <v>16</v>
      </c>
      <c r="D13502" s="5" t="s">
        <v>12994</v>
      </c>
      <c r="E13502" s="6" t="str">
        <f>HYPERLINK("https://twitter.com/petrogustavo/status/1359142552155389954","1359142552155389954")</f>
        <v>1359142552155389954</v>
      </c>
      <c r="F13502" s="7" t="s">
        <v>17</v>
      </c>
      <c r="G13502" s="7">
        <v>4059425</v>
      </c>
      <c r="H13502" s="7">
        <v>2487</v>
      </c>
      <c r="I13502" s="7">
        <v>157</v>
      </c>
      <c r="J13502" s="7">
        <v>0</v>
      </c>
      <c r="K13502" s="7" t="s">
        <v>18</v>
      </c>
      <c r="L13502" s="8">
        <v>39987.315405092595</v>
      </c>
      <c r="M13502" s="9" t="s">
        <v>19</v>
      </c>
      <c r="N13502" s="9" t="s">
        <v>20</v>
      </c>
      <c r="O13502" s="6" t="str">
        <f>HYPERLINK("https://pbs.twimg.com/profile_images/962471262747529216/Uo8lOkRJ_normal.jpg","View")</f>
        <v>View</v>
      </c>
      <c r="P13502" s="7"/>
    </row>
    <row r="13503" spans="1:16">
      <c r="A13503" s="3">
        <v>44236.851539351846</v>
      </c>
      <c r="B13503" s="4" t="str">
        <f>HYPERLINK("https://twitter.com/petrogustavo","@petrogustavo")</f>
        <v>@petrogustavo</v>
      </c>
      <c r="C13503" s="5" t="s">
        <v>16</v>
      </c>
      <c r="D13503" s="5" t="s">
        <v>12995</v>
      </c>
      <c r="E13503" s="6" t="str">
        <f>HYPERLINK("https://twitter.com/petrogustavo/status/1359154142082723844","1359154142082723844")</f>
        <v>1359154142082723844</v>
      </c>
      <c r="F13503" s="7" t="s">
        <v>17</v>
      </c>
      <c r="G13503" s="7">
        <v>4059464</v>
      </c>
      <c r="H13503" s="7">
        <v>2487</v>
      </c>
      <c r="I13503" s="7">
        <v>121</v>
      </c>
      <c r="J13503" s="7">
        <v>229</v>
      </c>
      <c r="K13503" s="7" t="s">
        <v>18</v>
      </c>
      <c r="L13503" s="8">
        <v>39987.315405092595</v>
      </c>
      <c r="M13503" s="9" t="s">
        <v>19</v>
      </c>
      <c r="N13503" s="9" t="s">
        <v>20</v>
      </c>
      <c r="O13503" s="6" t="str">
        <f>HYPERLINK("https://pbs.twimg.com/profile_images/962471262747529216/Uo8lOkRJ_normal.jpg","View")</f>
        <v>View</v>
      </c>
      <c r="P13503" s="7"/>
    </row>
    <row r="13504" spans="1:16">
      <c r="A13504" s="3">
        <v>44237.016805555555</v>
      </c>
      <c r="B13504" s="4" t="str">
        <f>HYPERLINK("https://twitter.com/petrogustavo","@petrogustavo")</f>
        <v>@petrogustavo</v>
      </c>
      <c r="C13504" s="5" t="s">
        <v>16</v>
      </c>
      <c r="D13504" s="4" t="s">
        <v>12996</v>
      </c>
      <c r="E13504" s="6" t="str">
        <f>HYPERLINK("https://twitter.com/petrogustavo/status/1359214030938927105","1359214030938927105")</f>
        <v>1359214030938927105</v>
      </c>
      <c r="F13504" s="7" t="s">
        <v>17</v>
      </c>
      <c r="G13504" s="7">
        <v>4059650</v>
      </c>
      <c r="H13504" s="7">
        <v>2487</v>
      </c>
      <c r="I13504" s="7">
        <v>241</v>
      </c>
      <c r="J13504" s="7">
        <v>1108</v>
      </c>
      <c r="K13504" s="7" t="s">
        <v>18</v>
      </c>
      <c r="L13504" s="8">
        <v>39987.315405092595</v>
      </c>
      <c r="M13504" s="9" t="s">
        <v>19</v>
      </c>
      <c r="N13504" s="9" t="s">
        <v>20</v>
      </c>
      <c r="O13504" s="6" t="str">
        <f>HYPERLINK("https://pbs.twimg.com/profile_images/962471262747529216/Uo8lOkRJ_normal.jpg","View")</f>
        <v>View</v>
      </c>
      <c r="P13504" s="7"/>
    </row>
    <row r="13505" spans="1:16">
      <c r="A13505" s="3">
        <v>44237.103333333333</v>
      </c>
      <c r="B13505" s="4" t="str">
        <f>HYPERLINK("https://twitter.com/petrogustavo","@petrogustavo")</f>
        <v>@petrogustavo</v>
      </c>
      <c r="C13505" s="5" t="s">
        <v>16</v>
      </c>
      <c r="D13505" s="5" t="s">
        <v>12997</v>
      </c>
      <c r="E13505" s="6" t="str">
        <f>HYPERLINK("https://twitter.com/petrogustavo/status/1359245388285431812","1359245388285431812")</f>
        <v>1359245388285431812</v>
      </c>
      <c r="F13505" s="7" t="s">
        <v>17</v>
      </c>
      <c r="G13505" s="7">
        <v>4059707</v>
      </c>
      <c r="H13505" s="7">
        <v>2486</v>
      </c>
      <c r="I13505" s="7">
        <v>84</v>
      </c>
      <c r="J13505" s="7">
        <v>302</v>
      </c>
      <c r="K13505" s="7" t="s">
        <v>18</v>
      </c>
      <c r="L13505" s="8">
        <v>39987.315405092595</v>
      </c>
      <c r="M13505" s="9" t="s">
        <v>19</v>
      </c>
      <c r="N13505" s="9" t="s">
        <v>20</v>
      </c>
      <c r="O13505" s="6" t="str">
        <f>HYPERLINK("https://pbs.twimg.com/profile_images/962471262747529216/Uo8lOkRJ_normal.jpg","View")</f>
        <v>View</v>
      </c>
      <c r="P13505" s="7"/>
    </row>
    <row r="13506" spans="1:16">
      <c r="A13506" s="3">
        <v>44237.114930555559</v>
      </c>
      <c r="B13506" s="4" t="str">
        <f>HYPERLINK("https://twitter.com/petrogustavo","@petrogustavo")</f>
        <v>@petrogustavo</v>
      </c>
      <c r="C13506" s="5" t="s">
        <v>16</v>
      </c>
      <c r="D13506" s="5" t="s">
        <v>12998</v>
      </c>
      <c r="E13506" s="6" t="str">
        <f>HYPERLINK("https://twitter.com/petrogustavo/status/1359249591611371521","1359249591611371521")</f>
        <v>1359249591611371521</v>
      </c>
      <c r="F13506" s="7" t="s">
        <v>17</v>
      </c>
      <c r="G13506" s="7">
        <v>4059707</v>
      </c>
      <c r="H13506" s="7">
        <v>2486</v>
      </c>
      <c r="I13506" s="7">
        <v>176</v>
      </c>
      <c r="J13506" s="7">
        <v>0</v>
      </c>
      <c r="K13506" s="7" t="s">
        <v>18</v>
      </c>
      <c r="L13506" s="8">
        <v>39987.315405092595</v>
      </c>
      <c r="M13506" s="9" t="s">
        <v>19</v>
      </c>
      <c r="N13506" s="9" t="s">
        <v>20</v>
      </c>
      <c r="O13506" s="6" t="str">
        <f>HYPERLINK("https://pbs.twimg.com/profile_images/962471262747529216/Uo8lOkRJ_normal.jpg","View")</f>
        <v>View</v>
      </c>
      <c r="P13506" s="7"/>
    </row>
    <row r="13507" spans="1:16">
      <c r="A13507" s="3">
        <v>44237.11519675926</v>
      </c>
      <c r="B13507" s="4" t="str">
        <f>HYPERLINK("https://twitter.com/petrogustavo","@petrogustavo")</f>
        <v>@petrogustavo</v>
      </c>
      <c r="C13507" s="5" t="s">
        <v>16</v>
      </c>
      <c r="D13507" s="5" t="s">
        <v>12999</v>
      </c>
      <c r="E13507" s="6" t="str">
        <f>HYPERLINK("https://twitter.com/petrogustavo/status/1359249684682989568","1359249684682989568")</f>
        <v>1359249684682989568</v>
      </c>
      <c r="F13507" s="7" t="s">
        <v>17</v>
      </c>
      <c r="G13507" s="7">
        <v>4059707</v>
      </c>
      <c r="H13507" s="7">
        <v>2486</v>
      </c>
      <c r="I13507" s="7">
        <v>84</v>
      </c>
      <c r="J13507" s="7">
        <v>0</v>
      </c>
      <c r="K13507" s="7" t="s">
        <v>18</v>
      </c>
      <c r="L13507" s="8">
        <v>39987.315405092595</v>
      </c>
      <c r="M13507" s="9" t="s">
        <v>19</v>
      </c>
      <c r="N13507" s="9" t="s">
        <v>20</v>
      </c>
      <c r="O13507" s="6" t="str">
        <f>HYPERLINK("https://pbs.twimg.com/profile_images/962471262747529216/Uo8lOkRJ_normal.jpg","View")</f>
        <v>View</v>
      </c>
      <c r="P13507" s="7"/>
    </row>
    <row r="13508" spans="1:16">
      <c r="A13508" s="3">
        <v>44237.661631944444</v>
      </c>
      <c r="B13508" s="4" t="str">
        <f>HYPERLINK("https://twitter.com/petrogustavo","@petrogustavo")</f>
        <v>@petrogustavo</v>
      </c>
      <c r="C13508" s="5" t="s">
        <v>16</v>
      </c>
      <c r="D13508" s="5" t="s">
        <v>13000</v>
      </c>
      <c r="E13508" s="6" t="str">
        <f>HYPERLINK("https://twitter.com/petrogustavo/status/1359447705718845440","1359447705718845440")</f>
        <v>1359447705718845440</v>
      </c>
      <c r="F13508" s="7" t="s">
        <v>17</v>
      </c>
      <c r="G13508" s="7">
        <v>4060090</v>
      </c>
      <c r="H13508" s="7">
        <v>2487</v>
      </c>
      <c r="I13508" s="7">
        <v>32</v>
      </c>
      <c r="J13508" s="7">
        <v>79</v>
      </c>
      <c r="K13508" s="7" t="s">
        <v>18</v>
      </c>
      <c r="L13508" s="8">
        <v>39987.315405092595</v>
      </c>
      <c r="M13508" s="9" t="s">
        <v>19</v>
      </c>
      <c r="N13508" s="9" t="s">
        <v>20</v>
      </c>
      <c r="O13508" s="6" t="str">
        <f>HYPERLINK("https://pbs.twimg.com/profile_images/962471262747529216/Uo8lOkRJ_normal.jpg","View")</f>
        <v>View</v>
      </c>
      <c r="P13508" s="7"/>
    </row>
    <row r="13509" spans="1:16">
      <c r="A13509" s="3">
        <v>44237.730520833335</v>
      </c>
      <c r="B13509" s="4" t="str">
        <f>HYPERLINK("https://twitter.com/petrogustavo","@petrogustavo")</f>
        <v>@petrogustavo</v>
      </c>
      <c r="C13509" s="5" t="s">
        <v>16</v>
      </c>
      <c r="D13509" s="5" t="s">
        <v>13001</v>
      </c>
      <c r="E13509" s="6" t="str">
        <f>HYPERLINK("https://twitter.com/petrogustavo/status/1359472673089282049","1359472673089282049")</f>
        <v>1359472673089282049</v>
      </c>
      <c r="F13509" s="7" t="s">
        <v>17</v>
      </c>
      <c r="G13509" s="7">
        <v>4060119</v>
      </c>
      <c r="H13509" s="7">
        <v>2487</v>
      </c>
      <c r="I13509" s="7">
        <v>134</v>
      </c>
      <c r="J13509" s="7">
        <v>0</v>
      </c>
      <c r="K13509" s="7" t="s">
        <v>18</v>
      </c>
      <c r="L13509" s="8">
        <v>39987.315405092595</v>
      </c>
      <c r="M13509" s="9" t="s">
        <v>19</v>
      </c>
      <c r="N13509" s="9" t="s">
        <v>20</v>
      </c>
      <c r="O13509" s="6" t="str">
        <f>HYPERLINK("https://pbs.twimg.com/profile_images/962471262747529216/Uo8lOkRJ_normal.jpg","View")</f>
        <v>View</v>
      </c>
      <c r="P13509" s="7"/>
    </row>
    <row r="13510" spans="1:16">
      <c r="A13510" s="3">
        <v>44237.734861111108</v>
      </c>
      <c r="B13510" s="4" t="str">
        <f>HYPERLINK("https://twitter.com/petrogustavo","@petrogustavo")</f>
        <v>@petrogustavo</v>
      </c>
      <c r="C13510" s="5" t="s">
        <v>16</v>
      </c>
      <c r="D13510" s="5" t="s">
        <v>13002</v>
      </c>
      <c r="E13510" s="6" t="str">
        <f>HYPERLINK("https://twitter.com/petrogustavo/status/1359474245844275200","1359474245844275200")</f>
        <v>1359474245844275200</v>
      </c>
      <c r="F13510" s="7" t="s">
        <v>17</v>
      </c>
      <c r="G13510" s="7">
        <v>4060119</v>
      </c>
      <c r="H13510" s="7">
        <v>2487</v>
      </c>
      <c r="I13510" s="7">
        <v>60</v>
      </c>
      <c r="J13510" s="7">
        <v>158</v>
      </c>
      <c r="K13510" s="7" t="s">
        <v>18</v>
      </c>
      <c r="L13510" s="8">
        <v>39987.315405092595</v>
      </c>
      <c r="M13510" s="9" t="s">
        <v>19</v>
      </c>
      <c r="N13510" s="9" t="s">
        <v>20</v>
      </c>
      <c r="O13510" s="6" t="str">
        <f>HYPERLINK("https://pbs.twimg.com/profile_images/962471262747529216/Uo8lOkRJ_normal.jpg","View")</f>
        <v>View</v>
      </c>
      <c r="P13510" s="7"/>
    </row>
    <row r="13511" spans="1:16">
      <c r="A13511" s="3">
        <v>44237.734861111108</v>
      </c>
      <c r="B13511" s="4" t="str">
        <f>HYPERLINK("https://twitter.com/petrogustavo","@petrogustavo")</f>
        <v>@petrogustavo</v>
      </c>
      <c r="C13511" s="5" t="s">
        <v>16</v>
      </c>
      <c r="D13511" s="5" t="s">
        <v>13003</v>
      </c>
      <c r="E13511" s="6" t="str">
        <f>HYPERLINK("https://twitter.com/petrogustavo/status/1359474247006105602","1359474247006105602")</f>
        <v>1359474247006105602</v>
      </c>
      <c r="F13511" s="7" t="s">
        <v>17</v>
      </c>
      <c r="G13511" s="7">
        <v>4060119</v>
      </c>
      <c r="H13511" s="7">
        <v>2487</v>
      </c>
      <c r="I13511" s="7">
        <v>36</v>
      </c>
      <c r="J13511" s="7">
        <v>101</v>
      </c>
      <c r="K13511" s="7" t="s">
        <v>18</v>
      </c>
      <c r="L13511" s="8">
        <v>39987.315405092595</v>
      </c>
      <c r="M13511" s="9" t="s">
        <v>19</v>
      </c>
      <c r="N13511" s="9" t="s">
        <v>20</v>
      </c>
      <c r="O13511" s="6" t="str">
        <f>HYPERLINK("https://pbs.twimg.com/profile_images/962471262747529216/Uo8lOkRJ_normal.jpg","View")</f>
        <v>View</v>
      </c>
      <c r="P13511" s="7"/>
    </row>
    <row r="13512" spans="1:16">
      <c r="A13512" s="3">
        <v>44237.812245370369</v>
      </c>
      <c r="B13512" s="4" t="str">
        <f>HYPERLINK("https://twitter.com/petrogustavo","@petrogustavo")</f>
        <v>@petrogustavo</v>
      </c>
      <c r="C13512" s="5" t="s">
        <v>16</v>
      </c>
      <c r="D13512" s="5" t="s">
        <v>13004</v>
      </c>
      <c r="E13512" s="6" t="str">
        <f>HYPERLINK("https://twitter.com/petrogustavo/status/1359502288138756099","1359502288138756099")</f>
        <v>1359502288138756099</v>
      </c>
      <c r="F13512" s="7" t="s">
        <v>17</v>
      </c>
      <c r="G13512" s="7">
        <v>4060233</v>
      </c>
      <c r="H13512" s="7">
        <v>2487</v>
      </c>
      <c r="I13512" s="7">
        <v>413</v>
      </c>
      <c r="J13512" s="7">
        <v>0</v>
      </c>
      <c r="K13512" s="7" t="s">
        <v>18</v>
      </c>
      <c r="L13512" s="8">
        <v>39987.315405092595</v>
      </c>
      <c r="M13512" s="9" t="s">
        <v>19</v>
      </c>
      <c r="N13512" s="9" t="s">
        <v>20</v>
      </c>
      <c r="O13512" s="6" t="str">
        <f>HYPERLINK("https://pbs.twimg.com/profile_images/962471262747529216/Uo8lOkRJ_normal.jpg","View")</f>
        <v>View</v>
      </c>
      <c r="P13512" s="7"/>
    </row>
    <row r="13513" spans="1:16">
      <c r="A13513" s="3">
        <v>44237.837152777778</v>
      </c>
      <c r="B13513" s="4" t="str">
        <f>HYPERLINK("https://twitter.com/petrogustavo","@petrogustavo")</f>
        <v>@petrogustavo</v>
      </c>
      <c r="C13513" s="5" t="s">
        <v>16</v>
      </c>
      <c r="D13513" s="5" t="s">
        <v>13005</v>
      </c>
      <c r="E13513" s="6" t="str">
        <f>HYPERLINK("https://twitter.com/petrogustavo/status/1359511312666157057","1359511312666157057")</f>
        <v>1359511312666157057</v>
      </c>
      <c r="F13513" s="7" t="s">
        <v>17</v>
      </c>
      <c r="G13513" s="7">
        <v>4060259</v>
      </c>
      <c r="H13513" s="7">
        <v>2487</v>
      </c>
      <c r="I13513" s="7">
        <v>62</v>
      </c>
      <c r="J13513" s="7">
        <v>0</v>
      </c>
      <c r="K13513" s="7" t="s">
        <v>18</v>
      </c>
      <c r="L13513" s="8">
        <v>39987.315405092595</v>
      </c>
      <c r="M13513" s="9" t="s">
        <v>19</v>
      </c>
      <c r="N13513" s="9" t="s">
        <v>20</v>
      </c>
      <c r="O13513" s="6" t="str">
        <f>HYPERLINK("https://pbs.twimg.com/profile_images/962471262747529216/Uo8lOkRJ_normal.jpg","View")</f>
        <v>View</v>
      </c>
      <c r="P13513" s="7"/>
    </row>
    <row r="13514" spans="1:16">
      <c r="A13514" s="3">
        <v>44237.842048611114</v>
      </c>
      <c r="B13514" s="4" t="str">
        <f>HYPERLINK("https://twitter.com/petrogustavo","@petrogustavo")</f>
        <v>@petrogustavo</v>
      </c>
      <c r="C13514" s="5" t="s">
        <v>16</v>
      </c>
      <c r="D13514" s="5" t="s">
        <v>13006</v>
      </c>
      <c r="E13514" s="6" t="str">
        <f>HYPERLINK("https://twitter.com/petrogustavo/status/1359513089838882821","1359513089838882821")</f>
        <v>1359513089838882821</v>
      </c>
      <c r="F13514" s="7" t="s">
        <v>17</v>
      </c>
      <c r="G13514" s="7">
        <v>4060259</v>
      </c>
      <c r="H13514" s="7">
        <v>2487</v>
      </c>
      <c r="I13514" s="7">
        <v>53</v>
      </c>
      <c r="J13514" s="7">
        <v>102</v>
      </c>
      <c r="K13514" s="7" t="s">
        <v>18</v>
      </c>
      <c r="L13514" s="8">
        <v>39987.315405092595</v>
      </c>
      <c r="M13514" s="9" t="s">
        <v>19</v>
      </c>
      <c r="N13514" s="9" t="s">
        <v>20</v>
      </c>
      <c r="O13514" s="6" t="str">
        <f>HYPERLINK("https://pbs.twimg.com/profile_images/962471262747529216/Uo8lOkRJ_normal.jpg","View")</f>
        <v>View</v>
      </c>
      <c r="P13514" s="7"/>
    </row>
    <row r="13515" spans="1:16">
      <c r="A13515" s="3">
        <v>44237.846006944441</v>
      </c>
      <c r="B13515" s="4" t="str">
        <f>HYPERLINK("https://twitter.com/petrogustavo","@petrogustavo")</f>
        <v>@petrogustavo</v>
      </c>
      <c r="C13515" s="5" t="s">
        <v>16</v>
      </c>
      <c r="D13515" s="5" t="s">
        <v>13007</v>
      </c>
      <c r="E13515" s="6" t="str">
        <f>HYPERLINK("https://twitter.com/petrogustavo/status/1359514521493262349","1359514521493262349")</f>
        <v>1359514521493262349</v>
      </c>
      <c r="F13515" s="7" t="s">
        <v>17</v>
      </c>
      <c r="G13515" s="7">
        <v>4060276</v>
      </c>
      <c r="H13515" s="7">
        <v>2487</v>
      </c>
      <c r="I13515" s="7">
        <v>53</v>
      </c>
      <c r="J13515" s="7">
        <v>0</v>
      </c>
      <c r="K13515" s="7" t="s">
        <v>18</v>
      </c>
      <c r="L13515" s="8">
        <v>39987.315405092595</v>
      </c>
      <c r="M13515" s="9" t="s">
        <v>19</v>
      </c>
      <c r="N13515" s="9" t="s">
        <v>20</v>
      </c>
      <c r="O13515" s="6" t="str">
        <f>HYPERLINK("https://pbs.twimg.com/profile_images/962471262747529216/Uo8lOkRJ_normal.jpg","View")</f>
        <v>View</v>
      </c>
      <c r="P13515" s="7"/>
    </row>
    <row r="13516" spans="1:16">
      <c r="A13516" s="3">
        <v>44237.853333333333</v>
      </c>
      <c r="B13516" s="4" t="str">
        <f>HYPERLINK("https://twitter.com/petrogustavo","@petrogustavo")</f>
        <v>@petrogustavo</v>
      </c>
      <c r="C13516" s="5" t="s">
        <v>16</v>
      </c>
      <c r="D13516" s="5" t="s">
        <v>13008</v>
      </c>
      <c r="E13516" s="6" t="str">
        <f>HYPERLINK("https://twitter.com/petrogustavo/status/1359517179432034309","1359517179432034309")</f>
        <v>1359517179432034309</v>
      </c>
      <c r="F13516" s="7" t="s">
        <v>17</v>
      </c>
      <c r="G13516" s="7">
        <v>4060276</v>
      </c>
      <c r="H13516" s="7">
        <v>2487</v>
      </c>
      <c r="I13516" s="7">
        <v>343</v>
      </c>
      <c r="J13516" s="7">
        <v>0</v>
      </c>
      <c r="K13516" s="7" t="s">
        <v>18</v>
      </c>
      <c r="L13516" s="8">
        <v>39987.315405092595</v>
      </c>
      <c r="M13516" s="9" t="s">
        <v>19</v>
      </c>
      <c r="N13516" s="9" t="s">
        <v>20</v>
      </c>
      <c r="O13516" s="6" t="str">
        <f>HYPERLINK("https://pbs.twimg.com/profile_images/962471262747529216/Uo8lOkRJ_normal.jpg","View")</f>
        <v>View</v>
      </c>
      <c r="P13516" s="7"/>
    </row>
    <row r="13517" spans="1:16">
      <c r="A13517" s="3">
        <v>44237.854189814811</v>
      </c>
      <c r="B13517" s="4" t="str">
        <f>HYPERLINK("https://twitter.com/petrogustavo","@petrogustavo")</f>
        <v>@petrogustavo</v>
      </c>
      <c r="C13517" s="5" t="s">
        <v>16</v>
      </c>
      <c r="D13517" s="5" t="s">
        <v>13009</v>
      </c>
      <c r="E13517" s="6" t="str">
        <f>HYPERLINK("https://twitter.com/petrogustavo/status/1359517490355859457","1359517490355859457")</f>
        <v>1359517490355859457</v>
      </c>
      <c r="F13517" s="7" t="s">
        <v>17</v>
      </c>
      <c r="G13517" s="7">
        <v>4060276</v>
      </c>
      <c r="H13517" s="7">
        <v>2487</v>
      </c>
      <c r="I13517" s="7">
        <v>215</v>
      </c>
      <c r="J13517" s="7">
        <v>0</v>
      </c>
      <c r="K13517" s="7" t="s">
        <v>18</v>
      </c>
      <c r="L13517" s="8">
        <v>39987.315405092595</v>
      </c>
      <c r="M13517" s="9" t="s">
        <v>19</v>
      </c>
      <c r="N13517" s="9" t="s">
        <v>20</v>
      </c>
      <c r="O13517" s="6" t="str">
        <f>HYPERLINK("https://pbs.twimg.com/profile_images/962471262747529216/Uo8lOkRJ_normal.jpg","View")</f>
        <v>View</v>
      </c>
      <c r="P13517" s="7"/>
    </row>
    <row r="13518" spans="1:16">
      <c r="A13518" s="3">
        <v>44237.856608796297</v>
      </c>
      <c r="B13518" s="4" t="str">
        <f>HYPERLINK("https://twitter.com/petrogustavo","@petrogustavo")</f>
        <v>@petrogustavo</v>
      </c>
      <c r="C13518" s="5" t="s">
        <v>16</v>
      </c>
      <c r="D13518" s="5" t="s">
        <v>13010</v>
      </c>
      <c r="E13518" s="6" t="str">
        <f>HYPERLINK("https://twitter.com/petrogustavo/status/1359518364163575808","1359518364163575808")</f>
        <v>1359518364163575808</v>
      </c>
      <c r="F13518" s="7" t="s">
        <v>17</v>
      </c>
      <c r="G13518" s="7">
        <v>4060276</v>
      </c>
      <c r="H13518" s="7">
        <v>2487</v>
      </c>
      <c r="I13518" s="7">
        <v>125</v>
      </c>
      <c r="J13518" s="7">
        <v>340</v>
      </c>
      <c r="K13518" s="7" t="s">
        <v>18</v>
      </c>
      <c r="L13518" s="8">
        <v>39987.315405092595</v>
      </c>
      <c r="M13518" s="9" t="s">
        <v>19</v>
      </c>
      <c r="N13518" s="9" t="s">
        <v>20</v>
      </c>
      <c r="O13518" s="6" t="str">
        <f>HYPERLINK("https://pbs.twimg.com/profile_images/962471262747529216/Uo8lOkRJ_normal.jpg","View")</f>
        <v>View</v>
      </c>
      <c r="P13518" s="7"/>
    </row>
    <row r="13519" spans="1:16">
      <c r="A13519" s="3">
        <v>44237.933564814812</v>
      </c>
      <c r="B13519" s="4" t="str">
        <f>HYPERLINK("https://twitter.com/petrogustavo","@petrogustavo")</f>
        <v>@petrogustavo</v>
      </c>
      <c r="C13519" s="5" t="s">
        <v>16</v>
      </c>
      <c r="D13519" s="5" t="s">
        <v>13011</v>
      </c>
      <c r="E13519" s="6" t="str">
        <f>HYPERLINK("https://twitter.com/petrogustavo/status/1359546253940568065","1359546253940568065")</f>
        <v>1359546253940568065</v>
      </c>
      <c r="F13519" s="7" t="s">
        <v>17</v>
      </c>
      <c r="G13519" s="7">
        <v>4060374</v>
      </c>
      <c r="H13519" s="7">
        <v>2487</v>
      </c>
      <c r="I13519" s="7">
        <v>115</v>
      </c>
      <c r="J13519" s="7">
        <v>365</v>
      </c>
      <c r="K13519" s="7" t="s">
        <v>18</v>
      </c>
      <c r="L13519" s="8">
        <v>39987.315405092595</v>
      </c>
      <c r="M13519" s="9" t="s">
        <v>19</v>
      </c>
      <c r="N13519" s="9" t="s">
        <v>20</v>
      </c>
      <c r="O13519" s="6" t="str">
        <f>HYPERLINK("https://pbs.twimg.com/profile_images/962471262747529216/Uo8lOkRJ_normal.jpg","View")</f>
        <v>View</v>
      </c>
      <c r="P13519" s="7"/>
    </row>
    <row r="13520" spans="1:16">
      <c r="A13520" s="3">
        <v>44237.934629629628</v>
      </c>
      <c r="B13520" s="4" t="str">
        <f>HYPERLINK("https://twitter.com/petrogustavo","@petrogustavo")</f>
        <v>@petrogustavo</v>
      </c>
      <c r="C13520" s="5" t="s">
        <v>16</v>
      </c>
      <c r="D13520" s="5" t="s">
        <v>13012</v>
      </c>
      <c r="E13520" s="6" t="str">
        <f>HYPERLINK("https://twitter.com/petrogustavo/status/1359546640621789185","1359546640621789185")</f>
        <v>1359546640621789185</v>
      </c>
      <c r="F13520" s="7" t="s">
        <v>17</v>
      </c>
      <c r="G13520" s="7">
        <v>4060374</v>
      </c>
      <c r="H13520" s="7">
        <v>2487</v>
      </c>
      <c r="I13520" s="7">
        <v>199</v>
      </c>
      <c r="J13520" s="7">
        <v>568</v>
      </c>
      <c r="K13520" s="7" t="s">
        <v>18</v>
      </c>
      <c r="L13520" s="8">
        <v>39987.315405092595</v>
      </c>
      <c r="M13520" s="9" t="s">
        <v>19</v>
      </c>
      <c r="N13520" s="9" t="s">
        <v>20</v>
      </c>
      <c r="O13520" s="6" t="str">
        <f>HYPERLINK("https://pbs.twimg.com/profile_images/962471262747529216/Uo8lOkRJ_normal.jpg","View")</f>
        <v>View</v>
      </c>
      <c r="P13520" s="7"/>
    </row>
    <row r="13521" spans="1:16">
      <c r="A13521" s="3">
        <v>44237.942731481482</v>
      </c>
      <c r="B13521" s="4" t="str">
        <f>HYPERLINK("https://twitter.com/petrogustavo","@petrogustavo")</f>
        <v>@petrogustavo</v>
      </c>
      <c r="C13521" s="5" t="s">
        <v>16</v>
      </c>
      <c r="D13521" s="5" t="s">
        <v>13013</v>
      </c>
      <c r="E13521" s="6" t="str">
        <f>HYPERLINK("https://twitter.com/petrogustavo/status/1359549575179235328","1359549575179235328")</f>
        <v>1359549575179235328</v>
      </c>
      <c r="F13521" s="7" t="s">
        <v>17</v>
      </c>
      <c r="G13521" s="7">
        <v>4060374</v>
      </c>
      <c r="H13521" s="7">
        <v>2487</v>
      </c>
      <c r="I13521" s="7">
        <v>72</v>
      </c>
      <c r="J13521" s="7">
        <v>338</v>
      </c>
      <c r="K13521" s="7" t="s">
        <v>18</v>
      </c>
      <c r="L13521" s="8">
        <v>39987.315405092595</v>
      </c>
      <c r="M13521" s="9" t="s">
        <v>19</v>
      </c>
      <c r="N13521" s="9" t="s">
        <v>20</v>
      </c>
      <c r="O13521" s="6" t="str">
        <f>HYPERLINK("https://pbs.twimg.com/profile_images/962471262747529216/Uo8lOkRJ_normal.jpg","View")</f>
        <v>View</v>
      </c>
      <c r="P13521" s="7"/>
    </row>
    <row r="13522" spans="1:16">
      <c r="A13522" s="3">
        <v>44237.945277777777</v>
      </c>
      <c r="B13522" s="4" t="str">
        <f>HYPERLINK("https://twitter.com/petrogustavo","@petrogustavo")</f>
        <v>@petrogustavo</v>
      </c>
      <c r="C13522" s="5" t="s">
        <v>16</v>
      </c>
      <c r="D13522" s="5" t="s">
        <v>13014</v>
      </c>
      <c r="E13522" s="6" t="str">
        <f>HYPERLINK("https://twitter.com/petrogustavo/status/1359550499012411394","1359550499012411394")</f>
        <v>1359550499012411394</v>
      </c>
      <c r="F13522" s="7" t="s">
        <v>17</v>
      </c>
      <c r="G13522" s="7">
        <v>4060374</v>
      </c>
      <c r="H13522" s="7">
        <v>2487</v>
      </c>
      <c r="I13522" s="7">
        <v>88</v>
      </c>
      <c r="J13522" s="7">
        <v>0</v>
      </c>
      <c r="K13522" s="7" t="s">
        <v>18</v>
      </c>
      <c r="L13522" s="8">
        <v>39987.315405092595</v>
      </c>
      <c r="M13522" s="9" t="s">
        <v>19</v>
      </c>
      <c r="N13522" s="9" t="s">
        <v>20</v>
      </c>
      <c r="O13522" s="6" t="str">
        <f>HYPERLINK("https://pbs.twimg.com/profile_images/962471262747529216/Uo8lOkRJ_normal.jpg","View")</f>
        <v>View</v>
      </c>
      <c r="P13522" s="7"/>
    </row>
    <row r="13523" spans="1:16">
      <c r="A13523" s="3">
        <v>44237.95008101852</v>
      </c>
      <c r="B13523" s="4" t="str">
        <f>HYPERLINK("https://twitter.com/petrogustavo","@petrogustavo")</f>
        <v>@petrogustavo</v>
      </c>
      <c r="C13523" s="5" t="s">
        <v>16</v>
      </c>
      <c r="D13523" s="5" t="s">
        <v>13015</v>
      </c>
      <c r="E13523" s="6" t="str">
        <f>HYPERLINK("https://twitter.com/petrogustavo/status/1359552239443017731","1359552239443017731")</f>
        <v>1359552239443017731</v>
      </c>
      <c r="F13523" s="7" t="s">
        <v>17</v>
      </c>
      <c r="G13523" s="7">
        <v>4060374</v>
      </c>
      <c r="H13523" s="7">
        <v>2487</v>
      </c>
      <c r="I13523" s="7">
        <v>0</v>
      </c>
      <c r="J13523" s="7">
        <v>0</v>
      </c>
      <c r="K13523" s="7" t="s">
        <v>18</v>
      </c>
      <c r="L13523" s="8">
        <v>39987.315405092595</v>
      </c>
      <c r="M13523" s="9" t="s">
        <v>19</v>
      </c>
      <c r="N13523" s="9" t="s">
        <v>20</v>
      </c>
      <c r="O13523" s="6" t="str">
        <f>HYPERLINK("https://pbs.twimg.com/profile_images/962471262747529216/Uo8lOkRJ_normal.jpg","View")</f>
        <v>View</v>
      </c>
      <c r="P13523" s="7"/>
    </row>
    <row r="13524" spans="1:16">
      <c r="A13524" s="3">
        <v>44237.958437499998</v>
      </c>
      <c r="B13524" s="4" t="str">
        <f>HYPERLINK("https://twitter.com/petrogustavo","@petrogustavo")</f>
        <v>@petrogustavo</v>
      </c>
      <c r="C13524" s="5" t="s">
        <v>16</v>
      </c>
      <c r="D13524" s="5" t="s">
        <v>13016</v>
      </c>
      <c r="E13524" s="6" t="str">
        <f>HYPERLINK("https://twitter.com/petrogustavo/status/1359555266870726657","1359555266870726657")</f>
        <v>1359555266870726657</v>
      </c>
      <c r="F13524" s="7" t="s">
        <v>17</v>
      </c>
      <c r="G13524" s="7">
        <v>4060402</v>
      </c>
      <c r="H13524" s="7">
        <v>2487</v>
      </c>
      <c r="I13524" s="7">
        <v>3472</v>
      </c>
      <c r="J13524" s="7">
        <v>0</v>
      </c>
      <c r="K13524" s="7" t="s">
        <v>18</v>
      </c>
      <c r="L13524" s="8">
        <v>39987.315405092595</v>
      </c>
      <c r="M13524" s="9" t="s">
        <v>19</v>
      </c>
      <c r="N13524" s="9" t="s">
        <v>20</v>
      </c>
      <c r="O13524" s="6" t="str">
        <f>HYPERLINK("https://pbs.twimg.com/profile_images/962471262747529216/Uo8lOkRJ_normal.jpg","View")</f>
        <v>View</v>
      </c>
      <c r="P13524" s="7"/>
    </row>
    <row r="13525" spans="1:16">
      <c r="A13525" s="3">
        <v>44238.035370370373</v>
      </c>
      <c r="B13525" s="4" t="str">
        <f>HYPERLINK("https://twitter.com/petrogustavo","@petrogustavo")</f>
        <v>@petrogustavo</v>
      </c>
      <c r="C13525" s="5" t="s">
        <v>16</v>
      </c>
      <c r="D13525" s="5" t="s">
        <v>13016</v>
      </c>
      <c r="E13525" s="6" t="str">
        <f>HYPERLINK("https://twitter.com/petrogustavo/status/1359583145188810755","1359583145188810755")</f>
        <v>1359583145188810755</v>
      </c>
      <c r="F13525" s="7" t="s">
        <v>17</v>
      </c>
      <c r="G13525" s="7">
        <v>4060515</v>
      </c>
      <c r="H13525" s="7">
        <v>2487</v>
      </c>
      <c r="I13525" s="7">
        <v>3597</v>
      </c>
      <c r="J13525" s="7">
        <v>0</v>
      </c>
      <c r="K13525" s="7" t="s">
        <v>18</v>
      </c>
      <c r="L13525" s="8">
        <v>39987.315405092595</v>
      </c>
      <c r="M13525" s="9" t="s">
        <v>19</v>
      </c>
      <c r="N13525" s="9" t="s">
        <v>20</v>
      </c>
      <c r="O13525" s="6" t="str">
        <f>HYPERLINK("https://pbs.twimg.com/profile_images/962471262747529216/Uo8lOkRJ_normal.jpg","View")</f>
        <v>View</v>
      </c>
      <c r="P13525" s="7"/>
    </row>
    <row r="13526" spans="1:16">
      <c r="A13526" s="3">
        <v>44238.080821759257</v>
      </c>
      <c r="B13526" s="4" t="str">
        <f>HYPERLINK("https://twitter.com/petrogustavo","@petrogustavo")</f>
        <v>@petrogustavo</v>
      </c>
      <c r="C13526" s="5" t="s">
        <v>16</v>
      </c>
      <c r="D13526" s="5" t="s">
        <v>13016</v>
      </c>
      <c r="E13526" s="6" t="str">
        <f>HYPERLINK("https://twitter.com/petrogustavo/status/1359599617432817676","1359599617432817676")</f>
        <v>1359599617432817676</v>
      </c>
      <c r="F13526" s="7" t="s">
        <v>17</v>
      </c>
      <c r="G13526" s="7">
        <v>4060569</v>
      </c>
      <c r="H13526" s="7">
        <v>2487</v>
      </c>
      <c r="I13526" s="7">
        <v>3669</v>
      </c>
      <c r="J13526" s="7">
        <v>0</v>
      </c>
      <c r="K13526" s="7" t="s">
        <v>18</v>
      </c>
      <c r="L13526" s="8">
        <v>39987.315405092595</v>
      </c>
      <c r="M13526" s="9" t="s">
        <v>19</v>
      </c>
      <c r="N13526" s="9" t="s">
        <v>20</v>
      </c>
      <c r="O13526" s="6" t="str">
        <f>HYPERLINK("https://pbs.twimg.com/profile_images/962471262747529216/Uo8lOkRJ_normal.jpg","View")</f>
        <v>View</v>
      </c>
      <c r="P13526" s="7"/>
    </row>
    <row r="13527" spans="1:16">
      <c r="A13527" s="3">
        <v>44238.684884259259</v>
      </c>
      <c r="B13527" s="4" t="str">
        <f>HYPERLINK("https://twitter.com/petrogustavo","@petrogustavo")</f>
        <v>@petrogustavo</v>
      </c>
      <c r="C13527" s="5" t="s">
        <v>16</v>
      </c>
      <c r="D13527" s="5" t="s">
        <v>12993</v>
      </c>
      <c r="E13527" s="6" t="str">
        <f>HYPERLINK("https://twitter.com/petrogustavo/status/1359818522839384064","1359818522839384064")</f>
        <v>1359818522839384064</v>
      </c>
      <c r="F13527" s="7" t="s">
        <v>17</v>
      </c>
      <c r="G13527" s="7">
        <v>4060960</v>
      </c>
      <c r="H13527" s="7">
        <v>2489</v>
      </c>
      <c r="I13527" s="7">
        <v>1837</v>
      </c>
      <c r="J13527" s="7">
        <v>0</v>
      </c>
      <c r="K13527" s="7" t="s">
        <v>18</v>
      </c>
      <c r="L13527" s="8">
        <v>39987.315405092595</v>
      </c>
      <c r="M13527" s="9" t="s">
        <v>19</v>
      </c>
      <c r="N13527" s="9" t="s">
        <v>20</v>
      </c>
      <c r="O13527" s="6" t="str">
        <f>HYPERLINK("https://pbs.twimg.com/profile_images/962471262747529216/Uo8lOkRJ_normal.jpg","View")</f>
        <v>View</v>
      </c>
      <c r="P13527" s="7"/>
    </row>
    <row r="13528" spans="1:16">
      <c r="A13528" s="3">
        <v>44238.690613425926</v>
      </c>
      <c r="B13528" s="4" t="str">
        <f>HYPERLINK("https://twitter.com/petrogustavo","@petrogustavo")</f>
        <v>@petrogustavo</v>
      </c>
      <c r="C13528" s="5" t="s">
        <v>16</v>
      </c>
      <c r="D13528" s="5" t="s">
        <v>13017</v>
      </c>
      <c r="E13528" s="6" t="str">
        <f>HYPERLINK("https://twitter.com/petrogustavo/status/1359820596469768197","1359820596469768197")</f>
        <v>1359820596469768197</v>
      </c>
      <c r="F13528" s="7" t="s">
        <v>17</v>
      </c>
      <c r="G13528" s="7">
        <v>4060960</v>
      </c>
      <c r="H13528" s="7">
        <v>2489</v>
      </c>
      <c r="I13528" s="7">
        <v>79</v>
      </c>
      <c r="J13528" s="7">
        <v>147</v>
      </c>
      <c r="K13528" s="7" t="s">
        <v>18</v>
      </c>
      <c r="L13528" s="8">
        <v>39987.315405092595</v>
      </c>
      <c r="M13528" s="9" t="s">
        <v>19</v>
      </c>
      <c r="N13528" s="9" t="s">
        <v>20</v>
      </c>
      <c r="O13528" s="6" t="str">
        <f>HYPERLINK("https://pbs.twimg.com/profile_images/962471262747529216/Uo8lOkRJ_normal.jpg","View")</f>
        <v>View</v>
      </c>
      <c r="P13528" s="7"/>
    </row>
    <row r="13529" spans="1:16">
      <c r="A13529" s="3">
        <v>44238.690613425926</v>
      </c>
      <c r="B13529" s="4" t="str">
        <f>HYPERLINK("https://twitter.com/petrogustavo","@petrogustavo")</f>
        <v>@petrogustavo</v>
      </c>
      <c r="C13529" s="5" t="s">
        <v>16</v>
      </c>
      <c r="D13529" s="5" t="s">
        <v>13018</v>
      </c>
      <c r="E13529" s="6" t="str">
        <f>HYPERLINK("https://twitter.com/petrogustavo/status/1359820597816098823","1359820597816098823")</f>
        <v>1359820597816098823</v>
      </c>
      <c r="F13529" s="7" t="s">
        <v>17</v>
      </c>
      <c r="G13529" s="7">
        <v>4060960</v>
      </c>
      <c r="H13529" s="7">
        <v>2489</v>
      </c>
      <c r="I13529" s="7">
        <v>38</v>
      </c>
      <c r="J13529" s="7">
        <v>87</v>
      </c>
      <c r="K13529" s="7" t="s">
        <v>18</v>
      </c>
      <c r="L13529" s="8">
        <v>39987.315405092595</v>
      </c>
      <c r="M13529" s="9" t="s">
        <v>19</v>
      </c>
      <c r="N13529" s="9" t="s">
        <v>20</v>
      </c>
      <c r="O13529" s="6" t="str">
        <f>HYPERLINK("https://pbs.twimg.com/profile_images/962471262747529216/Uo8lOkRJ_normal.jpg","View")</f>
        <v>View</v>
      </c>
      <c r="P13529" s="7"/>
    </row>
    <row r="13530" spans="1:16">
      <c r="A13530" s="3">
        <v>44238.690613425926</v>
      </c>
      <c r="B13530" s="4" t="str">
        <f>HYPERLINK("https://twitter.com/petrogustavo","@petrogustavo")</f>
        <v>@petrogustavo</v>
      </c>
      <c r="C13530" s="5" t="s">
        <v>16</v>
      </c>
      <c r="D13530" s="5" t="s">
        <v>13019</v>
      </c>
      <c r="E13530" s="6" t="str">
        <f>HYPERLINK("https://twitter.com/petrogustavo/status/1359820599187673094","1359820599187673094")</f>
        <v>1359820599187673094</v>
      </c>
      <c r="F13530" s="7" t="s">
        <v>17</v>
      </c>
      <c r="G13530" s="7">
        <v>4060960</v>
      </c>
      <c r="H13530" s="7">
        <v>2489</v>
      </c>
      <c r="I13530" s="7">
        <v>46</v>
      </c>
      <c r="J13530" s="7">
        <v>117</v>
      </c>
      <c r="K13530" s="7" t="s">
        <v>18</v>
      </c>
      <c r="L13530" s="8">
        <v>39987.315405092595</v>
      </c>
      <c r="M13530" s="9" t="s">
        <v>19</v>
      </c>
      <c r="N13530" s="9" t="s">
        <v>20</v>
      </c>
      <c r="O13530" s="6" t="str">
        <f>HYPERLINK("https://pbs.twimg.com/profile_images/962471262747529216/Uo8lOkRJ_normal.jpg","View")</f>
        <v>View</v>
      </c>
      <c r="P13530" s="7"/>
    </row>
    <row r="13531" spans="1:16">
      <c r="A13531" s="3">
        <v>44238.722881944443</v>
      </c>
      <c r="B13531" s="4" t="str">
        <f>HYPERLINK("https://twitter.com/petrogustavo","@petrogustavo")</f>
        <v>@petrogustavo</v>
      </c>
      <c r="C13531" s="5" t="s">
        <v>16</v>
      </c>
      <c r="D13531" s="5" t="s">
        <v>13020</v>
      </c>
      <c r="E13531" s="6" t="str">
        <f>HYPERLINK("https://twitter.com/petrogustavo/status/1359832292433231873","1359832292433231873")</f>
        <v>1359832292433231873</v>
      </c>
      <c r="F13531" s="7" t="s">
        <v>17</v>
      </c>
      <c r="G13531" s="7">
        <v>4060983</v>
      </c>
      <c r="H13531" s="7">
        <v>2489</v>
      </c>
      <c r="I13531" s="7">
        <v>159</v>
      </c>
      <c r="J13531" s="7">
        <v>561</v>
      </c>
      <c r="K13531" s="7" t="s">
        <v>18</v>
      </c>
      <c r="L13531" s="8">
        <v>39987.315405092595</v>
      </c>
      <c r="M13531" s="9" t="s">
        <v>19</v>
      </c>
      <c r="N13531" s="9" t="s">
        <v>20</v>
      </c>
      <c r="O13531" s="6" t="str">
        <f>HYPERLINK("https://pbs.twimg.com/profile_images/962471262747529216/Uo8lOkRJ_normal.jpg","View")</f>
        <v>View</v>
      </c>
      <c r="P13531" s="7"/>
    </row>
    <row r="13532" spans="1:16">
      <c r="A13532" s="3">
        <v>44238.819479166668</v>
      </c>
      <c r="B13532" s="4" t="str">
        <f>HYPERLINK("https://twitter.com/petrogustavo","@petrogustavo")</f>
        <v>@petrogustavo</v>
      </c>
      <c r="C13532" s="5" t="s">
        <v>16</v>
      </c>
      <c r="D13532" s="5" t="s">
        <v>13021</v>
      </c>
      <c r="E13532" s="6" t="str">
        <f>HYPERLINK("https://twitter.com/petrogustavo/status/1359867298819887104","1359867298819887104")</f>
        <v>1359867298819887104</v>
      </c>
      <c r="F13532" s="7" t="s">
        <v>22</v>
      </c>
      <c r="G13532" s="7">
        <v>4061067</v>
      </c>
      <c r="H13532" s="7">
        <v>2489</v>
      </c>
      <c r="I13532" s="7">
        <v>183</v>
      </c>
      <c r="J13532" s="7">
        <v>361</v>
      </c>
      <c r="K13532" s="7" t="s">
        <v>18</v>
      </c>
      <c r="L13532" s="8">
        <v>39987.315405092595</v>
      </c>
      <c r="M13532" s="9" t="s">
        <v>19</v>
      </c>
      <c r="N13532" s="9" t="s">
        <v>20</v>
      </c>
      <c r="O13532" s="6" t="str">
        <f>HYPERLINK("https://pbs.twimg.com/profile_images/962471262747529216/Uo8lOkRJ_normal.jpg","View")</f>
        <v>View</v>
      </c>
      <c r="P13532" s="7"/>
    </row>
    <row r="13533" spans="1:16">
      <c r="A13533" s="3">
        <v>44238.824444444443</v>
      </c>
      <c r="B13533" s="4" t="str">
        <f>HYPERLINK("https://twitter.com/petrogustavo","@petrogustavo")</f>
        <v>@petrogustavo</v>
      </c>
      <c r="C13533" s="5" t="s">
        <v>16</v>
      </c>
      <c r="D13533" s="5" t="s">
        <v>13022</v>
      </c>
      <c r="E13533" s="6" t="str">
        <f>HYPERLINK("https://twitter.com/petrogustavo/status/1359869094871396353","1359869094871396353")</f>
        <v>1359869094871396353</v>
      </c>
      <c r="F13533" s="7" t="s">
        <v>17</v>
      </c>
      <c r="G13533" s="7">
        <v>4061067</v>
      </c>
      <c r="H13533" s="7">
        <v>2489</v>
      </c>
      <c r="I13533" s="7">
        <v>26</v>
      </c>
      <c r="J13533" s="7">
        <v>79</v>
      </c>
      <c r="K13533" s="7" t="s">
        <v>18</v>
      </c>
      <c r="L13533" s="8">
        <v>39987.315405092595</v>
      </c>
      <c r="M13533" s="9" t="s">
        <v>19</v>
      </c>
      <c r="N13533" s="9" t="s">
        <v>20</v>
      </c>
      <c r="O13533" s="6" t="str">
        <f>HYPERLINK("https://pbs.twimg.com/profile_images/962471262747529216/Uo8lOkRJ_normal.jpg","View")</f>
        <v>View</v>
      </c>
      <c r="P13533" s="7"/>
    </row>
    <row r="13534" spans="1:16">
      <c r="A13534" s="3">
        <v>44238.827083333337</v>
      </c>
      <c r="B13534" s="4" t="str">
        <f>HYPERLINK("https://twitter.com/petrogustavo","@petrogustavo")</f>
        <v>@petrogustavo</v>
      </c>
      <c r="C13534" s="5" t="s">
        <v>16</v>
      </c>
      <c r="D13534" s="5" t="s">
        <v>13023</v>
      </c>
      <c r="E13534" s="6" t="str">
        <f>HYPERLINK("https://twitter.com/petrogustavo/status/1359870053294948354","1359870053294948354")</f>
        <v>1359870053294948354</v>
      </c>
      <c r="F13534" s="7" t="s">
        <v>17</v>
      </c>
      <c r="G13534" s="7">
        <v>4061082</v>
      </c>
      <c r="H13534" s="7">
        <v>2489</v>
      </c>
      <c r="I13534" s="7">
        <v>434</v>
      </c>
      <c r="J13534" s="7">
        <v>0</v>
      </c>
      <c r="K13534" s="7" t="s">
        <v>18</v>
      </c>
      <c r="L13534" s="8">
        <v>39987.315405092595</v>
      </c>
      <c r="M13534" s="9" t="s">
        <v>19</v>
      </c>
      <c r="N13534" s="9" t="s">
        <v>20</v>
      </c>
      <c r="O13534" s="6" t="str">
        <f>HYPERLINK("https://pbs.twimg.com/profile_images/962471262747529216/Uo8lOkRJ_normal.jpg","View")</f>
        <v>View</v>
      </c>
      <c r="P13534" s="7"/>
    </row>
    <row r="13535" spans="1:16">
      <c r="A13535" s="3">
        <v>44238.922974537039</v>
      </c>
      <c r="B13535" s="4" t="str">
        <f>HYPERLINK("https://twitter.com/petrogustavo","@petrogustavo")</f>
        <v>@petrogustavo</v>
      </c>
      <c r="C13535" s="5" t="s">
        <v>16</v>
      </c>
      <c r="D13535" s="5" t="s">
        <v>13024</v>
      </c>
      <c r="E13535" s="6" t="str">
        <f>HYPERLINK("https://twitter.com/petrogustavo/status/1359904802273185796","1359904802273185796")</f>
        <v>1359904802273185796</v>
      </c>
      <c r="F13535" s="7" t="s">
        <v>17</v>
      </c>
      <c r="G13535" s="7">
        <v>4061179</v>
      </c>
      <c r="H13535" s="7">
        <v>2490</v>
      </c>
      <c r="I13535" s="7">
        <v>41</v>
      </c>
      <c r="J13535" s="7">
        <v>0</v>
      </c>
      <c r="K13535" s="7" t="s">
        <v>18</v>
      </c>
      <c r="L13535" s="8">
        <v>39987.315405092595</v>
      </c>
      <c r="M13535" s="9" t="s">
        <v>19</v>
      </c>
      <c r="N13535" s="9" t="s">
        <v>20</v>
      </c>
      <c r="O13535" s="6" t="str">
        <f>HYPERLINK("https://pbs.twimg.com/profile_images/962471262747529216/Uo8lOkRJ_normal.jpg","View")</f>
        <v>View</v>
      </c>
      <c r="P13535" s="7"/>
    </row>
    <row r="13536" spans="1:16">
      <c r="A13536" s="3">
        <v>44238.925937499997</v>
      </c>
      <c r="B13536" s="4" t="str">
        <f>HYPERLINK("https://twitter.com/petrogustavo","@petrogustavo")</f>
        <v>@petrogustavo</v>
      </c>
      <c r="C13536" s="5" t="s">
        <v>16</v>
      </c>
      <c r="D13536" s="5" t="s">
        <v>13025</v>
      </c>
      <c r="E13536" s="6" t="str">
        <f>HYPERLINK("https://twitter.com/petrogustavo/status/1359905877285830668","1359905877285830668")</f>
        <v>1359905877285830668</v>
      </c>
      <c r="F13536" s="7" t="s">
        <v>17</v>
      </c>
      <c r="G13536" s="7">
        <v>4061179</v>
      </c>
      <c r="H13536" s="7">
        <v>2490</v>
      </c>
      <c r="I13536" s="7">
        <v>35</v>
      </c>
      <c r="J13536" s="7">
        <v>0</v>
      </c>
      <c r="K13536" s="7" t="s">
        <v>18</v>
      </c>
      <c r="L13536" s="8">
        <v>39987.315405092595</v>
      </c>
      <c r="M13536" s="9" t="s">
        <v>19</v>
      </c>
      <c r="N13536" s="9" t="s">
        <v>20</v>
      </c>
      <c r="O13536" s="6" t="str">
        <f>HYPERLINK("https://pbs.twimg.com/profile_images/962471262747529216/Uo8lOkRJ_normal.jpg","View")</f>
        <v>View</v>
      </c>
      <c r="P13536" s="7"/>
    </row>
    <row r="13537" spans="1:16">
      <c r="A13537" s="3">
        <v>44238.943657407406</v>
      </c>
      <c r="B13537" s="4" t="str">
        <f>HYPERLINK("https://twitter.com/petrogustavo","@petrogustavo")</f>
        <v>@petrogustavo</v>
      </c>
      <c r="C13537" s="5" t="s">
        <v>16</v>
      </c>
      <c r="D13537" s="5" t="s">
        <v>13026</v>
      </c>
      <c r="E13537" s="6" t="str">
        <f>HYPERLINK("https://twitter.com/petrogustavo/status/1359912297288912901","1359912297288912901")</f>
        <v>1359912297288912901</v>
      </c>
      <c r="F13537" s="7" t="s">
        <v>17</v>
      </c>
      <c r="G13537" s="7">
        <v>4061213</v>
      </c>
      <c r="H13537" s="7">
        <v>2490</v>
      </c>
      <c r="I13537" s="7">
        <v>54</v>
      </c>
      <c r="J13537" s="7">
        <v>0</v>
      </c>
      <c r="K13537" s="7" t="s">
        <v>18</v>
      </c>
      <c r="L13537" s="8">
        <v>39987.315405092595</v>
      </c>
      <c r="M13537" s="9" t="s">
        <v>19</v>
      </c>
      <c r="N13537" s="9" t="s">
        <v>20</v>
      </c>
      <c r="O13537" s="6" t="str">
        <f>HYPERLINK("https://pbs.twimg.com/profile_images/962471262747529216/Uo8lOkRJ_normal.jpg","View")</f>
        <v>View</v>
      </c>
      <c r="P13537" s="7"/>
    </row>
    <row r="13538" spans="1:16">
      <c r="A13538" s="3">
        <v>44238.945243055554</v>
      </c>
      <c r="B13538" s="4" t="str">
        <f>HYPERLINK("https://twitter.com/petrogustavo","@petrogustavo")</f>
        <v>@petrogustavo</v>
      </c>
      <c r="C13538" s="5" t="s">
        <v>16</v>
      </c>
      <c r="D13538" s="5" t="s">
        <v>13027</v>
      </c>
      <c r="E13538" s="6" t="str">
        <f>HYPERLINK("https://twitter.com/petrogustavo/status/1359912873598865410","1359912873598865410")</f>
        <v>1359912873598865410</v>
      </c>
      <c r="F13538" s="7" t="s">
        <v>17</v>
      </c>
      <c r="G13538" s="7">
        <v>4061213</v>
      </c>
      <c r="H13538" s="7">
        <v>2490</v>
      </c>
      <c r="I13538" s="7">
        <v>76</v>
      </c>
      <c r="J13538" s="7">
        <v>225</v>
      </c>
      <c r="K13538" s="7" t="s">
        <v>18</v>
      </c>
      <c r="L13538" s="8">
        <v>39987.315405092595</v>
      </c>
      <c r="M13538" s="9" t="s">
        <v>19</v>
      </c>
      <c r="N13538" s="9" t="s">
        <v>20</v>
      </c>
      <c r="O13538" s="6" t="str">
        <f>HYPERLINK("https://pbs.twimg.com/profile_images/962471262747529216/Uo8lOkRJ_normal.jpg","View")</f>
        <v>View</v>
      </c>
      <c r="P13538" s="7"/>
    </row>
    <row r="13539" spans="1:16">
      <c r="A13539" s="3">
        <v>44238.945393518516</v>
      </c>
      <c r="B13539" s="4" t="str">
        <f>HYPERLINK("https://twitter.com/petrogustavo","@petrogustavo")</f>
        <v>@petrogustavo</v>
      </c>
      <c r="C13539" s="5" t="s">
        <v>16</v>
      </c>
      <c r="D13539" s="5" t="s">
        <v>13028</v>
      </c>
      <c r="E13539" s="6" t="str">
        <f>HYPERLINK("https://twitter.com/petrogustavo/status/1359912925423677442","1359912925423677442")</f>
        <v>1359912925423677442</v>
      </c>
      <c r="F13539" s="7" t="s">
        <v>17</v>
      </c>
      <c r="G13539" s="7">
        <v>4061213</v>
      </c>
      <c r="H13539" s="7">
        <v>2490</v>
      </c>
      <c r="I13539" s="7">
        <v>24</v>
      </c>
      <c r="J13539" s="7">
        <v>0</v>
      </c>
      <c r="K13539" s="7" t="s">
        <v>18</v>
      </c>
      <c r="L13539" s="8">
        <v>39987.315405092595</v>
      </c>
      <c r="M13539" s="9" t="s">
        <v>19</v>
      </c>
      <c r="N13539" s="9" t="s">
        <v>20</v>
      </c>
      <c r="O13539" s="6" t="str">
        <f>HYPERLINK("https://pbs.twimg.com/profile_images/962471262747529216/Uo8lOkRJ_normal.jpg","View")</f>
        <v>View</v>
      </c>
      <c r="P13539" s="7"/>
    </row>
    <row r="13540" spans="1:16">
      <c r="A13540" s="3">
        <v>44238.967187499999</v>
      </c>
      <c r="B13540" s="4" t="str">
        <f>HYPERLINK("https://twitter.com/petrogustavo","@petrogustavo")</f>
        <v>@petrogustavo</v>
      </c>
      <c r="C13540" s="5" t="s">
        <v>16</v>
      </c>
      <c r="D13540" s="5" t="s">
        <v>13029</v>
      </c>
      <c r="E13540" s="6" t="str">
        <f>HYPERLINK("https://twitter.com/petrogustavo/status/1359920825684676615","1359920825684676615")</f>
        <v>1359920825684676615</v>
      </c>
      <c r="F13540" s="7" t="s">
        <v>17</v>
      </c>
      <c r="G13540" s="7">
        <v>4061237</v>
      </c>
      <c r="H13540" s="7">
        <v>2490</v>
      </c>
      <c r="I13540" s="7">
        <v>36</v>
      </c>
      <c r="J13540" s="7">
        <v>0</v>
      </c>
      <c r="K13540" s="7" t="s">
        <v>18</v>
      </c>
      <c r="L13540" s="8">
        <v>39987.315405092595</v>
      </c>
      <c r="M13540" s="9" t="s">
        <v>19</v>
      </c>
      <c r="N13540" s="9" t="s">
        <v>20</v>
      </c>
      <c r="O13540" s="6" t="str">
        <f>HYPERLINK("https://pbs.twimg.com/profile_images/962471262747529216/Uo8lOkRJ_normal.jpg","View")</f>
        <v>View</v>
      </c>
      <c r="P13540" s="7"/>
    </row>
    <row r="13541" spans="1:16">
      <c r="A13541" s="3">
        <v>44238.982222222221</v>
      </c>
      <c r="B13541" s="4" t="str">
        <f>HYPERLINK("https://twitter.com/petrogustavo","@petrogustavo")</f>
        <v>@petrogustavo</v>
      </c>
      <c r="C13541" s="5" t="s">
        <v>16</v>
      </c>
      <c r="D13541" s="5" t="s">
        <v>13030</v>
      </c>
      <c r="E13541" s="6" t="str">
        <f>HYPERLINK("https://twitter.com/petrogustavo/status/1359926271933878274","1359926271933878274")</f>
        <v>1359926271933878274</v>
      </c>
      <c r="F13541" s="7" t="s">
        <v>17</v>
      </c>
      <c r="G13541" s="7">
        <v>4061244</v>
      </c>
      <c r="H13541" s="7">
        <v>2490</v>
      </c>
      <c r="I13541" s="7">
        <v>160</v>
      </c>
      <c r="J13541" s="7">
        <v>423</v>
      </c>
      <c r="K13541" s="7" t="s">
        <v>18</v>
      </c>
      <c r="L13541" s="8">
        <v>39987.315405092595</v>
      </c>
      <c r="M13541" s="9" t="s">
        <v>19</v>
      </c>
      <c r="N13541" s="9" t="s">
        <v>20</v>
      </c>
      <c r="O13541" s="6" t="str">
        <f>HYPERLINK("https://pbs.twimg.com/profile_images/962471262747529216/Uo8lOkRJ_normal.jpg","View")</f>
        <v>View</v>
      </c>
      <c r="P13541" s="7"/>
    </row>
    <row r="13542" spans="1:16">
      <c r="A13542" s="3">
        <v>44238.982222222221</v>
      </c>
      <c r="B13542" s="4" t="str">
        <f>HYPERLINK("https://twitter.com/petrogustavo","@petrogustavo")</f>
        <v>@petrogustavo</v>
      </c>
      <c r="C13542" s="5" t="s">
        <v>16</v>
      </c>
      <c r="D13542" s="5" t="s">
        <v>13031</v>
      </c>
      <c r="E13542" s="6" t="str">
        <f>HYPERLINK("https://twitter.com/petrogustavo/status/1359926273401909248","1359926273401909248")</f>
        <v>1359926273401909248</v>
      </c>
      <c r="F13542" s="7" t="s">
        <v>17</v>
      </c>
      <c r="G13542" s="7">
        <v>4061244</v>
      </c>
      <c r="H13542" s="7">
        <v>2490</v>
      </c>
      <c r="I13542" s="7">
        <v>81</v>
      </c>
      <c r="J13542" s="7">
        <v>263</v>
      </c>
      <c r="K13542" s="7" t="s">
        <v>18</v>
      </c>
      <c r="L13542" s="8">
        <v>39987.315405092595</v>
      </c>
      <c r="M13542" s="9" t="s">
        <v>19</v>
      </c>
      <c r="N13542" s="9" t="s">
        <v>20</v>
      </c>
      <c r="O13542" s="6" t="str">
        <f>HYPERLINK("https://pbs.twimg.com/profile_images/962471262747529216/Uo8lOkRJ_normal.jpg","View")</f>
        <v>View</v>
      </c>
      <c r="P13542" s="7"/>
    </row>
    <row r="13543" spans="1:16">
      <c r="A13543" s="3">
        <v>44239.666331018518</v>
      </c>
      <c r="B13543" s="4" t="str">
        <f>HYPERLINK("https://twitter.com/petrogustavo","@petrogustavo")</f>
        <v>@petrogustavo</v>
      </c>
      <c r="C13543" s="5" t="s">
        <v>16</v>
      </c>
      <c r="D13543" s="5" t="s">
        <v>13032</v>
      </c>
      <c r="E13543" s="6" t="str">
        <f>HYPERLINK("https://twitter.com/petrogustavo/status/1360174186296131587","1360174186296131587")</f>
        <v>1360174186296131587</v>
      </c>
      <c r="F13543" s="7" t="s">
        <v>17</v>
      </c>
      <c r="G13543" s="7">
        <v>4061694</v>
      </c>
      <c r="H13543" s="7">
        <v>2490</v>
      </c>
      <c r="I13543" s="7">
        <v>100</v>
      </c>
      <c r="J13543" s="7">
        <v>432</v>
      </c>
      <c r="K13543" s="7" t="s">
        <v>18</v>
      </c>
      <c r="L13543" s="8">
        <v>39987.315405092595</v>
      </c>
      <c r="M13543" s="9" t="s">
        <v>19</v>
      </c>
      <c r="N13543" s="9" t="s">
        <v>20</v>
      </c>
      <c r="O13543" s="6" t="str">
        <f>HYPERLINK("https://pbs.twimg.com/profile_images/962471262747529216/Uo8lOkRJ_normal.jpg","View")</f>
        <v>View</v>
      </c>
      <c r="P13543" s="7"/>
    </row>
    <row r="13544" spans="1:16">
      <c r="A13544" s="3">
        <v>44239.698969907404</v>
      </c>
      <c r="B13544" s="4" t="str">
        <f>HYPERLINK("https://twitter.com/petrogustavo","@petrogustavo")</f>
        <v>@petrogustavo</v>
      </c>
      <c r="C13544" s="5" t="s">
        <v>16</v>
      </c>
      <c r="D13544" s="5" t="s">
        <v>13033</v>
      </c>
      <c r="E13544" s="6" t="str">
        <f>HYPERLINK("https://twitter.com/petrogustavo/status/1360186013033897985","1360186013033897985")</f>
        <v>1360186013033897985</v>
      </c>
      <c r="F13544" s="7" t="s">
        <v>17</v>
      </c>
      <c r="G13544" s="7">
        <v>4061713</v>
      </c>
      <c r="H13544" s="7">
        <v>2490</v>
      </c>
      <c r="I13544" s="7">
        <v>6</v>
      </c>
      <c r="J13544" s="7">
        <v>20</v>
      </c>
      <c r="K13544" s="7" t="s">
        <v>18</v>
      </c>
      <c r="L13544" s="8">
        <v>39987.315405092595</v>
      </c>
      <c r="M13544" s="9" t="s">
        <v>19</v>
      </c>
      <c r="N13544" s="9" t="s">
        <v>20</v>
      </c>
      <c r="O13544" s="6" t="str">
        <f>HYPERLINK("https://pbs.twimg.com/profile_images/962471262747529216/Uo8lOkRJ_normal.jpg","View")</f>
        <v>View</v>
      </c>
      <c r="P13544" s="7"/>
    </row>
    <row r="13545" spans="1:16">
      <c r="A13545" s="3">
        <v>44239.704571759255</v>
      </c>
      <c r="B13545" s="4" t="str">
        <f>HYPERLINK("https://twitter.com/petrogustavo","@petrogustavo")</f>
        <v>@petrogustavo</v>
      </c>
      <c r="C13545" s="5" t="s">
        <v>16</v>
      </c>
      <c r="D13545" s="5" t="s">
        <v>13034</v>
      </c>
      <c r="E13545" s="6" t="str">
        <f>HYPERLINK("https://twitter.com/petrogustavo/status/1360188045203546112","1360188045203546112")</f>
        <v>1360188045203546112</v>
      </c>
      <c r="F13545" s="7" t="s">
        <v>17</v>
      </c>
      <c r="G13545" s="7">
        <v>4061727</v>
      </c>
      <c r="H13545" s="7">
        <v>2491</v>
      </c>
      <c r="I13545" s="7">
        <v>806</v>
      </c>
      <c r="J13545" s="7">
        <v>0</v>
      </c>
      <c r="K13545" s="7" t="s">
        <v>18</v>
      </c>
      <c r="L13545" s="8">
        <v>39987.315405092595</v>
      </c>
      <c r="M13545" s="9" t="s">
        <v>19</v>
      </c>
      <c r="N13545" s="9" t="s">
        <v>20</v>
      </c>
      <c r="O13545" s="6" t="str">
        <f>HYPERLINK("https://pbs.twimg.com/profile_images/962471262747529216/Uo8lOkRJ_normal.jpg","View")</f>
        <v>View</v>
      </c>
      <c r="P13545" s="7"/>
    </row>
    <row r="13546" spans="1:16">
      <c r="A13546" s="3">
        <v>44239.704618055555</v>
      </c>
      <c r="B13546" s="4" t="str">
        <f>HYPERLINK("https://twitter.com/petrogustavo","@petrogustavo")</f>
        <v>@petrogustavo</v>
      </c>
      <c r="C13546" s="5" t="s">
        <v>16</v>
      </c>
      <c r="D13546" s="5" t="s">
        <v>13035</v>
      </c>
      <c r="E13546" s="6" t="str">
        <f>HYPERLINK("https://twitter.com/petrogustavo/status/1360188063004184578","1360188063004184578")</f>
        <v>1360188063004184578</v>
      </c>
      <c r="F13546" s="7" t="s">
        <v>17</v>
      </c>
      <c r="G13546" s="7">
        <v>4061727</v>
      </c>
      <c r="H13546" s="7">
        <v>2491</v>
      </c>
      <c r="I13546" s="7">
        <v>1559</v>
      </c>
      <c r="J13546" s="7">
        <v>0</v>
      </c>
      <c r="K13546" s="7" t="s">
        <v>18</v>
      </c>
      <c r="L13546" s="8">
        <v>39987.315405092595</v>
      </c>
      <c r="M13546" s="9" t="s">
        <v>19</v>
      </c>
      <c r="N13546" s="9" t="s">
        <v>20</v>
      </c>
      <c r="O13546" s="6" t="str">
        <f>HYPERLINK("https://pbs.twimg.com/profile_images/962471262747529216/Uo8lOkRJ_normal.jpg","View")</f>
        <v>View</v>
      </c>
      <c r="P13546" s="7"/>
    </row>
    <row r="13547" spans="1:16">
      <c r="A13547" s="3">
        <v>44239.704745370371</v>
      </c>
      <c r="B13547" s="4" t="str">
        <f>HYPERLINK("https://twitter.com/petrogustavo","@petrogustavo")</f>
        <v>@petrogustavo</v>
      </c>
      <c r="C13547" s="5" t="s">
        <v>16</v>
      </c>
      <c r="D13547" s="5" t="s">
        <v>13036</v>
      </c>
      <c r="E13547" s="6" t="str">
        <f>HYPERLINK("https://twitter.com/petrogustavo/status/1360188105932832775","1360188105932832775")</f>
        <v>1360188105932832775</v>
      </c>
      <c r="F13547" s="7" t="s">
        <v>17</v>
      </c>
      <c r="G13547" s="7">
        <v>4061727</v>
      </c>
      <c r="H13547" s="7">
        <v>2491</v>
      </c>
      <c r="I13547" s="7">
        <v>35</v>
      </c>
      <c r="J13547" s="7">
        <v>0</v>
      </c>
      <c r="K13547" s="7" t="s">
        <v>18</v>
      </c>
      <c r="L13547" s="8">
        <v>39987.315405092595</v>
      </c>
      <c r="M13547" s="9" t="s">
        <v>19</v>
      </c>
      <c r="N13547" s="9" t="s">
        <v>20</v>
      </c>
      <c r="O13547" s="6" t="str">
        <f>HYPERLINK("https://pbs.twimg.com/profile_images/962471262747529216/Uo8lOkRJ_normal.jpg","View")</f>
        <v>View</v>
      </c>
      <c r="P13547" s="7"/>
    </row>
    <row r="13548" spans="1:16">
      <c r="A13548" s="3">
        <v>44239.707430555558</v>
      </c>
      <c r="B13548" s="4" t="str">
        <f>HYPERLINK("https://twitter.com/petrogustavo","@petrogustavo")</f>
        <v>@petrogustavo</v>
      </c>
      <c r="C13548" s="5" t="s">
        <v>16</v>
      </c>
      <c r="D13548" s="5" t="s">
        <v>13037</v>
      </c>
      <c r="E13548" s="6" t="str">
        <f>HYPERLINK("https://twitter.com/petrogustavo/status/1360189081473449987","1360189081473449987")</f>
        <v>1360189081473449987</v>
      </c>
      <c r="F13548" s="7" t="s">
        <v>17</v>
      </c>
      <c r="G13548" s="7">
        <v>4061727</v>
      </c>
      <c r="H13548" s="7">
        <v>2491</v>
      </c>
      <c r="I13548" s="7">
        <v>104</v>
      </c>
      <c r="J13548" s="7">
        <v>366</v>
      </c>
      <c r="K13548" s="7" t="s">
        <v>18</v>
      </c>
      <c r="L13548" s="8">
        <v>39987.315405092595</v>
      </c>
      <c r="M13548" s="9" t="s">
        <v>19</v>
      </c>
      <c r="N13548" s="9" t="s">
        <v>20</v>
      </c>
      <c r="O13548" s="6" t="str">
        <f>HYPERLINK("https://pbs.twimg.com/profile_images/962471262747529216/Uo8lOkRJ_normal.jpg","View")</f>
        <v>View</v>
      </c>
      <c r="P13548" s="7"/>
    </row>
    <row r="13549" spans="1:16">
      <c r="A13549" s="3">
        <v>44239.752060185187</v>
      </c>
      <c r="B13549" s="4" t="str">
        <f>HYPERLINK("https://twitter.com/petrogustavo","@petrogustavo")</f>
        <v>@petrogustavo</v>
      </c>
      <c r="C13549" s="5" t="s">
        <v>16</v>
      </c>
      <c r="D13549" s="5" t="s">
        <v>13038</v>
      </c>
      <c r="E13549" s="6" t="str">
        <f>HYPERLINK("https://twitter.com/petrogustavo/status/1360205254860636162","1360205254860636162")</f>
        <v>1360205254860636162</v>
      </c>
      <c r="F13549" s="7" t="s">
        <v>17</v>
      </c>
      <c r="G13549" s="7">
        <v>4061766</v>
      </c>
      <c r="H13549" s="7">
        <v>2491</v>
      </c>
      <c r="I13549" s="7">
        <v>1995</v>
      </c>
      <c r="J13549" s="7">
        <v>0</v>
      </c>
      <c r="K13549" s="7" t="s">
        <v>18</v>
      </c>
      <c r="L13549" s="8">
        <v>39987.315405092595</v>
      </c>
      <c r="M13549" s="9" t="s">
        <v>19</v>
      </c>
      <c r="N13549" s="9" t="s">
        <v>20</v>
      </c>
      <c r="O13549" s="6" t="str">
        <f>HYPERLINK("https://pbs.twimg.com/profile_images/962471262747529216/Uo8lOkRJ_normal.jpg","View")</f>
        <v>View</v>
      </c>
      <c r="P13549" s="7"/>
    </row>
    <row r="13550" spans="1:16">
      <c r="A13550" s="3">
        <v>44239.812303240746</v>
      </c>
      <c r="B13550" s="4" t="str">
        <f>HYPERLINK("https://twitter.com/petrogustavo","@petrogustavo")</f>
        <v>@petrogustavo</v>
      </c>
      <c r="C13550" s="5" t="s">
        <v>16</v>
      </c>
      <c r="D13550" s="5" t="s">
        <v>13039</v>
      </c>
      <c r="E13550" s="6" t="str">
        <f>HYPERLINK("https://twitter.com/petrogustavo/status/1360227085554434049","1360227085554434049")</f>
        <v>1360227085554434049</v>
      </c>
      <c r="F13550" s="7" t="s">
        <v>17</v>
      </c>
      <c r="G13550" s="7">
        <v>4061831</v>
      </c>
      <c r="H13550" s="7">
        <v>2491</v>
      </c>
      <c r="I13550" s="7">
        <v>354</v>
      </c>
      <c r="J13550" s="7">
        <v>0</v>
      </c>
      <c r="K13550" s="7" t="s">
        <v>18</v>
      </c>
      <c r="L13550" s="8">
        <v>39987.315405092595</v>
      </c>
      <c r="M13550" s="9" t="s">
        <v>19</v>
      </c>
      <c r="N13550" s="9" t="s">
        <v>20</v>
      </c>
      <c r="O13550" s="6" t="str">
        <f>HYPERLINK("https://pbs.twimg.com/profile_images/962471262747529216/Uo8lOkRJ_normal.jpg","View")</f>
        <v>View</v>
      </c>
      <c r="P13550" s="7"/>
    </row>
    <row r="13551" spans="1:16">
      <c r="A13551" s="3">
        <v>44239.814733796295</v>
      </c>
      <c r="B13551" s="4" t="str">
        <f>HYPERLINK("https://twitter.com/petrogustavo","@petrogustavo")</f>
        <v>@petrogustavo</v>
      </c>
      <c r="C13551" s="5" t="s">
        <v>16</v>
      </c>
      <c r="D13551" s="5" t="s">
        <v>13040</v>
      </c>
      <c r="E13551" s="6" t="str">
        <f>HYPERLINK("https://twitter.com/petrogustavo/status/1360227967318827008","1360227967318827008")</f>
        <v>1360227967318827008</v>
      </c>
      <c r="F13551" s="7" t="s">
        <v>17</v>
      </c>
      <c r="G13551" s="7">
        <v>4061831</v>
      </c>
      <c r="H13551" s="7">
        <v>2491</v>
      </c>
      <c r="I13551" s="7">
        <v>285</v>
      </c>
      <c r="J13551" s="7">
        <v>741</v>
      </c>
      <c r="K13551" s="7" t="s">
        <v>18</v>
      </c>
      <c r="L13551" s="8">
        <v>39987.315405092595</v>
      </c>
      <c r="M13551" s="9" t="s">
        <v>19</v>
      </c>
      <c r="N13551" s="9" t="s">
        <v>20</v>
      </c>
      <c r="O13551" s="6" t="str">
        <f>HYPERLINK("https://pbs.twimg.com/profile_images/962471262747529216/Uo8lOkRJ_normal.jpg","View")</f>
        <v>View</v>
      </c>
      <c r="P13551" s="7"/>
    </row>
    <row r="13552" spans="1:16">
      <c r="A13552" s="3">
        <v>44239.921006944445</v>
      </c>
      <c r="B13552" s="4" t="str">
        <f>HYPERLINK("https://twitter.com/petrogustavo","@petrogustavo")</f>
        <v>@petrogustavo</v>
      </c>
      <c r="C13552" s="5" t="s">
        <v>16</v>
      </c>
      <c r="D13552" s="5" t="s">
        <v>13038</v>
      </c>
      <c r="E13552" s="6" t="str">
        <f>HYPERLINK("https://twitter.com/petrogustavo/status/1360266475924258819","1360266475924258819")</f>
        <v>1360266475924258819</v>
      </c>
      <c r="F13552" s="7" t="s">
        <v>17</v>
      </c>
      <c r="G13552" s="7">
        <v>4061946</v>
      </c>
      <c r="H13552" s="7">
        <v>2491</v>
      </c>
      <c r="I13552" s="7">
        <v>2172</v>
      </c>
      <c r="J13552" s="7">
        <v>0</v>
      </c>
      <c r="K13552" s="7" t="s">
        <v>18</v>
      </c>
      <c r="L13552" s="8">
        <v>39987.315405092595</v>
      </c>
      <c r="M13552" s="9" t="s">
        <v>19</v>
      </c>
      <c r="N13552" s="9" t="s">
        <v>20</v>
      </c>
      <c r="O13552" s="6" t="str">
        <f>HYPERLINK("https://pbs.twimg.com/profile_images/962471262747529216/Uo8lOkRJ_normal.jpg","View")</f>
        <v>View</v>
      </c>
      <c r="P13552" s="7"/>
    </row>
    <row r="13553" spans="1:16">
      <c r="A13553" s="3">
        <v>44240.051678240736</v>
      </c>
      <c r="B13553" s="4" t="str">
        <f>HYPERLINK("https://twitter.com/petrogustavo","@petrogustavo")</f>
        <v>@petrogustavo</v>
      </c>
      <c r="C13553" s="5" t="s">
        <v>16</v>
      </c>
      <c r="D13553" s="5" t="s">
        <v>13041</v>
      </c>
      <c r="E13553" s="6" t="str">
        <f>HYPERLINK("https://twitter.com/petrogustavo/status/1360313832506327044","1360313832506327044")</f>
        <v>1360313832506327044</v>
      </c>
      <c r="F13553" s="7" t="s">
        <v>17</v>
      </c>
      <c r="G13553" s="7">
        <v>4062086</v>
      </c>
      <c r="H13553" s="7">
        <v>2491</v>
      </c>
      <c r="I13553" s="7">
        <v>22</v>
      </c>
      <c r="J13553" s="7">
        <v>0</v>
      </c>
      <c r="K13553" s="7" t="s">
        <v>18</v>
      </c>
      <c r="L13553" s="8">
        <v>39987.315405092595</v>
      </c>
      <c r="M13553" s="9" t="s">
        <v>19</v>
      </c>
      <c r="N13553" s="9" t="s">
        <v>20</v>
      </c>
      <c r="O13553" s="6" t="str">
        <f>HYPERLINK("https://pbs.twimg.com/profile_images/962471262747529216/Uo8lOkRJ_normal.jpg","View")</f>
        <v>View</v>
      </c>
      <c r="P13553" s="7"/>
    </row>
    <row r="13554" spans="1:16">
      <c r="A13554" s="3">
        <v>44240.053136574075</v>
      </c>
      <c r="B13554" s="4" t="str">
        <f>HYPERLINK("https://twitter.com/petrogustavo","@petrogustavo")</f>
        <v>@petrogustavo</v>
      </c>
      <c r="C13554" s="5" t="s">
        <v>16</v>
      </c>
      <c r="D13554" s="5" t="s">
        <v>13042</v>
      </c>
      <c r="E13554" s="6" t="str">
        <f>HYPERLINK("https://twitter.com/petrogustavo/status/1360314361642962946","1360314361642962946")</f>
        <v>1360314361642962946</v>
      </c>
      <c r="F13554" s="7" t="s">
        <v>17</v>
      </c>
      <c r="G13554" s="7">
        <v>4062086</v>
      </c>
      <c r="H13554" s="7">
        <v>2491</v>
      </c>
      <c r="I13554" s="7">
        <v>485</v>
      </c>
      <c r="J13554" s="7">
        <v>0</v>
      </c>
      <c r="K13554" s="7" t="s">
        <v>18</v>
      </c>
      <c r="L13554" s="8">
        <v>39987.315405092595</v>
      </c>
      <c r="M13554" s="9" t="s">
        <v>19</v>
      </c>
      <c r="N13554" s="9" t="s">
        <v>20</v>
      </c>
      <c r="O13554" s="6" t="str">
        <f>HYPERLINK("https://pbs.twimg.com/profile_images/962471262747529216/Uo8lOkRJ_normal.jpg","View")</f>
        <v>View</v>
      </c>
      <c r="P13554" s="7"/>
    </row>
    <row r="13555" spans="1:16">
      <c r="A13555" s="3">
        <v>44240.054548611108</v>
      </c>
      <c r="B13555" s="4" t="str">
        <f>HYPERLINK("https://twitter.com/petrogustavo","@petrogustavo")</f>
        <v>@petrogustavo</v>
      </c>
      <c r="C13555" s="5" t="s">
        <v>16</v>
      </c>
      <c r="D13555" s="5" t="s">
        <v>13043</v>
      </c>
      <c r="E13555" s="6" t="str">
        <f>HYPERLINK("https://twitter.com/petrogustavo/status/1360314872093900803","1360314872093900803")</f>
        <v>1360314872093900803</v>
      </c>
      <c r="F13555" s="7" t="s">
        <v>17</v>
      </c>
      <c r="G13555" s="7">
        <v>4062110</v>
      </c>
      <c r="H13555" s="7">
        <v>2491</v>
      </c>
      <c r="I13555" s="7">
        <v>333</v>
      </c>
      <c r="J13555" s="7">
        <v>1153</v>
      </c>
      <c r="K13555" s="7" t="s">
        <v>18</v>
      </c>
      <c r="L13555" s="8">
        <v>39987.315405092595</v>
      </c>
      <c r="M13555" s="9" t="s">
        <v>19</v>
      </c>
      <c r="N13555" s="9" t="s">
        <v>20</v>
      </c>
      <c r="O13555" s="6" t="str">
        <f>HYPERLINK("https://pbs.twimg.com/profile_images/962471262747529216/Uo8lOkRJ_normal.jpg","View")</f>
        <v>View</v>
      </c>
      <c r="P13555" s="7"/>
    </row>
    <row r="13556" spans="1:16">
      <c r="A13556" s="3">
        <v>44240.079976851848</v>
      </c>
      <c r="B13556" s="4" t="str">
        <f>HYPERLINK("https://twitter.com/petrogustavo","@petrogustavo")</f>
        <v>@petrogustavo</v>
      </c>
      <c r="C13556" s="5" t="s">
        <v>16</v>
      </c>
      <c r="D13556" s="5" t="s">
        <v>13044</v>
      </c>
      <c r="E13556" s="6" t="str">
        <f>HYPERLINK("https://twitter.com/petrogustavo/status/1360324087936081921","1360324087936081921")</f>
        <v>1360324087936081921</v>
      </c>
      <c r="F13556" s="7" t="s">
        <v>17</v>
      </c>
      <c r="G13556" s="7">
        <v>4062130</v>
      </c>
      <c r="H13556" s="7">
        <v>2491</v>
      </c>
      <c r="I13556" s="7">
        <v>223</v>
      </c>
      <c r="J13556" s="7">
        <v>1133</v>
      </c>
      <c r="K13556" s="7" t="s">
        <v>18</v>
      </c>
      <c r="L13556" s="8">
        <v>39987.315405092595</v>
      </c>
      <c r="M13556" s="9" t="s">
        <v>19</v>
      </c>
      <c r="N13556" s="9" t="s">
        <v>20</v>
      </c>
      <c r="O13556" s="6" t="str">
        <f>HYPERLINK("https://pbs.twimg.com/profile_images/962471262747529216/Uo8lOkRJ_normal.jpg","View")</f>
        <v>View</v>
      </c>
      <c r="P13556" s="7"/>
    </row>
    <row r="13557" spans="1:16">
      <c r="A13557" s="3">
        <v>44240.084444444445</v>
      </c>
      <c r="B13557" s="4" t="str">
        <f>HYPERLINK("https://twitter.com/petrogustavo","@petrogustavo")</f>
        <v>@petrogustavo</v>
      </c>
      <c r="C13557" s="5" t="s">
        <v>16</v>
      </c>
      <c r="D13557" s="5" t="s">
        <v>13045</v>
      </c>
      <c r="E13557" s="6" t="str">
        <f>HYPERLINK("https://twitter.com/petrogustavo/status/1360325703800000512","1360325703800000512")</f>
        <v>1360325703800000512</v>
      </c>
      <c r="F13557" s="7" t="s">
        <v>17</v>
      </c>
      <c r="G13557" s="7">
        <v>4062130</v>
      </c>
      <c r="H13557" s="7">
        <v>2491</v>
      </c>
      <c r="I13557" s="7">
        <v>159</v>
      </c>
      <c r="J13557" s="7">
        <v>0</v>
      </c>
      <c r="K13557" s="7" t="s">
        <v>18</v>
      </c>
      <c r="L13557" s="8">
        <v>39987.315405092595</v>
      </c>
      <c r="M13557" s="9" t="s">
        <v>19</v>
      </c>
      <c r="N13557" s="9" t="s">
        <v>20</v>
      </c>
      <c r="O13557" s="6" t="str">
        <f>HYPERLINK("https://pbs.twimg.com/profile_images/962471262747529216/Uo8lOkRJ_normal.jpg","View")</f>
        <v>View</v>
      </c>
      <c r="P13557" s="7"/>
    </row>
    <row r="13558" spans="1:16">
      <c r="A13558" s="3">
        <v>44240.089618055557</v>
      </c>
      <c r="B13558" s="4" t="str">
        <f>HYPERLINK("https://twitter.com/petrogustavo","@petrogustavo")</f>
        <v>@petrogustavo</v>
      </c>
      <c r="C13558" s="5" t="s">
        <v>16</v>
      </c>
      <c r="D13558" s="5" t="s">
        <v>13046</v>
      </c>
      <c r="E13558" s="6" t="str">
        <f>HYPERLINK("https://twitter.com/petrogustavo/status/1360327582483382285","1360327582483382285")</f>
        <v>1360327582483382285</v>
      </c>
      <c r="F13558" s="7" t="s">
        <v>17</v>
      </c>
      <c r="G13558" s="7">
        <v>4062130</v>
      </c>
      <c r="H13558" s="7">
        <v>2491</v>
      </c>
      <c r="I13558" s="7">
        <v>223</v>
      </c>
      <c r="J13558" s="7">
        <v>0</v>
      </c>
      <c r="K13558" s="7" t="s">
        <v>18</v>
      </c>
      <c r="L13558" s="8">
        <v>39987.315405092595</v>
      </c>
      <c r="M13558" s="9" t="s">
        <v>19</v>
      </c>
      <c r="N13558" s="9" t="s">
        <v>20</v>
      </c>
      <c r="O13558" s="6" t="str">
        <f>HYPERLINK("https://pbs.twimg.com/profile_images/962471262747529216/Uo8lOkRJ_normal.jpg","View")</f>
        <v>View</v>
      </c>
      <c r="P13558" s="7"/>
    </row>
    <row r="13559" spans="1:16">
      <c r="A13559" s="3">
        <v>44240.101909722223</v>
      </c>
      <c r="B13559" s="4" t="str">
        <f>HYPERLINK("https://twitter.com/petrogustavo","@petrogustavo")</f>
        <v>@petrogustavo</v>
      </c>
      <c r="C13559" s="5" t="s">
        <v>16</v>
      </c>
      <c r="D13559" s="5" t="s">
        <v>13047</v>
      </c>
      <c r="E13559" s="6" t="str">
        <f>HYPERLINK("https://twitter.com/petrogustavo/status/1360332034347053064","1360332034347053064")</f>
        <v>1360332034347053064</v>
      </c>
      <c r="F13559" s="7" t="s">
        <v>17</v>
      </c>
      <c r="G13559" s="7">
        <v>4062147</v>
      </c>
      <c r="H13559" s="7">
        <v>2491</v>
      </c>
      <c r="I13559" s="7">
        <v>63</v>
      </c>
      <c r="J13559" s="7">
        <v>228</v>
      </c>
      <c r="K13559" s="7" t="s">
        <v>18</v>
      </c>
      <c r="L13559" s="8">
        <v>39987.315405092595</v>
      </c>
      <c r="M13559" s="9" t="s">
        <v>19</v>
      </c>
      <c r="N13559" s="9" t="s">
        <v>20</v>
      </c>
      <c r="O13559" s="6" t="str">
        <f>HYPERLINK("https://pbs.twimg.com/profile_images/962471262747529216/Uo8lOkRJ_normal.jpg","View")</f>
        <v>View</v>
      </c>
      <c r="P13559" s="7"/>
    </row>
    <row r="13560" spans="1:16">
      <c r="A13560" s="3">
        <v>44241.687048611115</v>
      </c>
      <c r="B13560" s="4" t="str">
        <f>HYPERLINK("https://twitter.com/petrogustavo","@petrogustavo")</f>
        <v>@petrogustavo</v>
      </c>
      <c r="C13560" s="5" t="s">
        <v>16</v>
      </c>
      <c r="D13560" s="5" t="s">
        <v>13048</v>
      </c>
      <c r="E13560" s="6" t="str">
        <f>HYPERLINK("https://twitter.com/petrogustavo/status/1360906468996894720","1360906468996894720")</f>
        <v>1360906468996894720</v>
      </c>
      <c r="F13560" s="7" t="s">
        <v>17</v>
      </c>
      <c r="G13560" s="7">
        <v>4063056</v>
      </c>
      <c r="H13560" s="7">
        <v>2491</v>
      </c>
      <c r="I13560" s="7">
        <v>97</v>
      </c>
      <c r="J13560" s="7">
        <v>195</v>
      </c>
      <c r="K13560" s="7" t="s">
        <v>18</v>
      </c>
      <c r="L13560" s="8">
        <v>39987.315405092595</v>
      </c>
      <c r="M13560" s="9" t="s">
        <v>19</v>
      </c>
      <c r="N13560" s="9" t="s">
        <v>20</v>
      </c>
      <c r="O13560" s="6" t="str">
        <f>HYPERLINK("https://pbs.twimg.com/profile_images/962471262747529216/Uo8lOkRJ_normal.jpg","View")</f>
        <v>View</v>
      </c>
      <c r="P13560" s="7"/>
    </row>
    <row r="13561" spans="1:16">
      <c r="A13561" s="3">
        <v>44241.687048611115</v>
      </c>
      <c r="B13561" s="4" t="str">
        <f>HYPERLINK("https://twitter.com/petrogustavo","@petrogustavo")</f>
        <v>@petrogustavo</v>
      </c>
      <c r="C13561" s="5" t="s">
        <v>16</v>
      </c>
      <c r="D13561" s="5" t="s">
        <v>13049</v>
      </c>
      <c r="E13561" s="6" t="str">
        <f>HYPERLINK("https://twitter.com/petrogustavo/status/1360906470724952069","1360906470724952069")</f>
        <v>1360906470724952069</v>
      </c>
      <c r="F13561" s="7" t="s">
        <v>17</v>
      </c>
      <c r="G13561" s="7">
        <v>4063056</v>
      </c>
      <c r="H13561" s="7">
        <v>2491</v>
      </c>
      <c r="I13561" s="7">
        <v>98</v>
      </c>
      <c r="J13561" s="7">
        <v>212</v>
      </c>
      <c r="K13561" s="7" t="s">
        <v>18</v>
      </c>
      <c r="L13561" s="8">
        <v>39987.315405092595</v>
      </c>
      <c r="M13561" s="9" t="s">
        <v>19</v>
      </c>
      <c r="N13561" s="9" t="s">
        <v>20</v>
      </c>
      <c r="O13561" s="6" t="str">
        <f>HYPERLINK("https://pbs.twimg.com/profile_images/962471262747529216/Uo8lOkRJ_normal.jpg","View")</f>
        <v>View</v>
      </c>
      <c r="P13561" s="7"/>
    </row>
    <row r="13562" spans="1:16">
      <c r="A13562" s="3">
        <v>44241.692708333328</v>
      </c>
      <c r="B13562" s="4" t="str">
        <f>HYPERLINK("https://twitter.com/petrogustavo","@petrogustavo")</f>
        <v>@petrogustavo</v>
      </c>
      <c r="C13562" s="5" t="s">
        <v>16</v>
      </c>
      <c r="D13562" s="5" t="s">
        <v>13050</v>
      </c>
      <c r="E13562" s="6" t="str">
        <f>HYPERLINK("https://twitter.com/petrogustavo/status/1360908520254820352","1360908520254820352")</f>
        <v>1360908520254820352</v>
      </c>
      <c r="F13562" s="7" t="s">
        <v>17</v>
      </c>
      <c r="G13562" s="7">
        <v>4063056</v>
      </c>
      <c r="H13562" s="7">
        <v>2491</v>
      </c>
      <c r="I13562" s="7">
        <v>19</v>
      </c>
      <c r="J13562" s="7">
        <v>78</v>
      </c>
      <c r="K13562" s="7" t="s">
        <v>18</v>
      </c>
      <c r="L13562" s="8">
        <v>39987.315405092595</v>
      </c>
      <c r="M13562" s="9" t="s">
        <v>19</v>
      </c>
      <c r="N13562" s="9" t="s">
        <v>20</v>
      </c>
      <c r="O13562" s="6" t="str">
        <f>HYPERLINK("https://pbs.twimg.com/profile_images/962471262747529216/Uo8lOkRJ_normal.jpg","View")</f>
        <v>View</v>
      </c>
      <c r="P13562" s="7"/>
    </row>
    <row r="13563" spans="1:16">
      <c r="A13563" s="3">
        <v>44241.693749999999</v>
      </c>
      <c r="B13563" s="4" t="str">
        <f>HYPERLINK("https://twitter.com/petrogustavo","@petrogustavo")</f>
        <v>@petrogustavo</v>
      </c>
      <c r="C13563" s="5" t="s">
        <v>16</v>
      </c>
      <c r="D13563" s="5" t="s">
        <v>13051</v>
      </c>
      <c r="E13563" s="6" t="str">
        <f>HYPERLINK("https://twitter.com/petrogustavo/status/1360908899071766528","1360908899071766528")</f>
        <v>1360908899071766528</v>
      </c>
      <c r="F13563" s="7" t="s">
        <v>17</v>
      </c>
      <c r="G13563" s="7">
        <v>4063056</v>
      </c>
      <c r="H13563" s="7">
        <v>2491</v>
      </c>
      <c r="I13563" s="7">
        <v>29</v>
      </c>
      <c r="J13563" s="7">
        <v>75</v>
      </c>
      <c r="K13563" s="7" t="s">
        <v>18</v>
      </c>
      <c r="L13563" s="8">
        <v>39987.315405092595</v>
      </c>
      <c r="M13563" s="9" t="s">
        <v>19</v>
      </c>
      <c r="N13563" s="9" t="s">
        <v>20</v>
      </c>
      <c r="O13563" s="6" t="str">
        <f>HYPERLINK("https://pbs.twimg.com/profile_images/962471262747529216/Uo8lOkRJ_normal.jpg","View")</f>
        <v>View</v>
      </c>
      <c r="P13563" s="7"/>
    </row>
    <row r="13564" spans="1:16">
      <c r="A13564" s="3">
        <v>44241.729814814811</v>
      </c>
      <c r="B13564" s="4" t="str">
        <f>HYPERLINK("https://twitter.com/petrogustavo","@petrogustavo")</f>
        <v>@petrogustavo</v>
      </c>
      <c r="C13564" s="5" t="s">
        <v>16</v>
      </c>
      <c r="D13564" s="5" t="s">
        <v>13052</v>
      </c>
      <c r="E13564" s="6" t="str">
        <f>HYPERLINK("https://twitter.com/petrogustavo/status/1360921967600279552","1360921967600279552")</f>
        <v>1360921967600279552</v>
      </c>
      <c r="F13564" s="7" t="s">
        <v>17</v>
      </c>
      <c r="G13564" s="7">
        <v>4063066</v>
      </c>
      <c r="H13564" s="7">
        <v>2491</v>
      </c>
      <c r="I13564" s="7">
        <v>313</v>
      </c>
      <c r="J13564" s="7">
        <v>0</v>
      </c>
      <c r="K13564" s="7" t="s">
        <v>18</v>
      </c>
      <c r="L13564" s="8">
        <v>39987.315405092595</v>
      </c>
      <c r="M13564" s="9" t="s">
        <v>19</v>
      </c>
      <c r="N13564" s="9" t="s">
        <v>20</v>
      </c>
      <c r="O13564" s="6" t="str">
        <f>HYPERLINK("https://pbs.twimg.com/profile_images/962471262747529216/Uo8lOkRJ_normal.jpg","View")</f>
        <v>View</v>
      </c>
      <c r="P13564" s="7"/>
    </row>
    <row r="13565" spans="1:16">
      <c r="A13565" s="3">
        <v>44242.126597222217</v>
      </c>
      <c r="B13565" s="4" t="str">
        <f>HYPERLINK("https://twitter.com/petrogustavo","@petrogustavo")</f>
        <v>@petrogustavo</v>
      </c>
      <c r="C13565" s="5" t="s">
        <v>16</v>
      </c>
      <c r="D13565" s="5" t="s">
        <v>13053</v>
      </c>
      <c r="E13565" s="6" t="str">
        <f>HYPERLINK("https://twitter.com/petrogustavo/status/1361065757212356609","1361065757212356609")</f>
        <v>1361065757212356609</v>
      </c>
      <c r="F13565" s="7" t="s">
        <v>17</v>
      </c>
      <c r="G13565" s="7">
        <v>4063407</v>
      </c>
      <c r="H13565" s="7">
        <v>2491</v>
      </c>
      <c r="I13565" s="7">
        <v>173</v>
      </c>
      <c r="J13565" s="7">
        <v>364</v>
      </c>
      <c r="K13565" s="7" t="s">
        <v>18</v>
      </c>
      <c r="L13565" s="8">
        <v>39987.315405092595</v>
      </c>
      <c r="M13565" s="9" t="s">
        <v>19</v>
      </c>
      <c r="N13565" s="9" t="s">
        <v>20</v>
      </c>
      <c r="O13565" s="6" t="str">
        <f>HYPERLINK("https://pbs.twimg.com/profile_images/962471262747529216/Uo8lOkRJ_normal.jpg","View")</f>
        <v>View</v>
      </c>
      <c r="P13565" s="7"/>
    </row>
    <row r="13566" spans="1:16">
      <c r="A13566" s="3">
        <v>44242.12773148148</v>
      </c>
      <c r="B13566" s="4" t="str">
        <f>HYPERLINK("https://twitter.com/petrogustavo","@petrogustavo")</f>
        <v>@petrogustavo</v>
      </c>
      <c r="C13566" s="5" t="s">
        <v>16</v>
      </c>
      <c r="D13566" s="5" t="s">
        <v>13054</v>
      </c>
      <c r="E13566" s="6" t="str">
        <f>HYPERLINK("https://twitter.com/petrogustavo/status/1361066168874917891","1361066168874917891")</f>
        <v>1361066168874917891</v>
      </c>
      <c r="F13566" s="7" t="s">
        <v>17</v>
      </c>
      <c r="G13566" s="7">
        <v>4063407</v>
      </c>
      <c r="H13566" s="7">
        <v>2491</v>
      </c>
      <c r="I13566" s="7">
        <v>593</v>
      </c>
      <c r="J13566" s="7">
        <v>0</v>
      </c>
      <c r="K13566" s="7" t="s">
        <v>18</v>
      </c>
      <c r="L13566" s="8">
        <v>39987.315405092595</v>
      </c>
      <c r="M13566" s="9" t="s">
        <v>19</v>
      </c>
      <c r="N13566" s="9" t="s">
        <v>20</v>
      </c>
      <c r="O13566" s="6" t="str">
        <f>HYPERLINK("https://pbs.twimg.com/profile_images/962471262747529216/Uo8lOkRJ_normal.jpg","View")</f>
        <v>View</v>
      </c>
      <c r="P13566" s="7"/>
    </row>
    <row r="13567" spans="1:16">
      <c r="A13567" s="3">
        <v>44242.131215277783</v>
      </c>
      <c r="B13567" s="4" t="str">
        <f>HYPERLINK("https://twitter.com/petrogustavo","@petrogustavo")</f>
        <v>@petrogustavo</v>
      </c>
      <c r="C13567" s="5" t="s">
        <v>16</v>
      </c>
      <c r="D13567" s="5" t="s">
        <v>13055</v>
      </c>
      <c r="E13567" s="6" t="str">
        <f>HYPERLINK("https://twitter.com/petrogustavo/status/1361067430387347456","1361067430387347456")</f>
        <v>1361067430387347456</v>
      </c>
      <c r="F13567" s="7" t="s">
        <v>17</v>
      </c>
      <c r="G13567" s="7">
        <v>4063407</v>
      </c>
      <c r="H13567" s="7">
        <v>2491</v>
      </c>
      <c r="I13567" s="7">
        <v>173</v>
      </c>
      <c r="J13567" s="7">
        <v>0</v>
      </c>
      <c r="K13567" s="7" t="s">
        <v>18</v>
      </c>
      <c r="L13567" s="8">
        <v>39987.315405092595</v>
      </c>
      <c r="M13567" s="9" t="s">
        <v>19</v>
      </c>
      <c r="N13567" s="9" t="s">
        <v>20</v>
      </c>
      <c r="O13567" s="6" t="str">
        <f>HYPERLINK("https://pbs.twimg.com/profile_images/962471262747529216/Uo8lOkRJ_normal.jpg","View")</f>
        <v>View</v>
      </c>
      <c r="P13567" s="7"/>
    </row>
    <row r="13568" spans="1:16">
      <c r="A13568" s="3">
        <v>44242.650381944448</v>
      </c>
      <c r="B13568" s="4" t="str">
        <f>HYPERLINK("https://twitter.com/petrogustavo","@petrogustavo")</f>
        <v>@petrogustavo</v>
      </c>
      <c r="C13568" s="5" t="s">
        <v>16</v>
      </c>
      <c r="D13568" s="5" t="s">
        <v>13056</v>
      </c>
      <c r="E13568" s="6" t="str">
        <f>HYPERLINK("https://twitter.com/petrogustavo/status/1361255571043868677","1361255571043868677")</f>
        <v>1361255571043868677</v>
      </c>
      <c r="F13568" s="7" t="s">
        <v>17</v>
      </c>
      <c r="G13568" s="7">
        <v>4063652</v>
      </c>
      <c r="H13568" s="7">
        <v>2492</v>
      </c>
      <c r="I13568" s="7">
        <v>17</v>
      </c>
      <c r="J13568" s="7">
        <v>69</v>
      </c>
      <c r="K13568" s="7" t="s">
        <v>18</v>
      </c>
      <c r="L13568" s="8">
        <v>39987.315405092595</v>
      </c>
      <c r="M13568" s="9" t="s">
        <v>19</v>
      </c>
      <c r="N13568" s="9" t="s">
        <v>20</v>
      </c>
      <c r="O13568" s="6" t="str">
        <f>HYPERLINK("https://pbs.twimg.com/profile_images/962471262747529216/Uo8lOkRJ_normal.jpg","View")</f>
        <v>View</v>
      </c>
      <c r="P13568" s="7"/>
    </row>
    <row r="13569" spans="1:16">
      <c r="A13569" s="3">
        <v>44242.650393518517</v>
      </c>
      <c r="B13569" s="4" t="str">
        <f>HYPERLINK("https://twitter.com/petrogustavo","@petrogustavo")</f>
        <v>@petrogustavo</v>
      </c>
      <c r="C13569" s="5" t="s">
        <v>16</v>
      </c>
      <c r="D13569" s="5" t="s">
        <v>13057</v>
      </c>
      <c r="E13569" s="6" t="str">
        <f>HYPERLINK("https://twitter.com/petrogustavo/status/1361255572612538368","1361255572612538368")</f>
        <v>1361255572612538368</v>
      </c>
      <c r="F13569" s="7" t="s">
        <v>17</v>
      </c>
      <c r="G13569" s="7">
        <v>4063652</v>
      </c>
      <c r="H13569" s="7">
        <v>2492</v>
      </c>
      <c r="I13569" s="7">
        <v>12</v>
      </c>
      <c r="J13569" s="7">
        <v>75</v>
      </c>
      <c r="K13569" s="7" t="s">
        <v>18</v>
      </c>
      <c r="L13569" s="8">
        <v>39987.315405092595</v>
      </c>
      <c r="M13569" s="9" t="s">
        <v>19</v>
      </c>
      <c r="N13569" s="9" t="s">
        <v>20</v>
      </c>
      <c r="O13569" s="6" t="str">
        <f>HYPERLINK("https://pbs.twimg.com/profile_images/962471262747529216/Uo8lOkRJ_normal.jpg","View")</f>
        <v>View</v>
      </c>
      <c r="P13569" s="7"/>
    </row>
    <row r="13570" spans="1:16">
      <c r="A13570" s="3">
        <v>44242.672523148147</v>
      </c>
      <c r="B13570" s="4" t="str">
        <f>HYPERLINK("https://twitter.com/petrogustavo","@petrogustavo")</f>
        <v>@petrogustavo</v>
      </c>
      <c r="C13570" s="5" t="s">
        <v>16</v>
      </c>
      <c r="D13570" s="5" t="s">
        <v>13058</v>
      </c>
      <c r="E13570" s="6" t="str">
        <f>HYPERLINK("https://twitter.com/petrogustavo/status/1361263591949799427","1361263591949799427")</f>
        <v>1361263591949799427</v>
      </c>
      <c r="F13570" s="7" t="s">
        <v>17</v>
      </c>
      <c r="G13570" s="7">
        <v>4063659</v>
      </c>
      <c r="H13570" s="7">
        <v>2492</v>
      </c>
      <c r="I13570" s="7">
        <v>83</v>
      </c>
      <c r="J13570" s="7">
        <v>212</v>
      </c>
      <c r="K13570" s="7" t="s">
        <v>18</v>
      </c>
      <c r="L13570" s="8">
        <v>39987.315405092595</v>
      </c>
      <c r="M13570" s="9" t="s">
        <v>19</v>
      </c>
      <c r="N13570" s="9" t="s">
        <v>20</v>
      </c>
      <c r="O13570" s="6" t="str">
        <f>HYPERLINK("https://pbs.twimg.com/profile_images/962471262747529216/Uo8lOkRJ_normal.jpg","View")</f>
        <v>View</v>
      </c>
      <c r="P13570" s="7"/>
    </row>
    <row r="13571" spans="1:16">
      <c r="A13571" s="3">
        <v>44242.684548611112</v>
      </c>
      <c r="B13571" s="4" t="str">
        <f>HYPERLINK("https://twitter.com/petrogustavo","@petrogustavo")</f>
        <v>@petrogustavo</v>
      </c>
      <c r="C13571" s="5" t="s">
        <v>16</v>
      </c>
      <c r="D13571" s="5" t="s">
        <v>13059</v>
      </c>
      <c r="E13571" s="6" t="str">
        <f>HYPERLINK("https://twitter.com/petrogustavo/status/1361267953107361793","1361267953107361793")</f>
        <v>1361267953107361793</v>
      </c>
      <c r="F13571" s="7" t="s">
        <v>17</v>
      </c>
      <c r="G13571" s="7">
        <v>4063668</v>
      </c>
      <c r="H13571" s="7">
        <v>2492</v>
      </c>
      <c r="I13571" s="7">
        <v>50</v>
      </c>
      <c r="J13571" s="7">
        <v>154</v>
      </c>
      <c r="K13571" s="7" t="s">
        <v>18</v>
      </c>
      <c r="L13571" s="8">
        <v>39987.315405092595</v>
      </c>
      <c r="M13571" s="9" t="s">
        <v>19</v>
      </c>
      <c r="N13571" s="9" t="s">
        <v>20</v>
      </c>
      <c r="O13571" s="6" t="str">
        <f>HYPERLINK("https://pbs.twimg.com/profile_images/962471262747529216/Uo8lOkRJ_normal.jpg","View")</f>
        <v>View</v>
      </c>
      <c r="P13571" s="7"/>
    </row>
    <row r="13572" spans="1:16">
      <c r="A13572" s="3">
        <v>44242.742696759262</v>
      </c>
      <c r="B13572" s="4" t="str">
        <f>HYPERLINK("https://twitter.com/petrogustavo","@petrogustavo")</f>
        <v>@petrogustavo</v>
      </c>
      <c r="C13572" s="5" t="s">
        <v>16</v>
      </c>
      <c r="D13572" s="5" t="s">
        <v>13060</v>
      </c>
      <c r="E13572" s="6" t="str">
        <f>HYPERLINK("https://twitter.com/petrogustavo/status/1361289025110294530","1361289025110294530")</f>
        <v>1361289025110294530</v>
      </c>
      <c r="F13572" s="7" t="s">
        <v>17</v>
      </c>
      <c r="G13572" s="7">
        <v>4063699</v>
      </c>
      <c r="H13572" s="7">
        <v>2491</v>
      </c>
      <c r="I13572" s="7">
        <v>189</v>
      </c>
      <c r="J13572" s="7">
        <v>447</v>
      </c>
      <c r="K13572" s="7" t="s">
        <v>18</v>
      </c>
      <c r="L13572" s="8">
        <v>39987.315405092595</v>
      </c>
      <c r="M13572" s="9" t="s">
        <v>19</v>
      </c>
      <c r="N13572" s="9" t="s">
        <v>20</v>
      </c>
      <c r="O13572" s="6" t="str">
        <f>HYPERLINK("https://pbs.twimg.com/profile_images/962471262747529216/Uo8lOkRJ_normal.jpg","View")</f>
        <v>View</v>
      </c>
      <c r="P13572" s="7"/>
    </row>
    <row r="13573" spans="1:16">
      <c r="A13573" s="3">
        <v>44242.747453703705</v>
      </c>
      <c r="B13573" s="4" t="str">
        <f>HYPERLINK("https://twitter.com/petrogustavo","@petrogustavo")</f>
        <v>@petrogustavo</v>
      </c>
      <c r="C13573" s="5" t="s">
        <v>16</v>
      </c>
      <c r="D13573" s="5" t="s">
        <v>13061</v>
      </c>
      <c r="E13573" s="6" t="str">
        <f>HYPERLINK("https://twitter.com/petrogustavo/status/1361290746444324864","1361290746444324864")</f>
        <v>1361290746444324864</v>
      </c>
      <c r="F13573" s="7" t="s">
        <v>17</v>
      </c>
      <c r="G13573" s="7">
        <v>4063699</v>
      </c>
      <c r="H13573" s="7">
        <v>2491</v>
      </c>
      <c r="I13573" s="7">
        <v>190</v>
      </c>
      <c r="J13573" s="7">
        <v>397</v>
      </c>
      <c r="K13573" s="7" t="s">
        <v>18</v>
      </c>
      <c r="L13573" s="8">
        <v>39987.315405092595</v>
      </c>
      <c r="M13573" s="9" t="s">
        <v>19</v>
      </c>
      <c r="N13573" s="9" t="s">
        <v>20</v>
      </c>
      <c r="O13573" s="6" t="str">
        <f>HYPERLINK("https://pbs.twimg.com/profile_images/962471262747529216/Uo8lOkRJ_normal.jpg","View")</f>
        <v>View</v>
      </c>
      <c r="P13573" s="7"/>
    </row>
    <row r="13574" spans="1:16">
      <c r="A13574" s="3">
        <v>44242.822025462963</v>
      </c>
      <c r="B13574" s="4" t="str">
        <f>HYPERLINK("https://twitter.com/petrogustavo","@petrogustavo")</f>
        <v>@petrogustavo</v>
      </c>
      <c r="C13574" s="5" t="s">
        <v>16</v>
      </c>
      <c r="D13574" s="5" t="s">
        <v>13062</v>
      </c>
      <c r="E13574" s="6" t="str">
        <f>HYPERLINK("https://twitter.com/petrogustavo/status/1361317773545250818","1361317773545250818")</f>
        <v>1361317773545250818</v>
      </c>
      <c r="F13574" s="7" t="s">
        <v>17</v>
      </c>
      <c r="G13574" s="7">
        <v>4063758</v>
      </c>
      <c r="H13574" s="7">
        <v>2492</v>
      </c>
      <c r="I13574" s="7">
        <v>57</v>
      </c>
      <c r="J13574" s="7">
        <v>0</v>
      </c>
      <c r="K13574" s="7" t="s">
        <v>18</v>
      </c>
      <c r="L13574" s="8">
        <v>39987.315405092595</v>
      </c>
      <c r="M13574" s="9" t="s">
        <v>19</v>
      </c>
      <c r="N13574" s="9" t="s">
        <v>20</v>
      </c>
      <c r="O13574" s="6" t="str">
        <f>HYPERLINK("https://pbs.twimg.com/profile_images/962471262747529216/Uo8lOkRJ_normal.jpg","View")</f>
        <v>View</v>
      </c>
      <c r="P13574" s="7"/>
    </row>
    <row r="13575" spans="1:16">
      <c r="A13575" s="3">
        <v>44242.833368055552</v>
      </c>
      <c r="B13575" s="4" t="str">
        <f>HYPERLINK("https://twitter.com/petrogustavo","@petrogustavo")</f>
        <v>@petrogustavo</v>
      </c>
      <c r="C13575" s="5" t="s">
        <v>16</v>
      </c>
      <c r="D13575" s="5" t="s">
        <v>13063</v>
      </c>
      <c r="E13575" s="6" t="str">
        <f>HYPERLINK("https://twitter.com/petrogustavo/status/1361321881576554501","1361321881576554501")</f>
        <v>1361321881576554501</v>
      </c>
      <c r="F13575" s="7" t="s">
        <v>17</v>
      </c>
      <c r="G13575" s="7">
        <v>4063758</v>
      </c>
      <c r="H13575" s="7">
        <v>2492</v>
      </c>
      <c r="I13575" s="7">
        <v>532</v>
      </c>
      <c r="J13575" s="7">
        <v>0</v>
      </c>
      <c r="K13575" s="7" t="s">
        <v>18</v>
      </c>
      <c r="L13575" s="8">
        <v>39987.315405092595</v>
      </c>
      <c r="M13575" s="9" t="s">
        <v>19</v>
      </c>
      <c r="N13575" s="9" t="s">
        <v>20</v>
      </c>
      <c r="O13575" s="6" t="str">
        <f>HYPERLINK("https://pbs.twimg.com/profile_images/962471262747529216/Uo8lOkRJ_normal.jpg","View")</f>
        <v>View</v>
      </c>
      <c r="P13575" s="7"/>
    </row>
    <row r="13576" spans="1:16">
      <c r="A13576" s="3">
        <v>44242.84438657407</v>
      </c>
      <c r="B13576" s="4" t="str">
        <f>HYPERLINK("https://twitter.com/petrogustavo","@petrogustavo")</f>
        <v>@petrogustavo</v>
      </c>
      <c r="C13576" s="5" t="s">
        <v>16</v>
      </c>
      <c r="D13576" s="5" t="s">
        <v>13064</v>
      </c>
      <c r="E13576" s="6" t="str">
        <f>HYPERLINK("https://twitter.com/petrogustavo/status/1361325877032849418","1361325877032849418")</f>
        <v>1361325877032849418</v>
      </c>
      <c r="F13576" s="7" t="s">
        <v>17</v>
      </c>
      <c r="G13576" s="7">
        <v>4063758</v>
      </c>
      <c r="H13576" s="7">
        <v>2492</v>
      </c>
      <c r="I13576" s="7">
        <v>17</v>
      </c>
      <c r="J13576" s="7">
        <v>54</v>
      </c>
      <c r="K13576" s="7" t="s">
        <v>18</v>
      </c>
      <c r="L13576" s="8">
        <v>39987.315405092595</v>
      </c>
      <c r="M13576" s="9" t="s">
        <v>19</v>
      </c>
      <c r="N13576" s="9" t="s">
        <v>20</v>
      </c>
      <c r="O13576" s="6" t="str">
        <f>HYPERLINK("https://pbs.twimg.com/profile_images/962471262747529216/Uo8lOkRJ_normal.jpg","View")</f>
        <v>View</v>
      </c>
      <c r="P13576" s="7"/>
    </row>
    <row r="13577" spans="1:16">
      <c r="A13577" s="3">
        <v>44242.857511574075</v>
      </c>
      <c r="B13577" s="4" t="str">
        <f>HYPERLINK("https://twitter.com/petrogustavo","@petrogustavo")</f>
        <v>@petrogustavo</v>
      </c>
      <c r="C13577" s="5" t="s">
        <v>16</v>
      </c>
      <c r="D13577" s="5" t="s">
        <v>13065</v>
      </c>
      <c r="E13577" s="6" t="str">
        <f>HYPERLINK("https://twitter.com/petrogustavo/status/1361330632534720513","1361330632534720513")</f>
        <v>1361330632534720513</v>
      </c>
      <c r="F13577" s="7" t="s">
        <v>17</v>
      </c>
      <c r="G13577" s="7">
        <v>4063780</v>
      </c>
      <c r="H13577" s="7">
        <v>2492</v>
      </c>
      <c r="I13577" s="7">
        <v>135</v>
      </c>
      <c r="J13577" s="7">
        <v>0</v>
      </c>
      <c r="K13577" s="7" t="s">
        <v>18</v>
      </c>
      <c r="L13577" s="8">
        <v>39987.315405092595</v>
      </c>
      <c r="M13577" s="9" t="s">
        <v>19</v>
      </c>
      <c r="N13577" s="9" t="s">
        <v>20</v>
      </c>
      <c r="O13577" s="6" t="str">
        <f>HYPERLINK("https://pbs.twimg.com/profile_images/962471262747529216/Uo8lOkRJ_normal.jpg","View")</f>
        <v>View</v>
      </c>
      <c r="P13577" s="7"/>
    </row>
    <row r="13578" spans="1:16">
      <c r="A13578" s="3">
        <v>44242.862407407403</v>
      </c>
      <c r="B13578" s="4" t="str">
        <f>HYPERLINK("https://twitter.com/petrogustavo","@petrogustavo")</f>
        <v>@petrogustavo</v>
      </c>
      <c r="C13578" s="5" t="s">
        <v>16</v>
      </c>
      <c r="D13578" s="5" t="s">
        <v>13066</v>
      </c>
      <c r="E13578" s="6" t="str">
        <f>HYPERLINK("https://twitter.com/petrogustavo/status/1361332404754018310","1361332404754018310")</f>
        <v>1361332404754018310</v>
      </c>
      <c r="F13578" s="7" t="s">
        <v>17</v>
      </c>
      <c r="G13578" s="7">
        <v>4063780</v>
      </c>
      <c r="H13578" s="7">
        <v>2492</v>
      </c>
      <c r="I13578" s="7">
        <v>83</v>
      </c>
      <c r="J13578" s="7">
        <v>234</v>
      </c>
      <c r="K13578" s="7" t="s">
        <v>18</v>
      </c>
      <c r="L13578" s="8">
        <v>39987.315405092595</v>
      </c>
      <c r="M13578" s="9" t="s">
        <v>19</v>
      </c>
      <c r="N13578" s="9" t="s">
        <v>20</v>
      </c>
      <c r="O13578" s="6" t="str">
        <f>HYPERLINK("https://pbs.twimg.com/profile_images/962471262747529216/Uo8lOkRJ_normal.jpg","View")</f>
        <v>View</v>
      </c>
      <c r="P13578" s="7"/>
    </row>
    <row r="13579" spans="1:16">
      <c r="A13579" s="3">
        <v>44242.995428240742</v>
      </c>
      <c r="B13579" s="4" t="str">
        <f>HYPERLINK("https://twitter.com/petrogustavo","@petrogustavo")</f>
        <v>@petrogustavo</v>
      </c>
      <c r="C13579" s="5" t="s">
        <v>16</v>
      </c>
      <c r="D13579" s="5" t="s">
        <v>13067</v>
      </c>
      <c r="E13579" s="6" t="str">
        <f>HYPERLINK("https://twitter.com/petrogustavo/status/1361380609067728899","1361380609067728899")</f>
        <v>1361380609067728899</v>
      </c>
      <c r="F13579" s="7" t="s">
        <v>17</v>
      </c>
      <c r="G13579" s="7">
        <v>4063928</v>
      </c>
      <c r="H13579" s="7">
        <v>2492</v>
      </c>
      <c r="I13579" s="7">
        <v>416</v>
      </c>
      <c r="J13579" s="7">
        <v>1632</v>
      </c>
      <c r="K13579" s="7" t="s">
        <v>18</v>
      </c>
      <c r="L13579" s="8">
        <v>39987.315405092595</v>
      </c>
      <c r="M13579" s="9" t="s">
        <v>19</v>
      </c>
      <c r="N13579" s="9" t="s">
        <v>20</v>
      </c>
      <c r="O13579" s="6" t="str">
        <f>HYPERLINK("https://pbs.twimg.com/profile_images/962471262747529216/Uo8lOkRJ_normal.jpg","View")</f>
        <v>View</v>
      </c>
      <c r="P13579" s="7"/>
    </row>
    <row r="13580" spans="1:16">
      <c r="A13580" s="3">
        <v>44242.999780092592</v>
      </c>
      <c r="B13580" s="4" t="str">
        <f>HYPERLINK("https://twitter.com/petrogustavo","@petrogustavo")</f>
        <v>@petrogustavo</v>
      </c>
      <c r="C13580" s="5" t="s">
        <v>16</v>
      </c>
      <c r="D13580" s="5" t="s">
        <v>13068</v>
      </c>
      <c r="E13580" s="6" t="str">
        <f>HYPERLINK("https://twitter.com/petrogustavo/status/1361382187287924737","1361382187287924737")</f>
        <v>1361382187287924737</v>
      </c>
      <c r="F13580" s="7" t="s">
        <v>17</v>
      </c>
      <c r="G13580" s="7">
        <v>4063928</v>
      </c>
      <c r="H13580" s="7">
        <v>2492</v>
      </c>
      <c r="I13580" s="7">
        <v>61</v>
      </c>
      <c r="J13580" s="7">
        <v>0</v>
      </c>
      <c r="K13580" s="7" t="s">
        <v>18</v>
      </c>
      <c r="L13580" s="8">
        <v>39987.315405092595</v>
      </c>
      <c r="M13580" s="9" t="s">
        <v>19</v>
      </c>
      <c r="N13580" s="9" t="s">
        <v>20</v>
      </c>
      <c r="O13580" s="6" t="str">
        <f>HYPERLINK("https://pbs.twimg.com/profile_images/962471262747529216/Uo8lOkRJ_normal.jpg","View")</f>
        <v>View</v>
      </c>
      <c r="P13580" s="7"/>
    </row>
    <row r="13581" spans="1:16">
      <c r="A13581" s="3">
        <v>44243.000902777778</v>
      </c>
      <c r="B13581" s="4" t="str">
        <f>HYPERLINK("https://twitter.com/petrogustavo","@petrogustavo")</f>
        <v>@petrogustavo</v>
      </c>
      <c r="C13581" s="5" t="s">
        <v>16</v>
      </c>
      <c r="D13581" s="5" t="s">
        <v>13069</v>
      </c>
      <c r="E13581" s="6" t="str">
        <f>HYPERLINK("https://twitter.com/petrogustavo/status/1361382595020419079","1361382595020419079")</f>
        <v>1361382595020419079</v>
      </c>
      <c r="F13581" s="7" t="s">
        <v>17</v>
      </c>
      <c r="G13581" s="7">
        <v>4063928</v>
      </c>
      <c r="H13581" s="7">
        <v>2492</v>
      </c>
      <c r="I13581" s="7">
        <v>129</v>
      </c>
      <c r="J13581" s="7">
        <v>0</v>
      </c>
      <c r="K13581" s="7" t="s">
        <v>18</v>
      </c>
      <c r="L13581" s="8">
        <v>39987.315405092595</v>
      </c>
      <c r="M13581" s="9" t="s">
        <v>19</v>
      </c>
      <c r="N13581" s="9" t="s">
        <v>20</v>
      </c>
      <c r="O13581" s="6" t="str">
        <f>HYPERLINK("https://pbs.twimg.com/profile_images/962471262747529216/Uo8lOkRJ_normal.jpg","View")</f>
        <v>View</v>
      </c>
      <c r="P13581" s="7"/>
    </row>
    <row r="13582" spans="1:16">
      <c r="A13582" s="3">
        <v>44243.031134259261</v>
      </c>
      <c r="B13582" s="4" t="str">
        <f>HYPERLINK("https://twitter.com/petrogustavo","@petrogustavo")</f>
        <v>@petrogustavo</v>
      </c>
      <c r="C13582" s="5" t="s">
        <v>16</v>
      </c>
      <c r="D13582" s="5" t="s">
        <v>13070</v>
      </c>
      <c r="E13582" s="6" t="str">
        <f>HYPERLINK("https://twitter.com/petrogustavo/status/1361393551783976960","1361393551783976960")</f>
        <v>1361393551783976960</v>
      </c>
      <c r="F13582" s="7" t="s">
        <v>17</v>
      </c>
      <c r="G13582" s="7">
        <v>4063950</v>
      </c>
      <c r="H13582" s="7">
        <v>2492</v>
      </c>
      <c r="I13582" s="7">
        <v>652</v>
      </c>
      <c r="J13582" s="7">
        <v>0</v>
      </c>
      <c r="K13582" s="7" t="s">
        <v>18</v>
      </c>
      <c r="L13582" s="8">
        <v>39987.315405092595</v>
      </c>
      <c r="M13582" s="9" t="s">
        <v>19</v>
      </c>
      <c r="N13582" s="9" t="s">
        <v>20</v>
      </c>
      <c r="O13582" s="6" t="str">
        <f>HYPERLINK("https://pbs.twimg.com/profile_images/962471262747529216/Uo8lOkRJ_normal.jpg","View")</f>
        <v>View</v>
      </c>
      <c r="P13582" s="7"/>
    </row>
    <row r="13583" spans="1:16">
      <c r="A13583" s="3">
        <v>44243.048680555556</v>
      </c>
      <c r="B13583" s="4" t="str">
        <f>HYPERLINK("https://twitter.com/petrogustavo","@petrogustavo")</f>
        <v>@petrogustavo</v>
      </c>
      <c r="C13583" s="5" t="s">
        <v>16</v>
      </c>
      <c r="D13583" s="5" t="s">
        <v>13071</v>
      </c>
      <c r="E13583" s="6" t="str">
        <f>HYPERLINK("https://twitter.com/petrogustavo/status/1361399908352356357","1361399908352356357")</f>
        <v>1361399908352356357</v>
      </c>
      <c r="F13583" s="7" t="s">
        <v>17</v>
      </c>
      <c r="G13583" s="7">
        <v>4063977</v>
      </c>
      <c r="H13583" s="7">
        <v>2492</v>
      </c>
      <c r="I13583" s="7">
        <v>210</v>
      </c>
      <c r="J13583" s="7">
        <v>428</v>
      </c>
      <c r="K13583" s="7" t="s">
        <v>18</v>
      </c>
      <c r="L13583" s="8">
        <v>39987.315405092595</v>
      </c>
      <c r="M13583" s="9" t="s">
        <v>19</v>
      </c>
      <c r="N13583" s="9" t="s">
        <v>20</v>
      </c>
      <c r="O13583" s="6" t="str">
        <f>HYPERLINK("https://pbs.twimg.com/profile_images/962471262747529216/Uo8lOkRJ_normal.jpg","View")</f>
        <v>View</v>
      </c>
      <c r="P13583" s="7"/>
    </row>
    <row r="13584" spans="1:16">
      <c r="A13584" s="3">
        <v>44243.130856481483</v>
      </c>
      <c r="B13584" s="4" t="str">
        <f>HYPERLINK("https://twitter.com/petrogustavo","@petrogustavo")</f>
        <v>@petrogustavo</v>
      </c>
      <c r="C13584" s="5" t="s">
        <v>16</v>
      </c>
      <c r="D13584" s="5" t="s">
        <v>13072</v>
      </c>
      <c r="E13584" s="6" t="str">
        <f>HYPERLINK("https://twitter.com/petrogustavo/status/1361429686975406082","1361429686975406082")</f>
        <v>1361429686975406082</v>
      </c>
      <c r="F13584" s="7" t="s">
        <v>17</v>
      </c>
      <c r="G13584" s="7">
        <v>4064060</v>
      </c>
      <c r="H13584" s="7">
        <v>2492</v>
      </c>
      <c r="I13584" s="7">
        <v>74</v>
      </c>
      <c r="J13584" s="7">
        <v>177</v>
      </c>
      <c r="K13584" s="7" t="s">
        <v>18</v>
      </c>
      <c r="L13584" s="8">
        <v>39987.315405092595</v>
      </c>
      <c r="M13584" s="9" t="s">
        <v>19</v>
      </c>
      <c r="N13584" s="9" t="s">
        <v>20</v>
      </c>
      <c r="O13584" s="6" t="str">
        <f>HYPERLINK("https://pbs.twimg.com/profile_images/962471262747529216/Uo8lOkRJ_normal.jpg","View")</f>
        <v>View</v>
      </c>
      <c r="P13584" s="7"/>
    </row>
    <row r="13585" spans="1:16">
      <c r="A13585" s="3">
        <v>44243.160127314812</v>
      </c>
      <c r="B13585" s="4" t="str">
        <f>HYPERLINK("https://twitter.com/petrogustavo","@petrogustavo")</f>
        <v>@petrogustavo</v>
      </c>
      <c r="C13585" s="5" t="s">
        <v>16</v>
      </c>
      <c r="D13585" s="5" t="s">
        <v>13073</v>
      </c>
      <c r="E13585" s="6" t="str">
        <f>HYPERLINK("https://twitter.com/petrogustavo/status/1361440294563119106","1361440294563119106")</f>
        <v>1361440294563119106</v>
      </c>
      <c r="F13585" s="7" t="s">
        <v>17</v>
      </c>
      <c r="G13585" s="7">
        <v>4064093</v>
      </c>
      <c r="H13585" s="7">
        <v>2492</v>
      </c>
      <c r="I13585" s="7">
        <v>1751</v>
      </c>
      <c r="J13585" s="7">
        <v>0</v>
      </c>
      <c r="K13585" s="7" t="s">
        <v>18</v>
      </c>
      <c r="L13585" s="8">
        <v>39987.315405092595</v>
      </c>
      <c r="M13585" s="9" t="s">
        <v>19</v>
      </c>
      <c r="N13585" s="9" t="s">
        <v>20</v>
      </c>
      <c r="O13585" s="6" t="str">
        <f>HYPERLINK("https://pbs.twimg.com/profile_images/962471262747529216/Uo8lOkRJ_normal.jpg","View")</f>
        <v>View</v>
      </c>
      <c r="P13585" s="7"/>
    </row>
    <row r="13586" spans="1:16">
      <c r="A13586" s="3">
        <v>44243.755486111113</v>
      </c>
      <c r="B13586" s="4" t="str">
        <f>HYPERLINK("https://twitter.com/petrogustavo","@petrogustavo")</f>
        <v>@petrogustavo</v>
      </c>
      <c r="C13586" s="5" t="s">
        <v>16</v>
      </c>
      <c r="D13586" s="5" t="s">
        <v>13074</v>
      </c>
      <c r="E13586" s="6" t="str">
        <f>HYPERLINK("https://twitter.com/petrogustavo/status/1361656047706996736","1361656047706996736")</f>
        <v>1361656047706996736</v>
      </c>
      <c r="F13586" s="7" t="s">
        <v>17</v>
      </c>
      <c r="G13586" s="7">
        <v>4064428</v>
      </c>
      <c r="H13586" s="7">
        <v>2491</v>
      </c>
      <c r="I13586" s="7">
        <v>27</v>
      </c>
      <c r="J13586" s="7">
        <v>0</v>
      </c>
      <c r="K13586" s="7" t="s">
        <v>18</v>
      </c>
      <c r="L13586" s="8">
        <v>39987.315405092595</v>
      </c>
      <c r="M13586" s="9" t="s">
        <v>19</v>
      </c>
      <c r="N13586" s="9" t="s">
        <v>20</v>
      </c>
      <c r="O13586" s="6" t="str">
        <f>HYPERLINK("https://pbs.twimg.com/profile_images/962471262747529216/Uo8lOkRJ_normal.jpg","View")</f>
        <v>View</v>
      </c>
      <c r="P13586" s="7"/>
    </row>
    <row r="13587" spans="1:16">
      <c r="A13587" s="3">
        <v>44243.757615740746</v>
      </c>
      <c r="B13587" s="4" t="str">
        <f>HYPERLINK("https://twitter.com/petrogustavo","@petrogustavo")</f>
        <v>@petrogustavo</v>
      </c>
      <c r="C13587" s="5" t="s">
        <v>16</v>
      </c>
      <c r="D13587" s="5" t="s">
        <v>13075</v>
      </c>
      <c r="E13587" s="6" t="str">
        <f>HYPERLINK("https://twitter.com/petrogustavo/status/1361656818041319426","1361656818041319426")</f>
        <v>1361656818041319426</v>
      </c>
      <c r="F13587" s="7" t="s">
        <v>17</v>
      </c>
      <c r="G13587" s="7">
        <v>4064428</v>
      </c>
      <c r="H13587" s="7">
        <v>2491</v>
      </c>
      <c r="I13587" s="7">
        <v>83</v>
      </c>
      <c r="J13587" s="7">
        <v>207</v>
      </c>
      <c r="K13587" s="7" t="s">
        <v>18</v>
      </c>
      <c r="L13587" s="8">
        <v>39987.315405092595</v>
      </c>
      <c r="M13587" s="9" t="s">
        <v>19</v>
      </c>
      <c r="N13587" s="9" t="s">
        <v>20</v>
      </c>
      <c r="O13587" s="6" t="str">
        <f>HYPERLINK("https://pbs.twimg.com/profile_images/962471262747529216/Uo8lOkRJ_normal.jpg","View")</f>
        <v>View</v>
      </c>
      <c r="P13587" s="7"/>
    </row>
    <row r="13588" spans="1:16">
      <c r="A13588" s="3">
        <v>44243.781967592593</v>
      </c>
      <c r="B13588" s="4" t="str">
        <f>HYPERLINK("https://twitter.com/petrogustavo","@petrogustavo")</f>
        <v>@petrogustavo</v>
      </c>
      <c r="C13588" s="5" t="s">
        <v>16</v>
      </c>
      <c r="D13588" s="5" t="s">
        <v>13076</v>
      </c>
      <c r="E13588" s="6" t="str">
        <f>HYPERLINK("https://twitter.com/petrogustavo/status/1361665645025361923","1361665645025361923")</f>
        <v>1361665645025361923</v>
      </c>
      <c r="F13588" s="7" t="s">
        <v>17</v>
      </c>
      <c r="G13588" s="7">
        <v>4064455</v>
      </c>
      <c r="H13588" s="7">
        <v>2491</v>
      </c>
      <c r="I13588" s="7">
        <v>5</v>
      </c>
      <c r="J13588" s="7">
        <v>15</v>
      </c>
      <c r="K13588" s="7" t="s">
        <v>18</v>
      </c>
      <c r="L13588" s="8">
        <v>39987.315405092595</v>
      </c>
      <c r="M13588" s="9" t="s">
        <v>19</v>
      </c>
      <c r="N13588" s="9" t="s">
        <v>20</v>
      </c>
      <c r="O13588" s="6" t="str">
        <f>HYPERLINK("https://pbs.twimg.com/profile_images/962471262747529216/Uo8lOkRJ_normal.jpg","View")</f>
        <v>View</v>
      </c>
      <c r="P13588" s="7"/>
    </row>
    <row r="13589" spans="1:16">
      <c r="A13589" s="3">
        <v>44243.78197916667</v>
      </c>
      <c r="B13589" s="4" t="str">
        <f>HYPERLINK("https://twitter.com/petrogustavo","@petrogustavo")</f>
        <v>@petrogustavo</v>
      </c>
      <c r="C13589" s="5" t="s">
        <v>16</v>
      </c>
      <c r="D13589" s="5" t="s">
        <v>13077</v>
      </c>
      <c r="E13589" s="6" t="str">
        <f>HYPERLINK("https://twitter.com/petrogustavo/status/1361665646673682434","1361665646673682434")</f>
        <v>1361665646673682434</v>
      </c>
      <c r="F13589" s="7" t="s">
        <v>17</v>
      </c>
      <c r="G13589" s="7">
        <v>4064455</v>
      </c>
      <c r="H13589" s="7">
        <v>2491</v>
      </c>
      <c r="I13589" s="7">
        <v>5</v>
      </c>
      <c r="J13589" s="7">
        <v>14</v>
      </c>
      <c r="K13589" s="7" t="s">
        <v>18</v>
      </c>
      <c r="L13589" s="8">
        <v>39987.315405092595</v>
      </c>
      <c r="M13589" s="9" t="s">
        <v>19</v>
      </c>
      <c r="N13589" s="9" t="s">
        <v>20</v>
      </c>
      <c r="O13589" s="6" t="str">
        <f>HYPERLINK("https://pbs.twimg.com/profile_images/962471262747529216/Uo8lOkRJ_normal.jpg","View")</f>
        <v>View</v>
      </c>
      <c r="P13589" s="7"/>
    </row>
    <row r="13590" spans="1:16">
      <c r="A13590" s="3">
        <v>44243.78197916667</v>
      </c>
      <c r="B13590" s="4" t="str">
        <f>HYPERLINK("https://twitter.com/petrogustavo","@petrogustavo")</f>
        <v>@petrogustavo</v>
      </c>
      <c r="C13590" s="5" t="s">
        <v>16</v>
      </c>
      <c r="D13590" s="5" t="s">
        <v>13078</v>
      </c>
      <c r="E13590" s="6" t="str">
        <f>HYPERLINK("https://twitter.com/petrogustavo/status/1361665648263331846","1361665648263331846")</f>
        <v>1361665648263331846</v>
      </c>
      <c r="F13590" s="7" t="s">
        <v>17</v>
      </c>
      <c r="G13590" s="7">
        <v>4064455</v>
      </c>
      <c r="H13590" s="7">
        <v>2491</v>
      </c>
      <c r="I13590" s="7">
        <v>5</v>
      </c>
      <c r="J13590" s="7">
        <v>13</v>
      </c>
      <c r="K13590" s="7" t="s">
        <v>18</v>
      </c>
      <c r="L13590" s="8">
        <v>39987.315405092595</v>
      </c>
      <c r="M13590" s="9" t="s">
        <v>19</v>
      </c>
      <c r="N13590" s="9" t="s">
        <v>20</v>
      </c>
      <c r="O13590" s="6" t="str">
        <f>HYPERLINK("https://pbs.twimg.com/profile_images/962471262747529216/Uo8lOkRJ_normal.jpg","View")</f>
        <v>View</v>
      </c>
      <c r="P13590" s="7"/>
    </row>
    <row r="13591" spans="1:16">
      <c r="A13591" s="3">
        <v>44243.865370370375</v>
      </c>
      <c r="B13591" s="4" t="str">
        <f>HYPERLINK("https://twitter.com/petrogustavo","@petrogustavo")</f>
        <v>@petrogustavo</v>
      </c>
      <c r="C13591" s="5" t="s">
        <v>16</v>
      </c>
      <c r="D13591" s="5" t="s">
        <v>13079</v>
      </c>
      <c r="E13591" s="6" t="str">
        <f>HYPERLINK("https://twitter.com/petrogustavo/status/1361695869339320321","1361695869339320321")</f>
        <v>1361695869339320321</v>
      </c>
      <c r="F13591" s="7" t="s">
        <v>17</v>
      </c>
      <c r="G13591" s="7">
        <v>4064548</v>
      </c>
      <c r="H13591" s="7">
        <v>2491</v>
      </c>
      <c r="I13591" s="7">
        <v>22</v>
      </c>
      <c r="J13591" s="7">
        <v>68</v>
      </c>
      <c r="K13591" s="7" t="s">
        <v>18</v>
      </c>
      <c r="L13591" s="8">
        <v>39987.315405092595</v>
      </c>
      <c r="M13591" s="9" t="s">
        <v>19</v>
      </c>
      <c r="N13591" s="9" t="s">
        <v>20</v>
      </c>
      <c r="O13591" s="6" t="str">
        <f>HYPERLINK("https://pbs.twimg.com/profile_images/962471262747529216/Uo8lOkRJ_normal.jpg","View")</f>
        <v>View</v>
      </c>
      <c r="P13591" s="7"/>
    </row>
    <row r="13592" spans="1:16">
      <c r="A13592" s="3">
        <v>44243.875405092593</v>
      </c>
      <c r="B13592" s="4" t="str">
        <f>HYPERLINK("https://twitter.com/petrogustavo","@petrogustavo")</f>
        <v>@petrogustavo</v>
      </c>
      <c r="C13592" s="5" t="s">
        <v>16</v>
      </c>
      <c r="D13592" s="5" t="s">
        <v>13080</v>
      </c>
      <c r="E13592" s="6" t="str">
        <f>HYPERLINK("https://twitter.com/petrogustavo/status/1361699503192080390","1361699503192080390")</f>
        <v>1361699503192080390</v>
      </c>
      <c r="F13592" s="7" t="s">
        <v>17</v>
      </c>
      <c r="G13592" s="7">
        <v>4064566</v>
      </c>
      <c r="H13592" s="7">
        <v>2491</v>
      </c>
      <c r="I13592" s="7">
        <v>293</v>
      </c>
      <c r="J13592" s="7">
        <v>967</v>
      </c>
      <c r="K13592" s="7" t="s">
        <v>18</v>
      </c>
      <c r="L13592" s="8">
        <v>39987.315405092595</v>
      </c>
      <c r="M13592" s="9" t="s">
        <v>19</v>
      </c>
      <c r="N13592" s="9" t="s">
        <v>20</v>
      </c>
      <c r="O13592" s="6" t="str">
        <f>HYPERLINK("https://pbs.twimg.com/profile_images/962471262747529216/Uo8lOkRJ_normal.jpg","View")</f>
        <v>View</v>
      </c>
      <c r="P13592" s="7"/>
    </row>
    <row r="13593" spans="1:16">
      <c r="A13593" s="3">
        <v>44243.881249999999</v>
      </c>
      <c r="B13593" s="4" t="str">
        <f>HYPERLINK("https://twitter.com/petrogustavo","@petrogustavo")</f>
        <v>@petrogustavo</v>
      </c>
      <c r="C13593" s="5" t="s">
        <v>16</v>
      </c>
      <c r="D13593" s="5" t="s">
        <v>13081</v>
      </c>
      <c r="E13593" s="6" t="str">
        <f>HYPERLINK("https://twitter.com/petrogustavo/status/1361701621558874114","1361701621558874114")</f>
        <v>1361701621558874114</v>
      </c>
      <c r="F13593" s="7" t="s">
        <v>17</v>
      </c>
      <c r="G13593" s="7">
        <v>4064566</v>
      </c>
      <c r="H13593" s="7">
        <v>2491</v>
      </c>
      <c r="I13593" s="7">
        <v>70</v>
      </c>
      <c r="J13593" s="7">
        <v>129</v>
      </c>
      <c r="K13593" s="7" t="s">
        <v>18</v>
      </c>
      <c r="L13593" s="8">
        <v>39987.315405092595</v>
      </c>
      <c r="M13593" s="9" t="s">
        <v>19</v>
      </c>
      <c r="N13593" s="9" t="s">
        <v>20</v>
      </c>
      <c r="O13593" s="6" t="str">
        <f>HYPERLINK("https://pbs.twimg.com/profile_images/962471262747529216/Uo8lOkRJ_normal.jpg","View")</f>
        <v>View</v>
      </c>
      <c r="P13593" s="7"/>
    </row>
    <row r="13594" spans="1:16">
      <c r="A13594" s="3">
        <v>44243.942615740743</v>
      </c>
      <c r="B13594" s="4" t="str">
        <f>HYPERLINK("https://twitter.com/petrogustavo","@petrogustavo")</f>
        <v>@petrogustavo</v>
      </c>
      <c r="C13594" s="5" t="s">
        <v>16</v>
      </c>
      <c r="D13594" s="5" t="s">
        <v>13082</v>
      </c>
      <c r="E13594" s="6" t="str">
        <f>HYPERLINK("https://twitter.com/petrogustavo/status/1361723858101940231","1361723858101940231")</f>
        <v>1361723858101940231</v>
      </c>
      <c r="F13594" s="7" t="s">
        <v>17</v>
      </c>
      <c r="G13594" s="7">
        <v>4064649</v>
      </c>
      <c r="H13594" s="7">
        <v>2491</v>
      </c>
      <c r="I13594" s="7">
        <v>55</v>
      </c>
      <c r="J13594" s="7">
        <v>163</v>
      </c>
      <c r="K13594" s="7" t="s">
        <v>18</v>
      </c>
      <c r="L13594" s="8">
        <v>39987.315405092595</v>
      </c>
      <c r="M13594" s="9" t="s">
        <v>19</v>
      </c>
      <c r="N13594" s="9" t="s">
        <v>20</v>
      </c>
      <c r="O13594" s="6" t="str">
        <f>HYPERLINK("https://pbs.twimg.com/profile_images/962471262747529216/Uo8lOkRJ_normal.jpg","View")</f>
        <v>View</v>
      </c>
      <c r="P13594" s="7"/>
    </row>
    <row r="13595" spans="1:16">
      <c r="A13595" s="3">
        <v>44243.96365740741</v>
      </c>
      <c r="B13595" s="4" t="str">
        <f>HYPERLINK("https://twitter.com/petrogustavo","@petrogustavo")</f>
        <v>@petrogustavo</v>
      </c>
      <c r="C13595" s="5" t="s">
        <v>16</v>
      </c>
      <c r="D13595" s="5" t="s">
        <v>13083</v>
      </c>
      <c r="E13595" s="6" t="str">
        <f>HYPERLINK("https://twitter.com/petrogustavo/status/1361731483493404680","1361731483493404680")</f>
        <v>1361731483493404680</v>
      </c>
      <c r="F13595" s="7" t="s">
        <v>17</v>
      </c>
      <c r="G13595" s="7">
        <v>4064670</v>
      </c>
      <c r="H13595" s="7">
        <v>2492</v>
      </c>
      <c r="I13595" s="7">
        <v>51</v>
      </c>
      <c r="J13595" s="7">
        <v>121</v>
      </c>
      <c r="K13595" s="7" t="s">
        <v>18</v>
      </c>
      <c r="L13595" s="8">
        <v>39987.315405092595</v>
      </c>
      <c r="M13595" s="9" t="s">
        <v>19</v>
      </c>
      <c r="N13595" s="9" t="s">
        <v>20</v>
      </c>
      <c r="O13595" s="6" t="str">
        <f>HYPERLINK("https://pbs.twimg.com/profile_images/962471262747529216/Uo8lOkRJ_normal.jpg","View")</f>
        <v>View</v>
      </c>
      <c r="P13595" s="7"/>
    </row>
    <row r="13596" spans="1:16">
      <c r="A13596" s="3">
        <v>44243.966145833328</v>
      </c>
      <c r="B13596" s="4" t="str">
        <f>HYPERLINK("https://twitter.com/petrogustavo","@petrogustavo")</f>
        <v>@petrogustavo</v>
      </c>
      <c r="C13596" s="5" t="s">
        <v>16</v>
      </c>
      <c r="D13596" s="5" t="s">
        <v>13084</v>
      </c>
      <c r="E13596" s="6" t="str">
        <f>HYPERLINK("https://twitter.com/petrogustavo/status/1361732389014286344","1361732389014286344")</f>
        <v>1361732389014286344</v>
      </c>
      <c r="F13596" s="7" t="s">
        <v>17</v>
      </c>
      <c r="G13596" s="7">
        <v>4064670</v>
      </c>
      <c r="H13596" s="7">
        <v>2492</v>
      </c>
      <c r="I13596" s="7">
        <v>102</v>
      </c>
      <c r="J13596" s="7">
        <v>232</v>
      </c>
      <c r="K13596" s="7" t="s">
        <v>18</v>
      </c>
      <c r="L13596" s="8">
        <v>39987.315405092595</v>
      </c>
      <c r="M13596" s="9" t="s">
        <v>19</v>
      </c>
      <c r="N13596" s="9" t="s">
        <v>20</v>
      </c>
      <c r="O13596" s="6" t="str">
        <f>HYPERLINK("https://pbs.twimg.com/profile_images/962471262747529216/Uo8lOkRJ_normal.jpg","View")</f>
        <v>View</v>
      </c>
      <c r="P13596" s="7"/>
    </row>
    <row r="13597" spans="1:16">
      <c r="A13597" s="3">
        <v>44243.982256944444</v>
      </c>
      <c r="B13597" s="4" t="str">
        <f>HYPERLINK("https://twitter.com/petrogustavo","@petrogustavo")</f>
        <v>@petrogustavo</v>
      </c>
      <c r="C13597" s="5" t="s">
        <v>16</v>
      </c>
      <c r="D13597" s="5" t="s">
        <v>13085</v>
      </c>
      <c r="E13597" s="6" t="str">
        <f>HYPERLINK("https://twitter.com/petrogustavo/status/1361738225954541575","1361738225954541575")</f>
        <v>1361738225954541575</v>
      </c>
      <c r="F13597" s="7" t="s">
        <v>17</v>
      </c>
      <c r="G13597" s="7">
        <v>4064707</v>
      </c>
      <c r="H13597" s="7">
        <v>2492</v>
      </c>
      <c r="I13597" s="7">
        <v>142</v>
      </c>
      <c r="J13597" s="7">
        <v>431</v>
      </c>
      <c r="K13597" s="7" t="s">
        <v>18</v>
      </c>
      <c r="L13597" s="8">
        <v>39987.315405092595</v>
      </c>
      <c r="M13597" s="9" t="s">
        <v>19</v>
      </c>
      <c r="N13597" s="9" t="s">
        <v>20</v>
      </c>
      <c r="O13597" s="6" t="str">
        <f>HYPERLINK("https://pbs.twimg.com/profile_images/962471262747529216/Uo8lOkRJ_normal.jpg","View")</f>
        <v>View</v>
      </c>
      <c r="P13597" s="7"/>
    </row>
    <row r="13598" spans="1:16">
      <c r="A13598" s="3">
        <v>44244.107268518521</v>
      </c>
      <c r="B13598" s="4" t="str">
        <f>HYPERLINK("https://twitter.com/petrogustavo","@petrogustavo")</f>
        <v>@petrogustavo</v>
      </c>
      <c r="C13598" s="5" t="s">
        <v>16</v>
      </c>
      <c r="D13598" s="5" t="s">
        <v>13086</v>
      </c>
      <c r="E13598" s="6" t="str">
        <f>HYPERLINK("https://twitter.com/petrogustavo/status/1361783527176622084","1361783527176622084")</f>
        <v>1361783527176622084</v>
      </c>
      <c r="F13598" s="7" t="s">
        <v>17</v>
      </c>
      <c r="G13598" s="7">
        <v>4064807</v>
      </c>
      <c r="H13598" s="7">
        <v>2491</v>
      </c>
      <c r="I13598" s="7">
        <v>102</v>
      </c>
      <c r="J13598" s="7">
        <v>274</v>
      </c>
      <c r="K13598" s="7" t="s">
        <v>18</v>
      </c>
      <c r="L13598" s="8">
        <v>39987.315405092595</v>
      </c>
      <c r="M13598" s="9" t="s">
        <v>19</v>
      </c>
      <c r="N13598" s="9" t="s">
        <v>20</v>
      </c>
      <c r="O13598" s="6" t="str">
        <f>HYPERLINK("https://pbs.twimg.com/profile_images/962471262747529216/Uo8lOkRJ_normal.jpg","View")</f>
        <v>View</v>
      </c>
      <c r="P13598" s="7"/>
    </row>
    <row r="13599" spans="1:16">
      <c r="A13599" s="3">
        <v>44244.732094907406</v>
      </c>
      <c r="B13599" s="4" t="str">
        <f>HYPERLINK("https://twitter.com/petrogustavo","@petrogustavo")</f>
        <v>@petrogustavo</v>
      </c>
      <c r="C13599" s="5" t="s">
        <v>16</v>
      </c>
      <c r="D13599" s="5" t="s">
        <v>13087</v>
      </c>
      <c r="E13599" s="6" t="str">
        <f>HYPERLINK("https://twitter.com/petrogustavo/status/1362009956631904263","1362009956631904263")</f>
        <v>1362009956631904263</v>
      </c>
      <c r="F13599" s="7" t="s">
        <v>17</v>
      </c>
      <c r="G13599" s="7">
        <v>4065195</v>
      </c>
      <c r="H13599" s="7">
        <v>2490</v>
      </c>
      <c r="I13599" s="7">
        <v>156</v>
      </c>
      <c r="J13599" s="7">
        <v>483</v>
      </c>
      <c r="K13599" s="7" t="s">
        <v>18</v>
      </c>
      <c r="L13599" s="8">
        <v>39987.315405092595</v>
      </c>
      <c r="M13599" s="9" t="s">
        <v>19</v>
      </c>
      <c r="N13599" s="9" t="s">
        <v>20</v>
      </c>
      <c r="O13599" s="6" t="str">
        <f>HYPERLINK("https://pbs.twimg.com/profile_images/962471262747529216/Uo8lOkRJ_normal.jpg","View")</f>
        <v>View</v>
      </c>
      <c r="P13599" s="7"/>
    </row>
    <row r="13600" spans="1:16">
      <c r="A13600" s="3">
        <v>44244.752546296295</v>
      </c>
      <c r="B13600" s="4" t="str">
        <f>HYPERLINK("https://twitter.com/petrogustavo","@petrogustavo")</f>
        <v>@petrogustavo</v>
      </c>
      <c r="C13600" s="5" t="s">
        <v>16</v>
      </c>
      <c r="D13600" s="5" t="s">
        <v>13088</v>
      </c>
      <c r="E13600" s="6" t="str">
        <f>HYPERLINK("https://twitter.com/petrogustavo/status/1362017369808392192","1362017369808392192")</f>
        <v>1362017369808392192</v>
      </c>
      <c r="F13600" s="7" t="s">
        <v>17</v>
      </c>
      <c r="G13600" s="7">
        <v>4065207</v>
      </c>
      <c r="H13600" s="7">
        <v>2490</v>
      </c>
      <c r="I13600" s="7">
        <v>56</v>
      </c>
      <c r="J13600" s="7">
        <v>107</v>
      </c>
      <c r="K13600" s="7" t="s">
        <v>18</v>
      </c>
      <c r="L13600" s="8">
        <v>39987.315405092595</v>
      </c>
      <c r="M13600" s="9" t="s">
        <v>19</v>
      </c>
      <c r="N13600" s="9" t="s">
        <v>20</v>
      </c>
      <c r="O13600" s="6" t="str">
        <f>HYPERLINK("https://pbs.twimg.com/profile_images/962471262747529216/Uo8lOkRJ_normal.jpg","View")</f>
        <v>View</v>
      </c>
      <c r="P13600" s="7"/>
    </row>
    <row r="13601" spans="1:16">
      <c r="A13601" s="3">
        <v>44244.756076388891</v>
      </c>
      <c r="B13601" s="4" t="str">
        <f>HYPERLINK("https://twitter.com/petrogustavo","@petrogustavo")</f>
        <v>@petrogustavo</v>
      </c>
      <c r="C13601" s="5" t="s">
        <v>16</v>
      </c>
      <c r="D13601" s="5" t="s">
        <v>13089</v>
      </c>
      <c r="E13601" s="6" t="str">
        <f>HYPERLINK("https://twitter.com/petrogustavo/status/1362018649243017220","1362018649243017220")</f>
        <v>1362018649243017220</v>
      </c>
      <c r="F13601" s="7" t="s">
        <v>17</v>
      </c>
      <c r="G13601" s="7">
        <v>4065207</v>
      </c>
      <c r="H13601" s="7">
        <v>2490</v>
      </c>
      <c r="I13601" s="7">
        <v>61</v>
      </c>
      <c r="J13601" s="7">
        <v>161</v>
      </c>
      <c r="K13601" s="7" t="s">
        <v>18</v>
      </c>
      <c r="L13601" s="8">
        <v>39987.315405092595</v>
      </c>
      <c r="M13601" s="9" t="s">
        <v>19</v>
      </c>
      <c r="N13601" s="9" t="s">
        <v>20</v>
      </c>
      <c r="O13601" s="6" t="str">
        <f>HYPERLINK("https://pbs.twimg.com/profile_images/962471262747529216/Uo8lOkRJ_normal.jpg","View")</f>
        <v>View</v>
      </c>
      <c r="P13601" s="7"/>
    </row>
    <row r="13602" spans="1:16">
      <c r="A13602" s="3">
        <v>44244.763877314814</v>
      </c>
      <c r="B13602" s="4" t="str">
        <f>HYPERLINK("https://twitter.com/petrogustavo","@petrogustavo")</f>
        <v>@petrogustavo</v>
      </c>
      <c r="C13602" s="5" t="s">
        <v>16</v>
      </c>
      <c r="D13602" s="5" t="s">
        <v>13090</v>
      </c>
      <c r="E13602" s="6" t="str">
        <f>HYPERLINK("https://twitter.com/petrogustavo/status/1362021473683144709","1362021473683144709")</f>
        <v>1362021473683144709</v>
      </c>
      <c r="F13602" s="7" t="s">
        <v>17</v>
      </c>
      <c r="G13602" s="7">
        <v>4065226</v>
      </c>
      <c r="H13602" s="7">
        <v>2490</v>
      </c>
      <c r="I13602" s="7">
        <v>201</v>
      </c>
      <c r="J13602" s="7">
        <v>408</v>
      </c>
      <c r="K13602" s="7" t="s">
        <v>18</v>
      </c>
      <c r="L13602" s="8">
        <v>39987.315405092595</v>
      </c>
      <c r="M13602" s="9" t="s">
        <v>19</v>
      </c>
      <c r="N13602" s="9" t="s">
        <v>20</v>
      </c>
      <c r="O13602" s="6" t="str">
        <f>HYPERLINK("https://pbs.twimg.com/profile_images/962471262747529216/Uo8lOkRJ_normal.jpg","View")</f>
        <v>View</v>
      </c>
      <c r="P13602" s="7"/>
    </row>
    <row r="13603" spans="1:16">
      <c r="A13603" s="3">
        <v>44244.76829861111</v>
      </c>
      <c r="B13603" s="4" t="str">
        <f>HYPERLINK("https://twitter.com/petrogustavo","@petrogustavo")</f>
        <v>@petrogustavo</v>
      </c>
      <c r="C13603" s="5" t="s">
        <v>16</v>
      </c>
      <c r="D13603" s="5" t="s">
        <v>13091</v>
      </c>
      <c r="E13603" s="6" t="str">
        <f>HYPERLINK("https://twitter.com/petrogustavo/status/1362023079078219785","1362023079078219785")</f>
        <v>1362023079078219785</v>
      </c>
      <c r="F13603" s="7" t="s">
        <v>17</v>
      </c>
      <c r="G13603" s="7">
        <v>4065226</v>
      </c>
      <c r="H13603" s="7">
        <v>2490</v>
      </c>
      <c r="I13603" s="7">
        <v>624</v>
      </c>
      <c r="J13603" s="7">
        <v>1909</v>
      </c>
      <c r="K13603" s="7" t="s">
        <v>18</v>
      </c>
      <c r="L13603" s="8">
        <v>39987.315405092595</v>
      </c>
      <c r="M13603" s="9" t="s">
        <v>19</v>
      </c>
      <c r="N13603" s="9" t="s">
        <v>20</v>
      </c>
      <c r="O13603" s="6" t="str">
        <f>HYPERLINK("https://pbs.twimg.com/profile_images/962471262747529216/Uo8lOkRJ_normal.jpg","View")</f>
        <v>View</v>
      </c>
      <c r="P13603" s="7"/>
    </row>
    <row r="13604" spans="1:16">
      <c r="A13604" s="3">
        <v>44244.82335648148</v>
      </c>
      <c r="B13604" s="4" t="str">
        <f>HYPERLINK("https://twitter.com/petrogustavo","@petrogustavo")</f>
        <v>@petrogustavo</v>
      </c>
      <c r="C13604" s="5" t="s">
        <v>16</v>
      </c>
      <c r="D13604" s="5" t="s">
        <v>13092</v>
      </c>
      <c r="E13604" s="6" t="str">
        <f>HYPERLINK("https://twitter.com/petrogustavo/status/1362043031571091458","1362043031571091458")</f>
        <v>1362043031571091458</v>
      </c>
      <c r="F13604" s="7" t="s">
        <v>17</v>
      </c>
      <c r="G13604" s="7">
        <v>4065261</v>
      </c>
      <c r="H13604" s="7">
        <v>2490</v>
      </c>
      <c r="I13604" s="7">
        <v>605</v>
      </c>
      <c r="J13604" s="7">
        <v>0</v>
      </c>
      <c r="K13604" s="7" t="s">
        <v>18</v>
      </c>
      <c r="L13604" s="8">
        <v>39987.315405092595</v>
      </c>
      <c r="M13604" s="9" t="s">
        <v>19</v>
      </c>
      <c r="N13604" s="9" t="s">
        <v>20</v>
      </c>
      <c r="O13604" s="6" t="str">
        <f>HYPERLINK("https://pbs.twimg.com/profile_images/962471262747529216/Uo8lOkRJ_normal.jpg","View")</f>
        <v>View</v>
      </c>
      <c r="P13604" s="7"/>
    </row>
    <row r="13605" spans="1:16">
      <c r="A13605" s="3">
        <v>44244.930162037039</v>
      </c>
      <c r="B13605" s="4" t="str">
        <f>HYPERLINK("https://twitter.com/petrogustavo","@petrogustavo")</f>
        <v>@petrogustavo</v>
      </c>
      <c r="C13605" s="5" t="s">
        <v>16</v>
      </c>
      <c r="D13605" s="5" t="s">
        <v>13093</v>
      </c>
      <c r="E13605" s="6" t="str">
        <f>HYPERLINK("https://twitter.com/petrogustavo/status/1362081736830685184","1362081736830685184")</f>
        <v>1362081736830685184</v>
      </c>
      <c r="F13605" s="7" t="s">
        <v>17</v>
      </c>
      <c r="G13605" s="7">
        <v>4065358</v>
      </c>
      <c r="H13605" s="7">
        <v>2490</v>
      </c>
      <c r="I13605" s="7">
        <v>1287</v>
      </c>
      <c r="J13605" s="7">
        <v>0</v>
      </c>
      <c r="K13605" s="7" t="s">
        <v>18</v>
      </c>
      <c r="L13605" s="8">
        <v>39987.315405092595</v>
      </c>
      <c r="M13605" s="9" t="s">
        <v>19</v>
      </c>
      <c r="N13605" s="9" t="s">
        <v>20</v>
      </c>
      <c r="O13605" s="6" t="str">
        <f>HYPERLINK("https://pbs.twimg.com/profile_images/962471262747529216/Uo8lOkRJ_normal.jpg","View")</f>
        <v>View</v>
      </c>
      <c r="P13605" s="7"/>
    </row>
    <row r="13606" spans="1:16">
      <c r="A13606" s="3">
        <v>44245.012916666667</v>
      </c>
      <c r="B13606" s="4" t="str">
        <f>HYPERLINK("https://twitter.com/petrogustavo","@petrogustavo")</f>
        <v>@petrogustavo</v>
      </c>
      <c r="C13606" s="5" t="s">
        <v>16</v>
      </c>
      <c r="D13606" s="5" t="s">
        <v>13094</v>
      </c>
      <c r="E13606" s="6" t="str">
        <f>HYPERLINK("https://twitter.com/petrogustavo/status/1362111723520602113","1362111723520602113")</f>
        <v>1362111723520602113</v>
      </c>
      <c r="F13606" s="7" t="s">
        <v>17</v>
      </c>
      <c r="G13606" s="7">
        <v>4065482</v>
      </c>
      <c r="H13606" s="7">
        <v>2481</v>
      </c>
      <c r="I13606" s="7">
        <v>172</v>
      </c>
      <c r="J13606" s="7">
        <v>548</v>
      </c>
      <c r="K13606" s="7" t="s">
        <v>18</v>
      </c>
      <c r="L13606" s="8">
        <v>39987.315405092595</v>
      </c>
      <c r="M13606" s="9" t="s">
        <v>19</v>
      </c>
      <c r="N13606" s="9" t="s">
        <v>20</v>
      </c>
      <c r="O13606" s="6" t="str">
        <f>HYPERLINK("https://pbs.twimg.com/profile_images/962471262747529216/Uo8lOkRJ_normal.jpg","View")</f>
        <v>View</v>
      </c>
      <c r="P13606" s="7"/>
    </row>
    <row r="13607" spans="1:16">
      <c r="A13607" s="3">
        <v>44245.013831018514</v>
      </c>
      <c r="B13607" s="4" t="str">
        <f>HYPERLINK("https://twitter.com/petrogustavo","@petrogustavo")</f>
        <v>@petrogustavo</v>
      </c>
      <c r="C13607" s="5" t="s">
        <v>16</v>
      </c>
      <c r="D13607" s="5" t="s">
        <v>13095</v>
      </c>
      <c r="E13607" s="6" t="str">
        <f>HYPERLINK("https://twitter.com/petrogustavo/status/1362112054790914050","1362112054790914050")</f>
        <v>1362112054790914050</v>
      </c>
      <c r="F13607" s="7" t="s">
        <v>17</v>
      </c>
      <c r="G13607" s="7">
        <v>4065482</v>
      </c>
      <c r="H13607" s="7">
        <v>2481</v>
      </c>
      <c r="I13607" s="7">
        <v>3997</v>
      </c>
      <c r="J13607" s="7">
        <v>0</v>
      </c>
      <c r="K13607" s="7" t="s">
        <v>18</v>
      </c>
      <c r="L13607" s="8">
        <v>39987.315405092595</v>
      </c>
      <c r="M13607" s="9" t="s">
        <v>19</v>
      </c>
      <c r="N13607" s="9" t="s">
        <v>20</v>
      </c>
      <c r="O13607" s="6" t="str">
        <f>HYPERLINK("https://pbs.twimg.com/profile_images/962471262747529216/Uo8lOkRJ_normal.jpg","View")</f>
        <v>View</v>
      </c>
      <c r="P13607" s="7"/>
    </row>
    <row r="13608" spans="1:16">
      <c r="A13608" s="3">
        <v>44245.019155092596</v>
      </c>
      <c r="B13608" s="4" t="str">
        <f>HYPERLINK("https://twitter.com/petrogustavo","@petrogustavo")</f>
        <v>@petrogustavo</v>
      </c>
      <c r="C13608" s="5" t="s">
        <v>16</v>
      </c>
      <c r="D13608" s="5" t="s">
        <v>13096</v>
      </c>
      <c r="E13608" s="6" t="str">
        <f>HYPERLINK("https://twitter.com/petrogustavo/status/1362113986020470786","1362113986020470786")</f>
        <v>1362113986020470786</v>
      </c>
      <c r="F13608" s="7" t="s">
        <v>17</v>
      </c>
      <c r="G13608" s="7">
        <v>4065482</v>
      </c>
      <c r="H13608" s="7">
        <v>2481</v>
      </c>
      <c r="I13608" s="7">
        <v>141</v>
      </c>
      <c r="J13608" s="7">
        <v>0</v>
      </c>
      <c r="K13608" s="7" t="s">
        <v>18</v>
      </c>
      <c r="L13608" s="8">
        <v>39987.315405092595</v>
      </c>
      <c r="M13608" s="9" t="s">
        <v>19</v>
      </c>
      <c r="N13608" s="9" t="s">
        <v>20</v>
      </c>
      <c r="O13608" s="6" t="str">
        <f>HYPERLINK("https://pbs.twimg.com/profile_images/962471262747529216/Uo8lOkRJ_normal.jpg","View")</f>
        <v>View</v>
      </c>
      <c r="P13608" s="7"/>
    </row>
    <row r="13609" spans="1:16">
      <c r="A13609" s="3">
        <v>44245.047083333338</v>
      </c>
      <c r="B13609" s="4" t="str">
        <f>HYPERLINK("https://twitter.com/petrogustavo","@petrogustavo")</f>
        <v>@petrogustavo</v>
      </c>
      <c r="C13609" s="5" t="s">
        <v>16</v>
      </c>
      <c r="D13609" s="5" t="s">
        <v>13097</v>
      </c>
      <c r="E13609" s="6" t="str">
        <f>HYPERLINK("https://twitter.com/petrogustavo/status/1362124104699174915","1362124104699174915")</f>
        <v>1362124104699174915</v>
      </c>
      <c r="F13609" s="7" t="s">
        <v>17</v>
      </c>
      <c r="G13609" s="7">
        <v>4065487</v>
      </c>
      <c r="H13609" s="7">
        <v>2481</v>
      </c>
      <c r="I13609" s="7">
        <v>63</v>
      </c>
      <c r="J13609" s="7">
        <v>240</v>
      </c>
      <c r="K13609" s="7" t="s">
        <v>18</v>
      </c>
      <c r="L13609" s="8">
        <v>39987.315405092595</v>
      </c>
      <c r="M13609" s="9" t="s">
        <v>19</v>
      </c>
      <c r="N13609" s="9" t="s">
        <v>20</v>
      </c>
      <c r="O13609" s="6" t="str">
        <f>HYPERLINK("https://pbs.twimg.com/profile_images/962471262747529216/Uo8lOkRJ_normal.jpg","View")</f>
        <v>View</v>
      </c>
      <c r="P13609" s="7"/>
    </row>
    <row r="13610" spans="1:16">
      <c r="A13610" s="3">
        <v>44245.149375000001</v>
      </c>
      <c r="B13610" s="4" t="str">
        <f>HYPERLINK("https://twitter.com/petrogustavo","@petrogustavo")</f>
        <v>@petrogustavo</v>
      </c>
      <c r="C13610" s="5" t="s">
        <v>16</v>
      </c>
      <c r="D13610" s="5" t="s">
        <v>13095</v>
      </c>
      <c r="E13610" s="6" t="str">
        <f>HYPERLINK("https://twitter.com/petrogustavo/status/1362161175186853888","1362161175186853888")</f>
        <v>1362161175186853888</v>
      </c>
      <c r="F13610" s="7" t="s">
        <v>17</v>
      </c>
      <c r="G13610" s="7">
        <v>4065594</v>
      </c>
      <c r="H13610" s="7">
        <v>2480</v>
      </c>
      <c r="I13610" s="7">
        <v>4633</v>
      </c>
      <c r="J13610" s="7">
        <v>0</v>
      </c>
      <c r="K13610" s="7" t="s">
        <v>18</v>
      </c>
      <c r="L13610" s="8">
        <v>39987.315405092595</v>
      </c>
      <c r="M13610" s="9" t="s">
        <v>19</v>
      </c>
      <c r="N13610" s="9" t="s">
        <v>20</v>
      </c>
      <c r="O13610" s="6" t="str">
        <f>HYPERLINK("https://pbs.twimg.com/profile_images/962471262747529216/Uo8lOkRJ_normal.jpg","View")</f>
        <v>View</v>
      </c>
      <c r="P13610" s="7"/>
    </row>
    <row r="13611" spans="1:16">
      <c r="A13611" s="3">
        <v>44245.15111111111</v>
      </c>
      <c r="B13611" s="4" t="str">
        <f>HYPERLINK("https://twitter.com/petrogustavo","@petrogustavo")</f>
        <v>@petrogustavo</v>
      </c>
      <c r="C13611" s="5" t="s">
        <v>16</v>
      </c>
      <c r="D13611" s="5" t="s">
        <v>13098</v>
      </c>
      <c r="E13611" s="6" t="str">
        <f>HYPERLINK("https://twitter.com/petrogustavo/status/1362161805532008448","1362161805532008448")</f>
        <v>1362161805532008448</v>
      </c>
      <c r="F13611" s="7" t="s">
        <v>17</v>
      </c>
      <c r="G13611" s="7">
        <v>4065594</v>
      </c>
      <c r="H13611" s="7">
        <v>2480</v>
      </c>
      <c r="I13611" s="7">
        <v>153</v>
      </c>
      <c r="J13611" s="7">
        <v>0</v>
      </c>
      <c r="K13611" s="7" t="s">
        <v>18</v>
      </c>
      <c r="L13611" s="8">
        <v>39987.315405092595</v>
      </c>
      <c r="M13611" s="9" t="s">
        <v>19</v>
      </c>
      <c r="N13611" s="9" t="s">
        <v>20</v>
      </c>
      <c r="O13611" s="6" t="str">
        <f>HYPERLINK("https://pbs.twimg.com/profile_images/962471262747529216/Uo8lOkRJ_normal.jpg","View")</f>
        <v>View</v>
      </c>
      <c r="P13611" s="7"/>
    </row>
    <row r="13612" spans="1:16">
      <c r="A13612" s="3">
        <v>44245.151504629626</v>
      </c>
      <c r="B13612" s="4" t="str">
        <f>HYPERLINK("https://twitter.com/petrogustavo","@petrogustavo")</f>
        <v>@petrogustavo</v>
      </c>
      <c r="C13612" s="5" t="s">
        <v>16</v>
      </c>
      <c r="D13612" s="5" t="s">
        <v>13099</v>
      </c>
      <c r="E13612" s="6" t="str">
        <f>HYPERLINK("https://twitter.com/petrogustavo/status/1362161944946442241","1362161944946442241")</f>
        <v>1362161944946442241</v>
      </c>
      <c r="F13612" s="7" t="s">
        <v>17</v>
      </c>
      <c r="G13612" s="7">
        <v>4065594</v>
      </c>
      <c r="H13612" s="7">
        <v>2480</v>
      </c>
      <c r="I13612" s="7">
        <v>1155</v>
      </c>
      <c r="J13612" s="7">
        <v>0</v>
      </c>
      <c r="K13612" s="7" t="s">
        <v>18</v>
      </c>
      <c r="L13612" s="8">
        <v>39987.315405092595</v>
      </c>
      <c r="M13612" s="9" t="s">
        <v>19</v>
      </c>
      <c r="N13612" s="9" t="s">
        <v>20</v>
      </c>
      <c r="O13612" s="6" t="str">
        <f>HYPERLINK("https://pbs.twimg.com/profile_images/962471262747529216/Uo8lOkRJ_normal.jpg","View")</f>
        <v>View</v>
      </c>
      <c r="P13612" s="7"/>
    </row>
    <row r="13613" spans="1:16">
      <c r="A13613" s="3">
        <v>44245.560092592597</v>
      </c>
      <c r="B13613" s="4" t="str">
        <f>HYPERLINK("https://twitter.com/petrogustavo","@petrogustavo")</f>
        <v>@petrogustavo</v>
      </c>
      <c r="C13613" s="5" t="s">
        <v>16</v>
      </c>
      <c r="D13613" s="5" t="s">
        <v>13100</v>
      </c>
      <c r="E13613" s="6" t="str">
        <f>HYPERLINK("https://twitter.com/petrogustavo/status/1362310015642726401","1362310015642726401")</f>
        <v>1362310015642726401</v>
      </c>
      <c r="F13613" s="7" t="s">
        <v>17</v>
      </c>
      <c r="G13613" s="7">
        <v>4066013</v>
      </c>
      <c r="H13613" s="7">
        <v>2481</v>
      </c>
      <c r="I13613" s="7">
        <v>37</v>
      </c>
      <c r="J13613" s="7">
        <v>86</v>
      </c>
      <c r="K13613" s="7" t="s">
        <v>18</v>
      </c>
      <c r="L13613" s="8">
        <v>39987.315405092595</v>
      </c>
      <c r="M13613" s="9" t="s">
        <v>19</v>
      </c>
      <c r="N13613" s="9" t="s">
        <v>20</v>
      </c>
      <c r="O13613" s="6" t="str">
        <f>HYPERLINK("https://pbs.twimg.com/profile_images/962471262747529216/Uo8lOkRJ_normal.jpg","View")</f>
        <v>View</v>
      </c>
      <c r="P13613" s="7"/>
    </row>
    <row r="13614" spans="1:16">
      <c r="A13614" s="3">
        <v>44245.560104166667</v>
      </c>
      <c r="B13614" s="4" t="str">
        <f>HYPERLINK("https://twitter.com/petrogustavo","@petrogustavo")</f>
        <v>@petrogustavo</v>
      </c>
      <c r="C13614" s="5" t="s">
        <v>16</v>
      </c>
      <c r="D13614" s="5" t="s">
        <v>13101</v>
      </c>
      <c r="E13614" s="6" t="str">
        <f>HYPERLINK("https://twitter.com/petrogustavo/status/1362310017333014529","1362310017333014529")</f>
        <v>1362310017333014529</v>
      </c>
      <c r="F13614" s="7" t="s">
        <v>17</v>
      </c>
      <c r="G13614" s="7">
        <v>4066013</v>
      </c>
      <c r="H13614" s="7">
        <v>2481</v>
      </c>
      <c r="I13614" s="7">
        <v>11</v>
      </c>
      <c r="J13614" s="7">
        <v>45</v>
      </c>
      <c r="K13614" s="7" t="s">
        <v>18</v>
      </c>
      <c r="L13614" s="8">
        <v>39987.315405092595</v>
      </c>
      <c r="M13614" s="9" t="s">
        <v>19</v>
      </c>
      <c r="N13614" s="9" t="s">
        <v>20</v>
      </c>
      <c r="O13614" s="6" t="str">
        <f>HYPERLINK("https://pbs.twimg.com/profile_images/962471262747529216/Uo8lOkRJ_normal.jpg","View")</f>
        <v>View</v>
      </c>
      <c r="P13614" s="7"/>
    </row>
    <row r="13615" spans="1:16">
      <c r="A13615" s="3">
        <v>44245.560104166667</v>
      </c>
      <c r="B13615" s="4" t="str">
        <f>HYPERLINK("https://twitter.com/petrogustavo","@petrogustavo")</f>
        <v>@petrogustavo</v>
      </c>
      <c r="C13615" s="5" t="s">
        <v>16</v>
      </c>
      <c r="D13615" s="5" t="s">
        <v>13102</v>
      </c>
      <c r="E13615" s="6" t="str">
        <f>HYPERLINK("https://twitter.com/petrogustavo/status/1362310018700353538","1362310018700353538")</f>
        <v>1362310018700353538</v>
      </c>
      <c r="F13615" s="7" t="s">
        <v>17</v>
      </c>
      <c r="G13615" s="7">
        <v>4066013</v>
      </c>
      <c r="H13615" s="7">
        <v>2481</v>
      </c>
      <c r="I13615" s="7">
        <v>10</v>
      </c>
      <c r="J13615" s="7">
        <v>35</v>
      </c>
      <c r="K13615" s="7" t="s">
        <v>18</v>
      </c>
      <c r="L13615" s="8">
        <v>39987.315405092595</v>
      </c>
      <c r="M13615" s="9" t="s">
        <v>19</v>
      </c>
      <c r="N13615" s="9" t="s">
        <v>20</v>
      </c>
      <c r="O13615" s="6" t="str">
        <f>HYPERLINK("https://pbs.twimg.com/profile_images/962471262747529216/Uo8lOkRJ_normal.jpg","View")</f>
        <v>View</v>
      </c>
      <c r="P13615" s="7"/>
    </row>
    <row r="13616" spans="1:16">
      <c r="A13616" s="3">
        <v>44245.621967592597</v>
      </c>
      <c r="B13616" s="4" t="str">
        <f>HYPERLINK("https://twitter.com/petrogustavo","@petrogustavo")</f>
        <v>@petrogustavo</v>
      </c>
      <c r="C13616" s="5" t="s">
        <v>16</v>
      </c>
      <c r="D13616" s="5" t="s">
        <v>13103</v>
      </c>
      <c r="E13616" s="6" t="str">
        <f>HYPERLINK("https://twitter.com/petrogustavo/status/1362332435686584321","1362332435686584321")</f>
        <v>1362332435686584321</v>
      </c>
      <c r="F13616" s="7" t="s">
        <v>17</v>
      </c>
      <c r="G13616" s="7">
        <v>4066017</v>
      </c>
      <c r="H13616" s="7">
        <v>2481</v>
      </c>
      <c r="I13616" s="7">
        <v>132</v>
      </c>
      <c r="J13616" s="7">
        <v>0</v>
      </c>
      <c r="K13616" s="7" t="s">
        <v>18</v>
      </c>
      <c r="L13616" s="8">
        <v>39987.315405092595</v>
      </c>
      <c r="M13616" s="9" t="s">
        <v>19</v>
      </c>
      <c r="N13616" s="9" t="s">
        <v>20</v>
      </c>
      <c r="O13616" s="6" t="str">
        <f>HYPERLINK("https://pbs.twimg.com/profile_images/962471262747529216/Uo8lOkRJ_normal.jpg","View")</f>
        <v>View</v>
      </c>
      <c r="P13616" s="7"/>
    </row>
    <row r="13617" spans="1:16">
      <c r="A13617" s="3">
        <v>44245.694166666668</v>
      </c>
      <c r="B13617" s="4" t="str">
        <f>HYPERLINK("https://twitter.com/petrogustavo","@petrogustavo")</f>
        <v>@petrogustavo</v>
      </c>
      <c r="C13617" s="5" t="s">
        <v>16</v>
      </c>
      <c r="D13617" s="5" t="s">
        <v>13103</v>
      </c>
      <c r="E13617" s="6" t="str">
        <f>HYPERLINK("https://twitter.com/petrogustavo/status/1362358602946793475","1362358602946793475")</f>
        <v>1362358602946793475</v>
      </c>
      <c r="F13617" s="7" t="s">
        <v>17</v>
      </c>
      <c r="G13617" s="7">
        <v>4066032</v>
      </c>
      <c r="H13617" s="7">
        <v>2481</v>
      </c>
      <c r="I13617" s="7">
        <v>373</v>
      </c>
      <c r="J13617" s="7">
        <v>0</v>
      </c>
      <c r="K13617" s="7" t="s">
        <v>18</v>
      </c>
      <c r="L13617" s="8">
        <v>39987.315405092595</v>
      </c>
      <c r="M13617" s="9" t="s">
        <v>19</v>
      </c>
      <c r="N13617" s="9" t="s">
        <v>20</v>
      </c>
      <c r="O13617" s="6" t="str">
        <f>HYPERLINK("https://pbs.twimg.com/profile_images/962471262747529216/Uo8lOkRJ_normal.jpg","View")</f>
        <v>View</v>
      </c>
      <c r="P13617" s="7"/>
    </row>
    <row r="13618" spans="1:16">
      <c r="A13618" s="3">
        <v>44245.710034722222</v>
      </c>
      <c r="B13618" s="4" t="str">
        <f>HYPERLINK("https://twitter.com/petrogustavo","@petrogustavo")</f>
        <v>@petrogustavo</v>
      </c>
      <c r="C13618" s="5" t="s">
        <v>16</v>
      </c>
      <c r="D13618" s="5" t="s">
        <v>13104</v>
      </c>
      <c r="E13618" s="6" t="str">
        <f>HYPERLINK("https://twitter.com/petrogustavo/status/1362364350439243777","1362364350439243777")</f>
        <v>1362364350439243777</v>
      </c>
      <c r="F13618" s="7" t="s">
        <v>17</v>
      </c>
      <c r="G13618" s="7">
        <v>4066049</v>
      </c>
      <c r="H13618" s="7">
        <v>2481</v>
      </c>
      <c r="I13618" s="7">
        <v>219</v>
      </c>
      <c r="J13618" s="7">
        <v>502</v>
      </c>
      <c r="K13618" s="7" t="s">
        <v>18</v>
      </c>
      <c r="L13618" s="8">
        <v>39987.315405092595</v>
      </c>
      <c r="M13618" s="9" t="s">
        <v>19</v>
      </c>
      <c r="N13618" s="9" t="s">
        <v>20</v>
      </c>
      <c r="O13618" s="6" t="str">
        <f>HYPERLINK("https://pbs.twimg.com/profile_images/962471262747529216/Uo8lOkRJ_normal.jpg","View")</f>
        <v>View</v>
      </c>
      <c r="P13618" s="7"/>
    </row>
    <row r="13619" spans="1:16">
      <c r="A13619" s="3">
        <v>44245.727256944447</v>
      </c>
      <c r="B13619" s="4" t="str">
        <f>HYPERLINK("https://twitter.com/petrogustavo","@petrogustavo")</f>
        <v>@petrogustavo</v>
      </c>
      <c r="C13619" s="5" t="s">
        <v>16</v>
      </c>
      <c r="D13619" s="5" t="s">
        <v>13105</v>
      </c>
      <c r="E13619" s="6" t="str">
        <f>HYPERLINK("https://twitter.com/petrogustavo/status/1362370594063478784","1362370594063478784")</f>
        <v>1362370594063478784</v>
      </c>
      <c r="F13619" s="7" t="s">
        <v>17</v>
      </c>
      <c r="G13619" s="7">
        <v>4066062</v>
      </c>
      <c r="H13619" s="7">
        <v>2481</v>
      </c>
      <c r="I13619" s="7">
        <v>95</v>
      </c>
      <c r="J13619" s="7">
        <v>273</v>
      </c>
      <c r="K13619" s="7" t="s">
        <v>18</v>
      </c>
      <c r="L13619" s="8">
        <v>39987.315405092595</v>
      </c>
      <c r="M13619" s="9" t="s">
        <v>19</v>
      </c>
      <c r="N13619" s="9" t="s">
        <v>20</v>
      </c>
      <c r="O13619" s="6" t="str">
        <f>HYPERLINK("https://pbs.twimg.com/profile_images/962471262747529216/Uo8lOkRJ_normal.jpg","View")</f>
        <v>View</v>
      </c>
      <c r="P13619" s="7"/>
    </row>
    <row r="13620" spans="1:16">
      <c r="A13620" s="3">
        <v>44245.728310185186</v>
      </c>
      <c r="B13620" s="4" t="str">
        <f>HYPERLINK("https://twitter.com/petrogustavo","@petrogustavo")</f>
        <v>@petrogustavo</v>
      </c>
      <c r="C13620" s="5" t="s">
        <v>16</v>
      </c>
      <c r="D13620" s="5" t="s">
        <v>13106</v>
      </c>
      <c r="E13620" s="6" t="str">
        <f>HYPERLINK("https://twitter.com/petrogustavo/status/1362370975002734592","1362370975002734592")</f>
        <v>1362370975002734592</v>
      </c>
      <c r="F13620" s="7" t="s">
        <v>17</v>
      </c>
      <c r="G13620" s="7">
        <v>4066062</v>
      </c>
      <c r="H13620" s="7">
        <v>2481</v>
      </c>
      <c r="I13620" s="7">
        <v>589</v>
      </c>
      <c r="J13620" s="7">
        <v>0</v>
      </c>
      <c r="K13620" s="7" t="s">
        <v>18</v>
      </c>
      <c r="L13620" s="8">
        <v>39987.315405092595</v>
      </c>
      <c r="M13620" s="9" t="s">
        <v>19</v>
      </c>
      <c r="N13620" s="9" t="s">
        <v>20</v>
      </c>
      <c r="O13620" s="6" t="str">
        <f>HYPERLINK("https://pbs.twimg.com/profile_images/962471262747529216/Uo8lOkRJ_normal.jpg","View")</f>
        <v>View</v>
      </c>
      <c r="P13620" s="7"/>
    </row>
    <row r="13621" spans="1:16">
      <c r="A13621" s="3">
        <v>44245.877870370372</v>
      </c>
      <c r="B13621" s="4" t="str">
        <f>HYPERLINK("https://twitter.com/petrogustavo","@petrogustavo")</f>
        <v>@petrogustavo</v>
      </c>
      <c r="C13621" s="5" t="s">
        <v>16</v>
      </c>
      <c r="D13621" s="5" t="s">
        <v>13107</v>
      </c>
      <c r="E13621" s="6" t="str">
        <f>HYPERLINK("https://twitter.com/petrogustavo/status/1362425173555761155","1362425173555761155")</f>
        <v>1362425173555761155</v>
      </c>
      <c r="F13621" s="7" t="s">
        <v>17</v>
      </c>
      <c r="G13621" s="7">
        <v>4066342</v>
      </c>
      <c r="H13621" s="7">
        <v>2482</v>
      </c>
      <c r="I13621" s="7">
        <v>141</v>
      </c>
      <c r="J13621" s="7">
        <v>288</v>
      </c>
      <c r="K13621" s="7" t="s">
        <v>18</v>
      </c>
      <c r="L13621" s="8">
        <v>39987.315405092595</v>
      </c>
      <c r="M13621" s="9" t="s">
        <v>19</v>
      </c>
      <c r="N13621" s="9" t="s">
        <v>20</v>
      </c>
      <c r="O13621" s="6" t="str">
        <f>HYPERLINK("https://pbs.twimg.com/profile_images/962471262747529216/Uo8lOkRJ_normal.jpg","View")</f>
        <v>View</v>
      </c>
      <c r="P13621" s="7"/>
    </row>
    <row r="13622" spans="1:16">
      <c r="A13622" s="3">
        <v>44245.885150462964</v>
      </c>
      <c r="B13622" s="4" t="str">
        <f>HYPERLINK("https://twitter.com/petrogustavo","@petrogustavo")</f>
        <v>@petrogustavo</v>
      </c>
      <c r="C13622" s="5" t="s">
        <v>16</v>
      </c>
      <c r="D13622" s="5" t="s">
        <v>13108</v>
      </c>
      <c r="E13622" s="6" t="str">
        <f>HYPERLINK("https://twitter.com/petrogustavo/status/1362427811181580291","1362427811181580291")</f>
        <v>1362427811181580291</v>
      </c>
      <c r="F13622" s="7" t="s">
        <v>17</v>
      </c>
      <c r="G13622" s="7">
        <v>4066342</v>
      </c>
      <c r="H13622" s="7">
        <v>2482</v>
      </c>
      <c r="I13622" s="7">
        <v>16</v>
      </c>
      <c r="J13622" s="7">
        <v>0</v>
      </c>
      <c r="K13622" s="7" t="s">
        <v>18</v>
      </c>
      <c r="L13622" s="8">
        <v>39987.315405092595</v>
      </c>
      <c r="M13622" s="9" t="s">
        <v>19</v>
      </c>
      <c r="N13622" s="9" t="s">
        <v>20</v>
      </c>
      <c r="O13622" s="6" t="str">
        <f>HYPERLINK("https://pbs.twimg.com/profile_images/962471262747529216/Uo8lOkRJ_normal.jpg","View")</f>
        <v>View</v>
      </c>
      <c r="P13622" s="7"/>
    </row>
    <row r="13623" spans="1:16">
      <c r="A13623" s="3">
        <v>44245.891967592594</v>
      </c>
      <c r="B13623" s="4" t="str">
        <f>HYPERLINK("https://twitter.com/petrogustavo","@petrogustavo")</f>
        <v>@petrogustavo</v>
      </c>
      <c r="C13623" s="5" t="s">
        <v>16</v>
      </c>
      <c r="D13623" s="5" t="s">
        <v>13109</v>
      </c>
      <c r="E13623" s="6" t="str">
        <f>HYPERLINK("https://twitter.com/petrogustavo/status/1362430282540998659","1362430282540998659")</f>
        <v>1362430282540998659</v>
      </c>
      <c r="F13623" s="7" t="s">
        <v>17</v>
      </c>
      <c r="G13623" s="7">
        <v>4066391</v>
      </c>
      <c r="H13623" s="7">
        <v>2482</v>
      </c>
      <c r="I13623" s="7">
        <v>9</v>
      </c>
      <c r="J13623" s="7">
        <v>22</v>
      </c>
      <c r="K13623" s="7" t="s">
        <v>18</v>
      </c>
      <c r="L13623" s="8">
        <v>39987.315405092595</v>
      </c>
      <c r="M13623" s="9" t="s">
        <v>19</v>
      </c>
      <c r="N13623" s="9" t="s">
        <v>20</v>
      </c>
      <c r="O13623" s="6" t="str">
        <f>HYPERLINK("https://pbs.twimg.com/profile_images/962471262747529216/Uo8lOkRJ_normal.jpg","View")</f>
        <v>View</v>
      </c>
      <c r="P13623" s="7"/>
    </row>
    <row r="13624" spans="1:16">
      <c r="A13624" s="3">
        <v>44245.89197916667</v>
      </c>
      <c r="B13624" s="4" t="str">
        <f>HYPERLINK("https://twitter.com/petrogustavo","@petrogustavo")</f>
        <v>@petrogustavo</v>
      </c>
      <c r="C13624" s="5" t="s">
        <v>16</v>
      </c>
      <c r="D13624" s="5" t="s">
        <v>13110</v>
      </c>
      <c r="E13624" s="6" t="str">
        <f>HYPERLINK("https://twitter.com/petrogustavo/status/1362430284042543107","1362430284042543107")</f>
        <v>1362430284042543107</v>
      </c>
      <c r="F13624" s="7" t="s">
        <v>17</v>
      </c>
      <c r="G13624" s="7">
        <v>4066391</v>
      </c>
      <c r="H13624" s="7">
        <v>2482</v>
      </c>
      <c r="I13624" s="7">
        <v>8</v>
      </c>
      <c r="J13624" s="7">
        <v>27</v>
      </c>
      <c r="K13624" s="7" t="s">
        <v>18</v>
      </c>
      <c r="L13624" s="8">
        <v>39987.315405092595</v>
      </c>
      <c r="M13624" s="9" t="s">
        <v>19</v>
      </c>
      <c r="N13624" s="9" t="s">
        <v>20</v>
      </c>
      <c r="O13624" s="6" t="str">
        <f>HYPERLINK("https://pbs.twimg.com/profile_images/962471262747529216/Uo8lOkRJ_normal.jpg","View")</f>
        <v>View</v>
      </c>
      <c r="P13624" s="7"/>
    </row>
    <row r="13625" spans="1:16">
      <c r="A13625" s="3">
        <v>44245.915208333332</v>
      </c>
      <c r="B13625" s="4" t="str">
        <f>HYPERLINK("https://twitter.com/petrogustavo","@petrogustavo")</f>
        <v>@petrogustavo</v>
      </c>
      <c r="C13625" s="5" t="s">
        <v>16</v>
      </c>
      <c r="D13625" s="5" t="s">
        <v>13106</v>
      </c>
      <c r="E13625" s="6" t="str">
        <f>HYPERLINK("https://twitter.com/petrogustavo/status/1362438704082661376","1362438704082661376")</f>
        <v>1362438704082661376</v>
      </c>
      <c r="F13625" s="7" t="s">
        <v>17</v>
      </c>
      <c r="G13625" s="7">
        <v>4066438</v>
      </c>
      <c r="H13625" s="7">
        <v>2482</v>
      </c>
      <c r="I13625" s="7">
        <v>2474</v>
      </c>
      <c r="J13625" s="7">
        <v>0</v>
      </c>
      <c r="K13625" s="7" t="s">
        <v>18</v>
      </c>
      <c r="L13625" s="8">
        <v>39987.315405092595</v>
      </c>
      <c r="M13625" s="9" t="s">
        <v>19</v>
      </c>
      <c r="N13625" s="9" t="s">
        <v>20</v>
      </c>
      <c r="O13625" s="6" t="str">
        <f>HYPERLINK("https://pbs.twimg.com/profile_images/962471262747529216/Uo8lOkRJ_normal.jpg","View")</f>
        <v>View</v>
      </c>
      <c r="P13625" s="7"/>
    </row>
    <row r="13626" spans="1:16">
      <c r="A13626" s="3">
        <v>44246.132916666669</v>
      </c>
      <c r="B13626" s="4" t="str">
        <f>HYPERLINK("https://twitter.com/petrogustavo","@petrogustavo")</f>
        <v>@petrogustavo</v>
      </c>
      <c r="C13626" s="5" t="s">
        <v>16</v>
      </c>
      <c r="D13626" s="5" t="s">
        <v>13103</v>
      </c>
      <c r="E13626" s="6" t="str">
        <f>HYPERLINK("https://twitter.com/petrogustavo/status/1362517599230263296","1362517599230263296")</f>
        <v>1362517599230263296</v>
      </c>
      <c r="F13626" s="7" t="s">
        <v>17</v>
      </c>
      <c r="G13626" s="7">
        <v>4066767</v>
      </c>
      <c r="H13626" s="7">
        <v>2481</v>
      </c>
      <c r="I13626" s="7">
        <v>2076</v>
      </c>
      <c r="J13626" s="7">
        <v>0</v>
      </c>
      <c r="K13626" s="7" t="s">
        <v>18</v>
      </c>
      <c r="L13626" s="8">
        <v>39987.315405092595</v>
      </c>
      <c r="M13626" s="9" t="s">
        <v>19</v>
      </c>
      <c r="N13626" s="9" t="s">
        <v>20</v>
      </c>
      <c r="O13626" s="6" t="str">
        <f>HYPERLINK("https://pbs.twimg.com/profile_images/962471262747529216/Uo8lOkRJ_normal.jpg","View")</f>
        <v>View</v>
      </c>
      <c r="P13626" s="7"/>
    </row>
    <row r="13627" spans="1:16">
      <c r="A13627" s="3">
        <v>44246.692418981482</v>
      </c>
      <c r="B13627" s="4" t="str">
        <f>HYPERLINK("https://twitter.com/petrogustavo","@petrogustavo")</f>
        <v>@petrogustavo</v>
      </c>
      <c r="C13627" s="5" t="s">
        <v>16</v>
      </c>
      <c r="D13627" s="5" t="s">
        <v>13111</v>
      </c>
      <c r="E13627" s="6" t="str">
        <f>HYPERLINK("https://twitter.com/petrogustavo/status/1362720354062528514","1362720354062528514")</f>
        <v>1362720354062528514</v>
      </c>
      <c r="F13627" s="7" t="s">
        <v>17</v>
      </c>
      <c r="G13627" s="7">
        <v>4067260</v>
      </c>
      <c r="H13627" s="7">
        <v>2481</v>
      </c>
      <c r="I13627" s="7">
        <v>170</v>
      </c>
      <c r="J13627" s="7">
        <v>404</v>
      </c>
      <c r="K13627" s="7" t="s">
        <v>18</v>
      </c>
      <c r="L13627" s="8">
        <v>39987.315405092595</v>
      </c>
      <c r="M13627" s="9" t="s">
        <v>19</v>
      </c>
      <c r="N13627" s="9" t="s">
        <v>20</v>
      </c>
      <c r="O13627" s="6" t="str">
        <f>HYPERLINK("https://pbs.twimg.com/profile_images/962471262747529216/Uo8lOkRJ_normal.jpg","View")</f>
        <v>View</v>
      </c>
      <c r="P13627" s="7"/>
    </row>
    <row r="13628" spans="1:16">
      <c r="A13628" s="3">
        <v>44246.692418981482</v>
      </c>
      <c r="B13628" s="4" t="str">
        <f>HYPERLINK("https://twitter.com/petrogustavo","@petrogustavo")</f>
        <v>@petrogustavo</v>
      </c>
      <c r="C13628" s="5" t="s">
        <v>16</v>
      </c>
      <c r="D13628" s="5" t="s">
        <v>13112</v>
      </c>
      <c r="E13628" s="6" t="str">
        <f>HYPERLINK("https://twitter.com/petrogustavo/status/1362720355257901061","1362720355257901061")</f>
        <v>1362720355257901061</v>
      </c>
      <c r="F13628" s="7" t="s">
        <v>17</v>
      </c>
      <c r="G13628" s="7">
        <v>4067260</v>
      </c>
      <c r="H13628" s="7">
        <v>2481</v>
      </c>
      <c r="I13628" s="7">
        <v>26</v>
      </c>
      <c r="J13628" s="7">
        <v>85</v>
      </c>
      <c r="K13628" s="7" t="s">
        <v>18</v>
      </c>
      <c r="L13628" s="8">
        <v>39987.315405092595</v>
      </c>
      <c r="M13628" s="9" t="s">
        <v>19</v>
      </c>
      <c r="N13628" s="9" t="s">
        <v>20</v>
      </c>
      <c r="O13628" s="6" t="str">
        <f>HYPERLINK("https://pbs.twimg.com/profile_images/962471262747529216/Uo8lOkRJ_normal.jpg","View")</f>
        <v>View</v>
      </c>
      <c r="P13628" s="7"/>
    </row>
    <row r="13629" spans="1:16">
      <c r="A13629" s="3">
        <v>44246.692418981482</v>
      </c>
      <c r="B13629" s="4" t="str">
        <f>HYPERLINK("https://twitter.com/petrogustavo","@petrogustavo")</f>
        <v>@petrogustavo</v>
      </c>
      <c r="C13629" s="5" t="s">
        <v>16</v>
      </c>
      <c r="D13629" s="5" t="s">
        <v>13113</v>
      </c>
      <c r="E13629" s="6" t="str">
        <f>HYPERLINK("https://twitter.com/petrogustavo/status/1362720356520390658","1362720356520390658")</f>
        <v>1362720356520390658</v>
      </c>
      <c r="F13629" s="7" t="s">
        <v>17</v>
      </c>
      <c r="G13629" s="7">
        <v>4067260</v>
      </c>
      <c r="H13629" s="7">
        <v>2481</v>
      </c>
      <c r="I13629" s="7">
        <v>29</v>
      </c>
      <c r="J13629" s="7">
        <v>70</v>
      </c>
      <c r="K13629" s="7" t="s">
        <v>18</v>
      </c>
      <c r="L13629" s="8">
        <v>39987.315405092595</v>
      </c>
      <c r="M13629" s="9" t="s">
        <v>19</v>
      </c>
      <c r="N13629" s="9" t="s">
        <v>20</v>
      </c>
      <c r="O13629" s="6" t="str">
        <f>HYPERLINK("https://pbs.twimg.com/profile_images/962471262747529216/Uo8lOkRJ_normal.jpg","View")</f>
        <v>View</v>
      </c>
      <c r="P13629" s="7"/>
    </row>
    <row r="13630" spans="1:16">
      <c r="A13630" s="3">
        <v>44246.692430555559</v>
      </c>
      <c r="B13630" s="4" t="str">
        <f>HYPERLINK("https://twitter.com/petrogustavo","@petrogustavo")</f>
        <v>@petrogustavo</v>
      </c>
      <c r="C13630" s="5" t="s">
        <v>16</v>
      </c>
      <c r="D13630" s="5" t="s">
        <v>13114</v>
      </c>
      <c r="E13630" s="6" t="str">
        <f>HYPERLINK("https://twitter.com/petrogustavo/status/1362720357778665474","1362720357778665474")</f>
        <v>1362720357778665474</v>
      </c>
      <c r="F13630" s="7" t="s">
        <v>17</v>
      </c>
      <c r="G13630" s="7">
        <v>4067260</v>
      </c>
      <c r="H13630" s="7">
        <v>2481</v>
      </c>
      <c r="I13630" s="7">
        <v>25</v>
      </c>
      <c r="J13630" s="7">
        <v>62</v>
      </c>
      <c r="K13630" s="7" t="s">
        <v>18</v>
      </c>
      <c r="L13630" s="8">
        <v>39987.315405092595</v>
      </c>
      <c r="M13630" s="9" t="s">
        <v>19</v>
      </c>
      <c r="N13630" s="9" t="s">
        <v>20</v>
      </c>
      <c r="O13630" s="6" t="str">
        <f>HYPERLINK("https://pbs.twimg.com/profile_images/962471262747529216/Uo8lOkRJ_normal.jpg","View")</f>
        <v>View</v>
      </c>
      <c r="P13630" s="7"/>
    </row>
    <row r="13631" spans="1:16">
      <c r="A13631" s="3">
        <v>44246.692430555559</v>
      </c>
      <c r="B13631" s="4" t="str">
        <f>HYPERLINK("https://twitter.com/petrogustavo","@petrogustavo")</f>
        <v>@petrogustavo</v>
      </c>
      <c r="C13631" s="5" t="s">
        <v>16</v>
      </c>
      <c r="D13631" s="5" t="s">
        <v>13115</v>
      </c>
      <c r="E13631" s="6" t="str">
        <f>HYPERLINK("https://twitter.com/petrogustavo/status/1362720359418630146","1362720359418630146")</f>
        <v>1362720359418630146</v>
      </c>
      <c r="F13631" s="7" t="s">
        <v>17</v>
      </c>
      <c r="G13631" s="7">
        <v>4067260</v>
      </c>
      <c r="H13631" s="7">
        <v>2481</v>
      </c>
      <c r="I13631" s="7">
        <v>26</v>
      </c>
      <c r="J13631" s="7">
        <v>70</v>
      </c>
      <c r="K13631" s="7" t="s">
        <v>18</v>
      </c>
      <c r="L13631" s="8">
        <v>39987.315405092595</v>
      </c>
      <c r="M13631" s="9" t="s">
        <v>19</v>
      </c>
      <c r="N13631" s="9" t="s">
        <v>20</v>
      </c>
      <c r="O13631" s="6" t="str">
        <f>HYPERLINK("https://pbs.twimg.com/profile_images/962471262747529216/Uo8lOkRJ_normal.jpg","View")</f>
        <v>View</v>
      </c>
      <c r="P13631" s="7"/>
    </row>
    <row r="13632" spans="1:16">
      <c r="A13632" s="3">
        <v>44246.692430555559</v>
      </c>
      <c r="B13632" s="4" t="str">
        <f>HYPERLINK("https://twitter.com/petrogustavo","@petrogustavo")</f>
        <v>@petrogustavo</v>
      </c>
      <c r="C13632" s="5" t="s">
        <v>16</v>
      </c>
      <c r="D13632" s="5" t="s">
        <v>13116</v>
      </c>
      <c r="E13632" s="6" t="str">
        <f>HYPERLINK("https://twitter.com/petrogustavo/status/1362720360710471680","1362720360710471680")</f>
        <v>1362720360710471680</v>
      </c>
      <c r="F13632" s="7" t="s">
        <v>17</v>
      </c>
      <c r="G13632" s="7">
        <v>4067260</v>
      </c>
      <c r="H13632" s="7">
        <v>2481</v>
      </c>
      <c r="I13632" s="7">
        <v>29</v>
      </c>
      <c r="J13632" s="7">
        <v>86</v>
      </c>
      <c r="K13632" s="7" t="s">
        <v>18</v>
      </c>
      <c r="L13632" s="8">
        <v>39987.315405092595</v>
      </c>
      <c r="M13632" s="9" t="s">
        <v>19</v>
      </c>
      <c r="N13632" s="9" t="s">
        <v>20</v>
      </c>
      <c r="O13632" s="6" t="str">
        <f>HYPERLINK("https://pbs.twimg.com/profile_images/962471262747529216/Uo8lOkRJ_normal.jpg","View")</f>
        <v>View</v>
      </c>
      <c r="P13632" s="7"/>
    </row>
    <row r="13633" spans="1:16">
      <c r="A13633" s="3">
        <v>44246.692442129628</v>
      </c>
      <c r="B13633" s="4" t="str">
        <f>HYPERLINK("https://twitter.com/petrogustavo","@petrogustavo")</f>
        <v>@petrogustavo</v>
      </c>
      <c r="C13633" s="5" t="s">
        <v>16</v>
      </c>
      <c r="D13633" s="5" t="s">
        <v>13117</v>
      </c>
      <c r="E13633" s="6" t="str">
        <f>HYPERLINK("https://twitter.com/petrogustavo/status/1362720361968762881","1362720361968762881")</f>
        <v>1362720361968762881</v>
      </c>
      <c r="F13633" s="7" t="s">
        <v>17</v>
      </c>
      <c r="G13633" s="7">
        <v>4067260</v>
      </c>
      <c r="H13633" s="7">
        <v>2481</v>
      </c>
      <c r="I13633" s="7">
        <v>78</v>
      </c>
      <c r="J13633" s="7">
        <v>217</v>
      </c>
      <c r="K13633" s="7" t="s">
        <v>18</v>
      </c>
      <c r="L13633" s="8">
        <v>39987.315405092595</v>
      </c>
      <c r="M13633" s="9" t="s">
        <v>19</v>
      </c>
      <c r="N13633" s="9" t="s">
        <v>20</v>
      </c>
      <c r="O13633" s="6" t="str">
        <f>HYPERLINK("https://pbs.twimg.com/profile_images/962471262747529216/Uo8lOkRJ_normal.jpg","View")</f>
        <v>View</v>
      </c>
      <c r="P13633" s="7"/>
    </row>
    <row r="13634" spans="1:16">
      <c r="A13634" s="3">
        <v>44246.692442129628</v>
      </c>
      <c r="B13634" s="4" t="str">
        <f>HYPERLINK("https://twitter.com/petrogustavo","@petrogustavo")</f>
        <v>@petrogustavo</v>
      </c>
      <c r="C13634" s="5" t="s">
        <v>16</v>
      </c>
      <c r="D13634" s="5" t="s">
        <v>13118</v>
      </c>
      <c r="E13634" s="6" t="str">
        <f>HYPERLINK("https://twitter.com/petrogustavo/status/1362720363243790345","1362720363243790345")</f>
        <v>1362720363243790345</v>
      </c>
      <c r="F13634" s="7" t="s">
        <v>17</v>
      </c>
      <c r="G13634" s="7">
        <v>4067260</v>
      </c>
      <c r="H13634" s="7">
        <v>2481</v>
      </c>
      <c r="I13634" s="7">
        <v>72</v>
      </c>
      <c r="J13634" s="7">
        <v>191</v>
      </c>
      <c r="K13634" s="7" t="s">
        <v>18</v>
      </c>
      <c r="L13634" s="8">
        <v>39987.315405092595</v>
      </c>
      <c r="M13634" s="9" t="s">
        <v>19</v>
      </c>
      <c r="N13634" s="9" t="s">
        <v>20</v>
      </c>
      <c r="O13634" s="6" t="str">
        <f>HYPERLINK("https://pbs.twimg.com/profile_images/962471262747529216/Uo8lOkRJ_normal.jpg","View")</f>
        <v>View</v>
      </c>
      <c r="P13634" s="7"/>
    </row>
    <row r="13635" spans="1:16">
      <c r="A13635" s="3">
        <v>44246.747245370367</v>
      </c>
      <c r="B13635" s="4" t="str">
        <f>HYPERLINK("https://twitter.com/petrogustavo","@petrogustavo")</f>
        <v>@petrogustavo</v>
      </c>
      <c r="C13635" s="5" t="s">
        <v>16</v>
      </c>
      <c r="D13635" s="5" t="s">
        <v>13119</v>
      </c>
      <c r="E13635" s="6" t="str">
        <f>HYPERLINK("https://twitter.com/petrogustavo/status/1362740223814287362","1362740223814287362")</f>
        <v>1362740223814287362</v>
      </c>
      <c r="F13635" s="7" t="s">
        <v>17</v>
      </c>
      <c r="G13635" s="7">
        <v>4067284</v>
      </c>
      <c r="H13635" s="7">
        <v>2482</v>
      </c>
      <c r="I13635" s="7">
        <v>129</v>
      </c>
      <c r="J13635" s="7">
        <v>361</v>
      </c>
      <c r="K13635" s="7" t="s">
        <v>18</v>
      </c>
      <c r="L13635" s="8">
        <v>39987.315405092595</v>
      </c>
      <c r="M13635" s="9" t="s">
        <v>19</v>
      </c>
      <c r="N13635" s="9" t="s">
        <v>20</v>
      </c>
      <c r="O13635" s="6" t="str">
        <f>HYPERLINK("https://pbs.twimg.com/profile_images/962471262747529216/Uo8lOkRJ_normal.jpg","View")</f>
        <v>View</v>
      </c>
      <c r="P13635" s="7"/>
    </row>
    <row r="13636" spans="1:16">
      <c r="A13636" s="3">
        <v>44246.754583333328</v>
      </c>
      <c r="B13636" s="4" t="str">
        <f>HYPERLINK("https://twitter.com/petrogustavo","@petrogustavo")</f>
        <v>@petrogustavo</v>
      </c>
      <c r="C13636" s="5" t="s">
        <v>16</v>
      </c>
      <c r="D13636" s="5" t="s">
        <v>13120</v>
      </c>
      <c r="E13636" s="6" t="str">
        <f>HYPERLINK("https://twitter.com/petrogustavo/status/1362742883632177154","1362742883632177154")</f>
        <v>1362742883632177154</v>
      </c>
      <c r="F13636" s="7" t="s">
        <v>17</v>
      </c>
      <c r="G13636" s="7">
        <v>4067305</v>
      </c>
      <c r="H13636" s="7">
        <v>2482</v>
      </c>
      <c r="I13636" s="7">
        <v>1418</v>
      </c>
      <c r="J13636" s="7">
        <v>0</v>
      </c>
      <c r="K13636" s="7" t="s">
        <v>18</v>
      </c>
      <c r="L13636" s="8">
        <v>39987.315405092595</v>
      </c>
      <c r="M13636" s="9" t="s">
        <v>19</v>
      </c>
      <c r="N13636" s="9" t="s">
        <v>20</v>
      </c>
      <c r="O13636" s="6" t="str">
        <f>HYPERLINK("https://pbs.twimg.com/profile_images/962471262747529216/Uo8lOkRJ_normal.jpg","View")</f>
        <v>View</v>
      </c>
      <c r="P13636" s="7"/>
    </row>
    <row r="13637" spans="1:16">
      <c r="A13637" s="3">
        <v>44246.75513888889</v>
      </c>
      <c r="B13637" s="4" t="str">
        <f>HYPERLINK("https://twitter.com/petrogustavo","@petrogustavo")</f>
        <v>@petrogustavo</v>
      </c>
      <c r="C13637" s="5" t="s">
        <v>16</v>
      </c>
      <c r="D13637" s="5" t="s">
        <v>13121</v>
      </c>
      <c r="E13637" s="6" t="str">
        <f>HYPERLINK("https://twitter.com/petrogustavo/status/1362743083750875143","1362743083750875143")</f>
        <v>1362743083750875143</v>
      </c>
      <c r="F13637" s="7" t="s">
        <v>17</v>
      </c>
      <c r="G13637" s="7">
        <v>4067305</v>
      </c>
      <c r="H13637" s="7">
        <v>2482</v>
      </c>
      <c r="I13637" s="7">
        <v>722</v>
      </c>
      <c r="J13637" s="7">
        <v>0</v>
      </c>
      <c r="K13637" s="7" t="s">
        <v>18</v>
      </c>
      <c r="L13637" s="8">
        <v>39987.315405092595</v>
      </c>
      <c r="M13637" s="9" t="s">
        <v>19</v>
      </c>
      <c r="N13637" s="9" t="s">
        <v>20</v>
      </c>
      <c r="O13637" s="6" t="str">
        <f>HYPERLINK("https://pbs.twimg.com/profile_images/962471262747529216/Uo8lOkRJ_normal.jpg","View")</f>
        <v>View</v>
      </c>
      <c r="P13637" s="7"/>
    </row>
    <row r="13638" spans="1:16">
      <c r="A13638" s="3">
        <v>44246.867974537032</v>
      </c>
      <c r="B13638" s="4" t="str">
        <f>HYPERLINK("https://twitter.com/petrogustavo","@petrogustavo")</f>
        <v>@petrogustavo</v>
      </c>
      <c r="C13638" s="5" t="s">
        <v>16</v>
      </c>
      <c r="D13638" s="5" t="s">
        <v>13122</v>
      </c>
      <c r="E13638" s="6" t="str">
        <f>HYPERLINK("https://twitter.com/petrogustavo/status/1362783974741925890","1362783974741925890")</f>
        <v>1362783974741925890</v>
      </c>
      <c r="F13638" s="7" t="s">
        <v>17</v>
      </c>
      <c r="G13638" s="7">
        <v>4067422</v>
      </c>
      <c r="H13638" s="7">
        <v>2483</v>
      </c>
      <c r="I13638" s="7">
        <v>76</v>
      </c>
      <c r="J13638" s="7">
        <v>0</v>
      </c>
      <c r="K13638" s="7" t="s">
        <v>18</v>
      </c>
      <c r="L13638" s="8">
        <v>39987.315405092595</v>
      </c>
      <c r="M13638" s="9" t="s">
        <v>19</v>
      </c>
      <c r="N13638" s="9" t="s">
        <v>20</v>
      </c>
      <c r="O13638" s="6" t="str">
        <f>HYPERLINK("https://pbs.twimg.com/profile_images/962471262747529216/Uo8lOkRJ_normal.jpg","View")</f>
        <v>View</v>
      </c>
      <c r="P13638" s="7"/>
    </row>
    <row r="13639" spans="1:16">
      <c r="A13639" s="3">
        <v>44247.149571759262</v>
      </c>
      <c r="B13639" s="4" t="str">
        <f>HYPERLINK("https://twitter.com/petrogustavo","@petrogustavo")</f>
        <v>@petrogustavo</v>
      </c>
      <c r="C13639" s="5" t="s">
        <v>16</v>
      </c>
      <c r="D13639" s="5" t="s">
        <v>13123</v>
      </c>
      <c r="E13639" s="6" t="str">
        <f>HYPERLINK("https://twitter.com/petrogustavo/status/1362886022498045956","1362886022498045956")</f>
        <v>1362886022498045956</v>
      </c>
      <c r="F13639" s="7" t="s">
        <v>17</v>
      </c>
      <c r="G13639" s="7">
        <v>4067739</v>
      </c>
      <c r="H13639" s="7">
        <v>2483</v>
      </c>
      <c r="I13639" s="7">
        <v>71</v>
      </c>
      <c r="J13639" s="7">
        <v>299</v>
      </c>
      <c r="K13639" s="7" t="s">
        <v>18</v>
      </c>
      <c r="L13639" s="8">
        <v>39987.315405092595</v>
      </c>
      <c r="M13639" s="9" t="s">
        <v>19</v>
      </c>
      <c r="N13639" s="9" t="s">
        <v>20</v>
      </c>
      <c r="O13639" s="6" t="str">
        <f>HYPERLINK("https://pbs.twimg.com/profile_images/962471262747529216/Uo8lOkRJ_normal.jpg","View")</f>
        <v>View</v>
      </c>
      <c r="P13639" s="7"/>
    </row>
    <row r="13640" spans="1:16">
      <c r="A13640" s="3">
        <v>44247.155069444445</v>
      </c>
      <c r="B13640" s="4" t="str">
        <f>HYPERLINK("https://twitter.com/petrogustavo","@petrogustavo")</f>
        <v>@petrogustavo</v>
      </c>
      <c r="C13640" s="5" t="s">
        <v>16</v>
      </c>
      <c r="D13640" s="5" t="s">
        <v>13124</v>
      </c>
      <c r="E13640" s="6" t="str">
        <f>HYPERLINK("https://twitter.com/petrogustavo/status/1362888012909142018","1362888012909142018")</f>
        <v>1362888012909142018</v>
      </c>
      <c r="F13640" s="7" t="s">
        <v>17</v>
      </c>
      <c r="G13640" s="7">
        <v>4067739</v>
      </c>
      <c r="H13640" s="7">
        <v>2483</v>
      </c>
      <c r="I13640" s="7">
        <v>213</v>
      </c>
      <c r="J13640" s="7">
        <v>649</v>
      </c>
      <c r="K13640" s="7" t="s">
        <v>18</v>
      </c>
      <c r="L13640" s="8">
        <v>39987.315405092595</v>
      </c>
      <c r="M13640" s="9" t="s">
        <v>19</v>
      </c>
      <c r="N13640" s="9" t="s">
        <v>20</v>
      </c>
      <c r="O13640" s="6" t="str">
        <f>HYPERLINK("https://pbs.twimg.com/profile_images/962471262747529216/Uo8lOkRJ_normal.jpg","View")</f>
        <v>View</v>
      </c>
      <c r="P13640" s="7"/>
    </row>
    <row r="13641" spans="1:16">
      <c r="A13641" s="3">
        <v>44247.167256944449</v>
      </c>
      <c r="B13641" s="4" t="str">
        <f>HYPERLINK("https://twitter.com/petrogustavo","@petrogustavo")</f>
        <v>@petrogustavo</v>
      </c>
      <c r="C13641" s="5" t="s">
        <v>16</v>
      </c>
      <c r="D13641" s="5" t="s">
        <v>13125</v>
      </c>
      <c r="E13641" s="6" t="str">
        <f>HYPERLINK("https://twitter.com/petrogustavo/status/1362892429330952192","1362892429330952192")</f>
        <v>1362892429330952192</v>
      </c>
      <c r="F13641" s="7" t="s">
        <v>17</v>
      </c>
      <c r="G13641" s="7">
        <v>4067739</v>
      </c>
      <c r="H13641" s="7">
        <v>2483</v>
      </c>
      <c r="I13641" s="7">
        <v>45</v>
      </c>
      <c r="J13641" s="7">
        <v>0</v>
      </c>
      <c r="K13641" s="7" t="s">
        <v>18</v>
      </c>
      <c r="L13641" s="8">
        <v>39987.315405092595</v>
      </c>
      <c r="M13641" s="9" t="s">
        <v>19</v>
      </c>
      <c r="N13641" s="9" t="s">
        <v>20</v>
      </c>
      <c r="O13641" s="6" t="str">
        <f>HYPERLINK("https://pbs.twimg.com/profile_images/962471262747529216/Uo8lOkRJ_normal.jpg","View")</f>
        <v>View</v>
      </c>
      <c r="P13641" s="7"/>
    </row>
    <row r="13642" spans="1:16">
      <c r="A13642" s="3">
        <v>44247.648229166662</v>
      </c>
      <c r="B13642" s="4" t="str">
        <f>HYPERLINK("https://twitter.com/petrogustavo","@petrogustavo")</f>
        <v>@petrogustavo</v>
      </c>
      <c r="C13642" s="5" t="s">
        <v>16</v>
      </c>
      <c r="D13642" s="5" t="s">
        <v>13126</v>
      </c>
      <c r="E13642" s="6" t="str">
        <f>HYPERLINK("https://twitter.com/petrogustavo/status/1363066729430216704","1363066729430216704")</f>
        <v>1363066729430216704</v>
      </c>
      <c r="F13642" s="7" t="s">
        <v>17</v>
      </c>
      <c r="G13642" s="7">
        <v>4068046</v>
      </c>
      <c r="H13642" s="7">
        <v>2482</v>
      </c>
      <c r="I13642" s="7">
        <v>67</v>
      </c>
      <c r="J13642" s="7">
        <v>234</v>
      </c>
      <c r="K13642" s="7" t="s">
        <v>18</v>
      </c>
      <c r="L13642" s="8">
        <v>39987.315405092595</v>
      </c>
      <c r="M13642" s="9" t="s">
        <v>19</v>
      </c>
      <c r="N13642" s="9" t="s">
        <v>20</v>
      </c>
      <c r="O13642" s="6" t="str">
        <f>HYPERLINK("https://pbs.twimg.com/profile_images/962471262747529216/Uo8lOkRJ_normal.jpg","View")</f>
        <v>View</v>
      </c>
      <c r="P13642" s="7"/>
    </row>
    <row r="13643" spans="1:16">
      <c r="A13643" s="3">
        <v>44247.700266203705</v>
      </c>
      <c r="B13643" s="4" t="str">
        <f>HYPERLINK("https://twitter.com/petrogustavo","@petrogustavo")</f>
        <v>@petrogustavo</v>
      </c>
      <c r="C13643" s="5" t="s">
        <v>16</v>
      </c>
      <c r="D13643" s="5" t="s">
        <v>13127</v>
      </c>
      <c r="E13643" s="6" t="str">
        <f>HYPERLINK("https://twitter.com/petrogustavo/status/1363085586236665858","1363085586236665858")</f>
        <v>1363085586236665858</v>
      </c>
      <c r="F13643" s="7" t="s">
        <v>17</v>
      </c>
      <c r="G13643" s="7">
        <v>4068062</v>
      </c>
      <c r="H13643" s="7">
        <v>2482</v>
      </c>
      <c r="I13643" s="7">
        <v>207</v>
      </c>
      <c r="J13643" s="7">
        <v>0</v>
      </c>
      <c r="K13643" s="7" t="s">
        <v>18</v>
      </c>
      <c r="L13643" s="8">
        <v>39987.315405092595</v>
      </c>
      <c r="M13643" s="9" t="s">
        <v>19</v>
      </c>
      <c r="N13643" s="9" t="s">
        <v>20</v>
      </c>
      <c r="O13643" s="6" t="str">
        <f>HYPERLINK("https://pbs.twimg.com/profile_images/962471262747529216/Uo8lOkRJ_normal.jpg","View")</f>
        <v>View</v>
      </c>
      <c r="P13643" s="7"/>
    </row>
    <row r="13644" spans="1:16">
      <c r="A13644" s="3">
        <v>44247.766435185185</v>
      </c>
      <c r="B13644" s="4" t="str">
        <f>HYPERLINK("https://twitter.com/petrogustavo","@petrogustavo")</f>
        <v>@petrogustavo</v>
      </c>
      <c r="C13644" s="5" t="s">
        <v>16</v>
      </c>
      <c r="D13644" s="5" t="s">
        <v>13127</v>
      </c>
      <c r="E13644" s="6" t="str">
        <f>HYPERLINK("https://twitter.com/petrogustavo/status/1363109564514783232","1363109564514783232")</f>
        <v>1363109564514783232</v>
      </c>
      <c r="F13644" s="7" t="s">
        <v>17</v>
      </c>
      <c r="G13644" s="7">
        <v>4068117</v>
      </c>
      <c r="H13644" s="7">
        <v>2482</v>
      </c>
      <c r="I13644" s="7">
        <v>543</v>
      </c>
      <c r="J13644" s="7">
        <v>0</v>
      </c>
      <c r="K13644" s="7" t="s">
        <v>18</v>
      </c>
      <c r="L13644" s="8">
        <v>39987.315405092595</v>
      </c>
      <c r="M13644" s="9" t="s">
        <v>19</v>
      </c>
      <c r="N13644" s="9" t="s">
        <v>20</v>
      </c>
      <c r="O13644" s="6" t="str">
        <f>HYPERLINK("https://pbs.twimg.com/profile_images/962471262747529216/Uo8lOkRJ_normal.jpg","View")</f>
        <v>View</v>
      </c>
      <c r="P13644" s="7"/>
    </row>
    <row r="13645" spans="1:16">
      <c r="A13645" s="3">
        <v>44247.874918981484</v>
      </c>
      <c r="B13645" s="4" t="str">
        <f>HYPERLINK("https://twitter.com/petrogustavo","@petrogustavo")</f>
        <v>@petrogustavo</v>
      </c>
      <c r="C13645" s="5" t="s">
        <v>16</v>
      </c>
      <c r="D13645" s="5" t="s">
        <v>13128</v>
      </c>
      <c r="E13645" s="6" t="str">
        <f>HYPERLINK("https://twitter.com/petrogustavo/status/1363148878929944582","1363148878929944582")</f>
        <v>1363148878929944582</v>
      </c>
      <c r="F13645" s="7" t="s">
        <v>17</v>
      </c>
      <c r="G13645" s="7">
        <v>4068213</v>
      </c>
      <c r="H13645" s="7">
        <v>2482</v>
      </c>
      <c r="I13645" s="7">
        <v>52</v>
      </c>
      <c r="J13645" s="7">
        <v>112</v>
      </c>
      <c r="K13645" s="7" t="s">
        <v>18</v>
      </c>
      <c r="L13645" s="8">
        <v>39987.315405092595</v>
      </c>
      <c r="M13645" s="9" t="s">
        <v>19</v>
      </c>
      <c r="N13645" s="9" t="s">
        <v>20</v>
      </c>
      <c r="O13645" s="6" t="str">
        <f>HYPERLINK("https://pbs.twimg.com/profile_images/962471262747529216/Uo8lOkRJ_normal.jpg","View")</f>
        <v>View</v>
      </c>
      <c r="P13645" s="7"/>
    </row>
    <row r="13646" spans="1:16">
      <c r="A13646" s="3">
        <v>44248.046134259261</v>
      </c>
      <c r="B13646" s="4" t="str">
        <f>HYPERLINK("https://twitter.com/petrogustavo","@petrogustavo")</f>
        <v>@petrogustavo</v>
      </c>
      <c r="C13646" s="5" t="s">
        <v>16</v>
      </c>
      <c r="D13646" s="5" t="s">
        <v>13129</v>
      </c>
      <c r="E13646" s="6" t="str">
        <f>HYPERLINK("https://twitter.com/petrogustavo/status/1363210924203642880","1363210924203642880")</f>
        <v>1363210924203642880</v>
      </c>
      <c r="F13646" s="7" t="s">
        <v>17</v>
      </c>
      <c r="G13646" s="7">
        <v>4068358</v>
      </c>
      <c r="H13646" s="7">
        <v>2484</v>
      </c>
      <c r="I13646" s="7">
        <v>1400</v>
      </c>
      <c r="J13646" s="7">
        <v>0</v>
      </c>
      <c r="K13646" s="7" t="s">
        <v>18</v>
      </c>
      <c r="L13646" s="8">
        <v>39987.315405092595</v>
      </c>
      <c r="M13646" s="9" t="s">
        <v>19</v>
      </c>
      <c r="N13646" s="9" t="s">
        <v>20</v>
      </c>
      <c r="O13646" s="6" t="str">
        <f>HYPERLINK("https://pbs.twimg.com/profile_images/962471262747529216/Uo8lOkRJ_normal.jpg","View")</f>
        <v>View</v>
      </c>
      <c r="P13646" s="7"/>
    </row>
    <row r="13647" spans="1:16">
      <c r="A13647" s="3">
        <v>44248.168113425927</v>
      </c>
      <c r="B13647" s="4" t="str">
        <f>HYPERLINK("https://twitter.com/petrogustavo","@petrogustavo")</f>
        <v>@petrogustavo</v>
      </c>
      <c r="C13647" s="5" t="s">
        <v>16</v>
      </c>
      <c r="D13647" s="5" t="s">
        <v>13130</v>
      </c>
      <c r="E13647" s="6" t="str">
        <f>HYPERLINK("https://twitter.com/petrogustavo/status/1363255129751908353","1363255129751908353")</f>
        <v>1363255129751908353</v>
      </c>
      <c r="F13647" s="7" t="s">
        <v>17</v>
      </c>
      <c r="G13647" s="7">
        <v>4068435</v>
      </c>
      <c r="H13647" s="7">
        <v>2484</v>
      </c>
      <c r="I13647" s="7">
        <v>0</v>
      </c>
      <c r="J13647" s="7">
        <v>2</v>
      </c>
      <c r="K13647" s="7" t="s">
        <v>18</v>
      </c>
      <c r="L13647" s="8">
        <v>39987.315405092595</v>
      </c>
      <c r="M13647" s="9" t="s">
        <v>19</v>
      </c>
      <c r="N13647" s="9" t="s">
        <v>20</v>
      </c>
      <c r="O13647" s="6" t="str">
        <f>HYPERLINK("https://pbs.twimg.com/profile_images/962471262747529216/Uo8lOkRJ_normal.jpg","View")</f>
        <v>View</v>
      </c>
      <c r="P13647" s="7"/>
    </row>
    <row r="13648" spans="1:16">
      <c r="A13648" s="3">
        <v>44248.813645833332</v>
      </c>
      <c r="B13648" s="4" t="str">
        <f>HYPERLINK("https://twitter.com/petrogustavo","@petrogustavo")</f>
        <v>@petrogustavo</v>
      </c>
      <c r="C13648" s="5" t="s">
        <v>16</v>
      </c>
      <c r="D13648" s="5" t="s">
        <v>13131</v>
      </c>
      <c r="E13648" s="6" t="str">
        <f>HYPERLINK("https://twitter.com/petrogustavo/status/1363489060799545344","1363489060799545344")</f>
        <v>1363489060799545344</v>
      </c>
      <c r="F13648" s="7" t="s">
        <v>17</v>
      </c>
      <c r="G13648" s="7">
        <v>4068759</v>
      </c>
      <c r="H13648" s="7">
        <v>2485</v>
      </c>
      <c r="I13648" s="7">
        <v>1</v>
      </c>
      <c r="J13648" s="7">
        <v>8</v>
      </c>
      <c r="K13648" s="7" t="s">
        <v>18</v>
      </c>
      <c r="L13648" s="8">
        <v>39987.315405092595</v>
      </c>
      <c r="M13648" s="9" t="s">
        <v>19</v>
      </c>
      <c r="N13648" s="9" t="s">
        <v>20</v>
      </c>
      <c r="O13648" s="6" t="str">
        <f>HYPERLINK("https://pbs.twimg.com/profile_images/962471262747529216/Uo8lOkRJ_normal.jpg","View")</f>
        <v>View</v>
      </c>
      <c r="P13648" s="7"/>
    </row>
    <row r="13649" spans="1:16">
      <c r="A13649" s="3">
        <v>44248.952685185184</v>
      </c>
      <c r="B13649" s="4" t="str">
        <f>HYPERLINK("https://twitter.com/petrogustavo","@petrogustavo")</f>
        <v>@petrogustavo</v>
      </c>
      <c r="C13649" s="5" t="s">
        <v>16</v>
      </c>
      <c r="D13649" s="5" t="s">
        <v>13132</v>
      </c>
      <c r="E13649" s="6" t="str">
        <f>HYPERLINK("https://twitter.com/petrogustavo/status/1363539446906388485","1363539446906388485")</f>
        <v>1363539446906388485</v>
      </c>
      <c r="F13649" s="7" t="s">
        <v>17</v>
      </c>
      <c r="G13649" s="7">
        <v>4068873</v>
      </c>
      <c r="H13649" s="7">
        <v>2484</v>
      </c>
      <c r="I13649" s="7">
        <v>6172</v>
      </c>
      <c r="J13649" s="7">
        <v>0</v>
      </c>
      <c r="K13649" s="7" t="s">
        <v>18</v>
      </c>
      <c r="L13649" s="8">
        <v>39987.315405092595</v>
      </c>
      <c r="M13649" s="9" t="s">
        <v>19</v>
      </c>
      <c r="N13649" s="9" t="s">
        <v>20</v>
      </c>
      <c r="O13649" s="6" t="str">
        <f>HYPERLINK("https://pbs.twimg.com/profile_images/962471262747529216/Uo8lOkRJ_normal.jpg","View")</f>
        <v>View</v>
      </c>
      <c r="P13649" s="7"/>
    </row>
    <row r="13650" spans="1:16">
      <c r="A13650" s="3">
        <v>44248.953703703708</v>
      </c>
      <c r="B13650" s="4" t="str">
        <f>HYPERLINK("https://twitter.com/petrogustavo","@petrogustavo")</f>
        <v>@petrogustavo</v>
      </c>
      <c r="C13650" s="5" t="s">
        <v>16</v>
      </c>
      <c r="D13650" s="5" t="s">
        <v>13133</v>
      </c>
      <c r="E13650" s="6" t="str">
        <f>HYPERLINK("https://twitter.com/petrogustavo/status/1363539816340725762","1363539816340725762")</f>
        <v>1363539816340725762</v>
      </c>
      <c r="F13650" s="7" t="s">
        <v>17</v>
      </c>
      <c r="G13650" s="7">
        <v>4068873</v>
      </c>
      <c r="H13650" s="7">
        <v>2484</v>
      </c>
      <c r="I13650" s="7">
        <v>416</v>
      </c>
      <c r="J13650" s="7">
        <v>0</v>
      </c>
      <c r="K13650" s="7" t="s">
        <v>18</v>
      </c>
      <c r="L13650" s="8">
        <v>39987.315405092595</v>
      </c>
      <c r="M13650" s="9" t="s">
        <v>19</v>
      </c>
      <c r="N13650" s="9" t="s">
        <v>20</v>
      </c>
      <c r="O13650" s="6" t="str">
        <f>HYPERLINK("https://pbs.twimg.com/profile_images/962471262747529216/Uo8lOkRJ_normal.jpg","View")</f>
        <v>View</v>
      </c>
      <c r="P13650" s="7"/>
    </row>
    <row r="13651" spans="1:16">
      <c r="A13651" s="3">
        <v>44248.955775462964</v>
      </c>
      <c r="B13651" s="4" t="str">
        <f>HYPERLINK("https://twitter.com/petrogustavo","@petrogustavo")</f>
        <v>@petrogustavo</v>
      </c>
      <c r="C13651" s="5" t="s">
        <v>16</v>
      </c>
      <c r="D13651" s="5" t="s">
        <v>13134</v>
      </c>
      <c r="E13651" s="6" t="str">
        <f>HYPERLINK("https://twitter.com/petrogustavo/status/1363540569478344706","1363540569478344706")</f>
        <v>1363540569478344706</v>
      </c>
      <c r="F13651" s="7" t="s">
        <v>17</v>
      </c>
      <c r="G13651" s="7">
        <v>4068873</v>
      </c>
      <c r="H13651" s="7">
        <v>2484</v>
      </c>
      <c r="I13651" s="7">
        <v>5458</v>
      </c>
      <c r="J13651" s="7">
        <v>0</v>
      </c>
      <c r="K13651" s="7" t="s">
        <v>18</v>
      </c>
      <c r="L13651" s="8">
        <v>39987.315405092595</v>
      </c>
      <c r="M13651" s="9" t="s">
        <v>19</v>
      </c>
      <c r="N13651" s="9" t="s">
        <v>20</v>
      </c>
      <c r="O13651" s="6" t="str">
        <f>HYPERLINK("https://pbs.twimg.com/profile_images/962471262747529216/Uo8lOkRJ_normal.jpg","View")</f>
        <v>View</v>
      </c>
      <c r="P13651" s="7"/>
    </row>
    <row r="13652" spans="1:16">
      <c r="A13652" s="3">
        <v>44249.013645833329</v>
      </c>
      <c r="B13652" s="4" t="str">
        <f>HYPERLINK("https://twitter.com/petrogustavo","@petrogustavo")</f>
        <v>@petrogustavo</v>
      </c>
      <c r="C13652" s="5" t="s">
        <v>16</v>
      </c>
      <c r="D13652" s="5" t="s">
        <v>13135</v>
      </c>
      <c r="E13652" s="6" t="str">
        <f>HYPERLINK("https://twitter.com/petrogustavo/status/1363561541891739665","1363561541891739665")</f>
        <v>1363561541891739665</v>
      </c>
      <c r="F13652" s="7" t="s">
        <v>17</v>
      </c>
      <c r="G13652" s="7">
        <v>4068927</v>
      </c>
      <c r="H13652" s="7">
        <v>2485</v>
      </c>
      <c r="I13652" s="7">
        <v>689</v>
      </c>
      <c r="J13652" s="7">
        <v>0</v>
      </c>
      <c r="K13652" s="7" t="s">
        <v>18</v>
      </c>
      <c r="L13652" s="8">
        <v>39987.315405092595</v>
      </c>
      <c r="M13652" s="9" t="s">
        <v>19</v>
      </c>
      <c r="N13652" s="9" t="s">
        <v>20</v>
      </c>
      <c r="O13652" s="6" t="str">
        <f>HYPERLINK("https://pbs.twimg.com/profile_images/962471262747529216/Uo8lOkRJ_normal.jpg","View")</f>
        <v>View</v>
      </c>
      <c r="P13652" s="7"/>
    </row>
    <row r="13653" spans="1:16">
      <c r="A13653" s="3">
        <v>44249.020752314813</v>
      </c>
      <c r="B13653" s="4" t="str">
        <f>HYPERLINK("https://twitter.com/petrogustavo","@petrogustavo")</f>
        <v>@petrogustavo</v>
      </c>
      <c r="C13653" s="5" t="s">
        <v>16</v>
      </c>
      <c r="D13653" s="5" t="s">
        <v>13136</v>
      </c>
      <c r="E13653" s="6" t="str">
        <f>HYPERLINK("https://twitter.com/petrogustavo/status/1363564114740719616","1363564114740719616")</f>
        <v>1363564114740719616</v>
      </c>
      <c r="F13653" s="7" t="s">
        <v>17</v>
      </c>
      <c r="G13653" s="7">
        <v>4068927</v>
      </c>
      <c r="H13653" s="7">
        <v>2485</v>
      </c>
      <c r="I13653" s="7">
        <v>57</v>
      </c>
      <c r="J13653" s="7">
        <v>155</v>
      </c>
      <c r="K13653" s="7" t="s">
        <v>18</v>
      </c>
      <c r="L13653" s="8">
        <v>39987.315405092595</v>
      </c>
      <c r="M13653" s="9" t="s">
        <v>19</v>
      </c>
      <c r="N13653" s="9" t="s">
        <v>20</v>
      </c>
      <c r="O13653" s="6" t="str">
        <f>HYPERLINK("https://pbs.twimg.com/profile_images/962471262747529216/Uo8lOkRJ_normal.jpg","View")</f>
        <v>View</v>
      </c>
      <c r="P13653" s="7"/>
    </row>
    <row r="13654" spans="1:16">
      <c r="A13654" s="3">
        <v>44249.02175925926</v>
      </c>
      <c r="B13654" s="4" t="str">
        <f>HYPERLINK("https://twitter.com/petrogustavo","@petrogustavo")</f>
        <v>@petrogustavo</v>
      </c>
      <c r="C13654" s="5" t="s">
        <v>16</v>
      </c>
      <c r="D13654" s="5" t="s">
        <v>13137</v>
      </c>
      <c r="E13654" s="6" t="str">
        <f>HYPERLINK("https://twitter.com/petrogustavo/status/1363564479099846658","1363564479099846658")</f>
        <v>1363564479099846658</v>
      </c>
      <c r="F13654" s="7" t="s">
        <v>17</v>
      </c>
      <c r="G13654" s="7">
        <v>4068927</v>
      </c>
      <c r="H13654" s="7">
        <v>2485</v>
      </c>
      <c r="I13654" s="7">
        <v>1265</v>
      </c>
      <c r="J13654" s="7">
        <v>0</v>
      </c>
      <c r="K13654" s="7" t="s">
        <v>18</v>
      </c>
      <c r="L13654" s="8">
        <v>39987.315405092595</v>
      </c>
      <c r="M13654" s="9" t="s">
        <v>19</v>
      </c>
      <c r="N13654" s="9" t="s">
        <v>20</v>
      </c>
      <c r="O13654" s="6" t="str">
        <f>HYPERLINK("https://pbs.twimg.com/profile_images/962471262747529216/Uo8lOkRJ_normal.jpg","View")</f>
        <v>View</v>
      </c>
      <c r="P13654" s="7"/>
    </row>
    <row r="13655" spans="1:16">
      <c r="A13655" s="3">
        <v>44249.043611111112</v>
      </c>
      <c r="B13655" s="4" t="str">
        <f>HYPERLINK("https://twitter.com/petrogustavo","@petrogustavo")</f>
        <v>@petrogustavo</v>
      </c>
      <c r="C13655" s="5" t="s">
        <v>16</v>
      </c>
      <c r="D13655" s="5" t="s">
        <v>13138</v>
      </c>
      <c r="E13655" s="6" t="str">
        <f>HYPERLINK("https://twitter.com/petrogustavo/status/1363572399598407680","1363572399598407680")</f>
        <v>1363572399598407680</v>
      </c>
      <c r="F13655" s="7" t="s">
        <v>17</v>
      </c>
      <c r="G13655" s="7">
        <v>4068965</v>
      </c>
      <c r="H13655" s="7">
        <v>2485</v>
      </c>
      <c r="I13655" s="7">
        <v>32</v>
      </c>
      <c r="J13655" s="7">
        <v>0</v>
      </c>
      <c r="K13655" s="7" t="s">
        <v>18</v>
      </c>
      <c r="L13655" s="8">
        <v>39987.315405092595</v>
      </c>
      <c r="M13655" s="9" t="s">
        <v>19</v>
      </c>
      <c r="N13655" s="9" t="s">
        <v>20</v>
      </c>
      <c r="O13655" s="6" t="str">
        <f>HYPERLINK("https://pbs.twimg.com/profile_images/962471262747529216/Uo8lOkRJ_normal.jpg","View")</f>
        <v>View</v>
      </c>
      <c r="P13655" s="7"/>
    </row>
    <row r="13656" spans="1:16">
      <c r="A13656" s="3">
        <v>44249.682187500002</v>
      </c>
      <c r="B13656" s="4" t="str">
        <f>HYPERLINK("https://twitter.com/petrogustavo","@petrogustavo")</f>
        <v>@petrogustavo</v>
      </c>
      <c r="C13656" s="5" t="s">
        <v>16</v>
      </c>
      <c r="D13656" s="5" t="s">
        <v>13139</v>
      </c>
      <c r="E13656" s="6" t="str">
        <f>HYPERLINK("https://twitter.com/petrogustavo/status/1363803811203215360","1363803811203215360")</f>
        <v>1363803811203215360</v>
      </c>
      <c r="F13656" s="7" t="s">
        <v>17</v>
      </c>
      <c r="G13656" s="7">
        <v>4069301</v>
      </c>
      <c r="H13656" s="7">
        <v>2485</v>
      </c>
      <c r="I13656" s="7">
        <v>241</v>
      </c>
      <c r="J13656" s="7">
        <v>0</v>
      </c>
      <c r="K13656" s="7" t="s">
        <v>18</v>
      </c>
      <c r="L13656" s="8">
        <v>39987.315405092595</v>
      </c>
      <c r="M13656" s="9" t="s">
        <v>19</v>
      </c>
      <c r="N13656" s="9" t="s">
        <v>20</v>
      </c>
      <c r="O13656" s="6" t="str">
        <f>HYPERLINK("https://pbs.twimg.com/profile_images/962471262747529216/Uo8lOkRJ_normal.jpg","View")</f>
        <v>View</v>
      </c>
      <c r="P13656" s="7"/>
    </row>
    <row r="13657" spans="1:16">
      <c r="A13657" s="3">
        <v>44249.692395833335</v>
      </c>
      <c r="B13657" s="4" t="str">
        <f>HYPERLINK("https://twitter.com/petrogustavo","@petrogustavo")</f>
        <v>@petrogustavo</v>
      </c>
      <c r="C13657" s="5" t="s">
        <v>16</v>
      </c>
      <c r="D13657" s="5" t="s">
        <v>13140</v>
      </c>
      <c r="E13657" s="6" t="str">
        <f>HYPERLINK("https://twitter.com/petrogustavo/status/1363807511766331392","1363807511766331392")</f>
        <v>1363807511766331392</v>
      </c>
      <c r="F13657" s="7" t="s">
        <v>17</v>
      </c>
      <c r="G13657" s="7">
        <v>4069312</v>
      </c>
      <c r="H13657" s="7">
        <v>2485</v>
      </c>
      <c r="I13657" s="7">
        <v>175</v>
      </c>
      <c r="J13657" s="7">
        <v>416</v>
      </c>
      <c r="K13657" s="7" t="s">
        <v>18</v>
      </c>
      <c r="L13657" s="8">
        <v>39987.315405092595</v>
      </c>
      <c r="M13657" s="9" t="s">
        <v>19</v>
      </c>
      <c r="N13657" s="9" t="s">
        <v>20</v>
      </c>
      <c r="O13657" s="6" t="str">
        <f>HYPERLINK("https://pbs.twimg.com/profile_images/962471262747529216/Uo8lOkRJ_normal.jpg","View")</f>
        <v>View</v>
      </c>
      <c r="P13657" s="7"/>
    </row>
    <row r="13658" spans="1:16">
      <c r="A13658" s="3">
        <v>44249.692407407405</v>
      </c>
      <c r="B13658" s="4" t="str">
        <f>HYPERLINK("https://twitter.com/petrogustavo","@petrogustavo")</f>
        <v>@petrogustavo</v>
      </c>
      <c r="C13658" s="5" t="s">
        <v>16</v>
      </c>
      <c r="D13658" s="5" t="s">
        <v>13141</v>
      </c>
      <c r="E13658" s="6" t="str">
        <f>HYPERLINK("https://twitter.com/petrogustavo/status/1363807513066565638","1363807513066565638")</f>
        <v>1363807513066565638</v>
      </c>
      <c r="F13658" s="7" t="s">
        <v>17</v>
      </c>
      <c r="G13658" s="7">
        <v>4069312</v>
      </c>
      <c r="H13658" s="7">
        <v>2485</v>
      </c>
      <c r="I13658" s="7">
        <v>25</v>
      </c>
      <c r="J13658" s="7">
        <v>76</v>
      </c>
      <c r="K13658" s="7" t="s">
        <v>18</v>
      </c>
      <c r="L13658" s="8">
        <v>39987.315405092595</v>
      </c>
      <c r="M13658" s="9" t="s">
        <v>19</v>
      </c>
      <c r="N13658" s="9" t="s">
        <v>20</v>
      </c>
      <c r="O13658" s="6" t="str">
        <f>HYPERLINK("https://pbs.twimg.com/profile_images/962471262747529216/Uo8lOkRJ_normal.jpg","View")</f>
        <v>View</v>
      </c>
      <c r="P13658" s="7"/>
    </row>
    <row r="13659" spans="1:16">
      <c r="A13659" s="3">
        <v>44249.692407407405</v>
      </c>
      <c r="B13659" s="4" t="str">
        <f>HYPERLINK("https://twitter.com/petrogustavo","@petrogustavo")</f>
        <v>@petrogustavo</v>
      </c>
      <c r="C13659" s="5" t="s">
        <v>16</v>
      </c>
      <c r="D13659" s="5" t="s">
        <v>13142</v>
      </c>
      <c r="E13659" s="6" t="str">
        <f>HYPERLINK("https://twitter.com/petrogustavo/status/1363807514412929027","1363807514412929027")</f>
        <v>1363807514412929027</v>
      </c>
      <c r="F13659" s="7" t="s">
        <v>17</v>
      </c>
      <c r="G13659" s="7">
        <v>4069312</v>
      </c>
      <c r="H13659" s="7">
        <v>2485</v>
      </c>
      <c r="I13659" s="7">
        <v>40</v>
      </c>
      <c r="J13659" s="7">
        <v>122</v>
      </c>
      <c r="K13659" s="7" t="s">
        <v>18</v>
      </c>
      <c r="L13659" s="8">
        <v>39987.315405092595</v>
      </c>
      <c r="M13659" s="9" t="s">
        <v>19</v>
      </c>
      <c r="N13659" s="9" t="s">
        <v>20</v>
      </c>
      <c r="O13659" s="6" t="str">
        <f>HYPERLINK("https://pbs.twimg.com/profile_images/962471262747529216/Uo8lOkRJ_normal.jpg","View")</f>
        <v>View</v>
      </c>
      <c r="P13659" s="7"/>
    </row>
    <row r="13660" spans="1:16">
      <c r="A13660" s="3">
        <v>44249.692407407405</v>
      </c>
      <c r="B13660" s="4" t="str">
        <f>HYPERLINK("https://twitter.com/petrogustavo","@petrogustavo")</f>
        <v>@petrogustavo</v>
      </c>
      <c r="C13660" s="5" t="s">
        <v>16</v>
      </c>
      <c r="D13660" s="5" t="s">
        <v>13143</v>
      </c>
      <c r="E13660" s="6" t="str">
        <f>HYPERLINK("https://twitter.com/petrogustavo/status/1363807515755044865","1363807515755044865")</f>
        <v>1363807515755044865</v>
      </c>
      <c r="F13660" s="7" t="s">
        <v>17</v>
      </c>
      <c r="G13660" s="7">
        <v>4069312</v>
      </c>
      <c r="H13660" s="7">
        <v>2485</v>
      </c>
      <c r="I13660" s="7">
        <v>71</v>
      </c>
      <c r="J13660" s="7">
        <v>198</v>
      </c>
      <c r="K13660" s="7" t="s">
        <v>18</v>
      </c>
      <c r="L13660" s="8">
        <v>39987.315405092595</v>
      </c>
      <c r="M13660" s="9" t="s">
        <v>19</v>
      </c>
      <c r="N13660" s="9" t="s">
        <v>20</v>
      </c>
      <c r="O13660" s="6" t="str">
        <f>HYPERLINK("https://pbs.twimg.com/profile_images/962471262747529216/Uo8lOkRJ_normal.jpg","View")</f>
        <v>View</v>
      </c>
      <c r="P13660" s="7"/>
    </row>
    <row r="13661" spans="1:16">
      <c r="A13661" s="3">
        <v>44249.692418981482</v>
      </c>
      <c r="B13661" s="4" t="str">
        <f>HYPERLINK("https://twitter.com/petrogustavo","@petrogustavo")</f>
        <v>@petrogustavo</v>
      </c>
      <c r="C13661" s="5" t="s">
        <v>16</v>
      </c>
      <c r="D13661" s="5" t="s">
        <v>13144</v>
      </c>
      <c r="E13661" s="6" t="str">
        <f>HYPERLINK("https://twitter.com/petrogustavo/status/1363807517290168320","1363807517290168320")</f>
        <v>1363807517290168320</v>
      </c>
      <c r="F13661" s="7" t="s">
        <v>17</v>
      </c>
      <c r="G13661" s="7">
        <v>4069312</v>
      </c>
      <c r="H13661" s="7">
        <v>2485</v>
      </c>
      <c r="I13661" s="7">
        <v>57</v>
      </c>
      <c r="J13661" s="7">
        <v>159</v>
      </c>
      <c r="K13661" s="7" t="s">
        <v>18</v>
      </c>
      <c r="L13661" s="8">
        <v>39987.315405092595</v>
      </c>
      <c r="M13661" s="9" t="s">
        <v>19</v>
      </c>
      <c r="N13661" s="9" t="s">
        <v>20</v>
      </c>
      <c r="O13661" s="6" t="str">
        <f>HYPERLINK("https://pbs.twimg.com/profile_images/962471262747529216/Uo8lOkRJ_normal.jpg","View")</f>
        <v>View</v>
      </c>
      <c r="P13661" s="7"/>
    </row>
    <row r="13662" spans="1:16">
      <c r="A13662" s="3">
        <v>44249.897916666669</v>
      </c>
      <c r="B13662" s="4" t="str">
        <f>HYPERLINK("https://twitter.com/petrogustavo","@petrogustavo")</f>
        <v>@petrogustavo</v>
      </c>
      <c r="C13662" s="5" t="s">
        <v>16</v>
      </c>
      <c r="D13662" s="5" t="s">
        <v>13145</v>
      </c>
      <c r="E13662" s="6" t="str">
        <f>HYPERLINK("https://twitter.com/petrogustavo/status/1363881989191958534","1363881989191958534")</f>
        <v>1363881989191958534</v>
      </c>
      <c r="F13662" s="7" t="s">
        <v>17</v>
      </c>
      <c r="G13662" s="7">
        <v>4069470</v>
      </c>
      <c r="H13662" s="7">
        <v>2486</v>
      </c>
      <c r="I13662" s="7">
        <v>2</v>
      </c>
      <c r="J13662" s="7">
        <v>15</v>
      </c>
      <c r="K13662" s="7" t="s">
        <v>18</v>
      </c>
      <c r="L13662" s="8">
        <v>39987.315405092595</v>
      </c>
      <c r="M13662" s="9" t="s">
        <v>19</v>
      </c>
      <c r="N13662" s="9" t="s">
        <v>20</v>
      </c>
      <c r="O13662" s="6" t="str">
        <f>HYPERLINK("https://pbs.twimg.com/profile_images/962471262747529216/Uo8lOkRJ_normal.jpg","View")</f>
        <v>View</v>
      </c>
      <c r="P13662" s="7"/>
    </row>
    <row r="13663" spans="1:16">
      <c r="A13663" s="3">
        <v>44249.903877314813</v>
      </c>
      <c r="B13663" s="4" t="str">
        <f>HYPERLINK("https://twitter.com/petrogustavo","@petrogustavo")</f>
        <v>@petrogustavo</v>
      </c>
      <c r="C13663" s="5" t="s">
        <v>16</v>
      </c>
      <c r="D13663" s="5" t="s">
        <v>13146</v>
      </c>
      <c r="E13663" s="6" t="str">
        <f>HYPERLINK("https://twitter.com/petrogustavo/status/1363884150617497607","1363884150617497607")</f>
        <v>1363884150617497607</v>
      </c>
      <c r="F13663" s="7" t="s">
        <v>17</v>
      </c>
      <c r="G13663" s="7">
        <v>4069488</v>
      </c>
      <c r="H13663" s="7">
        <v>2486</v>
      </c>
      <c r="I13663" s="7">
        <v>354</v>
      </c>
      <c r="J13663" s="7">
        <v>581</v>
      </c>
      <c r="K13663" s="7" t="s">
        <v>18</v>
      </c>
      <c r="L13663" s="8">
        <v>39987.315405092595</v>
      </c>
      <c r="M13663" s="9" t="s">
        <v>19</v>
      </c>
      <c r="N13663" s="9" t="s">
        <v>20</v>
      </c>
      <c r="O13663" s="6" t="str">
        <f>HYPERLINK("https://pbs.twimg.com/profile_images/962471262747529216/Uo8lOkRJ_normal.jpg","View")</f>
        <v>View</v>
      </c>
      <c r="P13663" s="7"/>
    </row>
    <row r="13664" spans="1:16">
      <c r="A13664" s="3">
        <v>44250.108807870369</v>
      </c>
      <c r="B13664" s="4" t="str">
        <f>HYPERLINK("https://twitter.com/petrogustavo","@petrogustavo")</f>
        <v>@petrogustavo</v>
      </c>
      <c r="C13664" s="5" t="s">
        <v>16</v>
      </c>
      <c r="D13664" s="5" t="s">
        <v>13147</v>
      </c>
      <c r="E13664" s="6" t="str">
        <f>HYPERLINK("https://twitter.com/petrogustavo/status/1363958414217461763","1363958414217461763")</f>
        <v>1363958414217461763</v>
      </c>
      <c r="F13664" s="7" t="s">
        <v>17</v>
      </c>
      <c r="G13664" s="7">
        <v>4069684</v>
      </c>
      <c r="H13664" s="7">
        <v>2486</v>
      </c>
      <c r="I13664" s="7">
        <v>2569</v>
      </c>
      <c r="J13664" s="7">
        <v>0</v>
      </c>
      <c r="K13664" s="7" t="s">
        <v>18</v>
      </c>
      <c r="L13664" s="8">
        <v>39987.315405092595</v>
      </c>
      <c r="M13664" s="9" t="s">
        <v>19</v>
      </c>
      <c r="N13664" s="9" t="s">
        <v>20</v>
      </c>
      <c r="O13664" s="6" t="str">
        <f>HYPERLINK("https://pbs.twimg.com/profile_images/962471262747529216/Uo8lOkRJ_normal.jpg","View")</f>
        <v>View</v>
      </c>
      <c r="P13664" s="7"/>
    </row>
    <row r="13665" spans="1:16">
      <c r="A13665" s="3">
        <v>44250.644178240742</v>
      </c>
      <c r="B13665" s="4" t="str">
        <f>HYPERLINK("https://twitter.com/petrogustavo","@petrogustavo")</f>
        <v>@petrogustavo</v>
      </c>
      <c r="C13665" s="5" t="s">
        <v>16</v>
      </c>
      <c r="D13665" s="5" t="s">
        <v>13148</v>
      </c>
      <c r="E13665" s="6" t="str">
        <f>HYPERLINK("https://twitter.com/petrogustavo/status/1364152424269836288","1364152424269836288")</f>
        <v>1364152424269836288</v>
      </c>
      <c r="F13665" s="7" t="s">
        <v>17</v>
      </c>
      <c r="G13665" s="7">
        <v>4069983</v>
      </c>
      <c r="H13665" s="7">
        <v>2485</v>
      </c>
      <c r="I13665" s="7">
        <v>25</v>
      </c>
      <c r="J13665" s="7">
        <v>96</v>
      </c>
      <c r="K13665" s="7" t="s">
        <v>18</v>
      </c>
      <c r="L13665" s="8">
        <v>39987.315405092595</v>
      </c>
      <c r="M13665" s="9" t="s">
        <v>19</v>
      </c>
      <c r="N13665" s="9" t="s">
        <v>20</v>
      </c>
      <c r="O13665" s="6" t="str">
        <f>HYPERLINK("https://pbs.twimg.com/profile_images/962471262747529216/Uo8lOkRJ_normal.jpg","View")</f>
        <v>View</v>
      </c>
      <c r="P13665" s="7"/>
    </row>
    <row r="13666" spans="1:16">
      <c r="A13666" s="3">
        <v>44250.747939814813</v>
      </c>
      <c r="B13666" s="4" t="str">
        <f>HYPERLINK("https://twitter.com/petrogustavo","@petrogustavo")</f>
        <v>@petrogustavo</v>
      </c>
      <c r="C13666" s="5" t="s">
        <v>16</v>
      </c>
      <c r="D13666" s="5" t="s">
        <v>13149</v>
      </c>
      <c r="E13666" s="6" t="str">
        <f>HYPERLINK("https://twitter.com/petrogustavo/status/1364190026100318213","1364190026100318213")</f>
        <v>1364190026100318213</v>
      </c>
      <c r="F13666" s="7" t="s">
        <v>17</v>
      </c>
      <c r="G13666" s="7">
        <v>4070055</v>
      </c>
      <c r="H13666" s="7">
        <v>2485</v>
      </c>
      <c r="I13666" s="7">
        <v>50</v>
      </c>
      <c r="J13666" s="7">
        <v>0</v>
      </c>
      <c r="K13666" s="7" t="s">
        <v>18</v>
      </c>
      <c r="L13666" s="8">
        <v>39987.315405092595</v>
      </c>
      <c r="M13666" s="9" t="s">
        <v>19</v>
      </c>
      <c r="N13666" s="9" t="s">
        <v>20</v>
      </c>
      <c r="O13666" s="6" t="str">
        <f>HYPERLINK("https://pbs.twimg.com/profile_images/962471262747529216/Uo8lOkRJ_normal.jpg","View")</f>
        <v>View</v>
      </c>
      <c r="P13666" s="7"/>
    </row>
    <row r="13667" spans="1:16">
      <c r="A13667" s="3">
        <v>44250.771018518513</v>
      </c>
      <c r="B13667" s="4" t="str">
        <f>HYPERLINK("https://twitter.com/petrogustavo","@petrogustavo")</f>
        <v>@petrogustavo</v>
      </c>
      <c r="C13667" s="5" t="s">
        <v>16</v>
      </c>
      <c r="D13667" s="5" t="s">
        <v>13150</v>
      </c>
      <c r="E13667" s="6" t="str">
        <f>HYPERLINK("https://twitter.com/petrogustavo/status/1364198390221922309","1364198390221922309")</f>
        <v>1364198390221922309</v>
      </c>
      <c r="F13667" s="7" t="s">
        <v>17</v>
      </c>
      <c r="G13667" s="7">
        <v>4070078</v>
      </c>
      <c r="H13667" s="7">
        <v>2485</v>
      </c>
      <c r="I13667" s="7">
        <v>250</v>
      </c>
      <c r="J13667" s="7">
        <v>0</v>
      </c>
      <c r="K13667" s="7" t="s">
        <v>18</v>
      </c>
      <c r="L13667" s="8">
        <v>39987.315405092595</v>
      </c>
      <c r="M13667" s="9" t="s">
        <v>19</v>
      </c>
      <c r="N13667" s="9" t="s">
        <v>20</v>
      </c>
      <c r="O13667" s="6" t="str">
        <f>HYPERLINK("https://pbs.twimg.com/profile_images/962471262747529216/Uo8lOkRJ_normal.jpg","View")</f>
        <v>View</v>
      </c>
      <c r="P13667" s="7"/>
    </row>
    <row r="13668" spans="1:16">
      <c r="A13668" s="3">
        <v>44250.892418981486</v>
      </c>
      <c r="B13668" s="4" t="str">
        <f>HYPERLINK("https://twitter.com/petrogustavo","@petrogustavo")</f>
        <v>@petrogustavo</v>
      </c>
      <c r="C13668" s="5" t="s">
        <v>16</v>
      </c>
      <c r="D13668" s="5" t="s">
        <v>13151</v>
      </c>
      <c r="E13668" s="6" t="str">
        <f>HYPERLINK("https://twitter.com/petrogustavo/status/1364242385966874628","1364242385966874628")</f>
        <v>1364242385966874628</v>
      </c>
      <c r="F13668" s="7" t="s">
        <v>17</v>
      </c>
      <c r="G13668" s="7">
        <v>4069529</v>
      </c>
      <c r="H13668" s="7">
        <v>2486</v>
      </c>
      <c r="I13668" s="7">
        <v>172</v>
      </c>
      <c r="J13668" s="7">
        <v>495</v>
      </c>
      <c r="K13668" s="7" t="s">
        <v>18</v>
      </c>
      <c r="L13668" s="8">
        <v>39987.315405092595</v>
      </c>
      <c r="M13668" s="9" t="s">
        <v>19</v>
      </c>
      <c r="N13668" s="9" t="s">
        <v>20</v>
      </c>
      <c r="O13668" s="6" t="str">
        <f>HYPERLINK("https://pbs.twimg.com/profile_images/962471262747529216/Uo8lOkRJ_normal.jpg","View")</f>
        <v>View</v>
      </c>
      <c r="P13668" s="7"/>
    </row>
    <row r="13669" spans="1:16">
      <c r="A13669" s="3">
        <v>44250.922094907408</v>
      </c>
      <c r="B13669" s="4" t="str">
        <f>HYPERLINK("https://twitter.com/petrogustavo","@petrogustavo")</f>
        <v>@petrogustavo</v>
      </c>
      <c r="C13669" s="5" t="s">
        <v>16</v>
      </c>
      <c r="D13669" s="5" t="s">
        <v>13152</v>
      </c>
      <c r="E13669" s="6" t="str">
        <f>HYPERLINK("https://twitter.com/petrogustavo/status/1364253139373817857","1364253139373817857")</f>
        <v>1364253139373817857</v>
      </c>
      <c r="F13669" s="7" t="s">
        <v>17</v>
      </c>
      <c r="G13669" s="7">
        <v>4070235</v>
      </c>
      <c r="H13669" s="7">
        <v>2485</v>
      </c>
      <c r="I13669" s="7">
        <v>1357</v>
      </c>
      <c r="J13669" s="7">
        <v>0</v>
      </c>
      <c r="K13669" s="7" t="s">
        <v>18</v>
      </c>
      <c r="L13669" s="8">
        <v>39987.315405092595</v>
      </c>
      <c r="M13669" s="9" t="s">
        <v>19</v>
      </c>
      <c r="N13669" s="9" t="s">
        <v>20</v>
      </c>
      <c r="O13669" s="6" t="str">
        <f>HYPERLINK("https://pbs.twimg.com/profile_images/962471262747529216/Uo8lOkRJ_normal.jpg","View")</f>
        <v>View</v>
      </c>
      <c r="P13669" s="7"/>
    </row>
    <row r="13670" spans="1:16">
      <c r="A13670" s="3">
        <v>44251.076261574075</v>
      </c>
      <c r="B13670" s="4" t="str">
        <f>HYPERLINK("https://twitter.com/petrogustavo","@petrogustavo")</f>
        <v>@petrogustavo</v>
      </c>
      <c r="C13670" s="5" t="s">
        <v>16</v>
      </c>
      <c r="D13670" s="5" t="s">
        <v>13153</v>
      </c>
      <c r="E13670" s="6" t="str">
        <f>HYPERLINK("https://twitter.com/petrogustavo/status/1364309006093856771","1364309006093856771")</f>
        <v>1364309006093856771</v>
      </c>
      <c r="F13670" s="7" t="s">
        <v>17</v>
      </c>
      <c r="G13670" s="7">
        <v>4070399</v>
      </c>
      <c r="H13670" s="7">
        <v>2485</v>
      </c>
      <c r="I13670" s="7">
        <v>1789</v>
      </c>
      <c r="J13670" s="7">
        <v>0</v>
      </c>
      <c r="K13670" s="7" t="s">
        <v>18</v>
      </c>
      <c r="L13670" s="8">
        <v>39987.315405092595</v>
      </c>
      <c r="M13670" s="9" t="s">
        <v>19</v>
      </c>
      <c r="N13670" s="9" t="s">
        <v>20</v>
      </c>
      <c r="O13670" s="6" t="str">
        <f>HYPERLINK("https://pbs.twimg.com/profile_images/962471262747529216/Uo8lOkRJ_normal.jpg","View")</f>
        <v>View</v>
      </c>
      <c r="P13670" s="7"/>
    </row>
    <row r="13671" spans="1:16">
      <c r="A13671" s="3">
        <v>44251.649236111116</v>
      </c>
      <c r="B13671" s="4" t="str">
        <f>HYPERLINK("https://twitter.com/petrogustavo","@petrogustavo")</f>
        <v>@petrogustavo</v>
      </c>
      <c r="C13671" s="5" t="s">
        <v>16</v>
      </c>
      <c r="D13671" s="5" t="s">
        <v>13154</v>
      </c>
      <c r="E13671" s="6" t="str">
        <f>HYPERLINK("https://twitter.com/petrogustavo/status/1364516643754377219","1364516643754377219")</f>
        <v>1364516643754377219</v>
      </c>
      <c r="F13671" s="7" t="s">
        <v>17</v>
      </c>
      <c r="G13671" s="7">
        <v>4070752</v>
      </c>
      <c r="H13671" s="7">
        <v>2489</v>
      </c>
      <c r="I13671" s="7">
        <v>60</v>
      </c>
      <c r="J13671" s="7">
        <v>126</v>
      </c>
      <c r="K13671" s="7" t="s">
        <v>18</v>
      </c>
      <c r="L13671" s="8">
        <v>39987.315405092595</v>
      </c>
      <c r="M13671" s="9" t="s">
        <v>19</v>
      </c>
      <c r="N13671" s="9" t="s">
        <v>20</v>
      </c>
      <c r="O13671" s="6" t="str">
        <f>HYPERLINK("https://pbs.twimg.com/profile_images/962471262747529216/Uo8lOkRJ_normal.jpg","View")</f>
        <v>View</v>
      </c>
      <c r="P13671" s="7"/>
    </row>
    <row r="13672" spans="1:16">
      <c r="A13672" s="3">
        <v>44251.813009259262</v>
      </c>
      <c r="B13672" s="4" t="str">
        <f>HYPERLINK("https://twitter.com/petrogustavo","@petrogustavo")</f>
        <v>@petrogustavo</v>
      </c>
      <c r="C13672" s="5" t="s">
        <v>16</v>
      </c>
      <c r="D13672" s="5" t="s">
        <v>13155</v>
      </c>
      <c r="E13672" s="6" t="str">
        <f>HYPERLINK("https://twitter.com/petrogustavo/status/1364575996335243265","1364575996335243265")</f>
        <v>1364575996335243265</v>
      </c>
      <c r="F13672" s="7" t="s">
        <v>17</v>
      </c>
      <c r="G13672" s="7">
        <v>4070846</v>
      </c>
      <c r="H13672" s="7">
        <v>2489</v>
      </c>
      <c r="I13672" s="7">
        <v>14</v>
      </c>
      <c r="J13672" s="7">
        <v>0</v>
      </c>
      <c r="K13672" s="7" t="s">
        <v>18</v>
      </c>
      <c r="L13672" s="8">
        <v>39987.315405092595</v>
      </c>
      <c r="M13672" s="9" t="s">
        <v>19</v>
      </c>
      <c r="N13672" s="9" t="s">
        <v>20</v>
      </c>
      <c r="O13672" s="6" t="str">
        <f>HYPERLINK("https://pbs.twimg.com/profile_images/962471262747529216/Uo8lOkRJ_normal.jpg","View")</f>
        <v>View</v>
      </c>
      <c r="P13672" s="7"/>
    </row>
    <row r="13673" spans="1:16">
      <c r="A13673" s="3">
        <v>44251.831018518518</v>
      </c>
      <c r="B13673" s="4" t="str">
        <f>HYPERLINK("https://twitter.com/petrogustavo","@petrogustavo")</f>
        <v>@petrogustavo</v>
      </c>
      <c r="C13673" s="5" t="s">
        <v>16</v>
      </c>
      <c r="D13673" s="5" t="s">
        <v>13156</v>
      </c>
      <c r="E13673" s="6" t="str">
        <f>HYPERLINK("https://twitter.com/petrogustavo/status/1364582522097717248","1364582522097717248")</f>
        <v>1364582522097717248</v>
      </c>
      <c r="F13673" s="7" t="s">
        <v>17</v>
      </c>
      <c r="G13673" s="7">
        <v>4070860</v>
      </c>
      <c r="H13673" s="7">
        <v>2489</v>
      </c>
      <c r="I13673" s="7">
        <v>124</v>
      </c>
      <c r="J13673" s="7">
        <v>354</v>
      </c>
      <c r="K13673" s="7" t="s">
        <v>18</v>
      </c>
      <c r="L13673" s="8">
        <v>39987.315405092595</v>
      </c>
      <c r="M13673" s="9" t="s">
        <v>19</v>
      </c>
      <c r="N13673" s="9" t="s">
        <v>20</v>
      </c>
      <c r="O13673" s="6" t="str">
        <f>HYPERLINK("https://pbs.twimg.com/profile_images/962471262747529216/Uo8lOkRJ_normal.jpg","View")</f>
        <v>View</v>
      </c>
      <c r="P13673" s="7"/>
    </row>
    <row r="13674" spans="1:16">
      <c r="A13674" s="3">
        <v>44251.842372685191</v>
      </c>
      <c r="B13674" s="4" t="str">
        <f>HYPERLINK("https://twitter.com/petrogustavo","@petrogustavo")</f>
        <v>@petrogustavo</v>
      </c>
      <c r="C13674" s="5" t="s">
        <v>16</v>
      </c>
      <c r="D13674" s="5" t="s">
        <v>13157</v>
      </c>
      <c r="E13674" s="6" t="str">
        <f>HYPERLINK("https://twitter.com/petrogustavo/status/1364586637930475527","1364586637930475527")</f>
        <v>1364586637930475527</v>
      </c>
      <c r="F13674" s="7" t="s">
        <v>17</v>
      </c>
      <c r="G13674" s="7">
        <v>4070884</v>
      </c>
      <c r="H13674" s="7">
        <v>2489</v>
      </c>
      <c r="I13674" s="7">
        <v>41</v>
      </c>
      <c r="J13674" s="7">
        <v>0</v>
      </c>
      <c r="K13674" s="7" t="s">
        <v>18</v>
      </c>
      <c r="L13674" s="8">
        <v>39987.315405092595</v>
      </c>
      <c r="M13674" s="9" t="s">
        <v>19</v>
      </c>
      <c r="N13674" s="9" t="s">
        <v>20</v>
      </c>
      <c r="O13674" s="6" t="str">
        <f>HYPERLINK("https://pbs.twimg.com/profile_images/962471262747529216/Uo8lOkRJ_normal.jpg","View")</f>
        <v>View</v>
      </c>
      <c r="P13674" s="7"/>
    </row>
    <row r="13675" spans="1:16">
      <c r="A13675" s="3">
        <v>44251.850717592592</v>
      </c>
      <c r="B13675" s="4" t="str">
        <f>HYPERLINK("https://twitter.com/petrogustavo","@petrogustavo")</f>
        <v>@petrogustavo</v>
      </c>
      <c r="C13675" s="5" t="s">
        <v>16</v>
      </c>
      <c r="D13675" s="5" t="s">
        <v>13158</v>
      </c>
      <c r="E13675" s="6" t="str">
        <f>HYPERLINK("https://twitter.com/petrogustavo/status/1364589658190073859","1364589658190073859")</f>
        <v>1364589658190073859</v>
      </c>
      <c r="F13675" s="7" t="s">
        <v>17</v>
      </c>
      <c r="G13675" s="7">
        <v>4070884</v>
      </c>
      <c r="H13675" s="7">
        <v>2489</v>
      </c>
      <c r="I13675" s="7">
        <v>17</v>
      </c>
      <c r="J13675" s="7">
        <v>0</v>
      </c>
      <c r="K13675" s="7" t="s">
        <v>18</v>
      </c>
      <c r="L13675" s="8">
        <v>39987.315405092595</v>
      </c>
      <c r="M13675" s="9" t="s">
        <v>19</v>
      </c>
      <c r="N13675" s="9" t="s">
        <v>20</v>
      </c>
      <c r="O13675" s="6" t="str">
        <f>HYPERLINK("https://pbs.twimg.com/profile_images/962471262747529216/Uo8lOkRJ_normal.jpg","View")</f>
        <v>View</v>
      </c>
      <c r="P13675" s="7"/>
    </row>
    <row r="13676" spans="1:16">
      <c r="A13676" s="3">
        <v>44251.850810185184</v>
      </c>
      <c r="B13676" s="4" t="str">
        <f>HYPERLINK("https://twitter.com/petrogustavo","@petrogustavo")</f>
        <v>@petrogustavo</v>
      </c>
      <c r="C13676" s="5" t="s">
        <v>16</v>
      </c>
      <c r="D13676" s="5" t="s">
        <v>13159</v>
      </c>
      <c r="E13676" s="6" t="str">
        <f>HYPERLINK("https://twitter.com/petrogustavo/status/1364589693174710277","1364589693174710277")</f>
        <v>1364589693174710277</v>
      </c>
      <c r="F13676" s="7" t="s">
        <v>17</v>
      </c>
      <c r="G13676" s="7">
        <v>4070884</v>
      </c>
      <c r="H13676" s="7">
        <v>2489</v>
      </c>
      <c r="I13676" s="7">
        <v>483</v>
      </c>
      <c r="J13676" s="7">
        <v>0</v>
      </c>
      <c r="K13676" s="7" t="s">
        <v>18</v>
      </c>
      <c r="L13676" s="8">
        <v>39987.315405092595</v>
      </c>
      <c r="M13676" s="9" t="s">
        <v>19</v>
      </c>
      <c r="N13676" s="9" t="s">
        <v>20</v>
      </c>
      <c r="O13676" s="6" t="str">
        <f>HYPERLINK("https://pbs.twimg.com/profile_images/962471262747529216/Uo8lOkRJ_normal.jpg","View")</f>
        <v>View</v>
      </c>
      <c r="P13676" s="7"/>
    </row>
    <row r="13677" spans="1:16">
      <c r="A13677" s="3">
        <v>44252.742997685185</v>
      </c>
      <c r="B13677" s="4" t="str">
        <f>HYPERLINK("https://twitter.com/petrogustavo","@petrogustavo")</f>
        <v>@petrogustavo</v>
      </c>
      <c r="C13677" s="5" t="s">
        <v>16</v>
      </c>
      <c r="D13677" s="5" t="s">
        <v>13160</v>
      </c>
      <c r="E13677" s="6" t="str">
        <f>HYPERLINK("https://twitter.com/petrogustavo/status/1364913011576684547","1364913011576684547")</f>
        <v>1364913011576684547</v>
      </c>
      <c r="F13677" s="7" t="s">
        <v>17</v>
      </c>
      <c r="G13677" s="7">
        <v>4071445</v>
      </c>
      <c r="H13677" s="7">
        <v>2490</v>
      </c>
      <c r="I13677" s="7">
        <v>50</v>
      </c>
      <c r="J13677" s="7">
        <v>113</v>
      </c>
      <c r="K13677" s="7" t="s">
        <v>18</v>
      </c>
      <c r="L13677" s="8">
        <v>39987.315405092595</v>
      </c>
      <c r="M13677" s="9" t="s">
        <v>19</v>
      </c>
      <c r="N13677" s="9" t="s">
        <v>20</v>
      </c>
      <c r="O13677" s="6" t="str">
        <f>HYPERLINK("https://pbs.twimg.com/profile_images/962471262747529216/Uo8lOkRJ_normal.jpg","View")</f>
        <v>View</v>
      </c>
      <c r="P13677" s="7"/>
    </row>
    <row r="13678" spans="1:16">
      <c r="A13678" s="3">
        <v>44252.742997685185</v>
      </c>
      <c r="B13678" s="4" t="str">
        <f>HYPERLINK("https://twitter.com/petrogustavo","@petrogustavo")</f>
        <v>@petrogustavo</v>
      </c>
      <c r="C13678" s="5" t="s">
        <v>16</v>
      </c>
      <c r="D13678" s="5" t="s">
        <v>13161</v>
      </c>
      <c r="E13678" s="6" t="str">
        <f>HYPERLINK("https://twitter.com/petrogustavo/status/1364913012973441026","1364913012973441026")</f>
        <v>1364913012973441026</v>
      </c>
      <c r="F13678" s="7" t="s">
        <v>17</v>
      </c>
      <c r="G13678" s="7">
        <v>4071445</v>
      </c>
      <c r="H13678" s="7">
        <v>2490</v>
      </c>
      <c r="I13678" s="7">
        <v>9</v>
      </c>
      <c r="J13678" s="7">
        <v>24</v>
      </c>
      <c r="K13678" s="7" t="s">
        <v>18</v>
      </c>
      <c r="L13678" s="8">
        <v>39987.315405092595</v>
      </c>
      <c r="M13678" s="9" t="s">
        <v>19</v>
      </c>
      <c r="N13678" s="9" t="s">
        <v>20</v>
      </c>
      <c r="O13678" s="6" t="str">
        <f>HYPERLINK("https://pbs.twimg.com/profile_images/962471262747529216/Uo8lOkRJ_normal.jpg","View")</f>
        <v>View</v>
      </c>
      <c r="P13678" s="7"/>
    </row>
    <row r="13679" spans="1:16">
      <c r="A13679" s="3">
        <v>44252.743009259255</v>
      </c>
      <c r="B13679" s="4" t="str">
        <f>HYPERLINK("https://twitter.com/petrogustavo","@petrogustavo")</f>
        <v>@petrogustavo</v>
      </c>
      <c r="C13679" s="5" t="s">
        <v>16</v>
      </c>
      <c r="D13679" s="5" t="s">
        <v>13162</v>
      </c>
      <c r="E13679" s="6" t="str">
        <f>HYPERLINK("https://twitter.com/petrogustavo/status/1364913014244319236","1364913014244319236")</f>
        <v>1364913014244319236</v>
      </c>
      <c r="F13679" s="7" t="s">
        <v>17</v>
      </c>
      <c r="G13679" s="7">
        <v>4071445</v>
      </c>
      <c r="H13679" s="7">
        <v>2490</v>
      </c>
      <c r="I13679" s="7">
        <v>14</v>
      </c>
      <c r="J13679" s="7">
        <v>43</v>
      </c>
      <c r="K13679" s="7" t="s">
        <v>18</v>
      </c>
      <c r="L13679" s="8">
        <v>39987.315405092595</v>
      </c>
      <c r="M13679" s="9" t="s">
        <v>19</v>
      </c>
      <c r="N13679" s="9" t="s">
        <v>20</v>
      </c>
      <c r="O13679" s="6" t="str">
        <f>HYPERLINK("https://pbs.twimg.com/profile_images/962471262747529216/Uo8lOkRJ_normal.jpg","View")</f>
        <v>View</v>
      </c>
      <c r="P13679" s="7"/>
    </row>
    <row r="13680" spans="1:16">
      <c r="A13680" s="3">
        <v>44252.743009259255</v>
      </c>
      <c r="B13680" s="4" t="str">
        <f>HYPERLINK("https://twitter.com/petrogustavo","@petrogustavo")</f>
        <v>@petrogustavo</v>
      </c>
      <c r="C13680" s="5" t="s">
        <v>16</v>
      </c>
      <c r="D13680" s="5" t="s">
        <v>13163</v>
      </c>
      <c r="E13680" s="6" t="str">
        <f>HYPERLINK("https://twitter.com/petrogustavo/status/1364913016215584770","1364913016215584770")</f>
        <v>1364913016215584770</v>
      </c>
      <c r="F13680" s="7" t="s">
        <v>17</v>
      </c>
      <c r="G13680" s="7">
        <v>4071445</v>
      </c>
      <c r="H13680" s="7">
        <v>2490</v>
      </c>
      <c r="I13680" s="7">
        <v>36</v>
      </c>
      <c r="J13680" s="7">
        <v>88</v>
      </c>
      <c r="K13680" s="7" t="s">
        <v>18</v>
      </c>
      <c r="L13680" s="8">
        <v>39987.315405092595</v>
      </c>
      <c r="M13680" s="9" t="s">
        <v>19</v>
      </c>
      <c r="N13680" s="9" t="s">
        <v>20</v>
      </c>
      <c r="O13680" s="6" t="str">
        <f>HYPERLINK("https://pbs.twimg.com/profile_images/962471262747529216/Uo8lOkRJ_normal.jpg","View")</f>
        <v>View</v>
      </c>
      <c r="P13680" s="7"/>
    </row>
    <row r="13681" spans="1:16">
      <c r="A13681" s="3">
        <v>44252.743009259255</v>
      </c>
      <c r="B13681" s="4" t="str">
        <f>HYPERLINK("https://twitter.com/petrogustavo","@petrogustavo")</f>
        <v>@petrogustavo</v>
      </c>
      <c r="C13681" s="5" t="s">
        <v>16</v>
      </c>
      <c r="D13681" s="5" t="s">
        <v>13164</v>
      </c>
      <c r="E13681" s="6" t="str">
        <f>HYPERLINK("https://twitter.com/petrogustavo/status/1364913017524224002","1364913017524224002")</f>
        <v>1364913017524224002</v>
      </c>
      <c r="F13681" s="7" t="s">
        <v>17</v>
      </c>
      <c r="G13681" s="7">
        <v>4071445</v>
      </c>
      <c r="H13681" s="7">
        <v>2490</v>
      </c>
      <c r="I13681" s="7">
        <v>30</v>
      </c>
      <c r="J13681" s="7">
        <v>75</v>
      </c>
      <c r="K13681" s="7" t="s">
        <v>18</v>
      </c>
      <c r="L13681" s="8">
        <v>39987.315405092595</v>
      </c>
      <c r="M13681" s="9" t="s">
        <v>19</v>
      </c>
      <c r="N13681" s="9" t="s">
        <v>20</v>
      </c>
      <c r="O13681" s="6" t="str">
        <f>HYPERLINK("https://pbs.twimg.com/profile_images/962471262747529216/Uo8lOkRJ_normal.jpg","View")</f>
        <v>View</v>
      </c>
      <c r="P13681" s="7"/>
    </row>
    <row r="13682" spans="1:16">
      <c r="A13682" s="3">
        <v>44252.788854166662</v>
      </c>
      <c r="B13682" s="4" t="str">
        <f>HYPERLINK("https://twitter.com/petrogustavo","@petrogustavo")</f>
        <v>@petrogustavo</v>
      </c>
      <c r="C13682" s="5" t="s">
        <v>16</v>
      </c>
      <c r="D13682" s="5" t="s">
        <v>13165</v>
      </c>
      <c r="E13682" s="6" t="str">
        <f>HYPERLINK("https://twitter.com/petrogustavo/status/1364929630982049799","1364929630982049799")</f>
        <v>1364929630982049799</v>
      </c>
      <c r="F13682" s="7" t="s">
        <v>17</v>
      </c>
      <c r="G13682" s="7">
        <v>4071481</v>
      </c>
      <c r="H13682" s="7">
        <v>2490</v>
      </c>
      <c r="I13682" s="7">
        <v>105</v>
      </c>
      <c r="J13682" s="7">
        <v>306</v>
      </c>
      <c r="K13682" s="7" t="s">
        <v>18</v>
      </c>
      <c r="L13682" s="8">
        <v>39987.315405092595</v>
      </c>
      <c r="M13682" s="9" t="s">
        <v>19</v>
      </c>
      <c r="N13682" s="9" t="s">
        <v>20</v>
      </c>
      <c r="O13682" s="6" t="str">
        <f>HYPERLINK("https://pbs.twimg.com/profile_images/962471262747529216/Uo8lOkRJ_normal.jpg","View")</f>
        <v>View</v>
      </c>
      <c r="P13682" s="7"/>
    </row>
    <row r="13683" spans="1:16">
      <c r="A13683" s="3">
        <v>44252.851909722223</v>
      </c>
      <c r="B13683" s="4" t="str">
        <f>HYPERLINK("https://twitter.com/petrogustavo","@petrogustavo")</f>
        <v>@petrogustavo</v>
      </c>
      <c r="C13683" s="5" t="s">
        <v>16</v>
      </c>
      <c r="D13683" s="5" t="s">
        <v>13166</v>
      </c>
      <c r="E13683" s="6" t="str">
        <f>HYPERLINK("https://twitter.com/petrogustavo/status/1364952480895930372","1364952480895930372")</f>
        <v>1364952480895930372</v>
      </c>
      <c r="F13683" s="7" t="s">
        <v>17</v>
      </c>
      <c r="G13683" s="7">
        <v>4071512</v>
      </c>
      <c r="H13683" s="7">
        <v>2491</v>
      </c>
      <c r="I13683" s="7">
        <v>491</v>
      </c>
      <c r="J13683" s="7">
        <v>0</v>
      </c>
      <c r="K13683" s="7" t="s">
        <v>18</v>
      </c>
      <c r="L13683" s="8">
        <v>39987.315405092595</v>
      </c>
      <c r="M13683" s="9" t="s">
        <v>19</v>
      </c>
      <c r="N13683" s="9" t="s">
        <v>20</v>
      </c>
      <c r="O13683" s="6" t="str">
        <f>HYPERLINK("https://pbs.twimg.com/profile_images/962471262747529216/Uo8lOkRJ_normal.jpg","View")</f>
        <v>View</v>
      </c>
      <c r="P13683" s="7"/>
    </row>
    <row r="13684" spans="1:16">
      <c r="A13684" s="3">
        <v>44252.925219907411</v>
      </c>
      <c r="B13684" s="4" t="str">
        <f>HYPERLINK("https://twitter.com/petrogustavo","@petrogustavo")</f>
        <v>@petrogustavo</v>
      </c>
      <c r="C13684" s="5" t="s">
        <v>16</v>
      </c>
      <c r="D13684" s="5" t="s">
        <v>13167</v>
      </c>
      <c r="E13684" s="6" t="str">
        <f>HYPERLINK("https://twitter.com/petrogustavo/status/1364979048317878275","1364979048317878275")</f>
        <v>1364979048317878275</v>
      </c>
      <c r="F13684" s="7" t="s">
        <v>17</v>
      </c>
      <c r="G13684" s="7">
        <v>4071559</v>
      </c>
      <c r="H13684" s="7">
        <v>2491</v>
      </c>
      <c r="I13684" s="7">
        <v>1327</v>
      </c>
      <c r="J13684" s="7">
        <v>0</v>
      </c>
      <c r="K13684" s="7" t="s">
        <v>18</v>
      </c>
      <c r="L13684" s="8">
        <v>39987.315405092595</v>
      </c>
      <c r="M13684" s="9" t="s">
        <v>19</v>
      </c>
      <c r="N13684" s="9" t="s">
        <v>20</v>
      </c>
      <c r="O13684" s="6" t="str">
        <f>HYPERLINK("https://pbs.twimg.com/profile_images/962471262747529216/Uo8lOkRJ_normal.jpg","View")</f>
        <v>View</v>
      </c>
      <c r="P13684" s="7"/>
    </row>
    <row r="13685" spans="1:16">
      <c r="A13685" s="3">
        <v>44252.974861111114</v>
      </c>
      <c r="B13685" s="4" t="str">
        <f>HYPERLINK("https://twitter.com/petrogustavo","@petrogustavo")</f>
        <v>@petrogustavo</v>
      </c>
      <c r="C13685" s="5" t="s">
        <v>16</v>
      </c>
      <c r="D13685" s="5" t="s">
        <v>13168</v>
      </c>
      <c r="E13685" s="6" t="str">
        <f>HYPERLINK("https://twitter.com/petrogustavo/status/1364997036358000642","1364997036358000642")</f>
        <v>1364997036358000642</v>
      </c>
      <c r="F13685" s="7" t="s">
        <v>17</v>
      </c>
      <c r="G13685" s="7">
        <v>4071599</v>
      </c>
      <c r="H13685" s="7">
        <v>2491</v>
      </c>
      <c r="I13685" s="7">
        <v>25</v>
      </c>
      <c r="J13685" s="7">
        <v>0</v>
      </c>
      <c r="K13685" s="7" t="s">
        <v>18</v>
      </c>
      <c r="L13685" s="8">
        <v>39987.315405092595</v>
      </c>
      <c r="M13685" s="9" t="s">
        <v>19</v>
      </c>
      <c r="N13685" s="9" t="s">
        <v>20</v>
      </c>
      <c r="O13685" s="6" t="str">
        <f>HYPERLINK("https://pbs.twimg.com/profile_images/962471262747529216/Uo8lOkRJ_normal.jpg","View")</f>
        <v>View</v>
      </c>
      <c r="P13685" s="7"/>
    </row>
    <row r="13686" spans="1:16">
      <c r="A13686" s="3">
        <v>44252.981180555551</v>
      </c>
      <c r="B13686" s="4" t="str">
        <f>HYPERLINK("https://twitter.com/petrogustavo","@petrogustavo")</f>
        <v>@petrogustavo</v>
      </c>
      <c r="C13686" s="5" t="s">
        <v>16</v>
      </c>
      <c r="D13686" s="5" t="s">
        <v>13169</v>
      </c>
      <c r="E13686" s="6" t="str">
        <f>HYPERLINK("https://twitter.com/petrogustavo/status/1364999325999226881","1364999325999226881")</f>
        <v>1364999325999226881</v>
      </c>
      <c r="F13686" s="7" t="s">
        <v>17</v>
      </c>
      <c r="G13686" s="7">
        <v>4071599</v>
      </c>
      <c r="H13686" s="7">
        <v>2491</v>
      </c>
      <c r="I13686" s="7">
        <v>995</v>
      </c>
      <c r="J13686" s="7">
        <v>0</v>
      </c>
      <c r="K13686" s="7" t="s">
        <v>18</v>
      </c>
      <c r="L13686" s="8">
        <v>39987.315405092595</v>
      </c>
      <c r="M13686" s="9" t="s">
        <v>19</v>
      </c>
      <c r="N13686" s="9" t="s">
        <v>20</v>
      </c>
      <c r="O13686" s="6" t="str">
        <f>HYPERLINK("https://pbs.twimg.com/profile_images/962471262747529216/Uo8lOkRJ_normal.jpg","View")</f>
        <v>View</v>
      </c>
      <c r="P13686" s="7"/>
    </row>
    <row r="13687" spans="1:16">
      <c r="A13687" s="3">
        <v>44252.984166666662</v>
      </c>
      <c r="B13687" s="4" t="str">
        <f>HYPERLINK("https://twitter.com/petrogustavo","@petrogustavo")</f>
        <v>@petrogustavo</v>
      </c>
      <c r="C13687" s="5" t="s">
        <v>16</v>
      </c>
      <c r="D13687" s="5" t="s">
        <v>13170</v>
      </c>
      <c r="E13687" s="6" t="str">
        <f>HYPERLINK("https://twitter.com/petrogustavo/status/1365000407630549001","1365000407630549001")</f>
        <v>1365000407630549001</v>
      </c>
      <c r="F13687" s="7" t="s">
        <v>17</v>
      </c>
      <c r="G13687" s="7">
        <v>4071616</v>
      </c>
      <c r="H13687" s="7">
        <v>2491</v>
      </c>
      <c r="I13687" s="7">
        <v>95</v>
      </c>
      <c r="J13687" s="7">
        <v>249</v>
      </c>
      <c r="K13687" s="7" t="s">
        <v>18</v>
      </c>
      <c r="L13687" s="8">
        <v>39987.315405092595</v>
      </c>
      <c r="M13687" s="9" t="s">
        <v>19</v>
      </c>
      <c r="N13687" s="9" t="s">
        <v>20</v>
      </c>
      <c r="O13687" s="6" t="str">
        <f>HYPERLINK("https://pbs.twimg.com/profile_images/962471262747529216/Uo8lOkRJ_normal.jpg","View")</f>
        <v>View</v>
      </c>
      <c r="P13687" s="7"/>
    </row>
    <row r="13688" spans="1:16">
      <c r="A13688" s="3">
        <v>44252.985347222224</v>
      </c>
      <c r="B13688" s="4" t="str">
        <f>HYPERLINK("https://twitter.com/petrogustavo","@petrogustavo")</f>
        <v>@petrogustavo</v>
      </c>
      <c r="C13688" s="5" t="s">
        <v>16</v>
      </c>
      <c r="D13688" s="5" t="s">
        <v>13171</v>
      </c>
      <c r="E13688" s="6" t="str">
        <f>HYPERLINK("https://twitter.com/petrogustavo/status/1365000838234525702","1365000838234525702")</f>
        <v>1365000838234525702</v>
      </c>
      <c r="F13688" s="7" t="s">
        <v>17</v>
      </c>
      <c r="G13688" s="7">
        <v>4071616</v>
      </c>
      <c r="H13688" s="7">
        <v>2491</v>
      </c>
      <c r="I13688" s="7">
        <v>1060</v>
      </c>
      <c r="J13688" s="7">
        <v>0</v>
      </c>
      <c r="K13688" s="7" t="s">
        <v>18</v>
      </c>
      <c r="L13688" s="8">
        <v>39987.315405092595</v>
      </c>
      <c r="M13688" s="9" t="s">
        <v>19</v>
      </c>
      <c r="N13688" s="9" t="s">
        <v>20</v>
      </c>
      <c r="O13688" s="6" t="str">
        <f>HYPERLINK("https://pbs.twimg.com/profile_images/962471262747529216/Uo8lOkRJ_normal.jpg","View")</f>
        <v>View</v>
      </c>
      <c r="P13688" s="7"/>
    </row>
    <row r="13689" spans="1:16">
      <c r="A13689" s="3">
        <v>44253.704525462963</v>
      </c>
      <c r="B13689" s="4" t="str">
        <f>HYPERLINK("https://twitter.com/petrogustavo","@petrogustavo")</f>
        <v>@petrogustavo</v>
      </c>
      <c r="C13689" s="5" t="s">
        <v>16</v>
      </c>
      <c r="D13689" s="5" t="s">
        <v>13172</v>
      </c>
      <c r="E13689" s="6" t="str">
        <f>HYPERLINK("https://twitter.com/petrogustavo/status/1365261459329077253","1365261459329077253")</f>
        <v>1365261459329077253</v>
      </c>
      <c r="F13689" s="7" t="s">
        <v>17</v>
      </c>
      <c r="G13689" s="7">
        <v>4071980</v>
      </c>
      <c r="H13689" s="7">
        <v>2491</v>
      </c>
      <c r="I13689" s="7">
        <v>15</v>
      </c>
      <c r="J13689" s="7">
        <v>0</v>
      </c>
      <c r="K13689" s="7" t="s">
        <v>18</v>
      </c>
      <c r="L13689" s="8">
        <v>39987.315405092595</v>
      </c>
      <c r="M13689" s="9" t="s">
        <v>19</v>
      </c>
      <c r="N13689" s="9" t="s">
        <v>20</v>
      </c>
      <c r="O13689" s="6" t="str">
        <f>HYPERLINK("https://pbs.twimg.com/profile_images/962471262747529216/Uo8lOkRJ_normal.jpg","View")</f>
        <v>View</v>
      </c>
      <c r="P13689" s="7"/>
    </row>
    <row r="13690" spans="1:16">
      <c r="A13690" s="3">
        <v>44253.875891203701</v>
      </c>
      <c r="B13690" s="4" t="str">
        <f>HYPERLINK("https://twitter.com/petrogustavo","@petrogustavo")</f>
        <v>@petrogustavo</v>
      </c>
      <c r="C13690" s="5" t="s">
        <v>16</v>
      </c>
      <c r="D13690" s="5" t="s">
        <v>13173</v>
      </c>
      <c r="E13690" s="6" t="str">
        <f>HYPERLINK("https://twitter.com/petrogustavo/status/1365323558981926915","1365323558981926915")</f>
        <v>1365323558981926915</v>
      </c>
      <c r="F13690" s="7" t="s">
        <v>17</v>
      </c>
      <c r="G13690" s="7">
        <v>4072057</v>
      </c>
      <c r="H13690" s="7">
        <v>2491</v>
      </c>
      <c r="I13690" s="7">
        <v>21</v>
      </c>
      <c r="J13690" s="7">
        <v>55</v>
      </c>
      <c r="K13690" s="7" t="s">
        <v>18</v>
      </c>
      <c r="L13690" s="8">
        <v>39987.315405092595</v>
      </c>
      <c r="M13690" s="9" t="s">
        <v>19</v>
      </c>
      <c r="N13690" s="9" t="s">
        <v>20</v>
      </c>
      <c r="O13690" s="6" t="str">
        <f>HYPERLINK("https://pbs.twimg.com/profile_images/962471262747529216/Uo8lOkRJ_normal.jpg","View")</f>
        <v>View</v>
      </c>
      <c r="P13690" s="7"/>
    </row>
    <row r="13691" spans="1:16">
      <c r="A13691" s="3">
        <v>44253.915520833332</v>
      </c>
      <c r="B13691" s="4" t="str">
        <f>HYPERLINK("https://twitter.com/petrogustavo","@petrogustavo")</f>
        <v>@petrogustavo</v>
      </c>
      <c r="C13691" s="5" t="s">
        <v>16</v>
      </c>
      <c r="D13691" s="5" t="s">
        <v>13174</v>
      </c>
      <c r="E13691" s="6" t="str">
        <f>HYPERLINK("https://twitter.com/petrogustavo/status/1365337921792970757","1365337921792970757")</f>
        <v>1365337921792970757</v>
      </c>
      <c r="F13691" s="7" t="s">
        <v>17</v>
      </c>
      <c r="G13691" s="7">
        <v>4072101</v>
      </c>
      <c r="H13691" s="7">
        <v>2491</v>
      </c>
      <c r="I13691" s="7">
        <v>26</v>
      </c>
      <c r="J13691" s="7">
        <v>0</v>
      </c>
      <c r="K13691" s="7" t="s">
        <v>18</v>
      </c>
      <c r="L13691" s="8">
        <v>39987.315405092595</v>
      </c>
      <c r="M13691" s="9" t="s">
        <v>19</v>
      </c>
      <c r="N13691" s="9" t="s">
        <v>20</v>
      </c>
      <c r="O13691" s="6" t="str">
        <f>HYPERLINK("https://pbs.twimg.com/profile_images/962471262747529216/Uo8lOkRJ_normal.jpg","View")</f>
        <v>View</v>
      </c>
      <c r="P13691" s="7"/>
    </row>
    <row r="13692" spans="1:16">
      <c r="A13692" s="3">
        <v>44253.917187500003</v>
      </c>
      <c r="B13692" s="4" t="str">
        <f>HYPERLINK("https://twitter.com/petrogustavo","@petrogustavo")</f>
        <v>@petrogustavo</v>
      </c>
      <c r="C13692" s="5" t="s">
        <v>16</v>
      </c>
      <c r="D13692" s="5" t="s">
        <v>13175</v>
      </c>
      <c r="E13692" s="6" t="str">
        <f>HYPERLINK("https://twitter.com/petrogustavo/status/1365338522719313930","1365338522719313930")</f>
        <v>1365338522719313930</v>
      </c>
      <c r="F13692" s="7" t="s">
        <v>17</v>
      </c>
      <c r="G13692" s="7">
        <v>4072101</v>
      </c>
      <c r="H13692" s="7">
        <v>2491</v>
      </c>
      <c r="I13692" s="7">
        <v>7</v>
      </c>
      <c r="J13692" s="7">
        <v>0</v>
      </c>
      <c r="K13692" s="7" t="s">
        <v>18</v>
      </c>
      <c r="L13692" s="8">
        <v>39987.315405092595</v>
      </c>
      <c r="M13692" s="9" t="s">
        <v>19</v>
      </c>
      <c r="N13692" s="9" t="s">
        <v>20</v>
      </c>
      <c r="O13692" s="6" t="str">
        <f>HYPERLINK("https://pbs.twimg.com/profile_images/962471262747529216/Uo8lOkRJ_normal.jpg","View")</f>
        <v>View</v>
      </c>
      <c r="P13692" s="7"/>
    </row>
    <row r="13693" spans="1:16">
      <c r="A13693" s="3">
        <v>44253.922916666663</v>
      </c>
      <c r="B13693" s="4" t="str">
        <f>HYPERLINK("https://twitter.com/petrogustavo","@petrogustavo")</f>
        <v>@petrogustavo</v>
      </c>
      <c r="C13693" s="5" t="s">
        <v>16</v>
      </c>
      <c r="D13693" s="5" t="s">
        <v>13176</v>
      </c>
      <c r="E13693" s="6" t="str">
        <f>HYPERLINK("https://twitter.com/petrogustavo/status/1365340599411425283","1365340599411425283")</f>
        <v>1365340599411425283</v>
      </c>
      <c r="F13693" s="7" t="s">
        <v>17</v>
      </c>
      <c r="G13693" s="7">
        <v>4072108</v>
      </c>
      <c r="H13693" s="7">
        <v>2491</v>
      </c>
      <c r="I13693" s="7">
        <v>153</v>
      </c>
      <c r="J13693" s="7">
        <v>389</v>
      </c>
      <c r="K13693" s="7" t="s">
        <v>18</v>
      </c>
      <c r="L13693" s="8">
        <v>39987.315405092595</v>
      </c>
      <c r="M13693" s="9" t="s">
        <v>19</v>
      </c>
      <c r="N13693" s="9" t="s">
        <v>20</v>
      </c>
      <c r="O13693" s="6" t="str">
        <f>HYPERLINK("https://pbs.twimg.com/profile_images/962471262747529216/Uo8lOkRJ_normal.jpg","View")</f>
        <v>View</v>
      </c>
      <c r="P13693" s="7"/>
    </row>
    <row r="13694" spans="1:16">
      <c r="A13694" s="3">
        <v>44253.932326388887</v>
      </c>
      <c r="B13694" s="4" t="str">
        <f>HYPERLINK("https://twitter.com/petrogustavo","@petrogustavo")</f>
        <v>@petrogustavo</v>
      </c>
      <c r="C13694" s="5" t="s">
        <v>16</v>
      </c>
      <c r="D13694" s="5" t="s">
        <v>13177</v>
      </c>
      <c r="E13694" s="6" t="str">
        <f>HYPERLINK("https://twitter.com/petrogustavo/status/1365344008353034245","1365344008353034245")</f>
        <v>1365344008353034245</v>
      </c>
      <c r="F13694" s="7" t="s">
        <v>17</v>
      </c>
      <c r="G13694" s="7">
        <v>4072108</v>
      </c>
      <c r="H13694" s="7">
        <v>2491</v>
      </c>
      <c r="I13694" s="7">
        <v>22</v>
      </c>
      <c r="J13694" s="7">
        <v>0</v>
      </c>
      <c r="K13694" s="7" t="s">
        <v>18</v>
      </c>
      <c r="L13694" s="8">
        <v>39987.315405092595</v>
      </c>
      <c r="M13694" s="9" t="s">
        <v>19</v>
      </c>
      <c r="N13694" s="9" t="s">
        <v>20</v>
      </c>
      <c r="O13694" s="6" t="str">
        <f>HYPERLINK("https://pbs.twimg.com/profile_images/962471262747529216/Uo8lOkRJ_normal.jpg","View")</f>
        <v>View</v>
      </c>
      <c r="P13694" s="7"/>
    </row>
    <row r="13695" spans="1:16">
      <c r="A13695" s="3">
        <v>44253.933391203704</v>
      </c>
      <c r="B13695" s="4" t="str">
        <f>HYPERLINK("https://twitter.com/petrogustavo","@petrogustavo")</f>
        <v>@petrogustavo</v>
      </c>
      <c r="C13695" s="5" t="s">
        <v>16</v>
      </c>
      <c r="D13695" s="5" t="s">
        <v>13178</v>
      </c>
      <c r="E13695" s="6" t="str">
        <f>HYPERLINK("https://twitter.com/petrogustavo/status/1365344394551951360","1365344394551951360")</f>
        <v>1365344394551951360</v>
      </c>
      <c r="F13695" s="7" t="s">
        <v>17</v>
      </c>
      <c r="G13695" s="7">
        <v>4072108</v>
      </c>
      <c r="H13695" s="7">
        <v>2491</v>
      </c>
      <c r="I13695" s="7">
        <v>62</v>
      </c>
      <c r="J13695" s="7">
        <v>143</v>
      </c>
      <c r="K13695" s="7" t="s">
        <v>18</v>
      </c>
      <c r="L13695" s="8">
        <v>39987.315405092595</v>
      </c>
      <c r="M13695" s="9" t="s">
        <v>19</v>
      </c>
      <c r="N13695" s="9" t="s">
        <v>20</v>
      </c>
      <c r="O13695" s="6" t="str">
        <f>HYPERLINK("https://pbs.twimg.com/profile_images/962471262747529216/Uo8lOkRJ_normal.jpg","View")</f>
        <v>View</v>
      </c>
      <c r="P13695" s="7"/>
    </row>
    <row r="13696" spans="1:16">
      <c r="A13696" s="3">
        <v>44253.941099537042</v>
      </c>
      <c r="B13696" s="4" t="str">
        <f>HYPERLINK("https://twitter.com/petrogustavo","@petrogustavo")</f>
        <v>@petrogustavo</v>
      </c>
      <c r="C13696" s="5" t="s">
        <v>16</v>
      </c>
      <c r="D13696" s="5" t="s">
        <v>13179</v>
      </c>
      <c r="E13696" s="6" t="str">
        <f>HYPERLINK("https://twitter.com/petrogustavo/status/1365347191083175942","1365347191083175942")</f>
        <v>1365347191083175942</v>
      </c>
      <c r="F13696" s="7" t="s">
        <v>17</v>
      </c>
      <c r="G13696" s="7">
        <v>4072115</v>
      </c>
      <c r="H13696" s="7">
        <v>2491</v>
      </c>
      <c r="I13696" s="7">
        <v>302</v>
      </c>
      <c r="J13696" s="7">
        <v>805</v>
      </c>
      <c r="K13696" s="7" t="s">
        <v>18</v>
      </c>
      <c r="L13696" s="8">
        <v>39987.315405092595</v>
      </c>
      <c r="M13696" s="9" t="s">
        <v>19</v>
      </c>
      <c r="N13696" s="9" t="s">
        <v>20</v>
      </c>
      <c r="O13696" s="6" t="str">
        <f>HYPERLINK("https://pbs.twimg.com/profile_images/962471262747529216/Uo8lOkRJ_normal.jpg","View")</f>
        <v>View</v>
      </c>
      <c r="P13696" s="7"/>
    </row>
    <row r="13697" spans="1:16">
      <c r="A13697" s="3">
        <v>44253.941111111111</v>
      </c>
      <c r="B13697" s="4" t="str">
        <f>HYPERLINK("https://twitter.com/petrogustavo","@petrogustavo")</f>
        <v>@petrogustavo</v>
      </c>
      <c r="C13697" s="5" t="s">
        <v>16</v>
      </c>
      <c r="D13697" s="5" t="s">
        <v>13180</v>
      </c>
      <c r="E13697" s="6" t="str">
        <f>HYPERLINK("https://twitter.com/petrogustavo/status/1365347192349802498","1365347192349802498")</f>
        <v>1365347192349802498</v>
      </c>
      <c r="F13697" s="7" t="s">
        <v>17</v>
      </c>
      <c r="G13697" s="7">
        <v>4072115</v>
      </c>
      <c r="H13697" s="7">
        <v>2491</v>
      </c>
      <c r="I13697" s="7">
        <v>75</v>
      </c>
      <c r="J13697" s="7">
        <v>205</v>
      </c>
      <c r="K13697" s="7" t="s">
        <v>18</v>
      </c>
      <c r="L13697" s="8">
        <v>39987.315405092595</v>
      </c>
      <c r="M13697" s="9" t="s">
        <v>19</v>
      </c>
      <c r="N13697" s="9" t="s">
        <v>20</v>
      </c>
      <c r="O13697" s="6" t="str">
        <f>HYPERLINK("https://pbs.twimg.com/profile_images/962471262747529216/Uo8lOkRJ_normal.jpg","View")</f>
        <v>View</v>
      </c>
      <c r="P13697" s="7"/>
    </row>
    <row r="13698" spans="1:16">
      <c r="A13698" s="3">
        <v>44253.941111111111</v>
      </c>
      <c r="B13698" s="4" t="str">
        <f>HYPERLINK("https://twitter.com/petrogustavo","@petrogustavo")</f>
        <v>@petrogustavo</v>
      </c>
      <c r="C13698" s="5" t="s">
        <v>16</v>
      </c>
      <c r="D13698" s="5" t="s">
        <v>13181</v>
      </c>
      <c r="E13698" s="6" t="str">
        <f>HYPERLINK("https://twitter.com/petrogustavo/status/1365347193645858823","1365347193645858823")</f>
        <v>1365347193645858823</v>
      </c>
      <c r="F13698" s="7" t="s">
        <v>17</v>
      </c>
      <c r="G13698" s="7">
        <v>4072115</v>
      </c>
      <c r="H13698" s="7">
        <v>2491</v>
      </c>
      <c r="I13698" s="7">
        <v>96</v>
      </c>
      <c r="J13698" s="7">
        <v>290</v>
      </c>
      <c r="K13698" s="7" t="s">
        <v>18</v>
      </c>
      <c r="L13698" s="8">
        <v>39987.315405092595</v>
      </c>
      <c r="M13698" s="9" t="s">
        <v>19</v>
      </c>
      <c r="N13698" s="9" t="s">
        <v>20</v>
      </c>
      <c r="O13698" s="6" t="str">
        <f>HYPERLINK("https://pbs.twimg.com/profile_images/962471262747529216/Uo8lOkRJ_normal.jpg","View")</f>
        <v>View</v>
      </c>
      <c r="P13698" s="7"/>
    </row>
    <row r="13699" spans="1:16">
      <c r="A13699" s="3">
        <v>44253.941111111111</v>
      </c>
      <c r="B13699" s="4" t="str">
        <f>HYPERLINK("https://twitter.com/petrogustavo","@petrogustavo")</f>
        <v>@petrogustavo</v>
      </c>
      <c r="C13699" s="5" t="s">
        <v>16</v>
      </c>
      <c r="D13699" s="5" t="s">
        <v>13182</v>
      </c>
      <c r="E13699" s="6" t="str">
        <f>HYPERLINK("https://twitter.com/petrogustavo/status/1365347195239686147","1365347195239686147")</f>
        <v>1365347195239686147</v>
      </c>
      <c r="F13699" s="7" t="s">
        <v>17</v>
      </c>
      <c r="G13699" s="7">
        <v>4072115</v>
      </c>
      <c r="H13699" s="7">
        <v>2491</v>
      </c>
      <c r="I13699" s="7">
        <v>89</v>
      </c>
      <c r="J13699" s="7">
        <v>312</v>
      </c>
      <c r="K13699" s="7" t="s">
        <v>18</v>
      </c>
      <c r="L13699" s="8">
        <v>39987.315405092595</v>
      </c>
      <c r="M13699" s="9" t="s">
        <v>19</v>
      </c>
      <c r="N13699" s="9" t="s">
        <v>20</v>
      </c>
      <c r="O13699" s="6" t="str">
        <f>HYPERLINK("https://pbs.twimg.com/profile_images/962471262747529216/Uo8lOkRJ_normal.jpg","View")</f>
        <v>View</v>
      </c>
      <c r="P13699" s="7"/>
    </row>
    <row r="13700" spans="1:16">
      <c r="A13700" s="3">
        <v>44253.955023148148</v>
      </c>
      <c r="B13700" s="4" t="str">
        <f>HYPERLINK("https://twitter.com/petrogustavo","@petrogustavo")</f>
        <v>@petrogustavo</v>
      </c>
      <c r="C13700" s="5" t="s">
        <v>16</v>
      </c>
      <c r="D13700" s="5" t="s">
        <v>13183</v>
      </c>
      <c r="E13700" s="6" t="str">
        <f>HYPERLINK("https://twitter.com/petrogustavo/status/1365352236818206721","1365352236818206721")</f>
        <v>1365352236818206721</v>
      </c>
      <c r="F13700" s="7" t="s">
        <v>22</v>
      </c>
      <c r="G13700" s="7">
        <v>4072115</v>
      </c>
      <c r="H13700" s="7">
        <v>2491</v>
      </c>
      <c r="I13700" s="7">
        <v>60</v>
      </c>
      <c r="J13700" s="7">
        <v>132</v>
      </c>
      <c r="K13700" s="7" t="s">
        <v>18</v>
      </c>
      <c r="L13700" s="8">
        <v>39987.315405092595</v>
      </c>
      <c r="M13700" s="9" t="s">
        <v>19</v>
      </c>
      <c r="N13700" s="9" t="s">
        <v>20</v>
      </c>
      <c r="O13700" s="6" t="str">
        <f>HYPERLINK("https://pbs.twimg.com/profile_images/962471262747529216/Uo8lOkRJ_normal.jpg","View")</f>
        <v>View</v>
      </c>
      <c r="P13700" s="7"/>
    </row>
    <row r="13701" spans="1:16">
      <c r="A13701" s="3">
        <v>44254.136458333334</v>
      </c>
      <c r="B13701" s="4" t="str">
        <f>HYPERLINK("https://twitter.com/petrogustavo","@petrogustavo")</f>
        <v>@petrogustavo</v>
      </c>
      <c r="C13701" s="5" t="s">
        <v>16</v>
      </c>
      <c r="D13701" s="5" t="s">
        <v>13184</v>
      </c>
      <c r="E13701" s="6" t="str">
        <f>HYPERLINK("https://twitter.com/petrogustavo/status/1365417985419132929","1365417985419132929")</f>
        <v>1365417985419132929</v>
      </c>
      <c r="F13701" s="7" t="s">
        <v>17</v>
      </c>
      <c r="G13701" s="7">
        <v>4072252</v>
      </c>
      <c r="H13701" s="7">
        <v>2491</v>
      </c>
      <c r="I13701" s="7">
        <v>232</v>
      </c>
      <c r="J13701" s="7">
        <v>863</v>
      </c>
      <c r="K13701" s="7" t="s">
        <v>18</v>
      </c>
      <c r="L13701" s="8">
        <v>39987.315405092595</v>
      </c>
      <c r="M13701" s="9" t="s">
        <v>19</v>
      </c>
      <c r="N13701" s="9" t="s">
        <v>20</v>
      </c>
      <c r="O13701" s="6" t="str">
        <f>HYPERLINK("https://pbs.twimg.com/profile_images/962471262747529216/Uo8lOkRJ_normal.jpg","View")</f>
        <v>View</v>
      </c>
      <c r="P13701" s="7"/>
    </row>
    <row r="13702" spans="1:16">
      <c r="A13702" s="3">
        <v>44254.151331018518</v>
      </c>
      <c r="B13702" s="4" t="str">
        <f>HYPERLINK("https://twitter.com/petrogustavo","@petrogustavo")</f>
        <v>@petrogustavo</v>
      </c>
      <c r="C13702" s="5" t="s">
        <v>16</v>
      </c>
      <c r="D13702" s="5" t="s">
        <v>13185</v>
      </c>
      <c r="E13702" s="6" t="str">
        <f>HYPERLINK("https://twitter.com/petrogustavo/status/1365423374776860673","1365423374776860673")</f>
        <v>1365423374776860673</v>
      </c>
      <c r="F13702" s="7" t="s">
        <v>17</v>
      </c>
      <c r="G13702" s="7">
        <v>4072284</v>
      </c>
      <c r="H13702" s="7">
        <v>2491</v>
      </c>
      <c r="I13702" s="7">
        <v>123</v>
      </c>
      <c r="J13702" s="7">
        <v>392</v>
      </c>
      <c r="K13702" s="7" t="s">
        <v>18</v>
      </c>
      <c r="L13702" s="8">
        <v>39987.315405092595</v>
      </c>
      <c r="M13702" s="9" t="s">
        <v>19</v>
      </c>
      <c r="N13702" s="9" t="s">
        <v>20</v>
      </c>
      <c r="O13702" s="6" t="str">
        <f>HYPERLINK("https://pbs.twimg.com/profile_images/962471262747529216/Uo8lOkRJ_normal.jpg","View")</f>
        <v>View</v>
      </c>
      <c r="P13702" s="7"/>
    </row>
    <row r="13703" spans="1:16">
      <c r="A13703" s="3">
        <v>44254.15148148148</v>
      </c>
      <c r="B13703" s="4" t="str">
        <f>HYPERLINK("https://twitter.com/petrogustavo","@petrogustavo")</f>
        <v>@petrogustavo</v>
      </c>
      <c r="C13703" s="5" t="s">
        <v>16</v>
      </c>
      <c r="D13703" s="5" t="s">
        <v>13186</v>
      </c>
      <c r="E13703" s="6" t="str">
        <f>HYPERLINK("https://twitter.com/petrogustavo/status/1365423430842122251","1365423430842122251")</f>
        <v>1365423430842122251</v>
      </c>
      <c r="F13703" s="7" t="s">
        <v>17</v>
      </c>
      <c r="G13703" s="7">
        <v>4072284</v>
      </c>
      <c r="H13703" s="7">
        <v>2491</v>
      </c>
      <c r="I13703" s="7">
        <v>543</v>
      </c>
      <c r="J13703" s="7">
        <v>0</v>
      </c>
      <c r="K13703" s="7" t="s">
        <v>18</v>
      </c>
      <c r="L13703" s="8">
        <v>39987.315405092595</v>
      </c>
      <c r="M13703" s="9" t="s">
        <v>19</v>
      </c>
      <c r="N13703" s="9" t="s">
        <v>20</v>
      </c>
      <c r="O13703" s="6" t="str">
        <f>HYPERLINK("https://pbs.twimg.com/profile_images/962471262747529216/Uo8lOkRJ_normal.jpg","View")</f>
        <v>View</v>
      </c>
      <c r="P13703" s="7"/>
    </row>
    <row r="13704" spans="1:16">
      <c r="A13704" s="3">
        <v>44254.945011574076</v>
      </c>
      <c r="B13704" s="4" t="str">
        <f>HYPERLINK("https://twitter.com/petrogustavo","@petrogustavo")</f>
        <v>@petrogustavo</v>
      </c>
      <c r="C13704" s="5" t="s">
        <v>16</v>
      </c>
      <c r="D13704" s="5" t="s">
        <v>13187</v>
      </c>
      <c r="E13704" s="6" t="str">
        <f>HYPERLINK("https://twitter.com/petrogustavo/status/1365710994207604740","1365710994207604740")</f>
        <v>1365710994207604740</v>
      </c>
      <c r="F13704" s="7" t="s">
        <v>17</v>
      </c>
      <c r="G13704" s="7">
        <v>4072547</v>
      </c>
      <c r="H13704" s="7">
        <v>2491</v>
      </c>
      <c r="I13704" s="7">
        <v>163</v>
      </c>
      <c r="J13704" s="7">
        <v>569</v>
      </c>
      <c r="K13704" s="7" t="s">
        <v>18</v>
      </c>
      <c r="L13704" s="8">
        <v>39987.315405092595</v>
      </c>
      <c r="M13704" s="9" t="s">
        <v>19</v>
      </c>
      <c r="N13704" s="9" t="s">
        <v>20</v>
      </c>
      <c r="O13704" s="6" t="str">
        <f>HYPERLINK("https://pbs.twimg.com/profile_images/962471262747529216/Uo8lOkRJ_normal.jpg","View")</f>
        <v>View</v>
      </c>
      <c r="P13704" s="7"/>
    </row>
    <row r="13705" spans="1:16">
      <c r="A13705" s="3">
        <v>44255.084363425922</v>
      </c>
      <c r="B13705" s="4" t="str">
        <f>HYPERLINK("https://twitter.com/petrogustavo","@petrogustavo")</f>
        <v>@petrogustavo</v>
      </c>
      <c r="C13705" s="5" t="s">
        <v>16</v>
      </c>
      <c r="D13705" s="5" t="s">
        <v>13188</v>
      </c>
      <c r="E13705" s="6" t="str">
        <f>HYPERLINK("https://twitter.com/petrogustavo/status/1365761495687168001","1365761495687168001")</f>
        <v>1365761495687168001</v>
      </c>
      <c r="F13705" s="7" t="s">
        <v>17</v>
      </c>
      <c r="G13705" s="7">
        <v>4072640</v>
      </c>
      <c r="H13705" s="7">
        <v>2491</v>
      </c>
      <c r="I13705" s="7">
        <v>48</v>
      </c>
      <c r="J13705" s="7">
        <v>114</v>
      </c>
      <c r="K13705" s="7" t="s">
        <v>18</v>
      </c>
      <c r="L13705" s="8">
        <v>39987.315405092595</v>
      </c>
      <c r="M13705" s="9" t="s">
        <v>19</v>
      </c>
      <c r="N13705" s="9" t="s">
        <v>20</v>
      </c>
      <c r="O13705" s="6" t="str">
        <f>HYPERLINK("https://pbs.twimg.com/profile_images/962471262747529216/Uo8lOkRJ_normal.jpg","View")</f>
        <v>View</v>
      </c>
      <c r="P13705" s="7"/>
    </row>
    <row r="13706" spans="1:16">
      <c r="A13706" s="3">
        <v>44255.632708333331</v>
      </c>
      <c r="B13706" s="4" t="str">
        <f>HYPERLINK("https://twitter.com/petrogustavo","@petrogustavo")</f>
        <v>@petrogustavo</v>
      </c>
      <c r="C13706" s="5" t="s">
        <v>16</v>
      </c>
      <c r="D13706" s="5" t="s">
        <v>13189</v>
      </c>
      <c r="E13706" s="6" t="str">
        <f>HYPERLINK("https://twitter.com/petrogustavo/status/1365960207189368833","1365960207189368833")</f>
        <v>1365960207189368833</v>
      </c>
      <c r="F13706" s="7" t="s">
        <v>17</v>
      </c>
      <c r="G13706" s="7">
        <v>4072872</v>
      </c>
      <c r="H13706" s="7">
        <v>2491</v>
      </c>
      <c r="I13706" s="7">
        <v>58</v>
      </c>
      <c r="J13706" s="7">
        <v>122</v>
      </c>
      <c r="K13706" s="7" t="s">
        <v>18</v>
      </c>
      <c r="L13706" s="8">
        <v>39987.315405092595</v>
      </c>
      <c r="M13706" s="9" t="s">
        <v>19</v>
      </c>
      <c r="N13706" s="9" t="s">
        <v>20</v>
      </c>
      <c r="O13706" s="6" t="str">
        <f>HYPERLINK("https://pbs.twimg.com/profile_images/962471262747529216/Uo8lOkRJ_normal.jpg","View")</f>
        <v>View</v>
      </c>
      <c r="P13706" s="7"/>
    </row>
    <row r="13707" spans="1:16">
      <c r="A13707" s="3">
        <v>44255.647604166668</v>
      </c>
      <c r="B13707" s="4" t="str">
        <f>HYPERLINK("https://twitter.com/petrogustavo","@petrogustavo")</f>
        <v>@petrogustavo</v>
      </c>
      <c r="C13707" s="5" t="s">
        <v>16</v>
      </c>
      <c r="D13707" s="5" t="s">
        <v>13190</v>
      </c>
      <c r="E13707" s="6" t="str">
        <f>HYPERLINK("https://twitter.com/petrogustavo/status/1365965606898565124","1365965606898565124")</f>
        <v>1365965606898565124</v>
      </c>
      <c r="F13707" s="7" t="s">
        <v>17</v>
      </c>
      <c r="G13707" s="7">
        <v>4072875</v>
      </c>
      <c r="H13707" s="7">
        <v>2491</v>
      </c>
      <c r="I13707" s="7">
        <v>74</v>
      </c>
      <c r="J13707" s="7">
        <v>173</v>
      </c>
      <c r="K13707" s="7" t="s">
        <v>18</v>
      </c>
      <c r="L13707" s="8">
        <v>39987.315405092595</v>
      </c>
      <c r="M13707" s="9" t="s">
        <v>19</v>
      </c>
      <c r="N13707" s="9" t="s">
        <v>20</v>
      </c>
      <c r="O13707" s="6" t="str">
        <f>HYPERLINK("https://pbs.twimg.com/profile_images/962471262747529216/Uo8lOkRJ_normal.jpg","View")</f>
        <v>View</v>
      </c>
      <c r="P13707" s="7"/>
    </row>
    <row r="13708" spans="1:16">
      <c r="A13708" s="3">
        <v>44255.787592592591</v>
      </c>
      <c r="B13708" s="4" t="str">
        <f>HYPERLINK("https://twitter.com/petrogustavo","@petrogustavo")</f>
        <v>@petrogustavo</v>
      </c>
      <c r="C13708" s="5" t="s">
        <v>16</v>
      </c>
      <c r="D13708" s="5" t="s">
        <v>13191</v>
      </c>
      <c r="E13708" s="6" t="str">
        <f>HYPERLINK("https://twitter.com/petrogustavo/status/1366016334140739585","1366016334140739585")</f>
        <v>1366016334140739585</v>
      </c>
      <c r="F13708" s="7" t="s">
        <v>17</v>
      </c>
      <c r="G13708" s="7">
        <v>4072929</v>
      </c>
      <c r="H13708" s="7">
        <v>2491</v>
      </c>
      <c r="I13708" s="7">
        <v>743</v>
      </c>
      <c r="J13708" s="7">
        <v>0</v>
      </c>
      <c r="K13708" s="7" t="s">
        <v>18</v>
      </c>
      <c r="L13708" s="8">
        <v>39987.315405092595</v>
      </c>
      <c r="M13708" s="9" t="s">
        <v>19</v>
      </c>
      <c r="N13708" s="9" t="s">
        <v>20</v>
      </c>
      <c r="O13708" s="6" t="str">
        <f>HYPERLINK("https://pbs.twimg.com/profile_images/962471262747529216/Uo8lOkRJ_normal.jpg","View")</f>
        <v>View</v>
      </c>
      <c r="P13708" s="7"/>
    </row>
    <row r="13709" spans="1:16">
      <c r="A13709" s="3">
        <v>44256.664166666669</v>
      </c>
      <c r="B13709" s="4" t="str">
        <f>HYPERLINK("https://twitter.com/petrogustavo","@petrogustavo")</f>
        <v>@petrogustavo</v>
      </c>
      <c r="C13709" s="5" t="s">
        <v>16</v>
      </c>
      <c r="D13709" s="5" t="s">
        <v>13192</v>
      </c>
      <c r="E13709" s="6" t="str">
        <f>HYPERLINK("https://twitter.com/petrogustavo/status/1366333996582502401","1366333996582502401")</f>
        <v>1366333996582502401</v>
      </c>
      <c r="F13709" s="7" t="s">
        <v>17</v>
      </c>
      <c r="G13709" s="7">
        <v>4073706</v>
      </c>
      <c r="H13709" s="7">
        <v>2492</v>
      </c>
      <c r="I13709" s="7">
        <v>53</v>
      </c>
      <c r="J13709" s="7">
        <v>95</v>
      </c>
      <c r="K13709" s="7" t="s">
        <v>18</v>
      </c>
      <c r="L13709" s="8">
        <v>39987.315405092595</v>
      </c>
      <c r="M13709" s="9" t="s">
        <v>19</v>
      </c>
      <c r="N13709" s="9" t="s">
        <v>20</v>
      </c>
      <c r="O13709" s="6" t="str">
        <f>HYPERLINK("https://pbs.twimg.com/profile_images/962471262747529216/Uo8lOkRJ_normal.jpg","View")</f>
        <v>View</v>
      </c>
      <c r="P13709" s="7"/>
    </row>
    <row r="13710" spans="1:16">
      <c r="A13710" s="3">
        <v>44256.672650462962</v>
      </c>
      <c r="B13710" s="4" t="str">
        <f>HYPERLINK("https://twitter.com/petrogustavo","@petrogustavo")</f>
        <v>@petrogustavo</v>
      </c>
      <c r="C13710" s="5" t="s">
        <v>16</v>
      </c>
      <c r="D13710" s="5" t="s">
        <v>13193</v>
      </c>
      <c r="E13710" s="6" t="str">
        <f>HYPERLINK("https://twitter.com/petrogustavo/status/1366337068251684870","1366337068251684870")</f>
        <v>1366337068251684870</v>
      </c>
      <c r="F13710" s="7" t="s">
        <v>17</v>
      </c>
      <c r="G13710" s="7">
        <v>4073702</v>
      </c>
      <c r="H13710" s="7">
        <v>2492</v>
      </c>
      <c r="I13710" s="7">
        <v>63</v>
      </c>
      <c r="J13710" s="7">
        <v>174</v>
      </c>
      <c r="K13710" s="7" t="s">
        <v>18</v>
      </c>
      <c r="L13710" s="8">
        <v>39987.315405092595</v>
      </c>
      <c r="M13710" s="9" t="s">
        <v>19</v>
      </c>
      <c r="N13710" s="9" t="s">
        <v>20</v>
      </c>
      <c r="O13710" s="6" t="str">
        <f>HYPERLINK("https://pbs.twimg.com/profile_images/962471262747529216/Uo8lOkRJ_normal.jpg","View")</f>
        <v>View</v>
      </c>
      <c r="P13710" s="7"/>
    </row>
    <row r="13711" spans="1:16">
      <c r="A13711" s="3">
        <v>44256.673020833332</v>
      </c>
      <c r="B13711" s="4" t="str">
        <f>HYPERLINK("https://twitter.com/petrogustavo","@petrogustavo")</f>
        <v>@petrogustavo</v>
      </c>
      <c r="C13711" s="5" t="s">
        <v>16</v>
      </c>
      <c r="D13711" s="5" t="s">
        <v>13194</v>
      </c>
      <c r="E13711" s="6" t="str">
        <f>HYPERLINK("https://twitter.com/petrogustavo/status/1366337204889485312","1366337204889485312")</f>
        <v>1366337204889485312</v>
      </c>
      <c r="F13711" s="7" t="s">
        <v>17</v>
      </c>
      <c r="G13711" s="7">
        <v>4073702</v>
      </c>
      <c r="H13711" s="7">
        <v>2492</v>
      </c>
      <c r="I13711" s="7">
        <v>177</v>
      </c>
      <c r="J13711" s="7">
        <v>0</v>
      </c>
      <c r="K13711" s="7" t="s">
        <v>18</v>
      </c>
      <c r="L13711" s="8">
        <v>39987.315405092595</v>
      </c>
      <c r="M13711" s="9" t="s">
        <v>19</v>
      </c>
      <c r="N13711" s="9" t="s">
        <v>20</v>
      </c>
      <c r="O13711" s="6" t="str">
        <f>HYPERLINK("https://pbs.twimg.com/profile_images/962471262747529216/Uo8lOkRJ_normal.jpg","View")</f>
        <v>View</v>
      </c>
      <c r="P13711" s="7"/>
    </row>
    <row r="13712" spans="1:16">
      <c r="A13712" s="3">
        <v>44256.754756944443</v>
      </c>
      <c r="B13712" s="4" t="str">
        <f>HYPERLINK("https://twitter.com/petrogustavo","@petrogustavo")</f>
        <v>@petrogustavo</v>
      </c>
      <c r="C13712" s="5" t="s">
        <v>16</v>
      </c>
      <c r="D13712" s="5" t="s">
        <v>13195</v>
      </c>
      <c r="E13712" s="6" t="str">
        <f>HYPERLINK("https://twitter.com/petrogustavo/status/1366366824452001795","1366366824452001795")</f>
        <v>1366366824452001795</v>
      </c>
      <c r="F13712" s="7" t="s">
        <v>17</v>
      </c>
      <c r="G13712" s="7">
        <v>4073782</v>
      </c>
      <c r="H13712" s="7">
        <v>2492</v>
      </c>
      <c r="I13712" s="7">
        <v>965</v>
      </c>
      <c r="J13712" s="7">
        <v>0</v>
      </c>
      <c r="K13712" s="7" t="s">
        <v>18</v>
      </c>
      <c r="L13712" s="8">
        <v>39987.315405092595</v>
      </c>
      <c r="M13712" s="9" t="s">
        <v>19</v>
      </c>
      <c r="N13712" s="9" t="s">
        <v>20</v>
      </c>
      <c r="O13712" s="6" t="str">
        <f>HYPERLINK("https://pbs.twimg.com/profile_images/962471262747529216/Uo8lOkRJ_normal.jpg","View")</f>
        <v>View</v>
      </c>
      <c r="P13712" s="7"/>
    </row>
    <row r="13713" spans="1:16">
      <c r="A13713" s="3">
        <v>44256.757835648154</v>
      </c>
      <c r="B13713" s="4" t="str">
        <f>HYPERLINK("https://twitter.com/petrogustavo","@petrogustavo")</f>
        <v>@petrogustavo</v>
      </c>
      <c r="C13713" s="5" t="s">
        <v>16</v>
      </c>
      <c r="D13713" s="5" t="s">
        <v>13196</v>
      </c>
      <c r="E13713" s="6" t="str">
        <f>HYPERLINK("https://twitter.com/petrogustavo/status/1366367940048801793","1366367940048801793")</f>
        <v>1366367940048801793</v>
      </c>
      <c r="F13713" s="7" t="s">
        <v>17</v>
      </c>
      <c r="G13713" s="7">
        <v>4073782</v>
      </c>
      <c r="H13713" s="7">
        <v>2492</v>
      </c>
      <c r="I13713" s="7">
        <v>72</v>
      </c>
      <c r="J13713" s="7">
        <v>240</v>
      </c>
      <c r="K13713" s="7" t="s">
        <v>18</v>
      </c>
      <c r="L13713" s="8">
        <v>39987.315405092595</v>
      </c>
      <c r="M13713" s="9" t="s">
        <v>19</v>
      </c>
      <c r="N13713" s="9" t="s">
        <v>20</v>
      </c>
      <c r="O13713" s="6" t="str">
        <f>HYPERLINK("https://pbs.twimg.com/profile_images/962471262747529216/Uo8lOkRJ_normal.jpg","View")</f>
        <v>View</v>
      </c>
      <c r="P13713" s="7"/>
    </row>
    <row r="13714" spans="1:16">
      <c r="A13714" s="3">
        <v>44256.785613425927</v>
      </c>
      <c r="B13714" s="4" t="str">
        <f>HYPERLINK("https://twitter.com/petrogustavo","@petrogustavo")</f>
        <v>@petrogustavo</v>
      </c>
      <c r="C13714" s="5" t="s">
        <v>16</v>
      </c>
      <c r="D13714" s="5" t="s">
        <v>13197</v>
      </c>
      <c r="E13714" s="6" t="str">
        <f>HYPERLINK("https://twitter.com/petrogustavo/status/1366378008278409219","1366378008278409219")</f>
        <v>1366378008278409219</v>
      </c>
      <c r="F13714" s="7" t="s">
        <v>17</v>
      </c>
      <c r="G13714" s="7">
        <v>4073809</v>
      </c>
      <c r="H13714" s="7">
        <v>2492</v>
      </c>
      <c r="I13714" s="7">
        <v>140</v>
      </c>
      <c r="J13714" s="7">
        <v>284</v>
      </c>
      <c r="K13714" s="7" t="s">
        <v>18</v>
      </c>
      <c r="L13714" s="8">
        <v>39987.315405092595</v>
      </c>
      <c r="M13714" s="9" t="s">
        <v>19</v>
      </c>
      <c r="N13714" s="9" t="s">
        <v>20</v>
      </c>
      <c r="O13714" s="6" t="str">
        <f>HYPERLINK("https://pbs.twimg.com/profile_images/962471262747529216/Uo8lOkRJ_normal.jpg","View")</f>
        <v>View</v>
      </c>
      <c r="P13714" s="7"/>
    </row>
    <row r="13715" spans="1:16">
      <c r="A13715" s="3">
        <v>44256.815451388888</v>
      </c>
      <c r="B13715" s="4" t="str">
        <f>HYPERLINK("https://twitter.com/petrogustavo","@petrogustavo")</f>
        <v>@petrogustavo</v>
      </c>
      <c r="C13715" s="5" t="s">
        <v>16</v>
      </c>
      <c r="D13715" s="5" t="s">
        <v>13198</v>
      </c>
      <c r="E13715" s="6" t="str">
        <f>HYPERLINK("https://twitter.com/petrogustavo/status/1366388818937585665","1366388818937585665")</f>
        <v>1366388818937585665</v>
      </c>
      <c r="F13715" s="7" t="s">
        <v>17</v>
      </c>
      <c r="G13715" s="7">
        <v>4073854</v>
      </c>
      <c r="H13715" s="7">
        <v>2492</v>
      </c>
      <c r="I13715" s="7">
        <v>87</v>
      </c>
      <c r="J13715" s="7">
        <v>268</v>
      </c>
      <c r="K13715" s="7" t="s">
        <v>18</v>
      </c>
      <c r="L13715" s="8">
        <v>39987.315405092595</v>
      </c>
      <c r="M13715" s="9" t="s">
        <v>19</v>
      </c>
      <c r="N13715" s="9" t="s">
        <v>20</v>
      </c>
      <c r="O13715" s="6" t="str">
        <f>HYPERLINK("https://pbs.twimg.com/profile_images/962471262747529216/Uo8lOkRJ_normal.jpg","View")</f>
        <v>View</v>
      </c>
      <c r="P13715" s="7"/>
    </row>
    <row r="13716" spans="1:16">
      <c r="A13716" s="3">
        <v>44256.817233796297</v>
      </c>
      <c r="B13716" s="4" t="str">
        <f>HYPERLINK("https://twitter.com/petrogustavo","@petrogustavo")</f>
        <v>@petrogustavo</v>
      </c>
      <c r="C13716" s="5" t="s">
        <v>16</v>
      </c>
      <c r="D13716" s="5" t="s">
        <v>13199</v>
      </c>
      <c r="E13716" s="6" t="str">
        <f>HYPERLINK("https://twitter.com/petrogustavo/status/1366389467368591362","1366389467368591362")</f>
        <v>1366389467368591362</v>
      </c>
      <c r="F13716" s="7" t="s">
        <v>17</v>
      </c>
      <c r="G13716" s="7">
        <v>4073854</v>
      </c>
      <c r="H13716" s="7">
        <v>2492</v>
      </c>
      <c r="I13716" s="7">
        <v>549</v>
      </c>
      <c r="J13716" s="7">
        <v>0</v>
      </c>
      <c r="K13716" s="7" t="s">
        <v>18</v>
      </c>
      <c r="L13716" s="8">
        <v>39987.315405092595</v>
      </c>
      <c r="M13716" s="9" t="s">
        <v>19</v>
      </c>
      <c r="N13716" s="9" t="s">
        <v>20</v>
      </c>
      <c r="O13716" s="6" t="str">
        <f>HYPERLINK("https://pbs.twimg.com/profile_images/962471262747529216/Uo8lOkRJ_normal.jpg","View")</f>
        <v>View</v>
      </c>
      <c r="P13716" s="7"/>
    </row>
    <row r="13717" spans="1:16">
      <c r="A13717" s="3">
        <v>44257.070555555554</v>
      </c>
      <c r="B13717" s="4" t="str">
        <f>HYPERLINK("https://twitter.com/petrogustavo","@petrogustavo")</f>
        <v>@petrogustavo</v>
      </c>
      <c r="C13717" s="5" t="s">
        <v>16</v>
      </c>
      <c r="D13717" s="5" t="s">
        <v>13200</v>
      </c>
      <c r="E13717" s="6" t="str">
        <f>HYPERLINK("https://twitter.com/petrogustavo/status/1366481266078601217","1366481266078601217")</f>
        <v>1366481266078601217</v>
      </c>
      <c r="F13717" s="7" t="s">
        <v>17</v>
      </c>
      <c r="G13717" s="7">
        <v>4074115</v>
      </c>
      <c r="H13717" s="7">
        <v>2492</v>
      </c>
      <c r="I13717" s="7">
        <v>177</v>
      </c>
      <c r="J13717" s="7">
        <v>389</v>
      </c>
      <c r="K13717" s="7" t="s">
        <v>18</v>
      </c>
      <c r="L13717" s="8">
        <v>39987.315405092595</v>
      </c>
      <c r="M13717" s="9" t="s">
        <v>19</v>
      </c>
      <c r="N13717" s="9" t="s">
        <v>20</v>
      </c>
      <c r="O13717" s="6" t="str">
        <f>HYPERLINK("https://pbs.twimg.com/profile_images/962471262747529216/Uo8lOkRJ_normal.jpg","View")</f>
        <v>View</v>
      </c>
      <c r="P13717" s="7"/>
    </row>
    <row r="13718" spans="1:16">
      <c r="A13718" s="3">
        <v>44257.698761574073</v>
      </c>
      <c r="B13718" s="4" t="str">
        <f>HYPERLINK("https://twitter.com/petrogustavo","@petrogustavo")</f>
        <v>@petrogustavo</v>
      </c>
      <c r="C13718" s="5" t="s">
        <v>16</v>
      </c>
      <c r="D13718" s="5" t="s">
        <v>13201</v>
      </c>
      <c r="E13718" s="6" t="str">
        <f>HYPERLINK("https://twitter.com/petrogustavo/status/1366708921684082688","1366708921684082688")</f>
        <v>1366708921684082688</v>
      </c>
      <c r="F13718" s="7" t="s">
        <v>17</v>
      </c>
      <c r="G13718" s="7">
        <v>4074449</v>
      </c>
      <c r="H13718" s="7">
        <v>2492</v>
      </c>
      <c r="I13718" s="7">
        <v>176</v>
      </c>
      <c r="J13718" s="7">
        <v>300</v>
      </c>
      <c r="K13718" s="7" t="s">
        <v>18</v>
      </c>
      <c r="L13718" s="8">
        <v>39987.315405092595</v>
      </c>
      <c r="M13718" s="9" t="s">
        <v>19</v>
      </c>
      <c r="N13718" s="9" t="s">
        <v>20</v>
      </c>
      <c r="O13718" s="6" t="str">
        <f>HYPERLINK("https://pbs.twimg.com/profile_images/962471262747529216/Uo8lOkRJ_normal.jpg","View")</f>
        <v>View</v>
      </c>
      <c r="P13718" s="7"/>
    </row>
    <row r="13719" spans="1:16">
      <c r="A13719" s="3">
        <v>44257.738275462965</v>
      </c>
      <c r="B13719" s="4" t="str">
        <f>HYPERLINK("https://twitter.com/petrogustavo","@petrogustavo")</f>
        <v>@petrogustavo</v>
      </c>
      <c r="C13719" s="5" t="s">
        <v>16</v>
      </c>
      <c r="D13719" s="5" t="s">
        <v>13202</v>
      </c>
      <c r="E13719" s="6" t="str">
        <f>HYPERLINK("https://twitter.com/petrogustavo/status/1366723241344172033","1366723241344172033")</f>
        <v>1366723241344172033</v>
      </c>
      <c r="F13719" s="7" t="s">
        <v>17</v>
      </c>
      <c r="G13719" s="7">
        <v>4074462</v>
      </c>
      <c r="H13719" s="7">
        <v>2492</v>
      </c>
      <c r="I13719" s="7">
        <v>1091</v>
      </c>
      <c r="J13719" s="7">
        <v>0</v>
      </c>
      <c r="K13719" s="7" t="s">
        <v>18</v>
      </c>
      <c r="L13719" s="8">
        <v>39987.315405092595</v>
      </c>
      <c r="M13719" s="9" t="s">
        <v>19</v>
      </c>
      <c r="N13719" s="9" t="s">
        <v>20</v>
      </c>
      <c r="O13719" s="6" t="str">
        <f>HYPERLINK("https://pbs.twimg.com/profile_images/962471262747529216/Uo8lOkRJ_normal.jpg","View")</f>
        <v>View</v>
      </c>
      <c r="P13719" s="7"/>
    </row>
    <row r="13720" spans="1:16">
      <c r="A13720" s="3">
        <v>44257.741516203707</v>
      </c>
      <c r="B13720" s="4" t="str">
        <f>HYPERLINK("https://twitter.com/petrogustavo","@petrogustavo")</f>
        <v>@petrogustavo</v>
      </c>
      <c r="C13720" s="5" t="s">
        <v>16</v>
      </c>
      <c r="D13720" s="5" t="s">
        <v>13203</v>
      </c>
      <c r="E13720" s="6" t="str">
        <f>HYPERLINK("https://twitter.com/petrogustavo/status/1366724415283744772","1366724415283744772")</f>
        <v>1366724415283744772</v>
      </c>
      <c r="F13720" s="7" t="s">
        <v>17</v>
      </c>
      <c r="G13720" s="7">
        <v>4074462</v>
      </c>
      <c r="H13720" s="7">
        <v>2492</v>
      </c>
      <c r="I13720" s="7">
        <v>244</v>
      </c>
      <c r="J13720" s="7">
        <v>460</v>
      </c>
      <c r="K13720" s="7" t="s">
        <v>18</v>
      </c>
      <c r="L13720" s="8">
        <v>39987.315405092595</v>
      </c>
      <c r="M13720" s="9" t="s">
        <v>19</v>
      </c>
      <c r="N13720" s="9" t="s">
        <v>20</v>
      </c>
      <c r="O13720" s="6" t="str">
        <f>HYPERLINK("https://pbs.twimg.com/profile_images/962471262747529216/Uo8lOkRJ_normal.jpg","View")</f>
        <v>View</v>
      </c>
      <c r="P13720" s="7"/>
    </row>
    <row r="13721" spans="1:16">
      <c r="A13721" s="3">
        <v>44257.752511574072</v>
      </c>
      <c r="B13721" s="4" t="str">
        <f>HYPERLINK("https://twitter.com/petrogustavo","@petrogustavo")</f>
        <v>@petrogustavo</v>
      </c>
      <c r="C13721" s="5" t="s">
        <v>16</v>
      </c>
      <c r="D13721" s="5" t="s">
        <v>13204</v>
      </c>
      <c r="E13721" s="6" t="str">
        <f>HYPERLINK("https://twitter.com/petrogustavo/status/1366728396764549124","1366728396764549124")</f>
        <v>1366728396764549124</v>
      </c>
      <c r="F13721" s="7" t="s">
        <v>17</v>
      </c>
      <c r="G13721" s="7">
        <v>4074469</v>
      </c>
      <c r="H13721" s="7">
        <v>2492</v>
      </c>
      <c r="I13721" s="7">
        <v>374</v>
      </c>
      <c r="J13721" s="7">
        <v>1039</v>
      </c>
      <c r="K13721" s="7" t="s">
        <v>18</v>
      </c>
      <c r="L13721" s="8">
        <v>39987.315405092595</v>
      </c>
      <c r="M13721" s="9" t="s">
        <v>19</v>
      </c>
      <c r="N13721" s="9" t="s">
        <v>20</v>
      </c>
      <c r="O13721" s="6" t="str">
        <f>HYPERLINK("https://pbs.twimg.com/profile_images/962471262747529216/Uo8lOkRJ_normal.jpg","View")</f>
        <v>View</v>
      </c>
      <c r="P13721" s="7"/>
    </row>
    <row r="13722" spans="1:16">
      <c r="A13722" s="3">
        <v>44257.752511574072</v>
      </c>
      <c r="B13722" s="4" t="str">
        <f>HYPERLINK("https://twitter.com/petrogustavo","@petrogustavo")</f>
        <v>@petrogustavo</v>
      </c>
      <c r="C13722" s="5" t="s">
        <v>16</v>
      </c>
      <c r="D13722" s="5" t="s">
        <v>13205</v>
      </c>
      <c r="E13722" s="6" t="str">
        <f>HYPERLINK("https://twitter.com/petrogustavo/status/1366728397997694986","1366728397997694986")</f>
        <v>1366728397997694986</v>
      </c>
      <c r="F13722" s="7" t="s">
        <v>17</v>
      </c>
      <c r="G13722" s="7">
        <v>4074469</v>
      </c>
      <c r="H13722" s="7">
        <v>2492</v>
      </c>
      <c r="I13722" s="7">
        <v>75</v>
      </c>
      <c r="J13722" s="7">
        <v>243</v>
      </c>
      <c r="K13722" s="7" t="s">
        <v>18</v>
      </c>
      <c r="L13722" s="8">
        <v>39987.315405092595</v>
      </c>
      <c r="M13722" s="9" t="s">
        <v>19</v>
      </c>
      <c r="N13722" s="9" t="s">
        <v>20</v>
      </c>
      <c r="O13722" s="6" t="str">
        <f>HYPERLINK("https://pbs.twimg.com/profile_images/962471262747529216/Uo8lOkRJ_normal.jpg","View")</f>
        <v>View</v>
      </c>
      <c r="P13722" s="7"/>
    </row>
    <row r="13723" spans="1:16">
      <c r="A13723" s="3">
        <v>44257.752511574072</v>
      </c>
      <c r="B13723" s="4" t="str">
        <f>HYPERLINK("https://twitter.com/petrogustavo","@petrogustavo")</f>
        <v>@petrogustavo</v>
      </c>
      <c r="C13723" s="5" t="s">
        <v>16</v>
      </c>
      <c r="D13723" s="5" t="s">
        <v>13206</v>
      </c>
      <c r="E13723" s="6" t="str">
        <f>HYPERLINK("https://twitter.com/petrogustavo/status/1366728400367403010","1366728400367403010")</f>
        <v>1366728400367403010</v>
      </c>
      <c r="F13723" s="7" t="s">
        <v>17</v>
      </c>
      <c r="G13723" s="7">
        <v>4074469</v>
      </c>
      <c r="H13723" s="7">
        <v>2492</v>
      </c>
      <c r="I13723" s="7">
        <v>146</v>
      </c>
      <c r="J13723" s="7">
        <v>451</v>
      </c>
      <c r="K13723" s="7" t="s">
        <v>18</v>
      </c>
      <c r="L13723" s="8">
        <v>39987.315405092595</v>
      </c>
      <c r="M13723" s="9" t="s">
        <v>19</v>
      </c>
      <c r="N13723" s="9" t="s">
        <v>20</v>
      </c>
      <c r="O13723" s="6" t="str">
        <f>HYPERLINK("https://pbs.twimg.com/profile_images/962471262747529216/Uo8lOkRJ_normal.jpg","View")</f>
        <v>View</v>
      </c>
      <c r="P13723" s="7"/>
    </row>
    <row r="13724" spans="1:16">
      <c r="A13724" s="3">
        <v>44257.752523148149</v>
      </c>
      <c r="B13724" s="4" t="str">
        <f>HYPERLINK("https://twitter.com/petrogustavo","@petrogustavo")</f>
        <v>@petrogustavo</v>
      </c>
      <c r="C13724" s="5" t="s">
        <v>16</v>
      </c>
      <c r="D13724" s="5" t="s">
        <v>13207</v>
      </c>
      <c r="E13724" s="6" t="str">
        <f>HYPERLINK("https://twitter.com/petrogustavo/status/1366728402712076291","1366728402712076291")</f>
        <v>1366728402712076291</v>
      </c>
      <c r="F13724" s="7" t="s">
        <v>17</v>
      </c>
      <c r="G13724" s="7">
        <v>4074469</v>
      </c>
      <c r="H13724" s="7">
        <v>2492</v>
      </c>
      <c r="I13724" s="7">
        <v>156</v>
      </c>
      <c r="J13724" s="7">
        <v>476</v>
      </c>
      <c r="K13724" s="7" t="s">
        <v>18</v>
      </c>
      <c r="L13724" s="8">
        <v>39987.315405092595</v>
      </c>
      <c r="M13724" s="9" t="s">
        <v>19</v>
      </c>
      <c r="N13724" s="9" t="s">
        <v>20</v>
      </c>
      <c r="O13724" s="6" t="str">
        <f>HYPERLINK("https://pbs.twimg.com/profile_images/962471262747529216/Uo8lOkRJ_normal.jpg","View")</f>
        <v>View</v>
      </c>
      <c r="P13724" s="7"/>
    </row>
    <row r="13725" spans="1:16">
      <c r="A13725" s="3">
        <v>44257.936979166669</v>
      </c>
      <c r="B13725" s="4" t="str">
        <f>HYPERLINK("https://twitter.com/petrogustavo","@petrogustavo")</f>
        <v>@petrogustavo</v>
      </c>
      <c r="C13725" s="5" t="s">
        <v>16</v>
      </c>
      <c r="D13725" s="5" t="s">
        <v>13208</v>
      </c>
      <c r="E13725" s="6" t="str">
        <f>HYPERLINK("https://twitter.com/petrogustavo/status/1366795245854330880","1366795245854330880")</f>
        <v>1366795245854330880</v>
      </c>
      <c r="F13725" s="7" t="s">
        <v>17</v>
      </c>
      <c r="G13725" s="7">
        <v>4074594</v>
      </c>
      <c r="H13725" s="7">
        <v>2492</v>
      </c>
      <c r="I13725" s="7">
        <v>1936</v>
      </c>
      <c r="J13725" s="7">
        <v>0</v>
      </c>
      <c r="K13725" s="7" t="s">
        <v>18</v>
      </c>
      <c r="L13725" s="8">
        <v>39987.315405092595</v>
      </c>
      <c r="M13725" s="9" t="s">
        <v>19</v>
      </c>
      <c r="N13725" s="9" t="s">
        <v>20</v>
      </c>
      <c r="O13725" s="6" t="str">
        <f>HYPERLINK("https://pbs.twimg.com/profile_images/962471262747529216/Uo8lOkRJ_normal.jpg","View")</f>
        <v>View</v>
      </c>
      <c r="P13725" s="7"/>
    </row>
    <row r="13726" spans="1:16">
      <c r="A13726" s="3">
        <v>44257.993564814809</v>
      </c>
      <c r="B13726" s="4" t="str">
        <f>HYPERLINK("https://twitter.com/petrogustavo","@petrogustavo")</f>
        <v>@petrogustavo</v>
      </c>
      <c r="C13726" s="5" t="s">
        <v>16</v>
      </c>
      <c r="D13726" s="5" t="s">
        <v>13209</v>
      </c>
      <c r="E13726" s="6" t="str">
        <f>HYPERLINK("https://twitter.com/petrogustavo/status/1366815754516127754","1366815754516127754")</f>
        <v>1366815754516127754</v>
      </c>
      <c r="F13726" s="7" t="s">
        <v>17</v>
      </c>
      <c r="G13726" s="7">
        <v>4074602</v>
      </c>
      <c r="H13726" s="7">
        <v>2492</v>
      </c>
      <c r="I13726" s="7">
        <v>93</v>
      </c>
      <c r="J13726" s="7">
        <v>363</v>
      </c>
      <c r="K13726" s="7" t="s">
        <v>18</v>
      </c>
      <c r="L13726" s="8">
        <v>39987.315405092595</v>
      </c>
      <c r="M13726" s="9" t="s">
        <v>19</v>
      </c>
      <c r="N13726" s="9" t="s">
        <v>20</v>
      </c>
      <c r="O13726" s="6" t="str">
        <f>HYPERLINK("https://pbs.twimg.com/profile_images/962471262747529216/Uo8lOkRJ_normal.jpg","View")</f>
        <v>View</v>
      </c>
      <c r="P13726" s="7"/>
    </row>
    <row r="13727" spans="1:16">
      <c r="A13727" s="3">
        <v>44258.058807870373</v>
      </c>
      <c r="B13727" s="4" t="str">
        <f>HYPERLINK("https://twitter.com/petrogustavo","@petrogustavo")</f>
        <v>@petrogustavo</v>
      </c>
      <c r="C13727" s="5" t="s">
        <v>16</v>
      </c>
      <c r="D13727" s="5" t="s">
        <v>13210</v>
      </c>
      <c r="E13727" s="6" t="str">
        <f>HYPERLINK("https://twitter.com/petrogustavo/status/1366839395756687364","1366839395756687364")</f>
        <v>1366839395756687364</v>
      </c>
      <c r="F13727" s="7" t="s">
        <v>17</v>
      </c>
      <c r="G13727" s="7">
        <v>4074660</v>
      </c>
      <c r="H13727" s="7">
        <v>2492</v>
      </c>
      <c r="I13727" s="7">
        <v>186</v>
      </c>
      <c r="J13727" s="7">
        <v>0</v>
      </c>
      <c r="K13727" s="7" t="s">
        <v>18</v>
      </c>
      <c r="L13727" s="8">
        <v>39987.315405092595</v>
      </c>
      <c r="M13727" s="9" t="s">
        <v>19</v>
      </c>
      <c r="N13727" s="9" t="s">
        <v>20</v>
      </c>
      <c r="O13727" s="6" t="str">
        <f>HYPERLINK("https://pbs.twimg.com/profile_images/962471262747529216/Uo8lOkRJ_normal.jpg","View")</f>
        <v>View</v>
      </c>
      <c r="P13727" s="7"/>
    </row>
    <row r="13728" spans="1:16">
      <c r="A13728" s="3">
        <v>44258.081597222219</v>
      </c>
      <c r="B13728" s="4" t="str">
        <f>HYPERLINK("https://twitter.com/petrogustavo","@petrogustavo")</f>
        <v>@petrogustavo</v>
      </c>
      <c r="C13728" s="5" t="s">
        <v>16</v>
      </c>
      <c r="D13728" s="5" t="s">
        <v>13211</v>
      </c>
      <c r="E13728" s="6" t="str">
        <f>HYPERLINK("https://twitter.com/petrogustavo/status/1366847655209500679","1366847655209500679")</f>
        <v>1366847655209500679</v>
      </c>
      <c r="F13728" s="7" t="s">
        <v>17</v>
      </c>
      <c r="G13728" s="7">
        <v>4074677</v>
      </c>
      <c r="H13728" s="7">
        <v>2492</v>
      </c>
      <c r="I13728" s="7">
        <v>58</v>
      </c>
      <c r="J13728" s="7">
        <v>0</v>
      </c>
      <c r="K13728" s="7" t="s">
        <v>18</v>
      </c>
      <c r="L13728" s="8">
        <v>39987.315405092595</v>
      </c>
      <c r="M13728" s="9" t="s">
        <v>19</v>
      </c>
      <c r="N13728" s="9" t="s">
        <v>20</v>
      </c>
      <c r="O13728" s="6" t="str">
        <f>HYPERLINK("https://pbs.twimg.com/profile_images/962471262747529216/Uo8lOkRJ_normal.jpg","View")</f>
        <v>View</v>
      </c>
      <c r="P13728" s="7"/>
    </row>
    <row r="13729" spans="1:16">
      <c r="A13729" s="3">
        <v>44258.082870370374</v>
      </c>
      <c r="B13729" s="4" t="str">
        <f>HYPERLINK("https://twitter.com/petrogustavo","@petrogustavo")</f>
        <v>@petrogustavo</v>
      </c>
      <c r="C13729" s="5" t="s">
        <v>16</v>
      </c>
      <c r="D13729" s="5" t="s">
        <v>13212</v>
      </c>
      <c r="E13729" s="6" t="str">
        <f>HYPERLINK("https://twitter.com/petrogustavo/status/1366848118613016579","1366848118613016579")</f>
        <v>1366848118613016579</v>
      </c>
      <c r="F13729" s="7" t="s">
        <v>17</v>
      </c>
      <c r="G13729" s="7">
        <v>4074677</v>
      </c>
      <c r="H13729" s="7">
        <v>2492</v>
      </c>
      <c r="I13729" s="7">
        <v>626</v>
      </c>
      <c r="J13729" s="7">
        <v>0</v>
      </c>
      <c r="K13729" s="7" t="s">
        <v>18</v>
      </c>
      <c r="L13729" s="8">
        <v>39987.315405092595</v>
      </c>
      <c r="M13729" s="9" t="s">
        <v>19</v>
      </c>
      <c r="N13729" s="9" t="s">
        <v>20</v>
      </c>
      <c r="O13729" s="6" t="str">
        <f>HYPERLINK("https://pbs.twimg.com/profile_images/962471262747529216/Uo8lOkRJ_normal.jpg","View")</f>
        <v>View</v>
      </c>
      <c r="P13729" s="7"/>
    </row>
    <row r="13730" spans="1:16">
      <c r="A13730" s="3">
        <v>44258.084525462968</v>
      </c>
      <c r="B13730" s="4" t="str">
        <f>HYPERLINK("https://twitter.com/petrogustavo","@petrogustavo")</f>
        <v>@petrogustavo</v>
      </c>
      <c r="C13730" s="5" t="s">
        <v>16</v>
      </c>
      <c r="D13730" s="5" t="s">
        <v>13213</v>
      </c>
      <c r="E13730" s="6" t="str">
        <f>HYPERLINK("https://twitter.com/petrogustavo/status/1366848718272626689","1366848718272626689")</f>
        <v>1366848718272626689</v>
      </c>
      <c r="F13730" s="7" t="s">
        <v>17</v>
      </c>
      <c r="G13730" s="7">
        <v>4074677</v>
      </c>
      <c r="H13730" s="7">
        <v>2492</v>
      </c>
      <c r="I13730" s="7">
        <v>83</v>
      </c>
      <c r="J13730" s="7">
        <v>0</v>
      </c>
      <c r="K13730" s="7" t="s">
        <v>18</v>
      </c>
      <c r="L13730" s="8">
        <v>39987.315405092595</v>
      </c>
      <c r="M13730" s="9" t="s">
        <v>19</v>
      </c>
      <c r="N13730" s="9" t="s">
        <v>20</v>
      </c>
      <c r="O13730" s="6" t="str">
        <f>HYPERLINK("https://pbs.twimg.com/profile_images/962471262747529216/Uo8lOkRJ_normal.jpg","View")</f>
        <v>View</v>
      </c>
      <c r="P13730" s="7"/>
    </row>
    <row r="13731" spans="1:16">
      <c r="A13731" s="3">
        <v>44258.100092592591</v>
      </c>
      <c r="B13731" s="4" t="str">
        <f>HYPERLINK("https://twitter.com/petrogustavo","@petrogustavo")</f>
        <v>@petrogustavo</v>
      </c>
      <c r="C13731" s="5" t="s">
        <v>16</v>
      </c>
      <c r="D13731" s="5" t="s">
        <v>13214</v>
      </c>
      <c r="E13731" s="6" t="str">
        <f>HYPERLINK("https://twitter.com/petrogustavo/status/1366854358449676292","1366854358449676292")</f>
        <v>1366854358449676292</v>
      </c>
      <c r="F13731" s="7" t="s">
        <v>17</v>
      </c>
      <c r="G13731" s="7">
        <v>4074690</v>
      </c>
      <c r="H13731" s="7">
        <v>2492</v>
      </c>
      <c r="I13731" s="7">
        <v>1613</v>
      </c>
      <c r="J13731" s="7">
        <v>0</v>
      </c>
      <c r="K13731" s="7" t="s">
        <v>18</v>
      </c>
      <c r="L13731" s="8">
        <v>39987.315405092595</v>
      </c>
      <c r="M13731" s="9" t="s">
        <v>19</v>
      </c>
      <c r="N13731" s="9" t="s">
        <v>20</v>
      </c>
      <c r="O13731" s="6" t="str">
        <f>HYPERLINK("https://pbs.twimg.com/profile_images/962471262747529216/Uo8lOkRJ_normal.jpg","View")</f>
        <v>View</v>
      </c>
      <c r="P13731" s="7"/>
    </row>
    <row r="13732" spans="1:16">
      <c r="A13732" s="3">
        <v>44258.166192129633</v>
      </c>
      <c r="B13732" s="4" t="str">
        <f>HYPERLINK("https://twitter.com/petrogustavo","@petrogustavo")</f>
        <v>@petrogustavo</v>
      </c>
      <c r="C13732" s="5" t="s">
        <v>16</v>
      </c>
      <c r="D13732" s="5" t="s">
        <v>13215</v>
      </c>
      <c r="E13732" s="6" t="str">
        <f>HYPERLINK("https://twitter.com/petrogustavo/status/1366878312694501376","1366878312694501376")</f>
        <v>1366878312694501376</v>
      </c>
      <c r="F13732" s="7" t="s">
        <v>17</v>
      </c>
      <c r="G13732" s="7">
        <v>4074735</v>
      </c>
      <c r="H13732" s="7">
        <v>2493</v>
      </c>
      <c r="I13732" s="7">
        <v>39</v>
      </c>
      <c r="J13732" s="7">
        <v>97</v>
      </c>
      <c r="K13732" s="7" t="s">
        <v>18</v>
      </c>
      <c r="L13732" s="8">
        <v>39987.315405092595</v>
      </c>
      <c r="M13732" s="9" t="s">
        <v>19</v>
      </c>
      <c r="N13732" s="9" t="s">
        <v>20</v>
      </c>
      <c r="O13732" s="6" t="str">
        <f>HYPERLINK("https://pbs.twimg.com/profile_images/962471262747529216/Uo8lOkRJ_normal.jpg","View")</f>
        <v>View</v>
      </c>
      <c r="P13732" s="7"/>
    </row>
    <row r="13733" spans="1:16">
      <c r="A13733" s="3">
        <v>44258.169456018513</v>
      </c>
      <c r="B13733" s="4" t="str">
        <f>HYPERLINK("https://twitter.com/petrogustavo","@petrogustavo")</f>
        <v>@petrogustavo</v>
      </c>
      <c r="C13733" s="5" t="s">
        <v>16</v>
      </c>
      <c r="D13733" s="5" t="s">
        <v>13191</v>
      </c>
      <c r="E13733" s="6" t="str">
        <f>HYPERLINK("https://twitter.com/petrogustavo/status/1366879494255083523","1366879494255083523")</f>
        <v>1366879494255083523</v>
      </c>
      <c r="F13733" s="7" t="s">
        <v>17</v>
      </c>
      <c r="G13733" s="7">
        <v>4074754</v>
      </c>
      <c r="H13733" s="7">
        <v>2493</v>
      </c>
      <c r="I13733" s="7">
        <v>2884</v>
      </c>
      <c r="J13733" s="7">
        <v>0</v>
      </c>
      <c r="K13733" s="7" t="s">
        <v>18</v>
      </c>
      <c r="L13733" s="8">
        <v>39987.315405092595</v>
      </c>
      <c r="M13733" s="9" t="s">
        <v>19</v>
      </c>
      <c r="N13733" s="9" t="s">
        <v>20</v>
      </c>
      <c r="O13733" s="6" t="str">
        <f>HYPERLINK("https://pbs.twimg.com/profile_images/962471262747529216/Uo8lOkRJ_normal.jpg","View")</f>
        <v>View</v>
      </c>
      <c r="P13733" s="7"/>
    </row>
    <row r="13734" spans="1:16">
      <c r="A13734" s="3">
        <v>44258.763553240744</v>
      </c>
      <c r="B13734" s="4" t="str">
        <f>HYPERLINK("https://twitter.com/petrogustavo","@petrogustavo")</f>
        <v>@petrogustavo</v>
      </c>
      <c r="C13734" s="5" t="s">
        <v>16</v>
      </c>
      <c r="D13734" s="5" t="s">
        <v>13216</v>
      </c>
      <c r="E13734" s="6" t="str">
        <f>HYPERLINK("https://twitter.com/petrogustavo/status/1367094787120201730","1367094787120201730")</f>
        <v>1367094787120201730</v>
      </c>
      <c r="F13734" s="7" t="s">
        <v>17</v>
      </c>
      <c r="G13734" s="7">
        <v>4074976</v>
      </c>
      <c r="H13734" s="7">
        <v>2494</v>
      </c>
      <c r="I13734" s="7">
        <v>317</v>
      </c>
      <c r="J13734" s="7">
        <v>0</v>
      </c>
      <c r="K13734" s="7" t="s">
        <v>18</v>
      </c>
      <c r="L13734" s="8">
        <v>39987.315405092595</v>
      </c>
      <c r="M13734" s="9" t="s">
        <v>19</v>
      </c>
      <c r="N13734" s="9" t="s">
        <v>20</v>
      </c>
      <c r="O13734" s="6" t="str">
        <f>HYPERLINK("https://pbs.twimg.com/profile_images/962471262747529216/Uo8lOkRJ_normal.jpg","View")</f>
        <v>View</v>
      </c>
      <c r="P13734" s="7"/>
    </row>
    <row r="13735" spans="1:16">
      <c r="A13735" s="3">
        <v>44258.769560185188</v>
      </c>
      <c r="B13735" s="4" t="str">
        <f>HYPERLINK("https://twitter.com/petrogustavo","@petrogustavo")</f>
        <v>@petrogustavo</v>
      </c>
      <c r="C13735" s="5" t="s">
        <v>16</v>
      </c>
      <c r="D13735" s="5" t="s">
        <v>13217</v>
      </c>
      <c r="E13735" s="6" t="str">
        <f>HYPERLINK("https://twitter.com/petrogustavo/status/1367096963926282242","1367096963926282242")</f>
        <v>1367096963926282242</v>
      </c>
      <c r="F13735" s="7" t="s">
        <v>17</v>
      </c>
      <c r="G13735" s="7">
        <v>4074976</v>
      </c>
      <c r="H13735" s="7">
        <v>2494</v>
      </c>
      <c r="I13735" s="7">
        <v>125</v>
      </c>
      <c r="J13735" s="7">
        <v>0</v>
      </c>
      <c r="K13735" s="7" t="s">
        <v>18</v>
      </c>
      <c r="L13735" s="8">
        <v>39987.315405092595</v>
      </c>
      <c r="M13735" s="9" t="s">
        <v>19</v>
      </c>
      <c r="N13735" s="9" t="s">
        <v>20</v>
      </c>
      <c r="O13735" s="6" t="str">
        <f>HYPERLINK("https://pbs.twimg.com/profile_images/962471262747529216/Uo8lOkRJ_normal.jpg","View")</f>
        <v>View</v>
      </c>
      <c r="P13735" s="7"/>
    </row>
    <row r="13736" spans="1:16">
      <c r="A13736" s="3">
        <v>44258.794988425929</v>
      </c>
      <c r="B13736" s="4" t="str">
        <f>HYPERLINK("https://twitter.com/petrogustavo","@petrogustavo")</f>
        <v>@petrogustavo</v>
      </c>
      <c r="C13736" s="5" t="s">
        <v>16</v>
      </c>
      <c r="D13736" s="5" t="s">
        <v>13218</v>
      </c>
      <c r="E13736" s="6" t="str">
        <f>HYPERLINK("https://twitter.com/petrogustavo/status/1367106180775108618","1367106180775108618")</f>
        <v>1367106180775108618</v>
      </c>
      <c r="F13736" s="7" t="s">
        <v>17</v>
      </c>
      <c r="G13736" s="7">
        <v>4074992</v>
      </c>
      <c r="H13736" s="7">
        <v>2494</v>
      </c>
      <c r="I13736" s="7">
        <v>174</v>
      </c>
      <c r="J13736" s="7">
        <v>425</v>
      </c>
      <c r="K13736" s="7" t="s">
        <v>18</v>
      </c>
      <c r="L13736" s="8">
        <v>39987.315405092595</v>
      </c>
      <c r="M13736" s="9" t="s">
        <v>19</v>
      </c>
      <c r="N13736" s="9" t="s">
        <v>20</v>
      </c>
      <c r="O13736" s="6" t="str">
        <f>HYPERLINK("https://pbs.twimg.com/profile_images/962471262747529216/Uo8lOkRJ_normal.jpg","View")</f>
        <v>View</v>
      </c>
      <c r="P13736" s="7"/>
    </row>
    <row r="13737" spans="1:16">
      <c r="A13737" s="3">
        <v>44258.80296296296</v>
      </c>
      <c r="B13737" s="4" t="str">
        <f>HYPERLINK("https://twitter.com/petrogustavo","@petrogustavo")</f>
        <v>@petrogustavo</v>
      </c>
      <c r="C13737" s="5" t="s">
        <v>16</v>
      </c>
      <c r="D13737" s="5" t="s">
        <v>13219</v>
      </c>
      <c r="E13737" s="6" t="str">
        <f>HYPERLINK("https://twitter.com/petrogustavo/status/1367109067647438852","1367109067647438852")</f>
        <v>1367109067647438852</v>
      </c>
      <c r="F13737" s="7" t="s">
        <v>17</v>
      </c>
      <c r="G13737" s="7">
        <v>4074992</v>
      </c>
      <c r="H13737" s="7">
        <v>2494</v>
      </c>
      <c r="I13737" s="7">
        <v>107</v>
      </c>
      <c r="J13737" s="7">
        <v>502</v>
      </c>
      <c r="K13737" s="7" t="s">
        <v>18</v>
      </c>
      <c r="L13737" s="8">
        <v>39987.315405092595</v>
      </c>
      <c r="M13737" s="9" t="s">
        <v>19</v>
      </c>
      <c r="N13737" s="9" t="s">
        <v>20</v>
      </c>
      <c r="O13737" s="6" t="str">
        <f>HYPERLINK("https://pbs.twimg.com/profile_images/962471262747529216/Uo8lOkRJ_normal.jpg","View")</f>
        <v>View</v>
      </c>
      <c r="P13737" s="7"/>
    </row>
    <row r="13738" spans="1:16">
      <c r="A13738" s="3">
        <v>44258.875023148154</v>
      </c>
      <c r="B13738" s="4" t="str">
        <f>HYPERLINK("https://twitter.com/petrogustavo","@petrogustavo")</f>
        <v>@petrogustavo</v>
      </c>
      <c r="C13738" s="5" t="s">
        <v>16</v>
      </c>
      <c r="D13738" s="5" t="s">
        <v>13220</v>
      </c>
      <c r="E13738" s="6" t="str">
        <f>HYPERLINK("https://twitter.com/petrogustavo/status/1367135181493198854","1367135181493198854")</f>
        <v>1367135181493198854</v>
      </c>
      <c r="F13738" s="7" t="s">
        <v>17</v>
      </c>
      <c r="G13738" s="7">
        <v>4075036</v>
      </c>
      <c r="H13738" s="7">
        <v>2494</v>
      </c>
      <c r="I13738" s="7">
        <v>24</v>
      </c>
      <c r="J13738" s="7">
        <v>27</v>
      </c>
      <c r="K13738" s="7" t="s">
        <v>18</v>
      </c>
      <c r="L13738" s="8">
        <v>39987.315405092595</v>
      </c>
      <c r="M13738" s="9" t="s">
        <v>19</v>
      </c>
      <c r="N13738" s="9" t="s">
        <v>20</v>
      </c>
      <c r="O13738" s="6" t="str">
        <f>HYPERLINK("https://pbs.twimg.com/profile_images/962471262747529216/Uo8lOkRJ_normal.jpg","View")</f>
        <v>View</v>
      </c>
      <c r="P13738" s="7"/>
    </row>
    <row r="13739" spans="1:16">
      <c r="A13739" s="3">
        <v>44258.89366898148</v>
      </c>
      <c r="B13739" s="4" t="str">
        <f>HYPERLINK("https://twitter.com/petrogustavo","@petrogustavo")</f>
        <v>@petrogustavo</v>
      </c>
      <c r="C13739" s="5" t="s">
        <v>16</v>
      </c>
      <c r="D13739" s="5" t="s">
        <v>13221</v>
      </c>
      <c r="E13739" s="6" t="str">
        <f>HYPERLINK("https://twitter.com/petrogustavo/status/1367141940647632897","1367141940647632897")</f>
        <v>1367141940647632897</v>
      </c>
      <c r="F13739" s="7" t="s">
        <v>17</v>
      </c>
      <c r="G13739" s="7">
        <v>4075053</v>
      </c>
      <c r="H13739" s="7">
        <v>2494</v>
      </c>
      <c r="I13739" s="7">
        <v>42</v>
      </c>
      <c r="J13739" s="7">
        <v>119</v>
      </c>
      <c r="K13739" s="7" t="s">
        <v>18</v>
      </c>
      <c r="L13739" s="8">
        <v>39987.315405092595</v>
      </c>
      <c r="M13739" s="9" t="s">
        <v>19</v>
      </c>
      <c r="N13739" s="9" t="s">
        <v>20</v>
      </c>
      <c r="O13739" s="6" t="str">
        <f>HYPERLINK("https://pbs.twimg.com/profile_images/962471262747529216/Uo8lOkRJ_normal.jpg","View")</f>
        <v>View</v>
      </c>
      <c r="P13739" s="7"/>
    </row>
    <row r="13740" spans="1:16">
      <c r="A13740" s="3">
        <v>44258.942337962959</v>
      </c>
      <c r="B13740" s="4" t="str">
        <f>HYPERLINK("https://twitter.com/petrogustavo","@petrogustavo")</f>
        <v>@petrogustavo</v>
      </c>
      <c r="C13740" s="5" t="s">
        <v>16</v>
      </c>
      <c r="D13740" s="5" t="s">
        <v>13222</v>
      </c>
      <c r="E13740" s="6" t="str">
        <f>HYPERLINK("https://twitter.com/petrogustavo/status/1367159578878648320","1367159578878648320")</f>
        <v>1367159578878648320</v>
      </c>
      <c r="F13740" s="7" t="s">
        <v>17</v>
      </c>
      <c r="G13740" s="7">
        <v>4075099</v>
      </c>
      <c r="H13740" s="7">
        <v>2492</v>
      </c>
      <c r="I13740" s="7">
        <v>122</v>
      </c>
      <c r="J13740" s="7">
        <v>0</v>
      </c>
      <c r="K13740" s="7" t="s">
        <v>18</v>
      </c>
      <c r="L13740" s="8">
        <v>39987.315405092595</v>
      </c>
      <c r="M13740" s="9" t="s">
        <v>19</v>
      </c>
      <c r="N13740" s="9" t="s">
        <v>20</v>
      </c>
      <c r="O13740" s="6" t="str">
        <f>HYPERLINK("https://pbs.twimg.com/profile_images/962471262747529216/Uo8lOkRJ_normal.jpg","View")</f>
        <v>View</v>
      </c>
      <c r="P13740" s="7"/>
    </row>
    <row r="13741" spans="1:16">
      <c r="A13741" s="3">
        <v>44258.943287037036</v>
      </c>
      <c r="B13741" s="4" t="str">
        <f>HYPERLINK("https://twitter.com/petrogustavo","@petrogustavo")</f>
        <v>@petrogustavo</v>
      </c>
      <c r="C13741" s="5" t="s">
        <v>16</v>
      </c>
      <c r="D13741" s="5" t="s">
        <v>13223</v>
      </c>
      <c r="E13741" s="6" t="str">
        <f>HYPERLINK("https://twitter.com/petrogustavo/status/1367159920567742465","1367159920567742465")</f>
        <v>1367159920567742465</v>
      </c>
      <c r="F13741" s="7" t="s">
        <v>17</v>
      </c>
      <c r="G13741" s="7">
        <v>4075099</v>
      </c>
      <c r="H13741" s="7">
        <v>2492</v>
      </c>
      <c r="I13741" s="7">
        <v>740</v>
      </c>
      <c r="J13741" s="7">
        <v>0</v>
      </c>
      <c r="K13741" s="7" t="s">
        <v>18</v>
      </c>
      <c r="L13741" s="8">
        <v>39987.315405092595</v>
      </c>
      <c r="M13741" s="9" t="s">
        <v>19</v>
      </c>
      <c r="N13741" s="9" t="s">
        <v>20</v>
      </c>
      <c r="O13741" s="6" t="str">
        <f>HYPERLINK("https://pbs.twimg.com/profile_images/962471262747529216/Uo8lOkRJ_normal.jpg","View")</f>
        <v>View</v>
      </c>
      <c r="P13741" s="7"/>
    </row>
    <row r="13742" spans="1:16">
      <c r="A13742" s="3">
        <v>44258.951215277775</v>
      </c>
      <c r="B13742" s="4" t="str">
        <f>HYPERLINK("https://twitter.com/petrogustavo","@petrogustavo")</f>
        <v>@petrogustavo</v>
      </c>
      <c r="C13742" s="5" t="s">
        <v>16</v>
      </c>
      <c r="D13742" s="5" t="s">
        <v>13224</v>
      </c>
      <c r="E13742" s="6" t="str">
        <f>HYPERLINK("https://twitter.com/petrogustavo/status/1367162792390885378","1367162792390885378")</f>
        <v>1367162792390885378</v>
      </c>
      <c r="F13742" s="7" t="s">
        <v>17</v>
      </c>
      <c r="G13742" s="7">
        <v>4075099</v>
      </c>
      <c r="H13742" s="7">
        <v>2492</v>
      </c>
      <c r="I13742" s="7">
        <v>1259</v>
      </c>
      <c r="J13742" s="7">
        <v>0</v>
      </c>
      <c r="K13742" s="7" t="s">
        <v>18</v>
      </c>
      <c r="L13742" s="8">
        <v>39987.315405092595</v>
      </c>
      <c r="M13742" s="9" t="s">
        <v>19</v>
      </c>
      <c r="N13742" s="9" t="s">
        <v>20</v>
      </c>
      <c r="O13742" s="6" t="str">
        <f>HYPERLINK("https://pbs.twimg.com/profile_images/962471262747529216/Uo8lOkRJ_normal.jpg","View")</f>
        <v>View</v>
      </c>
      <c r="P13742" s="7"/>
    </row>
    <row r="13743" spans="1:16">
      <c r="A13743" s="3">
        <v>44259.040844907402</v>
      </c>
      <c r="B13743" s="4" t="str">
        <f>HYPERLINK("https://twitter.com/petrogustavo","@petrogustavo")</f>
        <v>@petrogustavo</v>
      </c>
      <c r="C13743" s="5" t="s">
        <v>16</v>
      </c>
      <c r="D13743" s="5" t="s">
        <v>13225</v>
      </c>
      <c r="E13743" s="6" t="str">
        <f>HYPERLINK("https://twitter.com/petrogustavo/status/1367195276277129223","1367195276277129223")</f>
        <v>1367195276277129223</v>
      </c>
      <c r="F13743" s="7" t="s">
        <v>17</v>
      </c>
      <c r="G13743" s="7">
        <v>4075144</v>
      </c>
      <c r="H13743" s="7">
        <v>2492</v>
      </c>
      <c r="I13743" s="7">
        <v>34</v>
      </c>
      <c r="J13743" s="7">
        <v>104</v>
      </c>
      <c r="K13743" s="7" t="s">
        <v>18</v>
      </c>
      <c r="L13743" s="8">
        <v>39987.315405092595</v>
      </c>
      <c r="M13743" s="9" t="s">
        <v>19</v>
      </c>
      <c r="N13743" s="9" t="s">
        <v>20</v>
      </c>
      <c r="O13743" s="6" t="str">
        <f>HYPERLINK("https://pbs.twimg.com/profile_images/962471262747529216/Uo8lOkRJ_normal.jpg","View")</f>
        <v>View</v>
      </c>
      <c r="P13743" s="7"/>
    </row>
    <row r="13744" spans="1:16">
      <c r="A13744" s="3">
        <v>44259.041504629626</v>
      </c>
      <c r="B13744" s="4" t="str">
        <f>HYPERLINK("https://twitter.com/petrogustavo","@petrogustavo")</f>
        <v>@petrogustavo</v>
      </c>
      <c r="C13744" s="5" t="s">
        <v>16</v>
      </c>
      <c r="D13744" s="5" t="s">
        <v>13226</v>
      </c>
      <c r="E13744" s="6" t="str">
        <f>HYPERLINK("https://twitter.com/petrogustavo/status/1367195515931291649","1367195515931291649")</f>
        <v>1367195515931291649</v>
      </c>
      <c r="F13744" s="7" t="s">
        <v>17</v>
      </c>
      <c r="G13744" s="7">
        <v>4075144</v>
      </c>
      <c r="H13744" s="7">
        <v>2492</v>
      </c>
      <c r="I13744" s="7">
        <v>9</v>
      </c>
      <c r="J13744" s="7">
        <v>0</v>
      </c>
      <c r="K13744" s="7" t="s">
        <v>18</v>
      </c>
      <c r="L13744" s="8">
        <v>39987.315405092595</v>
      </c>
      <c r="M13744" s="9" t="s">
        <v>19</v>
      </c>
      <c r="N13744" s="9" t="s">
        <v>20</v>
      </c>
      <c r="O13744" s="6" t="str">
        <f>HYPERLINK("https://pbs.twimg.com/profile_images/962471262747529216/Uo8lOkRJ_normal.jpg","View")</f>
        <v>View</v>
      </c>
      <c r="P13744" s="7"/>
    </row>
    <row r="13745" spans="1:16">
      <c r="A13745" s="3">
        <v>44259.052303240736</v>
      </c>
      <c r="B13745" s="4" t="str">
        <f>HYPERLINK("https://twitter.com/petrogustavo","@petrogustavo")</f>
        <v>@petrogustavo</v>
      </c>
      <c r="C13745" s="5" t="s">
        <v>16</v>
      </c>
      <c r="D13745" s="5" t="s">
        <v>13227</v>
      </c>
      <c r="E13745" s="6" t="str">
        <f>HYPERLINK("https://twitter.com/petrogustavo/status/1367199426373165060","1367199426373165060")</f>
        <v>1367199426373165060</v>
      </c>
      <c r="F13745" s="7" t="s">
        <v>17</v>
      </c>
      <c r="G13745" s="7">
        <v>4075166</v>
      </c>
      <c r="H13745" s="7">
        <v>2492</v>
      </c>
      <c r="I13745" s="7">
        <v>109</v>
      </c>
      <c r="J13745" s="7">
        <v>285</v>
      </c>
      <c r="K13745" s="7" t="s">
        <v>18</v>
      </c>
      <c r="L13745" s="8">
        <v>39987.315405092595</v>
      </c>
      <c r="M13745" s="9" t="s">
        <v>19</v>
      </c>
      <c r="N13745" s="9" t="s">
        <v>20</v>
      </c>
      <c r="O13745" s="6" t="str">
        <f>HYPERLINK("https://pbs.twimg.com/profile_images/962471262747529216/Uo8lOkRJ_normal.jpg","View")</f>
        <v>View</v>
      </c>
      <c r="P13745" s="7"/>
    </row>
    <row r="13746" spans="1:16">
      <c r="A13746" s="3">
        <v>44259.055208333331</v>
      </c>
      <c r="B13746" s="4" t="str">
        <f>HYPERLINK("https://twitter.com/petrogustavo","@petrogustavo")</f>
        <v>@petrogustavo</v>
      </c>
      <c r="C13746" s="5" t="s">
        <v>16</v>
      </c>
      <c r="D13746" s="5" t="s">
        <v>13228</v>
      </c>
      <c r="E13746" s="6" t="str">
        <f>HYPERLINK("https://twitter.com/petrogustavo/status/1367200478661128200","1367200478661128200")</f>
        <v>1367200478661128200</v>
      </c>
      <c r="F13746" s="7" t="s">
        <v>17</v>
      </c>
      <c r="G13746" s="7">
        <v>4075166</v>
      </c>
      <c r="H13746" s="7">
        <v>2492</v>
      </c>
      <c r="I13746" s="7">
        <v>75</v>
      </c>
      <c r="J13746" s="7">
        <v>0</v>
      </c>
      <c r="K13746" s="7" t="s">
        <v>18</v>
      </c>
      <c r="L13746" s="8">
        <v>39987.315405092595</v>
      </c>
      <c r="M13746" s="9" t="s">
        <v>19</v>
      </c>
      <c r="N13746" s="9" t="s">
        <v>20</v>
      </c>
      <c r="O13746" s="6" t="str">
        <f>HYPERLINK("https://pbs.twimg.com/profile_images/962471262747529216/Uo8lOkRJ_normal.jpg","View")</f>
        <v>View</v>
      </c>
      <c r="P13746" s="7"/>
    </row>
    <row r="13747" spans="1:16">
      <c r="A13747" s="3">
        <v>44259.067453703705</v>
      </c>
      <c r="B13747" s="4" t="str">
        <f>HYPERLINK("https://twitter.com/petrogustavo","@petrogustavo")</f>
        <v>@petrogustavo</v>
      </c>
      <c r="C13747" s="5" t="s">
        <v>16</v>
      </c>
      <c r="D13747" s="5" t="s">
        <v>13229</v>
      </c>
      <c r="E13747" s="6" t="str">
        <f>HYPERLINK("https://twitter.com/petrogustavo/status/1367204917778202625","1367204917778202625")</f>
        <v>1367204917778202625</v>
      </c>
      <c r="F13747" s="7" t="s">
        <v>17</v>
      </c>
      <c r="G13747" s="7">
        <v>4075195</v>
      </c>
      <c r="H13747" s="7">
        <v>2492</v>
      </c>
      <c r="I13747" s="7">
        <v>154</v>
      </c>
      <c r="J13747" s="7">
        <v>263</v>
      </c>
      <c r="K13747" s="7" t="s">
        <v>18</v>
      </c>
      <c r="L13747" s="8">
        <v>39987.315405092595</v>
      </c>
      <c r="M13747" s="9" t="s">
        <v>19</v>
      </c>
      <c r="N13747" s="9" t="s">
        <v>20</v>
      </c>
      <c r="O13747" s="6" t="str">
        <f>HYPERLINK("https://pbs.twimg.com/profile_images/962471262747529216/Uo8lOkRJ_normal.jpg","View")</f>
        <v>View</v>
      </c>
      <c r="P13747" s="7"/>
    </row>
    <row r="13748" spans="1:16">
      <c r="A13748" s="3">
        <v>44259.08798611111</v>
      </c>
      <c r="B13748" s="4" t="str">
        <f>HYPERLINK("https://twitter.com/petrogustavo","@petrogustavo")</f>
        <v>@petrogustavo</v>
      </c>
      <c r="C13748" s="5" t="s">
        <v>16</v>
      </c>
      <c r="D13748" s="5" t="s">
        <v>13230</v>
      </c>
      <c r="E13748" s="6" t="str">
        <f>HYPERLINK("https://twitter.com/petrogustavo/status/1367212359979302914","1367212359979302914")</f>
        <v>1367212359979302914</v>
      </c>
      <c r="F13748" s="7" t="s">
        <v>17</v>
      </c>
      <c r="G13748" s="7">
        <v>4075210</v>
      </c>
      <c r="H13748" s="7">
        <v>2492</v>
      </c>
      <c r="I13748" s="7">
        <v>148</v>
      </c>
      <c r="J13748" s="7">
        <v>360</v>
      </c>
      <c r="K13748" s="7" t="s">
        <v>18</v>
      </c>
      <c r="L13748" s="8">
        <v>39987.315405092595</v>
      </c>
      <c r="M13748" s="9" t="s">
        <v>19</v>
      </c>
      <c r="N13748" s="9" t="s">
        <v>20</v>
      </c>
      <c r="O13748" s="6" t="str">
        <f>HYPERLINK("https://pbs.twimg.com/profile_images/962471262747529216/Uo8lOkRJ_normal.jpg","View")</f>
        <v>View</v>
      </c>
      <c r="P13748" s="7"/>
    </row>
    <row r="13749" spans="1:16">
      <c r="A13749" s="3">
        <v>44259.897141203706</v>
      </c>
      <c r="B13749" s="4" t="str">
        <f>HYPERLINK("https://twitter.com/petrogustavo","@petrogustavo")</f>
        <v>@petrogustavo</v>
      </c>
      <c r="C13749" s="5" t="s">
        <v>16</v>
      </c>
      <c r="D13749" s="5" t="s">
        <v>13231</v>
      </c>
      <c r="E13749" s="6" t="str">
        <f>HYPERLINK("https://twitter.com/petrogustavo/status/1367505587626508289","1367505587626508289")</f>
        <v>1367505587626508289</v>
      </c>
      <c r="F13749" s="7" t="s">
        <v>17</v>
      </c>
      <c r="G13749" s="7">
        <v>4075594</v>
      </c>
      <c r="H13749" s="7">
        <v>2492</v>
      </c>
      <c r="I13749" s="7">
        <v>33</v>
      </c>
      <c r="J13749" s="7">
        <v>0</v>
      </c>
      <c r="K13749" s="7" t="s">
        <v>18</v>
      </c>
      <c r="L13749" s="8">
        <v>39987.315405092595</v>
      </c>
      <c r="M13749" s="9" t="s">
        <v>19</v>
      </c>
      <c r="N13749" s="9" t="s">
        <v>20</v>
      </c>
      <c r="O13749" s="6" t="str">
        <f>HYPERLINK("https://pbs.twimg.com/profile_images/962471262747529216/Uo8lOkRJ_normal.jpg","View")</f>
        <v>View</v>
      </c>
      <c r="P13749" s="7"/>
    </row>
    <row r="13750" spans="1:16">
      <c r="A13750" s="3">
        <v>44259.901874999996</v>
      </c>
      <c r="B13750" s="4" t="str">
        <f>HYPERLINK("https://twitter.com/petrogustavo","@petrogustavo")</f>
        <v>@petrogustavo</v>
      </c>
      <c r="C13750" s="5" t="s">
        <v>16</v>
      </c>
      <c r="D13750" s="5" t="s">
        <v>13232</v>
      </c>
      <c r="E13750" s="6" t="str">
        <f>HYPERLINK("https://twitter.com/petrogustavo/status/1367507303600111625","1367507303600111625")</f>
        <v>1367507303600111625</v>
      </c>
      <c r="F13750" s="7" t="s">
        <v>17</v>
      </c>
      <c r="G13750" s="7">
        <v>4075616</v>
      </c>
      <c r="H13750" s="7">
        <v>2492</v>
      </c>
      <c r="I13750" s="7">
        <v>62</v>
      </c>
      <c r="J13750" s="7">
        <v>0</v>
      </c>
      <c r="K13750" s="7" t="s">
        <v>18</v>
      </c>
      <c r="L13750" s="8">
        <v>39987.315405092595</v>
      </c>
      <c r="M13750" s="9" t="s">
        <v>19</v>
      </c>
      <c r="N13750" s="9" t="s">
        <v>20</v>
      </c>
      <c r="O13750" s="6" t="str">
        <f>HYPERLINK("https://pbs.twimg.com/profile_images/962471262747529216/Uo8lOkRJ_normal.jpg","View")</f>
        <v>View</v>
      </c>
      <c r="P13750" s="7"/>
    </row>
    <row r="13751" spans="1:16">
      <c r="A13751" s="3">
        <v>44259.977164351847</v>
      </c>
      <c r="B13751" s="4" t="str">
        <f>HYPERLINK("https://twitter.com/petrogustavo","@petrogustavo")</f>
        <v>@petrogustavo</v>
      </c>
      <c r="C13751" s="5" t="s">
        <v>16</v>
      </c>
      <c r="D13751" s="5" t="s">
        <v>13233</v>
      </c>
      <c r="E13751" s="6" t="str">
        <f>HYPERLINK("https://twitter.com/petrogustavo/status/1367534586868162565","1367534586868162565")</f>
        <v>1367534586868162565</v>
      </c>
      <c r="F13751" s="7" t="s">
        <v>17</v>
      </c>
      <c r="G13751" s="7">
        <v>4075652</v>
      </c>
      <c r="H13751" s="7">
        <v>2492</v>
      </c>
      <c r="I13751" s="7">
        <v>108</v>
      </c>
      <c r="J13751" s="7">
        <v>243</v>
      </c>
      <c r="K13751" s="7" t="s">
        <v>18</v>
      </c>
      <c r="L13751" s="8">
        <v>39987.315405092595</v>
      </c>
      <c r="M13751" s="9" t="s">
        <v>19</v>
      </c>
      <c r="N13751" s="9" t="s">
        <v>20</v>
      </c>
      <c r="O13751" s="6" t="str">
        <f>HYPERLINK("https://pbs.twimg.com/profile_images/962471262747529216/Uo8lOkRJ_normal.jpg","View")</f>
        <v>View</v>
      </c>
      <c r="P13751" s="7"/>
    </row>
    <row r="13752" spans="1:16">
      <c r="A13752" s="3">
        <v>44260.099421296298</v>
      </c>
      <c r="B13752" s="4" t="str">
        <f>HYPERLINK("https://twitter.com/petrogustavo","@petrogustavo")</f>
        <v>@petrogustavo</v>
      </c>
      <c r="C13752" s="5" t="s">
        <v>16</v>
      </c>
      <c r="D13752" s="5" t="s">
        <v>13234</v>
      </c>
      <c r="E13752" s="6" t="str">
        <f>HYPERLINK("https://twitter.com/petrogustavo/status/1367578888461762563","1367578888461762563")</f>
        <v>1367578888461762563</v>
      </c>
      <c r="F13752" s="7" t="s">
        <v>17</v>
      </c>
      <c r="G13752" s="7">
        <v>4075727</v>
      </c>
      <c r="H13752" s="7">
        <v>2492</v>
      </c>
      <c r="I13752" s="7">
        <v>168</v>
      </c>
      <c r="J13752" s="7">
        <v>0</v>
      </c>
      <c r="K13752" s="7" t="s">
        <v>18</v>
      </c>
      <c r="L13752" s="8">
        <v>39987.315405092595</v>
      </c>
      <c r="M13752" s="9" t="s">
        <v>19</v>
      </c>
      <c r="N13752" s="9" t="s">
        <v>20</v>
      </c>
      <c r="O13752" s="6" t="str">
        <f>HYPERLINK("https://pbs.twimg.com/profile_images/962471262747529216/Uo8lOkRJ_normal.jpg","View")</f>
        <v>View</v>
      </c>
      <c r="P13752" s="7"/>
    </row>
    <row r="13753" spans="1:16">
      <c r="A13753" s="3">
        <v>44260.109826388885</v>
      </c>
      <c r="B13753" s="4" t="str">
        <f>HYPERLINK("https://twitter.com/petrogustavo","@petrogustavo")</f>
        <v>@petrogustavo</v>
      </c>
      <c r="C13753" s="5" t="s">
        <v>16</v>
      </c>
      <c r="D13753" s="5" t="s">
        <v>13235</v>
      </c>
      <c r="E13753" s="6" t="str">
        <f>HYPERLINK("https://twitter.com/petrogustavo/status/1367582662177792001","1367582662177792001")</f>
        <v>1367582662177792001</v>
      </c>
      <c r="F13753" s="7" t="s">
        <v>17</v>
      </c>
      <c r="G13753" s="7">
        <v>4075742</v>
      </c>
      <c r="H13753" s="7">
        <v>2492</v>
      </c>
      <c r="I13753" s="7">
        <v>239</v>
      </c>
      <c r="J13753" s="7">
        <v>618</v>
      </c>
      <c r="K13753" s="7" t="s">
        <v>18</v>
      </c>
      <c r="L13753" s="8">
        <v>39987.315405092595</v>
      </c>
      <c r="M13753" s="9" t="s">
        <v>19</v>
      </c>
      <c r="N13753" s="9" t="s">
        <v>20</v>
      </c>
      <c r="O13753" s="6" t="str">
        <f>HYPERLINK("https://pbs.twimg.com/profile_images/962471262747529216/Uo8lOkRJ_normal.jpg","View")</f>
        <v>View</v>
      </c>
      <c r="P13753" s="7"/>
    </row>
    <row r="13754" spans="1:16">
      <c r="A13754" s="3">
        <v>44260.123958333337</v>
      </c>
      <c r="B13754" s="4" t="str">
        <f>HYPERLINK("https://twitter.com/petrogustavo","@petrogustavo")</f>
        <v>@petrogustavo</v>
      </c>
      <c r="C13754" s="5" t="s">
        <v>16</v>
      </c>
      <c r="D13754" s="5" t="s">
        <v>13236</v>
      </c>
      <c r="E13754" s="6" t="str">
        <f>HYPERLINK("https://twitter.com/petrogustavo/status/1367587780625276929","1367587780625276929")</f>
        <v>1367587780625276929</v>
      </c>
      <c r="F13754" s="7" t="s">
        <v>17</v>
      </c>
      <c r="G13754" s="7">
        <v>4075742</v>
      </c>
      <c r="H13754" s="7">
        <v>2492</v>
      </c>
      <c r="I13754" s="7">
        <v>32</v>
      </c>
      <c r="J13754" s="7">
        <v>74</v>
      </c>
      <c r="K13754" s="7" t="s">
        <v>18</v>
      </c>
      <c r="L13754" s="8">
        <v>39987.315405092595</v>
      </c>
      <c r="M13754" s="9" t="s">
        <v>19</v>
      </c>
      <c r="N13754" s="9" t="s">
        <v>20</v>
      </c>
      <c r="O13754" s="6" t="str">
        <f>HYPERLINK("https://pbs.twimg.com/profile_images/962471262747529216/Uo8lOkRJ_normal.jpg","View")</f>
        <v>View</v>
      </c>
      <c r="P13754" s="7"/>
    </row>
    <row r="13755" spans="1:16">
      <c r="A13755" s="3">
        <v>44260.123958333337</v>
      </c>
      <c r="B13755" s="4" t="str">
        <f>HYPERLINK("https://twitter.com/petrogustavo","@petrogustavo")</f>
        <v>@petrogustavo</v>
      </c>
      <c r="C13755" s="5" t="s">
        <v>16</v>
      </c>
      <c r="D13755" s="5" t="s">
        <v>13237</v>
      </c>
      <c r="E13755" s="6" t="str">
        <f>HYPERLINK("https://twitter.com/petrogustavo/status/1367587782709833731","1367587782709833731")</f>
        <v>1367587782709833731</v>
      </c>
      <c r="F13755" s="7" t="s">
        <v>17</v>
      </c>
      <c r="G13755" s="7">
        <v>4075742</v>
      </c>
      <c r="H13755" s="7">
        <v>2492</v>
      </c>
      <c r="I13755" s="7">
        <v>8</v>
      </c>
      <c r="J13755" s="7">
        <v>37</v>
      </c>
      <c r="K13755" s="7" t="s">
        <v>18</v>
      </c>
      <c r="L13755" s="8">
        <v>39987.315405092595</v>
      </c>
      <c r="M13755" s="9" t="s">
        <v>19</v>
      </c>
      <c r="N13755" s="9" t="s">
        <v>20</v>
      </c>
      <c r="O13755" s="6" t="str">
        <f>HYPERLINK("https://pbs.twimg.com/profile_images/962471262747529216/Uo8lOkRJ_normal.jpg","View")</f>
        <v>View</v>
      </c>
      <c r="P13755" s="7"/>
    </row>
    <row r="13756" spans="1:16">
      <c r="A13756" s="3">
        <v>44260.123958333337</v>
      </c>
      <c r="B13756" s="4" t="str">
        <f>HYPERLINK("https://twitter.com/petrogustavo","@petrogustavo")</f>
        <v>@petrogustavo</v>
      </c>
      <c r="C13756" s="5" t="s">
        <v>16</v>
      </c>
      <c r="D13756" s="5" t="s">
        <v>13238</v>
      </c>
      <c r="E13756" s="6" t="str">
        <f>HYPERLINK("https://twitter.com/petrogustavo/status/1367587784274235399","1367587784274235399")</f>
        <v>1367587784274235399</v>
      </c>
      <c r="F13756" s="7" t="s">
        <v>17</v>
      </c>
      <c r="G13756" s="7">
        <v>4075742</v>
      </c>
      <c r="H13756" s="7">
        <v>2492</v>
      </c>
      <c r="I13756" s="7">
        <v>7</v>
      </c>
      <c r="J13756" s="7">
        <v>41</v>
      </c>
      <c r="K13756" s="7" t="s">
        <v>18</v>
      </c>
      <c r="L13756" s="8">
        <v>39987.315405092595</v>
      </c>
      <c r="M13756" s="9" t="s">
        <v>19</v>
      </c>
      <c r="N13756" s="9" t="s">
        <v>20</v>
      </c>
      <c r="O13756" s="6" t="str">
        <f>HYPERLINK("https://pbs.twimg.com/profile_images/962471262747529216/Uo8lOkRJ_normal.jpg","View")</f>
        <v>View</v>
      </c>
      <c r="P13756" s="7"/>
    </row>
    <row r="13757" spans="1:16">
      <c r="A13757" s="3">
        <v>44260.695833333331</v>
      </c>
      <c r="B13757" s="4" t="str">
        <f>HYPERLINK("https://twitter.com/petrogustavo","@petrogustavo")</f>
        <v>@petrogustavo</v>
      </c>
      <c r="C13757" s="5" t="s">
        <v>16</v>
      </c>
      <c r="D13757" s="5" t="s">
        <v>13239</v>
      </c>
      <c r="E13757" s="6" t="str">
        <f>HYPERLINK("https://twitter.com/petrogustavo/status/1367795021865512961","1367795021865512961")</f>
        <v>1367795021865512961</v>
      </c>
      <c r="F13757" s="7" t="s">
        <v>17</v>
      </c>
      <c r="G13757" s="7">
        <v>4075871</v>
      </c>
      <c r="H13757" s="7">
        <v>2493</v>
      </c>
      <c r="I13757" s="7">
        <v>381</v>
      </c>
      <c r="J13757" s="7">
        <v>0</v>
      </c>
      <c r="K13757" s="7" t="s">
        <v>18</v>
      </c>
      <c r="L13757" s="8">
        <v>39987.315405092595</v>
      </c>
      <c r="M13757" s="9" t="s">
        <v>19</v>
      </c>
      <c r="N13757" s="9" t="s">
        <v>20</v>
      </c>
      <c r="O13757" s="6" t="str">
        <f>HYPERLINK("https://pbs.twimg.com/profile_images/962471262747529216/Uo8lOkRJ_normal.jpg","View")</f>
        <v>View</v>
      </c>
      <c r="P13757" s="7"/>
    </row>
    <row r="13758" spans="1:16">
      <c r="A13758" s="3">
        <v>44260.761111111111</v>
      </c>
      <c r="B13758" s="4" t="str">
        <f>HYPERLINK("https://twitter.com/petrogustavo","@petrogustavo")</f>
        <v>@petrogustavo</v>
      </c>
      <c r="C13758" s="5" t="s">
        <v>16</v>
      </c>
      <c r="D13758" s="5" t="s">
        <v>13240</v>
      </c>
      <c r="E13758" s="6" t="str">
        <f>HYPERLINK("https://twitter.com/petrogustavo/status/1367818679367372806","1367818679367372806")</f>
        <v>1367818679367372806</v>
      </c>
      <c r="F13758" s="7" t="s">
        <v>17</v>
      </c>
      <c r="G13758" s="7">
        <v>4075908</v>
      </c>
      <c r="H13758" s="7">
        <v>2493</v>
      </c>
      <c r="I13758" s="7">
        <v>195</v>
      </c>
      <c r="J13758" s="7">
        <v>645</v>
      </c>
      <c r="K13758" s="7" t="s">
        <v>18</v>
      </c>
      <c r="L13758" s="8">
        <v>39987.315405092595</v>
      </c>
      <c r="M13758" s="9" t="s">
        <v>19</v>
      </c>
      <c r="N13758" s="9" t="s">
        <v>20</v>
      </c>
      <c r="O13758" s="6" t="str">
        <f>HYPERLINK("https://pbs.twimg.com/profile_images/962471262747529216/Uo8lOkRJ_normal.jpg","View")</f>
        <v>View</v>
      </c>
      <c r="P13758" s="7"/>
    </row>
    <row r="13759" spans="1:16">
      <c r="A13759" s="3">
        <v>44260.882743055554</v>
      </c>
      <c r="B13759" s="4" t="str">
        <f>HYPERLINK("https://twitter.com/petrogustavo","@petrogustavo")</f>
        <v>@petrogustavo</v>
      </c>
      <c r="C13759" s="5" t="s">
        <v>16</v>
      </c>
      <c r="D13759" s="5" t="s">
        <v>13241</v>
      </c>
      <c r="E13759" s="6" t="str">
        <f>HYPERLINK("https://twitter.com/petrogustavo/status/1367862757933150209","1367862757933150209")</f>
        <v>1367862757933150209</v>
      </c>
      <c r="F13759" s="7" t="s">
        <v>17</v>
      </c>
      <c r="G13759" s="7">
        <v>4076033</v>
      </c>
      <c r="H13759" s="7">
        <v>2493</v>
      </c>
      <c r="I13759" s="7">
        <v>453</v>
      </c>
      <c r="J13759" s="7">
        <v>1256</v>
      </c>
      <c r="K13759" s="7" t="s">
        <v>18</v>
      </c>
      <c r="L13759" s="8">
        <v>39987.315405092595</v>
      </c>
      <c r="M13759" s="9" t="s">
        <v>19</v>
      </c>
      <c r="N13759" s="9" t="s">
        <v>20</v>
      </c>
      <c r="O13759" s="6" t="str">
        <f>HYPERLINK("https://pbs.twimg.com/profile_images/962471262747529216/Uo8lOkRJ_normal.jpg","View")</f>
        <v>View</v>
      </c>
      <c r="P13759" s="7"/>
    </row>
    <row r="13760" spans="1:16">
      <c r="A13760" s="3">
        <v>44260.882754629631</v>
      </c>
      <c r="B13760" s="4" t="str">
        <f>HYPERLINK("https://twitter.com/petrogustavo","@petrogustavo")</f>
        <v>@petrogustavo</v>
      </c>
      <c r="C13760" s="5" t="s">
        <v>16</v>
      </c>
      <c r="D13760" s="5" t="s">
        <v>13242</v>
      </c>
      <c r="E13760" s="6" t="str">
        <f>HYPERLINK("https://twitter.com/petrogustavo/status/1367862759300415492","1367862759300415492")</f>
        <v>1367862759300415492</v>
      </c>
      <c r="F13760" s="7" t="s">
        <v>17</v>
      </c>
      <c r="G13760" s="7">
        <v>4076033</v>
      </c>
      <c r="H13760" s="7">
        <v>2493</v>
      </c>
      <c r="I13760" s="7">
        <v>294</v>
      </c>
      <c r="J13760" s="7">
        <v>931</v>
      </c>
      <c r="K13760" s="7" t="s">
        <v>18</v>
      </c>
      <c r="L13760" s="8">
        <v>39987.315405092595</v>
      </c>
      <c r="M13760" s="9" t="s">
        <v>19</v>
      </c>
      <c r="N13760" s="9" t="s">
        <v>20</v>
      </c>
      <c r="O13760" s="6" t="str">
        <f>HYPERLINK("https://pbs.twimg.com/profile_images/962471262747529216/Uo8lOkRJ_normal.jpg","View")</f>
        <v>View</v>
      </c>
      <c r="P13760" s="7"/>
    </row>
    <row r="13761" spans="1:16">
      <c r="A13761" s="3">
        <v>44260.931516203702</v>
      </c>
      <c r="B13761" s="4" t="str">
        <f>HYPERLINK("https://twitter.com/petrogustavo","@petrogustavo")</f>
        <v>@petrogustavo</v>
      </c>
      <c r="C13761" s="5" t="s">
        <v>16</v>
      </c>
      <c r="D13761" s="5" t="s">
        <v>13243</v>
      </c>
      <c r="E13761" s="6" t="str">
        <f>HYPERLINK("https://twitter.com/petrogustavo/status/1367880431278813185","1367880431278813185")</f>
        <v>1367880431278813185</v>
      </c>
      <c r="F13761" s="7" t="s">
        <v>17</v>
      </c>
      <c r="G13761" s="7">
        <v>4076072</v>
      </c>
      <c r="H13761" s="7">
        <v>2493</v>
      </c>
      <c r="I13761" s="7">
        <v>163</v>
      </c>
      <c r="J13761" s="7">
        <v>560</v>
      </c>
      <c r="K13761" s="7" t="s">
        <v>18</v>
      </c>
      <c r="L13761" s="8">
        <v>39987.315405092595</v>
      </c>
      <c r="M13761" s="9" t="s">
        <v>19</v>
      </c>
      <c r="N13761" s="9" t="s">
        <v>20</v>
      </c>
      <c r="O13761" s="6" t="str">
        <f>HYPERLINK("https://pbs.twimg.com/profile_images/962471262747529216/Uo8lOkRJ_normal.jpg","View")</f>
        <v>View</v>
      </c>
      <c r="P13761" s="7"/>
    </row>
    <row r="13762" spans="1:16">
      <c r="A13762" s="3">
        <v>44261.029918981483</v>
      </c>
      <c r="B13762" s="4" t="str">
        <f>HYPERLINK("https://twitter.com/petrogustavo","@petrogustavo")</f>
        <v>@petrogustavo</v>
      </c>
      <c r="C13762" s="5" t="s">
        <v>16</v>
      </c>
      <c r="D13762" s="5" t="s">
        <v>13244</v>
      </c>
      <c r="E13762" s="6" t="str">
        <f>HYPERLINK("https://twitter.com/petrogustavo/status/1367916090106343426","1367916090106343426")</f>
        <v>1367916090106343426</v>
      </c>
      <c r="F13762" s="7" t="s">
        <v>22</v>
      </c>
      <c r="G13762" s="7">
        <v>4076144</v>
      </c>
      <c r="H13762" s="7">
        <v>2493</v>
      </c>
      <c r="I13762" s="7">
        <v>113</v>
      </c>
      <c r="J13762" s="7">
        <v>286</v>
      </c>
      <c r="K13762" s="7" t="s">
        <v>18</v>
      </c>
      <c r="L13762" s="8">
        <v>39987.315405092595</v>
      </c>
      <c r="M13762" s="9" t="s">
        <v>19</v>
      </c>
      <c r="N13762" s="9" t="s">
        <v>20</v>
      </c>
      <c r="O13762" s="6" t="str">
        <f>HYPERLINK("https://pbs.twimg.com/profile_images/962471262747529216/Uo8lOkRJ_normal.jpg","View")</f>
        <v>View</v>
      </c>
      <c r="P13762" s="7"/>
    </row>
    <row r="13763" spans="1:16">
      <c r="A13763" s="3">
        <v>44261.069664351853</v>
      </c>
      <c r="B13763" s="4" t="str">
        <f>HYPERLINK("https://twitter.com/petrogustavo","@petrogustavo")</f>
        <v>@petrogustavo</v>
      </c>
      <c r="C13763" s="5" t="s">
        <v>16</v>
      </c>
      <c r="D13763" s="5" t="s">
        <v>13245</v>
      </c>
      <c r="E13763" s="6" t="str">
        <f>HYPERLINK("https://twitter.com/petrogustavo/status/1367930492624986116","1367930492624986116")</f>
        <v>1367930492624986116</v>
      </c>
      <c r="F13763" s="7" t="s">
        <v>17</v>
      </c>
      <c r="G13763" s="7">
        <v>4076198</v>
      </c>
      <c r="H13763" s="7">
        <v>2493</v>
      </c>
      <c r="I13763" s="7">
        <v>416</v>
      </c>
      <c r="J13763" s="7">
        <v>1512</v>
      </c>
      <c r="K13763" s="7" t="s">
        <v>18</v>
      </c>
      <c r="L13763" s="8">
        <v>39987.315405092595</v>
      </c>
      <c r="M13763" s="9" t="s">
        <v>19</v>
      </c>
      <c r="N13763" s="9" t="s">
        <v>20</v>
      </c>
      <c r="O13763" s="6" t="str">
        <f>HYPERLINK("https://pbs.twimg.com/profile_images/962471262747529216/Uo8lOkRJ_normal.jpg","View")</f>
        <v>View</v>
      </c>
      <c r="P13763" s="7"/>
    </row>
    <row r="13764" spans="1:16">
      <c r="A13764" s="3">
        <v>44261.122037037036</v>
      </c>
      <c r="B13764" s="4" t="str">
        <f>HYPERLINK("https://twitter.com/petrogustavo","@petrogustavo")</f>
        <v>@petrogustavo</v>
      </c>
      <c r="C13764" s="5" t="s">
        <v>16</v>
      </c>
      <c r="D13764" s="5" t="s">
        <v>13246</v>
      </c>
      <c r="E13764" s="6" t="str">
        <f>HYPERLINK("https://twitter.com/petrogustavo/status/1367949472815325185","1367949472815325185")</f>
        <v>1367949472815325185</v>
      </c>
      <c r="F13764" s="7" t="s">
        <v>17</v>
      </c>
      <c r="G13764" s="7">
        <v>4076185</v>
      </c>
      <c r="H13764" s="7">
        <v>2493</v>
      </c>
      <c r="I13764" s="7">
        <v>43</v>
      </c>
      <c r="J13764" s="7">
        <v>194</v>
      </c>
      <c r="K13764" s="7" t="s">
        <v>18</v>
      </c>
      <c r="L13764" s="8">
        <v>39987.315405092595</v>
      </c>
      <c r="M13764" s="9" t="s">
        <v>19</v>
      </c>
      <c r="N13764" s="9" t="s">
        <v>20</v>
      </c>
      <c r="O13764" s="6" t="str">
        <f>HYPERLINK("https://pbs.twimg.com/profile_images/962471262747529216/Uo8lOkRJ_normal.jpg","View")</f>
        <v>View</v>
      </c>
      <c r="P13764" s="7"/>
    </row>
    <row r="13765" spans="1:16">
      <c r="A13765" s="3">
        <v>44261.127511574072</v>
      </c>
      <c r="B13765" s="4" t="str">
        <f>HYPERLINK("https://twitter.com/petrogustavo","@petrogustavo")</f>
        <v>@petrogustavo</v>
      </c>
      <c r="C13765" s="5" t="s">
        <v>16</v>
      </c>
      <c r="D13765" s="5" t="s">
        <v>13247</v>
      </c>
      <c r="E13765" s="6" t="str">
        <f>HYPERLINK("https://twitter.com/petrogustavo/status/1367951459430641664","1367951459430641664")</f>
        <v>1367951459430641664</v>
      </c>
      <c r="F13765" s="7" t="s">
        <v>17</v>
      </c>
      <c r="G13765" s="7">
        <v>4076199</v>
      </c>
      <c r="H13765" s="7">
        <v>2493</v>
      </c>
      <c r="I13765" s="7">
        <v>102</v>
      </c>
      <c r="J13765" s="7">
        <v>0</v>
      </c>
      <c r="K13765" s="7" t="s">
        <v>18</v>
      </c>
      <c r="L13765" s="8">
        <v>39987.315405092595</v>
      </c>
      <c r="M13765" s="9" t="s">
        <v>19</v>
      </c>
      <c r="N13765" s="9" t="s">
        <v>20</v>
      </c>
      <c r="O13765" s="6" t="str">
        <f>HYPERLINK("https://pbs.twimg.com/profile_images/962471262747529216/Uo8lOkRJ_normal.jpg","View")</f>
        <v>View</v>
      </c>
      <c r="P13765" s="7"/>
    </row>
    <row r="13766" spans="1:16">
      <c r="A13766" s="3">
        <v>44261.130335648151</v>
      </c>
      <c r="B13766" s="4" t="str">
        <f>HYPERLINK("https://twitter.com/petrogustavo","@petrogustavo")</f>
        <v>@petrogustavo</v>
      </c>
      <c r="C13766" s="5" t="s">
        <v>16</v>
      </c>
      <c r="D13766" s="5" t="s">
        <v>13248</v>
      </c>
      <c r="E13766" s="6" t="str">
        <f>HYPERLINK("https://twitter.com/petrogustavo/status/1367952481251131397","1367952481251131397")</f>
        <v>1367952481251131397</v>
      </c>
      <c r="F13766" s="7" t="s">
        <v>17</v>
      </c>
      <c r="G13766" s="7">
        <v>4076199</v>
      </c>
      <c r="H13766" s="7">
        <v>2493</v>
      </c>
      <c r="I13766" s="7">
        <v>394</v>
      </c>
      <c r="J13766" s="7">
        <v>1421</v>
      </c>
      <c r="K13766" s="7" t="s">
        <v>18</v>
      </c>
      <c r="L13766" s="8">
        <v>39987.315405092595</v>
      </c>
      <c r="M13766" s="9" t="s">
        <v>19</v>
      </c>
      <c r="N13766" s="9" t="s">
        <v>20</v>
      </c>
      <c r="O13766" s="6" t="str">
        <f>HYPERLINK("https://pbs.twimg.com/profile_images/962471262747529216/Uo8lOkRJ_normal.jpg","View")</f>
        <v>View</v>
      </c>
      <c r="P13766" s="7"/>
    </row>
    <row r="13767" spans="1:16">
      <c r="A13767" s="3">
        <v>44261.696840277778</v>
      </c>
      <c r="B13767" s="4" t="str">
        <f>HYPERLINK("https://twitter.com/petrogustavo","@petrogustavo")</f>
        <v>@petrogustavo</v>
      </c>
      <c r="C13767" s="5" t="s">
        <v>16</v>
      </c>
      <c r="D13767" s="5" t="s">
        <v>13249</v>
      </c>
      <c r="E13767" s="6" t="str">
        <f>HYPERLINK("https://twitter.com/petrogustavo/status/1368157775117881344","1368157775117881344")</f>
        <v>1368157775117881344</v>
      </c>
      <c r="F13767" s="7" t="s">
        <v>17</v>
      </c>
      <c r="G13767" s="7">
        <v>4076395</v>
      </c>
      <c r="H13767" s="7">
        <v>2493</v>
      </c>
      <c r="I13767" s="7">
        <v>77</v>
      </c>
      <c r="J13767" s="7">
        <v>0</v>
      </c>
      <c r="K13767" s="7" t="s">
        <v>18</v>
      </c>
      <c r="L13767" s="8">
        <v>39987.315405092595</v>
      </c>
      <c r="M13767" s="9" t="s">
        <v>19</v>
      </c>
      <c r="N13767" s="9" t="s">
        <v>20</v>
      </c>
      <c r="O13767" s="6" t="str">
        <f>HYPERLINK("https://pbs.twimg.com/profile_images/962471262747529216/Uo8lOkRJ_normal.jpg","View")</f>
        <v>View</v>
      </c>
      <c r="P13767" s="7"/>
    </row>
    <row r="13768" spans="1:16">
      <c r="A13768" s="3">
        <v>44261.698217592595</v>
      </c>
      <c r="B13768" s="4" t="str">
        <f>HYPERLINK("https://twitter.com/petrogustavo","@petrogustavo")</f>
        <v>@petrogustavo</v>
      </c>
      <c r="C13768" s="5" t="s">
        <v>16</v>
      </c>
      <c r="D13768" s="5" t="s">
        <v>13250</v>
      </c>
      <c r="E13768" s="6" t="str">
        <f>HYPERLINK("https://twitter.com/petrogustavo/status/1368158273715724289","1368158273715724289")</f>
        <v>1368158273715724289</v>
      </c>
      <c r="F13768" s="7" t="s">
        <v>17</v>
      </c>
      <c r="G13768" s="7">
        <v>4076395</v>
      </c>
      <c r="H13768" s="7">
        <v>2493</v>
      </c>
      <c r="I13768" s="7">
        <v>34</v>
      </c>
      <c r="J13768" s="7">
        <v>107</v>
      </c>
      <c r="K13768" s="7" t="s">
        <v>18</v>
      </c>
      <c r="L13768" s="8">
        <v>39987.315405092595</v>
      </c>
      <c r="M13768" s="9" t="s">
        <v>19</v>
      </c>
      <c r="N13768" s="9" t="s">
        <v>20</v>
      </c>
      <c r="O13768" s="6" t="str">
        <f>HYPERLINK("https://pbs.twimg.com/profile_images/962471262747529216/Uo8lOkRJ_normal.jpg","View")</f>
        <v>View</v>
      </c>
      <c r="P13768" s="7"/>
    </row>
    <row r="13769" spans="1:16">
      <c r="A13769" s="3">
        <v>44261.699317129634</v>
      </c>
      <c r="B13769" s="4" t="str">
        <f>HYPERLINK("https://twitter.com/petrogustavo","@petrogustavo")</f>
        <v>@petrogustavo</v>
      </c>
      <c r="C13769" s="5" t="s">
        <v>16</v>
      </c>
      <c r="D13769" s="5" t="s">
        <v>13251</v>
      </c>
      <c r="E13769" s="6" t="str">
        <f>HYPERLINK("https://twitter.com/petrogustavo/status/1368158673684606976","1368158673684606976")</f>
        <v>1368158673684606976</v>
      </c>
      <c r="F13769" s="7" t="s">
        <v>17</v>
      </c>
      <c r="G13769" s="7">
        <v>4076395</v>
      </c>
      <c r="H13769" s="7">
        <v>2493</v>
      </c>
      <c r="I13769" s="7">
        <v>86</v>
      </c>
      <c r="J13769" s="7">
        <v>341</v>
      </c>
      <c r="K13769" s="7" t="s">
        <v>18</v>
      </c>
      <c r="L13769" s="8">
        <v>39987.315405092595</v>
      </c>
      <c r="M13769" s="9" t="s">
        <v>19</v>
      </c>
      <c r="N13769" s="9" t="s">
        <v>20</v>
      </c>
      <c r="O13769" s="6" t="str">
        <f>HYPERLINK("https://pbs.twimg.com/profile_images/962471262747529216/Uo8lOkRJ_normal.jpg","View")</f>
        <v>View</v>
      </c>
      <c r="P13769" s="7"/>
    </row>
    <row r="13770" spans="1:16">
      <c r="A13770" s="3">
        <v>44262.703032407408</v>
      </c>
      <c r="B13770" s="4" t="str">
        <f>HYPERLINK("https://twitter.com/petrogustavo","@petrogustavo")</f>
        <v>@petrogustavo</v>
      </c>
      <c r="C13770" s="5" t="s">
        <v>16</v>
      </c>
      <c r="D13770" s="5" t="s">
        <v>13252</v>
      </c>
      <c r="E13770" s="6" t="str">
        <f>HYPERLINK("https://twitter.com/petrogustavo/status/1368522408790007811","1368522408790007811")</f>
        <v>1368522408790007811</v>
      </c>
      <c r="F13770" s="7" t="s">
        <v>17</v>
      </c>
      <c r="G13770" s="7">
        <v>4076380</v>
      </c>
      <c r="H13770" s="7">
        <v>2491</v>
      </c>
      <c r="I13770" s="7">
        <v>43</v>
      </c>
      <c r="J13770" s="7">
        <v>131</v>
      </c>
      <c r="K13770" s="7" t="s">
        <v>18</v>
      </c>
      <c r="L13770" s="8">
        <v>39987.315405092595</v>
      </c>
      <c r="M13770" s="9" t="s">
        <v>19</v>
      </c>
      <c r="N13770" s="9" t="s">
        <v>20</v>
      </c>
      <c r="O13770" s="6" t="str">
        <f>HYPERLINK("https://pbs.twimg.com/profile_images/962471262747529216/Uo8lOkRJ_normal.jpg","View")</f>
        <v>View</v>
      </c>
      <c r="P13770" s="7"/>
    </row>
    <row r="13771" spans="1:16">
      <c r="A13771" s="3">
        <v>44262.828506944439</v>
      </c>
      <c r="B13771" s="4" t="str">
        <f>HYPERLINK("https://twitter.com/petrogustavo","@petrogustavo")</f>
        <v>@petrogustavo</v>
      </c>
      <c r="C13771" s="5" t="s">
        <v>16</v>
      </c>
      <c r="D13771" s="5" t="s">
        <v>13253</v>
      </c>
      <c r="E13771" s="6" t="str">
        <f>HYPERLINK("https://twitter.com/petrogustavo/status/1368567875800301572","1368567875800301572")</f>
        <v>1368567875800301572</v>
      </c>
      <c r="F13771" s="7" t="s">
        <v>17</v>
      </c>
      <c r="G13771" s="7">
        <v>4076457</v>
      </c>
      <c r="H13771" s="7">
        <v>2491</v>
      </c>
      <c r="I13771" s="7">
        <v>63</v>
      </c>
      <c r="J13771" s="7">
        <v>126</v>
      </c>
      <c r="K13771" s="7" t="s">
        <v>18</v>
      </c>
      <c r="L13771" s="8">
        <v>39987.315405092595</v>
      </c>
      <c r="M13771" s="9" t="s">
        <v>19</v>
      </c>
      <c r="N13771" s="9" t="s">
        <v>20</v>
      </c>
      <c r="O13771" s="6" t="str">
        <f>HYPERLINK("https://pbs.twimg.com/profile_images/962471262747529216/Uo8lOkRJ_normal.jpg","View")</f>
        <v>View</v>
      </c>
      <c r="P13771" s="7"/>
    </row>
    <row r="13772" spans="1:16">
      <c r="A13772" s="3">
        <v>44262.910856481481</v>
      </c>
      <c r="B13772" s="4" t="str">
        <f>HYPERLINK("https://twitter.com/petrogustavo","@petrogustavo")</f>
        <v>@petrogustavo</v>
      </c>
      <c r="C13772" s="5" t="s">
        <v>16</v>
      </c>
      <c r="D13772" s="5" t="s">
        <v>13254</v>
      </c>
      <c r="E13772" s="6" t="str">
        <f>HYPERLINK("https://twitter.com/petrogustavo/status/1368597718902468612","1368597718902468612")</f>
        <v>1368597718902468612</v>
      </c>
      <c r="F13772" s="7" t="s">
        <v>17</v>
      </c>
      <c r="G13772" s="7">
        <v>4076490</v>
      </c>
      <c r="H13772" s="7">
        <v>2490</v>
      </c>
      <c r="I13772" s="7">
        <v>144</v>
      </c>
      <c r="J13772" s="7">
        <v>410</v>
      </c>
      <c r="K13772" s="7" t="s">
        <v>18</v>
      </c>
      <c r="L13772" s="8">
        <v>39987.315405092595</v>
      </c>
      <c r="M13772" s="9" t="s">
        <v>19</v>
      </c>
      <c r="N13772" s="9" t="s">
        <v>20</v>
      </c>
      <c r="O13772" s="6" t="str">
        <f>HYPERLINK("https://pbs.twimg.com/profile_images/962471262747529216/Uo8lOkRJ_normal.jpg","View")</f>
        <v>View</v>
      </c>
      <c r="P13772" s="7"/>
    </row>
    <row r="13773" spans="1:16">
      <c r="A13773" s="3">
        <v>44262.912256944444</v>
      </c>
      <c r="B13773" s="4" t="str">
        <f>HYPERLINK("https://twitter.com/petrogustavo","@petrogustavo")</f>
        <v>@petrogustavo</v>
      </c>
      <c r="C13773" s="5" t="s">
        <v>16</v>
      </c>
      <c r="D13773" s="5" t="s">
        <v>13255</v>
      </c>
      <c r="E13773" s="6" t="str">
        <f>HYPERLINK("https://twitter.com/petrogustavo/status/1368598228560732165","1368598228560732165")</f>
        <v>1368598228560732165</v>
      </c>
      <c r="F13773" s="7" t="s">
        <v>17</v>
      </c>
      <c r="G13773" s="7">
        <v>4076490</v>
      </c>
      <c r="H13773" s="7">
        <v>2490</v>
      </c>
      <c r="I13773" s="7">
        <v>45</v>
      </c>
      <c r="J13773" s="7">
        <v>113</v>
      </c>
      <c r="K13773" s="7" t="s">
        <v>18</v>
      </c>
      <c r="L13773" s="8">
        <v>39987.315405092595</v>
      </c>
      <c r="M13773" s="9" t="s">
        <v>19</v>
      </c>
      <c r="N13773" s="9" t="s">
        <v>20</v>
      </c>
      <c r="O13773" s="6" t="str">
        <f>HYPERLINK("https://pbs.twimg.com/profile_images/962471262747529216/Uo8lOkRJ_normal.jpg","View")</f>
        <v>View</v>
      </c>
      <c r="P13773" s="7"/>
    </row>
    <row r="13774" spans="1:16">
      <c r="A13774" s="3">
        <v>44262.929409722223</v>
      </c>
      <c r="B13774" s="4" t="str">
        <f>HYPERLINK("https://twitter.com/petrogustavo","@petrogustavo")</f>
        <v>@petrogustavo</v>
      </c>
      <c r="C13774" s="5" t="s">
        <v>16</v>
      </c>
      <c r="D13774" s="5" t="s">
        <v>13256</v>
      </c>
      <c r="E13774" s="6" t="str">
        <f>HYPERLINK("https://twitter.com/petrogustavo/status/1368604442933817346","1368604442933817346")</f>
        <v>1368604442933817346</v>
      </c>
      <c r="F13774" s="7" t="s">
        <v>17</v>
      </c>
      <c r="G13774" s="7">
        <v>4076490</v>
      </c>
      <c r="H13774" s="7">
        <v>2490</v>
      </c>
      <c r="I13774" s="7">
        <v>480</v>
      </c>
      <c r="J13774" s="7">
        <v>0</v>
      </c>
      <c r="K13774" s="7" t="s">
        <v>18</v>
      </c>
      <c r="L13774" s="8">
        <v>39987.315405092595</v>
      </c>
      <c r="M13774" s="9" t="s">
        <v>19</v>
      </c>
      <c r="N13774" s="9" t="s">
        <v>20</v>
      </c>
      <c r="O13774" s="6" t="str">
        <f>HYPERLINK("https://pbs.twimg.com/profile_images/962471262747529216/Uo8lOkRJ_normal.jpg","View")</f>
        <v>View</v>
      </c>
      <c r="P13774" s="7"/>
    </row>
    <row r="13775" spans="1:16">
      <c r="A13775" s="3">
        <v>44263.027175925927</v>
      </c>
      <c r="B13775" s="4" t="str">
        <f>HYPERLINK("https://twitter.com/petrogustavo","@petrogustavo")</f>
        <v>@petrogustavo</v>
      </c>
      <c r="C13775" s="5" t="s">
        <v>16</v>
      </c>
      <c r="D13775" s="5" t="s">
        <v>13257</v>
      </c>
      <c r="E13775" s="6" t="str">
        <f>HYPERLINK("https://twitter.com/petrogustavo/status/1368639872504791040","1368639872504791040")</f>
        <v>1368639872504791040</v>
      </c>
      <c r="F13775" s="7" t="s">
        <v>22</v>
      </c>
      <c r="G13775" s="7">
        <v>4076532</v>
      </c>
      <c r="H13775" s="7">
        <v>2490</v>
      </c>
      <c r="I13775" s="7">
        <v>150</v>
      </c>
      <c r="J13775" s="7">
        <v>283</v>
      </c>
      <c r="K13775" s="7" t="s">
        <v>18</v>
      </c>
      <c r="L13775" s="8">
        <v>39987.315405092595</v>
      </c>
      <c r="M13775" s="9" t="s">
        <v>19</v>
      </c>
      <c r="N13775" s="9" t="s">
        <v>20</v>
      </c>
      <c r="O13775" s="6" t="str">
        <f>HYPERLINK("https://pbs.twimg.com/profile_images/962471262747529216/Uo8lOkRJ_normal.jpg","View")</f>
        <v>View</v>
      </c>
      <c r="P13775" s="7"/>
    </row>
    <row r="13776" spans="1:16">
      <c r="A13776" s="3">
        <v>44263.690312499995</v>
      </c>
      <c r="B13776" s="4" t="str">
        <f>HYPERLINK("https://twitter.com/petrogustavo","@petrogustavo")</f>
        <v>@petrogustavo</v>
      </c>
      <c r="C13776" s="5" t="s">
        <v>16</v>
      </c>
      <c r="D13776" s="5" t="s">
        <v>13258</v>
      </c>
      <c r="E13776" s="6" t="str">
        <f>HYPERLINK("https://twitter.com/petrogustavo/status/1368880184565366785","1368880184565366785")</f>
        <v>1368880184565366785</v>
      </c>
      <c r="F13776" s="7" t="s">
        <v>17</v>
      </c>
      <c r="G13776" s="7">
        <v>4076711</v>
      </c>
      <c r="H13776" s="7">
        <v>2490</v>
      </c>
      <c r="I13776" s="7">
        <v>108</v>
      </c>
      <c r="J13776" s="7">
        <v>394</v>
      </c>
      <c r="K13776" s="7" t="s">
        <v>18</v>
      </c>
      <c r="L13776" s="8">
        <v>39987.315405092595</v>
      </c>
      <c r="M13776" s="9" t="s">
        <v>19</v>
      </c>
      <c r="N13776" s="9" t="s">
        <v>20</v>
      </c>
      <c r="O13776" s="6" t="str">
        <f>HYPERLINK("https://pbs.twimg.com/profile_images/962471262747529216/Uo8lOkRJ_normal.jpg","View")</f>
        <v>View</v>
      </c>
      <c r="P13776" s="7"/>
    </row>
    <row r="13777" spans="1:16">
      <c r="A13777" s="3">
        <v>44263.759097222224</v>
      </c>
      <c r="B13777" s="4" t="str">
        <f>HYPERLINK("https://twitter.com/petrogustavo","@petrogustavo")</f>
        <v>@petrogustavo</v>
      </c>
      <c r="C13777" s="5" t="s">
        <v>16</v>
      </c>
      <c r="D13777" s="5" t="s">
        <v>13259</v>
      </c>
      <c r="E13777" s="6" t="str">
        <f>HYPERLINK("https://twitter.com/petrogustavo/status/1368905110798139393","1368905110798139393")</f>
        <v>1368905110798139393</v>
      </c>
      <c r="F13777" s="7" t="s">
        <v>17</v>
      </c>
      <c r="G13777" s="7">
        <v>4076682</v>
      </c>
      <c r="H13777" s="7">
        <v>2490</v>
      </c>
      <c r="I13777" s="7">
        <v>70</v>
      </c>
      <c r="J13777" s="7">
        <v>142</v>
      </c>
      <c r="K13777" s="7" t="s">
        <v>18</v>
      </c>
      <c r="L13777" s="8">
        <v>39987.315405092595</v>
      </c>
      <c r="M13777" s="9" t="s">
        <v>19</v>
      </c>
      <c r="N13777" s="9" t="s">
        <v>20</v>
      </c>
      <c r="O13777" s="6" t="str">
        <f>HYPERLINK("https://pbs.twimg.com/profile_images/962471262747529216/Uo8lOkRJ_normal.jpg","View")</f>
        <v>View</v>
      </c>
      <c r="P13777" s="7"/>
    </row>
    <row r="13778" spans="1:16">
      <c r="A13778" s="3">
        <v>44263.770810185189</v>
      </c>
      <c r="B13778" s="4" t="str">
        <f>HYPERLINK("https://twitter.com/petrogustavo","@petrogustavo")</f>
        <v>@petrogustavo</v>
      </c>
      <c r="C13778" s="5" t="s">
        <v>16</v>
      </c>
      <c r="D13778" s="5" t="s">
        <v>13260</v>
      </c>
      <c r="E13778" s="6" t="str">
        <f>HYPERLINK("https://twitter.com/petrogustavo/status/1368909355152728069","1368909355152728069")</f>
        <v>1368909355152728069</v>
      </c>
      <c r="F13778" s="7" t="s">
        <v>17</v>
      </c>
      <c r="G13778" s="7">
        <v>4076682</v>
      </c>
      <c r="H13778" s="7">
        <v>2490</v>
      </c>
      <c r="I13778" s="7">
        <v>30</v>
      </c>
      <c r="J13778" s="7">
        <v>61</v>
      </c>
      <c r="K13778" s="7" t="s">
        <v>18</v>
      </c>
      <c r="L13778" s="8">
        <v>39987.315405092595</v>
      </c>
      <c r="M13778" s="9" t="s">
        <v>19</v>
      </c>
      <c r="N13778" s="9" t="s">
        <v>20</v>
      </c>
      <c r="O13778" s="6" t="str">
        <f>HYPERLINK("https://pbs.twimg.com/profile_images/962471262747529216/Uo8lOkRJ_normal.jpg","View")</f>
        <v>View</v>
      </c>
      <c r="P13778" s="7"/>
    </row>
    <row r="13779" spans="1:16">
      <c r="A13779" s="3">
        <v>44263.85125</v>
      </c>
      <c r="B13779" s="4" t="str">
        <f>HYPERLINK("https://twitter.com/petrogustavo","@petrogustavo")</f>
        <v>@petrogustavo</v>
      </c>
      <c r="C13779" s="5" t="s">
        <v>16</v>
      </c>
      <c r="D13779" s="5" t="s">
        <v>13261</v>
      </c>
      <c r="E13779" s="6" t="str">
        <f>HYPERLINK("https://twitter.com/petrogustavo/status/1368938509617274885","1368938509617274885")</f>
        <v>1368938509617274885</v>
      </c>
      <c r="F13779" s="7" t="s">
        <v>17</v>
      </c>
      <c r="G13779" s="7">
        <v>4076725</v>
      </c>
      <c r="H13779" s="7">
        <v>2490</v>
      </c>
      <c r="I13779" s="7">
        <v>80</v>
      </c>
      <c r="J13779" s="7">
        <v>500</v>
      </c>
      <c r="K13779" s="7" t="s">
        <v>18</v>
      </c>
      <c r="L13779" s="8">
        <v>39987.315405092595</v>
      </c>
      <c r="M13779" s="9" t="s">
        <v>19</v>
      </c>
      <c r="N13779" s="9" t="s">
        <v>20</v>
      </c>
      <c r="O13779" s="6" t="str">
        <f>HYPERLINK("https://pbs.twimg.com/profile_images/962471262747529216/Uo8lOkRJ_normal.jpg","View")</f>
        <v>View</v>
      </c>
      <c r="P13779" s="7"/>
    </row>
    <row r="13780" spans="1:16">
      <c r="A13780" s="3">
        <v>44263.861840277779</v>
      </c>
      <c r="B13780" s="4" t="str">
        <f>HYPERLINK("https://twitter.com/petrogustavo","@petrogustavo")</f>
        <v>@petrogustavo</v>
      </c>
      <c r="C13780" s="5" t="s">
        <v>16</v>
      </c>
      <c r="D13780" s="5" t="s">
        <v>13262</v>
      </c>
      <c r="E13780" s="6" t="str">
        <f>HYPERLINK("https://twitter.com/petrogustavo/status/1368942343882149893","1368942343882149893")</f>
        <v>1368942343882149893</v>
      </c>
      <c r="F13780" s="7" t="s">
        <v>17</v>
      </c>
      <c r="G13780" s="7">
        <v>4076732</v>
      </c>
      <c r="H13780" s="7">
        <v>2489</v>
      </c>
      <c r="I13780" s="7">
        <v>41</v>
      </c>
      <c r="J13780" s="7">
        <v>0</v>
      </c>
      <c r="K13780" s="7" t="s">
        <v>18</v>
      </c>
      <c r="L13780" s="8">
        <v>39987.315405092595</v>
      </c>
      <c r="M13780" s="9" t="s">
        <v>19</v>
      </c>
      <c r="N13780" s="9" t="s">
        <v>20</v>
      </c>
      <c r="O13780" s="6" t="str">
        <f>HYPERLINK("https://pbs.twimg.com/profile_images/962471262747529216/Uo8lOkRJ_normal.jpg","View")</f>
        <v>View</v>
      </c>
      <c r="P13780" s="7"/>
    </row>
    <row r="13781" spans="1:16">
      <c r="A13781" s="3">
        <v>44263.864502314813</v>
      </c>
      <c r="B13781" s="4" t="str">
        <f>HYPERLINK("https://twitter.com/petrogustavo","@petrogustavo")</f>
        <v>@petrogustavo</v>
      </c>
      <c r="C13781" s="5" t="s">
        <v>16</v>
      </c>
      <c r="D13781" s="5" t="s">
        <v>13263</v>
      </c>
      <c r="E13781" s="6" t="str">
        <f>HYPERLINK("https://twitter.com/petrogustavo/status/1368943311357177861","1368943311357177861")</f>
        <v>1368943311357177861</v>
      </c>
      <c r="F13781" s="7" t="s">
        <v>17</v>
      </c>
      <c r="G13781" s="7">
        <v>4076732</v>
      </c>
      <c r="H13781" s="7">
        <v>2489</v>
      </c>
      <c r="I13781" s="7">
        <v>20</v>
      </c>
      <c r="J13781" s="7">
        <v>0</v>
      </c>
      <c r="K13781" s="7" t="s">
        <v>18</v>
      </c>
      <c r="L13781" s="8">
        <v>39987.315405092595</v>
      </c>
      <c r="M13781" s="9" t="s">
        <v>19</v>
      </c>
      <c r="N13781" s="9" t="s">
        <v>20</v>
      </c>
      <c r="O13781" s="6" t="str">
        <f>HYPERLINK("https://pbs.twimg.com/profile_images/962471262747529216/Uo8lOkRJ_normal.jpg","View")</f>
        <v>View</v>
      </c>
      <c r="P13781" s="7"/>
    </row>
    <row r="13782" spans="1:16">
      <c r="A13782" s="3">
        <v>44263.868287037039</v>
      </c>
      <c r="B13782" s="4" t="str">
        <f>HYPERLINK("https://twitter.com/petrogustavo","@petrogustavo")</f>
        <v>@petrogustavo</v>
      </c>
      <c r="C13782" s="5" t="s">
        <v>16</v>
      </c>
      <c r="D13782" s="5" t="s">
        <v>13264</v>
      </c>
      <c r="E13782" s="6" t="str">
        <f>HYPERLINK("https://twitter.com/petrogustavo/status/1368944680579239938","1368944680579239938")</f>
        <v>1368944680579239938</v>
      </c>
      <c r="F13782" s="7" t="s">
        <v>17</v>
      </c>
      <c r="G13782" s="7">
        <v>4076732</v>
      </c>
      <c r="H13782" s="7">
        <v>2489</v>
      </c>
      <c r="I13782" s="7">
        <v>53</v>
      </c>
      <c r="J13782" s="7">
        <v>117</v>
      </c>
      <c r="K13782" s="7" t="s">
        <v>18</v>
      </c>
      <c r="L13782" s="8">
        <v>39987.315405092595</v>
      </c>
      <c r="M13782" s="9" t="s">
        <v>19</v>
      </c>
      <c r="N13782" s="9" t="s">
        <v>20</v>
      </c>
      <c r="O13782" s="6" t="str">
        <f>HYPERLINK("https://pbs.twimg.com/profile_images/962471262747529216/Uo8lOkRJ_normal.jpg","View")</f>
        <v>View</v>
      </c>
      <c r="P13782" s="7"/>
    </row>
    <row r="13783" spans="1:16">
      <c r="A13783" s="3">
        <v>44263.926817129628</v>
      </c>
      <c r="B13783" s="4" t="str">
        <f>HYPERLINK("https://twitter.com/petrogustavo","@petrogustavo")</f>
        <v>@petrogustavo</v>
      </c>
      <c r="C13783" s="5" t="s">
        <v>16</v>
      </c>
      <c r="D13783" s="5" t="s">
        <v>13265</v>
      </c>
      <c r="E13783" s="6" t="str">
        <f>HYPERLINK("https://twitter.com/petrogustavo/status/1368965891514376195","1368965891514376195")</f>
        <v>1368965891514376195</v>
      </c>
      <c r="F13783" s="7" t="s">
        <v>17</v>
      </c>
      <c r="G13783" s="7">
        <v>4076754</v>
      </c>
      <c r="H13783" s="7">
        <v>2490</v>
      </c>
      <c r="I13783" s="7">
        <v>93</v>
      </c>
      <c r="J13783" s="7">
        <v>199</v>
      </c>
      <c r="K13783" s="7" t="s">
        <v>18</v>
      </c>
      <c r="L13783" s="8">
        <v>39987.315405092595</v>
      </c>
      <c r="M13783" s="9" t="s">
        <v>19</v>
      </c>
      <c r="N13783" s="9" t="s">
        <v>20</v>
      </c>
      <c r="O13783" s="6" t="str">
        <f>HYPERLINK("https://pbs.twimg.com/profile_images/962471262747529216/Uo8lOkRJ_normal.jpg","View")</f>
        <v>View</v>
      </c>
      <c r="P13783" s="7"/>
    </row>
    <row r="13784" spans="1:16">
      <c r="A13784" s="3">
        <v>44263.940555555557</v>
      </c>
      <c r="B13784" s="4" t="str">
        <f>HYPERLINK("https://twitter.com/petrogustavo","@petrogustavo")</f>
        <v>@petrogustavo</v>
      </c>
      <c r="C13784" s="5" t="s">
        <v>16</v>
      </c>
      <c r="D13784" s="5" t="s">
        <v>13266</v>
      </c>
      <c r="E13784" s="6" t="str">
        <f>HYPERLINK("https://twitter.com/petrogustavo/status/1368970872250372098","1368970872250372098")</f>
        <v>1368970872250372098</v>
      </c>
      <c r="F13784" s="7" t="s">
        <v>17</v>
      </c>
      <c r="G13784" s="7">
        <v>4076754</v>
      </c>
      <c r="H13784" s="7">
        <v>2490</v>
      </c>
      <c r="I13784" s="7">
        <v>0</v>
      </c>
      <c r="J13784" s="7">
        <v>0</v>
      </c>
      <c r="K13784" s="7" t="s">
        <v>18</v>
      </c>
      <c r="L13784" s="8">
        <v>39987.315405092595</v>
      </c>
      <c r="M13784" s="9" t="s">
        <v>19</v>
      </c>
      <c r="N13784" s="9" t="s">
        <v>20</v>
      </c>
      <c r="O13784" s="6" t="str">
        <f>HYPERLINK("https://pbs.twimg.com/profile_images/962471262747529216/Uo8lOkRJ_normal.jpg","View")</f>
        <v>View</v>
      </c>
      <c r="P13784" s="7"/>
    </row>
    <row r="13785" spans="1:16">
      <c r="A13785" s="3">
        <v>44264.003032407403</v>
      </c>
      <c r="B13785" s="4" t="str">
        <f>HYPERLINK("https://twitter.com/petrogustavo","@petrogustavo")</f>
        <v>@petrogustavo</v>
      </c>
      <c r="C13785" s="5" t="s">
        <v>16</v>
      </c>
      <c r="D13785" s="5" t="s">
        <v>13267</v>
      </c>
      <c r="E13785" s="6" t="str">
        <f>HYPERLINK("https://twitter.com/petrogustavo/status/1368993511656292353","1368993511656292353")</f>
        <v>1368993511656292353</v>
      </c>
      <c r="F13785" s="7" t="s">
        <v>17</v>
      </c>
      <c r="G13785" s="7">
        <v>4076775</v>
      </c>
      <c r="H13785" s="7">
        <v>2490</v>
      </c>
      <c r="I13785" s="7">
        <v>257</v>
      </c>
      <c r="J13785" s="7">
        <v>0</v>
      </c>
      <c r="K13785" s="7" t="s">
        <v>18</v>
      </c>
      <c r="L13785" s="8">
        <v>39987.315405092595</v>
      </c>
      <c r="M13785" s="9" t="s">
        <v>19</v>
      </c>
      <c r="N13785" s="9" t="s">
        <v>20</v>
      </c>
      <c r="O13785" s="6" t="str">
        <f>HYPERLINK("https://pbs.twimg.com/profile_images/962471262747529216/Uo8lOkRJ_normal.jpg","View")</f>
        <v>View</v>
      </c>
      <c r="P13785" s="7"/>
    </row>
    <row r="13786" spans="1:16">
      <c r="A13786" s="3">
        <v>44264.095925925925</v>
      </c>
      <c r="B13786" s="4" t="str">
        <f>HYPERLINK("https://twitter.com/petrogustavo","@petrogustavo")</f>
        <v>@petrogustavo</v>
      </c>
      <c r="C13786" s="5" t="s">
        <v>16</v>
      </c>
      <c r="D13786" s="5" t="s">
        <v>13268</v>
      </c>
      <c r="E13786" s="6" t="str">
        <f>HYPERLINK("https://twitter.com/petrogustavo/status/1369027174569816072","1369027174569816072")</f>
        <v>1369027174569816072</v>
      </c>
      <c r="F13786" s="7" t="s">
        <v>17</v>
      </c>
      <c r="G13786" s="7">
        <v>4076825</v>
      </c>
      <c r="H13786" s="7">
        <v>2490</v>
      </c>
      <c r="I13786" s="7">
        <v>148</v>
      </c>
      <c r="J13786" s="7">
        <v>379</v>
      </c>
      <c r="K13786" s="7" t="s">
        <v>18</v>
      </c>
      <c r="L13786" s="8">
        <v>39987.315405092595</v>
      </c>
      <c r="M13786" s="9" t="s">
        <v>19</v>
      </c>
      <c r="N13786" s="9" t="s">
        <v>20</v>
      </c>
      <c r="O13786" s="6" t="str">
        <f>HYPERLINK("https://pbs.twimg.com/profile_images/962471262747529216/Uo8lOkRJ_normal.jpg","View")</f>
        <v>View</v>
      </c>
      <c r="P13786" s="7"/>
    </row>
    <row r="13787" spans="1:16">
      <c r="A13787" s="3">
        <v>44264.125150462962</v>
      </c>
      <c r="B13787" s="4" t="str">
        <f>HYPERLINK("https://twitter.com/petrogustavo","@petrogustavo")</f>
        <v>@petrogustavo</v>
      </c>
      <c r="C13787" s="5" t="s">
        <v>16</v>
      </c>
      <c r="D13787" s="5" t="s">
        <v>13269</v>
      </c>
      <c r="E13787" s="6" t="str">
        <f>HYPERLINK("https://twitter.com/petrogustavo/status/1369037764814077952","1369037764814077952")</f>
        <v>1369037764814077952</v>
      </c>
      <c r="F13787" s="7" t="s">
        <v>17</v>
      </c>
      <c r="G13787" s="7">
        <v>4076839</v>
      </c>
      <c r="H13787" s="7">
        <v>2490</v>
      </c>
      <c r="I13787" s="7">
        <v>5356</v>
      </c>
      <c r="J13787" s="7">
        <v>0</v>
      </c>
      <c r="K13787" s="7" t="s">
        <v>18</v>
      </c>
      <c r="L13787" s="8">
        <v>39987.315405092595</v>
      </c>
      <c r="M13787" s="9" t="s">
        <v>19</v>
      </c>
      <c r="N13787" s="9" t="s">
        <v>20</v>
      </c>
      <c r="O13787" s="6" t="str">
        <f>HYPERLINK("https://pbs.twimg.com/profile_images/962471262747529216/Uo8lOkRJ_normal.jpg","View")</f>
        <v>View</v>
      </c>
      <c r="P13787" s="7"/>
    </row>
    <row r="13788" spans="1:16">
      <c r="A13788" s="3">
        <v>44264.13663194445</v>
      </c>
      <c r="B13788" s="4" t="str">
        <f>HYPERLINK("https://twitter.com/petrogustavo","@petrogustavo")</f>
        <v>@petrogustavo</v>
      </c>
      <c r="C13788" s="5" t="s">
        <v>16</v>
      </c>
      <c r="D13788" s="5" t="s">
        <v>13270</v>
      </c>
      <c r="E13788" s="6" t="str">
        <f>HYPERLINK("https://twitter.com/petrogustavo/status/1369041925597200385","1369041925597200385")</f>
        <v>1369041925597200385</v>
      </c>
      <c r="F13788" s="7" t="s">
        <v>17</v>
      </c>
      <c r="G13788" s="7">
        <v>4076844</v>
      </c>
      <c r="H13788" s="7">
        <v>2491</v>
      </c>
      <c r="I13788" s="7">
        <v>193</v>
      </c>
      <c r="J13788" s="7">
        <v>0</v>
      </c>
      <c r="K13788" s="7" t="s">
        <v>18</v>
      </c>
      <c r="L13788" s="8">
        <v>39987.315405092595</v>
      </c>
      <c r="M13788" s="9" t="s">
        <v>19</v>
      </c>
      <c r="N13788" s="9" t="s">
        <v>20</v>
      </c>
      <c r="O13788" s="6" t="str">
        <f>HYPERLINK("https://pbs.twimg.com/profile_images/962471262747529216/Uo8lOkRJ_normal.jpg","View")</f>
        <v>View</v>
      </c>
      <c r="P13788" s="7"/>
    </row>
    <row r="13789" spans="1:16">
      <c r="A13789" s="3">
        <v>44264.139062499999</v>
      </c>
      <c r="B13789" s="4" t="str">
        <f>HYPERLINK("https://twitter.com/petrogustavo","@petrogustavo")</f>
        <v>@petrogustavo</v>
      </c>
      <c r="C13789" s="5" t="s">
        <v>16</v>
      </c>
      <c r="D13789" s="5" t="s">
        <v>13267</v>
      </c>
      <c r="E13789" s="6" t="str">
        <f>HYPERLINK("https://twitter.com/petrogustavo/status/1369042806350700548","1369042806350700548")</f>
        <v>1369042806350700548</v>
      </c>
      <c r="F13789" s="7" t="s">
        <v>17</v>
      </c>
      <c r="G13789" s="7">
        <v>4076844</v>
      </c>
      <c r="H13789" s="7">
        <v>2491</v>
      </c>
      <c r="I13789" s="7">
        <v>370</v>
      </c>
      <c r="J13789" s="7">
        <v>0</v>
      </c>
      <c r="K13789" s="7" t="s">
        <v>18</v>
      </c>
      <c r="L13789" s="8">
        <v>39987.315405092595</v>
      </c>
      <c r="M13789" s="9" t="s">
        <v>19</v>
      </c>
      <c r="N13789" s="9" t="s">
        <v>20</v>
      </c>
      <c r="O13789" s="6" t="str">
        <f>HYPERLINK("https://pbs.twimg.com/profile_images/962471262747529216/Uo8lOkRJ_normal.jpg","View")</f>
        <v>View</v>
      </c>
      <c r="P13789" s="7"/>
    </row>
    <row r="13790" spans="1:16">
      <c r="A13790" s="3">
        <v>44264.7578125</v>
      </c>
      <c r="B13790" s="4" t="str">
        <f>HYPERLINK("https://twitter.com/petrogustavo","@petrogustavo")</f>
        <v>@petrogustavo</v>
      </c>
      <c r="C13790" s="5" t="s">
        <v>16</v>
      </c>
      <c r="D13790" s="5" t="s">
        <v>13271</v>
      </c>
      <c r="E13790" s="6" t="str">
        <f>HYPERLINK("https://twitter.com/petrogustavo/status/1369267035243503617","1369267035243503617")</f>
        <v>1369267035243503617</v>
      </c>
      <c r="F13790" s="7" t="s">
        <v>17</v>
      </c>
      <c r="G13790" s="7">
        <v>4077030</v>
      </c>
      <c r="H13790" s="7">
        <v>2492</v>
      </c>
      <c r="I13790" s="7">
        <v>66</v>
      </c>
      <c r="J13790" s="7">
        <v>0</v>
      </c>
      <c r="K13790" s="7" t="s">
        <v>18</v>
      </c>
      <c r="L13790" s="8">
        <v>39987.315405092595</v>
      </c>
      <c r="M13790" s="9" t="s">
        <v>19</v>
      </c>
      <c r="N13790" s="9" t="s">
        <v>20</v>
      </c>
      <c r="O13790" s="6" t="str">
        <f>HYPERLINK("https://pbs.twimg.com/profile_images/962471262747529216/Uo8lOkRJ_normal.jpg","View")</f>
        <v>View</v>
      </c>
      <c r="P13790" s="7"/>
    </row>
    <row r="13791" spans="1:16">
      <c r="A13791" s="3">
        <v>44264.857824074075</v>
      </c>
      <c r="B13791" s="4" t="str">
        <f>HYPERLINK("https://twitter.com/petrogustavo","@petrogustavo")</f>
        <v>@petrogustavo</v>
      </c>
      <c r="C13791" s="5" t="s">
        <v>16</v>
      </c>
      <c r="D13791" s="5" t="s">
        <v>13272</v>
      </c>
      <c r="E13791" s="6" t="str">
        <f>HYPERLINK("https://twitter.com/petrogustavo/status/1369303276701822978","1369303276701822978")</f>
        <v>1369303276701822978</v>
      </c>
      <c r="F13791" s="7" t="s">
        <v>17</v>
      </c>
      <c r="G13791" s="7">
        <v>4077094</v>
      </c>
      <c r="H13791" s="7">
        <v>2492</v>
      </c>
      <c r="I13791" s="7">
        <v>122</v>
      </c>
      <c r="J13791" s="7">
        <v>410</v>
      </c>
      <c r="K13791" s="7" t="s">
        <v>18</v>
      </c>
      <c r="L13791" s="8">
        <v>39987.315405092595</v>
      </c>
      <c r="M13791" s="9" t="s">
        <v>19</v>
      </c>
      <c r="N13791" s="9" t="s">
        <v>20</v>
      </c>
      <c r="O13791" s="6" t="str">
        <f>HYPERLINK("https://pbs.twimg.com/profile_images/962471262747529216/Uo8lOkRJ_normal.jpg","View")</f>
        <v>View</v>
      </c>
      <c r="P13791" s="7"/>
    </row>
    <row r="13792" spans="1:16">
      <c r="A13792" s="3">
        <v>44264.868275462963</v>
      </c>
      <c r="B13792" s="4" t="str">
        <f>HYPERLINK("https://twitter.com/petrogustavo","@petrogustavo")</f>
        <v>@petrogustavo</v>
      </c>
      <c r="C13792" s="5" t="s">
        <v>16</v>
      </c>
      <c r="D13792" s="5" t="s">
        <v>13273</v>
      </c>
      <c r="E13792" s="6" t="str">
        <f>HYPERLINK("https://twitter.com/petrogustavo/status/1369307066611929090","1369307066611929090")</f>
        <v>1369307066611929090</v>
      </c>
      <c r="F13792" s="7" t="s">
        <v>17</v>
      </c>
      <c r="G13792" s="7">
        <v>4077094</v>
      </c>
      <c r="H13792" s="7">
        <v>2492</v>
      </c>
      <c r="I13792" s="7">
        <v>395</v>
      </c>
      <c r="J13792" s="7">
        <v>0</v>
      </c>
      <c r="K13792" s="7" t="s">
        <v>18</v>
      </c>
      <c r="L13792" s="8">
        <v>39987.315405092595</v>
      </c>
      <c r="M13792" s="9" t="s">
        <v>19</v>
      </c>
      <c r="N13792" s="9" t="s">
        <v>20</v>
      </c>
      <c r="O13792" s="6" t="str">
        <f>HYPERLINK("https://pbs.twimg.com/profile_images/962471262747529216/Uo8lOkRJ_normal.jpg","View")</f>
        <v>View</v>
      </c>
      <c r="P13792" s="7"/>
    </row>
    <row r="13793" spans="1:16">
      <c r="A13793" s="3">
        <v>44264.971145833333</v>
      </c>
      <c r="B13793" s="4" t="str">
        <f>HYPERLINK("https://twitter.com/petrogustavo","@petrogustavo")</f>
        <v>@petrogustavo</v>
      </c>
      <c r="C13793" s="5" t="s">
        <v>16</v>
      </c>
      <c r="D13793" s="5" t="s">
        <v>13274</v>
      </c>
      <c r="E13793" s="6" t="str">
        <f>HYPERLINK("https://twitter.com/petrogustavo/status/1369344344277348353","1369344344277348353")</f>
        <v>1369344344277348353</v>
      </c>
      <c r="F13793" s="7" t="s">
        <v>17</v>
      </c>
      <c r="G13793" s="7">
        <v>4077171</v>
      </c>
      <c r="H13793" s="7">
        <v>2492</v>
      </c>
      <c r="I13793" s="7">
        <v>311</v>
      </c>
      <c r="J13793" s="7">
        <v>941</v>
      </c>
      <c r="K13793" s="7" t="s">
        <v>18</v>
      </c>
      <c r="L13793" s="8">
        <v>39987.315405092595</v>
      </c>
      <c r="M13793" s="9" t="s">
        <v>19</v>
      </c>
      <c r="N13793" s="9" t="s">
        <v>20</v>
      </c>
      <c r="O13793" s="6" t="str">
        <f>HYPERLINK("https://pbs.twimg.com/profile_images/962471262747529216/Uo8lOkRJ_normal.jpg","View")</f>
        <v>View</v>
      </c>
      <c r="P13793" s="7"/>
    </row>
    <row r="13794" spans="1:16">
      <c r="A13794" s="3">
        <v>44264.986157407402</v>
      </c>
      <c r="B13794" s="4" t="str">
        <f>HYPERLINK("https://twitter.com/petrogustavo","@petrogustavo")</f>
        <v>@petrogustavo</v>
      </c>
      <c r="C13794" s="5" t="s">
        <v>16</v>
      </c>
      <c r="D13794" s="5" t="s">
        <v>13275</v>
      </c>
      <c r="E13794" s="6" t="str">
        <f>HYPERLINK("https://twitter.com/petrogustavo/status/1369349785237520386","1369349785237520386")</f>
        <v>1369349785237520386</v>
      </c>
      <c r="F13794" s="7" t="s">
        <v>17</v>
      </c>
      <c r="G13794" s="7">
        <v>4077185</v>
      </c>
      <c r="H13794" s="7">
        <v>2492</v>
      </c>
      <c r="I13794" s="7">
        <v>240</v>
      </c>
      <c r="J13794" s="7">
        <v>917</v>
      </c>
      <c r="K13794" s="7" t="s">
        <v>18</v>
      </c>
      <c r="L13794" s="8">
        <v>39987.315405092595</v>
      </c>
      <c r="M13794" s="9" t="s">
        <v>19</v>
      </c>
      <c r="N13794" s="9" t="s">
        <v>20</v>
      </c>
      <c r="O13794" s="6" t="str">
        <f>HYPERLINK("https://pbs.twimg.com/profile_images/962471262747529216/Uo8lOkRJ_normal.jpg","View")</f>
        <v>View</v>
      </c>
      <c r="P13794" s="7"/>
    </row>
    <row r="13795" spans="1:16">
      <c r="A13795" s="3">
        <v>44264.988854166666</v>
      </c>
      <c r="B13795" s="4" t="str">
        <f>HYPERLINK("https://twitter.com/petrogustavo","@petrogustavo")</f>
        <v>@petrogustavo</v>
      </c>
      <c r="C13795" s="5" t="s">
        <v>16</v>
      </c>
      <c r="D13795" s="5" t="s">
        <v>13276</v>
      </c>
      <c r="E13795" s="6" t="str">
        <f>HYPERLINK("https://twitter.com/petrogustavo/status/1369350762258722825","1369350762258722825")</f>
        <v>1369350762258722825</v>
      </c>
      <c r="F13795" s="7" t="s">
        <v>17</v>
      </c>
      <c r="G13795" s="7">
        <v>4077185</v>
      </c>
      <c r="H13795" s="7">
        <v>2492</v>
      </c>
      <c r="I13795" s="7">
        <v>755</v>
      </c>
      <c r="J13795" s="7">
        <v>0</v>
      </c>
      <c r="K13795" s="7" t="s">
        <v>18</v>
      </c>
      <c r="L13795" s="8">
        <v>39987.315405092595</v>
      </c>
      <c r="M13795" s="9" t="s">
        <v>19</v>
      </c>
      <c r="N13795" s="9" t="s">
        <v>20</v>
      </c>
      <c r="O13795" s="6" t="str">
        <f>HYPERLINK("https://pbs.twimg.com/profile_images/962471262747529216/Uo8lOkRJ_normal.jpg","View")</f>
        <v>View</v>
      </c>
      <c r="P13795" s="7"/>
    </row>
    <row r="13796" spans="1:16">
      <c r="A13796" s="3">
        <v>44264.994629629626</v>
      </c>
      <c r="B13796" s="4" t="str">
        <f>HYPERLINK("https://twitter.com/petrogustavo","@petrogustavo")</f>
        <v>@petrogustavo</v>
      </c>
      <c r="C13796" s="5" t="s">
        <v>16</v>
      </c>
      <c r="D13796" s="5" t="s">
        <v>13277</v>
      </c>
      <c r="E13796" s="6" t="str">
        <f>HYPERLINK("https://twitter.com/petrogustavo/status/1369352855224791042","1369352855224791042")</f>
        <v>1369352855224791042</v>
      </c>
      <c r="F13796" s="7" t="s">
        <v>17</v>
      </c>
      <c r="G13796" s="7">
        <v>4077185</v>
      </c>
      <c r="H13796" s="7">
        <v>2492</v>
      </c>
      <c r="I13796" s="7">
        <v>72</v>
      </c>
      <c r="J13796" s="7">
        <v>238</v>
      </c>
      <c r="K13796" s="7" t="s">
        <v>18</v>
      </c>
      <c r="L13796" s="8">
        <v>39987.315405092595</v>
      </c>
      <c r="M13796" s="9" t="s">
        <v>19</v>
      </c>
      <c r="N13796" s="9" t="s">
        <v>20</v>
      </c>
      <c r="O13796" s="6" t="str">
        <f>HYPERLINK("https://pbs.twimg.com/profile_images/962471262747529216/Uo8lOkRJ_normal.jpg","View")</f>
        <v>View</v>
      </c>
      <c r="P13796" s="7"/>
    </row>
    <row r="13797" spans="1:16">
      <c r="A13797" s="3">
        <v>44264.996018518519</v>
      </c>
      <c r="B13797" s="4" t="str">
        <f>HYPERLINK("https://twitter.com/petrogustavo","@petrogustavo")</f>
        <v>@petrogustavo</v>
      </c>
      <c r="C13797" s="5" t="s">
        <v>16</v>
      </c>
      <c r="D13797" s="5" t="s">
        <v>13278</v>
      </c>
      <c r="E13797" s="6" t="str">
        <f>HYPERLINK("https://twitter.com/petrogustavo/status/1369353358826496000","1369353358826496000")</f>
        <v>1369353358826496000</v>
      </c>
      <c r="F13797" s="7" t="s">
        <v>17</v>
      </c>
      <c r="G13797" s="7">
        <v>4077185</v>
      </c>
      <c r="H13797" s="7">
        <v>2492</v>
      </c>
      <c r="I13797" s="7">
        <v>31</v>
      </c>
      <c r="J13797" s="7">
        <v>83</v>
      </c>
      <c r="K13797" s="7" t="s">
        <v>18</v>
      </c>
      <c r="L13797" s="8">
        <v>39987.315405092595</v>
      </c>
      <c r="M13797" s="9" t="s">
        <v>19</v>
      </c>
      <c r="N13797" s="9" t="s">
        <v>20</v>
      </c>
      <c r="O13797" s="6" t="str">
        <f>HYPERLINK("https://pbs.twimg.com/profile_images/962471262747529216/Uo8lOkRJ_normal.jpg","View")</f>
        <v>View</v>
      </c>
      <c r="P13797" s="7"/>
    </row>
    <row r="13798" spans="1:16">
      <c r="A13798" s="3">
        <v>44264.999502314815</v>
      </c>
      <c r="B13798" s="4" t="str">
        <f>HYPERLINK("https://twitter.com/petrogustavo","@petrogustavo")</f>
        <v>@petrogustavo</v>
      </c>
      <c r="C13798" s="5" t="s">
        <v>16</v>
      </c>
      <c r="D13798" s="5" t="s">
        <v>13279</v>
      </c>
      <c r="E13798" s="6" t="str">
        <f>HYPERLINK("https://twitter.com/petrogustavo/status/1369354620770848774","1369354620770848774")</f>
        <v>1369354620770848774</v>
      </c>
      <c r="F13798" s="7" t="s">
        <v>17</v>
      </c>
      <c r="G13798" s="7">
        <v>4077185</v>
      </c>
      <c r="H13798" s="7">
        <v>2492</v>
      </c>
      <c r="I13798" s="7">
        <v>64</v>
      </c>
      <c r="J13798" s="7">
        <v>0</v>
      </c>
      <c r="K13798" s="7" t="s">
        <v>18</v>
      </c>
      <c r="L13798" s="8">
        <v>39987.315405092595</v>
      </c>
      <c r="M13798" s="9" t="s">
        <v>19</v>
      </c>
      <c r="N13798" s="9" t="s">
        <v>20</v>
      </c>
      <c r="O13798" s="6" t="str">
        <f>HYPERLINK("https://pbs.twimg.com/profile_images/962471262747529216/Uo8lOkRJ_normal.jpg","View")</f>
        <v>View</v>
      </c>
      <c r="P13798" s="7"/>
    </row>
    <row r="13799" spans="1:16">
      <c r="A13799" s="3">
        <v>44265.008796296301</v>
      </c>
      <c r="B13799" s="4" t="str">
        <f>HYPERLINK("https://twitter.com/petrogustavo","@petrogustavo")</f>
        <v>@petrogustavo</v>
      </c>
      <c r="C13799" s="5" t="s">
        <v>16</v>
      </c>
      <c r="D13799" s="5" t="s">
        <v>13280</v>
      </c>
      <c r="E13799" s="6" t="str">
        <f>HYPERLINK("https://twitter.com/petrogustavo/status/1369357987618451467","1369357987618451467")</f>
        <v>1369357987618451467</v>
      </c>
      <c r="F13799" s="7" t="s">
        <v>17</v>
      </c>
      <c r="G13799" s="7">
        <v>4077202</v>
      </c>
      <c r="H13799" s="7">
        <v>2492</v>
      </c>
      <c r="I13799" s="7">
        <v>59</v>
      </c>
      <c r="J13799" s="7">
        <v>154</v>
      </c>
      <c r="K13799" s="7" t="s">
        <v>18</v>
      </c>
      <c r="L13799" s="8">
        <v>39987.315405092595</v>
      </c>
      <c r="M13799" s="9" t="s">
        <v>19</v>
      </c>
      <c r="N13799" s="9" t="s">
        <v>20</v>
      </c>
      <c r="O13799" s="6" t="str">
        <f>HYPERLINK("https://pbs.twimg.com/profile_images/962471262747529216/Uo8lOkRJ_normal.jpg","View")</f>
        <v>View</v>
      </c>
      <c r="P13799" s="7"/>
    </row>
    <row r="13800" spans="1:16">
      <c r="A13800" s="3">
        <v>44265.010844907403</v>
      </c>
      <c r="B13800" s="4" t="str">
        <f>HYPERLINK("https://twitter.com/petrogustavo","@petrogustavo")</f>
        <v>@petrogustavo</v>
      </c>
      <c r="C13800" s="5" t="s">
        <v>16</v>
      </c>
      <c r="D13800" s="5" t="s">
        <v>29</v>
      </c>
      <c r="E13800" s="6" t="str">
        <f>HYPERLINK("https://twitter.com/petrogustavo/status/1369358732178714635","1369358732178714635")</f>
        <v>1369358732178714635</v>
      </c>
      <c r="F13800" s="7" t="s">
        <v>17</v>
      </c>
      <c r="G13800" s="7">
        <v>4077202</v>
      </c>
      <c r="H13800" s="7">
        <v>2492</v>
      </c>
      <c r="I13800" s="7">
        <v>1055</v>
      </c>
      <c r="J13800" s="7">
        <v>0</v>
      </c>
      <c r="K13800" s="7" t="s">
        <v>18</v>
      </c>
      <c r="L13800" s="8">
        <v>39987.315405092595</v>
      </c>
      <c r="M13800" s="9" t="s">
        <v>19</v>
      </c>
      <c r="N13800" s="9" t="s">
        <v>20</v>
      </c>
      <c r="O13800" s="6" t="str">
        <f>HYPERLINK("https://pbs.twimg.com/profile_images/962471262747529216/Uo8lOkRJ_normal.jpg","View")</f>
        <v>View</v>
      </c>
      <c r="P13800" s="7"/>
    </row>
    <row r="13801" spans="1:16">
      <c r="A13801" s="3">
        <v>44265.676979166667</v>
      </c>
      <c r="B13801" s="4" t="str">
        <f>HYPERLINK("https://twitter.com/petrogustavo","@petrogustavo")</f>
        <v>@petrogustavo</v>
      </c>
      <c r="C13801" s="5" t="s">
        <v>16</v>
      </c>
      <c r="D13801" s="5" t="s">
        <v>13281</v>
      </c>
      <c r="E13801" s="6" t="str">
        <f>HYPERLINK("https://twitter.com/petrogustavo/status/1369600128579993600","1369600128579993600")</f>
        <v>1369600128579993600</v>
      </c>
      <c r="F13801" s="7" t="s">
        <v>17</v>
      </c>
      <c r="G13801" s="7">
        <v>4077413</v>
      </c>
      <c r="H13801" s="7">
        <v>2493</v>
      </c>
      <c r="I13801" s="7">
        <v>123</v>
      </c>
      <c r="J13801" s="7">
        <v>199</v>
      </c>
      <c r="K13801" s="7" t="s">
        <v>18</v>
      </c>
      <c r="L13801" s="8">
        <v>39987.315405092595</v>
      </c>
      <c r="M13801" s="9" t="s">
        <v>19</v>
      </c>
      <c r="N13801" s="9" t="s">
        <v>20</v>
      </c>
      <c r="O13801" s="6" t="str">
        <f>HYPERLINK("https://pbs.twimg.com/profile_images/962471262747529216/Uo8lOkRJ_normal.jpg","View")</f>
        <v>View</v>
      </c>
      <c r="P13801" s="7"/>
    </row>
    <row r="13802" spans="1:16">
      <c r="A13802" s="3">
        <v>44265.706655092596</v>
      </c>
      <c r="B13802" s="4" t="str">
        <f>HYPERLINK("https://twitter.com/petrogustavo","@petrogustavo")</f>
        <v>@petrogustavo</v>
      </c>
      <c r="C13802" s="5" t="s">
        <v>16</v>
      </c>
      <c r="D13802" s="5" t="s">
        <v>13282</v>
      </c>
      <c r="E13802" s="6" t="str">
        <f>HYPERLINK("https://twitter.com/petrogustavo/status/1369610883790475264","1369610883790475264")</f>
        <v>1369610883790475264</v>
      </c>
      <c r="F13802" s="7" t="s">
        <v>17</v>
      </c>
      <c r="G13802" s="7">
        <v>4077415</v>
      </c>
      <c r="H13802" s="7">
        <v>2493</v>
      </c>
      <c r="I13802" s="7">
        <v>75</v>
      </c>
      <c r="J13802" s="7">
        <v>139</v>
      </c>
      <c r="K13802" s="7" t="s">
        <v>18</v>
      </c>
      <c r="L13802" s="8">
        <v>39987.315405092595</v>
      </c>
      <c r="M13802" s="9" t="s">
        <v>19</v>
      </c>
      <c r="N13802" s="9" t="s">
        <v>20</v>
      </c>
      <c r="O13802" s="6" t="str">
        <f>HYPERLINK("https://pbs.twimg.com/profile_images/962471262747529216/Uo8lOkRJ_normal.jpg","View")</f>
        <v>View</v>
      </c>
      <c r="P13802" s="7"/>
    </row>
    <row r="13803" spans="1:16">
      <c r="A13803" s="3">
        <v>44265.783078703702</v>
      </c>
      <c r="B13803" s="4" t="str">
        <f>HYPERLINK("https://twitter.com/petrogustavo","@petrogustavo")</f>
        <v>@petrogustavo</v>
      </c>
      <c r="C13803" s="5" t="s">
        <v>16</v>
      </c>
      <c r="D13803" s="5" t="s">
        <v>13283</v>
      </c>
      <c r="E13803" s="6" t="str">
        <f>HYPERLINK("https://twitter.com/petrogustavo/status/1369638577328513034","1369638577328513034")</f>
        <v>1369638577328513034</v>
      </c>
      <c r="F13803" s="7" t="s">
        <v>17</v>
      </c>
      <c r="G13803" s="7">
        <v>4077453</v>
      </c>
      <c r="H13803" s="7">
        <v>2494</v>
      </c>
      <c r="I13803" s="7">
        <v>115</v>
      </c>
      <c r="J13803" s="7">
        <v>313</v>
      </c>
      <c r="K13803" s="7" t="s">
        <v>18</v>
      </c>
      <c r="L13803" s="8">
        <v>39987.315405092595</v>
      </c>
      <c r="M13803" s="9" t="s">
        <v>19</v>
      </c>
      <c r="N13803" s="9" t="s">
        <v>20</v>
      </c>
      <c r="O13803" s="6" t="str">
        <f>HYPERLINK("https://pbs.twimg.com/profile_images/962471262747529216/Uo8lOkRJ_normal.jpg","View")</f>
        <v>View</v>
      </c>
      <c r="P13803" s="7"/>
    </row>
    <row r="13804" spans="1:16">
      <c r="A13804" s="3">
        <v>44265.80069444445</v>
      </c>
      <c r="B13804" s="4" t="str">
        <f>HYPERLINK("https://twitter.com/petrogustavo","@petrogustavo")</f>
        <v>@petrogustavo</v>
      </c>
      <c r="C13804" s="5" t="s">
        <v>16</v>
      </c>
      <c r="D13804" s="5" t="s">
        <v>13284</v>
      </c>
      <c r="E13804" s="6" t="str">
        <f>HYPERLINK("https://twitter.com/petrogustavo/status/1369644964574081028","1369644964574081028")</f>
        <v>1369644964574081028</v>
      </c>
      <c r="F13804" s="7" t="s">
        <v>17</v>
      </c>
      <c r="G13804" s="7">
        <v>4077451</v>
      </c>
      <c r="H13804" s="7">
        <v>2494</v>
      </c>
      <c r="I13804" s="7">
        <v>1442</v>
      </c>
      <c r="J13804" s="7">
        <v>0</v>
      </c>
      <c r="K13804" s="7" t="s">
        <v>18</v>
      </c>
      <c r="L13804" s="8">
        <v>39987.315405092595</v>
      </c>
      <c r="M13804" s="9" t="s">
        <v>19</v>
      </c>
      <c r="N13804" s="9" t="s">
        <v>20</v>
      </c>
      <c r="O13804" s="6" t="str">
        <f>HYPERLINK("https://pbs.twimg.com/profile_images/962471262747529216/Uo8lOkRJ_normal.jpg","View")</f>
        <v>View</v>
      </c>
      <c r="P13804" s="7"/>
    </row>
    <row r="13805" spans="1:16">
      <c r="A13805" s="3">
        <v>44265.855347222227</v>
      </c>
      <c r="B13805" s="4" t="str">
        <f>HYPERLINK("https://twitter.com/petrogustavo","@petrogustavo")</f>
        <v>@petrogustavo</v>
      </c>
      <c r="C13805" s="5" t="s">
        <v>16</v>
      </c>
      <c r="D13805" s="5" t="s">
        <v>13285</v>
      </c>
      <c r="E13805" s="6" t="str">
        <f>HYPERLINK("https://twitter.com/petrogustavo/status/1369664768039129091","1369664768039129091")</f>
        <v>1369664768039129091</v>
      </c>
      <c r="F13805" s="7" t="s">
        <v>17</v>
      </c>
      <c r="G13805" s="7">
        <v>4077474</v>
      </c>
      <c r="H13805" s="7">
        <v>2494</v>
      </c>
      <c r="I13805" s="7">
        <v>52</v>
      </c>
      <c r="J13805" s="7">
        <v>130</v>
      </c>
      <c r="K13805" s="7" t="s">
        <v>18</v>
      </c>
      <c r="L13805" s="8">
        <v>39987.315405092595</v>
      </c>
      <c r="M13805" s="9" t="s">
        <v>19</v>
      </c>
      <c r="N13805" s="9" t="s">
        <v>20</v>
      </c>
      <c r="O13805" s="6" t="str">
        <f>HYPERLINK("https://pbs.twimg.com/profile_images/962471262747529216/Uo8lOkRJ_normal.jpg","View")</f>
        <v>View</v>
      </c>
      <c r="P13805" s="7"/>
    </row>
    <row r="13806" spans="1:16">
      <c r="A13806" s="3">
        <v>44265.975324074076</v>
      </c>
      <c r="B13806" s="4" t="str">
        <f>HYPERLINK("https://twitter.com/petrogustavo","@petrogustavo")</f>
        <v>@petrogustavo</v>
      </c>
      <c r="C13806" s="5" t="s">
        <v>16</v>
      </c>
      <c r="D13806" s="5" t="s">
        <v>13286</v>
      </c>
      <c r="E13806" s="6" t="str">
        <f>HYPERLINK("https://twitter.com/petrogustavo/status/1369708247528116226","1369708247528116226")</f>
        <v>1369708247528116226</v>
      </c>
      <c r="F13806" s="7" t="s">
        <v>17</v>
      </c>
      <c r="G13806" s="7">
        <v>4077523</v>
      </c>
      <c r="H13806" s="7">
        <v>2494</v>
      </c>
      <c r="I13806" s="7">
        <v>124</v>
      </c>
      <c r="J13806" s="7">
        <v>0</v>
      </c>
      <c r="K13806" s="7" t="s">
        <v>18</v>
      </c>
      <c r="L13806" s="8">
        <v>39987.315405092595</v>
      </c>
      <c r="M13806" s="9" t="s">
        <v>19</v>
      </c>
      <c r="N13806" s="9" t="s">
        <v>20</v>
      </c>
      <c r="O13806" s="6" t="str">
        <f>HYPERLINK("https://pbs.twimg.com/profile_images/962471262747529216/Uo8lOkRJ_normal.jpg","View")</f>
        <v>View</v>
      </c>
      <c r="P13806" s="7"/>
    </row>
    <row r="13807" spans="1:16">
      <c r="A13807" s="3">
        <v>44265.990902777776</v>
      </c>
      <c r="B13807" s="4" t="str">
        <f>HYPERLINK("https://twitter.com/petrogustavo","@petrogustavo")</f>
        <v>@petrogustavo</v>
      </c>
      <c r="C13807" s="5" t="s">
        <v>16</v>
      </c>
      <c r="D13807" s="5" t="s">
        <v>13287</v>
      </c>
      <c r="E13807" s="6" t="str">
        <f>HYPERLINK("https://twitter.com/petrogustavo/status/1369713892226723843","1369713892226723843")</f>
        <v>1369713892226723843</v>
      </c>
      <c r="F13807" s="7" t="s">
        <v>17</v>
      </c>
      <c r="G13807" s="7">
        <v>4077541</v>
      </c>
      <c r="H13807" s="7">
        <v>2494</v>
      </c>
      <c r="I13807" s="7">
        <v>411</v>
      </c>
      <c r="J13807" s="7">
        <v>1145</v>
      </c>
      <c r="K13807" s="7" t="s">
        <v>18</v>
      </c>
      <c r="L13807" s="8">
        <v>39987.315405092595</v>
      </c>
      <c r="M13807" s="9" t="s">
        <v>19</v>
      </c>
      <c r="N13807" s="9" t="s">
        <v>20</v>
      </c>
      <c r="O13807" s="6" t="str">
        <f>HYPERLINK("https://pbs.twimg.com/profile_images/962471262747529216/Uo8lOkRJ_normal.jpg","View")</f>
        <v>View</v>
      </c>
      <c r="P13807" s="7"/>
    </row>
    <row r="13808" spans="1:16">
      <c r="A13808" s="3">
        <v>44266.004803240736</v>
      </c>
      <c r="B13808" s="4" t="str">
        <f>HYPERLINK("https://twitter.com/petrogustavo","@petrogustavo")</f>
        <v>@petrogustavo</v>
      </c>
      <c r="C13808" s="5" t="s">
        <v>16</v>
      </c>
      <c r="D13808" s="5" t="s">
        <v>13288</v>
      </c>
      <c r="E13808" s="6" t="str">
        <f>HYPERLINK("https://twitter.com/petrogustavo/status/1369718930609168387","1369718930609168387")</f>
        <v>1369718930609168387</v>
      </c>
      <c r="F13808" s="7" t="s">
        <v>17</v>
      </c>
      <c r="G13808" s="7">
        <v>4077551</v>
      </c>
      <c r="H13808" s="7">
        <v>2494</v>
      </c>
      <c r="I13808" s="7">
        <v>47</v>
      </c>
      <c r="J13808" s="7">
        <v>0</v>
      </c>
      <c r="K13808" s="7" t="s">
        <v>18</v>
      </c>
      <c r="L13808" s="8">
        <v>39987.315405092595</v>
      </c>
      <c r="M13808" s="9" t="s">
        <v>19</v>
      </c>
      <c r="N13808" s="9" t="s">
        <v>20</v>
      </c>
      <c r="O13808" s="6" t="str">
        <f>HYPERLINK("https://pbs.twimg.com/profile_images/962471262747529216/Uo8lOkRJ_normal.jpg","View")</f>
        <v>View</v>
      </c>
      <c r="P13808" s="7"/>
    </row>
    <row r="13809" spans="1:16">
      <c r="A13809" s="3">
        <v>44266.01185185185</v>
      </c>
      <c r="B13809" s="4" t="str">
        <f>HYPERLINK("https://twitter.com/petrogustavo","@petrogustavo")</f>
        <v>@petrogustavo</v>
      </c>
      <c r="C13809" s="5" t="s">
        <v>16</v>
      </c>
      <c r="D13809" s="5" t="s">
        <v>13289</v>
      </c>
      <c r="E13809" s="6" t="str">
        <f>HYPERLINK("https://twitter.com/petrogustavo/status/1369721481639432195","1369721481639432195")</f>
        <v>1369721481639432195</v>
      </c>
      <c r="F13809" s="7" t="s">
        <v>17</v>
      </c>
      <c r="G13809" s="7">
        <v>4077551</v>
      </c>
      <c r="H13809" s="7">
        <v>2494</v>
      </c>
      <c r="I13809" s="7">
        <v>803</v>
      </c>
      <c r="J13809" s="7">
        <v>0</v>
      </c>
      <c r="K13809" s="7" t="s">
        <v>18</v>
      </c>
      <c r="L13809" s="8">
        <v>39987.315405092595</v>
      </c>
      <c r="M13809" s="9" t="s">
        <v>19</v>
      </c>
      <c r="N13809" s="9" t="s">
        <v>20</v>
      </c>
      <c r="O13809" s="6" t="str">
        <f>HYPERLINK("https://pbs.twimg.com/profile_images/962471262747529216/Uo8lOkRJ_normal.jpg","View")</f>
        <v>View</v>
      </c>
      <c r="P13809" s="7"/>
    </row>
    <row r="13810" spans="1:16">
      <c r="A13810" s="3">
        <v>44266.013935185183</v>
      </c>
      <c r="B13810" s="4" t="str">
        <f>HYPERLINK("https://twitter.com/petrogustavo","@petrogustavo")</f>
        <v>@petrogustavo</v>
      </c>
      <c r="C13810" s="5" t="s">
        <v>16</v>
      </c>
      <c r="D13810" s="5" t="s">
        <v>13290</v>
      </c>
      <c r="E13810" s="6" t="str">
        <f>HYPERLINK("https://twitter.com/petrogustavo/status/1369722239948648448","1369722239948648448")</f>
        <v>1369722239948648448</v>
      </c>
      <c r="F13810" s="7" t="s">
        <v>17</v>
      </c>
      <c r="G13810" s="7">
        <v>4077551</v>
      </c>
      <c r="H13810" s="7">
        <v>2494</v>
      </c>
      <c r="I13810" s="7">
        <v>226</v>
      </c>
      <c r="J13810" s="7">
        <v>703</v>
      </c>
      <c r="K13810" s="7" t="s">
        <v>18</v>
      </c>
      <c r="L13810" s="8">
        <v>39987.315405092595</v>
      </c>
      <c r="M13810" s="9" t="s">
        <v>19</v>
      </c>
      <c r="N13810" s="9" t="s">
        <v>20</v>
      </c>
      <c r="O13810" s="6" t="str">
        <f>HYPERLINK("https://pbs.twimg.com/profile_images/962471262747529216/Uo8lOkRJ_normal.jpg","View")</f>
        <v>View</v>
      </c>
      <c r="P13810" s="7"/>
    </row>
    <row r="13811" spans="1:16">
      <c r="A13811" s="3">
        <v>44266.064814814818</v>
      </c>
      <c r="B13811" s="4" t="str">
        <f>HYPERLINK("https://twitter.com/petrogustavo","@petrogustavo")</f>
        <v>@petrogustavo</v>
      </c>
      <c r="C13811" s="5" t="s">
        <v>16</v>
      </c>
      <c r="D13811" s="5" t="s">
        <v>13291</v>
      </c>
      <c r="E13811" s="6" t="str">
        <f>HYPERLINK("https://twitter.com/petrogustavo/status/1369740677341450247","1369740677341450247")</f>
        <v>1369740677341450247</v>
      </c>
      <c r="F13811" s="7" t="s">
        <v>17</v>
      </c>
      <c r="G13811" s="7">
        <v>4077543</v>
      </c>
      <c r="H13811" s="7">
        <v>2494</v>
      </c>
      <c r="I13811" s="7">
        <v>139</v>
      </c>
      <c r="J13811" s="7">
        <v>448</v>
      </c>
      <c r="K13811" s="7" t="s">
        <v>18</v>
      </c>
      <c r="L13811" s="8">
        <v>39987.315405092595</v>
      </c>
      <c r="M13811" s="9" t="s">
        <v>19</v>
      </c>
      <c r="N13811" s="9" t="s">
        <v>20</v>
      </c>
      <c r="O13811" s="6" t="str">
        <f>HYPERLINK("https://pbs.twimg.com/profile_images/962471262747529216/Uo8lOkRJ_normal.jpg","View")</f>
        <v>View</v>
      </c>
      <c r="P13811" s="7"/>
    </row>
    <row r="13812" spans="1:16">
      <c r="A13812" s="3">
        <v>44266.80505787037</v>
      </c>
      <c r="B13812" s="4" t="str">
        <f>HYPERLINK("https://twitter.com/petrogustavo","@petrogustavo")</f>
        <v>@petrogustavo</v>
      </c>
      <c r="C13812" s="5" t="s">
        <v>16</v>
      </c>
      <c r="D13812" s="5" t="s">
        <v>13292</v>
      </c>
      <c r="E13812" s="6" t="str">
        <f>HYPERLINK("https://twitter.com/petrogustavo/status/1370008930693373953","1370008930693373953")</f>
        <v>1370008930693373953</v>
      </c>
      <c r="F13812" s="7" t="s">
        <v>17</v>
      </c>
      <c r="G13812" s="7">
        <v>4077783</v>
      </c>
      <c r="H13812" s="7">
        <v>2493</v>
      </c>
      <c r="I13812" s="7">
        <v>2253</v>
      </c>
      <c r="J13812" s="7">
        <v>0</v>
      </c>
      <c r="K13812" s="7" t="s">
        <v>18</v>
      </c>
      <c r="L13812" s="8">
        <v>39987.315405092595</v>
      </c>
      <c r="M13812" s="9" t="s">
        <v>19</v>
      </c>
      <c r="N13812" s="9" t="s">
        <v>20</v>
      </c>
      <c r="O13812" s="6" t="str">
        <f>HYPERLINK("https://pbs.twimg.com/profile_images/962471262747529216/Uo8lOkRJ_normal.jpg","View")</f>
        <v>View</v>
      </c>
      <c r="P13812" s="7"/>
    </row>
    <row r="13813" spans="1:16">
      <c r="A13813" s="3">
        <v>44266.833229166667</v>
      </c>
      <c r="B13813" s="4" t="str">
        <f>HYPERLINK("https://twitter.com/petrogustavo","@petrogustavo")</f>
        <v>@petrogustavo</v>
      </c>
      <c r="C13813" s="5" t="s">
        <v>16</v>
      </c>
      <c r="D13813" s="5" t="s">
        <v>13293</v>
      </c>
      <c r="E13813" s="6" t="str">
        <f>HYPERLINK("https://twitter.com/petrogustavo/status/1370019139759210498","1370019139759210498")</f>
        <v>1370019139759210498</v>
      </c>
      <c r="F13813" s="7" t="s">
        <v>17</v>
      </c>
      <c r="G13813" s="7">
        <v>4077796</v>
      </c>
      <c r="H13813" s="7">
        <v>2493</v>
      </c>
      <c r="I13813" s="7">
        <v>26</v>
      </c>
      <c r="J13813" s="7">
        <v>41</v>
      </c>
      <c r="K13813" s="7" t="s">
        <v>18</v>
      </c>
      <c r="L13813" s="8">
        <v>39987.315405092595</v>
      </c>
      <c r="M13813" s="9" t="s">
        <v>19</v>
      </c>
      <c r="N13813" s="9" t="s">
        <v>20</v>
      </c>
      <c r="O13813" s="6" t="str">
        <f>HYPERLINK("https://pbs.twimg.com/profile_images/962471262747529216/Uo8lOkRJ_normal.jpg","View")</f>
        <v>View</v>
      </c>
      <c r="P13813" s="7"/>
    </row>
    <row r="13814" spans="1:16">
      <c r="A13814" s="3">
        <v>44266.833229166667</v>
      </c>
      <c r="B13814" s="4" t="str">
        <f>HYPERLINK("https://twitter.com/petrogustavo","@petrogustavo")</f>
        <v>@petrogustavo</v>
      </c>
      <c r="C13814" s="5" t="s">
        <v>16</v>
      </c>
      <c r="D13814" s="5" t="s">
        <v>13294</v>
      </c>
      <c r="E13814" s="6" t="str">
        <f>HYPERLINK("https://twitter.com/petrogustavo/status/1370019141634060294","1370019141634060294")</f>
        <v>1370019141634060294</v>
      </c>
      <c r="F13814" s="7" t="s">
        <v>17</v>
      </c>
      <c r="G13814" s="7">
        <v>4077796</v>
      </c>
      <c r="H13814" s="7">
        <v>2493</v>
      </c>
      <c r="I13814" s="7">
        <v>19</v>
      </c>
      <c r="J13814" s="7">
        <v>38</v>
      </c>
      <c r="K13814" s="7" t="s">
        <v>18</v>
      </c>
      <c r="L13814" s="8">
        <v>39987.315405092595</v>
      </c>
      <c r="M13814" s="9" t="s">
        <v>19</v>
      </c>
      <c r="N13814" s="9" t="s">
        <v>20</v>
      </c>
      <c r="O13814" s="6" t="str">
        <f>HYPERLINK("https://pbs.twimg.com/profile_images/962471262747529216/Uo8lOkRJ_normal.jpg","View")</f>
        <v>View</v>
      </c>
      <c r="P13814" s="7"/>
    </row>
    <row r="13815" spans="1:16">
      <c r="A13815" s="3">
        <v>44266.840358796297</v>
      </c>
      <c r="B13815" s="4" t="str">
        <f>HYPERLINK("https://twitter.com/petrogustavo","@petrogustavo")</f>
        <v>@petrogustavo</v>
      </c>
      <c r="C13815" s="5" t="s">
        <v>16</v>
      </c>
      <c r="D13815" s="5" t="s">
        <v>13295</v>
      </c>
      <c r="E13815" s="6" t="str">
        <f>HYPERLINK("https://twitter.com/petrogustavo/status/1370021725883293697","1370021725883293697")</f>
        <v>1370021725883293697</v>
      </c>
      <c r="F13815" s="7" t="s">
        <v>17</v>
      </c>
      <c r="G13815" s="7">
        <v>4077098</v>
      </c>
      <c r="H13815" s="7">
        <v>2494</v>
      </c>
      <c r="I13815" s="7">
        <v>166</v>
      </c>
      <c r="J13815" s="7">
        <v>499</v>
      </c>
      <c r="K13815" s="7" t="s">
        <v>18</v>
      </c>
      <c r="L13815" s="8">
        <v>39987.315405092595</v>
      </c>
      <c r="M13815" s="9" t="s">
        <v>19</v>
      </c>
      <c r="N13815" s="9" t="s">
        <v>20</v>
      </c>
      <c r="O13815" s="6" t="str">
        <f>HYPERLINK("https://pbs.twimg.com/profile_images/962471262747529216/Uo8lOkRJ_normal.jpg","View")</f>
        <v>View</v>
      </c>
      <c r="P13815" s="7"/>
    </row>
    <row r="13816" spans="1:16">
      <c r="A13816" s="3">
        <v>44266.846770833334</v>
      </c>
      <c r="B13816" s="4" t="str">
        <f>HYPERLINK("https://twitter.com/petrogustavo","@petrogustavo")</f>
        <v>@petrogustavo</v>
      </c>
      <c r="C13816" s="5" t="s">
        <v>16</v>
      </c>
      <c r="D13816" s="5" t="s">
        <v>13296</v>
      </c>
      <c r="E13816" s="6" t="str">
        <f>HYPERLINK("https://twitter.com/petrogustavo/status/1370024048382578688","1370024048382578688")</f>
        <v>1370024048382578688</v>
      </c>
      <c r="F13816" s="7" t="s">
        <v>17</v>
      </c>
      <c r="G13816" s="7">
        <v>4077098</v>
      </c>
      <c r="H13816" s="7">
        <v>2494</v>
      </c>
      <c r="I13816" s="7">
        <v>77</v>
      </c>
      <c r="J13816" s="7">
        <v>262</v>
      </c>
      <c r="K13816" s="7" t="s">
        <v>18</v>
      </c>
      <c r="L13816" s="8">
        <v>39987.315405092595</v>
      </c>
      <c r="M13816" s="9" t="s">
        <v>19</v>
      </c>
      <c r="N13816" s="9" t="s">
        <v>20</v>
      </c>
      <c r="O13816" s="6" t="str">
        <f>HYPERLINK("https://pbs.twimg.com/profile_images/962471262747529216/Uo8lOkRJ_normal.jpg","View")</f>
        <v>View</v>
      </c>
      <c r="P13816" s="7"/>
    </row>
    <row r="13817" spans="1:16">
      <c r="A13817" s="3">
        <v>44266.929814814815</v>
      </c>
      <c r="B13817" s="4" t="str">
        <f>HYPERLINK("https://twitter.com/petrogustavo","@petrogustavo")</f>
        <v>@petrogustavo</v>
      </c>
      <c r="C13817" s="5" t="s">
        <v>16</v>
      </c>
      <c r="D13817" s="5" t="s">
        <v>13297</v>
      </c>
      <c r="E13817" s="6" t="str">
        <f>HYPERLINK("https://twitter.com/petrogustavo/status/1370054141876301826","1370054141876301826")</f>
        <v>1370054141876301826</v>
      </c>
      <c r="F13817" s="7" t="s">
        <v>17</v>
      </c>
      <c r="G13817" s="7">
        <v>4077822</v>
      </c>
      <c r="H13817" s="7">
        <v>2493</v>
      </c>
      <c r="I13817" s="7">
        <v>87</v>
      </c>
      <c r="J13817" s="7">
        <v>244</v>
      </c>
      <c r="K13817" s="7" t="s">
        <v>18</v>
      </c>
      <c r="L13817" s="8">
        <v>39987.315405092595</v>
      </c>
      <c r="M13817" s="9" t="s">
        <v>19</v>
      </c>
      <c r="N13817" s="9" t="s">
        <v>20</v>
      </c>
      <c r="O13817" s="6" t="str">
        <f>HYPERLINK("https://pbs.twimg.com/profile_images/962471262747529216/Uo8lOkRJ_normal.jpg","View")</f>
        <v>View</v>
      </c>
      <c r="P13817" s="7"/>
    </row>
    <row r="13818" spans="1:16">
      <c r="A13818" s="3">
        <v>44267.802731481483</v>
      </c>
      <c r="B13818" s="4" t="str">
        <f>HYPERLINK("https://twitter.com/petrogustavo","@petrogustavo")</f>
        <v>@petrogustavo</v>
      </c>
      <c r="C13818" s="5" t="s">
        <v>16</v>
      </c>
      <c r="D13818" s="5" t="s">
        <v>13298</v>
      </c>
      <c r="E13818" s="6" t="str">
        <f>HYPERLINK("https://twitter.com/petrogustavo/status/1370370474664996868","1370370474664996868")</f>
        <v>1370370474664996868</v>
      </c>
      <c r="F13818" s="7" t="s">
        <v>17</v>
      </c>
      <c r="G13818" s="7">
        <v>4078187</v>
      </c>
      <c r="H13818" s="7">
        <v>2493</v>
      </c>
      <c r="I13818" s="7">
        <v>90</v>
      </c>
      <c r="J13818" s="7">
        <v>266</v>
      </c>
      <c r="K13818" s="7" t="s">
        <v>18</v>
      </c>
      <c r="L13818" s="8">
        <v>39987.315405092595</v>
      </c>
      <c r="M13818" s="9" t="s">
        <v>19</v>
      </c>
      <c r="N13818" s="9" t="s">
        <v>20</v>
      </c>
      <c r="O13818" s="6" t="str">
        <f>HYPERLINK("https://pbs.twimg.com/profile_images/962471262747529216/Uo8lOkRJ_normal.jpg","View")</f>
        <v>View</v>
      </c>
      <c r="P13818" s="7"/>
    </row>
    <row r="13819" spans="1:16">
      <c r="A13819" s="3">
        <v>44267.802731481483</v>
      </c>
      <c r="B13819" s="4" t="str">
        <f>HYPERLINK("https://twitter.com/petrogustavo","@petrogustavo")</f>
        <v>@petrogustavo</v>
      </c>
      <c r="C13819" s="5" t="s">
        <v>16</v>
      </c>
      <c r="D13819" s="5" t="s">
        <v>13299</v>
      </c>
      <c r="E13819" s="6" t="str">
        <f>HYPERLINK("https://twitter.com/petrogustavo/status/1370370476254638080","1370370476254638080")</f>
        <v>1370370476254638080</v>
      </c>
      <c r="F13819" s="7" t="s">
        <v>17</v>
      </c>
      <c r="G13819" s="7">
        <v>4078187</v>
      </c>
      <c r="H13819" s="7">
        <v>2493</v>
      </c>
      <c r="I13819" s="7">
        <v>54</v>
      </c>
      <c r="J13819" s="7">
        <v>203</v>
      </c>
      <c r="K13819" s="7" t="s">
        <v>18</v>
      </c>
      <c r="L13819" s="8">
        <v>39987.315405092595</v>
      </c>
      <c r="M13819" s="9" t="s">
        <v>19</v>
      </c>
      <c r="N13819" s="9" t="s">
        <v>20</v>
      </c>
      <c r="O13819" s="6" t="str">
        <f>HYPERLINK("https://pbs.twimg.com/profile_images/962471262747529216/Uo8lOkRJ_normal.jpg","View")</f>
        <v>View</v>
      </c>
      <c r="P13819" s="7"/>
    </row>
    <row r="13820" spans="1:16">
      <c r="A13820" s="3">
        <v>44267.824236111112</v>
      </c>
      <c r="B13820" s="4" t="str">
        <f>HYPERLINK("https://twitter.com/petrogustavo","@petrogustavo")</f>
        <v>@petrogustavo</v>
      </c>
      <c r="C13820" s="5" t="s">
        <v>16</v>
      </c>
      <c r="D13820" s="5" t="s">
        <v>13300</v>
      </c>
      <c r="E13820" s="6" t="str">
        <f>HYPERLINK("https://twitter.com/petrogustavo/status/1370378267417513990","1370378267417513990")</f>
        <v>1370378267417513990</v>
      </c>
      <c r="F13820" s="7" t="s">
        <v>17</v>
      </c>
      <c r="G13820" s="7">
        <v>4078207</v>
      </c>
      <c r="H13820" s="7">
        <v>2493</v>
      </c>
      <c r="I13820" s="7">
        <v>109</v>
      </c>
      <c r="J13820" s="7">
        <v>0</v>
      </c>
      <c r="K13820" s="7" t="s">
        <v>18</v>
      </c>
      <c r="L13820" s="8">
        <v>39987.315405092595</v>
      </c>
      <c r="M13820" s="9" t="s">
        <v>19</v>
      </c>
      <c r="N13820" s="9" t="s">
        <v>20</v>
      </c>
      <c r="O13820" s="6" t="str">
        <f>HYPERLINK("https://pbs.twimg.com/profile_images/962471262747529216/Uo8lOkRJ_normal.jpg","View")</f>
        <v>View</v>
      </c>
      <c r="P13820" s="7"/>
    </row>
    <row r="13821" spans="1:16">
      <c r="A13821" s="3">
        <v>44267.825856481482</v>
      </c>
      <c r="B13821" s="4" t="str">
        <f>HYPERLINK("https://twitter.com/petrogustavo","@petrogustavo")</f>
        <v>@petrogustavo</v>
      </c>
      <c r="C13821" s="5" t="s">
        <v>16</v>
      </c>
      <c r="D13821" s="5" t="s">
        <v>13301</v>
      </c>
      <c r="E13821" s="6" t="str">
        <f>HYPERLINK("https://twitter.com/petrogustavo/status/1370378856499142660","1370378856499142660")</f>
        <v>1370378856499142660</v>
      </c>
      <c r="F13821" s="7" t="s">
        <v>17</v>
      </c>
      <c r="G13821" s="7">
        <v>4078207</v>
      </c>
      <c r="H13821" s="7">
        <v>2493</v>
      </c>
      <c r="I13821" s="7">
        <v>21</v>
      </c>
      <c r="J13821" s="7">
        <v>0</v>
      </c>
      <c r="K13821" s="7" t="s">
        <v>18</v>
      </c>
      <c r="L13821" s="8">
        <v>39987.315405092595</v>
      </c>
      <c r="M13821" s="9" t="s">
        <v>19</v>
      </c>
      <c r="N13821" s="9" t="s">
        <v>20</v>
      </c>
      <c r="O13821" s="6" t="str">
        <f>HYPERLINK("https://pbs.twimg.com/profile_images/962471262747529216/Uo8lOkRJ_normal.jpg","View")</f>
        <v>View</v>
      </c>
      <c r="P13821" s="7"/>
    </row>
    <row r="13822" spans="1:16">
      <c r="A13822" s="3">
        <v>44267.826018518521</v>
      </c>
      <c r="B13822" s="4" t="str">
        <f>HYPERLINK("https://twitter.com/petrogustavo","@petrogustavo")</f>
        <v>@petrogustavo</v>
      </c>
      <c r="C13822" s="5" t="s">
        <v>16</v>
      </c>
      <c r="D13822" s="5" t="s">
        <v>13302</v>
      </c>
      <c r="E13822" s="6" t="str">
        <f>HYPERLINK("https://twitter.com/petrogustavo/status/1370378917199159299","1370378917199159299")</f>
        <v>1370378917199159299</v>
      </c>
      <c r="F13822" s="7" t="s">
        <v>17</v>
      </c>
      <c r="G13822" s="7">
        <v>4078207</v>
      </c>
      <c r="H13822" s="7">
        <v>2493</v>
      </c>
      <c r="I13822" s="7">
        <v>575</v>
      </c>
      <c r="J13822" s="7">
        <v>0</v>
      </c>
      <c r="K13822" s="7" t="s">
        <v>18</v>
      </c>
      <c r="L13822" s="8">
        <v>39987.315405092595</v>
      </c>
      <c r="M13822" s="9" t="s">
        <v>19</v>
      </c>
      <c r="N13822" s="9" t="s">
        <v>20</v>
      </c>
      <c r="O13822" s="6" t="str">
        <f>HYPERLINK("https://pbs.twimg.com/profile_images/962471262747529216/Uo8lOkRJ_normal.jpg","View")</f>
        <v>View</v>
      </c>
      <c r="P13822" s="7"/>
    </row>
    <row r="13823" spans="1:16">
      <c r="A13823" s="3">
        <v>44267.908495370371</v>
      </c>
      <c r="B13823" s="4" t="str">
        <f>HYPERLINK("https://twitter.com/petrogustavo","@petrogustavo")</f>
        <v>@petrogustavo</v>
      </c>
      <c r="C13823" s="5" t="s">
        <v>16</v>
      </c>
      <c r="D13823" s="5" t="s">
        <v>13303</v>
      </c>
      <c r="E13823" s="6" t="str">
        <f>HYPERLINK("https://twitter.com/petrogustavo/status/1370408803716497421","1370408803716497421")</f>
        <v>1370408803716497421</v>
      </c>
      <c r="F13823" s="7" t="s">
        <v>17</v>
      </c>
      <c r="G13823" s="7">
        <v>4078242</v>
      </c>
      <c r="H13823" s="7">
        <v>2493</v>
      </c>
      <c r="I13823" s="7">
        <v>752</v>
      </c>
      <c r="J13823" s="7">
        <v>0</v>
      </c>
      <c r="K13823" s="7" t="s">
        <v>18</v>
      </c>
      <c r="L13823" s="8">
        <v>39987.315405092595</v>
      </c>
      <c r="M13823" s="9" t="s">
        <v>19</v>
      </c>
      <c r="N13823" s="9" t="s">
        <v>20</v>
      </c>
      <c r="O13823" s="6" t="str">
        <f>HYPERLINK("https://pbs.twimg.com/profile_images/962471262747529216/Uo8lOkRJ_normal.jpg","View")</f>
        <v>View</v>
      </c>
      <c r="P13823" s="7"/>
    </row>
    <row r="13824" spans="1:16">
      <c r="A13824" s="3">
        <v>44267.913738425923</v>
      </c>
      <c r="B13824" s="4" t="str">
        <f>HYPERLINK("https://twitter.com/petrogustavo","@petrogustavo")</f>
        <v>@petrogustavo</v>
      </c>
      <c r="C13824" s="5" t="s">
        <v>16</v>
      </c>
      <c r="D13824" s="5" t="s">
        <v>13304</v>
      </c>
      <c r="E13824" s="6" t="str">
        <f>HYPERLINK("https://twitter.com/petrogustavo/status/1370410704445005830","1370410704445005830")</f>
        <v>1370410704445005830</v>
      </c>
      <c r="F13824" s="7" t="s">
        <v>17</v>
      </c>
      <c r="G13824" s="7">
        <v>4078242</v>
      </c>
      <c r="H13824" s="7">
        <v>2493</v>
      </c>
      <c r="I13824" s="7">
        <v>58</v>
      </c>
      <c r="J13824" s="7">
        <v>0</v>
      </c>
      <c r="K13824" s="7" t="s">
        <v>18</v>
      </c>
      <c r="L13824" s="8">
        <v>39987.315405092595</v>
      </c>
      <c r="M13824" s="9" t="s">
        <v>19</v>
      </c>
      <c r="N13824" s="9" t="s">
        <v>20</v>
      </c>
      <c r="O13824" s="6" t="str">
        <f>HYPERLINK("https://pbs.twimg.com/profile_images/962471262747529216/Uo8lOkRJ_normal.jpg","View")</f>
        <v>View</v>
      </c>
      <c r="P13824" s="7"/>
    </row>
    <row r="13825" spans="1:16">
      <c r="A13825" s="3">
        <v>44267.916666666672</v>
      </c>
      <c r="B13825" s="4" t="str">
        <f>HYPERLINK("https://twitter.com/petrogustavo","@petrogustavo")</f>
        <v>@petrogustavo</v>
      </c>
      <c r="C13825" s="5" t="s">
        <v>16</v>
      </c>
      <c r="D13825" s="5" t="s">
        <v>13305</v>
      </c>
      <c r="E13825" s="6" t="str">
        <f>HYPERLINK("https://twitter.com/petrogustavo/status/1370411767143280642","1370411767143280642")</f>
        <v>1370411767143280642</v>
      </c>
      <c r="F13825" s="7" t="s">
        <v>17</v>
      </c>
      <c r="G13825" s="7">
        <v>4078242</v>
      </c>
      <c r="H13825" s="7">
        <v>2493</v>
      </c>
      <c r="I13825" s="7">
        <v>27</v>
      </c>
      <c r="J13825" s="7">
        <v>0</v>
      </c>
      <c r="K13825" s="7" t="s">
        <v>18</v>
      </c>
      <c r="L13825" s="8">
        <v>39987.315405092595</v>
      </c>
      <c r="M13825" s="9" t="s">
        <v>19</v>
      </c>
      <c r="N13825" s="9" t="s">
        <v>20</v>
      </c>
      <c r="O13825" s="6" t="str">
        <f>HYPERLINK("https://pbs.twimg.com/profile_images/962471262747529216/Uo8lOkRJ_normal.jpg","View")</f>
        <v>View</v>
      </c>
      <c r="P13825" s="7"/>
    </row>
    <row r="13826" spans="1:16">
      <c r="A13826" s="3">
        <v>44267.919710648144</v>
      </c>
      <c r="B13826" s="4" t="str">
        <f>HYPERLINK("https://twitter.com/petrogustavo","@petrogustavo")</f>
        <v>@petrogustavo</v>
      </c>
      <c r="C13826" s="5" t="s">
        <v>16</v>
      </c>
      <c r="D13826" s="5" t="s">
        <v>13306</v>
      </c>
      <c r="E13826" s="6" t="str">
        <f>HYPERLINK("https://twitter.com/petrogustavo/status/1370412869548920833","1370412869548920833")</f>
        <v>1370412869548920833</v>
      </c>
      <c r="F13826" s="7" t="s">
        <v>17</v>
      </c>
      <c r="G13826" s="7">
        <v>4078254</v>
      </c>
      <c r="H13826" s="7">
        <v>2493</v>
      </c>
      <c r="I13826" s="7">
        <v>1286</v>
      </c>
      <c r="J13826" s="7">
        <v>0</v>
      </c>
      <c r="K13826" s="7" t="s">
        <v>18</v>
      </c>
      <c r="L13826" s="8">
        <v>39987.315405092595</v>
      </c>
      <c r="M13826" s="9" t="s">
        <v>19</v>
      </c>
      <c r="N13826" s="9" t="s">
        <v>20</v>
      </c>
      <c r="O13826" s="6" t="str">
        <f>HYPERLINK("https://pbs.twimg.com/profile_images/962471262747529216/Uo8lOkRJ_normal.jpg","View")</f>
        <v>View</v>
      </c>
      <c r="P13826" s="7"/>
    </row>
    <row r="13827" spans="1:16">
      <c r="A13827" s="3">
        <v>44267.955358796295</v>
      </c>
      <c r="B13827" s="4" t="str">
        <f>HYPERLINK("https://twitter.com/petrogustavo","@petrogustavo")</f>
        <v>@petrogustavo</v>
      </c>
      <c r="C13827" s="5" t="s">
        <v>16</v>
      </c>
      <c r="D13827" s="5" t="s">
        <v>13307</v>
      </c>
      <c r="E13827" s="6" t="str">
        <f>HYPERLINK("https://twitter.com/petrogustavo/status/1370425785719349252","1370425785719349252")</f>
        <v>1370425785719349252</v>
      </c>
      <c r="F13827" s="7" t="s">
        <v>17</v>
      </c>
      <c r="G13827" s="7">
        <v>4078265</v>
      </c>
      <c r="H13827" s="7">
        <v>2493</v>
      </c>
      <c r="I13827" s="7">
        <v>113</v>
      </c>
      <c r="J13827" s="7">
        <v>377</v>
      </c>
      <c r="K13827" s="7" t="s">
        <v>18</v>
      </c>
      <c r="L13827" s="8">
        <v>39987.315405092595</v>
      </c>
      <c r="M13827" s="9" t="s">
        <v>19</v>
      </c>
      <c r="N13827" s="9" t="s">
        <v>20</v>
      </c>
      <c r="O13827" s="6" t="str">
        <f>HYPERLINK("https://pbs.twimg.com/profile_images/962471262747529216/Uo8lOkRJ_normal.jpg","View")</f>
        <v>View</v>
      </c>
      <c r="P13827" s="7"/>
    </row>
    <row r="13828" spans="1:16">
      <c r="A13828" s="3">
        <v>44267.964189814811</v>
      </c>
      <c r="B13828" s="4" t="str">
        <f>HYPERLINK("https://twitter.com/petrogustavo","@petrogustavo")</f>
        <v>@petrogustavo</v>
      </c>
      <c r="C13828" s="5" t="s">
        <v>16</v>
      </c>
      <c r="D13828" s="5" t="s">
        <v>13308</v>
      </c>
      <c r="E13828" s="6" t="str">
        <f>HYPERLINK("https://twitter.com/petrogustavo/status/1370428986245939200","1370428986245939200")</f>
        <v>1370428986245939200</v>
      </c>
      <c r="F13828" s="7" t="s">
        <v>17</v>
      </c>
      <c r="G13828" s="7">
        <v>4078273</v>
      </c>
      <c r="H13828" s="7">
        <v>2493</v>
      </c>
      <c r="I13828" s="7">
        <v>23</v>
      </c>
      <c r="J13828" s="7">
        <v>0</v>
      </c>
      <c r="K13828" s="7" t="s">
        <v>18</v>
      </c>
      <c r="L13828" s="8">
        <v>39987.315405092595</v>
      </c>
      <c r="M13828" s="9" t="s">
        <v>19</v>
      </c>
      <c r="N13828" s="9" t="s">
        <v>20</v>
      </c>
      <c r="O13828" s="6" t="str">
        <f>HYPERLINK("https://pbs.twimg.com/profile_images/962471262747529216/Uo8lOkRJ_normal.jpg","View")</f>
        <v>View</v>
      </c>
      <c r="P13828" s="7"/>
    </row>
    <row r="13829" spans="1:16">
      <c r="A13829" s="3">
        <v>44268.042928240742</v>
      </c>
      <c r="B13829" s="4" t="str">
        <f>HYPERLINK("https://twitter.com/petrogustavo","@petrogustavo")</f>
        <v>@petrogustavo</v>
      </c>
      <c r="C13829" s="5" t="s">
        <v>16</v>
      </c>
      <c r="D13829" s="5" t="s">
        <v>13309</v>
      </c>
      <c r="E13829" s="6" t="str">
        <f>HYPERLINK("https://twitter.com/petrogustavo/status/1370457522042241025","1370457522042241025")</f>
        <v>1370457522042241025</v>
      </c>
      <c r="F13829" s="7" t="s">
        <v>17</v>
      </c>
      <c r="G13829" s="7">
        <v>4078290</v>
      </c>
      <c r="H13829" s="7">
        <v>2493</v>
      </c>
      <c r="I13829" s="7">
        <v>564</v>
      </c>
      <c r="J13829" s="7">
        <v>0</v>
      </c>
      <c r="K13829" s="7" t="s">
        <v>18</v>
      </c>
      <c r="L13829" s="8">
        <v>39987.315405092595</v>
      </c>
      <c r="M13829" s="9" t="s">
        <v>19</v>
      </c>
      <c r="N13829" s="9" t="s">
        <v>20</v>
      </c>
      <c r="O13829" s="6" t="str">
        <f>HYPERLINK("https://pbs.twimg.com/profile_images/962471262747529216/Uo8lOkRJ_normal.jpg","View")</f>
        <v>View</v>
      </c>
      <c r="P13829" s="7"/>
    </row>
    <row r="13830" spans="1:16">
      <c r="A13830" s="3">
        <v>44268.749074074076</v>
      </c>
      <c r="B13830" s="4" t="str">
        <f>HYPERLINK("https://twitter.com/petrogustavo","@petrogustavo")</f>
        <v>@petrogustavo</v>
      </c>
      <c r="C13830" s="5" t="s">
        <v>16</v>
      </c>
      <c r="D13830" s="5" t="s">
        <v>13310</v>
      </c>
      <c r="E13830" s="6" t="str">
        <f>HYPERLINK("https://twitter.com/petrogustavo/status/1370713418446045189","1370713418446045189")</f>
        <v>1370713418446045189</v>
      </c>
      <c r="F13830" s="7" t="s">
        <v>17</v>
      </c>
      <c r="G13830" s="7">
        <v>4078499</v>
      </c>
      <c r="H13830" s="7">
        <v>2493</v>
      </c>
      <c r="I13830" s="7">
        <v>15</v>
      </c>
      <c r="J13830" s="7">
        <v>62</v>
      </c>
      <c r="K13830" s="7" t="s">
        <v>18</v>
      </c>
      <c r="L13830" s="8">
        <v>39987.315405092595</v>
      </c>
      <c r="M13830" s="9" t="s">
        <v>19</v>
      </c>
      <c r="N13830" s="9" t="s">
        <v>20</v>
      </c>
      <c r="O13830" s="6" t="str">
        <f>HYPERLINK("https://pbs.twimg.com/profile_images/962471262747529216/Uo8lOkRJ_normal.jpg","View")</f>
        <v>View</v>
      </c>
      <c r="P13830" s="7"/>
    </row>
    <row r="13831" spans="1:16">
      <c r="A13831" s="3">
        <v>44268.939629629633</v>
      </c>
      <c r="B13831" s="4" t="str">
        <f>HYPERLINK("https://twitter.com/petrogustavo","@petrogustavo")</f>
        <v>@petrogustavo</v>
      </c>
      <c r="C13831" s="5" t="s">
        <v>16</v>
      </c>
      <c r="D13831" s="5" t="s">
        <v>13311</v>
      </c>
      <c r="E13831" s="6" t="str">
        <f>HYPERLINK("https://twitter.com/petrogustavo/status/1370782472967966721","1370782472967966721")</f>
        <v>1370782472967966721</v>
      </c>
      <c r="F13831" s="7" t="s">
        <v>17</v>
      </c>
      <c r="G13831" s="7">
        <v>4078570</v>
      </c>
      <c r="H13831" s="7">
        <v>2494</v>
      </c>
      <c r="I13831" s="7">
        <v>474</v>
      </c>
      <c r="J13831" s="7">
        <v>0</v>
      </c>
      <c r="K13831" s="7" t="s">
        <v>18</v>
      </c>
      <c r="L13831" s="8">
        <v>39987.315405092595</v>
      </c>
      <c r="M13831" s="9" t="s">
        <v>19</v>
      </c>
      <c r="N13831" s="9" t="s">
        <v>20</v>
      </c>
      <c r="O13831" s="6" t="str">
        <f>HYPERLINK("https://pbs.twimg.com/profile_images/962471262747529216/Uo8lOkRJ_normal.jpg","View")</f>
        <v>View</v>
      </c>
      <c r="P13831" s="7"/>
    </row>
    <row r="13832" spans="1:16">
      <c r="A13832" s="3">
        <v>44268.941817129627</v>
      </c>
      <c r="B13832" s="4" t="str">
        <f>HYPERLINK("https://twitter.com/petrogustavo","@petrogustavo")</f>
        <v>@petrogustavo</v>
      </c>
      <c r="C13832" s="5" t="s">
        <v>16</v>
      </c>
      <c r="D13832" s="5" t="s">
        <v>13312</v>
      </c>
      <c r="E13832" s="6" t="str">
        <f>HYPERLINK("https://twitter.com/petrogustavo/status/1370783267453079557","1370783267453079557")</f>
        <v>1370783267453079557</v>
      </c>
      <c r="F13832" s="7" t="s">
        <v>17</v>
      </c>
      <c r="G13832" s="7">
        <v>4078570</v>
      </c>
      <c r="H13832" s="7">
        <v>2494</v>
      </c>
      <c r="I13832" s="7">
        <v>364</v>
      </c>
      <c r="J13832" s="7">
        <v>1311</v>
      </c>
      <c r="K13832" s="7" t="s">
        <v>18</v>
      </c>
      <c r="L13832" s="8">
        <v>39987.315405092595</v>
      </c>
      <c r="M13832" s="9" t="s">
        <v>19</v>
      </c>
      <c r="N13832" s="9" t="s">
        <v>20</v>
      </c>
      <c r="O13832" s="6" t="str">
        <f>HYPERLINK("https://pbs.twimg.com/profile_images/962471262747529216/Uo8lOkRJ_normal.jpg","View")</f>
        <v>View</v>
      </c>
      <c r="P13832" s="7"/>
    </row>
    <row r="13833" spans="1:16">
      <c r="A13833" s="3">
        <v>44269.684687500005</v>
      </c>
      <c r="B13833" s="4" t="str">
        <f>HYPERLINK("https://twitter.com/petrogustavo","@petrogustavo")</f>
        <v>@petrogustavo</v>
      </c>
      <c r="C13833" s="5" t="s">
        <v>16</v>
      </c>
      <c r="D13833" s="5" t="s">
        <v>13313</v>
      </c>
      <c r="E13833" s="6" t="str">
        <f>HYPERLINK("https://twitter.com/petrogustavo/status/1371052474220564482","1371052474220564482")</f>
        <v>1371052474220564482</v>
      </c>
      <c r="F13833" s="7" t="s">
        <v>17</v>
      </c>
      <c r="G13833" s="7">
        <v>4078924</v>
      </c>
      <c r="H13833" s="7">
        <v>2494</v>
      </c>
      <c r="I13833" s="7">
        <v>1640</v>
      </c>
      <c r="J13833" s="7">
        <v>0</v>
      </c>
      <c r="K13833" s="7" t="s">
        <v>18</v>
      </c>
      <c r="L13833" s="8">
        <v>39987.315405092595</v>
      </c>
      <c r="M13833" s="9" t="s">
        <v>19</v>
      </c>
      <c r="N13833" s="9" t="s">
        <v>20</v>
      </c>
      <c r="O13833" s="6" t="str">
        <f>HYPERLINK("https://pbs.twimg.com/profile_images/962471262747529216/Uo8lOkRJ_normal.jpg","View")</f>
        <v>View</v>
      </c>
      <c r="P13833" s="7"/>
    </row>
    <row r="13834" spans="1:16">
      <c r="A13834" s="3">
        <v>44269.890532407408</v>
      </c>
      <c r="B13834" s="4" t="str">
        <f>HYPERLINK("https://twitter.com/petrogustavo","@petrogustavo")</f>
        <v>@petrogustavo</v>
      </c>
      <c r="C13834" s="5" t="s">
        <v>16</v>
      </c>
      <c r="D13834" s="5" t="s">
        <v>13314</v>
      </c>
      <c r="E13834" s="6" t="str">
        <f>HYPERLINK("https://twitter.com/petrogustavo/status/1371127071875993605","1371127071875993605")</f>
        <v>1371127071875993605</v>
      </c>
      <c r="F13834" s="7" t="s">
        <v>17</v>
      </c>
      <c r="G13834" s="7">
        <v>4079024</v>
      </c>
      <c r="H13834" s="7">
        <v>2494</v>
      </c>
      <c r="I13834" s="7">
        <v>1183</v>
      </c>
      <c r="J13834" s="7">
        <v>0</v>
      </c>
      <c r="K13834" s="7" t="s">
        <v>18</v>
      </c>
      <c r="L13834" s="8">
        <v>39987.315405092595</v>
      </c>
      <c r="M13834" s="9" t="s">
        <v>19</v>
      </c>
      <c r="N13834" s="9" t="s">
        <v>20</v>
      </c>
      <c r="O13834" s="6" t="str">
        <f>HYPERLINK("https://pbs.twimg.com/profile_images/962471262747529216/Uo8lOkRJ_normal.jpg","View")</f>
        <v>View</v>
      </c>
      <c r="P13834" s="7"/>
    </row>
    <row r="13835" spans="1:16">
      <c r="A13835" s="3">
        <v>44269.946018518516</v>
      </c>
      <c r="B13835" s="4" t="str">
        <f>HYPERLINK("https://twitter.com/petrogustavo","@petrogustavo")</f>
        <v>@petrogustavo</v>
      </c>
      <c r="C13835" s="5" t="s">
        <v>16</v>
      </c>
      <c r="D13835" s="5" t="s">
        <v>13315</v>
      </c>
      <c r="E13835" s="6" t="str">
        <f>HYPERLINK("https://twitter.com/petrogustavo/status/1371147176160677890","1371147176160677890")</f>
        <v>1371147176160677890</v>
      </c>
      <c r="F13835" s="7" t="s">
        <v>17</v>
      </c>
      <c r="G13835" s="7">
        <v>4079067</v>
      </c>
      <c r="H13835" s="7">
        <v>2494</v>
      </c>
      <c r="I13835" s="7">
        <v>106</v>
      </c>
      <c r="J13835" s="7">
        <v>360</v>
      </c>
      <c r="K13835" s="7" t="s">
        <v>18</v>
      </c>
      <c r="L13835" s="8">
        <v>39987.315405092595</v>
      </c>
      <c r="M13835" s="9" t="s">
        <v>19</v>
      </c>
      <c r="N13835" s="9" t="s">
        <v>20</v>
      </c>
      <c r="O13835" s="6" t="str">
        <f>HYPERLINK("https://pbs.twimg.com/profile_images/962471262747529216/Uo8lOkRJ_normal.jpg","View")</f>
        <v>View</v>
      </c>
      <c r="P13835" s="7"/>
    </row>
    <row r="13836" spans="1:16">
      <c r="A13836" s="3">
        <v>44269.951261574075</v>
      </c>
      <c r="B13836" s="4" t="str">
        <f>HYPERLINK("https://twitter.com/petrogustavo","@petrogustavo")</f>
        <v>@petrogustavo</v>
      </c>
      <c r="C13836" s="5" t="s">
        <v>16</v>
      </c>
      <c r="D13836" s="5" t="s">
        <v>13316</v>
      </c>
      <c r="E13836" s="6" t="str">
        <f>HYPERLINK("https://twitter.com/petrogustavo/status/1371149077891678224","1371149077891678224")</f>
        <v>1371149077891678224</v>
      </c>
      <c r="F13836" s="7" t="s">
        <v>17</v>
      </c>
      <c r="G13836" s="7">
        <v>4079067</v>
      </c>
      <c r="H13836" s="7">
        <v>2494</v>
      </c>
      <c r="I13836" s="7">
        <v>50</v>
      </c>
      <c r="J13836" s="7">
        <v>0</v>
      </c>
      <c r="K13836" s="7" t="s">
        <v>18</v>
      </c>
      <c r="L13836" s="8">
        <v>39987.315405092595</v>
      </c>
      <c r="M13836" s="9" t="s">
        <v>19</v>
      </c>
      <c r="N13836" s="9" t="s">
        <v>20</v>
      </c>
      <c r="O13836" s="6" t="str">
        <f>HYPERLINK("https://pbs.twimg.com/profile_images/962471262747529216/Uo8lOkRJ_normal.jpg","View")</f>
        <v>View</v>
      </c>
      <c r="P13836" s="7"/>
    </row>
    <row r="13837" spans="1:16">
      <c r="A13837" s="3">
        <v>44269.95177083333</v>
      </c>
      <c r="B13837" s="4" t="str">
        <f>HYPERLINK("https://twitter.com/petrogustavo","@petrogustavo")</f>
        <v>@petrogustavo</v>
      </c>
      <c r="C13837" s="5" t="s">
        <v>16</v>
      </c>
      <c r="D13837" s="5" t="s">
        <v>13317</v>
      </c>
      <c r="E13837" s="6" t="str">
        <f>HYPERLINK("https://twitter.com/petrogustavo/status/1371149260499079171","1371149260499079171")</f>
        <v>1371149260499079171</v>
      </c>
      <c r="F13837" s="7" t="s">
        <v>17</v>
      </c>
      <c r="G13837" s="7">
        <v>4079067</v>
      </c>
      <c r="H13837" s="7">
        <v>2494</v>
      </c>
      <c r="I13837" s="7">
        <v>162</v>
      </c>
      <c r="J13837" s="7">
        <v>0</v>
      </c>
      <c r="K13837" s="7" t="s">
        <v>18</v>
      </c>
      <c r="L13837" s="8">
        <v>39987.315405092595</v>
      </c>
      <c r="M13837" s="9" t="s">
        <v>19</v>
      </c>
      <c r="N13837" s="9" t="s">
        <v>20</v>
      </c>
      <c r="O13837" s="6" t="str">
        <f>HYPERLINK("https://pbs.twimg.com/profile_images/962471262747529216/Uo8lOkRJ_normal.jpg","View")</f>
        <v>View</v>
      </c>
      <c r="P13837" s="7"/>
    </row>
    <row r="13838" spans="1:16">
      <c r="A13838" s="3">
        <v>44269.952835648146</v>
      </c>
      <c r="B13838" s="4" t="str">
        <f>HYPERLINK("https://twitter.com/petrogustavo","@petrogustavo")</f>
        <v>@petrogustavo</v>
      </c>
      <c r="C13838" s="5" t="s">
        <v>16</v>
      </c>
      <c r="D13838" s="5" t="s">
        <v>13318</v>
      </c>
      <c r="E13838" s="6" t="str">
        <f>HYPERLINK("https://twitter.com/petrogustavo/status/1371149647998238721","1371149647998238721")</f>
        <v>1371149647998238721</v>
      </c>
      <c r="F13838" s="7" t="s">
        <v>17</v>
      </c>
      <c r="G13838" s="7">
        <v>4079067</v>
      </c>
      <c r="H13838" s="7">
        <v>2494</v>
      </c>
      <c r="I13838" s="7">
        <v>36</v>
      </c>
      <c r="J13838" s="7">
        <v>83</v>
      </c>
      <c r="K13838" s="7" t="s">
        <v>18</v>
      </c>
      <c r="L13838" s="8">
        <v>39987.315405092595</v>
      </c>
      <c r="M13838" s="9" t="s">
        <v>19</v>
      </c>
      <c r="N13838" s="9" t="s">
        <v>20</v>
      </c>
      <c r="O13838" s="6" t="str">
        <f>HYPERLINK("https://pbs.twimg.com/profile_images/962471262747529216/Uo8lOkRJ_normal.jpg","View")</f>
        <v>View</v>
      </c>
      <c r="P13838" s="7"/>
    </row>
    <row r="13839" spans="1:16">
      <c r="A13839" s="3">
        <v>44269.954328703709</v>
      </c>
      <c r="B13839" s="4" t="str">
        <f>HYPERLINK("https://twitter.com/petrogustavo","@petrogustavo")</f>
        <v>@petrogustavo</v>
      </c>
      <c r="C13839" s="5" t="s">
        <v>16</v>
      </c>
      <c r="D13839" s="5" t="s">
        <v>13319</v>
      </c>
      <c r="E13839" s="6" t="str">
        <f>HYPERLINK("https://twitter.com/petrogustavo/status/1371150187884916749","1371150187884916749")</f>
        <v>1371150187884916749</v>
      </c>
      <c r="F13839" s="7" t="s">
        <v>17</v>
      </c>
      <c r="G13839" s="7">
        <v>4079067</v>
      </c>
      <c r="H13839" s="7">
        <v>2494</v>
      </c>
      <c r="I13839" s="7">
        <v>80</v>
      </c>
      <c r="J13839" s="7">
        <v>160</v>
      </c>
      <c r="K13839" s="7" t="s">
        <v>18</v>
      </c>
      <c r="L13839" s="8">
        <v>39987.315405092595</v>
      </c>
      <c r="M13839" s="9" t="s">
        <v>19</v>
      </c>
      <c r="N13839" s="9" t="s">
        <v>20</v>
      </c>
      <c r="O13839" s="6" t="str">
        <f>HYPERLINK("https://pbs.twimg.com/profile_images/962471262747529216/Uo8lOkRJ_normal.jpg","View")</f>
        <v>View</v>
      </c>
      <c r="P13839" s="7"/>
    </row>
    <row r="13840" spans="1:16">
      <c r="A13840" s="3">
        <v>44269.959560185191</v>
      </c>
      <c r="B13840" s="4" t="str">
        <f>HYPERLINK("https://twitter.com/petrogustavo","@petrogustavo")</f>
        <v>@petrogustavo</v>
      </c>
      <c r="C13840" s="5" t="s">
        <v>16</v>
      </c>
      <c r="D13840" s="5" t="s">
        <v>13320</v>
      </c>
      <c r="E13840" s="6" t="str">
        <f>HYPERLINK("https://twitter.com/petrogustavo/status/1371152084343590922","1371152084343590922")</f>
        <v>1371152084343590922</v>
      </c>
      <c r="F13840" s="7" t="s">
        <v>17</v>
      </c>
      <c r="G13840" s="7">
        <v>4079067</v>
      </c>
      <c r="H13840" s="7">
        <v>2494</v>
      </c>
      <c r="I13840" s="7">
        <v>25</v>
      </c>
      <c r="J13840" s="7">
        <v>45</v>
      </c>
      <c r="K13840" s="7" t="s">
        <v>18</v>
      </c>
      <c r="L13840" s="8">
        <v>39987.315405092595</v>
      </c>
      <c r="M13840" s="9" t="s">
        <v>19</v>
      </c>
      <c r="N13840" s="9" t="s">
        <v>20</v>
      </c>
      <c r="O13840" s="6" t="str">
        <f>HYPERLINK("https://pbs.twimg.com/profile_images/962471262747529216/Uo8lOkRJ_normal.jpg","View")</f>
        <v>View</v>
      </c>
      <c r="P13840" s="7"/>
    </row>
    <row r="13841" spans="1:16">
      <c r="A13841" s="3">
        <v>44269.967175925922</v>
      </c>
      <c r="B13841" s="4" t="str">
        <f>HYPERLINK("https://twitter.com/petrogustavo","@petrogustavo")</f>
        <v>@petrogustavo</v>
      </c>
      <c r="C13841" s="5" t="s">
        <v>16</v>
      </c>
      <c r="D13841" s="5" t="s">
        <v>13321</v>
      </c>
      <c r="E13841" s="6" t="str">
        <f>HYPERLINK("https://twitter.com/petrogustavo/status/1371154844342497287","1371154844342497287")</f>
        <v>1371154844342497287</v>
      </c>
      <c r="F13841" s="7" t="s">
        <v>17</v>
      </c>
      <c r="G13841" s="7">
        <v>4079083</v>
      </c>
      <c r="H13841" s="7">
        <v>2494</v>
      </c>
      <c r="I13841" s="7">
        <v>519</v>
      </c>
      <c r="J13841" s="7">
        <v>0</v>
      </c>
      <c r="K13841" s="7" t="s">
        <v>18</v>
      </c>
      <c r="L13841" s="8">
        <v>39987.315405092595</v>
      </c>
      <c r="M13841" s="9" t="s">
        <v>19</v>
      </c>
      <c r="N13841" s="9" t="s">
        <v>20</v>
      </c>
      <c r="O13841" s="6" t="str">
        <f>HYPERLINK("https://pbs.twimg.com/profile_images/962471262747529216/Uo8lOkRJ_normal.jpg","View")</f>
        <v>View</v>
      </c>
      <c r="P13841" s="7"/>
    </row>
    <row r="13842" spans="1:16">
      <c r="A13842" s="3">
        <v>44269.982048611113</v>
      </c>
      <c r="B13842" s="4" t="str">
        <f>HYPERLINK("https://twitter.com/petrogustavo","@petrogustavo")</f>
        <v>@petrogustavo</v>
      </c>
      <c r="C13842" s="5" t="s">
        <v>16</v>
      </c>
      <c r="D13842" s="5" t="s">
        <v>13322</v>
      </c>
      <c r="E13842" s="6" t="str">
        <f>HYPERLINK("https://twitter.com/petrogustavo/status/1371160232521564160","1371160232521564160")</f>
        <v>1371160232521564160</v>
      </c>
      <c r="F13842" s="7" t="s">
        <v>17</v>
      </c>
      <c r="G13842" s="7">
        <v>4079105</v>
      </c>
      <c r="H13842" s="7">
        <v>2494</v>
      </c>
      <c r="I13842" s="7">
        <v>105</v>
      </c>
      <c r="J13842" s="7">
        <v>0</v>
      </c>
      <c r="K13842" s="7" t="s">
        <v>18</v>
      </c>
      <c r="L13842" s="8">
        <v>39987.315405092595</v>
      </c>
      <c r="M13842" s="9" t="s">
        <v>19</v>
      </c>
      <c r="N13842" s="9" t="s">
        <v>20</v>
      </c>
      <c r="O13842" s="6" t="str">
        <f>HYPERLINK("https://pbs.twimg.com/profile_images/962471262747529216/Uo8lOkRJ_normal.jpg","View")</f>
        <v>View</v>
      </c>
      <c r="P13842" s="7"/>
    </row>
    <row r="13843" spans="1:16">
      <c r="A13843" s="3">
        <v>44269.98302083333</v>
      </c>
      <c r="B13843" s="4" t="str">
        <f>HYPERLINK("https://twitter.com/petrogustavo","@petrogustavo")</f>
        <v>@petrogustavo</v>
      </c>
      <c r="C13843" s="5" t="s">
        <v>16</v>
      </c>
      <c r="D13843" s="5" t="s">
        <v>13323</v>
      </c>
      <c r="E13843" s="6" t="str">
        <f>HYPERLINK("https://twitter.com/petrogustavo/status/1371160587053510657","1371160587053510657")</f>
        <v>1371160587053510657</v>
      </c>
      <c r="F13843" s="7" t="s">
        <v>17</v>
      </c>
      <c r="G13843" s="7">
        <v>4079105</v>
      </c>
      <c r="H13843" s="7">
        <v>2494</v>
      </c>
      <c r="I13843" s="7">
        <v>272</v>
      </c>
      <c r="J13843" s="7">
        <v>0</v>
      </c>
      <c r="K13843" s="7" t="s">
        <v>18</v>
      </c>
      <c r="L13843" s="8">
        <v>39987.315405092595</v>
      </c>
      <c r="M13843" s="9" t="s">
        <v>19</v>
      </c>
      <c r="N13843" s="9" t="s">
        <v>20</v>
      </c>
      <c r="O13843" s="6" t="str">
        <f>HYPERLINK("https://pbs.twimg.com/profile_images/962471262747529216/Uo8lOkRJ_normal.jpg","View")</f>
        <v>View</v>
      </c>
      <c r="P13843" s="7"/>
    </row>
    <row r="13844" spans="1:16">
      <c r="A13844" s="3">
        <v>44269.988854166666</v>
      </c>
      <c r="B13844" s="4" t="str">
        <f>HYPERLINK("https://twitter.com/petrogustavo","@petrogustavo")</f>
        <v>@petrogustavo</v>
      </c>
      <c r="C13844" s="5" t="s">
        <v>16</v>
      </c>
      <c r="D13844" s="5" t="s">
        <v>13324</v>
      </c>
      <c r="E13844" s="6" t="str">
        <f>HYPERLINK("https://twitter.com/petrogustavo/status/1371162698998804487","1371162698998804487")</f>
        <v>1371162698998804487</v>
      </c>
      <c r="F13844" s="7" t="s">
        <v>17</v>
      </c>
      <c r="G13844" s="7">
        <v>4079105</v>
      </c>
      <c r="H13844" s="7">
        <v>2494</v>
      </c>
      <c r="I13844" s="7">
        <v>100</v>
      </c>
      <c r="J13844" s="7">
        <v>292</v>
      </c>
      <c r="K13844" s="7" t="s">
        <v>18</v>
      </c>
      <c r="L13844" s="8">
        <v>39987.315405092595</v>
      </c>
      <c r="M13844" s="9" t="s">
        <v>19</v>
      </c>
      <c r="N13844" s="9" t="s">
        <v>20</v>
      </c>
      <c r="O13844" s="6" t="str">
        <f>HYPERLINK("https://pbs.twimg.com/profile_images/962471262747529216/Uo8lOkRJ_normal.jpg","View")</f>
        <v>View</v>
      </c>
      <c r="P13844" s="7"/>
    </row>
    <row r="13845" spans="1:16">
      <c r="A13845" s="3">
        <v>44269.997094907405</v>
      </c>
      <c r="B13845" s="4" t="str">
        <f>HYPERLINK("https://twitter.com/petrogustavo","@petrogustavo")</f>
        <v>@petrogustavo</v>
      </c>
      <c r="C13845" s="5" t="s">
        <v>16</v>
      </c>
      <c r="D13845" s="5" t="s">
        <v>13325</v>
      </c>
      <c r="E13845" s="6" t="str">
        <f>HYPERLINK("https://twitter.com/petrogustavo/status/1371165686643499008","1371165686643499008")</f>
        <v>1371165686643499008</v>
      </c>
      <c r="F13845" s="7" t="s">
        <v>17</v>
      </c>
      <c r="G13845" s="7">
        <v>4079105</v>
      </c>
      <c r="H13845" s="7">
        <v>2494</v>
      </c>
      <c r="I13845" s="7">
        <v>19</v>
      </c>
      <c r="J13845" s="7">
        <v>0</v>
      </c>
      <c r="K13845" s="7" t="s">
        <v>18</v>
      </c>
      <c r="L13845" s="8">
        <v>39987.315405092595</v>
      </c>
      <c r="M13845" s="9" t="s">
        <v>19</v>
      </c>
      <c r="N13845" s="9" t="s">
        <v>20</v>
      </c>
      <c r="O13845" s="6" t="str">
        <f>HYPERLINK("https://pbs.twimg.com/profile_images/962471262747529216/Uo8lOkRJ_normal.jpg","View")</f>
        <v>View</v>
      </c>
      <c r="P13845" s="7"/>
    </row>
    <row r="13846" spans="1:16">
      <c r="A13846" s="3">
        <v>44269.999328703707</v>
      </c>
      <c r="B13846" s="4" t="str">
        <f>HYPERLINK("https://twitter.com/petrogustavo","@petrogustavo")</f>
        <v>@petrogustavo</v>
      </c>
      <c r="C13846" s="5" t="s">
        <v>16</v>
      </c>
      <c r="D13846" s="5" t="s">
        <v>13326</v>
      </c>
      <c r="E13846" s="6" t="str">
        <f>HYPERLINK("https://twitter.com/petrogustavo/status/1371166496643280897","1371166496643280897")</f>
        <v>1371166496643280897</v>
      </c>
      <c r="F13846" s="7" t="s">
        <v>17</v>
      </c>
      <c r="G13846" s="7">
        <v>4079105</v>
      </c>
      <c r="H13846" s="7">
        <v>2494</v>
      </c>
      <c r="I13846" s="7">
        <v>762</v>
      </c>
      <c r="J13846" s="7">
        <v>0</v>
      </c>
      <c r="K13846" s="7" t="s">
        <v>18</v>
      </c>
      <c r="L13846" s="8">
        <v>39987.315405092595</v>
      </c>
      <c r="M13846" s="9" t="s">
        <v>19</v>
      </c>
      <c r="N13846" s="9" t="s">
        <v>20</v>
      </c>
      <c r="O13846" s="6" t="str">
        <f>HYPERLINK("https://pbs.twimg.com/profile_images/962471262747529216/Uo8lOkRJ_normal.jpg","View")</f>
        <v>View</v>
      </c>
      <c r="P13846" s="7"/>
    </row>
    <row r="13847" spans="1:16">
      <c r="A13847" s="3">
        <v>44269.999942129631</v>
      </c>
      <c r="B13847" s="4" t="str">
        <f>HYPERLINK("https://twitter.com/petrogustavo","@petrogustavo")</f>
        <v>@petrogustavo</v>
      </c>
      <c r="C13847" s="5" t="s">
        <v>16</v>
      </c>
      <c r="D13847" s="5" t="s">
        <v>13327</v>
      </c>
      <c r="E13847" s="6" t="str">
        <f>HYPERLINK("https://twitter.com/petrogustavo/status/1371166718593208325","1371166718593208325")</f>
        <v>1371166718593208325</v>
      </c>
      <c r="F13847" s="7" t="s">
        <v>17</v>
      </c>
      <c r="G13847" s="7">
        <v>4079105</v>
      </c>
      <c r="H13847" s="7">
        <v>2494</v>
      </c>
      <c r="I13847" s="7">
        <v>494</v>
      </c>
      <c r="J13847" s="7">
        <v>0</v>
      </c>
      <c r="K13847" s="7" t="s">
        <v>18</v>
      </c>
      <c r="L13847" s="8">
        <v>39987.315405092595</v>
      </c>
      <c r="M13847" s="9" t="s">
        <v>19</v>
      </c>
      <c r="N13847" s="9" t="s">
        <v>20</v>
      </c>
      <c r="O13847" s="6" t="str">
        <f>HYPERLINK("https://pbs.twimg.com/profile_images/962471262747529216/Uo8lOkRJ_normal.jpg","View")</f>
        <v>View</v>
      </c>
      <c r="P13847" s="7"/>
    </row>
    <row r="13848" spans="1:16">
      <c r="A13848" s="3">
        <v>44270.005046296297</v>
      </c>
      <c r="B13848" s="4" t="str">
        <f>HYPERLINK("https://twitter.com/petrogustavo","@petrogustavo")</f>
        <v>@petrogustavo</v>
      </c>
      <c r="C13848" s="5" t="s">
        <v>16</v>
      </c>
      <c r="D13848" s="5" t="s">
        <v>13328</v>
      </c>
      <c r="E13848" s="6" t="str">
        <f>HYPERLINK("https://twitter.com/petrogustavo/status/1371168570273587201","1371168570273587201")</f>
        <v>1371168570273587201</v>
      </c>
      <c r="F13848" s="7" t="s">
        <v>17</v>
      </c>
      <c r="G13848" s="7">
        <v>4079122</v>
      </c>
      <c r="H13848" s="7">
        <v>2494</v>
      </c>
      <c r="I13848" s="7">
        <v>338</v>
      </c>
      <c r="J13848" s="7">
        <v>0</v>
      </c>
      <c r="K13848" s="7" t="s">
        <v>18</v>
      </c>
      <c r="L13848" s="8">
        <v>39987.315405092595</v>
      </c>
      <c r="M13848" s="9" t="s">
        <v>19</v>
      </c>
      <c r="N13848" s="9" t="s">
        <v>20</v>
      </c>
      <c r="O13848" s="6" t="str">
        <f>HYPERLINK("https://pbs.twimg.com/profile_images/962471262747529216/Uo8lOkRJ_normal.jpg","View")</f>
        <v>View</v>
      </c>
      <c r="P13848" s="7"/>
    </row>
    <row r="13849" spans="1:16">
      <c r="A13849" s="3">
        <v>44270.012499999997</v>
      </c>
      <c r="B13849" s="4" t="str">
        <f>HYPERLINK("https://twitter.com/petrogustavo","@petrogustavo")</f>
        <v>@petrogustavo</v>
      </c>
      <c r="C13849" s="5" t="s">
        <v>16</v>
      </c>
      <c r="D13849" s="5" t="s">
        <v>13329</v>
      </c>
      <c r="E13849" s="6" t="str">
        <f>HYPERLINK("https://twitter.com/petrogustavo/status/1371171270209982464","1371171270209982464")</f>
        <v>1371171270209982464</v>
      </c>
      <c r="F13849" s="7" t="s">
        <v>17</v>
      </c>
      <c r="G13849" s="7">
        <v>4079122</v>
      </c>
      <c r="H13849" s="7">
        <v>2494</v>
      </c>
      <c r="I13849" s="7">
        <v>612</v>
      </c>
      <c r="J13849" s="7">
        <v>0</v>
      </c>
      <c r="K13849" s="7" t="s">
        <v>18</v>
      </c>
      <c r="L13849" s="8">
        <v>39987.315405092595</v>
      </c>
      <c r="M13849" s="9" t="s">
        <v>19</v>
      </c>
      <c r="N13849" s="9" t="s">
        <v>20</v>
      </c>
      <c r="O13849" s="6" t="str">
        <f>HYPERLINK("https://pbs.twimg.com/profile_images/962471262747529216/Uo8lOkRJ_normal.jpg","View")</f>
        <v>View</v>
      </c>
      <c r="P13849" s="7"/>
    </row>
    <row r="13850" spans="1:16">
      <c r="A13850" s="3">
        <v>44270.017094907409</v>
      </c>
      <c r="B13850" s="4" t="str">
        <f>HYPERLINK("https://twitter.com/petrogustavo","@petrogustavo")</f>
        <v>@petrogustavo</v>
      </c>
      <c r="C13850" s="5" t="s">
        <v>16</v>
      </c>
      <c r="D13850" s="5" t="s">
        <v>13330</v>
      </c>
      <c r="E13850" s="6" t="str">
        <f>HYPERLINK("https://twitter.com/petrogustavo/status/1371172936841842689","1371172936841842689")</f>
        <v>1371172936841842689</v>
      </c>
      <c r="F13850" s="7" t="s">
        <v>17</v>
      </c>
      <c r="G13850" s="7">
        <v>4079122</v>
      </c>
      <c r="H13850" s="7">
        <v>2494</v>
      </c>
      <c r="I13850" s="7">
        <v>61</v>
      </c>
      <c r="J13850" s="7">
        <v>193</v>
      </c>
      <c r="K13850" s="7" t="s">
        <v>18</v>
      </c>
      <c r="L13850" s="8">
        <v>39987.315405092595</v>
      </c>
      <c r="M13850" s="9" t="s">
        <v>19</v>
      </c>
      <c r="N13850" s="9" t="s">
        <v>20</v>
      </c>
      <c r="O13850" s="6" t="str">
        <f>HYPERLINK("https://pbs.twimg.com/profile_images/962471262747529216/Uo8lOkRJ_normal.jpg","View")</f>
        <v>View</v>
      </c>
      <c r="P13850" s="7"/>
    </row>
    <row r="13851" spans="1:16">
      <c r="A13851" s="3">
        <v>44270.028923611113</v>
      </c>
      <c r="B13851" s="4" t="str">
        <f>HYPERLINK("https://twitter.com/petrogustavo","@petrogustavo")</f>
        <v>@petrogustavo</v>
      </c>
      <c r="C13851" s="5" t="s">
        <v>16</v>
      </c>
      <c r="D13851" s="5" t="s">
        <v>13331</v>
      </c>
      <c r="E13851" s="6" t="str">
        <f>HYPERLINK("https://twitter.com/petrogustavo/status/1371177223521062914","1371177223521062914")</f>
        <v>1371177223521062914</v>
      </c>
      <c r="F13851" s="7" t="s">
        <v>22</v>
      </c>
      <c r="G13851" s="7">
        <v>4079147</v>
      </c>
      <c r="H13851" s="7">
        <v>2494</v>
      </c>
      <c r="I13851" s="7">
        <v>121</v>
      </c>
      <c r="J13851" s="7">
        <v>279</v>
      </c>
      <c r="K13851" s="7" t="s">
        <v>18</v>
      </c>
      <c r="L13851" s="8">
        <v>39987.315405092595</v>
      </c>
      <c r="M13851" s="9" t="s">
        <v>19</v>
      </c>
      <c r="N13851" s="9" t="s">
        <v>20</v>
      </c>
      <c r="O13851" s="6" t="str">
        <f>HYPERLINK("https://pbs.twimg.com/profile_images/962471262747529216/Uo8lOkRJ_normal.jpg","View")</f>
        <v>View</v>
      </c>
      <c r="P13851" s="7"/>
    </row>
    <row r="13852" spans="1:16">
      <c r="A13852" s="3">
        <v>44270.878171296295</v>
      </c>
      <c r="B13852" s="4" t="str">
        <f>HYPERLINK("https://twitter.com/petrogustavo","@petrogustavo")</f>
        <v>@petrogustavo</v>
      </c>
      <c r="C13852" s="5" t="s">
        <v>16</v>
      </c>
      <c r="D13852" s="5" t="s">
        <v>13332</v>
      </c>
      <c r="E13852" s="6" t="str">
        <f>HYPERLINK("https://twitter.com/petrogustavo/status/1371484980078071808","1371484980078071808")</f>
        <v>1371484980078071808</v>
      </c>
      <c r="F13852" s="7" t="s">
        <v>17</v>
      </c>
      <c r="G13852" s="7">
        <v>4079416</v>
      </c>
      <c r="H13852" s="7">
        <v>2494</v>
      </c>
      <c r="I13852" s="7">
        <v>2166</v>
      </c>
      <c r="J13852" s="7">
        <v>0</v>
      </c>
      <c r="K13852" s="7" t="s">
        <v>18</v>
      </c>
      <c r="L13852" s="8">
        <v>39987.315405092595</v>
      </c>
      <c r="M13852" s="9" t="s">
        <v>19</v>
      </c>
      <c r="N13852" s="9" t="s">
        <v>20</v>
      </c>
      <c r="O13852" s="6" t="str">
        <f>HYPERLINK("https://pbs.twimg.com/profile_images/962471262747529216/Uo8lOkRJ_normal.jpg","View")</f>
        <v>View</v>
      </c>
      <c r="P13852" s="7"/>
    </row>
    <row r="13853" spans="1:16">
      <c r="A13853" s="3">
        <v>44270.894780092596</v>
      </c>
      <c r="B13853" s="4" t="str">
        <f>HYPERLINK("https://twitter.com/petrogustavo","@petrogustavo")</f>
        <v>@petrogustavo</v>
      </c>
      <c r="C13853" s="5" t="s">
        <v>16</v>
      </c>
      <c r="D13853" s="5" t="s">
        <v>13333</v>
      </c>
      <c r="E13853" s="6" t="str">
        <f>HYPERLINK("https://twitter.com/petrogustavo/status/1371490995980886016","1371490995980886016")</f>
        <v>1371490995980886016</v>
      </c>
      <c r="F13853" s="7" t="s">
        <v>17</v>
      </c>
      <c r="G13853" s="7">
        <v>4079416</v>
      </c>
      <c r="H13853" s="7">
        <v>2494</v>
      </c>
      <c r="I13853" s="7">
        <v>2207</v>
      </c>
      <c r="J13853" s="7">
        <v>0</v>
      </c>
      <c r="K13853" s="7" t="s">
        <v>18</v>
      </c>
      <c r="L13853" s="8">
        <v>39987.315405092595</v>
      </c>
      <c r="M13853" s="9" t="s">
        <v>19</v>
      </c>
      <c r="N13853" s="9" t="s">
        <v>20</v>
      </c>
      <c r="O13853" s="6" t="str">
        <f>HYPERLINK("https://pbs.twimg.com/profile_images/962471262747529216/Uo8lOkRJ_normal.jpg","View")</f>
        <v>View</v>
      </c>
      <c r="P13853" s="7"/>
    </row>
    <row r="13854" spans="1:16">
      <c r="A13854" s="3">
        <v>44270.978807870371</v>
      </c>
      <c r="B13854" s="4" t="str">
        <f>HYPERLINK("https://twitter.com/petrogustavo","@petrogustavo")</f>
        <v>@petrogustavo</v>
      </c>
      <c r="C13854" s="5" t="s">
        <v>16</v>
      </c>
      <c r="D13854" s="5" t="s">
        <v>13334</v>
      </c>
      <c r="E13854" s="6" t="str">
        <f>HYPERLINK("https://twitter.com/petrogustavo/status/1371521446237847558","1371521446237847558")</f>
        <v>1371521446237847558</v>
      </c>
      <c r="F13854" s="7" t="s">
        <v>17</v>
      </c>
      <c r="G13854" s="7">
        <v>4079473</v>
      </c>
      <c r="H13854" s="7">
        <v>2494</v>
      </c>
      <c r="I13854" s="7">
        <v>53</v>
      </c>
      <c r="J13854" s="7">
        <v>231</v>
      </c>
      <c r="K13854" s="7" t="s">
        <v>18</v>
      </c>
      <c r="L13854" s="8">
        <v>39987.315405092595</v>
      </c>
      <c r="M13854" s="9" t="s">
        <v>19</v>
      </c>
      <c r="N13854" s="9" t="s">
        <v>20</v>
      </c>
      <c r="O13854" s="6" t="str">
        <f>HYPERLINK("https://pbs.twimg.com/profile_images/962471262747529216/Uo8lOkRJ_normal.jpg","View")</f>
        <v>View</v>
      </c>
      <c r="P13854" s="7"/>
    </row>
    <row r="13855" spans="1:16">
      <c r="A13855" s="3">
        <v>44271.68168981481</v>
      </c>
      <c r="B13855" s="4" t="str">
        <f>HYPERLINK("https://twitter.com/petrogustavo","@petrogustavo")</f>
        <v>@petrogustavo</v>
      </c>
      <c r="C13855" s="5" t="s">
        <v>16</v>
      </c>
      <c r="D13855" s="5" t="s">
        <v>13335</v>
      </c>
      <c r="E13855" s="6" t="str">
        <f>HYPERLINK("https://twitter.com/petrogustavo/status/1371776163736121347","1371776163736121347")</f>
        <v>1371776163736121347</v>
      </c>
      <c r="F13855" s="7" t="s">
        <v>17</v>
      </c>
      <c r="G13855" s="7">
        <v>4079733</v>
      </c>
      <c r="H13855" s="7">
        <v>2495</v>
      </c>
      <c r="I13855" s="7">
        <v>77</v>
      </c>
      <c r="J13855" s="7">
        <v>156</v>
      </c>
      <c r="K13855" s="7" t="s">
        <v>18</v>
      </c>
      <c r="L13855" s="8">
        <v>39987.315405092595</v>
      </c>
      <c r="M13855" s="9" t="s">
        <v>19</v>
      </c>
      <c r="N13855" s="9" t="s">
        <v>20</v>
      </c>
      <c r="O13855" s="6" t="str">
        <f>HYPERLINK("https://pbs.twimg.com/profile_images/962471262747529216/Uo8lOkRJ_normal.jpg","View")</f>
        <v>View</v>
      </c>
      <c r="P13855" s="7"/>
    </row>
    <row r="13856" spans="1:16">
      <c r="A13856" s="3">
        <v>44271.706412037034</v>
      </c>
      <c r="B13856" s="4" t="str">
        <f>HYPERLINK("https://twitter.com/petrogustavo","@petrogustavo")</f>
        <v>@petrogustavo</v>
      </c>
      <c r="C13856" s="5" t="s">
        <v>16</v>
      </c>
      <c r="D13856" s="5" t="s">
        <v>13336</v>
      </c>
      <c r="E13856" s="6" t="str">
        <f>HYPERLINK("https://twitter.com/petrogustavo/status/1371785120915587072","1371785120915587072")</f>
        <v>1371785120915587072</v>
      </c>
      <c r="F13856" s="7" t="s">
        <v>17</v>
      </c>
      <c r="G13856" s="7">
        <v>4079743</v>
      </c>
      <c r="H13856" s="7">
        <v>2495</v>
      </c>
      <c r="I13856" s="7">
        <v>134</v>
      </c>
      <c r="J13856" s="7">
        <v>315</v>
      </c>
      <c r="K13856" s="7" t="s">
        <v>18</v>
      </c>
      <c r="L13856" s="8">
        <v>39987.315405092595</v>
      </c>
      <c r="M13856" s="9" t="s">
        <v>19</v>
      </c>
      <c r="N13856" s="9" t="s">
        <v>20</v>
      </c>
      <c r="O13856" s="6" t="str">
        <f>HYPERLINK("https://pbs.twimg.com/profile_images/962471262747529216/Uo8lOkRJ_normal.jpg","View")</f>
        <v>View</v>
      </c>
      <c r="P13856" s="7"/>
    </row>
    <row r="13857" spans="1:16">
      <c r="A13857" s="3">
        <v>44271.716956018514</v>
      </c>
      <c r="B13857" s="4" t="str">
        <f>HYPERLINK("https://twitter.com/petrogustavo","@petrogustavo")</f>
        <v>@petrogustavo</v>
      </c>
      <c r="C13857" s="5" t="s">
        <v>16</v>
      </c>
      <c r="D13857" s="5" t="s">
        <v>13337</v>
      </c>
      <c r="E13857" s="6" t="str">
        <f>HYPERLINK("https://twitter.com/petrogustavo/status/1371788944166240261","1371788944166240261")</f>
        <v>1371788944166240261</v>
      </c>
      <c r="F13857" s="7" t="s">
        <v>17</v>
      </c>
      <c r="G13857" s="7">
        <v>4079748</v>
      </c>
      <c r="H13857" s="7">
        <v>2495</v>
      </c>
      <c r="I13857" s="7">
        <v>104</v>
      </c>
      <c r="J13857" s="7">
        <v>0</v>
      </c>
      <c r="K13857" s="7" t="s">
        <v>18</v>
      </c>
      <c r="L13857" s="8">
        <v>39987.315405092595</v>
      </c>
      <c r="M13857" s="9" t="s">
        <v>19</v>
      </c>
      <c r="N13857" s="9" t="s">
        <v>20</v>
      </c>
      <c r="O13857" s="6" t="str">
        <f>HYPERLINK("https://pbs.twimg.com/profile_images/962471262747529216/Uo8lOkRJ_normal.jpg","View")</f>
        <v>View</v>
      </c>
      <c r="P13857" s="7"/>
    </row>
    <row r="13858" spans="1:16">
      <c r="A13858" s="3">
        <v>44271.728391203702</v>
      </c>
      <c r="B13858" s="4" t="str">
        <f>HYPERLINK("https://twitter.com/petrogustavo","@petrogustavo")</f>
        <v>@petrogustavo</v>
      </c>
      <c r="C13858" s="5" t="s">
        <v>16</v>
      </c>
      <c r="D13858" s="5" t="s">
        <v>13338</v>
      </c>
      <c r="E13858" s="6" t="str">
        <f>HYPERLINK("https://twitter.com/petrogustavo/status/1371793085961805824","1371793085961805824")</f>
        <v>1371793085961805824</v>
      </c>
      <c r="F13858" s="7" t="s">
        <v>17</v>
      </c>
      <c r="G13858" s="7">
        <v>4079748</v>
      </c>
      <c r="H13858" s="7">
        <v>2495</v>
      </c>
      <c r="I13858" s="7">
        <v>18</v>
      </c>
      <c r="J13858" s="7">
        <v>65</v>
      </c>
      <c r="K13858" s="7" t="s">
        <v>18</v>
      </c>
      <c r="L13858" s="8">
        <v>39987.315405092595</v>
      </c>
      <c r="M13858" s="9" t="s">
        <v>19</v>
      </c>
      <c r="N13858" s="9" t="s">
        <v>20</v>
      </c>
      <c r="O13858" s="6" t="str">
        <f>HYPERLINK("https://pbs.twimg.com/profile_images/962471262747529216/Uo8lOkRJ_normal.jpg","View")</f>
        <v>View</v>
      </c>
      <c r="P13858" s="7"/>
    </row>
    <row r="13859" spans="1:16">
      <c r="A13859" s="3">
        <v>44272.664120370369</v>
      </c>
      <c r="B13859" s="4" t="str">
        <f>HYPERLINK("https://twitter.com/petrogustavo","@petrogustavo")</f>
        <v>@petrogustavo</v>
      </c>
      <c r="C13859" s="5" t="s">
        <v>16</v>
      </c>
      <c r="D13859" s="5" t="s">
        <v>13339</v>
      </c>
      <c r="E13859" s="6" t="str">
        <f>HYPERLINK("https://twitter.com/petrogustavo/status/1372132183515742215","1372132183515742215")</f>
        <v>1372132183515742215</v>
      </c>
      <c r="F13859" s="7" t="s">
        <v>17</v>
      </c>
      <c r="G13859" s="7">
        <v>4080069</v>
      </c>
      <c r="H13859" s="7">
        <v>2495</v>
      </c>
      <c r="I13859" s="7">
        <v>916</v>
      </c>
      <c r="J13859" s="7">
        <v>0</v>
      </c>
      <c r="K13859" s="7" t="s">
        <v>18</v>
      </c>
      <c r="L13859" s="8">
        <v>39987.315405092595</v>
      </c>
      <c r="M13859" s="9" t="s">
        <v>19</v>
      </c>
      <c r="N13859" s="9" t="s">
        <v>20</v>
      </c>
      <c r="O13859" s="6" t="str">
        <f>HYPERLINK("https://pbs.twimg.com/profile_images/962471262747529216/Uo8lOkRJ_normal.jpg","View")</f>
        <v>View</v>
      </c>
      <c r="P13859" s="7"/>
    </row>
    <row r="13860" spans="1:16">
      <c r="A13860" s="3">
        <v>44272.68613425926</v>
      </c>
      <c r="B13860" s="4" t="str">
        <f>HYPERLINK("https://twitter.com/petrogustavo","@petrogustavo")</f>
        <v>@petrogustavo</v>
      </c>
      <c r="C13860" s="5" t="s">
        <v>16</v>
      </c>
      <c r="D13860" s="5" t="s">
        <v>13340</v>
      </c>
      <c r="E13860" s="6" t="str">
        <f>HYPERLINK("https://twitter.com/petrogustavo/status/1372140161857953796","1372140161857953796")</f>
        <v>1372140161857953796</v>
      </c>
      <c r="F13860" s="7" t="s">
        <v>17</v>
      </c>
      <c r="G13860" s="7">
        <v>4080076</v>
      </c>
      <c r="H13860" s="7">
        <v>2495</v>
      </c>
      <c r="I13860" s="7">
        <v>20</v>
      </c>
      <c r="J13860" s="7">
        <v>46</v>
      </c>
      <c r="K13860" s="7" t="s">
        <v>18</v>
      </c>
      <c r="L13860" s="8">
        <v>39987.315405092595</v>
      </c>
      <c r="M13860" s="9" t="s">
        <v>19</v>
      </c>
      <c r="N13860" s="9" t="s">
        <v>20</v>
      </c>
      <c r="O13860" s="6" t="str">
        <f>HYPERLINK("https://pbs.twimg.com/profile_images/962471262747529216/Uo8lOkRJ_normal.jpg","View")</f>
        <v>View</v>
      </c>
      <c r="P13860" s="7"/>
    </row>
    <row r="13861" spans="1:16">
      <c r="A13861" s="3">
        <v>44272.721435185187</v>
      </c>
      <c r="B13861" s="4" t="str">
        <f>HYPERLINK("https://twitter.com/petrogustavo","@petrogustavo")</f>
        <v>@petrogustavo</v>
      </c>
      <c r="C13861" s="5" t="s">
        <v>16</v>
      </c>
      <c r="D13861" s="5" t="s">
        <v>13341</v>
      </c>
      <c r="E13861" s="6" t="str">
        <f>HYPERLINK("https://twitter.com/petrogustavo/status/1372152955139452930","1372152955139452930")</f>
        <v>1372152955139452930</v>
      </c>
      <c r="F13861" s="7" t="s">
        <v>17</v>
      </c>
      <c r="G13861" s="7">
        <v>4080088</v>
      </c>
      <c r="H13861" s="7">
        <v>2495</v>
      </c>
      <c r="I13861" s="7">
        <v>98</v>
      </c>
      <c r="J13861" s="7">
        <v>372</v>
      </c>
      <c r="K13861" s="7" t="s">
        <v>18</v>
      </c>
      <c r="L13861" s="8">
        <v>39987.315405092595</v>
      </c>
      <c r="M13861" s="9" t="s">
        <v>19</v>
      </c>
      <c r="N13861" s="9" t="s">
        <v>20</v>
      </c>
      <c r="O13861" s="6" t="str">
        <f>HYPERLINK("https://pbs.twimg.com/profile_images/962471262747529216/Uo8lOkRJ_normal.jpg","View")</f>
        <v>View</v>
      </c>
      <c r="P13861" s="7"/>
    </row>
    <row r="13862" spans="1:16">
      <c r="A13862" s="3">
        <v>44272.721446759257</v>
      </c>
      <c r="B13862" s="4" t="str">
        <f>HYPERLINK("https://twitter.com/petrogustavo","@petrogustavo")</f>
        <v>@petrogustavo</v>
      </c>
      <c r="C13862" s="5" t="s">
        <v>16</v>
      </c>
      <c r="D13862" s="5" t="s">
        <v>13342</v>
      </c>
      <c r="E13862" s="6" t="str">
        <f>HYPERLINK("https://twitter.com/petrogustavo/status/1372152958192918529","1372152958192918529")</f>
        <v>1372152958192918529</v>
      </c>
      <c r="F13862" s="7" t="s">
        <v>17</v>
      </c>
      <c r="G13862" s="7">
        <v>4080088</v>
      </c>
      <c r="H13862" s="7">
        <v>2495</v>
      </c>
      <c r="I13862" s="7">
        <v>47</v>
      </c>
      <c r="J13862" s="7">
        <v>253</v>
      </c>
      <c r="K13862" s="7" t="s">
        <v>18</v>
      </c>
      <c r="L13862" s="8">
        <v>39987.315405092595</v>
      </c>
      <c r="M13862" s="9" t="s">
        <v>19</v>
      </c>
      <c r="N13862" s="9" t="s">
        <v>20</v>
      </c>
      <c r="O13862" s="6" t="str">
        <f>HYPERLINK("https://pbs.twimg.com/profile_images/962471262747529216/Uo8lOkRJ_normal.jpg","View")</f>
        <v>View</v>
      </c>
      <c r="P13862" s="7"/>
    </row>
    <row r="13863" spans="1:16">
      <c r="A13863" s="3">
        <v>44272.721446759257</v>
      </c>
      <c r="B13863" s="4" t="str">
        <f>HYPERLINK("https://twitter.com/petrogustavo","@petrogustavo")</f>
        <v>@petrogustavo</v>
      </c>
      <c r="C13863" s="5" t="s">
        <v>16</v>
      </c>
      <c r="D13863" s="5" t="s">
        <v>13343</v>
      </c>
      <c r="E13863" s="6" t="str">
        <f>HYPERLINK("https://twitter.com/petrogustavo/status/1372152959681847299","1372152959681847299")</f>
        <v>1372152959681847299</v>
      </c>
      <c r="F13863" s="7" t="s">
        <v>17</v>
      </c>
      <c r="G13863" s="7">
        <v>4080088</v>
      </c>
      <c r="H13863" s="7">
        <v>2495</v>
      </c>
      <c r="I13863" s="7">
        <v>47</v>
      </c>
      <c r="J13863" s="7">
        <v>269</v>
      </c>
      <c r="K13863" s="7" t="s">
        <v>18</v>
      </c>
      <c r="L13863" s="8">
        <v>39987.315405092595</v>
      </c>
      <c r="M13863" s="9" t="s">
        <v>19</v>
      </c>
      <c r="N13863" s="9" t="s">
        <v>20</v>
      </c>
      <c r="O13863" s="6" t="str">
        <f>HYPERLINK("https://pbs.twimg.com/profile_images/962471262747529216/Uo8lOkRJ_normal.jpg","View")</f>
        <v>View</v>
      </c>
      <c r="P13863" s="7"/>
    </row>
    <row r="13864" spans="1:16">
      <c r="A13864" s="3">
        <v>44272.740601851852</v>
      </c>
      <c r="B13864" s="4" t="str">
        <f>HYPERLINK("https://twitter.com/petrogustavo","@petrogustavo")</f>
        <v>@petrogustavo</v>
      </c>
      <c r="C13864" s="5" t="s">
        <v>16</v>
      </c>
      <c r="D13864" s="5" t="s">
        <v>13344</v>
      </c>
      <c r="E13864" s="6" t="str">
        <f>HYPERLINK("https://twitter.com/petrogustavo/status/1372159900567150592","1372159900567150592")</f>
        <v>1372159900567150592</v>
      </c>
      <c r="F13864" s="7" t="s">
        <v>17</v>
      </c>
      <c r="G13864" s="7">
        <v>4080091</v>
      </c>
      <c r="H13864" s="7">
        <v>2494</v>
      </c>
      <c r="I13864" s="7">
        <v>350</v>
      </c>
      <c r="J13864" s="7">
        <v>1368</v>
      </c>
      <c r="K13864" s="7" t="s">
        <v>18</v>
      </c>
      <c r="L13864" s="8">
        <v>39987.315405092595</v>
      </c>
      <c r="M13864" s="9" t="s">
        <v>19</v>
      </c>
      <c r="N13864" s="9" t="s">
        <v>20</v>
      </c>
      <c r="O13864" s="6" t="str">
        <f>HYPERLINK("https://pbs.twimg.com/profile_images/962471262747529216/Uo8lOkRJ_normal.jpg","View")</f>
        <v>View</v>
      </c>
      <c r="P13864" s="7"/>
    </row>
    <row r="13865" spans="1:16">
      <c r="A13865" s="3">
        <v>44272.756631944445</v>
      </c>
      <c r="B13865" s="4" t="str">
        <f>HYPERLINK("https://twitter.com/petrogustavo","@petrogustavo")</f>
        <v>@petrogustavo</v>
      </c>
      <c r="C13865" s="5" t="s">
        <v>16</v>
      </c>
      <c r="D13865" s="5" t="s">
        <v>13345</v>
      </c>
      <c r="E13865" s="6" t="str">
        <f>HYPERLINK("https://twitter.com/petrogustavo/status/1372165710126968837","1372165710126968837")</f>
        <v>1372165710126968837</v>
      </c>
      <c r="F13865" s="7" t="s">
        <v>17</v>
      </c>
      <c r="G13865" s="7">
        <v>4080101</v>
      </c>
      <c r="H13865" s="7">
        <v>2494</v>
      </c>
      <c r="I13865" s="7">
        <v>67</v>
      </c>
      <c r="J13865" s="7">
        <v>179</v>
      </c>
      <c r="K13865" s="7" t="s">
        <v>18</v>
      </c>
      <c r="L13865" s="8">
        <v>39987.315405092595</v>
      </c>
      <c r="M13865" s="9" t="s">
        <v>19</v>
      </c>
      <c r="N13865" s="9" t="s">
        <v>20</v>
      </c>
      <c r="O13865" s="6" t="str">
        <f>HYPERLINK("https://pbs.twimg.com/profile_images/962471262747529216/Uo8lOkRJ_normal.jpg","View")</f>
        <v>View</v>
      </c>
      <c r="P13865" s="7"/>
    </row>
    <row r="13866" spans="1:16">
      <c r="A13866" s="3">
        <v>44272.758194444439</v>
      </c>
      <c r="B13866" s="4" t="str">
        <f>HYPERLINK("https://twitter.com/petrogustavo","@petrogustavo")</f>
        <v>@petrogustavo</v>
      </c>
      <c r="C13866" s="5" t="s">
        <v>16</v>
      </c>
      <c r="D13866" s="5" t="s">
        <v>13346</v>
      </c>
      <c r="E13866" s="6" t="str">
        <f>HYPERLINK("https://twitter.com/petrogustavo/status/1372166276475457537","1372166276475457537")</f>
        <v>1372166276475457537</v>
      </c>
      <c r="F13866" s="7" t="s">
        <v>17</v>
      </c>
      <c r="G13866" s="7">
        <v>4080101</v>
      </c>
      <c r="H13866" s="7">
        <v>2494</v>
      </c>
      <c r="I13866" s="7">
        <v>1241</v>
      </c>
      <c r="J13866" s="7">
        <v>0</v>
      </c>
      <c r="K13866" s="7" t="s">
        <v>18</v>
      </c>
      <c r="L13866" s="8">
        <v>39987.315405092595</v>
      </c>
      <c r="M13866" s="9" t="s">
        <v>19</v>
      </c>
      <c r="N13866" s="9" t="s">
        <v>20</v>
      </c>
      <c r="O13866" s="6" t="str">
        <f>HYPERLINK("https://pbs.twimg.com/profile_images/962471262747529216/Uo8lOkRJ_normal.jpg","View")</f>
        <v>View</v>
      </c>
      <c r="P13866" s="7"/>
    </row>
    <row r="13867" spans="1:16">
      <c r="A13867" s="3">
        <v>44272.758831018524</v>
      </c>
      <c r="B13867" s="4" t="str">
        <f>HYPERLINK("https://twitter.com/petrogustavo","@petrogustavo")</f>
        <v>@petrogustavo</v>
      </c>
      <c r="C13867" s="5" t="s">
        <v>16</v>
      </c>
      <c r="D13867" s="5" t="s">
        <v>13347</v>
      </c>
      <c r="E13867" s="6" t="str">
        <f>HYPERLINK("https://twitter.com/petrogustavo/status/1372166507287953410","1372166507287953410")</f>
        <v>1372166507287953410</v>
      </c>
      <c r="F13867" s="7" t="s">
        <v>17</v>
      </c>
      <c r="G13867" s="7">
        <v>4080101</v>
      </c>
      <c r="H13867" s="7">
        <v>2494</v>
      </c>
      <c r="I13867" s="7">
        <v>163</v>
      </c>
      <c r="J13867" s="7">
        <v>0</v>
      </c>
      <c r="K13867" s="7" t="s">
        <v>18</v>
      </c>
      <c r="L13867" s="8">
        <v>39987.315405092595</v>
      </c>
      <c r="M13867" s="9" t="s">
        <v>19</v>
      </c>
      <c r="N13867" s="9" t="s">
        <v>20</v>
      </c>
      <c r="O13867" s="6" t="str">
        <f>HYPERLINK("https://pbs.twimg.com/profile_images/962471262747529216/Uo8lOkRJ_normal.jpg","View")</f>
        <v>View</v>
      </c>
      <c r="P13867" s="7"/>
    </row>
    <row r="13868" spans="1:16">
      <c r="A13868" s="3">
        <v>44273.679293981477</v>
      </c>
      <c r="B13868" s="4" t="str">
        <f>HYPERLINK("https://twitter.com/petrogustavo","@petrogustavo")</f>
        <v>@petrogustavo</v>
      </c>
      <c r="C13868" s="5" t="s">
        <v>16</v>
      </c>
      <c r="D13868" s="5" t="s">
        <v>13348</v>
      </c>
      <c r="E13868" s="6" t="str">
        <f>HYPERLINK("https://twitter.com/petrogustavo/status/1372500072143986693","1372500072143986693")</f>
        <v>1372500072143986693</v>
      </c>
      <c r="F13868" s="7" t="s">
        <v>17</v>
      </c>
      <c r="G13868" s="7">
        <v>4080554</v>
      </c>
      <c r="H13868" s="7">
        <v>2494</v>
      </c>
      <c r="I13868" s="7">
        <v>138</v>
      </c>
      <c r="J13868" s="7">
        <v>400</v>
      </c>
      <c r="K13868" s="7" t="s">
        <v>18</v>
      </c>
      <c r="L13868" s="8">
        <v>39987.315405092595</v>
      </c>
      <c r="M13868" s="9" t="s">
        <v>19</v>
      </c>
      <c r="N13868" s="9" t="s">
        <v>20</v>
      </c>
      <c r="O13868" s="6" t="str">
        <f>HYPERLINK("https://pbs.twimg.com/profile_images/962471262747529216/Uo8lOkRJ_normal.jpg","View")</f>
        <v>View</v>
      </c>
      <c r="P13868" s="7"/>
    </row>
    <row r="13869" spans="1:16">
      <c r="A13869" s="3">
        <v>44273.679305555561</v>
      </c>
      <c r="B13869" s="4" t="str">
        <f>HYPERLINK("https://twitter.com/petrogustavo","@petrogustavo")</f>
        <v>@petrogustavo</v>
      </c>
      <c r="C13869" s="5" t="s">
        <v>16</v>
      </c>
      <c r="D13869" s="5" t="s">
        <v>13349</v>
      </c>
      <c r="E13869" s="6" t="str">
        <f>HYPERLINK("https://twitter.com/petrogustavo/status/1372500073549025282","1372500073549025282")</f>
        <v>1372500073549025282</v>
      </c>
      <c r="F13869" s="7" t="s">
        <v>17</v>
      </c>
      <c r="G13869" s="7">
        <v>4080554</v>
      </c>
      <c r="H13869" s="7">
        <v>2494</v>
      </c>
      <c r="I13869" s="7">
        <v>93</v>
      </c>
      <c r="J13869" s="7">
        <v>296</v>
      </c>
      <c r="K13869" s="7" t="s">
        <v>18</v>
      </c>
      <c r="L13869" s="8">
        <v>39987.315405092595</v>
      </c>
      <c r="M13869" s="9" t="s">
        <v>19</v>
      </c>
      <c r="N13869" s="9" t="s">
        <v>20</v>
      </c>
      <c r="O13869" s="6" t="str">
        <f>HYPERLINK("https://pbs.twimg.com/profile_images/962471262747529216/Uo8lOkRJ_normal.jpg","View")</f>
        <v>View</v>
      </c>
      <c r="P13869" s="7"/>
    </row>
    <row r="13870" spans="1:16">
      <c r="A13870" s="3">
        <v>44273.685833333337</v>
      </c>
      <c r="B13870" s="4" t="str">
        <f>HYPERLINK("https://twitter.com/petrogustavo","@petrogustavo")</f>
        <v>@petrogustavo</v>
      </c>
      <c r="C13870" s="5" t="s">
        <v>16</v>
      </c>
      <c r="D13870" s="5" t="s">
        <v>13350</v>
      </c>
      <c r="E13870" s="6" t="str">
        <f>HYPERLINK("https://twitter.com/petrogustavo/status/1372502439669211141","1372502439669211141")</f>
        <v>1372502439669211141</v>
      </c>
      <c r="F13870" s="7" t="s">
        <v>17</v>
      </c>
      <c r="G13870" s="7">
        <v>4080554</v>
      </c>
      <c r="H13870" s="7">
        <v>2494</v>
      </c>
      <c r="I13870" s="7">
        <v>27</v>
      </c>
      <c r="J13870" s="7">
        <v>81</v>
      </c>
      <c r="K13870" s="7" t="s">
        <v>18</v>
      </c>
      <c r="L13870" s="8">
        <v>39987.315405092595</v>
      </c>
      <c r="M13870" s="9" t="s">
        <v>19</v>
      </c>
      <c r="N13870" s="9" t="s">
        <v>20</v>
      </c>
      <c r="O13870" s="6" t="str">
        <f>HYPERLINK("https://pbs.twimg.com/profile_images/962471262747529216/Uo8lOkRJ_normal.jpg","View")</f>
        <v>View</v>
      </c>
      <c r="P13870" s="7"/>
    </row>
    <row r="13871" spans="1:16">
      <c r="A13871" s="3">
        <v>44273.687650462962</v>
      </c>
      <c r="B13871" s="4" t="str">
        <f>HYPERLINK("https://twitter.com/petrogustavo","@petrogustavo")</f>
        <v>@petrogustavo</v>
      </c>
      <c r="C13871" s="5" t="s">
        <v>16</v>
      </c>
      <c r="D13871" s="5" t="s">
        <v>13351</v>
      </c>
      <c r="E13871" s="6" t="str">
        <f>HYPERLINK("https://twitter.com/petrogustavo/status/1372503100611780612","1372503100611780612")</f>
        <v>1372503100611780612</v>
      </c>
      <c r="F13871" s="7" t="s">
        <v>17</v>
      </c>
      <c r="G13871" s="7">
        <v>4080554</v>
      </c>
      <c r="H13871" s="7">
        <v>2494</v>
      </c>
      <c r="I13871" s="7">
        <v>138</v>
      </c>
      <c r="J13871" s="7">
        <v>0</v>
      </c>
      <c r="K13871" s="7" t="s">
        <v>18</v>
      </c>
      <c r="L13871" s="8">
        <v>39987.315405092595</v>
      </c>
      <c r="M13871" s="9" t="s">
        <v>19</v>
      </c>
      <c r="N13871" s="9" t="s">
        <v>20</v>
      </c>
      <c r="O13871" s="6" t="str">
        <f>HYPERLINK("https://pbs.twimg.com/profile_images/962471262747529216/Uo8lOkRJ_normal.jpg","View")</f>
        <v>View</v>
      </c>
      <c r="P13871" s="7"/>
    </row>
    <row r="13872" spans="1:16">
      <c r="A13872" s="3">
        <v>44276.654293981483</v>
      </c>
      <c r="B13872" s="4" t="str">
        <f>HYPERLINK("https://twitter.com/petrogustavo","@petrogustavo")</f>
        <v>@petrogustavo</v>
      </c>
      <c r="C13872" s="5" t="s">
        <v>16</v>
      </c>
      <c r="D13872" s="5" t="s">
        <v>13352</v>
      </c>
      <c r="E13872" s="6" t="str">
        <f>HYPERLINK("https://twitter.com/petrogustavo/status/1373578174714552324","1373578174714552324")</f>
        <v>1373578174714552324</v>
      </c>
      <c r="F13872" s="7" t="s">
        <v>17</v>
      </c>
      <c r="G13872" s="7">
        <v>4081691</v>
      </c>
      <c r="H13872" s="7">
        <v>2496</v>
      </c>
      <c r="I13872" s="7">
        <v>21</v>
      </c>
      <c r="J13872" s="7">
        <v>48</v>
      </c>
      <c r="K13872" s="7" t="s">
        <v>18</v>
      </c>
      <c r="L13872" s="8">
        <v>39987.315405092595</v>
      </c>
      <c r="M13872" s="9" t="s">
        <v>19</v>
      </c>
      <c r="N13872" s="9" t="s">
        <v>20</v>
      </c>
      <c r="O13872" s="6" t="str">
        <f>HYPERLINK("https://pbs.twimg.com/profile_images/962471262747529216/Uo8lOkRJ_normal.jpg","View")</f>
        <v>View</v>
      </c>
      <c r="P13872" s="7"/>
    </row>
    <row r="13873" spans="1:16">
      <c r="A13873" s="3">
        <v>44276.844942129625</v>
      </c>
      <c r="B13873" s="4" t="str">
        <f>HYPERLINK("https://twitter.com/petrogustavo","@petrogustavo")</f>
        <v>@petrogustavo</v>
      </c>
      <c r="C13873" s="5" t="s">
        <v>16</v>
      </c>
      <c r="D13873" s="5" t="s">
        <v>13353</v>
      </c>
      <c r="E13873" s="6" t="str">
        <f>HYPERLINK("https://twitter.com/petrogustavo/status/1373647262182731776","1373647262182731776")</f>
        <v>1373647262182731776</v>
      </c>
      <c r="F13873" s="7" t="s">
        <v>17</v>
      </c>
      <c r="G13873" s="7">
        <v>4081744</v>
      </c>
      <c r="H13873" s="7">
        <v>2496</v>
      </c>
      <c r="I13873" s="7">
        <v>226</v>
      </c>
      <c r="J13873" s="7">
        <v>0</v>
      </c>
      <c r="K13873" s="7" t="s">
        <v>18</v>
      </c>
      <c r="L13873" s="8">
        <v>39987.315405092595</v>
      </c>
      <c r="M13873" s="9" t="s">
        <v>19</v>
      </c>
      <c r="N13873" s="9" t="s">
        <v>20</v>
      </c>
      <c r="O13873" s="6" t="str">
        <f>HYPERLINK("https://pbs.twimg.com/profile_images/962471262747529216/Uo8lOkRJ_normal.jpg","View")</f>
        <v>View</v>
      </c>
      <c r="P13873" s="7"/>
    </row>
    <row r="13874" spans="1:16">
      <c r="A13874" s="3">
        <v>44276.846099537041</v>
      </c>
      <c r="B13874" s="4" t="str">
        <f>HYPERLINK("https://twitter.com/petrogustavo","@petrogustavo")</f>
        <v>@petrogustavo</v>
      </c>
      <c r="C13874" s="5" t="s">
        <v>16</v>
      </c>
      <c r="D13874" s="5" t="s">
        <v>13354</v>
      </c>
      <c r="E13874" s="6" t="str">
        <f>HYPERLINK("https://twitter.com/petrogustavo/status/1373647682900746241","1373647682900746241")</f>
        <v>1373647682900746241</v>
      </c>
      <c r="F13874" s="7" t="s">
        <v>17</v>
      </c>
      <c r="G13874" s="7">
        <v>4081757</v>
      </c>
      <c r="H13874" s="7">
        <v>2496</v>
      </c>
      <c r="I13874" s="7">
        <v>3608</v>
      </c>
      <c r="J13874" s="7">
        <v>0</v>
      </c>
      <c r="K13874" s="7" t="s">
        <v>18</v>
      </c>
      <c r="L13874" s="8">
        <v>39987.315405092595</v>
      </c>
      <c r="M13874" s="9" t="s">
        <v>19</v>
      </c>
      <c r="N13874" s="9" t="s">
        <v>20</v>
      </c>
      <c r="O13874" s="6" t="str">
        <f>HYPERLINK("https://pbs.twimg.com/profile_images/962471262747529216/Uo8lOkRJ_normal.jpg","View")</f>
        <v>View</v>
      </c>
      <c r="P13874" s="7"/>
    </row>
    <row r="13875" spans="1:16">
      <c r="A13875" s="3">
        <v>44277.815439814818</v>
      </c>
      <c r="B13875" s="4" t="str">
        <f>HYPERLINK("https://twitter.com/petrogustavo","@petrogustavo")</f>
        <v>@petrogustavo</v>
      </c>
      <c r="C13875" s="5" t="s">
        <v>16</v>
      </c>
      <c r="D13875" s="5" t="s">
        <v>13355</v>
      </c>
      <c r="E13875" s="6" t="str">
        <f>HYPERLINK("https://twitter.com/petrogustavo/status/1373998961015525377","1373998961015525377")</f>
        <v>1373998961015525377</v>
      </c>
      <c r="F13875" s="7" t="s">
        <v>17</v>
      </c>
      <c r="G13875" s="7">
        <v>4082015</v>
      </c>
      <c r="H13875" s="7">
        <v>2496</v>
      </c>
      <c r="I13875" s="7">
        <v>64</v>
      </c>
      <c r="J13875" s="7">
        <v>0</v>
      </c>
      <c r="K13875" s="7" t="s">
        <v>18</v>
      </c>
      <c r="L13875" s="8">
        <v>39987.315405092595</v>
      </c>
      <c r="M13875" s="9" t="s">
        <v>19</v>
      </c>
      <c r="N13875" s="9" t="s">
        <v>20</v>
      </c>
      <c r="O13875" s="6" t="str">
        <f>HYPERLINK("https://pbs.twimg.com/profile_images/962471262747529216/Uo8lOkRJ_normal.jpg","View")</f>
        <v>View</v>
      </c>
      <c r="P13875" s="7"/>
    </row>
    <row r="13876" spans="1:16">
      <c r="A13876" s="3">
        <v>44277.826354166667</v>
      </c>
      <c r="B13876" s="4" t="str">
        <f>HYPERLINK("https://twitter.com/petrogustavo","@petrogustavo")</f>
        <v>@petrogustavo</v>
      </c>
      <c r="C13876" s="5" t="s">
        <v>16</v>
      </c>
      <c r="D13876" s="5" t="s">
        <v>13356</v>
      </c>
      <c r="E13876" s="6" t="str">
        <f>HYPERLINK("https://twitter.com/petrogustavo/status/1374002914142851075","1374002914142851075")</f>
        <v>1374002914142851075</v>
      </c>
      <c r="F13876" s="7" t="s">
        <v>17</v>
      </c>
      <c r="G13876" s="7">
        <v>4082021</v>
      </c>
      <c r="H13876" s="7">
        <v>2496</v>
      </c>
      <c r="I13876" s="7">
        <v>601</v>
      </c>
      <c r="J13876" s="7">
        <v>0</v>
      </c>
      <c r="K13876" s="7" t="s">
        <v>18</v>
      </c>
      <c r="L13876" s="8">
        <v>39987.315405092595</v>
      </c>
      <c r="M13876" s="9" t="s">
        <v>19</v>
      </c>
      <c r="N13876" s="9" t="s">
        <v>20</v>
      </c>
      <c r="O13876" s="6" t="str">
        <f>HYPERLINK("https://pbs.twimg.com/profile_images/962471262747529216/Uo8lOkRJ_normal.jpg","View")</f>
        <v>View</v>
      </c>
      <c r="P13876" s="7"/>
    </row>
    <row r="13877" spans="1:16">
      <c r="A13877" s="3">
        <v>44277.931226851855</v>
      </c>
      <c r="B13877" s="4" t="str">
        <f>HYPERLINK("https://twitter.com/petrogustavo","@petrogustavo")</f>
        <v>@petrogustavo</v>
      </c>
      <c r="C13877" s="5" t="s">
        <v>16</v>
      </c>
      <c r="D13877" s="5" t="s">
        <v>13357</v>
      </c>
      <c r="E13877" s="6" t="str">
        <f>HYPERLINK("https://twitter.com/petrogustavo/status/1374040921889771521","1374040921889771521")</f>
        <v>1374040921889771521</v>
      </c>
      <c r="F13877" s="7" t="s">
        <v>17</v>
      </c>
      <c r="G13877" s="7">
        <v>4082062</v>
      </c>
      <c r="H13877" s="7">
        <v>2496</v>
      </c>
      <c r="I13877" s="7">
        <v>420</v>
      </c>
      <c r="J13877" s="7">
        <v>1035</v>
      </c>
      <c r="K13877" s="7" t="s">
        <v>18</v>
      </c>
      <c r="L13877" s="8">
        <v>39987.315405092595</v>
      </c>
      <c r="M13877" s="9" t="s">
        <v>19</v>
      </c>
      <c r="N13877" s="9" t="s">
        <v>20</v>
      </c>
      <c r="O13877" s="6" t="str">
        <f>HYPERLINK("https://pbs.twimg.com/profile_images/962471262747529216/Uo8lOkRJ_normal.jpg","View")</f>
        <v>View</v>
      </c>
      <c r="P13877" s="7"/>
    </row>
    <row r="13878" spans="1:16">
      <c r="A13878" s="3">
        <v>44278.6878587963</v>
      </c>
      <c r="B13878" s="4" t="str">
        <f>HYPERLINK("https://twitter.com/petrogustavo","@petrogustavo")</f>
        <v>@petrogustavo</v>
      </c>
      <c r="C13878" s="5" t="s">
        <v>16</v>
      </c>
      <c r="D13878" s="5" t="s">
        <v>13358</v>
      </c>
      <c r="E13878" s="6" t="str">
        <f>HYPERLINK("https://twitter.com/petrogustavo/status/1374315112471924737","1374315112471924737")</f>
        <v>1374315112471924737</v>
      </c>
      <c r="F13878" s="7" t="s">
        <v>17</v>
      </c>
      <c r="G13878" s="7">
        <v>4082429</v>
      </c>
      <c r="H13878" s="7">
        <v>2495</v>
      </c>
      <c r="I13878" s="7">
        <v>3250</v>
      </c>
      <c r="J13878" s="7">
        <v>0</v>
      </c>
      <c r="K13878" s="7" t="s">
        <v>18</v>
      </c>
      <c r="L13878" s="8">
        <v>39987.315405092595</v>
      </c>
      <c r="M13878" s="9" t="s">
        <v>19</v>
      </c>
      <c r="N13878" s="9" t="s">
        <v>20</v>
      </c>
      <c r="O13878" s="6" t="str">
        <f>HYPERLINK("https://pbs.twimg.com/profile_images/962471262747529216/Uo8lOkRJ_normal.jpg","View")</f>
        <v>View</v>
      </c>
      <c r="P13878" s="7"/>
    </row>
    <row r="13879" spans="1:16">
      <c r="A13879" s="3">
        <v>44278.87498842593</v>
      </c>
      <c r="B13879" s="4" t="str">
        <f>HYPERLINK("https://twitter.com/petrogustavo","@petrogustavo")</f>
        <v>@petrogustavo</v>
      </c>
      <c r="C13879" s="5" t="s">
        <v>16</v>
      </c>
      <c r="D13879" s="5" t="s">
        <v>13359</v>
      </c>
      <c r="E13879" s="6" t="str">
        <f>HYPERLINK("https://twitter.com/petrogustavo/status/1374382928965234690","1374382928965234690")</f>
        <v>1374382928965234690</v>
      </c>
      <c r="F13879" s="7" t="s">
        <v>17</v>
      </c>
      <c r="G13879" s="7">
        <v>4081808</v>
      </c>
      <c r="H13879" s="7">
        <v>2494</v>
      </c>
      <c r="I13879" s="7">
        <v>88</v>
      </c>
      <c r="J13879" s="7">
        <v>0</v>
      </c>
      <c r="K13879" s="7" t="s">
        <v>18</v>
      </c>
      <c r="L13879" s="8">
        <v>39987.315405092595</v>
      </c>
      <c r="M13879" s="9" t="s">
        <v>19</v>
      </c>
      <c r="N13879" s="9" t="s">
        <v>20</v>
      </c>
      <c r="O13879" s="6" t="str">
        <f>HYPERLINK("https://pbs.twimg.com/profile_images/962471262747529216/Uo8lOkRJ_normal.jpg","View")</f>
        <v>View</v>
      </c>
      <c r="P13879" s="7"/>
    </row>
    <row r="13880" spans="1:16">
      <c r="A13880" s="3">
        <v>44278.882627314815</v>
      </c>
      <c r="B13880" s="4" t="str">
        <f>HYPERLINK("https://twitter.com/petrogustavo","@petrogustavo")</f>
        <v>@petrogustavo</v>
      </c>
      <c r="C13880" s="5" t="s">
        <v>16</v>
      </c>
      <c r="D13880" s="5" t="s">
        <v>13360</v>
      </c>
      <c r="E13880" s="6" t="str">
        <f>HYPERLINK("https://twitter.com/petrogustavo/status/1374385697944072203","1374385697944072203")</f>
        <v>1374385697944072203</v>
      </c>
      <c r="F13880" s="7" t="s">
        <v>17</v>
      </c>
      <c r="G13880" s="7">
        <v>4081808</v>
      </c>
      <c r="H13880" s="7">
        <v>2494</v>
      </c>
      <c r="I13880" s="7">
        <v>31</v>
      </c>
      <c r="J13880" s="7">
        <v>0</v>
      </c>
      <c r="K13880" s="7" t="s">
        <v>18</v>
      </c>
      <c r="L13880" s="8">
        <v>39987.315405092595</v>
      </c>
      <c r="M13880" s="9" t="s">
        <v>19</v>
      </c>
      <c r="N13880" s="9" t="s">
        <v>20</v>
      </c>
      <c r="O13880" s="6" t="str">
        <f>HYPERLINK("https://pbs.twimg.com/profile_images/962471262747529216/Uo8lOkRJ_normal.jpg","View")</f>
        <v>View</v>
      </c>
      <c r="P13880" s="7"/>
    </row>
    <row r="13881" spans="1:16">
      <c r="A13881" s="3">
        <v>44278.890543981484</v>
      </c>
      <c r="B13881" s="4" t="str">
        <f>HYPERLINK("https://twitter.com/petrogustavo","@petrogustavo")</f>
        <v>@petrogustavo</v>
      </c>
      <c r="C13881" s="5" t="s">
        <v>16</v>
      </c>
      <c r="D13881" s="5" t="s">
        <v>13358</v>
      </c>
      <c r="E13881" s="6" t="str">
        <f>HYPERLINK("https://twitter.com/petrogustavo/status/1374388566411800585","1374388566411800585")</f>
        <v>1374388566411800585</v>
      </c>
      <c r="F13881" s="7" t="s">
        <v>17</v>
      </c>
      <c r="G13881" s="7">
        <v>4081818</v>
      </c>
      <c r="H13881" s="7">
        <v>2494</v>
      </c>
      <c r="I13881" s="7">
        <v>3459</v>
      </c>
      <c r="J13881" s="7">
        <v>0</v>
      </c>
      <c r="K13881" s="7" t="s">
        <v>18</v>
      </c>
      <c r="L13881" s="8">
        <v>39987.315405092595</v>
      </c>
      <c r="M13881" s="9" t="s">
        <v>19</v>
      </c>
      <c r="N13881" s="9" t="s">
        <v>20</v>
      </c>
      <c r="O13881" s="6" t="str">
        <f>HYPERLINK("https://pbs.twimg.com/profile_images/962471262747529216/Uo8lOkRJ_normal.jpg","View")</f>
        <v>View</v>
      </c>
      <c r="P13881" s="7"/>
    </row>
    <row r="13882" spans="1:16">
      <c r="A13882" s="3">
        <v>44279.017974537041</v>
      </c>
      <c r="B13882" s="4" t="str">
        <f>HYPERLINK("https://twitter.com/petrogustavo","@petrogustavo")</f>
        <v>@petrogustavo</v>
      </c>
      <c r="C13882" s="5" t="s">
        <v>16</v>
      </c>
      <c r="D13882" s="5" t="s">
        <v>13361</v>
      </c>
      <c r="E13882" s="6" t="str">
        <f>HYPERLINK("https://twitter.com/petrogustavo/status/1374434742884438017","1374434742884438017")</f>
        <v>1374434742884438017</v>
      </c>
      <c r="F13882" s="7" t="s">
        <v>17</v>
      </c>
      <c r="G13882" s="7">
        <v>4081911</v>
      </c>
      <c r="H13882" s="7">
        <v>2494</v>
      </c>
      <c r="I13882" s="7">
        <v>832</v>
      </c>
      <c r="J13882" s="7">
        <v>4973</v>
      </c>
      <c r="K13882" s="7" t="s">
        <v>18</v>
      </c>
      <c r="L13882" s="8">
        <v>39987.315405092595</v>
      </c>
      <c r="M13882" s="9" t="s">
        <v>19</v>
      </c>
      <c r="N13882" s="9" t="s">
        <v>20</v>
      </c>
      <c r="O13882" s="6" t="str">
        <f>HYPERLINK("https://pbs.twimg.com/profile_images/962471262747529216/Uo8lOkRJ_normal.jpg","View")</f>
        <v>View</v>
      </c>
      <c r="P13882" s="7"/>
    </row>
    <row r="13883" spans="1:16">
      <c r="A13883" s="3">
        <v>44279.778356481482</v>
      </c>
      <c r="B13883" s="4" t="str">
        <f>HYPERLINK("https://twitter.com/petrogustavo","@petrogustavo")</f>
        <v>@petrogustavo</v>
      </c>
      <c r="C13883" s="5" t="s">
        <v>16</v>
      </c>
      <c r="D13883" s="5" t="s">
        <v>13362</v>
      </c>
      <c r="E13883" s="6" t="str">
        <f>HYPERLINK("https://twitter.com/petrogustavo/status/1374710297475309570","1374710297475309570")</f>
        <v>1374710297475309570</v>
      </c>
      <c r="F13883" s="7" t="s">
        <v>17</v>
      </c>
      <c r="G13883" s="7">
        <v>4083043</v>
      </c>
      <c r="H13883" s="7">
        <v>2494</v>
      </c>
      <c r="I13883" s="7">
        <v>94</v>
      </c>
      <c r="J13883" s="7">
        <v>386</v>
      </c>
      <c r="K13883" s="7" t="s">
        <v>18</v>
      </c>
      <c r="L13883" s="8">
        <v>39987.315405092595</v>
      </c>
      <c r="M13883" s="9" t="s">
        <v>19</v>
      </c>
      <c r="N13883" s="9" t="s">
        <v>20</v>
      </c>
      <c r="O13883" s="6" t="str">
        <f>HYPERLINK("https://pbs.twimg.com/profile_images/962471262747529216/Uo8lOkRJ_normal.jpg","View")</f>
        <v>View</v>
      </c>
      <c r="P13883" s="7"/>
    </row>
    <row r="13884" spans="1:16">
      <c r="A13884" s="3">
        <v>44279.816782407404</v>
      </c>
      <c r="B13884" s="4" t="str">
        <f>HYPERLINK("https://twitter.com/petrogustavo","@petrogustavo")</f>
        <v>@petrogustavo</v>
      </c>
      <c r="C13884" s="5" t="s">
        <v>16</v>
      </c>
      <c r="D13884" s="5" t="s">
        <v>13363</v>
      </c>
      <c r="E13884" s="6" t="str">
        <f>HYPERLINK("https://twitter.com/petrogustavo/status/1374724222656917505","1374724222656917505")</f>
        <v>1374724222656917505</v>
      </c>
      <c r="F13884" s="7" t="s">
        <v>17</v>
      </c>
      <c r="G13884" s="7">
        <v>4083053</v>
      </c>
      <c r="H13884" s="7">
        <v>2494</v>
      </c>
      <c r="I13884" s="7">
        <v>179</v>
      </c>
      <c r="J13884" s="7">
        <v>0</v>
      </c>
      <c r="K13884" s="7" t="s">
        <v>18</v>
      </c>
      <c r="L13884" s="8">
        <v>39987.315405092595</v>
      </c>
      <c r="M13884" s="9" t="s">
        <v>19</v>
      </c>
      <c r="N13884" s="9" t="s">
        <v>20</v>
      </c>
      <c r="O13884" s="6" t="str">
        <f>HYPERLINK("https://pbs.twimg.com/profile_images/962471262747529216/Uo8lOkRJ_normal.jpg","View")</f>
        <v>View</v>
      </c>
      <c r="P13884" s="7"/>
    </row>
    <row r="13885" spans="1:16">
      <c r="A13885" s="3">
        <v>44279.837766203702</v>
      </c>
      <c r="B13885" s="4" t="str">
        <f>HYPERLINK("https://twitter.com/petrogustavo","@petrogustavo")</f>
        <v>@petrogustavo</v>
      </c>
      <c r="C13885" s="5" t="s">
        <v>16</v>
      </c>
      <c r="D13885" s="5" t="s">
        <v>13364</v>
      </c>
      <c r="E13885" s="6" t="str">
        <f>HYPERLINK("https://twitter.com/petrogustavo/status/1374731825004879872","1374731825004879872")</f>
        <v>1374731825004879872</v>
      </c>
      <c r="F13885" s="7" t="s">
        <v>17</v>
      </c>
      <c r="G13885" s="7">
        <v>4083073</v>
      </c>
      <c r="H13885" s="7">
        <v>2494</v>
      </c>
      <c r="I13885" s="7">
        <v>67</v>
      </c>
      <c r="J13885" s="7">
        <v>272</v>
      </c>
      <c r="K13885" s="7" t="s">
        <v>18</v>
      </c>
      <c r="L13885" s="8">
        <v>39987.315405092595</v>
      </c>
      <c r="M13885" s="9" t="s">
        <v>19</v>
      </c>
      <c r="N13885" s="9" t="s">
        <v>20</v>
      </c>
      <c r="O13885" s="6" t="str">
        <f>HYPERLINK("https://pbs.twimg.com/profile_images/962471262747529216/Uo8lOkRJ_normal.jpg","View")</f>
        <v>View</v>
      </c>
      <c r="P13885" s="7"/>
    </row>
    <row r="13886" spans="1:16">
      <c r="A13886" s="3">
        <v>44279.837766203702</v>
      </c>
      <c r="B13886" s="4" t="str">
        <f>HYPERLINK("https://twitter.com/petrogustavo","@petrogustavo")</f>
        <v>@petrogustavo</v>
      </c>
      <c r="C13886" s="5" t="s">
        <v>16</v>
      </c>
      <c r="D13886" s="5" t="s">
        <v>13365</v>
      </c>
      <c r="E13886" s="6" t="str">
        <f>HYPERLINK("https://twitter.com/petrogustavo/status/1374731828351922178","1374731828351922178")</f>
        <v>1374731828351922178</v>
      </c>
      <c r="F13886" s="7" t="s">
        <v>17</v>
      </c>
      <c r="G13886" s="7">
        <v>4083073</v>
      </c>
      <c r="H13886" s="7">
        <v>2494</v>
      </c>
      <c r="I13886" s="7">
        <v>46</v>
      </c>
      <c r="J13886" s="7">
        <v>251</v>
      </c>
      <c r="K13886" s="7" t="s">
        <v>18</v>
      </c>
      <c r="L13886" s="8">
        <v>39987.315405092595</v>
      </c>
      <c r="M13886" s="9" t="s">
        <v>19</v>
      </c>
      <c r="N13886" s="9" t="s">
        <v>20</v>
      </c>
      <c r="O13886" s="6" t="str">
        <f>HYPERLINK("https://pbs.twimg.com/profile_images/962471262747529216/Uo8lOkRJ_normal.jpg","View")</f>
        <v>View</v>
      </c>
      <c r="P13886" s="7"/>
    </row>
    <row r="13887" spans="1:16">
      <c r="A13887" s="3">
        <v>44279.874444444446</v>
      </c>
      <c r="B13887" s="4" t="str">
        <f>HYPERLINK("https://twitter.com/petrogustavo","@petrogustavo")</f>
        <v>@petrogustavo</v>
      </c>
      <c r="C13887" s="5" t="s">
        <v>16</v>
      </c>
      <c r="D13887" s="5" t="s">
        <v>13366</v>
      </c>
      <c r="E13887" s="6" t="str">
        <f>HYPERLINK("https://twitter.com/petrogustavo/status/1374745116771033093","1374745116771033093")</f>
        <v>1374745116771033093</v>
      </c>
      <c r="F13887" s="7" t="s">
        <v>17</v>
      </c>
      <c r="G13887" s="7">
        <v>4083119</v>
      </c>
      <c r="H13887" s="7">
        <v>2494</v>
      </c>
      <c r="I13887" s="7">
        <v>864</v>
      </c>
      <c r="J13887" s="7">
        <v>0</v>
      </c>
      <c r="K13887" s="7" t="s">
        <v>18</v>
      </c>
      <c r="L13887" s="8">
        <v>39987.315405092595</v>
      </c>
      <c r="M13887" s="9" t="s">
        <v>19</v>
      </c>
      <c r="N13887" s="9" t="s">
        <v>20</v>
      </c>
      <c r="O13887" s="6" t="str">
        <f>HYPERLINK("https://pbs.twimg.com/profile_images/962471262747529216/Uo8lOkRJ_normal.jpg","View")</f>
        <v>View</v>
      </c>
      <c r="P13887" s="7"/>
    </row>
    <row r="13888" spans="1:16">
      <c r="A13888" s="3">
        <v>44280.072025462963</v>
      </c>
      <c r="B13888" s="4" t="str">
        <f>HYPERLINK("https://twitter.com/petrogustavo","@petrogustavo")</f>
        <v>@petrogustavo</v>
      </c>
      <c r="C13888" s="5" t="s">
        <v>16</v>
      </c>
      <c r="D13888" s="5" t="s">
        <v>13367</v>
      </c>
      <c r="E13888" s="6" t="str">
        <f>HYPERLINK("https://twitter.com/petrogustavo/status/1374816720641257474","1374816720641257474")</f>
        <v>1374816720641257474</v>
      </c>
      <c r="F13888" s="7" t="s">
        <v>17</v>
      </c>
      <c r="G13888" s="7">
        <v>4083149</v>
      </c>
      <c r="H13888" s="7">
        <v>2494</v>
      </c>
      <c r="I13888" s="7">
        <v>50</v>
      </c>
      <c r="J13888" s="7">
        <v>0</v>
      </c>
      <c r="K13888" s="7" t="s">
        <v>18</v>
      </c>
      <c r="L13888" s="8">
        <v>39987.315405092595</v>
      </c>
      <c r="M13888" s="9" t="s">
        <v>19</v>
      </c>
      <c r="N13888" s="9" t="s">
        <v>20</v>
      </c>
      <c r="O13888" s="6" t="str">
        <f>HYPERLINK("https://pbs.twimg.com/profile_images/962471262747529216/Uo8lOkRJ_normal.jpg","View")</f>
        <v>View</v>
      </c>
      <c r="P13888" s="7"/>
    </row>
    <row r="13889" spans="1:16">
      <c r="A13889" s="3">
        <v>44280.775034722217</v>
      </c>
      <c r="B13889" s="4" t="str">
        <f>HYPERLINK("https://twitter.com/petrogustavo","@petrogustavo")</f>
        <v>@petrogustavo</v>
      </c>
      <c r="C13889" s="5" t="s">
        <v>16</v>
      </c>
      <c r="D13889" s="5" t="s">
        <v>13368</v>
      </c>
      <c r="E13889" s="6" t="str">
        <f>HYPERLINK("https://twitter.com/petrogustavo/status/1375071482129301505","1375071482129301505")</f>
        <v>1375071482129301505</v>
      </c>
      <c r="F13889" s="7" t="s">
        <v>17</v>
      </c>
      <c r="G13889" s="7">
        <v>4083437</v>
      </c>
      <c r="H13889" s="7">
        <v>2494</v>
      </c>
      <c r="I13889" s="7">
        <v>177</v>
      </c>
      <c r="J13889" s="7">
        <v>388</v>
      </c>
      <c r="K13889" s="7" t="s">
        <v>18</v>
      </c>
      <c r="L13889" s="8">
        <v>39987.315405092595</v>
      </c>
      <c r="M13889" s="9" t="s">
        <v>19</v>
      </c>
      <c r="N13889" s="9" t="s">
        <v>20</v>
      </c>
      <c r="O13889" s="6" t="str">
        <f>HYPERLINK("https://pbs.twimg.com/profile_images/962471262747529216/Uo8lOkRJ_normal.jpg","View")</f>
        <v>View</v>
      </c>
      <c r="P13889" s="7"/>
    </row>
    <row r="13890" spans="1:16">
      <c r="A13890" s="3">
        <v>44280.775046296301</v>
      </c>
      <c r="B13890" s="4" t="str">
        <f>HYPERLINK("https://twitter.com/petrogustavo","@petrogustavo")</f>
        <v>@petrogustavo</v>
      </c>
      <c r="C13890" s="5" t="s">
        <v>16</v>
      </c>
      <c r="D13890" s="5" t="s">
        <v>13369</v>
      </c>
      <c r="E13890" s="6" t="str">
        <f>HYPERLINK("https://twitter.com/petrogustavo/status/1375071483869810696","1375071483869810696")</f>
        <v>1375071483869810696</v>
      </c>
      <c r="F13890" s="7" t="s">
        <v>17</v>
      </c>
      <c r="G13890" s="7">
        <v>4083437</v>
      </c>
      <c r="H13890" s="7">
        <v>2494</v>
      </c>
      <c r="I13890" s="7">
        <v>101</v>
      </c>
      <c r="J13890" s="7">
        <v>256</v>
      </c>
      <c r="K13890" s="7" t="s">
        <v>18</v>
      </c>
      <c r="L13890" s="8">
        <v>39987.315405092595</v>
      </c>
      <c r="M13890" s="9" t="s">
        <v>19</v>
      </c>
      <c r="N13890" s="9" t="s">
        <v>20</v>
      </c>
      <c r="O13890" s="6" t="str">
        <f>HYPERLINK("https://pbs.twimg.com/profile_images/962471262747529216/Uo8lOkRJ_normal.jpg","View")</f>
        <v>View</v>
      </c>
      <c r="P13890" s="7"/>
    </row>
    <row r="13891" spans="1:16">
      <c r="A13891" s="3">
        <v>44280.775046296301</v>
      </c>
      <c r="B13891" s="4" t="str">
        <f>HYPERLINK("https://twitter.com/petrogustavo","@petrogustavo")</f>
        <v>@petrogustavo</v>
      </c>
      <c r="C13891" s="5" t="s">
        <v>16</v>
      </c>
      <c r="D13891" s="5" t="s">
        <v>13370</v>
      </c>
      <c r="E13891" s="6" t="str">
        <f>HYPERLINK("https://twitter.com/petrogustavo/status/1375071485593845761","1375071485593845761")</f>
        <v>1375071485593845761</v>
      </c>
      <c r="F13891" s="7" t="s">
        <v>17</v>
      </c>
      <c r="G13891" s="7">
        <v>4083437</v>
      </c>
      <c r="H13891" s="7">
        <v>2494</v>
      </c>
      <c r="I13891" s="7">
        <v>129</v>
      </c>
      <c r="J13891" s="7">
        <v>304</v>
      </c>
      <c r="K13891" s="7" t="s">
        <v>18</v>
      </c>
      <c r="L13891" s="8">
        <v>39987.315405092595</v>
      </c>
      <c r="M13891" s="9" t="s">
        <v>19</v>
      </c>
      <c r="N13891" s="9" t="s">
        <v>20</v>
      </c>
      <c r="O13891" s="6" t="str">
        <f>HYPERLINK("https://pbs.twimg.com/profile_images/962471262747529216/Uo8lOkRJ_normal.jpg","View")</f>
        <v>View</v>
      </c>
      <c r="P13891" s="7"/>
    </row>
    <row r="13892" spans="1:16">
      <c r="A13892" s="3">
        <v>44280.96497685185</v>
      </c>
      <c r="B13892" s="4" t="str">
        <f>HYPERLINK("https://twitter.com/petrogustavo","@petrogustavo")</f>
        <v>@petrogustavo</v>
      </c>
      <c r="C13892" s="5" t="s">
        <v>16</v>
      </c>
      <c r="D13892" s="5" t="s">
        <v>13371</v>
      </c>
      <c r="E13892" s="6" t="str">
        <f>HYPERLINK("https://twitter.com/petrogustavo/status/1375140316261593096","1375140316261593096")</f>
        <v>1375140316261593096</v>
      </c>
      <c r="F13892" s="7" t="s">
        <v>17</v>
      </c>
      <c r="G13892" s="7">
        <v>4083491</v>
      </c>
      <c r="H13892" s="7">
        <v>2494</v>
      </c>
      <c r="I13892" s="7">
        <v>15</v>
      </c>
      <c r="J13892" s="7">
        <v>0</v>
      </c>
      <c r="K13892" s="7" t="s">
        <v>18</v>
      </c>
      <c r="L13892" s="8">
        <v>39987.315405092595</v>
      </c>
      <c r="M13892" s="9" t="s">
        <v>19</v>
      </c>
      <c r="N13892" s="9" t="s">
        <v>20</v>
      </c>
      <c r="O13892" s="6" t="str">
        <f>HYPERLINK("https://pbs.twimg.com/profile_images/962471262747529216/Uo8lOkRJ_normal.jpg","View")</f>
        <v>View</v>
      </c>
      <c r="P13892" s="7"/>
    </row>
    <row r="13893" spans="1:16">
      <c r="A13893" s="3">
        <v>44280.975069444445</v>
      </c>
      <c r="B13893" s="4" t="str">
        <f>HYPERLINK("https://twitter.com/petrogustavo","@petrogustavo")</f>
        <v>@petrogustavo</v>
      </c>
      <c r="C13893" s="5" t="s">
        <v>16</v>
      </c>
      <c r="D13893" s="5" t="s">
        <v>13372</v>
      </c>
      <c r="E13893" s="6" t="str">
        <f>HYPERLINK("https://twitter.com/petrogustavo/status/1375143973803716613","1375143973803716613")</f>
        <v>1375143973803716613</v>
      </c>
      <c r="F13893" s="7" t="s">
        <v>17</v>
      </c>
      <c r="G13893" s="7">
        <v>4083503</v>
      </c>
      <c r="H13893" s="7">
        <v>2494</v>
      </c>
      <c r="I13893" s="7">
        <v>1878</v>
      </c>
      <c r="J13893" s="7">
        <v>0</v>
      </c>
      <c r="K13893" s="7" t="s">
        <v>18</v>
      </c>
      <c r="L13893" s="8">
        <v>39987.315405092595</v>
      </c>
      <c r="M13893" s="9" t="s">
        <v>19</v>
      </c>
      <c r="N13893" s="9" t="s">
        <v>20</v>
      </c>
      <c r="O13893" s="6" t="str">
        <f>HYPERLINK("https://pbs.twimg.com/profile_images/962471262747529216/Uo8lOkRJ_normal.jpg","View")</f>
        <v>View</v>
      </c>
      <c r="P13893" s="7"/>
    </row>
    <row r="13894" spans="1:16">
      <c r="A13894" s="3">
        <v>44280.975682870368</v>
      </c>
      <c r="B13894" s="4" t="str">
        <f>HYPERLINK("https://twitter.com/petrogustavo","@petrogustavo")</f>
        <v>@petrogustavo</v>
      </c>
      <c r="C13894" s="5" t="s">
        <v>16</v>
      </c>
      <c r="D13894" s="5" t="s">
        <v>13373</v>
      </c>
      <c r="E13894" s="6" t="str">
        <f>HYPERLINK("https://twitter.com/petrogustavo/status/1375144194256351237","1375144194256351237")</f>
        <v>1375144194256351237</v>
      </c>
      <c r="F13894" s="7" t="s">
        <v>17</v>
      </c>
      <c r="G13894" s="7">
        <v>4083503</v>
      </c>
      <c r="H13894" s="7">
        <v>2494</v>
      </c>
      <c r="I13894" s="7">
        <v>652</v>
      </c>
      <c r="J13894" s="7">
        <v>0</v>
      </c>
      <c r="K13894" s="7" t="s">
        <v>18</v>
      </c>
      <c r="L13894" s="8">
        <v>39987.315405092595</v>
      </c>
      <c r="M13894" s="9" t="s">
        <v>19</v>
      </c>
      <c r="N13894" s="9" t="s">
        <v>20</v>
      </c>
      <c r="O13894" s="6" t="str">
        <f>HYPERLINK("https://pbs.twimg.com/profile_images/962471262747529216/Uo8lOkRJ_normal.jpg","View")</f>
        <v>View</v>
      </c>
      <c r="P13894" s="7"/>
    </row>
    <row r="13895" spans="1:16">
      <c r="A13895" s="3">
        <v>44280.981921296298</v>
      </c>
      <c r="B13895" s="4" t="str">
        <f>HYPERLINK("https://twitter.com/petrogustavo","@petrogustavo")</f>
        <v>@petrogustavo</v>
      </c>
      <c r="C13895" s="5" t="s">
        <v>16</v>
      </c>
      <c r="D13895" s="5" t="s">
        <v>13374</v>
      </c>
      <c r="E13895" s="6" t="str">
        <f>HYPERLINK("https://twitter.com/petrogustavo/status/1375146453534965762","1375146453534965762")</f>
        <v>1375146453534965762</v>
      </c>
      <c r="F13895" s="7" t="s">
        <v>17</v>
      </c>
      <c r="G13895" s="7">
        <v>4083503</v>
      </c>
      <c r="H13895" s="7">
        <v>2494</v>
      </c>
      <c r="I13895" s="7">
        <v>119</v>
      </c>
      <c r="J13895" s="7">
        <v>312</v>
      </c>
      <c r="K13895" s="7" t="s">
        <v>18</v>
      </c>
      <c r="L13895" s="8">
        <v>39987.315405092595</v>
      </c>
      <c r="M13895" s="9" t="s">
        <v>19</v>
      </c>
      <c r="N13895" s="9" t="s">
        <v>20</v>
      </c>
      <c r="O13895" s="6" t="str">
        <f>HYPERLINK("https://pbs.twimg.com/profile_images/962471262747529216/Uo8lOkRJ_normal.jpg","View")</f>
        <v>View</v>
      </c>
      <c r="P13895" s="7"/>
    </row>
    <row r="13896" spans="1:16">
      <c r="A13896" s="3">
        <v>44280.981921296298</v>
      </c>
      <c r="B13896" s="4" t="str">
        <f>HYPERLINK("https://twitter.com/petrogustavo","@petrogustavo")</f>
        <v>@petrogustavo</v>
      </c>
      <c r="C13896" s="5" t="s">
        <v>16</v>
      </c>
      <c r="D13896" s="5" t="s">
        <v>13375</v>
      </c>
      <c r="E13896" s="6" t="str">
        <f>HYPERLINK("https://twitter.com/petrogustavo/status/1375146454969372675","1375146454969372675")</f>
        <v>1375146454969372675</v>
      </c>
      <c r="F13896" s="7" t="s">
        <v>17</v>
      </c>
      <c r="G13896" s="7">
        <v>4083503</v>
      </c>
      <c r="H13896" s="7">
        <v>2494</v>
      </c>
      <c r="I13896" s="7">
        <v>74</v>
      </c>
      <c r="J13896" s="7">
        <v>231</v>
      </c>
      <c r="K13896" s="7" t="s">
        <v>18</v>
      </c>
      <c r="L13896" s="8">
        <v>39987.315405092595</v>
      </c>
      <c r="M13896" s="9" t="s">
        <v>19</v>
      </c>
      <c r="N13896" s="9" t="s">
        <v>20</v>
      </c>
      <c r="O13896" s="6" t="str">
        <f>HYPERLINK("https://pbs.twimg.com/profile_images/962471262747529216/Uo8lOkRJ_normal.jpg","View")</f>
        <v>View</v>
      </c>
      <c r="P13896" s="7"/>
    </row>
    <row r="13897" spans="1:16">
      <c r="A13897" s="3">
        <v>44281.675879629634</v>
      </c>
      <c r="B13897" s="4" t="str">
        <f>HYPERLINK("https://twitter.com/petrogustavo","@petrogustavo")</f>
        <v>@petrogustavo</v>
      </c>
      <c r="C13897" s="5" t="s">
        <v>16</v>
      </c>
      <c r="D13897" s="5" t="s">
        <v>13376</v>
      </c>
      <c r="E13897" s="6" t="str">
        <f>HYPERLINK("https://twitter.com/petrogustavo/status/1375397937124098049","1375397937124098049")</f>
        <v>1375397937124098049</v>
      </c>
      <c r="F13897" s="7" t="s">
        <v>17</v>
      </c>
      <c r="G13897" s="7">
        <v>4083818</v>
      </c>
      <c r="H13897" s="7">
        <v>2494</v>
      </c>
      <c r="I13897" s="7">
        <v>19</v>
      </c>
      <c r="J13897" s="7">
        <v>55</v>
      </c>
      <c r="K13897" s="7" t="s">
        <v>18</v>
      </c>
      <c r="L13897" s="8">
        <v>39987.315405092595</v>
      </c>
      <c r="M13897" s="9" t="s">
        <v>19</v>
      </c>
      <c r="N13897" s="9" t="s">
        <v>20</v>
      </c>
      <c r="O13897" s="6" t="str">
        <f>HYPERLINK("https://pbs.twimg.com/profile_images/962471262747529216/Uo8lOkRJ_normal.jpg","View")</f>
        <v>View</v>
      </c>
      <c r="P13897" s="7"/>
    </row>
    <row r="13898" spans="1:16">
      <c r="A13898" s="3">
        <v>44281.675879629634</v>
      </c>
      <c r="B13898" s="4" t="str">
        <f>HYPERLINK("https://twitter.com/petrogustavo","@petrogustavo")</f>
        <v>@petrogustavo</v>
      </c>
      <c r="C13898" s="5" t="s">
        <v>16</v>
      </c>
      <c r="D13898" s="5" t="s">
        <v>13377</v>
      </c>
      <c r="E13898" s="6" t="str">
        <f>HYPERLINK("https://twitter.com/petrogustavo/status/1375397938395017217","1375397938395017217")</f>
        <v>1375397938395017217</v>
      </c>
      <c r="F13898" s="7" t="s">
        <v>17</v>
      </c>
      <c r="G13898" s="7">
        <v>4083818</v>
      </c>
      <c r="H13898" s="7">
        <v>2494</v>
      </c>
      <c r="I13898" s="7">
        <v>18</v>
      </c>
      <c r="J13898" s="7">
        <v>61</v>
      </c>
      <c r="K13898" s="7" t="s">
        <v>18</v>
      </c>
      <c r="L13898" s="8">
        <v>39987.315405092595</v>
      </c>
      <c r="M13898" s="9" t="s">
        <v>19</v>
      </c>
      <c r="N13898" s="9" t="s">
        <v>20</v>
      </c>
      <c r="O13898" s="6" t="str">
        <f>HYPERLINK("https://pbs.twimg.com/profile_images/962471262747529216/Uo8lOkRJ_normal.jpg","View")</f>
        <v>View</v>
      </c>
      <c r="P13898" s="7"/>
    </row>
    <row r="13899" spans="1:16">
      <c r="A13899" s="3">
        <v>44281.80532407407</v>
      </c>
      <c r="B13899" s="4" t="str">
        <f>HYPERLINK("https://twitter.com/petrogustavo","@petrogustavo")</f>
        <v>@petrogustavo</v>
      </c>
      <c r="C13899" s="5" t="s">
        <v>16</v>
      </c>
      <c r="D13899" s="5" t="s">
        <v>13378</v>
      </c>
      <c r="E13899" s="6" t="str">
        <f>HYPERLINK("https://twitter.com/petrogustavo/status/1375444844521357319","1375444844521357319")</f>
        <v>1375444844521357319</v>
      </c>
      <c r="F13899" s="7" t="s">
        <v>17</v>
      </c>
      <c r="G13899" s="7">
        <v>4083848</v>
      </c>
      <c r="H13899" s="7">
        <v>2494</v>
      </c>
      <c r="I13899" s="7">
        <v>175</v>
      </c>
      <c r="J13899" s="7">
        <v>381</v>
      </c>
      <c r="K13899" s="7" t="s">
        <v>18</v>
      </c>
      <c r="L13899" s="8">
        <v>39987.315405092595</v>
      </c>
      <c r="M13899" s="9" t="s">
        <v>19</v>
      </c>
      <c r="N13899" s="9" t="s">
        <v>20</v>
      </c>
      <c r="O13899" s="6" t="str">
        <f>HYPERLINK("https://pbs.twimg.com/profile_images/962471262747529216/Uo8lOkRJ_normal.jpg","View")</f>
        <v>View</v>
      </c>
      <c r="P13899" s="7"/>
    </row>
    <row r="13900" spans="1:16">
      <c r="A13900" s="3">
        <v>44281.80532407407</v>
      </c>
      <c r="B13900" s="4" t="str">
        <f>HYPERLINK("https://twitter.com/petrogustavo","@petrogustavo")</f>
        <v>@petrogustavo</v>
      </c>
      <c r="C13900" s="5" t="s">
        <v>16</v>
      </c>
      <c r="D13900" s="5" t="s">
        <v>13379</v>
      </c>
      <c r="E13900" s="6" t="str">
        <f>HYPERLINK("https://twitter.com/petrogustavo/status/1375444846144593923","1375444846144593923")</f>
        <v>1375444846144593923</v>
      </c>
      <c r="F13900" s="7" t="s">
        <v>17</v>
      </c>
      <c r="G13900" s="7">
        <v>4083848</v>
      </c>
      <c r="H13900" s="7">
        <v>2494</v>
      </c>
      <c r="I13900" s="7">
        <v>33</v>
      </c>
      <c r="J13900" s="7">
        <v>70</v>
      </c>
      <c r="K13900" s="7" t="s">
        <v>18</v>
      </c>
      <c r="L13900" s="8">
        <v>39987.315405092595</v>
      </c>
      <c r="M13900" s="9" t="s">
        <v>19</v>
      </c>
      <c r="N13900" s="9" t="s">
        <v>20</v>
      </c>
      <c r="O13900" s="6" t="str">
        <f>HYPERLINK("https://pbs.twimg.com/profile_images/962471262747529216/Uo8lOkRJ_normal.jpg","View")</f>
        <v>View</v>
      </c>
      <c r="P13900" s="7"/>
    </row>
    <row r="13901" spans="1:16">
      <c r="A13901" s="3">
        <v>44281.80532407407</v>
      </c>
      <c r="B13901" s="4" t="str">
        <f>HYPERLINK("https://twitter.com/petrogustavo","@petrogustavo")</f>
        <v>@petrogustavo</v>
      </c>
      <c r="C13901" s="5" t="s">
        <v>16</v>
      </c>
      <c r="D13901" s="5" t="s">
        <v>13380</v>
      </c>
      <c r="E13901" s="6" t="str">
        <f>HYPERLINK("https://twitter.com/petrogustavo/status/1375444847654539266","1375444847654539266")</f>
        <v>1375444847654539266</v>
      </c>
      <c r="F13901" s="7" t="s">
        <v>17</v>
      </c>
      <c r="G13901" s="7">
        <v>4083848</v>
      </c>
      <c r="H13901" s="7">
        <v>2494</v>
      </c>
      <c r="I13901" s="7">
        <v>90</v>
      </c>
      <c r="J13901" s="7">
        <v>261</v>
      </c>
      <c r="K13901" s="7" t="s">
        <v>18</v>
      </c>
      <c r="L13901" s="8">
        <v>39987.315405092595</v>
      </c>
      <c r="M13901" s="9" t="s">
        <v>19</v>
      </c>
      <c r="N13901" s="9" t="s">
        <v>20</v>
      </c>
      <c r="O13901" s="6" t="str">
        <f>HYPERLINK("https://pbs.twimg.com/profile_images/962471262747529216/Uo8lOkRJ_normal.jpg","View")</f>
        <v>View</v>
      </c>
      <c r="P13901" s="7"/>
    </row>
    <row r="13902" spans="1:16">
      <c r="A13902" s="3">
        <v>44281.805335648147</v>
      </c>
      <c r="B13902" s="4" t="str">
        <f>HYPERLINK("https://twitter.com/petrogustavo","@petrogustavo")</f>
        <v>@petrogustavo</v>
      </c>
      <c r="C13902" s="5" t="s">
        <v>16</v>
      </c>
      <c r="D13902" s="5" t="s">
        <v>13381</v>
      </c>
      <c r="E13902" s="6" t="str">
        <f>HYPERLINK("https://twitter.com/petrogustavo/status/1375444849097334786","1375444849097334786")</f>
        <v>1375444849097334786</v>
      </c>
      <c r="F13902" s="7" t="s">
        <v>17</v>
      </c>
      <c r="G13902" s="7">
        <v>4083848</v>
      </c>
      <c r="H13902" s="7">
        <v>2494</v>
      </c>
      <c r="I13902" s="7">
        <v>99</v>
      </c>
      <c r="J13902" s="7">
        <v>269</v>
      </c>
      <c r="K13902" s="7" t="s">
        <v>18</v>
      </c>
      <c r="L13902" s="8">
        <v>39987.315405092595</v>
      </c>
      <c r="M13902" s="9" t="s">
        <v>19</v>
      </c>
      <c r="N13902" s="9" t="s">
        <v>20</v>
      </c>
      <c r="O13902" s="6" t="str">
        <f>HYPERLINK("https://pbs.twimg.com/profile_images/962471262747529216/Uo8lOkRJ_normal.jpg","View")</f>
        <v>View</v>
      </c>
      <c r="P13902" s="7"/>
    </row>
    <row r="13903" spans="1:16">
      <c r="A13903" s="3">
        <v>44281.840115740742</v>
      </c>
      <c r="B13903" s="4" t="str">
        <f>HYPERLINK("https://twitter.com/petrogustavo","@petrogustavo")</f>
        <v>@petrogustavo</v>
      </c>
      <c r="C13903" s="5" t="s">
        <v>16</v>
      </c>
      <c r="D13903" s="5" t="s">
        <v>13382</v>
      </c>
      <c r="E13903" s="6" t="str">
        <f>HYPERLINK("https://twitter.com/petrogustavo/status/1375457454977384455","1375457454977384455")</f>
        <v>1375457454977384455</v>
      </c>
      <c r="F13903" s="7" t="s">
        <v>17</v>
      </c>
      <c r="G13903" s="7">
        <v>4083856</v>
      </c>
      <c r="H13903" s="7">
        <v>2494</v>
      </c>
      <c r="I13903" s="7">
        <v>81</v>
      </c>
      <c r="J13903" s="7">
        <v>145</v>
      </c>
      <c r="K13903" s="7" t="s">
        <v>18</v>
      </c>
      <c r="L13903" s="8">
        <v>39987.315405092595</v>
      </c>
      <c r="M13903" s="9" t="s">
        <v>19</v>
      </c>
      <c r="N13903" s="9" t="s">
        <v>20</v>
      </c>
      <c r="O13903" s="6" t="str">
        <f>HYPERLINK("https://pbs.twimg.com/profile_images/962471262747529216/Uo8lOkRJ_normal.jpg","View")</f>
        <v>View</v>
      </c>
      <c r="P13903" s="7"/>
    </row>
    <row r="13904" spans="1:16">
      <c r="A13904" s="3">
        <v>44281.841504629629</v>
      </c>
      <c r="B13904" s="4" t="str">
        <f>HYPERLINK("https://twitter.com/petrogustavo","@petrogustavo")</f>
        <v>@petrogustavo</v>
      </c>
      <c r="C13904" s="5" t="s">
        <v>16</v>
      </c>
      <c r="D13904" s="5" t="s">
        <v>13383</v>
      </c>
      <c r="E13904" s="6" t="str">
        <f>HYPERLINK("https://twitter.com/petrogustavo/status/1375457956490309633","1375457956490309633")</f>
        <v>1375457956490309633</v>
      </c>
      <c r="F13904" s="7" t="s">
        <v>17</v>
      </c>
      <c r="G13904" s="7">
        <v>4083856</v>
      </c>
      <c r="H13904" s="7">
        <v>2494</v>
      </c>
      <c r="I13904" s="7">
        <v>206</v>
      </c>
      <c r="J13904" s="7">
        <v>393</v>
      </c>
      <c r="K13904" s="7" t="s">
        <v>18</v>
      </c>
      <c r="L13904" s="8">
        <v>39987.315405092595</v>
      </c>
      <c r="M13904" s="9" t="s">
        <v>19</v>
      </c>
      <c r="N13904" s="9" t="s">
        <v>20</v>
      </c>
      <c r="O13904" s="6" t="str">
        <f>HYPERLINK("https://pbs.twimg.com/profile_images/962471262747529216/Uo8lOkRJ_normal.jpg","View")</f>
        <v>View</v>
      </c>
      <c r="P13904" s="7"/>
    </row>
    <row r="13905" spans="1:16">
      <c r="A13905" s="3">
        <v>44281.843923611115</v>
      </c>
      <c r="B13905" s="4" t="str">
        <f>HYPERLINK("https://twitter.com/petrogustavo","@petrogustavo")</f>
        <v>@petrogustavo</v>
      </c>
      <c r="C13905" s="5" t="s">
        <v>16</v>
      </c>
      <c r="D13905" s="5" t="s">
        <v>13384</v>
      </c>
      <c r="E13905" s="6" t="str">
        <f>HYPERLINK("https://twitter.com/petrogustavo/status/1375458835285090308","1375458835285090308")</f>
        <v>1375458835285090308</v>
      </c>
      <c r="F13905" s="7" t="s">
        <v>17</v>
      </c>
      <c r="G13905" s="7">
        <v>4083856</v>
      </c>
      <c r="H13905" s="7">
        <v>2494</v>
      </c>
      <c r="I13905" s="7">
        <v>32</v>
      </c>
      <c r="J13905" s="7">
        <v>0</v>
      </c>
      <c r="K13905" s="7" t="s">
        <v>18</v>
      </c>
      <c r="L13905" s="8">
        <v>39987.315405092595</v>
      </c>
      <c r="M13905" s="9" t="s">
        <v>19</v>
      </c>
      <c r="N13905" s="9" t="s">
        <v>20</v>
      </c>
      <c r="O13905" s="6" t="str">
        <f>HYPERLINK("https://pbs.twimg.com/profile_images/962471262747529216/Uo8lOkRJ_normal.jpg","View")</f>
        <v>View</v>
      </c>
      <c r="P13905" s="7"/>
    </row>
    <row r="13906" spans="1:16">
      <c r="A13906" s="3">
        <v>44281.844861111109</v>
      </c>
      <c r="B13906" s="4" t="str">
        <f>HYPERLINK("https://twitter.com/petrogustavo","@petrogustavo")</f>
        <v>@petrogustavo</v>
      </c>
      <c r="C13906" s="5" t="s">
        <v>16</v>
      </c>
      <c r="D13906" s="5" t="s">
        <v>13385</v>
      </c>
      <c r="E13906" s="6" t="str">
        <f>HYPERLINK("https://twitter.com/petrogustavo/status/1375459173694062595","1375459173694062595")</f>
        <v>1375459173694062595</v>
      </c>
      <c r="F13906" s="7" t="s">
        <v>17</v>
      </c>
      <c r="G13906" s="7">
        <v>4083856</v>
      </c>
      <c r="H13906" s="7">
        <v>2494</v>
      </c>
      <c r="I13906" s="7">
        <v>291</v>
      </c>
      <c r="J13906" s="7">
        <v>0</v>
      </c>
      <c r="K13906" s="7" t="s">
        <v>18</v>
      </c>
      <c r="L13906" s="8">
        <v>39987.315405092595</v>
      </c>
      <c r="M13906" s="9" t="s">
        <v>19</v>
      </c>
      <c r="N13906" s="9" t="s">
        <v>20</v>
      </c>
      <c r="O13906" s="6" t="str">
        <f>HYPERLINK("https://pbs.twimg.com/profile_images/962471262747529216/Uo8lOkRJ_normal.jpg","View")</f>
        <v>View</v>
      </c>
      <c r="P13906" s="7"/>
    </row>
    <row r="13907" spans="1:16">
      <c r="A13907" s="3">
        <v>44282.026099537034</v>
      </c>
      <c r="B13907" s="4" t="str">
        <f>HYPERLINK("https://twitter.com/petrogustavo","@petrogustavo")</f>
        <v>@petrogustavo</v>
      </c>
      <c r="C13907" s="5" t="s">
        <v>16</v>
      </c>
      <c r="D13907" s="5" t="s">
        <v>13386</v>
      </c>
      <c r="E13907" s="6" t="str">
        <f>HYPERLINK("https://twitter.com/petrogustavo/status/1375524850853408773","1375524850853408773")</f>
        <v>1375524850853408773</v>
      </c>
      <c r="F13907" s="7" t="s">
        <v>17</v>
      </c>
      <c r="G13907" s="7">
        <v>4083960</v>
      </c>
      <c r="H13907" s="7">
        <v>2494</v>
      </c>
      <c r="I13907" s="7">
        <v>102</v>
      </c>
      <c r="J13907" s="7">
        <v>224</v>
      </c>
      <c r="K13907" s="7" t="s">
        <v>18</v>
      </c>
      <c r="L13907" s="8">
        <v>39987.315405092595</v>
      </c>
      <c r="M13907" s="9" t="s">
        <v>19</v>
      </c>
      <c r="N13907" s="9" t="s">
        <v>20</v>
      </c>
      <c r="O13907" s="6" t="str">
        <f>HYPERLINK("https://pbs.twimg.com/profile_images/962471262747529216/Uo8lOkRJ_normal.jpg","View")</f>
        <v>View</v>
      </c>
      <c r="P13907" s="7"/>
    </row>
    <row r="13908" spans="1:16">
      <c r="A13908" s="3">
        <v>44282.700752314813</v>
      </c>
      <c r="B13908" s="4" t="str">
        <f>HYPERLINK("https://twitter.com/petrogustavo","@petrogustavo")</f>
        <v>@petrogustavo</v>
      </c>
      <c r="C13908" s="5" t="s">
        <v>16</v>
      </c>
      <c r="D13908" s="5" t="s">
        <v>13387</v>
      </c>
      <c r="E13908" s="6" t="str">
        <f>HYPERLINK("https://twitter.com/petrogustavo/status/1375769336414146560","1375769336414146560")</f>
        <v>1375769336414146560</v>
      </c>
      <c r="F13908" s="7" t="s">
        <v>17</v>
      </c>
      <c r="G13908" s="7">
        <v>4084243</v>
      </c>
      <c r="H13908" s="7">
        <v>2494</v>
      </c>
      <c r="I13908" s="7">
        <v>146</v>
      </c>
      <c r="J13908" s="7">
        <v>372</v>
      </c>
      <c r="K13908" s="7" t="s">
        <v>18</v>
      </c>
      <c r="L13908" s="8">
        <v>39987.315405092595</v>
      </c>
      <c r="M13908" s="9" t="s">
        <v>19</v>
      </c>
      <c r="N13908" s="9" t="s">
        <v>20</v>
      </c>
      <c r="O13908" s="6" t="str">
        <f>HYPERLINK("https://pbs.twimg.com/profile_images/962471262747529216/Uo8lOkRJ_normal.jpg","View")</f>
        <v>View</v>
      </c>
      <c r="P13908" s="7"/>
    </row>
    <row r="13909" spans="1:16">
      <c r="A13909" s="3">
        <v>44282.711006944446</v>
      </c>
      <c r="B13909" s="4" t="str">
        <f>HYPERLINK("https://twitter.com/petrogustavo","@petrogustavo")</f>
        <v>@petrogustavo</v>
      </c>
      <c r="C13909" s="5" t="s">
        <v>16</v>
      </c>
      <c r="D13909" s="5" t="s">
        <v>13388</v>
      </c>
      <c r="E13909" s="6" t="str">
        <f>HYPERLINK("https://twitter.com/petrogustavo/status/1375773054090031104","1375773054090031104")</f>
        <v>1375773054090031104</v>
      </c>
      <c r="F13909" s="7" t="s">
        <v>17</v>
      </c>
      <c r="G13909" s="7">
        <v>4084243</v>
      </c>
      <c r="H13909" s="7">
        <v>2494</v>
      </c>
      <c r="I13909" s="7">
        <v>18</v>
      </c>
      <c r="J13909" s="7">
        <v>0</v>
      </c>
      <c r="K13909" s="7" t="s">
        <v>18</v>
      </c>
      <c r="L13909" s="8">
        <v>39987.315405092595</v>
      </c>
      <c r="M13909" s="9" t="s">
        <v>19</v>
      </c>
      <c r="N13909" s="9" t="s">
        <v>20</v>
      </c>
      <c r="O13909" s="6" t="str">
        <f>HYPERLINK("https://pbs.twimg.com/profile_images/962471262747529216/Uo8lOkRJ_normal.jpg","View")</f>
        <v>View</v>
      </c>
      <c r="P13909" s="7"/>
    </row>
    <row r="13910" spans="1:16">
      <c r="A13910" s="3">
        <v>44282.713240740741</v>
      </c>
      <c r="B13910" s="4" t="str">
        <f>HYPERLINK("https://twitter.com/petrogustavo","@petrogustavo")</f>
        <v>@petrogustavo</v>
      </c>
      <c r="C13910" s="5" t="s">
        <v>16</v>
      </c>
      <c r="D13910" s="5" t="s">
        <v>13389</v>
      </c>
      <c r="E13910" s="6" t="str">
        <f>HYPERLINK("https://twitter.com/petrogustavo/status/1375773865452969985","1375773865452969985")</f>
        <v>1375773865452969985</v>
      </c>
      <c r="F13910" s="7" t="s">
        <v>17</v>
      </c>
      <c r="G13910" s="7">
        <v>4084243</v>
      </c>
      <c r="H13910" s="7">
        <v>2494</v>
      </c>
      <c r="I13910" s="7">
        <v>67</v>
      </c>
      <c r="J13910" s="7">
        <v>150</v>
      </c>
      <c r="K13910" s="7" t="s">
        <v>18</v>
      </c>
      <c r="L13910" s="8">
        <v>39987.315405092595</v>
      </c>
      <c r="M13910" s="9" t="s">
        <v>19</v>
      </c>
      <c r="N13910" s="9" t="s">
        <v>20</v>
      </c>
      <c r="O13910" s="6" t="str">
        <f>HYPERLINK("https://pbs.twimg.com/profile_images/962471262747529216/Uo8lOkRJ_normal.jpg","View")</f>
        <v>View</v>
      </c>
      <c r="P13910" s="7"/>
    </row>
    <row r="13911" spans="1:16">
      <c r="A13911" s="3">
        <v>44283.017939814818</v>
      </c>
      <c r="B13911" s="4" t="str">
        <f>HYPERLINK("https://twitter.com/petrogustavo","@petrogustavo")</f>
        <v>@petrogustavo</v>
      </c>
      <c r="C13911" s="5" t="s">
        <v>16</v>
      </c>
      <c r="D13911" s="5" t="s">
        <v>13390</v>
      </c>
      <c r="E13911" s="6" t="str">
        <f>HYPERLINK("https://twitter.com/petrogustavo/status/1375884283609485324","1375884283609485324")</f>
        <v>1375884283609485324</v>
      </c>
      <c r="F13911" s="7" t="s">
        <v>17</v>
      </c>
      <c r="G13911" s="7">
        <v>4084451</v>
      </c>
      <c r="H13911" s="7">
        <v>2494</v>
      </c>
      <c r="I13911" s="7">
        <v>1036</v>
      </c>
      <c r="J13911" s="7">
        <v>0</v>
      </c>
      <c r="K13911" s="7" t="s">
        <v>18</v>
      </c>
      <c r="L13911" s="8">
        <v>39987.315405092595</v>
      </c>
      <c r="M13911" s="9" t="s">
        <v>19</v>
      </c>
      <c r="N13911" s="9" t="s">
        <v>20</v>
      </c>
      <c r="O13911" s="6" t="str">
        <f>HYPERLINK("https://pbs.twimg.com/profile_images/962471262747529216/Uo8lOkRJ_normal.jpg","View")</f>
        <v>View</v>
      </c>
      <c r="P13911" s="7"/>
    </row>
    <row r="13912" spans="1:16">
      <c r="A13912" s="3">
        <v>44283.053437499999</v>
      </c>
      <c r="B13912" s="4" t="str">
        <f>HYPERLINK("https://twitter.com/petrogustavo","@petrogustavo")</f>
        <v>@petrogustavo</v>
      </c>
      <c r="C13912" s="5" t="s">
        <v>16</v>
      </c>
      <c r="D13912" s="5" t="s">
        <v>13391</v>
      </c>
      <c r="E13912" s="6" t="str">
        <f>HYPERLINK("https://twitter.com/petrogustavo/status/1375897148043243522","1375897148043243522")</f>
        <v>1375897148043243522</v>
      </c>
      <c r="F13912" s="7" t="s">
        <v>17</v>
      </c>
      <c r="G13912" s="7">
        <v>4084464</v>
      </c>
      <c r="H13912" s="7">
        <v>2494</v>
      </c>
      <c r="I13912" s="7">
        <v>9</v>
      </c>
      <c r="J13912" s="7">
        <v>31</v>
      </c>
      <c r="K13912" s="7" t="s">
        <v>18</v>
      </c>
      <c r="L13912" s="8">
        <v>39987.315405092595</v>
      </c>
      <c r="M13912" s="9" t="s">
        <v>19</v>
      </c>
      <c r="N13912" s="9" t="s">
        <v>20</v>
      </c>
      <c r="O13912" s="6" t="str">
        <f>HYPERLINK("https://pbs.twimg.com/profile_images/962471262747529216/Uo8lOkRJ_normal.jpg","View")</f>
        <v>View</v>
      </c>
      <c r="P13912" s="7"/>
    </row>
    <row r="13913" spans="1:16">
      <c r="A13913" s="3">
        <v>44283.059386574074</v>
      </c>
      <c r="B13913" s="4" t="str">
        <f>HYPERLINK("https://twitter.com/petrogustavo","@petrogustavo")</f>
        <v>@petrogustavo</v>
      </c>
      <c r="C13913" s="5" t="s">
        <v>16</v>
      </c>
      <c r="D13913" s="5" t="s">
        <v>13390</v>
      </c>
      <c r="E13913" s="6" t="str">
        <f>HYPERLINK("https://twitter.com/petrogustavo/status/1375899302808129542","1375899302808129542")</f>
        <v>1375899302808129542</v>
      </c>
      <c r="F13913" s="7" t="s">
        <v>17</v>
      </c>
      <c r="G13913" s="7">
        <v>4084482</v>
      </c>
      <c r="H13913" s="7">
        <v>2494</v>
      </c>
      <c r="I13913" s="7">
        <v>1102</v>
      </c>
      <c r="J13913" s="7">
        <v>0</v>
      </c>
      <c r="K13913" s="7" t="s">
        <v>18</v>
      </c>
      <c r="L13913" s="8">
        <v>39987.315405092595</v>
      </c>
      <c r="M13913" s="9" t="s">
        <v>19</v>
      </c>
      <c r="N13913" s="9" t="s">
        <v>20</v>
      </c>
      <c r="O13913" s="6" t="str">
        <f>HYPERLINK("https://pbs.twimg.com/profile_images/962471262747529216/Uo8lOkRJ_normal.jpg","View")</f>
        <v>View</v>
      </c>
      <c r="P13913" s="7"/>
    </row>
    <row r="13914" spans="1:16">
      <c r="A13914" s="3">
        <v>44283.090150462958</v>
      </c>
      <c r="B13914" s="4" t="str">
        <f>HYPERLINK("https://twitter.com/petrogustavo","@petrogustavo")</f>
        <v>@petrogustavo</v>
      </c>
      <c r="C13914" s="5" t="s">
        <v>16</v>
      </c>
      <c r="D13914" s="5" t="s">
        <v>13392</v>
      </c>
      <c r="E13914" s="6" t="str">
        <f>HYPERLINK("https://twitter.com/petrogustavo/status/1375910453117911044","1375910453117911044")</f>
        <v>1375910453117911044</v>
      </c>
      <c r="F13914" s="7" t="s">
        <v>17</v>
      </c>
      <c r="G13914" s="7">
        <v>4084483</v>
      </c>
      <c r="H13914" s="7">
        <v>2494</v>
      </c>
      <c r="I13914" s="7">
        <v>503</v>
      </c>
      <c r="J13914" s="7">
        <v>0</v>
      </c>
      <c r="K13914" s="7" t="s">
        <v>18</v>
      </c>
      <c r="L13914" s="8">
        <v>39987.315405092595</v>
      </c>
      <c r="M13914" s="9" t="s">
        <v>19</v>
      </c>
      <c r="N13914" s="9" t="s">
        <v>20</v>
      </c>
      <c r="O13914" s="6" t="str">
        <f>HYPERLINK("https://pbs.twimg.com/profile_images/962471262747529216/Uo8lOkRJ_normal.jpg","View")</f>
        <v>View</v>
      </c>
      <c r="P13914" s="7"/>
    </row>
    <row r="13915" spans="1:16">
      <c r="A13915" s="3">
        <v>44283.090474537035</v>
      </c>
      <c r="B13915" s="4" t="str">
        <f>HYPERLINK("https://twitter.com/petrogustavo","@petrogustavo")</f>
        <v>@petrogustavo</v>
      </c>
      <c r="C13915" s="5" t="s">
        <v>16</v>
      </c>
      <c r="D13915" s="5" t="s">
        <v>13393</v>
      </c>
      <c r="E13915" s="6" t="str">
        <f>HYPERLINK("https://twitter.com/petrogustavo/status/1375910569790869505","1375910569790869505")</f>
        <v>1375910569790869505</v>
      </c>
      <c r="F13915" s="7" t="s">
        <v>17</v>
      </c>
      <c r="G13915" s="7">
        <v>4084483</v>
      </c>
      <c r="H13915" s="7">
        <v>2494</v>
      </c>
      <c r="I13915" s="7">
        <v>2499</v>
      </c>
      <c r="J13915" s="7">
        <v>0</v>
      </c>
      <c r="K13915" s="7" t="s">
        <v>18</v>
      </c>
      <c r="L13915" s="8">
        <v>39987.315405092595</v>
      </c>
      <c r="M13915" s="9" t="s">
        <v>19</v>
      </c>
      <c r="N13915" s="9" t="s">
        <v>20</v>
      </c>
      <c r="O13915" s="6" t="str">
        <f>HYPERLINK("https://pbs.twimg.com/profile_images/962471262747529216/Uo8lOkRJ_normal.jpg","View")</f>
        <v>View</v>
      </c>
      <c r="P13915" s="7"/>
    </row>
    <row r="13916" spans="1:16">
      <c r="A13916" s="3">
        <v>44283.673113425924</v>
      </c>
      <c r="B13916" s="4" t="str">
        <f>HYPERLINK("https://twitter.com/petrogustavo","@petrogustavo")</f>
        <v>@petrogustavo</v>
      </c>
      <c r="C13916" s="5" t="s">
        <v>16</v>
      </c>
      <c r="D13916" s="5" t="s">
        <v>13390</v>
      </c>
      <c r="E13916" s="6" t="str">
        <f>HYPERLINK("https://twitter.com/petrogustavo/status/1376121709938507777","1376121709938507777")</f>
        <v>1376121709938507777</v>
      </c>
      <c r="F13916" s="7" t="s">
        <v>17</v>
      </c>
      <c r="G13916" s="7">
        <v>4084661</v>
      </c>
      <c r="H13916" s="7">
        <v>2493</v>
      </c>
      <c r="I13916" s="7">
        <v>1495</v>
      </c>
      <c r="J13916" s="7">
        <v>0</v>
      </c>
      <c r="K13916" s="7" t="s">
        <v>18</v>
      </c>
      <c r="L13916" s="8">
        <v>39987.315405092595</v>
      </c>
      <c r="M13916" s="9" t="s">
        <v>19</v>
      </c>
      <c r="N13916" s="9" t="s">
        <v>20</v>
      </c>
      <c r="O13916" s="6" t="str">
        <f>HYPERLINK("https://pbs.twimg.com/profile_images/962471262747529216/Uo8lOkRJ_normal.jpg","View")</f>
        <v>View</v>
      </c>
      <c r="P13916" s="7"/>
    </row>
    <row r="13917" spans="1:16">
      <c r="A13917" s="3">
        <v>44283.701689814814</v>
      </c>
      <c r="B13917" s="4" t="str">
        <f>HYPERLINK("https://twitter.com/petrogustavo","@petrogustavo")</f>
        <v>@petrogustavo</v>
      </c>
      <c r="C13917" s="5" t="s">
        <v>16</v>
      </c>
      <c r="D13917" s="5" t="s">
        <v>13394</v>
      </c>
      <c r="E13917" s="6" t="str">
        <f>HYPERLINK("https://twitter.com/petrogustavo/status/1376132065926782985","1376132065926782985")</f>
        <v>1376132065926782985</v>
      </c>
      <c r="F13917" s="7" t="s">
        <v>17</v>
      </c>
      <c r="G13917" s="7">
        <v>4084664</v>
      </c>
      <c r="H13917" s="7">
        <v>2493</v>
      </c>
      <c r="I13917" s="7">
        <v>90</v>
      </c>
      <c r="J13917" s="7">
        <v>206</v>
      </c>
      <c r="K13917" s="7" t="s">
        <v>18</v>
      </c>
      <c r="L13917" s="8">
        <v>39987.315405092595</v>
      </c>
      <c r="M13917" s="9" t="s">
        <v>19</v>
      </c>
      <c r="N13917" s="9" t="s">
        <v>20</v>
      </c>
      <c r="O13917" s="6" t="str">
        <f>HYPERLINK("https://pbs.twimg.com/profile_images/962471262747529216/Uo8lOkRJ_normal.jpg","View")</f>
        <v>View</v>
      </c>
      <c r="P13917" s="7"/>
    </row>
    <row r="13918" spans="1:16">
      <c r="A13918" s="3">
        <v>44283.702465277776</v>
      </c>
      <c r="B13918" s="4" t="str">
        <f>HYPERLINK("https://twitter.com/petrogustavo","@petrogustavo")</f>
        <v>@petrogustavo</v>
      </c>
      <c r="C13918" s="5" t="s">
        <v>16</v>
      </c>
      <c r="D13918" s="5" t="s">
        <v>13395</v>
      </c>
      <c r="E13918" s="6" t="str">
        <f>HYPERLINK("https://twitter.com/petrogustavo/status/1376132345288347649","1376132345288347649")</f>
        <v>1376132345288347649</v>
      </c>
      <c r="F13918" s="7" t="s">
        <v>17</v>
      </c>
      <c r="G13918" s="7">
        <v>4084664</v>
      </c>
      <c r="H13918" s="7">
        <v>2493</v>
      </c>
      <c r="I13918" s="7">
        <v>70</v>
      </c>
      <c r="J13918" s="7">
        <v>230</v>
      </c>
      <c r="K13918" s="7" t="s">
        <v>18</v>
      </c>
      <c r="L13918" s="8">
        <v>39987.315405092595</v>
      </c>
      <c r="M13918" s="9" t="s">
        <v>19</v>
      </c>
      <c r="N13918" s="9" t="s">
        <v>20</v>
      </c>
      <c r="O13918" s="6" t="str">
        <f>HYPERLINK("https://pbs.twimg.com/profile_images/962471262747529216/Uo8lOkRJ_normal.jpg","View")</f>
        <v>View</v>
      </c>
      <c r="P13918" s="7"/>
    </row>
    <row r="13919" spans="1:16">
      <c r="A13919" s="3">
        <v>44283.803090277783</v>
      </c>
      <c r="B13919" s="4" t="str">
        <f>HYPERLINK("https://twitter.com/petrogustavo","@petrogustavo")</f>
        <v>@petrogustavo</v>
      </c>
      <c r="C13919" s="5" t="s">
        <v>16</v>
      </c>
      <c r="D13919" s="5" t="s">
        <v>13396</v>
      </c>
      <c r="E13919" s="6" t="str">
        <f>HYPERLINK("https://twitter.com/petrogustavo/status/1376168813587267588","1376168813587267588")</f>
        <v>1376168813587267588</v>
      </c>
      <c r="F13919" s="7" t="s">
        <v>17</v>
      </c>
      <c r="G13919" s="7">
        <v>4084680</v>
      </c>
      <c r="H13919" s="7">
        <v>2493</v>
      </c>
      <c r="I13919" s="7">
        <v>373</v>
      </c>
      <c r="J13919" s="7">
        <v>0</v>
      </c>
      <c r="K13919" s="7" t="s">
        <v>18</v>
      </c>
      <c r="L13919" s="8">
        <v>39987.315405092595</v>
      </c>
      <c r="M13919" s="9" t="s">
        <v>19</v>
      </c>
      <c r="N13919" s="9" t="s">
        <v>20</v>
      </c>
      <c r="O13919" s="6" t="str">
        <f>HYPERLINK("https://pbs.twimg.com/profile_images/962471262747529216/Uo8lOkRJ_normal.jpg","View")</f>
        <v>View</v>
      </c>
      <c r="P13919" s="7"/>
    </row>
    <row r="13920" spans="1:16">
      <c r="A13920" s="3">
        <v>44283.803148148145</v>
      </c>
      <c r="B13920" s="4" t="str">
        <f>HYPERLINK("https://twitter.com/petrogustavo","@petrogustavo")</f>
        <v>@petrogustavo</v>
      </c>
      <c r="C13920" s="5" t="s">
        <v>16</v>
      </c>
      <c r="D13920" s="5" t="s">
        <v>13397</v>
      </c>
      <c r="E13920" s="6" t="str">
        <f>HYPERLINK("https://twitter.com/petrogustavo/status/1376168833606635521","1376168833606635521")</f>
        <v>1376168833606635521</v>
      </c>
      <c r="F13920" s="7" t="s">
        <v>17</v>
      </c>
      <c r="G13920" s="7">
        <v>4084680</v>
      </c>
      <c r="H13920" s="7">
        <v>2493</v>
      </c>
      <c r="I13920" s="7">
        <v>518</v>
      </c>
      <c r="J13920" s="7">
        <v>0</v>
      </c>
      <c r="K13920" s="7" t="s">
        <v>18</v>
      </c>
      <c r="L13920" s="8">
        <v>39987.315405092595</v>
      </c>
      <c r="M13920" s="9" t="s">
        <v>19</v>
      </c>
      <c r="N13920" s="9" t="s">
        <v>20</v>
      </c>
      <c r="O13920" s="6" t="str">
        <f>HYPERLINK("https://pbs.twimg.com/profile_images/962471262747529216/Uo8lOkRJ_normal.jpg","View")</f>
        <v>View</v>
      </c>
      <c r="P13920" s="7"/>
    </row>
    <row r="13921" spans="1:16">
      <c r="A13921" s="3">
        <v>44283.995925925927</v>
      </c>
      <c r="B13921" s="4" t="str">
        <f>HYPERLINK("https://twitter.com/petrogustavo","@petrogustavo")</f>
        <v>@petrogustavo</v>
      </c>
      <c r="C13921" s="5" t="s">
        <v>16</v>
      </c>
      <c r="D13921" s="5" t="s">
        <v>13398</v>
      </c>
      <c r="E13921" s="6" t="str">
        <f>HYPERLINK("https://twitter.com/petrogustavo/status/1376238694189957121","1376238694189957121")</f>
        <v>1376238694189957121</v>
      </c>
      <c r="F13921" s="7" t="s">
        <v>17</v>
      </c>
      <c r="G13921" s="7">
        <v>4084771</v>
      </c>
      <c r="H13921" s="7">
        <v>2493</v>
      </c>
      <c r="I13921" s="7">
        <v>187</v>
      </c>
      <c r="J13921" s="7">
        <v>586</v>
      </c>
      <c r="K13921" s="7" t="s">
        <v>18</v>
      </c>
      <c r="L13921" s="8">
        <v>39987.315405092595</v>
      </c>
      <c r="M13921" s="9" t="s">
        <v>19</v>
      </c>
      <c r="N13921" s="9" t="s">
        <v>20</v>
      </c>
      <c r="O13921" s="6" t="str">
        <f>HYPERLINK("https://pbs.twimg.com/profile_images/962471262747529216/Uo8lOkRJ_normal.jpg","View")</f>
        <v>View</v>
      </c>
      <c r="P13921" s="7"/>
    </row>
    <row r="13922" spans="1:16">
      <c r="A13922" s="3">
        <v>44284.023923611108</v>
      </c>
      <c r="B13922" s="4" t="str">
        <f>HYPERLINK("https://twitter.com/petrogustavo","@petrogustavo")</f>
        <v>@petrogustavo</v>
      </c>
      <c r="C13922" s="5" t="s">
        <v>16</v>
      </c>
      <c r="D13922" s="5" t="s">
        <v>13399</v>
      </c>
      <c r="E13922" s="6" t="str">
        <f>HYPERLINK("https://twitter.com/petrogustavo/status/1376248839858876419","1376248839858876419")</f>
        <v>1376248839858876419</v>
      </c>
      <c r="F13922" s="7" t="s">
        <v>22</v>
      </c>
      <c r="G13922" s="7">
        <v>4084786</v>
      </c>
      <c r="H13922" s="7">
        <v>2493</v>
      </c>
      <c r="I13922" s="7">
        <v>135</v>
      </c>
      <c r="J13922" s="7">
        <v>243</v>
      </c>
      <c r="K13922" s="7" t="s">
        <v>18</v>
      </c>
      <c r="L13922" s="8">
        <v>39987.315405092595</v>
      </c>
      <c r="M13922" s="9" t="s">
        <v>19</v>
      </c>
      <c r="N13922" s="9" t="s">
        <v>20</v>
      </c>
      <c r="O13922" s="6" t="str">
        <f>HYPERLINK("https://pbs.twimg.com/profile_images/962471262747529216/Uo8lOkRJ_normal.jpg","View")</f>
        <v>View</v>
      </c>
      <c r="P13922" s="7"/>
    </row>
    <row r="13923" spans="1:16">
      <c r="A13923" s="3">
        <v>44284.662939814814</v>
      </c>
      <c r="B13923" s="4" t="str">
        <f>HYPERLINK("https://twitter.com/petrogustavo","@petrogustavo")</f>
        <v>@petrogustavo</v>
      </c>
      <c r="C13923" s="5" t="s">
        <v>16</v>
      </c>
      <c r="D13923" s="5" t="s">
        <v>13400</v>
      </c>
      <c r="E13923" s="6" t="str">
        <f>HYPERLINK("https://twitter.com/petrogustavo/status/1376480412898369537","1376480412898369537")</f>
        <v>1376480412898369537</v>
      </c>
      <c r="F13923" s="7" t="s">
        <v>17</v>
      </c>
      <c r="G13923" s="7">
        <v>4084959</v>
      </c>
      <c r="H13923" s="7">
        <v>2493</v>
      </c>
      <c r="I13923" s="7">
        <v>50</v>
      </c>
      <c r="J13923" s="7">
        <v>149</v>
      </c>
      <c r="K13923" s="7" t="s">
        <v>18</v>
      </c>
      <c r="L13923" s="8">
        <v>39987.315405092595</v>
      </c>
      <c r="M13923" s="9" t="s">
        <v>19</v>
      </c>
      <c r="N13923" s="9" t="s">
        <v>20</v>
      </c>
      <c r="O13923" s="6" t="str">
        <f>HYPERLINK("https://pbs.twimg.com/profile_images/962471262747529216/Uo8lOkRJ_normal.jpg","View")</f>
        <v>View</v>
      </c>
      <c r="P13923" s="7"/>
    </row>
    <row r="13924" spans="1:16">
      <c r="A13924" s="3">
        <v>44284.663622685184</v>
      </c>
      <c r="B13924" s="4" t="str">
        <f>HYPERLINK("https://twitter.com/petrogustavo","@petrogustavo")</f>
        <v>@petrogustavo</v>
      </c>
      <c r="C13924" s="5" t="s">
        <v>16</v>
      </c>
      <c r="D13924" s="5" t="s">
        <v>13397</v>
      </c>
      <c r="E13924" s="6" t="str">
        <f>HYPERLINK("https://twitter.com/petrogustavo/status/1376480660597178375","1376480660597178375")</f>
        <v>1376480660597178375</v>
      </c>
      <c r="F13924" s="7" t="s">
        <v>17</v>
      </c>
      <c r="G13924" s="7">
        <v>4084959</v>
      </c>
      <c r="H13924" s="7">
        <v>2493</v>
      </c>
      <c r="I13924" s="7">
        <v>1856</v>
      </c>
      <c r="J13924" s="7">
        <v>0</v>
      </c>
      <c r="K13924" s="7" t="s">
        <v>18</v>
      </c>
      <c r="L13924" s="8">
        <v>39987.315405092595</v>
      </c>
      <c r="M13924" s="9" t="s">
        <v>19</v>
      </c>
      <c r="N13924" s="9" t="s">
        <v>20</v>
      </c>
      <c r="O13924" s="6" t="str">
        <f>HYPERLINK("https://pbs.twimg.com/profile_images/962471262747529216/Uo8lOkRJ_normal.jpg","View")</f>
        <v>View</v>
      </c>
      <c r="P13924" s="7"/>
    </row>
    <row r="13925" spans="1:16">
      <c r="A13925" s="3">
        <v>44284.780729166669</v>
      </c>
      <c r="B13925" s="4" t="str">
        <f>HYPERLINK("https://twitter.com/petrogustavo","@petrogustavo")</f>
        <v>@petrogustavo</v>
      </c>
      <c r="C13925" s="5" t="s">
        <v>16</v>
      </c>
      <c r="D13925" s="5" t="s">
        <v>13401</v>
      </c>
      <c r="E13925" s="6" t="str">
        <f>HYPERLINK("https://twitter.com/petrogustavo/status/1376523098695086080","1376523098695086080")</f>
        <v>1376523098695086080</v>
      </c>
      <c r="F13925" s="7" t="s">
        <v>17</v>
      </c>
      <c r="G13925" s="7">
        <v>4085008</v>
      </c>
      <c r="H13925" s="7">
        <v>2493</v>
      </c>
      <c r="I13925" s="7">
        <v>1786</v>
      </c>
      <c r="J13925" s="7">
        <v>0</v>
      </c>
      <c r="K13925" s="7" t="s">
        <v>18</v>
      </c>
      <c r="L13925" s="8">
        <v>39987.315405092595</v>
      </c>
      <c r="M13925" s="9" t="s">
        <v>19</v>
      </c>
      <c r="N13925" s="9" t="s">
        <v>20</v>
      </c>
      <c r="O13925" s="6" t="str">
        <f>HYPERLINK("https://pbs.twimg.com/profile_images/962471262747529216/Uo8lOkRJ_normal.jpg","View")</f>
        <v>View</v>
      </c>
      <c r="P13925" s="7"/>
    </row>
    <row r="13926" spans="1:16">
      <c r="A13926" s="3">
        <v>44284.799560185187</v>
      </c>
      <c r="B13926" s="4" t="str">
        <f>HYPERLINK("https://twitter.com/petrogustavo","@petrogustavo")</f>
        <v>@petrogustavo</v>
      </c>
      <c r="C13926" s="5" t="s">
        <v>16</v>
      </c>
      <c r="D13926" s="5" t="s">
        <v>13402</v>
      </c>
      <c r="E13926" s="6" t="str">
        <f>HYPERLINK("https://twitter.com/petrogustavo/status/1376529920978001923","1376529920978001923")</f>
        <v>1376529920978001923</v>
      </c>
      <c r="F13926" s="7" t="s">
        <v>17</v>
      </c>
      <c r="G13926" s="7">
        <v>4085011</v>
      </c>
      <c r="H13926" s="7">
        <v>2493</v>
      </c>
      <c r="I13926" s="7">
        <v>170</v>
      </c>
      <c r="J13926" s="7">
        <v>0</v>
      </c>
      <c r="K13926" s="7" t="s">
        <v>18</v>
      </c>
      <c r="L13926" s="8">
        <v>39987.315405092595</v>
      </c>
      <c r="M13926" s="9" t="s">
        <v>19</v>
      </c>
      <c r="N13926" s="9" t="s">
        <v>20</v>
      </c>
      <c r="O13926" s="6" t="str">
        <f>HYPERLINK("https://pbs.twimg.com/profile_images/962471262747529216/Uo8lOkRJ_normal.jpg","View")</f>
        <v>View</v>
      </c>
      <c r="P13926" s="7"/>
    </row>
    <row r="13927" spans="1:16">
      <c r="A13927" s="3">
        <v>44284.811203703706</v>
      </c>
      <c r="B13927" s="4" t="str">
        <f>HYPERLINK("https://twitter.com/petrogustavo","@petrogustavo")</f>
        <v>@petrogustavo</v>
      </c>
      <c r="C13927" s="5" t="s">
        <v>16</v>
      </c>
      <c r="D13927" s="5" t="s">
        <v>13403</v>
      </c>
      <c r="E13927" s="6" t="str">
        <f>HYPERLINK("https://twitter.com/petrogustavo/status/1376534140594630657","1376534140594630657")</f>
        <v>1376534140594630657</v>
      </c>
      <c r="F13927" s="7" t="s">
        <v>17</v>
      </c>
      <c r="G13927" s="7">
        <v>4085024</v>
      </c>
      <c r="H13927" s="7">
        <v>2493</v>
      </c>
      <c r="I13927" s="7">
        <v>395</v>
      </c>
      <c r="J13927" s="7">
        <v>0</v>
      </c>
      <c r="K13927" s="7" t="s">
        <v>18</v>
      </c>
      <c r="L13927" s="8">
        <v>39987.315405092595</v>
      </c>
      <c r="M13927" s="9" t="s">
        <v>19</v>
      </c>
      <c r="N13927" s="9" t="s">
        <v>20</v>
      </c>
      <c r="O13927" s="6" t="str">
        <f>HYPERLINK("https://pbs.twimg.com/profile_images/962471262747529216/Uo8lOkRJ_normal.jpg","View")</f>
        <v>View</v>
      </c>
      <c r="P13927" s="7"/>
    </row>
    <row r="13928" spans="1:16">
      <c r="A13928" s="3">
        <v>44284.811724537038</v>
      </c>
      <c r="B13928" s="4" t="str">
        <f>HYPERLINK("https://twitter.com/petrogustavo","@petrogustavo")</f>
        <v>@petrogustavo</v>
      </c>
      <c r="C13928" s="5" t="s">
        <v>16</v>
      </c>
      <c r="D13928" s="5" t="s">
        <v>13404</v>
      </c>
      <c r="E13928" s="6" t="str">
        <f>HYPERLINK("https://twitter.com/petrogustavo/status/1376534328264560642","1376534328264560642")</f>
        <v>1376534328264560642</v>
      </c>
      <c r="F13928" s="7" t="s">
        <v>17</v>
      </c>
      <c r="G13928" s="7">
        <v>4085024</v>
      </c>
      <c r="H13928" s="7">
        <v>2493</v>
      </c>
      <c r="I13928" s="7">
        <v>37</v>
      </c>
      <c r="J13928" s="7">
        <v>0</v>
      </c>
      <c r="K13928" s="7" t="s">
        <v>18</v>
      </c>
      <c r="L13928" s="8">
        <v>39987.315405092595</v>
      </c>
      <c r="M13928" s="9" t="s">
        <v>19</v>
      </c>
      <c r="N13928" s="9" t="s">
        <v>20</v>
      </c>
      <c r="O13928" s="6" t="str">
        <f>HYPERLINK("https://pbs.twimg.com/profile_images/962471262747529216/Uo8lOkRJ_normal.jpg","View")</f>
        <v>View</v>
      </c>
      <c r="P13928" s="7"/>
    </row>
    <row r="13929" spans="1:16">
      <c r="A13929" s="3">
        <v>44284.812418981484</v>
      </c>
      <c r="B13929" s="4" t="str">
        <f>HYPERLINK("https://twitter.com/petrogustavo","@petrogustavo")</f>
        <v>@petrogustavo</v>
      </c>
      <c r="C13929" s="5" t="s">
        <v>16</v>
      </c>
      <c r="D13929" s="5" t="s">
        <v>13405</v>
      </c>
      <c r="E13929" s="6" t="str">
        <f>HYPERLINK("https://twitter.com/petrogustavo/status/1376534581457850374","1376534581457850374")</f>
        <v>1376534581457850374</v>
      </c>
      <c r="F13929" s="7" t="s">
        <v>17</v>
      </c>
      <c r="G13929" s="7">
        <v>4085024</v>
      </c>
      <c r="H13929" s="7">
        <v>2493</v>
      </c>
      <c r="I13929" s="7">
        <v>41</v>
      </c>
      <c r="J13929" s="7">
        <v>0</v>
      </c>
      <c r="K13929" s="7" t="s">
        <v>18</v>
      </c>
      <c r="L13929" s="8">
        <v>39987.315405092595</v>
      </c>
      <c r="M13929" s="9" t="s">
        <v>19</v>
      </c>
      <c r="N13929" s="9" t="s">
        <v>20</v>
      </c>
      <c r="O13929" s="6" t="str">
        <f>HYPERLINK("https://pbs.twimg.com/profile_images/962471262747529216/Uo8lOkRJ_normal.jpg","View")</f>
        <v>View</v>
      </c>
      <c r="P13929" s="7"/>
    </row>
    <row r="13930" spans="1:16">
      <c r="A13930" s="3">
        <v>44284.812627314815</v>
      </c>
      <c r="B13930" s="4" t="str">
        <f>HYPERLINK("https://twitter.com/petrogustavo","@petrogustavo")</f>
        <v>@petrogustavo</v>
      </c>
      <c r="C13930" s="5" t="s">
        <v>16</v>
      </c>
      <c r="D13930" s="5" t="s">
        <v>13406</v>
      </c>
      <c r="E13930" s="6" t="str">
        <f>HYPERLINK("https://twitter.com/petrogustavo/status/1376534658129756161","1376534658129756161")</f>
        <v>1376534658129756161</v>
      </c>
      <c r="F13930" s="7" t="s">
        <v>17</v>
      </c>
      <c r="G13930" s="7">
        <v>4085024</v>
      </c>
      <c r="H13930" s="7">
        <v>2493</v>
      </c>
      <c r="I13930" s="7">
        <v>1127</v>
      </c>
      <c r="J13930" s="7">
        <v>0</v>
      </c>
      <c r="K13930" s="7" t="s">
        <v>18</v>
      </c>
      <c r="L13930" s="8">
        <v>39987.315405092595</v>
      </c>
      <c r="M13930" s="9" t="s">
        <v>19</v>
      </c>
      <c r="N13930" s="9" t="s">
        <v>20</v>
      </c>
      <c r="O13930" s="6" t="str">
        <f>HYPERLINK("https://pbs.twimg.com/profile_images/962471262747529216/Uo8lOkRJ_normal.jpg","View")</f>
        <v>View</v>
      </c>
      <c r="P13930" s="7"/>
    </row>
    <row r="13931" spans="1:16">
      <c r="A13931" s="3">
        <v>44284.883125</v>
      </c>
      <c r="B13931" s="4" t="str">
        <f>HYPERLINK("https://twitter.com/petrogustavo","@petrogustavo")</f>
        <v>@petrogustavo</v>
      </c>
      <c r="C13931" s="5" t="s">
        <v>16</v>
      </c>
      <c r="D13931" s="5" t="s">
        <v>13407</v>
      </c>
      <c r="E13931" s="6" t="str">
        <f>HYPERLINK("https://twitter.com/petrogustavo/status/1376560202892374019","1376560202892374019")</f>
        <v>1376560202892374019</v>
      </c>
      <c r="F13931" s="7" t="s">
        <v>17</v>
      </c>
      <c r="G13931" s="7">
        <v>4085031</v>
      </c>
      <c r="H13931" s="7">
        <v>2494</v>
      </c>
      <c r="I13931" s="7">
        <v>102</v>
      </c>
      <c r="J13931" s="7">
        <v>0</v>
      </c>
      <c r="K13931" s="7" t="s">
        <v>18</v>
      </c>
      <c r="L13931" s="8">
        <v>39987.315405092595</v>
      </c>
      <c r="M13931" s="9" t="s">
        <v>19</v>
      </c>
      <c r="N13931" s="9" t="s">
        <v>20</v>
      </c>
      <c r="O13931" s="6" t="str">
        <f>HYPERLINK("https://pbs.twimg.com/profile_images/962471262747529216/Uo8lOkRJ_normal.jpg","View")</f>
        <v>View</v>
      </c>
      <c r="P13931" s="7"/>
    </row>
    <row r="13932" spans="1:16">
      <c r="A13932" s="3">
        <v>44284.883310185185</v>
      </c>
      <c r="B13932" s="4" t="str">
        <f>HYPERLINK("https://twitter.com/petrogustavo","@petrogustavo")</f>
        <v>@petrogustavo</v>
      </c>
      <c r="C13932" s="5" t="s">
        <v>16</v>
      </c>
      <c r="D13932" s="5" t="s">
        <v>13408</v>
      </c>
      <c r="E13932" s="6" t="str">
        <f>HYPERLINK("https://twitter.com/petrogustavo/status/1376560270051512326","1376560270051512326")</f>
        <v>1376560270051512326</v>
      </c>
      <c r="F13932" s="7" t="s">
        <v>17</v>
      </c>
      <c r="G13932" s="7">
        <v>4085031</v>
      </c>
      <c r="H13932" s="7">
        <v>2494</v>
      </c>
      <c r="I13932" s="7">
        <v>1576</v>
      </c>
      <c r="J13932" s="7">
        <v>0</v>
      </c>
      <c r="K13932" s="7" t="s">
        <v>18</v>
      </c>
      <c r="L13932" s="8">
        <v>39987.315405092595</v>
      </c>
      <c r="M13932" s="9" t="s">
        <v>19</v>
      </c>
      <c r="N13932" s="9" t="s">
        <v>20</v>
      </c>
      <c r="O13932" s="6" t="str">
        <f>HYPERLINK("https://pbs.twimg.com/profile_images/962471262747529216/Uo8lOkRJ_normal.jpg","View")</f>
        <v>View</v>
      </c>
      <c r="P13932" s="7"/>
    </row>
    <row r="13933" spans="1:16">
      <c r="A13933" s="3">
        <v>44284.883530092593</v>
      </c>
      <c r="B13933" s="4" t="str">
        <f>HYPERLINK("https://twitter.com/petrogustavo","@petrogustavo")</f>
        <v>@petrogustavo</v>
      </c>
      <c r="C13933" s="5" t="s">
        <v>16</v>
      </c>
      <c r="D13933" s="5" t="s">
        <v>13409</v>
      </c>
      <c r="E13933" s="6" t="str">
        <f>HYPERLINK("https://twitter.com/petrogustavo/status/1376560348845780997","1376560348845780997")</f>
        <v>1376560348845780997</v>
      </c>
      <c r="F13933" s="7" t="s">
        <v>17</v>
      </c>
      <c r="G13933" s="7">
        <v>4085031</v>
      </c>
      <c r="H13933" s="7">
        <v>2494</v>
      </c>
      <c r="I13933" s="7">
        <v>227</v>
      </c>
      <c r="J13933" s="7">
        <v>0</v>
      </c>
      <c r="K13933" s="7" t="s">
        <v>18</v>
      </c>
      <c r="L13933" s="8">
        <v>39987.315405092595</v>
      </c>
      <c r="M13933" s="9" t="s">
        <v>19</v>
      </c>
      <c r="N13933" s="9" t="s">
        <v>20</v>
      </c>
      <c r="O13933" s="6" t="str">
        <f>HYPERLINK("https://pbs.twimg.com/profile_images/962471262747529216/Uo8lOkRJ_normal.jpg","View")</f>
        <v>View</v>
      </c>
      <c r="P13933" s="7"/>
    </row>
    <row r="13934" spans="1:16">
      <c r="A13934" s="3">
        <v>44284.907743055555</v>
      </c>
      <c r="B13934" s="4" t="str">
        <f>HYPERLINK("https://twitter.com/petrogustavo","@petrogustavo")</f>
        <v>@petrogustavo</v>
      </c>
      <c r="C13934" s="5" t="s">
        <v>16</v>
      </c>
      <c r="D13934" s="5" t="s">
        <v>13410</v>
      </c>
      <c r="E13934" s="6" t="str">
        <f>HYPERLINK("https://twitter.com/petrogustavo/status/1376569126647435264","1376569126647435264")</f>
        <v>1376569126647435264</v>
      </c>
      <c r="F13934" s="7" t="s">
        <v>17</v>
      </c>
      <c r="G13934" s="7">
        <v>4085052</v>
      </c>
      <c r="H13934" s="7">
        <v>2494</v>
      </c>
      <c r="I13934" s="7">
        <v>0</v>
      </c>
      <c r="J13934" s="7">
        <v>3</v>
      </c>
      <c r="K13934" s="7" t="s">
        <v>18</v>
      </c>
      <c r="L13934" s="8">
        <v>39987.315405092595</v>
      </c>
      <c r="M13934" s="9" t="s">
        <v>19</v>
      </c>
      <c r="N13934" s="9" t="s">
        <v>20</v>
      </c>
      <c r="O13934" s="6" t="str">
        <f>HYPERLINK("https://pbs.twimg.com/profile_images/962471262747529216/Uo8lOkRJ_normal.jpg","View")</f>
        <v>View</v>
      </c>
      <c r="P13934" s="7"/>
    </row>
    <row r="13935" spans="1:16">
      <c r="A13935" s="3">
        <v>44284.921689814815</v>
      </c>
      <c r="B13935" s="4" t="str">
        <f>HYPERLINK("https://twitter.com/petrogustavo","@petrogustavo")</f>
        <v>@petrogustavo</v>
      </c>
      <c r="C13935" s="5" t="s">
        <v>16</v>
      </c>
      <c r="D13935" s="5" t="s">
        <v>13411</v>
      </c>
      <c r="E13935" s="6" t="str">
        <f>HYPERLINK("https://twitter.com/petrogustavo/status/1376574179554775044","1376574179554775044")</f>
        <v>1376574179554775044</v>
      </c>
      <c r="F13935" s="7" t="s">
        <v>17</v>
      </c>
      <c r="G13935" s="7">
        <v>4085063</v>
      </c>
      <c r="H13935" s="7">
        <v>2494</v>
      </c>
      <c r="I13935" s="7">
        <v>206</v>
      </c>
      <c r="J13935" s="7">
        <v>567</v>
      </c>
      <c r="K13935" s="7" t="s">
        <v>18</v>
      </c>
      <c r="L13935" s="8">
        <v>39987.315405092595</v>
      </c>
      <c r="M13935" s="9" t="s">
        <v>19</v>
      </c>
      <c r="N13935" s="9" t="s">
        <v>20</v>
      </c>
      <c r="O13935" s="6" t="str">
        <f>HYPERLINK("https://pbs.twimg.com/profile_images/962471262747529216/Uo8lOkRJ_normal.jpg","View")</f>
        <v>View</v>
      </c>
      <c r="P13935" s="7"/>
    </row>
    <row r="13936" spans="1:16">
      <c r="A13936" s="3">
        <v>44285.031319444446</v>
      </c>
      <c r="B13936" s="4" t="str">
        <f>HYPERLINK("https://twitter.com/petrogustavo","@petrogustavo")</f>
        <v>@petrogustavo</v>
      </c>
      <c r="C13936" s="5" t="s">
        <v>16</v>
      </c>
      <c r="D13936" s="5" t="s">
        <v>13412</v>
      </c>
      <c r="E13936" s="6" t="str">
        <f>HYPERLINK("https://twitter.com/petrogustavo/status/1376613906857267209","1376613906857267209")</f>
        <v>1376613906857267209</v>
      </c>
      <c r="F13936" s="7" t="s">
        <v>17</v>
      </c>
      <c r="G13936" s="7">
        <v>4085093</v>
      </c>
      <c r="H13936" s="7">
        <v>2494</v>
      </c>
      <c r="I13936" s="7">
        <v>853</v>
      </c>
      <c r="J13936" s="7">
        <v>0</v>
      </c>
      <c r="K13936" s="7" t="s">
        <v>18</v>
      </c>
      <c r="L13936" s="8">
        <v>39987.315405092595</v>
      </c>
      <c r="M13936" s="9" t="s">
        <v>19</v>
      </c>
      <c r="N13936" s="9" t="s">
        <v>20</v>
      </c>
      <c r="O13936" s="6" t="str">
        <f>HYPERLINK("https://pbs.twimg.com/profile_images/962471262747529216/Uo8lOkRJ_normal.jpg","View")</f>
        <v>View</v>
      </c>
      <c r="P13936" s="7"/>
    </row>
    <row r="13937" spans="1:16">
      <c r="A13937" s="3">
        <v>44285.032777777778</v>
      </c>
      <c r="B13937" s="4" t="str">
        <f>HYPERLINK("https://twitter.com/petrogustavo","@petrogustavo")</f>
        <v>@petrogustavo</v>
      </c>
      <c r="C13937" s="5" t="s">
        <v>16</v>
      </c>
      <c r="D13937" s="5" t="s">
        <v>13413</v>
      </c>
      <c r="E13937" s="6" t="str">
        <f>HYPERLINK("https://twitter.com/petrogustavo/status/1376614435519889410","1376614435519889410")</f>
        <v>1376614435519889410</v>
      </c>
      <c r="F13937" s="7" t="s">
        <v>17</v>
      </c>
      <c r="G13937" s="7">
        <v>4085093</v>
      </c>
      <c r="H13937" s="7">
        <v>2494</v>
      </c>
      <c r="I13937" s="7">
        <v>1354</v>
      </c>
      <c r="J13937" s="7">
        <v>0</v>
      </c>
      <c r="K13937" s="7" t="s">
        <v>18</v>
      </c>
      <c r="L13937" s="8">
        <v>39987.315405092595</v>
      </c>
      <c r="M13937" s="9" t="s">
        <v>19</v>
      </c>
      <c r="N13937" s="9" t="s">
        <v>20</v>
      </c>
      <c r="O13937" s="6" t="str">
        <f>HYPERLINK("https://pbs.twimg.com/profile_images/962471262747529216/Uo8lOkRJ_normal.jpg","View")</f>
        <v>View</v>
      </c>
      <c r="P13937" s="7"/>
    </row>
    <row r="13938" spans="1:16">
      <c r="A13938" s="3">
        <v>44285.71</v>
      </c>
      <c r="B13938" s="4" t="str">
        <f>HYPERLINK("https://twitter.com/petrogustavo","@petrogustavo")</f>
        <v>@petrogustavo</v>
      </c>
      <c r="C13938" s="5" t="s">
        <v>16</v>
      </c>
      <c r="D13938" s="5" t="s">
        <v>13414</v>
      </c>
      <c r="E13938" s="6" t="str">
        <f>HYPERLINK("https://twitter.com/petrogustavo/status/1376859853004623874","1376859853004623874")</f>
        <v>1376859853004623874</v>
      </c>
      <c r="F13938" s="7" t="s">
        <v>17</v>
      </c>
      <c r="G13938" s="7">
        <v>4085251</v>
      </c>
      <c r="H13938" s="7">
        <v>2496</v>
      </c>
      <c r="I13938" s="7">
        <v>145</v>
      </c>
      <c r="J13938" s="7">
        <v>302</v>
      </c>
      <c r="K13938" s="7" t="s">
        <v>18</v>
      </c>
      <c r="L13938" s="8">
        <v>39987.315405092595</v>
      </c>
      <c r="M13938" s="9" t="s">
        <v>19</v>
      </c>
      <c r="N13938" s="9" t="s">
        <v>20</v>
      </c>
      <c r="O13938" s="6" t="str">
        <f>HYPERLINK("https://pbs.twimg.com/profile_images/962471262747529216/Uo8lOkRJ_normal.jpg","View")</f>
        <v>View</v>
      </c>
      <c r="P13938" s="7"/>
    </row>
    <row r="13939" spans="1:16">
      <c r="A13939" s="3">
        <v>44285.753321759257</v>
      </c>
      <c r="B13939" s="4" t="str">
        <f>HYPERLINK("https://twitter.com/petrogustavo","@petrogustavo")</f>
        <v>@petrogustavo</v>
      </c>
      <c r="C13939" s="5" t="s">
        <v>16</v>
      </c>
      <c r="D13939" s="5" t="s">
        <v>13415</v>
      </c>
      <c r="E13939" s="6" t="str">
        <f>HYPERLINK("https://twitter.com/petrogustavo/status/1376875550749376520","1376875550749376520")</f>
        <v>1376875550749376520</v>
      </c>
      <c r="F13939" s="7" t="s">
        <v>17</v>
      </c>
      <c r="G13939" s="7">
        <v>4085276</v>
      </c>
      <c r="H13939" s="7">
        <v>2496</v>
      </c>
      <c r="I13939" s="7">
        <v>92</v>
      </c>
      <c r="J13939" s="7">
        <v>189</v>
      </c>
      <c r="K13939" s="7" t="s">
        <v>18</v>
      </c>
      <c r="L13939" s="8">
        <v>39987.315405092595</v>
      </c>
      <c r="M13939" s="9" t="s">
        <v>19</v>
      </c>
      <c r="N13939" s="9" t="s">
        <v>20</v>
      </c>
      <c r="O13939" s="6" t="str">
        <f>HYPERLINK("https://pbs.twimg.com/profile_images/962471262747529216/Uo8lOkRJ_normal.jpg","View")</f>
        <v>View</v>
      </c>
      <c r="P13939" s="7"/>
    </row>
    <row r="13940" spans="1:16">
      <c r="A13940" s="3">
        <v>44285.829664351855</v>
      </c>
      <c r="B13940" s="4" t="str">
        <f>HYPERLINK("https://twitter.com/petrogustavo","@petrogustavo")</f>
        <v>@petrogustavo</v>
      </c>
      <c r="C13940" s="5" t="s">
        <v>16</v>
      </c>
      <c r="D13940" s="5" t="s">
        <v>13416</v>
      </c>
      <c r="E13940" s="6" t="str">
        <f>HYPERLINK("https://twitter.com/petrogustavo/status/1376903217985024005","1376903217985024005")</f>
        <v>1376903217985024005</v>
      </c>
      <c r="F13940" s="7" t="s">
        <v>17</v>
      </c>
      <c r="G13940" s="7">
        <v>4085312</v>
      </c>
      <c r="H13940" s="7">
        <v>2496</v>
      </c>
      <c r="I13940" s="7">
        <v>84</v>
      </c>
      <c r="J13940" s="7">
        <v>0</v>
      </c>
      <c r="K13940" s="7" t="s">
        <v>18</v>
      </c>
      <c r="L13940" s="8">
        <v>39987.315405092595</v>
      </c>
      <c r="M13940" s="9" t="s">
        <v>19</v>
      </c>
      <c r="N13940" s="9" t="s">
        <v>20</v>
      </c>
      <c r="O13940" s="6" t="str">
        <f>HYPERLINK("https://pbs.twimg.com/profile_images/962471262747529216/Uo8lOkRJ_normal.jpg","View")</f>
        <v>View</v>
      </c>
      <c r="P13940" s="7"/>
    </row>
    <row r="13941" spans="1:16">
      <c r="A13941" s="3">
        <v>44285.830601851849</v>
      </c>
      <c r="B13941" s="4" t="str">
        <f>HYPERLINK("https://twitter.com/petrogustavo","@petrogustavo")</f>
        <v>@petrogustavo</v>
      </c>
      <c r="C13941" s="5" t="s">
        <v>16</v>
      </c>
      <c r="D13941" s="5" t="s">
        <v>13417</v>
      </c>
      <c r="E13941" s="6" t="str">
        <f>HYPERLINK("https://twitter.com/petrogustavo/status/1376903556494671876","1376903556494671876")</f>
        <v>1376903556494671876</v>
      </c>
      <c r="F13941" s="7" t="s">
        <v>17</v>
      </c>
      <c r="G13941" s="7">
        <v>4085312</v>
      </c>
      <c r="H13941" s="7">
        <v>2496</v>
      </c>
      <c r="I13941" s="7">
        <v>155</v>
      </c>
      <c r="J13941" s="7">
        <v>274</v>
      </c>
      <c r="K13941" s="7" t="s">
        <v>18</v>
      </c>
      <c r="L13941" s="8">
        <v>39987.315405092595</v>
      </c>
      <c r="M13941" s="9" t="s">
        <v>19</v>
      </c>
      <c r="N13941" s="9" t="s">
        <v>20</v>
      </c>
      <c r="O13941" s="6" t="str">
        <f>HYPERLINK("https://pbs.twimg.com/profile_images/962471262747529216/Uo8lOkRJ_normal.jpg","View")</f>
        <v>View</v>
      </c>
      <c r="P13941" s="7"/>
    </row>
    <row r="13942" spans="1:16">
      <c r="A13942" s="3">
        <v>44285.836562500001</v>
      </c>
      <c r="B13942" s="4" t="str">
        <f>HYPERLINK("https://twitter.com/petrogustavo","@petrogustavo")</f>
        <v>@petrogustavo</v>
      </c>
      <c r="C13942" s="5" t="s">
        <v>16</v>
      </c>
      <c r="D13942" s="5" t="s">
        <v>13418</v>
      </c>
      <c r="E13942" s="6" t="str">
        <f>HYPERLINK("https://twitter.com/petrogustavo/status/1376905719723753472","1376905719723753472")</f>
        <v>1376905719723753472</v>
      </c>
      <c r="F13942" s="7" t="s">
        <v>17</v>
      </c>
      <c r="G13942" s="7">
        <v>4085312</v>
      </c>
      <c r="H13942" s="7">
        <v>2496</v>
      </c>
      <c r="I13942" s="7">
        <v>248</v>
      </c>
      <c r="J13942" s="7">
        <v>710</v>
      </c>
      <c r="K13942" s="7" t="s">
        <v>18</v>
      </c>
      <c r="L13942" s="8">
        <v>39987.315405092595</v>
      </c>
      <c r="M13942" s="9" t="s">
        <v>19</v>
      </c>
      <c r="N13942" s="9" t="s">
        <v>20</v>
      </c>
      <c r="O13942" s="6" t="str">
        <f>HYPERLINK("https://pbs.twimg.com/profile_images/962471262747529216/Uo8lOkRJ_normal.jpg","View")</f>
        <v>View</v>
      </c>
      <c r="P13942" s="7"/>
    </row>
    <row r="13943" spans="1:16">
      <c r="A13943" s="3">
        <v>44285.915150462963</v>
      </c>
      <c r="B13943" s="4" t="str">
        <f>HYPERLINK("https://twitter.com/petrogustavo","@petrogustavo")</f>
        <v>@petrogustavo</v>
      </c>
      <c r="C13943" s="5" t="s">
        <v>16</v>
      </c>
      <c r="D13943" s="5" t="s">
        <v>13419</v>
      </c>
      <c r="E13943" s="6" t="str">
        <f>HYPERLINK("https://twitter.com/petrogustavo/status/1376934196732698626","1376934196732698626")</f>
        <v>1376934196732698626</v>
      </c>
      <c r="F13943" s="7" t="s">
        <v>17</v>
      </c>
      <c r="G13943" s="7">
        <v>4085331</v>
      </c>
      <c r="H13943" s="7">
        <v>2496</v>
      </c>
      <c r="I13943" s="7">
        <v>1301</v>
      </c>
      <c r="J13943" s="7">
        <v>0</v>
      </c>
      <c r="K13943" s="7" t="s">
        <v>18</v>
      </c>
      <c r="L13943" s="8">
        <v>39987.315405092595</v>
      </c>
      <c r="M13943" s="9" t="s">
        <v>19</v>
      </c>
      <c r="N13943" s="9" t="s">
        <v>20</v>
      </c>
      <c r="O13943" s="6" t="str">
        <f>HYPERLINK("https://pbs.twimg.com/profile_images/962471262747529216/Uo8lOkRJ_normal.jpg","View")</f>
        <v>View</v>
      </c>
      <c r="P13943" s="7"/>
    </row>
    <row r="13944" spans="1:16">
      <c r="A13944" s="3">
        <v>44285.924687499995</v>
      </c>
      <c r="B13944" s="4" t="str">
        <f>HYPERLINK("https://twitter.com/petrogustavo","@petrogustavo")</f>
        <v>@petrogustavo</v>
      </c>
      <c r="C13944" s="5" t="s">
        <v>16</v>
      </c>
      <c r="D13944" s="5" t="s">
        <v>13420</v>
      </c>
      <c r="E13944" s="6" t="str">
        <f>HYPERLINK("https://twitter.com/petrogustavo/status/1376937652876931073","1376937652876931073")</f>
        <v>1376937652876931073</v>
      </c>
      <c r="F13944" s="7" t="s">
        <v>17</v>
      </c>
      <c r="G13944" s="7">
        <v>4085331</v>
      </c>
      <c r="H13944" s="7">
        <v>2496</v>
      </c>
      <c r="I13944" s="7">
        <v>1278</v>
      </c>
      <c r="J13944" s="7">
        <v>0</v>
      </c>
      <c r="K13944" s="7" t="s">
        <v>18</v>
      </c>
      <c r="L13944" s="8">
        <v>39987.315405092595</v>
      </c>
      <c r="M13944" s="9" t="s">
        <v>19</v>
      </c>
      <c r="N13944" s="9" t="s">
        <v>20</v>
      </c>
      <c r="O13944" s="6" t="str">
        <f>HYPERLINK("https://pbs.twimg.com/profile_images/962471262747529216/Uo8lOkRJ_normal.jpg","View")</f>
        <v>View</v>
      </c>
      <c r="P13944" s="7"/>
    </row>
    <row r="13945" spans="1:16">
      <c r="A13945" s="3">
        <v>44286.024004629631</v>
      </c>
      <c r="B13945" s="4" t="str">
        <f>HYPERLINK("https://twitter.com/petrogustavo","@petrogustavo")</f>
        <v>@petrogustavo</v>
      </c>
      <c r="C13945" s="5" t="s">
        <v>16</v>
      </c>
      <c r="D13945" s="5" t="s">
        <v>13421</v>
      </c>
      <c r="E13945" s="6" t="str">
        <f>HYPERLINK("https://twitter.com/petrogustavo/status/1376973644853809162","1376973644853809162")</f>
        <v>1376973644853809162</v>
      </c>
      <c r="F13945" s="7" t="s">
        <v>17</v>
      </c>
      <c r="G13945" s="7">
        <v>4085399</v>
      </c>
      <c r="H13945" s="7">
        <v>2499</v>
      </c>
      <c r="I13945" s="7">
        <v>25</v>
      </c>
      <c r="J13945" s="7">
        <v>0</v>
      </c>
      <c r="K13945" s="7" t="s">
        <v>18</v>
      </c>
      <c r="L13945" s="8">
        <v>39987.315405092595</v>
      </c>
      <c r="M13945" s="9" t="s">
        <v>19</v>
      </c>
      <c r="N13945" s="9" t="s">
        <v>20</v>
      </c>
      <c r="O13945" s="6" t="str">
        <f>HYPERLINK("https://pbs.twimg.com/profile_images/962471262747529216/Uo8lOkRJ_normal.jpg","View")</f>
        <v>View</v>
      </c>
      <c r="P13945" s="7"/>
    </row>
    <row r="13946" spans="1:16">
      <c r="A13946" s="3">
        <v>44286.024976851855</v>
      </c>
      <c r="B13946" s="4" t="str">
        <f>HYPERLINK("https://twitter.com/petrogustavo","@petrogustavo")</f>
        <v>@petrogustavo</v>
      </c>
      <c r="C13946" s="5" t="s">
        <v>16</v>
      </c>
      <c r="D13946" s="5" t="s">
        <v>13422</v>
      </c>
      <c r="E13946" s="6" t="str">
        <f>HYPERLINK("https://twitter.com/petrogustavo/status/1376973996097437702","1376973996097437702")</f>
        <v>1376973996097437702</v>
      </c>
      <c r="F13946" s="7" t="s">
        <v>17</v>
      </c>
      <c r="G13946" s="7">
        <v>4085399</v>
      </c>
      <c r="H13946" s="7">
        <v>2499</v>
      </c>
      <c r="I13946" s="7">
        <v>257</v>
      </c>
      <c r="J13946" s="7">
        <v>0</v>
      </c>
      <c r="K13946" s="7" t="s">
        <v>18</v>
      </c>
      <c r="L13946" s="8">
        <v>39987.315405092595</v>
      </c>
      <c r="M13946" s="9" t="s">
        <v>19</v>
      </c>
      <c r="N13946" s="9" t="s">
        <v>20</v>
      </c>
      <c r="O13946" s="6" t="str">
        <f>HYPERLINK("https://pbs.twimg.com/profile_images/962471262747529216/Uo8lOkRJ_normal.jpg","View")</f>
        <v>View</v>
      </c>
      <c r="P13946" s="7"/>
    </row>
    <row r="13947" spans="1:16">
      <c r="A13947" s="3">
        <v>44286.573414351849</v>
      </c>
      <c r="B13947" s="4" t="str">
        <f>HYPERLINK("https://twitter.com/petrogustavo","@petrogustavo")</f>
        <v>@petrogustavo</v>
      </c>
      <c r="C13947" s="5" t="s">
        <v>16</v>
      </c>
      <c r="D13947" s="5" t="s">
        <v>13420</v>
      </c>
      <c r="E13947" s="6" t="str">
        <f>HYPERLINK("https://twitter.com/petrogustavo/status/1377172744521932806","1377172744521932806")</f>
        <v>1377172744521932806</v>
      </c>
      <c r="F13947" s="7" t="s">
        <v>17</v>
      </c>
      <c r="G13947" s="7">
        <v>4084777</v>
      </c>
      <c r="H13947" s="7">
        <v>2500</v>
      </c>
      <c r="I13947" s="7">
        <v>3447</v>
      </c>
      <c r="J13947" s="7">
        <v>0</v>
      </c>
      <c r="K13947" s="7" t="s">
        <v>18</v>
      </c>
      <c r="L13947" s="8">
        <v>39987.315405092595</v>
      </c>
      <c r="M13947" s="9" t="s">
        <v>19</v>
      </c>
      <c r="N13947" s="9" t="s">
        <v>20</v>
      </c>
      <c r="O13947" s="6" t="str">
        <f>HYPERLINK("https://pbs.twimg.com/profile_images/962471262747529216/Uo8lOkRJ_normal.jpg","View")</f>
        <v>View</v>
      </c>
      <c r="P13947" s="7"/>
    </row>
    <row r="13948" spans="1:16">
      <c r="A13948" s="3">
        <v>44286.700659722221</v>
      </c>
      <c r="B13948" s="4" t="str">
        <f>HYPERLINK("https://twitter.com/petrogustavo","@petrogustavo")</f>
        <v>@petrogustavo</v>
      </c>
      <c r="C13948" s="5" t="s">
        <v>16</v>
      </c>
      <c r="D13948" s="5" t="s">
        <v>13420</v>
      </c>
      <c r="E13948" s="6" t="str">
        <f>HYPERLINK("https://twitter.com/petrogustavo/status/1377218857908240385","1377218857908240385")</f>
        <v>1377218857908240385</v>
      </c>
      <c r="F13948" s="7" t="s">
        <v>17</v>
      </c>
      <c r="G13948" s="7">
        <v>4085512</v>
      </c>
      <c r="H13948" s="7">
        <v>2499</v>
      </c>
      <c r="I13948" s="7">
        <v>3595</v>
      </c>
      <c r="J13948" s="7">
        <v>0</v>
      </c>
      <c r="K13948" s="7" t="s">
        <v>18</v>
      </c>
      <c r="L13948" s="8">
        <v>39987.315405092595</v>
      </c>
      <c r="M13948" s="9" t="s">
        <v>19</v>
      </c>
      <c r="N13948" s="9" t="s">
        <v>20</v>
      </c>
      <c r="O13948" s="6" t="str">
        <f>HYPERLINK("https://pbs.twimg.com/profile_images/962471262747529216/Uo8lOkRJ_normal.jpg","View")</f>
        <v>View</v>
      </c>
      <c r="P13948" s="7"/>
    </row>
    <row r="13949" spans="1:16">
      <c r="A13949" s="3">
        <v>44286.714467592596</v>
      </c>
      <c r="B13949" s="4" t="str">
        <f>HYPERLINK("https://twitter.com/petrogustavo","@petrogustavo")</f>
        <v>@petrogustavo</v>
      </c>
      <c r="C13949" s="5" t="s">
        <v>16</v>
      </c>
      <c r="D13949" s="5" t="s">
        <v>13423</v>
      </c>
      <c r="E13949" s="6" t="str">
        <f>HYPERLINK("https://twitter.com/petrogustavo/status/1377223859737350144","1377223859737350144")</f>
        <v>1377223859737350144</v>
      </c>
      <c r="F13949" s="7" t="s">
        <v>17</v>
      </c>
      <c r="G13949" s="7">
        <v>4085512</v>
      </c>
      <c r="H13949" s="7">
        <v>2499</v>
      </c>
      <c r="I13949" s="7">
        <v>99</v>
      </c>
      <c r="J13949" s="7">
        <v>327</v>
      </c>
      <c r="K13949" s="7" t="s">
        <v>18</v>
      </c>
      <c r="L13949" s="8">
        <v>39987.315405092595</v>
      </c>
      <c r="M13949" s="9" t="s">
        <v>19</v>
      </c>
      <c r="N13949" s="9" t="s">
        <v>20</v>
      </c>
      <c r="O13949" s="6" t="str">
        <f>HYPERLINK("https://pbs.twimg.com/profile_images/962471262747529216/Uo8lOkRJ_normal.jpg","View")</f>
        <v>View</v>
      </c>
      <c r="P13949" s="7"/>
    </row>
    <row r="13950" spans="1:16">
      <c r="A13950" s="3">
        <v>44286.71638888889</v>
      </c>
      <c r="B13950" s="4" t="str">
        <f>HYPERLINK("https://twitter.com/petrogustavo","@petrogustavo")</f>
        <v>@petrogustavo</v>
      </c>
      <c r="C13950" s="5" t="s">
        <v>16</v>
      </c>
      <c r="D13950" s="5" t="s">
        <v>13424</v>
      </c>
      <c r="E13950" s="6" t="str">
        <f>HYPERLINK("https://twitter.com/petrogustavo/status/1377224554796490754","1377224554796490754")</f>
        <v>1377224554796490754</v>
      </c>
      <c r="F13950" s="7" t="s">
        <v>17</v>
      </c>
      <c r="G13950" s="7">
        <v>4085512</v>
      </c>
      <c r="H13950" s="7">
        <v>2499</v>
      </c>
      <c r="I13950" s="7">
        <v>95</v>
      </c>
      <c r="J13950" s="7">
        <v>214</v>
      </c>
      <c r="K13950" s="7" t="s">
        <v>18</v>
      </c>
      <c r="L13950" s="8">
        <v>39987.315405092595</v>
      </c>
      <c r="M13950" s="9" t="s">
        <v>19</v>
      </c>
      <c r="N13950" s="9" t="s">
        <v>20</v>
      </c>
      <c r="O13950" s="6" t="str">
        <f>HYPERLINK("https://pbs.twimg.com/profile_images/962471262747529216/Uo8lOkRJ_normal.jpg","View")</f>
        <v>View</v>
      </c>
      <c r="P13950" s="7"/>
    </row>
    <row r="13951" spans="1:16">
      <c r="A13951" s="3">
        <v>44286.923784722225</v>
      </c>
      <c r="B13951" s="4" t="str">
        <f>HYPERLINK("https://twitter.com/petrogustavo","@petrogustavo")</f>
        <v>@petrogustavo</v>
      </c>
      <c r="C13951" s="5" t="s">
        <v>16</v>
      </c>
      <c r="D13951" s="5" t="s">
        <v>13425</v>
      </c>
      <c r="E13951" s="6" t="str">
        <f>HYPERLINK("https://twitter.com/petrogustavo/status/1377299714887069697","1377299714887069697")</f>
        <v>1377299714887069697</v>
      </c>
      <c r="F13951" s="7" t="s">
        <v>17</v>
      </c>
      <c r="G13951" s="7">
        <v>4085626</v>
      </c>
      <c r="H13951" s="7">
        <v>2499</v>
      </c>
      <c r="I13951" s="7">
        <v>139</v>
      </c>
      <c r="J13951" s="7">
        <v>432</v>
      </c>
      <c r="K13951" s="7" t="s">
        <v>18</v>
      </c>
      <c r="L13951" s="8">
        <v>39987.315405092595</v>
      </c>
      <c r="M13951" s="9" t="s">
        <v>19</v>
      </c>
      <c r="N13951" s="9" t="s">
        <v>20</v>
      </c>
      <c r="O13951" s="6" t="str">
        <f>HYPERLINK("https://pbs.twimg.com/profile_images/962471262747529216/Uo8lOkRJ_normal.jpg","View")</f>
        <v>View</v>
      </c>
      <c r="P13951" s="7"/>
    </row>
    <row r="13952" spans="1:16">
      <c r="A13952" s="3">
        <v>44286.923796296294</v>
      </c>
      <c r="B13952" s="4" t="str">
        <f>HYPERLINK("https://twitter.com/petrogustavo","@petrogustavo")</f>
        <v>@petrogustavo</v>
      </c>
      <c r="C13952" s="5" t="s">
        <v>16</v>
      </c>
      <c r="D13952" s="5" t="s">
        <v>13426</v>
      </c>
      <c r="E13952" s="6" t="str">
        <f>HYPERLINK("https://twitter.com/petrogustavo/status/1377299716954808321","1377299716954808321")</f>
        <v>1377299716954808321</v>
      </c>
      <c r="F13952" s="7" t="s">
        <v>17</v>
      </c>
      <c r="G13952" s="7">
        <v>4085626</v>
      </c>
      <c r="H13952" s="7">
        <v>2499</v>
      </c>
      <c r="I13952" s="7">
        <v>84</v>
      </c>
      <c r="J13952" s="7">
        <v>331</v>
      </c>
      <c r="K13952" s="7" t="s">
        <v>18</v>
      </c>
      <c r="L13952" s="8">
        <v>39987.315405092595</v>
      </c>
      <c r="M13952" s="9" t="s">
        <v>19</v>
      </c>
      <c r="N13952" s="9" t="s">
        <v>20</v>
      </c>
      <c r="O13952" s="6" t="str">
        <f>HYPERLINK("https://pbs.twimg.com/profile_images/962471262747529216/Uo8lOkRJ_normal.jpg","View")</f>
        <v>View</v>
      </c>
      <c r="P13952" s="7"/>
    </row>
    <row r="13953" spans="1:16">
      <c r="A13953" s="3">
        <v>44287.759421296301</v>
      </c>
      <c r="B13953" s="4" t="str">
        <f>HYPERLINK("https://twitter.com/petrogustavo","@petrogustavo")</f>
        <v>@petrogustavo</v>
      </c>
      <c r="C13953" s="5" t="s">
        <v>16</v>
      </c>
      <c r="D13953" s="5" t="s">
        <v>13427</v>
      </c>
      <c r="E13953" s="6" t="str">
        <f>HYPERLINK("https://twitter.com/petrogustavo/status/1377602539546415105","1377602539546415105")</f>
        <v>1377602539546415105</v>
      </c>
      <c r="F13953" s="7" t="s">
        <v>17</v>
      </c>
      <c r="G13953" s="7">
        <v>4085935</v>
      </c>
      <c r="H13953" s="7">
        <v>2498</v>
      </c>
      <c r="I13953" s="7">
        <v>19</v>
      </c>
      <c r="J13953" s="7">
        <v>58</v>
      </c>
      <c r="K13953" s="7" t="s">
        <v>18</v>
      </c>
      <c r="L13953" s="8">
        <v>39987.315405092595</v>
      </c>
      <c r="M13953" s="9" t="s">
        <v>19</v>
      </c>
      <c r="N13953" s="9" t="s">
        <v>20</v>
      </c>
      <c r="O13953" s="6" t="str">
        <f>HYPERLINK("https://pbs.twimg.com/profile_images/962471262747529216/Uo8lOkRJ_normal.jpg","View")</f>
        <v>View</v>
      </c>
      <c r="P13953" s="7"/>
    </row>
    <row r="13954" spans="1:16">
      <c r="A13954" s="3">
        <v>44287.759432870371</v>
      </c>
      <c r="B13954" s="4" t="str">
        <f>HYPERLINK("https://twitter.com/petrogustavo","@petrogustavo")</f>
        <v>@petrogustavo</v>
      </c>
      <c r="C13954" s="5" t="s">
        <v>16</v>
      </c>
      <c r="D13954" s="5" t="s">
        <v>13428</v>
      </c>
      <c r="E13954" s="6" t="str">
        <f>HYPERLINK("https://twitter.com/petrogustavo/status/1377602541345705986","1377602541345705986")</f>
        <v>1377602541345705986</v>
      </c>
      <c r="F13954" s="7" t="s">
        <v>17</v>
      </c>
      <c r="G13954" s="7">
        <v>4085935</v>
      </c>
      <c r="H13954" s="7">
        <v>2498</v>
      </c>
      <c r="I13954" s="7">
        <v>5</v>
      </c>
      <c r="J13954" s="7">
        <v>10</v>
      </c>
      <c r="K13954" s="7" t="s">
        <v>18</v>
      </c>
      <c r="L13954" s="8">
        <v>39987.315405092595</v>
      </c>
      <c r="M13954" s="9" t="s">
        <v>19</v>
      </c>
      <c r="N13954" s="9" t="s">
        <v>20</v>
      </c>
      <c r="O13954" s="6" t="str">
        <f>HYPERLINK("https://pbs.twimg.com/profile_images/962471262747529216/Uo8lOkRJ_normal.jpg","View")</f>
        <v>View</v>
      </c>
      <c r="P13954" s="7"/>
    </row>
    <row r="13955" spans="1:16">
      <c r="A13955" s="3">
        <v>44287.759432870371</v>
      </c>
      <c r="B13955" s="4" t="str">
        <f>HYPERLINK("https://twitter.com/petrogustavo","@petrogustavo")</f>
        <v>@petrogustavo</v>
      </c>
      <c r="C13955" s="5" t="s">
        <v>16</v>
      </c>
      <c r="D13955" s="5" t="s">
        <v>13429</v>
      </c>
      <c r="E13955" s="6" t="str">
        <f>HYPERLINK("https://twitter.com/petrogustavo/status/1377602542989889537","1377602542989889537")</f>
        <v>1377602542989889537</v>
      </c>
      <c r="F13955" s="7" t="s">
        <v>17</v>
      </c>
      <c r="G13955" s="7">
        <v>4085935</v>
      </c>
      <c r="H13955" s="7">
        <v>2498</v>
      </c>
      <c r="I13955" s="7">
        <v>9</v>
      </c>
      <c r="J13955" s="7">
        <v>24</v>
      </c>
      <c r="K13955" s="7" t="s">
        <v>18</v>
      </c>
      <c r="L13955" s="8">
        <v>39987.315405092595</v>
      </c>
      <c r="M13955" s="9" t="s">
        <v>19</v>
      </c>
      <c r="N13955" s="9" t="s">
        <v>20</v>
      </c>
      <c r="O13955" s="6" t="str">
        <f>HYPERLINK("https://pbs.twimg.com/profile_images/962471262747529216/Uo8lOkRJ_normal.jpg","View")</f>
        <v>View</v>
      </c>
      <c r="P13955" s="7"/>
    </row>
    <row r="13956" spans="1:16">
      <c r="A13956" s="3">
        <v>44287.759432870371</v>
      </c>
      <c r="B13956" s="4" t="str">
        <f>HYPERLINK("https://twitter.com/petrogustavo","@petrogustavo")</f>
        <v>@petrogustavo</v>
      </c>
      <c r="C13956" s="5" t="s">
        <v>16</v>
      </c>
      <c r="D13956" s="5" t="s">
        <v>13430</v>
      </c>
      <c r="E13956" s="6" t="str">
        <f>HYPERLINK("https://twitter.com/petrogustavo/status/1377602544348844034","1377602544348844034")</f>
        <v>1377602544348844034</v>
      </c>
      <c r="F13956" s="7" t="s">
        <v>17</v>
      </c>
      <c r="G13956" s="7">
        <v>4085935</v>
      </c>
      <c r="H13956" s="7">
        <v>2498</v>
      </c>
      <c r="I13956" s="7">
        <v>10</v>
      </c>
      <c r="J13956" s="7">
        <v>34</v>
      </c>
      <c r="K13956" s="7" t="s">
        <v>18</v>
      </c>
      <c r="L13956" s="8">
        <v>39987.315405092595</v>
      </c>
      <c r="M13956" s="9" t="s">
        <v>19</v>
      </c>
      <c r="N13956" s="9" t="s">
        <v>20</v>
      </c>
      <c r="O13956" s="6" t="str">
        <f>HYPERLINK("https://pbs.twimg.com/profile_images/962471262747529216/Uo8lOkRJ_normal.jpg","View")</f>
        <v>View</v>
      </c>
      <c r="P13956" s="7"/>
    </row>
    <row r="13957" spans="1:16">
      <c r="A13957" s="3">
        <v>44287.858958333338</v>
      </c>
      <c r="B13957" s="4" t="str">
        <f>HYPERLINK("https://twitter.com/petrogustavo","@petrogustavo")</f>
        <v>@petrogustavo</v>
      </c>
      <c r="C13957" s="5" t="s">
        <v>16</v>
      </c>
      <c r="D13957" s="5" t="s">
        <v>13431</v>
      </c>
      <c r="E13957" s="6" t="str">
        <f>HYPERLINK("https://twitter.com/petrogustavo/status/1377638611118604288","1377638611118604288")</f>
        <v>1377638611118604288</v>
      </c>
      <c r="F13957" s="7" t="s">
        <v>17</v>
      </c>
      <c r="G13957" s="7">
        <v>4085987</v>
      </c>
      <c r="H13957" s="7">
        <v>2500</v>
      </c>
      <c r="I13957" s="7">
        <v>470</v>
      </c>
      <c r="J13957" s="7">
        <v>0</v>
      </c>
      <c r="K13957" s="7" t="s">
        <v>18</v>
      </c>
      <c r="L13957" s="8">
        <v>39987.315405092595</v>
      </c>
      <c r="M13957" s="9" t="s">
        <v>19</v>
      </c>
      <c r="N13957" s="9" t="s">
        <v>20</v>
      </c>
      <c r="O13957" s="6" t="str">
        <f>HYPERLINK("https://pbs.twimg.com/profile_images/962471262747529216/Uo8lOkRJ_normal.jpg","View")</f>
        <v>View</v>
      </c>
      <c r="P13957" s="7"/>
    </row>
    <row r="13958" spans="1:16">
      <c r="A13958" s="3">
        <v>44287.863692129627</v>
      </c>
      <c r="B13958" s="4" t="str">
        <f>HYPERLINK("https://twitter.com/petrogustavo","@petrogustavo")</f>
        <v>@petrogustavo</v>
      </c>
      <c r="C13958" s="5" t="s">
        <v>16</v>
      </c>
      <c r="D13958" s="5" t="s">
        <v>13432</v>
      </c>
      <c r="E13958" s="6" t="str">
        <f>HYPERLINK("https://twitter.com/petrogustavo/status/1377640325821440002","1377640325821440002")</f>
        <v>1377640325821440002</v>
      </c>
      <c r="F13958" s="7" t="s">
        <v>17</v>
      </c>
      <c r="G13958" s="7">
        <v>4085987</v>
      </c>
      <c r="H13958" s="7">
        <v>2500</v>
      </c>
      <c r="I13958" s="7">
        <v>43</v>
      </c>
      <c r="J13958" s="7">
        <v>101</v>
      </c>
      <c r="K13958" s="7" t="s">
        <v>18</v>
      </c>
      <c r="L13958" s="8">
        <v>39987.315405092595</v>
      </c>
      <c r="M13958" s="9" t="s">
        <v>19</v>
      </c>
      <c r="N13958" s="9" t="s">
        <v>20</v>
      </c>
      <c r="O13958" s="6" t="str">
        <f>HYPERLINK("https://pbs.twimg.com/profile_images/962471262747529216/Uo8lOkRJ_normal.jpg","View")</f>
        <v>View</v>
      </c>
      <c r="P13958" s="7"/>
    </row>
    <row r="13959" spans="1:16">
      <c r="A13959" s="3">
        <v>44287.863703703704</v>
      </c>
      <c r="B13959" s="4" t="str">
        <f>HYPERLINK("https://twitter.com/petrogustavo","@petrogustavo")</f>
        <v>@petrogustavo</v>
      </c>
      <c r="C13959" s="5" t="s">
        <v>16</v>
      </c>
      <c r="D13959" s="5" t="s">
        <v>13433</v>
      </c>
      <c r="E13959" s="6" t="str">
        <f>HYPERLINK("https://twitter.com/petrogustavo/status/1377640328157609986","1377640328157609986")</f>
        <v>1377640328157609986</v>
      </c>
      <c r="F13959" s="7" t="s">
        <v>17</v>
      </c>
      <c r="G13959" s="7">
        <v>4085987</v>
      </c>
      <c r="H13959" s="7">
        <v>2500</v>
      </c>
      <c r="I13959" s="7">
        <v>29</v>
      </c>
      <c r="J13959" s="7">
        <v>72</v>
      </c>
      <c r="K13959" s="7" t="s">
        <v>18</v>
      </c>
      <c r="L13959" s="8">
        <v>39987.315405092595</v>
      </c>
      <c r="M13959" s="9" t="s">
        <v>19</v>
      </c>
      <c r="N13959" s="9" t="s">
        <v>20</v>
      </c>
      <c r="O13959" s="6" t="str">
        <f>HYPERLINK("https://pbs.twimg.com/profile_images/962471262747529216/Uo8lOkRJ_normal.jpg","View")</f>
        <v>View</v>
      </c>
      <c r="P13959" s="7"/>
    </row>
    <row r="13960" spans="1:16">
      <c r="A13960" s="3">
        <v>44287.869027777779</v>
      </c>
      <c r="B13960" s="4" t="str">
        <f>HYPERLINK("https://twitter.com/petrogustavo","@petrogustavo")</f>
        <v>@petrogustavo</v>
      </c>
      <c r="C13960" s="5" t="s">
        <v>16</v>
      </c>
      <c r="D13960" s="5" t="s">
        <v>13434</v>
      </c>
      <c r="E13960" s="6" t="str">
        <f>HYPERLINK("https://twitter.com/petrogustavo/status/1377642258871238656","1377642258871238656")</f>
        <v>1377642258871238656</v>
      </c>
      <c r="F13960" s="7" t="s">
        <v>17</v>
      </c>
      <c r="G13960" s="7">
        <v>4086005</v>
      </c>
      <c r="H13960" s="7">
        <v>2500</v>
      </c>
      <c r="I13960" s="7">
        <v>234</v>
      </c>
      <c r="J13960" s="7">
        <v>636</v>
      </c>
      <c r="K13960" s="7" t="s">
        <v>18</v>
      </c>
      <c r="L13960" s="8">
        <v>39987.315405092595</v>
      </c>
      <c r="M13960" s="9" t="s">
        <v>19</v>
      </c>
      <c r="N13960" s="9" t="s">
        <v>20</v>
      </c>
      <c r="O13960" s="6" t="str">
        <f>HYPERLINK("https://pbs.twimg.com/profile_images/962471262747529216/Uo8lOkRJ_normal.jpg","View")</f>
        <v>View</v>
      </c>
      <c r="P13960" s="7"/>
    </row>
    <row r="13961" spans="1:16">
      <c r="A13961" s="3">
        <v>44287.87399305556</v>
      </c>
      <c r="B13961" s="4" t="str">
        <f>HYPERLINK("https://twitter.com/petrogustavo","@petrogustavo")</f>
        <v>@petrogustavo</v>
      </c>
      <c r="C13961" s="5" t="s">
        <v>16</v>
      </c>
      <c r="D13961" s="5" t="s">
        <v>13435</v>
      </c>
      <c r="E13961" s="6" t="str">
        <f>HYPERLINK("https://twitter.com/petrogustavo/status/1377644058730958854","1377644058730958854")</f>
        <v>1377644058730958854</v>
      </c>
      <c r="F13961" s="7" t="s">
        <v>17</v>
      </c>
      <c r="G13961" s="7">
        <v>4086005</v>
      </c>
      <c r="H13961" s="7">
        <v>2500</v>
      </c>
      <c r="I13961" s="7">
        <v>208</v>
      </c>
      <c r="J13961" s="7">
        <v>0</v>
      </c>
      <c r="K13961" s="7" t="s">
        <v>18</v>
      </c>
      <c r="L13961" s="8">
        <v>39987.315405092595</v>
      </c>
      <c r="M13961" s="9" t="s">
        <v>19</v>
      </c>
      <c r="N13961" s="9" t="s">
        <v>20</v>
      </c>
      <c r="O13961" s="6" t="str">
        <f>HYPERLINK("https://pbs.twimg.com/profile_images/962471262747529216/Uo8lOkRJ_normal.jpg","View")</f>
        <v>View</v>
      </c>
      <c r="P13961" s="7"/>
    </row>
    <row r="13962" spans="1:16">
      <c r="A13962" s="3">
        <v>44288.001192129625</v>
      </c>
      <c r="B13962" s="4" t="str">
        <f>HYPERLINK("https://twitter.com/petrogustavo","@petrogustavo")</f>
        <v>@petrogustavo</v>
      </c>
      <c r="C13962" s="5" t="s">
        <v>16</v>
      </c>
      <c r="D13962" s="5" t="s">
        <v>13436</v>
      </c>
      <c r="E13962" s="6" t="str">
        <f>HYPERLINK("https://twitter.com/petrogustavo/status/1377690152022204419","1377690152022204419")</f>
        <v>1377690152022204419</v>
      </c>
      <c r="F13962" s="7" t="s">
        <v>17</v>
      </c>
      <c r="G13962" s="7">
        <v>4086075</v>
      </c>
      <c r="H13962" s="7">
        <v>2500</v>
      </c>
      <c r="I13962" s="7">
        <v>849</v>
      </c>
      <c r="J13962" s="7">
        <v>0</v>
      </c>
      <c r="K13962" s="7" t="s">
        <v>18</v>
      </c>
      <c r="L13962" s="8">
        <v>39987.315405092595</v>
      </c>
      <c r="M13962" s="9" t="s">
        <v>19</v>
      </c>
      <c r="N13962" s="9" t="s">
        <v>20</v>
      </c>
      <c r="O13962" s="6" t="str">
        <f>HYPERLINK("https://pbs.twimg.com/profile_images/962471262747529216/Uo8lOkRJ_normal.jpg","View")</f>
        <v>View</v>
      </c>
      <c r="P13962" s="7"/>
    </row>
    <row r="13963" spans="1:16">
      <c r="A13963" s="3">
        <v>44288.05678240741</v>
      </c>
      <c r="B13963" s="4" t="str">
        <f>HYPERLINK("https://twitter.com/petrogustavo","@petrogustavo")</f>
        <v>@petrogustavo</v>
      </c>
      <c r="C13963" s="5" t="s">
        <v>16</v>
      </c>
      <c r="D13963" s="5" t="s">
        <v>13437</v>
      </c>
      <c r="E13963" s="6" t="str">
        <f>HYPERLINK("https://twitter.com/petrogustavo/status/1377710297281146882","1377710297281146882")</f>
        <v>1377710297281146882</v>
      </c>
      <c r="F13963" s="7" t="s">
        <v>17</v>
      </c>
      <c r="G13963" s="7">
        <v>4086109</v>
      </c>
      <c r="H13963" s="7">
        <v>2500</v>
      </c>
      <c r="I13963" s="7">
        <v>1020</v>
      </c>
      <c r="J13963" s="7">
        <v>0</v>
      </c>
      <c r="K13963" s="7" t="s">
        <v>18</v>
      </c>
      <c r="L13963" s="8">
        <v>39987.315405092595</v>
      </c>
      <c r="M13963" s="9" t="s">
        <v>19</v>
      </c>
      <c r="N13963" s="9" t="s">
        <v>20</v>
      </c>
      <c r="O13963" s="6" t="str">
        <f>HYPERLINK("https://pbs.twimg.com/profile_images/962471262747529216/Uo8lOkRJ_normal.jpg","View")</f>
        <v>View</v>
      </c>
      <c r="P13963" s="7"/>
    </row>
    <row r="13964" spans="1:16">
      <c r="A13964" s="3">
        <v>44288.597650462965</v>
      </c>
      <c r="B13964" s="4" t="str">
        <f>HYPERLINK("https://twitter.com/petrogustavo","@petrogustavo")</f>
        <v>@petrogustavo</v>
      </c>
      <c r="C13964" s="5" t="s">
        <v>16</v>
      </c>
      <c r="D13964" s="5" t="s">
        <v>13437</v>
      </c>
      <c r="E13964" s="6" t="str">
        <f>HYPERLINK("https://twitter.com/petrogustavo/status/1377906302731567106","1377906302731567106")</f>
        <v>1377906302731567106</v>
      </c>
      <c r="F13964" s="7" t="s">
        <v>17</v>
      </c>
      <c r="G13964" s="7">
        <v>4086308</v>
      </c>
      <c r="H13964" s="7">
        <v>2500</v>
      </c>
      <c r="I13964" s="7">
        <v>1367</v>
      </c>
      <c r="J13964" s="7">
        <v>0</v>
      </c>
      <c r="K13964" s="7" t="s">
        <v>18</v>
      </c>
      <c r="L13964" s="8">
        <v>39987.315405092595</v>
      </c>
      <c r="M13964" s="9" t="s">
        <v>19</v>
      </c>
      <c r="N13964" s="9" t="s">
        <v>20</v>
      </c>
      <c r="O13964" s="6" t="str">
        <f>HYPERLINK("https://pbs.twimg.com/profile_images/962471262747529216/Uo8lOkRJ_normal.jpg","View")</f>
        <v>View</v>
      </c>
      <c r="P13964" s="7"/>
    </row>
    <row r="13965" spans="1:16">
      <c r="A13965" s="3">
        <v>44288.774085648147</v>
      </c>
      <c r="B13965" s="4" t="str">
        <f>HYPERLINK("https://twitter.com/petrogustavo","@petrogustavo")</f>
        <v>@petrogustavo</v>
      </c>
      <c r="C13965" s="5" t="s">
        <v>16</v>
      </c>
      <c r="D13965" s="5" t="s">
        <v>13438</v>
      </c>
      <c r="E13965" s="6" t="str">
        <f>HYPERLINK("https://twitter.com/petrogustavo/status/1377970240374575113","1377970240374575113")</f>
        <v>1377970240374575113</v>
      </c>
      <c r="F13965" s="7" t="s">
        <v>17</v>
      </c>
      <c r="G13965" s="7">
        <v>4086345</v>
      </c>
      <c r="H13965" s="7">
        <v>2502</v>
      </c>
      <c r="I13965" s="7">
        <v>198</v>
      </c>
      <c r="J13965" s="7">
        <v>378</v>
      </c>
      <c r="K13965" s="7" t="s">
        <v>18</v>
      </c>
      <c r="L13965" s="8">
        <v>39987.315405092595</v>
      </c>
      <c r="M13965" s="9" t="s">
        <v>19</v>
      </c>
      <c r="N13965" s="9" t="s">
        <v>20</v>
      </c>
      <c r="O13965" s="6" t="str">
        <f>HYPERLINK("https://pbs.twimg.com/profile_images/962471262747529216/Uo8lOkRJ_normal.jpg","View")</f>
        <v>View</v>
      </c>
      <c r="P13965" s="7"/>
    </row>
    <row r="13966" spans="1:16">
      <c r="A13966" s="3">
        <v>44288.785011574073</v>
      </c>
      <c r="B13966" s="4" t="str">
        <f>HYPERLINK("https://twitter.com/petrogustavo","@petrogustavo")</f>
        <v>@petrogustavo</v>
      </c>
      <c r="C13966" s="5" t="s">
        <v>16</v>
      </c>
      <c r="D13966" s="5" t="s">
        <v>13439</v>
      </c>
      <c r="E13966" s="6" t="str">
        <f>HYPERLINK("https://twitter.com/petrogustavo/status/1377974198744838151","1377974198744838151")</f>
        <v>1377974198744838151</v>
      </c>
      <c r="F13966" s="7" t="s">
        <v>17</v>
      </c>
      <c r="G13966" s="7">
        <v>4086357</v>
      </c>
      <c r="H13966" s="7">
        <v>2502</v>
      </c>
      <c r="I13966" s="7">
        <v>132</v>
      </c>
      <c r="J13966" s="7">
        <v>445</v>
      </c>
      <c r="K13966" s="7" t="s">
        <v>18</v>
      </c>
      <c r="L13966" s="8">
        <v>39987.315405092595</v>
      </c>
      <c r="M13966" s="9" t="s">
        <v>19</v>
      </c>
      <c r="N13966" s="9" t="s">
        <v>20</v>
      </c>
      <c r="O13966" s="6" t="str">
        <f>HYPERLINK("https://pbs.twimg.com/profile_images/962471262747529216/Uo8lOkRJ_normal.jpg","View")</f>
        <v>View</v>
      </c>
      <c r="P13966" s="7"/>
    </row>
    <row r="13967" spans="1:16">
      <c r="A13967" s="3">
        <v>44288.805243055554</v>
      </c>
      <c r="B13967" s="4" t="str">
        <f>HYPERLINK("https://twitter.com/petrogustavo","@petrogustavo")</f>
        <v>@petrogustavo</v>
      </c>
      <c r="C13967" s="5" t="s">
        <v>16</v>
      </c>
      <c r="D13967" s="5" t="s">
        <v>13440</v>
      </c>
      <c r="E13967" s="6" t="str">
        <f>HYPERLINK("https://twitter.com/petrogustavo/status/1377981533806559232","1377981533806559232")</f>
        <v>1377981533806559232</v>
      </c>
      <c r="F13967" s="7" t="s">
        <v>17</v>
      </c>
      <c r="G13967" s="7">
        <v>4086370</v>
      </c>
      <c r="H13967" s="7">
        <v>2502</v>
      </c>
      <c r="I13967" s="7">
        <v>122</v>
      </c>
      <c r="J13967" s="7">
        <v>324</v>
      </c>
      <c r="K13967" s="7" t="s">
        <v>18</v>
      </c>
      <c r="L13967" s="8">
        <v>39987.315405092595</v>
      </c>
      <c r="M13967" s="9" t="s">
        <v>19</v>
      </c>
      <c r="N13967" s="9" t="s">
        <v>20</v>
      </c>
      <c r="O13967" s="6" t="str">
        <f>HYPERLINK("https://pbs.twimg.com/profile_images/962471262747529216/Uo8lOkRJ_normal.jpg","View")</f>
        <v>View</v>
      </c>
      <c r="P13967" s="7"/>
    </row>
    <row r="13968" spans="1:16">
      <c r="A13968" s="3">
        <v>44288.805254629631</v>
      </c>
      <c r="B13968" s="4" t="str">
        <f>HYPERLINK("https://twitter.com/petrogustavo","@petrogustavo")</f>
        <v>@petrogustavo</v>
      </c>
      <c r="C13968" s="5" t="s">
        <v>16</v>
      </c>
      <c r="D13968" s="5" t="s">
        <v>13441</v>
      </c>
      <c r="E13968" s="6" t="str">
        <f>HYPERLINK("https://twitter.com/petrogustavo/status/1377981535765327874","1377981535765327874")</f>
        <v>1377981535765327874</v>
      </c>
      <c r="F13968" s="7" t="s">
        <v>17</v>
      </c>
      <c r="G13968" s="7">
        <v>4086370</v>
      </c>
      <c r="H13968" s="7">
        <v>2502</v>
      </c>
      <c r="I13968" s="7">
        <v>27</v>
      </c>
      <c r="J13968" s="7">
        <v>60</v>
      </c>
      <c r="K13968" s="7" t="s">
        <v>18</v>
      </c>
      <c r="L13968" s="8">
        <v>39987.315405092595</v>
      </c>
      <c r="M13968" s="9" t="s">
        <v>19</v>
      </c>
      <c r="N13968" s="9" t="s">
        <v>20</v>
      </c>
      <c r="O13968" s="6" t="str">
        <f>HYPERLINK("https://pbs.twimg.com/profile_images/962471262747529216/Uo8lOkRJ_normal.jpg","View")</f>
        <v>View</v>
      </c>
      <c r="P13968" s="7"/>
    </row>
    <row r="13969" spans="1:16">
      <c r="A13969" s="3">
        <v>44288.805254629631</v>
      </c>
      <c r="B13969" s="4" t="str">
        <f>HYPERLINK("https://twitter.com/petrogustavo","@petrogustavo")</f>
        <v>@petrogustavo</v>
      </c>
      <c r="C13969" s="5" t="s">
        <v>16</v>
      </c>
      <c r="D13969" s="5" t="s">
        <v>13442</v>
      </c>
      <c r="E13969" s="6" t="str">
        <f>HYPERLINK("https://twitter.com/petrogustavo/status/1377981537178820610","1377981537178820610")</f>
        <v>1377981537178820610</v>
      </c>
      <c r="F13969" s="7" t="s">
        <v>17</v>
      </c>
      <c r="G13969" s="7">
        <v>4086370</v>
      </c>
      <c r="H13969" s="7">
        <v>2502</v>
      </c>
      <c r="I13969" s="7">
        <v>15</v>
      </c>
      <c r="J13969" s="7">
        <v>56</v>
      </c>
      <c r="K13969" s="7" t="s">
        <v>18</v>
      </c>
      <c r="L13969" s="8">
        <v>39987.315405092595</v>
      </c>
      <c r="M13969" s="9" t="s">
        <v>19</v>
      </c>
      <c r="N13969" s="9" t="s">
        <v>20</v>
      </c>
      <c r="O13969" s="6" t="str">
        <f>HYPERLINK("https://pbs.twimg.com/profile_images/962471262747529216/Uo8lOkRJ_normal.jpg","View")</f>
        <v>View</v>
      </c>
      <c r="P13969" s="7"/>
    </row>
    <row r="13970" spans="1:16">
      <c r="A13970" s="3">
        <v>44288.805266203708</v>
      </c>
      <c r="B13970" s="4" t="str">
        <f>HYPERLINK("https://twitter.com/petrogustavo","@petrogustavo")</f>
        <v>@petrogustavo</v>
      </c>
      <c r="C13970" s="5" t="s">
        <v>16</v>
      </c>
      <c r="D13970" s="5" t="s">
        <v>13443</v>
      </c>
      <c r="E13970" s="6" t="str">
        <f>HYPERLINK("https://twitter.com/petrogustavo/status/1377981539573698562","1377981539573698562")</f>
        <v>1377981539573698562</v>
      </c>
      <c r="F13970" s="7" t="s">
        <v>17</v>
      </c>
      <c r="G13970" s="7">
        <v>4086370</v>
      </c>
      <c r="H13970" s="7">
        <v>2502</v>
      </c>
      <c r="I13970" s="7">
        <v>57</v>
      </c>
      <c r="J13970" s="7">
        <v>217</v>
      </c>
      <c r="K13970" s="7" t="s">
        <v>18</v>
      </c>
      <c r="L13970" s="8">
        <v>39987.315405092595</v>
      </c>
      <c r="M13970" s="9" t="s">
        <v>19</v>
      </c>
      <c r="N13970" s="9" t="s">
        <v>20</v>
      </c>
      <c r="O13970" s="6" t="str">
        <f>HYPERLINK("https://pbs.twimg.com/profile_images/962471262747529216/Uo8lOkRJ_normal.jpg","View")</f>
        <v>View</v>
      </c>
      <c r="P13970" s="7"/>
    </row>
    <row r="13971" spans="1:16">
      <c r="A13971" s="3">
        <v>44288.805266203708</v>
      </c>
      <c r="B13971" s="4" t="str">
        <f>HYPERLINK("https://twitter.com/petrogustavo","@petrogustavo")</f>
        <v>@petrogustavo</v>
      </c>
      <c r="C13971" s="5" t="s">
        <v>16</v>
      </c>
      <c r="D13971" s="5" t="s">
        <v>13444</v>
      </c>
      <c r="E13971" s="6" t="str">
        <f>HYPERLINK("https://twitter.com/petrogustavo/status/1377981542018990080","1377981542018990080")</f>
        <v>1377981542018990080</v>
      </c>
      <c r="F13971" s="7" t="s">
        <v>17</v>
      </c>
      <c r="G13971" s="7">
        <v>4086370</v>
      </c>
      <c r="H13971" s="7">
        <v>2502</v>
      </c>
      <c r="I13971" s="7">
        <v>49</v>
      </c>
      <c r="J13971" s="7">
        <v>215</v>
      </c>
      <c r="K13971" s="7" t="s">
        <v>18</v>
      </c>
      <c r="L13971" s="8">
        <v>39987.315405092595</v>
      </c>
      <c r="M13971" s="9" t="s">
        <v>19</v>
      </c>
      <c r="N13971" s="9" t="s">
        <v>20</v>
      </c>
      <c r="O13971" s="6" t="str">
        <f>HYPERLINK("https://pbs.twimg.com/profile_images/962471262747529216/Uo8lOkRJ_normal.jpg","View")</f>
        <v>View</v>
      </c>
      <c r="P13971" s="7"/>
    </row>
    <row r="13972" spans="1:16">
      <c r="A13972" s="3">
        <v>44288.939467592594</v>
      </c>
      <c r="B13972" s="4" t="str">
        <f>HYPERLINK("https://twitter.com/petrogustavo","@petrogustavo")</f>
        <v>@petrogustavo</v>
      </c>
      <c r="C13972" s="5" t="s">
        <v>16</v>
      </c>
      <c r="D13972" s="5" t="s">
        <v>13445</v>
      </c>
      <c r="E13972" s="6" t="str">
        <f>HYPERLINK("https://twitter.com/petrogustavo/status/1378030171937251328","1378030171937251328")</f>
        <v>1378030171937251328</v>
      </c>
      <c r="F13972" s="7" t="s">
        <v>17</v>
      </c>
      <c r="G13972" s="7">
        <v>4086446</v>
      </c>
      <c r="H13972" s="7">
        <v>2504</v>
      </c>
      <c r="I13972" s="7">
        <v>418</v>
      </c>
      <c r="J13972" s="7">
        <v>0</v>
      </c>
      <c r="K13972" s="7" t="s">
        <v>18</v>
      </c>
      <c r="L13972" s="8">
        <v>39987.315405092595</v>
      </c>
      <c r="M13972" s="9" t="s">
        <v>19</v>
      </c>
      <c r="N13972" s="9" t="s">
        <v>20</v>
      </c>
      <c r="O13972" s="6" t="str">
        <f>HYPERLINK("https://pbs.twimg.com/profile_images/962471262747529216/Uo8lOkRJ_normal.jpg","View")</f>
        <v>View</v>
      </c>
      <c r="P13972" s="7"/>
    </row>
    <row r="13973" spans="1:16">
      <c r="A13973" s="3">
        <v>44288.992569444439</v>
      </c>
      <c r="B13973" s="4" t="str">
        <f>HYPERLINK("https://twitter.com/petrogustavo","@petrogustavo")</f>
        <v>@petrogustavo</v>
      </c>
      <c r="C13973" s="5" t="s">
        <v>16</v>
      </c>
      <c r="D13973" s="5" t="s">
        <v>13446</v>
      </c>
      <c r="E13973" s="6" t="str">
        <f>HYPERLINK("https://twitter.com/petrogustavo/status/1378049418235105280","1378049418235105280")</f>
        <v>1378049418235105280</v>
      </c>
      <c r="F13973" s="7" t="s">
        <v>17</v>
      </c>
      <c r="G13973" s="7">
        <v>4086464</v>
      </c>
      <c r="H13973" s="7">
        <v>2504</v>
      </c>
      <c r="I13973" s="7">
        <v>187</v>
      </c>
      <c r="J13973" s="7">
        <v>775</v>
      </c>
      <c r="K13973" s="7" t="s">
        <v>18</v>
      </c>
      <c r="L13973" s="8">
        <v>39987.315405092595</v>
      </c>
      <c r="M13973" s="9" t="s">
        <v>19</v>
      </c>
      <c r="N13973" s="9" t="s">
        <v>20</v>
      </c>
      <c r="O13973" s="6" t="str">
        <f>HYPERLINK("https://pbs.twimg.com/profile_images/962471262747529216/Uo8lOkRJ_normal.jpg","View")</f>
        <v>View</v>
      </c>
      <c r="P13973" s="7"/>
    </row>
    <row r="13974" spans="1:16">
      <c r="A13974" s="3">
        <v>44289.583981481483</v>
      </c>
      <c r="B13974" s="4" t="str">
        <f>HYPERLINK("https://twitter.com/petrogustavo","@petrogustavo")</f>
        <v>@petrogustavo</v>
      </c>
      <c r="C13974" s="5" t="s">
        <v>16</v>
      </c>
      <c r="D13974" s="5" t="s">
        <v>13447</v>
      </c>
      <c r="E13974" s="6" t="str">
        <f>HYPERLINK("https://twitter.com/petrogustavo/status/1378263735228321793","1378263735228321793")</f>
        <v>1378263735228321793</v>
      </c>
      <c r="F13974" s="7" t="s">
        <v>17</v>
      </c>
      <c r="G13974" s="7">
        <v>4086629</v>
      </c>
      <c r="H13974" s="7">
        <v>2503</v>
      </c>
      <c r="I13974" s="7">
        <v>30</v>
      </c>
      <c r="J13974" s="7">
        <v>104</v>
      </c>
      <c r="K13974" s="7" t="s">
        <v>18</v>
      </c>
      <c r="L13974" s="8">
        <v>39987.315405092595</v>
      </c>
      <c r="M13974" s="9" t="s">
        <v>19</v>
      </c>
      <c r="N13974" s="9" t="s">
        <v>20</v>
      </c>
      <c r="O13974" s="6" t="str">
        <f>HYPERLINK("https://pbs.twimg.com/profile_images/962471262747529216/Uo8lOkRJ_normal.jpg","View")</f>
        <v>View</v>
      </c>
      <c r="P13974" s="7"/>
    </row>
    <row r="13975" spans="1:16">
      <c r="A13975" s="3">
        <v>44289.760601851856</v>
      </c>
      <c r="B13975" s="4" t="str">
        <f>HYPERLINK("https://twitter.com/petrogustavo","@petrogustavo")</f>
        <v>@petrogustavo</v>
      </c>
      <c r="C13975" s="5" t="s">
        <v>16</v>
      </c>
      <c r="D13975" s="5" t="s">
        <v>13448</v>
      </c>
      <c r="E13975" s="6" t="str">
        <f>HYPERLINK("https://twitter.com/petrogustavo/status/1378327740202487811","1378327740202487811")</f>
        <v>1378327740202487811</v>
      </c>
      <c r="F13975" s="7" t="s">
        <v>17</v>
      </c>
      <c r="G13975" s="7">
        <v>4086651</v>
      </c>
      <c r="H13975" s="7">
        <v>2503</v>
      </c>
      <c r="I13975" s="7">
        <v>517</v>
      </c>
      <c r="J13975" s="7">
        <v>0</v>
      </c>
      <c r="K13975" s="7" t="s">
        <v>18</v>
      </c>
      <c r="L13975" s="8">
        <v>39987.315405092595</v>
      </c>
      <c r="M13975" s="9" t="s">
        <v>19</v>
      </c>
      <c r="N13975" s="9" t="s">
        <v>20</v>
      </c>
      <c r="O13975" s="6" t="str">
        <f>HYPERLINK("https://pbs.twimg.com/profile_images/962471262747529216/Uo8lOkRJ_normal.jpg","View")</f>
        <v>View</v>
      </c>
      <c r="P13975" s="7"/>
    </row>
    <row r="13976" spans="1:16">
      <c r="A13976" s="3">
        <v>44289.762118055558</v>
      </c>
      <c r="B13976" s="4" t="str">
        <f>HYPERLINK("https://twitter.com/petrogustavo","@petrogustavo")</f>
        <v>@petrogustavo</v>
      </c>
      <c r="C13976" s="5" t="s">
        <v>16</v>
      </c>
      <c r="D13976" s="5" t="s">
        <v>13449</v>
      </c>
      <c r="E13976" s="6" t="str">
        <f>HYPERLINK("https://twitter.com/petrogustavo/status/1378328291799617539","1378328291799617539")</f>
        <v>1378328291799617539</v>
      </c>
      <c r="F13976" s="7" t="s">
        <v>17</v>
      </c>
      <c r="G13976" s="7">
        <v>4086651</v>
      </c>
      <c r="H13976" s="7">
        <v>2503</v>
      </c>
      <c r="I13976" s="7">
        <v>24</v>
      </c>
      <c r="J13976" s="7">
        <v>53</v>
      </c>
      <c r="K13976" s="7" t="s">
        <v>18</v>
      </c>
      <c r="L13976" s="8">
        <v>39987.315405092595</v>
      </c>
      <c r="M13976" s="9" t="s">
        <v>19</v>
      </c>
      <c r="N13976" s="9" t="s">
        <v>20</v>
      </c>
      <c r="O13976" s="6" t="str">
        <f>HYPERLINK("https://pbs.twimg.com/profile_images/962471262747529216/Uo8lOkRJ_normal.jpg","View")</f>
        <v>View</v>
      </c>
      <c r="P13976" s="7"/>
    </row>
    <row r="13977" spans="1:16">
      <c r="A13977" s="3">
        <v>44289.90252314815</v>
      </c>
      <c r="B13977" s="4" t="str">
        <f>HYPERLINK("https://twitter.com/petrogustavo","@petrogustavo")</f>
        <v>@petrogustavo</v>
      </c>
      <c r="C13977" s="5" t="s">
        <v>16</v>
      </c>
      <c r="D13977" s="5" t="s">
        <v>13450</v>
      </c>
      <c r="E13977" s="6" t="str">
        <f>HYPERLINK("https://twitter.com/petrogustavo/status/1378379174839222272","1378379174839222272")</f>
        <v>1378379174839222272</v>
      </c>
      <c r="F13977" s="7" t="s">
        <v>17</v>
      </c>
      <c r="G13977" s="7">
        <v>4086711</v>
      </c>
      <c r="H13977" s="7">
        <v>2503</v>
      </c>
      <c r="I13977" s="7">
        <v>3647</v>
      </c>
      <c r="J13977" s="7">
        <v>0</v>
      </c>
      <c r="K13977" s="7" t="s">
        <v>18</v>
      </c>
      <c r="L13977" s="8">
        <v>39987.315405092595</v>
      </c>
      <c r="M13977" s="9" t="s">
        <v>19</v>
      </c>
      <c r="N13977" s="9" t="s">
        <v>20</v>
      </c>
      <c r="O13977" s="6" t="str">
        <f>HYPERLINK("https://pbs.twimg.com/profile_images/962471262747529216/Uo8lOkRJ_normal.jpg","View")</f>
        <v>View</v>
      </c>
      <c r="P13977" s="7"/>
    </row>
    <row r="13978" spans="1:16">
      <c r="A13978" s="3">
        <v>44290.041296296295</v>
      </c>
      <c r="B13978" s="4" t="str">
        <f>HYPERLINK("https://twitter.com/petrogustavo","@petrogustavo")</f>
        <v>@petrogustavo</v>
      </c>
      <c r="C13978" s="5" t="s">
        <v>16</v>
      </c>
      <c r="D13978" s="5" t="s">
        <v>13450</v>
      </c>
      <c r="E13978" s="6" t="str">
        <f>HYPERLINK("https://twitter.com/petrogustavo/status/1378429463227158532","1378429463227158532")</f>
        <v>1378429463227158532</v>
      </c>
      <c r="F13978" s="7" t="s">
        <v>17</v>
      </c>
      <c r="G13978" s="7">
        <v>4086781</v>
      </c>
      <c r="H13978" s="7">
        <v>2503</v>
      </c>
      <c r="I13978" s="7">
        <v>5039</v>
      </c>
      <c r="J13978" s="7">
        <v>0</v>
      </c>
      <c r="K13978" s="7" t="s">
        <v>18</v>
      </c>
      <c r="L13978" s="8">
        <v>39987.315405092595</v>
      </c>
      <c r="M13978" s="9" t="s">
        <v>19</v>
      </c>
      <c r="N13978" s="9" t="s">
        <v>20</v>
      </c>
      <c r="O13978" s="6" t="str">
        <f>HYPERLINK("https://pbs.twimg.com/profile_images/962471262747529216/Uo8lOkRJ_normal.jpg","View")</f>
        <v>View</v>
      </c>
      <c r="P13978" s="7"/>
    </row>
    <row r="13979" spans="1:16">
      <c r="A13979" s="3">
        <v>44290.758344907408</v>
      </c>
      <c r="B13979" s="4" t="str">
        <f>HYPERLINK("https://twitter.com/petrogustavo","@petrogustavo")</f>
        <v>@petrogustavo</v>
      </c>
      <c r="C13979" s="5" t="s">
        <v>16</v>
      </c>
      <c r="D13979" s="5" t="s">
        <v>13451</v>
      </c>
      <c r="E13979" s="6" t="str">
        <f>HYPERLINK("https://twitter.com/petrogustavo/status/1378689311336509441","1378689311336509441")</f>
        <v>1378689311336509441</v>
      </c>
      <c r="F13979" s="7" t="s">
        <v>17</v>
      </c>
      <c r="G13979" s="7">
        <v>4086917</v>
      </c>
      <c r="H13979" s="7">
        <v>2505</v>
      </c>
      <c r="I13979" s="7">
        <v>202</v>
      </c>
      <c r="J13979" s="7">
        <v>0</v>
      </c>
      <c r="K13979" s="7" t="s">
        <v>18</v>
      </c>
      <c r="L13979" s="8">
        <v>39987.315405092595</v>
      </c>
      <c r="M13979" s="9" t="s">
        <v>19</v>
      </c>
      <c r="N13979" s="9" t="s">
        <v>20</v>
      </c>
      <c r="O13979" s="6" t="str">
        <f>HYPERLINK("https://pbs.twimg.com/profile_images/962471262747529216/Uo8lOkRJ_normal.jpg","View")</f>
        <v>View</v>
      </c>
      <c r="P13979" s="7"/>
    </row>
    <row r="13980" spans="1:16">
      <c r="A13980" s="3">
        <v>44290.764039351852</v>
      </c>
      <c r="B13980" s="4" t="str">
        <f>HYPERLINK("https://twitter.com/petrogustavo","@petrogustavo")</f>
        <v>@petrogustavo</v>
      </c>
      <c r="C13980" s="5" t="s">
        <v>16</v>
      </c>
      <c r="D13980" s="5" t="s">
        <v>13452</v>
      </c>
      <c r="E13980" s="6" t="str">
        <f>HYPERLINK("https://twitter.com/petrogustavo/status/1378691375852617728","1378691375852617728")</f>
        <v>1378691375852617728</v>
      </c>
      <c r="F13980" s="7" t="s">
        <v>17</v>
      </c>
      <c r="G13980" s="7">
        <v>4086928</v>
      </c>
      <c r="H13980" s="7">
        <v>2505</v>
      </c>
      <c r="I13980" s="7">
        <v>91</v>
      </c>
      <c r="J13980" s="7">
        <v>196</v>
      </c>
      <c r="K13980" s="7" t="s">
        <v>18</v>
      </c>
      <c r="L13980" s="8">
        <v>39987.315405092595</v>
      </c>
      <c r="M13980" s="9" t="s">
        <v>19</v>
      </c>
      <c r="N13980" s="9" t="s">
        <v>20</v>
      </c>
      <c r="O13980" s="6" t="str">
        <f>HYPERLINK("https://pbs.twimg.com/profile_images/962471262747529216/Uo8lOkRJ_normal.jpg","View")</f>
        <v>View</v>
      </c>
      <c r="P13980" s="7"/>
    </row>
    <row r="13981" spans="1:16">
      <c r="A13981" s="3">
        <v>44290.771273148144</v>
      </c>
      <c r="B13981" s="4" t="str">
        <f>HYPERLINK("https://twitter.com/petrogustavo","@petrogustavo")</f>
        <v>@petrogustavo</v>
      </c>
      <c r="C13981" s="5" t="s">
        <v>16</v>
      </c>
      <c r="D13981" s="5" t="s">
        <v>13453</v>
      </c>
      <c r="E13981" s="6" t="str">
        <f>HYPERLINK("https://twitter.com/petrogustavo/status/1378693997858848771","1378693997858848771")</f>
        <v>1378693997858848771</v>
      </c>
      <c r="F13981" s="7" t="s">
        <v>17</v>
      </c>
      <c r="G13981" s="7">
        <v>4086928</v>
      </c>
      <c r="H13981" s="7">
        <v>2505</v>
      </c>
      <c r="I13981" s="7">
        <v>81</v>
      </c>
      <c r="J13981" s="7">
        <v>204</v>
      </c>
      <c r="K13981" s="7" t="s">
        <v>18</v>
      </c>
      <c r="L13981" s="8">
        <v>39987.315405092595</v>
      </c>
      <c r="M13981" s="9" t="s">
        <v>19</v>
      </c>
      <c r="N13981" s="9" t="s">
        <v>20</v>
      </c>
      <c r="O13981" s="6" t="str">
        <f>HYPERLINK("https://pbs.twimg.com/profile_images/962471262747529216/Uo8lOkRJ_normal.jpg","View")</f>
        <v>View</v>
      </c>
      <c r="P13981" s="7"/>
    </row>
    <row r="13982" spans="1:16">
      <c r="A13982" s="3">
        <v>44290.900127314817</v>
      </c>
      <c r="B13982" s="4" t="str">
        <f>HYPERLINK("https://twitter.com/petrogustavo","@petrogustavo")</f>
        <v>@petrogustavo</v>
      </c>
      <c r="C13982" s="5" t="s">
        <v>16</v>
      </c>
      <c r="D13982" s="5" t="s">
        <v>13454</v>
      </c>
      <c r="E13982" s="6" t="str">
        <f>HYPERLINK("https://twitter.com/petrogustavo/status/1378740692109946883","1378740692109946883")</f>
        <v>1378740692109946883</v>
      </c>
      <c r="F13982" s="7" t="s">
        <v>17</v>
      </c>
      <c r="G13982" s="7">
        <v>4086970</v>
      </c>
      <c r="H13982" s="7">
        <v>2504</v>
      </c>
      <c r="I13982" s="7">
        <v>111</v>
      </c>
      <c r="J13982" s="7">
        <v>220</v>
      </c>
      <c r="K13982" s="7" t="s">
        <v>18</v>
      </c>
      <c r="L13982" s="8">
        <v>39987.315405092595</v>
      </c>
      <c r="M13982" s="9" t="s">
        <v>19</v>
      </c>
      <c r="N13982" s="9" t="s">
        <v>20</v>
      </c>
      <c r="O13982" s="6" t="str">
        <f>HYPERLINK("https://pbs.twimg.com/profile_images/962471262747529216/Uo8lOkRJ_normal.jpg","View")</f>
        <v>View</v>
      </c>
      <c r="P13982" s="7"/>
    </row>
    <row r="13983" spans="1:16">
      <c r="A13983" s="3">
        <v>44290.915243055555</v>
      </c>
      <c r="B13983" s="4" t="str">
        <f>HYPERLINK("https://twitter.com/petrogustavo","@petrogustavo")</f>
        <v>@petrogustavo</v>
      </c>
      <c r="C13983" s="5" t="s">
        <v>16</v>
      </c>
      <c r="D13983" s="5" t="s">
        <v>13455</v>
      </c>
      <c r="E13983" s="6" t="str">
        <f>HYPERLINK("https://twitter.com/petrogustavo/status/1378746171515101193","1378746171515101193")</f>
        <v>1378746171515101193</v>
      </c>
      <c r="F13983" s="7" t="s">
        <v>17</v>
      </c>
      <c r="G13983" s="7">
        <v>4086974</v>
      </c>
      <c r="H13983" s="7">
        <v>2504</v>
      </c>
      <c r="I13983" s="7">
        <v>91</v>
      </c>
      <c r="J13983" s="7">
        <v>219</v>
      </c>
      <c r="K13983" s="7" t="s">
        <v>18</v>
      </c>
      <c r="L13983" s="8">
        <v>39987.315405092595</v>
      </c>
      <c r="M13983" s="9" t="s">
        <v>19</v>
      </c>
      <c r="N13983" s="9" t="s">
        <v>20</v>
      </c>
      <c r="O13983" s="6" t="str">
        <f>HYPERLINK("https://pbs.twimg.com/profile_images/962471262747529216/Uo8lOkRJ_normal.jpg","View")</f>
        <v>View</v>
      </c>
      <c r="P13983" s="7"/>
    </row>
    <row r="13984" spans="1:16">
      <c r="A13984" s="3">
        <v>44290.915254629625</v>
      </c>
      <c r="B13984" s="4" t="str">
        <f>HYPERLINK("https://twitter.com/petrogustavo","@petrogustavo")</f>
        <v>@petrogustavo</v>
      </c>
      <c r="C13984" s="5" t="s">
        <v>16</v>
      </c>
      <c r="D13984" s="5" t="s">
        <v>13456</v>
      </c>
      <c r="E13984" s="6" t="str">
        <f>HYPERLINK("https://twitter.com/petrogustavo/status/1378746172978905090","1378746172978905090")</f>
        <v>1378746172978905090</v>
      </c>
      <c r="F13984" s="7" t="s">
        <v>17</v>
      </c>
      <c r="G13984" s="7">
        <v>4086974</v>
      </c>
      <c r="H13984" s="7">
        <v>2504</v>
      </c>
      <c r="I13984" s="7">
        <v>9</v>
      </c>
      <c r="J13984" s="7">
        <v>33</v>
      </c>
      <c r="K13984" s="7" t="s">
        <v>18</v>
      </c>
      <c r="L13984" s="8">
        <v>39987.315405092595</v>
      </c>
      <c r="M13984" s="9" t="s">
        <v>19</v>
      </c>
      <c r="N13984" s="9" t="s">
        <v>20</v>
      </c>
      <c r="O13984" s="6" t="str">
        <f>HYPERLINK("https://pbs.twimg.com/profile_images/962471262747529216/Uo8lOkRJ_normal.jpg","View")</f>
        <v>View</v>
      </c>
      <c r="P13984" s="7"/>
    </row>
    <row r="13985" spans="1:16">
      <c r="A13985" s="3">
        <v>44290.915254629625</v>
      </c>
      <c r="B13985" s="4" t="str">
        <f>HYPERLINK("https://twitter.com/petrogustavo","@petrogustavo")</f>
        <v>@petrogustavo</v>
      </c>
      <c r="C13985" s="5" t="s">
        <v>16</v>
      </c>
      <c r="D13985" s="5" t="s">
        <v>13457</v>
      </c>
      <c r="E13985" s="6" t="str">
        <f>HYPERLINK("https://twitter.com/petrogustavo/status/1378746175654924297","1378746175654924297")</f>
        <v>1378746175654924297</v>
      </c>
      <c r="F13985" s="7" t="s">
        <v>17</v>
      </c>
      <c r="G13985" s="7">
        <v>4086974</v>
      </c>
      <c r="H13985" s="7">
        <v>2504</v>
      </c>
      <c r="I13985" s="7">
        <v>30</v>
      </c>
      <c r="J13985" s="7">
        <v>123</v>
      </c>
      <c r="K13985" s="7" t="s">
        <v>18</v>
      </c>
      <c r="L13985" s="8">
        <v>39987.315405092595</v>
      </c>
      <c r="M13985" s="9" t="s">
        <v>19</v>
      </c>
      <c r="N13985" s="9" t="s">
        <v>20</v>
      </c>
      <c r="O13985" s="6" t="str">
        <f>HYPERLINK("https://pbs.twimg.com/profile_images/962471262747529216/Uo8lOkRJ_normal.jpg","View")</f>
        <v>View</v>
      </c>
      <c r="P13985" s="7"/>
    </row>
    <row r="13986" spans="1:16">
      <c r="A13986" s="3">
        <v>44290.915266203709</v>
      </c>
      <c r="B13986" s="4" t="str">
        <f>HYPERLINK("https://twitter.com/petrogustavo","@petrogustavo")</f>
        <v>@petrogustavo</v>
      </c>
      <c r="C13986" s="5" t="s">
        <v>16</v>
      </c>
      <c r="D13986" s="5" t="s">
        <v>13458</v>
      </c>
      <c r="E13986" s="6" t="str">
        <f>HYPERLINK("https://twitter.com/petrogustavo/status/1378746178410582020","1378746178410582020")</f>
        <v>1378746178410582020</v>
      </c>
      <c r="F13986" s="7" t="s">
        <v>17</v>
      </c>
      <c r="G13986" s="7">
        <v>4086974</v>
      </c>
      <c r="H13986" s="7">
        <v>2504</v>
      </c>
      <c r="I13986" s="7">
        <v>46</v>
      </c>
      <c r="J13986" s="7">
        <v>150</v>
      </c>
      <c r="K13986" s="7" t="s">
        <v>18</v>
      </c>
      <c r="L13986" s="8">
        <v>39987.315405092595</v>
      </c>
      <c r="M13986" s="9" t="s">
        <v>19</v>
      </c>
      <c r="N13986" s="9" t="s">
        <v>20</v>
      </c>
      <c r="O13986" s="6" t="str">
        <f>HYPERLINK("https://pbs.twimg.com/profile_images/962471262747529216/Uo8lOkRJ_normal.jpg","View")</f>
        <v>View</v>
      </c>
      <c r="P13986" s="7"/>
    </row>
    <row r="13987" spans="1:16">
      <c r="A13987" s="3">
        <v>44290.963321759264</v>
      </c>
      <c r="B13987" s="4" t="str">
        <f>HYPERLINK("https://twitter.com/petrogustavo","@petrogustavo")</f>
        <v>@petrogustavo</v>
      </c>
      <c r="C13987" s="5" t="s">
        <v>16</v>
      </c>
      <c r="D13987" s="5" t="s">
        <v>13459</v>
      </c>
      <c r="E13987" s="6" t="str">
        <f>HYPERLINK("https://twitter.com/petrogustavo/status/1378763592300904448","1378763592300904448")</f>
        <v>1378763592300904448</v>
      </c>
      <c r="F13987" s="7" t="s">
        <v>17</v>
      </c>
      <c r="G13987" s="7">
        <v>4087005</v>
      </c>
      <c r="H13987" s="7">
        <v>2504</v>
      </c>
      <c r="I13987" s="7">
        <v>375</v>
      </c>
      <c r="J13987" s="7">
        <v>0</v>
      </c>
      <c r="K13987" s="7" t="s">
        <v>18</v>
      </c>
      <c r="L13987" s="8">
        <v>39987.315405092595</v>
      </c>
      <c r="M13987" s="9" t="s">
        <v>19</v>
      </c>
      <c r="N13987" s="9" t="s">
        <v>20</v>
      </c>
      <c r="O13987" s="6" t="str">
        <f>HYPERLINK("https://pbs.twimg.com/profile_images/962471262747529216/Uo8lOkRJ_normal.jpg","View")</f>
        <v>View</v>
      </c>
      <c r="P13987" s="7"/>
    </row>
    <row r="13988" spans="1:16">
      <c r="A13988" s="3">
        <v>44290.963391203702</v>
      </c>
      <c r="B13988" s="4" t="str">
        <f>HYPERLINK("https://twitter.com/petrogustavo","@petrogustavo")</f>
        <v>@petrogustavo</v>
      </c>
      <c r="C13988" s="5" t="s">
        <v>16</v>
      </c>
      <c r="D13988" s="5" t="s">
        <v>13460</v>
      </c>
      <c r="E13988" s="6" t="str">
        <f>HYPERLINK("https://twitter.com/petrogustavo/status/1378763616535580676","1378763616535580676")</f>
        <v>1378763616535580676</v>
      </c>
      <c r="F13988" s="7" t="s">
        <v>17</v>
      </c>
      <c r="G13988" s="7">
        <v>4087005</v>
      </c>
      <c r="H13988" s="7">
        <v>2504</v>
      </c>
      <c r="I13988" s="7">
        <v>809</v>
      </c>
      <c r="J13988" s="7">
        <v>0</v>
      </c>
      <c r="K13988" s="7" t="s">
        <v>18</v>
      </c>
      <c r="L13988" s="8">
        <v>39987.315405092595</v>
      </c>
      <c r="M13988" s="9" t="s">
        <v>19</v>
      </c>
      <c r="N13988" s="9" t="s">
        <v>20</v>
      </c>
      <c r="O13988" s="6" t="str">
        <f>HYPERLINK("https://pbs.twimg.com/profile_images/962471262747529216/Uo8lOkRJ_normal.jpg","View")</f>
        <v>View</v>
      </c>
      <c r="P13988" s="7"/>
    </row>
    <row r="13989" spans="1:16">
      <c r="A13989" s="3">
        <v>44291.023495370369</v>
      </c>
      <c r="B13989" s="4" t="str">
        <f>HYPERLINK("https://twitter.com/petrogustavo","@petrogustavo")</f>
        <v>@petrogustavo</v>
      </c>
      <c r="C13989" s="5" t="s">
        <v>16</v>
      </c>
      <c r="D13989" s="5" t="s">
        <v>13461</v>
      </c>
      <c r="E13989" s="6" t="str">
        <f>HYPERLINK("https://twitter.com/petrogustavo/status/1378785400303460353","1378785400303460353")</f>
        <v>1378785400303460353</v>
      </c>
      <c r="F13989" s="7" t="s">
        <v>22</v>
      </c>
      <c r="G13989" s="7">
        <v>4087043</v>
      </c>
      <c r="H13989" s="7">
        <v>2504</v>
      </c>
      <c r="I13989" s="7">
        <v>79</v>
      </c>
      <c r="J13989" s="7">
        <v>131</v>
      </c>
      <c r="K13989" s="7" t="s">
        <v>18</v>
      </c>
      <c r="L13989" s="8">
        <v>39987.315405092595</v>
      </c>
      <c r="M13989" s="9" t="s">
        <v>19</v>
      </c>
      <c r="N13989" s="9" t="s">
        <v>20</v>
      </c>
      <c r="O13989" s="6" t="str">
        <f>HYPERLINK("https://pbs.twimg.com/profile_images/962471262747529216/Uo8lOkRJ_normal.jpg","View")</f>
        <v>View</v>
      </c>
      <c r="P13989" s="7"/>
    </row>
    <row r="13990" spans="1:16">
      <c r="A13990" s="3">
        <v>44291.663240740745</v>
      </c>
      <c r="B13990" s="4" t="str">
        <f>HYPERLINK("https://twitter.com/petrogustavo","@petrogustavo")</f>
        <v>@petrogustavo</v>
      </c>
      <c r="C13990" s="5" t="s">
        <v>16</v>
      </c>
      <c r="D13990" s="5" t="s">
        <v>13462</v>
      </c>
      <c r="E13990" s="6" t="str">
        <f>HYPERLINK("https://twitter.com/petrogustavo/status/1379017235084234757","1379017235084234757")</f>
        <v>1379017235084234757</v>
      </c>
      <c r="F13990" s="7" t="s">
        <v>17</v>
      </c>
      <c r="G13990" s="7">
        <v>4087207</v>
      </c>
      <c r="H13990" s="7">
        <v>2504</v>
      </c>
      <c r="I13990" s="7">
        <v>880</v>
      </c>
      <c r="J13990" s="7">
        <v>0</v>
      </c>
      <c r="K13990" s="7" t="s">
        <v>18</v>
      </c>
      <c r="L13990" s="8">
        <v>39987.315405092595</v>
      </c>
      <c r="M13990" s="9" t="s">
        <v>19</v>
      </c>
      <c r="N13990" s="9" t="s">
        <v>20</v>
      </c>
      <c r="O13990" s="6" t="str">
        <f>HYPERLINK("https://pbs.twimg.com/profile_images/962471262747529216/Uo8lOkRJ_normal.jpg","View")</f>
        <v>View</v>
      </c>
      <c r="P13990" s="7"/>
    </row>
    <row r="13991" spans="1:16">
      <c r="A13991" s="3">
        <v>44291.663622685184</v>
      </c>
      <c r="B13991" s="4" t="str">
        <f>HYPERLINK("https://twitter.com/petrogustavo","@petrogustavo")</f>
        <v>@petrogustavo</v>
      </c>
      <c r="C13991" s="5" t="s">
        <v>16</v>
      </c>
      <c r="D13991" s="5" t="s">
        <v>13463</v>
      </c>
      <c r="E13991" s="6" t="str">
        <f>HYPERLINK("https://twitter.com/petrogustavo/status/1379017372401594368","1379017372401594368")</f>
        <v>1379017372401594368</v>
      </c>
      <c r="F13991" s="7" t="s">
        <v>17</v>
      </c>
      <c r="G13991" s="7">
        <v>4087207</v>
      </c>
      <c r="H13991" s="7">
        <v>2504</v>
      </c>
      <c r="I13991" s="7">
        <v>13</v>
      </c>
      <c r="J13991" s="7">
        <v>0</v>
      </c>
      <c r="K13991" s="7" t="s">
        <v>18</v>
      </c>
      <c r="L13991" s="8">
        <v>39987.315405092595</v>
      </c>
      <c r="M13991" s="9" t="s">
        <v>19</v>
      </c>
      <c r="N13991" s="9" t="s">
        <v>20</v>
      </c>
      <c r="O13991" s="6" t="str">
        <f>HYPERLINK("https://pbs.twimg.com/profile_images/962471262747529216/Uo8lOkRJ_normal.jpg","View")</f>
        <v>View</v>
      </c>
      <c r="P13991" s="7"/>
    </row>
    <row r="13992" spans="1:16">
      <c r="A13992" s="3">
        <v>44291.806342592594</v>
      </c>
      <c r="B13992" s="4" t="str">
        <f>HYPERLINK("https://twitter.com/petrogustavo","@petrogustavo")</f>
        <v>@petrogustavo</v>
      </c>
      <c r="C13992" s="5" t="s">
        <v>16</v>
      </c>
      <c r="D13992" s="5" t="s">
        <v>13464</v>
      </c>
      <c r="E13992" s="6" t="str">
        <f>HYPERLINK("https://twitter.com/petrogustavo/status/1379069093119148037","1379069093119148037")</f>
        <v>1379069093119148037</v>
      </c>
      <c r="F13992" s="7" t="s">
        <v>17</v>
      </c>
      <c r="G13992" s="7">
        <v>4087284</v>
      </c>
      <c r="H13992" s="7">
        <v>2506</v>
      </c>
      <c r="I13992" s="7">
        <v>353</v>
      </c>
      <c r="J13992" s="7">
        <v>0</v>
      </c>
      <c r="K13992" s="7" t="s">
        <v>18</v>
      </c>
      <c r="L13992" s="8">
        <v>39987.315405092595</v>
      </c>
      <c r="M13992" s="9" t="s">
        <v>19</v>
      </c>
      <c r="N13992" s="9" t="s">
        <v>20</v>
      </c>
      <c r="O13992" s="6" t="str">
        <f>HYPERLINK("https://pbs.twimg.com/profile_images/962471262747529216/Uo8lOkRJ_normal.jpg","View")</f>
        <v>View</v>
      </c>
      <c r="P13992" s="7"/>
    </row>
    <row r="13993" spans="1:16">
      <c r="A13993" s="3">
        <v>44291.913148148145</v>
      </c>
      <c r="B13993" s="4" t="str">
        <f>HYPERLINK("https://twitter.com/petrogustavo","@petrogustavo")</f>
        <v>@petrogustavo</v>
      </c>
      <c r="C13993" s="5" t="s">
        <v>16</v>
      </c>
      <c r="D13993" s="5" t="s">
        <v>13465</v>
      </c>
      <c r="E13993" s="6" t="str">
        <f>HYPERLINK("https://twitter.com/petrogustavo/status/1379107797359550466","1379107797359550466")</f>
        <v>1379107797359550466</v>
      </c>
      <c r="F13993" s="7" t="s">
        <v>17</v>
      </c>
      <c r="G13993" s="7">
        <v>4087336</v>
      </c>
      <c r="H13993" s="7">
        <v>2506</v>
      </c>
      <c r="I13993" s="7">
        <v>1256</v>
      </c>
      <c r="J13993" s="7">
        <v>0</v>
      </c>
      <c r="K13993" s="7" t="s">
        <v>18</v>
      </c>
      <c r="L13993" s="8">
        <v>39987.315405092595</v>
      </c>
      <c r="M13993" s="9" t="s">
        <v>19</v>
      </c>
      <c r="N13993" s="9" t="s">
        <v>20</v>
      </c>
      <c r="O13993" s="6" t="str">
        <f>HYPERLINK("https://pbs.twimg.com/profile_images/962471262747529216/Uo8lOkRJ_normal.jpg","View")</f>
        <v>View</v>
      </c>
      <c r="P13993" s="7"/>
    </row>
    <row r="13994" spans="1:16">
      <c r="A13994" s="3">
        <v>44292.732488425929</v>
      </c>
      <c r="B13994" s="4" t="str">
        <f>HYPERLINK("https://twitter.com/petrogustavo","@petrogustavo")</f>
        <v>@petrogustavo</v>
      </c>
      <c r="C13994" s="5" t="s">
        <v>16</v>
      </c>
      <c r="D13994" s="5" t="s">
        <v>13466</v>
      </c>
      <c r="E13994" s="6" t="str">
        <f>HYPERLINK("https://twitter.com/petrogustavo/status/1379404717906931714","1379404717906931714")</f>
        <v>1379404717906931714</v>
      </c>
      <c r="F13994" s="7" t="s">
        <v>17</v>
      </c>
      <c r="G13994" s="7">
        <v>4087839</v>
      </c>
      <c r="H13994" s="7">
        <v>2505</v>
      </c>
      <c r="I13994" s="7">
        <v>1839</v>
      </c>
      <c r="J13994" s="7">
        <v>0</v>
      </c>
      <c r="K13994" s="7" t="s">
        <v>18</v>
      </c>
      <c r="L13994" s="8">
        <v>39987.315405092595</v>
      </c>
      <c r="M13994" s="9" t="s">
        <v>19</v>
      </c>
      <c r="N13994" s="9" t="s">
        <v>20</v>
      </c>
      <c r="O13994" s="6" t="str">
        <f>HYPERLINK("https://pbs.twimg.com/profile_images/962471262747529216/Uo8lOkRJ_normal.jpg","View")</f>
        <v>View</v>
      </c>
      <c r="P13994" s="7"/>
    </row>
    <row r="13995" spans="1:16">
      <c r="A13995" s="3">
        <v>44292.738587962958</v>
      </c>
      <c r="B13995" s="4" t="str">
        <f>HYPERLINK("https://twitter.com/petrogustavo","@petrogustavo")</f>
        <v>@petrogustavo</v>
      </c>
      <c r="C13995" s="5" t="s">
        <v>16</v>
      </c>
      <c r="D13995" s="5" t="s">
        <v>13467</v>
      </c>
      <c r="E13995" s="6" t="str">
        <f>HYPERLINK("https://twitter.com/petrogustavo/status/1379406929374613504","1379406929374613504")</f>
        <v>1379406929374613504</v>
      </c>
      <c r="F13995" s="7" t="s">
        <v>17</v>
      </c>
      <c r="G13995" s="7">
        <v>4087839</v>
      </c>
      <c r="H13995" s="7">
        <v>2505</v>
      </c>
      <c r="I13995" s="7">
        <v>2322</v>
      </c>
      <c r="J13995" s="7">
        <v>0</v>
      </c>
      <c r="K13995" s="7" t="s">
        <v>18</v>
      </c>
      <c r="L13995" s="8">
        <v>39987.315405092595</v>
      </c>
      <c r="M13995" s="9" t="s">
        <v>19</v>
      </c>
      <c r="N13995" s="9" t="s">
        <v>20</v>
      </c>
      <c r="O13995" s="6" t="str">
        <f>HYPERLINK("https://pbs.twimg.com/profile_images/962471262747529216/Uo8lOkRJ_normal.jpg","View")</f>
        <v>View</v>
      </c>
      <c r="P13995" s="7"/>
    </row>
    <row r="13996" spans="1:16">
      <c r="A13996" s="3">
        <v>44292.752291666664</v>
      </c>
      <c r="B13996" s="4" t="str">
        <f>HYPERLINK("https://twitter.com/petrogustavo","@petrogustavo")</f>
        <v>@petrogustavo</v>
      </c>
      <c r="C13996" s="5" t="s">
        <v>16</v>
      </c>
      <c r="D13996" s="5" t="s">
        <v>13468</v>
      </c>
      <c r="E13996" s="6" t="str">
        <f>HYPERLINK("https://twitter.com/petrogustavo/status/1379411893484404736","1379411893484404736")</f>
        <v>1379411893484404736</v>
      </c>
      <c r="F13996" s="7" t="s">
        <v>17</v>
      </c>
      <c r="G13996" s="7">
        <v>4087853</v>
      </c>
      <c r="H13996" s="7">
        <v>2505</v>
      </c>
      <c r="I13996" s="7">
        <v>236</v>
      </c>
      <c r="J13996" s="7">
        <v>604</v>
      </c>
      <c r="K13996" s="7" t="s">
        <v>18</v>
      </c>
      <c r="L13996" s="8">
        <v>39987.315405092595</v>
      </c>
      <c r="M13996" s="9" t="s">
        <v>19</v>
      </c>
      <c r="N13996" s="9" t="s">
        <v>20</v>
      </c>
      <c r="O13996" s="6" t="str">
        <f>HYPERLINK("https://pbs.twimg.com/profile_images/962471262747529216/Uo8lOkRJ_normal.jpg","View")</f>
        <v>View</v>
      </c>
      <c r="P13996" s="7"/>
    </row>
    <row r="13997" spans="1:16">
      <c r="A13997" s="3">
        <v>44292.755393518513</v>
      </c>
      <c r="B13997" s="4" t="str">
        <f>HYPERLINK("https://twitter.com/petrogustavo","@petrogustavo")</f>
        <v>@petrogustavo</v>
      </c>
      <c r="C13997" s="5" t="s">
        <v>16</v>
      </c>
      <c r="D13997" s="5" t="s">
        <v>13469</v>
      </c>
      <c r="E13997" s="6" t="str">
        <f>HYPERLINK("https://twitter.com/petrogustavo/status/1379413018673606662","1379413018673606662")</f>
        <v>1379413018673606662</v>
      </c>
      <c r="F13997" s="7" t="s">
        <v>17</v>
      </c>
      <c r="G13997" s="7">
        <v>4087853</v>
      </c>
      <c r="H13997" s="7">
        <v>2505</v>
      </c>
      <c r="I13997" s="7">
        <v>218</v>
      </c>
      <c r="J13997" s="7">
        <v>0</v>
      </c>
      <c r="K13997" s="7" t="s">
        <v>18</v>
      </c>
      <c r="L13997" s="8">
        <v>39987.315405092595</v>
      </c>
      <c r="M13997" s="9" t="s">
        <v>19</v>
      </c>
      <c r="N13997" s="9" t="s">
        <v>20</v>
      </c>
      <c r="O13997" s="6" t="str">
        <f>HYPERLINK("https://pbs.twimg.com/profile_images/962471262747529216/Uo8lOkRJ_normal.jpg","View")</f>
        <v>View</v>
      </c>
      <c r="P13997" s="7"/>
    </row>
    <row r="13998" spans="1:16">
      <c r="A13998" s="3">
        <v>44292.762372685189</v>
      </c>
      <c r="B13998" s="4" t="str">
        <f>HYPERLINK("https://twitter.com/petrogustavo","@petrogustavo")</f>
        <v>@petrogustavo</v>
      </c>
      <c r="C13998" s="5" t="s">
        <v>16</v>
      </c>
      <c r="D13998" s="5" t="s">
        <v>13470</v>
      </c>
      <c r="E13998" s="6" t="str">
        <f>HYPERLINK("https://twitter.com/petrogustavo/status/1379415547004215299","1379415547004215299")</f>
        <v>1379415547004215299</v>
      </c>
      <c r="F13998" s="7" t="s">
        <v>17</v>
      </c>
      <c r="G13998" s="7">
        <v>4087853</v>
      </c>
      <c r="H13998" s="7">
        <v>2505</v>
      </c>
      <c r="I13998" s="7">
        <v>21</v>
      </c>
      <c r="J13998" s="7">
        <v>46</v>
      </c>
      <c r="K13998" s="7" t="s">
        <v>18</v>
      </c>
      <c r="L13998" s="8">
        <v>39987.315405092595</v>
      </c>
      <c r="M13998" s="9" t="s">
        <v>19</v>
      </c>
      <c r="N13998" s="9" t="s">
        <v>20</v>
      </c>
      <c r="O13998" s="6" t="str">
        <f>HYPERLINK("https://pbs.twimg.com/profile_images/962471262747529216/Uo8lOkRJ_normal.jpg","View")</f>
        <v>View</v>
      </c>
      <c r="P13998" s="7"/>
    </row>
    <row r="13999" spans="1:16">
      <c r="A13999" s="3">
        <v>44292.776458333334</v>
      </c>
      <c r="B13999" s="4" t="str">
        <f>HYPERLINK("https://twitter.com/petrogustavo","@petrogustavo")</f>
        <v>@petrogustavo</v>
      </c>
      <c r="C13999" s="5" t="s">
        <v>16</v>
      </c>
      <c r="D13999" s="5" t="s">
        <v>13471</v>
      </c>
      <c r="E13999" s="6" t="str">
        <f>HYPERLINK("https://twitter.com/petrogustavo/status/1379420651874877445","1379420651874877445")</f>
        <v>1379420651874877445</v>
      </c>
      <c r="F13999" s="7" t="s">
        <v>17</v>
      </c>
      <c r="G13999" s="7">
        <v>4087873</v>
      </c>
      <c r="H13999" s="7">
        <v>2505</v>
      </c>
      <c r="I13999" s="7">
        <v>86</v>
      </c>
      <c r="J13999" s="7">
        <v>237</v>
      </c>
      <c r="K13999" s="7" t="s">
        <v>18</v>
      </c>
      <c r="L13999" s="8">
        <v>39987.315405092595</v>
      </c>
      <c r="M13999" s="9" t="s">
        <v>19</v>
      </c>
      <c r="N13999" s="9" t="s">
        <v>20</v>
      </c>
      <c r="O13999" s="6" t="str">
        <f>HYPERLINK("https://pbs.twimg.com/profile_images/962471262747529216/Uo8lOkRJ_normal.jpg","View")</f>
        <v>View</v>
      </c>
      <c r="P13999" s="7"/>
    </row>
    <row r="14000" spans="1:16">
      <c r="A14000" s="3">
        <v>44292.776458333334</v>
      </c>
      <c r="B14000" s="4" t="str">
        <f>HYPERLINK("https://twitter.com/petrogustavo","@petrogustavo")</f>
        <v>@petrogustavo</v>
      </c>
      <c r="C14000" s="5" t="s">
        <v>16</v>
      </c>
      <c r="D14000" s="5" t="s">
        <v>13472</v>
      </c>
      <c r="E14000" s="6" t="str">
        <f>HYPERLINK("https://twitter.com/petrogustavo/status/1379420653200277505","1379420653200277505")</f>
        <v>1379420653200277505</v>
      </c>
      <c r="F14000" s="7" t="s">
        <v>17</v>
      </c>
      <c r="G14000" s="7">
        <v>4087873</v>
      </c>
      <c r="H14000" s="7">
        <v>2505</v>
      </c>
      <c r="I14000" s="7">
        <v>59</v>
      </c>
      <c r="J14000" s="7">
        <v>180</v>
      </c>
      <c r="K14000" s="7" t="s">
        <v>18</v>
      </c>
      <c r="L14000" s="8">
        <v>39987.315405092595</v>
      </c>
      <c r="M14000" s="9" t="s">
        <v>19</v>
      </c>
      <c r="N14000" s="9" t="s">
        <v>20</v>
      </c>
      <c r="O14000" s="6" t="str">
        <f>HYPERLINK("https://pbs.twimg.com/profile_images/962471262747529216/Uo8lOkRJ_normal.jpg","View")</f>
        <v>View</v>
      </c>
      <c r="P14000" s="7"/>
    </row>
    <row r="14001" spans="1:16">
      <c r="A14001" s="3">
        <v>44292.776469907403</v>
      </c>
      <c r="B14001" s="4" t="str">
        <f>HYPERLINK("https://twitter.com/petrogustavo","@petrogustavo")</f>
        <v>@petrogustavo</v>
      </c>
      <c r="C14001" s="5" t="s">
        <v>16</v>
      </c>
      <c r="D14001" s="5" t="s">
        <v>13473</v>
      </c>
      <c r="E14001" s="6" t="str">
        <f>HYPERLINK("https://twitter.com/petrogustavo/status/1379420654680875010","1379420654680875010")</f>
        <v>1379420654680875010</v>
      </c>
      <c r="F14001" s="7" t="s">
        <v>17</v>
      </c>
      <c r="G14001" s="7">
        <v>4087873</v>
      </c>
      <c r="H14001" s="7">
        <v>2505</v>
      </c>
      <c r="I14001" s="7">
        <v>46</v>
      </c>
      <c r="J14001" s="7">
        <v>193</v>
      </c>
      <c r="K14001" s="7" t="s">
        <v>18</v>
      </c>
      <c r="L14001" s="8">
        <v>39987.315405092595</v>
      </c>
      <c r="M14001" s="9" t="s">
        <v>19</v>
      </c>
      <c r="N14001" s="9" t="s">
        <v>20</v>
      </c>
      <c r="O14001" s="6" t="str">
        <f>HYPERLINK("https://pbs.twimg.com/profile_images/962471262747529216/Uo8lOkRJ_normal.jpg","View")</f>
        <v>View</v>
      </c>
      <c r="P14001" s="7"/>
    </row>
    <row r="14002" spans="1:16">
      <c r="A14002" s="3">
        <v>44292.798518518517</v>
      </c>
      <c r="B14002" s="4" t="str">
        <f>HYPERLINK("https://twitter.com/petrogustavo","@petrogustavo")</f>
        <v>@petrogustavo</v>
      </c>
      <c r="C14002" s="5" t="s">
        <v>16</v>
      </c>
      <c r="D14002" s="5" t="s">
        <v>13474</v>
      </c>
      <c r="E14002" s="6" t="str">
        <f>HYPERLINK("https://twitter.com/petrogustavo/status/1379428647006834688","1379428647006834688")</f>
        <v>1379428647006834688</v>
      </c>
      <c r="F14002" s="7" t="s">
        <v>17</v>
      </c>
      <c r="G14002" s="7">
        <v>4087139</v>
      </c>
      <c r="H14002" s="7">
        <v>2506</v>
      </c>
      <c r="I14002" s="7">
        <v>26</v>
      </c>
      <c r="J14002" s="7">
        <v>0</v>
      </c>
      <c r="K14002" s="7" t="s">
        <v>18</v>
      </c>
      <c r="L14002" s="8">
        <v>39987.315405092595</v>
      </c>
      <c r="M14002" s="9" t="s">
        <v>19</v>
      </c>
      <c r="N14002" s="9" t="s">
        <v>20</v>
      </c>
      <c r="O14002" s="6" t="str">
        <f>HYPERLINK("https://pbs.twimg.com/profile_images/962471262747529216/Uo8lOkRJ_normal.jpg","View")</f>
        <v>View</v>
      </c>
      <c r="P14002" s="7"/>
    </row>
    <row r="14003" spans="1:16">
      <c r="A14003" s="3">
        <v>44292.798680555556</v>
      </c>
      <c r="B14003" s="4" t="str">
        <f>HYPERLINK("https://twitter.com/petrogustavo","@petrogustavo")</f>
        <v>@petrogustavo</v>
      </c>
      <c r="C14003" s="5" t="s">
        <v>16</v>
      </c>
      <c r="D14003" s="5" t="s">
        <v>13475</v>
      </c>
      <c r="E14003" s="6" t="str">
        <f>HYPERLINK("https://twitter.com/petrogustavo/status/1379428704657403909","1379428704657403909")</f>
        <v>1379428704657403909</v>
      </c>
      <c r="F14003" s="7" t="s">
        <v>17</v>
      </c>
      <c r="G14003" s="7">
        <v>4087139</v>
      </c>
      <c r="H14003" s="7">
        <v>2506</v>
      </c>
      <c r="I14003" s="7">
        <v>232</v>
      </c>
      <c r="J14003" s="7">
        <v>0</v>
      </c>
      <c r="K14003" s="7" t="s">
        <v>18</v>
      </c>
      <c r="L14003" s="8">
        <v>39987.315405092595</v>
      </c>
      <c r="M14003" s="9" t="s">
        <v>19</v>
      </c>
      <c r="N14003" s="9" t="s">
        <v>20</v>
      </c>
      <c r="O14003" s="6" t="str">
        <f>HYPERLINK("https://pbs.twimg.com/profile_images/962471262747529216/Uo8lOkRJ_normal.jpg","View")</f>
        <v>View</v>
      </c>
      <c r="P14003" s="7"/>
    </row>
    <row r="14004" spans="1:16">
      <c r="A14004" s="3">
        <v>44292.799363425926</v>
      </c>
      <c r="B14004" s="4" t="str">
        <f>HYPERLINK("https://twitter.com/petrogustavo","@petrogustavo")</f>
        <v>@petrogustavo</v>
      </c>
      <c r="C14004" s="5" t="s">
        <v>16</v>
      </c>
      <c r="D14004" s="5" t="s">
        <v>13476</v>
      </c>
      <c r="E14004" s="6" t="str">
        <f>HYPERLINK("https://twitter.com/petrogustavo/status/1379428952696033281","1379428952696033281")</f>
        <v>1379428952696033281</v>
      </c>
      <c r="F14004" s="7" t="s">
        <v>17</v>
      </c>
      <c r="G14004" s="7">
        <v>4087139</v>
      </c>
      <c r="H14004" s="7">
        <v>2506</v>
      </c>
      <c r="I14004" s="7">
        <v>1043</v>
      </c>
      <c r="J14004" s="7">
        <v>0</v>
      </c>
      <c r="K14004" s="7" t="s">
        <v>18</v>
      </c>
      <c r="L14004" s="8">
        <v>39987.315405092595</v>
      </c>
      <c r="M14004" s="9" t="s">
        <v>19</v>
      </c>
      <c r="N14004" s="9" t="s">
        <v>20</v>
      </c>
      <c r="O14004" s="6" t="str">
        <f>HYPERLINK("https://pbs.twimg.com/profile_images/962471262747529216/Uo8lOkRJ_normal.jpg","View")</f>
        <v>View</v>
      </c>
      <c r="P14004" s="7"/>
    </row>
    <row r="14005" spans="1:16">
      <c r="A14005" s="3">
        <v>44293.057743055557</v>
      </c>
      <c r="B14005" s="4" t="str">
        <f>HYPERLINK("https://twitter.com/petrogustavo","@petrogustavo")</f>
        <v>@petrogustavo</v>
      </c>
      <c r="C14005" s="5" t="s">
        <v>16</v>
      </c>
      <c r="D14005" s="5" t="s">
        <v>13477</v>
      </c>
      <c r="E14005" s="6" t="str">
        <f>HYPERLINK("https://twitter.com/petrogustavo/status/1379522585155751939","1379522585155751939")</f>
        <v>1379522585155751939</v>
      </c>
      <c r="F14005" s="7" t="s">
        <v>17</v>
      </c>
      <c r="G14005" s="7">
        <v>4088088</v>
      </c>
      <c r="H14005" s="7">
        <v>2504</v>
      </c>
      <c r="I14005" s="7">
        <v>313</v>
      </c>
      <c r="J14005" s="7">
        <v>1018</v>
      </c>
      <c r="K14005" s="7" t="s">
        <v>18</v>
      </c>
      <c r="L14005" s="8">
        <v>39987.315405092595</v>
      </c>
      <c r="M14005" s="9" t="s">
        <v>19</v>
      </c>
      <c r="N14005" s="9" t="s">
        <v>20</v>
      </c>
      <c r="O14005" s="6" t="str">
        <f>HYPERLINK("https://pbs.twimg.com/profile_images/962471262747529216/Uo8lOkRJ_normal.jpg","View")</f>
        <v>View</v>
      </c>
      <c r="P14005" s="7"/>
    </row>
    <row r="14006" spans="1:16">
      <c r="A14006" s="3">
        <v>44293.736041666663</v>
      </c>
      <c r="B14006" s="4" t="str">
        <f>HYPERLINK("https://twitter.com/petrogustavo","@petrogustavo")</f>
        <v>@petrogustavo</v>
      </c>
      <c r="C14006" s="5" t="s">
        <v>16</v>
      </c>
      <c r="D14006" s="5" t="s">
        <v>13478</v>
      </c>
      <c r="E14006" s="6" t="str">
        <f>HYPERLINK("https://twitter.com/petrogustavo/status/1379768392803028992","1379768392803028992")</f>
        <v>1379768392803028992</v>
      </c>
      <c r="F14006" s="7" t="s">
        <v>17</v>
      </c>
      <c r="G14006" s="7">
        <v>4088225</v>
      </c>
      <c r="H14006" s="7">
        <v>2505</v>
      </c>
      <c r="I14006" s="7">
        <v>65</v>
      </c>
      <c r="J14006" s="7">
        <v>168</v>
      </c>
      <c r="K14006" s="7" t="s">
        <v>18</v>
      </c>
      <c r="L14006" s="8">
        <v>39987.315405092595</v>
      </c>
      <c r="M14006" s="9" t="s">
        <v>19</v>
      </c>
      <c r="N14006" s="9" t="s">
        <v>20</v>
      </c>
      <c r="O14006" s="6" t="str">
        <f>HYPERLINK("https://pbs.twimg.com/profile_images/962471262747529216/Uo8lOkRJ_normal.jpg","View")</f>
        <v>View</v>
      </c>
      <c r="P14006" s="7"/>
    </row>
    <row r="14007" spans="1:16">
      <c r="A14007" s="3">
        <v>44293.736041666663</v>
      </c>
      <c r="B14007" s="4" t="str">
        <f>HYPERLINK("https://twitter.com/petrogustavo","@petrogustavo")</f>
        <v>@petrogustavo</v>
      </c>
      <c r="C14007" s="5" t="s">
        <v>16</v>
      </c>
      <c r="D14007" s="5" t="s">
        <v>13479</v>
      </c>
      <c r="E14007" s="6" t="str">
        <f>HYPERLINK("https://twitter.com/petrogustavo/status/1379768394489208833","1379768394489208833")</f>
        <v>1379768394489208833</v>
      </c>
      <c r="F14007" s="7" t="s">
        <v>17</v>
      </c>
      <c r="G14007" s="7">
        <v>4088225</v>
      </c>
      <c r="H14007" s="7">
        <v>2505</v>
      </c>
      <c r="I14007" s="7">
        <v>49</v>
      </c>
      <c r="J14007" s="7">
        <v>126</v>
      </c>
      <c r="K14007" s="7" t="s">
        <v>18</v>
      </c>
      <c r="L14007" s="8">
        <v>39987.315405092595</v>
      </c>
      <c r="M14007" s="9" t="s">
        <v>19</v>
      </c>
      <c r="N14007" s="9" t="s">
        <v>20</v>
      </c>
      <c r="O14007" s="6" t="str">
        <f>HYPERLINK("https://pbs.twimg.com/profile_images/962471262747529216/Uo8lOkRJ_normal.jpg","View")</f>
        <v>View</v>
      </c>
      <c r="P14007" s="7"/>
    </row>
    <row r="14008" spans="1:16">
      <c r="A14008" s="3">
        <v>44293.748136574075</v>
      </c>
      <c r="B14008" s="4" t="str">
        <f>HYPERLINK("https://twitter.com/petrogustavo","@petrogustavo")</f>
        <v>@petrogustavo</v>
      </c>
      <c r="C14008" s="5" t="s">
        <v>16</v>
      </c>
      <c r="D14008" s="5" t="s">
        <v>13480</v>
      </c>
      <c r="E14008" s="6" t="str">
        <f>HYPERLINK("https://twitter.com/petrogustavo/status/1379772777931145217","1379772777931145217")</f>
        <v>1379772777931145217</v>
      </c>
      <c r="F14008" s="7" t="s">
        <v>17</v>
      </c>
      <c r="G14008" s="7">
        <v>4088236</v>
      </c>
      <c r="H14008" s="7">
        <v>2505</v>
      </c>
      <c r="I14008" s="7">
        <v>167</v>
      </c>
      <c r="J14008" s="7">
        <v>510</v>
      </c>
      <c r="K14008" s="7" t="s">
        <v>18</v>
      </c>
      <c r="L14008" s="8">
        <v>39987.315405092595</v>
      </c>
      <c r="M14008" s="9" t="s">
        <v>19</v>
      </c>
      <c r="N14008" s="9" t="s">
        <v>20</v>
      </c>
      <c r="O14008" s="6" t="str">
        <f>HYPERLINK("https://pbs.twimg.com/profile_images/962471262747529216/Uo8lOkRJ_normal.jpg","View")</f>
        <v>View</v>
      </c>
      <c r="P14008" s="7"/>
    </row>
    <row r="14009" spans="1:16">
      <c r="A14009" s="3">
        <v>44293.748379629629</v>
      </c>
      <c r="B14009" s="4" t="str">
        <f>HYPERLINK("https://twitter.com/petrogustavo","@petrogustavo")</f>
        <v>@petrogustavo</v>
      </c>
      <c r="C14009" s="5" t="s">
        <v>16</v>
      </c>
      <c r="D14009" s="5" t="s">
        <v>13481</v>
      </c>
      <c r="E14009" s="6" t="str">
        <f>HYPERLINK("https://twitter.com/petrogustavo/status/1379772863260061696","1379772863260061696")</f>
        <v>1379772863260061696</v>
      </c>
      <c r="F14009" s="7" t="s">
        <v>17</v>
      </c>
      <c r="G14009" s="7">
        <v>4088236</v>
      </c>
      <c r="H14009" s="7">
        <v>2505</v>
      </c>
      <c r="I14009" s="7">
        <v>220</v>
      </c>
      <c r="J14009" s="7">
        <v>0</v>
      </c>
      <c r="K14009" s="7" t="s">
        <v>18</v>
      </c>
      <c r="L14009" s="8">
        <v>39987.315405092595</v>
      </c>
      <c r="M14009" s="9" t="s">
        <v>19</v>
      </c>
      <c r="N14009" s="9" t="s">
        <v>20</v>
      </c>
      <c r="O14009" s="6" t="str">
        <f>HYPERLINK("https://pbs.twimg.com/profile_images/962471262747529216/Uo8lOkRJ_normal.jpg","View")</f>
        <v>View</v>
      </c>
      <c r="P14009" s="7"/>
    </row>
    <row r="14010" spans="1:16">
      <c r="A14010" s="3">
        <v>44293.774212962962</v>
      </c>
      <c r="B14010" s="4" t="str">
        <f>HYPERLINK("https://twitter.com/petrogustavo","@petrogustavo")</f>
        <v>@petrogustavo</v>
      </c>
      <c r="C14010" s="5" t="s">
        <v>16</v>
      </c>
      <c r="D14010" s="5" t="s">
        <v>13482</v>
      </c>
      <c r="E14010" s="6" t="str">
        <f>HYPERLINK("https://twitter.com/petrogustavo/status/1379782226754338820","1379782226754338820")</f>
        <v>1379782226754338820</v>
      </c>
      <c r="F14010" s="7" t="s">
        <v>17</v>
      </c>
      <c r="G14010" s="7">
        <v>4088252</v>
      </c>
      <c r="H14010" s="7">
        <v>2505</v>
      </c>
      <c r="I14010" s="7">
        <v>122</v>
      </c>
      <c r="J14010" s="7">
        <v>398</v>
      </c>
      <c r="K14010" s="7" t="s">
        <v>18</v>
      </c>
      <c r="L14010" s="8">
        <v>39987.315405092595</v>
      </c>
      <c r="M14010" s="9" t="s">
        <v>19</v>
      </c>
      <c r="N14010" s="9" t="s">
        <v>20</v>
      </c>
      <c r="O14010" s="6" t="str">
        <f>HYPERLINK("https://pbs.twimg.com/profile_images/962471262747529216/Uo8lOkRJ_normal.jpg","View")</f>
        <v>View</v>
      </c>
      <c r="P14010" s="7"/>
    </row>
    <row r="14011" spans="1:16">
      <c r="A14011" s="3">
        <v>44293.791354166664</v>
      </c>
      <c r="B14011" s="4" t="str">
        <f>HYPERLINK("https://twitter.com/petrogustavo","@petrogustavo")</f>
        <v>@petrogustavo</v>
      </c>
      <c r="C14011" s="5" t="s">
        <v>16</v>
      </c>
      <c r="D14011" s="5" t="s">
        <v>13483</v>
      </c>
      <c r="E14011" s="6" t="str">
        <f>HYPERLINK("https://twitter.com/petrogustavo/status/1379788436501061635","1379788436501061635")</f>
        <v>1379788436501061635</v>
      </c>
      <c r="F14011" s="7" t="s">
        <v>17</v>
      </c>
      <c r="G14011" s="7">
        <v>4088258</v>
      </c>
      <c r="H14011" s="7">
        <v>2505</v>
      </c>
      <c r="I14011" s="7">
        <v>61</v>
      </c>
      <c r="J14011" s="7">
        <v>0</v>
      </c>
      <c r="K14011" s="7" t="s">
        <v>18</v>
      </c>
      <c r="L14011" s="8">
        <v>39987.315405092595</v>
      </c>
      <c r="M14011" s="9" t="s">
        <v>19</v>
      </c>
      <c r="N14011" s="9" t="s">
        <v>20</v>
      </c>
      <c r="O14011" s="6" t="str">
        <f>HYPERLINK("https://pbs.twimg.com/profile_images/962471262747529216/Uo8lOkRJ_normal.jpg","View")</f>
        <v>View</v>
      </c>
      <c r="P14011" s="7"/>
    </row>
    <row r="14012" spans="1:16">
      <c r="A14012" s="3">
        <v>44293.796180555553</v>
      </c>
      <c r="B14012" s="4" t="str">
        <f>HYPERLINK("https://twitter.com/petrogustavo","@petrogustavo")</f>
        <v>@petrogustavo</v>
      </c>
      <c r="C14012" s="5" t="s">
        <v>16</v>
      </c>
      <c r="D14012" s="5" t="s">
        <v>13484</v>
      </c>
      <c r="E14012" s="6" t="str">
        <f>HYPERLINK("https://twitter.com/petrogustavo/status/1379790187962716162","1379790187962716162")</f>
        <v>1379790187962716162</v>
      </c>
      <c r="F14012" s="7" t="s">
        <v>17</v>
      </c>
      <c r="G14012" s="7">
        <v>4088258</v>
      </c>
      <c r="H14012" s="7">
        <v>2505</v>
      </c>
      <c r="I14012" s="7">
        <v>269</v>
      </c>
      <c r="J14012" s="7">
        <v>0</v>
      </c>
      <c r="K14012" s="7" t="s">
        <v>18</v>
      </c>
      <c r="L14012" s="8">
        <v>39987.315405092595</v>
      </c>
      <c r="M14012" s="9" t="s">
        <v>19</v>
      </c>
      <c r="N14012" s="9" t="s">
        <v>20</v>
      </c>
      <c r="O14012" s="6" t="str">
        <f>HYPERLINK("https://pbs.twimg.com/profile_images/962471262747529216/Uo8lOkRJ_normal.jpg","View")</f>
        <v>View</v>
      </c>
      <c r="P14012" s="7"/>
    </row>
    <row r="14013" spans="1:16">
      <c r="A14013" s="3">
        <v>44293.925046296295</v>
      </c>
      <c r="B14013" s="4" t="str">
        <f>HYPERLINK("https://twitter.com/petrogustavo","@petrogustavo")</f>
        <v>@petrogustavo</v>
      </c>
      <c r="C14013" s="5" t="s">
        <v>16</v>
      </c>
      <c r="D14013" s="5" t="s">
        <v>13485</v>
      </c>
      <c r="E14013" s="6" t="str">
        <f>HYPERLINK("https://twitter.com/petrogustavo/status/1379836885984493568","1379836885984493568")</f>
        <v>1379836885984493568</v>
      </c>
      <c r="F14013" s="7" t="s">
        <v>17</v>
      </c>
      <c r="G14013" s="7">
        <v>4088363</v>
      </c>
      <c r="H14013" s="7">
        <v>2505</v>
      </c>
      <c r="I14013" s="7">
        <v>27</v>
      </c>
      <c r="J14013" s="7">
        <v>0</v>
      </c>
      <c r="K14013" s="7" t="s">
        <v>18</v>
      </c>
      <c r="L14013" s="8">
        <v>39987.315405092595</v>
      </c>
      <c r="M14013" s="9" t="s">
        <v>19</v>
      </c>
      <c r="N14013" s="9" t="s">
        <v>20</v>
      </c>
      <c r="O14013" s="6" t="str">
        <f>HYPERLINK("https://pbs.twimg.com/profile_images/962471262747529216/Uo8lOkRJ_normal.jpg","View")</f>
        <v>View</v>
      </c>
      <c r="P14013" s="7"/>
    </row>
    <row r="14014" spans="1:16">
      <c r="A14014" s="3">
        <v>44293.936539351853</v>
      </c>
      <c r="B14014" s="4" t="str">
        <f>HYPERLINK("https://twitter.com/petrogustavo","@petrogustavo")</f>
        <v>@petrogustavo</v>
      </c>
      <c r="C14014" s="5" t="s">
        <v>16</v>
      </c>
      <c r="D14014" s="5" t="s">
        <v>13486</v>
      </c>
      <c r="E14014" s="6" t="str">
        <f>HYPERLINK("https://twitter.com/petrogustavo/status/1379841051276554242","1379841051276554242")</f>
        <v>1379841051276554242</v>
      </c>
      <c r="F14014" s="7" t="s">
        <v>17</v>
      </c>
      <c r="G14014" s="7">
        <v>4088362</v>
      </c>
      <c r="H14014" s="7">
        <v>2505</v>
      </c>
      <c r="I14014" s="7">
        <v>160</v>
      </c>
      <c r="J14014" s="7">
        <v>466</v>
      </c>
      <c r="K14014" s="7" t="s">
        <v>18</v>
      </c>
      <c r="L14014" s="8">
        <v>39987.315405092595</v>
      </c>
      <c r="M14014" s="9" t="s">
        <v>19</v>
      </c>
      <c r="N14014" s="9" t="s">
        <v>20</v>
      </c>
      <c r="O14014" s="6" t="str">
        <f>HYPERLINK("https://pbs.twimg.com/profile_images/962471262747529216/Uo8lOkRJ_normal.jpg","View")</f>
        <v>View</v>
      </c>
      <c r="P14014" s="7"/>
    </row>
    <row r="14015" spans="1:16">
      <c r="A14015" s="3">
        <v>44293.95380787037</v>
      </c>
      <c r="B14015" s="4" t="str">
        <f>HYPERLINK("https://twitter.com/petrogustavo","@petrogustavo")</f>
        <v>@petrogustavo</v>
      </c>
      <c r="C14015" s="5" t="s">
        <v>16</v>
      </c>
      <c r="D14015" s="5" t="s">
        <v>13487</v>
      </c>
      <c r="E14015" s="6" t="str">
        <f>HYPERLINK("https://twitter.com/petrogustavo/status/1379847309501075465","1379847309501075465")</f>
        <v>1379847309501075465</v>
      </c>
      <c r="F14015" s="7" t="s">
        <v>17</v>
      </c>
      <c r="G14015" s="7">
        <v>4088374</v>
      </c>
      <c r="H14015" s="7">
        <v>2505</v>
      </c>
      <c r="I14015" s="7">
        <v>288</v>
      </c>
      <c r="J14015" s="7">
        <v>0</v>
      </c>
      <c r="K14015" s="7" t="s">
        <v>18</v>
      </c>
      <c r="L14015" s="8">
        <v>39987.315405092595</v>
      </c>
      <c r="M14015" s="9" t="s">
        <v>19</v>
      </c>
      <c r="N14015" s="9" t="s">
        <v>20</v>
      </c>
      <c r="O14015" s="6" t="str">
        <f>HYPERLINK("https://pbs.twimg.com/profile_images/962471262747529216/Uo8lOkRJ_normal.jpg","View")</f>
        <v>View</v>
      </c>
      <c r="P14015" s="7"/>
    </row>
    <row r="14016" spans="1:16">
      <c r="A14016" s="3">
        <v>44294.049803240741</v>
      </c>
      <c r="B14016" s="4" t="str">
        <f>HYPERLINK("https://twitter.com/petrogustavo","@petrogustavo")</f>
        <v>@petrogustavo</v>
      </c>
      <c r="C14016" s="5" t="s">
        <v>16</v>
      </c>
      <c r="D14016" s="5" t="s">
        <v>13488</v>
      </c>
      <c r="E14016" s="6" t="str">
        <f>HYPERLINK("https://twitter.com/petrogustavo/status/1379882096617984002","1379882096617984002")</f>
        <v>1379882096617984002</v>
      </c>
      <c r="F14016" s="7" t="s">
        <v>17</v>
      </c>
      <c r="G14016" s="7">
        <v>4088439</v>
      </c>
      <c r="H14016" s="7">
        <v>2505</v>
      </c>
      <c r="I14016" s="7">
        <v>164</v>
      </c>
      <c r="J14016" s="7">
        <v>0</v>
      </c>
      <c r="K14016" s="7" t="s">
        <v>18</v>
      </c>
      <c r="L14016" s="8">
        <v>39987.315405092595</v>
      </c>
      <c r="M14016" s="9" t="s">
        <v>19</v>
      </c>
      <c r="N14016" s="9" t="s">
        <v>20</v>
      </c>
      <c r="O14016" s="6" t="str">
        <f>HYPERLINK("https://pbs.twimg.com/profile_images/962471262747529216/Uo8lOkRJ_normal.jpg","View")</f>
        <v>View</v>
      </c>
      <c r="P14016" s="7"/>
    </row>
    <row r="14017" spans="1:16">
      <c r="A14017" s="3">
        <v>44294.050821759258</v>
      </c>
      <c r="B14017" s="4" t="str">
        <f>HYPERLINK("https://twitter.com/petrogustavo","@petrogustavo")</f>
        <v>@petrogustavo</v>
      </c>
      <c r="C14017" s="5" t="s">
        <v>16</v>
      </c>
      <c r="D14017" s="5" t="s">
        <v>13484</v>
      </c>
      <c r="E14017" s="6" t="str">
        <f>HYPERLINK("https://twitter.com/petrogustavo/status/1379882467000193031","1379882467000193031")</f>
        <v>1379882467000193031</v>
      </c>
      <c r="F14017" s="7" t="s">
        <v>17</v>
      </c>
      <c r="G14017" s="7">
        <v>4088439</v>
      </c>
      <c r="H14017" s="7">
        <v>2505</v>
      </c>
      <c r="I14017" s="7">
        <v>1053</v>
      </c>
      <c r="J14017" s="7">
        <v>0</v>
      </c>
      <c r="K14017" s="7" t="s">
        <v>18</v>
      </c>
      <c r="L14017" s="8">
        <v>39987.315405092595</v>
      </c>
      <c r="M14017" s="9" t="s">
        <v>19</v>
      </c>
      <c r="N14017" s="9" t="s">
        <v>20</v>
      </c>
      <c r="O14017" s="6" t="str">
        <f>HYPERLINK("https://pbs.twimg.com/profile_images/962471262747529216/Uo8lOkRJ_normal.jpg","View")</f>
        <v>View</v>
      </c>
      <c r="P14017" s="7"/>
    </row>
    <row r="14018" spans="1:16">
      <c r="A14018" s="3">
        <v>44294.056643518517</v>
      </c>
      <c r="B14018" s="4" t="str">
        <f>HYPERLINK("https://twitter.com/petrogustavo","@petrogustavo")</f>
        <v>@petrogustavo</v>
      </c>
      <c r="C14018" s="5" t="s">
        <v>16</v>
      </c>
      <c r="D14018" s="5" t="s">
        <v>13489</v>
      </c>
      <c r="E14018" s="6" t="str">
        <f>HYPERLINK("https://twitter.com/petrogustavo/status/1379884576869380098","1379884576869380098")</f>
        <v>1379884576869380098</v>
      </c>
      <c r="F14018" s="7" t="s">
        <v>17</v>
      </c>
      <c r="G14018" s="7">
        <v>4088455</v>
      </c>
      <c r="H14018" s="7">
        <v>2505</v>
      </c>
      <c r="I14018" s="7">
        <v>51</v>
      </c>
      <c r="J14018" s="7">
        <v>0</v>
      </c>
      <c r="K14018" s="7" t="s">
        <v>18</v>
      </c>
      <c r="L14018" s="8">
        <v>39987.315405092595</v>
      </c>
      <c r="M14018" s="9" t="s">
        <v>19</v>
      </c>
      <c r="N14018" s="9" t="s">
        <v>20</v>
      </c>
      <c r="O14018" s="6" t="str">
        <f>HYPERLINK("https://pbs.twimg.com/profile_images/962471262747529216/Uo8lOkRJ_normal.jpg","View")</f>
        <v>View</v>
      </c>
      <c r="P14018" s="7"/>
    </row>
    <row r="14019" spans="1:16">
      <c r="A14019" s="3">
        <v>44294.059351851851</v>
      </c>
      <c r="B14019" s="4" t="str">
        <f>HYPERLINK("https://twitter.com/petrogustavo","@petrogustavo")</f>
        <v>@petrogustavo</v>
      </c>
      <c r="C14019" s="5" t="s">
        <v>16</v>
      </c>
      <c r="D14019" s="5" t="s">
        <v>13484</v>
      </c>
      <c r="E14019" s="6" t="str">
        <f>HYPERLINK("https://twitter.com/petrogustavo/status/1379885557698981899","1379885557698981899")</f>
        <v>1379885557698981899</v>
      </c>
      <c r="F14019" s="7" t="s">
        <v>17</v>
      </c>
      <c r="G14019" s="7">
        <v>4088455</v>
      </c>
      <c r="H14019" s="7">
        <v>2505</v>
      </c>
      <c r="I14019" s="7">
        <v>1117</v>
      </c>
      <c r="J14019" s="7">
        <v>0</v>
      </c>
      <c r="K14019" s="7" t="s">
        <v>18</v>
      </c>
      <c r="L14019" s="8">
        <v>39987.315405092595</v>
      </c>
      <c r="M14019" s="9" t="s">
        <v>19</v>
      </c>
      <c r="N14019" s="9" t="s">
        <v>20</v>
      </c>
      <c r="O14019" s="6" t="str">
        <f>HYPERLINK("https://pbs.twimg.com/profile_images/962471262747529216/Uo8lOkRJ_normal.jpg","View")</f>
        <v>View</v>
      </c>
      <c r="P14019" s="7"/>
    </row>
    <row r="14020" spans="1:16">
      <c r="A14020" s="3">
        <v>44294.066759259258</v>
      </c>
      <c r="B14020" s="4" t="str">
        <f>HYPERLINK("https://twitter.com/petrogustavo","@petrogustavo")</f>
        <v>@petrogustavo</v>
      </c>
      <c r="C14020" s="5" t="s">
        <v>16</v>
      </c>
      <c r="D14020" s="5" t="s">
        <v>13490</v>
      </c>
      <c r="E14020" s="6" t="str">
        <f>HYPERLINK("https://twitter.com/petrogustavo/status/1379888239838949379","1379888239838949379")</f>
        <v>1379888239838949379</v>
      </c>
      <c r="F14020" s="7" t="s">
        <v>17</v>
      </c>
      <c r="G14020" s="7">
        <v>4088455</v>
      </c>
      <c r="H14020" s="7">
        <v>2505</v>
      </c>
      <c r="I14020" s="7">
        <v>105</v>
      </c>
      <c r="J14020" s="7">
        <v>309</v>
      </c>
      <c r="K14020" s="7" t="s">
        <v>18</v>
      </c>
      <c r="L14020" s="8">
        <v>39987.315405092595</v>
      </c>
      <c r="M14020" s="9" t="s">
        <v>19</v>
      </c>
      <c r="N14020" s="9" t="s">
        <v>20</v>
      </c>
      <c r="O14020" s="6" t="str">
        <f>HYPERLINK("https://pbs.twimg.com/profile_images/962471262747529216/Uo8lOkRJ_normal.jpg","View")</f>
        <v>View</v>
      </c>
      <c r="P14020" s="7"/>
    </row>
    <row r="14021" spans="1:16">
      <c r="A14021" s="3">
        <v>44294.699733796297</v>
      </c>
      <c r="B14021" s="4" t="str">
        <f>HYPERLINK("https://twitter.com/petrogustavo","@petrogustavo")</f>
        <v>@petrogustavo</v>
      </c>
      <c r="C14021" s="5" t="s">
        <v>16</v>
      </c>
      <c r="D14021" s="5" t="s">
        <v>13491</v>
      </c>
      <c r="E14021" s="6" t="str">
        <f>HYPERLINK("https://twitter.com/petrogustavo/status/1380117623648759809","1380117623648759809")</f>
        <v>1380117623648759809</v>
      </c>
      <c r="F14021" s="7" t="s">
        <v>17</v>
      </c>
      <c r="G14021" s="7">
        <v>4088648</v>
      </c>
      <c r="H14021" s="7">
        <v>2506</v>
      </c>
      <c r="I14021" s="7">
        <v>199</v>
      </c>
      <c r="J14021" s="7">
        <v>0</v>
      </c>
      <c r="K14021" s="7" t="s">
        <v>18</v>
      </c>
      <c r="L14021" s="8">
        <v>39987.315405092595</v>
      </c>
      <c r="M14021" s="9" t="s">
        <v>19</v>
      </c>
      <c r="N14021" s="9" t="s">
        <v>20</v>
      </c>
      <c r="O14021" s="6" t="str">
        <f>HYPERLINK("https://pbs.twimg.com/profile_images/962471262747529216/Uo8lOkRJ_normal.jpg","View")</f>
        <v>View</v>
      </c>
      <c r="P14021" s="7"/>
    </row>
    <row r="14022" spans="1:16">
      <c r="A14022" s="3">
        <v>44294.728113425925</v>
      </c>
      <c r="B14022" s="4" t="str">
        <f>HYPERLINK("https://twitter.com/petrogustavo","@petrogustavo")</f>
        <v>@petrogustavo</v>
      </c>
      <c r="C14022" s="5" t="s">
        <v>16</v>
      </c>
      <c r="D14022" s="5" t="s">
        <v>13492</v>
      </c>
      <c r="E14022" s="6" t="str">
        <f>HYPERLINK("https://twitter.com/petrogustavo/status/1380127907792752644","1380127907792752644")</f>
        <v>1380127907792752644</v>
      </c>
      <c r="F14022" s="7" t="s">
        <v>17</v>
      </c>
      <c r="G14022" s="7">
        <v>4088664</v>
      </c>
      <c r="H14022" s="7">
        <v>2506</v>
      </c>
      <c r="I14022" s="7">
        <v>178</v>
      </c>
      <c r="J14022" s="7">
        <v>671</v>
      </c>
      <c r="K14022" s="7" t="s">
        <v>18</v>
      </c>
      <c r="L14022" s="8">
        <v>39987.315405092595</v>
      </c>
      <c r="M14022" s="9" t="s">
        <v>19</v>
      </c>
      <c r="N14022" s="9" t="s">
        <v>20</v>
      </c>
      <c r="O14022" s="6" t="str">
        <f>HYPERLINK("https://pbs.twimg.com/profile_images/962471262747529216/Uo8lOkRJ_normal.jpg","View")</f>
        <v>View</v>
      </c>
      <c r="P14022" s="7"/>
    </row>
    <row r="14023" spans="1:16">
      <c r="A14023" s="3">
        <v>44294.768414351856</v>
      </c>
      <c r="B14023" s="4" t="str">
        <f>HYPERLINK("https://twitter.com/petrogustavo","@petrogustavo")</f>
        <v>@petrogustavo</v>
      </c>
      <c r="C14023" s="5" t="s">
        <v>16</v>
      </c>
      <c r="D14023" s="5" t="s">
        <v>13493</v>
      </c>
      <c r="E14023" s="6" t="str">
        <f>HYPERLINK("https://twitter.com/petrogustavo/status/1380142511805640704","1380142511805640704")</f>
        <v>1380142511805640704</v>
      </c>
      <c r="F14023" s="7" t="s">
        <v>17</v>
      </c>
      <c r="G14023" s="7">
        <v>4088693</v>
      </c>
      <c r="H14023" s="7">
        <v>2506</v>
      </c>
      <c r="I14023" s="7">
        <v>57</v>
      </c>
      <c r="J14023" s="7">
        <v>0</v>
      </c>
      <c r="K14023" s="7" t="s">
        <v>18</v>
      </c>
      <c r="L14023" s="8">
        <v>39987.315405092595</v>
      </c>
      <c r="M14023" s="9" t="s">
        <v>19</v>
      </c>
      <c r="N14023" s="9" t="s">
        <v>20</v>
      </c>
      <c r="O14023" s="6" t="str">
        <f>HYPERLINK("https://pbs.twimg.com/profile_images/962471262747529216/Uo8lOkRJ_normal.jpg","View")</f>
        <v>View</v>
      </c>
      <c r="P14023" s="7"/>
    </row>
    <row r="14024" spans="1:16">
      <c r="A14024" s="3">
        <v>44294.787777777776</v>
      </c>
      <c r="B14024" s="4" t="str">
        <f>HYPERLINK("https://twitter.com/petrogustavo","@petrogustavo")</f>
        <v>@petrogustavo</v>
      </c>
      <c r="C14024" s="5" t="s">
        <v>16</v>
      </c>
      <c r="D14024" s="5" t="s">
        <v>13494</v>
      </c>
      <c r="E14024" s="6" t="str">
        <f>HYPERLINK("https://twitter.com/petrogustavo/status/1380149528540631051","1380149528540631051")</f>
        <v>1380149528540631051</v>
      </c>
      <c r="F14024" s="7" t="s">
        <v>17</v>
      </c>
      <c r="G14024" s="7">
        <v>4088712</v>
      </c>
      <c r="H14024" s="7">
        <v>2506</v>
      </c>
      <c r="I14024" s="7">
        <v>258</v>
      </c>
      <c r="J14024" s="7">
        <v>698</v>
      </c>
      <c r="K14024" s="7" t="s">
        <v>18</v>
      </c>
      <c r="L14024" s="8">
        <v>39987.315405092595</v>
      </c>
      <c r="M14024" s="9" t="s">
        <v>19</v>
      </c>
      <c r="N14024" s="9" t="s">
        <v>20</v>
      </c>
      <c r="O14024" s="6" t="str">
        <f>HYPERLINK("https://pbs.twimg.com/profile_images/962471262747529216/Uo8lOkRJ_normal.jpg","View")</f>
        <v>View</v>
      </c>
      <c r="P14024" s="7"/>
    </row>
    <row r="14025" spans="1:16">
      <c r="A14025" s="3">
        <v>44295.696898148148</v>
      </c>
      <c r="B14025" s="4" t="str">
        <f>HYPERLINK("https://twitter.com/petrogustavo","@petrogustavo")</f>
        <v>@petrogustavo</v>
      </c>
      <c r="C14025" s="5" t="s">
        <v>16</v>
      </c>
      <c r="D14025" s="5" t="s">
        <v>13495</v>
      </c>
      <c r="E14025" s="6" t="str">
        <f>HYPERLINK("https://twitter.com/petrogustavo/status/1380478983767273481","1380478983767273481")</f>
        <v>1380478983767273481</v>
      </c>
      <c r="F14025" s="7" t="s">
        <v>17</v>
      </c>
      <c r="G14025" s="7">
        <v>4089094</v>
      </c>
      <c r="H14025" s="7">
        <v>2507</v>
      </c>
      <c r="I14025" s="7">
        <v>115</v>
      </c>
      <c r="J14025" s="7">
        <v>0</v>
      </c>
      <c r="K14025" s="7" t="s">
        <v>18</v>
      </c>
      <c r="L14025" s="8">
        <v>39987.315405092595</v>
      </c>
      <c r="M14025" s="9" t="s">
        <v>19</v>
      </c>
      <c r="N14025" s="9" t="s">
        <v>20</v>
      </c>
      <c r="O14025" s="6" t="str">
        <f>HYPERLINK("https://pbs.twimg.com/profile_images/962471262747529216/Uo8lOkRJ_normal.jpg","View")</f>
        <v>View</v>
      </c>
      <c r="P14025" s="7"/>
    </row>
    <row r="14026" spans="1:16">
      <c r="A14026" s="3">
        <v>44295.698437500003</v>
      </c>
      <c r="B14026" s="4" t="str">
        <f>HYPERLINK("https://twitter.com/petrogustavo","@petrogustavo")</f>
        <v>@petrogustavo</v>
      </c>
      <c r="C14026" s="5" t="s">
        <v>16</v>
      </c>
      <c r="D14026" s="5" t="s">
        <v>13496</v>
      </c>
      <c r="E14026" s="6" t="str">
        <f>HYPERLINK("https://twitter.com/petrogustavo/status/1380479543018983429","1380479543018983429")</f>
        <v>1380479543018983429</v>
      </c>
      <c r="F14026" s="7" t="s">
        <v>17</v>
      </c>
      <c r="G14026" s="7">
        <v>4089094</v>
      </c>
      <c r="H14026" s="7">
        <v>2507</v>
      </c>
      <c r="I14026" s="7">
        <v>18</v>
      </c>
      <c r="J14026" s="7">
        <v>65</v>
      </c>
      <c r="K14026" s="7" t="s">
        <v>18</v>
      </c>
      <c r="L14026" s="8">
        <v>39987.315405092595</v>
      </c>
      <c r="M14026" s="9" t="s">
        <v>19</v>
      </c>
      <c r="N14026" s="9" t="s">
        <v>20</v>
      </c>
      <c r="O14026" s="6" t="str">
        <f>HYPERLINK("https://pbs.twimg.com/profile_images/962471262747529216/Uo8lOkRJ_normal.jpg","View")</f>
        <v>View</v>
      </c>
      <c r="P14026" s="7"/>
    </row>
    <row r="14027" spans="1:16">
      <c r="A14027" s="3">
        <v>44295.728645833333</v>
      </c>
      <c r="B14027" s="4" t="str">
        <f>HYPERLINK("https://twitter.com/petrogustavo","@petrogustavo")</f>
        <v>@petrogustavo</v>
      </c>
      <c r="C14027" s="5" t="s">
        <v>16</v>
      </c>
      <c r="D14027" s="5" t="s">
        <v>13497</v>
      </c>
      <c r="E14027" s="6" t="str">
        <f>HYPERLINK("https://twitter.com/petrogustavo/status/1380490489556779010","1380490489556779010")</f>
        <v>1380490489556779010</v>
      </c>
      <c r="F14027" s="7" t="s">
        <v>17</v>
      </c>
      <c r="G14027" s="7">
        <v>4089126</v>
      </c>
      <c r="H14027" s="7">
        <v>2507</v>
      </c>
      <c r="I14027" s="7">
        <v>90</v>
      </c>
      <c r="J14027" s="7">
        <v>280</v>
      </c>
      <c r="K14027" s="7" t="s">
        <v>18</v>
      </c>
      <c r="L14027" s="8">
        <v>39987.315405092595</v>
      </c>
      <c r="M14027" s="9" t="s">
        <v>19</v>
      </c>
      <c r="N14027" s="9" t="s">
        <v>20</v>
      </c>
      <c r="O14027" s="6" t="str">
        <f>HYPERLINK("https://pbs.twimg.com/profile_images/962471262747529216/Uo8lOkRJ_normal.jpg","View")</f>
        <v>View</v>
      </c>
      <c r="P14027" s="7"/>
    </row>
    <row r="14028" spans="1:16">
      <c r="A14028" s="3">
        <v>44295.785127314812</v>
      </c>
      <c r="B14028" s="4" t="str">
        <f>HYPERLINK("https://twitter.com/petrogustavo","@petrogustavo")</f>
        <v>@petrogustavo</v>
      </c>
      <c r="C14028" s="5" t="s">
        <v>16</v>
      </c>
      <c r="D14028" s="5" t="s">
        <v>13498</v>
      </c>
      <c r="E14028" s="6" t="str">
        <f>HYPERLINK("https://twitter.com/petrogustavo/status/1380510958636965888","1380510958636965888")</f>
        <v>1380510958636965888</v>
      </c>
      <c r="F14028" s="7" t="s">
        <v>17</v>
      </c>
      <c r="G14028" s="7">
        <v>4089161</v>
      </c>
      <c r="H14028" s="7">
        <v>2507</v>
      </c>
      <c r="I14028" s="7">
        <v>363</v>
      </c>
      <c r="J14028" s="7">
        <v>1055</v>
      </c>
      <c r="K14028" s="7" t="s">
        <v>18</v>
      </c>
      <c r="L14028" s="8">
        <v>39987.315405092595</v>
      </c>
      <c r="M14028" s="9" t="s">
        <v>19</v>
      </c>
      <c r="N14028" s="9" t="s">
        <v>20</v>
      </c>
      <c r="O14028" s="6" t="str">
        <f>HYPERLINK("https://pbs.twimg.com/profile_images/962471262747529216/Uo8lOkRJ_normal.jpg","View")</f>
        <v>View</v>
      </c>
      <c r="P14028" s="7"/>
    </row>
    <row r="14029" spans="1:16">
      <c r="A14029" s="3">
        <v>44295.785138888888</v>
      </c>
      <c r="B14029" s="4" t="str">
        <f>HYPERLINK("https://twitter.com/petrogustavo","@petrogustavo")</f>
        <v>@petrogustavo</v>
      </c>
      <c r="C14029" s="5" t="s">
        <v>16</v>
      </c>
      <c r="D14029" s="5" t="s">
        <v>13499</v>
      </c>
      <c r="E14029" s="6" t="str">
        <f>HYPERLINK("https://twitter.com/petrogustavo/status/1380510959857496072","1380510959857496072")</f>
        <v>1380510959857496072</v>
      </c>
      <c r="F14029" s="7" t="s">
        <v>17</v>
      </c>
      <c r="G14029" s="7">
        <v>4089161</v>
      </c>
      <c r="H14029" s="7">
        <v>2507</v>
      </c>
      <c r="I14029" s="7">
        <v>236</v>
      </c>
      <c r="J14029" s="7">
        <v>790</v>
      </c>
      <c r="K14029" s="7" t="s">
        <v>18</v>
      </c>
      <c r="L14029" s="8">
        <v>39987.315405092595</v>
      </c>
      <c r="M14029" s="9" t="s">
        <v>19</v>
      </c>
      <c r="N14029" s="9" t="s">
        <v>20</v>
      </c>
      <c r="O14029" s="6" t="str">
        <f>HYPERLINK("https://pbs.twimg.com/profile_images/962471262747529216/Uo8lOkRJ_normal.jpg","View")</f>
        <v>View</v>
      </c>
      <c r="P14029" s="7"/>
    </row>
    <row r="14030" spans="1:16">
      <c r="A14030" s="3">
        <v>44295.823217592595</v>
      </c>
      <c r="B14030" s="4" t="str">
        <f>HYPERLINK("https://twitter.com/petrogustavo","@petrogustavo")</f>
        <v>@petrogustavo</v>
      </c>
      <c r="C14030" s="5" t="s">
        <v>16</v>
      </c>
      <c r="D14030" s="5" t="s">
        <v>13500</v>
      </c>
      <c r="E14030" s="6" t="str">
        <f>HYPERLINK("https://twitter.com/petrogustavo/status/1380524758664630274","1380524758664630274")</f>
        <v>1380524758664630274</v>
      </c>
      <c r="F14030" s="7" t="s">
        <v>17</v>
      </c>
      <c r="G14030" s="7">
        <v>4089186</v>
      </c>
      <c r="H14030" s="7">
        <v>2507</v>
      </c>
      <c r="I14030" s="7">
        <v>26</v>
      </c>
      <c r="J14030" s="7">
        <v>164</v>
      </c>
      <c r="K14030" s="7" t="s">
        <v>18</v>
      </c>
      <c r="L14030" s="8">
        <v>39987.315405092595</v>
      </c>
      <c r="M14030" s="9" t="s">
        <v>19</v>
      </c>
      <c r="N14030" s="9" t="s">
        <v>20</v>
      </c>
      <c r="O14030" s="6" t="str">
        <f>HYPERLINK("https://pbs.twimg.com/profile_images/962471262747529216/Uo8lOkRJ_normal.jpg","View")</f>
        <v>View</v>
      </c>
      <c r="P14030" s="7"/>
    </row>
    <row r="14031" spans="1:16">
      <c r="A14031" s="3">
        <v>44295.826701388884</v>
      </c>
      <c r="B14031" s="4" t="str">
        <f>HYPERLINK("https://twitter.com/petrogustavo","@petrogustavo")</f>
        <v>@petrogustavo</v>
      </c>
      <c r="C14031" s="5" t="s">
        <v>16</v>
      </c>
      <c r="D14031" s="5" t="s">
        <v>13501</v>
      </c>
      <c r="E14031" s="6" t="str">
        <f>HYPERLINK("https://twitter.com/petrogustavo/status/1380526023134085120","1380526023134085120")</f>
        <v>1380526023134085120</v>
      </c>
      <c r="F14031" s="7" t="s">
        <v>17</v>
      </c>
      <c r="G14031" s="7">
        <v>4089207</v>
      </c>
      <c r="H14031" s="7">
        <v>2507</v>
      </c>
      <c r="I14031" s="7">
        <v>118</v>
      </c>
      <c r="J14031" s="7">
        <v>0</v>
      </c>
      <c r="K14031" s="7" t="s">
        <v>18</v>
      </c>
      <c r="L14031" s="8">
        <v>39987.315405092595</v>
      </c>
      <c r="M14031" s="9" t="s">
        <v>19</v>
      </c>
      <c r="N14031" s="9" t="s">
        <v>20</v>
      </c>
      <c r="O14031" s="6" t="str">
        <f>HYPERLINK("https://pbs.twimg.com/profile_images/962471262747529216/Uo8lOkRJ_normal.jpg","View")</f>
        <v>View</v>
      </c>
      <c r="P14031" s="7"/>
    </row>
    <row r="14032" spans="1:16">
      <c r="A14032" s="3">
        <v>44295.832303240742</v>
      </c>
      <c r="B14032" s="4" t="str">
        <f>HYPERLINK("https://twitter.com/petrogustavo","@petrogustavo")</f>
        <v>@petrogustavo</v>
      </c>
      <c r="C14032" s="5" t="s">
        <v>16</v>
      </c>
      <c r="D14032" s="5" t="s">
        <v>13502</v>
      </c>
      <c r="E14032" s="6" t="str">
        <f>HYPERLINK("https://twitter.com/petrogustavo/status/1380528052577374216","1380528052577374216")</f>
        <v>1380528052577374216</v>
      </c>
      <c r="F14032" s="7" t="s">
        <v>17</v>
      </c>
      <c r="G14032" s="7">
        <v>4089207</v>
      </c>
      <c r="H14032" s="7">
        <v>2507</v>
      </c>
      <c r="I14032" s="7">
        <v>440</v>
      </c>
      <c r="J14032" s="7">
        <v>0</v>
      </c>
      <c r="K14032" s="7" t="s">
        <v>18</v>
      </c>
      <c r="L14032" s="8">
        <v>39987.315405092595</v>
      </c>
      <c r="M14032" s="9" t="s">
        <v>19</v>
      </c>
      <c r="N14032" s="9" t="s">
        <v>20</v>
      </c>
      <c r="O14032" s="6" t="str">
        <f>HYPERLINK("https://pbs.twimg.com/profile_images/962471262747529216/Uo8lOkRJ_normal.jpg","View")</f>
        <v>View</v>
      </c>
      <c r="P14032" s="7"/>
    </row>
    <row r="14033" spans="1:16">
      <c r="A14033" s="3">
        <v>44295.886620370366</v>
      </c>
      <c r="B14033" s="4" t="str">
        <f>HYPERLINK("https://twitter.com/petrogustavo","@petrogustavo")</f>
        <v>@petrogustavo</v>
      </c>
      <c r="C14033" s="5" t="s">
        <v>16</v>
      </c>
      <c r="D14033" s="5" t="s">
        <v>13502</v>
      </c>
      <c r="E14033" s="6" t="str">
        <f>HYPERLINK("https://twitter.com/petrogustavo/status/1380547736202833926","1380547736202833926")</f>
        <v>1380547736202833926</v>
      </c>
      <c r="F14033" s="7" t="s">
        <v>17</v>
      </c>
      <c r="G14033" s="7">
        <v>4089253</v>
      </c>
      <c r="H14033" s="7">
        <v>2507</v>
      </c>
      <c r="I14033" s="7">
        <v>511</v>
      </c>
      <c r="J14033" s="7">
        <v>0</v>
      </c>
      <c r="K14033" s="7" t="s">
        <v>18</v>
      </c>
      <c r="L14033" s="8">
        <v>39987.315405092595</v>
      </c>
      <c r="M14033" s="9" t="s">
        <v>19</v>
      </c>
      <c r="N14033" s="9" t="s">
        <v>20</v>
      </c>
      <c r="O14033" s="6" t="str">
        <f>HYPERLINK("https://pbs.twimg.com/profile_images/962471262747529216/Uo8lOkRJ_normal.jpg","View")</f>
        <v>View</v>
      </c>
      <c r="P14033" s="7"/>
    </row>
    <row r="14034" spans="1:16">
      <c r="A14034" s="3">
        <v>44295.935995370368</v>
      </c>
      <c r="B14034" s="4" t="str">
        <f>HYPERLINK("https://twitter.com/petrogustavo","@petrogustavo")</f>
        <v>@petrogustavo</v>
      </c>
      <c r="C14034" s="5" t="s">
        <v>16</v>
      </c>
      <c r="D14034" s="5" t="s">
        <v>13503</v>
      </c>
      <c r="E14034" s="6" t="str">
        <f>HYPERLINK("https://twitter.com/petrogustavo/status/1380565627837030401","1380565627837030401")</f>
        <v>1380565627837030401</v>
      </c>
      <c r="F14034" s="7" t="s">
        <v>17</v>
      </c>
      <c r="G14034" s="7">
        <v>4089333</v>
      </c>
      <c r="H14034" s="7">
        <v>2507</v>
      </c>
      <c r="I14034" s="7">
        <v>178</v>
      </c>
      <c r="J14034" s="7">
        <v>501</v>
      </c>
      <c r="K14034" s="7" t="s">
        <v>18</v>
      </c>
      <c r="L14034" s="8">
        <v>39987.315405092595</v>
      </c>
      <c r="M14034" s="9" t="s">
        <v>19</v>
      </c>
      <c r="N14034" s="9" t="s">
        <v>20</v>
      </c>
      <c r="O14034" s="6" t="str">
        <f>HYPERLINK("https://pbs.twimg.com/profile_images/962471262747529216/Uo8lOkRJ_normal.jpg","View")</f>
        <v>View</v>
      </c>
      <c r="P14034" s="7"/>
    </row>
    <row r="14035" spans="1:16">
      <c r="A14035" s="3">
        <v>44296.715798611112</v>
      </c>
      <c r="B14035" s="4" t="str">
        <f>HYPERLINK("https://twitter.com/petrogustavo","@petrogustavo")</f>
        <v>@petrogustavo</v>
      </c>
      <c r="C14035" s="5" t="s">
        <v>16</v>
      </c>
      <c r="D14035" s="5" t="s">
        <v>13504</v>
      </c>
      <c r="E14035" s="6" t="str">
        <f>HYPERLINK("https://twitter.com/petrogustavo/status/1380848219995959296","1380848219995959296")</f>
        <v>1380848219995959296</v>
      </c>
      <c r="F14035" s="7" t="s">
        <v>17</v>
      </c>
      <c r="G14035" s="7">
        <v>4089596</v>
      </c>
      <c r="H14035" s="7">
        <v>2506</v>
      </c>
      <c r="I14035" s="7">
        <v>25</v>
      </c>
      <c r="J14035" s="7">
        <v>0</v>
      </c>
      <c r="K14035" s="7" t="s">
        <v>18</v>
      </c>
      <c r="L14035" s="8">
        <v>39987.315405092595</v>
      </c>
      <c r="M14035" s="9" t="s">
        <v>19</v>
      </c>
      <c r="N14035" s="9" t="s">
        <v>20</v>
      </c>
      <c r="O14035" s="6" t="str">
        <f>HYPERLINK("https://pbs.twimg.com/profile_images/962471262747529216/Uo8lOkRJ_normal.jpg","View")</f>
        <v>View</v>
      </c>
      <c r="P14035" s="7"/>
    </row>
    <row r="14036" spans="1:16">
      <c r="A14036" s="3">
        <v>44296.716805555552</v>
      </c>
      <c r="B14036" s="4" t="str">
        <f>HYPERLINK("https://twitter.com/petrogustavo","@petrogustavo")</f>
        <v>@petrogustavo</v>
      </c>
      <c r="C14036" s="5" t="s">
        <v>16</v>
      </c>
      <c r="D14036" s="5" t="s">
        <v>13505</v>
      </c>
      <c r="E14036" s="6" t="str">
        <f>HYPERLINK("https://twitter.com/petrogustavo/status/1380848585407926275","1380848585407926275")</f>
        <v>1380848585407926275</v>
      </c>
      <c r="F14036" s="7" t="s">
        <v>17</v>
      </c>
      <c r="G14036" s="7">
        <v>4089596</v>
      </c>
      <c r="H14036" s="7">
        <v>2506</v>
      </c>
      <c r="I14036" s="7">
        <v>24</v>
      </c>
      <c r="J14036" s="7">
        <v>0</v>
      </c>
      <c r="K14036" s="7" t="s">
        <v>18</v>
      </c>
      <c r="L14036" s="8">
        <v>39987.315405092595</v>
      </c>
      <c r="M14036" s="9" t="s">
        <v>19</v>
      </c>
      <c r="N14036" s="9" t="s">
        <v>20</v>
      </c>
      <c r="O14036" s="6" t="str">
        <f>HYPERLINK("https://pbs.twimg.com/profile_images/962471262747529216/Uo8lOkRJ_normal.jpg","View")</f>
        <v>View</v>
      </c>
      <c r="P14036" s="7"/>
    </row>
    <row r="14037" spans="1:16">
      <c r="A14037" s="3">
        <v>44296.720891203702</v>
      </c>
      <c r="B14037" s="4" t="str">
        <f>HYPERLINK("https://twitter.com/petrogustavo","@petrogustavo")</f>
        <v>@petrogustavo</v>
      </c>
      <c r="C14037" s="5" t="s">
        <v>16</v>
      </c>
      <c r="D14037" s="5" t="s">
        <v>13506</v>
      </c>
      <c r="E14037" s="6" t="str">
        <f>HYPERLINK("https://twitter.com/petrogustavo/status/1380850065242218496","1380850065242218496")</f>
        <v>1380850065242218496</v>
      </c>
      <c r="F14037" s="7" t="s">
        <v>17</v>
      </c>
      <c r="G14037" s="7">
        <v>4089596</v>
      </c>
      <c r="H14037" s="7">
        <v>2506</v>
      </c>
      <c r="I14037" s="7">
        <v>2</v>
      </c>
      <c r="J14037" s="7">
        <v>4</v>
      </c>
      <c r="K14037" s="7" t="s">
        <v>18</v>
      </c>
      <c r="L14037" s="8">
        <v>39987.315405092595</v>
      </c>
      <c r="M14037" s="9" t="s">
        <v>19</v>
      </c>
      <c r="N14037" s="9" t="s">
        <v>20</v>
      </c>
      <c r="O14037" s="6" t="str">
        <f>HYPERLINK("https://pbs.twimg.com/profile_images/962471262747529216/Uo8lOkRJ_normal.jpg","View")</f>
        <v>View</v>
      </c>
      <c r="P14037" s="7"/>
    </row>
    <row r="14038" spans="1:16">
      <c r="A14038" s="3">
        <v>44296.723981481482</v>
      </c>
      <c r="B14038" s="4" t="str">
        <f>HYPERLINK("https://twitter.com/petrogustavo","@petrogustavo")</f>
        <v>@petrogustavo</v>
      </c>
      <c r="C14038" s="5" t="s">
        <v>16</v>
      </c>
      <c r="D14038" s="5" t="s">
        <v>13507</v>
      </c>
      <c r="E14038" s="6" t="str">
        <f>HYPERLINK("https://twitter.com/petrogustavo/status/1380851184513253377","1380851184513253377")</f>
        <v>1380851184513253377</v>
      </c>
      <c r="F14038" s="7" t="s">
        <v>17</v>
      </c>
      <c r="G14038" s="7">
        <v>4089607</v>
      </c>
      <c r="H14038" s="7">
        <v>2506</v>
      </c>
      <c r="I14038" s="7">
        <v>45</v>
      </c>
      <c r="J14038" s="7">
        <v>0</v>
      </c>
      <c r="K14038" s="7" t="s">
        <v>18</v>
      </c>
      <c r="L14038" s="8">
        <v>39987.315405092595</v>
      </c>
      <c r="M14038" s="9" t="s">
        <v>19</v>
      </c>
      <c r="N14038" s="9" t="s">
        <v>20</v>
      </c>
      <c r="O14038" s="6" t="str">
        <f>HYPERLINK("https://pbs.twimg.com/profile_images/962471262747529216/Uo8lOkRJ_normal.jpg","View")</f>
        <v>View</v>
      </c>
      <c r="P14038" s="7"/>
    </row>
    <row r="14039" spans="1:16">
      <c r="A14039" s="3">
        <v>44296.731979166667</v>
      </c>
      <c r="B14039" s="4" t="str">
        <f>HYPERLINK("https://twitter.com/petrogustavo","@petrogustavo")</f>
        <v>@petrogustavo</v>
      </c>
      <c r="C14039" s="5" t="s">
        <v>16</v>
      </c>
      <c r="D14039" s="5" t="s">
        <v>13508</v>
      </c>
      <c r="E14039" s="6" t="str">
        <f>HYPERLINK("https://twitter.com/petrogustavo/status/1380854084245262336","1380854084245262336")</f>
        <v>1380854084245262336</v>
      </c>
      <c r="F14039" s="7" t="s">
        <v>17</v>
      </c>
      <c r="G14039" s="7">
        <v>4089607</v>
      </c>
      <c r="H14039" s="7">
        <v>2506</v>
      </c>
      <c r="I14039" s="7">
        <v>76</v>
      </c>
      <c r="J14039" s="7">
        <v>242</v>
      </c>
      <c r="K14039" s="7" t="s">
        <v>18</v>
      </c>
      <c r="L14039" s="8">
        <v>39987.315405092595</v>
      </c>
      <c r="M14039" s="9" t="s">
        <v>19</v>
      </c>
      <c r="N14039" s="9" t="s">
        <v>20</v>
      </c>
      <c r="O14039" s="6" t="str">
        <f>HYPERLINK("https://pbs.twimg.com/profile_images/962471262747529216/Uo8lOkRJ_normal.jpg","View")</f>
        <v>View</v>
      </c>
      <c r="P14039" s="7"/>
    </row>
    <row r="14040" spans="1:16">
      <c r="A14040" s="3">
        <v>44296.774398148147</v>
      </c>
      <c r="B14040" s="4" t="str">
        <f>HYPERLINK("https://twitter.com/petrogustavo","@petrogustavo")</f>
        <v>@petrogustavo</v>
      </c>
      <c r="C14040" s="5" t="s">
        <v>16</v>
      </c>
      <c r="D14040" s="5" t="s">
        <v>13509</v>
      </c>
      <c r="E14040" s="6" t="str">
        <f>HYPERLINK("https://twitter.com/petrogustavo/status/1380869458831495171","1380869458831495171")</f>
        <v>1380869458831495171</v>
      </c>
      <c r="F14040" s="7" t="s">
        <v>17</v>
      </c>
      <c r="G14040" s="7">
        <v>4089606</v>
      </c>
      <c r="H14040" s="7">
        <v>2506</v>
      </c>
      <c r="I14040" s="7">
        <v>69</v>
      </c>
      <c r="J14040" s="7">
        <v>227</v>
      </c>
      <c r="K14040" s="7" t="s">
        <v>18</v>
      </c>
      <c r="L14040" s="8">
        <v>39987.315405092595</v>
      </c>
      <c r="M14040" s="9" t="s">
        <v>19</v>
      </c>
      <c r="N14040" s="9" t="s">
        <v>20</v>
      </c>
      <c r="O14040" s="6" t="str">
        <f>HYPERLINK("https://pbs.twimg.com/profile_images/962471262747529216/Uo8lOkRJ_normal.jpg","View")</f>
        <v>View</v>
      </c>
      <c r="P14040" s="7"/>
    </row>
    <row r="14041" spans="1:16">
      <c r="A14041" s="3">
        <v>44296.822951388887</v>
      </c>
      <c r="B14041" s="4" t="str">
        <f>HYPERLINK("https://twitter.com/petrogustavo","@petrogustavo")</f>
        <v>@petrogustavo</v>
      </c>
      <c r="C14041" s="5" t="s">
        <v>16</v>
      </c>
      <c r="D14041" s="5" t="s">
        <v>13510</v>
      </c>
      <c r="E14041" s="6" t="str">
        <f>HYPERLINK("https://twitter.com/petrogustavo/status/1380887051839664132","1380887051839664132")</f>
        <v>1380887051839664132</v>
      </c>
      <c r="F14041" s="7" t="s">
        <v>17</v>
      </c>
      <c r="G14041" s="7">
        <v>4089653</v>
      </c>
      <c r="H14041" s="7">
        <v>2506</v>
      </c>
      <c r="I14041" s="7">
        <v>26</v>
      </c>
      <c r="J14041" s="7">
        <v>98</v>
      </c>
      <c r="K14041" s="7" t="s">
        <v>18</v>
      </c>
      <c r="L14041" s="8">
        <v>39987.315405092595</v>
      </c>
      <c r="M14041" s="9" t="s">
        <v>19</v>
      </c>
      <c r="N14041" s="9" t="s">
        <v>20</v>
      </c>
      <c r="O14041" s="6" t="str">
        <f>HYPERLINK("https://pbs.twimg.com/profile_images/962471262747529216/Uo8lOkRJ_normal.jpg","View")</f>
        <v>View</v>
      </c>
      <c r="P14041" s="7"/>
    </row>
    <row r="14042" spans="1:16">
      <c r="A14042" s="3">
        <v>44296.829375000001</v>
      </c>
      <c r="B14042" s="4" t="str">
        <f>HYPERLINK("https://twitter.com/petrogustavo","@petrogustavo")</f>
        <v>@petrogustavo</v>
      </c>
      <c r="C14042" s="5" t="s">
        <v>16</v>
      </c>
      <c r="D14042" s="5" t="s">
        <v>13511</v>
      </c>
      <c r="E14042" s="6" t="str">
        <f>HYPERLINK("https://twitter.com/petrogustavo/status/1380889380483645440","1380889380483645440")</f>
        <v>1380889380483645440</v>
      </c>
      <c r="F14042" s="7" t="s">
        <v>17</v>
      </c>
      <c r="G14042" s="7">
        <v>4089662</v>
      </c>
      <c r="H14042" s="7">
        <v>2506</v>
      </c>
      <c r="I14042" s="7">
        <v>63</v>
      </c>
      <c r="J14042" s="7">
        <v>308</v>
      </c>
      <c r="K14042" s="7" t="s">
        <v>18</v>
      </c>
      <c r="L14042" s="8">
        <v>39987.315405092595</v>
      </c>
      <c r="M14042" s="9" t="s">
        <v>19</v>
      </c>
      <c r="N14042" s="9" t="s">
        <v>20</v>
      </c>
      <c r="O14042" s="6" t="str">
        <f>HYPERLINK("https://pbs.twimg.com/profile_images/962471262747529216/Uo8lOkRJ_normal.jpg","View")</f>
        <v>View</v>
      </c>
      <c r="P14042" s="7"/>
    </row>
    <row r="14043" spans="1:16">
      <c r="A14043" s="3">
        <v>44296.830601851849</v>
      </c>
      <c r="B14043" s="4" t="str">
        <f>HYPERLINK("https://twitter.com/petrogustavo","@petrogustavo")</f>
        <v>@petrogustavo</v>
      </c>
      <c r="C14043" s="5" t="s">
        <v>16</v>
      </c>
      <c r="D14043" s="5" t="s">
        <v>13512</v>
      </c>
      <c r="E14043" s="6" t="str">
        <f>HYPERLINK("https://twitter.com/petrogustavo/status/1380889824463360000","1380889824463360000")</f>
        <v>1380889824463360000</v>
      </c>
      <c r="F14043" s="7" t="s">
        <v>17</v>
      </c>
      <c r="G14043" s="7">
        <v>4089662</v>
      </c>
      <c r="H14043" s="7">
        <v>2506</v>
      </c>
      <c r="I14043" s="7">
        <v>464</v>
      </c>
      <c r="J14043" s="7">
        <v>0</v>
      </c>
      <c r="K14043" s="7" t="s">
        <v>18</v>
      </c>
      <c r="L14043" s="8">
        <v>39987.315405092595</v>
      </c>
      <c r="M14043" s="9" t="s">
        <v>19</v>
      </c>
      <c r="N14043" s="9" t="s">
        <v>20</v>
      </c>
      <c r="O14043" s="6" t="str">
        <f>HYPERLINK("https://pbs.twimg.com/profile_images/962471262747529216/Uo8lOkRJ_normal.jpg","View")</f>
        <v>View</v>
      </c>
      <c r="P14043" s="7"/>
    </row>
    <row r="14044" spans="1:16">
      <c r="A14044" s="3">
        <v>44296.831030092595</v>
      </c>
      <c r="B14044" s="4" t="str">
        <f>HYPERLINK("https://twitter.com/petrogustavo","@petrogustavo")</f>
        <v>@petrogustavo</v>
      </c>
      <c r="C14044" s="5" t="s">
        <v>16</v>
      </c>
      <c r="D14044" s="5" t="s">
        <v>13513</v>
      </c>
      <c r="E14044" s="6" t="str">
        <f>HYPERLINK("https://twitter.com/petrogustavo/status/1380889980520783876","1380889980520783876")</f>
        <v>1380889980520783876</v>
      </c>
      <c r="F14044" s="7" t="s">
        <v>17</v>
      </c>
      <c r="G14044" s="7">
        <v>4089662</v>
      </c>
      <c r="H14044" s="7">
        <v>2506</v>
      </c>
      <c r="I14044" s="7">
        <v>268</v>
      </c>
      <c r="J14044" s="7">
        <v>0</v>
      </c>
      <c r="K14044" s="7" t="s">
        <v>18</v>
      </c>
      <c r="L14044" s="8">
        <v>39987.315405092595</v>
      </c>
      <c r="M14044" s="9" t="s">
        <v>19</v>
      </c>
      <c r="N14044" s="9" t="s">
        <v>20</v>
      </c>
      <c r="O14044" s="6" t="str">
        <f>HYPERLINK("https://pbs.twimg.com/profile_images/962471262747529216/Uo8lOkRJ_normal.jpg","View")</f>
        <v>View</v>
      </c>
      <c r="P14044" s="7"/>
    </row>
    <row r="14045" spans="1:16">
      <c r="A14045" s="3">
        <v>44296.874814814815</v>
      </c>
      <c r="B14045" s="4" t="str">
        <f>HYPERLINK("https://twitter.com/petrogustavo","@petrogustavo")</f>
        <v>@petrogustavo</v>
      </c>
      <c r="C14045" s="5" t="s">
        <v>16</v>
      </c>
      <c r="D14045" s="5" t="s">
        <v>13514</v>
      </c>
      <c r="E14045" s="6" t="str">
        <f>HYPERLINK("https://twitter.com/petrogustavo/status/1380905844850692099","1380905844850692099")</f>
        <v>1380905844850692099</v>
      </c>
      <c r="F14045" s="7" t="s">
        <v>17</v>
      </c>
      <c r="G14045" s="7">
        <v>4089706</v>
      </c>
      <c r="H14045" s="7">
        <v>2506</v>
      </c>
      <c r="I14045" s="7">
        <v>30</v>
      </c>
      <c r="J14045" s="7">
        <v>0</v>
      </c>
      <c r="K14045" s="7" t="s">
        <v>18</v>
      </c>
      <c r="L14045" s="8">
        <v>39987.315405092595</v>
      </c>
      <c r="M14045" s="9" t="s">
        <v>19</v>
      </c>
      <c r="N14045" s="9" t="s">
        <v>20</v>
      </c>
      <c r="O14045" s="6" t="str">
        <f>HYPERLINK("https://pbs.twimg.com/profile_images/962471262747529216/Uo8lOkRJ_normal.jpg","View")</f>
        <v>View</v>
      </c>
      <c r="P14045" s="7"/>
    </row>
    <row r="14046" spans="1:16">
      <c r="A14046" s="3">
        <v>44296.883090277777</v>
      </c>
      <c r="B14046" s="4" t="str">
        <f>HYPERLINK("https://twitter.com/petrogustavo","@petrogustavo")</f>
        <v>@petrogustavo</v>
      </c>
      <c r="C14046" s="5" t="s">
        <v>16</v>
      </c>
      <c r="D14046" s="5" t="s">
        <v>13515</v>
      </c>
      <c r="E14046" s="6" t="str">
        <f>HYPERLINK("https://twitter.com/petrogustavo/status/1380908844650528772","1380908844650528772")</f>
        <v>1380908844650528772</v>
      </c>
      <c r="F14046" s="7" t="s">
        <v>17</v>
      </c>
      <c r="G14046" s="7">
        <v>4089706</v>
      </c>
      <c r="H14046" s="7">
        <v>2506</v>
      </c>
      <c r="I14046" s="7">
        <v>93</v>
      </c>
      <c r="J14046" s="7">
        <v>294</v>
      </c>
      <c r="K14046" s="7" t="s">
        <v>18</v>
      </c>
      <c r="L14046" s="8">
        <v>39987.315405092595</v>
      </c>
      <c r="M14046" s="9" t="s">
        <v>19</v>
      </c>
      <c r="N14046" s="9" t="s">
        <v>20</v>
      </c>
      <c r="O14046" s="6" t="str">
        <f>HYPERLINK("https://pbs.twimg.com/profile_images/962471262747529216/Uo8lOkRJ_normal.jpg","View")</f>
        <v>View</v>
      </c>
      <c r="P14046" s="7"/>
    </row>
    <row r="14047" spans="1:16">
      <c r="A14047" s="3">
        <v>44296.894027777773</v>
      </c>
      <c r="B14047" s="4" t="str">
        <f>HYPERLINK("https://twitter.com/petrogustavo","@petrogustavo")</f>
        <v>@petrogustavo</v>
      </c>
      <c r="C14047" s="5" t="s">
        <v>16</v>
      </c>
      <c r="D14047" s="5" t="s">
        <v>13516</v>
      </c>
      <c r="E14047" s="6" t="str">
        <f>HYPERLINK("https://twitter.com/petrogustavo/status/1380912807655378948","1380912807655378948")</f>
        <v>1380912807655378948</v>
      </c>
      <c r="F14047" s="7" t="s">
        <v>17</v>
      </c>
      <c r="G14047" s="7">
        <v>4089733</v>
      </c>
      <c r="H14047" s="7">
        <v>2506</v>
      </c>
      <c r="I14047" s="7">
        <v>363</v>
      </c>
      <c r="J14047" s="7">
        <v>0</v>
      </c>
      <c r="K14047" s="7" t="s">
        <v>18</v>
      </c>
      <c r="L14047" s="8">
        <v>39987.315405092595</v>
      </c>
      <c r="M14047" s="9" t="s">
        <v>19</v>
      </c>
      <c r="N14047" s="9" t="s">
        <v>20</v>
      </c>
      <c r="O14047" s="6" t="str">
        <f>HYPERLINK("https://pbs.twimg.com/profile_images/962471262747529216/Uo8lOkRJ_normal.jpg","View")</f>
        <v>View</v>
      </c>
      <c r="P14047" s="7"/>
    </row>
    <row r="14048" spans="1:16">
      <c r="A14048" s="3">
        <v>44296.898402777777</v>
      </c>
      <c r="B14048" s="4" t="str">
        <f>HYPERLINK("https://twitter.com/petrogustavo","@petrogustavo")</f>
        <v>@petrogustavo</v>
      </c>
      <c r="C14048" s="5" t="s">
        <v>16</v>
      </c>
      <c r="D14048" s="5" t="s">
        <v>13517</v>
      </c>
      <c r="E14048" s="6" t="str">
        <f>HYPERLINK("https://twitter.com/petrogustavo/status/1380914393312067586","1380914393312067586")</f>
        <v>1380914393312067586</v>
      </c>
      <c r="F14048" s="7" t="s">
        <v>17</v>
      </c>
      <c r="G14048" s="7">
        <v>4089733</v>
      </c>
      <c r="H14048" s="7">
        <v>2506</v>
      </c>
      <c r="I14048" s="7">
        <v>62</v>
      </c>
      <c r="J14048" s="7">
        <v>0</v>
      </c>
      <c r="K14048" s="7" t="s">
        <v>18</v>
      </c>
      <c r="L14048" s="8">
        <v>39987.315405092595</v>
      </c>
      <c r="M14048" s="9" t="s">
        <v>19</v>
      </c>
      <c r="N14048" s="9" t="s">
        <v>20</v>
      </c>
      <c r="O14048" s="6" t="str">
        <f>HYPERLINK("https://pbs.twimg.com/profile_images/962471262747529216/Uo8lOkRJ_normal.jpg","View")</f>
        <v>View</v>
      </c>
      <c r="P14048" s="7"/>
    </row>
    <row r="14049" spans="1:16">
      <c r="A14049" s="3">
        <v>44296.899907407409</v>
      </c>
      <c r="B14049" s="4" t="str">
        <f>HYPERLINK("https://twitter.com/petrogustavo","@petrogustavo")</f>
        <v>@petrogustavo</v>
      </c>
      <c r="C14049" s="5" t="s">
        <v>16</v>
      </c>
      <c r="D14049" s="5" t="s">
        <v>13518</v>
      </c>
      <c r="E14049" s="6" t="str">
        <f>HYPERLINK("https://twitter.com/petrogustavo/status/1380914941650219009","1380914941650219009")</f>
        <v>1380914941650219009</v>
      </c>
      <c r="F14049" s="7" t="s">
        <v>17</v>
      </c>
      <c r="G14049" s="7">
        <v>4089733</v>
      </c>
      <c r="H14049" s="7">
        <v>2506</v>
      </c>
      <c r="I14049" s="7">
        <v>105</v>
      </c>
      <c r="J14049" s="7">
        <v>339</v>
      </c>
      <c r="K14049" s="7" t="s">
        <v>18</v>
      </c>
      <c r="L14049" s="8">
        <v>39987.315405092595</v>
      </c>
      <c r="M14049" s="9" t="s">
        <v>19</v>
      </c>
      <c r="N14049" s="9" t="s">
        <v>20</v>
      </c>
      <c r="O14049" s="6" t="str">
        <f>HYPERLINK("https://pbs.twimg.com/profile_images/962471262747529216/Uo8lOkRJ_normal.jpg","View")</f>
        <v>View</v>
      </c>
      <c r="P14049" s="7"/>
    </row>
    <row r="14050" spans="1:16">
      <c r="A14050" s="3">
        <v>44296.984409722223</v>
      </c>
      <c r="B14050" s="4" t="str">
        <f>HYPERLINK("https://twitter.com/petrogustavo","@petrogustavo")</f>
        <v>@petrogustavo</v>
      </c>
      <c r="C14050" s="5" t="s">
        <v>16</v>
      </c>
      <c r="D14050" s="5" t="s">
        <v>13519</v>
      </c>
      <c r="E14050" s="6" t="str">
        <f>HYPERLINK("https://twitter.com/petrogustavo/status/1380945562049085448","1380945562049085448")</f>
        <v>1380945562049085448</v>
      </c>
      <c r="F14050" s="7" t="s">
        <v>17</v>
      </c>
      <c r="G14050" s="7">
        <v>4089783</v>
      </c>
      <c r="H14050" s="7">
        <v>2506</v>
      </c>
      <c r="I14050" s="7">
        <v>604</v>
      </c>
      <c r="J14050" s="7">
        <v>0</v>
      </c>
      <c r="K14050" s="7" t="s">
        <v>18</v>
      </c>
      <c r="L14050" s="8">
        <v>39987.315405092595</v>
      </c>
      <c r="M14050" s="9" t="s">
        <v>19</v>
      </c>
      <c r="N14050" s="9" t="s">
        <v>20</v>
      </c>
      <c r="O14050" s="6" t="str">
        <f>HYPERLINK("https://pbs.twimg.com/profile_images/962471262747529216/Uo8lOkRJ_normal.jpg","View")</f>
        <v>View</v>
      </c>
      <c r="P14050" s="7"/>
    </row>
    <row r="14051" spans="1:16">
      <c r="A14051" s="3">
        <v>44297.742164351846</v>
      </c>
      <c r="B14051" s="4" t="str">
        <f>HYPERLINK("https://twitter.com/petrogustavo","@petrogustavo")</f>
        <v>@petrogustavo</v>
      </c>
      <c r="C14051" s="5" t="s">
        <v>16</v>
      </c>
      <c r="D14051" s="5" t="s">
        <v>13520</v>
      </c>
      <c r="E14051" s="6" t="str">
        <f>HYPERLINK("https://twitter.com/petrogustavo/status/1381220165740855297","1381220165740855297")</f>
        <v>1381220165740855297</v>
      </c>
      <c r="F14051" s="7" t="s">
        <v>17</v>
      </c>
      <c r="G14051" s="7">
        <v>4090190</v>
      </c>
      <c r="H14051" s="7">
        <v>2505</v>
      </c>
      <c r="I14051" s="7">
        <v>133</v>
      </c>
      <c r="J14051" s="7">
        <v>462</v>
      </c>
      <c r="K14051" s="7" t="s">
        <v>18</v>
      </c>
      <c r="L14051" s="8">
        <v>39987.315405092595</v>
      </c>
      <c r="M14051" s="9" t="s">
        <v>19</v>
      </c>
      <c r="N14051" s="9" t="s">
        <v>20</v>
      </c>
      <c r="O14051" s="6" t="str">
        <f>HYPERLINK("https://pbs.twimg.com/profile_images/962471262747529216/Uo8lOkRJ_normal.jpg","View")</f>
        <v>View</v>
      </c>
      <c r="P14051" s="7"/>
    </row>
    <row r="14052" spans="1:16">
      <c r="A14052" s="3">
        <v>44297.747337962966</v>
      </c>
      <c r="B14052" s="4" t="str">
        <f>HYPERLINK("https://twitter.com/petrogustavo","@petrogustavo")</f>
        <v>@petrogustavo</v>
      </c>
      <c r="C14052" s="5" t="s">
        <v>16</v>
      </c>
      <c r="D14052" s="5" t="s">
        <v>13521</v>
      </c>
      <c r="E14052" s="6" t="str">
        <f>HYPERLINK("https://twitter.com/petrogustavo/status/1381222039034400768","1381222039034400768")</f>
        <v>1381222039034400768</v>
      </c>
      <c r="F14052" s="7" t="s">
        <v>17</v>
      </c>
      <c r="G14052" s="7">
        <v>4090190</v>
      </c>
      <c r="H14052" s="7">
        <v>2505</v>
      </c>
      <c r="I14052" s="7">
        <v>35</v>
      </c>
      <c r="J14052" s="7">
        <v>93</v>
      </c>
      <c r="K14052" s="7" t="s">
        <v>18</v>
      </c>
      <c r="L14052" s="8">
        <v>39987.315405092595</v>
      </c>
      <c r="M14052" s="9" t="s">
        <v>19</v>
      </c>
      <c r="N14052" s="9" t="s">
        <v>20</v>
      </c>
      <c r="O14052" s="6" t="str">
        <f>HYPERLINK("https://pbs.twimg.com/profile_images/962471262747529216/Uo8lOkRJ_normal.jpg","View")</f>
        <v>View</v>
      </c>
      <c r="P14052" s="7"/>
    </row>
    <row r="14053" spans="1:16">
      <c r="A14053" s="3">
        <v>44297.753622685181</v>
      </c>
      <c r="B14053" s="4" t="str">
        <f>HYPERLINK("https://twitter.com/petrogustavo","@petrogustavo")</f>
        <v>@petrogustavo</v>
      </c>
      <c r="C14053" s="5" t="s">
        <v>16</v>
      </c>
      <c r="D14053" s="5" t="s">
        <v>13522</v>
      </c>
      <c r="E14053" s="6" t="str">
        <f>HYPERLINK("https://twitter.com/petrogustavo/status/1381224317057433602","1381224317057433602")</f>
        <v>1381224317057433602</v>
      </c>
      <c r="F14053" s="7" t="s">
        <v>17</v>
      </c>
      <c r="G14053" s="7">
        <v>4090190</v>
      </c>
      <c r="H14053" s="7">
        <v>2505</v>
      </c>
      <c r="I14053" s="7">
        <v>60</v>
      </c>
      <c r="J14053" s="7">
        <v>134</v>
      </c>
      <c r="K14053" s="7" t="s">
        <v>18</v>
      </c>
      <c r="L14053" s="8">
        <v>39987.315405092595</v>
      </c>
      <c r="M14053" s="9" t="s">
        <v>19</v>
      </c>
      <c r="N14053" s="9" t="s">
        <v>20</v>
      </c>
      <c r="O14053" s="6" t="str">
        <f>HYPERLINK("https://pbs.twimg.com/profile_images/962471262747529216/Uo8lOkRJ_normal.jpg","View")</f>
        <v>View</v>
      </c>
      <c r="P14053" s="7"/>
    </row>
    <row r="14054" spans="1:16">
      <c r="A14054" s="3">
        <v>44297.904548611114</v>
      </c>
      <c r="B14054" s="4" t="str">
        <f>HYPERLINK("https://twitter.com/petrogustavo","@petrogustavo")</f>
        <v>@petrogustavo</v>
      </c>
      <c r="C14054" s="5" t="s">
        <v>16</v>
      </c>
      <c r="D14054" s="5" t="s">
        <v>13523</v>
      </c>
      <c r="E14054" s="6" t="str">
        <f>HYPERLINK("https://twitter.com/petrogustavo/status/1381279011570122760","1381279011570122760")</f>
        <v>1381279011570122760</v>
      </c>
      <c r="F14054" s="7" t="s">
        <v>17</v>
      </c>
      <c r="G14054" s="7">
        <v>4090289</v>
      </c>
      <c r="H14054" s="7">
        <v>2505</v>
      </c>
      <c r="I14054" s="7">
        <v>88</v>
      </c>
      <c r="J14054" s="7">
        <v>223</v>
      </c>
      <c r="K14054" s="7" t="s">
        <v>18</v>
      </c>
      <c r="L14054" s="8">
        <v>39987.315405092595</v>
      </c>
      <c r="M14054" s="9" t="s">
        <v>19</v>
      </c>
      <c r="N14054" s="9" t="s">
        <v>20</v>
      </c>
      <c r="O14054" s="6" t="str">
        <f>HYPERLINK("https://pbs.twimg.com/profile_images/962471262747529216/Uo8lOkRJ_normal.jpg","View")</f>
        <v>View</v>
      </c>
      <c r="P14054" s="7"/>
    </row>
    <row r="14055" spans="1:16">
      <c r="A14055" s="3">
        <v>44297.945</v>
      </c>
      <c r="B14055" s="4" t="str">
        <f>HYPERLINK("https://twitter.com/petrogustavo","@petrogustavo")</f>
        <v>@petrogustavo</v>
      </c>
      <c r="C14055" s="5" t="s">
        <v>16</v>
      </c>
      <c r="D14055" s="5" t="s">
        <v>13524</v>
      </c>
      <c r="E14055" s="6" t="str">
        <f>HYPERLINK("https://twitter.com/petrogustavo/status/1381293669957910535","1381293669957910535")</f>
        <v>1381293669957910535</v>
      </c>
      <c r="F14055" s="7" t="s">
        <v>17</v>
      </c>
      <c r="G14055" s="7">
        <v>4090335</v>
      </c>
      <c r="H14055" s="7">
        <v>2505</v>
      </c>
      <c r="I14055" s="7">
        <v>326</v>
      </c>
      <c r="J14055" s="7">
        <v>0</v>
      </c>
      <c r="K14055" s="7" t="s">
        <v>18</v>
      </c>
      <c r="L14055" s="8">
        <v>39987.315405092595</v>
      </c>
      <c r="M14055" s="9" t="s">
        <v>19</v>
      </c>
      <c r="N14055" s="9" t="s">
        <v>20</v>
      </c>
      <c r="O14055" s="6" t="str">
        <f>HYPERLINK("https://pbs.twimg.com/profile_images/962471262747529216/Uo8lOkRJ_normal.jpg","View")</f>
        <v>View</v>
      </c>
      <c r="P14055" s="7"/>
    </row>
    <row r="14056" spans="1:16">
      <c r="A14056" s="3">
        <v>44297.945034722223</v>
      </c>
      <c r="B14056" s="4" t="str">
        <f>HYPERLINK("https://twitter.com/petrogustavo","@petrogustavo")</f>
        <v>@petrogustavo</v>
      </c>
      <c r="C14056" s="5" t="s">
        <v>16</v>
      </c>
      <c r="D14056" s="5" t="s">
        <v>13525</v>
      </c>
      <c r="E14056" s="6" t="str">
        <f>HYPERLINK("https://twitter.com/petrogustavo/status/1381293681622286342","1381293681622286342")</f>
        <v>1381293681622286342</v>
      </c>
      <c r="F14056" s="7" t="s">
        <v>17</v>
      </c>
      <c r="G14056" s="7">
        <v>4090335</v>
      </c>
      <c r="H14056" s="7">
        <v>2505</v>
      </c>
      <c r="I14056" s="7">
        <v>654</v>
      </c>
      <c r="J14056" s="7">
        <v>0</v>
      </c>
      <c r="K14056" s="7" t="s">
        <v>18</v>
      </c>
      <c r="L14056" s="8">
        <v>39987.315405092595</v>
      </c>
      <c r="M14056" s="9" t="s">
        <v>19</v>
      </c>
      <c r="N14056" s="9" t="s">
        <v>20</v>
      </c>
      <c r="O14056" s="6" t="str">
        <f>HYPERLINK("https://pbs.twimg.com/profile_images/962471262747529216/Uo8lOkRJ_normal.jpg","View")</f>
        <v>View</v>
      </c>
      <c r="P14056" s="7"/>
    </row>
    <row r="14057" spans="1:16">
      <c r="A14057" s="3">
        <v>44298.024467592593</v>
      </c>
      <c r="B14057" s="4" t="str">
        <f>HYPERLINK("https://twitter.com/petrogustavo","@petrogustavo")</f>
        <v>@petrogustavo</v>
      </c>
      <c r="C14057" s="5" t="s">
        <v>16</v>
      </c>
      <c r="D14057" s="5" t="s">
        <v>13526</v>
      </c>
      <c r="E14057" s="6" t="str">
        <f>HYPERLINK("https://twitter.com/petrogustavo/status/1381322467268956161","1381322467268956161")</f>
        <v>1381322467268956161</v>
      </c>
      <c r="F14057" s="7" t="s">
        <v>22</v>
      </c>
      <c r="G14057" s="7">
        <v>4090407</v>
      </c>
      <c r="H14057" s="7">
        <v>2505</v>
      </c>
      <c r="I14057" s="7">
        <v>109</v>
      </c>
      <c r="J14057" s="7">
        <v>203</v>
      </c>
      <c r="K14057" s="7" t="s">
        <v>18</v>
      </c>
      <c r="L14057" s="8">
        <v>39987.315405092595</v>
      </c>
      <c r="M14057" s="9" t="s">
        <v>19</v>
      </c>
      <c r="N14057" s="9" t="s">
        <v>20</v>
      </c>
      <c r="O14057" s="6" t="str">
        <f>HYPERLINK("https://pbs.twimg.com/profile_images/962471262747529216/Uo8lOkRJ_normal.jpg","View")</f>
        <v>View</v>
      </c>
      <c r="P14057" s="7"/>
    </row>
    <row r="14058" spans="1:16">
      <c r="A14058" s="3">
        <v>44298.5621412037</v>
      </c>
      <c r="B14058" s="4" t="str">
        <f>HYPERLINK("https://twitter.com/petrogustavo","@petrogustavo")</f>
        <v>@petrogustavo</v>
      </c>
      <c r="C14058" s="5" t="s">
        <v>16</v>
      </c>
      <c r="D14058" s="5" t="s">
        <v>13527</v>
      </c>
      <c r="E14058" s="6" t="str">
        <f>HYPERLINK("https://twitter.com/petrogustavo/status/1381517311719440384","1381517311719440384")</f>
        <v>1381517311719440384</v>
      </c>
      <c r="F14058" s="7" t="s">
        <v>17</v>
      </c>
      <c r="G14058" s="7">
        <v>4090840</v>
      </c>
      <c r="H14058" s="7">
        <v>2505</v>
      </c>
      <c r="I14058" s="7">
        <v>38</v>
      </c>
      <c r="J14058" s="7">
        <v>109</v>
      </c>
      <c r="K14058" s="7" t="s">
        <v>18</v>
      </c>
      <c r="L14058" s="8">
        <v>39987.315405092595</v>
      </c>
      <c r="M14058" s="9" t="s">
        <v>19</v>
      </c>
      <c r="N14058" s="9" t="s">
        <v>20</v>
      </c>
      <c r="O14058" s="6" t="str">
        <f>HYPERLINK("https://pbs.twimg.com/profile_images/962471262747529216/Uo8lOkRJ_normal.jpg","View")</f>
        <v>View</v>
      </c>
      <c r="P14058" s="7"/>
    </row>
    <row r="14059" spans="1:16">
      <c r="A14059" s="3">
        <v>44298.5621412037</v>
      </c>
      <c r="B14059" s="4" t="str">
        <f>HYPERLINK("https://twitter.com/petrogustavo","@petrogustavo")</f>
        <v>@petrogustavo</v>
      </c>
      <c r="C14059" s="5" t="s">
        <v>16</v>
      </c>
      <c r="D14059" s="5" t="s">
        <v>13528</v>
      </c>
      <c r="E14059" s="6" t="str">
        <f>HYPERLINK("https://twitter.com/petrogustavo/status/1381517313057382401","1381517313057382401")</f>
        <v>1381517313057382401</v>
      </c>
      <c r="F14059" s="7" t="s">
        <v>17</v>
      </c>
      <c r="G14059" s="7">
        <v>4090840</v>
      </c>
      <c r="H14059" s="7">
        <v>2505</v>
      </c>
      <c r="I14059" s="7">
        <v>13</v>
      </c>
      <c r="J14059" s="7">
        <v>63</v>
      </c>
      <c r="K14059" s="7" t="s">
        <v>18</v>
      </c>
      <c r="L14059" s="8">
        <v>39987.315405092595</v>
      </c>
      <c r="M14059" s="9" t="s">
        <v>19</v>
      </c>
      <c r="N14059" s="9" t="s">
        <v>20</v>
      </c>
      <c r="O14059" s="6" t="str">
        <f>HYPERLINK("https://pbs.twimg.com/profile_images/962471262747529216/Uo8lOkRJ_normal.jpg","View")</f>
        <v>View</v>
      </c>
      <c r="P14059" s="7"/>
    </row>
    <row r="14060" spans="1:16">
      <c r="A14060" s="3">
        <v>44298.5621412037</v>
      </c>
      <c r="B14060" s="4" t="str">
        <f>HYPERLINK("https://twitter.com/petrogustavo","@petrogustavo")</f>
        <v>@petrogustavo</v>
      </c>
      <c r="C14060" s="5" t="s">
        <v>16</v>
      </c>
      <c r="D14060" s="5" t="s">
        <v>13529</v>
      </c>
      <c r="E14060" s="6" t="str">
        <f>HYPERLINK("https://twitter.com/petrogustavo/status/1381517314462511104","1381517314462511104")</f>
        <v>1381517314462511104</v>
      </c>
      <c r="F14060" s="7" t="s">
        <v>17</v>
      </c>
      <c r="G14060" s="7">
        <v>4090840</v>
      </c>
      <c r="H14060" s="7">
        <v>2505</v>
      </c>
      <c r="I14060" s="7">
        <v>11</v>
      </c>
      <c r="J14060" s="7">
        <v>73</v>
      </c>
      <c r="K14060" s="7" t="s">
        <v>18</v>
      </c>
      <c r="L14060" s="8">
        <v>39987.315405092595</v>
      </c>
      <c r="M14060" s="9" t="s">
        <v>19</v>
      </c>
      <c r="N14060" s="9" t="s">
        <v>20</v>
      </c>
      <c r="O14060" s="6" t="str">
        <f>HYPERLINK("https://pbs.twimg.com/profile_images/962471262747529216/Uo8lOkRJ_normal.jpg","View")</f>
        <v>View</v>
      </c>
      <c r="P14060" s="7"/>
    </row>
    <row r="14061" spans="1:16">
      <c r="A14061" s="3">
        <v>44298.689432870371</v>
      </c>
      <c r="B14061" s="4" t="str">
        <f>HYPERLINK("https://twitter.com/petrogustavo","@petrogustavo")</f>
        <v>@petrogustavo</v>
      </c>
      <c r="C14061" s="5" t="s">
        <v>16</v>
      </c>
      <c r="D14061" s="5" t="s">
        <v>13530</v>
      </c>
      <c r="E14061" s="6" t="str">
        <f>HYPERLINK("https://twitter.com/petrogustavo/status/1381563444109971462","1381563444109971462")</f>
        <v>1381563444109971462</v>
      </c>
      <c r="F14061" s="7" t="s">
        <v>17</v>
      </c>
      <c r="G14061" s="7">
        <v>4090846</v>
      </c>
      <c r="H14061" s="7">
        <v>2505</v>
      </c>
      <c r="I14061" s="7">
        <v>27</v>
      </c>
      <c r="J14061" s="7">
        <v>93</v>
      </c>
      <c r="K14061" s="7" t="s">
        <v>18</v>
      </c>
      <c r="L14061" s="8">
        <v>39987.315405092595</v>
      </c>
      <c r="M14061" s="9" t="s">
        <v>19</v>
      </c>
      <c r="N14061" s="9" t="s">
        <v>20</v>
      </c>
      <c r="O14061" s="6" t="str">
        <f>HYPERLINK("https://pbs.twimg.com/profile_images/962471262747529216/Uo8lOkRJ_normal.jpg","View")</f>
        <v>View</v>
      </c>
      <c r="P14061" s="7"/>
    </row>
    <row r="14062" spans="1:16">
      <c r="A14062" s="3">
        <v>44298.785995370374</v>
      </c>
      <c r="B14062" s="4" t="str">
        <f>HYPERLINK("https://twitter.com/petrogustavo","@petrogustavo")</f>
        <v>@petrogustavo</v>
      </c>
      <c r="C14062" s="5" t="s">
        <v>16</v>
      </c>
      <c r="D14062" s="5" t="s">
        <v>13531</v>
      </c>
      <c r="E14062" s="6" t="str">
        <f>HYPERLINK("https://twitter.com/petrogustavo/status/1381598433530806277","1381598433530806277")</f>
        <v>1381598433530806277</v>
      </c>
      <c r="F14062" s="7" t="s">
        <v>17</v>
      </c>
      <c r="G14062" s="7">
        <v>4090956</v>
      </c>
      <c r="H14062" s="7">
        <v>2505</v>
      </c>
      <c r="I14062" s="7">
        <v>247</v>
      </c>
      <c r="J14062" s="7">
        <v>0</v>
      </c>
      <c r="K14062" s="7" t="s">
        <v>18</v>
      </c>
      <c r="L14062" s="8">
        <v>39987.315405092595</v>
      </c>
      <c r="M14062" s="9" t="s">
        <v>19</v>
      </c>
      <c r="N14062" s="9" t="s">
        <v>20</v>
      </c>
      <c r="O14062" s="6" t="str">
        <f>HYPERLINK("https://pbs.twimg.com/profile_images/962471262747529216/Uo8lOkRJ_normal.jpg","View")</f>
        <v>View</v>
      </c>
      <c r="P14062" s="7"/>
    </row>
    <row r="14063" spans="1:16">
      <c r="A14063" s="3">
        <v>44298.793402777781</v>
      </c>
      <c r="B14063" s="4" t="str">
        <f>HYPERLINK("https://twitter.com/petrogustavo","@petrogustavo")</f>
        <v>@petrogustavo</v>
      </c>
      <c r="C14063" s="5" t="s">
        <v>16</v>
      </c>
      <c r="D14063" s="5" t="s">
        <v>13532</v>
      </c>
      <c r="E14063" s="6" t="str">
        <f>HYPERLINK("https://twitter.com/petrogustavo/status/1381601119592398848","1381601119592398848")</f>
        <v>1381601119592398848</v>
      </c>
      <c r="F14063" s="7" t="s">
        <v>17</v>
      </c>
      <c r="G14063" s="7">
        <v>4090956</v>
      </c>
      <c r="H14063" s="7">
        <v>2505</v>
      </c>
      <c r="I14063" s="7">
        <v>492</v>
      </c>
      <c r="J14063" s="7">
        <v>0</v>
      </c>
      <c r="K14063" s="7" t="s">
        <v>18</v>
      </c>
      <c r="L14063" s="8">
        <v>39987.315405092595</v>
      </c>
      <c r="M14063" s="9" t="s">
        <v>19</v>
      </c>
      <c r="N14063" s="9" t="s">
        <v>20</v>
      </c>
      <c r="O14063" s="6" t="str">
        <f>HYPERLINK("https://pbs.twimg.com/profile_images/962471262747529216/Uo8lOkRJ_normal.jpg","View")</f>
        <v>View</v>
      </c>
      <c r="P14063" s="7"/>
    </row>
    <row r="14064" spans="1:16">
      <c r="A14064" s="3">
        <v>44298.798113425924</v>
      </c>
      <c r="B14064" s="4" t="str">
        <f>HYPERLINK("https://twitter.com/petrogustavo","@petrogustavo")</f>
        <v>@petrogustavo</v>
      </c>
      <c r="C14064" s="5" t="s">
        <v>16</v>
      </c>
      <c r="D14064" s="5" t="s">
        <v>13533</v>
      </c>
      <c r="E14064" s="6" t="str">
        <f>HYPERLINK("https://twitter.com/petrogustavo/status/1381602827697545219","1381602827697545219")</f>
        <v>1381602827697545219</v>
      </c>
      <c r="F14064" s="7" t="s">
        <v>17</v>
      </c>
      <c r="G14064" s="7">
        <v>4090956</v>
      </c>
      <c r="H14064" s="7">
        <v>2505</v>
      </c>
      <c r="I14064" s="7">
        <v>137</v>
      </c>
      <c r="J14064" s="7">
        <v>267</v>
      </c>
      <c r="K14064" s="7" t="s">
        <v>18</v>
      </c>
      <c r="L14064" s="8">
        <v>39987.315405092595</v>
      </c>
      <c r="M14064" s="9" t="s">
        <v>19</v>
      </c>
      <c r="N14064" s="9" t="s">
        <v>20</v>
      </c>
      <c r="O14064" s="6" t="str">
        <f>HYPERLINK("https://pbs.twimg.com/profile_images/962471262747529216/Uo8lOkRJ_normal.jpg","View")</f>
        <v>View</v>
      </c>
      <c r="P14064" s="7"/>
    </row>
    <row r="14065" spans="1:16">
      <c r="A14065" s="3">
        <v>44298.908645833333</v>
      </c>
      <c r="B14065" s="4" t="str">
        <f>HYPERLINK("https://twitter.com/petrogustavo","@petrogustavo")</f>
        <v>@petrogustavo</v>
      </c>
      <c r="C14065" s="5" t="s">
        <v>16</v>
      </c>
      <c r="D14065" s="5" t="s">
        <v>13534</v>
      </c>
      <c r="E14065" s="6" t="str">
        <f>HYPERLINK("https://twitter.com/petrogustavo/status/1381642882386436099","1381642882386436099")</f>
        <v>1381642882386436099</v>
      </c>
      <c r="F14065" s="7" t="s">
        <v>17</v>
      </c>
      <c r="G14065" s="7">
        <v>4091062</v>
      </c>
      <c r="H14065" s="7">
        <v>2506</v>
      </c>
      <c r="I14065" s="7">
        <v>569</v>
      </c>
      <c r="J14065" s="7">
        <v>968</v>
      </c>
      <c r="K14065" s="7" t="s">
        <v>18</v>
      </c>
      <c r="L14065" s="8">
        <v>39987.315405092595</v>
      </c>
      <c r="M14065" s="9" t="s">
        <v>19</v>
      </c>
      <c r="N14065" s="9" t="s">
        <v>20</v>
      </c>
      <c r="O14065" s="6" t="str">
        <f>HYPERLINK("https://pbs.twimg.com/profile_images/962471262747529216/Uo8lOkRJ_normal.jpg","View")</f>
        <v>View</v>
      </c>
      <c r="P14065" s="7"/>
    </row>
    <row r="14066" spans="1:16">
      <c r="A14066" s="3">
        <v>44298.942974537036</v>
      </c>
      <c r="B14066" s="4" t="str">
        <f>HYPERLINK("https://twitter.com/petrogustavo","@petrogustavo")</f>
        <v>@petrogustavo</v>
      </c>
      <c r="C14066" s="5" t="s">
        <v>16</v>
      </c>
      <c r="D14066" s="5" t="s">
        <v>13535</v>
      </c>
      <c r="E14066" s="6" t="str">
        <f>HYPERLINK("https://twitter.com/petrogustavo/status/1381655321937121284","1381655321937121284")</f>
        <v>1381655321937121284</v>
      </c>
      <c r="F14066" s="7" t="s">
        <v>17</v>
      </c>
      <c r="G14066" s="7">
        <v>4091079</v>
      </c>
      <c r="H14066" s="7">
        <v>2506</v>
      </c>
      <c r="I14066" s="7">
        <v>1291</v>
      </c>
      <c r="J14066" s="7">
        <v>0</v>
      </c>
      <c r="K14066" s="7" t="s">
        <v>18</v>
      </c>
      <c r="L14066" s="8">
        <v>39987.315405092595</v>
      </c>
      <c r="M14066" s="9" t="s">
        <v>19</v>
      </c>
      <c r="N14066" s="9" t="s">
        <v>20</v>
      </c>
      <c r="O14066" s="6" t="str">
        <f>HYPERLINK("https://pbs.twimg.com/profile_images/962471262747529216/Uo8lOkRJ_normal.jpg","View")</f>
        <v>View</v>
      </c>
      <c r="P14066" s="7"/>
    </row>
    <row r="14067" spans="1:16">
      <c r="A14067" s="3">
        <v>44299.721944444449</v>
      </c>
      <c r="B14067" s="4" t="str">
        <f>HYPERLINK("https://twitter.com/petrogustavo","@petrogustavo")</f>
        <v>@petrogustavo</v>
      </c>
      <c r="C14067" s="5" t="s">
        <v>16</v>
      </c>
      <c r="D14067" s="5" t="s">
        <v>13536</v>
      </c>
      <c r="E14067" s="6" t="str">
        <f>HYPERLINK("https://twitter.com/petrogustavo/status/1381937610856222721","1381937610856222721")</f>
        <v>1381937610856222721</v>
      </c>
      <c r="F14067" s="7" t="s">
        <v>17</v>
      </c>
      <c r="G14067" s="7">
        <v>4091545</v>
      </c>
      <c r="H14067" s="7">
        <v>2508</v>
      </c>
      <c r="I14067" s="7">
        <v>286</v>
      </c>
      <c r="J14067" s="7">
        <v>968</v>
      </c>
      <c r="K14067" s="7" t="s">
        <v>18</v>
      </c>
      <c r="L14067" s="8">
        <v>39987.315405092595</v>
      </c>
      <c r="M14067" s="9" t="s">
        <v>19</v>
      </c>
      <c r="N14067" s="9" t="s">
        <v>20</v>
      </c>
      <c r="O14067" s="6" t="str">
        <f>HYPERLINK("https://pbs.twimg.com/profile_images/962471262747529216/Uo8lOkRJ_normal.jpg","View")</f>
        <v>View</v>
      </c>
      <c r="P14067" s="7"/>
    </row>
    <row r="14068" spans="1:16">
      <c r="A14068" s="3">
        <v>44300.049571759257</v>
      </c>
      <c r="B14068" s="4" t="str">
        <f>HYPERLINK("https://twitter.com/petrogustavo","@petrogustavo")</f>
        <v>@petrogustavo</v>
      </c>
      <c r="C14068" s="5" t="s">
        <v>16</v>
      </c>
      <c r="D14068" s="5" t="s">
        <v>13535</v>
      </c>
      <c r="E14068" s="6" t="str">
        <f>HYPERLINK("https://twitter.com/petrogustavo/status/1382056341649375233","1382056341649375233")</f>
        <v>1382056341649375233</v>
      </c>
      <c r="F14068" s="7" t="s">
        <v>17</v>
      </c>
      <c r="G14068" s="7">
        <v>4091810</v>
      </c>
      <c r="H14068" s="7">
        <v>2508</v>
      </c>
      <c r="I14068" s="7">
        <v>2831</v>
      </c>
      <c r="J14068" s="7">
        <v>0</v>
      </c>
      <c r="K14068" s="7" t="s">
        <v>18</v>
      </c>
      <c r="L14068" s="8">
        <v>39987.315405092595</v>
      </c>
      <c r="M14068" s="9" t="s">
        <v>19</v>
      </c>
      <c r="N14068" s="9" t="s">
        <v>20</v>
      </c>
      <c r="O14068" s="6" t="str">
        <f>HYPERLINK("https://pbs.twimg.com/profile_images/962471262747529216/Uo8lOkRJ_normal.jpg","View")</f>
        <v>View</v>
      </c>
      <c r="P14068" s="7"/>
    </row>
    <row r="14069" spans="1:16">
      <c r="A14069" s="3">
        <v>44300.053564814814</v>
      </c>
      <c r="B14069" s="4" t="str">
        <f>HYPERLINK("https://twitter.com/petrogustavo","@petrogustavo")</f>
        <v>@petrogustavo</v>
      </c>
      <c r="C14069" s="5" t="s">
        <v>16</v>
      </c>
      <c r="D14069" s="5" t="s">
        <v>13537</v>
      </c>
      <c r="E14069" s="6" t="str">
        <f>HYPERLINK("https://twitter.com/petrogustavo/status/1382057785416900608","1382057785416900608")</f>
        <v>1382057785416900608</v>
      </c>
      <c r="F14069" s="7" t="s">
        <v>17</v>
      </c>
      <c r="G14069" s="7">
        <v>4091810</v>
      </c>
      <c r="H14069" s="7">
        <v>2508</v>
      </c>
      <c r="I14069" s="7">
        <v>9</v>
      </c>
      <c r="J14069" s="7">
        <v>23</v>
      </c>
      <c r="K14069" s="7" t="s">
        <v>18</v>
      </c>
      <c r="L14069" s="8">
        <v>39987.315405092595</v>
      </c>
      <c r="M14069" s="9" t="s">
        <v>19</v>
      </c>
      <c r="N14069" s="9" t="s">
        <v>20</v>
      </c>
      <c r="O14069" s="6" t="str">
        <f>HYPERLINK("https://pbs.twimg.com/profile_images/962471262747529216/Uo8lOkRJ_normal.jpg","View")</f>
        <v>View</v>
      </c>
      <c r="P14069" s="7"/>
    </row>
    <row r="14070" spans="1:16">
      <c r="A14070" s="3">
        <v>44300.054803240739</v>
      </c>
      <c r="B14070" s="4" t="str">
        <f>HYPERLINK("https://twitter.com/petrogustavo","@petrogustavo")</f>
        <v>@petrogustavo</v>
      </c>
      <c r="C14070" s="5" t="s">
        <v>16</v>
      </c>
      <c r="D14070" s="5" t="s">
        <v>13538</v>
      </c>
      <c r="E14070" s="6" t="str">
        <f>HYPERLINK("https://twitter.com/petrogustavo/status/1382058237311258626","1382058237311258626")</f>
        <v>1382058237311258626</v>
      </c>
      <c r="F14070" s="7" t="s">
        <v>17</v>
      </c>
      <c r="G14070" s="7">
        <v>4091830</v>
      </c>
      <c r="H14070" s="7">
        <v>2508</v>
      </c>
      <c r="I14070" s="7">
        <v>113</v>
      </c>
      <c r="J14070" s="7">
        <v>0</v>
      </c>
      <c r="K14070" s="7" t="s">
        <v>18</v>
      </c>
      <c r="L14070" s="8">
        <v>39987.315405092595</v>
      </c>
      <c r="M14070" s="9" t="s">
        <v>19</v>
      </c>
      <c r="N14070" s="9" t="s">
        <v>20</v>
      </c>
      <c r="O14070" s="6" t="str">
        <f>HYPERLINK("https://pbs.twimg.com/profile_images/962471262747529216/Uo8lOkRJ_normal.jpg","View")</f>
        <v>View</v>
      </c>
      <c r="P14070" s="7"/>
    </row>
    <row r="14071" spans="1:16">
      <c r="A14071" s="3">
        <v>44300.060023148151</v>
      </c>
      <c r="B14071" s="4" t="str">
        <f>HYPERLINK("https://twitter.com/petrogustavo","@petrogustavo")</f>
        <v>@petrogustavo</v>
      </c>
      <c r="C14071" s="5" t="s">
        <v>16</v>
      </c>
      <c r="D14071" s="5" t="s">
        <v>13539</v>
      </c>
      <c r="E14071" s="6" t="str">
        <f>HYPERLINK("https://twitter.com/petrogustavo/status/1382060129512742913","1382060129512742913")</f>
        <v>1382060129512742913</v>
      </c>
      <c r="F14071" s="7" t="s">
        <v>17</v>
      </c>
      <c r="G14071" s="7">
        <v>4091830</v>
      </c>
      <c r="H14071" s="7">
        <v>2508</v>
      </c>
      <c r="I14071" s="7">
        <v>105</v>
      </c>
      <c r="J14071" s="7">
        <v>0</v>
      </c>
      <c r="K14071" s="7" t="s">
        <v>18</v>
      </c>
      <c r="L14071" s="8">
        <v>39987.315405092595</v>
      </c>
      <c r="M14071" s="9" t="s">
        <v>19</v>
      </c>
      <c r="N14071" s="9" t="s">
        <v>20</v>
      </c>
      <c r="O14071" s="6" t="str">
        <f>HYPERLINK("https://pbs.twimg.com/profile_images/962471262747529216/Uo8lOkRJ_normal.jpg","View")</f>
        <v>View</v>
      </c>
      <c r="P14071" s="7"/>
    </row>
    <row r="14072" spans="1:16">
      <c r="A14072" s="3">
        <v>44300.061284722222</v>
      </c>
      <c r="B14072" s="4" t="str">
        <f>HYPERLINK("https://twitter.com/petrogustavo","@petrogustavo")</f>
        <v>@petrogustavo</v>
      </c>
      <c r="C14072" s="5" t="s">
        <v>16</v>
      </c>
      <c r="D14072" s="5" t="s">
        <v>13540</v>
      </c>
      <c r="E14072" s="6" t="str">
        <f>HYPERLINK("https://twitter.com/petrogustavo/status/1382060584108179460","1382060584108179460")</f>
        <v>1382060584108179460</v>
      </c>
      <c r="F14072" s="7" t="s">
        <v>17</v>
      </c>
      <c r="G14072" s="7">
        <v>4091830</v>
      </c>
      <c r="H14072" s="7">
        <v>2508</v>
      </c>
      <c r="I14072" s="7">
        <v>243</v>
      </c>
      <c r="J14072" s="7">
        <v>0</v>
      </c>
      <c r="K14072" s="7" t="s">
        <v>18</v>
      </c>
      <c r="L14072" s="8">
        <v>39987.315405092595</v>
      </c>
      <c r="M14072" s="9" t="s">
        <v>19</v>
      </c>
      <c r="N14072" s="9" t="s">
        <v>20</v>
      </c>
      <c r="O14072" s="6" t="str">
        <f>HYPERLINK("https://pbs.twimg.com/profile_images/962471262747529216/Uo8lOkRJ_normal.jpg","View")</f>
        <v>View</v>
      </c>
      <c r="P14072" s="7"/>
    </row>
    <row r="14073" spans="1:16">
      <c r="A14073" s="3">
        <v>44300.061724537038</v>
      </c>
      <c r="B14073" s="4" t="str">
        <f>HYPERLINK("https://twitter.com/petrogustavo","@petrogustavo")</f>
        <v>@petrogustavo</v>
      </c>
      <c r="C14073" s="5" t="s">
        <v>16</v>
      </c>
      <c r="D14073" s="5" t="s">
        <v>13541</v>
      </c>
      <c r="E14073" s="6" t="str">
        <f>HYPERLINK("https://twitter.com/petrogustavo/status/1382060743336587272","1382060743336587272")</f>
        <v>1382060743336587272</v>
      </c>
      <c r="F14073" s="7" t="s">
        <v>17</v>
      </c>
      <c r="G14073" s="7">
        <v>4091830</v>
      </c>
      <c r="H14073" s="7">
        <v>2508</v>
      </c>
      <c r="I14073" s="7">
        <v>266</v>
      </c>
      <c r="J14073" s="7">
        <v>0</v>
      </c>
      <c r="K14073" s="7" t="s">
        <v>18</v>
      </c>
      <c r="L14073" s="8">
        <v>39987.315405092595</v>
      </c>
      <c r="M14073" s="9" t="s">
        <v>19</v>
      </c>
      <c r="N14073" s="9" t="s">
        <v>20</v>
      </c>
      <c r="O14073" s="6" t="str">
        <f>HYPERLINK("https://pbs.twimg.com/profile_images/962471262747529216/Uo8lOkRJ_normal.jpg","View")</f>
        <v>View</v>
      </c>
      <c r="P14073" s="7"/>
    </row>
    <row r="14074" spans="1:16">
      <c r="A14074" s="3">
        <v>44300.0784837963</v>
      </c>
      <c r="B14074" s="4" t="str">
        <f>HYPERLINK("https://twitter.com/petrogustavo","@petrogustavo")</f>
        <v>@petrogustavo</v>
      </c>
      <c r="C14074" s="5" t="s">
        <v>16</v>
      </c>
      <c r="D14074" s="5" t="s">
        <v>13542</v>
      </c>
      <c r="E14074" s="6" t="str">
        <f>HYPERLINK("https://twitter.com/petrogustavo/status/1382066818118995981","1382066818118995981")</f>
        <v>1382066818118995981</v>
      </c>
      <c r="F14074" s="7" t="s">
        <v>17</v>
      </c>
      <c r="G14074" s="7">
        <v>4091849</v>
      </c>
      <c r="H14074" s="7">
        <v>2508</v>
      </c>
      <c r="I14074" s="7">
        <v>35</v>
      </c>
      <c r="J14074" s="7">
        <v>0</v>
      </c>
      <c r="K14074" s="7" t="s">
        <v>18</v>
      </c>
      <c r="L14074" s="8">
        <v>39987.315405092595</v>
      </c>
      <c r="M14074" s="9" t="s">
        <v>19</v>
      </c>
      <c r="N14074" s="9" t="s">
        <v>20</v>
      </c>
      <c r="O14074" s="6" t="str">
        <f>HYPERLINK("https://pbs.twimg.com/profile_images/962471262747529216/Uo8lOkRJ_normal.jpg","View")</f>
        <v>View</v>
      </c>
      <c r="P14074" s="7"/>
    </row>
    <row r="14075" spans="1:16">
      <c r="A14075" s="3">
        <v>44300.081608796296</v>
      </c>
      <c r="B14075" s="4" t="str">
        <f>HYPERLINK("https://twitter.com/petrogustavo","@petrogustavo")</f>
        <v>@petrogustavo</v>
      </c>
      <c r="C14075" s="5" t="s">
        <v>16</v>
      </c>
      <c r="D14075" s="5" t="s">
        <v>13543</v>
      </c>
      <c r="E14075" s="6" t="str">
        <f>HYPERLINK("https://twitter.com/petrogustavo/status/1382067951742951424","1382067951742951424")</f>
        <v>1382067951742951424</v>
      </c>
      <c r="F14075" s="7" t="s">
        <v>17</v>
      </c>
      <c r="G14075" s="7">
        <v>4091849</v>
      </c>
      <c r="H14075" s="7">
        <v>2508</v>
      </c>
      <c r="I14075" s="7">
        <v>31</v>
      </c>
      <c r="J14075" s="7">
        <v>0</v>
      </c>
      <c r="K14075" s="7" t="s">
        <v>18</v>
      </c>
      <c r="L14075" s="8">
        <v>39987.315405092595</v>
      </c>
      <c r="M14075" s="9" t="s">
        <v>19</v>
      </c>
      <c r="N14075" s="9" t="s">
        <v>20</v>
      </c>
      <c r="O14075" s="6" t="str">
        <f>HYPERLINK("https://pbs.twimg.com/profile_images/962471262747529216/Uo8lOkRJ_normal.jpg","View")</f>
        <v>View</v>
      </c>
      <c r="P14075" s="7"/>
    </row>
    <row r="14076" spans="1:16">
      <c r="A14076" s="3">
        <v>44300.083541666667</v>
      </c>
      <c r="B14076" s="4" t="str">
        <f>HYPERLINK("https://twitter.com/petrogustavo","@petrogustavo")</f>
        <v>@petrogustavo</v>
      </c>
      <c r="C14076" s="5" t="s">
        <v>16</v>
      </c>
      <c r="D14076" s="5" t="s">
        <v>13544</v>
      </c>
      <c r="E14076" s="6" t="str">
        <f>HYPERLINK("https://twitter.com/petrogustavo/status/1382068651185033216","1382068651185033216")</f>
        <v>1382068651185033216</v>
      </c>
      <c r="F14076" s="7" t="s">
        <v>17</v>
      </c>
      <c r="G14076" s="7">
        <v>4091849</v>
      </c>
      <c r="H14076" s="7">
        <v>2508</v>
      </c>
      <c r="I14076" s="7">
        <v>125</v>
      </c>
      <c r="J14076" s="7">
        <v>347</v>
      </c>
      <c r="K14076" s="7" t="s">
        <v>18</v>
      </c>
      <c r="L14076" s="8">
        <v>39987.315405092595</v>
      </c>
      <c r="M14076" s="9" t="s">
        <v>19</v>
      </c>
      <c r="N14076" s="9" t="s">
        <v>20</v>
      </c>
      <c r="O14076" s="6" t="str">
        <f>HYPERLINK("https://pbs.twimg.com/profile_images/962471262747529216/Uo8lOkRJ_normal.jpg","View")</f>
        <v>View</v>
      </c>
      <c r="P14076" s="7"/>
    </row>
    <row r="14077" spans="1:16">
      <c r="A14077" s="3">
        <v>44300.08997685185</v>
      </c>
      <c r="B14077" s="4" t="str">
        <f>HYPERLINK("https://twitter.com/petrogustavo","@petrogustavo")</f>
        <v>@petrogustavo</v>
      </c>
      <c r="C14077" s="5" t="s">
        <v>16</v>
      </c>
      <c r="D14077" s="5" t="s">
        <v>13545</v>
      </c>
      <c r="E14077" s="6" t="str">
        <f>HYPERLINK("https://twitter.com/petrogustavo/status/1382070983436165128","1382070983436165128")</f>
        <v>1382070983436165128</v>
      </c>
      <c r="F14077" s="7" t="s">
        <v>17</v>
      </c>
      <c r="G14077" s="7">
        <v>4091849</v>
      </c>
      <c r="H14077" s="7">
        <v>2508</v>
      </c>
      <c r="I14077" s="7">
        <v>59</v>
      </c>
      <c r="J14077" s="7">
        <v>0</v>
      </c>
      <c r="K14077" s="7" t="s">
        <v>18</v>
      </c>
      <c r="L14077" s="8">
        <v>39987.315405092595</v>
      </c>
      <c r="M14077" s="9" t="s">
        <v>19</v>
      </c>
      <c r="N14077" s="9" t="s">
        <v>20</v>
      </c>
      <c r="O14077" s="6" t="str">
        <f>HYPERLINK("https://pbs.twimg.com/profile_images/962471262747529216/Uo8lOkRJ_normal.jpg","View")</f>
        <v>View</v>
      </c>
      <c r="P14077" s="7"/>
    </row>
    <row r="14078" spans="1:16">
      <c r="A14078" s="3">
        <v>44300.091331018513</v>
      </c>
      <c r="B14078" s="4" t="str">
        <f>HYPERLINK("https://twitter.com/petrogustavo","@petrogustavo")</f>
        <v>@petrogustavo</v>
      </c>
      <c r="C14078" s="5" t="s">
        <v>16</v>
      </c>
      <c r="D14078" s="5" t="s">
        <v>13546</v>
      </c>
      <c r="E14078" s="6" t="str">
        <f>HYPERLINK("https://twitter.com/petrogustavo/status/1382071473599299584","1382071473599299584")</f>
        <v>1382071473599299584</v>
      </c>
      <c r="F14078" s="7" t="s">
        <v>17</v>
      </c>
      <c r="G14078" s="7">
        <v>4091849</v>
      </c>
      <c r="H14078" s="7">
        <v>2508</v>
      </c>
      <c r="I14078" s="7">
        <v>29</v>
      </c>
      <c r="J14078" s="7">
        <v>0</v>
      </c>
      <c r="K14078" s="7" t="s">
        <v>18</v>
      </c>
      <c r="L14078" s="8">
        <v>39987.315405092595</v>
      </c>
      <c r="M14078" s="9" t="s">
        <v>19</v>
      </c>
      <c r="N14078" s="9" t="s">
        <v>20</v>
      </c>
      <c r="O14078" s="6" t="str">
        <f>HYPERLINK("https://pbs.twimg.com/profile_images/962471262747529216/Uo8lOkRJ_normal.jpg","View")</f>
        <v>View</v>
      </c>
      <c r="P14078" s="7"/>
    </row>
    <row r="14079" spans="1:16">
      <c r="A14079" s="3">
        <v>44300.094282407408</v>
      </c>
      <c r="B14079" s="4" t="str">
        <f>HYPERLINK("https://twitter.com/petrogustavo","@petrogustavo")</f>
        <v>@petrogustavo</v>
      </c>
      <c r="C14079" s="5" t="s">
        <v>16</v>
      </c>
      <c r="D14079" s="5" t="s">
        <v>13547</v>
      </c>
      <c r="E14079" s="6" t="str">
        <f>HYPERLINK("https://twitter.com/petrogustavo/status/1382072544543571971","1382072544543571971")</f>
        <v>1382072544543571971</v>
      </c>
      <c r="F14079" s="7" t="s">
        <v>17</v>
      </c>
      <c r="G14079" s="7">
        <v>4091849</v>
      </c>
      <c r="H14079" s="7">
        <v>2508</v>
      </c>
      <c r="I14079" s="7">
        <v>774</v>
      </c>
      <c r="J14079" s="7">
        <v>0</v>
      </c>
      <c r="K14079" s="7" t="s">
        <v>18</v>
      </c>
      <c r="L14079" s="8">
        <v>39987.315405092595</v>
      </c>
      <c r="M14079" s="9" t="s">
        <v>19</v>
      </c>
      <c r="N14079" s="9" t="s">
        <v>20</v>
      </c>
      <c r="O14079" s="6" t="str">
        <f>HYPERLINK("https://pbs.twimg.com/profile_images/962471262747529216/Uo8lOkRJ_normal.jpg","View")</f>
        <v>View</v>
      </c>
      <c r="P14079" s="7"/>
    </row>
    <row r="14080" spans="1:16">
      <c r="A14080" s="3">
        <v>44300.094409722224</v>
      </c>
      <c r="B14080" s="4" t="str">
        <f>HYPERLINK("https://twitter.com/petrogustavo","@petrogustavo")</f>
        <v>@petrogustavo</v>
      </c>
      <c r="C14080" s="5" t="s">
        <v>16</v>
      </c>
      <c r="D14080" s="5" t="s">
        <v>13548</v>
      </c>
      <c r="E14080" s="6" t="str">
        <f>HYPERLINK("https://twitter.com/petrogustavo/status/1382072589456146433","1382072589456146433")</f>
        <v>1382072589456146433</v>
      </c>
      <c r="F14080" s="7" t="s">
        <v>17</v>
      </c>
      <c r="G14080" s="7">
        <v>4091849</v>
      </c>
      <c r="H14080" s="7">
        <v>2508</v>
      </c>
      <c r="I14080" s="7">
        <v>114</v>
      </c>
      <c r="J14080" s="7">
        <v>0</v>
      </c>
      <c r="K14080" s="7" t="s">
        <v>18</v>
      </c>
      <c r="L14080" s="8">
        <v>39987.315405092595</v>
      </c>
      <c r="M14080" s="9" t="s">
        <v>19</v>
      </c>
      <c r="N14080" s="9" t="s">
        <v>20</v>
      </c>
      <c r="O14080" s="6" t="str">
        <f>HYPERLINK("https://pbs.twimg.com/profile_images/962471262747529216/Uo8lOkRJ_normal.jpg","View")</f>
        <v>View</v>
      </c>
      <c r="P14080" s="7"/>
    </row>
    <row r="14081" spans="1:16">
      <c r="A14081" s="3">
        <v>44300.096319444448</v>
      </c>
      <c r="B14081" s="4" t="str">
        <f>HYPERLINK("https://twitter.com/petrogustavo","@petrogustavo")</f>
        <v>@petrogustavo</v>
      </c>
      <c r="C14081" s="5" t="s">
        <v>16</v>
      </c>
      <c r="D14081" s="5" t="s">
        <v>13549</v>
      </c>
      <c r="E14081" s="6" t="str">
        <f>HYPERLINK("https://twitter.com/petrogustavo/status/1382073279603740676","1382073279603740676")</f>
        <v>1382073279603740676</v>
      </c>
      <c r="F14081" s="7" t="s">
        <v>17</v>
      </c>
      <c r="G14081" s="7">
        <v>4091865</v>
      </c>
      <c r="H14081" s="7">
        <v>2508</v>
      </c>
      <c r="I14081" s="7">
        <v>207</v>
      </c>
      <c r="J14081" s="7">
        <v>610</v>
      </c>
      <c r="K14081" s="7" t="s">
        <v>18</v>
      </c>
      <c r="L14081" s="8">
        <v>39987.315405092595</v>
      </c>
      <c r="M14081" s="9" t="s">
        <v>19</v>
      </c>
      <c r="N14081" s="9" t="s">
        <v>20</v>
      </c>
      <c r="O14081" s="6" t="str">
        <f>HYPERLINK("https://pbs.twimg.com/profile_images/962471262747529216/Uo8lOkRJ_normal.jpg","View")</f>
        <v>View</v>
      </c>
      <c r="P14081" s="7"/>
    </row>
    <row r="14082" spans="1:16">
      <c r="A14082" s="3">
        <v>44300.107997685191</v>
      </c>
      <c r="B14082" s="4" t="str">
        <f>HYPERLINK("https://twitter.com/petrogustavo","@petrogustavo")</f>
        <v>@petrogustavo</v>
      </c>
      <c r="C14082" s="5" t="s">
        <v>16</v>
      </c>
      <c r="D14082" s="5" t="s">
        <v>13550</v>
      </c>
      <c r="E14082" s="6" t="str">
        <f>HYPERLINK("https://twitter.com/petrogustavo/status/1382077514189828104","1382077514189828104")</f>
        <v>1382077514189828104</v>
      </c>
      <c r="F14082" s="7" t="s">
        <v>17</v>
      </c>
      <c r="G14082" s="7">
        <v>4091865</v>
      </c>
      <c r="H14082" s="7">
        <v>2508</v>
      </c>
      <c r="I14082" s="7">
        <v>62</v>
      </c>
      <c r="J14082" s="7">
        <v>142</v>
      </c>
      <c r="K14082" s="7" t="s">
        <v>18</v>
      </c>
      <c r="L14082" s="8">
        <v>39987.315405092595</v>
      </c>
      <c r="M14082" s="9" t="s">
        <v>19</v>
      </c>
      <c r="N14082" s="9" t="s">
        <v>20</v>
      </c>
      <c r="O14082" s="6" t="str">
        <f>HYPERLINK("https://pbs.twimg.com/profile_images/962471262747529216/Uo8lOkRJ_normal.jpg","View")</f>
        <v>View</v>
      </c>
      <c r="P14082" s="7"/>
    </row>
    <row r="14083" spans="1:16">
      <c r="A14083" s="3">
        <v>44300.10800925926</v>
      </c>
      <c r="B14083" s="4" t="str">
        <f>HYPERLINK("https://twitter.com/petrogustavo","@petrogustavo")</f>
        <v>@petrogustavo</v>
      </c>
      <c r="C14083" s="5" t="s">
        <v>16</v>
      </c>
      <c r="D14083" s="5" t="s">
        <v>13551</v>
      </c>
      <c r="E14083" s="6" t="str">
        <f>HYPERLINK("https://twitter.com/petrogustavo/status/1382077517830483973","1382077517830483973")</f>
        <v>1382077517830483973</v>
      </c>
      <c r="F14083" s="7" t="s">
        <v>17</v>
      </c>
      <c r="G14083" s="7">
        <v>4091865</v>
      </c>
      <c r="H14083" s="7">
        <v>2508</v>
      </c>
      <c r="I14083" s="7">
        <v>7</v>
      </c>
      <c r="J14083" s="7">
        <v>20</v>
      </c>
      <c r="K14083" s="7" t="s">
        <v>18</v>
      </c>
      <c r="L14083" s="8">
        <v>39987.315405092595</v>
      </c>
      <c r="M14083" s="9" t="s">
        <v>19</v>
      </c>
      <c r="N14083" s="9" t="s">
        <v>20</v>
      </c>
      <c r="O14083" s="6" t="str">
        <f>HYPERLINK("https://pbs.twimg.com/profile_images/962471262747529216/Uo8lOkRJ_normal.jpg","View")</f>
        <v>View</v>
      </c>
      <c r="P14083" s="7"/>
    </row>
    <row r="14084" spans="1:16">
      <c r="A14084" s="3">
        <v>44300.10802083333</v>
      </c>
      <c r="B14084" s="4" t="str">
        <f>HYPERLINK("https://twitter.com/petrogustavo","@petrogustavo")</f>
        <v>@petrogustavo</v>
      </c>
      <c r="C14084" s="5" t="s">
        <v>16</v>
      </c>
      <c r="D14084" s="5" t="s">
        <v>13552</v>
      </c>
      <c r="E14084" s="6" t="str">
        <f>HYPERLINK("https://twitter.com/petrogustavo/status/1382077519323656198","1382077519323656198")</f>
        <v>1382077519323656198</v>
      </c>
      <c r="F14084" s="7" t="s">
        <v>17</v>
      </c>
      <c r="G14084" s="7">
        <v>4091865</v>
      </c>
      <c r="H14084" s="7">
        <v>2508</v>
      </c>
      <c r="I14084" s="7">
        <v>6</v>
      </c>
      <c r="J14084" s="7">
        <v>29</v>
      </c>
      <c r="K14084" s="7" t="s">
        <v>18</v>
      </c>
      <c r="L14084" s="8">
        <v>39987.315405092595</v>
      </c>
      <c r="M14084" s="9" t="s">
        <v>19</v>
      </c>
      <c r="N14084" s="9" t="s">
        <v>20</v>
      </c>
      <c r="O14084" s="6" t="str">
        <f>HYPERLINK("https://pbs.twimg.com/profile_images/962471262747529216/Uo8lOkRJ_normal.jpg","View")</f>
        <v>View</v>
      </c>
      <c r="P14084" s="7"/>
    </row>
    <row r="14085" spans="1:16">
      <c r="A14085" s="3">
        <v>44300.108043981483</v>
      </c>
      <c r="B14085" s="4" t="str">
        <f>HYPERLINK("https://twitter.com/petrogustavo","@petrogustavo")</f>
        <v>@petrogustavo</v>
      </c>
      <c r="C14085" s="5" t="s">
        <v>16</v>
      </c>
      <c r="D14085" s="5" t="s">
        <v>13553</v>
      </c>
      <c r="E14085" s="6" t="str">
        <f>HYPERLINK("https://twitter.com/petrogustavo/status/1382077530094641157","1382077530094641157")</f>
        <v>1382077530094641157</v>
      </c>
      <c r="F14085" s="7" t="s">
        <v>17</v>
      </c>
      <c r="G14085" s="7">
        <v>4091865</v>
      </c>
      <c r="H14085" s="7">
        <v>2508</v>
      </c>
      <c r="I14085" s="7">
        <v>26</v>
      </c>
      <c r="J14085" s="7">
        <v>78</v>
      </c>
      <c r="K14085" s="7" t="s">
        <v>18</v>
      </c>
      <c r="L14085" s="8">
        <v>39987.315405092595</v>
      </c>
      <c r="M14085" s="9" t="s">
        <v>19</v>
      </c>
      <c r="N14085" s="9" t="s">
        <v>20</v>
      </c>
      <c r="O14085" s="6" t="str">
        <f>HYPERLINK("https://pbs.twimg.com/profile_images/962471262747529216/Uo8lOkRJ_normal.jpg","View")</f>
        <v>View</v>
      </c>
      <c r="P14085" s="7"/>
    </row>
    <row r="14086" spans="1:16">
      <c r="A14086" s="3">
        <v>44300.108055555553</v>
      </c>
      <c r="B14086" s="4" t="str">
        <f>HYPERLINK("https://twitter.com/petrogustavo","@petrogustavo")</f>
        <v>@petrogustavo</v>
      </c>
      <c r="C14086" s="5" t="s">
        <v>16</v>
      </c>
      <c r="D14086" s="5" t="s">
        <v>13554</v>
      </c>
      <c r="E14086" s="6" t="str">
        <f>HYPERLINK("https://twitter.com/petrogustavo/status/1382077533869510665","1382077533869510665")</f>
        <v>1382077533869510665</v>
      </c>
      <c r="F14086" s="7" t="s">
        <v>17</v>
      </c>
      <c r="G14086" s="7">
        <v>4091865</v>
      </c>
      <c r="H14086" s="7">
        <v>2508</v>
      </c>
      <c r="I14086" s="7">
        <v>27</v>
      </c>
      <c r="J14086" s="7">
        <v>89</v>
      </c>
      <c r="K14086" s="7" t="s">
        <v>18</v>
      </c>
      <c r="L14086" s="8">
        <v>39987.315405092595</v>
      </c>
      <c r="M14086" s="9" t="s">
        <v>19</v>
      </c>
      <c r="N14086" s="9" t="s">
        <v>20</v>
      </c>
      <c r="O14086" s="6" t="str">
        <f>HYPERLINK("https://pbs.twimg.com/profile_images/962471262747529216/Uo8lOkRJ_normal.jpg","View")</f>
        <v>View</v>
      </c>
      <c r="P14086" s="7"/>
    </row>
    <row r="14087" spans="1:16">
      <c r="A14087" s="3">
        <v>44300.601689814815</v>
      </c>
      <c r="B14087" s="4" t="str">
        <f>HYPERLINK("https://twitter.com/petrogustavo","@petrogustavo")</f>
        <v>@petrogustavo</v>
      </c>
      <c r="C14087" s="5" t="s">
        <v>16</v>
      </c>
      <c r="D14087" s="5" t="s">
        <v>13555</v>
      </c>
      <c r="E14087" s="6" t="str">
        <f>HYPERLINK("https://twitter.com/petrogustavo/status/1382256420146544640","1382256420146544640")</f>
        <v>1382256420146544640</v>
      </c>
      <c r="F14087" s="7" t="s">
        <v>17</v>
      </c>
      <c r="G14087" s="7">
        <v>4092141</v>
      </c>
      <c r="H14087" s="7">
        <v>2507</v>
      </c>
      <c r="I14087" s="7">
        <v>70</v>
      </c>
      <c r="J14087" s="7">
        <v>0</v>
      </c>
      <c r="K14087" s="7" t="s">
        <v>18</v>
      </c>
      <c r="L14087" s="8">
        <v>39987.315405092595</v>
      </c>
      <c r="M14087" s="9" t="s">
        <v>19</v>
      </c>
      <c r="N14087" s="9" t="s">
        <v>20</v>
      </c>
      <c r="O14087" s="6" t="str">
        <f>HYPERLINK("https://pbs.twimg.com/profile_images/962471262747529216/Uo8lOkRJ_normal.jpg","View")</f>
        <v>View</v>
      </c>
      <c r="P14087" s="7"/>
    </row>
    <row r="14088" spans="1:16">
      <c r="A14088" s="3">
        <v>44300.620046296295</v>
      </c>
      <c r="B14088" s="4" t="str">
        <f>HYPERLINK("https://twitter.com/petrogustavo","@petrogustavo")</f>
        <v>@petrogustavo</v>
      </c>
      <c r="C14088" s="5" t="s">
        <v>16</v>
      </c>
      <c r="D14088" s="5" t="s">
        <v>13556</v>
      </c>
      <c r="E14088" s="6" t="str">
        <f>HYPERLINK("https://twitter.com/petrogustavo/status/1382263072681824260","1382263072681824260")</f>
        <v>1382263072681824260</v>
      </c>
      <c r="F14088" s="7" t="s">
        <v>17</v>
      </c>
      <c r="G14088" s="7">
        <v>4092142</v>
      </c>
      <c r="H14088" s="7">
        <v>2507</v>
      </c>
      <c r="I14088" s="7">
        <v>7639</v>
      </c>
      <c r="J14088" s="7">
        <v>0</v>
      </c>
      <c r="K14088" s="7" t="s">
        <v>18</v>
      </c>
      <c r="L14088" s="8">
        <v>39987.315405092595</v>
      </c>
      <c r="M14088" s="9" t="s">
        <v>19</v>
      </c>
      <c r="N14088" s="9" t="s">
        <v>20</v>
      </c>
      <c r="O14088" s="6" t="str">
        <f>HYPERLINK("https://pbs.twimg.com/profile_images/962471262747529216/Uo8lOkRJ_normal.jpg","View")</f>
        <v>View</v>
      </c>
      <c r="P14088" s="7"/>
    </row>
    <row r="14089" spans="1:16">
      <c r="A14089" s="3">
        <v>44300.635428240741</v>
      </c>
      <c r="B14089" s="4" t="str">
        <f>HYPERLINK("https://twitter.com/petrogustavo","@petrogustavo")</f>
        <v>@petrogustavo</v>
      </c>
      <c r="C14089" s="5" t="s">
        <v>16</v>
      </c>
      <c r="D14089" s="5" t="s">
        <v>13557</v>
      </c>
      <c r="E14089" s="6" t="str">
        <f>HYPERLINK("https://twitter.com/petrogustavo/status/1382268648883126273","1382268648883126273")</f>
        <v>1382268648883126273</v>
      </c>
      <c r="F14089" s="7" t="s">
        <v>17</v>
      </c>
      <c r="G14089" s="7">
        <v>4092142</v>
      </c>
      <c r="H14089" s="7">
        <v>2507</v>
      </c>
      <c r="I14089" s="7">
        <v>9</v>
      </c>
      <c r="J14089" s="7">
        <v>29</v>
      </c>
      <c r="K14089" s="7" t="s">
        <v>18</v>
      </c>
      <c r="L14089" s="8">
        <v>39987.315405092595</v>
      </c>
      <c r="M14089" s="9" t="s">
        <v>19</v>
      </c>
      <c r="N14089" s="9" t="s">
        <v>20</v>
      </c>
      <c r="O14089" s="6" t="str">
        <f>HYPERLINK("https://pbs.twimg.com/profile_images/962471262747529216/Uo8lOkRJ_normal.jpg","View")</f>
        <v>View</v>
      </c>
      <c r="P14089" s="7"/>
    </row>
    <row r="14090" spans="1:16">
      <c r="A14090" s="3">
        <v>44300.753622685181</v>
      </c>
      <c r="B14090" s="4" t="str">
        <f>HYPERLINK("https://twitter.com/petrogustavo","@petrogustavo")</f>
        <v>@petrogustavo</v>
      </c>
      <c r="C14090" s="5" t="s">
        <v>16</v>
      </c>
      <c r="D14090" s="5" t="s">
        <v>13558</v>
      </c>
      <c r="E14090" s="6" t="str">
        <f>HYPERLINK("https://twitter.com/petrogustavo/status/1382311478578012172","1382311478578012172")</f>
        <v>1382311478578012172</v>
      </c>
      <c r="F14090" s="7" t="s">
        <v>17</v>
      </c>
      <c r="G14090" s="7">
        <v>4092188</v>
      </c>
      <c r="H14090" s="7">
        <v>2508</v>
      </c>
      <c r="I14090" s="7">
        <v>187</v>
      </c>
      <c r="J14090" s="7">
        <v>517</v>
      </c>
      <c r="K14090" s="7" t="s">
        <v>18</v>
      </c>
      <c r="L14090" s="8">
        <v>39987.315405092595</v>
      </c>
      <c r="M14090" s="9" t="s">
        <v>19</v>
      </c>
      <c r="N14090" s="9" t="s">
        <v>20</v>
      </c>
      <c r="O14090" s="6" t="str">
        <f>HYPERLINK("https://pbs.twimg.com/profile_images/962471262747529216/Uo8lOkRJ_normal.jpg","View")</f>
        <v>View</v>
      </c>
      <c r="P14090" s="7"/>
    </row>
    <row r="14091" spans="1:16">
      <c r="A14091" s="3">
        <v>44300.754675925928</v>
      </c>
      <c r="B14091" s="4" t="str">
        <f>HYPERLINK("https://twitter.com/petrogustavo","@petrogustavo")</f>
        <v>@petrogustavo</v>
      </c>
      <c r="C14091" s="5" t="s">
        <v>16</v>
      </c>
      <c r="D14091" s="5" t="s">
        <v>13559</v>
      </c>
      <c r="E14091" s="6" t="str">
        <f>HYPERLINK("https://twitter.com/petrogustavo/status/1382311862629437441","1382311862629437441")</f>
        <v>1382311862629437441</v>
      </c>
      <c r="F14091" s="7" t="s">
        <v>17</v>
      </c>
      <c r="G14091" s="7">
        <v>4092188</v>
      </c>
      <c r="H14091" s="7">
        <v>2508</v>
      </c>
      <c r="I14091" s="7">
        <v>917</v>
      </c>
      <c r="J14091" s="7">
        <v>0</v>
      </c>
      <c r="K14091" s="7" t="s">
        <v>18</v>
      </c>
      <c r="L14091" s="8">
        <v>39987.315405092595</v>
      </c>
      <c r="M14091" s="9" t="s">
        <v>19</v>
      </c>
      <c r="N14091" s="9" t="s">
        <v>20</v>
      </c>
      <c r="O14091" s="6" t="str">
        <f>HYPERLINK("https://pbs.twimg.com/profile_images/962471262747529216/Uo8lOkRJ_normal.jpg","View")</f>
        <v>View</v>
      </c>
      <c r="P14091" s="7"/>
    </row>
    <row r="14092" spans="1:16">
      <c r="A14092" s="3">
        <v>44300.974409722221</v>
      </c>
      <c r="B14092" s="4" t="str">
        <f>HYPERLINK("https://twitter.com/petrogustavo","@petrogustavo")</f>
        <v>@petrogustavo</v>
      </c>
      <c r="C14092" s="5" t="s">
        <v>16</v>
      </c>
      <c r="D14092" s="5" t="s">
        <v>13560</v>
      </c>
      <c r="E14092" s="6" t="str">
        <f>HYPERLINK("https://twitter.com/petrogustavo/status/1382391488416481288","1382391488416481288")</f>
        <v>1382391488416481288</v>
      </c>
      <c r="F14092" s="7" t="s">
        <v>17</v>
      </c>
      <c r="G14092" s="7">
        <v>4092461</v>
      </c>
      <c r="H14092" s="7">
        <v>2508</v>
      </c>
      <c r="I14092" s="7">
        <v>354</v>
      </c>
      <c r="J14092" s="7">
        <v>1199</v>
      </c>
      <c r="K14092" s="7" t="s">
        <v>18</v>
      </c>
      <c r="L14092" s="8">
        <v>39987.315405092595</v>
      </c>
      <c r="M14092" s="9" t="s">
        <v>19</v>
      </c>
      <c r="N14092" s="9" t="s">
        <v>20</v>
      </c>
      <c r="O14092" s="6" t="str">
        <f>HYPERLINK("https://pbs.twimg.com/profile_images/962471262747529216/Uo8lOkRJ_normal.jpg","View")</f>
        <v>View</v>
      </c>
      <c r="P14092" s="7"/>
    </row>
    <row r="14093" spans="1:16">
      <c r="A14093" s="3">
        <v>44301.133599537032</v>
      </c>
      <c r="B14093" s="4" t="str">
        <f>HYPERLINK("https://twitter.com/petrogustavo","@petrogustavo")</f>
        <v>@petrogustavo</v>
      </c>
      <c r="C14093" s="5" t="s">
        <v>16</v>
      </c>
      <c r="D14093" s="5" t="s">
        <v>13559</v>
      </c>
      <c r="E14093" s="6" t="str">
        <f>HYPERLINK("https://twitter.com/petrogustavo/status/1382449177658003458","1382449177658003458")</f>
        <v>1382449177658003458</v>
      </c>
      <c r="F14093" s="7" t="s">
        <v>17</v>
      </c>
      <c r="G14093" s="7">
        <v>4091830</v>
      </c>
      <c r="H14093" s="7">
        <v>2509</v>
      </c>
      <c r="I14093" s="7">
        <v>1981</v>
      </c>
      <c r="J14093" s="7">
        <v>0</v>
      </c>
      <c r="K14093" s="7" t="s">
        <v>18</v>
      </c>
      <c r="L14093" s="8">
        <v>39987.315405092595</v>
      </c>
      <c r="M14093" s="9" t="s">
        <v>19</v>
      </c>
      <c r="N14093" s="9" t="s">
        <v>20</v>
      </c>
      <c r="O14093" s="6" t="str">
        <f>HYPERLINK("https://pbs.twimg.com/profile_images/962471262747529216/Uo8lOkRJ_normal.jpg","View")</f>
        <v>View</v>
      </c>
      <c r="P14093" s="7"/>
    </row>
    <row r="14094" spans="1:16">
      <c r="A14094" s="3">
        <v>44301.858402777776</v>
      </c>
      <c r="B14094" s="4" t="str">
        <f>HYPERLINK("https://twitter.com/petrogustavo","@petrogustavo")</f>
        <v>@petrogustavo</v>
      </c>
      <c r="C14094" s="5" t="s">
        <v>16</v>
      </c>
      <c r="D14094" s="5" t="s">
        <v>13561</v>
      </c>
      <c r="E14094" s="6" t="str">
        <f>HYPERLINK("https://twitter.com/petrogustavo/status/1382711839360974852","1382711839360974852")</f>
        <v>1382711839360974852</v>
      </c>
      <c r="F14094" s="7" t="s">
        <v>17</v>
      </c>
      <c r="G14094" s="7">
        <v>4092919</v>
      </c>
      <c r="H14094" s="7">
        <v>2510</v>
      </c>
      <c r="I14094" s="7">
        <v>555</v>
      </c>
      <c r="J14094" s="7">
        <v>1196</v>
      </c>
      <c r="K14094" s="7" t="s">
        <v>18</v>
      </c>
      <c r="L14094" s="8">
        <v>39987.315405092595</v>
      </c>
      <c r="M14094" s="9" t="s">
        <v>19</v>
      </c>
      <c r="N14094" s="9" t="s">
        <v>20</v>
      </c>
      <c r="O14094" s="6" t="str">
        <f>HYPERLINK("https://pbs.twimg.com/profile_images/962471262747529216/Uo8lOkRJ_normal.jpg","View")</f>
        <v>View</v>
      </c>
      <c r="P14094" s="7"/>
    </row>
    <row r="14095" spans="1:16">
      <c r="A14095" s="3">
        <v>44302.028368055559</v>
      </c>
      <c r="B14095" s="4" t="str">
        <f>HYPERLINK("https://twitter.com/petrogustavo","@petrogustavo")</f>
        <v>@petrogustavo</v>
      </c>
      <c r="C14095" s="5" t="s">
        <v>16</v>
      </c>
      <c r="D14095" s="5" t="s">
        <v>13562</v>
      </c>
      <c r="E14095" s="6" t="str">
        <f>HYPERLINK("https://twitter.com/petrogustavo/status/1382773431041679364","1382773431041679364")</f>
        <v>1382773431041679364</v>
      </c>
      <c r="F14095" s="7" t="s">
        <v>17</v>
      </c>
      <c r="G14095" s="7">
        <v>4093102</v>
      </c>
      <c r="H14095" s="7">
        <v>2510</v>
      </c>
      <c r="I14095" s="7">
        <v>4196</v>
      </c>
      <c r="J14095" s="7">
        <v>0</v>
      </c>
      <c r="K14095" s="7" t="s">
        <v>18</v>
      </c>
      <c r="L14095" s="8">
        <v>39987.315405092595</v>
      </c>
      <c r="M14095" s="9" t="s">
        <v>19</v>
      </c>
      <c r="N14095" s="9" t="s">
        <v>20</v>
      </c>
      <c r="O14095" s="6" t="str">
        <f>HYPERLINK("https://pbs.twimg.com/profile_images/962471262747529216/Uo8lOkRJ_normal.jpg","View")</f>
        <v>View</v>
      </c>
      <c r="P14095" s="7"/>
    </row>
    <row r="14096" spans="1:16">
      <c r="A14096" s="3">
        <v>44302.029085648144</v>
      </c>
      <c r="B14096" s="4" t="str">
        <f>HYPERLINK("https://twitter.com/petrogustavo","@petrogustavo")</f>
        <v>@petrogustavo</v>
      </c>
      <c r="C14096" s="5" t="s">
        <v>16</v>
      </c>
      <c r="D14096" s="5" t="s">
        <v>13563</v>
      </c>
      <c r="E14096" s="6" t="str">
        <f>HYPERLINK("https://twitter.com/petrogustavo/status/1382773691499610118","1382773691499610118")</f>
        <v>1382773691499610118</v>
      </c>
      <c r="F14096" s="7" t="s">
        <v>17</v>
      </c>
      <c r="G14096" s="7">
        <v>4093102</v>
      </c>
      <c r="H14096" s="7">
        <v>2510</v>
      </c>
      <c r="I14096" s="7">
        <v>26</v>
      </c>
      <c r="J14096" s="7">
        <v>0</v>
      </c>
      <c r="K14096" s="7" t="s">
        <v>18</v>
      </c>
      <c r="L14096" s="8">
        <v>39987.315405092595</v>
      </c>
      <c r="M14096" s="9" t="s">
        <v>19</v>
      </c>
      <c r="N14096" s="9" t="s">
        <v>20</v>
      </c>
      <c r="O14096" s="6" t="str">
        <f>HYPERLINK("https://pbs.twimg.com/profile_images/962471262747529216/Uo8lOkRJ_normal.jpg","View")</f>
        <v>View</v>
      </c>
      <c r="P14096" s="7"/>
    </row>
    <row r="14097" spans="1:16">
      <c r="A14097" s="3">
        <v>44302.031504629631</v>
      </c>
      <c r="B14097" s="4" t="str">
        <f>HYPERLINK("https://twitter.com/petrogustavo","@petrogustavo")</f>
        <v>@petrogustavo</v>
      </c>
      <c r="C14097" s="5" t="s">
        <v>16</v>
      </c>
      <c r="D14097" s="5" t="s">
        <v>13564</v>
      </c>
      <c r="E14097" s="6" t="str">
        <f>HYPERLINK("https://twitter.com/petrogustavo/status/1382774569073844230","1382774569073844230")</f>
        <v>1382774569073844230</v>
      </c>
      <c r="F14097" s="7" t="s">
        <v>17</v>
      </c>
      <c r="G14097" s="7">
        <v>4093102</v>
      </c>
      <c r="H14097" s="7">
        <v>2510</v>
      </c>
      <c r="I14097" s="7">
        <v>284</v>
      </c>
      <c r="J14097" s="7">
        <v>0</v>
      </c>
      <c r="K14097" s="7" t="s">
        <v>18</v>
      </c>
      <c r="L14097" s="8">
        <v>39987.315405092595</v>
      </c>
      <c r="M14097" s="9" t="s">
        <v>19</v>
      </c>
      <c r="N14097" s="9" t="s">
        <v>20</v>
      </c>
      <c r="O14097" s="6" t="str">
        <f>HYPERLINK("https://pbs.twimg.com/profile_images/962471262747529216/Uo8lOkRJ_normal.jpg","View")</f>
        <v>View</v>
      </c>
      <c r="P14097" s="7"/>
    </row>
    <row r="14098" spans="1:16">
      <c r="A14098" s="3">
        <v>44302.037638888884</v>
      </c>
      <c r="B14098" s="4" t="str">
        <f>HYPERLINK("https://twitter.com/petrogustavo","@petrogustavo")</f>
        <v>@petrogustavo</v>
      </c>
      <c r="C14098" s="5" t="s">
        <v>16</v>
      </c>
      <c r="D14098" s="5" t="s">
        <v>13565</v>
      </c>
      <c r="E14098" s="6" t="str">
        <f>HYPERLINK("https://twitter.com/petrogustavo/status/1382776793493606411","1382776793493606411")</f>
        <v>1382776793493606411</v>
      </c>
      <c r="F14098" s="7" t="s">
        <v>17</v>
      </c>
      <c r="G14098" s="7">
        <v>4093128</v>
      </c>
      <c r="H14098" s="7">
        <v>2510</v>
      </c>
      <c r="I14098" s="7">
        <v>46</v>
      </c>
      <c r="J14098" s="7">
        <v>0</v>
      </c>
      <c r="K14098" s="7" t="s">
        <v>18</v>
      </c>
      <c r="L14098" s="8">
        <v>39987.315405092595</v>
      </c>
      <c r="M14098" s="9" t="s">
        <v>19</v>
      </c>
      <c r="N14098" s="9" t="s">
        <v>20</v>
      </c>
      <c r="O14098" s="6" t="str">
        <f>HYPERLINK("https://pbs.twimg.com/profile_images/962471262747529216/Uo8lOkRJ_normal.jpg","View")</f>
        <v>View</v>
      </c>
      <c r="P14098" s="7"/>
    </row>
    <row r="14099" spans="1:16">
      <c r="A14099" s="3">
        <v>44302.037962962961</v>
      </c>
      <c r="B14099" s="4" t="str">
        <f>HYPERLINK("https://twitter.com/petrogustavo","@petrogustavo")</f>
        <v>@petrogustavo</v>
      </c>
      <c r="C14099" s="5" t="s">
        <v>16</v>
      </c>
      <c r="D14099" s="5" t="s">
        <v>13566</v>
      </c>
      <c r="E14099" s="6" t="str">
        <f>HYPERLINK("https://twitter.com/petrogustavo/status/1382776907025031173","1382776907025031173")</f>
        <v>1382776907025031173</v>
      </c>
      <c r="F14099" s="7" t="s">
        <v>17</v>
      </c>
      <c r="G14099" s="7">
        <v>4093128</v>
      </c>
      <c r="H14099" s="7">
        <v>2510</v>
      </c>
      <c r="I14099" s="7">
        <v>191</v>
      </c>
      <c r="J14099" s="7">
        <v>0</v>
      </c>
      <c r="K14099" s="7" t="s">
        <v>18</v>
      </c>
      <c r="L14099" s="8">
        <v>39987.315405092595</v>
      </c>
      <c r="M14099" s="9" t="s">
        <v>19</v>
      </c>
      <c r="N14099" s="9" t="s">
        <v>20</v>
      </c>
      <c r="O14099" s="6" t="str">
        <f>HYPERLINK("https://pbs.twimg.com/profile_images/962471262747529216/Uo8lOkRJ_normal.jpg","View")</f>
        <v>View</v>
      </c>
      <c r="P14099" s="7"/>
    </row>
    <row r="14100" spans="1:16">
      <c r="A14100" s="3">
        <v>44302.06795138889</v>
      </c>
      <c r="B14100" s="4" t="str">
        <f>HYPERLINK("https://twitter.com/petrogustavo","@petrogustavo")</f>
        <v>@petrogustavo</v>
      </c>
      <c r="C14100" s="5" t="s">
        <v>16</v>
      </c>
      <c r="D14100" s="5" t="s">
        <v>13567</v>
      </c>
      <c r="E14100" s="6" t="str">
        <f>HYPERLINK("https://twitter.com/petrogustavo/status/1382787776794521612","1382787776794521612")</f>
        <v>1382787776794521612</v>
      </c>
      <c r="F14100" s="7" t="s">
        <v>17</v>
      </c>
      <c r="G14100" s="7">
        <v>4093152</v>
      </c>
      <c r="H14100" s="7">
        <v>2510</v>
      </c>
      <c r="I14100" s="7">
        <v>154</v>
      </c>
      <c r="J14100" s="7">
        <v>304</v>
      </c>
      <c r="K14100" s="7" t="s">
        <v>18</v>
      </c>
      <c r="L14100" s="8">
        <v>39987.315405092595</v>
      </c>
      <c r="M14100" s="9" t="s">
        <v>19</v>
      </c>
      <c r="N14100" s="9" t="s">
        <v>20</v>
      </c>
      <c r="O14100" s="6" t="str">
        <f>HYPERLINK("https://pbs.twimg.com/profile_images/962471262747529216/Uo8lOkRJ_normal.jpg","View")</f>
        <v>View</v>
      </c>
      <c r="P14100" s="7"/>
    </row>
    <row r="14101" spans="1:16">
      <c r="A14101" s="3">
        <v>44302.743310185186</v>
      </c>
      <c r="B14101" s="4" t="str">
        <f>HYPERLINK("https://twitter.com/petrogustavo","@petrogustavo")</f>
        <v>@petrogustavo</v>
      </c>
      <c r="C14101" s="5" t="s">
        <v>16</v>
      </c>
      <c r="D14101" s="5" t="s">
        <v>13568</v>
      </c>
      <c r="E14101" s="6" t="str">
        <f>HYPERLINK("https://twitter.com/petrogustavo/status/1383032518027440131","1383032518027440131")</f>
        <v>1383032518027440131</v>
      </c>
      <c r="F14101" s="7" t="s">
        <v>17</v>
      </c>
      <c r="G14101" s="7">
        <v>4093629</v>
      </c>
      <c r="H14101" s="7">
        <v>2510</v>
      </c>
      <c r="I14101" s="7">
        <v>545</v>
      </c>
      <c r="J14101" s="7">
        <v>1345</v>
      </c>
      <c r="K14101" s="7" t="s">
        <v>18</v>
      </c>
      <c r="L14101" s="8">
        <v>39987.315405092595</v>
      </c>
      <c r="M14101" s="9" t="s">
        <v>19</v>
      </c>
      <c r="N14101" s="9" t="s">
        <v>20</v>
      </c>
      <c r="O14101" s="6" t="str">
        <f>HYPERLINK("https://pbs.twimg.com/profile_images/962471262747529216/Uo8lOkRJ_normal.jpg","View")</f>
        <v>View</v>
      </c>
      <c r="P14101" s="7"/>
    </row>
    <row r="14102" spans="1:16">
      <c r="A14102" s="3">
        <v>44302.836111111115</v>
      </c>
      <c r="B14102" s="4" t="str">
        <f>HYPERLINK("https://twitter.com/petrogustavo","@petrogustavo")</f>
        <v>@petrogustavo</v>
      </c>
      <c r="C14102" s="5" t="s">
        <v>16</v>
      </c>
      <c r="D14102" s="5" t="s">
        <v>13569</v>
      </c>
      <c r="E14102" s="6" t="str">
        <f>HYPERLINK("https://twitter.com/petrogustavo/status/1383066147885563908","1383066147885563908")</f>
        <v>1383066147885563908</v>
      </c>
      <c r="F14102" s="7" t="s">
        <v>17</v>
      </c>
      <c r="G14102" s="7">
        <v>4093750</v>
      </c>
      <c r="H14102" s="7">
        <v>2510</v>
      </c>
      <c r="I14102" s="7">
        <v>1983</v>
      </c>
      <c r="J14102" s="7">
        <v>0</v>
      </c>
      <c r="K14102" s="7" t="s">
        <v>18</v>
      </c>
      <c r="L14102" s="8">
        <v>39987.315405092595</v>
      </c>
      <c r="M14102" s="9" t="s">
        <v>19</v>
      </c>
      <c r="N14102" s="9" t="s">
        <v>20</v>
      </c>
      <c r="O14102" s="6" t="str">
        <f>HYPERLINK("https://pbs.twimg.com/profile_images/962471262747529216/Uo8lOkRJ_normal.jpg","View")</f>
        <v>View</v>
      </c>
      <c r="P14102" s="7"/>
    </row>
    <row r="14103" spans="1:16">
      <c r="A14103" s="3">
        <v>44303.70211805556</v>
      </c>
      <c r="B14103" s="4" t="str">
        <f>HYPERLINK("https://twitter.com/petrogustavo","@petrogustavo")</f>
        <v>@petrogustavo</v>
      </c>
      <c r="C14103" s="5" t="s">
        <v>16</v>
      </c>
      <c r="D14103" s="5" t="s">
        <v>13570</v>
      </c>
      <c r="E14103" s="6" t="str">
        <f>HYPERLINK("https://twitter.com/petrogustavo/status/1383379978943827968","1383379978943827968")</f>
        <v>1383379978943827968</v>
      </c>
      <c r="F14103" s="7" t="s">
        <v>17</v>
      </c>
      <c r="G14103" s="7">
        <v>4093583</v>
      </c>
      <c r="H14103" s="7">
        <v>2511</v>
      </c>
      <c r="I14103" s="7">
        <v>114</v>
      </c>
      <c r="J14103" s="7">
        <v>253</v>
      </c>
      <c r="K14103" s="7" t="s">
        <v>18</v>
      </c>
      <c r="L14103" s="8">
        <v>39987.315405092595</v>
      </c>
      <c r="M14103" s="9" t="s">
        <v>19</v>
      </c>
      <c r="N14103" s="9" t="s">
        <v>20</v>
      </c>
      <c r="O14103" s="6" t="str">
        <f>HYPERLINK("https://pbs.twimg.com/profile_images/962471262747529216/Uo8lOkRJ_normal.jpg","View")</f>
        <v>View</v>
      </c>
      <c r="P14103" s="7"/>
    </row>
    <row r="14104" spans="1:16">
      <c r="A14104" s="3">
        <v>44303.703796296293</v>
      </c>
      <c r="B14104" s="4" t="str">
        <f>HYPERLINK("https://twitter.com/petrogustavo","@petrogustavo")</f>
        <v>@petrogustavo</v>
      </c>
      <c r="C14104" s="5" t="s">
        <v>16</v>
      </c>
      <c r="D14104" s="5" t="s">
        <v>13571</v>
      </c>
      <c r="E14104" s="6" t="str">
        <f>HYPERLINK("https://twitter.com/petrogustavo/status/1383380585972785152","1383380585972785152")</f>
        <v>1383380585972785152</v>
      </c>
      <c r="F14104" s="7" t="s">
        <v>17</v>
      </c>
      <c r="G14104" s="7">
        <v>4093583</v>
      </c>
      <c r="H14104" s="7">
        <v>2511</v>
      </c>
      <c r="I14104" s="7">
        <v>114</v>
      </c>
      <c r="J14104" s="7">
        <v>215</v>
      </c>
      <c r="K14104" s="7" t="s">
        <v>18</v>
      </c>
      <c r="L14104" s="8">
        <v>39987.315405092595</v>
      </c>
      <c r="M14104" s="9" t="s">
        <v>19</v>
      </c>
      <c r="N14104" s="9" t="s">
        <v>20</v>
      </c>
      <c r="O14104" s="6" t="str">
        <f>HYPERLINK("https://pbs.twimg.com/profile_images/962471262747529216/Uo8lOkRJ_normal.jpg","View")</f>
        <v>View</v>
      </c>
      <c r="P14104" s="7"/>
    </row>
    <row r="14105" spans="1:16">
      <c r="A14105" s="3">
        <v>44303.703796296293</v>
      </c>
      <c r="B14105" s="4" t="str">
        <f>HYPERLINK("https://twitter.com/petrogustavo","@petrogustavo")</f>
        <v>@petrogustavo</v>
      </c>
      <c r="C14105" s="5" t="s">
        <v>16</v>
      </c>
      <c r="D14105" s="5" t="s">
        <v>13572</v>
      </c>
      <c r="E14105" s="6" t="str">
        <f>HYPERLINK("https://twitter.com/petrogustavo/status/1383380587927334917","1383380587927334917")</f>
        <v>1383380587927334917</v>
      </c>
      <c r="F14105" s="7" t="s">
        <v>17</v>
      </c>
      <c r="G14105" s="7">
        <v>4093583</v>
      </c>
      <c r="H14105" s="7">
        <v>2511</v>
      </c>
      <c r="I14105" s="7">
        <v>9</v>
      </c>
      <c r="J14105" s="7">
        <v>26</v>
      </c>
      <c r="K14105" s="7" t="s">
        <v>18</v>
      </c>
      <c r="L14105" s="8">
        <v>39987.315405092595</v>
      </c>
      <c r="M14105" s="9" t="s">
        <v>19</v>
      </c>
      <c r="N14105" s="9" t="s">
        <v>20</v>
      </c>
      <c r="O14105" s="6" t="str">
        <f>HYPERLINK("https://pbs.twimg.com/profile_images/962471262747529216/Uo8lOkRJ_normal.jpg","View")</f>
        <v>View</v>
      </c>
      <c r="P14105" s="7"/>
    </row>
    <row r="14106" spans="1:16">
      <c r="A14106" s="3">
        <v>44303.70380787037</v>
      </c>
      <c r="B14106" s="4" t="str">
        <f>HYPERLINK("https://twitter.com/petrogustavo","@petrogustavo")</f>
        <v>@petrogustavo</v>
      </c>
      <c r="C14106" s="5" t="s">
        <v>16</v>
      </c>
      <c r="D14106" s="5" t="s">
        <v>13573</v>
      </c>
      <c r="E14106" s="6" t="str">
        <f>HYPERLINK("https://twitter.com/petrogustavo/status/1383380589525442568","1383380589525442568")</f>
        <v>1383380589525442568</v>
      </c>
      <c r="F14106" s="7" t="s">
        <v>17</v>
      </c>
      <c r="G14106" s="7">
        <v>4093583</v>
      </c>
      <c r="H14106" s="7">
        <v>2511</v>
      </c>
      <c r="I14106" s="7">
        <v>10</v>
      </c>
      <c r="J14106" s="7">
        <v>27</v>
      </c>
      <c r="K14106" s="7" t="s">
        <v>18</v>
      </c>
      <c r="L14106" s="8">
        <v>39987.315405092595</v>
      </c>
      <c r="M14106" s="9" t="s">
        <v>19</v>
      </c>
      <c r="N14106" s="9" t="s">
        <v>20</v>
      </c>
      <c r="O14106" s="6" t="str">
        <f>HYPERLINK("https://pbs.twimg.com/profile_images/962471262747529216/Uo8lOkRJ_normal.jpg","View")</f>
        <v>View</v>
      </c>
      <c r="P14106" s="7"/>
    </row>
    <row r="14107" spans="1:16">
      <c r="A14107" s="3">
        <v>44303.70380787037</v>
      </c>
      <c r="B14107" s="4" t="str">
        <f>HYPERLINK("https://twitter.com/petrogustavo","@petrogustavo")</f>
        <v>@petrogustavo</v>
      </c>
      <c r="C14107" s="5" t="s">
        <v>16</v>
      </c>
      <c r="D14107" s="5" t="s">
        <v>13574</v>
      </c>
      <c r="E14107" s="6" t="str">
        <f>HYPERLINK("https://twitter.com/petrogustavo/status/1383380591123451909","1383380591123451909")</f>
        <v>1383380591123451909</v>
      </c>
      <c r="F14107" s="7" t="s">
        <v>17</v>
      </c>
      <c r="G14107" s="7">
        <v>4093583</v>
      </c>
      <c r="H14107" s="7">
        <v>2511</v>
      </c>
      <c r="I14107" s="7">
        <v>11</v>
      </c>
      <c r="J14107" s="7">
        <v>26</v>
      </c>
      <c r="K14107" s="7" t="s">
        <v>18</v>
      </c>
      <c r="L14107" s="8">
        <v>39987.315405092595</v>
      </c>
      <c r="M14107" s="9" t="s">
        <v>19</v>
      </c>
      <c r="N14107" s="9" t="s">
        <v>20</v>
      </c>
      <c r="O14107" s="6" t="str">
        <f>HYPERLINK("https://pbs.twimg.com/profile_images/962471262747529216/Uo8lOkRJ_normal.jpg","View")</f>
        <v>View</v>
      </c>
      <c r="P14107" s="7"/>
    </row>
    <row r="14108" spans="1:16">
      <c r="A14108" s="3">
        <v>44303.70380787037</v>
      </c>
      <c r="B14108" s="4" t="str">
        <f>HYPERLINK("https://twitter.com/petrogustavo","@petrogustavo")</f>
        <v>@petrogustavo</v>
      </c>
      <c r="C14108" s="5" t="s">
        <v>16</v>
      </c>
      <c r="D14108" s="5" t="s">
        <v>13575</v>
      </c>
      <c r="E14108" s="6" t="str">
        <f>HYPERLINK("https://twitter.com/petrogustavo/status/1383380592767631362","1383380592767631362")</f>
        <v>1383380592767631362</v>
      </c>
      <c r="F14108" s="7" t="s">
        <v>17</v>
      </c>
      <c r="G14108" s="7">
        <v>4093583</v>
      </c>
      <c r="H14108" s="7">
        <v>2511</v>
      </c>
      <c r="I14108" s="7">
        <v>61</v>
      </c>
      <c r="J14108" s="7">
        <v>138</v>
      </c>
      <c r="K14108" s="7" t="s">
        <v>18</v>
      </c>
      <c r="L14108" s="8">
        <v>39987.315405092595</v>
      </c>
      <c r="M14108" s="9" t="s">
        <v>19</v>
      </c>
      <c r="N14108" s="9" t="s">
        <v>20</v>
      </c>
      <c r="O14108" s="6" t="str">
        <f>HYPERLINK("https://pbs.twimg.com/profile_images/962471262747529216/Uo8lOkRJ_normal.jpg","View")</f>
        <v>View</v>
      </c>
      <c r="P14108" s="7"/>
    </row>
    <row r="14109" spans="1:16">
      <c r="A14109" s="3">
        <v>44303.703819444447</v>
      </c>
      <c r="B14109" s="4" t="str">
        <f>HYPERLINK("https://twitter.com/petrogustavo","@petrogustavo")</f>
        <v>@petrogustavo</v>
      </c>
      <c r="C14109" s="5" t="s">
        <v>16</v>
      </c>
      <c r="D14109" s="5" t="s">
        <v>13576</v>
      </c>
      <c r="E14109" s="6" t="str">
        <f>HYPERLINK("https://twitter.com/petrogustavo/status/1383380594197893122","1383380594197893122")</f>
        <v>1383380594197893122</v>
      </c>
      <c r="F14109" s="7" t="s">
        <v>17</v>
      </c>
      <c r="G14109" s="7">
        <v>4093583</v>
      </c>
      <c r="H14109" s="7">
        <v>2511</v>
      </c>
      <c r="I14109" s="7">
        <v>62</v>
      </c>
      <c r="J14109" s="7">
        <v>161</v>
      </c>
      <c r="K14109" s="7" t="s">
        <v>18</v>
      </c>
      <c r="L14109" s="8">
        <v>39987.315405092595</v>
      </c>
      <c r="M14109" s="9" t="s">
        <v>19</v>
      </c>
      <c r="N14109" s="9" t="s">
        <v>20</v>
      </c>
      <c r="O14109" s="6" t="str">
        <f>HYPERLINK("https://pbs.twimg.com/profile_images/962471262747529216/Uo8lOkRJ_normal.jpg","View")</f>
        <v>View</v>
      </c>
      <c r="P14109" s="7"/>
    </row>
    <row r="14110" spans="1:16">
      <c r="A14110" s="3">
        <v>44303.76626157407</v>
      </c>
      <c r="B14110" s="4" t="str">
        <f>HYPERLINK("https://twitter.com/petrogustavo","@petrogustavo")</f>
        <v>@petrogustavo</v>
      </c>
      <c r="C14110" s="5" t="s">
        <v>16</v>
      </c>
      <c r="D14110" s="5" t="s">
        <v>13577</v>
      </c>
      <c r="E14110" s="6" t="str">
        <f>HYPERLINK("https://twitter.com/petrogustavo/status/1383403224082763780","1383403224082763780")</f>
        <v>1383403224082763780</v>
      </c>
      <c r="F14110" s="7" t="s">
        <v>17</v>
      </c>
      <c r="G14110" s="7">
        <v>4093614</v>
      </c>
      <c r="H14110" s="7">
        <v>2511</v>
      </c>
      <c r="I14110" s="7">
        <v>493</v>
      </c>
      <c r="J14110" s="7">
        <v>0</v>
      </c>
      <c r="K14110" s="7" t="s">
        <v>18</v>
      </c>
      <c r="L14110" s="8">
        <v>39987.315405092595</v>
      </c>
      <c r="M14110" s="9" t="s">
        <v>19</v>
      </c>
      <c r="N14110" s="9" t="s">
        <v>20</v>
      </c>
      <c r="O14110" s="6" t="str">
        <f>HYPERLINK("https://pbs.twimg.com/profile_images/962471262747529216/Uo8lOkRJ_normal.jpg","View")</f>
        <v>View</v>
      </c>
      <c r="P14110" s="7"/>
    </row>
    <row r="14111" spans="1:16">
      <c r="A14111" s="3">
        <v>44305.851122685184</v>
      </c>
      <c r="B14111" s="4" t="str">
        <f>HYPERLINK("https://twitter.com/petrogustavo","@petrogustavo")</f>
        <v>@petrogustavo</v>
      </c>
      <c r="C14111" s="5" t="s">
        <v>16</v>
      </c>
      <c r="D14111" s="5" t="s">
        <v>13578</v>
      </c>
      <c r="E14111" s="6" t="str">
        <f>HYPERLINK("https://twitter.com/petrogustavo/status/1384158751196729347","1384158751196729347")</f>
        <v>1384158751196729347</v>
      </c>
      <c r="F14111" s="7" t="s">
        <v>32</v>
      </c>
      <c r="G14111" s="7">
        <v>4095222</v>
      </c>
      <c r="H14111" s="7">
        <v>2511</v>
      </c>
      <c r="I14111" s="7">
        <v>189</v>
      </c>
      <c r="J14111" s="7">
        <v>470</v>
      </c>
      <c r="K14111" s="7" t="s">
        <v>18</v>
      </c>
      <c r="L14111" s="8">
        <v>39987.315405092595</v>
      </c>
      <c r="M14111" s="9" t="s">
        <v>19</v>
      </c>
      <c r="N14111" s="9" t="s">
        <v>20</v>
      </c>
      <c r="O14111" s="6" t="str">
        <f>HYPERLINK("https://pbs.twimg.com/profile_images/962471262747529216/Uo8lOkRJ_normal.jpg","View")</f>
        <v>View</v>
      </c>
      <c r="P14111" s="7"/>
    </row>
    <row r="14112" spans="1:16">
      <c r="A14112" s="3">
        <v>44306.104699074072</v>
      </c>
      <c r="B14112" s="4" t="str">
        <f>HYPERLINK("https://twitter.com/petrogustavo","@petrogustavo")</f>
        <v>@petrogustavo</v>
      </c>
      <c r="C14112" s="5" t="s">
        <v>16</v>
      </c>
      <c r="D14112" s="5" t="s">
        <v>13579</v>
      </c>
      <c r="E14112" s="6" t="str">
        <f>HYPERLINK("https://twitter.com/petrogustavo/status/1384250643272015874","1384250643272015874")</f>
        <v>1384250643272015874</v>
      </c>
      <c r="F14112" s="7" t="s">
        <v>17</v>
      </c>
      <c r="G14112" s="7">
        <v>4095752</v>
      </c>
      <c r="H14112" s="7">
        <v>2511</v>
      </c>
      <c r="I14112" s="7">
        <v>225</v>
      </c>
      <c r="J14112" s="7">
        <v>0</v>
      </c>
      <c r="K14112" s="7" t="s">
        <v>18</v>
      </c>
      <c r="L14112" s="8">
        <v>39987.315405092595</v>
      </c>
      <c r="M14112" s="9" t="s">
        <v>19</v>
      </c>
      <c r="N14112" s="9" t="s">
        <v>20</v>
      </c>
      <c r="O14112" s="6" t="str">
        <f>HYPERLINK("https://pbs.twimg.com/profile_images/962471262747529216/Uo8lOkRJ_normal.jpg","View")</f>
        <v>View</v>
      </c>
      <c r="P14112" s="7"/>
    </row>
    <row r="14113" spans="1:16">
      <c r="A14113" s="3">
        <v>44306.106041666666</v>
      </c>
      <c r="B14113" s="4" t="str">
        <f>HYPERLINK("https://twitter.com/petrogustavo","@petrogustavo")</f>
        <v>@petrogustavo</v>
      </c>
      <c r="C14113" s="5" t="s">
        <v>16</v>
      </c>
      <c r="D14113" s="5" t="s">
        <v>13580</v>
      </c>
      <c r="E14113" s="6" t="str">
        <f>HYPERLINK("https://twitter.com/petrogustavo/status/1384251130129969157","1384251130129969157")</f>
        <v>1384251130129969157</v>
      </c>
      <c r="F14113" s="7" t="s">
        <v>17</v>
      </c>
      <c r="G14113" s="7">
        <v>4095752</v>
      </c>
      <c r="H14113" s="7">
        <v>2511</v>
      </c>
      <c r="I14113" s="7">
        <v>44</v>
      </c>
      <c r="J14113" s="7">
        <v>0</v>
      </c>
      <c r="K14113" s="7" t="s">
        <v>18</v>
      </c>
      <c r="L14113" s="8">
        <v>39987.315405092595</v>
      </c>
      <c r="M14113" s="9" t="s">
        <v>19</v>
      </c>
      <c r="N14113" s="9" t="s">
        <v>20</v>
      </c>
      <c r="O14113" s="6" t="str">
        <f>HYPERLINK("https://pbs.twimg.com/profile_images/962471262747529216/Uo8lOkRJ_normal.jpg","View")</f>
        <v>View</v>
      </c>
      <c r="P14113" s="7"/>
    </row>
    <row r="14114" spans="1:16">
      <c r="A14114" s="3">
        <v>44306.244305555556</v>
      </c>
      <c r="B14114" s="4" t="str">
        <f>HYPERLINK("https://twitter.com/petrogustavo","@petrogustavo")</f>
        <v>@petrogustavo</v>
      </c>
      <c r="C14114" s="5" t="s">
        <v>16</v>
      </c>
      <c r="D14114" s="5" t="s">
        <v>13581</v>
      </c>
      <c r="E14114" s="6" t="str">
        <f>HYPERLINK("https://twitter.com/petrogustavo/status/1384301235155525637","1384301235155525637")</f>
        <v>1384301235155525637</v>
      </c>
      <c r="F14114" s="7" t="s">
        <v>32</v>
      </c>
      <c r="G14114" s="7">
        <v>4096049</v>
      </c>
      <c r="H14114" s="7">
        <v>2510</v>
      </c>
      <c r="I14114" s="7">
        <v>127</v>
      </c>
      <c r="J14114" s="7">
        <v>0</v>
      </c>
      <c r="K14114" s="7" t="s">
        <v>18</v>
      </c>
      <c r="L14114" s="8">
        <v>39987.315405092595</v>
      </c>
      <c r="M14114" s="9" t="s">
        <v>19</v>
      </c>
      <c r="N14114" s="9" t="s">
        <v>20</v>
      </c>
      <c r="O14114" s="6" t="str">
        <f>HYPERLINK("https://pbs.twimg.com/profile_images/962471262747529216/Uo8lOkRJ_normal.jpg","View")</f>
        <v>View</v>
      </c>
      <c r="P14114" s="7"/>
    </row>
    <row r="14115" spans="1:16">
      <c r="A14115" s="3">
        <v>44306.8441087963</v>
      </c>
      <c r="B14115" s="4" t="str">
        <f>HYPERLINK("https://twitter.com/petrogustavo","@petrogustavo")</f>
        <v>@petrogustavo</v>
      </c>
      <c r="C14115" s="5" t="s">
        <v>16</v>
      </c>
      <c r="D14115" s="5" t="s">
        <v>13582</v>
      </c>
      <c r="E14115" s="6" t="str">
        <f>HYPERLINK("https://twitter.com/petrogustavo/status/1384518599931572230","1384518599931572230")</f>
        <v>1384518599931572230</v>
      </c>
      <c r="F14115" s="7" t="s">
        <v>17</v>
      </c>
      <c r="G14115" s="7">
        <v>4097367</v>
      </c>
      <c r="H14115" s="7">
        <v>2509</v>
      </c>
      <c r="I14115" s="7">
        <v>67</v>
      </c>
      <c r="J14115" s="7">
        <v>142</v>
      </c>
      <c r="K14115" s="7" t="s">
        <v>18</v>
      </c>
      <c r="L14115" s="8">
        <v>39987.315405092595</v>
      </c>
      <c r="M14115" s="9" t="s">
        <v>19</v>
      </c>
      <c r="N14115" s="9" t="s">
        <v>20</v>
      </c>
      <c r="O14115" s="6" t="str">
        <f>HYPERLINK("https://pbs.twimg.com/profile_images/962471262747529216/Uo8lOkRJ_normal.jpg","View")</f>
        <v>View</v>
      </c>
      <c r="P14115" s="7"/>
    </row>
    <row r="14116" spans="1:16">
      <c r="A14116" s="3">
        <v>44307.116053240738</v>
      </c>
      <c r="B14116" s="4" t="str">
        <f>HYPERLINK("https://twitter.com/petrogustavo","@petrogustavo")</f>
        <v>@petrogustavo</v>
      </c>
      <c r="C14116" s="5" t="s">
        <v>16</v>
      </c>
      <c r="D14116" s="5" t="s">
        <v>13583</v>
      </c>
      <c r="E14116" s="6" t="str">
        <f>HYPERLINK("https://twitter.com/petrogustavo/status/1384617146492325891","1384617146492325891")</f>
        <v>1384617146492325891</v>
      </c>
      <c r="F14116" s="7" t="s">
        <v>17</v>
      </c>
      <c r="G14116" s="7">
        <v>4097058</v>
      </c>
      <c r="H14116" s="7">
        <v>2512</v>
      </c>
      <c r="I14116" s="7">
        <v>35</v>
      </c>
      <c r="J14116" s="7">
        <v>0</v>
      </c>
      <c r="K14116" s="7" t="s">
        <v>18</v>
      </c>
      <c r="L14116" s="8">
        <v>39987.315405092595</v>
      </c>
      <c r="M14116" s="9" t="s">
        <v>19</v>
      </c>
      <c r="N14116" s="9" t="s">
        <v>20</v>
      </c>
      <c r="O14116" s="6" t="str">
        <f>HYPERLINK("https://pbs.twimg.com/profile_images/962471262747529216/Uo8lOkRJ_normal.jpg","View")</f>
        <v>View</v>
      </c>
      <c r="P14116" s="7"/>
    </row>
    <row r="14117" spans="1:16">
      <c r="A14117" s="3">
        <v>44307.173784722225</v>
      </c>
      <c r="B14117" s="4" t="str">
        <f>HYPERLINK("https://twitter.com/petrogustavo","@petrogustavo")</f>
        <v>@petrogustavo</v>
      </c>
      <c r="C14117" s="5" t="s">
        <v>16</v>
      </c>
      <c r="D14117" s="5" t="s">
        <v>13584</v>
      </c>
      <c r="E14117" s="6" t="str">
        <f>HYPERLINK("https://twitter.com/petrogustavo/status/1384638068150476802","1384638068150476802")</f>
        <v>1384638068150476802</v>
      </c>
      <c r="F14117" s="7" t="s">
        <v>17</v>
      </c>
      <c r="G14117" s="7">
        <v>4097839</v>
      </c>
      <c r="H14117" s="7">
        <v>2510</v>
      </c>
      <c r="I14117" s="7">
        <v>251</v>
      </c>
      <c r="J14117" s="7">
        <v>0</v>
      </c>
      <c r="K14117" s="7" t="s">
        <v>18</v>
      </c>
      <c r="L14117" s="8">
        <v>39987.315405092595</v>
      </c>
      <c r="M14117" s="9" t="s">
        <v>19</v>
      </c>
      <c r="N14117" s="9" t="s">
        <v>20</v>
      </c>
      <c r="O14117" s="6" t="str">
        <f>HYPERLINK("https://pbs.twimg.com/profile_images/962471262747529216/Uo8lOkRJ_normal.jpg","View")</f>
        <v>View</v>
      </c>
      <c r="P14117" s="7"/>
    </row>
    <row r="14118" spans="1:16">
      <c r="A14118" s="3">
        <v>44307.190844907411</v>
      </c>
      <c r="B14118" s="4" t="str">
        <f>HYPERLINK("https://twitter.com/petrogustavo","@petrogustavo")</f>
        <v>@petrogustavo</v>
      </c>
      <c r="C14118" s="5" t="s">
        <v>16</v>
      </c>
      <c r="D14118" s="5" t="s">
        <v>13585</v>
      </c>
      <c r="E14118" s="6" t="str">
        <f>HYPERLINK("https://twitter.com/petrogustavo/status/1384644249442979847","1384644249442979847")</f>
        <v>1384644249442979847</v>
      </c>
      <c r="F14118" s="7" t="s">
        <v>17</v>
      </c>
      <c r="G14118" s="7">
        <v>4097867</v>
      </c>
      <c r="H14118" s="7">
        <v>2510</v>
      </c>
      <c r="I14118" s="7">
        <v>84</v>
      </c>
      <c r="J14118" s="7">
        <v>0</v>
      </c>
      <c r="K14118" s="7" t="s">
        <v>18</v>
      </c>
      <c r="L14118" s="8">
        <v>39987.315405092595</v>
      </c>
      <c r="M14118" s="9" t="s">
        <v>19</v>
      </c>
      <c r="N14118" s="9" t="s">
        <v>20</v>
      </c>
      <c r="O14118" s="6" t="str">
        <f>HYPERLINK("https://pbs.twimg.com/profile_images/962471262747529216/Uo8lOkRJ_normal.jpg","View")</f>
        <v>View</v>
      </c>
      <c r="P14118" s="7"/>
    </row>
    <row r="14119" spans="1:16">
      <c r="A14119" s="3">
        <v>44307.191736111112</v>
      </c>
      <c r="B14119" s="4" t="str">
        <f>HYPERLINK("https://twitter.com/petrogustavo","@petrogustavo")</f>
        <v>@petrogustavo</v>
      </c>
      <c r="C14119" s="5" t="s">
        <v>16</v>
      </c>
      <c r="D14119" s="5" t="s">
        <v>13586</v>
      </c>
      <c r="E14119" s="6" t="str">
        <f>HYPERLINK("https://twitter.com/petrogustavo/status/1384644575172730880","1384644575172730880")</f>
        <v>1384644575172730880</v>
      </c>
      <c r="F14119" s="7" t="s">
        <v>17</v>
      </c>
      <c r="G14119" s="7">
        <v>4097867</v>
      </c>
      <c r="H14119" s="7">
        <v>2510</v>
      </c>
      <c r="I14119" s="7">
        <v>65</v>
      </c>
      <c r="J14119" s="7">
        <v>0</v>
      </c>
      <c r="K14119" s="7" t="s">
        <v>18</v>
      </c>
      <c r="L14119" s="8">
        <v>39987.315405092595</v>
      </c>
      <c r="M14119" s="9" t="s">
        <v>19</v>
      </c>
      <c r="N14119" s="9" t="s">
        <v>20</v>
      </c>
      <c r="O14119" s="6" t="str">
        <f>HYPERLINK("https://pbs.twimg.com/profile_images/962471262747529216/Uo8lOkRJ_normal.jpg","View")</f>
        <v>View</v>
      </c>
      <c r="P14119" s="7"/>
    </row>
    <row r="14120" spans="1:16">
      <c r="A14120" s="3">
        <v>44307.191793981481</v>
      </c>
      <c r="B14120" s="4" t="str">
        <f>HYPERLINK("https://twitter.com/petrogustavo","@petrogustavo")</f>
        <v>@petrogustavo</v>
      </c>
      <c r="C14120" s="5" t="s">
        <v>16</v>
      </c>
      <c r="D14120" s="5" t="s">
        <v>13587</v>
      </c>
      <c r="E14120" s="6" t="str">
        <f>HYPERLINK("https://twitter.com/petrogustavo/status/1384644594462334976","1384644594462334976")</f>
        <v>1384644594462334976</v>
      </c>
      <c r="F14120" s="7" t="s">
        <v>17</v>
      </c>
      <c r="G14120" s="7">
        <v>4097867</v>
      </c>
      <c r="H14120" s="7">
        <v>2510</v>
      </c>
      <c r="I14120" s="7">
        <v>64</v>
      </c>
      <c r="J14120" s="7">
        <v>0</v>
      </c>
      <c r="K14120" s="7" t="s">
        <v>18</v>
      </c>
      <c r="L14120" s="8">
        <v>39987.315405092595</v>
      </c>
      <c r="M14120" s="9" t="s">
        <v>19</v>
      </c>
      <c r="N14120" s="9" t="s">
        <v>20</v>
      </c>
      <c r="O14120" s="6" t="str">
        <f>HYPERLINK("https://pbs.twimg.com/profile_images/962471262747529216/Uo8lOkRJ_normal.jpg","View")</f>
        <v>View</v>
      </c>
      <c r="P14120" s="7"/>
    </row>
    <row r="14121" spans="1:16">
      <c r="A14121" s="3">
        <v>44307.192002314812</v>
      </c>
      <c r="B14121" s="4" t="str">
        <f>HYPERLINK("https://twitter.com/petrogustavo","@petrogustavo")</f>
        <v>@petrogustavo</v>
      </c>
      <c r="C14121" s="5" t="s">
        <v>16</v>
      </c>
      <c r="D14121" s="5" t="s">
        <v>13588</v>
      </c>
      <c r="E14121" s="6" t="str">
        <f>HYPERLINK("https://twitter.com/petrogustavo/status/1384644670853160965","1384644670853160965")</f>
        <v>1384644670853160965</v>
      </c>
      <c r="F14121" s="7" t="s">
        <v>17</v>
      </c>
      <c r="G14121" s="7">
        <v>4097867</v>
      </c>
      <c r="H14121" s="7">
        <v>2510</v>
      </c>
      <c r="I14121" s="7">
        <v>87</v>
      </c>
      <c r="J14121" s="7">
        <v>0</v>
      </c>
      <c r="K14121" s="7" t="s">
        <v>18</v>
      </c>
      <c r="L14121" s="8">
        <v>39987.315405092595</v>
      </c>
      <c r="M14121" s="9" t="s">
        <v>19</v>
      </c>
      <c r="N14121" s="9" t="s">
        <v>20</v>
      </c>
      <c r="O14121" s="6" t="str">
        <f>HYPERLINK("https://pbs.twimg.com/profile_images/962471262747529216/Uo8lOkRJ_normal.jpg","View")</f>
        <v>View</v>
      </c>
      <c r="P14121" s="7"/>
    </row>
    <row r="14122" spans="1:16">
      <c r="A14122" s="3">
        <v>44307.677129629628</v>
      </c>
      <c r="B14122" s="4" t="str">
        <f>HYPERLINK("https://twitter.com/petrogustavo","@petrogustavo")</f>
        <v>@petrogustavo</v>
      </c>
      <c r="C14122" s="5" t="s">
        <v>16</v>
      </c>
      <c r="D14122" s="5" t="s">
        <v>13589</v>
      </c>
      <c r="E14122" s="6" t="str">
        <f>HYPERLINK("https://twitter.com/petrogustavo/status/1384820473486266368","1384820473486266368")</f>
        <v>1384820473486266368</v>
      </c>
      <c r="F14122" s="7" t="s">
        <v>17</v>
      </c>
      <c r="G14122" s="7">
        <v>4098278</v>
      </c>
      <c r="H14122" s="7">
        <v>2511</v>
      </c>
      <c r="I14122" s="7">
        <v>302</v>
      </c>
      <c r="J14122" s="7">
        <v>0</v>
      </c>
      <c r="K14122" s="7" t="s">
        <v>18</v>
      </c>
      <c r="L14122" s="8">
        <v>39987.315405092595</v>
      </c>
      <c r="M14122" s="9" t="s">
        <v>19</v>
      </c>
      <c r="N14122" s="9" t="s">
        <v>20</v>
      </c>
      <c r="O14122" s="6" t="str">
        <f>HYPERLINK("https://pbs.twimg.com/profile_images/962471262747529216/Uo8lOkRJ_normal.jpg","View")</f>
        <v>View</v>
      </c>
      <c r="P14122" s="7"/>
    </row>
    <row r="14123" spans="1:16">
      <c r="A14123" s="3">
        <v>44307.722245370373</v>
      </c>
      <c r="B14123" s="4" t="str">
        <f>HYPERLINK("https://twitter.com/petrogustavo","@petrogustavo")</f>
        <v>@petrogustavo</v>
      </c>
      <c r="C14123" s="5" t="s">
        <v>16</v>
      </c>
      <c r="D14123" s="5" t="s">
        <v>13590</v>
      </c>
      <c r="E14123" s="6" t="str">
        <f>HYPERLINK("https://twitter.com/petrogustavo/status/1384836825743773696","1384836825743773696")</f>
        <v>1384836825743773696</v>
      </c>
      <c r="F14123" s="7" t="s">
        <v>17</v>
      </c>
      <c r="G14123" s="7">
        <v>4098307</v>
      </c>
      <c r="H14123" s="7">
        <v>2511</v>
      </c>
      <c r="I14123" s="7">
        <v>60</v>
      </c>
      <c r="J14123" s="7">
        <v>122</v>
      </c>
      <c r="K14123" s="7" t="s">
        <v>18</v>
      </c>
      <c r="L14123" s="8">
        <v>39987.315405092595</v>
      </c>
      <c r="M14123" s="9" t="s">
        <v>19</v>
      </c>
      <c r="N14123" s="9" t="s">
        <v>20</v>
      </c>
      <c r="O14123" s="6" t="str">
        <f>HYPERLINK("https://pbs.twimg.com/profile_images/962471262747529216/Uo8lOkRJ_normal.jpg","View")</f>
        <v>View</v>
      </c>
      <c r="P14123" s="7"/>
    </row>
    <row r="14124" spans="1:16">
      <c r="A14124" s="3">
        <v>44307.72619212963</v>
      </c>
      <c r="B14124" s="4" t="str">
        <f>HYPERLINK("https://twitter.com/petrogustavo","@petrogustavo")</f>
        <v>@petrogustavo</v>
      </c>
      <c r="C14124" s="5" t="s">
        <v>16</v>
      </c>
      <c r="D14124" s="5" t="s">
        <v>13591</v>
      </c>
      <c r="E14124" s="6" t="str">
        <f>HYPERLINK("https://twitter.com/petrogustavo/status/1384838256232128513","1384838256232128513")</f>
        <v>1384838256232128513</v>
      </c>
      <c r="F14124" s="7" t="s">
        <v>17</v>
      </c>
      <c r="G14124" s="7">
        <v>4098307</v>
      </c>
      <c r="H14124" s="7">
        <v>2511</v>
      </c>
      <c r="I14124" s="7">
        <v>115</v>
      </c>
      <c r="J14124" s="7">
        <v>272</v>
      </c>
      <c r="K14124" s="7" t="s">
        <v>18</v>
      </c>
      <c r="L14124" s="8">
        <v>39987.315405092595</v>
      </c>
      <c r="M14124" s="9" t="s">
        <v>19</v>
      </c>
      <c r="N14124" s="9" t="s">
        <v>20</v>
      </c>
      <c r="O14124" s="6" t="str">
        <f>HYPERLINK("https://pbs.twimg.com/profile_images/962471262747529216/Uo8lOkRJ_normal.jpg","View")</f>
        <v>View</v>
      </c>
      <c r="P14124" s="7"/>
    </row>
    <row r="14125" spans="1:16">
      <c r="A14125" s="3">
        <v>44307.745451388888</v>
      </c>
      <c r="B14125" s="4" t="str">
        <f>HYPERLINK("https://twitter.com/petrogustavo","@petrogustavo")</f>
        <v>@petrogustavo</v>
      </c>
      <c r="C14125" s="5" t="s">
        <v>16</v>
      </c>
      <c r="D14125" s="5" t="s">
        <v>13592</v>
      </c>
      <c r="E14125" s="6" t="str">
        <f>HYPERLINK("https://twitter.com/petrogustavo/status/1384845232873869312","1384845232873869312")</f>
        <v>1384845232873869312</v>
      </c>
      <c r="F14125" s="7" t="s">
        <v>17</v>
      </c>
      <c r="G14125" s="7">
        <v>4098330</v>
      </c>
      <c r="H14125" s="7">
        <v>2511</v>
      </c>
      <c r="I14125" s="7">
        <v>139</v>
      </c>
      <c r="J14125" s="7">
        <v>325</v>
      </c>
      <c r="K14125" s="7" t="s">
        <v>18</v>
      </c>
      <c r="L14125" s="8">
        <v>39987.315405092595</v>
      </c>
      <c r="M14125" s="9" t="s">
        <v>19</v>
      </c>
      <c r="N14125" s="9" t="s">
        <v>20</v>
      </c>
      <c r="O14125" s="6" t="str">
        <f>HYPERLINK("https://pbs.twimg.com/profile_images/962471262747529216/Uo8lOkRJ_normal.jpg","View")</f>
        <v>View</v>
      </c>
      <c r="P14125" s="7"/>
    </row>
    <row r="14126" spans="1:16">
      <c r="A14126" s="3">
        <v>44307.745486111111</v>
      </c>
      <c r="B14126" s="4" t="str">
        <f>HYPERLINK("https://twitter.com/petrogustavo","@petrogustavo")</f>
        <v>@petrogustavo</v>
      </c>
      <c r="C14126" s="5" t="s">
        <v>16</v>
      </c>
      <c r="D14126" s="5" t="s">
        <v>13593</v>
      </c>
      <c r="E14126" s="6" t="str">
        <f>HYPERLINK("https://twitter.com/petrogustavo/status/1384845246492729346","1384845246492729346")</f>
        <v>1384845246492729346</v>
      </c>
      <c r="F14126" s="7" t="s">
        <v>17</v>
      </c>
      <c r="G14126" s="7">
        <v>4098330</v>
      </c>
      <c r="H14126" s="7">
        <v>2511</v>
      </c>
      <c r="I14126" s="7">
        <v>37</v>
      </c>
      <c r="J14126" s="7">
        <v>87</v>
      </c>
      <c r="K14126" s="7" t="s">
        <v>18</v>
      </c>
      <c r="L14126" s="8">
        <v>39987.315405092595</v>
      </c>
      <c r="M14126" s="9" t="s">
        <v>19</v>
      </c>
      <c r="N14126" s="9" t="s">
        <v>20</v>
      </c>
      <c r="O14126" s="6" t="str">
        <f>HYPERLINK("https://pbs.twimg.com/profile_images/962471262747529216/Uo8lOkRJ_normal.jpg","View")</f>
        <v>View</v>
      </c>
      <c r="P14126" s="7"/>
    </row>
    <row r="14127" spans="1:16">
      <c r="A14127" s="3">
        <v>44307.745532407411</v>
      </c>
      <c r="B14127" s="4" t="str">
        <f>HYPERLINK("https://twitter.com/petrogustavo","@petrogustavo")</f>
        <v>@petrogustavo</v>
      </c>
      <c r="C14127" s="5" t="s">
        <v>16</v>
      </c>
      <c r="D14127" s="5" t="s">
        <v>13594</v>
      </c>
      <c r="E14127" s="6" t="str">
        <f>HYPERLINK("https://twitter.com/petrogustavo/status/1384845261273370625","1384845261273370625")</f>
        <v>1384845261273370625</v>
      </c>
      <c r="F14127" s="7" t="s">
        <v>17</v>
      </c>
      <c r="G14127" s="7">
        <v>4098330</v>
      </c>
      <c r="H14127" s="7">
        <v>2511</v>
      </c>
      <c r="I14127" s="7">
        <v>25</v>
      </c>
      <c r="J14127" s="7">
        <v>65</v>
      </c>
      <c r="K14127" s="7" t="s">
        <v>18</v>
      </c>
      <c r="L14127" s="8">
        <v>39987.315405092595</v>
      </c>
      <c r="M14127" s="9" t="s">
        <v>19</v>
      </c>
      <c r="N14127" s="9" t="s">
        <v>20</v>
      </c>
      <c r="O14127" s="6" t="str">
        <f>HYPERLINK("https://pbs.twimg.com/profile_images/962471262747529216/Uo8lOkRJ_normal.jpg","View")</f>
        <v>View</v>
      </c>
      <c r="P14127" s="7"/>
    </row>
    <row r="14128" spans="1:16">
      <c r="A14128" s="3">
        <v>44307.74554398148</v>
      </c>
      <c r="B14128" s="4" t="str">
        <f>HYPERLINK("https://twitter.com/petrogustavo","@petrogustavo")</f>
        <v>@petrogustavo</v>
      </c>
      <c r="C14128" s="5" t="s">
        <v>16</v>
      </c>
      <c r="D14128" s="5" t="s">
        <v>13595</v>
      </c>
      <c r="E14128" s="6" t="str">
        <f>HYPERLINK("https://twitter.com/petrogustavo/status/1384845265484591106","1384845265484591106")</f>
        <v>1384845265484591106</v>
      </c>
      <c r="F14128" s="7" t="s">
        <v>17</v>
      </c>
      <c r="G14128" s="7">
        <v>4098330</v>
      </c>
      <c r="H14128" s="7">
        <v>2511</v>
      </c>
      <c r="I14128" s="7">
        <v>30</v>
      </c>
      <c r="J14128" s="7">
        <v>65</v>
      </c>
      <c r="K14128" s="7" t="s">
        <v>18</v>
      </c>
      <c r="L14128" s="8">
        <v>39987.315405092595</v>
      </c>
      <c r="M14128" s="9" t="s">
        <v>19</v>
      </c>
      <c r="N14128" s="9" t="s">
        <v>20</v>
      </c>
      <c r="O14128" s="6" t="str">
        <f>HYPERLINK("https://pbs.twimg.com/profile_images/962471262747529216/Uo8lOkRJ_normal.jpg","View")</f>
        <v>View</v>
      </c>
      <c r="P14128" s="7"/>
    </row>
    <row r="14129" spans="1:16">
      <c r="A14129" s="3">
        <v>44307.74554398148</v>
      </c>
      <c r="B14129" s="4" t="str">
        <f>HYPERLINK("https://twitter.com/petrogustavo","@petrogustavo")</f>
        <v>@petrogustavo</v>
      </c>
      <c r="C14129" s="5" t="s">
        <v>16</v>
      </c>
      <c r="D14129" s="5" t="s">
        <v>13596</v>
      </c>
      <c r="E14129" s="6" t="str">
        <f>HYPERLINK("https://twitter.com/petrogustavo/status/1384845266998775823","1384845266998775823")</f>
        <v>1384845266998775823</v>
      </c>
      <c r="F14129" s="7" t="s">
        <v>17</v>
      </c>
      <c r="G14129" s="7">
        <v>4098330</v>
      </c>
      <c r="H14129" s="7">
        <v>2511</v>
      </c>
      <c r="I14129" s="7">
        <v>51</v>
      </c>
      <c r="J14129" s="7">
        <v>151</v>
      </c>
      <c r="K14129" s="7" t="s">
        <v>18</v>
      </c>
      <c r="L14129" s="8">
        <v>39987.315405092595</v>
      </c>
      <c r="M14129" s="9" t="s">
        <v>19</v>
      </c>
      <c r="N14129" s="9" t="s">
        <v>20</v>
      </c>
      <c r="O14129" s="6" t="str">
        <f>HYPERLINK("https://pbs.twimg.com/profile_images/962471262747529216/Uo8lOkRJ_normal.jpg","View")</f>
        <v>View</v>
      </c>
      <c r="P14129" s="7"/>
    </row>
    <row r="14130" spans="1:16">
      <c r="A14130" s="3">
        <v>44307.74554398148</v>
      </c>
      <c r="B14130" s="4" t="str">
        <f>HYPERLINK("https://twitter.com/petrogustavo","@petrogustavo")</f>
        <v>@petrogustavo</v>
      </c>
      <c r="C14130" s="5" t="s">
        <v>16</v>
      </c>
      <c r="D14130" s="5" t="s">
        <v>13597</v>
      </c>
      <c r="E14130" s="6" t="str">
        <f>HYPERLINK("https://twitter.com/petrogustavo/status/1384845268496142337","1384845268496142337")</f>
        <v>1384845268496142337</v>
      </c>
      <c r="F14130" s="7" t="s">
        <v>17</v>
      </c>
      <c r="G14130" s="7">
        <v>4098330</v>
      </c>
      <c r="H14130" s="7">
        <v>2511</v>
      </c>
      <c r="I14130" s="7">
        <v>54</v>
      </c>
      <c r="J14130" s="7">
        <v>169</v>
      </c>
      <c r="K14130" s="7" t="s">
        <v>18</v>
      </c>
      <c r="L14130" s="8">
        <v>39987.315405092595</v>
      </c>
      <c r="M14130" s="9" t="s">
        <v>19</v>
      </c>
      <c r="N14130" s="9" t="s">
        <v>20</v>
      </c>
      <c r="O14130" s="6" t="str">
        <f>HYPERLINK("https://pbs.twimg.com/profile_images/962471262747529216/Uo8lOkRJ_normal.jpg","View")</f>
        <v>View</v>
      </c>
      <c r="P14130" s="7"/>
    </row>
    <row r="14131" spans="1:16">
      <c r="A14131" s="3">
        <v>44307.850682870368</v>
      </c>
      <c r="B14131" s="4" t="str">
        <f>HYPERLINK("https://twitter.com/petrogustavo","@petrogustavo")</f>
        <v>@petrogustavo</v>
      </c>
      <c r="C14131" s="5" t="s">
        <v>16</v>
      </c>
      <c r="D14131" s="5" t="s">
        <v>13598</v>
      </c>
      <c r="E14131" s="6" t="str">
        <f>HYPERLINK("https://twitter.com/petrogustavo/status/1384883366655311876","1384883366655311876")</f>
        <v>1384883366655311876</v>
      </c>
      <c r="F14131" s="7" t="s">
        <v>17</v>
      </c>
      <c r="G14131" s="7">
        <v>4098397</v>
      </c>
      <c r="H14131" s="7">
        <v>2511</v>
      </c>
      <c r="I14131" s="7">
        <v>1815</v>
      </c>
      <c r="J14131" s="7">
        <v>0</v>
      </c>
      <c r="K14131" s="7" t="s">
        <v>18</v>
      </c>
      <c r="L14131" s="8">
        <v>39987.315405092595</v>
      </c>
      <c r="M14131" s="9" t="s">
        <v>19</v>
      </c>
      <c r="N14131" s="9" t="s">
        <v>20</v>
      </c>
      <c r="O14131" s="6" t="str">
        <f>HYPERLINK("https://pbs.twimg.com/profile_images/962471262747529216/Uo8lOkRJ_normal.jpg","View")</f>
        <v>View</v>
      </c>
      <c r="P14131" s="7"/>
    </row>
    <row r="14132" spans="1:16">
      <c r="A14132" s="3">
        <v>44307.941111111111</v>
      </c>
      <c r="B14132" s="4" t="str">
        <f>HYPERLINK("https://twitter.com/petrogustavo","@petrogustavo")</f>
        <v>@petrogustavo</v>
      </c>
      <c r="C14132" s="5" t="s">
        <v>16</v>
      </c>
      <c r="D14132" s="5" t="s">
        <v>13599</v>
      </c>
      <c r="E14132" s="6" t="str">
        <f>HYPERLINK("https://twitter.com/petrogustavo/status/1384916139197800453","1384916139197800453")</f>
        <v>1384916139197800453</v>
      </c>
      <c r="F14132" s="7" t="s">
        <v>17</v>
      </c>
      <c r="G14132" s="7">
        <v>4098566</v>
      </c>
      <c r="H14132" s="7">
        <v>2511</v>
      </c>
      <c r="I14132" s="7">
        <v>408</v>
      </c>
      <c r="J14132" s="7">
        <v>880</v>
      </c>
      <c r="K14132" s="7" t="s">
        <v>18</v>
      </c>
      <c r="L14132" s="8">
        <v>39987.315405092595</v>
      </c>
      <c r="M14132" s="9" t="s">
        <v>19</v>
      </c>
      <c r="N14132" s="9" t="s">
        <v>20</v>
      </c>
      <c r="O14132" s="6" t="str">
        <f>HYPERLINK("https://pbs.twimg.com/profile_images/962471262747529216/Uo8lOkRJ_normal.jpg","View")</f>
        <v>View</v>
      </c>
      <c r="P14132" s="7"/>
    </row>
    <row r="14133" spans="1:16">
      <c r="A14133" s="3">
        <v>44307.941111111111</v>
      </c>
      <c r="B14133" s="4" t="str">
        <f>HYPERLINK("https://twitter.com/petrogustavo","@petrogustavo")</f>
        <v>@petrogustavo</v>
      </c>
      <c r="C14133" s="5" t="s">
        <v>16</v>
      </c>
      <c r="D14133" s="5" t="s">
        <v>13600</v>
      </c>
      <c r="E14133" s="6" t="str">
        <f>HYPERLINK("https://twitter.com/petrogustavo/status/1384916140040859649","1384916140040859649")</f>
        <v>1384916140040859649</v>
      </c>
      <c r="F14133" s="7" t="s">
        <v>17</v>
      </c>
      <c r="G14133" s="7">
        <v>4098566</v>
      </c>
      <c r="H14133" s="7">
        <v>2511</v>
      </c>
      <c r="I14133" s="7">
        <v>264</v>
      </c>
      <c r="J14133" s="7">
        <v>701</v>
      </c>
      <c r="K14133" s="7" t="s">
        <v>18</v>
      </c>
      <c r="L14133" s="8">
        <v>39987.315405092595</v>
      </c>
      <c r="M14133" s="9" t="s">
        <v>19</v>
      </c>
      <c r="N14133" s="9" t="s">
        <v>20</v>
      </c>
      <c r="O14133" s="6" t="str">
        <f>HYPERLINK("https://pbs.twimg.com/profile_images/962471262747529216/Uo8lOkRJ_normal.jpg","View")</f>
        <v>View</v>
      </c>
      <c r="P14133" s="7"/>
    </row>
    <row r="14134" spans="1:16">
      <c r="A14134" s="3">
        <v>44307.96298611111</v>
      </c>
      <c r="B14134" s="4" t="str">
        <f>HYPERLINK("https://twitter.com/petrogustavo","@petrogustavo")</f>
        <v>@petrogustavo</v>
      </c>
      <c r="C14134" s="5" t="s">
        <v>16</v>
      </c>
      <c r="D14134" s="5" t="s">
        <v>13601</v>
      </c>
      <c r="E14134" s="6" t="str">
        <f>HYPERLINK("https://twitter.com/petrogustavo/status/1384924067002716160","1384924067002716160")</f>
        <v>1384924067002716160</v>
      </c>
      <c r="F14134" s="7" t="s">
        <v>17</v>
      </c>
      <c r="G14134" s="7">
        <v>4098589</v>
      </c>
      <c r="H14134" s="7">
        <v>2510</v>
      </c>
      <c r="I14134" s="7">
        <v>262</v>
      </c>
      <c r="J14134" s="7">
        <v>0</v>
      </c>
      <c r="K14134" s="7" t="s">
        <v>18</v>
      </c>
      <c r="L14134" s="8">
        <v>39987.315405092595</v>
      </c>
      <c r="M14134" s="9" t="s">
        <v>19</v>
      </c>
      <c r="N14134" s="9" t="s">
        <v>20</v>
      </c>
      <c r="O14134" s="6" t="str">
        <f>HYPERLINK("https://pbs.twimg.com/profile_images/962471262747529216/Uo8lOkRJ_normal.jpg","View")</f>
        <v>View</v>
      </c>
      <c r="P14134" s="7"/>
    </row>
    <row r="14135" spans="1:16">
      <c r="A14135" s="3">
        <v>44307.963229166664</v>
      </c>
      <c r="B14135" s="4" t="str">
        <f>HYPERLINK("https://twitter.com/petrogustavo","@petrogustavo")</f>
        <v>@petrogustavo</v>
      </c>
      <c r="C14135" s="5" t="s">
        <v>16</v>
      </c>
      <c r="D14135" s="5" t="s">
        <v>13602</v>
      </c>
      <c r="E14135" s="6" t="str">
        <f>HYPERLINK("https://twitter.com/petrogustavo/status/1384924151757017093","1384924151757017093")</f>
        <v>1384924151757017093</v>
      </c>
      <c r="F14135" s="7" t="s">
        <v>17</v>
      </c>
      <c r="G14135" s="7">
        <v>4098589</v>
      </c>
      <c r="H14135" s="7">
        <v>2510</v>
      </c>
      <c r="I14135" s="7">
        <v>702</v>
      </c>
      <c r="J14135" s="7">
        <v>0</v>
      </c>
      <c r="K14135" s="7" t="s">
        <v>18</v>
      </c>
      <c r="L14135" s="8">
        <v>39987.315405092595</v>
      </c>
      <c r="M14135" s="9" t="s">
        <v>19</v>
      </c>
      <c r="N14135" s="9" t="s">
        <v>20</v>
      </c>
      <c r="O14135" s="6" t="str">
        <f>HYPERLINK("https://pbs.twimg.com/profile_images/962471262747529216/Uo8lOkRJ_normal.jpg","View")</f>
        <v>View</v>
      </c>
      <c r="P14135" s="7"/>
    </row>
    <row r="14136" spans="1:16">
      <c r="A14136" s="3">
        <v>44308.232210648144</v>
      </c>
      <c r="B14136" s="4" t="str">
        <f>HYPERLINK("https://twitter.com/petrogustavo","@petrogustavo")</f>
        <v>@petrogustavo</v>
      </c>
      <c r="C14136" s="5" t="s">
        <v>16</v>
      </c>
      <c r="D14136" s="5" t="s">
        <v>13603</v>
      </c>
      <c r="E14136" s="6" t="str">
        <f>HYPERLINK("https://twitter.com/petrogustavo/status/1385021629240127489","1385021629240127489")</f>
        <v>1385021629240127489</v>
      </c>
      <c r="F14136" s="7" t="s">
        <v>17</v>
      </c>
      <c r="G14136" s="7">
        <v>4098896</v>
      </c>
      <c r="H14136" s="7">
        <v>2510</v>
      </c>
      <c r="I14136" s="7">
        <v>170</v>
      </c>
      <c r="J14136" s="7">
        <v>0</v>
      </c>
      <c r="K14136" s="7" t="s">
        <v>18</v>
      </c>
      <c r="L14136" s="8">
        <v>39987.315405092595</v>
      </c>
      <c r="M14136" s="9" t="s">
        <v>19</v>
      </c>
      <c r="N14136" s="9" t="s">
        <v>20</v>
      </c>
      <c r="O14136" s="6" t="str">
        <f>HYPERLINK("https://pbs.twimg.com/profile_images/962471262747529216/Uo8lOkRJ_normal.jpg","View")</f>
        <v>View</v>
      </c>
      <c r="P14136" s="7"/>
    </row>
    <row r="14137" spans="1:16">
      <c r="A14137" s="3">
        <v>44308.702939814815</v>
      </c>
      <c r="B14137" s="4" t="str">
        <f>HYPERLINK("https://twitter.com/petrogustavo","@petrogustavo")</f>
        <v>@petrogustavo</v>
      </c>
      <c r="C14137" s="5" t="s">
        <v>16</v>
      </c>
      <c r="D14137" s="5" t="s">
        <v>13604</v>
      </c>
      <c r="E14137" s="6" t="str">
        <f>HYPERLINK("https://twitter.com/petrogustavo/status/1385192217405493248","1385192217405493248")</f>
        <v>1385192217405493248</v>
      </c>
      <c r="F14137" s="7" t="s">
        <v>32</v>
      </c>
      <c r="G14137" s="7">
        <v>4099105</v>
      </c>
      <c r="H14137" s="7">
        <v>2510</v>
      </c>
      <c r="I14137" s="7">
        <v>40</v>
      </c>
      <c r="J14137" s="7">
        <v>0</v>
      </c>
      <c r="K14137" s="7" t="s">
        <v>18</v>
      </c>
      <c r="L14137" s="8">
        <v>39987.315405092595</v>
      </c>
      <c r="M14137" s="9" t="s">
        <v>19</v>
      </c>
      <c r="N14137" s="9" t="s">
        <v>20</v>
      </c>
      <c r="O14137" s="6" t="str">
        <f>HYPERLINK("https://pbs.twimg.com/profile_images/962471262747529216/Uo8lOkRJ_normal.jpg","View")</f>
        <v>View</v>
      </c>
      <c r="P14137" s="7"/>
    </row>
    <row r="14138" spans="1:16">
      <c r="A14138" s="3">
        <v>44308.704270833332</v>
      </c>
      <c r="B14138" s="4" t="str">
        <f>HYPERLINK("https://twitter.com/petrogustavo","@petrogustavo")</f>
        <v>@petrogustavo</v>
      </c>
      <c r="C14138" s="5" t="s">
        <v>16</v>
      </c>
      <c r="D14138" s="5" t="s">
        <v>13605</v>
      </c>
      <c r="E14138" s="6" t="str">
        <f>HYPERLINK("https://twitter.com/petrogustavo/status/1385192699914067971","1385192699914067971")</f>
        <v>1385192699914067971</v>
      </c>
      <c r="F14138" s="7" t="s">
        <v>32</v>
      </c>
      <c r="G14138" s="7">
        <v>4099105</v>
      </c>
      <c r="H14138" s="7">
        <v>2510</v>
      </c>
      <c r="I14138" s="7">
        <v>157</v>
      </c>
      <c r="J14138" s="7">
        <v>483</v>
      </c>
      <c r="K14138" s="7" t="s">
        <v>18</v>
      </c>
      <c r="L14138" s="8">
        <v>39987.315405092595</v>
      </c>
      <c r="M14138" s="9" t="s">
        <v>19</v>
      </c>
      <c r="N14138" s="9" t="s">
        <v>20</v>
      </c>
      <c r="O14138" s="6" t="str">
        <f>HYPERLINK("https://pbs.twimg.com/profile_images/962471262747529216/Uo8lOkRJ_normal.jpg","View")</f>
        <v>View</v>
      </c>
      <c r="P14138" s="7"/>
    </row>
    <row r="14139" spans="1:16">
      <c r="A14139" s="3">
        <v>44308.974363425921</v>
      </c>
      <c r="B14139" s="4" t="str">
        <f>HYPERLINK("https://twitter.com/petrogustavo","@petrogustavo")</f>
        <v>@petrogustavo</v>
      </c>
      <c r="C14139" s="5" t="s">
        <v>16</v>
      </c>
      <c r="D14139" s="5" t="s">
        <v>13606</v>
      </c>
      <c r="E14139" s="6" t="str">
        <f>HYPERLINK("https://twitter.com/petrogustavo/status/1385290577504313349","1385290577504313349")</f>
        <v>1385290577504313349</v>
      </c>
      <c r="F14139" s="7" t="s">
        <v>17</v>
      </c>
      <c r="G14139" s="7">
        <v>4099550</v>
      </c>
      <c r="H14139" s="7">
        <v>2510</v>
      </c>
      <c r="I14139" s="7">
        <v>160</v>
      </c>
      <c r="J14139" s="7">
        <v>979</v>
      </c>
      <c r="K14139" s="7" t="s">
        <v>18</v>
      </c>
      <c r="L14139" s="8">
        <v>39987.315405092595</v>
      </c>
      <c r="M14139" s="9" t="s">
        <v>19</v>
      </c>
      <c r="N14139" s="9" t="s">
        <v>20</v>
      </c>
      <c r="O14139" s="6" t="str">
        <f>HYPERLINK("https://pbs.twimg.com/profile_images/962471262747529216/Uo8lOkRJ_normal.jpg","View")</f>
        <v>View</v>
      </c>
      <c r="P14139" s="7"/>
    </row>
    <row r="14140" spans="1:16">
      <c r="A14140" s="3">
        <v>44309.140601851846</v>
      </c>
      <c r="B14140" s="4" t="str">
        <f>HYPERLINK("https://twitter.com/petrogustavo","@petrogustavo")</f>
        <v>@petrogustavo</v>
      </c>
      <c r="C14140" s="5" t="s">
        <v>16</v>
      </c>
      <c r="D14140" s="5" t="s">
        <v>13607</v>
      </c>
      <c r="E14140" s="6" t="str">
        <f>HYPERLINK("https://twitter.com/petrogustavo/status/1385350820166782977","1385350820166782977")</f>
        <v>1385350820166782977</v>
      </c>
      <c r="F14140" s="7" t="s">
        <v>17</v>
      </c>
      <c r="G14140" s="7">
        <v>4099764</v>
      </c>
      <c r="H14140" s="7">
        <v>2509</v>
      </c>
      <c r="I14140" s="7">
        <v>77</v>
      </c>
      <c r="J14140" s="7">
        <v>257</v>
      </c>
      <c r="K14140" s="7" t="s">
        <v>18</v>
      </c>
      <c r="L14140" s="8">
        <v>39987.315405092595</v>
      </c>
      <c r="M14140" s="9" t="s">
        <v>19</v>
      </c>
      <c r="N14140" s="9" t="s">
        <v>20</v>
      </c>
      <c r="O14140" s="6" t="str">
        <f>HYPERLINK("https://pbs.twimg.com/profile_images/962471262747529216/Uo8lOkRJ_normal.jpg","View")</f>
        <v>View</v>
      </c>
      <c r="P14140" s="7"/>
    </row>
    <row r="14141" spans="1:16">
      <c r="A14141" s="3">
        <v>44309.261018518519</v>
      </c>
      <c r="B14141" s="4" t="str">
        <f>HYPERLINK("https://twitter.com/petrogustavo","@petrogustavo")</f>
        <v>@petrogustavo</v>
      </c>
      <c r="C14141" s="5" t="s">
        <v>16</v>
      </c>
      <c r="D14141" s="5" t="s">
        <v>13608</v>
      </c>
      <c r="E14141" s="6" t="str">
        <f>HYPERLINK("https://twitter.com/petrogustavo/status/1385394457688805376","1385394457688805376")</f>
        <v>1385394457688805376</v>
      </c>
      <c r="F14141" s="7" t="s">
        <v>17</v>
      </c>
      <c r="G14141" s="7">
        <v>4099893</v>
      </c>
      <c r="H14141" s="7">
        <v>2509</v>
      </c>
      <c r="I14141" s="7">
        <v>124</v>
      </c>
      <c r="J14141" s="7">
        <v>308</v>
      </c>
      <c r="K14141" s="7" t="s">
        <v>18</v>
      </c>
      <c r="L14141" s="8">
        <v>39987.315405092595</v>
      </c>
      <c r="M14141" s="9" t="s">
        <v>19</v>
      </c>
      <c r="N14141" s="9" t="s">
        <v>20</v>
      </c>
      <c r="O14141" s="6" t="str">
        <f>HYPERLINK("https://pbs.twimg.com/profile_images/962471262747529216/Uo8lOkRJ_normal.jpg","View")</f>
        <v>View</v>
      </c>
      <c r="P14141" s="7"/>
    </row>
    <row r="14142" spans="1:16">
      <c r="A14142" s="3">
        <v>44309.734571759254</v>
      </c>
      <c r="B14142" s="4" t="str">
        <f>HYPERLINK("https://twitter.com/petrogustavo","@petrogustavo")</f>
        <v>@petrogustavo</v>
      </c>
      <c r="C14142" s="5" t="s">
        <v>16</v>
      </c>
      <c r="D14142" s="5" t="s">
        <v>13609</v>
      </c>
      <c r="E14142" s="6" t="str">
        <f>HYPERLINK("https://twitter.com/petrogustavo/status/1385566065812443136","1385566065812443136")</f>
        <v>1385566065812443136</v>
      </c>
      <c r="F14142" s="7" t="s">
        <v>17</v>
      </c>
      <c r="G14142" s="7">
        <v>4100187</v>
      </c>
      <c r="H14142" s="7">
        <v>2509</v>
      </c>
      <c r="I14142" s="7">
        <v>239</v>
      </c>
      <c r="J14142" s="7">
        <v>813</v>
      </c>
      <c r="K14142" s="7" t="s">
        <v>18</v>
      </c>
      <c r="L14142" s="8">
        <v>39987.315405092595</v>
      </c>
      <c r="M14142" s="9" t="s">
        <v>19</v>
      </c>
      <c r="N14142" s="9" t="s">
        <v>20</v>
      </c>
      <c r="O14142" s="6" t="str">
        <f>HYPERLINK("https://pbs.twimg.com/profile_images/962471262747529216/Uo8lOkRJ_normal.jpg","View")</f>
        <v>View</v>
      </c>
      <c r="P14142" s="7"/>
    </row>
    <row r="14143" spans="1:16">
      <c r="A14143" s="3">
        <v>44309.818668981483</v>
      </c>
      <c r="B14143" s="4" t="str">
        <f>HYPERLINK("https://twitter.com/petrogustavo","@petrogustavo")</f>
        <v>@petrogustavo</v>
      </c>
      <c r="C14143" s="5" t="s">
        <v>16</v>
      </c>
      <c r="D14143" s="5" t="s">
        <v>13610</v>
      </c>
      <c r="E14143" s="6" t="str">
        <f>HYPERLINK("https://twitter.com/petrogustavo/status/1385596541365276674","1385596541365276674")</f>
        <v>1385596541365276674</v>
      </c>
      <c r="F14143" s="7" t="s">
        <v>32</v>
      </c>
      <c r="G14143" s="7">
        <v>4100331</v>
      </c>
      <c r="H14143" s="7">
        <v>2509</v>
      </c>
      <c r="I14143" s="7">
        <v>390</v>
      </c>
      <c r="J14143" s="7">
        <v>0</v>
      </c>
      <c r="K14143" s="7" t="s">
        <v>18</v>
      </c>
      <c r="L14143" s="8">
        <v>39987.315405092595</v>
      </c>
      <c r="M14143" s="9" t="s">
        <v>19</v>
      </c>
      <c r="N14143" s="9" t="s">
        <v>20</v>
      </c>
      <c r="O14143" s="6" t="str">
        <f>HYPERLINK("https://pbs.twimg.com/profile_images/962471262747529216/Uo8lOkRJ_normal.jpg","View")</f>
        <v>View</v>
      </c>
      <c r="P14143" s="7"/>
    </row>
    <row r="14144" spans="1:16">
      <c r="A14144" s="3">
        <v>44310.113287037035</v>
      </c>
      <c r="B14144" s="4" t="str">
        <f>HYPERLINK("https://twitter.com/petrogustavo","@petrogustavo")</f>
        <v>@petrogustavo</v>
      </c>
      <c r="C14144" s="5" t="s">
        <v>16</v>
      </c>
      <c r="D14144" s="5" t="s">
        <v>13611</v>
      </c>
      <c r="E14144" s="6" t="str">
        <f>HYPERLINK("https://twitter.com/petrogustavo/status/1385703308673916931","1385703308673916931")</f>
        <v>1385703308673916931</v>
      </c>
      <c r="F14144" s="7" t="s">
        <v>17</v>
      </c>
      <c r="G14144" s="7">
        <v>4100819</v>
      </c>
      <c r="H14144" s="7">
        <v>2509</v>
      </c>
      <c r="I14144" s="7">
        <v>442</v>
      </c>
      <c r="J14144" s="7">
        <v>0</v>
      </c>
      <c r="K14144" s="7" t="s">
        <v>18</v>
      </c>
      <c r="L14144" s="8">
        <v>39987.315405092595</v>
      </c>
      <c r="M14144" s="9" t="s">
        <v>19</v>
      </c>
      <c r="N14144" s="9" t="s">
        <v>20</v>
      </c>
      <c r="O14144" s="6" t="str">
        <f>HYPERLINK("https://pbs.twimg.com/profile_images/962471262747529216/Uo8lOkRJ_normal.jpg","View")</f>
        <v>View</v>
      </c>
      <c r="P14144" s="7"/>
    </row>
    <row r="14145" spans="1:16">
      <c r="A14145" s="3">
        <v>44310.113564814819</v>
      </c>
      <c r="B14145" s="4" t="str">
        <f>HYPERLINK("https://twitter.com/petrogustavo","@petrogustavo")</f>
        <v>@petrogustavo</v>
      </c>
      <c r="C14145" s="5" t="s">
        <v>16</v>
      </c>
      <c r="D14145" s="5" t="s">
        <v>13612</v>
      </c>
      <c r="E14145" s="6" t="str">
        <f>HYPERLINK("https://twitter.com/petrogustavo/status/1385703407852400641","1385703407852400641")</f>
        <v>1385703407852400641</v>
      </c>
      <c r="F14145" s="7" t="s">
        <v>17</v>
      </c>
      <c r="G14145" s="7">
        <v>4100819</v>
      </c>
      <c r="H14145" s="7">
        <v>2509</v>
      </c>
      <c r="I14145" s="7">
        <v>1795</v>
      </c>
      <c r="J14145" s="7">
        <v>0</v>
      </c>
      <c r="K14145" s="7" t="s">
        <v>18</v>
      </c>
      <c r="L14145" s="8">
        <v>39987.315405092595</v>
      </c>
      <c r="M14145" s="9" t="s">
        <v>19</v>
      </c>
      <c r="N14145" s="9" t="s">
        <v>20</v>
      </c>
      <c r="O14145" s="6" t="str">
        <f>HYPERLINK("https://pbs.twimg.com/profile_images/962471262747529216/Uo8lOkRJ_normal.jpg","View")</f>
        <v>View</v>
      </c>
      <c r="P14145" s="7"/>
    </row>
    <row r="14146" spans="1:16">
      <c r="A14146" s="3">
        <v>44310.808865740742</v>
      </c>
      <c r="B14146" s="4" t="str">
        <f>HYPERLINK("https://twitter.com/petrogustavo","@petrogustavo")</f>
        <v>@petrogustavo</v>
      </c>
      <c r="C14146" s="5" t="s">
        <v>16</v>
      </c>
      <c r="D14146" s="5" t="s">
        <v>13613</v>
      </c>
      <c r="E14146" s="6" t="str">
        <f>HYPERLINK("https://twitter.com/petrogustavo/status/1385955377423036427","1385955377423036427")</f>
        <v>1385955377423036427</v>
      </c>
      <c r="F14146" s="7" t="s">
        <v>17</v>
      </c>
      <c r="G14146" s="7">
        <v>4101543</v>
      </c>
      <c r="H14146" s="7">
        <v>2509</v>
      </c>
      <c r="I14146" s="7">
        <v>133</v>
      </c>
      <c r="J14146" s="7">
        <v>547</v>
      </c>
      <c r="K14146" s="7" t="s">
        <v>18</v>
      </c>
      <c r="L14146" s="8">
        <v>39987.315405092595</v>
      </c>
      <c r="M14146" s="9" t="s">
        <v>19</v>
      </c>
      <c r="N14146" s="9" t="s">
        <v>20</v>
      </c>
      <c r="O14146" s="6" t="str">
        <f>HYPERLINK("https://pbs.twimg.com/profile_images/962471262747529216/Uo8lOkRJ_normal.jpg","View")</f>
        <v>View</v>
      </c>
      <c r="P14146" s="7"/>
    </row>
    <row r="14147" spans="1:16">
      <c r="A14147" s="3">
        <v>44310.898402777777</v>
      </c>
      <c r="B14147" s="4" t="str">
        <f>HYPERLINK("https://twitter.com/petrogustavo","@petrogustavo")</f>
        <v>@petrogustavo</v>
      </c>
      <c r="C14147" s="5" t="s">
        <v>16</v>
      </c>
      <c r="D14147" s="5" t="s">
        <v>13614</v>
      </c>
      <c r="E14147" s="6" t="str">
        <f>HYPERLINK("https://twitter.com/petrogustavo/status/1385987825494069251","1385987825494069251")</f>
        <v>1385987825494069251</v>
      </c>
      <c r="F14147" s="7" t="s">
        <v>17</v>
      </c>
      <c r="G14147" s="7">
        <v>4100970</v>
      </c>
      <c r="H14147" s="7">
        <v>2510</v>
      </c>
      <c r="I14147" s="7">
        <v>3886</v>
      </c>
      <c r="J14147" s="7">
        <v>0</v>
      </c>
      <c r="K14147" s="7" t="s">
        <v>18</v>
      </c>
      <c r="L14147" s="8">
        <v>39987.315405092595</v>
      </c>
      <c r="M14147" s="9" t="s">
        <v>19</v>
      </c>
      <c r="N14147" s="9" t="s">
        <v>20</v>
      </c>
      <c r="O14147" s="6" t="str">
        <f>HYPERLINK("https://pbs.twimg.com/profile_images/962471262747529216/Uo8lOkRJ_normal.jpg","View")</f>
        <v>View</v>
      </c>
      <c r="P14147" s="7"/>
    </row>
    <row r="14148" spans="1:16">
      <c r="A14148" s="3">
        <v>44311.058194444442</v>
      </c>
      <c r="B14148" s="4" t="str">
        <f>HYPERLINK("https://twitter.com/petrogustavo","@petrogustavo")</f>
        <v>@petrogustavo</v>
      </c>
      <c r="C14148" s="5" t="s">
        <v>16</v>
      </c>
      <c r="D14148" s="5" t="s">
        <v>13615</v>
      </c>
      <c r="E14148" s="6" t="str">
        <f>HYPERLINK("https://twitter.com/petrogustavo/status/1386045731509784583","1386045731509784583")</f>
        <v>1386045731509784583</v>
      </c>
      <c r="F14148" s="7" t="s">
        <v>32</v>
      </c>
      <c r="G14148" s="7">
        <v>4101915</v>
      </c>
      <c r="H14148" s="7">
        <v>2509</v>
      </c>
      <c r="I14148" s="7">
        <v>131</v>
      </c>
      <c r="J14148" s="7">
        <v>0</v>
      </c>
      <c r="K14148" s="7" t="s">
        <v>18</v>
      </c>
      <c r="L14148" s="8">
        <v>39987.315405092595</v>
      </c>
      <c r="M14148" s="9" t="s">
        <v>19</v>
      </c>
      <c r="N14148" s="9" t="s">
        <v>20</v>
      </c>
      <c r="O14148" s="6" t="str">
        <f>HYPERLINK("https://pbs.twimg.com/profile_images/962471262747529216/Uo8lOkRJ_normal.jpg","View")</f>
        <v>View</v>
      </c>
      <c r="P14148" s="7"/>
    </row>
    <row r="14149" spans="1:16">
      <c r="A14149" s="3">
        <v>44311.071134259255</v>
      </c>
      <c r="B14149" s="4" t="str">
        <f>HYPERLINK("https://twitter.com/petrogustavo","@petrogustavo")</f>
        <v>@petrogustavo</v>
      </c>
      <c r="C14149" s="5" t="s">
        <v>16</v>
      </c>
      <c r="D14149" s="5" t="s">
        <v>13616</v>
      </c>
      <c r="E14149" s="6" t="str">
        <f>HYPERLINK("https://twitter.com/petrogustavo/status/1386050422465515524","1386050422465515524")</f>
        <v>1386050422465515524</v>
      </c>
      <c r="F14149" s="7" t="s">
        <v>32</v>
      </c>
      <c r="G14149" s="7">
        <v>4101931</v>
      </c>
      <c r="H14149" s="7">
        <v>2509</v>
      </c>
      <c r="I14149" s="7">
        <v>200</v>
      </c>
      <c r="J14149" s="7">
        <v>639</v>
      </c>
      <c r="K14149" s="7" t="s">
        <v>18</v>
      </c>
      <c r="L14149" s="8">
        <v>39987.315405092595</v>
      </c>
      <c r="M14149" s="9" t="s">
        <v>19</v>
      </c>
      <c r="N14149" s="9" t="s">
        <v>20</v>
      </c>
      <c r="O14149" s="6" t="str">
        <f>HYPERLINK("https://pbs.twimg.com/profile_images/962471262747529216/Uo8lOkRJ_normal.jpg","View")</f>
        <v>View</v>
      </c>
      <c r="P14149" s="7"/>
    </row>
    <row r="14150" spans="1:16">
      <c r="A14150" s="3">
        <v>44311.080682870372</v>
      </c>
      <c r="B14150" s="4" t="str">
        <f>HYPERLINK("https://twitter.com/petrogustavo","@petrogustavo")</f>
        <v>@petrogustavo</v>
      </c>
      <c r="C14150" s="5" t="s">
        <v>16</v>
      </c>
      <c r="D14150" s="5" t="s">
        <v>13617</v>
      </c>
      <c r="E14150" s="6" t="str">
        <f>HYPERLINK("https://twitter.com/petrogustavo/status/1386053881457696777","1386053881457696777")</f>
        <v>1386053881457696777</v>
      </c>
      <c r="F14150" s="7" t="s">
        <v>32</v>
      </c>
      <c r="G14150" s="7">
        <v>4101931</v>
      </c>
      <c r="H14150" s="7">
        <v>2509</v>
      </c>
      <c r="I14150" s="7">
        <v>12</v>
      </c>
      <c r="J14150" s="7">
        <v>0</v>
      </c>
      <c r="K14150" s="7" t="s">
        <v>18</v>
      </c>
      <c r="L14150" s="8">
        <v>39987.315405092595</v>
      </c>
      <c r="M14150" s="9" t="s">
        <v>19</v>
      </c>
      <c r="N14150" s="9" t="s">
        <v>20</v>
      </c>
      <c r="O14150" s="6" t="str">
        <f>HYPERLINK("https://pbs.twimg.com/profile_images/962471262747529216/Uo8lOkRJ_normal.jpg","View")</f>
        <v>View</v>
      </c>
      <c r="P14150" s="7"/>
    </row>
    <row r="14151" spans="1:16">
      <c r="A14151" s="3">
        <v>44311.244826388887</v>
      </c>
      <c r="B14151" s="4" t="str">
        <f>HYPERLINK("https://twitter.com/petrogustavo","@petrogustavo")</f>
        <v>@petrogustavo</v>
      </c>
      <c r="C14151" s="5" t="s">
        <v>16</v>
      </c>
      <c r="D14151" s="5" t="s">
        <v>13618</v>
      </c>
      <c r="E14151" s="6" t="str">
        <f>HYPERLINK("https://twitter.com/petrogustavo/status/1386113363038535682","1386113363038535682")</f>
        <v>1386113363038535682</v>
      </c>
      <c r="F14151" s="7" t="s">
        <v>32</v>
      </c>
      <c r="G14151" s="7">
        <v>4102135</v>
      </c>
      <c r="H14151" s="7">
        <v>2509</v>
      </c>
      <c r="I14151" s="7">
        <v>43</v>
      </c>
      <c r="J14151" s="7">
        <v>0</v>
      </c>
      <c r="K14151" s="7" t="s">
        <v>18</v>
      </c>
      <c r="L14151" s="8">
        <v>39987.315405092595</v>
      </c>
      <c r="M14151" s="9" t="s">
        <v>19</v>
      </c>
      <c r="N14151" s="9" t="s">
        <v>20</v>
      </c>
      <c r="O14151" s="6" t="str">
        <f>HYPERLINK("https://pbs.twimg.com/profile_images/962471262747529216/Uo8lOkRJ_normal.jpg","View")</f>
        <v>View</v>
      </c>
      <c r="P14151" s="7"/>
    </row>
    <row r="14152" spans="1:16">
      <c r="A14152" s="3">
        <v>44311.245219907403</v>
      </c>
      <c r="B14152" s="4" t="str">
        <f>HYPERLINK("https://twitter.com/petrogustavo","@petrogustavo")</f>
        <v>@petrogustavo</v>
      </c>
      <c r="C14152" s="5" t="s">
        <v>16</v>
      </c>
      <c r="D14152" s="5" t="s">
        <v>13619</v>
      </c>
      <c r="E14152" s="6" t="str">
        <f>HYPERLINK("https://twitter.com/petrogustavo/status/1386113505330225156","1386113505330225156")</f>
        <v>1386113505330225156</v>
      </c>
      <c r="F14152" s="7" t="s">
        <v>32</v>
      </c>
      <c r="G14152" s="7">
        <v>4102135</v>
      </c>
      <c r="H14152" s="7">
        <v>2509</v>
      </c>
      <c r="I14152" s="7">
        <v>84</v>
      </c>
      <c r="J14152" s="7">
        <v>0</v>
      </c>
      <c r="K14152" s="7" t="s">
        <v>18</v>
      </c>
      <c r="L14152" s="8">
        <v>39987.315405092595</v>
      </c>
      <c r="M14152" s="9" t="s">
        <v>19</v>
      </c>
      <c r="N14152" s="9" t="s">
        <v>20</v>
      </c>
      <c r="O14152" s="6" t="str">
        <f>HYPERLINK("https://pbs.twimg.com/profile_images/962471262747529216/Uo8lOkRJ_normal.jpg","View")</f>
        <v>View</v>
      </c>
      <c r="P14152" s="7"/>
    </row>
    <row r="14153" spans="1:16">
      <c r="A14153" s="3">
        <v>44311.779479166667</v>
      </c>
      <c r="B14153" s="4" t="str">
        <f>HYPERLINK("https://twitter.com/petrogustavo","@petrogustavo")</f>
        <v>@petrogustavo</v>
      </c>
      <c r="C14153" s="5" t="s">
        <v>16</v>
      </c>
      <c r="D14153" s="5" t="s">
        <v>13620</v>
      </c>
      <c r="E14153" s="6" t="str">
        <f>HYPERLINK("https://twitter.com/petrogustavo/status/1386307115438968836","1386307115438968836")</f>
        <v>1386307115438968836</v>
      </c>
      <c r="F14153" s="7" t="s">
        <v>17</v>
      </c>
      <c r="G14153" s="7">
        <v>4102564</v>
      </c>
      <c r="H14153" s="7">
        <v>2509</v>
      </c>
      <c r="I14153" s="7">
        <v>49</v>
      </c>
      <c r="J14153" s="7">
        <v>244</v>
      </c>
      <c r="K14153" s="7" t="s">
        <v>18</v>
      </c>
      <c r="L14153" s="8">
        <v>39987.315405092595</v>
      </c>
      <c r="M14153" s="9" t="s">
        <v>19</v>
      </c>
      <c r="N14153" s="9" t="s">
        <v>20</v>
      </c>
      <c r="O14153" s="6" t="str">
        <f>HYPERLINK("https://pbs.twimg.com/profile_images/962471262747529216/Uo8lOkRJ_normal.jpg","View")</f>
        <v>View</v>
      </c>
      <c r="P14153" s="7"/>
    </row>
    <row r="14154" spans="1:16">
      <c r="A14154" s="3">
        <v>44311.786898148144</v>
      </c>
      <c r="B14154" s="4" t="str">
        <f>HYPERLINK("https://twitter.com/petrogustavo","@petrogustavo")</f>
        <v>@petrogustavo</v>
      </c>
      <c r="C14154" s="5" t="s">
        <v>16</v>
      </c>
      <c r="D14154" s="5" t="s">
        <v>13621</v>
      </c>
      <c r="E14154" s="6" t="str">
        <f>HYPERLINK("https://twitter.com/petrogustavo/status/1386309804759699463","1386309804759699463")</f>
        <v>1386309804759699463</v>
      </c>
      <c r="F14154" s="7" t="s">
        <v>17</v>
      </c>
      <c r="G14154" s="7">
        <v>4102564</v>
      </c>
      <c r="H14154" s="7">
        <v>2509</v>
      </c>
      <c r="I14154" s="7">
        <v>70</v>
      </c>
      <c r="J14154" s="7">
        <v>0</v>
      </c>
      <c r="K14154" s="7" t="s">
        <v>18</v>
      </c>
      <c r="L14154" s="8">
        <v>39987.315405092595</v>
      </c>
      <c r="M14154" s="9" t="s">
        <v>19</v>
      </c>
      <c r="N14154" s="9" t="s">
        <v>20</v>
      </c>
      <c r="O14154" s="6" t="str">
        <f>HYPERLINK("https://pbs.twimg.com/profile_images/962471262747529216/Uo8lOkRJ_normal.jpg","View")</f>
        <v>View</v>
      </c>
      <c r="P14154" s="7"/>
    </row>
    <row r="14155" spans="1:16">
      <c r="A14155" s="3">
        <v>44311.806724537033</v>
      </c>
      <c r="B14155" s="4" t="str">
        <f>HYPERLINK("https://twitter.com/petrogustavo","@petrogustavo")</f>
        <v>@petrogustavo</v>
      </c>
      <c r="C14155" s="5" t="s">
        <v>16</v>
      </c>
      <c r="D14155" s="5" t="s">
        <v>13622</v>
      </c>
      <c r="E14155" s="6" t="str">
        <f>HYPERLINK("https://twitter.com/petrogustavo/status/1386316989505888256","1386316989505888256")</f>
        <v>1386316989505888256</v>
      </c>
      <c r="F14155" s="7" t="s">
        <v>17</v>
      </c>
      <c r="G14155" s="7">
        <v>4102588</v>
      </c>
      <c r="H14155" s="7">
        <v>2509</v>
      </c>
      <c r="I14155" s="7">
        <v>120</v>
      </c>
      <c r="J14155" s="7">
        <v>267</v>
      </c>
      <c r="K14155" s="7" t="s">
        <v>18</v>
      </c>
      <c r="L14155" s="8">
        <v>39987.315405092595</v>
      </c>
      <c r="M14155" s="9" t="s">
        <v>19</v>
      </c>
      <c r="N14155" s="9" t="s">
        <v>20</v>
      </c>
      <c r="O14155" s="6" t="str">
        <f>HYPERLINK("https://pbs.twimg.com/profile_images/962471262747529216/Uo8lOkRJ_normal.jpg","View")</f>
        <v>View</v>
      </c>
      <c r="P14155" s="7"/>
    </row>
    <row r="14156" spans="1:16">
      <c r="A14156" s="3">
        <v>44311.81831018519</v>
      </c>
      <c r="B14156" s="4" t="str">
        <f>HYPERLINK("https://twitter.com/petrogustavo","@petrogustavo")</f>
        <v>@petrogustavo</v>
      </c>
      <c r="C14156" s="5" t="s">
        <v>16</v>
      </c>
      <c r="D14156" s="5" t="s">
        <v>13623</v>
      </c>
      <c r="E14156" s="6" t="str">
        <f>HYPERLINK("https://twitter.com/petrogustavo/status/1386321189971193861","1386321189971193861")</f>
        <v>1386321189971193861</v>
      </c>
      <c r="F14156" s="7" t="s">
        <v>17</v>
      </c>
      <c r="G14156" s="7">
        <v>4102613</v>
      </c>
      <c r="H14156" s="7">
        <v>2509</v>
      </c>
      <c r="I14156" s="7">
        <v>163</v>
      </c>
      <c r="J14156" s="7">
        <v>406</v>
      </c>
      <c r="K14156" s="7" t="s">
        <v>18</v>
      </c>
      <c r="L14156" s="8">
        <v>39987.315405092595</v>
      </c>
      <c r="M14156" s="9" t="s">
        <v>19</v>
      </c>
      <c r="N14156" s="9" t="s">
        <v>20</v>
      </c>
      <c r="O14156" s="6" t="str">
        <f>HYPERLINK("https://pbs.twimg.com/profile_images/962471262747529216/Uo8lOkRJ_normal.jpg","View")</f>
        <v>View</v>
      </c>
      <c r="P14156" s="7"/>
    </row>
    <row r="14157" spans="1:16">
      <c r="A14157" s="3">
        <v>44311.821354166663</v>
      </c>
      <c r="B14157" s="4" t="str">
        <f>HYPERLINK("https://twitter.com/petrogustavo","@petrogustavo")</f>
        <v>@petrogustavo</v>
      </c>
      <c r="C14157" s="5" t="s">
        <v>16</v>
      </c>
      <c r="D14157" s="5" t="s">
        <v>13624</v>
      </c>
      <c r="E14157" s="6" t="str">
        <f>HYPERLINK("https://twitter.com/petrogustavo/status/1386322290351255554","1386322290351255554")</f>
        <v>1386322290351255554</v>
      </c>
      <c r="F14157" s="7" t="s">
        <v>17</v>
      </c>
      <c r="G14157" s="7">
        <v>4102613</v>
      </c>
      <c r="H14157" s="7">
        <v>2509</v>
      </c>
      <c r="I14157" s="7">
        <v>551</v>
      </c>
      <c r="J14157" s="7">
        <v>0</v>
      </c>
      <c r="K14157" s="7" t="s">
        <v>18</v>
      </c>
      <c r="L14157" s="8">
        <v>39987.315405092595</v>
      </c>
      <c r="M14157" s="9" t="s">
        <v>19</v>
      </c>
      <c r="N14157" s="9" t="s">
        <v>20</v>
      </c>
      <c r="O14157" s="6" t="str">
        <f>HYPERLINK("https://pbs.twimg.com/profile_images/962471262747529216/Uo8lOkRJ_normal.jpg","View")</f>
        <v>View</v>
      </c>
      <c r="P14157" s="7"/>
    </row>
    <row r="14158" spans="1:16">
      <c r="A14158" s="3">
        <v>44311.824270833335</v>
      </c>
      <c r="B14158" s="4" t="str">
        <f>HYPERLINK("https://twitter.com/petrogustavo","@petrogustavo")</f>
        <v>@petrogustavo</v>
      </c>
      <c r="C14158" s="5" t="s">
        <v>16</v>
      </c>
      <c r="D14158" s="5" t="s">
        <v>13625</v>
      </c>
      <c r="E14158" s="6" t="str">
        <f>HYPERLINK("https://twitter.com/petrogustavo/status/1386323347882061831","1386323347882061831")</f>
        <v>1386323347882061831</v>
      </c>
      <c r="F14158" s="7" t="s">
        <v>17</v>
      </c>
      <c r="G14158" s="7">
        <v>4102613</v>
      </c>
      <c r="H14158" s="7">
        <v>2509</v>
      </c>
      <c r="I14158" s="7">
        <v>163</v>
      </c>
      <c r="J14158" s="7">
        <v>0</v>
      </c>
      <c r="K14158" s="7" t="s">
        <v>18</v>
      </c>
      <c r="L14158" s="8">
        <v>39987.315405092595</v>
      </c>
      <c r="M14158" s="9" t="s">
        <v>19</v>
      </c>
      <c r="N14158" s="9" t="s">
        <v>20</v>
      </c>
      <c r="O14158" s="6" t="str">
        <f>HYPERLINK("https://pbs.twimg.com/profile_images/962471262747529216/Uo8lOkRJ_normal.jpg","View")</f>
        <v>View</v>
      </c>
      <c r="P14158" s="7"/>
    </row>
    <row r="14159" spans="1:16">
      <c r="A14159" s="3">
        <v>44311.836481481485</v>
      </c>
      <c r="B14159" s="4" t="str">
        <f>HYPERLINK("https://twitter.com/petrogustavo","@petrogustavo")</f>
        <v>@petrogustavo</v>
      </c>
      <c r="C14159" s="5" t="s">
        <v>16</v>
      </c>
      <c r="D14159" s="5" t="s">
        <v>13626</v>
      </c>
      <c r="E14159" s="6" t="str">
        <f>HYPERLINK("https://twitter.com/petrogustavo/status/1386327773279444993","1386327773279444993")</f>
        <v>1386327773279444993</v>
      </c>
      <c r="F14159" s="7" t="s">
        <v>17</v>
      </c>
      <c r="G14159" s="7">
        <v>4102641</v>
      </c>
      <c r="H14159" s="7">
        <v>2509</v>
      </c>
      <c r="I14159" s="7">
        <v>104</v>
      </c>
      <c r="J14159" s="7">
        <v>249</v>
      </c>
      <c r="K14159" s="7" t="s">
        <v>18</v>
      </c>
      <c r="L14159" s="8">
        <v>39987.315405092595</v>
      </c>
      <c r="M14159" s="9" t="s">
        <v>19</v>
      </c>
      <c r="N14159" s="9" t="s">
        <v>20</v>
      </c>
      <c r="O14159" s="6" t="str">
        <f>HYPERLINK("https://pbs.twimg.com/profile_images/962471262747529216/Uo8lOkRJ_normal.jpg","View")</f>
        <v>View</v>
      </c>
      <c r="P14159" s="7"/>
    </row>
    <row r="14160" spans="1:16">
      <c r="A14160" s="3">
        <v>44311.84784722222</v>
      </c>
      <c r="B14160" s="4" t="str">
        <f>HYPERLINK("https://twitter.com/petrogustavo","@petrogustavo")</f>
        <v>@petrogustavo</v>
      </c>
      <c r="C14160" s="5" t="s">
        <v>16</v>
      </c>
      <c r="D14160" s="5" t="s">
        <v>13627</v>
      </c>
      <c r="E14160" s="6" t="str">
        <f>HYPERLINK("https://twitter.com/petrogustavo/status/1386331892589465604","1386331892589465604")</f>
        <v>1386331892589465604</v>
      </c>
      <c r="F14160" s="7" t="s">
        <v>17</v>
      </c>
      <c r="G14160" s="7">
        <v>4102641</v>
      </c>
      <c r="H14160" s="7">
        <v>2509</v>
      </c>
      <c r="I14160" s="7">
        <v>79</v>
      </c>
      <c r="J14160" s="7">
        <v>204</v>
      </c>
      <c r="K14160" s="7" t="s">
        <v>18</v>
      </c>
      <c r="L14160" s="8">
        <v>39987.315405092595</v>
      </c>
      <c r="M14160" s="9" t="s">
        <v>19</v>
      </c>
      <c r="N14160" s="9" t="s">
        <v>20</v>
      </c>
      <c r="O14160" s="6" t="str">
        <f>HYPERLINK("https://pbs.twimg.com/profile_images/962471262747529216/Uo8lOkRJ_normal.jpg","View")</f>
        <v>View</v>
      </c>
      <c r="P14160" s="7"/>
    </row>
    <row r="14161" spans="1:16">
      <c r="A14161" s="3">
        <v>44311.860844907409</v>
      </c>
      <c r="B14161" s="4" t="str">
        <f>HYPERLINK("https://twitter.com/petrogustavo","@petrogustavo")</f>
        <v>@petrogustavo</v>
      </c>
      <c r="C14161" s="5" t="s">
        <v>16</v>
      </c>
      <c r="D14161" s="5" t="s">
        <v>13628</v>
      </c>
      <c r="E14161" s="6" t="str">
        <f>HYPERLINK("https://twitter.com/petrogustavo/status/1386336604063772672","1386336604063772672")</f>
        <v>1386336604063772672</v>
      </c>
      <c r="F14161" s="7" t="s">
        <v>17</v>
      </c>
      <c r="G14161" s="7">
        <v>4102679</v>
      </c>
      <c r="H14161" s="7">
        <v>2508</v>
      </c>
      <c r="I14161" s="7">
        <v>142</v>
      </c>
      <c r="J14161" s="7">
        <v>543</v>
      </c>
      <c r="K14161" s="7" t="s">
        <v>18</v>
      </c>
      <c r="L14161" s="8">
        <v>39987.315405092595</v>
      </c>
      <c r="M14161" s="9" t="s">
        <v>19</v>
      </c>
      <c r="N14161" s="9" t="s">
        <v>20</v>
      </c>
      <c r="O14161" s="6" t="str">
        <f>HYPERLINK("https://pbs.twimg.com/profile_images/962471262747529216/Uo8lOkRJ_normal.jpg","View")</f>
        <v>View</v>
      </c>
      <c r="P14161" s="7"/>
    </row>
    <row r="14162" spans="1:16">
      <c r="A14162" s="3">
        <v>44311.974259259259</v>
      </c>
      <c r="B14162" s="4" t="str">
        <f>HYPERLINK("https://twitter.com/petrogustavo","@petrogustavo")</f>
        <v>@petrogustavo</v>
      </c>
      <c r="C14162" s="5" t="s">
        <v>16</v>
      </c>
      <c r="D14162" s="5" t="s">
        <v>13629</v>
      </c>
      <c r="E14162" s="6" t="str">
        <f>HYPERLINK("https://twitter.com/petrogustavo/status/1386377702198988805","1386377702198988805")</f>
        <v>1386377702198988805</v>
      </c>
      <c r="F14162" s="7" t="s">
        <v>32</v>
      </c>
      <c r="G14162" s="7">
        <v>4102844</v>
      </c>
      <c r="H14162" s="7">
        <v>2508</v>
      </c>
      <c r="I14162" s="7">
        <v>323</v>
      </c>
      <c r="J14162" s="7">
        <v>0</v>
      </c>
      <c r="K14162" s="7" t="s">
        <v>18</v>
      </c>
      <c r="L14162" s="8">
        <v>39987.315405092595</v>
      </c>
      <c r="M14162" s="9" t="s">
        <v>19</v>
      </c>
      <c r="N14162" s="9" t="s">
        <v>20</v>
      </c>
      <c r="O14162" s="6" t="str">
        <f>HYPERLINK("https://pbs.twimg.com/profile_images/962471262747529216/Uo8lOkRJ_normal.jpg","View")</f>
        <v>View</v>
      </c>
      <c r="P14162" s="7"/>
    </row>
    <row r="14163" spans="1:16">
      <c r="A14163" s="3">
        <v>44311.974398148144</v>
      </c>
      <c r="B14163" s="4" t="str">
        <f>HYPERLINK("https://twitter.com/petrogustavo","@petrogustavo")</f>
        <v>@petrogustavo</v>
      </c>
      <c r="C14163" s="5" t="s">
        <v>16</v>
      </c>
      <c r="D14163" s="5" t="s">
        <v>13630</v>
      </c>
      <c r="E14163" s="6" t="str">
        <f>HYPERLINK("https://twitter.com/petrogustavo/status/1386377751599501314","1386377751599501314")</f>
        <v>1386377751599501314</v>
      </c>
      <c r="F14163" s="7" t="s">
        <v>32</v>
      </c>
      <c r="G14163" s="7">
        <v>4102844</v>
      </c>
      <c r="H14163" s="7">
        <v>2508</v>
      </c>
      <c r="I14163" s="7">
        <v>430</v>
      </c>
      <c r="J14163" s="7">
        <v>0</v>
      </c>
      <c r="K14163" s="7" t="s">
        <v>18</v>
      </c>
      <c r="L14163" s="8">
        <v>39987.315405092595</v>
      </c>
      <c r="M14163" s="9" t="s">
        <v>19</v>
      </c>
      <c r="N14163" s="9" t="s">
        <v>20</v>
      </c>
      <c r="O14163" s="6" t="str">
        <f>HYPERLINK("https://pbs.twimg.com/profile_images/962471262747529216/Uo8lOkRJ_normal.jpg","View")</f>
        <v>View</v>
      </c>
      <c r="P14163" s="7"/>
    </row>
    <row r="14164" spans="1:16">
      <c r="A14164" s="3">
        <v>44312.134305555555</v>
      </c>
      <c r="B14164" s="4" t="str">
        <f>HYPERLINK("https://twitter.com/petrogustavo","@petrogustavo")</f>
        <v>@petrogustavo</v>
      </c>
      <c r="C14164" s="5" t="s">
        <v>16</v>
      </c>
      <c r="D14164" s="5" t="s">
        <v>13630</v>
      </c>
      <c r="E14164" s="6" t="str">
        <f>HYPERLINK("https://twitter.com/petrogustavo/status/1386435699612676097","1386435699612676097")</f>
        <v>1386435699612676097</v>
      </c>
      <c r="F14164" s="7" t="s">
        <v>32</v>
      </c>
      <c r="G14164" s="7">
        <v>4103023</v>
      </c>
      <c r="H14164" s="7">
        <v>2508</v>
      </c>
      <c r="I14164" s="7">
        <v>733</v>
      </c>
      <c r="J14164" s="7">
        <v>0</v>
      </c>
      <c r="K14164" s="7" t="s">
        <v>18</v>
      </c>
      <c r="L14164" s="8">
        <v>39987.315405092595</v>
      </c>
      <c r="M14164" s="9" t="s">
        <v>19</v>
      </c>
      <c r="N14164" s="9" t="s">
        <v>20</v>
      </c>
      <c r="O14164" s="6" t="str">
        <f>HYPERLINK("https://pbs.twimg.com/profile_images/962471262747529216/Uo8lOkRJ_normal.jpg","View")</f>
        <v>View</v>
      </c>
      <c r="P14164" s="7"/>
    </row>
    <row r="14165" spans="1:16">
      <c r="A14165" s="3">
        <v>44312.233587962968</v>
      </c>
      <c r="B14165" s="4" t="str">
        <f>HYPERLINK("https://twitter.com/petrogustavo","@petrogustavo")</f>
        <v>@petrogustavo</v>
      </c>
      <c r="C14165" s="5" t="s">
        <v>16</v>
      </c>
      <c r="D14165" s="5" t="s">
        <v>13631</v>
      </c>
      <c r="E14165" s="6" t="str">
        <f>HYPERLINK("https://twitter.com/petrogustavo/status/1386471680457932803","1386471680457932803")</f>
        <v>1386471680457932803</v>
      </c>
      <c r="F14165" s="7" t="s">
        <v>22</v>
      </c>
      <c r="G14165" s="7">
        <v>4103235</v>
      </c>
      <c r="H14165" s="7">
        <v>2508</v>
      </c>
      <c r="I14165" s="7">
        <v>267</v>
      </c>
      <c r="J14165" s="7">
        <v>557</v>
      </c>
      <c r="K14165" s="7" t="s">
        <v>18</v>
      </c>
      <c r="L14165" s="8">
        <v>39987.315405092595</v>
      </c>
      <c r="M14165" s="9" t="s">
        <v>19</v>
      </c>
      <c r="N14165" s="9" t="s">
        <v>20</v>
      </c>
      <c r="O14165" s="6" t="str">
        <f>HYPERLINK("https://pbs.twimg.com/profile_images/962471262747529216/Uo8lOkRJ_normal.jpg","View")</f>
        <v>View</v>
      </c>
      <c r="P14165" s="7"/>
    </row>
    <row r="14166" spans="1:16">
      <c r="A14166" s="3">
        <v>44312.704317129625</v>
      </c>
      <c r="B14166" s="4" t="str">
        <f>HYPERLINK("https://twitter.com/petrogustavo","@petrogustavo")</f>
        <v>@petrogustavo</v>
      </c>
      <c r="C14166" s="5" t="s">
        <v>16</v>
      </c>
      <c r="D14166" s="5" t="s">
        <v>13632</v>
      </c>
      <c r="E14166" s="6" t="str">
        <f>HYPERLINK("https://twitter.com/petrogustavo/status/1386642267105021954","1386642267105021954")</f>
        <v>1386642267105021954</v>
      </c>
      <c r="F14166" s="7" t="s">
        <v>32</v>
      </c>
      <c r="G14166" s="7">
        <v>4103638</v>
      </c>
      <c r="H14166" s="7">
        <v>2508</v>
      </c>
      <c r="I14166" s="7">
        <v>287</v>
      </c>
      <c r="J14166" s="7">
        <v>701</v>
      </c>
      <c r="K14166" s="7" t="s">
        <v>18</v>
      </c>
      <c r="L14166" s="8">
        <v>39987.315405092595</v>
      </c>
      <c r="M14166" s="9" t="s">
        <v>19</v>
      </c>
      <c r="N14166" s="9" t="s">
        <v>20</v>
      </c>
      <c r="O14166" s="6" t="str">
        <f>HYPERLINK("https://pbs.twimg.com/profile_images/962471262747529216/Uo8lOkRJ_normal.jpg","View")</f>
        <v>View</v>
      </c>
      <c r="P14166" s="7"/>
    </row>
    <row r="14167" spans="1:16">
      <c r="A14167" s="3">
        <v>44312.740208333329</v>
      </c>
      <c r="B14167" s="4" t="str">
        <f>HYPERLINK("https://twitter.com/petrogustavo","@petrogustavo")</f>
        <v>@petrogustavo</v>
      </c>
      <c r="C14167" s="5" t="s">
        <v>16</v>
      </c>
      <c r="D14167" s="5" t="s">
        <v>13633</v>
      </c>
      <c r="E14167" s="6" t="str">
        <f>HYPERLINK("https://twitter.com/petrogustavo/status/1386655271632658436","1386655271632658436")</f>
        <v>1386655271632658436</v>
      </c>
      <c r="F14167" s="7" t="s">
        <v>32</v>
      </c>
      <c r="G14167" s="7">
        <v>4103641</v>
      </c>
      <c r="H14167" s="7">
        <v>2508</v>
      </c>
      <c r="I14167" s="7">
        <v>134</v>
      </c>
      <c r="J14167" s="7">
        <v>403</v>
      </c>
      <c r="K14167" s="7" t="s">
        <v>18</v>
      </c>
      <c r="L14167" s="8">
        <v>39987.315405092595</v>
      </c>
      <c r="M14167" s="9" t="s">
        <v>19</v>
      </c>
      <c r="N14167" s="9" t="s">
        <v>20</v>
      </c>
      <c r="O14167" s="6" t="str">
        <f>HYPERLINK("https://pbs.twimg.com/profile_images/962471262747529216/Uo8lOkRJ_normal.jpg","View")</f>
        <v>View</v>
      </c>
      <c r="P14167" s="7"/>
    </row>
    <row r="14168" spans="1:16">
      <c r="A14168" s="3">
        <v>44312.769606481481</v>
      </c>
      <c r="B14168" s="4" t="str">
        <f>HYPERLINK("https://twitter.com/petrogustavo","@petrogustavo")</f>
        <v>@petrogustavo</v>
      </c>
      <c r="C14168" s="5" t="s">
        <v>16</v>
      </c>
      <c r="D14168" s="5" t="s">
        <v>13634</v>
      </c>
      <c r="E14168" s="6" t="str">
        <f>HYPERLINK("https://twitter.com/petrogustavo/status/1386665927719243784","1386665927719243784")</f>
        <v>1386665927719243784</v>
      </c>
      <c r="F14168" s="7" t="s">
        <v>32</v>
      </c>
      <c r="G14168" s="7">
        <v>4103681</v>
      </c>
      <c r="H14168" s="7">
        <v>2508</v>
      </c>
      <c r="I14168" s="7">
        <v>300</v>
      </c>
      <c r="J14168" s="7">
        <v>1011</v>
      </c>
      <c r="K14168" s="7" t="s">
        <v>18</v>
      </c>
      <c r="L14168" s="8">
        <v>39987.315405092595</v>
      </c>
      <c r="M14168" s="9" t="s">
        <v>19</v>
      </c>
      <c r="N14168" s="9" t="s">
        <v>20</v>
      </c>
      <c r="O14168" s="6" t="str">
        <f>HYPERLINK("https://pbs.twimg.com/profile_images/962471262747529216/Uo8lOkRJ_normal.jpg","View")</f>
        <v>View</v>
      </c>
      <c r="P14168" s="7"/>
    </row>
    <row r="14169" spans="1:16">
      <c r="A14169" s="3">
        <v>44312.771724537037</v>
      </c>
      <c r="B14169" s="4" t="str">
        <f>HYPERLINK("https://twitter.com/petrogustavo","@petrogustavo")</f>
        <v>@petrogustavo</v>
      </c>
      <c r="C14169" s="5" t="s">
        <v>16</v>
      </c>
      <c r="D14169" s="5" t="s">
        <v>13635</v>
      </c>
      <c r="E14169" s="6" t="str">
        <f>HYPERLINK("https://twitter.com/petrogustavo/status/1386666691896152069","1386666691896152069")</f>
        <v>1386666691896152069</v>
      </c>
      <c r="F14169" s="7" t="s">
        <v>32</v>
      </c>
      <c r="G14169" s="7">
        <v>4103681</v>
      </c>
      <c r="H14169" s="7">
        <v>2508</v>
      </c>
      <c r="I14169" s="7">
        <v>120</v>
      </c>
      <c r="J14169" s="7">
        <v>336</v>
      </c>
      <c r="K14169" s="7" t="s">
        <v>18</v>
      </c>
      <c r="L14169" s="8">
        <v>39987.315405092595</v>
      </c>
      <c r="M14169" s="9" t="s">
        <v>19</v>
      </c>
      <c r="N14169" s="9" t="s">
        <v>20</v>
      </c>
      <c r="O14169" s="6" t="str">
        <f>HYPERLINK("https://pbs.twimg.com/profile_images/962471262747529216/Uo8lOkRJ_normal.jpg","View")</f>
        <v>View</v>
      </c>
      <c r="P14169" s="7"/>
    </row>
    <row r="14170" spans="1:16">
      <c r="A14170" s="3">
        <v>44312.804178240738</v>
      </c>
      <c r="B14170" s="4" t="str">
        <f>HYPERLINK("https://twitter.com/petrogustavo","@petrogustavo")</f>
        <v>@petrogustavo</v>
      </c>
      <c r="C14170" s="5" t="s">
        <v>16</v>
      </c>
      <c r="D14170" s="5" t="s">
        <v>13636</v>
      </c>
      <c r="E14170" s="6" t="str">
        <f>HYPERLINK("https://twitter.com/petrogustavo/status/1386678454284914690","1386678454284914690")</f>
        <v>1386678454284914690</v>
      </c>
      <c r="F14170" s="7" t="s">
        <v>17</v>
      </c>
      <c r="G14170" s="7">
        <v>4103758</v>
      </c>
      <c r="H14170" s="7">
        <v>2508</v>
      </c>
      <c r="I14170" s="7">
        <v>253</v>
      </c>
      <c r="J14170" s="7">
        <v>991</v>
      </c>
      <c r="K14170" s="7" t="s">
        <v>18</v>
      </c>
      <c r="L14170" s="8">
        <v>39987.315405092595</v>
      </c>
      <c r="M14170" s="9" t="s">
        <v>19</v>
      </c>
      <c r="N14170" s="9" t="s">
        <v>20</v>
      </c>
      <c r="O14170" s="6" t="str">
        <f>HYPERLINK("https://pbs.twimg.com/profile_images/962471262747529216/Uo8lOkRJ_normal.jpg","View")</f>
        <v>View</v>
      </c>
      <c r="P14170" s="7"/>
    </row>
    <row r="14171" spans="1:16">
      <c r="A14171" s="3">
        <v>44312.823599537034</v>
      </c>
      <c r="B14171" s="4" t="str">
        <f>HYPERLINK("https://twitter.com/petrogustavo","@petrogustavo")</f>
        <v>@petrogustavo</v>
      </c>
      <c r="C14171" s="5" t="s">
        <v>16</v>
      </c>
      <c r="D14171" s="5" t="s">
        <v>13637</v>
      </c>
      <c r="E14171" s="6" t="str">
        <f>HYPERLINK("https://twitter.com/petrogustavo/status/1386685493639778305","1386685493639778305")</f>
        <v>1386685493639778305</v>
      </c>
      <c r="F14171" s="7" t="s">
        <v>17</v>
      </c>
      <c r="G14171" s="7">
        <v>4103791</v>
      </c>
      <c r="H14171" s="7">
        <v>2509</v>
      </c>
      <c r="I14171" s="7">
        <v>98</v>
      </c>
      <c r="J14171" s="7">
        <v>402</v>
      </c>
      <c r="K14171" s="7" t="s">
        <v>18</v>
      </c>
      <c r="L14171" s="8">
        <v>39987.315405092595</v>
      </c>
      <c r="M14171" s="9" t="s">
        <v>19</v>
      </c>
      <c r="N14171" s="9" t="s">
        <v>20</v>
      </c>
      <c r="O14171" s="6" t="str">
        <f>HYPERLINK("https://pbs.twimg.com/profile_images/962471262747529216/Uo8lOkRJ_normal.jpg","View")</f>
        <v>View</v>
      </c>
      <c r="P14171" s="7"/>
    </row>
    <row r="14172" spans="1:16">
      <c r="A14172" s="3">
        <v>44313.820509259254</v>
      </c>
      <c r="B14172" s="4" t="str">
        <f>HYPERLINK("https://twitter.com/petrogustavo","@petrogustavo")</f>
        <v>@petrogustavo</v>
      </c>
      <c r="C14172" s="5" t="s">
        <v>16</v>
      </c>
      <c r="D14172" s="5" t="s">
        <v>13638</v>
      </c>
      <c r="E14172" s="6" t="str">
        <f>HYPERLINK("https://twitter.com/petrogustavo/status/1387046761240268801","1387046761240268801")</f>
        <v>1387046761240268801</v>
      </c>
      <c r="F14172" s="7" t="s">
        <v>32</v>
      </c>
      <c r="G14172" s="7">
        <v>4105306</v>
      </c>
      <c r="H14172" s="7">
        <v>2511</v>
      </c>
      <c r="I14172" s="7">
        <v>357</v>
      </c>
      <c r="J14172" s="7">
        <v>1605</v>
      </c>
      <c r="K14172" s="7" t="s">
        <v>18</v>
      </c>
      <c r="L14172" s="8">
        <v>39987.315405092595</v>
      </c>
      <c r="M14172" s="9" t="s">
        <v>19</v>
      </c>
      <c r="N14172" s="9" t="s">
        <v>20</v>
      </c>
      <c r="O14172" s="6" t="str">
        <f>HYPERLINK("https://pbs.twimg.com/profile_images/962471262747529216/Uo8lOkRJ_normal.jpg","View")</f>
        <v>View</v>
      </c>
      <c r="P14172" s="7"/>
    </row>
    <row r="14173" spans="1:16">
      <c r="A14173" s="3">
        <v>44313.822638888887</v>
      </c>
      <c r="B14173" s="4" t="str">
        <f>HYPERLINK("https://twitter.com/petrogustavo","@petrogustavo")</f>
        <v>@petrogustavo</v>
      </c>
      <c r="C14173" s="5" t="s">
        <v>16</v>
      </c>
      <c r="D14173" s="5" t="s">
        <v>13639</v>
      </c>
      <c r="E14173" s="6" t="str">
        <f>HYPERLINK("https://twitter.com/petrogustavo/status/1387047530874085384","1387047530874085384")</f>
        <v>1387047530874085384</v>
      </c>
      <c r="F14173" s="7" t="s">
        <v>32</v>
      </c>
      <c r="G14173" s="7">
        <v>4105306</v>
      </c>
      <c r="H14173" s="7">
        <v>2511</v>
      </c>
      <c r="I14173" s="7">
        <v>75</v>
      </c>
      <c r="J14173" s="7">
        <v>266</v>
      </c>
      <c r="K14173" s="7" t="s">
        <v>18</v>
      </c>
      <c r="L14173" s="8">
        <v>39987.315405092595</v>
      </c>
      <c r="M14173" s="9" t="s">
        <v>19</v>
      </c>
      <c r="N14173" s="9" t="s">
        <v>20</v>
      </c>
      <c r="O14173" s="6" t="str">
        <f>HYPERLINK("https://pbs.twimg.com/profile_images/962471262747529216/Uo8lOkRJ_normal.jpg","View")</f>
        <v>View</v>
      </c>
      <c r="P14173" s="7"/>
    </row>
    <row r="14174" spans="1:16">
      <c r="A14174" s="3">
        <v>44313.833020833335</v>
      </c>
      <c r="B14174" s="4" t="str">
        <f>HYPERLINK("https://twitter.com/petrogustavo","@petrogustavo")</f>
        <v>@petrogustavo</v>
      </c>
      <c r="C14174" s="5" t="s">
        <v>16</v>
      </c>
      <c r="D14174" s="5" t="s">
        <v>13640</v>
      </c>
      <c r="E14174" s="6" t="str">
        <f>HYPERLINK("https://twitter.com/petrogustavo/status/1387051295840759815","1387051295840759815")</f>
        <v>1387051295840759815</v>
      </c>
      <c r="F14174" s="7" t="s">
        <v>32</v>
      </c>
      <c r="G14174" s="7">
        <v>4105306</v>
      </c>
      <c r="H14174" s="7">
        <v>2511</v>
      </c>
      <c r="I14174" s="7">
        <v>357</v>
      </c>
      <c r="J14174" s="7">
        <v>0</v>
      </c>
      <c r="K14174" s="7" t="s">
        <v>18</v>
      </c>
      <c r="L14174" s="8">
        <v>39987.315405092595</v>
      </c>
      <c r="M14174" s="9" t="s">
        <v>19</v>
      </c>
      <c r="N14174" s="9" t="s">
        <v>20</v>
      </c>
      <c r="O14174" s="6" t="str">
        <f>HYPERLINK("https://pbs.twimg.com/profile_images/962471262747529216/Uo8lOkRJ_normal.jpg","View")</f>
        <v>View</v>
      </c>
      <c r="P14174" s="7"/>
    </row>
    <row r="14175" spans="1:16">
      <c r="A14175" s="3">
        <v>44314.175266203703</v>
      </c>
      <c r="B14175" s="4" t="str">
        <f>HYPERLINK("https://twitter.com/petrogustavo","@petrogustavo")</f>
        <v>@petrogustavo</v>
      </c>
      <c r="C14175" s="5" t="s">
        <v>16</v>
      </c>
      <c r="D14175" s="5" t="s">
        <v>13641</v>
      </c>
      <c r="E14175" s="6" t="str">
        <f>HYPERLINK("https://twitter.com/petrogustavo/status/1387175322039242755","1387175322039242755")</f>
        <v>1387175322039242755</v>
      </c>
      <c r="F14175" s="7" t="s">
        <v>17</v>
      </c>
      <c r="G14175" s="7">
        <v>4106888</v>
      </c>
      <c r="H14175" s="7">
        <v>2510</v>
      </c>
      <c r="I14175" s="7">
        <v>644</v>
      </c>
      <c r="J14175" s="7">
        <v>2169</v>
      </c>
      <c r="K14175" s="7" t="s">
        <v>18</v>
      </c>
      <c r="L14175" s="8">
        <v>39987.315405092595</v>
      </c>
      <c r="M14175" s="9" t="s">
        <v>19</v>
      </c>
      <c r="N14175" s="9" t="s">
        <v>20</v>
      </c>
      <c r="O14175" s="6" t="str">
        <f>HYPERLINK("https://pbs.twimg.com/profile_images/962471262747529216/Uo8lOkRJ_normal.jpg","View")</f>
        <v>View</v>
      </c>
      <c r="P14175" s="7"/>
    </row>
    <row r="14176" spans="1:16">
      <c r="A14176" s="3">
        <v>44314.290474537032</v>
      </c>
      <c r="B14176" s="4" t="str">
        <f>HYPERLINK("https://twitter.com/petrogustavo","@petrogustavo")</f>
        <v>@petrogustavo</v>
      </c>
      <c r="C14176" s="5" t="s">
        <v>16</v>
      </c>
      <c r="D14176" s="5" t="s">
        <v>13642</v>
      </c>
      <c r="E14176" s="6" t="str">
        <f>HYPERLINK("https://twitter.com/petrogustavo/status/1387217071130415104","1387217071130415104")</f>
        <v>1387217071130415104</v>
      </c>
      <c r="F14176" s="7" t="s">
        <v>17</v>
      </c>
      <c r="G14176" s="7">
        <v>4107213</v>
      </c>
      <c r="H14176" s="7">
        <v>2510</v>
      </c>
      <c r="I14176" s="7">
        <v>340</v>
      </c>
      <c r="J14176" s="7">
        <v>946</v>
      </c>
      <c r="K14176" s="7" t="s">
        <v>18</v>
      </c>
      <c r="L14176" s="8">
        <v>39987.315405092595</v>
      </c>
      <c r="M14176" s="9" t="s">
        <v>19</v>
      </c>
      <c r="N14176" s="9" t="s">
        <v>20</v>
      </c>
      <c r="O14176" s="6" t="str">
        <f>HYPERLINK("https://pbs.twimg.com/profile_images/962471262747529216/Uo8lOkRJ_normal.jpg","View")</f>
        <v>View</v>
      </c>
      <c r="P14176" s="7"/>
    </row>
    <row r="14177" spans="1:16">
      <c r="A14177" s="3">
        <v>44314.336597222224</v>
      </c>
      <c r="B14177" s="4" t="str">
        <f>HYPERLINK("https://twitter.com/petrogustavo","@petrogustavo")</f>
        <v>@petrogustavo</v>
      </c>
      <c r="C14177" s="5" t="s">
        <v>16</v>
      </c>
      <c r="D14177" s="5" t="s">
        <v>13643</v>
      </c>
      <c r="E14177" s="6" t="str">
        <f>HYPERLINK("https://twitter.com/petrogustavo/status/1387233785964605441","1387233785964605441")</f>
        <v>1387233785964605441</v>
      </c>
      <c r="F14177" s="7" t="s">
        <v>21</v>
      </c>
      <c r="G14177" s="7">
        <v>4107515</v>
      </c>
      <c r="H14177" s="7">
        <v>2510</v>
      </c>
      <c r="I14177" s="7">
        <v>1733</v>
      </c>
      <c r="J14177" s="7">
        <v>4353</v>
      </c>
      <c r="K14177" s="7" t="s">
        <v>18</v>
      </c>
      <c r="L14177" s="8">
        <v>39987.315405092595</v>
      </c>
      <c r="M14177" s="9" t="s">
        <v>19</v>
      </c>
      <c r="N14177" s="9" t="s">
        <v>20</v>
      </c>
      <c r="O14177" s="6" t="str">
        <f>HYPERLINK("https://pbs.twimg.com/profile_images/962471262747529216/Uo8lOkRJ_normal.jpg","View")</f>
        <v>View</v>
      </c>
      <c r="P14177" s="7"/>
    </row>
    <row r="14178" spans="1:16">
      <c r="A14178" s="3">
        <v>44314.752627314811</v>
      </c>
      <c r="B14178" s="4" t="str">
        <f>HYPERLINK("https://twitter.com/petrogustavo","@petrogustavo")</f>
        <v>@petrogustavo</v>
      </c>
      <c r="C14178" s="5" t="s">
        <v>16</v>
      </c>
      <c r="D14178" s="5" t="s">
        <v>13644</v>
      </c>
      <c r="E14178" s="6" t="str">
        <f>HYPERLINK("https://twitter.com/petrogustavo/status/1387384549043277826","1387384549043277826")</f>
        <v>1387384549043277826</v>
      </c>
      <c r="F14178" s="7" t="s">
        <v>17</v>
      </c>
      <c r="G14178" s="7">
        <v>4108209</v>
      </c>
      <c r="H14178" s="7">
        <v>2510</v>
      </c>
      <c r="I14178" s="7">
        <v>5755</v>
      </c>
      <c r="J14178" s="7">
        <v>0</v>
      </c>
      <c r="K14178" s="7" t="s">
        <v>18</v>
      </c>
      <c r="L14178" s="8">
        <v>39987.315405092595</v>
      </c>
      <c r="M14178" s="9" t="s">
        <v>19</v>
      </c>
      <c r="N14178" s="9" t="s">
        <v>20</v>
      </c>
      <c r="O14178" s="6" t="str">
        <f>HYPERLINK("https://pbs.twimg.com/profile_images/962471262747529216/Uo8lOkRJ_normal.jpg","View")</f>
        <v>View</v>
      </c>
      <c r="P14178" s="7"/>
    </row>
    <row r="14179" spans="1:16">
      <c r="A14179" s="3">
        <v>44315.740057870367</v>
      </c>
      <c r="B14179" s="4" t="str">
        <f>HYPERLINK("https://twitter.com/petrogustavo","@petrogustavo")</f>
        <v>@petrogustavo</v>
      </c>
      <c r="C14179" s="5" t="s">
        <v>16</v>
      </c>
      <c r="D14179" s="5" t="s">
        <v>13645</v>
      </c>
      <c r="E14179" s="6" t="str">
        <f>HYPERLINK("https://twitter.com/petrogustavo/status/1387742381127127047","1387742381127127047")</f>
        <v>1387742381127127047</v>
      </c>
      <c r="F14179" s="7" t="s">
        <v>32</v>
      </c>
      <c r="G14179" s="7">
        <v>4112757</v>
      </c>
      <c r="H14179" s="7">
        <v>2509</v>
      </c>
      <c r="I14179" s="7">
        <v>151</v>
      </c>
      <c r="J14179" s="7">
        <v>0</v>
      </c>
      <c r="K14179" s="7" t="s">
        <v>18</v>
      </c>
      <c r="L14179" s="8">
        <v>39987.315405092595</v>
      </c>
      <c r="M14179" s="9" t="s">
        <v>19</v>
      </c>
      <c r="N14179" s="9" t="s">
        <v>20</v>
      </c>
      <c r="O14179" s="6" t="str">
        <f>HYPERLINK("https://pbs.twimg.com/profile_images/962471262747529216/Uo8lOkRJ_normal.jpg","View")</f>
        <v>View</v>
      </c>
      <c r="P14179" s="7"/>
    </row>
    <row r="14180" spans="1:16">
      <c r="A14180" s="3">
        <v>44315.744583333333</v>
      </c>
      <c r="B14180" s="4" t="str">
        <f>HYPERLINK("https://twitter.com/petrogustavo","@petrogustavo")</f>
        <v>@petrogustavo</v>
      </c>
      <c r="C14180" s="5" t="s">
        <v>16</v>
      </c>
      <c r="D14180" s="5" t="s">
        <v>13646</v>
      </c>
      <c r="E14180" s="6" t="str">
        <f>HYPERLINK("https://twitter.com/petrogustavo/status/1387744023436267528","1387744023436267528")</f>
        <v>1387744023436267528</v>
      </c>
      <c r="F14180" s="7" t="s">
        <v>32</v>
      </c>
      <c r="G14180" s="7">
        <v>4112757</v>
      </c>
      <c r="H14180" s="7">
        <v>2509</v>
      </c>
      <c r="I14180" s="7">
        <v>48</v>
      </c>
      <c r="J14180" s="7">
        <v>0</v>
      </c>
      <c r="K14180" s="7" t="s">
        <v>18</v>
      </c>
      <c r="L14180" s="8">
        <v>39987.315405092595</v>
      </c>
      <c r="M14180" s="9" t="s">
        <v>19</v>
      </c>
      <c r="N14180" s="9" t="s">
        <v>20</v>
      </c>
      <c r="O14180" s="6" t="str">
        <f>HYPERLINK("https://pbs.twimg.com/profile_images/962471262747529216/Uo8lOkRJ_normal.jpg","View")</f>
        <v>View</v>
      </c>
      <c r="P14180" s="7"/>
    </row>
    <row r="14181" spans="1:16">
      <c r="A14181" s="3">
        <v>44315.745763888888</v>
      </c>
      <c r="B14181" s="4" t="str">
        <f>HYPERLINK("https://twitter.com/petrogustavo","@petrogustavo")</f>
        <v>@petrogustavo</v>
      </c>
      <c r="C14181" s="5" t="s">
        <v>16</v>
      </c>
      <c r="D14181" s="5" t="s">
        <v>13647</v>
      </c>
      <c r="E14181" s="6" t="str">
        <f>HYPERLINK("https://twitter.com/petrogustavo/status/1387744449409716225","1387744449409716225")</f>
        <v>1387744449409716225</v>
      </c>
      <c r="F14181" s="7" t="s">
        <v>32</v>
      </c>
      <c r="G14181" s="7">
        <v>4112757</v>
      </c>
      <c r="H14181" s="7">
        <v>2509</v>
      </c>
      <c r="I14181" s="7">
        <v>914</v>
      </c>
      <c r="J14181" s="7">
        <v>0</v>
      </c>
      <c r="K14181" s="7" t="s">
        <v>18</v>
      </c>
      <c r="L14181" s="8">
        <v>39987.315405092595</v>
      </c>
      <c r="M14181" s="9" t="s">
        <v>19</v>
      </c>
      <c r="N14181" s="9" t="s">
        <v>20</v>
      </c>
      <c r="O14181" s="6" t="str">
        <f>HYPERLINK("https://pbs.twimg.com/profile_images/962471262747529216/Uo8lOkRJ_normal.jpg","View")</f>
        <v>View</v>
      </c>
      <c r="P14181" s="7"/>
    </row>
    <row r="14182" spans="1:16">
      <c r="A14182" s="3">
        <v>44315.746203703704</v>
      </c>
      <c r="B14182" s="4" t="str">
        <f>HYPERLINK("https://twitter.com/petrogustavo","@petrogustavo")</f>
        <v>@petrogustavo</v>
      </c>
      <c r="C14182" s="5" t="s">
        <v>16</v>
      </c>
      <c r="D14182" s="5" t="s">
        <v>13648</v>
      </c>
      <c r="E14182" s="6" t="str">
        <f>HYPERLINK("https://twitter.com/petrogustavo/status/1387744609787334658","1387744609787334658")</f>
        <v>1387744609787334658</v>
      </c>
      <c r="F14182" s="7" t="s">
        <v>32</v>
      </c>
      <c r="G14182" s="7">
        <v>4112757</v>
      </c>
      <c r="H14182" s="7">
        <v>2509</v>
      </c>
      <c r="I14182" s="7">
        <v>56</v>
      </c>
      <c r="J14182" s="7">
        <v>0</v>
      </c>
      <c r="K14182" s="7" t="s">
        <v>18</v>
      </c>
      <c r="L14182" s="8">
        <v>39987.315405092595</v>
      </c>
      <c r="M14182" s="9" t="s">
        <v>19</v>
      </c>
      <c r="N14182" s="9" t="s">
        <v>20</v>
      </c>
      <c r="O14182" s="6" t="str">
        <f>HYPERLINK("https://pbs.twimg.com/profile_images/962471262747529216/Uo8lOkRJ_normal.jpg","View")</f>
        <v>View</v>
      </c>
      <c r="P14182" s="7"/>
    </row>
    <row r="14183" spans="1:16">
      <c r="A14183" s="3">
        <v>44315.750208333338</v>
      </c>
      <c r="B14183" s="4" t="str">
        <f>HYPERLINK("https://twitter.com/petrogustavo","@petrogustavo")</f>
        <v>@petrogustavo</v>
      </c>
      <c r="C14183" s="5" t="s">
        <v>16</v>
      </c>
      <c r="D14183" s="5" t="s">
        <v>13649</v>
      </c>
      <c r="E14183" s="6" t="str">
        <f>HYPERLINK("https://twitter.com/petrogustavo/status/1387746060416831492","1387746060416831492")</f>
        <v>1387746060416831492</v>
      </c>
      <c r="F14183" s="7" t="s">
        <v>32</v>
      </c>
      <c r="G14183" s="7">
        <v>4112757</v>
      </c>
      <c r="H14183" s="7">
        <v>2509</v>
      </c>
      <c r="I14183" s="7">
        <v>109</v>
      </c>
      <c r="J14183" s="7">
        <v>314</v>
      </c>
      <c r="K14183" s="7" t="s">
        <v>18</v>
      </c>
      <c r="L14183" s="8">
        <v>39987.315405092595</v>
      </c>
      <c r="M14183" s="9" t="s">
        <v>19</v>
      </c>
      <c r="N14183" s="9" t="s">
        <v>20</v>
      </c>
      <c r="O14183" s="6" t="str">
        <f>HYPERLINK("https://pbs.twimg.com/profile_images/962471262747529216/Uo8lOkRJ_normal.jpg","View")</f>
        <v>View</v>
      </c>
      <c r="P14183" s="7"/>
    </row>
    <row r="14184" spans="1:16">
      <c r="A14184" s="3">
        <v>44315.754386574074</v>
      </c>
      <c r="B14184" s="4" t="str">
        <f>HYPERLINK("https://twitter.com/petrogustavo","@petrogustavo")</f>
        <v>@petrogustavo</v>
      </c>
      <c r="C14184" s="5" t="s">
        <v>16</v>
      </c>
      <c r="D14184" s="5" t="s">
        <v>13650</v>
      </c>
      <c r="E14184" s="6" t="str">
        <f>HYPERLINK("https://twitter.com/petrogustavo/status/1387747575328133124","1387747575328133124")</f>
        <v>1387747575328133124</v>
      </c>
      <c r="F14184" s="7" t="s">
        <v>17</v>
      </c>
      <c r="G14184" s="7">
        <v>4112846</v>
      </c>
      <c r="H14184" s="7">
        <v>2509</v>
      </c>
      <c r="I14184" s="7">
        <v>318</v>
      </c>
      <c r="J14184" s="7">
        <v>1019</v>
      </c>
      <c r="K14184" s="7" t="s">
        <v>18</v>
      </c>
      <c r="L14184" s="8">
        <v>39987.315405092595</v>
      </c>
      <c r="M14184" s="9" t="s">
        <v>19</v>
      </c>
      <c r="N14184" s="9" t="s">
        <v>20</v>
      </c>
      <c r="O14184" s="6" t="str">
        <f>HYPERLINK("https://pbs.twimg.com/profile_images/962471262747529216/Uo8lOkRJ_normal.jpg","View")</f>
        <v>View</v>
      </c>
      <c r="P14184" s="7"/>
    </row>
    <row r="14185" spans="1:16">
      <c r="A14185" s="3">
        <v>44315.811099537037</v>
      </c>
      <c r="B14185" s="4" t="str">
        <f>HYPERLINK("https://twitter.com/petrogustavo","@petrogustavo")</f>
        <v>@petrogustavo</v>
      </c>
      <c r="C14185" s="5" t="s">
        <v>16</v>
      </c>
      <c r="D14185" s="5" t="s">
        <v>13651</v>
      </c>
      <c r="E14185" s="6" t="str">
        <f>HYPERLINK("https://twitter.com/petrogustavo/status/1387768127853846537","1387768127853846537")</f>
        <v>1387768127853846537</v>
      </c>
      <c r="F14185" s="7" t="s">
        <v>32</v>
      </c>
      <c r="G14185" s="7">
        <v>4113020</v>
      </c>
      <c r="H14185" s="7">
        <v>2509</v>
      </c>
      <c r="I14185" s="7">
        <v>104</v>
      </c>
      <c r="J14185" s="7">
        <v>348</v>
      </c>
      <c r="K14185" s="7" t="s">
        <v>18</v>
      </c>
      <c r="L14185" s="8">
        <v>39987.315405092595</v>
      </c>
      <c r="M14185" s="9" t="s">
        <v>19</v>
      </c>
      <c r="N14185" s="9" t="s">
        <v>20</v>
      </c>
      <c r="O14185" s="6" t="str">
        <f>HYPERLINK("https://pbs.twimg.com/profile_images/962471262747529216/Uo8lOkRJ_normal.jpg","View")</f>
        <v>View</v>
      </c>
      <c r="P14185" s="7"/>
    </row>
    <row r="14186" spans="1:16">
      <c r="A14186" s="3">
        <v>44315.824745370366</v>
      </c>
      <c r="B14186" s="4" t="str">
        <f>HYPERLINK("https://twitter.com/petrogustavo","@petrogustavo")</f>
        <v>@petrogustavo</v>
      </c>
      <c r="C14186" s="5" t="s">
        <v>16</v>
      </c>
      <c r="D14186" s="5" t="s">
        <v>13652</v>
      </c>
      <c r="E14186" s="6" t="str">
        <f>HYPERLINK("https://twitter.com/petrogustavo/status/1387773069805096964","1387773069805096964")</f>
        <v>1387773069805096964</v>
      </c>
      <c r="F14186" s="7" t="s">
        <v>17</v>
      </c>
      <c r="G14186" s="7">
        <v>4113112</v>
      </c>
      <c r="H14186" s="7">
        <v>2509</v>
      </c>
      <c r="I14186" s="7">
        <v>169</v>
      </c>
      <c r="J14186" s="7">
        <v>605</v>
      </c>
      <c r="K14186" s="7" t="s">
        <v>18</v>
      </c>
      <c r="L14186" s="8">
        <v>39987.315405092595</v>
      </c>
      <c r="M14186" s="9" t="s">
        <v>19</v>
      </c>
      <c r="N14186" s="9" t="s">
        <v>20</v>
      </c>
      <c r="O14186" s="6" t="str">
        <f>HYPERLINK("https://pbs.twimg.com/profile_images/962471262747529216/Uo8lOkRJ_normal.jpg","View")</f>
        <v>View</v>
      </c>
      <c r="P14186" s="7"/>
    </row>
    <row r="14187" spans="1:16">
      <c r="A14187" s="3">
        <v>44315.82984953704</v>
      </c>
      <c r="B14187" s="4" t="str">
        <f>HYPERLINK("https://twitter.com/petrogustavo","@petrogustavo")</f>
        <v>@petrogustavo</v>
      </c>
      <c r="C14187" s="5" t="s">
        <v>16</v>
      </c>
      <c r="D14187" s="5" t="s">
        <v>13653</v>
      </c>
      <c r="E14187" s="6" t="str">
        <f>HYPERLINK("https://twitter.com/petrogustavo/status/1387774922118815753","1387774922118815753")</f>
        <v>1387774922118815753</v>
      </c>
      <c r="F14187" s="7" t="s">
        <v>32</v>
      </c>
      <c r="G14187" s="7">
        <v>4113112</v>
      </c>
      <c r="H14187" s="7">
        <v>2509</v>
      </c>
      <c r="I14187" s="7">
        <v>199</v>
      </c>
      <c r="J14187" s="7">
        <v>648</v>
      </c>
      <c r="K14187" s="7" t="s">
        <v>18</v>
      </c>
      <c r="L14187" s="8">
        <v>39987.315405092595</v>
      </c>
      <c r="M14187" s="9" t="s">
        <v>19</v>
      </c>
      <c r="N14187" s="9" t="s">
        <v>20</v>
      </c>
      <c r="O14187" s="6" t="str">
        <f>HYPERLINK("https://pbs.twimg.com/profile_images/962471262747529216/Uo8lOkRJ_normal.jpg","View")</f>
        <v>View</v>
      </c>
      <c r="P14187" s="7"/>
    </row>
    <row r="14188" spans="1:16">
      <c r="A14188" s="3">
        <v>44315.832650462966</v>
      </c>
      <c r="B14188" s="4" t="str">
        <f>HYPERLINK("https://twitter.com/petrogustavo","@petrogustavo")</f>
        <v>@petrogustavo</v>
      </c>
      <c r="C14188" s="5" t="s">
        <v>16</v>
      </c>
      <c r="D14188" s="5" t="s">
        <v>13654</v>
      </c>
      <c r="E14188" s="6" t="str">
        <f>HYPERLINK("https://twitter.com/petrogustavo/status/1387775934498017286","1387775934498017286")</f>
        <v>1387775934498017286</v>
      </c>
      <c r="F14188" s="7" t="s">
        <v>32</v>
      </c>
      <c r="G14188" s="7">
        <v>4113112</v>
      </c>
      <c r="H14188" s="7">
        <v>2509</v>
      </c>
      <c r="I14188" s="7">
        <v>96</v>
      </c>
      <c r="J14188" s="7">
        <v>231</v>
      </c>
      <c r="K14188" s="7" t="s">
        <v>18</v>
      </c>
      <c r="L14188" s="8">
        <v>39987.315405092595</v>
      </c>
      <c r="M14188" s="9" t="s">
        <v>19</v>
      </c>
      <c r="N14188" s="9" t="s">
        <v>20</v>
      </c>
      <c r="O14188" s="6" t="str">
        <f>HYPERLINK("https://pbs.twimg.com/profile_images/962471262747529216/Uo8lOkRJ_normal.jpg","View")</f>
        <v>View</v>
      </c>
      <c r="P14188" s="7"/>
    </row>
    <row r="14189" spans="1:16">
      <c r="A14189" s="3">
        <v>44315.845590277779</v>
      </c>
      <c r="B14189" s="4" t="str">
        <f>HYPERLINK("https://twitter.com/petrogustavo","@petrogustavo")</f>
        <v>@petrogustavo</v>
      </c>
      <c r="C14189" s="5" t="s">
        <v>16</v>
      </c>
      <c r="D14189" s="5" t="s">
        <v>13655</v>
      </c>
      <c r="E14189" s="6" t="str">
        <f>HYPERLINK("https://twitter.com/petrogustavo/status/1387780626993061891","1387780626993061891")</f>
        <v>1387780626993061891</v>
      </c>
      <c r="F14189" s="7" t="s">
        <v>32</v>
      </c>
      <c r="G14189" s="7">
        <v>4113224</v>
      </c>
      <c r="H14189" s="7">
        <v>2509</v>
      </c>
      <c r="I14189" s="7">
        <v>1757</v>
      </c>
      <c r="J14189" s="7">
        <v>0</v>
      </c>
      <c r="K14189" s="7" t="s">
        <v>18</v>
      </c>
      <c r="L14189" s="8">
        <v>39987.315405092595</v>
      </c>
      <c r="M14189" s="9" t="s">
        <v>19</v>
      </c>
      <c r="N14189" s="9" t="s">
        <v>20</v>
      </c>
      <c r="O14189" s="6" t="str">
        <f>HYPERLINK("https://pbs.twimg.com/profile_images/962471262747529216/Uo8lOkRJ_normal.jpg","View")</f>
        <v>View</v>
      </c>
      <c r="P14189" s="7"/>
    </row>
    <row r="14190" spans="1:16">
      <c r="A14190" s="3">
        <v>44315.846608796295</v>
      </c>
      <c r="B14190" s="4" t="str">
        <f>HYPERLINK("https://twitter.com/petrogustavo","@petrogustavo")</f>
        <v>@petrogustavo</v>
      </c>
      <c r="C14190" s="5" t="s">
        <v>16</v>
      </c>
      <c r="D14190" s="5" t="s">
        <v>13656</v>
      </c>
      <c r="E14190" s="6" t="str">
        <f>HYPERLINK("https://twitter.com/petrogustavo/status/1387780993579429895","1387780993579429895")</f>
        <v>1387780993579429895</v>
      </c>
      <c r="F14190" s="7" t="s">
        <v>32</v>
      </c>
      <c r="G14190" s="7">
        <v>4113224</v>
      </c>
      <c r="H14190" s="7">
        <v>2509</v>
      </c>
      <c r="I14190" s="7">
        <v>231</v>
      </c>
      <c r="J14190" s="7">
        <v>734</v>
      </c>
      <c r="K14190" s="7" t="s">
        <v>18</v>
      </c>
      <c r="L14190" s="8">
        <v>39987.315405092595</v>
      </c>
      <c r="M14190" s="9" t="s">
        <v>19</v>
      </c>
      <c r="N14190" s="9" t="s">
        <v>20</v>
      </c>
      <c r="O14190" s="6" t="str">
        <f>HYPERLINK("https://pbs.twimg.com/profile_images/962471262747529216/Uo8lOkRJ_normal.jpg","View")</f>
        <v>View</v>
      </c>
      <c r="P14190" s="7"/>
    </row>
    <row r="14191" spans="1:16">
      <c r="A14191" s="3">
        <v>44315.852673611109</v>
      </c>
      <c r="B14191" s="4" t="str">
        <f>HYPERLINK("https://twitter.com/petrogustavo","@petrogustavo")</f>
        <v>@petrogustavo</v>
      </c>
      <c r="C14191" s="5" t="s">
        <v>16</v>
      </c>
      <c r="D14191" s="5" t="s">
        <v>13657</v>
      </c>
      <c r="E14191" s="6" t="str">
        <f>HYPERLINK("https://twitter.com/petrogustavo/status/1387783192543997957","1387783192543997957")</f>
        <v>1387783192543997957</v>
      </c>
      <c r="F14191" s="7" t="s">
        <v>32</v>
      </c>
      <c r="G14191" s="7">
        <v>4113224</v>
      </c>
      <c r="H14191" s="7">
        <v>2509</v>
      </c>
      <c r="I14191" s="7">
        <v>172</v>
      </c>
      <c r="J14191" s="7">
        <v>453</v>
      </c>
      <c r="K14191" s="7" t="s">
        <v>18</v>
      </c>
      <c r="L14191" s="8">
        <v>39987.315405092595</v>
      </c>
      <c r="M14191" s="9" t="s">
        <v>19</v>
      </c>
      <c r="N14191" s="9" t="s">
        <v>20</v>
      </c>
      <c r="O14191" s="6" t="str">
        <f>HYPERLINK("https://pbs.twimg.com/profile_images/962471262747529216/Uo8lOkRJ_normal.jpg","View")</f>
        <v>View</v>
      </c>
      <c r="P14191" s="7"/>
    </row>
    <row r="14192" spans="1:16">
      <c r="A14192" s="3">
        <v>44315.863935185189</v>
      </c>
      <c r="B14192" s="4" t="str">
        <f>HYPERLINK("https://twitter.com/petrogustavo","@petrogustavo")</f>
        <v>@petrogustavo</v>
      </c>
      <c r="C14192" s="5" t="s">
        <v>16</v>
      </c>
      <c r="D14192" s="5" t="s">
        <v>13658</v>
      </c>
      <c r="E14192" s="6" t="str">
        <f>HYPERLINK("https://twitter.com/petrogustavo/status/1387787273383694338","1387787273383694338")</f>
        <v>1387787273383694338</v>
      </c>
      <c r="F14192" s="7" t="s">
        <v>32</v>
      </c>
      <c r="G14192" s="7">
        <v>4113326</v>
      </c>
      <c r="H14192" s="7">
        <v>2509</v>
      </c>
      <c r="I14192" s="7">
        <v>425</v>
      </c>
      <c r="J14192" s="7">
        <v>0</v>
      </c>
      <c r="K14192" s="7" t="s">
        <v>18</v>
      </c>
      <c r="L14192" s="8">
        <v>39987.315405092595</v>
      </c>
      <c r="M14192" s="9" t="s">
        <v>19</v>
      </c>
      <c r="N14192" s="9" t="s">
        <v>20</v>
      </c>
      <c r="O14192" s="6" t="str">
        <f>HYPERLINK("https://pbs.twimg.com/profile_images/962471262747529216/Uo8lOkRJ_normal.jpg","View")</f>
        <v>View</v>
      </c>
      <c r="P14192" s="7"/>
    </row>
    <row r="14193" spans="1:16">
      <c r="A14193" s="3">
        <v>44315.866284722222</v>
      </c>
      <c r="B14193" s="4" t="str">
        <f>HYPERLINK("https://twitter.com/petrogustavo","@petrogustavo")</f>
        <v>@petrogustavo</v>
      </c>
      <c r="C14193" s="5" t="s">
        <v>16</v>
      </c>
      <c r="D14193" s="5" t="s">
        <v>13659</v>
      </c>
      <c r="E14193" s="6" t="str">
        <f>HYPERLINK("https://twitter.com/petrogustavo/status/1387788124781174784","1387788124781174784")</f>
        <v>1387788124781174784</v>
      </c>
      <c r="F14193" s="7" t="s">
        <v>32</v>
      </c>
      <c r="G14193" s="7">
        <v>4113326</v>
      </c>
      <c r="H14193" s="7">
        <v>2509</v>
      </c>
      <c r="I14193" s="7">
        <v>494</v>
      </c>
      <c r="J14193" s="7">
        <v>2251</v>
      </c>
      <c r="K14193" s="7" t="s">
        <v>18</v>
      </c>
      <c r="L14193" s="8">
        <v>39987.315405092595</v>
      </c>
      <c r="M14193" s="9" t="s">
        <v>19</v>
      </c>
      <c r="N14193" s="9" t="s">
        <v>20</v>
      </c>
      <c r="O14193" s="6" t="str">
        <f>HYPERLINK("https://pbs.twimg.com/profile_images/962471262747529216/Uo8lOkRJ_normal.jpg","View")</f>
        <v>View</v>
      </c>
      <c r="P14193" s="7"/>
    </row>
    <row r="14194" spans="1:16">
      <c r="A14194" s="3">
        <v>44315.979826388888</v>
      </c>
      <c r="B14194" s="4" t="str">
        <f>HYPERLINK("https://twitter.com/petrogustavo","@petrogustavo")</f>
        <v>@petrogustavo</v>
      </c>
      <c r="C14194" s="5" t="s">
        <v>16</v>
      </c>
      <c r="D14194" s="5" t="s">
        <v>13660</v>
      </c>
      <c r="E14194" s="6" t="str">
        <f>HYPERLINK("https://twitter.com/petrogustavo/status/1387829272853815296","1387829272853815296")</f>
        <v>1387829272853815296</v>
      </c>
      <c r="F14194" s="7" t="s">
        <v>32</v>
      </c>
      <c r="G14194" s="7">
        <v>4113876</v>
      </c>
      <c r="H14194" s="7">
        <v>2509</v>
      </c>
      <c r="I14194" s="7">
        <v>1091</v>
      </c>
      <c r="J14194" s="7">
        <v>0</v>
      </c>
      <c r="K14194" s="7" t="s">
        <v>18</v>
      </c>
      <c r="L14194" s="8">
        <v>39987.315405092595</v>
      </c>
      <c r="M14194" s="9" t="s">
        <v>19</v>
      </c>
      <c r="N14194" s="9" t="s">
        <v>20</v>
      </c>
      <c r="O14194" s="6" t="str">
        <f>HYPERLINK("https://pbs.twimg.com/profile_images/962471262747529216/Uo8lOkRJ_normal.jpg","View")</f>
        <v>View</v>
      </c>
      <c r="P14194" s="7"/>
    </row>
    <row r="14195" spans="1:16">
      <c r="A14195" s="3">
        <v>44316.049930555557</v>
      </c>
      <c r="B14195" s="4" t="str">
        <f>HYPERLINK("https://twitter.com/petrogustavo","@petrogustavo")</f>
        <v>@petrogustavo</v>
      </c>
      <c r="C14195" s="5" t="s">
        <v>16</v>
      </c>
      <c r="D14195" s="5" t="s">
        <v>13661</v>
      </c>
      <c r="E14195" s="6" t="str">
        <f>HYPERLINK("https://twitter.com/petrogustavo/status/1387854674263429131","1387854674263429131")</f>
        <v>1387854674263429131</v>
      </c>
      <c r="F14195" s="7" t="s">
        <v>17</v>
      </c>
      <c r="G14195" s="7">
        <v>4114324</v>
      </c>
      <c r="H14195" s="7">
        <v>2509</v>
      </c>
      <c r="I14195" s="7">
        <v>891</v>
      </c>
      <c r="J14195" s="7">
        <v>0</v>
      </c>
      <c r="K14195" s="7" t="s">
        <v>18</v>
      </c>
      <c r="L14195" s="8">
        <v>39987.315405092595</v>
      </c>
      <c r="M14195" s="9" t="s">
        <v>19</v>
      </c>
      <c r="N14195" s="9" t="s">
        <v>20</v>
      </c>
      <c r="O14195" s="6" t="str">
        <f>HYPERLINK("https://pbs.twimg.com/profile_images/962471262747529216/Uo8lOkRJ_normal.jpg","View")</f>
        <v>View</v>
      </c>
      <c r="P14195" s="7"/>
    </row>
    <row r="14196" spans="1:16">
      <c r="A14196" s="3">
        <v>44316.193483796298</v>
      </c>
      <c r="B14196" s="4" t="str">
        <f>HYPERLINK("https://twitter.com/petrogustavo","@petrogustavo")</f>
        <v>@petrogustavo</v>
      </c>
      <c r="C14196" s="5" t="s">
        <v>16</v>
      </c>
      <c r="D14196" s="5" t="s">
        <v>13662</v>
      </c>
      <c r="E14196" s="6" t="str">
        <f>HYPERLINK("https://twitter.com/petrogustavo/status/1387906697717497870","1387906697717497870")</f>
        <v>1387906697717497870</v>
      </c>
      <c r="F14196" s="7" t="s">
        <v>17</v>
      </c>
      <c r="G14196" s="7">
        <v>4114949</v>
      </c>
      <c r="H14196" s="7">
        <v>2509</v>
      </c>
      <c r="I14196" s="7">
        <v>708</v>
      </c>
      <c r="J14196" s="7">
        <v>2425</v>
      </c>
      <c r="K14196" s="7" t="s">
        <v>18</v>
      </c>
      <c r="L14196" s="8">
        <v>39987.315405092595</v>
      </c>
      <c r="M14196" s="9" t="s">
        <v>19</v>
      </c>
      <c r="N14196" s="9" t="s">
        <v>20</v>
      </c>
      <c r="O14196" s="6" t="str">
        <f>HYPERLINK("https://pbs.twimg.com/profile_images/962471262747529216/Uo8lOkRJ_normal.jpg","View")</f>
        <v>View</v>
      </c>
      <c r="P14196" s="7"/>
    </row>
    <row r="14197" spans="1:16">
      <c r="A14197" s="3">
        <v>44316.743067129632</v>
      </c>
      <c r="B14197" s="4" t="str">
        <f>HYPERLINK("https://twitter.com/petrogustavo","@petrogustavo")</f>
        <v>@petrogustavo</v>
      </c>
      <c r="C14197" s="5" t="s">
        <v>16</v>
      </c>
      <c r="D14197" s="5" t="s">
        <v>13663</v>
      </c>
      <c r="E14197" s="6" t="str">
        <f>HYPERLINK("https://twitter.com/petrogustavo/status/1388105859461521408","1388105859461521408")</f>
        <v>1388105859461521408</v>
      </c>
      <c r="F14197" s="7" t="s">
        <v>17</v>
      </c>
      <c r="G14197" s="7">
        <v>4116219</v>
      </c>
      <c r="H14197" s="7">
        <v>2508</v>
      </c>
      <c r="I14197" s="7">
        <v>1643</v>
      </c>
      <c r="J14197" s="7">
        <v>0</v>
      </c>
      <c r="K14197" s="7" t="s">
        <v>18</v>
      </c>
      <c r="L14197" s="8">
        <v>39987.315405092595</v>
      </c>
      <c r="M14197" s="9" t="s">
        <v>19</v>
      </c>
      <c r="N14197" s="9" t="s">
        <v>20</v>
      </c>
      <c r="O14197" s="6" t="str">
        <f>HYPERLINK("https://pbs.twimg.com/profile_images/962471262747529216/Uo8lOkRJ_normal.jpg","View")</f>
        <v>View</v>
      </c>
      <c r="P14197" s="7"/>
    </row>
    <row r="14198" spans="1:16">
      <c r="A14198" s="3">
        <v>44316.764606481476</v>
      </c>
      <c r="B14198" s="4" t="str">
        <f>HYPERLINK("https://twitter.com/petrogustavo","@petrogustavo")</f>
        <v>@petrogustavo</v>
      </c>
      <c r="C14198" s="5" t="s">
        <v>16</v>
      </c>
      <c r="D14198" s="5" t="s">
        <v>13664</v>
      </c>
      <c r="E14198" s="6" t="str">
        <f>HYPERLINK("https://twitter.com/petrogustavo/status/1388113666143313921","1388113666143313921")</f>
        <v>1388113666143313921</v>
      </c>
      <c r="F14198" s="7" t="s">
        <v>17</v>
      </c>
      <c r="G14198" s="7">
        <v>4116274</v>
      </c>
      <c r="H14198" s="7">
        <v>2508</v>
      </c>
      <c r="I14198" s="7">
        <v>191</v>
      </c>
      <c r="J14198" s="7">
        <v>533</v>
      </c>
      <c r="K14198" s="7" t="s">
        <v>18</v>
      </c>
      <c r="L14198" s="8">
        <v>39987.315405092595</v>
      </c>
      <c r="M14198" s="9" t="s">
        <v>19</v>
      </c>
      <c r="N14198" s="9" t="s">
        <v>20</v>
      </c>
      <c r="O14198" s="6" t="str">
        <f>HYPERLINK("https://pbs.twimg.com/profile_images/962471262747529216/Uo8lOkRJ_normal.jpg","View")</f>
        <v>View</v>
      </c>
      <c r="P14198" s="7"/>
    </row>
    <row r="14199" spans="1:16">
      <c r="A14199" s="3">
        <v>44316.764606481476</v>
      </c>
      <c r="B14199" s="4" t="str">
        <f>HYPERLINK("https://twitter.com/petrogustavo","@petrogustavo")</f>
        <v>@petrogustavo</v>
      </c>
      <c r="C14199" s="5" t="s">
        <v>16</v>
      </c>
      <c r="D14199" s="5" t="s">
        <v>13665</v>
      </c>
      <c r="E14199" s="6" t="str">
        <f>HYPERLINK("https://twitter.com/petrogustavo/status/1388113667082924036","1388113667082924036")</f>
        <v>1388113667082924036</v>
      </c>
      <c r="F14199" s="7" t="s">
        <v>17</v>
      </c>
      <c r="G14199" s="7">
        <v>4116274</v>
      </c>
      <c r="H14199" s="7">
        <v>2508</v>
      </c>
      <c r="I14199" s="7">
        <v>35</v>
      </c>
      <c r="J14199" s="7">
        <v>85</v>
      </c>
      <c r="K14199" s="7" t="s">
        <v>18</v>
      </c>
      <c r="L14199" s="8">
        <v>39987.315405092595</v>
      </c>
      <c r="M14199" s="9" t="s">
        <v>19</v>
      </c>
      <c r="N14199" s="9" t="s">
        <v>20</v>
      </c>
      <c r="O14199" s="6" t="str">
        <f>HYPERLINK("https://pbs.twimg.com/profile_images/962471262747529216/Uo8lOkRJ_normal.jpg","View")</f>
        <v>View</v>
      </c>
      <c r="P14199" s="7"/>
    </row>
    <row r="14200" spans="1:16">
      <c r="A14200" s="3">
        <v>44316.76461805556</v>
      </c>
      <c r="B14200" s="4" t="str">
        <f>HYPERLINK("https://twitter.com/petrogustavo","@petrogustavo")</f>
        <v>@petrogustavo</v>
      </c>
      <c r="C14200" s="5" t="s">
        <v>16</v>
      </c>
      <c r="D14200" s="5" t="s">
        <v>13666</v>
      </c>
      <c r="E14200" s="6" t="str">
        <f>HYPERLINK("https://twitter.com/petrogustavo/status/1388113668227874824","1388113668227874824")</f>
        <v>1388113668227874824</v>
      </c>
      <c r="F14200" s="7" t="s">
        <v>17</v>
      </c>
      <c r="G14200" s="7">
        <v>4116274</v>
      </c>
      <c r="H14200" s="7">
        <v>2508</v>
      </c>
      <c r="I14200" s="7">
        <v>23</v>
      </c>
      <c r="J14200" s="7">
        <v>58</v>
      </c>
      <c r="K14200" s="7" t="s">
        <v>18</v>
      </c>
      <c r="L14200" s="8">
        <v>39987.315405092595</v>
      </c>
      <c r="M14200" s="9" t="s">
        <v>19</v>
      </c>
      <c r="N14200" s="9" t="s">
        <v>20</v>
      </c>
      <c r="O14200" s="6" t="str">
        <f>HYPERLINK("https://pbs.twimg.com/profile_images/962471262747529216/Uo8lOkRJ_normal.jpg","View")</f>
        <v>View</v>
      </c>
      <c r="P14200" s="7"/>
    </row>
    <row r="14201" spans="1:16">
      <c r="A14201" s="3">
        <v>44316.76461805556</v>
      </c>
      <c r="B14201" s="4" t="str">
        <f>HYPERLINK("https://twitter.com/petrogustavo","@petrogustavo")</f>
        <v>@petrogustavo</v>
      </c>
      <c r="C14201" s="5" t="s">
        <v>16</v>
      </c>
      <c r="D14201" s="5" t="s">
        <v>13667</v>
      </c>
      <c r="E14201" s="6" t="str">
        <f>HYPERLINK("https://twitter.com/petrogustavo/status/1388113669335265282","1388113669335265282")</f>
        <v>1388113669335265282</v>
      </c>
      <c r="F14201" s="7" t="s">
        <v>17</v>
      </c>
      <c r="G14201" s="7">
        <v>4116274</v>
      </c>
      <c r="H14201" s="7">
        <v>2508</v>
      </c>
      <c r="I14201" s="7">
        <v>28</v>
      </c>
      <c r="J14201" s="7">
        <v>66</v>
      </c>
      <c r="K14201" s="7" t="s">
        <v>18</v>
      </c>
      <c r="L14201" s="8">
        <v>39987.315405092595</v>
      </c>
      <c r="M14201" s="9" t="s">
        <v>19</v>
      </c>
      <c r="N14201" s="9" t="s">
        <v>20</v>
      </c>
      <c r="O14201" s="6" t="str">
        <f>HYPERLINK("https://pbs.twimg.com/profile_images/962471262747529216/Uo8lOkRJ_normal.jpg","View")</f>
        <v>View</v>
      </c>
      <c r="P14201" s="7"/>
    </row>
    <row r="14202" spans="1:16">
      <c r="A14202" s="3">
        <v>44316.76461805556</v>
      </c>
      <c r="B14202" s="4" t="str">
        <f>HYPERLINK("https://twitter.com/petrogustavo","@petrogustavo")</f>
        <v>@petrogustavo</v>
      </c>
      <c r="C14202" s="5" t="s">
        <v>16</v>
      </c>
      <c r="D14202" s="5" t="s">
        <v>13668</v>
      </c>
      <c r="E14202" s="6" t="str">
        <f>HYPERLINK("https://twitter.com/petrogustavo/status/1388113670442467328","1388113670442467328")</f>
        <v>1388113670442467328</v>
      </c>
      <c r="F14202" s="7" t="s">
        <v>17</v>
      </c>
      <c r="G14202" s="7">
        <v>4116274</v>
      </c>
      <c r="H14202" s="7">
        <v>2508</v>
      </c>
      <c r="I14202" s="7">
        <v>27</v>
      </c>
      <c r="J14202" s="7">
        <v>75</v>
      </c>
      <c r="K14202" s="7" t="s">
        <v>18</v>
      </c>
      <c r="L14202" s="8">
        <v>39987.315405092595</v>
      </c>
      <c r="M14202" s="9" t="s">
        <v>19</v>
      </c>
      <c r="N14202" s="9" t="s">
        <v>20</v>
      </c>
      <c r="O14202" s="6" t="str">
        <f>HYPERLINK("https://pbs.twimg.com/profile_images/962471262747529216/Uo8lOkRJ_normal.jpg","View")</f>
        <v>View</v>
      </c>
      <c r="P14202" s="7"/>
    </row>
    <row r="14203" spans="1:16">
      <c r="A14203" s="3">
        <v>44316.76461805556</v>
      </c>
      <c r="B14203" s="4" t="str">
        <f>HYPERLINK("https://twitter.com/petrogustavo","@petrogustavo")</f>
        <v>@petrogustavo</v>
      </c>
      <c r="C14203" s="5" t="s">
        <v>16</v>
      </c>
      <c r="D14203" s="5" t="s">
        <v>13669</v>
      </c>
      <c r="E14203" s="6" t="str">
        <f>HYPERLINK("https://twitter.com/petrogustavo/status/1388113671814107141","1388113671814107141")</f>
        <v>1388113671814107141</v>
      </c>
      <c r="F14203" s="7" t="s">
        <v>17</v>
      </c>
      <c r="G14203" s="7">
        <v>4116274</v>
      </c>
      <c r="H14203" s="7">
        <v>2508</v>
      </c>
      <c r="I14203" s="7">
        <v>58</v>
      </c>
      <c r="J14203" s="7">
        <v>212</v>
      </c>
      <c r="K14203" s="7" t="s">
        <v>18</v>
      </c>
      <c r="L14203" s="8">
        <v>39987.315405092595</v>
      </c>
      <c r="M14203" s="9" t="s">
        <v>19</v>
      </c>
      <c r="N14203" s="9" t="s">
        <v>20</v>
      </c>
      <c r="O14203" s="6" t="str">
        <f>HYPERLINK("https://pbs.twimg.com/profile_images/962471262747529216/Uo8lOkRJ_normal.jpg","View")</f>
        <v>View</v>
      </c>
      <c r="P14203" s="7"/>
    </row>
    <row r="14204" spans="1:16">
      <c r="A14204" s="3">
        <v>44316.76462962963</v>
      </c>
      <c r="B14204" s="4" t="str">
        <f>HYPERLINK("https://twitter.com/petrogustavo","@petrogustavo")</f>
        <v>@petrogustavo</v>
      </c>
      <c r="C14204" s="5" t="s">
        <v>16</v>
      </c>
      <c r="D14204" s="5" t="s">
        <v>13670</v>
      </c>
      <c r="E14204" s="6" t="str">
        <f>HYPERLINK("https://twitter.com/petrogustavo/status/1388113672883556358","1388113672883556358")</f>
        <v>1388113672883556358</v>
      </c>
      <c r="F14204" s="7" t="s">
        <v>17</v>
      </c>
      <c r="G14204" s="7">
        <v>4116274</v>
      </c>
      <c r="H14204" s="7">
        <v>2508</v>
      </c>
      <c r="I14204" s="7">
        <v>64</v>
      </c>
      <c r="J14204" s="7">
        <v>215</v>
      </c>
      <c r="K14204" s="7" t="s">
        <v>18</v>
      </c>
      <c r="L14204" s="8">
        <v>39987.315405092595</v>
      </c>
      <c r="M14204" s="9" t="s">
        <v>19</v>
      </c>
      <c r="N14204" s="9" t="s">
        <v>20</v>
      </c>
      <c r="O14204" s="6" t="str">
        <f>HYPERLINK("https://pbs.twimg.com/profile_images/962471262747529216/Uo8lOkRJ_normal.jpg","View")</f>
        <v>View</v>
      </c>
      <c r="P14204" s="7"/>
    </row>
    <row r="14205" spans="1:16">
      <c r="A14205" s="3">
        <v>44318.094583333332</v>
      </c>
      <c r="B14205" s="4" t="str">
        <f>HYPERLINK("https://twitter.com/petrogustavo","@petrogustavo")</f>
        <v>@petrogustavo</v>
      </c>
      <c r="C14205" s="5" t="s">
        <v>16</v>
      </c>
      <c r="D14205" s="5" t="s">
        <v>13671</v>
      </c>
      <c r="E14205" s="6" t="str">
        <f>HYPERLINK("https://twitter.com/petrogustavo/status/1388595632240304128","1388595632240304128")</f>
        <v>1388595632240304128</v>
      </c>
      <c r="F14205" s="7" t="s">
        <v>32</v>
      </c>
      <c r="G14205" s="7">
        <v>4123887</v>
      </c>
      <c r="H14205" s="7">
        <v>2509</v>
      </c>
      <c r="I14205" s="7">
        <v>1020</v>
      </c>
      <c r="J14205" s="7">
        <v>2867</v>
      </c>
      <c r="K14205" s="7" t="s">
        <v>18</v>
      </c>
      <c r="L14205" s="8">
        <v>39987.315405092595</v>
      </c>
      <c r="M14205" s="9" t="s">
        <v>19</v>
      </c>
      <c r="N14205" s="9" t="s">
        <v>20</v>
      </c>
      <c r="O14205" s="6" t="str">
        <f>HYPERLINK("https://pbs.twimg.com/profile_images/962471262747529216/Uo8lOkRJ_normal.jpg","View")</f>
        <v>View</v>
      </c>
      <c r="P14205" s="7"/>
    </row>
    <row r="14206" spans="1:16">
      <c r="A14206" s="3">
        <v>44318.828206018516</v>
      </c>
      <c r="B14206" s="4" t="str">
        <f>HYPERLINK("https://twitter.com/petrogustavo","@petrogustavo")</f>
        <v>@petrogustavo</v>
      </c>
      <c r="C14206" s="5" t="s">
        <v>16</v>
      </c>
      <c r="D14206" s="5" t="s">
        <v>13672</v>
      </c>
      <c r="E14206" s="6" t="str">
        <f>HYPERLINK("https://twitter.com/petrogustavo/status/1388861488069320710","1388861488069320710")</f>
        <v>1388861488069320710</v>
      </c>
      <c r="F14206" s="7" t="s">
        <v>17</v>
      </c>
      <c r="G14206" s="7">
        <v>4128211</v>
      </c>
      <c r="H14206" s="7">
        <v>2509</v>
      </c>
      <c r="I14206" s="7">
        <v>532</v>
      </c>
      <c r="J14206" s="7">
        <v>1281</v>
      </c>
      <c r="K14206" s="7" t="s">
        <v>18</v>
      </c>
      <c r="L14206" s="8">
        <v>39987.315405092595</v>
      </c>
      <c r="M14206" s="9" t="s">
        <v>19</v>
      </c>
      <c r="N14206" s="9" t="s">
        <v>20</v>
      </c>
      <c r="O14206" s="6" t="str">
        <f>HYPERLINK("https://pbs.twimg.com/profile_images/962471262747529216/Uo8lOkRJ_normal.jpg","View")</f>
        <v>View</v>
      </c>
      <c r="P14206" s="7"/>
    </row>
    <row r="14207" spans="1:16">
      <c r="A14207" s="3">
        <v>44318.828206018516</v>
      </c>
      <c r="B14207" s="4" t="str">
        <f>HYPERLINK("https://twitter.com/petrogustavo","@petrogustavo")</f>
        <v>@petrogustavo</v>
      </c>
      <c r="C14207" s="5" t="s">
        <v>16</v>
      </c>
      <c r="D14207" s="5" t="s">
        <v>13673</v>
      </c>
      <c r="E14207" s="6" t="str">
        <f>HYPERLINK("https://twitter.com/petrogustavo/status/1388861489465991177","1388861489465991177")</f>
        <v>1388861489465991177</v>
      </c>
      <c r="F14207" s="7" t="s">
        <v>17</v>
      </c>
      <c r="G14207" s="7">
        <v>4128211</v>
      </c>
      <c r="H14207" s="7">
        <v>2509</v>
      </c>
      <c r="I14207" s="7">
        <v>432</v>
      </c>
      <c r="J14207" s="7">
        <v>1282</v>
      </c>
      <c r="K14207" s="7" t="s">
        <v>18</v>
      </c>
      <c r="L14207" s="8">
        <v>39987.315405092595</v>
      </c>
      <c r="M14207" s="9" t="s">
        <v>19</v>
      </c>
      <c r="N14207" s="9" t="s">
        <v>20</v>
      </c>
      <c r="O14207" s="6" t="str">
        <f>HYPERLINK("https://pbs.twimg.com/profile_images/962471262747529216/Uo8lOkRJ_normal.jpg","View")</f>
        <v>View</v>
      </c>
      <c r="P14207" s="7"/>
    </row>
    <row r="14208" spans="1:16">
      <c r="A14208" s="3">
        <v>44318.862083333333</v>
      </c>
      <c r="B14208" s="4" t="str">
        <f>HYPERLINK("https://twitter.com/petrogustavo","@petrogustavo")</f>
        <v>@petrogustavo</v>
      </c>
      <c r="C14208" s="5" t="s">
        <v>16</v>
      </c>
      <c r="D14208" s="5" t="s">
        <v>13674</v>
      </c>
      <c r="E14208" s="6" t="str">
        <f>HYPERLINK("https://twitter.com/petrogustavo/status/1388873767993188353","1388873767993188353")</f>
        <v>1388873767993188353</v>
      </c>
      <c r="F14208" s="7" t="s">
        <v>17</v>
      </c>
      <c r="G14208" s="7">
        <v>4128640</v>
      </c>
      <c r="H14208" s="7">
        <v>2509</v>
      </c>
      <c r="I14208" s="7">
        <v>623</v>
      </c>
      <c r="J14208" s="7">
        <v>2472</v>
      </c>
      <c r="K14208" s="7" t="s">
        <v>18</v>
      </c>
      <c r="L14208" s="8">
        <v>39987.315405092595</v>
      </c>
      <c r="M14208" s="9" t="s">
        <v>19</v>
      </c>
      <c r="N14208" s="9" t="s">
        <v>20</v>
      </c>
      <c r="O14208" s="6" t="str">
        <f>HYPERLINK("https://pbs.twimg.com/profile_images/962471262747529216/Uo8lOkRJ_normal.jpg","View")</f>
        <v>View</v>
      </c>
      <c r="P14208" s="7"/>
    </row>
    <row r="14209" spans="1:16">
      <c r="A14209" s="3">
        <v>44318.949710648143</v>
      </c>
      <c r="B14209" s="4" t="str">
        <f>HYPERLINK("https://twitter.com/petrogustavo","@petrogustavo")</f>
        <v>@petrogustavo</v>
      </c>
      <c r="C14209" s="5" t="s">
        <v>16</v>
      </c>
      <c r="D14209" s="5" t="s">
        <v>13675</v>
      </c>
      <c r="E14209" s="6" t="str">
        <f>HYPERLINK("https://twitter.com/petrogustavo/status/1388905521005146118","1388905521005146118")</f>
        <v>1388905521005146118</v>
      </c>
      <c r="F14209" s="7" t="s">
        <v>32</v>
      </c>
      <c r="G14209" s="7">
        <v>4129656</v>
      </c>
      <c r="H14209" s="7">
        <v>2509</v>
      </c>
      <c r="I14209" s="7">
        <v>175</v>
      </c>
      <c r="J14209" s="7">
        <v>544</v>
      </c>
      <c r="K14209" s="7" t="s">
        <v>18</v>
      </c>
      <c r="L14209" s="8">
        <v>39987.315405092595</v>
      </c>
      <c r="M14209" s="9" t="s">
        <v>19</v>
      </c>
      <c r="N14209" s="9" t="s">
        <v>20</v>
      </c>
      <c r="O14209" s="6" t="str">
        <f>HYPERLINK("https://pbs.twimg.com/profile_images/962471262747529216/Uo8lOkRJ_normal.jpg","View")</f>
        <v>View</v>
      </c>
      <c r="P14209" s="7"/>
    </row>
    <row r="14210" spans="1:16">
      <c r="A14210" s="3">
        <v>44318.950775462959</v>
      </c>
      <c r="B14210" s="4" t="str">
        <f>HYPERLINK("https://twitter.com/petrogustavo","@petrogustavo")</f>
        <v>@petrogustavo</v>
      </c>
      <c r="C14210" s="5" t="s">
        <v>16</v>
      </c>
      <c r="D14210" s="5" t="s">
        <v>13676</v>
      </c>
      <c r="E14210" s="6" t="str">
        <f>HYPERLINK("https://twitter.com/petrogustavo/status/1388905908982460418","1388905908982460418")</f>
        <v>1388905908982460418</v>
      </c>
      <c r="F14210" s="7" t="s">
        <v>32</v>
      </c>
      <c r="G14210" s="7">
        <v>4129656</v>
      </c>
      <c r="H14210" s="7">
        <v>2509</v>
      </c>
      <c r="I14210" s="7">
        <v>129</v>
      </c>
      <c r="J14210" s="7">
        <v>480</v>
      </c>
      <c r="K14210" s="7" t="s">
        <v>18</v>
      </c>
      <c r="L14210" s="8">
        <v>39987.315405092595</v>
      </c>
      <c r="M14210" s="9" t="s">
        <v>19</v>
      </c>
      <c r="N14210" s="9" t="s">
        <v>20</v>
      </c>
      <c r="O14210" s="6" t="str">
        <f>HYPERLINK("https://pbs.twimg.com/profile_images/962471262747529216/Uo8lOkRJ_normal.jpg","View")</f>
        <v>View</v>
      </c>
      <c r="P14210" s="7"/>
    </row>
    <row r="14211" spans="1:16">
      <c r="A14211" s="3">
        <v>44318.969351851847</v>
      </c>
      <c r="B14211" s="4" t="str">
        <f>HYPERLINK("https://twitter.com/petrogustavo","@petrogustavo")</f>
        <v>@petrogustavo</v>
      </c>
      <c r="C14211" s="5" t="s">
        <v>16</v>
      </c>
      <c r="D14211" s="5" t="s">
        <v>13677</v>
      </c>
      <c r="E14211" s="6" t="str">
        <f>HYPERLINK("https://twitter.com/petrogustavo/status/1388912636843237379","1388912636843237379")</f>
        <v>1388912636843237379</v>
      </c>
      <c r="F14211" s="7" t="s">
        <v>32</v>
      </c>
      <c r="G14211" s="7">
        <v>4130176</v>
      </c>
      <c r="H14211" s="7">
        <v>2509</v>
      </c>
      <c r="I14211" s="7">
        <v>4525</v>
      </c>
      <c r="J14211" s="7">
        <v>16192</v>
      </c>
      <c r="K14211" s="7" t="s">
        <v>18</v>
      </c>
      <c r="L14211" s="8">
        <v>39987.315405092595</v>
      </c>
      <c r="M14211" s="9" t="s">
        <v>19</v>
      </c>
      <c r="N14211" s="9" t="s">
        <v>20</v>
      </c>
      <c r="O14211" s="6" t="str">
        <f>HYPERLINK("https://pbs.twimg.com/profile_images/962471262747529216/Uo8lOkRJ_normal.jpg","View")</f>
        <v>View</v>
      </c>
      <c r="P14211" s="7"/>
    </row>
    <row r="14212" spans="1:16">
      <c r="A14212" s="3">
        <v>44319.134050925924</v>
      </c>
      <c r="B14212" s="4" t="str">
        <f>HYPERLINK("https://twitter.com/petrogustavo","@petrogustavo")</f>
        <v>@petrogustavo</v>
      </c>
      <c r="C14212" s="5" t="s">
        <v>16</v>
      </c>
      <c r="D14212" s="5" t="s">
        <v>13678</v>
      </c>
      <c r="E14212" s="6" t="str">
        <f>HYPERLINK("https://twitter.com/petrogustavo/status/1388972323068424192","1388972323068424192")</f>
        <v>1388972323068424192</v>
      </c>
      <c r="F14212" s="7" t="s">
        <v>17</v>
      </c>
      <c r="G14212" s="7">
        <v>4132170</v>
      </c>
      <c r="H14212" s="7">
        <v>2509</v>
      </c>
      <c r="I14212" s="7">
        <v>500</v>
      </c>
      <c r="J14212" s="7">
        <v>0</v>
      </c>
      <c r="K14212" s="7" t="s">
        <v>18</v>
      </c>
      <c r="L14212" s="8">
        <v>39987.315405092595</v>
      </c>
      <c r="M14212" s="9" t="s">
        <v>19</v>
      </c>
      <c r="N14212" s="9" t="s">
        <v>20</v>
      </c>
      <c r="O14212" s="6" t="str">
        <f>HYPERLINK("https://pbs.twimg.com/profile_images/962471262747529216/Uo8lOkRJ_normal.jpg","View")</f>
        <v>View</v>
      </c>
      <c r="P14212" s="7"/>
    </row>
    <row r="14213" spans="1:16">
      <c r="A14213" s="3">
        <v>44319.2265625</v>
      </c>
      <c r="B14213" s="4" t="str">
        <f>HYPERLINK("https://twitter.com/petrogustavo","@petrogustavo")</f>
        <v>@petrogustavo</v>
      </c>
      <c r="C14213" s="5" t="s">
        <v>16</v>
      </c>
      <c r="D14213" s="5" t="s">
        <v>13679</v>
      </c>
      <c r="E14213" s="6" t="str">
        <f>HYPERLINK("https://twitter.com/petrogustavo/status/1389005848148516866","1389005848148516866")</f>
        <v>1389005848148516866</v>
      </c>
      <c r="F14213" s="7" t="s">
        <v>22</v>
      </c>
      <c r="G14213" s="7">
        <v>4132741</v>
      </c>
      <c r="H14213" s="7">
        <v>2509</v>
      </c>
      <c r="I14213" s="7">
        <v>117</v>
      </c>
      <c r="J14213" s="7">
        <v>267</v>
      </c>
      <c r="K14213" s="7" t="s">
        <v>18</v>
      </c>
      <c r="L14213" s="8">
        <v>39987.315405092595</v>
      </c>
      <c r="M14213" s="9" t="s">
        <v>19</v>
      </c>
      <c r="N14213" s="9" t="s">
        <v>20</v>
      </c>
      <c r="O14213" s="6" t="str">
        <f>HYPERLINK("https://pbs.twimg.com/profile_images/962471262747529216/Uo8lOkRJ_normal.jpg","View")</f>
        <v>View</v>
      </c>
      <c r="P14213" s="7"/>
    </row>
    <row r="14214" spans="1:16">
      <c r="A14214" s="3">
        <v>44319.884930555556</v>
      </c>
      <c r="B14214" s="4" t="str">
        <f>HYPERLINK("https://twitter.com/petrogustavo","@petrogustavo")</f>
        <v>@petrogustavo</v>
      </c>
      <c r="C14214" s="5" t="s">
        <v>16</v>
      </c>
      <c r="D14214" s="5" t="s">
        <v>13680</v>
      </c>
      <c r="E14214" s="6" t="str">
        <f>HYPERLINK("https://twitter.com/petrogustavo/status/1389244434689183747","1389244434689183747")</f>
        <v>1389244434689183747</v>
      </c>
      <c r="F14214" s="7" t="s">
        <v>17</v>
      </c>
      <c r="G14214" s="7">
        <v>4136100</v>
      </c>
      <c r="H14214" s="7">
        <v>2509</v>
      </c>
      <c r="I14214" s="7">
        <v>1191</v>
      </c>
      <c r="J14214" s="7">
        <v>3801</v>
      </c>
      <c r="K14214" s="7" t="s">
        <v>18</v>
      </c>
      <c r="L14214" s="8">
        <v>39987.315405092595</v>
      </c>
      <c r="M14214" s="9" t="s">
        <v>19</v>
      </c>
      <c r="N14214" s="9" t="s">
        <v>20</v>
      </c>
      <c r="O14214" s="6" t="str">
        <f>HYPERLINK("https://pbs.twimg.com/profile_images/962471262747529216/Uo8lOkRJ_normal.jpg","View")</f>
        <v>View</v>
      </c>
      <c r="P14214" s="7"/>
    </row>
    <row r="14215" spans="1:16">
      <c r="A14215" s="3">
        <v>44319.907638888893</v>
      </c>
      <c r="B14215" s="4" t="str">
        <f>HYPERLINK("https://twitter.com/petrogustavo","@petrogustavo")</f>
        <v>@petrogustavo</v>
      </c>
      <c r="C14215" s="5" t="s">
        <v>16</v>
      </c>
      <c r="D14215" s="5" t="s">
        <v>13681</v>
      </c>
      <c r="E14215" s="6" t="str">
        <f>HYPERLINK("https://twitter.com/petrogustavo/status/1389252662768640003","1389252662768640003")</f>
        <v>1389252662768640003</v>
      </c>
      <c r="F14215" s="7" t="s">
        <v>17</v>
      </c>
      <c r="G14215" s="7">
        <v>4136289</v>
      </c>
      <c r="H14215" s="7">
        <v>2509</v>
      </c>
      <c r="I14215" s="7">
        <v>1328</v>
      </c>
      <c r="J14215" s="7">
        <v>0</v>
      </c>
      <c r="K14215" s="7" t="s">
        <v>18</v>
      </c>
      <c r="L14215" s="8">
        <v>39987.315405092595</v>
      </c>
      <c r="M14215" s="9" t="s">
        <v>19</v>
      </c>
      <c r="N14215" s="9" t="s">
        <v>20</v>
      </c>
      <c r="O14215" s="6" t="str">
        <f>HYPERLINK("https://pbs.twimg.com/profile_images/962471262747529216/Uo8lOkRJ_normal.jpg","View")</f>
        <v>View</v>
      </c>
      <c r="P14215" s="7"/>
    </row>
    <row r="14216" spans="1:16">
      <c r="A14216" s="3">
        <v>44319.908020833333</v>
      </c>
      <c r="B14216" s="4" t="str">
        <f>HYPERLINK("https://twitter.com/petrogustavo","@petrogustavo")</f>
        <v>@petrogustavo</v>
      </c>
      <c r="C14216" s="5" t="s">
        <v>16</v>
      </c>
      <c r="D14216" s="5" t="s">
        <v>13682</v>
      </c>
      <c r="E14216" s="6" t="str">
        <f>HYPERLINK("https://twitter.com/petrogustavo/status/1389252803089076232","1389252803089076232")</f>
        <v>1389252803089076232</v>
      </c>
      <c r="F14216" s="7" t="s">
        <v>17</v>
      </c>
      <c r="G14216" s="7">
        <v>4136289</v>
      </c>
      <c r="H14216" s="7">
        <v>2509</v>
      </c>
      <c r="I14216" s="7">
        <v>576</v>
      </c>
      <c r="J14216" s="7">
        <v>1313</v>
      </c>
      <c r="K14216" s="7" t="s">
        <v>18</v>
      </c>
      <c r="L14216" s="8">
        <v>39987.315405092595</v>
      </c>
      <c r="M14216" s="9" t="s">
        <v>19</v>
      </c>
      <c r="N14216" s="9" t="s">
        <v>20</v>
      </c>
      <c r="O14216" s="6" t="str">
        <f>HYPERLINK("https://pbs.twimg.com/profile_images/962471262747529216/Uo8lOkRJ_normal.jpg","View")</f>
        <v>View</v>
      </c>
      <c r="P14216" s="7"/>
    </row>
    <row r="14217" spans="1:16">
      <c r="A14217" s="3">
        <v>44320.033472222218</v>
      </c>
      <c r="B14217" s="4" t="str">
        <f>HYPERLINK("https://twitter.com/petrogustavo","@petrogustavo")</f>
        <v>@petrogustavo</v>
      </c>
      <c r="C14217" s="5" t="s">
        <v>16</v>
      </c>
      <c r="D14217" s="5" t="s">
        <v>13683</v>
      </c>
      <c r="E14217" s="6" t="str">
        <f>HYPERLINK("https://twitter.com/petrogustavo/status/1389298262897827844","1389298262897827844")</f>
        <v>1389298262897827844</v>
      </c>
      <c r="F14217" s="7" t="s">
        <v>17</v>
      </c>
      <c r="G14217" s="7">
        <v>4137301</v>
      </c>
      <c r="H14217" s="7">
        <v>2509</v>
      </c>
      <c r="I14217" s="7">
        <v>1338</v>
      </c>
      <c r="J14217" s="7">
        <v>4236</v>
      </c>
      <c r="K14217" s="7" t="s">
        <v>18</v>
      </c>
      <c r="L14217" s="8">
        <v>39987.315405092595</v>
      </c>
      <c r="M14217" s="9" t="s">
        <v>19</v>
      </c>
      <c r="N14217" s="9" t="s">
        <v>20</v>
      </c>
      <c r="O14217" s="6" t="str">
        <f>HYPERLINK("https://pbs.twimg.com/profile_images/962471262747529216/Uo8lOkRJ_normal.jpg","View")</f>
        <v>View</v>
      </c>
      <c r="P14217" s="7"/>
    </row>
    <row r="14218" spans="1:16">
      <c r="A14218" s="3">
        <v>44320.050219907411</v>
      </c>
      <c r="B14218" s="4" t="str">
        <f>HYPERLINK("https://twitter.com/petrogustavo","@petrogustavo")</f>
        <v>@petrogustavo</v>
      </c>
      <c r="C14218" s="5" t="s">
        <v>16</v>
      </c>
      <c r="D14218" s="5" t="s">
        <v>13684</v>
      </c>
      <c r="E14218" s="6" t="str">
        <f>HYPERLINK("https://twitter.com/petrogustavo/status/1389304333930573831","1389304333930573831")</f>
        <v>1389304333930573831</v>
      </c>
      <c r="F14218" s="7" t="s">
        <v>17</v>
      </c>
      <c r="G14218" s="7">
        <v>4137451</v>
      </c>
      <c r="H14218" s="7">
        <v>2509</v>
      </c>
      <c r="I14218" s="7">
        <v>558</v>
      </c>
      <c r="J14218" s="7">
        <v>1231</v>
      </c>
      <c r="K14218" s="7" t="s">
        <v>18</v>
      </c>
      <c r="L14218" s="8">
        <v>39987.315405092595</v>
      </c>
      <c r="M14218" s="9" t="s">
        <v>19</v>
      </c>
      <c r="N14218" s="9" t="s">
        <v>20</v>
      </c>
      <c r="O14218" s="6" t="str">
        <f>HYPERLINK("https://pbs.twimg.com/profile_images/962471262747529216/Uo8lOkRJ_normal.jpg","View")</f>
        <v>View</v>
      </c>
      <c r="P14218" s="7"/>
    </row>
    <row r="14219" spans="1:16">
      <c r="A14219" s="3">
        <v>44320.071168981478</v>
      </c>
      <c r="B14219" s="4" t="str">
        <f>HYPERLINK("https://twitter.com/petrogustavo","@petrogustavo")</f>
        <v>@petrogustavo</v>
      </c>
      <c r="C14219" s="5" t="s">
        <v>16</v>
      </c>
      <c r="D14219" s="5" t="s">
        <v>13685</v>
      </c>
      <c r="E14219" s="6" t="str">
        <f>HYPERLINK("https://twitter.com/petrogustavo/status/1389311923603312641","1389311923603312641")</f>
        <v>1389311923603312641</v>
      </c>
      <c r="F14219" s="7" t="s">
        <v>17</v>
      </c>
      <c r="G14219" s="7">
        <v>4137627</v>
      </c>
      <c r="H14219" s="7">
        <v>2509</v>
      </c>
      <c r="I14219" s="7">
        <v>2910</v>
      </c>
      <c r="J14219" s="7">
        <v>0</v>
      </c>
      <c r="K14219" s="7" t="s">
        <v>18</v>
      </c>
      <c r="L14219" s="8">
        <v>39987.315405092595</v>
      </c>
      <c r="M14219" s="9" t="s">
        <v>19</v>
      </c>
      <c r="N14219" s="9" t="s">
        <v>20</v>
      </c>
      <c r="O14219" s="6" t="str">
        <f>HYPERLINK("https://pbs.twimg.com/profile_images/962471262747529216/Uo8lOkRJ_normal.jpg","View")</f>
        <v>View</v>
      </c>
      <c r="P14219" s="7"/>
    </row>
    <row r="14220" spans="1:16">
      <c r="A14220" s="3">
        <v>44320.072847222225</v>
      </c>
      <c r="B14220" s="4" t="str">
        <f>HYPERLINK("https://twitter.com/petrogustavo","@petrogustavo")</f>
        <v>@petrogustavo</v>
      </c>
      <c r="C14220" s="5" t="s">
        <v>16</v>
      </c>
      <c r="D14220" s="5" t="s">
        <v>13686</v>
      </c>
      <c r="E14220" s="6" t="str">
        <f>HYPERLINK("https://twitter.com/petrogustavo/status/1389312530280075269","1389312530280075269")</f>
        <v>1389312530280075269</v>
      </c>
      <c r="F14220" s="7" t="s">
        <v>17</v>
      </c>
      <c r="G14220" s="7">
        <v>4137627</v>
      </c>
      <c r="H14220" s="7">
        <v>2509</v>
      </c>
      <c r="I14220" s="7">
        <v>1141</v>
      </c>
      <c r="J14220" s="7">
        <v>3468</v>
      </c>
      <c r="K14220" s="7" t="s">
        <v>18</v>
      </c>
      <c r="L14220" s="8">
        <v>39987.315405092595</v>
      </c>
      <c r="M14220" s="9" t="s">
        <v>19</v>
      </c>
      <c r="N14220" s="9" t="s">
        <v>20</v>
      </c>
      <c r="O14220" s="6" t="str">
        <f>HYPERLINK("https://pbs.twimg.com/profile_images/962471262747529216/Uo8lOkRJ_normal.jpg","View")</f>
        <v>View</v>
      </c>
      <c r="P14220" s="7"/>
    </row>
    <row r="14221" spans="1:16">
      <c r="A14221" s="3">
        <v>44320.085636574076</v>
      </c>
      <c r="B14221" s="4" t="str">
        <f>HYPERLINK("https://twitter.com/petrogustavo","@petrogustavo")</f>
        <v>@petrogustavo</v>
      </c>
      <c r="C14221" s="5" t="s">
        <v>16</v>
      </c>
      <c r="D14221" s="5" t="s">
        <v>13687</v>
      </c>
      <c r="E14221" s="6" t="str">
        <f>HYPERLINK("https://twitter.com/petrogustavo/status/1389317167263461378","1389317167263461378")</f>
        <v>1389317167263461378</v>
      </c>
      <c r="F14221" s="7" t="s">
        <v>17</v>
      </c>
      <c r="G14221" s="7">
        <v>4137627</v>
      </c>
      <c r="H14221" s="7">
        <v>2509</v>
      </c>
      <c r="I14221" s="7">
        <v>79</v>
      </c>
      <c r="J14221" s="7">
        <v>0</v>
      </c>
      <c r="K14221" s="7" t="s">
        <v>18</v>
      </c>
      <c r="L14221" s="8">
        <v>39987.315405092595</v>
      </c>
      <c r="M14221" s="9" t="s">
        <v>19</v>
      </c>
      <c r="N14221" s="9" t="s">
        <v>20</v>
      </c>
      <c r="O14221" s="6" t="str">
        <f>HYPERLINK("https://pbs.twimg.com/profile_images/962471262747529216/Uo8lOkRJ_normal.jpg","View")</f>
        <v>View</v>
      </c>
      <c r="P14221" s="7"/>
    </row>
    <row r="14222" spans="1:16">
      <c r="A14222" s="3">
        <v>44320.106122685189</v>
      </c>
      <c r="B14222" s="4" t="str">
        <f>HYPERLINK("https://twitter.com/petrogustavo","@petrogustavo")</f>
        <v>@petrogustavo</v>
      </c>
      <c r="C14222" s="5" t="s">
        <v>16</v>
      </c>
      <c r="D14222" s="5" t="s">
        <v>13688</v>
      </c>
      <c r="E14222" s="6" t="str">
        <f>HYPERLINK("https://twitter.com/petrogustavo/status/1389324592712355841","1389324592712355841")</f>
        <v>1389324592712355841</v>
      </c>
      <c r="F14222" s="7" t="s">
        <v>22</v>
      </c>
      <c r="G14222" s="7">
        <v>4137928</v>
      </c>
      <c r="H14222" s="7">
        <v>2509</v>
      </c>
      <c r="I14222" s="7">
        <v>498</v>
      </c>
      <c r="J14222" s="7">
        <v>885</v>
      </c>
      <c r="K14222" s="7" t="s">
        <v>18</v>
      </c>
      <c r="L14222" s="8">
        <v>39987.315405092595</v>
      </c>
      <c r="M14222" s="9" t="s">
        <v>19</v>
      </c>
      <c r="N14222" s="9" t="s">
        <v>20</v>
      </c>
      <c r="O14222" s="6" t="str">
        <f>HYPERLINK("https://pbs.twimg.com/profile_images/962471262747529216/Uo8lOkRJ_normal.jpg","View")</f>
        <v>View</v>
      </c>
      <c r="P14222" s="7"/>
    </row>
    <row r="14223" spans="1:16">
      <c r="A14223" s="3">
        <v>44320.222303240742</v>
      </c>
      <c r="B14223" s="4" t="str">
        <f>HYPERLINK("https://twitter.com/petrogustavo","@petrogustavo")</f>
        <v>@petrogustavo</v>
      </c>
      <c r="C14223" s="5" t="s">
        <v>16</v>
      </c>
      <c r="D14223" s="5" t="s">
        <v>13689</v>
      </c>
      <c r="E14223" s="6" t="str">
        <f>HYPERLINK("https://twitter.com/petrogustavo/status/1389366694544560134","1389366694544560134")</f>
        <v>1389366694544560134</v>
      </c>
      <c r="F14223" s="7" t="s">
        <v>17</v>
      </c>
      <c r="G14223" s="7">
        <v>4138643</v>
      </c>
      <c r="H14223" s="7">
        <v>2509</v>
      </c>
      <c r="I14223" s="7">
        <v>384</v>
      </c>
      <c r="J14223" s="7">
        <v>1118</v>
      </c>
      <c r="K14223" s="7" t="s">
        <v>18</v>
      </c>
      <c r="L14223" s="8">
        <v>39987.315405092595</v>
      </c>
      <c r="M14223" s="9" t="s">
        <v>19</v>
      </c>
      <c r="N14223" s="9" t="s">
        <v>20</v>
      </c>
      <c r="O14223" s="6" t="str">
        <f>HYPERLINK("https://pbs.twimg.com/profile_images/962471262747529216/Uo8lOkRJ_normal.jpg","View")</f>
        <v>View</v>
      </c>
      <c r="P14223" s="7"/>
    </row>
    <row r="14224" spans="1:16">
      <c r="A14224" s="3">
        <v>44320.228159722217</v>
      </c>
      <c r="B14224" s="4" t="str">
        <f>HYPERLINK("https://twitter.com/petrogustavo","@petrogustavo")</f>
        <v>@petrogustavo</v>
      </c>
      <c r="C14224" s="5" t="s">
        <v>16</v>
      </c>
      <c r="D14224" s="5" t="s">
        <v>13690</v>
      </c>
      <c r="E14224" s="6" t="str">
        <f>HYPERLINK("https://twitter.com/petrogustavo/status/1389368815801225227","1389368815801225227")</f>
        <v>1389368815801225227</v>
      </c>
      <c r="F14224" s="7" t="s">
        <v>17</v>
      </c>
      <c r="G14224" s="7">
        <v>4138643</v>
      </c>
      <c r="H14224" s="7">
        <v>2509</v>
      </c>
      <c r="I14224" s="7">
        <v>141</v>
      </c>
      <c r="J14224" s="7">
        <v>427</v>
      </c>
      <c r="K14224" s="7" t="s">
        <v>18</v>
      </c>
      <c r="L14224" s="8">
        <v>39987.315405092595</v>
      </c>
      <c r="M14224" s="9" t="s">
        <v>19</v>
      </c>
      <c r="N14224" s="9" t="s">
        <v>20</v>
      </c>
      <c r="O14224" s="6" t="str">
        <f>HYPERLINK("https://pbs.twimg.com/profile_images/962471262747529216/Uo8lOkRJ_normal.jpg","View")</f>
        <v>View</v>
      </c>
      <c r="P14224" s="7"/>
    </row>
    <row r="14225" spans="1:16">
      <c r="A14225" s="3">
        <v>44320.23065972222</v>
      </c>
      <c r="B14225" s="4" t="str">
        <f>HYPERLINK("https://twitter.com/petrogustavo","@petrogustavo")</f>
        <v>@petrogustavo</v>
      </c>
      <c r="C14225" s="5" t="s">
        <v>16</v>
      </c>
      <c r="D14225" s="5" t="s">
        <v>13691</v>
      </c>
      <c r="E14225" s="6" t="str">
        <f>HYPERLINK("https://twitter.com/petrogustavo/status/1389369722110611456","1389369722110611456")</f>
        <v>1389369722110611456</v>
      </c>
      <c r="F14225" s="7" t="s">
        <v>17</v>
      </c>
      <c r="G14225" s="7">
        <v>4138643</v>
      </c>
      <c r="H14225" s="7">
        <v>2509</v>
      </c>
      <c r="I14225" s="7">
        <v>32</v>
      </c>
      <c r="J14225" s="7">
        <v>109</v>
      </c>
      <c r="K14225" s="7" t="s">
        <v>18</v>
      </c>
      <c r="L14225" s="8">
        <v>39987.315405092595</v>
      </c>
      <c r="M14225" s="9" t="s">
        <v>19</v>
      </c>
      <c r="N14225" s="9" t="s">
        <v>20</v>
      </c>
      <c r="O14225" s="6" t="str">
        <f>HYPERLINK("https://pbs.twimg.com/profile_images/962471262747529216/Uo8lOkRJ_normal.jpg","View")</f>
        <v>View</v>
      </c>
      <c r="P14225" s="7"/>
    </row>
    <row r="14226" spans="1:16">
      <c r="A14226" s="3">
        <v>44320.245219907403</v>
      </c>
      <c r="B14226" s="4" t="str">
        <f>HYPERLINK("https://twitter.com/petrogustavo","@petrogustavo")</f>
        <v>@petrogustavo</v>
      </c>
      <c r="C14226" s="5" t="s">
        <v>16</v>
      </c>
      <c r="D14226" s="5" t="s">
        <v>13692</v>
      </c>
      <c r="E14226" s="6" t="str">
        <f>HYPERLINK("https://twitter.com/petrogustavo/status/1389374999283261449","1389374999283261449")</f>
        <v>1389374999283261449</v>
      </c>
      <c r="F14226" s="7" t="s">
        <v>17</v>
      </c>
      <c r="G14226" s="7">
        <v>4138822</v>
      </c>
      <c r="H14226" s="7">
        <v>2509</v>
      </c>
      <c r="I14226" s="7">
        <v>252</v>
      </c>
      <c r="J14226" s="7">
        <v>685</v>
      </c>
      <c r="K14226" s="7" t="s">
        <v>18</v>
      </c>
      <c r="L14226" s="8">
        <v>39987.315405092595</v>
      </c>
      <c r="M14226" s="9" t="s">
        <v>19</v>
      </c>
      <c r="N14226" s="9" t="s">
        <v>20</v>
      </c>
      <c r="O14226" s="6" t="str">
        <f>HYPERLINK("https://pbs.twimg.com/profile_images/962471262747529216/Uo8lOkRJ_normal.jpg","View")</f>
        <v>View</v>
      </c>
      <c r="P14226" s="7"/>
    </row>
    <row r="14227" spans="1:16">
      <c r="A14227" s="3">
        <v>44320.24523148148</v>
      </c>
      <c r="B14227" s="4" t="str">
        <f>HYPERLINK("https://twitter.com/petrogustavo","@petrogustavo")</f>
        <v>@petrogustavo</v>
      </c>
      <c r="C14227" s="5" t="s">
        <v>16</v>
      </c>
      <c r="D14227" s="5" t="s">
        <v>13693</v>
      </c>
      <c r="E14227" s="6" t="str">
        <f>HYPERLINK("https://twitter.com/petrogustavo/status/1389375000323534853","1389375000323534853")</f>
        <v>1389375000323534853</v>
      </c>
      <c r="F14227" s="7" t="s">
        <v>17</v>
      </c>
      <c r="G14227" s="7">
        <v>4138822</v>
      </c>
      <c r="H14227" s="7">
        <v>2509</v>
      </c>
      <c r="I14227" s="7">
        <v>183</v>
      </c>
      <c r="J14227" s="7">
        <v>564</v>
      </c>
      <c r="K14227" s="7" t="s">
        <v>18</v>
      </c>
      <c r="L14227" s="8">
        <v>39987.315405092595</v>
      </c>
      <c r="M14227" s="9" t="s">
        <v>19</v>
      </c>
      <c r="N14227" s="9" t="s">
        <v>20</v>
      </c>
      <c r="O14227" s="6" t="str">
        <f>HYPERLINK("https://pbs.twimg.com/profile_images/962471262747529216/Uo8lOkRJ_normal.jpg","View")</f>
        <v>View</v>
      </c>
      <c r="P14227" s="7"/>
    </row>
    <row r="14228" spans="1:16">
      <c r="A14228" s="3">
        <v>44320.269131944442</v>
      </c>
      <c r="B14228" s="4" t="str">
        <f>HYPERLINK("https://twitter.com/petrogustavo","@petrogustavo")</f>
        <v>@petrogustavo</v>
      </c>
      <c r="C14228" s="5" t="s">
        <v>16</v>
      </c>
      <c r="D14228" s="5" t="s">
        <v>13694</v>
      </c>
      <c r="E14228" s="6" t="str">
        <f>HYPERLINK("https://twitter.com/petrogustavo/status/1389383664170065922","1389383664170065922")</f>
        <v>1389383664170065922</v>
      </c>
      <c r="F14228" s="7" t="s">
        <v>17</v>
      </c>
      <c r="G14228" s="7">
        <v>4138946</v>
      </c>
      <c r="H14228" s="7">
        <v>2509</v>
      </c>
      <c r="I14228" s="7">
        <v>178</v>
      </c>
      <c r="J14228" s="7">
        <v>404</v>
      </c>
      <c r="K14228" s="7" t="s">
        <v>18</v>
      </c>
      <c r="L14228" s="8">
        <v>39987.315405092595</v>
      </c>
      <c r="M14228" s="9" t="s">
        <v>19</v>
      </c>
      <c r="N14228" s="9" t="s">
        <v>20</v>
      </c>
      <c r="O14228" s="6" t="str">
        <f>HYPERLINK("https://pbs.twimg.com/profile_images/962471262747529216/Uo8lOkRJ_normal.jpg","View")</f>
        <v>View</v>
      </c>
      <c r="P14228" s="7"/>
    </row>
    <row r="14229" spans="1:16">
      <c r="A14229" s="3">
        <v>44320.271319444444</v>
      </c>
      <c r="B14229" s="4" t="str">
        <f>HYPERLINK("https://twitter.com/petrogustavo","@petrogustavo")</f>
        <v>@petrogustavo</v>
      </c>
      <c r="C14229" s="5" t="s">
        <v>16</v>
      </c>
      <c r="D14229" s="5" t="s">
        <v>13695</v>
      </c>
      <c r="E14229" s="6" t="str">
        <f>HYPERLINK("https://twitter.com/petrogustavo/status/1389384455379460099","1389384455379460099")</f>
        <v>1389384455379460099</v>
      </c>
      <c r="F14229" s="7" t="s">
        <v>17</v>
      </c>
      <c r="G14229" s="7">
        <v>4138946</v>
      </c>
      <c r="H14229" s="7">
        <v>2509</v>
      </c>
      <c r="I14229" s="7">
        <v>526</v>
      </c>
      <c r="J14229" s="7">
        <v>0</v>
      </c>
      <c r="K14229" s="7" t="s">
        <v>18</v>
      </c>
      <c r="L14229" s="8">
        <v>39987.315405092595</v>
      </c>
      <c r="M14229" s="9" t="s">
        <v>19</v>
      </c>
      <c r="N14229" s="9" t="s">
        <v>20</v>
      </c>
      <c r="O14229" s="6" t="str">
        <f>HYPERLINK("https://pbs.twimg.com/profile_images/962471262747529216/Uo8lOkRJ_normal.jpg","View")</f>
        <v>View</v>
      </c>
      <c r="P14229" s="7"/>
    </row>
    <row r="14230" spans="1:16">
      <c r="A14230" s="3">
        <v>44320.301238425927</v>
      </c>
      <c r="B14230" s="4" t="str">
        <f>HYPERLINK("https://twitter.com/petrogustavo","@petrogustavo")</f>
        <v>@petrogustavo</v>
      </c>
      <c r="C14230" s="5" t="s">
        <v>16</v>
      </c>
      <c r="D14230" s="5" t="s">
        <v>13696</v>
      </c>
      <c r="E14230" s="6" t="str">
        <f>HYPERLINK("https://twitter.com/petrogustavo/status/1389395297705545728","1389395297705545728")</f>
        <v>1389395297705545728</v>
      </c>
      <c r="F14230" s="7" t="s">
        <v>17</v>
      </c>
      <c r="G14230" s="7">
        <v>4139311</v>
      </c>
      <c r="H14230" s="7">
        <v>2509</v>
      </c>
      <c r="I14230" s="7">
        <v>358</v>
      </c>
      <c r="J14230" s="7">
        <v>0</v>
      </c>
      <c r="K14230" s="7" t="s">
        <v>18</v>
      </c>
      <c r="L14230" s="8">
        <v>39987.315405092595</v>
      </c>
      <c r="M14230" s="9" t="s">
        <v>19</v>
      </c>
      <c r="N14230" s="9" t="s">
        <v>20</v>
      </c>
      <c r="O14230" s="6" t="str">
        <f>HYPERLINK("https://pbs.twimg.com/profile_images/962471262747529216/Uo8lOkRJ_normal.jpg","View")</f>
        <v>View</v>
      </c>
      <c r="P14230" s="7"/>
    </row>
    <row r="14231" spans="1:16">
      <c r="A14231" s="3">
        <v>44320.303912037038</v>
      </c>
      <c r="B14231" s="4" t="str">
        <f>HYPERLINK("https://twitter.com/petrogustavo","@petrogustavo")</f>
        <v>@petrogustavo</v>
      </c>
      <c r="C14231" s="5" t="s">
        <v>16</v>
      </c>
      <c r="D14231" s="5" t="s">
        <v>13697</v>
      </c>
      <c r="E14231" s="6" t="str">
        <f>HYPERLINK("https://twitter.com/petrogustavo/status/1389396269043441669","1389396269043441669")</f>
        <v>1389396269043441669</v>
      </c>
      <c r="F14231" s="7" t="s">
        <v>17</v>
      </c>
      <c r="G14231" s="7">
        <v>4139311</v>
      </c>
      <c r="H14231" s="7">
        <v>2509</v>
      </c>
      <c r="I14231" s="7">
        <v>248</v>
      </c>
      <c r="J14231" s="7">
        <v>0</v>
      </c>
      <c r="K14231" s="7" t="s">
        <v>18</v>
      </c>
      <c r="L14231" s="8">
        <v>39987.315405092595</v>
      </c>
      <c r="M14231" s="9" t="s">
        <v>19</v>
      </c>
      <c r="N14231" s="9" t="s">
        <v>20</v>
      </c>
      <c r="O14231" s="6" t="str">
        <f>HYPERLINK("https://pbs.twimg.com/profile_images/962471262747529216/Uo8lOkRJ_normal.jpg","View")</f>
        <v>View</v>
      </c>
      <c r="P14231" s="7"/>
    </row>
    <row r="14232" spans="1:16">
      <c r="A14232" s="3">
        <v>44320.307303240741</v>
      </c>
      <c r="B14232" s="4" t="str">
        <f>HYPERLINK("https://twitter.com/petrogustavo","@petrogustavo")</f>
        <v>@petrogustavo</v>
      </c>
      <c r="C14232" s="5" t="s">
        <v>16</v>
      </c>
      <c r="D14232" s="5" t="s">
        <v>13698</v>
      </c>
      <c r="E14232" s="6" t="str">
        <f>HYPERLINK("https://twitter.com/petrogustavo/status/1389397495453818886","1389397495453818886")</f>
        <v>1389397495453818886</v>
      </c>
      <c r="F14232" s="7" t="s">
        <v>17</v>
      </c>
      <c r="G14232" s="7">
        <v>4139311</v>
      </c>
      <c r="H14232" s="7">
        <v>2509</v>
      </c>
      <c r="I14232" s="7">
        <v>297</v>
      </c>
      <c r="J14232" s="7">
        <v>1091</v>
      </c>
      <c r="K14232" s="7" t="s">
        <v>18</v>
      </c>
      <c r="L14232" s="8">
        <v>39987.315405092595</v>
      </c>
      <c r="M14232" s="9" t="s">
        <v>19</v>
      </c>
      <c r="N14232" s="9" t="s">
        <v>20</v>
      </c>
      <c r="O14232" s="6" t="str">
        <f>HYPERLINK("https://pbs.twimg.com/profile_images/962471262747529216/Uo8lOkRJ_normal.jpg","View")</f>
        <v>View</v>
      </c>
      <c r="P14232" s="7"/>
    </row>
    <row r="14233" spans="1:16">
      <c r="A14233" s="3">
        <v>44320.311284722222</v>
      </c>
      <c r="B14233" s="4" t="str">
        <f>HYPERLINK("https://twitter.com/petrogustavo","@petrogustavo")</f>
        <v>@petrogustavo</v>
      </c>
      <c r="C14233" s="5" t="s">
        <v>16</v>
      </c>
      <c r="D14233" s="5" t="s">
        <v>13699</v>
      </c>
      <c r="E14233" s="6" t="str">
        <f>HYPERLINK("https://twitter.com/petrogustavo/status/1389398939464577027","1389398939464577027")</f>
        <v>1389398939464577027</v>
      </c>
      <c r="F14233" s="7" t="s">
        <v>17</v>
      </c>
      <c r="G14233" s="7">
        <v>4139311</v>
      </c>
      <c r="H14233" s="7">
        <v>2509</v>
      </c>
      <c r="I14233" s="7">
        <v>144</v>
      </c>
      <c r="J14233" s="7">
        <v>388</v>
      </c>
      <c r="K14233" s="7" t="s">
        <v>18</v>
      </c>
      <c r="L14233" s="8">
        <v>39987.315405092595</v>
      </c>
      <c r="M14233" s="9" t="s">
        <v>19</v>
      </c>
      <c r="N14233" s="9" t="s">
        <v>20</v>
      </c>
      <c r="O14233" s="6" t="str">
        <f>HYPERLINK("https://pbs.twimg.com/profile_images/962471262747529216/Uo8lOkRJ_normal.jpg","View")</f>
        <v>View</v>
      </c>
      <c r="P14233" s="7"/>
    </row>
    <row r="14234" spans="1:16">
      <c r="A14234" s="3">
        <v>44320.312928240739</v>
      </c>
      <c r="B14234" s="4" t="str">
        <f>HYPERLINK("https://twitter.com/petrogustavo","@petrogustavo")</f>
        <v>@petrogustavo</v>
      </c>
      <c r="C14234" s="5" t="s">
        <v>16</v>
      </c>
      <c r="D14234" s="5" t="s">
        <v>13700</v>
      </c>
      <c r="E14234" s="6" t="str">
        <f>HYPERLINK("https://twitter.com/petrogustavo/status/1389399532610461699","1389399532610461699")</f>
        <v>1389399532610461699</v>
      </c>
      <c r="F14234" s="7" t="s">
        <v>17</v>
      </c>
      <c r="G14234" s="7">
        <v>4139311</v>
      </c>
      <c r="H14234" s="7">
        <v>2509</v>
      </c>
      <c r="I14234" s="7">
        <v>608</v>
      </c>
      <c r="J14234" s="7">
        <v>0</v>
      </c>
      <c r="K14234" s="7" t="s">
        <v>18</v>
      </c>
      <c r="L14234" s="8">
        <v>39987.315405092595</v>
      </c>
      <c r="M14234" s="9" t="s">
        <v>19</v>
      </c>
      <c r="N14234" s="9" t="s">
        <v>20</v>
      </c>
      <c r="O14234" s="6" t="str">
        <f>HYPERLINK("https://pbs.twimg.com/profile_images/962471262747529216/Uo8lOkRJ_normal.jpg","View")</f>
        <v>View</v>
      </c>
      <c r="P14234" s="7"/>
    </row>
    <row r="14235" spans="1:16">
      <c r="A14235" s="3">
        <v>44320.317500000005</v>
      </c>
      <c r="B14235" s="4" t="str">
        <f>HYPERLINK("https://twitter.com/petrogustavo","@petrogustavo")</f>
        <v>@petrogustavo</v>
      </c>
      <c r="C14235" s="5" t="s">
        <v>16</v>
      </c>
      <c r="D14235" s="5" t="s">
        <v>13701</v>
      </c>
      <c r="E14235" s="6" t="str">
        <f>HYPERLINK("https://twitter.com/petrogustavo/status/1389401189909995523","1389401189909995523")</f>
        <v>1389401189909995523</v>
      </c>
      <c r="F14235" s="7" t="s">
        <v>17</v>
      </c>
      <c r="G14235" s="7">
        <v>4139535</v>
      </c>
      <c r="H14235" s="7">
        <v>2509</v>
      </c>
      <c r="I14235" s="7">
        <v>8414</v>
      </c>
      <c r="J14235" s="7">
        <v>0</v>
      </c>
      <c r="K14235" s="7" t="s">
        <v>18</v>
      </c>
      <c r="L14235" s="8">
        <v>39987.315405092595</v>
      </c>
      <c r="M14235" s="9" t="s">
        <v>19</v>
      </c>
      <c r="N14235" s="9" t="s">
        <v>20</v>
      </c>
      <c r="O14235" s="6" t="str">
        <f>HYPERLINK("https://pbs.twimg.com/profile_images/962471262747529216/Uo8lOkRJ_normal.jpg","View")</f>
        <v>View</v>
      </c>
      <c r="P14235" s="7"/>
    </row>
    <row r="14236" spans="1:16">
      <c r="A14236" s="3">
        <v>44320.319768518515</v>
      </c>
      <c r="B14236" s="4" t="str">
        <f>HYPERLINK("https://twitter.com/petrogustavo","@petrogustavo")</f>
        <v>@petrogustavo</v>
      </c>
      <c r="C14236" s="5" t="s">
        <v>16</v>
      </c>
      <c r="D14236" s="5" t="s">
        <v>13702</v>
      </c>
      <c r="E14236" s="6" t="str">
        <f>HYPERLINK("https://twitter.com/petrogustavo/status/1389402014631747585","1389402014631747585")</f>
        <v>1389402014631747585</v>
      </c>
      <c r="F14236" s="7" t="s">
        <v>17</v>
      </c>
      <c r="G14236" s="7">
        <v>4139535</v>
      </c>
      <c r="H14236" s="7">
        <v>2509</v>
      </c>
      <c r="I14236" s="7">
        <v>1496</v>
      </c>
      <c r="J14236" s="7">
        <v>4152</v>
      </c>
      <c r="K14236" s="7" t="s">
        <v>18</v>
      </c>
      <c r="L14236" s="8">
        <v>39987.315405092595</v>
      </c>
      <c r="M14236" s="9" t="s">
        <v>19</v>
      </c>
      <c r="N14236" s="9" t="s">
        <v>20</v>
      </c>
      <c r="O14236" s="6" t="str">
        <f>HYPERLINK("https://pbs.twimg.com/profile_images/962471262747529216/Uo8lOkRJ_normal.jpg","View")</f>
        <v>View</v>
      </c>
      <c r="P14236" s="7"/>
    </row>
    <row r="14237" spans="1:16">
      <c r="A14237" s="3">
        <v>44320.32576388889</v>
      </c>
      <c r="B14237" s="4" t="str">
        <f>HYPERLINK("https://twitter.com/petrogustavo","@petrogustavo")</f>
        <v>@petrogustavo</v>
      </c>
      <c r="C14237" s="5" t="s">
        <v>16</v>
      </c>
      <c r="D14237" s="5" t="s">
        <v>13703</v>
      </c>
      <c r="E14237" s="6" t="str">
        <f>HYPERLINK("https://twitter.com/petrogustavo/status/1389404185226063872","1389404185226063872")</f>
        <v>1389404185226063872</v>
      </c>
      <c r="F14237" s="7" t="s">
        <v>17</v>
      </c>
      <c r="G14237" s="7">
        <v>4139535</v>
      </c>
      <c r="H14237" s="7">
        <v>2509</v>
      </c>
      <c r="I14237" s="7">
        <v>397</v>
      </c>
      <c r="J14237" s="7">
        <v>0</v>
      </c>
      <c r="K14237" s="7" t="s">
        <v>18</v>
      </c>
      <c r="L14237" s="8">
        <v>39987.315405092595</v>
      </c>
      <c r="M14237" s="9" t="s">
        <v>19</v>
      </c>
      <c r="N14237" s="9" t="s">
        <v>20</v>
      </c>
      <c r="O14237" s="6" t="str">
        <f>HYPERLINK("https://pbs.twimg.com/profile_images/962471262747529216/Uo8lOkRJ_normal.jpg","View")</f>
        <v>View</v>
      </c>
      <c r="P14237" s="7"/>
    </row>
    <row r="14238" spans="1:16">
      <c r="A14238" s="3">
        <v>44320.327627314815</v>
      </c>
      <c r="B14238" s="4" t="str">
        <f>HYPERLINK("https://twitter.com/petrogustavo","@petrogustavo")</f>
        <v>@petrogustavo</v>
      </c>
      <c r="C14238" s="5" t="s">
        <v>16</v>
      </c>
      <c r="D14238" s="5" t="s">
        <v>13704</v>
      </c>
      <c r="E14238" s="6" t="str">
        <f>HYPERLINK("https://twitter.com/petrogustavo/status/1389404859770843138","1389404859770843138")</f>
        <v>1389404859770843138</v>
      </c>
      <c r="F14238" s="7" t="s">
        <v>17</v>
      </c>
      <c r="G14238" s="7">
        <v>4139535</v>
      </c>
      <c r="H14238" s="7">
        <v>2509</v>
      </c>
      <c r="I14238" s="7">
        <v>73</v>
      </c>
      <c r="J14238" s="7">
        <v>0</v>
      </c>
      <c r="K14238" s="7" t="s">
        <v>18</v>
      </c>
      <c r="L14238" s="8">
        <v>39987.315405092595</v>
      </c>
      <c r="M14238" s="9" t="s">
        <v>19</v>
      </c>
      <c r="N14238" s="9" t="s">
        <v>20</v>
      </c>
      <c r="O14238" s="6" t="str">
        <f>HYPERLINK("https://pbs.twimg.com/profile_images/962471262747529216/Uo8lOkRJ_normal.jpg","View")</f>
        <v>View</v>
      </c>
      <c r="P14238" s="7"/>
    </row>
    <row r="14239" spans="1:16">
      <c r="A14239" s="3">
        <v>44320.328229166669</v>
      </c>
      <c r="B14239" s="4" t="str">
        <f>HYPERLINK("https://twitter.com/petrogustavo","@petrogustavo")</f>
        <v>@petrogustavo</v>
      </c>
      <c r="C14239" s="5" t="s">
        <v>16</v>
      </c>
      <c r="D14239" s="5" t="s">
        <v>13705</v>
      </c>
      <c r="E14239" s="6" t="str">
        <f>HYPERLINK("https://twitter.com/petrogustavo/status/1389405077568376837","1389405077568376837")</f>
        <v>1389405077568376837</v>
      </c>
      <c r="F14239" s="7" t="s">
        <v>17</v>
      </c>
      <c r="G14239" s="7">
        <v>4139535</v>
      </c>
      <c r="H14239" s="7">
        <v>2509</v>
      </c>
      <c r="I14239" s="7">
        <v>296</v>
      </c>
      <c r="J14239" s="7">
        <v>0</v>
      </c>
      <c r="K14239" s="7" t="s">
        <v>18</v>
      </c>
      <c r="L14239" s="8">
        <v>39987.315405092595</v>
      </c>
      <c r="M14239" s="9" t="s">
        <v>19</v>
      </c>
      <c r="N14239" s="9" t="s">
        <v>20</v>
      </c>
      <c r="O14239" s="6" t="str">
        <f>HYPERLINK("https://pbs.twimg.com/profile_images/962471262747529216/Uo8lOkRJ_normal.jpg","View")</f>
        <v>View</v>
      </c>
      <c r="P14239" s="7"/>
    </row>
    <row r="14240" spans="1:16">
      <c r="A14240" s="3">
        <v>44320.341956018514</v>
      </c>
      <c r="B14240" s="4" t="str">
        <f>HYPERLINK("https://twitter.com/petrogustavo","@petrogustavo")</f>
        <v>@petrogustavo</v>
      </c>
      <c r="C14240" s="5" t="s">
        <v>16</v>
      </c>
      <c r="D14240" s="5" t="s">
        <v>13706</v>
      </c>
      <c r="E14240" s="6" t="str">
        <f>HYPERLINK("https://twitter.com/petrogustavo/status/1389410053749452801","1389410053749452801")</f>
        <v>1389410053749452801</v>
      </c>
      <c r="F14240" s="7" t="s">
        <v>17</v>
      </c>
      <c r="G14240" s="7">
        <v>4139770</v>
      </c>
      <c r="H14240" s="7">
        <v>2509</v>
      </c>
      <c r="I14240" s="7">
        <v>419</v>
      </c>
      <c r="J14240" s="7">
        <v>0</v>
      </c>
      <c r="K14240" s="7" t="s">
        <v>18</v>
      </c>
      <c r="L14240" s="8">
        <v>39987.315405092595</v>
      </c>
      <c r="M14240" s="9" t="s">
        <v>19</v>
      </c>
      <c r="N14240" s="9" t="s">
        <v>20</v>
      </c>
      <c r="O14240" s="6" t="str">
        <f>HYPERLINK("https://pbs.twimg.com/profile_images/962471262747529216/Uo8lOkRJ_normal.jpg","View")</f>
        <v>View</v>
      </c>
      <c r="P14240" s="7"/>
    </row>
    <row r="14241" spans="1:16">
      <c r="A14241" s="3">
        <v>44320.372546296298</v>
      </c>
      <c r="B14241" s="4" t="str">
        <f>HYPERLINK("https://twitter.com/petrogustavo","@petrogustavo")</f>
        <v>@petrogustavo</v>
      </c>
      <c r="C14241" s="5" t="s">
        <v>16</v>
      </c>
      <c r="D14241" s="5" t="s">
        <v>13707</v>
      </c>
      <c r="E14241" s="6" t="str">
        <f>HYPERLINK("https://twitter.com/petrogustavo/status/1389421139810783232","1389421139810783232")</f>
        <v>1389421139810783232</v>
      </c>
      <c r="F14241" s="7" t="s">
        <v>17</v>
      </c>
      <c r="G14241" s="7">
        <v>4140057</v>
      </c>
      <c r="H14241" s="7">
        <v>2509</v>
      </c>
      <c r="I14241" s="7">
        <v>419</v>
      </c>
      <c r="J14241" s="7">
        <v>0</v>
      </c>
      <c r="K14241" s="7" t="s">
        <v>18</v>
      </c>
      <c r="L14241" s="8">
        <v>39987.315405092595</v>
      </c>
      <c r="M14241" s="9" t="s">
        <v>19</v>
      </c>
      <c r="N14241" s="9" t="s">
        <v>20</v>
      </c>
      <c r="O14241" s="6" t="str">
        <f>HYPERLINK("https://pbs.twimg.com/profile_images/962471262747529216/Uo8lOkRJ_normal.jpg","View")</f>
        <v>View</v>
      </c>
      <c r="P14241" s="7"/>
    </row>
    <row r="14242" spans="1:16">
      <c r="A14242" s="3">
        <v>44320.375381944439</v>
      </c>
      <c r="B14242" s="4" t="str">
        <f>HYPERLINK("https://twitter.com/petrogustavo","@petrogustavo")</f>
        <v>@petrogustavo</v>
      </c>
      <c r="C14242" s="5" t="s">
        <v>16</v>
      </c>
      <c r="D14242" s="5" t="s">
        <v>13708</v>
      </c>
      <c r="E14242" s="6" t="str">
        <f>HYPERLINK("https://twitter.com/petrogustavo/status/1389422166379225092","1389422166379225092")</f>
        <v>1389422166379225092</v>
      </c>
      <c r="F14242" s="7" t="s">
        <v>17</v>
      </c>
      <c r="G14242" s="7">
        <v>4140057</v>
      </c>
      <c r="H14242" s="7">
        <v>2509</v>
      </c>
      <c r="I14242" s="7">
        <v>366</v>
      </c>
      <c r="J14242" s="7">
        <v>1210</v>
      </c>
      <c r="K14242" s="7" t="s">
        <v>18</v>
      </c>
      <c r="L14242" s="8">
        <v>39987.315405092595</v>
      </c>
      <c r="M14242" s="9" t="s">
        <v>19</v>
      </c>
      <c r="N14242" s="9" t="s">
        <v>20</v>
      </c>
      <c r="O14242" s="6" t="str">
        <f>HYPERLINK("https://pbs.twimg.com/profile_images/962471262747529216/Uo8lOkRJ_normal.jpg","View")</f>
        <v>View</v>
      </c>
      <c r="P14242" s="7"/>
    </row>
    <row r="14243" spans="1:16">
      <c r="A14243" s="3">
        <v>44320.37667824074</v>
      </c>
      <c r="B14243" s="4" t="str">
        <f>HYPERLINK("https://twitter.com/petrogustavo","@petrogustavo")</f>
        <v>@petrogustavo</v>
      </c>
      <c r="C14243" s="5" t="s">
        <v>16</v>
      </c>
      <c r="D14243" s="5" t="s">
        <v>13709</v>
      </c>
      <c r="E14243" s="6" t="str">
        <f>HYPERLINK("https://twitter.com/petrogustavo/status/1389422638523682817","1389422638523682817")</f>
        <v>1389422638523682817</v>
      </c>
      <c r="F14243" s="7" t="s">
        <v>17</v>
      </c>
      <c r="G14243" s="7">
        <v>4140416</v>
      </c>
      <c r="H14243" s="7">
        <v>2509</v>
      </c>
      <c r="I14243" s="7">
        <v>1040</v>
      </c>
      <c r="J14243" s="7">
        <v>1625</v>
      </c>
      <c r="K14243" s="7" t="s">
        <v>18</v>
      </c>
      <c r="L14243" s="8">
        <v>39987.315405092595</v>
      </c>
      <c r="M14243" s="9" t="s">
        <v>19</v>
      </c>
      <c r="N14243" s="9" t="s">
        <v>20</v>
      </c>
      <c r="O14243" s="6" t="str">
        <f>HYPERLINK("https://pbs.twimg.com/profile_images/962471262747529216/Uo8lOkRJ_normal.jpg","View")</f>
        <v>View</v>
      </c>
      <c r="P14243" s="7"/>
    </row>
    <row r="14244" spans="1:16">
      <c r="A14244" s="3">
        <v>44320.377141203702</v>
      </c>
      <c r="B14244" s="4" t="str">
        <f>HYPERLINK("https://twitter.com/petrogustavo","@petrogustavo")</f>
        <v>@petrogustavo</v>
      </c>
      <c r="C14244" s="5" t="s">
        <v>16</v>
      </c>
      <c r="D14244" s="5" t="s">
        <v>13710</v>
      </c>
      <c r="E14244" s="6" t="str">
        <f>HYPERLINK("https://twitter.com/petrogustavo/status/1389422806576812038","1389422806576812038")</f>
        <v>1389422806576812038</v>
      </c>
      <c r="F14244" s="7" t="s">
        <v>17</v>
      </c>
      <c r="G14244" s="7">
        <v>4140416</v>
      </c>
      <c r="H14244" s="7">
        <v>2509</v>
      </c>
      <c r="I14244" s="7">
        <v>698</v>
      </c>
      <c r="J14244" s="7">
        <v>1098</v>
      </c>
      <c r="K14244" s="7" t="s">
        <v>18</v>
      </c>
      <c r="L14244" s="8">
        <v>39987.315405092595</v>
      </c>
      <c r="M14244" s="9" t="s">
        <v>19</v>
      </c>
      <c r="N14244" s="9" t="s">
        <v>20</v>
      </c>
      <c r="O14244" s="6" t="str">
        <f>HYPERLINK("https://pbs.twimg.com/profile_images/962471262747529216/Uo8lOkRJ_normal.jpg","View")</f>
        <v>View</v>
      </c>
      <c r="P14244" s="7"/>
    </row>
    <row r="14245" spans="1:16">
      <c r="A14245" s="3">
        <v>44320.378067129626</v>
      </c>
      <c r="B14245" s="4" t="str">
        <f>HYPERLINK("https://twitter.com/petrogustavo","@petrogustavo")</f>
        <v>@petrogustavo</v>
      </c>
      <c r="C14245" s="5" t="s">
        <v>16</v>
      </c>
      <c r="D14245" s="5" t="s">
        <v>13711</v>
      </c>
      <c r="E14245" s="6" t="str">
        <f>HYPERLINK("https://twitter.com/petrogustavo/status/1389423139038404608","1389423139038404608")</f>
        <v>1389423139038404608</v>
      </c>
      <c r="F14245" s="7" t="s">
        <v>17</v>
      </c>
      <c r="G14245" s="7">
        <v>4140416</v>
      </c>
      <c r="H14245" s="7">
        <v>2509</v>
      </c>
      <c r="I14245" s="7">
        <v>1495</v>
      </c>
      <c r="J14245" s="7">
        <v>2379</v>
      </c>
      <c r="K14245" s="7" t="s">
        <v>18</v>
      </c>
      <c r="L14245" s="8">
        <v>39987.315405092595</v>
      </c>
      <c r="M14245" s="9" t="s">
        <v>19</v>
      </c>
      <c r="N14245" s="9" t="s">
        <v>20</v>
      </c>
      <c r="O14245" s="6" t="str">
        <f>HYPERLINK("https://pbs.twimg.com/profile_images/962471262747529216/Uo8lOkRJ_normal.jpg","View")</f>
        <v>View</v>
      </c>
      <c r="P14245" s="7"/>
    </row>
    <row r="14246" spans="1:16">
      <c r="A14246" s="3">
        <v>44320.379548611112</v>
      </c>
      <c r="B14246" s="4" t="str">
        <f>HYPERLINK("https://twitter.com/petrogustavo","@petrogustavo")</f>
        <v>@petrogustavo</v>
      </c>
      <c r="C14246" s="5" t="s">
        <v>16</v>
      </c>
      <c r="D14246" s="5" t="s">
        <v>13712</v>
      </c>
      <c r="E14246" s="6" t="str">
        <f>HYPERLINK("https://twitter.com/petrogustavo/status/1389423675607289858","1389423675607289858")</f>
        <v>1389423675607289858</v>
      </c>
      <c r="F14246" s="7" t="s">
        <v>17</v>
      </c>
      <c r="G14246" s="7">
        <v>4140416</v>
      </c>
      <c r="H14246" s="7">
        <v>2509</v>
      </c>
      <c r="I14246" s="7">
        <v>1697</v>
      </c>
      <c r="J14246" s="7">
        <v>4202</v>
      </c>
      <c r="K14246" s="7" t="s">
        <v>18</v>
      </c>
      <c r="L14246" s="8">
        <v>39987.315405092595</v>
      </c>
      <c r="M14246" s="9" t="s">
        <v>19</v>
      </c>
      <c r="N14246" s="9" t="s">
        <v>20</v>
      </c>
      <c r="O14246" s="6" t="str">
        <f>HYPERLINK("https://pbs.twimg.com/profile_images/962471262747529216/Uo8lOkRJ_normal.jpg","View")</f>
        <v>View</v>
      </c>
      <c r="P14246" s="7"/>
    </row>
    <row r="14247" spans="1:16">
      <c r="A14247" s="3">
        <v>44320.38113425926</v>
      </c>
      <c r="B14247" s="4" t="str">
        <f>HYPERLINK("https://twitter.com/petrogustavo","@petrogustavo")</f>
        <v>@petrogustavo</v>
      </c>
      <c r="C14247" s="5" t="s">
        <v>16</v>
      </c>
      <c r="D14247" s="5" t="s">
        <v>13713</v>
      </c>
      <c r="E14247" s="6" t="str">
        <f>HYPERLINK("https://twitter.com/petrogustavo/status/1389424252097634305","1389424252097634305")</f>
        <v>1389424252097634305</v>
      </c>
      <c r="F14247" s="7" t="s">
        <v>17</v>
      </c>
      <c r="G14247" s="7">
        <v>4140416</v>
      </c>
      <c r="H14247" s="7">
        <v>2509</v>
      </c>
      <c r="I14247" s="7">
        <v>1697</v>
      </c>
      <c r="J14247" s="7">
        <v>0</v>
      </c>
      <c r="K14247" s="7" t="s">
        <v>18</v>
      </c>
      <c r="L14247" s="8">
        <v>39987.315405092595</v>
      </c>
      <c r="M14247" s="9" t="s">
        <v>19</v>
      </c>
      <c r="N14247" s="9" t="s">
        <v>20</v>
      </c>
      <c r="O14247" s="6" t="str">
        <f>HYPERLINK("https://pbs.twimg.com/profile_images/962471262747529216/Uo8lOkRJ_normal.jpg","View")</f>
        <v>View</v>
      </c>
      <c r="P14247" s="7"/>
    </row>
    <row r="14248" spans="1:16">
      <c r="A14248" s="3">
        <v>44320.381377314814</v>
      </c>
      <c r="B14248" s="4" t="str">
        <f>HYPERLINK("https://twitter.com/petrogustavo","@petrogustavo")</f>
        <v>@petrogustavo</v>
      </c>
      <c r="C14248" s="5" t="s">
        <v>16</v>
      </c>
      <c r="D14248" s="5" t="s">
        <v>13714</v>
      </c>
      <c r="E14248" s="6" t="str">
        <f>HYPERLINK("https://twitter.com/petrogustavo/status/1389424338261139461","1389424338261139461")</f>
        <v>1389424338261139461</v>
      </c>
      <c r="F14248" s="7" t="s">
        <v>17</v>
      </c>
      <c r="G14248" s="7">
        <v>4140416</v>
      </c>
      <c r="H14248" s="7">
        <v>2509</v>
      </c>
      <c r="I14248" s="7">
        <v>3018</v>
      </c>
      <c r="J14248" s="7">
        <v>0</v>
      </c>
      <c r="K14248" s="7" t="s">
        <v>18</v>
      </c>
      <c r="L14248" s="8">
        <v>39987.315405092595</v>
      </c>
      <c r="M14248" s="9" t="s">
        <v>19</v>
      </c>
      <c r="N14248" s="9" t="s">
        <v>20</v>
      </c>
      <c r="O14248" s="6" t="str">
        <f>HYPERLINK("https://pbs.twimg.com/profile_images/962471262747529216/Uo8lOkRJ_normal.jpg","View")</f>
        <v>View</v>
      </c>
      <c r="P14248" s="7"/>
    </row>
    <row r="14249" spans="1:16">
      <c r="A14249" s="3">
        <v>44320.716087962966</v>
      </c>
      <c r="B14249" s="4" t="str">
        <f>HYPERLINK("https://twitter.com/petrogustavo","@petrogustavo")</f>
        <v>@petrogustavo</v>
      </c>
      <c r="C14249" s="5" t="s">
        <v>16</v>
      </c>
      <c r="D14249" s="5" t="s">
        <v>13715</v>
      </c>
      <c r="E14249" s="6" t="str">
        <f>HYPERLINK("https://twitter.com/petrogustavo/status/1389545636299739138","1389545636299739138")</f>
        <v>1389545636299739138</v>
      </c>
      <c r="F14249" s="7" t="s">
        <v>17</v>
      </c>
      <c r="G14249" s="7">
        <v>4144212</v>
      </c>
      <c r="H14249" s="7">
        <v>2508</v>
      </c>
      <c r="I14249" s="7">
        <v>618</v>
      </c>
      <c r="J14249" s="7">
        <v>1176</v>
      </c>
      <c r="K14249" s="7" t="s">
        <v>18</v>
      </c>
      <c r="L14249" s="8">
        <v>39987.315405092595</v>
      </c>
      <c r="M14249" s="9" t="s">
        <v>19</v>
      </c>
      <c r="N14249" s="9" t="s">
        <v>20</v>
      </c>
      <c r="O14249" s="6" t="str">
        <f>HYPERLINK("https://pbs.twimg.com/profile_images/962471262747529216/Uo8lOkRJ_normal.jpg","View")</f>
        <v>View</v>
      </c>
      <c r="P14249" s="7"/>
    </row>
    <row r="14250" spans="1:16">
      <c r="A14250" s="3">
        <v>44320.717326388884</v>
      </c>
      <c r="B14250" s="4" t="str">
        <f>HYPERLINK("https://twitter.com/petrogustavo","@petrogustavo")</f>
        <v>@petrogustavo</v>
      </c>
      <c r="C14250" s="5" t="s">
        <v>16</v>
      </c>
      <c r="D14250" s="5" t="s">
        <v>13716</v>
      </c>
      <c r="E14250" s="6" t="str">
        <f>HYPERLINK("https://twitter.com/petrogustavo/status/1389546082556854281","1389546082556854281")</f>
        <v>1389546082556854281</v>
      </c>
      <c r="F14250" s="7" t="s">
        <v>17</v>
      </c>
      <c r="G14250" s="7">
        <v>4144212</v>
      </c>
      <c r="H14250" s="7">
        <v>2508</v>
      </c>
      <c r="I14250" s="7">
        <v>4240</v>
      </c>
      <c r="J14250" s="7">
        <v>0</v>
      </c>
      <c r="K14250" s="7" t="s">
        <v>18</v>
      </c>
      <c r="L14250" s="8">
        <v>39987.315405092595</v>
      </c>
      <c r="M14250" s="9" t="s">
        <v>19</v>
      </c>
      <c r="N14250" s="9" t="s">
        <v>20</v>
      </c>
      <c r="O14250" s="6" t="str">
        <f>HYPERLINK("https://pbs.twimg.com/profile_images/962471262747529216/Uo8lOkRJ_normal.jpg","View")</f>
        <v>View</v>
      </c>
      <c r="P14250" s="7"/>
    </row>
    <row r="14251" spans="1:16">
      <c r="A14251" s="3">
        <v>44320.720127314809</v>
      </c>
      <c r="B14251" s="4" t="str">
        <f>HYPERLINK("https://twitter.com/petrogustavo","@petrogustavo")</f>
        <v>@petrogustavo</v>
      </c>
      <c r="C14251" s="5" t="s">
        <v>16</v>
      </c>
      <c r="D14251" s="5" t="s">
        <v>13717</v>
      </c>
      <c r="E14251" s="6" t="str">
        <f>HYPERLINK("https://twitter.com/petrogustavo/status/1389547099461722119","1389547099461722119")</f>
        <v>1389547099461722119</v>
      </c>
      <c r="F14251" s="7" t="s">
        <v>17</v>
      </c>
      <c r="G14251" s="7">
        <v>4144212</v>
      </c>
      <c r="H14251" s="7">
        <v>2508</v>
      </c>
      <c r="I14251" s="7">
        <v>560</v>
      </c>
      <c r="J14251" s="7">
        <v>918</v>
      </c>
      <c r="K14251" s="7" t="s">
        <v>18</v>
      </c>
      <c r="L14251" s="8">
        <v>39987.315405092595</v>
      </c>
      <c r="M14251" s="9" t="s">
        <v>19</v>
      </c>
      <c r="N14251" s="9" t="s">
        <v>20</v>
      </c>
      <c r="O14251" s="6" t="str">
        <f>HYPERLINK("https://pbs.twimg.com/profile_images/962471262747529216/Uo8lOkRJ_normal.jpg","View")</f>
        <v>View</v>
      </c>
      <c r="P14251" s="7"/>
    </row>
    <row r="14252" spans="1:16">
      <c r="A14252" s="3">
        <v>44320.727141203708</v>
      </c>
      <c r="B14252" s="4" t="str">
        <f>HYPERLINK("https://twitter.com/petrogustavo","@petrogustavo")</f>
        <v>@petrogustavo</v>
      </c>
      <c r="C14252" s="5" t="s">
        <v>16</v>
      </c>
      <c r="D14252" s="5" t="s">
        <v>13718</v>
      </c>
      <c r="E14252" s="6" t="str">
        <f>HYPERLINK("https://twitter.com/petrogustavo/status/1389549638529818626","1389549638529818626")</f>
        <v>1389549638529818626</v>
      </c>
      <c r="F14252" s="7" t="s">
        <v>17</v>
      </c>
      <c r="G14252" s="7">
        <v>4144212</v>
      </c>
      <c r="H14252" s="7">
        <v>2508</v>
      </c>
      <c r="I14252" s="7">
        <v>1949</v>
      </c>
      <c r="J14252" s="7">
        <v>0</v>
      </c>
      <c r="K14252" s="7" t="s">
        <v>18</v>
      </c>
      <c r="L14252" s="8">
        <v>39987.315405092595</v>
      </c>
      <c r="M14252" s="9" t="s">
        <v>19</v>
      </c>
      <c r="N14252" s="9" t="s">
        <v>20</v>
      </c>
      <c r="O14252" s="6" t="str">
        <f>HYPERLINK("https://pbs.twimg.com/profile_images/962471262747529216/Uo8lOkRJ_normal.jpg","View")</f>
        <v>View</v>
      </c>
      <c r="P14252" s="7"/>
    </row>
    <row r="14253" spans="1:16">
      <c r="A14253" s="3">
        <v>44320.729930555557</v>
      </c>
      <c r="B14253" s="4" t="str">
        <f>HYPERLINK("https://twitter.com/petrogustavo","@petrogustavo")</f>
        <v>@petrogustavo</v>
      </c>
      <c r="C14253" s="5" t="s">
        <v>16</v>
      </c>
      <c r="D14253" s="5" t="s">
        <v>13719</v>
      </c>
      <c r="E14253" s="6" t="str">
        <f>HYPERLINK("https://twitter.com/petrogustavo/status/1389550651525455878","1389550651525455878")</f>
        <v>1389550651525455878</v>
      </c>
      <c r="F14253" s="7" t="s">
        <v>17</v>
      </c>
      <c r="G14253" s="7">
        <v>4144212</v>
      </c>
      <c r="H14253" s="7">
        <v>2508</v>
      </c>
      <c r="I14253" s="7">
        <v>101</v>
      </c>
      <c r="J14253" s="7">
        <v>0</v>
      </c>
      <c r="K14253" s="7" t="s">
        <v>18</v>
      </c>
      <c r="L14253" s="8">
        <v>39987.315405092595</v>
      </c>
      <c r="M14253" s="9" t="s">
        <v>19</v>
      </c>
      <c r="N14253" s="9" t="s">
        <v>20</v>
      </c>
      <c r="O14253" s="6" t="str">
        <f>HYPERLINK("https://pbs.twimg.com/profile_images/962471262747529216/Uo8lOkRJ_normal.jpg","View")</f>
        <v>View</v>
      </c>
      <c r="P14253" s="7"/>
    </row>
    <row r="14254" spans="1:16">
      <c r="A14254" s="3">
        <v>44320.730150462958</v>
      </c>
      <c r="B14254" s="4" t="str">
        <f>HYPERLINK("https://twitter.com/petrogustavo","@petrogustavo")</f>
        <v>@petrogustavo</v>
      </c>
      <c r="C14254" s="5" t="s">
        <v>16</v>
      </c>
      <c r="D14254" s="5" t="s">
        <v>13720</v>
      </c>
      <c r="E14254" s="6" t="str">
        <f>HYPERLINK("https://twitter.com/petrogustavo/status/1389550729455677449","1389550729455677449")</f>
        <v>1389550729455677449</v>
      </c>
      <c r="F14254" s="7" t="s">
        <v>17</v>
      </c>
      <c r="G14254" s="7">
        <v>4144212</v>
      </c>
      <c r="H14254" s="7">
        <v>2508</v>
      </c>
      <c r="I14254" s="7">
        <v>52</v>
      </c>
      <c r="J14254" s="7">
        <v>0</v>
      </c>
      <c r="K14254" s="7" t="s">
        <v>18</v>
      </c>
      <c r="L14254" s="8">
        <v>39987.315405092595</v>
      </c>
      <c r="M14254" s="9" t="s">
        <v>19</v>
      </c>
      <c r="N14254" s="9" t="s">
        <v>20</v>
      </c>
      <c r="O14254" s="6" t="str">
        <f>HYPERLINK("https://pbs.twimg.com/profile_images/962471262747529216/Uo8lOkRJ_normal.jpg","View")</f>
        <v>View</v>
      </c>
      <c r="P14254" s="7"/>
    </row>
    <row r="14255" spans="1:16">
      <c r="A14255" s="3">
        <v>44320.732349537036</v>
      </c>
      <c r="B14255" s="4" t="str">
        <f>HYPERLINK("https://twitter.com/petrogustavo","@petrogustavo")</f>
        <v>@petrogustavo</v>
      </c>
      <c r="C14255" s="5" t="s">
        <v>16</v>
      </c>
      <c r="D14255" s="5" t="s">
        <v>13721</v>
      </c>
      <c r="E14255" s="6" t="str">
        <f>HYPERLINK("https://twitter.com/petrogustavo/status/1389551527241650212","1389551527241650212")</f>
        <v>1389551527241650212</v>
      </c>
      <c r="F14255" s="7" t="s">
        <v>17</v>
      </c>
      <c r="G14255" s="7">
        <v>4144522</v>
      </c>
      <c r="H14255" s="7">
        <v>2508</v>
      </c>
      <c r="I14255" s="7">
        <v>446</v>
      </c>
      <c r="J14255" s="7">
        <v>1010</v>
      </c>
      <c r="K14255" s="7" t="s">
        <v>18</v>
      </c>
      <c r="L14255" s="8">
        <v>39987.315405092595</v>
      </c>
      <c r="M14255" s="9" t="s">
        <v>19</v>
      </c>
      <c r="N14255" s="9" t="s">
        <v>20</v>
      </c>
      <c r="O14255" s="6" t="str">
        <f>HYPERLINK("https://pbs.twimg.com/profile_images/962471262747529216/Uo8lOkRJ_normal.jpg","View")</f>
        <v>View</v>
      </c>
      <c r="P14255" s="7"/>
    </row>
    <row r="14256" spans="1:16">
      <c r="A14256" s="3">
        <v>44320.733414351853</v>
      </c>
      <c r="B14256" s="4" t="str">
        <f>HYPERLINK("https://twitter.com/petrogustavo","@petrogustavo")</f>
        <v>@petrogustavo</v>
      </c>
      <c r="C14256" s="5" t="s">
        <v>16</v>
      </c>
      <c r="D14256" s="5" t="s">
        <v>13722</v>
      </c>
      <c r="E14256" s="6" t="str">
        <f>HYPERLINK("https://twitter.com/petrogustavo/status/1389551913549565952","1389551913549565952")</f>
        <v>1389551913549565952</v>
      </c>
      <c r="F14256" s="7" t="s">
        <v>17</v>
      </c>
      <c r="G14256" s="7">
        <v>4144522</v>
      </c>
      <c r="H14256" s="7">
        <v>2508</v>
      </c>
      <c r="I14256" s="7">
        <v>304</v>
      </c>
      <c r="J14256" s="7">
        <v>0</v>
      </c>
      <c r="K14256" s="7" t="s">
        <v>18</v>
      </c>
      <c r="L14256" s="8">
        <v>39987.315405092595</v>
      </c>
      <c r="M14256" s="9" t="s">
        <v>19</v>
      </c>
      <c r="N14256" s="9" t="s">
        <v>20</v>
      </c>
      <c r="O14256" s="6" t="str">
        <f>HYPERLINK("https://pbs.twimg.com/profile_images/962471262747529216/Uo8lOkRJ_normal.jpg","View")</f>
        <v>View</v>
      </c>
      <c r="P14256" s="7"/>
    </row>
    <row r="14257" spans="1:16">
      <c r="A14257" s="3">
        <v>44320.734247685185</v>
      </c>
      <c r="B14257" s="4" t="str">
        <f>HYPERLINK("https://twitter.com/petrogustavo","@petrogustavo")</f>
        <v>@petrogustavo</v>
      </c>
      <c r="C14257" s="5" t="s">
        <v>16</v>
      </c>
      <c r="D14257" s="5" t="s">
        <v>13723</v>
      </c>
      <c r="E14257" s="6" t="str">
        <f>HYPERLINK("https://twitter.com/petrogustavo/status/1389552216776773635","1389552216776773635")</f>
        <v>1389552216776773635</v>
      </c>
      <c r="F14257" s="7" t="s">
        <v>17</v>
      </c>
      <c r="G14257" s="7">
        <v>4144522</v>
      </c>
      <c r="H14257" s="7">
        <v>2508</v>
      </c>
      <c r="I14257" s="7">
        <v>4437</v>
      </c>
      <c r="J14257" s="7">
        <v>0</v>
      </c>
      <c r="K14257" s="7" t="s">
        <v>18</v>
      </c>
      <c r="L14257" s="8">
        <v>39987.315405092595</v>
      </c>
      <c r="M14257" s="9" t="s">
        <v>19</v>
      </c>
      <c r="N14257" s="9" t="s">
        <v>20</v>
      </c>
      <c r="O14257" s="6" t="str">
        <f>HYPERLINK("https://pbs.twimg.com/profile_images/962471262747529216/Uo8lOkRJ_normal.jpg","View")</f>
        <v>View</v>
      </c>
      <c r="P14257" s="7"/>
    </row>
    <row r="14258" spans="1:16">
      <c r="A14258" s="3">
        <v>44320.739375000005</v>
      </c>
      <c r="B14258" s="4" t="str">
        <f>HYPERLINK("https://twitter.com/petrogustavo","@petrogustavo")</f>
        <v>@petrogustavo</v>
      </c>
      <c r="C14258" s="5" t="s">
        <v>16</v>
      </c>
      <c r="D14258" s="5" t="s">
        <v>13724</v>
      </c>
      <c r="E14258" s="6" t="str">
        <f>HYPERLINK("https://twitter.com/petrogustavo/status/1389554074731827200","1389554074731827200")</f>
        <v>1389554074731827200</v>
      </c>
      <c r="F14258" s="7" t="s">
        <v>17</v>
      </c>
      <c r="G14258" s="7">
        <v>4144522</v>
      </c>
      <c r="H14258" s="7">
        <v>2508</v>
      </c>
      <c r="I14258" s="7">
        <v>359</v>
      </c>
      <c r="J14258" s="7">
        <v>740</v>
      </c>
      <c r="K14258" s="7" t="s">
        <v>18</v>
      </c>
      <c r="L14258" s="8">
        <v>39987.315405092595</v>
      </c>
      <c r="M14258" s="9" t="s">
        <v>19</v>
      </c>
      <c r="N14258" s="9" t="s">
        <v>20</v>
      </c>
      <c r="O14258" s="6" t="str">
        <f>HYPERLINK("https://pbs.twimg.com/profile_images/962471262747529216/Uo8lOkRJ_normal.jpg","View")</f>
        <v>View</v>
      </c>
      <c r="P14258" s="7"/>
    </row>
    <row r="14259" spans="1:16">
      <c r="A14259" s="3">
        <v>44320.749525462961</v>
      </c>
      <c r="B14259" s="4" t="str">
        <f>HYPERLINK("https://twitter.com/petrogustavo","@petrogustavo")</f>
        <v>@petrogustavo</v>
      </c>
      <c r="C14259" s="5" t="s">
        <v>16</v>
      </c>
      <c r="D14259" s="5" t="s">
        <v>13714</v>
      </c>
      <c r="E14259" s="6" t="str">
        <f>HYPERLINK("https://twitter.com/petrogustavo/status/1389557752234655751","1389557752234655751")</f>
        <v>1389557752234655751</v>
      </c>
      <c r="F14259" s="7" t="s">
        <v>17</v>
      </c>
      <c r="G14259" s="7">
        <v>4144522</v>
      </c>
      <c r="H14259" s="7">
        <v>2508</v>
      </c>
      <c r="I14259" s="7">
        <v>8993</v>
      </c>
      <c r="J14259" s="7">
        <v>0</v>
      </c>
      <c r="K14259" s="7" t="s">
        <v>18</v>
      </c>
      <c r="L14259" s="8">
        <v>39987.315405092595</v>
      </c>
      <c r="M14259" s="9" t="s">
        <v>19</v>
      </c>
      <c r="N14259" s="9" t="s">
        <v>20</v>
      </c>
      <c r="O14259" s="6" t="str">
        <f>HYPERLINK("https://pbs.twimg.com/profile_images/962471262747529216/Uo8lOkRJ_normal.jpg","View")</f>
        <v>View</v>
      </c>
      <c r="P14259" s="7"/>
    </row>
    <row r="14260" spans="1:16">
      <c r="A14260" s="3">
        <v>44320.755358796298</v>
      </c>
      <c r="B14260" s="4" t="str">
        <f>HYPERLINK("https://twitter.com/petrogustavo","@petrogustavo")</f>
        <v>@petrogustavo</v>
      </c>
      <c r="C14260" s="5" t="s">
        <v>16</v>
      </c>
      <c r="D14260" s="5" t="s">
        <v>13725</v>
      </c>
      <c r="E14260" s="6" t="str">
        <f>HYPERLINK("https://twitter.com/petrogustavo/status/1389559867220893700","1389559867220893700")</f>
        <v>1389559867220893700</v>
      </c>
      <c r="F14260" s="7" t="s">
        <v>17</v>
      </c>
      <c r="G14260" s="7">
        <v>4144972</v>
      </c>
      <c r="H14260" s="7">
        <v>2508</v>
      </c>
      <c r="I14260" s="7">
        <v>1009</v>
      </c>
      <c r="J14260" s="7">
        <v>1926</v>
      </c>
      <c r="K14260" s="7" t="s">
        <v>18</v>
      </c>
      <c r="L14260" s="8">
        <v>39987.315405092595</v>
      </c>
      <c r="M14260" s="9" t="s">
        <v>19</v>
      </c>
      <c r="N14260" s="9" t="s">
        <v>20</v>
      </c>
      <c r="O14260" s="6" t="str">
        <f>HYPERLINK("https://pbs.twimg.com/profile_images/962471262747529216/Uo8lOkRJ_normal.jpg","View")</f>
        <v>View</v>
      </c>
      <c r="P14260" s="7"/>
    </row>
    <row r="14261" spans="1:16">
      <c r="A14261" s="3">
        <v>44320.759143518517</v>
      </c>
      <c r="B14261" s="4" t="str">
        <f>HYPERLINK("https://twitter.com/petrogustavo","@petrogustavo")</f>
        <v>@petrogustavo</v>
      </c>
      <c r="C14261" s="5" t="s">
        <v>16</v>
      </c>
      <c r="D14261" s="5" t="s">
        <v>13726</v>
      </c>
      <c r="E14261" s="6" t="str">
        <f>HYPERLINK("https://twitter.com/petrogustavo/status/1389561236262723585","1389561236262723585")</f>
        <v>1389561236262723585</v>
      </c>
      <c r="F14261" s="7" t="s">
        <v>17</v>
      </c>
      <c r="G14261" s="7">
        <v>4144972</v>
      </c>
      <c r="H14261" s="7">
        <v>2508</v>
      </c>
      <c r="I14261" s="7">
        <v>590</v>
      </c>
      <c r="J14261" s="7">
        <v>1162</v>
      </c>
      <c r="K14261" s="7" t="s">
        <v>18</v>
      </c>
      <c r="L14261" s="8">
        <v>39987.315405092595</v>
      </c>
      <c r="M14261" s="9" t="s">
        <v>19</v>
      </c>
      <c r="N14261" s="9" t="s">
        <v>20</v>
      </c>
      <c r="O14261" s="6" t="str">
        <f>HYPERLINK("https://pbs.twimg.com/profile_images/962471262747529216/Uo8lOkRJ_normal.jpg","View")</f>
        <v>View</v>
      </c>
      <c r="P14261" s="7"/>
    </row>
    <row r="14262" spans="1:16">
      <c r="A14262" s="3">
        <v>44320.761388888888</v>
      </c>
      <c r="B14262" s="4" t="str">
        <f>HYPERLINK("https://twitter.com/petrogustavo","@petrogustavo")</f>
        <v>@petrogustavo</v>
      </c>
      <c r="C14262" s="5" t="s">
        <v>16</v>
      </c>
      <c r="D14262" s="5" t="s">
        <v>13727</v>
      </c>
      <c r="E14262" s="6" t="str">
        <f>HYPERLINK("https://twitter.com/petrogustavo/status/1389562052373536771","1389562052373536771")</f>
        <v>1389562052373536771</v>
      </c>
      <c r="F14262" s="7" t="s">
        <v>17</v>
      </c>
      <c r="G14262" s="7">
        <v>4144972</v>
      </c>
      <c r="H14262" s="7">
        <v>2508</v>
      </c>
      <c r="I14262" s="7">
        <v>414</v>
      </c>
      <c r="J14262" s="7">
        <v>740</v>
      </c>
      <c r="K14262" s="7" t="s">
        <v>18</v>
      </c>
      <c r="L14262" s="8">
        <v>39987.315405092595</v>
      </c>
      <c r="M14262" s="9" t="s">
        <v>19</v>
      </c>
      <c r="N14262" s="9" t="s">
        <v>20</v>
      </c>
      <c r="O14262" s="6" t="str">
        <f>HYPERLINK("https://pbs.twimg.com/profile_images/962471262747529216/Uo8lOkRJ_normal.jpg","View")</f>
        <v>View</v>
      </c>
      <c r="P14262" s="7"/>
    </row>
    <row r="14263" spans="1:16">
      <c r="A14263" s="3">
        <v>44320.764004629629</v>
      </c>
      <c r="B14263" s="4" t="str">
        <f>HYPERLINK("https://twitter.com/petrogustavo","@petrogustavo")</f>
        <v>@petrogustavo</v>
      </c>
      <c r="C14263" s="5" t="s">
        <v>16</v>
      </c>
      <c r="D14263" s="5" t="s">
        <v>13728</v>
      </c>
      <c r="E14263" s="6" t="str">
        <f>HYPERLINK("https://twitter.com/petrogustavo/status/1389562998235279360","1389562998235279360")</f>
        <v>1389562998235279360</v>
      </c>
      <c r="F14263" s="7" t="s">
        <v>17</v>
      </c>
      <c r="G14263" s="7">
        <v>4144972</v>
      </c>
      <c r="H14263" s="7">
        <v>2508</v>
      </c>
      <c r="I14263" s="7">
        <v>451</v>
      </c>
      <c r="J14263" s="7">
        <v>918</v>
      </c>
      <c r="K14263" s="7" t="s">
        <v>18</v>
      </c>
      <c r="L14263" s="8">
        <v>39987.315405092595</v>
      </c>
      <c r="M14263" s="9" t="s">
        <v>19</v>
      </c>
      <c r="N14263" s="9" t="s">
        <v>20</v>
      </c>
      <c r="O14263" s="6" t="str">
        <f>HYPERLINK("https://pbs.twimg.com/profile_images/962471262747529216/Uo8lOkRJ_normal.jpg","View")</f>
        <v>View</v>
      </c>
      <c r="P14263" s="7"/>
    </row>
    <row r="14264" spans="1:16">
      <c r="A14264" s="3">
        <v>44320.764687499999</v>
      </c>
      <c r="B14264" s="4" t="str">
        <f>HYPERLINK("https://twitter.com/petrogustavo","@petrogustavo")</f>
        <v>@petrogustavo</v>
      </c>
      <c r="C14264" s="5" t="s">
        <v>16</v>
      </c>
      <c r="D14264" s="5" t="s">
        <v>13729</v>
      </c>
      <c r="E14264" s="6" t="str">
        <f>HYPERLINK("https://twitter.com/petrogustavo/status/1389563246227644416","1389563246227644416")</f>
        <v>1389563246227644416</v>
      </c>
      <c r="F14264" s="7" t="s">
        <v>17</v>
      </c>
      <c r="G14264" s="7">
        <v>4144972</v>
      </c>
      <c r="H14264" s="7">
        <v>2508</v>
      </c>
      <c r="I14264" s="7">
        <v>2947</v>
      </c>
      <c r="J14264" s="7">
        <v>0</v>
      </c>
      <c r="K14264" s="7" t="s">
        <v>18</v>
      </c>
      <c r="L14264" s="8">
        <v>39987.315405092595</v>
      </c>
      <c r="M14264" s="9" t="s">
        <v>19</v>
      </c>
      <c r="N14264" s="9" t="s">
        <v>20</v>
      </c>
      <c r="O14264" s="6" t="str">
        <f>HYPERLINK("https://pbs.twimg.com/profile_images/962471262747529216/Uo8lOkRJ_normal.jpg","View")</f>
        <v>View</v>
      </c>
      <c r="P14264" s="7"/>
    </row>
    <row r="14265" spans="1:16">
      <c r="A14265" s="3">
        <v>44320.766736111109</v>
      </c>
      <c r="B14265" s="4" t="str">
        <f>HYPERLINK("https://twitter.com/petrogustavo","@petrogustavo")</f>
        <v>@petrogustavo</v>
      </c>
      <c r="C14265" s="5" t="s">
        <v>16</v>
      </c>
      <c r="D14265" s="5" t="s">
        <v>13730</v>
      </c>
      <c r="E14265" s="6" t="str">
        <f>HYPERLINK("https://twitter.com/petrogustavo/status/1389563988690849799","1389563988690849799")</f>
        <v>1389563988690849799</v>
      </c>
      <c r="F14265" s="7" t="s">
        <v>17</v>
      </c>
      <c r="G14265" s="7">
        <v>4144972</v>
      </c>
      <c r="H14265" s="7">
        <v>2508</v>
      </c>
      <c r="I14265" s="7">
        <v>187</v>
      </c>
      <c r="J14265" s="7">
        <v>0</v>
      </c>
      <c r="K14265" s="7" t="s">
        <v>18</v>
      </c>
      <c r="L14265" s="8">
        <v>39987.315405092595</v>
      </c>
      <c r="M14265" s="9" t="s">
        <v>19</v>
      </c>
      <c r="N14265" s="9" t="s">
        <v>20</v>
      </c>
      <c r="O14265" s="6" t="str">
        <f>HYPERLINK("https://pbs.twimg.com/profile_images/962471262747529216/Uo8lOkRJ_normal.jpg","View")</f>
        <v>View</v>
      </c>
      <c r="P14265" s="7"/>
    </row>
    <row r="14266" spans="1:16">
      <c r="A14266" s="3">
        <v>44320.782824074078</v>
      </c>
      <c r="B14266" s="4" t="str">
        <f>HYPERLINK("https://twitter.com/petrogustavo","@petrogustavo")</f>
        <v>@petrogustavo</v>
      </c>
      <c r="C14266" s="5" t="s">
        <v>16</v>
      </c>
      <c r="D14266" s="5" t="s">
        <v>13731</v>
      </c>
      <c r="E14266" s="6" t="str">
        <f>HYPERLINK("https://twitter.com/petrogustavo/status/1389569818987278340","1389569818987278340")</f>
        <v>1389569818987278340</v>
      </c>
      <c r="F14266" s="7" t="s">
        <v>17</v>
      </c>
      <c r="G14266" s="7">
        <v>4145495</v>
      </c>
      <c r="H14266" s="7">
        <v>2508</v>
      </c>
      <c r="I14266" s="7">
        <v>1433</v>
      </c>
      <c r="J14266" s="7">
        <v>0</v>
      </c>
      <c r="K14266" s="7" t="s">
        <v>18</v>
      </c>
      <c r="L14266" s="8">
        <v>39987.315405092595</v>
      </c>
      <c r="M14266" s="9" t="s">
        <v>19</v>
      </c>
      <c r="N14266" s="9" t="s">
        <v>20</v>
      </c>
      <c r="O14266" s="6" t="str">
        <f>HYPERLINK("https://pbs.twimg.com/profile_images/962471262747529216/Uo8lOkRJ_normal.jpg","View")</f>
        <v>View</v>
      </c>
      <c r="P14266" s="7"/>
    </row>
    <row r="14267" spans="1:16">
      <c r="A14267" s="3">
        <v>44320.783541666664</v>
      </c>
      <c r="B14267" s="4" t="str">
        <f>HYPERLINK("https://twitter.com/petrogustavo","@petrogustavo")</f>
        <v>@petrogustavo</v>
      </c>
      <c r="C14267" s="5" t="s">
        <v>16</v>
      </c>
      <c r="D14267" s="5" t="s">
        <v>13732</v>
      </c>
      <c r="E14267" s="6" t="str">
        <f>HYPERLINK("https://twitter.com/petrogustavo/status/1389570077834588162","1389570077834588162")</f>
        <v>1389570077834588162</v>
      </c>
      <c r="F14267" s="7" t="s">
        <v>17</v>
      </c>
      <c r="G14267" s="7">
        <v>4145495</v>
      </c>
      <c r="H14267" s="7">
        <v>2508</v>
      </c>
      <c r="I14267" s="7">
        <v>4874</v>
      </c>
      <c r="J14267" s="7">
        <v>0</v>
      </c>
      <c r="K14267" s="7" t="s">
        <v>18</v>
      </c>
      <c r="L14267" s="8">
        <v>39987.315405092595</v>
      </c>
      <c r="M14267" s="9" t="s">
        <v>19</v>
      </c>
      <c r="N14267" s="9" t="s">
        <v>20</v>
      </c>
      <c r="O14267" s="6" t="str">
        <f>HYPERLINK("https://pbs.twimg.com/profile_images/962471262747529216/Uo8lOkRJ_normal.jpg","View")</f>
        <v>View</v>
      </c>
      <c r="P14267" s="7"/>
    </row>
    <row r="14268" spans="1:16">
      <c r="A14268" s="3">
        <v>44320.85637731482</v>
      </c>
      <c r="B14268" s="4" t="str">
        <f>HYPERLINK("https://twitter.com/petrogustavo","@petrogustavo")</f>
        <v>@petrogustavo</v>
      </c>
      <c r="C14268" s="5" t="s">
        <v>16</v>
      </c>
      <c r="D14268" s="5" t="s">
        <v>13733</v>
      </c>
      <c r="E14268" s="6" t="str">
        <f>HYPERLINK("https://twitter.com/petrogustavo/status/1389596475043237888","1389596475043237888")</f>
        <v>1389596475043237888</v>
      </c>
      <c r="F14268" s="7" t="s">
        <v>32</v>
      </c>
      <c r="G14268" s="7">
        <v>4148034</v>
      </c>
      <c r="H14268" s="7">
        <v>2508</v>
      </c>
      <c r="I14268" s="7">
        <v>1273</v>
      </c>
      <c r="J14268" s="7">
        <v>0</v>
      </c>
      <c r="K14268" s="7" t="s">
        <v>18</v>
      </c>
      <c r="L14268" s="8">
        <v>39987.315405092595</v>
      </c>
      <c r="M14268" s="9" t="s">
        <v>19</v>
      </c>
      <c r="N14268" s="9" t="s">
        <v>20</v>
      </c>
      <c r="O14268" s="6" t="str">
        <f>HYPERLINK("https://pbs.twimg.com/profile_images/962471262747529216/Uo8lOkRJ_normal.jpg","View")</f>
        <v>View</v>
      </c>
      <c r="P14268" s="7"/>
    </row>
    <row r="14269" spans="1:16">
      <c r="A14269" s="3">
        <v>44320.864074074074</v>
      </c>
      <c r="B14269" s="4" t="str">
        <f>HYPERLINK("https://twitter.com/petrogustavo","@petrogustavo")</f>
        <v>@petrogustavo</v>
      </c>
      <c r="C14269" s="5" t="s">
        <v>16</v>
      </c>
      <c r="D14269" s="5" t="s">
        <v>13734</v>
      </c>
      <c r="E14269" s="6" t="str">
        <f>HYPERLINK("https://twitter.com/petrogustavo/status/1389599265249501186","1389599265249501186")</f>
        <v>1389599265249501186</v>
      </c>
      <c r="F14269" s="7" t="s">
        <v>32</v>
      </c>
      <c r="G14269" s="7">
        <v>4148034</v>
      </c>
      <c r="H14269" s="7">
        <v>2508</v>
      </c>
      <c r="I14269" s="7">
        <v>461</v>
      </c>
      <c r="J14269" s="7">
        <v>1372</v>
      </c>
      <c r="K14269" s="7" t="s">
        <v>18</v>
      </c>
      <c r="L14269" s="8">
        <v>39987.315405092595</v>
      </c>
      <c r="M14269" s="9" t="s">
        <v>19</v>
      </c>
      <c r="N14269" s="9" t="s">
        <v>20</v>
      </c>
      <c r="O14269" s="6" t="str">
        <f>HYPERLINK("https://pbs.twimg.com/profile_images/962471262747529216/Uo8lOkRJ_normal.jpg","View")</f>
        <v>View</v>
      </c>
      <c r="P14269" s="7"/>
    </row>
    <row r="14270" spans="1:16">
      <c r="A14270" s="3">
        <v>44320.869027777779</v>
      </c>
      <c r="B14270" s="4" t="str">
        <f>HYPERLINK("https://twitter.com/petrogustavo","@petrogustavo")</f>
        <v>@petrogustavo</v>
      </c>
      <c r="C14270" s="5" t="s">
        <v>16</v>
      </c>
      <c r="D14270" s="5" t="s">
        <v>13735</v>
      </c>
      <c r="E14270" s="6" t="str">
        <f>HYPERLINK("https://twitter.com/petrogustavo/status/1389601056980676614","1389601056980676614")</f>
        <v>1389601056980676614</v>
      </c>
      <c r="F14270" s="7" t="s">
        <v>32</v>
      </c>
      <c r="G14270" s="7">
        <v>4148034</v>
      </c>
      <c r="H14270" s="7">
        <v>2508</v>
      </c>
      <c r="I14270" s="7">
        <v>2000</v>
      </c>
      <c r="J14270" s="7">
        <v>0</v>
      </c>
      <c r="K14270" s="7" t="s">
        <v>18</v>
      </c>
      <c r="L14270" s="8">
        <v>39987.315405092595</v>
      </c>
      <c r="M14270" s="9" t="s">
        <v>19</v>
      </c>
      <c r="N14270" s="9" t="s">
        <v>20</v>
      </c>
      <c r="O14270" s="6" t="str">
        <f>HYPERLINK("https://pbs.twimg.com/profile_images/962471262747529216/Uo8lOkRJ_normal.jpg","View")</f>
        <v>View</v>
      </c>
      <c r="P14270" s="7"/>
    </row>
    <row r="14271" spans="1:16">
      <c r="A14271" s="3">
        <v>44320.869479166664</v>
      </c>
      <c r="B14271" s="4" t="str">
        <f>HYPERLINK("https://twitter.com/petrogustavo","@petrogustavo")</f>
        <v>@petrogustavo</v>
      </c>
      <c r="C14271" s="5" t="s">
        <v>16</v>
      </c>
      <c r="D14271" s="5" t="s">
        <v>13736</v>
      </c>
      <c r="E14271" s="6" t="str">
        <f>HYPERLINK("https://twitter.com/petrogustavo/status/1389601222701817857","1389601222701817857")</f>
        <v>1389601222701817857</v>
      </c>
      <c r="F14271" s="7" t="s">
        <v>32</v>
      </c>
      <c r="G14271" s="7">
        <v>4148034</v>
      </c>
      <c r="H14271" s="7">
        <v>2508</v>
      </c>
      <c r="I14271" s="7">
        <v>3714</v>
      </c>
      <c r="J14271" s="7">
        <v>0</v>
      </c>
      <c r="K14271" s="7" t="s">
        <v>18</v>
      </c>
      <c r="L14271" s="8">
        <v>39987.315405092595</v>
      </c>
      <c r="M14271" s="9" t="s">
        <v>19</v>
      </c>
      <c r="N14271" s="9" t="s">
        <v>20</v>
      </c>
      <c r="O14271" s="6" t="str">
        <f>HYPERLINK("https://pbs.twimg.com/profile_images/962471262747529216/Uo8lOkRJ_normal.jpg","View")</f>
        <v>View</v>
      </c>
      <c r="P14271" s="7"/>
    </row>
    <row r="14272" spans="1:16">
      <c r="A14272" s="3">
        <v>44321.071226851855</v>
      </c>
      <c r="B14272" s="4" t="str">
        <f>HYPERLINK("https://twitter.com/petrogustavo","@petrogustavo")</f>
        <v>@petrogustavo</v>
      </c>
      <c r="C14272" s="5" t="s">
        <v>16</v>
      </c>
      <c r="D14272" s="5" t="s">
        <v>13737</v>
      </c>
      <c r="E14272" s="6" t="str">
        <f>HYPERLINK("https://twitter.com/petrogustavo/status/1389674332427804676","1389674332427804676")</f>
        <v>1389674332427804676</v>
      </c>
      <c r="F14272" s="7" t="s">
        <v>21</v>
      </c>
      <c r="G14272" s="7">
        <v>4155694</v>
      </c>
      <c r="H14272" s="7">
        <v>2508</v>
      </c>
      <c r="I14272" s="7">
        <v>1604</v>
      </c>
      <c r="J14272" s="7">
        <v>3628</v>
      </c>
      <c r="K14272" s="7" t="s">
        <v>18</v>
      </c>
      <c r="L14272" s="8">
        <v>39987.315405092595</v>
      </c>
      <c r="M14272" s="9" t="s">
        <v>19</v>
      </c>
      <c r="N14272" s="9" t="s">
        <v>20</v>
      </c>
      <c r="O14272" s="6" t="str">
        <f>HYPERLINK("https://pbs.twimg.com/profile_images/962471262747529216/Uo8lOkRJ_normal.jpg","View")</f>
        <v>View</v>
      </c>
      <c r="P14272" s="7"/>
    </row>
    <row r="14273" spans="1:16">
      <c r="A14273" s="3">
        <v>44321.218946759254</v>
      </c>
      <c r="B14273" s="4" t="str">
        <f>HYPERLINK("https://twitter.com/petrogustavo","@petrogustavo")</f>
        <v>@petrogustavo</v>
      </c>
      <c r="C14273" s="5" t="s">
        <v>16</v>
      </c>
      <c r="D14273" s="5" t="s">
        <v>13738</v>
      </c>
      <c r="E14273" s="6" t="str">
        <f>HYPERLINK("https://twitter.com/petrogustavo/status/1389727863721676801","1389727863721676801")</f>
        <v>1389727863721676801</v>
      </c>
      <c r="F14273" s="7" t="s">
        <v>32</v>
      </c>
      <c r="G14273" s="7">
        <v>4160386</v>
      </c>
      <c r="H14273" s="7">
        <v>2508</v>
      </c>
      <c r="I14273" s="7">
        <v>9829</v>
      </c>
      <c r="J14273" s="7">
        <v>0</v>
      </c>
      <c r="K14273" s="7" t="s">
        <v>18</v>
      </c>
      <c r="L14273" s="8">
        <v>39987.315405092595</v>
      </c>
      <c r="M14273" s="9" t="s">
        <v>19</v>
      </c>
      <c r="N14273" s="9" t="s">
        <v>20</v>
      </c>
      <c r="O14273" s="6" t="str">
        <f>HYPERLINK("https://pbs.twimg.com/profile_images/962471262747529216/Uo8lOkRJ_normal.jpg","View")</f>
        <v>View</v>
      </c>
      <c r="P14273" s="7"/>
    </row>
    <row r="14274" spans="1:16">
      <c r="A14274" s="3">
        <v>44321.734351851846</v>
      </c>
      <c r="B14274" s="4" t="str">
        <f>HYPERLINK("https://twitter.com/petrogustavo","@petrogustavo")</f>
        <v>@petrogustavo</v>
      </c>
      <c r="C14274" s="5" t="s">
        <v>16</v>
      </c>
      <c r="D14274" s="5" t="s">
        <v>13738</v>
      </c>
      <c r="E14274" s="6" t="str">
        <f>HYPERLINK("https://twitter.com/petrogustavo/status/1389914640709214208","1389914640709214208")</f>
        <v>1389914640709214208</v>
      </c>
      <c r="F14274" s="7" t="s">
        <v>17</v>
      </c>
      <c r="G14274" s="7">
        <v>4173952</v>
      </c>
      <c r="H14274" s="7">
        <v>2507</v>
      </c>
      <c r="I14274" s="7">
        <v>19459</v>
      </c>
      <c r="J14274" s="7">
        <v>0</v>
      </c>
      <c r="K14274" s="7" t="s">
        <v>18</v>
      </c>
      <c r="L14274" s="8">
        <v>39987.315405092595</v>
      </c>
      <c r="M14274" s="9" t="s">
        <v>19</v>
      </c>
      <c r="N14274" s="9" t="s">
        <v>20</v>
      </c>
      <c r="O14274" s="6" t="str">
        <f>HYPERLINK("https://pbs.twimg.com/profile_images/962471262747529216/Uo8lOkRJ_normal.jpg","View")</f>
        <v>View</v>
      </c>
      <c r="P14274" s="7"/>
    </row>
    <row r="14275" spans="1:16">
      <c r="A14275" s="3">
        <v>44322.049062499995</v>
      </c>
      <c r="B14275" s="4" t="str">
        <f>HYPERLINK("https://twitter.com/petrogustavo","@petrogustavo")</f>
        <v>@petrogustavo</v>
      </c>
      <c r="C14275" s="5" t="s">
        <v>16</v>
      </c>
      <c r="D14275" s="5" t="s">
        <v>13739</v>
      </c>
      <c r="E14275" s="6" t="str">
        <f>HYPERLINK("https://twitter.com/petrogustavo/status/1390028689413443591","1390028689413443591")</f>
        <v>1390028689413443591</v>
      </c>
      <c r="F14275" s="7" t="s">
        <v>17</v>
      </c>
      <c r="G14275" s="7">
        <v>4188034</v>
      </c>
      <c r="H14275" s="7">
        <v>2508</v>
      </c>
      <c r="I14275" s="7">
        <v>1042</v>
      </c>
      <c r="J14275" s="7">
        <v>3307</v>
      </c>
      <c r="K14275" s="7" t="s">
        <v>18</v>
      </c>
      <c r="L14275" s="8">
        <v>39987.315405092595</v>
      </c>
      <c r="M14275" s="9" t="s">
        <v>19</v>
      </c>
      <c r="N14275" s="9" t="s">
        <v>20</v>
      </c>
      <c r="O14275" s="6" t="str">
        <f>HYPERLINK("https://pbs.twimg.com/profile_images/962471262747529216/Uo8lOkRJ_normal.jpg","View")</f>
        <v>View</v>
      </c>
      <c r="P14275" s="7"/>
    </row>
    <row r="14276" spans="1:16">
      <c r="A14276" s="3">
        <v>44322.079976851848</v>
      </c>
      <c r="B14276" s="4" t="str">
        <f>HYPERLINK("https://twitter.com/petrogustavo","@petrogustavo")</f>
        <v>@petrogustavo</v>
      </c>
      <c r="C14276" s="5" t="s">
        <v>16</v>
      </c>
      <c r="D14276" s="5" t="s">
        <v>13740</v>
      </c>
      <c r="E14276" s="6" t="str">
        <f>HYPERLINK("https://twitter.com/petrogustavo/status/1390039890340024330","1390039890340024330")</f>
        <v>1390039890340024330</v>
      </c>
      <c r="F14276" s="7" t="s">
        <v>17</v>
      </c>
      <c r="G14276" s="7">
        <v>4188604</v>
      </c>
      <c r="H14276" s="7">
        <v>2508</v>
      </c>
      <c r="I14276" s="7">
        <v>419</v>
      </c>
      <c r="J14276" s="7">
        <v>1411</v>
      </c>
      <c r="K14276" s="7" t="s">
        <v>18</v>
      </c>
      <c r="L14276" s="8">
        <v>39987.315405092595</v>
      </c>
      <c r="M14276" s="9" t="s">
        <v>19</v>
      </c>
      <c r="N14276" s="9" t="s">
        <v>20</v>
      </c>
      <c r="O14276" s="6" t="str">
        <f>HYPERLINK("https://pbs.twimg.com/profile_images/962471262747529216/Uo8lOkRJ_normal.jpg","View")</f>
        <v>View</v>
      </c>
      <c r="P14276" s="7"/>
    </row>
    <row r="14277" spans="1:16">
      <c r="A14277" s="3">
        <v>44322.249328703707</v>
      </c>
      <c r="B14277" s="4" t="str">
        <f>HYPERLINK("https://twitter.com/petrogustavo","@petrogustavo")</f>
        <v>@petrogustavo</v>
      </c>
      <c r="C14277" s="5" t="s">
        <v>16</v>
      </c>
      <c r="D14277" s="5" t="s">
        <v>13741</v>
      </c>
      <c r="E14277" s="6" t="str">
        <f>HYPERLINK("https://twitter.com/petrogustavo/status/1390101263480672263","1390101263480672263")</f>
        <v>1390101263480672263</v>
      </c>
      <c r="F14277" s="7" t="s">
        <v>17</v>
      </c>
      <c r="G14277" s="7">
        <v>4192512</v>
      </c>
      <c r="H14277" s="7">
        <v>2508</v>
      </c>
      <c r="I14277" s="7">
        <v>451</v>
      </c>
      <c r="J14277" s="7">
        <v>2346</v>
      </c>
      <c r="K14277" s="7" t="s">
        <v>18</v>
      </c>
      <c r="L14277" s="8">
        <v>39987.315405092595</v>
      </c>
      <c r="M14277" s="9" t="s">
        <v>19</v>
      </c>
      <c r="N14277" s="9" t="s">
        <v>20</v>
      </c>
      <c r="O14277" s="6" t="str">
        <f>HYPERLINK("https://pbs.twimg.com/profile_images/962471262747529216/Uo8lOkRJ_normal.jpg","View")</f>
        <v>View</v>
      </c>
      <c r="P14277" s="7"/>
    </row>
    <row r="14278" spans="1:16">
      <c r="A14278" s="3">
        <v>44322.252071759256</v>
      </c>
      <c r="B14278" s="4" t="str">
        <f>HYPERLINK("https://twitter.com/petrogustavo","@petrogustavo")</f>
        <v>@petrogustavo</v>
      </c>
      <c r="C14278" s="5" t="s">
        <v>16</v>
      </c>
      <c r="D14278" s="5" t="s">
        <v>13742</v>
      </c>
      <c r="E14278" s="6" t="str">
        <f>HYPERLINK("https://twitter.com/petrogustavo/status/1390102255588847616","1390102255588847616")</f>
        <v>1390102255588847616</v>
      </c>
      <c r="F14278" s="7" t="s">
        <v>17</v>
      </c>
      <c r="G14278" s="7">
        <v>4192512</v>
      </c>
      <c r="H14278" s="7">
        <v>2508</v>
      </c>
      <c r="I14278" s="7">
        <v>79</v>
      </c>
      <c r="J14278" s="7">
        <v>240</v>
      </c>
      <c r="K14278" s="7" t="s">
        <v>18</v>
      </c>
      <c r="L14278" s="8">
        <v>39987.315405092595</v>
      </c>
      <c r="M14278" s="9" t="s">
        <v>19</v>
      </c>
      <c r="N14278" s="9" t="s">
        <v>20</v>
      </c>
      <c r="O14278" s="6" t="str">
        <f>HYPERLINK("https://pbs.twimg.com/profile_images/962471262747529216/Uo8lOkRJ_normal.jpg","View")</f>
        <v>View</v>
      </c>
      <c r="P14278" s="7"/>
    </row>
    <row r="14279" spans="1:16">
      <c r="A14279" s="3">
        <v>44322.307094907403</v>
      </c>
      <c r="B14279" s="4" t="str">
        <f>HYPERLINK("https://twitter.com/petrogustavo","@petrogustavo")</f>
        <v>@petrogustavo</v>
      </c>
      <c r="C14279" s="5" t="s">
        <v>16</v>
      </c>
      <c r="D14279" s="5" t="s">
        <v>13743</v>
      </c>
      <c r="E14279" s="6" t="str">
        <f>HYPERLINK("https://twitter.com/petrogustavo/status/1390122197100994560","1390122197100994560")</f>
        <v>1390122197100994560</v>
      </c>
      <c r="F14279" s="7" t="s">
        <v>17</v>
      </c>
      <c r="G14279" s="7">
        <v>4194450</v>
      </c>
      <c r="H14279" s="7">
        <v>2508</v>
      </c>
      <c r="I14279" s="7">
        <v>312</v>
      </c>
      <c r="J14279" s="7">
        <v>0</v>
      </c>
      <c r="K14279" s="7" t="s">
        <v>18</v>
      </c>
      <c r="L14279" s="8">
        <v>39987.315405092595</v>
      </c>
      <c r="M14279" s="9" t="s">
        <v>19</v>
      </c>
      <c r="N14279" s="9" t="s">
        <v>20</v>
      </c>
      <c r="O14279" s="6" t="str">
        <f>HYPERLINK("https://pbs.twimg.com/profile_images/962471262747529216/Uo8lOkRJ_normal.jpg","View")</f>
        <v>View</v>
      </c>
      <c r="P14279" s="7"/>
    </row>
    <row r="14280" spans="1:16">
      <c r="A14280" s="3">
        <v>44322.319560185184</v>
      </c>
      <c r="B14280" s="4" t="str">
        <f>HYPERLINK("https://twitter.com/petrogustavo","@petrogustavo")</f>
        <v>@petrogustavo</v>
      </c>
      <c r="C14280" s="5" t="s">
        <v>16</v>
      </c>
      <c r="D14280" s="5" t="s">
        <v>13744</v>
      </c>
      <c r="E14280" s="6" t="str">
        <f>HYPERLINK("https://twitter.com/petrogustavo/status/1390126715356205056","1390126715356205056")</f>
        <v>1390126715356205056</v>
      </c>
      <c r="F14280" s="7" t="s">
        <v>17</v>
      </c>
      <c r="G14280" s="7">
        <v>4195185</v>
      </c>
      <c r="H14280" s="7">
        <v>2508</v>
      </c>
      <c r="I14280" s="7">
        <v>1432</v>
      </c>
      <c r="J14280" s="7">
        <v>4399</v>
      </c>
      <c r="K14280" s="7" t="s">
        <v>18</v>
      </c>
      <c r="L14280" s="8">
        <v>39987.315405092595</v>
      </c>
      <c r="M14280" s="9" t="s">
        <v>19</v>
      </c>
      <c r="N14280" s="9" t="s">
        <v>20</v>
      </c>
      <c r="O14280" s="6" t="str">
        <f>HYPERLINK("https://pbs.twimg.com/profile_images/962471262747529216/Uo8lOkRJ_normal.jpg","View")</f>
        <v>View</v>
      </c>
      <c r="P14280" s="7"/>
    </row>
    <row r="14281" spans="1:16">
      <c r="A14281" s="3">
        <v>44322.33902777778</v>
      </c>
      <c r="B14281" s="4" t="str">
        <f>HYPERLINK("https://twitter.com/petrogustavo","@petrogustavo")</f>
        <v>@petrogustavo</v>
      </c>
      <c r="C14281" s="5" t="s">
        <v>16</v>
      </c>
      <c r="D14281" s="5" t="s">
        <v>13745</v>
      </c>
      <c r="E14281" s="6" t="str">
        <f>HYPERLINK("https://twitter.com/petrogustavo/status/1390133766925037575","1390133766925037575")</f>
        <v>1390133766925037575</v>
      </c>
      <c r="F14281" s="7" t="s">
        <v>17</v>
      </c>
      <c r="G14281" s="7">
        <v>4196058</v>
      </c>
      <c r="H14281" s="7">
        <v>2508</v>
      </c>
      <c r="I14281" s="7">
        <v>1045</v>
      </c>
      <c r="J14281" s="7">
        <v>1858</v>
      </c>
      <c r="K14281" s="7" t="s">
        <v>18</v>
      </c>
      <c r="L14281" s="8">
        <v>39987.315405092595</v>
      </c>
      <c r="M14281" s="9" t="s">
        <v>19</v>
      </c>
      <c r="N14281" s="9" t="s">
        <v>20</v>
      </c>
      <c r="O14281" s="6" t="str">
        <f>HYPERLINK("https://pbs.twimg.com/profile_images/962471262747529216/Uo8lOkRJ_normal.jpg","View")</f>
        <v>View</v>
      </c>
      <c r="P14281" s="7"/>
    </row>
    <row r="14282" spans="1:16">
      <c r="A14282" s="3">
        <v>44322.341898148152</v>
      </c>
      <c r="B14282" s="4" t="str">
        <f>HYPERLINK("https://twitter.com/petrogustavo","@petrogustavo")</f>
        <v>@petrogustavo</v>
      </c>
      <c r="C14282" s="5" t="s">
        <v>16</v>
      </c>
      <c r="D14282" s="5" t="s">
        <v>13746</v>
      </c>
      <c r="E14282" s="6" t="str">
        <f>HYPERLINK("https://twitter.com/petrogustavo/status/1390134809809276929","1390134809809276929")</f>
        <v>1390134809809276929</v>
      </c>
      <c r="F14282" s="7" t="s">
        <v>17</v>
      </c>
      <c r="G14282" s="7">
        <v>4196058</v>
      </c>
      <c r="H14282" s="7">
        <v>2508</v>
      </c>
      <c r="I14282" s="7">
        <v>1574</v>
      </c>
      <c r="J14282" s="7">
        <v>4791</v>
      </c>
      <c r="K14282" s="7" t="s">
        <v>18</v>
      </c>
      <c r="L14282" s="8">
        <v>39987.315405092595</v>
      </c>
      <c r="M14282" s="9" t="s">
        <v>19</v>
      </c>
      <c r="N14282" s="9" t="s">
        <v>20</v>
      </c>
      <c r="O14282" s="6" t="str">
        <f>HYPERLINK("https://pbs.twimg.com/profile_images/962471262747529216/Uo8lOkRJ_normal.jpg","View")</f>
        <v>View</v>
      </c>
      <c r="P14282" s="7"/>
    </row>
    <row r="14283" spans="1:16">
      <c r="A14283" s="3">
        <v>44322.346018518518</v>
      </c>
      <c r="B14283" s="4" t="str">
        <f>HYPERLINK("https://twitter.com/petrogustavo","@petrogustavo")</f>
        <v>@petrogustavo</v>
      </c>
      <c r="C14283" s="5" t="s">
        <v>16</v>
      </c>
      <c r="D14283" s="5" t="s">
        <v>13747</v>
      </c>
      <c r="E14283" s="6" t="str">
        <f>HYPERLINK("https://twitter.com/petrogustavo/status/1390136302771769344","1390136302771769344")</f>
        <v>1390136302771769344</v>
      </c>
      <c r="F14283" s="7" t="s">
        <v>17</v>
      </c>
      <c r="G14283" s="7">
        <v>4196058</v>
      </c>
      <c r="H14283" s="7">
        <v>2508</v>
      </c>
      <c r="I14283" s="7">
        <v>771</v>
      </c>
      <c r="J14283" s="7">
        <v>2589</v>
      </c>
      <c r="K14283" s="7" t="s">
        <v>18</v>
      </c>
      <c r="L14283" s="8">
        <v>39987.315405092595</v>
      </c>
      <c r="M14283" s="9" t="s">
        <v>19</v>
      </c>
      <c r="N14283" s="9" t="s">
        <v>20</v>
      </c>
      <c r="O14283" s="6" t="str">
        <f>HYPERLINK("https://pbs.twimg.com/profile_images/962471262747529216/Uo8lOkRJ_normal.jpg","View")</f>
        <v>View</v>
      </c>
      <c r="P14283" s="7"/>
    </row>
    <row r="14284" spans="1:16">
      <c r="A14284" s="3">
        <v>44322.354502314818</v>
      </c>
      <c r="B14284" s="4" t="str">
        <f>HYPERLINK("https://twitter.com/petrogustavo","@petrogustavo")</f>
        <v>@petrogustavo</v>
      </c>
      <c r="C14284" s="5" t="s">
        <v>16</v>
      </c>
      <c r="D14284" s="5" t="s">
        <v>13748</v>
      </c>
      <c r="E14284" s="6" t="str">
        <f>HYPERLINK("https://twitter.com/petrogustavo/status/1390139376353648645","1390139376353648645")</f>
        <v>1390139376353648645</v>
      </c>
      <c r="F14284" s="7" t="s">
        <v>17</v>
      </c>
      <c r="G14284" s="7">
        <v>4196058</v>
      </c>
      <c r="H14284" s="7">
        <v>2508</v>
      </c>
      <c r="I14284" s="7">
        <v>234</v>
      </c>
      <c r="J14284" s="7">
        <v>468</v>
      </c>
      <c r="K14284" s="7" t="s">
        <v>18</v>
      </c>
      <c r="L14284" s="8">
        <v>39987.315405092595</v>
      </c>
      <c r="M14284" s="9" t="s">
        <v>19</v>
      </c>
      <c r="N14284" s="9" t="s">
        <v>20</v>
      </c>
      <c r="O14284" s="6" t="str">
        <f>HYPERLINK("https://pbs.twimg.com/profile_images/962471262747529216/Uo8lOkRJ_normal.jpg","View")</f>
        <v>View</v>
      </c>
      <c r="P14284" s="7"/>
    </row>
    <row r="14285" spans="1:16">
      <c r="A14285" s="3">
        <v>44322.357986111107</v>
      </c>
      <c r="B14285" s="4" t="str">
        <f>HYPERLINK("https://twitter.com/petrogustavo","@petrogustavo")</f>
        <v>@petrogustavo</v>
      </c>
      <c r="C14285" s="5" t="s">
        <v>16</v>
      </c>
      <c r="D14285" s="5" t="s">
        <v>13749</v>
      </c>
      <c r="E14285" s="6" t="str">
        <f>HYPERLINK("https://twitter.com/petrogustavo/status/1390140638260236288","1390140638260236288")</f>
        <v>1390140638260236288</v>
      </c>
      <c r="F14285" s="7" t="s">
        <v>17</v>
      </c>
      <c r="G14285" s="7">
        <v>4197067</v>
      </c>
      <c r="H14285" s="7">
        <v>2509</v>
      </c>
      <c r="I14285" s="7">
        <v>1185</v>
      </c>
      <c r="J14285" s="7">
        <v>3590</v>
      </c>
      <c r="K14285" s="7" t="s">
        <v>18</v>
      </c>
      <c r="L14285" s="8">
        <v>39987.315405092595</v>
      </c>
      <c r="M14285" s="9" t="s">
        <v>19</v>
      </c>
      <c r="N14285" s="9" t="s">
        <v>20</v>
      </c>
      <c r="O14285" s="6" t="str">
        <f>HYPERLINK("https://pbs.twimg.com/profile_images/962471262747529216/Uo8lOkRJ_normal.jpg","View")</f>
        <v>View</v>
      </c>
      <c r="P14285" s="7"/>
    </row>
    <row r="14286" spans="1:16">
      <c r="A14286" s="3">
        <v>44322.369849537034</v>
      </c>
      <c r="B14286" s="4" t="str">
        <f>HYPERLINK("https://twitter.com/petrogustavo","@petrogustavo")</f>
        <v>@petrogustavo</v>
      </c>
      <c r="C14286" s="5" t="s">
        <v>16</v>
      </c>
      <c r="D14286" s="5" t="s">
        <v>13750</v>
      </c>
      <c r="E14286" s="6" t="str">
        <f>HYPERLINK("https://twitter.com/petrogustavo/status/1390144936142647303","1390144936142647303")</f>
        <v>1390144936142647303</v>
      </c>
      <c r="F14286" s="7" t="s">
        <v>17</v>
      </c>
      <c r="G14286" s="7">
        <v>4197067</v>
      </c>
      <c r="H14286" s="7">
        <v>2509</v>
      </c>
      <c r="I14286" s="7">
        <v>530</v>
      </c>
      <c r="J14286" s="7">
        <v>1235</v>
      </c>
      <c r="K14286" s="7" t="s">
        <v>18</v>
      </c>
      <c r="L14286" s="8">
        <v>39987.315405092595</v>
      </c>
      <c r="M14286" s="9" t="s">
        <v>19</v>
      </c>
      <c r="N14286" s="9" t="s">
        <v>20</v>
      </c>
      <c r="O14286" s="6" t="str">
        <f>HYPERLINK("https://pbs.twimg.com/profile_images/962471262747529216/Uo8lOkRJ_normal.jpg","View")</f>
        <v>View</v>
      </c>
      <c r="P14286" s="7"/>
    </row>
    <row r="14287" spans="1:16">
      <c r="A14287" s="3">
        <v>44322.387199074074</v>
      </c>
      <c r="B14287" s="4" t="str">
        <f>HYPERLINK("https://twitter.com/petrogustavo","@petrogustavo")</f>
        <v>@petrogustavo</v>
      </c>
      <c r="C14287" s="5" t="s">
        <v>16</v>
      </c>
      <c r="D14287" s="5" t="s">
        <v>13751</v>
      </c>
      <c r="E14287" s="6" t="str">
        <f>HYPERLINK("https://twitter.com/petrogustavo/status/1390151225094594560","1390151225094594560")</f>
        <v>1390151225094594560</v>
      </c>
      <c r="F14287" s="7" t="s">
        <v>17</v>
      </c>
      <c r="G14287" s="7">
        <v>4197949</v>
      </c>
      <c r="H14287" s="7">
        <v>2509</v>
      </c>
      <c r="I14287" s="7">
        <v>1823</v>
      </c>
      <c r="J14287" s="7">
        <v>6884</v>
      </c>
      <c r="K14287" s="7" t="s">
        <v>18</v>
      </c>
      <c r="L14287" s="8">
        <v>39987.315405092595</v>
      </c>
      <c r="M14287" s="9" t="s">
        <v>19</v>
      </c>
      <c r="N14287" s="9" t="s">
        <v>20</v>
      </c>
      <c r="O14287" s="6" t="str">
        <f>HYPERLINK("https://pbs.twimg.com/profile_images/962471262747529216/Uo8lOkRJ_normal.jpg","View")</f>
        <v>View</v>
      </c>
      <c r="P14287" s="7"/>
    </row>
    <row r="14288" spans="1:16">
      <c r="A14288" s="3">
        <v>44322.387199074074</v>
      </c>
      <c r="B14288" s="4" t="str">
        <f>HYPERLINK("https://twitter.com/petrogustavo","@petrogustavo")</f>
        <v>@petrogustavo</v>
      </c>
      <c r="C14288" s="5" t="s">
        <v>16</v>
      </c>
      <c r="D14288" s="5" t="s">
        <v>13752</v>
      </c>
      <c r="E14288" s="6" t="str">
        <f>HYPERLINK("https://twitter.com/petrogustavo/status/1390151226034212864","1390151226034212864")</f>
        <v>1390151226034212864</v>
      </c>
      <c r="F14288" s="7" t="s">
        <v>17</v>
      </c>
      <c r="G14288" s="7">
        <v>4197949</v>
      </c>
      <c r="H14288" s="7">
        <v>2509</v>
      </c>
      <c r="I14288" s="7">
        <v>276</v>
      </c>
      <c r="J14288" s="7">
        <v>1359</v>
      </c>
      <c r="K14288" s="7" t="s">
        <v>18</v>
      </c>
      <c r="L14288" s="8">
        <v>39987.315405092595</v>
      </c>
      <c r="M14288" s="9" t="s">
        <v>19</v>
      </c>
      <c r="N14288" s="9" t="s">
        <v>20</v>
      </c>
      <c r="O14288" s="6" t="str">
        <f>HYPERLINK("https://pbs.twimg.com/profile_images/962471262747529216/Uo8lOkRJ_normal.jpg","View")</f>
        <v>View</v>
      </c>
      <c r="P14288" s="7"/>
    </row>
    <row r="14289" spans="1:16">
      <c r="A14289" s="3">
        <v>44322.387199074074</v>
      </c>
      <c r="B14289" s="4" t="str">
        <f>HYPERLINK("https://twitter.com/petrogustavo","@petrogustavo")</f>
        <v>@petrogustavo</v>
      </c>
      <c r="C14289" s="5" t="s">
        <v>16</v>
      </c>
      <c r="D14289" s="5" t="s">
        <v>13753</v>
      </c>
      <c r="E14289" s="6" t="str">
        <f>HYPERLINK("https://twitter.com/petrogustavo/status/1390151227049136129","1390151227049136129")</f>
        <v>1390151227049136129</v>
      </c>
      <c r="F14289" s="7" t="s">
        <v>17</v>
      </c>
      <c r="G14289" s="7">
        <v>4197949</v>
      </c>
      <c r="H14289" s="7">
        <v>2509</v>
      </c>
      <c r="I14289" s="7">
        <v>598</v>
      </c>
      <c r="J14289" s="7">
        <v>3085</v>
      </c>
      <c r="K14289" s="7" t="s">
        <v>18</v>
      </c>
      <c r="L14289" s="8">
        <v>39987.315405092595</v>
      </c>
      <c r="M14289" s="9" t="s">
        <v>19</v>
      </c>
      <c r="N14289" s="9" t="s">
        <v>20</v>
      </c>
      <c r="O14289" s="6" t="str">
        <f>HYPERLINK("https://pbs.twimg.com/profile_images/962471262747529216/Uo8lOkRJ_normal.jpg","View")</f>
        <v>View</v>
      </c>
      <c r="P14289" s="7"/>
    </row>
    <row r="14290" spans="1:16">
      <c r="A14290" s="3">
        <v>44322.387210648143</v>
      </c>
      <c r="B14290" s="4" t="str">
        <f>HYPERLINK("https://twitter.com/petrogustavo","@petrogustavo")</f>
        <v>@petrogustavo</v>
      </c>
      <c r="C14290" s="5" t="s">
        <v>16</v>
      </c>
      <c r="D14290" s="5" t="s">
        <v>13754</v>
      </c>
      <c r="E14290" s="6" t="str">
        <f>HYPERLINK("https://twitter.com/petrogustavo/status/1390151228064243712","1390151228064243712")</f>
        <v>1390151228064243712</v>
      </c>
      <c r="F14290" s="7" t="s">
        <v>17</v>
      </c>
      <c r="G14290" s="7">
        <v>4197949</v>
      </c>
      <c r="H14290" s="7">
        <v>2509</v>
      </c>
      <c r="I14290" s="7">
        <v>680</v>
      </c>
      <c r="J14290" s="7">
        <v>3332</v>
      </c>
      <c r="K14290" s="7" t="s">
        <v>18</v>
      </c>
      <c r="L14290" s="8">
        <v>39987.315405092595</v>
      </c>
      <c r="M14290" s="9" t="s">
        <v>19</v>
      </c>
      <c r="N14290" s="9" t="s">
        <v>20</v>
      </c>
      <c r="O14290" s="6" t="str">
        <f>HYPERLINK("https://pbs.twimg.com/profile_images/962471262747529216/Uo8lOkRJ_normal.jpg","View")</f>
        <v>View</v>
      </c>
      <c r="P14290" s="7"/>
    </row>
    <row r="14291" spans="1:16">
      <c r="A14291" s="3">
        <v>44322.442245370374</v>
      </c>
      <c r="B14291" s="4" t="str">
        <f>HYPERLINK("https://twitter.com/petrogustavo","@petrogustavo")</f>
        <v>@petrogustavo</v>
      </c>
      <c r="C14291" s="5" t="s">
        <v>16</v>
      </c>
      <c r="D14291" s="5" t="s">
        <v>13755</v>
      </c>
      <c r="E14291" s="6" t="str">
        <f>HYPERLINK("https://twitter.com/petrogustavo/status/1390171172290113540","1390171172290113540")</f>
        <v>1390171172290113540</v>
      </c>
      <c r="F14291" s="7" t="s">
        <v>17</v>
      </c>
      <c r="G14291" s="7">
        <v>4199946</v>
      </c>
      <c r="H14291" s="7">
        <v>2509</v>
      </c>
      <c r="I14291" s="7">
        <v>597</v>
      </c>
      <c r="J14291" s="7">
        <v>1318</v>
      </c>
      <c r="K14291" s="7" t="s">
        <v>18</v>
      </c>
      <c r="L14291" s="8">
        <v>39987.315405092595</v>
      </c>
      <c r="M14291" s="9" t="s">
        <v>19</v>
      </c>
      <c r="N14291" s="9" t="s">
        <v>20</v>
      </c>
      <c r="O14291" s="6" t="str">
        <f>HYPERLINK("https://pbs.twimg.com/profile_images/962471262747529216/Uo8lOkRJ_normal.jpg","View")</f>
        <v>View</v>
      </c>
      <c r="P14291" s="7"/>
    </row>
    <row r="14292" spans="1:16">
      <c r="A14292" s="3">
        <v>44322.451365740737</v>
      </c>
      <c r="B14292" s="4" t="str">
        <f>HYPERLINK("https://twitter.com/petrogustavo","@petrogustavo")</f>
        <v>@petrogustavo</v>
      </c>
      <c r="C14292" s="5" t="s">
        <v>16</v>
      </c>
      <c r="D14292" s="5" t="s">
        <v>13756</v>
      </c>
      <c r="E14292" s="6" t="str">
        <f>HYPERLINK("https://twitter.com/petrogustavo/status/1390174477850488832","1390174477850488832")</f>
        <v>1390174477850488832</v>
      </c>
      <c r="F14292" s="7" t="s">
        <v>17</v>
      </c>
      <c r="G14292" s="7">
        <v>4199946</v>
      </c>
      <c r="H14292" s="7">
        <v>2509</v>
      </c>
      <c r="I14292" s="7">
        <v>822</v>
      </c>
      <c r="J14292" s="7">
        <v>2324</v>
      </c>
      <c r="K14292" s="7" t="s">
        <v>18</v>
      </c>
      <c r="L14292" s="8">
        <v>39987.315405092595</v>
      </c>
      <c r="M14292" s="9" t="s">
        <v>19</v>
      </c>
      <c r="N14292" s="9" t="s">
        <v>20</v>
      </c>
      <c r="O14292" s="6" t="str">
        <f>HYPERLINK("https://pbs.twimg.com/profile_images/962471262747529216/Uo8lOkRJ_normal.jpg","View")</f>
        <v>View</v>
      </c>
      <c r="P14292" s="7"/>
    </row>
    <row r="14293" spans="1:16">
      <c r="A14293" s="3">
        <v>44322.454432870371</v>
      </c>
      <c r="B14293" s="4" t="str">
        <f>HYPERLINK("https://twitter.com/petrogustavo","@petrogustavo")</f>
        <v>@petrogustavo</v>
      </c>
      <c r="C14293" s="5" t="s">
        <v>16</v>
      </c>
      <c r="D14293" s="5" t="s">
        <v>13757</v>
      </c>
      <c r="E14293" s="6" t="str">
        <f>HYPERLINK("https://twitter.com/petrogustavo/status/1390175591404552192","1390175591404552192")</f>
        <v>1390175591404552192</v>
      </c>
      <c r="F14293" s="7" t="s">
        <v>17</v>
      </c>
      <c r="G14293" s="7">
        <v>4199946</v>
      </c>
      <c r="H14293" s="7">
        <v>2509</v>
      </c>
      <c r="I14293" s="7">
        <v>213</v>
      </c>
      <c r="J14293" s="7">
        <v>529</v>
      </c>
      <c r="K14293" s="7" t="s">
        <v>18</v>
      </c>
      <c r="L14293" s="8">
        <v>39987.315405092595</v>
      </c>
      <c r="M14293" s="9" t="s">
        <v>19</v>
      </c>
      <c r="N14293" s="9" t="s">
        <v>20</v>
      </c>
      <c r="O14293" s="6" t="str">
        <f>HYPERLINK("https://pbs.twimg.com/profile_images/962471262747529216/Uo8lOkRJ_normal.jpg","View")</f>
        <v>View</v>
      </c>
      <c r="P14293" s="7"/>
    </row>
    <row r="14294" spans="1:16">
      <c r="A14294" s="3">
        <v>44322.456805555557</v>
      </c>
      <c r="B14294" s="4" t="str">
        <f>HYPERLINK("https://twitter.com/petrogustavo","@petrogustavo")</f>
        <v>@petrogustavo</v>
      </c>
      <c r="C14294" s="5" t="s">
        <v>16</v>
      </c>
      <c r="D14294" s="5" t="s">
        <v>13758</v>
      </c>
      <c r="E14294" s="6" t="str">
        <f>HYPERLINK("https://twitter.com/petrogustavo/status/1390176448208637953","1390176448208637953")</f>
        <v>1390176448208637953</v>
      </c>
      <c r="F14294" s="7" t="s">
        <v>17</v>
      </c>
      <c r="G14294" s="7">
        <v>4199946</v>
      </c>
      <c r="H14294" s="7">
        <v>2509</v>
      </c>
      <c r="I14294" s="7">
        <v>53</v>
      </c>
      <c r="J14294" s="7">
        <v>268</v>
      </c>
      <c r="K14294" s="7" t="s">
        <v>18</v>
      </c>
      <c r="L14294" s="8">
        <v>39987.315405092595</v>
      </c>
      <c r="M14294" s="9" t="s">
        <v>19</v>
      </c>
      <c r="N14294" s="9" t="s">
        <v>20</v>
      </c>
      <c r="O14294" s="6" t="str">
        <f>HYPERLINK("https://pbs.twimg.com/profile_images/962471262747529216/Uo8lOkRJ_normal.jpg","View")</f>
        <v>View</v>
      </c>
      <c r="P14294" s="7"/>
    </row>
    <row r="14295" spans="1:16">
      <c r="A14295" s="3">
        <v>44322.470439814817</v>
      </c>
      <c r="B14295" s="4" t="str">
        <f>HYPERLINK("https://twitter.com/petrogustavo","@petrogustavo")</f>
        <v>@petrogustavo</v>
      </c>
      <c r="C14295" s="5" t="s">
        <v>16</v>
      </c>
      <c r="D14295" s="5" t="s">
        <v>13759</v>
      </c>
      <c r="E14295" s="6" t="str">
        <f>HYPERLINK("https://twitter.com/petrogustavo/status/1390181390638059525","1390181390638059525")</f>
        <v>1390181390638059525</v>
      </c>
      <c r="F14295" s="7" t="s">
        <v>17</v>
      </c>
      <c r="G14295" s="7">
        <v>4200401</v>
      </c>
      <c r="H14295" s="7">
        <v>2509</v>
      </c>
      <c r="I14295" s="7">
        <v>558</v>
      </c>
      <c r="J14295" s="7">
        <v>1156</v>
      </c>
      <c r="K14295" s="7" t="s">
        <v>18</v>
      </c>
      <c r="L14295" s="8">
        <v>39987.315405092595</v>
      </c>
      <c r="M14295" s="9" t="s">
        <v>19</v>
      </c>
      <c r="N14295" s="9" t="s">
        <v>20</v>
      </c>
      <c r="O14295" s="6" t="str">
        <f>HYPERLINK("https://pbs.twimg.com/profile_images/962471262747529216/Uo8lOkRJ_normal.jpg","View")</f>
        <v>View</v>
      </c>
      <c r="P14295" s="7"/>
    </row>
    <row r="14296" spans="1:16">
      <c r="A14296" s="3">
        <v>44322.471701388888</v>
      </c>
      <c r="B14296" s="4" t="str">
        <f>HYPERLINK("https://twitter.com/petrogustavo","@petrogustavo")</f>
        <v>@petrogustavo</v>
      </c>
      <c r="C14296" s="5" t="s">
        <v>16</v>
      </c>
      <c r="D14296" s="5" t="s">
        <v>13760</v>
      </c>
      <c r="E14296" s="6" t="str">
        <f>HYPERLINK("https://twitter.com/petrogustavo/status/1390181846030462976","1390181846030462976")</f>
        <v>1390181846030462976</v>
      </c>
      <c r="F14296" s="7" t="s">
        <v>17</v>
      </c>
      <c r="G14296" s="7">
        <v>4200401</v>
      </c>
      <c r="H14296" s="7">
        <v>2509</v>
      </c>
      <c r="I14296" s="7">
        <v>392</v>
      </c>
      <c r="J14296" s="7">
        <v>888</v>
      </c>
      <c r="K14296" s="7" t="s">
        <v>18</v>
      </c>
      <c r="L14296" s="8">
        <v>39987.315405092595</v>
      </c>
      <c r="M14296" s="9" t="s">
        <v>19</v>
      </c>
      <c r="N14296" s="9" t="s">
        <v>20</v>
      </c>
      <c r="O14296" s="6" t="str">
        <f>HYPERLINK("https://pbs.twimg.com/profile_images/962471262747529216/Uo8lOkRJ_normal.jpg","View")</f>
        <v>View</v>
      </c>
      <c r="P14296" s="7"/>
    </row>
    <row r="14297" spans="1:16">
      <c r="A14297" s="3">
        <v>44322.472627314812</v>
      </c>
      <c r="B14297" s="4" t="str">
        <f>HYPERLINK("https://twitter.com/petrogustavo","@petrogustavo")</f>
        <v>@petrogustavo</v>
      </c>
      <c r="C14297" s="5" t="s">
        <v>16</v>
      </c>
      <c r="D14297" s="5" t="s">
        <v>13761</v>
      </c>
      <c r="E14297" s="6" t="str">
        <f>HYPERLINK("https://twitter.com/petrogustavo/status/1390182182677790726","1390182182677790726")</f>
        <v>1390182182677790726</v>
      </c>
      <c r="F14297" s="7" t="s">
        <v>17</v>
      </c>
      <c r="G14297" s="7">
        <v>4200401</v>
      </c>
      <c r="H14297" s="7">
        <v>2509</v>
      </c>
      <c r="I14297" s="7">
        <v>3896</v>
      </c>
      <c r="J14297" s="7">
        <v>0</v>
      </c>
      <c r="K14297" s="7" t="s">
        <v>18</v>
      </c>
      <c r="L14297" s="8">
        <v>39987.315405092595</v>
      </c>
      <c r="M14297" s="9" t="s">
        <v>19</v>
      </c>
      <c r="N14297" s="9" t="s">
        <v>20</v>
      </c>
      <c r="O14297" s="6" t="str">
        <f>HYPERLINK("https://pbs.twimg.com/profile_images/962471262747529216/Uo8lOkRJ_normal.jpg","View")</f>
        <v>View</v>
      </c>
      <c r="P14297" s="7"/>
    </row>
    <row r="14298" spans="1:16">
      <c r="A14298" s="3">
        <v>44322.477037037039</v>
      </c>
      <c r="B14298" s="4" t="str">
        <f>HYPERLINK("https://twitter.com/petrogustavo","@petrogustavo")</f>
        <v>@petrogustavo</v>
      </c>
      <c r="C14298" s="5" t="s">
        <v>16</v>
      </c>
      <c r="D14298" s="5" t="s">
        <v>13762</v>
      </c>
      <c r="E14298" s="6" t="str">
        <f>HYPERLINK("https://twitter.com/petrogustavo/status/1390183779365531649","1390183779365531649")</f>
        <v>1390183779365531649</v>
      </c>
      <c r="F14298" s="7" t="s">
        <v>17</v>
      </c>
      <c r="G14298" s="7">
        <v>4200401</v>
      </c>
      <c r="H14298" s="7">
        <v>2509</v>
      </c>
      <c r="I14298" s="7">
        <v>369</v>
      </c>
      <c r="J14298" s="7">
        <v>1023</v>
      </c>
      <c r="K14298" s="7" t="s">
        <v>18</v>
      </c>
      <c r="L14298" s="8">
        <v>39987.315405092595</v>
      </c>
      <c r="M14298" s="9" t="s">
        <v>19</v>
      </c>
      <c r="N14298" s="9" t="s">
        <v>20</v>
      </c>
      <c r="O14298" s="6" t="str">
        <f>HYPERLINK("https://pbs.twimg.com/profile_images/962471262747529216/Uo8lOkRJ_normal.jpg","View")</f>
        <v>View</v>
      </c>
      <c r="P14298" s="7"/>
    </row>
    <row r="14299" spans="1:16">
      <c r="A14299" s="3">
        <v>44322.487349537041</v>
      </c>
      <c r="B14299" s="4" t="str">
        <f>HYPERLINK("https://twitter.com/petrogustavo","@petrogustavo")</f>
        <v>@petrogustavo</v>
      </c>
      <c r="C14299" s="5" t="s">
        <v>16</v>
      </c>
      <c r="D14299" s="5" t="s">
        <v>13763</v>
      </c>
      <c r="E14299" s="6" t="str">
        <f>HYPERLINK("https://twitter.com/petrogustavo/status/1390187517178175488","1390187517178175488")</f>
        <v>1390187517178175488</v>
      </c>
      <c r="F14299" s="7" t="s">
        <v>17</v>
      </c>
      <c r="G14299" s="7">
        <v>4200501</v>
      </c>
      <c r="H14299" s="7">
        <v>2509</v>
      </c>
      <c r="I14299" s="7">
        <v>242</v>
      </c>
      <c r="J14299" s="7">
        <v>0</v>
      </c>
      <c r="K14299" s="7" t="s">
        <v>18</v>
      </c>
      <c r="L14299" s="8">
        <v>39987.315405092595</v>
      </c>
      <c r="M14299" s="9" t="s">
        <v>19</v>
      </c>
      <c r="N14299" s="9" t="s">
        <v>20</v>
      </c>
      <c r="O14299" s="6" t="str">
        <f>HYPERLINK("https://pbs.twimg.com/profile_images/962471262747529216/Uo8lOkRJ_normal.jpg","View")</f>
        <v>View</v>
      </c>
      <c r="P14299" s="7"/>
    </row>
    <row r="14300" spans="1:16">
      <c r="A14300" s="3">
        <v>44322.493703703702</v>
      </c>
      <c r="B14300" s="4" t="str">
        <f>HYPERLINK("https://twitter.com/petrogustavo","@petrogustavo")</f>
        <v>@petrogustavo</v>
      </c>
      <c r="C14300" s="5" t="s">
        <v>16</v>
      </c>
      <c r="D14300" s="5" t="s">
        <v>13764</v>
      </c>
      <c r="E14300" s="6" t="str">
        <f>HYPERLINK("https://twitter.com/petrogustavo/status/1390189821855817735","1390189821855817735")</f>
        <v>1390189821855817735</v>
      </c>
      <c r="F14300" s="7" t="s">
        <v>17</v>
      </c>
      <c r="G14300" s="7">
        <v>4200501</v>
      </c>
      <c r="H14300" s="7">
        <v>2509</v>
      </c>
      <c r="I14300" s="7">
        <v>1691</v>
      </c>
      <c r="J14300" s="7">
        <v>0</v>
      </c>
      <c r="K14300" s="7" t="s">
        <v>18</v>
      </c>
      <c r="L14300" s="8">
        <v>39987.315405092595</v>
      </c>
      <c r="M14300" s="9" t="s">
        <v>19</v>
      </c>
      <c r="N14300" s="9" t="s">
        <v>20</v>
      </c>
      <c r="O14300" s="6" t="str">
        <f>HYPERLINK("https://pbs.twimg.com/profile_images/962471262747529216/Uo8lOkRJ_normal.jpg","View")</f>
        <v>View</v>
      </c>
      <c r="P14300" s="7"/>
    </row>
    <row r="14301" spans="1:16">
      <c r="A14301" s="3">
        <v>44322.507256944446</v>
      </c>
      <c r="B14301" s="4" t="str">
        <f>HYPERLINK("https://twitter.com/petrogustavo","@petrogustavo")</f>
        <v>@petrogustavo</v>
      </c>
      <c r="C14301" s="5" t="s">
        <v>16</v>
      </c>
      <c r="D14301" s="5" t="s">
        <v>13765</v>
      </c>
      <c r="E14301" s="6" t="str">
        <f>HYPERLINK("https://twitter.com/petrogustavo/status/1390194733948022787","1390194733948022787")</f>
        <v>1390194733948022787</v>
      </c>
      <c r="F14301" s="7" t="s">
        <v>17</v>
      </c>
      <c r="G14301" s="7">
        <v>4200743</v>
      </c>
      <c r="H14301" s="7">
        <v>2509</v>
      </c>
      <c r="I14301" s="7">
        <v>5465</v>
      </c>
      <c r="J14301" s="7">
        <v>0</v>
      </c>
      <c r="K14301" s="7" t="s">
        <v>18</v>
      </c>
      <c r="L14301" s="8">
        <v>39987.315405092595</v>
      </c>
      <c r="M14301" s="9" t="s">
        <v>19</v>
      </c>
      <c r="N14301" s="9" t="s">
        <v>20</v>
      </c>
      <c r="O14301" s="6" t="str">
        <f>HYPERLINK("https://pbs.twimg.com/profile_images/962471262747529216/Uo8lOkRJ_normal.jpg","View")</f>
        <v>View</v>
      </c>
      <c r="P14301" s="7"/>
    </row>
    <row r="14302" spans="1:16">
      <c r="A14302" s="3">
        <v>44322.812349537038</v>
      </c>
      <c r="B14302" s="4" t="str">
        <f>HYPERLINK("https://twitter.com/petrogustavo","@petrogustavo")</f>
        <v>@petrogustavo</v>
      </c>
      <c r="C14302" s="5" t="s">
        <v>16</v>
      </c>
      <c r="D14302" s="5" t="s">
        <v>13766</v>
      </c>
      <c r="E14302" s="6" t="str">
        <f>HYPERLINK("https://twitter.com/petrogustavo/status/1390305293876174854","1390305293876174854")</f>
        <v>1390305293876174854</v>
      </c>
      <c r="F14302" s="7" t="s">
        <v>17</v>
      </c>
      <c r="G14302" s="7">
        <v>4202971</v>
      </c>
      <c r="H14302" s="7">
        <v>2509</v>
      </c>
      <c r="I14302" s="7">
        <v>159</v>
      </c>
      <c r="J14302" s="7">
        <v>438</v>
      </c>
      <c r="K14302" s="7" t="s">
        <v>18</v>
      </c>
      <c r="L14302" s="8">
        <v>39987.315405092595</v>
      </c>
      <c r="M14302" s="9" t="s">
        <v>19</v>
      </c>
      <c r="N14302" s="9" t="s">
        <v>20</v>
      </c>
      <c r="O14302" s="6" t="str">
        <f>HYPERLINK("https://pbs.twimg.com/profile_images/962471262747529216/Uo8lOkRJ_normal.jpg","View")</f>
        <v>View</v>
      </c>
      <c r="P14302" s="7"/>
    </row>
    <row r="14303" spans="1:16">
      <c r="A14303" s="3">
        <v>44322.812349537038</v>
      </c>
      <c r="B14303" s="4" t="str">
        <f>HYPERLINK("https://twitter.com/petrogustavo","@petrogustavo")</f>
        <v>@petrogustavo</v>
      </c>
      <c r="C14303" s="5" t="s">
        <v>16</v>
      </c>
      <c r="D14303" s="5" t="s">
        <v>13767</v>
      </c>
      <c r="E14303" s="6" t="str">
        <f>HYPERLINK("https://twitter.com/petrogustavo/status/1390305295260213250","1390305295260213250")</f>
        <v>1390305295260213250</v>
      </c>
      <c r="F14303" s="7" t="s">
        <v>17</v>
      </c>
      <c r="G14303" s="7">
        <v>4202971</v>
      </c>
      <c r="H14303" s="7">
        <v>2509</v>
      </c>
      <c r="I14303" s="7">
        <v>89</v>
      </c>
      <c r="J14303" s="7">
        <v>286</v>
      </c>
      <c r="K14303" s="7" t="s">
        <v>18</v>
      </c>
      <c r="L14303" s="8">
        <v>39987.315405092595</v>
      </c>
      <c r="M14303" s="9" t="s">
        <v>19</v>
      </c>
      <c r="N14303" s="9" t="s">
        <v>20</v>
      </c>
      <c r="O14303" s="6" t="str">
        <f>HYPERLINK("https://pbs.twimg.com/profile_images/962471262747529216/Uo8lOkRJ_normal.jpg","View")</f>
        <v>View</v>
      </c>
      <c r="P14303" s="7"/>
    </row>
    <row r="14304" spans="1:16">
      <c r="A14304" s="3">
        <v>44322.830578703702</v>
      </c>
      <c r="B14304" s="4" t="str">
        <f>HYPERLINK("https://twitter.com/petrogustavo","@petrogustavo")</f>
        <v>@petrogustavo</v>
      </c>
      <c r="C14304" s="5" t="s">
        <v>16</v>
      </c>
      <c r="D14304" s="5" t="s">
        <v>13768</v>
      </c>
      <c r="E14304" s="6" t="str">
        <f>HYPERLINK("https://twitter.com/petrogustavo/status/1390311899682770944","1390311899682770944")</f>
        <v>1390311899682770944</v>
      </c>
      <c r="F14304" s="7" t="s">
        <v>17</v>
      </c>
      <c r="G14304" s="7">
        <v>4203602</v>
      </c>
      <c r="H14304" s="7">
        <v>2509</v>
      </c>
      <c r="I14304" s="7">
        <v>312</v>
      </c>
      <c r="J14304" s="7">
        <v>635</v>
      </c>
      <c r="K14304" s="7" t="s">
        <v>18</v>
      </c>
      <c r="L14304" s="8">
        <v>39987.315405092595</v>
      </c>
      <c r="M14304" s="9" t="s">
        <v>19</v>
      </c>
      <c r="N14304" s="9" t="s">
        <v>20</v>
      </c>
      <c r="O14304" s="6" t="str">
        <f>HYPERLINK("https://pbs.twimg.com/profile_images/962471262747529216/Uo8lOkRJ_normal.jpg","View")</f>
        <v>View</v>
      </c>
      <c r="P14304" s="7"/>
    </row>
    <row r="14305" spans="1:16">
      <c r="A14305" s="3">
        <v>44322.841192129628</v>
      </c>
      <c r="B14305" s="4" t="str">
        <f>HYPERLINK("https://twitter.com/petrogustavo","@petrogustavo")</f>
        <v>@petrogustavo</v>
      </c>
      <c r="C14305" s="5" t="s">
        <v>16</v>
      </c>
      <c r="D14305" s="5" t="s">
        <v>13769</v>
      </c>
      <c r="E14305" s="6" t="str">
        <f>HYPERLINK("https://twitter.com/petrogustavo/status/1390315745406554119","1390315745406554119")</f>
        <v>1390315745406554119</v>
      </c>
      <c r="F14305" s="7" t="s">
        <v>32</v>
      </c>
      <c r="G14305" s="7">
        <v>4204061</v>
      </c>
      <c r="H14305" s="7">
        <v>2509</v>
      </c>
      <c r="I14305" s="7">
        <v>1323</v>
      </c>
      <c r="J14305" s="7">
        <v>0</v>
      </c>
      <c r="K14305" s="7" t="s">
        <v>18</v>
      </c>
      <c r="L14305" s="8">
        <v>39987.315405092595</v>
      </c>
      <c r="M14305" s="9" t="s">
        <v>19</v>
      </c>
      <c r="N14305" s="9" t="s">
        <v>20</v>
      </c>
      <c r="O14305" s="6" t="str">
        <f>HYPERLINK("https://pbs.twimg.com/profile_images/962471262747529216/Uo8lOkRJ_normal.jpg","View")</f>
        <v>View</v>
      </c>
      <c r="P14305" s="7"/>
    </row>
    <row r="14306" spans="1:16">
      <c r="A14306" s="3">
        <v>44322.842881944445</v>
      </c>
      <c r="B14306" s="4" t="str">
        <f>HYPERLINK("https://twitter.com/petrogustavo","@petrogustavo")</f>
        <v>@petrogustavo</v>
      </c>
      <c r="C14306" s="5" t="s">
        <v>16</v>
      </c>
      <c r="D14306" s="5" t="s">
        <v>13770</v>
      </c>
      <c r="E14306" s="6" t="str">
        <f>HYPERLINK("https://twitter.com/petrogustavo/status/1390316357686865920","1390316357686865920")</f>
        <v>1390316357686865920</v>
      </c>
      <c r="F14306" s="7" t="s">
        <v>32</v>
      </c>
      <c r="G14306" s="7">
        <v>4204061</v>
      </c>
      <c r="H14306" s="7">
        <v>2509</v>
      </c>
      <c r="I14306" s="7">
        <v>1775</v>
      </c>
      <c r="J14306" s="7">
        <v>0</v>
      </c>
      <c r="K14306" s="7" t="s">
        <v>18</v>
      </c>
      <c r="L14306" s="8">
        <v>39987.315405092595</v>
      </c>
      <c r="M14306" s="9" t="s">
        <v>19</v>
      </c>
      <c r="N14306" s="9" t="s">
        <v>20</v>
      </c>
      <c r="O14306" s="6" t="str">
        <f>HYPERLINK("https://pbs.twimg.com/profile_images/962471262747529216/Uo8lOkRJ_normal.jpg","View")</f>
        <v>View</v>
      </c>
      <c r="P14306" s="7"/>
    </row>
    <row r="14307" spans="1:16">
      <c r="A14307" s="3">
        <v>44322.845289351855</v>
      </c>
      <c r="B14307" s="4" t="str">
        <f>HYPERLINK("https://twitter.com/petrogustavo","@petrogustavo")</f>
        <v>@petrogustavo</v>
      </c>
      <c r="C14307" s="5" t="s">
        <v>16</v>
      </c>
      <c r="D14307" s="5" t="s">
        <v>13771</v>
      </c>
      <c r="E14307" s="6" t="str">
        <f>HYPERLINK("https://twitter.com/petrogustavo/status/1390317229997187079","1390317229997187079")</f>
        <v>1390317229997187079</v>
      </c>
      <c r="F14307" s="7" t="s">
        <v>32</v>
      </c>
      <c r="G14307" s="7">
        <v>4204061</v>
      </c>
      <c r="H14307" s="7">
        <v>2509</v>
      </c>
      <c r="I14307" s="7">
        <v>880</v>
      </c>
      <c r="J14307" s="7">
        <v>0</v>
      </c>
      <c r="K14307" s="7" t="s">
        <v>18</v>
      </c>
      <c r="L14307" s="8">
        <v>39987.315405092595</v>
      </c>
      <c r="M14307" s="9" t="s">
        <v>19</v>
      </c>
      <c r="N14307" s="9" t="s">
        <v>20</v>
      </c>
      <c r="O14307" s="6" t="str">
        <f>HYPERLINK("https://pbs.twimg.com/profile_images/962471262747529216/Uo8lOkRJ_normal.jpg","View")</f>
        <v>View</v>
      </c>
      <c r="P14307" s="7"/>
    </row>
    <row r="14308" spans="1:16">
      <c r="A14308" s="3">
        <v>44322.875381944439</v>
      </c>
      <c r="B14308" s="4" t="str">
        <f>HYPERLINK("https://twitter.com/petrogustavo","@petrogustavo")</f>
        <v>@petrogustavo</v>
      </c>
      <c r="C14308" s="5" t="s">
        <v>16</v>
      </c>
      <c r="D14308" s="5" t="s">
        <v>13772</v>
      </c>
      <c r="E14308" s="6" t="str">
        <f>HYPERLINK("https://twitter.com/petrogustavo/status/1390328137741856769","1390328137741856769")</f>
        <v>1390328137741856769</v>
      </c>
      <c r="F14308" s="7" t="s">
        <v>17</v>
      </c>
      <c r="G14308" s="7">
        <v>4204581</v>
      </c>
      <c r="H14308" s="7">
        <v>2509</v>
      </c>
      <c r="I14308" s="7">
        <v>209</v>
      </c>
      <c r="J14308" s="7">
        <v>656</v>
      </c>
      <c r="K14308" s="7" t="s">
        <v>18</v>
      </c>
      <c r="L14308" s="8">
        <v>39987.315405092595</v>
      </c>
      <c r="M14308" s="9" t="s">
        <v>19</v>
      </c>
      <c r="N14308" s="9" t="s">
        <v>20</v>
      </c>
      <c r="O14308" s="6" t="str">
        <f>HYPERLINK("https://pbs.twimg.com/profile_images/962471262747529216/Uo8lOkRJ_normal.jpg","View")</f>
        <v>View</v>
      </c>
      <c r="P14308" s="7"/>
    </row>
    <row r="14309" spans="1:16">
      <c r="A14309" s="3">
        <v>44322.949583333335</v>
      </c>
      <c r="B14309" s="4" t="str">
        <f>HYPERLINK("https://twitter.com/petrogustavo","@petrogustavo")</f>
        <v>@petrogustavo</v>
      </c>
      <c r="C14309" s="5" t="s">
        <v>16</v>
      </c>
      <c r="D14309" s="5" t="s">
        <v>13773</v>
      </c>
      <c r="E14309" s="6" t="str">
        <f>HYPERLINK("https://twitter.com/petrogustavo/status/1390355026980265989","1390355026980265989")</f>
        <v>1390355026980265989</v>
      </c>
      <c r="F14309" s="7" t="s">
        <v>17</v>
      </c>
      <c r="G14309" s="7">
        <v>4206814</v>
      </c>
      <c r="H14309" s="7">
        <v>2509</v>
      </c>
      <c r="I14309" s="7">
        <v>477</v>
      </c>
      <c r="J14309" s="7">
        <v>1403</v>
      </c>
      <c r="K14309" s="7" t="s">
        <v>18</v>
      </c>
      <c r="L14309" s="8">
        <v>39987.315405092595</v>
      </c>
      <c r="M14309" s="9" t="s">
        <v>19</v>
      </c>
      <c r="N14309" s="9" t="s">
        <v>20</v>
      </c>
      <c r="O14309" s="6" t="str">
        <f>HYPERLINK("https://pbs.twimg.com/profile_images/962471262747529216/Uo8lOkRJ_normal.jpg","View")</f>
        <v>View</v>
      </c>
      <c r="P14309" s="7"/>
    </row>
    <row r="14310" spans="1:16">
      <c r="A14310" s="3">
        <v>44322.949594907404</v>
      </c>
      <c r="B14310" s="4" t="str">
        <f>HYPERLINK("https://twitter.com/petrogustavo","@petrogustavo")</f>
        <v>@petrogustavo</v>
      </c>
      <c r="C14310" s="5" t="s">
        <v>16</v>
      </c>
      <c r="D14310" s="5" t="s">
        <v>13774</v>
      </c>
      <c r="E14310" s="6" t="str">
        <f>HYPERLINK("https://twitter.com/petrogustavo/status/1390355028632903691","1390355028632903691")</f>
        <v>1390355028632903691</v>
      </c>
      <c r="F14310" s="7" t="s">
        <v>17</v>
      </c>
      <c r="G14310" s="7">
        <v>4206814</v>
      </c>
      <c r="H14310" s="7">
        <v>2509</v>
      </c>
      <c r="I14310" s="7">
        <v>286</v>
      </c>
      <c r="J14310" s="7">
        <v>1061</v>
      </c>
      <c r="K14310" s="7" t="s">
        <v>18</v>
      </c>
      <c r="L14310" s="8">
        <v>39987.315405092595</v>
      </c>
      <c r="M14310" s="9" t="s">
        <v>19</v>
      </c>
      <c r="N14310" s="9" t="s">
        <v>20</v>
      </c>
      <c r="O14310" s="6" t="str">
        <f>HYPERLINK("https://pbs.twimg.com/profile_images/962471262747529216/Uo8lOkRJ_normal.jpg","View")</f>
        <v>View</v>
      </c>
      <c r="P14310" s="7"/>
    </row>
    <row r="14311" spans="1:16">
      <c r="A14311" s="3">
        <v>44322.979398148149</v>
      </c>
      <c r="B14311" s="4" t="str">
        <f>HYPERLINK("https://twitter.com/petrogustavo","@petrogustavo")</f>
        <v>@petrogustavo</v>
      </c>
      <c r="C14311" s="5" t="s">
        <v>16</v>
      </c>
      <c r="D14311" s="5" t="s">
        <v>13775</v>
      </c>
      <c r="E14311" s="6" t="str">
        <f>HYPERLINK("https://twitter.com/petrogustavo/status/1390365831683575814","1390365831683575814")</f>
        <v>1390365831683575814</v>
      </c>
      <c r="F14311" s="7" t="s">
        <v>17</v>
      </c>
      <c r="G14311" s="7">
        <v>4207286</v>
      </c>
      <c r="H14311" s="7">
        <v>2510</v>
      </c>
      <c r="I14311" s="7">
        <v>315</v>
      </c>
      <c r="J14311" s="7">
        <v>0</v>
      </c>
      <c r="K14311" s="7" t="s">
        <v>18</v>
      </c>
      <c r="L14311" s="8">
        <v>39987.315405092595</v>
      </c>
      <c r="M14311" s="9" t="s">
        <v>19</v>
      </c>
      <c r="N14311" s="9" t="s">
        <v>20</v>
      </c>
      <c r="O14311" s="6" t="str">
        <f>HYPERLINK("https://pbs.twimg.com/profile_images/962471262747529216/Uo8lOkRJ_normal.jpg","View")</f>
        <v>View</v>
      </c>
      <c r="P14311" s="7"/>
    </row>
    <row r="14312" spans="1:16">
      <c r="A14312" s="3">
        <v>44322.980405092589</v>
      </c>
      <c r="B14312" s="4" t="str">
        <f>HYPERLINK("https://twitter.com/petrogustavo","@petrogustavo")</f>
        <v>@petrogustavo</v>
      </c>
      <c r="C14312" s="5" t="s">
        <v>16</v>
      </c>
      <c r="D14312" s="5" t="s">
        <v>13776</v>
      </c>
      <c r="E14312" s="6" t="str">
        <f>HYPERLINK("https://twitter.com/petrogustavo/status/1390366193970819076","1390366193970819076")</f>
        <v>1390366193970819076</v>
      </c>
      <c r="F14312" s="7" t="s">
        <v>17</v>
      </c>
      <c r="G14312" s="7">
        <v>4207286</v>
      </c>
      <c r="H14312" s="7">
        <v>2510</v>
      </c>
      <c r="I14312" s="7">
        <v>2635</v>
      </c>
      <c r="J14312" s="7">
        <v>0</v>
      </c>
      <c r="K14312" s="7" t="s">
        <v>18</v>
      </c>
      <c r="L14312" s="8">
        <v>39987.315405092595</v>
      </c>
      <c r="M14312" s="9" t="s">
        <v>19</v>
      </c>
      <c r="N14312" s="9" t="s">
        <v>20</v>
      </c>
      <c r="O14312" s="6" t="str">
        <f>HYPERLINK("https://pbs.twimg.com/profile_images/962471262747529216/Uo8lOkRJ_normal.jpg","View")</f>
        <v>View</v>
      </c>
      <c r="P14312" s="7"/>
    </row>
    <row r="14313" spans="1:16">
      <c r="A14313" s="3">
        <v>44322.982685185183</v>
      </c>
      <c r="B14313" s="4" t="str">
        <f>HYPERLINK("https://twitter.com/petrogustavo","@petrogustavo")</f>
        <v>@petrogustavo</v>
      </c>
      <c r="C14313" s="5" t="s">
        <v>16</v>
      </c>
      <c r="D14313" s="5" t="s">
        <v>13777</v>
      </c>
      <c r="E14313" s="6" t="str">
        <f>HYPERLINK("https://twitter.com/petrogustavo/status/1390367023671222275","1390367023671222275")</f>
        <v>1390367023671222275</v>
      </c>
      <c r="F14313" s="7" t="s">
        <v>17</v>
      </c>
      <c r="G14313" s="7">
        <v>4207891</v>
      </c>
      <c r="H14313" s="7">
        <v>2510</v>
      </c>
      <c r="I14313" s="7">
        <v>248</v>
      </c>
      <c r="J14313" s="7">
        <v>861</v>
      </c>
      <c r="K14313" s="7" t="s">
        <v>18</v>
      </c>
      <c r="L14313" s="8">
        <v>39987.315405092595</v>
      </c>
      <c r="M14313" s="9" t="s">
        <v>19</v>
      </c>
      <c r="N14313" s="9" t="s">
        <v>20</v>
      </c>
      <c r="O14313" s="6" t="str">
        <f>HYPERLINK("https://pbs.twimg.com/profile_images/962471262747529216/Uo8lOkRJ_normal.jpg","View")</f>
        <v>View</v>
      </c>
      <c r="P14313" s="7"/>
    </row>
    <row r="14314" spans="1:16">
      <c r="A14314" s="3">
        <v>44322.983599537038</v>
      </c>
      <c r="B14314" s="4" t="str">
        <f>HYPERLINK("https://twitter.com/petrogustavo","@petrogustavo")</f>
        <v>@petrogustavo</v>
      </c>
      <c r="C14314" s="5" t="s">
        <v>16</v>
      </c>
      <c r="D14314" s="5" t="s">
        <v>13778</v>
      </c>
      <c r="E14314" s="6" t="str">
        <f>HYPERLINK("https://twitter.com/petrogustavo/status/1390367353423208453","1390367353423208453")</f>
        <v>1390367353423208453</v>
      </c>
      <c r="F14314" s="7" t="s">
        <v>17</v>
      </c>
      <c r="G14314" s="7">
        <v>4207891</v>
      </c>
      <c r="H14314" s="7">
        <v>2510</v>
      </c>
      <c r="I14314" s="7">
        <v>235</v>
      </c>
      <c r="J14314" s="7">
        <v>806</v>
      </c>
      <c r="K14314" s="7" t="s">
        <v>18</v>
      </c>
      <c r="L14314" s="8">
        <v>39987.315405092595</v>
      </c>
      <c r="M14314" s="9" t="s">
        <v>19</v>
      </c>
      <c r="N14314" s="9" t="s">
        <v>20</v>
      </c>
      <c r="O14314" s="6" t="str">
        <f>HYPERLINK("https://pbs.twimg.com/profile_images/962471262747529216/Uo8lOkRJ_normal.jpg","View")</f>
        <v>View</v>
      </c>
      <c r="P14314" s="7"/>
    </row>
    <row r="14315" spans="1:16">
      <c r="A14315" s="3">
        <v>44322.985659722224</v>
      </c>
      <c r="B14315" s="4" t="str">
        <f>HYPERLINK("https://twitter.com/petrogustavo","@petrogustavo")</f>
        <v>@petrogustavo</v>
      </c>
      <c r="C14315" s="5" t="s">
        <v>16</v>
      </c>
      <c r="D14315" s="5" t="s">
        <v>13779</v>
      </c>
      <c r="E14315" s="6" t="str">
        <f>HYPERLINK("https://twitter.com/petrogustavo/status/1390368099262664704","1390368099262664704")</f>
        <v>1390368099262664704</v>
      </c>
      <c r="F14315" s="7" t="s">
        <v>17</v>
      </c>
      <c r="G14315" s="7">
        <v>4207891</v>
      </c>
      <c r="H14315" s="7">
        <v>2510</v>
      </c>
      <c r="I14315" s="7">
        <v>376</v>
      </c>
      <c r="J14315" s="7">
        <v>969</v>
      </c>
      <c r="K14315" s="7" t="s">
        <v>18</v>
      </c>
      <c r="L14315" s="8">
        <v>39987.315405092595</v>
      </c>
      <c r="M14315" s="9" t="s">
        <v>19</v>
      </c>
      <c r="N14315" s="9" t="s">
        <v>20</v>
      </c>
      <c r="O14315" s="6" t="str">
        <f>HYPERLINK("https://pbs.twimg.com/profile_images/962471262747529216/Uo8lOkRJ_normal.jpg","View")</f>
        <v>View</v>
      </c>
      <c r="P14315" s="7"/>
    </row>
    <row r="14316" spans="1:16">
      <c r="A14316" s="3">
        <v>44322.987696759257</v>
      </c>
      <c r="B14316" s="4" t="str">
        <f>HYPERLINK("https://twitter.com/petrogustavo","@petrogustavo")</f>
        <v>@petrogustavo</v>
      </c>
      <c r="C14316" s="5" t="s">
        <v>16</v>
      </c>
      <c r="D14316" s="5" t="s">
        <v>13780</v>
      </c>
      <c r="E14316" s="6" t="str">
        <f>HYPERLINK("https://twitter.com/petrogustavo/status/1390368838991192068","1390368838991192068")</f>
        <v>1390368838991192068</v>
      </c>
      <c r="F14316" s="7" t="s">
        <v>17</v>
      </c>
      <c r="G14316" s="7">
        <v>4207891</v>
      </c>
      <c r="H14316" s="7">
        <v>2510</v>
      </c>
      <c r="I14316" s="7">
        <v>744</v>
      </c>
      <c r="J14316" s="7">
        <v>0</v>
      </c>
      <c r="K14316" s="7" t="s">
        <v>18</v>
      </c>
      <c r="L14316" s="8">
        <v>39987.315405092595</v>
      </c>
      <c r="M14316" s="9" t="s">
        <v>19</v>
      </c>
      <c r="N14316" s="9" t="s">
        <v>20</v>
      </c>
      <c r="O14316" s="6" t="str">
        <f>HYPERLINK("https://pbs.twimg.com/profile_images/962471262747529216/Uo8lOkRJ_normal.jpg","View")</f>
        <v>View</v>
      </c>
      <c r="P14316" s="7"/>
    </row>
    <row r="14317" spans="1:16">
      <c r="A14317" s="3">
        <v>44322.988611111112</v>
      </c>
      <c r="B14317" s="4" t="str">
        <f>HYPERLINK("https://twitter.com/petrogustavo","@petrogustavo")</f>
        <v>@petrogustavo</v>
      </c>
      <c r="C14317" s="5" t="s">
        <v>16</v>
      </c>
      <c r="D14317" s="5" t="s">
        <v>13781</v>
      </c>
      <c r="E14317" s="6" t="str">
        <f>HYPERLINK("https://twitter.com/petrogustavo/status/1390369170164961290","1390369170164961290")</f>
        <v>1390369170164961290</v>
      </c>
      <c r="F14317" s="7" t="s">
        <v>17</v>
      </c>
      <c r="G14317" s="7">
        <v>4207891</v>
      </c>
      <c r="H14317" s="7">
        <v>2510</v>
      </c>
      <c r="I14317" s="7">
        <v>7471</v>
      </c>
      <c r="J14317" s="7">
        <v>0</v>
      </c>
      <c r="K14317" s="7" t="s">
        <v>18</v>
      </c>
      <c r="L14317" s="8">
        <v>39987.315405092595</v>
      </c>
      <c r="M14317" s="9" t="s">
        <v>19</v>
      </c>
      <c r="N14317" s="9" t="s">
        <v>20</v>
      </c>
      <c r="O14317" s="6" t="str">
        <f>HYPERLINK("https://pbs.twimg.com/profile_images/962471262747529216/Uo8lOkRJ_normal.jpg","View")</f>
        <v>View</v>
      </c>
      <c r="P14317" s="7"/>
    </row>
    <row r="14318" spans="1:16">
      <c r="A14318" s="3">
        <v>44323.275266203702</v>
      </c>
      <c r="B14318" s="4" t="str">
        <f>HYPERLINK("https://twitter.com/petrogustavo","@petrogustavo")</f>
        <v>@petrogustavo</v>
      </c>
      <c r="C14318" s="5" t="s">
        <v>16</v>
      </c>
      <c r="D14318" s="5" t="s">
        <v>13782</v>
      </c>
      <c r="E14318" s="6" t="str">
        <f>HYPERLINK("https://twitter.com/petrogustavo/status/1390473050802593792","1390473050802593792")</f>
        <v>1390473050802593792</v>
      </c>
      <c r="F14318" s="7" t="s">
        <v>17</v>
      </c>
      <c r="G14318" s="7">
        <v>4213663</v>
      </c>
      <c r="H14318" s="7">
        <v>2511</v>
      </c>
      <c r="I14318" s="7">
        <v>8711</v>
      </c>
      <c r="J14318" s="7">
        <v>0</v>
      </c>
      <c r="K14318" s="7" t="s">
        <v>18</v>
      </c>
      <c r="L14318" s="8">
        <v>39987.315405092595</v>
      </c>
      <c r="M14318" s="9" t="s">
        <v>19</v>
      </c>
      <c r="N14318" s="9" t="s">
        <v>20</v>
      </c>
      <c r="O14318" s="6" t="str">
        <f>HYPERLINK("https://pbs.twimg.com/profile_images/962471262747529216/Uo8lOkRJ_normal.jpg","View")</f>
        <v>View</v>
      </c>
      <c r="P14318" s="7"/>
    </row>
    <row r="14319" spans="1:16">
      <c r="A14319" s="3">
        <v>44323.300520833334</v>
      </c>
      <c r="B14319" s="4" t="str">
        <f>HYPERLINK("https://twitter.com/petrogustavo","@petrogustavo")</f>
        <v>@petrogustavo</v>
      </c>
      <c r="C14319" s="5" t="s">
        <v>16</v>
      </c>
      <c r="D14319" s="5" t="s">
        <v>13783</v>
      </c>
      <c r="E14319" s="6" t="str">
        <f>HYPERLINK("https://twitter.com/petrogustavo/status/1390482200622157827","1390482200622157827")</f>
        <v>1390482200622157827</v>
      </c>
      <c r="F14319" s="7" t="s">
        <v>17</v>
      </c>
      <c r="G14319" s="7">
        <v>4213912</v>
      </c>
      <c r="H14319" s="7">
        <v>2511</v>
      </c>
      <c r="I14319" s="7">
        <v>979</v>
      </c>
      <c r="J14319" s="7">
        <v>2289</v>
      </c>
      <c r="K14319" s="7" t="s">
        <v>18</v>
      </c>
      <c r="L14319" s="8">
        <v>39987.315405092595</v>
      </c>
      <c r="M14319" s="9" t="s">
        <v>19</v>
      </c>
      <c r="N14319" s="9" t="s">
        <v>20</v>
      </c>
      <c r="O14319" s="6" t="str">
        <f>HYPERLINK("https://pbs.twimg.com/profile_images/962471262747529216/Uo8lOkRJ_normal.jpg","View")</f>
        <v>View</v>
      </c>
      <c r="P14319" s="7"/>
    </row>
    <row r="14320" spans="1:16">
      <c r="A14320" s="3">
        <v>44323.310127314813</v>
      </c>
      <c r="B14320" s="4" t="str">
        <f>HYPERLINK("https://twitter.com/petrogustavo","@petrogustavo")</f>
        <v>@petrogustavo</v>
      </c>
      <c r="C14320" s="5" t="s">
        <v>16</v>
      </c>
      <c r="D14320" s="5" t="s">
        <v>13784</v>
      </c>
      <c r="E14320" s="6" t="str">
        <f>HYPERLINK("https://twitter.com/petrogustavo/status/1390485683974950914","1390485683974950914")</f>
        <v>1390485683974950914</v>
      </c>
      <c r="F14320" s="7" t="s">
        <v>17</v>
      </c>
      <c r="G14320" s="7">
        <v>4213912</v>
      </c>
      <c r="H14320" s="7">
        <v>2511</v>
      </c>
      <c r="I14320" s="7">
        <v>377</v>
      </c>
      <c r="J14320" s="7">
        <v>1279</v>
      </c>
      <c r="K14320" s="7" t="s">
        <v>18</v>
      </c>
      <c r="L14320" s="8">
        <v>39987.315405092595</v>
      </c>
      <c r="M14320" s="9" t="s">
        <v>19</v>
      </c>
      <c r="N14320" s="9" t="s">
        <v>20</v>
      </c>
      <c r="O14320" s="6" t="str">
        <f>HYPERLINK("https://pbs.twimg.com/profile_images/962471262747529216/Uo8lOkRJ_normal.jpg","View")</f>
        <v>View</v>
      </c>
      <c r="P14320" s="7"/>
    </row>
    <row r="14321" spans="1:16">
      <c r="A14321" s="3">
        <v>44323.317384259259</v>
      </c>
      <c r="B14321" s="4" t="str">
        <f>HYPERLINK("https://twitter.com/petrogustavo","@petrogustavo")</f>
        <v>@petrogustavo</v>
      </c>
      <c r="C14321" s="5" t="s">
        <v>16</v>
      </c>
      <c r="D14321" s="5" t="s">
        <v>13785</v>
      </c>
      <c r="E14321" s="6" t="str">
        <f>HYPERLINK("https://twitter.com/petrogustavo/status/1390488311324717059","1390488311324717059")</f>
        <v>1390488311324717059</v>
      </c>
      <c r="F14321" s="7" t="s">
        <v>17</v>
      </c>
      <c r="G14321" s="7">
        <v>4214323</v>
      </c>
      <c r="H14321" s="7">
        <v>2511</v>
      </c>
      <c r="I14321" s="7">
        <v>470</v>
      </c>
      <c r="J14321" s="7">
        <v>1718</v>
      </c>
      <c r="K14321" s="7" t="s">
        <v>18</v>
      </c>
      <c r="L14321" s="8">
        <v>39987.315405092595</v>
      </c>
      <c r="M14321" s="9" t="s">
        <v>19</v>
      </c>
      <c r="N14321" s="9" t="s">
        <v>20</v>
      </c>
      <c r="O14321" s="6" t="str">
        <f>HYPERLINK("https://pbs.twimg.com/profile_images/962471262747529216/Uo8lOkRJ_normal.jpg","View")</f>
        <v>View</v>
      </c>
      <c r="P14321" s="7"/>
    </row>
    <row r="14322" spans="1:16">
      <c r="A14322" s="3">
        <v>44323.320243055554</v>
      </c>
      <c r="B14322" s="4" t="str">
        <f>HYPERLINK("https://twitter.com/petrogustavo","@petrogustavo")</f>
        <v>@petrogustavo</v>
      </c>
      <c r="C14322" s="5" t="s">
        <v>16</v>
      </c>
      <c r="D14322" s="5" t="s">
        <v>13786</v>
      </c>
      <c r="E14322" s="6" t="str">
        <f>HYPERLINK("https://twitter.com/petrogustavo/status/1390489348336914432","1390489348336914432")</f>
        <v>1390489348336914432</v>
      </c>
      <c r="F14322" s="7" t="s">
        <v>17</v>
      </c>
      <c r="G14322" s="7">
        <v>4214323</v>
      </c>
      <c r="H14322" s="7">
        <v>2511</v>
      </c>
      <c r="I14322" s="7">
        <v>642</v>
      </c>
      <c r="J14322" s="7">
        <v>1841</v>
      </c>
      <c r="K14322" s="7" t="s">
        <v>18</v>
      </c>
      <c r="L14322" s="8">
        <v>39987.315405092595</v>
      </c>
      <c r="M14322" s="9" t="s">
        <v>19</v>
      </c>
      <c r="N14322" s="9" t="s">
        <v>20</v>
      </c>
      <c r="O14322" s="6" t="str">
        <f>HYPERLINK("https://pbs.twimg.com/profile_images/962471262747529216/Uo8lOkRJ_normal.jpg","View")</f>
        <v>View</v>
      </c>
      <c r="P14322" s="7"/>
    </row>
    <row r="14323" spans="1:16">
      <c r="A14323" s="3">
        <v>44323.326550925922</v>
      </c>
      <c r="B14323" s="4" t="str">
        <f>HYPERLINK("https://twitter.com/petrogustavo","@petrogustavo")</f>
        <v>@petrogustavo</v>
      </c>
      <c r="C14323" s="5" t="s">
        <v>16</v>
      </c>
      <c r="D14323" s="5" t="s">
        <v>13787</v>
      </c>
      <c r="E14323" s="6" t="str">
        <f>HYPERLINK("https://twitter.com/petrogustavo/status/1390491633129594885","1390491633129594885")</f>
        <v>1390491633129594885</v>
      </c>
      <c r="F14323" s="7" t="s">
        <v>17</v>
      </c>
      <c r="G14323" s="7">
        <v>4214323</v>
      </c>
      <c r="H14323" s="7">
        <v>2511</v>
      </c>
      <c r="I14323" s="7">
        <v>2890</v>
      </c>
      <c r="J14323" s="7">
        <v>0</v>
      </c>
      <c r="K14323" s="7" t="s">
        <v>18</v>
      </c>
      <c r="L14323" s="8">
        <v>39987.315405092595</v>
      </c>
      <c r="M14323" s="9" t="s">
        <v>19</v>
      </c>
      <c r="N14323" s="9" t="s">
        <v>20</v>
      </c>
      <c r="O14323" s="6" t="str">
        <f>HYPERLINK("https://pbs.twimg.com/profile_images/962471262747529216/Uo8lOkRJ_normal.jpg","View")</f>
        <v>View</v>
      </c>
      <c r="P14323" s="7"/>
    </row>
    <row r="14324" spans="1:16">
      <c r="A14324" s="3">
        <v>44323.331817129627</v>
      </c>
      <c r="B14324" s="4" t="str">
        <f>HYPERLINK("https://twitter.com/petrogustavo","@petrogustavo")</f>
        <v>@petrogustavo</v>
      </c>
      <c r="C14324" s="5" t="s">
        <v>16</v>
      </c>
      <c r="D14324" s="5" t="s">
        <v>13788</v>
      </c>
      <c r="E14324" s="6" t="str">
        <f>HYPERLINK("https://twitter.com/petrogustavo/status/1390493541839814656","1390493541839814656")</f>
        <v>1390493541839814656</v>
      </c>
      <c r="F14324" s="7" t="s">
        <v>17</v>
      </c>
      <c r="G14324" s="7">
        <v>4214323</v>
      </c>
      <c r="H14324" s="7">
        <v>2511</v>
      </c>
      <c r="I14324" s="7">
        <v>642</v>
      </c>
      <c r="J14324" s="7">
        <v>0</v>
      </c>
      <c r="K14324" s="7" t="s">
        <v>18</v>
      </c>
      <c r="L14324" s="8">
        <v>39987.315405092595</v>
      </c>
      <c r="M14324" s="9" t="s">
        <v>19</v>
      </c>
      <c r="N14324" s="9" t="s">
        <v>20</v>
      </c>
      <c r="O14324" s="6" t="str">
        <f>HYPERLINK("https://pbs.twimg.com/profile_images/962471262747529216/Uo8lOkRJ_normal.jpg","View")</f>
        <v>View</v>
      </c>
      <c r="P14324" s="7"/>
    </row>
    <row r="14325" spans="1:16">
      <c r="A14325" s="3">
        <v>44323.332858796297</v>
      </c>
      <c r="B14325" s="4" t="str">
        <f>HYPERLINK("https://twitter.com/petrogustavo","@petrogustavo")</f>
        <v>@petrogustavo</v>
      </c>
      <c r="C14325" s="5" t="s">
        <v>16</v>
      </c>
      <c r="D14325" s="5" t="s">
        <v>13789</v>
      </c>
      <c r="E14325" s="6" t="str">
        <f>HYPERLINK("https://twitter.com/petrogustavo/status/1390493922569424896","1390493922569424896")</f>
        <v>1390493922569424896</v>
      </c>
      <c r="F14325" s="7" t="s">
        <v>17</v>
      </c>
      <c r="G14325" s="7">
        <v>4214323</v>
      </c>
      <c r="H14325" s="7">
        <v>2511</v>
      </c>
      <c r="I14325" s="7">
        <v>163</v>
      </c>
      <c r="J14325" s="7">
        <v>563</v>
      </c>
      <c r="K14325" s="7" t="s">
        <v>18</v>
      </c>
      <c r="L14325" s="8">
        <v>39987.315405092595</v>
      </c>
      <c r="M14325" s="9" t="s">
        <v>19</v>
      </c>
      <c r="N14325" s="9" t="s">
        <v>20</v>
      </c>
      <c r="O14325" s="6" t="str">
        <f>HYPERLINK("https://pbs.twimg.com/profile_images/962471262747529216/Uo8lOkRJ_normal.jpg","View")</f>
        <v>View</v>
      </c>
      <c r="P14325" s="7"/>
    </row>
    <row r="14326" spans="1:16">
      <c r="A14326" s="3">
        <v>44323.344560185185</v>
      </c>
      <c r="B14326" s="4" t="str">
        <f>HYPERLINK("https://twitter.com/petrogustavo","@petrogustavo")</f>
        <v>@petrogustavo</v>
      </c>
      <c r="C14326" s="5" t="s">
        <v>16</v>
      </c>
      <c r="D14326" s="5" t="s">
        <v>13790</v>
      </c>
      <c r="E14326" s="6" t="str">
        <f>HYPERLINK("https://twitter.com/petrogustavo/status/1390498160485748736","1390498160485748736")</f>
        <v>1390498160485748736</v>
      </c>
      <c r="F14326" s="7" t="s">
        <v>17</v>
      </c>
      <c r="G14326" s="7">
        <v>4214689</v>
      </c>
      <c r="H14326" s="7">
        <v>2511</v>
      </c>
      <c r="I14326" s="7">
        <v>607</v>
      </c>
      <c r="J14326" s="7">
        <v>0</v>
      </c>
      <c r="K14326" s="7" t="s">
        <v>18</v>
      </c>
      <c r="L14326" s="8">
        <v>39987.315405092595</v>
      </c>
      <c r="M14326" s="9" t="s">
        <v>19</v>
      </c>
      <c r="N14326" s="9" t="s">
        <v>20</v>
      </c>
      <c r="O14326" s="6" t="str">
        <f>HYPERLINK("https://pbs.twimg.com/profile_images/962471262747529216/Uo8lOkRJ_normal.jpg","View")</f>
        <v>View</v>
      </c>
      <c r="P14326" s="7"/>
    </row>
    <row r="14327" spans="1:16">
      <c r="A14327" s="3">
        <v>44323.351724537039</v>
      </c>
      <c r="B14327" s="4" t="str">
        <f>HYPERLINK("https://twitter.com/petrogustavo","@petrogustavo")</f>
        <v>@petrogustavo</v>
      </c>
      <c r="C14327" s="5" t="s">
        <v>16</v>
      </c>
      <c r="D14327" s="5" t="s">
        <v>13791</v>
      </c>
      <c r="E14327" s="6" t="str">
        <f>HYPERLINK("https://twitter.com/petrogustavo/status/1390500756420190209","1390500756420190209")</f>
        <v>1390500756420190209</v>
      </c>
      <c r="F14327" s="7" t="s">
        <v>17</v>
      </c>
      <c r="G14327" s="7">
        <v>4214689</v>
      </c>
      <c r="H14327" s="7">
        <v>2511</v>
      </c>
      <c r="I14327" s="7">
        <v>875</v>
      </c>
      <c r="J14327" s="7">
        <v>0</v>
      </c>
      <c r="K14327" s="7" t="s">
        <v>18</v>
      </c>
      <c r="L14327" s="8">
        <v>39987.315405092595</v>
      </c>
      <c r="M14327" s="9" t="s">
        <v>19</v>
      </c>
      <c r="N14327" s="9" t="s">
        <v>20</v>
      </c>
      <c r="O14327" s="6" t="str">
        <f>HYPERLINK("https://pbs.twimg.com/profile_images/962471262747529216/Uo8lOkRJ_normal.jpg","View")</f>
        <v>View</v>
      </c>
      <c r="P14327" s="7"/>
    </row>
    <row r="14328" spans="1:16">
      <c r="A14328" s="3">
        <v>44323.356006944443</v>
      </c>
      <c r="B14328" s="4" t="str">
        <f>HYPERLINK("https://twitter.com/petrogustavo","@petrogustavo")</f>
        <v>@petrogustavo</v>
      </c>
      <c r="C14328" s="5" t="s">
        <v>16</v>
      </c>
      <c r="D14328" s="5" t="s">
        <v>13792</v>
      </c>
      <c r="E14328" s="6" t="str">
        <f>HYPERLINK("https://twitter.com/petrogustavo/status/1390502308702789634","1390502308702789634")</f>
        <v>1390502308702789634</v>
      </c>
      <c r="F14328" s="7" t="s">
        <v>17</v>
      </c>
      <c r="G14328" s="7">
        <v>4214989</v>
      </c>
      <c r="H14328" s="7">
        <v>2511</v>
      </c>
      <c r="I14328" s="7">
        <v>4480</v>
      </c>
      <c r="J14328" s="7">
        <v>0</v>
      </c>
      <c r="K14328" s="7" t="s">
        <v>18</v>
      </c>
      <c r="L14328" s="8">
        <v>39987.315405092595</v>
      </c>
      <c r="M14328" s="9" t="s">
        <v>19</v>
      </c>
      <c r="N14328" s="9" t="s">
        <v>20</v>
      </c>
      <c r="O14328" s="6" t="str">
        <f>HYPERLINK("https://pbs.twimg.com/profile_images/962471262747529216/Uo8lOkRJ_normal.jpg","View")</f>
        <v>View</v>
      </c>
      <c r="P14328" s="7"/>
    </row>
    <row r="14329" spans="1:16">
      <c r="A14329" s="3">
        <v>44323.359328703707</v>
      </c>
      <c r="B14329" s="4" t="str">
        <f>HYPERLINK("https://twitter.com/petrogustavo","@petrogustavo")</f>
        <v>@petrogustavo</v>
      </c>
      <c r="C14329" s="5" t="s">
        <v>16</v>
      </c>
      <c r="D14329" s="5" t="s">
        <v>13793</v>
      </c>
      <c r="E14329" s="6" t="str">
        <f>HYPERLINK("https://twitter.com/petrogustavo/status/1390503514946818048","1390503514946818048")</f>
        <v>1390503514946818048</v>
      </c>
      <c r="F14329" s="7" t="s">
        <v>17</v>
      </c>
      <c r="G14329" s="7">
        <v>4214989</v>
      </c>
      <c r="H14329" s="7">
        <v>2511</v>
      </c>
      <c r="I14329" s="7">
        <v>2399</v>
      </c>
      <c r="J14329" s="7">
        <v>0</v>
      </c>
      <c r="K14329" s="7" t="s">
        <v>18</v>
      </c>
      <c r="L14329" s="8">
        <v>39987.315405092595</v>
      </c>
      <c r="M14329" s="9" t="s">
        <v>19</v>
      </c>
      <c r="N14329" s="9" t="s">
        <v>20</v>
      </c>
      <c r="O14329" s="6" t="str">
        <f>HYPERLINK("https://pbs.twimg.com/profile_images/962471262747529216/Uo8lOkRJ_normal.jpg","View")</f>
        <v>View</v>
      </c>
      <c r="P14329" s="7"/>
    </row>
    <row r="14330" spans="1:16">
      <c r="A14330" s="3">
        <v>44323.364039351851</v>
      </c>
      <c r="B14330" s="4" t="str">
        <f>HYPERLINK("https://twitter.com/petrogustavo","@petrogustavo")</f>
        <v>@petrogustavo</v>
      </c>
      <c r="C14330" s="5" t="s">
        <v>16</v>
      </c>
      <c r="D14330" s="5" t="s">
        <v>13794</v>
      </c>
      <c r="E14330" s="6" t="str">
        <f>HYPERLINK("https://twitter.com/petrogustavo/status/1390505219524530176","1390505219524530176")</f>
        <v>1390505219524530176</v>
      </c>
      <c r="F14330" s="7" t="s">
        <v>17</v>
      </c>
      <c r="G14330" s="7">
        <v>4214989</v>
      </c>
      <c r="H14330" s="7">
        <v>2511</v>
      </c>
      <c r="I14330" s="7">
        <v>9661</v>
      </c>
      <c r="J14330" s="7">
        <v>0</v>
      </c>
      <c r="K14330" s="7" t="s">
        <v>18</v>
      </c>
      <c r="L14330" s="8">
        <v>39987.315405092595</v>
      </c>
      <c r="M14330" s="9" t="s">
        <v>19</v>
      </c>
      <c r="N14330" s="9" t="s">
        <v>20</v>
      </c>
      <c r="O14330" s="6" t="str">
        <f>HYPERLINK("https://pbs.twimg.com/profile_images/962471262747529216/Uo8lOkRJ_normal.jpg","View")</f>
        <v>View</v>
      </c>
      <c r="P14330" s="7"/>
    </row>
    <row r="14331" spans="1:16">
      <c r="A14331" s="3">
        <v>44323.367731481485</v>
      </c>
      <c r="B14331" s="4" t="str">
        <f>HYPERLINK("https://twitter.com/petrogustavo","@petrogustavo")</f>
        <v>@petrogustavo</v>
      </c>
      <c r="C14331" s="5" t="s">
        <v>16</v>
      </c>
      <c r="D14331" s="5" t="s">
        <v>13795</v>
      </c>
      <c r="E14331" s="6" t="str">
        <f>HYPERLINK("https://twitter.com/petrogustavo/status/1390506556366757888","1390506556366757888")</f>
        <v>1390506556366757888</v>
      </c>
      <c r="F14331" s="7" t="s">
        <v>17</v>
      </c>
      <c r="G14331" s="7">
        <v>4214989</v>
      </c>
      <c r="H14331" s="7">
        <v>2511</v>
      </c>
      <c r="I14331" s="7">
        <v>485</v>
      </c>
      <c r="J14331" s="7">
        <v>1387</v>
      </c>
      <c r="K14331" s="7" t="s">
        <v>18</v>
      </c>
      <c r="L14331" s="8">
        <v>39987.315405092595</v>
      </c>
      <c r="M14331" s="9" t="s">
        <v>19</v>
      </c>
      <c r="N14331" s="9" t="s">
        <v>20</v>
      </c>
      <c r="O14331" s="6" t="str">
        <f>HYPERLINK("https://pbs.twimg.com/profile_images/962471262747529216/Uo8lOkRJ_normal.jpg","View")</f>
        <v>View</v>
      </c>
      <c r="P14331" s="7"/>
    </row>
    <row r="14332" spans="1:16">
      <c r="A14332" s="3">
        <v>44323.378159722226</v>
      </c>
      <c r="B14332" s="4" t="str">
        <f>HYPERLINK("https://twitter.com/petrogustavo","@petrogustavo")</f>
        <v>@petrogustavo</v>
      </c>
      <c r="C14332" s="5" t="s">
        <v>16</v>
      </c>
      <c r="D14332" s="5" t="s">
        <v>13796</v>
      </c>
      <c r="E14332" s="6" t="str">
        <f>HYPERLINK("https://twitter.com/petrogustavo/status/1390510338051907585","1390510338051907585")</f>
        <v>1390510338051907585</v>
      </c>
      <c r="F14332" s="7" t="s">
        <v>17</v>
      </c>
      <c r="G14332" s="7">
        <v>4215300</v>
      </c>
      <c r="H14332" s="7">
        <v>2511</v>
      </c>
      <c r="I14332" s="7">
        <v>1026</v>
      </c>
      <c r="J14332" s="7">
        <v>2283</v>
      </c>
      <c r="K14332" s="7" t="s">
        <v>18</v>
      </c>
      <c r="L14332" s="8">
        <v>39987.315405092595</v>
      </c>
      <c r="M14332" s="9" t="s">
        <v>19</v>
      </c>
      <c r="N14332" s="9" t="s">
        <v>20</v>
      </c>
      <c r="O14332" s="6" t="str">
        <f>HYPERLINK("https://pbs.twimg.com/profile_images/962471262747529216/Uo8lOkRJ_normal.jpg","View")</f>
        <v>View</v>
      </c>
      <c r="P14332" s="7"/>
    </row>
    <row r="14333" spans="1:16">
      <c r="A14333" s="3">
        <v>44323.381053240737</v>
      </c>
      <c r="B14333" s="4" t="str">
        <f>HYPERLINK("https://twitter.com/petrogustavo","@petrogustavo")</f>
        <v>@petrogustavo</v>
      </c>
      <c r="C14333" s="5" t="s">
        <v>16</v>
      </c>
      <c r="D14333" s="5" t="s">
        <v>13797</v>
      </c>
      <c r="E14333" s="6" t="str">
        <f>HYPERLINK("https://twitter.com/petrogustavo/status/1390511386850177026","1390511386850177026")</f>
        <v>1390511386850177026</v>
      </c>
      <c r="F14333" s="7" t="s">
        <v>17</v>
      </c>
      <c r="G14333" s="7">
        <v>4215300</v>
      </c>
      <c r="H14333" s="7">
        <v>2511</v>
      </c>
      <c r="I14333" s="7">
        <v>1491</v>
      </c>
      <c r="J14333" s="7">
        <v>0</v>
      </c>
      <c r="K14333" s="7" t="s">
        <v>18</v>
      </c>
      <c r="L14333" s="8">
        <v>39987.315405092595</v>
      </c>
      <c r="M14333" s="9" t="s">
        <v>19</v>
      </c>
      <c r="N14333" s="9" t="s">
        <v>20</v>
      </c>
      <c r="O14333" s="6" t="str">
        <f>HYPERLINK("https://pbs.twimg.com/profile_images/962471262747529216/Uo8lOkRJ_normal.jpg","View")</f>
        <v>View</v>
      </c>
      <c r="P14333" s="7"/>
    </row>
    <row r="14334" spans="1:16">
      <c r="A14334" s="3">
        <v>44323.389479166668</v>
      </c>
      <c r="B14334" s="4" t="str">
        <f>HYPERLINK("https://twitter.com/petrogustavo","@petrogustavo")</f>
        <v>@petrogustavo</v>
      </c>
      <c r="C14334" s="5" t="s">
        <v>16</v>
      </c>
      <c r="D14334" s="5" t="s">
        <v>13798</v>
      </c>
      <c r="E14334" s="6" t="str">
        <f>HYPERLINK("https://twitter.com/petrogustavo/status/1390514438575464448","1390514438575464448")</f>
        <v>1390514438575464448</v>
      </c>
      <c r="F14334" s="7" t="s">
        <v>17</v>
      </c>
      <c r="G14334" s="7">
        <v>4215300</v>
      </c>
      <c r="H14334" s="7">
        <v>2511</v>
      </c>
      <c r="I14334" s="7">
        <v>515</v>
      </c>
      <c r="J14334" s="7">
        <v>1320</v>
      </c>
      <c r="K14334" s="7" t="s">
        <v>18</v>
      </c>
      <c r="L14334" s="8">
        <v>39987.315405092595</v>
      </c>
      <c r="M14334" s="9" t="s">
        <v>19</v>
      </c>
      <c r="N14334" s="9" t="s">
        <v>20</v>
      </c>
      <c r="O14334" s="6" t="str">
        <f>HYPERLINK("https://pbs.twimg.com/profile_images/962471262747529216/Uo8lOkRJ_normal.jpg","View")</f>
        <v>View</v>
      </c>
      <c r="P14334" s="7"/>
    </row>
    <row r="14335" spans="1:16">
      <c r="A14335" s="3">
        <v>44323.394918981481</v>
      </c>
      <c r="B14335" s="4" t="str">
        <f>HYPERLINK("https://twitter.com/petrogustavo","@petrogustavo")</f>
        <v>@petrogustavo</v>
      </c>
      <c r="C14335" s="5" t="s">
        <v>16</v>
      </c>
      <c r="D14335" s="5" t="s">
        <v>13799</v>
      </c>
      <c r="E14335" s="6" t="str">
        <f>HYPERLINK("https://twitter.com/petrogustavo/status/1390516409445269505","1390516409445269505")</f>
        <v>1390516409445269505</v>
      </c>
      <c r="F14335" s="7" t="s">
        <v>17</v>
      </c>
      <c r="G14335" s="7">
        <v>4215300</v>
      </c>
      <c r="H14335" s="7">
        <v>2511</v>
      </c>
      <c r="I14335" s="7">
        <v>170</v>
      </c>
      <c r="J14335" s="7">
        <v>600</v>
      </c>
      <c r="K14335" s="7" t="s">
        <v>18</v>
      </c>
      <c r="L14335" s="8">
        <v>39987.315405092595</v>
      </c>
      <c r="M14335" s="9" t="s">
        <v>19</v>
      </c>
      <c r="N14335" s="9" t="s">
        <v>20</v>
      </c>
      <c r="O14335" s="6" t="str">
        <f>HYPERLINK("https://pbs.twimg.com/profile_images/962471262747529216/Uo8lOkRJ_normal.jpg","View")</f>
        <v>View</v>
      </c>
      <c r="P14335" s="7"/>
    </row>
    <row r="14336" spans="1:16">
      <c r="A14336" s="3">
        <v>44323.400277777779</v>
      </c>
      <c r="B14336" s="4" t="str">
        <f>HYPERLINK("https://twitter.com/petrogustavo","@petrogustavo")</f>
        <v>@petrogustavo</v>
      </c>
      <c r="C14336" s="5" t="s">
        <v>16</v>
      </c>
      <c r="D14336" s="5" t="s">
        <v>13800</v>
      </c>
      <c r="E14336" s="6" t="str">
        <f>HYPERLINK("https://twitter.com/petrogustavo/status/1390518350590189570","1390518350590189570")</f>
        <v>1390518350590189570</v>
      </c>
      <c r="F14336" s="7" t="s">
        <v>17</v>
      </c>
      <c r="G14336" s="7">
        <v>4215595</v>
      </c>
      <c r="H14336" s="7">
        <v>2511</v>
      </c>
      <c r="I14336" s="7">
        <v>623</v>
      </c>
      <c r="J14336" s="7">
        <v>911</v>
      </c>
      <c r="K14336" s="7" t="s">
        <v>18</v>
      </c>
      <c r="L14336" s="8">
        <v>39987.315405092595</v>
      </c>
      <c r="M14336" s="9" t="s">
        <v>19</v>
      </c>
      <c r="N14336" s="9" t="s">
        <v>20</v>
      </c>
      <c r="O14336" s="6" t="str">
        <f>HYPERLINK("https://pbs.twimg.com/profile_images/962471262747529216/Uo8lOkRJ_normal.jpg","View")</f>
        <v>View</v>
      </c>
      <c r="P14336" s="7"/>
    </row>
    <row r="14337" spans="1:16">
      <c r="A14337" s="3">
        <v>44323.403356481482</v>
      </c>
      <c r="B14337" s="4" t="str">
        <f>HYPERLINK("https://twitter.com/petrogustavo","@petrogustavo")</f>
        <v>@petrogustavo</v>
      </c>
      <c r="C14337" s="5" t="s">
        <v>16</v>
      </c>
      <c r="D14337" s="5" t="s">
        <v>13801</v>
      </c>
      <c r="E14337" s="6" t="str">
        <f>HYPERLINK("https://twitter.com/petrogustavo/status/1390519466245623815","1390519466245623815")</f>
        <v>1390519466245623815</v>
      </c>
      <c r="F14337" s="7" t="s">
        <v>17</v>
      </c>
      <c r="G14337" s="7">
        <v>4215595</v>
      </c>
      <c r="H14337" s="7">
        <v>2511</v>
      </c>
      <c r="I14337" s="7">
        <v>1235</v>
      </c>
      <c r="J14337" s="7">
        <v>3537</v>
      </c>
      <c r="K14337" s="7" t="s">
        <v>18</v>
      </c>
      <c r="L14337" s="8">
        <v>39987.315405092595</v>
      </c>
      <c r="M14337" s="9" t="s">
        <v>19</v>
      </c>
      <c r="N14337" s="9" t="s">
        <v>20</v>
      </c>
      <c r="O14337" s="6" t="str">
        <f>HYPERLINK("https://pbs.twimg.com/profile_images/962471262747529216/Uo8lOkRJ_normal.jpg","View")</f>
        <v>View</v>
      </c>
      <c r="P14337" s="7"/>
    </row>
    <row r="14338" spans="1:16">
      <c r="A14338" s="3">
        <v>44323.407118055555</v>
      </c>
      <c r="B14338" s="4" t="str">
        <f>HYPERLINK("https://twitter.com/petrogustavo","@petrogustavo")</f>
        <v>@petrogustavo</v>
      </c>
      <c r="C14338" s="5" t="s">
        <v>16</v>
      </c>
      <c r="D14338" s="5" t="s">
        <v>13802</v>
      </c>
      <c r="E14338" s="6" t="str">
        <f>HYPERLINK("https://twitter.com/petrogustavo/status/1390520830195642369","1390520830195642369")</f>
        <v>1390520830195642369</v>
      </c>
      <c r="F14338" s="7" t="s">
        <v>17</v>
      </c>
      <c r="G14338" s="7">
        <v>4215595</v>
      </c>
      <c r="H14338" s="7">
        <v>2511</v>
      </c>
      <c r="I14338" s="7">
        <v>335</v>
      </c>
      <c r="J14338" s="7">
        <v>1151</v>
      </c>
      <c r="K14338" s="7" t="s">
        <v>18</v>
      </c>
      <c r="L14338" s="8">
        <v>39987.315405092595</v>
      </c>
      <c r="M14338" s="9" t="s">
        <v>19</v>
      </c>
      <c r="N14338" s="9" t="s">
        <v>20</v>
      </c>
      <c r="O14338" s="6" t="str">
        <f>HYPERLINK("https://pbs.twimg.com/profile_images/962471262747529216/Uo8lOkRJ_normal.jpg","View")</f>
        <v>View</v>
      </c>
      <c r="P14338" s="7"/>
    </row>
    <row r="14339" spans="1:16">
      <c r="A14339" s="3">
        <v>44323.4137037037</v>
      </c>
      <c r="B14339" s="4" t="str">
        <f>HYPERLINK("https://twitter.com/petrogustavo","@petrogustavo")</f>
        <v>@petrogustavo</v>
      </c>
      <c r="C14339" s="5" t="s">
        <v>16</v>
      </c>
      <c r="D14339" s="5" t="s">
        <v>13803</v>
      </c>
      <c r="E14339" s="6" t="str">
        <f>HYPERLINK("https://twitter.com/petrogustavo/status/1390523217266229253","1390523217266229253")</f>
        <v>1390523217266229253</v>
      </c>
      <c r="F14339" s="7" t="s">
        <v>17</v>
      </c>
      <c r="G14339" s="7">
        <v>4215595</v>
      </c>
      <c r="H14339" s="7">
        <v>2511</v>
      </c>
      <c r="I14339" s="7">
        <v>334</v>
      </c>
      <c r="J14339" s="7">
        <v>527</v>
      </c>
      <c r="K14339" s="7" t="s">
        <v>18</v>
      </c>
      <c r="L14339" s="8">
        <v>39987.315405092595</v>
      </c>
      <c r="M14339" s="9" t="s">
        <v>19</v>
      </c>
      <c r="N14339" s="9" t="s">
        <v>20</v>
      </c>
      <c r="O14339" s="6" t="str">
        <f>HYPERLINK("https://pbs.twimg.com/profile_images/962471262747529216/Uo8lOkRJ_normal.jpg","View")</f>
        <v>View</v>
      </c>
      <c r="P14339" s="7"/>
    </row>
    <row r="14340" spans="1:16">
      <c r="A14340" s="3">
        <v>44323.420266203699</v>
      </c>
      <c r="B14340" s="4" t="str">
        <f>HYPERLINK("https://twitter.com/petrogustavo","@petrogustavo")</f>
        <v>@petrogustavo</v>
      </c>
      <c r="C14340" s="5" t="s">
        <v>16</v>
      </c>
      <c r="D14340" s="5" t="s">
        <v>13804</v>
      </c>
      <c r="E14340" s="6" t="str">
        <f>HYPERLINK("https://twitter.com/petrogustavo/status/1390525595377876999","1390525595377876999")</f>
        <v>1390525595377876999</v>
      </c>
      <c r="F14340" s="7" t="s">
        <v>17</v>
      </c>
      <c r="G14340" s="7">
        <v>4215852</v>
      </c>
      <c r="H14340" s="7">
        <v>2511</v>
      </c>
      <c r="I14340" s="7">
        <v>686</v>
      </c>
      <c r="J14340" s="7">
        <v>1179</v>
      </c>
      <c r="K14340" s="7" t="s">
        <v>18</v>
      </c>
      <c r="L14340" s="8">
        <v>39987.315405092595</v>
      </c>
      <c r="M14340" s="9" t="s">
        <v>19</v>
      </c>
      <c r="N14340" s="9" t="s">
        <v>20</v>
      </c>
      <c r="O14340" s="6" t="str">
        <f>HYPERLINK("https://pbs.twimg.com/profile_images/962471262747529216/Uo8lOkRJ_normal.jpg","View")</f>
        <v>View</v>
      </c>
      <c r="P14340" s="7"/>
    </row>
    <row r="14341" spans="1:16">
      <c r="A14341" s="3">
        <v>44323.423171296294</v>
      </c>
      <c r="B14341" s="4" t="str">
        <f>HYPERLINK("https://twitter.com/petrogustavo","@petrogustavo")</f>
        <v>@petrogustavo</v>
      </c>
      <c r="C14341" s="5" t="s">
        <v>16</v>
      </c>
      <c r="D14341" s="5" t="s">
        <v>13805</v>
      </c>
      <c r="E14341" s="6" t="str">
        <f>HYPERLINK("https://twitter.com/petrogustavo/status/1390526648123109378","1390526648123109378")</f>
        <v>1390526648123109378</v>
      </c>
      <c r="F14341" s="7" t="s">
        <v>17</v>
      </c>
      <c r="G14341" s="7">
        <v>4215852</v>
      </c>
      <c r="H14341" s="7">
        <v>2511</v>
      </c>
      <c r="I14341" s="7">
        <v>411</v>
      </c>
      <c r="J14341" s="7">
        <v>0</v>
      </c>
      <c r="K14341" s="7" t="s">
        <v>18</v>
      </c>
      <c r="L14341" s="8">
        <v>39987.315405092595</v>
      </c>
      <c r="M14341" s="9" t="s">
        <v>19</v>
      </c>
      <c r="N14341" s="9" t="s">
        <v>20</v>
      </c>
      <c r="O14341" s="6" t="str">
        <f>HYPERLINK("https://pbs.twimg.com/profile_images/962471262747529216/Uo8lOkRJ_normal.jpg","View")</f>
        <v>View</v>
      </c>
      <c r="P14341" s="7"/>
    </row>
    <row r="14342" spans="1:16">
      <c r="A14342" s="3">
        <v>44323.446284722224</v>
      </c>
      <c r="B14342" s="4" t="str">
        <f>HYPERLINK("https://twitter.com/petrogustavo","@petrogustavo")</f>
        <v>@petrogustavo</v>
      </c>
      <c r="C14342" s="5" t="s">
        <v>16</v>
      </c>
      <c r="D14342" s="5" t="s">
        <v>13806</v>
      </c>
      <c r="E14342" s="6" t="str">
        <f>HYPERLINK("https://twitter.com/petrogustavo/status/1390535025930690561","1390535025930690561")</f>
        <v>1390535025930690561</v>
      </c>
      <c r="F14342" s="7" t="s">
        <v>17</v>
      </c>
      <c r="G14342" s="7">
        <v>4215968</v>
      </c>
      <c r="H14342" s="7">
        <v>2511</v>
      </c>
      <c r="I14342" s="7">
        <v>14969</v>
      </c>
      <c r="J14342" s="7">
        <v>0</v>
      </c>
      <c r="K14342" s="7" t="s">
        <v>18</v>
      </c>
      <c r="L14342" s="8">
        <v>39987.315405092595</v>
      </c>
      <c r="M14342" s="9" t="s">
        <v>19</v>
      </c>
      <c r="N14342" s="9" t="s">
        <v>20</v>
      </c>
      <c r="O14342" s="6" t="str">
        <f>HYPERLINK("https://pbs.twimg.com/profile_images/962471262747529216/Uo8lOkRJ_normal.jpg","View")</f>
        <v>View</v>
      </c>
      <c r="P14342" s="7"/>
    </row>
    <row r="14343" spans="1:16">
      <c r="A14343" s="3">
        <v>44323.446377314816</v>
      </c>
      <c r="B14343" s="4" t="str">
        <f>HYPERLINK("https://twitter.com/petrogustavo","@petrogustavo")</f>
        <v>@petrogustavo</v>
      </c>
      <c r="C14343" s="5" t="s">
        <v>16</v>
      </c>
      <c r="D14343" s="5" t="s">
        <v>13807</v>
      </c>
      <c r="E14343" s="6" t="str">
        <f>HYPERLINK("https://twitter.com/petrogustavo/status/1390535058667229184","1390535058667229184")</f>
        <v>1390535058667229184</v>
      </c>
      <c r="F14343" s="7" t="s">
        <v>17</v>
      </c>
      <c r="G14343" s="7">
        <v>4215968</v>
      </c>
      <c r="H14343" s="7">
        <v>2511</v>
      </c>
      <c r="I14343" s="7">
        <v>10070</v>
      </c>
      <c r="J14343" s="7">
        <v>0</v>
      </c>
      <c r="K14343" s="7" t="s">
        <v>18</v>
      </c>
      <c r="L14343" s="8">
        <v>39987.315405092595</v>
      </c>
      <c r="M14343" s="9" t="s">
        <v>19</v>
      </c>
      <c r="N14343" s="9" t="s">
        <v>20</v>
      </c>
      <c r="O14343" s="6" t="str">
        <f>HYPERLINK("https://pbs.twimg.com/profile_images/962471262747529216/Uo8lOkRJ_normal.jpg","View")</f>
        <v>View</v>
      </c>
      <c r="P14343" s="7"/>
    </row>
    <row r="14344" spans="1:16">
      <c r="A14344" s="3">
        <v>44323.449004629627</v>
      </c>
      <c r="B14344" s="4" t="str">
        <f>HYPERLINK("https://twitter.com/petrogustavo","@petrogustavo")</f>
        <v>@petrogustavo</v>
      </c>
      <c r="C14344" s="5" t="s">
        <v>16</v>
      </c>
      <c r="D14344" s="5" t="s">
        <v>13808</v>
      </c>
      <c r="E14344" s="6" t="str">
        <f>HYPERLINK("https://twitter.com/petrogustavo/status/1390536009432109058","1390536009432109058")</f>
        <v>1390536009432109058</v>
      </c>
      <c r="F14344" s="7" t="s">
        <v>17</v>
      </c>
      <c r="G14344" s="7">
        <v>4215968</v>
      </c>
      <c r="H14344" s="7">
        <v>2511</v>
      </c>
      <c r="I14344" s="7">
        <v>929</v>
      </c>
      <c r="J14344" s="7">
        <v>0</v>
      </c>
      <c r="K14344" s="7" t="s">
        <v>18</v>
      </c>
      <c r="L14344" s="8">
        <v>39987.315405092595</v>
      </c>
      <c r="M14344" s="9" t="s">
        <v>19</v>
      </c>
      <c r="N14344" s="9" t="s">
        <v>20</v>
      </c>
      <c r="O14344" s="6" t="str">
        <f>HYPERLINK("https://pbs.twimg.com/profile_images/962471262747529216/Uo8lOkRJ_normal.jpg","View")</f>
        <v>View</v>
      </c>
      <c r="P14344" s="7"/>
    </row>
    <row r="14345" spans="1:16">
      <c r="A14345" s="3">
        <v>44323.455925925926</v>
      </c>
      <c r="B14345" s="4" t="str">
        <f>HYPERLINK("https://twitter.com/petrogustavo","@petrogustavo")</f>
        <v>@petrogustavo</v>
      </c>
      <c r="C14345" s="5" t="s">
        <v>16</v>
      </c>
      <c r="D14345" s="5" t="s">
        <v>13809</v>
      </c>
      <c r="E14345" s="6" t="str">
        <f>HYPERLINK("https://twitter.com/petrogustavo/status/1390538518045265922","1390538518045265922")</f>
        <v>1390538518045265922</v>
      </c>
      <c r="F14345" s="7" t="s">
        <v>17</v>
      </c>
      <c r="G14345" s="7">
        <v>4215968</v>
      </c>
      <c r="H14345" s="7">
        <v>2511</v>
      </c>
      <c r="I14345" s="7">
        <v>1008</v>
      </c>
      <c r="J14345" s="7">
        <v>0</v>
      </c>
      <c r="K14345" s="7" t="s">
        <v>18</v>
      </c>
      <c r="L14345" s="8">
        <v>39987.315405092595</v>
      </c>
      <c r="M14345" s="9" t="s">
        <v>19</v>
      </c>
      <c r="N14345" s="9" t="s">
        <v>20</v>
      </c>
      <c r="O14345" s="6" t="str">
        <f>HYPERLINK("https://pbs.twimg.com/profile_images/962471262747529216/Uo8lOkRJ_normal.jpg","View")</f>
        <v>View</v>
      </c>
      <c r="P14345" s="7"/>
    </row>
    <row r="14346" spans="1:16">
      <c r="A14346" s="3">
        <v>44323.456597222219</v>
      </c>
      <c r="B14346" s="4" t="str">
        <f>HYPERLINK("https://twitter.com/petrogustavo","@petrogustavo")</f>
        <v>@petrogustavo</v>
      </c>
      <c r="C14346" s="5" t="s">
        <v>16</v>
      </c>
      <c r="D14346" s="5" t="s">
        <v>13810</v>
      </c>
      <c r="E14346" s="6" t="str">
        <f>HYPERLINK("https://twitter.com/petrogustavo/status/1390538762745229313","1390538762745229313")</f>
        <v>1390538762745229313</v>
      </c>
      <c r="F14346" s="7" t="s">
        <v>17</v>
      </c>
      <c r="G14346" s="7">
        <v>4215968</v>
      </c>
      <c r="H14346" s="7">
        <v>2511</v>
      </c>
      <c r="I14346" s="7">
        <v>467</v>
      </c>
      <c r="J14346" s="7">
        <v>0</v>
      </c>
      <c r="K14346" s="7" t="s">
        <v>18</v>
      </c>
      <c r="L14346" s="8">
        <v>39987.315405092595</v>
      </c>
      <c r="M14346" s="9" t="s">
        <v>19</v>
      </c>
      <c r="N14346" s="9" t="s">
        <v>20</v>
      </c>
      <c r="O14346" s="6" t="str">
        <f>HYPERLINK("https://pbs.twimg.com/profile_images/962471262747529216/Uo8lOkRJ_normal.jpg","View")</f>
        <v>View</v>
      </c>
      <c r="P14346" s="7"/>
    </row>
    <row r="14347" spans="1:16">
      <c r="A14347" s="3">
        <v>44323.462673611109</v>
      </c>
      <c r="B14347" s="4" t="str">
        <f>HYPERLINK("https://twitter.com/petrogustavo","@petrogustavo")</f>
        <v>@petrogustavo</v>
      </c>
      <c r="C14347" s="5" t="s">
        <v>16</v>
      </c>
      <c r="D14347" s="5" t="s">
        <v>13811</v>
      </c>
      <c r="E14347" s="6" t="str">
        <f>HYPERLINK("https://twitter.com/petrogustavo/status/1390540965899821060","1390540965899821060")</f>
        <v>1390540965899821060</v>
      </c>
      <c r="F14347" s="7" t="s">
        <v>17</v>
      </c>
      <c r="G14347" s="7">
        <v>4216166</v>
      </c>
      <c r="H14347" s="7">
        <v>2511</v>
      </c>
      <c r="I14347" s="7">
        <v>737</v>
      </c>
      <c r="J14347" s="7">
        <v>1371</v>
      </c>
      <c r="K14347" s="7" t="s">
        <v>18</v>
      </c>
      <c r="L14347" s="8">
        <v>39987.315405092595</v>
      </c>
      <c r="M14347" s="9" t="s">
        <v>19</v>
      </c>
      <c r="N14347" s="9" t="s">
        <v>20</v>
      </c>
      <c r="O14347" s="6" t="str">
        <f>HYPERLINK("https://pbs.twimg.com/profile_images/962471262747529216/Uo8lOkRJ_normal.jpg","View")</f>
        <v>View</v>
      </c>
      <c r="P14347" s="7"/>
    </row>
    <row r="14348" spans="1:16">
      <c r="A14348" s="3">
        <v>44323.468506944446</v>
      </c>
      <c r="B14348" s="4" t="str">
        <f>HYPERLINK("https://twitter.com/petrogustavo","@petrogustavo")</f>
        <v>@petrogustavo</v>
      </c>
      <c r="C14348" s="5" t="s">
        <v>16</v>
      </c>
      <c r="D14348" s="5" t="s">
        <v>13812</v>
      </c>
      <c r="E14348" s="6" t="str">
        <f>HYPERLINK("https://twitter.com/petrogustavo/status/1390543078860201984","1390543078860201984")</f>
        <v>1390543078860201984</v>
      </c>
      <c r="F14348" s="7" t="s">
        <v>17</v>
      </c>
      <c r="G14348" s="7">
        <v>4216166</v>
      </c>
      <c r="H14348" s="7">
        <v>2511</v>
      </c>
      <c r="I14348" s="7">
        <v>225</v>
      </c>
      <c r="J14348" s="7">
        <v>555</v>
      </c>
      <c r="K14348" s="7" t="s">
        <v>18</v>
      </c>
      <c r="L14348" s="8">
        <v>39987.315405092595</v>
      </c>
      <c r="M14348" s="9" t="s">
        <v>19</v>
      </c>
      <c r="N14348" s="9" t="s">
        <v>20</v>
      </c>
      <c r="O14348" s="6" t="str">
        <f>HYPERLINK("https://pbs.twimg.com/profile_images/962471262747529216/Uo8lOkRJ_normal.jpg","View")</f>
        <v>View</v>
      </c>
      <c r="P14348" s="7"/>
    </row>
    <row r="14349" spans="1:16">
      <c r="A14349" s="3">
        <v>44323.4762037037</v>
      </c>
      <c r="B14349" s="4" t="str">
        <f>HYPERLINK("https://twitter.com/petrogustavo","@petrogustavo")</f>
        <v>@petrogustavo</v>
      </c>
      <c r="C14349" s="5" t="s">
        <v>16</v>
      </c>
      <c r="D14349" s="5" t="s">
        <v>13813</v>
      </c>
      <c r="E14349" s="6" t="str">
        <f>HYPERLINK("https://twitter.com/petrogustavo/status/1390545865568292864","1390545865568292864")</f>
        <v>1390545865568292864</v>
      </c>
      <c r="F14349" s="7" t="s">
        <v>17</v>
      </c>
      <c r="G14349" s="7">
        <v>4216166</v>
      </c>
      <c r="H14349" s="7">
        <v>2511</v>
      </c>
      <c r="I14349" s="7">
        <v>220</v>
      </c>
      <c r="J14349" s="7">
        <v>345</v>
      </c>
      <c r="K14349" s="7" t="s">
        <v>18</v>
      </c>
      <c r="L14349" s="8">
        <v>39987.315405092595</v>
      </c>
      <c r="M14349" s="9" t="s">
        <v>19</v>
      </c>
      <c r="N14349" s="9" t="s">
        <v>20</v>
      </c>
      <c r="O14349" s="6" t="str">
        <f>HYPERLINK("https://pbs.twimg.com/profile_images/962471262747529216/Uo8lOkRJ_normal.jpg","View")</f>
        <v>View</v>
      </c>
      <c r="P14349" s="7"/>
    </row>
    <row r="14350" spans="1:16">
      <c r="A14350" s="3">
        <v>44323.477152777778</v>
      </c>
      <c r="B14350" s="4" t="str">
        <f>HYPERLINK("https://twitter.com/petrogustavo","@petrogustavo")</f>
        <v>@petrogustavo</v>
      </c>
      <c r="C14350" s="5" t="s">
        <v>16</v>
      </c>
      <c r="D14350" s="5" t="s">
        <v>13814</v>
      </c>
      <c r="E14350" s="6" t="str">
        <f>HYPERLINK("https://twitter.com/petrogustavo/status/1390546212881944577","1390546212881944577")</f>
        <v>1390546212881944577</v>
      </c>
      <c r="F14350" s="7" t="s">
        <v>17</v>
      </c>
      <c r="G14350" s="7">
        <v>4216166</v>
      </c>
      <c r="H14350" s="7">
        <v>2511</v>
      </c>
      <c r="I14350" s="7">
        <v>162</v>
      </c>
      <c r="J14350" s="7">
        <v>349</v>
      </c>
      <c r="K14350" s="7" t="s">
        <v>18</v>
      </c>
      <c r="L14350" s="8">
        <v>39987.315405092595</v>
      </c>
      <c r="M14350" s="9" t="s">
        <v>19</v>
      </c>
      <c r="N14350" s="9" t="s">
        <v>20</v>
      </c>
      <c r="O14350" s="6" t="str">
        <f>HYPERLINK("https://pbs.twimg.com/profile_images/962471262747529216/Uo8lOkRJ_normal.jpg","View")</f>
        <v>View</v>
      </c>
      <c r="P14350" s="7"/>
    </row>
    <row r="14351" spans="1:16">
      <c r="A14351" s="3">
        <v>44324.779189814813</v>
      </c>
      <c r="B14351" s="4" t="str">
        <f>HYPERLINK("https://twitter.com/petrogustavo","@petrogustavo")</f>
        <v>@petrogustavo</v>
      </c>
      <c r="C14351" s="5" t="s">
        <v>16</v>
      </c>
      <c r="D14351" s="5" t="s">
        <v>13815</v>
      </c>
      <c r="E14351" s="6" t="str">
        <f>HYPERLINK("https://twitter.com/petrogustavo/status/1391018051643092993","1391018051643092993")</f>
        <v>1391018051643092993</v>
      </c>
      <c r="F14351" s="7" t="s">
        <v>17</v>
      </c>
      <c r="G14351" s="7">
        <v>4223609</v>
      </c>
      <c r="H14351" s="7">
        <v>2511</v>
      </c>
      <c r="I14351" s="7">
        <v>198</v>
      </c>
      <c r="J14351" s="7">
        <v>0</v>
      </c>
      <c r="K14351" s="7" t="s">
        <v>18</v>
      </c>
      <c r="L14351" s="8">
        <v>39987.315405092595</v>
      </c>
      <c r="M14351" s="9" t="s">
        <v>19</v>
      </c>
      <c r="N14351" s="9" t="s">
        <v>20</v>
      </c>
      <c r="O14351" s="6" t="str">
        <f>HYPERLINK("https://pbs.twimg.com/profile_images/962471262747529216/Uo8lOkRJ_normal.jpg","View")</f>
        <v>View</v>
      </c>
      <c r="P14351" s="7"/>
    </row>
    <row r="14352" spans="1:16">
      <c r="A14352" s="3">
        <v>44324.783888888887</v>
      </c>
      <c r="B14352" s="4" t="str">
        <f>HYPERLINK("https://twitter.com/petrogustavo","@petrogustavo")</f>
        <v>@petrogustavo</v>
      </c>
      <c r="C14352" s="5" t="s">
        <v>16</v>
      </c>
      <c r="D14352" s="5" t="s">
        <v>13816</v>
      </c>
      <c r="E14352" s="6" t="str">
        <f>HYPERLINK("https://twitter.com/petrogustavo/status/1391019754878607364","1391019754878607364")</f>
        <v>1391019754878607364</v>
      </c>
      <c r="F14352" s="7" t="s">
        <v>17</v>
      </c>
      <c r="G14352" s="7">
        <v>4223609</v>
      </c>
      <c r="H14352" s="7">
        <v>2511</v>
      </c>
      <c r="I14352" s="7">
        <v>211</v>
      </c>
      <c r="J14352" s="7">
        <v>0</v>
      </c>
      <c r="K14352" s="7" t="s">
        <v>18</v>
      </c>
      <c r="L14352" s="8">
        <v>39987.315405092595</v>
      </c>
      <c r="M14352" s="9" t="s">
        <v>19</v>
      </c>
      <c r="N14352" s="9" t="s">
        <v>20</v>
      </c>
      <c r="O14352" s="6" t="str">
        <f>HYPERLINK("https://pbs.twimg.com/profile_images/962471262747529216/Uo8lOkRJ_normal.jpg","View")</f>
        <v>View</v>
      </c>
      <c r="P14352" s="7"/>
    </row>
    <row r="14353" spans="1:16">
      <c r="A14353" s="3">
        <v>44324.882592592592</v>
      </c>
      <c r="B14353" s="4" t="str">
        <f>HYPERLINK("https://twitter.com/petrogustavo","@petrogustavo")</f>
        <v>@petrogustavo</v>
      </c>
      <c r="C14353" s="5" t="s">
        <v>16</v>
      </c>
      <c r="D14353" s="5" t="s">
        <v>13817</v>
      </c>
      <c r="E14353" s="6" t="str">
        <f>HYPERLINK("https://twitter.com/petrogustavo/status/1391055524360245256","1391055524360245256")</f>
        <v>1391055524360245256</v>
      </c>
      <c r="F14353" s="7" t="s">
        <v>17</v>
      </c>
      <c r="G14353" s="7">
        <v>4224278</v>
      </c>
      <c r="H14353" s="7">
        <v>2511</v>
      </c>
      <c r="I14353" s="7">
        <v>488</v>
      </c>
      <c r="J14353" s="7">
        <v>1357</v>
      </c>
      <c r="K14353" s="7" t="s">
        <v>18</v>
      </c>
      <c r="L14353" s="8">
        <v>39987.315405092595</v>
      </c>
      <c r="M14353" s="9" t="s">
        <v>19</v>
      </c>
      <c r="N14353" s="9" t="s">
        <v>20</v>
      </c>
      <c r="O14353" s="6" t="str">
        <f>HYPERLINK("https://pbs.twimg.com/profile_images/962471262747529216/Uo8lOkRJ_normal.jpg","View")</f>
        <v>View</v>
      </c>
      <c r="P14353" s="7"/>
    </row>
    <row r="14354" spans="1:16">
      <c r="A14354" s="3">
        <v>44324.886331018519</v>
      </c>
      <c r="B14354" s="4" t="str">
        <f>HYPERLINK("https://twitter.com/petrogustavo","@petrogustavo")</f>
        <v>@petrogustavo</v>
      </c>
      <c r="C14354" s="5" t="s">
        <v>16</v>
      </c>
      <c r="D14354" s="5" t="s">
        <v>13818</v>
      </c>
      <c r="E14354" s="6" t="str">
        <f>HYPERLINK("https://twitter.com/petrogustavo/status/1391056880114540547","1391056880114540547")</f>
        <v>1391056880114540547</v>
      </c>
      <c r="F14354" s="7" t="s">
        <v>17</v>
      </c>
      <c r="G14354" s="7">
        <v>4224278</v>
      </c>
      <c r="H14354" s="7">
        <v>2511</v>
      </c>
      <c r="I14354" s="7">
        <v>385</v>
      </c>
      <c r="J14354" s="7">
        <v>2041</v>
      </c>
      <c r="K14354" s="7" t="s">
        <v>18</v>
      </c>
      <c r="L14354" s="8">
        <v>39987.315405092595</v>
      </c>
      <c r="M14354" s="9" t="s">
        <v>19</v>
      </c>
      <c r="N14354" s="9" t="s">
        <v>20</v>
      </c>
      <c r="O14354" s="6" t="str">
        <f>HYPERLINK("https://pbs.twimg.com/profile_images/962471262747529216/Uo8lOkRJ_normal.jpg","View")</f>
        <v>View</v>
      </c>
      <c r="P14354" s="7"/>
    </row>
    <row r="14355" spans="1:16">
      <c r="A14355" s="3">
        <v>44324.916377314818</v>
      </c>
      <c r="B14355" s="4" t="str">
        <f>HYPERLINK("https://twitter.com/petrogustavo","@petrogustavo")</f>
        <v>@petrogustavo</v>
      </c>
      <c r="C14355" s="5" t="s">
        <v>16</v>
      </c>
      <c r="D14355" s="5" t="s">
        <v>13819</v>
      </c>
      <c r="E14355" s="6" t="str">
        <f>HYPERLINK("https://twitter.com/petrogustavo/status/1391067768137601030","1391067768137601030")</f>
        <v>1391067768137601030</v>
      </c>
      <c r="F14355" s="7" t="s">
        <v>17</v>
      </c>
      <c r="G14355" s="7">
        <v>4224436</v>
      </c>
      <c r="H14355" s="7">
        <v>2511</v>
      </c>
      <c r="I14355" s="7">
        <v>294</v>
      </c>
      <c r="J14355" s="7">
        <v>912</v>
      </c>
      <c r="K14355" s="7" t="s">
        <v>18</v>
      </c>
      <c r="L14355" s="8">
        <v>39987.315405092595</v>
      </c>
      <c r="M14355" s="9" t="s">
        <v>19</v>
      </c>
      <c r="N14355" s="9" t="s">
        <v>20</v>
      </c>
      <c r="O14355" s="6" t="str">
        <f>HYPERLINK("https://pbs.twimg.com/profile_images/962471262747529216/Uo8lOkRJ_normal.jpg","View")</f>
        <v>View</v>
      </c>
      <c r="P14355" s="7"/>
    </row>
    <row r="14356" spans="1:16">
      <c r="A14356" s="3">
        <v>44324.93885416667</v>
      </c>
      <c r="B14356" s="4" t="str">
        <f>HYPERLINK("https://twitter.com/petrogustavo","@petrogustavo")</f>
        <v>@petrogustavo</v>
      </c>
      <c r="C14356" s="5" t="s">
        <v>16</v>
      </c>
      <c r="D14356" s="5" t="s">
        <v>13820</v>
      </c>
      <c r="E14356" s="6" t="str">
        <f>HYPERLINK("https://twitter.com/petrogustavo/status/1391075915984248832","1391075915984248832")</f>
        <v>1391075915984248832</v>
      </c>
      <c r="F14356" s="7" t="s">
        <v>17</v>
      </c>
      <c r="G14356" s="7">
        <v>4224593</v>
      </c>
      <c r="H14356" s="7">
        <v>2511</v>
      </c>
      <c r="I14356" s="7">
        <v>48</v>
      </c>
      <c r="J14356" s="7">
        <v>108</v>
      </c>
      <c r="K14356" s="7" t="s">
        <v>18</v>
      </c>
      <c r="L14356" s="8">
        <v>39987.315405092595</v>
      </c>
      <c r="M14356" s="9" t="s">
        <v>19</v>
      </c>
      <c r="N14356" s="9" t="s">
        <v>20</v>
      </c>
      <c r="O14356" s="6" t="str">
        <f>HYPERLINK("https://pbs.twimg.com/profile_images/962471262747529216/Uo8lOkRJ_normal.jpg","View")</f>
        <v>View</v>
      </c>
      <c r="P14356" s="7"/>
    </row>
    <row r="14357" spans="1:16">
      <c r="A14357" s="3">
        <v>44324.980011574073</v>
      </c>
      <c r="B14357" s="4" t="str">
        <f>HYPERLINK("https://twitter.com/petrogustavo","@petrogustavo")</f>
        <v>@petrogustavo</v>
      </c>
      <c r="C14357" s="5" t="s">
        <v>16</v>
      </c>
      <c r="D14357" s="5" t="s">
        <v>13821</v>
      </c>
      <c r="E14357" s="6" t="str">
        <f>HYPERLINK("https://twitter.com/petrogustavo/status/1391090829515792389","1391090829515792389")</f>
        <v>1391090829515792389</v>
      </c>
      <c r="F14357" s="7" t="s">
        <v>17</v>
      </c>
      <c r="G14357" s="7">
        <v>4224892</v>
      </c>
      <c r="H14357" s="7">
        <v>2511</v>
      </c>
      <c r="I14357" s="7">
        <v>536</v>
      </c>
      <c r="J14357" s="7">
        <v>0</v>
      </c>
      <c r="K14357" s="7" t="s">
        <v>18</v>
      </c>
      <c r="L14357" s="8">
        <v>39987.315405092595</v>
      </c>
      <c r="M14357" s="9" t="s">
        <v>19</v>
      </c>
      <c r="N14357" s="9" t="s">
        <v>20</v>
      </c>
      <c r="O14357" s="6" t="str">
        <f>HYPERLINK("https://pbs.twimg.com/profile_images/962471262747529216/Uo8lOkRJ_normal.jpg","View")</f>
        <v>View</v>
      </c>
      <c r="P14357" s="7"/>
    </row>
    <row r="14358" spans="1:16">
      <c r="A14358" s="3">
        <v>44324.992465277777</v>
      </c>
      <c r="B14358" s="4" t="str">
        <f>HYPERLINK("https://twitter.com/petrogustavo","@petrogustavo")</f>
        <v>@petrogustavo</v>
      </c>
      <c r="C14358" s="5" t="s">
        <v>16</v>
      </c>
      <c r="D14358" s="5" t="s">
        <v>13822</v>
      </c>
      <c r="E14358" s="6" t="str">
        <f>HYPERLINK("https://twitter.com/petrogustavo/status/1391095342158991361","1391095342158991361")</f>
        <v>1391095342158991361</v>
      </c>
      <c r="F14358" s="7" t="s">
        <v>32</v>
      </c>
      <c r="G14358" s="7">
        <v>4225047</v>
      </c>
      <c r="H14358" s="7">
        <v>2511</v>
      </c>
      <c r="I14358" s="7">
        <v>74</v>
      </c>
      <c r="J14358" s="7">
        <v>0</v>
      </c>
      <c r="K14358" s="7" t="s">
        <v>18</v>
      </c>
      <c r="L14358" s="8">
        <v>39987.315405092595</v>
      </c>
      <c r="M14358" s="9" t="s">
        <v>19</v>
      </c>
      <c r="N14358" s="9" t="s">
        <v>20</v>
      </c>
      <c r="O14358" s="6" t="str">
        <f>HYPERLINK("https://pbs.twimg.com/profile_images/962471262747529216/Uo8lOkRJ_normal.jpg","View")</f>
        <v>View</v>
      </c>
      <c r="P14358" s="7"/>
    </row>
    <row r="14359" spans="1:16">
      <c r="A14359" s="3">
        <v>44325.01189814815</v>
      </c>
      <c r="B14359" s="4" t="str">
        <f>HYPERLINK("https://twitter.com/petrogustavo","@petrogustavo")</f>
        <v>@petrogustavo</v>
      </c>
      <c r="C14359" s="5" t="s">
        <v>16</v>
      </c>
      <c r="D14359" s="5" t="s">
        <v>13823</v>
      </c>
      <c r="E14359" s="6" t="str">
        <f>HYPERLINK("https://twitter.com/petrogustavo/status/1391102384919678980","1391102384919678980")</f>
        <v>1391102384919678980</v>
      </c>
      <c r="F14359" s="7" t="s">
        <v>17</v>
      </c>
      <c r="G14359" s="7">
        <v>4225185</v>
      </c>
      <c r="H14359" s="7">
        <v>2511</v>
      </c>
      <c r="I14359" s="7">
        <v>95</v>
      </c>
      <c r="J14359" s="7">
        <v>0</v>
      </c>
      <c r="K14359" s="7" t="s">
        <v>18</v>
      </c>
      <c r="L14359" s="8">
        <v>39987.315405092595</v>
      </c>
      <c r="M14359" s="9" t="s">
        <v>19</v>
      </c>
      <c r="N14359" s="9" t="s">
        <v>20</v>
      </c>
      <c r="O14359" s="6" t="str">
        <f>HYPERLINK("https://pbs.twimg.com/profile_images/962471262747529216/Uo8lOkRJ_normal.jpg","View")</f>
        <v>View</v>
      </c>
      <c r="P14359" s="7"/>
    </row>
    <row r="14360" spans="1:16">
      <c r="A14360" s="3">
        <v>44325.050949074073</v>
      </c>
      <c r="B14360" s="4" t="str">
        <f>HYPERLINK("https://twitter.com/petrogustavo","@petrogustavo")</f>
        <v>@petrogustavo</v>
      </c>
      <c r="C14360" s="5" t="s">
        <v>16</v>
      </c>
      <c r="D14360" s="5" t="s">
        <v>13824</v>
      </c>
      <c r="E14360" s="6" t="str">
        <f>HYPERLINK("https://twitter.com/petrogustavo/status/1391116537138929668","1391116537138929668")</f>
        <v>1391116537138929668</v>
      </c>
      <c r="F14360" s="7" t="s">
        <v>17</v>
      </c>
      <c r="G14360" s="7">
        <v>4225478</v>
      </c>
      <c r="H14360" s="7">
        <v>2511</v>
      </c>
      <c r="I14360" s="7">
        <v>612</v>
      </c>
      <c r="J14360" s="7">
        <v>1566</v>
      </c>
      <c r="K14360" s="7" t="s">
        <v>18</v>
      </c>
      <c r="L14360" s="8">
        <v>39987.315405092595</v>
      </c>
      <c r="M14360" s="9" t="s">
        <v>19</v>
      </c>
      <c r="N14360" s="9" t="s">
        <v>20</v>
      </c>
      <c r="O14360" s="6" t="str">
        <f>HYPERLINK("https://pbs.twimg.com/profile_images/962471262747529216/Uo8lOkRJ_normal.jpg","View")</f>
        <v>View</v>
      </c>
      <c r="P14360" s="7"/>
    </row>
    <row r="14361" spans="1:16">
      <c r="A14361" s="3">
        <v>44325.069166666668</v>
      </c>
      <c r="B14361" s="4" t="str">
        <f>HYPERLINK("https://twitter.com/petrogustavo","@petrogustavo")</f>
        <v>@petrogustavo</v>
      </c>
      <c r="C14361" s="5" t="s">
        <v>16</v>
      </c>
      <c r="D14361" s="5" t="s">
        <v>13825</v>
      </c>
      <c r="E14361" s="6" t="str">
        <f>HYPERLINK("https://twitter.com/petrogustavo/status/1391123139740975108","1391123139740975108")</f>
        <v>1391123139740975108</v>
      </c>
      <c r="F14361" s="7" t="s">
        <v>17</v>
      </c>
      <c r="G14361" s="7">
        <v>4225621</v>
      </c>
      <c r="H14361" s="7">
        <v>2511</v>
      </c>
      <c r="I14361" s="7">
        <v>436</v>
      </c>
      <c r="J14361" s="7">
        <v>1430</v>
      </c>
      <c r="K14361" s="7" t="s">
        <v>18</v>
      </c>
      <c r="L14361" s="8">
        <v>39987.315405092595</v>
      </c>
      <c r="M14361" s="9" t="s">
        <v>19</v>
      </c>
      <c r="N14361" s="9" t="s">
        <v>20</v>
      </c>
      <c r="O14361" s="6" t="str">
        <f>HYPERLINK("https://pbs.twimg.com/profile_images/962471262747529216/Uo8lOkRJ_normal.jpg","View")</f>
        <v>View</v>
      </c>
      <c r="P14361" s="7"/>
    </row>
    <row r="14362" spans="1:16">
      <c r="A14362" s="3">
        <v>44325.071296296301</v>
      </c>
      <c r="B14362" s="4" t="str">
        <f>HYPERLINK("https://twitter.com/petrogustavo","@petrogustavo")</f>
        <v>@petrogustavo</v>
      </c>
      <c r="C14362" s="5" t="s">
        <v>16</v>
      </c>
      <c r="D14362" s="5" t="s">
        <v>13826</v>
      </c>
      <c r="E14362" s="6" t="str">
        <f>HYPERLINK("https://twitter.com/petrogustavo/status/1391123911174234113","1391123911174234113")</f>
        <v>1391123911174234113</v>
      </c>
      <c r="F14362" s="7" t="s">
        <v>17</v>
      </c>
      <c r="G14362" s="7">
        <v>4225621</v>
      </c>
      <c r="H14362" s="7">
        <v>2511</v>
      </c>
      <c r="I14362" s="7">
        <v>240</v>
      </c>
      <c r="J14362" s="7">
        <v>698</v>
      </c>
      <c r="K14362" s="7" t="s">
        <v>18</v>
      </c>
      <c r="L14362" s="8">
        <v>39987.315405092595</v>
      </c>
      <c r="M14362" s="9" t="s">
        <v>19</v>
      </c>
      <c r="N14362" s="9" t="s">
        <v>20</v>
      </c>
      <c r="O14362" s="6" t="str">
        <f>HYPERLINK("https://pbs.twimg.com/profile_images/962471262747529216/Uo8lOkRJ_normal.jpg","View")</f>
        <v>View</v>
      </c>
      <c r="P14362" s="7"/>
    </row>
    <row r="14363" spans="1:16">
      <c r="A14363" s="3">
        <v>44325.074143518519</v>
      </c>
      <c r="B14363" s="4" t="str">
        <f>HYPERLINK("https://twitter.com/petrogustavo","@petrogustavo")</f>
        <v>@petrogustavo</v>
      </c>
      <c r="C14363" s="5" t="s">
        <v>16</v>
      </c>
      <c r="D14363" s="5" t="s">
        <v>13827</v>
      </c>
      <c r="E14363" s="6" t="str">
        <f>HYPERLINK("https://twitter.com/petrogustavo/status/1391124940351549440","1391124940351549440")</f>
        <v>1391124940351549440</v>
      </c>
      <c r="F14363" s="7" t="s">
        <v>17</v>
      </c>
      <c r="G14363" s="7">
        <v>4225621</v>
      </c>
      <c r="H14363" s="7">
        <v>2511</v>
      </c>
      <c r="I14363" s="7">
        <v>419</v>
      </c>
      <c r="J14363" s="7">
        <v>1007</v>
      </c>
      <c r="K14363" s="7" t="s">
        <v>18</v>
      </c>
      <c r="L14363" s="8">
        <v>39987.315405092595</v>
      </c>
      <c r="M14363" s="9" t="s">
        <v>19</v>
      </c>
      <c r="N14363" s="9" t="s">
        <v>20</v>
      </c>
      <c r="O14363" s="6" t="str">
        <f>HYPERLINK("https://pbs.twimg.com/profile_images/962471262747529216/Uo8lOkRJ_normal.jpg","View")</f>
        <v>View</v>
      </c>
      <c r="P14363" s="7"/>
    </row>
    <row r="14364" spans="1:16">
      <c r="A14364" s="3">
        <v>44325.076990740738</v>
      </c>
      <c r="B14364" s="4" t="str">
        <f>HYPERLINK("https://twitter.com/petrogustavo","@petrogustavo")</f>
        <v>@petrogustavo</v>
      </c>
      <c r="C14364" s="5" t="s">
        <v>16</v>
      </c>
      <c r="D14364" s="5" t="s">
        <v>13828</v>
      </c>
      <c r="E14364" s="6" t="str">
        <f>HYPERLINK("https://twitter.com/petrogustavo/status/1391125972162908161","1391125972162908161")</f>
        <v>1391125972162908161</v>
      </c>
      <c r="F14364" s="7" t="s">
        <v>17</v>
      </c>
      <c r="G14364" s="7">
        <v>4225621</v>
      </c>
      <c r="H14364" s="7">
        <v>2511</v>
      </c>
      <c r="I14364" s="7">
        <v>414</v>
      </c>
      <c r="J14364" s="7">
        <v>1250</v>
      </c>
      <c r="K14364" s="7" t="s">
        <v>18</v>
      </c>
      <c r="L14364" s="8">
        <v>39987.315405092595</v>
      </c>
      <c r="M14364" s="9" t="s">
        <v>19</v>
      </c>
      <c r="N14364" s="9" t="s">
        <v>20</v>
      </c>
      <c r="O14364" s="6" t="str">
        <f>HYPERLINK("https://pbs.twimg.com/profile_images/962471262747529216/Uo8lOkRJ_normal.jpg","View")</f>
        <v>View</v>
      </c>
      <c r="P14364" s="7"/>
    </row>
    <row r="14365" spans="1:16">
      <c r="A14365" s="3">
        <v>44325.087696759263</v>
      </c>
      <c r="B14365" s="4" t="str">
        <f>HYPERLINK("https://twitter.com/petrogustavo","@petrogustavo")</f>
        <v>@petrogustavo</v>
      </c>
      <c r="C14365" s="5" t="s">
        <v>16</v>
      </c>
      <c r="D14365" s="5" t="s">
        <v>13829</v>
      </c>
      <c r="E14365" s="6" t="str">
        <f>HYPERLINK("https://twitter.com/petrogustavo/status/1391129851365580804","1391129851365580804")</f>
        <v>1391129851365580804</v>
      </c>
      <c r="F14365" s="7" t="s">
        <v>17</v>
      </c>
      <c r="G14365" s="7">
        <v>4225407</v>
      </c>
      <c r="H14365" s="7">
        <v>2511</v>
      </c>
      <c r="I14365" s="7">
        <v>289</v>
      </c>
      <c r="J14365" s="7">
        <v>793</v>
      </c>
      <c r="K14365" s="7" t="s">
        <v>18</v>
      </c>
      <c r="L14365" s="8">
        <v>39987.315405092595</v>
      </c>
      <c r="M14365" s="9" t="s">
        <v>19</v>
      </c>
      <c r="N14365" s="9" t="s">
        <v>20</v>
      </c>
      <c r="O14365" s="6" t="str">
        <f>HYPERLINK("https://pbs.twimg.com/profile_images/962471262747529216/Uo8lOkRJ_normal.jpg","View")</f>
        <v>View</v>
      </c>
      <c r="P14365" s="7"/>
    </row>
    <row r="14366" spans="1:16">
      <c r="A14366" s="3">
        <v>44325.091979166667</v>
      </c>
      <c r="B14366" s="4" t="str">
        <f>HYPERLINK("https://twitter.com/petrogustavo","@petrogustavo")</f>
        <v>@petrogustavo</v>
      </c>
      <c r="C14366" s="5" t="s">
        <v>16</v>
      </c>
      <c r="D14366" s="5" t="s">
        <v>13830</v>
      </c>
      <c r="E14366" s="6" t="str">
        <f>HYPERLINK("https://twitter.com/petrogustavo/status/1391131404608720896","1391131404608720896")</f>
        <v>1391131404608720896</v>
      </c>
      <c r="F14366" s="7" t="s">
        <v>17</v>
      </c>
      <c r="G14366" s="7">
        <v>4225407</v>
      </c>
      <c r="H14366" s="7">
        <v>2511</v>
      </c>
      <c r="I14366" s="7">
        <v>345</v>
      </c>
      <c r="J14366" s="7">
        <v>792</v>
      </c>
      <c r="K14366" s="7" t="s">
        <v>18</v>
      </c>
      <c r="L14366" s="8">
        <v>39987.315405092595</v>
      </c>
      <c r="M14366" s="9" t="s">
        <v>19</v>
      </c>
      <c r="N14366" s="9" t="s">
        <v>20</v>
      </c>
      <c r="O14366" s="6" t="str">
        <f>HYPERLINK("https://pbs.twimg.com/profile_images/962471262747529216/Uo8lOkRJ_normal.jpg","View")</f>
        <v>View</v>
      </c>
      <c r="P14366" s="7"/>
    </row>
    <row r="14367" spans="1:16">
      <c r="A14367" s="3">
        <v>44325.099583333329</v>
      </c>
      <c r="B14367" s="4" t="str">
        <f>HYPERLINK("https://twitter.com/petrogustavo","@petrogustavo")</f>
        <v>@petrogustavo</v>
      </c>
      <c r="C14367" s="5" t="s">
        <v>16</v>
      </c>
      <c r="D14367" s="5" t="s">
        <v>13831</v>
      </c>
      <c r="E14367" s="6" t="str">
        <f>HYPERLINK("https://twitter.com/petrogustavo/status/1391134162074148868","1391134162074148868")</f>
        <v>1391134162074148868</v>
      </c>
      <c r="F14367" s="7" t="s">
        <v>17</v>
      </c>
      <c r="G14367" s="7">
        <v>4225407</v>
      </c>
      <c r="H14367" s="7">
        <v>2511</v>
      </c>
      <c r="I14367" s="7">
        <v>345</v>
      </c>
      <c r="J14367" s="7">
        <v>0</v>
      </c>
      <c r="K14367" s="7" t="s">
        <v>18</v>
      </c>
      <c r="L14367" s="8">
        <v>39987.315405092595</v>
      </c>
      <c r="M14367" s="9" t="s">
        <v>19</v>
      </c>
      <c r="N14367" s="9" t="s">
        <v>20</v>
      </c>
      <c r="O14367" s="6" t="str">
        <f>HYPERLINK("https://pbs.twimg.com/profile_images/962471262747529216/Uo8lOkRJ_normal.jpg","View")</f>
        <v>View</v>
      </c>
      <c r="P14367" s="7"/>
    </row>
    <row r="14368" spans="1:16">
      <c r="A14368" s="3">
        <v>44325.10465277778</v>
      </c>
      <c r="B14368" s="4" t="str">
        <f>HYPERLINK("https://twitter.com/petrogustavo","@petrogustavo")</f>
        <v>@petrogustavo</v>
      </c>
      <c r="C14368" s="5" t="s">
        <v>16</v>
      </c>
      <c r="D14368" s="5" t="s">
        <v>13832</v>
      </c>
      <c r="E14368" s="6" t="str">
        <f>HYPERLINK("https://twitter.com/petrogustavo/status/1391135998013231108","1391135998013231108")</f>
        <v>1391135998013231108</v>
      </c>
      <c r="F14368" s="7" t="s">
        <v>17</v>
      </c>
      <c r="G14368" s="7">
        <v>4225407</v>
      </c>
      <c r="H14368" s="7">
        <v>2511</v>
      </c>
      <c r="I14368" s="7">
        <v>19</v>
      </c>
      <c r="J14368" s="7">
        <v>0</v>
      </c>
      <c r="K14368" s="7" t="s">
        <v>18</v>
      </c>
      <c r="L14368" s="8">
        <v>39987.315405092595</v>
      </c>
      <c r="M14368" s="9" t="s">
        <v>19</v>
      </c>
      <c r="N14368" s="9" t="s">
        <v>20</v>
      </c>
      <c r="O14368" s="6" t="str">
        <f>HYPERLINK("https://pbs.twimg.com/profile_images/962471262747529216/Uo8lOkRJ_normal.jpg","View")</f>
        <v>View</v>
      </c>
      <c r="P14368" s="7"/>
    </row>
    <row r="14369" spans="1:16">
      <c r="A14369" s="3">
        <v>44325.13590277778</v>
      </c>
      <c r="B14369" s="4" t="str">
        <f>HYPERLINK("https://twitter.com/petrogustavo","@petrogustavo")</f>
        <v>@petrogustavo</v>
      </c>
      <c r="C14369" s="5" t="s">
        <v>16</v>
      </c>
      <c r="D14369" s="5" t="s">
        <v>13833</v>
      </c>
      <c r="E14369" s="6" t="str">
        <f>HYPERLINK("https://twitter.com/petrogustavo/status/1391147321124167684","1391147321124167684")</f>
        <v>1391147321124167684</v>
      </c>
      <c r="F14369" s="7" t="s">
        <v>17</v>
      </c>
      <c r="G14369" s="7">
        <v>4225693</v>
      </c>
      <c r="H14369" s="7">
        <v>2511</v>
      </c>
      <c r="I14369" s="7">
        <v>283</v>
      </c>
      <c r="J14369" s="7">
        <v>646</v>
      </c>
      <c r="K14369" s="7" t="s">
        <v>18</v>
      </c>
      <c r="L14369" s="8">
        <v>39987.315405092595</v>
      </c>
      <c r="M14369" s="9" t="s">
        <v>19</v>
      </c>
      <c r="N14369" s="9" t="s">
        <v>20</v>
      </c>
      <c r="O14369" s="6" t="str">
        <f>HYPERLINK("https://pbs.twimg.com/profile_images/962471262747529216/Uo8lOkRJ_normal.jpg","View")</f>
        <v>View</v>
      </c>
      <c r="P14369" s="7"/>
    </row>
    <row r="14370" spans="1:16">
      <c r="A14370" s="3">
        <v>44325.823576388888</v>
      </c>
      <c r="B14370" s="4" t="str">
        <f>HYPERLINK("https://twitter.com/petrogustavo","@petrogustavo")</f>
        <v>@petrogustavo</v>
      </c>
      <c r="C14370" s="5" t="s">
        <v>16</v>
      </c>
      <c r="D14370" s="5" t="s">
        <v>13834</v>
      </c>
      <c r="E14370" s="6" t="str">
        <f>HYPERLINK("https://twitter.com/petrogustavo/status/1391396526627430411","1391396526627430411")</f>
        <v>1391396526627430411</v>
      </c>
      <c r="F14370" s="7" t="s">
        <v>17</v>
      </c>
      <c r="G14370" s="7">
        <v>4228205</v>
      </c>
      <c r="H14370" s="7">
        <v>2511</v>
      </c>
      <c r="I14370" s="7">
        <v>92</v>
      </c>
      <c r="J14370" s="7">
        <v>0</v>
      </c>
      <c r="K14370" s="7" t="s">
        <v>18</v>
      </c>
      <c r="L14370" s="8">
        <v>39987.315405092595</v>
      </c>
      <c r="M14370" s="9" t="s">
        <v>19</v>
      </c>
      <c r="N14370" s="9" t="s">
        <v>20</v>
      </c>
      <c r="O14370" s="6" t="str">
        <f>HYPERLINK("https://pbs.twimg.com/profile_images/962471262747529216/Uo8lOkRJ_normal.jpg","View")</f>
        <v>View</v>
      </c>
      <c r="P14370" s="7"/>
    </row>
    <row r="14371" spans="1:16">
      <c r="A14371" s="3">
        <v>44325.825578703705</v>
      </c>
      <c r="B14371" s="4" t="str">
        <f>HYPERLINK("https://twitter.com/petrogustavo","@petrogustavo")</f>
        <v>@petrogustavo</v>
      </c>
      <c r="C14371" s="5" t="s">
        <v>16</v>
      </c>
      <c r="D14371" s="5" t="s">
        <v>13835</v>
      </c>
      <c r="E14371" s="6" t="str">
        <f>HYPERLINK("https://twitter.com/petrogustavo/status/1391397250883063811","1391397250883063811")</f>
        <v>1391397250883063811</v>
      </c>
      <c r="F14371" s="7" t="s">
        <v>17</v>
      </c>
      <c r="G14371" s="7">
        <v>4228205</v>
      </c>
      <c r="H14371" s="7">
        <v>2511</v>
      </c>
      <c r="I14371" s="7">
        <v>349</v>
      </c>
      <c r="J14371" s="7">
        <v>1079</v>
      </c>
      <c r="K14371" s="7" t="s">
        <v>18</v>
      </c>
      <c r="L14371" s="8">
        <v>39987.315405092595</v>
      </c>
      <c r="M14371" s="9" t="s">
        <v>19</v>
      </c>
      <c r="N14371" s="9" t="s">
        <v>20</v>
      </c>
      <c r="O14371" s="6" t="str">
        <f>HYPERLINK("https://pbs.twimg.com/profile_images/962471262747529216/Uo8lOkRJ_normal.jpg","View")</f>
        <v>View</v>
      </c>
      <c r="P14371" s="7"/>
    </row>
    <row r="14372" spans="1:16">
      <c r="A14372" s="3">
        <v>44325.835011574076</v>
      </c>
      <c r="B14372" s="4" t="str">
        <f>HYPERLINK("https://twitter.com/petrogustavo","@petrogustavo")</f>
        <v>@petrogustavo</v>
      </c>
      <c r="C14372" s="5" t="s">
        <v>16</v>
      </c>
      <c r="D14372" s="5" t="s">
        <v>13836</v>
      </c>
      <c r="E14372" s="6" t="str">
        <f>HYPERLINK("https://twitter.com/petrogustavo/status/1391400670457208839","1391400670457208839")</f>
        <v>1391400670457208839</v>
      </c>
      <c r="F14372" s="7" t="s">
        <v>17</v>
      </c>
      <c r="G14372" s="7">
        <v>4228299</v>
      </c>
      <c r="H14372" s="7">
        <v>2511</v>
      </c>
      <c r="I14372" s="7">
        <v>1421</v>
      </c>
      <c r="J14372" s="7">
        <v>0</v>
      </c>
      <c r="K14372" s="7" t="s">
        <v>18</v>
      </c>
      <c r="L14372" s="8">
        <v>39987.315405092595</v>
      </c>
      <c r="M14372" s="9" t="s">
        <v>19</v>
      </c>
      <c r="N14372" s="9" t="s">
        <v>20</v>
      </c>
      <c r="O14372" s="6" t="str">
        <f>HYPERLINK("https://pbs.twimg.com/profile_images/962471262747529216/Uo8lOkRJ_normal.jpg","View")</f>
        <v>View</v>
      </c>
      <c r="P14372" s="7"/>
    </row>
    <row r="14373" spans="1:16">
      <c r="A14373" s="3">
        <v>44325.840868055559</v>
      </c>
      <c r="B14373" s="4" t="str">
        <f>HYPERLINK("https://twitter.com/petrogustavo","@petrogustavo")</f>
        <v>@petrogustavo</v>
      </c>
      <c r="C14373" s="5" t="s">
        <v>16</v>
      </c>
      <c r="D14373" s="5" t="s">
        <v>13837</v>
      </c>
      <c r="E14373" s="6" t="str">
        <f>HYPERLINK("https://twitter.com/petrogustavo/status/1391402792728809472","1391402792728809472")</f>
        <v>1391402792728809472</v>
      </c>
      <c r="F14373" s="7" t="s">
        <v>17</v>
      </c>
      <c r="G14373" s="7">
        <v>4228299</v>
      </c>
      <c r="H14373" s="7">
        <v>2511</v>
      </c>
      <c r="I14373" s="7">
        <v>207</v>
      </c>
      <c r="J14373" s="7">
        <v>0</v>
      </c>
      <c r="K14373" s="7" t="s">
        <v>18</v>
      </c>
      <c r="L14373" s="8">
        <v>39987.315405092595</v>
      </c>
      <c r="M14373" s="9" t="s">
        <v>19</v>
      </c>
      <c r="N14373" s="9" t="s">
        <v>20</v>
      </c>
      <c r="O14373" s="6" t="str">
        <f>HYPERLINK("https://pbs.twimg.com/profile_images/962471262747529216/Uo8lOkRJ_normal.jpg","View")</f>
        <v>View</v>
      </c>
      <c r="P14373" s="7"/>
    </row>
    <row r="14374" spans="1:16">
      <c r="A14374" s="3">
        <v>44325.84302083333</v>
      </c>
      <c r="B14374" s="4" t="str">
        <f>HYPERLINK("https://twitter.com/petrogustavo","@petrogustavo")</f>
        <v>@petrogustavo</v>
      </c>
      <c r="C14374" s="5" t="s">
        <v>16</v>
      </c>
      <c r="D14374" s="5" t="s">
        <v>13838</v>
      </c>
      <c r="E14374" s="6" t="str">
        <f>HYPERLINK("https://twitter.com/petrogustavo/status/1391403574572298242","1391403574572298242")</f>
        <v>1391403574572298242</v>
      </c>
      <c r="F14374" s="7" t="s">
        <v>17</v>
      </c>
      <c r="G14374" s="7">
        <v>4228299</v>
      </c>
      <c r="H14374" s="7">
        <v>2511</v>
      </c>
      <c r="I14374" s="7">
        <v>238</v>
      </c>
      <c r="J14374" s="7">
        <v>0</v>
      </c>
      <c r="K14374" s="7" t="s">
        <v>18</v>
      </c>
      <c r="L14374" s="8">
        <v>39987.315405092595</v>
      </c>
      <c r="M14374" s="9" t="s">
        <v>19</v>
      </c>
      <c r="N14374" s="9" t="s">
        <v>20</v>
      </c>
      <c r="O14374" s="6" t="str">
        <f>HYPERLINK("https://pbs.twimg.com/profile_images/962471262747529216/Uo8lOkRJ_normal.jpg","View")</f>
        <v>View</v>
      </c>
      <c r="P14374" s="7"/>
    </row>
    <row r="14375" spans="1:16">
      <c r="A14375" s="3">
        <v>44325.844224537039</v>
      </c>
      <c r="B14375" s="4" t="str">
        <f>HYPERLINK("https://twitter.com/petrogustavo","@petrogustavo")</f>
        <v>@petrogustavo</v>
      </c>
      <c r="C14375" s="5" t="s">
        <v>16</v>
      </c>
      <c r="D14375" s="5" t="s">
        <v>13839</v>
      </c>
      <c r="E14375" s="6" t="str">
        <f>HYPERLINK("https://twitter.com/petrogustavo/status/1391404010863742977","1391404010863742977")</f>
        <v>1391404010863742977</v>
      </c>
      <c r="F14375" s="7" t="s">
        <v>17</v>
      </c>
      <c r="G14375" s="7">
        <v>4228299</v>
      </c>
      <c r="H14375" s="7">
        <v>2511</v>
      </c>
      <c r="I14375" s="7">
        <v>119</v>
      </c>
      <c r="J14375" s="7">
        <v>0</v>
      </c>
      <c r="K14375" s="7" t="s">
        <v>18</v>
      </c>
      <c r="L14375" s="8">
        <v>39987.315405092595</v>
      </c>
      <c r="M14375" s="9" t="s">
        <v>19</v>
      </c>
      <c r="N14375" s="9" t="s">
        <v>20</v>
      </c>
      <c r="O14375" s="6" t="str">
        <f>HYPERLINK("https://pbs.twimg.com/profile_images/962471262747529216/Uo8lOkRJ_normal.jpg","View")</f>
        <v>View</v>
      </c>
      <c r="P14375" s="7"/>
    </row>
    <row r="14376" spans="1:16">
      <c r="A14376" s="3">
        <v>44325.844490740739</v>
      </c>
      <c r="B14376" s="4" t="str">
        <f>HYPERLINK("https://twitter.com/petrogustavo","@petrogustavo")</f>
        <v>@petrogustavo</v>
      </c>
      <c r="C14376" s="5" t="s">
        <v>16</v>
      </c>
      <c r="D14376" s="5" t="s">
        <v>13840</v>
      </c>
      <c r="E14376" s="6" t="str">
        <f>HYPERLINK("https://twitter.com/petrogustavo/status/1391404105491419138","1391404105491419138")</f>
        <v>1391404105491419138</v>
      </c>
      <c r="F14376" s="7" t="s">
        <v>17</v>
      </c>
      <c r="G14376" s="7">
        <v>4228299</v>
      </c>
      <c r="H14376" s="7">
        <v>2511</v>
      </c>
      <c r="I14376" s="7">
        <v>451</v>
      </c>
      <c r="J14376" s="7">
        <v>0</v>
      </c>
      <c r="K14376" s="7" t="s">
        <v>18</v>
      </c>
      <c r="L14376" s="8">
        <v>39987.315405092595</v>
      </c>
      <c r="M14376" s="9" t="s">
        <v>19</v>
      </c>
      <c r="N14376" s="9" t="s">
        <v>20</v>
      </c>
      <c r="O14376" s="6" t="str">
        <f>HYPERLINK("https://pbs.twimg.com/profile_images/962471262747529216/Uo8lOkRJ_normal.jpg","View")</f>
        <v>View</v>
      </c>
      <c r="P14376" s="7"/>
    </row>
    <row r="14377" spans="1:16">
      <c r="A14377" s="3">
        <v>44325.846307870372</v>
      </c>
      <c r="B14377" s="4" t="str">
        <f>HYPERLINK("https://twitter.com/petrogustavo","@petrogustavo")</f>
        <v>@petrogustavo</v>
      </c>
      <c r="C14377" s="5" t="s">
        <v>16</v>
      </c>
      <c r="D14377" s="5" t="s">
        <v>13841</v>
      </c>
      <c r="E14377" s="6" t="str">
        <f>HYPERLINK("https://twitter.com/petrogustavo/status/1391404765637132297","1391404765637132297")</f>
        <v>1391404765637132297</v>
      </c>
      <c r="F14377" s="7" t="s">
        <v>17</v>
      </c>
      <c r="G14377" s="7">
        <v>4228299</v>
      </c>
      <c r="H14377" s="7">
        <v>2511</v>
      </c>
      <c r="I14377" s="7">
        <v>114</v>
      </c>
      <c r="J14377" s="7">
        <v>0</v>
      </c>
      <c r="K14377" s="7" t="s">
        <v>18</v>
      </c>
      <c r="L14377" s="8">
        <v>39987.315405092595</v>
      </c>
      <c r="M14377" s="9" t="s">
        <v>19</v>
      </c>
      <c r="N14377" s="9" t="s">
        <v>20</v>
      </c>
      <c r="O14377" s="6" t="str">
        <f>HYPERLINK("https://pbs.twimg.com/profile_images/962471262747529216/Uo8lOkRJ_normal.jpg","View")</f>
        <v>View</v>
      </c>
      <c r="P14377" s="7"/>
    </row>
    <row r="14378" spans="1:16">
      <c r="A14378" s="3">
        <v>44325.855312500003</v>
      </c>
      <c r="B14378" s="4" t="str">
        <f>HYPERLINK("https://twitter.com/petrogustavo","@petrogustavo")</f>
        <v>@petrogustavo</v>
      </c>
      <c r="C14378" s="5" t="s">
        <v>16</v>
      </c>
      <c r="D14378" s="5" t="s">
        <v>13842</v>
      </c>
      <c r="E14378" s="6" t="str">
        <f>HYPERLINK("https://twitter.com/petrogustavo/status/1391408028927381510","1391408028927381510")</f>
        <v>1391408028927381510</v>
      </c>
      <c r="F14378" s="7" t="s">
        <v>17</v>
      </c>
      <c r="G14378" s="7">
        <v>4228299</v>
      </c>
      <c r="H14378" s="7">
        <v>2511</v>
      </c>
      <c r="I14378" s="7">
        <v>38</v>
      </c>
      <c r="J14378" s="7">
        <v>100</v>
      </c>
      <c r="K14378" s="7" t="s">
        <v>18</v>
      </c>
      <c r="L14378" s="8">
        <v>39987.315405092595</v>
      </c>
      <c r="M14378" s="9" t="s">
        <v>19</v>
      </c>
      <c r="N14378" s="9" t="s">
        <v>20</v>
      </c>
      <c r="O14378" s="6" t="str">
        <f>HYPERLINK("https://pbs.twimg.com/profile_images/962471262747529216/Uo8lOkRJ_normal.jpg","View")</f>
        <v>View</v>
      </c>
      <c r="P14378" s="7"/>
    </row>
    <row r="14379" spans="1:16">
      <c r="A14379" s="3">
        <v>44325.856736111113</v>
      </c>
      <c r="B14379" s="4" t="str">
        <f>HYPERLINK("https://twitter.com/petrogustavo","@petrogustavo")</f>
        <v>@petrogustavo</v>
      </c>
      <c r="C14379" s="5" t="s">
        <v>16</v>
      </c>
      <c r="D14379" s="5" t="s">
        <v>13843</v>
      </c>
      <c r="E14379" s="6" t="str">
        <f>HYPERLINK("https://twitter.com/petrogustavo/status/1391408545384570882","1391408545384570882")</f>
        <v>1391408545384570882</v>
      </c>
      <c r="F14379" s="7" t="s">
        <v>17</v>
      </c>
      <c r="G14379" s="7">
        <v>4228386</v>
      </c>
      <c r="H14379" s="7">
        <v>2511</v>
      </c>
      <c r="I14379" s="7">
        <v>264</v>
      </c>
      <c r="J14379" s="7">
        <v>605</v>
      </c>
      <c r="K14379" s="7" t="s">
        <v>18</v>
      </c>
      <c r="L14379" s="8">
        <v>39987.315405092595</v>
      </c>
      <c r="M14379" s="9" t="s">
        <v>19</v>
      </c>
      <c r="N14379" s="9" t="s">
        <v>20</v>
      </c>
      <c r="O14379" s="6" t="str">
        <f>HYPERLINK("https://pbs.twimg.com/profile_images/962471262747529216/Uo8lOkRJ_normal.jpg","View")</f>
        <v>View</v>
      </c>
      <c r="P14379" s="7"/>
    </row>
    <row r="14380" spans="1:16">
      <c r="A14380" s="3">
        <v>44326.037974537037</v>
      </c>
      <c r="B14380" s="4" t="str">
        <f>HYPERLINK("https://twitter.com/petrogustavo","@petrogustavo")</f>
        <v>@petrogustavo</v>
      </c>
      <c r="C14380" s="5" t="s">
        <v>16</v>
      </c>
      <c r="D14380" s="5" t="s">
        <v>13844</v>
      </c>
      <c r="E14380" s="6" t="str">
        <f>HYPERLINK("https://twitter.com/petrogustavo/status/1391474223022026752","1391474223022026752")</f>
        <v>1391474223022026752</v>
      </c>
      <c r="F14380" s="7" t="s">
        <v>32</v>
      </c>
      <c r="G14380" s="7">
        <v>4229121</v>
      </c>
      <c r="H14380" s="7">
        <v>2511</v>
      </c>
      <c r="I14380" s="7">
        <v>333</v>
      </c>
      <c r="J14380" s="7">
        <v>0</v>
      </c>
      <c r="K14380" s="7" t="s">
        <v>18</v>
      </c>
      <c r="L14380" s="8">
        <v>39987.315405092595</v>
      </c>
      <c r="M14380" s="9" t="s">
        <v>19</v>
      </c>
      <c r="N14380" s="9" t="s">
        <v>20</v>
      </c>
      <c r="O14380" s="6" t="str">
        <f>HYPERLINK("https://pbs.twimg.com/profile_images/962471262747529216/Uo8lOkRJ_normal.jpg","View")</f>
        <v>View</v>
      </c>
      <c r="P14380" s="7"/>
    </row>
    <row r="14381" spans="1:16">
      <c r="A14381" s="3">
        <v>44326.044212962966</v>
      </c>
      <c r="B14381" s="4" t="str">
        <f>HYPERLINK("https://twitter.com/petrogustavo","@petrogustavo")</f>
        <v>@petrogustavo</v>
      </c>
      <c r="C14381" s="5" t="s">
        <v>16</v>
      </c>
      <c r="D14381" s="5" t="s">
        <v>13845</v>
      </c>
      <c r="E14381" s="6" t="str">
        <f>HYPERLINK("https://twitter.com/petrogustavo/status/1391476483064049665","1391476483064049665")</f>
        <v>1391476483064049665</v>
      </c>
      <c r="F14381" s="7" t="s">
        <v>32</v>
      </c>
      <c r="G14381" s="7">
        <v>4229203</v>
      </c>
      <c r="H14381" s="7">
        <v>2511</v>
      </c>
      <c r="I14381" s="7">
        <v>5215</v>
      </c>
      <c r="J14381" s="7">
        <v>0</v>
      </c>
      <c r="K14381" s="7" t="s">
        <v>18</v>
      </c>
      <c r="L14381" s="8">
        <v>39987.315405092595</v>
      </c>
      <c r="M14381" s="9" t="s">
        <v>19</v>
      </c>
      <c r="N14381" s="9" t="s">
        <v>20</v>
      </c>
      <c r="O14381" s="6" t="str">
        <f>HYPERLINK("https://pbs.twimg.com/profile_images/962471262747529216/Uo8lOkRJ_normal.jpg","View")</f>
        <v>View</v>
      </c>
      <c r="P14381" s="7"/>
    </row>
    <row r="14382" spans="1:16">
      <c r="A14382" s="3">
        <v>44326.044351851851</v>
      </c>
      <c r="B14382" s="4" t="str">
        <f>HYPERLINK("https://twitter.com/petrogustavo","@petrogustavo")</f>
        <v>@petrogustavo</v>
      </c>
      <c r="C14382" s="5" t="s">
        <v>16</v>
      </c>
      <c r="D14382" s="5" t="s">
        <v>13846</v>
      </c>
      <c r="E14382" s="6" t="str">
        <f>HYPERLINK("https://twitter.com/petrogustavo/status/1391476531873071104","1391476531873071104")</f>
        <v>1391476531873071104</v>
      </c>
      <c r="F14382" s="7" t="s">
        <v>32</v>
      </c>
      <c r="G14382" s="7">
        <v>4229203</v>
      </c>
      <c r="H14382" s="7">
        <v>2511</v>
      </c>
      <c r="I14382" s="7">
        <v>1234</v>
      </c>
      <c r="J14382" s="7">
        <v>0</v>
      </c>
      <c r="K14382" s="7" t="s">
        <v>18</v>
      </c>
      <c r="L14382" s="8">
        <v>39987.315405092595</v>
      </c>
      <c r="M14382" s="9" t="s">
        <v>19</v>
      </c>
      <c r="N14382" s="9" t="s">
        <v>20</v>
      </c>
      <c r="O14382" s="6" t="str">
        <f>HYPERLINK("https://pbs.twimg.com/profile_images/962471262747529216/Uo8lOkRJ_normal.jpg","View")</f>
        <v>View</v>
      </c>
      <c r="P14382" s="7"/>
    </row>
    <row r="14383" spans="1:16">
      <c r="A14383" s="3">
        <v>44326.045138888891</v>
      </c>
      <c r="B14383" s="4" t="str">
        <f>HYPERLINK("https://twitter.com/petrogustavo","@petrogustavo")</f>
        <v>@petrogustavo</v>
      </c>
      <c r="C14383" s="5" t="s">
        <v>16</v>
      </c>
      <c r="D14383" s="5" t="s">
        <v>13847</v>
      </c>
      <c r="E14383" s="6" t="str">
        <f>HYPERLINK("https://twitter.com/petrogustavo/status/1391476819887538177","1391476819887538177")</f>
        <v>1391476819887538177</v>
      </c>
      <c r="F14383" s="7" t="s">
        <v>32</v>
      </c>
      <c r="G14383" s="7">
        <v>4229203</v>
      </c>
      <c r="H14383" s="7">
        <v>2511</v>
      </c>
      <c r="I14383" s="7">
        <v>11747</v>
      </c>
      <c r="J14383" s="7">
        <v>0</v>
      </c>
      <c r="K14383" s="7" t="s">
        <v>18</v>
      </c>
      <c r="L14383" s="8">
        <v>39987.315405092595</v>
      </c>
      <c r="M14383" s="9" t="s">
        <v>19</v>
      </c>
      <c r="N14383" s="9" t="s">
        <v>20</v>
      </c>
      <c r="O14383" s="6" t="str">
        <f>HYPERLINK("https://pbs.twimg.com/profile_images/962471262747529216/Uo8lOkRJ_normal.jpg","View")</f>
        <v>View</v>
      </c>
      <c r="P14383" s="7"/>
    </row>
    <row r="14384" spans="1:16">
      <c r="A14384" s="3">
        <v>44326.045798611114</v>
      </c>
      <c r="B14384" s="4" t="str">
        <f>HYPERLINK("https://twitter.com/petrogustavo","@petrogustavo")</f>
        <v>@petrogustavo</v>
      </c>
      <c r="C14384" s="5" t="s">
        <v>16</v>
      </c>
      <c r="D14384" s="5" t="s">
        <v>13848</v>
      </c>
      <c r="E14384" s="6" t="str">
        <f>HYPERLINK("https://twitter.com/petrogustavo/status/1391477056488214530","1391477056488214530")</f>
        <v>1391477056488214530</v>
      </c>
      <c r="F14384" s="7" t="s">
        <v>32</v>
      </c>
      <c r="G14384" s="7">
        <v>4229203</v>
      </c>
      <c r="H14384" s="7">
        <v>2511</v>
      </c>
      <c r="I14384" s="7">
        <v>781</v>
      </c>
      <c r="J14384" s="7">
        <v>3567</v>
      </c>
      <c r="K14384" s="7" t="s">
        <v>18</v>
      </c>
      <c r="L14384" s="8">
        <v>39987.315405092595</v>
      </c>
      <c r="M14384" s="9" t="s">
        <v>19</v>
      </c>
      <c r="N14384" s="9" t="s">
        <v>20</v>
      </c>
      <c r="O14384" s="6" t="str">
        <f>HYPERLINK("https://pbs.twimg.com/profile_images/962471262747529216/Uo8lOkRJ_normal.jpg","View")</f>
        <v>View</v>
      </c>
      <c r="P14384" s="7"/>
    </row>
    <row r="14385" spans="1:16">
      <c r="A14385" s="3">
        <v>44326.05091435185</v>
      </c>
      <c r="B14385" s="4" t="str">
        <f>HYPERLINK("https://twitter.com/petrogustavo","@petrogustavo")</f>
        <v>@petrogustavo</v>
      </c>
      <c r="C14385" s="5" t="s">
        <v>16</v>
      </c>
      <c r="D14385" s="5" t="s">
        <v>13849</v>
      </c>
      <c r="E14385" s="6" t="str">
        <f>HYPERLINK("https://twitter.com/petrogustavo/status/1391478910534172678","1391478910534172678")</f>
        <v>1391478910534172678</v>
      </c>
      <c r="F14385" s="7" t="s">
        <v>32</v>
      </c>
      <c r="G14385" s="7">
        <v>4229203</v>
      </c>
      <c r="H14385" s="7">
        <v>2511</v>
      </c>
      <c r="I14385" s="7">
        <v>339</v>
      </c>
      <c r="J14385" s="7">
        <v>993</v>
      </c>
      <c r="K14385" s="7" t="s">
        <v>18</v>
      </c>
      <c r="L14385" s="8">
        <v>39987.315405092595</v>
      </c>
      <c r="M14385" s="9" t="s">
        <v>19</v>
      </c>
      <c r="N14385" s="9" t="s">
        <v>20</v>
      </c>
      <c r="O14385" s="6" t="str">
        <f>HYPERLINK("https://pbs.twimg.com/profile_images/962471262747529216/Uo8lOkRJ_normal.jpg","View")</f>
        <v>View</v>
      </c>
      <c r="P14385" s="7"/>
    </row>
    <row r="14386" spans="1:16">
      <c r="A14386" s="3">
        <v>44326.053449074076</v>
      </c>
      <c r="B14386" s="4" t="str">
        <f>HYPERLINK("https://twitter.com/petrogustavo","@petrogustavo")</f>
        <v>@petrogustavo</v>
      </c>
      <c r="C14386" s="5" t="s">
        <v>16</v>
      </c>
      <c r="D14386" s="5" t="s">
        <v>13850</v>
      </c>
      <c r="E14386" s="6" t="str">
        <f>HYPERLINK("https://twitter.com/petrogustavo/status/1391479827853631489","1391479827853631489")</f>
        <v>1391479827853631489</v>
      </c>
      <c r="F14386" s="7" t="s">
        <v>32</v>
      </c>
      <c r="G14386" s="7">
        <v>4229203</v>
      </c>
      <c r="H14386" s="7">
        <v>2511</v>
      </c>
      <c r="I14386" s="7">
        <v>6742</v>
      </c>
      <c r="J14386" s="7">
        <v>0</v>
      </c>
      <c r="K14386" s="7" t="s">
        <v>18</v>
      </c>
      <c r="L14386" s="8">
        <v>39987.315405092595</v>
      </c>
      <c r="M14386" s="9" t="s">
        <v>19</v>
      </c>
      <c r="N14386" s="9" t="s">
        <v>20</v>
      </c>
      <c r="O14386" s="6" t="str">
        <f>HYPERLINK("https://pbs.twimg.com/profile_images/962471262747529216/Uo8lOkRJ_normal.jpg","View")</f>
        <v>View</v>
      </c>
      <c r="P14386" s="7"/>
    </row>
    <row r="14387" spans="1:16">
      <c r="A14387" s="3">
        <v>44326.055231481485</v>
      </c>
      <c r="B14387" s="4" t="str">
        <f>HYPERLINK("https://twitter.com/petrogustavo","@petrogustavo")</f>
        <v>@petrogustavo</v>
      </c>
      <c r="C14387" s="5" t="s">
        <v>16</v>
      </c>
      <c r="D14387" s="5" t="s">
        <v>13851</v>
      </c>
      <c r="E14387" s="6" t="str">
        <f>HYPERLINK("https://twitter.com/petrogustavo/status/1391480474967629826","1391480474967629826")</f>
        <v>1391480474967629826</v>
      </c>
      <c r="F14387" s="7" t="s">
        <v>32</v>
      </c>
      <c r="G14387" s="7">
        <v>4229203</v>
      </c>
      <c r="H14387" s="7">
        <v>2511</v>
      </c>
      <c r="I14387" s="7">
        <v>183</v>
      </c>
      <c r="J14387" s="7">
        <v>343</v>
      </c>
      <c r="K14387" s="7" t="s">
        <v>18</v>
      </c>
      <c r="L14387" s="8">
        <v>39987.315405092595</v>
      </c>
      <c r="M14387" s="9" t="s">
        <v>19</v>
      </c>
      <c r="N14387" s="9" t="s">
        <v>20</v>
      </c>
      <c r="O14387" s="6" t="str">
        <f>HYPERLINK("https://pbs.twimg.com/profile_images/962471262747529216/Uo8lOkRJ_normal.jpg","View")</f>
        <v>View</v>
      </c>
      <c r="P14387" s="7"/>
    </row>
    <row r="14388" spans="1:16">
      <c r="A14388" s="3">
        <v>44326.055601851855</v>
      </c>
      <c r="B14388" s="4" t="str">
        <f>HYPERLINK("https://twitter.com/petrogustavo","@petrogustavo")</f>
        <v>@petrogustavo</v>
      </c>
      <c r="C14388" s="5" t="s">
        <v>16</v>
      </c>
      <c r="D14388" s="5" t="s">
        <v>13852</v>
      </c>
      <c r="E14388" s="6" t="str">
        <f>HYPERLINK("https://twitter.com/petrogustavo/status/1391480608552062979","1391480608552062979")</f>
        <v>1391480608552062979</v>
      </c>
      <c r="F14388" s="7" t="s">
        <v>32</v>
      </c>
      <c r="G14388" s="7">
        <v>4229203</v>
      </c>
      <c r="H14388" s="7">
        <v>2511</v>
      </c>
      <c r="I14388" s="7">
        <v>92</v>
      </c>
      <c r="J14388" s="7">
        <v>278</v>
      </c>
      <c r="K14388" s="7" t="s">
        <v>18</v>
      </c>
      <c r="L14388" s="8">
        <v>39987.315405092595</v>
      </c>
      <c r="M14388" s="9" t="s">
        <v>19</v>
      </c>
      <c r="N14388" s="9" t="s">
        <v>20</v>
      </c>
      <c r="O14388" s="6" t="str">
        <f>HYPERLINK("https://pbs.twimg.com/profile_images/962471262747529216/Uo8lOkRJ_normal.jpg","View")</f>
        <v>View</v>
      </c>
      <c r="P14388" s="7"/>
    </row>
    <row r="14389" spans="1:16">
      <c r="A14389" s="3">
        <v>44326.057592592595</v>
      </c>
      <c r="B14389" s="4" t="str">
        <f>HYPERLINK("https://twitter.com/petrogustavo","@petrogustavo")</f>
        <v>@petrogustavo</v>
      </c>
      <c r="C14389" s="5" t="s">
        <v>16</v>
      </c>
      <c r="D14389" s="5" t="s">
        <v>13853</v>
      </c>
      <c r="E14389" s="6" t="str">
        <f>HYPERLINK("https://twitter.com/petrogustavo/status/1391481331679469571","1391481331679469571")</f>
        <v>1391481331679469571</v>
      </c>
      <c r="F14389" s="7" t="s">
        <v>32</v>
      </c>
      <c r="G14389" s="7">
        <v>4229203</v>
      </c>
      <c r="H14389" s="7">
        <v>2511</v>
      </c>
      <c r="I14389" s="7">
        <v>118</v>
      </c>
      <c r="J14389" s="7">
        <v>380</v>
      </c>
      <c r="K14389" s="7" t="s">
        <v>18</v>
      </c>
      <c r="L14389" s="8">
        <v>39987.315405092595</v>
      </c>
      <c r="M14389" s="9" t="s">
        <v>19</v>
      </c>
      <c r="N14389" s="9" t="s">
        <v>20</v>
      </c>
      <c r="O14389" s="6" t="str">
        <f>HYPERLINK("https://pbs.twimg.com/profile_images/962471262747529216/Uo8lOkRJ_normal.jpg","View")</f>
        <v>View</v>
      </c>
      <c r="P14389" s="7"/>
    </row>
    <row r="14390" spans="1:16">
      <c r="A14390" s="3">
        <v>44326.058298611111</v>
      </c>
      <c r="B14390" s="4" t="str">
        <f>HYPERLINK("https://twitter.com/petrogustavo","@petrogustavo")</f>
        <v>@petrogustavo</v>
      </c>
      <c r="C14390" s="5" t="s">
        <v>16</v>
      </c>
      <c r="D14390" s="5" t="s">
        <v>13854</v>
      </c>
      <c r="E14390" s="6" t="str">
        <f>HYPERLINK("https://twitter.com/petrogustavo/status/1391481586189750272","1391481586189750272")</f>
        <v>1391481586189750272</v>
      </c>
      <c r="F14390" s="7" t="s">
        <v>32</v>
      </c>
      <c r="G14390" s="7">
        <v>4229203</v>
      </c>
      <c r="H14390" s="7">
        <v>2511</v>
      </c>
      <c r="I14390" s="7">
        <v>53</v>
      </c>
      <c r="J14390" s="7">
        <v>145</v>
      </c>
      <c r="K14390" s="7" t="s">
        <v>18</v>
      </c>
      <c r="L14390" s="8">
        <v>39987.315405092595</v>
      </c>
      <c r="M14390" s="9" t="s">
        <v>19</v>
      </c>
      <c r="N14390" s="9" t="s">
        <v>20</v>
      </c>
      <c r="O14390" s="6" t="str">
        <f>HYPERLINK("https://pbs.twimg.com/profile_images/962471262747529216/Uo8lOkRJ_normal.jpg","View")</f>
        <v>View</v>
      </c>
      <c r="P14390" s="7"/>
    </row>
    <row r="14391" spans="1:16">
      <c r="A14391" s="3">
        <v>44326.059872685189</v>
      </c>
      <c r="B14391" s="4" t="str">
        <f>HYPERLINK("https://twitter.com/petrogustavo","@petrogustavo")</f>
        <v>@petrogustavo</v>
      </c>
      <c r="C14391" s="5" t="s">
        <v>16</v>
      </c>
      <c r="D14391" s="5" t="s">
        <v>13855</v>
      </c>
      <c r="E14391" s="6" t="str">
        <f>HYPERLINK("https://twitter.com/petrogustavo/status/1391482157915328514","1391482157915328514")</f>
        <v>1391482157915328514</v>
      </c>
      <c r="F14391" s="7" t="s">
        <v>32</v>
      </c>
      <c r="G14391" s="7">
        <v>4229203</v>
      </c>
      <c r="H14391" s="7">
        <v>2511</v>
      </c>
      <c r="I14391" s="7">
        <v>70</v>
      </c>
      <c r="J14391" s="7">
        <v>0</v>
      </c>
      <c r="K14391" s="7" t="s">
        <v>18</v>
      </c>
      <c r="L14391" s="8">
        <v>39987.315405092595</v>
      </c>
      <c r="M14391" s="9" t="s">
        <v>19</v>
      </c>
      <c r="N14391" s="9" t="s">
        <v>20</v>
      </c>
      <c r="O14391" s="6" t="str">
        <f>HYPERLINK("https://pbs.twimg.com/profile_images/962471262747529216/Uo8lOkRJ_normal.jpg","View")</f>
        <v>View</v>
      </c>
      <c r="P14391" s="7"/>
    </row>
    <row r="14392" spans="1:16">
      <c r="A14392" s="3">
        <v>44326.085729166662</v>
      </c>
      <c r="B14392" s="4" t="str">
        <f>HYPERLINK("https://twitter.com/petrogustavo","@petrogustavo")</f>
        <v>@petrogustavo</v>
      </c>
      <c r="C14392" s="5" t="s">
        <v>16</v>
      </c>
      <c r="D14392" s="5" t="s">
        <v>13856</v>
      </c>
      <c r="E14392" s="6" t="str">
        <f>HYPERLINK("https://twitter.com/petrogustavo/status/1391491526468030468","1391491526468030468")</f>
        <v>1391491526468030468</v>
      </c>
      <c r="F14392" s="7" t="s">
        <v>17</v>
      </c>
      <c r="G14392" s="7">
        <v>4229258</v>
      </c>
      <c r="H14392" s="7">
        <v>2511</v>
      </c>
      <c r="I14392" s="7">
        <v>0</v>
      </c>
      <c r="J14392" s="7">
        <v>0</v>
      </c>
      <c r="K14392" s="7" t="s">
        <v>18</v>
      </c>
      <c r="L14392" s="8">
        <v>39987.315405092595</v>
      </c>
      <c r="M14392" s="9" t="s">
        <v>19</v>
      </c>
      <c r="N14392" s="9" t="s">
        <v>20</v>
      </c>
      <c r="O14392" s="6" t="str">
        <f>HYPERLINK("https://pbs.twimg.com/profile_images/962471262747529216/Uo8lOkRJ_normal.jpg","View")</f>
        <v>View</v>
      </c>
      <c r="P14392" s="7"/>
    </row>
    <row r="14393" spans="1:16">
      <c r="A14393" s="3">
        <v>44326.113958333328</v>
      </c>
      <c r="B14393" s="4" t="str">
        <f>HYPERLINK("https://twitter.com/petrogustavo","@petrogustavo")</f>
        <v>@petrogustavo</v>
      </c>
      <c r="C14393" s="5" t="s">
        <v>16</v>
      </c>
      <c r="D14393" s="5" t="s">
        <v>13857</v>
      </c>
      <c r="E14393" s="6" t="str">
        <f>HYPERLINK("https://twitter.com/petrogustavo/status/1391501757709275139","1391501757709275139")</f>
        <v>1391501757709275139</v>
      </c>
      <c r="F14393" s="7" t="s">
        <v>17</v>
      </c>
      <c r="G14393" s="7">
        <v>4229434</v>
      </c>
      <c r="H14393" s="7">
        <v>2511</v>
      </c>
      <c r="I14393" s="7">
        <v>187</v>
      </c>
      <c r="J14393" s="7">
        <v>0</v>
      </c>
      <c r="K14393" s="7" t="s">
        <v>18</v>
      </c>
      <c r="L14393" s="8">
        <v>39987.315405092595</v>
      </c>
      <c r="M14393" s="9" t="s">
        <v>19</v>
      </c>
      <c r="N14393" s="9" t="s">
        <v>20</v>
      </c>
      <c r="O14393" s="6" t="str">
        <f>HYPERLINK("https://pbs.twimg.com/profile_images/962471262747529216/Uo8lOkRJ_normal.jpg","View")</f>
        <v>View</v>
      </c>
      <c r="P14393" s="7"/>
    </row>
    <row r="14394" spans="1:16">
      <c r="A14394" s="3">
        <v>44326.117118055554</v>
      </c>
      <c r="B14394" s="4" t="str">
        <f>HYPERLINK("https://twitter.com/petrogustavo","@petrogustavo")</f>
        <v>@petrogustavo</v>
      </c>
      <c r="C14394" s="5" t="s">
        <v>16</v>
      </c>
      <c r="D14394" s="5" t="s">
        <v>13858</v>
      </c>
      <c r="E14394" s="6" t="str">
        <f>HYPERLINK("https://twitter.com/petrogustavo/status/1391502903282737159","1391502903282737159")</f>
        <v>1391502903282737159</v>
      </c>
      <c r="F14394" s="7" t="s">
        <v>17</v>
      </c>
      <c r="G14394" s="7">
        <v>4229434</v>
      </c>
      <c r="H14394" s="7">
        <v>2511</v>
      </c>
      <c r="I14394" s="7">
        <v>529</v>
      </c>
      <c r="J14394" s="7">
        <v>905</v>
      </c>
      <c r="K14394" s="7" t="s">
        <v>18</v>
      </c>
      <c r="L14394" s="8">
        <v>39987.315405092595</v>
      </c>
      <c r="M14394" s="9" t="s">
        <v>19</v>
      </c>
      <c r="N14394" s="9" t="s">
        <v>20</v>
      </c>
      <c r="O14394" s="6" t="str">
        <f>HYPERLINK("https://pbs.twimg.com/profile_images/962471262747529216/Uo8lOkRJ_normal.jpg","View")</f>
        <v>View</v>
      </c>
      <c r="P14394" s="7"/>
    </row>
    <row r="14395" spans="1:16">
      <c r="A14395" s="3">
        <v>44326.131747685184</v>
      </c>
      <c r="B14395" s="4" t="str">
        <f>HYPERLINK("https://twitter.com/petrogustavo","@petrogustavo")</f>
        <v>@petrogustavo</v>
      </c>
      <c r="C14395" s="5" t="s">
        <v>16</v>
      </c>
      <c r="D14395" s="5" t="s">
        <v>13859</v>
      </c>
      <c r="E14395" s="6" t="str">
        <f>HYPERLINK("https://twitter.com/petrogustavo/status/1391508204178362368","1391508204178362368")</f>
        <v>1391508204178362368</v>
      </c>
      <c r="F14395" s="7" t="s">
        <v>17</v>
      </c>
      <c r="G14395" s="7">
        <v>4229565</v>
      </c>
      <c r="H14395" s="7">
        <v>2511</v>
      </c>
      <c r="I14395" s="7">
        <v>969</v>
      </c>
      <c r="J14395" s="7">
        <v>0</v>
      </c>
      <c r="K14395" s="7" t="s">
        <v>18</v>
      </c>
      <c r="L14395" s="8">
        <v>39987.315405092595</v>
      </c>
      <c r="M14395" s="9" t="s">
        <v>19</v>
      </c>
      <c r="N14395" s="9" t="s">
        <v>20</v>
      </c>
      <c r="O14395" s="6" t="str">
        <f>HYPERLINK("https://pbs.twimg.com/profile_images/962471262747529216/Uo8lOkRJ_normal.jpg","View")</f>
        <v>View</v>
      </c>
      <c r="P14395" s="7"/>
    </row>
    <row r="14396" spans="1:16">
      <c r="A14396" s="3">
        <v>44326.155104166668</v>
      </c>
      <c r="B14396" s="4" t="str">
        <f>HYPERLINK("https://twitter.com/petrogustavo","@petrogustavo")</f>
        <v>@petrogustavo</v>
      </c>
      <c r="C14396" s="5" t="s">
        <v>16</v>
      </c>
      <c r="D14396" s="5" t="s">
        <v>13860</v>
      </c>
      <c r="E14396" s="6" t="str">
        <f>HYPERLINK("https://twitter.com/petrogustavo/status/1391516669386887168","1391516669386887168")</f>
        <v>1391516669386887168</v>
      </c>
      <c r="F14396" s="7" t="s">
        <v>17</v>
      </c>
      <c r="G14396" s="7">
        <v>4229625</v>
      </c>
      <c r="H14396" s="7">
        <v>2511</v>
      </c>
      <c r="I14396" s="7">
        <v>474</v>
      </c>
      <c r="J14396" s="7">
        <v>1246</v>
      </c>
      <c r="K14396" s="7" t="s">
        <v>18</v>
      </c>
      <c r="L14396" s="8">
        <v>39987.315405092595</v>
      </c>
      <c r="M14396" s="9" t="s">
        <v>19</v>
      </c>
      <c r="N14396" s="9" t="s">
        <v>20</v>
      </c>
      <c r="O14396" s="6" t="str">
        <f>HYPERLINK("https://pbs.twimg.com/profile_images/962471262747529216/Uo8lOkRJ_normal.jpg","View")</f>
        <v>View</v>
      </c>
      <c r="P14396" s="7"/>
    </row>
    <row r="14397" spans="1:16">
      <c r="A14397" s="3">
        <v>44326.155115740738</v>
      </c>
      <c r="B14397" s="4" t="str">
        <f>HYPERLINK("https://twitter.com/petrogustavo","@petrogustavo")</f>
        <v>@petrogustavo</v>
      </c>
      <c r="C14397" s="5" t="s">
        <v>16</v>
      </c>
      <c r="D14397" s="5" t="s">
        <v>13861</v>
      </c>
      <c r="E14397" s="6" t="str">
        <f>HYPERLINK("https://twitter.com/petrogustavo/status/1391516670561341445","1391516670561341445")</f>
        <v>1391516670561341445</v>
      </c>
      <c r="F14397" s="7" t="s">
        <v>17</v>
      </c>
      <c r="G14397" s="7">
        <v>4229625</v>
      </c>
      <c r="H14397" s="7">
        <v>2511</v>
      </c>
      <c r="I14397" s="7">
        <v>182</v>
      </c>
      <c r="J14397" s="7">
        <v>681</v>
      </c>
      <c r="K14397" s="7" t="s">
        <v>18</v>
      </c>
      <c r="L14397" s="8">
        <v>39987.315405092595</v>
      </c>
      <c r="M14397" s="9" t="s">
        <v>19</v>
      </c>
      <c r="N14397" s="9" t="s">
        <v>20</v>
      </c>
      <c r="O14397" s="6" t="str">
        <f>HYPERLINK("https://pbs.twimg.com/profile_images/962471262747529216/Uo8lOkRJ_normal.jpg","View")</f>
        <v>View</v>
      </c>
      <c r="P14397" s="7"/>
    </row>
    <row r="14398" spans="1:16">
      <c r="A14398" s="3">
        <v>44326.155115740738</v>
      </c>
      <c r="B14398" s="4" t="str">
        <f>HYPERLINK("https://twitter.com/petrogustavo","@petrogustavo")</f>
        <v>@petrogustavo</v>
      </c>
      <c r="C14398" s="5" t="s">
        <v>16</v>
      </c>
      <c r="D14398" s="5" t="s">
        <v>13862</v>
      </c>
      <c r="E14398" s="6" t="str">
        <f>HYPERLINK("https://twitter.com/petrogustavo/status/1391516671744036866","1391516671744036866")</f>
        <v>1391516671744036866</v>
      </c>
      <c r="F14398" s="7" t="s">
        <v>17</v>
      </c>
      <c r="G14398" s="7">
        <v>4229625</v>
      </c>
      <c r="H14398" s="7">
        <v>2511</v>
      </c>
      <c r="I14398" s="7">
        <v>295</v>
      </c>
      <c r="J14398" s="7">
        <v>960</v>
      </c>
      <c r="K14398" s="7" t="s">
        <v>18</v>
      </c>
      <c r="L14398" s="8">
        <v>39987.315405092595</v>
      </c>
      <c r="M14398" s="9" t="s">
        <v>19</v>
      </c>
      <c r="N14398" s="9" t="s">
        <v>20</v>
      </c>
      <c r="O14398" s="6" t="str">
        <f>HYPERLINK("https://pbs.twimg.com/profile_images/962471262747529216/Uo8lOkRJ_normal.jpg","View")</f>
        <v>View</v>
      </c>
      <c r="P14398" s="7"/>
    </row>
    <row r="14399" spans="1:16">
      <c r="A14399" s="3">
        <v>44326.17024305556</v>
      </c>
      <c r="B14399" s="4" t="str">
        <f>HYPERLINK("https://twitter.com/petrogustavo","@petrogustavo")</f>
        <v>@petrogustavo</v>
      </c>
      <c r="C14399" s="5" t="s">
        <v>16</v>
      </c>
      <c r="D14399" s="5" t="s">
        <v>13863</v>
      </c>
      <c r="E14399" s="6" t="str">
        <f>HYPERLINK("https://twitter.com/petrogustavo/status/1391522155221995522","1391522155221995522")</f>
        <v>1391522155221995522</v>
      </c>
      <c r="F14399" s="7" t="s">
        <v>17</v>
      </c>
      <c r="G14399" s="7">
        <v>4229742</v>
      </c>
      <c r="H14399" s="7">
        <v>2511</v>
      </c>
      <c r="I14399" s="7">
        <v>338</v>
      </c>
      <c r="J14399" s="7">
        <v>684</v>
      </c>
      <c r="K14399" s="7" t="s">
        <v>18</v>
      </c>
      <c r="L14399" s="8">
        <v>39987.315405092595</v>
      </c>
      <c r="M14399" s="9" t="s">
        <v>19</v>
      </c>
      <c r="N14399" s="9" t="s">
        <v>20</v>
      </c>
      <c r="O14399" s="6" t="str">
        <f>HYPERLINK("https://pbs.twimg.com/profile_images/962471262747529216/Uo8lOkRJ_normal.jpg","View")</f>
        <v>View</v>
      </c>
      <c r="P14399" s="7"/>
    </row>
    <row r="14400" spans="1:16">
      <c r="A14400" s="3">
        <v>44326.172337962962</v>
      </c>
      <c r="B14400" s="4" t="str">
        <f>HYPERLINK("https://twitter.com/petrogustavo","@petrogustavo")</f>
        <v>@petrogustavo</v>
      </c>
      <c r="C14400" s="5" t="s">
        <v>16</v>
      </c>
      <c r="D14400" s="5" t="s">
        <v>13864</v>
      </c>
      <c r="E14400" s="6" t="str">
        <f>HYPERLINK("https://twitter.com/petrogustavo/status/1391522914772688904","1391522914772688904")</f>
        <v>1391522914772688904</v>
      </c>
      <c r="F14400" s="7" t="s">
        <v>17</v>
      </c>
      <c r="G14400" s="7">
        <v>4229742</v>
      </c>
      <c r="H14400" s="7">
        <v>2511</v>
      </c>
      <c r="I14400" s="7">
        <v>507</v>
      </c>
      <c r="J14400" s="7">
        <v>0</v>
      </c>
      <c r="K14400" s="7" t="s">
        <v>18</v>
      </c>
      <c r="L14400" s="8">
        <v>39987.315405092595</v>
      </c>
      <c r="M14400" s="9" t="s">
        <v>19</v>
      </c>
      <c r="N14400" s="9" t="s">
        <v>20</v>
      </c>
      <c r="O14400" s="6" t="str">
        <f>HYPERLINK("https://pbs.twimg.com/profile_images/962471262747529216/Uo8lOkRJ_normal.jpg","View")</f>
        <v>View</v>
      </c>
      <c r="P14400" s="7"/>
    </row>
    <row r="14401" spans="1:16">
      <c r="A14401" s="3">
        <v>44326.172615740739</v>
      </c>
      <c r="B14401" s="4" t="str">
        <f>HYPERLINK("https://twitter.com/petrogustavo","@petrogustavo")</f>
        <v>@petrogustavo</v>
      </c>
      <c r="C14401" s="5" t="s">
        <v>16</v>
      </c>
      <c r="D14401" s="5" t="s">
        <v>13865</v>
      </c>
      <c r="E14401" s="6" t="str">
        <f>HYPERLINK("https://twitter.com/petrogustavo/status/1391523012986523648","1391523012986523648")</f>
        <v>1391523012986523648</v>
      </c>
      <c r="F14401" s="7" t="s">
        <v>17</v>
      </c>
      <c r="G14401" s="7">
        <v>4229742</v>
      </c>
      <c r="H14401" s="7">
        <v>2511</v>
      </c>
      <c r="I14401" s="7">
        <v>581</v>
      </c>
      <c r="J14401" s="7">
        <v>0</v>
      </c>
      <c r="K14401" s="7" t="s">
        <v>18</v>
      </c>
      <c r="L14401" s="8">
        <v>39987.315405092595</v>
      </c>
      <c r="M14401" s="9" t="s">
        <v>19</v>
      </c>
      <c r="N14401" s="9" t="s">
        <v>20</v>
      </c>
      <c r="O14401" s="6" t="str">
        <f>HYPERLINK("https://pbs.twimg.com/profile_images/962471262747529216/Uo8lOkRJ_normal.jpg","View")</f>
        <v>View</v>
      </c>
      <c r="P14401" s="7"/>
    </row>
    <row r="14402" spans="1:16">
      <c r="A14402" s="3">
        <v>44326.182326388887</v>
      </c>
      <c r="B14402" s="4" t="str">
        <f>HYPERLINK("https://twitter.com/petrogustavo","@petrogustavo")</f>
        <v>@petrogustavo</v>
      </c>
      <c r="C14402" s="5" t="s">
        <v>16</v>
      </c>
      <c r="D14402" s="5" t="s">
        <v>13866</v>
      </c>
      <c r="E14402" s="6" t="str">
        <f>HYPERLINK("https://twitter.com/petrogustavo/status/1391526534893162496","1391526534893162496")</f>
        <v>1391526534893162496</v>
      </c>
      <c r="F14402" s="7" t="s">
        <v>17</v>
      </c>
      <c r="G14402" s="7">
        <v>4229742</v>
      </c>
      <c r="H14402" s="7">
        <v>2511</v>
      </c>
      <c r="I14402" s="7">
        <v>421</v>
      </c>
      <c r="J14402" s="7">
        <v>833</v>
      </c>
      <c r="K14402" s="7" t="s">
        <v>18</v>
      </c>
      <c r="L14402" s="8">
        <v>39987.315405092595</v>
      </c>
      <c r="M14402" s="9" t="s">
        <v>19</v>
      </c>
      <c r="N14402" s="9" t="s">
        <v>20</v>
      </c>
      <c r="O14402" s="6" t="str">
        <f>HYPERLINK("https://pbs.twimg.com/profile_images/962471262747529216/Uo8lOkRJ_normal.jpg","View")</f>
        <v>View</v>
      </c>
      <c r="P14402" s="7"/>
    </row>
    <row r="14403" spans="1:16">
      <c r="A14403" s="3">
        <v>44326.185289351852</v>
      </c>
      <c r="B14403" s="4" t="str">
        <f>HYPERLINK("https://twitter.com/petrogustavo","@petrogustavo")</f>
        <v>@petrogustavo</v>
      </c>
      <c r="C14403" s="5" t="s">
        <v>16</v>
      </c>
      <c r="D14403" s="5" t="s">
        <v>13867</v>
      </c>
      <c r="E14403" s="6" t="str">
        <f>HYPERLINK("https://twitter.com/petrogustavo/status/1391527606936346627","1391527606936346627")</f>
        <v>1391527606936346627</v>
      </c>
      <c r="F14403" s="7" t="s">
        <v>17</v>
      </c>
      <c r="G14403" s="7">
        <v>4229742</v>
      </c>
      <c r="H14403" s="7">
        <v>2511</v>
      </c>
      <c r="I14403" s="7">
        <v>557</v>
      </c>
      <c r="J14403" s="7">
        <v>0</v>
      </c>
      <c r="K14403" s="7" t="s">
        <v>18</v>
      </c>
      <c r="L14403" s="8">
        <v>39987.315405092595</v>
      </c>
      <c r="M14403" s="9" t="s">
        <v>19</v>
      </c>
      <c r="N14403" s="9" t="s">
        <v>20</v>
      </c>
      <c r="O14403" s="6" t="str">
        <f>HYPERLINK("https://pbs.twimg.com/profile_images/962471262747529216/Uo8lOkRJ_normal.jpg","View")</f>
        <v>View</v>
      </c>
      <c r="P14403" s="7"/>
    </row>
    <row r="14404" spans="1:16">
      <c r="A14404" s="3">
        <v>44326.1877662037</v>
      </c>
      <c r="B14404" s="4" t="str">
        <f>HYPERLINK("https://twitter.com/petrogustavo","@petrogustavo")</f>
        <v>@petrogustavo</v>
      </c>
      <c r="C14404" s="5" t="s">
        <v>16</v>
      </c>
      <c r="D14404" s="5" t="s">
        <v>13868</v>
      </c>
      <c r="E14404" s="6" t="str">
        <f>HYPERLINK("https://twitter.com/petrogustavo/status/1391528505050124295","1391528505050124295")</f>
        <v>1391528505050124295</v>
      </c>
      <c r="F14404" s="7" t="s">
        <v>17</v>
      </c>
      <c r="G14404" s="7">
        <v>4229742</v>
      </c>
      <c r="H14404" s="7">
        <v>2511</v>
      </c>
      <c r="I14404" s="7">
        <v>154</v>
      </c>
      <c r="J14404" s="7">
        <v>314</v>
      </c>
      <c r="K14404" s="7" t="s">
        <v>18</v>
      </c>
      <c r="L14404" s="8">
        <v>39987.315405092595</v>
      </c>
      <c r="M14404" s="9" t="s">
        <v>19</v>
      </c>
      <c r="N14404" s="9" t="s">
        <v>20</v>
      </c>
      <c r="O14404" s="6" t="str">
        <f>HYPERLINK("https://pbs.twimg.com/profile_images/962471262747529216/Uo8lOkRJ_normal.jpg","View")</f>
        <v>View</v>
      </c>
      <c r="P14404" s="7"/>
    </row>
    <row r="14405" spans="1:16">
      <c r="A14405" s="3">
        <v>44326.190671296295</v>
      </c>
      <c r="B14405" s="4" t="str">
        <f>HYPERLINK("https://twitter.com/petrogustavo","@petrogustavo")</f>
        <v>@petrogustavo</v>
      </c>
      <c r="C14405" s="5" t="s">
        <v>16</v>
      </c>
      <c r="D14405" s="5" t="s">
        <v>13869</v>
      </c>
      <c r="E14405" s="6" t="str">
        <f>HYPERLINK("https://twitter.com/petrogustavo/status/1391529558302773248","1391529558302773248")</f>
        <v>1391529558302773248</v>
      </c>
      <c r="F14405" s="7" t="s">
        <v>17</v>
      </c>
      <c r="G14405" s="7">
        <v>4229864</v>
      </c>
      <c r="H14405" s="7">
        <v>2511</v>
      </c>
      <c r="I14405" s="7">
        <v>694</v>
      </c>
      <c r="J14405" s="7">
        <v>1301</v>
      </c>
      <c r="K14405" s="7" t="s">
        <v>18</v>
      </c>
      <c r="L14405" s="8">
        <v>39987.315405092595</v>
      </c>
      <c r="M14405" s="9" t="s">
        <v>19</v>
      </c>
      <c r="N14405" s="9" t="s">
        <v>20</v>
      </c>
      <c r="O14405" s="6" t="str">
        <f>HYPERLINK("https://pbs.twimg.com/profile_images/962471262747529216/Uo8lOkRJ_normal.jpg","View")</f>
        <v>View</v>
      </c>
      <c r="P14405" s="7"/>
    </row>
    <row r="14406" spans="1:16">
      <c r="A14406" s="3">
        <v>44326.196527777778</v>
      </c>
      <c r="B14406" s="4" t="str">
        <f>HYPERLINK("https://twitter.com/petrogustavo","@petrogustavo")</f>
        <v>@petrogustavo</v>
      </c>
      <c r="C14406" s="5" t="s">
        <v>16</v>
      </c>
      <c r="D14406" s="5" t="s">
        <v>13870</v>
      </c>
      <c r="E14406" s="6" t="str">
        <f>HYPERLINK("https://twitter.com/petrogustavo/status/1391531678502432769","1391531678502432769")</f>
        <v>1391531678502432769</v>
      </c>
      <c r="F14406" s="7" t="s">
        <v>17</v>
      </c>
      <c r="G14406" s="7">
        <v>4229864</v>
      </c>
      <c r="H14406" s="7">
        <v>2511</v>
      </c>
      <c r="I14406" s="7">
        <v>860</v>
      </c>
      <c r="J14406" s="7">
        <v>1525</v>
      </c>
      <c r="K14406" s="7" t="s">
        <v>18</v>
      </c>
      <c r="L14406" s="8">
        <v>39987.315405092595</v>
      </c>
      <c r="M14406" s="9" t="s">
        <v>19</v>
      </c>
      <c r="N14406" s="9" t="s">
        <v>20</v>
      </c>
      <c r="O14406" s="6" t="str">
        <f>HYPERLINK("https://pbs.twimg.com/profile_images/962471262747529216/Uo8lOkRJ_normal.jpg","View")</f>
        <v>View</v>
      </c>
      <c r="P14406" s="7"/>
    </row>
    <row r="14407" spans="1:16">
      <c r="A14407" s="3">
        <v>44326.205381944441</v>
      </c>
      <c r="B14407" s="4" t="str">
        <f>HYPERLINK("https://twitter.com/petrogustavo","@petrogustavo")</f>
        <v>@petrogustavo</v>
      </c>
      <c r="C14407" s="5" t="s">
        <v>16</v>
      </c>
      <c r="D14407" s="5" t="s">
        <v>13871</v>
      </c>
      <c r="E14407" s="6" t="str">
        <f>HYPERLINK("https://twitter.com/petrogustavo/status/1391534886746480643","1391534886746480643")</f>
        <v>1391534886746480643</v>
      </c>
      <c r="F14407" s="7" t="s">
        <v>32</v>
      </c>
      <c r="G14407" s="7">
        <v>4229864</v>
      </c>
      <c r="H14407" s="7">
        <v>2511</v>
      </c>
      <c r="I14407" s="7">
        <v>190</v>
      </c>
      <c r="J14407" s="7">
        <v>394</v>
      </c>
      <c r="K14407" s="7" t="s">
        <v>18</v>
      </c>
      <c r="L14407" s="8">
        <v>39987.315405092595</v>
      </c>
      <c r="M14407" s="9" t="s">
        <v>19</v>
      </c>
      <c r="N14407" s="9" t="s">
        <v>20</v>
      </c>
      <c r="O14407" s="6" t="str">
        <f>HYPERLINK("https://pbs.twimg.com/profile_images/962471262747529216/Uo8lOkRJ_normal.jpg","View")</f>
        <v>View</v>
      </c>
      <c r="P14407" s="7"/>
    </row>
    <row r="14408" spans="1:16">
      <c r="A14408" s="3">
        <v>44326.207025462965</v>
      </c>
      <c r="B14408" s="4" t="str">
        <f>HYPERLINK("https://twitter.com/petrogustavo","@petrogustavo")</f>
        <v>@petrogustavo</v>
      </c>
      <c r="C14408" s="5" t="s">
        <v>16</v>
      </c>
      <c r="D14408" s="5" t="s">
        <v>13872</v>
      </c>
      <c r="E14408" s="6" t="str">
        <f>HYPERLINK("https://twitter.com/petrogustavo/status/1391535485697277952","1391535485697277952")</f>
        <v>1391535485697277952</v>
      </c>
      <c r="F14408" s="7" t="s">
        <v>32</v>
      </c>
      <c r="G14408" s="7">
        <v>4229864</v>
      </c>
      <c r="H14408" s="7">
        <v>2511</v>
      </c>
      <c r="I14408" s="7">
        <v>333</v>
      </c>
      <c r="J14408" s="7">
        <v>753</v>
      </c>
      <c r="K14408" s="7" t="s">
        <v>18</v>
      </c>
      <c r="L14408" s="8">
        <v>39987.315405092595</v>
      </c>
      <c r="M14408" s="9" t="s">
        <v>19</v>
      </c>
      <c r="N14408" s="9" t="s">
        <v>20</v>
      </c>
      <c r="O14408" s="6" t="str">
        <f>HYPERLINK("https://pbs.twimg.com/profile_images/962471262747529216/Uo8lOkRJ_normal.jpg","View")</f>
        <v>View</v>
      </c>
      <c r="P14408" s="7"/>
    </row>
    <row r="14409" spans="1:16">
      <c r="A14409" s="3">
        <v>44326.209236111114</v>
      </c>
      <c r="B14409" s="4" t="str">
        <f>HYPERLINK("https://twitter.com/petrogustavo","@petrogustavo")</f>
        <v>@petrogustavo</v>
      </c>
      <c r="C14409" s="5" t="s">
        <v>16</v>
      </c>
      <c r="D14409" s="5" t="s">
        <v>13873</v>
      </c>
      <c r="E14409" s="6" t="str">
        <f>HYPERLINK("https://twitter.com/petrogustavo/status/1391536286532571139","1391536286532571139")</f>
        <v>1391536286532571139</v>
      </c>
      <c r="F14409" s="7" t="s">
        <v>32</v>
      </c>
      <c r="G14409" s="7">
        <v>4229864</v>
      </c>
      <c r="H14409" s="7">
        <v>2511</v>
      </c>
      <c r="I14409" s="7">
        <v>61</v>
      </c>
      <c r="J14409" s="7">
        <v>196</v>
      </c>
      <c r="K14409" s="7" t="s">
        <v>18</v>
      </c>
      <c r="L14409" s="8">
        <v>39987.315405092595</v>
      </c>
      <c r="M14409" s="9" t="s">
        <v>19</v>
      </c>
      <c r="N14409" s="9" t="s">
        <v>20</v>
      </c>
      <c r="O14409" s="6" t="str">
        <f>HYPERLINK("https://pbs.twimg.com/profile_images/962471262747529216/Uo8lOkRJ_normal.jpg","View")</f>
        <v>View</v>
      </c>
      <c r="P14409" s="7"/>
    </row>
    <row r="14410" spans="1:16">
      <c r="A14410" s="3">
        <v>44326.217858796299</v>
      </c>
      <c r="B14410" s="4" t="str">
        <f>HYPERLINK("https://twitter.com/petrogustavo","@petrogustavo")</f>
        <v>@petrogustavo</v>
      </c>
      <c r="C14410" s="5" t="s">
        <v>16</v>
      </c>
      <c r="D14410" s="5" t="s">
        <v>13874</v>
      </c>
      <c r="E14410" s="6" t="str">
        <f>HYPERLINK("https://twitter.com/petrogustavo/status/1391539410534031376","1391539410534031376")</f>
        <v>1391539410534031376</v>
      </c>
      <c r="F14410" s="7" t="s">
        <v>32</v>
      </c>
      <c r="G14410" s="7">
        <v>4230005</v>
      </c>
      <c r="H14410" s="7">
        <v>2511</v>
      </c>
      <c r="I14410" s="7">
        <v>840</v>
      </c>
      <c r="J14410" s="7">
        <v>3104</v>
      </c>
      <c r="K14410" s="7" t="s">
        <v>18</v>
      </c>
      <c r="L14410" s="8">
        <v>39987.315405092595</v>
      </c>
      <c r="M14410" s="9" t="s">
        <v>19</v>
      </c>
      <c r="N14410" s="9" t="s">
        <v>20</v>
      </c>
      <c r="O14410" s="6" t="str">
        <f>HYPERLINK("https://pbs.twimg.com/profile_images/962471262747529216/Uo8lOkRJ_normal.jpg","View")</f>
        <v>View</v>
      </c>
      <c r="P14410" s="7"/>
    </row>
    <row r="14411" spans="1:16">
      <c r="A14411" s="3">
        <v>44326.220995370371</v>
      </c>
      <c r="B14411" s="4" t="str">
        <f>HYPERLINK("https://twitter.com/petrogustavo","@petrogustavo")</f>
        <v>@petrogustavo</v>
      </c>
      <c r="C14411" s="5" t="s">
        <v>16</v>
      </c>
      <c r="D14411" s="5" t="s">
        <v>13875</v>
      </c>
      <c r="E14411" s="6" t="str">
        <f>HYPERLINK("https://twitter.com/petrogustavo/status/1391540544472559617","1391540544472559617")</f>
        <v>1391540544472559617</v>
      </c>
      <c r="F14411" s="7" t="s">
        <v>32</v>
      </c>
      <c r="G14411" s="7">
        <v>4230005</v>
      </c>
      <c r="H14411" s="7">
        <v>2511</v>
      </c>
      <c r="I14411" s="7">
        <v>319</v>
      </c>
      <c r="J14411" s="7">
        <v>746</v>
      </c>
      <c r="K14411" s="7" t="s">
        <v>18</v>
      </c>
      <c r="L14411" s="8">
        <v>39987.315405092595</v>
      </c>
      <c r="M14411" s="9" t="s">
        <v>19</v>
      </c>
      <c r="N14411" s="9" t="s">
        <v>20</v>
      </c>
      <c r="O14411" s="6" t="str">
        <f>HYPERLINK("https://pbs.twimg.com/profile_images/962471262747529216/Uo8lOkRJ_normal.jpg","View")</f>
        <v>View</v>
      </c>
      <c r="P14411" s="7"/>
    </row>
    <row r="14412" spans="1:16">
      <c r="A14412" s="3">
        <v>44326.236666666664</v>
      </c>
      <c r="B14412" s="4" t="str">
        <f>HYPERLINK("https://twitter.com/petrogustavo","@petrogustavo")</f>
        <v>@petrogustavo</v>
      </c>
      <c r="C14412" s="5" t="s">
        <v>16</v>
      </c>
      <c r="D14412" s="5" t="s">
        <v>13876</v>
      </c>
      <c r="E14412" s="6" t="str">
        <f>HYPERLINK("https://twitter.com/petrogustavo/status/1391546224986124288","1391546224986124288")</f>
        <v>1391546224986124288</v>
      </c>
      <c r="F14412" s="7" t="s">
        <v>22</v>
      </c>
      <c r="G14412" s="7">
        <v>4230203</v>
      </c>
      <c r="H14412" s="7">
        <v>2511</v>
      </c>
      <c r="I14412" s="7">
        <v>191</v>
      </c>
      <c r="J14412" s="7">
        <v>411</v>
      </c>
      <c r="K14412" s="7" t="s">
        <v>18</v>
      </c>
      <c r="L14412" s="8">
        <v>39987.315405092595</v>
      </c>
      <c r="M14412" s="9" t="s">
        <v>19</v>
      </c>
      <c r="N14412" s="9" t="s">
        <v>20</v>
      </c>
      <c r="O14412" s="6" t="str">
        <f>HYPERLINK("https://pbs.twimg.com/profile_images/962471262747529216/Uo8lOkRJ_normal.jpg","View")</f>
        <v>View</v>
      </c>
      <c r="P14412" s="7"/>
    </row>
    <row r="14413" spans="1:16">
      <c r="A14413" s="3">
        <v>44326.35125</v>
      </c>
      <c r="B14413" s="4" t="str">
        <f>HYPERLINK("https://twitter.com/petrogustavo","@petrogustavo")</f>
        <v>@petrogustavo</v>
      </c>
      <c r="C14413" s="5" t="s">
        <v>16</v>
      </c>
      <c r="D14413" s="5" t="s">
        <v>13877</v>
      </c>
      <c r="E14413" s="6" t="str">
        <f>HYPERLINK("https://twitter.com/petrogustavo/status/1391587750432886784","1391587750432886784")</f>
        <v>1391587750432886784</v>
      </c>
      <c r="F14413" s="7" t="s">
        <v>32</v>
      </c>
      <c r="G14413" s="7">
        <v>4231190</v>
      </c>
      <c r="H14413" s="7">
        <v>2511</v>
      </c>
      <c r="I14413" s="7">
        <v>934</v>
      </c>
      <c r="J14413" s="7">
        <v>0</v>
      </c>
      <c r="K14413" s="7" t="s">
        <v>18</v>
      </c>
      <c r="L14413" s="8">
        <v>39987.315405092595</v>
      </c>
      <c r="M14413" s="9" t="s">
        <v>19</v>
      </c>
      <c r="N14413" s="9" t="s">
        <v>20</v>
      </c>
      <c r="O14413" s="6" t="str">
        <f>HYPERLINK("https://pbs.twimg.com/profile_images/962471262747529216/Uo8lOkRJ_normal.jpg","View")</f>
        <v>View</v>
      </c>
      <c r="P14413" s="7"/>
    </row>
    <row r="14414" spans="1:16">
      <c r="A14414" s="3">
        <v>44326.351284722223</v>
      </c>
      <c r="B14414" s="4" t="str">
        <f>HYPERLINK("https://twitter.com/petrogustavo","@petrogustavo")</f>
        <v>@petrogustavo</v>
      </c>
      <c r="C14414" s="5" t="s">
        <v>16</v>
      </c>
      <c r="D14414" s="5" t="s">
        <v>13878</v>
      </c>
      <c r="E14414" s="6" t="str">
        <f>HYPERLINK("https://twitter.com/petrogustavo/status/1391587763477176320","1391587763477176320")</f>
        <v>1391587763477176320</v>
      </c>
      <c r="F14414" s="7" t="s">
        <v>32</v>
      </c>
      <c r="G14414" s="7">
        <v>4231190</v>
      </c>
      <c r="H14414" s="7">
        <v>2511</v>
      </c>
      <c r="I14414" s="7">
        <v>919</v>
      </c>
      <c r="J14414" s="7">
        <v>0</v>
      </c>
      <c r="K14414" s="7" t="s">
        <v>18</v>
      </c>
      <c r="L14414" s="8">
        <v>39987.315405092595</v>
      </c>
      <c r="M14414" s="9" t="s">
        <v>19</v>
      </c>
      <c r="N14414" s="9" t="s">
        <v>20</v>
      </c>
      <c r="O14414" s="6" t="str">
        <f>HYPERLINK("https://pbs.twimg.com/profile_images/962471262747529216/Uo8lOkRJ_normal.jpg","View")</f>
        <v>View</v>
      </c>
      <c r="P14414" s="7"/>
    </row>
    <row r="14415" spans="1:16">
      <c r="A14415" s="3">
        <v>44326.353252314817</v>
      </c>
      <c r="B14415" s="4" t="str">
        <f>HYPERLINK("https://twitter.com/petrogustavo","@petrogustavo")</f>
        <v>@petrogustavo</v>
      </c>
      <c r="C14415" s="5" t="s">
        <v>16</v>
      </c>
      <c r="D14415" s="5" t="s">
        <v>13879</v>
      </c>
      <c r="E14415" s="6" t="str">
        <f>HYPERLINK("https://twitter.com/petrogustavo/status/1391588475414138893","1391588475414138893")</f>
        <v>1391588475414138893</v>
      </c>
      <c r="F14415" s="7" t="s">
        <v>32</v>
      </c>
      <c r="G14415" s="7">
        <v>4231190</v>
      </c>
      <c r="H14415" s="7">
        <v>2511</v>
      </c>
      <c r="I14415" s="7">
        <v>334</v>
      </c>
      <c r="J14415" s="7">
        <v>587</v>
      </c>
      <c r="K14415" s="7" t="s">
        <v>18</v>
      </c>
      <c r="L14415" s="8">
        <v>39987.315405092595</v>
      </c>
      <c r="M14415" s="9" t="s">
        <v>19</v>
      </c>
      <c r="N14415" s="9" t="s">
        <v>20</v>
      </c>
      <c r="O14415" s="6" t="str">
        <f>HYPERLINK("https://pbs.twimg.com/profile_images/962471262747529216/Uo8lOkRJ_normal.jpg","View")</f>
        <v>View</v>
      </c>
      <c r="P14415" s="7"/>
    </row>
    <row r="14416" spans="1:16">
      <c r="A14416" s="3">
        <v>44326.374895833331</v>
      </c>
      <c r="B14416" s="4" t="str">
        <f>HYPERLINK("https://twitter.com/petrogustavo","@petrogustavo")</f>
        <v>@petrogustavo</v>
      </c>
      <c r="C14416" s="5" t="s">
        <v>16</v>
      </c>
      <c r="D14416" s="5" t="s">
        <v>13880</v>
      </c>
      <c r="E14416" s="6" t="str">
        <f>HYPERLINK("https://twitter.com/petrogustavo/status/1391596318343184391","1391596318343184391")</f>
        <v>1391596318343184391</v>
      </c>
      <c r="F14416" s="7" t="s">
        <v>17</v>
      </c>
      <c r="G14416" s="7">
        <v>4231403</v>
      </c>
      <c r="H14416" s="7">
        <v>2511</v>
      </c>
      <c r="I14416" s="7">
        <v>176</v>
      </c>
      <c r="J14416" s="7">
        <v>529</v>
      </c>
      <c r="K14416" s="7" t="s">
        <v>18</v>
      </c>
      <c r="L14416" s="8">
        <v>39987.315405092595</v>
      </c>
      <c r="M14416" s="9" t="s">
        <v>19</v>
      </c>
      <c r="N14416" s="9" t="s">
        <v>20</v>
      </c>
      <c r="O14416" s="6" t="str">
        <f>HYPERLINK("https://pbs.twimg.com/profile_images/962471262747529216/Uo8lOkRJ_normal.jpg","View")</f>
        <v>View</v>
      </c>
      <c r="P14416" s="7"/>
    </row>
    <row r="14417" spans="1:16">
      <c r="A14417" s="3">
        <v>44326.757314814815</v>
      </c>
      <c r="B14417" s="4" t="str">
        <f>HYPERLINK("https://twitter.com/petrogustavo","@petrogustavo")</f>
        <v>@petrogustavo</v>
      </c>
      <c r="C14417" s="5" t="s">
        <v>16</v>
      </c>
      <c r="D14417" s="5" t="s">
        <v>13881</v>
      </c>
      <c r="E14417" s="6" t="str">
        <f>HYPERLINK("https://twitter.com/petrogustavo/status/1391734903822331904","1391734903822331904")</f>
        <v>1391734903822331904</v>
      </c>
      <c r="F14417" s="7" t="s">
        <v>32</v>
      </c>
      <c r="G14417" s="7">
        <v>4232602</v>
      </c>
      <c r="H14417" s="7">
        <v>2511</v>
      </c>
      <c r="I14417" s="7">
        <v>977</v>
      </c>
      <c r="J14417" s="7">
        <v>0</v>
      </c>
      <c r="K14417" s="7" t="s">
        <v>18</v>
      </c>
      <c r="L14417" s="8">
        <v>39987.315405092595</v>
      </c>
      <c r="M14417" s="9" t="s">
        <v>19</v>
      </c>
      <c r="N14417" s="9" t="s">
        <v>20</v>
      </c>
      <c r="O14417" s="6" t="str">
        <f>HYPERLINK("https://pbs.twimg.com/profile_images/962471262747529216/Uo8lOkRJ_normal.jpg","View")</f>
        <v>View</v>
      </c>
      <c r="P14417" s="7"/>
    </row>
    <row r="14418" spans="1:16">
      <c r="A14418" s="3">
        <v>44326.758761574078</v>
      </c>
      <c r="B14418" s="4" t="str">
        <f>HYPERLINK("https://twitter.com/petrogustavo","@petrogustavo")</f>
        <v>@petrogustavo</v>
      </c>
      <c r="C14418" s="5" t="s">
        <v>16</v>
      </c>
      <c r="D14418" s="5" t="s">
        <v>13882</v>
      </c>
      <c r="E14418" s="6" t="str">
        <f>HYPERLINK("https://twitter.com/petrogustavo/status/1391735427795668994","1391735427795668994")</f>
        <v>1391735427795668994</v>
      </c>
      <c r="F14418" s="7" t="s">
        <v>32</v>
      </c>
      <c r="G14418" s="7">
        <v>4232602</v>
      </c>
      <c r="H14418" s="7">
        <v>2511</v>
      </c>
      <c r="I14418" s="7">
        <v>1671</v>
      </c>
      <c r="J14418" s="7">
        <v>0</v>
      </c>
      <c r="K14418" s="7" t="s">
        <v>18</v>
      </c>
      <c r="L14418" s="8">
        <v>39987.315405092595</v>
      </c>
      <c r="M14418" s="9" t="s">
        <v>19</v>
      </c>
      <c r="N14418" s="9" t="s">
        <v>20</v>
      </c>
      <c r="O14418" s="6" t="str">
        <f>HYPERLINK("https://pbs.twimg.com/profile_images/962471262747529216/Uo8lOkRJ_normal.jpg","View")</f>
        <v>View</v>
      </c>
      <c r="P14418" s="7"/>
    </row>
    <row r="14419" spans="1:16">
      <c r="A14419" s="3">
        <v>44326.782708333332</v>
      </c>
      <c r="B14419" s="4" t="str">
        <f>HYPERLINK("https://twitter.com/petrogustavo","@petrogustavo")</f>
        <v>@petrogustavo</v>
      </c>
      <c r="C14419" s="5" t="s">
        <v>16</v>
      </c>
      <c r="D14419" s="5" t="s">
        <v>13883</v>
      </c>
      <c r="E14419" s="6" t="str">
        <f>HYPERLINK("https://twitter.com/petrogustavo/status/1391744104669798407","1391744104669798407")</f>
        <v>1391744104669798407</v>
      </c>
      <c r="F14419" s="7" t="s">
        <v>17</v>
      </c>
      <c r="G14419" s="7">
        <v>4232734</v>
      </c>
      <c r="H14419" s="7">
        <v>2511</v>
      </c>
      <c r="I14419" s="7">
        <v>6039</v>
      </c>
      <c r="J14419" s="7">
        <v>0</v>
      </c>
      <c r="K14419" s="7" t="s">
        <v>18</v>
      </c>
      <c r="L14419" s="8">
        <v>39987.315405092595</v>
      </c>
      <c r="M14419" s="9" t="s">
        <v>19</v>
      </c>
      <c r="N14419" s="9" t="s">
        <v>20</v>
      </c>
      <c r="O14419" s="6" t="str">
        <f>HYPERLINK("https://pbs.twimg.com/profile_images/962471262747529216/Uo8lOkRJ_normal.jpg","View")</f>
        <v>View</v>
      </c>
      <c r="P14419" s="7"/>
    </row>
    <row r="14420" spans="1:16">
      <c r="A14420" s="3">
        <v>44326.788194444445</v>
      </c>
      <c r="B14420" s="4" t="str">
        <f>HYPERLINK("https://twitter.com/petrogustavo","@petrogustavo")</f>
        <v>@petrogustavo</v>
      </c>
      <c r="C14420" s="5" t="s">
        <v>16</v>
      </c>
      <c r="D14420" s="5" t="s">
        <v>13884</v>
      </c>
      <c r="E14420" s="6" t="str">
        <f>HYPERLINK("https://twitter.com/petrogustavo/status/1391746093742972933","1391746093742972933")</f>
        <v>1391746093742972933</v>
      </c>
      <c r="F14420" s="7" t="s">
        <v>17</v>
      </c>
      <c r="G14420" s="7">
        <v>4232734</v>
      </c>
      <c r="H14420" s="7">
        <v>2511</v>
      </c>
      <c r="I14420" s="7">
        <v>104</v>
      </c>
      <c r="J14420" s="7">
        <v>298</v>
      </c>
      <c r="K14420" s="7" t="s">
        <v>18</v>
      </c>
      <c r="L14420" s="8">
        <v>39987.315405092595</v>
      </c>
      <c r="M14420" s="9" t="s">
        <v>19</v>
      </c>
      <c r="N14420" s="9" t="s">
        <v>20</v>
      </c>
      <c r="O14420" s="6" t="str">
        <f>HYPERLINK("https://pbs.twimg.com/profile_images/962471262747529216/Uo8lOkRJ_normal.jpg","View")</f>
        <v>View</v>
      </c>
      <c r="P14420" s="7"/>
    </row>
    <row r="14421" spans="1:16">
      <c r="A14421" s="3">
        <v>44326.788206018522</v>
      </c>
      <c r="B14421" s="4" t="str">
        <f>HYPERLINK("https://twitter.com/petrogustavo","@petrogustavo")</f>
        <v>@petrogustavo</v>
      </c>
      <c r="C14421" s="5" t="s">
        <v>16</v>
      </c>
      <c r="D14421" s="5" t="s">
        <v>13885</v>
      </c>
      <c r="E14421" s="6" t="str">
        <f>HYPERLINK("https://twitter.com/petrogustavo/status/1391746095231946752","1391746095231946752")</f>
        <v>1391746095231946752</v>
      </c>
      <c r="F14421" s="7" t="s">
        <v>17</v>
      </c>
      <c r="G14421" s="7">
        <v>4232734</v>
      </c>
      <c r="H14421" s="7">
        <v>2511</v>
      </c>
      <c r="I14421" s="7">
        <v>55</v>
      </c>
      <c r="J14421" s="7">
        <v>213</v>
      </c>
      <c r="K14421" s="7" t="s">
        <v>18</v>
      </c>
      <c r="L14421" s="8">
        <v>39987.315405092595</v>
      </c>
      <c r="M14421" s="9" t="s">
        <v>19</v>
      </c>
      <c r="N14421" s="9" t="s">
        <v>20</v>
      </c>
      <c r="O14421" s="6" t="str">
        <f>HYPERLINK("https://pbs.twimg.com/profile_images/962471262747529216/Uo8lOkRJ_normal.jpg","View")</f>
        <v>View</v>
      </c>
      <c r="P14421" s="7"/>
    </row>
    <row r="14422" spans="1:16">
      <c r="A14422" s="3">
        <v>44326.793124999997</v>
      </c>
      <c r="B14422" s="4" t="str">
        <f>HYPERLINK("https://twitter.com/petrogustavo","@petrogustavo")</f>
        <v>@petrogustavo</v>
      </c>
      <c r="C14422" s="5" t="s">
        <v>16</v>
      </c>
      <c r="D14422" s="5" t="s">
        <v>13886</v>
      </c>
      <c r="E14422" s="6" t="str">
        <f>HYPERLINK("https://twitter.com/petrogustavo/status/1391747878624894978","1391747878624894978")</f>
        <v>1391747878624894978</v>
      </c>
      <c r="F14422" s="7" t="s">
        <v>17</v>
      </c>
      <c r="G14422" s="7">
        <v>4232734</v>
      </c>
      <c r="H14422" s="7">
        <v>2511</v>
      </c>
      <c r="I14422" s="7">
        <v>94</v>
      </c>
      <c r="J14422" s="7">
        <v>240</v>
      </c>
      <c r="K14422" s="7" t="s">
        <v>18</v>
      </c>
      <c r="L14422" s="8">
        <v>39987.315405092595</v>
      </c>
      <c r="M14422" s="9" t="s">
        <v>19</v>
      </c>
      <c r="N14422" s="9" t="s">
        <v>20</v>
      </c>
      <c r="O14422" s="6" t="str">
        <f>HYPERLINK("https://pbs.twimg.com/profile_images/962471262747529216/Uo8lOkRJ_normal.jpg","View")</f>
        <v>View</v>
      </c>
      <c r="P14422" s="7"/>
    </row>
    <row r="14423" spans="1:16">
      <c r="A14423" s="3">
        <v>44327.203425925924</v>
      </c>
      <c r="B14423" s="4" t="str">
        <f>HYPERLINK("https://twitter.com/petrogustavo","@petrogustavo")</f>
        <v>@petrogustavo</v>
      </c>
      <c r="C14423" s="5" t="s">
        <v>16</v>
      </c>
      <c r="D14423" s="5" t="s">
        <v>13887</v>
      </c>
      <c r="E14423" s="6" t="str">
        <f>HYPERLINK("https://twitter.com/petrogustavo/status/1391896568102637569","1391896568102637569")</f>
        <v>1391896568102637569</v>
      </c>
      <c r="F14423" s="7" t="s">
        <v>17</v>
      </c>
      <c r="G14423" s="7">
        <v>4235502</v>
      </c>
      <c r="H14423" s="7">
        <v>2511</v>
      </c>
      <c r="I14423" s="7">
        <v>334</v>
      </c>
      <c r="J14423" s="7">
        <v>601</v>
      </c>
      <c r="K14423" s="7" t="s">
        <v>18</v>
      </c>
      <c r="L14423" s="8">
        <v>39987.315405092595</v>
      </c>
      <c r="M14423" s="9" t="s">
        <v>19</v>
      </c>
      <c r="N14423" s="9" t="s">
        <v>20</v>
      </c>
      <c r="O14423" s="6" t="str">
        <f>HYPERLINK("https://pbs.twimg.com/profile_images/962471262747529216/Uo8lOkRJ_normal.jpg","View")</f>
        <v>View</v>
      </c>
      <c r="P14423" s="7"/>
    </row>
    <row r="14424" spans="1:16">
      <c r="A14424" s="3">
        <v>44328.180763888886</v>
      </c>
      <c r="B14424" s="4" t="str">
        <f>HYPERLINK("https://twitter.com/petrogustavo","@petrogustavo")</f>
        <v>@petrogustavo</v>
      </c>
      <c r="C14424" s="5" t="s">
        <v>16</v>
      </c>
      <c r="D14424" s="5" t="s">
        <v>13888</v>
      </c>
      <c r="E14424" s="6" t="str">
        <f>HYPERLINK("https://twitter.com/petrogustavo/status/1392250741310513153","1392250741310513153")</f>
        <v>1392250741310513153</v>
      </c>
      <c r="F14424" s="7" t="s">
        <v>32</v>
      </c>
      <c r="G14424" s="7">
        <v>4239508</v>
      </c>
      <c r="H14424" s="7">
        <v>2511</v>
      </c>
      <c r="I14424" s="7">
        <v>437</v>
      </c>
      <c r="J14424" s="7">
        <v>0</v>
      </c>
      <c r="K14424" s="7" t="s">
        <v>18</v>
      </c>
      <c r="L14424" s="8">
        <v>39987.315405092595</v>
      </c>
      <c r="M14424" s="9" t="s">
        <v>19</v>
      </c>
      <c r="N14424" s="9" t="s">
        <v>20</v>
      </c>
      <c r="O14424" s="6" t="str">
        <f>HYPERLINK("https://pbs.twimg.com/profile_images/962471262747529216/Uo8lOkRJ_normal.jpg","View")</f>
        <v>View</v>
      </c>
      <c r="P14424" s="7"/>
    </row>
    <row r="14425" spans="1:16">
      <c r="A14425" s="3">
        <v>44328.189930555556</v>
      </c>
      <c r="B14425" s="4" t="str">
        <f>HYPERLINK("https://twitter.com/petrogustavo","@petrogustavo")</f>
        <v>@petrogustavo</v>
      </c>
      <c r="C14425" s="5" t="s">
        <v>16</v>
      </c>
      <c r="D14425" s="5" t="s">
        <v>13889</v>
      </c>
      <c r="E14425" s="6" t="str">
        <f>HYPERLINK("https://twitter.com/petrogustavo/status/1392254065799749637","1392254065799749637")</f>
        <v>1392254065799749637</v>
      </c>
      <c r="F14425" s="7" t="s">
        <v>32</v>
      </c>
      <c r="G14425" s="7">
        <v>4239615</v>
      </c>
      <c r="H14425" s="7">
        <v>2511</v>
      </c>
      <c r="I14425" s="7">
        <v>1174</v>
      </c>
      <c r="J14425" s="7">
        <v>4315</v>
      </c>
      <c r="K14425" s="7" t="s">
        <v>18</v>
      </c>
      <c r="L14425" s="8">
        <v>39987.315405092595</v>
      </c>
      <c r="M14425" s="9" t="s">
        <v>19</v>
      </c>
      <c r="N14425" s="9" t="s">
        <v>20</v>
      </c>
      <c r="O14425" s="6" t="str">
        <f>HYPERLINK("https://pbs.twimg.com/profile_images/962471262747529216/Uo8lOkRJ_normal.jpg","View")</f>
        <v>View</v>
      </c>
      <c r="P14425" s="7"/>
    </row>
    <row r="14426" spans="1:16">
      <c r="A14426" s="3">
        <v>44328.260069444441</v>
      </c>
      <c r="B14426" s="4" t="str">
        <f>HYPERLINK("https://twitter.com/petrogustavo","@petrogustavo")</f>
        <v>@petrogustavo</v>
      </c>
      <c r="C14426" s="5" t="s">
        <v>16</v>
      </c>
      <c r="D14426" s="5" t="s">
        <v>13890</v>
      </c>
      <c r="E14426" s="6" t="str">
        <f>HYPERLINK("https://twitter.com/petrogustavo/status/1392279482204053510","1392279482204053510")</f>
        <v>1392279482204053510</v>
      </c>
      <c r="F14426" s="7" t="s">
        <v>17</v>
      </c>
      <c r="G14426" s="7">
        <v>4239902</v>
      </c>
      <c r="H14426" s="7">
        <v>2511</v>
      </c>
      <c r="I14426" s="7">
        <v>766</v>
      </c>
      <c r="J14426" s="7">
        <v>1702</v>
      </c>
      <c r="K14426" s="7" t="s">
        <v>18</v>
      </c>
      <c r="L14426" s="8">
        <v>39987.315405092595</v>
      </c>
      <c r="M14426" s="9" t="s">
        <v>19</v>
      </c>
      <c r="N14426" s="9" t="s">
        <v>20</v>
      </c>
      <c r="O14426" s="6" t="str">
        <f>HYPERLINK("https://pbs.twimg.com/profile_images/962471262747529216/Uo8lOkRJ_normal.jpg","View")</f>
        <v>View</v>
      </c>
      <c r="P14426" s="7"/>
    </row>
    <row r="14427" spans="1:16">
      <c r="A14427" s="3">
        <v>44328.729537037041</v>
      </c>
      <c r="B14427" s="4" t="str">
        <f>HYPERLINK("https://twitter.com/petrogustavo","@petrogustavo")</f>
        <v>@petrogustavo</v>
      </c>
      <c r="C14427" s="5" t="s">
        <v>16</v>
      </c>
      <c r="D14427" s="5" t="s">
        <v>13891</v>
      </c>
      <c r="E14427" s="6" t="str">
        <f>HYPERLINK("https://twitter.com/petrogustavo/status/1392449610975748099","1392449610975748099")</f>
        <v>1392449610975748099</v>
      </c>
      <c r="F14427" s="7" t="s">
        <v>17</v>
      </c>
      <c r="G14427" s="7">
        <v>4241246</v>
      </c>
      <c r="H14427" s="7">
        <v>2511</v>
      </c>
      <c r="I14427" s="7">
        <v>336</v>
      </c>
      <c r="J14427" s="7">
        <v>0</v>
      </c>
      <c r="K14427" s="7" t="s">
        <v>18</v>
      </c>
      <c r="L14427" s="8">
        <v>39987.315405092595</v>
      </c>
      <c r="M14427" s="9" t="s">
        <v>19</v>
      </c>
      <c r="N14427" s="9" t="s">
        <v>20</v>
      </c>
      <c r="O14427" s="6" t="str">
        <f>HYPERLINK("https://pbs.twimg.com/profile_images/962471262747529216/Uo8lOkRJ_normal.jpg","View")</f>
        <v>View</v>
      </c>
      <c r="P14427" s="7"/>
    </row>
    <row r="14428" spans="1:16">
      <c r="A14428" s="3">
        <v>44328.852685185186</v>
      </c>
      <c r="B14428" s="4" t="str">
        <f>HYPERLINK("https://twitter.com/petrogustavo","@petrogustavo")</f>
        <v>@petrogustavo</v>
      </c>
      <c r="C14428" s="5" t="s">
        <v>16</v>
      </c>
      <c r="D14428" s="5" t="s">
        <v>13892</v>
      </c>
      <c r="E14428" s="6" t="str">
        <f>HYPERLINK("https://twitter.com/petrogustavo/status/1392494238722572289","1392494238722572289")</f>
        <v>1392494238722572289</v>
      </c>
      <c r="F14428" s="7" t="s">
        <v>17</v>
      </c>
      <c r="G14428" s="7">
        <v>4241803</v>
      </c>
      <c r="H14428" s="7">
        <v>2511</v>
      </c>
      <c r="I14428" s="7">
        <v>380</v>
      </c>
      <c r="J14428" s="7">
        <v>1362</v>
      </c>
      <c r="K14428" s="7" t="s">
        <v>18</v>
      </c>
      <c r="L14428" s="8">
        <v>39987.315405092595</v>
      </c>
      <c r="M14428" s="9" t="s">
        <v>19</v>
      </c>
      <c r="N14428" s="9" t="s">
        <v>20</v>
      </c>
      <c r="O14428" s="6" t="str">
        <f>HYPERLINK("https://pbs.twimg.com/profile_images/962471262747529216/Uo8lOkRJ_normal.jpg","View")</f>
        <v>View</v>
      </c>
      <c r="P14428" s="7"/>
    </row>
    <row r="14429" spans="1:16">
      <c r="A14429" s="3">
        <v>44328.852685185186</v>
      </c>
      <c r="B14429" s="4" t="str">
        <f>HYPERLINK("https://twitter.com/petrogustavo","@petrogustavo")</f>
        <v>@petrogustavo</v>
      </c>
      <c r="C14429" s="5" t="s">
        <v>16</v>
      </c>
      <c r="D14429" s="5" t="s">
        <v>13893</v>
      </c>
      <c r="E14429" s="6" t="str">
        <f>HYPERLINK("https://twitter.com/petrogustavo/status/1392494239939014662","1392494239939014662")</f>
        <v>1392494239939014662</v>
      </c>
      <c r="F14429" s="7" t="s">
        <v>17</v>
      </c>
      <c r="G14429" s="7">
        <v>4241803</v>
      </c>
      <c r="H14429" s="7">
        <v>2511</v>
      </c>
      <c r="I14429" s="7">
        <v>226</v>
      </c>
      <c r="J14429" s="7">
        <v>906</v>
      </c>
      <c r="K14429" s="7" t="s">
        <v>18</v>
      </c>
      <c r="L14429" s="8">
        <v>39987.315405092595</v>
      </c>
      <c r="M14429" s="9" t="s">
        <v>19</v>
      </c>
      <c r="N14429" s="9" t="s">
        <v>20</v>
      </c>
      <c r="O14429" s="6" t="str">
        <f>HYPERLINK("https://pbs.twimg.com/profile_images/962471262747529216/Uo8lOkRJ_normal.jpg","View")</f>
        <v>View</v>
      </c>
      <c r="P14429" s="7"/>
    </row>
    <row r="14430" spans="1:16">
      <c r="A14430" s="3">
        <v>44328.852696759262</v>
      </c>
      <c r="B14430" s="4" t="str">
        <f>HYPERLINK("https://twitter.com/petrogustavo","@petrogustavo")</f>
        <v>@petrogustavo</v>
      </c>
      <c r="C14430" s="5" t="s">
        <v>16</v>
      </c>
      <c r="D14430" s="5" t="s">
        <v>13894</v>
      </c>
      <c r="E14430" s="6" t="str">
        <f>HYPERLINK("https://twitter.com/petrogustavo/status/1392494241637617683","1392494241637617683")</f>
        <v>1392494241637617683</v>
      </c>
      <c r="F14430" s="7" t="s">
        <v>17</v>
      </c>
      <c r="G14430" s="7">
        <v>4241803</v>
      </c>
      <c r="H14430" s="7">
        <v>2511</v>
      </c>
      <c r="I14430" s="7">
        <v>279</v>
      </c>
      <c r="J14430" s="7">
        <v>1059</v>
      </c>
      <c r="K14430" s="7" t="s">
        <v>18</v>
      </c>
      <c r="L14430" s="8">
        <v>39987.315405092595</v>
      </c>
      <c r="M14430" s="9" t="s">
        <v>19</v>
      </c>
      <c r="N14430" s="9" t="s">
        <v>20</v>
      </c>
      <c r="O14430" s="6" t="str">
        <f>HYPERLINK("https://pbs.twimg.com/profile_images/962471262747529216/Uo8lOkRJ_normal.jpg","View")</f>
        <v>View</v>
      </c>
      <c r="P14430" s="7"/>
    </row>
    <row r="14431" spans="1:16">
      <c r="A14431" s="3">
        <v>44329.131967592592</v>
      </c>
      <c r="B14431" s="4" t="str">
        <f>HYPERLINK("https://twitter.com/petrogustavo","@petrogustavo")</f>
        <v>@petrogustavo</v>
      </c>
      <c r="C14431" s="5" t="s">
        <v>16</v>
      </c>
      <c r="D14431" s="5" t="s">
        <v>13895</v>
      </c>
      <c r="E14431" s="6" t="str">
        <f>HYPERLINK("https://twitter.com/petrogustavo/status/1392595447408115712","1392595447408115712")</f>
        <v>1392595447408115712</v>
      </c>
      <c r="F14431" s="7" t="s">
        <v>17</v>
      </c>
      <c r="G14431" s="7">
        <v>4242852</v>
      </c>
      <c r="H14431" s="7">
        <v>2513</v>
      </c>
      <c r="I14431" s="7">
        <v>27</v>
      </c>
      <c r="J14431" s="7">
        <v>0</v>
      </c>
      <c r="K14431" s="7" t="s">
        <v>18</v>
      </c>
      <c r="L14431" s="8">
        <v>39987.315405092595</v>
      </c>
      <c r="M14431" s="9" t="s">
        <v>19</v>
      </c>
      <c r="N14431" s="9" t="s">
        <v>20</v>
      </c>
      <c r="O14431" s="6" t="str">
        <f>HYPERLINK("https://pbs.twimg.com/profile_images/962471262747529216/Uo8lOkRJ_normal.jpg","View")</f>
        <v>View</v>
      </c>
      <c r="P14431" s="7"/>
    </row>
    <row r="14432" spans="1:16">
      <c r="A14432" s="3">
        <v>44329.132222222222</v>
      </c>
      <c r="B14432" s="4" t="str">
        <f>HYPERLINK("https://twitter.com/petrogustavo","@petrogustavo")</f>
        <v>@petrogustavo</v>
      </c>
      <c r="C14432" s="5" t="s">
        <v>16</v>
      </c>
      <c r="D14432" s="5" t="s">
        <v>13896</v>
      </c>
      <c r="E14432" s="6" t="str">
        <f>HYPERLINK("https://twitter.com/petrogustavo/status/1392595538974019587","1392595538974019587")</f>
        <v>1392595538974019587</v>
      </c>
      <c r="F14432" s="7" t="s">
        <v>17</v>
      </c>
      <c r="G14432" s="7">
        <v>4242852</v>
      </c>
      <c r="H14432" s="7">
        <v>2513</v>
      </c>
      <c r="I14432" s="7">
        <v>1720</v>
      </c>
      <c r="J14432" s="7">
        <v>0</v>
      </c>
      <c r="K14432" s="7" t="s">
        <v>18</v>
      </c>
      <c r="L14432" s="8">
        <v>39987.315405092595</v>
      </c>
      <c r="M14432" s="9" t="s">
        <v>19</v>
      </c>
      <c r="N14432" s="9" t="s">
        <v>20</v>
      </c>
      <c r="O14432" s="6" t="str">
        <f>HYPERLINK("https://pbs.twimg.com/profile_images/962471262747529216/Uo8lOkRJ_normal.jpg","View")</f>
        <v>View</v>
      </c>
      <c r="P14432" s="7"/>
    </row>
    <row r="14433" spans="1:16">
      <c r="A14433" s="3">
        <v>44329.1328125</v>
      </c>
      <c r="B14433" s="4" t="str">
        <f>HYPERLINK("https://twitter.com/petrogustavo","@petrogustavo")</f>
        <v>@petrogustavo</v>
      </c>
      <c r="C14433" s="5" t="s">
        <v>16</v>
      </c>
      <c r="D14433" s="5" t="s">
        <v>13897</v>
      </c>
      <c r="E14433" s="6" t="str">
        <f>HYPERLINK("https://twitter.com/petrogustavo/status/1392595754213122061","1392595754213122061")</f>
        <v>1392595754213122061</v>
      </c>
      <c r="F14433" s="7" t="s">
        <v>17</v>
      </c>
      <c r="G14433" s="7">
        <v>4242852</v>
      </c>
      <c r="H14433" s="7">
        <v>2513</v>
      </c>
      <c r="I14433" s="7">
        <v>981</v>
      </c>
      <c r="J14433" s="7">
        <v>0</v>
      </c>
      <c r="K14433" s="7" t="s">
        <v>18</v>
      </c>
      <c r="L14433" s="8">
        <v>39987.315405092595</v>
      </c>
      <c r="M14433" s="9" t="s">
        <v>19</v>
      </c>
      <c r="N14433" s="9" t="s">
        <v>20</v>
      </c>
      <c r="O14433" s="6" t="str">
        <f>HYPERLINK("https://pbs.twimg.com/profile_images/962471262747529216/Uo8lOkRJ_normal.jpg","View")</f>
        <v>View</v>
      </c>
      <c r="P14433" s="7"/>
    </row>
    <row r="14434" spans="1:16">
      <c r="A14434" s="3">
        <v>44329.135706018518</v>
      </c>
      <c r="B14434" s="4" t="str">
        <f>HYPERLINK("https://twitter.com/petrogustavo","@petrogustavo")</f>
        <v>@petrogustavo</v>
      </c>
      <c r="C14434" s="5" t="s">
        <v>16</v>
      </c>
      <c r="D14434" s="5" t="s">
        <v>13898</v>
      </c>
      <c r="E14434" s="6" t="str">
        <f>HYPERLINK("https://twitter.com/petrogustavo/status/1392596803237916675","1392596803237916675")</f>
        <v>1392596803237916675</v>
      </c>
      <c r="F14434" s="7" t="s">
        <v>17</v>
      </c>
      <c r="G14434" s="7">
        <v>4242852</v>
      </c>
      <c r="H14434" s="7">
        <v>2513</v>
      </c>
      <c r="I14434" s="7">
        <v>91</v>
      </c>
      <c r="J14434" s="7">
        <v>0</v>
      </c>
      <c r="K14434" s="7" t="s">
        <v>18</v>
      </c>
      <c r="L14434" s="8">
        <v>39987.315405092595</v>
      </c>
      <c r="M14434" s="9" t="s">
        <v>19</v>
      </c>
      <c r="N14434" s="9" t="s">
        <v>20</v>
      </c>
      <c r="O14434" s="6" t="str">
        <f>HYPERLINK("https://pbs.twimg.com/profile_images/962471262747529216/Uo8lOkRJ_normal.jpg","View")</f>
        <v>View</v>
      </c>
      <c r="P14434" s="7"/>
    </row>
    <row r="14435" spans="1:16">
      <c r="A14435" s="3">
        <v>44329.146377314813</v>
      </c>
      <c r="B14435" s="4" t="str">
        <f>HYPERLINK("https://twitter.com/petrogustavo","@petrogustavo")</f>
        <v>@petrogustavo</v>
      </c>
      <c r="C14435" s="5" t="s">
        <v>16</v>
      </c>
      <c r="D14435" s="5" t="s">
        <v>13899</v>
      </c>
      <c r="E14435" s="6" t="str">
        <f>HYPERLINK("https://twitter.com/petrogustavo/status/1392600670323216391","1392600670323216391")</f>
        <v>1392600670323216391</v>
      </c>
      <c r="F14435" s="7" t="s">
        <v>17</v>
      </c>
      <c r="G14435" s="7">
        <v>4242924</v>
      </c>
      <c r="H14435" s="7">
        <v>2513</v>
      </c>
      <c r="I14435" s="7">
        <v>383</v>
      </c>
      <c r="J14435" s="7">
        <v>1089</v>
      </c>
      <c r="K14435" s="7" t="s">
        <v>18</v>
      </c>
      <c r="L14435" s="8">
        <v>39987.315405092595</v>
      </c>
      <c r="M14435" s="9" t="s">
        <v>19</v>
      </c>
      <c r="N14435" s="9" t="s">
        <v>20</v>
      </c>
      <c r="O14435" s="6" t="str">
        <f>HYPERLINK("https://pbs.twimg.com/profile_images/962471262747529216/Uo8lOkRJ_normal.jpg","View")</f>
        <v>View</v>
      </c>
      <c r="P14435" s="7"/>
    </row>
    <row r="14436" spans="1:16">
      <c r="A14436" s="3">
        <v>44329.162210648152</v>
      </c>
      <c r="B14436" s="4" t="str">
        <f>HYPERLINK("https://twitter.com/petrogustavo","@petrogustavo")</f>
        <v>@petrogustavo</v>
      </c>
      <c r="C14436" s="5" t="s">
        <v>16</v>
      </c>
      <c r="D14436" s="5" t="s">
        <v>13900</v>
      </c>
      <c r="E14436" s="6" t="str">
        <f>HYPERLINK("https://twitter.com/petrogustavo/status/1392606408760250370","1392606408760250370")</f>
        <v>1392606408760250370</v>
      </c>
      <c r="F14436" s="7" t="s">
        <v>17</v>
      </c>
      <c r="G14436" s="7">
        <v>4243015</v>
      </c>
      <c r="H14436" s="7">
        <v>2513</v>
      </c>
      <c r="I14436" s="7">
        <v>296</v>
      </c>
      <c r="J14436" s="7">
        <v>1047</v>
      </c>
      <c r="K14436" s="7" t="s">
        <v>18</v>
      </c>
      <c r="L14436" s="8">
        <v>39987.315405092595</v>
      </c>
      <c r="M14436" s="9" t="s">
        <v>19</v>
      </c>
      <c r="N14436" s="9" t="s">
        <v>20</v>
      </c>
      <c r="O14436" s="6" t="str">
        <f>HYPERLINK("https://pbs.twimg.com/profile_images/962471262747529216/Uo8lOkRJ_normal.jpg","View")</f>
        <v>View</v>
      </c>
      <c r="P14436" s="7"/>
    </row>
    <row r="14437" spans="1:16">
      <c r="A14437" s="3">
        <v>44329.168344907404</v>
      </c>
      <c r="B14437" s="4" t="str">
        <f>HYPERLINK("https://twitter.com/petrogustavo","@petrogustavo")</f>
        <v>@petrogustavo</v>
      </c>
      <c r="C14437" s="5" t="s">
        <v>16</v>
      </c>
      <c r="D14437" s="5" t="s">
        <v>13901</v>
      </c>
      <c r="E14437" s="6" t="str">
        <f>HYPERLINK("https://twitter.com/petrogustavo/status/1392608632148221952","1392608632148221952")</f>
        <v>1392608632148221952</v>
      </c>
      <c r="F14437" s="7" t="s">
        <v>17</v>
      </c>
      <c r="G14437" s="7">
        <v>4243015</v>
      </c>
      <c r="H14437" s="7">
        <v>2513</v>
      </c>
      <c r="I14437" s="7">
        <v>416</v>
      </c>
      <c r="J14437" s="7">
        <v>1147</v>
      </c>
      <c r="K14437" s="7" t="s">
        <v>18</v>
      </c>
      <c r="L14437" s="8">
        <v>39987.315405092595</v>
      </c>
      <c r="M14437" s="9" t="s">
        <v>19</v>
      </c>
      <c r="N14437" s="9" t="s">
        <v>20</v>
      </c>
      <c r="O14437" s="6" t="str">
        <f>HYPERLINK("https://pbs.twimg.com/profile_images/962471262747529216/Uo8lOkRJ_normal.jpg","View")</f>
        <v>View</v>
      </c>
      <c r="P14437" s="7"/>
    </row>
    <row r="14438" spans="1:16">
      <c r="A14438" s="3">
        <v>44329.182280092587</v>
      </c>
      <c r="B14438" s="4" t="str">
        <f>HYPERLINK("https://twitter.com/petrogustavo","@petrogustavo")</f>
        <v>@petrogustavo</v>
      </c>
      <c r="C14438" s="5" t="s">
        <v>16</v>
      </c>
      <c r="D14438" s="5" t="s">
        <v>13902</v>
      </c>
      <c r="E14438" s="6" t="str">
        <f>HYPERLINK("https://twitter.com/petrogustavo/status/1392613678911041538","1392613678911041538")</f>
        <v>1392613678911041538</v>
      </c>
      <c r="F14438" s="7" t="s">
        <v>17</v>
      </c>
      <c r="G14438" s="7">
        <v>4243090</v>
      </c>
      <c r="H14438" s="7">
        <v>2513</v>
      </c>
      <c r="I14438" s="7">
        <v>2875</v>
      </c>
      <c r="J14438" s="7">
        <v>0</v>
      </c>
      <c r="K14438" s="7" t="s">
        <v>18</v>
      </c>
      <c r="L14438" s="8">
        <v>39987.315405092595</v>
      </c>
      <c r="M14438" s="9" t="s">
        <v>19</v>
      </c>
      <c r="N14438" s="9" t="s">
        <v>20</v>
      </c>
      <c r="O14438" s="6" t="str">
        <f>HYPERLINK("https://pbs.twimg.com/profile_images/962471262747529216/Uo8lOkRJ_normal.jpg","View")</f>
        <v>View</v>
      </c>
      <c r="P14438" s="7"/>
    </row>
    <row r="14439" spans="1:16">
      <c r="A14439" s="3">
        <v>44329.225995370369</v>
      </c>
      <c r="B14439" s="4" t="str">
        <f>HYPERLINK("https://twitter.com/petrogustavo","@petrogustavo")</f>
        <v>@petrogustavo</v>
      </c>
      <c r="C14439" s="5" t="s">
        <v>16</v>
      </c>
      <c r="D14439" s="5" t="s">
        <v>13903</v>
      </c>
      <c r="E14439" s="6" t="str">
        <f>HYPERLINK("https://twitter.com/petrogustavo/status/1392629520201568256","1392629520201568256")</f>
        <v>1392629520201568256</v>
      </c>
      <c r="F14439" s="7" t="s">
        <v>17</v>
      </c>
      <c r="G14439" s="7">
        <v>4243219</v>
      </c>
      <c r="H14439" s="7">
        <v>2513</v>
      </c>
      <c r="I14439" s="7">
        <v>546</v>
      </c>
      <c r="J14439" s="7">
        <v>2057</v>
      </c>
      <c r="K14439" s="7" t="s">
        <v>18</v>
      </c>
      <c r="L14439" s="8">
        <v>39987.315405092595</v>
      </c>
      <c r="M14439" s="9" t="s">
        <v>19</v>
      </c>
      <c r="N14439" s="9" t="s">
        <v>20</v>
      </c>
      <c r="O14439" s="6" t="str">
        <f>HYPERLINK("https://pbs.twimg.com/profile_images/962471262747529216/Uo8lOkRJ_normal.jpg","View")</f>
        <v>View</v>
      </c>
      <c r="P14439" s="7"/>
    </row>
    <row r="14440" spans="1:16">
      <c r="A14440" s="3">
        <v>44329.373749999999</v>
      </c>
      <c r="B14440" s="4" t="str">
        <f>HYPERLINK("https://twitter.com/petrogustavo","@petrogustavo")</f>
        <v>@petrogustavo</v>
      </c>
      <c r="C14440" s="5" t="s">
        <v>16</v>
      </c>
      <c r="D14440" s="5" t="s">
        <v>13904</v>
      </c>
      <c r="E14440" s="6" t="str">
        <f>HYPERLINK("https://twitter.com/petrogustavo/status/1392683067723157507","1392683067723157507")</f>
        <v>1392683067723157507</v>
      </c>
      <c r="F14440" s="7" t="s">
        <v>17</v>
      </c>
      <c r="G14440" s="7">
        <v>4243724</v>
      </c>
      <c r="H14440" s="7">
        <v>2512</v>
      </c>
      <c r="I14440" s="7">
        <v>467</v>
      </c>
      <c r="J14440" s="7">
        <v>1328</v>
      </c>
      <c r="K14440" s="7" t="s">
        <v>18</v>
      </c>
      <c r="L14440" s="8">
        <v>39987.315405092595</v>
      </c>
      <c r="M14440" s="9" t="s">
        <v>19</v>
      </c>
      <c r="N14440" s="9" t="s">
        <v>20</v>
      </c>
      <c r="O14440" s="6" t="str">
        <f>HYPERLINK("https://pbs.twimg.com/profile_images/962471262747529216/Uo8lOkRJ_normal.jpg","View")</f>
        <v>View</v>
      </c>
      <c r="P14440" s="7"/>
    </row>
    <row r="14441" spans="1:16">
      <c r="A14441" s="3">
        <v>44329.376157407409</v>
      </c>
      <c r="B14441" s="4" t="str">
        <f>HYPERLINK("https://twitter.com/petrogustavo","@petrogustavo")</f>
        <v>@petrogustavo</v>
      </c>
      <c r="C14441" s="5" t="s">
        <v>16</v>
      </c>
      <c r="D14441" s="5" t="s">
        <v>13905</v>
      </c>
      <c r="E14441" s="6" t="str">
        <f>HYPERLINK("https://twitter.com/petrogustavo/status/1392683940864040961","1392683940864040961")</f>
        <v>1392683940864040961</v>
      </c>
      <c r="F14441" s="7" t="s">
        <v>17</v>
      </c>
      <c r="G14441" s="7">
        <v>4243724</v>
      </c>
      <c r="H14441" s="7">
        <v>2512</v>
      </c>
      <c r="I14441" s="7">
        <v>199</v>
      </c>
      <c r="J14441" s="7">
        <v>690</v>
      </c>
      <c r="K14441" s="7" t="s">
        <v>18</v>
      </c>
      <c r="L14441" s="8">
        <v>39987.315405092595</v>
      </c>
      <c r="M14441" s="9" t="s">
        <v>19</v>
      </c>
      <c r="N14441" s="9" t="s">
        <v>20</v>
      </c>
      <c r="O14441" s="6" t="str">
        <f>HYPERLINK("https://pbs.twimg.com/profile_images/962471262747529216/Uo8lOkRJ_normal.jpg","View")</f>
        <v>View</v>
      </c>
      <c r="P14441" s="7"/>
    </row>
    <row r="14442" spans="1:16">
      <c r="A14442" s="3">
        <v>44329.377372685187</v>
      </c>
      <c r="B14442" s="4" t="str">
        <f>HYPERLINK("https://twitter.com/petrogustavo","@petrogustavo")</f>
        <v>@petrogustavo</v>
      </c>
      <c r="C14442" s="5" t="s">
        <v>16</v>
      </c>
      <c r="D14442" s="5" t="s">
        <v>13906</v>
      </c>
      <c r="E14442" s="6" t="str">
        <f>HYPERLINK("https://twitter.com/petrogustavo/status/1392684380615843842","1392684380615843842")</f>
        <v>1392684380615843842</v>
      </c>
      <c r="F14442" s="7" t="s">
        <v>17</v>
      </c>
      <c r="G14442" s="7">
        <v>4243724</v>
      </c>
      <c r="H14442" s="7">
        <v>2512</v>
      </c>
      <c r="I14442" s="7">
        <v>234</v>
      </c>
      <c r="J14442" s="7">
        <v>993</v>
      </c>
      <c r="K14442" s="7" t="s">
        <v>18</v>
      </c>
      <c r="L14442" s="8">
        <v>39987.315405092595</v>
      </c>
      <c r="M14442" s="9" t="s">
        <v>19</v>
      </c>
      <c r="N14442" s="9" t="s">
        <v>20</v>
      </c>
      <c r="O14442" s="6" t="str">
        <f>HYPERLINK("https://pbs.twimg.com/profile_images/962471262747529216/Uo8lOkRJ_normal.jpg","View")</f>
        <v>View</v>
      </c>
      <c r="P14442" s="7"/>
    </row>
    <row r="14443" spans="1:16">
      <c r="A14443" s="3">
        <v>44329.381736111114</v>
      </c>
      <c r="B14443" s="4" t="str">
        <f>HYPERLINK("https://twitter.com/petrogustavo","@petrogustavo")</f>
        <v>@petrogustavo</v>
      </c>
      <c r="C14443" s="5" t="s">
        <v>16</v>
      </c>
      <c r="D14443" s="5" t="s">
        <v>13907</v>
      </c>
      <c r="E14443" s="6" t="str">
        <f>HYPERLINK("https://twitter.com/petrogustavo/status/1392685962594037761","1392685962594037761")</f>
        <v>1392685962594037761</v>
      </c>
      <c r="F14443" s="7" t="s">
        <v>17</v>
      </c>
      <c r="G14443" s="7">
        <v>4243724</v>
      </c>
      <c r="H14443" s="7">
        <v>2512</v>
      </c>
      <c r="I14443" s="7">
        <v>72</v>
      </c>
      <c r="J14443" s="7">
        <v>290</v>
      </c>
      <c r="K14443" s="7" t="s">
        <v>18</v>
      </c>
      <c r="L14443" s="8">
        <v>39987.315405092595</v>
      </c>
      <c r="M14443" s="9" t="s">
        <v>19</v>
      </c>
      <c r="N14443" s="9" t="s">
        <v>20</v>
      </c>
      <c r="O14443" s="6" t="str">
        <f>HYPERLINK("https://pbs.twimg.com/profile_images/962471262747529216/Uo8lOkRJ_normal.jpg","View")</f>
        <v>View</v>
      </c>
      <c r="P14443" s="7"/>
    </row>
    <row r="14444" spans="1:16">
      <c r="A14444" s="3">
        <v>44329.779513888891</v>
      </c>
      <c r="B14444" s="4" t="str">
        <f>HYPERLINK("https://twitter.com/petrogustavo","@petrogustavo")</f>
        <v>@petrogustavo</v>
      </c>
      <c r="C14444" s="5" t="s">
        <v>16</v>
      </c>
      <c r="D14444" s="5" t="s">
        <v>13908</v>
      </c>
      <c r="E14444" s="6" t="str">
        <f>HYPERLINK("https://twitter.com/petrogustavo/status/1392830112358404096","1392830112358404096")</f>
        <v>1392830112358404096</v>
      </c>
      <c r="F14444" s="7" t="s">
        <v>17</v>
      </c>
      <c r="G14444" s="7">
        <v>4244177</v>
      </c>
      <c r="H14444" s="7">
        <v>2512</v>
      </c>
      <c r="I14444" s="7">
        <v>69</v>
      </c>
      <c r="J14444" s="7">
        <v>168</v>
      </c>
      <c r="K14444" s="7" t="s">
        <v>18</v>
      </c>
      <c r="L14444" s="8">
        <v>39987.315405092595</v>
      </c>
      <c r="M14444" s="9" t="s">
        <v>19</v>
      </c>
      <c r="N14444" s="9" t="s">
        <v>20</v>
      </c>
      <c r="O14444" s="6" t="str">
        <f>HYPERLINK("https://pbs.twimg.com/profile_images/962471262747529216/Uo8lOkRJ_normal.jpg","View")</f>
        <v>View</v>
      </c>
      <c r="P14444" s="7"/>
    </row>
    <row r="14445" spans="1:16">
      <c r="A14445" s="3">
        <v>44329.77952546296</v>
      </c>
      <c r="B14445" s="4" t="str">
        <f>HYPERLINK("https://twitter.com/petrogustavo","@petrogustavo")</f>
        <v>@petrogustavo</v>
      </c>
      <c r="C14445" s="5" t="s">
        <v>16</v>
      </c>
      <c r="D14445" s="5" t="s">
        <v>13909</v>
      </c>
      <c r="E14445" s="6" t="str">
        <f>HYPERLINK("https://twitter.com/petrogustavo/status/1392830116355612676","1392830116355612676")</f>
        <v>1392830116355612676</v>
      </c>
      <c r="F14445" s="7" t="s">
        <v>17</v>
      </c>
      <c r="G14445" s="7">
        <v>4244177</v>
      </c>
      <c r="H14445" s="7">
        <v>2512</v>
      </c>
      <c r="I14445" s="7">
        <v>17</v>
      </c>
      <c r="J14445" s="7">
        <v>31</v>
      </c>
      <c r="K14445" s="7" t="s">
        <v>18</v>
      </c>
      <c r="L14445" s="8">
        <v>39987.315405092595</v>
      </c>
      <c r="M14445" s="9" t="s">
        <v>19</v>
      </c>
      <c r="N14445" s="9" t="s">
        <v>20</v>
      </c>
      <c r="O14445" s="6" t="str">
        <f>HYPERLINK("https://pbs.twimg.com/profile_images/962471262747529216/Uo8lOkRJ_normal.jpg","View")</f>
        <v>View</v>
      </c>
      <c r="P14445" s="7"/>
    </row>
    <row r="14446" spans="1:16">
      <c r="A14446" s="3">
        <v>44329.779537037037</v>
      </c>
      <c r="B14446" s="4" t="str">
        <f>HYPERLINK("https://twitter.com/petrogustavo","@petrogustavo")</f>
        <v>@petrogustavo</v>
      </c>
      <c r="C14446" s="5" t="s">
        <v>16</v>
      </c>
      <c r="D14446" s="5" t="s">
        <v>13910</v>
      </c>
      <c r="E14446" s="6" t="str">
        <f>HYPERLINK("https://twitter.com/petrogustavo/status/1392830117987160068","1392830117987160068")</f>
        <v>1392830117987160068</v>
      </c>
      <c r="F14446" s="7" t="s">
        <v>17</v>
      </c>
      <c r="G14446" s="7">
        <v>4244177</v>
      </c>
      <c r="H14446" s="7">
        <v>2512</v>
      </c>
      <c r="I14446" s="7">
        <v>11</v>
      </c>
      <c r="J14446" s="7">
        <v>25</v>
      </c>
      <c r="K14446" s="7" t="s">
        <v>18</v>
      </c>
      <c r="L14446" s="8">
        <v>39987.315405092595</v>
      </c>
      <c r="M14446" s="9" t="s">
        <v>19</v>
      </c>
      <c r="N14446" s="9" t="s">
        <v>20</v>
      </c>
      <c r="O14446" s="6" t="str">
        <f>HYPERLINK("https://pbs.twimg.com/profile_images/962471262747529216/Uo8lOkRJ_normal.jpg","View")</f>
        <v>View</v>
      </c>
      <c r="P14446" s="7"/>
    </row>
    <row r="14447" spans="1:16">
      <c r="A14447" s="3">
        <v>44329.779537037037</v>
      </c>
      <c r="B14447" s="4" t="str">
        <f>HYPERLINK("https://twitter.com/petrogustavo","@petrogustavo")</f>
        <v>@petrogustavo</v>
      </c>
      <c r="C14447" s="5" t="s">
        <v>16</v>
      </c>
      <c r="D14447" s="5" t="s">
        <v>13911</v>
      </c>
      <c r="E14447" s="6" t="str">
        <f>HYPERLINK("https://twitter.com/petrogustavo/status/1392830120180822023","1392830120180822023")</f>
        <v>1392830120180822023</v>
      </c>
      <c r="F14447" s="7" t="s">
        <v>17</v>
      </c>
      <c r="G14447" s="7">
        <v>4244177</v>
      </c>
      <c r="H14447" s="7">
        <v>2512</v>
      </c>
      <c r="I14447" s="7">
        <v>9</v>
      </c>
      <c r="J14447" s="7">
        <v>24</v>
      </c>
      <c r="K14447" s="7" t="s">
        <v>18</v>
      </c>
      <c r="L14447" s="8">
        <v>39987.315405092595</v>
      </c>
      <c r="M14447" s="9" t="s">
        <v>19</v>
      </c>
      <c r="N14447" s="9" t="s">
        <v>20</v>
      </c>
      <c r="O14447" s="6" t="str">
        <f>HYPERLINK("https://pbs.twimg.com/profile_images/962471262747529216/Uo8lOkRJ_normal.jpg","View")</f>
        <v>View</v>
      </c>
      <c r="P14447" s="7"/>
    </row>
    <row r="14448" spans="1:16">
      <c r="A14448" s="3">
        <v>44329.779548611114</v>
      </c>
      <c r="B14448" s="4" t="str">
        <f>HYPERLINK("https://twitter.com/petrogustavo","@petrogustavo")</f>
        <v>@petrogustavo</v>
      </c>
      <c r="C14448" s="5" t="s">
        <v>16</v>
      </c>
      <c r="D14448" s="5" t="s">
        <v>13912</v>
      </c>
      <c r="E14448" s="6" t="str">
        <f>HYPERLINK("https://twitter.com/petrogustavo/status/1392830122928005122","1392830122928005122")</f>
        <v>1392830122928005122</v>
      </c>
      <c r="F14448" s="7" t="s">
        <v>17</v>
      </c>
      <c r="G14448" s="7">
        <v>4244177</v>
      </c>
      <c r="H14448" s="7">
        <v>2512</v>
      </c>
      <c r="I14448" s="7">
        <v>32</v>
      </c>
      <c r="J14448" s="7">
        <v>90</v>
      </c>
      <c r="K14448" s="7" t="s">
        <v>18</v>
      </c>
      <c r="L14448" s="8">
        <v>39987.315405092595</v>
      </c>
      <c r="M14448" s="9" t="s">
        <v>19</v>
      </c>
      <c r="N14448" s="9" t="s">
        <v>20</v>
      </c>
      <c r="O14448" s="6" t="str">
        <f>HYPERLINK("https://pbs.twimg.com/profile_images/962471262747529216/Uo8lOkRJ_normal.jpg","View")</f>
        <v>View</v>
      </c>
      <c r="P14448" s="7"/>
    </row>
    <row r="14449" spans="1:16">
      <c r="A14449" s="3">
        <v>44329.779548611114</v>
      </c>
      <c r="B14449" s="4" t="str">
        <f>HYPERLINK("https://twitter.com/petrogustavo","@petrogustavo")</f>
        <v>@petrogustavo</v>
      </c>
      <c r="C14449" s="5" t="s">
        <v>16</v>
      </c>
      <c r="D14449" s="5" t="s">
        <v>13913</v>
      </c>
      <c r="E14449" s="6" t="str">
        <f>HYPERLINK("https://twitter.com/petrogustavo/status/1392830124958130177","1392830124958130177")</f>
        <v>1392830124958130177</v>
      </c>
      <c r="F14449" s="7" t="s">
        <v>17</v>
      </c>
      <c r="G14449" s="7">
        <v>4244177</v>
      </c>
      <c r="H14449" s="7">
        <v>2512</v>
      </c>
      <c r="I14449" s="7">
        <v>29</v>
      </c>
      <c r="J14449" s="7">
        <v>90</v>
      </c>
      <c r="K14449" s="7" t="s">
        <v>18</v>
      </c>
      <c r="L14449" s="8">
        <v>39987.315405092595</v>
      </c>
      <c r="M14449" s="9" t="s">
        <v>19</v>
      </c>
      <c r="N14449" s="9" t="s">
        <v>20</v>
      </c>
      <c r="O14449" s="6" t="str">
        <f>HYPERLINK("https://pbs.twimg.com/profile_images/962471262747529216/Uo8lOkRJ_normal.jpg","View")</f>
        <v>View</v>
      </c>
      <c r="P14449" s="7"/>
    </row>
    <row r="14450" spans="1:16">
      <c r="A14450" s="3">
        <v>44329.943518518514</v>
      </c>
      <c r="B14450" s="4" t="str">
        <f>HYPERLINK("https://twitter.com/petrogustavo","@petrogustavo")</f>
        <v>@petrogustavo</v>
      </c>
      <c r="C14450" s="5" t="s">
        <v>16</v>
      </c>
      <c r="D14450" s="5" t="s">
        <v>13914</v>
      </c>
      <c r="E14450" s="6" t="str">
        <f>HYPERLINK("https://twitter.com/petrogustavo/status/1392889543012007944","1392889543012007944")</f>
        <v>1392889543012007944</v>
      </c>
      <c r="F14450" s="7" t="s">
        <v>17</v>
      </c>
      <c r="G14450" s="7">
        <v>4244723</v>
      </c>
      <c r="H14450" s="7">
        <v>2512</v>
      </c>
      <c r="I14450" s="7">
        <v>107</v>
      </c>
      <c r="J14450" s="7">
        <v>870</v>
      </c>
      <c r="K14450" s="7" t="s">
        <v>18</v>
      </c>
      <c r="L14450" s="8">
        <v>39987.315405092595</v>
      </c>
      <c r="M14450" s="9" t="s">
        <v>19</v>
      </c>
      <c r="N14450" s="9" t="s">
        <v>20</v>
      </c>
      <c r="O14450" s="6" t="str">
        <f>HYPERLINK("https://pbs.twimg.com/profile_images/962471262747529216/Uo8lOkRJ_normal.jpg","View")</f>
        <v>View</v>
      </c>
      <c r="P14450" s="7"/>
    </row>
    <row r="14451" spans="1:16">
      <c r="A14451" s="3">
        <v>44329.945729166662</v>
      </c>
      <c r="B14451" s="4" t="str">
        <f>HYPERLINK("https://twitter.com/petrogustavo","@petrogustavo")</f>
        <v>@petrogustavo</v>
      </c>
      <c r="C14451" s="5" t="s">
        <v>16</v>
      </c>
      <c r="D14451" s="5" t="s">
        <v>13915</v>
      </c>
      <c r="E14451" s="6" t="str">
        <f>HYPERLINK("https://twitter.com/petrogustavo/status/1392890346208649234","1392890346208649234")</f>
        <v>1392890346208649234</v>
      </c>
      <c r="F14451" s="7" t="s">
        <v>17</v>
      </c>
      <c r="G14451" s="7">
        <v>4244723</v>
      </c>
      <c r="H14451" s="7">
        <v>2512</v>
      </c>
      <c r="I14451" s="7">
        <v>101</v>
      </c>
      <c r="J14451" s="7">
        <v>361</v>
      </c>
      <c r="K14451" s="7" t="s">
        <v>18</v>
      </c>
      <c r="L14451" s="8">
        <v>39987.315405092595</v>
      </c>
      <c r="M14451" s="9" t="s">
        <v>19</v>
      </c>
      <c r="N14451" s="9" t="s">
        <v>20</v>
      </c>
      <c r="O14451" s="6" t="str">
        <f>HYPERLINK("https://pbs.twimg.com/profile_images/962471262747529216/Uo8lOkRJ_normal.jpg","View")</f>
        <v>View</v>
      </c>
      <c r="P14451" s="7"/>
    </row>
    <row r="14452" spans="1:16">
      <c r="A14452" s="3">
        <v>44329.949074074073</v>
      </c>
      <c r="B14452" s="4" t="str">
        <f>HYPERLINK("https://twitter.com/petrogustavo","@petrogustavo")</f>
        <v>@petrogustavo</v>
      </c>
      <c r="C14452" s="5" t="s">
        <v>16</v>
      </c>
      <c r="D14452" s="5" t="s">
        <v>13916</v>
      </c>
      <c r="E14452" s="6" t="str">
        <f>HYPERLINK("https://twitter.com/petrogustavo/status/1392891558874296324","1392891558874296324")</f>
        <v>1392891558874296324</v>
      </c>
      <c r="F14452" s="7" t="s">
        <v>17</v>
      </c>
      <c r="G14452" s="7">
        <v>4244723</v>
      </c>
      <c r="H14452" s="7">
        <v>2512</v>
      </c>
      <c r="I14452" s="7">
        <v>23</v>
      </c>
      <c r="J14452" s="7">
        <v>96</v>
      </c>
      <c r="K14452" s="7" t="s">
        <v>18</v>
      </c>
      <c r="L14452" s="8">
        <v>39987.315405092595</v>
      </c>
      <c r="M14452" s="9" t="s">
        <v>19</v>
      </c>
      <c r="N14452" s="9" t="s">
        <v>20</v>
      </c>
      <c r="O14452" s="6" t="str">
        <f>HYPERLINK("https://pbs.twimg.com/profile_images/962471262747529216/Uo8lOkRJ_normal.jpg","View")</f>
        <v>View</v>
      </c>
      <c r="P14452" s="7"/>
    </row>
    <row r="14453" spans="1:16">
      <c r="A14453" s="3">
        <v>44330.126527777778</v>
      </c>
      <c r="B14453" s="4" t="str">
        <f>HYPERLINK("https://twitter.com/petrogustavo","@petrogustavo")</f>
        <v>@petrogustavo</v>
      </c>
      <c r="C14453" s="5" t="s">
        <v>16</v>
      </c>
      <c r="D14453" s="5" t="s">
        <v>13917</v>
      </c>
      <c r="E14453" s="6" t="str">
        <f>HYPERLINK("https://twitter.com/petrogustavo/status/1392955865939025928","1392955865939025928")</f>
        <v>1392955865939025928</v>
      </c>
      <c r="F14453" s="7" t="s">
        <v>17</v>
      </c>
      <c r="G14453" s="7">
        <v>4245244</v>
      </c>
      <c r="H14453" s="7">
        <v>2513</v>
      </c>
      <c r="I14453" s="7">
        <v>1114</v>
      </c>
      <c r="J14453" s="7">
        <v>0</v>
      </c>
      <c r="K14453" s="7" t="s">
        <v>18</v>
      </c>
      <c r="L14453" s="8">
        <v>39987.315405092595</v>
      </c>
      <c r="M14453" s="9" t="s">
        <v>19</v>
      </c>
      <c r="N14453" s="9" t="s">
        <v>20</v>
      </c>
      <c r="O14453" s="6" t="str">
        <f>HYPERLINK("https://pbs.twimg.com/profile_images/962471262747529216/Uo8lOkRJ_normal.jpg","View")</f>
        <v>View</v>
      </c>
      <c r="P14453" s="7"/>
    </row>
    <row r="14454" spans="1:16">
      <c r="A14454" s="3">
        <v>44330.340798611112</v>
      </c>
      <c r="B14454" s="4" t="str">
        <f>HYPERLINK("https://twitter.com/petrogustavo","@petrogustavo")</f>
        <v>@petrogustavo</v>
      </c>
      <c r="C14454" s="5" t="s">
        <v>16</v>
      </c>
      <c r="D14454" s="5" t="s">
        <v>13918</v>
      </c>
      <c r="E14454" s="6" t="str">
        <f>HYPERLINK("https://twitter.com/petrogustavo/status/1393033511964184577","1393033511964184577")</f>
        <v>1393033511964184577</v>
      </c>
      <c r="F14454" s="7" t="s">
        <v>17</v>
      </c>
      <c r="G14454" s="7">
        <v>4245819</v>
      </c>
      <c r="H14454" s="7">
        <v>2513</v>
      </c>
      <c r="I14454" s="7">
        <v>516</v>
      </c>
      <c r="J14454" s="7">
        <v>879</v>
      </c>
      <c r="K14454" s="7" t="s">
        <v>18</v>
      </c>
      <c r="L14454" s="8">
        <v>39987.315405092595</v>
      </c>
      <c r="M14454" s="9" t="s">
        <v>19</v>
      </c>
      <c r="N14454" s="9" t="s">
        <v>20</v>
      </c>
      <c r="O14454" s="6" t="str">
        <f>HYPERLINK("https://pbs.twimg.com/profile_images/962471262747529216/Uo8lOkRJ_normal.jpg","View")</f>
        <v>View</v>
      </c>
      <c r="P14454" s="7"/>
    </row>
    <row r="14455" spans="1:16">
      <c r="A14455" s="3">
        <v>44330.340798611112</v>
      </c>
      <c r="B14455" s="4" t="str">
        <f>HYPERLINK("https://twitter.com/petrogustavo","@petrogustavo")</f>
        <v>@petrogustavo</v>
      </c>
      <c r="C14455" s="5" t="s">
        <v>16</v>
      </c>
      <c r="D14455" s="5" t="s">
        <v>13919</v>
      </c>
      <c r="E14455" s="6" t="str">
        <f>HYPERLINK("https://twitter.com/petrogustavo/status/1393033513050456076","1393033513050456076")</f>
        <v>1393033513050456076</v>
      </c>
      <c r="F14455" s="7" t="s">
        <v>17</v>
      </c>
      <c r="G14455" s="7">
        <v>4245819</v>
      </c>
      <c r="H14455" s="7">
        <v>2513</v>
      </c>
      <c r="I14455" s="7">
        <v>168</v>
      </c>
      <c r="J14455" s="7">
        <v>543</v>
      </c>
      <c r="K14455" s="7" t="s">
        <v>18</v>
      </c>
      <c r="L14455" s="8">
        <v>39987.315405092595</v>
      </c>
      <c r="M14455" s="9" t="s">
        <v>19</v>
      </c>
      <c r="N14455" s="9" t="s">
        <v>20</v>
      </c>
      <c r="O14455" s="6" t="str">
        <f>HYPERLINK("https://pbs.twimg.com/profile_images/962471262747529216/Uo8lOkRJ_normal.jpg","View")</f>
        <v>View</v>
      </c>
      <c r="P14455" s="7"/>
    </row>
    <row r="14456" spans="1:16">
      <c r="A14456" s="3">
        <v>44330.348101851851</v>
      </c>
      <c r="B14456" s="4" t="str">
        <f>HYPERLINK("https://twitter.com/petrogustavo","@petrogustavo")</f>
        <v>@petrogustavo</v>
      </c>
      <c r="C14456" s="5" t="s">
        <v>16</v>
      </c>
      <c r="D14456" s="5" t="s">
        <v>13920</v>
      </c>
      <c r="E14456" s="6" t="str">
        <f>HYPERLINK("https://twitter.com/petrogustavo/status/1393036159853502465","1393036159853502465")</f>
        <v>1393036159853502465</v>
      </c>
      <c r="F14456" s="7" t="s">
        <v>17</v>
      </c>
      <c r="G14456" s="7">
        <v>4245819</v>
      </c>
      <c r="H14456" s="7">
        <v>2513</v>
      </c>
      <c r="I14456" s="7">
        <v>6035</v>
      </c>
      <c r="J14456" s="7">
        <v>0</v>
      </c>
      <c r="K14456" s="7" t="s">
        <v>18</v>
      </c>
      <c r="L14456" s="8">
        <v>39987.315405092595</v>
      </c>
      <c r="M14456" s="9" t="s">
        <v>19</v>
      </c>
      <c r="N14456" s="9" t="s">
        <v>20</v>
      </c>
      <c r="O14456" s="6" t="str">
        <f>HYPERLINK("https://pbs.twimg.com/profile_images/962471262747529216/Uo8lOkRJ_normal.jpg","View")</f>
        <v>View</v>
      </c>
      <c r="P14456" s="7"/>
    </row>
    <row r="14457" spans="1:16">
      <c r="A14457" s="3">
        <v>44330.35538194445</v>
      </c>
      <c r="B14457" s="4" t="str">
        <f>HYPERLINK("https://twitter.com/petrogustavo","@petrogustavo")</f>
        <v>@petrogustavo</v>
      </c>
      <c r="C14457" s="5" t="s">
        <v>16</v>
      </c>
      <c r="D14457" s="5" t="s">
        <v>13921</v>
      </c>
      <c r="E14457" s="6" t="str">
        <f>HYPERLINK("https://twitter.com/petrogustavo/status/1393038796468461570","1393038796468461570")</f>
        <v>1393038796468461570</v>
      </c>
      <c r="F14457" s="7" t="s">
        <v>17</v>
      </c>
      <c r="G14457" s="7">
        <v>4245819</v>
      </c>
      <c r="H14457" s="7">
        <v>2513</v>
      </c>
      <c r="I14457" s="7">
        <v>379</v>
      </c>
      <c r="J14457" s="7">
        <v>616</v>
      </c>
      <c r="K14457" s="7" t="s">
        <v>18</v>
      </c>
      <c r="L14457" s="8">
        <v>39987.315405092595</v>
      </c>
      <c r="M14457" s="9" t="s">
        <v>19</v>
      </c>
      <c r="N14457" s="9" t="s">
        <v>20</v>
      </c>
      <c r="O14457" s="6" t="str">
        <f>HYPERLINK("https://pbs.twimg.com/profile_images/962471262747529216/Uo8lOkRJ_normal.jpg","View")</f>
        <v>View</v>
      </c>
      <c r="P14457" s="7"/>
    </row>
    <row r="14458" spans="1:16">
      <c r="A14458" s="3">
        <v>44330.355937500004</v>
      </c>
      <c r="B14458" s="4" t="str">
        <f>HYPERLINK("https://twitter.com/petrogustavo","@petrogustavo")</f>
        <v>@petrogustavo</v>
      </c>
      <c r="C14458" s="5" t="s">
        <v>16</v>
      </c>
      <c r="D14458" s="5" t="s">
        <v>13922</v>
      </c>
      <c r="E14458" s="6" t="str">
        <f>HYPERLINK("https://twitter.com/petrogustavo/status/1393038999841804290","1393038999841804290")</f>
        <v>1393038999841804290</v>
      </c>
      <c r="F14458" s="7" t="s">
        <v>17</v>
      </c>
      <c r="G14458" s="7">
        <v>4245819</v>
      </c>
      <c r="H14458" s="7">
        <v>2513</v>
      </c>
      <c r="I14458" s="7">
        <v>1411</v>
      </c>
      <c r="J14458" s="7">
        <v>0</v>
      </c>
      <c r="K14458" s="7" t="s">
        <v>18</v>
      </c>
      <c r="L14458" s="8">
        <v>39987.315405092595</v>
      </c>
      <c r="M14458" s="9" t="s">
        <v>19</v>
      </c>
      <c r="N14458" s="9" t="s">
        <v>20</v>
      </c>
      <c r="O14458" s="6" t="str">
        <f>HYPERLINK("https://pbs.twimg.com/profile_images/962471262747529216/Uo8lOkRJ_normal.jpg","View")</f>
        <v>View</v>
      </c>
      <c r="P14458" s="7"/>
    </row>
    <row r="14459" spans="1:16">
      <c r="A14459" s="3">
        <v>44330.36137731481</v>
      </c>
      <c r="B14459" s="4" t="str">
        <f>HYPERLINK("https://twitter.com/petrogustavo","@petrogustavo")</f>
        <v>@petrogustavo</v>
      </c>
      <c r="C14459" s="5" t="s">
        <v>16</v>
      </c>
      <c r="D14459" s="5" t="s">
        <v>13923</v>
      </c>
      <c r="E14459" s="6" t="str">
        <f>HYPERLINK("https://twitter.com/petrogustavo/status/1393040969130553344","1393040969130553344")</f>
        <v>1393040969130553344</v>
      </c>
      <c r="F14459" s="7" t="s">
        <v>17</v>
      </c>
      <c r="G14459" s="7">
        <v>4245819</v>
      </c>
      <c r="H14459" s="7">
        <v>2513</v>
      </c>
      <c r="I14459" s="7">
        <v>399</v>
      </c>
      <c r="J14459" s="7">
        <v>681</v>
      </c>
      <c r="K14459" s="7" t="s">
        <v>18</v>
      </c>
      <c r="L14459" s="8">
        <v>39987.315405092595</v>
      </c>
      <c r="M14459" s="9" t="s">
        <v>19</v>
      </c>
      <c r="N14459" s="9" t="s">
        <v>20</v>
      </c>
      <c r="O14459" s="6" t="str">
        <f>HYPERLINK("https://pbs.twimg.com/profile_images/962471262747529216/Uo8lOkRJ_normal.jpg","View")</f>
        <v>View</v>
      </c>
      <c r="P14459" s="7"/>
    </row>
    <row r="14460" spans="1:16">
      <c r="A14460" s="3">
        <v>44330.367071759261</v>
      </c>
      <c r="B14460" s="4" t="str">
        <f>HYPERLINK("https://twitter.com/petrogustavo","@petrogustavo")</f>
        <v>@petrogustavo</v>
      </c>
      <c r="C14460" s="5" t="s">
        <v>16</v>
      </c>
      <c r="D14460" s="5" t="s">
        <v>13924</v>
      </c>
      <c r="E14460" s="6" t="str">
        <f>HYPERLINK("https://twitter.com/petrogustavo/status/1393043034586107911","1393043034586107911")</f>
        <v>1393043034586107911</v>
      </c>
      <c r="F14460" s="7" t="s">
        <v>17</v>
      </c>
      <c r="G14460" s="7">
        <v>4245928</v>
      </c>
      <c r="H14460" s="7">
        <v>2514</v>
      </c>
      <c r="I14460" s="7">
        <v>387</v>
      </c>
      <c r="J14460" s="7">
        <v>730</v>
      </c>
      <c r="K14460" s="7" t="s">
        <v>18</v>
      </c>
      <c r="L14460" s="8">
        <v>39987.315405092595</v>
      </c>
      <c r="M14460" s="9" t="s">
        <v>19</v>
      </c>
      <c r="N14460" s="9" t="s">
        <v>20</v>
      </c>
      <c r="O14460" s="6" t="str">
        <f>HYPERLINK("https://pbs.twimg.com/profile_images/962471262747529216/Uo8lOkRJ_normal.jpg","View")</f>
        <v>View</v>
      </c>
      <c r="P14460" s="7"/>
    </row>
    <row r="14461" spans="1:16">
      <c r="A14461" s="3">
        <v>44330.37498842593</v>
      </c>
      <c r="B14461" s="4" t="str">
        <f>HYPERLINK("https://twitter.com/petrogustavo","@petrogustavo")</f>
        <v>@petrogustavo</v>
      </c>
      <c r="C14461" s="5" t="s">
        <v>16</v>
      </c>
      <c r="D14461" s="5" t="s">
        <v>13925</v>
      </c>
      <c r="E14461" s="6" t="str">
        <f>HYPERLINK("https://twitter.com/petrogustavo/status/1393045904656158720","1393045904656158720")</f>
        <v>1393045904656158720</v>
      </c>
      <c r="F14461" s="7" t="s">
        <v>17</v>
      </c>
      <c r="G14461" s="7">
        <v>4245928</v>
      </c>
      <c r="H14461" s="7">
        <v>2514</v>
      </c>
      <c r="I14461" s="7">
        <v>464</v>
      </c>
      <c r="J14461" s="7">
        <v>1013</v>
      </c>
      <c r="K14461" s="7" t="s">
        <v>18</v>
      </c>
      <c r="L14461" s="8">
        <v>39987.315405092595</v>
      </c>
      <c r="M14461" s="9" t="s">
        <v>19</v>
      </c>
      <c r="N14461" s="9" t="s">
        <v>20</v>
      </c>
      <c r="O14461" s="6" t="str">
        <f>HYPERLINK("https://pbs.twimg.com/profile_images/962471262747529216/Uo8lOkRJ_normal.jpg","View")</f>
        <v>View</v>
      </c>
      <c r="P14461" s="7"/>
    </row>
    <row r="14462" spans="1:16">
      <c r="A14462" s="3">
        <v>44330.377337962964</v>
      </c>
      <c r="B14462" s="4" t="str">
        <f>HYPERLINK("https://twitter.com/petrogustavo","@petrogustavo")</f>
        <v>@petrogustavo</v>
      </c>
      <c r="C14462" s="5" t="s">
        <v>16</v>
      </c>
      <c r="D14462" s="5" t="s">
        <v>13926</v>
      </c>
      <c r="E14462" s="6" t="str">
        <f>HYPERLINK("https://twitter.com/petrogustavo/status/1393046756183658497","1393046756183658497")</f>
        <v>1393046756183658497</v>
      </c>
      <c r="F14462" s="7" t="s">
        <v>17</v>
      </c>
      <c r="G14462" s="7">
        <v>4245928</v>
      </c>
      <c r="H14462" s="7">
        <v>2514</v>
      </c>
      <c r="I14462" s="7">
        <v>842</v>
      </c>
      <c r="J14462" s="7">
        <v>0</v>
      </c>
      <c r="K14462" s="7" t="s">
        <v>18</v>
      </c>
      <c r="L14462" s="8">
        <v>39987.315405092595</v>
      </c>
      <c r="M14462" s="9" t="s">
        <v>19</v>
      </c>
      <c r="N14462" s="9" t="s">
        <v>20</v>
      </c>
      <c r="O14462" s="6" t="str">
        <f>HYPERLINK("https://pbs.twimg.com/profile_images/962471262747529216/Uo8lOkRJ_normal.jpg","View")</f>
        <v>View</v>
      </c>
      <c r="P14462" s="7"/>
    </row>
    <row r="14463" spans="1:16">
      <c r="A14463" s="3">
        <v>44330.378414351857</v>
      </c>
      <c r="B14463" s="4" t="str">
        <f>HYPERLINK("https://twitter.com/petrogustavo","@petrogustavo")</f>
        <v>@petrogustavo</v>
      </c>
      <c r="C14463" s="5" t="s">
        <v>16</v>
      </c>
      <c r="D14463" s="5" t="s">
        <v>13927</v>
      </c>
      <c r="E14463" s="6" t="str">
        <f>HYPERLINK("https://twitter.com/petrogustavo/status/1393047144563621893","1393047144563621893")</f>
        <v>1393047144563621893</v>
      </c>
      <c r="F14463" s="7" t="s">
        <v>17</v>
      </c>
      <c r="G14463" s="7">
        <v>4245928</v>
      </c>
      <c r="H14463" s="7">
        <v>2514</v>
      </c>
      <c r="I14463" s="7">
        <v>3023</v>
      </c>
      <c r="J14463" s="7">
        <v>0</v>
      </c>
      <c r="K14463" s="7" t="s">
        <v>18</v>
      </c>
      <c r="L14463" s="8">
        <v>39987.315405092595</v>
      </c>
      <c r="M14463" s="9" t="s">
        <v>19</v>
      </c>
      <c r="N14463" s="9" t="s">
        <v>20</v>
      </c>
      <c r="O14463" s="6" t="str">
        <f>HYPERLINK("https://pbs.twimg.com/profile_images/962471262747529216/Uo8lOkRJ_normal.jpg","View")</f>
        <v>View</v>
      </c>
      <c r="P14463" s="7"/>
    </row>
    <row r="14464" spans="1:16">
      <c r="A14464" s="3">
        <v>44330.380520833336</v>
      </c>
      <c r="B14464" s="4" t="str">
        <f>HYPERLINK("https://twitter.com/petrogustavo","@petrogustavo")</f>
        <v>@petrogustavo</v>
      </c>
      <c r="C14464" s="5" t="s">
        <v>16</v>
      </c>
      <c r="D14464" s="5" t="s">
        <v>13928</v>
      </c>
      <c r="E14464" s="6" t="str">
        <f>HYPERLINK("https://twitter.com/petrogustavo/status/1393047909696954369","1393047909696954369")</f>
        <v>1393047909696954369</v>
      </c>
      <c r="F14464" s="7" t="s">
        <v>17</v>
      </c>
      <c r="G14464" s="7">
        <v>4245928</v>
      </c>
      <c r="H14464" s="7">
        <v>2514</v>
      </c>
      <c r="I14464" s="7">
        <v>1233</v>
      </c>
      <c r="J14464" s="7">
        <v>3110</v>
      </c>
      <c r="K14464" s="7" t="s">
        <v>18</v>
      </c>
      <c r="L14464" s="8">
        <v>39987.315405092595</v>
      </c>
      <c r="M14464" s="9" t="s">
        <v>19</v>
      </c>
      <c r="N14464" s="9" t="s">
        <v>20</v>
      </c>
      <c r="O14464" s="6" t="str">
        <f>HYPERLINK("https://pbs.twimg.com/profile_images/962471262747529216/Uo8lOkRJ_normal.jpg","View")</f>
        <v>View</v>
      </c>
      <c r="P14464" s="7"/>
    </row>
    <row r="14465" spans="1:16">
      <c r="A14465" s="3">
        <v>44330.380844907406</v>
      </c>
      <c r="B14465" s="4" t="str">
        <f>HYPERLINK("https://twitter.com/petrogustavo","@petrogustavo")</f>
        <v>@petrogustavo</v>
      </c>
      <c r="C14465" s="5" t="s">
        <v>16</v>
      </c>
      <c r="D14465" s="5" t="s">
        <v>13929</v>
      </c>
      <c r="E14465" s="6" t="str">
        <f>HYPERLINK("https://twitter.com/petrogustavo/status/1393048027129073666","1393048027129073666")</f>
        <v>1393048027129073666</v>
      </c>
      <c r="F14465" s="7" t="s">
        <v>17</v>
      </c>
      <c r="G14465" s="7">
        <v>4245928</v>
      </c>
      <c r="H14465" s="7">
        <v>2514</v>
      </c>
      <c r="I14465" s="7">
        <v>110</v>
      </c>
      <c r="J14465" s="7">
        <v>0</v>
      </c>
      <c r="K14465" s="7" t="s">
        <v>18</v>
      </c>
      <c r="L14465" s="8">
        <v>39987.315405092595</v>
      </c>
      <c r="M14465" s="9" t="s">
        <v>19</v>
      </c>
      <c r="N14465" s="9" t="s">
        <v>20</v>
      </c>
      <c r="O14465" s="6" t="str">
        <f>HYPERLINK("https://pbs.twimg.com/profile_images/962471262747529216/Uo8lOkRJ_normal.jpg","View")</f>
        <v>View</v>
      </c>
      <c r="P14465" s="7"/>
    </row>
    <row r="14466" spans="1:16">
      <c r="A14466" s="3">
        <v>44330.381261574075</v>
      </c>
      <c r="B14466" s="4" t="str">
        <f>HYPERLINK("https://twitter.com/petrogustavo","@petrogustavo")</f>
        <v>@petrogustavo</v>
      </c>
      <c r="C14466" s="5" t="s">
        <v>16</v>
      </c>
      <c r="D14466" s="5" t="s">
        <v>13930</v>
      </c>
      <c r="E14466" s="6" t="str">
        <f>HYPERLINK("https://twitter.com/petrogustavo/status/1393048176135901184","1393048176135901184")</f>
        <v>1393048176135901184</v>
      </c>
      <c r="F14466" s="7" t="s">
        <v>17</v>
      </c>
      <c r="G14466" s="7">
        <v>4245928</v>
      </c>
      <c r="H14466" s="7">
        <v>2514</v>
      </c>
      <c r="I14466" s="7">
        <v>53</v>
      </c>
      <c r="J14466" s="7">
        <v>0</v>
      </c>
      <c r="K14466" s="7" t="s">
        <v>18</v>
      </c>
      <c r="L14466" s="8">
        <v>39987.315405092595</v>
      </c>
      <c r="M14466" s="9" t="s">
        <v>19</v>
      </c>
      <c r="N14466" s="9" t="s">
        <v>20</v>
      </c>
      <c r="O14466" s="6" t="str">
        <f>HYPERLINK("https://pbs.twimg.com/profile_images/962471262747529216/Uo8lOkRJ_normal.jpg","View")</f>
        <v>View</v>
      </c>
      <c r="P14466" s="7"/>
    </row>
    <row r="14467" spans="1:16">
      <c r="A14467" s="3">
        <v>44330.394074074073</v>
      </c>
      <c r="B14467" s="4" t="str">
        <f>HYPERLINK("https://twitter.com/petrogustavo","@petrogustavo")</f>
        <v>@petrogustavo</v>
      </c>
      <c r="C14467" s="5" t="s">
        <v>16</v>
      </c>
      <c r="D14467" s="5" t="s">
        <v>13931</v>
      </c>
      <c r="E14467" s="6" t="str">
        <f>HYPERLINK("https://twitter.com/petrogustavo/status/1393052817900949511","1393052817900949511")</f>
        <v>1393052817900949511</v>
      </c>
      <c r="F14467" s="7" t="s">
        <v>17</v>
      </c>
      <c r="G14467" s="7">
        <v>4246023</v>
      </c>
      <c r="H14467" s="7">
        <v>2514</v>
      </c>
      <c r="I14467" s="7">
        <v>416</v>
      </c>
      <c r="J14467" s="7">
        <v>1225</v>
      </c>
      <c r="K14467" s="7" t="s">
        <v>18</v>
      </c>
      <c r="L14467" s="8">
        <v>39987.315405092595</v>
      </c>
      <c r="M14467" s="9" t="s">
        <v>19</v>
      </c>
      <c r="N14467" s="9" t="s">
        <v>20</v>
      </c>
      <c r="O14467" s="6" t="str">
        <f>HYPERLINK("https://pbs.twimg.com/profile_images/962471262747529216/Uo8lOkRJ_normal.jpg","View")</f>
        <v>View</v>
      </c>
      <c r="P14467" s="7"/>
    </row>
    <row r="14468" spans="1:16">
      <c r="A14468" s="3">
        <v>44330.394074074073</v>
      </c>
      <c r="B14468" s="4" t="str">
        <f>HYPERLINK("https://twitter.com/petrogustavo","@petrogustavo")</f>
        <v>@petrogustavo</v>
      </c>
      <c r="C14468" s="5" t="s">
        <v>16</v>
      </c>
      <c r="D14468" s="5" t="s">
        <v>13932</v>
      </c>
      <c r="E14468" s="6" t="str">
        <f>HYPERLINK("https://twitter.com/petrogustavo/status/1393052818936930308","1393052818936930308")</f>
        <v>1393052818936930308</v>
      </c>
      <c r="F14468" s="7" t="s">
        <v>17</v>
      </c>
      <c r="G14468" s="7">
        <v>4246023</v>
      </c>
      <c r="H14468" s="7">
        <v>2514</v>
      </c>
      <c r="I14468" s="7">
        <v>61</v>
      </c>
      <c r="J14468" s="7">
        <v>230</v>
      </c>
      <c r="K14468" s="7" t="s">
        <v>18</v>
      </c>
      <c r="L14468" s="8">
        <v>39987.315405092595</v>
      </c>
      <c r="M14468" s="9" t="s">
        <v>19</v>
      </c>
      <c r="N14468" s="9" t="s">
        <v>20</v>
      </c>
      <c r="O14468" s="6" t="str">
        <f>HYPERLINK("https://pbs.twimg.com/profile_images/962471262747529216/Uo8lOkRJ_normal.jpg","View")</f>
        <v>View</v>
      </c>
      <c r="P14468" s="7"/>
    </row>
    <row r="14469" spans="1:16">
      <c r="A14469" s="3">
        <v>44330.394074074073</v>
      </c>
      <c r="B14469" s="4" t="str">
        <f>HYPERLINK("https://twitter.com/petrogustavo","@petrogustavo")</f>
        <v>@petrogustavo</v>
      </c>
      <c r="C14469" s="5" t="s">
        <v>16</v>
      </c>
      <c r="D14469" s="5" t="s">
        <v>13933</v>
      </c>
      <c r="E14469" s="6" t="str">
        <f>HYPERLINK("https://twitter.com/petrogustavo/status/1393052819855380484","1393052819855380484")</f>
        <v>1393052819855380484</v>
      </c>
      <c r="F14469" s="7" t="s">
        <v>17</v>
      </c>
      <c r="G14469" s="7">
        <v>4246023</v>
      </c>
      <c r="H14469" s="7">
        <v>2514</v>
      </c>
      <c r="I14469" s="7">
        <v>188</v>
      </c>
      <c r="J14469" s="7">
        <v>647</v>
      </c>
      <c r="K14469" s="7" t="s">
        <v>18</v>
      </c>
      <c r="L14469" s="8">
        <v>39987.315405092595</v>
      </c>
      <c r="M14469" s="9" t="s">
        <v>19</v>
      </c>
      <c r="N14469" s="9" t="s">
        <v>20</v>
      </c>
      <c r="O14469" s="6" t="str">
        <f>HYPERLINK("https://pbs.twimg.com/profile_images/962471262747529216/Uo8lOkRJ_normal.jpg","View")</f>
        <v>View</v>
      </c>
      <c r="P14469" s="7"/>
    </row>
    <row r="14470" spans="1:16">
      <c r="A14470" s="3">
        <v>44330.394074074073</v>
      </c>
      <c r="B14470" s="4" t="str">
        <f>HYPERLINK("https://twitter.com/petrogustavo","@petrogustavo")</f>
        <v>@petrogustavo</v>
      </c>
      <c r="C14470" s="5" t="s">
        <v>16</v>
      </c>
      <c r="D14470" s="5" t="s">
        <v>13934</v>
      </c>
      <c r="E14470" s="6" t="str">
        <f>HYPERLINK("https://twitter.com/petrogustavo/status/1393052820983660547","1393052820983660547")</f>
        <v>1393052820983660547</v>
      </c>
      <c r="F14470" s="7" t="s">
        <v>17</v>
      </c>
      <c r="G14470" s="7">
        <v>4246023</v>
      </c>
      <c r="H14470" s="7">
        <v>2514</v>
      </c>
      <c r="I14470" s="7">
        <v>228</v>
      </c>
      <c r="J14470" s="7">
        <v>746</v>
      </c>
      <c r="K14470" s="7" t="s">
        <v>18</v>
      </c>
      <c r="L14470" s="8">
        <v>39987.315405092595</v>
      </c>
      <c r="M14470" s="9" t="s">
        <v>19</v>
      </c>
      <c r="N14470" s="9" t="s">
        <v>20</v>
      </c>
      <c r="O14470" s="6" t="str">
        <f>HYPERLINK("https://pbs.twimg.com/profile_images/962471262747529216/Uo8lOkRJ_normal.jpg","View")</f>
        <v>View</v>
      </c>
      <c r="P14470" s="7"/>
    </row>
    <row r="14471" spans="1:16">
      <c r="A14471" s="3">
        <v>44330.398564814815</v>
      </c>
      <c r="B14471" s="4" t="str">
        <f>HYPERLINK("https://twitter.com/petrogustavo","@petrogustavo")</f>
        <v>@petrogustavo</v>
      </c>
      <c r="C14471" s="5" t="s">
        <v>16</v>
      </c>
      <c r="D14471" s="5" t="s">
        <v>13935</v>
      </c>
      <c r="E14471" s="6" t="str">
        <f>HYPERLINK("https://twitter.com/petrogustavo/status/1393054446536597508","1393054446536597508")</f>
        <v>1393054446536597508</v>
      </c>
      <c r="F14471" s="7" t="s">
        <v>17</v>
      </c>
      <c r="G14471" s="7">
        <v>4246023</v>
      </c>
      <c r="H14471" s="7">
        <v>2514</v>
      </c>
      <c r="I14471" s="7">
        <v>6034</v>
      </c>
      <c r="J14471" s="7">
        <v>0</v>
      </c>
      <c r="K14471" s="7" t="s">
        <v>18</v>
      </c>
      <c r="L14471" s="8">
        <v>39987.315405092595</v>
      </c>
      <c r="M14471" s="9" t="s">
        <v>19</v>
      </c>
      <c r="N14471" s="9" t="s">
        <v>20</v>
      </c>
      <c r="O14471" s="6" t="str">
        <f>HYPERLINK("https://pbs.twimg.com/profile_images/962471262747529216/Uo8lOkRJ_normal.jpg","View")</f>
        <v>View</v>
      </c>
      <c r="P14471" s="7"/>
    </row>
    <row r="14472" spans="1:16">
      <c r="A14472" s="3">
        <v>44330.399317129632</v>
      </c>
      <c r="B14472" s="4" t="str">
        <f>HYPERLINK("https://twitter.com/petrogustavo","@petrogustavo")</f>
        <v>@petrogustavo</v>
      </c>
      <c r="C14472" s="5" t="s">
        <v>16</v>
      </c>
      <c r="D14472" s="5" t="s">
        <v>13922</v>
      </c>
      <c r="E14472" s="6" t="str">
        <f>HYPERLINK("https://twitter.com/petrogustavo/status/1393054720328097793","1393054720328097793")</f>
        <v>1393054720328097793</v>
      </c>
      <c r="F14472" s="7" t="s">
        <v>17</v>
      </c>
      <c r="G14472" s="7">
        <v>4246023</v>
      </c>
      <c r="H14472" s="7">
        <v>2514</v>
      </c>
      <c r="I14472" s="7">
        <v>2147</v>
      </c>
      <c r="J14472" s="7">
        <v>0</v>
      </c>
      <c r="K14472" s="7" t="s">
        <v>18</v>
      </c>
      <c r="L14472" s="8">
        <v>39987.315405092595</v>
      </c>
      <c r="M14472" s="9" t="s">
        <v>19</v>
      </c>
      <c r="N14472" s="9" t="s">
        <v>20</v>
      </c>
      <c r="O14472" s="6" t="str">
        <f>HYPERLINK("https://pbs.twimg.com/profile_images/962471262747529216/Uo8lOkRJ_normal.jpg","View")</f>
        <v>View</v>
      </c>
      <c r="P14472" s="7"/>
    </row>
    <row r="14473" spans="1:16">
      <c r="A14473" s="3">
        <v>44330.399652777778</v>
      </c>
      <c r="B14473" s="4" t="str">
        <f>HYPERLINK("https://twitter.com/petrogustavo","@petrogustavo")</f>
        <v>@petrogustavo</v>
      </c>
      <c r="C14473" s="5" t="s">
        <v>16</v>
      </c>
      <c r="D14473" s="5" t="s">
        <v>13936</v>
      </c>
      <c r="E14473" s="6" t="str">
        <f>HYPERLINK("https://twitter.com/petrogustavo/status/1393054841937793027","1393054841937793027")</f>
        <v>1393054841937793027</v>
      </c>
      <c r="F14473" s="7" t="s">
        <v>17</v>
      </c>
      <c r="G14473" s="7">
        <v>4246023</v>
      </c>
      <c r="H14473" s="7">
        <v>2514</v>
      </c>
      <c r="I14473" s="7">
        <v>416</v>
      </c>
      <c r="J14473" s="7">
        <v>0</v>
      </c>
      <c r="K14473" s="7" t="s">
        <v>18</v>
      </c>
      <c r="L14473" s="8">
        <v>39987.315405092595</v>
      </c>
      <c r="M14473" s="9" t="s">
        <v>19</v>
      </c>
      <c r="N14473" s="9" t="s">
        <v>20</v>
      </c>
      <c r="O14473" s="6" t="str">
        <f>HYPERLINK("https://pbs.twimg.com/profile_images/962471262747529216/Uo8lOkRJ_normal.jpg","View")</f>
        <v>View</v>
      </c>
      <c r="P14473" s="7"/>
    </row>
    <row r="14474" spans="1:16">
      <c r="A14474" s="3">
        <v>44330.734479166669</v>
      </c>
      <c r="B14474" s="4" t="str">
        <f>HYPERLINK("https://twitter.com/petrogustavo","@petrogustavo")</f>
        <v>@petrogustavo</v>
      </c>
      <c r="C14474" s="5" t="s">
        <v>16</v>
      </c>
      <c r="D14474" s="5" t="s">
        <v>13936</v>
      </c>
      <c r="E14474" s="6" t="str">
        <f>HYPERLINK("https://twitter.com/petrogustavo/status/1393176177158787079","1393176177158787079")</f>
        <v>1393176177158787079</v>
      </c>
      <c r="F14474" s="7" t="s">
        <v>17</v>
      </c>
      <c r="G14474" s="7">
        <v>4246216</v>
      </c>
      <c r="H14474" s="7">
        <v>2514</v>
      </c>
      <c r="I14474" s="7">
        <v>1734</v>
      </c>
      <c r="J14474" s="7">
        <v>0</v>
      </c>
      <c r="K14474" s="7" t="s">
        <v>18</v>
      </c>
      <c r="L14474" s="8">
        <v>39987.315405092595</v>
      </c>
      <c r="M14474" s="9" t="s">
        <v>19</v>
      </c>
      <c r="N14474" s="9" t="s">
        <v>20</v>
      </c>
      <c r="O14474" s="6" t="str">
        <f>HYPERLINK("https://pbs.twimg.com/profile_images/962471262747529216/Uo8lOkRJ_normal.jpg","View")</f>
        <v>View</v>
      </c>
      <c r="P14474" s="7"/>
    </row>
    <row r="14475" spans="1:16">
      <c r="A14475" s="3">
        <v>44330.735879629632</v>
      </c>
      <c r="B14475" s="4" t="str">
        <f>HYPERLINK("https://twitter.com/petrogustavo","@petrogustavo")</f>
        <v>@petrogustavo</v>
      </c>
      <c r="C14475" s="5" t="s">
        <v>16</v>
      </c>
      <c r="D14475" s="5" t="s">
        <v>13922</v>
      </c>
      <c r="E14475" s="6" t="str">
        <f>HYPERLINK("https://twitter.com/petrogustavo/status/1393176683608526848","1393176683608526848")</f>
        <v>1393176683608526848</v>
      </c>
      <c r="F14475" s="7" t="s">
        <v>17</v>
      </c>
      <c r="G14475" s="7">
        <v>4246216</v>
      </c>
      <c r="H14475" s="7">
        <v>2514</v>
      </c>
      <c r="I14475" s="7">
        <v>2865</v>
      </c>
      <c r="J14475" s="7">
        <v>0</v>
      </c>
      <c r="K14475" s="7" t="s">
        <v>18</v>
      </c>
      <c r="L14475" s="8">
        <v>39987.315405092595</v>
      </c>
      <c r="M14475" s="9" t="s">
        <v>19</v>
      </c>
      <c r="N14475" s="9" t="s">
        <v>20</v>
      </c>
      <c r="O14475" s="6" t="str">
        <f>HYPERLINK("https://pbs.twimg.com/profile_images/962471262747529216/Uo8lOkRJ_normal.jpg","View")</f>
        <v>View</v>
      </c>
      <c r="P14475" s="7"/>
    </row>
    <row r="14476" spans="1:16">
      <c r="A14476" s="3">
        <v>44330.745092592595</v>
      </c>
      <c r="B14476" s="4" t="str">
        <f>HYPERLINK("https://twitter.com/petrogustavo","@petrogustavo")</f>
        <v>@petrogustavo</v>
      </c>
      <c r="C14476" s="5" t="s">
        <v>16</v>
      </c>
      <c r="D14476" s="5" t="s">
        <v>13937</v>
      </c>
      <c r="E14476" s="6" t="str">
        <f>HYPERLINK("https://twitter.com/petrogustavo/status/1393180024442916865","1393180024442916865")</f>
        <v>1393180024442916865</v>
      </c>
      <c r="F14476" s="7" t="s">
        <v>17</v>
      </c>
      <c r="G14476" s="7">
        <v>4246258</v>
      </c>
      <c r="H14476" s="7">
        <v>2514</v>
      </c>
      <c r="I14476" s="7">
        <v>140</v>
      </c>
      <c r="J14476" s="7">
        <v>351</v>
      </c>
      <c r="K14476" s="7" t="s">
        <v>18</v>
      </c>
      <c r="L14476" s="8">
        <v>39987.315405092595</v>
      </c>
      <c r="M14476" s="9" t="s">
        <v>19</v>
      </c>
      <c r="N14476" s="9" t="s">
        <v>20</v>
      </c>
      <c r="O14476" s="6" t="str">
        <f>HYPERLINK("https://pbs.twimg.com/profile_images/962471262747529216/Uo8lOkRJ_normal.jpg","View")</f>
        <v>View</v>
      </c>
      <c r="P14476" s="7"/>
    </row>
    <row r="14477" spans="1:16">
      <c r="A14477" s="3">
        <v>44330.7575462963</v>
      </c>
      <c r="B14477" s="4" t="str">
        <f>HYPERLINK("https://twitter.com/petrogustavo","@petrogustavo")</f>
        <v>@petrogustavo</v>
      </c>
      <c r="C14477" s="5" t="s">
        <v>16</v>
      </c>
      <c r="D14477" s="5" t="s">
        <v>13938</v>
      </c>
      <c r="E14477" s="6" t="str">
        <f>HYPERLINK("https://twitter.com/petrogustavo/status/1393184536641560578","1393184536641560578")</f>
        <v>1393184536641560578</v>
      </c>
      <c r="F14477" s="7" t="s">
        <v>17</v>
      </c>
      <c r="G14477" s="7">
        <v>4246258</v>
      </c>
      <c r="H14477" s="7">
        <v>2514</v>
      </c>
      <c r="I14477" s="7">
        <v>646</v>
      </c>
      <c r="J14477" s="7">
        <v>1595</v>
      </c>
      <c r="K14477" s="7" t="s">
        <v>18</v>
      </c>
      <c r="L14477" s="8">
        <v>39987.315405092595</v>
      </c>
      <c r="M14477" s="9" t="s">
        <v>19</v>
      </c>
      <c r="N14477" s="9" t="s">
        <v>20</v>
      </c>
      <c r="O14477" s="6" t="str">
        <f>HYPERLINK("https://pbs.twimg.com/profile_images/962471262747529216/Uo8lOkRJ_normal.jpg","View")</f>
        <v>View</v>
      </c>
      <c r="P14477" s="7"/>
    </row>
    <row r="14478" spans="1:16">
      <c r="A14478" s="3">
        <v>44330.760821759264</v>
      </c>
      <c r="B14478" s="4" t="str">
        <f>HYPERLINK("https://twitter.com/petrogustavo","@petrogustavo")</f>
        <v>@petrogustavo</v>
      </c>
      <c r="C14478" s="5" t="s">
        <v>16</v>
      </c>
      <c r="D14478" s="5" t="s">
        <v>13939</v>
      </c>
      <c r="E14478" s="6" t="str">
        <f>HYPERLINK("https://twitter.com/petrogustavo/status/1393185725336670219","1393185725336670219")</f>
        <v>1393185725336670219</v>
      </c>
      <c r="F14478" s="7" t="s">
        <v>17</v>
      </c>
      <c r="G14478" s="7">
        <v>4246258</v>
      </c>
      <c r="H14478" s="7">
        <v>2514</v>
      </c>
      <c r="I14478" s="7">
        <v>66</v>
      </c>
      <c r="J14478" s="7">
        <v>174</v>
      </c>
      <c r="K14478" s="7" t="s">
        <v>18</v>
      </c>
      <c r="L14478" s="8">
        <v>39987.315405092595</v>
      </c>
      <c r="M14478" s="9" t="s">
        <v>19</v>
      </c>
      <c r="N14478" s="9" t="s">
        <v>20</v>
      </c>
      <c r="O14478" s="6" t="str">
        <f>HYPERLINK("https://pbs.twimg.com/profile_images/962471262747529216/Uo8lOkRJ_normal.jpg","View")</f>
        <v>View</v>
      </c>
      <c r="P14478" s="7"/>
    </row>
    <row r="14479" spans="1:16">
      <c r="A14479" s="3">
        <v>44330.767685185187</v>
      </c>
      <c r="B14479" s="4" t="str">
        <f>HYPERLINK("https://twitter.com/petrogustavo","@petrogustavo")</f>
        <v>@petrogustavo</v>
      </c>
      <c r="C14479" s="5" t="s">
        <v>16</v>
      </c>
      <c r="D14479" s="5" t="s">
        <v>13940</v>
      </c>
      <c r="E14479" s="6" t="str">
        <f>HYPERLINK("https://twitter.com/petrogustavo/status/1393188210860298245","1393188210860298245")</f>
        <v>1393188210860298245</v>
      </c>
      <c r="F14479" s="7" t="s">
        <v>17</v>
      </c>
      <c r="G14479" s="7">
        <v>4246327</v>
      </c>
      <c r="H14479" s="7">
        <v>2514</v>
      </c>
      <c r="I14479" s="7">
        <v>344</v>
      </c>
      <c r="J14479" s="7">
        <v>833</v>
      </c>
      <c r="K14479" s="7" t="s">
        <v>18</v>
      </c>
      <c r="L14479" s="8">
        <v>39987.315405092595</v>
      </c>
      <c r="M14479" s="9" t="s">
        <v>19</v>
      </c>
      <c r="N14479" s="9" t="s">
        <v>20</v>
      </c>
      <c r="O14479" s="6" t="str">
        <f>HYPERLINK("https://pbs.twimg.com/profile_images/962471262747529216/Uo8lOkRJ_normal.jpg","View")</f>
        <v>View</v>
      </c>
      <c r="P14479" s="7"/>
    </row>
    <row r="14480" spans="1:16">
      <c r="A14480" s="3">
        <v>44330.771238425921</v>
      </c>
      <c r="B14480" s="4" t="str">
        <f>HYPERLINK("https://twitter.com/petrogustavo","@petrogustavo")</f>
        <v>@petrogustavo</v>
      </c>
      <c r="C14480" s="5" t="s">
        <v>16</v>
      </c>
      <c r="D14480" s="5" t="s">
        <v>13941</v>
      </c>
      <c r="E14480" s="6" t="str">
        <f>HYPERLINK("https://twitter.com/petrogustavo/status/1393189499404959750","1393189499404959750")</f>
        <v>1393189499404959750</v>
      </c>
      <c r="F14480" s="7" t="s">
        <v>17</v>
      </c>
      <c r="G14480" s="7">
        <v>4246327</v>
      </c>
      <c r="H14480" s="7">
        <v>2514</v>
      </c>
      <c r="I14480" s="7">
        <v>143</v>
      </c>
      <c r="J14480" s="7">
        <v>552</v>
      </c>
      <c r="K14480" s="7" t="s">
        <v>18</v>
      </c>
      <c r="L14480" s="8">
        <v>39987.315405092595</v>
      </c>
      <c r="M14480" s="9" t="s">
        <v>19</v>
      </c>
      <c r="N14480" s="9" t="s">
        <v>20</v>
      </c>
      <c r="O14480" s="6" t="str">
        <f>HYPERLINK("https://pbs.twimg.com/profile_images/962471262747529216/Uo8lOkRJ_normal.jpg","View")</f>
        <v>View</v>
      </c>
      <c r="P14480" s="7"/>
    </row>
    <row r="14481" spans="1:16">
      <c r="A14481" s="3">
        <v>44330.82775462963</v>
      </c>
      <c r="B14481" s="4" t="str">
        <f>HYPERLINK("https://twitter.com/petrogustavo","@petrogustavo")</f>
        <v>@petrogustavo</v>
      </c>
      <c r="C14481" s="5" t="s">
        <v>16</v>
      </c>
      <c r="D14481" s="5" t="s">
        <v>13942</v>
      </c>
      <c r="E14481" s="6" t="str">
        <f>HYPERLINK("https://twitter.com/petrogustavo/status/1393209979713228801","1393209979713228801")</f>
        <v>1393209979713228801</v>
      </c>
      <c r="F14481" s="7" t="s">
        <v>32</v>
      </c>
      <c r="G14481" s="7">
        <v>4246525</v>
      </c>
      <c r="H14481" s="7">
        <v>2514</v>
      </c>
      <c r="I14481" s="7">
        <v>5281</v>
      </c>
      <c r="J14481" s="7">
        <v>0</v>
      </c>
      <c r="K14481" s="7" t="s">
        <v>18</v>
      </c>
      <c r="L14481" s="8">
        <v>39987.315405092595</v>
      </c>
      <c r="M14481" s="9" t="s">
        <v>19</v>
      </c>
      <c r="N14481" s="9" t="s">
        <v>20</v>
      </c>
      <c r="O14481" s="6" t="str">
        <f>HYPERLINK("https://pbs.twimg.com/profile_images/962471262747529216/Uo8lOkRJ_normal.jpg","View")</f>
        <v>View</v>
      </c>
      <c r="P14481" s="7"/>
    </row>
    <row r="14482" spans="1:16">
      <c r="A14482" s="3">
        <v>44330.889525462961</v>
      </c>
      <c r="B14482" s="4" t="str">
        <f>HYPERLINK("https://twitter.com/petrogustavo","@petrogustavo")</f>
        <v>@petrogustavo</v>
      </c>
      <c r="C14482" s="5" t="s">
        <v>16</v>
      </c>
      <c r="D14482" s="5" t="s">
        <v>13943</v>
      </c>
      <c r="E14482" s="6" t="str">
        <f>HYPERLINK("https://twitter.com/petrogustavo/status/1393232364415983616","1393232364415983616")</f>
        <v>1393232364415983616</v>
      </c>
      <c r="F14482" s="7" t="s">
        <v>32</v>
      </c>
      <c r="G14482" s="7">
        <v>4246719</v>
      </c>
      <c r="H14482" s="7">
        <v>2514</v>
      </c>
      <c r="I14482" s="7">
        <v>136</v>
      </c>
      <c r="J14482" s="7">
        <v>0</v>
      </c>
      <c r="K14482" s="7" t="s">
        <v>18</v>
      </c>
      <c r="L14482" s="8">
        <v>39987.315405092595</v>
      </c>
      <c r="M14482" s="9" t="s">
        <v>19</v>
      </c>
      <c r="N14482" s="9" t="s">
        <v>20</v>
      </c>
      <c r="O14482" s="6" t="str">
        <f>HYPERLINK("https://pbs.twimg.com/profile_images/962471262747529216/Uo8lOkRJ_normal.jpg","View")</f>
        <v>View</v>
      </c>
      <c r="P14482" s="7"/>
    </row>
    <row r="14483" spans="1:16">
      <c r="A14483" s="3">
        <v>44330.9769212963</v>
      </c>
      <c r="B14483" s="4" t="str">
        <f>HYPERLINK("https://twitter.com/petrogustavo","@petrogustavo")</f>
        <v>@petrogustavo</v>
      </c>
      <c r="C14483" s="5" t="s">
        <v>16</v>
      </c>
      <c r="D14483" s="5" t="s">
        <v>13942</v>
      </c>
      <c r="E14483" s="6" t="str">
        <f>HYPERLINK("https://twitter.com/petrogustavo/status/1393264035869626378","1393264035869626378")</f>
        <v>1393264035869626378</v>
      </c>
      <c r="F14483" s="7" t="s">
        <v>17</v>
      </c>
      <c r="G14483" s="7">
        <v>4247077</v>
      </c>
      <c r="H14483" s="7">
        <v>2514</v>
      </c>
      <c r="I14483" s="7">
        <v>9092</v>
      </c>
      <c r="J14483" s="7">
        <v>0</v>
      </c>
      <c r="K14483" s="7" t="s">
        <v>18</v>
      </c>
      <c r="L14483" s="8">
        <v>39987.315405092595</v>
      </c>
      <c r="M14483" s="9" t="s">
        <v>19</v>
      </c>
      <c r="N14483" s="9" t="s">
        <v>20</v>
      </c>
      <c r="O14483" s="6" t="str">
        <f>HYPERLINK("https://pbs.twimg.com/profile_images/962471262747529216/Uo8lOkRJ_normal.jpg","View")</f>
        <v>View</v>
      </c>
      <c r="P14483" s="7"/>
    </row>
    <row r="14484" spans="1:16">
      <c r="A14484" s="3">
        <v>44331.36001157407</v>
      </c>
      <c r="B14484" s="4" t="str">
        <f>HYPERLINK("https://twitter.com/petrogustavo","@petrogustavo")</f>
        <v>@petrogustavo</v>
      </c>
      <c r="C14484" s="5" t="s">
        <v>16</v>
      </c>
      <c r="D14484" s="5" t="s">
        <v>13944</v>
      </c>
      <c r="E14484" s="6" t="str">
        <f>HYPERLINK("https://twitter.com/petrogustavo/status/1393402864370913280","1393402864370913280")</f>
        <v>1393402864370913280</v>
      </c>
      <c r="F14484" s="7" t="s">
        <v>17</v>
      </c>
      <c r="G14484" s="7">
        <v>4248279</v>
      </c>
      <c r="H14484" s="7">
        <v>2514</v>
      </c>
      <c r="I14484" s="7">
        <v>120</v>
      </c>
      <c r="J14484" s="7">
        <v>0</v>
      </c>
      <c r="K14484" s="7" t="s">
        <v>18</v>
      </c>
      <c r="L14484" s="8">
        <v>39987.315405092595</v>
      </c>
      <c r="M14484" s="9" t="s">
        <v>19</v>
      </c>
      <c r="N14484" s="9" t="s">
        <v>20</v>
      </c>
      <c r="O14484" s="6" t="str">
        <f>HYPERLINK("https://pbs.twimg.com/profile_images/962471262747529216/Uo8lOkRJ_normal.jpg","View")</f>
        <v>View</v>
      </c>
      <c r="P14484" s="7"/>
    </row>
    <row r="14485" spans="1:16">
      <c r="A14485" s="3">
        <v>44331.361886574072</v>
      </c>
      <c r="B14485" s="4" t="str">
        <f>HYPERLINK("https://twitter.com/petrogustavo","@petrogustavo")</f>
        <v>@petrogustavo</v>
      </c>
      <c r="C14485" s="5" t="s">
        <v>16</v>
      </c>
      <c r="D14485" s="5" t="s">
        <v>13945</v>
      </c>
      <c r="E14485" s="6" t="str">
        <f>HYPERLINK("https://twitter.com/petrogustavo/status/1393403544661864452","1393403544661864452")</f>
        <v>1393403544661864452</v>
      </c>
      <c r="F14485" s="7" t="s">
        <v>17</v>
      </c>
      <c r="G14485" s="7">
        <v>4248279</v>
      </c>
      <c r="H14485" s="7">
        <v>2514</v>
      </c>
      <c r="I14485" s="7">
        <v>181</v>
      </c>
      <c r="J14485" s="7">
        <v>384</v>
      </c>
      <c r="K14485" s="7" t="s">
        <v>18</v>
      </c>
      <c r="L14485" s="8">
        <v>39987.315405092595</v>
      </c>
      <c r="M14485" s="9" t="s">
        <v>19</v>
      </c>
      <c r="N14485" s="9" t="s">
        <v>20</v>
      </c>
      <c r="O14485" s="6" t="str">
        <f>HYPERLINK("https://pbs.twimg.com/profile_images/962471262747529216/Uo8lOkRJ_normal.jpg","View")</f>
        <v>View</v>
      </c>
      <c r="P14485" s="7"/>
    </row>
    <row r="14486" spans="1:16">
      <c r="A14486" s="3">
        <v>44331.366307870368</v>
      </c>
      <c r="B14486" s="4" t="str">
        <f>HYPERLINK("https://twitter.com/petrogustavo","@petrogustavo")</f>
        <v>@petrogustavo</v>
      </c>
      <c r="C14486" s="5" t="s">
        <v>16</v>
      </c>
      <c r="D14486" s="5" t="s">
        <v>13946</v>
      </c>
      <c r="E14486" s="6" t="str">
        <f>HYPERLINK("https://twitter.com/petrogustavo/status/1393405145782816770","1393405145782816770")</f>
        <v>1393405145782816770</v>
      </c>
      <c r="F14486" s="7" t="s">
        <v>17</v>
      </c>
      <c r="G14486" s="7">
        <v>4248368</v>
      </c>
      <c r="H14486" s="7">
        <v>2514</v>
      </c>
      <c r="I14486" s="7">
        <v>728</v>
      </c>
      <c r="J14486" s="7">
        <v>0</v>
      </c>
      <c r="K14486" s="7" t="s">
        <v>18</v>
      </c>
      <c r="L14486" s="8">
        <v>39987.315405092595</v>
      </c>
      <c r="M14486" s="9" t="s">
        <v>19</v>
      </c>
      <c r="N14486" s="9" t="s">
        <v>20</v>
      </c>
      <c r="O14486" s="6" t="str">
        <f>HYPERLINK("https://pbs.twimg.com/profile_images/962471262747529216/Uo8lOkRJ_normal.jpg","View")</f>
        <v>View</v>
      </c>
      <c r="P14486" s="7"/>
    </row>
    <row r="14487" spans="1:16">
      <c r="A14487" s="3">
        <v>44331.37195601852</v>
      </c>
      <c r="B14487" s="4" t="str">
        <f>HYPERLINK("https://twitter.com/petrogustavo","@petrogustavo")</f>
        <v>@petrogustavo</v>
      </c>
      <c r="C14487" s="5" t="s">
        <v>16</v>
      </c>
      <c r="D14487" s="5" t="s">
        <v>13947</v>
      </c>
      <c r="E14487" s="6" t="str">
        <f>HYPERLINK("https://twitter.com/petrogustavo/status/1393407192276127745","1393407192276127745")</f>
        <v>1393407192276127745</v>
      </c>
      <c r="F14487" s="7" t="s">
        <v>17</v>
      </c>
      <c r="G14487" s="7">
        <v>4248368</v>
      </c>
      <c r="H14487" s="7">
        <v>2514</v>
      </c>
      <c r="I14487" s="7">
        <v>293</v>
      </c>
      <c r="J14487" s="7">
        <v>0</v>
      </c>
      <c r="K14487" s="7" t="s">
        <v>18</v>
      </c>
      <c r="L14487" s="8">
        <v>39987.315405092595</v>
      </c>
      <c r="M14487" s="9" t="s">
        <v>19</v>
      </c>
      <c r="N14487" s="9" t="s">
        <v>20</v>
      </c>
      <c r="O14487" s="6" t="str">
        <f>HYPERLINK("https://pbs.twimg.com/profile_images/962471262747529216/Uo8lOkRJ_normal.jpg","View")</f>
        <v>View</v>
      </c>
      <c r="P14487" s="7"/>
    </row>
    <row r="14488" spans="1:16">
      <c r="A14488" s="3">
        <v>44331.373437499999</v>
      </c>
      <c r="B14488" s="4" t="str">
        <f>HYPERLINK("https://twitter.com/petrogustavo","@petrogustavo")</f>
        <v>@petrogustavo</v>
      </c>
      <c r="C14488" s="5" t="s">
        <v>16</v>
      </c>
      <c r="D14488" s="5" t="s">
        <v>13948</v>
      </c>
      <c r="E14488" s="6" t="str">
        <f>HYPERLINK("https://twitter.com/petrogustavo/status/1393407728819843073","1393407728819843073")</f>
        <v>1393407728819843073</v>
      </c>
      <c r="F14488" s="7" t="s">
        <v>17</v>
      </c>
      <c r="G14488" s="7">
        <v>4248368</v>
      </c>
      <c r="H14488" s="7">
        <v>2514</v>
      </c>
      <c r="I14488" s="7">
        <v>749</v>
      </c>
      <c r="J14488" s="7">
        <v>0</v>
      </c>
      <c r="K14488" s="7" t="s">
        <v>18</v>
      </c>
      <c r="L14488" s="8">
        <v>39987.315405092595</v>
      </c>
      <c r="M14488" s="9" t="s">
        <v>19</v>
      </c>
      <c r="N14488" s="9" t="s">
        <v>20</v>
      </c>
      <c r="O14488" s="6" t="str">
        <f>HYPERLINK("https://pbs.twimg.com/profile_images/962471262747529216/Uo8lOkRJ_normal.jpg","View")</f>
        <v>View</v>
      </c>
      <c r="P14488" s="7"/>
    </row>
    <row r="14489" spans="1:16">
      <c r="A14489" s="3">
        <v>44331.374502314815</v>
      </c>
      <c r="B14489" s="4" t="str">
        <f>HYPERLINK("https://twitter.com/petrogustavo","@petrogustavo")</f>
        <v>@petrogustavo</v>
      </c>
      <c r="C14489" s="5" t="s">
        <v>16</v>
      </c>
      <c r="D14489" s="5" t="s">
        <v>13949</v>
      </c>
      <c r="E14489" s="6" t="str">
        <f>HYPERLINK("https://twitter.com/petrogustavo/status/1393408116318998530","1393408116318998530")</f>
        <v>1393408116318998530</v>
      </c>
      <c r="F14489" s="7" t="s">
        <v>17</v>
      </c>
      <c r="G14489" s="7">
        <v>4248368</v>
      </c>
      <c r="H14489" s="7">
        <v>2514</v>
      </c>
      <c r="I14489" s="7">
        <v>477</v>
      </c>
      <c r="J14489" s="7">
        <v>1687</v>
      </c>
      <c r="K14489" s="7" t="s">
        <v>18</v>
      </c>
      <c r="L14489" s="8">
        <v>39987.315405092595</v>
      </c>
      <c r="M14489" s="9" t="s">
        <v>19</v>
      </c>
      <c r="N14489" s="9" t="s">
        <v>20</v>
      </c>
      <c r="O14489" s="6" t="str">
        <f>HYPERLINK("https://pbs.twimg.com/profile_images/962471262747529216/Uo8lOkRJ_normal.jpg","View")</f>
        <v>View</v>
      </c>
      <c r="P14489" s="7"/>
    </row>
    <row r="14490" spans="1:16">
      <c r="A14490" s="3">
        <v>44331.375474537039</v>
      </c>
      <c r="B14490" s="4" t="str">
        <f>HYPERLINK("https://twitter.com/petrogustavo","@petrogustavo")</f>
        <v>@petrogustavo</v>
      </c>
      <c r="C14490" s="5" t="s">
        <v>16</v>
      </c>
      <c r="D14490" s="5" t="s">
        <v>13950</v>
      </c>
      <c r="E14490" s="6" t="str">
        <f>HYPERLINK("https://twitter.com/petrogustavo/status/1393408468854452230","1393408468854452230")</f>
        <v>1393408468854452230</v>
      </c>
      <c r="F14490" s="7" t="s">
        <v>17</v>
      </c>
      <c r="G14490" s="7">
        <v>4248368</v>
      </c>
      <c r="H14490" s="7">
        <v>2514</v>
      </c>
      <c r="I14490" s="7">
        <v>2727</v>
      </c>
      <c r="J14490" s="7">
        <v>0</v>
      </c>
      <c r="K14490" s="7" t="s">
        <v>18</v>
      </c>
      <c r="L14490" s="8">
        <v>39987.315405092595</v>
      </c>
      <c r="M14490" s="9" t="s">
        <v>19</v>
      </c>
      <c r="N14490" s="9" t="s">
        <v>20</v>
      </c>
      <c r="O14490" s="6" t="str">
        <f>HYPERLINK("https://pbs.twimg.com/profile_images/962471262747529216/Uo8lOkRJ_normal.jpg","View")</f>
        <v>View</v>
      </c>
      <c r="P14490" s="7"/>
    </row>
    <row r="14491" spans="1:16">
      <c r="A14491" s="3">
        <v>44331.379953703705</v>
      </c>
      <c r="B14491" s="4" t="str">
        <f>HYPERLINK("https://twitter.com/petrogustavo","@petrogustavo")</f>
        <v>@petrogustavo</v>
      </c>
      <c r="C14491" s="5" t="s">
        <v>16</v>
      </c>
      <c r="D14491" s="5" t="s">
        <v>13951</v>
      </c>
      <c r="E14491" s="6" t="str">
        <f>HYPERLINK("https://twitter.com/petrogustavo/status/1393410091026616324","1393410091026616324")</f>
        <v>1393410091026616324</v>
      </c>
      <c r="F14491" s="7" t="s">
        <v>17</v>
      </c>
      <c r="G14491" s="7">
        <v>4248368</v>
      </c>
      <c r="H14491" s="7">
        <v>2514</v>
      </c>
      <c r="I14491" s="7">
        <v>2010</v>
      </c>
      <c r="J14491" s="7">
        <v>0</v>
      </c>
      <c r="K14491" s="7" t="s">
        <v>18</v>
      </c>
      <c r="L14491" s="8">
        <v>39987.315405092595</v>
      </c>
      <c r="M14491" s="9" t="s">
        <v>19</v>
      </c>
      <c r="N14491" s="9" t="s">
        <v>20</v>
      </c>
      <c r="O14491" s="6" t="str">
        <f>HYPERLINK("https://pbs.twimg.com/profile_images/962471262747529216/Uo8lOkRJ_normal.jpg","View")</f>
        <v>View</v>
      </c>
      <c r="P14491" s="7"/>
    </row>
    <row r="14492" spans="1:16">
      <c r="A14492" s="3">
        <v>44331.384409722217</v>
      </c>
      <c r="B14492" s="4" t="str">
        <f>HYPERLINK("https://twitter.com/petrogustavo","@petrogustavo")</f>
        <v>@petrogustavo</v>
      </c>
      <c r="C14492" s="5" t="s">
        <v>16</v>
      </c>
      <c r="D14492" s="5" t="s">
        <v>13952</v>
      </c>
      <c r="E14492" s="6" t="str">
        <f>HYPERLINK("https://twitter.com/petrogustavo/status/1393411704202145799","1393411704202145799")</f>
        <v>1393411704202145799</v>
      </c>
      <c r="F14492" s="7" t="s">
        <v>17</v>
      </c>
      <c r="G14492" s="7">
        <v>4248368</v>
      </c>
      <c r="H14492" s="7">
        <v>2514</v>
      </c>
      <c r="I14492" s="7">
        <v>62</v>
      </c>
      <c r="J14492" s="7">
        <v>210</v>
      </c>
      <c r="K14492" s="7" t="s">
        <v>18</v>
      </c>
      <c r="L14492" s="8">
        <v>39987.315405092595</v>
      </c>
      <c r="M14492" s="9" t="s">
        <v>19</v>
      </c>
      <c r="N14492" s="9" t="s">
        <v>20</v>
      </c>
      <c r="O14492" s="6" t="str">
        <f>HYPERLINK("https://pbs.twimg.com/profile_images/962471262747529216/Uo8lOkRJ_normal.jpg","View")</f>
        <v>View</v>
      </c>
      <c r="P14492" s="7"/>
    </row>
    <row r="14493" spans="1:16">
      <c r="A14493" s="3">
        <v>44331.387650462959</v>
      </c>
      <c r="B14493" s="4" t="str">
        <f>HYPERLINK("https://twitter.com/petrogustavo","@petrogustavo")</f>
        <v>@petrogustavo</v>
      </c>
      <c r="C14493" s="5" t="s">
        <v>16</v>
      </c>
      <c r="D14493" s="5" t="s">
        <v>13953</v>
      </c>
      <c r="E14493" s="6" t="str">
        <f>HYPERLINK("https://twitter.com/petrogustavo/status/1393412880494698496","1393412880494698496")</f>
        <v>1393412880494698496</v>
      </c>
      <c r="F14493" s="7" t="s">
        <v>17</v>
      </c>
      <c r="G14493" s="7">
        <v>4248406</v>
      </c>
      <c r="H14493" s="7">
        <v>2514</v>
      </c>
      <c r="I14493" s="7">
        <v>701</v>
      </c>
      <c r="J14493" s="7">
        <v>1199</v>
      </c>
      <c r="K14493" s="7" t="s">
        <v>18</v>
      </c>
      <c r="L14493" s="8">
        <v>39987.315405092595</v>
      </c>
      <c r="M14493" s="9" t="s">
        <v>19</v>
      </c>
      <c r="N14493" s="9" t="s">
        <v>20</v>
      </c>
      <c r="O14493" s="6" t="str">
        <f>HYPERLINK("https://pbs.twimg.com/profile_images/962471262747529216/Uo8lOkRJ_normal.jpg","View")</f>
        <v>View</v>
      </c>
      <c r="P14493" s="7"/>
    </row>
    <row r="14494" spans="1:16">
      <c r="A14494" s="3">
        <v>44331.397280092591</v>
      </c>
      <c r="B14494" s="4" t="str">
        <f>HYPERLINK("https://twitter.com/petrogustavo","@petrogustavo")</f>
        <v>@petrogustavo</v>
      </c>
      <c r="C14494" s="5" t="s">
        <v>16</v>
      </c>
      <c r="D14494" s="5" t="s">
        <v>13954</v>
      </c>
      <c r="E14494" s="6" t="str">
        <f>HYPERLINK("https://twitter.com/petrogustavo/status/1393416369077686272","1393416369077686272")</f>
        <v>1393416369077686272</v>
      </c>
      <c r="F14494" s="7" t="s">
        <v>17</v>
      </c>
      <c r="G14494" s="7">
        <v>4248406</v>
      </c>
      <c r="H14494" s="7">
        <v>2514</v>
      </c>
      <c r="I14494" s="7">
        <v>561</v>
      </c>
      <c r="J14494" s="7">
        <v>803</v>
      </c>
      <c r="K14494" s="7" t="s">
        <v>18</v>
      </c>
      <c r="L14494" s="8">
        <v>39987.315405092595</v>
      </c>
      <c r="M14494" s="9" t="s">
        <v>19</v>
      </c>
      <c r="N14494" s="9" t="s">
        <v>20</v>
      </c>
      <c r="O14494" s="6" t="str">
        <f>HYPERLINK("https://pbs.twimg.com/profile_images/962471262747529216/Uo8lOkRJ_normal.jpg","View")</f>
        <v>View</v>
      </c>
      <c r="P14494" s="7"/>
    </row>
    <row r="14495" spans="1:16">
      <c r="A14495" s="3">
        <v>44331.398761574077</v>
      </c>
      <c r="B14495" s="4" t="str">
        <f>HYPERLINK("https://twitter.com/petrogustavo","@petrogustavo")</f>
        <v>@petrogustavo</v>
      </c>
      <c r="C14495" s="5" t="s">
        <v>16</v>
      </c>
      <c r="D14495" s="5" t="s">
        <v>13955</v>
      </c>
      <c r="E14495" s="6" t="str">
        <f>HYPERLINK("https://twitter.com/petrogustavo/status/1393416906653282308","1393416906653282308")</f>
        <v>1393416906653282308</v>
      </c>
      <c r="F14495" s="7" t="s">
        <v>17</v>
      </c>
      <c r="G14495" s="7">
        <v>4248406</v>
      </c>
      <c r="H14495" s="7">
        <v>2514</v>
      </c>
      <c r="I14495" s="7">
        <v>229</v>
      </c>
      <c r="J14495" s="7">
        <v>0</v>
      </c>
      <c r="K14495" s="7" t="s">
        <v>18</v>
      </c>
      <c r="L14495" s="8">
        <v>39987.315405092595</v>
      </c>
      <c r="M14495" s="9" t="s">
        <v>19</v>
      </c>
      <c r="N14495" s="9" t="s">
        <v>20</v>
      </c>
      <c r="O14495" s="6" t="str">
        <f>HYPERLINK("https://pbs.twimg.com/profile_images/962471262747529216/Uo8lOkRJ_normal.jpg","View")</f>
        <v>View</v>
      </c>
      <c r="P14495" s="7"/>
    </row>
    <row r="14496" spans="1:16">
      <c r="A14496" s="3">
        <v>44331.401828703703</v>
      </c>
      <c r="B14496" s="4" t="str">
        <f>HYPERLINK("https://twitter.com/petrogustavo","@petrogustavo")</f>
        <v>@petrogustavo</v>
      </c>
      <c r="C14496" s="5" t="s">
        <v>16</v>
      </c>
      <c r="D14496" s="5" t="s">
        <v>13956</v>
      </c>
      <c r="E14496" s="6" t="str">
        <f>HYPERLINK("https://twitter.com/petrogustavo/status/1393418017527287811","1393418017527287811")</f>
        <v>1393418017527287811</v>
      </c>
      <c r="F14496" s="7" t="s">
        <v>17</v>
      </c>
      <c r="G14496" s="7">
        <v>4248406</v>
      </c>
      <c r="H14496" s="7">
        <v>2514</v>
      </c>
      <c r="I14496" s="7">
        <v>219</v>
      </c>
      <c r="J14496" s="7">
        <v>382</v>
      </c>
      <c r="K14496" s="7" t="s">
        <v>18</v>
      </c>
      <c r="L14496" s="8">
        <v>39987.315405092595</v>
      </c>
      <c r="M14496" s="9" t="s">
        <v>19</v>
      </c>
      <c r="N14496" s="9" t="s">
        <v>20</v>
      </c>
      <c r="O14496" s="6" t="str">
        <f>HYPERLINK("https://pbs.twimg.com/profile_images/962471262747529216/Uo8lOkRJ_normal.jpg","View")</f>
        <v>View</v>
      </c>
      <c r="P14496" s="7"/>
    </row>
    <row r="14497" spans="1:16">
      <c r="A14497" s="3">
        <v>44331.402118055557</v>
      </c>
      <c r="B14497" s="4" t="str">
        <f>HYPERLINK("https://twitter.com/petrogustavo","@petrogustavo")</f>
        <v>@petrogustavo</v>
      </c>
      <c r="C14497" s="5" t="s">
        <v>16</v>
      </c>
      <c r="D14497" s="5" t="s">
        <v>13957</v>
      </c>
      <c r="E14497" s="6" t="str">
        <f>HYPERLINK("https://twitter.com/petrogustavo/status/1393418123055976453","1393418123055976453")</f>
        <v>1393418123055976453</v>
      </c>
      <c r="F14497" s="7" t="s">
        <v>17</v>
      </c>
      <c r="G14497" s="7">
        <v>4248406</v>
      </c>
      <c r="H14497" s="7">
        <v>2514</v>
      </c>
      <c r="I14497" s="7">
        <v>431</v>
      </c>
      <c r="J14497" s="7">
        <v>0</v>
      </c>
      <c r="K14497" s="7" t="s">
        <v>18</v>
      </c>
      <c r="L14497" s="8">
        <v>39987.315405092595</v>
      </c>
      <c r="M14497" s="9" t="s">
        <v>19</v>
      </c>
      <c r="N14497" s="9" t="s">
        <v>20</v>
      </c>
      <c r="O14497" s="6" t="str">
        <f>HYPERLINK("https://pbs.twimg.com/profile_images/962471262747529216/Uo8lOkRJ_normal.jpg","View")</f>
        <v>View</v>
      </c>
      <c r="P14497" s="7"/>
    </row>
    <row r="14498" spans="1:16">
      <c r="A14498" s="3">
        <v>44331.402303240742</v>
      </c>
      <c r="B14498" s="4" t="str">
        <f>HYPERLINK("https://twitter.com/petrogustavo","@petrogustavo")</f>
        <v>@petrogustavo</v>
      </c>
      <c r="C14498" s="5" t="s">
        <v>16</v>
      </c>
      <c r="D14498" s="5" t="s">
        <v>13958</v>
      </c>
      <c r="E14498" s="6" t="str">
        <f>HYPERLINK("https://twitter.com/petrogustavo/status/1393418187899871236","1393418187899871236")</f>
        <v>1393418187899871236</v>
      </c>
      <c r="F14498" s="7" t="s">
        <v>17</v>
      </c>
      <c r="G14498" s="7">
        <v>4248406</v>
      </c>
      <c r="H14498" s="7">
        <v>2514</v>
      </c>
      <c r="I14498" s="7">
        <v>219</v>
      </c>
      <c r="J14498" s="7">
        <v>0</v>
      </c>
      <c r="K14498" s="7" t="s">
        <v>18</v>
      </c>
      <c r="L14498" s="8">
        <v>39987.315405092595</v>
      </c>
      <c r="M14498" s="9" t="s">
        <v>19</v>
      </c>
      <c r="N14498" s="9" t="s">
        <v>20</v>
      </c>
      <c r="O14498" s="6" t="str">
        <f>HYPERLINK("https://pbs.twimg.com/profile_images/962471262747529216/Uo8lOkRJ_normal.jpg","View")</f>
        <v>View</v>
      </c>
      <c r="P14498" s="7"/>
    </row>
    <row r="14499" spans="1:16">
      <c r="A14499" s="3">
        <v>44331.40388888889</v>
      </c>
      <c r="B14499" s="4" t="str">
        <f>HYPERLINK("https://twitter.com/petrogustavo","@petrogustavo")</f>
        <v>@petrogustavo</v>
      </c>
      <c r="C14499" s="5" t="s">
        <v>16</v>
      </c>
      <c r="D14499" s="5" t="s">
        <v>13959</v>
      </c>
      <c r="E14499" s="6" t="str">
        <f>HYPERLINK("https://twitter.com/petrogustavo/status/1393418764964741120","1393418764964741120")</f>
        <v>1393418764964741120</v>
      </c>
      <c r="F14499" s="7" t="s">
        <v>17</v>
      </c>
      <c r="G14499" s="7">
        <v>4248406</v>
      </c>
      <c r="H14499" s="7">
        <v>2514</v>
      </c>
      <c r="I14499" s="7">
        <v>78</v>
      </c>
      <c r="J14499" s="7">
        <v>0</v>
      </c>
      <c r="K14499" s="7" t="s">
        <v>18</v>
      </c>
      <c r="L14499" s="8">
        <v>39987.315405092595</v>
      </c>
      <c r="M14499" s="9" t="s">
        <v>19</v>
      </c>
      <c r="N14499" s="9" t="s">
        <v>20</v>
      </c>
      <c r="O14499" s="6" t="str">
        <f>HYPERLINK("https://pbs.twimg.com/profile_images/962471262747529216/Uo8lOkRJ_normal.jpg","View")</f>
        <v>View</v>
      </c>
      <c r="P14499" s="7"/>
    </row>
    <row r="14500" spans="1:16">
      <c r="A14500" s="3">
        <v>44331.405347222222</v>
      </c>
      <c r="B14500" s="4" t="str">
        <f>HYPERLINK("https://twitter.com/petrogustavo","@petrogustavo")</f>
        <v>@petrogustavo</v>
      </c>
      <c r="C14500" s="5" t="s">
        <v>16</v>
      </c>
      <c r="D14500" s="5" t="s">
        <v>13960</v>
      </c>
      <c r="E14500" s="6" t="str">
        <f>HYPERLINK("https://twitter.com/petrogustavo/status/1393419294193725441","1393419294193725441")</f>
        <v>1393419294193725441</v>
      </c>
      <c r="F14500" s="7" t="s">
        <v>17</v>
      </c>
      <c r="G14500" s="7">
        <v>4248406</v>
      </c>
      <c r="H14500" s="7">
        <v>2514</v>
      </c>
      <c r="I14500" s="7">
        <v>274</v>
      </c>
      <c r="J14500" s="7">
        <v>1131</v>
      </c>
      <c r="K14500" s="7" t="s">
        <v>18</v>
      </c>
      <c r="L14500" s="8">
        <v>39987.315405092595</v>
      </c>
      <c r="M14500" s="9" t="s">
        <v>19</v>
      </c>
      <c r="N14500" s="9" t="s">
        <v>20</v>
      </c>
      <c r="O14500" s="6" t="str">
        <f>HYPERLINK("https://pbs.twimg.com/profile_images/962471262747529216/Uo8lOkRJ_normal.jpg","View")</f>
        <v>View</v>
      </c>
      <c r="P14500" s="7"/>
    </row>
    <row r="14501" spans="1:16">
      <c r="A14501" s="3">
        <v>44331.406504629631</v>
      </c>
      <c r="B14501" s="4" t="str">
        <f>HYPERLINK("https://twitter.com/petrogustavo","@petrogustavo")</f>
        <v>@petrogustavo</v>
      </c>
      <c r="C14501" s="5" t="s">
        <v>16</v>
      </c>
      <c r="D14501" s="5" t="s">
        <v>13961</v>
      </c>
      <c r="E14501" s="6" t="str">
        <f>HYPERLINK("https://twitter.com/petrogustavo/status/1393419710050484225","1393419710050484225")</f>
        <v>1393419710050484225</v>
      </c>
      <c r="F14501" s="7" t="s">
        <v>17</v>
      </c>
      <c r="G14501" s="7">
        <v>4248406</v>
      </c>
      <c r="H14501" s="7">
        <v>2514</v>
      </c>
      <c r="I14501" s="7">
        <v>701</v>
      </c>
      <c r="J14501" s="7">
        <v>0</v>
      </c>
      <c r="K14501" s="7" t="s">
        <v>18</v>
      </c>
      <c r="L14501" s="8">
        <v>39987.315405092595</v>
      </c>
      <c r="M14501" s="9" t="s">
        <v>19</v>
      </c>
      <c r="N14501" s="9" t="s">
        <v>20</v>
      </c>
      <c r="O14501" s="6" t="str">
        <f>HYPERLINK("https://pbs.twimg.com/profile_images/962471262747529216/Uo8lOkRJ_normal.jpg","View")</f>
        <v>View</v>
      </c>
      <c r="P14501" s="7"/>
    </row>
    <row r="14502" spans="1:16">
      <c r="A14502" s="3">
        <v>44331.409074074079</v>
      </c>
      <c r="B14502" s="4" t="str">
        <f>HYPERLINK("https://twitter.com/petrogustavo","@petrogustavo")</f>
        <v>@petrogustavo</v>
      </c>
      <c r="C14502" s="5" t="s">
        <v>16</v>
      </c>
      <c r="D14502" s="5" t="s">
        <v>13962</v>
      </c>
      <c r="E14502" s="6" t="str">
        <f>HYPERLINK("https://twitter.com/petrogustavo/status/1393420642754646017","1393420642754646017")</f>
        <v>1393420642754646017</v>
      </c>
      <c r="F14502" s="7" t="s">
        <v>17</v>
      </c>
      <c r="G14502" s="7">
        <v>4248487</v>
      </c>
      <c r="H14502" s="7">
        <v>2515</v>
      </c>
      <c r="I14502" s="7">
        <v>2824</v>
      </c>
      <c r="J14502" s="7">
        <v>0</v>
      </c>
      <c r="K14502" s="7" t="s">
        <v>18</v>
      </c>
      <c r="L14502" s="8">
        <v>39987.315405092595</v>
      </c>
      <c r="M14502" s="9" t="s">
        <v>19</v>
      </c>
      <c r="N14502" s="9" t="s">
        <v>20</v>
      </c>
      <c r="O14502" s="6" t="str">
        <f>HYPERLINK("https://pbs.twimg.com/profile_images/962471262747529216/Uo8lOkRJ_normal.jpg","View")</f>
        <v>View</v>
      </c>
      <c r="P14502" s="7"/>
    </row>
    <row r="14503" spans="1:16">
      <c r="A14503" s="3">
        <v>44331.419282407413</v>
      </c>
      <c r="B14503" s="4" t="str">
        <f>HYPERLINK("https://twitter.com/petrogustavo","@petrogustavo")</f>
        <v>@petrogustavo</v>
      </c>
      <c r="C14503" s="5" t="s">
        <v>16</v>
      </c>
      <c r="D14503" s="5" t="s">
        <v>13963</v>
      </c>
      <c r="E14503" s="6" t="str">
        <f>HYPERLINK("https://twitter.com/petrogustavo/status/1393424340734074882","1393424340734074882")</f>
        <v>1393424340734074882</v>
      </c>
      <c r="F14503" s="7" t="s">
        <v>17</v>
      </c>
      <c r="G14503" s="7">
        <v>4248487</v>
      </c>
      <c r="H14503" s="7">
        <v>2515</v>
      </c>
      <c r="I14503" s="7">
        <v>130</v>
      </c>
      <c r="J14503" s="7">
        <v>0</v>
      </c>
      <c r="K14503" s="7" t="s">
        <v>18</v>
      </c>
      <c r="L14503" s="8">
        <v>39987.315405092595</v>
      </c>
      <c r="M14503" s="9" t="s">
        <v>19</v>
      </c>
      <c r="N14503" s="9" t="s">
        <v>20</v>
      </c>
      <c r="O14503" s="6" t="str">
        <f>HYPERLINK("https://pbs.twimg.com/profile_images/962471262747529216/Uo8lOkRJ_normal.jpg","View")</f>
        <v>View</v>
      </c>
      <c r="P14503" s="7"/>
    </row>
    <row r="14504" spans="1:16">
      <c r="A14504" s="3">
        <v>44331.420486111107</v>
      </c>
      <c r="B14504" s="4" t="str">
        <f>HYPERLINK("https://twitter.com/petrogustavo","@petrogustavo")</f>
        <v>@petrogustavo</v>
      </c>
      <c r="C14504" s="5" t="s">
        <v>16</v>
      </c>
      <c r="D14504" s="5" t="s">
        <v>13964</v>
      </c>
      <c r="E14504" s="6" t="str">
        <f>HYPERLINK("https://twitter.com/petrogustavo/status/1393424779445739521","1393424779445739521")</f>
        <v>1393424779445739521</v>
      </c>
      <c r="F14504" s="7" t="s">
        <v>17</v>
      </c>
      <c r="G14504" s="7">
        <v>4248487</v>
      </c>
      <c r="H14504" s="7">
        <v>2515</v>
      </c>
      <c r="I14504" s="7">
        <v>11962</v>
      </c>
      <c r="J14504" s="7">
        <v>0</v>
      </c>
      <c r="K14504" s="7" t="s">
        <v>18</v>
      </c>
      <c r="L14504" s="8">
        <v>39987.315405092595</v>
      </c>
      <c r="M14504" s="9" t="s">
        <v>19</v>
      </c>
      <c r="N14504" s="9" t="s">
        <v>20</v>
      </c>
      <c r="O14504" s="6" t="str">
        <f>HYPERLINK("https://pbs.twimg.com/profile_images/962471262747529216/Uo8lOkRJ_normal.jpg","View")</f>
        <v>View</v>
      </c>
      <c r="P14504" s="7"/>
    </row>
    <row r="14505" spans="1:16">
      <c r="A14505" s="3">
        <v>44331.424375000002</v>
      </c>
      <c r="B14505" s="4" t="str">
        <f>HYPERLINK("https://twitter.com/petrogustavo","@petrogustavo")</f>
        <v>@petrogustavo</v>
      </c>
      <c r="C14505" s="5" t="s">
        <v>16</v>
      </c>
      <c r="D14505" s="5" t="s">
        <v>13965</v>
      </c>
      <c r="E14505" s="6" t="str">
        <f>HYPERLINK("https://twitter.com/petrogustavo/status/1393426188018798593","1393426188018798593")</f>
        <v>1393426188018798593</v>
      </c>
      <c r="F14505" s="7" t="s">
        <v>17</v>
      </c>
      <c r="G14505" s="7">
        <v>4248487</v>
      </c>
      <c r="H14505" s="7">
        <v>2515</v>
      </c>
      <c r="I14505" s="7">
        <v>78</v>
      </c>
      <c r="J14505" s="7">
        <v>234</v>
      </c>
      <c r="K14505" s="7" t="s">
        <v>18</v>
      </c>
      <c r="L14505" s="8">
        <v>39987.315405092595</v>
      </c>
      <c r="M14505" s="9" t="s">
        <v>19</v>
      </c>
      <c r="N14505" s="9" t="s">
        <v>20</v>
      </c>
      <c r="O14505" s="6" t="str">
        <f>HYPERLINK("https://pbs.twimg.com/profile_images/962471262747529216/Uo8lOkRJ_normal.jpg","View")</f>
        <v>View</v>
      </c>
      <c r="P14505" s="7"/>
    </row>
    <row r="14506" spans="1:16">
      <c r="A14506" s="3">
        <v>44331.424641203703</v>
      </c>
      <c r="B14506" s="4" t="str">
        <f>HYPERLINK("https://twitter.com/petrogustavo","@petrogustavo")</f>
        <v>@petrogustavo</v>
      </c>
      <c r="C14506" s="5" t="s">
        <v>16</v>
      </c>
      <c r="D14506" s="5" t="s">
        <v>13958</v>
      </c>
      <c r="E14506" s="6" t="str">
        <f>HYPERLINK("https://twitter.com/petrogustavo/status/1393426283682537474","1393426283682537474")</f>
        <v>1393426283682537474</v>
      </c>
      <c r="F14506" s="7" t="s">
        <v>17</v>
      </c>
      <c r="G14506" s="7">
        <v>4248487</v>
      </c>
      <c r="H14506" s="7">
        <v>2515</v>
      </c>
      <c r="I14506" s="7">
        <v>446</v>
      </c>
      <c r="J14506" s="7">
        <v>0</v>
      </c>
      <c r="K14506" s="7" t="s">
        <v>18</v>
      </c>
      <c r="L14506" s="8">
        <v>39987.315405092595</v>
      </c>
      <c r="M14506" s="9" t="s">
        <v>19</v>
      </c>
      <c r="N14506" s="9" t="s">
        <v>20</v>
      </c>
      <c r="O14506" s="6" t="str">
        <f>HYPERLINK("https://pbs.twimg.com/profile_images/962471262747529216/Uo8lOkRJ_normal.jpg","View")</f>
        <v>View</v>
      </c>
      <c r="P14506" s="7"/>
    </row>
    <row r="14507" spans="1:16">
      <c r="A14507" s="3">
        <v>44331.427800925929</v>
      </c>
      <c r="B14507" s="4" t="str">
        <f>HYPERLINK("https://twitter.com/petrogustavo","@petrogustavo")</f>
        <v>@petrogustavo</v>
      </c>
      <c r="C14507" s="5" t="s">
        <v>16</v>
      </c>
      <c r="D14507" s="5" t="s">
        <v>13966</v>
      </c>
      <c r="E14507" s="6" t="str">
        <f>HYPERLINK("https://twitter.com/petrogustavo/status/1393427428698112001","1393427428698112001")</f>
        <v>1393427428698112001</v>
      </c>
      <c r="F14507" s="7" t="s">
        <v>17</v>
      </c>
      <c r="G14507" s="7">
        <v>4248487</v>
      </c>
      <c r="H14507" s="7">
        <v>2515</v>
      </c>
      <c r="I14507" s="7">
        <v>2364</v>
      </c>
      <c r="J14507" s="7">
        <v>0</v>
      </c>
      <c r="K14507" s="7" t="s">
        <v>18</v>
      </c>
      <c r="L14507" s="8">
        <v>39987.315405092595</v>
      </c>
      <c r="M14507" s="9" t="s">
        <v>19</v>
      </c>
      <c r="N14507" s="9" t="s">
        <v>20</v>
      </c>
      <c r="O14507" s="6" t="str">
        <f>HYPERLINK("https://pbs.twimg.com/profile_images/962471262747529216/Uo8lOkRJ_normal.jpg","View")</f>
        <v>View</v>
      </c>
      <c r="P14507" s="7"/>
    </row>
    <row r="14508" spans="1:16">
      <c r="A14508" s="3">
        <v>44331.428668981476</v>
      </c>
      <c r="B14508" s="4" t="str">
        <f>HYPERLINK("https://twitter.com/petrogustavo","@petrogustavo")</f>
        <v>@petrogustavo</v>
      </c>
      <c r="C14508" s="5" t="s">
        <v>16</v>
      </c>
      <c r="D14508" s="5" t="s">
        <v>13967</v>
      </c>
      <c r="E14508" s="6" t="str">
        <f>HYPERLINK("https://twitter.com/petrogustavo/status/1393427744571133955","1393427744571133955")</f>
        <v>1393427744571133955</v>
      </c>
      <c r="F14508" s="7" t="s">
        <v>17</v>
      </c>
      <c r="G14508" s="7">
        <v>4248564</v>
      </c>
      <c r="H14508" s="7">
        <v>2515</v>
      </c>
      <c r="I14508" s="7">
        <v>2792</v>
      </c>
      <c r="J14508" s="7">
        <v>0</v>
      </c>
      <c r="K14508" s="7" t="s">
        <v>18</v>
      </c>
      <c r="L14508" s="8">
        <v>39987.315405092595</v>
      </c>
      <c r="M14508" s="9" t="s">
        <v>19</v>
      </c>
      <c r="N14508" s="9" t="s">
        <v>20</v>
      </c>
      <c r="O14508" s="6" t="str">
        <f>HYPERLINK("https://pbs.twimg.com/profile_images/962471262747529216/Uo8lOkRJ_normal.jpg","View")</f>
        <v>View</v>
      </c>
      <c r="P14508" s="7"/>
    </row>
    <row r="14509" spans="1:16">
      <c r="A14509" s="3">
        <v>44331.430219907408</v>
      </c>
      <c r="B14509" s="4" t="str">
        <f>HYPERLINK("https://twitter.com/petrogustavo","@petrogustavo")</f>
        <v>@petrogustavo</v>
      </c>
      <c r="C14509" s="5" t="s">
        <v>16</v>
      </c>
      <c r="D14509" s="5" t="s">
        <v>13968</v>
      </c>
      <c r="E14509" s="6" t="str">
        <f>HYPERLINK("https://twitter.com/petrogustavo/status/1393428304691085318","1393428304691085318")</f>
        <v>1393428304691085318</v>
      </c>
      <c r="F14509" s="7" t="s">
        <v>17</v>
      </c>
      <c r="G14509" s="7">
        <v>4248564</v>
      </c>
      <c r="H14509" s="7">
        <v>2515</v>
      </c>
      <c r="I14509" s="7">
        <v>404</v>
      </c>
      <c r="J14509" s="7">
        <v>0</v>
      </c>
      <c r="K14509" s="7" t="s">
        <v>18</v>
      </c>
      <c r="L14509" s="8">
        <v>39987.315405092595</v>
      </c>
      <c r="M14509" s="9" t="s">
        <v>19</v>
      </c>
      <c r="N14509" s="9" t="s">
        <v>20</v>
      </c>
      <c r="O14509" s="6" t="str">
        <f>HYPERLINK("https://pbs.twimg.com/profile_images/962471262747529216/Uo8lOkRJ_normal.jpg","View")</f>
        <v>View</v>
      </c>
      <c r="P14509" s="7"/>
    </row>
    <row r="14510" spans="1:16">
      <c r="A14510" s="3">
        <v>44331.771284722221</v>
      </c>
      <c r="B14510" s="4" t="str">
        <f>HYPERLINK("https://twitter.com/petrogustavo","@petrogustavo")</f>
        <v>@petrogustavo</v>
      </c>
      <c r="C14510" s="5" t="s">
        <v>16</v>
      </c>
      <c r="D14510" s="5" t="s">
        <v>13969</v>
      </c>
      <c r="E14510" s="6" t="str">
        <f>HYPERLINK("https://twitter.com/petrogustavo/status/1393551904102359053","1393551904102359053")</f>
        <v>1393551904102359053</v>
      </c>
      <c r="F14510" s="7" t="s">
        <v>32</v>
      </c>
      <c r="G14510" s="7">
        <v>4248910</v>
      </c>
      <c r="H14510" s="7">
        <v>2515</v>
      </c>
      <c r="I14510" s="7">
        <v>3779</v>
      </c>
      <c r="J14510" s="7">
        <v>0</v>
      </c>
      <c r="K14510" s="7" t="s">
        <v>18</v>
      </c>
      <c r="L14510" s="8">
        <v>39987.315405092595</v>
      </c>
      <c r="M14510" s="9" t="s">
        <v>19</v>
      </c>
      <c r="N14510" s="9" t="s">
        <v>20</v>
      </c>
      <c r="O14510" s="6" t="str">
        <f>HYPERLINK("https://pbs.twimg.com/profile_images/962471262747529216/Uo8lOkRJ_normal.jpg","View")</f>
        <v>View</v>
      </c>
      <c r="P14510" s="7"/>
    </row>
    <row r="14511" spans="1:16">
      <c r="A14511" s="3">
        <v>44331.869097222225</v>
      </c>
      <c r="B14511" s="4" t="str">
        <f>HYPERLINK("https://twitter.com/petrogustavo","@petrogustavo")</f>
        <v>@petrogustavo</v>
      </c>
      <c r="C14511" s="5" t="s">
        <v>16</v>
      </c>
      <c r="D14511" s="5" t="s">
        <v>13970</v>
      </c>
      <c r="E14511" s="6" t="str">
        <f>HYPERLINK("https://twitter.com/petrogustavo/status/1393587350761058304","1393587350761058304")</f>
        <v>1393587350761058304</v>
      </c>
      <c r="F14511" s="7" t="s">
        <v>32</v>
      </c>
      <c r="G14511" s="7">
        <v>4249252</v>
      </c>
      <c r="H14511" s="7">
        <v>2515</v>
      </c>
      <c r="I14511" s="7">
        <v>71</v>
      </c>
      <c r="J14511" s="7">
        <v>0</v>
      </c>
      <c r="K14511" s="7" t="s">
        <v>18</v>
      </c>
      <c r="L14511" s="8">
        <v>39987.315405092595</v>
      </c>
      <c r="M14511" s="9" t="s">
        <v>19</v>
      </c>
      <c r="N14511" s="9" t="s">
        <v>20</v>
      </c>
      <c r="O14511" s="6" t="str">
        <f>HYPERLINK("https://pbs.twimg.com/profile_images/962471262747529216/Uo8lOkRJ_normal.jpg","View")</f>
        <v>View</v>
      </c>
      <c r="P14511" s="7"/>
    </row>
    <row r="14512" spans="1:16">
      <c r="A14512" s="3">
        <v>44331.882592592592</v>
      </c>
      <c r="B14512" s="4" t="str">
        <f>HYPERLINK("https://twitter.com/petrogustavo","@petrogustavo")</f>
        <v>@petrogustavo</v>
      </c>
      <c r="C14512" s="5" t="s">
        <v>16</v>
      </c>
      <c r="D14512" s="5" t="s">
        <v>13971</v>
      </c>
      <c r="E14512" s="6" t="str">
        <f>HYPERLINK("https://twitter.com/petrogustavo/status/1393592242393305090","1393592242393305090")</f>
        <v>1393592242393305090</v>
      </c>
      <c r="F14512" s="7" t="s">
        <v>17</v>
      </c>
      <c r="G14512" s="7">
        <v>4249252</v>
      </c>
      <c r="H14512" s="7">
        <v>2515</v>
      </c>
      <c r="I14512" s="7">
        <v>112</v>
      </c>
      <c r="J14512" s="7">
        <v>611</v>
      </c>
      <c r="K14512" s="7" t="s">
        <v>18</v>
      </c>
      <c r="L14512" s="8">
        <v>39987.315405092595</v>
      </c>
      <c r="M14512" s="9" t="s">
        <v>19</v>
      </c>
      <c r="N14512" s="9" t="s">
        <v>20</v>
      </c>
      <c r="O14512" s="6" t="str">
        <f>HYPERLINK("https://pbs.twimg.com/profile_images/962471262747529216/Uo8lOkRJ_normal.jpg","View")</f>
        <v>View</v>
      </c>
      <c r="P14512" s="7"/>
    </row>
    <row r="14513" spans="1:16">
      <c r="A14513" s="3">
        <v>44331.883634259255</v>
      </c>
      <c r="B14513" s="4" t="str">
        <f>HYPERLINK("https://twitter.com/petrogustavo","@petrogustavo")</f>
        <v>@petrogustavo</v>
      </c>
      <c r="C14513" s="5" t="s">
        <v>16</v>
      </c>
      <c r="D14513" s="5" t="s">
        <v>13972</v>
      </c>
      <c r="E14513" s="6" t="str">
        <f>HYPERLINK("https://twitter.com/petrogustavo/status/1393592617502392323","1393592617502392323")</f>
        <v>1393592617502392323</v>
      </c>
      <c r="F14513" s="7" t="s">
        <v>17</v>
      </c>
      <c r="G14513" s="7">
        <v>4249252</v>
      </c>
      <c r="H14513" s="7">
        <v>2515</v>
      </c>
      <c r="I14513" s="7">
        <v>48</v>
      </c>
      <c r="J14513" s="7">
        <v>0</v>
      </c>
      <c r="K14513" s="7" t="s">
        <v>18</v>
      </c>
      <c r="L14513" s="8">
        <v>39987.315405092595</v>
      </c>
      <c r="M14513" s="9" t="s">
        <v>19</v>
      </c>
      <c r="N14513" s="9" t="s">
        <v>20</v>
      </c>
      <c r="O14513" s="6" t="str">
        <f>HYPERLINK("https://pbs.twimg.com/profile_images/962471262747529216/Uo8lOkRJ_normal.jpg","View")</f>
        <v>View</v>
      </c>
      <c r="P14513" s="7"/>
    </row>
    <row r="14514" spans="1:16">
      <c r="A14514" s="3">
        <v>44331.892858796295</v>
      </c>
      <c r="B14514" s="4" t="str">
        <f>HYPERLINK("https://twitter.com/petrogustavo","@petrogustavo")</f>
        <v>@petrogustavo</v>
      </c>
      <c r="C14514" s="5" t="s">
        <v>16</v>
      </c>
      <c r="D14514" s="5" t="s">
        <v>13973</v>
      </c>
      <c r="E14514" s="6" t="str">
        <f>HYPERLINK("https://twitter.com/petrogustavo/status/1393595960379457536","1393595960379457536")</f>
        <v>1393595960379457536</v>
      </c>
      <c r="F14514" s="7" t="s">
        <v>17</v>
      </c>
      <c r="G14514" s="7">
        <v>4249342</v>
      </c>
      <c r="H14514" s="7">
        <v>2515</v>
      </c>
      <c r="I14514" s="7">
        <v>290</v>
      </c>
      <c r="J14514" s="7">
        <v>522</v>
      </c>
      <c r="K14514" s="7" t="s">
        <v>18</v>
      </c>
      <c r="L14514" s="8">
        <v>39987.315405092595</v>
      </c>
      <c r="M14514" s="9" t="s">
        <v>19</v>
      </c>
      <c r="N14514" s="9" t="s">
        <v>20</v>
      </c>
      <c r="O14514" s="6" t="str">
        <f>HYPERLINK("https://pbs.twimg.com/profile_images/962471262747529216/Uo8lOkRJ_normal.jpg","View")</f>
        <v>View</v>
      </c>
      <c r="P14514" s="7"/>
    </row>
    <row r="14515" spans="1:16">
      <c r="A14515" s="3">
        <v>44331.892858796295</v>
      </c>
      <c r="B14515" s="4" t="str">
        <f>HYPERLINK("https://twitter.com/petrogustavo","@petrogustavo")</f>
        <v>@petrogustavo</v>
      </c>
      <c r="C14515" s="5" t="s">
        <v>16</v>
      </c>
      <c r="D14515" s="5" t="s">
        <v>13974</v>
      </c>
      <c r="E14515" s="6" t="str">
        <f>HYPERLINK("https://twitter.com/petrogustavo/status/1393595962015236102","1393595962015236102")</f>
        <v>1393595962015236102</v>
      </c>
      <c r="F14515" s="7" t="s">
        <v>17</v>
      </c>
      <c r="G14515" s="7">
        <v>4249342</v>
      </c>
      <c r="H14515" s="7">
        <v>2515</v>
      </c>
      <c r="I14515" s="7">
        <v>117</v>
      </c>
      <c r="J14515" s="7">
        <v>424</v>
      </c>
      <c r="K14515" s="7" t="s">
        <v>18</v>
      </c>
      <c r="L14515" s="8">
        <v>39987.315405092595</v>
      </c>
      <c r="M14515" s="9" t="s">
        <v>19</v>
      </c>
      <c r="N14515" s="9" t="s">
        <v>20</v>
      </c>
      <c r="O14515" s="6" t="str">
        <f>HYPERLINK("https://pbs.twimg.com/profile_images/962471262747529216/Uo8lOkRJ_normal.jpg","View")</f>
        <v>View</v>
      </c>
      <c r="P14515" s="7"/>
    </row>
    <row r="14516" spans="1:16">
      <c r="A14516" s="3">
        <v>44332.071921296301</v>
      </c>
      <c r="B14516" s="4" t="str">
        <f>HYPERLINK("https://twitter.com/petrogustavo","@petrogustavo")</f>
        <v>@petrogustavo</v>
      </c>
      <c r="C14516" s="5" t="s">
        <v>16</v>
      </c>
      <c r="D14516" s="5" t="s">
        <v>13975</v>
      </c>
      <c r="E14516" s="6" t="str">
        <f>HYPERLINK("https://twitter.com/petrogustavo/status/1393660850171482114","1393660850171482114")</f>
        <v>1393660850171482114</v>
      </c>
      <c r="F14516" s="7" t="s">
        <v>32</v>
      </c>
      <c r="G14516" s="7">
        <v>4249981</v>
      </c>
      <c r="H14516" s="7">
        <v>2515</v>
      </c>
      <c r="I14516" s="7">
        <v>29</v>
      </c>
      <c r="J14516" s="7">
        <v>0</v>
      </c>
      <c r="K14516" s="7" t="s">
        <v>18</v>
      </c>
      <c r="L14516" s="8">
        <v>39987.315405092595</v>
      </c>
      <c r="M14516" s="9" t="s">
        <v>19</v>
      </c>
      <c r="N14516" s="9" t="s">
        <v>20</v>
      </c>
      <c r="O14516" s="6" t="str">
        <f>HYPERLINK("https://pbs.twimg.com/profile_images/962471262747529216/Uo8lOkRJ_normal.jpg","View")</f>
        <v>View</v>
      </c>
      <c r="P14516" s="7"/>
    </row>
    <row r="14517" spans="1:16">
      <c r="A14517" s="3">
        <v>44332.387199074074</v>
      </c>
      <c r="B14517" s="4" t="str">
        <f>HYPERLINK("https://twitter.com/petrogustavo","@petrogustavo")</f>
        <v>@petrogustavo</v>
      </c>
      <c r="C14517" s="5" t="s">
        <v>16</v>
      </c>
      <c r="D14517" s="5" t="s">
        <v>13976</v>
      </c>
      <c r="E14517" s="6" t="str">
        <f>HYPERLINK("https://twitter.com/petrogustavo/status/1393775104505565187","1393775104505565187")</f>
        <v>1393775104505565187</v>
      </c>
      <c r="F14517" s="7" t="s">
        <v>17</v>
      </c>
      <c r="G14517" s="7">
        <v>4251220</v>
      </c>
      <c r="H14517" s="7">
        <v>2515</v>
      </c>
      <c r="I14517" s="7">
        <v>116</v>
      </c>
      <c r="J14517" s="7">
        <v>0</v>
      </c>
      <c r="K14517" s="7" t="s">
        <v>18</v>
      </c>
      <c r="L14517" s="8">
        <v>39987.315405092595</v>
      </c>
      <c r="M14517" s="9" t="s">
        <v>19</v>
      </c>
      <c r="N14517" s="9" t="s">
        <v>20</v>
      </c>
      <c r="O14517" s="6" t="str">
        <f>HYPERLINK("https://pbs.twimg.com/profile_images/962471262747529216/Uo8lOkRJ_normal.jpg","View")</f>
        <v>View</v>
      </c>
      <c r="P14517" s="7"/>
    </row>
    <row r="14518" spans="1:16">
      <c r="A14518" s="3">
        <v>44332.388564814813</v>
      </c>
      <c r="B14518" s="4" t="str">
        <f>HYPERLINK("https://twitter.com/petrogustavo","@petrogustavo")</f>
        <v>@petrogustavo</v>
      </c>
      <c r="C14518" s="5" t="s">
        <v>16</v>
      </c>
      <c r="D14518" s="5" t="s">
        <v>13977</v>
      </c>
      <c r="E14518" s="6" t="str">
        <f>HYPERLINK("https://twitter.com/petrogustavo/status/1393775597973815297","1393775597973815297")</f>
        <v>1393775597973815297</v>
      </c>
      <c r="F14518" s="7" t="s">
        <v>17</v>
      </c>
      <c r="G14518" s="7">
        <v>4251220</v>
      </c>
      <c r="H14518" s="7">
        <v>2515</v>
      </c>
      <c r="I14518" s="7">
        <v>857</v>
      </c>
      <c r="J14518" s="7">
        <v>3716</v>
      </c>
      <c r="K14518" s="7" t="s">
        <v>18</v>
      </c>
      <c r="L14518" s="8">
        <v>39987.315405092595</v>
      </c>
      <c r="M14518" s="9" t="s">
        <v>19</v>
      </c>
      <c r="N14518" s="9" t="s">
        <v>20</v>
      </c>
      <c r="O14518" s="6" t="str">
        <f>HYPERLINK("https://pbs.twimg.com/profile_images/962471262747529216/Uo8lOkRJ_normal.jpg","View")</f>
        <v>View</v>
      </c>
      <c r="P14518" s="7"/>
    </row>
    <row r="14519" spans="1:16">
      <c r="A14519" s="3">
        <v>44332.397106481483</v>
      </c>
      <c r="B14519" s="4" t="str">
        <f>HYPERLINK("https://twitter.com/petrogustavo","@petrogustavo")</f>
        <v>@petrogustavo</v>
      </c>
      <c r="C14519" s="5" t="s">
        <v>16</v>
      </c>
      <c r="D14519" s="5" t="s">
        <v>13978</v>
      </c>
      <c r="E14519" s="6" t="str">
        <f>HYPERLINK("https://twitter.com/petrogustavo/status/1393778694037065731","1393778694037065731")</f>
        <v>1393778694037065731</v>
      </c>
      <c r="F14519" s="7" t="s">
        <v>17</v>
      </c>
      <c r="G14519" s="7">
        <v>4251220</v>
      </c>
      <c r="H14519" s="7">
        <v>2515</v>
      </c>
      <c r="I14519" s="7">
        <v>202</v>
      </c>
      <c r="J14519" s="7">
        <v>0</v>
      </c>
      <c r="K14519" s="7" t="s">
        <v>18</v>
      </c>
      <c r="L14519" s="8">
        <v>39987.315405092595</v>
      </c>
      <c r="M14519" s="9" t="s">
        <v>19</v>
      </c>
      <c r="N14519" s="9" t="s">
        <v>20</v>
      </c>
      <c r="O14519" s="6" t="str">
        <f>HYPERLINK("https://pbs.twimg.com/profile_images/962471262747529216/Uo8lOkRJ_normal.jpg","View")</f>
        <v>View</v>
      </c>
      <c r="P14519" s="7"/>
    </row>
    <row r="14520" spans="1:16">
      <c r="A14520" s="3">
        <v>44332.399560185186</v>
      </c>
      <c r="B14520" s="4" t="str">
        <f>HYPERLINK("https://twitter.com/petrogustavo","@petrogustavo")</f>
        <v>@petrogustavo</v>
      </c>
      <c r="C14520" s="5" t="s">
        <v>16</v>
      </c>
      <c r="D14520" s="5" t="s">
        <v>13979</v>
      </c>
      <c r="E14520" s="6" t="str">
        <f>HYPERLINK("https://twitter.com/petrogustavo/status/1393779584328425474","1393779584328425474")</f>
        <v>1393779584328425474</v>
      </c>
      <c r="F14520" s="7" t="s">
        <v>17</v>
      </c>
      <c r="G14520" s="7">
        <v>4251220</v>
      </c>
      <c r="H14520" s="7">
        <v>2515</v>
      </c>
      <c r="I14520" s="7">
        <v>179</v>
      </c>
      <c r="J14520" s="7">
        <v>0</v>
      </c>
      <c r="K14520" s="7" t="s">
        <v>18</v>
      </c>
      <c r="L14520" s="8">
        <v>39987.315405092595</v>
      </c>
      <c r="M14520" s="9" t="s">
        <v>19</v>
      </c>
      <c r="N14520" s="9" t="s">
        <v>20</v>
      </c>
      <c r="O14520" s="6" t="str">
        <f>HYPERLINK("https://pbs.twimg.com/profile_images/962471262747529216/Uo8lOkRJ_normal.jpg","View")</f>
        <v>View</v>
      </c>
      <c r="P14520" s="7"/>
    </row>
    <row r="14521" spans="1:16">
      <c r="A14521" s="3">
        <v>44332.402604166666</v>
      </c>
      <c r="B14521" s="4" t="str">
        <f>HYPERLINK("https://twitter.com/petrogustavo","@petrogustavo")</f>
        <v>@petrogustavo</v>
      </c>
      <c r="C14521" s="5" t="s">
        <v>16</v>
      </c>
      <c r="D14521" s="5" t="s">
        <v>13980</v>
      </c>
      <c r="E14521" s="6" t="str">
        <f>HYPERLINK("https://twitter.com/petrogustavo/status/1393780684800548865","1393780684800548865")</f>
        <v>1393780684800548865</v>
      </c>
      <c r="F14521" s="7" t="s">
        <v>17</v>
      </c>
      <c r="G14521" s="7">
        <v>4251220</v>
      </c>
      <c r="H14521" s="7">
        <v>2515</v>
      </c>
      <c r="I14521" s="7">
        <v>288</v>
      </c>
      <c r="J14521" s="7">
        <v>1415</v>
      </c>
      <c r="K14521" s="7" t="s">
        <v>18</v>
      </c>
      <c r="L14521" s="8">
        <v>39987.315405092595</v>
      </c>
      <c r="M14521" s="9" t="s">
        <v>19</v>
      </c>
      <c r="N14521" s="9" t="s">
        <v>20</v>
      </c>
      <c r="O14521" s="6" t="str">
        <f>HYPERLINK("https://pbs.twimg.com/profile_images/962471262747529216/Uo8lOkRJ_normal.jpg","View")</f>
        <v>View</v>
      </c>
      <c r="P14521" s="7"/>
    </row>
    <row r="14522" spans="1:16">
      <c r="A14522" s="3">
        <v>44332.407349537039</v>
      </c>
      <c r="B14522" s="4" t="str">
        <f>HYPERLINK("https://twitter.com/petrogustavo","@petrogustavo")</f>
        <v>@petrogustavo</v>
      </c>
      <c r="C14522" s="5" t="s">
        <v>16</v>
      </c>
      <c r="D14522" s="5" t="s">
        <v>13981</v>
      </c>
      <c r="E14522" s="6" t="str">
        <f>HYPERLINK("https://twitter.com/petrogustavo/status/1393782406398844930","1393782406398844930")</f>
        <v>1393782406398844930</v>
      </c>
      <c r="F14522" s="7" t="s">
        <v>17</v>
      </c>
      <c r="G14522" s="7">
        <v>4251220</v>
      </c>
      <c r="H14522" s="7">
        <v>2515</v>
      </c>
      <c r="I14522" s="7">
        <v>857</v>
      </c>
      <c r="J14522" s="7">
        <v>0</v>
      </c>
      <c r="K14522" s="7" t="s">
        <v>18</v>
      </c>
      <c r="L14522" s="8">
        <v>39987.315405092595</v>
      </c>
      <c r="M14522" s="9" t="s">
        <v>19</v>
      </c>
      <c r="N14522" s="9" t="s">
        <v>20</v>
      </c>
      <c r="O14522" s="6" t="str">
        <f>HYPERLINK("https://pbs.twimg.com/profile_images/962471262747529216/Uo8lOkRJ_normal.jpg","View")</f>
        <v>View</v>
      </c>
      <c r="P14522" s="7"/>
    </row>
    <row r="14523" spans="1:16">
      <c r="A14523" s="3">
        <v>44332.834537037037</v>
      </c>
      <c r="B14523" s="4" t="str">
        <f>HYPERLINK("https://twitter.com/petrogustavo","@petrogustavo")</f>
        <v>@petrogustavo</v>
      </c>
      <c r="C14523" s="5" t="s">
        <v>16</v>
      </c>
      <c r="D14523" s="5" t="s">
        <v>13982</v>
      </c>
      <c r="E14523" s="6" t="str">
        <f>HYPERLINK("https://twitter.com/petrogustavo/status/1393937215395442689","1393937215395442689")</f>
        <v>1393937215395442689</v>
      </c>
      <c r="F14523" s="7" t="s">
        <v>17</v>
      </c>
      <c r="G14523" s="7">
        <v>4251696</v>
      </c>
      <c r="H14523" s="7">
        <v>2515</v>
      </c>
      <c r="I14523" s="7">
        <v>220</v>
      </c>
      <c r="J14523" s="7">
        <v>787</v>
      </c>
      <c r="K14523" s="7" t="s">
        <v>18</v>
      </c>
      <c r="L14523" s="8">
        <v>39987.315405092595</v>
      </c>
      <c r="M14523" s="9" t="s">
        <v>19</v>
      </c>
      <c r="N14523" s="9" t="s">
        <v>20</v>
      </c>
      <c r="O14523" s="6" t="str">
        <f>HYPERLINK("https://pbs.twimg.com/profile_images/962471262747529216/Uo8lOkRJ_normal.jpg","View")</f>
        <v>View</v>
      </c>
      <c r="P14523" s="7"/>
    </row>
    <row r="14524" spans="1:16">
      <c r="A14524" s="3">
        <v>44332.85873842593</v>
      </c>
      <c r="B14524" s="4" t="str">
        <f>HYPERLINK("https://twitter.com/petrogustavo","@petrogustavo")</f>
        <v>@petrogustavo</v>
      </c>
      <c r="C14524" s="5" t="s">
        <v>16</v>
      </c>
      <c r="D14524" s="5" t="s">
        <v>13983</v>
      </c>
      <c r="E14524" s="6" t="str">
        <f>HYPERLINK("https://twitter.com/petrogustavo/status/1393945983562747909","1393945983562747909")</f>
        <v>1393945983562747909</v>
      </c>
      <c r="F14524" s="7" t="s">
        <v>32</v>
      </c>
      <c r="G14524" s="7">
        <v>4251774</v>
      </c>
      <c r="H14524" s="7">
        <v>2515</v>
      </c>
      <c r="I14524" s="7">
        <v>79</v>
      </c>
      <c r="J14524" s="7">
        <v>199</v>
      </c>
      <c r="K14524" s="7" t="s">
        <v>18</v>
      </c>
      <c r="L14524" s="8">
        <v>39987.315405092595</v>
      </c>
      <c r="M14524" s="9" t="s">
        <v>19</v>
      </c>
      <c r="N14524" s="9" t="s">
        <v>20</v>
      </c>
      <c r="O14524" s="6" t="str">
        <f>HYPERLINK("https://pbs.twimg.com/profile_images/962471262747529216/Uo8lOkRJ_normal.jpg","View")</f>
        <v>View</v>
      </c>
      <c r="P14524" s="7"/>
    </row>
    <row r="14525" spans="1:16">
      <c r="A14525" s="3">
        <v>44332.866979166662</v>
      </c>
      <c r="B14525" s="4" t="str">
        <f>HYPERLINK("https://twitter.com/petrogustavo","@petrogustavo")</f>
        <v>@petrogustavo</v>
      </c>
      <c r="C14525" s="5" t="s">
        <v>16</v>
      </c>
      <c r="D14525" s="5" t="s">
        <v>13984</v>
      </c>
      <c r="E14525" s="6" t="str">
        <f>HYPERLINK("https://twitter.com/petrogustavo/status/1393948971945664512","1393948971945664512")</f>
        <v>1393948971945664512</v>
      </c>
      <c r="F14525" s="7" t="s">
        <v>32</v>
      </c>
      <c r="G14525" s="7">
        <v>4251868</v>
      </c>
      <c r="H14525" s="7">
        <v>2515</v>
      </c>
      <c r="I14525" s="7">
        <v>184</v>
      </c>
      <c r="J14525" s="7">
        <v>495</v>
      </c>
      <c r="K14525" s="7" t="s">
        <v>18</v>
      </c>
      <c r="L14525" s="8">
        <v>39987.315405092595</v>
      </c>
      <c r="M14525" s="9" t="s">
        <v>19</v>
      </c>
      <c r="N14525" s="9" t="s">
        <v>20</v>
      </c>
      <c r="O14525" s="6" t="str">
        <f>HYPERLINK("https://pbs.twimg.com/profile_images/962471262747529216/Uo8lOkRJ_normal.jpg","View")</f>
        <v>View</v>
      </c>
      <c r="P14525" s="7"/>
    </row>
    <row r="14526" spans="1:16">
      <c r="A14526" s="3">
        <v>44333.072337962964</v>
      </c>
      <c r="B14526" s="4" t="str">
        <f>HYPERLINK("https://twitter.com/petrogustavo","@petrogustavo")</f>
        <v>@petrogustavo</v>
      </c>
      <c r="C14526" s="5" t="s">
        <v>16</v>
      </c>
      <c r="D14526" s="5" t="s">
        <v>13985</v>
      </c>
      <c r="E14526" s="6" t="str">
        <f>HYPERLINK("https://twitter.com/petrogustavo/status/1394023388126060546","1394023388126060546")</f>
        <v>1394023388126060546</v>
      </c>
      <c r="F14526" s="7" t="s">
        <v>32</v>
      </c>
      <c r="G14526" s="7">
        <v>4252521</v>
      </c>
      <c r="H14526" s="7">
        <v>2514</v>
      </c>
      <c r="I14526" s="7">
        <v>714</v>
      </c>
      <c r="J14526" s="7">
        <v>0</v>
      </c>
      <c r="K14526" s="7" t="s">
        <v>18</v>
      </c>
      <c r="L14526" s="8">
        <v>39987.315405092595</v>
      </c>
      <c r="M14526" s="9" t="s">
        <v>19</v>
      </c>
      <c r="N14526" s="9" t="s">
        <v>20</v>
      </c>
      <c r="O14526" s="6" t="str">
        <f>HYPERLINK("https://pbs.twimg.com/profile_images/962471262747529216/Uo8lOkRJ_normal.jpg","View")</f>
        <v>View</v>
      </c>
      <c r="P14526" s="7"/>
    </row>
    <row r="14527" spans="1:16">
      <c r="A14527" s="3">
        <v>44333.236909722225</v>
      </c>
      <c r="B14527" s="4" t="str">
        <f>HYPERLINK("https://twitter.com/petrogustavo","@petrogustavo")</f>
        <v>@petrogustavo</v>
      </c>
      <c r="C14527" s="5" t="s">
        <v>16</v>
      </c>
      <c r="D14527" s="5" t="s">
        <v>13986</v>
      </c>
      <c r="E14527" s="6" t="str">
        <f>HYPERLINK("https://twitter.com/petrogustavo/status/1394083027832037380","1394083027832037380")</f>
        <v>1394083027832037380</v>
      </c>
      <c r="F14527" s="7" t="s">
        <v>22</v>
      </c>
      <c r="G14527" s="7">
        <v>4252996</v>
      </c>
      <c r="H14527" s="7">
        <v>2513</v>
      </c>
      <c r="I14527" s="7">
        <v>85</v>
      </c>
      <c r="J14527" s="7">
        <v>185</v>
      </c>
      <c r="K14527" s="7" t="s">
        <v>18</v>
      </c>
      <c r="L14527" s="8">
        <v>39987.315405092595</v>
      </c>
      <c r="M14527" s="9" t="s">
        <v>19</v>
      </c>
      <c r="N14527" s="9" t="s">
        <v>20</v>
      </c>
      <c r="O14527" s="6" t="str">
        <f>HYPERLINK("https://pbs.twimg.com/profile_images/962471262747529216/Uo8lOkRJ_normal.jpg","View")</f>
        <v>View</v>
      </c>
      <c r="P14527" s="7"/>
    </row>
    <row r="14528" spans="1:16">
      <c r="A14528" s="3">
        <v>44333.361458333333</v>
      </c>
      <c r="B14528" s="4" t="str">
        <f>HYPERLINK("https://twitter.com/petrogustavo","@petrogustavo")</f>
        <v>@petrogustavo</v>
      </c>
      <c r="C14528" s="5" t="s">
        <v>16</v>
      </c>
      <c r="D14528" s="5" t="s">
        <v>13987</v>
      </c>
      <c r="E14528" s="6" t="str">
        <f>HYPERLINK("https://twitter.com/petrogustavo/status/1394128162712346626","1394128162712346626")</f>
        <v>1394128162712346626</v>
      </c>
      <c r="F14528" s="7" t="s">
        <v>32</v>
      </c>
      <c r="G14528" s="7">
        <v>4253551</v>
      </c>
      <c r="H14528" s="7">
        <v>2513</v>
      </c>
      <c r="I14528" s="7">
        <v>190</v>
      </c>
      <c r="J14528" s="7">
        <v>0</v>
      </c>
      <c r="K14528" s="7" t="s">
        <v>18</v>
      </c>
      <c r="L14528" s="8">
        <v>39987.315405092595</v>
      </c>
      <c r="M14528" s="9" t="s">
        <v>19</v>
      </c>
      <c r="N14528" s="9" t="s">
        <v>20</v>
      </c>
      <c r="O14528" s="6" t="str">
        <f>HYPERLINK("https://pbs.twimg.com/profile_images/962471262747529216/Uo8lOkRJ_normal.jpg","View")</f>
        <v>View</v>
      </c>
      <c r="P14528" s="7"/>
    </row>
    <row r="14529" spans="1:16">
      <c r="A14529" s="3">
        <v>44333.371412037042</v>
      </c>
      <c r="B14529" s="4" t="str">
        <f>HYPERLINK("https://twitter.com/petrogustavo","@petrogustavo")</f>
        <v>@petrogustavo</v>
      </c>
      <c r="C14529" s="5" t="s">
        <v>16</v>
      </c>
      <c r="D14529" s="5" t="s">
        <v>13988</v>
      </c>
      <c r="E14529" s="6" t="str">
        <f>HYPERLINK("https://twitter.com/petrogustavo/status/1394131770593906689","1394131770593906689")</f>
        <v>1394131770593906689</v>
      </c>
      <c r="F14529" s="7" t="s">
        <v>32</v>
      </c>
      <c r="G14529" s="7">
        <v>4253593</v>
      </c>
      <c r="H14529" s="7">
        <v>2513</v>
      </c>
      <c r="I14529" s="7">
        <v>411</v>
      </c>
      <c r="J14529" s="7">
        <v>1776</v>
      </c>
      <c r="K14529" s="7" t="s">
        <v>18</v>
      </c>
      <c r="L14529" s="8">
        <v>39987.315405092595</v>
      </c>
      <c r="M14529" s="9" t="s">
        <v>19</v>
      </c>
      <c r="N14529" s="9" t="s">
        <v>20</v>
      </c>
      <c r="O14529" s="6" t="str">
        <f>HYPERLINK("https://pbs.twimg.com/profile_images/962471262747529216/Uo8lOkRJ_normal.jpg","View")</f>
        <v>View</v>
      </c>
      <c r="P14529" s="7"/>
    </row>
    <row r="14530" spans="1:16">
      <c r="A14530" s="3">
        <v>44333.739988425921</v>
      </c>
      <c r="B14530" s="4" t="str">
        <f>HYPERLINK("https://twitter.com/petrogustavo","@petrogustavo")</f>
        <v>@petrogustavo</v>
      </c>
      <c r="C14530" s="5" t="s">
        <v>16</v>
      </c>
      <c r="D14530" s="5" t="s">
        <v>13989</v>
      </c>
      <c r="E14530" s="6" t="str">
        <f>HYPERLINK("https://twitter.com/petrogustavo/status/1394265337328177154","1394265337328177154")</f>
        <v>1394265337328177154</v>
      </c>
      <c r="F14530" s="7" t="s">
        <v>17</v>
      </c>
      <c r="G14530" s="7">
        <v>4253835</v>
      </c>
      <c r="H14530" s="7">
        <v>2513</v>
      </c>
      <c r="I14530" s="7">
        <v>5303</v>
      </c>
      <c r="J14530" s="7">
        <v>0</v>
      </c>
      <c r="K14530" s="7" t="s">
        <v>18</v>
      </c>
      <c r="L14530" s="8">
        <v>39987.315405092595</v>
      </c>
      <c r="M14530" s="9" t="s">
        <v>19</v>
      </c>
      <c r="N14530" s="9" t="s">
        <v>20</v>
      </c>
      <c r="O14530" s="6" t="str">
        <f>HYPERLINK("https://pbs.twimg.com/profile_images/962471262747529216/Uo8lOkRJ_normal.jpg","View")</f>
        <v>View</v>
      </c>
      <c r="P14530" s="7"/>
    </row>
    <row r="14531" spans="1:16">
      <c r="A14531" s="3">
        <v>44333.742418981477</v>
      </c>
      <c r="B14531" s="4" t="str">
        <f>HYPERLINK("https://twitter.com/petrogustavo","@petrogustavo")</f>
        <v>@petrogustavo</v>
      </c>
      <c r="C14531" s="5" t="s">
        <v>16</v>
      </c>
      <c r="D14531" s="5" t="s">
        <v>13990</v>
      </c>
      <c r="E14531" s="6" t="str">
        <f>HYPERLINK("https://twitter.com/petrogustavo/status/1394266217549025283","1394266217549025283")</f>
        <v>1394266217549025283</v>
      </c>
      <c r="F14531" s="7" t="s">
        <v>17</v>
      </c>
      <c r="G14531" s="7">
        <v>4253879</v>
      </c>
      <c r="H14531" s="7">
        <v>2513</v>
      </c>
      <c r="I14531" s="7">
        <v>522</v>
      </c>
      <c r="J14531" s="7">
        <v>1104</v>
      </c>
      <c r="K14531" s="7" t="s">
        <v>18</v>
      </c>
      <c r="L14531" s="8">
        <v>39987.315405092595</v>
      </c>
      <c r="M14531" s="9" t="s">
        <v>19</v>
      </c>
      <c r="N14531" s="9" t="s">
        <v>20</v>
      </c>
      <c r="O14531" s="6" t="str">
        <f>HYPERLINK("https://pbs.twimg.com/profile_images/962471262747529216/Uo8lOkRJ_normal.jpg","View")</f>
        <v>View</v>
      </c>
      <c r="P14531" s="7"/>
    </row>
    <row r="14532" spans="1:16">
      <c r="A14532" s="3">
        <v>44333.744374999995</v>
      </c>
      <c r="B14532" s="4" t="str">
        <f>HYPERLINK("https://twitter.com/petrogustavo","@petrogustavo")</f>
        <v>@petrogustavo</v>
      </c>
      <c r="C14532" s="5" t="s">
        <v>16</v>
      </c>
      <c r="D14532" s="5" t="s">
        <v>13991</v>
      </c>
      <c r="E14532" s="6" t="str">
        <f>HYPERLINK("https://twitter.com/petrogustavo/status/1394266927107878918","1394266927107878918")</f>
        <v>1394266927107878918</v>
      </c>
      <c r="F14532" s="7" t="s">
        <v>17</v>
      </c>
      <c r="G14532" s="7">
        <v>4253879</v>
      </c>
      <c r="H14532" s="7">
        <v>2513</v>
      </c>
      <c r="I14532" s="7">
        <v>223</v>
      </c>
      <c r="J14532" s="7">
        <v>0</v>
      </c>
      <c r="K14532" s="7" t="s">
        <v>18</v>
      </c>
      <c r="L14532" s="8">
        <v>39987.315405092595</v>
      </c>
      <c r="M14532" s="9" t="s">
        <v>19</v>
      </c>
      <c r="N14532" s="9" t="s">
        <v>20</v>
      </c>
      <c r="O14532" s="6" t="str">
        <f>HYPERLINK("https://pbs.twimg.com/profile_images/962471262747529216/Uo8lOkRJ_normal.jpg","View")</f>
        <v>View</v>
      </c>
      <c r="P14532" s="7"/>
    </row>
    <row r="14533" spans="1:16">
      <c r="A14533" s="3">
        <v>44333.745104166665</v>
      </c>
      <c r="B14533" s="4" t="str">
        <f>HYPERLINK("https://twitter.com/petrogustavo","@petrogustavo")</f>
        <v>@petrogustavo</v>
      </c>
      <c r="C14533" s="5" t="s">
        <v>16</v>
      </c>
      <c r="D14533" s="5" t="s">
        <v>13992</v>
      </c>
      <c r="E14533" s="6" t="str">
        <f>HYPERLINK("https://twitter.com/petrogustavo/status/1394267191269277697","1394267191269277697")</f>
        <v>1394267191269277697</v>
      </c>
      <c r="F14533" s="7" t="s">
        <v>17</v>
      </c>
      <c r="G14533" s="7">
        <v>4253879</v>
      </c>
      <c r="H14533" s="7">
        <v>2513</v>
      </c>
      <c r="I14533" s="7">
        <v>1011</v>
      </c>
      <c r="J14533" s="7">
        <v>0</v>
      </c>
      <c r="K14533" s="7" t="s">
        <v>18</v>
      </c>
      <c r="L14533" s="8">
        <v>39987.315405092595</v>
      </c>
      <c r="M14533" s="9" t="s">
        <v>19</v>
      </c>
      <c r="N14533" s="9" t="s">
        <v>20</v>
      </c>
      <c r="O14533" s="6" t="str">
        <f>HYPERLINK("https://pbs.twimg.com/profile_images/962471262747529216/Uo8lOkRJ_normal.jpg","View")</f>
        <v>View</v>
      </c>
      <c r="P14533" s="7"/>
    </row>
    <row r="14534" spans="1:16">
      <c r="A14534" s="3">
        <v>44333.749594907407</v>
      </c>
      <c r="B14534" s="4" t="str">
        <f>HYPERLINK("https://twitter.com/petrogustavo","@petrogustavo")</f>
        <v>@petrogustavo</v>
      </c>
      <c r="C14534" s="5" t="s">
        <v>16</v>
      </c>
      <c r="D14534" s="5" t="s">
        <v>13993</v>
      </c>
      <c r="E14534" s="6" t="str">
        <f>HYPERLINK("https://twitter.com/petrogustavo/status/1394268820504731652","1394268820504731652")</f>
        <v>1394268820504731652</v>
      </c>
      <c r="F14534" s="7" t="s">
        <v>17</v>
      </c>
      <c r="G14534" s="7">
        <v>4253879</v>
      </c>
      <c r="H14534" s="7">
        <v>2513</v>
      </c>
      <c r="I14534" s="7">
        <v>411</v>
      </c>
      <c r="J14534" s="7">
        <v>560</v>
      </c>
      <c r="K14534" s="7" t="s">
        <v>18</v>
      </c>
      <c r="L14534" s="8">
        <v>39987.315405092595</v>
      </c>
      <c r="M14534" s="9" t="s">
        <v>19</v>
      </c>
      <c r="N14534" s="9" t="s">
        <v>20</v>
      </c>
      <c r="O14534" s="6" t="str">
        <f>HYPERLINK("https://pbs.twimg.com/profile_images/962471262747529216/Uo8lOkRJ_normal.jpg","View")</f>
        <v>View</v>
      </c>
      <c r="P14534" s="7"/>
    </row>
    <row r="14535" spans="1:16">
      <c r="A14535" s="3">
        <v>44333.752951388888</v>
      </c>
      <c r="B14535" s="4" t="str">
        <f>HYPERLINK("https://twitter.com/petrogustavo","@petrogustavo")</f>
        <v>@petrogustavo</v>
      </c>
      <c r="C14535" s="5" t="s">
        <v>16</v>
      </c>
      <c r="D14535" s="5" t="s">
        <v>13994</v>
      </c>
      <c r="E14535" s="6" t="str">
        <f>HYPERLINK("https://twitter.com/petrogustavo/status/1394270033958801409","1394270033958801409")</f>
        <v>1394270033958801409</v>
      </c>
      <c r="F14535" s="7" t="s">
        <v>17</v>
      </c>
      <c r="G14535" s="7">
        <v>4253879</v>
      </c>
      <c r="H14535" s="7">
        <v>2513</v>
      </c>
      <c r="I14535" s="7">
        <v>94</v>
      </c>
      <c r="J14535" s="7">
        <v>257</v>
      </c>
      <c r="K14535" s="7" t="s">
        <v>18</v>
      </c>
      <c r="L14535" s="8">
        <v>39987.315405092595</v>
      </c>
      <c r="M14535" s="9" t="s">
        <v>19</v>
      </c>
      <c r="N14535" s="9" t="s">
        <v>20</v>
      </c>
      <c r="O14535" s="6" t="str">
        <f>HYPERLINK("https://pbs.twimg.com/profile_images/962471262747529216/Uo8lOkRJ_normal.jpg","View")</f>
        <v>View</v>
      </c>
      <c r="P14535" s="7"/>
    </row>
    <row r="14536" spans="1:16">
      <c r="A14536" s="3">
        <v>44333.756585648152</v>
      </c>
      <c r="B14536" s="4" t="str">
        <f>HYPERLINK("https://twitter.com/petrogustavo","@petrogustavo")</f>
        <v>@petrogustavo</v>
      </c>
      <c r="C14536" s="5" t="s">
        <v>16</v>
      </c>
      <c r="D14536" s="5" t="s">
        <v>13995</v>
      </c>
      <c r="E14536" s="6" t="str">
        <f>HYPERLINK("https://twitter.com/petrogustavo/status/1394271352501248003","1394271352501248003")</f>
        <v>1394271352501248003</v>
      </c>
      <c r="F14536" s="7" t="s">
        <v>17</v>
      </c>
      <c r="G14536" s="7">
        <v>4253879</v>
      </c>
      <c r="H14536" s="7">
        <v>2513</v>
      </c>
      <c r="I14536" s="7">
        <v>522</v>
      </c>
      <c r="J14536" s="7">
        <v>0</v>
      </c>
      <c r="K14536" s="7" t="s">
        <v>18</v>
      </c>
      <c r="L14536" s="8">
        <v>39987.315405092595</v>
      </c>
      <c r="M14536" s="9" t="s">
        <v>19</v>
      </c>
      <c r="N14536" s="9" t="s">
        <v>20</v>
      </c>
      <c r="O14536" s="6" t="str">
        <f>HYPERLINK("https://pbs.twimg.com/profile_images/962471262747529216/Uo8lOkRJ_normal.jpg","View")</f>
        <v>View</v>
      </c>
      <c r="P14536" s="7"/>
    </row>
    <row r="14537" spans="1:16">
      <c r="A14537" s="3">
        <v>44333.762638888889</v>
      </c>
      <c r="B14537" s="4" t="str">
        <f>HYPERLINK("https://twitter.com/petrogustavo","@petrogustavo")</f>
        <v>@petrogustavo</v>
      </c>
      <c r="C14537" s="5" t="s">
        <v>16</v>
      </c>
      <c r="D14537" s="5" t="s">
        <v>13996</v>
      </c>
      <c r="E14537" s="6" t="str">
        <f>HYPERLINK("https://twitter.com/petrogustavo/status/1394273548391288834","1394273548391288834")</f>
        <v>1394273548391288834</v>
      </c>
      <c r="F14537" s="7" t="s">
        <v>17</v>
      </c>
      <c r="G14537" s="7">
        <v>4253861</v>
      </c>
      <c r="H14537" s="7">
        <v>2513</v>
      </c>
      <c r="I14537" s="7">
        <v>91</v>
      </c>
      <c r="J14537" s="7">
        <v>276</v>
      </c>
      <c r="K14537" s="7" t="s">
        <v>18</v>
      </c>
      <c r="L14537" s="8">
        <v>39987.315405092595</v>
      </c>
      <c r="M14537" s="9" t="s">
        <v>19</v>
      </c>
      <c r="N14537" s="9" t="s">
        <v>20</v>
      </c>
      <c r="O14537" s="6" t="str">
        <f>HYPERLINK("https://pbs.twimg.com/profile_images/962471262747529216/Uo8lOkRJ_normal.jpg","View")</f>
        <v>View</v>
      </c>
      <c r="P14537" s="7"/>
    </row>
    <row r="14538" spans="1:16">
      <c r="A14538" s="3">
        <v>44333.766365740739</v>
      </c>
      <c r="B14538" s="4" t="str">
        <f>HYPERLINK("https://twitter.com/petrogustavo","@petrogustavo")</f>
        <v>@petrogustavo</v>
      </c>
      <c r="C14538" s="5" t="s">
        <v>16</v>
      </c>
      <c r="D14538" s="5" t="s">
        <v>13997</v>
      </c>
      <c r="E14538" s="6" t="str">
        <f>HYPERLINK("https://twitter.com/petrogustavo/status/1394274898055475206","1394274898055475206")</f>
        <v>1394274898055475206</v>
      </c>
      <c r="F14538" s="7" t="s">
        <v>17</v>
      </c>
      <c r="G14538" s="7">
        <v>4253861</v>
      </c>
      <c r="H14538" s="7">
        <v>2513</v>
      </c>
      <c r="I14538" s="7">
        <v>217</v>
      </c>
      <c r="J14538" s="7">
        <v>458</v>
      </c>
      <c r="K14538" s="7" t="s">
        <v>18</v>
      </c>
      <c r="L14538" s="8">
        <v>39987.315405092595</v>
      </c>
      <c r="M14538" s="9" t="s">
        <v>19</v>
      </c>
      <c r="N14538" s="9" t="s">
        <v>20</v>
      </c>
      <c r="O14538" s="6" t="str">
        <f>HYPERLINK("https://pbs.twimg.com/profile_images/962471262747529216/Uo8lOkRJ_normal.jpg","View")</f>
        <v>View</v>
      </c>
      <c r="P14538" s="7"/>
    </row>
    <row r="14539" spans="1:16">
      <c r="A14539" s="3">
        <v>44333.767997685187</v>
      </c>
      <c r="B14539" s="4" t="str">
        <f>HYPERLINK("https://twitter.com/petrogustavo","@petrogustavo")</f>
        <v>@petrogustavo</v>
      </c>
      <c r="C14539" s="5" t="s">
        <v>16</v>
      </c>
      <c r="D14539" s="5" t="s">
        <v>13998</v>
      </c>
      <c r="E14539" s="6" t="str">
        <f>HYPERLINK("https://twitter.com/petrogustavo/status/1394275489230041091","1394275489230041091")</f>
        <v>1394275489230041091</v>
      </c>
      <c r="F14539" s="7" t="s">
        <v>17</v>
      </c>
      <c r="G14539" s="7">
        <v>4253861</v>
      </c>
      <c r="H14539" s="7">
        <v>2513</v>
      </c>
      <c r="I14539" s="7">
        <v>6568</v>
      </c>
      <c r="J14539" s="7">
        <v>0</v>
      </c>
      <c r="K14539" s="7" t="s">
        <v>18</v>
      </c>
      <c r="L14539" s="8">
        <v>39987.315405092595</v>
      </c>
      <c r="M14539" s="9" t="s">
        <v>19</v>
      </c>
      <c r="N14539" s="9" t="s">
        <v>20</v>
      </c>
      <c r="O14539" s="6" t="str">
        <f>HYPERLINK("https://pbs.twimg.com/profile_images/962471262747529216/Uo8lOkRJ_normal.jpg","View")</f>
        <v>View</v>
      </c>
      <c r="P14539" s="7"/>
    </row>
    <row r="14540" spans="1:16">
      <c r="A14540" s="3">
        <v>44333.771793981483</v>
      </c>
      <c r="B14540" s="4" t="str">
        <f>HYPERLINK("https://twitter.com/petrogustavo","@petrogustavo")</f>
        <v>@petrogustavo</v>
      </c>
      <c r="C14540" s="5" t="s">
        <v>16</v>
      </c>
      <c r="D14540" s="5" t="s">
        <v>13999</v>
      </c>
      <c r="E14540" s="6" t="str">
        <f>HYPERLINK("https://twitter.com/petrogustavo/status/1394276864026423297","1394276864026423297")</f>
        <v>1394276864026423297</v>
      </c>
      <c r="F14540" s="7" t="s">
        <v>17</v>
      </c>
      <c r="G14540" s="7">
        <v>4253861</v>
      </c>
      <c r="H14540" s="7">
        <v>2513</v>
      </c>
      <c r="I14540" s="7">
        <v>100</v>
      </c>
      <c r="J14540" s="7">
        <v>0</v>
      </c>
      <c r="K14540" s="7" t="s">
        <v>18</v>
      </c>
      <c r="L14540" s="8">
        <v>39987.315405092595</v>
      </c>
      <c r="M14540" s="9" t="s">
        <v>19</v>
      </c>
      <c r="N14540" s="9" t="s">
        <v>20</v>
      </c>
      <c r="O14540" s="6" t="str">
        <f>HYPERLINK("https://pbs.twimg.com/profile_images/962471262747529216/Uo8lOkRJ_normal.jpg","View")</f>
        <v>View</v>
      </c>
      <c r="P14540" s="7"/>
    </row>
    <row r="14541" spans="1:16">
      <c r="A14541" s="3">
        <v>44333.77516203704</v>
      </c>
      <c r="B14541" s="4" t="str">
        <f>HYPERLINK("https://twitter.com/petrogustavo","@petrogustavo")</f>
        <v>@petrogustavo</v>
      </c>
      <c r="C14541" s="5" t="s">
        <v>16</v>
      </c>
      <c r="D14541" s="5" t="s">
        <v>14000</v>
      </c>
      <c r="E14541" s="6" t="str">
        <f>HYPERLINK("https://twitter.com/petrogustavo/status/1394278083180515334","1394278083180515334")</f>
        <v>1394278083180515334</v>
      </c>
      <c r="F14541" s="7" t="s">
        <v>17</v>
      </c>
      <c r="G14541" s="7">
        <v>4253861</v>
      </c>
      <c r="H14541" s="7">
        <v>2513</v>
      </c>
      <c r="I14541" s="7">
        <v>240</v>
      </c>
      <c r="J14541" s="7">
        <v>402</v>
      </c>
      <c r="K14541" s="7" t="s">
        <v>18</v>
      </c>
      <c r="L14541" s="8">
        <v>39987.315405092595</v>
      </c>
      <c r="M14541" s="9" t="s">
        <v>19</v>
      </c>
      <c r="N14541" s="9" t="s">
        <v>20</v>
      </c>
      <c r="O14541" s="6" t="str">
        <f>HYPERLINK("https://pbs.twimg.com/profile_images/962471262747529216/Uo8lOkRJ_normal.jpg","View")</f>
        <v>View</v>
      </c>
      <c r="P14541" s="7"/>
    </row>
    <row r="14542" spans="1:16">
      <c r="A14542" s="3">
        <v>44333.781527777777</v>
      </c>
      <c r="B14542" s="4" t="str">
        <f>HYPERLINK("https://twitter.com/petrogustavo","@petrogustavo")</f>
        <v>@petrogustavo</v>
      </c>
      <c r="C14542" s="5" t="s">
        <v>16</v>
      </c>
      <c r="D14542" s="5" t="s">
        <v>14001</v>
      </c>
      <c r="E14542" s="6" t="str">
        <f>HYPERLINK("https://twitter.com/petrogustavo/status/1394280390639108100","1394280390639108100")</f>
        <v>1394280390639108100</v>
      </c>
      <c r="F14542" s="7" t="s">
        <v>17</v>
      </c>
      <c r="G14542" s="7">
        <v>4253861</v>
      </c>
      <c r="H14542" s="7">
        <v>2513</v>
      </c>
      <c r="I14542" s="7">
        <v>890</v>
      </c>
      <c r="J14542" s="7">
        <v>0</v>
      </c>
      <c r="K14542" s="7" t="s">
        <v>18</v>
      </c>
      <c r="L14542" s="8">
        <v>39987.315405092595</v>
      </c>
      <c r="M14542" s="9" t="s">
        <v>19</v>
      </c>
      <c r="N14542" s="9" t="s">
        <v>20</v>
      </c>
      <c r="O14542" s="6" t="str">
        <f>HYPERLINK("https://pbs.twimg.com/profile_images/962471262747529216/Uo8lOkRJ_normal.jpg","View")</f>
        <v>View</v>
      </c>
      <c r="P14542" s="7"/>
    </row>
    <row r="14543" spans="1:16">
      <c r="A14543" s="3">
        <v>44333.782060185185</v>
      </c>
      <c r="B14543" s="4" t="str">
        <f>HYPERLINK("https://twitter.com/petrogustavo","@petrogustavo")</f>
        <v>@petrogustavo</v>
      </c>
      <c r="C14543" s="5" t="s">
        <v>16</v>
      </c>
      <c r="D14543" s="5" t="s">
        <v>14002</v>
      </c>
      <c r="E14543" s="6" t="str">
        <f>HYPERLINK("https://twitter.com/petrogustavo/status/1394280585015791616","1394280585015791616")</f>
        <v>1394280585015791616</v>
      </c>
      <c r="F14543" s="7" t="s">
        <v>17</v>
      </c>
      <c r="G14543" s="7">
        <v>4253861</v>
      </c>
      <c r="H14543" s="7">
        <v>2513</v>
      </c>
      <c r="I14543" s="7">
        <v>66</v>
      </c>
      <c r="J14543" s="7">
        <v>0</v>
      </c>
      <c r="K14543" s="7" t="s">
        <v>18</v>
      </c>
      <c r="L14543" s="8">
        <v>39987.315405092595</v>
      </c>
      <c r="M14543" s="9" t="s">
        <v>19</v>
      </c>
      <c r="N14543" s="9" t="s">
        <v>20</v>
      </c>
      <c r="O14543" s="6" t="str">
        <f>HYPERLINK("https://pbs.twimg.com/profile_images/962471262747529216/Uo8lOkRJ_normal.jpg","View")</f>
        <v>View</v>
      </c>
      <c r="P14543" s="7"/>
    </row>
    <row r="14544" spans="1:16">
      <c r="A14544" s="3">
        <v>44333.787291666667</v>
      </c>
      <c r="B14544" s="4" t="str">
        <f>HYPERLINK("https://twitter.com/petrogustavo","@petrogustavo")</f>
        <v>@petrogustavo</v>
      </c>
      <c r="C14544" s="5" t="s">
        <v>16</v>
      </c>
      <c r="D14544" s="5" t="s">
        <v>14003</v>
      </c>
      <c r="E14544" s="6" t="str">
        <f>HYPERLINK("https://twitter.com/petrogustavo/status/1394282478576230401","1394282478576230401")</f>
        <v>1394282478576230401</v>
      </c>
      <c r="F14544" s="7" t="s">
        <v>17</v>
      </c>
      <c r="G14544" s="7">
        <v>4253940</v>
      </c>
      <c r="H14544" s="7">
        <v>2513</v>
      </c>
      <c r="I14544" s="7">
        <v>230</v>
      </c>
      <c r="J14544" s="7">
        <v>821</v>
      </c>
      <c r="K14544" s="7" t="s">
        <v>18</v>
      </c>
      <c r="L14544" s="8">
        <v>39987.315405092595</v>
      </c>
      <c r="M14544" s="9" t="s">
        <v>19</v>
      </c>
      <c r="N14544" s="9" t="s">
        <v>20</v>
      </c>
      <c r="O14544" s="6" t="str">
        <f>HYPERLINK("https://pbs.twimg.com/profile_images/962471262747529216/Uo8lOkRJ_normal.jpg","View")</f>
        <v>View</v>
      </c>
      <c r="P14544" s="7"/>
    </row>
    <row r="14545" spans="1:16">
      <c r="A14545" s="3">
        <v>44333.797708333332</v>
      </c>
      <c r="B14545" s="4" t="str">
        <f>HYPERLINK("https://twitter.com/petrogustavo","@petrogustavo")</f>
        <v>@petrogustavo</v>
      </c>
      <c r="C14545" s="5" t="s">
        <v>16</v>
      </c>
      <c r="D14545" s="5" t="s">
        <v>14004</v>
      </c>
      <c r="E14545" s="6" t="str">
        <f>HYPERLINK("https://twitter.com/petrogustavo/status/1394286256310427649","1394286256310427649")</f>
        <v>1394286256310427649</v>
      </c>
      <c r="F14545" s="7" t="s">
        <v>17</v>
      </c>
      <c r="G14545" s="7">
        <v>4253940</v>
      </c>
      <c r="H14545" s="7">
        <v>2513</v>
      </c>
      <c r="I14545" s="7">
        <v>75</v>
      </c>
      <c r="J14545" s="7">
        <v>0</v>
      </c>
      <c r="K14545" s="7" t="s">
        <v>18</v>
      </c>
      <c r="L14545" s="8">
        <v>39987.315405092595</v>
      </c>
      <c r="M14545" s="9" t="s">
        <v>19</v>
      </c>
      <c r="N14545" s="9" t="s">
        <v>20</v>
      </c>
      <c r="O14545" s="6" t="str">
        <f>HYPERLINK("https://pbs.twimg.com/profile_images/962471262747529216/Uo8lOkRJ_normal.jpg","View")</f>
        <v>View</v>
      </c>
      <c r="P14545" s="7"/>
    </row>
    <row r="14546" spans="1:16">
      <c r="A14546" s="3">
        <v>44333.798206018517</v>
      </c>
      <c r="B14546" s="4" t="str">
        <f>HYPERLINK("https://twitter.com/petrogustavo","@petrogustavo")</f>
        <v>@petrogustavo</v>
      </c>
      <c r="C14546" s="5" t="s">
        <v>16</v>
      </c>
      <c r="D14546" s="5" t="s">
        <v>14005</v>
      </c>
      <c r="E14546" s="6" t="str">
        <f>HYPERLINK("https://twitter.com/petrogustavo/status/1394286437260988418","1394286437260988418")</f>
        <v>1394286437260988418</v>
      </c>
      <c r="F14546" s="7" t="s">
        <v>17</v>
      </c>
      <c r="G14546" s="7">
        <v>4253940</v>
      </c>
      <c r="H14546" s="7">
        <v>2513</v>
      </c>
      <c r="I14546" s="7">
        <v>1372</v>
      </c>
      <c r="J14546" s="7">
        <v>0</v>
      </c>
      <c r="K14546" s="7" t="s">
        <v>18</v>
      </c>
      <c r="L14546" s="8">
        <v>39987.315405092595</v>
      </c>
      <c r="M14546" s="9" t="s">
        <v>19</v>
      </c>
      <c r="N14546" s="9" t="s">
        <v>20</v>
      </c>
      <c r="O14546" s="6" t="str">
        <f>HYPERLINK("https://pbs.twimg.com/profile_images/962471262747529216/Uo8lOkRJ_normal.jpg","View")</f>
        <v>View</v>
      </c>
      <c r="P14546" s="7"/>
    </row>
    <row r="14547" spans="1:16">
      <c r="A14547" s="3">
        <v>44333.800787037035</v>
      </c>
      <c r="B14547" s="4" t="str">
        <f>HYPERLINK("https://twitter.com/petrogustavo","@petrogustavo")</f>
        <v>@petrogustavo</v>
      </c>
      <c r="C14547" s="5" t="s">
        <v>16</v>
      </c>
      <c r="D14547" s="5" t="s">
        <v>14006</v>
      </c>
      <c r="E14547" s="6" t="str">
        <f>HYPERLINK("https://twitter.com/petrogustavo/status/1394287371299004422","1394287371299004422")</f>
        <v>1394287371299004422</v>
      </c>
      <c r="F14547" s="7" t="s">
        <v>17</v>
      </c>
      <c r="G14547" s="7">
        <v>4253940</v>
      </c>
      <c r="H14547" s="7">
        <v>2513</v>
      </c>
      <c r="I14547" s="7">
        <v>42</v>
      </c>
      <c r="J14547" s="7">
        <v>0</v>
      </c>
      <c r="K14547" s="7" t="s">
        <v>18</v>
      </c>
      <c r="L14547" s="8">
        <v>39987.315405092595</v>
      </c>
      <c r="M14547" s="9" t="s">
        <v>19</v>
      </c>
      <c r="N14547" s="9" t="s">
        <v>20</v>
      </c>
      <c r="O14547" s="6" t="str">
        <f>HYPERLINK("https://pbs.twimg.com/profile_images/962471262747529216/Uo8lOkRJ_normal.jpg","View")</f>
        <v>View</v>
      </c>
      <c r="P14547" s="7"/>
    </row>
    <row r="14548" spans="1:16">
      <c r="A14548" s="3">
        <v>44333.80097222222</v>
      </c>
      <c r="B14548" s="4" t="str">
        <f>HYPERLINK("https://twitter.com/petrogustavo","@petrogustavo")</f>
        <v>@petrogustavo</v>
      </c>
      <c r="C14548" s="5" t="s">
        <v>16</v>
      </c>
      <c r="D14548" s="5" t="s">
        <v>14007</v>
      </c>
      <c r="E14548" s="6" t="str">
        <f>HYPERLINK("https://twitter.com/petrogustavo/status/1394287438152019968","1394287438152019968")</f>
        <v>1394287438152019968</v>
      </c>
      <c r="F14548" s="7" t="s">
        <v>17</v>
      </c>
      <c r="G14548" s="7">
        <v>4253940</v>
      </c>
      <c r="H14548" s="7">
        <v>2513</v>
      </c>
      <c r="I14548" s="7">
        <v>47</v>
      </c>
      <c r="J14548" s="7">
        <v>0</v>
      </c>
      <c r="K14548" s="7" t="s">
        <v>18</v>
      </c>
      <c r="L14548" s="8">
        <v>39987.315405092595</v>
      </c>
      <c r="M14548" s="9" t="s">
        <v>19</v>
      </c>
      <c r="N14548" s="9" t="s">
        <v>20</v>
      </c>
      <c r="O14548" s="6" t="str">
        <f>HYPERLINK("https://pbs.twimg.com/profile_images/962471262747529216/Uo8lOkRJ_normal.jpg","View")</f>
        <v>View</v>
      </c>
      <c r="P14548" s="7"/>
    </row>
    <row r="14549" spans="1:16">
      <c r="A14549" s="3">
        <v>44333.801284722227</v>
      </c>
      <c r="B14549" s="4" t="str">
        <f>HYPERLINK("https://twitter.com/petrogustavo","@petrogustavo")</f>
        <v>@petrogustavo</v>
      </c>
      <c r="C14549" s="5" t="s">
        <v>16</v>
      </c>
      <c r="D14549" s="5" t="s">
        <v>14008</v>
      </c>
      <c r="E14549" s="6" t="str">
        <f>HYPERLINK("https://twitter.com/petrogustavo/status/1394287552530718721","1394287552530718721")</f>
        <v>1394287552530718721</v>
      </c>
      <c r="F14549" s="7" t="s">
        <v>17</v>
      </c>
      <c r="G14549" s="7">
        <v>4253940</v>
      </c>
      <c r="H14549" s="7">
        <v>2513</v>
      </c>
      <c r="I14549" s="7">
        <v>230</v>
      </c>
      <c r="J14549" s="7">
        <v>0</v>
      </c>
      <c r="K14549" s="7" t="s">
        <v>18</v>
      </c>
      <c r="L14549" s="8">
        <v>39987.315405092595</v>
      </c>
      <c r="M14549" s="9" t="s">
        <v>19</v>
      </c>
      <c r="N14549" s="9" t="s">
        <v>20</v>
      </c>
      <c r="O14549" s="6" t="str">
        <f>HYPERLINK("https://pbs.twimg.com/profile_images/962471262747529216/Uo8lOkRJ_normal.jpg","View")</f>
        <v>View</v>
      </c>
      <c r="P14549" s="7"/>
    </row>
    <row r="14550" spans="1:16">
      <c r="A14550" s="3">
        <v>44333.801365740743</v>
      </c>
      <c r="B14550" s="4" t="str">
        <f>HYPERLINK("https://twitter.com/petrogustavo","@petrogustavo")</f>
        <v>@petrogustavo</v>
      </c>
      <c r="C14550" s="5" t="s">
        <v>16</v>
      </c>
      <c r="D14550" s="5" t="s">
        <v>14009</v>
      </c>
      <c r="E14550" s="6" t="str">
        <f>HYPERLINK("https://twitter.com/petrogustavo/status/1394287580661833730","1394287580661833730")</f>
        <v>1394287580661833730</v>
      </c>
      <c r="F14550" s="7" t="s">
        <v>17</v>
      </c>
      <c r="G14550" s="7">
        <v>4253940</v>
      </c>
      <c r="H14550" s="7">
        <v>2513</v>
      </c>
      <c r="I14550" s="7">
        <v>1774</v>
      </c>
      <c r="J14550" s="7">
        <v>0</v>
      </c>
      <c r="K14550" s="7" t="s">
        <v>18</v>
      </c>
      <c r="L14550" s="8">
        <v>39987.315405092595</v>
      </c>
      <c r="M14550" s="9" t="s">
        <v>19</v>
      </c>
      <c r="N14550" s="9" t="s">
        <v>20</v>
      </c>
      <c r="O14550" s="6" t="str">
        <f>HYPERLINK("https://pbs.twimg.com/profile_images/962471262747529216/Uo8lOkRJ_normal.jpg","View")</f>
        <v>View</v>
      </c>
      <c r="P14550" s="7"/>
    </row>
    <row r="14551" spans="1:16">
      <c r="A14551" s="3">
        <v>44333.805289351847</v>
      </c>
      <c r="B14551" s="4" t="str">
        <f>HYPERLINK("https://twitter.com/petrogustavo","@petrogustavo")</f>
        <v>@petrogustavo</v>
      </c>
      <c r="C14551" s="5" t="s">
        <v>16</v>
      </c>
      <c r="D14551" s="5" t="s">
        <v>14010</v>
      </c>
      <c r="E14551" s="6" t="str">
        <f>HYPERLINK("https://twitter.com/petrogustavo/status/1394289002237382663","1394289002237382663")</f>
        <v>1394289002237382663</v>
      </c>
      <c r="F14551" s="7" t="s">
        <v>17</v>
      </c>
      <c r="G14551" s="7">
        <v>4254025</v>
      </c>
      <c r="H14551" s="7">
        <v>2513</v>
      </c>
      <c r="I14551" s="7">
        <v>201</v>
      </c>
      <c r="J14551" s="7">
        <v>389</v>
      </c>
      <c r="K14551" s="7" t="s">
        <v>18</v>
      </c>
      <c r="L14551" s="8">
        <v>39987.315405092595</v>
      </c>
      <c r="M14551" s="9" t="s">
        <v>19</v>
      </c>
      <c r="N14551" s="9" t="s">
        <v>20</v>
      </c>
      <c r="O14551" s="6" t="str">
        <f>HYPERLINK("https://pbs.twimg.com/profile_images/962471262747529216/Uo8lOkRJ_normal.jpg","View")</f>
        <v>View</v>
      </c>
      <c r="P14551" s="7"/>
    </row>
    <row r="14552" spans="1:16">
      <c r="A14552" s="3">
        <v>44333.859594907408</v>
      </c>
      <c r="B14552" s="4" t="str">
        <f>HYPERLINK("https://twitter.com/petrogustavo","@petrogustavo")</f>
        <v>@petrogustavo</v>
      </c>
      <c r="C14552" s="5" t="s">
        <v>16</v>
      </c>
      <c r="D14552" s="5" t="s">
        <v>14011</v>
      </c>
      <c r="E14552" s="6" t="str">
        <f>HYPERLINK("https://twitter.com/petrogustavo/status/1394308683346087936","1394308683346087936")</f>
        <v>1394308683346087936</v>
      </c>
      <c r="F14552" s="7" t="s">
        <v>17</v>
      </c>
      <c r="G14552" s="7">
        <v>4254170</v>
      </c>
      <c r="H14552" s="7">
        <v>2513</v>
      </c>
      <c r="I14552" s="7">
        <v>226</v>
      </c>
      <c r="J14552" s="7">
        <v>1173</v>
      </c>
      <c r="K14552" s="7" t="s">
        <v>18</v>
      </c>
      <c r="L14552" s="8">
        <v>39987.315405092595</v>
      </c>
      <c r="M14552" s="9" t="s">
        <v>19</v>
      </c>
      <c r="N14552" s="9" t="s">
        <v>20</v>
      </c>
      <c r="O14552" s="6" t="str">
        <f>HYPERLINK("https://pbs.twimg.com/profile_images/962471262747529216/Uo8lOkRJ_normal.jpg","View")</f>
        <v>View</v>
      </c>
      <c r="P14552" s="7"/>
    </row>
    <row r="14553" spans="1:16">
      <c r="A14553" s="3">
        <v>44333.937569444446</v>
      </c>
      <c r="B14553" s="4" t="str">
        <f>HYPERLINK("https://twitter.com/petrogustavo","@petrogustavo")</f>
        <v>@petrogustavo</v>
      </c>
      <c r="C14553" s="5" t="s">
        <v>16</v>
      </c>
      <c r="D14553" s="5" t="s">
        <v>14012</v>
      </c>
      <c r="E14553" s="6" t="str">
        <f>HYPERLINK("https://twitter.com/petrogustavo/status/1394336937503334405","1394336937503334405")</f>
        <v>1394336937503334405</v>
      </c>
      <c r="F14553" s="7" t="s">
        <v>17</v>
      </c>
      <c r="G14553" s="7">
        <v>4254495</v>
      </c>
      <c r="H14553" s="7">
        <v>2514</v>
      </c>
      <c r="I14553" s="7">
        <v>1774</v>
      </c>
      <c r="J14553" s="7">
        <v>0</v>
      </c>
      <c r="K14553" s="7" t="s">
        <v>18</v>
      </c>
      <c r="L14553" s="8">
        <v>39987.315405092595</v>
      </c>
      <c r="M14553" s="9" t="s">
        <v>19</v>
      </c>
      <c r="N14553" s="9" t="s">
        <v>20</v>
      </c>
      <c r="O14553" s="6" t="str">
        <f>HYPERLINK("https://pbs.twimg.com/profile_images/962471262747529216/Uo8lOkRJ_normal.jpg","View")</f>
        <v>View</v>
      </c>
      <c r="P14553" s="7"/>
    </row>
    <row r="14554" spans="1:16">
      <c r="A14554" s="3">
        <v>44333.942627314813</v>
      </c>
      <c r="B14554" s="4" t="str">
        <f>HYPERLINK("https://twitter.com/petrogustavo","@petrogustavo")</f>
        <v>@petrogustavo</v>
      </c>
      <c r="C14554" s="5" t="s">
        <v>16</v>
      </c>
      <c r="D14554" s="5" t="s">
        <v>14013</v>
      </c>
      <c r="E14554" s="6" t="str">
        <f>HYPERLINK("https://twitter.com/petrogustavo/status/1394338771710185479","1394338771710185479")</f>
        <v>1394338771710185479</v>
      </c>
      <c r="F14554" s="7" t="s">
        <v>17</v>
      </c>
      <c r="G14554" s="7">
        <v>4254495</v>
      </c>
      <c r="H14554" s="7">
        <v>2514</v>
      </c>
      <c r="I14554" s="7">
        <v>193</v>
      </c>
      <c r="J14554" s="7">
        <v>409</v>
      </c>
      <c r="K14554" s="7" t="s">
        <v>18</v>
      </c>
      <c r="L14554" s="8">
        <v>39987.315405092595</v>
      </c>
      <c r="M14554" s="9" t="s">
        <v>19</v>
      </c>
      <c r="N14554" s="9" t="s">
        <v>20</v>
      </c>
      <c r="O14554" s="6" t="str">
        <f>HYPERLINK("https://pbs.twimg.com/profile_images/962471262747529216/Uo8lOkRJ_normal.jpg","View")</f>
        <v>View</v>
      </c>
      <c r="P14554" s="7"/>
    </row>
    <row r="14555" spans="1:16">
      <c r="A14555" s="3">
        <v>44334.222164351857</v>
      </c>
      <c r="B14555" s="4" t="str">
        <f>HYPERLINK("https://twitter.com/petrogustavo","@petrogustavo")</f>
        <v>@petrogustavo</v>
      </c>
      <c r="C14555" s="5" t="s">
        <v>16</v>
      </c>
      <c r="D14555" s="5" t="s">
        <v>14014</v>
      </c>
      <c r="E14555" s="6" t="str">
        <f>HYPERLINK("https://twitter.com/petrogustavo/status/1394440074914316289","1394440074914316289")</f>
        <v>1394440074914316289</v>
      </c>
      <c r="F14555" s="7" t="s">
        <v>17</v>
      </c>
      <c r="G14555" s="7">
        <v>4255520</v>
      </c>
      <c r="H14555" s="7">
        <v>2514</v>
      </c>
      <c r="I14555" s="7">
        <v>315</v>
      </c>
      <c r="J14555" s="7">
        <v>1279</v>
      </c>
      <c r="K14555" s="7" t="s">
        <v>18</v>
      </c>
      <c r="L14555" s="8">
        <v>39987.315405092595</v>
      </c>
      <c r="M14555" s="9" t="s">
        <v>19</v>
      </c>
      <c r="N14555" s="9" t="s">
        <v>20</v>
      </c>
      <c r="O14555" s="6" t="str">
        <f>HYPERLINK("https://pbs.twimg.com/profile_images/962471262747529216/Uo8lOkRJ_normal.jpg","View")</f>
        <v>View</v>
      </c>
      <c r="P14555" s="7"/>
    </row>
    <row r="14556" spans="1:16">
      <c r="A14556" s="3">
        <v>44334.256018518514</v>
      </c>
      <c r="B14556" s="4" t="str">
        <f>HYPERLINK("https://twitter.com/petrogustavo","@petrogustavo")</f>
        <v>@petrogustavo</v>
      </c>
      <c r="C14556" s="5" t="s">
        <v>16</v>
      </c>
      <c r="D14556" s="5" t="s">
        <v>14015</v>
      </c>
      <c r="E14556" s="6" t="str">
        <f>HYPERLINK("https://twitter.com/petrogustavo/status/1394452343190601728","1394452343190601728")</f>
        <v>1394452343190601728</v>
      </c>
      <c r="F14556" s="7" t="s">
        <v>17</v>
      </c>
      <c r="G14556" s="7">
        <v>4255610</v>
      </c>
      <c r="H14556" s="7">
        <v>2514</v>
      </c>
      <c r="I14556" s="7">
        <v>595</v>
      </c>
      <c r="J14556" s="7">
        <v>0</v>
      </c>
      <c r="K14556" s="7" t="s">
        <v>18</v>
      </c>
      <c r="L14556" s="8">
        <v>39987.315405092595</v>
      </c>
      <c r="M14556" s="9" t="s">
        <v>19</v>
      </c>
      <c r="N14556" s="9" t="s">
        <v>20</v>
      </c>
      <c r="O14556" s="6" t="str">
        <f>HYPERLINK("https://pbs.twimg.com/profile_images/962471262747529216/Uo8lOkRJ_normal.jpg","View")</f>
        <v>View</v>
      </c>
      <c r="P14556" s="7"/>
    </row>
    <row r="14557" spans="1:16">
      <c r="A14557" s="3">
        <v>44334.261712962965</v>
      </c>
      <c r="B14557" s="4" t="str">
        <f>HYPERLINK("https://twitter.com/petrogustavo","@petrogustavo")</f>
        <v>@petrogustavo</v>
      </c>
      <c r="C14557" s="5" t="s">
        <v>16</v>
      </c>
      <c r="D14557" s="5" t="s">
        <v>14016</v>
      </c>
      <c r="E14557" s="6" t="str">
        <f>HYPERLINK("https://twitter.com/petrogustavo/status/1394454406947647491","1394454406947647491")</f>
        <v>1394454406947647491</v>
      </c>
      <c r="F14557" s="7" t="s">
        <v>17</v>
      </c>
      <c r="G14557" s="7">
        <v>4255610</v>
      </c>
      <c r="H14557" s="7">
        <v>2514</v>
      </c>
      <c r="I14557" s="7">
        <v>33</v>
      </c>
      <c r="J14557" s="7">
        <v>0</v>
      </c>
      <c r="K14557" s="7" t="s">
        <v>18</v>
      </c>
      <c r="L14557" s="8">
        <v>39987.315405092595</v>
      </c>
      <c r="M14557" s="9" t="s">
        <v>19</v>
      </c>
      <c r="N14557" s="9" t="s">
        <v>20</v>
      </c>
      <c r="O14557" s="6" t="str">
        <f>HYPERLINK("https://pbs.twimg.com/profile_images/962471262747529216/Uo8lOkRJ_normal.jpg","View")</f>
        <v>View</v>
      </c>
      <c r="P14557" s="7"/>
    </row>
    <row r="14558" spans="1:16">
      <c r="A14558" s="3">
        <v>44334.263483796298</v>
      </c>
      <c r="B14558" s="4" t="str">
        <f>HYPERLINK("https://twitter.com/petrogustavo","@petrogustavo")</f>
        <v>@petrogustavo</v>
      </c>
      <c r="C14558" s="5" t="s">
        <v>16</v>
      </c>
      <c r="D14558" s="5" t="s">
        <v>14017</v>
      </c>
      <c r="E14558" s="6" t="str">
        <f>HYPERLINK("https://twitter.com/petrogustavo/status/1394455047325507589","1394455047325507589")</f>
        <v>1394455047325507589</v>
      </c>
      <c r="F14558" s="7" t="s">
        <v>17</v>
      </c>
      <c r="G14558" s="7">
        <v>4255619</v>
      </c>
      <c r="H14558" s="7">
        <v>2514</v>
      </c>
      <c r="I14558" s="7">
        <v>886</v>
      </c>
      <c r="J14558" s="7">
        <v>1607</v>
      </c>
      <c r="K14558" s="7" t="s">
        <v>18</v>
      </c>
      <c r="L14558" s="8">
        <v>39987.315405092595</v>
      </c>
      <c r="M14558" s="9" t="s">
        <v>19</v>
      </c>
      <c r="N14558" s="9" t="s">
        <v>20</v>
      </c>
      <c r="O14558" s="6" t="str">
        <f>HYPERLINK("https://pbs.twimg.com/profile_images/962471262747529216/Uo8lOkRJ_normal.jpg","View")</f>
        <v>View</v>
      </c>
      <c r="P14558" s="7"/>
    </row>
    <row r="14559" spans="1:16">
      <c r="A14559" s="3">
        <v>44334.266435185185</v>
      </c>
      <c r="B14559" s="4" t="str">
        <f>HYPERLINK("https://twitter.com/petrogustavo","@petrogustavo")</f>
        <v>@petrogustavo</v>
      </c>
      <c r="C14559" s="5" t="s">
        <v>16</v>
      </c>
      <c r="D14559" s="5" t="s">
        <v>14018</v>
      </c>
      <c r="E14559" s="6" t="str">
        <f>HYPERLINK("https://twitter.com/petrogustavo/status/1394456114306162688","1394456114306162688")</f>
        <v>1394456114306162688</v>
      </c>
      <c r="F14559" s="7" t="s">
        <v>17</v>
      </c>
      <c r="G14559" s="7">
        <v>4255619</v>
      </c>
      <c r="H14559" s="7">
        <v>2514</v>
      </c>
      <c r="I14559" s="7">
        <v>601</v>
      </c>
      <c r="J14559" s="7">
        <v>926</v>
      </c>
      <c r="K14559" s="7" t="s">
        <v>18</v>
      </c>
      <c r="L14559" s="8">
        <v>39987.315405092595</v>
      </c>
      <c r="M14559" s="9" t="s">
        <v>19</v>
      </c>
      <c r="N14559" s="9" t="s">
        <v>20</v>
      </c>
      <c r="O14559" s="6" t="str">
        <f>HYPERLINK("https://pbs.twimg.com/profile_images/962471262747529216/Uo8lOkRJ_normal.jpg","View")</f>
        <v>View</v>
      </c>
      <c r="P14559" s="7"/>
    </row>
    <row r="14560" spans="1:16">
      <c r="A14560" s="3">
        <v>44334.326145833329</v>
      </c>
      <c r="B14560" s="4" t="str">
        <f>HYPERLINK("https://twitter.com/petrogustavo","@petrogustavo")</f>
        <v>@petrogustavo</v>
      </c>
      <c r="C14560" s="5" t="s">
        <v>16</v>
      </c>
      <c r="D14560" s="5" t="s">
        <v>14019</v>
      </c>
      <c r="E14560" s="6" t="str">
        <f>HYPERLINK("https://twitter.com/petrogustavo/status/1394477753135738883","1394477753135738883")</f>
        <v>1394477753135738883</v>
      </c>
      <c r="F14560" s="7" t="s">
        <v>17</v>
      </c>
      <c r="G14560" s="7">
        <v>4255975</v>
      </c>
      <c r="H14560" s="7">
        <v>2514</v>
      </c>
      <c r="I14560" s="7">
        <v>938</v>
      </c>
      <c r="J14560" s="7">
        <v>0</v>
      </c>
      <c r="K14560" s="7" t="s">
        <v>18</v>
      </c>
      <c r="L14560" s="8">
        <v>39987.315405092595</v>
      </c>
      <c r="M14560" s="9" t="s">
        <v>19</v>
      </c>
      <c r="N14560" s="9" t="s">
        <v>20</v>
      </c>
      <c r="O14560" s="6" t="str">
        <f>HYPERLINK("https://pbs.twimg.com/profile_images/962471262747529216/Uo8lOkRJ_normal.jpg","View")</f>
        <v>View</v>
      </c>
      <c r="P14560" s="7"/>
    </row>
    <row r="14561" spans="1:16">
      <c r="A14561" s="3">
        <v>44334.328425925924</v>
      </c>
      <c r="B14561" s="4" t="str">
        <f>HYPERLINK("https://twitter.com/petrogustavo","@petrogustavo")</f>
        <v>@petrogustavo</v>
      </c>
      <c r="C14561" s="5" t="s">
        <v>16</v>
      </c>
      <c r="D14561" s="5" t="s">
        <v>14020</v>
      </c>
      <c r="E14561" s="6" t="str">
        <f>HYPERLINK("https://twitter.com/petrogustavo/status/1394478579367428096","1394478579367428096")</f>
        <v>1394478579367428096</v>
      </c>
      <c r="F14561" s="7" t="s">
        <v>17</v>
      </c>
      <c r="G14561" s="7">
        <v>4255975</v>
      </c>
      <c r="H14561" s="7">
        <v>2514</v>
      </c>
      <c r="I14561" s="7">
        <v>270</v>
      </c>
      <c r="J14561" s="7">
        <v>0</v>
      </c>
      <c r="K14561" s="7" t="s">
        <v>18</v>
      </c>
      <c r="L14561" s="8">
        <v>39987.315405092595</v>
      </c>
      <c r="M14561" s="9" t="s">
        <v>19</v>
      </c>
      <c r="N14561" s="9" t="s">
        <v>20</v>
      </c>
      <c r="O14561" s="6" t="str">
        <f>HYPERLINK("https://pbs.twimg.com/profile_images/962471262747529216/Uo8lOkRJ_normal.jpg","View")</f>
        <v>View</v>
      </c>
      <c r="P14561" s="7"/>
    </row>
    <row r="14562" spans="1:16">
      <c r="A14562" s="3">
        <v>44334.329224537039</v>
      </c>
      <c r="B14562" s="4" t="str">
        <f>HYPERLINK("https://twitter.com/petrogustavo","@petrogustavo")</f>
        <v>@petrogustavo</v>
      </c>
      <c r="C14562" s="5" t="s">
        <v>16</v>
      </c>
      <c r="D14562" s="5" t="s">
        <v>14021</v>
      </c>
      <c r="E14562" s="6" t="str">
        <f>HYPERLINK("https://twitter.com/petrogustavo/status/1394478870116642819","1394478870116642819")</f>
        <v>1394478870116642819</v>
      </c>
      <c r="F14562" s="7" t="s">
        <v>17</v>
      </c>
      <c r="G14562" s="7">
        <v>4255975</v>
      </c>
      <c r="H14562" s="7">
        <v>2514</v>
      </c>
      <c r="I14562" s="7">
        <v>1045</v>
      </c>
      <c r="J14562" s="7">
        <v>0</v>
      </c>
      <c r="K14562" s="7" t="s">
        <v>18</v>
      </c>
      <c r="L14562" s="8">
        <v>39987.315405092595</v>
      </c>
      <c r="M14562" s="9" t="s">
        <v>19</v>
      </c>
      <c r="N14562" s="9" t="s">
        <v>20</v>
      </c>
      <c r="O14562" s="6" t="str">
        <f>HYPERLINK("https://pbs.twimg.com/profile_images/962471262747529216/Uo8lOkRJ_normal.jpg","View")</f>
        <v>View</v>
      </c>
      <c r="P14562" s="7"/>
    </row>
    <row r="14563" spans="1:16">
      <c r="A14563" s="3">
        <v>44334.330162037033</v>
      </c>
      <c r="B14563" s="4" t="str">
        <f>HYPERLINK("https://twitter.com/petrogustavo","@petrogustavo")</f>
        <v>@petrogustavo</v>
      </c>
      <c r="C14563" s="5" t="s">
        <v>16</v>
      </c>
      <c r="D14563" s="5" t="s">
        <v>14022</v>
      </c>
      <c r="E14563" s="6" t="str">
        <f>HYPERLINK("https://twitter.com/petrogustavo/status/1394479208609501185","1394479208609501185")</f>
        <v>1394479208609501185</v>
      </c>
      <c r="F14563" s="7" t="s">
        <v>17</v>
      </c>
      <c r="G14563" s="7">
        <v>4255975</v>
      </c>
      <c r="H14563" s="7">
        <v>2514</v>
      </c>
      <c r="I14563" s="7">
        <v>332</v>
      </c>
      <c r="J14563" s="7">
        <v>0</v>
      </c>
      <c r="K14563" s="7" t="s">
        <v>18</v>
      </c>
      <c r="L14563" s="8">
        <v>39987.315405092595</v>
      </c>
      <c r="M14563" s="9" t="s">
        <v>19</v>
      </c>
      <c r="N14563" s="9" t="s">
        <v>20</v>
      </c>
      <c r="O14563" s="6" t="str">
        <f>HYPERLINK("https://pbs.twimg.com/profile_images/962471262747529216/Uo8lOkRJ_normal.jpg","View")</f>
        <v>View</v>
      </c>
      <c r="P14563" s="7"/>
    </row>
    <row r="14564" spans="1:16">
      <c r="A14564" s="3">
        <v>44334.728784722218</v>
      </c>
      <c r="B14564" s="4" t="str">
        <f>HYPERLINK("https://twitter.com/petrogustavo","@petrogustavo")</f>
        <v>@petrogustavo</v>
      </c>
      <c r="C14564" s="5" t="s">
        <v>16</v>
      </c>
      <c r="D14564" s="5" t="s">
        <v>14023</v>
      </c>
      <c r="E14564" s="6" t="str">
        <f>HYPERLINK("https://twitter.com/petrogustavo/status/1394623664860147718","1394623664860147718")</f>
        <v>1394623664860147718</v>
      </c>
      <c r="F14564" s="7" t="s">
        <v>17</v>
      </c>
      <c r="G14564" s="7">
        <v>4256502</v>
      </c>
      <c r="H14564" s="7">
        <v>2514</v>
      </c>
      <c r="I14564" s="7">
        <v>1979</v>
      </c>
      <c r="J14564" s="7">
        <v>0</v>
      </c>
      <c r="K14564" s="7" t="s">
        <v>18</v>
      </c>
      <c r="L14564" s="8">
        <v>39987.315405092595</v>
      </c>
      <c r="M14564" s="9" t="s">
        <v>19</v>
      </c>
      <c r="N14564" s="9" t="s">
        <v>20</v>
      </c>
      <c r="O14564" s="6" t="str">
        <f>HYPERLINK("https://pbs.twimg.com/profile_images/962471262747529216/Uo8lOkRJ_normal.jpg","View")</f>
        <v>View</v>
      </c>
      <c r="P14564" s="7"/>
    </row>
    <row r="14565" spans="1:16">
      <c r="A14565" s="3">
        <v>44334.729363425926</v>
      </c>
      <c r="B14565" s="4" t="str">
        <f>HYPERLINK("https://twitter.com/petrogustavo","@petrogustavo")</f>
        <v>@petrogustavo</v>
      </c>
      <c r="C14565" s="5" t="s">
        <v>16</v>
      </c>
      <c r="D14565" s="5" t="s">
        <v>14024</v>
      </c>
      <c r="E14565" s="6" t="str">
        <f>HYPERLINK("https://twitter.com/petrogustavo/status/1394623874990592003","1394623874990592003")</f>
        <v>1394623874990592003</v>
      </c>
      <c r="F14565" s="7" t="s">
        <v>17</v>
      </c>
      <c r="G14565" s="7">
        <v>4256502</v>
      </c>
      <c r="H14565" s="7">
        <v>2514</v>
      </c>
      <c r="I14565" s="7">
        <v>100</v>
      </c>
      <c r="J14565" s="7">
        <v>0</v>
      </c>
      <c r="K14565" s="7" t="s">
        <v>18</v>
      </c>
      <c r="L14565" s="8">
        <v>39987.315405092595</v>
      </c>
      <c r="M14565" s="9" t="s">
        <v>19</v>
      </c>
      <c r="N14565" s="9" t="s">
        <v>20</v>
      </c>
      <c r="O14565" s="6" t="str">
        <f>HYPERLINK("https://pbs.twimg.com/profile_images/962471262747529216/Uo8lOkRJ_normal.jpg","View")</f>
        <v>View</v>
      </c>
      <c r="P14565" s="7"/>
    </row>
    <row r="14566" spans="1:16">
      <c r="A14566" s="3">
        <v>44334.731550925921</v>
      </c>
      <c r="B14566" s="4" t="str">
        <f>HYPERLINK("https://twitter.com/petrogustavo","@petrogustavo")</f>
        <v>@petrogustavo</v>
      </c>
      <c r="C14566" s="5" t="s">
        <v>16</v>
      </c>
      <c r="D14566" s="5" t="s">
        <v>14025</v>
      </c>
      <c r="E14566" s="6" t="str">
        <f>HYPERLINK("https://twitter.com/petrogustavo/status/1394624667005108227","1394624667005108227")</f>
        <v>1394624667005108227</v>
      </c>
      <c r="F14566" s="7" t="s">
        <v>17</v>
      </c>
      <c r="G14566" s="7">
        <v>4256502</v>
      </c>
      <c r="H14566" s="7">
        <v>2514</v>
      </c>
      <c r="I14566" s="7">
        <v>89</v>
      </c>
      <c r="J14566" s="7">
        <v>303</v>
      </c>
      <c r="K14566" s="7" t="s">
        <v>18</v>
      </c>
      <c r="L14566" s="8">
        <v>39987.315405092595</v>
      </c>
      <c r="M14566" s="9" t="s">
        <v>19</v>
      </c>
      <c r="N14566" s="9" t="s">
        <v>20</v>
      </c>
      <c r="O14566" s="6" t="str">
        <f>HYPERLINK("https://pbs.twimg.com/profile_images/962471262747529216/Uo8lOkRJ_normal.jpg","View")</f>
        <v>View</v>
      </c>
      <c r="P14566" s="7"/>
    </row>
    <row r="14567" spans="1:16">
      <c r="A14567" s="3">
        <v>44334.733078703706</v>
      </c>
      <c r="B14567" s="4" t="str">
        <f>HYPERLINK("https://twitter.com/petrogustavo","@petrogustavo")</f>
        <v>@petrogustavo</v>
      </c>
      <c r="C14567" s="5" t="s">
        <v>16</v>
      </c>
      <c r="D14567" s="5" t="s">
        <v>14026</v>
      </c>
      <c r="E14567" s="6" t="str">
        <f>HYPERLINK("https://twitter.com/petrogustavo/status/1394625222364614659","1394625222364614659")</f>
        <v>1394625222364614659</v>
      </c>
      <c r="F14567" s="7" t="s">
        <v>17</v>
      </c>
      <c r="G14567" s="7">
        <v>4256502</v>
      </c>
      <c r="H14567" s="7">
        <v>2514</v>
      </c>
      <c r="I14567" s="7">
        <v>349</v>
      </c>
      <c r="J14567" s="7">
        <v>446</v>
      </c>
      <c r="K14567" s="7" t="s">
        <v>18</v>
      </c>
      <c r="L14567" s="8">
        <v>39987.315405092595</v>
      </c>
      <c r="M14567" s="9" t="s">
        <v>19</v>
      </c>
      <c r="N14567" s="9" t="s">
        <v>20</v>
      </c>
      <c r="O14567" s="6" t="str">
        <f>HYPERLINK("https://pbs.twimg.com/profile_images/962471262747529216/Uo8lOkRJ_normal.jpg","View")</f>
        <v>View</v>
      </c>
      <c r="P14567" s="7"/>
    </row>
    <row r="14568" spans="1:16">
      <c r="A14568" s="3">
        <v>44334.737939814819</v>
      </c>
      <c r="B14568" s="4" t="str">
        <f>HYPERLINK("https://twitter.com/petrogustavo","@petrogustavo")</f>
        <v>@petrogustavo</v>
      </c>
      <c r="C14568" s="5" t="s">
        <v>16</v>
      </c>
      <c r="D14568" s="5" t="s">
        <v>14027</v>
      </c>
      <c r="E14568" s="6" t="str">
        <f>HYPERLINK("https://twitter.com/petrogustavo/status/1394626983762485249","1394626983762485249")</f>
        <v>1394626983762485249</v>
      </c>
      <c r="F14568" s="7" t="s">
        <v>17</v>
      </c>
      <c r="G14568" s="7">
        <v>4256502</v>
      </c>
      <c r="H14568" s="7">
        <v>2514</v>
      </c>
      <c r="I14568" s="7">
        <v>100</v>
      </c>
      <c r="J14568" s="7">
        <v>195</v>
      </c>
      <c r="K14568" s="7" t="s">
        <v>18</v>
      </c>
      <c r="L14568" s="8">
        <v>39987.315405092595</v>
      </c>
      <c r="M14568" s="9" t="s">
        <v>19</v>
      </c>
      <c r="N14568" s="9" t="s">
        <v>20</v>
      </c>
      <c r="O14568" s="6" t="str">
        <f>HYPERLINK("https://pbs.twimg.com/profile_images/962471262747529216/Uo8lOkRJ_normal.jpg","View")</f>
        <v>View</v>
      </c>
      <c r="P14568" s="7"/>
    </row>
    <row r="14569" spans="1:16">
      <c r="A14569" s="3">
        <v>44334.738668981481</v>
      </c>
      <c r="B14569" s="4" t="str">
        <f>HYPERLINK("https://twitter.com/petrogustavo","@petrogustavo")</f>
        <v>@petrogustavo</v>
      </c>
      <c r="C14569" s="5" t="s">
        <v>16</v>
      </c>
      <c r="D14569" s="5" t="s">
        <v>14028</v>
      </c>
      <c r="E14569" s="6" t="str">
        <f>HYPERLINK("https://twitter.com/petrogustavo/status/1394627247882084354","1394627247882084354")</f>
        <v>1394627247882084354</v>
      </c>
      <c r="F14569" s="7" t="s">
        <v>17</v>
      </c>
      <c r="G14569" s="7">
        <v>4256502</v>
      </c>
      <c r="H14569" s="7">
        <v>2514</v>
      </c>
      <c r="I14569" s="7">
        <v>145</v>
      </c>
      <c r="J14569" s="7">
        <v>406</v>
      </c>
      <c r="K14569" s="7" t="s">
        <v>18</v>
      </c>
      <c r="L14569" s="8">
        <v>39987.315405092595</v>
      </c>
      <c r="M14569" s="9" t="s">
        <v>19</v>
      </c>
      <c r="N14569" s="9" t="s">
        <v>20</v>
      </c>
      <c r="O14569" s="6" t="str">
        <f>HYPERLINK("https://pbs.twimg.com/profile_images/962471262747529216/Uo8lOkRJ_normal.jpg","View")</f>
        <v>View</v>
      </c>
      <c r="P14569" s="7"/>
    </row>
    <row r="14570" spans="1:16">
      <c r="A14570" s="3">
        <v>44334.741377314815</v>
      </c>
      <c r="B14570" s="4" t="str">
        <f>HYPERLINK("https://twitter.com/petrogustavo","@petrogustavo")</f>
        <v>@petrogustavo</v>
      </c>
      <c r="C14570" s="5" t="s">
        <v>16</v>
      </c>
      <c r="D14570" s="5" t="s">
        <v>14029</v>
      </c>
      <c r="E14570" s="6" t="str">
        <f>HYPERLINK("https://twitter.com/petrogustavo/status/1394628229529489417","1394628229529489417")</f>
        <v>1394628229529489417</v>
      </c>
      <c r="F14570" s="7" t="s">
        <v>17</v>
      </c>
      <c r="G14570" s="7">
        <v>4256502</v>
      </c>
      <c r="H14570" s="7">
        <v>2514</v>
      </c>
      <c r="I14570" s="7">
        <v>10</v>
      </c>
      <c r="J14570" s="7">
        <v>18</v>
      </c>
      <c r="K14570" s="7" t="s">
        <v>18</v>
      </c>
      <c r="L14570" s="8">
        <v>39987.315405092595</v>
      </c>
      <c r="M14570" s="9" t="s">
        <v>19</v>
      </c>
      <c r="N14570" s="9" t="s">
        <v>20</v>
      </c>
      <c r="O14570" s="6" t="str">
        <f>HYPERLINK("https://pbs.twimg.com/profile_images/962471262747529216/Uo8lOkRJ_normal.jpg","View")</f>
        <v>View</v>
      </c>
      <c r="P14570" s="7"/>
    </row>
    <row r="14571" spans="1:16">
      <c r="A14571" s="3">
        <v>44334.744988425926</v>
      </c>
      <c r="B14571" s="4" t="str">
        <f>HYPERLINK("https://twitter.com/petrogustavo","@petrogustavo")</f>
        <v>@petrogustavo</v>
      </c>
      <c r="C14571" s="5" t="s">
        <v>16</v>
      </c>
      <c r="D14571" s="5" t="s">
        <v>14030</v>
      </c>
      <c r="E14571" s="6" t="str">
        <f>HYPERLINK("https://twitter.com/petrogustavo/status/1394629538198564865","1394629538198564865")</f>
        <v>1394629538198564865</v>
      </c>
      <c r="F14571" s="7" t="s">
        <v>17</v>
      </c>
      <c r="G14571" s="7">
        <v>4256586</v>
      </c>
      <c r="H14571" s="7">
        <v>2514</v>
      </c>
      <c r="I14571" s="7">
        <v>596</v>
      </c>
      <c r="J14571" s="7">
        <v>850</v>
      </c>
      <c r="K14571" s="7" t="s">
        <v>18</v>
      </c>
      <c r="L14571" s="8">
        <v>39987.315405092595</v>
      </c>
      <c r="M14571" s="9" t="s">
        <v>19</v>
      </c>
      <c r="N14571" s="9" t="s">
        <v>20</v>
      </c>
      <c r="O14571" s="6" t="str">
        <f>HYPERLINK("https://pbs.twimg.com/profile_images/962471262747529216/Uo8lOkRJ_normal.jpg","View")</f>
        <v>View</v>
      </c>
      <c r="P14571" s="7"/>
    </row>
    <row r="14572" spans="1:16">
      <c r="A14572" s="3">
        <v>44334.786446759259</v>
      </c>
      <c r="B14572" s="4" t="str">
        <f>HYPERLINK("https://twitter.com/petrogustavo","@petrogustavo")</f>
        <v>@petrogustavo</v>
      </c>
      <c r="C14572" s="5" t="s">
        <v>16</v>
      </c>
      <c r="D14572" s="5" t="s">
        <v>14031</v>
      </c>
      <c r="E14572" s="6" t="str">
        <f>HYPERLINK("https://twitter.com/petrogustavo/status/1394644560245100554","1394644560245100554")</f>
        <v>1394644560245100554</v>
      </c>
      <c r="F14572" s="7" t="s">
        <v>17</v>
      </c>
      <c r="G14572" s="7">
        <v>4256758</v>
      </c>
      <c r="H14572" s="7">
        <v>2514</v>
      </c>
      <c r="I14572" s="7">
        <v>486</v>
      </c>
      <c r="J14572" s="7">
        <v>791</v>
      </c>
      <c r="K14572" s="7" t="s">
        <v>18</v>
      </c>
      <c r="L14572" s="8">
        <v>39987.315405092595</v>
      </c>
      <c r="M14572" s="9" t="s">
        <v>19</v>
      </c>
      <c r="N14572" s="9" t="s">
        <v>20</v>
      </c>
      <c r="O14572" s="6" t="str">
        <f>HYPERLINK("https://pbs.twimg.com/profile_images/962471262747529216/Uo8lOkRJ_normal.jpg","View")</f>
        <v>View</v>
      </c>
      <c r="P14572" s="7"/>
    </row>
    <row r="14573" spans="1:16">
      <c r="A14573" s="3">
        <v>44334.79011574074</v>
      </c>
      <c r="B14573" s="4" t="str">
        <f>HYPERLINK("https://twitter.com/petrogustavo","@petrogustavo")</f>
        <v>@petrogustavo</v>
      </c>
      <c r="C14573" s="5" t="s">
        <v>16</v>
      </c>
      <c r="D14573" s="5" t="s">
        <v>14032</v>
      </c>
      <c r="E14573" s="6" t="str">
        <f>HYPERLINK("https://twitter.com/petrogustavo/status/1394645893563961350","1394645893563961350")</f>
        <v>1394645893563961350</v>
      </c>
      <c r="F14573" s="7" t="s">
        <v>17</v>
      </c>
      <c r="G14573" s="7">
        <v>4256758</v>
      </c>
      <c r="H14573" s="7">
        <v>2514</v>
      </c>
      <c r="I14573" s="7">
        <v>263</v>
      </c>
      <c r="J14573" s="7">
        <v>397</v>
      </c>
      <c r="K14573" s="7" t="s">
        <v>18</v>
      </c>
      <c r="L14573" s="8">
        <v>39987.315405092595</v>
      </c>
      <c r="M14573" s="9" t="s">
        <v>19</v>
      </c>
      <c r="N14573" s="9" t="s">
        <v>20</v>
      </c>
      <c r="O14573" s="6" t="str">
        <f>HYPERLINK("https://pbs.twimg.com/profile_images/962471262747529216/Uo8lOkRJ_normal.jpg","View")</f>
        <v>View</v>
      </c>
      <c r="P14573" s="7"/>
    </row>
    <row r="14574" spans="1:16">
      <c r="A14574" s="3">
        <v>44334.794606481482</v>
      </c>
      <c r="B14574" s="4" t="str">
        <f>HYPERLINK("https://twitter.com/petrogustavo","@petrogustavo")</f>
        <v>@petrogustavo</v>
      </c>
      <c r="C14574" s="5" t="s">
        <v>16</v>
      </c>
      <c r="D14574" s="5" t="s">
        <v>14033</v>
      </c>
      <c r="E14574" s="6" t="str">
        <f>HYPERLINK("https://twitter.com/petrogustavo/status/1394647517581611010","1394647517581611010")</f>
        <v>1394647517581611010</v>
      </c>
      <c r="F14574" s="7" t="s">
        <v>17</v>
      </c>
      <c r="G14574" s="7">
        <v>4256758</v>
      </c>
      <c r="H14574" s="7">
        <v>2514</v>
      </c>
      <c r="I14574" s="7">
        <v>525</v>
      </c>
      <c r="J14574" s="7">
        <v>1543</v>
      </c>
      <c r="K14574" s="7" t="s">
        <v>18</v>
      </c>
      <c r="L14574" s="8">
        <v>39987.315405092595</v>
      </c>
      <c r="M14574" s="9" t="s">
        <v>19</v>
      </c>
      <c r="N14574" s="9" t="s">
        <v>20</v>
      </c>
      <c r="O14574" s="6" t="str">
        <f>HYPERLINK("https://pbs.twimg.com/profile_images/962471262747529216/Uo8lOkRJ_normal.jpg","View")</f>
        <v>View</v>
      </c>
      <c r="P14574" s="7"/>
    </row>
    <row r="14575" spans="1:16">
      <c r="A14575" s="3">
        <v>44334.815844907411</v>
      </c>
      <c r="B14575" s="4" t="str">
        <f>HYPERLINK("https://twitter.com/petrogustavo","@petrogustavo")</f>
        <v>@petrogustavo</v>
      </c>
      <c r="C14575" s="5" t="s">
        <v>16</v>
      </c>
      <c r="D14575" s="5" t="s">
        <v>14034</v>
      </c>
      <c r="E14575" s="6" t="str">
        <f>HYPERLINK("https://twitter.com/petrogustavo/status/1394655216050610186","1394655216050610186")</f>
        <v>1394655216050610186</v>
      </c>
      <c r="F14575" s="7" t="s">
        <v>17</v>
      </c>
      <c r="G14575" s="7">
        <v>4256803</v>
      </c>
      <c r="H14575" s="7">
        <v>2514</v>
      </c>
      <c r="I14575" s="7">
        <v>203</v>
      </c>
      <c r="J14575" s="7">
        <v>927</v>
      </c>
      <c r="K14575" s="7" t="s">
        <v>18</v>
      </c>
      <c r="L14575" s="8">
        <v>39987.315405092595</v>
      </c>
      <c r="M14575" s="9" t="s">
        <v>19</v>
      </c>
      <c r="N14575" s="9" t="s">
        <v>20</v>
      </c>
      <c r="O14575" s="6" t="str">
        <f>HYPERLINK("https://pbs.twimg.com/profile_images/962471262747529216/Uo8lOkRJ_normal.jpg","View")</f>
        <v>View</v>
      </c>
      <c r="P14575" s="7"/>
    </row>
    <row r="14576" spans="1:16">
      <c r="A14576" s="3">
        <v>44334.815844907411</v>
      </c>
      <c r="B14576" s="4" t="str">
        <f>HYPERLINK("https://twitter.com/petrogustavo","@petrogustavo")</f>
        <v>@petrogustavo</v>
      </c>
      <c r="C14576" s="5" t="s">
        <v>16</v>
      </c>
      <c r="D14576" s="5" t="s">
        <v>14035</v>
      </c>
      <c r="E14576" s="6" t="str">
        <f>HYPERLINK("https://twitter.com/petrogustavo/status/1394655217388511234","1394655217388511234")</f>
        <v>1394655217388511234</v>
      </c>
      <c r="F14576" s="7" t="s">
        <v>17</v>
      </c>
      <c r="G14576" s="7">
        <v>4256803</v>
      </c>
      <c r="H14576" s="7">
        <v>2514</v>
      </c>
      <c r="I14576" s="7">
        <v>184</v>
      </c>
      <c r="J14576" s="7">
        <v>793</v>
      </c>
      <c r="K14576" s="7" t="s">
        <v>18</v>
      </c>
      <c r="L14576" s="8">
        <v>39987.315405092595</v>
      </c>
      <c r="M14576" s="9" t="s">
        <v>19</v>
      </c>
      <c r="N14576" s="9" t="s">
        <v>20</v>
      </c>
      <c r="O14576" s="6" t="str">
        <f>HYPERLINK("https://pbs.twimg.com/profile_images/962471262747529216/Uo8lOkRJ_normal.jpg","View")</f>
        <v>View</v>
      </c>
      <c r="P14576" s="7"/>
    </row>
    <row r="14577" spans="1:16">
      <c r="A14577" s="3">
        <v>44334.851168981477</v>
      </c>
      <c r="B14577" s="4" t="str">
        <f>HYPERLINK("https://twitter.com/petrogustavo","@petrogustavo")</f>
        <v>@petrogustavo</v>
      </c>
      <c r="C14577" s="5" t="s">
        <v>16</v>
      </c>
      <c r="D14577" s="5" t="s">
        <v>14036</v>
      </c>
      <c r="E14577" s="6" t="str">
        <f>HYPERLINK("https://twitter.com/petrogustavo/status/1394668017229905921","1394668017229905921")</f>
        <v>1394668017229905921</v>
      </c>
      <c r="F14577" s="7" t="s">
        <v>17</v>
      </c>
      <c r="G14577" s="7">
        <v>4257051</v>
      </c>
      <c r="H14577" s="7">
        <v>2514</v>
      </c>
      <c r="I14577" s="7">
        <v>153</v>
      </c>
      <c r="J14577" s="7">
        <v>506</v>
      </c>
      <c r="K14577" s="7" t="s">
        <v>18</v>
      </c>
      <c r="L14577" s="8">
        <v>39987.315405092595</v>
      </c>
      <c r="M14577" s="9" t="s">
        <v>19</v>
      </c>
      <c r="N14577" s="9" t="s">
        <v>20</v>
      </c>
      <c r="O14577" s="6" t="str">
        <f>HYPERLINK("https://pbs.twimg.com/profile_images/962471262747529216/Uo8lOkRJ_normal.jpg","View")</f>
        <v>View</v>
      </c>
      <c r="P14577" s="7"/>
    </row>
    <row r="14578" spans="1:16">
      <c r="A14578" s="3">
        <v>44334.86986111111</v>
      </c>
      <c r="B14578" s="4" t="str">
        <f>HYPERLINK("https://twitter.com/petrogustavo","@petrogustavo")</f>
        <v>@petrogustavo</v>
      </c>
      <c r="C14578" s="5" t="s">
        <v>16</v>
      </c>
      <c r="D14578" s="5" t="s">
        <v>14037</v>
      </c>
      <c r="E14578" s="6" t="str">
        <f>HYPERLINK("https://twitter.com/petrogustavo/status/1394674789294477313","1394674789294477313")</f>
        <v>1394674789294477313</v>
      </c>
      <c r="F14578" s="7" t="s">
        <v>17</v>
      </c>
      <c r="G14578" s="7">
        <v>4257184</v>
      </c>
      <c r="H14578" s="7">
        <v>2514</v>
      </c>
      <c r="I14578" s="7">
        <v>161</v>
      </c>
      <c r="J14578" s="7">
        <v>394</v>
      </c>
      <c r="K14578" s="7" t="s">
        <v>18</v>
      </c>
      <c r="L14578" s="8">
        <v>39987.315405092595</v>
      </c>
      <c r="M14578" s="9" t="s">
        <v>19</v>
      </c>
      <c r="N14578" s="9" t="s">
        <v>20</v>
      </c>
      <c r="O14578" s="6" t="str">
        <f>HYPERLINK("https://pbs.twimg.com/profile_images/962471262747529216/Uo8lOkRJ_normal.jpg","View")</f>
        <v>View</v>
      </c>
      <c r="P14578" s="7"/>
    </row>
    <row r="14579" spans="1:16">
      <c r="A14579" s="3">
        <v>44334.885150462964</v>
      </c>
      <c r="B14579" s="4" t="str">
        <f>HYPERLINK("https://twitter.com/petrogustavo","@petrogustavo")</f>
        <v>@petrogustavo</v>
      </c>
      <c r="C14579" s="5" t="s">
        <v>16</v>
      </c>
      <c r="D14579" s="5" t="s">
        <v>14038</v>
      </c>
      <c r="E14579" s="6" t="str">
        <f>HYPERLINK("https://twitter.com/petrogustavo/status/1394680331417100289","1394680331417100289")</f>
        <v>1394680331417100289</v>
      </c>
      <c r="F14579" s="7" t="s">
        <v>17</v>
      </c>
      <c r="G14579" s="7">
        <v>4257184</v>
      </c>
      <c r="H14579" s="7">
        <v>2514</v>
      </c>
      <c r="I14579" s="7">
        <v>83</v>
      </c>
      <c r="J14579" s="7">
        <v>317</v>
      </c>
      <c r="K14579" s="7" t="s">
        <v>18</v>
      </c>
      <c r="L14579" s="8">
        <v>39987.315405092595</v>
      </c>
      <c r="M14579" s="9" t="s">
        <v>19</v>
      </c>
      <c r="N14579" s="9" t="s">
        <v>20</v>
      </c>
      <c r="O14579" s="6" t="str">
        <f>HYPERLINK("https://pbs.twimg.com/profile_images/962471262747529216/Uo8lOkRJ_normal.jpg","View")</f>
        <v>View</v>
      </c>
      <c r="P14579" s="7"/>
    </row>
    <row r="14580" spans="1:16">
      <c r="A14580" s="3">
        <v>44335.106226851851</v>
      </c>
      <c r="B14580" s="4" t="str">
        <f>HYPERLINK("https://twitter.com/petrogustavo","@petrogustavo")</f>
        <v>@petrogustavo</v>
      </c>
      <c r="C14580" s="5" t="s">
        <v>16</v>
      </c>
      <c r="D14580" s="5" t="s">
        <v>14039</v>
      </c>
      <c r="E14580" s="6" t="str">
        <f>HYPERLINK("https://twitter.com/petrogustavo/status/1394760445320380417","1394760445320380417")</f>
        <v>1394760445320380417</v>
      </c>
      <c r="F14580" s="7" t="s">
        <v>17</v>
      </c>
      <c r="G14580" s="7">
        <v>4258732</v>
      </c>
      <c r="H14580" s="7">
        <v>2516</v>
      </c>
      <c r="I14580" s="7">
        <v>691</v>
      </c>
      <c r="J14580" s="7">
        <v>0</v>
      </c>
      <c r="K14580" s="7" t="s">
        <v>18</v>
      </c>
      <c r="L14580" s="8">
        <v>39987.315405092595</v>
      </c>
      <c r="M14580" s="9" t="s">
        <v>19</v>
      </c>
      <c r="N14580" s="9" t="s">
        <v>20</v>
      </c>
      <c r="O14580" s="6" t="str">
        <f>HYPERLINK("https://pbs.twimg.com/profile_images/962471262747529216/Uo8lOkRJ_normal.jpg","View")</f>
        <v>View</v>
      </c>
      <c r="P14580" s="7"/>
    </row>
    <row r="14581" spans="1:16">
      <c r="A14581" s="3">
        <v>44335.106412037036</v>
      </c>
      <c r="B14581" s="4" t="str">
        <f>HYPERLINK("https://twitter.com/petrogustavo","@petrogustavo")</f>
        <v>@petrogustavo</v>
      </c>
      <c r="C14581" s="5" t="s">
        <v>16</v>
      </c>
      <c r="D14581" s="5" t="s">
        <v>14040</v>
      </c>
      <c r="E14581" s="6" t="str">
        <f>HYPERLINK("https://twitter.com/petrogustavo/status/1394760513977032716","1394760513977032716")</f>
        <v>1394760513977032716</v>
      </c>
      <c r="F14581" s="7" t="s">
        <v>17</v>
      </c>
      <c r="G14581" s="7">
        <v>4258732</v>
      </c>
      <c r="H14581" s="7">
        <v>2516</v>
      </c>
      <c r="I14581" s="7">
        <v>104</v>
      </c>
      <c r="J14581" s="7">
        <v>0</v>
      </c>
      <c r="K14581" s="7" t="s">
        <v>18</v>
      </c>
      <c r="L14581" s="8">
        <v>39987.315405092595</v>
      </c>
      <c r="M14581" s="9" t="s">
        <v>19</v>
      </c>
      <c r="N14581" s="9" t="s">
        <v>20</v>
      </c>
      <c r="O14581" s="6" t="str">
        <f>HYPERLINK("https://pbs.twimg.com/profile_images/962471262747529216/Uo8lOkRJ_normal.jpg","View")</f>
        <v>View</v>
      </c>
      <c r="P14581" s="7"/>
    </row>
    <row r="14582" spans="1:16">
      <c r="A14582" s="3">
        <v>44335.128842592589</v>
      </c>
      <c r="B14582" s="4" t="str">
        <f>HYPERLINK("https://twitter.com/petrogustavo","@petrogustavo")</f>
        <v>@petrogustavo</v>
      </c>
      <c r="C14582" s="5" t="s">
        <v>16</v>
      </c>
      <c r="D14582" s="5" t="s">
        <v>14041</v>
      </c>
      <c r="E14582" s="6" t="str">
        <f>HYPERLINK("https://twitter.com/petrogustavo/status/1394768642341015558","1394768642341015558")</f>
        <v>1394768642341015558</v>
      </c>
      <c r="F14582" s="7" t="s">
        <v>17</v>
      </c>
      <c r="G14582" s="7">
        <v>4258852</v>
      </c>
      <c r="H14582" s="7">
        <v>2516</v>
      </c>
      <c r="I14582" s="7">
        <v>400</v>
      </c>
      <c r="J14582" s="7">
        <v>0</v>
      </c>
      <c r="K14582" s="7" t="s">
        <v>18</v>
      </c>
      <c r="L14582" s="8">
        <v>39987.315405092595</v>
      </c>
      <c r="M14582" s="9" t="s">
        <v>19</v>
      </c>
      <c r="N14582" s="9" t="s">
        <v>20</v>
      </c>
      <c r="O14582" s="6" t="str">
        <f>HYPERLINK("https://pbs.twimg.com/profile_images/962471262747529216/Uo8lOkRJ_normal.jpg","View")</f>
        <v>View</v>
      </c>
      <c r="P14582" s="7"/>
    </row>
    <row r="14583" spans="1:16">
      <c r="A14583" s="3">
        <v>44335.129189814819</v>
      </c>
      <c r="B14583" s="4" t="str">
        <f>HYPERLINK("https://twitter.com/petrogustavo","@petrogustavo")</f>
        <v>@petrogustavo</v>
      </c>
      <c r="C14583" s="5" t="s">
        <v>16</v>
      </c>
      <c r="D14583" s="5" t="s">
        <v>14042</v>
      </c>
      <c r="E14583" s="6" t="str">
        <f>HYPERLINK("https://twitter.com/petrogustavo/status/1394768766198861825","1394768766198861825")</f>
        <v>1394768766198861825</v>
      </c>
      <c r="F14583" s="7" t="s">
        <v>17</v>
      </c>
      <c r="G14583" s="7">
        <v>4258852</v>
      </c>
      <c r="H14583" s="7">
        <v>2516</v>
      </c>
      <c r="I14583" s="7">
        <v>922</v>
      </c>
      <c r="J14583" s="7">
        <v>0</v>
      </c>
      <c r="K14583" s="7" t="s">
        <v>18</v>
      </c>
      <c r="L14583" s="8">
        <v>39987.315405092595</v>
      </c>
      <c r="M14583" s="9" t="s">
        <v>19</v>
      </c>
      <c r="N14583" s="9" t="s">
        <v>20</v>
      </c>
      <c r="O14583" s="6" t="str">
        <f>HYPERLINK("https://pbs.twimg.com/profile_images/962471262747529216/Uo8lOkRJ_normal.jpg","View")</f>
        <v>View</v>
      </c>
      <c r="P14583" s="7"/>
    </row>
    <row r="14584" spans="1:16">
      <c r="A14584" s="3">
        <v>44335.132905092592</v>
      </c>
      <c r="B14584" s="4" t="str">
        <f>HYPERLINK("https://twitter.com/petrogustavo","@petrogustavo")</f>
        <v>@petrogustavo</v>
      </c>
      <c r="C14584" s="5" t="s">
        <v>16</v>
      </c>
      <c r="D14584" s="5" t="s">
        <v>14043</v>
      </c>
      <c r="E14584" s="6" t="str">
        <f>HYPERLINK("https://twitter.com/petrogustavo/status/1394770113346347009","1394770113346347009")</f>
        <v>1394770113346347009</v>
      </c>
      <c r="F14584" s="7" t="s">
        <v>17</v>
      </c>
      <c r="G14584" s="7">
        <v>4258852</v>
      </c>
      <c r="H14584" s="7">
        <v>2516</v>
      </c>
      <c r="I14584" s="7">
        <v>416</v>
      </c>
      <c r="J14584" s="7">
        <v>0</v>
      </c>
      <c r="K14584" s="7" t="s">
        <v>18</v>
      </c>
      <c r="L14584" s="8">
        <v>39987.315405092595</v>
      </c>
      <c r="M14584" s="9" t="s">
        <v>19</v>
      </c>
      <c r="N14584" s="9" t="s">
        <v>20</v>
      </c>
      <c r="O14584" s="6" t="str">
        <f>HYPERLINK("https://pbs.twimg.com/profile_images/962471262747529216/Uo8lOkRJ_normal.jpg","View")</f>
        <v>View</v>
      </c>
      <c r="P14584" s="7"/>
    </row>
    <row r="14585" spans="1:16">
      <c r="A14585" s="3">
        <v>44335.144826388889</v>
      </c>
      <c r="B14585" s="4" t="str">
        <f>HYPERLINK("https://twitter.com/petrogustavo","@petrogustavo")</f>
        <v>@petrogustavo</v>
      </c>
      <c r="C14585" s="5" t="s">
        <v>16</v>
      </c>
      <c r="D14585" s="5" t="s">
        <v>14044</v>
      </c>
      <c r="E14585" s="6" t="str">
        <f>HYPERLINK("https://twitter.com/petrogustavo/status/1394774435614367749","1394774435614367749")</f>
        <v>1394774435614367749</v>
      </c>
      <c r="F14585" s="7" t="s">
        <v>17</v>
      </c>
      <c r="G14585" s="7">
        <v>4258856</v>
      </c>
      <c r="H14585" s="7">
        <v>2516</v>
      </c>
      <c r="I14585" s="7">
        <v>984</v>
      </c>
      <c r="J14585" s="7">
        <v>2669</v>
      </c>
      <c r="K14585" s="7" t="s">
        <v>18</v>
      </c>
      <c r="L14585" s="8">
        <v>39987.315405092595</v>
      </c>
      <c r="M14585" s="9" t="s">
        <v>19</v>
      </c>
      <c r="N14585" s="9" t="s">
        <v>20</v>
      </c>
      <c r="O14585" s="6" t="str">
        <f>HYPERLINK("https://pbs.twimg.com/profile_images/962471262747529216/Uo8lOkRJ_normal.jpg","View")</f>
        <v>View</v>
      </c>
      <c r="P14585" s="7"/>
    </row>
    <row r="14586" spans="1:16">
      <c r="A14586" s="3">
        <v>44335.733402777776</v>
      </c>
      <c r="B14586" s="4" t="str">
        <f>HYPERLINK("https://twitter.com/petrogustavo","@petrogustavo")</f>
        <v>@petrogustavo</v>
      </c>
      <c r="C14586" s="5" t="s">
        <v>16</v>
      </c>
      <c r="D14586" s="5" t="s">
        <v>14045</v>
      </c>
      <c r="E14586" s="6" t="str">
        <f>HYPERLINK("https://twitter.com/petrogustavo/status/1394987725791629314","1394987725791629314")</f>
        <v>1394987725791629314</v>
      </c>
      <c r="F14586" s="7" t="s">
        <v>17</v>
      </c>
      <c r="G14586" s="7">
        <v>4260662</v>
      </c>
      <c r="H14586" s="7">
        <v>2518</v>
      </c>
      <c r="I14586" s="7">
        <v>151</v>
      </c>
      <c r="J14586" s="7">
        <v>280</v>
      </c>
      <c r="K14586" s="7" t="s">
        <v>18</v>
      </c>
      <c r="L14586" s="8">
        <v>39987.315405092595</v>
      </c>
      <c r="M14586" s="9" t="s">
        <v>19</v>
      </c>
      <c r="N14586" s="9" t="s">
        <v>20</v>
      </c>
      <c r="O14586" s="6" t="str">
        <f>HYPERLINK("https://pbs.twimg.com/profile_images/962471262747529216/Uo8lOkRJ_normal.jpg","View")</f>
        <v>View</v>
      </c>
      <c r="P14586" s="7"/>
    </row>
    <row r="14587" spans="1:16">
      <c r="A14587" s="3">
        <v>44335.743171296301</v>
      </c>
      <c r="B14587" s="4" t="str">
        <f>HYPERLINK("https://twitter.com/petrogustavo","@petrogustavo")</f>
        <v>@petrogustavo</v>
      </c>
      <c r="C14587" s="5" t="s">
        <v>16</v>
      </c>
      <c r="D14587" s="5" t="s">
        <v>14046</v>
      </c>
      <c r="E14587" s="6" t="str">
        <f>HYPERLINK("https://twitter.com/petrogustavo/status/1394991265754849282","1394991265754849282")</f>
        <v>1394991265754849282</v>
      </c>
      <c r="F14587" s="7" t="s">
        <v>17</v>
      </c>
      <c r="G14587" s="7">
        <v>4260745</v>
      </c>
      <c r="H14587" s="7">
        <v>2518</v>
      </c>
      <c r="I14587" s="7">
        <v>1115</v>
      </c>
      <c r="J14587" s="7">
        <v>0</v>
      </c>
      <c r="K14587" s="7" t="s">
        <v>18</v>
      </c>
      <c r="L14587" s="8">
        <v>39987.315405092595</v>
      </c>
      <c r="M14587" s="9" t="s">
        <v>19</v>
      </c>
      <c r="N14587" s="9" t="s">
        <v>20</v>
      </c>
      <c r="O14587" s="6" t="str">
        <f>HYPERLINK("https://pbs.twimg.com/profile_images/962471262747529216/Uo8lOkRJ_normal.jpg","View")</f>
        <v>View</v>
      </c>
      <c r="P14587" s="7"/>
    </row>
    <row r="14588" spans="1:16">
      <c r="A14588" s="3">
        <v>44335.755208333328</v>
      </c>
      <c r="B14588" s="4" t="str">
        <f>HYPERLINK("https://twitter.com/petrogustavo","@petrogustavo")</f>
        <v>@petrogustavo</v>
      </c>
      <c r="C14588" s="5" t="s">
        <v>16</v>
      </c>
      <c r="D14588" s="5" t="s">
        <v>14047</v>
      </c>
      <c r="E14588" s="6" t="str">
        <f>HYPERLINK("https://twitter.com/petrogustavo/status/1394995630855106567","1394995630855106567")</f>
        <v>1394995630855106567</v>
      </c>
      <c r="F14588" s="7" t="s">
        <v>32</v>
      </c>
      <c r="G14588" s="7">
        <v>4260745</v>
      </c>
      <c r="H14588" s="7">
        <v>2518</v>
      </c>
      <c r="I14588" s="7">
        <v>98</v>
      </c>
      <c r="J14588" s="7">
        <v>268</v>
      </c>
      <c r="K14588" s="7" t="s">
        <v>18</v>
      </c>
      <c r="L14588" s="8">
        <v>39987.315405092595</v>
      </c>
      <c r="M14588" s="9" t="s">
        <v>19</v>
      </c>
      <c r="N14588" s="9" t="s">
        <v>20</v>
      </c>
      <c r="O14588" s="6" t="str">
        <f>HYPERLINK("https://pbs.twimg.com/profile_images/962471262747529216/Uo8lOkRJ_normal.jpg","View")</f>
        <v>View</v>
      </c>
      <c r="P14588" s="7"/>
    </row>
    <row r="14589" spans="1:16">
      <c r="A14589" s="3">
        <v>44335.757627314815</v>
      </c>
      <c r="B14589" s="4" t="str">
        <f>HYPERLINK("https://twitter.com/petrogustavo","@petrogustavo")</f>
        <v>@petrogustavo</v>
      </c>
      <c r="C14589" s="5" t="s">
        <v>16</v>
      </c>
      <c r="D14589" s="5" t="s">
        <v>14048</v>
      </c>
      <c r="E14589" s="6" t="str">
        <f>HYPERLINK("https://twitter.com/petrogustavo/status/1394996505841487878","1394996505841487878")</f>
        <v>1394996505841487878</v>
      </c>
      <c r="F14589" s="7" t="s">
        <v>32</v>
      </c>
      <c r="G14589" s="7">
        <v>4260745</v>
      </c>
      <c r="H14589" s="7">
        <v>2518</v>
      </c>
      <c r="I14589" s="7">
        <v>164</v>
      </c>
      <c r="J14589" s="7">
        <v>358</v>
      </c>
      <c r="K14589" s="7" t="s">
        <v>18</v>
      </c>
      <c r="L14589" s="8">
        <v>39987.315405092595</v>
      </c>
      <c r="M14589" s="9" t="s">
        <v>19</v>
      </c>
      <c r="N14589" s="9" t="s">
        <v>20</v>
      </c>
      <c r="O14589" s="6" t="str">
        <f>HYPERLINK("https://pbs.twimg.com/profile_images/962471262747529216/Uo8lOkRJ_normal.jpg","View")</f>
        <v>View</v>
      </c>
      <c r="P14589" s="7"/>
    </row>
    <row r="14590" spans="1:16">
      <c r="A14590" s="3">
        <v>44335.769178240742</v>
      </c>
      <c r="B14590" s="4" t="str">
        <f>HYPERLINK("https://twitter.com/petrogustavo","@petrogustavo")</f>
        <v>@petrogustavo</v>
      </c>
      <c r="C14590" s="5" t="s">
        <v>16</v>
      </c>
      <c r="D14590" s="5" t="s">
        <v>14049</v>
      </c>
      <c r="E14590" s="6" t="str">
        <f>HYPERLINK("https://twitter.com/petrogustavo/status/1395000693086461962","1395000693086461962")</f>
        <v>1395000693086461962</v>
      </c>
      <c r="F14590" s="7" t="s">
        <v>32</v>
      </c>
      <c r="G14590" s="7">
        <v>4260764</v>
      </c>
      <c r="H14590" s="7">
        <v>2518</v>
      </c>
      <c r="I14590" s="7">
        <v>185</v>
      </c>
      <c r="J14590" s="7">
        <v>611</v>
      </c>
      <c r="K14590" s="7" t="s">
        <v>18</v>
      </c>
      <c r="L14590" s="8">
        <v>39987.315405092595</v>
      </c>
      <c r="M14590" s="9" t="s">
        <v>19</v>
      </c>
      <c r="N14590" s="9" t="s">
        <v>20</v>
      </c>
      <c r="O14590" s="6" t="str">
        <f>HYPERLINK("https://pbs.twimg.com/profile_images/962471262747529216/Uo8lOkRJ_normal.jpg","View")</f>
        <v>View</v>
      </c>
      <c r="P14590" s="7"/>
    </row>
    <row r="14591" spans="1:16">
      <c r="A14591" s="3">
        <v>44335.817523148144</v>
      </c>
      <c r="B14591" s="4" t="str">
        <f>HYPERLINK("https://twitter.com/petrogustavo","@petrogustavo")</f>
        <v>@petrogustavo</v>
      </c>
      <c r="C14591" s="5" t="s">
        <v>16</v>
      </c>
      <c r="D14591" s="5" t="s">
        <v>14050</v>
      </c>
      <c r="E14591" s="6" t="str">
        <f>HYPERLINK("https://twitter.com/petrogustavo/status/1395018212325081093","1395018212325081093")</f>
        <v>1395018212325081093</v>
      </c>
      <c r="F14591" s="7" t="s">
        <v>17</v>
      </c>
      <c r="G14591" s="7">
        <v>4260963</v>
      </c>
      <c r="H14591" s="7">
        <v>2518</v>
      </c>
      <c r="I14591" s="7">
        <v>40</v>
      </c>
      <c r="J14591" s="7">
        <v>0</v>
      </c>
      <c r="K14591" s="7" t="s">
        <v>18</v>
      </c>
      <c r="L14591" s="8">
        <v>39987.315405092595</v>
      </c>
      <c r="M14591" s="9" t="s">
        <v>19</v>
      </c>
      <c r="N14591" s="9" t="s">
        <v>20</v>
      </c>
      <c r="O14591" s="6" t="str">
        <f>HYPERLINK("https://pbs.twimg.com/profile_images/962471262747529216/Uo8lOkRJ_normal.jpg","View")</f>
        <v>View</v>
      </c>
      <c r="P14591" s="7"/>
    </row>
    <row r="14592" spans="1:16">
      <c r="A14592" s="3">
        <v>44335.818831018521</v>
      </c>
      <c r="B14592" s="4" t="str">
        <f>HYPERLINK("https://twitter.com/petrogustavo","@petrogustavo")</f>
        <v>@petrogustavo</v>
      </c>
      <c r="C14592" s="5" t="s">
        <v>16</v>
      </c>
      <c r="D14592" s="5" t="s">
        <v>14051</v>
      </c>
      <c r="E14592" s="6" t="str">
        <f>HYPERLINK("https://twitter.com/petrogustavo/status/1395018686507933696","1395018686507933696")</f>
        <v>1395018686507933696</v>
      </c>
      <c r="F14592" s="7" t="s">
        <v>17</v>
      </c>
      <c r="G14592" s="7">
        <v>4260963</v>
      </c>
      <c r="H14592" s="7">
        <v>2518</v>
      </c>
      <c r="I14592" s="7">
        <v>391</v>
      </c>
      <c r="J14592" s="7">
        <v>1425</v>
      </c>
      <c r="K14592" s="7" t="s">
        <v>18</v>
      </c>
      <c r="L14592" s="8">
        <v>39987.315405092595</v>
      </c>
      <c r="M14592" s="9" t="s">
        <v>19</v>
      </c>
      <c r="N14592" s="9" t="s">
        <v>20</v>
      </c>
      <c r="O14592" s="6" t="str">
        <f>HYPERLINK("https://pbs.twimg.com/profile_images/962471262747529216/Uo8lOkRJ_normal.jpg","View")</f>
        <v>View</v>
      </c>
      <c r="P14592" s="7"/>
    </row>
    <row r="14593" spans="1:16">
      <c r="A14593" s="3">
        <v>44335.873032407406</v>
      </c>
      <c r="B14593" s="4" t="str">
        <f>HYPERLINK("https://twitter.com/petrogustavo","@petrogustavo")</f>
        <v>@petrogustavo</v>
      </c>
      <c r="C14593" s="5" t="s">
        <v>16</v>
      </c>
      <c r="D14593" s="5" t="s">
        <v>14052</v>
      </c>
      <c r="E14593" s="6" t="str">
        <f>HYPERLINK("https://twitter.com/petrogustavo/status/1395038325463994370","1395038325463994370")</f>
        <v>1395038325463994370</v>
      </c>
      <c r="F14593" s="7" t="s">
        <v>17</v>
      </c>
      <c r="G14593" s="7">
        <v>4261180</v>
      </c>
      <c r="H14593" s="7">
        <v>2518</v>
      </c>
      <c r="I14593" s="7">
        <v>1587</v>
      </c>
      <c r="J14593" s="7">
        <v>0</v>
      </c>
      <c r="K14593" s="7" t="s">
        <v>18</v>
      </c>
      <c r="L14593" s="8">
        <v>39987.315405092595</v>
      </c>
      <c r="M14593" s="9" t="s">
        <v>19</v>
      </c>
      <c r="N14593" s="9" t="s">
        <v>20</v>
      </c>
      <c r="O14593" s="6" t="str">
        <f>HYPERLINK("https://pbs.twimg.com/profile_images/962471262747529216/Uo8lOkRJ_normal.jpg","View")</f>
        <v>View</v>
      </c>
      <c r="P14593" s="7"/>
    </row>
    <row r="14594" spans="1:16">
      <c r="A14594" s="3">
        <v>44335.875520833331</v>
      </c>
      <c r="B14594" s="4" t="str">
        <f>HYPERLINK("https://twitter.com/petrogustavo","@petrogustavo")</f>
        <v>@petrogustavo</v>
      </c>
      <c r="C14594" s="5" t="s">
        <v>16</v>
      </c>
      <c r="D14594" s="5" t="s">
        <v>14053</v>
      </c>
      <c r="E14594" s="6" t="str">
        <f>HYPERLINK("https://twitter.com/petrogustavo/status/1395039230301179904","1395039230301179904")</f>
        <v>1395039230301179904</v>
      </c>
      <c r="F14594" s="7" t="s">
        <v>17</v>
      </c>
      <c r="G14594" s="7">
        <v>4261180</v>
      </c>
      <c r="H14594" s="7">
        <v>2518</v>
      </c>
      <c r="I14594" s="7">
        <v>468</v>
      </c>
      <c r="J14594" s="7">
        <v>1393</v>
      </c>
      <c r="K14594" s="7" t="s">
        <v>18</v>
      </c>
      <c r="L14594" s="8">
        <v>39987.315405092595</v>
      </c>
      <c r="M14594" s="9" t="s">
        <v>19</v>
      </c>
      <c r="N14594" s="9" t="s">
        <v>20</v>
      </c>
      <c r="O14594" s="6" t="str">
        <f>HYPERLINK("https://pbs.twimg.com/profile_images/962471262747529216/Uo8lOkRJ_normal.jpg","View")</f>
        <v>View</v>
      </c>
      <c r="P14594" s="7"/>
    </row>
    <row r="14595" spans="1:16">
      <c r="A14595" s="3">
        <v>44335.946099537032</v>
      </c>
      <c r="B14595" s="4" t="str">
        <f>HYPERLINK("https://twitter.com/petrogustavo","@petrogustavo")</f>
        <v>@petrogustavo</v>
      </c>
      <c r="C14595" s="5" t="s">
        <v>16</v>
      </c>
      <c r="D14595" s="5" t="s">
        <v>14054</v>
      </c>
      <c r="E14595" s="6" t="str">
        <f>HYPERLINK("https://twitter.com/petrogustavo/status/1395064806768627712","1395064806768627712")</f>
        <v>1395064806768627712</v>
      </c>
      <c r="F14595" s="7" t="s">
        <v>17</v>
      </c>
      <c r="G14595" s="7">
        <v>4261288</v>
      </c>
      <c r="H14595" s="7">
        <v>2518</v>
      </c>
      <c r="I14595" s="7">
        <v>334</v>
      </c>
      <c r="J14595" s="7">
        <v>1418</v>
      </c>
      <c r="K14595" s="7" t="s">
        <v>18</v>
      </c>
      <c r="L14595" s="8">
        <v>39987.315405092595</v>
      </c>
      <c r="M14595" s="9" t="s">
        <v>19</v>
      </c>
      <c r="N14595" s="9" t="s">
        <v>20</v>
      </c>
      <c r="O14595" s="6" t="str">
        <f>HYPERLINK("https://pbs.twimg.com/profile_images/962471262747529216/Uo8lOkRJ_normal.jpg","View")</f>
        <v>View</v>
      </c>
      <c r="P14595" s="7"/>
    </row>
    <row r="14596" spans="1:16">
      <c r="A14596" s="3">
        <v>44335.975243055553</v>
      </c>
      <c r="B14596" s="4" t="str">
        <f>HYPERLINK("https://twitter.com/petrogustavo","@petrogustavo")</f>
        <v>@petrogustavo</v>
      </c>
      <c r="C14596" s="5" t="s">
        <v>16</v>
      </c>
      <c r="D14596" s="5" t="s">
        <v>14055</v>
      </c>
      <c r="E14596" s="6" t="str">
        <f>HYPERLINK("https://twitter.com/petrogustavo/status/1395075367082266625","1395075367082266625")</f>
        <v>1395075367082266625</v>
      </c>
      <c r="F14596" s="7" t="s">
        <v>17</v>
      </c>
      <c r="G14596" s="7">
        <v>4261469</v>
      </c>
      <c r="H14596" s="7">
        <v>2518</v>
      </c>
      <c r="I14596" s="7">
        <v>125</v>
      </c>
      <c r="J14596" s="7">
        <v>0</v>
      </c>
      <c r="K14596" s="7" t="s">
        <v>18</v>
      </c>
      <c r="L14596" s="8">
        <v>39987.315405092595</v>
      </c>
      <c r="M14596" s="9" t="s">
        <v>19</v>
      </c>
      <c r="N14596" s="9" t="s">
        <v>20</v>
      </c>
      <c r="O14596" s="6" t="str">
        <f>HYPERLINK("https://pbs.twimg.com/profile_images/962471262747529216/Uo8lOkRJ_normal.jpg","View")</f>
        <v>View</v>
      </c>
      <c r="P14596" s="7"/>
    </row>
    <row r="14597" spans="1:16">
      <c r="A14597" s="3">
        <v>44335.975648148145</v>
      </c>
      <c r="B14597" s="4" t="str">
        <f>HYPERLINK("https://twitter.com/petrogustavo","@petrogustavo")</f>
        <v>@petrogustavo</v>
      </c>
      <c r="C14597" s="5" t="s">
        <v>16</v>
      </c>
      <c r="D14597" s="5" t="s">
        <v>14056</v>
      </c>
      <c r="E14597" s="6" t="str">
        <f>HYPERLINK("https://twitter.com/petrogustavo/status/1395075514495389696","1395075514495389696")</f>
        <v>1395075514495389696</v>
      </c>
      <c r="F14597" s="7" t="s">
        <v>17</v>
      </c>
      <c r="G14597" s="7">
        <v>4261469</v>
      </c>
      <c r="H14597" s="7">
        <v>2518</v>
      </c>
      <c r="I14597" s="7">
        <v>589</v>
      </c>
      <c r="J14597" s="7">
        <v>0</v>
      </c>
      <c r="K14597" s="7" t="s">
        <v>18</v>
      </c>
      <c r="L14597" s="8">
        <v>39987.315405092595</v>
      </c>
      <c r="M14597" s="9" t="s">
        <v>19</v>
      </c>
      <c r="N14597" s="9" t="s">
        <v>20</v>
      </c>
      <c r="O14597" s="6" t="str">
        <f>HYPERLINK("https://pbs.twimg.com/profile_images/962471262747529216/Uo8lOkRJ_normal.jpg","View")</f>
        <v>View</v>
      </c>
      <c r="P14597" s="7"/>
    </row>
    <row r="14598" spans="1:16">
      <c r="A14598" s="3">
        <v>44336.000405092593</v>
      </c>
      <c r="B14598" s="4" t="str">
        <f>HYPERLINK("https://twitter.com/petrogustavo","@petrogustavo")</f>
        <v>@petrogustavo</v>
      </c>
      <c r="C14598" s="5" t="s">
        <v>16</v>
      </c>
      <c r="D14598" s="5" t="s">
        <v>14057</v>
      </c>
      <c r="E14598" s="6" t="str">
        <f>HYPERLINK("https://twitter.com/petrogustavo/status/1395084485071343618","1395084485071343618")</f>
        <v>1395084485071343618</v>
      </c>
      <c r="F14598" s="7" t="s">
        <v>17</v>
      </c>
      <c r="G14598" s="7">
        <v>4261559</v>
      </c>
      <c r="H14598" s="7">
        <v>2518</v>
      </c>
      <c r="I14598" s="7">
        <v>988</v>
      </c>
      <c r="J14598" s="7">
        <v>4705</v>
      </c>
      <c r="K14598" s="7" t="s">
        <v>18</v>
      </c>
      <c r="L14598" s="8">
        <v>39987.315405092595</v>
      </c>
      <c r="M14598" s="9" t="s">
        <v>19</v>
      </c>
      <c r="N14598" s="9" t="s">
        <v>20</v>
      </c>
      <c r="O14598" s="6" t="str">
        <f>HYPERLINK("https://pbs.twimg.com/profile_images/962471262747529216/Uo8lOkRJ_normal.jpg","View")</f>
        <v>View</v>
      </c>
      <c r="P14598" s="7"/>
    </row>
    <row r="14599" spans="1:16">
      <c r="A14599" s="3">
        <v>44336.001157407409</v>
      </c>
      <c r="B14599" s="4" t="str">
        <f>HYPERLINK("https://twitter.com/petrogustavo","@petrogustavo")</f>
        <v>@petrogustavo</v>
      </c>
      <c r="C14599" s="5" t="s">
        <v>16</v>
      </c>
      <c r="D14599" s="5" t="s">
        <v>14058</v>
      </c>
      <c r="E14599" s="6" t="str">
        <f>HYPERLINK("https://twitter.com/petrogustavo/status/1395084758472957952","1395084758472957952")</f>
        <v>1395084758472957952</v>
      </c>
      <c r="F14599" s="7" t="s">
        <v>17</v>
      </c>
      <c r="G14599" s="7">
        <v>4261559</v>
      </c>
      <c r="H14599" s="7">
        <v>2518</v>
      </c>
      <c r="I14599" s="7">
        <v>148</v>
      </c>
      <c r="J14599" s="7">
        <v>786</v>
      </c>
      <c r="K14599" s="7" t="s">
        <v>18</v>
      </c>
      <c r="L14599" s="8">
        <v>39987.315405092595</v>
      </c>
      <c r="M14599" s="9" t="s">
        <v>19</v>
      </c>
      <c r="N14599" s="9" t="s">
        <v>20</v>
      </c>
      <c r="O14599" s="6" t="str">
        <f>HYPERLINK("https://pbs.twimg.com/profile_images/962471262747529216/Uo8lOkRJ_normal.jpg","View")</f>
        <v>View</v>
      </c>
      <c r="P14599" s="7"/>
    </row>
    <row r="14600" spans="1:16">
      <c r="A14600" s="3">
        <v>44336.00172453704</v>
      </c>
      <c r="B14600" s="4" t="str">
        <f>HYPERLINK("https://twitter.com/petrogustavo","@petrogustavo")</f>
        <v>@petrogustavo</v>
      </c>
      <c r="C14600" s="5" t="s">
        <v>16</v>
      </c>
      <c r="D14600" s="5" t="s">
        <v>14059</v>
      </c>
      <c r="E14600" s="6" t="str">
        <f>HYPERLINK("https://twitter.com/petrogustavo/status/1395084962857095172","1395084962857095172")</f>
        <v>1395084962857095172</v>
      </c>
      <c r="F14600" s="7" t="s">
        <v>17</v>
      </c>
      <c r="G14600" s="7">
        <v>4261559</v>
      </c>
      <c r="H14600" s="7">
        <v>2518</v>
      </c>
      <c r="I14600" s="7">
        <v>372</v>
      </c>
      <c r="J14600" s="7">
        <v>1910</v>
      </c>
      <c r="K14600" s="7" t="s">
        <v>18</v>
      </c>
      <c r="L14600" s="8">
        <v>39987.315405092595</v>
      </c>
      <c r="M14600" s="9" t="s">
        <v>19</v>
      </c>
      <c r="N14600" s="9" t="s">
        <v>20</v>
      </c>
      <c r="O14600" s="6" t="str">
        <f>HYPERLINK("https://pbs.twimg.com/profile_images/962471262747529216/Uo8lOkRJ_normal.jpg","View")</f>
        <v>View</v>
      </c>
      <c r="P14600" s="7"/>
    </row>
    <row r="14601" spans="1:16">
      <c r="A14601" s="3">
        <v>44336.017557870371</v>
      </c>
      <c r="B14601" s="4" t="str">
        <f>HYPERLINK("https://twitter.com/petrogustavo","@petrogustavo")</f>
        <v>@petrogustavo</v>
      </c>
      <c r="C14601" s="5" t="s">
        <v>16</v>
      </c>
      <c r="D14601" s="5" t="s">
        <v>14060</v>
      </c>
      <c r="E14601" s="6" t="str">
        <f>HYPERLINK("https://twitter.com/petrogustavo/status/1395090701696782340","1395090701696782340")</f>
        <v>1395090701696782340</v>
      </c>
      <c r="F14601" s="7" t="s">
        <v>17</v>
      </c>
      <c r="G14601" s="7">
        <v>4261648</v>
      </c>
      <c r="H14601" s="7">
        <v>2518</v>
      </c>
      <c r="I14601" s="7">
        <v>130</v>
      </c>
      <c r="J14601" s="7">
        <v>0</v>
      </c>
      <c r="K14601" s="7" t="s">
        <v>18</v>
      </c>
      <c r="L14601" s="8">
        <v>39987.315405092595</v>
      </c>
      <c r="M14601" s="9" t="s">
        <v>19</v>
      </c>
      <c r="N14601" s="9" t="s">
        <v>20</v>
      </c>
      <c r="O14601" s="6" t="str">
        <f>HYPERLINK("https://pbs.twimg.com/profile_images/962471262747529216/Uo8lOkRJ_normal.jpg","View")</f>
        <v>View</v>
      </c>
      <c r="P14601" s="7"/>
    </row>
    <row r="14602" spans="1:16">
      <c r="A14602" s="3">
        <v>44336.019212962958</v>
      </c>
      <c r="B14602" s="4" t="str">
        <f>HYPERLINK("https://twitter.com/petrogustavo","@petrogustavo")</f>
        <v>@petrogustavo</v>
      </c>
      <c r="C14602" s="5" t="s">
        <v>16</v>
      </c>
      <c r="D14602" s="5" t="s">
        <v>14061</v>
      </c>
      <c r="E14602" s="6" t="str">
        <f>HYPERLINK("https://twitter.com/petrogustavo/status/1395091301113212935","1395091301113212935")</f>
        <v>1395091301113212935</v>
      </c>
      <c r="F14602" s="7" t="s">
        <v>17</v>
      </c>
      <c r="G14602" s="7">
        <v>4261648</v>
      </c>
      <c r="H14602" s="7">
        <v>2518</v>
      </c>
      <c r="I14602" s="7">
        <v>750</v>
      </c>
      <c r="J14602" s="7">
        <v>0</v>
      </c>
      <c r="K14602" s="7" t="s">
        <v>18</v>
      </c>
      <c r="L14602" s="8">
        <v>39987.315405092595</v>
      </c>
      <c r="M14602" s="9" t="s">
        <v>19</v>
      </c>
      <c r="N14602" s="9" t="s">
        <v>20</v>
      </c>
      <c r="O14602" s="6" t="str">
        <f>HYPERLINK("https://pbs.twimg.com/profile_images/962471262747529216/Uo8lOkRJ_normal.jpg","View")</f>
        <v>View</v>
      </c>
      <c r="P14602" s="7"/>
    </row>
    <row r="14603" spans="1:16">
      <c r="A14603" s="3">
        <v>44336.138275462959</v>
      </c>
      <c r="B14603" s="4" t="str">
        <f>HYPERLINK("https://twitter.com/petrogustavo","@petrogustavo")</f>
        <v>@petrogustavo</v>
      </c>
      <c r="C14603" s="5" t="s">
        <v>16</v>
      </c>
      <c r="D14603" s="5" t="s">
        <v>14062</v>
      </c>
      <c r="E14603" s="6" t="str">
        <f>HYPERLINK("https://twitter.com/petrogustavo/status/1395134449160015873","1395134449160015873")</f>
        <v>1395134449160015873</v>
      </c>
      <c r="F14603" s="7" t="s">
        <v>17</v>
      </c>
      <c r="G14603" s="7">
        <v>4262128</v>
      </c>
      <c r="H14603" s="7">
        <v>2518</v>
      </c>
      <c r="I14603" s="7">
        <v>112</v>
      </c>
      <c r="J14603" s="7">
        <v>0</v>
      </c>
      <c r="K14603" s="7" t="s">
        <v>18</v>
      </c>
      <c r="L14603" s="8">
        <v>39987.315405092595</v>
      </c>
      <c r="M14603" s="9" t="s">
        <v>19</v>
      </c>
      <c r="N14603" s="9" t="s">
        <v>20</v>
      </c>
      <c r="O14603" s="6" t="str">
        <f>HYPERLINK("https://pbs.twimg.com/profile_images/962471262747529216/Uo8lOkRJ_normal.jpg","View")</f>
        <v>View</v>
      </c>
      <c r="P14603" s="7"/>
    </row>
    <row r="14604" spans="1:16">
      <c r="A14604" s="3">
        <v>44336.138680555552</v>
      </c>
      <c r="B14604" s="4" t="str">
        <f>HYPERLINK("https://twitter.com/petrogustavo","@petrogustavo")</f>
        <v>@petrogustavo</v>
      </c>
      <c r="C14604" s="5" t="s">
        <v>16</v>
      </c>
      <c r="D14604" s="5" t="s">
        <v>14063</v>
      </c>
      <c r="E14604" s="6" t="str">
        <f>HYPERLINK("https://twitter.com/petrogustavo/status/1395134593402015744","1395134593402015744")</f>
        <v>1395134593402015744</v>
      </c>
      <c r="F14604" s="7" t="s">
        <v>17</v>
      </c>
      <c r="G14604" s="7">
        <v>4262128</v>
      </c>
      <c r="H14604" s="7">
        <v>2518</v>
      </c>
      <c r="I14604" s="7">
        <v>357</v>
      </c>
      <c r="J14604" s="7">
        <v>0</v>
      </c>
      <c r="K14604" s="7" t="s">
        <v>18</v>
      </c>
      <c r="L14604" s="8">
        <v>39987.315405092595</v>
      </c>
      <c r="M14604" s="9" t="s">
        <v>19</v>
      </c>
      <c r="N14604" s="9" t="s">
        <v>20</v>
      </c>
      <c r="O14604" s="6" t="str">
        <f>HYPERLINK("https://pbs.twimg.com/profile_images/962471262747529216/Uo8lOkRJ_normal.jpg","View")</f>
        <v>View</v>
      </c>
      <c r="P14604" s="7"/>
    </row>
    <row r="14605" spans="1:16">
      <c r="A14605" s="3">
        <v>44336.194467592592</v>
      </c>
      <c r="B14605" s="4" t="str">
        <f>HYPERLINK("https://twitter.com/petrogustavo","@petrogustavo")</f>
        <v>@petrogustavo</v>
      </c>
      <c r="C14605" s="5" t="s">
        <v>16</v>
      </c>
      <c r="D14605" s="5" t="s">
        <v>14064</v>
      </c>
      <c r="E14605" s="6" t="str">
        <f>HYPERLINK("https://twitter.com/petrogustavo/status/1395154813025914880","1395154813025914880")</f>
        <v>1395154813025914880</v>
      </c>
      <c r="F14605" s="7" t="s">
        <v>17</v>
      </c>
      <c r="G14605" s="7">
        <v>4262232</v>
      </c>
      <c r="H14605" s="7">
        <v>2518</v>
      </c>
      <c r="I14605" s="7">
        <v>292</v>
      </c>
      <c r="J14605" s="7">
        <v>679</v>
      </c>
      <c r="K14605" s="7" t="s">
        <v>18</v>
      </c>
      <c r="L14605" s="8">
        <v>39987.315405092595</v>
      </c>
      <c r="M14605" s="9" t="s">
        <v>19</v>
      </c>
      <c r="N14605" s="9" t="s">
        <v>20</v>
      </c>
      <c r="O14605" s="6" t="str">
        <f>HYPERLINK("https://pbs.twimg.com/profile_images/962471262747529216/Uo8lOkRJ_normal.jpg","View")</f>
        <v>View</v>
      </c>
      <c r="P14605" s="7"/>
    </row>
    <row r="14606" spans="1:16">
      <c r="A14606" s="3">
        <v>44336.699247685188</v>
      </c>
      <c r="B14606" s="4" t="str">
        <f>HYPERLINK("https://twitter.com/petrogustavo","@petrogustavo")</f>
        <v>@petrogustavo</v>
      </c>
      <c r="C14606" s="5" t="s">
        <v>16</v>
      </c>
      <c r="D14606" s="5" t="s">
        <v>14065</v>
      </c>
      <c r="E14606" s="6" t="str">
        <f>HYPERLINK("https://twitter.com/petrogustavo/status/1395337736148619266","1395337736148619266")</f>
        <v>1395337736148619266</v>
      </c>
      <c r="F14606" s="7" t="s">
        <v>17</v>
      </c>
      <c r="G14606" s="7">
        <v>4263286</v>
      </c>
      <c r="H14606" s="7">
        <v>2518</v>
      </c>
      <c r="I14606" s="7">
        <v>3</v>
      </c>
      <c r="J14606" s="7">
        <v>5</v>
      </c>
      <c r="K14606" s="7" t="s">
        <v>18</v>
      </c>
      <c r="L14606" s="8">
        <v>39987.315405092595</v>
      </c>
      <c r="M14606" s="9" t="s">
        <v>19</v>
      </c>
      <c r="N14606" s="9" t="s">
        <v>20</v>
      </c>
      <c r="O14606" s="6" t="str">
        <f>HYPERLINK("https://pbs.twimg.com/profile_images/962471262747529216/Uo8lOkRJ_normal.jpg","View")</f>
        <v>View</v>
      </c>
      <c r="P14606" s="7"/>
    </row>
    <row r="14607" spans="1:16">
      <c r="A14607" s="3">
        <v>44336.702060185184</v>
      </c>
      <c r="B14607" s="4" t="str">
        <f>HYPERLINK("https://twitter.com/petrogustavo","@petrogustavo")</f>
        <v>@petrogustavo</v>
      </c>
      <c r="C14607" s="5" t="s">
        <v>16</v>
      </c>
      <c r="D14607" s="5" t="s">
        <v>14066</v>
      </c>
      <c r="E14607" s="6" t="str">
        <f>HYPERLINK("https://twitter.com/petrogustavo/status/1395338755637133315","1395338755637133315")</f>
        <v>1395338755637133315</v>
      </c>
      <c r="F14607" s="7" t="s">
        <v>17</v>
      </c>
      <c r="G14607" s="7">
        <v>4263333</v>
      </c>
      <c r="H14607" s="7">
        <v>2518</v>
      </c>
      <c r="I14607" s="7">
        <v>201</v>
      </c>
      <c r="J14607" s="7">
        <v>586</v>
      </c>
      <c r="K14607" s="7" t="s">
        <v>18</v>
      </c>
      <c r="L14607" s="8">
        <v>39987.315405092595</v>
      </c>
      <c r="M14607" s="9" t="s">
        <v>19</v>
      </c>
      <c r="N14607" s="9" t="s">
        <v>20</v>
      </c>
      <c r="O14607" s="6" t="str">
        <f>HYPERLINK("https://pbs.twimg.com/profile_images/962471262747529216/Uo8lOkRJ_normal.jpg","View")</f>
        <v>View</v>
      </c>
      <c r="P14607" s="7"/>
    </row>
    <row r="14608" spans="1:16">
      <c r="A14608" s="3">
        <v>44336.733275462961</v>
      </c>
      <c r="B14608" s="4" t="str">
        <f>HYPERLINK("https://twitter.com/petrogustavo","@petrogustavo")</f>
        <v>@petrogustavo</v>
      </c>
      <c r="C14608" s="5" t="s">
        <v>16</v>
      </c>
      <c r="D14608" s="5" t="s">
        <v>14067</v>
      </c>
      <c r="E14608" s="6" t="str">
        <f>HYPERLINK("https://twitter.com/petrogustavo/status/1395350070611128323","1395350070611128323")</f>
        <v>1395350070611128323</v>
      </c>
      <c r="F14608" s="7" t="s">
        <v>17</v>
      </c>
      <c r="G14608" s="7">
        <v>4263379</v>
      </c>
      <c r="H14608" s="7">
        <v>2518</v>
      </c>
      <c r="I14608" s="7">
        <v>146</v>
      </c>
      <c r="J14608" s="7">
        <v>494</v>
      </c>
      <c r="K14608" s="7" t="s">
        <v>18</v>
      </c>
      <c r="L14608" s="8">
        <v>39987.315405092595</v>
      </c>
      <c r="M14608" s="9" t="s">
        <v>19</v>
      </c>
      <c r="N14608" s="9" t="s">
        <v>20</v>
      </c>
      <c r="O14608" s="6" t="str">
        <f>HYPERLINK("https://pbs.twimg.com/profile_images/962471262747529216/Uo8lOkRJ_normal.jpg","View")</f>
        <v>View</v>
      </c>
      <c r="P14608" s="7"/>
    </row>
    <row r="14609" spans="1:16">
      <c r="A14609" s="3">
        <v>44336.770937499998</v>
      </c>
      <c r="B14609" s="4" t="str">
        <f>HYPERLINK("https://twitter.com/petrogustavo","@petrogustavo")</f>
        <v>@petrogustavo</v>
      </c>
      <c r="C14609" s="5" t="s">
        <v>16</v>
      </c>
      <c r="D14609" s="5" t="s">
        <v>14068</v>
      </c>
      <c r="E14609" s="6" t="str">
        <f>HYPERLINK("https://twitter.com/petrogustavo/status/1395363719413129216","1395363719413129216")</f>
        <v>1395363719413129216</v>
      </c>
      <c r="F14609" s="7" t="s">
        <v>17</v>
      </c>
      <c r="G14609" s="7">
        <v>4263507</v>
      </c>
      <c r="H14609" s="7">
        <v>2518</v>
      </c>
      <c r="I14609" s="7">
        <v>694</v>
      </c>
      <c r="J14609" s="7">
        <v>0</v>
      </c>
      <c r="K14609" s="7" t="s">
        <v>18</v>
      </c>
      <c r="L14609" s="8">
        <v>39987.315405092595</v>
      </c>
      <c r="M14609" s="9" t="s">
        <v>19</v>
      </c>
      <c r="N14609" s="9" t="s">
        <v>20</v>
      </c>
      <c r="O14609" s="6" t="str">
        <f>HYPERLINK("https://pbs.twimg.com/profile_images/962471262747529216/Uo8lOkRJ_normal.jpg","View")</f>
        <v>View</v>
      </c>
      <c r="P14609" s="7"/>
    </row>
    <row r="14610" spans="1:16">
      <c r="A14610" s="3">
        <v>44336.950219907405</v>
      </c>
      <c r="B14610" s="4" t="str">
        <f>HYPERLINK("https://twitter.com/petrogustavo","@petrogustavo")</f>
        <v>@petrogustavo</v>
      </c>
      <c r="C14610" s="5" t="s">
        <v>16</v>
      </c>
      <c r="D14610" s="5" t="s">
        <v>14069</v>
      </c>
      <c r="E14610" s="6" t="str">
        <f>HYPERLINK("https://twitter.com/petrogustavo/status/1395428685281386499","1395428685281386499")</f>
        <v>1395428685281386499</v>
      </c>
      <c r="F14610" s="7" t="s">
        <v>17</v>
      </c>
      <c r="G14610" s="7">
        <v>4263794</v>
      </c>
      <c r="H14610" s="7">
        <v>2517</v>
      </c>
      <c r="I14610" s="7">
        <v>326</v>
      </c>
      <c r="J14610" s="7">
        <v>938</v>
      </c>
      <c r="K14610" s="7" t="s">
        <v>18</v>
      </c>
      <c r="L14610" s="8">
        <v>39987.315405092595</v>
      </c>
      <c r="M14610" s="9" t="s">
        <v>19</v>
      </c>
      <c r="N14610" s="9" t="s">
        <v>20</v>
      </c>
      <c r="O14610" s="6" t="str">
        <f>HYPERLINK("https://pbs.twimg.com/profile_images/962471262747529216/Uo8lOkRJ_normal.jpg","View")</f>
        <v>View</v>
      </c>
      <c r="P14610" s="7"/>
    </row>
    <row r="14611" spans="1:16">
      <c r="A14611" s="3">
        <v>44336.952222222222</v>
      </c>
      <c r="B14611" s="4" t="str">
        <f>HYPERLINK("https://twitter.com/petrogustavo","@petrogustavo")</f>
        <v>@petrogustavo</v>
      </c>
      <c r="C14611" s="5" t="s">
        <v>16</v>
      </c>
      <c r="D14611" s="5" t="s">
        <v>14070</v>
      </c>
      <c r="E14611" s="6" t="str">
        <f>HYPERLINK("https://twitter.com/petrogustavo/status/1395429414788378626","1395429414788378626")</f>
        <v>1395429414788378626</v>
      </c>
      <c r="F14611" s="7" t="s">
        <v>17</v>
      </c>
      <c r="G14611" s="7">
        <v>4263794</v>
      </c>
      <c r="H14611" s="7">
        <v>2517</v>
      </c>
      <c r="I14611" s="7">
        <v>92</v>
      </c>
      <c r="J14611" s="7">
        <v>0</v>
      </c>
      <c r="K14611" s="7" t="s">
        <v>18</v>
      </c>
      <c r="L14611" s="8">
        <v>39987.315405092595</v>
      </c>
      <c r="M14611" s="9" t="s">
        <v>19</v>
      </c>
      <c r="N14611" s="9" t="s">
        <v>20</v>
      </c>
      <c r="O14611" s="6" t="str">
        <f>HYPERLINK("https://pbs.twimg.com/profile_images/962471262747529216/Uo8lOkRJ_normal.jpg","View")</f>
        <v>View</v>
      </c>
      <c r="P14611" s="7"/>
    </row>
    <row r="14612" spans="1:16">
      <c r="A14612" s="3">
        <v>44336.955046296294</v>
      </c>
      <c r="B14612" s="4" t="str">
        <f>HYPERLINK("https://twitter.com/petrogustavo","@petrogustavo")</f>
        <v>@petrogustavo</v>
      </c>
      <c r="C14612" s="5" t="s">
        <v>16</v>
      </c>
      <c r="D14612" s="5" t="s">
        <v>14071</v>
      </c>
      <c r="E14612" s="6" t="str">
        <f>HYPERLINK("https://twitter.com/petrogustavo/status/1395430436285845508","1395430436285845508")</f>
        <v>1395430436285845508</v>
      </c>
      <c r="F14612" s="7" t="s">
        <v>17</v>
      </c>
      <c r="G14612" s="7">
        <v>4263794</v>
      </c>
      <c r="H14612" s="7">
        <v>2517</v>
      </c>
      <c r="I14612" s="7">
        <v>502</v>
      </c>
      <c r="J14612" s="7">
        <v>1492</v>
      </c>
      <c r="K14612" s="7" t="s">
        <v>18</v>
      </c>
      <c r="L14612" s="8">
        <v>39987.315405092595</v>
      </c>
      <c r="M14612" s="9" t="s">
        <v>19</v>
      </c>
      <c r="N14612" s="9" t="s">
        <v>20</v>
      </c>
      <c r="O14612" s="6" t="str">
        <f>HYPERLINK("https://pbs.twimg.com/profile_images/962471262747529216/Uo8lOkRJ_normal.jpg","View")</f>
        <v>View</v>
      </c>
      <c r="P14612" s="7"/>
    </row>
    <row r="14613" spans="1:16">
      <c r="A14613" s="3">
        <v>44336.974317129629</v>
      </c>
      <c r="B14613" s="4" t="str">
        <f>HYPERLINK("https://twitter.com/petrogustavo","@petrogustavo")</f>
        <v>@petrogustavo</v>
      </c>
      <c r="C14613" s="5" t="s">
        <v>16</v>
      </c>
      <c r="D14613" s="5" t="s">
        <v>14072</v>
      </c>
      <c r="E14613" s="6" t="str">
        <f>HYPERLINK("https://twitter.com/petrogustavo/status/1395437421211308033","1395437421211308033")</f>
        <v>1395437421211308033</v>
      </c>
      <c r="F14613" s="7" t="s">
        <v>17</v>
      </c>
      <c r="G14613" s="7">
        <v>4263863</v>
      </c>
      <c r="H14613" s="7">
        <v>2517</v>
      </c>
      <c r="I14613" s="7">
        <v>178</v>
      </c>
      <c r="J14613" s="7">
        <v>718</v>
      </c>
      <c r="K14613" s="7" t="s">
        <v>18</v>
      </c>
      <c r="L14613" s="8">
        <v>39987.315405092595</v>
      </c>
      <c r="M14613" s="9" t="s">
        <v>19</v>
      </c>
      <c r="N14613" s="9" t="s">
        <v>20</v>
      </c>
      <c r="O14613" s="6" t="str">
        <f>HYPERLINK("https://pbs.twimg.com/profile_images/962471262747529216/Uo8lOkRJ_normal.jpg","View")</f>
        <v>View</v>
      </c>
      <c r="P14613" s="7"/>
    </row>
    <row r="14614" spans="1:16">
      <c r="A14614" s="3">
        <v>44336.979259259257</v>
      </c>
      <c r="B14614" s="4" t="str">
        <f>HYPERLINK("https://twitter.com/petrogustavo","@petrogustavo")</f>
        <v>@petrogustavo</v>
      </c>
      <c r="C14614" s="5" t="s">
        <v>16</v>
      </c>
      <c r="D14614" s="5" t="s">
        <v>14073</v>
      </c>
      <c r="E14614" s="6" t="str">
        <f>HYPERLINK("https://twitter.com/petrogustavo/status/1395439209318686721","1395439209318686721")</f>
        <v>1395439209318686721</v>
      </c>
      <c r="F14614" s="7" t="s">
        <v>17</v>
      </c>
      <c r="G14614" s="7">
        <v>4263863</v>
      </c>
      <c r="H14614" s="7">
        <v>2517</v>
      </c>
      <c r="I14614" s="7">
        <v>141</v>
      </c>
      <c r="J14614" s="7">
        <v>250</v>
      </c>
      <c r="K14614" s="7" t="s">
        <v>18</v>
      </c>
      <c r="L14614" s="8">
        <v>39987.315405092595</v>
      </c>
      <c r="M14614" s="9" t="s">
        <v>19</v>
      </c>
      <c r="N14614" s="9" t="s">
        <v>20</v>
      </c>
      <c r="O14614" s="6" t="str">
        <f>HYPERLINK("https://pbs.twimg.com/profile_images/962471262747529216/Uo8lOkRJ_normal.jpg","View")</f>
        <v>View</v>
      </c>
      <c r="P14614" s="7"/>
    </row>
    <row r="14615" spans="1:16">
      <c r="A14615" s="3">
        <v>44336.980486111112</v>
      </c>
      <c r="B14615" s="4" t="str">
        <f>HYPERLINK("https://twitter.com/petrogustavo","@petrogustavo")</f>
        <v>@petrogustavo</v>
      </c>
      <c r="C14615" s="5" t="s">
        <v>16</v>
      </c>
      <c r="D14615" s="5" t="s">
        <v>14074</v>
      </c>
      <c r="E14615" s="6" t="str">
        <f>HYPERLINK("https://twitter.com/petrogustavo/status/1395439654002995200","1395439654002995200")</f>
        <v>1395439654002995200</v>
      </c>
      <c r="F14615" s="7" t="s">
        <v>17</v>
      </c>
      <c r="G14615" s="7">
        <v>4263863</v>
      </c>
      <c r="H14615" s="7">
        <v>2517</v>
      </c>
      <c r="I14615" s="7">
        <v>281</v>
      </c>
      <c r="J14615" s="7">
        <v>736</v>
      </c>
      <c r="K14615" s="7" t="s">
        <v>18</v>
      </c>
      <c r="L14615" s="8">
        <v>39987.315405092595</v>
      </c>
      <c r="M14615" s="9" t="s">
        <v>19</v>
      </c>
      <c r="N14615" s="9" t="s">
        <v>20</v>
      </c>
      <c r="O14615" s="6" t="str">
        <f>HYPERLINK("https://pbs.twimg.com/profile_images/962471262747529216/Uo8lOkRJ_normal.jpg","View")</f>
        <v>View</v>
      </c>
      <c r="P14615" s="7"/>
    </row>
    <row r="14616" spans="1:16">
      <c r="A14616" s="3">
        <v>44336.986770833333</v>
      </c>
      <c r="B14616" s="4" t="str">
        <f>HYPERLINK("https://twitter.com/petrogustavo","@petrogustavo")</f>
        <v>@petrogustavo</v>
      </c>
      <c r="C14616" s="5" t="s">
        <v>16</v>
      </c>
      <c r="D14616" s="5" t="s">
        <v>14075</v>
      </c>
      <c r="E14616" s="6" t="str">
        <f>HYPERLINK("https://twitter.com/petrogustavo/status/1395441934076887040","1395441934076887040")</f>
        <v>1395441934076887040</v>
      </c>
      <c r="F14616" s="7" t="s">
        <v>17</v>
      </c>
      <c r="G14616" s="7">
        <v>4263863</v>
      </c>
      <c r="H14616" s="7">
        <v>2517</v>
      </c>
      <c r="I14616" s="7">
        <v>3486</v>
      </c>
      <c r="J14616" s="7">
        <v>0</v>
      </c>
      <c r="K14616" s="7" t="s">
        <v>18</v>
      </c>
      <c r="L14616" s="8">
        <v>39987.315405092595</v>
      </c>
      <c r="M14616" s="9" t="s">
        <v>19</v>
      </c>
      <c r="N14616" s="9" t="s">
        <v>20</v>
      </c>
      <c r="O14616" s="6" t="str">
        <f>HYPERLINK("https://pbs.twimg.com/profile_images/962471262747529216/Uo8lOkRJ_normal.jpg","View")</f>
        <v>View</v>
      </c>
      <c r="P14616" s="7"/>
    </row>
    <row r="14617" spans="1:16">
      <c r="A14617" s="3">
        <v>44336.991597222222</v>
      </c>
      <c r="B14617" s="4" t="str">
        <f>HYPERLINK("https://twitter.com/petrogustavo","@petrogustavo")</f>
        <v>@petrogustavo</v>
      </c>
      <c r="C14617" s="5" t="s">
        <v>16</v>
      </c>
      <c r="D14617" s="5" t="s">
        <v>14076</v>
      </c>
      <c r="E14617" s="6" t="str">
        <f>HYPERLINK("https://twitter.com/petrogustavo/status/1395443683118436353","1395443683118436353")</f>
        <v>1395443683118436353</v>
      </c>
      <c r="F14617" s="7" t="s">
        <v>17</v>
      </c>
      <c r="G14617" s="7">
        <v>4263863</v>
      </c>
      <c r="H14617" s="7">
        <v>2517</v>
      </c>
      <c r="I14617" s="7">
        <v>4</v>
      </c>
      <c r="J14617" s="7">
        <v>13</v>
      </c>
      <c r="K14617" s="7" t="s">
        <v>18</v>
      </c>
      <c r="L14617" s="8">
        <v>39987.315405092595</v>
      </c>
      <c r="M14617" s="9" t="s">
        <v>19</v>
      </c>
      <c r="N14617" s="9" t="s">
        <v>20</v>
      </c>
      <c r="O14617" s="6" t="str">
        <f>HYPERLINK("https://pbs.twimg.com/profile_images/962471262747529216/Uo8lOkRJ_normal.jpg","View")</f>
        <v>View</v>
      </c>
      <c r="P14617" s="7"/>
    </row>
    <row r="14618" spans="1:16">
      <c r="A14618" s="3">
        <v>44336.991608796292</v>
      </c>
      <c r="B14618" s="4" t="str">
        <f>HYPERLINK("https://twitter.com/petrogustavo","@petrogustavo")</f>
        <v>@petrogustavo</v>
      </c>
      <c r="C14618" s="5" t="s">
        <v>16</v>
      </c>
      <c r="D14618" s="5" t="s">
        <v>14077</v>
      </c>
      <c r="E14618" s="6" t="str">
        <f>HYPERLINK("https://twitter.com/petrogustavo/status/1395443685295378433","1395443685295378433")</f>
        <v>1395443685295378433</v>
      </c>
      <c r="F14618" s="7" t="s">
        <v>17</v>
      </c>
      <c r="G14618" s="7">
        <v>4263863</v>
      </c>
      <c r="H14618" s="7">
        <v>2517</v>
      </c>
      <c r="I14618" s="7">
        <v>1</v>
      </c>
      <c r="J14618" s="7">
        <v>3</v>
      </c>
      <c r="K14618" s="7" t="s">
        <v>18</v>
      </c>
      <c r="L14618" s="8">
        <v>39987.315405092595</v>
      </c>
      <c r="M14618" s="9" t="s">
        <v>19</v>
      </c>
      <c r="N14618" s="9" t="s">
        <v>20</v>
      </c>
      <c r="O14618" s="6" t="str">
        <f>HYPERLINK("https://pbs.twimg.com/profile_images/962471262747529216/Uo8lOkRJ_normal.jpg","View")</f>
        <v>View</v>
      </c>
      <c r="P14618" s="7"/>
    </row>
    <row r="14619" spans="1:16">
      <c r="A14619" s="3">
        <v>44337.015879629631</v>
      </c>
      <c r="B14619" s="4" t="str">
        <f>HYPERLINK("https://twitter.com/petrogustavo","@petrogustavo")</f>
        <v>@petrogustavo</v>
      </c>
      <c r="C14619" s="5" t="s">
        <v>16</v>
      </c>
      <c r="D14619" s="5" t="s">
        <v>14078</v>
      </c>
      <c r="E14619" s="6" t="str">
        <f>HYPERLINK("https://twitter.com/petrogustavo/status/1395452481153507336","1395452481153507336")</f>
        <v>1395452481153507336</v>
      </c>
      <c r="F14619" s="7" t="s">
        <v>17</v>
      </c>
      <c r="G14619" s="7">
        <v>4263984</v>
      </c>
      <c r="H14619" s="7">
        <v>2517</v>
      </c>
      <c r="I14619" s="7">
        <v>148</v>
      </c>
      <c r="J14619" s="7">
        <v>0</v>
      </c>
      <c r="K14619" s="7" t="s">
        <v>18</v>
      </c>
      <c r="L14619" s="8">
        <v>39987.315405092595</v>
      </c>
      <c r="M14619" s="9" t="s">
        <v>19</v>
      </c>
      <c r="N14619" s="9" t="s">
        <v>20</v>
      </c>
      <c r="O14619" s="6" t="str">
        <f>HYPERLINK("https://pbs.twimg.com/profile_images/962471262747529216/Uo8lOkRJ_normal.jpg","View")</f>
        <v>View</v>
      </c>
      <c r="P14619" s="7"/>
    </row>
    <row r="14620" spans="1:16">
      <c r="A14620" s="3">
        <v>44337.03061342593</v>
      </c>
      <c r="B14620" s="4" t="str">
        <f>HYPERLINK("https://twitter.com/petrogustavo","@petrogustavo")</f>
        <v>@petrogustavo</v>
      </c>
      <c r="C14620" s="5" t="s">
        <v>16</v>
      </c>
      <c r="D14620" s="5" t="s">
        <v>14079</v>
      </c>
      <c r="E14620" s="6" t="str">
        <f>HYPERLINK("https://twitter.com/petrogustavo/status/1395457820414332929","1395457820414332929")</f>
        <v>1395457820414332929</v>
      </c>
      <c r="F14620" s="7" t="s">
        <v>17</v>
      </c>
      <c r="G14620" s="7">
        <v>4263984</v>
      </c>
      <c r="H14620" s="7">
        <v>2517</v>
      </c>
      <c r="I14620" s="7">
        <v>356</v>
      </c>
      <c r="J14620" s="7">
        <v>0</v>
      </c>
      <c r="K14620" s="7" t="s">
        <v>18</v>
      </c>
      <c r="L14620" s="8">
        <v>39987.315405092595</v>
      </c>
      <c r="M14620" s="9" t="s">
        <v>19</v>
      </c>
      <c r="N14620" s="9" t="s">
        <v>20</v>
      </c>
      <c r="O14620" s="6" t="str">
        <f>HYPERLINK("https://pbs.twimg.com/profile_images/962471262747529216/Uo8lOkRJ_normal.jpg","View")</f>
        <v>View</v>
      </c>
      <c r="P14620" s="7"/>
    </row>
    <row r="14621" spans="1:16">
      <c r="A14621" s="3">
        <v>44337.033043981486</v>
      </c>
      <c r="B14621" s="4" t="str">
        <f>HYPERLINK("https://twitter.com/petrogustavo","@petrogustavo")</f>
        <v>@petrogustavo</v>
      </c>
      <c r="C14621" s="5" t="s">
        <v>16</v>
      </c>
      <c r="D14621" s="5" t="s">
        <v>14080</v>
      </c>
      <c r="E14621" s="6" t="str">
        <f>HYPERLINK("https://twitter.com/petrogustavo/status/1395458703214645259","1395458703214645259")</f>
        <v>1395458703214645259</v>
      </c>
      <c r="F14621" s="7" t="s">
        <v>17</v>
      </c>
      <c r="G14621" s="7">
        <v>4264037</v>
      </c>
      <c r="H14621" s="7">
        <v>2517</v>
      </c>
      <c r="I14621" s="7">
        <v>718</v>
      </c>
      <c r="J14621" s="7">
        <v>2866</v>
      </c>
      <c r="K14621" s="7" t="s">
        <v>18</v>
      </c>
      <c r="L14621" s="8">
        <v>39987.315405092595</v>
      </c>
      <c r="M14621" s="9" t="s">
        <v>19</v>
      </c>
      <c r="N14621" s="9" t="s">
        <v>20</v>
      </c>
      <c r="O14621" s="6" t="str">
        <f>HYPERLINK("https://pbs.twimg.com/profile_images/962471262747529216/Uo8lOkRJ_normal.jpg","View")</f>
        <v>View</v>
      </c>
      <c r="P14621" s="7"/>
    </row>
    <row r="14622" spans="1:16">
      <c r="A14622" s="3">
        <v>44337.067615740743</v>
      </c>
      <c r="B14622" s="4" t="str">
        <f>HYPERLINK("https://twitter.com/petrogustavo","@petrogustavo")</f>
        <v>@petrogustavo</v>
      </c>
      <c r="C14622" s="5" t="s">
        <v>16</v>
      </c>
      <c r="D14622" s="5" t="s">
        <v>14081</v>
      </c>
      <c r="E14622" s="6" t="str">
        <f>HYPERLINK("https://twitter.com/petrogustavo/status/1395471228576669696","1395471228576669696")</f>
        <v>1395471228576669696</v>
      </c>
      <c r="F14622" s="7" t="s">
        <v>17</v>
      </c>
      <c r="G14622" s="7">
        <v>4264099</v>
      </c>
      <c r="H14622" s="7">
        <v>2517</v>
      </c>
      <c r="I14622" s="7">
        <v>61</v>
      </c>
      <c r="J14622" s="7">
        <v>0</v>
      </c>
      <c r="K14622" s="7" t="s">
        <v>18</v>
      </c>
      <c r="L14622" s="8">
        <v>39987.315405092595</v>
      </c>
      <c r="M14622" s="9" t="s">
        <v>19</v>
      </c>
      <c r="N14622" s="9" t="s">
        <v>20</v>
      </c>
      <c r="O14622" s="6" t="str">
        <f>HYPERLINK("https://pbs.twimg.com/profile_images/962471262747529216/Uo8lOkRJ_normal.jpg","View")</f>
        <v>View</v>
      </c>
      <c r="P14622" s="7"/>
    </row>
    <row r="14623" spans="1:16">
      <c r="A14623" s="3">
        <v>44337.084537037037</v>
      </c>
      <c r="B14623" s="4" t="str">
        <f>HYPERLINK("https://twitter.com/petrogustavo","@petrogustavo")</f>
        <v>@petrogustavo</v>
      </c>
      <c r="C14623" s="5" t="s">
        <v>16</v>
      </c>
      <c r="D14623" s="5" t="s">
        <v>14082</v>
      </c>
      <c r="E14623" s="6" t="str">
        <f>HYPERLINK("https://twitter.com/petrogustavo/status/1395477360972029956","1395477360972029956")</f>
        <v>1395477360972029956</v>
      </c>
      <c r="F14623" s="7" t="s">
        <v>17</v>
      </c>
      <c r="G14623" s="7">
        <v>4264172</v>
      </c>
      <c r="H14623" s="7">
        <v>2517</v>
      </c>
      <c r="I14623" s="7">
        <v>282</v>
      </c>
      <c r="J14623" s="7">
        <v>984</v>
      </c>
      <c r="K14623" s="7" t="s">
        <v>18</v>
      </c>
      <c r="L14623" s="8">
        <v>39987.315405092595</v>
      </c>
      <c r="M14623" s="9" t="s">
        <v>19</v>
      </c>
      <c r="N14623" s="9" t="s">
        <v>20</v>
      </c>
      <c r="O14623" s="6" t="str">
        <f>HYPERLINK("https://pbs.twimg.com/profile_images/962471262747529216/Uo8lOkRJ_normal.jpg","View")</f>
        <v>View</v>
      </c>
      <c r="P14623" s="7"/>
    </row>
    <row r="14624" spans="1:16">
      <c r="A14624" s="3">
        <v>44337.092569444445</v>
      </c>
      <c r="B14624" s="4" t="str">
        <f>HYPERLINK("https://twitter.com/petrogustavo","@petrogustavo")</f>
        <v>@petrogustavo</v>
      </c>
      <c r="C14624" s="5" t="s">
        <v>16</v>
      </c>
      <c r="D14624" s="5" t="s">
        <v>14083</v>
      </c>
      <c r="E14624" s="6" t="str">
        <f>HYPERLINK("https://twitter.com/petrogustavo/status/1395480273459064837","1395480273459064837")</f>
        <v>1395480273459064837</v>
      </c>
      <c r="F14624" s="7" t="s">
        <v>17</v>
      </c>
      <c r="G14624" s="7">
        <v>4264172</v>
      </c>
      <c r="H14624" s="7">
        <v>2517</v>
      </c>
      <c r="I14624" s="7">
        <v>90</v>
      </c>
      <c r="J14624" s="7">
        <v>184</v>
      </c>
      <c r="K14624" s="7" t="s">
        <v>18</v>
      </c>
      <c r="L14624" s="8">
        <v>39987.315405092595</v>
      </c>
      <c r="M14624" s="9" t="s">
        <v>19</v>
      </c>
      <c r="N14624" s="9" t="s">
        <v>20</v>
      </c>
      <c r="O14624" s="6" t="str">
        <f>HYPERLINK("https://pbs.twimg.com/profile_images/962471262747529216/Uo8lOkRJ_normal.jpg","View")</f>
        <v>View</v>
      </c>
      <c r="P14624" s="7"/>
    </row>
    <row r="14625" spans="1:16">
      <c r="A14625" s="3">
        <v>44337.118715277778</v>
      </c>
      <c r="B14625" s="4" t="str">
        <f>HYPERLINK("https://twitter.com/petrogustavo","@petrogustavo")</f>
        <v>@petrogustavo</v>
      </c>
      <c r="C14625" s="5" t="s">
        <v>16</v>
      </c>
      <c r="D14625" s="5" t="s">
        <v>14084</v>
      </c>
      <c r="E14625" s="6" t="str">
        <f>HYPERLINK("https://twitter.com/petrogustavo/status/1395489748077228043","1395489748077228043")</f>
        <v>1395489748077228043</v>
      </c>
      <c r="F14625" s="7" t="s">
        <v>17</v>
      </c>
      <c r="G14625" s="7">
        <v>4264257</v>
      </c>
      <c r="H14625" s="7">
        <v>2517</v>
      </c>
      <c r="I14625" s="7">
        <v>2259</v>
      </c>
      <c r="J14625" s="7">
        <v>0</v>
      </c>
      <c r="K14625" s="7" t="s">
        <v>18</v>
      </c>
      <c r="L14625" s="8">
        <v>39987.315405092595</v>
      </c>
      <c r="M14625" s="9" t="s">
        <v>19</v>
      </c>
      <c r="N14625" s="9" t="s">
        <v>20</v>
      </c>
      <c r="O14625" s="6" t="str">
        <f>HYPERLINK("https://pbs.twimg.com/profile_images/962471262747529216/Uo8lOkRJ_normal.jpg","View")</f>
        <v>View</v>
      </c>
      <c r="P14625" s="7"/>
    </row>
    <row r="14626" spans="1:16">
      <c r="A14626" s="3">
        <v>44337.123078703706</v>
      </c>
      <c r="B14626" s="4" t="str">
        <f>HYPERLINK("https://twitter.com/petrogustavo","@petrogustavo")</f>
        <v>@petrogustavo</v>
      </c>
      <c r="C14626" s="5" t="s">
        <v>16</v>
      </c>
      <c r="D14626" s="5" t="s">
        <v>14085</v>
      </c>
      <c r="E14626" s="6" t="str">
        <f>HYPERLINK("https://twitter.com/petrogustavo/status/1395491329937977350","1395491329937977350")</f>
        <v>1395491329937977350</v>
      </c>
      <c r="F14626" s="7" t="s">
        <v>17</v>
      </c>
      <c r="G14626" s="7">
        <v>4264257</v>
      </c>
      <c r="H14626" s="7">
        <v>2517</v>
      </c>
      <c r="I14626" s="7">
        <v>125</v>
      </c>
      <c r="J14626" s="7">
        <v>0</v>
      </c>
      <c r="K14626" s="7" t="s">
        <v>18</v>
      </c>
      <c r="L14626" s="8">
        <v>39987.315405092595</v>
      </c>
      <c r="M14626" s="9" t="s">
        <v>19</v>
      </c>
      <c r="N14626" s="9" t="s">
        <v>20</v>
      </c>
      <c r="O14626" s="6" t="str">
        <f>HYPERLINK("https://pbs.twimg.com/profile_images/962471262747529216/Uo8lOkRJ_normal.jpg","View")</f>
        <v>View</v>
      </c>
      <c r="P14626" s="7"/>
    </row>
    <row r="14627" spans="1:16">
      <c r="A14627" s="3">
        <v>44337.127129629633</v>
      </c>
      <c r="B14627" s="4" t="str">
        <f>HYPERLINK("https://twitter.com/petrogustavo","@petrogustavo")</f>
        <v>@petrogustavo</v>
      </c>
      <c r="C14627" s="5" t="s">
        <v>16</v>
      </c>
      <c r="D14627" s="5" t="s">
        <v>14086</v>
      </c>
      <c r="E14627" s="6" t="str">
        <f>HYPERLINK("https://twitter.com/petrogustavo/status/1395492798615465984","1395492798615465984")</f>
        <v>1395492798615465984</v>
      </c>
      <c r="F14627" s="7" t="s">
        <v>17</v>
      </c>
      <c r="G14627" s="7">
        <v>4264257</v>
      </c>
      <c r="H14627" s="7">
        <v>2517</v>
      </c>
      <c r="I14627" s="7">
        <v>325</v>
      </c>
      <c r="J14627" s="7">
        <v>528</v>
      </c>
      <c r="K14627" s="7" t="s">
        <v>18</v>
      </c>
      <c r="L14627" s="8">
        <v>39987.315405092595</v>
      </c>
      <c r="M14627" s="9" t="s">
        <v>19</v>
      </c>
      <c r="N14627" s="9" t="s">
        <v>20</v>
      </c>
      <c r="O14627" s="6" t="str">
        <f>HYPERLINK("https://pbs.twimg.com/profile_images/962471262747529216/Uo8lOkRJ_normal.jpg","View")</f>
        <v>View</v>
      </c>
      <c r="P14627" s="7"/>
    </row>
    <row r="14628" spans="1:16">
      <c r="A14628" s="3">
        <v>44337.130682870367</v>
      </c>
      <c r="B14628" s="4" t="str">
        <f>HYPERLINK("https://twitter.com/petrogustavo","@petrogustavo")</f>
        <v>@petrogustavo</v>
      </c>
      <c r="C14628" s="5" t="s">
        <v>16</v>
      </c>
      <c r="D14628" s="5" t="s">
        <v>14087</v>
      </c>
      <c r="E14628" s="6" t="str">
        <f>HYPERLINK("https://twitter.com/petrogustavo/status/1395494083704074240","1395494083704074240")</f>
        <v>1395494083704074240</v>
      </c>
      <c r="F14628" s="7" t="s">
        <v>17</v>
      </c>
      <c r="G14628" s="7">
        <v>4264257</v>
      </c>
      <c r="H14628" s="7">
        <v>2517</v>
      </c>
      <c r="I14628" s="7">
        <v>171</v>
      </c>
      <c r="J14628" s="7">
        <v>270</v>
      </c>
      <c r="K14628" s="7" t="s">
        <v>18</v>
      </c>
      <c r="L14628" s="8">
        <v>39987.315405092595</v>
      </c>
      <c r="M14628" s="9" t="s">
        <v>19</v>
      </c>
      <c r="N14628" s="9" t="s">
        <v>20</v>
      </c>
      <c r="O14628" s="6" t="str">
        <f>HYPERLINK("https://pbs.twimg.com/profile_images/962471262747529216/Uo8lOkRJ_normal.jpg","View")</f>
        <v>View</v>
      </c>
      <c r="P14628" s="7"/>
    </row>
    <row r="14629" spans="1:16">
      <c r="A14629" s="3">
        <v>44337.155092592591</v>
      </c>
      <c r="B14629" s="4" t="str">
        <f>HYPERLINK("https://twitter.com/petrogustavo","@petrogustavo")</f>
        <v>@petrogustavo</v>
      </c>
      <c r="C14629" s="5" t="s">
        <v>16</v>
      </c>
      <c r="D14629" s="5" t="s">
        <v>14088</v>
      </c>
      <c r="E14629" s="6" t="str">
        <f>HYPERLINK("https://twitter.com/petrogustavo/status/1395502929692475403","1395502929692475403")</f>
        <v>1395502929692475403</v>
      </c>
      <c r="F14629" s="7" t="s">
        <v>17</v>
      </c>
      <c r="G14629" s="7">
        <v>4264300</v>
      </c>
      <c r="H14629" s="7">
        <v>2517</v>
      </c>
      <c r="I14629" s="7">
        <v>540</v>
      </c>
      <c r="J14629" s="7">
        <v>0</v>
      </c>
      <c r="K14629" s="7" t="s">
        <v>18</v>
      </c>
      <c r="L14629" s="8">
        <v>39987.315405092595</v>
      </c>
      <c r="M14629" s="9" t="s">
        <v>19</v>
      </c>
      <c r="N14629" s="9" t="s">
        <v>20</v>
      </c>
      <c r="O14629" s="6" t="str">
        <f>HYPERLINK("https://pbs.twimg.com/profile_images/962471262747529216/Uo8lOkRJ_normal.jpg","View")</f>
        <v>View</v>
      </c>
      <c r="P14629" s="7"/>
    </row>
    <row r="14630" spans="1:16">
      <c r="A14630" s="3">
        <v>44337.155682870369</v>
      </c>
      <c r="B14630" s="4" t="str">
        <f>HYPERLINK("https://twitter.com/petrogustavo","@petrogustavo")</f>
        <v>@petrogustavo</v>
      </c>
      <c r="C14630" s="5" t="s">
        <v>16</v>
      </c>
      <c r="D14630" s="5" t="s">
        <v>14089</v>
      </c>
      <c r="E14630" s="6" t="str">
        <f>HYPERLINK("https://twitter.com/petrogustavo/status/1395503143346085891","1395503143346085891")</f>
        <v>1395503143346085891</v>
      </c>
      <c r="F14630" s="7" t="s">
        <v>17</v>
      </c>
      <c r="G14630" s="7">
        <v>4264300</v>
      </c>
      <c r="H14630" s="7">
        <v>2517</v>
      </c>
      <c r="I14630" s="7">
        <v>1852</v>
      </c>
      <c r="J14630" s="7">
        <v>0</v>
      </c>
      <c r="K14630" s="7" t="s">
        <v>18</v>
      </c>
      <c r="L14630" s="8">
        <v>39987.315405092595</v>
      </c>
      <c r="M14630" s="9" t="s">
        <v>19</v>
      </c>
      <c r="N14630" s="9" t="s">
        <v>20</v>
      </c>
      <c r="O14630" s="6" t="str">
        <f>HYPERLINK("https://pbs.twimg.com/profile_images/962471262747529216/Uo8lOkRJ_normal.jpg","View")</f>
        <v>View</v>
      </c>
      <c r="P14630" s="7"/>
    </row>
    <row r="14631" spans="1:16">
      <c r="A14631" s="3">
        <v>44338.845914351856</v>
      </c>
      <c r="B14631" s="4" t="str">
        <f>HYPERLINK("https://twitter.com/petrogustavo","@petrogustavo")</f>
        <v>@petrogustavo</v>
      </c>
      <c r="C14631" s="5" t="s">
        <v>16</v>
      </c>
      <c r="D14631" s="5" t="s">
        <v>14090</v>
      </c>
      <c r="E14631" s="6" t="str">
        <f>HYPERLINK("https://twitter.com/petrogustavo/status/1396115664549687307","1396115664549687307")</f>
        <v>1396115664549687307</v>
      </c>
      <c r="F14631" s="7" t="s">
        <v>17</v>
      </c>
      <c r="G14631" s="7">
        <v>4266877</v>
      </c>
      <c r="H14631" s="7">
        <v>2518</v>
      </c>
      <c r="I14631" s="7">
        <v>222</v>
      </c>
      <c r="J14631" s="7">
        <v>0</v>
      </c>
      <c r="K14631" s="7" t="s">
        <v>18</v>
      </c>
      <c r="L14631" s="8">
        <v>39987.315405092595</v>
      </c>
      <c r="M14631" s="9" t="s">
        <v>19</v>
      </c>
      <c r="N14631" s="9" t="s">
        <v>20</v>
      </c>
      <c r="O14631" s="6" t="str">
        <f>HYPERLINK("https://pbs.twimg.com/profile_images/962471262747529216/Uo8lOkRJ_normal.jpg","View")</f>
        <v>View</v>
      </c>
      <c r="P14631" s="7"/>
    </row>
    <row r="14632" spans="1:16">
      <c r="A14632" s="3">
        <v>44338.847129629634</v>
      </c>
      <c r="B14632" s="4" t="str">
        <f>HYPERLINK("https://twitter.com/petrogustavo","@petrogustavo")</f>
        <v>@petrogustavo</v>
      </c>
      <c r="C14632" s="5" t="s">
        <v>16</v>
      </c>
      <c r="D14632" s="5" t="s">
        <v>14091</v>
      </c>
      <c r="E14632" s="6" t="str">
        <f>HYPERLINK("https://twitter.com/petrogustavo/status/1396116104959954956","1396116104959954956")</f>
        <v>1396116104959954956</v>
      </c>
      <c r="F14632" s="7" t="s">
        <v>17</v>
      </c>
      <c r="G14632" s="7">
        <v>4266877</v>
      </c>
      <c r="H14632" s="7">
        <v>2518</v>
      </c>
      <c r="I14632" s="7">
        <v>1604</v>
      </c>
      <c r="J14632" s="7">
        <v>0</v>
      </c>
      <c r="K14632" s="7" t="s">
        <v>18</v>
      </c>
      <c r="L14632" s="8">
        <v>39987.315405092595</v>
      </c>
      <c r="M14632" s="9" t="s">
        <v>19</v>
      </c>
      <c r="N14632" s="9" t="s">
        <v>20</v>
      </c>
      <c r="O14632" s="6" t="str">
        <f>HYPERLINK("https://pbs.twimg.com/profile_images/962471262747529216/Uo8lOkRJ_normal.jpg","View")</f>
        <v>View</v>
      </c>
      <c r="P14632" s="7"/>
    </row>
    <row r="14633" spans="1:16">
      <c r="A14633" s="3">
        <v>44338.946875000001</v>
      </c>
      <c r="B14633" s="4" t="str">
        <f>HYPERLINK("https://twitter.com/petrogustavo","@petrogustavo")</f>
        <v>@petrogustavo</v>
      </c>
      <c r="C14633" s="5" t="s">
        <v>16</v>
      </c>
      <c r="D14633" s="5" t="s">
        <v>14092</v>
      </c>
      <c r="E14633" s="6" t="str">
        <f>HYPERLINK("https://twitter.com/petrogustavo/status/1396152251035619330","1396152251035619330")</f>
        <v>1396152251035619330</v>
      </c>
      <c r="F14633" s="7" t="s">
        <v>17</v>
      </c>
      <c r="G14633" s="7">
        <v>4267504</v>
      </c>
      <c r="H14633" s="7">
        <v>2518</v>
      </c>
      <c r="I14633" s="7">
        <v>122</v>
      </c>
      <c r="J14633" s="7">
        <v>1394</v>
      </c>
      <c r="K14633" s="7" t="s">
        <v>18</v>
      </c>
      <c r="L14633" s="8">
        <v>39987.315405092595</v>
      </c>
      <c r="M14633" s="9" t="s">
        <v>19</v>
      </c>
      <c r="N14633" s="9" t="s">
        <v>20</v>
      </c>
      <c r="O14633" s="6" t="str">
        <f>HYPERLINK("https://pbs.twimg.com/profile_images/962471262747529216/Uo8lOkRJ_normal.jpg","View")</f>
        <v>View</v>
      </c>
      <c r="P14633" s="7"/>
    </row>
    <row r="14634" spans="1:16">
      <c r="A14634" s="3">
        <v>44338.947106481486</v>
      </c>
      <c r="B14634" s="4" t="str">
        <f>HYPERLINK("https://twitter.com/petrogustavo","@petrogustavo")</f>
        <v>@petrogustavo</v>
      </c>
      <c r="C14634" s="5" t="s">
        <v>16</v>
      </c>
      <c r="D14634" s="5" t="s">
        <v>14093</v>
      </c>
      <c r="E14634" s="6" t="str">
        <f>HYPERLINK("https://twitter.com/petrogustavo/status/1396152335580151815","1396152335580151815")</f>
        <v>1396152335580151815</v>
      </c>
      <c r="F14634" s="7" t="s">
        <v>17</v>
      </c>
      <c r="G14634" s="7">
        <v>4267504</v>
      </c>
      <c r="H14634" s="7">
        <v>2518</v>
      </c>
      <c r="I14634" s="7">
        <v>96</v>
      </c>
      <c r="J14634" s="7">
        <v>1029</v>
      </c>
      <c r="K14634" s="7" t="s">
        <v>18</v>
      </c>
      <c r="L14634" s="8">
        <v>39987.315405092595</v>
      </c>
      <c r="M14634" s="9" t="s">
        <v>19</v>
      </c>
      <c r="N14634" s="9" t="s">
        <v>20</v>
      </c>
      <c r="O14634" s="6" t="str">
        <f>HYPERLINK("https://pbs.twimg.com/profile_images/962471262747529216/Uo8lOkRJ_normal.jpg","View")</f>
        <v>View</v>
      </c>
      <c r="P14634" s="7"/>
    </row>
    <row r="14635" spans="1:16">
      <c r="A14635" s="3">
        <v>44339.059861111113</v>
      </c>
      <c r="B14635" s="4" t="str">
        <f>HYPERLINK("https://twitter.com/petrogustavo","@petrogustavo")</f>
        <v>@petrogustavo</v>
      </c>
      <c r="C14635" s="5" t="s">
        <v>16</v>
      </c>
      <c r="D14635" s="5" t="s">
        <v>14094</v>
      </c>
      <c r="E14635" s="6" t="str">
        <f>HYPERLINK("https://twitter.com/petrogustavo/status/1396193194736594946","1396193194736594946")</f>
        <v>1396193194736594946</v>
      </c>
      <c r="F14635" s="7" t="s">
        <v>17</v>
      </c>
      <c r="G14635" s="7">
        <v>4268671</v>
      </c>
      <c r="H14635" s="7">
        <v>2518</v>
      </c>
      <c r="I14635" s="7">
        <v>575</v>
      </c>
      <c r="J14635" s="7">
        <v>0</v>
      </c>
      <c r="K14635" s="7" t="s">
        <v>18</v>
      </c>
      <c r="L14635" s="8">
        <v>39987.315405092595</v>
      </c>
      <c r="M14635" s="9" t="s">
        <v>19</v>
      </c>
      <c r="N14635" s="9" t="s">
        <v>20</v>
      </c>
      <c r="O14635" s="6" t="str">
        <f>HYPERLINK("https://pbs.twimg.com/profile_images/962471262747529216/Uo8lOkRJ_normal.jpg","View")</f>
        <v>View</v>
      </c>
      <c r="P14635" s="7"/>
    </row>
    <row r="14636" spans="1:16">
      <c r="A14636" s="3">
        <v>44339.066840277781</v>
      </c>
      <c r="B14636" s="4" t="str">
        <f>HYPERLINK("https://twitter.com/petrogustavo","@petrogustavo")</f>
        <v>@petrogustavo</v>
      </c>
      <c r="C14636" s="5" t="s">
        <v>16</v>
      </c>
      <c r="D14636" s="5" t="s">
        <v>14095</v>
      </c>
      <c r="E14636" s="6" t="str">
        <f>HYPERLINK("https://twitter.com/petrogustavo/status/1396195724195467264","1396195724195467264")</f>
        <v>1396195724195467264</v>
      </c>
      <c r="F14636" s="7" t="s">
        <v>17</v>
      </c>
      <c r="G14636" s="7">
        <v>4268671</v>
      </c>
      <c r="H14636" s="7">
        <v>2518</v>
      </c>
      <c r="I14636" s="7">
        <v>687</v>
      </c>
      <c r="J14636" s="7">
        <v>0</v>
      </c>
      <c r="K14636" s="7" t="s">
        <v>18</v>
      </c>
      <c r="L14636" s="8">
        <v>39987.315405092595</v>
      </c>
      <c r="M14636" s="9" t="s">
        <v>19</v>
      </c>
      <c r="N14636" s="9" t="s">
        <v>20</v>
      </c>
      <c r="O14636" s="6" t="str">
        <f>HYPERLINK("https://pbs.twimg.com/profile_images/962471262747529216/Uo8lOkRJ_normal.jpg","View")</f>
        <v>View</v>
      </c>
      <c r="P14636" s="7"/>
    </row>
    <row r="14637" spans="1:16">
      <c r="A14637" s="3">
        <v>44339.070752314816</v>
      </c>
      <c r="B14637" s="4" t="str">
        <f>HYPERLINK("https://twitter.com/petrogustavo","@petrogustavo")</f>
        <v>@petrogustavo</v>
      </c>
      <c r="C14637" s="5" t="s">
        <v>16</v>
      </c>
      <c r="D14637" s="5" t="s">
        <v>14096</v>
      </c>
      <c r="E14637" s="6" t="str">
        <f>HYPERLINK("https://twitter.com/petrogustavo/status/1396197141324963841","1396197141324963841")</f>
        <v>1396197141324963841</v>
      </c>
      <c r="F14637" s="7" t="s">
        <v>17</v>
      </c>
      <c r="G14637" s="7">
        <v>4268671</v>
      </c>
      <c r="H14637" s="7">
        <v>2518</v>
      </c>
      <c r="I14637" s="7">
        <v>28</v>
      </c>
      <c r="J14637" s="7">
        <v>0</v>
      </c>
      <c r="K14637" s="7" t="s">
        <v>18</v>
      </c>
      <c r="L14637" s="8">
        <v>39987.315405092595</v>
      </c>
      <c r="M14637" s="9" t="s">
        <v>19</v>
      </c>
      <c r="N14637" s="9" t="s">
        <v>20</v>
      </c>
      <c r="O14637" s="6" t="str">
        <f>HYPERLINK("https://pbs.twimg.com/profile_images/962471262747529216/Uo8lOkRJ_normal.jpg","View")</f>
        <v>View</v>
      </c>
      <c r="P14637" s="7"/>
    </row>
    <row r="14638" spans="1:16">
      <c r="A14638" s="3">
        <v>44339.080648148149</v>
      </c>
      <c r="B14638" s="4" t="str">
        <f>HYPERLINK("https://twitter.com/petrogustavo","@petrogustavo")</f>
        <v>@petrogustavo</v>
      </c>
      <c r="C14638" s="5" t="s">
        <v>16</v>
      </c>
      <c r="D14638" s="5" t="s">
        <v>14097</v>
      </c>
      <c r="E14638" s="6" t="str">
        <f>HYPERLINK("https://twitter.com/petrogustavo/status/1396200727790473219","1396200727790473219")</f>
        <v>1396200727790473219</v>
      </c>
      <c r="F14638" s="7" t="s">
        <v>17</v>
      </c>
      <c r="G14638" s="7">
        <v>4268849</v>
      </c>
      <c r="H14638" s="7">
        <v>2518</v>
      </c>
      <c r="I14638" s="7">
        <v>1319</v>
      </c>
      <c r="J14638" s="7">
        <v>3856</v>
      </c>
      <c r="K14638" s="7" t="s">
        <v>18</v>
      </c>
      <c r="L14638" s="8">
        <v>39987.315405092595</v>
      </c>
      <c r="M14638" s="9" t="s">
        <v>19</v>
      </c>
      <c r="N14638" s="9" t="s">
        <v>20</v>
      </c>
      <c r="O14638" s="6" t="str">
        <f>HYPERLINK("https://pbs.twimg.com/profile_images/962471262747529216/Uo8lOkRJ_normal.jpg","View")</f>
        <v>View</v>
      </c>
      <c r="P14638" s="7"/>
    </row>
    <row r="14639" spans="1:16">
      <c r="A14639" s="3">
        <v>44339.247974537036</v>
      </c>
      <c r="B14639" s="4" t="str">
        <f>HYPERLINK("https://twitter.com/petrogustavo","@petrogustavo")</f>
        <v>@petrogustavo</v>
      </c>
      <c r="C14639" s="5" t="s">
        <v>16</v>
      </c>
      <c r="D14639" s="5" t="s">
        <v>14098</v>
      </c>
      <c r="E14639" s="6" t="str">
        <f>HYPERLINK("https://twitter.com/petrogustavo/status/1396261363593490432","1396261363593490432")</f>
        <v>1396261363593490432</v>
      </c>
      <c r="F14639" s="7" t="s">
        <v>17</v>
      </c>
      <c r="G14639" s="7">
        <v>4269889</v>
      </c>
      <c r="H14639" s="7">
        <v>2518</v>
      </c>
      <c r="I14639" s="7">
        <v>404</v>
      </c>
      <c r="J14639" s="7">
        <v>0</v>
      </c>
      <c r="K14639" s="7" t="s">
        <v>18</v>
      </c>
      <c r="L14639" s="8">
        <v>39987.315405092595</v>
      </c>
      <c r="M14639" s="9" t="s">
        <v>19</v>
      </c>
      <c r="N14639" s="9" t="s">
        <v>20</v>
      </c>
      <c r="O14639" s="6" t="str">
        <f>HYPERLINK("https://pbs.twimg.com/profile_images/962471262747529216/Uo8lOkRJ_normal.jpg","View")</f>
        <v>View</v>
      </c>
      <c r="P14639" s="7"/>
    </row>
    <row r="14640" spans="1:16">
      <c r="A14640" s="3">
        <v>44339.3128587963</v>
      </c>
      <c r="B14640" s="4" t="str">
        <f>HYPERLINK("https://twitter.com/petrogustavo","@petrogustavo")</f>
        <v>@petrogustavo</v>
      </c>
      <c r="C14640" s="5" t="s">
        <v>16</v>
      </c>
      <c r="D14640" s="5" t="s">
        <v>14099</v>
      </c>
      <c r="E14640" s="6" t="str">
        <f>HYPERLINK("https://twitter.com/petrogustavo/status/1396284877029445634","1396284877029445634")</f>
        <v>1396284877029445634</v>
      </c>
      <c r="F14640" s="7" t="s">
        <v>17</v>
      </c>
      <c r="G14640" s="7">
        <v>4270237</v>
      </c>
      <c r="H14640" s="7">
        <v>2518</v>
      </c>
      <c r="I14640" s="7">
        <v>7272</v>
      </c>
      <c r="J14640" s="7">
        <v>0</v>
      </c>
      <c r="K14640" s="7" t="s">
        <v>18</v>
      </c>
      <c r="L14640" s="8">
        <v>39987.315405092595</v>
      </c>
      <c r="M14640" s="9" t="s">
        <v>19</v>
      </c>
      <c r="N14640" s="9" t="s">
        <v>20</v>
      </c>
      <c r="O14640" s="6" t="str">
        <f>HYPERLINK("https://pbs.twimg.com/profile_images/962471262747529216/Uo8lOkRJ_normal.jpg","View")</f>
        <v>View</v>
      </c>
      <c r="P14640" s="7"/>
    </row>
    <row r="14641" spans="1:16">
      <c r="A14641" s="3">
        <v>44339.769907407404</v>
      </c>
      <c r="B14641" s="4" t="str">
        <f>HYPERLINK("https://twitter.com/petrogustavo","@petrogustavo")</f>
        <v>@petrogustavo</v>
      </c>
      <c r="C14641" s="5" t="s">
        <v>16</v>
      </c>
      <c r="D14641" s="5" t="s">
        <v>14100</v>
      </c>
      <c r="E14641" s="6" t="str">
        <f>HYPERLINK("https://twitter.com/petrogustavo/status/1396450506290171909","1396450506290171909")</f>
        <v>1396450506290171909</v>
      </c>
      <c r="F14641" s="7" t="s">
        <v>17</v>
      </c>
      <c r="G14641" s="7">
        <v>4271214</v>
      </c>
      <c r="H14641" s="7">
        <v>2518</v>
      </c>
      <c r="I14641" s="7">
        <v>323</v>
      </c>
      <c r="J14641" s="7">
        <v>1071</v>
      </c>
      <c r="K14641" s="7" t="s">
        <v>18</v>
      </c>
      <c r="L14641" s="8">
        <v>39987.315405092595</v>
      </c>
      <c r="M14641" s="9" t="s">
        <v>19</v>
      </c>
      <c r="N14641" s="9" t="s">
        <v>20</v>
      </c>
      <c r="O14641" s="6" t="str">
        <f>HYPERLINK("https://pbs.twimg.com/profile_images/962471262747529216/Uo8lOkRJ_normal.jpg","View")</f>
        <v>View</v>
      </c>
      <c r="P14641" s="7"/>
    </row>
    <row r="14642" spans="1:16">
      <c r="A14642" s="3">
        <v>44339.806956018518</v>
      </c>
      <c r="B14642" s="4" t="str">
        <f>HYPERLINK("https://twitter.com/petrogustavo","@petrogustavo")</f>
        <v>@petrogustavo</v>
      </c>
      <c r="C14642" s="5" t="s">
        <v>16</v>
      </c>
      <c r="D14642" s="5" t="s">
        <v>14101</v>
      </c>
      <c r="E14642" s="6" t="str">
        <f>HYPERLINK("https://twitter.com/petrogustavo/status/1396463935163875329","1396463935163875329")</f>
        <v>1396463935163875329</v>
      </c>
      <c r="F14642" s="7" t="s">
        <v>17</v>
      </c>
      <c r="G14642" s="7">
        <v>4271396</v>
      </c>
      <c r="H14642" s="7">
        <v>2518</v>
      </c>
      <c r="I14642" s="7">
        <v>155</v>
      </c>
      <c r="J14642" s="7">
        <v>436</v>
      </c>
      <c r="K14642" s="7" t="s">
        <v>18</v>
      </c>
      <c r="L14642" s="8">
        <v>39987.315405092595</v>
      </c>
      <c r="M14642" s="9" t="s">
        <v>19</v>
      </c>
      <c r="N14642" s="9" t="s">
        <v>20</v>
      </c>
      <c r="O14642" s="6" t="str">
        <f>HYPERLINK("https://pbs.twimg.com/profile_images/962471262747529216/Uo8lOkRJ_normal.jpg","View")</f>
        <v>View</v>
      </c>
      <c r="P14642" s="7"/>
    </row>
    <row r="14643" spans="1:16">
      <c r="A14643" s="3">
        <v>44339.816562499997</v>
      </c>
      <c r="B14643" s="4" t="str">
        <f>HYPERLINK("https://twitter.com/petrogustavo","@petrogustavo")</f>
        <v>@petrogustavo</v>
      </c>
      <c r="C14643" s="5" t="s">
        <v>16</v>
      </c>
      <c r="D14643" s="5" t="s">
        <v>14102</v>
      </c>
      <c r="E14643" s="6" t="str">
        <f>HYPERLINK("https://twitter.com/petrogustavo/status/1396467413080842250","1396467413080842250")</f>
        <v>1396467413080842250</v>
      </c>
      <c r="F14643" s="7" t="s">
        <v>17</v>
      </c>
      <c r="G14643" s="7">
        <v>4271396</v>
      </c>
      <c r="H14643" s="7">
        <v>2518</v>
      </c>
      <c r="I14643" s="7">
        <v>121</v>
      </c>
      <c r="J14643" s="7">
        <v>369</v>
      </c>
      <c r="K14643" s="7" t="s">
        <v>18</v>
      </c>
      <c r="L14643" s="8">
        <v>39987.315405092595</v>
      </c>
      <c r="M14643" s="9" t="s">
        <v>19</v>
      </c>
      <c r="N14643" s="9" t="s">
        <v>20</v>
      </c>
      <c r="O14643" s="6" t="str">
        <f>HYPERLINK("https://pbs.twimg.com/profile_images/962471262747529216/Uo8lOkRJ_normal.jpg","View")</f>
        <v>View</v>
      </c>
      <c r="P14643" s="7"/>
    </row>
    <row r="14644" spans="1:16">
      <c r="A14644" s="3">
        <v>44339.959062499998</v>
      </c>
      <c r="B14644" s="4" t="str">
        <f>HYPERLINK("https://twitter.com/petrogustavo","@petrogustavo")</f>
        <v>@petrogustavo</v>
      </c>
      <c r="C14644" s="5" t="s">
        <v>16</v>
      </c>
      <c r="D14644" s="5" t="s">
        <v>14103</v>
      </c>
      <c r="E14644" s="6" t="str">
        <f>HYPERLINK("https://twitter.com/petrogustavo/status/1396519057147506695","1396519057147506695")</f>
        <v>1396519057147506695</v>
      </c>
      <c r="F14644" s="7" t="s">
        <v>32</v>
      </c>
      <c r="G14644" s="7">
        <v>4272094</v>
      </c>
      <c r="H14644" s="7">
        <v>2518</v>
      </c>
      <c r="I14644" s="7">
        <v>405</v>
      </c>
      <c r="J14644" s="7">
        <v>1108</v>
      </c>
      <c r="K14644" s="7" t="s">
        <v>18</v>
      </c>
      <c r="L14644" s="8">
        <v>39987.315405092595</v>
      </c>
      <c r="M14644" s="9" t="s">
        <v>19</v>
      </c>
      <c r="N14644" s="9" t="s">
        <v>20</v>
      </c>
      <c r="O14644" s="6" t="str">
        <f>HYPERLINK("https://pbs.twimg.com/profile_images/962471262747529216/Uo8lOkRJ_normal.jpg","View")</f>
        <v>View</v>
      </c>
      <c r="P14644" s="7"/>
    </row>
    <row r="14645" spans="1:16">
      <c r="A14645" s="3">
        <v>44340.085914351846</v>
      </c>
      <c r="B14645" s="4" t="str">
        <f>HYPERLINK("https://twitter.com/petrogustavo","@petrogustavo")</f>
        <v>@petrogustavo</v>
      </c>
      <c r="C14645" s="5" t="s">
        <v>16</v>
      </c>
      <c r="D14645" s="5" t="s">
        <v>14104</v>
      </c>
      <c r="E14645" s="6" t="str">
        <f>HYPERLINK("https://twitter.com/petrogustavo/status/1396565023875608578","1396565023875608578")</f>
        <v>1396565023875608578</v>
      </c>
      <c r="F14645" s="7" t="s">
        <v>17</v>
      </c>
      <c r="G14645" s="7">
        <v>4272509</v>
      </c>
      <c r="H14645" s="7">
        <v>2519</v>
      </c>
      <c r="I14645" s="7">
        <v>285</v>
      </c>
      <c r="J14645" s="7">
        <v>0</v>
      </c>
      <c r="K14645" s="7" t="s">
        <v>18</v>
      </c>
      <c r="L14645" s="8">
        <v>39987.315405092595</v>
      </c>
      <c r="M14645" s="9" t="s">
        <v>19</v>
      </c>
      <c r="N14645" s="9" t="s">
        <v>20</v>
      </c>
      <c r="O14645" s="6" t="str">
        <f>HYPERLINK("https://pbs.twimg.com/profile_images/962471262747529216/Uo8lOkRJ_normal.jpg","View")</f>
        <v>View</v>
      </c>
      <c r="P14645" s="7"/>
    </row>
    <row r="14646" spans="1:16">
      <c r="A14646" s="3">
        <v>44340.086979166663</v>
      </c>
      <c r="B14646" s="4" t="str">
        <f>HYPERLINK("https://twitter.com/petrogustavo","@petrogustavo")</f>
        <v>@petrogustavo</v>
      </c>
      <c r="C14646" s="5" t="s">
        <v>16</v>
      </c>
      <c r="D14646" s="5" t="s">
        <v>14105</v>
      </c>
      <c r="E14646" s="6" t="str">
        <f>HYPERLINK("https://twitter.com/petrogustavo/status/1396565409613160460","1396565409613160460")</f>
        <v>1396565409613160460</v>
      </c>
      <c r="F14646" s="7" t="s">
        <v>17</v>
      </c>
      <c r="G14646" s="7">
        <v>4272509</v>
      </c>
      <c r="H14646" s="7">
        <v>2519</v>
      </c>
      <c r="I14646" s="7">
        <v>1596</v>
      </c>
      <c r="J14646" s="7">
        <v>0</v>
      </c>
      <c r="K14646" s="7" t="s">
        <v>18</v>
      </c>
      <c r="L14646" s="8">
        <v>39987.315405092595</v>
      </c>
      <c r="M14646" s="9" t="s">
        <v>19</v>
      </c>
      <c r="N14646" s="9" t="s">
        <v>20</v>
      </c>
      <c r="O14646" s="6" t="str">
        <f>HYPERLINK("https://pbs.twimg.com/profile_images/962471262747529216/Uo8lOkRJ_normal.jpg","View")</f>
        <v>View</v>
      </c>
      <c r="P14646" s="7"/>
    </row>
    <row r="14647" spans="1:16">
      <c r="A14647" s="3">
        <v>44340.127164351856</v>
      </c>
      <c r="B14647" s="4" t="str">
        <f>HYPERLINK("https://twitter.com/petrogustavo","@petrogustavo")</f>
        <v>@petrogustavo</v>
      </c>
      <c r="C14647" s="5" t="s">
        <v>16</v>
      </c>
      <c r="D14647" s="5" t="s">
        <v>14106</v>
      </c>
      <c r="E14647" s="6" t="str">
        <f>HYPERLINK("https://twitter.com/petrogustavo/status/1396579972144418820","1396579972144418820")</f>
        <v>1396579972144418820</v>
      </c>
      <c r="F14647" s="7" t="s">
        <v>17</v>
      </c>
      <c r="G14647" s="7">
        <v>4272652</v>
      </c>
      <c r="H14647" s="7">
        <v>2519</v>
      </c>
      <c r="I14647" s="7">
        <v>237</v>
      </c>
      <c r="J14647" s="7">
        <v>0</v>
      </c>
      <c r="K14647" s="7" t="s">
        <v>18</v>
      </c>
      <c r="L14647" s="8">
        <v>39987.315405092595</v>
      </c>
      <c r="M14647" s="9" t="s">
        <v>19</v>
      </c>
      <c r="N14647" s="9" t="s">
        <v>20</v>
      </c>
      <c r="O14647" s="6" t="str">
        <f>HYPERLINK("https://pbs.twimg.com/profile_images/962471262747529216/Uo8lOkRJ_normal.jpg","View")</f>
        <v>View</v>
      </c>
      <c r="P14647" s="7"/>
    </row>
    <row r="14648" spans="1:16">
      <c r="A14648" s="3">
        <v>44340.13013888889</v>
      </c>
      <c r="B14648" s="4" t="str">
        <f>HYPERLINK("https://twitter.com/petrogustavo","@petrogustavo")</f>
        <v>@petrogustavo</v>
      </c>
      <c r="C14648" s="5" t="s">
        <v>16</v>
      </c>
      <c r="D14648" s="5" t="s">
        <v>14107</v>
      </c>
      <c r="E14648" s="6" t="str">
        <f>HYPERLINK("https://twitter.com/petrogustavo/status/1396581051007389698","1396581051007389698")</f>
        <v>1396581051007389698</v>
      </c>
      <c r="F14648" s="7" t="s">
        <v>17</v>
      </c>
      <c r="G14648" s="7">
        <v>4272652</v>
      </c>
      <c r="H14648" s="7">
        <v>2519</v>
      </c>
      <c r="I14648" s="7">
        <v>69</v>
      </c>
      <c r="J14648" s="7">
        <v>0</v>
      </c>
      <c r="K14648" s="7" t="s">
        <v>18</v>
      </c>
      <c r="L14648" s="8">
        <v>39987.315405092595</v>
      </c>
      <c r="M14648" s="9" t="s">
        <v>19</v>
      </c>
      <c r="N14648" s="9" t="s">
        <v>20</v>
      </c>
      <c r="O14648" s="6" t="str">
        <f>HYPERLINK("https://pbs.twimg.com/profile_images/962471262747529216/Uo8lOkRJ_normal.jpg","View")</f>
        <v>View</v>
      </c>
      <c r="P14648" s="7"/>
    </row>
    <row r="14649" spans="1:16">
      <c r="A14649" s="3">
        <v>44340.13045138889</v>
      </c>
      <c r="B14649" s="4" t="str">
        <f>HYPERLINK("https://twitter.com/petrogustavo","@petrogustavo")</f>
        <v>@petrogustavo</v>
      </c>
      <c r="C14649" s="5" t="s">
        <v>16</v>
      </c>
      <c r="D14649" s="5" t="s">
        <v>14108</v>
      </c>
      <c r="E14649" s="6" t="str">
        <f>HYPERLINK("https://twitter.com/petrogustavo/status/1396581165281198087","1396581165281198087")</f>
        <v>1396581165281198087</v>
      </c>
      <c r="F14649" s="7" t="s">
        <v>17</v>
      </c>
      <c r="G14649" s="7">
        <v>4272652</v>
      </c>
      <c r="H14649" s="7">
        <v>2519</v>
      </c>
      <c r="I14649" s="7">
        <v>2745</v>
      </c>
      <c r="J14649" s="7">
        <v>0</v>
      </c>
      <c r="K14649" s="7" t="s">
        <v>18</v>
      </c>
      <c r="L14649" s="8">
        <v>39987.315405092595</v>
      </c>
      <c r="M14649" s="9" t="s">
        <v>19</v>
      </c>
      <c r="N14649" s="9" t="s">
        <v>20</v>
      </c>
      <c r="O14649" s="6" t="str">
        <f>HYPERLINK("https://pbs.twimg.com/profile_images/962471262747529216/Uo8lOkRJ_normal.jpg","View")</f>
        <v>View</v>
      </c>
      <c r="P14649" s="7"/>
    </row>
    <row r="14650" spans="1:16">
      <c r="A14650" s="3">
        <v>44340.131631944445</v>
      </c>
      <c r="B14650" s="4" t="str">
        <f>HYPERLINK("https://twitter.com/petrogustavo","@petrogustavo")</f>
        <v>@petrogustavo</v>
      </c>
      <c r="C14650" s="5" t="s">
        <v>16</v>
      </c>
      <c r="D14650" s="5" t="s">
        <v>14109</v>
      </c>
      <c r="E14650" s="6" t="str">
        <f>HYPERLINK("https://twitter.com/petrogustavo/status/1396581593993596928","1396581593993596928")</f>
        <v>1396581593993596928</v>
      </c>
      <c r="F14650" s="7" t="s">
        <v>17</v>
      </c>
      <c r="G14650" s="7">
        <v>4272652</v>
      </c>
      <c r="H14650" s="7">
        <v>2519</v>
      </c>
      <c r="I14650" s="7">
        <v>58</v>
      </c>
      <c r="J14650" s="7">
        <v>0</v>
      </c>
      <c r="K14650" s="7" t="s">
        <v>18</v>
      </c>
      <c r="L14650" s="8">
        <v>39987.315405092595</v>
      </c>
      <c r="M14650" s="9" t="s">
        <v>19</v>
      </c>
      <c r="N14650" s="9" t="s">
        <v>20</v>
      </c>
      <c r="O14650" s="6" t="str">
        <f>HYPERLINK("https://pbs.twimg.com/profile_images/962471262747529216/Uo8lOkRJ_normal.jpg","View")</f>
        <v>View</v>
      </c>
      <c r="P14650" s="7"/>
    </row>
    <row r="14651" spans="1:16">
      <c r="A14651" s="3">
        <v>44340.132395833338</v>
      </c>
      <c r="B14651" s="4" t="str">
        <f>HYPERLINK("https://twitter.com/petrogustavo","@petrogustavo")</f>
        <v>@petrogustavo</v>
      </c>
      <c r="C14651" s="5" t="s">
        <v>16</v>
      </c>
      <c r="D14651" s="5" t="s">
        <v>14110</v>
      </c>
      <c r="E14651" s="6" t="str">
        <f>HYPERLINK("https://twitter.com/petrogustavo/status/1396581868963762176","1396581868963762176")</f>
        <v>1396581868963762176</v>
      </c>
      <c r="F14651" s="7" t="s">
        <v>17</v>
      </c>
      <c r="G14651" s="7">
        <v>4272652</v>
      </c>
      <c r="H14651" s="7">
        <v>2519</v>
      </c>
      <c r="I14651" s="7">
        <v>1048</v>
      </c>
      <c r="J14651" s="7">
        <v>0</v>
      </c>
      <c r="K14651" s="7" t="s">
        <v>18</v>
      </c>
      <c r="L14651" s="8">
        <v>39987.315405092595</v>
      </c>
      <c r="M14651" s="9" t="s">
        <v>19</v>
      </c>
      <c r="N14651" s="9" t="s">
        <v>20</v>
      </c>
      <c r="O14651" s="6" t="str">
        <f>HYPERLINK("https://pbs.twimg.com/profile_images/962471262747529216/Uo8lOkRJ_normal.jpg","View")</f>
        <v>View</v>
      </c>
      <c r="P14651" s="7"/>
    </row>
    <row r="14652" spans="1:16">
      <c r="A14652" s="3">
        <v>44340.135023148148</v>
      </c>
      <c r="B14652" s="4" t="str">
        <f>HYPERLINK("https://twitter.com/petrogustavo","@petrogustavo")</f>
        <v>@petrogustavo</v>
      </c>
      <c r="C14652" s="5" t="s">
        <v>16</v>
      </c>
      <c r="D14652" s="5" t="s">
        <v>14111</v>
      </c>
      <c r="E14652" s="6" t="str">
        <f>HYPERLINK("https://twitter.com/petrogustavo/status/1396582820387168262","1396582820387168262")</f>
        <v>1396582820387168262</v>
      </c>
      <c r="F14652" s="7" t="s">
        <v>17</v>
      </c>
      <c r="G14652" s="7">
        <v>4272652</v>
      </c>
      <c r="H14652" s="7">
        <v>2519</v>
      </c>
      <c r="I14652" s="7">
        <v>93</v>
      </c>
      <c r="J14652" s="7">
        <v>228</v>
      </c>
      <c r="K14652" s="7" t="s">
        <v>18</v>
      </c>
      <c r="L14652" s="8">
        <v>39987.315405092595</v>
      </c>
      <c r="M14652" s="9" t="s">
        <v>19</v>
      </c>
      <c r="N14652" s="9" t="s">
        <v>20</v>
      </c>
      <c r="O14652" s="6" t="str">
        <f>HYPERLINK("https://pbs.twimg.com/profile_images/962471262747529216/Uo8lOkRJ_normal.jpg","View")</f>
        <v>View</v>
      </c>
      <c r="P14652" s="7"/>
    </row>
    <row r="14653" spans="1:16">
      <c r="A14653" s="3">
        <v>44340.135844907403</v>
      </c>
      <c r="B14653" s="4" t="str">
        <f>HYPERLINK("https://twitter.com/petrogustavo","@petrogustavo")</f>
        <v>@petrogustavo</v>
      </c>
      <c r="C14653" s="5" t="s">
        <v>16</v>
      </c>
      <c r="D14653" s="5" t="s">
        <v>14112</v>
      </c>
      <c r="E14653" s="6" t="str">
        <f>HYPERLINK("https://twitter.com/petrogustavo/status/1396583120963518468","1396583120963518468")</f>
        <v>1396583120963518468</v>
      </c>
      <c r="F14653" s="7" t="s">
        <v>17</v>
      </c>
      <c r="G14653" s="7">
        <v>4272652</v>
      </c>
      <c r="H14653" s="7">
        <v>2519</v>
      </c>
      <c r="I14653" s="7">
        <v>900</v>
      </c>
      <c r="J14653" s="7">
        <v>0</v>
      </c>
      <c r="K14653" s="7" t="s">
        <v>18</v>
      </c>
      <c r="L14653" s="8">
        <v>39987.315405092595</v>
      </c>
      <c r="M14653" s="9" t="s">
        <v>19</v>
      </c>
      <c r="N14653" s="9" t="s">
        <v>20</v>
      </c>
      <c r="O14653" s="6" t="str">
        <f>HYPERLINK("https://pbs.twimg.com/profile_images/962471262747529216/Uo8lOkRJ_normal.jpg","View")</f>
        <v>View</v>
      </c>
      <c r="P14653" s="7"/>
    </row>
    <row r="14654" spans="1:16">
      <c r="A14654" s="3">
        <v>44340.139664351853</v>
      </c>
      <c r="B14654" s="4" t="str">
        <f>HYPERLINK("https://twitter.com/petrogustavo","@petrogustavo")</f>
        <v>@petrogustavo</v>
      </c>
      <c r="C14654" s="5" t="s">
        <v>16</v>
      </c>
      <c r="D14654" s="5" t="s">
        <v>14113</v>
      </c>
      <c r="E14654" s="6" t="str">
        <f>HYPERLINK("https://twitter.com/petrogustavo/status/1396584504047947778","1396584504047947778")</f>
        <v>1396584504047947778</v>
      </c>
      <c r="F14654" s="7" t="s">
        <v>17</v>
      </c>
      <c r="G14654" s="7">
        <v>4272718</v>
      </c>
      <c r="H14654" s="7">
        <v>2519</v>
      </c>
      <c r="I14654" s="7">
        <v>426</v>
      </c>
      <c r="J14654" s="7">
        <v>802</v>
      </c>
      <c r="K14654" s="7" t="s">
        <v>18</v>
      </c>
      <c r="L14654" s="8">
        <v>39987.315405092595</v>
      </c>
      <c r="M14654" s="9" t="s">
        <v>19</v>
      </c>
      <c r="N14654" s="9" t="s">
        <v>20</v>
      </c>
      <c r="O14654" s="6" t="str">
        <f>HYPERLINK("https://pbs.twimg.com/profile_images/962471262747529216/Uo8lOkRJ_normal.jpg","View")</f>
        <v>View</v>
      </c>
      <c r="P14654" s="7"/>
    </row>
    <row r="14655" spans="1:16">
      <c r="A14655" s="3">
        <v>44340.140081018515</v>
      </c>
      <c r="B14655" s="4" t="str">
        <f>HYPERLINK("https://twitter.com/petrogustavo","@petrogustavo")</f>
        <v>@petrogustavo</v>
      </c>
      <c r="C14655" s="5" t="s">
        <v>16</v>
      </c>
      <c r="D14655" s="5" t="s">
        <v>14114</v>
      </c>
      <c r="E14655" s="6" t="str">
        <f>HYPERLINK("https://twitter.com/petrogustavo/status/1396584652773773312","1396584652773773312")</f>
        <v>1396584652773773312</v>
      </c>
      <c r="F14655" s="7" t="s">
        <v>17</v>
      </c>
      <c r="G14655" s="7">
        <v>4272718</v>
      </c>
      <c r="H14655" s="7">
        <v>2519</v>
      </c>
      <c r="I14655" s="7">
        <v>154</v>
      </c>
      <c r="J14655" s="7">
        <v>0</v>
      </c>
      <c r="K14655" s="7" t="s">
        <v>18</v>
      </c>
      <c r="L14655" s="8">
        <v>39987.315405092595</v>
      </c>
      <c r="M14655" s="9" t="s">
        <v>19</v>
      </c>
      <c r="N14655" s="9" t="s">
        <v>20</v>
      </c>
      <c r="O14655" s="6" t="str">
        <f>HYPERLINK("https://pbs.twimg.com/profile_images/962471262747529216/Uo8lOkRJ_normal.jpg","View")</f>
        <v>View</v>
      </c>
      <c r="P14655" s="7"/>
    </row>
    <row r="14656" spans="1:16">
      <c r="A14656" s="3">
        <v>44340.15079861111</v>
      </c>
      <c r="B14656" s="4" t="str">
        <f>HYPERLINK("https://twitter.com/petrogustavo","@petrogustavo")</f>
        <v>@petrogustavo</v>
      </c>
      <c r="C14656" s="5" t="s">
        <v>16</v>
      </c>
      <c r="D14656" s="5" t="s">
        <v>14115</v>
      </c>
      <c r="E14656" s="6" t="str">
        <f>HYPERLINK("https://twitter.com/petrogustavo/status/1396588538720931843","1396588538720931843")</f>
        <v>1396588538720931843</v>
      </c>
      <c r="F14656" s="7" t="s">
        <v>17</v>
      </c>
      <c r="G14656" s="7">
        <v>4272718</v>
      </c>
      <c r="H14656" s="7">
        <v>2519</v>
      </c>
      <c r="I14656" s="7">
        <v>328</v>
      </c>
      <c r="J14656" s="7">
        <v>634</v>
      </c>
      <c r="K14656" s="7" t="s">
        <v>18</v>
      </c>
      <c r="L14656" s="8">
        <v>39987.315405092595</v>
      </c>
      <c r="M14656" s="9" t="s">
        <v>19</v>
      </c>
      <c r="N14656" s="9" t="s">
        <v>20</v>
      </c>
      <c r="O14656" s="6" t="str">
        <f>HYPERLINK("https://pbs.twimg.com/profile_images/962471262747529216/Uo8lOkRJ_normal.jpg","View")</f>
        <v>View</v>
      </c>
      <c r="P14656" s="7"/>
    </row>
    <row r="14657" spans="1:16">
      <c r="A14657" s="3">
        <v>44340.15420138889</v>
      </c>
      <c r="B14657" s="4" t="str">
        <f>HYPERLINK("https://twitter.com/petrogustavo","@petrogustavo")</f>
        <v>@petrogustavo</v>
      </c>
      <c r="C14657" s="5" t="s">
        <v>16</v>
      </c>
      <c r="D14657" s="5" t="s">
        <v>14116</v>
      </c>
      <c r="E14657" s="6" t="str">
        <f>HYPERLINK("https://twitter.com/petrogustavo/status/1396589773125472266","1396589773125472266")</f>
        <v>1396589773125472266</v>
      </c>
      <c r="F14657" s="7" t="s">
        <v>17</v>
      </c>
      <c r="G14657" s="7">
        <v>4272718</v>
      </c>
      <c r="H14657" s="7">
        <v>2519</v>
      </c>
      <c r="I14657" s="7">
        <v>71</v>
      </c>
      <c r="J14657" s="7">
        <v>0</v>
      </c>
      <c r="K14657" s="7" t="s">
        <v>18</v>
      </c>
      <c r="L14657" s="8">
        <v>39987.315405092595</v>
      </c>
      <c r="M14657" s="9" t="s">
        <v>19</v>
      </c>
      <c r="N14657" s="9" t="s">
        <v>20</v>
      </c>
      <c r="O14657" s="6" t="str">
        <f>HYPERLINK("https://pbs.twimg.com/profile_images/962471262747529216/Uo8lOkRJ_normal.jpg","View")</f>
        <v>View</v>
      </c>
      <c r="P14657" s="7"/>
    </row>
    <row r="14658" spans="1:16">
      <c r="A14658" s="3">
        <v>44340.155150462961</v>
      </c>
      <c r="B14658" s="4" t="str">
        <f>HYPERLINK("https://twitter.com/petrogustavo","@petrogustavo")</f>
        <v>@petrogustavo</v>
      </c>
      <c r="C14658" s="5" t="s">
        <v>16</v>
      </c>
      <c r="D14658" s="5" t="s">
        <v>14117</v>
      </c>
      <c r="E14658" s="6" t="str">
        <f>HYPERLINK("https://twitter.com/petrogustavo/status/1396590116429340673","1396590116429340673")</f>
        <v>1396590116429340673</v>
      </c>
      <c r="F14658" s="7" t="s">
        <v>17</v>
      </c>
      <c r="G14658" s="7">
        <v>4272718</v>
      </c>
      <c r="H14658" s="7">
        <v>2519</v>
      </c>
      <c r="I14658" s="7">
        <v>434</v>
      </c>
      <c r="J14658" s="7">
        <v>0</v>
      </c>
      <c r="K14658" s="7" t="s">
        <v>18</v>
      </c>
      <c r="L14658" s="8">
        <v>39987.315405092595</v>
      </c>
      <c r="M14658" s="9" t="s">
        <v>19</v>
      </c>
      <c r="N14658" s="9" t="s">
        <v>20</v>
      </c>
      <c r="O14658" s="6" t="str">
        <f>HYPERLINK("https://pbs.twimg.com/profile_images/962471262747529216/Uo8lOkRJ_normal.jpg","View")</f>
        <v>View</v>
      </c>
      <c r="P14658" s="7"/>
    </row>
    <row r="14659" spans="1:16">
      <c r="A14659" s="3">
        <v>44340.158136574071</v>
      </c>
      <c r="B14659" s="4" t="str">
        <f>HYPERLINK("https://twitter.com/petrogustavo","@petrogustavo")</f>
        <v>@petrogustavo</v>
      </c>
      <c r="C14659" s="5" t="s">
        <v>16</v>
      </c>
      <c r="D14659" s="5" t="s">
        <v>14118</v>
      </c>
      <c r="E14659" s="6" t="str">
        <f>HYPERLINK("https://twitter.com/petrogustavo/status/1396591197129519104","1396591197129519104")</f>
        <v>1396591197129519104</v>
      </c>
      <c r="F14659" s="7" t="s">
        <v>17</v>
      </c>
      <c r="G14659" s="7">
        <v>4272773</v>
      </c>
      <c r="H14659" s="7">
        <v>2519</v>
      </c>
      <c r="I14659" s="7">
        <v>1983</v>
      </c>
      <c r="J14659" s="7">
        <v>0</v>
      </c>
      <c r="K14659" s="7" t="s">
        <v>18</v>
      </c>
      <c r="L14659" s="8">
        <v>39987.315405092595</v>
      </c>
      <c r="M14659" s="9" t="s">
        <v>19</v>
      </c>
      <c r="N14659" s="9" t="s">
        <v>20</v>
      </c>
      <c r="O14659" s="6" t="str">
        <f>HYPERLINK("https://pbs.twimg.com/profile_images/962471262747529216/Uo8lOkRJ_normal.jpg","View")</f>
        <v>View</v>
      </c>
      <c r="P14659" s="7"/>
    </row>
    <row r="14660" spans="1:16">
      <c r="A14660" s="3">
        <v>44340.163194444445</v>
      </c>
      <c r="B14660" s="4" t="str">
        <f>HYPERLINK("https://twitter.com/petrogustavo","@petrogustavo")</f>
        <v>@petrogustavo</v>
      </c>
      <c r="C14660" s="5" t="s">
        <v>16</v>
      </c>
      <c r="D14660" s="5" t="s">
        <v>14119</v>
      </c>
      <c r="E14660" s="6" t="str">
        <f>HYPERLINK("https://twitter.com/petrogustavo/status/1396593031466336262","1396593031466336262")</f>
        <v>1396593031466336262</v>
      </c>
      <c r="F14660" s="7" t="s">
        <v>17</v>
      </c>
      <c r="G14660" s="7">
        <v>4272773</v>
      </c>
      <c r="H14660" s="7">
        <v>2519</v>
      </c>
      <c r="I14660" s="7">
        <v>250</v>
      </c>
      <c r="J14660" s="7">
        <v>574</v>
      </c>
      <c r="K14660" s="7" t="s">
        <v>18</v>
      </c>
      <c r="L14660" s="8">
        <v>39987.315405092595</v>
      </c>
      <c r="M14660" s="9" t="s">
        <v>19</v>
      </c>
      <c r="N14660" s="9" t="s">
        <v>20</v>
      </c>
      <c r="O14660" s="6" t="str">
        <f>HYPERLINK("https://pbs.twimg.com/profile_images/962471262747529216/Uo8lOkRJ_normal.jpg","View")</f>
        <v>View</v>
      </c>
      <c r="P14660" s="7"/>
    </row>
    <row r="14661" spans="1:16">
      <c r="A14661" s="3">
        <v>44340.163206018522</v>
      </c>
      <c r="B14661" s="4" t="str">
        <f>HYPERLINK("https://twitter.com/petrogustavo","@petrogustavo")</f>
        <v>@petrogustavo</v>
      </c>
      <c r="C14661" s="5" t="s">
        <v>16</v>
      </c>
      <c r="D14661" s="5" t="s">
        <v>14120</v>
      </c>
      <c r="E14661" s="6" t="str">
        <f>HYPERLINK("https://twitter.com/petrogustavo/status/1396593032766660608","1396593032766660608")</f>
        <v>1396593032766660608</v>
      </c>
      <c r="F14661" s="7" t="s">
        <v>17</v>
      </c>
      <c r="G14661" s="7">
        <v>4272773</v>
      </c>
      <c r="H14661" s="7">
        <v>2519</v>
      </c>
      <c r="I14661" s="7">
        <v>222</v>
      </c>
      <c r="J14661" s="7">
        <v>694</v>
      </c>
      <c r="K14661" s="7" t="s">
        <v>18</v>
      </c>
      <c r="L14661" s="8">
        <v>39987.315405092595</v>
      </c>
      <c r="M14661" s="9" t="s">
        <v>19</v>
      </c>
      <c r="N14661" s="9" t="s">
        <v>20</v>
      </c>
      <c r="O14661" s="6" t="str">
        <f>HYPERLINK("https://pbs.twimg.com/profile_images/962471262747529216/Uo8lOkRJ_normal.jpg","View")</f>
        <v>View</v>
      </c>
      <c r="P14661" s="7"/>
    </row>
    <row r="14662" spans="1:16">
      <c r="A14662" s="3">
        <v>44340.166597222225</v>
      </c>
      <c r="B14662" s="4" t="str">
        <f>HYPERLINK("https://twitter.com/petrogustavo","@petrogustavo")</f>
        <v>@petrogustavo</v>
      </c>
      <c r="C14662" s="5" t="s">
        <v>16</v>
      </c>
      <c r="D14662" s="5" t="s">
        <v>14121</v>
      </c>
      <c r="E14662" s="6" t="str">
        <f>HYPERLINK("https://twitter.com/petrogustavo/status/1396594263522172929","1396594263522172929")</f>
        <v>1396594263522172929</v>
      </c>
      <c r="F14662" s="7" t="s">
        <v>17</v>
      </c>
      <c r="G14662" s="7">
        <v>4272773</v>
      </c>
      <c r="H14662" s="7">
        <v>2519</v>
      </c>
      <c r="I14662" s="7">
        <v>1330</v>
      </c>
      <c r="J14662" s="7">
        <v>0</v>
      </c>
      <c r="K14662" s="7" t="s">
        <v>18</v>
      </c>
      <c r="L14662" s="8">
        <v>39987.315405092595</v>
      </c>
      <c r="M14662" s="9" t="s">
        <v>19</v>
      </c>
      <c r="N14662" s="9" t="s">
        <v>20</v>
      </c>
      <c r="O14662" s="6" t="str">
        <f>HYPERLINK("https://pbs.twimg.com/profile_images/962471262747529216/Uo8lOkRJ_normal.jpg","View")</f>
        <v>View</v>
      </c>
      <c r="P14662" s="7"/>
    </row>
    <row r="14663" spans="1:16">
      <c r="A14663" s="3">
        <v>44340.16878472222</v>
      </c>
      <c r="B14663" s="4" t="str">
        <f>HYPERLINK("https://twitter.com/petrogustavo","@petrogustavo")</f>
        <v>@petrogustavo</v>
      </c>
      <c r="C14663" s="5" t="s">
        <v>16</v>
      </c>
      <c r="D14663" s="5" t="s">
        <v>14122</v>
      </c>
      <c r="E14663" s="6" t="str">
        <f>HYPERLINK("https://twitter.com/petrogustavo/status/1396595054165250057","1396595054165250057")</f>
        <v>1396595054165250057</v>
      </c>
      <c r="F14663" s="7" t="s">
        <v>17</v>
      </c>
      <c r="G14663" s="7">
        <v>4272773</v>
      </c>
      <c r="H14663" s="7">
        <v>2519</v>
      </c>
      <c r="I14663" s="7">
        <v>2067</v>
      </c>
      <c r="J14663" s="7">
        <v>0</v>
      </c>
      <c r="K14663" s="7" t="s">
        <v>18</v>
      </c>
      <c r="L14663" s="8">
        <v>39987.315405092595</v>
      </c>
      <c r="M14663" s="9" t="s">
        <v>19</v>
      </c>
      <c r="N14663" s="9" t="s">
        <v>20</v>
      </c>
      <c r="O14663" s="6" t="str">
        <f>HYPERLINK("https://pbs.twimg.com/profile_images/962471262747529216/Uo8lOkRJ_normal.jpg","View")</f>
        <v>View</v>
      </c>
      <c r="P14663" s="7"/>
    </row>
    <row r="14664" spans="1:16">
      <c r="A14664" s="3">
        <v>44340.173148148147</v>
      </c>
      <c r="B14664" s="4" t="str">
        <f>HYPERLINK("https://twitter.com/petrogustavo","@petrogustavo")</f>
        <v>@petrogustavo</v>
      </c>
      <c r="C14664" s="5" t="s">
        <v>16</v>
      </c>
      <c r="D14664" s="5" t="s">
        <v>14123</v>
      </c>
      <c r="E14664" s="6" t="str">
        <f>HYPERLINK("https://twitter.com/petrogustavo/status/1396596638693605379","1396596638693605379")</f>
        <v>1396596638693605379</v>
      </c>
      <c r="F14664" s="7" t="s">
        <v>17</v>
      </c>
      <c r="G14664" s="7">
        <v>4272773</v>
      </c>
      <c r="H14664" s="7">
        <v>2519</v>
      </c>
      <c r="I14664" s="7">
        <v>146</v>
      </c>
      <c r="J14664" s="7">
        <v>353</v>
      </c>
      <c r="K14664" s="7" t="s">
        <v>18</v>
      </c>
      <c r="L14664" s="8">
        <v>39987.315405092595</v>
      </c>
      <c r="M14664" s="9" t="s">
        <v>19</v>
      </c>
      <c r="N14664" s="9" t="s">
        <v>20</v>
      </c>
      <c r="O14664" s="6" t="str">
        <f>HYPERLINK("https://pbs.twimg.com/profile_images/962471262747529216/Uo8lOkRJ_normal.jpg","View")</f>
        <v>View</v>
      </c>
      <c r="P14664" s="7"/>
    </row>
    <row r="14665" spans="1:16">
      <c r="A14665" s="3">
        <v>44340.187407407408</v>
      </c>
      <c r="B14665" s="4" t="str">
        <f>HYPERLINK("https://twitter.com/petrogustavo","@petrogustavo")</f>
        <v>@petrogustavo</v>
      </c>
      <c r="C14665" s="5" t="s">
        <v>16</v>
      </c>
      <c r="D14665" s="5" t="s">
        <v>14124</v>
      </c>
      <c r="E14665" s="6" t="str">
        <f>HYPERLINK("https://twitter.com/petrogustavo/status/1396601806667530247","1396601806667530247")</f>
        <v>1396601806667530247</v>
      </c>
      <c r="F14665" s="7" t="s">
        <v>17</v>
      </c>
      <c r="G14665" s="7">
        <v>4272842</v>
      </c>
      <c r="H14665" s="7">
        <v>2519</v>
      </c>
      <c r="I14665" s="7">
        <v>1748</v>
      </c>
      <c r="J14665" s="7">
        <v>0</v>
      </c>
      <c r="K14665" s="7" t="s">
        <v>18</v>
      </c>
      <c r="L14665" s="8">
        <v>39987.315405092595</v>
      </c>
      <c r="M14665" s="9" t="s">
        <v>19</v>
      </c>
      <c r="N14665" s="9" t="s">
        <v>20</v>
      </c>
      <c r="O14665" s="6" t="str">
        <f>HYPERLINK("https://pbs.twimg.com/profile_images/962471262747529216/Uo8lOkRJ_normal.jpg","View")</f>
        <v>View</v>
      </c>
      <c r="P14665" s="7"/>
    </row>
    <row r="14666" spans="1:16">
      <c r="A14666" s="3">
        <v>44340.229826388888</v>
      </c>
      <c r="B14666" s="4" t="str">
        <f>HYPERLINK("https://twitter.com/petrogustavo","@petrogustavo")</f>
        <v>@petrogustavo</v>
      </c>
      <c r="C14666" s="5" t="s">
        <v>16</v>
      </c>
      <c r="D14666" s="5" t="s">
        <v>14125</v>
      </c>
      <c r="E14666" s="6" t="str">
        <f>HYPERLINK("https://twitter.com/petrogustavo/status/1396617177961320448","1396617177961320448")</f>
        <v>1396617177961320448</v>
      </c>
      <c r="F14666" s="7" t="s">
        <v>32</v>
      </c>
      <c r="G14666" s="7">
        <v>4272988</v>
      </c>
      <c r="H14666" s="7">
        <v>2519</v>
      </c>
      <c r="I14666" s="7">
        <v>1440</v>
      </c>
      <c r="J14666" s="7">
        <v>0</v>
      </c>
      <c r="K14666" s="7" t="s">
        <v>18</v>
      </c>
      <c r="L14666" s="8">
        <v>39987.315405092595</v>
      </c>
      <c r="M14666" s="9" t="s">
        <v>19</v>
      </c>
      <c r="N14666" s="9" t="s">
        <v>20</v>
      </c>
      <c r="O14666" s="6" t="str">
        <f>HYPERLINK("https://pbs.twimg.com/profile_images/962471262747529216/Uo8lOkRJ_normal.jpg","View")</f>
        <v>View</v>
      </c>
      <c r="P14666" s="7"/>
    </row>
    <row r="14667" spans="1:16">
      <c r="A14667" s="3">
        <v>44340.233668981484</v>
      </c>
      <c r="B14667" s="4" t="str">
        <f>HYPERLINK("https://twitter.com/petrogustavo","@petrogustavo")</f>
        <v>@petrogustavo</v>
      </c>
      <c r="C14667" s="5" t="s">
        <v>16</v>
      </c>
      <c r="D14667" s="5" t="s">
        <v>14126</v>
      </c>
      <c r="E14667" s="6" t="str">
        <f>HYPERLINK("https://twitter.com/petrogustavo/status/1396618568934957056","1396618568934957056")</f>
        <v>1396618568934957056</v>
      </c>
      <c r="F14667" s="7" t="s">
        <v>22</v>
      </c>
      <c r="G14667" s="7">
        <v>4272988</v>
      </c>
      <c r="H14667" s="7">
        <v>2519</v>
      </c>
      <c r="I14667" s="7">
        <v>147</v>
      </c>
      <c r="J14667" s="7">
        <v>319</v>
      </c>
      <c r="K14667" s="7" t="s">
        <v>18</v>
      </c>
      <c r="L14667" s="8">
        <v>39987.315405092595</v>
      </c>
      <c r="M14667" s="9" t="s">
        <v>19</v>
      </c>
      <c r="N14667" s="9" t="s">
        <v>20</v>
      </c>
      <c r="O14667" s="6" t="str">
        <f>HYPERLINK("https://pbs.twimg.com/profile_images/962471262747529216/Uo8lOkRJ_normal.jpg","View")</f>
        <v>View</v>
      </c>
      <c r="P14667" s="7"/>
    </row>
    <row r="14668" spans="1:16">
      <c r="A14668" s="3">
        <v>44340.37667824074</v>
      </c>
      <c r="B14668" s="4" t="str">
        <f>HYPERLINK("https://twitter.com/petrogustavo","@petrogustavo")</f>
        <v>@petrogustavo</v>
      </c>
      <c r="C14668" s="5" t="s">
        <v>16</v>
      </c>
      <c r="D14668" s="5" t="s">
        <v>14127</v>
      </c>
      <c r="E14668" s="6" t="str">
        <f>HYPERLINK("https://twitter.com/petrogustavo/status/1396670393197469700","1396670393197469700")</f>
        <v>1396670393197469700</v>
      </c>
      <c r="F14668" s="7" t="s">
        <v>32</v>
      </c>
      <c r="G14668" s="7">
        <v>4273653</v>
      </c>
      <c r="H14668" s="7">
        <v>2519</v>
      </c>
      <c r="I14668" s="7">
        <v>252</v>
      </c>
      <c r="J14668" s="7">
        <v>0</v>
      </c>
      <c r="K14668" s="7" t="s">
        <v>18</v>
      </c>
      <c r="L14668" s="8">
        <v>39987.315405092595</v>
      </c>
      <c r="M14668" s="9" t="s">
        <v>19</v>
      </c>
      <c r="N14668" s="9" t="s">
        <v>20</v>
      </c>
      <c r="O14668" s="6" t="str">
        <f>HYPERLINK("https://pbs.twimg.com/profile_images/962471262747529216/Uo8lOkRJ_normal.jpg","View")</f>
        <v>View</v>
      </c>
      <c r="P14668" s="7"/>
    </row>
    <row r="14669" spans="1:16">
      <c r="A14669" s="3">
        <v>44340.376793981486</v>
      </c>
      <c r="B14669" s="4" t="str">
        <f>HYPERLINK("https://twitter.com/petrogustavo","@petrogustavo")</f>
        <v>@petrogustavo</v>
      </c>
      <c r="C14669" s="5" t="s">
        <v>16</v>
      </c>
      <c r="D14669" s="5" t="s">
        <v>14128</v>
      </c>
      <c r="E14669" s="6" t="str">
        <f>HYPERLINK("https://twitter.com/petrogustavo/status/1396670436402925568","1396670436402925568")</f>
        <v>1396670436402925568</v>
      </c>
      <c r="F14669" s="7" t="s">
        <v>32</v>
      </c>
      <c r="G14669" s="7">
        <v>4273653</v>
      </c>
      <c r="H14669" s="7">
        <v>2519</v>
      </c>
      <c r="I14669" s="7">
        <v>788</v>
      </c>
      <c r="J14669" s="7">
        <v>0</v>
      </c>
      <c r="K14669" s="7" t="s">
        <v>18</v>
      </c>
      <c r="L14669" s="8">
        <v>39987.315405092595</v>
      </c>
      <c r="M14669" s="9" t="s">
        <v>19</v>
      </c>
      <c r="N14669" s="9" t="s">
        <v>20</v>
      </c>
      <c r="O14669" s="6" t="str">
        <f>HYPERLINK("https://pbs.twimg.com/profile_images/962471262747529216/Uo8lOkRJ_normal.jpg","View")</f>
        <v>View</v>
      </c>
      <c r="P14669" s="7"/>
    </row>
    <row r="14670" spans="1:16">
      <c r="A14670" s="3">
        <v>44340.397696759261</v>
      </c>
      <c r="B14670" s="4" t="str">
        <f>HYPERLINK("https://twitter.com/petrogustavo","@petrogustavo")</f>
        <v>@petrogustavo</v>
      </c>
      <c r="C14670" s="5" t="s">
        <v>16</v>
      </c>
      <c r="D14670" s="5" t="s">
        <v>14129</v>
      </c>
      <c r="E14670" s="6" t="str">
        <f>HYPERLINK("https://twitter.com/petrogustavo/status/1396678009889992704","1396678009889992704")</f>
        <v>1396678009889992704</v>
      </c>
      <c r="F14670" s="7" t="s">
        <v>32</v>
      </c>
      <c r="G14670" s="7">
        <v>4273716</v>
      </c>
      <c r="H14670" s="7">
        <v>2519</v>
      </c>
      <c r="I14670" s="7">
        <v>280</v>
      </c>
      <c r="J14670" s="7">
        <v>0</v>
      </c>
      <c r="K14670" s="7" t="s">
        <v>18</v>
      </c>
      <c r="L14670" s="8">
        <v>39987.315405092595</v>
      </c>
      <c r="M14670" s="9" t="s">
        <v>19</v>
      </c>
      <c r="N14670" s="9" t="s">
        <v>20</v>
      </c>
      <c r="O14670" s="6" t="str">
        <f>HYPERLINK("https://pbs.twimg.com/profile_images/962471262747529216/Uo8lOkRJ_normal.jpg","View")</f>
        <v>View</v>
      </c>
      <c r="P14670" s="7"/>
    </row>
    <row r="14671" spans="1:16">
      <c r="A14671" s="3">
        <v>44340.411539351851</v>
      </c>
      <c r="B14671" s="4" t="str">
        <f>HYPERLINK("https://twitter.com/petrogustavo","@petrogustavo")</f>
        <v>@petrogustavo</v>
      </c>
      <c r="C14671" s="5" t="s">
        <v>16</v>
      </c>
      <c r="D14671" s="5" t="s">
        <v>14130</v>
      </c>
      <c r="E14671" s="6" t="str">
        <f>HYPERLINK("https://twitter.com/petrogustavo/status/1396683025765785600","1396683025765785600")</f>
        <v>1396683025765785600</v>
      </c>
      <c r="F14671" s="7" t="s">
        <v>32</v>
      </c>
      <c r="G14671" s="7">
        <v>4273716</v>
      </c>
      <c r="H14671" s="7">
        <v>2519</v>
      </c>
      <c r="I14671" s="7">
        <v>299</v>
      </c>
      <c r="J14671" s="7">
        <v>480</v>
      </c>
      <c r="K14671" s="7" t="s">
        <v>18</v>
      </c>
      <c r="L14671" s="8">
        <v>39987.315405092595</v>
      </c>
      <c r="M14671" s="9" t="s">
        <v>19</v>
      </c>
      <c r="N14671" s="9" t="s">
        <v>20</v>
      </c>
      <c r="O14671" s="6" t="str">
        <f>HYPERLINK("https://pbs.twimg.com/profile_images/962471262747529216/Uo8lOkRJ_normal.jpg","View")</f>
        <v>View</v>
      </c>
      <c r="P14671" s="7"/>
    </row>
    <row r="14672" spans="1:16">
      <c r="A14672" s="3">
        <v>44340.722696759258</v>
      </c>
      <c r="B14672" s="4" t="str">
        <f>HYPERLINK("https://twitter.com/petrogustavo","@petrogustavo")</f>
        <v>@petrogustavo</v>
      </c>
      <c r="C14672" s="5" t="s">
        <v>16</v>
      </c>
      <c r="D14672" s="5" t="s">
        <v>14131</v>
      </c>
      <c r="E14672" s="6" t="str">
        <f>HYPERLINK("https://twitter.com/petrogustavo/status/1396795785094774788","1396795785094774788")</f>
        <v>1396795785094774788</v>
      </c>
      <c r="F14672" s="7" t="s">
        <v>17</v>
      </c>
      <c r="G14672" s="7">
        <v>4274058</v>
      </c>
      <c r="H14672" s="7">
        <v>2519</v>
      </c>
      <c r="I14672" s="7">
        <v>10640</v>
      </c>
      <c r="J14672" s="7">
        <v>0</v>
      </c>
      <c r="K14672" s="7" t="s">
        <v>18</v>
      </c>
      <c r="L14672" s="8">
        <v>39987.315405092595</v>
      </c>
      <c r="M14672" s="9" t="s">
        <v>19</v>
      </c>
      <c r="N14672" s="9" t="s">
        <v>20</v>
      </c>
      <c r="O14672" s="6" t="str">
        <f>HYPERLINK("https://pbs.twimg.com/profile_images/962471262747529216/Uo8lOkRJ_normal.jpg","View")</f>
        <v>View</v>
      </c>
      <c r="P14672" s="7"/>
    </row>
    <row r="14673" spans="1:16">
      <c r="A14673" s="3">
        <v>44340.770046296297</v>
      </c>
      <c r="B14673" s="4" t="str">
        <f>HYPERLINK("https://twitter.com/petrogustavo","@petrogustavo")</f>
        <v>@petrogustavo</v>
      </c>
      <c r="C14673" s="5" t="s">
        <v>16</v>
      </c>
      <c r="D14673" s="5" t="s">
        <v>14132</v>
      </c>
      <c r="E14673" s="6" t="str">
        <f>HYPERLINK("https://twitter.com/petrogustavo/status/1396812944281935882","1396812944281935882")</f>
        <v>1396812944281935882</v>
      </c>
      <c r="F14673" s="7" t="s">
        <v>17</v>
      </c>
      <c r="G14673" s="7">
        <v>4274178</v>
      </c>
      <c r="H14673" s="7">
        <v>2519</v>
      </c>
      <c r="I14673" s="7">
        <v>61</v>
      </c>
      <c r="J14673" s="7">
        <v>169</v>
      </c>
      <c r="K14673" s="7" t="s">
        <v>18</v>
      </c>
      <c r="L14673" s="8">
        <v>39987.315405092595</v>
      </c>
      <c r="M14673" s="9" t="s">
        <v>19</v>
      </c>
      <c r="N14673" s="9" t="s">
        <v>20</v>
      </c>
      <c r="O14673" s="6" t="str">
        <f>HYPERLINK("https://pbs.twimg.com/profile_images/962471262747529216/Uo8lOkRJ_normal.jpg","View")</f>
        <v>View</v>
      </c>
      <c r="P14673" s="7"/>
    </row>
    <row r="14674" spans="1:16">
      <c r="A14674" s="3">
        <v>44340.772569444445</v>
      </c>
      <c r="B14674" s="4" t="str">
        <f>HYPERLINK("https://twitter.com/petrogustavo","@petrogustavo")</f>
        <v>@petrogustavo</v>
      </c>
      <c r="C14674" s="5" t="s">
        <v>16</v>
      </c>
      <c r="D14674" s="5" t="s">
        <v>14133</v>
      </c>
      <c r="E14674" s="6" t="str">
        <f>HYPERLINK("https://twitter.com/petrogustavo/status/1396813859126710273","1396813859126710273")</f>
        <v>1396813859126710273</v>
      </c>
      <c r="F14674" s="7" t="s">
        <v>17</v>
      </c>
      <c r="G14674" s="7">
        <v>4274253</v>
      </c>
      <c r="H14674" s="7">
        <v>2519</v>
      </c>
      <c r="I14674" s="7">
        <v>726</v>
      </c>
      <c r="J14674" s="7">
        <v>0</v>
      </c>
      <c r="K14674" s="7" t="s">
        <v>18</v>
      </c>
      <c r="L14674" s="8">
        <v>39987.315405092595</v>
      </c>
      <c r="M14674" s="9" t="s">
        <v>19</v>
      </c>
      <c r="N14674" s="9" t="s">
        <v>20</v>
      </c>
      <c r="O14674" s="6" t="str">
        <f>HYPERLINK("https://pbs.twimg.com/profile_images/962471262747529216/Uo8lOkRJ_normal.jpg","View")</f>
        <v>View</v>
      </c>
      <c r="P14674" s="7"/>
    </row>
    <row r="14675" spans="1:16">
      <c r="A14675" s="3">
        <v>44341.20930555556</v>
      </c>
      <c r="B14675" s="4" t="str">
        <f>HYPERLINK("https://twitter.com/petrogustavo","@petrogustavo")</f>
        <v>@petrogustavo</v>
      </c>
      <c r="C14675" s="5" t="s">
        <v>16</v>
      </c>
      <c r="D14675" s="5" t="s">
        <v>14134</v>
      </c>
      <c r="E14675" s="6" t="str">
        <f>HYPERLINK("https://twitter.com/petrogustavo/status/1396972128306614275","1396972128306614275")</f>
        <v>1396972128306614275</v>
      </c>
      <c r="F14675" s="7" t="s">
        <v>17</v>
      </c>
      <c r="G14675" s="7">
        <v>4275813</v>
      </c>
      <c r="H14675" s="7">
        <v>2519</v>
      </c>
      <c r="I14675" s="7">
        <v>191</v>
      </c>
      <c r="J14675" s="7">
        <v>0</v>
      </c>
      <c r="K14675" s="7" t="s">
        <v>18</v>
      </c>
      <c r="L14675" s="8">
        <v>39987.315405092595</v>
      </c>
      <c r="M14675" s="9" t="s">
        <v>19</v>
      </c>
      <c r="N14675" s="9" t="s">
        <v>20</v>
      </c>
      <c r="O14675" s="6" t="str">
        <f>HYPERLINK("https://pbs.twimg.com/profile_images/962471262747529216/Uo8lOkRJ_normal.jpg","View")</f>
        <v>View</v>
      </c>
      <c r="P14675" s="7"/>
    </row>
    <row r="14676" spans="1:16">
      <c r="A14676" s="3">
        <v>44341.209490740745</v>
      </c>
      <c r="B14676" s="4" t="str">
        <f>HYPERLINK("https://twitter.com/petrogustavo","@petrogustavo")</f>
        <v>@petrogustavo</v>
      </c>
      <c r="C14676" s="5" t="s">
        <v>16</v>
      </c>
      <c r="D14676" s="5" t="s">
        <v>14135</v>
      </c>
      <c r="E14676" s="6" t="str">
        <f>HYPERLINK("https://twitter.com/petrogustavo/status/1396972197164589058","1396972197164589058")</f>
        <v>1396972197164589058</v>
      </c>
      <c r="F14676" s="7" t="s">
        <v>17</v>
      </c>
      <c r="G14676" s="7">
        <v>4275813</v>
      </c>
      <c r="H14676" s="7">
        <v>2519</v>
      </c>
      <c r="I14676" s="7">
        <v>191</v>
      </c>
      <c r="J14676" s="7">
        <v>0</v>
      </c>
      <c r="K14676" s="7" t="s">
        <v>18</v>
      </c>
      <c r="L14676" s="8">
        <v>39987.315405092595</v>
      </c>
      <c r="M14676" s="9" t="s">
        <v>19</v>
      </c>
      <c r="N14676" s="9" t="s">
        <v>20</v>
      </c>
      <c r="O14676" s="6" t="str">
        <f>HYPERLINK("https://pbs.twimg.com/profile_images/962471262747529216/Uo8lOkRJ_normal.jpg","View")</f>
        <v>View</v>
      </c>
      <c r="P14676" s="7"/>
    </row>
    <row r="14677" spans="1:16">
      <c r="A14677" s="3">
        <v>44341.209548611107</v>
      </c>
      <c r="B14677" s="4" t="str">
        <f>HYPERLINK("https://twitter.com/petrogustavo","@petrogustavo")</f>
        <v>@petrogustavo</v>
      </c>
      <c r="C14677" s="5" t="s">
        <v>16</v>
      </c>
      <c r="D14677" s="5" t="s">
        <v>14136</v>
      </c>
      <c r="E14677" s="6" t="str">
        <f>HYPERLINK("https://twitter.com/petrogustavo/status/1396972218110840835","1396972218110840835")</f>
        <v>1396972218110840835</v>
      </c>
      <c r="F14677" s="7" t="s">
        <v>17</v>
      </c>
      <c r="G14677" s="7">
        <v>4275813</v>
      </c>
      <c r="H14677" s="7">
        <v>2519</v>
      </c>
      <c r="I14677" s="7">
        <v>415</v>
      </c>
      <c r="J14677" s="7">
        <v>0</v>
      </c>
      <c r="K14677" s="7" t="s">
        <v>18</v>
      </c>
      <c r="L14677" s="8">
        <v>39987.315405092595</v>
      </c>
      <c r="M14677" s="9" t="s">
        <v>19</v>
      </c>
      <c r="N14677" s="9" t="s">
        <v>20</v>
      </c>
      <c r="O14677" s="6" t="str">
        <f>HYPERLINK("https://pbs.twimg.com/profile_images/962471262747529216/Uo8lOkRJ_normal.jpg","View")</f>
        <v>View</v>
      </c>
      <c r="P14677" s="7"/>
    </row>
    <row r="14678" spans="1:16">
      <c r="A14678" s="3">
        <v>44341.210034722222</v>
      </c>
      <c r="B14678" s="4" t="str">
        <f>HYPERLINK("https://twitter.com/petrogustavo","@petrogustavo")</f>
        <v>@petrogustavo</v>
      </c>
      <c r="C14678" s="5" t="s">
        <v>16</v>
      </c>
      <c r="D14678" s="5" t="s">
        <v>14137</v>
      </c>
      <c r="E14678" s="6" t="str">
        <f>HYPERLINK("https://twitter.com/petrogustavo/status/1396972390522015750","1396972390522015750")</f>
        <v>1396972390522015750</v>
      </c>
      <c r="F14678" s="7" t="s">
        <v>17</v>
      </c>
      <c r="G14678" s="7">
        <v>4275813</v>
      </c>
      <c r="H14678" s="7">
        <v>2519</v>
      </c>
      <c r="I14678" s="7">
        <v>175</v>
      </c>
      <c r="J14678" s="7">
        <v>0</v>
      </c>
      <c r="K14678" s="7" t="s">
        <v>18</v>
      </c>
      <c r="L14678" s="8">
        <v>39987.315405092595</v>
      </c>
      <c r="M14678" s="9" t="s">
        <v>19</v>
      </c>
      <c r="N14678" s="9" t="s">
        <v>20</v>
      </c>
      <c r="O14678" s="6" t="str">
        <f>HYPERLINK("https://pbs.twimg.com/profile_images/962471262747529216/Uo8lOkRJ_normal.jpg","View")</f>
        <v>View</v>
      </c>
      <c r="P14678" s="7"/>
    </row>
    <row r="14679" spans="1:16">
      <c r="A14679" s="3">
        <v>44341.210162037038</v>
      </c>
      <c r="B14679" s="4" t="str">
        <f>HYPERLINK("https://twitter.com/petrogustavo","@petrogustavo")</f>
        <v>@petrogustavo</v>
      </c>
      <c r="C14679" s="5" t="s">
        <v>16</v>
      </c>
      <c r="D14679" s="5" t="s">
        <v>14138</v>
      </c>
      <c r="E14679" s="6" t="str">
        <f>HYPERLINK("https://twitter.com/petrogustavo/status/1396972440501293056","1396972440501293056")</f>
        <v>1396972440501293056</v>
      </c>
      <c r="F14679" s="7" t="s">
        <v>17</v>
      </c>
      <c r="G14679" s="7">
        <v>4275813</v>
      </c>
      <c r="H14679" s="7">
        <v>2519</v>
      </c>
      <c r="I14679" s="7">
        <v>179</v>
      </c>
      <c r="J14679" s="7">
        <v>0</v>
      </c>
      <c r="K14679" s="7" t="s">
        <v>18</v>
      </c>
      <c r="L14679" s="8">
        <v>39987.315405092595</v>
      </c>
      <c r="M14679" s="9" t="s">
        <v>19</v>
      </c>
      <c r="N14679" s="9" t="s">
        <v>20</v>
      </c>
      <c r="O14679" s="6" t="str">
        <f>HYPERLINK("https://pbs.twimg.com/profile_images/962471262747529216/Uo8lOkRJ_normal.jpg","View")</f>
        <v>View</v>
      </c>
      <c r="P14679" s="7"/>
    </row>
    <row r="14680" spans="1:16">
      <c r="A14680" s="3">
        <v>44341.210358796292</v>
      </c>
      <c r="B14680" s="4" t="str">
        <f>HYPERLINK("https://twitter.com/petrogustavo","@petrogustavo")</f>
        <v>@petrogustavo</v>
      </c>
      <c r="C14680" s="5" t="s">
        <v>16</v>
      </c>
      <c r="D14680" s="5" t="s">
        <v>14139</v>
      </c>
      <c r="E14680" s="6" t="str">
        <f>HYPERLINK("https://twitter.com/petrogustavo/status/1396972510646882304","1396972510646882304")</f>
        <v>1396972510646882304</v>
      </c>
      <c r="F14680" s="7" t="s">
        <v>17</v>
      </c>
      <c r="G14680" s="7">
        <v>4275813</v>
      </c>
      <c r="H14680" s="7">
        <v>2519</v>
      </c>
      <c r="I14680" s="7">
        <v>218</v>
      </c>
      <c r="J14680" s="7">
        <v>0</v>
      </c>
      <c r="K14680" s="7" t="s">
        <v>18</v>
      </c>
      <c r="L14680" s="8">
        <v>39987.315405092595</v>
      </c>
      <c r="M14680" s="9" t="s">
        <v>19</v>
      </c>
      <c r="N14680" s="9" t="s">
        <v>20</v>
      </c>
      <c r="O14680" s="6" t="str">
        <f>HYPERLINK("https://pbs.twimg.com/profile_images/962471262747529216/Uo8lOkRJ_normal.jpg","View")</f>
        <v>View</v>
      </c>
      <c r="P14680" s="7"/>
    </row>
    <row r="14681" spans="1:16">
      <c r="A14681" s="3">
        <v>44341.2109375</v>
      </c>
      <c r="B14681" s="4" t="str">
        <f>HYPERLINK("https://twitter.com/petrogustavo","@petrogustavo")</f>
        <v>@petrogustavo</v>
      </c>
      <c r="C14681" s="5" t="s">
        <v>16</v>
      </c>
      <c r="D14681" s="5" t="s">
        <v>14140</v>
      </c>
      <c r="E14681" s="6" t="str">
        <f>HYPERLINK("https://twitter.com/petrogustavo/status/1396972719904894981","1396972719904894981")</f>
        <v>1396972719904894981</v>
      </c>
      <c r="F14681" s="7" t="s">
        <v>17</v>
      </c>
      <c r="G14681" s="7">
        <v>4275887</v>
      </c>
      <c r="H14681" s="7">
        <v>2519</v>
      </c>
      <c r="I14681" s="7">
        <v>201</v>
      </c>
      <c r="J14681" s="7">
        <v>0</v>
      </c>
      <c r="K14681" s="7" t="s">
        <v>18</v>
      </c>
      <c r="L14681" s="8">
        <v>39987.315405092595</v>
      </c>
      <c r="M14681" s="9" t="s">
        <v>19</v>
      </c>
      <c r="N14681" s="9" t="s">
        <v>20</v>
      </c>
      <c r="O14681" s="6" t="str">
        <f>HYPERLINK("https://pbs.twimg.com/profile_images/962471262747529216/Uo8lOkRJ_normal.jpg","View")</f>
        <v>View</v>
      </c>
      <c r="P14681" s="7"/>
    </row>
    <row r="14682" spans="1:16">
      <c r="A14682" s="3">
        <v>44341.21193287037</v>
      </c>
      <c r="B14682" s="4" t="str">
        <f>HYPERLINK("https://twitter.com/petrogustavo","@petrogustavo")</f>
        <v>@petrogustavo</v>
      </c>
      <c r="C14682" s="5" t="s">
        <v>16</v>
      </c>
      <c r="D14682" s="5" t="s">
        <v>14141</v>
      </c>
      <c r="E14682" s="6" t="str">
        <f>HYPERLINK("https://twitter.com/petrogustavo/status/1396973079809626113","1396973079809626113")</f>
        <v>1396973079809626113</v>
      </c>
      <c r="F14682" s="7" t="s">
        <v>17</v>
      </c>
      <c r="G14682" s="7">
        <v>4275887</v>
      </c>
      <c r="H14682" s="7">
        <v>2519</v>
      </c>
      <c r="I14682" s="7">
        <v>269</v>
      </c>
      <c r="J14682" s="7">
        <v>0</v>
      </c>
      <c r="K14682" s="7" t="s">
        <v>18</v>
      </c>
      <c r="L14682" s="8">
        <v>39987.315405092595</v>
      </c>
      <c r="M14682" s="9" t="s">
        <v>19</v>
      </c>
      <c r="N14682" s="9" t="s">
        <v>20</v>
      </c>
      <c r="O14682" s="6" t="str">
        <f>HYPERLINK("https://pbs.twimg.com/profile_images/962471262747529216/Uo8lOkRJ_normal.jpg","View")</f>
        <v>View</v>
      </c>
      <c r="P14682" s="7"/>
    </row>
    <row r="14683" spans="1:16">
      <c r="A14683" s="3">
        <v>44341.214687500003</v>
      </c>
      <c r="B14683" s="4" t="str">
        <f>HYPERLINK("https://twitter.com/petrogustavo","@petrogustavo")</f>
        <v>@petrogustavo</v>
      </c>
      <c r="C14683" s="5" t="s">
        <v>16</v>
      </c>
      <c r="D14683" s="5" t="s">
        <v>14142</v>
      </c>
      <c r="E14683" s="6" t="str">
        <f>HYPERLINK("https://twitter.com/petrogustavo/status/1396974076749570050","1396974076749570050")</f>
        <v>1396974076749570050</v>
      </c>
      <c r="F14683" s="7" t="s">
        <v>17</v>
      </c>
      <c r="G14683" s="7">
        <v>4275887</v>
      </c>
      <c r="H14683" s="7">
        <v>2519</v>
      </c>
      <c r="I14683" s="7">
        <v>689</v>
      </c>
      <c r="J14683" s="7">
        <v>0</v>
      </c>
      <c r="K14683" s="7" t="s">
        <v>18</v>
      </c>
      <c r="L14683" s="8">
        <v>39987.315405092595</v>
      </c>
      <c r="M14683" s="9" t="s">
        <v>19</v>
      </c>
      <c r="N14683" s="9" t="s">
        <v>20</v>
      </c>
      <c r="O14683" s="6" t="str">
        <f>HYPERLINK("https://pbs.twimg.com/profile_images/962471262747529216/Uo8lOkRJ_normal.jpg","View")</f>
        <v>View</v>
      </c>
      <c r="P14683" s="7"/>
    </row>
    <row r="14684" spans="1:16">
      <c r="A14684" s="3">
        <v>44341.215243055558</v>
      </c>
      <c r="B14684" s="4" t="str">
        <f>HYPERLINK("https://twitter.com/petrogustavo","@petrogustavo")</f>
        <v>@petrogustavo</v>
      </c>
      <c r="C14684" s="5" t="s">
        <v>16</v>
      </c>
      <c r="D14684" s="5" t="s">
        <v>14143</v>
      </c>
      <c r="E14684" s="6" t="str">
        <f>HYPERLINK("https://twitter.com/petrogustavo/status/1396974279879757834","1396974279879757834")</f>
        <v>1396974279879757834</v>
      </c>
      <c r="F14684" s="7" t="s">
        <v>17</v>
      </c>
      <c r="G14684" s="7">
        <v>4275887</v>
      </c>
      <c r="H14684" s="7">
        <v>2519</v>
      </c>
      <c r="I14684" s="7">
        <v>834</v>
      </c>
      <c r="J14684" s="7">
        <v>0</v>
      </c>
      <c r="K14684" s="7" t="s">
        <v>18</v>
      </c>
      <c r="L14684" s="8">
        <v>39987.315405092595</v>
      </c>
      <c r="M14684" s="9" t="s">
        <v>19</v>
      </c>
      <c r="N14684" s="9" t="s">
        <v>20</v>
      </c>
      <c r="O14684" s="6" t="str">
        <f>HYPERLINK("https://pbs.twimg.com/profile_images/962471262747529216/Uo8lOkRJ_normal.jpg","View")</f>
        <v>View</v>
      </c>
      <c r="P14684" s="7"/>
    </row>
    <row r="14685" spans="1:16">
      <c r="A14685" s="3">
        <v>44341.219131944439</v>
      </c>
      <c r="B14685" s="4" t="str">
        <f>HYPERLINK("https://twitter.com/petrogustavo","@petrogustavo")</f>
        <v>@petrogustavo</v>
      </c>
      <c r="C14685" s="5" t="s">
        <v>16</v>
      </c>
      <c r="D14685" s="5" t="s">
        <v>14144</v>
      </c>
      <c r="E14685" s="6" t="str">
        <f>HYPERLINK("https://twitter.com/petrogustavo/status/1396975689958629379","1396975689958629379")</f>
        <v>1396975689958629379</v>
      </c>
      <c r="F14685" s="7" t="s">
        <v>17</v>
      </c>
      <c r="G14685" s="7">
        <v>4275887</v>
      </c>
      <c r="H14685" s="7">
        <v>2519</v>
      </c>
      <c r="I14685" s="7">
        <v>227</v>
      </c>
      <c r="J14685" s="7">
        <v>0</v>
      </c>
      <c r="K14685" s="7" t="s">
        <v>18</v>
      </c>
      <c r="L14685" s="8">
        <v>39987.315405092595</v>
      </c>
      <c r="M14685" s="9" t="s">
        <v>19</v>
      </c>
      <c r="N14685" s="9" t="s">
        <v>20</v>
      </c>
      <c r="O14685" s="6" t="str">
        <f>HYPERLINK("https://pbs.twimg.com/profile_images/962471262747529216/Uo8lOkRJ_normal.jpg","View")</f>
        <v>View</v>
      </c>
      <c r="P14685" s="7"/>
    </row>
    <row r="14686" spans="1:16">
      <c r="A14686" s="3">
        <v>44341.225972222222</v>
      </c>
      <c r="B14686" s="4" t="str">
        <f>HYPERLINK("https://twitter.com/petrogustavo","@petrogustavo")</f>
        <v>@petrogustavo</v>
      </c>
      <c r="C14686" s="5" t="s">
        <v>16</v>
      </c>
      <c r="D14686" s="5" t="s">
        <v>14145</v>
      </c>
      <c r="E14686" s="6" t="str">
        <f>HYPERLINK("https://twitter.com/petrogustavo/status/1396978166690897927","1396978166690897927")</f>
        <v>1396978166690897927</v>
      </c>
      <c r="F14686" s="7" t="s">
        <v>17</v>
      </c>
      <c r="G14686" s="7">
        <v>4275887</v>
      </c>
      <c r="H14686" s="7">
        <v>2519</v>
      </c>
      <c r="I14686" s="7">
        <v>976</v>
      </c>
      <c r="J14686" s="7">
        <v>2701</v>
      </c>
      <c r="K14686" s="7" t="s">
        <v>18</v>
      </c>
      <c r="L14686" s="8">
        <v>39987.315405092595</v>
      </c>
      <c r="M14686" s="9" t="s">
        <v>19</v>
      </c>
      <c r="N14686" s="9" t="s">
        <v>20</v>
      </c>
      <c r="O14686" s="6" t="str">
        <f>HYPERLINK("https://pbs.twimg.com/profile_images/962471262747529216/Uo8lOkRJ_normal.jpg","View")</f>
        <v>View</v>
      </c>
      <c r="P14686" s="7"/>
    </row>
    <row r="14687" spans="1:16">
      <c r="A14687" s="3">
        <v>44341.733749999999</v>
      </c>
      <c r="B14687" s="4" t="str">
        <f>HYPERLINK("https://twitter.com/petrogustavo","@petrogustavo")</f>
        <v>@petrogustavo</v>
      </c>
      <c r="C14687" s="5" t="s">
        <v>16</v>
      </c>
      <c r="D14687" s="5" t="s">
        <v>14146</v>
      </c>
      <c r="E14687" s="6" t="str">
        <f>HYPERLINK("https://twitter.com/petrogustavo/status/1397162181301579784","1397162181301579784")</f>
        <v>1397162181301579784</v>
      </c>
      <c r="F14687" s="7" t="s">
        <v>17</v>
      </c>
      <c r="G14687" s="7">
        <v>4277216</v>
      </c>
      <c r="H14687" s="7">
        <v>2519</v>
      </c>
      <c r="I14687" s="7">
        <v>12138</v>
      </c>
      <c r="J14687" s="7">
        <v>0</v>
      </c>
      <c r="K14687" s="7" t="s">
        <v>18</v>
      </c>
      <c r="L14687" s="8">
        <v>39987.315405092595</v>
      </c>
      <c r="M14687" s="9" t="s">
        <v>19</v>
      </c>
      <c r="N14687" s="9" t="s">
        <v>20</v>
      </c>
      <c r="O14687" s="6" t="str">
        <f>HYPERLINK("https://pbs.twimg.com/profile_images/962471262747529216/Uo8lOkRJ_normal.jpg","View")</f>
        <v>View</v>
      </c>
      <c r="P14687" s="7"/>
    </row>
    <row r="14688" spans="1:16">
      <c r="A14688" s="3">
        <v>44342.735150462962</v>
      </c>
      <c r="B14688" s="4" t="str">
        <f>HYPERLINK("https://twitter.com/petrogustavo","@petrogustavo")</f>
        <v>@petrogustavo</v>
      </c>
      <c r="C14688" s="5" t="s">
        <v>16</v>
      </c>
      <c r="D14688" s="5" t="s">
        <v>14147</v>
      </c>
      <c r="E14688" s="6" t="str">
        <f>HYPERLINK("https://twitter.com/petrogustavo/status/1397525077013536770","1397525077013536770")</f>
        <v>1397525077013536770</v>
      </c>
      <c r="F14688" s="7" t="s">
        <v>17</v>
      </c>
      <c r="G14688" s="7">
        <v>4280581</v>
      </c>
      <c r="H14688" s="7">
        <v>2520</v>
      </c>
      <c r="I14688" s="7">
        <v>1629</v>
      </c>
      <c r="J14688" s="7">
        <v>2931</v>
      </c>
      <c r="K14688" s="7" t="s">
        <v>18</v>
      </c>
      <c r="L14688" s="8">
        <v>39987.315405092595</v>
      </c>
      <c r="M14688" s="9" t="s">
        <v>19</v>
      </c>
      <c r="N14688" s="9" t="s">
        <v>20</v>
      </c>
      <c r="O14688" s="6" t="str">
        <f>HYPERLINK("https://pbs.twimg.com/profile_images/962471262747529216/Uo8lOkRJ_normal.jpg","View")</f>
        <v>View</v>
      </c>
      <c r="P14688" s="7"/>
    </row>
    <row r="14689" spans="1:16">
      <c r="A14689" s="3">
        <v>44342.739490740743</v>
      </c>
      <c r="B14689" s="4" t="str">
        <f>HYPERLINK("https://twitter.com/petrogustavo","@petrogustavo")</f>
        <v>@petrogustavo</v>
      </c>
      <c r="C14689" s="5" t="s">
        <v>16</v>
      </c>
      <c r="D14689" s="5" t="s">
        <v>14148</v>
      </c>
      <c r="E14689" s="6" t="str">
        <f>HYPERLINK("https://twitter.com/petrogustavo/status/1397526648128512002","1397526648128512002")</f>
        <v>1397526648128512002</v>
      </c>
      <c r="F14689" s="7" t="s">
        <v>17</v>
      </c>
      <c r="G14689" s="7">
        <v>4280581</v>
      </c>
      <c r="H14689" s="7">
        <v>2520</v>
      </c>
      <c r="I14689" s="7">
        <v>325</v>
      </c>
      <c r="J14689" s="7">
        <v>489</v>
      </c>
      <c r="K14689" s="7" t="s">
        <v>18</v>
      </c>
      <c r="L14689" s="8">
        <v>39987.315405092595</v>
      </c>
      <c r="M14689" s="9" t="s">
        <v>19</v>
      </c>
      <c r="N14689" s="9" t="s">
        <v>20</v>
      </c>
      <c r="O14689" s="6" t="str">
        <f>HYPERLINK("https://pbs.twimg.com/profile_images/962471262747529216/Uo8lOkRJ_normal.jpg","View")</f>
        <v>View</v>
      </c>
      <c r="P14689" s="7"/>
    </row>
    <row r="14690" spans="1:16">
      <c r="A14690" s="3">
        <v>44342.748668981483</v>
      </c>
      <c r="B14690" s="4" t="str">
        <f>HYPERLINK("https://twitter.com/petrogustavo","@petrogustavo")</f>
        <v>@petrogustavo</v>
      </c>
      <c r="C14690" s="5" t="s">
        <v>16</v>
      </c>
      <c r="D14690" s="5" t="s">
        <v>14149</v>
      </c>
      <c r="E14690" s="6" t="str">
        <f>HYPERLINK("https://twitter.com/petrogustavo/status/1397529976023527424","1397529976023527424")</f>
        <v>1397529976023527424</v>
      </c>
      <c r="F14690" s="7" t="s">
        <v>17</v>
      </c>
      <c r="G14690" s="7">
        <v>4280581</v>
      </c>
      <c r="H14690" s="7">
        <v>2520</v>
      </c>
      <c r="I14690" s="7">
        <v>147</v>
      </c>
      <c r="J14690" s="7">
        <v>420</v>
      </c>
      <c r="K14690" s="7" t="s">
        <v>18</v>
      </c>
      <c r="L14690" s="8">
        <v>39987.315405092595</v>
      </c>
      <c r="M14690" s="9" t="s">
        <v>19</v>
      </c>
      <c r="N14690" s="9" t="s">
        <v>20</v>
      </c>
      <c r="O14690" s="6" t="str">
        <f>HYPERLINK("https://pbs.twimg.com/profile_images/962471262747529216/Uo8lOkRJ_normal.jpg","View")</f>
        <v>View</v>
      </c>
      <c r="P14690" s="7"/>
    </row>
    <row r="14691" spans="1:16">
      <c r="A14691" s="3">
        <v>44342.750046296293</v>
      </c>
      <c r="B14691" s="4" t="str">
        <f>HYPERLINK("https://twitter.com/petrogustavo","@petrogustavo")</f>
        <v>@petrogustavo</v>
      </c>
      <c r="C14691" s="5" t="s">
        <v>16</v>
      </c>
      <c r="D14691" s="5" t="s">
        <v>14150</v>
      </c>
      <c r="E14691" s="6" t="str">
        <f>HYPERLINK("https://twitter.com/petrogustavo/status/1397530473144930308","1397530473144930308")</f>
        <v>1397530473144930308</v>
      </c>
      <c r="F14691" s="7" t="s">
        <v>17</v>
      </c>
      <c r="G14691" s="7">
        <v>4280581</v>
      </c>
      <c r="H14691" s="7">
        <v>2520</v>
      </c>
      <c r="I14691" s="7">
        <v>1629</v>
      </c>
      <c r="J14691" s="7">
        <v>0</v>
      </c>
      <c r="K14691" s="7" t="s">
        <v>18</v>
      </c>
      <c r="L14691" s="8">
        <v>39987.315405092595</v>
      </c>
      <c r="M14691" s="9" t="s">
        <v>19</v>
      </c>
      <c r="N14691" s="9" t="s">
        <v>20</v>
      </c>
      <c r="O14691" s="6" t="str">
        <f>HYPERLINK("https://pbs.twimg.com/profile_images/962471262747529216/Uo8lOkRJ_normal.jpg","View")</f>
        <v>View</v>
      </c>
      <c r="P14691" s="7"/>
    </row>
    <row r="14692" spans="1:16">
      <c r="A14692" s="3">
        <v>44342.768090277779</v>
      </c>
      <c r="B14692" s="4" t="str">
        <f>HYPERLINK("https://twitter.com/petrogustavo","@petrogustavo")</f>
        <v>@petrogustavo</v>
      </c>
      <c r="C14692" s="5" t="s">
        <v>16</v>
      </c>
      <c r="D14692" s="5" t="s">
        <v>14151</v>
      </c>
      <c r="E14692" s="6" t="str">
        <f>HYPERLINK("https://twitter.com/petrogustavo/status/1397537011993567233","1397537011993567233")</f>
        <v>1397537011993567233</v>
      </c>
      <c r="F14692" s="7" t="s">
        <v>32</v>
      </c>
      <c r="G14692" s="7">
        <v>4280705</v>
      </c>
      <c r="H14692" s="7">
        <v>2520</v>
      </c>
      <c r="I14692" s="7">
        <v>1207</v>
      </c>
      <c r="J14692" s="7">
        <v>0</v>
      </c>
      <c r="K14692" s="7" t="s">
        <v>18</v>
      </c>
      <c r="L14692" s="8">
        <v>39987.315405092595</v>
      </c>
      <c r="M14692" s="9" t="s">
        <v>19</v>
      </c>
      <c r="N14692" s="9" t="s">
        <v>20</v>
      </c>
      <c r="O14692" s="6" t="str">
        <f>HYPERLINK("https://pbs.twimg.com/profile_images/962471262747529216/Uo8lOkRJ_normal.jpg","View")</f>
        <v>View</v>
      </c>
      <c r="P14692" s="7"/>
    </row>
    <row r="14693" spans="1:16">
      <c r="A14693" s="3">
        <v>44342.772268518514</v>
      </c>
      <c r="B14693" s="4" t="str">
        <f>HYPERLINK("https://twitter.com/petrogustavo","@petrogustavo")</f>
        <v>@petrogustavo</v>
      </c>
      <c r="C14693" s="5" t="s">
        <v>16</v>
      </c>
      <c r="D14693" s="5" t="s">
        <v>14152</v>
      </c>
      <c r="E14693" s="6" t="str">
        <f>HYPERLINK("https://twitter.com/petrogustavo/status/1397538527492063235","1397538527492063235")</f>
        <v>1397538527492063235</v>
      </c>
      <c r="F14693" s="7" t="s">
        <v>32</v>
      </c>
      <c r="G14693" s="7">
        <v>4280705</v>
      </c>
      <c r="H14693" s="7">
        <v>2520</v>
      </c>
      <c r="I14693" s="7">
        <v>579</v>
      </c>
      <c r="J14693" s="7">
        <v>0</v>
      </c>
      <c r="K14693" s="7" t="s">
        <v>18</v>
      </c>
      <c r="L14693" s="8">
        <v>39987.315405092595</v>
      </c>
      <c r="M14693" s="9" t="s">
        <v>19</v>
      </c>
      <c r="N14693" s="9" t="s">
        <v>20</v>
      </c>
      <c r="O14693" s="6" t="str">
        <f>HYPERLINK("https://pbs.twimg.com/profile_images/962471262747529216/Uo8lOkRJ_normal.jpg","View")</f>
        <v>View</v>
      </c>
      <c r="P14693" s="7"/>
    </row>
    <row r="14694" spans="1:16">
      <c r="A14694" s="3">
        <v>44342.774756944447</v>
      </c>
      <c r="B14694" s="4" t="str">
        <f>HYPERLINK("https://twitter.com/petrogustavo","@petrogustavo")</f>
        <v>@petrogustavo</v>
      </c>
      <c r="C14694" s="5" t="s">
        <v>16</v>
      </c>
      <c r="D14694" s="5" t="s">
        <v>14153</v>
      </c>
      <c r="E14694" s="6" t="str">
        <f>HYPERLINK("https://twitter.com/petrogustavo/status/1397539429640810499","1397539429640810499")</f>
        <v>1397539429640810499</v>
      </c>
      <c r="F14694" s="7" t="s">
        <v>32</v>
      </c>
      <c r="G14694" s="7">
        <v>4280779</v>
      </c>
      <c r="H14694" s="7">
        <v>2520</v>
      </c>
      <c r="I14694" s="7">
        <v>320</v>
      </c>
      <c r="J14694" s="7">
        <v>0</v>
      </c>
      <c r="K14694" s="7" t="s">
        <v>18</v>
      </c>
      <c r="L14694" s="8">
        <v>39987.315405092595</v>
      </c>
      <c r="M14694" s="9" t="s">
        <v>19</v>
      </c>
      <c r="N14694" s="9" t="s">
        <v>20</v>
      </c>
      <c r="O14694" s="6" t="str">
        <f>HYPERLINK("https://pbs.twimg.com/profile_images/962471262747529216/Uo8lOkRJ_normal.jpg","View")</f>
        <v>View</v>
      </c>
      <c r="P14694" s="7"/>
    </row>
    <row r="14695" spans="1:16">
      <c r="A14695" s="3">
        <v>44342.775590277779</v>
      </c>
      <c r="B14695" s="4" t="str">
        <f>HYPERLINK("https://twitter.com/petrogustavo","@petrogustavo")</f>
        <v>@petrogustavo</v>
      </c>
      <c r="C14695" s="5" t="s">
        <v>16</v>
      </c>
      <c r="D14695" s="5" t="s">
        <v>14154</v>
      </c>
      <c r="E14695" s="6" t="str">
        <f>HYPERLINK("https://twitter.com/petrogustavo/status/1397539732251463681","1397539732251463681")</f>
        <v>1397539732251463681</v>
      </c>
      <c r="F14695" s="7" t="s">
        <v>32</v>
      </c>
      <c r="G14695" s="7">
        <v>4280779</v>
      </c>
      <c r="H14695" s="7">
        <v>2520</v>
      </c>
      <c r="I14695" s="7">
        <v>1897</v>
      </c>
      <c r="J14695" s="7">
        <v>0</v>
      </c>
      <c r="K14695" s="7" t="s">
        <v>18</v>
      </c>
      <c r="L14695" s="8">
        <v>39987.315405092595</v>
      </c>
      <c r="M14695" s="9" t="s">
        <v>19</v>
      </c>
      <c r="N14695" s="9" t="s">
        <v>20</v>
      </c>
      <c r="O14695" s="6" t="str">
        <f>HYPERLINK("https://pbs.twimg.com/profile_images/962471262747529216/Uo8lOkRJ_normal.jpg","View")</f>
        <v>View</v>
      </c>
      <c r="P14695" s="7"/>
    </row>
    <row r="14696" spans="1:16">
      <c r="A14696" s="3">
        <v>44342.822592592594</v>
      </c>
      <c r="B14696" s="4" t="str">
        <f>HYPERLINK("https://twitter.com/petrogustavo","@petrogustavo")</f>
        <v>@petrogustavo</v>
      </c>
      <c r="C14696" s="5" t="s">
        <v>16</v>
      </c>
      <c r="D14696" s="5" t="s">
        <v>14155</v>
      </c>
      <c r="E14696" s="6" t="str">
        <f>HYPERLINK("https://twitter.com/petrogustavo/status/1397556763960954880","1397556763960954880")</f>
        <v>1397556763960954880</v>
      </c>
      <c r="F14696" s="7" t="s">
        <v>17</v>
      </c>
      <c r="G14696" s="7">
        <v>4281000</v>
      </c>
      <c r="H14696" s="7">
        <v>2520</v>
      </c>
      <c r="I14696" s="7">
        <v>337</v>
      </c>
      <c r="J14696" s="7">
        <v>959</v>
      </c>
      <c r="K14696" s="7" t="s">
        <v>18</v>
      </c>
      <c r="L14696" s="8">
        <v>39987.315405092595</v>
      </c>
      <c r="M14696" s="9" t="s">
        <v>19</v>
      </c>
      <c r="N14696" s="9" t="s">
        <v>20</v>
      </c>
      <c r="O14696" s="6" t="str">
        <f>HYPERLINK("https://pbs.twimg.com/profile_images/962471262747529216/Uo8lOkRJ_normal.jpg","View")</f>
        <v>View</v>
      </c>
      <c r="P14696" s="7"/>
    </row>
    <row r="14697" spans="1:16">
      <c r="A14697" s="3">
        <v>44342.823344907403</v>
      </c>
      <c r="B14697" s="4" t="str">
        <f>HYPERLINK("https://twitter.com/petrogustavo","@petrogustavo")</f>
        <v>@petrogustavo</v>
      </c>
      <c r="C14697" s="5" t="s">
        <v>16</v>
      </c>
      <c r="D14697" s="5" t="s">
        <v>14156</v>
      </c>
      <c r="E14697" s="6" t="str">
        <f>HYPERLINK("https://twitter.com/petrogustavo/status/1397557038373343233","1397557038373343233")</f>
        <v>1397557038373343233</v>
      </c>
      <c r="F14697" s="7" t="s">
        <v>17</v>
      </c>
      <c r="G14697" s="7">
        <v>4281000</v>
      </c>
      <c r="H14697" s="7">
        <v>2520</v>
      </c>
      <c r="I14697" s="7">
        <v>307</v>
      </c>
      <c r="J14697" s="7">
        <v>0</v>
      </c>
      <c r="K14697" s="7" t="s">
        <v>18</v>
      </c>
      <c r="L14697" s="8">
        <v>39987.315405092595</v>
      </c>
      <c r="M14697" s="9" t="s">
        <v>19</v>
      </c>
      <c r="N14697" s="9" t="s">
        <v>20</v>
      </c>
      <c r="O14697" s="6" t="str">
        <f>HYPERLINK("https://pbs.twimg.com/profile_images/962471262747529216/Uo8lOkRJ_normal.jpg","View")</f>
        <v>View</v>
      </c>
      <c r="P14697" s="7"/>
    </row>
    <row r="14698" spans="1:16">
      <c r="A14698" s="3">
        <v>44342.824224537035</v>
      </c>
      <c r="B14698" s="4" t="str">
        <f>HYPERLINK("https://twitter.com/petrogustavo","@petrogustavo")</f>
        <v>@petrogustavo</v>
      </c>
      <c r="C14698" s="5" t="s">
        <v>16</v>
      </c>
      <c r="D14698" s="5" t="s">
        <v>14157</v>
      </c>
      <c r="E14698" s="6" t="str">
        <f>HYPERLINK("https://twitter.com/petrogustavo/status/1397557355919908866","1397557355919908866")</f>
        <v>1397557355919908866</v>
      </c>
      <c r="F14698" s="7" t="s">
        <v>17</v>
      </c>
      <c r="G14698" s="7">
        <v>4281000</v>
      </c>
      <c r="H14698" s="7">
        <v>2520</v>
      </c>
      <c r="I14698" s="7">
        <v>611</v>
      </c>
      <c r="J14698" s="7">
        <v>0</v>
      </c>
      <c r="K14698" s="7" t="s">
        <v>18</v>
      </c>
      <c r="L14698" s="8">
        <v>39987.315405092595</v>
      </c>
      <c r="M14698" s="9" t="s">
        <v>19</v>
      </c>
      <c r="N14698" s="9" t="s">
        <v>20</v>
      </c>
      <c r="O14698" s="6" t="str">
        <f>HYPERLINK("https://pbs.twimg.com/profile_images/962471262747529216/Uo8lOkRJ_normal.jpg","View")</f>
        <v>View</v>
      </c>
      <c r="P14698" s="7"/>
    </row>
    <row r="14699" spans="1:16">
      <c r="A14699" s="3">
        <v>44342.830416666664</v>
      </c>
      <c r="B14699" s="4" t="str">
        <f>HYPERLINK("https://twitter.com/petrogustavo","@petrogustavo")</f>
        <v>@petrogustavo</v>
      </c>
      <c r="C14699" s="5" t="s">
        <v>16</v>
      </c>
      <c r="D14699" s="5" t="s">
        <v>14158</v>
      </c>
      <c r="E14699" s="6" t="str">
        <f>HYPERLINK("https://twitter.com/petrogustavo/status/1397559598517719040","1397559598517719040")</f>
        <v>1397559598517719040</v>
      </c>
      <c r="F14699" s="7" t="s">
        <v>17</v>
      </c>
      <c r="G14699" s="7">
        <v>4281000</v>
      </c>
      <c r="H14699" s="7">
        <v>2520</v>
      </c>
      <c r="I14699" s="7">
        <v>480</v>
      </c>
      <c r="J14699" s="7">
        <v>0</v>
      </c>
      <c r="K14699" s="7" t="s">
        <v>18</v>
      </c>
      <c r="L14699" s="8">
        <v>39987.315405092595</v>
      </c>
      <c r="M14699" s="9" t="s">
        <v>19</v>
      </c>
      <c r="N14699" s="9" t="s">
        <v>20</v>
      </c>
      <c r="O14699" s="6" t="str">
        <f>HYPERLINK("https://pbs.twimg.com/profile_images/962471262747529216/Uo8lOkRJ_normal.jpg","View")</f>
        <v>View</v>
      </c>
      <c r="P14699" s="7"/>
    </row>
    <row r="14700" spans="1:16">
      <c r="A14700" s="3">
        <v>44342.830636574072</v>
      </c>
      <c r="B14700" s="4" t="str">
        <f>HYPERLINK("https://twitter.com/petrogustavo","@petrogustavo")</f>
        <v>@petrogustavo</v>
      </c>
      <c r="C14700" s="5" t="s">
        <v>16</v>
      </c>
      <c r="D14700" s="5" t="s">
        <v>14159</v>
      </c>
      <c r="E14700" s="6" t="str">
        <f>HYPERLINK("https://twitter.com/petrogustavo/status/1397559677509160966","1397559677509160966")</f>
        <v>1397559677509160966</v>
      </c>
      <c r="F14700" s="7" t="s">
        <v>17</v>
      </c>
      <c r="G14700" s="7">
        <v>4281000</v>
      </c>
      <c r="H14700" s="7">
        <v>2520</v>
      </c>
      <c r="I14700" s="7">
        <v>739</v>
      </c>
      <c r="J14700" s="7">
        <v>0</v>
      </c>
      <c r="K14700" s="7" t="s">
        <v>18</v>
      </c>
      <c r="L14700" s="8">
        <v>39987.315405092595</v>
      </c>
      <c r="M14700" s="9" t="s">
        <v>19</v>
      </c>
      <c r="N14700" s="9" t="s">
        <v>20</v>
      </c>
      <c r="O14700" s="6" t="str">
        <f>HYPERLINK("https://pbs.twimg.com/profile_images/962471262747529216/Uo8lOkRJ_normal.jpg","View")</f>
        <v>View</v>
      </c>
      <c r="P14700" s="7"/>
    </row>
    <row r="14701" spans="1:16">
      <c r="A14701" s="3">
        <v>44342.832673611112</v>
      </c>
      <c r="B14701" s="4" t="str">
        <f>HYPERLINK("https://twitter.com/petrogustavo","@petrogustavo")</f>
        <v>@petrogustavo</v>
      </c>
      <c r="C14701" s="5" t="s">
        <v>16</v>
      </c>
      <c r="D14701" s="5" t="s">
        <v>14160</v>
      </c>
      <c r="E14701" s="6" t="str">
        <f>HYPERLINK("https://twitter.com/petrogustavo/status/1397560417791139842","1397560417791139842")</f>
        <v>1397560417791139842</v>
      </c>
      <c r="F14701" s="7" t="s">
        <v>17</v>
      </c>
      <c r="G14701" s="7">
        <v>4281000</v>
      </c>
      <c r="H14701" s="7">
        <v>2520</v>
      </c>
      <c r="I14701" s="7">
        <v>70</v>
      </c>
      <c r="J14701" s="7">
        <v>277</v>
      </c>
      <c r="K14701" s="7" t="s">
        <v>18</v>
      </c>
      <c r="L14701" s="8">
        <v>39987.315405092595</v>
      </c>
      <c r="M14701" s="9" t="s">
        <v>19</v>
      </c>
      <c r="N14701" s="9" t="s">
        <v>20</v>
      </c>
      <c r="O14701" s="6" t="str">
        <f>HYPERLINK("https://pbs.twimg.com/profile_images/962471262747529216/Uo8lOkRJ_normal.jpg","View")</f>
        <v>View</v>
      </c>
      <c r="P14701" s="7"/>
    </row>
    <row r="14702" spans="1:16">
      <c r="A14702" s="3">
        <v>44343.054976851854</v>
      </c>
      <c r="B14702" s="4" t="str">
        <f>HYPERLINK("https://twitter.com/petrogustavo","@petrogustavo")</f>
        <v>@petrogustavo</v>
      </c>
      <c r="C14702" s="5" t="s">
        <v>16</v>
      </c>
      <c r="D14702" s="5" t="s">
        <v>14161</v>
      </c>
      <c r="E14702" s="6" t="str">
        <f>HYPERLINK("https://twitter.com/petrogustavo/status/1397640979021193217","1397640979021193217")</f>
        <v>1397640979021193217</v>
      </c>
      <c r="F14702" s="7" t="s">
        <v>17</v>
      </c>
      <c r="G14702" s="7">
        <v>4282063</v>
      </c>
      <c r="H14702" s="7">
        <v>2520</v>
      </c>
      <c r="I14702" s="7">
        <v>338</v>
      </c>
      <c r="J14702" s="7">
        <v>868</v>
      </c>
      <c r="K14702" s="7" t="s">
        <v>18</v>
      </c>
      <c r="L14702" s="8">
        <v>39987.315405092595</v>
      </c>
      <c r="M14702" s="9" t="s">
        <v>19</v>
      </c>
      <c r="N14702" s="9" t="s">
        <v>20</v>
      </c>
      <c r="O14702" s="6" t="str">
        <f>HYPERLINK("https://pbs.twimg.com/profile_images/962471262747529216/Uo8lOkRJ_normal.jpg","View")</f>
        <v>View</v>
      </c>
      <c r="P14702" s="7"/>
    </row>
    <row r="14703" spans="1:16">
      <c r="A14703" s="3">
        <v>44343.225532407407</v>
      </c>
      <c r="B14703" s="4" t="str">
        <f>HYPERLINK("https://twitter.com/petrogustavo","@petrogustavo")</f>
        <v>@petrogustavo</v>
      </c>
      <c r="C14703" s="5" t="s">
        <v>16</v>
      </c>
      <c r="D14703" s="5" t="s">
        <v>14162</v>
      </c>
      <c r="E14703" s="6" t="str">
        <f>HYPERLINK("https://twitter.com/petrogustavo/status/1397702785358077955","1397702785358077955")</f>
        <v>1397702785358077955</v>
      </c>
      <c r="F14703" s="7" t="s">
        <v>17</v>
      </c>
      <c r="G14703" s="7">
        <v>4282544</v>
      </c>
      <c r="H14703" s="7">
        <v>2520</v>
      </c>
      <c r="I14703" s="7">
        <v>236</v>
      </c>
      <c r="J14703" s="7">
        <v>694</v>
      </c>
      <c r="K14703" s="7" t="s">
        <v>18</v>
      </c>
      <c r="L14703" s="8">
        <v>39987.315405092595</v>
      </c>
      <c r="M14703" s="9" t="s">
        <v>19</v>
      </c>
      <c r="N14703" s="9" t="s">
        <v>20</v>
      </c>
      <c r="O14703" s="6" t="str">
        <f>HYPERLINK("https://pbs.twimg.com/profile_images/962471262747529216/Uo8lOkRJ_normal.jpg","View")</f>
        <v>View</v>
      </c>
      <c r="P14703" s="7"/>
    </row>
    <row r="14704" spans="1:16">
      <c r="A14704" s="3">
        <v>44343.322719907403</v>
      </c>
      <c r="B14704" s="4" t="str">
        <f>HYPERLINK("https://twitter.com/petrogustavo","@petrogustavo")</f>
        <v>@petrogustavo</v>
      </c>
      <c r="C14704" s="5" t="s">
        <v>16</v>
      </c>
      <c r="D14704" s="5" t="s">
        <v>14163</v>
      </c>
      <c r="E14704" s="6" t="str">
        <f>HYPERLINK("https://twitter.com/petrogustavo/status/1397738001820758022","1397738001820758022")</f>
        <v>1397738001820758022</v>
      </c>
      <c r="F14704" s="7" t="s">
        <v>17</v>
      </c>
      <c r="G14704" s="7">
        <v>4282976</v>
      </c>
      <c r="H14704" s="7">
        <v>2520</v>
      </c>
      <c r="I14704" s="7">
        <v>765</v>
      </c>
      <c r="J14704" s="7">
        <v>2136</v>
      </c>
      <c r="K14704" s="7" t="s">
        <v>18</v>
      </c>
      <c r="L14704" s="8">
        <v>39987.315405092595</v>
      </c>
      <c r="M14704" s="9" t="s">
        <v>19</v>
      </c>
      <c r="N14704" s="9" t="s">
        <v>20</v>
      </c>
      <c r="O14704" s="6" t="str">
        <f>HYPERLINK("https://pbs.twimg.com/profile_images/962471262747529216/Uo8lOkRJ_normal.jpg","View")</f>
        <v>View</v>
      </c>
      <c r="P14704" s="7"/>
    </row>
    <row r="14705" spans="1:16">
      <c r="A14705" s="3">
        <v>44343.751770833333</v>
      </c>
      <c r="B14705" s="4" t="str">
        <f>HYPERLINK("https://twitter.com/petrogustavo","@petrogustavo")</f>
        <v>@petrogustavo</v>
      </c>
      <c r="C14705" s="5" t="s">
        <v>16</v>
      </c>
      <c r="D14705" s="5" t="s">
        <v>14164</v>
      </c>
      <c r="E14705" s="6" t="str">
        <f>HYPERLINK("https://twitter.com/petrogustavo/status/1397893485542490118","1397893485542490118")</f>
        <v>1397893485542490118</v>
      </c>
      <c r="F14705" s="7" t="s">
        <v>32</v>
      </c>
      <c r="G14705" s="7">
        <v>4283482</v>
      </c>
      <c r="H14705" s="7">
        <v>2520</v>
      </c>
      <c r="I14705" s="7">
        <v>538</v>
      </c>
      <c r="J14705" s="7">
        <v>0</v>
      </c>
      <c r="K14705" s="7" t="s">
        <v>18</v>
      </c>
      <c r="L14705" s="8">
        <v>39987.315405092595</v>
      </c>
      <c r="M14705" s="9" t="s">
        <v>19</v>
      </c>
      <c r="N14705" s="9" t="s">
        <v>20</v>
      </c>
      <c r="O14705" s="6" t="str">
        <f>HYPERLINK("https://pbs.twimg.com/profile_images/962471262747529216/Uo8lOkRJ_normal.jpg","View")</f>
        <v>View</v>
      </c>
      <c r="P14705" s="7"/>
    </row>
    <row r="14706" spans="1:16">
      <c r="A14706" s="3">
        <v>44343.832094907411</v>
      </c>
      <c r="B14706" s="4" t="str">
        <f>HYPERLINK("https://twitter.com/petrogustavo","@petrogustavo")</f>
        <v>@petrogustavo</v>
      </c>
      <c r="C14706" s="5" t="s">
        <v>16</v>
      </c>
      <c r="D14706" s="5" t="s">
        <v>14165</v>
      </c>
      <c r="E14706" s="6" t="str">
        <f>HYPERLINK("https://twitter.com/petrogustavo/status/1397922594834173962","1397922594834173962")</f>
        <v>1397922594834173962</v>
      </c>
      <c r="F14706" s="7" t="s">
        <v>17</v>
      </c>
      <c r="G14706" s="7">
        <v>4282875</v>
      </c>
      <c r="H14706" s="7">
        <v>2521</v>
      </c>
      <c r="I14706" s="7">
        <v>1417</v>
      </c>
      <c r="J14706" s="7">
        <v>0</v>
      </c>
      <c r="K14706" s="7" t="s">
        <v>18</v>
      </c>
      <c r="L14706" s="8">
        <v>39987.315405092595</v>
      </c>
      <c r="M14706" s="9" t="s">
        <v>19</v>
      </c>
      <c r="N14706" s="9" t="s">
        <v>20</v>
      </c>
      <c r="O14706" s="6" t="str">
        <f>HYPERLINK("https://pbs.twimg.com/profile_images/962471262747529216/Uo8lOkRJ_normal.jpg","View")</f>
        <v>View</v>
      </c>
      <c r="P14706" s="7"/>
    </row>
    <row r="14707" spans="1:16">
      <c r="A14707" s="3">
        <v>44343.841736111106</v>
      </c>
      <c r="B14707" s="4" t="str">
        <f>HYPERLINK("https://twitter.com/petrogustavo","@petrogustavo")</f>
        <v>@petrogustavo</v>
      </c>
      <c r="C14707" s="5" t="s">
        <v>16</v>
      </c>
      <c r="D14707" s="5" t="s">
        <v>14166</v>
      </c>
      <c r="E14707" s="6" t="str">
        <f>HYPERLINK("https://twitter.com/petrogustavo/status/1397926090014806027","1397926090014806027")</f>
        <v>1397926090014806027</v>
      </c>
      <c r="F14707" s="7" t="s">
        <v>17</v>
      </c>
      <c r="G14707" s="7">
        <v>4283710</v>
      </c>
      <c r="H14707" s="7">
        <v>2520</v>
      </c>
      <c r="I14707" s="7">
        <v>539</v>
      </c>
      <c r="J14707" s="7">
        <v>1419</v>
      </c>
      <c r="K14707" s="7" t="s">
        <v>18</v>
      </c>
      <c r="L14707" s="8">
        <v>39987.315405092595</v>
      </c>
      <c r="M14707" s="9" t="s">
        <v>19</v>
      </c>
      <c r="N14707" s="9" t="s">
        <v>20</v>
      </c>
      <c r="O14707" s="6" t="str">
        <f>HYPERLINK("https://pbs.twimg.com/profile_images/962471262747529216/Uo8lOkRJ_normal.jpg","View")</f>
        <v>View</v>
      </c>
      <c r="P14707" s="7"/>
    </row>
    <row r="14708" spans="1:16">
      <c r="A14708" s="3">
        <v>44343.879432870366</v>
      </c>
      <c r="B14708" s="4" t="str">
        <f>HYPERLINK("https://twitter.com/petrogustavo","@petrogustavo")</f>
        <v>@petrogustavo</v>
      </c>
      <c r="C14708" s="5" t="s">
        <v>16</v>
      </c>
      <c r="D14708" s="5" t="s">
        <v>14167</v>
      </c>
      <c r="E14708" s="6" t="str">
        <f>HYPERLINK("https://twitter.com/petrogustavo/status/1397939751014080518","1397939751014080518")</f>
        <v>1397939751014080518</v>
      </c>
      <c r="F14708" s="7" t="s">
        <v>17</v>
      </c>
      <c r="G14708" s="7">
        <v>4283908</v>
      </c>
      <c r="H14708" s="7">
        <v>2520</v>
      </c>
      <c r="I14708" s="7">
        <v>67</v>
      </c>
      <c r="J14708" s="7">
        <v>0</v>
      </c>
      <c r="K14708" s="7" t="s">
        <v>18</v>
      </c>
      <c r="L14708" s="8">
        <v>39987.315405092595</v>
      </c>
      <c r="M14708" s="9" t="s">
        <v>19</v>
      </c>
      <c r="N14708" s="9" t="s">
        <v>20</v>
      </c>
      <c r="O14708" s="6" t="str">
        <f>HYPERLINK("https://pbs.twimg.com/profile_images/962471262747529216/Uo8lOkRJ_normal.jpg","View")</f>
        <v>View</v>
      </c>
      <c r="P14708" s="7"/>
    </row>
    <row r="14709" spans="1:16">
      <c r="A14709" s="3">
        <v>44343.879675925928</v>
      </c>
      <c r="B14709" s="4" t="str">
        <f>HYPERLINK("https://twitter.com/petrogustavo","@petrogustavo")</f>
        <v>@petrogustavo</v>
      </c>
      <c r="C14709" s="5" t="s">
        <v>16</v>
      </c>
      <c r="D14709" s="5" t="s">
        <v>14168</v>
      </c>
      <c r="E14709" s="6" t="str">
        <f>HYPERLINK("https://twitter.com/petrogustavo/status/1397939837106376705","1397939837106376705")</f>
        <v>1397939837106376705</v>
      </c>
      <c r="F14709" s="7" t="s">
        <v>17</v>
      </c>
      <c r="G14709" s="7">
        <v>4283908</v>
      </c>
      <c r="H14709" s="7">
        <v>2520</v>
      </c>
      <c r="I14709" s="7">
        <v>1329</v>
      </c>
      <c r="J14709" s="7">
        <v>0</v>
      </c>
      <c r="K14709" s="7" t="s">
        <v>18</v>
      </c>
      <c r="L14709" s="8">
        <v>39987.315405092595</v>
      </c>
      <c r="M14709" s="9" t="s">
        <v>19</v>
      </c>
      <c r="N14709" s="9" t="s">
        <v>20</v>
      </c>
      <c r="O14709" s="6" t="str">
        <f>HYPERLINK("https://pbs.twimg.com/profile_images/962471262747529216/Uo8lOkRJ_normal.jpg","View")</f>
        <v>View</v>
      </c>
      <c r="P14709" s="7"/>
    </row>
    <row r="14710" spans="1:16">
      <c r="A14710" s="3">
        <v>44343.902835648143</v>
      </c>
      <c r="B14710" s="4" t="str">
        <f>HYPERLINK("https://twitter.com/petrogustavo","@petrogustavo")</f>
        <v>@petrogustavo</v>
      </c>
      <c r="C14710" s="5" t="s">
        <v>16</v>
      </c>
      <c r="D14710" s="5" t="s">
        <v>14169</v>
      </c>
      <c r="E14710" s="6" t="str">
        <f>HYPERLINK("https://twitter.com/petrogustavo/status/1397948232127365122","1397948232127365122")</f>
        <v>1397948232127365122</v>
      </c>
      <c r="F14710" s="7" t="s">
        <v>17</v>
      </c>
      <c r="G14710" s="7">
        <v>4283976</v>
      </c>
      <c r="H14710" s="7">
        <v>2520</v>
      </c>
      <c r="I14710" s="7">
        <v>2411</v>
      </c>
      <c r="J14710" s="7">
        <v>5841</v>
      </c>
      <c r="K14710" s="7" t="s">
        <v>18</v>
      </c>
      <c r="L14710" s="8">
        <v>39987.315405092595</v>
      </c>
      <c r="M14710" s="9" t="s">
        <v>19</v>
      </c>
      <c r="N14710" s="9" t="s">
        <v>20</v>
      </c>
      <c r="O14710" s="6" t="str">
        <f>HYPERLINK("https://pbs.twimg.com/profile_images/962471262747529216/Uo8lOkRJ_normal.jpg","View")</f>
        <v>View</v>
      </c>
      <c r="P14710" s="7"/>
    </row>
    <row r="14711" spans="1:16">
      <c r="A14711" s="3">
        <v>44344.156122685185</v>
      </c>
      <c r="B14711" s="4" t="str">
        <f>HYPERLINK("https://twitter.com/petrogustavo","@petrogustavo")</f>
        <v>@petrogustavo</v>
      </c>
      <c r="C14711" s="5" t="s">
        <v>16</v>
      </c>
      <c r="D14711" s="5" t="s">
        <v>14170</v>
      </c>
      <c r="E14711" s="6" t="str">
        <f>HYPERLINK("https://twitter.com/petrogustavo/status/1398040020582289411","1398040020582289411")</f>
        <v>1398040020582289411</v>
      </c>
      <c r="F14711" s="7" t="s">
        <v>17</v>
      </c>
      <c r="G14711" s="7">
        <v>4284924</v>
      </c>
      <c r="H14711" s="7">
        <v>2520</v>
      </c>
      <c r="I14711" s="7">
        <v>6595</v>
      </c>
      <c r="J14711" s="7">
        <v>0</v>
      </c>
      <c r="K14711" s="7" t="s">
        <v>18</v>
      </c>
      <c r="L14711" s="8">
        <v>39987.315405092595</v>
      </c>
      <c r="M14711" s="9" t="s">
        <v>19</v>
      </c>
      <c r="N14711" s="9" t="s">
        <v>20</v>
      </c>
      <c r="O14711" s="6" t="str">
        <f>HYPERLINK("https://pbs.twimg.com/profile_images/962471262747529216/Uo8lOkRJ_normal.jpg","View")</f>
        <v>View</v>
      </c>
      <c r="P14711" s="7"/>
    </row>
    <row r="14712" spans="1:16">
      <c r="A14712" s="3">
        <v>44344.672581018516</v>
      </c>
      <c r="B14712" s="4" t="str">
        <f>HYPERLINK("https://twitter.com/petrogustavo","@petrogustavo")</f>
        <v>@petrogustavo</v>
      </c>
      <c r="C14712" s="5" t="s">
        <v>16</v>
      </c>
      <c r="D14712" s="5" t="s">
        <v>14171</v>
      </c>
      <c r="E14712" s="6" t="str">
        <f>HYPERLINK("https://twitter.com/petrogustavo/status/1398227177460666371","1398227177460666371")</f>
        <v>1398227177460666371</v>
      </c>
      <c r="F14712" s="7" t="s">
        <v>17</v>
      </c>
      <c r="G14712" s="7">
        <v>4285561</v>
      </c>
      <c r="H14712" s="7">
        <v>2520</v>
      </c>
      <c r="I14712" s="7">
        <v>1231</v>
      </c>
      <c r="J14712" s="7">
        <v>0</v>
      </c>
      <c r="K14712" s="7" t="s">
        <v>18</v>
      </c>
      <c r="L14712" s="8">
        <v>39987.315405092595</v>
      </c>
      <c r="M14712" s="9" t="s">
        <v>19</v>
      </c>
      <c r="N14712" s="9" t="s">
        <v>20</v>
      </c>
      <c r="O14712" s="6" t="str">
        <f>HYPERLINK("https://pbs.twimg.com/profile_images/962471262747529216/Uo8lOkRJ_normal.jpg","View")</f>
        <v>View</v>
      </c>
      <c r="P14712" s="7"/>
    </row>
    <row r="14713" spans="1:16">
      <c r="A14713" s="3">
        <v>44344.672893518524</v>
      </c>
      <c r="B14713" s="4" t="str">
        <f>HYPERLINK("https://twitter.com/petrogustavo","@petrogustavo")</f>
        <v>@petrogustavo</v>
      </c>
      <c r="C14713" s="5" t="s">
        <v>16</v>
      </c>
      <c r="D14713" s="5" t="s">
        <v>14172</v>
      </c>
      <c r="E14713" s="6" t="str">
        <f>HYPERLINK("https://twitter.com/petrogustavo/status/1398227289968721920","1398227289968721920")</f>
        <v>1398227289968721920</v>
      </c>
      <c r="F14713" s="7" t="s">
        <v>17</v>
      </c>
      <c r="G14713" s="7">
        <v>4285561</v>
      </c>
      <c r="H14713" s="7">
        <v>2520</v>
      </c>
      <c r="I14713" s="7">
        <v>1415</v>
      </c>
      <c r="J14713" s="7">
        <v>0</v>
      </c>
      <c r="K14713" s="7" t="s">
        <v>18</v>
      </c>
      <c r="L14713" s="8">
        <v>39987.315405092595</v>
      </c>
      <c r="M14713" s="9" t="s">
        <v>19</v>
      </c>
      <c r="N14713" s="9" t="s">
        <v>20</v>
      </c>
      <c r="O14713" s="6" t="str">
        <f>HYPERLINK("https://pbs.twimg.com/profile_images/962471262747529216/Uo8lOkRJ_normal.jpg","View")</f>
        <v>View</v>
      </c>
      <c r="P14713" s="7"/>
    </row>
    <row r="14714" spans="1:16">
      <c r="A14714" s="3">
        <v>44344.673090277778</v>
      </c>
      <c r="B14714" s="4" t="str">
        <f>HYPERLINK("https://twitter.com/petrogustavo","@petrogustavo")</f>
        <v>@petrogustavo</v>
      </c>
      <c r="C14714" s="5" t="s">
        <v>16</v>
      </c>
      <c r="D14714" s="5" t="s">
        <v>14173</v>
      </c>
      <c r="E14714" s="6" t="str">
        <f>HYPERLINK("https://twitter.com/petrogustavo/status/1398227360479170561","1398227360479170561")</f>
        <v>1398227360479170561</v>
      </c>
      <c r="F14714" s="7" t="s">
        <v>17</v>
      </c>
      <c r="G14714" s="7">
        <v>4285561</v>
      </c>
      <c r="H14714" s="7">
        <v>2520</v>
      </c>
      <c r="I14714" s="7">
        <v>1143</v>
      </c>
      <c r="J14714" s="7">
        <v>0</v>
      </c>
      <c r="K14714" s="7" t="s">
        <v>18</v>
      </c>
      <c r="L14714" s="8">
        <v>39987.315405092595</v>
      </c>
      <c r="M14714" s="9" t="s">
        <v>19</v>
      </c>
      <c r="N14714" s="9" t="s">
        <v>20</v>
      </c>
      <c r="O14714" s="6" t="str">
        <f>HYPERLINK("https://pbs.twimg.com/profile_images/962471262747529216/Uo8lOkRJ_normal.jpg","View")</f>
        <v>View</v>
      </c>
      <c r="P14714" s="7"/>
    </row>
    <row r="14715" spans="1:16">
      <c r="A14715" s="3">
        <v>44344.689733796295</v>
      </c>
      <c r="B14715" s="4" t="str">
        <f>HYPERLINK("https://twitter.com/petrogustavo","@petrogustavo")</f>
        <v>@petrogustavo</v>
      </c>
      <c r="C14715" s="5" t="s">
        <v>16</v>
      </c>
      <c r="D14715" s="5" t="s">
        <v>14174</v>
      </c>
      <c r="E14715" s="6" t="str">
        <f>HYPERLINK("https://twitter.com/petrogustavo/status/1398233392911630337","1398233392911630337")</f>
        <v>1398233392911630337</v>
      </c>
      <c r="F14715" s="7" t="s">
        <v>17</v>
      </c>
      <c r="G14715" s="7">
        <v>4285583</v>
      </c>
      <c r="H14715" s="7">
        <v>2520</v>
      </c>
      <c r="I14715" s="7">
        <v>237</v>
      </c>
      <c r="J14715" s="7">
        <v>624</v>
      </c>
      <c r="K14715" s="7" t="s">
        <v>18</v>
      </c>
      <c r="L14715" s="8">
        <v>39987.315405092595</v>
      </c>
      <c r="M14715" s="9" t="s">
        <v>19</v>
      </c>
      <c r="N14715" s="9" t="s">
        <v>20</v>
      </c>
      <c r="O14715" s="6" t="str">
        <f>HYPERLINK("https://pbs.twimg.com/profile_images/962471262747529216/Uo8lOkRJ_normal.jpg","View")</f>
        <v>View</v>
      </c>
      <c r="P14715" s="7"/>
    </row>
    <row r="14716" spans="1:16">
      <c r="A14716" s="3">
        <v>44344.689733796295</v>
      </c>
      <c r="B14716" s="4" t="str">
        <f>HYPERLINK("https://twitter.com/petrogustavo","@petrogustavo")</f>
        <v>@petrogustavo</v>
      </c>
      <c r="C14716" s="5" t="s">
        <v>16</v>
      </c>
      <c r="D14716" s="5" t="s">
        <v>14175</v>
      </c>
      <c r="E14716" s="6" t="str">
        <f>HYPERLINK("https://twitter.com/petrogustavo/status/1398233394325114880","1398233394325114880")</f>
        <v>1398233394325114880</v>
      </c>
      <c r="F14716" s="7" t="s">
        <v>17</v>
      </c>
      <c r="G14716" s="7">
        <v>4285583</v>
      </c>
      <c r="H14716" s="7">
        <v>2520</v>
      </c>
      <c r="I14716" s="7">
        <v>43</v>
      </c>
      <c r="J14716" s="7">
        <v>98</v>
      </c>
      <c r="K14716" s="7" t="s">
        <v>18</v>
      </c>
      <c r="L14716" s="8">
        <v>39987.315405092595</v>
      </c>
      <c r="M14716" s="9" t="s">
        <v>19</v>
      </c>
      <c r="N14716" s="9" t="s">
        <v>20</v>
      </c>
      <c r="O14716" s="6" t="str">
        <f>HYPERLINK("https://pbs.twimg.com/profile_images/962471262747529216/Uo8lOkRJ_normal.jpg","View")</f>
        <v>View</v>
      </c>
      <c r="P14716" s="7"/>
    </row>
    <row r="14717" spans="1:16">
      <c r="A14717" s="3">
        <v>44344.689745370371</v>
      </c>
      <c r="B14717" s="4" t="str">
        <f>HYPERLINK("https://twitter.com/petrogustavo","@petrogustavo")</f>
        <v>@petrogustavo</v>
      </c>
      <c r="C14717" s="5" t="s">
        <v>16</v>
      </c>
      <c r="D14717" s="5" t="s">
        <v>14176</v>
      </c>
      <c r="E14717" s="6" t="str">
        <f>HYPERLINK("https://twitter.com/petrogustavo/status/1398233395507961858","1398233395507961858")</f>
        <v>1398233395507961858</v>
      </c>
      <c r="F14717" s="7" t="s">
        <v>17</v>
      </c>
      <c r="G14717" s="7">
        <v>4285583</v>
      </c>
      <c r="H14717" s="7">
        <v>2520</v>
      </c>
      <c r="I14717" s="7">
        <v>123</v>
      </c>
      <c r="J14717" s="7">
        <v>418</v>
      </c>
      <c r="K14717" s="7" t="s">
        <v>18</v>
      </c>
      <c r="L14717" s="8">
        <v>39987.315405092595</v>
      </c>
      <c r="M14717" s="9" t="s">
        <v>19</v>
      </c>
      <c r="N14717" s="9" t="s">
        <v>20</v>
      </c>
      <c r="O14717" s="6" t="str">
        <f>HYPERLINK("https://pbs.twimg.com/profile_images/962471262747529216/Uo8lOkRJ_normal.jpg","View")</f>
        <v>View</v>
      </c>
      <c r="P14717" s="7"/>
    </row>
    <row r="14718" spans="1:16">
      <c r="A14718" s="3">
        <v>44344.689745370371</v>
      </c>
      <c r="B14718" s="4" t="str">
        <f>HYPERLINK("https://twitter.com/petrogustavo","@petrogustavo")</f>
        <v>@petrogustavo</v>
      </c>
      <c r="C14718" s="5" t="s">
        <v>16</v>
      </c>
      <c r="D14718" s="5" t="s">
        <v>14177</v>
      </c>
      <c r="E14718" s="6" t="str">
        <f>HYPERLINK("https://twitter.com/petrogustavo/status/1398233396774572033","1398233396774572033")</f>
        <v>1398233396774572033</v>
      </c>
      <c r="F14718" s="7" t="s">
        <v>17</v>
      </c>
      <c r="G14718" s="7">
        <v>4285583</v>
      </c>
      <c r="H14718" s="7">
        <v>2520</v>
      </c>
      <c r="I14718" s="7">
        <v>186</v>
      </c>
      <c r="J14718" s="7">
        <v>522</v>
      </c>
      <c r="K14718" s="7" t="s">
        <v>18</v>
      </c>
      <c r="L14718" s="8">
        <v>39987.315405092595</v>
      </c>
      <c r="M14718" s="9" t="s">
        <v>19</v>
      </c>
      <c r="N14718" s="9" t="s">
        <v>20</v>
      </c>
      <c r="O14718" s="6" t="str">
        <f>HYPERLINK("https://pbs.twimg.com/profile_images/962471262747529216/Uo8lOkRJ_normal.jpg","View")</f>
        <v>View</v>
      </c>
      <c r="P14718" s="7"/>
    </row>
    <row r="14719" spans="1:16">
      <c r="A14719" s="3">
        <v>44344.717337962968</v>
      </c>
      <c r="B14719" s="4" t="str">
        <f>HYPERLINK("https://twitter.com/petrogustavo","@petrogustavo")</f>
        <v>@petrogustavo</v>
      </c>
      <c r="C14719" s="5" t="s">
        <v>16</v>
      </c>
      <c r="D14719" s="5" t="s">
        <v>14178</v>
      </c>
      <c r="E14719" s="6" t="str">
        <f>HYPERLINK("https://twitter.com/petrogustavo/status/1398243398021169153","1398243398021169153")</f>
        <v>1398243398021169153</v>
      </c>
      <c r="F14719" s="7" t="s">
        <v>17</v>
      </c>
      <c r="G14719" s="7">
        <v>4285615</v>
      </c>
      <c r="H14719" s="7">
        <v>2520</v>
      </c>
      <c r="I14719" s="7">
        <v>237</v>
      </c>
      <c r="J14719" s="7">
        <v>607</v>
      </c>
      <c r="K14719" s="7" t="s">
        <v>18</v>
      </c>
      <c r="L14719" s="8">
        <v>39987.315405092595</v>
      </c>
      <c r="M14719" s="9" t="s">
        <v>19</v>
      </c>
      <c r="N14719" s="9" t="s">
        <v>20</v>
      </c>
      <c r="O14719" s="6" t="str">
        <f>HYPERLINK("https://pbs.twimg.com/profile_images/962471262747529216/Uo8lOkRJ_normal.jpg","View")</f>
        <v>View</v>
      </c>
      <c r="P14719" s="7"/>
    </row>
    <row r="14720" spans="1:16">
      <c r="A14720" s="3">
        <v>44344.782511574071</v>
      </c>
      <c r="B14720" s="4" t="str">
        <f>HYPERLINK("https://twitter.com/petrogustavo","@petrogustavo")</f>
        <v>@petrogustavo</v>
      </c>
      <c r="C14720" s="5" t="s">
        <v>16</v>
      </c>
      <c r="D14720" s="5" t="s">
        <v>14179</v>
      </c>
      <c r="E14720" s="6" t="str">
        <f>HYPERLINK("https://twitter.com/petrogustavo/status/1398267015362711557","1398267015362711557")</f>
        <v>1398267015362711557</v>
      </c>
      <c r="F14720" s="7" t="s">
        <v>17</v>
      </c>
      <c r="G14720" s="7">
        <v>4285802</v>
      </c>
      <c r="H14720" s="7">
        <v>2520</v>
      </c>
      <c r="I14720" s="7">
        <v>1005</v>
      </c>
      <c r="J14720" s="7">
        <v>0</v>
      </c>
      <c r="K14720" s="7" t="s">
        <v>18</v>
      </c>
      <c r="L14720" s="8">
        <v>39987.315405092595</v>
      </c>
      <c r="M14720" s="9" t="s">
        <v>19</v>
      </c>
      <c r="N14720" s="9" t="s">
        <v>20</v>
      </c>
      <c r="O14720" s="6" t="str">
        <f>HYPERLINK("https://pbs.twimg.com/profile_images/962471262747529216/Uo8lOkRJ_normal.jpg","View")</f>
        <v>View</v>
      </c>
      <c r="P14720" s="7"/>
    </row>
    <row r="14721" spans="1:16">
      <c r="A14721" s="3">
        <v>44344.942673611113</v>
      </c>
      <c r="B14721" s="4" t="str">
        <f>HYPERLINK("https://twitter.com/petrogustavo","@petrogustavo")</f>
        <v>@petrogustavo</v>
      </c>
      <c r="C14721" s="5" t="s">
        <v>16</v>
      </c>
      <c r="D14721" s="5" t="s">
        <v>14180</v>
      </c>
      <c r="E14721" s="6" t="str">
        <f>HYPERLINK("https://twitter.com/petrogustavo/status/1398325057525633024","1398325057525633024")</f>
        <v>1398325057525633024</v>
      </c>
      <c r="F14721" s="7" t="s">
        <v>17</v>
      </c>
      <c r="G14721" s="7">
        <v>4286279</v>
      </c>
      <c r="H14721" s="7">
        <v>2521</v>
      </c>
      <c r="I14721" s="7">
        <v>813</v>
      </c>
      <c r="J14721" s="7">
        <v>0</v>
      </c>
      <c r="K14721" s="7" t="s">
        <v>18</v>
      </c>
      <c r="L14721" s="8">
        <v>39987.315405092595</v>
      </c>
      <c r="M14721" s="9" t="s">
        <v>19</v>
      </c>
      <c r="N14721" s="9" t="s">
        <v>20</v>
      </c>
      <c r="O14721" s="6" t="str">
        <f>HYPERLINK("https://pbs.twimg.com/profile_images/962471262747529216/Uo8lOkRJ_normal.jpg","View")</f>
        <v>View</v>
      </c>
      <c r="P14721" s="7"/>
    </row>
    <row r="14722" spans="1:16">
      <c r="A14722" s="3">
        <v>44344.944236111114</v>
      </c>
      <c r="B14722" s="4" t="str">
        <f>HYPERLINK("https://twitter.com/petrogustavo","@petrogustavo")</f>
        <v>@petrogustavo</v>
      </c>
      <c r="C14722" s="5" t="s">
        <v>16</v>
      </c>
      <c r="D14722" s="5" t="s">
        <v>14181</v>
      </c>
      <c r="E14722" s="6" t="str">
        <f>HYPERLINK("https://twitter.com/petrogustavo/status/1398325622833823753","1398325622833823753")</f>
        <v>1398325622833823753</v>
      </c>
      <c r="F14722" s="7" t="s">
        <v>17</v>
      </c>
      <c r="G14722" s="7">
        <v>4286279</v>
      </c>
      <c r="H14722" s="7">
        <v>2521</v>
      </c>
      <c r="I14722" s="7">
        <v>393</v>
      </c>
      <c r="J14722" s="7">
        <v>0</v>
      </c>
      <c r="K14722" s="7" t="s">
        <v>18</v>
      </c>
      <c r="L14722" s="8">
        <v>39987.315405092595</v>
      </c>
      <c r="M14722" s="9" t="s">
        <v>19</v>
      </c>
      <c r="N14722" s="9" t="s">
        <v>20</v>
      </c>
      <c r="O14722" s="6" t="str">
        <f>HYPERLINK("https://pbs.twimg.com/profile_images/962471262747529216/Uo8lOkRJ_normal.jpg","View")</f>
        <v>View</v>
      </c>
      <c r="P14722" s="7"/>
    </row>
    <row r="14723" spans="1:16">
      <c r="A14723" s="3">
        <v>44344.991712962961</v>
      </c>
      <c r="B14723" s="4" t="str">
        <f>HYPERLINK("https://twitter.com/petrogustavo","@petrogustavo")</f>
        <v>@petrogustavo</v>
      </c>
      <c r="C14723" s="5" t="s">
        <v>16</v>
      </c>
      <c r="D14723" s="5" t="s">
        <v>14182</v>
      </c>
      <c r="E14723" s="6" t="str">
        <f>HYPERLINK("https://twitter.com/petrogustavo/status/1398342825805291522","1398342825805291522")</f>
        <v>1398342825805291522</v>
      </c>
      <c r="F14723" s="7" t="s">
        <v>17</v>
      </c>
      <c r="G14723" s="7">
        <v>4286411</v>
      </c>
      <c r="H14723" s="7">
        <v>2520</v>
      </c>
      <c r="I14723" s="7">
        <v>853</v>
      </c>
      <c r="J14723" s="7">
        <v>0</v>
      </c>
      <c r="K14723" s="7" t="s">
        <v>18</v>
      </c>
      <c r="L14723" s="8">
        <v>39987.315405092595</v>
      </c>
      <c r="M14723" s="9" t="s">
        <v>19</v>
      </c>
      <c r="N14723" s="9" t="s">
        <v>20</v>
      </c>
      <c r="O14723" s="6" t="str">
        <f>HYPERLINK("https://pbs.twimg.com/profile_images/962471262747529216/Uo8lOkRJ_normal.jpg","View")</f>
        <v>View</v>
      </c>
      <c r="P14723" s="7"/>
    </row>
    <row r="14724" spans="1:16">
      <c r="A14724" s="3">
        <v>44345.046793981484</v>
      </c>
      <c r="B14724" s="4" t="str">
        <f>HYPERLINK("https://twitter.com/petrogustavo","@petrogustavo")</f>
        <v>@petrogustavo</v>
      </c>
      <c r="C14724" s="5" t="s">
        <v>16</v>
      </c>
      <c r="D14724" s="5" t="s">
        <v>14183</v>
      </c>
      <c r="E14724" s="6" t="str">
        <f>HYPERLINK("https://twitter.com/petrogustavo/status/1398362786112098307","1398362786112098307")</f>
        <v>1398362786112098307</v>
      </c>
      <c r="F14724" s="7" t="s">
        <v>17</v>
      </c>
      <c r="G14724" s="7">
        <v>4286578</v>
      </c>
      <c r="H14724" s="7">
        <v>2520</v>
      </c>
      <c r="I14724" s="7">
        <v>696</v>
      </c>
      <c r="J14724" s="7">
        <v>1951</v>
      </c>
      <c r="K14724" s="7" t="s">
        <v>18</v>
      </c>
      <c r="L14724" s="8">
        <v>39987.315405092595</v>
      </c>
      <c r="M14724" s="9" t="s">
        <v>19</v>
      </c>
      <c r="N14724" s="9" t="s">
        <v>20</v>
      </c>
      <c r="O14724" s="6" t="str">
        <f>HYPERLINK("https://pbs.twimg.com/profile_images/962471262747529216/Uo8lOkRJ_normal.jpg","View")</f>
        <v>View</v>
      </c>
      <c r="P14724" s="7"/>
    </row>
    <row r="14725" spans="1:16">
      <c r="A14725" s="3">
        <v>44345.058159722219</v>
      </c>
      <c r="B14725" s="4" t="str">
        <f>HYPERLINK("https://twitter.com/petrogustavo","@petrogustavo")</f>
        <v>@petrogustavo</v>
      </c>
      <c r="C14725" s="5" t="s">
        <v>16</v>
      </c>
      <c r="D14725" s="5" t="s">
        <v>14184</v>
      </c>
      <c r="E14725" s="6" t="str">
        <f>HYPERLINK("https://twitter.com/petrogustavo/status/1398366905346445316","1398366905346445316")</f>
        <v>1398366905346445316</v>
      </c>
      <c r="F14725" s="7" t="s">
        <v>17</v>
      </c>
      <c r="G14725" s="7">
        <v>4286578</v>
      </c>
      <c r="H14725" s="7">
        <v>2520</v>
      </c>
      <c r="I14725" s="7">
        <v>248</v>
      </c>
      <c r="J14725" s="7">
        <v>925</v>
      </c>
      <c r="K14725" s="7" t="s">
        <v>18</v>
      </c>
      <c r="L14725" s="8">
        <v>39987.315405092595</v>
      </c>
      <c r="M14725" s="9" t="s">
        <v>19</v>
      </c>
      <c r="N14725" s="9" t="s">
        <v>20</v>
      </c>
      <c r="O14725" s="6" t="str">
        <f>HYPERLINK("https://pbs.twimg.com/profile_images/962471262747529216/Uo8lOkRJ_normal.jpg","View")</f>
        <v>View</v>
      </c>
      <c r="P14725" s="7"/>
    </row>
    <row r="14726" spans="1:16">
      <c r="A14726" s="3">
        <v>44345.058703703704</v>
      </c>
      <c r="B14726" s="4" t="str">
        <f>HYPERLINK("https://twitter.com/petrogustavo","@petrogustavo")</f>
        <v>@petrogustavo</v>
      </c>
      <c r="C14726" s="5" t="s">
        <v>16</v>
      </c>
      <c r="D14726" s="5" t="s">
        <v>14185</v>
      </c>
      <c r="E14726" s="6" t="str">
        <f>HYPERLINK("https://twitter.com/petrogustavo/status/1398367104944967683","1398367104944967683")</f>
        <v>1398367104944967683</v>
      </c>
      <c r="F14726" s="7" t="s">
        <v>17</v>
      </c>
      <c r="G14726" s="7">
        <v>4286578</v>
      </c>
      <c r="H14726" s="7">
        <v>2520</v>
      </c>
      <c r="I14726" s="7">
        <v>1584</v>
      </c>
      <c r="J14726" s="7">
        <v>0</v>
      </c>
      <c r="K14726" s="7" t="s">
        <v>18</v>
      </c>
      <c r="L14726" s="8">
        <v>39987.315405092595</v>
      </c>
      <c r="M14726" s="9" t="s">
        <v>19</v>
      </c>
      <c r="N14726" s="9" t="s">
        <v>20</v>
      </c>
      <c r="O14726" s="6" t="str">
        <f>HYPERLINK("https://pbs.twimg.com/profile_images/962471262747529216/Uo8lOkRJ_normal.jpg","View")</f>
        <v>View</v>
      </c>
      <c r="P14726" s="7"/>
    </row>
    <row r="14727" spans="1:16">
      <c r="A14727" s="3">
        <v>44345.060150462959</v>
      </c>
      <c r="B14727" s="4" t="str">
        <f>HYPERLINK("https://twitter.com/petrogustavo","@petrogustavo")</f>
        <v>@petrogustavo</v>
      </c>
      <c r="C14727" s="5" t="s">
        <v>16</v>
      </c>
      <c r="D14727" s="5" t="s">
        <v>14186</v>
      </c>
      <c r="E14727" s="6" t="str">
        <f>HYPERLINK("https://twitter.com/petrogustavo/status/1398367628322914306","1398367628322914306")</f>
        <v>1398367628322914306</v>
      </c>
      <c r="F14727" s="7" t="s">
        <v>17</v>
      </c>
      <c r="G14727" s="7">
        <v>4286578</v>
      </c>
      <c r="H14727" s="7">
        <v>2520</v>
      </c>
      <c r="I14727" s="7">
        <v>614</v>
      </c>
      <c r="J14727" s="7">
        <v>1690</v>
      </c>
      <c r="K14727" s="7" t="s">
        <v>18</v>
      </c>
      <c r="L14727" s="8">
        <v>39987.315405092595</v>
      </c>
      <c r="M14727" s="9" t="s">
        <v>19</v>
      </c>
      <c r="N14727" s="9" t="s">
        <v>20</v>
      </c>
      <c r="O14727" s="6" t="str">
        <f>HYPERLINK("https://pbs.twimg.com/profile_images/962471262747529216/Uo8lOkRJ_normal.jpg","View")</f>
        <v>View</v>
      </c>
      <c r="P14727" s="7"/>
    </row>
    <row r="14728" spans="1:16">
      <c r="A14728" s="3">
        <v>44345.127349537041</v>
      </c>
      <c r="B14728" s="4" t="str">
        <f>HYPERLINK("https://twitter.com/petrogustavo","@petrogustavo")</f>
        <v>@petrogustavo</v>
      </c>
      <c r="C14728" s="5" t="s">
        <v>16</v>
      </c>
      <c r="D14728" s="5" t="s">
        <v>14187</v>
      </c>
      <c r="E14728" s="6" t="str">
        <f>HYPERLINK("https://twitter.com/petrogustavo/status/1398391980590309386","1398391980590309386")</f>
        <v>1398391980590309386</v>
      </c>
      <c r="F14728" s="7" t="s">
        <v>17</v>
      </c>
      <c r="G14728" s="7">
        <v>4286827</v>
      </c>
      <c r="H14728" s="7">
        <v>2520</v>
      </c>
      <c r="I14728" s="7">
        <v>233</v>
      </c>
      <c r="J14728" s="7">
        <v>0</v>
      </c>
      <c r="K14728" s="7" t="s">
        <v>18</v>
      </c>
      <c r="L14728" s="8">
        <v>39987.315405092595</v>
      </c>
      <c r="M14728" s="9" t="s">
        <v>19</v>
      </c>
      <c r="N14728" s="9" t="s">
        <v>20</v>
      </c>
      <c r="O14728" s="6" t="str">
        <f>HYPERLINK("https://pbs.twimg.com/profile_images/962471262747529216/Uo8lOkRJ_normal.jpg","View")</f>
        <v>View</v>
      </c>
      <c r="P14728" s="7"/>
    </row>
    <row r="14729" spans="1:16">
      <c r="A14729" s="3">
        <v>44345.127685185187</v>
      </c>
      <c r="B14729" s="4" t="str">
        <f>HYPERLINK("https://twitter.com/petrogustavo","@petrogustavo")</f>
        <v>@petrogustavo</v>
      </c>
      <c r="C14729" s="5" t="s">
        <v>16</v>
      </c>
      <c r="D14729" s="5" t="s">
        <v>14188</v>
      </c>
      <c r="E14729" s="6" t="str">
        <f>HYPERLINK("https://twitter.com/petrogustavo/status/1398392099498778628","1398392099498778628")</f>
        <v>1398392099498778628</v>
      </c>
      <c r="F14729" s="7" t="s">
        <v>17</v>
      </c>
      <c r="G14729" s="7">
        <v>4286827</v>
      </c>
      <c r="H14729" s="7">
        <v>2520</v>
      </c>
      <c r="I14729" s="7">
        <v>2619</v>
      </c>
      <c r="J14729" s="7">
        <v>0</v>
      </c>
      <c r="K14729" s="7" t="s">
        <v>18</v>
      </c>
      <c r="L14729" s="8">
        <v>39987.315405092595</v>
      </c>
      <c r="M14729" s="9" t="s">
        <v>19</v>
      </c>
      <c r="N14729" s="9" t="s">
        <v>20</v>
      </c>
      <c r="O14729" s="6" t="str">
        <f>HYPERLINK("https://pbs.twimg.com/profile_images/962471262747529216/Uo8lOkRJ_normal.jpg","View")</f>
        <v>View</v>
      </c>
      <c r="P14729" s="7"/>
    </row>
    <row r="14730" spans="1:16">
      <c r="A14730" s="3">
        <v>44345.130462962959</v>
      </c>
      <c r="B14730" s="4" t="str">
        <f>HYPERLINK("https://twitter.com/petrogustavo","@petrogustavo")</f>
        <v>@petrogustavo</v>
      </c>
      <c r="C14730" s="5" t="s">
        <v>16</v>
      </c>
      <c r="D14730" s="5" t="s">
        <v>14189</v>
      </c>
      <c r="E14730" s="6" t="str">
        <f>HYPERLINK("https://twitter.com/petrogustavo/status/1398393109587845122","1398393109587845122")</f>
        <v>1398393109587845122</v>
      </c>
      <c r="F14730" s="7" t="s">
        <v>17</v>
      </c>
      <c r="G14730" s="7">
        <v>4286827</v>
      </c>
      <c r="H14730" s="7">
        <v>2520</v>
      </c>
      <c r="I14730" s="7">
        <v>223</v>
      </c>
      <c r="J14730" s="7">
        <v>0</v>
      </c>
      <c r="K14730" s="7" t="s">
        <v>18</v>
      </c>
      <c r="L14730" s="8">
        <v>39987.315405092595</v>
      </c>
      <c r="M14730" s="9" t="s">
        <v>19</v>
      </c>
      <c r="N14730" s="9" t="s">
        <v>20</v>
      </c>
      <c r="O14730" s="6" t="str">
        <f>HYPERLINK("https://pbs.twimg.com/profile_images/962471262747529216/Uo8lOkRJ_normal.jpg","View")</f>
        <v>View</v>
      </c>
      <c r="P14730" s="7"/>
    </row>
    <row r="14731" spans="1:16">
      <c r="A14731" s="3">
        <v>44345.133113425924</v>
      </c>
      <c r="B14731" s="4" t="str">
        <f>HYPERLINK("https://twitter.com/petrogustavo","@petrogustavo")</f>
        <v>@petrogustavo</v>
      </c>
      <c r="C14731" s="5" t="s">
        <v>16</v>
      </c>
      <c r="D14731" s="5" t="s">
        <v>14190</v>
      </c>
      <c r="E14731" s="6" t="str">
        <f>HYPERLINK("https://twitter.com/petrogustavo/status/1398394069869600768","1398394069869600768")</f>
        <v>1398394069869600768</v>
      </c>
      <c r="F14731" s="7" t="s">
        <v>17</v>
      </c>
      <c r="G14731" s="7">
        <v>4286827</v>
      </c>
      <c r="H14731" s="7">
        <v>2520</v>
      </c>
      <c r="I14731" s="7">
        <v>787</v>
      </c>
      <c r="J14731" s="7">
        <v>1313</v>
      </c>
      <c r="K14731" s="7" t="s">
        <v>18</v>
      </c>
      <c r="L14731" s="8">
        <v>39987.315405092595</v>
      </c>
      <c r="M14731" s="9" t="s">
        <v>19</v>
      </c>
      <c r="N14731" s="9" t="s">
        <v>20</v>
      </c>
      <c r="O14731" s="6" t="str">
        <f>HYPERLINK("https://pbs.twimg.com/profile_images/962471262747529216/Uo8lOkRJ_normal.jpg","View")</f>
        <v>View</v>
      </c>
      <c r="P14731" s="7"/>
    </row>
    <row r="14732" spans="1:16">
      <c r="A14732" s="3">
        <v>44345.135729166665</v>
      </c>
      <c r="B14732" s="4" t="str">
        <f>HYPERLINK("https://twitter.com/petrogustavo","@petrogustavo")</f>
        <v>@petrogustavo</v>
      </c>
      <c r="C14732" s="5" t="s">
        <v>16</v>
      </c>
      <c r="D14732" s="5" t="s">
        <v>14191</v>
      </c>
      <c r="E14732" s="6" t="str">
        <f>HYPERLINK("https://twitter.com/petrogustavo/status/1398395016054194183","1398395016054194183")</f>
        <v>1398395016054194183</v>
      </c>
      <c r="F14732" s="7" t="s">
        <v>17</v>
      </c>
      <c r="G14732" s="7">
        <v>4286827</v>
      </c>
      <c r="H14732" s="7">
        <v>2520</v>
      </c>
      <c r="I14732" s="7">
        <v>249</v>
      </c>
      <c r="J14732" s="7">
        <v>0</v>
      </c>
      <c r="K14732" s="7" t="s">
        <v>18</v>
      </c>
      <c r="L14732" s="8">
        <v>39987.315405092595</v>
      </c>
      <c r="M14732" s="9" t="s">
        <v>19</v>
      </c>
      <c r="N14732" s="9" t="s">
        <v>20</v>
      </c>
      <c r="O14732" s="6" t="str">
        <f>HYPERLINK("https://pbs.twimg.com/profile_images/962471262747529216/Uo8lOkRJ_normal.jpg","View")</f>
        <v>View</v>
      </c>
      <c r="P14732" s="7"/>
    </row>
    <row r="14733" spans="1:16">
      <c r="A14733" s="3">
        <v>44345.165856481486</v>
      </c>
      <c r="B14733" s="4" t="str">
        <f>HYPERLINK("https://twitter.com/petrogustavo","@petrogustavo")</f>
        <v>@petrogustavo</v>
      </c>
      <c r="C14733" s="5" t="s">
        <v>16</v>
      </c>
      <c r="D14733" s="5" t="s">
        <v>14192</v>
      </c>
      <c r="E14733" s="6" t="str">
        <f>HYPERLINK("https://twitter.com/petrogustavo/status/1398405932678365191","1398405932678365191")</f>
        <v>1398405932678365191</v>
      </c>
      <c r="F14733" s="7" t="s">
        <v>17</v>
      </c>
      <c r="G14733" s="7">
        <v>4286911</v>
      </c>
      <c r="H14733" s="7">
        <v>2520</v>
      </c>
      <c r="I14733" s="7">
        <v>322</v>
      </c>
      <c r="J14733" s="7">
        <v>506</v>
      </c>
      <c r="K14733" s="7" t="s">
        <v>18</v>
      </c>
      <c r="L14733" s="8">
        <v>39987.315405092595</v>
      </c>
      <c r="M14733" s="9" t="s">
        <v>19</v>
      </c>
      <c r="N14733" s="9" t="s">
        <v>20</v>
      </c>
      <c r="O14733" s="6" t="str">
        <f>HYPERLINK("https://pbs.twimg.com/profile_images/962471262747529216/Uo8lOkRJ_normal.jpg","View")</f>
        <v>View</v>
      </c>
      <c r="P14733" s="7"/>
    </row>
    <row r="14734" spans="1:16">
      <c r="A14734" s="3">
        <v>44345.168715277774</v>
      </c>
      <c r="B14734" s="4" t="str">
        <f>HYPERLINK("https://twitter.com/petrogustavo","@petrogustavo")</f>
        <v>@petrogustavo</v>
      </c>
      <c r="C14734" s="5" t="s">
        <v>16</v>
      </c>
      <c r="D14734" s="5" t="s">
        <v>14193</v>
      </c>
      <c r="E14734" s="6" t="str">
        <f>HYPERLINK("https://twitter.com/petrogustavo/status/1398406968545624071","1398406968545624071")</f>
        <v>1398406968545624071</v>
      </c>
      <c r="F14734" s="7" t="s">
        <v>17</v>
      </c>
      <c r="G14734" s="7">
        <v>4287002</v>
      </c>
      <c r="H14734" s="7">
        <v>2520</v>
      </c>
      <c r="I14734" s="7">
        <v>578</v>
      </c>
      <c r="J14734" s="7">
        <v>1097</v>
      </c>
      <c r="K14734" s="7" t="s">
        <v>18</v>
      </c>
      <c r="L14734" s="8">
        <v>39987.315405092595</v>
      </c>
      <c r="M14734" s="9" t="s">
        <v>19</v>
      </c>
      <c r="N14734" s="9" t="s">
        <v>20</v>
      </c>
      <c r="O14734" s="6" t="str">
        <f>HYPERLINK("https://pbs.twimg.com/profile_images/962471262747529216/Uo8lOkRJ_normal.jpg","View")</f>
        <v>View</v>
      </c>
      <c r="P14734" s="7"/>
    </row>
    <row r="14735" spans="1:16">
      <c r="A14735" s="3">
        <v>44345.170185185183</v>
      </c>
      <c r="B14735" s="4" t="str">
        <f>HYPERLINK("https://twitter.com/petrogustavo","@petrogustavo")</f>
        <v>@petrogustavo</v>
      </c>
      <c r="C14735" s="5" t="s">
        <v>16</v>
      </c>
      <c r="D14735" s="5" t="s">
        <v>14194</v>
      </c>
      <c r="E14735" s="6" t="str">
        <f>HYPERLINK("https://twitter.com/petrogustavo/status/1398407503176667140","1398407503176667140")</f>
        <v>1398407503176667140</v>
      </c>
      <c r="F14735" s="7" t="s">
        <v>17</v>
      </c>
      <c r="G14735" s="7">
        <v>4287002</v>
      </c>
      <c r="H14735" s="7">
        <v>2520</v>
      </c>
      <c r="I14735" s="7">
        <v>282</v>
      </c>
      <c r="J14735" s="7">
        <v>714</v>
      </c>
      <c r="K14735" s="7" t="s">
        <v>18</v>
      </c>
      <c r="L14735" s="8">
        <v>39987.315405092595</v>
      </c>
      <c r="M14735" s="9" t="s">
        <v>19</v>
      </c>
      <c r="N14735" s="9" t="s">
        <v>20</v>
      </c>
      <c r="O14735" s="6" t="str">
        <f>HYPERLINK("https://pbs.twimg.com/profile_images/962471262747529216/Uo8lOkRJ_normal.jpg","View")</f>
        <v>View</v>
      </c>
      <c r="P14735" s="7"/>
    </row>
    <row r="14736" spans="1:16">
      <c r="A14736" s="3">
        <v>44345.171493055561</v>
      </c>
      <c r="B14736" s="4" t="str">
        <f>HYPERLINK("https://twitter.com/petrogustavo","@petrogustavo")</f>
        <v>@petrogustavo</v>
      </c>
      <c r="C14736" s="5" t="s">
        <v>16</v>
      </c>
      <c r="D14736" s="5" t="s">
        <v>14195</v>
      </c>
      <c r="E14736" s="6" t="str">
        <f>HYPERLINK("https://twitter.com/petrogustavo/status/1398407977309245444","1398407977309245444")</f>
        <v>1398407977309245444</v>
      </c>
      <c r="F14736" s="7" t="s">
        <v>17</v>
      </c>
      <c r="G14736" s="7">
        <v>4287002</v>
      </c>
      <c r="H14736" s="7">
        <v>2520</v>
      </c>
      <c r="I14736" s="7">
        <v>314</v>
      </c>
      <c r="J14736" s="7">
        <v>926</v>
      </c>
      <c r="K14736" s="7" t="s">
        <v>18</v>
      </c>
      <c r="L14736" s="8">
        <v>39987.315405092595</v>
      </c>
      <c r="M14736" s="9" t="s">
        <v>19</v>
      </c>
      <c r="N14736" s="9" t="s">
        <v>20</v>
      </c>
      <c r="O14736" s="6" t="str">
        <f>HYPERLINK("https://pbs.twimg.com/profile_images/962471262747529216/Uo8lOkRJ_normal.jpg","View")</f>
        <v>View</v>
      </c>
      <c r="P14736" s="7"/>
    </row>
    <row r="14737" spans="1:16">
      <c r="A14737" s="3">
        <v>44345.175092592588</v>
      </c>
      <c r="B14737" s="4" t="str">
        <f>HYPERLINK("https://twitter.com/petrogustavo","@petrogustavo")</f>
        <v>@petrogustavo</v>
      </c>
      <c r="C14737" s="5" t="s">
        <v>16</v>
      </c>
      <c r="D14737" s="5" t="s">
        <v>14196</v>
      </c>
      <c r="E14737" s="6" t="str">
        <f>HYPERLINK("https://twitter.com/petrogustavo/status/1398409283096678403","1398409283096678403")</f>
        <v>1398409283096678403</v>
      </c>
      <c r="F14737" s="7" t="s">
        <v>17</v>
      </c>
      <c r="G14737" s="7">
        <v>4287002</v>
      </c>
      <c r="H14737" s="7">
        <v>2520</v>
      </c>
      <c r="I14737" s="7">
        <v>287</v>
      </c>
      <c r="J14737" s="7">
        <v>537</v>
      </c>
      <c r="K14737" s="7" t="s">
        <v>18</v>
      </c>
      <c r="L14737" s="8">
        <v>39987.315405092595</v>
      </c>
      <c r="M14737" s="9" t="s">
        <v>19</v>
      </c>
      <c r="N14737" s="9" t="s">
        <v>20</v>
      </c>
      <c r="O14737" s="6" t="str">
        <f>HYPERLINK("https://pbs.twimg.com/profile_images/962471262747529216/Uo8lOkRJ_normal.jpg","View")</f>
        <v>View</v>
      </c>
      <c r="P14737" s="7"/>
    </row>
    <row r="14738" spans="1:16">
      <c r="A14738" s="3">
        <v>44345.175659722227</v>
      </c>
      <c r="B14738" s="4" t="str">
        <f>HYPERLINK("https://twitter.com/petrogustavo","@petrogustavo")</f>
        <v>@petrogustavo</v>
      </c>
      <c r="C14738" s="5" t="s">
        <v>16</v>
      </c>
      <c r="D14738" s="5" t="s">
        <v>14197</v>
      </c>
      <c r="E14738" s="6" t="str">
        <f>HYPERLINK("https://twitter.com/petrogustavo/status/1398409485081776131","1398409485081776131")</f>
        <v>1398409485081776131</v>
      </c>
      <c r="F14738" s="7" t="s">
        <v>17</v>
      </c>
      <c r="G14738" s="7">
        <v>4287002</v>
      </c>
      <c r="H14738" s="7">
        <v>2520</v>
      </c>
      <c r="I14738" s="7">
        <v>341</v>
      </c>
      <c r="J14738" s="7">
        <v>983</v>
      </c>
      <c r="K14738" s="7" t="s">
        <v>18</v>
      </c>
      <c r="L14738" s="8">
        <v>39987.315405092595</v>
      </c>
      <c r="M14738" s="9" t="s">
        <v>19</v>
      </c>
      <c r="N14738" s="9" t="s">
        <v>20</v>
      </c>
      <c r="O14738" s="6" t="str">
        <f>HYPERLINK("https://pbs.twimg.com/profile_images/962471262747529216/Uo8lOkRJ_normal.jpg","View")</f>
        <v>View</v>
      </c>
      <c r="P14738" s="7"/>
    </row>
    <row r="14739" spans="1:16">
      <c r="A14739" s="3">
        <v>44345.181967592594</v>
      </c>
      <c r="B14739" s="4" t="str">
        <f>HYPERLINK("https://twitter.com/petrogustavo","@petrogustavo")</f>
        <v>@petrogustavo</v>
      </c>
      <c r="C14739" s="5" t="s">
        <v>16</v>
      </c>
      <c r="D14739" s="5" t="s">
        <v>14198</v>
      </c>
      <c r="E14739" s="6" t="str">
        <f>HYPERLINK("https://twitter.com/petrogustavo/status/1398411774584569856","1398411774584569856")</f>
        <v>1398411774584569856</v>
      </c>
      <c r="F14739" s="7" t="s">
        <v>17</v>
      </c>
      <c r="G14739" s="7">
        <v>4287002</v>
      </c>
      <c r="H14739" s="7">
        <v>2520</v>
      </c>
      <c r="I14739" s="7">
        <v>405</v>
      </c>
      <c r="J14739" s="7">
        <v>1376</v>
      </c>
      <c r="K14739" s="7" t="s">
        <v>18</v>
      </c>
      <c r="L14739" s="8">
        <v>39987.315405092595</v>
      </c>
      <c r="M14739" s="9" t="s">
        <v>19</v>
      </c>
      <c r="N14739" s="9" t="s">
        <v>20</v>
      </c>
      <c r="O14739" s="6" t="str">
        <f>HYPERLINK("https://pbs.twimg.com/profile_images/962471262747529216/Uo8lOkRJ_normal.jpg","View")</f>
        <v>View</v>
      </c>
      <c r="P14739" s="7"/>
    </row>
    <row r="14740" spans="1:16">
      <c r="A14740" s="3">
        <v>44345.182581018518</v>
      </c>
      <c r="B14740" s="4" t="str">
        <f>HYPERLINK("https://twitter.com/petrogustavo","@petrogustavo")</f>
        <v>@petrogustavo</v>
      </c>
      <c r="C14740" s="5" t="s">
        <v>16</v>
      </c>
      <c r="D14740" s="5" t="s">
        <v>14199</v>
      </c>
      <c r="E14740" s="6" t="str">
        <f>HYPERLINK("https://twitter.com/petrogustavo/status/1398411994210918401","1398411994210918401")</f>
        <v>1398411994210918401</v>
      </c>
      <c r="F14740" s="7" t="s">
        <v>17</v>
      </c>
      <c r="G14740" s="7">
        <v>4287002</v>
      </c>
      <c r="H14740" s="7">
        <v>2520</v>
      </c>
      <c r="I14740" s="7">
        <v>189</v>
      </c>
      <c r="J14740" s="7">
        <v>563</v>
      </c>
      <c r="K14740" s="7" t="s">
        <v>18</v>
      </c>
      <c r="L14740" s="8">
        <v>39987.315405092595</v>
      </c>
      <c r="M14740" s="9" t="s">
        <v>19</v>
      </c>
      <c r="N14740" s="9" t="s">
        <v>20</v>
      </c>
      <c r="O14740" s="6" t="str">
        <f>HYPERLINK("https://pbs.twimg.com/profile_images/962471262747529216/Uo8lOkRJ_normal.jpg","View")</f>
        <v>View</v>
      </c>
      <c r="P14740" s="7"/>
    </row>
    <row r="14741" spans="1:16">
      <c r="A14741" s="3">
        <v>44345.191736111112</v>
      </c>
      <c r="B14741" s="4" t="str">
        <f>HYPERLINK("https://twitter.com/petrogustavo","@petrogustavo")</f>
        <v>@petrogustavo</v>
      </c>
      <c r="C14741" s="5" t="s">
        <v>16</v>
      </c>
      <c r="D14741" s="5" t="s">
        <v>14200</v>
      </c>
      <c r="E14741" s="6" t="str">
        <f>HYPERLINK("https://twitter.com/petrogustavo/status/1398415314002624518","1398415314002624518")</f>
        <v>1398415314002624518</v>
      </c>
      <c r="F14741" s="7" t="s">
        <v>17</v>
      </c>
      <c r="G14741" s="7">
        <v>4287063</v>
      </c>
      <c r="H14741" s="7">
        <v>2520</v>
      </c>
      <c r="I14741" s="7">
        <v>495</v>
      </c>
      <c r="J14741" s="7">
        <v>1386</v>
      </c>
      <c r="K14741" s="7" t="s">
        <v>18</v>
      </c>
      <c r="L14741" s="8">
        <v>39987.315405092595</v>
      </c>
      <c r="M14741" s="9" t="s">
        <v>19</v>
      </c>
      <c r="N14741" s="9" t="s">
        <v>20</v>
      </c>
      <c r="O14741" s="6" t="str">
        <f>HYPERLINK("https://pbs.twimg.com/profile_images/962471262747529216/Uo8lOkRJ_normal.jpg","View")</f>
        <v>View</v>
      </c>
      <c r="P14741" s="7"/>
    </row>
    <row r="14742" spans="1:16">
      <c r="A14742" s="3">
        <v>44345.192569444444</v>
      </c>
      <c r="B14742" s="4" t="str">
        <f>HYPERLINK("https://twitter.com/petrogustavo","@petrogustavo")</f>
        <v>@petrogustavo</v>
      </c>
      <c r="C14742" s="5" t="s">
        <v>16</v>
      </c>
      <c r="D14742" s="5" t="s">
        <v>14201</v>
      </c>
      <c r="E14742" s="6" t="str">
        <f>HYPERLINK("https://twitter.com/petrogustavo/status/1398415613631111170","1398415613631111170")</f>
        <v>1398415613631111170</v>
      </c>
      <c r="F14742" s="7" t="s">
        <v>17</v>
      </c>
      <c r="G14742" s="7">
        <v>4287063</v>
      </c>
      <c r="H14742" s="7">
        <v>2520</v>
      </c>
      <c r="I14742" s="7">
        <v>272</v>
      </c>
      <c r="J14742" s="7">
        <v>694</v>
      </c>
      <c r="K14742" s="7" t="s">
        <v>18</v>
      </c>
      <c r="L14742" s="8">
        <v>39987.315405092595</v>
      </c>
      <c r="M14742" s="9" t="s">
        <v>19</v>
      </c>
      <c r="N14742" s="9" t="s">
        <v>20</v>
      </c>
      <c r="O14742" s="6" t="str">
        <f>HYPERLINK("https://pbs.twimg.com/profile_images/962471262747529216/Uo8lOkRJ_normal.jpg","View")</f>
        <v>View</v>
      </c>
      <c r="P14742" s="7"/>
    </row>
    <row r="14743" spans="1:16">
      <c r="A14743" s="3">
        <v>44345.19939814815</v>
      </c>
      <c r="B14743" s="4" t="str">
        <f>HYPERLINK("https://twitter.com/petrogustavo","@petrogustavo")</f>
        <v>@petrogustavo</v>
      </c>
      <c r="C14743" s="5" t="s">
        <v>16</v>
      </c>
      <c r="D14743" s="5" t="s">
        <v>14202</v>
      </c>
      <c r="E14743" s="6" t="str">
        <f>HYPERLINK("https://twitter.com/petrogustavo/status/1398418089612558337","1398418089612558337")</f>
        <v>1398418089612558337</v>
      </c>
      <c r="F14743" s="7" t="s">
        <v>17</v>
      </c>
      <c r="G14743" s="7">
        <v>4287063</v>
      </c>
      <c r="H14743" s="7">
        <v>2520</v>
      </c>
      <c r="I14743" s="7">
        <v>289</v>
      </c>
      <c r="J14743" s="7">
        <v>731</v>
      </c>
      <c r="K14743" s="7" t="s">
        <v>18</v>
      </c>
      <c r="L14743" s="8">
        <v>39987.315405092595</v>
      </c>
      <c r="M14743" s="9" t="s">
        <v>19</v>
      </c>
      <c r="N14743" s="9" t="s">
        <v>20</v>
      </c>
      <c r="O14743" s="6" t="str">
        <f>HYPERLINK("https://pbs.twimg.com/profile_images/962471262747529216/Uo8lOkRJ_normal.jpg","View")</f>
        <v>View</v>
      </c>
      <c r="P14743" s="7"/>
    </row>
    <row r="14744" spans="1:16">
      <c r="A14744" s="3">
        <v>44345.210081018522</v>
      </c>
      <c r="B14744" s="4" t="str">
        <f>HYPERLINK("https://twitter.com/petrogustavo","@petrogustavo")</f>
        <v>@petrogustavo</v>
      </c>
      <c r="C14744" s="5" t="s">
        <v>16</v>
      </c>
      <c r="D14744" s="5" t="s">
        <v>14203</v>
      </c>
      <c r="E14744" s="6" t="str">
        <f>HYPERLINK("https://twitter.com/petrogustavo/status/1398421961940799489","1398421961940799489")</f>
        <v>1398421961940799489</v>
      </c>
      <c r="F14744" s="7" t="s">
        <v>17</v>
      </c>
      <c r="G14744" s="7">
        <v>4287063</v>
      </c>
      <c r="H14744" s="7">
        <v>2520</v>
      </c>
      <c r="I14744" s="7">
        <v>21</v>
      </c>
      <c r="J14744" s="7">
        <v>92</v>
      </c>
      <c r="K14744" s="7" t="s">
        <v>18</v>
      </c>
      <c r="L14744" s="8">
        <v>39987.315405092595</v>
      </c>
      <c r="M14744" s="9" t="s">
        <v>19</v>
      </c>
      <c r="N14744" s="9" t="s">
        <v>20</v>
      </c>
      <c r="O14744" s="6" t="str">
        <f>HYPERLINK("https://pbs.twimg.com/profile_images/962471262747529216/Uo8lOkRJ_normal.jpg","View")</f>
        <v>View</v>
      </c>
      <c r="P14744" s="7"/>
    </row>
    <row r="14745" spans="1:16">
      <c r="A14745" s="3">
        <v>44345.270069444443</v>
      </c>
      <c r="B14745" s="4" t="str">
        <f>HYPERLINK("https://twitter.com/petrogustavo","@petrogustavo")</f>
        <v>@petrogustavo</v>
      </c>
      <c r="C14745" s="5" t="s">
        <v>16</v>
      </c>
      <c r="D14745" s="5" t="s">
        <v>14204</v>
      </c>
      <c r="E14745" s="6" t="str">
        <f>HYPERLINK("https://twitter.com/petrogustavo/status/1398443699739189249","1398443699739189249")</f>
        <v>1398443699739189249</v>
      </c>
      <c r="F14745" s="7" t="s">
        <v>17</v>
      </c>
      <c r="G14745" s="7">
        <v>4287405</v>
      </c>
      <c r="H14745" s="7">
        <v>2520</v>
      </c>
      <c r="I14745" s="7">
        <v>474</v>
      </c>
      <c r="J14745" s="7">
        <v>1424</v>
      </c>
      <c r="K14745" s="7" t="s">
        <v>18</v>
      </c>
      <c r="L14745" s="8">
        <v>39987.315405092595</v>
      </c>
      <c r="M14745" s="9" t="s">
        <v>19</v>
      </c>
      <c r="N14745" s="9" t="s">
        <v>20</v>
      </c>
      <c r="O14745" s="6" t="str">
        <f>HYPERLINK("https://pbs.twimg.com/profile_images/962471262747529216/Uo8lOkRJ_normal.jpg","View")</f>
        <v>View</v>
      </c>
      <c r="P14745" s="7"/>
    </row>
    <row r="14746" spans="1:16">
      <c r="A14746" s="3">
        <v>44345.274664351848</v>
      </c>
      <c r="B14746" s="4" t="str">
        <f>HYPERLINK("https://twitter.com/petrogustavo","@petrogustavo")</f>
        <v>@petrogustavo</v>
      </c>
      <c r="C14746" s="5" t="s">
        <v>16</v>
      </c>
      <c r="D14746" s="5" t="s">
        <v>14205</v>
      </c>
      <c r="E14746" s="6" t="str">
        <f>HYPERLINK("https://twitter.com/petrogustavo/status/1398445366266273793","1398445366266273793")</f>
        <v>1398445366266273793</v>
      </c>
      <c r="F14746" s="7" t="s">
        <v>17</v>
      </c>
      <c r="G14746" s="7">
        <v>4287455</v>
      </c>
      <c r="H14746" s="7">
        <v>2519</v>
      </c>
      <c r="I14746" s="7">
        <v>707</v>
      </c>
      <c r="J14746" s="7">
        <v>1289</v>
      </c>
      <c r="K14746" s="7" t="s">
        <v>18</v>
      </c>
      <c r="L14746" s="8">
        <v>39987.315405092595</v>
      </c>
      <c r="M14746" s="9" t="s">
        <v>19</v>
      </c>
      <c r="N14746" s="9" t="s">
        <v>20</v>
      </c>
      <c r="O14746" s="6" t="str">
        <f>HYPERLINK("https://pbs.twimg.com/profile_images/962471262747529216/Uo8lOkRJ_normal.jpg","View")</f>
        <v>View</v>
      </c>
      <c r="P14746" s="7"/>
    </row>
    <row r="14747" spans="1:16">
      <c r="A14747" s="3">
        <v>44345.276446759264</v>
      </c>
      <c r="B14747" s="4" t="str">
        <f>HYPERLINK("https://twitter.com/petrogustavo","@petrogustavo")</f>
        <v>@petrogustavo</v>
      </c>
      <c r="C14747" s="5" t="s">
        <v>16</v>
      </c>
      <c r="D14747" s="5" t="s">
        <v>14206</v>
      </c>
      <c r="E14747" s="6" t="str">
        <f>HYPERLINK("https://twitter.com/petrogustavo/status/1398446011740299267","1398446011740299267")</f>
        <v>1398446011740299267</v>
      </c>
      <c r="F14747" s="7" t="s">
        <v>17</v>
      </c>
      <c r="G14747" s="7">
        <v>4287455</v>
      </c>
      <c r="H14747" s="7">
        <v>2519</v>
      </c>
      <c r="I14747" s="7">
        <v>1865</v>
      </c>
      <c r="J14747" s="7">
        <v>0</v>
      </c>
      <c r="K14747" s="7" t="s">
        <v>18</v>
      </c>
      <c r="L14747" s="8">
        <v>39987.315405092595</v>
      </c>
      <c r="M14747" s="9" t="s">
        <v>19</v>
      </c>
      <c r="N14747" s="9" t="s">
        <v>20</v>
      </c>
      <c r="O14747" s="6" t="str">
        <f>HYPERLINK("https://pbs.twimg.com/profile_images/962471262747529216/Uo8lOkRJ_normal.jpg","View")</f>
        <v>View</v>
      </c>
      <c r="P14747" s="7"/>
    </row>
    <row r="14748" spans="1:16">
      <c r="A14748" s="3">
        <v>44345.369837962964</v>
      </c>
      <c r="B14748" s="4" t="str">
        <f>HYPERLINK("https://twitter.com/petrogustavo","@petrogustavo")</f>
        <v>@petrogustavo</v>
      </c>
      <c r="C14748" s="5" t="s">
        <v>16</v>
      </c>
      <c r="D14748" s="5" t="s">
        <v>14207</v>
      </c>
      <c r="E14748" s="6" t="str">
        <f>HYPERLINK("https://twitter.com/petrogustavo/status/1398479856476766208","1398479856476766208")</f>
        <v>1398479856476766208</v>
      </c>
      <c r="F14748" s="7" t="s">
        <v>17</v>
      </c>
      <c r="G14748" s="7">
        <v>4287785</v>
      </c>
      <c r="H14748" s="7">
        <v>2519</v>
      </c>
      <c r="I14748" s="7">
        <v>1884</v>
      </c>
      <c r="J14748" s="7">
        <v>0</v>
      </c>
      <c r="K14748" s="7" t="s">
        <v>18</v>
      </c>
      <c r="L14748" s="8">
        <v>39987.315405092595</v>
      </c>
      <c r="M14748" s="9" t="s">
        <v>19</v>
      </c>
      <c r="N14748" s="9" t="s">
        <v>20</v>
      </c>
      <c r="O14748" s="6" t="str">
        <f>HYPERLINK("https://pbs.twimg.com/profile_images/962471262747529216/Uo8lOkRJ_normal.jpg","View")</f>
        <v>View</v>
      </c>
      <c r="P14748" s="7"/>
    </row>
    <row r="14749" spans="1:16">
      <c r="A14749" s="3">
        <v>44345.378900462965</v>
      </c>
      <c r="B14749" s="4" t="str">
        <f>HYPERLINK("https://twitter.com/petrogustavo","@petrogustavo")</f>
        <v>@petrogustavo</v>
      </c>
      <c r="C14749" s="5" t="s">
        <v>16</v>
      </c>
      <c r="D14749" s="5" t="s">
        <v>14206</v>
      </c>
      <c r="E14749" s="6" t="str">
        <f>HYPERLINK("https://twitter.com/petrogustavo/status/1398483138532319233","1398483138532319233")</f>
        <v>1398483138532319233</v>
      </c>
      <c r="F14749" s="7" t="s">
        <v>17</v>
      </c>
      <c r="G14749" s="7">
        <v>4287865</v>
      </c>
      <c r="H14749" s="7">
        <v>2519</v>
      </c>
      <c r="I14749" s="7">
        <v>4710</v>
      </c>
      <c r="J14749" s="7">
        <v>0</v>
      </c>
      <c r="K14749" s="7" t="s">
        <v>18</v>
      </c>
      <c r="L14749" s="8">
        <v>39987.315405092595</v>
      </c>
      <c r="M14749" s="9" t="s">
        <v>19</v>
      </c>
      <c r="N14749" s="9" t="s">
        <v>20</v>
      </c>
      <c r="O14749" s="6" t="str">
        <f>HYPERLINK("https://pbs.twimg.com/profile_images/962471262747529216/Uo8lOkRJ_normal.jpg","View")</f>
        <v>View</v>
      </c>
      <c r="P14749" s="7"/>
    </row>
    <row r="14750" spans="1:16">
      <c r="A14750" s="3">
        <v>44345.386342592596</v>
      </c>
      <c r="B14750" s="4" t="str">
        <f>HYPERLINK("https://twitter.com/petrogustavo","@petrogustavo")</f>
        <v>@petrogustavo</v>
      </c>
      <c r="C14750" s="5" t="s">
        <v>16</v>
      </c>
      <c r="D14750" s="5" t="s">
        <v>14208</v>
      </c>
      <c r="E14750" s="6" t="str">
        <f>HYPERLINK("https://twitter.com/petrogustavo/status/1398485834953854980","1398485834953854980")</f>
        <v>1398485834953854980</v>
      </c>
      <c r="F14750" s="7" t="s">
        <v>17</v>
      </c>
      <c r="G14750" s="7">
        <v>4287865</v>
      </c>
      <c r="H14750" s="7">
        <v>2519</v>
      </c>
      <c r="I14750" s="7">
        <v>639</v>
      </c>
      <c r="J14750" s="7">
        <v>2016</v>
      </c>
      <c r="K14750" s="7" t="s">
        <v>18</v>
      </c>
      <c r="L14750" s="8">
        <v>39987.315405092595</v>
      </c>
      <c r="M14750" s="9" t="s">
        <v>19</v>
      </c>
      <c r="N14750" s="9" t="s">
        <v>20</v>
      </c>
      <c r="O14750" s="6" t="str">
        <f>HYPERLINK("https://pbs.twimg.com/profile_images/962471262747529216/Uo8lOkRJ_normal.jpg","View")</f>
        <v>View</v>
      </c>
      <c r="P14750" s="7"/>
    </row>
    <row r="14751" spans="1:16">
      <c r="A14751" s="3">
        <v>44345.394004629634</v>
      </c>
      <c r="B14751" s="4" t="str">
        <f>HYPERLINK("https://twitter.com/petrogustavo","@petrogustavo")</f>
        <v>@petrogustavo</v>
      </c>
      <c r="C14751" s="5" t="s">
        <v>16</v>
      </c>
      <c r="D14751" s="5" t="s">
        <v>14209</v>
      </c>
      <c r="E14751" s="6" t="str">
        <f>HYPERLINK("https://twitter.com/petrogustavo/status/1398488613470547971","1398488613470547971")</f>
        <v>1398488613470547971</v>
      </c>
      <c r="F14751" s="7" t="s">
        <v>17</v>
      </c>
      <c r="G14751" s="7">
        <v>4287865</v>
      </c>
      <c r="H14751" s="7">
        <v>2519</v>
      </c>
      <c r="I14751" s="7">
        <v>231</v>
      </c>
      <c r="J14751" s="7">
        <v>427</v>
      </c>
      <c r="K14751" s="7" t="s">
        <v>18</v>
      </c>
      <c r="L14751" s="8">
        <v>39987.315405092595</v>
      </c>
      <c r="M14751" s="9" t="s">
        <v>19</v>
      </c>
      <c r="N14751" s="9" t="s">
        <v>20</v>
      </c>
      <c r="O14751" s="6" t="str">
        <f>HYPERLINK("https://pbs.twimg.com/profile_images/962471262747529216/Uo8lOkRJ_normal.jpg","View")</f>
        <v>View</v>
      </c>
      <c r="P14751" s="7"/>
    </row>
    <row r="14752" spans="1:16">
      <c r="A14752" s="3">
        <v>44345.40792824074</v>
      </c>
      <c r="B14752" s="4" t="str">
        <f>HYPERLINK("https://twitter.com/petrogustavo","@petrogustavo")</f>
        <v>@petrogustavo</v>
      </c>
      <c r="C14752" s="5" t="s">
        <v>16</v>
      </c>
      <c r="D14752" s="5" t="s">
        <v>14206</v>
      </c>
      <c r="E14752" s="6" t="str">
        <f>HYPERLINK("https://twitter.com/petrogustavo/status/1398493660031901696","1398493660031901696")</f>
        <v>1398493660031901696</v>
      </c>
      <c r="F14752" s="7" t="s">
        <v>17</v>
      </c>
      <c r="G14752" s="7">
        <v>4287939</v>
      </c>
      <c r="H14752" s="7">
        <v>2519</v>
      </c>
      <c r="I14752" s="7">
        <v>5026</v>
      </c>
      <c r="J14752" s="7">
        <v>0</v>
      </c>
      <c r="K14752" s="7" t="s">
        <v>18</v>
      </c>
      <c r="L14752" s="8">
        <v>39987.315405092595</v>
      </c>
      <c r="M14752" s="9" t="s">
        <v>19</v>
      </c>
      <c r="N14752" s="9" t="s">
        <v>20</v>
      </c>
      <c r="O14752" s="6" t="str">
        <f>HYPERLINK("https://pbs.twimg.com/profile_images/962471262747529216/Uo8lOkRJ_normal.jpg","View")</f>
        <v>View</v>
      </c>
      <c r="P14752" s="7"/>
    </row>
    <row r="14753" spans="1:16">
      <c r="A14753" s="3">
        <v>44345.764606481476</v>
      </c>
      <c r="B14753" s="4" t="str">
        <f>HYPERLINK("https://twitter.com/petrogustavo","@petrogustavo")</f>
        <v>@petrogustavo</v>
      </c>
      <c r="C14753" s="5" t="s">
        <v>16</v>
      </c>
      <c r="D14753" s="5" t="s">
        <v>14210</v>
      </c>
      <c r="E14753" s="6" t="str">
        <f>HYPERLINK("https://twitter.com/petrogustavo/status/1398622913620762633","1398622913620762633")</f>
        <v>1398622913620762633</v>
      </c>
      <c r="F14753" s="7" t="s">
        <v>17</v>
      </c>
      <c r="G14753" s="7">
        <v>4288355</v>
      </c>
      <c r="H14753" s="7">
        <v>2519</v>
      </c>
      <c r="I14753" s="7">
        <v>381</v>
      </c>
      <c r="J14753" s="7">
        <v>881</v>
      </c>
      <c r="K14753" s="7" t="s">
        <v>18</v>
      </c>
      <c r="L14753" s="8">
        <v>39987.315405092595</v>
      </c>
      <c r="M14753" s="9" t="s">
        <v>19</v>
      </c>
      <c r="N14753" s="9" t="s">
        <v>20</v>
      </c>
      <c r="O14753" s="6" t="str">
        <f>HYPERLINK("https://pbs.twimg.com/profile_images/962471262747529216/Uo8lOkRJ_normal.jpg","View")</f>
        <v>View</v>
      </c>
      <c r="P14753" s="7"/>
    </row>
    <row r="14754" spans="1:16">
      <c r="A14754" s="3">
        <v>44345.764606481476</v>
      </c>
      <c r="B14754" s="4" t="str">
        <f>HYPERLINK("https://twitter.com/petrogustavo","@petrogustavo")</f>
        <v>@petrogustavo</v>
      </c>
      <c r="C14754" s="5" t="s">
        <v>16</v>
      </c>
      <c r="D14754" s="5" t="s">
        <v>14211</v>
      </c>
      <c r="E14754" s="6" t="str">
        <f>HYPERLINK("https://twitter.com/petrogustavo/status/1398622915025948674","1398622915025948674")</f>
        <v>1398622915025948674</v>
      </c>
      <c r="F14754" s="7" t="s">
        <v>17</v>
      </c>
      <c r="G14754" s="7">
        <v>4288355</v>
      </c>
      <c r="H14754" s="7">
        <v>2519</v>
      </c>
      <c r="I14754" s="7">
        <v>141</v>
      </c>
      <c r="J14754" s="7">
        <v>578</v>
      </c>
      <c r="K14754" s="7" t="s">
        <v>18</v>
      </c>
      <c r="L14754" s="8">
        <v>39987.315405092595</v>
      </c>
      <c r="M14754" s="9" t="s">
        <v>19</v>
      </c>
      <c r="N14754" s="9" t="s">
        <v>20</v>
      </c>
      <c r="O14754" s="6" t="str">
        <f>HYPERLINK("https://pbs.twimg.com/profile_images/962471262747529216/Uo8lOkRJ_normal.jpg","View")</f>
        <v>View</v>
      </c>
      <c r="P14754" s="7"/>
    </row>
    <row r="14755" spans="1:16">
      <c r="A14755" s="3">
        <v>44345.76461805556</v>
      </c>
      <c r="B14755" s="4" t="str">
        <f>HYPERLINK("https://twitter.com/petrogustavo","@petrogustavo")</f>
        <v>@petrogustavo</v>
      </c>
      <c r="C14755" s="5" t="s">
        <v>16</v>
      </c>
      <c r="D14755" s="5" t="s">
        <v>14212</v>
      </c>
      <c r="E14755" s="6" t="str">
        <f>HYPERLINK("https://twitter.com/petrogustavo/status/1398622916129038336","1398622916129038336")</f>
        <v>1398622916129038336</v>
      </c>
      <c r="F14755" s="7" t="s">
        <v>17</v>
      </c>
      <c r="G14755" s="7">
        <v>4288355</v>
      </c>
      <c r="H14755" s="7">
        <v>2519</v>
      </c>
      <c r="I14755" s="7">
        <v>176</v>
      </c>
      <c r="J14755" s="7">
        <v>606</v>
      </c>
      <c r="K14755" s="7" t="s">
        <v>18</v>
      </c>
      <c r="L14755" s="8">
        <v>39987.315405092595</v>
      </c>
      <c r="M14755" s="9" t="s">
        <v>19</v>
      </c>
      <c r="N14755" s="9" t="s">
        <v>20</v>
      </c>
      <c r="O14755" s="6" t="str">
        <f>HYPERLINK("https://pbs.twimg.com/profile_images/962471262747529216/Uo8lOkRJ_normal.jpg","View")</f>
        <v>View</v>
      </c>
      <c r="P14755" s="7"/>
    </row>
    <row r="14756" spans="1:16">
      <c r="A14756" s="3">
        <v>44345.771643518514</v>
      </c>
      <c r="B14756" s="4" t="str">
        <f>HYPERLINK("https://twitter.com/petrogustavo","@petrogustavo")</f>
        <v>@petrogustavo</v>
      </c>
      <c r="C14756" s="5" t="s">
        <v>16</v>
      </c>
      <c r="D14756" s="5" t="s">
        <v>14213</v>
      </c>
      <c r="E14756" s="6" t="str">
        <f>HYPERLINK("https://twitter.com/petrogustavo/status/1398625462100926464","1398625462100926464")</f>
        <v>1398625462100926464</v>
      </c>
      <c r="F14756" s="7" t="s">
        <v>17</v>
      </c>
      <c r="G14756" s="7">
        <v>4288355</v>
      </c>
      <c r="H14756" s="7">
        <v>2519</v>
      </c>
      <c r="I14756" s="7">
        <v>1121</v>
      </c>
      <c r="J14756" s="7">
        <v>0</v>
      </c>
      <c r="K14756" s="7" t="s">
        <v>18</v>
      </c>
      <c r="L14756" s="8">
        <v>39987.315405092595</v>
      </c>
      <c r="M14756" s="9" t="s">
        <v>19</v>
      </c>
      <c r="N14756" s="9" t="s">
        <v>20</v>
      </c>
      <c r="O14756" s="6" t="str">
        <f>HYPERLINK("https://pbs.twimg.com/profile_images/962471262747529216/Uo8lOkRJ_normal.jpg","View")</f>
        <v>View</v>
      </c>
      <c r="P14756" s="7"/>
    </row>
    <row r="14757" spans="1:16">
      <c r="A14757" s="3">
        <v>44345.771678240737</v>
      </c>
      <c r="B14757" s="4" t="str">
        <f>HYPERLINK("https://twitter.com/petrogustavo","@petrogustavo")</f>
        <v>@petrogustavo</v>
      </c>
      <c r="C14757" s="5" t="s">
        <v>16</v>
      </c>
      <c r="D14757" s="5" t="s">
        <v>14214</v>
      </c>
      <c r="E14757" s="6" t="str">
        <f>HYPERLINK("https://twitter.com/petrogustavo/status/1398625475946287108","1398625475946287108")</f>
        <v>1398625475946287108</v>
      </c>
      <c r="F14757" s="7" t="s">
        <v>17</v>
      </c>
      <c r="G14757" s="7">
        <v>4288355</v>
      </c>
      <c r="H14757" s="7">
        <v>2519</v>
      </c>
      <c r="I14757" s="7">
        <v>2604</v>
      </c>
      <c r="J14757" s="7">
        <v>0</v>
      </c>
      <c r="K14757" s="7" t="s">
        <v>18</v>
      </c>
      <c r="L14757" s="8">
        <v>39987.315405092595</v>
      </c>
      <c r="M14757" s="9" t="s">
        <v>19</v>
      </c>
      <c r="N14757" s="9" t="s">
        <v>20</v>
      </c>
      <c r="O14757" s="6" t="str">
        <f>HYPERLINK("https://pbs.twimg.com/profile_images/962471262747529216/Uo8lOkRJ_normal.jpg","View")</f>
        <v>View</v>
      </c>
      <c r="P14757" s="7"/>
    </row>
    <row r="14758" spans="1:16">
      <c r="A14758" s="3">
        <v>44345.773819444439</v>
      </c>
      <c r="B14758" s="4" t="str">
        <f>HYPERLINK("https://twitter.com/petrogustavo","@petrogustavo")</f>
        <v>@petrogustavo</v>
      </c>
      <c r="C14758" s="5" t="s">
        <v>16</v>
      </c>
      <c r="D14758" s="5" t="s">
        <v>14215</v>
      </c>
      <c r="E14758" s="6" t="str">
        <f>HYPERLINK("https://twitter.com/petrogustavo/status/1398626253402427394","1398626253402427394")</f>
        <v>1398626253402427394</v>
      </c>
      <c r="F14758" s="7" t="s">
        <v>17</v>
      </c>
      <c r="G14758" s="7">
        <v>4288413</v>
      </c>
      <c r="H14758" s="7">
        <v>2519</v>
      </c>
      <c r="I14758" s="7">
        <v>844</v>
      </c>
      <c r="J14758" s="7">
        <v>0</v>
      </c>
      <c r="K14758" s="7" t="s">
        <v>18</v>
      </c>
      <c r="L14758" s="8">
        <v>39987.315405092595</v>
      </c>
      <c r="M14758" s="9" t="s">
        <v>19</v>
      </c>
      <c r="N14758" s="9" t="s">
        <v>20</v>
      </c>
      <c r="O14758" s="6" t="str">
        <f>HYPERLINK("https://pbs.twimg.com/profile_images/962471262747529216/Uo8lOkRJ_normal.jpg","View")</f>
        <v>View</v>
      </c>
      <c r="P14758" s="7"/>
    </row>
    <row r="14759" spans="1:16">
      <c r="A14759" s="3">
        <v>44345.804780092592</v>
      </c>
      <c r="B14759" s="4" t="str">
        <f>HYPERLINK("https://twitter.com/petrogustavo","@petrogustavo")</f>
        <v>@petrogustavo</v>
      </c>
      <c r="C14759" s="5" t="s">
        <v>16</v>
      </c>
      <c r="D14759" s="5" t="s">
        <v>14216</v>
      </c>
      <c r="E14759" s="6" t="str">
        <f>HYPERLINK("https://twitter.com/petrogustavo/status/1398637471517364228","1398637471517364228")</f>
        <v>1398637471517364228</v>
      </c>
      <c r="F14759" s="7" t="s">
        <v>17</v>
      </c>
      <c r="G14759" s="7">
        <v>4288509</v>
      </c>
      <c r="H14759" s="7">
        <v>2519</v>
      </c>
      <c r="I14759" s="7">
        <v>2285</v>
      </c>
      <c r="J14759" s="7">
        <v>0</v>
      </c>
      <c r="K14759" s="7" t="s">
        <v>18</v>
      </c>
      <c r="L14759" s="8">
        <v>39987.315405092595</v>
      </c>
      <c r="M14759" s="9" t="s">
        <v>19</v>
      </c>
      <c r="N14759" s="9" t="s">
        <v>20</v>
      </c>
      <c r="O14759" s="6" t="str">
        <f>HYPERLINK("https://pbs.twimg.com/profile_images/962471262747529216/Uo8lOkRJ_normal.jpg","View")</f>
        <v>View</v>
      </c>
      <c r="P14759" s="7"/>
    </row>
    <row r="14760" spans="1:16">
      <c r="A14760" s="3">
        <v>44345.813391203701</v>
      </c>
      <c r="B14760" s="4" t="str">
        <f>HYPERLINK("https://twitter.com/petrogustavo","@petrogustavo")</f>
        <v>@petrogustavo</v>
      </c>
      <c r="C14760" s="5" t="s">
        <v>16</v>
      </c>
      <c r="D14760" s="5" t="s">
        <v>14217</v>
      </c>
      <c r="E14760" s="6" t="str">
        <f>HYPERLINK("https://twitter.com/petrogustavo/status/1398640594411528193","1398640594411528193")</f>
        <v>1398640594411528193</v>
      </c>
      <c r="F14760" s="7" t="s">
        <v>17</v>
      </c>
      <c r="G14760" s="7">
        <v>4288509</v>
      </c>
      <c r="H14760" s="7">
        <v>2519</v>
      </c>
      <c r="I14760" s="7">
        <v>12363</v>
      </c>
      <c r="J14760" s="7">
        <v>0</v>
      </c>
      <c r="K14760" s="7" t="s">
        <v>18</v>
      </c>
      <c r="L14760" s="8">
        <v>39987.315405092595</v>
      </c>
      <c r="M14760" s="9" t="s">
        <v>19</v>
      </c>
      <c r="N14760" s="9" t="s">
        <v>20</v>
      </c>
      <c r="O14760" s="6" t="str">
        <f>HYPERLINK("https://pbs.twimg.com/profile_images/962471262747529216/Uo8lOkRJ_normal.jpg","View")</f>
        <v>View</v>
      </c>
      <c r="P14760" s="7"/>
    </row>
    <row r="14761" spans="1:16">
      <c r="A14761" s="3">
        <v>44345.815787037034</v>
      </c>
      <c r="B14761" s="4" t="str">
        <f>HYPERLINK("https://twitter.com/petrogustavo","@petrogustavo")</f>
        <v>@petrogustavo</v>
      </c>
      <c r="C14761" s="5" t="s">
        <v>16</v>
      </c>
      <c r="D14761" s="5" t="s">
        <v>14218</v>
      </c>
      <c r="E14761" s="6" t="str">
        <f>HYPERLINK("https://twitter.com/petrogustavo/status/1398641459939758082","1398641459939758082")</f>
        <v>1398641459939758082</v>
      </c>
      <c r="F14761" s="7" t="s">
        <v>17</v>
      </c>
      <c r="G14761" s="7">
        <v>4288592</v>
      </c>
      <c r="H14761" s="7">
        <v>2519</v>
      </c>
      <c r="I14761" s="7">
        <v>838</v>
      </c>
      <c r="J14761" s="7">
        <v>0</v>
      </c>
      <c r="K14761" s="7" t="s">
        <v>18</v>
      </c>
      <c r="L14761" s="8">
        <v>39987.315405092595</v>
      </c>
      <c r="M14761" s="9" t="s">
        <v>19</v>
      </c>
      <c r="N14761" s="9" t="s">
        <v>20</v>
      </c>
      <c r="O14761" s="6" t="str">
        <f>HYPERLINK("https://pbs.twimg.com/profile_images/962471262747529216/Uo8lOkRJ_normal.jpg","View")</f>
        <v>View</v>
      </c>
      <c r="P14761" s="7"/>
    </row>
    <row r="14762" spans="1:16">
      <c r="A14762" s="3">
        <v>44345.830046296294</v>
      </c>
      <c r="B14762" s="4" t="str">
        <f>HYPERLINK("https://twitter.com/petrogustavo","@petrogustavo")</f>
        <v>@petrogustavo</v>
      </c>
      <c r="C14762" s="5" t="s">
        <v>16</v>
      </c>
      <c r="D14762" s="5" t="s">
        <v>14219</v>
      </c>
      <c r="E14762" s="6" t="str">
        <f>HYPERLINK("https://twitter.com/petrogustavo/status/1398646629905977344","1398646629905977344")</f>
        <v>1398646629905977344</v>
      </c>
      <c r="F14762" s="7" t="s">
        <v>32</v>
      </c>
      <c r="G14762" s="7">
        <v>4288592</v>
      </c>
      <c r="H14762" s="7">
        <v>2519</v>
      </c>
      <c r="I14762" s="7">
        <v>1815</v>
      </c>
      <c r="J14762" s="7">
        <v>0</v>
      </c>
      <c r="K14762" s="7" t="s">
        <v>18</v>
      </c>
      <c r="L14762" s="8">
        <v>39987.315405092595</v>
      </c>
      <c r="M14762" s="9" t="s">
        <v>19</v>
      </c>
      <c r="N14762" s="9" t="s">
        <v>20</v>
      </c>
      <c r="O14762" s="6" t="str">
        <f>HYPERLINK("https://pbs.twimg.com/profile_images/962471262747529216/Uo8lOkRJ_normal.jpg","View")</f>
        <v>View</v>
      </c>
      <c r="P14762" s="7"/>
    </row>
    <row r="14763" spans="1:16">
      <c r="A14763" s="3">
        <v>44345.860277777778</v>
      </c>
      <c r="B14763" s="4" t="str">
        <f>HYPERLINK("https://twitter.com/petrogustavo","@petrogustavo")</f>
        <v>@petrogustavo</v>
      </c>
      <c r="C14763" s="5" t="s">
        <v>16</v>
      </c>
      <c r="D14763" s="5" t="s">
        <v>14220</v>
      </c>
      <c r="E14763" s="6" t="str">
        <f>HYPERLINK("https://twitter.com/petrogustavo/status/1398657583783858179","1398657583783858179")</f>
        <v>1398657583783858179</v>
      </c>
      <c r="F14763" s="7" t="s">
        <v>17</v>
      </c>
      <c r="G14763" s="7">
        <v>4288695</v>
      </c>
      <c r="H14763" s="7">
        <v>2519</v>
      </c>
      <c r="I14763" s="7">
        <v>343</v>
      </c>
      <c r="J14763" s="7">
        <v>1856</v>
      </c>
      <c r="K14763" s="7" t="s">
        <v>18</v>
      </c>
      <c r="L14763" s="8">
        <v>39987.315405092595</v>
      </c>
      <c r="M14763" s="9" t="s">
        <v>19</v>
      </c>
      <c r="N14763" s="9" t="s">
        <v>20</v>
      </c>
      <c r="O14763" s="6" t="str">
        <f>HYPERLINK("https://pbs.twimg.com/profile_images/962471262747529216/Uo8lOkRJ_normal.jpg","View")</f>
        <v>View</v>
      </c>
      <c r="P14763" s="7"/>
    </row>
    <row r="14764" spans="1:16">
      <c r="A14764" s="3">
        <v>44345.860300925924</v>
      </c>
      <c r="B14764" s="4" t="str">
        <f>HYPERLINK("https://twitter.com/petrogustavo","@petrogustavo")</f>
        <v>@petrogustavo</v>
      </c>
      <c r="C14764" s="5" t="s">
        <v>16</v>
      </c>
      <c r="D14764" s="5" t="s">
        <v>14221</v>
      </c>
      <c r="E14764" s="6" t="str">
        <f>HYPERLINK("https://twitter.com/petrogustavo/status/1398657592390557708","1398657592390557708")</f>
        <v>1398657592390557708</v>
      </c>
      <c r="F14764" s="7" t="s">
        <v>17</v>
      </c>
      <c r="G14764" s="7">
        <v>4288695</v>
      </c>
      <c r="H14764" s="7">
        <v>2519</v>
      </c>
      <c r="I14764" s="7">
        <v>173</v>
      </c>
      <c r="J14764" s="7">
        <v>1098</v>
      </c>
      <c r="K14764" s="7" t="s">
        <v>18</v>
      </c>
      <c r="L14764" s="8">
        <v>39987.315405092595</v>
      </c>
      <c r="M14764" s="9" t="s">
        <v>19</v>
      </c>
      <c r="N14764" s="9" t="s">
        <v>20</v>
      </c>
      <c r="O14764" s="6" t="str">
        <f>HYPERLINK("https://pbs.twimg.com/profile_images/962471262747529216/Uo8lOkRJ_normal.jpg","View")</f>
        <v>View</v>
      </c>
      <c r="P14764" s="7"/>
    </row>
    <row r="14765" spans="1:16">
      <c r="A14765" s="3">
        <v>44345.860324074078</v>
      </c>
      <c r="B14765" s="4" t="str">
        <f>HYPERLINK("https://twitter.com/petrogustavo","@petrogustavo")</f>
        <v>@petrogustavo</v>
      </c>
      <c r="C14765" s="5" t="s">
        <v>16</v>
      </c>
      <c r="D14765" s="5" t="s">
        <v>14222</v>
      </c>
      <c r="E14765" s="6" t="str">
        <f>HYPERLINK("https://twitter.com/petrogustavo/status/1398657600397451265","1398657600397451265")</f>
        <v>1398657600397451265</v>
      </c>
      <c r="F14765" s="7" t="s">
        <v>17</v>
      </c>
      <c r="G14765" s="7">
        <v>4288695</v>
      </c>
      <c r="H14765" s="7">
        <v>2519</v>
      </c>
      <c r="I14765" s="7">
        <v>158</v>
      </c>
      <c r="J14765" s="7">
        <v>1048</v>
      </c>
      <c r="K14765" s="7" t="s">
        <v>18</v>
      </c>
      <c r="L14765" s="8">
        <v>39987.315405092595</v>
      </c>
      <c r="M14765" s="9" t="s">
        <v>19</v>
      </c>
      <c r="N14765" s="9" t="s">
        <v>20</v>
      </c>
      <c r="O14765" s="6" t="str">
        <f>HYPERLINK("https://pbs.twimg.com/profile_images/962471262747529216/Uo8lOkRJ_normal.jpg","View")</f>
        <v>View</v>
      </c>
      <c r="P14765" s="7"/>
    </row>
    <row r="14766" spans="1:16">
      <c r="A14766" s="3">
        <v>44346.001574074078</v>
      </c>
      <c r="B14766" s="4" t="str">
        <f>HYPERLINK("https://twitter.com/petrogustavo","@petrogustavo")</f>
        <v>@petrogustavo</v>
      </c>
      <c r="C14766" s="5" t="s">
        <v>16</v>
      </c>
      <c r="D14766" s="5" t="s">
        <v>14223</v>
      </c>
      <c r="E14766" s="6" t="str">
        <f>HYPERLINK("https://twitter.com/petrogustavo/status/1398708786228047873","1398708786228047873")</f>
        <v>1398708786228047873</v>
      </c>
      <c r="F14766" s="7" t="s">
        <v>17</v>
      </c>
      <c r="G14766" s="7">
        <v>4289087</v>
      </c>
      <c r="H14766" s="7">
        <v>2519</v>
      </c>
      <c r="I14766" s="7">
        <v>12</v>
      </c>
      <c r="J14766" s="7">
        <v>0</v>
      </c>
      <c r="K14766" s="7" t="s">
        <v>18</v>
      </c>
      <c r="L14766" s="8">
        <v>39987.315405092595</v>
      </c>
      <c r="M14766" s="9" t="s">
        <v>19</v>
      </c>
      <c r="N14766" s="9" t="s">
        <v>20</v>
      </c>
      <c r="O14766" s="6" t="str">
        <f>HYPERLINK("https://pbs.twimg.com/profile_images/962471262747529216/Uo8lOkRJ_normal.jpg","View")</f>
        <v>View</v>
      </c>
      <c r="P14766" s="7"/>
    </row>
    <row r="14767" spans="1:16">
      <c r="A14767" s="3">
        <v>44346.003344907411</v>
      </c>
      <c r="B14767" s="4" t="str">
        <f>HYPERLINK("https://twitter.com/petrogustavo","@petrogustavo")</f>
        <v>@petrogustavo</v>
      </c>
      <c r="C14767" s="5" t="s">
        <v>16</v>
      </c>
      <c r="D14767" s="5" t="s">
        <v>14224</v>
      </c>
      <c r="E14767" s="6" t="str">
        <f>HYPERLINK("https://twitter.com/petrogustavo/status/1398709428363436036","1398709428363436036")</f>
        <v>1398709428363436036</v>
      </c>
      <c r="F14767" s="7" t="s">
        <v>17</v>
      </c>
      <c r="G14767" s="7">
        <v>4289147</v>
      </c>
      <c r="H14767" s="7">
        <v>2520</v>
      </c>
      <c r="I14767" s="7">
        <v>1745</v>
      </c>
      <c r="J14767" s="7">
        <v>0</v>
      </c>
      <c r="K14767" s="7" t="s">
        <v>18</v>
      </c>
      <c r="L14767" s="8">
        <v>39987.315405092595</v>
      </c>
      <c r="M14767" s="9" t="s">
        <v>19</v>
      </c>
      <c r="N14767" s="9" t="s">
        <v>20</v>
      </c>
      <c r="O14767" s="6" t="str">
        <f>HYPERLINK("https://pbs.twimg.com/profile_images/962471262747529216/Uo8lOkRJ_normal.jpg","View")</f>
        <v>View</v>
      </c>
      <c r="P14767" s="7"/>
    </row>
    <row r="14768" spans="1:16">
      <c r="A14768" s="3">
        <v>44346.022673611107</v>
      </c>
      <c r="B14768" s="4" t="str">
        <f>HYPERLINK("https://twitter.com/petrogustavo","@petrogustavo")</f>
        <v>@petrogustavo</v>
      </c>
      <c r="C14768" s="5" t="s">
        <v>16</v>
      </c>
      <c r="D14768" s="5" t="s">
        <v>14225</v>
      </c>
      <c r="E14768" s="6" t="str">
        <f>HYPERLINK("https://twitter.com/petrogustavo/status/1398716435661213704","1398716435661213704")</f>
        <v>1398716435661213704</v>
      </c>
      <c r="F14768" s="7" t="s">
        <v>17</v>
      </c>
      <c r="G14768" s="7">
        <v>4289147</v>
      </c>
      <c r="H14768" s="7">
        <v>2520</v>
      </c>
      <c r="I14768" s="7">
        <v>513</v>
      </c>
      <c r="J14768" s="7">
        <v>0</v>
      </c>
      <c r="K14768" s="7" t="s">
        <v>18</v>
      </c>
      <c r="L14768" s="8">
        <v>39987.315405092595</v>
      </c>
      <c r="M14768" s="9" t="s">
        <v>19</v>
      </c>
      <c r="N14768" s="9" t="s">
        <v>20</v>
      </c>
      <c r="O14768" s="6" t="str">
        <f>HYPERLINK("https://pbs.twimg.com/profile_images/962471262747529216/Uo8lOkRJ_normal.jpg","View")</f>
        <v>View</v>
      </c>
      <c r="P14768" s="7"/>
    </row>
    <row r="14769" spans="1:16">
      <c r="A14769" s="3">
        <v>44346.032731481479</v>
      </c>
      <c r="B14769" s="4" t="str">
        <f>HYPERLINK("https://twitter.com/petrogustavo","@petrogustavo")</f>
        <v>@petrogustavo</v>
      </c>
      <c r="C14769" s="5" t="s">
        <v>16</v>
      </c>
      <c r="D14769" s="5" t="s">
        <v>14226</v>
      </c>
      <c r="E14769" s="6" t="str">
        <f>HYPERLINK("https://twitter.com/petrogustavo/status/1398720077705453572","1398720077705453572")</f>
        <v>1398720077705453572</v>
      </c>
      <c r="F14769" s="7" t="s">
        <v>17</v>
      </c>
      <c r="G14769" s="7">
        <v>4289235</v>
      </c>
      <c r="H14769" s="7">
        <v>2520</v>
      </c>
      <c r="I14769" s="7">
        <v>295</v>
      </c>
      <c r="J14769" s="7">
        <v>822</v>
      </c>
      <c r="K14769" s="7" t="s">
        <v>18</v>
      </c>
      <c r="L14769" s="8">
        <v>39987.315405092595</v>
      </c>
      <c r="M14769" s="9" t="s">
        <v>19</v>
      </c>
      <c r="N14769" s="9" t="s">
        <v>20</v>
      </c>
      <c r="O14769" s="6" t="str">
        <f>HYPERLINK("https://pbs.twimg.com/profile_images/962471262747529216/Uo8lOkRJ_normal.jpg","View")</f>
        <v>View</v>
      </c>
      <c r="P14769" s="7"/>
    </row>
    <row r="14770" spans="1:16">
      <c r="A14770" s="3">
        <v>44346.034398148149</v>
      </c>
      <c r="B14770" s="4" t="str">
        <f>HYPERLINK("https://twitter.com/petrogustavo","@petrogustavo")</f>
        <v>@petrogustavo</v>
      </c>
      <c r="C14770" s="5" t="s">
        <v>16</v>
      </c>
      <c r="D14770" s="5" t="s">
        <v>14227</v>
      </c>
      <c r="E14770" s="6" t="str">
        <f>HYPERLINK("https://twitter.com/petrogustavo/status/1398720681915920387","1398720681915920387")</f>
        <v>1398720681915920387</v>
      </c>
      <c r="F14770" s="7" t="s">
        <v>17</v>
      </c>
      <c r="G14770" s="7">
        <v>4289235</v>
      </c>
      <c r="H14770" s="7">
        <v>2520</v>
      </c>
      <c r="I14770" s="7">
        <v>192</v>
      </c>
      <c r="J14770" s="7">
        <v>0</v>
      </c>
      <c r="K14770" s="7" t="s">
        <v>18</v>
      </c>
      <c r="L14770" s="8">
        <v>39987.315405092595</v>
      </c>
      <c r="M14770" s="9" t="s">
        <v>19</v>
      </c>
      <c r="N14770" s="9" t="s">
        <v>20</v>
      </c>
      <c r="O14770" s="6" t="str">
        <f>HYPERLINK("https://pbs.twimg.com/profile_images/962471262747529216/Uo8lOkRJ_normal.jpg","View")</f>
        <v>View</v>
      </c>
      <c r="P14770" s="7"/>
    </row>
    <row r="14771" spans="1:16">
      <c r="A14771" s="3">
        <v>44346.042349537034</v>
      </c>
      <c r="B14771" s="4" t="str">
        <f>HYPERLINK("https://twitter.com/petrogustavo","@petrogustavo")</f>
        <v>@petrogustavo</v>
      </c>
      <c r="C14771" s="5" t="s">
        <v>16</v>
      </c>
      <c r="D14771" s="5" t="s">
        <v>14228</v>
      </c>
      <c r="E14771" s="6" t="str">
        <f>HYPERLINK("https://twitter.com/petrogustavo/status/1398723566753964039","1398723566753964039")</f>
        <v>1398723566753964039</v>
      </c>
      <c r="F14771" s="7" t="s">
        <v>17</v>
      </c>
      <c r="G14771" s="7">
        <v>4289235</v>
      </c>
      <c r="H14771" s="7">
        <v>2520</v>
      </c>
      <c r="I14771" s="7">
        <v>3404</v>
      </c>
      <c r="J14771" s="7">
        <v>0</v>
      </c>
      <c r="K14771" s="7" t="s">
        <v>18</v>
      </c>
      <c r="L14771" s="8">
        <v>39987.315405092595</v>
      </c>
      <c r="M14771" s="9" t="s">
        <v>19</v>
      </c>
      <c r="N14771" s="9" t="s">
        <v>20</v>
      </c>
      <c r="O14771" s="6" t="str">
        <f>HYPERLINK("https://pbs.twimg.com/profile_images/962471262747529216/Uo8lOkRJ_normal.jpg","View")</f>
        <v>View</v>
      </c>
      <c r="P14771" s="7"/>
    </row>
    <row r="14772" spans="1:16">
      <c r="A14772" s="3">
        <v>44346.044895833329</v>
      </c>
      <c r="B14772" s="4" t="str">
        <f>HYPERLINK("https://twitter.com/petrogustavo","@petrogustavo")</f>
        <v>@petrogustavo</v>
      </c>
      <c r="C14772" s="5" t="s">
        <v>16</v>
      </c>
      <c r="D14772" s="5" t="s">
        <v>14229</v>
      </c>
      <c r="E14772" s="6" t="str">
        <f>HYPERLINK("https://twitter.com/petrogustavo/status/1398724487252697096","1398724487252697096")</f>
        <v>1398724487252697096</v>
      </c>
      <c r="F14772" s="7" t="s">
        <v>17</v>
      </c>
      <c r="G14772" s="7">
        <v>4289342</v>
      </c>
      <c r="H14772" s="7">
        <v>2520</v>
      </c>
      <c r="I14772" s="7">
        <v>483</v>
      </c>
      <c r="J14772" s="7">
        <v>1337</v>
      </c>
      <c r="K14772" s="7" t="s">
        <v>18</v>
      </c>
      <c r="L14772" s="8">
        <v>39987.315405092595</v>
      </c>
      <c r="M14772" s="9" t="s">
        <v>19</v>
      </c>
      <c r="N14772" s="9" t="s">
        <v>20</v>
      </c>
      <c r="O14772" s="6" t="str">
        <f>HYPERLINK("https://pbs.twimg.com/profile_images/962471262747529216/Uo8lOkRJ_normal.jpg","View")</f>
        <v>View</v>
      </c>
      <c r="P14772" s="7"/>
    </row>
    <row r="14773" spans="1:16">
      <c r="A14773" s="3">
        <v>44346.050625000003</v>
      </c>
      <c r="B14773" s="4" t="str">
        <f>HYPERLINK("https://twitter.com/petrogustavo","@petrogustavo")</f>
        <v>@petrogustavo</v>
      </c>
      <c r="C14773" s="5" t="s">
        <v>16</v>
      </c>
      <c r="D14773" s="5" t="s">
        <v>14230</v>
      </c>
      <c r="E14773" s="6" t="str">
        <f>HYPERLINK("https://twitter.com/petrogustavo/status/1398726564859240449","1398726564859240449")</f>
        <v>1398726564859240449</v>
      </c>
      <c r="F14773" s="7" t="s">
        <v>17</v>
      </c>
      <c r="G14773" s="7">
        <v>4289342</v>
      </c>
      <c r="H14773" s="7">
        <v>2520</v>
      </c>
      <c r="I14773" s="7">
        <v>534</v>
      </c>
      <c r="J14773" s="7">
        <v>1394</v>
      </c>
      <c r="K14773" s="7" t="s">
        <v>18</v>
      </c>
      <c r="L14773" s="8">
        <v>39987.315405092595</v>
      </c>
      <c r="M14773" s="9" t="s">
        <v>19</v>
      </c>
      <c r="N14773" s="9" t="s">
        <v>20</v>
      </c>
      <c r="O14773" s="6" t="str">
        <f>HYPERLINK("https://pbs.twimg.com/profile_images/962471262747529216/Uo8lOkRJ_normal.jpg","View")</f>
        <v>View</v>
      </c>
      <c r="P14773" s="7"/>
    </row>
    <row r="14774" spans="1:16">
      <c r="A14774" s="3">
        <v>44346.161909722221</v>
      </c>
      <c r="B14774" s="4" t="str">
        <f>HYPERLINK("https://twitter.com/petrogustavo","@petrogustavo")</f>
        <v>@petrogustavo</v>
      </c>
      <c r="C14774" s="5" t="s">
        <v>16</v>
      </c>
      <c r="D14774" s="5" t="s">
        <v>14231</v>
      </c>
      <c r="E14774" s="6" t="str">
        <f>HYPERLINK("https://twitter.com/petrogustavo/status/1398766893373313029","1398766893373313029")</f>
        <v>1398766893373313029</v>
      </c>
      <c r="F14774" s="7" t="s">
        <v>32</v>
      </c>
      <c r="G14774" s="7">
        <v>4289765</v>
      </c>
      <c r="H14774" s="7">
        <v>2520</v>
      </c>
      <c r="I14774" s="7">
        <v>263</v>
      </c>
      <c r="J14774" s="7">
        <v>0</v>
      </c>
      <c r="K14774" s="7" t="s">
        <v>18</v>
      </c>
      <c r="L14774" s="8">
        <v>39987.315405092595</v>
      </c>
      <c r="M14774" s="9" t="s">
        <v>19</v>
      </c>
      <c r="N14774" s="9" t="s">
        <v>20</v>
      </c>
      <c r="O14774" s="6" t="str">
        <f>HYPERLINK("https://pbs.twimg.com/profile_images/962471262747529216/Uo8lOkRJ_normal.jpg","View")</f>
        <v>View</v>
      </c>
      <c r="P14774" s="7"/>
    </row>
    <row r="14775" spans="1:16">
      <c r="A14775" s="3">
        <v>44346.16233796296</v>
      </c>
      <c r="B14775" s="4" t="str">
        <f>HYPERLINK("https://twitter.com/petrogustavo","@petrogustavo")</f>
        <v>@petrogustavo</v>
      </c>
      <c r="C14775" s="5" t="s">
        <v>16</v>
      </c>
      <c r="D14775" s="5" t="s">
        <v>14232</v>
      </c>
      <c r="E14775" s="6" t="str">
        <f>HYPERLINK("https://twitter.com/petrogustavo/status/1398767046691799047","1398767046691799047")</f>
        <v>1398767046691799047</v>
      </c>
      <c r="F14775" s="7" t="s">
        <v>32</v>
      </c>
      <c r="G14775" s="7">
        <v>4289765</v>
      </c>
      <c r="H14775" s="7">
        <v>2520</v>
      </c>
      <c r="I14775" s="7">
        <v>161</v>
      </c>
      <c r="J14775" s="7">
        <v>0</v>
      </c>
      <c r="K14775" s="7" t="s">
        <v>18</v>
      </c>
      <c r="L14775" s="8">
        <v>39987.315405092595</v>
      </c>
      <c r="M14775" s="9" t="s">
        <v>19</v>
      </c>
      <c r="N14775" s="9" t="s">
        <v>20</v>
      </c>
      <c r="O14775" s="6" t="str">
        <f>HYPERLINK("https://pbs.twimg.com/profile_images/962471262747529216/Uo8lOkRJ_normal.jpg","View")</f>
        <v>View</v>
      </c>
      <c r="P14775" s="7"/>
    </row>
    <row r="14776" spans="1:16">
      <c r="A14776" s="3">
        <v>44346.163101851853</v>
      </c>
      <c r="B14776" s="4" t="str">
        <f>HYPERLINK("https://twitter.com/petrogustavo","@petrogustavo")</f>
        <v>@petrogustavo</v>
      </c>
      <c r="C14776" s="5" t="s">
        <v>16</v>
      </c>
      <c r="D14776" s="5" t="s">
        <v>14233</v>
      </c>
      <c r="E14776" s="6" t="str">
        <f>HYPERLINK("https://twitter.com/petrogustavo/status/1398767322278604800","1398767322278604800")</f>
        <v>1398767322278604800</v>
      </c>
      <c r="F14776" s="7" t="s">
        <v>32</v>
      </c>
      <c r="G14776" s="7">
        <v>4289765</v>
      </c>
      <c r="H14776" s="7">
        <v>2520</v>
      </c>
      <c r="I14776" s="7">
        <v>59</v>
      </c>
      <c r="J14776" s="7">
        <v>0</v>
      </c>
      <c r="K14776" s="7" t="s">
        <v>18</v>
      </c>
      <c r="L14776" s="8">
        <v>39987.315405092595</v>
      </c>
      <c r="M14776" s="9" t="s">
        <v>19</v>
      </c>
      <c r="N14776" s="9" t="s">
        <v>20</v>
      </c>
      <c r="O14776" s="6" t="str">
        <f>HYPERLINK("https://pbs.twimg.com/profile_images/962471262747529216/Uo8lOkRJ_normal.jpg","View")</f>
        <v>View</v>
      </c>
      <c r="P14776" s="7"/>
    </row>
    <row r="14777" spans="1:16">
      <c r="A14777" s="3">
        <v>44346.164942129632</v>
      </c>
      <c r="B14777" s="4" t="str">
        <f>HYPERLINK("https://twitter.com/petrogustavo","@petrogustavo")</f>
        <v>@petrogustavo</v>
      </c>
      <c r="C14777" s="5" t="s">
        <v>16</v>
      </c>
      <c r="D14777" s="5" t="s">
        <v>14234</v>
      </c>
      <c r="E14777" s="6" t="str">
        <f>HYPERLINK("https://twitter.com/petrogustavo/status/1398767989047037956","1398767989047037956")</f>
        <v>1398767989047037956</v>
      </c>
      <c r="F14777" s="7" t="s">
        <v>32</v>
      </c>
      <c r="G14777" s="7">
        <v>4289765</v>
      </c>
      <c r="H14777" s="7">
        <v>2520</v>
      </c>
      <c r="I14777" s="7">
        <v>123</v>
      </c>
      <c r="J14777" s="7">
        <v>479</v>
      </c>
      <c r="K14777" s="7" t="s">
        <v>18</v>
      </c>
      <c r="L14777" s="8">
        <v>39987.315405092595</v>
      </c>
      <c r="M14777" s="9" t="s">
        <v>19</v>
      </c>
      <c r="N14777" s="9" t="s">
        <v>20</v>
      </c>
      <c r="O14777" s="6" t="str">
        <f>HYPERLINK("https://pbs.twimg.com/profile_images/962471262747529216/Uo8lOkRJ_normal.jpg","View")</f>
        <v>View</v>
      </c>
      <c r="P14777" s="7"/>
    </row>
    <row r="14778" spans="1:16">
      <c r="A14778" s="3">
        <v>44346.242025462961</v>
      </c>
      <c r="B14778" s="4" t="str">
        <f>HYPERLINK("https://twitter.com/petrogustavo","@petrogustavo")</f>
        <v>@petrogustavo</v>
      </c>
      <c r="C14778" s="5" t="s">
        <v>16</v>
      </c>
      <c r="D14778" s="5" t="s">
        <v>14235</v>
      </c>
      <c r="E14778" s="6" t="str">
        <f>HYPERLINK("https://twitter.com/petrogustavo/status/1398795926211383297","1398795926211383297")</f>
        <v>1398795926211383297</v>
      </c>
      <c r="F14778" s="7" t="s">
        <v>32</v>
      </c>
      <c r="G14778" s="7">
        <v>4290054</v>
      </c>
      <c r="H14778" s="7">
        <v>2520</v>
      </c>
      <c r="I14778" s="7">
        <v>198</v>
      </c>
      <c r="J14778" s="7">
        <v>573</v>
      </c>
      <c r="K14778" s="7" t="s">
        <v>18</v>
      </c>
      <c r="L14778" s="8">
        <v>39987.315405092595</v>
      </c>
      <c r="M14778" s="9" t="s">
        <v>19</v>
      </c>
      <c r="N14778" s="9" t="s">
        <v>20</v>
      </c>
      <c r="O14778" s="6" t="str">
        <f>HYPERLINK("https://pbs.twimg.com/profile_images/962471262747529216/Uo8lOkRJ_normal.jpg","View")</f>
        <v>View</v>
      </c>
      <c r="P14778" s="7"/>
    </row>
    <row r="14779" spans="1:16">
      <c r="A14779" s="3">
        <v>44346.243506944447</v>
      </c>
      <c r="B14779" s="4" t="str">
        <f>HYPERLINK("https://twitter.com/petrogustavo","@petrogustavo")</f>
        <v>@petrogustavo</v>
      </c>
      <c r="C14779" s="5" t="s">
        <v>16</v>
      </c>
      <c r="D14779" s="5" t="s">
        <v>14236</v>
      </c>
      <c r="E14779" s="6" t="str">
        <f>HYPERLINK("https://twitter.com/petrogustavo/status/1398796462524448770","1398796462524448770")</f>
        <v>1398796462524448770</v>
      </c>
      <c r="F14779" s="7" t="s">
        <v>32</v>
      </c>
      <c r="G14779" s="7">
        <v>4290054</v>
      </c>
      <c r="H14779" s="7">
        <v>2520</v>
      </c>
      <c r="I14779" s="7">
        <v>37</v>
      </c>
      <c r="J14779" s="7">
        <v>0</v>
      </c>
      <c r="K14779" s="7" t="s">
        <v>18</v>
      </c>
      <c r="L14779" s="8">
        <v>39987.315405092595</v>
      </c>
      <c r="M14779" s="9" t="s">
        <v>19</v>
      </c>
      <c r="N14779" s="9" t="s">
        <v>20</v>
      </c>
      <c r="O14779" s="6" t="str">
        <f>HYPERLINK("https://pbs.twimg.com/profile_images/962471262747529216/Uo8lOkRJ_normal.jpg","View")</f>
        <v>View</v>
      </c>
      <c r="P14779" s="7"/>
    </row>
    <row r="14780" spans="1:16">
      <c r="A14780" s="3">
        <v>44346.245729166665</v>
      </c>
      <c r="B14780" s="4" t="str">
        <f>HYPERLINK("https://twitter.com/petrogustavo","@petrogustavo")</f>
        <v>@petrogustavo</v>
      </c>
      <c r="C14780" s="5" t="s">
        <v>16</v>
      </c>
      <c r="D14780" s="5" t="s">
        <v>14237</v>
      </c>
      <c r="E14780" s="6" t="str">
        <f>HYPERLINK("https://twitter.com/petrogustavo/status/1398797268749258755","1398797268749258755")</f>
        <v>1398797268749258755</v>
      </c>
      <c r="F14780" s="7" t="s">
        <v>32</v>
      </c>
      <c r="G14780" s="7">
        <v>4290054</v>
      </c>
      <c r="H14780" s="7">
        <v>2520</v>
      </c>
      <c r="I14780" s="7">
        <v>229</v>
      </c>
      <c r="J14780" s="7">
        <v>352</v>
      </c>
      <c r="K14780" s="7" t="s">
        <v>18</v>
      </c>
      <c r="L14780" s="8">
        <v>39987.315405092595</v>
      </c>
      <c r="M14780" s="9" t="s">
        <v>19</v>
      </c>
      <c r="N14780" s="9" t="s">
        <v>20</v>
      </c>
      <c r="O14780" s="6" t="str">
        <f>HYPERLINK("https://pbs.twimg.com/profile_images/962471262747529216/Uo8lOkRJ_normal.jpg","View")</f>
        <v>View</v>
      </c>
      <c r="P14780" s="7"/>
    </row>
    <row r="14781" spans="1:16">
      <c r="A14781" s="3">
        <v>44346.254224537042</v>
      </c>
      <c r="B14781" s="4" t="str">
        <f>HYPERLINK("https://twitter.com/petrogustavo","@petrogustavo")</f>
        <v>@petrogustavo</v>
      </c>
      <c r="C14781" s="5" t="s">
        <v>16</v>
      </c>
      <c r="D14781" s="5" t="s">
        <v>14238</v>
      </c>
      <c r="E14781" s="6" t="str">
        <f>HYPERLINK("https://twitter.com/petrogustavo/status/1398800346324013063","1398800346324013063")</f>
        <v>1398800346324013063</v>
      </c>
      <c r="F14781" s="7" t="s">
        <v>32</v>
      </c>
      <c r="G14781" s="7">
        <v>4290109</v>
      </c>
      <c r="H14781" s="7">
        <v>2520</v>
      </c>
      <c r="I14781" s="7">
        <v>1847</v>
      </c>
      <c r="J14781" s="7">
        <v>5659</v>
      </c>
      <c r="K14781" s="7" t="s">
        <v>18</v>
      </c>
      <c r="L14781" s="8">
        <v>39987.315405092595</v>
      </c>
      <c r="M14781" s="9" t="s">
        <v>19</v>
      </c>
      <c r="N14781" s="9" t="s">
        <v>20</v>
      </c>
      <c r="O14781" s="6" t="str">
        <f>HYPERLINK("https://pbs.twimg.com/profile_images/962471262747529216/Uo8lOkRJ_normal.jpg","View")</f>
        <v>View</v>
      </c>
      <c r="P14781" s="7"/>
    </row>
    <row r="14782" spans="1:16">
      <c r="A14782" s="3">
        <v>44346.367523148147</v>
      </c>
      <c r="B14782" s="4" t="str">
        <f>HYPERLINK("https://twitter.com/petrogustavo","@petrogustavo")</f>
        <v>@petrogustavo</v>
      </c>
      <c r="C14782" s="5" t="s">
        <v>16</v>
      </c>
      <c r="D14782" s="5" t="s">
        <v>14239</v>
      </c>
      <c r="E14782" s="6" t="str">
        <f>HYPERLINK("https://twitter.com/petrogustavo/status/1398841402809794563","1398841402809794563")</f>
        <v>1398841402809794563</v>
      </c>
      <c r="F14782" s="7" t="s">
        <v>32</v>
      </c>
      <c r="G14782" s="7">
        <v>4290386</v>
      </c>
      <c r="H14782" s="7">
        <v>2520</v>
      </c>
      <c r="I14782" s="7">
        <v>2407</v>
      </c>
      <c r="J14782" s="7">
        <v>0</v>
      </c>
      <c r="K14782" s="7" t="s">
        <v>18</v>
      </c>
      <c r="L14782" s="8">
        <v>39987.315405092595</v>
      </c>
      <c r="M14782" s="9" t="s">
        <v>19</v>
      </c>
      <c r="N14782" s="9" t="s">
        <v>20</v>
      </c>
      <c r="O14782" s="6" t="str">
        <f>HYPERLINK("https://pbs.twimg.com/profile_images/962471262747529216/Uo8lOkRJ_normal.jpg","View")</f>
        <v>View</v>
      </c>
      <c r="P14782" s="7"/>
    </row>
    <row r="14783" spans="1:16">
      <c r="A14783" s="3">
        <v>44346.367812500001</v>
      </c>
      <c r="B14783" s="4" t="str">
        <f>HYPERLINK("https://twitter.com/petrogustavo","@petrogustavo")</f>
        <v>@petrogustavo</v>
      </c>
      <c r="C14783" s="5" t="s">
        <v>16</v>
      </c>
      <c r="D14783" s="5" t="s">
        <v>14240</v>
      </c>
      <c r="E14783" s="6" t="str">
        <f>HYPERLINK("https://twitter.com/petrogustavo/status/1398841508174962690","1398841508174962690")</f>
        <v>1398841508174962690</v>
      </c>
      <c r="F14783" s="7" t="s">
        <v>32</v>
      </c>
      <c r="G14783" s="7">
        <v>4290386</v>
      </c>
      <c r="H14783" s="7">
        <v>2520</v>
      </c>
      <c r="I14783" s="7">
        <v>5874</v>
      </c>
      <c r="J14783" s="7">
        <v>0</v>
      </c>
      <c r="K14783" s="7" t="s">
        <v>18</v>
      </c>
      <c r="L14783" s="8">
        <v>39987.315405092595</v>
      </c>
      <c r="M14783" s="9" t="s">
        <v>19</v>
      </c>
      <c r="N14783" s="9" t="s">
        <v>20</v>
      </c>
      <c r="O14783" s="6" t="str">
        <f>HYPERLINK("https://pbs.twimg.com/profile_images/962471262747529216/Uo8lOkRJ_normal.jpg","View")</f>
        <v>View</v>
      </c>
      <c r="P14783" s="7"/>
    </row>
    <row r="14784" spans="1:16">
      <c r="A14784" s="3">
        <v>44346.757581018523</v>
      </c>
      <c r="B14784" s="4" t="str">
        <f>HYPERLINK("https://twitter.com/petrogustavo","@petrogustavo")</f>
        <v>@petrogustavo</v>
      </c>
      <c r="C14784" s="5" t="s">
        <v>16</v>
      </c>
      <c r="D14784" s="5" t="s">
        <v>14241</v>
      </c>
      <c r="E14784" s="6" t="str">
        <f>HYPERLINK("https://twitter.com/petrogustavo/status/1398982756919566336","1398982756919566336")</f>
        <v>1398982756919566336</v>
      </c>
      <c r="F14784" s="7" t="s">
        <v>17</v>
      </c>
      <c r="G14784" s="7">
        <v>4290774</v>
      </c>
      <c r="H14784" s="7">
        <v>2520</v>
      </c>
      <c r="I14784" s="7">
        <v>149</v>
      </c>
      <c r="J14784" s="7">
        <v>456</v>
      </c>
      <c r="K14784" s="7" t="s">
        <v>18</v>
      </c>
      <c r="L14784" s="8">
        <v>39987.315405092595</v>
      </c>
      <c r="M14784" s="9" t="s">
        <v>19</v>
      </c>
      <c r="N14784" s="9" t="s">
        <v>20</v>
      </c>
      <c r="O14784" s="6" t="str">
        <f>HYPERLINK("https://pbs.twimg.com/profile_images/962471262747529216/Uo8lOkRJ_normal.jpg","View")</f>
        <v>View</v>
      </c>
      <c r="P14784" s="7"/>
    </row>
    <row r="14785" spans="1:16">
      <c r="A14785" s="3">
        <v>44346.767766203702</v>
      </c>
      <c r="B14785" s="4" t="str">
        <f>HYPERLINK("https://twitter.com/petrogustavo","@petrogustavo")</f>
        <v>@petrogustavo</v>
      </c>
      <c r="C14785" s="5" t="s">
        <v>16</v>
      </c>
      <c r="D14785" s="5" t="s">
        <v>14242</v>
      </c>
      <c r="E14785" s="6" t="str">
        <f>HYPERLINK("https://twitter.com/petrogustavo/status/1398986446296453126","1398986446296453126")</f>
        <v>1398986446296453126</v>
      </c>
      <c r="F14785" s="7" t="s">
        <v>17</v>
      </c>
      <c r="G14785" s="7">
        <v>4290774</v>
      </c>
      <c r="H14785" s="7">
        <v>2520</v>
      </c>
      <c r="I14785" s="7">
        <v>108</v>
      </c>
      <c r="J14785" s="7">
        <v>318</v>
      </c>
      <c r="K14785" s="7" t="s">
        <v>18</v>
      </c>
      <c r="L14785" s="8">
        <v>39987.315405092595</v>
      </c>
      <c r="M14785" s="9" t="s">
        <v>19</v>
      </c>
      <c r="N14785" s="9" t="s">
        <v>20</v>
      </c>
      <c r="O14785" s="6" t="str">
        <f>HYPERLINK("https://pbs.twimg.com/profile_images/962471262747529216/Uo8lOkRJ_normal.jpg","View")</f>
        <v>View</v>
      </c>
      <c r="P14785" s="7"/>
    </row>
    <row r="14786" spans="1:16">
      <c r="A14786" s="3">
        <v>44346.887557870374</v>
      </c>
      <c r="B14786" s="4" t="str">
        <f>HYPERLINK("https://twitter.com/petrogustavo","@petrogustavo")</f>
        <v>@petrogustavo</v>
      </c>
      <c r="C14786" s="5" t="s">
        <v>16</v>
      </c>
      <c r="D14786" s="5" t="s">
        <v>14243</v>
      </c>
      <c r="E14786" s="6" t="str">
        <f>HYPERLINK("https://twitter.com/petrogustavo/status/1399029857699483652","1399029857699483652")</f>
        <v>1399029857699483652</v>
      </c>
      <c r="F14786" s="7" t="s">
        <v>32</v>
      </c>
      <c r="G14786" s="7">
        <v>4291166</v>
      </c>
      <c r="H14786" s="7">
        <v>2520</v>
      </c>
      <c r="I14786" s="7">
        <v>83</v>
      </c>
      <c r="J14786" s="7">
        <v>253</v>
      </c>
      <c r="K14786" s="7" t="s">
        <v>18</v>
      </c>
      <c r="L14786" s="8">
        <v>39987.315405092595</v>
      </c>
      <c r="M14786" s="9" t="s">
        <v>19</v>
      </c>
      <c r="N14786" s="9" t="s">
        <v>20</v>
      </c>
      <c r="O14786" s="6" t="str">
        <f>HYPERLINK("https://pbs.twimg.com/profile_images/962471262747529216/Uo8lOkRJ_normal.jpg","View")</f>
        <v>View</v>
      </c>
      <c r="P14786" s="7"/>
    </row>
    <row r="14787" spans="1:16">
      <c r="A14787" s="3">
        <v>44346.888449074075</v>
      </c>
      <c r="B14787" s="4" t="str">
        <f>HYPERLINK("https://twitter.com/petrogustavo","@petrogustavo")</f>
        <v>@petrogustavo</v>
      </c>
      <c r="C14787" s="5" t="s">
        <v>16</v>
      </c>
      <c r="D14787" s="5" t="s">
        <v>14244</v>
      </c>
      <c r="E14787" s="6" t="str">
        <f>HYPERLINK("https://twitter.com/petrogustavo/status/1399030178844663809","1399030178844663809")</f>
        <v>1399030178844663809</v>
      </c>
      <c r="F14787" s="7" t="s">
        <v>32</v>
      </c>
      <c r="G14787" s="7">
        <v>4291166</v>
      </c>
      <c r="H14787" s="7">
        <v>2520</v>
      </c>
      <c r="I14787" s="7">
        <v>100</v>
      </c>
      <c r="J14787" s="7">
        <v>288</v>
      </c>
      <c r="K14787" s="7" t="s">
        <v>18</v>
      </c>
      <c r="L14787" s="8">
        <v>39987.315405092595</v>
      </c>
      <c r="M14787" s="9" t="s">
        <v>19</v>
      </c>
      <c r="N14787" s="9" t="s">
        <v>20</v>
      </c>
      <c r="O14787" s="6" t="str">
        <f>HYPERLINK("https://pbs.twimg.com/profile_images/962471262747529216/Uo8lOkRJ_normal.jpg","View")</f>
        <v>View</v>
      </c>
      <c r="P14787" s="7"/>
    </row>
    <row r="14788" spans="1:16">
      <c r="A14788" s="3">
        <v>44346.896458333329</v>
      </c>
      <c r="B14788" s="4" t="str">
        <f>HYPERLINK("https://twitter.com/petrogustavo","@petrogustavo")</f>
        <v>@petrogustavo</v>
      </c>
      <c r="C14788" s="5" t="s">
        <v>16</v>
      </c>
      <c r="D14788" s="5" t="s">
        <v>14245</v>
      </c>
      <c r="E14788" s="6" t="str">
        <f>HYPERLINK("https://twitter.com/petrogustavo/status/1399033082003574790","1399033082003574790")</f>
        <v>1399033082003574790</v>
      </c>
      <c r="F14788" s="7" t="s">
        <v>32</v>
      </c>
      <c r="G14788" s="7">
        <v>4291166</v>
      </c>
      <c r="H14788" s="7">
        <v>2520</v>
      </c>
      <c r="I14788" s="7">
        <v>124</v>
      </c>
      <c r="J14788" s="7">
        <v>497</v>
      </c>
      <c r="K14788" s="7" t="s">
        <v>18</v>
      </c>
      <c r="L14788" s="8">
        <v>39987.315405092595</v>
      </c>
      <c r="M14788" s="9" t="s">
        <v>19</v>
      </c>
      <c r="N14788" s="9" t="s">
        <v>20</v>
      </c>
      <c r="O14788" s="6" t="str">
        <f>HYPERLINK("https://pbs.twimg.com/profile_images/962471262747529216/Uo8lOkRJ_normal.jpg","View")</f>
        <v>View</v>
      </c>
      <c r="P14788" s="7"/>
    </row>
    <row r="14789" spans="1:16">
      <c r="A14789" s="3">
        <v>44346.968449074076</v>
      </c>
      <c r="B14789" s="4" t="str">
        <f>HYPERLINK("https://twitter.com/petrogustavo","@petrogustavo")</f>
        <v>@petrogustavo</v>
      </c>
      <c r="C14789" s="5" t="s">
        <v>16</v>
      </c>
      <c r="D14789" s="5" t="s">
        <v>14246</v>
      </c>
      <c r="E14789" s="6" t="str">
        <f>HYPERLINK("https://twitter.com/petrogustavo/status/1399059173481107458","1399059173481107458")</f>
        <v>1399059173481107458</v>
      </c>
      <c r="F14789" s="7" t="s">
        <v>17</v>
      </c>
      <c r="G14789" s="7">
        <v>4291351</v>
      </c>
      <c r="H14789" s="7">
        <v>2521</v>
      </c>
      <c r="I14789" s="7">
        <v>231</v>
      </c>
      <c r="J14789" s="7">
        <v>0</v>
      </c>
      <c r="K14789" s="7" t="s">
        <v>18</v>
      </c>
      <c r="L14789" s="8">
        <v>39987.315405092595</v>
      </c>
      <c r="M14789" s="9" t="s">
        <v>19</v>
      </c>
      <c r="N14789" s="9" t="s">
        <v>20</v>
      </c>
      <c r="O14789" s="6" t="str">
        <f>HYPERLINK("https://pbs.twimg.com/profile_images/962471262747529216/Uo8lOkRJ_normal.jpg","View")</f>
        <v>View</v>
      </c>
      <c r="P14789" s="7"/>
    </row>
    <row r="14790" spans="1:16">
      <c r="A14790" s="3">
        <v>44346.9684837963</v>
      </c>
      <c r="B14790" s="4" t="str">
        <f>HYPERLINK("https://twitter.com/petrogustavo","@petrogustavo")</f>
        <v>@petrogustavo</v>
      </c>
      <c r="C14790" s="5" t="s">
        <v>16</v>
      </c>
      <c r="D14790" s="5" t="s">
        <v>14247</v>
      </c>
      <c r="E14790" s="6" t="str">
        <f>HYPERLINK("https://twitter.com/petrogustavo/status/1399059184637952000","1399059184637952000")</f>
        <v>1399059184637952000</v>
      </c>
      <c r="F14790" s="7" t="s">
        <v>17</v>
      </c>
      <c r="G14790" s="7">
        <v>4291351</v>
      </c>
      <c r="H14790" s="7">
        <v>2521</v>
      </c>
      <c r="I14790" s="7">
        <v>369</v>
      </c>
      <c r="J14790" s="7">
        <v>0</v>
      </c>
      <c r="K14790" s="7" t="s">
        <v>18</v>
      </c>
      <c r="L14790" s="8">
        <v>39987.315405092595</v>
      </c>
      <c r="M14790" s="9" t="s">
        <v>19</v>
      </c>
      <c r="N14790" s="9" t="s">
        <v>20</v>
      </c>
      <c r="O14790" s="6" t="str">
        <f>HYPERLINK("https://pbs.twimg.com/profile_images/962471262747529216/Uo8lOkRJ_normal.jpg","View")</f>
        <v>View</v>
      </c>
      <c r="P14790" s="7"/>
    </row>
    <row r="14791" spans="1:16">
      <c r="A14791" s="3">
        <v>44347.105069444442</v>
      </c>
      <c r="B14791" s="4" t="str">
        <f>HYPERLINK("https://twitter.com/petrogustavo","@petrogustavo")</f>
        <v>@petrogustavo</v>
      </c>
      <c r="C14791" s="5" t="s">
        <v>16</v>
      </c>
      <c r="D14791" s="5" t="s">
        <v>14248</v>
      </c>
      <c r="E14791" s="6" t="str">
        <f>HYPERLINK("https://twitter.com/petrogustavo/status/1399108682445733888","1399108682445733888")</f>
        <v>1399108682445733888</v>
      </c>
      <c r="F14791" s="7" t="s">
        <v>32</v>
      </c>
      <c r="G14791" s="7">
        <v>4291665</v>
      </c>
      <c r="H14791" s="7">
        <v>2521</v>
      </c>
      <c r="I14791" s="7">
        <v>46</v>
      </c>
      <c r="J14791" s="7">
        <v>0</v>
      </c>
      <c r="K14791" s="7" t="s">
        <v>18</v>
      </c>
      <c r="L14791" s="8">
        <v>39987.315405092595</v>
      </c>
      <c r="M14791" s="9" t="s">
        <v>19</v>
      </c>
      <c r="N14791" s="9" t="s">
        <v>20</v>
      </c>
      <c r="O14791" s="6" t="str">
        <f>HYPERLINK("https://pbs.twimg.com/profile_images/962471262747529216/Uo8lOkRJ_normal.jpg","View")</f>
        <v>View</v>
      </c>
      <c r="P14791" s="7"/>
    </row>
    <row r="14792" spans="1:16">
      <c r="A14792" s="3">
        <v>44347.10560185185</v>
      </c>
      <c r="B14792" s="4" t="str">
        <f>HYPERLINK("https://twitter.com/petrogustavo","@petrogustavo")</f>
        <v>@petrogustavo</v>
      </c>
      <c r="C14792" s="5" t="s">
        <v>16</v>
      </c>
      <c r="D14792" s="5" t="s">
        <v>14249</v>
      </c>
      <c r="E14792" s="6" t="str">
        <f>HYPERLINK("https://twitter.com/petrogustavo/status/1399108876163821569","1399108876163821569")</f>
        <v>1399108876163821569</v>
      </c>
      <c r="F14792" s="7" t="s">
        <v>32</v>
      </c>
      <c r="G14792" s="7">
        <v>4291665</v>
      </c>
      <c r="H14792" s="7">
        <v>2521</v>
      </c>
      <c r="I14792" s="7">
        <v>45</v>
      </c>
      <c r="J14792" s="7">
        <v>0</v>
      </c>
      <c r="K14792" s="7" t="s">
        <v>18</v>
      </c>
      <c r="L14792" s="8">
        <v>39987.315405092595</v>
      </c>
      <c r="M14792" s="9" t="s">
        <v>19</v>
      </c>
      <c r="N14792" s="9" t="s">
        <v>20</v>
      </c>
      <c r="O14792" s="6" t="str">
        <f>HYPERLINK("https://pbs.twimg.com/profile_images/962471262747529216/Uo8lOkRJ_normal.jpg","View")</f>
        <v>View</v>
      </c>
      <c r="P14792" s="7"/>
    </row>
    <row r="14793" spans="1:16">
      <c r="A14793" s="3">
        <v>44347.105729166666</v>
      </c>
      <c r="B14793" s="4" t="str">
        <f>HYPERLINK("https://twitter.com/petrogustavo","@petrogustavo")</f>
        <v>@petrogustavo</v>
      </c>
      <c r="C14793" s="5" t="s">
        <v>16</v>
      </c>
      <c r="D14793" s="5" t="s">
        <v>14250</v>
      </c>
      <c r="E14793" s="6" t="str">
        <f>HYPERLINK("https://twitter.com/petrogustavo/status/1399108922276028418","1399108922276028418")</f>
        <v>1399108922276028418</v>
      </c>
      <c r="F14793" s="7" t="s">
        <v>32</v>
      </c>
      <c r="G14793" s="7">
        <v>4291665</v>
      </c>
      <c r="H14793" s="7">
        <v>2521</v>
      </c>
      <c r="I14793" s="7">
        <v>455</v>
      </c>
      <c r="J14793" s="7">
        <v>0</v>
      </c>
      <c r="K14793" s="7" t="s">
        <v>18</v>
      </c>
      <c r="L14793" s="8">
        <v>39987.315405092595</v>
      </c>
      <c r="M14793" s="9" t="s">
        <v>19</v>
      </c>
      <c r="N14793" s="9" t="s">
        <v>20</v>
      </c>
      <c r="O14793" s="6" t="str">
        <f>HYPERLINK("https://pbs.twimg.com/profile_images/962471262747529216/Uo8lOkRJ_normal.jpg","View")</f>
        <v>View</v>
      </c>
      <c r="P14793" s="7"/>
    </row>
    <row r="14794" spans="1:16">
      <c r="A14794" s="3">
        <v>44347.121354166666</v>
      </c>
      <c r="B14794" s="4" t="str">
        <f>HYPERLINK("https://twitter.com/petrogustavo","@petrogustavo")</f>
        <v>@petrogustavo</v>
      </c>
      <c r="C14794" s="5" t="s">
        <v>16</v>
      </c>
      <c r="D14794" s="5" t="s">
        <v>14251</v>
      </c>
      <c r="E14794" s="6" t="str">
        <f>HYPERLINK("https://twitter.com/petrogustavo/status/1399114583516852225","1399114583516852225")</f>
        <v>1399114583516852225</v>
      </c>
      <c r="F14794" s="7" t="s">
        <v>17</v>
      </c>
      <c r="G14794" s="7">
        <v>4291706</v>
      </c>
      <c r="H14794" s="7">
        <v>2521</v>
      </c>
      <c r="I14794" s="7">
        <v>116</v>
      </c>
      <c r="J14794" s="7">
        <v>570</v>
      </c>
      <c r="K14794" s="7" t="s">
        <v>18</v>
      </c>
      <c r="L14794" s="8">
        <v>39987.315405092595</v>
      </c>
      <c r="M14794" s="9" t="s">
        <v>19</v>
      </c>
      <c r="N14794" s="9" t="s">
        <v>20</v>
      </c>
      <c r="O14794" s="6" t="str">
        <f>HYPERLINK("https://pbs.twimg.com/profile_images/962471262747529216/Uo8lOkRJ_normal.jpg","View")</f>
        <v>View</v>
      </c>
      <c r="P14794" s="7"/>
    </row>
    <row r="14795" spans="1:16">
      <c r="A14795" s="3">
        <v>44347.123067129629</v>
      </c>
      <c r="B14795" s="4" t="str">
        <f>HYPERLINK("https://twitter.com/petrogustavo","@petrogustavo")</f>
        <v>@petrogustavo</v>
      </c>
      <c r="C14795" s="5" t="s">
        <v>16</v>
      </c>
      <c r="D14795" s="5" t="s">
        <v>14252</v>
      </c>
      <c r="E14795" s="6" t="str">
        <f>HYPERLINK("https://twitter.com/petrogustavo/status/1399115202159906824","1399115202159906824")</f>
        <v>1399115202159906824</v>
      </c>
      <c r="F14795" s="7" t="s">
        <v>17</v>
      </c>
      <c r="G14795" s="7">
        <v>4291706</v>
      </c>
      <c r="H14795" s="7">
        <v>2521</v>
      </c>
      <c r="I14795" s="7">
        <v>170</v>
      </c>
      <c r="J14795" s="7">
        <v>0</v>
      </c>
      <c r="K14795" s="7" t="s">
        <v>18</v>
      </c>
      <c r="L14795" s="8">
        <v>39987.315405092595</v>
      </c>
      <c r="M14795" s="9" t="s">
        <v>19</v>
      </c>
      <c r="N14795" s="9" t="s">
        <v>20</v>
      </c>
      <c r="O14795" s="6" t="str">
        <f>HYPERLINK("https://pbs.twimg.com/profile_images/962471262747529216/Uo8lOkRJ_normal.jpg","View")</f>
        <v>View</v>
      </c>
      <c r="P14795" s="7"/>
    </row>
    <row r="14796" spans="1:16">
      <c r="A14796" s="3">
        <v>44347.123738425929</v>
      </c>
      <c r="B14796" s="4" t="str">
        <f>HYPERLINK("https://twitter.com/petrogustavo","@petrogustavo")</f>
        <v>@petrogustavo</v>
      </c>
      <c r="C14796" s="5" t="s">
        <v>16</v>
      </c>
      <c r="D14796" s="5" t="s">
        <v>14253</v>
      </c>
      <c r="E14796" s="6" t="str">
        <f>HYPERLINK("https://twitter.com/petrogustavo/status/1399115447941926917","1399115447941926917")</f>
        <v>1399115447941926917</v>
      </c>
      <c r="F14796" s="7" t="s">
        <v>17</v>
      </c>
      <c r="G14796" s="7">
        <v>4291706</v>
      </c>
      <c r="H14796" s="7">
        <v>2521</v>
      </c>
      <c r="I14796" s="7">
        <v>113</v>
      </c>
      <c r="J14796" s="7">
        <v>0</v>
      </c>
      <c r="K14796" s="7" t="s">
        <v>18</v>
      </c>
      <c r="L14796" s="8">
        <v>39987.315405092595</v>
      </c>
      <c r="M14796" s="9" t="s">
        <v>19</v>
      </c>
      <c r="N14796" s="9" t="s">
        <v>20</v>
      </c>
      <c r="O14796" s="6" t="str">
        <f>HYPERLINK("https://pbs.twimg.com/profile_images/962471262747529216/Uo8lOkRJ_normal.jpg","View")</f>
        <v>View</v>
      </c>
      <c r="P14796" s="7"/>
    </row>
    <row r="14797" spans="1:16">
      <c r="A14797" s="3">
        <v>44347.128321759257</v>
      </c>
      <c r="B14797" s="4" t="str">
        <f>HYPERLINK("https://twitter.com/petrogustavo","@petrogustavo")</f>
        <v>@petrogustavo</v>
      </c>
      <c r="C14797" s="5" t="s">
        <v>16</v>
      </c>
      <c r="D14797" s="5" t="s">
        <v>14254</v>
      </c>
      <c r="E14797" s="6" t="str">
        <f>HYPERLINK("https://twitter.com/petrogustavo/status/1399117109448294410","1399117109448294410")</f>
        <v>1399117109448294410</v>
      </c>
      <c r="F14797" s="7" t="s">
        <v>17</v>
      </c>
      <c r="G14797" s="7">
        <v>4291733</v>
      </c>
      <c r="H14797" s="7">
        <v>2521</v>
      </c>
      <c r="I14797" s="7">
        <v>741</v>
      </c>
      <c r="J14797" s="7">
        <v>1064</v>
      </c>
      <c r="K14797" s="7" t="s">
        <v>18</v>
      </c>
      <c r="L14797" s="8">
        <v>39987.315405092595</v>
      </c>
      <c r="M14797" s="9" t="s">
        <v>19</v>
      </c>
      <c r="N14797" s="9" t="s">
        <v>20</v>
      </c>
      <c r="O14797" s="6" t="str">
        <f>HYPERLINK("https://pbs.twimg.com/profile_images/962471262747529216/Uo8lOkRJ_normal.jpg","View")</f>
        <v>View</v>
      </c>
      <c r="P14797" s="7"/>
    </row>
    <row r="14798" spans="1:16">
      <c r="A14798" s="3">
        <v>44347.129467592589</v>
      </c>
      <c r="B14798" s="4" t="str">
        <f>HYPERLINK("https://twitter.com/petrogustavo","@petrogustavo")</f>
        <v>@petrogustavo</v>
      </c>
      <c r="C14798" s="5" t="s">
        <v>16</v>
      </c>
      <c r="D14798" s="5" t="s">
        <v>14246</v>
      </c>
      <c r="E14798" s="6" t="str">
        <f>HYPERLINK("https://twitter.com/petrogustavo/status/1399117523249942530","1399117523249942530")</f>
        <v>1399117523249942530</v>
      </c>
      <c r="F14798" s="7" t="s">
        <v>17</v>
      </c>
      <c r="G14798" s="7">
        <v>4291733</v>
      </c>
      <c r="H14798" s="7">
        <v>2521</v>
      </c>
      <c r="I14798" s="7">
        <v>424</v>
      </c>
      <c r="J14798" s="7">
        <v>0</v>
      </c>
      <c r="K14798" s="7" t="s">
        <v>18</v>
      </c>
      <c r="L14798" s="8">
        <v>39987.315405092595</v>
      </c>
      <c r="M14798" s="9" t="s">
        <v>19</v>
      </c>
      <c r="N14798" s="9" t="s">
        <v>20</v>
      </c>
      <c r="O14798" s="6" t="str">
        <f>HYPERLINK("https://pbs.twimg.com/profile_images/962471262747529216/Uo8lOkRJ_normal.jpg","View")</f>
        <v>View</v>
      </c>
      <c r="P14798" s="7"/>
    </row>
    <row r="14799" spans="1:16">
      <c r="A14799" s="3">
        <v>44347.145740740743</v>
      </c>
      <c r="B14799" s="4" t="str">
        <f>HYPERLINK("https://twitter.com/petrogustavo","@petrogustavo")</f>
        <v>@petrogustavo</v>
      </c>
      <c r="C14799" s="5" t="s">
        <v>16</v>
      </c>
      <c r="D14799" s="5" t="s">
        <v>14255</v>
      </c>
      <c r="E14799" s="6" t="str">
        <f>HYPERLINK("https://twitter.com/petrogustavo/status/1399123421154447368","1399123421154447368")</f>
        <v>1399123421154447368</v>
      </c>
      <c r="F14799" s="7" t="s">
        <v>17</v>
      </c>
      <c r="G14799" s="7">
        <v>4291733</v>
      </c>
      <c r="H14799" s="7">
        <v>2521</v>
      </c>
      <c r="I14799" s="7">
        <v>60</v>
      </c>
      <c r="J14799" s="7">
        <v>136</v>
      </c>
      <c r="K14799" s="7" t="s">
        <v>18</v>
      </c>
      <c r="L14799" s="8">
        <v>39987.315405092595</v>
      </c>
      <c r="M14799" s="9" t="s">
        <v>19</v>
      </c>
      <c r="N14799" s="9" t="s">
        <v>20</v>
      </c>
      <c r="O14799" s="6" t="str">
        <f>HYPERLINK("https://pbs.twimg.com/profile_images/962471262747529216/Uo8lOkRJ_normal.jpg","View")</f>
        <v>View</v>
      </c>
      <c r="P14799" s="7"/>
    </row>
    <row r="14800" spans="1:16">
      <c r="A14800" s="3">
        <v>44347.152303240742</v>
      </c>
      <c r="B14800" s="4" t="str">
        <f>HYPERLINK("https://twitter.com/petrogustavo","@petrogustavo")</f>
        <v>@petrogustavo</v>
      </c>
      <c r="C14800" s="5" t="s">
        <v>16</v>
      </c>
      <c r="D14800" s="5" t="s">
        <v>14256</v>
      </c>
      <c r="E14800" s="6" t="str">
        <f>HYPERLINK("https://twitter.com/petrogustavo/status/1399125799056334851","1399125799056334851")</f>
        <v>1399125799056334851</v>
      </c>
      <c r="F14800" s="7" t="s">
        <v>17</v>
      </c>
      <c r="G14800" s="7">
        <v>4291783</v>
      </c>
      <c r="H14800" s="7">
        <v>2521</v>
      </c>
      <c r="I14800" s="7">
        <v>95</v>
      </c>
      <c r="J14800" s="7">
        <v>409</v>
      </c>
      <c r="K14800" s="7" t="s">
        <v>18</v>
      </c>
      <c r="L14800" s="8">
        <v>39987.315405092595</v>
      </c>
      <c r="M14800" s="9" t="s">
        <v>19</v>
      </c>
      <c r="N14800" s="9" t="s">
        <v>20</v>
      </c>
      <c r="O14800" s="6" t="str">
        <f>HYPERLINK("https://pbs.twimg.com/profile_images/962471262747529216/Uo8lOkRJ_normal.jpg","View")</f>
        <v>View</v>
      </c>
      <c r="P14800" s="7"/>
    </row>
    <row r="14801" spans="1:16">
      <c r="A14801" s="3">
        <v>44347.215185185181</v>
      </c>
      <c r="B14801" s="4" t="str">
        <f>HYPERLINK("https://twitter.com/petrogustavo","@petrogustavo")</f>
        <v>@petrogustavo</v>
      </c>
      <c r="C14801" s="5" t="s">
        <v>16</v>
      </c>
      <c r="D14801" s="5" t="s">
        <v>14246</v>
      </c>
      <c r="E14801" s="6" t="str">
        <f>HYPERLINK("https://twitter.com/petrogustavo/status/1399148587464941570","1399148587464941570")</f>
        <v>1399148587464941570</v>
      </c>
      <c r="F14801" s="7" t="s">
        <v>32</v>
      </c>
      <c r="G14801" s="7">
        <v>4291924</v>
      </c>
      <c r="H14801" s="7">
        <v>2521</v>
      </c>
      <c r="I14801" s="7">
        <v>482</v>
      </c>
      <c r="J14801" s="7">
        <v>0</v>
      </c>
      <c r="K14801" s="7" t="s">
        <v>18</v>
      </c>
      <c r="L14801" s="8">
        <v>39987.315405092595</v>
      </c>
      <c r="M14801" s="9" t="s">
        <v>19</v>
      </c>
      <c r="N14801" s="9" t="s">
        <v>20</v>
      </c>
      <c r="O14801" s="6" t="str">
        <f>HYPERLINK("https://pbs.twimg.com/profile_images/962471262747529216/Uo8lOkRJ_normal.jpg","View")</f>
        <v>View</v>
      </c>
      <c r="P14801" s="7"/>
    </row>
    <row r="14802" spans="1:16">
      <c r="A14802" s="3">
        <v>44347.215347222227</v>
      </c>
      <c r="B14802" s="4" t="str">
        <f>HYPERLINK("https://twitter.com/petrogustavo","@petrogustavo")</f>
        <v>@petrogustavo</v>
      </c>
      <c r="C14802" s="5" t="s">
        <v>16</v>
      </c>
      <c r="D14802" s="5" t="s">
        <v>14247</v>
      </c>
      <c r="E14802" s="6" t="str">
        <f>HYPERLINK("https://twitter.com/petrogustavo/status/1399148642942980102","1399148642942980102")</f>
        <v>1399148642942980102</v>
      </c>
      <c r="F14802" s="7" t="s">
        <v>32</v>
      </c>
      <c r="G14802" s="7">
        <v>4291924</v>
      </c>
      <c r="H14802" s="7">
        <v>2521</v>
      </c>
      <c r="I14802" s="7">
        <v>835</v>
      </c>
      <c r="J14802" s="7">
        <v>0</v>
      </c>
      <c r="K14802" s="7" t="s">
        <v>18</v>
      </c>
      <c r="L14802" s="8">
        <v>39987.315405092595</v>
      </c>
      <c r="M14802" s="9" t="s">
        <v>19</v>
      </c>
      <c r="N14802" s="9" t="s">
        <v>20</v>
      </c>
      <c r="O14802" s="6" t="str">
        <f>HYPERLINK("https://pbs.twimg.com/profile_images/962471262747529216/Uo8lOkRJ_normal.jpg","View")</f>
        <v>View</v>
      </c>
      <c r="P14802" s="7"/>
    </row>
    <row r="14803" spans="1:16">
      <c r="A14803" s="3">
        <v>44347.236817129626</v>
      </c>
      <c r="B14803" s="4" t="str">
        <f>HYPERLINK("https://twitter.com/petrogustavo","@petrogustavo")</f>
        <v>@petrogustavo</v>
      </c>
      <c r="C14803" s="5" t="s">
        <v>16</v>
      </c>
      <c r="D14803" s="5" t="s">
        <v>14257</v>
      </c>
      <c r="E14803" s="6" t="str">
        <f>HYPERLINK("https://twitter.com/petrogustavo/status/1399156425738244096","1399156425738244096")</f>
        <v>1399156425738244096</v>
      </c>
      <c r="F14803" s="7" t="s">
        <v>22</v>
      </c>
      <c r="G14803" s="7">
        <v>4291981</v>
      </c>
      <c r="H14803" s="7">
        <v>2521</v>
      </c>
      <c r="I14803" s="7">
        <v>214</v>
      </c>
      <c r="J14803" s="7">
        <v>474</v>
      </c>
      <c r="K14803" s="7" t="s">
        <v>18</v>
      </c>
      <c r="L14803" s="8">
        <v>39987.315405092595</v>
      </c>
      <c r="M14803" s="9" t="s">
        <v>19</v>
      </c>
      <c r="N14803" s="9" t="s">
        <v>20</v>
      </c>
      <c r="O14803" s="6" t="str">
        <f>HYPERLINK("https://pbs.twimg.com/profile_images/962471262747529216/Uo8lOkRJ_normal.jpg","View")</f>
        <v>View</v>
      </c>
      <c r="P14803" s="7"/>
    </row>
    <row r="14804" spans="1:16">
      <c r="A14804" s="3">
        <v>44347.781909722224</v>
      </c>
      <c r="B14804" s="4" t="str">
        <f>HYPERLINK("https://twitter.com/petrogustavo","@petrogustavo")</f>
        <v>@petrogustavo</v>
      </c>
      <c r="C14804" s="5" t="s">
        <v>16</v>
      </c>
      <c r="D14804" s="5" t="s">
        <v>14258</v>
      </c>
      <c r="E14804" s="6" t="str">
        <f>HYPERLINK("https://twitter.com/petrogustavo/status/1399353958217441282","1399353958217441282")</f>
        <v>1399353958217441282</v>
      </c>
      <c r="F14804" s="7" t="s">
        <v>17</v>
      </c>
      <c r="G14804" s="7">
        <v>4292405</v>
      </c>
      <c r="H14804" s="7">
        <v>2520</v>
      </c>
      <c r="I14804" s="7">
        <v>182</v>
      </c>
      <c r="J14804" s="7">
        <v>457</v>
      </c>
      <c r="K14804" s="7" t="s">
        <v>18</v>
      </c>
      <c r="L14804" s="8">
        <v>39987.315405092595</v>
      </c>
      <c r="M14804" s="9" t="s">
        <v>19</v>
      </c>
      <c r="N14804" s="9" t="s">
        <v>20</v>
      </c>
      <c r="O14804" s="6" t="str">
        <f>HYPERLINK("https://pbs.twimg.com/profile_images/962471262747529216/Uo8lOkRJ_normal.jpg","View")</f>
        <v>View</v>
      </c>
      <c r="P14804" s="7"/>
    </row>
    <row r="14805" spans="1:16">
      <c r="A14805" s="3">
        <v>44347.792326388888</v>
      </c>
      <c r="B14805" s="4" t="str">
        <f>HYPERLINK("https://twitter.com/petrogustavo","@petrogustavo")</f>
        <v>@petrogustavo</v>
      </c>
      <c r="C14805" s="5" t="s">
        <v>16</v>
      </c>
      <c r="D14805" s="5" t="s">
        <v>14259</v>
      </c>
      <c r="E14805" s="6" t="str">
        <f>HYPERLINK("https://twitter.com/petrogustavo/status/1399357733275639811","1399357733275639811")</f>
        <v>1399357733275639811</v>
      </c>
      <c r="F14805" s="7" t="s">
        <v>17</v>
      </c>
      <c r="G14805" s="7">
        <v>4292405</v>
      </c>
      <c r="H14805" s="7">
        <v>2520</v>
      </c>
      <c r="I14805" s="7">
        <v>168</v>
      </c>
      <c r="J14805" s="7">
        <v>0</v>
      </c>
      <c r="K14805" s="7" t="s">
        <v>18</v>
      </c>
      <c r="L14805" s="8">
        <v>39987.315405092595</v>
      </c>
      <c r="M14805" s="9" t="s">
        <v>19</v>
      </c>
      <c r="N14805" s="9" t="s">
        <v>20</v>
      </c>
      <c r="O14805" s="6" t="str">
        <f>HYPERLINK("https://pbs.twimg.com/profile_images/962471262747529216/Uo8lOkRJ_normal.jpg","View")</f>
        <v>View</v>
      </c>
      <c r="P14805" s="7"/>
    </row>
    <row r="14806" spans="1:16">
      <c r="A14806" s="3">
        <v>44347.805335648147</v>
      </c>
      <c r="B14806" s="4" t="str">
        <f>HYPERLINK("https://twitter.com/petrogustavo","@petrogustavo")</f>
        <v>@petrogustavo</v>
      </c>
      <c r="C14806" s="5" t="s">
        <v>16</v>
      </c>
      <c r="D14806" s="5" t="s">
        <v>14260</v>
      </c>
      <c r="E14806" s="6" t="str">
        <f>HYPERLINK("https://twitter.com/petrogustavo/status/1399362449023905794","1399362449023905794")</f>
        <v>1399362449023905794</v>
      </c>
      <c r="F14806" s="7" t="s">
        <v>17</v>
      </c>
      <c r="G14806" s="7">
        <v>4292455</v>
      </c>
      <c r="H14806" s="7">
        <v>2520</v>
      </c>
      <c r="I14806" s="7">
        <v>1169</v>
      </c>
      <c r="J14806" s="7">
        <v>0</v>
      </c>
      <c r="K14806" s="7" t="s">
        <v>18</v>
      </c>
      <c r="L14806" s="8">
        <v>39987.315405092595</v>
      </c>
      <c r="M14806" s="9" t="s">
        <v>19</v>
      </c>
      <c r="N14806" s="9" t="s">
        <v>20</v>
      </c>
      <c r="O14806" s="6" t="str">
        <f>HYPERLINK("https://pbs.twimg.com/profile_images/962471262747529216/Uo8lOkRJ_normal.jpg","View")</f>
        <v>View</v>
      </c>
      <c r="P14806" s="7"/>
    </row>
    <row r="14807" spans="1:16">
      <c r="A14807" s="3">
        <v>44347.822962962964</v>
      </c>
      <c r="B14807" s="4" t="str">
        <f>HYPERLINK("https://twitter.com/petrogustavo","@petrogustavo")</f>
        <v>@petrogustavo</v>
      </c>
      <c r="C14807" s="5" t="s">
        <v>16</v>
      </c>
      <c r="D14807" s="5" t="s">
        <v>14261</v>
      </c>
      <c r="E14807" s="6" t="str">
        <f>HYPERLINK("https://twitter.com/petrogustavo/status/1399368839062863873","1399368839062863873")</f>
        <v>1399368839062863873</v>
      </c>
      <c r="F14807" s="7" t="s">
        <v>17</v>
      </c>
      <c r="G14807" s="7">
        <v>4292512</v>
      </c>
      <c r="H14807" s="7">
        <v>2520</v>
      </c>
      <c r="I14807" s="7">
        <v>236</v>
      </c>
      <c r="J14807" s="7">
        <v>624</v>
      </c>
      <c r="K14807" s="7" t="s">
        <v>18</v>
      </c>
      <c r="L14807" s="8">
        <v>39987.315405092595</v>
      </c>
      <c r="M14807" s="9" t="s">
        <v>19</v>
      </c>
      <c r="N14807" s="9" t="s">
        <v>20</v>
      </c>
      <c r="O14807" s="6" t="str">
        <f>HYPERLINK("https://pbs.twimg.com/profile_images/962471262747529216/Uo8lOkRJ_normal.jpg","View")</f>
        <v>View</v>
      </c>
      <c r="P14807" s="7"/>
    </row>
    <row r="14808" spans="1:16">
      <c r="A14808" s="3">
        <v>44347.83430555556</v>
      </c>
      <c r="B14808" s="4" t="str">
        <f>HYPERLINK("https://twitter.com/petrogustavo","@petrogustavo")</f>
        <v>@petrogustavo</v>
      </c>
      <c r="C14808" s="5" t="s">
        <v>16</v>
      </c>
      <c r="D14808" s="5" t="s">
        <v>14262</v>
      </c>
      <c r="E14808" s="6" t="str">
        <f>HYPERLINK("https://twitter.com/petrogustavo/status/1399372948125929474","1399372948125929474")</f>
        <v>1399372948125929474</v>
      </c>
      <c r="F14808" s="7" t="s">
        <v>17</v>
      </c>
      <c r="G14808" s="7">
        <v>4292512</v>
      </c>
      <c r="H14808" s="7">
        <v>2520</v>
      </c>
      <c r="I14808" s="7">
        <v>37</v>
      </c>
      <c r="J14808" s="7">
        <v>147</v>
      </c>
      <c r="K14808" s="7" t="s">
        <v>18</v>
      </c>
      <c r="L14808" s="8">
        <v>39987.315405092595</v>
      </c>
      <c r="M14808" s="9" t="s">
        <v>19</v>
      </c>
      <c r="N14808" s="9" t="s">
        <v>20</v>
      </c>
      <c r="O14808" s="6" t="str">
        <f>HYPERLINK("https://pbs.twimg.com/profile_images/962471262747529216/Uo8lOkRJ_normal.jpg","View")</f>
        <v>View</v>
      </c>
      <c r="P14808" s="7"/>
    </row>
    <row r="14809" spans="1:16">
      <c r="A14809" s="3">
        <v>44347.836898148147</v>
      </c>
      <c r="B14809" s="4" t="str">
        <f>HYPERLINK("https://twitter.com/petrogustavo","@petrogustavo")</f>
        <v>@petrogustavo</v>
      </c>
      <c r="C14809" s="5" t="s">
        <v>16</v>
      </c>
      <c r="D14809" s="5" t="s">
        <v>14263</v>
      </c>
      <c r="E14809" s="6" t="str">
        <f>HYPERLINK("https://twitter.com/petrogustavo/status/1399373889096929281","1399373889096929281")</f>
        <v>1399373889096929281</v>
      </c>
      <c r="F14809" s="7" t="s">
        <v>17</v>
      </c>
      <c r="G14809" s="7">
        <v>4292536</v>
      </c>
      <c r="H14809" s="7">
        <v>2519</v>
      </c>
      <c r="I14809" s="7">
        <v>325</v>
      </c>
      <c r="J14809" s="7">
        <v>0</v>
      </c>
      <c r="K14809" s="7" t="s">
        <v>18</v>
      </c>
      <c r="L14809" s="8">
        <v>39987.315405092595</v>
      </c>
      <c r="M14809" s="9" t="s">
        <v>19</v>
      </c>
      <c r="N14809" s="9" t="s">
        <v>20</v>
      </c>
      <c r="O14809" s="6" t="str">
        <f>HYPERLINK("https://pbs.twimg.com/profile_images/962471262747529216/Uo8lOkRJ_normal.jpg","View")</f>
        <v>View</v>
      </c>
      <c r="P14809" s="7"/>
    </row>
    <row r="14810" spans="1:16">
      <c r="A14810" s="3">
        <v>44347.839918981481</v>
      </c>
      <c r="B14810" s="4" t="str">
        <f>HYPERLINK("https://twitter.com/petrogustavo","@petrogustavo")</f>
        <v>@petrogustavo</v>
      </c>
      <c r="C14810" s="5" t="s">
        <v>16</v>
      </c>
      <c r="D14810" s="5" t="s">
        <v>14264</v>
      </c>
      <c r="E14810" s="6" t="str">
        <f>HYPERLINK("https://twitter.com/petrogustavo/status/1399374981570564099","1399374981570564099")</f>
        <v>1399374981570564099</v>
      </c>
      <c r="F14810" s="7" t="s">
        <v>17</v>
      </c>
      <c r="G14810" s="7">
        <v>4292536</v>
      </c>
      <c r="H14810" s="7">
        <v>2519</v>
      </c>
      <c r="I14810" s="7">
        <v>126</v>
      </c>
      <c r="J14810" s="7">
        <v>0</v>
      </c>
      <c r="K14810" s="7" t="s">
        <v>18</v>
      </c>
      <c r="L14810" s="8">
        <v>39987.315405092595</v>
      </c>
      <c r="M14810" s="9" t="s">
        <v>19</v>
      </c>
      <c r="N14810" s="9" t="s">
        <v>20</v>
      </c>
      <c r="O14810" s="6" t="str">
        <f>HYPERLINK("https://pbs.twimg.com/profile_images/962471262747529216/Uo8lOkRJ_normal.jpg","View")</f>
        <v>View</v>
      </c>
      <c r="P14810" s="7"/>
    </row>
    <row r="14811" spans="1:16">
      <c r="A14811" s="3">
        <v>44347.842060185183</v>
      </c>
      <c r="B14811" s="4" t="str">
        <f>HYPERLINK("https://twitter.com/petrogustavo","@petrogustavo")</f>
        <v>@petrogustavo</v>
      </c>
      <c r="C14811" s="5" t="s">
        <v>16</v>
      </c>
      <c r="D14811" s="5" t="s">
        <v>14265</v>
      </c>
      <c r="E14811" s="6" t="str">
        <f>HYPERLINK("https://twitter.com/petrogustavo/status/1399375756875214848","1399375756875214848")</f>
        <v>1399375756875214848</v>
      </c>
      <c r="F14811" s="7" t="s">
        <v>17</v>
      </c>
      <c r="G14811" s="7">
        <v>4292536</v>
      </c>
      <c r="H14811" s="7">
        <v>2519</v>
      </c>
      <c r="I14811" s="7">
        <v>186</v>
      </c>
      <c r="J14811" s="7">
        <v>683</v>
      </c>
      <c r="K14811" s="7" t="s">
        <v>18</v>
      </c>
      <c r="L14811" s="8">
        <v>39987.315405092595</v>
      </c>
      <c r="M14811" s="9" t="s">
        <v>19</v>
      </c>
      <c r="N14811" s="9" t="s">
        <v>20</v>
      </c>
      <c r="O14811" s="6" t="str">
        <f>HYPERLINK("https://pbs.twimg.com/profile_images/962471262747529216/Uo8lOkRJ_normal.jpg","View")</f>
        <v>View</v>
      </c>
      <c r="P14811" s="7"/>
    </row>
    <row r="14812" spans="1:16">
      <c r="A14812" s="3">
        <v>44347.842326388884</v>
      </c>
      <c r="B14812" s="4" t="str">
        <f>HYPERLINK("https://twitter.com/petrogustavo","@petrogustavo")</f>
        <v>@petrogustavo</v>
      </c>
      <c r="C14812" s="5" t="s">
        <v>16</v>
      </c>
      <c r="D14812" s="5" t="s">
        <v>14266</v>
      </c>
      <c r="E14812" s="6" t="str">
        <f>HYPERLINK("https://twitter.com/petrogustavo/status/1399375855017676807","1399375855017676807")</f>
        <v>1399375855017676807</v>
      </c>
      <c r="F14812" s="7" t="s">
        <v>17</v>
      </c>
      <c r="G14812" s="7">
        <v>4292536</v>
      </c>
      <c r="H14812" s="7">
        <v>2519</v>
      </c>
      <c r="I14812" s="7">
        <v>196</v>
      </c>
      <c r="J14812" s="7">
        <v>0</v>
      </c>
      <c r="K14812" s="7" t="s">
        <v>18</v>
      </c>
      <c r="L14812" s="8">
        <v>39987.315405092595</v>
      </c>
      <c r="M14812" s="9" t="s">
        <v>19</v>
      </c>
      <c r="N14812" s="9" t="s">
        <v>20</v>
      </c>
      <c r="O14812" s="6" t="str">
        <f>HYPERLINK("https://pbs.twimg.com/profile_images/962471262747529216/Uo8lOkRJ_normal.jpg","View")</f>
        <v>View</v>
      </c>
      <c r="P14812" s="7"/>
    </row>
    <row r="14813" spans="1:16">
      <c r="A14813" s="3">
        <v>44347.921643518523</v>
      </c>
      <c r="B14813" s="4" t="str">
        <f>HYPERLINK("https://twitter.com/petrogustavo","@petrogustavo")</f>
        <v>@petrogustavo</v>
      </c>
      <c r="C14813" s="5" t="s">
        <v>16</v>
      </c>
      <c r="D14813" s="5" t="s">
        <v>14267</v>
      </c>
      <c r="E14813" s="6" t="str">
        <f>HYPERLINK("https://twitter.com/petrogustavo/status/1399404598792753153","1399404598792753153")</f>
        <v>1399404598792753153</v>
      </c>
      <c r="F14813" s="7" t="s">
        <v>17</v>
      </c>
      <c r="G14813" s="7">
        <v>4292708</v>
      </c>
      <c r="H14813" s="7">
        <v>2519</v>
      </c>
      <c r="I14813" s="7">
        <v>533</v>
      </c>
      <c r="J14813" s="7">
        <v>1474</v>
      </c>
      <c r="K14813" s="7" t="s">
        <v>18</v>
      </c>
      <c r="L14813" s="8">
        <v>39987.315405092595</v>
      </c>
      <c r="M14813" s="9" t="s">
        <v>19</v>
      </c>
      <c r="N14813" s="9" t="s">
        <v>20</v>
      </c>
      <c r="O14813" s="6" t="str">
        <f>HYPERLINK("https://pbs.twimg.com/profile_images/962471262747529216/Uo8lOkRJ_normal.jpg","View")</f>
        <v>View</v>
      </c>
      <c r="P14813" s="7"/>
    </row>
    <row r="14814" spans="1:16">
      <c r="A14814" s="3">
        <v>44350.865497685183</v>
      </c>
      <c r="B14814" s="4" t="str">
        <f>HYPERLINK("https://twitter.com/petrogustavo","@petrogustavo")</f>
        <v>@petrogustavo</v>
      </c>
      <c r="C14814" s="5" t="s">
        <v>16</v>
      </c>
      <c r="D14814" s="5" t="s">
        <v>14268</v>
      </c>
      <c r="E14814" s="6" t="str">
        <f>HYPERLINK("https://twitter.com/petrogustavo/status/1400471415694966786","1400471415694966786")</f>
        <v>1400471415694966786</v>
      </c>
      <c r="F14814" s="7" t="s">
        <v>17</v>
      </c>
      <c r="G14814" s="7">
        <v>4297472</v>
      </c>
      <c r="H14814" s="7">
        <v>2518</v>
      </c>
      <c r="I14814" s="7">
        <v>433</v>
      </c>
      <c r="J14814" s="7">
        <v>0</v>
      </c>
      <c r="K14814" s="7" t="s">
        <v>18</v>
      </c>
      <c r="L14814" s="8">
        <v>39987.315405092595</v>
      </c>
      <c r="M14814" s="9" t="s">
        <v>19</v>
      </c>
      <c r="N14814" s="9" t="s">
        <v>20</v>
      </c>
      <c r="O14814" s="6" t="str">
        <f>HYPERLINK("https://pbs.twimg.com/profile_images/962471262747529216/Uo8lOkRJ_normal.jpg","View")</f>
        <v>View</v>
      </c>
      <c r="P14814" s="7"/>
    </row>
    <row r="14815" spans="1:16">
      <c r="A14815" s="3">
        <v>44350.903796296298</v>
      </c>
      <c r="B14815" s="4" t="str">
        <f>HYPERLINK("https://twitter.com/petrogustavo","@petrogustavo")</f>
        <v>@petrogustavo</v>
      </c>
      <c r="C14815" s="5" t="s">
        <v>16</v>
      </c>
      <c r="D14815" s="5" t="s">
        <v>14269</v>
      </c>
      <c r="E14815" s="6" t="str">
        <f>HYPERLINK("https://twitter.com/petrogustavo/status/1400485292797222915","1400485292797222915")</f>
        <v>1400485292797222915</v>
      </c>
      <c r="F14815" s="7" t="s">
        <v>17</v>
      </c>
      <c r="G14815" s="7">
        <v>4297535</v>
      </c>
      <c r="H14815" s="7">
        <v>2518</v>
      </c>
      <c r="I14815" s="7">
        <v>363</v>
      </c>
      <c r="J14815" s="7">
        <v>1243</v>
      </c>
      <c r="K14815" s="7" t="s">
        <v>18</v>
      </c>
      <c r="L14815" s="8">
        <v>39987.315405092595</v>
      </c>
      <c r="M14815" s="9" t="s">
        <v>19</v>
      </c>
      <c r="N14815" s="9" t="s">
        <v>20</v>
      </c>
      <c r="O14815" s="6" t="str">
        <f>HYPERLINK("https://pbs.twimg.com/profile_images/962471262747529216/Uo8lOkRJ_normal.jpg","View")</f>
        <v>View</v>
      </c>
      <c r="P14815" s="7"/>
    </row>
    <row r="14816" spans="1:16">
      <c r="A14816" s="3">
        <v>44350.903796296298</v>
      </c>
      <c r="B14816" s="4" t="str">
        <f>HYPERLINK("https://twitter.com/petrogustavo","@petrogustavo")</f>
        <v>@petrogustavo</v>
      </c>
      <c r="C14816" s="5" t="s">
        <v>16</v>
      </c>
      <c r="D14816" s="5" t="s">
        <v>14270</v>
      </c>
      <c r="E14816" s="6" t="str">
        <f>HYPERLINK("https://twitter.com/petrogustavo/status/1400485294281998342","1400485294281998342")</f>
        <v>1400485294281998342</v>
      </c>
      <c r="F14816" s="7" t="s">
        <v>17</v>
      </c>
      <c r="G14816" s="7">
        <v>4297535</v>
      </c>
      <c r="H14816" s="7">
        <v>2518</v>
      </c>
      <c r="I14816" s="7">
        <v>201</v>
      </c>
      <c r="J14816" s="7">
        <v>780</v>
      </c>
      <c r="K14816" s="7" t="s">
        <v>18</v>
      </c>
      <c r="L14816" s="8">
        <v>39987.315405092595</v>
      </c>
      <c r="M14816" s="9" t="s">
        <v>19</v>
      </c>
      <c r="N14816" s="9" t="s">
        <v>20</v>
      </c>
      <c r="O14816" s="6" t="str">
        <f>HYPERLINK("https://pbs.twimg.com/profile_images/962471262747529216/Uo8lOkRJ_normal.jpg","View")</f>
        <v>View</v>
      </c>
      <c r="P14816" s="7"/>
    </row>
    <row r="14817" spans="1:16">
      <c r="A14817" s="3">
        <v>44351.17019675926</v>
      </c>
      <c r="B14817" s="4" t="str">
        <f>HYPERLINK("https://twitter.com/petrogustavo","@petrogustavo")</f>
        <v>@petrogustavo</v>
      </c>
      <c r="C14817" s="5" t="s">
        <v>16</v>
      </c>
      <c r="D14817" s="5" t="s">
        <v>14271</v>
      </c>
      <c r="E14817" s="6" t="str">
        <f>HYPERLINK("https://twitter.com/petrogustavo/status/1400581835235774468","1400581835235774468")</f>
        <v>1400581835235774468</v>
      </c>
      <c r="F14817" s="7" t="s">
        <v>17</v>
      </c>
      <c r="G14817" s="7">
        <v>4298023</v>
      </c>
      <c r="H14817" s="7">
        <v>2518</v>
      </c>
      <c r="I14817" s="7">
        <v>904</v>
      </c>
      <c r="J14817" s="7">
        <v>2212</v>
      </c>
      <c r="K14817" s="7" t="s">
        <v>18</v>
      </c>
      <c r="L14817" s="8">
        <v>39987.315405092595</v>
      </c>
      <c r="M14817" s="9" t="s">
        <v>19</v>
      </c>
      <c r="N14817" s="9" t="s">
        <v>20</v>
      </c>
      <c r="O14817" s="6" t="str">
        <f>HYPERLINK("https://pbs.twimg.com/profile_images/962471262747529216/Uo8lOkRJ_normal.jpg","View")</f>
        <v>View</v>
      </c>
      <c r="P14817" s="7"/>
    </row>
    <row r="14818" spans="1:16">
      <c r="A14818" s="3">
        <v>44351.747662037036</v>
      </c>
      <c r="B14818" s="4" t="str">
        <f>HYPERLINK("https://twitter.com/petrogustavo","@petrogustavo")</f>
        <v>@petrogustavo</v>
      </c>
      <c r="C14818" s="5" t="s">
        <v>16</v>
      </c>
      <c r="D14818" s="5" t="s">
        <v>14272</v>
      </c>
      <c r="E14818" s="6" t="str">
        <f>HYPERLINK("https://twitter.com/petrogustavo/status/1400791101649338372","1400791101649338372")</f>
        <v>1400791101649338372</v>
      </c>
      <c r="F14818" s="7" t="s">
        <v>32</v>
      </c>
      <c r="G14818" s="7">
        <v>4298606</v>
      </c>
      <c r="H14818" s="7">
        <v>2518</v>
      </c>
      <c r="I14818" s="7">
        <v>33</v>
      </c>
      <c r="J14818" s="7">
        <v>0</v>
      </c>
      <c r="K14818" s="7" t="s">
        <v>18</v>
      </c>
      <c r="L14818" s="8">
        <v>39987.315405092595</v>
      </c>
      <c r="M14818" s="9" t="s">
        <v>19</v>
      </c>
      <c r="N14818" s="9" t="s">
        <v>20</v>
      </c>
      <c r="O14818" s="6" t="str">
        <f>HYPERLINK("https://pbs.twimg.com/profile_images/962471262747529216/Uo8lOkRJ_normal.jpg","View")</f>
        <v>View</v>
      </c>
      <c r="P14818" s="7"/>
    </row>
    <row r="14819" spans="1:16">
      <c r="A14819" s="3">
        <v>44351.748587962968</v>
      </c>
      <c r="B14819" s="4" t="str">
        <f>HYPERLINK("https://twitter.com/petrogustavo","@petrogustavo")</f>
        <v>@petrogustavo</v>
      </c>
      <c r="C14819" s="5" t="s">
        <v>16</v>
      </c>
      <c r="D14819" s="5" t="s">
        <v>14273</v>
      </c>
      <c r="E14819" s="6" t="str">
        <f>HYPERLINK("https://twitter.com/petrogustavo/status/1400791438137364481","1400791438137364481")</f>
        <v>1400791438137364481</v>
      </c>
      <c r="F14819" s="7" t="s">
        <v>32</v>
      </c>
      <c r="G14819" s="7">
        <v>4298606</v>
      </c>
      <c r="H14819" s="7">
        <v>2518</v>
      </c>
      <c r="I14819" s="7">
        <v>371</v>
      </c>
      <c r="J14819" s="7">
        <v>0</v>
      </c>
      <c r="K14819" s="7" t="s">
        <v>18</v>
      </c>
      <c r="L14819" s="8">
        <v>39987.315405092595</v>
      </c>
      <c r="M14819" s="9" t="s">
        <v>19</v>
      </c>
      <c r="N14819" s="9" t="s">
        <v>20</v>
      </c>
      <c r="O14819" s="6" t="str">
        <f>HYPERLINK("https://pbs.twimg.com/profile_images/962471262747529216/Uo8lOkRJ_normal.jpg","View")</f>
        <v>View</v>
      </c>
      <c r="P14819" s="7"/>
    </row>
    <row r="14820" spans="1:16">
      <c r="A14820" s="3">
        <v>44351.751921296294</v>
      </c>
      <c r="B14820" s="4" t="str">
        <f>HYPERLINK("https://twitter.com/petrogustavo","@petrogustavo")</f>
        <v>@petrogustavo</v>
      </c>
      <c r="C14820" s="5" t="s">
        <v>16</v>
      </c>
      <c r="D14820" s="5" t="s">
        <v>14274</v>
      </c>
      <c r="E14820" s="6" t="str">
        <f>HYPERLINK("https://twitter.com/petrogustavo/status/1400792644155064320","1400792644155064320")</f>
        <v>1400792644155064320</v>
      </c>
      <c r="F14820" s="7" t="s">
        <v>32</v>
      </c>
      <c r="G14820" s="7">
        <v>4298606</v>
      </c>
      <c r="H14820" s="7">
        <v>2518</v>
      </c>
      <c r="I14820" s="7">
        <v>34</v>
      </c>
      <c r="J14820" s="7">
        <v>0</v>
      </c>
      <c r="K14820" s="7" t="s">
        <v>18</v>
      </c>
      <c r="L14820" s="8">
        <v>39987.315405092595</v>
      </c>
      <c r="M14820" s="9" t="s">
        <v>19</v>
      </c>
      <c r="N14820" s="9" t="s">
        <v>20</v>
      </c>
      <c r="O14820" s="6" t="str">
        <f>HYPERLINK("https://pbs.twimg.com/profile_images/962471262747529216/Uo8lOkRJ_normal.jpg","View")</f>
        <v>View</v>
      </c>
      <c r="P14820" s="7"/>
    </row>
    <row r="14821" spans="1:16">
      <c r="A14821" s="3">
        <v>44351.754826388889</v>
      </c>
      <c r="B14821" s="4" t="str">
        <f>HYPERLINK("https://twitter.com/petrogustavo","@petrogustavo")</f>
        <v>@petrogustavo</v>
      </c>
      <c r="C14821" s="5" t="s">
        <v>16</v>
      </c>
      <c r="D14821" s="5" t="s">
        <v>14275</v>
      </c>
      <c r="E14821" s="6" t="str">
        <f>HYPERLINK("https://twitter.com/petrogustavo/status/1400793696241688577","1400793696241688577")</f>
        <v>1400793696241688577</v>
      </c>
      <c r="F14821" s="7" t="s">
        <v>32</v>
      </c>
      <c r="G14821" s="7">
        <v>4298635</v>
      </c>
      <c r="H14821" s="7">
        <v>2518</v>
      </c>
      <c r="I14821" s="7">
        <v>67</v>
      </c>
      <c r="J14821" s="7">
        <v>0</v>
      </c>
      <c r="K14821" s="7" t="s">
        <v>18</v>
      </c>
      <c r="L14821" s="8">
        <v>39987.315405092595</v>
      </c>
      <c r="M14821" s="9" t="s">
        <v>19</v>
      </c>
      <c r="N14821" s="9" t="s">
        <v>20</v>
      </c>
      <c r="O14821" s="6" t="str">
        <f>HYPERLINK("https://pbs.twimg.com/profile_images/962471262747529216/Uo8lOkRJ_normal.jpg","View")</f>
        <v>View</v>
      </c>
      <c r="P14821" s="7"/>
    </row>
    <row r="14822" spans="1:16">
      <c r="A14822" s="3">
        <v>44351.757962962962</v>
      </c>
      <c r="B14822" s="4" t="str">
        <f>HYPERLINK("https://twitter.com/petrogustavo","@petrogustavo")</f>
        <v>@petrogustavo</v>
      </c>
      <c r="C14822" s="5" t="s">
        <v>16</v>
      </c>
      <c r="D14822" s="5" t="s">
        <v>14276</v>
      </c>
      <c r="E14822" s="6" t="str">
        <f>HYPERLINK("https://twitter.com/petrogustavo/status/1400794832046641152","1400794832046641152")</f>
        <v>1400794832046641152</v>
      </c>
      <c r="F14822" s="7" t="s">
        <v>32</v>
      </c>
      <c r="G14822" s="7">
        <v>4298635</v>
      </c>
      <c r="H14822" s="7">
        <v>2518</v>
      </c>
      <c r="I14822" s="7">
        <v>593</v>
      </c>
      <c r="J14822" s="7">
        <v>1467</v>
      </c>
      <c r="K14822" s="7" t="s">
        <v>18</v>
      </c>
      <c r="L14822" s="8">
        <v>39987.315405092595</v>
      </c>
      <c r="M14822" s="9" t="s">
        <v>19</v>
      </c>
      <c r="N14822" s="9" t="s">
        <v>20</v>
      </c>
      <c r="O14822" s="6" t="str">
        <f>HYPERLINK("https://pbs.twimg.com/profile_images/962471262747529216/Uo8lOkRJ_normal.jpg","View")</f>
        <v>View</v>
      </c>
      <c r="P14822" s="7"/>
    </row>
    <row r="14823" spans="1:16">
      <c r="A14823" s="3">
        <v>44351.788784722223</v>
      </c>
      <c r="B14823" s="4" t="str">
        <f>HYPERLINK("https://twitter.com/petrogustavo","@petrogustavo")</f>
        <v>@petrogustavo</v>
      </c>
      <c r="C14823" s="5" t="s">
        <v>16</v>
      </c>
      <c r="D14823" s="5" t="s">
        <v>14277</v>
      </c>
      <c r="E14823" s="6" t="str">
        <f>HYPERLINK("https://twitter.com/petrogustavo/status/1400806002933522439","1400806002933522439")</f>
        <v>1400806002933522439</v>
      </c>
      <c r="F14823" s="7" t="s">
        <v>32</v>
      </c>
      <c r="G14823" s="7">
        <v>4298658</v>
      </c>
      <c r="H14823" s="7">
        <v>2518</v>
      </c>
      <c r="I14823" s="7">
        <v>128</v>
      </c>
      <c r="J14823" s="7">
        <v>0</v>
      </c>
      <c r="K14823" s="7" t="s">
        <v>18</v>
      </c>
      <c r="L14823" s="8">
        <v>39987.315405092595</v>
      </c>
      <c r="M14823" s="9" t="s">
        <v>19</v>
      </c>
      <c r="N14823" s="9" t="s">
        <v>20</v>
      </c>
      <c r="O14823" s="6" t="str">
        <f>HYPERLINK("https://pbs.twimg.com/profile_images/962471262747529216/Uo8lOkRJ_normal.jpg","View")</f>
        <v>View</v>
      </c>
      <c r="P14823" s="7"/>
    </row>
    <row r="14824" spans="1:16">
      <c r="A14824" s="3">
        <v>44351.79006944444</v>
      </c>
      <c r="B14824" s="4" t="str">
        <f>HYPERLINK("https://twitter.com/petrogustavo","@petrogustavo")</f>
        <v>@petrogustavo</v>
      </c>
      <c r="C14824" s="5" t="s">
        <v>16</v>
      </c>
      <c r="D14824" s="5" t="s">
        <v>14278</v>
      </c>
      <c r="E14824" s="6" t="str">
        <f>HYPERLINK("https://twitter.com/petrogustavo/status/1400806470053203975","1400806470053203975")</f>
        <v>1400806470053203975</v>
      </c>
      <c r="F14824" s="7" t="s">
        <v>32</v>
      </c>
      <c r="G14824" s="7">
        <v>4298658</v>
      </c>
      <c r="H14824" s="7">
        <v>2518</v>
      </c>
      <c r="I14824" s="7">
        <v>70</v>
      </c>
      <c r="J14824" s="7">
        <v>0</v>
      </c>
      <c r="K14824" s="7" t="s">
        <v>18</v>
      </c>
      <c r="L14824" s="8">
        <v>39987.315405092595</v>
      </c>
      <c r="M14824" s="9" t="s">
        <v>19</v>
      </c>
      <c r="N14824" s="9" t="s">
        <v>20</v>
      </c>
      <c r="O14824" s="6" t="str">
        <f>HYPERLINK("https://pbs.twimg.com/profile_images/962471262747529216/Uo8lOkRJ_normal.jpg","View")</f>
        <v>View</v>
      </c>
      <c r="P14824" s="7"/>
    </row>
    <row r="14825" spans="1:16">
      <c r="A14825" s="3">
        <v>44351.790509259255</v>
      </c>
      <c r="B14825" s="4" t="str">
        <f>HYPERLINK("https://twitter.com/petrogustavo","@petrogustavo")</f>
        <v>@petrogustavo</v>
      </c>
      <c r="C14825" s="5" t="s">
        <v>16</v>
      </c>
      <c r="D14825" s="5" t="s">
        <v>14279</v>
      </c>
      <c r="E14825" s="6" t="str">
        <f>HYPERLINK("https://twitter.com/petrogustavo/status/1400806629520646147","1400806629520646147")</f>
        <v>1400806629520646147</v>
      </c>
      <c r="F14825" s="7" t="s">
        <v>32</v>
      </c>
      <c r="G14825" s="7">
        <v>4298658</v>
      </c>
      <c r="H14825" s="7">
        <v>2518</v>
      </c>
      <c r="I14825" s="7">
        <v>402</v>
      </c>
      <c r="J14825" s="7">
        <v>0</v>
      </c>
      <c r="K14825" s="7" t="s">
        <v>18</v>
      </c>
      <c r="L14825" s="8">
        <v>39987.315405092595</v>
      </c>
      <c r="M14825" s="9" t="s">
        <v>19</v>
      </c>
      <c r="N14825" s="9" t="s">
        <v>20</v>
      </c>
      <c r="O14825" s="6" t="str">
        <f>HYPERLINK("https://pbs.twimg.com/profile_images/962471262747529216/Uo8lOkRJ_normal.jpg","View")</f>
        <v>View</v>
      </c>
      <c r="P14825" s="7"/>
    </row>
    <row r="14826" spans="1:16">
      <c r="A14826" s="3">
        <v>44351.800115740742</v>
      </c>
      <c r="B14826" s="4" t="str">
        <f>HYPERLINK("https://twitter.com/petrogustavo","@petrogustavo")</f>
        <v>@petrogustavo</v>
      </c>
      <c r="C14826" s="5" t="s">
        <v>16</v>
      </c>
      <c r="D14826" s="5" t="s">
        <v>14280</v>
      </c>
      <c r="E14826" s="6" t="str">
        <f>HYPERLINK("https://twitter.com/petrogustavo/status/1400810108414836736","1400810108414836736")</f>
        <v>1400810108414836736</v>
      </c>
      <c r="F14826" s="7" t="s">
        <v>32</v>
      </c>
      <c r="G14826" s="7">
        <v>4298697</v>
      </c>
      <c r="H14826" s="7">
        <v>2518</v>
      </c>
      <c r="I14826" s="7">
        <v>1598</v>
      </c>
      <c r="J14826" s="7">
        <v>0</v>
      </c>
      <c r="K14826" s="7" t="s">
        <v>18</v>
      </c>
      <c r="L14826" s="8">
        <v>39987.315405092595</v>
      </c>
      <c r="M14826" s="9" t="s">
        <v>19</v>
      </c>
      <c r="N14826" s="9" t="s">
        <v>20</v>
      </c>
      <c r="O14826" s="6" t="str">
        <f>HYPERLINK("https://pbs.twimg.com/profile_images/962471262747529216/Uo8lOkRJ_normal.jpg","View")</f>
        <v>View</v>
      </c>
      <c r="P14826" s="7"/>
    </row>
    <row r="14827" spans="1:16">
      <c r="A14827" s="3">
        <v>44351.835023148145</v>
      </c>
      <c r="B14827" s="4" t="str">
        <f>HYPERLINK("https://twitter.com/petrogustavo","@petrogustavo")</f>
        <v>@petrogustavo</v>
      </c>
      <c r="C14827" s="5" t="s">
        <v>16</v>
      </c>
      <c r="D14827" s="5" t="s">
        <v>14281</v>
      </c>
      <c r="E14827" s="6" t="str">
        <f>HYPERLINK("https://twitter.com/petrogustavo/status/1400822759140245508","1400822759140245508")</f>
        <v>1400822759140245508</v>
      </c>
      <c r="F14827" s="7" t="s">
        <v>17</v>
      </c>
      <c r="G14827" s="7">
        <v>4298730</v>
      </c>
      <c r="H14827" s="7">
        <v>2518</v>
      </c>
      <c r="I14827" s="7">
        <v>1095</v>
      </c>
      <c r="J14827" s="7">
        <v>0</v>
      </c>
      <c r="K14827" s="7" t="s">
        <v>18</v>
      </c>
      <c r="L14827" s="8">
        <v>39987.315405092595</v>
      </c>
      <c r="M14827" s="9" t="s">
        <v>19</v>
      </c>
      <c r="N14827" s="9" t="s">
        <v>20</v>
      </c>
      <c r="O14827" s="6" t="str">
        <f>HYPERLINK("https://pbs.twimg.com/profile_images/962471262747529216/Uo8lOkRJ_normal.jpg","View")</f>
        <v>View</v>
      </c>
      <c r="P14827" s="7"/>
    </row>
    <row r="14828" spans="1:16">
      <c r="A14828" s="3">
        <v>44351.861724537041</v>
      </c>
      <c r="B14828" s="4" t="str">
        <f>HYPERLINK("https://twitter.com/petrogustavo","@petrogustavo")</f>
        <v>@petrogustavo</v>
      </c>
      <c r="C14828" s="5" t="s">
        <v>16</v>
      </c>
      <c r="D14828" s="5" t="s">
        <v>14282</v>
      </c>
      <c r="E14828" s="6" t="str">
        <f>HYPERLINK("https://twitter.com/petrogustavo/status/1400832434049007616","1400832434049007616")</f>
        <v>1400832434049007616</v>
      </c>
      <c r="F14828" s="7" t="s">
        <v>17</v>
      </c>
      <c r="G14828" s="7">
        <v>4298775</v>
      </c>
      <c r="H14828" s="7">
        <v>2518</v>
      </c>
      <c r="I14828" s="7">
        <v>283</v>
      </c>
      <c r="J14828" s="7">
        <v>622</v>
      </c>
      <c r="K14828" s="7" t="s">
        <v>18</v>
      </c>
      <c r="L14828" s="8">
        <v>39987.315405092595</v>
      </c>
      <c r="M14828" s="9" t="s">
        <v>19</v>
      </c>
      <c r="N14828" s="9" t="s">
        <v>20</v>
      </c>
      <c r="O14828" s="6" t="str">
        <f>HYPERLINK("https://pbs.twimg.com/profile_images/962471262747529216/Uo8lOkRJ_normal.jpg","View")</f>
        <v>View</v>
      </c>
      <c r="P14828" s="7"/>
    </row>
    <row r="14829" spans="1:16">
      <c r="A14829" s="3">
        <v>44352.208425925928</v>
      </c>
      <c r="B14829" s="4" t="str">
        <f>HYPERLINK("https://twitter.com/petrogustavo","@petrogustavo")</f>
        <v>@petrogustavo</v>
      </c>
      <c r="C14829" s="5" t="s">
        <v>16</v>
      </c>
      <c r="D14829" s="5" t="s">
        <v>14283</v>
      </c>
      <c r="E14829" s="6" t="str">
        <f>HYPERLINK("https://twitter.com/petrogustavo/status/1400958076652376066","1400958076652376066")</f>
        <v>1400958076652376066</v>
      </c>
      <c r="F14829" s="7" t="s">
        <v>17</v>
      </c>
      <c r="G14829" s="7">
        <v>4299298</v>
      </c>
      <c r="H14829" s="7">
        <v>2518</v>
      </c>
      <c r="I14829" s="7">
        <v>94</v>
      </c>
      <c r="J14829" s="7">
        <v>145</v>
      </c>
      <c r="K14829" s="7" t="s">
        <v>18</v>
      </c>
      <c r="L14829" s="8">
        <v>39987.315405092595</v>
      </c>
      <c r="M14829" s="9" t="s">
        <v>19</v>
      </c>
      <c r="N14829" s="9" t="s">
        <v>20</v>
      </c>
      <c r="O14829" s="6" t="str">
        <f>HYPERLINK("https://pbs.twimg.com/profile_images/962471262747529216/Uo8lOkRJ_normal.jpg","View")</f>
        <v>View</v>
      </c>
      <c r="P14829" s="7"/>
    </row>
    <row r="14830" spans="1:16">
      <c r="A14830" s="3">
        <v>44352.217847222222</v>
      </c>
      <c r="B14830" s="4" t="str">
        <f>HYPERLINK("https://twitter.com/petrogustavo","@petrogustavo")</f>
        <v>@petrogustavo</v>
      </c>
      <c r="C14830" s="5" t="s">
        <v>16</v>
      </c>
      <c r="D14830" s="5" t="s">
        <v>14284</v>
      </c>
      <c r="E14830" s="6" t="str">
        <f>HYPERLINK("https://twitter.com/petrogustavo/status/1400961488819531777","1400961488819531777")</f>
        <v>1400961488819531777</v>
      </c>
      <c r="F14830" s="7" t="s">
        <v>17</v>
      </c>
      <c r="G14830" s="7">
        <v>4299333</v>
      </c>
      <c r="H14830" s="7">
        <v>2518</v>
      </c>
      <c r="I14830" s="7">
        <v>1002</v>
      </c>
      <c r="J14830" s="7">
        <v>0</v>
      </c>
      <c r="K14830" s="7" t="s">
        <v>18</v>
      </c>
      <c r="L14830" s="8">
        <v>39987.315405092595</v>
      </c>
      <c r="M14830" s="9" t="s">
        <v>19</v>
      </c>
      <c r="N14830" s="9" t="s">
        <v>20</v>
      </c>
      <c r="O14830" s="6" t="str">
        <f>HYPERLINK("https://pbs.twimg.com/profile_images/962471262747529216/Uo8lOkRJ_normal.jpg","View")</f>
        <v>View</v>
      </c>
      <c r="P14830" s="7"/>
    </row>
    <row r="14831" spans="1:16">
      <c r="A14831" s="3">
        <v>44352.218773148154</v>
      </c>
      <c r="B14831" s="4" t="str">
        <f>HYPERLINK("https://twitter.com/petrogustavo","@petrogustavo")</f>
        <v>@petrogustavo</v>
      </c>
      <c r="C14831" s="5" t="s">
        <v>16</v>
      </c>
      <c r="D14831" s="5" t="s">
        <v>14285</v>
      </c>
      <c r="E14831" s="6" t="str">
        <f>HYPERLINK("https://twitter.com/petrogustavo/status/1400961827023069185","1400961827023069185")</f>
        <v>1400961827023069185</v>
      </c>
      <c r="F14831" s="7" t="s">
        <v>17</v>
      </c>
      <c r="G14831" s="7">
        <v>4299333</v>
      </c>
      <c r="H14831" s="7">
        <v>2518</v>
      </c>
      <c r="I14831" s="7">
        <v>421</v>
      </c>
      <c r="J14831" s="7">
        <v>0</v>
      </c>
      <c r="K14831" s="7" t="s">
        <v>18</v>
      </c>
      <c r="L14831" s="8">
        <v>39987.315405092595</v>
      </c>
      <c r="M14831" s="9" t="s">
        <v>19</v>
      </c>
      <c r="N14831" s="9" t="s">
        <v>20</v>
      </c>
      <c r="O14831" s="6" t="str">
        <f>HYPERLINK("https://pbs.twimg.com/profile_images/962471262747529216/Uo8lOkRJ_normal.jpg","View")</f>
        <v>View</v>
      </c>
      <c r="P14831" s="7"/>
    </row>
    <row r="14832" spans="1:16">
      <c r="A14832" s="3">
        <v>44352.221516203703</v>
      </c>
      <c r="B14832" s="4" t="str">
        <f>HYPERLINK("https://twitter.com/petrogustavo","@petrogustavo")</f>
        <v>@petrogustavo</v>
      </c>
      <c r="C14832" s="5" t="s">
        <v>16</v>
      </c>
      <c r="D14832" s="5" t="s">
        <v>14286</v>
      </c>
      <c r="E14832" s="6" t="str">
        <f>HYPERLINK("https://twitter.com/petrogustavo/status/1400962820804591617","1400962820804591617")</f>
        <v>1400962820804591617</v>
      </c>
      <c r="F14832" s="7" t="s">
        <v>17</v>
      </c>
      <c r="G14832" s="7">
        <v>4299333</v>
      </c>
      <c r="H14832" s="7">
        <v>2518</v>
      </c>
      <c r="I14832" s="7">
        <v>493</v>
      </c>
      <c r="J14832" s="7">
        <v>915</v>
      </c>
      <c r="K14832" s="7" t="s">
        <v>18</v>
      </c>
      <c r="L14832" s="8">
        <v>39987.315405092595</v>
      </c>
      <c r="M14832" s="9" t="s">
        <v>19</v>
      </c>
      <c r="N14832" s="9" t="s">
        <v>20</v>
      </c>
      <c r="O14832" s="6" t="str">
        <f>HYPERLINK("https://pbs.twimg.com/profile_images/962471262747529216/Uo8lOkRJ_normal.jpg","View")</f>
        <v>View</v>
      </c>
      <c r="P14832" s="7"/>
    </row>
    <row r="14833" spans="1:16">
      <c r="A14833" s="3">
        <v>44352.231296296297</v>
      </c>
      <c r="B14833" s="4" t="str">
        <f>HYPERLINK("https://twitter.com/petrogustavo","@petrogustavo")</f>
        <v>@petrogustavo</v>
      </c>
      <c r="C14833" s="5" t="s">
        <v>16</v>
      </c>
      <c r="D14833" s="5" t="s">
        <v>14287</v>
      </c>
      <c r="E14833" s="6" t="str">
        <f>HYPERLINK("https://twitter.com/petrogustavo/status/1400966363745710088","1400966363745710088")</f>
        <v>1400966363745710088</v>
      </c>
      <c r="F14833" s="7" t="s">
        <v>17</v>
      </c>
      <c r="G14833" s="7">
        <v>4299360</v>
      </c>
      <c r="H14833" s="7">
        <v>2518</v>
      </c>
      <c r="I14833" s="7">
        <v>480</v>
      </c>
      <c r="J14833" s="7">
        <v>766</v>
      </c>
      <c r="K14833" s="7" t="s">
        <v>18</v>
      </c>
      <c r="L14833" s="8">
        <v>39987.315405092595</v>
      </c>
      <c r="M14833" s="9" t="s">
        <v>19</v>
      </c>
      <c r="N14833" s="9" t="s">
        <v>20</v>
      </c>
      <c r="O14833" s="6" t="str">
        <f>HYPERLINK("https://pbs.twimg.com/profile_images/962471262747529216/Uo8lOkRJ_normal.jpg","View")</f>
        <v>View</v>
      </c>
      <c r="P14833" s="7"/>
    </row>
    <row r="14834" spans="1:16">
      <c r="A14834" s="3">
        <v>44353.023692129631</v>
      </c>
      <c r="B14834" s="4" t="str">
        <f>HYPERLINK("https://twitter.com/petrogustavo","@petrogustavo")</f>
        <v>@petrogustavo</v>
      </c>
      <c r="C14834" s="5" t="s">
        <v>16</v>
      </c>
      <c r="D14834" s="5" t="s">
        <v>14288</v>
      </c>
      <c r="E14834" s="6" t="str">
        <f>HYPERLINK("https://twitter.com/petrogustavo/status/1401253517348724737","1401253517348724737")</f>
        <v>1401253517348724737</v>
      </c>
      <c r="F14834" s="7" t="s">
        <v>32</v>
      </c>
      <c r="G14834" s="7">
        <v>4300183</v>
      </c>
      <c r="H14834" s="7">
        <v>2518</v>
      </c>
      <c r="I14834" s="7">
        <v>1090</v>
      </c>
      <c r="J14834" s="7">
        <v>3534</v>
      </c>
      <c r="K14834" s="7" t="s">
        <v>18</v>
      </c>
      <c r="L14834" s="8">
        <v>39987.315405092595</v>
      </c>
      <c r="M14834" s="9" t="s">
        <v>19</v>
      </c>
      <c r="N14834" s="9" t="s">
        <v>20</v>
      </c>
      <c r="O14834" s="6" t="str">
        <f>HYPERLINK("https://pbs.twimg.com/profile_images/962471262747529216/Uo8lOkRJ_normal.jpg","View")</f>
        <v>View</v>
      </c>
      <c r="P14834" s="7"/>
    </row>
    <row r="14835" spans="1:16">
      <c r="A14835" s="3">
        <v>44353.110520833332</v>
      </c>
      <c r="B14835" s="4" t="str">
        <f>HYPERLINK("https://twitter.com/petrogustavo","@petrogustavo")</f>
        <v>@petrogustavo</v>
      </c>
      <c r="C14835" s="5" t="s">
        <v>16</v>
      </c>
      <c r="D14835" s="5" t="s">
        <v>14289</v>
      </c>
      <c r="E14835" s="6" t="str">
        <f>HYPERLINK("https://twitter.com/petrogustavo/status/1401284983310934028","1401284983310934028")</f>
        <v>1401284983310934028</v>
      </c>
      <c r="F14835" s="7" t="s">
        <v>17</v>
      </c>
      <c r="G14835" s="7">
        <v>4300295</v>
      </c>
      <c r="H14835" s="7">
        <v>2518</v>
      </c>
      <c r="I14835" s="7">
        <v>603</v>
      </c>
      <c r="J14835" s="7">
        <v>1660</v>
      </c>
      <c r="K14835" s="7" t="s">
        <v>18</v>
      </c>
      <c r="L14835" s="8">
        <v>39987.315405092595</v>
      </c>
      <c r="M14835" s="9" t="s">
        <v>19</v>
      </c>
      <c r="N14835" s="9" t="s">
        <v>20</v>
      </c>
      <c r="O14835" s="6" t="str">
        <f>HYPERLINK("https://pbs.twimg.com/profile_images/962471262747529216/Uo8lOkRJ_normal.jpg","View")</f>
        <v>View</v>
      </c>
      <c r="P14835" s="7"/>
    </row>
    <row r="14836" spans="1:16">
      <c r="A14836" s="3">
        <v>44353.145104166666</v>
      </c>
      <c r="B14836" s="4" t="str">
        <f>HYPERLINK("https://twitter.com/petrogustavo","@petrogustavo")</f>
        <v>@petrogustavo</v>
      </c>
      <c r="C14836" s="5" t="s">
        <v>16</v>
      </c>
      <c r="D14836" s="5" t="s">
        <v>14290</v>
      </c>
      <c r="E14836" s="6" t="str">
        <f>HYPERLINK("https://twitter.com/petrogustavo/status/1401297518072369153","1401297518072369153")</f>
        <v>1401297518072369153</v>
      </c>
      <c r="F14836" s="7" t="s">
        <v>17</v>
      </c>
      <c r="G14836" s="7">
        <v>4300321</v>
      </c>
      <c r="H14836" s="7">
        <v>2518</v>
      </c>
      <c r="I14836" s="7">
        <v>150</v>
      </c>
      <c r="J14836" s="7">
        <v>373</v>
      </c>
      <c r="K14836" s="7" t="s">
        <v>18</v>
      </c>
      <c r="L14836" s="8">
        <v>39987.315405092595</v>
      </c>
      <c r="M14836" s="9" t="s">
        <v>19</v>
      </c>
      <c r="N14836" s="9" t="s">
        <v>20</v>
      </c>
      <c r="O14836" s="6" t="str">
        <f>HYPERLINK("https://pbs.twimg.com/profile_images/962471262747529216/Uo8lOkRJ_normal.jpg","View")</f>
        <v>View</v>
      </c>
      <c r="P14836" s="7"/>
    </row>
    <row r="14837" spans="1:16">
      <c r="A14837" s="3">
        <v>44353.152766203704</v>
      </c>
      <c r="B14837" s="4" t="str">
        <f>HYPERLINK("https://twitter.com/petrogustavo","@petrogustavo")</f>
        <v>@petrogustavo</v>
      </c>
      <c r="C14837" s="5" t="s">
        <v>16</v>
      </c>
      <c r="D14837" s="5" t="s">
        <v>14291</v>
      </c>
      <c r="E14837" s="6" t="str">
        <f>HYPERLINK("https://twitter.com/petrogustavo/status/1401300292948398081","1401300292948398081")</f>
        <v>1401300292948398081</v>
      </c>
      <c r="F14837" s="7" t="s">
        <v>17</v>
      </c>
      <c r="G14837" s="7">
        <v>4300351</v>
      </c>
      <c r="H14837" s="7">
        <v>2518</v>
      </c>
      <c r="I14837" s="7">
        <v>4024</v>
      </c>
      <c r="J14837" s="7">
        <v>0</v>
      </c>
      <c r="K14837" s="7" t="s">
        <v>18</v>
      </c>
      <c r="L14837" s="8">
        <v>39987.315405092595</v>
      </c>
      <c r="M14837" s="9" t="s">
        <v>19</v>
      </c>
      <c r="N14837" s="9" t="s">
        <v>20</v>
      </c>
      <c r="O14837" s="6" t="str">
        <f>HYPERLINK("https://pbs.twimg.com/profile_images/962471262747529216/Uo8lOkRJ_normal.jpg","View")</f>
        <v>View</v>
      </c>
      <c r="P14837" s="7"/>
    </row>
    <row r="14838" spans="1:16">
      <c r="A14838" s="3">
        <v>44353.199444444443</v>
      </c>
      <c r="B14838" s="4" t="str">
        <f>HYPERLINK("https://twitter.com/petrogustavo","@petrogustavo")</f>
        <v>@petrogustavo</v>
      </c>
      <c r="C14838" s="5" t="s">
        <v>16</v>
      </c>
      <c r="D14838" s="5" t="s">
        <v>14292</v>
      </c>
      <c r="E14838" s="6" t="str">
        <f>HYPERLINK("https://twitter.com/petrogustavo/status/1401317209281024000","1401317209281024000")</f>
        <v>1401317209281024000</v>
      </c>
      <c r="F14838" s="7" t="s">
        <v>17</v>
      </c>
      <c r="G14838" s="7">
        <v>4300386</v>
      </c>
      <c r="H14838" s="7">
        <v>2518</v>
      </c>
      <c r="I14838" s="7">
        <v>237</v>
      </c>
      <c r="J14838" s="7">
        <v>0</v>
      </c>
      <c r="K14838" s="7" t="s">
        <v>18</v>
      </c>
      <c r="L14838" s="8">
        <v>39987.315405092595</v>
      </c>
      <c r="M14838" s="9" t="s">
        <v>19</v>
      </c>
      <c r="N14838" s="9" t="s">
        <v>20</v>
      </c>
      <c r="O14838" s="6" t="str">
        <f>HYPERLINK("https://pbs.twimg.com/profile_images/962471262747529216/Uo8lOkRJ_normal.jpg","View")</f>
        <v>View</v>
      </c>
      <c r="P14838" s="7"/>
    </row>
    <row r="14839" spans="1:16">
      <c r="A14839" s="3">
        <v>44353.200069444443</v>
      </c>
      <c r="B14839" s="4" t="str">
        <f>HYPERLINK("https://twitter.com/petrogustavo","@petrogustavo")</f>
        <v>@petrogustavo</v>
      </c>
      <c r="C14839" s="5" t="s">
        <v>16</v>
      </c>
      <c r="D14839" s="5" t="s">
        <v>14293</v>
      </c>
      <c r="E14839" s="6" t="str">
        <f>HYPERLINK("https://twitter.com/petrogustavo/status/1401317435664437254","1401317435664437254")</f>
        <v>1401317435664437254</v>
      </c>
      <c r="F14839" s="7" t="s">
        <v>17</v>
      </c>
      <c r="G14839" s="7">
        <v>4300386</v>
      </c>
      <c r="H14839" s="7">
        <v>2518</v>
      </c>
      <c r="I14839" s="7">
        <v>335</v>
      </c>
      <c r="J14839" s="7">
        <v>0</v>
      </c>
      <c r="K14839" s="7" t="s">
        <v>18</v>
      </c>
      <c r="L14839" s="8">
        <v>39987.315405092595</v>
      </c>
      <c r="M14839" s="9" t="s">
        <v>19</v>
      </c>
      <c r="N14839" s="9" t="s">
        <v>20</v>
      </c>
      <c r="O14839" s="6" t="str">
        <f>HYPERLINK("https://pbs.twimg.com/profile_images/962471262747529216/Uo8lOkRJ_normal.jpg","View")</f>
        <v>View</v>
      </c>
      <c r="P14839" s="7"/>
    </row>
    <row r="14840" spans="1:16">
      <c r="A14840" s="3">
        <v>44353.200659722221</v>
      </c>
      <c r="B14840" s="4" t="str">
        <f>HYPERLINK("https://twitter.com/petrogustavo","@petrogustavo")</f>
        <v>@petrogustavo</v>
      </c>
      <c r="C14840" s="5" t="s">
        <v>16</v>
      </c>
      <c r="D14840" s="5" t="s">
        <v>14294</v>
      </c>
      <c r="E14840" s="6" t="str">
        <f>HYPERLINK("https://twitter.com/petrogustavo/status/1401317649322283011","1401317649322283011")</f>
        <v>1401317649322283011</v>
      </c>
      <c r="F14840" s="7" t="s">
        <v>17</v>
      </c>
      <c r="G14840" s="7">
        <v>4300386</v>
      </c>
      <c r="H14840" s="7">
        <v>2518</v>
      </c>
      <c r="I14840" s="7">
        <v>170</v>
      </c>
      <c r="J14840" s="7">
        <v>0</v>
      </c>
      <c r="K14840" s="7" t="s">
        <v>18</v>
      </c>
      <c r="L14840" s="8">
        <v>39987.315405092595</v>
      </c>
      <c r="M14840" s="9" t="s">
        <v>19</v>
      </c>
      <c r="N14840" s="9" t="s">
        <v>20</v>
      </c>
      <c r="O14840" s="6" t="str">
        <f>HYPERLINK("https://pbs.twimg.com/profile_images/962471262747529216/Uo8lOkRJ_normal.jpg","View")</f>
        <v>View</v>
      </c>
      <c r="P14840" s="7"/>
    </row>
    <row r="14841" spans="1:16">
      <c r="A14841" s="3">
        <v>44353.202592592592</v>
      </c>
      <c r="B14841" s="4" t="str">
        <f>HYPERLINK("https://twitter.com/petrogustavo","@petrogustavo")</f>
        <v>@petrogustavo</v>
      </c>
      <c r="C14841" s="5" t="s">
        <v>16</v>
      </c>
      <c r="D14841" s="5" t="s">
        <v>14295</v>
      </c>
      <c r="E14841" s="6" t="str">
        <f>HYPERLINK("https://twitter.com/petrogustavo/status/1401318351809486850","1401318351809486850")</f>
        <v>1401318351809486850</v>
      </c>
      <c r="F14841" s="7" t="s">
        <v>17</v>
      </c>
      <c r="G14841" s="7">
        <v>4300386</v>
      </c>
      <c r="H14841" s="7">
        <v>2518</v>
      </c>
      <c r="I14841" s="7">
        <v>383</v>
      </c>
      <c r="J14841" s="7">
        <v>669</v>
      </c>
      <c r="K14841" s="7" t="s">
        <v>18</v>
      </c>
      <c r="L14841" s="8">
        <v>39987.315405092595</v>
      </c>
      <c r="M14841" s="9" t="s">
        <v>19</v>
      </c>
      <c r="N14841" s="9" t="s">
        <v>20</v>
      </c>
      <c r="O14841" s="6" t="str">
        <f>HYPERLINK("https://pbs.twimg.com/profile_images/962471262747529216/Uo8lOkRJ_normal.jpg","View")</f>
        <v>View</v>
      </c>
      <c r="P14841" s="7"/>
    </row>
    <row r="14842" spans="1:16">
      <c r="A14842" s="3">
        <v>44353.780138888891</v>
      </c>
      <c r="B14842" s="4" t="str">
        <f>HYPERLINK("https://twitter.com/petrogustavo","@petrogustavo")</f>
        <v>@petrogustavo</v>
      </c>
      <c r="C14842" s="5" t="s">
        <v>16</v>
      </c>
      <c r="D14842" s="5" t="s">
        <v>14296</v>
      </c>
      <c r="E14842" s="6" t="str">
        <f>HYPERLINK("https://twitter.com/petrogustavo/status/1401527645947506690","1401527645947506690")</f>
        <v>1401527645947506690</v>
      </c>
      <c r="F14842" s="7" t="s">
        <v>17</v>
      </c>
      <c r="G14842" s="7">
        <v>4300784</v>
      </c>
      <c r="H14842" s="7">
        <v>2518</v>
      </c>
      <c r="I14842" s="7">
        <v>1408</v>
      </c>
      <c r="J14842" s="7">
        <v>0</v>
      </c>
      <c r="K14842" s="7" t="s">
        <v>18</v>
      </c>
      <c r="L14842" s="8">
        <v>39987.315405092595</v>
      </c>
      <c r="M14842" s="9" t="s">
        <v>19</v>
      </c>
      <c r="N14842" s="9" t="s">
        <v>20</v>
      </c>
      <c r="O14842" s="6" t="str">
        <f>HYPERLINK("https://pbs.twimg.com/profile_images/962471262747529216/Uo8lOkRJ_normal.jpg","View")</f>
        <v>View</v>
      </c>
      <c r="P14842" s="7"/>
    </row>
    <row r="14843" spans="1:16">
      <c r="A14843" s="3">
        <v>44353.780844907407</v>
      </c>
      <c r="B14843" s="4" t="str">
        <f>HYPERLINK("https://twitter.com/petrogustavo","@petrogustavo")</f>
        <v>@petrogustavo</v>
      </c>
      <c r="C14843" s="5" t="s">
        <v>16</v>
      </c>
      <c r="D14843" s="5" t="s">
        <v>14297</v>
      </c>
      <c r="E14843" s="6" t="str">
        <f>HYPERLINK("https://twitter.com/petrogustavo/status/1401527903146369027","1401527903146369027")</f>
        <v>1401527903146369027</v>
      </c>
      <c r="F14843" s="7" t="s">
        <v>17</v>
      </c>
      <c r="G14843" s="7">
        <v>4300784</v>
      </c>
      <c r="H14843" s="7">
        <v>2518</v>
      </c>
      <c r="I14843" s="7">
        <v>475</v>
      </c>
      <c r="J14843" s="7">
        <v>0</v>
      </c>
      <c r="K14843" s="7" t="s">
        <v>18</v>
      </c>
      <c r="L14843" s="8">
        <v>39987.315405092595</v>
      </c>
      <c r="M14843" s="9" t="s">
        <v>19</v>
      </c>
      <c r="N14843" s="9" t="s">
        <v>20</v>
      </c>
      <c r="O14843" s="6" t="str">
        <f>HYPERLINK("https://pbs.twimg.com/profile_images/962471262747529216/Uo8lOkRJ_normal.jpg","View")</f>
        <v>View</v>
      </c>
      <c r="P14843" s="7"/>
    </row>
    <row r="14844" spans="1:16">
      <c r="A14844" s="3">
        <v>44353.787847222222</v>
      </c>
      <c r="B14844" s="4" t="str">
        <f>HYPERLINK("https://twitter.com/petrogustavo","@petrogustavo")</f>
        <v>@petrogustavo</v>
      </c>
      <c r="C14844" s="5" t="s">
        <v>16</v>
      </c>
      <c r="D14844" s="5" t="s">
        <v>14298</v>
      </c>
      <c r="E14844" s="6" t="str">
        <f>HYPERLINK("https://twitter.com/petrogustavo/status/1401530439240765441","1401530439240765441")</f>
        <v>1401530439240765441</v>
      </c>
      <c r="F14844" s="7" t="s">
        <v>17</v>
      </c>
      <c r="G14844" s="7">
        <v>4300784</v>
      </c>
      <c r="H14844" s="7">
        <v>2518</v>
      </c>
      <c r="I14844" s="7">
        <v>377</v>
      </c>
      <c r="J14844" s="7">
        <v>0</v>
      </c>
      <c r="K14844" s="7" t="s">
        <v>18</v>
      </c>
      <c r="L14844" s="8">
        <v>39987.315405092595</v>
      </c>
      <c r="M14844" s="9" t="s">
        <v>19</v>
      </c>
      <c r="N14844" s="9" t="s">
        <v>20</v>
      </c>
      <c r="O14844" s="6" t="str">
        <f>HYPERLINK("https://pbs.twimg.com/profile_images/962471262747529216/Uo8lOkRJ_normal.jpg","View")</f>
        <v>View</v>
      </c>
      <c r="P14844" s="7"/>
    </row>
    <row r="14845" spans="1:16">
      <c r="A14845" s="3">
        <v>44353.810115740736</v>
      </c>
      <c r="B14845" s="4" t="str">
        <f>HYPERLINK("https://twitter.com/petrogustavo","@petrogustavo")</f>
        <v>@petrogustavo</v>
      </c>
      <c r="C14845" s="5" t="s">
        <v>16</v>
      </c>
      <c r="D14845" s="5" t="s">
        <v>14299</v>
      </c>
      <c r="E14845" s="6" t="str">
        <f>HYPERLINK("https://twitter.com/petrogustavo/status/1401538508368584705","1401538508368584705")</f>
        <v>1401538508368584705</v>
      </c>
      <c r="F14845" s="7" t="s">
        <v>17</v>
      </c>
      <c r="G14845" s="7">
        <v>4300829</v>
      </c>
      <c r="H14845" s="7">
        <v>2518</v>
      </c>
      <c r="I14845" s="7">
        <v>144</v>
      </c>
      <c r="J14845" s="7">
        <v>0</v>
      </c>
      <c r="K14845" s="7" t="s">
        <v>18</v>
      </c>
      <c r="L14845" s="8">
        <v>39987.315405092595</v>
      </c>
      <c r="M14845" s="9" t="s">
        <v>19</v>
      </c>
      <c r="N14845" s="9" t="s">
        <v>20</v>
      </c>
      <c r="O14845" s="6" t="str">
        <f>HYPERLINK("https://pbs.twimg.com/profile_images/962471262747529216/Uo8lOkRJ_normal.jpg","View")</f>
        <v>View</v>
      </c>
      <c r="P14845" s="7"/>
    </row>
    <row r="14846" spans="1:16">
      <c r="A14846" s="3">
        <v>44353.810983796298</v>
      </c>
      <c r="B14846" s="4" t="str">
        <f>HYPERLINK("https://twitter.com/petrogustavo","@petrogustavo")</f>
        <v>@petrogustavo</v>
      </c>
      <c r="C14846" s="5" t="s">
        <v>16</v>
      </c>
      <c r="D14846" s="5" t="s">
        <v>14300</v>
      </c>
      <c r="E14846" s="6" t="str">
        <f>HYPERLINK("https://twitter.com/petrogustavo/status/1401538822123446278","1401538822123446278")</f>
        <v>1401538822123446278</v>
      </c>
      <c r="F14846" s="7" t="s">
        <v>17</v>
      </c>
      <c r="G14846" s="7">
        <v>4300829</v>
      </c>
      <c r="H14846" s="7">
        <v>2518</v>
      </c>
      <c r="I14846" s="7">
        <v>79</v>
      </c>
      <c r="J14846" s="7">
        <v>0</v>
      </c>
      <c r="K14846" s="7" t="s">
        <v>18</v>
      </c>
      <c r="L14846" s="8">
        <v>39987.315405092595</v>
      </c>
      <c r="M14846" s="9" t="s">
        <v>19</v>
      </c>
      <c r="N14846" s="9" t="s">
        <v>20</v>
      </c>
      <c r="O14846" s="6" t="str">
        <f>HYPERLINK("https://pbs.twimg.com/profile_images/962471262747529216/Uo8lOkRJ_normal.jpg","View")</f>
        <v>View</v>
      </c>
      <c r="P14846" s="7"/>
    </row>
    <row r="14847" spans="1:16">
      <c r="A14847" s="3">
        <v>44353.818715277783</v>
      </c>
      <c r="B14847" s="4" t="str">
        <f>HYPERLINK("https://twitter.com/petrogustavo","@petrogustavo")</f>
        <v>@petrogustavo</v>
      </c>
      <c r="C14847" s="5" t="s">
        <v>16</v>
      </c>
      <c r="D14847" s="5" t="s">
        <v>14301</v>
      </c>
      <c r="E14847" s="6" t="str">
        <f>HYPERLINK("https://twitter.com/petrogustavo/status/1401541625185193993","1401541625185193993")</f>
        <v>1401541625185193993</v>
      </c>
      <c r="F14847" s="7" t="s">
        <v>17</v>
      </c>
      <c r="G14847" s="7">
        <v>4300858</v>
      </c>
      <c r="H14847" s="7">
        <v>2518</v>
      </c>
      <c r="I14847" s="7">
        <v>1271</v>
      </c>
      <c r="J14847" s="7">
        <v>0</v>
      </c>
      <c r="K14847" s="7" t="s">
        <v>18</v>
      </c>
      <c r="L14847" s="8">
        <v>39987.315405092595</v>
      </c>
      <c r="M14847" s="9" t="s">
        <v>19</v>
      </c>
      <c r="N14847" s="9" t="s">
        <v>20</v>
      </c>
      <c r="O14847" s="6" t="str">
        <f>HYPERLINK("https://pbs.twimg.com/profile_images/962471262747529216/Uo8lOkRJ_normal.jpg","View")</f>
        <v>View</v>
      </c>
      <c r="P14847" s="7"/>
    </row>
    <row r="14848" spans="1:16">
      <c r="A14848" s="3">
        <v>44353.875960648147</v>
      </c>
      <c r="B14848" s="4" t="str">
        <f>HYPERLINK("https://twitter.com/petrogustavo","@petrogustavo")</f>
        <v>@petrogustavo</v>
      </c>
      <c r="C14848" s="5" t="s">
        <v>16</v>
      </c>
      <c r="D14848" s="5" t="s">
        <v>14302</v>
      </c>
      <c r="E14848" s="6" t="str">
        <f>HYPERLINK("https://twitter.com/petrogustavo/status/1401562371051634691","1401562371051634691")</f>
        <v>1401562371051634691</v>
      </c>
      <c r="F14848" s="7" t="s">
        <v>17</v>
      </c>
      <c r="G14848" s="7">
        <v>4300918</v>
      </c>
      <c r="H14848" s="7">
        <v>2518</v>
      </c>
      <c r="I14848" s="7">
        <v>22</v>
      </c>
      <c r="J14848" s="7">
        <v>51</v>
      </c>
      <c r="K14848" s="7" t="s">
        <v>18</v>
      </c>
      <c r="L14848" s="8">
        <v>39987.315405092595</v>
      </c>
      <c r="M14848" s="9" t="s">
        <v>19</v>
      </c>
      <c r="N14848" s="9" t="s">
        <v>20</v>
      </c>
      <c r="O14848" s="6" t="str">
        <f>HYPERLINK("https://pbs.twimg.com/profile_images/962471262747529216/Uo8lOkRJ_normal.jpg","View")</f>
        <v>View</v>
      </c>
      <c r="P14848" s="7"/>
    </row>
    <row r="14849" spans="1:16">
      <c r="A14849" s="3">
        <v>44353.915300925924</v>
      </c>
      <c r="B14849" s="4" t="str">
        <f>HYPERLINK("https://twitter.com/petrogustavo","@petrogustavo")</f>
        <v>@petrogustavo</v>
      </c>
      <c r="C14849" s="5" t="s">
        <v>16</v>
      </c>
      <c r="D14849" s="5" t="s">
        <v>14303</v>
      </c>
      <c r="E14849" s="6" t="str">
        <f>HYPERLINK("https://twitter.com/petrogustavo/status/1401576626069123075","1401576626069123075")</f>
        <v>1401576626069123075</v>
      </c>
      <c r="F14849" s="7" t="s">
        <v>17</v>
      </c>
      <c r="G14849" s="7">
        <v>4300985</v>
      </c>
      <c r="H14849" s="7">
        <v>2518</v>
      </c>
      <c r="I14849" s="7">
        <v>68</v>
      </c>
      <c r="J14849" s="7">
        <v>155</v>
      </c>
      <c r="K14849" s="7" t="s">
        <v>18</v>
      </c>
      <c r="L14849" s="8">
        <v>39987.315405092595</v>
      </c>
      <c r="M14849" s="9" t="s">
        <v>19</v>
      </c>
      <c r="N14849" s="9" t="s">
        <v>20</v>
      </c>
      <c r="O14849" s="6" t="str">
        <f>HYPERLINK("https://pbs.twimg.com/profile_images/962471262747529216/Uo8lOkRJ_normal.jpg","View")</f>
        <v>View</v>
      </c>
      <c r="P14849" s="7"/>
    </row>
    <row r="14850" spans="1:16">
      <c r="A14850" s="3">
        <v>44354.011874999997</v>
      </c>
      <c r="B14850" s="4" t="str">
        <f>HYPERLINK("https://twitter.com/petrogustavo","@petrogustavo")</f>
        <v>@petrogustavo</v>
      </c>
      <c r="C14850" s="5" t="s">
        <v>16</v>
      </c>
      <c r="D14850" s="5" t="s">
        <v>14304</v>
      </c>
      <c r="E14850" s="6" t="str">
        <f>HYPERLINK("https://twitter.com/petrogustavo/status/1401611623215869954","1401611623215869954")</f>
        <v>1401611623215869954</v>
      </c>
      <c r="F14850" s="7" t="s">
        <v>17</v>
      </c>
      <c r="G14850" s="7">
        <v>4301132</v>
      </c>
      <c r="H14850" s="7">
        <v>2518</v>
      </c>
      <c r="I14850" s="7">
        <v>602</v>
      </c>
      <c r="J14850" s="7">
        <v>0</v>
      </c>
      <c r="K14850" s="7" t="s">
        <v>18</v>
      </c>
      <c r="L14850" s="8">
        <v>39987.315405092595</v>
      </c>
      <c r="M14850" s="9" t="s">
        <v>19</v>
      </c>
      <c r="N14850" s="9" t="s">
        <v>20</v>
      </c>
      <c r="O14850" s="6" t="str">
        <f>HYPERLINK("https://pbs.twimg.com/profile_images/962471262747529216/Uo8lOkRJ_normal.jpg","View")</f>
        <v>View</v>
      </c>
      <c r="P14850" s="7"/>
    </row>
    <row r="14851" spans="1:16">
      <c r="A14851" s="3">
        <v>44354.042002314818</v>
      </c>
      <c r="B14851" s="4" t="str">
        <f>HYPERLINK("https://twitter.com/petrogustavo","@petrogustavo")</f>
        <v>@petrogustavo</v>
      </c>
      <c r="C14851" s="5" t="s">
        <v>16</v>
      </c>
      <c r="D14851" s="5" t="s">
        <v>14305</v>
      </c>
      <c r="E14851" s="6" t="str">
        <f>HYPERLINK("https://twitter.com/petrogustavo/status/1401622541748387847","1401622541748387847")</f>
        <v>1401622541748387847</v>
      </c>
      <c r="F14851" s="7" t="s">
        <v>17</v>
      </c>
      <c r="G14851" s="7">
        <v>4301170</v>
      </c>
      <c r="H14851" s="7">
        <v>2518</v>
      </c>
      <c r="I14851" s="7">
        <v>566</v>
      </c>
      <c r="J14851" s="7">
        <v>0</v>
      </c>
      <c r="K14851" s="7" t="s">
        <v>18</v>
      </c>
      <c r="L14851" s="8">
        <v>39987.315405092595</v>
      </c>
      <c r="M14851" s="9" t="s">
        <v>19</v>
      </c>
      <c r="N14851" s="9" t="s">
        <v>20</v>
      </c>
      <c r="O14851" s="6" t="str">
        <f>HYPERLINK("https://pbs.twimg.com/profile_images/962471262747529216/Uo8lOkRJ_normal.jpg","View")</f>
        <v>View</v>
      </c>
      <c r="P14851" s="7"/>
    </row>
    <row r="14852" spans="1:16">
      <c r="A14852" s="3">
        <v>44354.042071759264</v>
      </c>
      <c r="B14852" s="4" t="str">
        <f>HYPERLINK("https://twitter.com/petrogustavo","@petrogustavo")</f>
        <v>@petrogustavo</v>
      </c>
      <c r="C14852" s="5" t="s">
        <v>16</v>
      </c>
      <c r="D14852" s="5" t="s">
        <v>14306</v>
      </c>
      <c r="E14852" s="6" t="str">
        <f>HYPERLINK("https://twitter.com/petrogustavo/status/1401622564926066697","1401622564926066697")</f>
        <v>1401622564926066697</v>
      </c>
      <c r="F14852" s="7" t="s">
        <v>17</v>
      </c>
      <c r="G14852" s="7">
        <v>4301170</v>
      </c>
      <c r="H14852" s="7">
        <v>2518</v>
      </c>
      <c r="I14852" s="7">
        <v>590</v>
      </c>
      <c r="J14852" s="7">
        <v>0</v>
      </c>
      <c r="K14852" s="7" t="s">
        <v>18</v>
      </c>
      <c r="L14852" s="8">
        <v>39987.315405092595</v>
      </c>
      <c r="M14852" s="9" t="s">
        <v>19</v>
      </c>
      <c r="N14852" s="9" t="s">
        <v>20</v>
      </c>
      <c r="O14852" s="6" t="str">
        <f>HYPERLINK("https://pbs.twimg.com/profile_images/962471262747529216/Uo8lOkRJ_normal.jpg","View")</f>
        <v>View</v>
      </c>
      <c r="P14852" s="7"/>
    </row>
    <row r="14853" spans="1:16">
      <c r="A14853" s="3">
        <v>44354.044803240744</v>
      </c>
      <c r="B14853" s="4" t="str">
        <f>HYPERLINK("https://twitter.com/petrogustavo","@petrogustavo")</f>
        <v>@petrogustavo</v>
      </c>
      <c r="C14853" s="5" t="s">
        <v>16</v>
      </c>
      <c r="D14853" s="5" t="s">
        <v>14307</v>
      </c>
      <c r="E14853" s="6" t="str">
        <f>HYPERLINK("https://twitter.com/petrogustavo/status/1401623557311025152","1401623557311025152")</f>
        <v>1401623557311025152</v>
      </c>
      <c r="F14853" s="7" t="s">
        <v>17</v>
      </c>
      <c r="G14853" s="7">
        <v>4301199</v>
      </c>
      <c r="H14853" s="7">
        <v>2518</v>
      </c>
      <c r="I14853" s="7">
        <v>503</v>
      </c>
      <c r="J14853" s="7">
        <v>1088</v>
      </c>
      <c r="K14853" s="7" t="s">
        <v>18</v>
      </c>
      <c r="L14853" s="8">
        <v>39987.315405092595</v>
      </c>
      <c r="M14853" s="9" t="s">
        <v>19</v>
      </c>
      <c r="N14853" s="9" t="s">
        <v>20</v>
      </c>
      <c r="O14853" s="6" t="str">
        <f>HYPERLINK("https://pbs.twimg.com/profile_images/962471262747529216/Uo8lOkRJ_normal.jpg","View")</f>
        <v>View</v>
      </c>
      <c r="P14853" s="7"/>
    </row>
    <row r="14854" spans="1:16">
      <c r="A14854" s="3">
        <v>44354.046655092592</v>
      </c>
      <c r="B14854" s="4" t="str">
        <f>HYPERLINK("https://twitter.com/petrogustavo","@petrogustavo")</f>
        <v>@petrogustavo</v>
      </c>
      <c r="C14854" s="5" t="s">
        <v>16</v>
      </c>
      <c r="D14854" s="5" t="s">
        <v>14308</v>
      </c>
      <c r="E14854" s="6" t="str">
        <f>HYPERLINK("https://twitter.com/petrogustavo/status/1401624225799184385","1401624225799184385")</f>
        <v>1401624225799184385</v>
      </c>
      <c r="F14854" s="7" t="s">
        <v>17</v>
      </c>
      <c r="G14854" s="7">
        <v>4301199</v>
      </c>
      <c r="H14854" s="7">
        <v>2518</v>
      </c>
      <c r="I14854" s="7">
        <v>134</v>
      </c>
      <c r="J14854" s="7">
        <v>0</v>
      </c>
      <c r="K14854" s="7" t="s">
        <v>18</v>
      </c>
      <c r="L14854" s="8">
        <v>39987.315405092595</v>
      </c>
      <c r="M14854" s="9" t="s">
        <v>19</v>
      </c>
      <c r="N14854" s="9" t="s">
        <v>20</v>
      </c>
      <c r="O14854" s="6" t="str">
        <f>HYPERLINK("https://pbs.twimg.com/profile_images/962471262747529216/Uo8lOkRJ_normal.jpg","View")</f>
        <v>View</v>
      </c>
      <c r="P14854" s="7"/>
    </row>
    <row r="14855" spans="1:16">
      <c r="A14855" s="3">
        <v>44354.049131944441</v>
      </c>
      <c r="B14855" s="4" t="str">
        <f>HYPERLINK("https://twitter.com/petrogustavo","@petrogustavo")</f>
        <v>@petrogustavo</v>
      </c>
      <c r="C14855" s="5" t="s">
        <v>16</v>
      </c>
      <c r="D14855" s="5" t="s">
        <v>14309</v>
      </c>
      <c r="E14855" s="6" t="str">
        <f>HYPERLINK("https://twitter.com/petrogustavo/status/1401625125003300865","1401625125003300865")</f>
        <v>1401625125003300865</v>
      </c>
      <c r="F14855" s="7" t="s">
        <v>17</v>
      </c>
      <c r="G14855" s="7">
        <v>4301199</v>
      </c>
      <c r="H14855" s="7">
        <v>2518</v>
      </c>
      <c r="I14855" s="7">
        <v>286</v>
      </c>
      <c r="J14855" s="7">
        <v>0</v>
      </c>
      <c r="K14855" s="7" t="s">
        <v>18</v>
      </c>
      <c r="L14855" s="8">
        <v>39987.315405092595</v>
      </c>
      <c r="M14855" s="9" t="s">
        <v>19</v>
      </c>
      <c r="N14855" s="9" t="s">
        <v>20</v>
      </c>
      <c r="O14855" s="6" t="str">
        <f>HYPERLINK("https://pbs.twimg.com/profile_images/962471262747529216/Uo8lOkRJ_normal.jpg","View")</f>
        <v>View</v>
      </c>
      <c r="P14855" s="7"/>
    </row>
    <row r="14856" spans="1:16">
      <c r="A14856" s="3">
        <v>44354.055532407408</v>
      </c>
      <c r="B14856" s="4" t="str">
        <f>HYPERLINK("https://twitter.com/petrogustavo","@petrogustavo")</f>
        <v>@petrogustavo</v>
      </c>
      <c r="C14856" s="5" t="s">
        <v>16</v>
      </c>
      <c r="D14856" s="5" t="s">
        <v>14305</v>
      </c>
      <c r="E14856" s="6" t="str">
        <f>HYPERLINK("https://twitter.com/petrogustavo/status/1401627445225299977","1401627445225299977")</f>
        <v>1401627445225299977</v>
      </c>
      <c r="F14856" s="7" t="s">
        <v>17</v>
      </c>
      <c r="G14856" s="7">
        <v>4301199</v>
      </c>
      <c r="H14856" s="7">
        <v>2518</v>
      </c>
      <c r="I14856" s="7">
        <v>600</v>
      </c>
      <c r="J14856" s="7">
        <v>0</v>
      </c>
      <c r="K14856" s="7" t="s">
        <v>18</v>
      </c>
      <c r="L14856" s="8">
        <v>39987.315405092595</v>
      </c>
      <c r="M14856" s="9" t="s">
        <v>19</v>
      </c>
      <c r="N14856" s="9" t="s">
        <v>20</v>
      </c>
      <c r="O14856" s="6" t="str">
        <f>HYPERLINK("https://pbs.twimg.com/profile_images/962471262747529216/Uo8lOkRJ_normal.jpg","View")</f>
        <v>View</v>
      </c>
      <c r="P14856" s="7"/>
    </row>
    <row r="14857" spans="1:16">
      <c r="A14857" s="3">
        <v>44354.055671296301</v>
      </c>
      <c r="B14857" s="4" t="str">
        <f>HYPERLINK("https://twitter.com/petrogustavo","@petrogustavo")</f>
        <v>@petrogustavo</v>
      </c>
      <c r="C14857" s="5" t="s">
        <v>16</v>
      </c>
      <c r="D14857" s="5" t="s">
        <v>14306</v>
      </c>
      <c r="E14857" s="6" t="str">
        <f>HYPERLINK("https://twitter.com/petrogustavo/status/1401627493191368706","1401627493191368706")</f>
        <v>1401627493191368706</v>
      </c>
      <c r="F14857" s="7" t="s">
        <v>17</v>
      </c>
      <c r="G14857" s="7">
        <v>4301199</v>
      </c>
      <c r="H14857" s="7">
        <v>2518</v>
      </c>
      <c r="I14857" s="7">
        <v>674</v>
      </c>
      <c r="J14857" s="7">
        <v>0</v>
      </c>
      <c r="K14857" s="7" t="s">
        <v>18</v>
      </c>
      <c r="L14857" s="8">
        <v>39987.315405092595</v>
      </c>
      <c r="M14857" s="9" t="s">
        <v>19</v>
      </c>
      <c r="N14857" s="9" t="s">
        <v>20</v>
      </c>
      <c r="O14857" s="6" t="str">
        <f>HYPERLINK("https://pbs.twimg.com/profile_images/962471262747529216/Uo8lOkRJ_normal.jpg","View")</f>
        <v>View</v>
      </c>
      <c r="P14857" s="7"/>
    </row>
    <row r="14858" spans="1:16">
      <c r="A14858" s="3">
        <v>44354.060289351852</v>
      </c>
      <c r="B14858" s="4" t="str">
        <f>HYPERLINK("https://twitter.com/petrogustavo","@petrogustavo")</f>
        <v>@petrogustavo</v>
      </c>
      <c r="C14858" s="5" t="s">
        <v>16</v>
      </c>
      <c r="D14858" s="5" t="s">
        <v>14310</v>
      </c>
      <c r="E14858" s="6" t="str">
        <f>HYPERLINK("https://twitter.com/petrogustavo/status/1401629167003840519","1401629167003840519")</f>
        <v>1401629167003840519</v>
      </c>
      <c r="F14858" s="7" t="s">
        <v>17</v>
      </c>
      <c r="G14858" s="7">
        <v>4301199</v>
      </c>
      <c r="H14858" s="7">
        <v>2518</v>
      </c>
      <c r="I14858" s="7">
        <v>441</v>
      </c>
      <c r="J14858" s="7">
        <v>0</v>
      </c>
      <c r="K14858" s="7" t="s">
        <v>18</v>
      </c>
      <c r="L14858" s="8">
        <v>39987.315405092595</v>
      </c>
      <c r="M14858" s="9" t="s">
        <v>19</v>
      </c>
      <c r="N14858" s="9" t="s">
        <v>20</v>
      </c>
      <c r="O14858" s="6" t="str">
        <f>HYPERLINK("https://pbs.twimg.com/profile_images/962471262747529216/Uo8lOkRJ_normal.jpg","View")</f>
        <v>View</v>
      </c>
      <c r="P14858" s="7"/>
    </row>
    <row r="14859" spans="1:16">
      <c r="A14859" s="3">
        <v>44354.069236111114</v>
      </c>
      <c r="B14859" s="4" t="str">
        <f>HYPERLINK("https://twitter.com/petrogustavo","@petrogustavo")</f>
        <v>@petrogustavo</v>
      </c>
      <c r="C14859" s="5" t="s">
        <v>16</v>
      </c>
      <c r="D14859" s="5" t="s">
        <v>14311</v>
      </c>
      <c r="E14859" s="6" t="str">
        <f>HYPERLINK("https://twitter.com/petrogustavo/status/1401632411973259264","1401632411973259264")</f>
        <v>1401632411973259264</v>
      </c>
      <c r="F14859" s="7" t="s">
        <v>17</v>
      </c>
      <c r="G14859" s="7">
        <v>4301211</v>
      </c>
      <c r="H14859" s="7">
        <v>2518</v>
      </c>
      <c r="I14859" s="7">
        <v>418</v>
      </c>
      <c r="J14859" s="7">
        <v>1890</v>
      </c>
      <c r="K14859" s="7" t="s">
        <v>18</v>
      </c>
      <c r="L14859" s="8">
        <v>39987.315405092595</v>
      </c>
      <c r="M14859" s="9" t="s">
        <v>19</v>
      </c>
      <c r="N14859" s="9" t="s">
        <v>20</v>
      </c>
      <c r="O14859" s="6" t="str">
        <f>HYPERLINK("https://pbs.twimg.com/profile_images/962471262747529216/Uo8lOkRJ_normal.jpg","View")</f>
        <v>View</v>
      </c>
      <c r="P14859" s="7"/>
    </row>
    <row r="14860" spans="1:16">
      <c r="A14860" s="3">
        <v>44354.076574074075</v>
      </c>
      <c r="B14860" s="4" t="str">
        <f>HYPERLINK("https://twitter.com/petrogustavo","@petrogustavo")</f>
        <v>@petrogustavo</v>
      </c>
      <c r="C14860" s="5" t="s">
        <v>16</v>
      </c>
      <c r="D14860" s="5" t="s">
        <v>14312</v>
      </c>
      <c r="E14860" s="6" t="str">
        <f>HYPERLINK("https://twitter.com/petrogustavo/status/1401635068473393154","1401635068473393154")</f>
        <v>1401635068473393154</v>
      </c>
      <c r="F14860" s="7" t="s">
        <v>17</v>
      </c>
      <c r="G14860" s="7">
        <v>4301211</v>
      </c>
      <c r="H14860" s="7">
        <v>2518</v>
      </c>
      <c r="I14860" s="7">
        <v>287</v>
      </c>
      <c r="J14860" s="7">
        <v>0</v>
      </c>
      <c r="K14860" s="7" t="s">
        <v>18</v>
      </c>
      <c r="L14860" s="8">
        <v>39987.315405092595</v>
      </c>
      <c r="M14860" s="9" t="s">
        <v>19</v>
      </c>
      <c r="N14860" s="9" t="s">
        <v>20</v>
      </c>
      <c r="O14860" s="6" t="str">
        <f>HYPERLINK("https://pbs.twimg.com/profile_images/962471262747529216/Uo8lOkRJ_normal.jpg","View")</f>
        <v>View</v>
      </c>
      <c r="P14860" s="7"/>
    </row>
    <row r="14861" spans="1:16">
      <c r="A14861" s="3">
        <v>44354.172291666662</v>
      </c>
      <c r="B14861" s="4" t="str">
        <f>HYPERLINK("https://twitter.com/petrogustavo","@petrogustavo")</f>
        <v>@petrogustavo</v>
      </c>
      <c r="C14861" s="5" t="s">
        <v>16</v>
      </c>
      <c r="D14861" s="5" t="s">
        <v>14313</v>
      </c>
      <c r="E14861" s="6" t="str">
        <f>HYPERLINK("https://twitter.com/petrogustavo/status/1401669757204639747","1401669757204639747")</f>
        <v>1401669757204639747</v>
      </c>
      <c r="F14861" s="7" t="s">
        <v>17</v>
      </c>
      <c r="G14861" s="7">
        <v>4301330</v>
      </c>
      <c r="H14861" s="7">
        <v>2518</v>
      </c>
      <c r="I14861" s="7">
        <v>402</v>
      </c>
      <c r="J14861" s="7">
        <v>1527</v>
      </c>
      <c r="K14861" s="7" t="s">
        <v>18</v>
      </c>
      <c r="L14861" s="8">
        <v>39987.315405092595</v>
      </c>
      <c r="M14861" s="9" t="s">
        <v>19</v>
      </c>
      <c r="N14861" s="9" t="s">
        <v>20</v>
      </c>
      <c r="O14861" s="6" t="str">
        <f>HYPERLINK("https://pbs.twimg.com/profile_images/962471262747529216/Uo8lOkRJ_normal.jpg","View")</f>
        <v>View</v>
      </c>
      <c r="P14861" s="7"/>
    </row>
    <row r="14862" spans="1:16">
      <c r="A14862" s="3">
        <v>44354.231770833328</v>
      </c>
      <c r="B14862" s="4" t="str">
        <f>HYPERLINK("https://twitter.com/petrogustavo","@petrogustavo")</f>
        <v>@petrogustavo</v>
      </c>
      <c r="C14862" s="5" t="s">
        <v>16</v>
      </c>
      <c r="D14862" s="5" t="s">
        <v>14314</v>
      </c>
      <c r="E14862" s="6" t="str">
        <f>HYPERLINK("https://twitter.com/petrogustavo/status/1401691311107809285","1401691311107809285")</f>
        <v>1401691311107809285</v>
      </c>
      <c r="F14862" s="7" t="s">
        <v>22</v>
      </c>
      <c r="G14862" s="7">
        <v>4301415</v>
      </c>
      <c r="H14862" s="7">
        <v>2518</v>
      </c>
      <c r="I14862" s="7">
        <v>171</v>
      </c>
      <c r="J14862" s="7">
        <v>423</v>
      </c>
      <c r="K14862" s="7" t="s">
        <v>18</v>
      </c>
      <c r="L14862" s="8">
        <v>39987.315405092595</v>
      </c>
      <c r="M14862" s="9" t="s">
        <v>19</v>
      </c>
      <c r="N14862" s="9" t="s">
        <v>20</v>
      </c>
      <c r="O14862" s="6" t="str">
        <f>HYPERLINK("https://pbs.twimg.com/profile_images/962471262747529216/Uo8lOkRJ_normal.jpg","View")</f>
        <v>View</v>
      </c>
      <c r="P14862" s="7"/>
    </row>
    <row r="14863" spans="1:16">
      <c r="A14863" s="3">
        <v>44354.235960648148</v>
      </c>
      <c r="B14863" s="4" t="str">
        <f>HYPERLINK("https://twitter.com/petrogustavo","@petrogustavo")</f>
        <v>@petrogustavo</v>
      </c>
      <c r="C14863" s="5" t="s">
        <v>16</v>
      </c>
      <c r="D14863" s="5" t="s">
        <v>14315</v>
      </c>
      <c r="E14863" s="6" t="str">
        <f>HYPERLINK("https://twitter.com/petrogustavo/status/1401692829886431232","1401692829886431232")</f>
        <v>1401692829886431232</v>
      </c>
      <c r="F14863" s="7" t="s">
        <v>17</v>
      </c>
      <c r="G14863" s="7">
        <v>4301415</v>
      </c>
      <c r="H14863" s="7">
        <v>2518</v>
      </c>
      <c r="I14863" s="7">
        <v>281</v>
      </c>
      <c r="J14863" s="7">
        <v>814</v>
      </c>
      <c r="K14863" s="7" t="s">
        <v>18</v>
      </c>
      <c r="L14863" s="8">
        <v>39987.315405092595</v>
      </c>
      <c r="M14863" s="9" t="s">
        <v>19</v>
      </c>
      <c r="N14863" s="9" t="s">
        <v>20</v>
      </c>
      <c r="O14863" s="6" t="str">
        <f>HYPERLINK("https://pbs.twimg.com/profile_images/962471262747529216/Uo8lOkRJ_normal.jpg","View")</f>
        <v>View</v>
      </c>
      <c r="P14863" s="7"/>
    </row>
    <row r="14864" spans="1:16">
      <c r="A14864" s="3">
        <v>44354.284166666665</v>
      </c>
      <c r="B14864" s="4" t="str">
        <f>HYPERLINK("https://twitter.com/petrogustavo","@petrogustavo")</f>
        <v>@petrogustavo</v>
      </c>
      <c r="C14864" s="5" t="s">
        <v>16</v>
      </c>
      <c r="D14864" s="5" t="s">
        <v>14316</v>
      </c>
      <c r="E14864" s="6" t="str">
        <f>HYPERLINK("https://twitter.com/petrogustavo/status/1401710298759827459","1401710298759827459")</f>
        <v>1401710298759827459</v>
      </c>
      <c r="F14864" s="7" t="s">
        <v>17</v>
      </c>
      <c r="G14864" s="7">
        <v>4301509</v>
      </c>
      <c r="H14864" s="7">
        <v>2518</v>
      </c>
      <c r="I14864" s="7">
        <v>624</v>
      </c>
      <c r="J14864" s="7">
        <v>0</v>
      </c>
      <c r="K14864" s="7" t="s">
        <v>18</v>
      </c>
      <c r="L14864" s="8">
        <v>39987.315405092595</v>
      </c>
      <c r="M14864" s="9" t="s">
        <v>19</v>
      </c>
      <c r="N14864" s="9" t="s">
        <v>20</v>
      </c>
      <c r="O14864" s="6" t="str">
        <f>HYPERLINK("https://pbs.twimg.com/profile_images/962471262747529216/Uo8lOkRJ_normal.jpg","View")</f>
        <v>View</v>
      </c>
      <c r="P14864" s="7"/>
    </row>
    <row r="14865" spans="1:16">
      <c r="A14865" s="3">
        <v>44354.349710648152</v>
      </c>
      <c r="B14865" s="4" t="str">
        <f>HYPERLINK("https://twitter.com/petrogustavo","@petrogustavo")</f>
        <v>@petrogustavo</v>
      </c>
      <c r="C14865" s="5" t="s">
        <v>16</v>
      </c>
      <c r="D14865" s="5" t="s">
        <v>14317</v>
      </c>
      <c r="E14865" s="6" t="str">
        <f>HYPERLINK("https://twitter.com/petrogustavo/status/1401734051669630977","1401734051669630977")</f>
        <v>1401734051669630977</v>
      </c>
      <c r="F14865" s="7" t="s">
        <v>32</v>
      </c>
      <c r="G14865" s="7">
        <v>4301655</v>
      </c>
      <c r="H14865" s="7">
        <v>2518</v>
      </c>
      <c r="I14865" s="7">
        <v>171</v>
      </c>
      <c r="J14865" s="7">
        <v>0</v>
      </c>
      <c r="K14865" s="7" t="s">
        <v>18</v>
      </c>
      <c r="L14865" s="8">
        <v>39987.315405092595</v>
      </c>
      <c r="M14865" s="9" t="s">
        <v>19</v>
      </c>
      <c r="N14865" s="9" t="s">
        <v>20</v>
      </c>
      <c r="O14865" s="6" t="str">
        <f>HYPERLINK("https://pbs.twimg.com/profile_images/962471262747529216/Uo8lOkRJ_normal.jpg","View")</f>
        <v>View</v>
      </c>
      <c r="P14865" s="7"/>
    </row>
    <row r="14866" spans="1:16">
      <c r="A14866" s="3">
        <v>44354.887812500005</v>
      </c>
      <c r="B14866" s="4" t="str">
        <f>HYPERLINK("https://twitter.com/petrogustavo","@petrogustavo")</f>
        <v>@petrogustavo</v>
      </c>
      <c r="C14866" s="5" t="s">
        <v>16</v>
      </c>
      <c r="D14866" s="5" t="s">
        <v>14318</v>
      </c>
      <c r="E14866" s="6" t="str">
        <f>HYPERLINK("https://twitter.com/petrogustavo/status/1401929054635311105","1401929054635311105")</f>
        <v>1401929054635311105</v>
      </c>
      <c r="F14866" s="7" t="s">
        <v>32</v>
      </c>
      <c r="G14866" s="7">
        <v>4302065</v>
      </c>
      <c r="H14866" s="7">
        <v>2518</v>
      </c>
      <c r="I14866" s="7">
        <v>97</v>
      </c>
      <c r="J14866" s="7">
        <v>422</v>
      </c>
      <c r="K14866" s="7" t="s">
        <v>18</v>
      </c>
      <c r="L14866" s="8">
        <v>39987.315405092595</v>
      </c>
      <c r="M14866" s="9" t="s">
        <v>19</v>
      </c>
      <c r="N14866" s="9" t="s">
        <v>20</v>
      </c>
      <c r="O14866" s="6" t="str">
        <f>HYPERLINK("https://pbs.twimg.com/profile_images/962471262747529216/Uo8lOkRJ_normal.jpg","View")</f>
        <v>View</v>
      </c>
      <c r="P14866" s="7"/>
    </row>
    <row r="14867" spans="1:16">
      <c r="A14867" s="3">
        <v>44354.887824074074</v>
      </c>
      <c r="B14867" s="4" t="str">
        <f>HYPERLINK("https://twitter.com/petrogustavo","@petrogustavo")</f>
        <v>@petrogustavo</v>
      </c>
      <c r="C14867" s="5" t="s">
        <v>16</v>
      </c>
      <c r="D14867" s="5" t="s">
        <v>14319</v>
      </c>
      <c r="E14867" s="6" t="str">
        <f>HYPERLINK("https://twitter.com/petrogustavo/status/1401929056304631810","1401929056304631810")</f>
        <v>1401929056304631810</v>
      </c>
      <c r="F14867" s="7" t="s">
        <v>32</v>
      </c>
      <c r="G14867" s="7">
        <v>4302065</v>
      </c>
      <c r="H14867" s="7">
        <v>2518</v>
      </c>
      <c r="I14867" s="7">
        <v>120</v>
      </c>
      <c r="J14867" s="7">
        <v>526</v>
      </c>
      <c r="K14867" s="7" t="s">
        <v>18</v>
      </c>
      <c r="L14867" s="8">
        <v>39987.315405092595</v>
      </c>
      <c r="M14867" s="9" t="s">
        <v>19</v>
      </c>
      <c r="N14867" s="9" t="s">
        <v>20</v>
      </c>
      <c r="O14867" s="6" t="str">
        <f>HYPERLINK("https://pbs.twimg.com/profile_images/962471262747529216/Uo8lOkRJ_normal.jpg","View")</f>
        <v>View</v>
      </c>
      <c r="P14867" s="7"/>
    </row>
    <row r="14868" spans="1:16">
      <c r="A14868" s="3">
        <v>44354.887824074074</v>
      </c>
      <c r="B14868" s="4" t="str">
        <f>HYPERLINK("https://twitter.com/petrogustavo","@petrogustavo")</f>
        <v>@petrogustavo</v>
      </c>
      <c r="C14868" s="5" t="s">
        <v>16</v>
      </c>
      <c r="D14868" s="5" t="s">
        <v>14320</v>
      </c>
      <c r="E14868" s="6" t="str">
        <f>HYPERLINK("https://twitter.com/petrogustavo/status/1401929058011734020","1401929058011734020")</f>
        <v>1401929058011734020</v>
      </c>
      <c r="F14868" s="7" t="s">
        <v>32</v>
      </c>
      <c r="G14868" s="7">
        <v>4302065</v>
      </c>
      <c r="H14868" s="7">
        <v>2518</v>
      </c>
      <c r="I14868" s="7">
        <v>158</v>
      </c>
      <c r="J14868" s="7">
        <v>728</v>
      </c>
      <c r="K14868" s="7" t="s">
        <v>18</v>
      </c>
      <c r="L14868" s="8">
        <v>39987.315405092595</v>
      </c>
      <c r="M14868" s="9" t="s">
        <v>19</v>
      </c>
      <c r="N14868" s="9" t="s">
        <v>20</v>
      </c>
      <c r="O14868" s="6" t="str">
        <f>HYPERLINK("https://pbs.twimg.com/profile_images/962471262747529216/Uo8lOkRJ_normal.jpg","View")</f>
        <v>View</v>
      </c>
      <c r="P14868" s="7"/>
    </row>
    <row r="14869" spans="1:16">
      <c r="A14869" s="3">
        <v>44354.938379629632</v>
      </c>
      <c r="B14869" s="4" t="str">
        <f>HYPERLINK("https://twitter.com/petrogustavo","@petrogustavo")</f>
        <v>@petrogustavo</v>
      </c>
      <c r="C14869" s="5" t="s">
        <v>16</v>
      </c>
      <c r="D14869" s="5" t="s">
        <v>14321</v>
      </c>
      <c r="E14869" s="6" t="str">
        <f>HYPERLINK("https://twitter.com/petrogustavo/status/1401947377209167878","1401947377209167878")</f>
        <v>1401947377209167878</v>
      </c>
      <c r="F14869" s="7" t="s">
        <v>17</v>
      </c>
      <c r="G14869" s="7">
        <v>4302137</v>
      </c>
      <c r="H14869" s="7">
        <v>2518</v>
      </c>
      <c r="I14869" s="7">
        <v>111</v>
      </c>
      <c r="J14869" s="7">
        <v>416</v>
      </c>
      <c r="K14869" s="7" t="s">
        <v>18</v>
      </c>
      <c r="L14869" s="8">
        <v>39987.315405092595</v>
      </c>
      <c r="M14869" s="9" t="s">
        <v>19</v>
      </c>
      <c r="N14869" s="9" t="s">
        <v>20</v>
      </c>
      <c r="O14869" s="6" t="str">
        <f>HYPERLINK("https://pbs.twimg.com/profile_images/962471262747529216/Uo8lOkRJ_normal.jpg","View")</f>
        <v>View</v>
      </c>
      <c r="P14869" s="7"/>
    </row>
    <row r="14870" spans="1:16">
      <c r="A14870" s="3">
        <v>44354.963634259257</v>
      </c>
      <c r="B14870" s="4" t="str">
        <f>HYPERLINK("https://twitter.com/petrogustavo","@petrogustavo")</f>
        <v>@petrogustavo</v>
      </c>
      <c r="C14870" s="5" t="s">
        <v>16</v>
      </c>
      <c r="D14870" s="5" t="s">
        <v>14322</v>
      </c>
      <c r="E14870" s="6" t="str">
        <f>HYPERLINK("https://twitter.com/petrogustavo/status/1401956529688002565","1401956529688002565")</f>
        <v>1401956529688002565</v>
      </c>
      <c r="F14870" s="7" t="s">
        <v>17</v>
      </c>
      <c r="G14870" s="7">
        <v>4302212</v>
      </c>
      <c r="H14870" s="7">
        <v>2519</v>
      </c>
      <c r="I14870" s="7">
        <v>248</v>
      </c>
      <c r="J14870" s="7">
        <v>821</v>
      </c>
      <c r="K14870" s="7" t="s">
        <v>18</v>
      </c>
      <c r="L14870" s="8">
        <v>39987.315405092595</v>
      </c>
      <c r="M14870" s="9" t="s">
        <v>19</v>
      </c>
      <c r="N14870" s="9" t="s">
        <v>20</v>
      </c>
      <c r="O14870" s="6" t="str">
        <f>HYPERLINK("https://pbs.twimg.com/profile_images/962471262747529216/Uo8lOkRJ_normal.jpg","View")</f>
        <v>View</v>
      </c>
      <c r="P14870" s="7"/>
    </row>
    <row r="14871" spans="1:16">
      <c r="A14871" s="3">
        <v>44354.963634259257</v>
      </c>
      <c r="B14871" s="4" t="str">
        <f>HYPERLINK("https://twitter.com/petrogustavo","@petrogustavo")</f>
        <v>@petrogustavo</v>
      </c>
      <c r="C14871" s="5" t="s">
        <v>16</v>
      </c>
      <c r="D14871" s="5" t="s">
        <v>14323</v>
      </c>
      <c r="E14871" s="6" t="str">
        <f>HYPERLINK("https://twitter.com/petrogustavo/status/1401956531323744257","1401956531323744257")</f>
        <v>1401956531323744257</v>
      </c>
      <c r="F14871" s="7" t="s">
        <v>17</v>
      </c>
      <c r="G14871" s="7">
        <v>4302212</v>
      </c>
      <c r="H14871" s="7">
        <v>2519</v>
      </c>
      <c r="I14871" s="7">
        <v>169</v>
      </c>
      <c r="J14871" s="7">
        <v>715</v>
      </c>
      <c r="K14871" s="7" t="s">
        <v>18</v>
      </c>
      <c r="L14871" s="8">
        <v>39987.315405092595</v>
      </c>
      <c r="M14871" s="9" t="s">
        <v>19</v>
      </c>
      <c r="N14871" s="9" t="s">
        <v>20</v>
      </c>
      <c r="O14871" s="6" t="str">
        <f>HYPERLINK("https://pbs.twimg.com/profile_images/962471262747529216/Uo8lOkRJ_normal.jpg","View")</f>
        <v>View</v>
      </c>
      <c r="P14871" s="7"/>
    </row>
    <row r="14872" spans="1:16">
      <c r="A14872" s="3">
        <v>44354.963645833333</v>
      </c>
      <c r="B14872" s="4" t="str">
        <f>HYPERLINK("https://twitter.com/petrogustavo","@petrogustavo")</f>
        <v>@petrogustavo</v>
      </c>
      <c r="C14872" s="5" t="s">
        <v>16</v>
      </c>
      <c r="D14872" s="5" t="s">
        <v>14324</v>
      </c>
      <c r="E14872" s="6" t="str">
        <f>HYPERLINK("https://twitter.com/petrogustavo/status/1401956532531699718","1401956532531699718")</f>
        <v>1401956532531699718</v>
      </c>
      <c r="F14872" s="7" t="s">
        <v>17</v>
      </c>
      <c r="G14872" s="7">
        <v>4302212</v>
      </c>
      <c r="H14872" s="7">
        <v>2519</v>
      </c>
      <c r="I14872" s="7">
        <v>185</v>
      </c>
      <c r="J14872" s="7">
        <v>721</v>
      </c>
      <c r="K14872" s="7" t="s">
        <v>18</v>
      </c>
      <c r="L14872" s="8">
        <v>39987.315405092595</v>
      </c>
      <c r="M14872" s="9" t="s">
        <v>19</v>
      </c>
      <c r="N14872" s="9" t="s">
        <v>20</v>
      </c>
      <c r="O14872" s="6" t="str">
        <f>HYPERLINK("https://pbs.twimg.com/profile_images/962471262747529216/Uo8lOkRJ_normal.jpg","View")</f>
        <v>View</v>
      </c>
      <c r="P14872" s="7"/>
    </row>
    <row r="14873" spans="1:16">
      <c r="A14873" s="3">
        <v>44355.003402777773</v>
      </c>
      <c r="B14873" s="4" t="str">
        <f>HYPERLINK("https://twitter.com/petrogustavo","@petrogustavo")</f>
        <v>@petrogustavo</v>
      </c>
      <c r="C14873" s="5" t="s">
        <v>16</v>
      </c>
      <c r="D14873" s="5" t="s">
        <v>14325</v>
      </c>
      <c r="E14873" s="6" t="str">
        <f>HYPERLINK("https://twitter.com/petrogustavo/status/1401970942709014531","1401970942709014531")</f>
        <v>1401970942709014531</v>
      </c>
      <c r="F14873" s="7" t="s">
        <v>17</v>
      </c>
      <c r="G14873" s="7">
        <v>4302307</v>
      </c>
      <c r="H14873" s="7">
        <v>2519</v>
      </c>
      <c r="I14873" s="7">
        <v>1780</v>
      </c>
      <c r="J14873" s="7">
        <v>7465</v>
      </c>
      <c r="K14873" s="7" t="s">
        <v>18</v>
      </c>
      <c r="L14873" s="8">
        <v>39987.315405092595</v>
      </c>
      <c r="M14873" s="9" t="s">
        <v>19</v>
      </c>
      <c r="N14873" s="9" t="s">
        <v>20</v>
      </c>
      <c r="O14873" s="6" t="str">
        <f>HYPERLINK("https://pbs.twimg.com/profile_images/962471262747529216/Uo8lOkRJ_normal.jpg","View")</f>
        <v>View</v>
      </c>
      <c r="P14873" s="7"/>
    </row>
    <row r="14874" spans="1:16">
      <c r="A14874" s="3">
        <v>44355.070115740746</v>
      </c>
      <c r="B14874" s="4" t="str">
        <f>HYPERLINK("https://twitter.com/petrogustavo","@petrogustavo")</f>
        <v>@petrogustavo</v>
      </c>
      <c r="C14874" s="5" t="s">
        <v>16</v>
      </c>
      <c r="D14874" s="5" t="s">
        <v>14326</v>
      </c>
      <c r="E14874" s="6" t="str">
        <f>HYPERLINK("https://twitter.com/petrogustavo/status/1401995116781342722","1401995116781342722")</f>
        <v>1401995116781342722</v>
      </c>
      <c r="F14874" s="7" t="s">
        <v>17</v>
      </c>
      <c r="G14874" s="7">
        <v>4302451</v>
      </c>
      <c r="H14874" s="7">
        <v>2519</v>
      </c>
      <c r="I14874" s="7">
        <v>316</v>
      </c>
      <c r="J14874" s="7">
        <v>1170</v>
      </c>
      <c r="K14874" s="7" t="s">
        <v>18</v>
      </c>
      <c r="L14874" s="8">
        <v>39987.315405092595</v>
      </c>
      <c r="M14874" s="9" t="s">
        <v>19</v>
      </c>
      <c r="N14874" s="9" t="s">
        <v>20</v>
      </c>
      <c r="O14874" s="6" t="str">
        <f>HYPERLINK("https://pbs.twimg.com/profile_images/962471262747529216/Uo8lOkRJ_normal.jpg","View")</f>
        <v>View</v>
      </c>
      <c r="P14874" s="7"/>
    </row>
    <row r="14875" spans="1:16">
      <c r="A14875" s="3">
        <v>44355.118611111116</v>
      </c>
      <c r="B14875" s="4" t="str">
        <f>HYPERLINK("https://twitter.com/petrogustavo","@petrogustavo")</f>
        <v>@petrogustavo</v>
      </c>
      <c r="C14875" s="5" t="s">
        <v>16</v>
      </c>
      <c r="D14875" s="5" t="s">
        <v>14327</v>
      </c>
      <c r="E14875" s="6" t="str">
        <f>HYPERLINK("https://twitter.com/petrogustavo/status/1402012691724705792","1402012691724705792")</f>
        <v>1402012691724705792</v>
      </c>
      <c r="F14875" s="7" t="s">
        <v>17</v>
      </c>
      <c r="G14875" s="7">
        <v>4302483</v>
      </c>
      <c r="H14875" s="7">
        <v>2519</v>
      </c>
      <c r="I14875" s="7">
        <v>4951</v>
      </c>
      <c r="J14875" s="7">
        <v>0</v>
      </c>
      <c r="K14875" s="7" t="s">
        <v>18</v>
      </c>
      <c r="L14875" s="8">
        <v>39987.315405092595</v>
      </c>
      <c r="M14875" s="9" t="s">
        <v>19</v>
      </c>
      <c r="N14875" s="9" t="s">
        <v>20</v>
      </c>
      <c r="O14875" s="6" t="str">
        <f>HYPERLINK("https://pbs.twimg.com/profile_images/962471262747529216/Uo8lOkRJ_normal.jpg","View")</f>
        <v>View</v>
      </c>
      <c r="P14875" s="7"/>
    </row>
    <row r="14876" spans="1:16">
      <c r="A14876" s="3">
        <v>44355.132349537038</v>
      </c>
      <c r="B14876" s="4" t="str">
        <f>HYPERLINK("https://twitter.com/petrogustavo","@petrogustavo")</f>
        <v>@petrogustavo</v>
      </c>
      <c r="C14876" s="5" t="s">
        <v>16</v>
      </c>
      <c r="D14876" s="5" t="s">
        <v>14328</v>
      </c>
      <c r="E14876" s="6" t="str">
        <f>HYPERLINK("https://twitter.com/petrogustavo/status/1402017669465923589","1402017669465923589")</f>
        <v>1402017669465923589</v>
      </c>
      <c r="F14876" s="7" t="s">
        <v>17</v>
      </c>
      <c r="G14876" s="7">
        <v>4302531</v>
      </c>
      <c r="H14876" s="7">
        <v>2519</v>
      </c>
      <c r="I14876" s="7">
        <v>2179</v>
      </c>
      <c r="J14876" s="7">
        <v>0</v>
      </c>
      <c r="K14876" s="7" t="s">
        <v>18</v>
      </c>
      <c r="L14876" s="8">
        <v>39987.315405092595</v>
      </c>
      <c r="M14876" s="9" t="s">
        <v>19</v>
      </c>
      <c r="N14876" s="9" t="s">
        <v>20</v>
      </c>
      <c r="O14876" s="6" t="str">
        <f>HYPERLINK("https://pbs.twimg.com/profile_images/962471262747529216/Uo8lOkRJ_normal.jpg","View")</f>
        <v>View</v>
      </c>
      <c r="P14876" s="7"/>
    </row>
    <row r="14877" spans="1:16">
      <c r="A14877" s="3">
        <v>44355.137199074074</v>
      </c>
      <c r="B14877" s="4" t="str">
        <f>HYPERLINK("https://twitter.com/petrogustavo","@petrogustavo")</f>
        <v>@petrogustavo</v>
      </c>
      <c r="C14877" s="5" t="s">
        <v>16</v>
      </c>
      <c r="D14877" s="5" t="s">
        <v>14327</v>
      </c>
      <c r="E14877" s="6" t="str">
        <f>HYPERLINK("https://twitter.com/petrogustavo/status/1402019427437223936","1402019427437223936")</f>
        <v>1402019427437223936</v>
      </c>
      <c r="F14877" s="7" t="s">
        <v>17</v>
      </c>
      <c r="G14877" s="7">
        <v>4302531</v>
      </c>
      <c r="H14877" s="7">
        <v>2519</v>
      </c>
      <c r="I14877" s="7">
        <v>5312</v>
      </c>
      <c r="J14877" s="7">
        <v>0</v>
      </c>
      <c r="K14877" s="7" t="s">
        <v>18</v>
      </c>
      <c r="L14877" s="8">
        <v>39987.315405092595</v>
      </c>
      <c r="M14877" s="9" t="s">
        <v>19</v>
      </c>
      <c r="N14877" s="9" t="s">
        <v>20</v>
      </c>
      <c r="O14877" s="6" t="str">
        <f>HYPERLINK("https://pbs.twimg.com/profile_images/962471262747529216/Uo8lOkRJ_normal.jpg","View")</f>
        <v>View</v>
      </c>
      <c r="P14877" s="7"/>
    </row>
    <row r="14878" spans="1:16">
      <c r="A14878" s="3">
        <v>44355.176701388889</v>
      </c>
      <c r="B14878" s="4" t="str">
        <f>HYPERLINK("https://twitter.com/petrogustavo","@petrogustavo")</f>
        <v>@petrogustavo</v>
      </c>
      <c r="C14878" s="5" t="s">
        <v>16</v>
      </c>
      <c r="D14878" s="5" t="s">
        <v>14329</v>
      </c>
      <c r="E14878" s="6" t="str">
        <f>HYPERLINK("https://twitter.com/petrogustavo/status/1402033741866975239","1402033741866975239")</f>
        <v>1402033741866975239</v>
      </c>
      <c r="F14878" s="7" t="s">
        <v>17</v>
      </c>
      <c r="G14878" s="7">
        <v>4302625</v>
      </c>
      <c r="H14878" s="7">
        <v>2519</v>
      </c>
      <c r="I14878" s="7">
        <v>374</v>
      </c>
      <c r="J14878" s="7">
        <v>1650</v>
      </c>
      <c r="K14878" s="7" t="s">
        <v>18</v>
      </c>
      <c r="L14878" s="8">
        <v>39987.315405092595</v>
      </c>
      <c r="M14878" s="9" t="s">
        <v>19</v>
      </c>
      <c r="N14878" s="9" t="s">
        <v>20</v>
      </c>
      <c r="O14878" s="6" t="str">
        <f>HYPERLINK("https://pbs.twimg.com/profile_images/962471262747529216/Uo8lOkRJ_normal.jpg","View")</f>
        <v>View</v>
      </c>
      <c r="P14878" s="7"/>
    </row>
    <row r="14879" spans="1:16">
      <c r="A14879" s="3">
        <v>44355.180034722223</v>
      </c>
      <c r="B14879" s="4" t="str">
        <f>HYPERLINK("https://twitter.com/petrogustavo","@petrogustavo")</f>
        <v>@petrogustavo</v>
      </c>
      <c r="C14879" s="5" t="s">
        <v>16</v>
      </c>
      <c r="D14879" s="5" t="s">
        <v>14330</v>
      </c>
      <c r="E14879" s="6" t="str">
        <f>HYPERLINK("https://twitter.com/petrogustavo/status/1402034951818821635","1402034951818821635")</f>
        <v>1402034951818821635</v>
      </c>
      <c r="F14879" s="7" t="s">
        <v>17</v>
      </c>
      <c r="G14879" s="7">
        <v>4302625</v>
      </c>
      <c r="H14879" s="7">
        <v>2519</v>
      </c>
      <c r="I14879" s="7">
        <v>205</v>
      </c>
      <c r="J14879" s="7">
        <v>367</v>
      </c>
      <c r="K14879" s="7" t="s">
        <v>18</v>
      </c>
      <c r="L14879" s="8">
        <v>39987.315405092595</v>
      </c>
      <c r="M14879" s="9" t="s">
        <v>19</v>
      </c>
      <c r="N14879" s="9" t="s">
        <v>20</v>
      </c>
      <c r="O14879" s="6" t="str">
        <f>HYPERLINK("https://pbs.twimg.com/profile_images/962471262747529216/Uo8lOkRJ_normal.jpg","View")</f>
        <v>View</v>
      </c>
      <c r="P14879" s="7"/>
    </row>
    <row r="14880" spans="1:16">
      <c r="A14880" s="3">
        <v>44355.201817129629</v>
      </c>
      <c r="B14880" s="4" t="str">
        <f>HYPERLINK("https://twitter.com/petrogustavo","@petrogustavo")</f>
        <v>@petrogustavo</v>
      </c>
      <c r="C14880" s="5" t="s">
        <v>16</v>
      </c>
      <c r="D14880" s="5" t="s">
        <v>14331</v>
      </c>
      <c r="E14880" s="6" t="str">
        <f>HYPERLINK("https://twitter.com/petrogustavo/status/1402042846123864070","1402042846123864070")</f>
        <v>1402042846123864070</v>
      </c>
      <c r="F14880" s="7" t="s">
        <v>17</v>
      </c>
      <c r="G14880" s="7">
        <v>4302661</v>
      </c>
      <c r="H14880" s="7">
        <v>2519</v>
      </c>
      <c r="I14880" s="7">
        <v>1615</v>
      </c>
      <c r="J14880" s="7">
        <v>0</v>
      </c>
      <c r="K14880" s="7" t="s">
        <v>18</v>
      </c>
      <c r="L14880" s="8">
        <v>39987.315405092595</v>
      </c>
      <c r="M14880" s="9" t="s">
        <v>19</v>
      </c>
      <c r="N14880" s="9" t="s">
        <v>20</v>
      </c>
      <c r="O14880" s="6" t="str">
        <f>HYPERLINK("https://pbs.twimg.com/profile_images/962471262747529216/Uo8lOkRJ_normal.jpg","View")</f>
        <v>View</v>
      </c>
      <c r="P14880" s="7"/>
    </row>
    <row r="14881" spans="1:16">
      <c r="A14881" s="3">
        <v>44355.202349537038</v>
      </c>
      <c r="B14881" s="4" t="str">
        <f>HYPERLINK("https://twitter.com/petrogustavo","@petrogustavo")</f>
        <v>@petrogustavo</v>
      </c>
      <c r="C14881" s="5" t="s">
        <v>16</v>
      </c>
      <c r="D14881" s="5" t="s">
        <v>14332</v>
      </c>
      <c r="E14881" s="6" t="str">
        <f>HYPERLINK("https://twitter.com/petrogustavo/status/1402043038524977156","1402043038524977156")</f>
        <v>1402043038524977156</v>
      </c>
      <c r="F14881" s="7" t="s">
        <v>17</v>
      </c>
      <c r="G14881" s="7">
        <v>4302661</v>
      </c>
      <c r="H14881" s="7">
        <v>2519</v>
      </c>
      <c r="I14881" s="7">
        <v>234</v>
      </c>
      <c r="J14881" s="7">
        <v>0</v>
      </c>
      <c r="K14881" s="7" t="s">
        <v>18</v>
      </c>
      <c r="L14881" s="8">
        <v>39987.315405092595</v>
      </c>
      <c r="M14881" s="9" t="s">
        <v>19</v>
      </c>
      <c r="N14881" s="9" t="s">
        <v>20</v>
      </c>
      <c r="O14881" s="6" t="str">
        <f>HYPERLINK("https://pbs.twimg.com/profile_images/962471262747529216/Uo8lOkRJ_normal.jpg","View")</f>
        <v>View</v>
      </c>
      <c r="P14881" s="7"/>
    </row>
    <row r="14882" spans="1:16">
      <c r="A14882" s="3">
        <v>44355.205578703702</v>
      </c>
      <c r="B14882" s="4" t="str">
        <f>HYPERLINK("https://twitter.com/petrogustavo","@petrogustavo")</f>
        <v>@petrogustavo</v>
      </c>
      <c r="C14882" s="5" t="s">
        <v>16</v>
      </c>
      <c r="D14882" s="5" t="s">
        <v>14333</v>
      </c>
      <c r="E14882" s="6" t="str">
        <f>HYPERLINK("https://twitter.com/petrogustavo/status/1402044207334932483","1402044207334932483")</f>
        <v>1402044207334932483</v>
      </c>
      <c r="F14882" s="7" t="s">
        <v>17</v>
      </c>
      <c r="G14882" s="7">
        <v>4302661</v>
      </c>
      <c r="H14882" s="7">
        <v>2519</v>
      </c>
      <c r="I14882" s="7">
        <v>956</v>
      </c>
      <c r="J14882" s="7">
        <v>0</v>
      </c>
      <c r="K14882" s="7" t="s">
        <v>18</v>
      </c>
      <c r="L14882" s="8">
        <v>39987.315405092595</v>
      </c>
      <c r="M14882" s="9" t="s">
        <v>19</v>
      </c>
      <c r="N14882" s="9" t="s">
        <v>20</v>
      </c>
      <c r="O14882" s="6" t="str">
        <f>HYPERLINK("https://pbs.twimg.com/profile_images/962471262747529216/Uo8lOkRJ_normal.jpg","View")</f>
        <v>View</v>
      </c>
      <c r="P14882" s="7"/>
    </row>
    <row r="14883" spans="1:16">
      <c r="A14883" s="3">
        <v>44355.206238425926</v>
      </c>
      <c r="B14883" s="4" t="str">
        <f>HYPERLINK("https://twitter.com/petrogustavo","@petrogustavo")</f>
        <v>@petrogustavo</v>
      </c>
      <c r="C14883" s="5" t="s">
        <v>16</v>
      </c>
      <c r="D14883" s="5" t="s">
        <v>14334</v>
      </c>
      <c r="E14883" s="6" t="str">
        <f>HYPERLINK("https://twitter.com/petrogustavo/status/1402044447110610948","1402044447110610948")</f>
        <v>1402044447110610948</v>
      </c>
      <c r="F14883" s="7" t="s">
        <v>17</v>
      </c>
      <c r="G14883" s="7">
        <v>4302661</v>
      </c>
      <c r="H14883" s="7">
        <v>2519</v>
      </c>
      <c r="I14883" s="7">
        <v>310</v>
      </c>
      <c r="J14883" s="7">
        <v>583</v>
      </c>
      <c r="K14883" s="7" t="s">
        <v>18</v>
      </c>
      <c r="L14883" s="8">
        <v>39987.315405092595</v>
      </c>
      <c r="M14883" s="9" t="s">
        <v>19</v>
      </c>
      <c r="N14883" s="9" t="s">
        <v>20</v>
      </c>
      <c r="O14883" s="6" t="str">
        <f>HYPERLINK("https://pbs.twimg.com/profile_images/962471262747529216/Uo8lOkRJ_normal.jpg","View")</f>
        <v>View</v>
      </c>
      <c r="P14883" s="7"/>
    </row>
    <row r="14884" spans="1:16">
      <c r="A14884" s="3">
        <v>44355.209594907406</v>
      </c>
      <c r="B14884" s="4" t="str">
        <f>HYPERLINK("https://twitter.com/petrogustavo","@petrogustavo")</f>
        <v>@petrogustavo</v>
      </c>
      <c r="C14884" s="5" t="s">
        <v>16</v>
      </c>
      <c r="D14884" s="5" t="s">
        <v>14335</v>
      </c>
      <c r="E14884" s="6" t="str">
        <f>HYPERLINK("https://twitter.com/petrogustavo/status/1402045662976487431","1402045662976487431")</f>
        <v>1402045662976487431</v>
      </c>
      <c r="F14884" s="7" t="s">
        <v>17</v>
      </c>
      <c r="G14884" s="7">
        <v>4302661</v>
      </c>
      <c r="H14884" s="7">
        <v>2519</v>
      </c>
      <c r="I14884" s="7">
        <v>385</v>
      </c>
      <c r="J14884" s="7">
        <v>0</v>
      </c>
      <c r="K14884" s="7" t="s">
        <v>18</v>
      </c>
      <c r="L14884" s="8">
        <v>39987.315405092595</v>
      </c>
      <c r="M14884" s="9" t="s">
        <v>19</v>
      </c>
      <c r="N14884" s="9" t="s">
        <v>20</v>
      </c>
      <c r="O14884" s="6" t="str">
        <f>HYPERLINK("https://pbs.twimg.com/profile_images/962471262747529216/Uo8lOkRJ_normal.jpg","View")</f>
        <v>View</v>
      </c>
      <c r="P14884" s="7"/>
    </row>
    <row r="14885" spans="1:16">
      <c r="A14885" s="3">
        <v>44355.209618055553</v>
      </c>
      <c r="B14885" s="4" t="str">
        <f>HYPERLINK("https://twitter.com/petrogustavo","@petrogustavo")</f>
        <v>@petrogustavo</v>
      </c>
      <c r="C14885" s="5" t="s">
        <v>16</v>
      </c>
      <c r="D14885" s="5" t="s">
        <v>14336</v>
      </c>
      <c r="E14885" s="6" t="str">
        <f>HYPERLINK("https://twitter.com/petrogustavo/status/1402045672929570816","1402045672929570816")</f>
        <v>1402045672929570816</v>
      </c>
      <c r="F14885" s="7" t="s">
        <v>17</v>
      </c>
      <c r="G14885" s="7">
        <v>4302661</v>
      </c>
      <c r="H14885" s="7">
        <v>2519</v>
      </c>
      <c r="I14885" s="7">
        <v>651</v>
      </c>
      <c r="J14885" s="7">
        <v>0</v>
      </c>
      <c r="K14885" s="7" t="s">
        <v>18</v>
      </c>
      <c r="L14885" s="8">
        <v>39987.315405092595</v>
      </c>
      <c r="M14885" s="9" t="s">
        <v>19</v>
      </c>
      <c r="N14885" s="9" t="s">
        <v>20</v>
      </c>
      <c r="O14885" s="6" t="str">
        <f>HYPERLINK("https://pbs.twimg.com/profile_images/962471262747529216/Uo8lOkRJ_normal.jpg","View")</f>
        <v>View</v>
      </c>
      <c r="P14885" s="7"/>
    </row>
    <row r="14886" spans="1:16">
      <c r="A14886" s="3">
        <v>44355.271898148145</v>
      </c>
      <c r="B14886" s="4" t="str">
        <f>HYPERLINK("https://twitter.com/petrogustavo","@petrogustavo")</f>
        <v>@petrogustavo</v>
      </c>
      <c r="C14886" s="5" t="s">
        <v>16</v>
      </c>
      <c r="D14886" s="5" t="s">
        <v>14337</v>
      </c>
      <c r="E14886" s="6" t="str">
        <f>HYPERLINK("https://twitter.com/petrogustavo/status/1402068242240258052","1402068242240258052")</f>
        <v>1402068242240258052</v>
      </c>
      <c r="F14886" s="7" t="s">
        <v>17</v>
      </c>
      <c r="G14886" s="7">
        <v>4302804</v>
      </c>
      <c r="H14886" s="7">
        <v>2519</v>
      </c>
      <c r="I14886" s="7">
        <v>139</v>
      </c>
      <c r="J14886" s="7">
        <v>0</v>
      </c>
      <c r="K14886" s="7" t="s">
        <v>18</v>
      </c>
      <c r="L14886" s="8">
        <v>39987.315405092595</v>
      </c>
      <c r="M14886" s="9" t="s">
        <v>19</v>
      </c>
      <c r="N14886" s="9" t="s">
        <v>20</v>
      </c>
      <c r="O14886" s="6" t="str">
        <f>HYPERLINK("https://pbs.twimg.com/profile_images/962471262747529216/Uo8lOkRJ_normal.jpg","View")</f>
        <v>View</v>
      </c>
      <c r="P14886" s="7"/>
    </row>
    <row r="14887" spans="1:16">
      <c r="A14887" s="3">
        <v>44355.380243055552</v>
      </c>
      <c r="B14887" s="4" t="str">
        <f>HYPERLINK("https://twitter.com/petrogustavo","@petrogustavo")</f>
        <v>@petrogustavo</v>
      </c>
      <c r="C14887" s="5" t="s">
        <v>16</v>
      </c>
      <c r="D14887" s="5" t="s">
        <v>14338</v>
      </c>
      <c r="E14887" s="6" t="str">
        <f>HYPERLINK("https://twitter.com/petrogustavo/status/1402107505518559232","1402107505518559232")</f>
        <v>1402107505518559232</v>
      </c>
      <c r="F14887" s="7" t="s">
        <v>17</v>
      </c>
      <c r="G14887" s="7">
        <v>4303010</v>
      </c>
      <c r="H14887" s="7">
        <v>2519</v>
      </c>
      <c r="I14887" s="7">
        <v>1076</v>
      </c>
      <c r="J14887" s="7">
        <v>0</v>
      </c>
      <c r="K14887" s="7" t="s">
        <v>18</v>
      </c>
      <c r="L14887" s="8">
        <v>39987.315405092595</v>
      </c>
      <c r="M14887" s="9" t="s">
        <v>19</v>
      </c>
      <c r="N14887" s="9" t="s">
        <v>20</v>
      </c>
      <c r="O14887" s="6" t="str">
        <f>HYPERLINK("https://pbs.twimg.com/profile_images/962471262747529216/Uo8lOkRJ_normal.jpg","View")</f>
        <v>View</v>
      </c>
      <c r="P14887" s="7"/>
    </row>
    <row r="14888" spans="1:16">
      <c r="A14888" s="3">
        <v>44355.387743055559</v>
      </c>
      <c r="B14888" s="4" t="str">
        <f>HYPERLINK("https://twitter.com/petrogustavo","@petrogustavo")</f>
        <v>@petrogustavo</v>
      </c>
      <c r="C14888" s="5" t="s">
        <v>16</v>
      </c>
      <c r="D14888" s="5" t="s">
        <v>14339</v>
      </c>
      <c r="E14888" s="6" t="str">
        <f>HYPERLINK("https://twitter.com/petrogustavo/status/1402110221993062401","1402110221993062401")</f>
        <v>1402110221993062401</v>
      </c>
      <c r="F14888" s="7" t="s">
        <v>17</v>
      </c>
      <c r="G14888" s="7">
        <v>4303010</v>
      </c>
      <c r="H14888" s="7">
        <v>2519</v>
      </c>
      <c r="I14888" s="7">
        <v>296</v>
      </c>
      <c r="J14888" s="7">
        <v>936</v>
      </c>
      <c r="K14888" s="7" t="s">
        <v>18</v>
      </c>
      <c r="L14888" s="8">
        <v>39987.315405092595</v>
      </c>
      <c r="M14888" s="9" t="s">
        <v>19</v>
      </c>
      <c r="N14888" s="9" t="s">
        <v>20</v>
      </c>
      <c r="O14888" s="6" t="str">
        <f>HYPERLINK("https://pbs.twimg.com/profile_images/962471262747529216/Uo8lOkRJ_normal.jpg","View")</f>
        <v>View</v>
      </c>
      <c r="P14888" s="7"/>
    </row>
    <row r="14889" spans="1:16">
      <c r="A14889" s="3">
        <v>44355.395324074074</v>
      </c>
      <c r="B14889" s="4" t="str">
        <f>HYPERLINK("https://twitter.com/petrogustavo","@petrogustavo")</f>
        <v>@petrogustavo</v>
      </c>
      <c r="C14889" s="5" t="s">
        <v>16</v>
      </c>
      <c r="D14889" s="5" t="s">
        <v>14340</v>
      </c>
      <c r="E14889" s="6" t="str">
        <f>HYPERLINK("https://twitter.com/petrogustavo/status/1402112970101071876","1402112970101071876")</f>
        <v>1402112970101071876</v>
      </c>
      <c r="F14889" s="7" t="s">
        <v>17</v>
      </c>
      <c r="G14889" s="7">
        <v>4303010</v>
      </c>
      <c r="H14889" s="7">
        <v>2519</v>
      </c>
      <c r="I14889" s="7">
        <v>31</v>
      </c>
      <c r="J14889" s="7">
        <v>132</v>
      </c>
      <c r="K14889" s="7" t="s">
        <v>18</v>
      </c>
      <c r="L14889" s="8">
        <v>39987.315405092595</v>
      </c>
      <c r="M14889" s="9" t="s">
        <v>19</v>
      </c>
      <c r="N14889" s="9" t="s">
        <v>20</v>
      </c>
      <c r="O14889" s="6" t="str">
        <f>HYPERLINK("https://pbs.twimg.com/profile_images/962471262747529216/Uo8lOkRJ_normal.jpg","View")</f>
        <v>View</v>
      </c>
      <c r="P14889" s="7"/>
    </row>
    <row r="14890" spans="1:16">
      <c r="A14890" s="3">
        <v>44355.416006944448</v>
      </c>
      <c r="B14890" s="4" t="str">
        <f>HYPERLINK("https://twitter.com/petrogustavo","@petrogustavo")</f>
        <v>@petrogustavo</v>
      </c>
      <c r="C14890" s="5" t="s">
        <v>16</v>
      </c>
      <c r="D14890" s="5" t="s">
        <v>14341</v>
      </c>
      <c r="E14890" s="6" t="str">
        <f>HYPERLINK("https://twitter.com/petrogustavo/status/1402120465653506048","1402120465653506048")</f>
        <v>1402120465653506048</v>
      </c>
      <c r="F14890" s="7" t="s">
        <v>17</v>
      </c>
      <c r="G14890" s="7">
        <v>4303053</v>
      </c>
      <c r="H14890" s="7">
        <v>2519</v>
      </c>
      <c r="I14890" s="7">
        <v>600</v>
      </c>
      <c r="J14890" s="7">
        <v>0</v>
      </c>
      <c r="K14890" s="7" t="s">
        <v>18</v>
      </c>
      <c r="L14890" s="8">
        <v>39987.315405092595</v>
      </c>
      <c r="M14890" s="9" t="s">
        <v>19</v>
      </c>
      <c r="N14890" s="9" t="s">
        <v>20</v>
      </c>
      <c r="O14890" s="6" t="str">
        <f>HYPERLINK("https://pbs.twimg.com/profile_images/962471262747529216/Uo8lOkRJ_normal.jpg","View")</f>
        <v>View</v>
      </c>
      <c r="P14890" s="7"/>
    </row>
    <row r="14891" spans="1:16">
      <c r="A14891" s="3">
        <v>44355.419432870374</v>
      </c>
      <c r="B14891" s="4" t="str">
        <f>HYPERLINK("https://twitter.com/petrogustavo","@petrogustavo")</f>
        <v>@petrogustavo</v>
      </c>
      <c r="C14891" s="5" t="s">
        <v>16</v>
      </c>
      <c r="D14891" s="5" t="s">
        <v>14342</v>
      </c>
      <c r="E14891" s="6" t="str">
        <f>HYPERLINK("https://twitter.com/petrogustavo/status/1402121704638500877","1402121704638500877")</f>
        <v>1402121704638500877</v>
      </c>
      <c r="F14891" s="7" t="s">
        <v>17</v>
      </c>
      <c r="G14891" s="7">
        <v>4303058</v>
      </c>
      <c r="H14891" s="7">
        <v>2519</v>
      </c>
      <c r="I14891" s="7">
        <v>581</v>
      </c>
      <c r="J14891" s="7">
        <v>0</v>
      </c>
      <c r="K14891" s="7" t="s">
        <v>18</v>
      </c>
      <c r="L14891" s="8">
        <v>39987.315405092595</v>
      </c>
      <c r="M14891" s="9" t="s">
        <v>19</v>
      </c>
      <c r="N14891" s="9" t="s">
        <v>20</v>
      </c>
      <c r="O14891" s="6" t="str">
        <f>HYPERLINK("https://pbs.twimg.com/profile_images/962471262747529216/Uo8lOkRJ_normal.jpg","View")</f>
        <v>View</v>
      </c>
      <c r="P14891" s="7"/>
    </row>
    <row r="14892" spans="1:16">
      <c r="A14892" s="3">
        <v>44355.42015046296</v>
      </c>
      <c r="B14892" s="4" t="str">
        <f>HYPERLINK("https://twitter.com/petrogustavo","@petrogustavo")</f>
        <v>@petrogustavo</v>
      </c>
      <c r="C14892" s="5" t="s">
        <v>16</v>
      </c>
      <c r="D14892" s="5" t="s">
        <v>14343</v>
      </c>
      <c r="E14892" s="6" t="str">
        <f>HYPERLINK("https://twitter.com/petrogustavo/status/1402121965918371842","1402121965918371842")</f>
        <v>1402121965918371842</v>
      </c>
      <c r="F14892" s="7" t="s">
        <v>17</v>
      </c>
      <c r="G14892" s="7">
        <v>4303058</v>
      </c>
      <c r="H14892" s="7">
        <v>2519</v>
      </c>
      <c r="I14892" s="7">
        <v>145</v>
      </c>
      <c r="J14892" s="7">
        <v>0</v>
      </c>
      <c r="K14892" s="7" t="s">
        <v>18</v>
      </c>
      <c r="L14892" s="8">
        <v>39987.315405092595</v>
      </c>
      <c r="M14892" s="9" t="s">
        <v>19</v>
      </c>
      <c r="N14892" s="9" t="s">
        <v>20</v>
      </c>
      <c r="O14892" s="6" t="str">
        <f>HYPERLINK("https://pbs.twimg.com/profile_images/962471262747529216/Uo8lOkRJ_normal.jpg","View")</f>
        <v>View</v>
      </c>
      <c r="P14892" s="7"/>
    </row>
    <row r="14893" spans="1:16">
      <c r="A14893" s="3">
        <v>44355.42695601852</v>
      </c>
      <c r="B14893" s="4" t="str">
        <f>HYPERLINK("https://twitter.com/petrogustavo","@petrogustavo")</f>
        <v>@petrogustavo</v>
      </c>
      <c r="C14893" s="5" t="s">
        <v>16</v>
      </c>
      <c r="D14893" s="5" t="s">
        <v>14337</v>
      </c>
      <c r="E14893" s="6" t="str">
        <f>HYPERLINK("https://twitter.com/petrogustavo/status/1402124432311730177","1402124432311730177")</f>
        <v>1402124432311730177</v>
      </c>
      <c r="F14893" s="7" t="s">
        <v>17</v>
      </c>
      <c r="G14893" s="7">
        <v>4303058</v>
      </c>
      <c r="H14893" s="7">
        <v>2519</v>
      </c>
      <c r="I14893" s="7">
        <v>1684</v>
      </c>
      <c r="J14893" s="7">
        <v>0</v>
      </c>
      <c r="K14893" s="7" t="s">
        <v>18</v>
      </c>
      <c r="L14893" s="8">
        <v>39987.315405092595</v>
      </c>
      <c r="M14893" s="9" t="s">
        <v>19</v>
      </c>
      <c r="N14893" s="9" t="s">
        <v>20</v>
      </c>
      <c r="O14893" s="6" t="str">
        <f>HYPERLINK("https://pbs.twimg.com/profile_images/962471262747529216/Uo8lOkRJ_normal.jpg","View")</f>
        <v>View</v>
      </c>
      <c r="P14893" s="7"/>
    </row>
    <row r="14894" spans="1:16">
      <c r="A14894" s="3">
        <v>44355.432766203703</v>
      </c>
      <c r="B14894" s="4" t="str">
        <f>HYPERLINK("https://twitter.com/petrogustavo","@petrogustavo")</f>
        <v>@petrogustavo</v>
      </c>
      <c r="C14894" s="5" t="s">
        <v>16</v>
      </c>
      <c r="D14894" s="5" t="s">
        <v>14327</v>
      </c>
      <c r="E14894" s="6" t="str">
        <f>HYPERLINK("https://twitter.com/petrogustavo/status/1402126538989051905","1402126538989051905")</f>
        <v>1402126538989051905</v>
      </c>
      <c r="F14894" s="7" t="s">
        <v>17</v>
      </c>
      <c r="G14894" s="7">
        <v>4303058</v>
      </c>
      <c r="H14894" s="7">
        <v>2519</v>
      </c>
      <c r="I14894" s="7">
        <v>8035</v>
      </c>
      <c r="J14894" s="7">
        <v>0</v>
      </c>
      <c r="K14894" s="7" t="s">
        <v>18</v>
      </c>
      <c r="L14894" s="8">
        <v>39987.315405092595</v>
      </c>
      <c r="M14894" s="9" t="s">
        <v>19</v>
      </c>
      <c r="N14894" s="9" t="s">
        <v>20</v>
      </c>
      <c r="O14894" s="6" t="str">
        <f>HYPERLINK("https://pbs.twimg.com/profile_images/962471262747529216/Uo8lOkRJ_normal.jpg","View")</f>
        <v>View</v>
      </c>
      <c r="P14894" s="7"/>
    </row>
    <row r="14895" spans="1:16">
      <c r="A14895" s="3">
        <v>44355.742060185185</v>
      </c>
      <c r="B14895" s="4" t="str">
        <f>HYPERLINK("https://twitter.com/petrogustavo","@petrogustavo")</f>
        <v>@petrogustavo</v>
      </c>
      <c r="C14895" s="5" t="s">
        <v>16</v>
      </c>
      <c r="D14895" s="5" t="s">
        <v>14344</v>
      </c>
      <c r="E14895" s="6" t="str">
        <f>HYPERLINK("https://twitter.com/petrogustavo/status/1402238623836250114","1402238623836250114")</f>
        <v>1402238623836250114</v>
      </c>
      <c r="F14895" s="7" t="s">
        <v>17</v>
      </c>
      <c r="G14895" s="7">
        <v>4303191</v>
      </c>
      <c r="H14895" s="7">
        <v>2519</v>
      </c>
      <c r="I14895" s="7">
        <v>299</v>
      </c>
      <c r="J14895" s="7">
        <v>747</v>
      </c>
      <c r="K14895" s="7" t="s">
        <v>18</v>
      </c>
      <c r="L14895" s="8">
        <v>39987.315405092595</v>
      </c>
      <c r="M14895" s="9" t="s">
        <v>19</v>
      </c>
      <c r="N14895" s="9" t="s">
        <v>20</v>
      </c>
      <c r="O14895" s="6" t="str">
        <f>HYPERLINK("https://pbs.twimg.com/profile_images/962471262747529216/Uo8lOkRJ_normal.jpg","View")</f>
        <v>View</v>
      </c>
      <c r="P14895" s="7"/>
    </row>
    <row r="14896" spans="1:16">
      <c r="A14896" s="3">
        <v>44355.750833333332</v>
      </c>
      <c r="B14896" s="4" t="str">
        <f>HYPERLINK("https://twitter.com/petrogustavo","@petrogustavo")</f>
        <v>@petrogustavo</v>
      </c>
      <c r="C14896" s="5" t="s">
        <v>16</v>
      </c>
      <c r="D14896" s="5" t="s">
        <v>14345</v>
      </c>
      <c r="E14896" s="6" t="str">
        <f>HYPERLINK("https://twitter.com/petrogustavo/status/1402241799587090434","1402241799587090434")</f>
        <v>1402241799587090434</v>
      </c>
      <c r="F14896" s="7" t="s">
        <v>17</v>
      </c>
      <c r="G14896" s="7">
        <v>4303191</v>
      </c>
      <c r="H14896" s="7">
        <v>2519</v>
      </c>
      <c r="I14896" s="7">
        <v>4</v>
      </c>
      <c r="J14896" s="7">
        <v>5</v>
      </c>
      <c r="K14896" s="7" t="s">
        <v>18</v>
      </c>
      <c r="L14896" s="8">
        <v>39987.315405092595</v>
      </c>
      <c r="M14896" s="9" t="s">
        <v>19</v>
      </c>
      <c r="N14896" s="9" t="s">
        <v>20</v>
      </c>
      <c r="O14896" s="6" t="str">
        <f>HYPERLINK("https://pbs.twimg.com/profile_images/962471262747529216/Uo8lOkRJ_normal.jpg","View")</f>
        <v>View</v>
      </c>
      <c r="P14896" s="7"/>
    </row>
    <row r="14897" spans="1:16">
      <c r="A14897" s="3">
        <v>44355.750833333332</v>
      </c>
      <c r="B14897" s="4" t="str">
        <f>HYPERLINK("https://twitter.com/petrogustavo","@petrogustavo")</f>
        <v>@petrogustavo</v>
      </c>
      <c r="C14897" s="5" t="s">
        <v>16</v>
      </c>
      <c r="D14897" s="5" t="s">
        <v>14346</v>
      </c>
      <c r="E14897" s="6" t="str">
        <f>HYPERLINK("https://twitter.com/petrogustavo/status/1402241800677511176","1402241800677511176")</f>
        <v>1402241800677511176</v>
      </c>
      <c r="F14897" s="7" t="s">
        <v>17</v>
      </c>
      <c r="G14897" s="7">
        <v>4303191</v>
      </c>
      <c r="H14897" s="7">
        <v>2519</v>
      </c>
      <c r="I14897" s="7">
        <v>7</v>
      </c>
      <c r="J14897" s="7">
        <v>17</v>
      </c>
      <c r="K14897" s="7" t="s">
        <v>18</v>
      </c>
      <c r="L14897" s="8">
        <v>39987.315405092595</v>
      </c>
      <c r="M14897" s="9" t="s">
        <v>19</v>
      </c>
      <c r="N14897" s="9" t="s">
        <v>20</v>
      </c>
      <c r="O14897" s="6" t="str">
        <f>HYPERLINK("https://pbs.twimg.com/profile_images/962471262747529216/Uo8lOkRJ_normal.jpg","View")</f>
        <v>View</v>
      </c>
      <c r="P14897" s="7"/>
    </row>
    <row r="14898" spans="1:16">
      <c r="A14898" s="3">
        <v>44355.750833333332</v>
      </c>
      <c r="B14898" s="4" t="str">
        <f>HYPERLINK("https://twitter.com/petrogustavo","@petrogustavo")</f>
        <v>@petrogustavo</v>
      </c>
      <c r="C14898" s="5" t="s">
        <v>16</v>
      </c>
      <c r="D14898" s="5" t="s">
        <v>14347</v>
      </c>
      <c r="E14898" s="6" t="str">
        <f>HYPERLINK("https://twitter.com/petrogustavo/status/1402241801826848768","1402241801826848768")</f>
        <v>1402241801826848768</v>
      </c>
      <c r="F14898" s="7" t="s">
        <v>17</v>
      </c>
      <c r="G14898" s="7">
        <v>4303191</v>
      </c>
      <c r="H14898" s="7">
        <v>2519</v>
      </c>
      <c r="I14898" s="7">
        <v>6</v>
      </c>
      <c r="J14898" s="7">
        <v>11</v>
      </c>
      <c r="K14898" s="7" t="s">
        <v>18</v>
      </c>
      <c r="L14898" s="8">
        <v>39987.315405092595</v>
      </c>
      <c r="M14898" s="9" t="s">
        <v>19</v>
      </c>
      <c r="N14898" s="9" t="s">
        <v>20</v>
      </c>
      <c r="O14898" s="6" t="str">
        <f>HYPERLINK("https://pbs.twimg.com/profile_images/962471262747529216/Uo8lOkRJ_normal.jpg","View")</f>
        <v>View</v>
      </c>
      <c r="P14898" s="7"/>
    </row>
    <row r="14899" spans="1:16">
      <c r="A14899" s="3">
        <v>44355.836435185185</v>
      </c>
      <c r="B14899" s="4" t="str">
        <f>HYPERLINK("https://twitter.com/petrogustavo","@petrogustavo")</f>
        <v>@petrogustavo</v>
      </c>
      <c r="C14899" s="5" t="s">
        <v>16</v>
      </c>
      <c r="D14899" s="5" t="s">
        <v>14348</v>
      </c>
      <c r="E14899" s="6" t="str">
        <f>HYPERLINK("https://twitter.com/petrogustavo/status/1402272824228732938","1402272824228732938")</f>
        <v>1402272824228732938</v>
      </c>
      <c r="F14899" s="7" t="s">
        <v>17</v>
      </c>
      <c r="G14899" s="7">
        <v>4303370</v>
      </c>
      <c r="H14899" s="7">
        <v>2519</v>
      </c>
      <c r="I14899" s="7">
        <v>629</v>
      </c>
      <c r="J14899" s="7">
        <v>0</v>
      </c>
      <c r="K14899" s="7" t="s">
        <v>18</v>
      </c>
      <c r="L14899" s="8">
        <v>39987.315405092595</v>
      </c>
      <c r="M14899" s="9" t="s">
        <v>19</v>
      </c>
      <c r="N14899" s="9" t="s">
        <v>20</v>
      </c>
      <c r="O14899" s="6" t="str">
        <f>HYPERLINK("https://pbs.twimg.com/profile_images/962471262747529216/Uo8lOkRJ_normal.jpg","View")</f>
        <v>View</v>
      </c>
      <c r="P14899" s="7"/>
    </row>
    <row r="14900" spans="1:16">
      <c r="A14900" s="3">
        <v>44355.841550925921</v>
      </c>
      <c r="B14900" s="4" t="str">
        <f>HYPERLINK("https://twitter.com/petrogustavo","@petrogustavo")</f>
        <v>@petrogustavo</v>
      </c>
      <c r="C14900" s="5" t="s">
        <v>16</v>
      </c>
      <c r="D14900" s="5" t="s">
        <v>14349</v>
      </c>
      <c r="E14900" s="6" t="str">
        <f>HYPERLINK("https://twitter.com/petrogustavo/status/1402274676504764425","1402274676504764425")</f>
        <v>1402274676504764425</v>
      </c>
      <c r="F14900" s="7" t="s">
        <v>17</v>
      </c>
      <c r="G14900" s="7">
        <v>4303370</v>
      </c>
      <c r="H14900" s="7">
        <v>2519</v>
      </c>
      <c r="I14900" s="7">
        <v>477</v>
      </c>
      <c r="J14900" s="7">
        <v>0</v>
      </c>
      <c r="K14900" s="7" t="s">
        <v>18</v>
      </c>
      <c r="L14900" s="8">
        <v>39987.315405092595</v>
      </c>
      <c r="M14900" s="9" t="s">
        <v>19</v>
      </c>
      <c r="N14900" s="9" t="s">
        <v>20</v>
      </c>
      <c r="O14900" s="6" t="str">
        <f>HYPERLINK("https://pbs.twimg.com/profile_images/962471262747529216/Uo8lOkRJ_normal.jpg","View")</f>
        <v>View</v>
      </c>
      <c r="P14900" s="7"/>
    </row>
    <row r="14901" spans="1:16">
      <c r="A14901" s="3">
        <v>44355.843287037038</v>
      </c>
      <c r="B14901" s="4" t="str">
        <f>HYPERLINK("https://twitter.com/petrogustavo","@petrogustavo")</f>
        <v>@petrogustavo</v>
      </c>
      <c r="C14901" s="5" t="s">
        <v>16</v>
      </c>
      <c r="D14901" s="5" t="s">
        <v>14350</v>
      </c>
      <c r="E14901" s="6" t="str">
        <f>HYPERLINK("https://twitter.com/petrogustavo/status/1402275304702459907","1402275304702459907")</f>
        <v>1402275304702459907</v>
      </c>
      <c r="F14901" s="7" t="s">
        <v>17</v>
      </c>
      <c r="G14901" s="7">
        <v>4303370</v>
      </c>
      <c r="H14901" s="7">
        <v>2519</v>
      </c>
      <c r="I14901" s="7">
        <v>195</v>
      </c>
      <c r="J14901" s="7">
        <v>659</v>
      </c>
      <c r="K14901" s="7" t="s">
        <v>18</v>
      </c>
      <c r="L14901" s="8">
        <v>39987.315405092595</v>
      </c>
      <c r="M14901" s="9" t="s">
        <v>19</v>
      </c>
      <c r="N14901" s="9" t="s">
        <v>20</v>
      </c>
      <c r="O14901" s="6" t="str">
        <f>HYPERLINK("https://pbs.twimg.com/profile_images/962471262747529216/Uo8lOkRJ_normal.jpg","View")</f>
        <v>View</v>
      </c>
      <c r="P14901" s="7"/>
    </row>
    <row r="14902" spans="1:16">
      <c r="A14902" s="3">
        <v>44355.844861111109</v>
      </c>
      <c r="B14902" s="4" t="str">
        <f>HYPERLINK("https://twitter.com/petrogustavo","@petrogustavo")</f>
        <v>@petrogustavo</v>
      </c>
      <c r="C14902" s="5" t="s">
        <v>16</v>
      </c>
      <c r="D14902" s="5" t="s">
        <v>14351</v>
      </c>
      <c r="E14902" s="6" t="str">
        <f>HYPERLINK("https://twitter.com/petrogustavo/status/1402275877916905475","1402275877916905475")</f>
        <v>1402275877916905475</v>
      </c>
      <c r="F14902" s="7" t="s">
        <v>17</v>
      </c>
      <c r="G14902" s="7">
        <v>4303370</v>
      </c>
      <c r="H14902" s="7">
        <v>2519</v>
      </c>
      <c r="I14902" s="7">
        <v>104</v>
      </c>
      <c r="J14902" s="7">
        <v>386</v>
      </c>
      <c r="K14902" s="7" t="s">
        <v>18</v>
      </c>
      <c r="L14902" s="8">
        <v>39987.315405092595</v>
      </c>
      <c r="M14902" s="9" t="s">
        <v>19</v>
      </c>
      <c r="N14902" s="9" t="s">
        <v>20</v>
      </c>
      <c r="O14902" s="6" t="str">
        <f>HYPERLINK("https://pbs.twimg.com/profile_images/962471262747529216/Uo8lOkRJ_normal.jpg","View")</f>
        <v>View</v>
      </c>
      <c r="P14902" s="7"/>
    </row>
    <row r="14903" spans="1:16">
      <c r="A14903" s="3">
        <v>44355.908599537041</v>
      </c>
      <c r="B14903" s="4" t="str">
        <f>HYPERLINK("https://twitter.com/petrogustavo","@petrogustavo")</f>
        <v>@petrogustavo</v>
      </c>
      <c r="C14903" s="5" t="s">
        <v>16</v>
      </c>
      <c r="D14903" s="5" t="s">
        <v>14352</v>
      </c>
      <c r="E14903" s="6" t="str">
        <f>HYPERLINK("https://twitter.com/petrogustavo/status/1402298974917337090","1402298974917337090")</f>
        <v>1402298974917337090</v>
      </c>
      <c r="F14903" s="7" t="s">
        <v>17</v>
      </c>
      <c r="G14903" s="7">
        <v>4303475</v>
      </c>
      <c r="H14903" s="7">
        <v>2519</v>
      </c>
      <c r="I14903" s="7">
        <v>184</v>
      </c>
      <c r="J14903" s="7">
        <v>641</v>
      </c>
      <c r="K14903" s="7" t="s">
        <v>18</v>
      </c>
      <c r="L14903" s="8">
        <v>39987.315405092595</v>
      </c>
      <c r="M14903" s="9" t="s">
        <v>19</v>
      </c>
      <c r="N14903" s="9" t="s">
        <v>20</v>
      </c>
      <c r="O14903" s="6" t="str">
        <f>HYPERLINK("https://pbs.twimg.com/profile_images/962471262747529216/Uo8lOkRJ_normal.jpg","View")</f>
        <v>View</v>
      </c>
      <c r="P14903" s="7"/>
    </row>
    <row r="14904" spans="1:16">
      <c r="A14904" s="3">
        <v>44355.90861111111</v>
      </c>
      <c r="B14904" s="4" t="str">
        <f>HYPERLINK("https://twitter.com/petrogustavo","@petrogustavo")</f>
        <v>@petrogustavo</v>
      </c>
      <c r="C14904" s="5" t="s">
        <v>16</v>
      </c>
      <c r="D14904" s="5" t="s">
        <v>14353</v>
      </c>
      <c r="E14904" s="6" t="str">
        <f>HYPERLINK("https://twitter.com/petrogustavo/status/1402298976448258056","1402298976448258056")</f>
        <v>1402298976448258056</v>
      </c>
      <c r="F14904" s="7" t="s">
        <v>17</v>
      </c>
      <c r="G14904" s="7">
        <v>4303475</v>
      </c>
      <c r="H14904" s="7">
        <v>2519</v>
      </c>
      <c r="I14904" s="7">
        <v>105</v>
      </c>
      <c r="J14904" s="7">
        <v>553</v>
      </c>
      <c r="K14904" s="7" t="s">
        <v>18</v>
      </c>
      <c r="L14904" s="8">
        <v>39987.315405092595</v>
      </c>
      <c r="M14904" s="9" t="s">
        <v>19</v>
      </c>
      <c r="N14904" s="9" t="s">
        <v>20</v>
      </c>
      <c r="O14904" s="6" t="str">
        <f>HYPERLINK("https://pbs.twimg.com/profile_images/962471262747529216/Uo8lOkRJ_normal.jpg","View")</f>
        <v>View</v>
      </c>
      <c r="P14904" s="7"/>
    </row>
    <row r="14905" spans="1:16">
      <c r="A14905" s="3">
        <v>44356.185092592597</v>
      </c>
      <c r="B14905" s="4" t="str">
        <f>HYPERLINK("https://twitter.com/petrogustavo","@petrogustavo")</f>
        <v>@petrogustavo</v>
      </c>
      <c r="C14905" s="5" t="s">
        <v>16</v>
      </c>
      <c r="D14905" s="5" t="s">
        <v>14354</v>
      </c>
      <c r="E14905" s="6" t="str">
        <f>HYPERLINK("https://twitter.com/petrogustavo/status/1402399173736075265","1402399173736075265")</f>
        <v>1402399173736075265</v>
      </c>
      <c r="F14905" s="7" t="s">
        <v>17</v>
      </c>
      <c r="G14905" s="7">
        <v>4303852</v>
      </c>
      <c r="H14905" s="7">
        <v>2520</v>
      </c>
      <c r="I14905" s="7">
        <v>133</v>
      </c>
      <c r="J14905" s="7">
        <v>0</v>
      </c>
      <c r="K14905" s="7" t="s">
        <v>18</v>
      </c>
      <c r="L14905" s="8">
        <v>39987.315405092595</v>
      </c>
      <c r="M14905" s="9" t="s">
        <v>19</v>
      </c>
      <c r="N14905" s="9" t="s">
        <v>20</v>
      </c>
      <c r="O14905" s="6" t="str">
        <f>HYPERLINK("https://pbs.twimg.com/profile_images/962471262747529216/Uo8lOkRJ_normal.jpg","View")</f>
        <v>View</v>
      </c>
      <c r="P14905" s="7"/>
    </row>
    <row r="14906" spans="1:16">
      <c r="A14906" s="3">
        <v>44356.807025462964</v>
      </c>
      <c r="B14906" s="4" t="str">
        <f>HYPERLINK("https://twitter.com/petrogustavo","@petrogustavo")</f>
        <v>@petrogustavo</v>
      </c>
      <c r="C14906" s="5" t="s">
        <v>16</v>
      </c>
      <c r="D14906" s="5" t="s">
        <v>14355</v>
      </c>
      <c r="E14906" s="6" t="str">
        <f>HYPERLINK("https://twitter.com/petrogustavo/status/1402624551477989377","1402624551477989377")</f>
        <v>1402624551477989377</v>
      </c>
      <c r="F14906" s="7" t="s">
        <v>17</v>
      </c>
      <c r="G14906" s="7">
        <v>4304301</v>
      </c>
      <c r="H14906" s="7">
        <v>2519</v>
      </c>
      <c r="I14906" s="7">
        <v>520</v>
      </c>
      <c r="J14906" s="7">
        <v>0</v>
      </c>
      <c r="K14906" s="7" t="s">
        <v>18</v>
      </c>
      <c r="L14906" s="8">
        <v>39987.315405092595</v>
      </c>
      <c r="M14906" s="9" t="s">
        <v>19</v>
      </c>
      <c r="N14906" s="9" t="s">
        <v>20</v>
      </c>
      <c r="O14906" s="6" t="str">
        <f>HYPERLINK("https://pbs.twimg.com/profile_images/962471262747529216/Uo8lOkRJ_normal.jpg","View")</f>
        <v>View</v>
      </c>
      <c r="P14906" s="7"/>
    </row>
    <row r="14907" spans="1:16">
      <c r="A14907" s="3">
        <v>44356.807372685187</v>
      </c>
      <c r="B14907" s="4" t="str">
        <f>HYPERLINK("https://twitter.com/petrogustavo","@petrogustavo")</f>
        <v>@petrogustavo</v>
      </c>
      <c r="C14907" s="5" t="s">
        <v>16</v>
      </c>
      <c r="D14907" s="5" t="s">
        <v>14356</v>
      </c>
      <c r="E14907" s="6" t="str">
        <f>HYPERLINK("https://twitter.com/petrogustavo/status/1402624678020198403","1402624678020198403")</f>
        <v>1402624678020198403</v>
      </c>
      <c r="F14907" s="7" t="s">
        <v>17</v>
      </c>
      <c r="G14907" s="7">
        <v>4304301</v>
      </c>
      <c r="H14907" s="7">
        <v>2519</v>
      </c>
      <c r="I14907" s="7">
        <v>415</v>
      </c>
      <c r="J14907" s="7">
        <v>0</v>
      </c>
      <c r="K14907" s="7" t="s">
        <v>18</v>
      </c>
      <c r="L14907" s="8">
        <v>39987.315405092595</v>
      </c>
      <c r="M14907" s="9" t="s">
        <v>19</v>
      </c>
      <c r="N14907" s="9" t="s">
        <v>20</v>
      </c>
      <c r="O14907" s="6" t="str">
        <f>HYPERLINK("https://pbs.twimg.com/profile_images/962471262747529216/Uo8lOkRJ_normal.jpg","View")</f>
        <v>View</v>
      </c>
      <c r="P14907" s="7"/>
    </row>
    <row r="14908" spans="1:16">
      <c r="A14908" s="3">
        <v>44356.808240740742</v>
      </c>
      <c r="B14908" s="4" t="str">
        <f>HYPERLINK("https://twitter.com/petrogustavo","@petrogustavo")</f>
        <v>@petrogustavo</v>
      </c>
      <c r="C14908" s="5" t="s">
        <v>16</v>
      </c>
      <c r="D14908" s="5" t="s">
        <v>14357</v>
      </c>
      <c r="E14908" s="6" t="str">
        <f>HYPERLINK("https://twitter.com/petrogustavo/status/1402624994480431112","1402624994480431112")</f>
        <v>1402624994480431112</v>
      </c>
      <c r="F14908" s="7" t="s">
        <v>17</v>
      </c>
      <c r="G14908" s="7">
        <v>4304301</v>
      </c>
      <c r="H14908" s="7">
        <v>2519</v>
      </c>
      <c r="I14908" s="7">
        <v>192</v>
      </c>
      <c r="J14908" s="7">
        <v>0</v>
      </c>
      <c r="K14908" s="7" t="s">
        <v>18</v>
      </c>
      <c r="L14908" s="8">
        <v>39987.315405092595</v>
      </c>
      <c r="M14908" s="9" t="s">
        <v>19</v>
      </c>
      <c r="N14908" s="9" t="s">
        <v>20</v>
      </c>
      <c r="O14908" s="6" t="str">
        <f>HYPERLINK("https://pbs.twimg.com/profile_images/962471262747529216/Uo8lOkRJ_normal.jpg","View")</f>
        <v>View</v>
      </c>
      <c r="P14908" s="7"/>
    </row>
    <row r="14909" spans="1:16">
      <c r="A14909" s="3">
        <v>44356.808981481481</v>
      </c>
      <c r="B14909" s="4" t="str">
        <f>HYPERLINK("https://twitter.com/petrogustavo","@petrogustavo")</f>
        <v>@petrogustavo</v>
      </c>
      <c r="C14909" s="5" t="s">
        <v>16</v>
      </c>
      <c r="D14909" s="5" t="s">
        <v>14358</v>
      </c>
      <c r="E14909" s="6" t="str">
        <f>HYPERLINK("https://twitter.com/petrogustavo/status/1402625261091315714","1402625261091315714")</f>
        <v>1402625261091315714</v>
      </c>
      <c r="F14909" s="7" t="s">
        <v>17</v>
      </c>
      <c r="G14909" s="7">
        <v>4304301</v>
      </c>
      <c r="H14909" s="7">
        <v>2519</v>
      </c>
      <c r="I14909" s="7">
        <v>119</v>
      </c>
      <c r="J14909" s="7">
        <v>0</v>
      </c>
      <c r="K14909" s="7" t="s">
        <v>18</v>
      </c>
      <c r="L14909" s="8">
        <v>39987.315405092595</v>
      </c>
      <c r="M14909" s="9" t="s">
        <v>19</v>
      </c>
      <c r="N14909" s="9" t="s">
        <v>20</v>
      </c>
      <c r="O14909" s="6" t="str">
        <f>HYPERLINK("https://pbs.twimg.com/profile_images/962471262747529216/Uo8lOkRJ_normal.jpg","View")</f>
        <v>View</v>
      </c>
      <c r="P14909" s="7"/>
    </row>
    <row r="14910" spans="1:16">
      <c r="A14910" s="3">
        <v>44356.809687500005</v>
      </c>
      <c r="B14910" s="4" t="str">
        <f>HYPERLINK("https://twitter.com/petrogustavo","@petrogustavo")</f>
        <v>@petrogustavo</v>
      </c>
      <c r="C14910" s="5" t="s">
        <v>16</v>
      </c>
      <c r="D14910" s="5" t="s">
        <v>14359</v>
      </c>
      <c r="E14910" s="6" t="str">
        <f>HYPERLINK("https://twitter.com/petrogustavo/status/1402625516507631619","1402625516507631619")</f>
        <v>1402625516507631619</v>
      </c>
      <c r="F14910" s="7" t="s">
        <v>17</v>
      </c>
      <c r="G14910" s="7">
        <v>4304301</v>
      </c>
      <c r="H14910" s="7">
        <v>2519</v>
      </c>
      <c r="I14910" s="7">
        <v>133</v>
      </c>
      <c r="J14910" s="7">
        <v>0</v>
      </c>
      <c r="K14910" s="7" t="s">
        <v>18</v>
      </c>
      <c r="L14910" s="8">
        <v>39987.315405092595</v>
      </c>
      <c r="M14910" s="9" t="s">
        <v>19</v>
      </c>
      <c r="N14910" s="9" t="s">
        <v>20</v>
      </c>
      <c r="O14910" s="6" t="str">
        <f>HYPERLINK("https://pbs.twimg.com/profile_images/962471262747529216/Uo8lOkRJ_normal.jpg","View")</f>
        <v>View</v>
      </c>
      <c r="P14910" s="7"/>
    </row>
    <row r="14911" spans="1:16">
      <c r="A14911" s="3">
        <v>44356.811423611114</v>
      </c>
      <c r="B14911" s="4" t="str">
        <f>HYPERLINK("https://twitter.com/petrogustavo","@petrogustavo")</f>
        <v>@petrogustavo</v>
      </c>
      <c r="C14911" s="5" t="s">
        <v>16</v>
      </c>
      <c r="D14911" s="5" t="s">
        <v>14360</v>
      </c>
      <c r="E14911" s="6" t="str">
        <f>HYPERLINK("https://twitter.com/petrogustavo/status/1402626145565216774","1402626145565216774")</f>
        <v>1402626145565216774</v>
      </c>
      <c r="F14911" s="7" t="s">
        <v>17</v>
      </c>
      <c r="G14911" s="7">
        <v>4304301</v>
      </c>
      <c r="H14911" s="7">
        <v>2519</v>
      </c>
      <c r="I14911" s="7">
        <v>46</v>
      </c>
      <c r="J14911" s="7">
        <v>0</v>
      </c>
      <c r="K14911" s="7" t="s">
        <v>18</v>
      </c>
      <c r="L14911" s="8">
        <v>39987.315405092595</v>
      </c>
      <c r="M14911" s="9" t="s">
        <v>19</v>
      </c>
      <c r="N14911" s="9" t="s">
        <v>20</v>
      </c>
      <c r="O14911" s="6" t="str">
        <f>HYPERLINK("https://pbs.twimg.com/profile_images/962471262747529216/Uo8lOkRJ_normal.jpg","View")</f>
        <v>View</v>
      </c>
      <c r="P14911" s="7"/>
    </row>
    <row r="14912" spans="1:16">
      <c r="A14912" s="3">
        <v>44356.818819444445</v>
      </c>
      <c r="B14912" s="4" t="str">
        <f>HYPERLINK("https://twitter.com/petrogustavo","@petrogustavo")</f>
        <v>@petrogustavo</v>
      </c>
      <c r="C14912" s="5" t="s">
        <v>16</v>
      </c>
      <c r="D14912" s="5" t="s">
        <v>14361</v>
      </c>
      <c r="E14912" s="6" t="str">
        <f>HYPERLINK("https://twitter.com/petrogustavo/status/1402628828338561024","1402628828338561024")</f>
        <v>1402628828338561024</v>
      </c>
      <c r="F14912" s="7" t="s">
        <v>17</v>
      </c>
      <c r="G14912" s="7">
        <v>4304343</v>
      </c>
      <c r="H14912" s="7">
        <v>2519</v>
      </c>
      <c r="I14912" s="7">
        <v>167</v>
      </c>
      <c r="J14912" s="7">
        <v>648</v>
      </c>
      <c r="K14912" s="7" t="s">
        <v>18</v>
      </c>
      <c r="L14912" s="8">
        <v>39987.315405092595</v>
      </c>
      <c r="M14912" s="9" t="s">
        <v>19</v>
      </c>
      <c r="N14912" s="9" t="s">
        <v>20</v>
      </c>
      <c r="O14912" s="6" t="str">
        <f>HYPERLINK("https://pbs.twimg.com/profile_images/962471262747529216/Uo8lOkRJ_normal.jpg","View")</f>
        <v>View</v>
      </c>
      <c r="P14912" s="7"/>
    </row>
    <row r="14913" spans="1:16">
      <c r="A14913" s="3">
        <v>44356.881631944445</v>
      </c>
      <c r="B14913" s="4" t="str">
        <f>HYPERLINK("https://twitter.com/petrogustavo","@petrogustavo")</f>
        <v>@petrogustavo</v>
      </c>
      <c r="C14913" s="5" t="s">
        <v>16</v>
      </c>
      <c r="D14913" s="5" t="s">
        <v>14362</v>
      </c>
      <c r="E14913" s="6" t="str">
        <f>HYPERLINK("https://twitter.com/petrogustavo/status/1402651589509357569","1402651589509357569")</f>
        <v>1402651589509357569</v>
      </c>
      <c r="F14913" s="7" t="s">
        <v>21</v>
      </c>
      <c r="G14913" s="7">
        <v>4304391</v>
      </c>
      <c r="H14913" s="7">
        <v>2519</v>
      </c>
      <c r="I14913" s="7">
        <v>951</v>
      </c>
      <c r="J14913" s="7">
        <v>1896</v>
      </c>
      <c r="K14913" s="7" t="s">
        <v>18</v>
      </c>
      <c r="L14913" s="8">
        <v>39987.315405092595</v>
      </c>
      <c r="M14913" s="9" t="s">
        <v>19</v>
      </c>
      <c r="N14913" s="9" t="s">
        <v>20</v>
      </c>
      <c r="O14913" s="6" t="str">
        <f>HYPERLINK("https://pbs.twimg.com/profile_images/962471262747529216/Uo8lOkRJ_normal.jpg","View")</f>
        <v>View</v>
      </c>
      <c r="P14913" s="7"/>
    </row>
    <row r="14914" spans="1:16">
      <c r="A14914" s="3">
        <v>44357.246041666665</v>
      </c>
      <c r="B14914" s="4" t="str">
        <f>HYPERLINK("https://twitter.com/petrogustavo","@petrogustavo")</f>
        <v>@petrogustavo</v>
      </c>
      <c r="C14914" s="5" t="s">
        <v>16</v>
      </c>
      <c r="D14914" s="5" t="s">
        <v>14363</v>
      </c>
      <c r="E14914" s="6" t="str">
        <f>HYPERLINK("https://twitter.com/petrogustavo/status/1402783646289891328","1402783646289891328")</f>
        <v>1402783646289891328</v>
      </c>
      <c r="F14914" s="7" t="s">
        <v>17</v>
      </c>
      <c r="G14914" s="7">
        <v>4304307</v>
      </c>
      <c r="H14914" s="7">
        <v>2519</v>
      </c>
      <c r="I14914" s="7">
        <v>8512</v>
      </c>
      <c r="J14914" s="7">
        <v>0</v>
      </c>
      <c r="K14914" s="7" t="s">
        <v>18</v>
      </c>
      <c r="L14914" s="8">
        <v>39987.315405092595</v>
      </c>
      <c r="M14914" s="9" t="s">
        <v>19</v>
      </c>
      <c r="N14914" s="9" t="s">
        <v>20</v>
      </c>
      <c r="O14914" s="6" t="str">
        <f>HYPERLINK("https://pbs.twimg.com/profile_images/962471262747529216/Uo8lOkRJ_normal.jpg","View")</f>
        <v>View</v>
      </c>
      <c r="P14914" s="7"/>
    </row>
    <row r="14915" spans="1:16">
      <c r="A14915" s="3">
        <v>44357.732858796298</v>
      </c>
      <c r="B14915" s="4" t="str">
        <f>HYPERLINK("https://twitter.com/petrogustavo","@petrogustavo")</f>
        <v>@petrogustavo</v>
      </c>
      <c r="C14915" s="5" t="s">
        <v>16</v>
      </c>
      <c r="D14915" s="5" t="s">
        <v>14364</v>
      </c>
      <c r="E14915" s="6" t="str">
        <f>HYPERLINK("https://twitter.com/petrogustavo/status/1402960065368363009","1402960065368363009")</f>
        <v>1402960065368363009</v>
      </c>
      <c r="F14915" s="7" t="s">
        <v>17</v>
      </c>
      <c r="G14915" s="7">
        <v>4304549</v>
      </c>
      <c r="H14915" s="7">
        <v>2519</v>
      </c>
      <c r="I14915" s="7">
        <v>162</v>
      </c>
      <c r="J14915" s="7">
        <v>0</v>
      </c>
      <c r="K14915" s="7" t="s">
        <v>18</v>
      </c>
      <c r="L14915" s="8">
        <v>39987.315405092595</v>
      </c>
      <c r="M14915" s="9" t="s">
        <v>19</v>
      </c>
      <c r="N14915" s="9" t="s">
        <v>20</v>
      </c>
      <c r="O14915" s="6" t="str">
        <f>HYPERLINK("https://pbs.twimg.com/profile_images/962471262747529216/Uo8lOkRJ_normal.jpg","View")</f>
        <v>View</v>
      </c>
      <c r="P14915" s="7"/>
    </row>
    <row r="14916" spans="1:16">
      <c r="A14916" s="3">
        <v>44357.733576388884</v>
      </c>
      <c r="B14916" s="4" t="str">
        <f>HYPERLINK("https://twitter.com/petrogustavo","@petrogustavo")</f>
        <v>@petrogustavo</v>
      </c>
      <c r="C14916" s="5" t="s">
        <v>16</v>
      </c>
      <c r="D14916" s="5" t="s">
        <v>14365</v>
      </c>
      <c r="E14916" s="6" t="str">
        <f>HYPERLINK("https://twitter.com/petrogustavo/status/1402960324203065344","1402960324203065344")</f>
        <v>1402960324203065344</v>
      </c>
      <c r="F14916" s="7" t="s">
        <v>17</v>
      </c>
      <c r="G14916" s="7">
        <v>4304549</v>
      </c>
      <c r="H14916" s="7">
        <v>2519</v>
      </c>
      <c r="I14916" s="7">
        <v>341</v>
      </c>
      <c r="J14916" s="7">
        <v>0</v>
      </c>
      <c r="K14916" s="7" t="s">
        <v>18</v>
      </c>
      <c r="L14916" s="8">
        <v>39987.315405092595</v>
      </c>
      <c r="M14916" s="9" t="s">
        <v>19</v>
      </c>
      <c r="N14916" s="9" t="s">
        <v>20</v>
      </c>
      <c r="O14916" s="6" t="str">
        <f>HYPERLINK("https://pbs.twimg.com/profile_images/962471262747529216/Uo8lOkRJ_normal.jpg","View")</f>
        <v>View</v>
      </c>
      <c r="P14916" s="7"/>
    </row>
    <row r="14917" spans="1:16">
      <c r="A14917" s="3">
        <v>44357.73773148148</v>
      </c>
      <c r="B14917" s="4" t="str">
        <f>HYPERLINK("https://twitter.com/petrogustavo","@petrogustavo")</f>
        <v>@petrogustavo</v>
      </c>
      <c r="C14917" s="5" t="s">
        <v>16</v>
      </c>
      <c r="D14917" s="5" t="s">
        <v>14366</v>
      </c>
      <c r="E14917" s="6" t="str">
        <f>HYPERLINK("https://twitter.com/petrogustavo/status/1402961831103172608","1402961831103172608")</f>
        <v>1402961831103172608</v>
      </c>
      <c r="F14917" s="7" t="s">
        <v>17</v>
      </c>
      <c r="G14917" s="7">
        <v>4304549</v>
      </c>
      <c r="H14917" s="7">
        <v>2519</v>
      </c>
      <c r="I14917" s="7">
        <v>111</v>
      </c>
      <c r="J14917" s="7">
        <v>0</v>
      </c>
      <c r="K14917" s="7" t="s">
        <v>18</v>
      </c>
      <c r="L14917" s="8">
        <v>39987.315405092595</v>
      </c>
      <c r="M14917" s="9" t="s">
        <v>19</v>
      </c>
      <c r="N14917" s="9" t="s">
        <v>20</v>
      </c>
      <c r="O14917" s="6" t="str">
        <f>HYPERLINK("https://pbs.twimg.com/profile_images/962471262747529216/Uo8lOkRJ_normal.jpg","View")</f>
        <v>View</v>
      </c>
      <c r="P14917" s="7"/>
    </row>
    <row r="14918" spans="1:16">
      <c r="A14918" s="3">
        <v>44357.738344907411</v>
      </c>
      <c r="B14918" s="4" t="str">
        <f>HYPERLINK("https://twitter.com/petrogustavo","@petrogustavo")</f>
        <v>@petrogustavo</v>
      </c>
      <c r="C14918" s="5" t="s">
        <v>16</v>
      </c>
      <c r="D14918" s="5" t="s">
        <v>14367</v>
      </c>
      <c r="E14918" s="6" t="str">
        <f>HYPERLINK("https://twitter.com/petrogustavo/status/1402962052826677248","1402962052826677248")</f>
        <v>1402962052826677248</v>
      </c>
      <c r="F14918" s="7" t="s">
        <v>17</v>
      </c>
      <c r="G14918" s="7">
        <v>4304549</v>
      </c>
      <c r="H14918" s="7">
        <v>2519</v>
      </c>
      <c r="I14918" s="7">
        <v>792</v>
      </c>
      <c r="J14918" s="7">
        <v>0</v>
      </c>
      <c r="K14918" s="7" t="s">
        <v>18</v>
      </c>
      <c r="L14918" s="8">
        <v>39987.315405092595</v>
      </c>
      <c r="M14918" s="9" t="s">
        <v>19</v>
      </c>
      <c r="N14918" s="9" t="s">
        <v>20</v>
      </c>
      <c r="O14918" s="6" t="str">
        <f>HYPERLINK("https://pbs.twimg.com/profile_images/962471262747529216/Uo8lOkRJ_normal.jpg","View")</f>
        <v>View</v>
      </c>
      <c r="P14918" s="7"/>
    </row>
    <row r="14919" spans="1:16">
      <c r="A14919" s="3">
        <v>44357.741759259261</v>
      </c>
      <c r="B14919" s="4" t="str">
        <f>HYPERLINK("https://twitter.com/petrogustavo","@petrogustavo")</f>
        <v>@petrogustavo</v>
      </c>
      <c r="C14919" s="5" t="s">
        <v>16</v>
      </c>
      <c r="D14919" s="5" t="s">
        <v>14368</v>
      </c>
      <c r="E14919" s="6" t="str">
        <f>HYPERLINK("https://twitter.com/petrogustavo/status/1402963289823404036","1402963289823404036")</f>
        <v>1402963289823404036</v>
      </c>
      <c r="F14919" s="7" t="s">
        <v>17</v>
      </c>
      <c r="G14919" s="7">
        <v>4304549</v>
      </c>
      <c r="H14919" s="7">
        <v>2519</v>
      </c>
      <c r="I14919" s="7">
        <v>219</v>
      </c>
      <c r="J14919" s="7">
        <v>541</v>
      </c>
      <c r="K14919" s="7" t="s">
        <v>18</v>
      </c>
      <c r="L14919" s="8">
        <v>39987.315405092595</v>
      </c>
      <c r="M14919" s="9" t="s">
        <v>19</v>
      </c>
      <c r="N14919" s="9" t="s">
        <v>20</v>
      </c>
      <c r="O14919" s="6" t="str">
        <f>HYPERLINK("https://pbs.twimg.com/profile_images/962471262747529216/Uo8lOkRJ_normal.jpg","View")</f>
        <v>View</v>
      </c>
      <c r="P14919" s="7"/>
    </row>
    <row r="14920" spans="1:16">
      <c r="A14920" s="3">
        <v>44357.745358796295</v>
      </c>
      <c r="B14920" s="4" t="str">
        <f>HYPERLINK("https://twitter.com/petrogustavo","@petrogustavo")</f>
        <v>@petrogustavo</v>
      </c>
      <c r="C14920" s="5" t="s">
        <v>16</v>
      </c>
      <c r="D14920" s="5" t="s">
        <v>14369</v>
      </c>
      <c r="E14920" s="6" t="str">
        <f>HYPERLINK("https://twitter.com/petrogustavo/status/1402964592737800193","1402964592737800193")</f>
        <v>1402964592737800193</v>
      </c>
      <c r="F14920" s="7" t="s">
        <v>17</v>
      </c>
      <c r="G14920" s="7">
        <v>4304549</v>
      </c>
      <c r="H14920" s="7">
        <v>2519</v>
      </c>
      <c r="I14920" s="7">
        <v>104</v>
      </c>
      <c r="J14920" s="7">
        <v>181</v>
      </c>
      <c r="K14920" s="7" t="s">
        <v>18</v>
      </c>
      <c r="L14920" s="8">
        <v>39987.315405092595</v>
      </c>
      <c r="M14920" s="9" t="s">
        <v>19</v>
      </c>
      <c r="N14920" s="9" t="s">
        <v>20</v>
      </c>
      <c r="O14920" s="6" t="str">
        <f>HYPERLINK("https://pbs.twimg.com/profile_images/962471262747529216/Uo8lOkRJ_normal.jpg","View")</f>
        <v>View</v>
      </c>
      <c r="P14920" s="7"/>
    </row>
    <row r="14921" spans="1:16">
      <c r="A14921" s="3">
        <v>44357.747187500005</v>
      </c>
      <c r="B14921" s="4" t="str">
        <f>HYPERLINK("https://twitter.com/petrogustavo","@petrogustavo")</f>
        <v>@petrogustavo</v>
      </c>
      <c r="C14921" s="5" t="s">
        <v>16</v>
      </c>
      <c r="D14921" s="5" t="s">
        <v>14370</v>
      </c>
      <c r="E14921" s="6" t="str">
        <f>HYPERLINK("https://twitter.com/petrogustavo/status/1402965255827996676","1402965255827996676")</f>
        <v>1402965255827996676</v>
      </c>
      <c r="F14921" s="7" t="s">
        <v>17</v>
      </c>
      <c r="G14921" s="7">
        <v>4304549</v>
      </c>
      <c r="H14921" s="7">
        <v>2519</v>
      </c>
      <c r="I14921" s="7">
        <v>37</v>
      </c>
      <c r="J14921" s="7">
        <v>124</v>
      </c>
      <c r="K14921" s="7" t="s">
        <v>18</v>
      </c>
      <c r="L14921" s="8">
        <v>39987.315405092595</v>
      </c>
      <c r="M14921" s="9" t="s">
        <v>19</v>
      </c>
      <c r="N14921" s="9" t="s">
        <v>20</v>
      </c>
      <c r="O14921" s="6" t="str">
        <f>HYPERLINK("https://pbs.twimg.com/profile_images/962471262747529216/Uo8lOkRJ_normal.jpg","View")</f>
        <v>View</v>
      </c>
      <c r="P14921" s="7"/>
    </row>
    <row r="14922" spans="1:16">
      <c r="A14922" s="3">
        <v>44357.755659722221</v>
      </c>
      <c r="B14922" s="4" t="str">
        <f>HYPERLINK("https://twitter.com/petrogustavo","@petrogustavo")</f>
        <v>@petrogustavo</v>
      </c>
      <c r="C14922" s="5" t="s">
        <v>16</v>
      </c>
      <c r="D14922" s="5" t="s">
        <v>14371</v>
      </c>
      <c r="E14922" s="6" t="str">
        <f>HYPERLINK("https://twitter.com/petrogustavo/status/1402968327438405645","1402968327438405645")</f>
        <v>1402968327438405645</v>
      </c>
      <c r="F14922" s="7" t="s">
        <v>17</v>
      </c>
      <c r="G14922" s="7">
        <v>4304587</v>
      </c>
      <c r="H14922" s="7">
        <v>2519</v>
      </c>
      <c r="I14922" s="7">
        <v>630</v>
      </c>
      <c r="J14922" s="7">
        <v>0</v>
      </c>
      <c r="K14922" s="7" t="s">
        <v>18</v>
      </c>
      <c r="L14922" s="8">
        <v>39987.315405092595</v>
      </c>
      <c r="M14922" s="9" t="s">
        <v>19</v>
      </c>
      <c r="N14922" s="9" t="s">
        <v>20</v>
      </c>
      <c r="O14922" s="6" t="str">
        <f>HYPERLINK("https://pbs.twimg.com/profile_images/962471262747529216/Uo8lOkRJ_normal.jpg","View")</f>
        <v>View</v>
      </c>
      <c r="P14922" s="7"/>
    </row>
    <row r="14923" spans="1:16">
      <c r="A14923" s="3">
        <v>44357.756539351853</v>
      </c>
      <c r="B14923" s="4" t="str">
        <f>HYPERLINK("https://twitter.com/petrogustavo","@petrogustavo")</f>
        <v>@petrogustavo</v>
      </c>
      <c r="C14923" s="5" t="s">
        <v>16</v>
      </c>
      <c r="D14923" s="5" t="s">
        <v>14372</v>
      </c>
      <c r="E14923" s="6" t="str">
        <f>HYPERLINK("https://twitter.com/petrogustavo/status/1402968643080790021","1402968643080790021")</f>
        <v>1402968643080790021</v>
      </c>
      <c r="F14923" s="7" t="s">
        <v>17</v>
      </c>
      <c r="G14923" s="7">
        <v>4304587</v>
      </c>
      <c r="H14923" s="7">
        <v>2519</v>
      </c>
      <c r="I14923" s="7">
        <v>559</v>
      </c>
      <c r="J14923" s="7">
        <v>0</v>
      </c>
      <c r="K14923" s="7" t="s">
        <v>18</v>
      </c>
      <c r="L14923" s="8">
        <v>39987.315405092595</v>
      </c>
      <c r="M14923" s="9" t="s">
        <v>19</v>
      </c>
      <c r="N14923" s="9" t="s">
        <v>20</v>
      </c>
      <c r="O14923" s="6" t="str">
        <f>HYPERLINK("https://pbs.twimg.com/profile_images/962471262747529216/Uo8lOkRJ_normal.jpg","View")</f>
        <v>View</v>
      </c>
      <c r="P14923" s="7"/>
    </row>
    <row r="14924" spans="1:16">
      <c r="A14924" s="3">
        <v>44357.756666666668</v>
      </c>
      <c r="B14924" s="4" t="str">
        <f>HYPERLINK("https://twitter.com/petrogustavo","@petrogustavo")</f>
        <v>@petrogustavo</v>
      </c>
      <c r="C14924" s="5" t="s">
        <v>16</v>
      </c>
      <c r="D14924" s="5" t="s">
        <v>14373</v>
      </c>
      <c r="E14924" s="6" t="str">
        <f>HYPERLINK("https://twitter.com/petrogustavo/status/1402968689310322688","1402968689310322688")</f>
        <v>1402968689310322688</v>
      </c>
      <c r="F14924" s="7" t="s">
        <v>17</v>
      </c>
      <c r="G14924" s="7">
        <v>4304587</v>
      </c>
      <c r="H14924" s="7">
        <v>2519</v>
      </c>
      <c r="I14924" s="7">
        <v>127</v>
      </c>
      <c r="J14924" s="7">
        <v>0</v>
      </c>
      <c r="K14924" s="7" t="s">
        <v>18</v>
      </c>
      <c r="L14924" s="8">
        <v>39987.315405092595</v>
      </c>
      <c r="M14924" s="9" t="s">
        <v>19</v>
      </c>
      <c r="N14924" s="9" t="s">
        <v>20</v>
      </c>
      <c r="O14924" s="6" t="str">
        <f>HYPERLINK("https://pbs.twimg.com/profile_images/962471262747529216/Uo8lOkRJ_normal.jpg","View")</f>
        <v>View</v>
      </c>
      <c r="P14924" s="7"/>
    </row>
    <row r="14925" spans="1:16">
      <c r="A14925" s="3">
        <v>44357.805115740739</v>
      </c>
      <c r="B14925" s="4" t="str">
        <f>HYPERLINK("https://twitter.com/petrogustavo","@petrogustavo")</f>
        <v>@petrogustavo</v>
      </c>
      <c r="C14925" s="5" t="s">
        <v>16</v>
      </c>
      <c r="D14925" s="5" t="s">
        <v>14374</v>
      </c>
      <c r="E14925" s="6" t="str">
        <f>HYPERLINK("https://twitter.com/petrogustavo/status/1402986246444523533","1402986246444523533")</f>
        <v>1402986246444523533</v>
      </c>
      <c r="F14925" s="7" t="s">
        <v>17</v>
      </c>
      <c r="G14925" s="7">
        <v>4303885</v>
      </c>
      <c r="H14925" s="7">
        <v>2520</v>
      </c>
      <c r="I14925" s="7">
        <v>92</v>
      </c>
      <c r="J14925" s="7">
        <v>0</v>
      </c>
      <c r="K14925" s="7" t="s">
        <v>18</v>
      </c>
      <c r="L14925" s="8">
        <v>39987.315405092595</v>
      </c>
      <c r="M14925" s="9" t="s">
        <v>19</v>
      </c>
      <c r="N14925" s="9" t="s">
        <v>20</v>
      </c>
      <c r="O14925" s="6" t="str">
        <f>HYPERLINK("https://pbs.twimg.com/profile_images/962471262747529216/Uo8lOkRJ_normal.jpg","View")</f>
        <v>View</v>
      </c>
      <c r="P14925" s="7"/>
    </row>
    <row r="14926" spans="1:16">
      <c r="A14926" s="3">
        <v>44357.805405092593</v>
      </c>
      <c r="B14926" s="4" t="str">
        <f>HYPERLINK("https://twitter.com/petrogustavo","@petrogustavo")</f>
        <v>@petrogustavo</v>
      </c>
      <c r="C14926" s="5" t="s">
        <v>16</v>
      </c>
      <c r="D14926" s="5" t="s">
        <v>14375</v>
      </c>
      <c r="E14926" s="6" t="str">
        <f>HYPERLINK("https://twitter.com/petrogustavo/status/1402986351360839691","1402986351360839691")</f>
        <v>1402986351360839691</v>
      </c>
      <c r="F14926" s="7" t="s">
        <v>17</v>
      </c>
      <c r="G14926" s="7">
        <v>4303885</v>
      </c>
      <c r="H14926" s="7">
        <v>2520</v>
      </c>
      <c r="I14926" s="7">
        <v>555</v>
      </c>
      <c r="J14926" s="7">
        <v>0</v>
      </c>
      <c r="K14926" s="7" t="s">
        <v>18</v>
      </c>
      <c r="L14926" s="8">
        <v>39987.315405092595</v>
      </c>
      <c r="M14926" s="9" t="s">
        <v>19</v>
      </c>
      <c r="N14926" s="9" t="s">
        <v>20</v>
      </c>
      <c r="O14926" s="6" t="str">
        <f>HYPERLINK("https://pbs.twimg.com/profile_images/962471262747529216/Uo8lOkRJ_normal.jpg","View")</f>
        <v>View</v>
      </c>
      <c r="P14926" s="7"/>
    </row>
    <row r="14927" spans="1:16">
      <c r="A14927" s="3">
        <v>44357.903310185182</v>
      </c>
      <c r="B14927" s="4" t="str">
        <f>HYPERLINK("https://twitter.com/petrogustavo","@petrogustavo")</f>
        <v>@petrogustavo</v>
      </c>
      <c r="C14927" s="5" t="s">
        <v>16</v>
      </c>
      <c r="D14927" s="5" t="s">
        <v>14363</v>
      </c>
      <c r="E14927" s="6" t="str">
        <f>HYPERLINK("https://twitter.com/petrogustavo/status/1403021833704706058","1403021833704706058")</f>
        <v>1403021833704706058</v>
      </c>
      <c r="F14927" s="7" t="s">
        <v>17</v>
      </c>
      <c r="G14927" s="7">
        <v>4304771</v>
      </c>
      <c r="H14927" s="7">
        <v>2519</v>
      </c>
      <c r="I14927" s="7">
        <v>11323</v>
      </c>
      <c r="J14927" s="7">
        <v>0</v>
      </c>
      <c r="K14927" s="7" t="s">
        <v>18</v>
      </c>
      <c r="L14927" s="8">
        <v>39987.315405092595</v>
      </c>
      <c r="M14927" s="9" t="s">
        <v>19</v>
      </c>
      <c r="N14927" s="9" t="s">
        <v>20</v>
      </c>
      <c r="O14927" s="6" t="str">
        <f>HYPERLINK("https://pbs.twimg.com/profile_images/962471262747529216/Uo8lOkRJ_normal.jpg","View")</f>
        <v>View</v>
      </c>
      <c r="P14927" s="7"/>
    </row>
    <row r="14928" spans="1:16">
      <c r="A14928" s="3">
        <v>44357.961840277778</v>
      </c>
      <c r="B14928" s="4" t="str">
        <f>HYPERLINK("https://twitter.com/petrogustavo","@petrogustavo")</f>
        <v>@petrogustavo</v>
      </c>
      <c r="C14928" s="5" t="s">
        <v>16</v>
      </c>
      <c r="D14928" s="5" t="s">
        <v>14376</v>
      </c>
      <c r="E14928" s="6" t="str">
        <f>HYPERLINK("https://twitter.com/petrogustavo/status/1403043044132261902","1403043044132261902")</f>
        <v>1403043044132261902</v>
      </c>
      <c r="F14928" s="7" t="s">
        <v>17</v>
      </c>
      <c r="G14928" s="7">
        <v>4304844</v>
      </c>
      <c r="H14928" s="7">
        <v>2520</v>
      </c>
      <c r="I14928" s="7">
        <v>558</v>
      </c>
      <c r="J14928" s="7">
        <v>0</v>
      </c>
      <c r="K14928" s="7" t="s">
        <v>18</v>
      </c>
      <c r="L14928" s="8">
        <v>39987.315405092595</v>
      </c>
      <c r="M14928" s="9" t="s">
        <v>19</v>
      </c>
      <c r="N14928" s="9" t="s">
        <v>20</v>
      </c>
      <c r="O14928" s="6" t="str">
        <f>HYPERLINK("https://pbs.twimg.com/profile_images/962471262747529216/Uo8lOkRJ_normal.jpg","View")</f>
        <v>View</v>
      </c>
      <c r="P14928" s="7"/>
    </row>
    <row r="14929" spans="1:16">
      <c r="A14929" s="3">
        <v>44357.963356481487</v>
      </c>
      <c r="B14929" s="4" t="str">
        <f>HYPERLINK("https://twitter.com/petrogustavo","@petrogustavo")</f>
        <v>@petrogustavo</v>
      </c>
      <c r="C14929" s="5" t="s">
        <v>16</v>
      </c>
      <c r="D14929" s="5" t="s">
        <v>14377</v>
      </c>
      <c r="E14929" s="6" t="str">
        <f>HYPERLINK("https://twitter.com/petrogustavo/status/1403043593267421192","1403043593267421192")</f>
        <v>1403043593267421192</v>
      </c>
      <c r="F14929" s="7" t="s">
        <v>17</v>
      </c>
      <c r="G14929" s="7">
        <v>4304844</v>
      </c>
      <c r="H14929" s="7">
        <v>2520</v>
      </c>
      <c r="I14929" s="7">
        <v>436</v>
      </c>
      <c r="J14929" s="7">
        <v>1447</v>
      </c>
      <c r="K14929" s="7" t="s">
        <v>18</v>
      </c>
      <c r="L14929" s="8">
        <v>39987.315405092595</v>
      </c>
      <c r="M14929" s="9" t="s">
        <v>19</v>
      </c>
      <c r="N14929" s="9" t="s">
        <v>20</v>
      </c>
      <c r="O14929" s="6" t="str">
        <f>HYPERLINK("https://pbs.twimg.com/profile_images/962471262747529216/Uo8lOkRJ_normal.jpg","View")</f>
        <v>View</v>
      </c>
      <c r="P14929" s="7"/>
    </row>
    <row r="14930" spans="1:16">
      <c r="A14930" s="3">
        <v>44357.964907407411</v>
      </c>
      <c r="B14930" s="4" t="str">
        <f>HYPERLINK("https://twitter.com/petrogustavo","@petrogustavo")</f>
        <v>@petrogustavo</v>
      </c>
      <c r="C14930" s="5" t="s">
        <v>16</v>
      </c>
      <c r="D14930" s="5" t="s">
        <v>14378</v>
      </c>
      <c r="E14930" s="6" t="str">
        <f>HYPERLINK("https://twitter.com/petrogustavo/status/1403044156847624196","1403044156847624196")</f>
        <v>1403044156847624196</v>
      </c>
      <c r="F14930" s="7" t="s">
        <v>17</v>
      </c>
      <c r="G14930" s="7">
        <v>4304844</v>
      </c>
      <c r="H14930" s="7">
        <v>2520</v>
      </c>
      <c r="I14930" s="7">
        <v>187</v>
      </c>
      <c r="J14930" s="7">
        <v>548</v>
      </c>
      <c r="K14930" s="7" t="s">
        <v>18</v>
      </c>
      <c r="L14930" s="8">
        <v>39987.315405092595</v>
      </c>
      <c r="M14930" s="9" t="s">
        <v>19</v>
      </c>
      <c r="N14930" s="9" t="s">
        <v>20</v>
      </c>
      <c r="O14930" s="6" t="str">
        <f>HYPERLINK("https://pbs.twimg.com/profile_images/962471262747529216/Uo8lOkRJ_normal.jpg","View")</f>
        <v>View</v>
      </c>
      <c r="P14930" s="7"/>
    </row>
    <row r="14931" spans="1:16">
      <c r="A14931" s="3">
        <v>44357.969131944439</v>
      </c>
      <c r="B14931" s="4" t="str">
        <f>HYPERLINK("https://twitter.com/petrogustavo","@petrogustavo")</f>
        <v>@petrogustavo</v>
      </c>
      <c r="C14931" s="5" t="s">
        <v>16</v>
      </c>
      <c r="D14931" s="5" t="s">
        <v>14379</v>
      </c>
      <c r="E14931" s="6" t="str">
        <f>HYPERLINK("https://twitter.com/petrogustavo/status/1403045685134561281","1403045685134561281")</f>
        <v>1403045685134561281</v>
      </c>
      <c r="F14931" s="7" t="s">
        <v>17</v>
      </c>
      <c r="G14931" s="7">
        <v>4304844</v>
      </c>
      <c r="H14931" s="7">
        <v>2520</v>
      </c>
      <c r="I14931" s="7">
        <v>90</v>
      </c>
      <c r="J14931" s="7">
        <v>0</v>
      </c>
      <c r="K14931" s="7" t="s">
        <v>18</v>
      </c>
      <c r="L14931" s="8">
        <v>39987.315405092595</v>
      </c>
      <c r="M14931" s="9" t="s">
        <v>19</v>
      </c>
      <c r="N14931" s="9" t="s">
        <v>20</v>
      </c>
      <c r="O14931" s="6" t="str">
        <f>HYPERLINK("https://pbs.twimg.com/profile_images/962471262747529216/Uo8lOkRJ_normal.jpg","View")</f>
        <v>View</v>
      </c>
      <c r="P14931" s="7"/>
    </row>
    <row r="14932" spans="1:16">
      <c r="A14932" s="3">
        <v>44357.970254629632</v>
      </c>
      <c r="B14932" s="4" t="str">
        <f>HYPERLINK("https://twitter.com/petrogustavo","@petrogustavo")</f>
        <v>@petrogustavo</v>
      </c>
      <c r="C14932" s="5" t="s">
        <v>16</v>
      </c>
      <c r="D14932" s="5" t="s">
        <v>14380</v>
      </c>
      <c r="E14932" s="6" t="str">
        <f>HYPERLINK("https://twitter.com/petrogustavo/status/1403046090925019144","1403046090925019144")</f>
        <v>1403046090925019144</v>
      </c>
      <c r="F14932" s="7" t="s">
        <v>17</v>
      </c>
      <c r="G14932" s="7">
        <v>4304844</v>
      </c>
      <c r="H14932" s="7">
        <v>2520</v>
      </c>
      <c r="I14932" s="7">
        <v>589</v>
      </c>
      <c r="J14932" s="7">
        <v>0</v>
      </c>
      <c r="K14932" s="7" t="s">
        <v>18</v>
      </c>
      <c r="L14932" s="8">
        <v>39987.315405092595</v>
      </c>
      <c r="M14932" s="9" t="s">
        <v>19</v>
      </c>
      <c r="N14932" s="9" t="s">
        <v>20</v>
      </c>
      <c r="O14932" s="6" t="str">
        <f>HYPERLINK("https://pbs.twimg.com/profile_images/962471262747529216/Uo8lOkRJ_normal.jpg","View")</f>
        <v>View</v>
      </c>
      <c r="P14932" s="7"/>
    </row>
    <row r="14933" spans="1:16">
      <c r="A14933" s="3">
        <v>44357.970439814817</v>
      </c>
      <c r="B14933" s="4" t="str">
        <f>HYPERLINK("https://twitter.com/petrogustavo","@petrogustavo")</f>
        <v>@petrogustavo</v>
      </c>
      <c r="C14933" s="5" t="s">
        <v>16</v>
      </c>
      <c r="D14933" s="5" t="s">
        <v>14381</v>
      </c>
      <c r="E14933" s="6" t="str">
        <f>HYPERLINK("https://twitter.com/petrogustavo/status/1403046160235913220","1403046160235913220")</f>
        <v>1403046160235913220</v>
      </c>
      <c r="F14933" s="7" t="s">
        <v>17</v>
      </c>
      <c r="G14933" s="7">
        <v>4304844</v>
      </c>
      <c r="H14933" s="7">
        <v>2520</v>
      </c>
      <c r="I14933" s="7">
        <v>187</v>
      </c>
      <c r="J14933" s="7">
        <v>0</v>
      </c>
      <c r="K14933" s="7" t="s">
        <v>18</v>
      </c>
      <c r="L14933" s="8">
        <v>39987.315405092595</v>
      </c>
      <c r="M14933" s="9" t="s">
        <v>19</v>
      </c>
      <c r="N14933" s="9" t="s">
        <v>20</v>
      </c>
      <c r="O14933" s="6" t="str">
        <f>HYPERLINK("https://pbs.twimg.com/profile_images/962471262747529216/Uo8lOkRJ_normal.jpg","View")</f>
        <v>View</v>
      </c>
      <c r="P14933" s="7"/>
    </row>
    <row r="14934" spans="1:16">
      <c r="A14934" s="3">
        <v>44358.045405092591</v>
      </c>
      <c r="B14934" s="4" t="str">
        <f>HYPERLINK("https://twitter.com/petrogustavo","@petrogustavo")</f>
        <v>@petrogustavo</v>
      </c>
      <c r="C14934" s="5" t="s">
        <v>16</v>
      </c>
      <c r="D14934" s="5" t="s">
        <v>14382</v>
      </c>
      <c r="E14934" s="6" t="str">
        <f>HYPERLINK("https://twitter.com/petrogustavo/status/1403073324650053634","1403073324650053634")</f>
        <v>1403073324650053634</v>
      </c>
      <c r="F14934" s="7" t="s">
        <v>17</v>
      </c>
      <c r="G14934" s="7">
        <v>4304917</v>
      </c>
      <c r="H14934" s="7">
        <v>2520</v>
      </c>
      <c r="I14934" s="7">
        <v>243</v>
      </c>
      <c r="J14934" s="7">
        <v>854</v>
      </c>
      <c r="K14934" s="7" t="s">
        <v>18</v>
      </c>
      <c r="L14934" s="8">
        <v>39987.315405092595</v>
      </c>
      <c r="M14934" s="9" t="s">
        <v>19</v>
      </c>
      <c r="N14934" s="9" t="s">
        <v>20</v>
      </c>
      <c r="O14934" s="6" t="str">
        <f>HYPERLINK("https://pbs.twimg.com/profile_images/962471262747529216/Uo8lOkRJ_normal.jpg","View")</f>
        <v>View</v>
      </c>
      <c r="P14934" s="7"/>
    </row>
    <row r="14935" spans="1:16">
      <c r="A14935" s="3">
        <v>44358.051782407405</v>
      </c>
      <c r="B14935" s="4" t="str">
        <f>HYPERLINK("https://twitter.com/petrogustavo","@petrogustavo")</f>
        <v>@petrogustavo</v>
      </c>
      <c r="C14935" s="5" t="s">
        <v>16</v>
      </c>
      <c r="D14935" s="5" t="s">
        <v>14383</v>
      </c>
      <c r="E14935" s="6" t="str">
        <f>HYPERLINK("https://twitter.com/petrogustavo/status/1403075638723031048","1403075638723031048")</f>
        <v>1403075638723031048</v>
      </c>
      <c r="F14935" s="7" t="s">
        <v>17</v>
      </c>
      <c r="G14935" s="7">
        <v>4304917</v>
      </c>
      <c r="H14935" s="7">
        <v>2520</v>
      </c>
      <c r="I14935" s="7">
        <v>97</v>
      </c>
      <c r="J14935" s="7">
        <v>335</v>
      </c>
      <c r="K14935" s="7" t="s">
        <v>18</v>
      </c>
      <c r="L14935" s="8">
        <v>39987.315405092595</v>
      </c>
      <c r="M14935" s="9" t="s">
        <v>19</v>
      </c>
      <c r="N14935" s="9" t="s">
        <v>20</v>
      </c>
      <c r="O14935" s="6" t="str">
        <f>HYPERLINK("https://pbs.twimg.com/profile_images/962471262747529216/Uo8lOkRJ_normal.jpg","View")</f>
        <v>View</v>
      </c>
      <c r="P14935" s="7"/>
    </row>
    <row r="14936" spans="1:16">
      <c r="A14936" s="3">
        <v>44358.701736111107</v>
      </c>
      <c r="B14936" s="4" t="str">
        <f>HYPERLINK("https://twitter.com/petrogustavo","@petrogustavo")</f>
        <v>@petrogustavo</v>
      </c>
      <c r="C14936" s="5" t="s">
        <v>16</v>
      </c>
      <c r="D14936" s="5" t="s">
        <v>14384</v>
      </c>
      <c r="E14936" s="6" t="str">
        <f>HYPERLINK("https://twitter.com/petrogustavo/status/1403311173349564424","1403311173349564424")</f>
        <v>1403311173349564424</v>
      </c>
      <c r="F14936" s="7" t="s">
        <v>17</v>
      </c>
      <c r="G14936" s="7">
        <v>4305130</v>
      </c>
      <c r="H14936" s="7">
        <v>2521</v>
      </c>
      <c r="I14936" s="7">
        <v>65</v>
      </c>
      <c r="J14936" s="7">
        <v>0</v>
      </c>
      <c r="K14936" s="7" t="s">
        <v>18</v>
      </c>
      <c r="L14936" s="8">
        <v>39987.315405092595</v>
      </c>
      <c r="M14936" s="9" t="s">
        <v>19</v>
      </c>
      <c r="N14936" s="9" t="s">
        <v>20</v>
      </c>
      <c r="O14936" s="6" t="str">
        <f>HYPERLINK("https://pbs.twimg.com/profile_images/962471262747529216/Uo8lOkRJ_normal.jpg","View")</f>
        <v>View</v>
      </c>
      <c r="P14936" s="7"/>
    </row>
    <row r="14937" spans="1:16">
      <c r="A14937" s="3">
        <v>44358.702638888892</v>
      </c>
      <c r="B14937" s="4" t="str">
        <f>HYPERLINK("https://twitter.com/petrogustavo","@petrogustavo")</f>
        <v>@petrogustavo</v>
      </c>
      <c r="C14937" s="5" t="s">
        <v>16</v>
      </c>
      <c r="D14937" s="5" t="s">
        <v>14385</v>
      </c>
      <c r="E14937" s="6" t="str">
        <f>HYPERLINK("https://twitter.com/petrogustavo/status/1403311501436403721","1403311501436403721")</f>
        <v>1403311501436403721</v>
      </c>
      <c r="F14937" s="7" t="s">
        <v>17</v>
      </c>
      <c r="G14937" s="7">
        <v>4305130</v>
      </c>
      <c r="H14937" s="7">
        <v>2521</v>
      </c>
      <c r="I14937" s="7">
        <v>931</v>
      </c>
      <c r="J14937" s="7">
        <v>0</v>
      </c>
      <c r="K14937" s="7" t="s">
        <v>18</v>
      </c>
      <c r="L14937" s="8">
        <v>39987.315405092595</v>
      </c>
      <c r="M14937" s="9" t="s">
        <v>19</v>
      </c>
      <c r="N14937" s="9" t="s">
        <v>20</v>
      </c>
      <c r="O14937" s="6" t="str">
        <f>HYPERLINK("https://pbs.twimg.com/profile_images/962471262747529216/Uo8lOkRJ_normal.jpg","View")</f>
        <v>View</v>
      </c>
      <c r="P14937" s="7"/>
    </row>
    <row r="14938" spans="1:16">
      <c r="A14938" s="3">
        <v>44358.788391203707</v>
      </c>
      <c r="B14938" s="4" t="str">
        <f>HYPERLINK("https://twitter.com/petrogustavo","@petrogustavo")</f>
        <v>@petrogustavo</v>
      </c>
      <c r="C14938" s="5" t="s">
        <v>16</v>
      </c>
      <c r="D14938" s="5" t="s">
        <v>14386</v>
      </c>
      <c r="E14938" s="6" t="str">
        <f>HYPERLINK("https://twitter.com/petrogustavo/status/1403342576950910977","1403342576950910977")</f>
        <v>1403342576950910977</v>
      </c>
      <c r="F14938" s="7" t="s">
        <v>17</v>
      </c>
      <c r="G14938" s="7">
        <v>4305205</v>
      </c>
      <c r="H14938" s="7">
        <v>2521</v>
      </c>
      <c r="I14938" s="7">
        <v>208</v>
      </c>
      <c r="J14938" s="7">
        <v>0</v>
      </c>
      <c r="K14938" s="7" t="s">
        <v>18</v>
      </c>
      <c r="L14938" s="8">
        <v>39987.315405092595</v>
      </c>
      <c r="M14938" s="9" t="s">
        <v>19</v>
      </c>
      <c r="N14938" s="9" t="s">
        <v>20</v>
      </c>
      <c r="O14938" s="6" t="str">
        <f>HYPERLINK("https://pbs.twimg.com/profile_images/962471262747529216/Uo8lOkRJ_normal.jpg","View")</f>
        <v>View</v>
      </c>
      <c r="P14938" s="7"/>
    </row>
    <row r="14939" spans="1:16">
      <c r="A14939" s="3">
        <v>44358.975439814814</v>
      </c>
      <c r="B14939" s="4" t="str">
        <f>HYPERLINK("https://twitter.com/petrogustavo","@petrogustavo")</f>
        <v>@petrogustavo</v>
      </c>
      <c r="C14939" s="5" t="s">
        <v>16</v>
      </c>
      <c r="D14939" s="5" t="s">
        <v>14387</v>
      </c>
      <c r="E14939" s="6" t="str">
        <f>HYPERLINK("https://twitter.com/petrogustavo/status/1403410361412431873","1403410361412431873")</f>
        <v>1403410361412431873</v>
      </c>
      <c r="F14939" s="7" t="s">
        <v>17</v>
      </c>
      <c r="G14939" s="7">
        <v>4305450</v>
      </c>
      <c r="H14939" s="7">
        <v>2521</v>
      </c>
      <c r="I14939" s="7">
        <v>1124</v>
      </c>
      <c r="J14939" s="7">
        <v>0</v>
      </c>
      <c r="K14939" s="7" t="s">
        <v>18</v>
      </c>
      <c r="L14939" s="8">
        <v>39987.315405092595</v>
      </c>
      <c r="M14939" s="9" t="s">
        <v>19</v>
      </c>
      <c r="N14939" s="9" t="s">
        <v>20</v>
      </c>
      <c r="O14939" s="6" t="str">
        <f>HYPERLINK("https://pbs.twimg.com/profile_images/962471262747529216/Uo8lOkRJ_normal.jpg","View")</f>
        <v>View</v>
      </c>
      <c r="P14939" s="7"/>
    </row>
    <row r="14940" spans="1:16">
      <c r="A14940" s="3">
        <v>44359.0621875</v>
      </c>
      <c r="B14940" s="4" t="str">
        <f>HYPERLINK("https://twitter.com/petrogustavo","@petrogustavo")</f>
        <v>@petrogustavo</v>
      </c>
      <c r="C14940" s="5" t="s">
        <v>16</v>
      </c>
      <c r="D14940" s="5" t="s">
        <v>14388</v>
      </c>
      <c r="E14940" s="6" t="str">
        <f>HYPERLINK("https://twitter.com/petrogustavo/status/1403441795640537091","1403441795640537091")</f>
        <v>1403441795640537091</v>
      </c>
      <c r="F14940" s="7" t="s">
        <v>17</v>
      </c>
      <c r="G14940" s="7">
        <v>4305569</v>
      </c>
      <c r="H14940" s="7">
        <v>2521</v>
      </c>
      <c r="I14940" s="7">
        <v>119</v>
      </c>
      <c r="J14940" s="7">
        <v>412</v>
      </c>
      <c r="K14940" s="7" t="s">
        <v>18</v>
      </c>
      <c r="L14940" s="8">
        <v>39987.315405092595</v>
      </c>
      <c r="M14940" s="9" t="s">
        <v>19</v>
      </c>
      <c r="N14940" s="9" t="s">
        <v>20</v>
      </c>
      <c r="O14940" s="6" t="str">
        <f>HYPERLINK("https://pbs.twimg.com/profile_images/962471262747529216/Uo8lOkRJ_normal.jpg","View")</f>
        <v>View</v>
      </c>
      <c r="P14940" s="7"/>
    </row>
    <row r="14941" spans="1:16">
      <c r="A14941" s="3">
        <v>44359.329687500001</v>
      </c>
      <c r="B14941" s="4" t="str">
        <f>HYPERLINK("https://twitter.com/petrogustavo","@petrogustavo")</f>
        <v>@petrogustavo</v>
      </c>
      <c r="C14941" s="5" t="s">
        <v>16</v>
      </c>
      <c r="D14941" s="5" t="s">
        <v>14389</v>
      </c>
      <c r="E14941" s="6" t="str">
        <f>HYPERLINK("https://twitter.com/petrogustavo/status/1403538734985981955","1403538734985981955")</f>
        <v>1403538734985981955</v>
      </c>
      <c r="F14941" s="7" t="s">
        <v>17</v>
      </c>
      <c r="G14941" s="7">
        <v>4305874</v>
      </c>
      <c r="H14941" s="7">
        <v>2521</v>
      </c>
      <c r="I14941" s="7">
        <v>1198</v>
      </c>
      <c r="J14941" s="7">
        <v>0</v>
      </c>
      <c r="K14941" s="7" t="s">
        <v>18</v>
      </c>
      <c r="L14941" s="8">
        <v>39987.315405092595</v>
      </c>
      <c r="M14941" s="9" t="s">
        <v>19</v>
      </c>
      <c r="N14941" s="9" t="s">
        <v>20</v>
      </c>
      <c r="O14941" s="6" t="str">
        <f>HYPERLINK("https://pbs.twimg.com/profile_images/962471262747529216/Uo8lOkRJ_normal.jpg","View")</f>
        <v>View</v>
      </c>
      <c r="P14941" s="7"/>
    </row>
    <row r="14942" spans="1:16">
      <c r="A14942" s="3">
        <v>44359.331365740742</v>
      </c>
      <c r="B14942" s="4" t="str">
        <f>HYPERLINK("https://twitter.com/petrogustavo","@petrogustavo")</f>
        <v>@petrogustavo</v>
      </c>
      <c r="C14942" s="5" t="s">
        <v>16</v>
      </c>
      <c r="D14942" s="5" t="s">
        <v>14390</v>
      </c>
      <c r="E14942" s="6" t="str">
        <f>HYPERLINK("https://twitter.com/petrogustavo/status/1403539340953800704","1403539340953800704")</f>
        <v>1403539340953800704</v>
      </c>
      <c r="F14942" s="7" t="s">
        <v>17</v>
      </c>
      <c r="G14942" s="7">
        <v>4305874</v>
      </c>
      <c r="H14942" s="7">
        <v>2521</v>
      </c>
      <c r="I14942" s="7">
        <v>56</v>
      </c>
      <c r="J14942" s="7">
        <v>0</v>
      </c>
      <c r="K14942" s="7" t="s">
        <v>18</v>
      </c>
      <c r="L14942" s="8">
        <v>39987.315405092595</v>
      </c>
      <c r="M14942" s="9" t="s">
        <v>19</v>
      </c>
      <c r="N14942" s="9" t="s">
        <v>20</v>
      </c>
      <c r="O14942" s="6" t="str">
        <f>HYPERLINK("https://pbs.twimg.com/profile_images/962471262747529216/Uo8lOkRJ_normal.jpg","View")</f>
        <v>View</v>
      </c>
      <c r="P14942" s="7"/>
    </row>
    <row r="14943" spans="1:16">
      <c r="A14943" s="3">
        <v>44359.335057870368</v>
      </c>
      <c r="B14943" s="4" t="str">
        <f>HYPERLINK("https://twitter.com/petrogustavo","@petrogustavo")</f>
        <v>@petrogustavo</v>
      </c>
      <c r="C14943" s="5" t="s">
        <v>16</v>
      </c>
      <c r="D14943" s="5" t="s">
        <v>14391</v>
      </c>
      <c r="E14943" s="6" t="str">
        <f>HYPERLINK("https://twitter.com/petrogustavo/status/1403540680497061890","1403540680497061890")</f>
        <v>1403540680497061890</v>
      </c>
      <c r="F14943" s="7" t="s">
        <v>17</v>
      </c>
      <c r="G14943" s="7">
        <v>4305895</v>
      </c>
      <c r="H14943" s="7">
        <v>2521</v>
      </c>
      <c r="I14943" s="7">
        <v>483</v>
      </c>
      <c r="J14943" s="7">
        <v>0</v>
      </c>
      <c r="K14943" s="7" t="s">
        <v>18</v>
      </c>
      <c r="L14943" s="8">
        <v>39987.315405092595</v>
      </c>
      <c r="M14943" s="9" t="s">
        <v>19</v>
      </c>
      <c r="N14943" s="9" t="s">
        <v>20</v>
      </c>
      <c r="O14943" s="6" t="str">
        <f>HYPERLINK("https://pbs.twimg.com/profile_images/962471262747529216/Uo8lOkRJ_normal.jpg","View")</f>
        <v>View</v>
      </c>
      <c r="P14943" s="7"/>
    </row>
    <row r="14944" spans="1:16">
      <c r="A14944" s="3">
        <v>44359.336956018524</v>
      </c>
      <c r="B14944" s="4" t="str">
        <f>HYPERLINK("https://twitter.com/petrogustavo","@petrogustavo")</f>
        <v>@petrogustavo</v>
      </c>
      <c r="C14944" s="5" t="s">
        <v>16</v>
      </c>
      <c r="D14944" s="5" t="s">
        <v>14392</v>
      </c>
      <c r="E14944" s="6" t="str">
        <f>HYPERLINK("https://twitter.com/petrogustavo/status/1403541370334294018","1403541370334294018")</f>
        <v>1403541370334294018</v>
      </c>
      <c r="F14944" s="7" t="s">
        <v>17</v>
      </c>
      <c r="G14944" s="7">
        <v>4305895</v>
      </c>
      <c r="H14944" s="7">
        <v>2521</v>
      </c>
      <c r="I14944" s="7">
        <v>234</v>
      </c>
      <c r="J14944" s="7">
        <v>0</v>
      </c>
      <c r="K14944" s="7" t="s">
        <v>18</v>
      </c>
      <c r="L14944" s="8">
        <v>39987.315405092595</v>
      </c>
      <c r="M14944" s="9" t="s">
        <v>19</v>
      </c>
      <c r="N14944" s="9" t="s">
        <v>20</v>
      </c>
      <c r="O14944" s="6" t="str">
        <f>HYPERLINK("https://pbs.twimg.com/profile_images/962471262747529216/Uo8lOkRJ_normal.jpg","View")</f>
        <v>View</v>
      </c>
      <c r="P14944" s="7"/>
    </row>
    <row r="14945" spans="1:16">
      <c r="A14945" s="3">
        <v>44359.787997685184</v>
      </c>
      <c r="B14945" s="4" t="str">
        <f>HYPERLINK("https://twitter.com/petrogustavo","@petrogustavo")</f>
        <v>@petrogustavo</v>
      </c>
      <c r="C14945" s="5" t="s">
        <v>16</v>
      </c>
      <c r="D14945" s="5" t="s">
        <v>14393</v>
      </c>
      <c r="E14945" s="6" t="str">
        <f>HYPERLINK("https://twitter.com/petrogustavo/status/1403704820280745986","1403704820280745986")</f>
        <v>1403704820280745986</v>
      </c>
      <c r="F14945" s="7" t="s">
        <v>32</v>
      </c>
      <c r="G14945" s="7">
        <v>4306132</v>
      </c>
      <c r="H14945" s="7">
        <v>2521</v>
      </c>
      <c r="I14945" s="7">
        <v>655</v>
      </c>
      <c r="J14945" s="7">
        <v>0</v>
      </c>
      <c r="K14945" s="7" t="s">
        <v>18</v>
      </c>
      <c r="L14945" s="8">
        <v>39987.315405092595</v>
      </c>
      <c r="M14945" s="9" t="s">
        <v>19</v>
      </c>
      <c r="N14945" s="9" t="s">
        <v>20</v>
      </c>
      <c r="O14945" s="6" t="str">
        <f>HYPERLINK("https://pbs.twimg.com/profile_images/962471262747529216/Uo8lOkRJ_normal.jpg","View")</f>
        <v>View</v>
      </c>
      <c r="P14945" s="7"/>
    </row>
    <row r="14946" spans="1:16">
      <c r="A14946" s="3">
        <v>44359.7890625</v>
      </c>
      <c r="B14946" s="4" t="str">
        <f>HYPERLINK("https://twitter.com/petrogustavo","@petrogustavo")</f>
        <v>@petrogustavo</v>
      </c>
      <c r="C14946" s="5" t="s">
        <v>16</v>
      </c>
      <c r="D14946" s="5" t="s">
        <v>14394</v>
      </c>
      <c r="E14946" s="6" t="str">
        <f>HYPERLINK("https://twitter.com/petrogustavo/status/1403705205234020355","1403705205234020355")</f>
        <v>1403705205234020355</v>
      </c>
      <c r="F14946" s="7" t="s">
        <v>32</v>
      </c>
      <c r="G14946" s="7">
        <v>4306132</v>
      </c>
      <c r="H14946" s="7">
        <v>2521</v>
      </c>
      <c r="I14946" s="7">
        <v>38</v>
      </c>
      <c r="J14946" s="7">
        <v>0</v>
      </c>
      <c r="K14946" s="7" t="s">
        <v>18</v>
      </c>
      <c r="L14946" s="8">
        <v>39987.315405092595</v>
      </c>
      <c r="M14946" s="9" t="s">
        <v>19</v>
      </c>
      <c r="N14946" s="9" t="s">
        <v>20</v>
      </c>
      <c r="O14946" s="6" t="str">
        <f>HYPERLINK("https://pbs.twimg.com/profile_images/962471262747529216/Uo8lOkRJ_normal.jpg","View")</f>
        <v>View</v>
      </c>
      <c r="P14946" s="7"/>
    </row>
    <row r="14947" spans="1:16">
      <c r="A14947" s="3">
        <v>44359.794432870374</v>
      </c>
      <c r="B14947" s="4" t="str">
        <f>HYPERLINK("https://twitter.com/petrogustavo","@petrogustavo")</f>
        <v>@petrogustavo</v>
      </c>
      <c r="C14947" s="5" t="s">
        <v>16</v>
      </c>
      <c r="D14947" s="5" t="s">
        <v>14395</v>
      </c>
      <c r="E14947" s="6" t="str">
        <f>HYPERLINK("https://twitter.com/petrogustavo/status/1403707150744965125","1403707150744965125")</f>
        <v>1403707150744965125</v>
      </c>
      <c r="F14947" s="7" t="s">
        <v>32</v>
      </c>
      <c r="G14947" s="7">
        <v>4306149</v>
      </c>
      <c r="H14947" s="7">
        <v>2521</v>
      </c>
      <c r="I14947" s="7">
        <v>183</v>
      </c>
      <c r="J14947" s="7">
        <v>0</v>
      </c>
      <c r="K14947" s="7" t="s">
        <v>18</v>
      </c>
      <c r="L14947" s="8">
        <v>39987.315405092595</v>
      </c>
      <c r="M14947" s="9" t="s">
        <v>19</v>
      </c>
      <c r="N14947" s="9" t="s">
        <v>20</v>
      </c>
      <c r="O14947" s="6" t="str">
        <f>HYPERLINK("https://pbs.twimg.com/profile_images/962471262747529216/Uo8lOkRJ_normal.jpg","View")</f>
        <v>View</v>
      </c>
      <c r="P14947" s="7"/>
    </row>
    <row r="14948" spans="1:16">
      <c r="A14948" s="3">
        <v>44360.037835648152</v>
      </c>
      <c r="B14948" s="4" t="str">
        <f>HYPERLINK("https://twitter.com/petrogustavo","@petrogustavo")</f>
        <v>@petrogustavo</v>
      </c>
      <c r="C14948" s="5" t="s">
        <v>16</v>
      </c>
      <c r="D14948" s="5" t="s">
        <v>14396</v>
      </c>
      <c r="E14948" s="6" t="str">
        <f>HYPERLINK("https://twitter.com/petrogustavo/status/1403795357729951748","1403795357729951748")</f>
        <v>1403795357729951748</v>
      </c>
      <c r="F14948" s="7" t="s">
        <v>32</v>
      </c>
      <c r="G14948" s="7">
        <v>4306428</v>
      </c>
      <c r="H14948" s="7">
        <v>2522</v>
      </c>
      <c r="I14948" s="7">
        <v>360</v>
      </c>
      <c r="J14948" s="7">
        <v>0</v>
      </c>
      <c r="K14948" s="7" t="s">
        <v>18</v>
      </c>
      <c r="L14948" s="8">
        <v>39987.315405092595</v>
      </c>
      <c r="M14948" s="9" t="s">
        <v>19</v>
      </c>
      <c r="N14948" s="9" t="s">
        <v>20</v>
      </c>
      <c r="O14948" s="6" t="str">
        <f>HYPERLINK("https://pbs.twimg.com/profile_images/962471262747529216/Uo8lOkRJ_normal.jpg","View")</f>
        <v>View</v>
      </c>
      <c r="P14948" s="7"/>
    </row>
    <row r="14949" spans="1:16">
      <c r="A14949" s="3">
        <v>44360.118923611109</v>
      </c>
      <c r="B14949" s="4" t="str">
        <f>HYPERLINK("https://twitter.com/petrogustavo","@petrogustavo")</f>
        <v>@petrogustavo</v>
      </c>
      <c r="C14949" s="5" t="s">
        <v>16</v>
      </c>
      <c r="D14949" s="5" t="s">
        <v>14397</v>
      </c>
      <c r="E14949" s="6" t="str">
        <f>HYPERLINK("https://twitter.com/petrogustavo/status/1403824743468384256","1403824743468384256")</f>
        <v>1403824743468384256</v>
      </c>
      <c r="F14949" s="7" t="s">
        <v>17</v>
      </c>
      <c r="G14949" s="7">
        <v>4306552</v>
      </c>
      <c r="H14949" s="7">
        <v>2522</v>
      </c>
      <c r="I14949" s="7">
        <v>89</v>
      </c>
      <c r="J14949" s="7">
        <v>0</v>
      </c>
      <c r="K14949" s="7" t="s">
        <v>18</v>
      </c>
      <c r="L14949" s="8">
        <v>39987.315405092595</v>
      </c>
      <c r="M14949" s="9" t="s">
        <v>19</v>
      </c>
      <c r="N14949" s="9" t="s">
        <v>20</v>
      </c>
      <c r="O14949" s="6" t="str">
        <f>HYPERLINK("https://pbs.twimg.com/profile_images/962471262747529216/Uo8lOkRJ_normal.jpg","View")</f>
        <v>View</v>
      </c>
      <c r="P14949" s="7"/>
    </row>
    <row r="14950" spans="1:16">
      <c r="A14950" s="3">
        <v>44360.121712962966</v>
      </c>
      <c r="B14950" s="4" t="str">
        <f>HYPERLINK("https://twitter.com/petrogustavo","@petrogustavo")</f>
        <v>@petrogustavo</v>
      </c>
      <c r="C14950" s="5" t="s">
        <v>16</v>
      </c>
      <c r="D14950" s="5" t="s">
        <v>14398</v>
      </c>
      <c r="E14950" s="6" t="str">
        <f>HYPERLINK("https://twitter.com/petrogustavo/status/1403825753490395138","1403825753490395138")</f>
        <v>1403825753490395138</v>
      </c>
      <c r="F14950" s="7" t="s">
        <v>17</v>
      </c>
      <c r="G14950" s="7">
        <v>4306552</v>
      </c>
      <c r="H14950" s="7">
        <v>2522</v>
      </c>
      <c r="I14950" s="7">
        <v>2820</v>
      </c>
      <c r="J14950" s="7">
        <v>0</v>
      </c>
      <c r="K14950" s="7" t="s">
        <v>18</v>
      </c>
      <c r="L14950" s="8">
        <v>39987.315405092595</v>
      </c>
      <c r="M14950" s="9" t="s">
        <v>19</v>
      </c>
      <c r="N14950" s="9" t="s">
        <v>20</v>
      </c>
      <c r="O14950" s="6" t="str">
        <f>HYPERLINK("https://pbs.twimg.com/profile_images/962471262747529216/Uo8lOkRJ_normal.jpg","View")</f>
        <v>View</v>
      </c>
      <c r="P14950" s="7"/>
    </row>
    <row r="14951" spans="1:16">
      <c r="A14951" s="3">
        <v>44360.328877314816</v>
      </c>
      <c r="B14951" s="4" t="str">
        <f>HYPERLINK("https://twitter.com/petrogustavo","@petrogustavo")</f>
        <v>@petrogustavo</v>
      </c>
      <c r="C14951" s="5" t="s">
        <v>16</v>
      </c>
      <c r="D14951" s="5" t="s">
        <v>14399</v>
      </c>
      <c r="E14951" s="6" t="str">
        <f>HYPERLINK("https://twitter.com/petrogustavo/status/1403900828080119809","1403900828080119809")</f>
        <v>1403900828080119809</v>
      </c>
      <c r="F14951" s="7" t="s">
        <v>17</v>
      </c>
      <c r="G14951" s="7">
        <v>4306724</v>
      </c>
      <c r="H14951" s="7">
        <v>2522</v>
      </c>
      <c r="I14951" s="7">
        <v>188</v>
      </c>
      <c r="J14951" s="7">
        <v>0</v>
      </c>
      <c r="K14951" s="7" t="s">
        <v>18</v>
      </c>
      <c r="L14951" s="8">
        <v>39987.315405092595</v>
      </c>
      <c r="M14951" s="9" t="s">
        <v>19</v>
      </c>
      <c r="N14951" s="9" t="s">
        <v>20</v>
      </c>
      <c r="O14951" s="6" t="str">
        <f>HYPERLINK("https://pbs.twimg.com/profile_images/962471262747529216/Uo8lOkRJ_normal.jpg","View")</f>
        <v>View</v>
      </c>
      <c r="P14951" s="7"/>
    </row>
    <row r="14952" spans="1:16">
      <c r="A14952" s="3">
        <v>44360.349270833336</v>
      </c>
      <c r="B14952" s="4" t="str">
        <f>HYPERLINK("https://twitter.com/petrogustavo","@petrogustavo")</f>
        <v>@petrogustavo</v>
      </c>
      <c r="C14952" s="5" t="s">
        <v>16</v>
      </c>
      <c r="D14952" s="5" t="s">
        <v>14400</v>
      </c>
      <c r="E14952" s="6" t="str">
        <f>HYPERLINK("https://twitter.com/petrogustavo/status/1403908219026747396","1403908219026747396")</f>
        <v>1403908219026747396</v>
      </c>
      <c r="F14952" s="7" t="s">
        <v>17</v>
      </c>
      <c r="G14952" s="7">
        <v>4306745</v>
      </c>
      <c r="H14952" s="7">
        <v>2522</v>
      </c>
      <c r="I14952" s="7">
        <v>157</v>
      </c>
      <c r="J14952" s="7">
        <v>0</v>
      </c>
      <c r="K14952" s="7" t="s">
        <v>18</v>
      </c>
      <c r="L14952" s="8">
        <v>39987.315405092595</v>
      </c>
      <c r="M14952" s="9" t="s">
        <v>19</v>
      </c>
      <c r="N14952" s="9" t="s">
        <v>20</v>
      </c>
      <c r="O14952" s="6" t="str">
        <f>HYPERLINK("https://pbs.twimg.com/profile_images/962471262747529216/Uo8lOkRJ_normal.jpg","View")</f>
        <v>View</v>
      </c>
      <c r="P14952" s="7"/>
    </row>
    <row r="14953" spans="1:16">
      <c r="A14953" s="3">
        <v>44360.349432870367</v>
      </c>
      <c r="B14953" s="4" t="str">
        <f>HYPERLINK("https://twitter.com/petrogustavo","@petrogustavo")</f>
        <v>@petrogustavo</v>
      </c>
      <c r="C14953" s="5" t="s">
        <v>16</v>
      </c>
      <c r="D14953" s="5" t="s">
        <v>14401</v>
      </c>
      <c r="E14953" s="6" t="str">
        <f>HYPERLINK("https://twitter.com/petrogustavo/status/1403908278124429312","1403908278124429312")</f>
        <v>1403908278124429312</v>
      </c>
      <c r="F14953" s="7" t="s">
        <v>17</v>
      </c>
      <c r="G14953" s="7">
        <v>4306745</v>
      </c>
      <c r="H14953" s="7">
        <v>2522</v>
      </c>
      <c r="I14953" s="7">
        <v>497</v>
      </c>
      <c r="J14953" s="7">
        <v>0</v>
      </c>
      <c r="K14953" s="7" t="s">
        <v>18</v>
      </c>
      <c r="L14953" s="8">
        <v>39987.315405092595</v>
      </c>
      <c r="M14953" s="9" t="s">
        <v>19</v>
      </c>
      <c r="N14953" s="9" t="s">
        <v>20</v>
      </c>
      <c r="O14953" s="6" t="str">
        <f>HYPERLINK("https://pbs.twimg.com/profile_images/962471262747529216/Uo8lOkRJ_normal.jpg","View")</f>
        <v>View</v>
      </c>
      <c r="P14953" s="7"/>
    </row>
    <row r="14954" spans="1:16">
      <c r="A14954" s="3">
        <v>44360.355243055557</v>
      </c>
      <c r="B14954" s="4" t="str">
        <f>HYPERLINK("https://twitter.com/petrogustavo","@petrogustavo")</f>
        <v>@petrogustavo</v>
      </c>
      <c r="C14954" s="5" t="s">
        <v>16</v>
      </c>
      <c r="D14954" s="5" t="s">
        <v>14402</v>
      </c>
      <c r="E14954" s="6" t="str">
        <f>HYPERLINK("https://twitter.com/petrogustavo/status/1403910382301896707","1403910382301896707")</f>
        <v>1403910382301896707</v>
      </c>
      <c r="F14954" s="7" t="s">
        <v>17</v>
      </c>
      <c r="G14954" s="7">
        <v>4306745</v>
      </c>
      <c r="H14954" s="7">
        <v>2522</v>
      </c>
      <c r="I14954" s="7">
        <v>34</v>
      </c>
      <c r="J14954" s="7">
        <v>0</v>
      </c>
      <c r="K14954" s="7" t="s">
        <v>18</v>
      </c>
      <c r="L14954" s="8">
        <v>39987.315405092595</v>
      </c>
      <c r="M14954" s="9" t="s">
        <v>19</v>
      </c>
      <c r="N14954" s="9" t="s">
        <v>20</v>
      </c>
      <c r="O14954" s="6" t="str">
        <f>HYPERLINK("https://pbs.twimg.com/profile_images/962471262747529216/Uo8lOkRJ_normal.jpg","View")</f>
        <v>View</v>
      </c>
      <c r="P14954" s="7"/>
    </row>
    <row r="14955" spans="1:16">
      <c r="A14955" s="3">
        <v>44360.355370370366</v>
      </c>
      <c r="B14955" s="4" t="str">
        <f>HYPERLINK("https://twitter.com/petrogustavo","@petrogustavo")</f>
        <v>@petrogustavo</v>
      </c>
      <c r="C14955" s="5" t="s">
        <v>16</v>
      </c>
      <c r="D14955" s="5" t="s">
        <v>14403</v>
      </c>
      <c r="E14955" s="6" t="str">
        <f>HYPERLINK("https://twitter.com/petrogustavo/status/1403910431501176836","1403910431501176836")</f>
        <v>1403910431501176836</v>
      </c>
      <c r="F14955" s="7" t="s">
        <v>17</v>
      </c>
      <c r="G14955" s="7">
        <v>4306745</v>
      </c>
      <c r="H14955" s="7">
        <v>2522</v>
      </c>
      <c r="I14955" s="7">
        <v>410</v>
      </c>
      <c r="J14955" s="7">
        <v>0</v>
      </c>
      <c r="K14955" s="7" t="s">
        <v>18</v>
      </c>
      <c r="L14955" s="8">
        <v>39987.315405092595</v>
      </c>
      <c r="M14955" s="9" t="s">
        <v>19</v>
      </c>
      <c r="N14955" s="9" t="s">
        <v>20</v>
      </c>
      <c r="O14955" s="6" t="str">
        <f>HYPERLINK("https://pbs.twimg.com/profile_images/962471262747529216/Uo8lOkRJ_normal.jpg","View")</f>
        <v>View</v>
      </c>
      <c r="P14955" s="7"/>
    </row>
    <row r="14956" spans="1:16">
      <c r="A14956" s="3">
        <v>44360.359155092592</v>
      </c>
      <c r="B14956" s="4" t="str">
        <f>HYPERLINK("https://twitter.com/petrogustavo","@petrogustavo")</f>
        <v>@petrogustavo</v>
      </c>
      <c r="C14956" s="5" t="s">
        <v>16</v>
      </c>
      <c r="D14956" s="5" t="s">
        <v>14404</v>
      </c>
      <c r="E14956" s="6" t="str">
        <f>HYPERLINK("https://twitter.com/petrogustavo/status/1403911801180504064","1403911801180504064")</f>
        <v>1403911801180504064</v>
      </c>
      <c r="F14956" s="7" t="s">
        <v>17</v>
      </c>
      <c r="G14956" s="7">
        <v>4306775</v>
      </c>
      <c r="H14956" s="7">
        <v>2522</v>
      </c>
      <c r="I14956" s="7">
        <v>504</v>
      </c>
      <c r="J14956" s="7">
        <v>1227</v>
      </c>
      <c r="K14956" s="7" t="s">
        <v>18</v>
      </c>
      <c r="L14956" s="8">
        <v>39987.315405092595</v>
      </c>
      <c r="M14956" s="9" t="s">
        <v>19</v>
      </c>
      <c r="N14956" s="9" t="s">
        <v>20</v>
      </c>
      <c r="O14956" s="6" t="str">
        <f>HYPERLINK("https://pbs.twimg.com/profile_images/962471262747529216/Uo8lOkRJ_normal.jpg","View")</f>
        <v>View</v>
      </c>
      <c r="P14956" s="7"/>
    </row>
    <row r="14957" spans="1:16">
      <c r="A14957" s="3">
        <v>44361.753622685181</v>
      </c>
      <c r="B14957" s="4" t="str">
        <f>HYPERLINK("https://twitter.com/petrogustavo","@petrogustavo")</f>
        <v>@petrogustavo</v>
      </c>
      <c r="C14957" s="5" t="s">
        <v>16</v>
      </c>
      <c r="D14957" s="5" t="s">
        <v>14405</v>
      </c>
      <c r="E14957" s="6" t="str">
        <f>HYPERLINK("https://twitter.com/petrogustavo/status/1404417138413219845","1404417138413219845")</f>
        <v>1404417138413219845</v>
      </c>
      <c r="F14957" s="7" t="s">
        <v>17</v>
      </c>
      <c r="G14957" s="7">
        <v>4307830</v>
      </c>
      <c r="H14957" s="7">
        <v>2523</v>
      </c>
      <c r="I14957" s="7">
        <v>197</v>
      </c>
      <c r="J14957" s="7">
        <v>0</v>
      </c>
      <c r="K14957" s="7" t="s">
        <v>18</v>
      </c>
      <c r="L14957" s="8">
        <v>39987.315405092595</v>
      </c>
      <c r="M14957" s="9" t="s">
        <v>19</v>
      </c>
      <c r="N14957" s="9" t="s">
        <v>20</v>
      </c>
      <c r="O14957" s="6" t="str">
        <f>HYPERLINK("https://pbs.twimg.com/profile_images/962471262747529216/Uo8lOkRJ_normal.jpg","View")</f>
        <v>View</v>
      </c>
      <c r="P14957" s="7"/>
    </row>
    <row r="14958" spans="1:16">
      <c r="A14958" s="3">
        <v>44361.75571759259</v>
      </c>
      <c r="B14958" s="4" t="str">
        <f>HYPERLINK("https://twitter.com/petrogustavo","@petrogustavo")</f>
        <v>@petrogustavo</v>
      </c>
      <c r="C14958" s="5" t="s">
        <v>16</v>
      </c>
      <c r="D14958" s="5" t="s">
        <v>14406</v>
      </c>
      <c r="E14958" s="6" t="str">
        <f>HYPERLINK("https://twitter.com/petrogustavo/status/1404417899188703232","1404417899188703232")</f>
        <v>1404417899188703232</v>
      </c>
      <c r="F14958" s="7" t="s">
        <v>17</v>
      </c>
      <c r="G14958" s="7">
        <v>4307830</v>
      </c>
      <c r="H14958" s="7">
        <v>2523</v>
      </c>
      <c r="I14958" s="7">
        <v>1119</v>
      </c>
      <c r="J14958" s="7">
        <v>0</v>
      </c>
      <c r="K14958" s="7" t="s">
        <v>18</v>
      </c>
      <c r="L14958" s="8">
        <v>39987.315405092595</v>
      </c>
      <c r="M14958" s="9" t="s">
        <v>19</v>
      </c>
      <c r="N14958" s="9" t="s">
        <v>20</v>
      </c>
      <c r="O14958" s="6" t="str">
        <f>HYPERLINK("https://pbs.twimg.com/profile_images/962471262747529216/Uo8lOkRJ_normal.jpg","View")</f>
        <v>View</v>
      </c>
      <c r="P14958" s="7"/>
    </row>
    <row r="14959" spans="1:16">
      <c r="A14959" s="3">
        <v>44361.778854166667</v>
      </c>
      <c r="B14959" s="4" t="str">
        <f>HYPERLINK("https://twitter.com/petrogustavo","@petrogustavo")</f>
        <v>@petrogustavo</v>
      </c>
      <c r="C14959" s="5" t="s">
        <v>16</v>
      </c>
      <c r="D14959" s="5" t="s">
        <v>14407</v>
      </c>
      <c r="E14959" s="6" t="str">
        <f>HYPERLINK("https://twitter.com/petrogustavo/status/1404426283891802114","1404426283891802114")</f>
        <v>1404426283891802114</v>
      </c>
      <c r="F14959" s="7" t="s">
        <v>17</v>
      </c>
      <c r="G14959" s="7">
        <v>4307850</v>
      </c>
      <c r="H14959" s="7">
        <v>2523</v>
      </c>
      <c r="I14959" s="7">
        <v>856</v>
      </c>
      <c r="J14959" s="7">
        <v>0</v>
      </c>
      <c r="K14959" s="7" t="s">
        <v>18</v>
      </c>
      <c r="L14959" s="8">
        <v>39987.315405092595</v>
      </c>
      <c r="M14959" s="9" t="s">
        <v>19</v>
      </c>
      <c r="N14959" s="9" t="s">
        <v>20</v>
      </c>
      <c r="O14959" s="6" t="str">
        <f>HYPERLINK("https://pbs.twimg.com/profile_images/962471262747529216/Uo8lOkRJ_normal.jpg","View")</f>
        <v>View</v>
      </c>
      <c r="P14959" s="7"/>
    </row>
    <row r="14960" spans="1:16">
      <c r="A14960" s="3">
        <v>44361.788414351853</v>
      </c>
      <c r="B14960" s="4" t="str">
        <f>HYPERLINK("https://twitter.com/petrogustavo","@petrogustavo")</f>
        <v>@petrogustavo</v>
      </c>
      <c r="C14960" s="5" t="s">
        <v>16</v>
      </c>
      <c r="D14960" s="5" t="s">
        <v>14408</v>
      </c>
      <c r="E14960" s="6" t="str">
        <f>HYPERLINK("https://twitter.com/petrogustavo/status/1404429749213184005","1404429749213184005")</f>
        <v>1404429749213184005</v>
      </c>
      <c r="F14960" s="7" t="s">
        <v>17</v>
      </c>
      <c r="G14960" s="7">
        <v>4307850</v>
      </c>
      <c r="H14960" s="7">
        <v>2523</v>
      </c>
      <c r="I14960" s="7">
        <v>70</v>
      </c>
      <c r="J14960" s="7">
        <v>0</v>
      </c>
      <c r="K14960" s="7" t="s">
        <v>18</v>
      </c>
      <c r="L14960" s="8">
        <v>39987.315405092595</v>
      </c>
      <c r="M14960" s="9" t="s">
        <v>19</v>
      </c>
      <c r="N14960" s="9" t="s">
        <v>20</v>
      </c>
      <c r="O14960" s="6" t="str">
        <f>HYPERLINK("https://pbs.twimg.com/profile_images/962471262747529216/Uo8lOkRJ_normal.jpg","View")</f>
        <v>View</v>
      </c>
      <c r="P14960" s="7"/>
    </row>
    <row r="14961" spans="1:16">
      <c r="A14961" s="3">
        <v>44362.159652777773</v>
      </c>
      <c r="B14961" s="4" t="str">
        <f>HYPERLINK("https://twitter.com/petrogustavo","@petrogustavo")</f>
        <v>@petrogustavo</v>
      </c>
      <c r="C14961" s="5" t="s">
        <v>16</v>
      </c>
      <c r="D14961" s="5" t="s">
        <v>14409</v>
      </c>
      <c r="E14961" s="6" t="str">
        <f>HYPERLINK("https://twitter.com/petrogustavo/status/1404564278015844361","1404564278015844361")</f>
        <v>1404564278015844361</v>
      </c>
      <c r="F14961" s="7" t="s">
        <v>17</v>
      </c>
      <c r="G14961" s="7">
        <v>4308256</v>
      </c>
      <c r="H14961" s="7">
        <v>2523</v>
      </c>
      <c r="I14961" s="7">
        <v>437</v>
      </c>
      <c r="J14961" s="7">
        <v>0</v>
      </c>
      <c r="K14961" s="7" t="s">
        <v>18</v>
      </c>
      <c r="L14961" s="8">
        <v>39987.315405092595</v>
      </c>
      <c r="M14961" s="9" t="s">
        <v>19</v>
      </c>
      <c r="N14961" s="9" t="s">
        <v>20</v>
      </c>
      <c r="O14961" s="6" t="str">
        <f>HYPERLINK("https://pbs.twimg.com/profile_images/962471262747529216/Uo8lOkRJ_normal.jpg","View")</f>
        <v>View</v>
      </c>
      <c r="P14961" s="7"/>
    </row>
    <row r="14962" spans="1:16">
      <c r="A14962" s="3">
        <v>44362.179733796293</v>
      </c>
      <c r="B14962" s="4" t="str">
        <f>HYPERLINK("https://twitter.com/petrogustavo","@petrogustavo")</f>
        <v>@petrogustavo</v>
      </c>
      <c r="C14962" s="5" t="s">
        <v>16</v>
      </c>
      <c r="D14962" s="5" t="s">
        <v>14410</v>
      </c>
      <c r="E14962" s="6" t="str">
        <f>HYPERLINK("https://twitter.com/petrogustavo/status/1404571558392340484","1404571558392340484")</f>
        <v>1404571558392340484</v>
      </c>
      <c r="F14962" s="7" t="s">
        <v>17</v>
      </c>
      <c r="G14962" s="7">
        <v>4308290</v>
      </c>
      <c r="H14962" s="7">
        <v>2523</v>
      </c>
      <c r="I14962" s="7">
        <v>66</v>
      </c>
      <c r="J14962" s="7">
        <v>0</v>
      </c>
      <c r="K14962" s="7" t="s">
        <v>18</v>
      </c>
      <c r="L14962" s="8">
        <v>39987.315405092595</v>
      </c>
      <c r="M14962" s="9" t="s">
        <v>19</v>
      </c>
      <c r="N14962" s="9" t="s">
        <v>20</v>
      </c>
      <c r="O14962" s="6" t="str">
        <f>HYPERLINK("https://pbs.twimg.com/profile_images/962471262747529216/Uo8lOkRJ_normal.jpg","View")</f>
        <v>View</v>
      </c>
      <c r="P14962" s="7"/>
    </row>
    <row r="14963" spans="1:16">
      <c r="A14963" s="3">
        <v>44362.72583333333</v>
      </c>
      <c r="B14963" s="4" t="str">
        <f>HYPERLINK("https://twitter.com/petrogustavo","@petrogustavo")</f>
        <v>@petrogustavo</v>
      </c>
      <c r="C14963" s="5" t="s">
        <v>16</v>
      </c>
      <c r="D14963" s="5" t="s">
        <v>14411</v>
      </c>
      <c r="E14963" s="6" t="str">
        <f>HYPERLINK("https://twitter.com/petrogustavo/status/1404769455683559425","1404769455683559425")</f>
        <v>1404769455683559425</v>
      </c>
      <c r="F14963" s="7" t="s">
        <v>17</v>
      </c>
      <c r="G14963" s="7">
        <v>4308612</v>
      </c>
      <c r="H14963" s="7">
        <v>2522</v>
      </c>
      <c r="I14963" s="7">
        <v>2358</v>
      </c>
      <c r="J14963" s="7">
        <v>0</v>
      </c>
      <c r="K14963" s="7" t="s">
        <v>18</v>
      </c>
      <c r="L14963" s="8">
        <v>39987.315405092595</v>
      </c>
      <c r="M14963" s="9" t="s">
        <v>19</v>
      </c>
      <c r="N14963" s="9" t="s">
        <v>20</v>
      </c>
      <c r="O14963" s="6" t="str">
        <f>HYPERLINK("https://pbs.twimg.com/profile_images/962471262747529216/Uo8lOkRJ_normal.jpg","View")</f>
        <v>View</v>
      </c>
      <c r="P14963" s="7"/>
    </row>
    <row r="14964" spans="1:16">
      <c r="A14964" s="3">
        <v>44362.734884259262</v>
      </c>
      <c r="B14964" s="4" t="str">
        <f>HYPERLINK("https://twitter.com/petrogustavo","@petrogustavo")</f>
        <v>@petrogustavo</v>
      </c>
      <c r="C14964" s="5" t="s">
        <v>16</v>
      </c>
      <c r="D14964" s="5" t="s">
        <v>14412</v>
      </c>
      <c r="E14964" s="6" t="str">
        <f>HYPERLINK("https://twitter.com/petrogustavo/status/1404772738649268225","1404772738649268225")</f>
        <v>1404772738649268225</v>
      </c>
      <c r="F14964" s="7" t="s">
        <v>17</v>
      </c>
      <c r="G14964" s="7">
        <v>4308617</v>
      </c>
      <c r="H14964" s="7">
        <v>2522</v>
      </c>
      <c r="I14964" s="7">
        <v>379</v>
      </c>
      <c r="J14964" s="7">
        <v>698</v>
      </c>
      <c r="K14964" s="7" t="s">
        <v>18</v>
      </c>
      <c r="L14964" s="8">
        <v>39987.315405092595</v>
      </c>
      <c r="M14964" s="9" t="s">
        <v>19</v>
      </c>
      <c r="N14964" s="9" t="s">
        <v>20</v>
      </c>
      <c r="O14964" s="6" t="str">
        <f>HYPERLINK("https://pbs.twimg.com/profile_images/962471262747529216/Uo8lOkRJ_normal.jpg","View")</f>
        <v>View</v>
      </c>
      <c r="P14964" s="7"/>
    </row>
    <row r="14965" spans="1:16">
      <c r="A14965" s="3">
        <v>44362.739872685182</v>
      </c>
      <c r="B14965" s="4" t="str">
        <f>HYPERLINK("https://twitter.com/petrogustavo","@petrogustavo")</f>
        <v>@petrogustavo</v>
      </c>
      <c r="C14965" s="5" t="s">
        <v>16</v>
      </c>
      <c r="D14965" s="5" t="s">
        <v>14413</v>
      </c>
      <c r="E14965" s="6" t="str">
        <f>HYPERLINK("https://twitter.com/petrogustavo/status/1404774544016093187","1404774544016093187")</f>
        <v>1404774544016093187</v>
      </c>
      <c r="F14965" s="7" t="s">
        <v>17</v>
      </c>
      <c r="G14965" s="7">
        <v>4308617</v>
      </c>
      <c r="H14965" s="7">
        <v>2522</v>
      </c>
      <c r="I14965" s="7">
        <v>73</v>
      </c>
      <c r="J14965" s="7">
        <v>0</v>
      </c>
      <c r="K14965" s="7" t="s">
        <v>18</v>
      </c>
      <c r="L14965" s="8">
        <v>39987.315405092595</v>
      </c>
      <c r="M14965" s="9" t="s">
        <v>19</v>
      </c>
      <c r="N14965" s="9" t="s">
        <v>20</v>
      </c>
      <c r="O14965" s="6" t="str">
        <f>HYPERLINK("https://pbs.twimg.com/profile_images/962471262747529216/Uo8lOkRJ_normal.jpg","View")</f>
        <v>View</v>
      </c>
      <c r="P14965" s="7"/>
    </row>
    <row r="14966" spans="1:16">
      <c r="A14966" s="3">
        <v>44362.7497337963</v>
      </c>
      <c r="B14966" s="4" t="str">
        <f>HYPERLINK("https://twitter.com/petrogustavo","@petrogustavo")</f>
        <v>@petrogustavo</v>
      </c>
      <c r="C14966" s="5" t="s">
        <v>16</v>
      </c>
      <c r="D14966" s="5" t="s">
        <v>14414</v>
      </c>
      <c r="E14966" s="6" t="str">
        <f>HYPERLINK("https://twitter.com/petrogustavo/status/1404778117743452163","1404778117743452163")</f>
        <v>1404778117743452163</v>
      </c>
      <c r="F14966" s="7" t="s">
        <v>17</v>
      </c>
      <c r="G14966" s="7">
        <v>4308617</v>
      </c>
      <c r="H14966" s="7">
        <v>2522</v>
      </c>
      <c r="I14966" s="7">
        <v>1109</v>
      </c>
      <c r="J14966" s="7">
        <v>0</v>
      </c>
      <c r="K14966" s="7" t="s">
        <v>18</v>
      </c>
      <c r="L14966" s="8">
        <v>39987.315405092595</v>
      </c>
      <c r="M14966" s="9" t="s">
        <v>19</v>
      </c>
      <c r="N14966" s="9" t="s">
        <v>20</v>
      </c>
      <c r="O14966" s="6" t="str">
        <f>HYPERLINK("https://pbs.twimg.com/profile_images/962471262747529216/Uo8lOkRJ_normal.jpg","View")</f>
        <v>View</v>
      </c>
      <c r="P14966" s="7"/>
    </row>
    <row r="14967" spans="1:16">
      <c r="A14967" s="3">
        <v>44362.768761574072</v>
      </c>
      <c r="B14967" s="4" t="str">
        <f>HYPERLINK("https://twitter.com/petrogustavo","@petrogustavo")</f>
        <v>@petrogustavo</v>
      </c>
      <c r="C14967" s="5" t="s">
        <v>16</v>
      </c>
      <c r="D14967" s="5" t="s">
        <v>14415</v>
      </c>
      <c r="E14967" s="6" t="str">
        <f>HYPERLINK("https://twitter.com/petrogustavo/status/1404785013170769920","1404785013170769920")</f>
        <v>1404785013170769920</v>
      </c>
      <c r="F14967" s="7" t="s">
        <v>17</v>
      </c>
      <c r="G14967" s="7">
        <v>4308625</v>
      </c>
      <c r="H14967" s="7">
        <v>2522</v>
      </c>
      <c r="I14967" s="7">
        <v>42</v>
      </c>
      <c r="J14967" s="7">
        <v>0</v>
      </c>
      <c r="K14967" s="7" t="s">
        <v>18</v>
      </c>
      <c r="L14967" s="8">
        <v>39987.315405092595</v>
      </c>
      <c r="M14967" s="9" t="s">
        <v>19</v>
      </c>
      <c r="N14967" s="9" t="s">
        <v>20</v>
      </c>
      <c r="O14967" s="6" t="str">
        <f>HYPERLINK("https://pbs.twimg.com/profile_images/962471262747529216/Uo8lOkRJ_normal.jpg","View")</f>
        <v>View</v>
      </c>
      <c r="P14967" s="7"/>
    </row>
    <row r="14968" spans="1:16">
      <c r="A14968" s="3">
        <v>44362.770115740743</v>
      </c>
      <c r="B14968" s="4" t="str">
        <f>HYPERLINK("https://twitter.com/petrogustavo","@petrogustavo")</f>
        <v>@petrogustavo</v>
      </c>
      <c r="C14968" s="5" t="s">
        <v>16</v>
      </c>
      <c r="D14968" s="5" t="s">
        <v>14416</v>
      </c>
      <c r="E14968" s="6" t="str">
        <f>HYPERLINK("https://twitter.com/petrogustavo/status/1404785504093196293","1404785504093196293")</f>
        <v>1404785504093196293</v>
      </c>
      <c r="F14968" s="7" t="s">
        <v>17</v>
      </c>
      <c r="G14968" s="7">
        <v>4308625</v>
      </c>
      <c r="H14968" s="7">
        <v>2522</v>
      </c>
      <c r="I14968" s="7">
        <v>19</v>
      </c>
      <c r="J14968" s="7">
        <v>0</v>
      </c>
      <c r="K14968" s="7" t="s">
        <v>18</v>
      </c>
      <c r="L14968" s="8">
        <v>39987.315405092595</v>
      </c>
      <c r="M14968" s="9" t="s">
        <v>19</v>
      </c>
      <c r="N14968" s="9" t="s">
        <v>20</v>
      </c>
      <c r="O14968" s="6" t="str">
        <f>HYPERLINK("https://pbs.twimg.com/profile_images/962471262747529216/Uo8lOkRJ_normal.jpg","View")</f>
        <v>View</v>
      </c>
      <c r="P14968" s="7"/>
    </row>
    <row r="14969" spans="1:16">
      <c r="A14969" s="3">
        <v>44362.772673611107</v>
      </c>
      <c r="B14969" s="4" t="str">
        <f>HYPERLINK("https://twitter.com/petrogustavo","@petrogustavo")</f>
        <v>@petrogustavo</v>
      </c>
      <c r="C14969" s="5" t="s">
        <v>16</v>
      </c>
      <c r="D14969" s="5" t="s">
        <v>14417</v>
      </c>
      <c r="E14969" s="6" t="str">
        <f>HYPERLINK("https://twitter.com/petrogustavo/status/1404786429788622852","1404786429788622852")</f>
        <v>1404786429788622852</v>
      </c>
      <c r="F14969" s="7" t="s">
        <v>17</v>
      </c>
      <c r="G14969" s="7">
        <v>4308638</v>
      </c>
      <c r="H14969" s="7">
        <v>2522</v>
      </c>
      <c r="I14969" s="7">
        <v>260</v>
      </c>
      <c r="J14969" s="7">
        <v>616</v>
      </c>
      <c r="K14969" s="7" t="s">
        <v>18</v>
      </c>
      <c r="L14969" s="8">
        <v>39987.315405092595</v>
      </c>
      <c r="M14969" s="9" t="s">
        <v>19</v>
      </c>
      <c r="N14969" s="9" t="s">
        <v>20</v>
      </c>
      <c r="O14969" s="6" t="str">
        <f>HYPERLINK("https://pbs.twimg.com/profile_images/962471262747529216/Uo8lOkRJ_normal.jpg","View")</f>
        <v>View</v>
      </c>
      <c r="P14969" s="7"/>
    </row>
    <row r="14970" spans="1:16">
      <c r="A14970" s="3">
        <v>44362.774537037039</v>
      </c>
      <c r="B14970" s="4" t="str">
        <f>HYPERLINK("https://twitter.com/petrogustavo","@petrogustavo")</f>
        <v>@petrogustavo</v>
      </c>
      <c r="C14970" s="5" t="s">
        <v>16</v>
      </c>
      <c r="D14970" s="5" t="s">
        <v>14418</v>
      </c>
      <c r="E14970" s="6" t="str">
        <f>HYPERLINK("https://twitter.com/petrogustavo/status/1404787106694713356","1404787106694713356")</f>
        <v>1404787106694713356</v>
      </c>
      <c r="F14970" s="7" t="s">
        <v>17</v>
      </c>
      <c r="G14970" s="7">
        <v>4308638</v>
      </c>
      <c r="H14970" s="7">
        <v>2522</v>
      </c>
      <c r="I14970" s="7">
        <v>119</v>
      </c>
      <c r="J14970" s="7">
        <v>287</v>
      </c>
      <c r="K14970" s="7" t="s">
        <v>18</v>
      </c>
      <c r="L14970" s="8">
        <v>39987.315405092595</v>
      </c>
      <c r="M14970" s="9" t="s">
        <v>19</v>
      </c>
      <c r="N14970" s="9" t="s">
        <v>20</v>
      </c>
      <c r="O14970" s="6" t="str">
        <f>HYPERLINK("https://pbs.twimg.com/profile_images/962471262747529216/Uo8lOkRJ_normal.jpg","View")</f>
        <v>View</v>
      </c>
      <c r="P14970" s="7"/>
    </row>
    <row r="14971" spans="1:16">
      <c r="A14971" s="3">
        <v>44362.777766203704</v>
      </c>
      <c r="B14971" s="4" t="str">
        <f>HYPERLINK("https://twitter.com/petrogustavo","@petrogustavo")</f>
        <v>@petrogustavo</v>
      </c>
      <c r="C14971" s="5" t="s">
        <v>16</v>
      </c>
      <c r="D14971" s="5" t="s">
        <v>14419</v>
      </c>
      <c r="E14971" s="6" t="str">
        <f>HYPERLINK("https://twitter.com/petrogustavo/status/1404788276133720070","1404788276133720070")</f>
        <v>1404788276133720070</v>
      </c>
      <c r="F14971" s="7" t="s">
        <v>17</v>
      </c>
      <c r="G14971" s="7">
        <v>4308638</v>
      </c>
      <c r="H14971" s="7">
        <v>2522</v>
      </c>
      <c r="I14971" s="7">
        <v>328</v>
      </c>
      <c r="J14971" s="7">
        <v>1105</v>
      </c>
      <c r="K14971" s="7" t="s">
        <v>18</v>
      </c>
      <c r="L14971" s="8">
        <v>39987.315405092595</v>
      </c>
      <c r="M14971" s="9" t="s">
        <v>19</v>
      </c>
      <c r="N14971" s="9" t="s">
        <v>20</v>
      </c>
      <c r="O14971" s="6" t="str">
        <f>HYPERLINK("https://pbs.twimg.com/profile_images/962471262747529216/Uo8lOkRJ_normal.jpg","View")</f>
        <v>View</v>
      </c>
      <c r="P14971" s="7"/>
    </row>
    <row r="14972" spans="1:16">
      <c r="A14972" s="3">
        <v>44362.785474537042</v>
      </c>
      <c r="B14972" s="4" t="str">
        <f>HYPERLINK("https://twitter.com/petrogustavo","@petrogustavo")</f>
        <v>@petrogustavo</v>
      </c>
      <c r="C14972" s="5" t="s">
        <v>16</v>
      </c>
      <c r="D14972" s="5" t="s">
        <v>14420</v>
      </c>
      <c r="E14972" s="6" t="str">
        <f>HYPERLINK("https://twitter.com/petrogustavo/status/1404791069070479367","1404791069070479367")</f>
        <v>1404791069070479367</v>
      </c>
      <c r="F14972" s="7" t="s">
        <v>17</v>
      </c>
      <c r="G14972" s="7">
        <v>4308638</v>
      </c>
      <c r="H14972" s="7">
        <v>2522</v>
      </c>
      <c r="I14972" s="7">
        <v>67</v>
      </c>
      <c r="J14972" s="7">
        <v>209</v>
      </c>
      <c r="K14972" s="7" t="s">
        <v>18</v>
      </c>
      <c r="L14972" s="8">
        <v>39987.315405092595</v>
      </c>
      <c r="M14972" s="9" t="s">
        <v>19</v>
      </c>
      <c r="N14972" s="9" t="s">
        <v>20</v>
      </c>
      <c r="O14972" s="6" t="str">
        <f>HYPERLINK("https://pbs.twimg.com/profile_images/962471262747529216/Uo8lOkRJ_normal.jpg","View")</f>
        <v>View</v>
      </c>
      <c r="P14972" s="7"/>
    </row>
    <row r="14973" spans="1:16">
      <c r="A14973" s="3">
        <v>44362.785474537042</v>
      </c>
      <c r="B14973" s="4" t="str">
        <f>HYPERLINK("https://twitter.com/petrogustavo","@petrogustavo")</f>
        <v>@petrogustavo</v>
      </c>
      <c r="C14973" s="5" t="s">
        <v>16</v>
      </c>
      <c r="D14973" s="5" t="s">
        <v>14421</v>
      </c>
      <c r="E14973" s="6" t="str">
        <f>HYPERLINK("https://twitter.com/petrogustavo/status/1404791070576320519","1404791070576320519")</f>
        <v>1404791070576320519</v>
      </c>
      <c r="F14973" s="7" t="s">
        <v>17</v>
      </c>
      <c r="G14973" s="7">
        <v>4308638</v>
      </c>
      <c r="H14973" s="7">
        <v>2522</v>
      </c>
      <c r="I14973" s="7">
        <v>38</v>
      </c>
      <c r="J14973" s="7">
        <v>158</v>
      </c>
      <c r="K14973" s="7" t="s">
        <v>18</v>
      </c>
      <c r="L14973" s="8">
        <v>39987.315405092595</v>
      </c>
      <c r="M14973" s="9" t="s">
        <v>19</v>
      </c>
      <c r="N14973" s="9" t="s">
        <v>20</v>
      </c>
      <c r="O14973" s="6" t="str">
        <f>HYPERLINK("https://pbs.twimg.com/profile_images/962471262747529216/Uo8lOkRJ_normal.jpg","View")</f>
        <v>View</v>
      </c>
      <c r="P14973" s="7"/>
    </row>
    <row r="14974" spans="1:16">
      <c r="A14974" s="3">
        <v>44362.791851851856</v>
      </c>
      <c r="B14974" s="4" t="str">
        <f>HYPERLINK("https://twitter.com/petrogustavo","@petrogustavo")</f>
        <v>@petrogustavo</v>
      </c>
      <c r="C14974" s="5" t="s">
        <v>16</v>
      </c>
      <c r="D14974" s="5" t="s">
        <v>14422</v>
      </c>
      <c r="E14974" s="6" t="str">
        <f>HYPERLINK("https://twitter.com/petrogustavo/status/1404793379771326464","1404793379771326464")</f>
        <v>1404793379771326464</v>
      </c>
      <c r="F14974" s="7" t="s">
        <v>17</v>
      </c>
      <c r="G14974" s="7">
        <v>4308638</v>
      </c>
      <c r="H14974" s="7">
        <v>2522</v>
      </c>
      <c r="I14974" s="7">
        <v>27</v>
      </c>
      <c r="J14974" s="7">
        <v>75</v>
      </c>
      <c r="K14974" s="7" t="s">
        <v>18</v>
      </c>
      <c r="L14974" s="8">
        <v>39987.315405092595</v>
      </c>
      <c r="M14974" s="9" t="s">
        <v>19</v>
      </c>
      <c r="N14974" s="9" t="s">
        <v>20</v>
      </c>
      <c r="O14974" s="6" t="str">
        <f>HYPERLINK("https://pbs.twimg.com/profile_images/962471262747529216/Uo8lOkRJ_normal.jpg","View")</f>
        <v>View</v>
      </c>
      <c r="P14974" s="7"/>
    </row>
    <row r="14975" spans="1:16">
      <c r="A14975" s="3">
        <v>44362.791851851856</v>
      </c>
      <c r="B14975" s="4" t="str">
        <f>HYPERLINK("https://twitter.com/petrogustavo","@petrogustavo")</f>
        <v>@petrogustavo</v>
      </c>
      <c r="C14975" s="5" t="s">
        <v>16</v>
      </c>
      <c r="D14975" s="5" t="s">
        <v>14423</v>
      </c>
      <c r="E14975" s="6" t="str">
        <f>HYPERLINK("https://twitter.com/petrogustavo/status/1404793381436506121","1404793381436506121")</f>
        <v>1404793381436506121</v>
      </c>
      <c r="F14975" s="7" t="s">
        <v>17</v>
      </c>
      <c r="G14975" s="7">
        <v>4308638</v>
      </c>
      <c r="H14975" s="7">
        <v>2522</v>
      </c>
      <c r="I14975" s="7">
        <v>11</v>
      </c>
      <c r="J14975" s="7">
        <v>54</v>
      </c>
      <c r="K14975" s="7" t="s">
        <v>18</v>
      </c>
      <c r="L14975" s="8">
        <v>39987.315405092595</v>
      </c>
      <c r="M14975" s="9" t="s">
        <v>19</v>
      </c>
      <c r="N14975" s="9" t="s">
        <v>20</v>
      </c>
      <c r="O14975" s="6" t="str">
        <f>HYPERLINK("https://pbs.twimg.com/profile_images/962471262747529216/Uo8lOkRJ_normal.jpg","View")</f>
        <v>View</v>
      </c>
      <c r="P14975" s="7"/>
    </row>
    <row r="14976" spans="1:16">
      <c r="A14976" s="3">
        <v>44362.814398148148</v>
      </c>
      <c r="B14976" s="4" t="str">
        <f>HYPERLINK("https://twitter.com/petrogustavo","@petrogustavo")</f>
        <v>@petrogustavo</v>
      </c>
      <c r="C14976" s="5" t="s">
        <v>16</v>
      </c>
      <c r="D14976" s="5" t="s">
        <v>14424</v>
      </c>
      <c r="E14976" s="6" t="str">
        <f>HYPERLINK("https://twitter.com/petrogustavo/status/1404801550267076618","1404801550267076618")</f>
        <v>1404801550267076618</v>
      </c>
      <c r="F14976" s="7" t="s">
        <v>17</v>
      </c>
      <c r="G14976" s="7">
        <v>4308662</v>
      </c>
      <c r="H14976" s="7">
        <v>2522</v>
      </c>
      <c r="I14976" s="7">
        <v>619</v>
      </c>
      <c r="J14976" s="7">
        <v>0</v>
      </c>
      <c r="K14976" s="7" t="s">
        <v>18</v>
      </c>
      <c r="L14976" s="8">
        <v>39987.315405092595</v>
      </c>
      <c r="M14976" s="9" t="s">
        <v>19</v>
      </c>
      <c r="N14976" s="9" t="s">
        <v>20</v>
      </c>
      <c r="O14976" s="6" t="str">
        <f>HYPERLINK("https://pbs.twimg.com/profile_images/962471262747529216/Uo8lOkRJ_normal.jpg","View")</f>
        <v>View</v>
      </c>
      <c r="P14976" s="7"/>
    </row>
    <row r="14977" spans="1:16">
      <c r="A14977" s="3">
        <v>44362.850671296299</v>
      </c>
      <c r="B14977" s="4" t="str">
        <f>HYPERLINK("https://twitter.com/petrogustavo","@petrogustavo")</f>
        <v>@petrogustavo</v>
      </c>
      <c r="C14977" s="5" t="s">
        <v>16</v>
      </c>
      <c r="D14977" s="5" t="s">
        <v>14425</v>
      </c>
      <c r="E14977" s="6" t="str">
        <f>HYPERLINK("https://twitter.com/petrogustavo/status/1404814697124315147","1404814697124315147")</f>
        <v>1404814697124315147</v>
      </c>
      <c r="F14977" s="7" t="s">
        <v>17</v>
      </c>
      <c r="G14977" s="7">
        <v>4308706</v>
      </c>
      <c r="H14977" s="7">
        <v>2522</v>
      </c>
      <c r="I14977" s="7">
        <v>50</v>
      </c>
      <c r="J14977" s="7">
        <v>114</v>
      </c>
      <c r="K14977" s="7" t="s">
        <v>18</v>
      </c>
      <c r="L14977" s="8">
        <v>39987.315405092595</v>
      </c>
      <c r="M14977" s="9" t="s">
        <v>19</v>
      </c>
      <c r="N14977" s="9" t="s">
        <v>20</v>
      </c>
      <c r="O14977" s="6" t="str">
        <f>HYPERLINK("https://pbs.twimg.com/profile_images/962471262747529216/Uo8lOkRJ_normal.jpg","View")</f>
        <v>View</v>
      </c>
      <c r="P14977" s="7"/>
    </row>
    <row r="14978" spans="1:16">
      <c r="A14978" s="3">
        <v>44362.850682870368</v>
      </c>
      <c r="B14978" s="4" t="str">
        <f>HYPERLINK("https://twitter.com/petrogustavo","@petrogustavo")</f>
        <v>@petrogustavo</v>
      </c>
      <c r="C14978" s="5" t="s">
        <v>16</v>
      </c>
      <c r="D14978" s="5" t="s">
        <v>14426</v>
      </c>
      <c r="E14978" s="6" t="str">
        <f>HYPERLINK("https://twitter.com/petrogustavo/status/1404814698701279238","1404814698701279238")</f>
        <v>1404814698701279238</v>
      </c>
      <c r="F14978" s="7" t="s">
        <v>17</v>
      </c>
      <c r="G14978" s="7">
        <v>4308706</v>
      </c>
      <c r="H14978" s="7">
        <v>2522</v>
      </c>
      <c r="I14978" s="7">
        <v>30</v>
      </c>
      <c r="J14978" s="7">
        <v>98</v>
      </c>
      <c r="K14978" s="7" t="s">
        <v>18</v>
      </c>
      <c r="L14978" s="8">
        <v>39987.315405092595</v>
      </c>
      <c r="M14978" s="9" t="s">
        <v>19</v>
      </c>
      <c r="N14978" s="9" t="s">
        <v>20</v>
      </c>
      <c r="O14978" s="6" t="str">
        <f>HYPERLINK("https://pbs.twimg.com/profile_images/962471262747529216/Uo8lOkRJ_normal.jpg","View")</f>
        <v>View</v>
      </c>
      <c r="P14978" s="7"/>
    </row>
    <row r="14979" spans="1:16">
      <c r="A14979" s="3">
        <v>44363.049375000002</v>
      </c>
      <c r="B14979" s="4" t="str">
        <f>HYPERLINK("https://twitter.com/petrogustavo","@petrogustavo")</f>
        <v>@petrogustavo</v>
      </c>
      <c r="C14979" s="5" t="s">
        <v>16</v>
      </c>
      <c r="D14979" s="5" t="s">
        <v>14427</v>
      </c>
      <c r="E14979" s="6" t="str">
        <f>HYPERLINK("https://twitter.com/petrogustavo/status/1404886704989913096","1404886704989913096")</f>
        <v>1404886704989913096</v>
      </c>
      <c r="F14979" s="7" t="s">
        <v>17</v>
      </c>
      <c r="G14979" s="7">
        <v>4308995</v>
      </c>
      <c r="H14979" s="7">
        <v>2522</v>
      </c>
      <c r="I14979" s="7">
        <v>1063</v>
      </c>
      <c r="J14979" s="7">
        <v>0</v>
      </c>
      <c r="K14979" s="7" t="s">
        <v>18</v>
      </c>
      <c r="L14979" s="8">
        <v>39987.315405092595</v>
      </c>
      <c r="M14979" s="9" t="s">
        <v>19</v>
      </c>
      <c r="N14979" s="9" t="s">
        <v>20</v>
      </c>
      <c r="O14979" s="6" t="str">
        <f>HYPERLINK("https://pbs.twimg.com/profile_images/962471262747529216/Uo8lOkRJ_normal.jpg","View")</f>
        <v>View</v>
      </c>
      <c r="P14979" s="7"/>
    </row>
    <row r="14980" spans="1:16">
      <c r="A14980" s="3">
        <v>44363.733194444445</v>
      </c>
      <c r="B14980" s="4" t="str">
        <f>HYPERLINK("https://twitter.com/petrogustavo","@petrogustavo")</f>
        <v>@petrogustavo</v>
      </c>
      <c r="C14980" s="5" t="s">
        <v>16</v>
      </c>
      <c r="D14980" s="5" t="s">
        <v>14428</v>
      </c>
      <c r="E14980" s="6" t="str">
        <f>HYPERLINK("https://twitter.com/petrogustavo/status/1405134513878056965","1405134513878056965")</f>
        <v>1405134513878056965</v>
      </c>
      <c r="F14980" s="7" t="s">
        <v>17</v>
      </c>
      <c r="G14980" s="7">
        <v>4309577</v>
      </c>
      <c r="H14980" s="7">
        <v>2522</v>
      </c>
      <c r="I14980" s="7">
        <v>151</v>
      </c>
      <c r="J14980" s="7">
        <v>509</v>
      </c>
      <c r="K14980" s="7" t="s">
        <v>18</v>
      </c>
      <c r="L14980" s="8">
        <v>39987.315405092595</v>
      </c>
      <c r="M14980" s="9" t="s">
        <v>19</v>
      </c>
      <c r="N14980" s="9" t="s">
        <v>20</v>
      </c>
      <c r="O14980" s="6" t="str">
        <f>HYPERLINK("https://pbs.twimg.com/profile_images/962471262747529216/Uo8lOkRJ_normal.jpg","View")</f>
        <v>View</v>
      </c>
      <c r="P14980" s="7"/>
    </row>
    <row r="14981" spans="1:16">
      <c r="A14981" s="3">
        <v>44363.739895833336</v>
      </c>
      <c r="B14981" s="4" t="str">
        <f>HYPERLINK("https://twitter.com/petrogustavo","@petrogustavo")</f>
        <v>@petrogustavo</v>
      </c>
      <c r="C14981" s="5" t="s">
        <v>16</v>
      </c>
      <c r="D14981" s="5" t="s">
        <v>14429</v>
      </c>
      <c r="E14981" s="6" t="str">
        <f>HYPERLINK("https://twitter.com/petrogustavo/status/1405136942036094986","1405136942036094986")</f>
        <v>1405136942036094986</v>
      </c>
      <c r="F14981" s="7" t="s">
        <v>17</v>
      </c>
      <c r="G14981" s="7">
        <v>4309577</v>
      </c>
      <c r="H14981" s="7">
        <v>2522</v>
      </c>
      <c r="I14981" s="7">
        <v>67</v>
      </c>
      <c r="J14981" s="7">
        <v>0</v>
      </c>
      <c r="K14981" s="7" t="s">
        <v>18</v>
      </c>
      <c r="L14981" s="8">
        <v>39987.315405092595</v>
      </c>
      <c r="M14981" s="9" t="s">
        <v>19</v>
      </c>
      <c r="N14981" s="9" t="s">
        <v>20</v>
      </c>
      <c r="O14981" s="6" t="str">
        <f>HYPERLINK("https://pbs.twimg.com/profile_images/962471262747529216/Uo8lOkRJ_normal.jpg","View")</f>
        <v>View</v>
      </c>
      <c r="P14981" s="7"/>
    </row>
    <row r="14982" spans="1:16">
      <c r="A14982" s="3">
        <v>44363.744328703702</v>
      </c>
      <c r="B14982" s="4" t="str">
        <f>HYPERLINK("https://twitter.com/petrogustavo","@petrogustavo")</f>
        <v>@petrogustavo</v>
      </c>
      <c r="C14982" s="5" t="s">
        <v>16</v>
      </c>
      <c r="D14982" s="5" t="s">
        <v>14430</v>
      </c>
      <c r="E14982" s="6" t="str">
        <f>HYPERLINK("https://twitter.com/petrogustavo/status/1405138548190220289","1405138548190220289")</f>
        <v>1405138548190220289</v>
      </c>
      <c r="F14982" s="7" t="s">
        <v>17</v>
      </c>
      <c r="G14982" s="7">
        <v>4309577</v>
      </c>
      <c r="H14982" s="7">
        <v>2522</v>
      </c>
      <c r="I14982" s="7">
        <v>165</v>
      </c>
      <c r="J14982" s="7">
        <v>0</v>
      </c>
      <c r="K14982" s="7" t="s">
        <v>18</v>
      </c>
      <c r="L14982" s="8">
        <v>39987.315405092595</v>
      </c>
      <c r="M14982" s="9" t="s">
        <v>19</v>
      </c>
      <c r="N14982" s="9" t="s">
        <v>20</v>
      </c>
      <c r="O14982" s="6" t="str">
        <f>HYPERLINK("https://pbs.twimg.com/profile_images/962471262747529216/Uo8lOkRJ_normal.jpg","View")</f>
        <v>View</v>
      </c>
      <c r="P14982" s="7"/>
    </row>
    <row r="14983" spans="1:16">
      <c r="A14983" s="3">
        <v>44363.747650462959</v>
      </c>
      <c r="B14983" s="4" t="str">
        <f>HYPERLINK("https://twitter.com/petrogustavo","@petrogustavo")</f>
        <v>@petrogustavo</v>
      </c>
      <c r="C14983" s="5" t="s">
        <v>16</v>
      </c>
      <c r="D14983" s="5" t="s">
        <v>14431</v>
      </c>
      <c r="E14983" s="6" t="str">
        <f>HYPERLINK("https://twitter.com/petrogustavo/status/1405139750529519620","1405139750529519620")</f>
        <v>1405139750529519620</v>
      </c>
      <c r="F14983" s="7" t="s">
        <v>17</v>
      </c>
      <c r="G14983" s="7">
        <v>4309577</v>
      </c>
      <c r="H14983" s="7">
        <v>2522</v>
      </c>
      <c r="I14983" s="7">
        <v>542</v>
      </c>
      <c r="J14983" s="7">
        <v>0</v>
      </c>
      <c r="K14983" s="7" t="s">
        <v>18</v>
      </c>
      <c r="L14983" s="8">
        <v>39987.315405092595</v>
      </c>
      <c r="M14983" s="9" t="s">
        <v>19</v>
      </c>
      <c r="N14983" s="9" t="s">
        <v>20</v>
      </c>
      <c r="O14983" s="6" t="str">
        <f>HYPERLINK("https://pbs.twimg.com/profile_images/962471262747529216/Uo8lOkRJ_normal.jpg","View")</f>
        <v>View</v>
      </c>
      <c r="P14983" s="7"/>
    </row>
    <row r="14984" spans="1:16">
      <c r="A14984" s="3">
        <v>44363.750914351855</v>
      </c>
      <c r="B14984" s="4" t="str">
        <f>HYPERLINK("https://twitter.com/petrogustavo","@petrogustavo")</f>
        <v>@petrogustavo</v>
      </c>
      <c r="C14984" s="5" t="s">
        <v>16</v>
      </c>
      <c r="D14984" s="5" t="s">
        <v>14432</v>
      </c>
      <c r="E14984" s="6" t="str">
        <f>HYPERLINK("https://twitter.com/petrogustavo/status/1405140933004480518","1405140933004480518")</f>
        <v>1405140933004480518</v>
      </c>
      <c r="F14984" s="7" t="s">
        <v>17</v>
      </c>
      <c r="G14984" s="7">
        <v>4309577</v>
      </c>
      <c r="H14984" s="7">
        <v>2522</v>
      </c>
      <c r="I14984" s="7">
        <v>18</v>
      </c>
      <c r="J14984" s="7">
        <v>121</v>
      </c>
      <c r="K14984" s="7" t="s">
        <v>18</v>
      </c>
      <c r="L14984" s="8">
        <v>39987.315405092595</v>
      </c>
      <c r="M14984" s="9" t="s">
        <v>19</v>
      </c>
      <c r="N14984" s="9" t="s">
        <v>20</v>
      </c>
      <c r="O14984" s="6" t="str">
        <f>HYPERLINK("https://pbs.twimg.com/profile_images/962471262747529216/Uo8lOkRJ_normal.jpg","View")</f>
        <v>View</v>
      </c>
      <c r="P14984" s="7"/>
    </row>
    <row r="14985" spans="1:16">
      <c r="A14985" s="3">
        <v>44363.802662037036</v>
      </c>
      <c r="B14985" s="4" t="str">
        <f>HYPERLINK("https://twitter.com/petrogustavo","@petrogustavo")</f>
        <v>@petrogustavo</v>
      </c>
      <c r="C14985" s="5" t="s">
        <v>16</v>
      </c>
      <c r="D14985" s="5" t="s">
        <v>14433</v>
      </c>
      <c r="E14985" s="6" t="str">
        <f>HYPERLINK("https://twitter.com/petrogustavo/status/1405159685141970945","1405159685141970945")</f>
        <v>1405159685141970945</v>
      </c>
      <c r="F14985" s="7" t="s">
        <v>17</v>
      </c>
      <c r="G14985" s="7">
        <v>4309639</v>
      </c>
      <c r="H14985" s="7">
        <v>2522</v>
      </c>
      <c r="I14985" s="7">
        <v>52</v>
      </c>
      <c r="J14985" s="7">
        <v>0</v>
      </c>
      <c r="K14985" s="7" t="s">
        <v>18</v>
      </c>
      <c r="L14985" s="8">
        <v>39987.315405092595</v>
      </c>
      <c r="M14985" s="9" t="s">
        <v>19</v>
      </c>
      <c r="N14985" s="9" t="s">
        <v>20</v>
      </c>
      <c r="O14985" s="6" t="str">
        <f>HYPERLINK("https://pbs.twimg.com/profile_images/962471262747529216/Uo8lOkRJ_normal.jpg","View")</f>
        <v>View</v>
      </c>
      <c r="P14985" s="7"/>
    </row>
    <row r="14986" spans="1:16">
      <c r="A14986" s="3">
        <v>44363.82413194445</v>
      </c>
      <c r="B14986" s="4" t="str">
        <f>HYPERLINK("https://twitter.com/petrogustavo","@petrogustavo")</f>
        <v>@petrogustavo</v>
      </c>
      <c r="C14986" s="5" t="s">
        <v>16</v>
      </c>
      <c r="D14986" s="5" t="s">
        <v>14434</v>
      </c>
      <c r="E14986" s="6" t="str">
        <f>HYPERLINK("https://twitter.com/petrogustavo/status/1405167465382961157","1405167465382961157")</f>
        <v>1405167465382961157</v>
      </c>
      <c r="F14986" s="7" t="s">
        <v>17</v>
      </c>
      <c r="G14986" s="7">
        <v>4309663</v>
      </c>
      <c r="H14986" s="7">
        <v>2522</v>
      </c>
      <c r="I14986" s="7">
        <v>127</v>
      </c>
      <c r="J14986" s="7">
        <v>0</v>
      </c>
      <c r="K14986" s="7" t="s">
        <v>18</v>
      </c>
      <c r="L14986" s="8">
        <v>39987.315405092595</v>
      </c>
      <c r="M14986" s="9" t="s">
        <v>19</v>
      </c>
      <c r="N14986" s="9" t="s">
        <v>20</v>
      </c>
      <c r="O14986" s="6" t="str">
        <f>HYPERLINK("https://pbs.twimg.com/profile_images/962471262747529216/Uo8lOkRJ_normal.jpg","View")</f>
        <v>View</v>
      </c>
      <c r="P14986" s="7"/>
    </row>
    <row r="14987" spans="1:16">
      <c r="A14987" s="3">
        <v>44363.827326388884</v>
      </c>
      <c r="B14987" s="4" t="str">
        <f>HYPERLINK("https://twitter.com/petrogustavo","@petrogustavo")</f>
        <v>@petrogustavo</v>
      </c>
      <c r="C14987" s="5" t="s">
        <v>16</v>
      </c>
      <c r="D14987" s="5" t="s">
        <v>14435</v>
      </c>
      <c r="E14987" s="6" t="str">
        <f>HYPERLINK("https://twitter.com/petrogustavo/status/1405168624466370563","1405168624466370563")</f>
        <v>1405168624466370563</v>
      </c>
      <c r="F14987" s="7" t="s">
        <v>17</v>
      </c>
      <c r="G14987" s="7">
        <v>4309663</v>
      </c>
      <c r="H14987" s="7">
        <v>2522</v>
      </c>
      <c r="I14987" s="7">
        <v>81</v>
      </c>
      <c r="J14987" s="7">
        <v>0</v>
      </c>
      <c r="K14987" s="7" t="s">
        <v>18</v>
      </c>
      <c r="L14987" s="8">
        <v>39987.315405092595</v>
      </c>
      <c r="M14987" s="9" t="s">
        <v>19</v>
      </c>
      <c r="N14987" s="9" t="s">
        <v>20</v>
      </c>
      <c r="O14987" s="6" t="str">
        <f>HYPERLINK("https://pbs.twimg.com/profile_images/962471262747529216/Uo8lOkRJ_normal.jpg","View")</f>
        <v>View</v>
      </c>
      <c r="P14987" s="7"/>
    </row>
    <row r="14988" spans="1:16">
      <c r="A14988" s="3">
        <v>44363.888541666667</v>
      </c>
      <c r="B14988" s="4" t="str">
        <f>HYPERLINK("https://twitter.com/petrogustavo","@petrogustavo")</f>
        <v>@petrogustavo</v>
      </c>
      <c r="C14988" s="5" t="s">
        <v>16</v>
      </c>
      <c r="D14988" s="5" t="s">
        <v>14436</v>
      </c>
      <c r="E14988" s="6" t="str">
        <f>HYPERLINK("https://twitter.com/petrogustavo/status/1405190810136723458","1405190810136723458")</f>
        <v>1405190810136723458</v>
      </c>
      <c r="F14988" s="7" t="s">
        <v>17</v>
      </c>
      <c r="G14988" s="7">
        <v>4309741</v>
      </c>
      <c r="H14988" s="7">
        <v>2522</v>
      </c>
      <c r="I14988" s="7">
        <v>1611</v>
      </c>
      <c r="J14988" s="7">
        <v>0</v>
      </c>
      <c r="K14988" s="7" t="s">
        <v>18</v>
      </c>
      <c r="L14988" s="8">
        <v>39987.315405092595</v>
      </c>
      <c r="M14988" s="9" t="s">
        <v>19</v>
      </c>
      <c r="N14988" s="9" t="s">
        <v>20</v>
      </c>
      <c r="O14988" s="6" t="str">
        <f>HYPERLINK("https://pbs.twimg.com/profile_images/962471262747529216/Uo8lOkRJ_normal.jpg","View")</f>
        <v>View</v>
      </c>
      <c r="P14988" s="7"/>
    </row>
    <row r="14989" spans="1:16">
      <c r="A14989" s="3">
        <v>44363.893206018518</v>
      </c>
      <c r="B14989" s="4" t="str">
        <f>HYPERLINK("https://twitter.com/petrogustavo","@petrogustavo")</f>
        <v>@petrogustavo</v>
      </c>
      <c r="C14989" s="5" t="s">
        <v>16</v>
      </c>
      <c r="D14989" s="5" t="s">
        <v>14437</v>
      </c>
      <c r="E14989" s="6" t="str">
        <f>HYPERLINK("https://twitter.com/petrogustavo/status/1405192499786833932","1405192499786833932")</f>
        <v>1405192499786833932</v>
      </c>
      <c r="F14989" s="7" t="s">
        <v>17</v>
      </c>
      <c r="G14989" s="7">
        <v>4309741</v>
      </c>
      <c r="H14989" s="7">
        <v>2522</v>
      </c>
      <c r="I14989" s="7">
        <v>66</v>
      </c>
      <c r="J14989" s="7">
        <v>0</v>
      </c>
      <c r="K14989" s="7" t="s">
        <v>18</v>
      </c>
      <c r="L14989" s="8">
        <v>39987.315405092595</v>
      </c>
      <c r="M14989" s="9" t="s">
        <v>19</v>
      </c>
      <c r="N14989" s="9" t="s">
        <v>20</v>
      </c>
      <c r="O14989" s="6" t="str">
        <f>HYPERLINK("https://pbs.twimg.com/profile_images/962471262747529216/Uo8lOkRJ_normal.jpg","View")</f>
        <v>View</v>
      </c>
      <c r="P14989" s="7"/>
    </row>
    <row r="14990" spans="1:16">
      <c r="A14990" s="3">
        <v>44363.896111111113</v>
      </c>
      <c r="B14990" s="4" t="str">
        <f>HYPERLINK("https://twitter.com/petrogustavo","@petrogustavo")</f>
        <v>@petrogustavo</v>
      </c>
      <c r="C14990" s="5" t="s">
        <v>16</v>
      </c>
      <c r="D14990" s="5" t="s">
        <v>14438</v>
      </c>
      <c r="E14990" s="6" t="str">
        <f>HYPERLINK("https://twitter.com/petrogustavo/status/1405193549365362694","1405193549365362694")</f>
        <v>1405193549365362694</v>
      </c>
      <c r="F14990" s="7" t="s">
        <v>17</v>
      </c>
      <c r="G14990" s="7">
        <v>4309741</v>
      </c>
      <c r="H14990" s="7">
        <v>2522</v>
      </c>
      <c r="I14990" s="7">
        <v>1173</v>
      </c>
      <c r="J14990" s="7">
        <v>0</v>
      </c>
      <c r="K14990" s="7" t="s">
        <v>18</v>
      </c>
      <c r="L14990" s="8">
        <v>39987.315405092595</v>
      </c>
      <c r="M14990" s="9" t="s">
        <v>19</v>
      </c>
      <c r="N14990" s="9" t="s">
        <v>20</v>
      </c>
      <c r="O14990" s="6" t="str">
        <f>HYPERLINK("https://pbs.twimg.com/profile_images/962471262747529216/Uo8lOkRJ_normal.jpg","View")</f>
        <v>View</v>
      </c>
      <c r="P14990" s="7"/>
    </row>
    <row r="14991" spans="1:16">
      <c r="A14991" s="3">
        <v>44363.928773148145</v>
      </c>
      <c r="B14991" s="4" t="str">
        <f>HYPERLINK("https://twitter.com/petrogustavo","@petrogustavo")</f>
        <v>@petrogustavo</v>
      </c>
      <c r="C14991" s="5" t="s">
        <v>16</v>
      </c>
      <c r="D14991" s="5" t="s">
        <v>14439</v>
      </c>
      <c r="E14991" s="6" t="str">
        <f>HYPERLINK("https://twitter.com/petrogustavo/status/1405205386194472963","1405205386194472963")</f>
        <v>1405205386194472963</v>
      </c>
      <c r="F14991" s="7" t="s">
        <v>17</v>
      </c>
      <c r="G14991" s="7">
        <v>4309791</v>
      </c>
      <c r="H14991" s="7">
        <v>2522</v>
      </c>
      <c r="I14991" s="7">
        <v>60</v>
      </c>
      <c r="J14991" s="7">
        <v>0</v>
      </c>
      <c r="K14991" s="7" t="s">
        <v>18</v>
      </c>
      <c r="L14991" s="8">
        <v>39987.315405092595</v>
      </c>
      <c r="M14991" s="9" t="s">
        <v>19</v>
      </c>
      <c r="N14991" s="9" t="s">
        <v>20</v>
      </c>
      <c r="O14991" s="6" t="str">
        <f>HYPERLINK("https://pbs.twimg.com/profile_images/962471262747529216/Uo8lOkRJ_normal.jpg","View")</f>
        <v>View</v>
      </c>
      <c r="P14991" s="7"/>
    </row>
    <row r="14992" spans="1:16">
      <c r="A14992" s="3">
        <v>44363.950173611112</v>
      </c>
      <c r="B14992" s="4" t="str">
        <f>HYPERLINK("https://twitter.com/petrogustavo","@petrogustavo")</f>
        <v>@petrogustavo</v>
      </c>
      <c r="C14992" s="5" t="s">
        <v>16</v>
      </c>
      <c r="D14992" s="5" t="s">
        <v>14440</v>
      </c>
      <c r="E14992" s="6" t="str">
        <f>HYPERLINK("https://twitter.com/petrogustavo/status/1405213143257784328","1405213143257784328")</f>
        <v>1405213143257784328</v>
      </c>
      <c r="F14992" s="7" t="s">
        <v>17</v>
      </c>
      <c r="G14992" s="7">
        <v>4309799</v>
      </c>
      <c r="H14992" s="7">
        <v>2523</v>
      </c>
      <c r="I14992" s="7">
        <v>143</v>
      </c>
      <c r="J14992" s="7">
        <v>485</v>
      </c>
      <c r="K14992" s="7" t="s">
        <v>18</v>
      </c>
      <c r="L14992" s="8">
        <v>39987.315405092595</v>
      </c>
      <c r="M14992" s="9" t="s">
        <v>19</v>
      </c>
      <c r="N14992" s="9" t="s">
        <v>20</v>
      </c>
      <c r="O14992" s="6" t="str">
        <f>HYPERLINK("https://pbs.twimg.com/profile_images/962471262747529216/Uo8lOkRJ_normal.jpg","View")</f>
        <v>View</v>
      </c>
      <c r="P14992" s="7"/>
    </row>
    <row r="14993" spans="1:16">
      <c r="A14993" s="3">
        <v>44363.974699074075</v>
      </c>
      <c r="B14993" s="4" t="str">
        <f>HYPERLINK("https://twitter.com/petrogustavo","@petrogustavo")</f>
        <v>@petrogustavo</v>
      </c>
      <c r="C14993" s="5" t="s">
        <v>16</v>
      </c>
      <c r="D14993" s="5" t="s">
        <v>14441</v>
      </c>
      <c r="E14993" s="6" t="str">
        <f>HYPERLINK("https://twitter.com/petrogustavo/status/1405222028920209414","1405222028920209414")</f>
        <v>1405222028920209414</v>
      </c>
      <c r="F14993" s="7" t="s">
        <v>17</v>
      </c>
      <c r="G14993" s="7">
        <v>4309822</v>
      </c>
      <c r="H14993" s="7">
        <v>2523</v>
      </c>
      <c r="I14993" s="7">
        <v>88</v>
      </c>
      <c r="J14993" s="7">
        <v>0</v>
      </c>
      <c r="K14993" s="7" t="s">
        <v>18</v>
      </c>
      <c r="L14993" s="8">
        <v>39987.315405092595</v>
      </c>
      <c r="M14993" s="9" t="s">
        <v>19</v>
      </c>
      <c r="N14993" s="9" t="s">
        <v>20</v>
      </c>
      <c r="O14993" s="6" t="str">
        <f>HYPERLINK("https://pbs.twimg.com/profile_images/962471262747529216/Uo8lOkRJ_normal.jpg","View")</f>
        <v>View</v>
      </c>
      <c r="P14993" s="7"/>
    </row>
    <row r="14994" spans="1:16">
      <c r="A14994" s="3">
        <v>44363.975138888884</v>
      </c>
      <c r="B14994" s="4" t="str">
        <f>HYPERLINK("https://twitter.com/petrogustavo","@petrogustavo")</f>
        <v>@petrogustavo</v>
      </c>
      <c r="C14994" s="5" t="s">
        <v>16</v>
      </c>
      <c r="D14994" s="5" t="s">
        <v>14442</v>
      </c>
      <c r="E14994" s="6" t="str">
        <f>HYPERLINK("https://twitter.com/petrogustavo/status/1405222191147388929","1405222191147388929")</f>
        <v>1405222191147388929</v>
      </c>
      <c r="F14994" s="7" t="s">
        <v>17</v>
      </c>
      <c r="G14994" s="7">
        <v>4309822</v>
      </c>
      <c r="H14994" s="7">
        <v>2523</v>
      </c>
      <c r="I14994" s="7">
        <v>312</v>
      </c>
      <c r="J14994" s="7">
        <v>0</v>
      </c>
      <c r="K14994" s="7" t="s">
        <v>18</v>
      </c>
      <c r="L14994" s="8">
        <v>39987.315405092595</v>
      </c>
      <c r="M14994" s="9" t="s">
        <v>19</v>
      </c>
      <c r="N14994" s="9" t="s">
        <v>20</v>
      </c>
      <c r="O14994" s="6" t="str">
        <f>HYPERLINK("https://pbs.twimg.com/profile_images/962471262747529216/Uo8lOkRJ_normal.jpg","View")</f>
        <v>View</v>
      </c>
      <c r="P14994" s="7"/>
    </row>
    <row r="14995" spans="1:16">
      <c r="A14995" s="3">
        <v>44364.061527777776</v>
      </c>
      <c r="B14995" s="4" t="str">
        <f>HYPERLINK("https://twitter.com/petrogustavo","@petrogustavo")</f>
        <v>@petrogustavo</v>
      </c>
      <c r="C14995" s="5" t="s">
        <v>16</v>
      </c>
      <c r="D14995" s="5" t="s">
        <v>14443</v>
      </c>
      <c r="E14995" s="6" t="str">
        <f>HYPERLINK("https://twitter.com/petrogustavo/status/1405253495255601160","1405253495255601160")</f>
        <v>1405253495255601160</v>
      </c>
      <c r="F14995" s="7" t="s">
        <v>17</v>
      </c>
      <c r="G14995" s="7">
        <v>4309939</v>
      </c>
      <c r="H14995" s="7">
        <v>2523</v>
      </c>
      <c r="I14995" s="7">
        <v>487</v>
      </c>
      <c r="J14995" s="7">
        <v>0</v>
      </c>
      <c r="K14995" s="7" t="s">
        <v>18</v>
      </c>
      <c r="L14995" s="8">
        <v>39987.315405092595</v>
      </c>
      <c r="M14995" s="9" t="s">
        <v>19</v>
      </c>
      <c r="N14995" s="9" t="s">
        <v>20</v>
      </c>
      <c r="O14995" s="6" t="str">
        <f>HYPERLINK("https://pbs.twimg.com/profile_images/962471262747529216/Uo8lOkRJ_normal.jpg","View")</f>
        <v>View</v>
      </c>
      <c r="P14995" s="7"/>
    </row>
    <row r="14996" spans="1:16">
      <c r="A14996" s="3">
        <v>44364.061874999999</v>
      </c>
      <c r="B14996" s="4" t="str">
        <f>HYPERLINK("https://twitter.com/petrogustavo","@petrogustavo")</f>
        <v>@petrogustavo</v>
      </c>
      <c r="C14996" s="5" t="s">
        <v>16</v>
      </c>
      <c r="D14996" s="5" t="s">
        <v>14444</v>
      </c>
      <c r="E14996" s="6" t="str">
        <f>HYPERLINK("https://twitter.com/petrogustavo/status/1405253623563624454","1405253623563624454")</f>
        <v>1405253623563624454</v>
      </c>
      <c r="F14996" s="7" t="s">
        <v>17</v>
      </c>
      <c r="G14996" s="7">
        <v>4309939</v>
      </c>
      <c r="H14996" s="7">
        <v>2523</v>
      </c>
      <c r="I14996" s="7">
        <v>68</v>
      </c>
      <c r="J14996" s="7">
        <v>0</v>
      </c>
      <c r="K14996" s="7" t="s">
        <v>18</v>
      </c>
      <c r="L14996" s="8">
        <v>39987.315405092595</v>
      </c>
      <c r="M14996" s="9" t="s">
        <v>19</v>
      </c>
      <c r="N14996" s="9" t="s">
        <v>20</v>
      </c>
      <c r="O14996" s="6" t="str">
        <f>HYPERLINK("https://pbs.twimg.com/profile_images/962471262747529216/Uo8lOkRJ_normal.jpg","View")</f>
        <v>View</v>
      </c>
      <c r="P14996" s="7"/>
    </row>
    <row r="14997" spans="1:16">
      <c r="A14997" s="3">
        <v>44364.218055555553</v>
      </c>
      <c r="B14997" s="4" t="str">
        <f>HYPERLINK("https://twitter.com/petrogustavo","@petrogustavo")</f>
        <v>@petrogustavo</v>
      </c>
      <c r="C14997" s="5" t="s">
        <v>16</v>
      </c>
      <c r="D14997" s="5" t="s">
        <v>14445</v>
      </c>
      <c r="E14997" s="6" t="str">
        <f>HYPERLINK("https://twitter.com/petrogustavo/status/1405310218075054080","1405310218075054080")</f>
        <v>1405310218075054080</v>
      </c>
      <c r="F14997" s="7" t="s">
        <v>17</v>
      </c>
      <c r="G14997" s="7">
        <v>4310155</v>
      </c>
      <c r="H14997" s="7">
        <v>2523</v>
      </c>
      <c r="I14997" s="7">
        <v>432</v>
      </c>
      <c r="J14997" s="7">
        <v>0</v>
      </c>
      <c r="K14997" s="7" t="s">
        <v>18</v>
      </c>
      <c r="L14997" s="8">
        <v>39987.315405092595</v>
      </c>
      <c r="M14997" s="9" t="s">
        <v>19</v>
      </c>
      <c r="N14997" s="9" t="s">
        <v>20</v>
      </c>
      <c r="O14997" s="6" t="str">
        <f>HYPERLINK("https://pbs.twimg.com/profile_images/962471262747529216/Uo8lOkRJ_normal.jpg","View")</f>
        <v>View</v>
      </c>
      <c r="P14997" s="7"/>
    </row>
    <row r="14998" spans="1:16">
      <c r="A14998" s="3">
        <v>44364.218530092592</v>
      </c>
      <c r="B14998" s="4" t="str">
        <f>HYPERLINK("https://twitter.com/petrogustavo","@petrogustavo")</f>
        <v>@petrogustavo</v>
      </c>
      <c r="C14998" s="5" t="s">
        <v>16</v>
      </c>
      <c r="D14998" s="5" t="s">
        <v>14446</v>
      </c>
      <c r="E14998" s="6" t="str">
        <f>HYPERLINK("https://twitter.com/petrogustavo/status/1405310391169826824","1405310391169826824")</f>
        <v>1405310391169826824</v>
      </c>
      <c r="F14998" s="7" t="s">
        <v>17</v>
      </c>
      <c r="G14998" s="7">
        <v>4310155</v>
      </c>
      <c r="H14998" s="7">
        <v>2523</v>
      </c>
      <c r="I14998" s="7">
        <v>1676</v>
      </c>
      <c r="J14998" s="7">
        <v>0</v>
      </c>
      <c r="K14998" s="7" t="s">
        <v>18</v>
      </c>
      <c r="L14998" s="8">
        <v>39987.315405092595</v>
      </c>
      <c r="M14998" s="9" t="s">
        <v>19</v>
      </c>
      <c r="N14998" s="9" t="s">
        <v>20</v>
      </c>
      <c r="O14998" s="6" t="str">
        <f>HYPERLINK("https://pbs.twimg.com/profile_images/962471262747529216/Uo8lOkRJ_normal.jpg","View")</f>
        <v>View</v>
      </c>
      <c r="P14998" s="7"/>
    </row>
    <row r="14999" spans="1:16">
      <c r="A14999" s="3">
        <v>44364.21938657407</v>
      </c>
      <c r="B14999" s="4" t="str">
        <f>HYPERLINK("https://twitter.com/petrogustavo","@petrogustavo")</f>
        <v>@petrogustavo</v>
      </c>
      <c r="C14999" s="5" t="s">
        <v>16</v>
      </c>
      <c r="D14999" s="5" t="s">
        <v>14447</v>
      </c>
      <c r="E14999" s="6" t="str">
        <f>HYPERLINK("https://twitter.com/petrogustavo/status/1405310702571642883","1405310702571642883")</f>
        <v>1405310702571642883</v>
      </c>
      <c r="F14999" s="7" t="s">
        <v>17</v>
      </c>
      <c r="G14999" s="7">
        <v>4310155</v>
      </c>
      <c r="H14999" s="7">
        <v>2523</v>
      </c>
      <c r="I14999" s="7">
        <v>121</v>
      </c>
      <c r="J14999" s="7">
        <v>0</v>
      </c>
      <c r="K14999" s="7" t="s">
        <v>18</v>
      </c>
      <c r="L14999" s="8">
        <v>39987.315405092595</v>
      </c>
      <c r="M14999" s="9" t="s">
        <v>19</v>
      </c>
      <c r="N14999" s="9" t="s">
        <v>20</v>
      </c>
      <c r="O14999" s="6" t="str">
        <f>HYPERLINK("https://pbs.twimg.com/profile_images/962471262747529216/Uo8lOkRJ_normal.jpg","View")</f>
        <v>View</v>
      </c>
      <c r="P14999" s="7"/>
    </row>
    <row r="15000" spans="1:16">
      <c r="A15000" s="3">
        <v>44364.221701388888</v>
      </c>
      <c r="B15000" s="4" t="str">
        <f>HYPERLINK("https://twitter.com/petrogustavo","@petrogustavo")</f>
        <v>@petrogustavo</v>
      </c>
      <c r="C15000" s="5" t="s">
        <v>16</v>
      </c>
      <c r="D15000" s="5" t="s">
        <v>14448</v>
      </c>
      <c r="E15000" s="6" t="str">
        <f>HYPERLINK("https://twitter.com/petrogustavo/status/1405311542480998406","1405311542480998406")</f>
        <v>1405311542480998406</v>
      </c>
      <c r="F15000" s="7" t="s">
        <v>17</v>
      </c>
      <c r="G15000" s="7">
        <v>4310155</v>
      </c>
      <c r="H15000" s="7">
        <v>2523</v>
      </c>
      <c r="I15000" s="7">
        <v>142</v>
      </c>
      <c r="J15000" s="7">
        <v>366</v>
      </c>
      <c r="K15000" s="7" t="s">
        <v>18</v>
      </c>
      <c r="L15000" s="8">
        <v>39987.315405092595</v>
      </c>
      <c r="M15000" s="9" t="s">
        <v>19</v>
      </c>
      <c r="N15000" s="9" t="s">
        <v>20</v>
      </c>
      <c r="O15000" s="6" t="str">
        <f>HYPERLINK("https://pbs.twimg.com/profile_images/962471262747529216/Uo8lOkRJ_normal.jpg","View")</f>
        <v>View</v>
      </c>
      <c r="P15000" s="7"/>
    </row>
    <row r="15001" spans="1:16">
      <c r="A15001" s="3">
        <v>44364.222824074073</v>
      </c>
      <c r="B15001" s="4" t="str">
        <f>HYPERLINK("https://twitter.com/petrogustavo","@petrogustavo")</f>
        <v>@petrogustavo</v>
      </c>
      <c r="C15001" s="5" t="s">
        <v>16</v>
      </c>
      <c r="D15001" s="5" t="s">
        <v>14449</v>
      </c>
      <c r="E15001" s="6" t="str">
        <f>HYPERLINK("https://twitter.com/petrogustavo/status/1405311948175073280","1405311948175073280")</f>
        <v>1405311948175073280</v>
      </c>
      <c r="F15001" s="7" t="s">
        <v>17</v>
      </c>
      <c r="G15001" s="7">
        <v>4310155</v>
      </c>
      <c r="H15001" s="7">
        <v>2523</v>
      </c>
      <c r="I15001" s="7">
        <v>555</v>
      </c>
      <c r="J15001" s="7">
        <v>0</v>
      </c>
      <c r="K15001" s="7" t="s">
        <v>18</v>
      </c>
      <c r="L15001" s="8">
        <v>39987.315405092595</v>
      </c>
      <c r="M15001" s="9" t="s">
        <v>19</v>
      </c>
      <c r="N15001" s="9" t="s">
        <v>20</v>
      </c>
      <c r="O15001" s="6" t="str">
        <f>HYPERLINK("https://pbs.twimg.com/profile_images/962471262747529216/Uo8lOkRJ_normal.jpg","View")</f>
        <v>View</v>
      </c>
      <c r="P15001" s="7"/>
    </row>
    <row r="15002" spans="1:16">
      <c r="A15002" s="3">
        <v>44364.227233796293</v>
      </c>
      <c r="B15002" s="4" t="str">
        <f>HYPERLINK("https://twitter.com/petrogustavo","@petrogustavo")</f>
        <v>@petrogustavo</v>
      </c>
      <c r="C15002" s="5" t="s">
        <v>16</v>
      </c>
      <c r="D15002" s="5" t="s">
        <v>14450</v>
      </c>
      <c r="E15002" s="6" t="str">
        <f>HYPERLINK("https://twitter.com/petrogustavo/status/1405313547651932160","1405313547651932160")</f>
        <v>1405313547651932160</v>
      </c>
      <c r="F15002" s="7" t="s">
        <v>17</v>
      </c>
      <c r="G15002" s="7">
        <v>4310155</v>
      </c>
      <c r="H15002" s="7">
        <v>2523</v>
      </c>
      <c r="I15002" s="7">
        <v>163</v>
      </c>
      <c r="J15002" s="7">
        <v>0</v>
      </c>
      <c r="K15002" s="7" t="s">
        <v>18</v>
      </c>
      <c r="L15002" s="8">
        <v>39987.315405092595</v>
      </c>
      <c r="M15002" s="9" t="s">
        <v>19</v>
      </c>
      <c r="N15002" s="9" t="s">
        <v>20</v>
      </c>
      <c r="O15002" s="6" t="str">
        <f>HYPERLINK("https://pbs.twimg.com/profile_images/962471262747529216/Uo8lOkRJ_normal.jpg","View")</f>
        <v>View</v>
      </c>
      <c r="P15002" s="7"/>
    </row>
    <row r="15003" spans="1:16">
      <c r="A15003" s="3">
        <v>44364.229548611111</v>
      </c>
      <c r="B15003" s="4" t="str">
        <f>HYPERLINK("https://twitter.com/petrogustavo","@petrogustavo")</f>
        <v>@petrogustavo</v>
      </c>
      <c r="C15003" s="5" t="s">
        <v>16</v>
      </c>
      <c r="D15003" s="5" t="s">
        <v>14451</v>
      </c>
      <c r="E15003" s="6" t="str">
        <f>HYPERLINK("https://twitter.com/petrogustavo/status/1405314386995126272","1405314386995126272")</f>
        <v>1405314386995126272</v>
      </c>
      <c r="F15003" s="7" t="s">
        <v>17</v>
      </c>
      <c r="G15003" s="7">
        <v>4310155</v>
      </c>
      <c r="H15003" s="7">
        <v>2523</v>
      </c>
      <c r="I15003" s="7">
        <v>1443</v>
      </c>
      <c r="J15003" s="7">
        <v>0</v>
      </c>
      <c r="K15003" s="7" t="s">
        <v>18</v>
      </c>
      <c r="L15003" s="8">
        <v>39987.315405092595</v>
      </c>
      <c r="M15003" s="9" t="s">
        <v>19</v>
      </c>
      <c r="N15003" s="9" t="s">
        <v>20</v>
      </c>
      <c r="O15003" s="6" t="str">
        <f>HYPERLINK("https://pbs.twimg.com/profile_images/962471262747529216/Uo8lOkRJ_normal.jpg","View")</f>
        <v>View</v>
      </c>
      <c r="P15003" s="7"/>
    </row>
    <row r="15004" spans="1:16">
      <c r="A15004" s="3">
        <v>44364.239965277782</v>
      </c>
      <c r="B15004" s="4" t="str">
        <f>HYPERLINK("https://twitter.com/petrogustavo","@petrogustavo")</f>
        <v>@petrogustavo</v>
      </c>
      <c r="C15004" s="5" t="s">
        <v>16</v>
      </c>
      <c r="D15004" s="5" t="s">
        <v>14442</v>
      </c>
      <c r="E15004" s="6" t="str">
        <f>HYPERLINK("https://twitter.com/petrogustavo/status/1405318157775085570","1405318157775085570")</f>
        <v>1405318157775085570</v>
      </c>
      <c r="F15004" s="7" t="s">
        <v>17</v>
      </c>
      <c r="G15004" s="7">
        <v>4310167</v>
      </c>
      <c r="H15004" s="7">
        <v>2523</v>
      </c>
      <c r="I15004" s="7">
        <v>998</v>
      </c>
      <c r="J15004" s="7">
        <v>0</v>
      </c>
      <c r="K15004" s="7" t="s">
        <v>18</v>
      </c>
      <c r="L15004" s="8">
        <v>39987.315405092595</v>
      </c>
      <c r="M15004" s="9" t="s">
        <v>19</v>
      </c>
      <c r="N15004" s="9" t="s">
        <v>20</v>
      </c>
      <c r="O15004" s="6" t="str">
        <f>HYPERLINK("https://pbs.twimg.com/profile_images/962471262747529216/Uo8lOkRJ_normal.jpg","View")</f>
        <v>View</v>
      </c>
      <c r="P15004" s="7"/>
    </row>
    <row r="15005" spans="1:16">
      <c r="A15005" s="3">
        <v>44364.255844907406</v>
      </c>
      <c r="B15005" s="4" t="str">
        <f>HYPERLINK("https://twitter.com/petrogustavo","@petrogustavo")</f>
        <v>@petrogustavo</v>
      </c>
      <c r="C15005" s="5" t="s">
        <v>16</v>
      </c>
      <c r="D15005" s="5" t="s">
        <v>14452</v>
      </c>
      <c r="E15005" s="6" t="str">
        <f>HYPERLINK("https://twitter.com/petrogustavo/status/1405323913274564610","1405323913274564610")</f>
        <v>1405323913274564610</v>
      </c>
      <c r="F15005" s="7" t="s">
        <v>17</v>
      </c>
      <c r="G15005" s="7">
        <v>4310154</v>
      </c>
      <c r="H15005" s="7">
        <v>2523</v>
      </c>
      <c r="I15005" s="7">
        <v>82</v>
      </c>
      <c r="J15005" s="7">
        <v>227</v>
      </c>
      <c r="K15005" s="7" t="s">
        <v>18</v>
      </c>
      <c r="L15005" s="8">
        <v>39987.315405092595</v>
      </c>
      <c r="M15005" s="9" t="s">
        <v>19</v>
      </c>
      <c r="N15005" s="9" t="s">
        <v>20</v>
      </c>
      <c r="O15005" s="6" t="str">
        <f>HYPERLINK("https://pbs.twimg.com/profile_images/962471262747529216/Uo8lOkRJ_normal.jpg","View")</f>
        <v>View</v>
      </c>
      <c r="P15005" s="7"/>
    </row>
    <row r="15006" spans="1:16">
      <c r="A15006" s="3">
        <v>44364.256550925929</v>
      </c>
      <c r="B15006" s="4" t="str">
        <f>HYPERLINK("https://twitter.com/petrogustavo","@petrogustavo")</f>
        <v>@petrogustavo</v>
      </c>
      <c r="C15006" s="5" t="s">
        <v>16</v>
      </c>
      <c r="D15006" s="5" t="s">
        <v>14442</v>
      </c>
      <c r="E15006" s="6" t="str">
        <f>HYPERLINK("https://twitter.com/petrogustavo/status/1405324171161313285","1405324171161313285")</f>
        <v>1405324171161313285</v>
      </c>
      <c r="F15006" s="7" t="s">
        <v>17</v>
      </c>
      <c r="G15006" s="7">
        <v>4310154</v>
      </c>
      <c r="H15006" s="7">
        <v>2523</v>
      </c>
      <c r="I15006" s="7">
        <v>1034</v>
      </c>
      <c r="J15006" s="7">
        <v>0</v>
      </c>
      <c r="K15006" s="7" t="s">
        <v>18</v>
      </c>
      <c r="L15006" s="8">
        <v>39987.315405092595</v>
      </c>
      <c r="M15006" s="9" t="s">
        <v>19</v>
      </c>
      <c r="N15006" s="9" t="s">
        <v>20</v>
      </c>
      <c r="O15006" s="6" t="str">
        <f>HYPERLINK("https://pbs.twimg.com/profile_images/962471262747529216/Uo8lOkRJ_normal.jpg","View")</f>
        <v>View</v>
      </c>
      <c r="P15006" s="7"/>
    </row>
    <row r="15007" spans="1:16">
      <c r="A15007" s="3">
        <v>44364.273761574077</v>
      </c>
      <c r="B15007" s="4" t="str">
        <f>HYPERLINK("https://twitter.com/petrogustavo","@petrogustavo")</f>
        <v>@petrogustavo</v>
      </c>
      <c r="C15007" s="5" t="s">
        <v>16</v>
      </c>
      <c r="D15007" s="5" t="s">
        <v>14453</v>
      </c>
      <c r="E15007" s="6" t="str">
        <f>HYPERLINK("https://twitter.com/petrogustavo/status/1405330405516058625","1405330405516058625")</f>
        <v>1405330405516058625</v>
      </c>
      <c r="F15007" s="7" t="s">
        <v>17</v>
      </c>
      <c r="G15007" s="7">
        <v>4310184</v>
      </c>
      <c r="H15007" s="7">
        <v>2523</v>
      </c>
      <c r="I15007" s="7">
        <v>282</v>
      </c>
      <c r="J15007" s="7">
        <v>0</v>
      </c>
      <c r="K15007" s="7" t="s">
        <v>18</v>
      </c>
      <c r="L15007" s="8">
        <v>39987.315405092595</v>
      </c>
      <c r="M15007" s="9" t="s">
        <v>19</v>
      </c>
      <c r="N15007" s="9" t="s">
        <v>20</v>
      </c>
      <c r="O15007" s="6" t="str">
        <f>HYPERLINK("https://pbs.twimg.com/profile_images/962471262747529216/Uo8lOkRJ_normal.jpg","View")</f>
        <v>View</v>
      </c>
      <c r="P15007" s="7"/>
    </row>
    <row r="15008" spans="1:16">
      <c r="A15008" s="3">
        <v>44364.748310185183</v>
      </c>
      <c r="B15008" s="4" t="str">
        <f>HYPERLINK("https://twitter.com/petrogustavo","@petrogustavo")</f>
        <v>@petrogustavo</v>
      </c>
      <c r="C15008" s="5" t="s">
        <v>16</v>
      </c>
      <c r="D15008" s="5" t="s">
        <v>14442</v>
      </c>
      <c r="E15008" s="6" t="str">
        <f>HYPERLINK("https://twitter.com/petrogustavo/status/1405502376488939520","1405502376488939520")</f>
        <v>1405502376488939520</v>
      </c>
      <c r="F15008" s="7" t="s">
        <v>17</v>
      </c>
      <c r="G15008" s="7">
        <v>4310468</v>
      </c>
      <c r="H15008" s="7">
        <v>2523</v>
      </c>
      <c r="I15008" s="7">
        <v>1349</v>
      </c>
      <c r="J15008" s="7">
        <v>0</v>
      </c>
      <c r="K15008" s="7" t="s">
        <v>18</v>
      </c>
      <c r="L15008" s="8">
        <v>39987.315405092595</v>
      </c>
      <c r="M15008" s="9" t="s">
        <v>19</v>
      </c>
      <c r="N15008" s="9" t="s">
        <v>20</v>
      </c>
      <c r="O15008" s="6" t="str">
        <f>HYPERLINK("https://pbs.twimg.com/profile_images/962471262747529216/Uo8lOkRJ_normal.jpg","View")</f>
        <v>View</v>
      </c>
      <c r="P15008" s="7"/>
    </row>
    <row r="15009" spans="1:16">
      <c r="A15009" s="3">
        <v>44364.755000000005</v>
      </c>
      <c r="B15009" s="4" t="str">
        <f>HYPERLINK("https://twitter.com/petrogustavo","@petrogustavo")</f>
        <v>@petrogustavo</v>
      </c>
      <c r="C15009" s="5" t="s">
        <v>16</v>
      </c>
      <c r="D15009" s="5" t="s">
        <v>14454</v>
      </c>
      <c r="E15009" s="6" t="str">
        <f>HYPERLINK("https://twitter.com/petrogustavo/status/1405504801803313152","1405504801803313152")</f>
        <v>1405504801803313152</v>
      </c>
      <c r="F15009" s="7" t="s">
        <v>17</v>
      </c>
      <c r="G15009" s="7">
        <v>4310477</v>
      </c>
      <c r="H15009" s="7">
        <v>2523</v>
      </c>
      <c r="I15009" s="7">
        <v>93</v>
      </c>
      <c r="J15009" s="7">
        <v>0</v>
      </c>
      <c r="K15009" s="7" t="s">
        <v>18</v>
      </c>
      <c r="L15009" s="8">
        <v>39987.315405092595</v>
      </c>
      <c r="M15009" s="9" t="s">
        <v>19</v>
      </c>
      <c r="N15009" s="9" t="s">
        <v>20</v>
      </c>
      <c r="O15009" s="6" t="str">
        <f>HYPERLINK("https://pbs.twimg.com/profile_images/962471262747529216/Uo8lOkRJ_normal.jpg","View")</f>
        <v>View</v>
      </c>
      <c r="P15009" s="7"/>
    </row>
    <row r="15010" spans="1:16">
      <c r="A15010" s="3">
        <v>44364.773738425924</v>
      </c>
      <c r="B15010" s="4" t="str">
        <f>HYPERLINK("https://twitter.com/petrogustavo","@petrogustavo")</f>
        <v>@petrogustavo</v>
      </c>
      <c r="C15010" s="5" t="s">
        <v>16</v>
      </c>
      <c r="D15010" s="5" t="s">
        <v>14455</v>
      </c>
      <c r="E15010" s="6" t="str">
        <f>HYPERLINK("https://twitter.com/petrogustavo/status/1405511594252120066","1405511594252120066")</f>
        <v>1405511594252120066</v>
      </c>
      <c r="F15010" s="7" t="s">
        <v>17</v>
      </c>
      <c r="G15010" s="7">
        <v>4310510</v>
      </c>
      <c r="H15010" s="7">
        <v>2523</v>
      </c>
      <c r="I15010" s="7">
        <v>2195</v>
      </c>
      <c r="J15010" s="7">
        <v>0</v>
      </c>
      <c r="K15010" s="7" t="s">
        <v>18</v>
      </c>
      <c r="L15010" s="8">
        <v>39987.315405092595</v>
      </c>
      <c r="M15010" s="9" t="s">
        <v>19</v>
      </c>
      <c r="N15010" s="9" t="s">
        <v>20</v>
      </c>
      <c r="O15010" s="6" t="str">
        <f>HYPERLINK("https://pbs.twimg.com/profile_images/962471262747529216/Uo8lOkRJ_normal.jpg","View")</f>
        <v>View</v>
      </c>
      <c r="P15010" s="7"/>
    </row>
    <row r="15011" spans="1:16">
      <c r="A15011" s="3">
        <v>44364.780428240745</v>
      </c>
      <c r="B15011" s="4" t="str">
        <f>HYPERLINK("https://twitter.com/petrogustavo","@petrogustavo")</f>
        <v>@petrogustavo</v>
      </c>
      <c r="C15011" s="5" t="s">
        <v>16</v>
      </c>
      <c r="D15011" s="5" t="s">
        <v>14456</v>
      </c>
      <c r="E15011" s="6" t="str">
        <f>HYPERLINK("https://twitter.com/petrogustavo/status/1405514017209303044","1405514017209303044")</f>
        <v>1405514017209303044</v>
      </c>
      <c r="F15011" s="7" t="s">
        <v>17</v>
      </c>
      <c r="G15011" s="7">
        <v>4310510</v>
      </c>
      <c r="H15011" s="7">
        <v>2523</v>
      </c>
      <c r="I15011" s="7">
        <v>785</v>
      </c>
      <c r="J15011" s="7">
        <v>0</v>
      </c>
      <c r="K15011" s="7" t="s">
        <v>18</v>
      </c>
      <c r="L15011" s="8">
        <v>39987.315405092595</v>
      </c>
      <c r="M15011" s="9" t="s">
        <v>19</v>
      </c>
      <c r="N15011" s="9" t="s">
        <v>20</v>
      </c>
      <c r="O15011" s="6" t="str">
        <f>HYPERLINK("https://pbs.twimg.com/profile_images/962471262747529216/Uo8lOkRJ_normal.jpg","View")</f>
        <v>View</v>
      </c>
      <c r="P15011" s="7"/>
    </row>
    <row r="15012" spans="1:16">
      <c r="A15012" s="3">
        <v>44364.781180555554</v>
      </c>
      <c r="B15012" s="4" t="str">
        <f>HYPERLINK("https://twitter.com/petrogustavo","@petrogustavo")</f>
        <v>@petrogustavo</v>
      </c>
      <c r="C15012" s="5" t="s">
        <v>16</v>
      </c>
      <c r="D15012" s="5" t="s">
        <v>14457</v>
      </c>
      <c r="E15012" s="6" t="str">
        <f>HYPERLINK("https://twitter.com/petrogustavo/status/1405514288371056644","1405514288371056644")</f>
        <v>1405514288371056644</v>
      </c>
      <c r="F15012" s="7" t="s">
        <v>17</v>
      </c>
      <c r="G15012" s="7">
        <v>4310510</v>
      </c>
      <c r="H15012" s="7">
        <v>2523</v>
      </c>
      <c r="I15012" s="7">
        <v>141</v>
      </c>
      <c r="J15012" s="7">
        <v>0</v>
      </c>
      <c r="K15012" s="7" t="s">
        <v>18</v>
      </c>
      <c r="L15012" s="8">
        <v>39987.315405092595</v>
      </c>
      <c r="M15012" s="9" t="s">
        <v>19</v>
      </c>
      <c r="N15012" s="9" t="s">
        <v>20</v>
      </c>
      <c r="O15012" s="6" t="str">
        <f>HYPERLINK("https://pbs.twimg.com/profile_images/962471262747529216/Uo8lOkRJ_normal.jpg","View")</f>
        <v>View</v>
      </c>
      <c r="P15012" s="7"/>
    </row>
    <row r="15013" spans="1:16">
      <c r="A15013" s="3">
        <v>44364.781527777777</v>
      </c>
      <c r="B15013" s="4" t="str">
        <f>HYPERLINK("https://twitter.com/petrogustavo","@petrogustavo")</f>
        <v>@petrogustavo</v>
      </c>
      <c r="C15013" s="5" t="s">
        <v>16</v>
      </c>
      <c r="D15013" s="5" t="s">
        <v>14458</v>
      </c>
      <c r="E15013" s="6" t="str">
        <f>HYPERLINK("https://twitter.com/petrogustavo/status/1405514416741916679","1405514416741916679")</f>
        <v>1405514416741916679</v>
      </c>
      <c r="F15013" s="7" t="s">
        <v>17</v>
      </c>
      <c r="G15013" s="7">
        <v>4310510</v>
      </c>
      <c r="H15013" s="7">
        <v>2523</v>
      </c>
      <c r="I15013" s="7">
        <v>65</v>
      </c>
      <c r="J15013" s="7">
        <v>0</v>
      </c>
      <c r="K15013" s="7" t="s">
        <v>18</v>
      </c>
      <c r="L15013" s="8">
        <v>39987.315405092595</v>
      </c>
      <c r="M15013" s="9" t="s">
        <v>19</v>
      </c>
      <c r="N15013" s="9" t="s">
        <v>20</v>
      </c>
      <c r="O15013" s="6" t="str">
        <f>HYPERLINK("https://pbs.twimg.com/profile_images/962471262747529216/Uo8lOkRJ_normal.jpg","View")</f>
        <v>View</v>
      </c>
      <c r="P15013" s="7"/>
    </row>
    <row r="15014" spans="1:16">
      <c r="A15014" s="3">
        <v>44364.781875000001</v>
      </c>
      <c r="B15014" s="4" t="str">
        <f>HYPERLINK("https://twitter.com/petrogustavo","@petrogustavo")</f>
        <v>@petrogustavo</v>
      </c>
      <c r="C15014" s="5" t="s">
        <v>16</v>
      </c>
      <c r="D15014" s="5" t="s">
        <v>14459</v>
      </c>
      <c r="E15014" s="6" t="str">
        <f>HYPERLINK("https://twitter.com/petrogustavo/status/1405514541799182337","1405514541799182337")</f>
        <v>1405514541799182337</v>
      </c>
      <c r="F15014" s="7" t="s">
        <v>17</v>
      </c>
      <c r="G15014" s="7">
        <v>4310510</v>
      </c>
      <c r="H15014" s="7">
        <v>2523</v>
      </c>
      <c r="I15014" s="7">
        <v>92</v>
      </c>
      <c r="J15014" s="7">
        <v>0</v>
      </c>
      <c r="K15014" s="7" t="s">
        <v>18</v>
      </c>
      <c r="L15014" s="8">
        <v>39987.315405092595</v>
      </c>
      <c r="M15014" s="9" t="s">
        <v>19</v>
      </c>
      <c r="N15014" s="9" t="s">
        <v>20</v>
      </c>
      <c r="O15014" s="6" t="str">
        <f>HYPERLINK("https://pbs.twimg.com/profile_images/962471262747529216/Uo8lOkRJ_normal.jpg","View")</f>
        <v>View</v>
      </c>
      <c r="P15014" s="7"/>
    </row>
    <row r="15015" spans="1:16">
      <c r="A15015" s="3">
        <v>44364.782118055555</v>
      </c>
      <c r="B15015" s="4" t="str">
        <f>HYPERLINK("https://twitter.com/petrogustavo","@petrogustavo")</f>
        <v>@petrogustavo</v>
      </c>
      <c r="C15015" s="5" t="s">
        <v>16</v>
      </c>
      <c r="D15015" s="5" t="s">
        <v>14460</v>
      </c>
      <c r="E15015" s="6" t="str">
        <f>HYPERLINK("https://twitter.com/petrogustavo/status/1405514630760439815","1405514630760439815")</f>
        <v>1405514630760439815</v>
      </c>
      <c r="F15015" s="7" t="s">
        <v>17</v>
      </c>
      <c r="G15015" s="7">
        <v>4310510</v>
      </c>
      <c r="H15015" s="7">
        <v>2523</v>
      </c>
      <c r="I15015" s="7">
        <v>42</v>
      </c>
      <c r="J15015" s="7">
        <v>0</v>
      </c>
      <c r="K15015" s="7" t="s">
        <v>18</v>
      </c>
      <c r="L15015" s="8">
        <v>39987.315405092595</v>
      </c>
      <c r="M15015" s="9" t="s">
        <v>19</v>
      </c>
      <c r="N15015" s="9" t="s">
        <v>20</v>
      </c>
      <c r="O15015" s="6" t="str">
        <f>HYPERLINK("https://pbs.twimg.com/profile_images/962471262747529216/Uo8lOkRJ_normal.jpg","View")</f>
        <v>View</v>
      </c>
      <c r="P15015" s="7"/>
    </row>
    <row r="15016" spans="1:16">
      <c r="A15016" s="3">
        <v>44364.782314814816</v>
      </c>
      <c r="B15016" s="4" t="str">
        <f>HYPERLINK("https://twitter.com/petrogustavo","@petrogustavo")</f>
        <v>@petrogustavo</v>
      </c>
      <c r="C15016" s="5" t="s">
        <v>16</v>
      </c>
      <c r="D15016" s="5" t="s">
        <v>14461</v>
      </c>
      <c r="E15016" s="6" t="str">
        <f>HYPERLINK("https://twitter.com/petrogustavo/status/1405514701291896834","1405514701291896834")</f>
        <v>1405514701291896834</v>
      </c>
      <c r="F15016" s="7" t="s">
        <v>17</v>
      </c>
      <c r="G15016" s="7">
        <v>4310510</v>
      </c>
      <c r="H15016" s="7">
        <v>2523</v>
      </c>
      <c r="I15016" s="7">
        <v>59</v>
      </c>
      <c r="J15016" s="7">
        <v>0</v>
      </c>
      <c r="K15016" s="7" t="s">
        <v>18</v>
      </c>
      <c r="L15016" s="8">
        <v>39987.315405092595</v>
      </c>
      <c r="M15016" s="9" t="s">
        <v>19</v>
      </c>
      <c r="N15016" s="9" t="s">
        <v>20</v>
      </c>
      <c r="O15016" s="6" t="str">
        <f>HYPERLINK("https://pbs.twimg.com/profile_images/962471262747529216/Uo8lOkRJ_normal.jpg","View")</f>
        <v>View</v>
      </c>
      <c r="P15016" s="7"/>
    </row>
    <row r="15017" spans="1:16">
      <c r="A15017" s="3">
        <v>44364.782546296294</v>
      </c>
      <c r="B15017" s="4" t="str">
        <f>HYPERLINK("https://twitter.com/petrogustavo","@petrogustavo")</f>
        <v>@petrogustavo</v>
      </c>
      <c r="C15017" s="5" t="s">
        <v>16</v>
      </c>
      <c r="D15017" s="5" t="s">
        <v>14462</v>
      </c>
      <c r="E15017" s="6" t="str">
        <f>HYPERLINK("https://twitter.com/petrogustavo/status/1405514783642816516","1405514783642816516")</f>
        <v>1405514783642816516</v>
      </c>
      <c r="F15017" s="7" t="s">
        <v>17</v>
      </c>
      <c r="G15017" s="7">
        <v>4310510</v>
      </c>
      <c r="H15017" s="7">
        <v>2523</v>
      </c>
      <c r="I15017" s="7">
        <v>119</v>
      </c>
      <c r="J15017" s="7">
        <v>0</v>
      </c>
      <c r="K15017" s="7" t="s">
        <v>18</v>
      </c>
      <c r="L15017" s="8">
        <v>39987.315405092595</v>
      </c>
      <c r="M15017" s="9" t="s">
        <v>19</v>
      </c>
      <c r="N15017" s="9" t="s">
        <v>20</v>
      </c>
      <c r="O15017" s="6" t="str">
        <f>HYPERLINK("https://pbs.twimg.com/profile_images/962471262747529216/Uo8lOkRJ_normal.jpg","View")</f>
        <v>View</v>
      </c>
      <c r="P15017" s="7"/>
    </row>
    <row r="15018" spans="1:16">
      <c r="A15018" s="3">
        <v>44364.783055555556</v>
      </c>
      <c r="B15018" s="4" t="str">
        <f>HYPERLINK("https://twitter.com/petrogustavo","@petrogustavo")</f>
        <v>@petrogustavo</v>
      </c>
      <c r="C15018" s="5" t="s">
        <v>16</v>
      </c>
      <c r="D15018" s="5" t="s">
        <v>14463</v>
      </c>
      <c r="E15018" s="6" t="str">
        <f>HYPERLINK("https://twitter.com/petrogustavo/status/1405514969727356928","1405514969727356928")</f>
        <v>1405514969727356928</v>
      </c>
      <c r="F15018" s="7" t="s">
        <v>17</v>
      </c>
      <c r="G15018" s="7">
        <v>4310510</v>
      </c>
      <c r="H15018" s="7">
        <v>2523</v>
      </c>
      <c r="I15018" s="7">
        <v>62</v>
      </c>
      <c r="J15018" s="7">
        <v>0</v>
      </c>
      <c r="K15018" s="7" t="s">
        <v>18</v>
      </c>
      <c r="L15018" s="8">
        <v>39987.315405092595</v>
      </c>
      <c r="M15018" s="9" t="s">
        <v>19</v>
      </c>
      <c r="N15018" s="9" t="s">
        <v>20</v>
      </c>
      <c r="O15018" s="6" t="str">
        <f>HYPERLINK("https://pbs.twimg.com/profile_images/962471262747529216/Uo8lOkRJ_normal.jpg","View")</f>
        <v>View</v>
      </c>
      <c r="P15018" s="7"/>
    </row>
    <row r="15019" spans="1:16">
      <c r="A15019" s="3">
        <v>44364.78534722222</v>
      </c>
      <c r="B15019" s="4" t="str">
        <f>HYPERLINK("https://twitter.com/petrogustavo","@petrogustavo")</f>
        <v>@petrogustavo</v>
      </c>
      <c r="C15019" s="5" t="s">
        <v>16</v>
      </c>
      <c r="D15019" s="5" t="s">
        <v>14464</v>
      </c>
      <c r="E15019" s="6" t="str">
        <f>HYPERLINK("https://twitter.com/petrogustavo/status/1405515797842337796","1405515797842337796")</f>
        <v>1405515797842337796</v>
      </c>
      <c r="F15019" s="7" t="s">
        <v>17</v>
      </c>
      <c r="G15019" s="7">
        <v>4310510</v>
      </c>
      <c r="H15019" s="7">
        <v>2523</v>
      </c>
      <c r="I15019" s="7">
        <v>354</v>
      </c>
      <c r="J15019" s="7">
        <v>1180</v>
      </c>
      <c r="K15019" s="7" t="s">
        <v>18</v>
      </c>
      <c r="L15019" s="8">
        <v>39987.315405092595</v>
      </c>
      <c r="M15019" s="9" t="s">
        <v>19</v>
      </c>
      <c r="N15019" s="9" t="s">
        <v>20</v>
      </c>
      <c r="O15019" s="6" t="str">
        <f>HYPERLINK("https://pbs.twimg.com/profile_images/962471262747529216/Uo8lOkRJ_normal.jpg","View")</f>
        <v>View</v>
      </c>
      <c r="P15019" s="7"/>
    </row>
    <row r="15020" spans="1:16">
      <c r="A15020" s="3">
        <v>44364.822418981479</v>
      </c>
      <c r="B15020" s="4" t="str">
        <f>HYPERLINK("https://twitter.com/petrogustavo","@petrogustavo")</f>
        <v>@petrogustavo</v>
      </c>
      <c r="C15020" s="5" t="s">
        <v>16</v>
      </c>
      <c r="D15020" s="5" t="s">
        <v>14465</v>
      </c>
      <c r="E15020" s="6" t="str">
        <f>HYPERLINK("https://twitter.com/petrogustavo/status/1405529235603607557","1405529235603607557")</f>
        <v>1405529235603607557</v>
      </c>
      <c r="F15020" s="7" t="s">
        <v>17</v>
      </c>
      <c r="G15020" s="7">
        <v>4309798</v>
      </c>
      <c r="H15020" s="7">
        <v>2524</v>
      </c>
      <c r="I15020" s="7">
        <v>149</v>
      </c>
      <c r="J15020" s="7">
        <v>0</v>
      </c>
      <c r="K15020" s="7" t="s">
        <v>18</v>
      </c>
      <c r="L15020" s="8">
        <v>39987.315405092595</v>
      </c>
      <c r="M15020" s="9" t="s">
        <v>19</v>
      </c>
      <c r="N15020" s="9" t="s">
        <v>20</v>
      </c>
      <c r="O15020" s="6" t="str">
        <f>HYPERLINK("https://pbs.twimg.com/profile_images/962471262747529216/Uo8lOkRJ_normal.jpg","View")</f>
        <v>View</v>
      </c>
      <c r="P15020" s="7"/>
    </row>
    <row r="15021" spans="1:16">
      <c r="A15021" s="3">
        <v>44364.824629629627</v>
      </c>
      <c r="B15021" s="4" t="str">
        <f>HYPERLINK("https://twitter.com/petrogustavo","@petrogustavo")</f>
        <v>@petrogustavo</v>
      </c>
      <c r="C15021" s="5" t="s">
        <v>16</v>
      </c>
      <c r="D15021" s="5" t="s">
        <v>14466</v>
      </c>
      <c r="E15021" s="6" t="str">
        <f>HYPERLINK("https://twitter.com/petrogustavo/status/1405530034111016988","1405530034111016988")</f>
        <v>1405530034111016988</v>
      </c>
      <c r="F15021" s="7" t="s">
        <v>17</v>
      </c>
      <c r="G15021" s="7">
        <v>4309798</v>
      </c>
      <c r="H15021" s="7">
        <v>2524</v>
      </c>
      <c r="I15021" s="7">
        <v>362</v>
      </c>
      <c r="J15021" s="7">
        <v>891</v>
      </c>
      <c r="K15021" s="7" t="s">
        <v>18</v>
      </c>
      <c r="L15021" s="8">
        <v>39987.315405092595</v>
      </c>
      <c r="M15021" s="9" t="s">
        <v>19</v>
      </c>
      <c r="N15021" s="9" t="s">
        <v>20</v>
      </c>
      <c r="O15021" s="6" t="str">
        <f>HYPERLINK("https://pbs.twimg.com/profile_images/962471262747529216/Uo8lOkRJ_normal.jpg","View")</f>
        <v>View</v>
      </c>
      <c r="P15021" s="7"/>
    </row>
    <row r="15022" spans="1:16">
      <c r="A15022" s="3">
        <v>44364.883958333332</v>
      </c>
      <c r="B15022" s="4" t="str">
        <f>HYPERLINK("https://twitter.com/petrogustavo","@petrogustavo")</f>
        <v>@petrogustavo</v>
      </c>
      <c r="C15022" s="5" t="s">
        <v>16</v>
      </c>
      <c r="D15022" s="5" t="s">
        <v>14467</v>
      </c>
      <c r="E15022" s="6" t="str">
        <f>HYPERLINK("https://twitter.com/petrogustavo/status/1405551535279329284","1405551535279329284")</f>
        <v>1405551535279329284</v>
      </c>
      <c r="F15022" s="7" t="s">
        <v>22</v>
      </c>
      <c r="G15022" s="7">
        <v>4310637</v>
      </c>
      <c r="H15022" s="7">
        <v>2522</v>
      </c>
      <c r="I15022" s="7">
        <v>143</v>
      </c>
      <c r="J15022" s="7">
        <v>327</v>
      </c>
      <c r="K15022" s="7" t="s">
        <v>18</v>
      </c>
      <c r="L15022" s="8">
        <v>39987.315405092595</v>
      </c>
      <c r="M15022" s="9" t="s">
        <v>19</v>
      </c>
      <c r="N15022" s="9" t="s">
        <v>20</v>
      </c>
      <c r="O15022" s="6" t="str">
        <f>HYPERLINK("https://pbs.twimg.com/profile_images/962471262747529216/Uo8lOkRJ_normal.jpg","View")</f>
        <v>View</v>
      </c>
      <c r="P15022" s="7"/>
    </row>
    <row r="15023" spans="1:16">
      <c r="A15023" s="3">
        <v>44364.89</v>
      </c>
      <c r="B15023" s="4" t="str">
        <f>HYPERLINK("https://twitter.com/petrogustavo","@petrogustavo")</f>
        <v>@petrogustavo</v>
      </c>
      <c r="C15023" s="5" t="s">
        <v>16</v>
      </c>
      <c r="D15023" s="5" t="s">
        <v>14468</v>
      </c>
      <c r="E15023" s="6" t="str">
        <f>HYPERLINK("https://twitter.com/petrogustavo/status/1405553726086057988","1405553726086057988")</f>
        <v>1405553726086057988</v>
      </c>
      <c r="F15023" s="7" t="s">
        <v>17</v>
      </c>
      <c r="G15023" s="7">
        <v>4310637</v>
      </c>
      <c r="H15023" s="7">
        <v>2522</v>
      </c>
      <c r="I15023" s="7">
        <v>150</v>
      </c>
      <c r="J15023" s="7">
        <v>606</v>
      </c>
      <c r="K15023" s="7" t="s">
        <v>18</v>
      </c>
      <c r="L15023" s="8">
        <v>39987.315405092595</v>
      </c>
      <c r="M15023" s="9" t="s">
        <v>19</v>
      </c>
      <c r="N15023" s="9" t="s">
        <v>20</v>
      </c>
      <c r="O15023" s="6" t="str">
        <f>HYPERLINK("https://pbs.twimg.com/profile_images/962471262747529216/Uo8lOkRJ_normal.jpg","View")</f>
        <v>View</v>
      </c>
      <c r="P15023" s="7"/>
    </row>
    <row r="15024" spans="1:16">
      <c r="A15024" s="3">
        <v>44364.901851851857</v>
      </c>
      <c r="B15024" s="4" t="str">
        <f>HYPERLINK("https://twitter.com/petrogustavo","@petrogustavo")</f>
        <v>@petrogustavo</v>
      </c>
      <c r="C15024" s="5" t="s">
        <v>16</v>
      </c>
      <c r="D15024" s="5" t="s">
        <v>14469</v>
      </c>
      <c r="E15024" s="6" t="str">
        <f>HYPERLINK("https://twitter.com/petrogustavo/status/1405558021304946688","1405558021304946688")</f>
        <v>1405558021304946688</v>
      </c>
      <c r="F15024" s="7" t="s">
        <v>22</v>
      </c>
      <c r="G15024" s="7">
        <v>4310662</v>
      </c>
      <c r="H15024" s="7">
        <v>2522</v>
      </c>
      <c r="I15024" s="7">
        <v>211</v>
      </c>
      <c r="J15024" s="7">
        <v>436</v>
      </c>
      <c r="K15024" s="7" t="s">
        <v>18</v>
      </c>
      <c r="L15024" s="8">
        <v>39987.315405092595</v>
      </c>
      <c r="M15024" s="9" t="s">
        <v>19</v>
      </c>
      <c r="N15024" s="9" t="s">
        <v>20</v>
      </c>
      <c r="O15024" s="6" t="str">
        <f>HYPERLINK("https://pbs.twimg.com/profile_images/962471262747529216/Uo8lOkRJ_normal.jpg","View")</f>
        <v>View</v>
      </c>
      <c r="P15024" s="7"/>
    </row>
    <row r="15025" spans="1:16">
      <c r="A15025" s="3">
        <v>44364.958449074074</v>
      </c>
      <c r="B15025" s="4" t="str">
        <f>HYPERLINK("https://twitter.com/petrogustavo","@petrogustavo")</f>
        <v>@petrogustavo</v>
      </c>
      <c r="C15025" s="5" t="s">
        <v>16</v>
      </c>
      <c r="D15025" s="5" t="s">
        <v>14470</v>
      </c>
      <c r="E15025" s="6" t="str">
        <f>HYPERLINK("https://twitter.com/petrogustavo/status/1405578527597117442","1405578527597117442")</f>
        <v>1405578527597117442</v>
      </c>
      <c r="F15025" s="7" t="s">
        <v>17</v>
      </c>
      <c r="G15025" s="7">
        <v>4310714</v>
      </c>
      <c r="H15025" s="7">
        <v>2522</v>
      </c>
      <c r="I15025" s="7">
        <v>52</v>
      </c>
      <c r="J15025" s="7">
        <v>0</v>
      </c>
      <c r="K15025" s="7" t="s">
        <v>18</v>
      </c>
      <c r="L15025" s="8">
        <v>39987.315405092595</v>
      </c>
      <c r="M15025" s="9" t="s">
        <v>19</v>
      </c>
      <c r="N15025" s="9" t="s">
        <v>20</v>
      </c>
      <c r="O15025" s="6" t="str">
        <f>HYPERLINK("https://pbs.twimg.com/profile_images/962471262747529216/Uo8lOkRJ_normal.jpg","View")</f>
        <v>View</v>
      </c>
      <c r="P15025" s="7"/>
    </row>
    <row r="15026" spans="1:16">
      <c r="A15026" s="3">
        <v>44364.958564814813</v>
      </c>
      <c r="B15026" s="4" t="str">
        <f>HYPERLINK("https://twitter.com/petrogustavo","@petrogustavo")</f>
        <v>@petrogustavo</v>
      </c>
      <c r="C15026" s="5" t="s">
        <v>16</v>
      </c>
      <c r="D15026" s="5" t="s">
        <v>14471</v>
      </c>
      <c r="E15026" s="6" t="str">
        <f>HYPERLINK("https://twitter.com/petrogustavo/status/1405578572220321792","1405578572220321792")</f>
        <v>1405578572220321792</v>
      </c>
      <c r="F15026" s="7" t="s">
        <v>17</v>
      </c>
      <c r="G15026" s="7">
        <v>4310714</v>
      </c>
      <c r="H15026" s="7">
        <v>2522</v>
      </c>
      <c r="I15026" s="7">
        <v>74</v>
      </c>
      <c r="J15026" s="7">
        <v>0</v>
      </c>
      <c r="K15026" s="7" t="s">
        <v>18</v>
      </c>
      <c r="L15026" s="8">
        <v>39987.315405092595</v>
      </c>
      <c r="M15026" s="9" t="s">
        <v>19</v>
      </c>
      <c r="N15026" s="9" t="s">
        <v>20</v>
      </c>
      <c r="O15026" s="6" t="str">
        <f>HYPERLINK("https://pbs.twimg.com/profile_images/962471262747529216/Uo8lOkRJ_normal.jpg","View")</f>
        <v>View</v>
      </c>
      <c r="P15026" s="7"/>
    </row>
    <row r="15027" spans="1:16">
      <c r="A15027" s="3">
        <v>44364.969560185185</v>
      </c>
      <c r="B15027" s="4" t="str">
        <f>HYPERLINK("https://twitter.com/petrogustavo","@petrogustavo")</f>
        <v>@petrogustavo</v>
      </c>
      <c r="C15027" s="5" t="s">
        <v>16</v>
      </c>
      <c r="D15027" s="5" t="s">
        <v>14472</v>
      </c>
      <c r="E15027" s="6" t="str">
        <f>HYPERLINK("https://twitter.com/petrogustavo/status/1405582556670554112","1405582556670554112")</f>
        <v>1405582556670554112</v>
      </c>
      <c r="F15027" s="7" t="s">
        <v>22</v>
      </c>
      <c r="G15027" s="7">
        <v>4310723</v>
      </c>
      <c r="H15027" s="7">
        <v>2522</v>
      </c>
      <c r="I15027" s="7">
        <v>152</v>
      </c>
      <c r="J15027" s="7">
        <v>460</v>
      </c>
      <c r="K15027" s="7" t="s">
        <v>18</v>
      </c>
      <c r="L15027" s="8">
        <v>39987.315405092595</v>
      </c>
      <c r="M15027" s="9" t="s">
        <v>19</v>
      </c>
      <c r="N15027" s="9" t="s">
        <v>20</v>
      </c>
      <c r="O15027" s="6" t="str">
        <f>HYPERLINK("https://pbs.twimg.com/profile_images/962471262747529216/Uo8lOkRJ_normal.jpg","View")</f>
        <v>View</v>
      </c>
      <c r="P15027" s="7"/>
    </row>
    <row r="15028" spans="1:16">
      <c r="A15028" s="3">
        <v>44365.055185185185</v>
      </c>
      <c r="B15028" s="4" t="str">
        <f>HYPERLINK("https://twitter.com/petrogustavo","@petrogustavo")</f>
        <v>@petrogustavo</v>
      </c>
      <c r="C15028" s="5" t="s">
        <v>16</v>
      </c>
      <c r="D15028" s="5" t="s">
        <v>14473</v>
      </c>
      <c r="E15028" s="6" t="str">
        <f>HYPERLINK("https://twitter.com/petrogustavo/status/1405613584386773000","1405613584386773000")</f>
        <v>1405613584386773000</v>
      </c>
      <c r="F15028" s="7" t="s">
        <v>32</v>
      </c>
      <c r="G15028" s="7">
        <v>4310823</v>
      </c>
      <c r="H15028" s="7">
        <v>2522</v>
      </c>
      <c r="I15028" s="7">
        <v>125</v>
      </c>
      <c r="J15028" s="7">
        <v>0</v>
      </c>
      <c r="K15028" s="7" t="s">
        <v>18</v>
      </c>
      <c r="L15028" s="8">
        <v>39987.315405092595</v>
      </c>
      <c r="M15028" s="9" t="s">
        <v>19</v>
      </c>
      <c r="N15028" s="9" t="s">
        <v>20</v>
      </c>
      <c r="O15028" s="6" t="str">
        <f>HYPERLINK("https://pbs.twimg.com/profile_images/962471262747529216/Uo8lOkRJ_normal.jpg","View")</f>
        <v>View</v>
      </c>
      <c r="P15028" s="7"/>
    </row>
    <row r="15029" spans="1:16">
      <c r="A15029" s="3">
        <v>44365.056504629625</v>
      </c>
      <c r="B15029" s="4" t="str">
        <f>HYPERLINK("https://twitter.com/petrogustavo","@petrogustavo")</f>
        <v>@petrogustavo</v>
      </c>
      <c r="C15029" s="5" t="s">
        <v>16</v>
      </c>
      <c r="D15029" s="5" t="s">
        <v>14474</v>
      </c>
      <c r="E15029" s="6" t="str">
        <f>HYPERLINK("https://twitter.com/petrogustavo/status/1405614064240410624","1405614064240410624")</f>
        <v>1405614064240410624</v>
      </c>
      <c r="F15029" s="7" t="s">
        <v>17</v>
      </c>
      <c r="G15029" s="7">
        <v>4310823</v>
      </c>
      <c r="H15029" s="7">
        <v>2522</v>
      </c>
      <c r="I15029" s="7">
        <v>88</v>
      </c>
      <c r="J15029" s="7">
        <v>434</v>
      </c>
      <c r="K15029" s="7" t="s">
        <v>18</v>
      </c>
      <c r="L15029" s="8">
        <v>39987.315405092595</v>
      </c>
      <c r="M15029" s="9" t="s">
        <v>19</v>
      </c>
      <c r="N15029" s="9" t="s">
        <v>20</v>
      </c>
      <c r="O15029" s="6" t="str">
        <f>HYPERLINK("https://pbs.twimg.com/profile_images/962471262747529216/Uo8lOkRJ_normal.jpg","View")</f>
        <v>View</v>
      </c>
      <c r="P15029" s="7"/>
    </row>
    <row r="15030" spans="1:16">
      <c r="A15030" s="3">
        <v>44365.082060185188</v>
      </c>
      <c r="B15030" s="4" t="str">
        <f>HYPERLINK("https://twitter.com/petrogustavo","@petrogustavo")</f>
        <v>@petrogustavo</v>
      </c>
      <c r="C15030" s="5" t="s">
        <v>16</v>
      </c>
      <c r="D15030" s="5" t="s">
        <v>14475</v>
      </c>
      <c r="E15030" s="6" t="str">
        <f>HYPERLINK("https://twitter.com/petrogustavo/status/1405623324806463488","1405623324806463488")</f>
        <v>1405623324806463488</v>
      </c>
      <c r="F15030" s="7" t="s">
        <v>32</v>
      </c>
      <c r="G15030" s="7">
        <v>4310855</v>
      </c>
      <c r="H15030" s="7">
        <v>2522</v>
      </c>
      <c r="I15030" s="7">
        <v>29</v>
      </c>
      <c r="J15030" s="7">
        <v>0</v>
      </c>
      <c r="K15030" s="7" t="s">
        <v>18</v>
      </c>
      <c r="L15030" s="8">
        <v>39987.315405092595</v>
      </c>
      <c r="M15030" s="9" t="s">
        <v>19</v>
      </c>
      <c r="N15030" s="9" t="s">
        <v>20</v>
      </c>
      <c r="O15030" s="6" t="str">
        <f>HYPERLINK("https://pbs.twimg.com/profile_images/962471262747529216/Uo8lOkRJ_normal.jpg","View")</f>
        <v>View</v>
      </c>
      <c r="P15030" s="7"/>
    </row>
    <row r="15031" spans="1:16">
      <c r="A15031" s="3">
        <v>44365.082650462966</v>
      </c>
      <c r="B15031" s="4" t="str">
        <f>HYPERLINK("https://twitter.com/petrogustavo","@petrogustavo")</f>
        <v>@petrogustavo</v>
      </c>
      <c r="C15031" s="5" t="s">
        <v>16</v>
      </c>
      <c r="D15031" s="5" t="s">
        <v>14476</v>
      </c>
      <c r="E15031" s="6" t="str">
        <f>HYPERLINK("https://twitter.com/petrogustavo/status/1405623540674662400","1405623540674662400")</f>
        <v>1405623540674662400</v>
      </c>
      <c r="F15031" s="7" t="s">
        <v>32</v>
      </c>
      <c r="G15031" s="7">
        <v>4310855</v>
      </c>
      <c r="H15031" s="7">
        <v>2522</v>
      </c>
      <c r="I15031" s="7">
        <v>23</v>
      </c>
      <c r="J15031" s="7">
        <v>0</v>
      </c>
      <c r="K15031" s="7" t="s">
        <v>18</v>
      </c>
      <c r="L15031" s="8">
        <v>39987.315405092595</v>
      </c>
      <c r="M15031" s="9" t="s">
        <v>19</v>
      </c>
      <c r="N15031" s="9" t="s">
        <v>20</v>
      </c>
      <c r="O15031" s="6" t="str">
        <f>HYPERLINK("https://pbs.twimg.com/profile_images/962471262747529216/Uo8lOkRJ_normal.jpg","View")</f>
        <v>View</v>
      </c>
      <c r="P15031" s="7"/>
    </row>
    <row r="15032" spans="1:16">
      <c r="A15032" s="3">
        <v>44365.734444444446</v>
      </c>
      <c r="B15032" s="4" t="str">
        <f>HYPERLINK("https://twitter.com/petrogustavo","@petrogustavo")</f>
        <v>@petrogustavo</v>
      </c>
      <c r="C15032" s="5" t="s">
        <v>16</v>
      </c>
      <c r="D15032" s="5" t="s">
        <v>14477</v>
      </c>
      <c r="E15032" s="6" t="str">
        <f>HYPERLINK("https://twitter.com/petrogustavo/status/1405859741637779456","1405859741637779456")</f>
        <v>1405859741637779456</v>
      </c>
      <c r="F15032" s="7" t="s">
        <v>17</v>
      </c>
      <c r="G15032" s="7">
        <v>4311341</v>
      </c>
      <c r="H15032" s="7">
        <v>2523</v>
      </c>
      <c r="I15032" s="7">
        <v>600</v>
      </c>
      <c r="J15032" s="7">
        <v>0</v>
      </c>
      <c r="K15032" s="7" t="s">
        <v>18</v>
      </c>
      <c r="L15032" s="8">
        <v>39987.315405092595</v>
      </c>
      <c r="M15032" s="9" t="s">
        <v>19</v>
      </c>
      <c r="N15032" s="9" t="s">
        <v>20</v>
      </c>
      <c r="O15032" s="6" t="str">
        <f>HYPERLINK("https://pbs.twimg.com/profile_images/962471262747529216/Uo8lOkRJ_normal.jpg","View")</f>
        <v>View</v>
      </c>
      <c r="P15032" s="7"/>
    </row>
    <row r="15033" spans="1:16">
      <c r="A15033" s="3">
        <v>44365.830682870372</v>
      </c>
      <c r="B15033" s="4" t="str">
        <f>HYPERLINK("https://twitter.com/petrogustavo","@petrogustavo")</f>
        <v>@petrogustavo</v>
      </c>
      <c r="C15033" s="5" t="s">
        <v>16</v>
      </c>
      <c r="D15033" s="5" t="s">
        <v>14478</v>
      </c>
      <c r="E15033" s="6" t="str">
        <f>HYPERLINK("https://twitter.com/petrogustavo/status/1405894615132168203","1405894615132168203")</f>
        <v>1405894615132168203</v>
      </c>
      <c r="F15033" s="7" t="s">
        <v>17</v>
      </c>
      <c r="G15033" s="7">
        <v>4311429</v>
      </c>
      <c r="H15033" s="7">
        <v>2523</v>
      </c>
      <c r="I15033" s="7">
        <v>58</v>
      </c>
      <c r="J15033" s="7">
        <v>0</v>
      </c>
      <c r="K15033" s="7" t="s">
        <v>18</v>
      </c>
      <c r="L15033" s="8">
        <v>39987.315405092595</v>
      </c>
      <c r="M15033" s="9" t="s">
        <v>19</v>
      </c>
      <c r="N15033" s="9" t="s">
        <v>20</v>
      </c>
      <c r="O15033" s="6" t="str">
        <f>HYPERLINK("https://pbs.twimg.com/profile_images/962471262747529216/Uo8lOkRJ_normal.jpg","View")</f>
        <v>View</v>
      </c>
      <c r="P15033" s="7"/>
    </row>
    <row r="15034" spans="1:16">
      <c r="A15034" s="3">
        <v>44365.958425925928</v>
      </c>
      <c r="B15034" s="4" t="str">
        <f>HYPERLINK("https://twitter.com/petrogustavo","@petrogustavo")</f>
        <v>@petrogustavo</v>
      </c>
      <c r="C15034" s="5" t="s">
        <v>16</v>
      </c>
      <c r="D15034" s="5" t="s">
        <v>14479</v>
      </c>
      <c r="E15034" s="6" t="str">
        <f>HYPERLINK("https://twitter.com/petrogustavo/status/1405940907975774208","1405940907975774208")</f>
        <v>1405940907975774208</v>
      </c>
      <c r="F15034" s="7" t="s">
        <v>32</v>
      </c>
      <c r="G15034" s="7">
        <v>4311654</v>
      </c>
      <c r="H15034" s="7">
        <v>2522</v>
      </c>
      <c r="I15034" s="7">
        <v>20</v>
      </c>
      <c r="J15034" s="7">
        <v>0</v>
      </c>
      <c r="K15034" s="7" t="s">
        <v>18</v>
      </c>
      <c r="L15034" s="8">
        <v>39987.315405092595</v>
      </c>
      <c r="M15034" s="9" t="s">
        <v>19</v>
      </c>
      <c r="N15034" s="9" t="s">
        <v>20</v>
      </c>
      <c r="O15034" s="6" t="str">
        <f>HYPERLINK("https://pbs.twimg.com/profile_images/962471262747529216/Uo8lOkRJ_normal.jpg","View")</f>
        <v>View</v>
      </c>
      <c r="P15034" s="7"/>
    </row>
    <row r="15035" spans="1:16">
      <c r="A15035" s="3">
        <v>44365.964444444442</v>
      </c>
      <c r="B15035" s="4" t="str">
        <f>HYPERLINK("https://twitter.com/petrogustavo","@petrogustavo")</f>
        <v>@petrogustavo</v>
      </c>
      <c r="C15035" s="5" t="s">
        <v>16</v>
      </c>
      <c r="D15035" s="5" t="s">
        <v>14480</v>
      </c>
      <c r="E15035" s="6" t="str">
        <f>HYPERLINK("https://twitter.com/petrogustavo/status/1405943089273901056","1405943089273901056")</f>
        <v>1405943089273901056</v>
      </c>
      <c r="F15035" s="7" t="s">
        <v>17</v>
      </c>
      <c r="G15035" s="7">
        <v>4311713</v>
      </c>
      <c r="H15035" s="7">
        <v>2522</v>
      </c>
      <c r="I15035" s="7">
        <v>57</v>
      </c>
      <c r="J15035" s="7">
        <v>0</v>
      </c>
      <c r="K15035" s="7" t="s">
        <v>18</v>
      </c>
      <c r="L15035" s="8">
        <v>39987.315405092595</v>
      </c>
      <c r="M15035" s="9" t="s">
        <v>19</v>
      </c>
      <c r="N15035" s="9" t="s">
        <v>20</v>
      </c>
      <c r="O15035" s="6" t="str">
        <f>HYPERLINK("https://pbs.twimg.com/profile_images/962471262747529216/Uo8lOkRJ_normal.jpg","View")</f>
        <v>View</v>
      </c>
      <c r="P15035" s="7"/>
    </row>
    <row r="15036" spans="1:16">
      <c r="A15036" s="3">
        <v>44365.969131944439</v>
      </c>
      <c r="B15036" s="4" t="str">
        <f>HYPERLINK("https://twitter.com/petrogustavo","@petrogustavo")</f>
        <v>@petrogustavo</v>
      </c>
      <c r="C15036" s="5" t="s">
        <v>16</v>
      </c>
      <c r="D15036" s="5" t="s">
        <v>14481</v>
      </c>
      <c r="E15036" s="6" t="str">
        <f>HYPERLINK("https://twitter.com/petrogustavo/status/1405944790785708039","1405944790785708039")</f>
        <v>1405944790785708039</v>
      </c>
      <c r="F15036" s="7" t="s">
        <v>32</v>
      </c>
      <c r="G15036" s="7">
        <v>4311713</v>
      </c>
      <c r="H15036" s="7">
        <v>2522</v>
      </c>
      <c r="I15036" s="7">
        <v>35</v>
      </c>
      <c r="J15036" s="7">
        <v>0</v>
      </c>
      <c r="K15036" s="7" t="s">
        <v>18</v>
      </c>
      <c r="L15036" s="8">
        <v>39987.315405092595</v>
      </c>
      <c r="M15036" s="9" t="s">
        <v>19</v>
      </c>
      <c r="N15036" s="9" t="s">
        <v>20</v>
      </c>
      <c r="O15036" s="6" t="str">
        <f>HYPERLINK("https://pbs.twimg.com/profile_images/962471262747529216/Uo8lOkRJ_normal.jpg","View")</f>
        <v>View</v>
      </c>
      <c r="P15036" s="7"/>
    </row>
    <row r="15037" spans="1:16">
      <c r="A15037" s="3">
        <v>44365.975914351853</v>
      </c>
      <c r="B15037" s="4" t="str">
        <f>HYPERLINK("https://twitter.com/petrogustavo","@petrogustavo")</f>
        <v>@petrogustavo</v>
      </c>
      <c r="C15037" s="5" t="s">
        <v>16</v>
      </c>
      <c r="D15037" s="5" t="s">
        <v>14482</v>
      </c>
      <c r="E15037" s="6" t="str">
        <f>HYPERLINK("https://twitter.com/petrogustavo/status/1405947245858635777","1405947245858635777")</f>
        <v>1405947245858635777</v>
      </c>
      <c r="F15037" s="7" t="s">
        <v>32</v>
      </c>
      <c r="G15037" s="7">
        <v>4311713</v>
      </c>
      <c r="H15037" s="7">
        <v>2522</v>
      </c>
      <c r="I15037" s="7">
        <v>39</v>
      </c>
      <c r="J15037" s="7">
        <v>0</v>
      </c>
      <c r="K15037" s="7" t="s">
        <v>18</v>
      </c>
      <c r="L15037" s="8">
        <v>39987.315405092595</v>
      </c>
      <c r="M15037" s="9" t="s">
        <v>19</v>
      </c>
      <c r="N15037" s="9" t="s">
        <v>20</v>
      </c>
      <c r="O15037" s="6" t="str">
        <f>HYPERLINK("https://pbs.twimg.com/profile_images/962471262747529216/Uo8lOkRJ_normal.jpg","View")</f>
        <v>View</v>
      </c>
      <c r="P15037" s="7"/>
    </row>
    <row r="15038" spans="1:16">
      <c r="A15038" s="3">
        <v>44365.975995370369</v>
      </c>
      <c r="B15038" s="4" t="str">
        <f>HYPERLINK("https://twitter.com/petrogustavo","@petrogustavo")</f>
        <v>@petrogustavo</v>
      </c>
      <c r="C15038" s="5" t="s">
        <v>16</v>
      </c>
      <c r="D15038" s="5" t="s">
        <v>14483</v>
      </c>
      <c r="E15038" s="6" t="str">
        <f>HYPERLINK("https://twitter.com/petrogustavo/status/1405947274929262600","1405947274929262600")</f>
        <v>1405947274929262600</v>
      </c>
      <c r="F15038" s="7" t="s">
        <v>32</v>
      </c>
      <c r="G15038" s="7">
        <v>4311713</v>
      </c>
      <c r="H15038" s="7">
        <v>2522</v>
      </c>
      <c r="I15038" s="7">
        <v>31</v>
      </c>
      <c r="J15038" s="7">
        <v>0</v>
      </c>
      <c r="K15038" s="7" t="s">
        <v>18</v>
      </c>
      <c r="L15038" s="8">
        <v>39987.315405092595</v>
      </c>
      <c r="M15038" s="9" t="s">
        <v>19</v>
      </c>
      <c r="N15038" s="9" t="s">
        <v>20</v>
      </c>
      <c r="O15038" s="6" t="str">
        <f>HYPERLINK("https://pbs.twimg.com/profile_images/962471262747529216/Uo8lOkRJ_normal.jpg","View")</f>
        <v>View</v>
      </c>
      <c r="P15038" s="7"/>
    </row>
    <row r="15039" spans="1:16">
      <c r="A15039" s="3">
        <v>44365.977025462962</v>
      </c>
      <c r="B15039" s="4" t="str">
        <f>HYPERLINK("https://twitter.com/petrogustavo","@petrogustavo")</f>
        <v>@petrogustavo</v>
      </c>
      <c r="C15039" s="5" t="s">
        <v>16</v>
      </c>
      <c r="D15039" s="5" t="s">
        <v>14484</v>
      </c>
      <c r="E15039" s="6" t="str">
        <f>HYPERLINK("https://twitter.com/petrogustavo/status/1405947650390867968","1405947650390867968")</f>
        <v>1405947650390867968</v>
      </c>
      <c r="F15039" s="7" t="s">
        <v>32</v>
      </c>
      <c r="G15039" s="7">
        <v>4311713</v>
      </c>
      <c r="H15039" s="7">
        <v>2522</v>
      </c>
      <c r="I15039" s="7">
        <v>16</v>
      </c>
      <c r="J15039" s="7">
        <v>0</v>
      </c>
      <c r="K15039" s="7" t="s">
        <v>18</v>
      </c>
      <c r="L15039" s="8">
        <v>39987.315405092595</v>
      </c>
      <c r="M15039" s="9" t="s">
        <v>19</v>
      </c>
      <c r="N15039" s="9" t="s">
        <v>20</v>
      </c>
      <c r="O15039" s="6" t="str">
        <f>HYPERLINK("https://pbs.twimg.com/profile_images/962471262747529216/Uo8lOkRJ_normal.jpg","View")</f>
        <v>View</v>
      </c>
      <c r="P15039" s="7"/>
    </row>
    <row r="15040" spans="1:16">
      <c r="A15040" s="3">
        <v>44366.027372685188</v>
      </c>
      <c r="B15040" s="4" t="str">
        <f>HYPERLINK("https://twitter.com/petrogustavo","@petrogustavo")</f>
        <v>@petrogustavo</v>
      </c>
      <c r="C15040" s="5" t="s">
        <v>16</v>
      </c>
      <c r="D15040" s="5" t="s">
        <v>14485</v>
      </c>
      <c r="E15040" s="6" t="str">
        <f>HYPERLINK("https://twitter.com/petrogustavo/status/1405965892970819593","1405965892970819593")</f>
        <v>1405965892970819593</v>
      </c>
      <c r="F15040" s="7" t="s">
        <v>32</v>
      </c>
      <c r="G15040" s="7">
        <v>4311819</v>
      </c>
      <c r="H15040" s="7">
        <v>2523</v>
      </c>
      <c r="I15040" s="7">
        <v>77</v>
      </c>
      <c r="J15040" s="7">
        <v>0</v>
      </c>
      <c r="K15040" s="7" t="s">
        <v>18</v>
      </c>
      <c r="L15040" s="8">
        <v>39987.315405092595</v>
      </c>
      <c r="M15040" s="9" t="s">
        <v>19</v>
      </c>
      <c r="N15040" s="9" t="s">
        <v>20</v>
      </c>
      <c r="O15040" s="6" t="str">
        <f>HYPERLINK("https://pbs.twimg.com/profile_images/962471262747529216/Uo8lOkRJ_normal.jpg","View")</f>
        <v>View</v>
      </c>
      <c r="P15040" s="7"/>
    </row>
    <row r="15041" spans="1:16">
      <c r="A15041" s="3">
        <v>44366.03052083333</v>
      </c>
      <c r="B15041" s="4" t="str">
        <f>HYPERLINK("https://twitter.com/petrogustavo","@petrogustavo")</f>
        <v>@petrogustavo</v>
      </c>
      <c r="C15041" s="5" t="s">
        <v>16</v>
      </c>
      <c r="D15041" s="5" t="s">
        <v>14486</v>
      </c>
      <c r="E15041" s="6" t="str">
        <f>HYPERLINK("https://twitter.com/petrogustavo/status/1405967034492538883","1405967034492538883")</f>
        <v>1405967034492538883</v>
      </c>
      <c r="F15041" s="7" t="s">
        <v>32</v>
      </c>
      <c r="G15041" s="7">
        <v>4311819</v>
      </c>
      <c r="H15041" s="7">
        <v>2523</v>
      </c>
      <c r="I15041" s="7">
        <v>50</v>
      </c>
      <c r="J15041" s="7">
        <v>0</v>
      </c>
      <c r="K15041" s="7" t="s">
        <v>18</v>
      </c>
      <c r="L15041" s="8">
        <v>39987.315405092595</v>
      </c>
      <c r="M15041" s="9" t="s">
        <v>19</v>
      </c>
      <c r="N15041" s="9" t="s">
        <v>20</v>
      </c>
      <c r="O15041" s="6" t="str">
        <f>HYPERLINK("https://pbs.twimg.com/profile_images/962471262747529216/Uo8lOkRJ_normal.jpg","View")</f>
        <v>View</v>
      </c>
      <c r="P15041" s="7"/>
    </row>
    <row r="15042" spans="1:16">
      <c r="A15042" s="3">
        <v>44366.21229166667</v>
      </c>
      <c r="B15042" s="4" t="str">
        <f>HYPERLINK("https://twitter.com/petrogustavo","@petrogustavo")</f>
        <v>@petrogustavo</v>
      </c>
      <c r="C15042" s="5" t="s">
        <v>16</v>
      </c>
      <c r="D15042" s="5" t="s">
        <v>14487</v>
      </c>
      <c r="E15042" s="6" t="str">
        <f>HYPERLINK("https://twitter.com/petrogustavo/status/1406032905143455750","1406032905143455750")</f>
        <v>1406032905143455750</v>
      </c>
      <c r="F15042" s="7" t="s">
        <v>17</v>
      </c>
      <c r="G15042" s="7">
        <v>4312097</v>
      </c>
      <c r="H15042" s="7">
        <v>2523</v>
      </c>
      <c r="I15042" s="7">
        <v>95</v>
      </c>
      <c r="J15042" s="7">
        <v>0</v>
      </c>
      <c r="K15042" s="7" t="s">
        <v>18</v>
      </c>
      <c r="L15042" s="8">
        <v>39987.315405092595</v>
      </c>
      <c r="M15042" s="9" t="s">
        <v>19</v>
      </c>
      <c r="N15042" s="9" t="s">
        <v>20</v>
      </c>
      <c r="O15042" s="6" t="str">
        <f>HYPERLINK("https://pbs.twimg.com/profile_images/962471262747529216/Uo8lOkRJ_normal.jpg","View")</f>
        <v>View</v>
      </c>
      <c r="P15042" s="7"/>
    </row>
    <row r="15043" spans="1:16">
      <c r="A15043" s="3">
        <v>44366.972256944442</v>
      </c>
      <c r="B15043" s="4" t="str">
        <f>HYPERLINK("https://twitter.com/petrogustavo","@petrogustavo")</f>
        <v>@petrogustavo</v>
      </c>
      <c r="C15043" s="5" t="s">
        <v>16</v>
      </c>
      <c r="D15043" s="5" t="s">
        <v>14488</v>
      </c>
      <c r="E15043" s="6" t="str">
        <f>HYPERLINK("https://twitter.com/petrogustavo/status/1406308311021010945","1406308311021010945")</f>
        <v>1406308311021010945</v>
      </c>
      <c r="F15043" s="7" t="s">
        <v>17</v>
      </c>
      <c r="G15043" s="7">
        <v>4312629</v>
      </c>
      <c r="H15043" s="7">
        <v>2523</v>
      </c>
      <c r="I15043" s="7">
        <v>48</v>
      </c>
      <c r="J15043" s="7">
        <v>0</v>
      </c>
      <c r="K15043" s="7" t="s">
        <v>18</v>
      </c>
      <c r="L15043" s="8">
        <v>39987.315405092595</v>
      </c>
      <c r="M15043" s="9" t="s">
        <v>19</v>
      </c>
      <c r="N15043" s="9" t="s">
        <v>20</v>
      </c>
      <c r="O15043" s="6" t="str">
        <f>HYPERLINK("https://pbs.twimg.com/profile_images/962471262747529216/Uo8lOkRJ_normal.jpg","View")</f>
        <v>View</v>
      </c>
      <c r="P15043" s="7"/>
    </row>
    <row r="15044" spans="1:16">
      <c r="A15044" s="3">
        <v>44367.061388888891</v>
      </c>
      <c r="B15044" s="4" t="str">
        <f>HYPERLINK("https://twitter.com/petrogustavo","@petrogustavo")</f>
        <v>@petrogustavo</v>
      </c>
      <c r="C15044" s="5" t="s">
        <v>16</v>
      </c>
      <c r="D15044" s="5" t="s">
        <v>14489</v>
      </c>
      <c r="E15044" s="6" t="str">
        <f>HYPERLINK("https://twitter.com/petrogustavo/status/1406340611071004674","1406340611071004674")</f>
        <v>1406340611071004674</v>
      </c>
      <c r="F15044" s="7" t="s">
        <v>17</v>
      </c>
      <c r="G15044" s="7">
        <v>4312708</v>
      </c>
      <c r="H15044" s="7">
        <v>2523</v>
      </c>
      <c r="I15044" s="7">
        <v>205</v>
      </c>
      <c r="J15044" s="7">
        <v>0</v>
      </c>
      <c r="K15044" s="7" t="s">
        <v>18</v>
      </c>
      <c r="L15044" s="8">
        <v>39987.315405092595</v>
      </c>
      <c r="M15044" s="9" t="s">
        <v>19</v>
      </c>
      <c r="N15044" s="9" t="s">
        <v>20</v>
      </c>
      <c r="O15044" s="6" t="str">
        <f>HYPERLINK("https://pbs.twimg.com/profile_images/962471262747529216/Uo8lOkRJ_normal.jpg","View")</f>
        <v>View</v>
      </c>
      <c r="P15044" s="7"/>
    </row>
    <row r="15045" spans="1:16">
      <c r="A15045" s="3">
        <v>44367.061666666668</v>
      </c>
      <c r="B15045" s="4" t="str">
        <f>HYPERLINK("https://twitter.com/petrogustavo","@petrogustavo")</f>
        <v>@petrogustavo</v>
      </c>
      <c r="C15045" s="5" t="s">
        <v>16</v>
      </c>
      <c r="D15045" s="5" t="s">
        <v>14490</v>
      </c>
      <c r="E15045" s="6" t="str">
        <f>HYPERLINK("https://twitter.com/petrogustavo/status/1406340709939023874","1406340709939023874")</f>
        <v>1406340709939023874</v>
      </c>
      <c r="F15045" s="7" t="s">
        <v>17</v>
      </c>
      <c r="G15045" s="7">
        <v>4312708</v>
      </c>
      <c r="H15045" s="7">
        <v>2523</v>
      </c>
      <c r="I15045" s="7">
        <v>17</v>
      </c>
      <c r="J15045" s="7">
        <v>0</v>
      </c>
      <c r="K15045" s="7" t="s">
        <v>18</v>
      </c>
      <c r="L15045" s="8">
        <v>39987.315405092595</v>
      </c>
      <c r="M15045" s="9" t="s">
        <v>19</v>
      </c>
      <c r="N15045" s="9" t="s">
        <v>20</v>
      </c>
      <c r="O15045" s="6" t="str">
        <f>HYPERLINK("https://pbs.twimg.com/profile_images/962471262747529216/Uo8lOkRJ_normal.jpg","View")</f>
        <v>View</v>
      </c>
      <c r="P15045" s="7"/>
    </row>
    <row r="15046" spans="1:16">
      <c r="A15046" s="3">
        <v>44367.064826388887</v>
      </c>
      <c r="B15046" s="4" t="str">
        <f>HYPERLINK("https://twitter.com/petrogustavo","@petrogustavo")</f>
        <v>@petrogustavo</v>
      </c>
      <c r="C15046" s="5" t="s">
        <v>16</v>
      </c>
      <c r="D15046" s="5" t="s">
        <v>14491</v>
      </c>
      <c r="E15046" s="6" t="str">
        <f>HYPERLINK("https://twitter.com/petrogustavo/status/1406341856619905027","1406341856619905027")</f>
        <v>1406341856619905027</v>
      </c>
      <c r="F15046" s="7" t="s">
        <v>17</v>
      </c>
      <c r="G15046" s="7">
        <v>4312721</v>
      </c>
      <c r="H15046" s="7">
        <v>2523</v>
      </c>
      <c r="I15046" s="7">
        <v>55</v>
      </c>
      <c r="J15046" s="7">
        <v>0</v>
      </c>
      <c r="K15046" s="7" t="s">
        <v>18</v>
      </c>
      <c r="L15046" s="8">
        <v>39987.315405092595</v>
      </c>
      <c r="M15046" s="9" t="s">
        <v>19</v>
      </c>
      <c r="N15046" s="9" t="s">
        <v>20</v>
      </c>
      <c r="O15046" s="6" t="str">
        <f>HYPERLINK("https://pbs.twimg.com/profile_images/962471262747529216/Uo8lOkRJ_normal.jpg","View")</f>
        <v>View</v>
      </c>
      <c r="P15046" s="7"/>
    </row>
    <row r="15047" spans="1:16">
      <c r="A15047" s="3">
        <v>44367.087106481486</v>
      </c>
      <c r="B15047" s="4" t="str">
        <f>HYPERLINK("https://twitter.com/petrogustavo","@petrogustavo")</f>
        <v>@petrogustavo</v>
      </c>
      <c r="C15047" s="5" t="s">
        <v>16</v>
      </c>
      <c r="D15047" s="5" t="s">
        <v>14492</v>
      </c>
      <c r="E15047" s="6" t="str">
        <f>HYPERLINK("https://twitter.com/petrogustavo/status/1406349928373366786","1406349928373366786")</f>
        <v>1406349928373366786</v>
      </c>
      <c r="F15047" s="7" t="s">
        <v>17</v>
      </c>
      <c r="G15047" s="7">
        <v>4312744</v>
      </c>
      <c r="H15047" s="7">
        <v>2523</v>
      </c>
      <c r="I15047" s="7">
        <v>94</v>
      </c>
      <c r="J15047" s="7">
        <v>0</v>
      </c>
      <c r="K15047" s="7" t="s">
        <v>18</v>
      </c>
      <c r="L15047" s="8">
        <v>39987.315405092595</v>
      </c>
      <c r="M15047" s="9" t="s">
        <v>19</v>
      </c>
      <c r="N15047" s="9" t="s">
        <v>20</v>
      </c>
      <c r="O15047" s="6" t="str">
        <f>HYPERLINK("https://pbs.twimg.com/profile_images/962471262747529216/Uo8lOkRJ_normal.jpg","View")</f>
        <v>View</v>
      </c>
      <c r="P15047" s="7"/>
    </row>
    <row r="15048" spans="1:16">
      <c r="A15048" s="3">
        <v>44368.238854166666</v>
      </c>
      <c r="B15048" s="4" t="str">
        <f>HYPERLINK("https://twitter.com/petrogustavo","@petrogustavo")</f>
        <v>@petrogustavo</v>
      </c>
      <c r="C15048" s="5" t="s">
        <v>16</v>
      </c>
      <c r="D15048" s="5" t="s">
        <v>14493</v>
      </c>
      <c r="E15048" s="6" t="str">
        <f>HYPERLINK("https://twitter.com/petrogustavo/status/1406767308702457858","1406767308702457858")</f>
        <v>1406767308702457858</v>
      </c>
      <c r="F15048" s="7" t="s">
        <v>17</v>
      </c>
      <c r="G15048" s="7">
        <v>4313513</v>
      </c>
      <c r="H15048" s="7">
        <v>2523</v>
      </c>
      <c r="I15048" s="7">
        <v>421</v>
      </c>
      <c r="J15048" s="7">
        <v>0</v>
      </c>
      <c r="K15048" s="7" t="s">
        <v>18</v>
      </c>
      <c r="L15048" s="8">
        <v>39987.315405092595</v>
      </c>
      <c r="M15048" s="9" t="s">
        <v>19</v>
      </c>
      <c r="N15048" s="9" t="s">
        <v>20</v>
      </c>
      <c r="O15048" s="6" t="str">
        <f>HYPERLINK("https://pbs.twimg.com/profile_images/962471262747529216/Uo8lOkRJ_normal.jpg","View")</f>
        <v>View</v>
      </c>
      <c r="P15048" s="7"/>
    </row>
    <row r="15049" spans="1:16">
      <c r="A15049" s="3">
        <v>44368.239502314813</v>
      </c>
      <c r="B15049" s="4" t="str">
        <f>HYPERLINK("https://twitter.com/petrogustavo","@petrogustavo")</f>
        <v>@petrogustavo</v>
      </c>
      <c r="C15049" s="5" t="s">
        <v>16</v>
      </c>
      <c r="D15049" s="5" t="s">
        <v>14494</v>
      </c>
      <c r="E15049" s="6" t="str">
        <f>HYPERLINK("https://twitter.com/petrogustavo/status/1406767545147924480","1406767545147924480")</f>
        <v>1406767545147924480</v>
      </c>
      <c r="F15049" s="7" t="s">
        <v>17</v>
      </c>
      <c r="G15049" s="7">
        <v>4313513</v>
      </c>
      <c r="H15049" s="7">
        <v>2523</v>
      </c>
      <c r="I15049" s="7">
        <v>178</v>
      </c>
      <c r="J15049" s="7">
        <v>0</v>
      </c>
      <c r="K15049" s="7" t="s">
        <v>18</v>
      </c>
      <c r="L15049" s="8">
        <v>39987.315405092595</v>
      </c>
      <c r="M15049" s="9" t="s">
        <v>19</v>
      </c>
      <c r="N15049" s="9" t="s">
        <v>20</v>
      </c>
      <c r="O15049" s="6" t="str">
        <f>HYPERLINK("https://pbs.twimg.com/profile_images/962471262747529216/Uo8lOkRJ_normal.jpg","View")</f>
        <v>View</v>
      </c>
      <c r="P15049" s="7"/>
    </row>
    <row r="15050" spans="1:16">
      <c r="A15050" s="3">
        <v>44368.246076388888</v>
      </c>
      <c r="B15050" s="4" t="str">
        <f>HYPERLINK("https://twitter.com/petrogustavo","@petrogustavo")</f>
        <v>@petrogustavo</v>
      </c>
      <c r="C15050" s="5" t="s">
        <v>16</v>
      </c>
      <c r="D15050" s="5" t="s">
        <v>14495</v>
      </c>
      <c r="E15050" s="6" t="str">
        <f>HYPERLINK("https://twitter.com/petrogustavo/status/1406769924874309633","1406769924874309633")</f>
        <v>1406769924874309633</v>
      </c>
      <c r="F15050" s="7" t="s">
        <v>17</v>
      </c>
      <c r="G15050" s="7">
        <v>4313513</v>
      </c>
      <c r="H15050" s="7">
        <v>2523</v>
      </c>
      <c r="I15050" s="7">
        <v>42</v>
      </c>
      <c r="J15050" s="7">
        <v>0</v>
      </c>
      <c r="K15050" s="7" t="s">
        <v>18</v>
      </c>
      <c r="L15050" s="8">
        <v>39987.315405092595</v>
      </c>
      <c r="M15050" s="9" t="s">
        <v>19</v>
      </c>
      <c r="N15050" s="9" t="s">
        <v>20</v>
      </c>
      <c r="O15050" s="6" t="str">
        <f>HYPERLINK("https://pbs.twimg.com/profile_images/962471262747529216/Uo8lOkRJ_normal.jpg","View")</f>
        <v>View</v>
      </c>
      <c r="P15050" s="7"/>
    </row>
    <row r="15051" spans="1:16">
      <c r="A15051" s="3">
        <v>44368.248124999998</v>
      </c>
      <c r="B15051" s="4" t="str">
        <f>HYPERLINK("https://twitter.com/petrogustavo","@petrogustavo")</f>
        <v>@petrogustavo</v>
      </c>
      <c r="C15051" s="5" t="s">
        <v>16</v>
      </c>
      <c r="D15051" s="5" t="s">
        <v>14496</v>
      </c>
      <c r="E15051" s="6" t="str">
        <f>HYPERLINK("https://twitter.com/petrogustavo/status/1406770668453179396","1406770668453179396")</f>
        <v>1406770668453179396</v>
      </c>
      <c r="F15051" s="7" t="s">
        <v>17</v>
      </c>
      <c r="G15051" s="7">
        <v>4313513</v>
      </c>
      <c r="H15051" s="7">
        <v>2523</v>
      </c>
      <c r="I15051" s="7">
        <v>131</v>
      </c>
      <c r="J15051" s="7">
        <v>341</v>
      </c>
      <c r="K15051" s="7" t="s">
        <v>18</v>
      </c>
      <c r="L15051" s="8">
        <v>39987.315405092595</v>
      </c>
      <c r="M15051" s="9" t="s">
        <v>19</v>
      </c>
      <c r="N15051" s="9" t="s">
        <v>20</v>
      </c>
      <c r="O15051" s="6" t="str">
        <f>HYPERLINK("https://pbs.twimg.com/profile_images/962471262747529216/Uo8lOkRJ_normal.jpg","View")</f>
        <v>View</v>
      </c>
      <c r="P15051" s="7"/>
    </row>
    <row r="15052" spans="1:16">
      <c r="A15052" s="3">
        <v>44368.251018518524</v>
      </c>
      <c r="B15052" s="4" t="str">
        <f>HYPERLINK("https://twitter.com/petrogustavo","@petrogustavo")</f>
        <v>@petrogustavo</v>
      </c>
      <c r="C15052" s="5" t="s">
        <v>16</v>
      </c>
      <c r="D15052" s="5" t="s">
        <v>14497</v>
      </c>
      <c r="E15052" s="6" t="str">
        <f>HYPERLINK("https://twitter.com/petrogustavo/status/1406771716962017280","1406771716962017280")</f>
        <v>1406771716962017280</v>
      </c>
      <c r="F15052" s="7" t="s">
        <v>17</v>
      </c>
      <c r="G15052" s="7">
        <v>4313513</v>
      </c>
      <c r="H15052" s="7">
        <v>2523</v>
      </c>
      <c r="I15052" s="7">
        <v>12</v>
      </c>
      <c r="J15052" s="7">
        <v>14</v>
      </c>
      <c r="K15052" s="7" t="s">
        <v>18</v>
      </c>
      <c r="L15052" s="8">
        <v>39987.315405092595</v>
      </c>
      <c r="M15052" s="9" t="s">
        <v>19</v>
      </c>
      <c r="N15052" s="9" t="s">
        <v>20</v>
      </c>
      <c r="O15052" s="6" t="str">
        <f>HYPERLINK("https://pbs.twimg.com/profile_images/962471262747529216/Uo8lOkRJ_normal.jpg","View")</f>
        <v>View</v>
      </c>
      <c r="P15052" s="7"/>
    </row>
    <row r="15053" spans="1:16">
      <c r="A15053" s="3">
        <v>44368.251284722224</v>
      </c>
      <c r="B15053" s="4" t="str">
        <f>HYPERLINK("https://twitter.com/petrogustavo","@petrogustavo")</f>
        <v>@petrogustavo</v>
      </c>
      <c r="C15053" s="5" t="s">
        <v>16</v>
      </c>
      <c r="D15053" s="5" t="s">
        <v>14498</v>
      </c>
      <c r="E15053" s="6" t="str">
        <f>HYPERLINK("https://twitter.com/petrogustavo/status/1406771813447880716","1406771813447880716")</f>
        <v>1406771813447880716</v>
      </c>
      <c r="F15053" s="7" t="s">
        <v>17</v>
      </c>
      <c r="G15053" s="7">
        <v>4313513</v>
      </c>
      <c r="H15053" s="7">
        <v>2523</v>
      </c>
      <c r="I15053" s="7">
        <v>131</v>
      </c>
      <c r="J15053" s="7">
        <v>0</v>
      </c>
      <c r="K15053" s="7" t="s">
        <v>18</v>
      </c>
      <c r="L15053" s="8">
        <v>39987.315405092595</v>
      </c>
      <c r="M15053" s="9" t="s">
        <v>19</v>
      </c>
      <c r="N15053" s="9" t="s">
        <v>20</v>
      </c>
      <c r="O15053" s="6" t="str">
        <f>HYPERLINK("https://pbs.twimg.com/profile_images/962471262747529216/Uo8lOkRJ_normal.jpg","View")</f>
        <v>View</v>
      </c>
      <c r="P15053" s="7"/>
    </row>
    <row r="15054" spans="1:16">
      <c r="A15054" s="3">
        <v>44369.191099537042</v>
      </c>
      <c r="B15054" s="4" t="str">
        <f>HYPERLINK("https://twitter.com/petrogustavo","@petrogustavo")</f>
        <v>@petrogustavo</v>
      </c>
      <c r="C15054" s="5" t="s">
        <v>16</v>
      </c>
      <c r="D15054" s="5" t="s">
        <v>14499</v>
      </c>
      <c r="E15054" s="6" t="str">
        <f>HYPERLINK("https://twitter.com/petrogustavo/status/1407112392257982468","1407112392257982468")</f>
        <v>1407112392257982468</v>
      </c>
      <c r="F15054" s="7" t="s">
        <v>17</v>
      </c>
      <c r="G15054" s="7">
        <v>4314168</v>
      </c>
      <c r="H15054" s="7">
        <v>2522</v>
      </c>
      <c r="I15054" s="7">
        <v>158</v>
      </c>
      <c r="J15054" s="7">
        <v>0</v>
      </c>
      <c r="K15054" s="7" t="s">
        <v>18</v>
      </c>
      <c r="L15054" s="8">
        <v>39987.315405092595</v>
      </c>
      <c r="M15054" s="9" t="s">
        <v>19</v>
      </c>
      <c r="N15054" s="9" t="s">
        <v>20</v>
      </c>
      <c r="O15054" s="6" t="str">
        <f>HYPERLINK("https://pbs.twimg.com/profile_images/962471262747529216/Uo8lOkRJ_normal.jpg","View")</f>
        <v>View</v>
      </c>
      <c r="P15054" s="7"/>
    </row>
    <row r="15055" spans="1:16">
      <c r="A15055" s="3">
        <v>44369.191250000003</v>
      </c>
      <c r="B15055" s="4" t="str">
        <f>HYPERLINK("https://twitter.com/petrogustavo","@petrogustavo")</f>
        <v>@petrogustavo</v>
      </c>
      <c r="C15055" s="5" t="s">
        <v>16</v>
      </c>
      <c r="D15055" s="5" t="s">
        <v>14500</v>
      </c>
      <c r="E15055" s="6" t="str">
        <f>HYPERLINK("https://twitter.com/petrogustavo/status/1407112446012182532","1407112446012182532")</f>
        <v>1407112446012182532</v>
      </c>
      <c r="F15055" s="7" t="s">
        <v>17</v>
      </c>
      <c r="G15055" s="7">
        <v>4314168</v>
      </c>
      <c r="H15055" s="7">
        <v>2522</v>
      </c>
      <c r="I15055" s="7">
        <v>499</v>
      </c>
      <c r="J15055" s="7">
        <v>0</v>
      </c>
      <c r="K15055" s="7" t="s">
        <v>18</v>
      </c>
      <c r="L15055" s="8">
        <v>39987.315405092595</v>
      </c>
      <c r="M15055" s="9" t="s">
        <v>19</v>
      </c>
      <c r="N15055" s="9" t="s">
        <v>20</v>
      </c>
      <c r="O15055" s="6" t="str">
        <f>HYPERLINK("https://pbs.twimg.com/profile_images/962471262747529216/Uo8lOkRJ_normal.jpg","View")</f>
        <v>View</v>
      </c>
      <c r="P15055" s="7"/>
    </row>
    <row r="15056" spans="1:16">
      <c r="A15056" s="3">
        <v>44369.193159722221</v>
      </c>
      <c r="B15056" s="4" t="str">
        <f>HYPERLINK("https://twitter.com/petrogustavo","@petrogustavo")</f>
        <v>@petrogustavo</v>
      </c>
      <c r="C15056" s="5" t="s">
        <v>16</v>
      </c>
      <c r="D15056" s="5" t="s">
        <v>14501</v>
      </c>
      <c r="E15056" s="6" t="str">
        <f>HYPERLINK("https://twitter.com/petrogustavo/status/1407113135740407808","1407113135740407808")</f>
        <v>1407113135740407808</v>
      </c>
      <c r="F15056" s="7" t="s">
        <v>17</v>
      </c>
      <c r="G15056" s="7">
        <v>4314168</v>
      </c>
      <c r="H15056" s="7">
        <v>2522</v>
      </c>
      <c r="I15056" s="7">
        <v>332</v>
      </c>
      <c r="J15056" s="7">
        <v>629</v>
      </c>
      <c r="K15056" s="7" t="s">
        <v>18</v>
      </c>
      <c r="L15056" s="8">
        <v>39987.315405092595</v>
      </c>
      <c r="M15056" s="9" t="s">
        <v>19</v>
      </c>
      <c r="N15056" s="9" t="s">
        <v>20</v>
      </c>
      <c r="O15056" s="6" t="str">
        <f>HYPERLINK("https://pbs.twimg.com/profile_images/962471262747529216/Uo8lOkRJ_normal.jpg","View")</f>
        <v>View</v>
      </c>
      <c r="P15056" s="7"/>
    </row>
    <row r="15057" spans="1:16">
      <c r="A15057" s="3">
        <v>44369.197488425925</v>
      </c>
      <c r="B15057" s="4" t="str">
        <f>HYPERLINK("https://twitter.com/petrogustavo","@petrogustavo")</f>
        <v>@petrogustavo</v>
      </c>
      <c r="C15057" s="5" t="s">
        <v>16</v>
      </c>
      <c r="D15057" s="5" t="s">
        <v>14502</v>
      </c>
      <c r="E15057" s="6" t="str">
        <f>HYPERLINK("https://twitter.com/petrogustavo/status/1407114707698343937","1407114707698343937")</f>
        <v>1407114707698343937</v>
      </c>
      <c r="F15057" s="7" t="s">
        <v>17</v>
      </c>
      <c r="G15057" s="7">
        <v>4314168</v>
      </c>
      <c r="H15057" s="7">
        <v>2522</v>
      </c>
      <c r="I15057" s="7">
        <v>271</v>
      </c>
      <c r="J15057" s="7">
        <v>381</v>
      </c>
      <c r="K15057" s="7" t="s">
        <v>18</v>
      </c>
      <c r="L15057" s="8">
        <v>39987.315405092595</v>
      </c>
      <c r="M15057" s="9" t="s">
        <v>19</v>
      </c>
      <c r="N15057" s="9" t="s">
        <v>20</v>
      </c>
      <c r="O15057" s="6" t="str">
        <f>HYPERLINK("https://pbs.twimg.com/profile_images/962471262747529216/Uo8lOkRJ_normal.jpg","View")</f>
        <v>View</v>
      </c>
      <c r="P15057" s="7"/>
    </row>
    <row r="15058" spans="1:16">
      <c r="A15058" s="3">
        <v>44369.199189814812</v>
      </c>
      <c r="B15058" s="4" t="str">
        <f>HYPERLINK("https://twitter.com/petrogustavo","@petrogustavo")</f>
        <v>@petrogustavo</v>
      </c>
      <c r="C15058" s="5" t="s">
        <v>16</v>
      </c>
      <c r="D15058" s="5" t="s">
        <v>14503</v>
      </c>
      <c r="E15058" s="6" t="str">
        <f>HYPERLINK("https://twitter.com/petrogustavo/status/1407115323036291072","1407115323036291072")</f>
        <v>1407115323036291072</v>
      </c>
      <c r="F15058" s="7" t="s">
        <v>17</v>
      </c>
      <c r="G15058" s="7">
        <v>4314168</v>
      </c>
      <c r="H15058" s="7">
        <v>2522</v>
      </c>
      <c r="I15058" s="7">
        <v>270</v>
      </c>
      <c r="J15058" s="7">
        <v>574</v>
      </c>
      <c r="K15058" s="7" t="s">
        <v>18</v>
      </c>
      <c r="L15058" s="8">
        <v>39987.315405092595</v>
      </c>
      <c r="M15058" s="9" t="s">
        <v>19</v>
      </c>
      <c r="N15058" s="9" t="s">
        <v>20</v>
      </c>
      <c r="O15058" s="6" t="str">
        <f>HYPERLINK("https://pbs.twimg.com/profile_images/962471262747529216/Uo8lOkRJ_normal.jpg","View")</f>
        <v>View</v>
      </c>
      <c r="P15058" s="7"/>
    </row>
    <row r="15059" spans="1:16">
      <c r="A15059" s="3">
        <v>44369.199710648143</v>
      </c>
      <c r="B15059" s="4" t="str">
        <f>HYPERLINK("https://twitter.com/petrogustavo","@petrogustavo")</f>
        <v>@petrogustavo</v>
      </c>
      <c r="C15059" s="5" t="s">
        <v>16</v>
      </c>
      <c r="D15059" s="5" t="s">
        <v>14504</v>
      </c>
      <c r="E15059" s="6" t="str">
        <f>HYPERLINK("https://twitter.com/petrogustavo/status/1407115512077762563","1407115512077762563")</f>
        <v>1407115512077762563</v>
      </c>
      <c r="F15059" s="7" t="s">
        <v>17</v>
      </c>
      <c r="G15059" s="7">
        <v>4314168</v>
      </c>
      <c r="H15059" s="7">
        <v>2522</v>
      </c>
      <c r="I15059" s="7">
        <v>115</v>
      </c>
      <c r="J15059" s="7">
        <v>0</v>
      </c>
      <c r="K15059" s="7" t="s">
        <v>18</v>
      </c>
      <c r="L15059" s="8">
        <v>39987.315405092595</v>
      </c>
      <c r="M15059" s="9" t="s">
        <v>19</v>
      </c>
      <c r="N15059" s="9" t="s">
        <v>20</v>
      </c>
      <c r="O15059" s="6" t="str">
        <f>HYPERLINK("https://pbs.twimg.com/profile_images/962471262747529216/Uo8lOkRJ_normal.jpg","View")</f>
        <v>View</v>
      </c>
      <c r="P15059" s="7"/>
    </row>
    <row r="15060" spans="1:16">
      <c r="A15060" s="3">
        <v>44369.20349537037</v>
      </c>
      <c r="B15060" s="4" t="str">
        <f>HYPERLINK("https://twitter.com/petrogustavo","@petrogustavo")</f>
        <v>@petrogustavo</v>
      </c>
      <c r="C15060" s="5" t="s">
        <v>16</v>
      </c>
      <c r="D15060" s="5" t="s">
        <v>14505</v>
      </c>
      <c r="E15060" s="6" t="str">
        <f>HYPERLINK("https://twitter.com/petrogustavo/status/1407116882738561025","1407116882738561025")</f>
        <v>1407116882738561025</v>
      </c>
      <c r="F15060" s="7" t="s">
        <v>17</v>
      </c>
      <c r="G15060" s="7">
        <v>4314168</v>
      </c>
      <c r="H15060" s="7">
        <v>2522</v>
      </c>
      <c r="I15060" s="7">
        <v>204</v>
      </c>
      <c r="J15060" s="7">
        <v>323</v>
      </c>
      <c r="K15060" s="7" t="s">
        <v>18</v>
      </c>
      <c r="L15060" s="8">
        <v>39987.315405092595</v>
      </c>
      <c r="M15060" s="9" t="s">
        <v>19</v>
      </c>
      <c r="N15060" s="9" t="s">
        <v>20</v>
      </c>
      <c r="O15060" s="6" t="str">
        <f>HYPERLINK("https://pbs.twimg.com/profile_images/962471262747529216/Uo8lOkRJ_normal.jpg","View")</f>
        <v>View</v>
      </c>
      <c r="P15060" s="7"/>
    </row>
    <row r="15061" spans="1:16">
      <c r="A15061" s="3">
        <v>44369.211041666669</v>
      </c>
      <c r="B15061" s="4" t="str">
        <f>HYPERLINK("https://twitter.com/petrogustavo","@petrogustavo")</f>
        <v>@petrogustavo</v>
      </c>
      <c r="C15061" s="5" t="s">
        <v>16</v>
      </c>
      <c r="D15061" s="5" t="s">
        <v>14506</v>
      </c>
      <c r="E15061" s="6" t="str">
        <f>HYPERLINK("https://twitter.com/petrogustavo/status/1407119616728567814","1407119616728567814")</f>
        <v>1407119616728567814</v>
      </c>
      <c r="F15061" s="7" t="s">
        <v>17</v>
      </c>
      <c r="G15061" s="7">
        <v>4314188</v>
      </c>
      <c r="H15061" s="7">
        <v>2522</v>
      </c>
      <c r="I15061" s="7">
        <v>669</v>
      </c>
      <c r="J15061" s="7">
        <v>1672</v>
      </c>
      <c r="K15061" s="7" t="s">
        <v>18</v>
      </c>
      <c r="L15061" s="8">
        <v>39987.315405092595</v>
      </c>
      <c r="M15061" s="9" t="s">
        <v>19</v>
      </c>
      <c r="N15061" s="9" t="s">
        <v>20</v>
      </c>
      <c r="O15061" s="6" t="str">
        <f>HYPERLINK("https://pbs.twimg.com/profile_images/962471262747529216/Uo8lOkRJ_normal.jpg","View")</f>
        <v>View</v>
      </c>
      <c r="P15061" s="7"/>
    </row>
    <row r="15062" spans="1:16">
      <c r="A15062" s="3">
        <v>44369.217962962968</v>
      </c>
      <c r="B15062" s="4" t="str">
        <f>HYPERLINK("https://twitter.com/petrogustavo","@petrogustavo")</f>
        <v>@petrogustavo</v>
      </c>
      <c r="C15062" s="5" t="s">
        <v>16</v>
      </c>
      <c r="D15062" s="5" t="s">
        <v>14507</v>
      </c>
      <c r="E15062" s="6" t="str">
        <f>HYPERLINK("https://twitter.com/petrogustavo/status/1407122124125388800","1407122124125388800")</f>
        <v>1407122124125388800</v>
      </c>
      <c r="F15062" s="7" t="s">
        <v>17</v>
      </c>
      <c r="G15062" s="7">
        <v>4314188</v>
      </c>
      <c r="H15062" s="7">
        <v>2522</v>
      </c>
      <c r="I15062" s="7">
        <v>789</v>
      </c>
      <c r="J15062" s="7">
        <v>0</v>
      </c>
      <c r="K15062" s="7" t="s">
        <v>18</v>
      </c>
      <c r="L15062" s="8">
        <v>39987.315405092595</v>
      </c>
      <c r="M15062" s="9" t="s">
        <v>19</v>
      </c>
      <c r="N15062" s="9" t="s">
        <v>20</v>
      </c>
      <c r="O15062" s="6" t="str">
        <f>HYPERLINK("https://pbs.twimg.com/profile_images/962471262747529216/Uo8lOkRJ_normal.jpg","View")</f>
        <v>View</v>
      </c>
      <c r="P15062" s="7"/>
    </row>
    <row r="15063" spans="1:16">
      <c r="A15063" s="3">
        <v>44369.223113425927</v>
      </c>
      <c r="B15063" s="4" t="str">
        <f>HYPERLINK("https://twitter.com/petrogustavo","@petrogustavo")</f>
        <v>@petrogustavo</v>
      </c>
      <c r="C15063" s="5" t="s">
        <v>16</v>
      </c>
      <c r="D15063" s="5" t="s">
        <v>14508</v>
      </c>
      <c r="E15063" s="6" t="str">
        <f>HYPERLINK("https://twitter.com/petrogustavo/status/1407123994151723011","1407123994151723011")</f>
        <v>1407123994151723011</v>
      </c>
      <c r="F15063" s="7" t="s">
        <v>17</v>
      </c>
      <c r="G15063" s="7">
        <v>4314188</v>
      </c>
      <c r="H15063" s="7">
        <v>2522</v>
      </c>
      <c r="I15063" s="7">
        <v>131</v>
      </c>
      <c r="J15063" s="7">
        <v>0</v>
      </c>
      <c r="K15063" s="7" t="s">
        <v>18</v>
      </c>
      <c r="L15063" s="8">
        <v>39987.315405092595</v>
      </c>
      <c r="M15063" s="9" t="s">
        <v>19</v>
      </c>
      <c r="N15063" s="9" t="s">
        <v>20</v>
      </c>
      <c r="O15063" s="6" t="str">
        <f>HYPERLINK("https://pbs.twimg.com/profile_images/962471262747529216/Uo8lOkRJ_normal.jpg","View")</f>
        <v>View</v>
      </c>
      <c r="P15063" s="7"/>
    </row>
    <row r="15064" spans="1:16">
      <c r="A15064" s="3">
        <v>44369.22625</v>
      </c>
      <c r="B15064" s="4" t="str">
        <f>HYPERLINK("https://twitter.com/petrogustavo","@petrogustavo")</f>
        <v>@petrogustavo</v>
      </c>
      <c r="C15064" s="5" t="s">
        <v>16</v>
      </c>
      <c r="D15064" s="5" t="s">
        <v>14509</v>
      </c>
      <c r="E15064" s="6" t="str">
        <f>HYPERLINK("https://twitter.com/petrogustavo/status/1407125126823436291","1407125126823436291")</f>
        <v>1407125126823436291</v>
      </c>
      <c r="F15064" s="7" t="s">
        <v>17</v>
      </c>
      <c r="G15064" s="7">
        <v>4314188</v>
      </c>
      <c r="H15064" s="7">
        <v>2522</v>
      </c>
      <c r="I15064" s="7">
        <v>120</v>
      </c>
      <c r="J15064" s="7">
        <v>0</v>
      </c>
      <c r="K15064" s="7" t="s">
        <v>18</v>
      </c>
      <c r="L15064" s="8">
        <v>39987.315405092595</v>
      </c>
      <c r="M15064" s="9" t="s">
        <v>19</v>
      </c>
      <c r="N15064" s="9" t="s">
        <v>20</v>
      </c>
      <c r="O15064" s="6" t="str">
        <f>HYPERLINK("https://pbs.twimg.com/profile_images/962471262747529216/Uo8lOkRJ_normal.jpg","View")</f>
        <v>View</v>
      </c>
      <c r="P15064" s="7"/>
    </row>
    <row r="15065" spans="1:16">
      <c r="A15065" s="3">
        <v>44369.227824074071</v>
      </c>
      <c r="B15065" s="4" t="str">
        <f>HYPERLINK("https://twitter.com/petrogustavo","@petrogustavo")</f>
        <v>@petrogustavo</v>
      </c>
      <c r="C15065" s="5" t="s">
        <v>16</v>
      </c>
      <c r="D15065" s="5" t="s">
        <v>14510</v>
      </c>
      <c r="E15065" s="6" t="str">
        <f>HYPERLINK("https://twitter.com/petrogustavo/status/1407125697836064771","1407125697836064771")</f>
        <v>1407125697836064771</v>
      </c>
      <c r="F15065" s="7" t="s">
        <v>17</v>
      </c>
      <c r="G15065" s="7">
        <v>4314188</v>
      </c>
      <c r="H15065" s="7">
        <v>2522</v>
      </c>
      <c r="I15065" s="7">
        <v>669</v>
      </c>
      <c r="J15065" s="7">
        <v>0</v>
      </c>
      <c r="K15065" s="7" t="s">
        <v>18</v>
      </c>
      <c r="L15065" s="8">
        <v>39987.315405092595</v>
      </c>
      <c r="M15065" s="9" t="s">
        <v>19</v>
      </c>
      <c r="N15065" s="9" t="s">
        <v>20</v>
      </c>
      <c r="O15065" s="6" t="str">
        <f>HYPERLINK("https://pbs.twimg.com/profile_images/962471262747529216/Uo8lOkRJ_normal.jpg","View")</f>
        <v>View</v>
      </c>
      <c r="P15065" s="7"/>
    </row>
    <row r="15066" spans="1:16">
      <c r="A15066" s="3">
        <v>44369.228043981479</v>
      </c>
      <c r="B15066" s="4" t="str">
        <f>HYPERLINK("https://twitter.com/petrogustavo","@petrogustavo")</f>
        <v>@petrogustavo</v>
      </c>
      <c r="C15066" s="5" t="s">
        <v>16</v>
      </c>
      <c r="D15066" s="5" t="s">
        <v>14511</v>
      </c>
      <c r="E15066" s="6" t="str">
        <f>HYPERLINK("https://twitter.com/petrogustavo/status/1407125780165967874","1407125780165967874")</f>
        <v>1407125780165967874</v>
      </c>
      <c r="F15066" s="7" t="s">
        <v>17</v>
      </c>
      <c r="G15066" s="7">
        <v>4314188</v>
      </c>
      <c r="H15066" s="7">
        <v>2522</v>
      </c>
      <c r="I15066" s="7">
        <v>460</v>
      </c>
      <c r="J15066" s="7">
        <v>0</v>
      </c>
      <c r="K15066" s="7" t="s">
        <v>18</v>
      </c>
      <c r="L15066" s="8">
        <v>39987.315405092595</v>
      </c>
      <c r="M15066" s="9" t="s">
        <v>19</v>
      </c>
      <c r="N15066" s="9" t="s">
        <v>20</v>
      </c>
      <c r="O15066" s="6" t="str">
        <f>HYPERLINK("https://pbs.twimg.com/profile_images/962471262747529216/Uo8lOkRJ_normal.jpg","View")</f>
        <v>View</v>
      </c>
      <c r="P15066" s="7"/>
    </row>
    <row r="15067" spans="1:16">
      <c r="A15067" s="3">
        <v>44369.647719907407</v>
      </c>
      <c r="B15067" s="4" t="str">
        <f>HYPERLINK("https://twitter.com/petrogustavo","@petrogustavo")</f>
        <v>@petrogustavo</v>
      </c>
      <c r="C15067" s="5" t="s">
        <v>16</v>
      </c>
      <c r="D15067" s="5" t="s">
        <v>14512</v>
      </c>
      <c r="E15067" s="6" t="str">
        <f>HYPERLINK("https://twitter.com/petrogustavo/status/1407277864706322432","1407277864706322432")</f>
        <v>1407277864706322432</v>
      </c>
      <c r="F15067" s="7" t="s">
        <v>17</v>
      </c>
      <c r="G15067" s="7">
        <v>4314426</v>
      </c>
      <c r="H15067" s="7">
        <v>2523</v>
      </c>
      <c r="I15067" s="7">
        <v>54</v>
      </c>
      <c r="J15067" s="7">
        <v>174</v>
      </c>
      <c r="K15067" s="7" t="s">
        <v>18</v>
      </c>
      <c r="L15067" s="8">
        <v>39987.315405092595</v>
      </c>
      <c r="M15067" s="9" t="s">
        <v>19</v>
      </c>
      <c r="N15067" s="9" t="s">
        <v>20</v>
      </c>
      <c r="O15067" s="6" t="str">
        <f>HYPERLINK("https://pbs.twimg.com/profile_images/962471262747529216/Uo8lOkRJ_normal.jpg","View")</f>
        <v>View</v>
      </c>
      <c r="P15067" s="7"/>
    </row>
    <row r="15068" spans="1:16">
      <c r="A15068" s="3">
        <v>44369.810173611113</v>
      </c>
      <c r="B15068" s="4" t="str">
        <f>HYPERLINK("https://twitter.com/petrogustavo","@petrogustavo")</f>
        <v>@petrogustavo</v>
      </c>
      <c r="C15068" s="5" t="s">
        <v>16</v>
      </c>
      <c r="D15068" s="5" t="s">
        <v>14513</v>
      </c>
      <c r="E15068" s="6" t="str">
        <f>HYPERLINK("https://twitter.com/petrogustavo/status/1407336737328795656","1407336737328795656")</f>
        <v>1407336737328795656</v>
      </c>
      <c r="F15068" s="7" t="s">
        <v>17</v>
      </c>
      <c r="G15068" s="7">
        <v>4314547</v>
      </c>
      <c r="H15068" s="7">
        <v>2523</v>
      </c>
      <c r="I15068" s="7">
        <v>33</v>
      </c>
      <c r="J15068" s="7">
        <v>0</v>
      </c>
      <c r="K15068" s="7" t="s">
        <v>18</v>
      </c>
      <c r="L15068" s="8">
        <v>39987.315405092595</v>
      </c>
      <c r="M15068" s="9" t="s">
        <v>19</v>
      </c>
      <c r="N15068" s="9" t="s">
        <v>20</v>
      </c>
      <c r="O15068" s="6" t="str">
        <f>HYPERLINK("https://pbs.twimg.com/profile_images/962471262747529216/Uo8lOkRJ_normal.jpg","View")</f>
        <v>View</v>
      </c>
      <c r="P15068" s="7"/>
    </row>
    <row r="15069" spans="1:16">
      <c r="A15069" s="3">
        <v>44369.812893518523</v>
      </c>
      <c r="B15069" s="4" t="str">
        <f>HYPERLINK("https://twitter.com/petrogustavo","@petrogustavo")</f>
        <v>@petrogustavo</v>
      </c>
      <c r="C15069" s="5" t="s">
        <v>16</v>
      </c>
      <c r="D15069" s="5" t="s">
        <v>14514</v>
      </c>
      <c r="E15069" s="6" t="str">
        <f>HYPERLINK("https://twitter.com/petrogustavo/status/1407337722294030346","1407337722294030346")</f>
        <v>1407337722294030346</v>
      </c>
      <c r="F15069" s="7" t="s">
        <v>17</v>
      </c>
      <c r="G15069" s="7">
        <v>4314547</v>
      </c>
      <c r="H15069" s="7">
        <v>2523</v>
      </c>
      <c r="I15069" s="7">
        <v>697</v>
      </c>
      <c r="J15069" s="7">
        <v>0</v>
      </c>
      <c r="K15069" s="7" t="s">
        <v>18</v>
      </c>
      <c r="L15069" s="8">
        <v>39987.315405092595</v>
      </c>
      <c r="M15069" s="9" t="s">
        <v>19</v>
      </c>
      <c r="N15069" s="9" t="s">
        <v>20</v>
      </c>
      <c r="O15069" s="6" t="str">
        <f>HYPERLINK("https://pbs.twimg.com/profile_images/962471262747529216/Uo8lOkRJ_normal.jpg","View")</f>
        <v>View</v>
      </c>
      <c r="P15069" s="7"/>
    </row>
    <row r="15070" spans="1:16">
      <c r="A15070" s="3">
        <v>44369.866076388891</v>
      </c>
      <c r="B15070" s="4" t="str">
        <f>HYPERLINK("https://twitter.com/petrogustavo","@petrogustavo")</f>
        <v>@petrogustavo</v>
      </c>
      <c r="C15070" s="5" t="s">
        <v>16</v>
      </c>
      <c r="D15070" s="5" t="s">
        <v>14515</v>
      </c>
      <c r="E15070" s="6" t="str">
        <f>HYPERLINK("https://twitter.com/petrogustavo/status/1407356993426317312","1407356993426317312")</f>
        <v>1407356993426317312</v>
      </c>
      <c r="F15070" s="7" t="s">
        <v>17</v>
      </c>
      <c r="G15070" s="7">
        <v>4314621</v>
      </c>
      <c r="H15070" s="7">
        <v>2523</v>
      </c>
      <c r="I15070" s="7">
        <v>191</v>
      </c>
      <c r="J15070" s="7">
        <v>685</v>
      </c>
      <c r="K15070" s="7" t="s">
        <v>18</v>
      </c>
      <c r="L15070" s="8">
        <v>39987.315405092595</v>
      </c>
      <c r="M15070" s="9" t="s">
        <v>19</v>
      </c>
      <c r="N15070" s="9" t="s">
        <v>20</v>
      </c>
      <c r="O15070" s="6" t="str">
        <f>HYPERLINK("https://pbs.twimg.com/profile_images/962471262747529216/Uo8lOkRJ_normal.jpg","View")</f>
        <v>View</v>
      </c>
      <c r="P15070" s="7"/>
    </row>
    <row r="15071" spans="1:16">
      <c r="A15071" s="3">
        <v>44369.872141203705</v>
      </c>
      <c r="B15071" s="4" t="str">
        <f>HYPERLINK("https://twitter.com/petrogustavo","@petrogustavo")</f>
        <v>@petrogustavo</v>
      </c>
      <c r="C15071" s="5" t="s">
        <v>16</v>
      </c>
      <c r="D15071" s="5" t="s">
        <v>14516</v>
      </c>
      <c r="E15071" s="6" t="str">
        <f>HYPERLINK("https://twitter.com/petrogustavo/status/1407359191359135744","1407359191359135744")</f>
        <v>1407359191359135744</v>
      </c>
      <c r="F15071" s="7" t="s">
        <v>17</v>
      </c>
      <c r="G15071" s="7">
        <v>4314621</v>
      </c>
      <c r="H15071" s="7">
        <v>2523</v>
      </c>
      <c r="I15071" s="7">
        <v>162</v>
      </c>
      <c r="J15071" s="7">
        <v>469</v>
      </c>
      <c r="K15071" s="7" t="s">
        <v>18</v>
      </c>
      <c r="L15071" s="8">
        <v>39987.315405092595</v>
      </c>
      <c r="M15071" s="9" t="s">
        <v>19</v>
      </c>
      <c r="N15071" s="9" t="s">
        <v>20</v>
      </c>
      <c r="O15071" s="6" t="str">
        <f>HYPERLINK("https://pbs.twimg.com/profile_images/962471262747529216/Uo8lOkRJ_normal.jpg","View")</f>
        <v>View</v>
      </c>
      <c r="P15071" s="7"/>
    </row>
    <row r="15072" spans="1:16">
      <c r="A15072" s="3">
        <v>44369.879571759258</v>
      </c>
      <c r="B15072" s="4" t="str">
        <f>HYPERLINK("https://twitter.com/petrogustavo","@petrogustavo")</f>
        <v>@petrogustavo</v>
      </c>
      <c r="C15072" s="5" t="s">
        <v>16</v>
      </c>
      <c r="D15072" s="5" t="s">
        <v>14517</v>
      </c>
      <c r="E15072" s="6" t="str">
        <f>HYPERLINK("https://twitter.com/petrogustavo/status/1407361883448000513","1407361883448000513")</f>
        <v>1407361883448000513</v>
      </c>
      <c r="F15072" s="7" t="s">
        <v>17</v>
      </c>
      <c r="G15072" s="7">
        <v>4314638</v>
      </c>
      <c r="H15072" s="7">
        <v>2523</v>
      </c>
      <c r="I15072" s="7">
        <v>466</v>
      </c>
      <c r="J15072" s="7">
        <v>1627</v>
      </c>
      <c r="K15072" s="7" t="s">
        <v>18</v>
      </c>
      <c r="L15072" s="8">
        <v>39987.315405092595</v>
      </c>
      <c r="M15072" s="9" t="s">
        <v>19</v>
      </c>
      <c r="N15072" s="9" t="s">
        <v>20</v>
      </c>
      <c r="O15072" s="6" t="str">
        <f>HYPERLINK("https://pbs.twimg.com/profile_images/962471262747529216/Uo8lOkRJ_normal.jpg","View")</f>
        <v>View</v>
      </c>
      <c r="P15072" s="7"/>
    </row>
    <row r="15073" spans="1:16">
      <c r="A15073" s="3">
        <v>44369.880775462967</v>
      </c>
      <c r="B15073" s="4" t="str">
        <f>HYPERLINK("https://twitter.com/petrogustavo","@petrogustavo")</f>
        <v>@petrogustavo</v>
      </c>
      <c r="C15073" s="5" t="s">
        <v>16</v>
      </c>
      <c r="D15073" s="5" t="s">
        <v>14518</v>
      </c>
      <c r="E15073" s="6" t="str">
        <f>HYPERLINK("https://twitter.com/petrogustavo/status/1407362320200785922","1407362320200785922")</f>
        <v>1407362320200785922</v>
      </c>
      <c r="F15073" s="7" t="s">
        <v>17</v>
      </c>
      <c r="G15073" s="7">
        <v>4314638</v>
      </c>
      <c r="H15073" s="7">
        <v>2523</v>
      </c>
      <c r="I15073" s="7">
        <v>187</v>
      </c>
      <c r="J15073" s="7">
        <v>472</v>
      </c>
      <c r="K15073" s="7" t="s">
        <v>18</v>
      </c>
      <c r="L15073" s="8">
        <v>39987.315405092595</v>
      </c>
      <c r="M15073" s="9" t="s">
        <v>19</v>
      </c>
      <c r="N15073" s="9" t="s">
        <v>20</v>
      </c>
      <c r="O15073" s="6" t="str">
        <f>HYPERLINK("https://pbs.twimg.com/profile_images/962471262747529216/Uo8lOkRJ_normal.jpg","View")</f>
        <v>View</v>
      </c>
      <c r="P15073" s="7"/>
    </row>
    <row r="15074" spans="1:16">
      <c r="A15074" s="3">
        <v>44369.898136574076</v>
      </c>
      <c r="B15074" s="4" t="str">
        <f>HYPERLINK("https://twitter.com/petrogustavo","@petrogustavo")</f>
        <v>@petrogustavo</v>
      </c>
      <c r="C15074" s="5" t="s">
        <v>16</v>
      </c>
      <c r="D15074" s="5" t="s">
        <v>14519</v>
      </c>
      <c r="E15074" s="6" t="str">
        <f>HYPERLINK("https://twitter.com/petrogustavo/status/1407368610436333571","1407368610436333571")</f>
        <v>1407368610436333571</v>
      </c>
      <c r="F15074" s="7" t="s">
        <v>17</v>
      </c>
      <c r="G15074" s="7">
        <v>4314671</v>
      </c>
      <c r="H15074" s="7">
        <v>2523</v>
      </c>
      <c r="I15074" s="7">
        <v>448</v>
      </c>
      <c r="J15074" s="7">
        <v>0</v>
      </c>
      <c r="K15074" s="7" t="s">
        <v>18</v>
      </c>
      <c r="L15074" s="8">
        <v>39987.315405092595</v>
      </c>
      <c r="M15074" s="9" t="s">
        <v>19</v>
      </c>
      <c r="N15074" s="9" t="s">
        <v>20</v>
      </c>
      <c r="O15074" s="6" t="str">
        <f>HYPERLINK("https://pbs.twimg.com/profile_images/962471262747529216/Uo8lOkRJ_normal.jpg","View")</f>
        <v>View</v>
      </c>
      <c r="P15074" s="7"/>
    </row>
    <row r="15075" spans="1:16">
      <c r="A15075" s="3">
        <v>44369.957291666666</v>
      </c>
      <c r="B15075" s="4" t="str">
        <f>HYPERLINK("https://twitter.com/petrogustavo","@petrogustavo")</f>
        <v>@petrogustavo</v>
      </c>
      <c r="C15075" s="5" t="s">
        <v>16</v>
      </c>
      <c r="D15075" s="5" t="s">
        <v>14520</v>
      </c>
      <c r="E15075" s="6" t="str">
        <f>HYPERLINK("https://twitter.com/petrogustavo/status/1407390050988535813","1407390050988535813")</f>
        <v>1407390050988535813</v>
      </c>
      <c r="F15075" s="7" t="s">
        <v>17</v>
      </c>
      <c r="G15075" s="7">
        <v>4314753</v>
      </c>
      <c r="H15075" s="7">
        <v>2523</v>
      </c>
      <c r="I15075" s="7">
        <v>81</v>
      </c>
      <c r="J15075" s="7">
        <v>200</v>
      </c>
      <c r="K15075" s="7" t="s">
        <v>18</v>
      </c>
      <c r="L15075" s="8">
        <v>39987.315405092595</v>
      </c>
      <c r="M15075" s="9" t="s">
        <v>19</v>
      </c>
      <c r="N15075" s="9" t="s">
        <v>20</v>
      </c>
      <c r="O15075" s="6" t="str">
        <f>HYPERLINK("https://pbs.twimg.com/profile_images/962471262747529216/Uo8lOkRJ_normal.jpg","View")</f>
        <v>View</v>
      </c>
      <c r="P15075" s="7"/>
    </row>
    <row r="15076" spans="1:16">
      <c r="A15076" s="3">
        <v>44370.053761574076</v>
      </c>
      <c r="B15076" s="4" t="str">
        <f>HYPERLINK("https://twitter.com/petrogustavo","@petrogustavo")</f>
        <v>@petrogustavo</v>
      </c>
      <c r="C15076" s="5" t="s">
        <v>16</v>
      </c>
      <c r="D15076" s="5" t="s">
        <v>14521</v>
      </c>
      <c r="E15076" s="6" t="str">
        <f>HYPERLINK("https://twitter.com/petrogustavo/status/1407425008322940935","1407425008322940935")</f>
        <v>1407425008322940935</v>
      </c>
      <c r="F15076" s="7" t="s">
        <v>17</v>
      </c>
      <c r="G15076" s="7">
        <v>4314880</v>
      </c>
      <c r="H15076" s="7">
        <v>2523</v>
      </c>
      <c r="I15076" s="7">
        <v>111</v>
      </c>
      <c r="J15076" s="7">
        <v>0</v>
      </c>
      <c r="K15076" s="7" t="s">
        <v>18</v>
      </c>
      <c r="L15076" s="8">
        <v>39987.315405092595</v>
      </c>
      <c r="M15076" s="9" t="s">
        <v>19</v>
      </c>
      <c r="N15076" s="9" t="s">
        <v>20</v>
      </c>
      <c r="O15076" s="6" t="str">
        <f>HYPERLINK("https://pbs.twimg.com/profile_images/962471262747529216/Uo8lOkRJ_normal.jpg","View")</f>
        <v>View</v>
      </c>
      <c r="P15076" s="7"/>
    </row>
    <row r="15077" spans="1:16">
      <c r="A15077" s="3">
        <v>44370.054282407407</v>
      </c>
      <c r="B15077" s="4" t="str">
        <f>HYPERLINK("https://twitter.com/petrogustavo","@petrogustavo")</f>
        <v>@petrogustavo</v>
      </c>
      <c r="C15077" s="5" t="s">
        <v>16</v>
      </c>
      <c r="D15077" s="5" t="s">
        <v>14522</v>
      </c>
      <c r="E15077" s="6" t="str">
        <f>HYPERLINK("https://twitter.com/petrogustavo/status/1407425198610132993","1407425198610132993")</f>
        <v>1407425198610132993</v>
      </c>
      <c r="F15077" s="7" t="s">
        <v>17</v>
      </c>
      <c r="G15077" s="7">
        <v>4314880</v>
      </c>
      <c r="H15077" s="7">
        <v>2523</v>
      </c>
      <c r="I15077" s="7">
        <v>310</v>
      </c>
      <c r="J15077" s="7">
        <v>0</v>
      </c>
      <c r="K15077" s="7" t="s">
        <v>18</v>
      </c>
      <c r="L15077" s="8">
        <v>39987.315405092595</v>
      </c>
      <c r="M15077" s="9" t="s">
        <v>19</v>
      </c>
      <c r="N15077" s="9" t="s">
        <v>20</v>
      </c>
      <c r="O15077" s="6" t="str">
        <f>HYPERLINK("https://pbs.twimg.com/profile_images/962471262747529216/Uo8lOkRJ_normal.jpg","View")</f>
        <v>View</v>
      </c>
      <c r="P15077" s="7"/>
    </row>
    <row r="15078" spans="1:16">
      <c r="A15078" s="3">
        <v>44370.058738425927</v>
      </c>
      <c r="B15078" s="4" t="str">
        <f>HYPERLINK("https://twitter.com/petrogustavo","@petrogustavo")</f>
        <v>@petrogustavo</v>
      </c>
      <c r="C15078" s="5" t="s">
        <v>16</v>
      </c>
      <c r="D15078" s="5" t="s">
        <v>14523</v>
      </c>
      <c r="E15078" s="6" t="str">
        <f>HYPERLINK("https://twitter.com/petrogustavo/status/1407426812184088579","1407426812184088579")</f>
        <v>1407426812184088579</v>
      </c>
      <c r="F15078" s="7" t="s">
        <v>17</v>
      </c>
      <c r="G15078" s="7">
        <v>4314880</v>
      </c>
      <c r="H15078" s="7">
        <v>2523</v>
      </c>
      <c r="I15078" s="7">
        <v>4949</v>
      </c>
      <c r="J15078" s="7">
        <v>0</v>
      </c>
      <c r="K15078" s="7" t="s">
        <v>18</v>
      </c>
      <c r="L15078" s="8">
        <v>39987.315405092595</v>
      </c>
      <c r="M15078" s="9" t="s">
        <v>19</v>
      </c>
      <c r="N15078" s="9" t="s">
        <v>20</v>
      </c>
      <c r="O15078" s="6" t="str">
        <f>HYPERLINK("https://pbs.twimg.com/profile_images/962471262747529216/Uo8lOkRJ_normal.jpg","View")</f>
        <v>View</v>
      </c>
      <c r="P15078" s="7"/>
    </row>
    <row r="15079" spans="1:16">
      <c r="A15079" s="3">
        <v>44370.070891203708</v>
      </c>
      <c r="B15079" s="4" t="str">
        <f>HYPERLINK("https://twitter.com/petrogustavo","@petrogustavo")</f>
        <v>@petrogustavo</v>
      </c>
      <c r="C15079" s="5" t="s">
        <v>16</v>
      </c>
      <c r="D15079" s="5" t="s">
        <v>14524</v>
      </c>
      <c r="E15079" s="6" t="str">
        <f>HYPERLINK("https://twitter.com/petrogustavo/status/1407431216547217411","1407431216547217411")</f>
        <v>1407431216547217411</v>
      </c>
      <c r="F15079" s="7" t="s">
        <v>17</v>
      </c>
      <c r="G15079" s="7">
        <v>4314907</v>
      </c>
      <c r="H15079" s="7">
        <v>2523</v>
      </c>
      <c r="I15079" s="7">
        <v>181</v>
      </c>
      <c r="J15079" s="7">
        <v>0</v>
      </c>
      <c r="K15079" s="7" t="s">
        <v>18</v>
      </c>
      <c r="L15079" s="8">
        <v>39987.315405092595</v>
      </c>
      <c r="M15079" s="9" t="s">
        <v>19</v>
      </c>
      <c r="N15079" s="9" t="s">
        <v>20</v>
      </c>
      <c r="O15079" s="6" t="str">
        <f>HYPERLINK("https://pbs.twimg.com/profile_images/962471262747529216/Uo8lOkRJ_normal.jpg","View")</f>
        <v>View</v>
      </c>
      <c r="P15079" s="7"/>
    </row>
    <row r="15080" spans="1:16">
      <c r="A15080" s="3">
        <v>44370.071273148147</v>
      </c>
      <c r="B15080" s="4" t="str">
        <f>HYPERLINK("https://twitter.com/petrogustavo","@petrogustavo")</f>
        <v>@petrogustavo</v>
      </c>
      <c r="C15080" s="5" t="s">
        <v>16</v>
      </c>
      <c r="D15080" s="5" t="s">
        <v>14525</v>
      </c>
      <c r="E15080" s="6" t="str">
        <f>HYPERLINK("https://twitter.com/petrogustavo/status/1407431353252126726","1407431353252126726")</f>
        <v>1407431353252126726</v>
      </c>
      <c r="F15080" s="7" t="s">
        <v>17</v>
      </c>
      <c r="G15080" s="7">
        <v>4314907</v>
      </c>
      <c r="H15080" s="7">
        <v>2523</v>
      </c>
      <c r="I15080" s="7">
        <v>155</v>
      </c>
      <c r="J15080" s="7">
        <v>0</v>
      </c>
      <c r="K15080" s="7" t="s">
        <v>18</v>
      </c>
      <c r="L15080" s="8">
        <v>39987.315405092595</v>
      </c>
      <c r="M15080" s="9" t="s">
        <v>19</v>
      </c>
      <c r="N15080" s="9" t="s">
        <v>20</v>
      </c>
      <c r="O15080" s="6" t="str">
        <f>HYPERLINK("https://pbs.twimg.com/profile_images/962471262747529216/Uo8lOkRJ_normal.jpg","View")</f>
        <v>View</v>
      </c>
      <c r="P15080" s="7"/>
    </row>
    <row r="15081" spans="1:16">
      <c r="A15081" s="3">
        <v>44370.072453703702</v>
      </c>
      <c r="B15081" s="4" t="str">
        <f>HYPERLINK("https://twitter.com/petrogustavo","@petrogustavo")</f>
        <v>@petrogustavo</v>
      </c>
      <c r="C15081" s="5" t="s">
        <v>16</v>
      </c>
      <c r="D15081" s="5" t="s">
        <v>14526</v>
      </c>
      <c r="E15081" s="6" t="str">
        <f>HYPERLINK("https://twitter.com/petrogustavo/status/1407431784837623808","1407431784837623808")</f>
        <v>1407431784837623808</v>
      </c>
      <c r="F15081" s="7" t="s">
        <v>17</v>
      </c>
      <c r="G15081" s="7">
        <v>4314907</v>
      </c>
      <c r="H15081" s="7">
        <v>2523</v>
      </c>
      <c r="I15081" s="7">
        <v>46</v>
      </c>
      <c r="J15081" s="7">
        <v>0</v>
      </c>
      <c r="K15081" s="7" t="s">
        <v>18</v>
      </c>
      <c r="L15081" s="8">
        <v>39987.315405092595</v>
      </c>
      <c r="M15081" s="9" t="s">
        <v>19</v>
      </c>
      <c r="N15081" s="9" t="s">
        <v>20</v>
      </c>
      <c r="O15081" s="6" t="str">
        <f>HYPERLINK("https://pbs.twimg.com/profile_images/962471262747529216/Uo8lOkRJ_normal.jpg","View")</f>
        <v>View</v>
      </c>
      <c r="P15081" s="7"/>
    </row>
    <row r="15082" spans="1:16">
      <c r="A15082" s="3">
        <v>44370.075312500005</v>
      </c>
      <c r="B15082" s="4" t="str">
        <f>HYPERLINK("https://twitter.com/petrogustavo","@petrogustavo")</f>
        <v>@petrogustavo</v>
      </c>
      <c r="C15082" s="5" t="s">
        <v>16</v>
      </c>
      <c r="D15082" s="5" t="s">
        <v>14527</v>
      </c>
      <c r="E15082" s="6" t="str">
        <f>HYPERLINK("https://twitter.com/petrogustavo/status/1407432820713263113","1407432820713263113")</f>
        <v>1407432820713263113</v>
      </c>
      <c r="F15082" s="7" t="s">
        <v>17</v>
      </c>
      <c r="G15082" s="7">
        <v>4314907</v>
      </c>
      <c r="H15082" s="7">
        <v>2523</v>
      </c>
      <c r="I15082" s="7">
        <v>231</v>
      </c>
      <c r="J15082" s="7">
        <v>0</v>
      </c>
      <c r="K15082" s="7" t="s">
        <v>18</v>
      </c>
      <c r="L15082" s="8">
        <v>39987.315405092595</v>
      </c>
      <c r="M15082" s="9" t="s">
        <v>19</v>
      </c>
      <c r="N15082" s="9" t="s">
        <v>20</v>
      </c>
      <c r="O15082" s="6" t="str">
        <f>HYPERLINK("https://pbs.twimg.com/profile_images/962471262747529216/Uo8lOkRJ_normal.jpg","View")</f>
        <v>View</v>
      </c>
      <c r="P15082" s="7"/>
    </row>
    <row r="15083" spans="1:16">
      <c r="A15083" s="3">
        <v>44370.076712962968</v>
      </c>
      <c r="B15083" s="4" t="str">
        <f>HYPERLINK("https://twitter.com/petrogustavo","@petrogustavo")</f>
        <v>@petrogustavo</v>
      </c>
      <c r="C15083" s="5" t="s">
        <v>16</v>
      </c>
      <c r="D15083" s="5" t="s">
        <v>14528</v>
      </c>
      <c r="E15083" s="6" t="str">
        <f>HYPERLINK("https://twitter.com/petrogustavo/status/1407433324675616775","1407433324675616775")</f>
        <v>1407433324675616775</v>
      </c>
      <c r="F15083" s="7" t="s">
        <v>17</v>
      </c>
      <c r="G15083" s="7">
        <v>4314907</v>
      </c>
      <c r="H15083" s="7">
        <v>2523</v>
      </c>
      <c r="I15083" s="7">
        <v>140</v>
      </c>
      <c r="J15083" s="7">
        <v>427</v>
      </c>
      <c r="K15083" s="7" t="s">
        <v>18</v>
      </c>
      <c r="L15083" s="8">
        <v>39987.315405092595</v>
      </c>
      <c r="M15083" s="9" t="s">
        <v>19</v>
      </c>
      <c r="N15083" s="9" t="s">
        <v>20</v>
      </c>
      <c r="O15083" s="6" t="str">
        <f>HYPERLINK("https://pbs.twimg.com/profile_images/962471262747529216/Uo8lOkRJ_normal.jpg","View")</f>
        <v>View</v>
      </c>
      <c r="P15083" s="7"/>
    </row>
    <row r="15084" spans="1:16">
      <c r="A15084" s="3">
        <v>44370.624178240745</v>
      </c>
      <c r="B15084" s="4" t="str">
        <f>HYPERLINK("https://twitter.com/petrogustavo","@petrogustavo")</f>
        <v>@petrogustavo</v>
      </c>
      <c r="C15084" s="5" t="s">
        <v>16</v>
      </c>
      <c r="D15084" s="5" t="s">
        <v>14529</v>
      </c>
      <c r="E15084" s="6" t="str">
        <f>HYPERLINK("https://twitter.com/petrogustavo/status/1407631722137763840","1407631722137763840")</f>
        <v>1407631722137763840</v>
      </c>
      <c r="F15084" s="7" t="s">
        <v>17</v>
      </c>
      <c r="G15084" s="7">
        <v>4315459</v>
      </c>
      <c r="H15084" s="7">
        <v>2524</v>
      </c>
      <c r="I15084" s="7">
        <v>15</v>
      </c>
      <c r="J15084" s="7">
        <v>37</v>
      </c>
      <c r="K15084" s="7" t="s">
        <v>18</v>
      </c>
      <c r="L15084" s="8">
        <v>39987.315405092595</v>
      </c>
      <c r="M15084" s="9" t="s">
        <v>19</v>
      </c>
      <c r="N15084" s="9" t="s">
        <v>20</v>
      </c>
      <c r="O15084" s="6" t="str">
        <f>HYPERLINK("https://pbs.twimg.com/profile_images/962471262747529216/Uo8lOkRJ_normal.jpg","View")</f>
        <v>View</v>
      </c>
      <c r="P15084" s="7"/>
    </row>
    <row r="15085" spans="1:16">
      <c r="A15085" s="3">
        <v>44370.790995370371</v>
      </c>
      <c r="B15085" s="4" t="str">
        <f>HYPERLINK("https://twitter.com/petrogustavo","@petrogustavo")</f>
        <v>@petrogustavo</v>
      </c>
      <c r="C15085" s="5" t="s">
        <v>16</v>
      </c>
      <c r="D15085" s="5" t="s">
        <v>14530</v>
      </c>
      <c r="E15085" s="6" t="str">
        <f>HYPERLINK("https://twitter.com/petrogustavo/status/1407692174834155521","1407692174834155521")</f>
        <v>1407692174834155521</v>
      </c>
      <c r="F15085" s="7" t="s">
        <v>17</v>
      </c>
      <c r="G15085" s="7">
        <v>4315574</v>
      </c>
      <c r="H15085" s="7">
        <v>2524</v>
      </c>
      <c r="I15085" s="7">
        <v>68</v>
      </c>
      <c r="J15085" s="7">
        <v>117</v>
      </c>
      <c r="K15085" s="7" t="s">
        <v>18</v>
      </c>
      <c r="L15085" s="8">
        <v>39987.315405092595</v>
      </c>
      <c r="M15085" s="9" t="s">
        <v>19</v>
      </c>
      <c r="N15085" s="9" t="s">
        <v>20</v>
      </c>
      <c r="O15085" s="6" t="str">
        <f>HYPERLINK("https://pbs.twimg.com/profile_images/962471262747529216/Uo8lOkRJ_normal.jpg","View")</f>
        <v>View</v>
      </c>
      <c r="P15085" s="7"/>
    </row>
    <row r="15086" spans="1:16">
      <c r="A15086" s="3">
        <v>44370.843692129631</v>
      </c>
      <c r="B15086" s="4" t="str">
        <f>HYPERLINK("https://twitter.com/petrogustavo","@petrogustavo")</f>
        <v>@petrogustavo</v>
      </c>
      <c r="C15086" s="5" t="s">
        <v>16</v>
      </c>
      <c r="D15086" s="5" t="s">
        <v>14531</v>
      </c>
      <c r="E15086" s="6" t="str">
        <f>HYPERLINK("https://twitter.com/petrogustavo/status/1407711268706865153","1407711268706865153")</f>
        <v>1407711268706865153</v>
      </c>
      <c r="F15086" s="7" t="s">
        <v>17</v>
      </c>
      <c r="G15086" s="7">
        <v>4315663</v>
      </c>
      <c r="H15086" s="7">
        <v>2524</v>
      </c>
      <c r="I15086" s="7">
        <v>243</v>
      </c>
      <c r="J15086" s="7">
        <v>722</v>
      </c>
      <c r="K15086" s="7" t="s">
        <v>18</v>
      </c>
      <c r="L15086" s="8">
        <v>39987.315405092595</v>
      </c>
      <c r="M15086" s="9" t="s">
        <v>19</v>
      </c>
      <c r="N15086" s="9" t="s">
        <v>20</v>
      </c>
      <c r="O15086" s="6" t="str">
        <f>HYPERLINK("https://pbs.twimg.com/profile_images/962471262747529216/Uo8lOkRJ_normal.jpg","View")</f>
        <v>View</v>
      </c>
      <c r="P15086" s="7"/>
    </row>
    <row r="15087" spans="1:16">
      <c r="A15087" s="3">
        <v>44370.893854166672</v>
      </c>
      <c r="B15087" s="4" t="str">
        <f>HYPERLINK("https://twitter.com/petrogustavo","@petrogustavo")</f>
        <v>@petrogustavo</v>
      </c>
      <c r="C15087" s="5" t="s">
        <v>16</v>
      </c>
      <c r="D15087" s="5" t="s">
        <v>14532</v>
      </c>
      <c r="E15087" s="6" t="str">
        <f>HYPERLINK("https://twitter.com/petrogustavo/status/1407729449878106113","1407729449878106113")</f>
        <v>1407729449878106113</v>
      </c>
      <c r="F15087" s="7" t="s">
        <v>17</v>
      </c>
      <c r="G15087" s="7">
        <v>4315722</v>
      </c>
      <c r="H15087" s="7">
        <v>2523</v>
      </c>
      <c r="I15087" s="7">
        <v>67</v>
      </c>
      <c r="J15087" s="7">
        <v>186</v>
      </c>
      <c r="K15087" s="7" t="s">
        <v>18</v>
      </c>
      <c r="L15087" s="8">
        <v>39987.315405092595</v>
      </c>
      <c r="M15087" s="9" t="s">
        <v>19</v>
      </c>
      <c r="N15087" s="9" t="s">
        <v>20</v>
      </c>
      <c r="O15087" s="6" t="str">
        <f>HYPERLINK("https://pbs.twimg.com/profile_images/962471262747529216/Uo8lOkRJ_normal.jpg","View")</f>
        <v>View</v>
      </c>
      <c r="P15087" s="7"/>
    </row>
    <row r="15088" spans="1:16">
      <c r="A15088" s="3">
        <v>44371.117488425924</v>
      </c>
      <c r="B15088" s="4" t="str">
        <f>HYPERLINK("https://twitter.com/petrogustavo","@petrogustavo")</f>
        <v>@petrogustavo</v>
      </c>
      <c r="C15088" s="5" t="s">
        <v>16</v>
      </c>
      <c r="D15088" s="5" t="s">
        <v>14533</v>
      </c>
      <c r="E15088" s="6" t="str">
        <f>HYPERLINK("https://twitter.com/petrogustavo/status/1407810489002889220","1407810489002889220")</f>
        <v>1407810489002889220</v>
      </c>
      <c r="F15088" s="7" t="s">
        <v>32</v>
      </c>
      <c r="G15088" s="7">
        <v>4315970</v>
      </c>
      <c r="H15088" s="7">
        <v>2523</v>
      </c>
      <c r="I15088" s="7">
        <v>193</v>
      </c>
      <c r="J15088" s="7">
        <v>0</v>
      </c>
      <c r="K15088" s="7" t="s">
        <v>18</v>
      </c>
      <c r="L15088" s="8">
        <v>39987.315405092595</v>
      </c>
      <c r="M15088" s="9" t="s">
        <v>19</v>
      </c>
      <c r="N15088" s="9" t="s">
        <v>20</v>
      </c>
      <c r="O15088" s="6" t="str">
        <f>HYPERLINK("https://pbs.twimg.com/profile_images/962471262747529216/Uo8lOkRJ_normal.jpg","View")</f>
        <v>View</v>
      </c>
      <c r="P15088" s="7"/>
    </row>
    <row r="15089" spans="1:16">
      <c r="A15089" s="3">
        <v>44371.120138888888</v>
      </c>
      <c r="B15089" s="4" t="str">
        <f>HYPERLINK("https://twitter.com/petrogustavo","@petrogustavo")</f>
        <v>@petrogustavo</v>
      </c>
      <c r="C15089" s="5" t="s">
        <v>16</v>
      </c>
      <c r="D15089" s="5" t="s">
        <v>14534</v>
      </c>
      <c r="E15089" s="6" t="str">
        <f>HYPERLINK("https://twitter.com/petrogustavo/status/1407811452853964801","1407811452853964801")</f>
        <v>1407811452853964801</v>
      </c>
      <c r="F15089" s="7" t="s">
        <v>32</v>
      </c>
      <c r="G15089" s="7">
        <v>4315970</v>
      </c>
      <c r="H15089" s="7">
        <v>2523</v>
      </c>
      <c r="I15089" s="7">
        <v>34</v>
      </c>
      <c r="J15089" s="7">
        <v>0</v>
      </c>
      <c r="K15089" s="7" t="s">
        <v>18</v>
      </c>
      <c r="L15089" s="8">
        <v>39987.315405092595</v>
      </c>
      <c r="M15089" s="9" t="s">
        <v>19</v>
      </c>
      <c r="N15089" s="9" t="s">
        <v>20</v>
      </c>
      <c r="O15089" s="6" t="str">
        <f>HYPERLINK("https://pbs.twimg.com/profile_images/962471262747529216/Uo8lOkRJ_normal.jpg","View")</f>
        <v>View</v>
      </c>
      <c r="P15089" s="7"/>
    </row>
    <row r="15090" spans="1:16">
      <c r="A15090" s="3">
        <v>44371.121481481481</v>
      </c>
      <c r="B15090" s="4" t="str">
        <f>HYPERLINK("https://twitter.com/petrogustavo","@petrogustavo")</f>
        <v>@petrogustavo</v>
      </c>
      <c r="C15090" s="5" t="s">
        <v>16</v>
      </c>
      <c r="D15090" s="5" t="s">
        <v>14535</v>
      </c>
      <c r="E15090" s="6" t="str">
        <f>HYPERLINK("https://twitter.com/petrogustavo/status/1407811937065443330","1407811937065443330")</f>
        <v>1407811937065443330</v>
      </c>
      <c r="F15090" s="7" t="s">
        <v>32</v>
      </c>
      <c r="G15090" s="7">
        <v>4315970</v>
      </c>
      <c r="H15090" s="7">
        <v>2523</v>
      </c>
      <c r="I15090" s="7">
        <v>277</v>
      </c>
      <c r="J15090" s="7">
        <v>0</v>
      </c>
      <c r="K15090" s="7" t="s">
        <v>18</v>
      </c>
      <c r="L15090" s="8">
        <v>39987.315405092595</v>
      </c>
      <c r="M15090" s="9" t="s">
        <v>19</v>
      </c>
      <c r="N15090" s="9" t="s">
        <v>20</v>
      </c>
      <c r="O15090" s="6" t="str">
        <f>HYPERLINK("https://pbs.twimg.com/profile_images/962471262747529216/Uo8lOkRJ_normal.jpg","View")</f>
        <v>View</v>
      </c>
      <c r="P15090" s="7"/>
    </row>
    <row r="15091" spans="1:16">
      <c r="A15091" s="3">
        <v>44371.127951388888</v>
      </c>
      <c r="B15091" s="4" t="str">
        <f>HYPERLINK("https://twitter.com/petrogustavo","@petrogustavo")</f>
        <v>@petrogustavo</v>
      </c>
      <c r="C15091" s="5" t="s">
        <v>16</v>
      </c>
      <c r="D15091" s="5" t="s">
        <v>14536</v>
      </c>
      <c r="E15091" s="6" t="str">
        <f>HYPERLINK("https://twitter.com/petrogustavo/status/1407814281559674884","1407814281559674884")</f>
        <v>1407814281559674884</v>
      </c>
      <c r="F15091" s="7" t="s">
        <v>32</v>
      </c>
      <c r="G15091" s="7">
        <v>4315989</v>
      </c>
      <c r="H15091" s="7">
        <v>2523</v>
      </c>
      <c r="I15091" s="7">
        <v>562</v>
      </c>
      <c r="J15091" s="7">
        <v>0</v>
      </c>
      <c r="K15091" s="7" t="s">
        <v>18</v>
      </c>
      <c r="L15091" s="8">
        <v>39987.315405092595</v>
      </c>
      <c r="M15091" s="9" t="s">
        <v>19</v>
      </c>
      <c r="N15091" s="9" t="s">
        <v>20</v>
      </c>
      <c r="O15091" s="6" t="str">
        <f>HYPERLINK("https://pbs.twimg.com/profile_images/962471262747529216/Uo8lOkRJ_normal.jpg","View")</f>
        <v>View</v>
      </c>
      <c r="P15091" s="7"/>
    </row>
    <row r="15092" spans="1:16">
      <c r="A15092" s="3">
        <v>44371.13381944444</v>
      </c>
      <c r="B15092" s="4" t="str">
        <f>HYPERLINK("https://twitter.com/petrogustavo","@petrogustavo")</f>
        <v>@petrogustavo</v>
      </c>
      <c r="C15092" s="5" t="s">
        <v>16</v>
      </c>
      <c r="D15092" s="5" t="s">
        <v>14537</v>
      </c>
      <c r="E15092" s="6" t="str">
        <f>HYPERLINK("https://twitter.com/petrogustavo/status/1407816408159903744","1407816408159903744")</f>
        <v>1407816408159903744</v>
      </c>
      <c r="F15092" s="7" t="s">
        <v>32</v>
      </c>
      <c r="G15092" s="7">
        <v>4315989</v>
      </c>
      <c r="H15092" s="7">
        <v>2523</v>
      </c>
      <c r="I15092" s="7">
        <v>317</v>
      </c>
      <c r="J15092" s="7">
        <v>0</v>
      </c>
      <c r="K15092" s="7" t="s">
        <v>18</v>
      </c>
      <c r="L15092" s="8">
        <v>39987.315405092595</v>
      </c>
      <c r="M15092" s="9" t="s">
        <v>19</v>
      </c>
      <c r="N15092" s="9" t="s">
        <v>20</v>
      </c>
      <c r="O15092" s="6" t="str">
        <f>HYPERLINK("https://pbs.twimg.com/profile_images/962471262747529216/Uo8lOkRJ_normal.jpg","View")</f>
        <v>View</v>
      </c>
      <c r="P15092" s="7"/>
    </row>
    <row r="15093" spans="1:16">
      <c r="A15093" s="3">
        <v>44371.134270833332</v>
      </c>
      <c r="B15093" s="4" t="str">
        <f>HYPERLINK("https://twitter.com/petrogustavo","@petrogustavo")</f>
        <v>@petrogustavo</v>
      </c>
      <c r="C15093" s="5" t="s">
        <v>16</v>
      </c>
      <c r="D15093" s="5" t="s">
        <v>14538</v>
      </c>
      <c r="E15093" s="6" t="str">
        <f>HYPERLINK("https://twitter.com/petrogustavo/status/1407816570714431488","1407816570714431488")</f>
        <v>1407816570714431488</v>
      </c>
      <c r="F15093" s="7" t="s">
        <v>32</v>
      </c>
      <c r="G15093" s="7">
        <v>4315989</v>
      </c>
      <c r="H15093" s="7">
        <v>2523</v>
      </c>
      <c r="I15093" s="7">
        <v>242</v>
      </c>
      <c r="J15093" s="7">
        <v>0</v>
      </c>
      <c r="K15093" s="7" t="s">
        <v>18</v>
      </c>
      <c r="L15093" s="8">
        <v>39987.315405092595</v>
      </c>
      <c r="M15093" s="9" t="s">
        <v>19</v>
      </c>
      <c r="N15093" s="9" t="s">
        <v>20</v>
      </c>
      <c r="O15093" s="6" t="str">
        <f>HYPERLINK("https://pbs.twimg.com/profile_images/962471262747529216/Uo8lOkRJ_normal.jpg","View")</f>
        <v>View</v>
      </c>
      <c r="P15093" s="7"/>
    </row>
    <row r="15094" spans="1:16">
      <c r="A15094" s="3">
        <v>44371.139363425929</v>
      </c>
      <c r="B15094" s="4" t="str">
        <f>HYPERLINK("https://twitter.com/petrogustavo","@petrogustavo")</f>
        <v>@petrogustavo</v>
      </c>
      <c r="C15094" s="5" t="s">
        <v>16</v>
      </c>
      <c r="D15094" s="5" t="s">
        <v>14539</v>
      </c>
      <c r="E15094" s="6" t="str">
        <f>HYPERLINK("https://twitter.com/petrogustavo/status/1407818419383189505","1407818419383189505")</f>
        <v>1407818419383189505</v>
      </c>
      <c r="F15094" s="7" t="s">
        <v>32</v>
      </c>
      <c r="G15094" s="7">
        <v>4315989</v>
      </c>
      <c r="H15094" s="7">
        <v>2523</v>
      </c>
      <c r="I15094" s="7">
        <v>268</v>
      </c>
      <c r="J15094" s="7">
        <v>847</v>
      </c>
      <c r="K15094" s="7" t="s">
        <v>18</v>
      </c>
      <c r="L15094" s="8">
        <v>39987.315405092595</v>
      </c>
      <c r="M15094" s="9" t="s">
        <v>19</v>
      </c>
      <c r="N15094" s="9" t="s">
        <v>20</v>
      </c>
      <c r="O15094" s="6" t="str">
        <f>HYPERLINK("https://pbs.twimg.com/profile_images/962471262747529216/Uo8lOkRJ_normal.jpg","View")</f>
        <v>View</v>
      </c>
      <c r="P15094" s="7"/>
    </row>
    <row r="15095" spans="1:16">
      <c r="A15095" s="3">
        <v>44371.151307870372</v>
      </c>
      <c r="B15095" s="4" t="str">
        <f>HYPERLINK("https://twitter.com/petrogustavo","@petrogustavo")</f>
        <v>@petrogustavo</v>
      </c>
      <c r="C15095" s="5" t="s">
        <v>16</v>
      </c>
      <c r="D15095" s="5" t="s">
        <v>14540</v>
      </c>
      <c r="E15095" s="6" t="str">
        <f>HYPERLINK("https://twitter.com/petrogustavo/status/1407822747473006597","1407822747473006597")</f>
        <v>1407822747473006597</v>
      </c>
      <c r="F15095" s="7" t="s">
        <v>32</v>
      </c>
      <c r="G15095" s="7">
        <v>4315999</v>
      </c>
      <c r="H15095" s="7">
        <v>2523</v>
      </c>
      <c r="I15095" s="7">
        <v>777</v>
      </c>
      <c r="J15095" s="7">
        <v>0</v>
      </c>
      <c r="K15095" s="7" t="s">
        <v>18</v>
      </c>
      <c r="L15095" s="8">
        <v>39987.315405092595</v>
      </c>
      <c r="M15095" s="9" t="s">
        <v>19</v>
      </c>
      <c r="N15095" s="9" t="s">
        <v>20</v>
      </c>
      <c r="O15095" s="6" t="str">
        <f>HYPERLINK("https://pbs.twimg.com/profile_images/962471262747529216/Uo8lOkRJ_normal.jpg","View")</f>
        <v>View</v>
      </c>
      <c r="P15095" s="7"/>
    </row>
    <row r="15096" spans="1:16">
      <c r="A15096" s="3">
        <v>44371.678043981483</v>
      </c>
      <c r="B15096" s="4" t="str">
        <f>HYPERLINK("https://twitter.com/petrogustavo","@petrogustavo")</f>
        <v>@petrogustavo</v>
      </c>
      <c r="C15096" s="5" t="s">
        <v>16</v>
      </c>
      <c r="D15096" s="5" t="s">
        <v>14541</v>
      </c>
      <c r="E15096" s="6" t="str">
        <f>HYPERLINK("https://twitter.com/petrogustavo/status/1408013630013165568","1408013630013165568")</f>
        <v>1408013630013165568</v>
      </c>
      <c r="F15096" s="7" t="s">
        <v>17</v>
      </c>
      <c r="G15096" s="7">
        <v>4316496</v>
      </c>
      <c r="H15096" s="7">
        <v>2525</v>
      </c>
      <c r="I15096" s="7">
        <v>101</v>
      </c>
      <c r="J15096" s="7">
        <v>279</v>
      </c>
      <c r="K15096" s="7" t="s">
        <v>18</v>
      </c>
      <c r="L15096" s="8">
        <v>39987.315405092595</v>
      </c>
      <c r="M15096" s="9" t="s">
        <v>19</v>
      </c>
      <c r="N15096" s="9" t="s">
        <v>20</v>
      </c>
      <c r="O15096" s="6" t="str">
        <f>HYPERLINK("https://pbs.twimg.com/profile_images/962471262747529216/Uo8lOkRJ_normal.jpg","View")</f>
        <v>View</v>
      </c>
      <c r="P15096" s="7"/>
    </row>
    <row r="15097" spans="1:16">
      <c r="A15097" s="3">
        <v>44371.67805555556</v>
      </c>
      <c r="B15097" s="4" t="str">
        <f>HYPERLINK("https://twitter.com/petrogustavo","@petrogustavo")</f>
        <v>@petrogustavo</v>
      </c>
      <c r="C15097" s="5" t="s">
        <v>16</v>
      </c>
      <c r="D15097" s="5" t="s">
        <v>14542</v>
      </c>
      <c r="E15097" s="6" t="str">
        <f>HYPERLINK("https://twitter.com/petrogustavo/status/1408013631565045762","1408013631565045762")</f>
        <v>1408013631565045762</v>
      </c>
      <c r="F15097" s="7" t="s">
        <v>17</v>
      </c>
      <c r="G15097" s="7">
        <v>4316496</v>
      </c>
      <c r="H15097" s="7">
        <v>2525</v>
      </c>
      <c r="I15097" s="7">
        <v>69</v>
      </c>
      <c r="J15097" s="7">
        <v>183</v>
      </c>
      <c r="K15097" s="7" t="s">
        <v>18</v>
      </c>
      <c r="L15097" s="8">
        <v>39987.315405092595</v>
      </c>
      <c r="M15097" s="9" t="s">
        <v>19</v>
      </c>
      <c r="N15097" s="9" t="s">
        <v>20</v>
      </c>
      <c r="O15097" s="6" t="str">
        <f>HYPERLINK("https://pbs.twimg.com/profile_images/962471262747529216/Uo8lOkRJ_normal.jpg","View")</f>
        <v>View</v>
      </c>
      <c r="P15097" s="7"/>
    </row>
    <row r="15098" spans="1:16">
      <c r="A15098" s="3">
        <v>44371.846909722226</v>
      </c>
      <c r="B15098" s="4" t="str">
        <f>HYPERLINK("https://twitter.com/petrogustavo","@petrogustavo")</f>
        <v>@petrogustavo</v>
      </c>
      <c r="C15098" s="5" t="s">
        <v>16</v>
      </c>
      <c r="D15098" s="5" t="s">
        <v>14543</v>
      </c>
      <c r="E15098" s="6" t="str">
        <f>HYPERLINK("https://twitter.com/petrogustavo/status/1408074825474711561","1408074825474711561")</f>
        <v>1408074825474711561</v>
      </c>
      <c r="F15098" s="7" t="s">
        <v>17</v>
      </c>
      <c r="G15098" s="7">
        <v>4316639</v>
      </c>
      <c r="H15098" s="7">
        <v>2525</v>
      </c>
      <c r="I15098" s="7">
        <v>1493</v>
      </c>
      <c r="J15098" s="7">
        <v>0</v>
      </c>
      <c r="K15098" s="7" t="s">
        <v>18</v>
      </c>
      <c r="L15098" s="8">
        <v>39987.315405092595</v>
      </c>
      <c r="M15098" s="9" t="s">
        <v>19</v>
      </c>
      <c r="N15098" s="9" t="s">
        <v>20</v>
      </c>
      <c r="O15098" s="6" t="str">
        <f>HYPERLINK("https://pbs.twimg.com/profile_images/962471262747529216/Uo8lOkRJ_normal.jpg","View")</f>
        <v>View</v>
      </c>
      <c r="P15098" s="7"/>
    </row>
    <row r="15099" spans="1:16">
      <c r="A15099" s="3">
        <v>44372.033067129625</v>
      </c>
      <c r="B15099" s="4" t="str">
        <f>HYPERLINK("https://twitter.com/petrogustavo","@petrogustavo")</f>
        <v>@petrogustavo</v>
      </c>
      <c r="C15099" s="5" t="s">
        <v>16</v>
      </c>
      <c r="D15099" s="5" t="s">
        <v>14544</v>
      </c>
      <c r="E15099" s="6" t="str">
        <f>HYPERLINK("https://twitter.com/petrogustavo/status/1408142283489304576","1408142283489304576")</f>
        <v>1408142283489304576</v>
      </c>
      <c r="F15099" s="7" t="s">
        <v>17</v>
      </c>
      <c r="G15099" s="7">
        <v>4316842</v>
      </c>
      <c r="H15099" s="7">
        <v>2525</v>
      </c>
      <c r="I15099" s="7">
        <v>422</v>
      </c>
      <c r="J15099" s="7">
        <v>0</v>
      </c>
      <c r="K15099" s="7" t="s">
        <v>18</v>
      </c>
      <c r="L15099" s="8">
        <v>39987.315405092595</v>
      </c>
      <c r="M15099" s="9" t="s">
        <v>19</v>
      </c>
      <c r="N15099" s="9" t="s">
        <v>20</v>
      </c>
      <c r="O15099" s="6" t="str">
        <f>HYPERLINK("https://pbs.twimg.com/profile_images/962471262747529216/Uo8lOkRJ_normal.jpg","View")</f>
        <v>View</v>
      </c>
      <c r="P15099" s="7"/>
    </row>
    <row r="15100" spans="1:16">
      <c r="A15100" s="3">
        <v>44372.065902777773</v>
      </c>
      <c r="B15100" s="4" t="str">
        <f>HYPERLINK("https://twitter.com/petrogustavo","@petrogustavo")</f>
        <v>@petrogustavo</v>
      </c>
      <c r="C15100" s="5" t="s">
        <v>16</v>
      </c>
      <c r="D15100" s="5" t="s">
        <v>14540</v>
      </c>
      <c r="E15100" s="6" t="str">
        <f>HYPERLINK("https://twitter.com/petrogustavo/status/1408154184768176136","1408154184768176136")</f>
        <v>1408154184768176136</v>
      </c>
      <c r="F15100" s="7" t="s">
        <v>17</v>
      </c>
      <c r="G15100" s="7">
        <v>4316874</v>
      </c>
      <c r="H15100" s="7">
        <v>2525</v>
      </c>
      <c r="I15100" s="7">
        <v>1220</v>
      </c>
      <c r="J15100" s="7">
        <v>0</v>
      </c>
      <c r="K15100" s="7" t="s">
        <v>18</v>
      </c>
      <c r="L15100" s="8">
        <v>39987.315405092595</v>
      </c>
      <c r="M15100" s="9" t="s">
        <v>19</v>
      </c>
      <c r="N15100" s="9" t="s">
        <v>20</v>
      </c>
      <c r="O15100" s="6" t="str">
        <f>HYPERLINK("https://pbs.twimg.com/profile_images/962471262747529216/Uo8lOkRJ_normal.jpg","View")</f>
        <v>View</v>
      </c>
      <c r="P15100" s="7"/>
    </row>
    <row r="15101" spans="1:16">
      <c r="A15101" s="3">
        <v>44372.086435185185</v>
      </c>
      <c r="B15101" s="4" t="str">
        <f>HYPERLINK("https://twitter.com/petrogustavo","@petrogustavo")</f>
        <v>@petrogustavo</v>
      </c>
      <c r="C15101" s="5" t="s">
        <v>16</v>
      </c>
      <c r="D15101" s="5" t="s">
        <v>14545</v>
      </c>
      <c r="E15101" s="6" t="str">
        <f>HYPERLINK("https://twitter.com/petrogustavo/status/1408161625501229060","1408161625501229060")</f>
        <v>1408161625501229060</v>
      </c>
      <c r="F15101" s="7" t="s">
        <v>17</v>
      </c>
      <c r="G15101" s="7">
        <v>4316894</v>
      </c>
      <c r="H15101" s="7">
        <v>2525</v>
      </c>
      <c r="I15101" s="7">
        <v>326</v>
      </c>
      <c r="J15101" s="7">
        <v>965</v>
      </c>
      <c r="K15101" s="7" t="s">
        <v>18</v>
      </c>
      <c r="L15101" s="8">
        <v>39987.315405092595</v>
      </c>
      <c r="M15101" s="9" t="s">
        <v>19</v>
      </c>
      <c r="N15101" s="9" t="s">
        <v>20</v>
      </c>
      <c r="O15101" s="6" t="str">
        <f>HYPERLINK("https://pbs.twimg.com/profile_images/962471262747529216/Uo8lOkRJ_normal.jpg","View")</f>
        <v>View</v>
      </c>
      <c r="P15101" s="7"/>
    </row>
    <row r="15102" spans="1:16">
      <c r="A15102" s="3">
        <v>44372.12600694444</v>
      </c>
      <c r="B15102" s="4" t="str">
        <f>HYPERLINK("https://twitter.com/petrogustavo","@petrogustavo")</f>
        <v>@petrogustavo</v>
      </c>
      <c r="C15102" s="5" t="s">
        <v>16</v>
      </c>
      <c r="D15102" s="5" t="s">
        <v>14546</v>
      </c>
      <c r="E15102" s="6" t="str">
        <f>HYPERLINK("https://twitter.com/petrogustavo/status/1408175966988509187","1408175966988509187")</f>
        <v>1408175966988509187</v>
      </c>
      <c r="F15102" s="7" t="s">
        <v>17</v>
      </c>
      <c r="G15102" s="7">
        <v>4316909</v>
      </c>
      <c r="H15102" s="7">
        <v>2525</v>
      </c>
      <c r="I15102" s="7">
        <v>15</v>
      </c>
      <c r="J15102" s="7">
        <v>0</v>
      </c>
      <c r="K15102" s="7" t="s">
        <v>18</v>
      </c>
      <c r="L15102" s="8">
        <v>39987.315405092595</v>
      </c>
      <c r="M15102" s="9" t="s">
        <v>19</v>
      </c>
      <c r="N15102" s="9" t="s">
        <v>20</v>
      </c>
      <c r="O15102" s="6" t="str">
        <f>HYPERLINK("https://pbs.twimg.com/profile_images/962471262747529216/Uo8lOkRJ_normal.jpg","View")</f>
        <v>View</v>
      </c>
      <c r="P15102" s="7"/>
    </row>
    <row r="15103" spans="1:16">
      <c r="A15103" s="3">
        <v>44372.126469907409</v>
      </c>
      <c r="B15103" s="4" t="str">
        <f>HYPERLINK("https://twitter.com/petrogustavo","@petrogustavo")</f>
        <v>@petrogustavo</v>
      </c>
      <c r="C15103" s="5" t="s">
        <v>16</v>
      </c>
      <c r="D15103" s="5" t="s">
        <v>14547</v>
      </c>
      <c r="E15103" s="6" t="str">
        <f>HYPERLINK("https://twitter.com/petrogustavo/status/1408176134135689228","1408176134135689228")</f>
        <v>1408176134135689228</v>
      </c>
      <c r="F15103" s="7" t="s">
        <v>17</v>
      </c>
      <c r="G15103" s="7">
        <v>4316909</v>
      </c>
      <c r="H15103" s="7">
        <v>2525</v>
      </c>
      <c r="I15103" s="7">
        <v>566</v>
      </c>
      <c r="J15103" s="7">
        <v>0</v>
      </c>
      <c r="K15103" s="7" t="s">
        <v>18</v>
      </c>
      <c r="L15103" s="8">
        <v>39987.315405092595</v>
      </c>
      <c r="M15103" s="9" t="s">
        <v>19</v>
      </c>
      <c r="N15103" s="9" t="s">
        <v>20</v>
      </c>
      <c r="O15103" s="6" t="str">
        <f>HYPERLINK("https://pbs.twimg.com/profile_images/962471262747529216/Uo8lOkRJ_normal.jpg","View")</f>
        <v>View</v>
      </c>
      <c r="P15103" s="7"/>
    </row>
    <row r="15104" spans="1:16">
      <c r="A15104" s="3">
        <v>44372.741793981477</v>
      </c>
      <c r="B15104" s="4" t="str">
        <f>HYPERLINK("https://twitter.com/petrogustavo","@petrogustavo")</f>
        <v>@petrogustavo</v>
      </c>
      <c r="C15104" s="5" t="s">
        <v>16</v>
      </c>
      <c r="D15104" s="5" t="s">
        <v>14548</v>
      </c>
      <c r="E15104" s="6" t="str">
        <f>HYPERLINK("https://twitter.com/petrogustavo/status/1408399119421480965","1408399119421480965")</f>
        <v>1408399119421480965</v>
      </c>
      <c r="F15104" s="7" t="s">
        <v>17</v>
      </c>
      <c r="G15104" s="7">
        <v>4317261</v>
      </c>
      <c r="H15104" s="7">
        <v>2525</v>
      </c>
      <c r="I15104" s="7">
        <v>629</v>
      </c>
      <c r="J15104" s="7">
        <v>0</v>
      </c>
      <c r="K15104" s="7" t="s">
        <v>18</v>
      </c>
      <c r="L15104" s="8">
        <v>39987.315405092595</v>
      </c>
      <c r="M15104" s="9" t="s">
        <v>19</v>
      </c>
      <c r="N15104" s="9" t="s">
        <v>20</v>
      </c>
      <c r="O15104" s="6" t="str">
        <f>HYPERLINK("https://pbs.twimg.com/profile_images/962471262747529216/Uo8lOkRJ_normal.jpg","View")</f>
        <v>View</v>
      </c>
      <c r="P15104" s="7"/>
    </row>
    <row r="15105" spans="1:16">
      <c r="A15105" s="3">
        <v>44372.742129629631</v>
      </c>
      <c r="B15105" s="4" t="str">
        <f>HYPERLINK("https://twitter.com/petrogustavo","@petrogustavo")</f>
        <v>@petrogustavo</v>
      </c>
      <c r="C15105" s="5" t="s">
        <v>16</v>
      </c>
      <c r="D15105" s="5" t="s">
        <v>14549</v>
      </c>
      <c r="E15105" s="6" t="str">
        <f>HYPERLINK("https://twitter.com/petrogustavo/status/1408399241379291138","1408399241379291138")</f>
        <v>1408399241379291138</v>
      </c>
      <c r="F15105" s="7" t="s">
        <v>17</v>
      </c>
      <c r="G15105" s="7">
        <v>4317261</v>
      </c>
      <c r="H15105" s="7">
        <v>2525</v>
      </c>
      <c r="I15105" s="7">
        <v>302</v>
      </c>
      <c r="J15105" s="7">
        <v>0</v>
      </c>
      <c r="K15105" s="7" t="s">
        <v>18</v>
      </c>
      <c r="L15105" s="8">
        <v>39987.315405092595</v>
      </c>
      <c r="M15105" s="9" t="s">
        <v>19</v>
      </c>
      <c r="N15105" s="9" t="s">
        <v>20</v>
      </c>
      <c r="O15105" s="6" t="str">
        <f>HYPERLINK("https://pbs.twimg.com/profile_images/962471262747529216/Uo8lOkRJ_normal.jpg","View")</f>
        <v>View</v>
      </c>
      <c r="P15105" s="7"/>
    </row>
    <row r="15106" spans="1:16">
      <c r="A15106" s="3">
        <v>44372.742592592593</v>
      </c>
      <c r="B15106" s="4" t="str">
        <f>HYPERLINK("https://twitter.com/petrogustavo","@petrogustavo")</f>
        <v>@petrogustavo</v>
      </c>
      <c r="C15106" s="5" t="s">
        <v>16</v>
      </c>
      <c r="D15106" s="5" t="s">
        <v>14550</v>
      </c>
      <c r="E15106" s="6" t="str">
        <f>HYPERLINK("https://twitter.com/petrogustavo/status/1408399409801478149","1408399409801478149")</f>
        <v>1408399409801478149</v>
      </c>
      <c r="F15106" s="7" t="s">
        <v>17</v>
      </c>
      <c r="G15106" s="7">
        <v>4317261</v>
      </c>
      <c r="H15106" s="7">
        <v>2525</v>
      </c>
      <c r="I15106" s="7">
        <v>96</v>
      </c>
      <c r="J15106" s="7">
        <v>0</v>
      </c>
      <c r="K15106" s="7" t="s">
        <v>18</v>
      </c>
      <c r="L15106" s="8">
        <v>39987.315405092595</v>
      </c>
      <c r="M15106" s="9" t="s">
        <v>19</v>
      </c>
      <c r="N15106" s="9" t="s">
        <v>20</v>
      </c>
      <c r="O15106" s="6" t="str">
        <f>HYPERLINK("https://pbs.twimg.com/profile_images/962471262747529216/Uo8lOkRJ_normal.jpg","View")</f>
        <v>View</v>
      </c>
      <c r="P15106" s="7"/>
    </row>
    <row r="15107" spans="1:16">
      <c r="A15107" s="3">
        <v>44372.746527777781</v>
      </c>
      <c r="B15107" s="4" t="str">
        <f>HYPERLINK("https://twitter.com/petrogustavo","@petrogustavo")</f>
        <v>@petrogustavo</v>
      </c>
      <c r="C15107" s="5" t="s">
        <v>16</v>
      </c>
      <c r="D15107" s="5" t="s">
        <v>14551</v>
      </c>
      <c r="E15107" s="6" t="str">
        <f>HYPERLINK("https://twitter.com/petrogustavo/status/1408400835990757385","1408400835990757385")</f>
        <v>1408400835990757385</v>
      </c>
      <c r="F15107" s="7" t="s">
        <v>17</v>
      </c>
      <c r="G15107" s="7">
        <v>4317261</v>
      </c>
      <c r="H15107" s="7">
        <v>2525</v>
      </c>
      <c r="I15107" s="7">
        <v>77</v>
      </c>
      <c r="J15107" s="7">
        <v>198</v>
      </c>
      <c r="K15107" s="7" t="s">
        <v>18</v>
      </c>
      <c r="L15107" s="8">
        <v>39987.315405092595</v>
      </c>
      <c r="M15107" s="9" t="s">
        <v>19</v>
      </c>
      <c r="N15107" s="9" t="s">
        <v>20</v>
      </c>
      <c r="O15107" s="6" t="str">
        <f>HYPERLINK("https://pbs.twimg.com/profile_images/962471262747529216/Uo8lOkRJ_normal.jpg","View")</f>
        <v>View</v>
      </c>
      <c r="P15107" s="7"/>
    </row>
    <row r="15108" spans="1:16">
      <c r="A15108" s="3">
        <v>44372.746539351851</v>
      </c>
      <c r="B15108" s="4" t="str">
        <f>HYPERLINK("https://twitter.com/petrogustavo","@petrogustavo")</f>
        <v>@petrogustavo</v>
      </c>
      <c r="C15108" s="5" t="s">
        <v>16</v>
      </c>
      <c r="D15108" s="5" t="s">
        <v>14552</v>
      </c>
      <c r="E15108" s="6" t="str">
        <f>HYPERLINK("https://twitter.com/petrogustavo/status/1408400837412540416","1408400837412540416")</f>
        <v>1408400837412540416</v>
      </c>
      <c r="F15108" s="7" t="s">
        <v>17</v>
      </c>
      <c r="G15108" s="7">
        <v>4317261</v>
      </c>
      <c r="H15108" s="7">
        <v>2525</v>
      </c>
      <c r="I15108" s="7">
        <v>43</v>
      </c>
      <c r="J15108" s="7">
        <v>124</v>
      </c>
      <c r="K15108" s="7" t="s">
        <v>18</v>
      </c>
      <c r="L15108" s="8">
        <v>39987.315405092595</v>
      </c>
      <c r="M15108" s="9" t="s">
        <v>19</v>
      </c>
      <c r="N15108" s="9" t="s">
        <v>20</v>
      </c>
      <c r="O15108" s="6" t="str">
        <f>HYPERLINK("https://pbs.twimg.com/profile_images/962471262747529216/Uo8lOkRJ_normal.jpg","View")</f>
        <v>View</v>
      </c>
      <c r="P15108" s="7"/>
    </row>
    <row r="15109" spans="1:16">
      <c r="A15109" s="3">
        <v>44372.752858796295</v>
      </c>
      <c r="B15109" s="4" t="str">
        <f>HYPERLINK("https://twitter.com/petrogustavo","@petrogustavo")</f>
        <v>@petrogustavo</v>
      </c>
      <c r="C15109" s="5" t="s">
        <v>16</v>
      </c>
      <c r="D15109" s="5" t="s">
        <v>14553</v>
      </c>
      <c r="E15109" s="6" t="str">
        <f>HYPERLINK("https://twitter.com/petrogustavo/status/1408403129738072071","1408403129738072071")</f>
        <v>1408403129738072071</v>
      </c>
      <c r="F15109" s="7" t="s">
        <v>17</v>
      </c>
      <c r="G15109" s="7">
        <v>4317260</v>
      </c>
      <c r="H15109" s="7">
        <v>2525</v>
      </c>
      <c r="I15109" s="7">
        <v>142</v>
      </c>
      <c r="J15109" s="7">
        <v>457</v>
      </c>
      <c r="K15109" s="7" t="s">
        <v>18</v>
      </c>
      <c r="L15109" s="8">
        <v>39987.315405092595</v>
      </c>
      <c r="M15109" s="9" t="s">
        <v>19</v>
      </c>
      <c r="N15109" s="9" t="s">
        <v>20</v>
      </c>
      <c r="O15109" s="6" t="str">
        <f>HYPERLINK("https://pbs.twimg.com/profile_images/962471262747529216/Uo8lOkRJ_normal.jpg","View")</f>
        <v>View</v>
      </c>
      <c r="P15109" s="7"/>
    </row>
    <row r="15110" spans="1:16">
      <c r="A15110" s="3">
        <v>44372.764594907407</v>
      </c>
      <c r="B15110" s="4" t="str">
        <f>HYPERLINK("https://twitter.com/petrogustavo","@petrogustavo")</f>
        <v>@petrogustavo</v>
      </c>
      <c r="C15110" s="5" t="s">
        <v>16</v>
      </c>
      <c r="D15110" s="5" t="s">
        <v>14554</v>
      </c>
      <c r="E15110" s="6" t="str">
        <f>HYPERLINK("https://twitter.com/petrogustavo/status/1408407382238060551","1408407382238060551")</f>
        <v>1408407382238060551</v>
      </c>
      <c r="F15110" s="7" t="s">
        <v>17</v>
      </c>
      <c r="G15110" s="7">
        <v>4317260</v>
      </c>
      <c r="H15110" s="7">
        <v>2525</v>
      </c>
      <c r="I15110" s="7">
        <v>96</v>
      </c>
      <c r="J15110" s="7">
        <v>186</v>
      </c>
      <c r="K15110" s="7" t="s">
        <v>18</v>
      </c>
      <c r="L15110" s="8">
        <v>39987.315405092595</v>
      </c>
      <c r="M15110" s="9" t="s">
        <v>19</v>
      </c>
      <c r="N15110" s="9" t="s">
        <v>20</v>
      </c>
      <c r="O15110" s="6" t="str">
        <f>HYPERLINK("https://pbs.twimg.com/profile_images/962471262747529216/Uo8lOkRJ_normal.jpg","View")</f>
        <v>View</v>
      </c>
      <c r="P15110" s="7"/>
    </row>
    <row r="15111" spans="1:16">
      <c r="A15111" s="3">
        <v>44372.849652777775</v>
      </c>
      <c r="B15111" s="4" t="str">
        <f>HYPERLINK("https://twitter.com/petrogustavo","@petrogustavo")</f>
        <v>@petrogustavo</v>
      </c>
      <c r="C15111" s="5" t="s">
        <v>16</v>
      </c>
      <c r="D15111" s="5" t="s">
        <v>14555</v>
      </c>
      <c r="E15111" s="6" t="str">
        <f>HYPERLINK("https://twitter.com/petrogustavo/status/1408438208036212742","1408438208036212742")</f>
        <v>1408438208036212742</v>
      </c>
      <c r="F15111" s="7" t="s">
        <v>17</v>
      </c>
      <c r="G15111" s="7">
        <v>4317320</v>
      </c>
      <c r="H15111" s="7">
        <v>2525</v>
      </c>
      <c r="I15111" s="7">
        <v>82</v>
      </c>
      <c r="J15111" s="7">
        <v>198</v>
      </c>
      <c r="K15111" s="7" t="s">
        <v>18</v>
      </c>
      <c r="L15111" s="8">
        <v>39987.315405092595</v>
      </c>
      <c r="M15111" s="9" t="s">
        <v>19</v>
      </c>
      <c r="N15111" s="9" t="s">
        <v>20</v>
      </c>
      <c r="O15111" s="6" t="str">
        <f>HYPERLINK("https://pbs.twimg.com/profile_images/962471262747529216/Uo8lOkRJ_normal.jpg","View")</f>
        <v>View</v>
      </c>
      <c r="P15111" s="7"/>
    </row>
    <row r="15112" spans="1:16">
      <c r="A15112" s="3">
        <v>44372.861747685187</v>
      </c>
      <c r="B15112" s="4" t="str">
        <f>HYPERLINK("https://twitter.com/petrogustavo","@petrogustavo")</f>
        <v>@petrogustavo</v>
      </c>
      <c r="C15112" s="5" t="s">
        <v>16</v>
      </c>
      <c r="D15112" s="5" t="s">
        <v>14556</v>
      </c>
      <c r="E15112" s="6" t="str">
        <f>HYPERLINK("https://twitter.com/petrogustavo/status/1408442587489374214","1408442587489374214")</f>
        <v>1408442587489374214</v>
      </c>
      <c r="F15112" s="7" t="s">
        <v>17</v>
      </c>
      <c r="G15112" s="7">
        <v>4317346</v>
      </c>
      <c r="H15112" s="7">
        <v>2525</v>
      </c>
      <c r="I15112" s="7">
        <v>156</v>
      </c>
      <c r="J15112" s="7">
        <v>526</v>
      </c>
      <c r="K15112" s="7" t="s">
        <v>18</v>
      </c>
      <c r="L15112" s="8">
        <v>39987.315405092595</v>
      </c>
      <c r="M15112" s="9" t="s">
        <v>19</v>
      </c>
      <c r="N15112" s="9" t="s">
        <v>20</v>
      </c>
      <c r="O15112" s="6" t="str">
        <f>HYPERLINK("https://pbs.twimg.com/profile_images/962471262747529216/Uo8lOkRJ_normal.jpg","View")</f>
        <v>View</v>
      </c>
      <c r="P15112" s="7"/>
    </row>
    <row r="15113" spans="1:16">
      <c r="A15113" s="3">
        <v>44372.903912037036</v>
      </c>
      <c r="B15113" s="4" t="str">
        <f>HYPERLINK("https://twitter.com/petrogustavo","@petrogustavo")</f>
        <v>@petrogustavo</v>
      </c>
      <c r="C15113" s="5" t="s">
        <v>16</v>
      </c>
      <c r="D15113" s="5" t="s">
        <v>14557</v>
      </c>
      <c r="E15113" s="6" t="str">
        <f>HYPERLINK("https://twitter.com/petrogustavo/status/1408457868161040388","1408457868161040388")</f>
        <v>1408457868161040388</v>
      </c>
      <c r="F15113" s="7" t="s">
        <v>32</v>
      </c>
      <c r="G15113" s="7">
        <v>4317378</v>
      </c>
      <c r="H15113" s="7">
        <v>2525</v>
      </c>
      <c r="I15113" s="7">
        <v>148</v>
      </c>
      <c r="J15113" s="7">
        <v>315</v>
      </c>
      <c r="K15113" s="7" t="s">
        <v>18</v>
      </c>
      <c r="L15113" s="8">
        <v>39987.315405092595</v>
      </c>
      <c r="M15113" s="9" t="s">
        <v>19</v>
      </c>
      <c r="N15113" s="9" t="s">
        <v>20</v>
      </c>
      <c r="O15113" s="6" t="str">
        <f>HYPERLINK("https://pbs.twimg.com/profile_images/962471262747529216/Uo8lOkRJ_normal.jpg","View")</f>
        <v>View</v>
      </c>
      <c r="P15113" s="7"/>
    </row>
    <row r="15114" spans="1:16">
      <c r="A15114" s="3">
        <v>44372.912291666667</v>
      </c>
      <c r="B15114" s="4" t="str">
        <f>HYPERLINK("https://twitter.com/petrogustavo","@petrogustavo")</f>
        <v>@petrogustavo</v>
      </c>
      <c r="C15114" s="5" t="s">
        <v>16</v>
      </c>
      <c r="D15114" s="5" t="s">
        <v>14558</v>
      </c>
      <c r="E15114" s="6" t="str">
        <f>HYPERLINK("https://twitter.com/petrogustavo/status/1408460907374653443","1408460907374653443")</f>
        <v>1408460907374653443</v>
      </c>
      <c r="F15114" s="7" t="s">
        <v>32</v>
      </c>
      <c r="G15114" s="7">
        <v>4317378</v>
      </c>
      <c r="H15114" s="7">
        <v>2525</v>
      </c>
      <c r="I15114" s="7">
        <v>77</v>
      </c>
      <c r="J15114" s="7">
        <v>257</v>
      </c>
      <c r="K15114" s="7" t="s">
        <v>18</v>
      </c>
      <c r="L15114" s="8">
        <v>39987.315405092595</v>
      </c>
      <c r="M15114" s="9" t="s">
        <v>19</v>
      </c>
      <c r="N15114" s="9" t="s">
        <v>20</v>
      </c>
      <c r="O15114" s="6" t="str">
        <f>HYPERLINK("https://pbs.twimg.com/profile_images/962471262747529216/Uo8lOkRJ_normal.jpg","View")</f>
        <v>View</v>
      </c>
      <c r="P15114" s="7"/>
    </row>
    <row r="15115" spans="1:16">
      <c r="A15115" s="3">
        <v>44372.963101851856</v>
      </c>
      <c r="B15115" s="4" t="str">
        <f>HYPERLINK("https://twitter.com/petrogustavo","@petrogustavo")</f>
        <v>@petrogustavo</v>
      </c>
      <c r="C15115" s="5" t="s">
        <v>16</v>
      </c>
      <c r="D15115" s="5" t="s">
        <v>14559</v>
      </c>
      <c r="E15115" s="6" t="str">
        <f>HYPERLINK("https://twitter.com/petrogustavo/status/1408479318926401541","1408479318926401541")</f>
        <v>1408479318926401541</v>
      </c>
      <c r="F15115" s="7" t="s">
        <v>32</v>
      </c>
      <c r="G15115" s="7">
        <v>4317447</v>
      </c>
      <c r="H15115" s="7">
        <v>2525</v>
      </c>
      <c r="I15115" s="7">
        <v>542</v>
      </c>
      <c r="J15115" s="7">
        <v>0</v>
      </c>
      <c r="K15115" s="7" t="s">
        <v>18</v>
      </c>
      <c r="L15115" s="8">
        <v>39987.315405092595</v>
      </c>
      <c r="M15115" s="9" t="s">
        <v>19</v>
      </c>
      <c r="N15115" s="9" t="s">
        <v>20</v>
      </c>
      <c r="O15115" s="6" t="str">
        <f>HYPERLINK("https://pbs.twimg.com/profile_images/962471262747529216/Uo8lOkRJ_normal.jpg","View")</f>
        <v>View</v>
      </c>
      <c r="P15115" s="7"/>
    </row>
    <row r="15116" spans="1:16">
      <c r="A15116" s="3">
        <v>44372.976168981477</v>
      </c>
      <c r="B15116" s="4" t="str">
        <f>HYPERLINK("https://twitter.com/petrogustavo","@petrogustavo")</f>
        <v>@petrogustavo</v>
      </c>
      <c r="C15116" s="5" t="s">
        <v>16</v>
      </c>
      <c r="D15116" s="5" t="s">
        <v>14560</v>
      </c>
      <c r="E15116" s="6" t="str">
        <f>HYPERLINK("https://twitter.com/petrogustavo/status/1408484054345846785","1408484054345846785")</f>
        <v>1408484054345846785</v>
      </c>
      <c r="F15116" s="7" t="s">
        <v>17</v>
      </c>
      <c r="G15116" s="7">
        <v>4317447</v>
      </c>
      <c r="H15116" s="7">
        <v>2525</v>
      </c>
      <c r="I15116" s="7">
        <v>75</v>
      </c>
      <c r="J15116" s="7">
        <v>243</v>
      </c>
      <c r="K15116" s="7" t="s">
        <v>18</v>
      </c>
      <c r="L15116" s="8">
        <v>39987.315405092595</v>
      </c>
      <c r="M15116" s="9" t="s">
        <v>19</v>
      </c>
      <c r="N15116" s="9" t="s">
        <v>20</v>
      </c>
      <c r="O15116" s="6" t="str">
        <f>HYPERLINK("https://pbs.twimg.com/profile_images/962471262747529216/Uo8lOkRJ_normal.jpg","View")</f>
        <v>View</v>
      </c>
      <c r="P15116" s="7"/>
    </row>
    <row r="15117" spans="1:16">
      <c r="A15117" s="3">
        <v>44372.976168981477</v>
      </c>
      <c r="B15117" s="4" t="str">
        <f>HYPERLINK("https://twitter.com/petrogustavo","@petrogustavo")</f>
        <v>@petrogustavo</v>
      </c>
      <c r="C15117" s="5" t="s">
        <v>16</v>
      </c>
      <c r="D15117" s="5" t="s">
        <v>14561</v>
      </c>
      <c r="E15117" s="6" t="str">
        <f>HYPERLINK("https://twitter.com/petrogustavo/status/1408484055696482309","1408484055696482309")</f>
        <v>1408484055696482309</v>
      </c>
      <c r="F15117" s="7" t="s">
        <v>17</v>
      </c>
      <c r="G15117" s="7">
        <v>4317447</v>
      </c>
      <c r="H15117" s="7">
        <v>2525</v>
      </c>
      <c r="I15117" s="7">
        <v>82</v>
      </c>
      <c r="J15117" s="7">
        <v>287</v>
      </c>
      <c r="K15117" s="7" t="s">
        <v>18</v>
      </c>
      <c r="L15117" s="8">
        <v>39987.315405092595</v>
      </c>
      <c r="M15117" s="9" t="s">
        <v>19</v>
      </c>
      <c r="N15117" s="9" t="s">
        <v>20</v>
      </c>
      <c r="O15117" s="6" t="str">
        <f>HYPERLINK("https://pbs.twimg.com/profile_images/962471262747529216/Uo8lOkRJ_normal.jpg","View")</f>
        <v>View</v>
      </c>
      <c r="P15117" s="7"/>
    </row>
    <row r="15118" spans="1:16">
      <c r="A15118" s="3">
        <v>44372.977453703701</v>
      </c>
      <c r="B15118" s="4" t="str">
        <f>HYPERLINK("https://twitter.com/petrogustavo","@petrogustavo")</f>
        <v>@petrogustavo</v>
      </c>
      <c r="C15118" s="5" t="s">
        <v>16</v>
      </c>
      <c r="D15118" s="5" t="s">
        <v>14562</v>
      </c>
      <c r="E15118" s="6" t="str">
        <f>HYPERLINK("https://twitter.com/petrogustavo/status/1408484520446377987","1408484520446377987")</f>
        <v>1408484520446377987</v>
      </c>
      <c r="F15118" s="7" t="s">
        <v>17</v>
      </c>
      <c r="G15118" s="7">
        <v>4317447</v>
      </c>
      <c r="H15118" s="7">
        <v>2525</v>
      </c>
      <c r="I15118" s="7">
        <v>117</v>
      </c>
      <c r="J15118" s="7">
        <v>407</v>
      </c>
      <c r="K15118" s="7" t="s">
        <v>18</v>
      </c>
      <c r="L15118" s="8">
        <v>39987.315405092595</v>
      </c>
      <c r="M15118" s="9" t="s">
        <v>19</v>
      </c>
      <c r="N15118" s="9" t="s">
        <v>20</v>
      </c>
      <c r="O15118" s="6" t="str">
        <f>HYPERLINK("https://pbs.twimg.com/profile_images/962471262747529216/Uo8lOkRJ_normal.jpg","View")</f>
        <v>View</v>
      </c>
      <c r="P15118" s="7"/>
    </row>
    <row r="15119" spans="1:16">
      <c r="A15119" s="3">
        <v>44373.111481481479</v>
      </c>
      <c r="B15119" s="4" t="str">
        <f>HYPERLINK("https://twitter.com/petrogustavo","@petrogustavo")</f>
        <v>@petrogustavo</v>
      </c>
      <c r="C15119" s="5" t="s">
        <v>16</v>
      </c>
      <c r="D15119" s="5" t="s">
        <v>14563</v>
      </c>
      <c r="E15119" s="6" t="str">
        <f>HYPERLINK("https://twitter.com/petrogustavo/status/1408533091044429829","1408533091044429829")</f>
        <v>1408533091044429829</v>
      </c>
      <c r="F15119" s="7" t="s">
        <v>17</v>
      </c>
      <c r="G15119" s="7">
        <v>4317548</v>
      </c>
      <c r="H15119" s="7">
        <v>2525</v>
      </c>
      <c r="I15119" s="7">
        <v>1007</v>
      </c>
      <c r="J15119" s="7">
        <v>0</v>
      </c>
      <c r="K15119" s="7" t="s">
        <v>18</v>
      </c>
      <c r="L15119" s="8">
        <v>39987.315405092595</v>
      </c>
      <c r="M15119" s="9" t="s">
        <v>19</v>
      </c>
      <c r="N15119" s="9" t="s">
        <v>20</v>
      </c>
      <c r="O15119" s="6" t="str">
        <f>HYPERLINK("https://pbs.twimg.com/profile_images/962471262747529216/Uo8lOkRJ_normal.jpg","View")</f>
        <v>View</v>
      </c>
      <c r="P15119" s="7"/>
    </row>
    <row r="15120" spans="1:16">
      <c r="A15120" s="3">
        <v>44373.111655092594</v>
      </c>
      <c r="B15120" s="4" t="str">
        <f>HYPERLINK("https://twitter.com/petrogustavo","@petrogustavo")</f>
        <v>@petrogustavo</v>
      </c>
      <c r="C15120" s="5" t="s">
        <v>16</v>
      </c>
      <c r="D15120" s="5" t="s">
        <v>14564</v>
      </c>
      <c r="E15120" s="6" t="str">
        <f>HYPERLINK("https://twitter.com/petrogustavo/status/1408533153405407237","1408533153405407237")</f>
        <v>1408533153405407237</v>
      </c>
      <c r="F15120" s="7" t="s">
        <v>17</v>
      </c>
      <c r="G15120" s="7">
        <v>4317548</v>
      </c>
      <c r="H15120" s="7">
        <v>2525</v>
      </c>
      <c r="I15120" s="7">
        <v>57</v>
      </c>
      <c r="J15120" s="7">
        <v>0</v>
      </c>
      <c r="K15120" s="7" t="s">
        <v>18</v>
      </c>
      <c r="L15120" s="8">
        <v>39987.315405092595</v>
      </c>
      <c r="M15120" s="9" t="s">
        <v>19</v>
      </c>
      <c r="N15120" s="9" t="s">
        <v>20</v>
      </c>
      <c r="O15120" s="6" t="str">
        <f>HYPERLINK("https://pbs.twimg.com/profile_images/962471262747529216/Uo8lOkRJ_normal.jpg","View")</f>
        <v>View</v>
      </c>
      <c r="P15120" s="7"/>
    </row>
    <row r="15121" spans="1:16">
      <c r="A15121" s="3">
        <v>44373.112523148149</v>
      </c>
      <c r="B15121" s="4" t="str">
        <f>HYPERLINK("https://twitter.com/petrogustavo","@petrogustavo")</f>
        <v>@petrogustavo</v>
      </c>
      <c r="C15121" s="5" t="s">
        <v>16</v>
      </c>
      <c r="D15121" s="5" t="s">
        <v>14565</v>
      </c>
      <c r="E15121" s="6" t="str">
        <f>HYPERLINK("https://twitter.com/petrogustavo/status/1408533465772007428","1408533465772007428")</f>
        <v>1408533465772007428</v>
      </c>
      <c r="F15121" s="7" t="s">
        <v>17</v>
      </c>
      <c r="G15121" s="7">
        <v>4317548</v>
      </c>
      <c r="H15121" s="7">
        <v>2525</v>
      </c>
      <c r="I15121" s="7">
        <v>144</v>
      </c>
      <c r="J15121" s="7">
        <v>0</v>
      </c>
      <c r="K15121" s="7" t="s">
        <v>18</v>
      </c>
      <c r="L15121" s="8">
        <v>39987.315405092595</v>
      </c>
      <c r="M15121" s="9" t="s">
        <v>19</v>
      </c>
      <c r="N15121" s="9" t="s">
        <v>20</v>
      </c>
      <c r="O15121" s="6" t="str">
        <f>HYPERLINK("https://pbs.twimg.com/profile_images/962471262747529216/Uo8lOkRJ_normal.jpg","View")</f>
        <v>View</v>
      </c>
      <c r="P15121" s="7"/>
    </row>
    <row r="15122" spans="1:16">
      <c r="A15122" s="3">
        <v>44373.112951388888</v>
      </c>
      <c r="B15122" s="4" t="str">
        <f>HYPERLINK("https://twitter.com/petrogustavo","@petrogustavo")</f>
        <v>@petrogustavo</v>
      </c>
      <c r="C15122" s="5" t="s">
        <v>16</v>
      </c>
      <c r="D15122" s="5" t="s">
        <v>14566</v>
      </c>
      <c r="E15122" s="6" t="str">
        <f>HYPERLINK("https://twitter.com/petrogustavo/status/1408533620336308233","1408533620336308233")</f>
        <v>1408533620336308233</v>
      </c>
      <c r="F15122" s="7" t="s">
        <v>17</v>
      </c>
      <c r="G15122" s="7">
        <v>4317548</v>
      </c>
      <c r="H15122" s="7">
        <v>2525</v>
      </c>
      <c r="I15122" s="7">
        <v>92</v>
      </c>
      <c r="J15122" s="7">
        <v>0</v>
      </c>
      <c r="K15122" s="7" t="s">
        <v>18</v>
      </c>
      <c r="L15122" s="8">
        <v>39987.315405092595</v>
      </c>
      <c r="M15122" s="9" t="s">
        <v>19</v>
      </c>
      <c r="N15122" s="9" t="s">
        <v>20</v>
      </c>
      <c r="O15122" s="6" t="str">
        <f>HYPERLINK("https://pbs.twimg.com/profile_images/962471262747529216/Uo8lOkRJ_normal.jpg","View")</f>
        <v>View</v>
      </c>
      <c r="P15122" s="7"/>
    </row>
    <row r="15123" spans="1:16">
      <c r="A15123" s="3">
        <v>44373.114131944443</v>
      </c>
      <c r="B15123" s="4" t="str">
        <f>HYPERLINK("https://twitter.com/petrogustavo","@petrogustavo")</f>
        <v>@petrogustavo</v>
      </c>
      <c r="C15123" s="5" t="s">
        <v>16</v>
      </c>
      <c r="D15123" s="5" t="s">
        <v>14567</v>
      </c>
      <c r="E15123" s="6" t="str">
        <f>HYPERLINK("https://twitter.com/petrogustavo/status/1408534050223099907","1408534050223099907")</f>
        <v>1408534050223099907</v>
      </c>
      <c r="F15123" s="7" t="s">
        <v>17</v>
      </c>
      <c r="G15123" s="7">
        <v>4317548</v>
      </c>
      <c r="H15123" s="7">
        <v>2525</v>
      </c>
      <c r="I15123" s="7">
        <v>204</v>
      </c>
      <c r="J15123" s="7">
        <v>511</v>
      </c>
      <c r="K15123" s="7" t="s">
        <v>18</v>
      </c>
      <c r="L15123" s="8">
        <v>39987.315405092595</v>
      </c>
      <c r="M15123" s="9" t="s">
        <v>19</v>
      </c>
      <c r="N15123" s="9" t="s">
        <v>20</v>
      </c>
      <c r="O15123" s="6" t="str">
        <f>HYPERLINK("https://pbs.twimg.com/profile_images/962471262747529216/Uo8lOkRJ_normal.jpg","View")</f>
        <v>View</v>
      </c>
      <c r="P15123" s="7"/>
    </row>
    <row r="15124" spans="1:16">
      <c r="A15124" s="3">
        <v>44373.118946759263</v>
      </c>
      <c r="B15124" s="4" t="str">
        <f>HYPERLINK("https://twitter.com/petrogustavo","@petrogustavo")</f>
        <v>@petrogustavo</v>
      </c>
      <c r="C15124" s="5" t="s">
        <v>16</v>
      </c>
      <c r="D15124" s="5" t="s">
        <v>14568</v>
      </c>
      <c r="E15124" s="6" t="str">
        <f>HYPERLINK("https://twitter.com/petrogustavo/status/1408535796626436101","1408535796626436101")</f>
        <v>1408535796626436101</v>
      </c>
      <c r="F15124" s="7" t="s">
        <v>17</v>
      </c>
      <c r="G15124" s="7">
        <v>4317548</v>
      </c>
      <c r="H15124" s="7">
        <v>2525</v>
      </c>
      <c r="I15124" s="7">
        <v>94</v>
      </c>
      <c r="J15124" s="7">
        <v>250</v>
      </c>
      <c r="K15124" s="7" t="s">
        <v>18</v>
      </c>
      <c r="L15124" s="8">
        <v>39987.315405092595</v>
      </c>
      <c r="M15124" s="9" t="s">
        <v>19</v>
      </c>
      <c r="N15124" s="9" t="s">
        <v>20</v>
      </c>
      <c r="O15124" s="6" t="str">
        <f>HYPERLINK("https://pbs.twimg.com/profile_images/962471262747529216/Uo8lOkRJ_normal.jpg","View")</f>
        <v>View</v>
      </c>
      <c r="P15124" s="7"/>
    </row>
    <row r="15125" spans="1:16">
      <c r="A15125" s="3">
        <v>44373.128969907411</v>
      </c>
      <c r="B15125" s="4" t="str">
        <f>HYPERLINK("https://twitter.com/petrogustavo","@petrogustavo")</f>
        <v>@petrogustavo</v>
      </c>
      <c r="C15125" s="5" t="s">
        <v>16</v>
      </c>
      <c r="D15125" s="5" t="s">
        <v>14569</v>
      </c>
      <c r="E15125" s="6" t="str">
        <f>HYPERLINK("https://twitter.com/petrogustavo/status/1408539428306436096","1408539428306436096")</f>
        <v>1408539428306436096</v>
      </c>
      <c r="F15125" s="7" t="s">
        <v>17</v>
      </c>
      <c r="G15125" s="7">
        <v>4317570</v>
      </c>
      <c r="H15125" s="7">
        <v>2525</v>
      </c>
      <c r="I15125" s="7">
        <v>8</v>
      </c>
      <c r="J15125" s="7">
        <v>0</v>
      </c>
      <c r="K15125" s="7" t="s">
        <v>18</v>
      </c>
      <c r="L15125" s="8">
        <v>39987.315405092595</v>
      </c>
      <c r="M15125" s="9" t="s">
        <v>19</v>
      </c>
      <c r="N15125" s="9" t="s">
        <v>20</v>
      </c>
      <c r="O15125" s="6" t="str">
        <f>HYPERLINK("https://pbs.twimg.com/profile_images/962471262747529216/Uo8lOkRJ_normal.jpg","View")</f>
        <v>View</v>
      </c>
      <c r="P15125" s="7"/>
    </row>
    <row r="15126" spans="1:16">
      <c r="A15126" s="3">
        <v>44373.130775462967</v>
      </c>
      <c r="B15126" s="4" t="str">
        <f>HYPERLINK("https://twitter.com/petrogustavo","@petrogustavo")</f>
        <v>@petrogustavo</v>
      </c>
      <c r="C15126" s="5" t="s">
        <v>16</v>
      </c>
      <c r="D15126" s="5" t="s">
        <v>14570</v>
      </c>
      <c r="E15126" s="6" t="str">
        <f>HYPERLINK("https://twitter.com/petrogustavo/status/1408540083037347850","1408540083037347850")</f>
        <v>1408540083037347850</v>
      </c>
      <c r="F15126" s="7" t="s">
        <v>17</v>
      </c>
      <c r="G15126" s="7">
        <v>4317570</v>
      </c>
      <c r="H15126" s="7">
        <v>2525</v>
      </c>
      <c r="I15126" s="7">
        <v>635</v>
      </c>
      <c r="J15126" s="7">
        <v>0</v>
      </c>
      <c r="K15126" s="7" t="s">
        <v>18</v>
      </c>
      <c r="L15126" s="8">
        <v>39987.315405092595</v>
      </c>
      <c r="M15126" s="9" t="s">
        <v>19</v>
      </c>
      <c r="N15126" s="9" t="s">
        <v>20</v>
      </c>
      <c r="O15126" s="6" t="str">
        <f>HYPERLINK("https://pbs.twimg.com/profile_images/962471262747529216/Uo8lOkRJ_normal.jpg","View")</f>
        <v>View</v>
      </c>
      <c r="P15126" s="7"/>
    </row>
    <row r="15127" spans="1:16">
      <c r="A15127" s="3">
        <v>44373.17024305556</v>
      </c>
      <c r="B15127" s="4" t="str">
        <f>HYPERLINK("https://twitter.com/petrogustavo","@petrogustavo")</f>
        <v>@petrogustavo</v>
      </c>
      <c r="C15127" s="5" t="s">
        <v>16</v>
      </c>
      <c r="D15127" s="5" t="s">
        <v>14571</v>
      </c>
      <c r="E15127" s="6" t="str">
        <f>HYPERLINK("https://twitter.com/petrogustavo/status/1408554384447918085","1408554384447918085")</f>
        <v>1408554384447918085</v>
      </c>
      <c r="F15127" s="7" t="s">
        <v>17</v>
      </c>
      <c r="G15127" s="7">
        <v>4317647</v>
      </c>
      <c r="H15127" s="7">
        <v>2525</v>
      </c>
      <c r="I15127" s="7">
        <v>2661</v>
      </c>
      <c r="J15127" s="7">
        <v>0</v>
      </c>
      <c r="K15127" s="7" t="s">
        <v>18</v>
      </c>
      <c r="L15127" s="8">
        <v>39987.315405092595</v>
      </c>
      <c r="M15127" s="9" t="s">
        <v>19</v>
      </c>
      <c r="N15127" s="9" t="s">
        <v>20</v>
      </c>
      <c r="O15127" s="6" t="str">
        <f>HYPERLINK("https://pbs.twimg.com/profile_images/962471262747529216/Uo8lOkRJ_normal.jpg","View")</f>
        <v>View</v>
      </c>
      <c r="P15127" s="7"/>
    </row>
    <row r="15128" spans="1:16">
      <c r="A15128" s="3">
        <v>44373.182141203702</v>
      </c>
      <c r="B15128" s="4" t="str">
        <f>HYPERLINK("https://twitter.com/petrogustavo","@petrogustavo")</f>
        <v>@petrogustavo</v>
      </c>
      <c r="C15128" s="5" t="s">
        <v>16</v>
      </c>
      <c r="D15128" s="5" t="s">
        <v>14572</v>
      </c>
      <c r="E15128" s="6" t="str">
        <f>HYPERLINK("https://twitter.com/petrogustavo/status/1408558696737685507","1408558696737685507")</f>
        <v>1408558696737685507</v>
      </c>
      <c r="F15128" s="7" t="s">
        <v>17</v>
      </c>
      <c r="G15128" s="7">
        <v>4317647</v>
      </c>
      <c r="H15128" s="7">
        <v>2525</v>
      </c>
      <c r="I15128" s="7">
        <v>233</v>
      </c>
      <c r="J15128" s="7">
        <v>1009</v>
      </c>
      <c r="K15128" s="7" t="s">
        <v>18</v>
      </c>
      <c r="L15128" s="8">
        <v>39987.315405092595</v>
      </c>
      <c r="M15128" s="9" t="s">
        <v>19</v>
      </c>
      <c r="N15128" s="9" t="s">
        <v>20</v>
      </c>
      <c r="O15128" s="6" t="str">
        <f>HYPERLINK("https://pbs.twimg.com/profile_images/962471262747529216/Uo8lOkRJ_normal.jpg","View")</f>
        <v>View</v>
      </c>
      <c r="P15128" s="7"/>
    </row>
    <row r="15129" spans="1:16">
      <c r="A15129" s="3">
        <v>44374.01090277778</v>
      </c>
      <c r="B15129" s="4" t="str">
        <f>HYPERLINK("https://twitter.com/petrogustavo","@petrogustavo")</f>
        <v>@petrogustavo</v>
      </c>
      <c r="C15129" s="5" t="s">
        <v>16</v>
      </c>
      <c r="D15129" s="5" t="s">
        <v>14573</v>
      </c>
      <c r="E15129" s="6" t="str">
        <f>HYPERLINK("https://twitter.com/petrogustavo/status/1408859029447843841","1408859029447843841")</f>
        <v>1408859029447843841</v>
      </c>
      <c r="F15129" s="7" t="s">
        <v>17</v>
      </c>
      <c r="G15129" s="7">
        <v>4318188</v>
      </c>
      <c r="H15129" s="7">
        <v>2524</v>
      </c>
      <c r="I15129" s="7">
        <v>109</v>
      </c>
      <c r="J15129" s="7">
        <v>0</v>
      </c>
      <c r="K15129" s="7" t="s">
        <v>18</v>
      </c>
      <c r="L15129" s="8">
        <v>39987.315405092595</v>
      </c>
      <c r="M15129" s="9" t="s">
        <v>19</v>
      </c>
      <c r="N15129" s="9" t="s">
        <v>20</v>
      </c>
      <c r="O15129" s="6" t="str">
        <f>HYPERLINK("https://pbs.twimg.com/profile_images/962471262747529216/Uo8lOkRJ_normal.jpg","View")</f>
        <v>View</v>
      </c>
      <c r="P15129" s="7"/>
    </row>
    <row r="15130" spans="1:16">
      <c r="A15130" s="3">
        <v>44374.012986111113</v>
      </c>
      <c r="B15130" s="4" t="str">
        <f>HYPERLINK("https://twitter.com/petrogustavo","@petrogustavo")</f>
        <v>@petrogustavo</v>
      </c>
      <c r="C15130" s="5" t="s">
        <v>16</v>
      </c>
      <c r="D15130" s="5" t="s">
        <v>14574</v>
      </c>
      <c r="E15130" s="6" t="str">
        <f>HYPERLINK("https://twitter.com/petrogustavo/status/1408859783491473410","1408859783491473410")</f>
        <v>1408859783491473410</v>
      </c>
      <c r="F15130" s="7" t="s">
        <v>17</v>
      </c>
      <c r="G15130" s="7">
        <v>4318188</v>
      </c>
      <c r="H15130" s="7">
        <v>2524</v>
      </c>
      <c r="I15130" s="7">
        <v>183</v>
      </c>
      <c r="J15130" s="7">
        <v>639</v>
      </c>
      <c r="K15130" s="7" t="s">
        <v>18</v>
      </c>
      <c r="L15130" s="8">
        <v>39987.315405092595</v>
      </c>
      <c r="M15130" s="9" t="s">
        <v>19</v>
      </c>
      <c r="N15130" s="9" t="s">
        <v>20</v>
      </c>
      <c r="O15130" s="6" t="str">
        <f>HYPERLINK("https://pbs.twimg.com/profile_images/962471262747529216/Uo8lOkRJ_normal.jpg","View")</f>
        <v>View</v>
      </c>
      <c r="P15130" s="7"/>
    </row>
    <row r="15131" spans="1:16">
      <c r="A15131" s="3">
        <v>44374.020590277782</v>
      </c>
      <c r="B15131" s="4" t="str">
        <f>HYPERLINK("https://twitter.com/petrogustavo","@petrogustavo")</f>
        <v>@petrogustavo</v>
      </c>
      <c r="C15131" s="5" t="s">
        <v>16</v>
      </c>
      <c r="D15131" s="5" t="s">
        <v>14575</v>
      </c>
      <c r="E15131" s="6" t="str">
        <f>HYPERLINK("https://twitter.com/petrogustavo/status/1408862540210356226","1408862540210356226")</f>
        <v>1408862540210356226</v>
      </c>
      <c r="F15131" s="7" t="s">
        <v>17</v>
      </c>
      <c r="G15131" s="7">
        <v>4318188</v>
      </c>
      <c r="H15131" s="7">
        <v>2524</v>
      </c>
      <c r="I15131" s="7">
        <v>31</v>
      </c>
      <c r="J15131" s="7">
        <v>127</v>
      </c>
      <c r="K15131" s="7" t="s">
        <v>18</v>
      </c>
      <c r="L15131" s="8">
        <v>39987.315405092595</v>
      </c>
      <c r="M15131" s="9" t="s">
        <v>19</v>
      </c>
      <c r="N15131" s="9" t="s">
        <v>20</v>
      </c>
      <c r="O15131" s="6" t="str">
        <f>HYPERLINK("https://pbs.twimg.com/profile_images/962471262747529216/Uo8lOkRJ_normal.jpg","View")</f>
        <v>View</v>
      </c>
      <c r="P15131" s="7"/>
    </row>
    <row r="15132" spans="1:16">
      <c r="A15132" s="3">
        <v>44374.021087962959</v>
      </c>
      <c r="B15132" s="4" t="str">
        <f>HYPERLINK("https://twitter.com/petrogustavo","@petrogustavo")</f>
        <v>@petrogustavo</v>
      </c>
      <c r="C15132" s="5" t="s">
        <v>16</v>
      </c>
      <c r="D15132" s="5" t="s">
        <v>14576</v>
      </c>
      <c r="E15132" s="6" t="str">
        <f>HYPERLINK("https://twitter.com/petrogustavo/status/1408862718216507394","1408862718216507394")</f>
        <v>1408862718216507394</v>
      </c>
      <c r="F15132" s="7" t="s">
        <v>17</v>
      </c>
      <c r="G15132" s="7">
        <v>4318188</v>
      </c>
      <c r="H15132" s="7">
        <v>2524</v>
      </c>
      <c r="I15132" s="7">
        <v>183</v>
      </c>
      <c r="J15132" s="7">
        <v>0</v>
      </c>
      <c r="K15132" s="7" t="s">
        <v>18</v>
      </c>
      <c r="L15132" s="8">
        <v>39987.315405092595</v>
      </c>
      <c r="M15132" s="9" t="s">
        <v>19</v>
      </c>
      <c r="N15132" s="9" t="s">
        <v>20</v>
      </c>
      <c r="O15132" s="6" t="str">
        <f>HYPERLINK("https://pbs.twimg.com/profile_images/962471262747529216/Uo8lOkRJ_normal.jpg","View")</f>
        <v>View</v>
      </c>
      <c r="P15132" s="7"/>
    </row>
    <row r="15133" spans="1:16">
      <c r="A15133" s="3">
        <v>44374.044687500005</v>
      </c>
      <c r="B15133" s="4" t="str">
        <f>HYPERLINK("https://twitter.com/petrogustavo","@petrogustavo")</f>
        <v>@petrogustavo</v>
      </c>
      <c r="C15133" s="5" t="s">
        <v>16</v>
      </c>
      <c r="D15133" s="5" t="s">
        <v>14577</v>
      </c>
      <c r="E15133" s="6" t="str">
        <f>HYPERLINK("https://twitter.com/petrogustavo/status/1408871273468473346","1408871273468473346")</f>
        <v>1408871273468473346</v>
      </c>
      <c r="F15133" s="7" t="s">
        <v>17</v>
      </c>
      <c r="G15133" s="7">
        <v>4318225</v>
      </c>
      <c r="H15133" s="7">
        <v>2524</v>
      </c>
      <c r="I15133" s="7">
        <v>125</v>
      </c>
      <c r="J15133" s="7">
        <v>0</v>
      </c>
      <c r="K15133" s="7" t="s">
        <v>18</v>
      </c>
      <c r="L15133" s="8">
        <v>39987.315405092595</v>
      </c>
      <c r="M15133" s="9" t="s">
        <v>19</v>
      </c>
      <c r="N15133" s="9" t="s">
        <v>20</v>
      </c>
      <c r="O15133" s="6" t="str">
        <f>HYPERLINK("https://pbs.twimg.com/profile_images/962471262747529216/Uo8lOkRJ_normal.jpg","View")</f>
        <v>View</v>
      </c>
      <c r="P15133" s="7"/>
    </row>
    <row r="15134" spans="1:16">
      <c r="A15134" s="3">
        <v>44374.045115740737</v>
      </c>
      <c r="B15134" s="4" t="str">
        <f>HYPERLINK("https://twitter.com/petrogustavo","@petrogustavo")</f>
        <v>@petrogustavo</v>
      </c>
      <c r="C15134" s="5" t="s">
        <v>16</v>
      </c>
      <c r="D15134" s="5" t="s">
        <v>14578</v>
      </c>
      <c r="E15134" s="6" t="str">
        <f>HYPERLINK("https://twitter.com/petrogustavo/status/1408871428322123778","1408871428322123778")</f>
        <v>1408871428322123778</v>
      </c>
      <c r="F15134" s="7" t="s">
        <v>17</v>
      </c>
      <c r="G15134" s="7">
        <v>4318225</v>
      </c>
      <c r="H15134" s="7">
        <v>2524</v>
      </c>
      <c r="I15134" s="7">
        <v>167</v>
      </c>
      <c r="J15134" s="7">
        <v>0</v>
      </c>
      <c r="K15134" s="7" t="s">
        <v>18</v>
      </c>
      <c r="L15134" s="8">
        <v>39987.315405092595</v>
      </c>
      <c r="M15134" s="9" t="s">
        <v>19</v>
      </c>
      <c r="N15134" s="9" t="s">
        <v>20</v>
      </c>
      <c r="O15134" s="6" t="str">
        <f>HYPERLINK("https://pbs.twimg.com/profile_images/962471262747529216/Uo8lOkRJ_normal.jpg","View")</f>
        <v>View</v>
      </c>
      <c r="P15134" s="7"/>
    </row>
    <row r="15135" spans="1:16">
      <c r="A15135" s="3">
        <v>44374.049629629633</v>
      </c>
      <c r="B15135" s="4" t="str">
        <f>HYPERLINK("https://twitter.com/petrogustavo","@petrogustavo")</f>
        <v>@petrogustavo</v>
      </c>
      <c r="C15135" s="5" t="s">
        <v>16</v>
      </c>
      <c r="D15135" s="5" t="s">
        <v>14579</v>
      </c>
      <c r="E15135" s="6" t="str">
        <f>HYPERLINK("https://twitter.com/petrogustavo/status/1408873061496074245","1408873061496074245")</f>
        <v>1408873061496074245</v>
      </c>
      <c r="F15135" s="7" t="s">
        <v>17</v>
      </c>
      <c r="G15135" s="7">
        <v>4318225</v>
      </c>
      <c r="H15135" s="7">
        <v>2524</v>
      </c>
      <c r="I15135" s="7">
        <v>436</v>
      </c>
      <c r="J15135" s="7">
        <v>1522</v>
      </c>
      <c r="K15135" s="7" t="s">
        <v>18</v>
      </c>
      <c r="L15135" s="8">
        <v>39987.315405092595</v>
      </c>
      <c r="M15135" s="9" t="s">
        <v>19</v>
      </c>
      <c r="N15135" s="9" t="s">
        <v>20</v>
      </c>
      <c r="O15135" s="6" t="str">
        <f>HYPERLINK("https://pbs.twimg.com/profile_images/962471262747529216/Uo8lOkRJ_normal.jpg","View")</f>
        <v>View</v>
      </c>
      <c r="P15135" s="7"/>
    </row>
    <row r="15136" spans="1:16">
      <c r="A15136" s="3">
        <v>44374.584270833337</v>
      </c>
      <c r="B15136" s="4" t="str">
        <f>HYPERLINK("https://twitter.com/petrogustavo","@petrogustavo")</f>
        <v>@petrogustavo</v>
      </c>
      <c r="C15136" s="5" t="s">
        <v>16</v>
      </c>
      <c r="D15136" s="5" t="s">
        <v>14580</v>
      </c>
      <c r="E15136" s="6" t="str">
        <f>HYPERLINK("https://twitter.com/petrogustavo/status/1409066808909479941","1409066808909479941")</f>
        <v>1409066808909479941</v>
      </c>
      <c r="F15136" s="7" t="s">
        <v>17</v>
      </c>
      <c r="G15136" s="7">
        <v>4318583</v>
      </c>
      <c r="H15136" s="7">
        <v>2524</v>
      </c>
      <c r="I15136" s="7">
        <v>3</v>
      </c>
      <c r="J15136" s="7">
        <v>14</v>
      </c>
      <c r="K15136" s="7" t="s">
        <v>18</v>
      </c>
      <c r="L15136" s="8">
        <v>39987.315405092595</v>
      </c>
      <c r="M15136" s="9" t="s">
        <v>19</v>
      </c>
      <c r="N15136" s="9" t="s">
        <v>20</v>
      </c>
      <c r="O15136" s="6" t="str">
        <f>HYPERLINK("https://pbs.twimg.com/profile_images/962471262747529216/Uo8lOkRJ_normal.jpg","View")</f>
        <v>View</v>
      </c>
      <c r="P15136" s="7"/>
    </row>
    <row r="15137" spans="1:16">
      <c r="A15137" s="3">
        <v>44374.585324074069</v>
      </c>
      <c r="B15137" s="4" t="str">
        <f>HYPERLINK("https://twitter.com/petrogustavo","@petrogustavo")</f>
        <v>@petrogustavo</v>
      </c>
      <c r="C15137" s="5" t="s">
        <v>16</v>
      </c>
      <c r="D15137" s="5" t="s">
        <v>14581</v>
      </c>
      <c r="E15137" s="6" t="str">
        <f>HYPERLINK("https://twitter.com/petrogustavo/status/1409067190603726849","1409067190603726849")</f>
        <v>1409067190603726849</v>
      </c>
      <c r="F15137" s="7" t="s">
        <v>17</v>
      </c>
      <c r="G15137" s="7">
        <v>4318573</v>
      </c>
      <c r="H15137" s="7">
        <v>2524</v>
      </c>
      <c r="I15137" s="7">
        <v>64</v>
      </c>
      <c r="J15137" s="7">
        <v>386</v>
      </c>
      <c r="K15137" s="7" t="s">
        <v>18</v>
      </c>
      <c r="L15137" s="8">
        <v>39987.315405092595</v>
      </c>
      <c r="M15137" s="9" t="s">
        <v>19</v>
      </c>
      <c r="N15137" s="9" t="s">
        <v>20</v>
      </c>
      <c r="O15137" s="6" t="str">
        <f>HYPERLINK("https://pbs.twimg.com/profile_images/962471262747529216/Uo8lOkRJ_normal.jpg","View")</f>
        <v>View</v>
      </c>
      <c r="P15137" s="7"/>
    </row>
    <row r="15138" spans="1:16">
      <c r="A15138" s="3">
        <v>44374.635972222226</v>
      </c>
      <c r="B15138" s="4" t="str">
        <f>HYPERLINK("https://twitter.com/petrogustavo","@petrogustavo")</f>
        <v>@petrogustavo</v>
      </c>
      <c r="C15138" s="5" t="s">
        <v>16</v>
      </c>
      <c r="D15138" s="5" t="s">
        <v>14582</v>
      </c>
      <c r="E15138" s="6" t="str">
        <f>HYPERLINK("https://twitter.com/petrogustavo/status/1409085548552200193","1409085548552200193")</f>
        <v>1409085548552200193</v>
      </c>
      <c r="F15138" s="7" t="s">
        <v>17</v>
      </c>
      <c r="G15138" s="7">
        <v>4318578</v>
      </c>
      <c r="H15138" s="7">
        <v>2524</v>
      </c>
      <c r="I15138" s="7">
        <v>40</v>
      </c>
      <c r="J15138" s="7">
        <v>94</v>
      </c>
      <c r="K15138" s="7" t="s">
        <v>18</v>
      </c>
      <c r="L15138" s="8">
        <v>39987.315405092595</v>
      </c>
      <c r="M15138" s="9" t="s">
        <v>19</v>
      </c>
      <c r="N15138" s="9" t="s">
        <v>20</v>
      </c>
      <c r="O15138" s="6" t="str">
        <f>HYPERLINK("https://pbs.twimg.com/profile_images/962471262747529216/Uo8lOkRJ_normal.jpg","View")</f>
        <v>View</v>
      </c>
      <c r="P15138" s="7"/>
    </row>
    <row r="15139" spans="1:16">
      <c r="A15139" s="3">
        <v>44374.635983796295</v>
      </c>
      <c r="B15139" s="4" t="str">
        <f>HYPERLINK("https://twitter.com/petrogustavo","@petrogustavo")</f>
        <v>@petrogustavo</v>
      </c>
      <c r="C15139" s="5" t="s">
        <v>16</v>
      </c>
      <c r="D15139" s="5" t="s">
        <v>14583</v>
      </c>
      <c r="E15139" s="6" t="str">
        <f>HYPERLINK("https://twitter.com/petrogustavo/status/1409085549948944385","1409085549948944385")</f>
        <v>1409085549948944385</v>
      </c>
      <c r="F15139" s="7" t="s">
        <v>17</v>
      </c>
      <c r="G15139" s="7">
        <v>4318578</v>
      </c>
      <c r="H15139" s="7">
        <v>2524</v>
      </c>
      <c r="I15139" s="7">
        <v>36</v>
      </c>
      <c r="J15139" s="7">
        <v>104</v>
      </c>
      <c r="K15139" s="7" t="s">
        <v>18</v>
      </c>
      <c r="L15139" s="8">
        <v>39987.315405092595</v>
      </c>
      <c r="M15139" s="9" t="s">
        <v>19</v>
      </c>
      <c r="N15139" s="9" t="s">
        <v>20</v>
      </c>
      <c r="O15139" s="6" t="str">
        <f>HYPERLINK("https://pbs.twimg.com/profile_images/962471262747529216/Uo8lOkRJ_normal.jpg","View")</f>
        <v>View</v>
      </c>
      <c r="P15139" s="7"/>
    </row>
    <row r="15140" spans="1:16">
      <c r="A15140" s="3">
        <v>44374.745034722218</v>
      </c>
      <c r="B15140" s="4" t="str">
        <f>HYPERLINK("https://twitter.com/petrogustavo","@petrogustavo")</f>
        <v>@petrogustavo</v>
      </c>
      <c r="C15140" s="5" t="s">
        <v>16</v>
      </c>
      <c r="D15140" s="5" t="s">
        <v>14584</v>
      </c>
      <c r="E15140" s="6" t="str">
        <f>HYPERLINK("https://twitter.com/petrogustavo/status/1409125069989810177","1409125069989810177")</f>
        <v>1409125069989810177</v>
      </c>
      <c r="F15140" s="7" t="s">
        <v>17</v>
      </c>
      <c r="G15140" s="7">
        <v>4318601</v>
      </c>
      <c r="H15140" s="7">
        <v>2524</v>
      </c>
      <c r="I15140" s="7">
        <v>350</v>
      </c>
      <c r="J15140" s="7">
        <v>0</v>
      </c>
      <c r="K15140" s="7" t="s">
        <v>18</v>
      </c>
      <c r="L15140" s="8">
        <v>39987.315405092595</v>
      </c>
      <c r="M15140" s="9" t="s">
        <v>19</v>
      </c>
      <c r="N15140" s="9" t="s">
        <v>20</v>
      </c>
      <c r="O15140" s="6" t="str">
        <f>HYPERLINK("https://pbs.twimg.com/profile_images/962471262747529216/Uo8lOkRJ_normal.jpg","View")</f>
        <v>View</v>
      </c>
      <c r="P15140" s="7"/>
    </row>
    <row r="15141" spans="1:16">
      <c r="A15141" s="3">
        <v>44374.745821759258</v>
      </c>
      <c r="B15141" s="4" t="str">
        <f>HYPERLINK("https://twitter.com/petrogustavo","@petrogustavo")</f>
        <v>@petrogustavo</v>
      </c>
      <c r="C15141" s="5" t="s">
        <v>16</v>
      </c>
      <c r="D15141" s="5" t="s">
        <v>14585</v>
      </c>
      <c r="E15141" s="6" t="str">
        <f>HYPERLINK("https://twitter.com/petrogustavo/status/1409125354145464320","1409125354145464320")</f>
        <v>1409125354145464320</v>
      </c>
      <c r="F15141" s="7" t="s">
        <v>17</v>
      </c>
      <c r="G15141" s="7">
        <v>4318601</v>
      </c>
      <c r="H15141" s="7">
        <v>2524</v>
      </c>
      <c r="I15141" s="7">
        <v>74</v>
      </c>
      <c r="J15141" s="7">
        <v>0</v>
      </c>
      <c r="K15141" s="7" t="s">
        <v>18</v>
      </c>
      <c r="L15141" s="8">
        <v>39987.315405092595</v>
      </c>
      <c r="M15141" s="9" t="s">
        <v>19</v>
      </c>
      <c r="N15141" s="9" t="s">
        <v>20</v>
      </c>
      <c r="O15141" s="6" t="str">
        <f>HYPERLINK("https://pbs.twimg.com/profile_images/962471262747529216/Uo8lOkRJ_normal.jpg","View")</f>
        <v>View</v>
      </c>
      <c r="P15141" s="7"/>
    </row>
    <row r="15142" spans="1:16">
      <c r="A15142" s="3">
        <v>44374.749675925923</v>
      </c>
      <c r="B15142" s="4" t="str">
        <f>HYPERLINK("https://twitter.com/petrogustavo","@petrogustavo")</f>
        <v>@petrogustavo</v>
      </c>
      <c r="C15142" s="5" t="s">
        <v>16</v>
      </c>
      <c r="D15142" s="5" t="s">
        <v>14586</v>
      </c>
      <c r="E15142" s="6" t="str">
        <f>HYPERLINK("https://twitter.com/petrogustavo/status/1409126750743941125","1409126750743941125")</f>
        <v>1409126750743941125</v>
      </c>
      <c r="F15142" s="7" t="s">
        <v>17</v>
      </c>
      <c r="G15142" s="7">
        <v>4318601</v>
      </c>
      <c r="H15142" s="7">
        <v>2524</v>
      </c>
      <c r="I15142" s="7">
        <v>22</v>
      </c>
      <c r="J15142" s="7">
        <v>54</v>
      </c>
      <c r="K15142" s="7" t="s">
        <v>18</v>
      </c>
      <c r="L15142" s="8">
        <v>39987.315405092595</v>
      </c>
      <c r="M15142" s="9" t="s">
        <v>19</v>
      </c>
      <c r="N15142" s="9" t="s">
        <v>20</v>
      </c>
      <c r="O15142" s="6" t="str">
        <f>HYPERLINK("https://pbs.twimg.com/profile_images/962471262747529216/Uo8lOkRJ_normal.jpg","View")</f>
        <v>View</v>
      </c>
      <c r="P15142" s="7"/>
    </row>
    <row r="15143" spans="1:16">
      <c r="A15143" s="3">
        <v>44374.753692129627</v>
      </c>
      <c r="B15143" s="4" t="str">
        <f>HYPERLINK("https://twitter.com/petrogustavo","@petrogustavo")</f>
        <v>@petrogustavo</v>
      </c>
      <c r="C15143" s="5" t="s">
        <v>16</v>
      </c>
      <c r="D15143" s="5" t="s">
        <v>14587</v>
      </c>
      <c r="E15143" s="6" t="str">
        <f>HYPERLINK("https://twitter.com/petrogustavo/status/1409128205672386562","1409128205672386562")</f>
        <v>1409128205672386562</v>
      </c>
      <c r="F15143" s="7" t="s">
        <v>17</v>
      </c>
      <c r="G15143" s="7">
        <v>4318610</v>
      </c>
      <c r="H15143" s="7">
        <v>2524</v>
      </c>
      <c r="I15143" s="7">
        <v>453</v>
      </c>
      <c r="J15143" s="7">
        <v>0</v>
      </c>
      <c r="K15143" s="7" t="s">
        <v>18</v>
      </c>
      <c r="L15143" s="8">
        <v>39987.315405092595</v>
      </c>
      <c r="M15143" s="9" t="s">
        <v>19</v>
      </c>
      <c r="N15143" s="9" t="s">
        <v>20</v>
      </c>
      <c r="O15143" s="6" t="str">
        <f>HYPERLINK("https://pbs.twimg.com/profile_images/962471262747529216/Uo8lOkRJ_normal.jpg","View")</f>
        <v>View</v>
      </c>
      <c r="P15143" s="7"/>
    </row>
    <row r="15144" spans="1:16">
      <c r="A15144" s="3">
        <v>44374.77752314815</v>
      </c>
      <c r="B15144" s="4" t="str">
        <f>HYPERLINK("https://twitter.com/petrogustavo","@petrogustavo")</f>
        <v>@petrogustavo</v>
      </c>
      <c r="C15144" s="5" t="s">
        <v>16</v>
      </c>
      <c r="D15144" s="5" t="s">
        <v>14588</v>
      </c>
      <c r="E15144" s="6" t="str">
        <f>HYPERLINK("https://twitter.com/petrogustavo/status/1409136844734971906","1409136844734971906")</f>
        <v>1409136844734971906</v>
      </c>
      <c r="F15144" s="7" t="s">
        <v>17</v>
      </c>
      <c r="G15144" s="7">
        <v>4318637</v>
      </c>
      <c r="H15144" s="7">
        <v>2524</v>
      </c>
      <c r="I15144" s="7">
        <v>307</v>
      </c>
      <c r="J15144" s="7">
        <v>735</v>
      </c>
      <c r="K15144" s="7" t="s">
        <v>18</v>
      </c>
      <c r="L15144" s="8">
        <v>39987.315405092595</v>
      </c>
      <c r="M15144" s="9" t="s">
        <v>19</v>
      </c>
      <c r="N15144" s="9" t="s">
        <v>20</v>
      </c>
      <c r="O15144" s="6" t="str">
        <f>HYPERLINK("https://pbs.twimg.com/profile_images/962471262747529216/Uo8lOkRJ_normal.jpg","View")</f>
        <v>View</v>
      </c>
      <c r="P15144" s="7"/>
    </row>
    <row r="15145" spans="1:16">
      <c r="A15145" s="3">
        <v>44374.792951388888</v>
      </c>
      <c r="B15145" s="4" t="str">
        <f>HYPERLINK("https://twitter.com/petrogustavo","@petrogustavo")</f>
        <v>@petrogustavo</v>
      </c>
      <c r="C15145" s="5" t="s">
        <v>16</v>
      </c>
      <c r="D15145" s="5" t="s">
        <v>14589</v>
      </c>
      <c r="E15145" s="6" t="str">
        <f>HYPERLINK("https://twitter.com/petrogustavo/status/1409142433435291651","1409142433435291651")</f>
        <v>1409142433435291651</v>
      </c>
      <c r="F15145" s="7" t="s">
        <v>17</v>
      </c>
      <c r="G15145" s="7">
        <v>4318637</v>
      </c>
      <c r="H15145" s="7">
        <v>2524</v>
      </c>
      <c r="I15145" s="7">
        <v>20</v>
      </c>
      <c r="J15145" s="7">
        <v>34</v>
      </c>
      <c r="K15145" s="7" t="s">
        <v>18</v>
      </c>
      <c r="L15145" s="8">
        <v>39987.315405092595</v>
      </c>
      <c r="M15145" s="9" t="s">
        <v>19</v>
      </c>
      <c r="N15145" s="9" t="s">
        <v>20</v>
      </c>
      <c r="O15145" s="6" t="str">
        <f>HYPERLINK("https://pbs.twimg.com/profile_images/962471262747529216/Uo8lOkRJ_normal.jpg","View")</f>
        <v>View</v>
      </c>
      <c r="P15145" s="7"/>
    </row>
    <row r="15146" spans="1:16">
      <c r="A15146" s="3">
        <v>44374.806261574078</v>
      </c>
      <c r="B15146" s="4" t="str">
        <f>HYPERLINK("https://twitter.com/petrogustavo","@petrogustavo")</f>
        <v>@petrogustavo</v>
      </c>
      <c r="C15146" s="5" t="s">
        <v>16</v>
      </c>
      <c r="D15146" s="5" t="s">
        <v>14590</v>
      </c>
      <c r="E15146" s="6" t="str">
        <f>HYPERLINK("https://twitter.com/petrogustavo/status/1409147258029883397","1409147258029883397")</f>
        <v>1409147258029883397</v>
      </c>
      <c r="F15146" s="7" t="s">
        <v>17</v>
      </c>
      <c r="G15146" s="7">
        <v>4318647</v>
      </c>
      <c r="H15146" s="7">
        <v>2524</v>
      </c>
      <c r="I15146" s="7">
        <v>76</v>
      </c>
      <c r="J15146" s="7">
        <v>326</v>
      </c>
      <c r="K15146" s="7" t="s">
        <v>18</v>
      </c>
      <c r="L15146" s="8">
        <v>39987.315405092595</v>
      </c>
      <c r="M15146" s="9" t="s">
        <v>19</v>
      </c>
      <c r="N15146" s="9" t="s">
        <v>20</v>
      </c>
      <c r="O15146" s="6" t="str">
        <f>HYPERLINK("https://pbs.twimg.com/profile_images/962471262747529216/Uo8lOkRJ_normal.jpg","View")</f>
        <v>View</v>
      </c>
      <c r="P15146" s="7"/>
    </row>
    <row r="15147" spans="1:16">
      <c r="A15147" s="3">
        <v>44374.80804398148</v>
      </c>
      <c r="B15147" s="4" t="str">
        <f>HYPERLINK("https://twitter.com/petrogustavo","@petrogustavo")</f>
        <v>@petrogustavo</v>
      </c>
      <c r="C15147" s="5" t="s">
        <v>16</v>
      </c>
      <c r="D15147" s="5" t="s">
        <v>14591</v>
      </c>
      <c r="E15147" s="6" t="str">
        <f>HYPERLINK("https://twitter.com/petrogustavo/status/1409147901838827525","1409147901838827525")</f>
        <v>1409147901838827525</v>
      </c>
      <c r="F15147" s="7" t="s">
        <v>17</v>
      </c>
      <c r="G15147" s="7">
        <v>4318647</v>
      </c>
      <c r="H15147" s="7">
        <v>2524</v>
      </c>
      <c r="I15147" s="7">
        <v>75</v>
      </c>
      <c r="J15147" s="7">
        <v>207</v>
      </c>
      <c r="K15147" s="7" t="s">
        <v>18</v>
      </c>
      <c r="L15147" s="8">
        <v>39987.315405092595</v>
      </c>
      <c r="M15147" s="9" t="s">
        <v>19</v>
      </c>
      <c r="N15147" s="9" t="s">
        <v>20</v>
      </c>
      <c r="O15147" s="6" t="str">
        <f>HYPERLINK("https://pbs.twimg.com/profile_images/962471262747529216/Uo8lOkRJ_normal.jpg","View")</f>
        <v>View</v>
      </c>
      <c r="P15147" s="7"/>
    </row>
    <row r="15148" spans="1:16">
      <c r="A15148" s="3">
        <v>44374.839745370366</v>
      </c>
      <c r="B15148" s="4" t="str">
        <f>HYPERLINK("https://twitter.com/petrogustavo","@petrogustavo")</f>
        <v>@petrogustavo</v>
      </c>
      <c r="C15148" s="5" t="s">
        <v>16</v>
      </c>
      <c r="D15148" s="5" t="s">
        <v>14592</v>
      </c>
      <c r="E15148" s="6" t="str">
        <f>HYPERLINK("https://twitter.com/petrogustavo/status/1409159393233424394","1409159393233424394")</f>
        <v>1409159393233424394</v>
      </c>
      <c r="F15148" s="7" t="s">
        <v>17</v>
      </c>
      <c r="G15148" s="7">
        <v>4318649</v>
      </c>
      <c r="H15148" s="7">
        <v>2524</v>
      </c>
      <c r="I15148" s="7">
        <v>215</v>
      </c>
      <c r="J15148" s="7">
        <v>577</v>
      </c>
      <c r="K15148" s="7" t="s">
        <v>18</v>
      </c>
      <c r="L15148" s="8">
        <v>39987.315405092595</v>
      </c>
      <c r="M15148" s="9" t="s">
        <v>19</v>
      </c>
      <c r="N15148" s="9" t="s">
        <v>20</v>
      </c>
      <c r="O15148" s="6" t="str">
        <f>HYPERLINK("https://pbs.twimg.com/profile_images/962471262747529216/Uo8lOkRJ_normal.jpg","View")</f>
        <v>View</v>
      </c>
      <c r="P15148" s="7"/>
    </row>
    <row r="15149" spans="1:16">
      <c r="A15149" s="3">
        <v>44374.882291666669</v>
      </c>
      <c r="B15149" s="4" t="str">
        <f>HYPERLINK("https://twitter.com/petrogustavo","@petrogustavo")</f>
        <v>@petrogustavo</v>
      </c>
      <c r="C15149" s="5" t="s">
        <v>16</v>
      </c>
      <c r="D15149" s="5" t="s">
        <v>14593</v>
      </c>
      <c r="E15149" s="6" t="str">
        <f>HYPERLINK("https://twitter.com/petrogustavo/status/1409174810857545729","1409174810857545729")</f>
        <v>1409174810857545729</v>
      </c>
      <c r="F15149" s="7" t="s">
        <v>17</v>
      </c>
      <c r="G15149" s="7">
        <v>4318686</v>
      </c>
      <c r="H15149" s="7">
        <v>2524</v>
      </c>
      <c r="I15149" s="7">
        <v>191</v>
      </c>
      <c r="J15149" s="7">
        <v>0</v>
      </c>
      <c r="K15149" s="7" t="s">
        <v>18</v>
      </c>
      <c r="L15149" s="8">
        <v>39987.315405092595</v>
      </c>
      <c r="M15149" s="9" t="s">
        <v>19</v>
      </c>
      <c r="N15149" s="9" t="s">
        <v>20</v>
      </c>
      <c r="O15149" s="6" t="str">
        <f>HYPERLINK("https://pbs.twimg.com/profile_images/962471262747529216/Uo8lOkRJ_normal.jpg","View")</f>
        <v>View</v>
      </c>
      <c r="P15149" s="7"/>
    </row>
    <row r="15150" spans="1:16">
      <c r="A15150" s="3">
        <v>44374.889652777776</v>
      </c>
      <c r="B15150" s="4" t="str">
        <f>HYPERLINK("https://twitter.com/petrogustavo","@petrogustavo")</f>
        <v>@petrogustavo</v>
      </c>
      <c r="C15150" s="5" t="s">
        <v>16</v>
      </c>
      <c r="D15150" s="5" t="s">
        <v>14594</v>
      </c>
      <c r="E15150" s="6" t="str">
        <f>HYPERLINK("https://twitter.com/petrogustavo/status/1409177479173054466","1409177479173054466")</f>
        <v>1409177479173054466</v>
      </c>
      <c r="F15150" s="7" t="s">
        <v>17</v>
      </c>
      <c r="G15150" s="7">
        <v>4318686</v>
      </c>
      <c r="H15150" s="7">
        <v>2524</v>
      </c>
      <c r="I15150" s="7">
        <v>199</v>
      </c>
      <c r="J15150" s="7">
        <v>626</v>
      </c>
      <c r="K15150" s="7" t="s">
        <v>18</v>
      </c>
      <c r="L15150" s="8">
        <v>39987.315405092595</v>
      </c>
      <c r="M15150" s="9" t="s">
        <v>19</v>
      </c>
      <c r="N15150" s="9" t="s">
        <v>20</v>
      </c>
      <c r="O15150" s="6" t="str">
        <f>HYPERLINK("https://pbs.twimg.com/profile_images/962471262747529216/Uo8lOkRJ_normal.jpg","View")</f>
        <v>View</v>
      </c>
      <c r="P15150" s="7"/>
    </row>
    <row r="15151" spans="1:16">
      <c r="A15151" s="3">
        <v>44375.0234375</v>
      </c>
      <c r="B15151" s="4" t="str">
        <f>HYPERLINK("https://twitter.com/petrogustavo","@petrogustavo")</f>
        <v>@petrogustavo</v>
      </c>
      <c r="C15151" s="5" t="s">
        <v>16</v>
      </c>
      <c r="D15151" s="5" t="s">
        <v>14595</v>
      </c>
      <c r="E15151" s="6" t="str">
        <f>HYPERLINK("https://twitter.com/petrogustavo/status/1409225961246277633","1409225961246277633")</f>
        <v>1409225961246277633</v>
      </c>
      <c r="F15151" s="7" t="s">
        <v>17</v>
      </c>
      <c r="G15151" s="7">
        <v>4318846</v>
      </c>
      <c r="H15151" s="7">
        <v>2524</v>
      </c>
      <c r="I15151" s="7">
        <v>142</v>
      </c>
      <c r="J15151" s="7">
        <v>0</v>
      </c>
      <c r="K15151" s="7" t="s">
        <v>18</v>
      </c>
      <c r="L15151" s="8">
        <v>39987.315405092595</v>
      </c>
      <c r="M15151" s="9" t="s">
        <v>19</v>
      </c>
      <c r="N15151" s="9" t="s">
        <v>20</v>
      </c>
      <c r="O15151" s="6" t="str">
        <f>HYPERLINK("https://pbs.twimg.com/profile_images/962471262747529216/Uo8lOkRJ_normal.jpg","View")</f>
        <v>View</v>
      </c>
      <c r="P15151" s="7"/>
    </row>
    <row r="15152" spans="1:16">
      <c r="A15152" s="3">
        <v>44375.060949074075</v>
      </c>
      <c r="B15152" s="4" t="str">
        <f>HYPERLINK("https://twitter.com/petrogustavo","@petrogustavo")</f>
        <v>@petrogustavo</v>
      </c>
      <c r="C15152" s="5" t="s">
        <v>16</v>
      </c>
      <c r="D15152" s="5" t="s">
        <v>14596</v>
      </c>
      <c r="E15152" s="6" t="str">
        <f>HYPERLINK("https://twitter.com/petrogustavo/status/1409239552833826820","1409239552833826820")</f>
        <v>1409239552833826820</v>
      </c>
      <c r="F15152" s="7" t="s">
        <v>17</v>
      </c>
      <c r="G15152" s="7">
        <v>4318861</v>
      </c>
      <c r="H15152" s="7">
        <v>2524</v>
      </c>
      <c r="I15152" s="7">
        <v>47</v>
      </c>
      <c r="J15152" s="7">
        <v>0</v>
      </c>
      <c r="K15152" s="7" t="s">
        <v>18</v>
      </c>
      <c r="L15152" s="8">
        <v>39987.315405092595</v>
      </c>
      <c r="M15152" s="9" t="s">
        <v>19</v>
      </c>
      <c r="N15152" s="9" t="s">
        <v>20</v>
      </c>
      <c r="O15152" s="6" t="str">
        <f>HYPERLINK("https://pbs.twimg.com/profile_images/962471262747529216/Uo8lOkRJ_normal.jpg","View")</f>
        <v>View</v>
      </c>
      <c r="P15152" s="7"/>
    </row>
    <row r="15153" spans="1:16">
      <c r="A15153" s="3">
        <v>44375.063449074078</v>
      </c>
      <c r="B15153" s="4" t="str">
        <f>HYPERLINK("https://twitter.com/petrogustavo","@petrogustavo")</f>
        <v>@petrogustavo</v>
      </c>
      <c r="C15153" s="5" t="s">
        <v>16</v>
      </c>
      <c r="D15153" s="5" t="s">
        <v>14597</v>
      </c>
      <c r="E15153" s="6" t="str">
        <f>HYPERLINK("https://twitter.com/petrogustavo/status/1409240458212032514","1409240458212032514")</f>
        <v>1409240458212032514</v>
      </c>
      <c r="F15153" s="7" t="s">
        <v>17</v>
      </c>
      <c r="G15153" s="7">
        <v>4318861</v>
      </c>
      <c r="H15153" s="7">
        <v>2524</v>
      </c>
      <c r="I15153" s="7">
        <v>602</v>
      </c>
      <c r="J15153" s="7">
        <v>0</v>
      </c>
      <c r="K15153" s="7" t="s">
        <v>18</v>
      </c>
      <c r="L15153" s="8">
        <v>39987.315405092595</v>
      </c>
      <c r="M15153" s="9" t="s">
        <v>19</v>
      </c>
      <c r="N15153" s="9" t="s">
        <v>20</v>
      </c>
      <c r="O15153" s="6" t="str">
        <f>HYPERLINK("https://pbs.twimg.com/profile_images/962471262747529216/Uo8lOkRJ_normal.jpg","View")</f>
        <v>View</v>
      </c>
      <c r="P15153" s="7"/>
    </row>
    <row r="15154" spans="1:16">
      <c r="A15154" s="3">
        <v>44375.071076388893</v>
      </c>
      <c r="B15154" s="4" t="str">
        <f>HYPERLINK("https://twitter.com/petrogustavo","@petrogustavo")</f>
        <v>@petrogustavo</v>
      </c>
      <c r="C15154" s="5" t="s">
        <v>16</v>
      </c>
      <c r="D15154" s="5" t="s">
        <v>14598</v>
      </c>
      <c r="E15154" s="6" t="str">
        <f>HYPERLINK("https://twitter.com/petrogustavo/status/1409243221016858626","1409243221016858626")</f>
        <v>1409243221016858626</v>
      </c>
      <c r="F15154" s="7" t="s">
        <v>17</v>
      </c>
      <c r="G15154" s="7">
        <v>4318879</v>
      </c>
      <c r="H15154" s="7">
        <v>2524</v>
      </c>
      <c r="I15154" s="7">
        <v>281</v>
      </c>
      <c r="J15154" s="7">
        <v>1024</v>
      </c>
      <c r="K15154" s="7" t="s">
        <v>18</v>
      </c>
      <c r="L15154" s="8">
        <v>39987.315405092595</v>
      </c>
      <c r="M15154" s="9" t="s">
        <v>19</v>
      </c>
      <c r="N15154" s="9" t="s">
        <v>20</v>
      </c>
      <c r="O15154" s="6" t="str">
        <f>HYPERLINK("https://pbs.twimg.com/profile_images/962471262747529216/Uo8lOkRJ_normal.jpg","View")</f>
        <v>View</v>
      </c>
      <c r="P15154" s="7"/>
    </row>
    <row r="15155" spans="1:16">
      <c r="A15155" s="3">
        <v>44375.077245370368</v>
      </c>
      <c r="B15155" s="4" t="str">
        <f>HYPERLINK("https://twitter.com/petrogustavo","@petrogustavo")</f>
        <v>@petrogustavo</v>
      </c>
      <c r="C15155" s="5" t="s">
        <v>16</v>
      </c>
      <c r="D15155" s="5" t="s">
        <v>14599</v>
      </c>
      <c r="E15155" s="6" t="str">
        <f>HYPERLINK("https://twitter.com/petrogustavo/status/1409245459000999937","1409245459000999937")</f>
        <v>1409245459000999937</v>
      </c>
      <c r="F15155" s="7" t="s">
        <v>17</v>
      </c>
      <c r="G15155" s="7">
        <v>4318879</v>
      </c>
      <c r="H15155" s="7">
        <v>2524</v>
      </c>
      <c r="I15155" s="7">
        <v>210</v>
      </c>
      <c r="J15155" s="7">
        <v>0</v>
      </c>
      <c r="K15155" s="7" t="s">
        <v>18</v>
      </c>
      <c r="L15155" s="8">
        <v>39987.315405092595</v>
      </c>
      <c r="M15155" s="9" t="s">
        <v>19</v>
      </c>
      <c r="N15155" s="9" t="s">
        <v>20</v>
      </c>
      <c r="O15155" s="6" t="str">
        <f>HYPERLINK("https://pbs.twimg.com/profile_images/962471262747529216/Uo8lOkRJ_normal.jpg","View")</f>
        <v>View</v>
      </c>
      <c r="P15155" s="7"/>
    </row>
    <row r="15156" spans="1:16">
      <c r="A15156" s="3">
        <v>44375.079907407402</v>
      </c>
      <c r="B15156" s="4" t="str">
        <f>HYPERLINK("https://twitter.com/petrogustavo","@petrogustavo")</f>
        <v>@petrogustavo</v>
      </c>
      <c r="C15156" s="5" t="s">
        <v>16</v>
      </c>
      <c r="D15156" s="5" t="s">
        <v>14600</v>
      </c>
      <c r="E15156" s="6" t="str">
        <f>HYPERLINK("https://twitter.com/petrogustavo/status/1409246422076112901","1409246422076112901")</f>
        <v>1409246422076112901</v>
      </c>
      <c r="F15156" s="7" t="s">
        <v>17</v>
      </c>
      <c r="G15156" s="7">
        <v>4318879</v>
      </c>
      <c r="H15156" s="7">
        <v>2524</v>
      </c>
      <c r="I15156" s="7">
        <v>196</v>
      </c>
      <c r="J15156" s="7">
        <v>569</v>
      </c>
      <c r="K15156" s="7" t="s">
        <v>18</v>
      </c>
      <c r="L15156" s="8">
        <v>39987.315405092595</v>
      </c>
      <c r="M15156" s="9" t="s">
        <v>19</v>
      </c>
      <c r="N15156" s="9" t="s">
        <v>20</v>
      </c>
      <c r="O15156" s="6" t="str">
        <f>HYPERLINK("https://pbs.twimg.com/profile_images/962471262747529216/Uo8lOkRJ_normal.jpg","View")</f>
        <v>View</v>
      </c>
      <c r="P15156" s="7"/>
    </row>
    <row r="15157" spans="1:16">
      <c r="A15157" s="3">
        <v>44375.573634259257</v>
      </c>
      <c r="B15157" s="4" t="str">
        <f>HYPERLINK("https://twitter.com/petrogustavo","@petrogustavo")</f>
        <v>@petrogustavo</v>
      </c>
      <c r="C15157" s="5" t="s">
        <v>16</v>
      </c>
      <c r="D15157" s="5" t="s">
        <v>14601</v>
      </c>
      <c r="E15157" s="6" t="str">
        <f>HYPERLINK("https://twitter.com/petrogustavo/status/1409425343807643651","1409425343807643651")</f>
        <v>1409425343807643651</v>
      </c>
      <c r="F15157" s="7" t="s">
        <v>17</v>
      </c>
      <c r="G15157" s="7">
        <v>4319248</v>
      </c>
      <c r="H15157" s="7">
        <v>2524</v>
      </c>
      <c r="I15157" s="7">
        <v>21</v>
      </c>
      <c r="J15157" s="7">
        <v>0</v>
      </c>
      <c r="K15157" s="7" t="s">
        <v>18</v>
      </c>
      <c r="L15157" s="8">
        <v>39987.315405092595</v>
      </c>
      <c r="M15157" s="9" t="s">
        <v>19</v>
      </c>
      <c r="N15157" s="9" t="s">
        <v>20</v>
      </c>
      <c r="O15157" s="6" t="str">
        <f>HYPERLINK("https://pbs.twimg.com/profile_images/962471262747529216/Uo8lOkRJ_normal.jpg","View")</f>
        <v>View</v>
      </c>
      <c r="P15157" s="7"/>
    </row>
    <row r="15158" spans="1:16">
      <c r="A15158" s="3">
        <v>44375.626122685186</v>
      </c>
      <c r="B15158" s="4" t="str">
        <f>HYPERLINK("https://twitter.com/petrogustavo","@petrogustavo")</f>
        <v>@petrogustavo</v>
      </c>
      <c r="C15158" s="5" t="s">
        <v>16</v>
      </c>
      <c r="D15158" s="5" t="s">
        <v>14602</v>
      </c>
      <c r="E15158" s="6" t="str">
        <f>HYPERLINK("https://twitter.com/petrogustavo/status/1409444365970423813","1409444365970423813")</f>
        <v>1409444365970423813</v>
      </c>
      <c r="F15158" s="7" t="s">
        <v>17</v>
      </c>
      <c r="G15158" s="7">
        <v>4319253</v>
      </c>
      <c r="H15158" s="7">
        <v>2524</v>
      </c>
      <c r="I15158" s="7">
        <v>2</v>
      </c>
      <c r="J15158" s="7">
        <v>5</v>
      </c>
      <c r="K15158" s="7" t="s">
        <v>18</v>
      </c>
      <c r="L15158" s="8">
        <v>39987.315405092595</v>
      </c>
      <c r="M15158" s="9" t="s">
        <v>19</v>
      </c>
      <c r="N15158" s="9" t="s">
        <v>20</v>
      </c>
      <c r="O15158" s="6" t="str">
        <f>HYPERLINK("https://pbs.twimg.com/profile_images/962471262747529216/Uo8lOkRJ_normal.jpg","View")</f>
        <v>View</v>
      </c>
      <c r="P15158" s="7"/>
    </row>
    <row r="15159" spans="1:16">
      <c r="A15159" s="3">
        <v>44375.626134259262</v>
      </c>
      <c r="B15159" s="4" t="str">
        <f>HYPERLINK("https://twitter.com/petrogustavo","@petrogustavo")</f>
        <v>@petrogustavo</v>
      </c>
      <c r="C15159" s="5" t="s">
        <v>16</v>
      </c>
      <c r="D15159" s="5" t="s">
        <v>14603</v>
      </c>
      <c r="E15159" s="6" t="str">
        <f>HYPERLINK("https://twitter.com/petrogustavo/status/1409444367941750784","1409444367941750784")</f>
        <v>1409444367941750784</v>
      </c>
      <c r="F15159" s="7" t="s">
        <v>17</v>
      </c>
      <c r="G15159" s="7">
        <v>4319253</v>
      </c>
      <c r="H15159" s="7">
        <v>2524</v>
      </c>
      <c r="I15159" s="7">
        <v>0</v>
      </c>
      <c r="J15159" s="7">
        <v>0</v>
      </c>
      <c r="K15159" s="7" t="s">
        <v>18</v>
      </c>
      <c r="L15159" s="8">
        <v>39987.315405092595</v>
      </c>
      <c r="M15159" s="9" t="s">
        <v>19</v>
      </c>
      <c r="N15159" s="9" t="s">
        <v>20</v>
      </c>
      <c r="O15159" s="6" t="str">
        <f>HYPERLINK("https://pbs.twimg.com/profile_images/962471262747529216/Uo8lOkRJ_normal.jpg","View")</f>
        <v>View</v>
      </c>
      <c r="P15159" s="7"/>
    </row>
    <row r="15160" spans="1:16">
      <c r="A15160" s="3">
        <v>44375.626134259262</v>
      </c>
      <c r="B15160" s="4" t="str">
        <f>HYPERLINK("https://twitter.com/petrogustavo","@petrogustavo")</f>
        <v>@petrogustavo</v>
      </c>
      <c r="C15160" s="5" t="s">
        <v>16</v>
      </c>
      <c r="D15160" s="5" t="s">
        <v>14604</v>
      </c>
      <c r="E15160" s="6" t="str">
        <f>HYPERLINK("https://twitter.com/petrogustavo/status/1409444369652928512","1409444369652928512")</f>
        <v>1409444369652928512</v>
      </c>
      <c r="F15160" s="7" t="s">
        <v>17</v>
      </c>
      <c r="G15160" s="7">
        <v>4319253</v>
      </c>
      <c r="H15160" s="7">
        <v>2524</v>
      </c>
      <c r="I15160" s="7">
        <v>0</v>
      </c>
      <c r="J15160" s="7">
        <v>0</v>
      </c>
      <c r="K15160" s="7" t="s">
        <v>18</v>
      </c>
      <c r="L15160" s="8">
        <v>39987.315405092595</v>
      </c>
      <c r="M15160" s="9" t="s">
        <v>19</v>
      </c>
      <c r="N15160" s="9" t="s">
        <v>20</v>
      </c>
      <c r="O15160" s="6" t="str">
        <f>HYPERLINK("https://pbs.twimg.com/profile_images/962471262747529216/Uo8lOkRJ_normal.jpg","View")</f>
        <v>View</v>
      </c>
      <c r="P15160" s="7"/>
    </row>
    <row r="15161" spans="1:16">
      <c r="A15161" s="3">
        <v>44375.720717592594</v>
      </c>
      <c r="B15161" s="4" t="str">
        <f>HYPERLINK("https://twitter.com/petrogustavo","@petrogustavo")</f>
        <v>@petrogustavo</v>
      </c>
      <c r="C15161" s="5" t="s">
        <v>16</v>
      </c>
      <c r="D15161" s="5" t="s">
        <v>14605</v>
      </c>
      <c r="E15161" s="6" t="str">
        <f>HYPERLINK("https://twitter.com/petrogustavo/status/1409478644255363074","1409478644255363074")</f>
        <v>1409478644255363074</v>
      </c>
      <c r="F15161" s="7" t="s">
        <v>17</v>
      </c>
      <c r="G15161" s="7">
        <v>4319277</v>
      </c>
      <c r="H15161" s="7">
        <v>2524</v>
      </c>
      <c r="I15161" s="7">
        <v>571</v>
      </c>
      <c r="J15161" s="7">
        <v>0</v>
      </c>
      <c r="K15161" s="7" t="s">
        <v>18</v>
      </c>
      <c r="L15161" s="8">
        <v>39987.315405092595</v>
      </c>
      <c r="M15161" s="9" t="s">
        <v>19</v>
      </c>
      <c r="N15161" s="9" t="s">
        <v>20</v>
      </c>
      <c r="O15161" s="6" t="str">
        <f>HYPERLINK("https://pbs.twimg.com/profile_images/962471262747529216/Uo8lOkRJ_normal.jpg","View")</f>
        <v>View</v>
      </c>
      <c r="P15161" s="7"/>
    </row>
    <row r="15162" spans="1:16">
      <c r="A15162" s="3">
        <v>44375.748333333337</v>
      </c>
      <c r="B15162" s="4" t="str">
        <f>HYPERLINK("https://twitter.com/petrogustavo","@petrogustavo")</f>
        <v>@petrogustavo</v>
      </c>
      <c r="C15162" s="5" t="s">
        <v>16</v>
      </c>
      <c r="D15162" s="5" t="s">
        <v>14606</v>
      </c>
      <c r="E15162" s="6" t="str">
        <f>HYPERLINK("https://twitter.com/petrogustavo/status/1409488650983837703","1409488650983837703")</f>
        <v>1409488650983837703</v>
      </c>
      <c r="F15162" s="7" t="s">
        <v>17</v>
      </c>
      <c r="G15162" s="7">
        <v>4319294</v>
      </c>
      <c r="H15162" s="7">
        <v>2524</v>
      </c>
      <c r="I15162" s="7">
        <v>86</v>
      </c>
      <c r="J15162" s="7">
        <v>292</v>
      </c>
      <c r="K15162" s="7" t="s">
        <v>18</v>
      </c>
      <c r="L15162" s="8">
        <v>39987.315405092595</v>
      </c>
      <c r="M15162" s="9" t="s">
        <v>19</v>
      </c>
      <c r="N15162" s="9" t="s">
        <v>20</v>
      </c>
      <c r="O15162" s="6" t="str">
        <f>HYPERLINK("https://pbs.twimg.com/profile_images/962471262747529216/Uo8lOkRJ_normal.jpg","View")</f>
        <v>View</v>
      </c>
      <c r="P15162" s="7"/>
    </row>
    <row r="15163" spans="1:16">
      <c r="A15163" s="3">
        <v>44375.748333333337</v>
      </c>
      <c r="B15163" s="4" t="str">
        <f>HYPERLINK("https://twitter.com/petrogustavo","@petrogustavo")</f>
        <v>@petrogustavo</v>
      </c>
      <c r="C15163" s="5" t="s">
        <v>16</v>
      </c>
      <c r="D15163" s="5" t="s">
        <v>14607</v>
      </c>
      <c r="E15163" s="6" t="str">
        <f>HYPERLINK("https://twitter.com/petrogustavo/status/1409488652812664833","1409488652812664833")</f>
        <v>1409488652812664833</v>
      </c>
      <c r="F15163" s="7" t="s">
        <v>17</v>
      </c>
      <c r="G15163" s="7">
        <v>4319294</v>
      </c>
      <c r="H15163" s="7">
        <v>2524</v>
      </c>
      <c r="I15163" s="7">
        <v>54</v>
      </c>
      <c r="J15163" s="7">
        <v>227</v>
      </c>
      <c r="K15163" s="7" t="s">
        <v>18</v>
      </c>
      <c r="L15163" s="8">
        <v>39987.315405092595</v>
      </c>
      <c r="M15163" s="9" t="s">
        <v>19</v>
      </c>
      <c r="N15163" s="9" t="s">
        <v>20</v>
      </c>
      <c r="O15163" s="6" t="str">
        <f>HYPERLINK("https://pbs.twimg.com/profile_images/962471262747529216/Uo8lOkRJ_normal.jpg","View")</f>
        <v>View</v>
      </c>
      <c r="P15163" s="7"/>
    </row>
    <row r="15164" spans="1:16">
      <c r="A15164" s="3">
        <v>44375.789513888885</v>
      </c>
      <c r="B15164" s="4" t="str">
        <f>HYPERLINK("https://twitter.com/petrogustavo","@petrogustavo")</f>
        <v>@petrogustavo</v>
      </c>
      <c r="C15164" s="5" t="s">
        <v>16</v>
      </c>
      <c r="D15164" s="5" t="s">
        <v>14608</v>
      </c>
      <c r="E15164" s="6" t="str">
        <f>HYPERLINK("https://twitter.com/petrogustavo/status/1409503576611770368","1409503576611770368")</f>
        <v>1409503576611770368</v>
      </c>
      <c r="F15164" s="7" t="s">
        <v>17</v>
      </c>
      <c r="G15164" s="7">
        <v>4319343</v>
      </c>
      <c r="H15164" s="7">
        <v>2524</v>
      </c>
      <c r="I15164" s="7">
        <v>39</v>
      </c>
      <c r="J15164" s="7">
        <v>185</v>
      </c>
      <c r="K15164" s="7" t="s">
        <v>18</v>
      </c>
      <c r="L15164" s="8">
        <v>39987.315405092595</v>
      </c>
      <c r="M15164" s="9" t="s">
        <v>19</v>
      </c>
      <c r="N15164" s="9" t="s">
        <v>20</v>
      </c>
      <c r="O15164" s="6" t="str">
        <f>HYPERLINK("https://pbs.twimg.com/profile_images/962471262747529216/Uo8lOkRJ_normal.jpg","View")</f>
        <v>View</v>
      </c>
      <c r="P15164" s="7"/>
    </row>
    <row r="15165" spans="1:16">
      <c r="A15165" s="3">
        <v>44375.797905092593</v>
      </c>
      <c r="B15165" s="4" t="str">
        <f>HYPERLINK("https://twitter.com/petrogustavo","@petrogustavo")</f>
        <v>@petrogustavo</v>
      </c>
      <c r="C15165" s="5" t="s">
        <v>16</v>
      </c>
      <c r="D15165" s="5" t="s">
        <v>14609</v>
      </c>
      <c r="E15165" s="6" t="str">
        <f>HYPERLINK("https://twitter.com/petrogustavo/status/1409506618333708290","1409506618333708290")</f>
        <v>1409506618333708290</v>
      </c>
      <c r="F15165" s="7" t="s">
        <v>17</v>
      </c>
      <c r="G15165" s="7">
        <v>4319365</v>
      </c>
      <c r="H15165" s="7">
        <v>2524</v>
      </c>
      <c r="I15165" s="7">
        <v>83</v>
      </c>
      <c r="J15165" s="7">
        <v>243</v>
      </c>
      <c r="K15165" s="7" t="s">
        <v>18</v>
      </c>
      <c r="L15165" s="8">
        <v>39987.315405092595</v>
      </c>
      <c r="M15165" s="9" t="s">
        <v>19</v>
      </c>
      <c r="N15165" s="9" t="s">
        <v>20</v>
      </c>
      <c r="O15165" s="6" t="str">
        <f>HYPERLINK("https://pbs.twimg.com/profile_images/962471262747529216/Uo8lOkRJ_normal.jpg","View")</f>
        <v>View</v>
      </c>
      <c r="P15165" s="7"/>
    </row>
    <row r="15166" spans="1:16">
      <c r="A15166" s="3">
        <v>44375.808715277773</v>
      </c>
      <c r="B15166" s="4" t="str">
        <f>HYPERLINK("https://twitter.com/petrogustavo","@petrogustavo")</f>
        <v>@petrogustavo</v>
      </c>
      <c r="C15166" s="5" t="s">
        <v>16</v>
      </c>
      <c r="D15166" s="5" t="s">
        <v>14610</v>
      </c>
      <c r="E15166" s="6" t="str">
        <f>HYPERLINK("https://twitter.com/petrogustavo/status/1409510534693765124","1409510534693765124")</f>
        <v>1409510534693765124</v>
      </c>
      <c r="F15166" s="7" t="s">
        <v>17</v>
      </c>
      <c r="G15166" s="7">
        <v>4319365</v>
      </c>
      <c r="H15166" s="7">
        <v>2524</v>
      </c>
      <c r="I15166" s="7">
        <v>167</v>
      </c>
      <c r="J15166" s="7">
        <v>465</v>
      </c>
      <c r="K15166" s="7" t="s">
        <v>18</v>
      </c>
      <c r="L15166" s="8">
        <v>39987.315405092595</v>
      </c>
      <c r="M15166" s="9" t="s">
        <v>19</v>
      </c>
      <c r="N15166" s="9" t="s">
        <v>20</v>
      </c>
      <c r="O15166" s="6" t="str">
        <f>HYPERLINK("https://pbs.twimg.com/profile_images/962471262747529216/Uo8lOkRJ_normal.jpg","View")</f>
        <v>View</v>
      </c>
      <c r="P15166" s="7"/>
    </row>
    <row r="15167" spans="1:16">
      <c r="A15167" s="3">
        <v>44375.82203703704</v>
      </c>
      <c r="B15167" s="4" t="str">
        <f>HYPERLINK("https://twitter.com/petrogustavo","@petrogustavo")</f>
        <v>@petrogustavo</v>
      </c>
      <c r="C15167" s="5" t="s">
        <v>16</v>
      </c>
      <c r="D15167" s="5" t="s">
        <v>14611</v>
      </c>
      <c r="E15167" s="6" t="str">
        <f>HYPERLINK("https://twitter.com/petrogustavo/status/1409515362480177152","1409515362480177152")</f>
        <v>1409515362480177152</v>
      </c>
      <c r="F15167" s="7" t="s">
        <v>17</v>
      </c>
      <c r="G15167" s="7">
        <v>4319383</v>
      </c>
      <c r="H15167" s="7">
        <v>2524</v>
      </c>
      <c r="I15167" s="7">
        <v>274</v>
      </c>
      <c r="J15167" s="7">
        <v>467</v>
      </c>
      <c r="K15167" s="7" t="s">
        <v>18</v>
      </c>
      <c r="L15167" s="8">
        <v>39987.315405092595</v>
      </c>
      <c r="M15167" s="9" t="s">
        <v>19</v>
      </c>
      <c r="N15167" s="9" t="s">
        <v>20</v>
      </c>
      <c r="O15167" s="6" t="str">
        <f>HYPERLINK("https://pbs.twimg.com/profile_images/962471262747529216/Uo8lOkRJ_normal.jpg","View")</f>
        <v>View</v>
      </c>
      <c r="P15167" s="7"/>
    </row>
    <row r="15168" spans="1:16">
      <c r="A15168" s="3">
        <v>44375.822997685187</v>
      </c>
      <c r="B15168" s="4" t="str">
        <f>HYPERLINK("https://twitter.com/petrogustavo","@petrogustavo")</f>
        <v>@petrogustavo</v>
      </c>
      <c r="C15168" s="5" t="s">
        <v>16</v>
      </c>
      <c r="D15168" s="5" t="s">
        <v>14612</v>
      </c>
      <c r="E15168" s="6" t="str">
        <f>HYPERLINK("https://twitter.com/petrogustavo/status/1409515711156924417","1409515711156924417")</f>
        <v>1409515711156924417</v>
      </c>
      <c r="F15168" s="7" t="s">
        <v>17</v>
      </c>
      <c r="G15168" s="7">
        <v>4319383</v>
      </c>
      <c r="H15168" s="7">
        <v>2524</v>
      </c>
      <c r="I15168" s="7">
        <v>675</v>
      </c>
      <c r="J15168" s="7">
        <v>0</v>
      </c>
      <c r="K15168" s="7" t="s">
        <v>18</v>
      </c>
      <c r="L15168" s="8">
        <v>39987.315405092595</v>
      </c>
      <c r="M15168" s="9" t="s">
        <v>19</v>
      </c>
      <c r="N15168" s="9" t="s">
        <v>20</v>
      </c>
      <c r="O15168" s="6" t="str">
        <f>HYPERLINK("https://pbs.twimg.com/profile_images/962471262747529216/Uo8lOkRJ_normal.jpg","View")</f>
        <v>View</v>
      </c>
      <c r="P15168" s="7"/>
    </row>
    <row r="15169" spans="1:16">
      <c r="A15169" s="3">
        <v>44375.850682870368</v>
      </c>
      <c r="B15169" s="4" t="str">
        <f>HYPERLINK("https://twitter.com/petrogustavo","@petrogustavo")</f>
        <v>@petrogustavo</v>
      </c>
      <c r="C15169" s="5" t="s">
        <v>16</v>
      </c>
      <c r="D15169" s="5" t="s">
        <v>14613</v>
      </c>
      <c r="E15169" s="6" t="str">
        <f>HYPERLINK("https://twitter.com/petrogustavo/status/1409525742669598721","1409525742669598721")</f>
        <v>1409525742669598721</v>
      </c>
      <c r="F15169" s="7" t="s">
        <v>17</v>
      </c>
      <c r="G15169" s="7">
        <v>4319403</v>
      </c>
      <c r="H15169" s="7">
        <v>2524</v>
      </c>
      <c r="I15169" s="7">
        <v>19</v>
      </c>
      <c r="J15169" s="7">
        <v>0</v>
      </c>
      <c r="K15169" s="7" t="s">
        <v>18</v>
      </c>
      <c r="L15169" s="8">
        <v>39987.315405092595</v>
      </c>
      <c r="M15169" s="9" t="s">
        <v>19</v>
      </c>
      <c r="N15169" s="9" t="s">
        <v>20</v>
      </c>
      <c r="O15169" s="6" t="str">
        <f>HYPERLINK("https://pbs.twimg.com/profile_images/962471262747529216/Uo8lOkRJ_normal.jpg","View")</f>
        <v>View</v>
      </c>
      <c r="P15169" s="7"/>
    </row>
    <row r="15170" spans="1:16">
      <c r="A15170" s="3">
        <v>44375.851168981477</v>
      </c>
      <c r="B15170" s="4" t="str">
        <f>HYPERLINK("https://twitter.com/petrogustavo","@petrogustavo")</f>
        <v>@petrogustavo</v>
      </c>
      <c r="C15170" s="5" t="s">
        <v>16</v>
      </c>
      <c r="D15170" s="5" t="s">
        <v>14612</v>
      </c>
      <c r="E15170" s="6" t="str">
        <f>HYPERLINK("https://twitter.com/petrogustavo/status/1409525917181939718","1409525917181939718")</f>
        <v>1409525917181939718</v>
      </c>
      <c r="F15170" s="7" t="s">
        <v>17</v>
      </c>
      <c r="G15170" s="7">
        <v>4319403</v>
      </c>
      <c r="H15170" s="7">
        <v>2524</v>
      </c>
      <c r="I15170" s="7">
        <v>1018</v>
      </c>
      <c r="J15170" s="7">
        <v>0</v>
      </c>
      <c r="K15170" s="7" t="s">
        <v>18</v>
      </c>
      <c r="L15170" s="8">
        <v>39987.315405092595</v>
      </c>
      <c r="M15170" s="9" t="s">
        <v>19</v>
      </c>
      <c r="N15170" s="9" t="s">
        <v>20</v>
      </c>
      <c r="O15170" s="6" t="str">
        <f>HYPERLINK("https://pbs.twimg.com/profile_images/962471262747529216/Uo8lOkRJ_normal.jpg","View")</f>
        <v>View</v>
      </c>
      <c r="P15170" s="7"/>
    </row>
    <row r="15171" spans="1:16">
      <c r="A15171" s="3">
        <v>44375.853148148148</v>
      </c>
      <c r="B15171" s="4" t="str">
        <f>HYPERLINK("https://twitter.com/petrogustavo","@petrogustavo")</f>
        <v>@petrogustavo</v>
      </c>
      <c r="C15171" s="5" t="s">
        <v>16</v>
      </c>
      <c r="D15171" s="5" t="s">
        <v>14614</v>
      </c>
      <c r="E15171" s="6" t="str">
        <f>HYPERLINK("https://twitter.com/petrogustavo/status/1409526634680553473","1409526634680553473")</f>
        <v>1409526634680553473</v>
      </c>
      <c r="F15171" s="7" t="s">
        <v>17</v>
      </c>
      <c r="G15171" s="7">
        <v>4319403</v>
      </c>
      <c r="H15171" s="7">
        <v>2524</v>
      </c>
      <c r="I15171" s="7">
        <v>98</v>
      </c>
      <c r="J15171" s="7">
        <v>334</v>
      </c>
      <c r="K15171" s="7" t="s">
        <v>18</v>
      </c>
      <c r="L15171" s="8">
        <v>39987.315405092595</v>
      </c>
      <c r="M15171" s="9" t="s">
        <v>19</v>
      </c>
      <c r="N15171" s="9" t="s">
        <v>20</v>
      </c>
      <c r="O15171" s="6" t="str">
        <f>HYPERLINK("https://pbs.twimg.com/profile_images/962471262747529216/Uo8lOkRJ_normal.jpg","View")</f>
        <v>View</v>
      </c>
      <c r="P15171" s="7"/>
    </row>
    <row r="15172" spans="1:16">
      <c r="A15172" s="3">
        <v>44375.857037037036</v>
      </c>
      <c r="B15172" s="4" t="str">
        <f>HYPERLINK("https://twitter.com/petrogustavo","@petrogustavo")</f>
        <v>@petrogustavo</v>
      </c>
      <c r="C15172" s="5" t="s">
        <v>16</v>
      </c>
      <c r="D15172" s="5" t="s">
        <v>14615</v>
      </c>
      <c r="E15172" s="6" t="str">
        <f>HYPERLINK("https://twitter.com/petrogustavo/status/1409528044524539905","1409528044524539905")</f>
        <v>1409528044524539905</v>
      </c>
      <c r="F15172" s="7" t="s">
        <v>17</v>
      </c>
      <c r="G15172" s="7">
        <v>4319393</v>
      </c>
      <c r="H15172" s="7">
        <v>2524</v>
      </c>
      <c r="I15172" s="7">
        <v>112</v>
      </c>
      <c r="J15172" s="7">
        <v>234</v>
      </c>
      <c r="K15172" s="7" t="s">
        <v>18</v>
      </c>
      <c r="L15172" s="8">
        <v>39987.315405092595</v>
      </c>
      <c r="M15172" s="9" t="s">
        <v>19</v>
      </c>
      <c r="N15172" s="9" t="s">
        <v>20</v>
      </c>
      <c r="O15172" s="6" t="str">
        <f>HYPERLINK("https://pbs.twimg.com/profile_images/962471262747529216/Uo8lOkRJ_normal.jpg","View")</f>
        <v>View</v>
      </c>
      <c r="P15172" s="7"/>
    </row>
    <row r="15173" spans="1:16">
      <c r="A15173" s="3">
        <v>44376.131157407406</v>
      </c>
      <c r="B15173" s="4" t="str">
        <f>HYPERLINK("https://twitter.com/petrogustavo","@petrogustavo")</f>
        <v>@petrogustavo</v>
      </c>
      <c r="C15173" s="5" t="s">
        <v>16</v>
      </c>
      <c r="D15173" s="5" t="s">
        <v>14616</v>
      </c>
      <c r="E15173" s="6" t="str">
        <f>HYPERLINK("https://twitter.com/petrogustavo/status/1409627384844742663","1409627384844742663")</f>
        <v>1409627384844742663</v>
      </c>
      <c r="F15173" s="7" t="s">
        <v>17</v>
      </c>
      <c r="G15173" s="7">
        <v>4318934</v>
      </c>
      <c r="H15173" s="7">
        <v>2525</v>
      </c>
      <c r="I15173" s="7">
        <v>624</v>
      </c>
      <c r="J15173" s="7">
        <v>0</v>
      </c>
      <c r="K15173" s="7" t="s">
        <v>18</v>
      </c>
      <c r="L15173" s="8">
        <v>39987.315405092595</v>
      </c>
      <c r="M15173" s="9" t="s">
        <v>19</v>
      </c>
      <c r="N15173" s="9" t="s">
        <v>20</v>
      </c>
      <c r="O15173" s="6" t="str">
        <f>HYPERLINK("https://pbs.twimg.com/profile_images/962471262747529216/Uo8lOkRJ_normal.jpg","View")</f>
        <v>View</v>
      </c>
      <c r="P15173" s="7"/>
    </row>
    <row r="15174" spans="1:16">
      <c r="A15174" s="3">
        <v>44376.131597222222</v>
      </c>
      <c r="B15174" s="4" t="str">
        <f>HYPERLINK("https://twitter.com/petrogustavo","@petrogustavo")</f>
        <v>@petrogustavo</v>
      </c>
      <c r="C15174" s="5" t="s">
        <v>16</v>
      </c>
      <c r="D15174" s="5" t="s">
        <v>14617</v>
      </c>
      <c r="E15174" s="6" t="str">
        <f>HYPERLINK("https://twitter.com/petrogustavo/status/1409627543154565120","1409627543154565120")</f>
        <v>1409627543154565120</v>
      </c>
      <c r="F15174" s="7" t="s">
        <v>17</v>
      </c>
      <c r="G15174" s="7">
        <v>4318934</v>
      </c>
      <c r="H15174" s="7">
        <v>2525</v>
      </c>
      <c r="I15174" s="7">
        <v>207</v>
      </c>
      <c r="J15174" s="7">
        <v>0</v>
      </c>
      <c r="K15174" s="7" t="s">
        <v>18</v>
      </c>
      <c r="L15174" s="8">
        <v>39987.315405092595</v>
      </c>
      <c r="M15174" s="9" t="s">
        <v>19</v>
      </c>
      <c r="N15174" s="9" t="s">
        <v>20</v>
      </c>
      <c r="O15174" s="6" t="str">
        <f>HYPERLINK("https://pbs.twimg.com/profile_images/962471262747529216/Uo8lOkRJ_normal.jpg","View")</f>
        <v>View</v>
      </c>
      <c r="P15174" s="7"/>
    </row>
    <row r="15175" spans="1:16">
      <c r="A15175" s="3">
        <v>44376.132060185184</v>
      </c>
      <c r="B15175" s="4" t="str">
        <f>HYPERLINK("https://twitter.com/petrogustavo","@petrogustavo")</f>
        <v>@petrogustavo</v>
      </c>
      <c r="C15175" s="5" t="s">
        <v>16</v>
      </c>
      <c r="D15175" s="5" t="s">
        <v>14618</v>
      </c>
      <c r="E15175" s="6" t="str">
        <f>HYPERLINK("https://twitter.com/petrogustavo/status/1409627710197018627","1409627710197018627")</f>
        <v>1409627710197018627</v>
      </c>
      <c r="F15175" s="7" t="s">
        <v>17</v>
      </c>
      <c r="G15175" s="7">
        <v>4318934</v>
      </c>
      <c r="H15175" s="7">
        <v>2525</v>
      </c>
      <c r="I15175" s="7">
        <v>56</v>
      </c>
      <c r="J15175" s="7">
        <v>0</v>
      </c>
      <c r="K15175" s="7" t="s">
        <v>18</v>
      </c>
      <c r="L15175" s="8">
        <v>39987.315405092595</v>
      </c>
      <c r="M15175" s="9" t="s">
        <v>19</v>
      </c>
      <c r="N15175" s="9" t="s">
        <v>20</v>
      </c>
      <c r="O15175" s="6" t="str">
        <f>HYPERLINK("https://pbs.twimg.com/profile_images/962471262747529216/Uo8lOkRJ_normal.jpg","View")</f>
        <v>View</v>
      </c>
      <c r="P15175" s="7"/>
    </row>
    <row r="15176" spans="1:16">
      <c r="A15176" s="3">
        <v>44376.138344907406</v>
      </c>
      <c r="B15176" s="4" t="str">
        <f>HYPERLINK("https://twitter.com/petrogustavo","@petrogustavo")</f>
        <v>@petrogustavo</v>
      </c>
      <c r="C15176" s="5" t="s">
        <v>16</v>
      </c>
      <c r="D15176" s="5" t="s">
        <v>14619</v>
      </c>
      <c r="E15176" s="6" t="str">
        <f>HYPERLINK("https://twitter.com/petrogustavo/status/1409629986676514817","1409629986676514817")</f>
        <v>1409629986676514817</v>
      </c>
      <c r="F15176" s="7" t="s">
        <v>17</v>
      </c>
      <c r="G15176" s="7">
        <v>4318934</v>
      </c>
      <c r="H15176" s="7">
        <v>2525</v>
      </c>
      <c r="I15176" s="7">
        <v>111</v>
      </c>
      <c r="J15176" s="7">
        <v>423</v>
      </c>
      <c r="K15176" s="7" t="s">
        <v>18</v>
      </c>
      <c r="L15176" s="8">
        <v>39987.315405092595</v>
      </c>
      <c r="M15176" s="9" t="s">
        <v>19</v>
      </c>
      <c r="N15176" s="9" t="s">
        <v>20</v>
      </c>
      <c r="O15176" s="6" t="str">
        <f>HYPERLINK("https://pbs.twimg.com/profile_images/962471262747529216/Uo8lOkRJ_normal.jpg","View")</f>
        <v>View</v>
      </c>
      <c r="P15176" s="7"/>
    </row>
    <row r="15177" spans="1:16">
      <c r="A15177" s="3">
        <v>44376.138344907406</v>
      </c>
      <c r="B15177" s="4" t="str">
        <f>HYPERLINK("https://twitter.com/petrogustavo","@petrogustavo")</f>
        <v>@petrogustavo</v>
      </c>
      <c r="C15177" s="5" t="s">
        <v>16</v>
      </c>
      <c r="D15177" s="5" t="s">
        <v>14620</v>
      </c>
      <c r="E15177" s="6" t="str">
        <f>HYPERLINK("https://twitter.com/petrogustavo/status/1409629988517728261","1409629988517728261")</f>
        <v>1409629988517728261</v>
      </c>
      <c r="F15177" s="7" t="s">
        <v>17</v>
      </c>
      <c r="G15177" s="7">
        <v>4318934</v>
      </c>
      <c r="H15177" s="7">
        <v>2525</v>
      </c>
      <c r="I15177" s="7">
        <v>69</v>
      </c>
      <c r="J15177" s="7">
        <v>354</v>
      </c>
      <c r="K15177" s="7" t="s">
        <v>18</v>
      </c>
      <c r="L15177" s="8">
        <v>39987.315405092595</v>
      </c>
      <c r="M15177" s="9" t="s">
        <v>19</v>
      </c>
      <c r="N15177" s="9" t="s">
        <v>20</v>
      </c>
      <c r="O15177" s="6" t="str">
        <f>HYPERLINK("https://pbs.twimg.com/profile_images/962471262747529216/Uo8lOkRJ_normal.jpg","View")</f>
        <v>View</v>
      </c>
      <c r="P15177" s="7"/>
    </row>
    <row r="15178" spans="1:16">
      <c r="A15178" s="3">
        <v>44376.14571759259</v>
      </c>
      <c r="B15178" s="4" t="str">
        <f>HYPERLINK("https://twitter.com/petrogustavo","@petrogustavo")</f>
        <v>@petrogustavo</v>
      </c>
      <c r="C15178" s="5" t="s">
        <v>16</v>
      </c>
      <c r="D15178" s="5" t="s">
        <v>14612</v>
      </c>
      <c r="E15178" s="6" t="str">
        <f>HYPERLINK("https://twitter.com/petrogustavo/status/1409632660868112387","1409632660868112387")</f>
        <v>1409632660868112387</v>
      </c>
      <c r="F15178" s="7" t="s">
        <v>17</v>
      </c>
      <c r="G15178" s="7">
        <v>4318934</v>
      </c>
      <c r="H15178" s="7">
        <v>2525</v>
      </c>
      <c r="I15178" s="7">
        <v>2603</v>
      </c>
      <c r="J15178" s="7">
        <v>0</v>
      </c>
      <c r="K15178" s="7" t="s">
        <v>18</v>
      </c>
      <c r="L15178" s="8">
        <v>39987.315405092595</v>
      </c>
      <c r="M15178" s="9" t="s">
        <v>19</v>
      </c>
      <c r="N15178" s="9" t="s">
        <v>20</v>
      </c>
      <c r="O15178" s="6" t="str">
        <f>HYPERLINK("https://pbs.twimg.com/profile_images/962471262747529216/Uo8lOkRJ_normal.jpg","View")</f>
        <v>View</v>
      </c>
      <c r="P15178" s="7"/>
    </row>
    <row r="15179" spans="1:16">
      <c r="A15179" s="3">
        <v>44376.155810185184</v>
      </c>
      <c r="B15179" s="4" t="str">
        <f>HYPERLINK("https://twitter.com/petrogustavo","@petrogustavo")</f>
        <v>@petrogustavo</v>
      </c>
      <c r="C15179" s="5" t="s">
        <v>16</v>
      </c>
      <c r="D15179" s="5" t="s">
        <v>14621</v>
      </c>
      <c r="E15179" s="6" t="str">
        <f>HYPERLINK("https://twitter.com/petrogustavo/status/1409636316564791296","1409636316564791296")</f>
        <v>1409636316564791296</v>
      </c>
      <c r="F15179" s="7" t="s">
        <v>17</v>
      </c>
      <c r="G15179" s="7">
        <v>4318959</v>
      </c>
      <c r="H15179" s="7">
        <v>2525</v>
      </c>
      <c r="I15179" s="7">
        <v>214</v>
      </c>
      <c r="J15179" s="7">
        <v>0</v>
      </c>
      <c r="K15179" s="7" t="s">
        <v>18</v>
      </c>
      <c r="L15179" s="8">
        <v>39987.315405092595</v>
      </c>
      <c r="M15179" s="9" t="s">
        <v>19</v>
      </c>
      <c r="N15179" s="9" t="s">
        <v>20</v>
      </c>
      <c r="O15179" s="6" t="str">
        <f>HYPERLINK("https://pbs.twimg.com/profile_images/962471262747529216/Uo8lOkRJ_normal.jpg","View")</f>
        <v>View</v>
      </c>
      <c r="P15179" s="7"/>
    </row>
    <row r="15180" spans="1:16">
      <c r="A15180" s="3">
        <v>44376.166539351849</v>
      </c>
      <c r="B15180" s="4" t="str">
        <f>HYPERLINK("https://twitter.com/petrogustavo","@petrogustavo")</f>
        <v>@petrogustavo</v>
      </c>
      <c r="C15180" s="5" t="s">
        <v>16</v>
      </c>
      <c r="D15180" s="5" t="s">
        <v>14622</v>
      </c>
      <c r="E15180" s="6" t="str">
        <f>HYPERLINK("https://twitter.com/petrogustavo/status/1409640205586362380","1409640205586362380")</f>
        <v>1409640205586362380</v>
      </c>
      <c r="F15180" s="7" t="s">
        <v>17</v>
      </c>
      <c r="G15180" s="7">
        <v>4318959</v>
      </c>
      <c r="H15180" s="7">
        <v>2525</v>
      </c>
      <c r="I15180" s="7">
        <v>83</v>
      </c>
      <c r="J15180" s="7">
        <v>0</v>
      </c>
      <c r="K15180" s="7" t="s">
        <v>18</v>
      </c>
      <c r="L15180" s="8">
        <v>39987.315405092595</v>
      </c>
      <c r="M15180" s="9" t="s">
        <v>19</v>
      </c>
      <c r="N15180" s="9" t="s">
        <v>20</v>
      </c>
      <c r="O15180" s="6" t="str">
        <f>HYPERLINK("https://pbs.twimg.com/profile_images/962471262747529216/Uo8lOkRJ_normal.jpg","View")</f>
        <v>View</v>
      </c>
      <c r="P15180" s="7"/>
    </row>
    <row r="15181" spans="1:16">
      <c r="A15181" s="3">
        <v>44376.169247685189</v>
      </c>
      <c r="B15181" s="4" t="str">
        <f>HYPERLINK("https://twitter.com/petrogustavo","@petrogustavo")</f>
        <v>@petrogustavo</v>
      </c>
      <c r="C15181" s="5" t="s">
        <v>16</v>
      </c>
      <c r="D15181" s="5" t="s">
        <v>14612</v>
      </c>
      <c r="E15181" s="6" t="str">
        <f>HYPERLINK("https://twitter.com/petrogustavo/status/1409641187359657989","1409641187359657989")</f>
        <v>1409641187359657989</v>
      </c>
      <c r="F15181" s="7" t="s">
        <v>17</v>
      </c>
      <c r="G15181" s="7">
        <v>4318983</v>
      </c>
      <c r="H15181" s="7">
        <v>2525</v>
      </c>
      <c r="I15181" s="7">
        <v>2784</v>
      </c>
      <c r="J15181" s="7">
        <v>0</v>
      </c>
      <c r="K15181" s="7" t="s">
        <v>18</v>
      </c>
      <c r="L15181" s="8">
        <v>39987.315405092595</v>
      </c>
      <c r="M15181" s="9" t="s">
        <v>19</v>
      </c>
      <c r="N15181" s="9" t="s">
        <v>20</v>
      </c>
      <c r="O15181" s="6" t="str">
        <f>HYPERLINK("https://pbs.twimg.com/profile_images/962471262747529216/Uo8lOkRJ_normal.jpg","View")</f>
        <v>View</v>
      </c>
      <c r="P15181" s="7"/>
    </row>
    <row r="15182" spans="1:16">
      <c r="A15182" s="3">
        <v>44376.568472222221</v>
      </c>
      <c r="B15182" s="4" t="str">
        <f>HYPERLINK("https://twitter.com/petrogustavo","@petrogustavo")</f>
        <v>@petrogustavo</v>
      </c>
      <c r="C15182" s="5" t="s">
        <v>16</v>
      </c>
      <c r="D15182" s="5" t="s">
        <v>14623</v>
      </c>
      <c r="E15182" s="6" t="str">
        <f>HYPERLINK("https://twitter.com/petrogustavo/status/1409785860292231169","1409785860292231169")</f>
        <v>1409785860292231169</v>
      </c>
      <c r="F15182" s="7" t="s">
        <v>17</v>
      </c>
      <c r="G15182" s="7">
        <v>4320045</v>
      </c>
      <c r="H15182" s="7">
        <v>2524</v>
      </c>
      <c r="I15182" s="7">
        <v>218</v>
      </c>
      <c r="J15182" s="7">
        <v>0</v>
      </c>
      <c r="K15182" s="7" t="s">
        <v>18</v>
      </c>
      <c r="L15182" s="8">
        <v>39987.315405092595</v>
      </c>
      <c r="M15182" s="9" t="s">
        <v>19</v>
      </c>
      <c r="N15182" s="9" t="s">
        <v>20</v>
      </c>
      <c r="O15182" s="6" t="str">
        <f>HYPERLINK("https://pbs.twimg.com/profile_images/962471262747529216/Uo8lOkRJ_normal.jpg","View")</f>
        <v>View</v>
      </c>
      <c r="P15182" s="7"/>
    </row>
    <row r="15183" spans="1:16">
      <c r="A15183" s="3">
        <v>44376.606168981481</v>
      </c>
      <c r="B15183" s="4" t="str">
        <f>HYPERLINK("https://twitter.com/petrogustavo","@petrogustavo")</f>
        <v>@petrogustavo</v>
      </c>
      <c r="C15183" s="5" t="s">
        <v>16</v>
      </c>
      <c r="D15183" s="5" t="s">
        <v>14624</v>
      </c>
      <c r="E15183" s="6" t="str">
        <f>HYPERLINK("https://twitter.com/petrogustavo/status/1409799523405381637","1409799523405381637")</f>
        <v>1409799523405381637</v>
      </c>
      <c r="F15183" s="7" t="s">
        <v>17</v>
      </c>
      <c r="G15183" s="7">
        <v>4320045</v>
      </c>
      <c r="H15183" s="7">
        <v>2524</v>
      </c>
      <c r="I15183" s="7">
        <v>68</v>
      </c>
      <c r="J15183" s="7">
        <v>100</v>
      </c>
      <c r="K15183" s="7" t="s">
        <v>18</v>
      </c>
      <c r="L15183" s="8">
        <v>39987.315405092595</v>
      </c>
      <c r="M15183" s="9" t="s">
        <v>19</v>
      </c>
      <c r="N15183" s="9" t="s">
        <v>20</v>
      </c>
      <c r="O15183" s="6" t="str">
        <f>HYPERLINK("https://pbs.twimg.com/profile_images/962471262747529216/Uo8lOkRJ_normal.jpg","View")</f>
        <v>View</v>
      </c>
      <c r="P15183" s="7"/>
    </row>
    <row r="15184" spans="1:16">
      <c r="A15184" s="3">
        <v>44376.606562500005</v>
      </c>
      <c r="B15184" s="4" t="str">
        <f>HYPERLINK("https://twitter.com/petrogustavo","@petrogustavo")</f>
        <v>@petrogustavo</v>
      </c>
      <c r="C15184" s="5" t="s">
        <v>16</v>
      </c>
      <c r="D15184" s="5" t="s">
        <v>14625</v>
      </c>
      <c r="E15184" s="6" t="str">
        <f>HYPERLINK("https://twitter.com/petrogustavo/status/1409799663595700224","1409799663595700224")</f>
        <v>1409799663595700224</v>
      </c>
      <c r="F15184" s="7" t="s">
        <v>17</v>
      </c>
      <c r="G15184" s="7">
        <v>4320045</v>
      </c>
      <c r="H15184" s="7">
        <v>2524</v>
      </c>
      <c r="I15184" s="7">
        <v>417</v>
      </c>
      <c r="J15184" s="7">
        <v>0</v>
      </c>
      <c r="K15184" s="7" t="s">
        <v>18</v>
      </c>
      <c r="L15184" s="8">
        <v>39987.315405092595</v>
      </c>
      <c r="M15184" s="9" t="s">
        <v>19</v>
      </c>
      <c r="N15184" s="9" t="s">
        <v>20</v>
      </c>
      <c r="O15184" s="6" t="str">
        <f>HYPERLINK("https://pbs.twimg.com/profile_images/962471262747529216/Uo8lOkRJ_normal.jpg","View")</f>
        <v>View</v>
      </c>
      <c r="P15184" s="7"/>
    </row>
    <row r="15185" spans="1:16">
      <c r="A15185" s="3">
        <v>44376.610844907409</v>
      </c>
      <c r="B15185" s="4" t="str">
        <f>HYPERLINK("https://twitter.com/petrogustavo","@petrogustavo")</f>
        <v>@petrogustavo</v>
      </c>
      <c r="C15185" s="5" t="s">
        <v>16</v>
      </c>
      <c r="D15185" s="5" t="s">
        <v>14626</v>
      </c>
      <c r="E15185" s="6" t="str">
        <f>HYPERLINK("https://twitter.com/petrogustavo/status/1409801217178583040","1409801217178583040")</f>
        <v>1409801217178583040</v>
      </c>
      <c r="F15185" s="7" t="s">
        <v>17</v>
      </c>
      <c r="G15185" s="7">
        <v>4320045</v>
      </c>
      <c r="H15185" s="7">
        <v>2524</v>
      </c>
      <c r="I15185" s="7">
        <v>79</v>
      </c>
      <c r="J15185" s="7">
        <v>164</v>
      </c>
      <c r="K15185" s="7" t="s">
        <v>18</v>
      </c>
      <c r="L15185" s="8">
        <v>39987.315405092595</v>
      </c>
      <c r="M15185" s="9" t="s">
        <v>19</v>
      </c>
      <c r="N15185" s="9" t="s">
        <v>20</v>
      </c>
      <c r="O15185" s="6" t="str">
        <f>HYPERLINK("https://pbs.twimg.com/profile_images/962471262747529216/Uo8lOkRJ_normal.jpg","View")</f>
        <v>View</v>
      </c>
      <c r="P15185" s="7"/>
    </row>
    <row r="15186" spans="1:16">
      <c r="A15186" s="3">
        <v>44376.610856481479</v>
      </c>
      <c r="B15186" s="4" t="str">
        <f>HYPERLINK("https://twitter.com/petrogustavo","@petrogustavo")</f>
        <v>@petrogustavo</v>
      </c>
      <c r="C15186" s="5" t="s">
        <v>16</v>
      </c>
      <c r="D15186" s="5" t="s">
        <v>14627</v>
      </c>
      <c r="E15186" s="6" t="str">
        <f>HYPERLINK("https://twitter.com/petrogustavo/status/1409801219351195648","1409801219351195648")</f>
        <v>1409801219351195648</v>
      </c>
      <c r="F15186" s="7" t="s">
        <v>17</v>
      </c>
      <c r="G15186" s="7">
        <v>4320045</v>
      </c>
      <c r="H15186" s="7">
        <v>2524</v>
      </c>
      <c r="I15186" s="7">
        <v>28</v>
      </c>
      <c r="J15186" s="7">
        <v>125</v>
      </c>
      <c r="K15186" s="7" t="s">
        <v>18</v>
      </c>
      <c r="L15186" s="8">
        <v>39987.315405092595</v>
      </c>
      <c r="M15186" s="9" t="s">
        <v>19</v>
      </c>
      <c r="N15186" s="9" t="s">
        <v>20</v>
      </c>
      <c r="O15186" s="6" t="str">
        <f>HYPERLINK("https://pbs.twimg.com/profile_images/962471262747529216/Uo8lOkRJ_normal.jpg","View")</f>
        <v>View</v>
      </c>
      <c r="P15186" s="7"/>
    </row>
    <row r="15187" spans="1:16">
      <c r="A15187" s="3">
        <v>44376.610856481479</v>
      </c>
      <c r="B15187" s="4" t="str">
        <f>HYPERLINK("https://twitter.com/petrogustavo","@petrogustavo")</f>
        <v>@petrogustavo</v>
      </c>
      <c r="C15187" s="5" t="s">
        <v>16</v>
      </c>
      <c r="D15187" s="5" t="s">
        <v>14628</v>
      </c>
      <c r="E15187" s="6" t="str">
        <f>HYPERLINK("https://twitter.com/petrogustavo/status/1409801221087580163","1409801221087580163")</f>
        <v>1409801221087580163</v>
      </c>
      <c r="F15187" s="7" t="s">
        <v>17</v>
      </c>
      <c r="G15187" s="7">
        <v>4320045</v>
      </c>
      <c r="H15187" s="7">
        <v>2524</v>
      </c>
      <c r="I15187" s="7">
        <v>28</v>
      </c>
      <c r="J15187" s="7">
        <v>130</v>
      </c>
      <c r="K15187" s="7" t="s">
        <v>18</v>
      </c>
      <c r="L15187" s="8">
        <v>39987.315405092595</v>
      </c>
      <c r="M15187" s="9" t="s">
        <v>19</v>
      </c>
      <c r="N15187" s="9" t="s">
        <v>20</v>
      </c>
      <c r="O15187" s="6" t="str">
        <f>HYPERLINK("https://pbs.twimg.com/profile_images/962471262747529216/Uo8lOkRJ_normal.jpg","View")</f>
        <v>View</v>
      </c>
      <c r="P15187" s="7"/>
    </row>
    <row r="15188" spans="1:16">
      <c r="A15188" s="3">
        <v>44376.732800925922</v>
      </c>
      <c r="B15188" s="4" t="str">
        <f>HYPERLINK("https://twitter.com/petrogustavo","@petrogustavo")</f>
        <v>@petrogustavo</v>
      </c>
      <c r="C15188" s="5" t="s">
        <v>16</v>
      </c>
      <c r="D15188" s="5" t="s">
        <v>14629</v>
      </c>
      <c r="E15188" s="6" t="str">
        <f>HYPERLINK("https://twitter.com/petrogustavo/status/1409845413188886529","1409845413188886529")</f>
        <v>1409845413188886529</v>
      </c>
      <c r="F15188" s="7" t="s">
        <v>17</v>
      </c>
      <c r="G15188" s="7">
        <v>4320091</v>
      </c>
      <c r="H15188" s="7">
        <v>2524</v>
      </c>
      <c r="I15188" s="7">
        <v>415</v>
      </c>
      <c r="J15188" s="7">
        <v>1319</v>
      </c>
      <c r="K15188" s="7" t="s">
        <v>18</v>
      </c>
      <c r="L15188" s="8">
        <v>39987.315405092595</v>
      </c>
      <c r="M15188" s="9" t="s">
        <v>19</v>
      </c>
      <c r="N15188" s="9" t="s">
        <v>20</v>
      </c>
      <c r="O15188" s="6" t="str">
        <f>HYPERLINK("https://pbs.twimg.com/profile_images/962471262747529216/Uo8lOkRJ_normal.jpg","View")</f>
        <v>View</v>
      </c>
      <c r="P15188" s="7"/>
    </row>
    <row r="15189" spans="1:16">
      <c r="A15189" s="3">
        <v>44376.739872685182</v>
      </c>
      <c r="B15189" s="4" t="str">
        <f>HYPERLINK("https://twitter.com/petrogustavo","@petrogustavo")</f>
        <v>@petrogustavo</v>
      </c>
      <c r="C15189" s="5" t="s">
        <v>16</v>
      </c>
      <c r="D15189" s="5" t="s">
        <v>14630</v>
      </c>
      <c r="E15189" s="6" t="str">
        <f>HYPERLINK("https://twitter.com/petrogustavo/status/1409847974197436416","1409847974197436416")</f>
        <v>1409847974197436416</v>
      </c>
      <c r="F15189" s="7" t="s">
        <v>17</v>
      </c>
      <c r="G15189" s="7">
        <v>4320091</v>
      </c>
      <c r="H15189" s="7">
        <v>2524</v>
      </c>
      <c r="I15189" s="7">
        <v>112</v>
      </c>
      <c r="J15189" s="7">
        <v>324</v>
      </c>
      <c r="K15189" s="7" t="s">
        <v>18</v>
      </c>
      <c r="L15189" s="8">
        <v>39987.315405092595</v>
      </c>
      <c r="M15189" s="9" t="s">
        <v>19</v>
      </c>
      <c r="N15189" s="9" t="s">
        <v>20</v>
      </c>
      <c r="O15189" s="6" t="str">
        <f>HYPERLINK("https://pbs.twimg.com/profile_images/962471262747529216/Uo8lOkRJ_normal.jpg","View")</f>
        <v>View</v>
      </c>
      <c r="P15189" s="7"/>
    </row>
    <row r="15190" spans="1:16">
      <c r="A15190" s="3">
        <v>44376.74217592593</v>
      </c>
      <c r="B15190" s="4" t="str">
        <f>HYPERLINK("https://twitter.com/petrogustavo","@petrogustavo")</f>
        <v>@petrogustavo</v>
      </c>
      <c r="C15190" s="5" t="s">
        <v>16</v>
      </c>
      <c r="D15190" s="5" t="s">
        <v>14631</v>
      </c>
      <c r="E15190" s="6" t="str">
        <f>HYPERLINK("https://twitter.com/petrogustavo/status/1409848807421009920","1409848807421009920")</f>
        <v>1409848807421009920</v>
      </c>
      <c r="F15190" s="7" t="s">
        <v>17</v>
      </c>
      <c r="G15190" s="7">
        <v>4320091</v>
      </c>
      <c r="H15190" s="7">
        <v>2524</v>
      </c>
      <c r="I15190" s="7">
        <v>133</v>
      </c>
      <c r="J15190" s="7">
        <v>286</v>
      </c>
      <c r="K15190" s="7" t="s">
        <v>18</v>
      </c>
      <c r="L15190" s="8">
        <v>39987.315405092595</v>
      </c>
      <c r="M15190" s="9" t="s">
        <v>19</v>
      </c>
      <c r="N15190" s="9" t="s">
        <v>20</v>
      </c>
      <c r="O15190" s="6" t="str">
        <f>HYPERLINK("https://pbs.twimg.com/profile_images/962471262747529216/Uo8lOkRJ_normal.jpg","View")</f>
        <v>View</v>
      </c>
      <c r="P15190" s="7"/>
    </row>
    <row r="15191" spans="1:16">
      <c r="A15191" s="3">
        <v>44376.744583333333</v>
      </c>
      <c r="B15191" s="4" t="str">
        <f>HYPERLINK("https://twitter.com/petrogustavo","@petrogustavo")</f>
        <v>@petrogustavo</v>
      </c>
      <c r="C15191" s="5" t="s">
        <v>16</v>
      </c>
      <c r="D15191" s="5" t="s">
        <v>14632</v>
      </c>
      <c r="E15191" s="6" t="str">
        <f>HYPERLINK("https://twitter.com/petrogustavo/status/1409849683162374144","1409849683162374144")</f>
        <v>1409849683162374144</v>
      </c>
      <c r="F15191" s="7" t="s">
        <v>17</v>
      </c>
      <c r="G15191" s="7">
        <v>4320091</v>
      </c>
      <c r="H15191" s="7">
        <v>2524</v>
      </c>
      <c r="I15191" s="7">
        <v>499</v>
      </c>
      <c r="J15191" s="7">
        <v>0</v>
      </c>
      <c r="K15191" s="7" t="s">
        <v>18</v>
      </c>
      <c r="L15191" s="8">
        <v>39987.315405092595</v>
      </c>
      <c r="M15191" s="9" t="s">
        <v>19</v>
      </c>
      <c r="N15191" s="9" t="s">
        <v>20</v>
      </c>
      <c r="O15191" s="6" t="str">
        <f>HYPERLINK("https://pbs.twimg.com/profile_images/962471262747529216/Uo8lOkRJ_normal.jpg","View")</f>
        <v>View</v>
      </c>
      <c r="P15191" s="7"/>
    </row>
    <row r="15192" spans="1:16">
      <c r="A15192" s="3">
        <v>44376.755046296297</v>
      </c>
      <c r="B15192" s="4" t="str">
        <f>HYPERLINK("https://twitter.com/petrogustavo","@petrogustavo")</f>
        <v>@petrogustavo</v>
      </c>
      <c r="C15192" s="5" t="s">
        <v>16</v>
      </c>
      <c r="D15192" s="5" t="s">
        <v>14633</v>
      </c>
      <c r="E15192" s="6" t="str">
        <f>HYPERLINK("https://twitter.com/petrogustavo/status/1409853472195891203","1409853472195891203")</f>
        <v>1409853472195891203</v>
      </c>
      <c r="F15192" s="7" t="s">
        <v>17</v>
      </c>
      <c r="G15192" s="7">
        <v>4320111</v>
      </c>
      <c r="H15192" s="7">
        <v>2525</v>
      </c>
      <c r="I15192" s="7">
        <v>1307</v>
      </c>
      <c r="J15192" s="7">
        <v>0</v>
      </c>
      <c r="K15192" s="7" t="s">
        <v>18</v>
      </c>
      <c r="L15192" s="8">
        <v>39987.315405092595</v>
      </c>
      <c r="M15192" s="9" t="s">
        <v>19</v>
      </c>
      <c r="N15192" s="9" t="s">
        <v>20</v>
      </c>
      <c r="O15192" s="6" t="str">
        <f>HYPERLINK("https://pbs.twimg.com/profile_images/962471262747529216/Uo8lOkRJ_normal.jpg","View")</f>
        <v>View</v>
      </c>
      <c r="P15192" s="7"/>
    </row>
    <row r="15193" spans="1:16">
      <c r="A15193" s="3">
        <v>44376.767951388887</v>
      </c>
      <c r="B15193" s="4" t="str">
        <f>HYPERLINK("https://twitter.com/petrogustavo","@petrogustavo")</f>
        <v>@petrogustavo</v>
      </c>
      <c r="C15193" s="5" t="s">
        <v>16</v>
      </c>
      <c r="D15193" s="5" t="s">
        <v>14634</v>
      </c>
      <c r="E15193" s="6" t="str">
        <f>HYPERLINK("https://twitter.com/petrogustavo/status/1409858150543601666","1409858150543601666")</f>
        <v>1409858150543601666</v>
      </c>
      <c r="F15193" s="7" t="s">
        <v>17</v>
      </c>
      <c r="G15193" s="7">
        <v>4320111</v>
      </c>
      <c r="H15193" s="7">
        <v>2525</v>
      </c>
      <c r="I15193" s="7">
        <v>470</v>
      </c>
      <c r="J15193" s="7">
        <v>0</v>
      </c>
      <c r="K15193" s="7" t="s">
        <v>18</v>
      </c>
      <c r="L15193" s="8">
        <v>39987.315405092595</v>
      </c>
      <c r="M15193" s="9" t="s">
        <v>19</v>
      </c>
      <c r="N15193" s="9" t="s">
        <v>20</v>
      </c>
      <c r="O15193" s="6" t="str">
        <f>HYPERLINK("https://pbs.twimg.com/profile_images/962471262747529216/Uo8lOkRJ_normal.jpg","View")</f>
        <v>View</v>
      </c>
      <c r="P15193" s="7"/>
    </row>
    <row r="15194" spans="1:16">
      <c r="A15194" s="3">
        <v>44376.76898148148</v>
      </c>
      <c r="B15194" s="4" t="str">
        <f>HYPERLINK("https://twitter.com/petrogustavo","@petrogustavo")</f>
        <v>@petrogustavo</v>
      </c>
      <c r="C15194" s="5" t="s">
        <v>16</v>
      </c>
      <c r="D15194" s="5" t="s">
        <v>14635</v>
      </c>
      <c r="E15194" s="6" t="str">
        <f>HYPERLINK("https://twitter.com/petrogustavo/status/1409858525275332611","1409858525275332611")</f>
        <v>1409858525275332611</v>
      </c>
      <c r="F15194" s="7" t="s">
        <v>17</v>
      </c>
      <c r="G15194" s="7">
        <v>4320111</v>
      </c>
      <c r="H15194" s="7">
        <v>2525</v>
      </c>
      <c r="I15194" s="7">
        <v>270</v>
      </c>
      <c r="J15194" s="7">
        <v>0</v>
      </c>
      <c r="K15194" s="7" t="s">
        <v>18</v>
      </c>
      <c r="L15194" s="8">
        <v>39987.315405092595</v>
      </c>
      <c r="M15194" s="9" t="s">
        <v>19</v>
      </c>
      <c r="N15194" s="9" t="s">
        <v>20</v>
      </c>
      <c r="O15194" s="6" t="str">
        <f>HYPERLINK("https://pbs.twimg.com/profile_images/962471262747529216/Uo8lOkRJ_normal.jpg","View")</f>
        <v>View</v>
      </c>
      <c r="P15194" s="7"/>
    </row>
    <row r="15195" spans="1:16">
      <c r="A15195" s="3">
        <v>44376.770381944443</v>
      </c>
      <c r="B15195" s="4" t="str">
        <f>HYPERLINK("https://twitter.com/petrogustavo","@petrogustavo")</f>
        <v>@petrogustavo</v>
      </c>
      <c r="C15195" s="5" t="s">
        <v>16</v>
      </c>
      <c r="D15195" s="5" t="s">
        <v>14636</v>
      </c>
      <c r="E15195" s="6" t="str">
        <f>HYPERLINK("https://twitter.com/petrogustavo/status/1409859030311448577","1409859030311448577")</f>
        <v>1409859030311448577</v>
      </c>
      <c r="F15195" s="7" t="s">
        <v>17</v>
      </c>
      <c r="G15195" s="7">
        <v>4320111</v>
      </c>
      <c r="H15195" s="7">
        <v>2525</v>
      </c>
      <c r="I15195" s="7">
        <v>22</v>
      </c>
      <c r="J15195" s="7">
        <v>0</v>
      </c>
      <c r="K15195" s="7" t="s">
        <v>18</v>
      </c>
      <c r="L15195" s="8">
        <v>39987.315405092595</v>
      </c>
      <c r="M15195" s="9" t="s">
        <v>19</v>
      </c>
      <c r="N15195" s="9" t="s">
        <v>20</v>
      </c>
      <c r="O15195" s="6" t="str">
        <f>HYPERLINK("https://pbs.twimg.com/profile_images/962471262747529216/Uo8lOkRJ_normal.jpg","View")</f>
        <v>View</v>
      </c>
      <c r="P15195" s="7"/>
    </row>
    <row r="15196" spans="1:16">
      <c r="A15196" s="3">
        <v>44376.771909722222</v>
      </c>
      <c r="B15196" s="4" t="str">
        <f>HYPERLINK("https://twitter.com/petrogustavo","@petrogustavo")</f>
        <v>@petrogustavo</v>
      </c>
      <c r="C15196" s="5" t="s">
        <v>16</v>
      </c>
      <c r="D15196" s="5" t="s">
        <v>14637</v>
      </c>
      <c r="E15196" s="6" t="str">
        <f>HYPERLINK("https://twitter.com/petrogustavo/status/1409859582923579400","1409859582923579400")</f>
        <v>1409859582923579400</v>
      </c>
      <c r="F15196" s="7" t="s">
        <v>17</v>
      </c>
      <c r="G15196" s="7">
        <v>4320111</v>
      </c>
      <c r="H15196" s="7">
        <v>2525</v>
      </c>
      <c r="I15196" s="7">
        <v>43</v>
      </c>
      <c r="J15196" s="7">
        <v>0</v>
      </c>
      <c r="K15196" s="7" t="s">
        <v>18</v>
      </c>
      <c r="L15196" s="8">
        <v>39987.315405092595</v>
      </c>
      <c r="M15196" s="9" t="s">
        <v>19</v>
      </c>
      <c r="N15196" s="9" t="s">
        <v>20</v>
      </c>
      <c r="O15196" s="6" t="str">
        <f>HYPERLINK("https://pbs.twimg.com/profile_images/962471262747529216/Uo8lOkRJ_normal.jpg","View")</f>
        <v>View</v>
      </c>
      <c r="P15196" s="7"/>
    </row>
    <row r="15197" spans="1:16">
      <c r="A15197" s="3">
        <v>44376.772476851853</v>
      </c>
      <c r="B15197" s="4" t="str">
        <f>HYPERLINK("https://twitter.com/petrogustavo","@petrogustavo")</f>
        <v>@petrogustavo</v>
      </c>
      <c r="C15197" s="5" t="s">
        <v>16</v>
      </c>
      <c r="D15197" s="5" t="s">
        <v>14638</v>
      </c>
      <c r="E15197" s="6" t="str">
        <f>HYPERLINK("https://twitter.com/petrogustavo/status/1409859790164180994","1409859790164180994")</f>
        <v>1409859790164180994</v>
      </c>
      <c r="F15197" s="7" t="s">
        <v>17</v>
      </c>
      <c r="G15197" s="7">
        <v>4320135</v>
      </c>
      <c r="H15197" s="7">
        <v>2525</v>
      </c>
      <c r="I15197" s="7">
        <v>158</v>
      </c>
      <c r="J15197" s="7">
        <v>0</v>
      </c>
      <c r="K15197" s="7" t="s">
        <v>18</v>
      </c>
      <c r="L15197" s="8">
        <v>39987.315405092595</v>
      </c>
      <c r="M15197" s="9" t="s">
        <v>19</v>
      </c>
      <c r="N15197" s="9" t="s">
        <v>20</v>
      </c>
      <c r="O15197" s="6" t="str">
        <f>HYPERLINK("https://pbs.twimg.com/profile_images/962471262747529216/Uo8lOkRJ_normal.jpg","View")</f>
        <v>View</v>
      </c>
      <c r="P15197" s="7"/>
    </row>
    <row r="15198" spans="1:16">
      <c r="A15198" s="3">
        <v>44376.772534722222</v>
      </c>
      <c r="B15198" s="4" t="str">
        <f>HYPERLINK("https://twitter.com/petrogustavo","@petrogustavo")</f>
        <v>@petrogustavo</v>
      </c>
      <c r="C15198" s="5" t="s">
        <v>16</v>
      </c>
      <c r="D15198" s="5" t="s">
        <v>14639</v>
      </c>
      <c r="E15198" s="6" t="str">
        <f>HYPERLINK("https://twitter.com/petrogustavo/status/1409859808837214212","1409859808837214212")</f>
        <v>1409859808837214212</v>
      </c>
      <c r="F15198" s="7" t="s">
        <v>17</v>
      </c>
      <c r="G15198" s="7">
        <v>4320135</v>
      </c>
      <c r="H15198" s="7">
        <v>2525</v>
      </c>
      <c r="I15198" s="7">
        <v>512</v>
      </c>
      <c r="J15198" s="7">
        <v>0</v>
      </c>
      <c r="K15198" s="7" t="s">
        <v>18</v>
      </c>
      <c r="L15198" s="8">
        <v>39987.315405092595</v>
      </c>
      <c r="M15198" s="9" t="s">
        <v>19</v>
      </c>
      <c r="N15198" s="9" t="s">
        <v>20</v>
      </c>
      <c r="O15198" s="6" t="str">
        <f>HYPERLINK("https://pbs.twimg.com/profile_images/962471262747529216/Uo8lOkRJ_normal.jpg","View")</f>
        <v>View</v>
      </c>
      <c r="P15198" s="7"/>
    </row>
    <row r="15199" spans="1:16">
      <c r="A15199" s="3">
        <v>44376.772592592592</v>
      </c>
      <c r="B15199" s="4" t="str">
        <f>HYPERLINK("https://twitter.com/petrogustavo","@petrogustavo")</f>
        <v>@petrogustavo</v>
      </c>
      <c r="C15199" s="5" t="s">
        <v>16</v>
      </c>
      <c r="D15199" s="5" t="s">
        <v>14640</v>
      </c>
      <c r="E15199" s="6" t="str">
        <f>HYPERLINK("https://twitter.com/petrogustavo/status/1409859829812842503","1409859829812842503")</f>
        <v>1409859829812842503</v>
      </c>
      <c r="F15199" s="7" t="s">
        <v>17</v>
      </c>
      <c r="G15199" s="7">
        <v>4320135</v>
      </c>
      <c r="H15199" s="7">
        <v>2525</v>
      </c>
      <c r="I15199" s="7">
        <v>172</v>
      </c>
      <c r="J15199" s="7">
        <v>0</v>
      </c>
      <c r="K15199" s="7" t="s">
        <v>18</v>
      </c>
      <c r="L15199" s="8">
        <v>39987.315405092595</v>
      </c>
      <c r="M15199" s="9" t="s">
        <v>19</v>
      </c>
      <c r="N15199" s="9" t="s">
        <v>20</v>
      </c>
      <c r="O15199" s="6" t="str">
        <f>HYPERLINK("https://pbs.twimg.com/profile_images/962471262747529216/Uo8lOkRJ_normal.jpg","View")</f>
        <v>View</v>
      </c>
      <c r="P15199" s="7"/>
    </row>
    <row r="15200" spans="1:16">
      <c r="A15200" s="3">
        <v>44376.772789351853</v>
      </c>
      <c r="B15200" s="4" t="str">
        <f>HYPERLINK("https://twitter.com/petrogustavo","@petrogustavo")</f>
        <v>@petrogustavo</v>
      </c>
      <c r="C15200" s="5" t="s">
        <v>16</v>
      </c>
      <c r="D15200" s="5" t="s">
        <v>14641</v>
      </c>
      <c r="E15200" s="6" t="str">
        <f>HYPERLINK("https://twitter.com/petrogustavo/status/1409859904727310336","1409859904727310336")</f>
        <v>1409859904727310336</v>
      </c>
      <c r="F15200" s="7" t="s">
        <v>17</v>
      </c>
      <c r="G15200" s="7">
        <v>4320135</v>
      </c>
      <c r="H15200" s="7">
        <v>2525</v>
      </c>
      <c r="I15200" s="7">
        <v>153</v>
      </c>
      <c r="J15200" s="7">
        <v>0</v>
      </c>
      <c r="K15200" s="7" t="s">
        <v>18</v>
      </c>
      <c r="L15200" s="8">
        <v>39987.315405092595</v>
      </c>
      <c r="M15200" s="9" t="s">
        <v>19</v>
      </c>
      <c r="N15200" s="9" t="s">
        <v>20</v>
      </c>
      <c r="O15200" s="6" t="str">
        <f>HYPERLINK("https://pbs.twimg.com/profile_images/962471262747529216/Uo8lOkRJ_normal.jpg","View")</f>
        <v>View</v>
      </c>
      <c r="P15200" s="7"/>
    </row>
    <row r="15201" spans="1:16">
      <c r="A15201" s="3">
        <v>44376.774236111116</v>
      </c>
      <c r="B15201" s="4" t="str">
        <f>HYPERLINK("https://twitter.com/petrogustavo","@petrogustavo")</f>
        <v>@petrogustavo</v>
      </c>
      <c r="C15201" s="5" t="s">
        <v>16</v>
      </c>
      <c r="D15201" s="5" t="s">
        <v>14642</v>
      </c>
      <c r="E15201" s="6" t="str">
        <f>HYPERLINK("https://twitter.com/petrogustavo/status/1409860429287989249","1409860429287989249")</f>
        <v>1409860429287989249</v>
      </c>
      <c r="F15201" s="7" t="s">
        <v>17</v>
      </c>
      <c r="G15201" s="7">
        <v>4320135</v>
      </c>
      <c r="H15201" s="7">
        <v>2525</v>
      </c>
      <c r="I15201" s="7">
        <v>128</v>
      </c>
      <c r="J15201" s="7">
        <v>487</v>
      </c>
      <c r="K15201" s="7" t="s">
        <v>18</v>
      </c>
      <c r="L15201" s="8">
        <v>39987.315405092595</v>
      </c>
      <c r="M15201" s="9" t="s">
        <v>19</v>
      </c>
      <c r="N15201" s="9" t="s">
        <v>20</v>
      </c>
      <c r="O15201" s="6" t="str">
        <f>HYPERLINK("https://pbs.twimg.com/profile_images/962471262747529216/Uo8lOkRJ_normal.jpg","View")</f>
        <v>View</v>
      </c>
      <c r="P15201" s="7"/>
    </row>
    <row r="15202" spans="1:16">
      <c r="A15202" s="3">
        <v>44376.805173611108</v>
      </c>
      <c r="B15202" s="4" t="str">
        <f>HYPERLINK("https://twitter.com/petrogustavo","@petrogustavo")</f>
        <v>@petrogustavo</v>
      </c>
      <c r="C15202" s="5" t="s">
        <v>16</v>
      </c>
      <c r="D15202" s="5" t="s">
        <v>14643</v>
      </c>
      <c r="E15202" s="6" t="str">
        <f>HYPERLINK("https://twitter.com/petrogustavo/status/1409871640121561090","1409871640121561090")</f>
        <v>1409871640121561090</v>
      </c>
      <c r="F15202" s="7" t="s">
        <v>17</v>
      </c>
      <c r="G15202" s="7">
        <v>4320158</v>
      </c>
      <c r="H15202" s="7">
        <v>2525</v>
      </c>
      <c r="I15202" s="7">
        <v>121</v>
      </c>
      <c r="J15202" s="7">
        <v>447</v>
      </c>
      <c r="K15202" s="7" t="s">
        <v>18</v>
      </c>
      <c r="L15202" s="8">
        <v>39987.315405092595</v>
      </c>
      <c r="M15202" s="9" t="s">
        <v>19</v>
      </c>
      <c r="N15202" s="9" t="s">
        <v>20</v>
      </c>
      <c r="O15202" s="6" t="str">
        <f>HYPERLINK("https://pbs.twimg.com/profile_images/962471262747529216/Uo8lOkRJ_normal.jpg","View")</f>
        <v>View</v>
      </c>
      <c r="P15202" s="7"/>
    </row>
    <row r="15203" spans="1:16">
      <c r="A15203" s="3">
        <v>44376.805185185185</v>
      </c>
      <c r="B15203" s="4" t="str">
        <f>HYPERLINK("https://twitter.com/petrogustavo","@petrogustavo")</f>
        <v>@petrogustavo</v>
      </c>
      <c r="C15203" s="5" t="s">
        <v>16</v>
      </c>
      <c r="D15203" s="5" t="s">
        <v>14644</v>
      </c>
      <c r="E15203" s="6" t="str">
        <f>HYPERLINK("https://twitter.com/petrogustavo/status/1409871641711161348","1409871641711161348")</f>
        <v>1409871641711161348</v>
      </c>
      <c r="F15203" s="7" t="s">
        <v>17</v>
      </c>
      <c r="G15203" s="7">
        <v>4320158</v>
      </c>
      <c r="H15203" s="7">
        <v>2525</v>
      </c>
      <c r="I15203" s="7">
        <v>108</v>
      </c>
      <c r="J15203" s="7">
        <v>391</v>
      </c>
      <c r="K15203" s="7" t="s">
        <v>18</v>
      </c>
      <c r="L15203" s="8">
        <v>39987.315405092595</v>
      </c>
      <c r="M15203" s="9" t="s">
        <v>19</v>
      </c>
      <c r="N15203" s="9" t="s">
        <v>20</v>
      </c>
      <c r="O15203" s="6" t="str">
        <f>HYPERLINK("https://pbs.twimg.com/profile_images/962471262747529216/Uo8lOkRJ_normal.jpg","View")</f>
        <v>View</v>
      </c>
      <c r="P15203" s="7"/>
    </row>
    <row r="15204" spans="1:16">
      <c r="A15204" s="3">
        <v>44376.805185185185</v>
      </c>
      <c r="B15204" s="4" t="str">
        <f>HYPERLINK("https://twitter.com/petrogustavo","@petrogustavo")</f>
        <v>@petrogustavo</v>
      </c>
      <c r="C15204" s="5" t="s">
        <v>16</v>
      </c>
      <c r="D15204" s="5" t="s">
        <v>14645</v>
      </c>
      <c r="E15204" s="6" t="str">
        <f>HYPERLINK("https://twitter.com/petrogustavo/status/1409871643254693895","1409871643254693895")</f>
        <v>1409871643254693895</v>
      </c>
      <c r="F15204" s="7" t="s">
        <v>17</v>
      </c>
      <c r="G15204" s="7">
        <v>4320158</v>
      </c>
      <c r="H15204" s="7">
        <v>2525</v>
      </c>
      <c r="I15204" s="7">
        <v>104</v>
      </c>
      <c r="J15204" s="7">
        <v>404</v>
      </c>
      <c r="K15204" s="7" t="s">
        <v>18</v>
      </c>
      <c r="L15204" s="8">
        <v>39987.315405092595</v>
      </c>
      <c r="M15204" s="9" t="s">
        <v>19</v>
      </c>
      <c r="N15204" s="9" t="s">
        <v>20</v>
      </c>
      <c r="O15204" s="6" t="str">
        <f>HYPERLINK("https://pbs.twimg.com/profile_images/962471262747529216/Uo8lOkRJ_normal.jpg","View")</f>
        <v>View</v>
      </c>
      <c r="P15204" s="7"/>
    </row>
    <row r="15205" spans="1:16">
      <c r="A15205" s="3">
        <v>44376.852673611109</v>
      </c>
      <c r="B15205" s="4" t="str">
        <f>HYPERLINK("https://twitter.com/petrogustavo","@petrogustavo")</f>
        <v>@petrogustavo</v>
      </c>
      <c r="C15205" s="5" t="s">
        <v>16</v>
      </c>
      <c r="D15205" s="5" t="s">
        <v>14646</v>
      </c>
      <c r="E15205" s="6" t="str">
        <f>HYPERLINK("https://twitter.com/petrogustavo/status/1409888852387504140","1409888852387504140")</f>
        <v>1409888852387504140</v>
      </c>
      <c r="F15205" s="7" t="s">
        <v>17</v>
      </c>
      <c r="G15205" s="7">
        <v>4320186</v>
      </c>
      <c r="H15205" s="7">
        <v>2525</v>
      </c>
      <c r="I15205" s="7">
        <v>94</v>
      </c>
      <c r="J15205" s="7">
        <v>0</v>
      </c>
      <c r="K15205" s="7" t="s">
        <v>18</v>
      </c>
      <c r="L15205" s="8">
        <v>39987.315405092595</v>
      </c>
      <c r="M15205" s="9" t="s">
        <v>19</v>
      </c>
      <c r="N15205" s="9" t="s">
        <v>20</v>
      </c>
      <c r="O15205" s="6" t="str">
        <f>HYPERLINK("https://pbs.twimg.com/profile_images/962471262747529216/Uo8lOkRJ_normal.jpg","View")</f>
        <v>View</v>
      </c>
      <c r="P15205" s="7"/>
    </row>
    <row r="15206" spans="1:16">
      <c r="A15206" s="3">
        <v>44376.860092592593</v>
      </c>
      <c r="B15206" s="4" t="str">
        <f>HYPERLINK("https://twitter.com/petrogustavo","@petrogustavo")</f>
        <v>@petrogustavo</v>
      </c>
      <c r="C15206" s="5" t="s">
        <v>16</v>
      </c>
      <c r="D15206" s="5" t="s">
        <v>14647</v>
      </c>
      <c r="E15206" s="6" t="str">
        <f>HYPERLINK("https://twitter.com/petrogustavo/status/1409891539292233731","1409891539292233731")</f>
        <v>1409891539292233731</v>
      </c>
      <c r="F15206" s="7" t="s">
        <v>17</v>
      </c>
      <c r="G15206" s="7">
        <v>4320208</v>
      </c>
      <c r="H15206" s="7">
        <v>2525</v>
      </c>
      <c r="I15206" s="7">
        <v>444</v>
      </c>
      <c r="J15206" s="7">
        <v>1399</v>
      </c>
      <c r="K15206" s="7" t="s">
        <v>18</v>
      </c>
      <c r="L15206" s="8">
        <v>39987.315405092595</v>
      </c>
      <c r="M15206" s="9" t="s">
        <v>19</v>
      </c>
      <c r="N15206" s="9" t="s">
        <v>20</v>
      </c>
      <c r="O15206" s="6" t="str">
        <f>HYPERLINK("https://pbs.twimg.com/profile_images/962471262747529216/Uo8lOkRJ_normal.jpg","View")</f>
        <v>View</v>
      </c>
      <c r="P15206" s="7"/>
    </row>
    <row r="15207" spans="1:16">
      <c r="A15207" s="3">
        <v>44377.119537037041</v>
      </c>
      <c r="B15207" s="4" t="str">
        <f>HYPERLINK("https://twitter.com/petrogustavo","@petrogustavo")</f>
        <v>@petrogustavo</v>
      </c>
      <c r="C15207" s="5" t="s">
        <v>16</v>
      </c>
      <c r="D15207" s="5" t="s">
        <v>14648</v>
      </c>
      <c r="E15207" s="6" t="str">
        <f>HYPERLINK("https://twitter.com/petrogustavo/status/1409985558890352641","1409985558890352641")</f>
        <v>1409985558890352641</v>
      </c>
      <c r="F15207" s="7" t="s">
        <v>17</v>
      </c>
      <c r="G15207" s="7">
        <v>4320551</v>
      </c>
      <c r="H15207" s="7">
        <v>2525</v>
      </c>
      <c r="I15207" s="7">
        <v>277</v>
      </c>
      <c r="J15207" s="7">
        <v>1009</v>
      </c>
      <c r="K15207" s="7" t="s">
        <v>18</v>
      </c>
      <c r="L15207" s="8">
        <v>39987.315405092595</v>
      </c>
      <c r="M15207" s="9" t="s">
        <v>19</v>
      </c>
      <c r="N15207" s="9" t="s">
        <v>20</v>
      </c>
      <c r="O15207" s="6" t="str">
        <f>HYPERLINK("https://pbs.twimg.com/profile_images/962471262747529216/Uo8lOkRJ_normal.jpg","View")</f>
        <v>View</v>
      </c>
      <c r="P15207" s="7"/>
    </row>
    <row r="15208" spans="1:16">
      <c r="A15208" s="3">
        <v>44377.122789351852</v>
      </c>
      <c r="B15208" s="4" t="str">
        <f>HYPERLINK("https://twitter.com/petrogustavo","@petrogustavo")</f>
        <v>@petrogustavo</v>
      </c>
      <c r="C15208" s="5" t="s">
        <v>16</v>
      </c>
      <c r="D15208" s="5" t="s">
        <v>14649</v>
      </c>
      <c r="E15208" s="6" t="str">
        <f>HYPERLINK("https://twitter.com/petrogustavo/status/1409986739779801100","1409986739779801100")</f>
        <v>1409986739779801100</v>
      </c>
      <c r="F15208" s="7" t="s">
        <v>17</v>
      </c>
      <c r="G15208" s="7">
        <v>4320551</v>
      </c>
      <c r="H15208" s="7">
        <v>2525</v>
      </c>
      <c r="I15208" s="7">
        <v>141</v>
      </c>
      <c r="J15208" s="7">
        <v>259</v>
      </c>
      <c r="K15208" s="7" t="s">
        <v>18</v>
      </c>
      <c r="L15208" s="8">
        <v>39987.315405092595</v>
      </c>
      <c r="M15208" s="9" t="s">
        <v>19</v>
      </c>
      <c r="N15208" s="9" t="s">
        <v>20</v>
      </c>
      <c r="O15208" s="6" t="str">
        <f>HYPERLINK("https://pbs.twimg.com/profile_images/962471262747529216/Uo8lOkRJ_normal.jpg","View")</f>
        <v>View</v>
      </c>
      <c r="P15208" s="7"/>
    </row>
    <row r="15209" spans="1:16">
      <c r="A15209" s="3">
        <v>44377.127187499995</v>
      </c>
      <c r="B15209" s="4" t="str">
        <f>HYPERLINK("https://twitter.com/petrogustavo","@petrogustavo")</f>
        <v>@petrogustavo</v>
      </c>
      <c r="C15209" s="5" t="s">
        <v>16</v>
      </c>
      <c r="D15209" s="5" t="s">
        <v>14650</v>
      </c>
      <c r="E15209" s="6" t="str">
        <f>HYPERLINK("https://twitter.com/petrogustavo/status/1409988334122946568","1409988334122946568")</f>
        <v>1409988334122946568</v>
      </c>
      <c r="F15209" s="7" t="s">
        <v>17</v>
      </c>
      <c r="G15209" s="7">
        <v>4320570</v>
      </c>
      <c r="H15209" s="7">
        <v>2525</v>
      </c>
      <c r="I15209" s="7">
        <v>107</v>
      </c>
      <c r="J15209" s="7">
        <v>348</v>
      </c>
      <c r="K15209" s="7" t="s">
        <v>18</v>
      </c>
      <c r="L15209" s="8">
        <v>39987.315405092595</v>
      </c>
      <c r="M15209" s="9" t="s">
        <v>19</v>
      </c>
      <c r="N15209" s="9" t="s">
        <v>20</v>
      </c>
      <c r="O15209" s="6" t="str">
        <f>HYPERLINK("https://pbs.twimg.com/profile_images/962471262747529216/Uo8lOkRJ_normal.jpg","View")</f>
        <v>View</v>
      </c>
      <c r="P15209" s="7"/>
    </row>
    <row r="15210" spans="1:16">
      <c r="A15210" s="3">
        <v>44377.127199074079</v>
      </c>
      <c r="B15210" s="4" t="str">
        <f>HYPERLINK("https://twitter.com/petrogustavo","@petrogustavo")</f>
        <v>@petrogustavo</v>
      </c>
      <c r="C15210" s="5" t="s">
        <v>16</v>
      </c>
      <c r="D15210" s="5" t="s">
        <v>14651</v>
      </c>
      <c r="E15210" s="6" t="str">
        <f>HYPERLINK("https://twitter.com/petrogustavo/status/1409988335779602432","1409988335779602432")</f>
        <v>1409988335779602432</v>
      </c>
      <c r="F15210" s="7" t="s">
        <v>17</v>
      </c>
      <c r="G15210" s="7">
        <v>4320570</v>
      </c>
      <c r="H15210" s="7">
        <v>2525</v>
      </c>
      <c r="I15210" s="7">
        <v>88</v>
      </c>
      <c r="J15210" s="7">
        <v>345</v>
      </c>
      <c r="K15210" s="7" t="s">
        <v>18</v>
      </c>
      <c r="L15210" s="8">
        <v>39987.315405092595</v>
      </c>
      <c r="M15210" s="9" t="s">
        <v>19</v>
      </c>
      <c r="N15210" s="9" t="s">
        <v>20</v>
      </c>
      <c r="O15210" s="6" t="str">
        <f>HYPERLINK("https://pbs.twimg.com/profile_images/962471262747529216/Uo8lOkRJ_normal.jpg","View")</f>
        <v>View</v>
      </c>
      <c r="P15210" s="7"/>
    </row>
    <row r="15211" spans="1:16">
      <c r="A15211" s="3">
        <v>44377.137777777782</v>
      </c>
      <c r="B15211" s="4" t="str">
        <f>HYPERLINK("https://twitter.com/petrogustavo","@petrogustavo")</f>
        <v>@petrogustavo</v>
      </c>
      <c r="C15211" s="5" t="s">
        <v>16</v>
      </c>
      <c r="D15211" s="5" t="s">
        <v>14652</v>
      </c>
      <c r="E15211" s="6" t="str">
        <f>HYPERLINK("https://twitter.com/petrogustavo/status/1409992170925342721","1409992170925342721")</f>
        <v>1409992170925342721</v>
      </c>
      <c r="F15211" s="7" t="s">
        <v>17</v>
      </c>
      <c r="G15211" s="7">
        <v>4320570</v>
      </c>
      <c r="H15211" s="7">
        <v>2525</v>
      </c>
      <c r="I15211" s="7">
        <v>595</v>
      </c>
      <c r="J15211" s="7">
        <v>0</v>
      </c>
      <c r="K15211" s="7" t="s">
        <v>18</v>
      </c>
      <c r="L15211" s="8">
        <v>39987.315405092595</v>
      </c>
      <c r="M15211" s="9" t="s">
        <v>19</v>
      </c>
      <c r="N15211" s="9" t="s">
        <v>20</v>
      </c>
      <c r="O15211" s="6" t="str">
        <f>HYPERLINK("https://pbs.twimg.com/profile_images/962471262747529216/Uo8lOkRJ_normal.jpg","View")</f>
        <v>View</v>
      </c>
      <c r="P15211" s="7"/>
    </row>
    <row r="15212" spans="1:16">
      <c r="A15212" s="3">
        <v>44377.137812500005</v>
      </c>
      <c r="B15212" s="4" t="str">
        <f>HYPERLINK("https://twitter.com/petrogustavo","@petrogustavo")</f>
        <v>@petrogustavo</v>
      </c>
      <c r="C15212" s="5" t="s">
        <v>16</v>
      </c>
      <c r="D15212" s="5" t="s">
        <v>14653</v>
      </c>
      <c r="E15212" s="6" t="str">
        <f>HYPERLINK("https://twitter.com/petrogustavo/status/1409992184271675395","1409992184271675395")</f>
        <v>1409992184271675395</v>
      </c>
      <c r="F15212" s="7" t="s">
        <v>17</v>
      </c>
      <c r="G15212" s="7">
        <v>4320570</v>
      </c>
      <c r="H15212" s="7">
        <v>2525</v>
      </c>
      <c r="I15212" s="7">
        <v>722</v>
      </c>
      <c r="J15212" s="7">
        <v>0</v>
      </c>
      <c r="K15212" s="7" t="s">
        <v>18</v>
      </c>
      <c r="L15212" s="8">
        <v>39987.315405092595</v>
      </c>
      <c r="M15212" s="9" t="s">
        <v>19</v>
      </c>
      <c r="N15212" s="9" t="s">
        <v>20</v>
      </c>
      <c r="O15212" s="6" t="str">
        <f>HYPERLINK("https://pbs.twimg.com/profile_images/962471262747529216/Uo8lOkRJ_normal.jpg","View")</f>
        <v>View</v>
      </c>
      <c r="P15212" s="7"/>
    </row>
    <row r="15213" spans="1:16">
      <c r="A15213" s="3">
        <v>44377.143634259264</v>
      </c>
      <c r="B15213" s="4" t="str">
        <f>HYPERLINK("https://twitter.com/petrogustavo","@petrogustavo")</f>
        <v>@petrogustavo</v>
      </c>
      <c r="C15213" s="5" t="s">
        <v>16</v>
      </c>
      <c r="D15213" s="5" t="s">
        <v>14654</v>
      </c>
      <c r="E15213" s="6" t="str">
        <f>HYPERLINK("https://twitter.com/petrogustavo/status/1409994290974146565","1409994290974146565")</f>
        <v>1409994290974146565</v>
      </c>
      <c r="F15213" s="7" t="s">
        <v>17</v>
      </c>
      <c r="G15213" s="7">
        <v>4320570</v>
      </c>
      <c r="H15213" s="7">
        <v>2525</v>
      </c>
      <c r="I15213" s="7">
        <v>137</v>
      </c>
      <c r="J15213" s="7">
        <v>273</v>
      </c>
      <c r="K15213" s="7" t="s">
        <v>18</v>
      </c>
      <c r="L15213" s="8">
        <v>39987.315405092595</v>
      </c>
      <c r="M15213" s="9" t="s">
        <v>19</v>
      </c>
      <c r="N15213" s="9" t="s">
        <v>20</v>
      </c>
      <c r="O15213" s="6" t="str">
        <f>HYPERLINK("https://pbs.twimg.com/profile_images/962471262747529216/Uo8lOkRJ_normal.jpg","View")</f>
        <v>View</v>
      </c>
      <c r="P15213" s="7"/>
    </row>
    <row r="15214" spans="1:16">
      <c r="A15214" s="3">
        <v>44377.425138888888</v>
      </c>
      <c r="B15214" s="4" t="str">
        <f>HYPERLINK("https://twitter.com/petrogustavo","@petrogustavo")</f>
        <v>@petrogustavo</v>
      </c>
      <c r="C15214" s="5" t="s">
        <v>16</v>
      </c>
      <c r="D15214" s="5" t="s">
        <v>14655</v>
      </c>
      <c r="E15214" s="6" t="str">
        <f>HYPERLINK("https://twitter.com/petrogustavo/status/1410096307939774465","1410096307939774465")</f>
        <v>1410096307939774465</v>
      </c>
      <c r="F15214" s="7" t="s">
        <v>17</v>
      </c>
      <c r="G15214" s="7">
        <v>4320952</v>
      </c>
      <c r="H15214" s="7">
        <v>2525</v>
      </c>
      <c r="I15214" s="7">
        <v>217</v>
      </c>
      <c r="J15214" s="7">
        <v>669</v>
      </c>
      <c r="K15214" s="7" t="s">
        <v>18</v>
      </c>
      <c r="L15214" s="8">
        <v>39987.315405092595</v>
      </c>
      <c r="M15214" s="9" t="s">
        <v>19</v>
      </c>
      <c r="N15214" s="9" t="s">
        <v>20</v>
      </c>
      <c r="O15214" s="6" t="str">
        <f>HYPERLINK("https://pbs.twimg.com/profile_images/962471262747529216/Uo8lOkRJ_normal.jpg","View")</f>
        <v>View</v>
      </c>
      <c r="P15214" s="7"/>
    </row>
    <row r="15215" spans="1:16">
      <c r="A15215" s="3">
        <v>44377.435833333337</v>
      </c>
      <c r="B15215" s="4" t="str">
        <f>HYPERLINK("https://twitter.com/petrogustavo","@petrogustavo")</f>
        <v>@petrogustavo</v>
      </c>
      <c r="C15215" s="5" t="s">
        <v>16</v>
      </c>
      <c r="D15215" s="5" t="s">
        <v>14656</v>
      </c>
      <c r="E15215" s="6" t="str">
        <f>HYPERLINK("https://twitter.com/petrogustavo/status/1410100180444135425","1410100180444135425")</f>
        <v>1410100180444135425</v>
      </c>
      <c r="F15215" s="7" t="s">
        <v>17</v>
      </c>
      <c r="G15215" s="7">
        <v>4320952</v>
      </c>
      <c r="H15215" s="7">
        <v>2525</v>
      </c>
      <c r="I15215" s="7">
        <v>37</v>
      </c>
      <c r="J15215" s="7">
        <v>0</v>
      </c>
      <c r="K15215" s="7" t="s">
        <v>18</v>
      </c>
      <c r="L15215" s="8">
        <v>39987.315405092595</v>
      </c>
      <c r="M15215" s="9" t="s">
        <v>19</v>
      </c>
      <c r="N15215" s="9" t="s">
        <v>20</v>
      </c>
      <c r="O15215" s="6" t="str">
        <f>HYPERLINK("https://pbs.twimg.com/profile_images/962471262747529216/Uo8lOkRJ_normal.jpg","View")</f>
        <v>View</v>
      </c>
      <c r="P15215" s="7"/>
    </row>
    <row r="15216" spans="1:16">
      <c r="A15216" s="3">
        <v>44377.436840277776</v>
      </c>
      <c r="B15216" s="4" t="str">
        <f>HYPERLINK("https://twitter.com/petrogustavo","@petrogustavo")</f>
        <v>@petrogustavo</v>
      </c>
      <c r="C15216" s="5" t="s">
        <v>16</v>
      </c>
      <c r="D15216" s="5" t="s">
        <v>14657</v>
      </c>
      <c r="E15216" s="6" t="str">
        <f>HYPERLINK("https://twitter.com/petrogustavo/status/1410100548985102336","1410100548985102336")</f>
        <v>1410100548985102336</v>
      </c>
      <c r="F15216" s="7" t="s">
        <v>17</v>
      </c>
      <c r="G15216" s="7">
        <v>4320952</v>
      </c>
      <c r="H15216" s="7">
        <v>2525</v>
      </c>
      <c r="I15216" s="7">
        <v>32</v>
      </c>
      <c r="J15216" s="7">
        <v>0</v>
      </c>
      <c r="K15216" s="7" t="s">
        <v>18</v>
      </c>
      <c r="L15216" s="8">
        <v>39987.315405092595</v>
      </c>
      <c r="M15216" s="9" t="s">
        <v>19</v>
      </c>
      <c r="N15216" s="9" t="s">
        <v>20</v>
      </c>
      <c r="O15216" s="6" t="str">
        <f>HYPERLINK("https://pbs.twimg.com/profile_images/962471262747529216/Uo8lOkRJ_normal.jpg","View")</f>
        <v>View</v>
      </c>
      <c r="P15216" s="7"/>
    </row>
    <row r="15217" spans="1:16">
      <c r="A15217" s="3">
        <v>44377.437800925924</v>
      </c>
      <c r="B15217" s="4" t="str">
        <f>HYPERLINK("https://twitter.com/petrogustavo","@petrogustavo")</f>
        <v>@petrogustavo</v>
      </c>
      <c r="C15217" s="5" t="s">
        <v>16</v>
      </c>
      <c r="D15217" s="5" t="s">
        <v>14658</v>
      </c>
      <c r="E15217" s="6" t="str">
        <f>HYPERLINK("https://twitter.com/petrogustavo/status/1410100897225531397","1410100897225531397")</f>
        <v>1410100897225531397</v>
      </c>
      <c r="F15217" s="7" t="s">
        <v>17</v>
      </c>
      <c r="G15217" s="7">
        <v>4320952</v>
      </c>
      <c r="H15217" s="7">
        <v>2525</v>
      </c>
      <c r="I15217" s="7">
        <v>112</v>
      </c>
      <c r="J15217" s="7">
        <v>0</v>
      </c>
      <c r="K15217" s="7" t="s">
        <v>18</v>
      </c>
      <c r="L15217" s="8">
        <v>39987.315405092595</v>
      </c>
      <c r="M15217" s="9" t="s">
        <v>19</v>
      </c>
      <c r="N15217" s="9" t="s">
        <v>20</v>
      </c>
      <c r="O15217" s="6" t="str">
        <f>HYPERLINK("https://pbs.twimg.com/profile_images/962471262747529216/Uo8lOkRJ_normal.jpg","View")</f>
        <v>View</v>
      </c>
      <c r="P15217" s="7"/>
    </row>
    <row r="15218" spans="1:16">
      <c r="A15218" s="3">
        <v>44377.438796296294</v>
      </c>
      <c r="B15218" s="4" t="str">
        <f>HYPERLINK("https://twitter.com/petrogustavo","@petrogustavo")</f>
        <v>@petrogustavo</v>
      </c>
      <c r="C15218" s="5" t="s">
        <v>16</v>
      </c>
      <c r="D15218" s="5" t="s">
        <v>14659</v>
      </c>
      <c r="E15218" s="6" t="str">
        <f>HYPERLINK("https://twitter.com/petrogustavo/status/1410101257298014210","1410101257298014210")</f>
        <v>1410101257298014210</v>
      </c>
      <c r="F15218" s="7" t="s">
        <v>17</v>
      </c>
      <c r="G15218" s="7">
        <v>4320952</v>
      </c>
      <c r="H15218" s="7">
        <v>2525</v>
      </c>
      <c r="I15218" s="7">
        <v>5</v>
      </c>
      <c r="J15218" s="7">
        <v>15</v>
      </c>
      <c r="K15218" s="7" t="s">
        <v>18</v>
      </c>
      <c r="L15218" s="8">
        <v>39987.315405092595</v>
      </c>
      <c r="M15218" s="9" t="s">
        <v>19</v>
      </c>
      <c r="N15218" s="9" t="s">
        <v>20</v>
      </c>
      <c r="O15218" s="6" t="str">
        <f>HYPERLINK("https://pbs.twimg.com/profile_images/962471262747529216/Uo8lOkRJ_normal.jpg","View")</f>
        <v>View</v>
      </c>
      <c r="P15218" s="7"/>
    </row>
    <row r="15219" spans="1:16">
      <c r="A15219" s="3">
        <v>44377.438969907409</v>
      </c>
      <c r="B15219" s="4" t="str">
        <f>HYPERLINK("https://twitter.com/petrogustavo","@petrogustavo")</f>
        <v>@petrogustavo</v>
      </c>
      <c r="C15219" s="5" t="s">
        <v>16</v>
      </c>
      <c r="D15219" s="5" t="s">
        <v>14660</v>
      </c>
      <c r="E15219" s="6" t="str">
        <f>HYPERLINK("https://twitter.com/petrogustavo/status/1410101319726206978","1410101319726206978")</f>
        <v>1410101319726206978</v>
      </c>
      <c r="F15219" s="7" t="s">
        <v>17</v>
      </c>
      <c r="G15219" s="7">
        <v>4320952</v>
      </c>
      <c r="H15219" s="7">
        <v>2525</v>
      </c>
      <c r="I15219" s="7">
        <v>21</v>
      </c>
      <c r="J15219" s="7">
        <v>0</v>
      </c>
      <c r="K15219" s="7" t="s">
        <v>18</v>
      </c>
      <c r="L15219" s="8">
        <v>39987.315405092595</v>
      </c>
      <c r="M15219" s="9" t="s">
        <v>19</v>
      </c>
      <c r="N15219" s="9" t="s">
        <v>20</v>
      </c>
      <c r="O15219" s="6" t="str">
        <f>HYPERLINK("https://pbs.twimg.com/profile_images/962471262747529216/Uo8lOkRJ_normal.jpg","View")</f>
        <v>View</v>
      </c>
      <c r="P15219" s="7"/>
    </row>
    <row r="15220" spans="1:16">
      <c r="A15220" s="3">
        <v>44377.439826388887</v>
      </c>
      <c r="B15220" s="4" t="str">
        <f>HYPERLINK("https://twitter.com/petrogustavo","@petrogustavo")</f>
        <v>@petrogustavo</v>
      </c>
      <c r="C15220" s="5" t="s">
        <v>16</v>
      </c>
      <c r="D15220" s="5" t="s">
        <v>14661</v>
      </c>
      <c r="E15220" s="6" t="str">
        <f>HYPERLINK("https://twitter.com/petrogustavo/status/1410101630872309760","1410101630872309760")</f>
        <v>1410101630872309760</v>
      </c>
      <c r="F15220" s="7" t="s">
        <v>17</v>
      </c>
      <c r="G15220" s="7">
        <v>4320971</v>
      </c>
      <c r="H15220" s="7">
        <v>2525</v>
      </c>
      <c r="I15220" s="7">
        <v>83</v>
      </c>
      <c r="J15220" s="7">
        <v>0</v>
      </c>
      <c r="K15220" s="7" t="s">
        <v>18</v>
      </c>
      <c r="L15220" s="8">
        <v>39987.315405092595</v>
      </c>
      <c r="M15220" s="9" t="s">
        <v>19</v>
      </c>
      <c r="N15220" s="9" t="s">
        <v>20</v>
      </c>
      <c r="O15220" s="6" t="str">
        <f>HYPERLINK("https://pbs.twimg.com/profile_images/962471262747529216/Uo8lOkRJ_normal.jpg","View")</f>
        <v>View</v>
      </c>
      <c r="P15220" s="7"/>
    </row>
    <row r="15221" spans="1:16">
      <c r="A15221" s="3">
        <v>44377.444976851853</v>
      </c>
      <c r="B15221" s="4" t="str">
        <f>HYPERLINK("https://twitter.com/petrogustavo","@petrogustavo")</f>
        <v>@petrogustavo</v>
      </c>
      <c r="C15221" s="5" t="s">
        <v>16</v>
      </c>
      <c r="D15221" s="5" t="s">
        <v>14662</v>
      </c>
      <c r="E15221" s="6" t="str">
        <f>HYPERLINK("https://twitter.com/petrogustavo/status/1410103494355341313","1410103494355341313")</f>
        <v>1410103494355341313</v>
      </c>
      <c r="F15221" s="7" t="s">
        <v>17</v>
      </c>
      <c r="G15221" s="7">
        <v>4320971</v>
      </c>
      <c r="H15221" s="7">
        <v>2525</v>
      </c>
      <c r="I15221" s="7">
        <v>183</v>
      </c>
      <c r="J15221" s="7">
        <v>0</v>
      </c>
      <c r="K15221" s="7" t="s">
        <v>18</v>
      </c>
      <c r="L15221" s="8">
        <v>39987.315405092595</v>
      </c>
      <c r="M15221" s="9" t="s">
        <v>19</v>
      </c>
      <c r="N15221" s="9" t="s">
        <v>20</v>
      </c>
      <c r="O15221" s="6" t="str">
        <f>HYPERLINK("https://pbs.twimg.com/profile_images/962471262747529216/Uo8lOkRJ_normal.jpg","View")</f>
        <v>View</v>
      </c>
      <c r="P15221" s="7"/>
    </row>
    <row r="15222" spans="1:16">
      <c r="A15222" s="3">
        <v>44377.445011574076</v>
      </c>
      <c r="B15222" s="4" t="str">
        <f>HYPERLINK("https://twitter.com/petrogustavo","@petrogustavo")</f>
        <v>@petrogustavo</v>
      </c>
      <c r="C15222" s="5" t="s">
        <v>16</v>
      </c>
      <c r="D15222" s="5" t="s">
        <v>14663</v>
      </c>
      <c r="E15222" s="6" t="str">
        <f>HYPERLINK("https://twitter.com/petrogustavo/status/1410103508792188929","1410103508792188929")</f>
        <v>1410103508792188929</v>
      </c>
      <c r="F15222" s="7" t="s">
        <v>17</v>
      </c>
      <c r="G15222" s="7">
        <v>4320971</v>
      </c>
      <c r="H15222" s="7">
        <v>2525</v>
      </c>
      <c r="I15222" s="7">
        <v>320</v>
      </c>
      <c r="J15222" s="7">
        <v>0</v>
      </c>
      <c r="K15222" s="7" t="s">
        <v>18</v>
      </c>
      <c r="L15222" s="8">
        <v>39987.315405092595</v>
      </c>
      <c r="M15222" s="9" t="s">
        <v>19</v>
      </c>
      <c r="N15222" s="9" t="s">
        <v>20</v>
      </c>
      <c r="O15222" s="6" t="str">
        <f>HYPERLINK("https://pbs.twimg.com/profile_images/962471262747529216/Uo8lOkRJ_normal.jpg","View")</f>
        <v>View</v>
      </c>
      <c r="P15222" s="7"/>
    </row>
    <row r="15223" spans="1:16">
      <c r="A15223" s="3">
        <v>44377.900659722218</v>
      </c>
      <c r="B15223" s="4" t="str">
        <f>HYPERLINK("https://twitter.com/petrogustavo","@petrogustavo")</f>
        <v>@petrogustavo</v>
      </c>
      <c r="C15223" s="5" t="s">
        <v>16</v>
      </c>
      <c r="D15223" s="5" t="s">
        <v>14664</v>
      </c>
      <c r="E15223" s="6" t="str">
        <f>HYPERLINK("https://twitter.com/petrogustavo/status/1410268629623619591","1410268629623619591")</f>
        <v>1410268629623619591</v>
      </c>
      <c r="F15223" s="7" t="s">
        <v>17</v>
      </c>
      <c r="G15223" s="7">
        <v>4321273</v>
      </c>
      <c r="H15223" s="7">
        <v>2526</v>
      </c>
      <c r="I15223" s="7">
        <v>378</v>
      </c>
      <c r="J15223" s="7">
        <v>0</v>
      </c>
      <c r="K15223" s="7" t="s">
        <v>18</v>
      </c>
      <c r="L15223" s="8">
        <v>39987.315405092595</v>
      </c>
      <c r="M15223" s="9" t="s">
        <v>19</v>
      </c>
      <c r="N15223" s="9" t="s">
        <v>20</v>
      </c>
      <c r="O15223" s="6" t="str">
        <f>HYPERLINK("https://pbs.twimg.com/profile_images/962471262747529216/Uo8lOkRJ_normal.jpg","View")</f>
        <v>View</v>
      </c>
      <c r="P15223" s="7"/>
    </row>
    <row r="15224" spans="1:16">
      <c r="A15224" s="3">
        <v>44377.900868055556</v>
      </c>
      <c r="B15224" s="4" t="str">
        <f>HYPERLINK("https://twitter.com/petrogustavo","@petrogustavo")</f>
        <v>@petrogustavo</v>
      </c>
      <c r="C15224" s="5" t="s">
        <v>16</v>
      </c>
      <c r="D15224" s="5" t="s">
        <v>14665</v>
      </c>
      <c r="E15224" s="6" t="str">
        <f>HYPERLINK("https://twitter.com/petrogustavo/status/1410268706811285511","1410268706811285511")</f>
        <v>1410268706811285511</v>
      </c>
      <c r="F15224" s="7" t="s">
        <v>17</v>
      </c>
      <c r="G15224" s="7">
        <v>4321273</v>
      </c>
      <c r="H15224" s="7">
        <v>2526</v>
      </c>
      <c r="I15224" s="7">
        <v>440</v>
      </c>
      <c r="J15224" s="7">
        <v>0</v>
      </c>
      <c r="K15224" s="7" t="s">
        <v>18</v>
      </c>
      <c r="L15224" s="8">
        <v>39987.315405092595</v>
      </c>
      <c r="M15224" s="9" t="s">
        <v>19</v>
      </c>
      <c r="N15224" s="9" t="s">
        <v>20</v>
      </c>
      <c r="O15224" s="6" t="str">
        <f>HYPERLINK("https://pbs.twimg.com/profile_images/962471262747529216/Uo8lOkRJ_normal.jpg","View")</f>
        <v>View</v>
      </c>
      <c r="P15224" s="7"/>
    </row>
    <row r="15225" spans="1:16">
      <c r="A15225" s="3">
        <v>44377.901099537034</v>
      </c>
      <c r="B15225" s="4" t="str">
        <f>HYPERLINK("https://twitter.com/petrogustavo","@petrogustavo")</f>
        <v>@petrogustavo</v>
      </c>
      <c r="C15225" s="5" t="s">
        <v>16</v>
      </c>
      <c r="D15225" s="5" t="s">
        <v>14666</v>
      </c>
      <c r="E15225" s="6" t="str">
        <f>HYPERLINK("https://twitter.com/petrogustavo/status/1410268788239519746","1410268788239519746")</f>
        <v>1410268788239519746</v>
      </c>
      <c r="F15225" s="7" t="s">
        <v>17</v>
      </c>
      <c r="G15225" s="7">
        <v>4321273</v>
      </c>
      <c r="H15225" s="7">
        <v>2526</v>
      </c>
      <c r="I15225" s="7">
        <v>1962</v>
      </c>
      <c r="J15225" s="7">
        <v>0</v>
      </c>
      <c r="K15225" s="7" t="s">
        <v>18</v>
      </c>
      <c r="L15225" s="8">
        <v>39987.315405092595</v>
      </c>
      <c r="M15225" s="9" t="s">
        <v>19</v>
      </c>
      <c r="N15225" s="9" t="s">
        <v>20</v>
      </c>
      <c r="O15225" s="6" t="str">
        <f>HYPERLINK("https://pbs.twimg.com/profile_images/962471262747529216/Uo8lOkRJ_normal.jpg","View")</f>
        <v>View</v>
      </c>
      <c r="P15225" s="7"/>
    </row>
    <row r="15226" spans="1:16">
      <c r="A15226" s="3">
        <v>44377.902557870373</v>
      </c>
      <c r="B15226" s="4" t="str">
        <f>HYPERLINK("https://twitter.com/petrogustavo","@petrogustavo")</f>
        <v>@petrogustavo</v>
      </c>
      <c r="C15226" s="5" t="s">
        <v>16</v>
      </c>
      <c r="D15226" s="5" t="s">
        <v>14667</v>
      </c>
      <c r="E15226" s="6" t="str">
        <f>HYPERLINK("https://twitter.com/petrogustavo/status/1410269315639689218","1410269315639689218")</f>
        <v>1410269315639689218</v>
      </c>
      <c r="F15226" s="7" t="s">
        <v>17</v>
      </c>
      <c r="G15226" s="7">
        <v>4321273</v>
      </c>
      <c r="H15226" s="7">
        <v>2526</v>
      </c>
      <c r="I15226" s="7">
        <v>55</v>
      </c>
      <c r="J15226" s="7">
        <v>0</v>
      </c>
      <c r="K15226" s="7" t="s">
        <v>18</v>
      </c>
      <c r="L15226" s="8">
        <v>39987.315405092595</v>
      </c>
      <c r="M15226" s="9" t="s">
        <v>19</v>
      </c>
      <c r="N15226" s="9" t="s">
        <v>20</v>
      </c>
      <c r="O15226" s="6" t="str">
        <f>HYPERLINK("https://pbs.twimg.com/profile_images/962471262747529216/Uo8lOkRJ_normal.jpg","View")</f>
        <v>View</v>
      </c>
      <c r="P15226" s="7"/>
    </row>
    <row r="15227" spans="1:16">
      <c r="A15227" s="3">
        <v>44377.907407407409</v>
      </c>
      <c r="B15227" s="4" t="str">
        <f>HYPERLINK("https://twitter.com/petrogustavo","@petrogustavo")</f>
        <v>@petrogustavo</v>
      </c>
      <c r="C15227" s="5" t="s">
        <v>16</v>
      </c>
      <c r="D15227" s="5" t="s">
        <v>14668</v>
      </c>
      <c r="E15227" s="6" t="str">
        <f>HYPERLINK("https://twitter.com/petrogustavo/status/1410271073489326083","1410271073489326083")</f>
        <v>1410271073489326083</v>
      </c>
      <c r="F15227" s="7" t="s">
        <v>17</v>
      </c>
      <c r="G15227" s="7">
        <v>4321273</v>
      </c>
      <c r="H15227" s="7">
        <v>2526</v>
      </c>
      <c r="I15227" s="7">
        <v>89</v>
      </c>
      <c r="J15227" s="7">
        <v>0</v>
      </c>
      <c r="K15227" s="7" t="s">
        <v>18</v>
      </c>
      <c r="L15227" s="8">
        <v>39987.315405092595</v>
      </c>
      <c r="M15227" s="9" t="s">
        <v>19</v>
      </c>
      <c r="N15227" s="9" t="s">
        <v>20</v>
      </c>
      <c r="O15227" s="6" t="str">
        <f>HYPERLINK("https://pbs.twimg.com/profile_images/962471262747529216/Uo8lOkRJ_normal.jpg","View")</f>
        <v>View</v>
      </c>
      <c r="P15227" s="7"/>
    </row>
    <row r="15228" spans="1:16">
      <c r="A15228" s="3">
        <v>44377.907627314809</v>
      </c>
      <c r="B15228" s="4" t="str">
        <f>HYPERLINK("https://twitter.com/petrogustavo","@petrogustavo")</f>
        <v>@petrogustavo</v>
      </c>
      <c r="C15228" s="5" t="s">
        <v>16</v>
      </c>
      <c r="D15228" s="5" t="s">
        <v>14669</v>
      </c>
      <c r="E15228" s="6" t="str">
        <f>HYPERLINK("https://twitter.com/petrogustavo/status/1410271153873108995","1410271153873108995")</f>
        <v>1410271153873108995</v>
      </c>
      <c r="F15228" s="7" t="s">
        <v>17</v>
      </c>
      <c r="G15228" s="7">
        <v>4321273</v>
      </c>
      <c r="H15228" s="7">
        <v>2526</v>
      </c>
      <c r="I15228" s="7">
        <v>381</v>
      </c>
      <c r="J15228" s="7">
        <v>0</v>
      </c>
      <c r="K15228" s="7" t="s">
        <v>18</v>
      </c>
      <c r="L15228" s="8">
        <v>39987.315405092595</v>
      </c>
      <c r="M15228" s="9" t="s">
        <v>19</v>
      </c>
      <c r="N15228" s="9" t="s">
        <v>20</v>
      </c>
      <c r="O15228" s="6" t="str">
        <f>HYPERLINK("https://pbs.twimg.com/profile_images/962471262747529216/Uo8lOkRJ_normal.jpg","View")</f>
        <v>View</v>
      </c>
      <c r="P15228" s="7"/>
    </row>
    <row r="15229" spans="1:16">
      <c r="A15229" s="3">
        <v>44377.908460648148</v>
      </c>
      <c r="B15229" s="4" t="str">
        <f>HYPERLINK("https://twitter.com/petrogustavo","@petrogustavo")</f>
        <v>@petrogustavo</v>
      </c>
      <c r="C15229" s="5" t="s">
        <v>16</v>
      </c>
      <c r="D15229" s="5" t="s">
        <v>14670</v>
      </c>
      <c r="E15229" s="6" t="str">
        <f>HYPERLINK("https://twitter.com/petrogustavo/status/1410271457779892235","1410271457779892235")</f>
        <v>1410271457779892235</v>
      </c>
      <c r="F15229" s="7" t="s">
        <v>17</v>
      </c>
      <c r="G15229" s="7">
        <v>4321273</v>
      </c>
      <c r="H15229" s="7">
        <v>2526</v>
      </c>
      <c r="I15229" s="7">
        <v>1387</v>
      </c>
      <c r="J15229" s="7">
        <v>0</v>
      </c>
      <c r="K15229" s="7" t="s">
        <v>18</v>
      </c>
      <c r="L15229" s="8">
        <v>39987.315405092595</v>
      </c>
      <c r="M15229" s="9" t="s">
        <v>19</v>
      </c>
      <c r="N15229" s="9" t="s">
        <v>20</v>
      </c>
      <c r="O15229" s="6" t="str">
        <f>HYPERLINK("https://pbs.twimg.com/profile_images/962471262747529216/Uo8lOkRJ_normal.jpg","View")</f>
        <v>View</v>
      </c>
      <c r="P15229" s="7"/>
    </row>
    <row r="15230" spans="1:16">
      <c r="A15230" s="3">
        <v>44377.908634259264</v>
      </c>
      <c r="B15230" s="4" t="str">
        <f>HYPERLINK("https://twitter.com/petrogustavo","@petrogustavo")</f>
        <v>@petrogustavo</v>
      </c>
      <c r="C15230" s="5" t="s">
        <v>16</v>
      </c>
      <c r="D15230" s="5" t="s">
        <v>14671</v>
      </c>
      <c r="E15230" s="6" t="str">
        <f>HYPERLINK("https://twitter.com/petrogustavo/status/1410271518169440265","1410271518169440265")</f>
        <v>1410271518169440265</v>
      </c>
      <c r="F15230" s="7" t="s">
        <v>17</v>
      </c>
      <c r="G15230" s="7">
        <v>4321273</v>
      </c>
      <c r="H15230" s="7">
        <v>2526</v>
      </c>
      <c r="I15230" s="7">
        <v>92</v>
      </c>
      <c r="J15230" s="7">
        <v>0</v>
      </c>
      <c r="K15230" s="7" t="s">
        <v>18</v>
      </c>
      <c r="L15230" s="8">
        <v>39987.315405092595</v>
      </c>
      <c r="M15230" s="9" t="s">
        <v>19</v>
      </c>
      <c r="N15230" s="9" t="s">
        <v>20</v>
      </c>
      <c r="O15230" s="6" t="str">
        <f>HYPERLINK("https://pbs.twimg.com/profile_images/962471262747529216/Uo8lOkRJ_normal.jpg","View")</f>
        <v>View</v>
      </c>
      <c r="P15230" s="7"/>
    </row>
    <row r="15231" spans="1:16">
      <c r="A15231" s="3">
        <v>44377.910509259258</v>
      </c>
      <c r="B15231" s="4" t="str">
        <f>HYPERLINK("https://twitter.com/petrogustavo","@petrogustavo")</f>
        <v>@petrogustavo</v>
      </c>
      <c r="C15231" s="5" t="s">
        <v>16</v>
      </c>
      <c r="D15231" s="5" t="s">
        <v>14672</v>
      </c>
      <c r="E15231" s="6" t="str">
        <f>HYPERLINK("https://twitter.com/petrogustavo/status/1410272197084651526","1410272197084651526")</f>
        <v>1410272197084651526</v>
      </c>
      <c r="F15231" s="7" t="s">
        <v>17</v>
      </c>
      <c r="G15231" s="7">
        <v>4321273</v>
      </c>
      <c r="H15231" s="7">
        <v>2526</v>
      </c>
      <c r="I15231" s="7">
        <v>1680</v>
      </c>
      <c r="J15231" s="7">
        <v>0</v>
      </c>
      <c r="K15231" s="7" t="s">
        <v>18</v>
      </c>
      <c r="L15231" s="8">
        <v>39987.315405092595</v>
      </c>
      <c r="M15231" s="9" t="s">
        <v>19</v>
      </c>
      <c r="N15231" s="9" t="s">
        <v>20</v>
      </c>
      <c r="O15231" s="6" t="str">
        <f>HYPERLINK("https://pbs.twimg.com/profile_images/962471262747529216/Uo8lOkRJ_normal.jpg","View")</f>
        <v>View</v>
      </c>
      <c r="P15231" s="7"/>
    </row>
    <row r="15232" spans="1:16">
      <c r="A15232" s="3">
        <v>44377.910590277781</v>
      </c>
      <c r="B15232" s="4" t="str">
        <f>HYPERLINK("https://twitter.com/petrogustavo","@petrogustavo")</f>
        <v>@petrogustavo</v>
      </c>
      <c r="C15232" s="5" t="s">
        <v>16</v>
      </c>
      <c r="D15232" s="5" t="s">
        <v>14673</v>
      </c>
      <c r="E15232" s="6" t="str">
        <f>HYPERLINK("https://twitter.com/petrogustavo/status/1410272229045243904","1410272229045243904")</f>
        <v>1410272229045243904</v>
      </c>
      <c r="F15232" s="7" t="s">
        <v>17</v>
      </c>
      <c r="G15232" s="7">
        <v>4321273</v>
      </c>
      <c r="H15232" s="7">
        <v>2526</v>
      </c>
      <c r="I15232" s="7">
        <v>46</v>
      </c>
      <c r="J15232" s="7">
        <v>0</v>
      </c>
      <c r="K15232" s="7" t="s">
        <v>18</v>
      </c>
      <c r="L15232" s="8">
        <v>39987.315405092595</v>
      </c>
      <c r="M15232" s="9" t="s">
        <v>19</v>
      </c>
      <c r="N15232" s="9" t="s">
        <v>20</v>
      </c>
      <c r="O15232" s="6" t="str">
        <f>HYPERLINK("https://pbs.twimg.com/profile_images/962471262747529216/Uo8lOkRJ_normal.jpg","View")</f>
        <v>View</v>
      </c>
      <c r="P15232" s="7"/>
    </row>
    <row r="15233" spans="1:16">
      <c r="A15233" s="3">
        <v>44377.911863425921</v>
      </c>
      <c r="B15233" s="4" t="str">
        <f>HYPERLINK("https://twitter.com/petrogustavo","@petrogustavo")</f>
        <v>@petrogustavo</v>
      </c>
      <c r="C15233" s="5" t="s">
        <v>16</v>
      </c>
      <c r="D15233" s="5" t="s">
        <v>14674</v>
      </c>
      <c r="E15233" s="6" t="str">
        <f>HYPERLINK("https://twitter.com/petrogustavo/status/1410272691618299905","1410272691618299905")</f>
        <v>1410272691618299905</v>
      </c>
      <c r="F15233" s="7" t="s">
        <v>17</v>
      </c>
      <c r="G15233" s="7">
        <v>4321273</v>
      </c>
      <c r="H15233" s="7">
        <v>2526</v>
      </c>
      <c r="I15233" s="7">
        <v>166</v>
      </c>
      <c r="J15233" s="7">
        <v>598</v>
      </c>
      <c r="K15233" s="7" t="s">
        <v>18</v>
      </c>
      <c r="L15233" s="8">
        <v>39987.315405092595</v>
      </c>
      <c r="M15233" s="9" t="s">
        <v>19</v>
      </c>
      <c r="N15233" s="9" t="s">
        <v>20</v>
      </c>
      <c r="O15233" s="6" t="str">
        <f>HYPERLINK("https://pbs.twimg.com/profile_images/962471262747529216/Uo8lOkRJ_normal.jpg","View")</f>
        <v>View</v>
      </c>
      <c r="P15233" s="7"/>
    </row>
    <row r="15234" spans="1:16">
      <c r="A15234" s="3">
        <v>44377.912280092598</v>
      </c>
      <c r="B15234" s="4" t="str">
        <f>HYPERLINK("https://twitter.com/petrogustavo","@petrogustavo")</f>
        <v>@petrogustavo</v>
      </c>
      <c r="C15234" s="5" t="s">
        <v>16</v>
      </c>
      <c r="D15234" s="5" t="s">
        <v>14675</v>
      </c>
      <c r="E15234" s="6" t="str">
        <f>HYPERLINK("https://twitter.com/petrogustavo/status/1410272842713907203","1410272842713907203")</f>
        <v>1410272842713907203</v>
      </c>
      <c r="F15234" s="7" t="s">
        <v>17</v>
      </c>
      <c r="G15234" s="7">
        <v>4321273</v>
      </c>
      <c r="H15234" s="7">
        <v>2526</v>
      </c>
      <c r="I15234" s="7">
        <v>91</v>
      </c>
      <c r="J15234" s="7">
        <v>273</v>
      </c>
      <c r="K15234" s="7" t="s">
        <v>18</v>
      </c>
      <c r="L15234" s="8">
        <v>39987.315405092595</v>
      </c>
      <c r="M15234" s="9" t="s">
        <v>19</v>
      </c>
      <c r="N15234" s="9" t="s">
        <v>20</v>
      </c>
      <c r="O15234" s="6" t="str">
        <f>HYPERLINK("https://pbs.twimg.com/profile_images/962471262747529216/Uo8lOkRJ_normal.jpg","View")</f>
        <v>View</v>
      </c>
      <c r="P15234" s="7"/>
    </row>
    <row r="15235" spans="1:16">
      <c r="A15235" s="3">
        <v>44377.912835648152</v>
      </c>
      <c r="B15235" s="4" t="str">
        <f>HYPERLINK("https://twitter.com/petrogustavo","@petrogustavo")</f>
        <v>@petrogustavo</v>
      </c>
      <c r="C15235" s="5" t="s">
        <v>16</v>
      </c>
      <c r="D15235" s="5" t="s">
        <v>14676</v>
      </c>
      <c r="E15235" s="6" t="str">
        <f>HYPERLINK("https://twitter.com/petrogustavo/status/1410273040663990274","1410273040663990274")</f>
        <v>1410273040663990274</v>
      </c>
      <c r="F15235" s="7" t="s">
        <v>17</v>
      </c>
      <c r="G15235" s="7">
        <v>4321273</v>
      </c>
      <c r="H15235" s="7">
        <v>2526</v>
      </c>
      <c r="I15235" s="7">
        <v>116</v>
      </c>
      <c r="J15235" s="7">
        <v>305</v>
      </c>
      <c r="K15235" s="7" t="s">
        <v>18</v>
      </c>
      <c r="L15235" s="8">
        <v>39987.315405092595</v>
      </c>
      <c r="M15235" s="9" t="s">
        <v>19</v>
      </c>
      <c r="N15235" s="9" t="s">
        <v>20</v>
      </c>
      <c r="O15235" s="6" t="str">
        <f>HYPERLINK("https://pbs.twimg.com/profile_images/962471262747529216/Uo8lOkRJ_normal.jpg","View")</f>
        <v>View</v>
      </c>
      <c r="P15235" s="7"/>
    </row>
    <row r="15236" spans="1:16">
      <c r="A15236" s="3">
        <v>44377.91375</v>
      </c>
      <c r="B15236" s="4" t="str">
        <f>HYPERLINK("https://twitter.com/petrogustavo","@petrogustavo")</f>
        <v>@petrogustavo</v>
      </c>
      <c r="C15236" s="5" t="s">
        <v>16</v>
      </c>
      <c r="D15236" s="5" t="s">
        <v>14677</v>
      </c>
      <c r="E15236" s="6" t="str">
        <f>HYPERLINK("https://twitter.com/petrogustavo/status/1410273372659982336","1410273372659982336")</f>
        <v>1410273372659982336</v>
      </c>
      <c r="F15236" s="7" t="s">
        <v>17</v>
      </c>
      <c r="G15236" s="7">
        <v>4321273</v>
      </c>
      <c r="H15236" s="7">
        <v>2526</v>
      </c>
      <c r="I15236" s="7">
        <v>65</v>
      </c>
      <c r="J15236" s="7">
        <v>168</v>
      </c>
      <c r="K15236" s="7" t="s">
        <v>18</v>
      </c>
      <c r="L15236" s="8">
        <v>39987.315405092595</v>
      </c>
      <c r="M15236" s="9" t="s">
        <v>19</v>
      </c>
      <c r="N15236" s="9" t="s">
        <v>20</v>
      </c>
      <c r="O15236" s="6" t="str">
        <f>HYPERLINK("https://pbs.twimg.com/profile_images/962471262747529216/Uo8lOkRJ_normal.jpg","View")</f>
        <v>View</v>
      </c>
      <c r="P15236" s="7"/>
    </row>
    <row r="15237" spans="1:16">
      <c r="A15237" s="3">
        <v>44377.914340277777</v>
      </c>
      <c r="B15237" s="4" t="str">
        <f>HYPERLINK("https://twitter.com/petrogustavo","@petrogustavo")</f>
        <v>@petrogustavo</v>
      </c>
      <c r="C15237" s="5" t="s">
        <v>16</v>
      </c>
      <c r="D15237" s="5" t="s">
        <v>14678</v>
      </c>
      <c r="E15237" s="6" t="str">
        <f>HYPERLINK("https://twitter.com/petrogustavo/status/1410273589048266761","1410273589048266761")</f>
        <v>1410273589048266761</v>
      </c>
      <c r="F15237" s="7" t="s">
        <v>17</v>
      </c>
      <c r="G15237" s="7">
        <v>4321273</v>
      </c>
      <c r="H15237" s="7">
        <v>2526</v>
      </c>
      <c r="I15237" s="7">
        <v>86</v>
      </c>
      <c r="J15237" s="7">
        <v>249</v>
      </c>
      <c r="K15237" s="7" t="s">
        <v>18</v>
      </c>
      <c r="L15237" s="8">
        <v>39987.315405092595</v>
      </c>
      <c r="M15237" s="9" t="s">
        <v>19</v>
      </c>
      <c r="N15237" s="9" t="s">
        <v>20</v>
      </c>
      <c r="O15237" s="6" t="str">
        <f>HYPERLINK("https://pbs.twimg.com/profile_images/962471262747529216/Uo8lOkRJ_normal.jpg","View")</f>
        <v>View</v>
      </c>
      <c r="P15237" s="7"/>
    </row>
    <row r="15238" spans="1:16">
      <c r="A15238" s="3">
        <v>44378.093518518523</v>
      </c>
      <c r="B15238" s="4" t="str">
        <f>HYPERLINK("https://twitter.com/petrogustavo","@petrogustavo")</f>
        <v>@petrogustavo</v>
      </c>
      <c r="C15238" s="5" t="s">
        <v>16</v>
      </c>
      <c r="D15238" s="5" t="s">
        <v>14679</v>
      </c>
      <c r="E15238" s="6" t="str">
        <f>HYPERLINK("https://twitter.com/petrogustavo/status/1410338521416712196","1410338521416712196")</f>
        <v>1410338521416712196</v>
      </c>
      <c r="F15238" s="7" t="s">
        <v>17</v>
      </c>
      <c r="G15238" s="7">
        <v>4321453</v>
      </c>
      <c r="H15238" s="7">
        <v>2526</v>
      </c>
      <c r="I15238" s="7">
        <v>276</v>
      </c>
      <c r="J15238" s="7">
        <v>459</v>
      </c>
      <c r="K15238" s="7" t="s">
        <v>18</v>
      </c>
      <c r="L15238" s="8">
        <v>39987.315405092595</v>
      </c>
      <c r="M15238" s="9" t="s">
        <v>19</v>
      </c>
      <c r="N15238" s="9" t="s">
        <v>20</v>
      </c>
      <c r="O15238" s="6" t="str">
        <f>HYPERLINK("https://pbs.twimg.com/profile_images/962471262747529216/Uo8lOkRJ_normal.jpg","View")</f>
        <v>View</v>
      </c>
      <c r="P15238" s="7"/>
    </row>
    <row r="15239" spans="1:16">
      <c r="A15239" s="3">
        <v>44378.106157407412</v>
      </c>
      <c r="B15239" s="4" t="str">
        <f>HYPERLINK("https://twitter.com/petrogustavo","@petrogustavo")</f>
        <v>@petrogustavo</v>
      </c>
      <c r="C15239" s="5" t="s">
        <v>16</v>
      </c>
      <c r="D15239" s="5" t="s">
        <v>14680</v>
      </c>
      <c r="E15239" s="6" t="str">
        <f>HYPERLINK("https://twitter.com/petrogustavo/status/1410343099168067588","1410343099168067588")</f>
        <v>1410343099168067588</v>
      </c>
      <c r="F15239" s="7" t="s">
        <v>17</v>
      </c>
      <c r="G15239" s="7">
        <v>4321453</v>
      </c>
      <c r="H15239" s="7">
        <v>2526</v>
      </c>
      <c r="I15239" s="7">
        <v>239</v>
      </c>
      <c r="J15239" s="7">
        <v>0</v>
      </c>
      <c r="K15239" s="7" t="s">
        <v>18</v>
      </c>
      <c r="L15239" s="8">
        <v>39987.315405092595</v>
      </c>
      <c r="M15239" s="9" t="s">
        <v>19</v>
      </c>
      <c r="N15239" s="9" t="s">
        <v>20</v>
      </c>
      <c r="O15239" s="6" t="str">
        <f>HYPERLINK("https://pbs.twimg.com/profile_images/962471262747529216/Uo8lOkRJ_normal.jpg","View")</f>
        <v>View</v>
      </c>
      <c r="P15239" s="7"/>
    </row>
    <row r="15240" spans="1:16">
      <c r="A15240" s="3">
        <v>44378.115624999999</v>
      </c>
      <c r="B15240" s="4" t="str">
        <f>HYPERLINK("https://twitter.com/petrogustavo","@petrogustavo")</f>
        <v>@petrogustavo</v>
      </c>
      <c r="C15240" s="5" t="s">
        <v>16</v>
      </c>
      <c r="D15240" s="5" t="s">
        <v>14681</v>
      </c>
      <c r="E15240" s="6" t="str">
        <f>HYPERLINK("https://twitter.com/petrogustavo/status/1410346532092719104","1410346532092719104")</f>
        <v>1410346532092719104</v>
      </c>
      <c r="F15240" s="7" t="s">
        <v>17</v>
      </c>
      <c r="G15240" s="7">
        <v>4321475</v>
      </c>
      <c r="H15240" s="7">
        <v>2527</v>
      </c>
      <c r="I15240" s="7">
        <v>122</v>
      </c>
      <c r="J15240" s="7">
        <v>405</v>
      </c>
      <c r="K15240" s="7" t="s">
        <v>18</v>
      </c>
      <c r="L15240" s="8">
        <v>39987.315405092595</v>
      </c>
      <c r="M15240" s="9" t="s">
        <v>19</v>
      </c>
      <c r="N15240" s="9" t="s">
        <v>20</v>
      </c>
      <c r="O15240" s="6" t="str">
        <f>HYPERLINK("https://pbs.twimg.com/profile_images/962471262747529216/Uo8lOkRJ_normal.jpg","View")</f>
        <v>View</v>
      </c>
      <c r="P15240" s="7"/>
    </row>
    <row r="15241" spans="1:16">
      <c r="A15241" s="3">
        <v>44378.153726851851</v>
      </c>
      <c r="B15241" s="4" t="str">
        <f>HYPERLINK("https://twitter.com/petrogustavo","@petrogustavo")</f>
        <v>@petrogustavo</v>
      </c>
      <c r="C15241" s="5" t="s">
        <v>16</v>
      </c>
      <c r="D15241" s="5" t="s">
        <v>14682</v>
      </c>
      <c r="E15241" s="6" t="str">
        <f>HYPERLINK("https://twitter.com/petrogustavo/status/1410360337010995206","1410360337010995206")</f>
        <v>1410360337010995206</v>
      </c>
      <c r="F15241" s="7" t="s">
        <v>17</v>
      </c>
      <c r="G15241" s="7">
        <v>4321493</v>
      </c>
      <c r="H15241" s="7">
        <v>2527</v>
      </c>
      <c r="I15241" s="7">
        <v>489</v>
      </c>
      <c r="J15241" s="7">
        <v>0</v>
      </c>
      <c r="K15241" s="7" t="s">
        <v>18</v>
      </c>
      <c r="L15241" s="8">
        <v>39987.315405092595</v>
      </c>
      <c r="M15241" s="9" t="s">
        <v>19</v>
      </c>
      <c r="N15241" s="9" t="s">
        <v>20</v>
      </c>
      <c r="O15241" s="6" t="str">
        <f>HYPERLINK("https://pbs.twimg.com/profile_images/962471262747529216/Uo8lOkRJ_normal.jpg","View")</f>
        <v>View</v>
      </c>
      <c r="P15241" s="7"/>
    </row>
    <row r="15242" spans="1:16">
      <c r="A15242" s="3">
        <v>44378.165868055556</v>
      </c>
      <c r="B15242" s="4" t="str">
        <f>HYPERLINK("https://twitter.com/petrogustavo","@petrogustavo")</f>
        <v>@petrogustavo</v>
      </c>
      <c r="C15242" s="5" t="s">
        <v>16</v>
      </c>
      <c r="D15242" s="5" t="s">
        <v>14683</v>
      </c>
      <c r="E15242" s="6" t="str">
        <f>HYPERLINK("https://twitter.com/petrogustavo/status/1410364736793976837","1410364736793976837")</f>
        <v>1410364736793976837</v>
      </c>
      <c r="F15242" s="7" t="s">
        <v>17</v>
      </c>
      <c r="G15242" s="7">
        <v>4321493</v>
      </c>
      <c r="H15242" s="7">
        <v>2527</v>
      </c>
      <c r="I15242" s="7">
        <v>59</v>
      </c>
      <c r="J15242" s="7">
        <v>109</v>
      </c>
      <c r="K15242" s="7" t="s">
        <v>18</v>
      </c>
      <c r="L15242" s="8">
        <v>39987.315405092595</v>
      </c>
      <c r="M15242" s="9" t="s">
        <v>19</v>
      </c>
      <c r="N15242" s="9" t="s">
        <v>20</v>
      </c>
      <c r="O15242" s="6" t="str">
        <f>HYPERLINK("https://pbs.twimg.com/profile_images/962471262747529216/Uo8lOkRJ_normal.jpg","View")</f>
        <v>View</v>
      </c>
      <c r="P15242" s="7"/>
    </row>
    <row r="15243" spans="1:16">
      <c r="A15243" s="3">
        <v>44378.165868055556</v>
      </c>
      <c r="B15243" s="4" t="str">
        <f>HYPERLINK("https://twitter.com/petrogustavo","@petrogustavo")</f>
        <v>@petrogustavo</v>
      </c>
      <c r="C15243" s="5" t="s">
        <v>16</v>
      </c>
      <c r="D15243" s="5" t="s">
        <v>14684</v>
      </c>
      <c r="E15243" s="6" t="str">
        <f>HYPERLINK("https://twitter.com/petrogustavo/status/1410364738450694145","1410364738450694145")</f>
        <v>1410364738450694145</v>
      </c>
      <c r="F15243" s="7" t="s">
        <v>17</v>
      </c>
      <c r="G15243" s="7">
        <v>4321493</v>
      </c>
      <c r="H15243" s="7">
        <v>2527</v>
      </c>
      <c r="I15243" s="7">
        <v>6</v>
      </c>
      <c r="J15243" s="7">
        <v>18</v>
      </c>
      <c r="K15243" s="7" t="s">
        <v>18</v>
      </c>
      <c r="L15243" s="8">
        <v>39987.315405092595</v>
      </c>
      <c r="M15243" s="9" t="s">
        <v>19</v>
      </c>
      <c r="N15243" s="9" t="s">
        <v>20</v>
      </c>
      <c r="O15243" s="6" t="str">
        <f>HYPERLINK("https://pbs.twimg.com/profile_images/962471262747529216/Uo8lOkRJ_normal.jpg","View")</f>
        <v>View</v>
      </c>
      <c r="P15243" s="7"/>
    </row>
    <row r="15244" spans="1:16">
      <c r="A15244" s="3">
        <v>44378.165868055556</v>
      </c>
      <c r="B15244" s="4" t="str">
        <f>HYPERLINK("https://twitter.com/petrogustavo","@petrogustavo")</f>
        <v>@petrogustavo</v>
      </c>
      <c r="C15244" s="5" t="s">
        <v>16</v>
      </c>
      <c r="D15244" s="5" t="s">
        <v>14685</v>
      </c>
      <c r="E15244" s="6" t="str">
        <f>HYPERLINK("https://twitter.com/petrogustavo/status/1410364739885150210","1410364739885150210")</f>
        <v>1410364739885150210</v>
      </c>
      <c r="F15244" s="7" t="s">
        <v>17</v>
      </c>
      <c r="G15244" s="7">
        <v>4321493</v>
      </c>
      <c r="H15244" s="7">
        <v>2527</v>
      </c>
      <c r="I15244" s="7">
        <v>6</v>
      </c>
      <c r="J15244" s="7">
        <v>16</v>
      </c>
      <c r="K15244" s="7" t="s">
        <v>18</v>
      </c>
      <c r="L15244" s="8">
        <v>39987.315405092595</v>
      </c>
      <c r="M15244" s="9" t="s">
        <v>19</v>
      </c>
      <c r="N15244" s="9" t="s">
        <v>20</v>
      </c>
      <c r="O15244" s="6" t="str">
        <f>HYPERLINK("https://pbs.twimg.com/profile_images/962471262747529216/Uo8lOkRJ_normal.jpg","View")</f>
        <v>View</v>
      </c>
      <c r="P15244" s="7"/>
    </row>
    <row r="15245" spans="1:16">
      <c r="A15245" s="3">
        <v>44378.165879629625</v>
      </c>
      <c r="B15245" s="4" t="str">
        <f>HYPERLINK("https://twitter.com/petrogustavo","@petrogustavo")</f>
        <v>@petrogustavo</v>
      </c>
      <c r="C15245" s="5" t="s">
        <v>16</v>
      </c>
      <c r="D15245" s="5" t="s">
        <v>14686</v>
      </c>
      <c r="E15245" s="6" t="str">
        <f>HYPERLINK("https://twitter.com/petrogustavo/status/1410364741764235268","1410364741764235268")</f>
        <v>1410364741764235268</v>
      </c>
      <c r="F15245" s="7" t="s">
        <v>17</v>
      </c>
      <c r="G15245" s="7">
        <v>4321493</v>
      </c>
      <c r="H15245" s="7">
        <v>2527</v>
      </c>
      <c r="I15245" s="7">
        <v>20</v>
      </c>
      <c r="J15245" s="7">
        <v>54</v>
      </c>
      <c r="K15245" s="7" t="s">
        <v>18</v>
      </c>
      <c r="L15245" s="8">
        <v>39987.315405092595</v>
      </c>
      <c r="M15245" s="9" t="s">
        <v>19</v>
      </c>
      <c r="N15245" s="9" t="s">
        <v>20</v>
      </c>
      <c r="O15245" s="6" t="str">
        <f>HYPERLINK("https://pbs.twimg.com/profile_images/962471262747529216/Uo8lOkRJ_normal.jpg","View")</f>
        <v>View</v>
      </c>
      <c r="P15245" s="7"/>
    </row>
    <row r="15246" spans="1:16">
      <c r="A15246" s="3">
        <v>44378.165879629625</v>
      </c>
      <c r="B15246" s="4" t="str">
        <f>HYPERLINK("https://twitter.com/petrogustavo","@petrogustavo")</f>
        <v>@petrogustavo</v>
      </c>
      <c r="C15246" s="5" t="s">
        <v>16</v>
      </c>
      <c r="D15246" s="5" t="s">
        <v>14687</v>
      </c>
      <c r="E15246" s="6" t="str">
        <f>HYPERLINK("https://twitter.com/petrogustavo/status/1410364743337062400","1410364743337062400")</f>
        <v>1410364743337062400</v>
      </c>
      <c r="F15246" s="7" t="s">
        <v>17</v>
      </c>
      <c r="G15246" s="7">
        <v>4321493</v>
      </c>
      <c r="H15246" s="7">
        <v>2527</v>
      </c>
      <c r="I15246" s="7">
        <v>17</v>
      </c>
      <c r="J15246" s="7">
        <v>51</v>
      </c>
      <c r="K15246" s="7" t="s">
        <v>18</v>
      </c>
      <c r="L15246" s="8">
        <v>39987.315405092595</v>
      </c>
      <c r="M15246" s="9" t="s">
        <v>19</v>
      </c>
      <c r="N15246" s="9" t="s">
        <v>20</v>
      </c>
      <c r="O15246" s="6" t="str">
        <f>HYPERLINK("https://pbs.twimg.com/profile_images/962471262747529216/Uo8lOkRJ_normal.jpg","View")</f>
        <v>View</v>
      </c>
      <c r="P15246" s="7"/>
    </row>
    <row r="15247" spans="1:16">
      <c r="A15247" s="3">
        <v>44378.691168981481</v>
      </c>
      <c r="B15247" s="4" t="str">
        <f>HYPERLINK("https://twitter.com/petrogustavo","@petrogustavo")</f>
        <v>@petrogustavo</v>
      </c>
      <c r="C15247" s="5" t="s">
        <v>16</v>
      </c>
      <c r="D15247" s="5" t="s">
        <v>14688</v>
      </c>
      <c r="E15247" s="6" t="str">
        <f>HYPERLINK("https://twitter.com/petrogustavo/status/1410555099806584834","1410555099806584834")</f>
        <v>1410555099806584834</v>
      </c>
      <c r="F15247" s="7" t="s">
        <v>17</v>
      </c>
      <c r="G15247" s="7">
        <v>4321850</v>
      </c>
      <c r="H15247" s="7">
        <v>2528</v>
      </c>
      <c r="I15247" s="7">
        <v>29</v>
      </c>
      <c r="J15247" s="7">
        <v>0</v>
      </c>
      <c r="K15247" s="7" t="s">
        <v>18</v>
      </c>
      <c r="L15247" s="8">
        <v>39987.315405092595</v>
      </c>
      <c r="M15247" s="9" t="s">
        <v>19</v>
      </c>
      <c r="N15247" s="9" t="s">
        <v>20</v>
      </c>
      <c r="O15247" s="6" t="str">
        <f>HYPERLINK("https://pbs.twimg.com/profile_images/962471262747529216/Uo8lOkRJ_normal.jpg","View")</f>
        <v>View</v>
      </c>
      <c r="P15247" s="7"/>
    </row>
    <row r="15248" spans="1:16">
      <c r="A15248" s="3">
        <v>44378.696053240739</v>
      </c>
      <c r="B15248" s="4" t="str">
        <f>HYPERLINK("https://twitter.com/petrogustavo","@petrogustavo")</f>
        <v>@petrogustavo</v>
      </c>
      <c r="C15248" s="5" t="s">
        <v>16</v>
      </c>
      <c r="D15248" s="5" t="s">
        <v>14689</v>
      </c>
      <c r="E15248" s="6" t="str">
        <f>HYPERLINK("https://twitter.com/petrogustavo/status/1410556871497457665","1410556871497457665")</f>
        <v>1410556871497457665</v>
      </c>
      <c r="F15248" s="7" t="s">
        <v>17</v>
      </c>
      <c r="G15248" s="7">
        <v>4321850</v>
      </c>
      <c r="H15248" s="7">
        <v>2528</v>
      </c>
      <c r="I15248" s="7">
        <v>173</v>
      </c>
      <c r="J15248" s="7">
        <v>0</v>
      </c>
      <c r="K15248" s="7" t="s">
        <v>18</v>
      </c>
      <c r="L15248" s="8">
        <v>39987.315405092595</v>
      </c>
      <c r="M15248" s="9" t="s">
        <v>19</v>
      </c>
      <c r="N15248" s="9" t="s">
        <v>20</v>
      </c>
      <c r="O15248" s="6" t="str">
        <f>HYPERLINK("https://pbs.twimg.com/profile_images/962471262747529216/Uo8lOkRJ_normal.jpg","View")</f>
        <v>View</v>
      </c>
      <c r="P15248" s="7"/>
    </row>
    <row r="15249" spans="1:16">
      <c r="A15249" s="3">
        <v>44378.696574074071</v>
      </c>
      <c r="B15249" s="4" t="str">
        <f>HYPERLINK("https://twitter.com/petrogustavo","@petrogustavo")</f>
        <v>@petrogustavo</v>
      </c>
      <c r="C15249" s="5" t="s">
        <v>16</v>
      </c>
      <c r="D15249" s="5" t="s">
        <v>14690</v>
      </c>
      <c r="E15249" s="6" t="str">
        <f>HYPERLINK("https://twitter.com/petrogustavo/status/1410557061356830724","1410557061356830724")</f>
        <v>1410557061356830724</v>
      </c>
      <c r="F15249" s="7" t="s">
        <v>17</v>
      </c>
      <c r="G15249" s="7">
        <v>4321850</v>
      </c>
      <c r="H15249" s="7">
        <v>2528</v>
      </c>
      <c r="I15249" s="7">
        <v>264</v>
      </c>
      <c r="J15249" s="7">
        <v>0</v>
      </c>
      <c r="K15249" s="7" t="s">
        <v>18</v>
      </c>
      <c r="L15249" s="8">
        <v>39987.315405092595</v>
      </c>
      <c r="M15249" s="9" t="s">
        <v>19</v>
      </c>
      <c r="N15249" s="9" t="s">
        <v>20</v>
      </c>
      <c r="O15249" s="6" t="str">
        <f>HYPERLINK("https://pbs.twimg.com/profile_images/962471262747529216/Uo8lOkRJ_normal.jpg","View")</f>
        <v>View</v>
      </c>
      <c r="P15249" s="7"/>
    </row>
    <row r="15250" spans="1:16">
      <c r="A15250" s="3">
        <v>44378.69740740741</v>
      </c>
      <c r="B15250" s="4" t="str">
        <f>HYPERLINK("https://twitter.com/petrogustavo","@petrogustavo")</f>
        <v>@petrogustavo</v>
      </c>
      <c r="C15250" s="5" t="s">
        <v>16</v>
      </c>
      <c r="D15250" s="5" t="s">
        <v>14691</v>
      </c>
      <c r="E15250" s="6" t="str">
        <f>HYPERLINK("https://twitter.com/petrogustavo/status/1410557363111743489","1410557363111743489")</f>
        <v>1410557363111743489</v>
      </c>
      <c r="F15250" s="7" t="s">
        <v>17</v>
      </c>
      <c r="G15250" s="7">
        <v>4321850</v>
      </c>
      <c r="H15250" s="7">
        <v>2528</v>
      </c>
      <c r="I15250" s="7">
        <v>94</v>
      </c>
      <c r="J15250" s="7">
        <v>374</v>
      </c>
      <c r="K15250" s="7" t="s">
        <v>18</v>
      </c>
      <c r="L15250" s="8">
        <v>39987.315405092595</v>
      </c>
      <c r="M15250" s="9" t="s">
        <v>19</v>
      </c>
      <c r="N15250" s="9" t="s">
        <v>20</v>
      </c>
      <c r="O15250" s="6" t="str">
        <f>HYPERLINK("https://pbs.twimg.com/profile_images/962471262747529216/Uo8lOkRJ_normal.jpg","View")</f>
        <v>View</v>
      </c>
      <c r="P15250" s="7"/>
    </row>
    <row r="15251" spans="1:16">
      <c r="A15251" s="3">
        <v>44378.700960648144</v>
      </c>
      <c r="B15251" s="4" t="str">
        <f>HYPERLINK("https://twitter.com/petrogustavo","@petrogustavo")</f>
        <v>@petrogustavo</v>
      </c>
      <c r="C15251" s="5" t="s">
        <v>16</v>
      </c>
      <c r="D15251" s="5" t="s">
        <v>14692</v>
      </c>
      <c r="E15251" s="6" t="str">
        <f>HYPERLINK("https://twitter.com/petrogustavo/status/1410558648175190021","1410558648175190021")</f>
        <v>1410558648175190021</v>
      </c>
      <c r="F15251" s="7" t="s">
        <v>17</v>
      </c>
      <c r="G15251" s="7">
        <v>4321850</v>
      </c>
      <c r="H15251" s="7">
        <v>2528</v>
      </c>
      <c r="I15251" s="7">
        <v>185</v>
      </c>
      <c r="J15251" s="7">
        <v>472</v>
      </c>
      <c r="K15251" s="7" t="s">
        <v>18</v>
      </c>
      <c r="L15251" s="8">
        <v>39987.315405092595</v>
      </c>
      <c r="M15251" s="9" t="s">
        <v>19</v>
      </c>
      <c r="N15251" s="9" t="s">
        <v>20</v>
      </c>
      <c r="O15251" s="6" t="str">
        <f>HYPERLINK("https://pbs.twimg.com/profile_images/962471262747529216/Uo8lOkRJ_normal.jpg","View")</f>
        <v>View</v>
      </c>
      <c r="P15251" s="7"/>
    </row>
    <row r="15252" spans="1:16">
      <c r="A15252" s="3">
        <v>44378.703368055554</v>
      </c>
      <c r="B15252" s="4" t="str">
        <f>HYPERLINK("https://twitter.com/petrogustavo","@petrogustavo")</f>
        <v>@petrogustavo</v>
      </c>
      <c r="C15252" s="5" t="s">
        <v>16</v>
      </c>
      <c r="D15252" s="5" t="s">
        <v>14693</v>
      </c>
      <c r="E15252" s="6" t="str">
        <f>HYPERLINK("https://twitter.com/petrogustavo/status/1410559523241218054","1410559523241218054")</f>
        <v>1410559523241218054</v>
      </c>
      <c r="F15252" s="7" t="s">
        <v>17</v>
      </c>
      <c r="G15252" s="7">
        <v>4321850</v>
      </c>
      <c r="H15252" s="7">
        <v>2528</v>
      </c>
      <c r="I15252" s="7">
        <v>739</v>
      </c>
      <c r="J15252" s="7">
        <v>0</v>
      </c>
      <c r="K15252" s="7" t="s">
        <v>18</v>
      </c>
      <c r="L15252" s="8">
        <v>39987.315405092595</v>
      </c>
      <c r="M15252" s="9" t="s">
        <v>19</v>
      </c>
      <c r="N15252" s="9" t="s">
        <v>20</v>
      </c>
      <c r="O15252" s="6" t="str">
        <f>HYPERLINK("https://pbs.twimg.com/profile_images/962471262747529216/Uo8lOkRJ_normal.jpg","View")</f>
        <v>View</v>
      </c>
      <c r="P15252" s="7"/>
    </row>
    <row r="15253" spans="1:16">
      <c r="A15253" s="3">
        <v>44378.729467592595</v>
      </c>
      <c r="B15253" s="4" t="str">
        <f>HYPERLINK("https://twitter.com/petrogustavo","@petrogustavo")</f>
        <v>@petrogustavo</v>
      </c>
      <c r="C15253" s="5" t="s">
        <v>16</v>
      </c>
      <c r="D15253" s="5" t="s">
        <v>14694</v>
      </c>
      <c r="E15253" s="6" t="str">
        <f>HYPERLINK("https://twitter.com/petrogustavo/status/1410568978435612674","1410568978435612674")</f>
        <v>1410568978435612674</v>
      </c>
      <c r="F15253" s="7" t="s">
        <v>17</v>
      </c>
      <c r="G15253" s="7">
        <v>4321858</v>
      </c>
      <c r="H15253" s="7">
        <v>2528</v>
      </c>
      <c r="I15253" s="7">
        <v>19</v>
      </c>
      <c r="J15253" s="7">
        <v>51</v>
      </c>
      <c r="K15253" s="7" t="s">
        <v>18</v>
      </c>
      <c r="L15253" s="8">
        <v>39987.315405092595</v>
      </c>
      <c r="M15253" s="9" t="s">
        <v>19</v>
      </c>
      <c r="N15253" s="9" t="s">
        <v>20</v>
      </c>
      <c r="O15253" s="6" t="str">
        <f>HYPERLINK("https://pbs.twimg.com/profile_images/962471262747529216/Uo8lOkRJ_normal.jpg","View")</f>
        <v>View</v>
      </c>
      <c r="P15253" s="7"/>
    </row>
    <row r="15254" spans="1:16">
      <c r="A15254" s="3">
        <v>44378.729467592595</v>
      </c>
      <c r="B15254" s="4" t="str">
        <f>HYPERLINK("https://twitter.com/petrogustavo","@petrogustavo")</f>
        <v>@petrogustavo</v>
      </c>
      <c r="C15254" s="5" t="s">
        <v>16</v>
      </c>
      <c r="D15254" s="5" t="s">
        <v>14695</v>
      </c>
      <c r="E15254" s="6" t="str">
        <f>HYPERLINK("https://twitter.com/petrogustavo/status/1410568979828121607","1410568979828121607")</f>
        <v>1410568979828121607</v>
      </c>
      <c r="F15254" s="7" t="s">
        <v>17</v>
      </c>
      <c r="G15254" s="7">
        <v>4321858</v>
      </c>
      <c r="H15254" s="7">
        <v>2528</v>
      </c>
      <c r="I15254" s="7">
        <v>3</v>
      </c>
      <c r="J15254" s="7">
        <v>9</v>
      </c>
      <c r="K15254" s="7" t="s">
        <v>18</v>
      </c>
      <c r="L15254" s="8">
        <v>39987.315405092595</v>
      </c>
      <c r="M15254" s="9" t="s">
        <v>19</v>
      </c>
      <c r="N15254" s="9" t="s">
        <v>20</v>
      </c>
      <c r="O15254" s="6" t="str">
        <f>HYPERLINK("https://pbs.twimg.com/profile_images/962471262747529216/Uo8lOkRJ_normal.jpg","View")</f>
        <v>View</v>
      </c>
      <c r="P15254" s="7"/>
    </row>
    <row r="15255" spans="1:16">
      <c r="A15255" s="3">
        <v>44378.729467592595</v>
      </c>
      <c r="B15255" s="4" t="str">
        <f>HYPERLINK("https://twitter.com/petrogustavo","@petrogustavo")</f>
        <v>@petrogustavo</v>
      </c>
      <c r="C15255" s="5" t="s">
        <v>16</v>
      </c>
      <c r="D15255" s="5" t="s">
        <v>14696</v>
      </c>
      <c r="E15255" s="6" t="str">
        <f>HYPERLINK("https://twitter.com/petrogustavo/status/1410568981023543297","1410568981023543297")</f>
        <v>1410568981023543297</v>
      </c>
      <c r="F15255" s="7" t="s">
        <v>17</v>
      </c>
      <c r="G15255" s="7">
        <v>4321858</v>
      </c>
      <c r="H15255" s="7">
        <v>2528</v>
      </c>
      <c r="I15255" s="7">
        <v>2</v>
      </c>
      <c r="J15255" s="7">
        <v>6</v>
      </c>
      <c r="K15255" s="7" t="s">
        <v>18</v>
      </c>
      <c r="L15255" s="8">
        <v>39987.315405092595</v>
      </c>
      <c r="M15255" s="9" t="s">
        <v>19</v>
      </c>
      <c r="N15255" s="9" t="s">
        <v>20</v>
      </c>
      <c r="O15255" s="6" t="str">
        <f>HYPERLINK("https://pbs.twimg.com/profile_images/962471262747529216/Uo8lOkRJ_normal.jpg","View")</f>
        <v>View</v>
      </c>
      <c r="P15255" s="7"/>
    </row>
    <row r="15256" spans="1:16">
      <c r="A15256" s="3">
        <v>44378.729479166665</v>
      </c>
      <c r="B15256" s="4" t="str">
        <f>HYPERLINK("https://twitter.com/petrogustavo","@petrogustavo")</f>
        <v>@petrogustavo</v>
      </c>
      <c r="C15256" s="5" t="s">
        <v>16</v>
      </c>
      <c r="D15256" s="5" t="s">
        <v>14697</v>
      </c>
      <c r="E15256" s="6" t="str">
        <f>HYPERLINK("https://twitter.com/petrogustavo/status/1410568983040958476","1410568983040958476")</f>
        <v>1410568983040958476</v>
      </c>
      <c r="F15256" s="7" t="s">
        <v>17</v>
      </c>
      <c r="G15256" s="7">
        <v>4321858</v>
      </c>
      <c r="H15256" s="7">
        <v>2528</v>
      </c>
      <c r="I15256" s="7">
        <v>1</v>
      </c>
      <c r="J15256" s="7">
        <v>7</v>
      </c>
      <c r="K15256" s="7" t="s">
        <v>18</v>
      </c>
      <c r="L15256" s="8">
        <v>39987.315405092595</v>
      </c>
      <c r="M15256" s="9" t="s">
        <v>19</v>
      </c>
      <c r="N15256" s="9" t="s">
        <v>20</v>
      </c>
      <c r="O15256" s="6" t="str">
        <f>HYPERLINK("https://pbs.twimg.com/profile_images/962471262747529216/Uo8lOkRJ_normal.jpg","View")</f>
        <v>View</v>
      </c>
      <c r="P15256" s="7"/>
    </row>
    <row r="15257" spans="1:16">
      <c r="A15257" s="3">
        <v>44378.729479166665</v>
      </c>
      <c r="B15257" s="4" t="str">
        <f>HYPERLINK("https://twitter.com/petrogustavo","@petrogustavo")</f>
        <v>@petrogustavo</v>
      </c>
      <c r="C15257" s="5" t="s">
        <v>16</v>
      </c>
      <c r="D15257" s="5" t="s">
        <v>14698</v>
      </c>
      <c r="E15257" s="6" t="str">
        <f>HYPERLINK("https://twitter.com/petrogustavo/status/1410568984475455492","1410568984475455492")</f>
        <v>1410568984475455492</v>
      </c>
      <c r="F15257" s="7" t="s">
        <v>17</v>
      </c>
      <c r="G15257" s="7">
        <v>4321858</v>
      </c>
      <c r="H15257" s="7">
        <v>2528</v>
      </c>
      <c r="I15257" s="7">
        <v>1</v>
      </c>
      <c r="J15257" s="7">
        <v>7</v>
      </c>
      <c r="K15257" s="7" t="s">
        <v>18</v>
      </c>
      <c r="L15257" s="8">
        <v>39987.315405092595</v>
      </c>
      <c r="M15257" s="9" t="s">
        <v>19</v>
      </c>
      <c r="N15257" s="9" t="s">
        <v>20</v>
      </c>
      <c r="O15257" s="6" t="str">
        <f>HYPERLINK("https://pbs.twimg.com/profile_images/962471262747529216/Uo8lOkRJ_normal.jpg","View")</f>
        <v>View</v>
      </c>
      <c r="P15257" s="7"/>
    </row>
    <row r="15258" spans="1:16">
      <c r="A15258" s="3">
        <v>44378.729479166665</v>
      </c>
      <c r="B15258" s="4" t="str">
        <f>HYPERLINK("https://twitter.com/petrogustavo","@petrogustavo")</f>
        <v>@petrogustavo</v>
      </c>
      <c r="C15258" s="5" t="s">
        <v>16</v>
      </c>
      <c r="D15258" s="5" t="s">
        <v>14699</v>
      </c>
      <c r="E15258" s="6" t="str">
        <f>HYPERLINK("https://twitter.com/petrogustavo/status/1410568985561780225","1410568985561780225")</f>
        <v>1410568985561780225</v>
      </c>
      <c r="F15258" s="7" t="s">
        <v>17</v>
      </c>
      <c r="G15258" s="7">
        <v>4321858</v>
      </c>
      <c r="H15258" s="7">
        <v>2528</v>
      </c>
      <c r="I15258" s="7">
        <v>3</v>
      </c>
      <c r="J15258" s="7">
        <v>21</v>
      </c>
      <c r="K15258" s="7" t="s">
        <v>18</v>
      </c>
      <c r="L15258" s="8">
        <v>39987.315405092595</v>
      </c>
      <c r="M15258" s="9" t="s">
        <v>19</v>
      </c>
      <c r="N15258" s="9" t="s">
        <v>20</v>
      </c>
      <c r="O15258" s="6" t="str">
        <f>HYPERLINK("https://pbs.twimg.com/profile_images/962471262747529216/Uo8lOkRJ_normal.jpg","View")</f>
        <v>View</v>
      </c>
      <c r="P15258" s="7"/>
    </row>
    <row r="15259" spans="1:16">
      <c r="A15259" s="3">
        <v>44378.729490740741</v>
      </c>
      <c r="B15259" s="4" t="str">
        <f>HYPERLINK("https://twitter.com/petrogustavo","@petrogustavo")</f>
        <v>@petrogustavo</v>
      </c>
      <c r="C15259" s="5" t="s">
        <v>16</v>
      </c>
      <c r="D15259" s="5" t="s">
        <v>14700</v>
      </c>
      <c r="E15259" s="6" t="str">
        <f>HYPERLINK("https://twitter.com/petrogustavo/status/1410568986991992833","1410568986991992833")</f>
        <v>1410568986991992833</v>
      </c>
      <c r="F15259" s="7" t="s">
        <v>17</v>
      </c>
      <c r="G15259" s="7">
        <v>4321858</v>
      </c>
      <c r="H15259" s="7">
        <v>2528</v>
      </c>
      <c r="I15259" s="7">
        <v>3</v>
      </c>
      <c r="J15259" s="7">
        <v>21</v>
      </c>
      <c r="K15259" s="7" t="s">
        <v>18</v>
      </c>
      <c r="L15259" s="8">
        <v>39987.315405092595</v>
      </c>
      <c r="M15259" s="9" t="s">
        <v>19</v>
      </c>
      <c r="N15259" s="9" t="s">
        <v>20</v>
      </c>
      <c r="O15259" s="6" t="str">
        <f>HYPERLINK("https://pbs.twimg.com/profile_images/962471262747529216/Uo8lOkRJ_normal.jpg","View")</f>
        <v>View</v>
      </c>
      <c r="P15259" s="7"/>
    </row>
    <row r="15260" spans="1:16">
      <c r="A15260" s="3">
        <v>44379.035995370374</v>
      </c>
      <c r="B15260" s="4" t="str">
        <f>HYPERLINK("https://twitter.com/petrogustavo","@petrogustavo")</f>
        <v>@petrogustavo</v>
      </c>
      <c r="C15260" s="5" t="s">
        <v>16</v>
      </c>
      <c r="D15260" s="5" t="s">
        <v>14701</v>
      </c>
      <c r="E15260" s="6" t="str">
        <f>HYPERLINK("https://twitter.com/petrogustavo/status/1410680060240187399","1410680060240187399")</f>
        <v>1410680060240187399</v>
      </c>
      <c r="F15260" s="7" t="s">
        <v>32</v>
      </c>
      <c r="G15260" s="7">
        <v>4322079</v>
      </c>
      <c r="H15260" s="7">
        <v>2528</v>
      </c>
      <c r="I15260" s="7">
        <v>1312</v>
      </c>
      <c r="J15260" s="7">
        <v>0</v>
      </c>
      <c r="K15260" s="7" t="s">
        <v>18</v>
      </c>
      <c r="L15260" s="8">
        <v>39987.315405092595</v>
      </c>
      <c r="M15260" s="9" t="s">
        <v>19</v>
      </c>
      <c r="N15260" s="9" t="s">
        <v>20</v>
      </c>
      <c r="O15260" s="6" t="str">
        <f>HYPERLINK("https://pbs.twimg.com/profile_images/962471262747529216/Uo8lOkRJ_normal.jpg","View")</f>
        <v>View</v>
      </c>
      <c r="P15260" s="7"/>
    </row>
    <row r="15261" spans="1:16">
      <c r="A15261" s="3">
        <v>44379.048206018517</v>
      </c>
      <c r="B15261" s="4" t="str">
        <f>HYPERLINK("https://twitter.com/petrogustavo","@petrogustavo")</f>
        <v>@petrogustavo</v>
      </c>
      <c r="C15261" s="5" t="s">
        <v>16</v>
      </c>
      <c r="D15261" s="5" t="s">
        <v>14702</v>
      </c>
      <c r="E15261" s="6" t="str">
        <f>HYPERLINK("https://twitter.com/petrogustavo/status/1410684485138534404","1410684485138534404")</f>
        <v>1410684485138534404</v>
      </c>
      <c r="F15261" s="7" t="s">
        <v>32</v>
      </c>
      <c r="G15261" s="7">
        <v>4322091</v>
      </c>
      <c r="H15261" s="7">
        <v>2528</v>
      </c>
      <c r="I15261" s="7">
        <v>199</v>
      </c>
      <c r="J15261" s="7">
        <v>774</v>
      </c>
      <c r="K15261" s="7" t="s">
        <v>18</v>
      </c>
      <c r="L15261" s="8">
        <v>39987.315405092595</v>
      </c>
      <c r="M15261" s="9" t="s">
        <v>19</v>
      </c>
      <c r="N15261" s="9" t="s">
        <v>20</v>
      </c>
      <c r="O15261" s="6" t="str">
        <f>HYPERLINK("https://pbs.twimg.com/profile_images/962471262747529216/Uo8lOkRJ_normal.jpg","View")</f>
        <v>View</v>
      </c>
      <c r="P15261" s="7"/>
    </row>
    <row r="15262" spans="1:16">
      <c r="A15262" s="3">
        <v>44379.113738425927</v>
      </c>
      <c r="B15262" s="4" t="str">
        <f>HYPERLINK("https://twitter.com/petrogustavo","@petrogustavo")</f>
        <v>@petrogustavo</v>
      </c>
      <c r="C15262" s="5" t="s">
        <v>16</v>
      </c>
      <c r="D15262" s="5" t="s">
        <v>14703</v>
      </c>
      <c r="E15262" s="6" t="str">
        <f>HYPERLINK("https://twitter.com/petrogustavo/status/1410708236131524608","1410708236131524608")</f>
        <v>1410708236131524608</v>
      </c>
      <c r="F15262" s="7" t="s">
        <v>17</v>
      </c>
      <c r="G15262" s="7">
        <v>4322159</v>
      </c>
      <c r="H15262" s="7">
        <v>2528</v>
      </c>
      <c r="I15262" s="7">
        <v>207</v>
      </c>
      <c r="J15262" s="7">
        <v>0</v>
      </c>
      <c r="K15262" s="7" t="s">
        <v>18</v>
      </c>
      <c r="L15262" s="8">
        <v>39987.315405092595</v>
      </c>
      <c r="M15262" s="9" t="s">
        <v>19</v>
      </c>
      <c r="N15262" s="9" t="s">
        <v>20</v>
      </c>
      <c r="O15262" s="6" t="str">
        <f>HYPERLINK("https://pbs.twimg.com/profile_images/962471262747529216/Uo8lOkRJ_normal.jpg","View")</f>
        <v>View</v>
      </c>
      <c r="P15262" s="7"/>
    </row>
    <row r="15263" spans="1:16">
      <c r="A15263" s="3">
        <v>44379.115300925929</v>
      </c>
      <c r="B15263" s="4" t="str">
        <f>HYPERLINK("https://twitter.com/petrogustavo","@petrogustavo")</f>
        <v>@petrogustavo</v>
      </c>
      <c r="C15263" s="5" t="s">
        <v>16</v>
      </c>
      <c r="D15263" s="5" t="s">
        <v>14704</v>
      </c>
      <c r="E15263" s="6" t="str">
        <f>HYPERLINK("https://twitter.com/petrogustavo/status/1410708800592560128","1410708800592560128")</f>
        <v>1410708800592560128</v>
      </c>
      <c r="F15263" s="7" t="s">
        <v>17</v>
      </c>
      <c r="G15263" s="7">
        <v>4322159</v>
      </c>
      <c r="H15263" s="7">
        <v>2528</v>
      </c>
      <c r="I15263" s="7">
        <v>253</v>
      </c>
      <c r="J15263" s="7">
        <v>710</v>
      </c>
      <c r="K15263" s="7" t="s">
        <v>18</v>
      </c>
      <c r="L15263" s="8">
        <v>39987.315405092595</v>
      </c>
      <c r="M15263" s="9" t="s">
        <v>19</v>
      </c>
      <c r="N15263" s="9" t="s">
        <v>20</v>
      </c>
      <c r="O15263" s="6" t="str">
        <f>HYPERLINK("https://pbs.twimg.com/profile_images/962471262747529216/Uo8lOkRJ_normal.jpg","View")</f>
        <v>View</v>
      </c>
      <c r="P15263" s="7"/>
    </row>
    <row r="15264" spans="1:16">
      <c r="A15264" s="3">
        <v>44379.124178240745</v>
      </c>
      <c r="B15264" s="4" t="str">
        <f>HYPERLINK("https://twitter.com/petrogustavo","@petrogustavo")</f>
        <v>@petrogustavo</v>
      </c>
      <c r="C15264" s="5" t="s">
        <v>16</v>
      </c>
      <c r="D15264" s="5" t="s">
        <v>14705</v>
      </c>
      <c r="E15264" s="6" t="str">
        <f>HYPERLINK("https://twitter.com/petrogustavo/status/1410712018420703238","1410712018420703238")</f>
        <v>1410712018420703238</v>
      </c>
      <c r="F15264" s="7" t="s">
        <v>17</v>
      </c>
      <c r="G15264" s="7">
        <v>4322159</v>
      </c>
      <c r="H15264" s="7">
        <v>2528</v>
      </c>
      <c r="I15264" s="7">
        <v>134</v>
      </c>
      <c r="J15264" s="7">
        <v>0</v>
      </c>
      <c r="K15264" s="7" t="s">
        <v>18</v>
      </c>
      <c r="L15264" s="8">
        <v>39987.315405092595</v>
      </c>
      <c r="M15264" s="9" t="s">
        <v>19</v>
      </c>
      <c r="N15264" s="9" t="s">
        <v>20</v>
      </c>
      <c r="O15264" s="6" t="str">
        <f>HYPERLINK("https://pbs.twimg.com/profile_images/962471262747529216/Uo8lOkRJ_normal.jpg","View")</f>
        <v>View</v>
      </c>
      <c r="P15264" s="7"/>
    </row>
    <row r="15265" spans="1:16">
      <c r="A15265" s="3">
        <v>44379.128518518519</v>
      </c>
      <c r="B15265" s="4" t="str">
        <f>HYPERLINK("https://twitter.com/petrogustavo","@petrogustavo")</f>
        <v>@petrogustavo</v>
      </c>
      <c r="C15265" s="5" t="s">
        <v>16</v>
      </c>
      <c r="D15265" s="5" t="s">
        <v>14706</v>
      </c>
      <c r="E15265" s="6" t="str">
        <f>HYPERLINK("https://twitter.com/petrogustavo/status/1410713589715984387","1410713589715984387")</f>
        <v>1410713589715984387</v>
      </c>
      <c r="F15265" s="7" t="s">
        <v>17</v>
      </c>
      <c r="G15265" s="7">
        <v>4322194</v>
      </c>
      <c r="H15265" s="7">
        <v>2528</v>
      </c>
      <c r="I15265" s="7">
        <v>242</v>
      </c>
      <c r="J15265" s="7">
        <v>675</v>
      </c>
      <c r="K15265" s="7" t="s">
        <v>18</v>
      </c>
      <c r="L15265" s="8">
        <v>39987.315405092595</v>
      </c>
      <c r="M15265" s="9" t="s">
        <v>19</v>
      </c>
      <c r="N15265" s="9" t="s">
        <v>20</v>
      </c>
      <c r="O15265" s="6" t="str">
        <f>HYPERLINK("https://pbs.twimg.com/profile_images/962471262747529216/Uo8lOkRJ_normal.jpg","View")</f>
        <v>View</v>
      </c>
      <c r="P15265" s="7"/>
    </row>
    <row r="15266" spans="1:16">
      <c r="A15266" s="3">
        <v>44379.142858796295</v>
      </c>
      <c r="B15266" s="4" t="str">
        <f>HYPERLINK("https://twitter.com/petrogustavo","@petrogustavo")</f>
        <v>@petrogustavo</v>
      </c>
      <c r="C15266" s="5" t="s">
        <v>16</v>
      </c>
      <c r="D15266" s="5" t="s">
        <v>14707</v>
      </c>
      <c r="E15266" s="6" t="str">
        <f>HYPERLINK("https://twitter.com/petrogustavo/status/1410718787037536259","1410718787037536259")</f>
        <v>1410718787037536259</v>
      </c>
      <c r="F15266" s="7" t="s">
        <v>17</v>
      </c>
      <c r="G15266" s="7">
        <v>4322194</v>
      </c>
      <c r="H15266" s="7">
        <v>2528</v>
      </c>
      <c r="I15266" s="7">
        <v>78</v>
      </c>
      <c r="J15266" s="7">
        <v>205</v>
      </c>
      <c r="K15266" s="7" t="s">
        <v>18</v>
      </c>
      <c r="L15266" s="8">
        <v>39987.315405092595</v>
      </c>
      <c r="M15266" s="9" t="s">
        <v>19</v>
      </c>
      <c r="N15266" s="9" t="s">
        <v>20</v>
      </c>
      <c r="O15266" s="6" t="str">
        <f>HYPERLINK("https://pbs.twimg.com/profile_images/962471262747529216/Uo8lOkRJ_normal.jpg","View")</f>
        <v>View</v>
      </c>
      <c r="P15266" s="7"/>
    </row>
    <row r="15267" spans="1:16">
      <c r="A15267" s="3">
        <v>44379.142858796295</v>
      </c>
      <c r="B15267" s="4" t="str">
        <f>HYPERLINK("https://twitter.com/petrogustavo","@petrogustavo")</f>
        <v>@petrogustavo</v>
      </c>
      <c r="C15267" s="5" t="s">
        <v>16</v>
      </c>
      <c r="D15267" s="5" t="s">
        <v>14708</v>
      </c>
      <c r="E15267" s="6" t="str">
        <f>HYPERLINK("https://twitter.com/petrogustavo/status/1410718788362899456","1410718788362899456")</f>
        <v>1410718788362899456</v>
      </c>
      <c r="F15267" s="7" t="s">
        <v>17</v>
      </c>
      <c r="G15267" s="7">
        <v>4322194</v>
      </c>
      <c r="H15267" s="7">
        <v>2528</v>
      </c>
      <c r="I15267" s="7">
        <v>36</v>
      </c>
      <c r="J15267" s="7">
        <v>148</v>
      </c>
      <c r="K15267" s="7" t="s">
        <v>18</v>
      </c>
      <c r="L15267" s="8">
        <v>39987.315405092595</v>
      </c>
      <c r="M15267" s="9" t="s">
        <v>19</v>
      </c>
      <c r="N15267" s="9" t="s">
        <v>20</v>
      </c>
      <c r="O15267" s="6" t="str">
        <f>HYPERLINK("https://pbs.twimg.com/profile_images/962471262747529216/Uo8lOkRJ_normal.jpg","View")</f>
        <v>View</v>
      </c>
      <c r="P15267" s="7"/>
    </row>
    <row r="15268" spans="1:16">
      <c r="A15268" s="3">
        <v>44379.142870370371</v>
      </c>
      <c r="B15268" s="4" t="str">
        <f>HYPERLINK("https://twitter.com/petrogustavo","@petrogustavo")</f>
        <v>@petrogustavo</v>
      </c>
      <c r="C15268" s="5" t="s">
        <v>16</v>
      </c>
      <c r="D15268" s="5" t="s">
        <v>14709</v>
      </c>
      <c r="E15268" s="6" t="str">
        <f>HYPERLINK("https://twitter.com/petrogustavo/status/1410718789671456771","1410718789671456771")</f>
        <v>1410718789671456771</v>
      </c>
      <c r="F15268" s="7" t="s">
        <v>17</v>
      </c>
      <c r="G15268" s="7">
        <v>4322194</v>
      </c>
      <c r="H15268" s="7">
        <v>2528</v>
      </c>
      <c r="I15268" s="7">
        <v>85</v>
      </c>
      <c r="J15268" s="7">
        <v>249</v>
      </c>
      <c r="K15268" s="7" t="s">
        <v>18</v>
      </c>
      <c r="L15268" s="8">
        <v>39987.315405092595</v>
      </c>
      <c r="M15268" s="9" t="s">
        <v>19</v>
      </c>
      <c r="N15268" s="9" t="s">
        <v>20</v>
      </c>
      <c r="O15268" s="6" t="str">
        <f>HYPERLINK("https://pbs.twimg.com/profile_images/962471262747529216/Uo8lOkRJ_normal.jpg","View")</f>
        <v>View</v>
      </c>
      <c r="P15268" s="7"/>
    </row>
    <row r="15269" spans="1:16">
      <c r="A15269" s="3">
        <v>44379.151006944448</v>
      </c>
      <c r="B15269" s="4" t="str">
        <f>HYPERLINK("https://twitter.com/petrogustavo","@petrogustavo")</f>
        <v>@petrogustavo</v>
      </c>
      <c r="C15269" s="5" t="s">
        <v>16</v>
      </c>
      <c r="D15269" s="5" t="s">
        <v>14710</v>
      </c>
      <c r="E15269" s="6" t="str">
        <f>HYPERLINK("https://twitter.com/petrogustavo/status/1410721738304802820","1410721738304802820")</f>
        <v>1410721738304802820</v>
      </c>
      <c r="F15269" s="7" t="s">
        <v>17</v>
      </c>
      <c r="G15269" s="7">
        <v>4321442</v>
      </c>
      <c r="H15269" s="7">
        <v>2531</v>
      </c>
      <c r="I15269" s="7">
        <v>222</v>
      </c>
      <c r="J15269" s="7">
        <v>675</v>
      </c>
      <c r="K15269" s="7" t="s">
        <v>18</v>
      </c>
      <c r="L15269" s="8">
        <v>39987.315405092595</v>
      </c>
      <c r="M15269" s="9" t="s">
        <v>19</v>
      </c>
      <c r="N15269" s="9" t="s">
        <v>20</v>
      </c>
      <c r="O15269" s="6" t="str">
        <f>HYPERLINK("https://pbs.twimg.com/profile_images/962471262747529216/Uo8lOkRJ_normal.jpg","View")</f>
        <v>View</v>
      </c>
      <c r="P15269" s="7"/>
    </row>
    <row r="15270" spans="1:16">
      <c r="A15270" s="3">
        <v>44379.15996527778</v>
      </c>
      <c r="B15270" s="4" t="str">
        <f>HYPERLINK("https://twitter.com/petrogustavo","@petrogustavo")</f>
        <v>@petrogustavo</v>
      </c>
      <c r="C15270" s="5" t="s">
        <v>16</v>
      </c>
      <c r="D15270" s="5" t="s">
        <v>14711</v>
      </c>
      <c r="E15270" s="6" t="str">
        <f>HYPERLINK("https://twitter.com/petrogustavo/status/1410724988471037952","1410724988471037952")</f>
        <v>1410724988471037952</v>
      </c>
      <c r="F15270" s="7" t="s">
        <v>17</v>
      </c>
      <c r="G15270" s="7">
        <v>4321442</v>
      </c>
      <c r="H15270" s="7">
        <v>2531</v>
      </c>
      <c r="I15270" s="7">
        <v>1701</v>
      </c>
      <c r="J15270" s="7">
        <v>0</v>
      </c>
      <c r="K15270" s="7" t="s">
        <v>18</v>
      </c>
      <c r="L15270" s="8">
        <v>39987.315405092595</v>
      </c>
      <c r="M15270" s="9" t="s">
        <v>19</v>
      </c>
      <c r="N15270" s="9" t="s">
        <v>20</v>
      </c>
      <c r="O15270" s="6" t="str">
        <f>HYPERLINK("https://pbs.twimg.com/profile_images/962471262747529216/Uo8lOkRJ_normal.jpg","View")</f>
        <v>View</v>
      </c>
      <c r="P15270" s="7"/>
    </row>
    <row r="15271" spans="1:16">
      <c r="A15271" s="3">
        <v>44379.162175925929</v>
      </c>
      <c r="B15271" s="4" t="str">
        <f>HYPERLINK("https://twitter.com/petrogustavo","@petrogustavo")</f>
        <v>@petrogustavo</v>
      </c>
      <c r="C15271" s="5" t="s">
        <v>16</v>
      </c>
      <c r="D15271" s="5" t="s">
        <v>14712</v>
      </c>
      <c r="E15271" s="6" t="str">
        <f>HYPERLINK("https://twitter.com/petrogustavo/status/1410725786437394436","1410725786437394436")</f>
        <v>1410725786437394436</v>
      </c>
      <c r="F15271" s="7" t="s">
        <v>17</v>
      </c>
      <c r="G15271" s="7">
        <v>4321442</v>
      </c>
      <c r="H15271" s="7">
        <v>2531</v>
      </c>
      <c r="I15271" s="7">
        <v>50</v>
      </c>
      <c r="J15271" s="7">
        <v>0</v>
      </c>
      <c r="K15271" s="7" t="s">
        <v>18</v>
      </c>
      <c r="L15271" s="8">
        <v>39987.315405092595</v>
      </c>
      <c r="M15271" s="9" t="s">
        <v>19</v>
      </c>
      <c r="N15271" s="9" t="s">
        <v>20</v>
      </c>
      <c r="O15271" s="6" t="str">
        <f>HYPERLINK("https://pbs.twimg.com/profile_images/962471262747529216/Uo8lOkRJ_normal.jpg","View")</f>
        <v>View</v>
      </c>
      <c r="P15271" s="7"/>
    </row>
    <row r="15272" spans="1:16">
      <c r="A15272" s="3">
        <v>44379.177754629629</v>
      </c>
      <c r="B15272" s="4" t="str">
        <f>HYPERLINK("https://twitter.com/petrogustavo","@petrogustavo")</f>
        <v>@petrogustavo</v>
      </c>
      <c r="C15272" s="5" t="s">
        <v>16</v>
      </c>
      <c r="D15272" s="5" t="s">
        <v>14713</v>
      </c>
      <c r="E15272" s="6" t="str">
        <f>HYPERLINK("https://twitter.com/petrogustavo/status/1410731433795022850","1410731433795022850")</f>
        <v>1410731433795022850</v>
      </c>
      <c r="F15272" s="7" t="s">
        <v>17</v>
      </c>
      <c r="G15272" s="7">
        <v>4321456</v>
      </c>
      <c r="H15272" s="7">
        <v>2531</v>
      </c>
      <c r="I15272" s="7">
        <v>218</v>
      </c>
      <c r="J15272" s="7">
        <v>576</v>
      </c>
      <c r="K15272" s="7" t="s">
        <v>18</v>
      </c>
      <c r="L15272" s="8">
        <v>39987.315405092595</v>
      </c>
      <c r="M15272" s="9" t="s">
        <v>19</v>
      </c>
      <c r="N15272" s="9" t="s">
        <v>20</v>
      </c>
      <c r="O15272" s="6" t="str">
        <f>HYPERLINK("https://pbs.twimg.com/profile_images/962471262747529216/Uo8lOkRJ_normal.jpg","View")</f>
        <v>View</v>
      </c>
      <c r="P15272" s="7"/>
    </row>
    <row r="15273" spans="1:16">
      <c r="A15273" s="3">
        <v>44379.640057870369</v>
      </c>
      <c r="B15273" s="4" t="str">
        <f>HYPERLINK("https://twitter.com/petrogustavo","@petrogustavo")</f>
        <v>@petrogustavo</v>
      </c>
      <c r="C15273" s="5" t="s">
        <v>16</v>
      </c>
      <c r="D15273" s="5" t="s">
        <v>14714</v>
      </c>
      <c r="E15273" s="6" t="str">
        <f>HYPERLINK("https://twitter.com/petrogustavo/status/1410898964912672769","1410898964912672769")</f>
        <v>1410898964912672769</v>
      </c>
      <c r="F15273" s="7" t="s">
        <v>17</v>
      </c>
      <c r="G15273" s="7">
        <v>4322439</v>
      </c>
      <c r="H15273" s="7">
        <v>2530</v>
      </c>
      <c r="I15273" s="7">
        <v>384</v>
      </c>
      <c r="J15273" s="7">
        <v>0</v>
      </c>
      <c r="K15273" s="7" t="s">
        <v>18</v>
      </c>
      <c r="L15273" s="8">
        <v>39987.315405092595</v>
      </c>
      <c r="M15273" s="9" t="s">
        <v>19</v>
      </c>
      <c r="N15273" s="9" t="s">
        <v>20</v>
      </c>
      <c r="O15273" s="6" t="str">
        <f>HYPERLINK("https://pbs.twimg.com/profile_images/962471262747529216/Uo8lOkRJ_normal.jpg","View")</f>
        <v>View</v>
      </c>
      <c r="P15273" s="7"/>
    </row>
    <row r="15274" spans="1:16">
      <c r="A15274" s="3">
        <v>44380.050775462965</v>
      </c>
      <c r="B15274" s="4" t="str">
        <f>HYPERLINK("https://twitter.com/petrogustavo","@petrogustavo")</f>
        <v>@petrogustavo</v>
      </c>
      <c r="C15274" s="5" t="s">
        <v>16</v>
      </c>
      <c r="D15274" s="5" t="s">
        <v>14715</v>
      </c>
      <c r="E15274" s="6" t="str">
        <f>HYPERLINK("https://twitter.com/petrogustavo/status/1411047807029501955","1411047807029501955")</f>
        <v>1411047807029501955</v>
      </c>
      <c r="F15274" s="7" t="s">
        <v>17</v>
      </c>
      <c r="G15274" s="7">
        <v>4321978</v>
      </c>
      <c r="H15274" s="7">
        <v>2531</v>
      </c>
      <c r="I15274" s="7">
        <v>306</v>
      </c>
      <c r="J15274" s="7">
        <v>686</v>
      </c>
      <c r="K15274" s="7" t="s">
        <v>18</v>
      </c>
      <c r="L15274" s="8">
        <v>39987.315405092595</v>
      </c>
      <c r="M15274" s="9" t="s">
        <v>19</v>
      </c>
      <c r="N15274" s="9" t="s">
        <v>20</v>
      </c>
      <c r="O15274" s="6" t="str">
        <f>HYPERLINK("https://pbs.twimg.com/profile_images/962471262747529216/Uo8lOkRJ_normal.jpg","View")</f>
        <v>View</v>
      </c>
      <c r="P15274" s="7"/>
    </row>
    <row r="15275" spans="1:16">
      <c r="A15275" s="3">
        <v>44380.062650462962</v>
      </c>
      <c r="B15275" s="4" t="str">
        <f>HYPERLINK("https://twitter.com/petrogustavo","@petrogustavo")</f>
        <v>@petrogustavo</v>
      </c>
      <c r="C15275" s="5" t="s">
        <v>16</v>
      </c>
      <c r="D15275" s="5" t="s">
        <v>14716</v>
      </c>
      <c r="E15275" s="6" t="str">
        <f>HYPERLINK("https://twitter.com/petrogustavo/status/1411052108955201537","1411052108955201537")</f>
        <v>1411052108955201537</v>
      </c>
      <c r="F15275" s="7" t="s">
        <v>17</v>
      </c>
      <c r="G15275" s="7">
        <v>4321978</v>
      </c>
      <c r="H15275" s="7">
        <v>2531</v>
      </c>
      <c r="I15275" s="7">
        <v>40</v>
      </c>
      <c r="J15275" s="7">
        <v>165</v>
      </c>
      <c r="K15275" s="7" t="s">
        <v>18</v>
      </c>
      <c r="L15275" s="8">
        <v>39987.315405092595</v>
      </c>
      <c r="M15275" s="9" t="s">
        <v>19</v>
      </c>
      <c r="N15275" s="9" t="s">
        <v>20</v>
      </c>
      <c r="O15275" s="6" t="str">
        <f>HYPERLINK("https://pbs.twimg.com/profile_images/962471262747529216/Uo8lOkRJ_normal.jpg","View")</f>
        <v>View</v>
      </c>
      <c r="P15275" s="7"/>
    </row>
    <row r="15276" spans="1:16">
      <c r="A15276" s="3">
        <v>44380.091770833329</v>
      </c>
      <c r="B15276" s="4" t="str">
        <f>HYPERLINK("https://twitter.com/petrogustavo","@petrogustavo")</f>
        <v>@petrogustavo</v>
      </c>
      <c r="C15276" s="5" t="s">
        <v>16</v>
      </c>
      <c r="D15276" s="5" t="s">
        <v>14717</v>
      </c>
      <c r="E15276" s="6" t="str">
        <f>HYPERLINK("https://twitter.com/petrogustavo/status/1411062663627644931","1411062663627644931")</f>
        <v>1411062663627644931</v>
      </c>
      <c r="F15276" s="7" t="s">
        <v>17</v>
      </c>
      <c r="G15276" s="7">
        <v>4322756</v>
      </c>
      <c r="H15276" s="7">
        <v>2530</v>
      </c>
      <c r="I15276" s="7">
        <v>31</v>
      </c>
      <c r="J15276" s="7">
        <v>0</v>
      </c>
      <c r="K15276" s="7" t="s">
        <v>18</v>
      </c>
      <c r="L15276" s="8">
        <v>39987.315405092595</v>
      </c>
      <c r="M15276" s="9" t="s">
        <v>19</v>
      </c>
      <c r="N15276" s="9" t="s">
        <v>20</v>
      </c>
      <c r="O15276" s="6" t="str">
        <f>HYPERLINK("https://pbs.twimg.com/profile_images/962471262747529216/Uo8lOkRJ_normal.jpg","View")</f>
        <v>View</v>
      </c>
      <c r="P15276" s="7"/>
    </row>
    <row r="15277" spans="1:16">
      <c r="A15277" s="3">
        <v>44380.094710648147</v>
      </c>
      <c r="B15277" s="4" t="str">
        <f>HYPERLINK("https://twitter.com/petrogustavo","@petrogustavo")</f>
        <v>@petrogustavo</v>
      </c>
      <c r="C15277" s="5" t="s">
        <v>16</v>
      </c>
      <c r="D15277" s="5" t="s">
        <v>14718</v>
      </c>
      <c r="E15277" s="6" t="str">
        <f>HYPERLINK("https://twitter.com/petrogustavo/status/1411063728229998592","1411063728229998592")</f>
        <v>1411063728229998592</v>
      </c>
      <c r="F15277" s="7" t="s">
        <v>17</v>
      </c>
      <c r="G15277" s="7">
        <v>4322756</v>
      </c>
      <c r="H15277" s="7">
        <v>2530</v>
      </c>
      <c r="I15277" s="7">
        <v>155</v>
      </c>
      <c r="J15277" s="7">
        <v>404</v>
      </c>
      <c r="K15277" s="7" t="s">
        <v>18</v>
      </c>
      <c r="L15277" s="8">
        <v>39987.315405092595</v>
      </c>
      <c r="M15277" s="9" t="s">
        <v>19</v>
      </c>
      <c r="N15277" s="9" t="s">
        <v>20</v>
      </c>
      <c r="O15277" s="6" t="str">
        <f>HYPERLINK("https://pbs.twimg.com/profile_images/962471262747529216/Uo8lOkRJ_normal.jpg","View")</f>
        <v>View</v>
      </c>
      <c r="P15277" s="7"/>
    </row>
    <row r="15278" spans="1:16">
      <c r="A15278" s="3">
        <v>44380.114328703705</v>
      </c>
      <c r="B15278" s="4" t="str">
        <f>HYPERLINK("https://twitter.com/petrogustavo","@petrogustavo")</f>
        <v>@petrogustavo</v>
      </c>
      <c r="C15278" s="5" t="s">
        <v>16</v>
      </c>
      <c r="D15278" s="5" t="s">
        <v>24</v>
      </c>
      <c r="E15278" s="6" t="str">
        <f>HYPERLINK("https://twitter.com/petrogustavo/status/1411070834664521730","1411070834664521730")</f>
        <v>1411070834664521730</v>
      </c>
      <c r="F15278" s="7" t="s">
        <v>17</v>
      </c>
      <c r="G15278" s="7">
        <v>4322777</v>
      </c>
      <c r="H15278" s="7">
        <v>2530</v>
      </c>
      <c r="I15278" s="7">
        <v>1154</v>
      </c>
      <c r="J15278" s="7">
        <v>0</v>
      </c>
      <c r="K15278" s="7" t="s">
        <v>18</v>
      </c>
      <c r="L15278" s="8">
        <v>39987.315405092595</v>
      </c>
      <c r="M15278" s="9" t="s">
        <v>19</v>
      </c>
      <c r="N15278" s="9" t="s">
        <v>20</v>
      </c>
      <c r="O15278" s="6" t="str">
        <f>HYPERLINK("https://pbs.twimg.com/profile_images/962471262747529216/Uo8lOkRJ_normal.jpg","View")</f>
        <v>View</v>
      </c>
      <c r="P15278" s="7"/>
    </row>
    <row r="15279" spans="1:16">
      <c r="A15279" s="3">
        <v>44380.115266203706</v>
      </c>
      <c r="B15279" s="4" t="str">
        <f>HYPERLINK("https://twitter.com/petrogustavo","@petrogustavo")</f>
        <v>@petrogustavo</v>
      </c>
      <c r="C15279" s="5" t="s">
        <v>16</v>
      </c>
      <c r="D15279" s="5" t="s">
        <v>14719</v>
      </c>
      <c r="E15279" s="6" t="str">
        <f>HYPERLINK("https://twitter.com/petrogustavo/status/1411071174294085633","1411071174294085633")</f>
        <v>1411071174294085633</v>
      </c>
      <c r="F15279" s="7" t="s">
        <v>17</v>
      </c>
      <c r="G15279" s="7">
        <v>4322777</v>
      </c>
      <c r="H15279" s="7">
        <v>2530</v>
      </c>
      <c r="I15279" s="7">
        <v>958</v>
      </c>
      <c r="J15279" s="7">
        <v>0</v>
      </c>
      <c r="K15279" s="7" t="s">
        <v>18</v>
      </c>
      <c r="L15279" s="8">
        <v>39987.315405092595</v>
      </c>
      <c r="M15279" s="9" t="s">
        <v>19</v>
      </c>
      <c r="N15279" s="9" t="s">
        <v>20</v>
      </c>
      <c r="O15279" s="6" t="str">
        <f>HYPERLINK("https://pbs.twimg.com/profile_images/962471262747529216/Uo8lOkRJ_normal.jpg","View")</f>
        <v>View</v>
      </c>
      <c r="P15279" s="7"/>
    </row>
    <row r="15280" spans="1:16">
      <c r="A15280" s="3">
        <v>44380.115613425922</v>
      </c>
      <c r="B15280" s="4" t="str">
        <f>HYPERLINK("https://twitter.com/petrogustavo","@petrogustavo")</f>
        <v>@petrogustavo</v>
      </c>
      <c r="C15280" s="5" t="s">
        <v>16</v>
      </c>
      <c r="D15280" s="5" t="s">
        <v>27</v>
      </c>
      <c r="E15280" s="6" t="str">
        <f>HYPERLINK("https://twitter.com/petrogustavo/status/1411071300437790728","1411071300437790728")</f>
        <v>1411071300437790728</v>
      </c>
      <c r="F15280" s="7" t="s">
        <v>17</v>
      </c>
      <c r="G15280" s="7">
        <v>4322777</v>
      </c>
      <c r="H15280" s="7">
        <v>2530</v>
      </c>
      <c r="I15280" s="7">
        <v>1139</v>
      </c>
      <c r="J15280" s="7">
        <v>0</v>
      </c>
      <c r="K15280" s="7" t="s">
        <v>18</v>
      </c>
      <c r="L15280" s="8">
        <v>39987.315405092595</v>
      </c>
      <c r="M15280" s="9" t="s">
        <v>19</v>
      </c>
      <c r="N15280" s="9" t="s">
        <v>20</v>
      </c>
      <c r="O15280" s="6" t="str">
        <f>HYPERLINK("https://pbs.twimg.com/profile_images/962471262747529216/Uo8lOkRJ_normal.jpg","View")</f>
        <v>View</v>
      </c>
      <c r="P15280" s="7"/>
    </row>
    <row r="15281" spans="1:16">
      <c r="A15281" s="3">
        <v>44380.125879629632</v>
      </c>
      <c r="B15281" s="4" t="str">
        <f>HYPERLINK("https://twitter.com/petrogustavo","@petrogustavo")</f>
        <v>@petrogustavo</v>
      </c>
      <c r="C15281" s="5" t="s">
        <v>16</v>
      </c>
      <c r="D15281" s="5" t="s">
        <v>14720</v>
      </c>
      <c r="E15281" s="6" t="str">
        <f>HYPERLINK("https://twitter.com/petrogustavo/status/1411075023117471748","1411075023117471748")</f>
        <v>1411075023117471748</v>
      </c>
      <c r="F15281" s="7" t="s">
        <v>17</v>
      </c>
      <c r="G15281" s="7">
        <v>4322777</v>
      </c>
      <c r="H15281" s="7">
        <v>2530</v>
      </c>
      <c r="I15281" s="7">
        <v>99</v>
      </c>
      <c r="J15281" s="7">
        <v>0</v>
      </c>
      <c r="K15281" s="7" t="s">
        <v>18</v>
      </c>
      <c r="L15281" s="8">
        <v>39987.315405092595</v>
      </c>
      <c r="M15281" s="9" t="s">
        <v>19</v>
      </c>
      <c r="N15281" s="9" t="s">
        <v>20</v>
      </c>
      <c r="O15281" s="6" t="str">
        <f>HYPERLINK("https://pbs.twimg.com/profile_images/962471262747529216/Uo8lOkRJ_normal.jpg","View")</f>
        <v>View</v>
      </c>
      <c r="P15281" s="7"/>
    </row>
    <row r="15282" spans="1:16">
      <c r="A15282" s="3">
        <v>44380.129664351851</v>
      </c>
      <c r="B15282" s="4" t="str">
        <f>HYPERLINK("https://twitter.com/petrogustavo","@petrogustavo")</f>
        <v>@petrogustavo</v>
      </c>
      <c r="C15282" s="5" t="s">
        <v>16</v>
      </c>
      <c r="D15282" s="5" t="s">
        <v>14721</v>
      </c>
      <c r="E15282" s="6" t="str">
        <f>HYPERLINK("https://twitter.com/petrogustavo/status/1411076393874636801","1411076393874636801")</f>
        <v>1411076393874636801</v>
      </c>
      <c r="F15282" s="7" t="s">
        <v>17</v>
      </c>
      <c r="G15282" s="7">
        <v>4322779</v>
      </c>
      <c r="H15282" s="7">
        <v>2530</v>
      </c>
      <c r="I15282" s="7">
        <v>500</v>
      </c>
      <c r="J15282" s="7">
        <v>0</v>
      </c>
      <c r="K15282" s="7" t="s">
        <v>18</v>
      </c>
      <c r="L15282" s="8">
        <v>39987.315405092595</v>
      </c>
      <c r="M15282" s="9" t="s">
        <v>19</v>
      </c>
      <c r="N15282" s="9" t="s">
        <v>20</v>
      </c>
      <c r="O15282" s="6" t="str">
        <f>HYPERLINK("https://pbs.twimg.com/profile_images/962471262747529216/Uo8lOkRJ_normal.jpg","View")</f>
        <v>View</v>
      </c>
      <c r="P15282" s="7"/>
    </row>
    <row r="15283" spans="1:16">
      <c r="A15283" s="3">
        <v>44380.13003472222</v>
      </c>
      <c r="B15283" s="4" t="str">
        <f>HYPERLINK("https://twitter.com/petrogustavo","@petrogustavo")</f>
        <v>@petrogustavo</v>
      </c>
      <c r="C15283" s="5" t="s">
        <v>16</v>
      </c>
      <c r="D15283" s="5" t="s">
        <v>14722</v>
      </c>
      <c r="E15283" s="6" t="str">
        <f>HYPERLINK("https://twitter.com/petrogustavo/status/1411076528293748745","1411076528293748745")</f>
        <v>1411076528293748745</v>
      </c>
      <c r="F15283" s="7" t="s">
        <v>17</v>
      </c>
      <c r="G15283" s="7">
        <v>4322779</v>
      </c>
      <c r="H15283" s="7">
        <v>2530</v>
      </c>
      <c r="I15283" s="7">
        <v>806</v>
      </c>
      <c r="J15283" s="7">
        <v>0</v>
      </c>
      <c r="K15283" s="7" t="s">
        <v>18</v>
      </c>
      <c r="L15283" s="8">
        <v>39987.315405092595</v>
      </c>
      <c r="M15283" s="9" t="s">
        <v>19</v>
      </c>
      <c r="N15283" s="9" t="s">
        <v>20</v>
      </c>
      <c r="O15283" s="6" t="str">
        <f>HYPERLINK("https://pbs.twimg.com/profile_images/962471262747529216/Uo8lOkRJ_normal.jpg","View")</f>
        <v>View</v>
      </c>
      <c r="P15283" s="7"/>
    </row>
    <row r="15284" spans="1:16">
      <c r="A15284" s="3">
        <v>44380.130300925928</v>
      </c>
      <c r="B15284" s="4" t="str">
        <f>HYPERLINK("https://twitter.com/petrogustavo","@petrogustavo")</f>
        <v>@petrogustavo</v>
      </c>
      <c r="C15284" s="5" t="s">
        <v>16</v>
      </c>
      <c r="D15284" s="5" t="s">
        <v>14723</v>
      </c>
      <c r="E15284" s="6" t="str">
        <f>HYPERLINK("https://twitter.com/petrogustavo/status/1411076622652956676","1411076622652956676")</f>
        <v>1411076622652956676</v>
      </c>
      <c r="F15284" s="7" t="s">
        <v>17</v>
      </c>
      <c r="G15284" s="7">
        <v>4322779</v>
      </c>
      <c r="H15284" s="7">
        <v>2530</v>
      </c>
      <c r="I15284" s="7">
        <v>844</v>
      </c>
      <c r="J15284" s="7">
        <v>0</v>
      </c>
      <c r="K15284" s="7" t="s">
        <v>18</v>
      </c>
      <c r="L15284" s="8">
        <v>39987.315405092595</v>
      </c>
      <c r="M15284" s="9" t="s">
        <v>19</v>
      </c>
      <c r="N15284" s="9" t="s">
        <v>20</v>
      </c>
      <c r="O15284" s="6" t="str">
        <f>HYPERLINK("https://pbs.twimg.com/profile_images/962471262747529216/Uo8lOkRJ_normal.jpg","View")</f>
        <v>View</v>
      </c>
      <c r="P15284" s="7"/>
    </row>
    <row r="15285" spans="1:16">
      <c r="A15285" s="3">
        <v>44380.130833333329</v>
      </c>
      <c r="B15285" s="4" t="str">
        <f>HYPERLINK("https://twitter.com/petrogustavo","@petrogustavo")</f>
        <v>@petrogustavo</v>
      </c>
      <c r="C15285" s="5" t="s">
        <v>16</v>
      </c>
      <c r="D15285" s="5" t="s">
        <v>14724</v>
      </c>
      <c r="E15285" s="6" t="str">
        <f>HYPERLINK("https://twitter.com/petrogustavo/status/1411076816454959110","1411076816454959110")</f>
        <v>1411076816454959110</v>
      </c>
      <c r="F15285" s="7" t="s">
        <v>17</v>
      </c>
      <c r="G15285" s="7">
        <v>4322779</v>
      </c>
      <c r="H15285" s="7">
        <v>2530</v>
      </c>
      <c r="I15285" s="7">
        <v>855</v>
      </c>
      <c r="J15285" s="7">
        <v>0</v>
      </c>
      <c r="K15285" s="7" t="s">
        <v>18</v>
      </c>
      <c r="L15285" s="8">
        <v>39987.315405092595</v>
      </c>
      <c r="M15285" s="9" t="s">
        <v>19</v>
      </c>
      <c r="N15285" s="9" t="s">
        <v>20</v>
      </c>
      <c r="O15285" s="6" t="str">
        <f>HYPERLINK("https://pbs.twimg.com/profile_images/962471262747529216/Uo8lOkRJ_normal.jpg","View")</f>
        <v>View</v>
      </c>
      <c r="P15285" s="7"/>
    </row>
    <row r="15286" spans="1:16">
      <c r="A15286" s="3">
        <v>44380.130937499998</v>
      </c>
      <c r="B15286" s="4" t="str">
        <f>HYPERLINK("https://twitter.com/petrogustavo","@petrogustavo")</f>
        <v>@petrogustavo</v>
      </c>
      <c r="C15286" s="5" t="s">
        <v>16</v>
      </c>
      <c r="D15286" s="5" t="s">
        <v>23</v>
      </c>
      <c r="E15286" s="6" t="str">
        <f>HYPERLINK("https://twitter.com/petrogustavo/status/1411076855810170884","1411076855810170884")</f>
        <v>1411076855810170884</v>
      </c>
      <c r="F15286" s="7" t="s">
        <v>17</v>
      </c>
      <c r="G15286" s="7">
        <v>4322779</v>
      </c>
      <c r="H15286" s="7">
        <v>2530</v>
      </c>
      <c r="I15286" s="7">
        <v>1205</v>
      </c>
      <c r="J15286" s="7">
        <v>0</v>
      </c>
      <c r="K15286" s="7" t="s">
        <v>18</v>
      </c>
      <c r="L15286" s="8">
        <v>39987.315405092595</v>
      </c>
      <c r="M15286" s="9" t="s">
        <v>19</v>
      </c>
      <c r="N15286" s="9" t="s">
        <v>20</v>
      </c>
      <c r="O15286" s="6" t="str">
        <f>HYPERLINK("https://pbs.twimg.com/profile_images/962471262747529216/Uo8lOkRJ_normal.jpg","View")</f>
        <v>View</v>
      </c>
      <c r="P15286" s="7"/>
    </row>
    <row r="15287" spans="1:16">
      <c r="A15287" s="3">
        <v>44380.13108796296</v>
      </c>
      <c r="B15287" s="4" t="str">
        <f>HYPERLINK("https://twitter.com/petrogustavo","@petrogustavo")</f>
        <v>@petrogustavo</v>
      </c>
      <c r="C15287" s="5" t="s">
        <v>16</v>
      </c>
      <c r="D15287" s="5" t="s">
        <v>14725</v>
      </c>
      <c r="E15287" s="6" t="str">
        <f>HYPERLINK("https://twitter.com/petrogustavo/status/1411076911749636104","1411076911749636104")</f>
        <v>1411076911749636104</v>
      </c>
      <c r="F15287" s="7" t="s">
        <v>17</v>
      </c>
      <c r="G15287" s="7">
        <v>4322779</v>
      </c>
      <c r="H15287" s="7">
        <v>2530</v>
      </c>
      <c r="I15287" s="7">
        <v>1051</v>
      </c>
      <c r="J15287" s="7">
        <v>0</v>
      </c>
      <c r="K15287" s="7" t="s">
        <v>18</v>
      </c>
      <c r="L15287" s="8">
        <v>39987.315405092595</v>
      </c>
      <c r="M15287" s="9" t="s">
        <v>19</v>
      </c>
      <c r="N15287" s="9" t="s">
        <v>20</v>
      </c>
      <c r="O15287" s="6" t="str">
        <f>HYPERLINK("https://pbs.twimg.com/profile_images/962471262747529216/Uo8lOkRJ_normal.jpg","View")</f>
        <v>View</v>
      </c>
      <c r="P15287" s="7"/>
    </row>
    <row r="15288" spans="1:16">
      <c r="A15288" s="3">
        <v>44380.131168981483</v>
      </c>
      <c r="B15288" s="4" t="str">
        <f>HYPERLINK("https://twitter.com/petrogustavo","@petrogustavo")</f>
        <v>@petrogustavo</v>
      </c>
      <c r="C15288" s="5" t="s">
        <v>16</v>
      </c>
      <c r="D15288" s="5" t="s">
        <v>26</v>
      </c>
      <c r="E15288" s="6" t="str">
        <f>HYPERLINK("https://twitter.com/petrogustavo/status/1411076938131820552","1411076938131820552")</f>
        <v>1411076938131820552</v>
      </c>
      <c r="F15288" s="7" t="s">
        <v>17</v>
      </c>
      <c r="G15288" s="7">
        <v>4322779</v>
      </c>
      <c r="H15288" s="7">
        <v>2530</v>
      </c>
      <c r="I15288" s="7">
        <v>5630</v>
      </c>
      <c r="J15288" s="7">
        <v>0</v>
      </c>
      <c r="K15288" s="7" t="s">
        <v>18</v>
      </c>
      <c r="L15288" s="8">
        <v>39987.315405092595</v>
      </c>
      <c r="M15288" s="9" t="s">
        <v>19</v>
      </c>
      <c r="N15288" s="9" t="s">
        <v>20</v>
      </c>
      <c r="O15288" s="6" t="str">
        <f>HYPERLINK("https://pbs.twimg.com/profile_images/962471262747529216/Uo8lOkRJ_normal.jpg","View")</f>
        <v>View</v>
      </c>
      <c r="P15288" s="7"/>
    </row>
    <row r="15289" spans="1:16">
      <c r="A15289" s="3">
        <v>44381.059652777782</v>
      </c>
      <c r="B15289" s="4" t="str">
        <f>HYPERLINK("https://twitter.com/petrogustavo","@petrogustavo")</f>
        <v>@petrogustavo</v>
      </c>
      <c r="C15289" s="5" t="s">
        <v>16</v>
      </c>
      <c r="D15289" s="5" t="s">
        <v>14726</v>
      </c>
      <c r="E15289" s="6" t="str">
        <f>HYPERLINK("https://twitter.com/petrogustavo/status/1411413411603361796","1411413411603361796")</f>
        <v>1411413411603361796</v>
      </c>
      <c r="F15289" s="7" t="s">
        <v>17</v>
      </c>
      <c r="G15289" s="7">
        <v>4323279</v>
      </c>
      <c r="H15289" s="7">
        <v>2530</v>
      </c>
      <c r="I15289" s="7">
        <v>61</v>
      </c>
      <c r="J15289" s="7">
        <v>149</v>
      </c>
      <c r="K15289" s="7" t="s">
        <v>18</v>
      </c>
      <c r="L15289" s="8">
        <v>39987.315405092595</v>
      </c>
      <c r="M15289" s="9" t="s">
        <v>19</v>
      </c>
      <c r="N15289" s="9" t="s">
        <v>20</v>
      </c>
      <c r="O15289" s="6" t="str">
        <f>HYPERLINK("https://pbs.twimg.com/profile_images/962471262747529216/Uo8lOkRJ_normal.jpg","View")</f>
        <v>View</v>
      </c>
      <c r="P15289" s="7"/>
    </row>
    <row r="15290" spans="1:16">
      <c r="A15290" s="3">
        <v>44381.06349537037</v>
      </c>
      <c r="B15290" s="4" t="str">
        <f>HYPERLINK("https://twitter.com/petrogustavo","@petrogustavo")</f>
        <v>@petrogustavo</v>
      </c>
      <c r="C15290" s="5" t="s">
        <v>16</v>
      </c>
      <c r="D15290" s="5" t="s">
        <v>14727</v>
      </c>
      <c r="E15290" s="6" t="str">
        <f>HYPERLINK("https://twitter.com/petrogustavo/status/1411414804821118979","1411414804821118979")</f>
        <v>1411414804821118979</v>
      </c>
      <c r="F15290" s="7" t="s">
        <v>17</v>
      </c>
      <c r="G15290" s="7">
        <v>4323279</v>
      </c>
      <c r="H15290" s="7">
        <v>2530</v>
      </c>
      <c r="I15290" s="7">
        <v>17</v>
      </c>
      <c r="J15290" s="7">
        <v>42</v>
      </c>
      <c r="K15290" s="7" t="s">
        <v>18</v>
      </c>
      <c r="L15290" s="8">
        <v>39987.315405092595</v>
      </c>
      <c r="M15290" s="9" t="s">
        <v>19</v>
      </c>
      <c r="N15290" s="9" t="s">
        <v>20</v>
      </c>
      <c r="O15290" s="6" t="str">
        <f>HYPERLINK("https://pbs.twimg.com/profile_images/962471262747529216/Uo8lOkRJ_normal.jpg","View")</f>
        <v>View</v>
      </c>
      <c r="P15290" s="7"/>
    </row>
    <row r="15291" spans="1:16">
      <c r="A15291" s="3">
        <v>44381.082511574074</v>
      </c>
      <c r="B15291" s="4" t="str">
        <f>HYPERLINK("https://twitter.com/petrogustavo","@petrogustavo")</f>
        <v>@petrogustavo</v>
      </c>
      <c r="C15291" s="5" t="s">
        <v>16</v>
      </c>
      <c r="D15291" s="5" t="s">
        <v>14728</v>
      </c>
      <c r="E15291" s="6" t="str">
        <f>HYPERLINK("https://twitter.com/petrogustavo/status/1411421692870729735","1411421692870729735")</f>
        <v>1411421692870729735</v>
      </c>
      <c r="F15291" s="7" t="s">
        <v>17</v>
      </c>
      <c r="G15291" s="7">
        <v>4323299</v>
      </c>
      <c r="H15291" s="7">
        <v>2530</v>
      </c>
      <c r="I15291" s="7">
        <v>12</v>
      </c>
      <c r="J15291" s="7">
        <v>0</v>
      </c>
      <c r="K15291" s="7" t="s">
        <v>18</v>
      </c>
      <c r="L15291" s="8">
        <v>39987.315405092595</v>
      </c>
      <c r="M15291" s="9" t="s">
        <v>19</v>
      </c>
      <c r="N15291" s="9" t="s">
        <v>20</v>
      </c>
      <c r="O15291" s="6" t="str">
        <f>HYPERLINK("https://pbs.twimg.com/profile_images/962471262747529216/Uo8lOkRJ_normal.jpg","View")</f>
        <v>View</v>
      </c>
      <c r="P15291" s="7"/>
    </row>
    <row r="15292" spans="1:16">
      <c r="A15292" s="3">
        <v>44381.082812499997</v>
      </c>
      <c r="B15292" s="4" t="str">
        <f>HYPERLINK("https://twitter.com/petrogustavo","@petrogustavo")</f>
        <v>@petrogustavo</v>
      </c>
      <c r="C15292" s="5" t="s">
        <v>16</v>
      </c>
      <c r="D15292" s="5" t="s">
        <v>14729</v>
      </c>
      <c r="E15292" s="6" t="str">
        <f>HYPERLINK("https://twitter.com/petrogustavo/status/1411421803872980992","1411421803872980992")</f>
        <v>1411421803872980992</v>
      </c>
      <c r="F15292" s="7" t="s">
        <v>17</v>
      </c>
      <c r="G15292" s="7">
        <v>4323299</v>
      </c>
      <c r="H15292" s="7">
        <v>2530</v>
      </c>
      <c r="I15292" s="7">
        <v>14</v>
      </c>
      <c r="J15292" s="7">
        <v>0</v>
      </c>
      <c r="K15292" s="7" t="s">
        <v>18</v>
      </c>
      <c r="L15292" s="8">
        <v>39987.315405092595</v>
      </c>
      <c r="M15292" s="9" t="s">
        <v>19</v>
      </c>
      <c r="N15292" s="9" t="s">
        <v>20</v>
      </c>
      <c r="O15292" s="6" t="str">
        <f>HYPERLINK("https://pbs.twimg.com/profile_images/962471262747529216/Uo8lOkRJ_normal.jpg","View")</f>
        <v>View</v>
      </c>
      <c r="P15292" s="7"/>
    </row>
    <row r="15293" spans="1:16">
      <c r="A15293" s="3">
        <v>44381.085694444446</v>
      </c>
      <c r="B15293" s="4" t="str">
        <f>HYPERLINK("https://twitter.com/petrogustavo","@petrogustavo")</f>
        <v>@petrogustavo</v>
      </c>
      <c r="C15293" s="5" t="s">
        <v>16</v>
      </c>
      <c r="D15293" s="5" t="s">
        <v>14730</v>
      </c>
      <c r="E15293" s="6" t="str">
        <f>HYPERLINK("https://twitter.com/petrogustavo/status/1411422849676595201","1411422849676595201")</f>
        <v>1411422849676595201</v>
      </c>
      <c r="F15293" s="7" t="s">
        <v>17</v>
      </c>
      <c r="G15293" s="7">
        <v>4323293</v>
      </c>
      <c r="H15293" s="7">
        <v>2530</v>
      </c>
      <c r="I15293" s="7">
        <v>57</v>
      </c>
      <c r="J15293" s="7">
        <v>0</v>
      </c>
      <c r="K15293" s="7" t="s">
        <v>18</v>
      </c>
      <c r="L15293" s="8">
        <v>39987.315405092595</v>
      </c>
      <c r="M15293" s="9" t="s">
        <v>19</v>
      </c>
      <c r="N15293" s="9" t="s">
        <v>20</v>
      </c>
      <c r="O15293" s="6" t="str">
        <f>HYPERLINK("https://pbs.twimg.com/profile_images/962471262747529216/Uo8lOkRJ_normal.jpg","View")</f>
        <v>View</v>
      </c>
      <c r="P15293" s="7"/>
    </row>
    <row r="15294" spans="1:16">
      <c r="A15294" s="3">
        <v>44381.08592592593</v>
      </c>
      <c r="B15294" s="4" t="str">
        <f>HYPERLINK("https://twitter.com/petrogustavo","@petrogustavo")</f>
        <v>@petrogustavo</v>
      </c>
      <c r="C15294" s="5" t="s">
        <v>16</v>
      </c>
      <c r="D15294" s="5" t="s">
        <v>14731</v>
      </c>
      <c r="E15294" s="6" t="str">
        <f>HYPERLINK("https://twitter.com/petrogustavo/status/1411422932442681347","1411422932442681347")</f>
        <v>1411422932442681347</v>
      </c>
      <c r="F15294" s="7" t="s">
        <v>17</v>
      </c>
      <c r="G15294" s="7">
        <v>4323293</v>
      </c>
      <c r="H15294" s="7">
        <v>2530</v>
      </c>
      <c r="I15294" s="7">
        <v>35</v>
      </c>
      <c r="J15294" s="7">
        <v>0</v>
      </c>
      <c r="K15294" s="7" t="s">
        <v>18</v>
      </c>
      <c r="L15294" s="8">
        <v>39987.315405092595</v>
      </c>
      <c r="M15294" s="9" t="s">
        <v>19</v>
      </c>
      <c r="N15294" s="9" t="s">
        <v>20</v>
      </c>
      <c r="O15294" s="6" t="str">
        <f>HYPERLINK("https://pbs.twimg.com/profile_images/962471262747529216/Uo8lOkRJ_normal.jpg","View")</f>
        <v>View</v>
      </c>
      <c r="P15294" s="7"/>
    </row>
    <row r="15295" spans="1:16">
      <c r="A15295" s="3">
        <v>44381.088680555556</v>
      </c>
      <c r="B15295" s="4" t="str">
        <f>HYPERLINK("https://twitter.com/petrogustavo","@petrogustavo")</f>
        <v>@petrogustavo</v>
      </c>
      <c r="C15295" s="5" t="s">
        <v>16</v>
      </c>
      <c r="D15295" s="5" t="s">
        <v>14732</v>
      </c>
      <c r="E15295" s="6" t="str">
        <f>HYPERLINK("https://twitter.com/petrogustavo/status/1411423928673783813","1411423928673783813")</f>
        <v>1411423928673783813</v>
      </c>
      <c r="F15295" s="7" t="s">
        <v>17</v>
      </c>
      <c r="G15295" s="7">
        <v>4323293</v>
      </c>
      <c r="H15295" s="7">
        <v>2530</v>
      </c>
      <c r="I15295" s="7">
        <v>125</v>
      </c>
      <c r="J15295" s="7">
        <v>0</v>
      </c>
      <c r="K15295" s="7" t="s">
        <v>18</v>
      </c>
      <c r="L15295" s="8">
        <v>39987.315405092595</v>
      </c>
      <c r="M15295" s="9" t="s">
        <v>19</v>
      </c>
      <c r="N15295" s="9" t="s">
        <v>20</v>
      </c>
      <c r="O15295" s="6" t="str">
        <f>HYPERLINK("https://pbs.twimg.com/profile_images/962471262747529216/Uo8lOkRJ_normal.jpg","View")</f>
        <v>View</v>
      </c>
      <c r="P15295" s="7"/>
    </row>
    <row r="15296" spans="1:16">
      <c r="A15296" s="3">
        <v>44381.089849537035</v>
      </c>
      <c r="B15296" s="4" t="str">
        <f>HYPERLINK("https://twitter.com/petrogustavo","@petrogustavo")</f>
        <v>@petrogustavo</v>
      </c>
      <c r="C15296" s="5" t="s">
        <v>16</v>
      </c>
      <c r="D15296" s="5" t="s">
        <v>14733</v>
      </c>
      <c r="E15296" s="6" t="str">
        <f>HYPERLINK("https://twitter.com/petrogustavo/status/1411424352491483141","1411424352491483141")</f>
        <v>1411424352491483141</v>
      </c>
      <c r="F15296" s="7" t="s">
        <v>17</v>
      </c>
      <c r="G15296" s="7">
        <v>4323293</v>
      </c>
      <c r="H15296" s="7">
        <v>2530</v>
      </c>
      <c r="I15296" s="7">
        <v>333</v>
      </c>
      <c r="J15296" s="7">
        <v>0</v>
      </c>
      <c r="K15296" s="7" t="s">
        <v>18</v>
      </c>
      <c r="L15296" s="8">
        <v>39987.315405092595</v>
      </c>
      <c r="M15296" s="9" t="s">
        <v>19</v>
      </c>
      <c r="N15296" s="9" t="s">
        <v>20</v>
      </c>
      <c r="O15296" s="6" t="str">
        <f>HYPERLINK("https://pbs.twimg.com/profile_images/962471262747529216/Uo8lOkRJ_normal.jpg","View")</f>
        <v>View</v>
      </c>
      <c r="P15296" s="7"/>
    </row>
    <row r="15297" spans="1:16">
      <c r="A15297" s="3">
        <v>44381.092291666668</v>
      </c>
      <c r="B15297" s="4" t="str">
        <f>HYPERLINK("https://twitter.com/petrogustavo","@petrogustavo")</f>
        <v>@petrogustavo</v>
      </c>
      <c r="C15297" s="5" t="s">
        <v>16</v>
      </c>
      <c r="D15297" s="5" t="s">
        <v>14734</v>
      </c>
      <c r="E15297" s="6" t="str">
        <f>HYPERLINK("https://twitter.com/petrogustavo/status/1411425239762878465","1411425239762878465")</f>
        <v>1411425239762878465</v>
      </c>
      <c r="F15297" s="7" t="s">
        <v>17</v>
      </c>
      <c r="G15297" s="7">
        <v>4323293</v>
      </c>
      <c r="H15297" s="7">
        <v>2530</v>
      </c>
      <c r="I15297" s="7">
        <v>98</v>
      </c>
      <c r="J15297" s="7">
        <v>0</v>
      </c>
      <c r="K15297" s="7" t="s">
        <v>18</v>
      </c>
      <c r="L15297" s="8">
        <v>39987.315405092595</v>
      </c>
      <c r="M15297" s="9" t="s">
        <v>19</v>
      </c>
      <c r="N15297" s="9" t="s">
        <v>20</v>
      </c>
      <c r="O15297" s="6" t="str">
        <f>HYPERLINK("https://pbs.twimg.com/profile_images/962471262747529216/Uo8lOkRJ_normal.jpg","View")</f>
        <v>View</v>
      </c>
      <c r="P15297" s="7"/>
    </row>
    <row r="15298" spans="1:16">
      <c r="A15298" s="3">
        <v>44381.124664351853</v>
      </c>
      <c r="B15298" s="4" t="str">
        <f>HYPERLINK("https://twitter.com/petrogustavo","@petrogustavo")</f>
        <v>@petrogustavo</v>
      </c>
      <c r="C15298" s="5" t="s">
        <v>16</v>
      </c>
      <c r="D15298" s="5" t="s">
        <v>14735</v>
      </c>
      <c r="E15298" s="6" t="str">
        <f>HYPERLINK("https://twitter.com/petrogustavo/status/1411436971046674446","1411436971046674446")</f>
        <v>1411436971046674446</v>
      </c>
      <c r="F15298" s="7" t="s">
        <v>17</v>
      </c>
      <c r="G15298" s="7">
        <v>4323312</v>
      </c>
      <c r="H15298" s="7">
        <v>2530</v>
      </c>
      <c r="I15298" s="7">
        <v>26</v>
      </c>
      <c r="J15298" s="7">
        <v>0</v>
      </c>
      <c r="K15298" s="7" t="s">
        <v>18</v>
      </c>
      <c r="L15298" s="8">
        <v>39987.315405092595</v>
      </c>
      <c r="M15298" s="9" t="s">
        <v>19</v>
      </c>
      <c r="N15298" s="9" t="s">
        <v>20</v>
      </c>
      <c r="O15298" s="6" t="str">
        <f>HYPERLINK("https://pbs.twimg.com/profile_images/962471262747529216/Uo8lOkRJ_normal.jpg","View")</f>
        <v>View</v>
      </c>
      <c r="P15298" s="7"/>
    </row>
    <row r="15299" spans="1:16">
      <c r="A15299" s="3">
        <v>44381.127349537041</v>
      </c>
      <c r="B15299" s="4" t="str">
        <f>HYPERLINK("https://twitter.com/petrogustavo","@petrogustavo")</f>
        <v>@petrogustavo</v>
      </c>
      <c r="C15299" s="5" t="s">
        <v>16</v>
      </c>
      <c r="D15299" s="5" t="s">
        <v>14736</v>
      </c>
      <c r="E15299" s="6" t="str">
        <f>HYPERLINK("https://twitter.com/petrogustavo/status/1411437944032960514","1411437944032960514")</f>
        <v>1411437944032960514</v>
      </c>
      <c r="F15299" s="7" t="s">
        <v>17</v>
      </c>
      <c r="G15299" s="7">
        <v>4323327</v>
      </c>
      <c r="H15299" s="7">
        <v>2530</v>
      </c>
      <c r="I15299" s="7">
        <v>98</v>
      </c>
      <c r="J15299" s="7">
        <v>0</v>
      </c>
      <c r="K15299" s="7" t="s">
        <v>18</v>
      </c>
      <c r="L15299" s="8">
        <v>39987.315405092595</v>
      </c>
      <c r="M15299" s="9" t="s">
        <v>19</v>
      </c>
      <c r="N15299" s="9" t="s">
        <v>20</v>
      </c>
      <c r="O15299" s="6" t="str">
        <f>HYPERLINK("https://pbs.twimg.com/profile_images/962471262747529216/Uo8lOkRJ_normal.jpg","View")</f>
        <v>View</v>
      </c>
      <c r="P15299" s="7"/>
    </row>
    <row r="15300" spans="1:16">
      <c r="A15300" s="3">
        <v>44381.138055555552</v>
      </c>
      <c r="B15300" s="4" t="str">
        <f>HYPERLINK("https://twitter.com/petrogustavo","@petrogustavo")</f>
        <v>@petrogustavo</v>
      </c>
      <c r="C15300" s="5" t="s">
        <v>16</v>
      </c>
      <c r="D15300" s="5" t="s">
        <v>14737</v>
      </c>
      <c r="E15300" s="6" t="str">
        <f>HYPERLINK("https://twitter.com/petrogustavo/status/1411441823797682185","1411441823797682185")</f>
        <v>1411441823797682185</v>
      </c>
      <c r="F15300" s="7" t="s">
        <v>17</v>
      </c>
      <c r="G15300" s="7">
        <v>4323327</v>
      </c>
      <c r="H15300" s="7">
        <v>2530</v>
      </c>
      <c r="I15300" s="7">
        <v>2089</v>
      </c>
      <c r="J15300" s="7">
        <v>0</v>
      </c>
      <c r="K15300" s="7" t="s">
        <v>18</v>
      </c>
      <c r="L15300" s="8">
        <v>39987.315405092595</v>
      </c>
      <c r="M15300" s="9" t="s">
        <v>19</v>
      </c>
      <c r="N15300" s="9" t="s">
        <v>20</v>
      </c>
      <c r="O15300" s="6" t="str">
        <f>HYPERLINK("https://pbs.twimg.com/profile_images/962471262747529216/Uo8lOkRJ_normal.jpg","View")</f>
        <v>View</v>
      </c>
      <c r="P15300" s="7"/>
    </row>
    <row r="15301" spans="1:16">
      <c r="A15301" s="3">
        <v>44381.144375000003</v>
      </c>
      <c r="B15301" s="4" t="str">
        <f>HYPERLINK("https://twitter.com/petrogustavo","@petrogustavo")</f>
        <v>@petrogustavo</v>
      </c>
      <c r="C15301" s="5" t="s">
        <v>16</v>
      </c>
      <c r="D15301" s="5" t="s">
        <v>14738</v>
      </c>
      <c r="E15301" s="6" t="str">
        <f>HYPERLINK("https://twitter.com/petrogustavo/status/1411444112566464519","1411444112566464519")</f>
        <v>1411444112566464519</v>
      </c>
      <c r="F15301" s="7" t="s">
        <v>17</v>
      </c>
      <c r="G15301" s="7">
        <v>4323327</v>
      </c>
      <c r="H15301" s="7">
        <v>2530</v>
      </c>
      <c r="I15301" s="7">
        <v>284</v>
      </c>
      <c r="J15301" s="7">
        <v>0</v>
      </c>
      <c r="K15301" s="7" t="s">
        <v>18</v>
      </c>
      <c r="L15301" s="8">
        <v>39987.315405092595</v>
      </c>
      <c r="M15301" s="9" t="s">
        <v>19</v>
      </c>
      <c r="N15301" s="9" t="s">
        <v>20</v>
      </c>
      <c r="O15301" s="6" t="str">
        <f>HYPERLINK("https://pbs.twimg.com/profile_images/962471262747529216/Uo8lOkRJ_normal.jpg","View")</f>
        <v>View</v>
      </c>
      <c r="P15301" s="7"/>
    </row>
    <row r="15302" spans="1:16">
      <c r="A15302" s="3">
        <v>44381.144930555558</v>
      </c>
      <c r="B15302" s="4" t="str">
        <f>HYPERLINK("https://twitter.com/petrogustavo","@petrogustavo")</f>
        <v>@petrogustavo</v>
      </c>
      <c r="C15302" s="5" t="s">
        <v>16</v>
      </c>
      <c r="D15302" s="5" t="s">
        <v>14739</v>
      </c>
      <c r="E15302" s="6" t="str">
        <f>HYPERLINK("https://twitter.com/petrogustavo/status/1411444314903924738","1411444314903924738")</f>
        <v>1411444314903924738</v>
      </c>
      <c r="F15302" s="7" t="s">
        <v>17</v>
      </c>
      <c r="G15302" s="7">
        <v>4323327</v>
      </c>
      <c r="H15302" s="7">
        <v>2530</v>
      </c>
      <c r="I15302" s="7">
        <v>3039</v>
      </c>
      <c r="J15302" s="7">
        <v>0</v>
      </c>
      <c r="K15302" s="7" t="s">
        <v>18</v>
      </c>
      <c r="L15302" s="8">
        <v>39987.315405092595</v>
      </c>
      <c r="M15302" s="9" t="s">
        <v>19</v>
      </c>
      <c r="N15302" s="9" t="s">
        <v>20</v>
      </c>
      <c r="O15302" s="6" t="str">
        <f>HYPERLINK("https://pbs.twimg.com/profile_images/962471262747529216/Uo8lOkRJ_normal.jpg","View")</f>
        <v>View</v>
      </c>
      <c r="P15302" s="7"/>
    </row>
    <row r="15303" spans="1:16">
      <c r="A15303" s="3">
        <v>44381.445208333331</v>
      </c>
      <c r="B15303" s="4" t="str">
        <f>HYPERLINK("https://twitter.com/petrogustavo","@petrogustavo")</f>
        <v>@petrogustavo</v>
      </c>
      <c r="C15303" s="5" t="s">
        <v>16</v>
      </c>
      <c r="D15303" s="5" t="s">
        <v>14740</v>
      </c>
      <c r="E15303" s="6" t="str">
        <f>HYPERLINK("https://twitter.com/petrogustavo/status/1411553129494200329","1411553129494200329")</f>
        <v>1411553129494200329</v>
      </c>
      <c r="F15303" s="7" t="s">
        <v>17</v>
      </c>
      <c r="G15303" s="7">
        <v>4323477</v>
      </c>
      <c r="H15303" s="7">
        <v>2531</v>
      </c>
      <c r="I15303" s="7">
        <v>144</v>
      </c>
      <c r="J15303" s="7">
        <v>0</v>
      </c>
      <c r="K15303" s="7" t="s">
        <v>18</v>
      </c>
      <c r="L15303" s="8">
        <v>39987.315405092595</v>
      </c>
      <c r="M15303" s="9" t="s">
        <v>19</v>
      </c>
      <c r="N15303" s="9" t="s">
        <v>20</v>
      </c>
      <c r="O15303" s="6" t="str">
        <f>HYPERLINK("https://pbs.twimg.com/profile_images/962471262747529216/Uo8lOkRJ_normal.jpg","View")</f>
        <v>View</v>
      </c>
      <c r="P15303" s="7"/>
    </row>
    <row r="15304" spans="1:16">
      <c r="A15304" s="3">
        <v>44381.449837962966</v>
      </c>
      <c r="B15304" s="4" t="str">
        <f>HYPERLINK("https://twitter.com/petrogustavo","@petrogustavo")</f>
        <v>@petrogustavo</v>
      </c>
      <c r="C15304" s="5" t="s">
        <v>16</v>
      </c>
      <c r="D15304" s="5" t="s">
        <v>14741</v>
      </c>
      <c r="E15304" s="6" t="str">
        <f>HYPERLINK("https://twitter.com/petrogustavo/status/1411554810185359363","1411554810185359363")</f>
        <v>1411554810185359363</v>
      </c>
      <c r="F15304" s="7" t="s">
        <v>17</v>
      </c>
      <c r="G15304" s="7">
        <v>4323477</v>
      </c>
      <c r="H15304" s="7">
        <v>2531</v>
      </c>
      <c r="I15304" s="7">
        <v>42</v>
      </c>
      <c r="J15304" s="7">
        <v>0</v>
      </c>
      <c r="K15304" s="7" t="s">
        <v>18</v>
      </c>
      <c r="L15304" s="8">
        <v>39987.315405092595</v>
      </c>
      <c r="M15304" s="9" t="s">
        <v>19</v>
      </c>
      <c r="N15304" s="9" t="s">
        <v>20</v>
      </c>
      <c r="O15304" s="6" t="str">
        <f>HYPERLINK("https://pbs.twimg.com/profile_images/962471262747529216/Uo8lOkRJ_normal.jpg","View")</f>
        <v>View</v>
      </c>
      <c r="P15304" s="7"/>
    </row>
    <row r="15305" spans="1:16">
      <c r="A15305" s="3">
        <v>44381.464421296296</v>
      </c>
      <c r="B15305" s="4" t="str">
        <f>HYPERLINK("https://twitter.com/petrogustavo","@petrogustavo")</f>
        <v>@petrogustavo</v>
      </c>
      <c r="C15305" s="5" t="s">
        <v>16</v>
      </c>
      <c r="D15305" s="5" t="s">
        <v>14498</v>
      </c>
      <c r="E15305" s="6" t="str">
        <f>HYPERLINK("https://twitter.com/petrogustavo/status/1411560092554698752","1411560092554698752")</f>
        <v>1411560092554698752</v>
      </c>
      <c r="F15305" s="7" t="s">
        <v>17</v>
      </c>
      <c r="G15305" s="7">
        <v>4323473</v>
      </c>
      <c r="H15305" s="7">
        <v>2531</v>
      </c>
      <c r="I15305" s="7">
        <v>3943</v>
      </c>
      <c r="J15305" s="7">
        <v>0</v>
      </c>
      <c r="K15305" s="7" t="s">
        <v>18</v>
      </c>
      <c r="L15305" s="8">
        <v>39987.315405092595</v>
      </c>
      <c r="M15305" s="9" t="s">
        <v>19</v>
      </c>
      <c r="N15305" s="9" t="s">
        <v>20</v>
      </c>
      <c r="O15305" s="6" t="str">
        <f>HYPERLINK("https://pbs.twimg.com/profile_images/962471262747529216/Uo8lOkRJ_normal.jpg","View")</f>
        <v>View</v>
      </c>
      <c r="P15305" s="7"/>
    </row>
    <row r="15306" spans="1:16">
      <c r="A15306" s="3">
        <v>44382.018877314811</v>
      </c>
      <c r="B15306" s="4" t="str">
        <f>HYPERLINK("https://twitter.com/petrogustavo","@petrogustavo")</f>
        <v>@petrogustavo</v>
      </c>
      <c r="C15306" s="5" t="s">
        <v>16</v>
      </c>
      <c r="D15306" s="5" t="s">
        <v>14742</v>
      </c>
      <c r="E15306" s="6" t="str">
        <f>HYPERLINK("https://twitter.com/petrogustavo/status/1411761022785015810","1411761022785015810")</f>
        <v>1411761022785015810</v>
      </c>
      <c r="F15306" s="7" t="s">
        <v>17</v>
      </c>
      <c r="G15306" s="7">
        <v>4323680</v>
      </c>
      <c r="H15306" s="7">
        <v>2531</v>
      </c>
      <c r="I15306" s="7">
        <v>237</v>
      </c>
      <c r="J15306" s="7">
        <v>0</v>
      </c>
      <c r="K15306" s="7" t="s">
        <v>18</v>
      </c>
      <c r="L15306" s="8">
        <v>39987.315405092595</v>
      </c>
      <c r="M15306" s="9" t="s">
        <v>19</v>
      </c>
      <c r="N15306" s="9" t="s">
        <v>20</v>
      </c>
      <c r="O15306" s="6" t="str">
        <f>HYPERLINK("https://pbs.twimg.com/profile_images/962471262747529216/Uo8lOkRJ_normal.jpg","View")</f>
        <v>View</v>
      </c>
      <c r="P15306" s="7"/>
    </row>
    <row r="15307" spans="1:16">
      <c r="A15307" s="3">
        <v>44382.037800925929</v>
      </c>
      <c r="B15307" s="4" t="str">
        <f>HYPERLINK("https://twitter.com/petrogustavo","@petrogustavo")</f>
        <v>@petrogustavo</v>
      </c>
      <c r="C15307" s="5" t="s">
        <v>16</v>
      </c>
      <c r="D15307" s="5" t="s">
        <v>14743</v>
      </c>
      <c r="E15307" s="6" t="str">
        <f>HYPERLINK("https://twitter.com/petrogustavo/status/1411767878353932296","1411767878353932296")</f>
        <v>1411767878353932296</v>
      </c>
      <c r="F15307" s="7" t="s">
        <v>17</v>
      </c>
      <c r="G15307" s="7">
        <v>4323697</v>
      </c>
      <c r="H15307" s="7">
        <v>2531</v>
      </c>
      <c r="I15307" s="7">
        <v>127</v>
      </c>
      <c r="J15307" s="7">
        <v>452</v>
      </c>
      <c r="K15307" s="7" t="s">
        <v>18</v>
      </c>
      <c r="L15307" s="8">
        <v>39987.315405092595</v>
      </c>
      <c r="M15307" s="9" t="s">
        <v>19</v>
      </c>
      <c r="N15307" s="9" t="s">
        <v>20</v>
      </c>
      <c r="O15307" s="6" t="str">
        <f>HYPERLINK("https://pbs.twimg.com/profile_images/962471262747529216/Uo8lOkRJ_normal.jpg","View")</f>
        <v>View</v>
      </c>
      <c r="P15307" s="7"/>
    </row>
    <row r="15308" spans="1:16">
      <c r="A15308" s="3">
        <v>44383.751423611116</v>
      </c>
      <c r="B15308" s="4" t="str">
        <f>HYPERLINK("https://twitter.com/petrogustavo","@petrogustavo")</f>
        <v>@petrogustavo</v>
      </c>
      <c r="C15308" s="5" t="s">
        <v>16</v>
      </c>
      <c r="D15308" s="5" t="s">
        <v>14744</v>
      </c>
      <c r="E15308" s="6" t="str">
        <f>HYPERLINK("https://twitter.com/petrogustavo/status/1412388876065386496","1412388876065386496")</f>
        <v>1412388876065386496</v>
      </c>
      <c r="F15308" s="7" t="s">
        <v>17</v>
      </c>
      <c r="G15308" s="7">
        <v>4324637</v>
      </c>
      <c r="H15308" s="7">
        <v>2531</v>
      </c>
      <c r="I15308" s="7">
        <v>109</v>
      </c>
      <c r="J15308" s="7">
        <v>0</v>
      </c>
      <c r="K15308" s="7" t="s">
        <v>18</v>
      </c>
      <c r="L15308" s="8">
        <v>39987.315405092595</v>
      </c>
      <c r="M15308" s="9" t="s">
        <v>19</v>
      </c>
      <c r="N15308" s="9" t="s">
        <v>20</v>
      </c>
      <c r="O15308" s="6" t="str">
        <f>HYPERLINK("https://pbs.twimg.com/profile_images/962471262747529216/Uo8lOkRJ_normal.jpg","View")</f>
        <v>View</v>
      </c>
      <c r="P15308" s="7"/>
    </row>
    <row r="15309" spans="1:16">
      <c r="A15309" s="3">
        <v>44383.7653587963</v>
      </c>
      <c r="B15309" s="4" t="str">
        <f>HYPERLINK("https://twitter.com/petrogustavo","@petrogustavo")</f>
        <v>@petrogustavo</v>
      </c>
      <c r="C15309" s="5" t="s">
        <v>16</v>
      </c>
      <c r="D15309" s="5" t="s">
        <v>14745</v>
      </c>
      <c r="E15309" s="6" t="str">
        <f>HYPERLINK("https://twitter.com/petrogustavo/status/1412393926238035975","1412393926238035975")</f>
        <v>1412393926238035975</v>
      </c>
      <c r="F15309" s="7" t="s">
        <v>17</v>
      </c>
      <c r="G15309" s="7">
        <v>4324649</v>
      </c>
      <c r="H15309" s="7">
        <v>2531</v>
      </c>
      <c r="I15309" s="7">
        <v>69</v>
      </c>
      <c r="J15309" s="7">
        <v>167</v>
      </c>
      <c r="K15309" s="7" t="s">
        <v>18</v>
      </c>
      <c r="L15309" s="8">
        <v>39987.315405092595</v>
      </c>
      <c r="M15309" s="9" t="s">
        <v>19</v>
      </c>
      <c r="N15309" s="9" t="s">
        <v>20</v>
      </c>
      <c r="O15309" s="6" t="str">
        <f>HYPERLINK("https://pbs.twimg.com/profile_images/962471262747529216/Uo8lOkRJ_normal.jpg","View")</f>
        <v>View</v>
      </c>
      <c r="P15309" s="7"/>
    </row>
    <row r="15310" spans="1:16">
      <c r="A15310" s="3">
        <v>44383.772766203707</v>
      </c>
      <c r="B15310" s="4" t="str">
        <f>HYPERLINK("https://twitter.com/petrogustavo","@petrogustavo")</f>
        <v>@petrogustavo</v>
      </c>
      <c r="C15310" s="5" t="s">
        <v>16</v>
      </c>
      <c r="D15310" s="5" t="s">
        <v>14746</v>
      </c>
      <c r="E15310" s="6" t="str">
        <f>HYPERLINK("https://twitter.com/petrogustavo/status/1412396611242758146","1412396611242758146")</f>
        <v>1412396611242758146</v>
      </c>
      <c r="F15310" s="7" t="s">
        <v>17</v>
      </c>
      <c r="G15310" s="7">
        <v>4324636</v>
      </c>
      <c r="H15310" s="7">
        <v>2531</v>
      </c>
      <c r="I15310" s="7">
        <v>164</v>
      </c>
      <c r="J15310" s="7">
        <v>417</v>
      </c>
      <c r="K15310" s="7" t="s">
        <v>18</v>
      </c>
      <c r="L15310" s="8">
        <v>39987.315405092595</v>
      </c>
      <c r="M15310" s="9" t="s">
        <v>19</v>
      </c>
      <c r="N15310" s="9" t="s">
        <v>20</v>
      </c>
      <c r="O15310" s="6" t="str">
        <f>HYPERLINK("https://pbs.twimg.com/profile_images/962471262747529216/Uo8lOkRJ_normal.jpg","View")</f>
        <v>View</v>
      </c>
      <c r="P15310" s="7"/>
    </row>
    <row r="15311" spans="1:16">
      <c r="A15311" s="3">
        <v>44383.791412037041</v>
      </c>
      <c r="B15311" s="4" t="str">
        <f>HYPERLINK("https://twitter.com/petrogustavo","@petrogustavo")</f>
        <v>@petrogustavo</v>
      </c>
      <c r="C15311" s="5" t="s">
        <v>16</v>
      </c>
      <c r="D15311" s="5" t="s">
        <v>14747</v>
      </c>
      <c r="E15311" s="6" t="str">
        <f>HYPERLINK("https://twitter.com/petrogustavo/status/1412403365200470020","1412403365200470020")</f>
        <v>1412403365200470020</v>
      </c>
      <c r="F15311" s="7" t="s">
        <v>17</v>
      </c>
      <c r="G15311" s="7">
        <v>4324636</v>
      </c>
      <c r="H15311" s="7">
        <v>2531</v>
      </c>
      <c r="I15311" s="7">
        <v>14</v>
      </c>
      <c r="J15311" s="7">
        <v>50</v>
      </c>
      <c r="K15311" s="7" t="s">
        <v>18</v>
      </c>
      <c r="L15311" s="8">
        <v>39987.315405092595</v>
      </c>
      <c r="M15311" s="9" t="s">
        <v>19</v>
      </c>
      <c r="N15311" s="9" t="s">
        <v>20</v>
      </c>
      <c r="O15311" s="6" t="str">
        <f>HYPERLINK("https://pbs.twimg.com/profile_images/962471262747529216/Uo8lOkRJ_normal.jpg","View")</f>
        <v>View</v>
      </c>
      <c r="P15311" s="7"/>
    </row>
    <row r="15312" spans="1:16">
      <c r="A15312" s="3">
        <v>44383.791412037041</v>
      </c>
      <c r="B15312" s="4" t="str">
        <f>HYPERLINK("https://twitter.com/petrogustavo","@petrogustavo")</f>
        <v>@petrogustavo</v>
      </c>
      <c r="C15312" s="5" t="s">
        <v>16</v>
      </c>
      <c r="D15312" s="5" t="s">
        <v>14748</v>
      </c>
      <c r="E15312" s="6" t="str">
        <f>HYPERLINK("https://twitter.com/petrogustavo/status/1412403367171788800","1412403367171788800")</f>
        <v>1412403367171788800</v>
      </c>
      <c r="F15312" s="7" t="s">
        <v>17</v>
      </c>
      <c r="G15312" s="7">
        <v>4324636</v>
      </c>
      <c r="H15312" s="7">
        <v>2531</v>
      </c>
      <c r="I15312" s="7">
        <v>0</v>
      </c>
      <c r="J15312" s="7">
        <v>4</v>
      </c>
      <c r="K15312" s="7" t="s">
        <v>18</v>
      </c>
      <c r="L15312" s="8">
        <v>39987.315405092595</v>
      </c>
      <c r="M15312" s="9" t="s">
        <v>19</v>
      </c>
      <c r="N15312" s="9" t="s">
        <v>20</v>
      </c>
      <c r="O15312" s="6" t="str">
        <f>HYPERLINK("https://pbs.twimg.com/profile_images/962471262747529216/Uo8lOkRJ_normal.jpg","View")</f>
        <v>View</v>
      </c>
      <c r="P15312" s="7"/>
    </row>
    <row r="15313" spans="1:16">
      <c r="A15313" s="3">
        <v>44383.791412037041</v>
      </c>
      <c r="B15313" s="4" t="str">
        <f>HYPERLINK("https://twitter.com/petrogustavo","@petrogustavo")</f>
        <v>@petrogustavo</v>
      </c>
      <c r="C15313" s="5" t="s">
        <v>16</v>
      </c>
      <c r="D15313" s="5" t="s">
        <v>14749</v>
      </c>
      <c r="E15313" s="6" t="str">
        <f>HYPERLINK("https://twitter.com/petrogustavo/status/1412403368744652800","1412403368744652800")</f>
        <v>1412403368744652800</v>
      </c>
      <c r="F15313" s="7" t="s">
        <v>17</v>
      </c>
      <c r="G15313" s="7">
        <v>4324636</v>
      </c>
      <c r="H15313" s="7">
        <v>2531</v>
      </c>
      <c r="I15313" s="7">
        <v>5</v>
      </c>
      <c r="J15313" s="7">
        <v>21</v>
      </c>
      <c r="K15313" s="7" t="s">
        <v>18</v>
      </c>
      <c r="L15313" s="8">
        <v>39987.315405092595</v>
      </c>
      <c r="M15313" s="9" t="s">
        <v>19</v>
      </c>
      <c r="N15313" s="9" t="s">
        <v>20</v>
      </c>
      <c r="O15313" s="6" t="str">
        <f>HYPERLINK("https://pbs.twimg.com/profile_images/962471262747529216/Uo8lOkRJ_normal.jpg","View")</f>
        <v>View</v>
      </c>
      <c r="P15313" s="7"/>
    </row>
    <row r="15314" spans="1:16">
      <c r="A15314" s="3">
        <v>44383.79142361111</v>
      </c>
      <c r="B15314" s="4" t="str">
        <f>HYPERLINK("https://twitter.com/petrogustavo","@petrogustavo")</f>
        <v>@petrogustavo</v>
      </c>
      <c r="C15314" s="5" t="s">
        <v>16</v>
      </c>
      <c r="D15314" s="5" t="s">
        <v>14750</v>
      </c>
      <c r="E15314" s="6" t="str">
        <f>HYPERLINK("https://twitter.com/petrogustavo/status/1412403370392965124","1412403370392965124")</f>
        <v>1412403370392965124</v>
      </c>
      <c r="F15314" s="7" t="s">
        <v>17</v>
      </c>
      <c r="G15314" s="7">
        <v>4324636</v>
      </c>
      <c r="H15314" s="7">
        <v>2531</v>
      </c>
      <c r="I15314" s="7">
        <v>6</v>
      </c>
      <c r="J15314" s="7">
        <v>18</v>
      </c>
      <c r="K15314" s="7" t="s">
        <v>18</v>
      </c>
      <c r="L15314" s="8">
        <v>39987.315405092595</v>
      </c>
      <c r="M15314" s="9" t="s">
        <v>19</v>
      </c>
      <c r="N15314" s="9" t="s">
        <v>20</v>
      </c>
      <c r="O15314" s="6" t="str">
        <f>HYPERLINK("https://pbs.twimg.com/profile_images/962471262747529216/Uo8lOkRJ_normal.jpg","View")</f>
        <v>View</v>
      </c>
      <c r="P15314" s="7"/>
    </row>
    <row r="15315" spans="1:16">
      <c r="A15315" s="3">
        <v>44383.808553240742</v>
      </c>
      <c r="B15315" s="4" t="str">
        <f>HYPERLINK("https://twitter.com/petrogustavo","@petrogustavo")</f>
        <v>@petrogustavo</v>
      </c>
      <c r="C15315" s="5" t="s">
        <v>16</v>
      </c>
      <c r="D15315" s="5" t="s">
        <v>14751</v>
      </c>
      <c r="E15315" s="6" t="str">
        <f>HYPERLINK("https://twitter.com/petrogustavo/status/1412409580462739465","1412409580462739465")</f>
        <v>1412409580462739465</v>
      </c>
      <c r="F15315" s="7" t="s">
        <v>17</v>
      </c>
      <c r="G15315" s="7">
        <v>4324644</v>
      </c>
      <c r="H15315" s="7">
        <v>2531</v>
      </c>
      <c r="I15315" s="7">
        <v>349</v>
      </c>
      <c r="J15315" s="7">
        <v>1057</v>
      </c>
      <c r="K15315" s="7" t="s">
        <v>18</v>
      </c>
      <c r="L15315" s="8">
        <v>39987.315405092595</v>
      </c>
      <c r="M15315" s="9" t="s">
        <v>19</v>
      </c>
      <c r="N15315" s="9" t="s">
        <v>20</v>
      </c>
      <c r="O15315" s="6" t="str">
        <f>HYPERLINK("https://pbs.twimg.com/profile_images/962471262747529216/Uo8lOkRJ_normal.jpg","View")</f>
        <v>View</v>
      </c>
      <c r="P15315" s="7"/>
    </row>
    <row r="15316" spans="1:16">
      <c r="A15316" s="3">
        <v>44384.33121527778</v>
      </c>
      <c r="B15316" s="4" t="str">
        <f>HYPERLINK("https://twitter.com/petrogustavo","@petrogustavo")</f>
        <v>@petrogustavo</v>
      </c>
      <c r="C15316" s="5" t="s">
        <v>16</v>
      </c>
      <c r="D15316" s="5" t="s">
        <v>14752</v>
      </c>
      <c r="E15316" s="6" t="str">
        <f>HYPERLINK("https://twitter.com/petrogustavo/status/1412598983634178048","1412598983634178048")</f>
        <v>1412598983634178048</v>
      </c>
      <c r="F15316" s="7" t="s">
        <v>17</v>
      </c>
      <c r="G15316" s="7">
        <v>4324986</v>
      </c>
      <c r="H15316" s="7">
        <v>2531</v>
      </c>
      <c r="I15316" s="7">
        <v>176</v>
      </c>
      <c r="J15316" s="7">
        <v>369</v>
      </c>
      <c r="K15316" s="7" t="s">
        <v>18</v>
      </c>
      <c r="L15316" s="8">
        <v>39987.315405092595</v>
      </c>
      <c r="M15316" s="9" t="s">
        <v>19</v>
      </c>
      <c r="N15316" s="9" t="s">
        <v>20</v>
      </c>
      <c r="O15316" s="6" t="str">
        <f>HYPERLINK("https://pbs.twimg.com/profile_images/962471262747529216/Uo8lOkRJ_normal.jpg","View")</f>
        <v>View</v>
      </c>
      <c r="P15316" s="7"/>
    </row>
    <row r="15317" spans="1:16">
      <c r="A15317" s="3">
        <v>44384.60837962963</v>
      </c>
      <c r="B15317" s="4" t="str">
        <f>HYPERLINK("https://twitter.com/petrogustavo","@petrogustavo")</f>
        <v>@petrogustavo</v>
      </c>
      <c r="C15317" s="5" t="s">
        <v>16</v>
      </c>
      <c r="D15317" s="5" t="s">
        <v>14753</v>
      </c>
      <c r="E15317" s="6" t="str">
        <f>HYPERLINK("https://twitter.com/petrogustavo/status/1412699427526041601","1412699427526041601")</f>
        <v>1412699427526041601</v>
      </c>
      <c r="F15317" s="7" t="s">
        <v>32</v>
      </c>
      <c r="G15317" s="7">
        <v>4325113</v>
      </c>
      <c r="H15317" s="7">
        <v>2531</v>
      </c>
      <c r="I15317" s="7">
        <v>2086</v>
      </c>
      <c r="J15317" s="7">
        <v>0</v>
      </c>
      <c r="K15317" s="7" t="s">
        <v>18</v>
      </c>
      <c r="L15317" s="8">
        <v>39987.315405092595</v>
      </c>
      <c r="M15317" s="9" t="s">
        <v>19</v>
      </c>
      <c r="N15317" s="9" t="s">
        <v>20</v>
      </c>
      <c r="O15317" s="6" t="str">
        <f>HYPERLINK("https://pbs.twimg.com/profile_images/962471262747529216/Uo8lOkRJ_normal.jpg","View")</f>
        <v>View</v>
      </c>
      <c r="P15317" s="7"/>
    </row>
    <row r="15318" spans="1:16">
      <c r="A15318" s="3">
        <v>44384.705543981487</v>
      </c>
      <c r="B15318" s="4" t="str">
        <f>HYPERLINK("https://twitter.com/petrogustavo","@petrogustavo")</f>
        <v>@petrogustavo</v>
      </c>
      <c r="C15318" s="5" t="s">
        <v>16</v>
      </c>
      <c r="D15318" s="5" t="s">
        <v>14754</v>
      </c>
      <c r="E15318" s="6" t="str">
        <f>HYPERLINK("https://twitter.com/petrogustavo/status/1412734636661391365","1412734636661391365")</f>
        <v>1412734636661391365</v>
      </c>
      <c r="F15318" s="7" t="s">
        <v>17</v>
      </c>
      <c r="G15318" s="7">
        <v>4325130</v>
      </c>
      <c r="H15318" s="7">
        <v>2531</v>
      </c>
      <c r="I15318" s="7">
        <v>614</v>
      </c>
      <c r="J15318" s="7">
        <v>0</v>
      </c>
      <c r="K15318" s="7" t="s">
        <v>18</v>
      </c>
      <c r="L15318" s="8">
        <v>39987.315405092595</v>
      </c>
      <c r="M15318" s="9" t="s">
        <v>19</v>
      </c>
      <c r="N15318" s="9" t="s">
        <v>20</v>
      </c>
      <c r="O15318" s="6" t="str">
        <f>HYPERLINK("https://pbs.twimg.com/profile_images/962471262747529216/Uo8lOkRJ_normal.jpg","View")</f>
        <v>View</v>
      </c>
      <c r="P15318" s="7"/>
    </row>
    <row r="15319" spans="1:16">
      <c r="A15319" s="3">
        <v>44384.705752314811</v>
      </c>
      <c r="B15319" s="4" t="str">
        <f>HYPERLINK("https://twitter.com/petrogustavo","@petrogustavo")</f>
        <v>@petrogustavo</v>
      </c>
      <c r="C15319" s="5" t="s">
        <v>16</v>
      </c>
      <c r="D15319" s="5" t="s">
        <v>14753</v>
      </c>
      <c r="E15319" s="6" t="str">
        <f>HYPERLINK("https://twitter.com/petrogustavo/status/1412734713983389699","1412734713983389699")</f>
        <v>1412734713983389699</v>
      </c>
      <c r="F15319" s="7" t="s">
        <v>17</v>
      </c>
      <c r="G15319" s="7">
        <v>4325130</v>
      </c>
      <c r="H15319" s="7">
        <v>2531</v>
      </c>
      <c r="I15319" s="7">
        <v>2356</v>
      </c>
      <c r="J15319" s="7">
        <v>0</v>
      </c>
      <c r="K15319" s="7" t="s">
        <v>18</v>
      </c>
      <c r="L15319" s="8">
        <v>39987.315405092595</v>
      </c>
      <c r="M15319" s="9" t="s">
        <v>19</v>
      </c>
      <c r="N15319" s="9" t="s">
        <v>20</v>
      </c>
      <c r="O15319" s="6" t="str">
        <f>HYPERLINK("https://pbs.twimg.com/profile_images/962471262747529216/Uo8lOkRJ_normal.jpg","View")</f>
        <v>View</v>
      </c>
      <c r="P15319" s="7"/>
    </row>
    <row r="15320" spans="1:16">
      <c r="A15320" s="3">
        <v>44384.811724537038</v>
      </c>
      <c r="B15320" s="4" t="str">
        <f>HYPERLINK("https://twitter.com/petrogustavo","@petrogustavo")</f>
        <v>@petrogustavo</v>
      </c>
      <c r="C15320" s="5" t="s">
        <v>16</v>
      </c>
      <c r="D15320" s="5" t="s">
        <v>14755</v>
      </c>
      <c r="E15320" s="6" t="str">
        <f>HYPERLINK("https://twitter.com/petrogustavo/status/1412773116313587714","1412773116313587714")</f>
        <v>1412773116313587714</v>
      </c>
      <c r="F15320" s="7" t="s">
        <v>17</v>
      </c>
      <c r="G15320" s="7">
        <v>4325201</v>
      </c>
      <c r="H15320" s="7">
        <v>2531</v>
      </c>
      <c r="I15320" s="7">
        <v>71</v>
      </c>
      <c r="J15320" s="7">
        <v>200</v>
      </c>
      <c r="K15320" s="7" t="s">
        <v>18</v>
      </c>
      <c r="L15320" s="8">
        <v>39987.315405092595</v>
      </c>
      <c r="M15320" s="9" t="s">
        <v>19</v>
      </c>
      <c r="N15320" s="9" t="s">
        <v>20</v>
      </c>
      <c r="O15320" s="6" t="str">
        <f>HYPERLINK("https://pbs.twimg.com/profile_images/962471262747529216/Uo8lOkRJ_normal.jpg","View")</f>
        <v>View</v>
      </c>
      <c r="P15320" s="7"/>
    </row>
    <row r="15321" spans="1:16">
      <c r="A15321" s="3">
        <v>44384.811736111107</v>
      </c>
      <c r="B15321" s="4" t="str">
        <f>HYPERLINK("https://twitter.com/petrogustavo","@petrogustavo")</f>
        <v>@petrogustavo</v>
      </c>
      <c r="C15321" s="5" t="s">
        <v>16</v>
      </c>
      <c r="D15321" s="5" t="s">
        <v>14756</v>
      </c>
      <c r="E15321" s="6" t="str">
        <f>HYPERLINK("https://twitter.com/petrogustavo/status/1412773120835047429","1412773120835047429")</f>
        <v>1412773120835047429</v>
      </c>
      <c r="F15321" s="7" t="s">
        <v>17</v>
      </c>
      <c r="G15321" s="7">
        <v>4325201</v>
      </c>
      <c r="H15321" s="7">
        <v>2531</v>
      </c>
      <c r="I15321" s="7">
        <v>38</v>
      </c>
      <c r="J15321" s="7">
        <v>113</v>
      </c>
      <c r="K15321" s="7" t="s">
        <v>18</v>
      </c>
      <c r="L15321" s="8">
        <v>39987.315405092595</v>
      </c>
      <c r="M15321" s="9" t="s">
        <v>19</v>
      </c>
      <c r="N15321" s="9" t="s">
        <v>20</v>
      </c>
      <c r="O15321" s="6" t="str">
        <f>HYPERLINK("https://pbs.twimg.com/profile_images/962471262747529216/Uo8lOkRJ_normal.jpg","View")</f>
        <v>View</v>
      </c>
      <c r="P15321" s="7"/>
    </row>
    <row r="15322" spans="1:16">
      <c r="A15322" s="3">
        <v>44384.836863425924</v>
      </c>
      <c r="B15322" s="4" t="str">
        <f>HYPERLINK("https://twitter.com/petrogustavo","@petrogustavo")</f>
        <v>@petrogustavo</v>
      </c>
      <c r="C15322" s="5" t="s">
        <v>16</v>
      </c>
      <c r="D15322" s="5" t="s">
        <v>14757</v>
      </c>
      <c r="E15322" s="6" t="str">
        <f>HYPERLINK("https://twitter.com/petrogustavo/status/1412782226522116099","1412782226522116099")</f>
        <v>1412782226522116099</v>
      </c>
      <c r="F15322" s="7" t="s">
        <v>17</v>
      </c>
      <c r="G15322" s="7">
        <v>4325243</v>
      </c>
      <c r="H15322" s="7">
        <v>2531</v>
      </c>
      <c r="I15322" s="7">
        <v>73</v>
      </c>
      <c r="J15322" s="7">
        <v>183</v>
      </c>
      <c r="K15322" s="7" t="s">
        <v>18</v>
      </c>
      <c r="L15322" s="8">
        <v>39987.315405092595</v>
      </c>
      <c r="M15322" s="9" t="s">
        <v>19</v>
      </c>
      <c r="N15322" s="9" t="s">
        <v>20</v>
      </c>
      <c r="O15322" s="6" t="str">
        <f>HYPERLINK("https://pbs.twimg.com/profile_images/962471262747529216/Uo8lOkRJ_normal.jpg","View")</f>
        <v>View</v>
      </c>
      <c r="P15322" s="7"/>
    </row>
    <row r="15323" spans="1:16">
      <c r="A15323" s="3">
        <v>44384.947106481486</v>
      </c>
      <c r="B15323" s="4" t="str">
        <f>HYPERLINK("https://twitter.com/petrogustavo","@petrogustavo")</f>
        <v>@petrogustavo</v>
      </c>
      <c r="C15323" s="5" t="s">
        <v>16</v>
      </c>
      <c r="D15323" s="5" t="s">
        <v>14753</v>
      </c>
      <c r="E15323" s="6" t="str">
        <f>HYPERLINK("https://twitter.com/petrogustavo/status/1412822177695608832","1412822177695608832")</f>
        <v>1412822177695608832</v>
      </c>
      <c r="F15323" s="7" t="s">
        <v>17</v>
      </c>
      <c r="G15323" s="7">
        <v>4325338</v>
      </c>
      <c r="H15323" s="7">
        <v>2531</v>
      </c>
      <c r="I15323" s="7">
        <v>3264</v>
      </c>
      <c r="J15323" s="7">
        <v>0</v>
      </c>
      <c r="K15323" s="7" t="s">
        <v>18</v>
      </c>
      <c r="L15323" s="8">
        <v>39987.315405092595</v>
      </c>
      <c r="M15323" s="9" t="s">
        <v>19</v>
      </c>
      <c r="N15323" s="9" t="s">
        <v>20</v>
      </c>
      <c r="O15323" s="6" t="str">
        <f>HYPERLINK("https://pbs.twimg.com/profile_images/962471262747529216/Uo8lOkRJ_normal.jpg","View")</f>
        <v>View</v>
      </c>
      <c r="P15323" s="7"/>
    </row>
    <row r="15324" spans="1:16">
      <c r="A15324" s="3">
        <v>44384.951203703706</v>
      </c>
      <c r="B15324" s="4" t="str">
        <f>HYPERLINK("https://twitter.com/petrogustavo","@petrogustavo")</f>
        <v>@petrogustavo</v>
      </c>
      <c r="C15324" s="5" t="s">
        <v>16</v>
      </c>
      <c r="D15324" s="5" t="s">
        <v>14758</v>
      </c>
      <c r="E15324" s="6" t="str">
        <f>HYPERLINK("https://twitter.com/petrogustavo/status/1412823662550556674","1412823662550556674")</f>
        <v>1412823662550556674</v>
      </c>
      <c r="F15324" s="7" t="s">
        <v>17</v>
      </c>
      <c r="G15324" s="7">
        <v>4325338</v>
      </c>
      <c r="H15324" s="7">
        <v>2531</v>
      </c>
      <c r="I15324" s="7">
        <v>433</v>
      </c>
      <c r="J15324" s="7">
        <v>1416</v>
      </c>
      <c r="K15324" s="7" t="s">
        <v>18</v>
      </c>
      <c r="L15324" s="8">
        <v>39987.315405092595</v>
      </c>
      <c r="M15324" s="9" t="s">
        <v>19</v>
      </c>
      <c r="N15324" s="9" t="s">
        <v>20</v>
      </c>
      <c r="O15324" s="6" t="str">
        <f>HYPERLINK("https://pbs.twimg.com/profile_images/962471262747529216/Uo8lOkRJ_normal.jpg","View")</f>
        <v>View</v>
      </c>
      <c r="P15324" s="7"/>
    </row>
    <row r="15325" spans="1:16">
      <c r="A15325" s="3">
        <v>44384.962962962964</v>
      </c>
      <c r="B15325" s="4" t="str">
        <f>HYPERLINK("https://twitter.com/petrogustavo","@petrogustavo")</f>
        <v>@petrogustavo</v>
      </c>
      <c r="C15325" s="5" t="s">
        <v>16</v>
      </c>
      <c r="D15325" s="5" t="s">
        <v>14759</v>
      </c>
      <c r="E15325" s="6" t="str">
        <f>HYPERLINK("https://twitter.com/petrogustavo/status/1412827921392222209","1412827921392222209")</f>
        <v>1412827921392222209</v>
      </c>
      <c r="F15325" s="7" t="s">
        <v>17</v>
      </c>
      <c r="G15325" s="7">
        <v>4325363</v>
      </c>
      <c r="H15325" s="7">
        <v>2531</v>
      </c>
      <c r="I15325" s="7">
        <v>317</v>
      </c>
      <c r="J15325" s="7">
        <v>774</v>
      </c>
      <c r="K15325" s="7" t="s">
        <v>18</v>
      </c>
      <c r="L15325" s="8">
        <v>39987.315405092595</v>
      </c>
      <c r="M15325" s="9" t="s">
        <v>19</v>
      </c>
      <c r="N15325" s="9" t="s">
        <v>20</v>
      </c>
      <c r="O15325" s="6" t="str">
        <f>HYPERLINK("https://pbs.twimg.com/profile_images/962471262747529216/Uo8lOkRJ_normal.jpg","View")</f>
        <v>View</v>
      </c>
      <c r="P15325" s="7"/>
    </row>
    <row r="15326" spans="1:16">
      <c r="A15326" s="3">
        <v>44384.968969907408</v>
      </c>
      <c r="B15326" s="4" t="str">
        <f>HYPERLINK("https://twitter.com/petrogustavo","@petrogustavo")</f>
        <v>@petrogustavo</v>
      </c>
      <c r="C15326" s="5" t="s">
        <v>16</v>
      </c>
      <c r="D15326" s="5" t="s">
        <v>14760</v>
      </c>
      <c r="E15326" s="6" t="str">
        <f>HYPERLINK("https://twitter.com/petrogustavo/status/1412830100266045443","1412830100266045443")</f>
        <v>1412830100266045443</v>
      </c>
      <c r="F15326" s="7" t="s">
        <v>17</v>
      </c>
      <c r="G15326" s="7">
        <v>4325363</v>
      </c>
      <c r="H15326" s="7">
        <v>2531</v>
      </c>
      <c r="I15326" s="7">
        <v>1133</v>
      </c>
      <c r="J15326" s="7">
        <v>0</v>
      </c>
      <c r="K15326" s="7" t="s">
        <v>18</v>
      </c>
      <c r="L15326" s="8">
        <v>39987.315405092595</v>
      </c>
      <c r="M15326" s="9" t="s">
        <v>19</v>
      </c>
      <c r="N15326" s="9" t="s">
        <v>20</v>
      </c>
      <c r="O15326" s="6" t="str">
        <f>HYPERLINK("https://pbs.twimg.com/profile_images/962471262747529216/Uo8lOkRJ_normal.jpg","View")</f>
        <v>View</v>
      </c>
      <c r="P15326" s="7"/>
    </row>
    <row r="15327" spans="1:16">
      <c r="A15327" s="3">
        <v>44384.975092592591</v>
      </c>
      <c r="B15327" s="4" t="str">
        <f>HYPERLINK("https://twitter.com/petrogustavo","@petrogustavo")</f>
        <v>@petrogustavo</v>
      </c>
      <c r="C15327" s="5" t="s">
        <v>16</v>
      </c>
      <c r="D15327" s="5" t="s">
        <v>14761</v>
      </c>
      <c r="E15327" s="6" t="str">
        <f>HYPERLINK("https://twitter.com/petrogustavo/status/1412832320290275336","1412832320290275336")</f>
        <v>1412832320290275336</v>
      </c>
      <c r="F15327" s="7" t="s">
        <v>17</v>
      </c>
      <c r="G15327" s="7">
        <v>4325363</v>
      </c>
      <c r="H15327" s="7">
        <v>2531</v>
      </c>
      <c r="I15327" s="7">
        <v>150</v>
      </c>
      <c r="J15327" s="7">
        <v>417</v>
      </c>
      <c r="K15327" s="7" t="s">
        <v>18</v>
      </c>
      <c r="L15327" s="8">
        <v>39987.315405092595</v>
      </c>
      <c r="M15327" s="9" t="s">
        <v>19</v>
      </c>
      <c r="N15327" s="9" t="s">
        <v>20</v>
      </c>
      <c r="O15327" s="6" t="str">
        <f>HYPERLINK("https://pbs.twimg.com/profile_images/962471262747529216/Uo8lOkRJ_normal.jpg","View")</f>
        <v>View</v>
      </c>
      <c r="P15327" s="7"/>
    </row>
    <row r="15328" spans="1:16">
      <c r="A15328" s="3">
        <v>44385.139710648145</v>
      </c>
      <c r="B15328" s="4" t="str">
        <f>HYPERLINK("https://twitter.com/petrogustavo","@petrogustavo")</f>
        <v>@petrogustavo</v>
      </c>
      <c r="C15328" s="5" t="s">
        <v>16</v>
      </c>
      <c r="D15328" s="5" t="s">
        <v>14753</v>
      </c>
      <c r="E15328" s="6" t="str">
        <f>HYPERLINK("https://twitter.com/petrogustavo/status/1412891974747758597","1412891974747758597")</f>
        <v>1412891974747758597</v>
      </c>
      <c r="F15328" s="7" t="s">
        <v>17</v>
      </c>
      <c r="G15328" s="7">
        <v>4324740</v>
      </c>
      <c r="H15328" s="7">
        <v>2532</v>
      </c>
      <c r="I15328" s="7">
        <v>3510</v>
      </c>
      <c r="J15328" s="7">
        <v>0</v>
      </c>
      <c r="K15328" s="7" t="s">
        <v>18</v>
      </c>
      <c r="L15328" s="8">
        <v>39987.315405092595</v>
      </c>
      <c r="M15328" s="9" t="s">
        <v>19</v>
      </c>
      <c r="N15328" s="9" t="s">
        <v>20</v>
      </c>
      <c r="O15328" s="6" t="str">
        <f>HYPERLINK("https://pbs.twimg.com/profile_images/962471262747529216/Uo8lOkRJ_normal.jpg","View")</f>
        <v>View</v>
      </c>
      <c r="P15328" s="7"/>
    </row>
    <row r="15329" spans="1:16">
      <c r="A15329" s="3">
        <v>44385.807557870372</v>
      </c>
      <c r="B15329" s="4" t="str">
        <f>HYPERLINK("https://twitter.com/petrogustavo","@petrogustavo")</f>
        <v>@petrogustavo</v>
      </c>
      <c r="C15329" s="5" t="s">
        <v>16</v>
      </c>
      <c r="D15329" s="5" t="s">
        <v>14762</v>
      </c>
      <c r="E15329" s="6" t="str">
        <f>HYPERLINK("https://twitter.com/petrogustavo/status/1413133994099576837","1413133994099576837")</f>
        <v>1413133994099576837</v>
      </c>
      <c r="F15329" s="7" t="s">
        <v>17</v>
      </c>
      <c r="G15329" s="7">
        <v>4325135</v>
      </c>
      <c r="H15329" s="7">
        <v>2531</v>
      </c>
      <c r="I15329" s="7">
        <v>194</v>
      </c>
      <c r="J15329" s="7">
        <v>0</v>
      </c>
      <c r="K15329" s="7" t="s">
        <v>18</v>
      </c>
      <c r="L15329" s="8">
        <v>39987.315405092595</v>
      </c>
      <c r="M15329" s="9" t="s">
        <v>19</v>
      </c>
      <c r="N15329" s="9" t="s">
        <v>20</v>
      </c>
      <c r="O15329" s="6" t="str">
        <f>HYPERLINK("https://pbs.twimg.com/profile_images/962471262747529216/Uo8lOkRJ_normal.jpg","View")</f>
        <v>View</v>
      </c>
      <c r="P15329" s="7"/>
    </row>
    <row r="15330" spans="1:16">
      <c r="A15330" s="3">
        <v>44385.811666666668</v>
      </c>
      <c r="B15330" s="4" t="str">
        <f>HYPERLINK("https://twitter.com/petrogustavo","@petrogustavo")</f>
        <v>@petrogustavo</v>
      </c>
      <c r="C15330" s="5" t="s">
        <v>16</v>
      </c>
      <c r="D15330" s="5" t="s">
        <v>14763</v>
      </c>
      <c r="E15330" s="6" t="str">
        <f>HYPERLINK("https://twitter.com/petrogustavo/status/1413135482905448470","1413135482905448470")</f>
        <v>1413135482905448470</v>
      </c>
      <c r="F15330" s="7" t="s">
        <v>17</v>
      </c>
      <c r="G15330" s="7">
        <v>4325135</v>
      </c>
      <c r="H15330" s="7">
        <v>2531</v>
      </c>
      <c r="I15330" s="7">
        <v>54</v>
      </c>
      <c r="J15330" s="7">
        <v>172</v>
      </c>
      <c r="K15330" s="7" t="s">
        <v>18</v>
      </c>
      <c r="L15330" s="8">
        <v>39987.315405092595</v>
      </c>
      <c r="M15330" s="9" t="s">
        <v>19</v>
      </c>
      <c r="N15330" s="9" t="s">
        <v>20</v>
      </c>
      <c r="O15330" s="6" t="str">
        <f>HYPERLINK("https://pbs.twimg.com/profile_images/962471262747529216/Uo8lOkRJ_normal.jpg","View")</f>
        <v>View</v>
      </c>
      <c r="P15330" s="7"/>
    </row>
    <row r="15331" spans="1:16">
      <c r="A15331" s="3">
        <v>44385.814814814818</v>
      </c>
      <c r="B15331" s="4" t="str">
        <f>HYPERLINK("https://twitter.com/petrogustavo","@petrogustavo")</f>
        <v>@petrogustavo</v>
      </c>
      <c r="C15331" s="5" t="s">
        <v>16</v>
      </c>
      <c r="D15331" s="5" t="s">
        <v>14764</v>
      </c>
      <c r="E15331" s="6" t="str">
        <f>HYPERLINK("https://twitter.com/petrogustavo/status/1413136622627917840","1413136622627917840")</f>
        <v>1413136622627917840</v>
      </c>
      <c r="F15331" s="7" t="s">
        <v>17</v>
      </c>
      <c r="G15331" s="7">
        <v>4325134</v>
      </c>
      <c r="H15331" s="7">
        <v>2531</v>
      </c>
      <c r="I15331" s="7">
        <v>304</v>
      </c>
      <c r="J15331" s="7">
        <v>542</v>
      </c>
      <c r="K15331" s="7" t="s">
        <v>18</v>
      </c>
      <c r="L15331" s="8">
        <v>39987.315405092595</v>
      </c>
      <c r="M15331" s="9" t="s">
        <v>19</v>
      </c>
      <c r="N15331" s="9" t="s">
        <v>20</v>
      </c>
      <c r="O15331" s="6" t="str">
        <f>HYPERLINK("https://pbs.twimg.com/profile_images/962471262747529216/Uo8lOkRJ_normal.jpg","View")</f>
        <v>View</v>
      </c>
      <c r="P15331" s="7"/>
    </row>
    <row r="15332" spans="1:16">
      <c r="A15332" s="3">
        <v>44385.844976851848</v>
      </c>
      <c r="B15332" s="4" t="str">
        <f>HYPERLINK("https://twitter.com/petrogustavo","@petrogustavo")</f>
        <v>@petrogustavo</v>
      </c>
      <c r="C15332" s="5" t="s">
        <v>16</v>
      </c>
      <c r="D15332" s="5" t="s">
        <v>14765</v>
      </c>
      <c r="E15332" s="6" t="str">
        <f>HYPERLINK("https://twitter.com/petrogustavo/status/1413147553537789954","1413147553537789954")</f>
        <v>1413147553537789954</v>
      </c>
      <c r="F15332" s="7" t="s">
        <v>17</v>
      </c>
      <c r="G15332" s="7">
        <v>4325156</v>
      </c>
      <c r="H15332" s="7">
        <v>2531</v>
      </c>
      <c r="I15332" s="7">
        <v>36</v>
      </c>
      <c r="J15332" s="7">
        <v>0</v>
      </c>
      <c r="K15332" s="7" t="s">
        <v>18</v>
      </c>
      <c r="L15332" s="8">
        <v>39987.315405092595</v>
      </c>
      <c r="M15332" s="9" t="s">
        <v>19</v>
      </c>
      <c r="N15332" s="9" t="s">
        <v>20</v>
      </c>
      <c r="O15332" s="6" t="str">
        <f>HYPERLINK("https://pbs.twimg.com/profile_images/962471262747529216/Uo8lOkRJ_normal.jpg","View")</f>
        <v>View</v>
      </c>
      <c r="P15332" s="7"/>
    </row>
    <row r="15333" spans="1:16">
      <c r="A15333" s="3">
        <v>44385.850057870368</v>
      </c>
      <c r="B15333" s="4" t="str">
        <f>HYPERLINK("https://twitter.com/petrogustavo","@petrogustavo")</f>
        <v>@petrogustavo</v>
      </c>
      <c r="C15333" s="5" t="s">
        <v>16</v>
      </c>
      <c r="D15333" s="5" t="s">
        <v>14766</v>
      </c>
      <c r="E15333" s="6" t="str">
        <f>HYPERLINK("https://twitter.com/petrogustavo/status/1413149397106397188","1413149397106397188")</f>
        <v>1413149397106397188</v>
      </c>
      <c r="F15333" s="7" t="s">
        <v>17</v>
      </c>
      <c r="G15333" s="7">
        <v>4325156</v>
      </c>
      <c r="H15333" s="7">
        <v>2531</v>
      </c>
      <c r="I15333" s="7">
        <v>75</v>
      </c>
      <c r="J15333" s="7">
        <v>208</v>
      </c>
      <c r="K15333" s="7" t="s">
        <v>18</v>
      </c>
      <c r="L15333" s="8">
        <v>39987.315405092595</v>
      </c>
      <c r="M15333" s="9" t="s">
        <v>19</v>
      </c>
      <c r="N15333" s="9" t="s">
        <v>20</v>
      </c>
      <c r="O15333" s="6" t="str">
        <f>HYPERLINK("https://pbs.twimg.com/profile_images/962471262747529216/Uo8lOkRJ_normal.jpg","View")</f>
        <v>View</v>
      </c>
      <c r="P15333" s="7"/>
    </row>
    <row r="15334" spans="1:16">
      <c r="A15334" s="3">
        <v>44385.872581018513</v>
      </c>
      <c r="B15334" s="4" t="str">
        <f>HYPERLINK("https://twitter.com/petrogustavo","@petrogustavo")</f>
        <v>@petrogustavo</v>
      </c>
      <c r="C15334" s="5" t="s">
        <v>16</v>
      </c>
      <c r="D15334" s="5" t="s">
        <v>14767</v>
      </c>
      <c r="E15334" s="6" t="str">
        <f>HYPERLINK("https://twitter.com/petrogustavo/status/1413157558752317442","1413157558752317442")</f>
        <v>1413157558752317442</v>
      </c>
      <c r="F15334" s="7" t="s">
        <v>17</v>
      </c>
      <c r="G15334" s="7">
        <v>4325881</v>
      </c>
      <c r="H15334" s="7">
        <v>2530</v>
      </c>
      <c r="I15334" s="7">
        <v>38</v>
      </c>
      <c r="J15334" s="7">
        <v>104</v>
      </c>
      <c r="K15334" s="7" t="s">
        <v>18</v>
      </c>
      <c r="L15334" s="8">
        <v>39987.315405092595</v>
      </c>
      <c r="M15334" s="9" t="s">
        <v>19</v>
      </c>
      <c r="N15334" s="9" t="s">
        <v>20</v>
      </c>
      <c r="O15334" s="6" t="str">
        <f>HYPERLINK("https://pbs.twimg.com/profile_images/962471262747529216/Uo8lOkRJ_normal.jpg","View")</f>
        <v>View</v>
      </c>
      <c r="P15334" s="7"/>
    </row>
    <row r="15335" spans="1:16">
      <c r="A15335" s="3">
        <v>44385.876574074078</v>
      </c>
      <c r="B15335" s="4" t="str">
        <f>HYPERLINK("https://twitter.com/petrogustavo","@petrogustavo")</f>
        <v>@petrogustavo</v>
      </c>
      <c r="C15335" s="5" t="s">
        <v>16</v>
      </c>
      <c r="D15335" s="5" t="s">
        <v>14768</v>
      </c>
      <c r="E15335" s="6" t="str">
        <f>HYPERLINK("https://twitter.com/petrogustavo/status/1413159005665497090","1413159005665497090")</f>
        <v>1413159005665497090</v>
      </c>
      <c r="F15335" s="7" t="s">
        <v>17</v>
      </c>
      <c r="G15335" s="7">
        <v>4325881</v>
      </c>
      <c r="H15335" s="7">
        <v>2530</v>
      </c>
      <c r="I15335" s="7">
        <v>8</v>
      </c>
      <c r="J15335" s="7">
        <v>24</v>
      </c>
      <c r="K15335" s="7" t="s">
        <v>18</v>
      </c>
      <c r="L15335" s="8">
        <v>39987.315405092595</v>
      </c>
      <c r="M15335" s="9" t="s">
        <v>19</v>
      </c>
      <c r="N15335" s="9" t="s">
        <v>20</v>
      </c>
      <c r="O15335" s="6" t="str">
        <f>HYPERLINK("https://pbs.twimg.com/profile_images/962471262747529216/Uo8lOkRJ_normal.jpg","View")</f>
        <v>View</v>
      </c>
      <c r="P15335" s="7"/>
    </row>
    <row r="15336" spans="1:16">
      <c r="A15336" s="3">
        <v>44385.883668981478</v>
      </c>
      <c r="B15336" s="4" t="str">
        <f>HYPERLINK("https://twitter.com/petrogustavo","@petrogustavo")</f>
        <v>@petrogustavo</v>
      </c>
      <c r="C15336" s="5" t="s">
        <v>16</v>
      </c>
      <c r="D15336" s="5" t="s">
        <v>14769</v>
      </c>
      <c r="E15336" s="6" t="str">
        <f>HYPERLINK("https://twitter.com/petrogustavo/status/1413161575289085958","1413161575289085958")</f>
        <v>1413161575289085958</v>
      </c>
      <c r="F15336" s="7" t="s">
        <v>17</v>
      </c>
      <c r="G15336" s="7">
        <v>4325903</v>
      </c>
      <c r="H15336" s="7">
        <v>2530</v>
      </c>
      <c r="I15336" s="7">
        <v>141</v>
      </c>
      <c r="J15336" s="7">
        <v>413</v>
      </c>
      <c r="K15336" s="7" t="s">
        <v>18</v>
      </c>
      <c r="L15336" s="8">
        <v>39987.315405092595</v>
      </c>
      <c r="M15336" s="9" t="s">
        <v>19</v>
      </c>
      <c r="N15336" s="9" t="s">
        <v>20</v>
      </c>
      <c r="O15336" s="6" t="str">
        <f>HYPERLINK("https://pbs.twimg.com/profile_images/962471262747529216/Uo8lOkRJ_normal.jpg","View")</f>
        <v>View</v>
      </c>
      <c r="P15336" s="7"/>
    </row>
    <row r="15337" spans="1:16">
      <c r="A15337" s="3">
        <v>44385.886828703704</v>
      </c>
      <c r="B15337" s="4" t="str">
        <f>HYPERLINK("https://twitter.com/petrogustavo","@petrogustavo")</f>
        <v>@petrogustavo</v>
      </c>
      <c r="C15337" s="5" t="s">
        <v>16</v>
      </c>
      <c r="D15337" s="5" t="s">
        <v>14770</v>
      </c>
      <c r="E15337" s="6" t="str">
        <f>HYPERLINK("https://twitter.com/petrogustavo/status/1413162719340081156","1413162719340081156")</f>
        <v>1413162719340081156</v>
      </c>
      <c r="F15337" s="7" t="s">
        <v>17</v>
      </c>
      <c r="G15337" s="7">
        <v>4325903</v>
      </c>
      <c r="H15337" s="7">
        <v>2530</v>
      </c>
      <c r="I15337" s="7">
        <v>3512</v>
      </c>
      <c r="J15337" s="7">
        <v>0</v>
      </c>
      <c r="K15337" s="7" t="s">
        <v>18</v>
      </c>
      <c r="L15337" s="8">
        <v>39987.315405092595</v>
      </c>
      <c r="M15337" s="9" t="s">
        <v>19</v>
      </c>
      <c r="N15337" s="9" t="s">
        <v>20</v>
      </c>
      <c r="O15337" s="6" t="str">
        <f>HYPERLINK("https://pbs.twimg.com/profile_images/962471262747529216/Uo8lOkRJ_normal.jpg","View")</f>
        <v>View</v>
      </c>
      <c r="P15337" s="7"/>
    </row>
    <row r="15338" spans="1:16">
      <c r="A15338" s="3">
        <v>44385.90043981481</v>
      </c>
      <c r="B15338" s="4" t="str">
        <f>HYPERLINK("https://twitter.com/petrogustavo","@petrogustavo")</f>
        <v>@petrogustavo</v>
      </c>
      <c r="C15338" s="5" t="s">
        <v>16</v>
      </c>
      <c r="D15338" s="5" t="s">
        <v>14771</v>
      </c>
      <c r="E15338" s="6" t="str">
        <f>HYPERLINK("https://twitter.com/petrogustavo/status/1413167653326397443","1413167653326397443")</f>
        <v>1413167653326397443</v>
      </c>
      <c r="F15338" s="7" t="s">
        <v>32</v>
      </c>
      <c r="G15338" s="7">
        <v>4325921</v>
      </c>
      <c r="H15338" s="7">
        <v>2530</v>
      </c>
      <c r="I15338" s="7">
        <v>266</v>
      </c>
      <c r="J15338" s="7">
        <v>0</v>
      </c>
      <c r="K15338" s="7" t="s">
        <v>18</v>
      </c>
      <c r="L15338" s="8">
        <v>39987.315405092595</v>
      </c>
      <c r="M15338" s="9" t="s">
        <v>19</v>
      </c>
      <c r="N15338" s="9" t="s">
        <v>20</v>
      </c>
      <c r="O15338" s="6" t="str">
        <f>HYPERLINK("https://pbs.twimg.com/profile_images/962471262747529216/Uo8lOkRJ_normal.jpg","View")</f>
        <v>View</v>
      </c>
      <c r="P15338" s="7"/>
    </row>
    <row r="15339" spans="1:16">
      <c r="A15339" s="3">
        <v>44386.135520833333</v>
      </c>
      <c r="B15339" s="4" t="str">
        <f>HYPERLINK("https://twitter.com/petrogustavo","@petrogustavo")</f>
        <v>@petrogustavo</v>
      </c>
      <c r="C15339" s="5" t="s">
        <v>16</v>
      </c>
      <c r="D15339" s="5" t="s">
        <v>14772</v>
      </c>
      <c r="E15339" s="6" t="str">
        <f>HYPERLINK("https://twitter.com/petrogustavo/status/1413252844166258693","1413252844166258693")</f>
        <v>1413252844166258693</v>
      </c>
      <c r="F15339" s="7" t="s">
        <v>17</v>
      </c>
      <c r="G15339" s="7">
        <v>4326106</v>
      </c>
      <c r="H15339" s="7">
        <v>2530</v>
      </c>
      <c r="I15339" s="7">
        <v>2031</v>
      </c>
      <c r="J15339" s="7">
        <v>0</v>
      </c>
      <c r="K15339" s="7" t="s">
        <v>18</v>
      </c>
      <c r="L15339" s="8">
        <v>39987.315405092595</v>
      </c>
      <c r="M15339" s="9" t="s">
        <v>19</v>
      </c>
      <c r="N15339" s="9" t="s">
        <v>20</v>
      </c>
      <c r="O15339" s="6" t="str">
        <f>HYPERLINK("https://pbs.twimg.com/profile_images/962471262747529216/Uo8lOkRJ_normal.jpg","View")</f>
        <v>View</v>
      </c>
      <c r="P15339" s="7"/>
    </row>
    <row r="15340" spans="1:16">
      <c r="A15340" s="3">
        <v>44386.175462962958</v>
      </c>
      <c r="B15340" s="4" t="str">
        <f>HYPERLINK("https://twitter.com/petrogustavo","@petrogustavo")</f>
        <v>@petrogustavo</v>
      </c>
      <c r="C15340" s="5" t="s">
        <v>16</v>
      </c>
      <c r="D15340" s="5" t="s">
        <v>14773</v>
      </c>
      <c r="E15340" s="6" t="str">
        <f>HYPERLINK("https://twitter.com/petrogustavo/status/1413267320013737985","1413267320013737985")</f>
        <v>1413267320013737985</v>
      </c>
      <c r="F15340" s="7" t="s">
        <v>17</v>
      </c>
      <c r="G15340" s="7">
        <v>4326149</v>
      </c>
      <c r="H15340" s="7">
        <v>2530</v>
      </c>
      <c r="I15340" s="7">
        <v>276</v>
      </c>
      <c r="J15340" s="7">
        <v>443</v>
      </c>
      <c r="K15340" s="7" t="s">
        <v>18</v>
      </c>
      <c r="L15340" s="8">
        <v>39987.315405092595</v>
      </c>
      <c r="M15340" s="9" t="s">
        <v>19</v>
      </c>
      <c r="N15340" s="9" t="s">
        <v>20</v>
      </c>
      <c r="O15340" s="6" t="str">
        <f>HYPERLINK("https://pbs.twimg.com/profile_images/962471262747529216/Uo8lOkRJ_normal.jpg","View")</f>
        <v>View</v>
      </c>
      <c r="P15340" s="7"/>
    </row>
    <row r="15341" spans="1:16">
      <c r="A15341" s="3">
        <v>44386.180983796294</v>
      </c>
      <c r="B15341" s="4" t="str">
        <f>HYPERLINK("https://twitter.com/petrogustavo","@petrogustavo")</f>
        <v>@petrogustavo</v>
      </c>
      <c r="C15341" s="5" t="s">
        <v>16</v>
      </c>
      <c r="D15341" s="5" t="s">
        <v>14774</v>
      </c>
      <c r="E15341" s="6" t="str">
        <f>HYPERLINK("https://twitter.com/petrogustavo/status/1413269320021553159","1413269320021553159")</f>
        <v>1413269320021553159</v>
      </c>
      <c r="F15341" s="7" t="s">
        <v>17</v>
      </c>
      <c r="G15341" s="7">
        <v>4326149</v>
      </c>
      <c r="H15341" s="7">
        <v>2530</v>
      </c>
      <c r="I15341" s="7">
        <v>4101</v>
      </c>
      <c r="J15341" s="7">
        <v>0</v>
      </c>
      <c r="K15341" s="7" t="s">
        <v>18</v>
      </c>
      <c r="L15341" s="8">
        <v>39987.315405092595</v>
      </c>
      <c r="M15341" s="9" t="s">
        <v>19</v>
      </c>
      <c r="N15341" s="9" t="s">
        <v>20</v>
      </c>
      <c r="O15341" s="6" t="str">
        <f>HYPERLINK("https://pbs.twimg.com/profile_images/962471262747529216/Uo8lOkRJ_normal.jpg","View")</f>
        <v>View</v>
      </c>
      <c r="P15341" s="7"/>
    </row>
    <row r="15342" spans="1:16">
      <c r="A15342" s="3">
        <v>44386.181828703702</v>
      </c>
      <c r="B15342" s="4" t="str">
        <f>HYPERLINK("https://twitter.com/petrogustavo","@petrogustavo")</f>
        <v>@petrogustavo</v>
      </c>
      <c r="C15342" s="5" t="s">
        <v>16</v>
      </c>
      <c r="D15342" s="5" t="s">
        <v>14775</v>
      </c>
      <c r="E15342" s="6" t="str">
        <f>HYPERLINK("https://twitter.com/petrogustavo/status/1413269623366209545","1413269623366209545")</f>
        <v>1413269623366209545</v>
      </c>
      <c r="F15342" s="7" t="s">
        <v>17</v>
      </c>
      <c r="G15342" s="7">
        <v>4326149</v>
      </c>
      <c r="H15342" s="7">
        <v>2530</v>
      </c>
      <c r="I15342" s="7">
        <v>276</v>
      </c>
      <c r="J15342" s="7">
        <v>0</v>
      </c>
      <c r="K15342" s="7" t="s">
        <v>18</v>
      </c>
      <c r="L15342" s="8">
        <v>39987.315405092595</v>
      </c>
      <c r="M15342" s="9" t="s">
        <v>19</v>
      </c>
      <c r="N15342" s="9" t="s">
        <v>20</v>
      </c>
      <c r="O15342" s="6" t="str">
        <f>HYPERLINK("https://pbs.twimg.com/profile_images/962471262747529216/Uo8lOkRJ_normal.jpg","View")</f>
        <v>View</v>
      </c>
      <c r="P15342" s="7"/>
    </row>
    <row r="15343" spans="1:16">
      <c r="A15343" s="3">
        <v>44386.76017361111</v>
      </c>
      <c r="B15343" s="4" t="str">
        <f>HYPERLINK("https://twitter.com/petrogustavo","@petrogustavo")</f>
        <v>@petrogustavo</v>
      </c>
      <c r="C15343" s="5" t="s">
        <v>16</v>
      </c>
      <c r="D15343" s="5" t="s">
        <v>14776</v>
      </c>
      <c r="E15343" s="6" t="str">
        <f>HYPERLINK("https://twitter.com/petrogustavo/status/1413479210077679617","1413479210077679617")</f>
        <v>1413479210077679617</v>
      </c>
      <c r="F15343" s="7" t="s">
        <v>17</v>
      </c>
      <c r="G15343" s="7">
        <v>4326481</v>
      </c>
      <c r="H15343" s="7">
        <v>2531</v>
      </c>
      <c r="I15343" s="7">
        <v>2177</v>
      </c>
      <c r="J15343" s="7">
        <v>0</v>
      </c>
      <c r="K15343" s="7" t="s">
        <v>18</v>
      </c>
      <c r="L15343" s="8">
        <v>39987.315405092595</v>
      </c>
      <c r="M15343" s="9" t="s">
        <v>19</v>
      </c>
      <c r="N15343" s="9" t="s">
        <v>20</v>
      </c>
      <c r="O15343" s="6" t="str">
        <f>HYPERLINK("https://pbs.twimg.com/profile_images/962471262747529216/Uo8lOkRJ_normal.jpg","View")</f>
        <v>View</v>
      </c>
      <c r="P15343" s="7"/>
    </row>
    <row r="15344" spans="1:16">
      <c r="A15344" s="3">
        <v>44386.765451388885</v>
      </c>
      <c r="B15344" s="4" t="str">
        <f>HYPERLINK("https://twitter.com/petrogustavo","@petrogustavo")</f>
        <v>@petrogustavo</v>
      </c>
      <c r="C15344" s="5" t="s">
        <v>16</v>
      </c>
      <c r="D15344" s="5" t="s">
        <v>14777</v>
      </c>
      <c r="E15344" s="6" t="str">
        <f>HYPERLINK("https://twitter.com/petrogustavo/status/1413481122307076097","1413481122307076097")</f>
        <v>1413481122307076097</v>
      </c>
      <c r="F15344" s="7" t="s">
        <v>17</v>
      </c>
      <c r="G15344" s="7">
        <v>4326481</v>
      </c>
      <c r="H15344" s="7">
        <v>2531</v>
      </c>
      <c r="I15344" s="7">
        <v>153</v>
      </c>
      <c r="J15344" s="7">
        <v>442</v>
      </c>
      <c r="K15344" s="7" t="s">
        <v>18</v>
      </c>
      <c r="L15344" s="8">
        <v>39987.315405092595</v>
      </c>
      <c r="M15344" s="9" t="s">
        <v>19</v>
      </c>
      <c r="N15344" s="9" t="s">
        <v>20</v>
      </c>
      <c r="O15344" s="6" t="str">
        <f>HYPERLINK("https://pbs.twimg.com/profile_images/962471262747529216/Uo8lOkRJ_normal.jpg","View")</f>
        <v>View</v>
      </c>
      <c r="P15344" s="7"/>
    </row>
    <row r="15345" spans="1:16">
      <c r="A15345" s="3">
        <v>44386.765451388885</v>
      </c>
      <c r="B15345" s="4" t="str">
        <f>HYPERLINK("https://twitter.com/petrogustavo","@petrogustavo")</f>
        <v>@petrogustavo</v>
      </c>
      <c r="C15345" s="5" t="s">
        <v>16</v>
      </c>
      <c r="D15345" s="5" t="s">
        <v>14778</v>
      </c>
      <c r="E15345" s="6" t="str">
        <f>HYPERLINK("https://twitter.com/petrogustavo/status/1413481124303568906","1413481124303568906")</f>
        <v>1413481124303568906</v>
      </c>
      <c r="F15345" s="7" t="s">
        <v>17</v>
      </c>
      <c r="G15345" s="7">
        <v>4326481</v>
      </c>
      <c r="H15345" s="7">
        <v>2531</v>
      </c>
      <c r="I15345" s="7">
        <v>83</v>
      </c>
      <c r="J15345" s="7">
        <v>261</v>
      </c>
      <c r="K15345" s="7" t="s">
        <v>18</v>
      </c>
      <c r="L15345" s="8">
        <v>39987.315405092595</v>
      </c>
      <c r="M15345" s="9" t="s">
        <v>19</v>
      </c>
      <c r="N15345" s="9" t="s">
        <v>20</v>
      </c>
      <c r="O15345" s="6" t="str">
        <f>HYPERLINK("https://pbs.twimg.com/profile_images/962471262747529216/Uo8lOkRJ_normal.jpg","View")</f>
        <v>View</v>
      </c>
      <c r="P15345" s="7"/>
    </row>
    <row r="15346" spans="1:16">
      <c r="A15346" s="3">
        <v>44386.765462962961</v>
      </c>
      <c r="B15346" s="4" t="str">
        <f>HYPERLINK("https://twitter.com/petrogustavo","@petrogustavo")</f>
        <v>@petrogustavo</v>
      </c>
      <c r="C15346" s="5" t="s">
        <v>16</v>
      </c>
      <c r="D15346" s="5" t="s">
        <v>14779</v>
      </c>
      <c r="E15346" s="6" t="str">
        <f>HYPERLINK("https://twitter.com/petrogustavo/status/1413481126220402695","1413481126220402695")</f>
        <v>1413481126220402695</v>
      </c>
      <c r="F15346" s="7" t="s">
        <v>17</v>
      </c>
      <c r="G15346" s="7">
        <v>4326481</v>
      </c>
      <c r="H15346" s="7">
        <v>2531</v>
      </c>
      <c r="I15346" s="7">
        <v>159</v>
      </c>
      <c r="J15346" s="7">
        <v>403</v>
      </c>
      <c r="K15346" s="7" t="s">
        <v>18</v>
      </c>
      <c r="L15346" s="8">
        <v>39987.315405092595</v>
      </c>
      <c r="M15346" s="9" t="s">
        <v>19</v>
      </c>
      <c r="N15346" s="9" t="s">
        <v>20</v>
      </c>
      <c r="O15346" s="6" t="str">
        <f>HYPERLINK("https://pbs.twimg.com/profile_images/962471262747529216/Uo8lOkRJ_normal.jpg","View")</f>
        <v>View</v>
      </c>
      <c r="P15346" s="7"/>
    </row>
    <row r="15347" spans="1:16">
      <c r="A15347" s="3">
        <v>44386.784074074079</v>
      </c>
      <c r="B15347" s="4" t="str">
        <f>HYPERLINK("https://twitter.com/petrogustavo","@petrogustavo")</f>
        <v>@petrogustavo</v>
      </c>
      <c r="C15347" s="5" t="s">
        <v>16</v>
      </c>
      <c r="D15347" s="5" t="s">
        <v>14780</v>
      </c>
      <c r="E15347" s="6" t="str">
        <f>HYPERLINK("https://twitter.com/petrogustavo/status/1413487871126872066","1413487871126872066")</f>
        <v>1413487871126872066</v>
      </c>
      <c r="F15347" s="7" t="s">
        <v>17</v>
      </c>
      <c r="G15347" s="7">
        <v>4325748</v>
      </c>
      <c r="H15347" s="7">
        <v>2532</v>
      </c>
      <c r="I15347" s="7">
        <v>164</v>
      </c>
      <c r="J15347" s="7">
        <v>366</v>
      </c>
      <c r="K15347" s="7" t="s">
        <v>18</v>
      </c>
      <c r="L15347" s="8">
        <v>39987.315405092595</v>
      </c>
      <c r="M15347" s="9" t="s">
        <v>19</v>
      </c>
      <c r="N15347" s="9" t="s">
        <v>20</v>
      </c>
      <c r="O15347" s="6" t="str">
        <f>HYPERLINK("https://pbs.twimg.com/profile_images/962471262747529216/Uo8lOkRJ_normal.jpg","View")</f>
        <v>View</v>
      </c>
      <c r="P15347" s="7"/>
    </row>
    <row r="15348" spans="1:16">
      <c r="A15348" s="3">
        <v>44386.786250000005</v>
      </c>
      <c r="B15348" s="4" t="str">
        <f>HYPERLINK("https://twitter.com/petrogustavo","@petrogustavo")</f>
        <v>@petrogustavo</v>
      </c>
      <c r="C15348" s="5" t="s">
        <v>16</v>
      </c>
      <c r="D15348" s="5" t="s">
        <v>14781</v>
      </c>
      <c r="E15348" s="6" t="str">
        <f>HYPERLINK("https://twitter.com/petrogustavo/status/1413488657915289600","1413488657915289600")</f>
        <v>1413488657915289600</v>
      </c>
      <c r="F15348" s="7" t="s">
        <v>17</v>
      </c>
      <c r="G15348" s="7">
        <v>4325748</v>
      </c>
      <c r="H15348" s="7">
        <v>2532</v>
      </c>
      <c r="I15348" s="7">
        <v>48</v>
      </c>
      <c r="J15348" s="7">
        <v>127</v>
      </c>
      <c r="K15348" s="7" t="s">
        <v>18</v>
      </c>
      <c r="L15348" s="8">
        <v>39987.315405092595</v>
      </c>
      <c r="M15348" s="9" t="s">
        <v>19</v>
      </c>
      <c r="N15348" s="9" t="s">
        <v>20</v>
      </c>
      <c r="O15348" s="6" t="str">
        <f>HYPERLINK("https://pbs.twimg.com/profile_images/962471262747529216/Uo8lOkRJ_normal.jpg","View")</f>
        <v>View</v>
      </c>
      <c r="P15348" s="7"/>
    </row>
    <row r="15349" spans="1:16">
      <c r="A15349" s="3">
        <v>44386.791967592595</v>
      </c>
      <c r="B15349" s="4" t="str">
        <f>HYPERLINK("https://twitter.com/petrogustavo","@petrogustavo")</f>
        <v>@petrogustavo</v>
      </c>
      <c r="C15349" s="5" t="s">
        <v>16</v>
      </c>
      <c r="D15349" s="5" t="s">
        <v>14782</v>
      </c>
      <c r="E15349" s="6" t="str">
        <f>HYPERLINK("https://twitter.com/petrogustavo/status/1413490730555908103","1413490730555908103")</f>
        <v>1413490730555908103</v>
      </c>
      <c r="F15349" s="7" t="s">
        <v>17</v>
      </c>
      <c r="G15349" s="7">
        <v>4325748</v>
      </c>
      <c r="H15349" s="7">
        <v>2532</v>
      </c>
      <c r="I15349" s="7">
        <v>77</v>
      </c>
      <c r="J15349" s="7">
        <v>200</v>
      </c>
      <c r="K15349" s="7" t="s">
        <v>18</v>
      </c>
      <c r="L15349" s="8">
        <v>39987.315405092595</v>
      </c>
      <c r="M15349" s="9" t="s">
        <v>19</v>
      </c>
      <c r="N15349" s="9" t="s">
        <v>20</v>
      </c>
      <c r="O15349" s="6" t="str">
        <f>HYPERLINK("https://pbs.twimg.com/profile_images/962471262747529216/Uo8lOkRJ_normal.jpg","View")</f>
        <v>View</v>
      </c>
      <c r="P15349" s="7"/>
    </row>
    <row r="15350" spans="1:16">
      <c r="A15350" s="3">
        <v>44386.978368055556</v>
      </c>
      <c r="B15350" s="4" t="str">
        <f>HYPERLINK("https://twitter.com/petrogustavo","@petrogustavo")</f>
        <v>@petrogustavo</v>
      </c>
      <c r="C15350" s="5" t="s">
        <v>16</v>
      </c>
      <c r="D15350" s="5" t="s">
        <v>14783</v>
      </c>
      <c r="E15350" s="6" t="str">
        <f>HYPERLINK("https://twitter.com/petrogustavo/status/1413558282464239622","1413558282464239622")</f>
        <v>1413558282464239622</v>
      </c>
      <c r="F15350" s="7" t="s">
        <v>17</v>
      </c>
      <c r="G15350" s="7">
        <v>4326678</v>
      </c>
      <c r="H15350" s="7">
        <v>2531</v>
      </c>
      <c r="I15350" s="7">
        <v>192</v>
      </c>
      <c r="J15350" s="7">
        <v>486</v>
      </c>
      <c r="K15350" s="7" t="s">
        <v>18</v>
      </c>
      <c r="L15350" s="8">
        <v>39987.315405092595</v>
      </c>
      <c r="M15350" s="9" t="s">
        <v>19</v>
      </c>
      <c r="N15350" s="9" t="s">
        <v>20</v>
      </c>
      <c r="O15350" s="6" t="str">
        <f>HYPERLINK("https://pbs.twimg.com/profile_images/962471262747529216/Uo8lOkRJ_normal.jpg","View")</f>
        <v>View</v>
      </c>
      <c r="P15350" s="7"/>
    </row>
    <row r="15351" spans="1:16">
      <c r="A15351" s="3">
        <v>44387.118437500001</v>
      </c>
      <c r="B15351" s="4" t="str">
        <f>HYPERLINK("https://twitter.com/petrogustavo","@petrogustavo")</f>
        <v>@petrogustavo</v>
      </c>
      <c r="C15351" s="5" t="s">
        <v>16</v>
      </c>
      <c r="D15351" s="5" t="s">
        <v>14784</v>
      </c>
      <c r="E15351" s="6" t="str">
        <f>HYPERLINK("https://twitter.com/petrogustavo/status/1413609040568098818","1413609040568098818")</f>
        <v>1413609040568098818</v>
      </c>
      <c r="F15351" s="7" t="s">
        <v>32</v>
      </c>
      <c r="G15351" s="7">
        <v>4326788</v>
      </c>
      <c r="H15351" s="7">
        <v>2530</v>
      </c>
      <c r="I15351" s="7">
        <v>184</v>
      </c>
      <c r="J15351" s="7">
        <v>0</v>
      </c>
      <c r="K15351" s="7" t="s">
        <v>18</v>
      </c>
      <c r="L15351" s="8">
        <v>39987.315405092595</v>
      </c>
      <c r="M15351" s="9" t="s">
        <v>19</v>
      </c>
      <c r="N15351" s="9" t="s">
        <v>20</v>
      </c>
      <c r="O15351" s="6" t="str">
        <f>HYPERLINK("https://pbs.twimg.com/profile_images/962471262747529216/Uo8lOkRJ_normal.jpg","View")</f>
        <v>View</v>
      </c>
      <c r="P15351" s="7"/>
    </row>
    <row r="15352" spans="1:16">
      <c r="A15352" s="3">
        <v>44387.535752314812</v>
      </c>
      <c r="B15352" s="4" t="str">
        <f>HYPERLINK("https://twitter.com/petrogustavo","@petrogustavo")</f>
        <v>@petrogustavo</v>
      </c>
      <c r="C15352" s="5" t="s">
        <v>16</v>
      </c>
      <c r="D15352" s="5" t="s">
        <v>14785</v>
      </c>
      <c r="E15352" s="6" t="str">
        <f>HYPERLINK("https://twitter.com/petrogustavo/status/1413760271483609091","1413760271483609091")</f>
        <v>1413760271483609091</v>
      </c>
      <c r="F15352" s="7" t="s">
        <v>17</v>
      </c>
      <c r="G15352" s="7">
        <v>4327166</v>
      </c>
      <c r="H15352" s="7">
        <v>2530</v>
      </c>
      <c r="I15352" s="7">
        <v>23</v>
      </c>
      <c r="J15352" s="7">
        <v>0</v>
      </c>
      <c r="K15352" s="7" t="s">
        <v>18</v>
      </c>
      <c r="L15352" s="8">
        <v>39987.315405092595</v>
      </c>
      <c r="M15352" s="9" t="s">
        <v>19</v>
      </c>
      <c r="N15352" s="9" t="s">
        <v>20</v>
      </c>
      <c r="O15352" s="6" t="str">
        <f>HYPERLINK("https://pbs.twimg.com/profile_images/962471262747529216/Uo8lOkRJ_normal.jpg","View")</f>
        <v>View</v>
      </c>
      <c r="P15352" s="7"/>
    </row>
    <row r="15353" spans="1:16">
      <c r="A15353" s="3">
        <v>44387.538483796292</v>
      </c>
      <c r="B15353" s="4" t="str">
        <f>HYPERLINK("https://twitter.com/petrogustavo","@petrogustavo")</f>
        <v>@petrogustavo</v>
      </c>
      <c r="C15353" s="5" t="s">
        <v>16</v>
      </c>
      <c r="D15353" s="5" t="s">
        <v>14786</v>
      </c>
      <c r="E15353" s="6" t="str">
        <f>HYPERLINK("https://twitter.com/petrogustavo/status/1413761260852764673","1413761260852764673")</f>
        <v>1413761260852764673</v>
      </c>
      <c r="F15353" s="7" t="s">
        <v>17</v>
      </c>
      <c r="G15353" s="7">
        <v>4327166</v>
      </c>
      <c r="H15353" s="7">
        <v>2530</v>
      </c>
      <c r="I15353" s="7">
        <v>36</v>
      </c>
      <c r="J15353" s="7">
        <v>84</v>
      </c>
      <c r="K15353" s="7" t="s">
        <v>18</v>
      </c>
      <c r="L15353" s="8">
        <v>39987.315405092595</v>
      </c>
      <c r="M15353" s="9" t="s">
        <v>19</v>
      </c>
      <c r="N15353" s="9" t="s">
        <v>20</v>
      </c>
      <c r="O15353" s="6" t="str">
        <f>HYPERLINK("https://pbs.twimg.com/profile_images/962471262747529216/Uo8lOkRJ_normal.jpg","View")</f>
        <v>View</v>
      </c>
      <c r="P15353" s="7"/>
    </row>
    <row r="15354" spans="1:16">
      <c r="A15354" s="3">
        <v>44388.428148148145</v>
      </c>
      <c r="B15354" s="4" t="str">
        <f>HYPERLINK("https://twitter.com/petrogustavo","@petrogustavo")</f>
        <v>@petrogustavo</v>
      </c>
      <c r="C15354" s="5" t="s">
        <v>16</v>
      </c>
      <c r="D15354" s="5" t="s">
        <v>14787</v>
      </c>
      <c r="E15354" s="6" t="str">
        <f>HYPERLINK("https://twitter.com/petrogustavo/status/1414083661901795330","1414083661901795330")</f>
        <v>1414083661901795330</v>
      </c>
      <c r="F15354" s="7" t="s">
        <v>17</v>
      </c>
      <c r="G15354" s="7">
        <v>4327728</v>
      </c>
      <c r="H15354" s="7">
        <v>2529</v>
      </c>
      <c r="I15354" s="7">
        <v>189</v>
      </c>
      <c r="J15354" s="7">
        <v>341</v>
      </c>
      <c r="K15354" s="7" t="s">
        <v>18</v>
      </c>
      <c r="L15354" s="8">
        <v>39987.315405092595</v>
      </c>
      <c r="M15354" s="9" t="s">
        <v>19</v>
      </c>
      <c r="N15354" s="9" t="s">
        <v>20</v>
      </c>
      <c r="O15354" s="6" t="str">
        <f>HYPERLINK("https://pbs.twimg.com/profile_images/962471262747529216/Uo8lOkRJ_normal.jpg","View")</f>
        <v>View</v>
      </c>
      <c r="P15354" s="7"/>
    </row>
    <row r="15355" spans="1:16">
      <c r="A15355" s="3">
        <v>44388.444444444445</v>
      </c>
      <c r="B15355" s="4" t="str">
        <f>HYPERLINK("https://twitter.com/petrogustavo","@petrogustavo")</f>
        <v>@petrogustavo</v>
      </c>
      <c r="C15355" s="5" t="s">
        <v>16</v>
      </c>
      <c r="D15355" s="5" t="s">
        <v>14788</v>
      </c>
      <c r="E15355" s="6" t="str">
        <f>HYPERLINK("https://twitter.com/petrogustavo/status/1414089570438758400","1414089570438758400")</f>
        <v>1414089570438758400</v>
      </c>
      <c r="F15355" s="7" t="s">
        <v>17</v>
      </c>
      <c r="G15355" s="7">
        <v>4327738</v>
      </c>
      <c r="H15355" s="7">
        <v>2529</v>
      </c>
      <c r="I15355" s="7">
        <v>92</v>
      </c>
      <c r="J15355" s="7">
        <v>224</v>
      </c>
      <c r="K15355" s="7" t="s">
        <v>18</v>
      </c>
      <c r="L15355" s="8">
        <v>39987.315405092595</v>
      </c>
      <c r="M15355" s="9" t="s">
        <v>19</v>
      </c>
      <c r="N15355" s="9" t="s">
        <v>20</v>
      </c>
      <c r="O15355" s="6" t="str">
        <f>HYPERLINK("https://pbs.twimg.com/profile_images/962471262747529216/Uo8lOkRJ_normal.jpg","View")</f>
        <v>View</v>
      </c>
      <c r="P15355" s="7"/>
    </row>
    <row r="15356" spans="1:16">
      <c r="A15356" s="3">
        <v>44388.820902777778</v>
      </c>
      <c r="B15356" s="4" t="str">
        <f>HYPERLINK("https://twitter.com/petrogustavo","@petrogustavo")</f>
        <v>@petrogustavo</v>
      </c>
      <c r="C15356" s="5" t="s">
        <v>16</v>
      </c>
      <c r="D15356" s="5" t="s">
        <v>14789</v>
      </c>
      <c r="E15356" s="6" t="str">
        <f>HYPERLINK("https://twitter.com/petrogustavo/status/1414225993083019266","1414225993083019266")</f>
        <v>1414225993083019266</v>
      </c>
      <c r="F15356" s="7" t="s">
        <v>17</v>
      </c>
      <c r="G15356" s="7">
        <v>4327831</v>
      </c>
      <c r="H15356" s="7">
        <v>2529</v>
      </c>
      <c r="I15356" s="7">
        <v>1859</v>
      </c>
      <c r="J15356" s="7">
        <v>0</v>
      </c>
      <c r="K15356" s="7" t="s">
        <v>18</v>
      </c>
      <c r="L15356" s="8">
        <v>39987.315405092595</v>
      </c>
      <c r="M15356" s="9" t="s">
        <v>19</v>
      </c>
      <c r="N15356" s="9" t="s">
        <v>20</v>
      </c>
      <c r="O15356" s="6" t="str">
        <f>HYPERLINK("https://pbs.twimg.com/profile_images/962471262747529216/Uo8lOkRJ_normal.jpg","View")</f>
        <v>View</v>
      </c>
      <c r="P15356" s="7"/>
    </row>
    <row r="15357" spans="1:16">
      <c r="A15357" s="3">
        <v>44388.842037037037</v>
      </c>
      <c r="B15357" s="4" t="str">
        <f>HYPERLINK("https://twitter.com/petrogustavo","@petrogustavo")</f>
        <v>@petrogustavo</v>
      </c>
      <c r="C15357" s="5" t="s">
        <v>16</v>
      </c>
      <c r="D15357" s="5" t="s">
        <v>14790</v>
      </c>
      <c r="E15357" s="6" t="str">
        <f>HYPERLINK("https://twitter.com/petrogustavo/status/1414233654059048961","1414233654059048961")</f>
        <v>1414233654059048961</v>
      </c>
      <c r="F15357" s="7" t="s">
        <v>17</v>
      </c>
      <c r="G15357" s="7">
        <v>4327848</v>
      </c>
      <c r="H15357" s="7">
        <v>2529</v>
      </c>
      <c r="I15357" s="7">
        <v>200</v>
      </c>
      <c r="J15357" s="7">
        <v>684</v>
      </c>
      <c r="K15357" s="7" t="s">
        <v>18</v>
      </c>
      <c r="L15357" s="8">
        <v>39987.315405092595</v>
      </c>
      <c r="M15357" s="9" t="s">
        <v>19</v>
      </c>
      <c r="N15357" s="9" t="s">
        <v>20</v>
      </c>
      <c r="O15357" s="6" t="str">
        <f>HYPERLINK("https://pbs.twimg.com/profile_images/962471262747529216/Uo8lOkRJ_normal.jpg","View")</f>
        <v>View</v>
      </c>
      <c r="P15357" s="7"/>
    </row>
    <row r="15358" spans="1:16">
      <c r="A15358" s="3">
        <v>44388.842870370368</v>
      </c>
      <c r="B15358" s="4" t="str">
        <f>HYPERLINK("https://twitter.com/petrogustavo","@petrogustavo")</f>
        <v>@petrogustavo</v>
      </c>
      <c r="C15358" s="5" t="s">
        <v>16</v>
      </c>
      <c r="D15358" s="5" t="s">
        <v>14791</v>
      </c>
      <c r="E15358" s="6" t="str">
        <f>HYPERLINK("https://twitter.com/petrogustavo/status/1414233953326747652","1414233953326747652")</f>
        <v>1414233953326747652</v>
      </c>
      <c r="F15358" s="7" t="s">
        <v>17</v>
      </c>
      <c r="G15358" s="7">
        <v>4327848</v>
      </c>
      <c r="H15358" s="7">
        <v>2529</v>
      </c>
      <c r="I15358" s="7">
        <v>324</v>
      </c>
      <c r="J15358" s="7">
        <v>1254</v>
      </c>
      <c r="K15358" s="7" t="s">
        <v>18</v>
      </c>
      <c r="L15358" s="8">
        <v>39987.315405092595</v>
      </c>
      <c r="M15358" s="9" t="s">
        <v>19</v>
      </c>
      <c r="N15358" s="9" t="s">
        <v>20</v>
      </c>
      <c r="O15358" s="6" t="str">
        <f>HYPERLINK("https://pbs.twimg.com/profile_images/962471262747529216/Uo8lOkRJ_normal.jpg","View")</f>
        <v>View</v>
      </c>
      <c r="P15358" s="7"/>
    </row>
    <row r="15359" spans="1:16">
      <c r="A15359" s="3">
        <v>44389.129120370373</v>
      </c>
      <c r="B15359" s="4" t="str">
        <f>HYPERLINK("https://twitter.com/petrogustavo","@petrogustavo")</f>
        <v>@petrogustavo</v>
      </c>
      <c r="C15359" s="5" t="s">
        <v>16</v>
      </c>
      <c r="D15359" s="5" t="s">
        <v>14792</v>
      </c>
      <c r="E15359" s="6" t="str">
        <f>HYPERLINK("https://twitter.com/petrogustavo/status/1414337688023486474","1414337688023486474")</f>
        <v>1414337688023486474</v>
      </c>
      <c r="F15359" s="7" t="s">
        <v>17</v>
      </c>
      <c r="G15359" s="7">
        <v>4328037</v>
      </c>
      <c r="H15359" s="7">
        <v>2529</v>
      </c>
      <c r="I15359" s="7">
        <v>300</v>
      </c>
      <c r="J15359" s="7">
        <v>990</v>
      </c>
      <c r="K15359" s="7" t="s">
        <v>18</v>
      </c>
      <c r="L15359" s="8">
        <v>39987.315405092595</v>
      </c>
      <c r="M15359" s="9" t="s">
        <v>19</v>
      </c>
      <c r="N15359" s="9" t="s">
        <v>20</v>
      </c>
      <c r="O15359" s="6" t="str">
        <f>HYPERLINK("https://pbs.twimg.com/profile_images/962471262747529216/Uo8lOkRJ_normal.jpg","View")</f>
        <v>View</v>
      </c>
      <c r="P15359" s="7"/>
    </row>
    <row r="15360" spans="1:16">
      <c r="A15360" s="3">
        <v>44389.58148148148</v>
      </c>
      <c r="B15360" s="4" t="str">
        <f>HYPERLINK("https://twitter.com/petrogustavo","@petrogustavo")</f>
        <v>@petrogustavo</v>
      </c>
      <c r="C15360" s="5" t="s">
        <v>16</v>
      </c>
      <c r="D15360" s="5" t="s">
        <v>14793</v>
      </c>
      <c r="E15360" s="6" t="str">
        <f>HYPERLINK("https://twitter.com/petrogustavo/status/1414501617261551616","1414501617261551616")</f>
        <v>1414501617261551616</v>
      </c>
      <c r="F15360" s="7" t="s">
        <v>17</v>
      </c>
      <c r="G15360" s="7">
        <v>4328233</v>
      </c>
      <c r="H15360" s="7">
        <v>2529</v>
      </c>
      <c r="I15360" s="7">
        <v>10</v>
      </c>
      <c r="J15360" s="7">
        <v>76</v>
      </c>
      <c r="K15360" s="7" t="s">
        <v>18</v>
      </c>
      <c r="L15360" s="8">
        <v>39987.315405092595</v>
      </c>
      <c r="M15360" s="9" t="s">
        <v>19</v>
      </c>
      <c r="N15360" s="9" t="s">
        <v>20</v>
      </c>
      <c r="O15360" s="6" t="str">
        <f>HYPERLINK("https://pbs.twimg.com/profile_images/962471262747529216/Uo8lOkRJ_normal.jpg","View")</f>
        <v>View</v>
      </c>
      <c r="P15360" s="7"/>
    </row>
    <row r="15361" spans="1:16">
      <c r="A15361" s="3">
        <v>44389.623831018514</v>
      </c>
      <c r="B15361" s="4" t="str">
        <f>HYPERLINK("https://twitter.com/petrogustavo","@petrogustavo")</f>
        <v>@petrogustavo</v>
      </c>
      <c r="C15361" s="5" t="s">
        <v>16</v>
      </c>
      <c r="D15361" s="5" t="s">
        <v>14794</v>
      </c>
      <c r="E15361" s="6" t="str">
        <f>HYPERLINK("https://twitter.com/petrogustavo/status/1414516964937064450","1414516964937064450")</f>
        <v>1414516964937064450</v>
      </c>
      <c r="F15361" s="7" t="s">
        <v>17</v>
      </c>
      <c r="G15361" s="7">
        <v>4328238</v>
      </c>
      <c r="H15361" s="7">
        <v>2529</v>
      </c>
      <c r="I15361" s="7">
        <v>11</v>
      </c>
      <c r="J15361" s="7">
        <v>35</v>
      </c>
      <c r="K15361" s="7" t="s">
        <v>18</v>
      </c>
      <c r="L15361" s="8">
        <v>39987.315405092595</v>
      </c>
      <c r="M15361" s="9" t="s">
        <v>19</v>
      </c>
      <c r="N15361" s="9" t="s">
        <v>20</v>
      </c>
      <c r="O15361" s="6" t="str">
        <f>HYPERLINK("https://pbs.twimg.com/profile_images/962471262747529216/Uo8lOkRJ_normal.jpg","View")</f>
        <v>View</v>
      </c>
      <c r="P15361" s="7"/>
    </row>
    <row r="15362" spans="1:16">
      <c r="A15362" s="3">
        <v>44389.623831018514</v>
      </c>
      <c r="B15362" s="4" t="str">
        <f>HYPERLINK("https://twitter.com/petrogustavo","@petrogustavo")</f>
        <v>@petrogustavo</v>
      </c>
      <c r="C15362" s="5" t="s">
        <v>16</v>
      </c>
      <c r="D15362" s="5" t="s">
        <v>14795</v>
      </c>
      <c r="E15362" s="6" t="str">
        <f>HYPERLINK("https://twitter.com/petrogustavo/status/1414516966350598144","1414516966350598144")</f>
        <v>1414516966350598144</v>
      </c>
      <c r="F15362" s="7" t="s">
        <v>17</v>
      </c>
      <c r="G15362" s="7">
        <v>4328238</v>
      </c>
      <c r="H15362" s="7">
        <v>2529</v>
      </c>
      <c r="I15362" s="7">
        <v>5</v>
      </c>
      <c r="J15362" s="7">
        <v>23</v>
      </c>
      <c r="K15362" s="7" t="s">
        <v>18</v>
      </c>
      <c r="L15362" s="8">
        <v>39987.315405092595</v>
      </c>
      <c r="M15362" s="9" t="s">
        <v>19</v>
      </c>
      <c r="N15362" s="9" t="s">
        <v>20</v>
      </c>
      <c r="O15362" s="6" t="str">
        <f>HYPERLINK("https://pbs.twimg.com/profile_images/962471262747529216/Uo8lOkRJ_normal.jpg","View")</f>
        <v>View</v>
      </c>
      <c r="P15362" s="7"/>
    </row>
    <row r="15363" spans="1:16">
      <c r="A15363" s="3">
        <v>44389.623842592591</v>
      </c>
      <c r="B15363" s="4" t="str">
        <f>HYPERLINK("https://twitter.com/petrogustavo","@petrogustavo")</f>
        <v>@petrogustavo</v>
      </c>
      <c r="C15363" s="5" t="s">
        <v>16</v>
      </c>
      <c r="D15363" s="5" t="s">
        <v>14796</v>
      </c>
      <c r="E15363" s="6" t="str">
        <f>HYPERLINK("https://twitter.com/petrogustavo/status/1414516967692816387","1414516967692816387")</f>
        <v>1414516967692816387</v>
      </c>
      <c r="F15363" s="7" t="s">
        <v>17</v>
      </c>
      <c r="G15363" s="7">
        <v>4328238</v>
      </c>
      <c r="H15363" s="7">
        <v>2529</v>
      </c>
      <c r="I15363" s="7">
        <v>6</v>
      </c>
      <c r="J15363" s="7">
        <v>27</v>
      </c>
      <c r="K15363" s="7" t="s">
        <v>18</v>
      </c>
      <c r="L15363" s="8">
        <v>39987.315405092595</v>
      </c>
      <c r="M15363" s="9" t="s">
        <v>19</v>
      </c>
      <c r="N15363" s="9" t="s">
        <v>20</v>
      </c>
      <c r="O15363" s="6" t="str">
        <f>HYPERLINK("https://pbs.twimg.com/profile_images/962471262747529216/Uo8lOkRJ_normal.jpg","View")</f>
        <v>View</v>
      </c>
      <c r="P15363" s="7"/>
    </row>
    <row r="15364" spans="1:16">
      <c r="A15364" s="3">
        <v>44389.938969907409</v>
      </c>
      <c r="B15364" s="4" t="str">
        <f>HYPERLINK("https://twitter.com/petrogustavo","@petrogustavo")</f>
        <v>@petrogustavo</v>
      </c>
      <c r="C15364" s="5" t="s">
        <v>16</v>
      </c>
      <c r="D15364" s="5" t="s">
        <v>14797</v>
      </c>
      <c r="E15364" s="6" t="str">
        <f>HYPERLINK("https://twitter.com/petrogustavo/status/1414631166846672902","1414631166846672902")</f>
        <v>1414631166846672902</v>
      </c>
      <c r="F15364" s="7" t="s">
        <v>17</v>
      </c>
      <c r="G15364" s="7">
        <v>4328418</v>
      </c>
      <c r="H15364" s="7">
        <v>2529</v>
      </c>
      <c r="I15364" s="7">
        <v>2064</v>
      </c>
      <c r="J15364" s="7">
        <v>0</v>
      </c>
      <c r="K15364" s="7" t="s">
        <v>18</v>
      </c>
      <c r="L15364" s="8">
        <v>39987.315405092595</v>
      </c>
      <c r="M15364" s="9" t="s">
        <v>19</v>
      </c>
      <c r="N15364" s="9" t="s">
        <v>20</v>
      </c>
      <c r="O15364" s="6" t="str">
        <f>HYPERLINK("https://pbs.twimg.com/profile_images/962471262747529216/Uo8lOkRJ_normal.jpg","View")</f>
        <v>View</v>
      </c>
      <c r="P15364" s="7"/>
    </row>
    <row r="15365" spans="1:16">
      <c r="A15365" s="3">
        <v>44390.085266203707</v>
      </c>
      <c r="B15365" s="4" t="str">
        <f>HYPERLINK("https://twitter.com/petrogustavo","@petrogustavo")</f>
        <v>@petrogustavo</v>
      </c>
      <c r="C15365" s="5" t="s">
        <v>16</v>
      </c>
      <c r="D15365" s="5" t="s">
        <v>14798</v>
      </c>
      <c r="E15365" s="6" t="str">
        <f>HYPERLINK("https://twitter.com/petrogustavo/status/1414684182060675073","1414684182060675073")</f>
        <v>1414684182060675073</v>
      </c>
      <c r="F15365" s="7" t="s">
        <v>17</v>
      </c>
      <c r="G15365" s="7">
        <v>4328543</v>
      </c>
      <c r="H15365" s="7">
        <v>2529</v>
      </c>
      <c r="I15365" s="7">
        <v>49</v>
      </c>
      <c r="J15365" s="7">
        <v>0</v>
      </c>
      <c r="K15365" s="7" t="s">
        <v>18</v>
      </c>
      <c r="L15365" s="8">
        <v>39987.315405092595</v>
      </c>
      <c r="M15365" s="9" t="s">
        <v>19</v>
      </c>
      <c r="N15365" s="9" t="s">
        <v>20</v>
      </c>
      <c r="O15365" s="6" t="str">
        <f>HYPERLINK("https://pbs.twimg.com/profile_images/962471262747529216/Uo8lOkRJ_normal.jpg","View")</f>
        <v>View</v>
      </c>
      <c r="P15365" s="7"/>
    </row>
    <row r="15366" spans="1:16">
      <c r="A15366" s="3">
        <v>44390.093692129631</v>
      </c>
      <c r="B15366" s="4" t="str">
        <f>HYPERLINK("https://twitter.com/petrogustavo","@petrogustavo")</f>
        <v>@petrogustavo</v>
      </c>
      <c r="C15366" s="5" t="s">
        <v>16</v>
      </c>
      <c r="D15366" s="5" t="s">
        <v>14799</v>
      </c>
      <c r="E15366" s="6" t="str">
        <f>HYPERLINK("https://twitter.com/petrogustavo/status/1414687235090403329","1414687235090403329")</f>
        <v>1414687235090403329</v>
      </c>
      <c r="F15366" s="7" t="s">
        <v>17</v>
      </c>
      <c r="G15366" s="7">
        <v>4328562</v>
      </c>
      <c r="H15366" s="7">
        <v>2529</v>
      </c>
      <c r="I15366" s="7">
        <v>214</v>
      </c>
      <c r="J15366" s="7">
        <v>394</v>
      </c>
      <c r="K15366" s="7" t="s">
        <v>18</v>
      </c>
      <c r="L15366" s="8">
        <v>39987.315405092595</v>
      </c>
      <c r="M15366" s="9" t="s">
        <v>19</v>
      </c>
      <c r="N15366" s="9" t="s">
        <v>20</v>
      </c>
      <c r="O15366" s="6" t="str">
        <f>HYPERLINK("https://pbs.twimg.com/profile_images/962471262747529216/Uo8lOkRJ_normal.jpg","View")</f>
        <v>View</v>
      </c>
      <c r="P15366" s="7"/>
    </row>
    <row r="15367" spans="1:16">
      <c r="A15367" s="3">
        <v>44390.099270833336</v>
      </c>
      <c r="B15367" s="4" t="str">
        <f>HYPERLINK("https://twitter.com/petrogustavo","@petrogustavo")</f>
        <v>@petrogustavo</v>
      </c>
      <c r="C15367" s="5" t="s">
        <v>16</v>
      </c>
      <c r="D15367" s="5" t="s">
        <v>14800</v>
      </c>
      <c r="E15367" s="6" t="str">
        <f>HYPERLINK("https://twitter.com/petrogustavo/status/1414689256510001159","1414689256510001159")</f>
        <v>1414689256510001159</v>
      </c>
      <c r="F15367" s="7" t="s">
        <v>17</v>
      </c>
      <c r="G15367" s="7">
        <v>4328562</v>
      </c>
      <c r="H15367" s="7">
        <v>2529</v>
      </c>
      <c r="I15367" s="7">
        <v>100</v>
      </c>
      <c r="J15367" s="7">
        <v>374</v>
      </c>
      <c r="K15367" s="7" t="s">
        <v>18</v>
      </c>
      <c r="L15367" s="8">
        <v>39987.315405092595</v>
      </c>
      <c r="M15367" s="9" t="s">
        <v>19</v>
      </c>
      <c r="N15367" s="9" t="s">
        <v>20</v>
      </c>
      <c r="O15367" s="6" t="str">
        <f>HYPERLINK("https://pbs.twimg.com/profile_images/962471262747529216/Uo8lOkRJ_normal.jpg","View")</f>
        <v>View</v>
      </c>
      <c r="P15367" s="7"/>
    </row>
    <row r="15368" spans="1:16">
      <c r="A15368" s="3">
        <v>44390.099490740744</v>
      </c>
      <c r="B15368" s="4" t="str">
        <f>HYPERLINK("https://twitter.com/petrogustavo","@petrogustavo")</f>
        <v>@petrogustavo</v>
      </c>
      <c r="C15368" s="5" t="s">
        <v>16</v>
      </c>
      <c r="D15368" s="5" t="s">
        <v>14801</v>
      </c>
      <c r="E15368" s="6" t="str">
        <f>HYPERLINK("https://twitter.com/petrogustavo/status/1414689338357649417","1414689338357649417")</f>
        <v>1414689338357649417</v>
      </c>
      <c r="F15368" s="7" t="s">
        <v>17</v>
      </c>
      <c r="G15368" s="7">
        <v>4328562</v>
      </c>
      <c r="H15368" s="7">
        <v>2529</v>
      </c>
      <c r="I15368" s="7">
        <v>214</v>
      </c>
      <c r="J15368" s="7">
        <v>0</v>
      </c>
      <c r="K15368" s="7" t="s">
        <v>18</v>
      </c>
      <c r="L15368" s="8">
        <v>39987.315405092595</v>
      </c>
      <c r="M15368" s="9" t="s">
        <v>19</v>
      </c>
      <c r="N15368" s="9" t="s">
        <v>20</v>
      </c>
      <c r="O15368" s="6" t="str">
        <f>HYPERLINK("https://pbs.twimg.com/profile_images/962471262747529216/Uo8lOkRJ_normal.jpg","View")</f>
        <v>View</v>
      </c>
      <c r="P15368" s="7"/>
    </row>
    <row r="15369" spans="1:16">
      <c r="A15369" s="3">
        <v>44390.141932870371</v>
      </c>
      <c r="B15369" s="4" t="str">
        <f>HYPERLINK("https://twitter.com/petrogustavo","@petrogustavo")</f>
        <v>@petrogustavo</v>
      </c>
      <c r="C15369" s="5" t="s">
        <v>16</v>
      </c>
      <c r="D15369" s="5" t="s">
        <v>14802</v>
      </c>
      <c r="E15369" s="6" t="str">
        <f>HYPERLINK("https://twitter.com/petrogustavo/status/1414704719067484161","1414704719067484161")</f>
        <v>1414704719067484161</v>
      </c>
      <c r="F15369" s="7" t="s">
        <v>17</v>
      </c>
      <c r="G15369" s="7">
        <v>4328615</v>
      </c>
      <c r="H15369" s="7">
        <v>2529</v>
      </c>
      <c r="I15369" s="7">
        <v>118</v>
      </c>
      <c r="J15369" s="7">
        <v>0</v>
      </c>
      <c r="K15369" s="7" t="s">
        <v>18</v>
      </c>
      <c r="L15369" s="8">
        <v>39987.315405092595</v>
      </c>
      <c r="M15369" s="9" t="s">
        <v>19</v>
      </c>
      <c r="N15369" s="9" t="s">
        <v>20</v>
      </c>
      <c r="O15369" s="6" t="str">
        <f>HYPERLINK("https://pbs.twimg.com/profile_images/962471262747529216/Uo8lOkRJ_normal.jpg","View")</f>
        <v>View</v>
      </c>
      <c r="P15369" s="7"/>
    </row>
    <row r="15370" spans="1:16">
      <c r="A15370" s="3">
        <v>44390.146909722222</v>
      </c>
      <c r="B15370" s="4" t="str">
        <f>HYPERLINK("https://twitter.com/petrogustavo","@petrogustavo")</f>
        <v>@petrogustavo</v>
      </c>
      <c r="C15370" s="5" t="s">
        <v>16</v>
      </c>
      <c r="D15370" s="5" t="s">
        <v>14803</v>
      </c>
      <c r="E15370" s="6" t="str">
        <f>HYPERLINK("https://twitter.com/petrogustavo/status/1414706524115636227","1414706524115636227")</f>
        <v>1414706524115636227</v>
      </c>
      <c r="F15370" s="7" t="s">
        <v>17</v>
      </c>
      <c r="G15370" s="7">
        <v>4328615</v>
      </c>
      <c r="H15370" s="7">
        <v>2529</v>
      </c>
      <c r="I15370" s="7">
        <v>43</v>
      </c>
      <c r="J15370" s="7">
        <v>74</v>
      </c>
      <c r="K15370" s="7" t="s">
        <v>18</v>
      </c>
      <c r="L15370" s="8">
        <v>39987.315405092595</v>
      </c>
      <c r="M15370" s="9" t="s">
        <v>19</v>
      </c>
      <c r="N15370" s="9" t="s">
        <v>20</v>
      </c>
      <c r="O15370" s="6" t="str">
        <f>HYPERLINK("https://pbs.twimg.com/profile_images/962471262747529216/Uo8lOkRJ_normal.jpg","View")</f>
        <v>View</v>
      </c>
      <c r="P15370" s="7"/>
    </row>
    <row r="15371" spans="1:16">
      <c r="A15371" s="3">
        <v>44390.153067129635</v>
      </c>
      <c r="B15371" s="4" t="str">
        <f>HYPERLINK("https://twitter.com/petrogustavo","@petrogustavo")</f>
        <v>@petrogustavo</v>
      </c>
      <c r="C15371" s="5" t="s">
        <v>16</v>
      </c>
      <c r="D15371" s="5" t="s">
        <v>14804</v>
      </c>
      <c r="E15371" s="6" t="str">
        <f>HYPERLINK("https://twitter.com/petrogustavo/status/1414708754839388160","1414708754839388160")</f>
        <v>1414708754839388160</v>
      </c>
      <c r="F15371" s="7" t="s">
        <v>17</v>
      </c>
      <c r="G15371" s="7">
        <v>4328621</v>
      </c>
      <c r="H15371" s="7">
        <v>2529</v>
      </c>
      <c r="I15371" s="7">
        <v>76</v>
      </c>
      <c r="J15371" s="7">
        <v>0</v>
      </c>
      <c r="K15371" s="7" t="s">
        <v>18</v>
      </c>
      <c r="L15371" s="8">
        <v>39987.315405092595</v>
      </c>
      <c r="M15371" s="9" t="s">
        <v>19</v>
      </c>
      <c r="N15371" s="9" t="s">
        <v>20</v>
      </c>
      <c r="O15371" s="6" t="str">
        <f>HYPERLINK("https://pbs.twimg.com/profile_images/962471262747529216/Uo8lOkRJ_normal.jpg","View")</f>
        <v>View</v>
      </c>
      <c r="P15371" s="7"/>
    </row>
    <row r="15372" spans="1:16">
      <c r="A15372" s="3">
        <v>44390.153171296297</v>
      </c>
      <c r="B15372" s="4" t="str">
        <f>HYPERLINK("https://twitter.com/petrogustavo","@petrogustavo")</f>
        <v>@petrogustavo</v>
      </c>
      <c r="C15372" s="5" t="s">
        <v>16</v>
      </c>
      <c r="D15372" s="5" t="s">
        <v>14805</v>
      </c>
      <c r="E15372" s="6" t="str">
        <f>HYPERLINK("https://twitter.com/petrogustavo/status/1414708792911142912","1414708792911142912")</f>
        <v>1414708792911142912</v>
      </c>
      <c r="F15372" s="7" t="s">
        <v>17</v>
      </c>
      <c r="G15372" s="7">
        <v>4328621</v>
      </c>
      <c r="H15372" s="7">
        <v>2529</v>
      </c>
      <c r="I15372" s="7">
        <v>565</v>
      </c>
      <c r="J15372" s="7">
        <v>0</v>
      </c>
      <c r="K15372" s="7" t="s">
        <v>18</v>
      </c>
      <c r="L15372" s="8">
        <v>39987.315405092595</v>
      </c>
      <c r="M15372" s="9" t="s">
        <v>19</v>
      </c>
      <c r="N15372" s="9" t="s">
        <v>20</v>
      </c>
      <c r="O15372" s="6" t="str">
        <f>HYPERLINK("https://pbs.twimg.com/profile_images/962471262747529216/Uo8lOkRJ_normal.jpg","View")</f>
        <v>View</v>
      </c>
      <c r="P15372" s="7"/>
    </row>
    <row r="15373" spans="1:16">
      <c r="A15373" s="3">
        <v>44390.643935185188</v>
      </c>
      <c r="B15373" s="4" t="str">
        <f>HYPERLINK("https://twitter.com/petrogustavo","@petrogustavo")</f>
        <v>@petrogustavo</v>
      </c>
      <c r="C15373" s="5" t="s">
        <v>16</v>
      </c>
      <c r="D15373" s="5" t="s">
        <v>14806</v>
      </c>
      <c r="E15373" s="6" t="str">
        <f>HYPERLINK("https://twitter.com/petrogustavo/status/1414886638111666183","1414886638111666183")</f>
        <v>1414886638111666183</v>
      </c>
      <c r="F15373" s="7" t="s">
        <v>17</v>
      </c>
      <c r="G15373" s="7">
        <v>4328844</v>
      </c>
      <c r="H15373" s="7">
        <v>2529</v>
      </c>
      <c r="I15373" s="7">
        <v>31</v>
      </c>
      <c r="J15373" s="7">
        <v>69</v>
      </c>
      <c r="K15373" s="7" t="s">
        <v>18</v>
      </c>
      <c r="L15373" s="8">
        <v>39987.315405092595</v>
      </c>
      <c r="M15373" s="9" t="s">
        <v>19</v>
      </c>
      <c r="N15373" s="9" t="s">
        <v>20</v>
      </c>
      <c r="O15373" s="6" t="str">
        <f>HYPERLINK("https://pbs.twimg.com/profile_images/962471262747529216/Uo8lOkRJ_normal.jpg","View")</f>
        <v>View</v>
      </c>
      <c r="P15373" s="7"/>
    </row>
    <row r="15374" spans="1:16">
      <c r="A15374" s="3">
        <v>44390.659942129627</v>
      </c>
      <c r="B15374" s="4" t="str">
        <f>HYPERLINK("https://twitter.com/petrogustavo","@petrogustavo")</f>
        <v>@petrogustavo</v>
      </c>
      <c r="C15374" s="5" t="s">
        <v>16</v>
      </c>
      <c r="D15374" s="5" t="s">
        <v>14807</v>
      </c>
      <c r="E15374" s="6" t="str">
        <f>HYPERLINK("https://twitter.com/petrogustavo/status/1414892440633454592","1414892440633454592")</f>
        <v>1414892440633454592</v>
      </c>
      <c r="F15374" s="7" t="s">
        <v>17</v>
      </c>
      <c r="G15374" s="7">
        <v>4328847</v>
      </c>
      <c r="H15374" s="7">
        <v>2529</v>
      </c>
      <c r="I15374" s="7">
        <v>4069</v>
      </c>
      <c r="J15374" s="7">
        <v>0</v>
      </c>
      <c r="K15374" s="7" t="s">
        <v>18</v>
      </c>
      <c r="L15374" s="8">
        <v>39987.315405092595</v>
      </c>
      <c r="M15374" s="9" t="s">
        <v>19</v>
      </c>
      <c r="N15374" s="9" t="s">
        <v>20</v>
      </c>
      <c r="O15374" s="6" t="str">
        <f>HYPERLINK("https://pbs.twimg.com/profile_images/962471262747529216/Uo8lOkRJ_normal.jpg","View")</f>
        <v>View</v>
      </c>
      <c r="P15374" s="7"/>
    </row>
    <row r="15375" spans="1:16">
      <c r="A15375" s="3">
        <v>44390.797719907408</v>
      </c>
      <c r="B15375" s="4" t="str">
        <f>HYPERLINK("https://twitter.com/petrogustavo","@petrogustavo")</f>
        <v>@petrogustavo</v>
      </c>
      <c r="C15375" s="5" t="s">
        <v>16</v>
      </c>
      <c r="D15375" s="5" t="s">
        <v>14808</v>
      </c>
      <c r="E15375" s="6" t="str">
        <f>HYPERLINK("https://twitter.com/petrogustavo/status/1414942369502355460","1414942369502355460")</f>
        <v>1414942369502355460</v>
      </c>
      <c r="F15375" s="7" t="s">
        <v>17</v>
      </c>
      <c r="G15375" s="7">
        <v>4328118</v>
      </c>
      <c r="H15375" s="7">
        <v>2530</v>
      </c>
      <c r="I15375" s="7">
        <v>258</v>
      </c>
      <c r="J15375" s="7">
        <v>860</v>
      </c>
      <c r="K15375" s="7" t="s">
        <v>18</v>
      </c>
      <c r="L15375" s="8">
        <v>39987.315405092595</v>
      </c>
      <c r="M15375" s="9" t="s">
        <v>19</v>
      </c>
      <c r="N15375" s="9" t="s">
        <v>20</v>
      </c>
      <c r="O15375" s="6" t="str">
        <f>HYPERLINK("https://pbs.twimg.com/profile_images/962471262747529216/Uo8lOkRJ_normal.jpg","View")</f>
        <v>View</v>
      </c>
      <c r="P15375" s="7"/>
    </row>
    <row r="15376" spans="1:16">
      <c r="A15376" s="3">
        <v>44390.802569444444</v>
      </c>
      <c r="B15376" s="4" t="str">
        <f>HYPERLINK("https://twitter.com/petrogustavo","@petrogustavo")</f>
        <v>@petrogustavo</v>
      </c>
      <c r="C15376" s="5" t="s">
        <v>16</v>
      </c>
      <c r="D15376" s="5" t="s">
        <v>14809</v>
      </c>
      <c r="E15376" s="6" t="str">
        <f>HYPERLINK("https://twitter.com/petrogustavo/status/1414944124021743628","1414944124021743628")</f>
        <v>1414944124021743628</v>
      </c>
      <c r="F15376" s="7" t="s">
        <v>17</v>
      </c>
      <c r="G15376" s="7">
        <v>4328118</v>
      </c>
      <c r="H15376" s="7">
        <v>2530</v>
      </c>
      <c r="I15376" s="7">
        <v>337</v>
      </c>
      <c r="J15376" s="7">
        <v>804</v>
      </c>
      <c r="K15376" s="7" t="s">
        <v>18</v>
      </c>
      <c r="L15376" s="8">
        <v>39987.315405092595</v>
      </c>
      <c r="M15376" s="9" t="s">
        <v>19</v>
      </c>
      <c r="N15376" s="9" t="s">
        <v>20</v>
      </c>
      <c r="O15376" s="6" t="str">
        <f>HYPERLINK("https://pbs.twimg.com/profile_images/962471262747529216/Uo8lOkRJ_normal.jpg","View")</f>
        <v>View</v>
      </c>
      <c r="P15376" s="7"/>
    </row>
    <row r="15377" spans="1:16">
      <c r="A15377" s="3">
        <v>44390.804872685185</v>
      </c>
      <c r="B15377" s="4" t="str">
        <f>HYPERLINK("https://twitter.com/petrogustavo","@petrogustavo")</f>
        <v>@petrogustavo</v>
      </c>
      <c r="C15377" s="5" t="s">
        <v>16</v>
      </c>
      <c r="D15377" s="5" t="s">
        <v>14810</v>
      </c>
      <c r="E15377" s="6" t="str">
        <f>HYPERLINK("https://twitter.com/petrogustavo/status/1414944959120166913","1414944959120166913")</f>
        <v>1414944959120166913</v>
      </c>
      <c r="F15377" s="7" t="s">
        <v>17</v>
      </c>
      <c r="G15377" s="7">
        <v>4328118</v>
      </c>
      <c r="H15377" s="7">
        <v>2530</v>
      </c>
      <c r="I15377" s="7">
        <v>155</v>
      </c>
      <c r="J15377" s="7">
        <v>0</v>
      </c>
      <c r="K15377" s="7" t="s">
        <v>18</v>
      </c>
      <c r="L15377" s="8">
        <v>39987.315405092595</v>
      </c>
      <c r="M15377" s="9" t="s">
        <v>19</v>
      </c>
      <c r="N15377" s="9" t="s">
        <v>20</v>
      </c>
      <c r="O15377" s="6" t="str">
        <f>HYPERLINK("https://pbs.twimg.com/profile_images/962471262747529216/Uo8lOkRJ_normal.jpg","View")</f>
        <v>View</v>
      </c>
      <c r="P15377" s="7"/>
    </row>
    <row r="15378" spans="1:16">
      <c r="A15378" s="3">
        <v>44390.80868055555</v>
      </c>
      <c r="B15378" s="4" t="str">
        <f>HYPERLINK("https://twitter.com/petrogustavo","@petrogustavo")</f>
        <v>@petrogustavo</v>
      </c>
      <c r="C15378" s="5" t="s">
        <v>16</v>
      </c>
      <c r="D15378" s="5" t="s">
        <v>14811</v>
      </c>
      <c r="E15378" s="6" t="str">
        <f>HYPERLINK("https://twitter.com/petrogustavo/status/1414946338861690883","1414946338861690883")</f>
        <v>1414946338861690883</v>
      </c>
      <c r="F15378" s="7" t="s">
        <v>17</v>
      </c>
      <c r="G15378" s="7">
        <v>4328118</v>
      </c>
      <c r="H15378" s="7">
        <v>2530</v>
      </c>
      <c r="I15378" s="7">
        <v>171</v>
      </c>
      <c r="J15378" s="7">
        <v>423</v>
      </c>
      <c r="K15378" s="7" t="s">
        <v>18</v>
      </c>
      <c r="L15378" s="8">
        <v>39987.315405092595</v>
      </c>
      <c r="M15378" s="9" t="s">
        <v>19</v>
      </c>
      <c r="N15378" s="9" t="s">
        <v>20</v>
      </c>
      <c r="O15378" s="6" t="str">
        <f>HYPERLINK("https://pbs.twimg.com/profile_images/962471262747529216/Uo8lOkRJ_normal.jpg","View")</f>
        <v>View</v>
      </c>
      <c r="P15378" s="7"/>
    </row>
    <row r="15379" spans="1:16">
      <c r="A15379" s="3">
        <v>44390.840891203705</v>
      </c>
      <c r="B15379" s="4" t="str">
        <f>HYPERLINK("https://twitter.com/petrogustavo","@petrogustavo")</f>
        <v>@petrogustavo</v>
      </c>
      <c r="C15379" s="5" t="s">
        <v>16</v>
      </c>
      <c r="D15379" s="5" t="s">
        <v>14812</v>
      </c>
      <c r="E15379" s="6" t="str">
        <f>HYPERLINK("https://twitter.com/petrogustavo/status/1414958011173548060","1414958011173548060")</f>
        <v>1414958011173548060</v>
      </c>
      <c r="F15379" s="7" t="s">
        <v>17</v>
      </c>
      <c r="G15379" s="7">
        <v>4328162</v>
      </c>
      <c r="H15379" s="7">
        <v>2530</v>
      </c>
      <c r="I15379" s="7">
        <v>5558</v>
      </c>
      <c r="J15379" s="7">
        <v>0</v>
      </c>
      <c r="K15379" s="7" t="s">
        <v>18</v>
      </c>
      <c r="L15379" s="8">
        <v>39987.315405092595</v>
      </c>
      <c r="M15379" s="9" t="s">
        <v>19</v>
      </c>
      <c r="N15379" s="9" t="s">
        <v>20</v>
      </c>
      <c r="O15379" s="6" t="str">
        <f>HYPERLINK("https://pbs.twimg.com/profile_images/962471262747529216/Uo8lOkRJ_normal.jpg","View")</f>
        <v>View</v>
      </c>
      <c r="P15379" s="7"/>
    </row>
    <row r="15380" spans="1:16">
      <c r="A15380" s="3">
        <v>44390.874224537038</v>
      </c>
      <c r="B15380" s="4" t="str">
        <f>HYPERLINK("https://twitter.com/petrogustavo","@petrogustavo")</f>
        <v>@petrogustavo</v>
      </c>
      <c r="C15380" s="5" t="s">
        <v>16</v>
      </c>
      <c r="D15380" s="5" t="s">
        <v>14813</v>
      </c>
      <c r="E15380" s="6" t="str">
        <f>HYPERLINK("https://twitter.com/petrogustavo/status/1414970092912357376","1414970092912357376")</f>
        <v>1414970092912357376</v>
      </c>
      <c r="F15380" s="7" t="s">
        <v>17</v>
      </c>
      <c r="G15380" s="7">
        <v>4328921</v>
      </c>
      <c r="H15380" s="7">
        <v>2529</v>
      </c>
      <c r="I15380" s="7">
        <v>1264</v>
      </c>
      <c r="J15380" s="7">
        <v>0</v>
      </c>
      <c r="K15380" s="7" t="s">
        <v>18</v>
      </c>
      <c r="L15380" s="8">
        <v>39987.315405092595</v>
      </c>
      <c r="M15380" s="9" t="s">
        <v>19</v>
      </c>
      <c r="N15380" s="9" t="s">
        <v>20</v>
      </c>
      <c r="O15380" s="6" t="str">
        <f>HYPERLINK("https://pbs.twimg.com/profile_images/962471262747529216/Uo8lOkRJ_normal.jpg","View")</f>
        <v>View</v>
      </c>
      <c r="P15380" s="7"/>
    </row>
    <row r="15381" spans="1:16">
      <c r="A15381" s="3">
        <v>44390.880601851852</v>
      </c>
      <c r="B15381" s="4" t="str">
        <f>HYPERLINK("https://twitter.com/petrogustavo","@petrogustavo")</f>
        <v>@petrogustavo</v>
      </c>
      <c r="C15381" s="5" t="s">
        <v>16</v>
      </c>
      <c r="D15381" s="5" t="s">
        <v>14814</v>
      </c>
      <c r="E15381" s="6" t="str">
        <f>HYPERLINK("https://twitter.com/petrogustavo/status/1414972401465581572","1414972401465581572")</f>
        <v>1414972401465581572</v>
      </c>
      <c r="F15381" s="7" t="s">
        <v>17</v>
      </c>
      <c r="G15381" s="7">
        <v>4328909</v>
      </c>
      <c r="H15381" s="7">
        <v>2529</v>
      </c>
      <c r="I15381" s="7">
        <v>131</v>
      </c>
      <c r="J15381" s="7">
        <v>0</v>
      </c>
      <c r="K15381" s="7" t="s">
        <v>18</v>
      </c>
      <c r="L15381" s="8">
        <v>39987.315405092595</v>
      </c>
      <c r="M15381" s="9" t="s">
        <v>19</v>
      </c>
      <c r="N15381" s="9" t="s">
        <v>20</v>
      </c>
      <c r="O15381" s="6" t="str">
        <f>HYPERLINK("https://pbs.twimg.com/profile_images/962471262747529216/Uo8lOkRJ_normal.jpg","View")</f>
        <v>View</v>
      </c>
      <c r="P15381" s="7"/>
    </row>
    <row r="15382" spans="1:16">
      <c r="A15382" s="3">
        <v>44391.530925925923</v>
      </c>
      <c r="B15382" s="4" t="str">
        <f>HYPERLINK("https://twitter.com/petrogustavo","@petrogustavo")</f>
        <v>@petrogustavo</v>
      </c>
      <c r="C15382" s="5" t="s">
        <v>16</v>
      </c>
      <c r="D15382" s="5" t="s">
        <v>14815</v>
      </c>
      <c r="E15382" s="6" t="str">
        <f>HYPERLINK("https://twitter.com/petrogustavo/status/1415208073799606274","1415208073799606274")</f>
        <v>1415208073799606274</v>
      </c>
      <c r="F15382" s="7" t="s">
        <v>17</v>
      </c>
      <c r="G15382" s="7">
        <v>4329483</v>
      </c>
      <c r="H15382" s="7">
        <v>2529</v>
      </c>
      <c r="I15382" s="7">
        <v>2148</v>
      </c>
      <c r="J15382" s="7">
        <v>0</v>
      </c>
      <c r="K15382" s="7" t="s">
        <v>18</v>
      </c>
      <c r="L15382" s="8">
        <v>39987.315405092595</v>
      </c>
      <c r="M15382" s="9" t="s">
        <v>19</v>
      </c>
      <c r="N15382" s="9" t="s">
        <v>20</v>
      </c>
      <c r="O15382" s="6" t="str">
        <f>HYPERLINK("https://pbs.twimg.com/profile_images/962471262747529216/Uo8lOkRJ_normal.jpg","View")</f>
        <v>View</v>
      </c>
      <c r="P15382" s="7"/>
    </row>
    <row r="15383" spans="1:16">
      <c r="A15383" s="3">
        <v>44391.863344907411</v>
      </c>
      <c r="B15383" s="4" t="str">
        <f>HYPERLINK("https://twitter.com/petrogustavo","@petrogustavo")</f>
        <v>@petrogustavo</v>
      </c>
      <c r="C15383" s="5" t="s">
        <v>16</v>
      </c>
      <c r="D15383" s="5" t="s">
        <v>14816</v>
      </c>
      <c r="E15383" s="6" t="str">
        <f>HYPERLINK("https://twitter.com/petrogustavo/status/1415328537398087683","1415328537398087683")</f>
        <v>1415328537398087683</v>
      </c>
      <c r="F15383" s="7" t="s">
        <v>32</v>
      </c>
      <c r="G15383" s="7">
        <v>4329659</v>
      </c>
      <c r="H15383" s="7">
        <v>2529</v>
      </c>
      <c r="I15383" s="7">
        <v>1718</v>
      </c>
      <c r="J15383" s="7">
        <v>0</v>
      </c>
      <c r="K15383" s="7" t="s">
        <v>18</v>
      </c>
      <c r="L15383" s="8">
        <v>39987.315405092595</v>
      </c>
      <c r="M15383" s="9" t="s">
        <v>19</v>
      </c>
      <c r="N15383" s="9" t="s">
        <v>20</v>
      </c>
      <c r="O15383" s="6" t="str">
        <f>HYPERLINK("https://pbs.twimg.com/profile_images/962471262747529216/Uo8lOkRJ_normal.jpg","View")</f>
        <v>View</v>
      </c>
      <c r="P15383" s="7"/>
    </row>
    <row r="15384" spans="1:16">
      <c r="A15384" s="3">
        <v>44391.874490740738</v>
      </c>
      <c r="B15384" s="4" t="str">
        <f>HYPERLINK("https://twitter.com/petrogustavo","@petrogustavo")</f>
        <v>@petrogustavo</v>
      </c>
      <c r="C15384" s="5" t="s">
        <v>16</v>
      </c>
      <c r="D15384" s="5" t="s">
        <v>14817</v>
      </c>
      <c r="E15384" s="6" t="str">
        <f>HYPERLINK("https://twitter.com/petrogustavo/status/1415332577259540483","1415332577259540483")</f>
        <v>1415332577259540483</v>
      </c>
      <c r="F15384" s="7" t="s">
        <v>32</v>
      </c>
      <c r="G15384" s="7">
        <v>4329659</v>
      </c>
      <c r="H15384" s="7">
        <v>2529</v>
      </c>
      <c r="I15384" s="7">
        <v>148</v>
      </c>
      <c r="J15384" s="7">
        <v>0</v>
      </c>
      <c r="K15384" s="7" t="s">
        <v>18</v>
      </c>
      <c r="L15384" s="8">
        <v>39987.315405092595</v>
      </c>
      <c r="M15384" s="9" t="s">
        <v>19</v>
      </c>
      <c r="N15384" s="9" t="s">
        <v>20</v>
      </c>
      <c r="O15384" s="6" t="str">
        <f>HYPERLINK("https://pbs.twimg.com/profile_images/962471262747529216/Uo8lOkRJ_normal.jpg","View")</f>
        <v>View</v>
      </c>
      <c r="P15384" s="7"/>
    </row>
    <row r="15385" spans="1:16">
      <c r="A15385" s="3">
        <v>44392.03297453704</v>
      </c>
      <c r="B15385" s="4" t="str">
        <f>HYPERLINK("https://twitter.com/petrogustavo","@petrogustavo")</f>
        <v>@petrogustavo</v>
      </c>
      <c r="C15385" s="5" t="s">
        <v>16</v>
      </c>
      <c r="D15385" s="5" t="s">
        <v>14818</v>
      </c>
      <c r="E15385" s="6" t="str">
        <f>HYPERLINK("https://twitter.com/petrogustavo/status/1415390009260138496","1415390009260138496")</f>
        <v>1415390009260138496</v>
      </c>
      <c r="F15385" s="7" t="s">
        <v>17</v>
      </c>
      <c r="G15385" s="7">
        <v>4329829</v>
      </c>
      <c r="H15385" s="7">
        <v>2530</v>
      </c>
      <c r="I15385" s="7">
        <v>338</v>
      </c>
      <c r="J15385" s="7">
        <v>1028</v>
      </c>
      <c r="K15385" s="7" t="s">
        <v>18</v>
      </c>
      <c r="L15385" s="8">
        <v>39987.315405092595</v>
      </c>
      <c r="M15385" s="9" t="s">
        <v>19</v>
      </c>
      <c r="N15385" s="9" t="s">
        <v>20</v>
      </c>
      <c r="O15385" s="6" t="str">
        <f>HYPERLINK("https://pbs.twimg.com/profile_images/962471262747529216/Uo8lOkRJ_normal.jpg","View")</f>
        <v>View</v>
      </c>
      <c r="P15385" s="7"/>
    </row>
    <row r="15386" spans="1:16">
      <c r="A15386" s="3">
        <v>44392.476701388892</v>
      </c>
      <c r="B15386" s="4" t="str">
        <f>HYPERLINK("https://twitter.com/petrogustavo","@petrogustavo")</f>
        <v>@petrogustavo</v>
      </c>
      <c r="C15386" s="5" t="s">
        <v>16</v>
      </c>
      <c r="D15386" s="5" t="s">
        <v>14819</v>
      </c>
      <c r="E15386" s="6" t="str">
        <f>HYPERLINK("https://twitter.com/petrogustavo/status/1415550808540786688","1415550808540786688")</f>
        <v>1415550808540786688</v>
      </c>
      <c r="F15386" s="7" t="s">
        <v>17</v>
      </c>
      <c r="G15386" s="7">
        <v>4330092</v>
      </c>
      <c r="H15386" s="7">
        <v>2530</v>
      </c>
      <c r="I15386" s="7">
        <v>10</v>
      </c>
      <c r="J15386" s="7">
        <v>56</v>
      </c>
      <c r="K15386" s="7" t="s">
        <v>18</v>
      </c>
      <c r="L15386" s="8">
        <v>39987.315405092595</v>
      </c>
      <c r="M15386" s="9" t="s">
        <v>19</v>
      </c>
      <c r="N15386" s="9" t="s">
        <v>20</v>
      </c>
      <c r="O15386" s="6" t="str">
        <f>HYPERLINK("https://pbs.twimg.com/profile_images/962471262747529216/Uo8lOkRJ_normal.jpg","View")</f>
        <v>View</v>
      </c>
      <c r="P15386" s="7"/>
    </row>
    <row r="15387" spans="1:16">
      <c r="A15387" s="3">
        <v>44392.476701388892</v>
      </c>
      <c r="B15387" s="4" t="str">
        <f>HYPERLINK("https://twitter.com/petrogustavo","@petrogustavo")</f>
        <v>@petrogustavo</v>
      </c>
      <c r="C15387" s="5" t="s">
        <v>16</v>
      </c>
      <c r="D15387" s="5" t="s">
        <v>14820</v>
      </c>
      <c r="E15387" s="6" t="str">
        <f>HYPERLINK("https://twitter.com/petrogustavo/status/1415550810252001281","1415550810252001281")</f>
        <v>1415550810252001281</v>
      </c>
      <c r="F15387" s="7" t="s">
        <v>17</v>
      </c>
      <c r="G15387" s="7">
        <v>4330092</v>
      </c>
      <c r="H15387" s="7">
        <v>2530</v>
      </c>
      <c r="I15387" s="7">
        <v>13</v>
      </c>
      <c r="J15387" s="7">
        <v>60</v>
      </c>
      <c r="K15387" s="7" t="s">
        <v>18</v>
      </c>
      <c r="L15387" s="8">
        <v>39987.315405092595</v>
      </c>
      <c r="M15387" s="9" t="s">
        <v>19</v>
      </c>
      <c r="N15387" s="9" t="s">
        <v>20</v>
      </c>
      <c r="O15387" s="6" t="str">
        <f>HYPERLINK("https://pbs.twimg.com/profile_images/962471262747529216/Uo8lOkRJ_normal.jpg","View")</f>
        <v>View</v>
      </c>
      <c r="P15387" s="7"/>
    </row>
    <row r="15388" spans="1:16">
      <c r="A15388" s="3">
        <v>44392.492650462962</v>
      </c>
      <c r="B15388" s="4" t="str">
        <f>HYPERLINK("https://twitter.com/petrogustavo","@petrogustavo")</f>
        <v>@petrogustavo</v>
      </c>
      <c r="C15388" s="5" t="s">
        <v>16</v>
      </c>
      <c r="D15388" s="5" t="s">
        <v>14821</v>
      </c>
      <c r="E15388" s="6" t="str">
        <f>HYPERLINK("https://twitter.com/petrogustavo/status/1415556588774072320","1415556588774072320")</f>
        <v>1415556588774072320</v>
      </c>
      <c r="F15388" s="7" t="s">
        <v>17</v>
      </c>
      <c r="G15388" s="7">
        <v>4330100</v>
      </c>
      <c r="H15388" s="7">
        <v>2530</v>
      </c>
      <c r="I15388" s="7">
        <v>58</v>
      </c>
      <c r="J15388" s="7">
        <v>156</v>
      </c>
      <c r="K15388" s="7" t="s">
        <v>18</v>
      </c>
      <c r="L15388" s="8">
        <v>39987.315405092595</v>
      </c>
      <c r="M15388" s="9" t="s">
        <v>19</v>
      </c>
      <c r="N15388" s="9" t="s">
        <v>20</v>
      </c>
      <c r="O15388" s="6" t="str">
        <f>HYPERLINK("https://pbs.twimg.com/profile_images/962471262747529216/Uo8lOkRJ_normal.jpg","View")</f>
        <v>View</v>
      </c>
      <c r="P15388" s="7"/>
    </row>
    <row r="15389" spans="1:16">
      <c r="A15389" s="3">
        <v>44392.492650462962</v>
      </c>
      <c r="B15389" s="4" t="str">
        <f>HYPERLINK("https://twitter.com/petrogustavo","@petrogustavo")</f>
        <v>@petrogustavo</v>
      </c>
      <c r="C15389" s="5" t="s">
        <v>16</v>
      </c>
      <c r="D15389" s="5" t="s">
        <v>14822</v>
      </c>
      <c r="E15389" s="6" t="str">
        <f>HYPERLINK("https://twitter.com/petrogustavo/status/1415556590262947844","1415556590262947844")</f>
        <v>1415556590262947844</v>
      </c>
      <c r="F15389" s="7" t="s">
        <v>17</v>
      </c>
      <c r="G15389" s="7">
        <v>4330100</v>
      </c>
      <c r="H15389" s="7">
        <v>2530</v>
      </c>
      <c r="I15389" s="7">
        <v>24</v>
      </c>
      <c r="J15389" s="7">
        <v>81</v>
      </c>
      <c r="K15389" s="7" t="s">
        <v>18</v>
      </c>
      <c r="L15389" s="8">
        <v>39987.315405092595</v>
      </c>
      <c r="M15389" s="9" t="s">
        <v>19</v>
      </c>
      <c r="N15389" s="9" t="s">
        <v>20</v>
      </c>
      <c r="O15389" s="6" t="str">
        <f>HYPERLINK("https://pbs.twimg.com/profile_images/962471262747529216/Uo8lOkRJ_normal.jpg","View")</f>
        <v>View</v>
      </c>
      <c r="P15389" s="7"/>
    </row>
    <row r="15390" spans="1:16">
      <c r="A15390" s="3">
        <v>44392.492650462962</v>
      </c>
      <c r="B15390" s="4" t="str">
        <f>HYPERLINK("https://twitter.com/petrogustavo","@petrogustavo")</f>
        <v>@petrogustavo</v>
      </c>
      <c r="C15390" s="5" t="s">
        <v>16</v>
      </c>
      <c r="D15390" s="5" t="s">
        <v>14823</v>
      </c>
      <c r="E15390" s="6" t="str">
        <f>HYPERLINK("https://twitter.com/petrogustavo/status/1415556591491981312","1415556591491981312")</f>
        <v>1415556591491981312</v>
      </c>
      <c r="F15390" s="7" t="s">
        <v>17</v>
      </c>
      <c r="G15390" s="7">
        <v>4330100</v>
      </c>
      <c r="H15390" s="7">
        <v>2530</v>
      </c>
      <c r="I15390" s="7">
        <v>22</v>
      </c>
      <c r="J15390" s="7">
        <v>83</v>
      </c>
      <c r="K15390" s="7" t="s">
        <v>18</v>
      </c>
      <c r="L15390" s="8">
        <v>39987.315405092595</v>
      </c>
      <c r="M15390" s="9" t="s">
        <v>19</v>
      </c>
      <c r="N15390" s="9" t="s">
        <v>20</v>
      </c>
      <c r="O15390" s="6" t="str">
        <f>HYPERLINK("https://pbs.twimg.com/profile_images/962471262747529216/Uo8lOkRJ_normal.jpg","View")</f>
        <v>View</v>
      </c>
      <c r="P15390" s="7"/>
    </row>
    <row r="15391" spans="1:16">
      <c r="A15391" s="3">
        <v>44393.049733796295</v>
      </c>
      <c r="B15391" s="4" t="str">
        <f>HYPERLINK("https://twitter.com/petrogustavo","@petrogustavo")</f>
        <v>@petrogustavo</v>
      </c>
      <c r="C15391" s="5" t="s">
        <v>16</v>
      </c>
      <c r="D15391" s="5" t="s">
        <v>14824</v>
      </c>
      <c r="E15391" s="6" t="str">
        <f>HYPERLINK("https://twitter.com/petrogustavo/status/1415758471992070145","1415758471992070145")</f>
        <v>1415758471992070145</v>
      </c>
      <c r="F15391" s="7" t="s">
        <v>17</v>
      </c>
      <c r="G15391" s="7">
        <v>4330338</v>
      </c>
      <c r="H15391" s="7">
        <v>2531</v>
      </c>
      <c r="I15391" s="7">
        <v>225</v>
      </c>
      <c r="J15391" s="7">
        <v>406</v>
      </c>
      <c r="K15391" s="7" t="s">
        <v>18</v>
      </c>
      <c r="L15391" s="8">
        <v>39987.315405092595</v>
      </c>
      <c r="M15391" s="9" t="s">
        <v>19</v>
      </c>
      <c r="N15391" s="9" t="s">
        <v>20</v>
      </c>
      <c r="O15391" s="6" t="str">
        <f>HYPERLINK("https://pbs.twimg.com/profile_images/962471262747529216/Uo8lOkRJ_normal.jpg","View")</f>
        <v>View</v>
      </c>
      <c r="P15391" s="7"/>
    </row>
    <row r="15392" spans="1:16">
      <c r="A15392" s="3">
        <v>44393.056481481486</v>
      </c>
      <c r="B15392" s="4" t="str">
        <f>HYPERLINK("https://twitter.com/petrogustavo","@petrogustavo")</f>
        <v>@petrogustavo</v>
      </c>
      <c r="C15392" s="5" t="s">
        <v>16</v>
      </c>
      <c r="D15392" s="5" t="s">
        <v>14825</v>
      </c>
      <c r="E15392" s="6" t="str">
        <f>HYPERLINK("https://twitter.com/petrogustavo/status/1415760915383951370","1415760915383951370")</f>
        <v>1415760915383951370</v>
      </c>
      <c r="F15392" s="7" t="s">
        <v>17</v>
      </c>
      <c r="G15392" s="7">
        <v>4330338</v>
      </c>
      <c r="H15392" s="7">
        <v>2531</v>
      </c>
      <c r="I15392" s="7">
        <v>102</v>
      </c>
      <c r="J15392" s="7">
        <v>0</v>
      </c>
      <c r="K15392" s="7" t="s">
        <v>18</v>
      </c>
      <c r="L15392" s="8">
        <v>39987.315405092595</v>
      </c>
      <c r="M15392" s="9" t="s">
        <v>19</v>
      </c>
      <c r="N15392" s="9" t="s">
        <v>20</v>
      </c>
      <c r="O15392" s="6" t="str">
        <f>HYPERLINK("https://pbs.twimg.com/profile_images/962471262747529216/Uo8lOkRJ_normal.jpg","View")</f>
        <v>View</v>
      </c>
      <c r="P15392" s="7"/>
    </row>
    <row r="15393" spans="1:16">
      <c r="A15393" s="3">
        <v>44393.058090277773</v>
      </c>
      <c r="B15393" s="4" t="str">
        <f>HYPERLINK("https://twitter.com/petrogustavo","@petrogustavo")</f>
        <v>@petrogustavo</v>
      </c>
      <c r="C15393" s="5" t="s">
        <v>16</v>
      </c>
      <c r="D15393" s="5" t="s">
        <v>14826</v>
      </c>
      <c r="E15393" s="6" t="str">
        <f>HYPERLINK("https://twitter.com/petrogustavo/status/1415761499079970820","1415761499079970820")</f>
        <v>1415761499079970820</v>
      </c>
      <c r="F15393" s="7" t="s">
        <v>17</v>
      </c>
      <c r="G15393" s="7">
        <v>4330338</v>
      </c>
      <c r="H15393" s="7">
        <v>2531</v>
      </c>
      <c r="I15393" s="7">
        <v>1713</v>
      </c>
      <c r="J15393" s="7">
        <v>0</v>
      </c>
      <c r="K15393" s="7" t="s">
        <v>18</v>
      </c>
      <c r="L15393" s="8">
        <v>39987.315405092595</v>
      </c>
      <c r="M15393" s="9" t="s">
        <v>19</v>
      </c>
      <c r="N15393" s="9" t="s">
        <v>20</v>
      </c>
      <c r="O15393" s="6" t="str">
        <f>HYPERLINK("https://pbs.twimg.com/profile_images/962471262747529216/Uo8lOkRJ_normal.jpg","View")</f>
        <v>View</v>
      </c>
      <c r="P15393" s="7"/>
    </row>
    <row r="15394" spans="1:16">
      <c r="A15394" s="3">
        <v>44393.059270833328</v>
      </c>
      <c r="B15394" s="4" t="str">
        <f>HYPERLINK("https://twitter.com/petrogustavo","@petrogustavo")</f>
        <v>@petrogustavo</v>
      </c>
      <c r="C15394" s="5" t="s">
        <v>16</v>
      </c>
      <c r="D15394" s="5" t="s">
        <v>14827</v>
      </c>
      <c r="E15394" s="6" t="str">
        <f>HYPERLINK("https://twitter.com/petrogustavo/status/1415761926014087171","1415761926014087171")</f>
        <v>1415761926014087171</v>
      </c>
      <c r="F15394" s="7" t="s">
        <v>17</v>
      </c>
      <c r="G15394" s="7">
        <v>4330338</v>
      </c>
      <c r="H15394" s="7">
        <v>2531</v>
      </c>
      <c r="I15394" s="7">
        <v>68</v>
      </c>
      <c r="J15394" s="7">
        <v>0</v>
      </c>
      <c r="K15394" s="7" t="s">
        <v>18</v>
      </c>
      <c r="L15394" s="8">
        <v>39987.315405092595</v>
      </c>
      <c r="M15394" s="9" t="s">
        <v>19</v>
      </c>
      <c r="N15394" s="9" t="s">
        <v>20</v>
      </c>
      <c r="O15394" s="6" t="str">
        <f>HYPERLINK("https://pbs.twimg.com/profile_images/962471262747529216/Uo8lOkRJ_normal.jpg","View")</f>
        <v>View</v>
      </c>
      <c r="P15394" s="7"/>
    </row>
    <row r="15395" spans="1:16">
      <c r="A15395" s="3">
        <v>44393.181203703702</v>
      </c>
      <c r="B15395" s="4" t="str">
        <f>HYPERLINK("https://twitter.com/petrogustavo","@petrogustavo")</f>
        <v>@petrogustavo</v>
      </c>
      <c r="C15395" s="5" t="s">
        <v>16</v>
      </c>
      <c r="D15395" s="5" t="s">
        <v>14828</v>
      </c>
      <c r="E15395" s="6" t="str">
        <f>HYPERLINK("https://twitter.com/petrogustavo/status/1415806113270968321","1415806113270968321")</f>
        <v>1415806113270968321</v>
      </c>
      <c r="F15395" s="7" t="s">
        <v>17</v>
      </c>
      <c r="G15395" s="7">
        <v>4330441</v>
      </c>
      <c r="H15395" s="7">
        <v>2531</v>
      </c>
      <c r="I15395" s="7">
        <v>310</v>
      </c>
      <c r="J15395" s="7">
        <v>1015</v>
      </c>
      <c r="K15395" s="7" t="s">
        <v>18</v>
      </c>
      <c r="L15395" s="8">
        <v>39987.315405092595</v>
      </c>
      <c r="M15395" s="9" t="s">
        <v>19</v>
      </c>
      <c r="N15395" s="9" t="s">
        <v>20</v>
      </c>
      <c r="O15395" s="6" t="str">
        <f>HYPERLINK("https://pbs.twimg.com/profile_images/962471262747529216/Uo8lOkRJ_normal.jpg","View")</f>
        <v>View</v>
      </c>
      <c r="P15395" s="7"/>
    </row>
    <row r="15396" spans="1:16">
      <c r="A15396" s="3">
        <v>44393.18372685185</v>
      </c>
      <c r="B15396" s="4" t="str">
        <f>HYPERLINK("https://twitter.com/petrogustavo","@petrogustavo")</f>
        <v>@petrogustavo</v>
      </c>
      <c r="C15396" s="5" t="s">
        <v>16</v>
      </c>
      <c r="D15396" s="5" t="s">
        <v>14829</v>
      </c>
      <c r="E15396" s="6" t="str">
        <f>HYPERLINK("https://twitter.com/petrogustavo/status/1415807025800417284","1415807025800417284")</f>
        <v>1415807025800417284</v>
      </c>
      <c r="F15396" s="7" t="s">
        <v>17</v>
      </c>
      <c r="G15396" s="7">
        <v>4330441</v>
      </c>
      <c r="H15396" s="7">
        <v>2531</v>
      </c>
      <c r="I15396" s="7">
        <v>73</v>
      </c>
      <c r="J15396" s="7">
        <v>216</v>
      </c>
      <c r="K15396" s="7" t="s">
        <v>18</v>
      </c>
      <c r="L15396" s="8">
        <v>39987.315405092595</v>
      </c>
      <c r="M15396" s="9" t="s">
        <v>19</v>
      </c>
      <c r="N15396" s="9" t="s">
        <v>20</v>
      </c>
      <c r="O15396" s="6" t="str">
        <f>HYPERLINK("https://pbs.twimg.com/profile_images/962471262747529216/Uo8lOkRJ_normal.jpg","View")</f>
        <v>View</v>
      </c>
      <c r="P15396" s="7"/>
    </row>
    <row r="15397" spans="1:16">
      <c r="A15397" s="3">
        <v>44393.189027777778</v>
      </c>
      <c r="B15397" s="4" t="str">
        <f>HYPERLINK("https://twitter.com/petrogustavo","@petrogustavo")</f>
        <v>@petrogustavo</v>
      </c>
      <c r="C15397" s="5" t="s">
        <v>16</v>
      </c>
      <c r="D15397" s="5" t="s">
        <v>14830</v>
      </c>
      <c r="E15397" s="6" t="str">
        <f>HYPERLINK("https://twitter.com/petrogustavo/status/1415808949392187394","1415808949392187394")</f>
        <v>1415808949392187394</v>
      </c>
      <c r="F15397" s="7" t="s">
        <v>17</v>
      </c>
      <c r="G15397" s="7">
        <v>4330441</v>
      </c>
      <c r="H15397" s="7">
        <v>2531</v>
      </c>
      <c r="I15397" s="7">
        <v>3</v>
      </c>
      <c r="J15397" s="7">
        <v>0</v>
      </c>
      <c r="K15397" s="7" t="s">
        <v>18</v>
      </c>
      <c r="L15397" s="8">
        <v>39987.315405092595</v>
      </c>
      <c r="M15397" s="9" t="s">
        <v>19</v>
      </c>
      <c r="N15397" s="9" t="s">
        <v>20</v>
      </c>
      <c r="O15397" s="6" t="str">
        <f>HYPERLINK("https://pbs.twimg.com/profile_images/962471262747529216/Uo8lOkRJ_normal.jpg","View")</f>
        <v>View</v>
      </c>
      <c r="P15397" s="7"/>
    </row>
    <row r="15398" spans="1:16">
      <c r="A15398" s="3">
        <v>44393.192476851851</v>
      </c>
      <c r="B15398" s="4" t="str">
        <f>HYPERLINK("https://twitter.com/petrogustavo","@petrogustavo")</f>
        <v>@petrogustavo</v>
      </c>
      <c r="C15398" s="5" t="s">
        <v>16</v>
      </c>
      <c r="D15398" s="5" t="s">
        <v>14831</v>
      </c>
      <c r="E15398" s="6" t="str">
        <f>HYPERLINK("https://twitter.com/petrogustavo/status/1415810198321647620","1415810198321647620")</f>
        <v>1415810198321647620</v>
      </c>
      <c r="F15398" s="7" t="s">
        <v>17</v>
      </c>
      <c r="G15398" s="7">
        <v>4330443</v>
      </c>
      <c r="H15398" s="7">
        <v>2531</v>
      </c>
      <c r="I15398" s="7">
        <v>189</v>
      </c>
      <c r="J15398" s="7">
        <v>0</v>
      </c>
      <c r="K15398" s="7" t="s">
        <v>18</v>
      </c>
      <c r="L15398" s="8">
        <v>39987.315405092595</v>
      </c>
      <c r="M15398" s="9" t="s">
        <v>19</v>
      </c>
      <c r="N15398" s="9" t="s">
        <v>20</v>
      </c>
      <c r="O15398" s="6" t="str">
        <f>HYPERLINK("https://pbs.twimg.com/profile_images/962471262747529216/Uo8lOkRJ_normal.jpg","View")</f>
        <v>View</v>
      </c>
      <c r="P15398" s="7"/>
    </row>
    <row r="15399" spans="1:16">
      <c r="A15399" s="3">
        <v>44393.192569444444</v>
      </c>
      <c r="B15399" s="4" t="str">
        <f>HYPERLINK("https://twitter.com/petrogustavo","@petrogustavo")</f>
        <v>@petrogustavo</v>
      </c>
      <c r="C15399" s="5" t="s">
        <v>16</v>
      </c>
      <c r="D15399" s="5" t="s">
        <v>14832</v>
      </c>
      <c r="E15399" s="6" t="str">
        <f>HYPERLINK("https://twitter.com/petrogustavo/status/1415810230982782984","1415810230982782984")</f>
        <v>1415810230982782984</v>
      </c>
      <c r="F15399" s="7" t="s">
        <v>17</v>
      </c>
      <c r="G15399" s="7">
        <v>4330443</v>
      </c>
      <c r="H15399" s="7">
        <v>2531</v>
      </c>
      <c r="I15399" s="7">
        <v>805</v>
      </c>
      <c r="J15399" s="7">
        <v>0</v>
      </c>
      <c r="K15399" s="7" t="s">
        <v>18</v>
      </c>
      <c r="L15399" s="8">
        <v>39987.315405092595</v>
      </c>
      <c r="M15399" s="9" t="s">
        <v>19</v>
      </c>
      <c r="N15399" s="9" t="s">
        <v>20</v>
      </c>
      <c r="O15399" s="6" t="str">
        <f>HYPERLINK("https://pbs.twimg.com/profile_images/962471262747529216/Uo8lOkRJ_normal.jpg","View")</f>
        <v>View</v>
      </c>
      <c r="P15399" s="7"/>
    </row>
    <row r="15400" spans="1:16">
      <c r="A15400" s="3">
        <v>44393.59039351852</v>
      </c>
      <c r="B15400" s="4" t="str">
        <f>HYPERLINK("https://twitter.com/petrogustavo","@petrogustavo")</f>
        <v>@petrogustavo</v>
      </c>
      <c r="C15400" s="5" t="s">
        <v>16</v>
      </c>
      <c r="D15400" s="5" t="s">
        <v>14833</v>
      </c>
      <c r="E15400" s="6" t="str">
        <f>HYPERLINK("https://twitter.com/petrogustavo/status/1415954399466229762","1415954399466229762")</f>
        <v>1415954399466229762</v>
      </c>
      <c r="F15400" s="7" t="s">
        <v>17</v>
      </c>
      <c r="G15400" s="7">
        <v>4330625</v>
      </c>
      <c r="H15400" s="7">
        <v>2531</v>
      </c>
      <c r="I15400" s="7">
        <v>32</v>
      </c>
      <c r="J15400" s="7">
        <v>95</v>
      </c>
      <c r="K15400" s="7" t="s">
        <v>18</v>
      </c>
      <c r="L15400" s="8">
        <v>39987.315405092595</v>
      </c>
      <c r="M15400" s="9" t="s">
        <v>19</v>
      </c>
      <c r="N15400" s="9" t="s">
        <v>20</v>
      </c>
      <c r="O15400" s="6" t="str">
        <f>HYPERLINK("https://pbs.twimg.com/profile_images/962471262747529216/Uo8lOkRJ_normal.jpg","View")</f>
        <v>View</v>
      </c>
      <c r="P15400" s="7"/>
    </row>
    <row r="15401" spans="1:16">
      <c r="A15401" s="3">
        <v>44394.188032407408</v>
      </c>
      <c r="B15401" s="4" t="str">
        <f>HYPERLINK("https://twitter.com/petrogustavo","@petrogustavo")</f>
        <v>@petrogustavo</v>
      </c>
      <c r="C15401" s="5" t="s">
        <v>16</v>
      </c>
      <c r="D15401" s="5" t="s">
        <v>14834</v>
      </c>
      <c r="E15401" s="6" t="str">
        <f>HYPERLINK("https://twitter.com/petrogustavo/status/1416170976291741706","1416170976291741706")</f>
        <v>1416170976291741706</v>
      </c>
      <c r="F15401" s="7" t="s">
        <v>17</v>
      </c>
      <c r="G15401" s="7">
        <v>4331035</v>
      </c>
      <c r="H15401" s="7">
        <v>2531</v>
      </c>
      <c r="I15401" s="7">
        <v>58</v>
      </c>
      <c r="J15401" s="7">
        <v>135</v>
      </c>
      <c r="K15401" s="7" t="s">
        <v>18</v>
      </c>
      <c r="L15401" s="8">
        <v>39987.315405092595</v>
      </c>
      <c r="M15401" s="9" t="s">
        <v>19</v>
      </c>
      <c r="N15401" s="9" t="s">
        <v>20</v>
      </c>
      <c r="O15401" s="6" t="str">
        <f>HYPERLINK("https://pbs.twimg.com/profile_images/962471262747529216/Uo8lOkRJ_normal.jpg","View")</f>
        <v>View</v>
      </c>
      <c r="P15401" s="7"/>
    </row>
    <row r="15402" spans="1:16">
      <c r="A15402" s="3">
        <v>44394.961238425924</v>
      </c>
      <c r="B15402" s="4" t="str">
        <f>HYPERLINK("https://twitter.com/petrogustavo","@petrogustavo")</f>
        <v>@petrogustavo</v>
      </c>
      <c r="C15402" s="5" t="s">
        <v>16</v>
      </c>
      <c r="D15402" s="5" t="s">
        <v>14835</v>
      </c>
      <c r="E15402" s="6" t="str">
        <f>HYPERLINK("https://twitter.com/petrogustavo/status/1416451175898132484","1416451175898132484")</f>
        <v>1416451175898132484</v>
      </c>
      <c r="F15402" s="7" t="s">
        <v>32</v>
      </c>
      <c r="G15402" s="7">
        <v>4331487</v>
      </c>
      <c r="H15402" s="7">
        <v>2531</v>
      </c>
      <c r="I15402" s="7">
        <v>350</v>
      </c>
      <c r="J15402" s="7">
        <v>0</v>
      </c>
      <c r="K15402" s="7" t="s">
        <v>18</v>
      </c>
      <c r="L15402" s="8">
        <v>39987.315405092595</v>
      </c>
      <c r="M15402" s="9" t="s">
        <v>19</v>
      </c>
      <c r="N15402" s="9" t="s">
        <v>20</v>
      </c>
      <c r="O15402" s="6" t="str">
        <f>HYPERLINK("https://pbs.twimg.com/profile_images/962471262747529216/Uo8lOkRJ_normal.jpg","View")</f>
        <v>View</v>
      </c>
      <c r="P15402" s="7"/>
    </row>
    <row r="15403" spans="1:16">
      <c r="A15403" s="3">
        <v>44394.969375000001</v>
      </c>
      <c r="B15403" s="4" t="str">
        <f>HYPERLINK("https://twitter.com/petrogustavo","@petrogustavo")</f>
        <v>@petrogustavo</v>
      </c>
      <c r="C15403" s="5" t="s">
        <v>16</v>
      </c>
      <c r="D15403" s="5" t="s">
        <v>14836</v>
      </c>
      <c r="E15403" s="6" t="str">
        <f>HYPERLINK("https://twitter.com/petrogustavo/status/1416454124774821889","1416454124774821889")</f>
        <v>1416454124774821889</v>
      </c>
      <c r="F15403" s="7" t="s">
        <v>32</v>
      </c>
      <c r="G15403" s="7">
        <v>4331487</v>
      </c>
      <c r="H15403" s="7">
        <v>2531</v>
      </c>
      <c r="I15403" s="7">
        <v>3537</v>
      </c>
      <c r="J15403" s="7">
        <v>0</v>
      </c>
      <c r="K15403" s="7" t="s">
        <v>18</v>
      </c>
      <c r="L15403" s="8">
        <v>39987.315405092595</v>
      </c>
      <c r="M15403" s="9" t="s">
        <v>19</v>
      </c>
      <c r="N15403" s="9" t="s">
        <v>20</v>
      </c>
      <c r="O15403" s="6" t="str">
        <f>HYPERLINK("https://pbs.twimg.com/profile_images/962471262747529216/Uo8lOkRJ_normal.jpg","View")</f>
        <v>View</v>
      </c>
      <c r="P15403" s="7"/>
    </row>
    <row r="15404" spans="1:16">
      <c r="A15404" s="3">
        <v>44395.089155092588</v>
      </c>
      <c r="B15404" s="4" t="str">
        <f>HYPERLINK("https://twitter.com/petrogustavo","@petrogustavo")</f>
        <v>@petrogustavo</v>
      </c>
      <c r="C15404" s="5" t="s">
        <v>16</v>
      </c>
      <c r="D15404" s="5" t="s">
        <v>14837</v>
      </c>
      <c r="E15404" s="6" t="str">
        <f>HYPERLINK("https://twitter.com/petrogustavo/status/1416497533791182848","1416497533791182848")</f>
        <v>1416497533791182848</v>
      </c>
      <c r="F15404" s="7" t="s">
        <v>17</v>
      </c>
      <c r="G15404" s="7">
        <v>4331579</v>
      </c>
      <c r="H15404" s="7">
        <v>2531</v>
      </c>
      <c r="I15404" s="7">
        <v>328</v>
      </c>
      <c r="J15404" s="7">
        <v>860</v>
      </c>
      <c r="K15404" s="7" t="s">
        <v>18</v>
      </c>
      <c r="L15404" s="8">
        <v>39987.315405092595</v>
      </c>
      <c r="M15404" s="9" t="s">
        <v>19</v>
      </c>
      <c r="N15404" s="9" t="s">
        <v>20</v>
      </c>
      <c r="O15404" s="6" t="str">
        <f>HYPERLINK("https://pbs.twimg.com/profile_images/962471262747529216/Uo8lOkRJ_normal.jpg","View")</f>
        <v>View</v>
      </c>
      <c r="P15404" s="7"/>
    </row>
    <row r="15405" spans="1:16">
      <c r="A15405" s="3">
        <v>44395.155462962968</v>
      </c>
      <c r="B15405" s="4" t="str">
        <f>HYPERLINK("https://twitter.com/petrogustavo","@petrogustavo")</f>
        <v>@petrogustavo</v>
      </c>
      <c r="C15405" s="5" t="s">
        <v>16</v>
      </c>
      <c r="D15405" s="5" t="s">
        <v>14838</v>
      </c>
      <c r="E15405" s="6" t="str">
        <f>HYPERLINK("https://twitter.com/petrogustavo/status/1416521559796297739","1416521559796297739")</f>
        <v>1416521559796297739</v>
      </c>
      <c r="F15405" s="7" t="s">
        <v>17</v>
      </c>
      <c r="G15405" s="7">
        <v>4331639</v>
      </c>
      <c r="H15405" s="7">
        <v>2531</v>
      </c>
      <c r="I15405" s="7">
        <v>205</v>
      </c>
      <c r="J15405" s="7">
        <v>630</v>
      </c>
      <c r="K15405" s="7" t="s">
        <v>18</v>
      </c>
      <c r="L15405" s="8">
        <v>39987.315405092595</v>
      </c>
      <c r="M15405" s="9" t="s">
        <v>19</v>
      </c>
      <c r="N15405" s="9" t="s">
        <v>20</v>
      </c>
      <c r="O15405" s="6" t="str">
        <f>HYPERLINK("https://pbs.twimg.com/profile_images/962471262747529216/Uo8lOkRJ_normal.jpg","View")</f>
        <v>View</v>
      </c>
      <c r="P15405" s="7"/>
    </row>
    <row r="15406" spans="1:16">
      <c r="A15406" s="3">
        <v>44395.451909722222</v>
      </c>
      <c r="B15406" s="4" t="str">
        <f>HYPERLINK("https://twitter.com/petrogustavo","@petrogustavo")</f>
        <v>@petrogustavo</v>
      </c>
      <c r="C15406" s="5" t="s">
        <v>16</v>
      </c>
      <c r="D15406" s="5" t="s">
        <v>14839</v>
      </c>
      <c r="E15406" s="6" t="str">
        <f>HYPERLINK("https://twitter.com/petrogustavo/status/1416628991222599680","1416628991222599680")</f>
        <v>1416628991222599680</v>
      </c>
      <c r="F15406" s="7" t="s">
        <v>17</v>
      </c>
      <c r="G15406" s="7">
        <v>4331863</v>
      </c>
      <c r="H15406" s="7">
        <v>2532</v>
      </c>
      <c r="I15406" s="7">
        <v>2405</v>
      </c>
      <c r="J15406" s="7">
        <v>0</v>
      </c>
      <c r="K15406" s="7" t="s">
        <v>18</v>
      </c>
      <c r="L15406" s="8">
        <v>39987.315405092595</v>
      </c>
      <c r="M15406" s="9" t="s">
        <v>19</v>
      </c>
      <c r="N15406" s="9" t="s">
        <v>20</v>
      </c>
      <c r="O15406" s="6" t="str">
        <f>HYPERLINK("https://pbs.twimg.com/profile_images/962471262747529216/Uo8lOkRJ_normal.jpg","View")</f>
        <v>View</v>
      </c>
      <c r="P15406" s="7"/>
    </row>
    <row r="15407" spans="1:16">
      <c r="A15407" s="3">
        <v>44395.492685185185</v>
      </c>
      <c r="B15407" s="4" t="str">
        <f>HYPERLINK("https://twitter.com/petrogustavo","@petrogustavo")</f>
        <v>@petrogustavo</v>
      </c>
      <c r="C15407" s="5" t="s">
        <v>16</v>
      </c>
      <c r="D15407" s="5" t="s">
        <v>14840</v>
      </c>
      <c r="E15407" s="6" t="str">
        <f>HYPERLINK("https://twitter.com/petrogustavo/status/1416643766493065218","1416643766493065218")</f>
        <v>1416643766493065218</v>
      </c>
      <c r="F15407" s="7" t="s">
        <v>17</v>
      </c>
      <c r="G15407" s="7">
        <v>4331875</v>
      </c>
      <c r="H15407" s="7">
        <v>2532</v>
      </c>
      <c r="I15407" s="7">
        <v>41</v>
      </c>
      <c r="J15407" s="7">
        <v>166</v>
      </c>
      <c r="K15407" s="7" t="s">
        <v>18</v>
      </c>
      <c r="L15407" s="8">
        <v>39987.315405092595</v>
      </c>
      <c r="M15407" s="9" t="s">
        <v>19</v>
      </c>
      <c r="N15407" s="9" t="s">
        <v>20</v>
      </c>
      <c r="O15407" s="6" t="str">
        <f>HYPERLINK("https://pbs.twimg.com/profile_images/962471262747529216/Uo8lOkRJ_normal.jpg","View")</f>
        <v>View</v>
      </c>
      <c r="P15407" s="7"/>
    </row>
    <row r="15408" spans="1:16">
      <c r="A15408" s="3">
        <v>44395.492685185185</v>
      </c>
      <c r="B15408" s="4" t="str">
        <f>HYPERLINK("https://twitter.com/petrogustavo","@petrogustavo")</f>
        <v>@petrogustavo</v>
      </c>
      <c r="C15408" s="5" t="s">
        <v>16</v>
      </c>
      <c r="D15408" s="5" t="s">
        <v>14841</v>
      </c>
      <c r="E15408" s="6" t="str">
        <f>HYPERLINK("https://twitter.com/petrogustavo/status/1416643767923363841","1416643767923363841")</f>
        <v>1416643767923363841</v>
      </c>
      <c r="F15408" s="7" t="s">
        <v>17</v>
      </c>
      <c r="G15408" s="7">
        <v>4331875</v>
      </c>
      <c r="H15408" s="7">
        <v>2532</v>
      </c>
      <c r="I15408" s="7">
        <v>37</v>
      </c>
      <c r="J15408" s="7">
        <v>160</v>
      </c>
      <c r="K15408" s="7" t="s">
        <v>18</v>
      </c>
      <c r="L15408" s="8">
        <v>39987.315405092595</v>
      </c>
      <c r="M15408" s="9" t="s">
        <v>19</v>
      </c>
      <c r="N15408" s="9" t="s">
        <v>20</v>
      </c>
      <c r="O15408" s="6" t="str">
        <f>HYPERLINK("https://pbs.twimg.com/profile_images/962471262747529216/Uo8lOkRJ_normal.jpg","View")</f>
        <v>View</v>
      </c>
      <c r="P15408" s="7"/>
    </row>
    <row r="15409" spans="1:16">
      <c r="A15409" s="3">
        <v>44395.820127314815</v>
      </c>
      <c r="B15409" s="4" t="str">
        <f>HYPERLINK("https://twitter.com/petrogustavo","@petrogustavo")</f>
        <v>@petrogustavo</v>
      </c>
      <c r="C15409" s="5" t="s">
        <v>16</v>
      </c>
      <c r="D15409" s="5" t="s">
        <v>14842</v>
      </c>
      <c r="E15409" s="6" t="str">
        <f>HYPERLINK("https://twitter.com/petrogustavo/status/1416762426796789760","1416762426796789760")</f>
        <v>1416762426796789760</v>
      </c>
      <c r="F15409" s="7" t="s">
        <v>17</v>
      </c>
      <c r="G15409" s="7">
        <v>4331937</v>
      </c>
      <c r="H15409" s="7">
        <v>2531</v>
      </c>
      <c r="I15409" s="7">
        <v>102</v>
      </c>
      <c r="J15409" s="7">
        <v>269</v>
      </c>
      <c r="K15409" s="7" t="s">
        <v>18</v>
      </c>
      <c r="L15409" s="8">
        <v>39987.315405092595</v>
      </c>
      <c r="M15409" s="9" t="s">
        <v>19</v>
      </c>
      <c r="N15409" s="9" t="s">
        <v>20</v>
      </c>
      <c r="O15409" s="6" t="str">
        <f>HYPERLINK("https://pbs.twimg.com/profile_images/962471262747529216/Uo8lOkRJ_normal.jpg","View")</f>
        <v>View</v>
      </c>
      <c r="P15409" s="7"/>
    </row>
    <row r="15410" spans="1:16">
      <c r="A15410" s="3">
        <v>44395.820127314815</v>
      </c>
      <c r="B15410" s="4" t="str">
        <f>HYPERLINK("https://twitter.com/petrogustavo","@petrogustavo")</f>
        <v>@petrogustavo</v>
      </c>
      <c r="C15410" s="5" t="s">
        <v>16</v>
      </c>
      <c r="D15410" s="5" t="s">
        <v>14843</v>
      </c>
      <c r="E15410" s="6" t="str">
        <f>HYPERLINK("https://twitter.com/petrogustavo/status/1416762428373807108","1416762428373807108")</f>
        <v>1416762428373807108</v>
      </c>
      <c r="F15410" s="7" t="s">
        <v>17</v>
      </c>
      <c r="G15410" s="7">
        <v>4331937</v>
      </c>
      <c r="H15410" s="7">
        <v>2531</v>
      </c>
      <c r="I15410" s="7">
        <v>68</v>
      </c>
      <c r="J15410" s="7">
        <v>237</v>
      </c>
      <c r="K15410" s="7" t="s">
        <v>18</v>
      </c>
      <c r="L15410" s="8">
        <v>39987.315405092595</v>
      </c>
      <c r="M15410" s="9" t="s">
        <v>19</v>
      </c>
      <c r="N15410" s="9" t="s">
        <v>20</v>
      </c>
      <c r="O15410" s="6" t="str">
        <f>HYPERLINK("https://pbs.twimg.com/profile_images/962471262747529216/Uo8lOkRJ_normal.jpg","View")</f>
        <v>View</v>
      </c>
      <c r="P15410" s="7"/>
    </row>
    <row r="15411" spans="1:16">
      <c r="A15411" s="3">
        <v>44395.949988425928</v>
      </c>
      <c r="B15411" s="4" t="str">
        <f>HYPERLINK("https://twitter.com/petrogustavo","@petrogustavo")</f>
        <v>@petrogustavo</v>
      </c>
      <c r="C15411" s="5" t="s">
        <v>16</v>
      </c>
      <c r="D15411" s="5" t="s">
        <v>14844</v>
      </c>
      <c r="E15411" s="6" t="str">
        <f>HYPERLINK("https://twitter.com/petrogustavo/status/1416809488401711113","1416809488401711113")</f>
        <v>1416809488401711113</v>
      </c>
      <c r="F15411" s="7" t="s">
        <v>17</v>
      </c>
      <c r="G15411" s="7">
        <v>4332035</v>
      </c>
      <c r="H15411" s="7">
        <v>2531</v>
      </c>
      <c r="I15411" s="7">
        <v>187</v>
      </c>
      <c r="J15411" s="7">
        <v>428</v>
      </c>
      <c r="K15411" s="7" t="s">
        <v>18</v>
      </c>
      <c r="L15411" s="8">
        <v>39987.315405092595</v>
      </c>
      <c r="M15411" s="9" t="s">
        <v>19</v>
      </c>
      <c r="N15411" s="9" t="s">
        <v>20</v>
      </c>
      <c r="O15411" s="6" t="str">
        <f>HYPERLINK("https://pbs.twimg.com/profile_images/962471262747529216/Uo8lOkRJ_normal.jpg","View")</f>
        <v>View</v>
      </c>
      <c r="P15411" s="7"/>
    </row>
    <row r="15412" spans="1:16">
      <c r="A15412" s="3">
        <v>44396.075752314813</v>
      </c>
      <c r="B15412" s="4" t="str">
        <f>HYPERLINK("https://twitter.com/petrogustavo","@petrogustavo")</f>
        <v>@petrogustavo</v>
      </c>
      <c r="C15412" s="5" t="s">
        <v>16</v>
      </c>
      <c r="D15412" s="5" t="s">
        <v>14845</v>
      </c>
      <c r="E15412" s="6" t="str">
        <f>HYPERLINK("https://twitter.com/petrogustavo/status/1416855060613632004","1416855060613632004")</f>
        <v>1416855060613632004</v>
      </c>
      <c r="F15412" s="7" t="s">
        <v>17</v>
      </c>
      <c r="G15412" s="7">
        <v>4332100</v>
      </c>
      <c r="H15412" s="7">
        <v>2531</v>
      </c>
      <c r="I15412" s="7">
        <v>1517</v>
      </c>
      <c r="J15412" s="7">
        <v>0</v>
      </c>
      <c r="K15412" s="7" t="s">
        <v>18</v>
      </c>
      <c r="L15412" s="8">
        <v>39987.315405092595</v>
      </c>
      <c r="M15412" s="9" t="s">
        <v>19</v>
      </c>
      <c r="N15412" s="9" t="s">
        <v>20</v>
      </c>
      <c r="O15412" s="6" t="str">
        <f>HYPERLINK("https://pbs.twimg.com/profile_images/962471262747529216/Uo8lOkRJ_normal.jpg","View")</f>
        <v>View</v>
      </c>
      <c r="P15412" s="7"/>
    </row>
    <row r="15413" spans="1:16">
      <c r="A15413" s="3">
        <v>44396.079039351855</v>
      </c>
      <c r="B15413" s="4" t="str">
        <f>HYPERLINK("https://twitter.com/petrogustavo","@petrogustavo")</f>
        <v>@petrogustavo</v>
      </c>
      <c r="C15413" s="5" t="s">
        <v>16</v>
      </c>
      <c r="D15413" s="5" t="s">
        <v>14846</v>
      </c>
      <c r="E15413" s="6" t="str">
        <f>HYPERLINK("https://twitter.com/petrogustavo/status/1416856253813379073","1416856253813379073")</f>
        <v>1416856253813379073</v>
      </c>
      <c r="F15413" s="7" t="s">
        <v>17</v>
      </c>
      <c r="G15413" s="7">
        <v>4332100</v>
      </c>
      <c r="H15413" s="7">
        <v>2531</v>
      </c>
      <c r="I15413" s="7">
        <v>88</v>
      </c>
      <c r="J15413" s="7">
        <v>351</v>
      </c>
      <c r="K15413" s="7" t="s">
        <v>18</v>
      </c>
      <c r="L15413" s="8">
        <v>39987.315405092595</v>
      </c>
      <c r="M15413" s="9" t="s">
        <v>19</v>
      </c>
      <c r="N15413" s="9" t="s">
        <v>20</v>
      </c>
      <c r="O15413" s="6" t="str">
        <f>HYPERLINK("https://pbs.twimg.com/profile_images/962471262747529216/Uo8lOkRJ_normal.jpg","View")</f>
        <v>View</v>
      </c>
      <c r="P15413" s="7"/>
    </row>
    <row r="15414" spans="1:16">
      <c r="A15414" s="3">
        <v>44396.416851851856</v>
      </c>
      <c r="B15414" s="4" t="str">
        <f>HYPERLINK("https://twitter.com/petrogustavo","@petrogustavo")</f>
        <v>@petrogustavo</v>
      </c>
      <c r="C15414" s="5" t="s">
        <v>16</v>
      </c>
      <c r="D15414" s="5" t="s">
        <v>14847</v>
      </c>
      <c r="E15414" s="6" t="str">
        <f>HYPERLINK("https://twitter.com/petrogustavo/status/1416978674331627520","1416978674331627520")</f>
        <v>1416978674331627520</v>
      </c>
      <c r="F15414" s="7" t="s">
        <v>17</v>
      </c>
      <c r="G15414" s="7">
        <v>4332351</v>
      </c>
      <c r="H15414" s="7">
        <v>2532</v>
      </c>
      <c r="I15414" s="7">
        <v>195</v>
      </c>
      <c r="J15414" s="7">
        <v>0</v>
      </c>
      <c r="K15414" s="7" t="s">
        <v>18</v>
      </c>
      <c r="L15414" s="8">
        <v>39987.315405092595</v>
      </c>
      <c r="M15414" s="9" t="s">
        <v>19</v>
      </c>
      <c r="N15414" s="9" t="s">
        <v>20</v>
      </c>
      <c r="O15414" s="6" t="str">
        <f>HYPERLINK("https://pbs.twimg.com/profile_images/962471262747529216/Uo8lOkRJ_normal.jpg","View")</f>
        <v>View</v>
      </c>
      <c r="P15414" s="7"/>
    </row>
    <row r="15415" spans="1:16">
      <c r="A15415" s="3">
        <v>44396.417233796295</v>
      </c>
      <c r="B15415" s="4" t="str">
        <f>HYPERLINK("https://twitter.com/petrogustavo","@petrogustavo")</f>
        <v>@petrogustavo</v>
      </c>
      <c r="C15415" s="5" t="s">
        <v>16</v>
      </c>
      <c r="D15415" s="5" t="s">
        <v>14848</v>
      </c>
      <c r="E15415" s="6" t="str">
        <f>HYPERLINK("https://twitter.com/petrogustavo/status/1416978811443453957","1416978811443453957")</f>
        <v>1416978811443453957</v>
      </c>
      <c r="F15415" s="7" t="s">
        <v>17</v>
      </c>
      <c r="G15415" s="7">
        <v>4332351</v>
      </c>
      <c r="H15415" s="7">
        <v>2532</v>
      </c>
      <c r="I15415" s="7">
        <v>2063</v>
      </c>
      <c r="J15415" s="7">
        <v>0</v>
      </c>
      <c r="K15415" s="7" t="s">
        <v>18</v>
      </c>
      <c r="L15415" s="8">
        <v>39987.315405092595</v>
      </c>
      <c r="M15415" s="9" t="s">
        <v>19</v>
      </c>
      <c r="N15415" s="9" t="s">
        <v>20</v>
      </c>
      <c r="O15415" s="6" t="str">
        <f>HYPERLINK("https://pbs.twimg.com/profile_images/962471262747529216/Uo8lOkRJ_normal.jpg","View")</f>
        <v>View</v>
      </c>
      <c r="P15415" s="7"/>
    </row>
    <row r="15416" spans="1:16">
      <c r="A15416" s="3">
        <v>44396.645358796297</v>
      </c>
      <c r="B15416" s="4" t="str">
        <f>HYPERLINK("https://twitter.com/petrogustavo","@petrogustavo")</f>
        <v>@petrogustavo</v>
      </c>
      <c r="C15416" s="5" t="s">
        <v>16</v>
      </c>
      <c r="D15416" s="5" t="s">
        <v>14849</v>
      </c>
      <c r="E15416" s="6" t="str">
        <f>HYPERLINK("https://twitter.com/petrogustavo/status/1417061482068643842","1417061482068643842")</f>
        <v>1417061482068643842</v>
      </c>
      <c r="F15416" s="7" t="s">
        <v>17</v>
      </c>
      <c r="G15416" s="7">
        <v>4332390</v>
      </c>
      <c r="H15416" s="7">
        <v>2532</v>
      </c>
      <c r="I15416" s="7">
        <v>23</v>
      </c>
      <c r="J15416" s="7">
        <v>42</v>
      </c>
      <c r="K15416" s="7" t="s">
        <v>18</v>
      </c>
      <c r="L15416" s="8">
        <v>39987.315405092595</v>
      </c>
      <c r="M15416" s="9" t="s">
        <v>19</v>
      </c>
      <c r="N15416" s="9" t="s">
        <v>20</v>
      </c>
      <c r="O15416" s="6" t="str">
        <f>HYPERLINK("https://pbs.twimg.com/profile_images/962471262747529216/Uo8lOkRJ_normal.jpg","View")</f>
        <v>View</v>
      </c>
      <c r="P15416" s="7"/>
    </row>
    <row r="15417" spans="1:16">
      <c r="A15417" s="3">
        <v>44396.663217592592</v>
      </c>
      <c r="B15417" s="4" t="str">
        <f>HYPERLINK("https://twitter.com/petrogustavo","@petrogustavo")</f>
        <v>@petrogustavo</v>
      </c>
      <c r="C15417" s="5" t="s">
        <v>16</v>
      </c>
      <c r="D15417" s="5" t="s">
        <v>14850</v>
      </c>
      <c r="E15417" s="6" t="str">
        <f>HYPERLINK("https://twitter.com/petrogustavo/status/1417067951367368705","1417067951367368705")</f>
        <v>1417067951367368705</v>
      </c>
      <c r="F15417" s="7" t="s">
        <v>17</v>
      </c>
      <c r="G15417" s="7">
        <v>4332397</v>
      </c>
      <c r="H15417" s="7">
        <v>2532</v>
      </c>
      <c r="I15417" s="7">
        <v>60</v>
      </c>
      <c r="J15417" s="7">
        <v>106</v>
      </c>
      <c r="K15417" s="7" t="s">
        <v>18</v>
      </c>
      <c r="L15417" s="8">
        <v>39987.315405092595</v>
      </c>
      <c r="M15417" s="9" t="s">
        <v>19</v>
      </c>
      <c r="N15417" s="9" t="s">
        <v>20</v>
      </c>
      <c r="O15417" s="6" t="str">
        <f>HYPERLINK("https://pbs.twimg.com/profile_images/962471262747529216/Uo8lOkRJ_normal.jpg","View")</f>
        <v>View</v>
      </c>
      <c r="P15417" s="7"/>
    </row>
    <row r="15418" spans="1:16">
      <c r="A15418" s="3">
        <v>44397.692916666667</v>
      </c>
      <c r="B15418" s="4" t="str">
        <f>HYPERLINK("https://twitter.com/petrogustavo","@petrogustavo")</f>
        <v>@petrogustavo</v>
      </c>
      <c r="C15418" s="5" t="s">
        <v>16</v>
      </c>
      <c r="D15418" s="5" t="s">
        <v>14851</v>
      </c>
      <c r="E15418" s="6" t="str">
        <f>HYPERLINK("https://twitter.com/petrogustavo/status/1417441104300023835","1417441104300023835")</f>
        <v>1417441104300023835</v>
      </c>
      <c r="F15418" s="7" t="s">
        <v>32</v>
      </c>
      <c r="G15418" s="7">
        <v>4333039</v>
      </c>
      <c r="H15418" s="7">
        <v>2532</v>
      </c>
      <c r="I15418" s="7">
        <v>364</v>
      </c>
      <c r="J15418" s="7">
        <v>1037</v>
      </c>
      <c r="K15418" s="7" t="s">
        <v>18</v>
      </c>
      <c r="L15418" s="8">
        <v>39987.315405092595</v>
      </c>
      <c r="M15418" s="9" t="s">
        <v>19</v>
      </c>
      <c r="N15418" s="9" t="s">
        <v>20</v>
      </c>
      <c r="O15418" s="6" t="str">
        <f>HYPERLINK("https://pbs.twimg.com/profile_images/962471262747529216/Uo8lOkRJ_normal.jpg","View")</f>
        <v>View</v>
      </c>
      <c r="P15418" s="7"/>
    </row>
    <row r="15419" spans="1:16">
      <c r="A15419" s="3">
        <v>44397.791400462964</v>
      </c>
      <c r="B15419" s="4" t="str">
        <f>HYPERLINK("https://twitter.com/petrogustavo","@petrogustavo")</f>
        <v>@petrogustavo</v>
      </c>
      <c r="C15419" s="5" t="s">
        <v>16</v>
      </c>
      <c r="D15419" s="5" t="s">
        <v>14852</v>
      </c>
      <c r="E15419" s="6" t="str">
        <f>HYPERLINK("https://twitter.com/petrogustavo/status/1417476792009596932","1417476792009596932")</f>
        <v>1417476792009596932</v>
      </c>
      <c r="F15419" s="7" t="s">
        <v>17</v>
      </c>
      <c r="G15419" s="7">
        <v>4333123</v>
      </c>
      <c r="H15419" s="7">
        <v>2532</v>
      </c>
      <c r="I15419" s="7">
        <v>1474</v>
      </c>
      <c r="J15419" s="7">
        <v>0</v>
      </c>
      <c r="K15419" s="7" t="s">
        <v>18</v>
      </c>
      <c r="L15419" s="8">
        <v>39987.315405092595</v>
      </c>
      <c r="M15419" s="9" t="s">
        <v>19</v>
      </c>
      <c r="N15419" s="9" t="s">
        <v>20</v>
      </c>
      <c r="O15419" s="6" t="str">
        <f>HYPERLINK("https://pbs.twimg.com/profile_images/962471262747529216/Uo8lOkRJ_normal.jpg","View")</f>
        <v>View</v>
      </c>
      <c r="P15419" s="7"/>
    </row>
    <row r="15420" spans="1:16">
      <c r="A15420" s="3">
        <v>44397.87118055555</v>
      </c>
      <c r="B15420" s="4" t="str">
        <f>HYPERLINK("https://twitter.com/petrogustavo","@petrogustavo")</f>
        <v>@petrogustavo</v>
      </c>
      <c r="C15420" s="5" t="s">
        <v>16</v>
      </c>
      <c r="D15420" s="5" t="s">
        <v>14853</v>
      </c>
      <c r="E15420" s="6" t="str">
        <f>HYPERLINK("https://twitter.com/petrogustavo/status/1417505705947537411","1417505705947537411")</f>
        <v>1417505705947537411</v>
      </c>
      <c r="F15420" s="7" t="s">
        <v>17</v>
      </c>
      <c r="G15420" s="7">
        <v>4333213</v>
      </c>
      <c r="H15420" s="7">
        <v>2532</v>
      </c>
      <c r="I15420" s="7">
        <v>142</v>
      </c>
      <c r="J15420" s="7">
        <v>413</v>
      </c>
      <c r="K15420" s="7" t="s">
        <v>18</v>
      </c>
      <c r="L15420" s="8">
        <v>39987.315405092595</v>
      </c>
      <c r="M15420" s="9" t="s">
        <v>19</v>
      </c>
      <c r="N15420" s="9" t="s">
        <v>20</v>
      </c>
      <c r="O15420" s="6" t="str">
        <f>HYPERLINK("https://pbs.twimg.com/profile_images/962471262747529216/Uo8lOkRJ_normal.jpg","View")</f>
        <v>View</v>
      </c>
      <c r="P15420" s="7"/>
    </row>
    <row r="15421" spans="1:16">
      <c r="A15421" s="3">
        <v>44397.875879629632</v>
      </c>
      <c r="B15421" s="4" t="str">
        <f>HYPERLINK("https://twitter.com/petrogustavo","@petrogustavo")</f>
        <v>@petrogustavo</v>
      </c>
      <c r="C15421" s="5" t="s">
        <v>16</v>
      </c>
      <c r="D15421" s="5" t="s">
        <v>14854</v>
      </c>
      <c r="E15421" s="6" t="str">
        <f>HYPERLINK("https://twitter.com/petrogustavo/status/1417507405970264070","1417507405970264070")</f>
        <v>1417507405970264070</v>
      </c>
      <c r="F15421" s="7" t="s">
        <v>17</v>
      </c>
      <c r="G15421" s="7">
        <v>4333213</v>
      </c>
      <c r="H15421" s="7">
        <v>2532</v>
      </c>
      <c r="I15421" s="7">
        <v>51</v>
      </c>
      <c r="J15421" s="7">
        <v>118</v>
      </c>
      <c r="K15421" s="7" t="s">
        <v>18</v>
      </c>
      <c r="L15421" s="8">
        <v>39987.315405092595</v>
      </c>
      <c r="M15421" s="9" t="s">
        <v>19</v>
      </c>
      <c r="N15421" s="9" t="s">
        <v>20</v>
      </c>
      <c r="O15421" s="6" t="str">
        <f>HYPERLINK("https://pbs.twimg.com/profile_images/962471262747529216/Uo8lOkRJ_normal.jpg","View")</f>
        <v>View</v>
      </c>
      <c r="P15421" s="7"/>
    </row>
    <row r="15422" spans="1:16">
      <c r="A15422" s="3">
        <v>44397.879548611112</v>
      </c>
      <c r="B15422" s="4" t="str">
        <f>HYPERLINK("https://twitter.com/petrogustavo","@petrogustavo")</f>
        <v>@petrogustavo</v>
      </c>
      <c r="C15422" s="5" t="s">
        <v>16</v>
      </c>
      <c r="D15422" s="5" t="s">
        <v>14855</v>
      </c>
      <c r="E15422" s="6" t="str">
        <f>HYPERLINK("https://twitter.com/petrogustavo/status/1417508735979868165","1417508735979868165")</f>
        <v>1417508735979868165</v>
      </c>
      <c r="F15422" s="7" t="s">
        <v>17</v>
      </c>
      <c r="G15422" s="7">
        <v>4333219</v>
      </c>
      <c r="H15422" s="7">
        <v>2533</v>
      </c>
      <c r="I15422" s="7">
        <v>299</v>
      </c>
      <c r="J15422" s="7">
        <v>903</v>
      </c>
      <c r="K15422" s="7" t="s">
        <v>18</v>
      </c>
      <c r="L15422" s="8">
        <v>39987.315405092595</v>
      </c>
      <c r="M15422" s="9" t="s">
        <v>19</v>
      </c>
      <c r="N15422" s="9" t="s">
        <v>20</v>
      </c>
      <c r="O15422" s="6" t="str">
        <f>HYPERLINK("https://pbs.twimg.com/profile_images/962471262747529216/Uo8lOkRJ_normal.jpg","View")</f>
        <v>View</v>
      </c>
      <c r="P15422" s="7"/>
    </row>
    <row r="15423" spans="1:16">
      <c r="A15423" s="3">
        <v>44397.882627314815</v>
      </c>
      <c r="B15423" s="4" t="str">
        <f>HYPERLINK("https://twitter.com/petrogustavo","@petrogustavo")</f>
        <v>@petrogustavo</v>
      </c>
      <c r="C15423" s="5" t="s">
        <v>16</v>
      </c>
      <c r="D15423" s="5" t="s">
        <v>14856</v>
      </c>
      <c r="E15423" s="6" t="str">
        <f>HYPERLINK("https://twitter.com/petrogustavo/status/1417509850679025664","1417509850679025664")</f>
        <v>1417509850679025664</v>
      </c>
      <c r="F15423" s="7" t="s">
        <v>17</v>
      </c>
      <c r="G15423" s="7">
        <v>4333219</v>
      </c>
      <c r="H15423" s="7">
        <v>2533</v>
      </c>
      <c r="I15423" s="7">
        <v>364</v>
      </c>
      <c r="J15423" s="7">
        <v>1216</v>
      </c>
      <c r="K15423" s="7" t="s">
        <v>18</v>
      </c>
      <c r="L15423" s="8">
        <v>39987.315405092595</v>
      </c>
      <c r="M15423" s="9" t="s">
        <v>19</v>
      </c>
      <c r="N15423" s="9" t="s">
        <v>20</v>
      </c>
      <c r="O15423" s="6" t="str">
        <f>HYPERLINK("https://pbs.twimg.com/profile_images/962471262747529216/Uo8lOkRJ_normal.jpg","View")</f>
        <v>View</v>
      </c>
      <c r="P15423" s="7"/>
    </row>
    <row r="15424" spans="1:16">
      <c r="A15424" s="3">
        <v>44397.916631944448</v>
      </c>
      <c r="B15424" s="4" t="str">
        <f>HYPERLINK("https://twitter.com/petrogustavo","@petrogustavo")</f>
        <v>@petrogustavo</v>
      </c>
      <c r="C15424" s="5" t="s">
        <v>16</v>
      </c>
      <c r="D15424" s="5" t="s">
        <v>14857</v>
      </c>
      <c r="E15424" s="6" t="str">
        <f>HYPERLINK("https://twitter.com/petrogustavo/status/1417522173988704257","1417522173988704257")</f>
        <v>1417522173988704257</v>
      </c>
      <c r="F15424" s="7" t="s">
        <v>17</v>
      </c>
      <c r="G15424" s="7">
        <v>4333260</v>
      </c>
      <c r="H15424" s="7">
        <v>2533</v>
      </c>
      <c r="I15424" s="7">
        <v>108</v>
      </c>
      <c r="J15424" s="7">
        <v>0</v>
      </c>
      <c r="K15424" s="7" t="s">
        <v>18</v>
      </c>
      <c r="L15424" s="8">
        <v>39987.315405092595</v>
      </c>
      <c r="M15424" s="9" t="s">
        <v>19</v>
      </c>
      <c r="N15424" s="9" t="s">
        <v>20</v>
      </c>
      <c r="O15424" s="6" t="str">
        <f>HYPERLINK("https://pbs.twimg.com/profile_images/962471262747529216/Uo8lOkRJ_normal.jpg","View")</f>
        <v>View</v>
      </c>
      <c r="P15424" s="7"/>
    </row>
    <row r="15425" spans="1:16">
      <c r="A15425" s="3">
        <v>44397.941504629634</v>
      </c>
      <c r="B15425" s="4" t="str">
        <f>HYPERLINK("https://twitter.com/petrogustavo","@petrogustavo")</f>
        <v>@petrogustavo</v>
      </c>
      <c r="C15425" s="5" t="s">
        <v>16</v>
      </c>
      <c r="D15425" s="5" t="s">
        <v>14858</v>
      </c>
      <c r="E15425" s="6" t="str">
        <f>HYPERLINK("https://twitter.com/petrogustavo/status/1417531188319772672","1417531188319772672")</f>
        <v>1417531188319772672</v>
      </c>
      <c r="F15425" s="7" t="s">
        <v>17</v>
      </c>
      <c r="G15425" s="7">
        <v>4333326</v>
      </c>
      <c r="H15425" s="7">
        <v>2533</v>
      </c>
      <c r="I15425" s="7">
        <v>225</v>
      </c>
      <c r="J15425" s="7">
        <v>0</v>
      </c>
      <c r="K15425" s="7" t="s">
        <v>18</v>
      </c>
      <c r="L15425" s="8">
        <v>39987.315405092595</v>
      </c>
      <c r="M15425" s="9" t="s">
        <v>19</v>
      </c>
      <c r="N15425" s="9" t="s">
        <v>20</v>
      </c>
      <c r="O15425" s="6" t="str">
        <f>HYPERLINK("https://pbs.twimg.com/profile_images/962471262747529216/Uo8lOkRJ_normal.jpg","View")</f>
        <v>View</v>
      </c>
      <c r="P15425" s="7"/>
    </row>
    <row r="15426" spans="1:16">
      <c r="A15426" s="3">
        <v>44397.948136574079</v>
      </c>
      <c r="B15426" s="4" t="str">
        <f>HYPERLINK("https://twitter.com/petrogustavo","@petrogustavo")</f>
        <v>@petrogustavo</v>
      </c>
      <c r="C15426" s="5" t="s">
        <v>16</v>
      </c>
      <c r="D15426" s="5" t="s">
        <v>14859</v>
      </c>
      <c r="E15426" s="6" t="str">
        <f>HYPERLINK("https://twitter.com/petrogustavo/status/1417533590800322564","1417533590800322564")</f>
        <v>1417533590800322564</v>
      </c>
      <c r="F15426" s="7" t="s">
        <v>17</v>
      </c>
      <c r="G15426" s="7">
        <v>4333326</v>
      </c>
      <c r="H15426" s="7">
        <v>2533</v>
      </c>
      <c r="I15426" s="7">
        <v>587</v>
      </c>
      <c r="J15426" s="7">
        <v>1742</v>
      </c>
      <c r="K15426" s="7" t="s">
        <v>18</v>
      </c>
      <c r="L15426" s="8">
        <v>39987.315405092595</v>
      </c>
      <c r="M15426" s="9" t="s">
        <v>19</v>
      </c>
      <c r="N15426" s="9" t="s">
        <v>20</v>
      </c>
      <c r="O15426" s="6" t="str">
        <f>HYPERLINK("https://pbs.twimg.com/profile_images/962471262747529216/Uo8lOkRJ_normal.jpg","View")</f>
        <v>View</v>
      </c>
      <c r="P15426" s="7"/>
    </row>
    <row r="15427" spans="1:16">
      <c r="A15427" s="3">
        <v>44397.976168981477</v>
      </c>
      <c r="B15427" s="4" t="str">
        <f>HYPERLINK("https://twitter.com/petrogustavo","@petrogustavo")</f>
        <v>@petrogustavo</v>
      </c>
      <c r="C15427" s="5" t="s">
        <v>16</v>
      </c>
      <c r="D15427" s="5" t="s">
        <v>14860</v>
      </c>
      <c r="E15427" s="6" t="str">
        <f>HYPERLINK("https://twitter.com/petrogustavo/status/1417543750818086919","1417543750818086919")</f>
        <v>1417543750818086919</v>
      </c>
      <c r="F15427" s="7" t="s">
        <v>17</v>
      </c>
      <c r="G15427" s="7">
        <v>4333350</v>
      </c>
      <c r="H15427" s="7">
        <v>2533</v>
      </c>
      <c r="I15427" s="7">
        <v>295</v>
      </c>
      <c r="J15427" s="7">
        <v>0</v>
      </c>
      <c r="K15427" s="7" t="s">
        <v>18</v>
      </c>
      <c r="L15427" s="8">
        <v>39987.315405092595</v>
      </c>
      <c r="M15427" s="9" t="s">
        <v>19</v>
      </c>
      <c r="N15427" s="9" t="s">
        <v>20</v>
      </c>
      <c r="O15427" s="6" t="str">
        <f>HYPERLINK("https://pbs.twimg.com/profile_images/962471262747529216/Uo8lOkRJ_normal.jpg","View")</f>
        <v>View</v>
      </c>
      <c r="P15427" s="7"/>
    </row>
    <row r="15428" spans="1:16">
      <c r="A15428" s="3">
        <v>44397.988391203704</v>
      </c>
      <c r="B15428" s="4" t="str">
        <f>HYPERLINK("https://twitter.com/petrogustavo","@petrogustavo")</f>
        <v>@petrogustavo</v>
      </c>
      <c r="C15428" s="5" t="s">
        <v>16</v>
      </c>
      <c r="D15428" s="5" t="s">
        <v>14861</v>
      </c>
      <c r="E15428" s="6" t="str">
        <f>HYPERLINK("https://twitter.com/petrogustavo/status/1417548180854562816","1417548180854562816")</f>
        <v>1417548180854562816</v>
      </c>
      <c r="F15428" s="7" t="s">
        <v>17</v>
      </c>
      <c r="G15428" s="7">
        <v>4333374</v>
      </c>
      <c r="H15428" s="7">
        <v>2533</v>
      </c>
      <c r="I15428" s="7">
        <v>262</v>
      </c>
      <c r="J15428" s="7">
        <v>945</v>
      </c>
      <c r="K15428" s="7" t="s">
        <v>18</v>
      </c>
      <c r="L15428" s="8">
        <v>39987.315405092595</v>
      </c>
      <c r="M15428" s="9" t="s">
        <v>19</v>
      </c>
      <c r="N15428" s="9" t="s">
        <v>20</v>
      </c>
      <c r="O15428" s="6" t="str">
        <f>HYPERLINK("https://pbs.twimg.com/profile_images/962471262747529216/Uo8lOkRJ_normal.jpg","View")</f>
        <v>View</v>
      </c>
      <c r="P15428" s="7"/>
    </row>
    <row r="15429" spans="1:16">
      <c r="A15429" s="3">
        <v>44398.019803240742</v>
      </c>
      <c r="B15429" s="4" t="str">
        <f>HYPERLINK("https://twitter.com/petrogustavo","@petrogustavo")</f>
        <v>@petrogustavo</v>
      </c>
      <c r="C15429" s="5" t="s">
        <v>16</v>
      </c>
      <c r="D15429" s="5" t="s">
        <v>14862</v>
      </c>
      <c r="E15429" s="6" t="str">
        <f>HYPERLINK("https://twitter.com/petrogustavo/status/1417559563113480195","1417559563113480195")</f>
        <v>1417559563113480195</v>
      </c>
      <c r="F15429" s="7" t="s">
        <v>17</v>
      </c>
      <c r="G15429" s="7">
        <v>4333397</v>
      </c>
      <c r="H15429" s="7">
        <v>2533</v>
      </c>
      <c r="I15429" s="7">
        <v>98</v>
      </c>
      <c r="J15429" s="7">
        <v>280</v>
      </c>
      <c r="K15429" s="7" t="s">
        <v>18</v>
      </c>
      <c r="L15429" s="8">
        <v>39987.315405092595</v>
      </c>
      <c r="M15429" s="9" t="s">
        <v>19</v>
      </c>
      <c r="N15429" s="9" t="s">
        <v>20</v>
      </c>
      <c r="O15429" s="6" t="str">
        <f>HYPERLINK("https://pbs.twimg.com/profile_images/962471262747529216/Uo8lOkRJ_normal.jpg","View")</f>
        <v>View</v>
      </c>
      <c r="P15429" s="7"/>
    </row>
    <row r="15430" spans="1:16">
      <c r="A15430" s="3">
        <v>44398.020648148144</v>
      </c>
      <c r="B15430" s="4" t="str">
        <f>HYPERLINK("https://twitter.com/petrogustavo","@petrogustavo")</f>
        <v>@petrogustavo</v>
      </c>
      <c r="C15430" s="5" t="s">
        <v>16</v>
      </c>
      <c r="D15430" s="5" t="s">
        <v>14863</v>
      </c>
      <c r="E15430" s="6" t="str">
        <f>HYPERLINK("https://twitter.com/petrogustavo/status/1417559867749978114","1417559867749978114")</f>
        <v>1417559867749978114</v>
      </c>
      <c r="F15430" s="7" t="s">
        <v>17</v>
      </c>
      <c r="G15430" s="7">
        <v>4333397</v>
      </c>
      <c r="H15430" s="7">
        <v>2533</v>
      </c>
      <c r="I15430" s="7">
        <v>502</v>
      </c>
      <c r="J15430" s="7">
        <v>0</v>
      </c>
      <c r="K15430" s="7" t="s">
        <v>18</v>
      </c>
      <c r="L15430" s="8">
        <v>39987.315405092595</v>
      </c>
      <c r="M15430" s="9" t="s">
        <v>19</v>
      </c>
      <c r="N15430" s="9" t="s">
        <v>20</v>
      </c>
      <c r="O15430" s="6" t="str">
        <f>HYPERLINK("https://pbs.twimg.com/profile_images/962471262747529216/Uo8lOkRJ_normal.jpg","View")</f>
        <v>View</v>
      </c>
      <c r="P15430" s="7"/>
    </row>
    <row r="15431" spans="1:16">
      <c r="A15431" s="3">
        <v>44398.096724537041</v>
      </c>
      <c r="B15431" s="4" t="str">
        <f>HYPERLINK("https://twitter.com/petrogustavo","@petrogustavo")</f>
        <v>@petrogustavo</v>
      </c>
      <c r="C15431" s="5" t="s">
        <v>16</v>
      </c>
      <c r="D15431" s="5" t="s">
        <v>14864</v>
      </c>
      <c r="E15431" s="6" t="str">
        <f>HYPERLINK("https://twitter.com/petrogustavo/status/1417587438965379081","1417587438965379081")</f>
        <v>1417587438965379081</v>
      </c>
      <c r="F15431" s="7" t="s">
        <v>17</v>
      </c>
      <c r="G15431" s="7">
        <v>4333492</v>
      </c>
      <c r="H15431" s="7">
        <v>2533</v>
      </c>
      <c r="I15431" s="7">
        <v>184</v>
      </c>
      <c r="J15431" s="7">
        <v>599</v>
      </c>
      <c r="K15431" s="7" t="s">
        <v>18</v>
      </c>
      <c r="L15431" s="8">
        <v>39987.315405092595</v>
      </c>
      <c r="M15431" s="9" t="s">
        <v>19</v>
      </c>
      <c r="N15431" s="9" t="s">
        <v>20</v>
      </c>
      <c r="O15431" s="6" t="str">
        <f>HYPERLINK("https://pbs.twimg.com/profile_images/962471262747529216/Uo8lOkRJ_normal.jpg","View")</f>
        <v>View</v>
      </c>
      <c r="P15431" s="7"/>
    </row>
    <row r="15432" spans="1:16">
      <c r="A15432" s="3">
        <v>44398.102523148147</v>
      </c>
      <c r="B15432" s="4" t="str">
        <f>HYPERLINK("https://twitter.com/petrogustavo","@petrogustavo")</f>
        <v>@petrogustavo</v>
      </c>
      <c r="C15432" s="5" t="s">
        <v>16</v>
      </c>
      <c r="D15432" s="5" t="s">
        <v>14865</v>
      </c>
      <c r="E15432" s="6" t="str">
        <f>HYPERLINK("https://twitter.com/petrogustavo/status/1417589539632082944","1417589539632082944")</f>
        <v>1417589539632082944</v>
      </c>
      <c r="F15432" s="7" t="s">
        <v>17</v>
      </c>
      <c r="G15432" s="7">
        <v>4333492</v>
      </c>
      <c r="H15432" s="7">
        <v>2533</v>
      </c>
      <c r="I15432" s="7">
        <v>161</v>
      </c>
      <c r="J15432" s="7">
        <v>409</v>
      </c>
      <c r="K15432" s="7" t="s">
        <v>18</v>
      </c>
      <c r="L15432" s="8">
        <v>39987.315405092595</v>
      </c>
      <c r="M15432" s="9" t="s">
        <v>19</v>
      </c>
      <c r="N15432" s="9" t="s">
        <v>20</v>
      </c>
      <c r="O15432" s="6" t="str">
        <f>HYPERLINK("https://pbs.twimg.com/profile_images/962471262747529216/Uo8lOkRJ_normal.jpg","View")</f>
        <v>View</v>
      </c>
      <c r="P15432" s="7"/>
    </row>
    <row r="15433" spans="1:16">
      <c r="A15433" s="3">
        <v>44398.646516203706</v>
      </c>
      <c r="B15433" s="4" t="str">
        <f>HYPERLINK("https://twitter.com/petrogustavo","@petrogustavo")</f>
        <v>@petrogustavo</v>
      </c>
      <c r="C15433" s="5" t="s">
        <v>16</v>
      </c>
      <c r="D15433" s="5" t="s">
        <v>14866</v>
      </c>
      <c r="E15433" s="6" t="str">
        <f>HYPERLINK("https://twitter.com/petrogustavo/status/1417786675141521415","1417786675141521415")</f>
        <v>1417786675141521415</v>
      </c>
      <c r="F15433" s="7" t="s">
        <v>17</v>
      </c>
      <c r="G15433" s="7">
        <v>4333985</v>
      </c>
      <c r="H15433" s="7">
        <v>2533</v>
      </c>
      <c r="I15433" s="7">
        <v>9</v>
      </c>
      <c r="J15433" s="7">
        <v>18</v>
      </c>
      <c r="K15433" s="7" t="s">
        <v>18</v>
      </c>
      <c r="L15433" s="8">
        <v>39987.315405092595</v>
      </c>
      <c r="M15433" s="9" t="s">
        <v>19</v>
      </c>
      <c r="N15433" s="9" t="s">
        <v>20</v>
      </c>
      <c r="O15433" s="6" t="str">
        <f>HYPERLINK("https://pbs.twimg.com/profile_images/962471262747529216/Uo8lOkRJ_normal.jpg","View")</f>
        <v>View</v>
      </c>
      <c r="P15433" s="7"/>
    </row>
    <row r="15434" spans="1:16">
      <c r="A15434" s="3">
        <v>44398.685486111106</v>
      </c>
      <c r="B15434" s="4" t="str">
        <f>HYPERLINK("https://twitter.com/petrogustavo","@petrogustavo")</f>
        <v>@petrogustavo</v>
      </c>
      <c r="C15434" s="5" t="s">
        <v>16</v>
      </c>
      <c r="D15434" s="5" t="s">
        <v>14867</v>
      </c>
      <c r="E15434" s="6" t="str">
        <f>HYPERLINK("https://twitter.com/petrogustavo/status/1417800796855484419","1417800796855484419")</f>
        <v>1417800796855484419</v>
      </c>
      <c r="F15434" s="7" t="s">
        <v>17</v>
      </c>
      <c r="G15434" s="7">
        <v>4333990</v>
      </c>
      <c r="H15434" s="7">
        <v>2533</v>
      </c>
      <c r="I15434" s="7">
        <v>145</v>
      </c>
      <c r="J15434" s="7">
        <v>0</v>
      </c>
      <c r="K15434" s="7" t="s">
        <v>18</v>
      </c>
      <c r="L15434" s="8">
        <v>39987.315405092595</v>
      </c>
      <c r="M15434" s="9" t="s">
        <v>19</v>
      </c>
      <c r="N15434" s="9" t="s">
        <v>20</v>
      </c>
      <c r="O15434" s="6" t="str">
        <f>HYPERLINK("https://pbs.twimg.com/profile_images/962471262747529216/Uo8lOkRJ_normal.jpg","View")</f>
        <v>View</v>
      </c>
      <c r="P15434" s="7"/>
    </row>
    <row r="15435" spans="1:16">
      <c r="A15435" s="3">
        <v>44398.689976851849</v>
      </c>
      <c r="B15435" s="4" t="str">
        <f>HYPERLINK("https://twitter.com/petrogustavo","@petrogustavo")</f>
        <v>@petrogustavo</v>
      </c>
      <c r="C15435" s="5" t="s">
        <v>16</v>
      </c>
      <c r="D15435" s="5" t="s">
        <v>14868</v>
      </c>
      <c r="E15435" s="6" t="str">
        <f>HYPERLINK("https://twitter.com/petrogustavo/status/1417802426938179586","1417802426938179586")</f>
        <v>1417802426938179586</v>
      </c>
      <c r="F15435" s="7" t="s">
        <v>17</v>
      </c>
      <c r="G15435" s="7">
        <v>4334001</v>
      </c>
      <c r="H15435" s="7">
        <v>2533</v>
      </c>
      <c r="I15435" s="7">
        <v>1397</v>
      </c>
      <c r="J15435" s="7">
        <v>0</v>
      </c>
      <c r="K15435" s="7" t="s">
        <v>18</v>
      </c>
      <c r="L15435" s="8">
        <v>39987.315405092595</v>
      </c>
      <c r="M15435" s="9" t="s">
        <v>19</v>
      </c>
      <c r="N15435" s="9" t="s">
        <v>20</v>
      </c>
      <c r="O15435" s="6" t="str">
        <f>HYPERLINK("https://pbs.twimg.com/profile_images/962471262747529216/Uo8lOkRJ_normal.jpg","View")</f>
        <v>View</v>
      </c>
      <c r="P15435" s="7"/>
    </row>
    <row r="15436" spans="1:16">
      <c r="A15436" s="3">
        <v>44398.691736111112</v>
      </c>
      <c r="B15436" s="4" t="str">
        <f>HYPERLINK("https://twitter.com/petrogustavo","@petrogustavo")</f>
        <v>@petrogustavo</v>
      </c>
      <c r="C15436" s="5" t="s">
        <v>16</v>
      </c>
      <c r="D15436" s="5" t="s">
        <v>14869</v>
      </c>
      <c r="E15436" s="6" t="str">
        <f>HYPERLINK("https://twitter.com/petrogustavo/status/1417803061926432769","1417803061926432769")</f>
        <v>1417803061926432769</v>
      </c>
      <c r="F15436" s="7" t="s">
        <v>17</v>
      </c>
      <c r="G15436" s="7">
        <v>4334001</v>
      </c>
      <c r="H15436" s="7">
        <v>2533</v>
      </c>
      <c r="I15436" s="7">
        <v>1018</v>
      </c>
      <c r="J15436" s="7">
        <v>0</v>
      </c>
      <c r="K15436" s="7" t="s">
        <v>18</v>
      </c>
      <c r="L15436" s="8">
        <v>39987.315405092595</v>
      </c>
      <c r="M15436" s="9" t="s">
        <v>19</v>
      </c>
      <c r="N15436" s="9" t="s">
        <v>20</v>
      </c>
      <c r="O15436" s="6" t="str">
        <f>HYPERLINK("https://pbs.twimg.com/profile_images/962471262747529216/Uo8lOkRJ_normal.jpg","View")</f>
        <v>View</v>
      </c>
      <c r="P15436" s="7"/>
    </row>
    <row r="15437" spans="1:16">
      <c r="A15437" s="3">
        <v>44398.695092592592</v>
      </c>
      <c r="B15437" s="4" t="str">
        <f>HYPERLINK("https://twitter.com/petrogustavo","@petrogustavo")</f>
        <v>@petrogustavo</v>
      </c>
      <c r="C15437" s="5" t="s">
        <v>16</v>
      </c>
      <c r="D15437" s="5" t="s">
        <v>14870</v>
      </c>
      <c r="E15437" s="6" t="str">
        <f>HYPERLINK("https://twitter.com/petrogustavo/status/1417804280124297217","1417804280124297217")</f>
        <v>1417804280124297217</v>
      </c>
      <c r="F15437" s="7" t="s">
        <v>17</v>
      </c>
      <c r="G15437" s="7">
        <v>4334001</v>
      </c>
      <c r="H15437" s="7">
        <v>2533</v>
      </c>
      <c r="I15437" s="7">
        <v>89</v>
      </c>
      <c r="J15437" s="7">
        <v>0</v>
      </c>
      <c r="K15437" s="7" t="s">
        <v>18</v>
      </c>
      <c r="L15437" s="8">
        <v>39987.315405092595</v>
      </c>
      <c r="M15437" s="9" t="s">
        <v>19</v>
      </c>
      <c r="N15437" s="9" t="s">
        <v>20</v>
      </c>
      <c r="O15437" s="6" t="str">
        <f>HYPERLINK("https://pbs.twimg.com/profile_images/962471262747529216/Uo8lOkRJ_normal.jpg","View")</f>
        <v>View</v>
      </c>
      <c r="P15437" s="7"/>
    </row>
    <row r="15438" spans="1:16">
      <c r="A15438" s="3">
        <v>44398.744826388887</v>
      </c>
      <c r="B15438" s="4" t="str">
        <f>HYPERLINK("https://twitter.com/petrogustavo","@petrogustavo")</f>
        <v>@petrogustavo</v>
      </c>
      <c r="C15438" s="5" t="s">
        <v>16</v>
      </c>
      <c r="D15438" s="5" t="s">
        <v>14871</v>
      </c>
      <c r="E15438" s="6" t="str">
        <f>HYPERLINK("https://twitter.com/petrogustavo/status/1417822301756723201","1417822301756723201")</f>
        <v>1417822301756723201</v>
      </c>
      <c r="F15438" s="7" t="s">
        <v>17</v>
      </c>
      <c r="G15438" s="7">
        <v>4334042</v>
      </c>
      <c r="H15438" s="7">
        <v>2533</v>
      </c>
      <c r="I15438" s="7">
        <v>1581</v>
      </c>
      <c r="J15438" s="7">
        <v>0</v>
      </c>
      <c r="K15438" s="7" t="s">
        <v>18</v>
      </c>
      <c r="L15438" s="8">
        <v>39987.315405092595</v>
      </c>
      <c r="M15438" s="9" t="s">
        <v>19</v>
      </c>
      <c r="N15438" s="9" t="s">
        <v>20</v>
      </c>
      <c r="O15438" s="6" t="str">
        <f>HYPERLINK("https://pbs.twimg.com/profile_images/962471262747529216/Uo8lOkRJ_normal.jpg","View")</f>
        <v>View</v>
      </c>
      <c r="P15438" s="7"/>
    </row>
    <row r="15439" spans="1:16">
      <c r="A15439" s="3">
        <v>44398.748738425929</v>
      </c>
      <c r="B15439" s="4" t="str">
        <f>HYPERLINK("https://twitter.com/petrogustavo","@petrogustavo")</f>
        <v>@petrogustavo</v>
      </c>
      <c r="C15439" s="5" t="s">
        <v>16</v>
      </c>
      <c r="D15439" s="5" t="s">
        <v>14872</v>
      </c>
      <c r="E15439" s="6" t="str">
        <f>HYPERLINK("https://twitter.com/petrogustavo/status/1417823720081694722","1417823720081694722")</f>
        <v>1417823720081694722</v>
      </c>
      <c r="F15439" s="7" t="s">
        <v>17</v>
      </c>
      <c r="G15439" s="7">
        <v>4334042</v>
      </c>
      <c r="H15439" s="7">
        <v>2533</v>
      </c>
      <c r="I15439" s="7">
        <v>794</v>
      </c>
      <c r="J15439" s="7">
        <v>2487</v>
      </c>
      <c r="K15439" s="7" t="s">
        <v>18</v>
      </c>
      <c r="L15439" s="8">
        <v>39987.315405092595</v>
      </c>
      <c r="M15439" s="9" t="s">
        <v>19</v>
      </c>
      <c r="N15439" s="9" t="s">
        <v>20</v>
      </c>
      <c r="O15439" s="6" t="str">
        <f>HYPERLINK("https://pbs.twimg.com/profile_images/962471262747529216/Uo8lOkRJ_normal.jpg","View")</f>
        <v>View</v>
      </c>
      <c r="P15439" s="7"/>
    </row>
    <row r="15440" spans="1:16">
      <c r="A15440" s="3">
        <v>44398.754918981482</v>
      </c>
      <c r="B15440" s="4" t="str">
        <f>HYPERLINK("https://twitter.com/petrogustavo","@petrogustavo")</f>
        <v>@petrogustavo</v>
      </c>
      <c r="C15440" s="5" t="s">
        <v>16</v>
      </c>
      <c r="D15440" s="5" t="s">
        <v>14873</v>
      </c>
      <c r="E15440" s="6" t="str">
        <f>HYPERLINK("https://twitter.com/petrogustavo/status/1417825958728503298","1417825958728503298")</f>
        <v>1417825958728503298</v>
      </c>
      <c r="F15440" s="7" t="s">
        <v>17</v>
      </c>
      <c r="G15440" s="7">
        <v>4334042</v>
      </c>
      <c r="H15440" s="7">
        <v>2533</v>
      </c>
      <c r="I15440" s="7">
        <v>2327</v>
      </c>
      <c r="J15440" s="7">
        <v>0</v>
      </c>
      <c r="K15440" s="7" t="s">
        <v>18</v>
      </c>
      <c r="L15440" s="8">
        <v>39987.315405092595</v>
      </c>
      <c r="M15440" s="9" t="s">
        <v>19</v>
      </c>
      <c r="N15440" s="9" t="s">
        <v>20</v>
      </c>
      <c r="O15440" s="6" t="str">
        <f>HYPERLINK("https://pbs.twimg.com/profile_images/962471262747529216/Uo8lOkRJ_normal.jpg","View")</f>
        <v>View</v>
      </c>
      <c r="P15440" s="7"/>
    </row>
    <row r="15441" spans="1:16">
      <c r="A15441" s="3">
        <v>44398.757789351846</v>
      </c>
      <c r="B15441" s="4" t="str">
        <f>HYPERLINK("https://twitter.com/petrogustavo","@petrogustavo")</f>
        <v>@petrogustavo</v>
      </c>
      <c r="C15441" s="5" t="s">
        <v>16</v>
      </c>
      <c r="D15441" s="5" t="s">
        <v>14874</v>
      </c>
      <c r="E15441" s="6" t="str">
        <f>HYPERLINK("https://twitter.com/petrogustavo/status/1417827000203550724","1417827000203550724")</f>
        <v>1417827000203550724</v>
      </c>
      <c r="F15441" s="7" t="s">
        <v>17</v>
      </c>
      <c r="G15441" s="7">
        <v>4334042</v>
      </c>
      <c r="H15441" s="7">
        <v>2533</v>
      </c>
      <c r="I15441" s="7">
        <v>123</v>
      </c>
      <c r="J15441" s="7">
        <v>336</v>
      </c>
      <c r="K15441" s="7" t="s">
        <v>18</v>
      </c>
      <c r="L15441" s="8">
        <v>39987.315405092595</v>
      </c>
      <c r="M15441" s="9" t="s">
        <v>19</v>
      </c>
      <c r="N15441" s="9" t="s">
        <v>20</v>
      </c>
      <c r="O15441" s="6" t="str">
        <f>HYPERLINK("https://pbs.twimg.com/profile_images/962471262747529216/Uo8lOkRJ_normal.jpg","View")</f>
        <v>View</v>
      </c>
      <c r="P15441" s="7"/>
    </row>
    <row r="15442" spans="1:16">
      <c r="A15442" s="3">
        <v>44398.759606481486</v>
      </c>
      <c r="B15442" s="4" t="str">
        <f>HYPERLINK("https://twitter.com/petrogustavo","@petrogustavo")</f>
        <v>@petrogustavo</v>
      </c>
      <c r="C15442" s="5" t="s">
        <v>16</v>
      </c>
      <c r="D15442" s="5" t="s">
        <v>14875</v>
      </c>
      <c r="E15442" s="6" t="str">
        <f>HYPERLINK("https://twitter.com/petrogustavo/status/1417827658868707329","1417827658868707329")</f>
        <v>1417827658868707329</v>
      </c>
      <c r="F15442" s="7" t="s">
        <v>17</v>
      </c>
      <c r="G15442" s="7">
        <v>4334042</v>
      </c>
      <c r="H15442" s="7">
        <v>2533</v>
      </c>
      <c r="I15442" s="7">
        <v>153</v>
      </c>
      <c r="J15442" s="7">
        <v>402</v>
      </c>
      <c r="K15442" s="7" t="s">
        <v>18</v>
      </c>
      <c r="L15442" s="8">
        <v>39987.315405092595</v>
      </c>
      <c r="M15442" s="9" t="s">
        <v>19</v>
      </c>
      <c r="N15442" s="9" t="s">
        <v>20</v>
      </c>
      <c r="O15442" s="6" t="str">
        <f>HYPERLINK("https://pbs.twimg.com/profile_images/962471262747529216/Uo8lOkRJ_normal.jpg","View")</f>
        <v>View</v>
      </c>
      <c r="P15442" s="7"/>
    </row>
    <row r="15443" spans="1:16">
      <c r="A15443" s="3">
        <v>44398.767291666663</v>
      </c>
      <c r="B15443" s="4" t="str">
        <f>HYPERLINK("https://twitter.com/petrogustavo","@petrogustavo")</f>
        <v>@petrogustavo</v>
      </c>
      <c r="C15443" s="5" t="s">
        <v>16</v>
      </c>
      <c r="D15443" s="5" t="s">
        <v>14876</v>
      </c>
      <c r="E15443" s="6" t="str">
        <f>HYPERLINK("https://twitter.com/petrogustavo/status/1417830442376515589","1417830442376515589")</f>
        <v>1417830442376515589</v>
      </c>
      <c r="F15443" s="7" t="s">
        <v>17</v>
      </c>
      <c r="G15443" s="7">
        <v>4334042</v>
      </c>
      <c r="H15443" s="7">
        <v>2533</v>
      </c>
      <c r="I15443" s="7">
        <v>43</v>
      </c>
      <c r="J15443" s="7">
        <v>107</v>
      </c>
      <c r="K15443" s="7" t="s">
        <v>18</v>
      </c>
      <c r="L15443" s="8">
        <v>39987.315405092595</v>
      </c>
      <c r="M15443" s="9" t="s">
        <v>19</v>
      </c>
      <c r="N15443" s="9" t="s">
        <v>20</v>
      </c>
      <c r="O15443" s="6" t="str">
        <f>HYPERLINK("https://pbs.twimg.com/profile_images/962471262747529216/Uo8lOkRJ_normal.jpg","View")</f>
        <v>View</v>
      </c>
      <c r="P15443" s="7"/>
    </row>
    <row r="15444" spans="1:16">
      <c r="A15444" s="3">
        <v>44398.767291666663</v>
      </c>
      <c r="B15444" s="4" t="str">
        <f>HYPERLINK("https://twitter.com/petrogustavo","@petrogustavo")</f>
        <v>@petrogustavo</v>
      </c>
      <c r="C15444" s="5" t="s">
        <v>16</v>
      </c>
      <c r="D15444" s="5" t="s">
        <v>14877</v>
      </c>
      <c r="E15444" s="6" t="str">
        <f>HYPERLINK("https://twitter.com/petrogustavo/status/1417830442393391106","1417830442393391106")</f>
        <v>1417830442393391106</v>
      </c>
      <c r="F15444" s="7" t="s">
        <v>17</v>
      </c>
      <c r="G15444" s="7">
        <v>4334042</v>
      </c>
      <c r="H15444" s="7">
        <v>2533</v>
      </c>
      <c r="I15444" s="7">
        <v>221</v>
      </c>
      <c r="J15444" s="7">
        <v>579</v>
      </c>
      <c r="K15444" s="7" t="s">
        <v>18</v>
      </c>
      <c r="L15444" s="8">
        <v>39987.315405092595</v>
      </c>
      <c r="M15444" s="9" t="s">
        <v>19</v>
      </c>
      <c r="N15444" s="9" t="s">
        <v>20</v>
      </c>
      <c r="O15444" s="6" t="str">
        <f>HYPERLINK("https://pbs.twimg.com/profile_images/962471262747529216/Uo8lOkRJ_normal.jpg","View")</f>
        <v>View</v>
      </c>
      <c r="P15444" s="7"/>
    </row>
    <row r="15445" spans="1:16">
      <c r="A15445" s="3">
        <v>44398.832233796296</v>
      </c>
      <c r="B15445" s="4" t="str">
        <f>HYPERLINK("https://twitter.com/petrogustavo","@petrogustavo")</f>
        <v>@petrogustavo</v>
      </c>
      <c r="C15445" s="5" t="s">
        <v>16</v>
      </c>
      <c r="D15445" s="5" t="s">
        <v>14878</v>
      </c>
      <c r="E15445" s="6" t="str">
        <f>HYPERLINK("https://twitter.com/petrogustavo/status/1417853979682299909","1417853979682299909")</f>
        <v>1417853979682299909</v>
      </c>
      <c r="F15445" s="7" t="s">
        <v>17</v>
      </c>
      <c r="G15445" s="7">
        <v>4334075</v>
      </c>
      <c r="H15445" s="7">
        <v>2533</v>
      </c>
      <c r="I15445" s="7">
        <v>71</v>
      </c>
      <c r="J15445" s="7">
        <v>230</v>
      </c>
      <c r="K15445" s="7" t="s">
        <v>18</v>
      </c>
      <c r="L15445" s="8">
        <v>39987.315405092595</v>
      </c>
      <c r="M15445" s="9" t="s">
        <v>19</v>
      </c>
      <c r="N15445" s="9" t="s">
        <v>20</v>
      </c>
      <c r="O15445" s="6" t="str">
        <f>HYPERLINK("https://pbs.twimg.com/profile_images/962471262747529216/Uo8lOkRJ_normal.jpg","View")</f>
        <v>View</v>
      </c>
      <c r="P15445" s="7"/>
    </row>
    <row r="15446" spans="1:16">
      <c r="A15446" s="3">
        <v>44398.888877314814</v>
      </c>
      <c r="B15446" s="4" t="str">
        <f>HYPERLINK("https://twitter.com/petrogustavo","@petrogustavo")</f>
        <v>@petrogustavo</v>
      </c>
      <c r="C15446" s="5" t="s">
        <v>16</v>
      </c>
      <c r="D15446" s="5" t="s">
        <v>14879</v>
      </c>
      <c r="E15446" s="6" t="str">
        <f>HYPERLINK("https://twitter.com/petrogustavo/status/1417874504416702465","1417874504416702465")</f>
        <v>1417874504416702465</v>
      </c>
      <c r="F15446" s="7" t="s">
        <v>17</v>
      </c>
      <c r="G15446" s="7">
        <v>4334152</v>
      </c>
      <c r="H15446" s="7">
        <v>2533</v>
      </c>
      <c r="I15446" s="7">
        <v>125</v>
      </c>
      <c r="J15446" s="7">
        <v>346</v>
      </c>
      <c r="K15446" s="7" t="s">
        <v>18</v>
      </c>
      <c r="L15446" s="8">
        <v>39987.315405092595</v>
      </c>
      <c r="M15446" s="9" t="s">
        <v>19</v>
      </c>
      <c r="N15446" s="9" t="s">
        <v>20</v>
      </c>
      <c r="O15446" s="6" t="str">
        <f>HYPERLINK("https://pbs.twimg.com/profile_images/962471262747529216/Uo8lOkRJ_normal.jpg","View")</f>
        <v>View</v>
      </c>
      <c r="P15446" s="7"/>
    </row>
    <row r="15447" spans="1:16">
      <c r="A15447" s="3">
        <v>44398.910034722227</v>
      </c>
      <c r="B15447" s="4" t="str">
        <f>HYPERLINK("https://twitter.com/petrogustavo","@petrogustavo")</f>
        <v>@petrogustavo</v>
      </c>
      <c r="C15447" s="5" t="s">
        <v>16</v>
      </c>
      <c r="D15447" s="5" t="s">
        <v>14880</v>
      </c>
      <c r="E15447" s="6" t="str">
        <f>HYPERLINK("https://twitter.com/petrogustavo/status/1417882173093339136","1417882173093339136")</f>
        <v>1417882173093339136</v>
      </c>
      <c r="F15447" s="7" t="s">
        <v>17</v>
      </c>
      <c r="G15447" s="7">
        <v>4334116</v>
      </c>
      <c r="H15447" s="7">
        <v>2533</v>
      </c>
      <c r="I15447" s="7">
        <v>46</v>
      </c>
      <c r="J15447" s="7">
        <v>0</v>
      </c>
      <c r="K15447" s="7" t="s">
        <v>18</v>
      </c>
      <c r="L15447" s="8">
        <v>39987.315405092595</v>
      </c>
      <c r="M15447" s="9" t="s">
        <v>19</v>
      </c>
      <c r="N15447" s="9" t="s">
        <v>20</v>
      </c>
      <c r="O15447" s="6" t="str">
        <f>HYPERLINK("https://pbs.twimg.com/profile_images/962471262747529216/Uo8lOkRJ_normal.jpg","View")</f>
        <v>View</v>
      </c>
      <c r="P15447" s="7"/>
    </row>
    <row r="15448" spans="1:16">
      <c r="A15448" s="3">
        <v>44398.968252314815</v>
      </c>
      <c r="B15448" s="4" t="str">
        <f>HYPERLINK("https://twitter.com/petrogustavo","@petrogustavo")</f>
        <v>@petrogustavo</v>
      </c>
      <c r="C15448" s="5" t="s">
        <v>16</v>
      </c>
      <c r="D15448" s="5" t="s">
        <v>14881</v>
      </c>
      <c r="E15448" s="6" t="str">
        <f>HYPERLINK("https://twitter.com/petrogustavo/status/1417903267850465285","1417903267850465285")</f>
        <v>1417903267850465285</v>
      </c>
      <c r="F15448" s="7" t="s">
        <v>17</v>
      </c>
      <c r="G15448" s="7">
        <v>4334200</v>
      </c>
      <c r="H15448" s="7">
        <v>2533</v>
      </c>
      <c r="I15448" s="7">
        <v>36</v>
      </c>
      <c r="J15448" s="7">
        <v>0</v>
      </c>
      <c r="K15448" s="7" t="s">
        <v>18</v>
      </c>
      <c r="L15448" s="8">
        <v>39987.315405092595</v>
      </c>
      <c r="M15448" s="9" t="s">
        <v>19</v>
      </c>
      <c r="N15448" s="9" t="s">
        <v>20</v>
      </c>
      <c r="O15448" s="6" t="str">
        <f>HYPERLINK("https://pbs.twimg.com/profile_images/962471262747529216/Uo8lOkRJ_normal.jpg","View")</f>
        <v>View</v>
      </c>
      <c r="P15448" s="7"/>
    </row>
    <row r="15449" spans="1:16">
      <c r="A15449" s="3">
        <v>44398.974212962959</v>
      </c>
      <c r="B15449" s="4" t="str">
        <f>HYPERLINK("https://twitter.com/petrogustavo","@petrogustavo")</f>
        <v>@petrogustavo</v>
      </c>
      <c r="C15449" s="5" t="s">
        <v>16</v>
      </c>
      <c r="D15449" s="5" t="s">
        <v>14882</v>
      </c>
      <c r="E15449" s="6" t="str">
        <f>HYPERLINK("https://twitter.com/petrogustavo/status/1417905430303551490","1417905430303551490")</f>
        <v>1417905430303551490</v>
      </c>
      <c r="F15449" s="7" t="s">
        <v>17</v>
      </c>
      <c r="G15449" s="7">
        <v>4334200</v>
      </c>
      <c r="H15449" s="7">
        <v>2533</v>
      </c>
      <c r="I15449" s="7">
        <v>147</v>
      </c>
      <c r="J15449" s="7">
        <v>639</v>
      </c>
      <c r="K15449" s="7" t="s">
        <v>18</v>
      </c>
      <c r="L15449" s="8">
        <v>39987.315405092595</v>
      </c>
      <c r="M15449" s="9" t="s">
        <v>19</v>
      </c>
      <c r="N15449" s="9" t="s">
        <v>20</v>
      </c>
      <c r="O15449" s="6" t="str">
        <f>HYPERLINK("https://pbs.twimg.com/profile_images/962471262747529216/Uo8lOkRJ_normal.jpg","View")</f>
        <v>View</v>
      </c>
      <c r="P15449" s="7"/>
    </row>
    <row r="15450" spans="1:16">
      <c r="A15450" s="3">
        <v>44399.202719907407</v>
      </c>
      <c r="B15450" s="4" t="str">
        <f>HYPERLINK("https://twitter.com/petrogustavo","@petrogustavo")</f>
        <v>@petrogustavo</v>
      </c>
      <c r="C15450" s="5" t="s">
        <v>16</v>
      </c>
      <c r="D15450" s="5" t="s">
        <v>14883</v>
      </c>
      <c r="E15450" s="6" t="str">
        <f>HYPERLINK("https://twitter.com/petrogustavo/status/1417988237570740225","1417988237570740225")</f>
        <v>1417988237570740225</v>
      </c>
      <c r="F15450" s="7" t="s">
        <v>17</v>
      </c>
      <c r="G15450" s="7">
        <v>4334443</v>
      </c>
      <c r="H15450" s="7">
        <v>2533</v>
      </c>
      <c r="I15450" s="7">
        <v>234</v>
      </c>
      <c r="J15450" s="7">
        <v>0</v>
      </c>
      <c r="K15450" s="7" t="s">
        <v>18</v>
      </c>
      <c r="L15450" s="8">
        <v>39987.315405092595</v>
      </c>
      <c r="M15450" s="9" t="s">
        <v>19</v>
      </c>
      <c r="N15450" s="9" t="s">
        <v>20</v>
      </c>
      <c r="O15450" s="6" t="str">
        <f>HYPERLINK("https://pbs.twimg.com/profile_images/962471262747529216/Uo8lOkRJ_normal.jpg","View")</f>
        <v>View</v>
      </c>
      <c r="P15450" s="7"/>
    </row>
    <row r="15451" spans="1:16">
      <c r="A15451" s="3">
        <v>44399.2027662037</v>
      </c>
      <c r="B15451" s="4" t="str">
        <f>HYPERLINK("https://twitter.com/petrogustavo","@petrogustavo")</f>
        <v>@petrogustavo</v>
      </c>
      <c r="C15451" s="5" t="s">
        <v>16</v>
      </c>
      <c r="D15451" s="4" t="s">
        <v>14884</v>
      </c>
      <c r="E15451" s="6" t="str">
        <f>HYPERLINK("https://twitter.com/petrogustavo/status/1417988256453611520","1417988256453611520")</f>
        <v>1417988256453611520</v>
      </c>
      <c r="F15451" s="7" t="s">
        <v>17</v>
      </c>
      <c r="G15451" s="7">
        <v>4334443</v>
      </c>
      <c r="H15451" s="7">
        <v>2533</v>
      </c>
      <c r="I15451" s="7">
        <v>80</v>
      </c>
      <c r="J15451" s="7">
        <v>366</v>
      </c>
      <c r="K15451" s="7" t="s">
        <v>18</v>
      </c>
      <c r="L15451" s="8">
        <v>39987.315405092595</v>
      </c>
      <c r="M15451" s="9" t="s">
        <v>19</v>
      </c>
      <c r="N15451" s="9" t="s">
        <v>20</v>
      </c>
      <c r="O15451" s="6" t="str">
        <f>HYPERLINK("https://pbs.twimg.com/profile_images/962471262747529216/Uo8lOkRJ_normal.jpg","View")</f>
        <v>View</v>
      </c>
      <c r="P15451" s="7"/>
    </row>
    <row r="15452" spans="1:16">
      <c r="A15452" s="3">
        <v>44399.203715277778</v>
      </c>
      <c r="B15452" s="4" t="str">
        <f>HYPERLINK("https://twitter.com/petrogustavo","@petrogustavo")</f>
        <v>@petrogustavo</v>
      </c>
      <c r="C15452" s="5" t="s">
        <v>16</v>
      </c>
      <c r="D15452" s="4" t="s">
        <v>14885</v>
      </c>
      <c r="E15452" s="6" t="str">
        <f>HYPERLINK("https://twitter.com/petrogustavo/status/1417988596695457802","1417988596695457802")</f>
        <v>1417988596695457802</v>
      </c>
      <c r="F15452" s="7" t="s">
        <v>17</v>
      </c>
      <c r="G15452" s="7">
        <v>4334443</v>
      </c>
      <c r="H15452" s="7">
        <v>2533</v>
      </c>
      <c r="I15452" s="7">
        <v>34</v>
      </c>
      <c r="J15452" s="7">
        <v>118</v>
      </c>
      <c r="K15452" s="7" t="s">
        <v>18</v>
      </c>
      <c r="L15452" s="8">
        <v>39987.315405092595</v>
      </c>
      <c r="M15452" s="9" t="s">
        <v>19</v>
      </c>
      <c r="N15452" s="9" t="s">
        <v>20</v>
      </c>
      <c r="O15452" s="6" t="str">
        <f>HYPERLINK("https://pbs.twimg.com/profile_images/962471262747529216/Uo8lOkRJ_normal.jpg","View")</f>
        <v>View</v>
      </c>
      <c r="P15452" s="7"/>
    </row>
    <row r="15453" spans="1:16">
      <c r="A15453" s="3">
        <v>44399.203935185185</v>
      </c>
      <c r="B15453" s="4" t="str">
        <f>HYPERLINK("https://twitter.com/petrogustavo","@petrogustavo")</f>
        <v>@petrogustavo</v>
      </c>
      <c r="C15453" s="5" t="s">
        <v>16</v>
      </c>
      <c r="D15453" s="4" t="s">
        <v>14886</v>
      </c>
      <c r="E15453" s="6" t="str">
        <f>HYPERLINK("https://twitter.com/petrogustavo/status/1417988678073425921","1417988678073425921")</f>
        <v>1417988678073425921</v>
      </c>
      <c r="F15453" s="7" t="s">
        <v>17</v>
      </c>
      <c r="G15453" s="7">
        <v>4334443</v>
      </c>
      <c r="H15453" s="7">
        <v>2533</v>
      </c>
      <c r="I15453" s="7">
        <v>65</v>
      </c>
      <c r="J15453" s="7">
        <v>238</v>
      </c>
      <c r="K15453" s="7" t="s">
        <v>18</v>
      </c>
      <c r="L15453" s="8">
        <v>39987.315405092595</v>
      </c>
      <c r="M15453" s="9" t="s">
        <v>19</v>
      </c>
      <c r="N15453" s="9" t="s">
        <v>20</v>
      </c>
      <c r="O15453" s="6" t="str">
        <f>HYPERLINK("https://pbs.twimg.com/profile_images/962471262747529216/Uo8lOkRJ_normal.jpg","View")</f>
        <v>View</v>
      </c>
      <c r="P15453" s="7"/>
    </row>
    <row r="15454" spans="1:16">
      <c r="A15454" s="3">
        <v>44399.20417824074</v>
      </c>
      <c r="B15454" s="4" t="str">
        <f>HYPERLINK("https://twitter.com/petrogustavo","@petrogustavo")</f>
        <v>@petrogustavo</v>
      </c>
      <c r="C15454" s="5" t="s">
        <v>16</v>
      </c>
      <c r="D15454" s="4" t="s">
        <v>14887</v>
      </c>
      <c r="E15454" s="6" t="str">
        <f>HYPERLINK("https://twitter.com/petrogustavo/status/1417988768292802561","1417988768292802561")</f>
        <v>1417988768292802561</v>
      </c>
      <c r="F15454" s="7" t="s">
        <v>17</v>
      </c>
      <c r="G15454" s="7">
        <v>4334443</v>
      </c>
      <c r="H15454" s="7">
        <v>2533</v>
      </c>
      <c r="I15454" s="7">
        <v>48</v>
      </c>
      <c r="J15454" s="7">
        <v>150</v>
      </c>
      <c r="K15454" s="7" t="s">
        <v>18</v>
      </c>
      <c r="L15454" s="8">
        <v>39987.315405092595</v>
      </c>
      <c r="M15454" s="9" t="s">
        <v>19</v>
      </c>
      <c r="N15454" s="9" t="s">
        <v>20</v>
      </c>
      <c r="O15454" s="6" t="str">
        <f>HYPERLINK("https://pbs.twimg.com/profile_images/962471262747529216/Uo8lOkRJ_normal.jpg","View")</f>
        <v>View</v>
      </c>
      <c r="P15454" s="7"/>
    </row>
    <row r="15455" spans="1:16">
      <c r="A15455" s="3">
        <v>44399.854409722218</v>
      </c>
      <c r="B15455" s="4" t="str">
        <f>HYPERLINK("https://twitter.com/petrogustavo","@petrogustavo")</f>
        <v>@petrogustavo</v>
      </c>
      <c r="C15455" s="5" t="s">
        <v>16</v>
      </c>
      <c r="D15455" s="5" t="s">
        <v>14888</v>
      </c>
      <c r="E15455" s="6" t="str">
        <f>HYPERLINK("https://twitter.com/petrogustavo/status/1418224404069195791","1418224404069195791")</f>
        <v>1418224404069195791</v>
      </c>
      <c r="F15455" s="7" t="s">
        <v>17</v>
      </c>
      <c r="G15455" s="7">
        <v>4333982</v>
      </c>
      <c r="H15455" s="7">
        <v>2534</v>
      </c>
      <c r="I15455" s="7">
        <v>85</v>
      </c>
      <c r="J15455" s="7">
        <v>0</v>
      </c>
      <c r="K15455" s="7" t="s">
        <v>18</v>
      </c>
      <c r="L15455" s="8">
        <v>39987.315405092595</v>
      </c>
      <c r="M15455" s="9" t="s">
        <v>19</v>
      </c>
      <c r="N15455" s="9" t="s">
        <v>20</v>
      </c>
      <c r="O15455" s="6" t="str">
        <f>HYPERLINK("https://pbs.twimg.com/profile_images/962471262747529216/Uo8lOkRJ_normal.jpg","View")</f>
        <v>View</v>
      </c>
      <c r="P15455" s="7"/>
    </row>
    <row r="15456" spans="1:16">
      <c r="A15456" s="3">
        <v>44399.864201388889</v>
      </c>
      <c r="B15456" s="4" t="str">
        <f>HYPERLINK("https://twitter.com/petrogustavo","@petrogustavo")</f>
        <v>@petrogustavo</v>
      </c>
      <c r="C15456" s="5" t="s">
        <v>16</v>
      </c>
      <c r="D15456" s="5" t="s">
        <v>14889</v>
      </c>
      <c r="E15456" s="6" t="str">
        <f>HYPERLINK("https://twitter.com/petrogustavo/status/1418227948742656001","1418227948742656001")</f>
        <v>1418227948742656001</v>
      </c>
      <c r="F15456" s="7" t="s">
        <v>17</v>
      </c>
      <c r="G15456" s="7">
        <v>4334723</v>
      </c>
      <c r="H15456" s="7">
        <v>2533</v>
      </c>
      <c r="I15456" s="7">
        <v>115</v>
      </c>
      <c r="J15456" s="7">
        <v>377</v>
      </c>
      <c r="K15456" s="7" t="s">
        <v>18</v>
      </c>
      <c r="L15456" s="8">
        <v>39987.315405092595</v>
      </c>
      <c r="M15456" s="9" t="s">
        <v>19</v>
      </c>
      <c r="N15456" s="9" t="s">
        <v>20</v>
      </c>
      <c r="O15456" s="6" t="str">
        <f>HYPERLINK("https://pbs.twimg.com/profile_images/962471262747529216/Uo8lOkRJ_normal.jpg","View")</f>
        <v>View</v>
      </c>
      <c r="P15456" s="7"/>
    </row>
    <row r="15457" spans="1:16">
      <c r="A15457" s="3">
        <v>44399.895462962959</v>
      </c>
      <c r="B15457" s="4" t="str">
        <f>HYPERLINK("https://twitter.com/petrogustavo","@petrogustavo")</f>
        <v>@petrogustavo</v>
      </c>
      <c r="C15457" s="5" t="s">
        <v>16</v>
      </c>
      <c r="D15457" s="5" t="s">
        <v>14890</v>
      </c>
      <c r="E15457" s="6" t="str">
        <f>HYPERLINK("https://twitter.com/petrogustavo/status/1418239278946074627","1418239278946074627")</f>
        <v>1418239278946074627</v>
      </c>
      <c r="F15457" s="7" t="s">
        <v>32</v>
      </c>
      <c r="G15457" s="7">
        <v>4334715</v>
      </c>
      <c r="H15457" s="7">
        <v>2533</v>
      </c>
      <c r="I15457" s="7">
        <v>43</v>
      </c>
      <c r="J15457" s="7">
        <v>131</v>
      </c>
      <c r="K15457" s="7" t="s">
        <v>18</v>
      </c>
      <c r="L15457" s="8">
        <v>39987.315405092595</v>
      </c>
      <c r="M15457" s="9" t="s">
        <v>19</v>
      </c>
      <c r="N15457" s="9" t="s">
        <v>20</v>
      </c>
      <c r="O15457" s="6" t="str">
        <f>HYPERLINK("https://pbs.twimg.com/profile_images/962471262747529216/Uo8lOkRJ_normal.jpg","View")</f>
        <v>View</v>
      </c>
      <c r="P15457" s="7"/>
    </row>
    <row r="15458" spans="1:16">
      <c r="A15458" s="3">
        <v>44399.909560185188</v>
      </c>
      <c r="B15458" s="4" t="str">
        <f>HYPERLINK("https://twitter.com/petrogustavo","@petrogustavo")</f>
        <v>@petrogustavo</v>
      </c>
      <c r="C15458" s="5" t="s">
        <v>16</v>
      </c>
      <c r="D15458" s="5" t="s">
        <v>14891</v>
      </c>
      <c r="E15458" s="6" t="str">
        <f>HYPERLINK("https://twitter.com/petrogustavo/status/1418244388078108681","1418244388078108681")</f>
        <v>1418244388078108681</v>
      </c>
      <c r="F15458" s="7" t="s">
        <v>32</v>
      </c>
      <c r="G15458" s="7">
        <v>4334737</v>
      </c>
      <c r="H15458" s="7">
        <v>2533</v>
      </c>
      <c r="I15458" s="7">
        <v>35</v>
      </c>
      <c r="J15458" s="7">
        <v>0</v>
      </c>
      <c r="K15458" s="7" t="s">
        <v>18</v>
      </c>
      <c r="L15458" s="8">
        <v>39987.315405092595</v>
      </c>
      <c r="M15458" s="9" t="s">
        <v>19</v>
      </c>
      <c r="N15458" s="9" t="s">
        <v>20</v>
      </c>
      <c r="O15458" s="6" t="str">
        <f>HYPERLINK("https://pbs.twimg.com/profile_images/962471262747529216/Uo8lOkRJ_normal.jpg","View")</f>
        <v>View</v>
      </c>
      <c r="P15458" s="7"/>
    </row>
    <row r="15459" spans="1:16">
      <c r="A15459" s="3">
        <v>44399.927476851852</v>
      </c>
      <c r="B15459" s="4" t="str">
        <f>HYPERLINK("https://twitter.com/petrogustavo","@petrogustavo")</f>
        <v>@petrogustavo</v>
      </c>
      <c r="C15459" s="5" t="s">
        <v>16</v>
      </c>
      <c r="D15459" s="5" t="s">
        <v>14892</v>
      </c>
      <c r="E15459" s="6" t="str">
        <f>HYPERLINK("https://twitter.com/petrogustavo/status/1418250880986619906","1418250880986619906")</f>
        <v>1418250880986619906</v>
      </c>
      <c r="F15459" s="7" t="s">
        <v>32</v>
      </c>
      <c r="G15459" s="7">
        <v>4334771</v>
      </c>
      <c r="H15459" s="7">
        <v>2533</v>
      </c>
      <c r="I15459" s="7">
        <v>288</v>
      </c>
      <c r="J15459" s="7">
        <v>1899</v>
      </c>
      <c r="K15459" s="7" t="s">
        <v>18</v>
      </c>
      <c r="L15459" s="8">
        <v>39987.315405092595</v>
      </c>
      <c r="M15459" s="9" t="s">
        <v>19</v>
      </c>
      <c r="N15459" s="9" t="s">
        <v>20</v>
      </c>
      <c r="O15459" s="6" t="str">
        <f>HYPERLINK("https://pbs.twimg.com/profile_images/962471262747529216/Uo8lOkRJ_normal.jpg","View")</f>
        <v>View</v>
      </c>
      <c r="P15459" s="7"/>
    </row>
    <row r="15460" spans="1:16">
      <c r="A15460" s="3">
        <v>44399.938668981486</v>
      </c>
      <c r="B15460" s="4" t="str">
        <f>HYPERLINK("https://twitter.com/petrogustavo","@petrogustavo")</f>
        <v>@petrogustavo</v>
      </c>
      <c r="C15460" s="5" t="s">
        <v>16</v>
      </c>
      <c r="D15460" s="5" t="s">
        <v>14893</v>
      </c>
      <c r="E15460" s="6" t="str">
        <f>HYPERLINK("https://twitter.com/petrogustavo/status/1418254936333328399","1418254936333328399")</f>
        <v>1418254936333328399</v>
      </c>
      <c r="F15460" s="7" t="s">
        <v>32</v>
      </c>
      <c r="G15460" s="7">
        <v>4334771</v>
      </c>
      <c r="H15460" s="7">
        <v>2533</v>
      </c>
      <c r="I15460" s="7">
        <v>17</v>
      </c>
      <c r="J15460" s="7">
        <v>101</v>
      </c>
      <c r="K15460" s="7" t="s">
        <v>18</v>
      </c>
      <c r="L15460" s="8">
        <v>39987.315405092595</v>
      </c>
      <c r="M15460" s="9" t="s">
        <v>19</v>
      </c>
      <c r="N15460" s="9" t="s">
        <v>20</v>
      </c>
      <c r="O15460" s="6" t="str">
        <f>HYPERLINK("https://pbs.twimg.com/profile_images/962471262747529216/Uo8lOkRJ_normal.jpg","View")</f>
        <v>View</v>
      </c>
      <c r="P15460" s="7"/>
    </row>
    <row r="15461" spans="1:16">
      <c r="A15461" s="3">
        <v>44400.002476851849</v>
      </c>
      <c r="B15461" s="4" t="str">
        <f>HYPERLINK("https://twitter.com/petrogustavo","@petrogustavo")</f>
        <v>@petrogustavo</v>
      </c>
      <c r="C15461" s="5" t="s">
        <v>16</v>
      </c>
      <c r="D15461" s="5" t="s">
        <v>14894</v>
      </c>
      <c r="E15461" s="6" t="str">
        <f>HYPERLINK("https://twitter.com/petrogustavo/status/1418278059539681285","1418278059539681285")</f>
        <v>1418278059539681285</v>
      </c>
      <c r="F15461" s="7" t="s">
        <v>21</v>
      </c>
      <c r="G15461" s="7">
        <v>4334842</v>
      </c>
      <c r="H15461" s="7">
        <v>2534</v>
      </c>
      <c r="I15461" s="7">
        <v>94</v>
      </c>
      <c r="J15461" s="7">
        <v>389</v>
      </c>
      <c r="K15461" s="7" t="s">
        <v>18</v>
      </c>
      <c r="L15461" s="8">
        <v>39987.315405092595</v>
      </c>
      <c r="M15461" s="9" t="s">
        <v>19</v>
      </c>
      <c r="N15461" s="9" t="s">
        <v>20</v>
      </c>
      <c r="O15461" s="6" t="str">
        <f>HYPERLINK("https://pbs.twimg.com/profile_images/962471262747529216/Uo8lOkRJ_normal.jpg","View")</f>
        <v>View</v>
      </c>
      <c r="P15461" s="7"/>
    </row>
    <row r="15462" spans="1:16">
      <c r="A15462" s="3">
        <v>44400.003032407403</v>
      </c>
      <c r="B15462" s="4" t="str">
        <f>HYPERLINK("https://twitter.com/petrogustavo","@petrogustavo")</f>
        <v>@petrogustavo</v>
      </c>
      <c r="C15462" s="5" t="s">
        <v>16</v>
      </c>
      <c r="D15462" s="5" t="s">
        <v>14895</v>
      </c>
      <c r="E15462" s="6" t="str">
        <f>HYPERLINK("https://twitter.com/petrogustavo/status/1418278260614615046","1418278260614615046")</f>
        <v>1418278260614615046</v>
      </c>
      <c r="F15462" s="7" t="s">
        <v>21</v>
      </c>
      <c r="G15462" s="7">
        <v>4334842</v>
      </c>
      <c r="H15462" s="7">
        <v>2534</v>
      </c>
      <c r="I15462" s="7">
        <v>84</v>
      </c>
      <c r="J15462" s="7">
        <v>245</v>
      </c>
      <c r="K15462" s="7" t="s">
        <v>18</v>
      </c>
      <c r="L15462" s="8">
        <v>39987.315405092595</v>
      </c>
      <c r="M15462" s="9" t="s">
        <v>19</v>
      </c>
      <c r="N15462" s="9" t="s">
        <v>20</v>
      </c>
      <c r="O15462" s="6" t="str">
        <f>HYPERLINK("https://pbs.twimg.com/profile_images/962471262747529216/Uo8lOkRJ_normal.jpg","View")</f>
        <v>View</v>
      </c>
      <c r="P15462" s="7"/>
    </row>
    <row r="15463" spans="1:16">
      <c r="A15463" s="3">
        <v>44400.209687499999</v>
      </c>
      <c r="B15463" s="4" t="str">
        <f>HYPERLINK("https://twitter.com/petrogustavo","@petrogustavo")</f>
        <v>@petrogustavo</v>
      </c>
      <c r="C15463" s="5" t="s">
        <v>16</v>
      </c>
      <c r="D15463" s="5" t="s">
        <v>14896</v>
      </c>
      <c r="E15463" s="6" t="str">
        <f>HYPERLINK("https://twitter.com/petrogustavo/status/1418353151011442690","1418353151011442690")</f>
        <v>1418353151011442690</v>
      </c>
      <c r="F15463" s="7" t="s">
        <v>32</v>
      </c>
      <c r="G15463" s="7">
        <v>4335042</v>
      </c>
      <c r="H15463" s="7">
        <v>2533</v>
      </c>
      <c r="I15463" s="7">
        <v>99</v>
      </c>
      <c r="J15463" s="7">
        <v>0</v>
      </c>
      <c r="K15463" s="7" t="s">
        <v>18</v>
      </c>
      <c r="L15463" s="8">
        <v>39987.315405092595</v>
      </c>
      <c r="M15463" s="9" t="s">
        <v>19</v>
      </c>
      <c r="N15463" s="9" t="s">
        <v>20</v>
      </c>
      <c r="O15463" s="6" t="str">
        <f>HYPERLINK("https://pbs.twimg.com/profile_images/962471262747529216/Uo8lOkRJ_normal.jpg","View")</f>
        <v>View</v>
      </c>
      <c r="P15463" s="7"/>
    </row>
    <row r="15464" spans="1:16">
      <c r="A15464" s="3">
        <v>44400.231562500005</v>
      </c>
      <c r="B15464" s="4" t="str">
        <f>HYPERLINK("https://twitter.com/petrogustavo","@petrogustavo")</f>
        <v>@petrogustavo</v>
      </c>
      <c r="C15464" s="5" t="s">
        <v>16</v>
      </c>
      <c r="D15464" s="5" t="s">
        <v>14897</v>
      </c>
      <c r="E15464" s="6" t="str">
        <f>HYPERLINK("https://twitter.com/petrogustavo/status/1418361078614999040","1418361078614999040")</f>
        <v>1418361078614999040</v>
      </c>
      <c r="F15464" s="7" t="s">
        <v>32</v>
      </c>
      <c r="G15464" s="7">
        <v>4335059</v>
      </c>
      <c r="H15464" s="7">
        <v>2533</v>
      </c>
      <c r="I15464" s="7">
        <v>440</v>
      </c>
      <c r="J15464" s="7">
        <v>1671</v>
      </c>
      <c r="K15464" s="7" t="s">
        <v>18</v>
      </c>
      <c r="L15464" s="8">
        <v>39987.315405092595</v>
      </c>
      <c r="M15464" s="9" t="s">
        <v>19</v>
      </c>
      <c r="N15464" s="9" t="s">
        <v>20</v>
      </c>
      <c r="O15464" s="6" t="str">
        <f>HYPERLINK("https://pbs.twimg.com/profile_images/962471262747529216/Uo8lOkRJ_normal.jpg","View")</f>
        <v>View</v>
      </c>
      <c r="P15464" s="7"/>
    </row>
    <row r="15465" spans="1:16">
      <c r="A15465" s="3">
        <v>44400.698217592595</v>
      </c>
      <c r="B15465" s="4" t="str">
        <f>HYPERLINK("https://twitter.com/petrogustavo","@petrogustavo")</f>
        <v>@petrogustavo</v>
      </c>
      <c r="C15465" s="5" t="s">
        <v>16</v>
      </c>
      <c r="D15465" s="5" t="s">
        <v>14898</v>
      </c>
      <c r="E15465" s="6" t="str">
        <f>HYPERLINK("https://twitter.com/petrogustavo/status/1418530187474571267","1418530187474571267")</f>
        <v>1418530187474571267</v>
      </c>
      <c r="F15465" s="7" t="s">
        <v>17</v>
      </c>
      <c r="G15465" s="7">
        <v>4335218</v>
      </c>
      <c r="H15465" s="7">
        <v>2532</v>
      </c>
      <c r="I15465" s="7">
        <v>133</v>
      </c>
      <c r="J15465" s="7">
        <v>359</v>
      </c>
      <c r="K15465" s="7" t="s">
        <v>18</v>
      </c>
      <c r="L15465" s="8">
        <v>39987.315405092595</v>
      </c>
      <c r="M15465" s="9" t="s">
        <v>19</v>
      </c>
      <c r="N15465" s="9" t="s">
        <v>20</v>
      </c>
      <c r="O15465" s="6" t="str">
        <f>HYPERLINK("https://pbs.twimg.com/profile_images/962471262747529216/Uo8lOkRJ_normal.jpg","View")</f>
        <v>View</v>
      </c>
      <c r="P15465" s="7"/>
    </row>
    <row r="15466" spans="1:16">
      <c r="A15466" s="3">
        <v>44400.777696759258</v>
      </c>
      <c r="B15466" s="4" t="str">
        <f>HYPERLINK("https://twitter.com/petrogustavo","@petrogustavo")</f>
        <v>@petrogustavo</v>
      </c>
      <c r="C15466" s="5" t="s">
        <v>16</v>
      </c>
      <c r="D15466" s="5" t="s">
        <v>14899</v>
      </c>
      <c r="E15466" s="6" t="str">
        <f>HYPERLINK("https://twitter.com/petrogustavo/status/1418558989105827841","1418558989105827841")</f>
        <v>1418558989105827841</v>
      </c>
      <c r="F15466" s="7" t="s">
        <v>17</v>
      </c>
      <c r="G15466" s="7">
        <v>4335256</v>
      </c>
      <c r="H15466" s="7">
        <v>2532</v>
      </c>
      <c r="I15466" s="7">
        <v>276</v>
      </c>
      <c r="J15466" s="7">
        <v>880</v>
      </c>
      <c r="K15466" s="7" t="s">
        <v>18</v>
      </c>
      <c r="L15466" s="8">
        <v>39987.315405092595</v>
      </c>
      <c r="M15466" s="9" t="s">
        <v>19</v>
      </c>
      <c r="N15466" s="9" t="s">
        <v>20</v>
      </c>
      <c r="O15466" s="6" t="str">
        <f>HYPERLINK("https://pbs.twimg.com/profile_images/962471262747529216/Uo8lOkRJ_normal.jpg","View")</f>
        <v>View</v>
      </c>
      <c r="P15466" s="7"/>
    </row>
    <row r="15467" spans="1:16">
      <c r="A15467" s="3">
        <v>44401.021307870367</v>
      </c>
      <c r="B15467" s="4" t="str">
        <f>HYPERLINK("https://twitter.com/petrogustavo","@petrogustavo")</f>
        <v>@petrogustavo</v>
      </c>
      <c r="C15467" s="5" t="s">
        <v>16</v>
      </c>
      <c r="D15467" s="5" t="s">
        <v>14900</v>
      </c>
      <c r="E15467" s="6" t="str">
        <f>HYPERLINK("https://twitter.com/petrogustavo/status/1418647273223897095","1418647273223897095")</f>
        <v>1418647273223897095</v>
      </c>
      <c r="F15467" s="7" t="s">
        <v>17</v>
      </c>
      <c r="G15467" s="7">
        <v>4335391</v>
      </c>
      <c r="H15467" s="7">
        <v>2532</v>
      </c>
      <c r="I15467" s="7">
        <v>18</v>
      </c>
      <c r="J15467" s="7">
        <v>55</v>
      </c>
      <c r="K15467" s="7" t="s">
        <v>18</v>
      </c>
      <c r="L15467" s="8">
        <v>39987.315405092595</v>
      </c>
      <c r="M15467" s="9" t="s">
        <v>19</v>
      </c>
      <c r="N15467" s="9" t="s">
        <v>20</v>
      </c>
      <c r="O15467" s="6" t="str">
        <f>HYPERLINK("https://pbs.twimg.com/profile_images/962471262747529216/Uo8lOkRJ_normal.jpg","View")</f>
        <v>View</v>
      </c>
      <c r="P15467" s="7"/>
    </row>
    <row r="15468" spans="1:16">
      <c r="A15468" s="3">
        <v>44401.033009259263</v>
      </c>
      <c r="B15468" s="4" t="str">
        <f>HYPERLINK("https://twitter.com/petrogustavo","@petrogustavo")</f>
        <v>@petrogustavo</v>
      </c>
      <c r="C15468" s="5" t="s">
        <v>16</v>
      </c>
      <c r="D15468" s="5" t="s">
        <v>14901</v>
      </c>
      <c r="E15468" s="6" t="str">
        <f>HYPERLINK("https://twitter.com/petrogustavo/status/1418651512000196610","1418651512000196610")</f>
        <v>1418651512000196610</v>
      </c>
      <c r="F15468" s="7" t="s">
        <v>17</v>
      </c>
      <c r="G15468" s="7">
        <v>4335401</v>
      </c>
      <c r="H15468" s="7">
        <v>2532</v>
      </c>
      <c r="I15468" s="7">
        <v>109</v>
      </c>
      <c r="J15468" s="7">
        <v>350</v>
      </c>
      <c r="K15468" s="7" t="s">
        <v>18</v>
      </c>
      <c r="L15468" s="8">
        <v>39987.315405092595</v>
      </c>
      <c r="M15468" s="9" t="s">
        <v>19</v>
      </c>
      <c r="N15468" s="9" t="s">
        <v>20</v>
      </c>
      <c r="O15468" s="6" t="str">
        <f>HYPERLINK("https://pbs.twimg.com/profile_images/962471262747529216/Uo8lOkRJ_normal.jpg","View")</f>
        <v>View</v>
      </c>
      <c r="P15468" s="7"/>
    </row>
    <row r="15469" spans="1:16">
      <c r="A15469" s="3">
        <v>44401.056817129633</v>
      </c>
      <c r="B15469" s="4" t="str">
        <f>HYPERLINK("https://twitter.com/petrogustavo","@petrogustavo")</f>
        <v>@petrogustavo</v>
      </c>
      <c r="C15469" s="5" t="s">
        <v>16</v>
      </c>
      <c r="D15469" s="5" t="s">
        <v>14902</v>
      </c>
      <c r="E15469" s="6" t="str">
        <f>HYPERLINK("https://twitter.com/petrogustavo/status/1418660141042393091","1418660141042393091")</f>
        <v>1418660141042393091</v>
      </c>
      <c r="F15469" s="7" t="s">
        <v>17</v>
      </c>
      <c r="G15469" s="7">
        <v>4335421</v>
      </c>
      <c r="H15469" s="7">
        <v>2532</v>
      </c>
      <c r="I15469" s="7">
        <v>119</v>
      </c>
      <c r="J15469" s="7">
        <v>0</v>
      </c>
      <c r="K15469" s="7" t="s">
        <v>18</v>
      </c>
      <c r="L15469" s="8">
        <v>39987.315405092595</v>
      </c>
      <c r="M15469" s="9" t="s">
        <v>19</v>
      </c>
      <c r="N15469" s="9" t="s">
        <v>20</v>
      </c>
      <c r="O15469" s="6" t="str">
        <f>HYPERLINK("https://pbs.twimg.com/profile_images/962471262747529216/Uo8lOkRJ_normal.jpg","View")</f>
        <v>View</v>
      </c>
      <c r="P15469" s="7"/>
    </row>
    <row r="15470" spans="1:16">
      <c r="A15470" s="3">
        <v>44401.146562499998</v>
      </c>
      <c r="B15470" s="4" t="str">
        <f>HYPERLINK("https://twitter.com/petrogustavo","@petrogustavo")</f>
        <v>@petrogustavo</v>
      </c>
      <c r="C15470" s="5" t="s">
        <v>16</v>
      </c>
      <c r="D15470" s="5" t="s">
        <v>14903</v>
      </c>
      <c r="E15470" s="6" t="str">
        <f>HYPERLINK("https://twitter.com/petrogustavo/status/1418692661272264705","1418692661272264705")</f>
        <v>1418692661272264705</v>
      </c>
      <c r="F15470" s="7" t="s">
        <v>17</v>
      </c>
      <c r="G15470" s="7">
        <v>4335487</v>
      </c>
      <c r="H15470" s="7">
        <v>2532</v>
      </c>
      <c r="I15470" s="7">
        <v>146</v>
      </c>
      <c r="J15470" s="7">
        <v>0</v>
      </c>
      <c r="K15470" s="7" t="s">
        <v>18</v>
      </c>
      <c r="L15470" s="8">
        <v>39987.315405092595</v>
      </c>
      <c r="M15470" s="9" t="s">
        <v>19</v>
      </c>
      <c r="N15470" s="9" t="s">
        <v>20</v>
      </c>
      <c r="O15470" s="6" t="str">
        <f>HYPERLINK("https://pbs.twimg.com/profile_images/962471262747529216/Uo8lOkRJ_normal.jpg","View")</f>
        <v>View</v>
      </c>
      <c r="P15470" s="7"/>
    </row>
    <row r="15471" spans="1:16">
      <c r="A15471" s="3">
        <v>44401.147164351853</v>
      </c>
      <c r="B15471" s="4" t="str">
        <f>HYPERLINK("https://twitter.com/petrogustavo","@petrogustavo")</f>
        <v>@petrogustavo</v>
      </c>
      <c r="C15471" s="5" t="s">
        <v>16</v>
      </c>
      <c r="D15471" s="5" t="s">
        <v>14904</v>
      </c>
      <c r="E15471" s="6" t="str">
        <f>HYPERLINK("https://twitter.com/petrogustavo/status/1418692880290418696","1418692880290418696")</f>
        <v>1418692880290418696</v>
      </c>
      <c r="F15471" s="7" t="s">
        <v>17</v>
      </c>
      <c r="G15471" s="7">
        <v>4335487</v>
      </c>
      <c r="H15471" s="7">
        <v>2532</v>
      </c>
      <c r="I15471" s="7">
        <v>8</v>
      </c>
      <c r="J15471" s="7">
        <v>0</v>
      </c>
      <c r="K15471" s="7" t="s">
        <v>18</v>
      </c>
      <c r="L15471" s="8">
        <v>39987.315405092595</v>
      </c>
      <c r="M15471" s="9" t="s">
        <v>19</v>
      </c>
      <c r="N15471" s="9" t="s">
        <v>20</v>
      </c>
      <c r="O15471" s="6" t="str">
        <f>HYPERLINK("https://pbs.twimg.com/profile_images/962471262747529216/Uo8lOkRJ_normal.jpg","View")</f>
        <v>View</v>
      </c>
      <c r="P15471" s="7"/>
    </row>
    <row r="15472" spans="1:16">
      <c r="A15472" s="3">
        <v>44401.147280092591</v>
      </c>
      <c r="B15472" s="4" t="str">
        <f>HYPERLINK("https://twitter.com/petrogustavo","@petrogustavo")</f>
        <v>@petrogustavo</v>
      </c>
      <c r="C15472" s="5" t="s">
        <v>16</v>
      </c>
      <c r="D15472" s="5" t="s">
        <v>14905</v>
      </c>
      <c r="E15472" s="6" t="str">
        <f>HYPERLINK("https://twitter.com/petrogustavo/status/1418692924896911363","1418692924896911363")</f>
        <v>1418692924896911363</v>
      </c>
      <c r="F15472" s="7" t="s">
        <v>17</v>
      </c>
      <c r="G15472" s="7">
        <v>4335487</v>
      </c>
      <c r="H15472" s="7">
        <v>2532</v>
      </c>
      <c r="I15472" s="7">
        <v>668</v>
      </c>
      <c r="J15472" s="7">
        <v>0</v>
      </c>
      <c r="K15472" s="7" t="s">
        <v>18</v>
      </c>
      <c r="L15472" s="8">
        <v>39987.315405092595</v>
      </c>
      <c r="M15472" s="9" t="s">
        <v>19</v>
      </c>
      <c r="N15472" s="9" t="s">
        <v>20</v>
      </c>
      <c r="O15472" s="6" t="str">
        <f>HYPERLINK("https://pbs.twimg.com/profile_images/962471262747529216/Uo8lOkRJ_normal.jpg","View")</f>
        <v>View</v>
      </c>
      <c r="P15472" s="7"/>
    </row>
    <row r="15473" spans="1:16">
      <c r="A15473" s="3">
        <v>44401.147662037038</v>
      </c>
      <c r="B15473" s="4" t="str">
        <f>HYPERLINK("https://twitter.com/petrogustavo","@petrogustavo")</f>
        <v>@petrogustavo</v>
      </c>
      <c r="C15473" s="5" t="s">
        <v>16</v>
      </c>
      <c r="D15473" s="5" t="s">
        <v>14906</v>
      </c>
      <c r="E15473" s="6" t="str">
        <f>HYPERLINK("https://twitter.com/petrogustavo/status/1418693062642094093","1418693062642094093")</f>
        <v>1418693062642094093</v>
      </c>
      <c r="F15473" s="7" t="s">
        <v>17</v>
      </c>
      <c r="G15473" s="7">
        <v>4335512</v>
      </c>
      <c r="H15473" s="7">
        <v>2532</v>
      </c>
      <c r="I15473" s="7">
        <v>96</v>
      </c>
      <c r="J15473" s="7">
        <v>0</v>
      </c>
      <c r="K15473" s="7" t="s">
        <v>18</v>
      </c>
      <c r="L15473" s="8">
        <v>39987.315405092595</v>
      </c>
      <c r="M15473" s="9" t="s">
        <v>19</v>
      </c>
      <c r="N15473" s="9" t="s">
        <v>20</v>
      </c>
      <c r="O15473" s="6" t="str">
        <f>HYPERLINK("https://pbs.twimg.com/profile_images/962471262747529216/Uo8lOkRJ_normal.jpg","View")</f>
        <v>View</v>
      </c>
      <c r="P15473" s="7"/>
    </row>
    <row r="15474" spans="1:16">
      <c r="A15474" s="3">
        <v>44401.149317129632</v>
      </c>
      <c r="B15474" s="4" t="str">
        <f>HYPERLINK("https://twitter.com/petrogustavo","@petrogustavo")</f>
        <v>@petrogustavo</v>
      </c>
      <c r="C15474" s="5" t="s">
        <v>16</v>
      </c>
      <c r="D15474" s="5" t="s">
        <v>14907</v>
      </c>
      <c r="E15474" s="6" t="str">
        <f>HYPERLINK("https://twitter.com/petrogustavo/status/1418693659244040195","1418693659244040195")</f>
        <v>1418693659244040195</v>
      </c>
      <c r="F15474" s="7" t="s">
        <v>17</v>
      </c>
      <c r="G15474" s="7">
        <v>4335512</v>
      </c>
      <c r="H15474" s="7">
        <v>2532</v>
      </c>
      <c r="I15474" s="7">
        <v>260</v>
      </c>
      <c r="J15474" s="7">
        <v>0</v>
      </c>
      <c r="K15474" s="7" t="s">
        <v>18</v>
      </c>
      <c r="L15474" s="8">
        <v>39987.315405092595</v>
      </c>
      <c r="M15474" s="9" t="s">
        <v>19</v>
      </c>
      <c r="N15474" s="9" t="s">
        <v>20</v>
      </c>
      <c r="O15474" s="6" t="str">
        <f>HYPERLINK("https://pbs.twimg.com/profile_images/962471262747529216/Uo8lOkRJ_normal.jpg","View")</f>
        <v>View</v>
      </c>
      <c r="P15474" s="7"/>
    </row>
    <row r="15475" spans="1:16">
      <c r="A15475" s="3">
        <v>44401.177175925928</v>
      </c>
      <c r="B15475" s="4" t="str">
        <f>HYPERLINK("https://twitter.com/petrogustavo","@petrogustavo")</f>
        <v>@petrogustavo</v>
      </c>
      <c r="C15475" s="5" t="s">
        <v>16</v>
      </c>
      <c r="D15475" s="5" t="s">
        <v>14908</v>
      </c>
      <c r="E15475" s="6" t="str">
        <f>HYPERLINK("https://twitter.com/petrogustavo/status/1418703756963819521","1418703756963819521")</f>
        <v>1418703756963819521</v>
      </c>
      <c r="F15475" s="7" t="s">
        <v>17</v>
      </c>
      <c r="G15475" s="7">
        <v>4335524</v>
      </c>
      <c r="H15475" s="7">
        <v>2532</v>
      </c>
      <c r="I15475" s="7">
        <v>178</v>
      </c>
      <c r="J15475" s="7">
        <v>659</v>
      </c>
      <c r="K15475" s="7" t="s">
        <v>18</v>
      </c>
      <c r="L15475" s="8">
        <v>39987.315405092595</v>
      </c>
      <c r="M15475" s="9" t="s">
        <v>19</v>
      </c>
      <c r="N15475" s="9" t="s">
        <v>20</v>
      </c>
      <c r="O15475" s="6" t="str">
        <f>HYPERLINK("https://pbs.twimg.com/profile_images/962471262747529216/Uo8lOkRJ_normal.jpg","View")</f>
        <v>View</v>
      </c>
      <c r="P15475" s="7"/>
    </row>
    <row r="15476" spans="1:16">
      <c r="A15476" s="3">
        <v>44401.253692129627</v>
      </c>
      <c r="B15476" s="4" t="str">
        <f>HYPERLINK("https://twitter.com/petrogustavo","@petrogustavo")</f>
        <v>@petrogustavo</v>
      </c>
      <c r="C15476" s="5" t="s">
        <v>16</v>
      </c>
      <c r="D15476" s="5" t="s">
        <v>14909</v>
      </c>
      <c r="E15476" s="6" t="str">
        <f>HYPERLINK("https://twitter.com/petrogustavo/status/1418731485390151682","1418731485390151682")</f>
        <v>1418731485390151682</v>
      </c>
      <c r="F15476" s="7" t="s">
        <v>17</v>
      </c>
      <c r="G15476" s="7">
        <v>4335576</v>
      </c>
      <c r="H15476" s="7">
        <v>2532</v>
      </c>
      <c r="I15476" s="7">
        <v>325</v>
      </c>
      <c r="J15476" s="7">
        <v>540</v>
      </c>
      <c r="K15476" s="7" t="s">
        <v>18</v>
      </c>
      <c r="L15476" s="8">
        <v>39987.315405092595</v>
      </c>
      <c r="M15476" s="9" t="s">
        <v>19</v>
      </c>
      <c r="N15476" s="9" t="s">
        <v>20</v>
      </c>
      <c r="O15476" s="6" t="str">
        <f>HYPERLINK("https://pbs.twimg.com/profile_images/962471262747529216/Uo8lOkRJ_normal.jpg","View")</f>
        <v>View</v>
      </c>
      <c r="P15476" s="7"/>
    </row>
    <row r="15477" spans="1:16">
      <c r="A15477" s="3">
        <v>44401.270000000004</v>
      </c>
      <c r="B15477" s="4" t="str">
        <f>HYPERLINK("https://twitter.com/petrogustavo","@petrogustavo")</f>
        <v>@petrogustavo</v>
      </c>
      <c r="C15477" s="5" t="s">
        <v>16</v>
      </c>
      <c r="D15477" s="5" t="s">
        <v>14910</v>
      </c>
      <c r="E15477" s="6" t="str">
        <f>HYPERLINK("https://twitter.com/petrogustavo/status/1418737394774380546","1418737394774380546")</f>
        <v>1418737394774380546</v>
      </c>
      <c r="F15477" s="7" t="s">
        <v>17</v>
      </c>
      <c r="G15477" s="7">
        <v>4335576</v>
      </c>
      <c r="H15477" s="7">
        <v>2532</v>
      </c>
      <c r="I15477" s="7">
        <v>742</v>
      </c>
      <c r="J15477" s="7">
        <v>0</v>
      </c>
      <c r="K15477" s="7" t="s">
        <v>18</v>
      </c>
      <c r="L15477" s="8">
        <v>39987.315405092595</v>
      </c>
      <c r="M15477" s="9" t="s">
        <v>19</v>
      </c>
      <c r="N15477" s="9" t="s">
        <v>20</v>
      </c>
      <c r="O15477" s="6" t="str">
        <f>HYPERLINK("https://pbs.twimg.com/profile_images/962471262747529216/Uo8lOkRJ_normal.jpg","View")</f>
        <v>View</v>
      </c>
      <c r="P15477" s="7"/>
    </row>
    <row r="15478" spans="1:16">
      <c r="A15478" s="3">
        <v>44401.742418981477</v>
      </c>
      <c r="B15478" s="4" t="str">
        <f>HYPERLINK("https://twitter.com/petrogustavo","@petrogustavo")</f>
        <v>@petrogustavo</v>
      </c>
      <c r="C15478" s="5" t="s">
        <v>16</v>
      </c>
      <c r="D15478" s="5" t="s">
        <v>14905</v>
      </c>
      <c r="E15478" s="6" t="str">
        <f>HYPERLINK("https://twitter.com/petrogustavo/status/1418908595756863509","1418908595756863509")</f>
        <v>1418908595756863509</v>
      </c>
      <c r="F15478" s="7" t="s">
        <v>17</v>
      </c>
      <c r="G15478" s="7">
        <v>4335697</v>
      </c>
      <c r="H15478" s="7">
        <v>2532</v>
      </c>
      <c r="I15478" s="7">
        <v>1697</v>
      </c>
      <c r="J15478" s="7">
        <v>0</v>
      </c>
      <c r="K15478" s="7" t="s">
        <v>18</v>
      </c>
      <c r="L15478" s="8">
        <v>39987.315405092595</v>
      </c>
      <c r="M15478" s="9" t="s">
        <v>19</v>
      </c>
      <c r="N15478" s="9" t="s">
        <v>20</v>
      </c>
      <c r="O15478" s="6" t="str">
        <f>HYPERLINK("https://pbs.twimg.com/profile_images/962471262747529216/Uo8lOkRJ_normal.jpg","View")</f>
        <v>View</v>
      </c>
      <c r="P15478" s="7"/>
    </row>
    <row r="15479" spans="1:16">
      <c r="A15479" s="3">
        <v>44401.743090277778</v>
      </c>
      <c r="B15479" s="4" t="str">
        <f>HYPERLINK("https://twitter.com/petrogustavo","@petrogustavo")</f>
        <v>@petrogustavo</v>
      </c>
      <c r="C15479" s="5" t="s">
        <v>16</v>
      </c>
      <c r="D15479" s="5" t="s">
        <v>14910</v>
      </c>
      <c r="E15479" s="6" t="str">
        <f>HYPERLINK("https://twitter.com/petrogustavo/status/1418908836598063110","1418908836598063110")</f>
        <v>1418908836598063110</v>
      </c>
      <c r="F15479" s="7" t="s">
        <v>17</v>
      </c>
      <c r="G15479" s="7">
        <v>4335697</v>
      </c>
      <c r="H15479" s="7">
        <v>2532</v>
      </c>
      <c r="I15479" s="7">
        <v>1398</v>
      </c>
      <c r="J15479" s="7">
        <v>0</v>
      </c>
      <c r="K15479" s="7" t="s">
        <v>18</v>
      </c>
      <c r="L15479" s="8">
        <v>39987.315405092595</v>
      </c>
      <c r="M15479" s="9" t="s">
        <v>19</v>
      </c>
      <c r="N15479" s="9" t="s">
        <v>20</v>
      </c>
      <c r="O15479" s="6" t="str">
        <f>HYPERLINK("https://pbs.twimg.com/profile_images/962471262747529216/Uo8lOkRJ_normal.jpg","View")</f>
        <v>View</v>
      </c>
      <c r="P15479" s="7"/>
    </row>
    <row r="15480" spans="1:16">
      <c r="A15480" s="3">
        <v>44401.82340277778</v>
      </c>
      <c r="B15480" s="4" t="str">
        <f>HYPERLINK("https://twitter.com/petrogustavo","@petrogustavo")</f>
        <v>@petrogustavo</v>
      </c>
      <c r="C15480" s="5" t="s">
        <v>16</v>
      </c>
      <c r="D15480" s="5" t="s">
        <v>14911</v>
      </c>
      <c r="E15480" s="6" t="str">
        <f>HYPERLINK("https://twitter.com/petrogustavo/status/1418937940361809922","1418937940361809922")</f>
        <v>1418937940361809922</v>
      </c>
      <c r="F15480" s="7" t="s">
        <v>17</v>
      </c>
      <c r="G15480" s="7">
        <v>4335733</v>
      </c>
      <c r="H15480" s="7">
        <v>2532</v>
      </c>
      <c r="I15480" s="7">
        <v>116</v>
      </c>
      <c r="J15480" s="7">
        <v>254</v>
      </c>
      <c r="K15480" s="7" t="s">
        <v>18</v>
      </c>
      <c r="L15480" s="8">
        <v>39987.315405092595</v>
      </c>
      <c r="M15480" s="9" t="s">
        <v>19</v>
      </c>
      <c r="N15480" s="9" t="s">
        <v>20</v>
      </c>
      <c r="O15480" s="6" t="str">
        <f>HYPERLINK("https://pbs.twimg.com/profile_images/962471262747529216/Uo8lOkRJ_normal.jpg","View")</f>
        <v>View</v>
      </c>
      <c r="P15480" s="7"/>
    </row>
    <row r="15481" spans="1:16">
      <c r="A15481" s="3">
        <v>44401.82340277778</v>
      </c>
      <c r="B15481" s="4" t="str">
        <f>HYPERLINK("https://twitter.com/petrogustavo","@petrogustavo")</f>
        <v>@petrogustavo</v>
      </c>
      <c r="C15481" s="5" t="s">
        <v>16</v>
      </c>
      <c r="D15481" s="5" t="s">
        <v>14912</v>
      </c>
      <c r="E15481" s="6" t="str">
        <f>HYPERLINK("https://twitter.com/petrogustavo/status/1418937941469057036","1418937941469057036")</f>
        <v>1418937941469057036</v>
      </c>
      <c r="F15481" s="7" t="s">
        <v>17</v>
      </c>
      <c r="G15481" s="7">
        <v>4335733</v>
      </c>
      <c r="H15481" s="7">
        <v>2532</v>
      </c>
      <c r="I15481" s="7">
        <v>61</v>
      </c>
      <c r="J15481" s="7">
        <v>186</v>
      </c>
      <c r="K15481" s="7" t="s">
        <v>18</v>
      </c>
      <c r="L15481" s="8">
        <v>39987.315405092595</v>
      </c>
      <c r="M15481" s="9" t="s">
        <v>19</v>
      </c>
      <c r="N15481" s="9" t="s">
        <v>20</v>
      </c>
      <c r="O15481" s="6" t="str">
        <f>HYPERLINK("https://pbs.twimg.com/profile_images/962471262747529216/Uo8lOkRJ_normal.jpg","View")</f>
        <v>View</v>
      </c>
      <c r="P15481" s="7"/>
    </row>
    <row r="15482" spans="1:16">
      <c r="A15482" s="3">
        <v>44401.82340277778</v>
      </c>
      <c r="B15482" s="4" t="str">
        <f>HYPERLINK("https://twitter.com/petrogustavo","@petrogustavo")</f>
        <v>@petrogustavo</v>
      </c>
      <c r="C15482" s="5" t="s">
        <v>16</v>
      </c>
      <c r="D15482" s="5" t="s">
        <v>14913</v>
      </c>
      <c r="E15482" s="6" t="str">
        <f>HYPERLINK("https://twitter.com/petrogustavo/status/1418937943209750531","1418937943209750531")</f>
        <v>1418937943209750531</v>
      </c>
      <c r="F15482" s="7" t="s">
        <v>17</v>
      </c>
      <c r="G15482" s="7">
        <v>4335733</v>
      </c>
      <c r="H15482" s="7">
        <v>2532</v>
      </c>
      <c r="I15482" s="7">
        <v>61</v>
      </c>
      <c r="J15482" s="7">
        <v>204</v>
      </c>
      <c r="K15482" s="7" t="s">
        <v>18</v>
      </c>
      <c r="L15482" s="8">
        <v>39987.315405092595</v>
      </c>
      <c r="M15482" s="9" t="s">
        <v>19</v>
      </c>
      <c r="N15482" s="9" t="s">
        <v>20</v>
      </c>
      <c r="O15482" s="6" t="str">
        <f>HYPERLINK("https://pbs.twimg.com/profile_images/962471262747529216/Uo8lOkRJ_normal.jpg","View")</f>
        <v>View</v>
      </c>
      <c r="P15482" s="7"/>
    </row>
    <row r="15483" spans="1:16">
      <c r="A15483" s="3">
        <v>44401.857777777783</v>
      </c>
      <c r="B15483" s="4" t="str">
        <f>HYPERLINK("https://twitter.com/petrogustavo","@petrogustavo")</f>
        <v>@petrogustavo</v>
      </c>
      <c r="C15483" s="5" t="s">
        <v>16</v>
      </c>
      <c r="D15483" s="5" t="s">
        <v>14914</v>
      </c>
      <c r="E15483" s="6" t="str">
        <f>HYPERLINK("https://twitter.com/petrogustavo/status/1418950396911964166","1418950396911964166")</f>
        <v>1418950396911964166</v>
      </c>
      <c r="F15483" s="7" t="s">
        <v>17</v>
      </c>
      <c r="G15483" s="7">
        <v>4335749</v>
      </c>
      <c r="H15483" s="7">
        <v>2532</v>
      </c>
      <c r="I15483" s="7">
        <v>208</v>
      </c>
      <c r="J15483" s="7">
        <v>771</v>
      </c>
      <c r="K15483" s="7" t="s">
        <v>18</v>
      </c>
      <c r="L15483" s="8">
        <v>39987.315405092595</v>
      </c>
      <c r="M15483" s="9" t="s">
        <v>19</v>
      </c>
      <c r="N15483" s="9" t="s">
        <v>20</v>
      </c>
      <c r="O15483" s="6" t="str">
        <f>HYPERLINK("https://pbs.twimg.com/profile_images/962471262747529216/Uo8lOkRJ_normal.jpg","View")</f>
        <v>View</v>
      </c>
      <c r="P15483" s="7"/>
    </row>
    <row r="15484" spans="1:16">
      <c r="A15484" s="3">
        <v>44401.904004629629</v>
      </c>
      <c r="B15484" s="4" t="str">
        <f>HYPERLINK("https://twitter.com/petrogustavo","@petrogustavo")</f>
        <v>@petrogustavo</v>
      </c>
      <c r="C15484" s="5" t="s">
        <v>16</v>
      </c>
      <c r="D15484" s="5" t="s">
        <v>14915</v>
      </c>
      <c r="E15484" s="6" t="str">
        <f>HYPERLINK("https://twitter.com/petrogustavo/status/1418967152699318282","1418967152699318282")</f>
        <v>1418967152699318282</v>
      </c>
      <c r="F15484" s="7" t="s">
        <v>17</v>
      </c>
      <c r="G15484" s="7">
        <v>4335790</v>
      </c>
      <c r="H15484" s="7">
        <v>2532</v>
      </c>
      <c r="I15484" s="7">
        <v>124</v>
      </c>
      <c r="J15484" s="7">
        <v>342</v>
      </c>
      <c r="K15484" s="7" t="s">
        <v>18</v>
      </c>
      <c r="L15484" s="8">
        <v>39987.315405092595</v>
      </c>
      <c r="M15484" s="9" t="s">
        <v>19</v>
      </c>
      <c r="N15484" s="9" t="s">
        <v>20</v>
      </c>
      <c r="O15484" s="6" t="str">
        <f>HYPERLINK("https://pbs.twimg.com/profile_images/962471262747529216/Uo8lOkRJ_normal.jpg","View")</f>
        <v>View</v>
      </c>
      <c r="P15484" s="7"/>
    </row>
    <row r="15485" spans="1:16">
      <c r="A15485" s="3">
        <v>44401.904016203705</v>
      </c>
      <c r="B15485" s="4" t="str">
        <f>HYPERLINK("https://twitter.com/petrogustavo","@petrogustavo")</f>
        <v>@petrogustavo</v>
      </c>
      <c r="C15485" s="5" t="s">
        <v>16</v>
      </c>
      <c r="D15485" s="5" t="s">
        <v>14916</v>
      </c>
      <c r="E15485" s="6" t="str">
        <f>HYPERLINK("https://twitter.com/petrogustavo/status/1418967154330939396","1418967154330939396")</f>
        <v>1418967154330939396</v>
      </c>
      <c r="F15485" s="7" t="s">
        <v>17</v>
      </c>
      <c r="G15485" s="7">
        <v>4335790</v>
      </c>
      <c r="H15485" s="7">
        <v>2532</v>
      </c>
      <c r="I15485" s="7">
        <v>78</v>
      </c>
      <c r="J15485" s="7">
        <v>269</v>
      </c>
      <c r="K15485" s="7" t="s">
        <v>18</v>
      </c>
      <c r="L15485" s="8">
        <v>39987.315405092595</v>
      </c>
      <c r="M15485" s="9" t="s">
        <v>19</v>
      </c>
      <c r="N15485" s="9" t="s">
        <v>20</v>
      </c>
      <c r="O15485" s="6" t="str">
        <f>HYPERLINK("https://pbs.twimg.com/profile_images/962471262747529216/Uo8lOkRJ_normal.jpg","View")</f>
        <v>View</v>
      </c>
      <c r="P15485" s="7"/>
    </row>
    <row r="15486" spans="1:16">
      <c r="A15486" s="3">
        <v>44401.930162037039</v>
      </c>
      <c r="B15486" s="4" t="str">
        <f>HYPERLINK("https://twitter.com/petrogustavo","@petrogustavo")</f>
        <v>@petrogustavo</v>
      </c>
      <c r="C15486" s="5" t="s">
        <v>16</v>
      </c>
      <c r="D15486" s="5" t="s">
        <v>14917</v>
      </c>
      <c r="E15486" s="6" t="str">
        <f>HYPERLINK("https://twitter.com/petrogustavo/status/1418976631687950336","1418976631687950336")</f>
        <v>1418976631687950336</v>
      </c>
      <c r="F15486" s="7" t="s">
        <v>17</v>
      </c>
      <c r="G15486" s="7">
        <v>4335786</v>
      </c>
      <c r="H15486" s="7">
        <v>2532</v>
      </c>
      <c r="I15486" s="7">
        <v>149</v>
      </c>
      <c r="J15486" s="7">
        <v>353</v>
      </c>
      <c r="K15486" s="7" t="s">
        <v>18</v>
      </c>
      <c r="L15486" s="8">
        <v>39987.315405092595</v>
      </c>
      <c r="M15486" s="9" t="s">
        <v>19</v>
      </c>
      <c r="N15486" s="9" t="s">
        <v>20</v>
      </c>
      <c r="O15486" s="6" t="str">
        <f>HYPERLINK("https://pbs.twimg.com/profile_images/962471262747529216/Uo8lOkRJ_normal.jpg","View")</f>
        <v>View</v>
      </c>
      <c r="P15486" s="7"/>
    </row>
    <row r="15487" spans="1:16">
      <c r="A15487" s="3">
        <v>44401.941157407404</v>
      </c>
      <c r="B15487" s="4" t="str">
        <f>HYPERLINK("https://twitter.com/petrogustavo","@petrogustavo")</f>
        <v>@petrogustavo</v>
      </c>
      <c r="C15487" s="5" t="s">
        <v>16</v>
      </c>
      <c r="D15487" s="5" t="s">
        <v>14918</v>
      </c>
      <c r="E15487" s="6" t="str">
        <f>HYPERLINK("https://twitter.com/petrogustavo/status/1418980613244207112","1418980613244207112")</f>
        <v>1418980613244207112</v>
      </c>
      <c r="F15487" s="7" t="s">
        <v>17</v>
      </c>
      <c r="G15487" s="7">
        <v>4335799</v>
      </c>
      <c r="H15487" s="7">
        <v>2532</v>
      </c>
      <c r="I15487" s="7">
        <v>618</v>
      </c>
      <c r="J15487" s="7">
        <v>0</v>
      </c>
      <c r="K15487" s="7" t="s">
        <v>18</v>
      </c>
      <c r="L15487" s="8">
        <v>39987.315405092595</v>
      </c>
      <c r="M15487" s="9" t="s">
        <v>19</v>
      </c>
      <c r="N15487" s="9" t="s">
        <v>20</v>
      </c>
      <c r="O15487" s="6" t="str">
        <f>HYPERLINK("https://pbs.twimg.com/profile_images/962471262747529216/Uo8lOkRJ_normal.jpg","View")</f>
        <v>View</v>
      </c>
      <c r="P15487" s="7"/>
    </row>
    <row r="15488" spans="1:16">
      <c r="A15488" s="3">
        <v>44401.947974537034</v>
      </c>
      <c r="B15488" s="4" t="str">
        <f>HYPERLINK("https://twitter.com/petrogustavo","@petrogustavo")</f>
        <v>@petrogustavo</v>
      </c>
      <c r="C15488" s="5" t="s">
        <v>16</v>
      </c>
      <c r="D15488" s="5" t="s">
        <v>14919</v>
      </c>
      <c r="E15488" s="6" t="str">
        <f>HYPERLINK("https://twitter.com/petrogustavo/status/1418983083311775747","1418983083311775747")</f>
        <v>1418983083311775747</v>
      </c>
      <c r="F15488" s="7" t="s">
        <v>17</v>
      </c>
      <c r="G15488" s="7">
        <v>4335799</v>
      </c>
      <c r="H15488" s="7">
        <v>2532</v>
      </c>
      <c r="I15488" s="7">
        <v>589</v>
      </c>
      <c r="J15488" s="7">
        <v>0</v>
      </c>
      <c r="K15488" s="7" t="s">
        <v>18</v>
      </c>
      <c r="L15488" s="8">
        <v>39987.315405092595</v>
      </c>
      <c r="M15488" s="9" t="s">
        <v>19</v>
      </c>
      <c r="N15488" s="9" t="s">
        <v>20</v>
      </c>
      <c r="O15488" s="6" t="str">
        <f>HYPERLINK("https://pbs.twimg.com/profile_images/962471262747529216/Uo8lOkRJ_normal.jpg","View")</f>
        <v>View</v>
      </c>
      <c r="P15488" s="7"/>
    </row>
    <row r="15489" spans="1:16">
      <c r="A15489" s="3">
        <v>44401.95112268519</v>
      </c>
      <c r="B15489" s="4" t="str">
        <f>HYPERLINK("https://twitter.com/petrogustavo","@petrogustavo")</f>
        <v>@petrogustavo</v>
      </c>
      <c r="C15489" s="5" t="s">
        <v>16</v>
      </c>
      <c r="D15489" s="5" t="s">
        <v>14920</v>
      </c>
      <c r="E15489" s="6" t="str">
        <f>HYPERLINK("https://twitter.com/petrogustavo/status/1418984224720400392","1418984224720400392")</f>
        <v>1418984224720400392</v>
      </c>
      <c r="F15489" s="7" t="s">
        <v>17</v>
      </c>
      <c r="G15489" s="7">
        <v>4335799</v>
      </c>
      <c r="H15489" s="7">
        <v>2532</v>
      </c>
      <c r="I15489" s="7">
        <v>182</v>
      </c>
      <c r="J15489" s="7">
        <v>478</v>
      </c>
      <c r="K15489" s="7" t="s">
        <v>18</v>
      </c>
      <c r="L15489" s="8">
        <v>39987.315405092595</v>
      </c>
      <c r="M15489" s="9" t="s">
        <v>19</v>
      </c>
      <c r="N15489" s="9" t="s">
        <v>20</v>
      </c>
      <c r="O15489" s="6" t="str">
        <f>HYPERLINK("https://pbs.twimg.com/profile_images/962471262747529216/Uo8lOkRJ_normal.jpg","View")</f>
        <v>View</v>
      </c>
      <c r="P15489" s="7"/>
    </row>
    <row r="15490" spans="1:16">
      <c r="A15490" s="3">
        <v>44401.964178240742</v>
      </c>
      <c r="B15490" s="4" t="str">
        <f>HYPERLINK("https://twitter.com/petrogustavo","@petrogustavo")</f>
        <v>@petrogustavo</v>
      </c>
      <c r="C15490" s="5" t="s">
        <v>16</v>
      </c>
      <c r="D15490" s="5" t="s">
        <v>14921</v>
      </c>
      <c r="E15490" s="6" t="str">
        <f>HYPERLINK("https://twitter.com/petrogustavo/status/1418988956599918603","1418988956599918603")</f>
        <v>1418988956599918603</v>
      </c>
      <c r="F15490" s="7" t="s">
        <v>17</v>
      </c>
      <c r="G15490" s="7">
        <v>4335807</v>
      </c>
      <c r="H15490" s="7">
        <v>2532</v>
      </c>
      <c r="I15490" s="7">
        <v>124</v>
      </c>
      <c r="J15490" s="7">
        <v>384</v>
      </c>
      <c r="K15490" s="7" t="s">
        <v>18</v>
      </c>
      <c r="L15490" s="8">
        <v>39987.315405092595</v>
      </c>
      <c r="M15490" s="9" t="s">
        <v>19</v>
      </c>
      <c r="N15490" s="9" t="s">
        <v>20</v>
      </c>
      <c r="O15490" s="6" t="str">
        <f>HYPERLINK("https://pbs.twimg.com/profile_images/962471262747529216/Uo8lOkRJ_normal.jpg","View")</f>
        <v>View</v>
      </c>
      <c r="P15490" s="7"/>
    </row>
    <row r="15491" spans="1:16">
      <c r="A15491" s="3">
        <v>44402.780474537038</v>
      </c>
      <c r="B15491" s="4" t="str">
        <f>HYPERLINK("https://twitter.com/petrogustavo","@petrogustavo")</f>
        <v>@petrogustavo</v>
      </c>
      <c r="C15491" s="5" t="s">
        <v>16</v>
      </c>
      <c r="D15491" s="5" t="s">
        <v>14922</v>
      </c>
      <c r="E15491" s="6" t="str">
        <f>HYPERLINK("https://twitter.com/petrogustavo/status/1419284771528712194","1419284771528712194")</f>
        <v>1419284771528712194</v>
      </c>
      <c r="F15491" s="7" t="s">
        <v>17</v>
      </c>
      <c r="G15491" s="7">
        <v>4336098</v>
      </c>
      <c r="H15491" s="7">
        <v>2532</v>
      </c>
      <c r="I15491" s="7">
        <v>299</v>
      </c>
      <c r="J15491" s="7">
        <v>622</v>
      </c>
      <c r="K15491" s="7" t="s">
        <v>18</v>
      </c>
      <c r="L15491" s="8">
        <v>39987.315405092595</v>
      </c>
      <c r="M15491" s="9" t="s">
        <v>19</v>
      </c>
      <c r="N15491" s="9" t="s">
        <v>20</v>
      </c>
      <c r="O15491" s="6" t="str">
        <f>HYPERLINK("https://pbs.twimg.com/profile_images/962471262747529216/Uo8lOkRJ_normal.jpg","View")</f>
        <v>View</v>
      </c>
      <c r="P15491" s="7"/>
    </row>
    <row r="15492" spans="1:16">
      <c r="A15492" s="3">
        <v>44402.858460648145</v>
      </c>
      <c r="B15492" s="4" t="str">
        <f>HYPERLINK("https://twitter.com/petrogustavo","@petrogustavo")</f>
        <v>@petrogustavo</v>
      </c>
      <c r="C15492" s="5" t="s">
        <v>16</v>
      </c>
      <c r="D15492" s="5" t="s">
        <v>14923</v>
      </c>
      <c r="E15492" s="6" t="str">
        <f>HYPERLINK("https://twitter.com/petrogustavo/status/1419313034506407936","1419313034506407936")</f>
        <v>1419313034506407936</v>
      </c>
      <c r="F15492" s="7" t="s">
        <v>17</v>
      </c>
      <c r="G15492" s="7">
        <v>4336073</v>
      </c>
      <c r="H15492" s="7">
        <v>2532</v>
      </c>
      <c r="I15492" s="7">
        <v>100</v>
      </c>
      <c r="J15492" s="7">
        <v>375</v>
      </c>
      <c r="K15492" s="7" t="s">
        <v>18</v>
      </c>
      <c r="L15492" s="8">
        <v>39987.315405092595</v>
      </c>
      <c r="M15492" s="9" t="s">
        <v>19</v>
      </c>
      <c r="N15492" s="9" t="s">
        <v>20</v>
      </c>
      <c r="O15492" s="6" t="str">
        <f>HYPERLINK("https://pbs.twimg.com/profile_images/962471262747529216/Uo8lOkRJ_normal.jpg","View")</f>
        <v>View</v>
      </c>
      <c r="P15492" s="7"/>
    </row>
    <row r="15493" spans="1:16">
      <c r="A15493" s="3">
        <v>44403.076053240744</v>
      </c>
      <c r="B15493" s="4" t="str">
        <f>HYPERLINK("https://twitter.com/petrogustavo","@petrogustavo")</f>
        <v>@petrogustavo</v>
      </c>
      <c r="C15493" s="5" t="s">
        <v>16</v>
      </c>
      <c r="D15493" s="5" t="s">
        <v>14924</v>
      </c>
      <c r="E15493" s="6" t="str">
        <f>HYPERLINK("https://twitter.com/petrogustavo/status/1419391887350419457","1419391887350419457")</f>
        <v>1419391887350419457</v>
      </c>
      <c r="F15493" s="7" t="s">
        <v>17</v>
      </c>
      <c r="G15493" s="7">
        <v>4336204</v>
      </c>
      <c r="H15493" s="7">
        <v>2532</v>
      </c>
      <c r="I15493" s="7">
        <v>75</v>
      </c>
      <c r="J15493" s="7">
        <v>436</v>
      </c>
      <c r="K15493" s="7" t="s">
        <v>18</v>
      </c>
      <c r="L15493" s="8">
        <v>39987.315405092595</v>
      </c>
      <c r="M15493" s="9" t="s">
        <v>19</v>
      </c>
      <c r="N15493" s="9" t="s">
        <v>20</v>
      </c>
      <c r="O15493" s="6" t="str">
        <f>HYPERLINK("https://pbs.twimg.com/profile_images/962471262747529216/Uo8lOkRJ_normal.jpg","View")</f>
        <v>View</v>
      </c>
      <c r="P15493" s="7"/>
    </row>
    <row r="15494" spans="1:16">
      <c r="A15494" s="3">
        <v>44403.122025462959</v>
      </c>
      <c r="B15494" s="4" t="str">
        <f>HYPERLINK("https://twitter.com/petrogustavo","@petrogustavo")</f>
        <v>@petrogustavo</v>
      </c>
      <c r="C15494" s="5" t="s">
        <v>16</v>
      </c>
      <c r="D15494" s="5" t="s">
        <v>14925</v>
      </c>
      <c r="E15494" s="6" t="str">
        <f>HYPERLINK("https://twitter.com/petrogustavo/status/1419408547411111937","1419408547411111937")</f>
        <v>1419408547411111937</v>
      </c>
      <c r="F15494" s="7" t="s">
        <v>17</v>
      </c>
      <c r="G15494" s="7">
        <v>4336211</v>
      </c>
      <c r="H15494" s="7">
        <v>2532</v>
      </c>
      <c r="I15494" s="7">
        <v>81</v>
      </c>
      <c r="J15494" s="7">
        <v>241</v>
      </c>
      <c r="K15494" s="7" t="s">
        <v>18</v>
      </c>
      <c r="L15494" s="8">
        <v>39987.315405092595</v>
      </c>
      <c r="M15494" s="9" t="s">
        <v>19</v>
      </c>
      <c r="N15494" s="9" t="s">
        <v>20</v>
      </c>
      <c r="O15494" s="6" t="str">
        <f>HYPERLINK("https://pbs.twimg.com/profile_images/962471262747529216/Uo8lOkRJ_normal.jpg","View")</f>
        <v>View</v>
      </c>
      <c r="P15494" s="7"/>
    </row>
    <row r="15495" spans="1:16">
      <c r="A15495" s="3">
        <v>44403.170567129629</v>
      </c>
      <c r="B15495" s="4" t="str">
        <f>HYPERLINK("https://twitter.com/petrogustavo","@petrogustavo")</f>
        <v>@petrogustavo</v>
      </c>
      <c r="C15495" s="5" t="s">
        <v>16</v>
      </c>
      <c r="D15495" s="5" t="s">
        <v>14926</v>
      </c>
      <c r="E15495" s="6" t="str">
        <f>HYPERLINK("https://twitter.com/petrogustavo/status/1419426136631791619","1419426136631791619")</f>
        <v>1419426136631791619</v>
      </c>
      <c r="F15495" s="7" t="s">
        <v>17</v>
      </c>
      <c r="G15495" s="7">
        <v>4336233</v>
      </c>
      <c r="H15495" s="7">
        <v>2532</v>
      </c>
      <c r="I15495" s="7">
        <v>241</v>
      </c>
      <c r="J15495" s="7">
        <v>1146</v>
      </c>
      <c r="K15495" s="7" t="s">
        <v>18</v>
      </c>
      <c r="L15495" s="8">
        <v>39987.315405092595</v>
      </c>
      <c r="M15495" s="9" t="s">
        <v>19</v>
      </c>
      <c r="N15495" s="9" t="s">
        <v>20</v>
      </c>
      <c r="O15495" s="6" t="str">
        <f>HYPERLINK("https://pbs.twimg.com/profile_images/962471262747529216/Uo8lOkRJ_normal.jpg","View")</f>
        <v>View</v>
      </c>
      <c r="P15495" s="7"/>
    </row>
    <row r="15496" spans="1:16">
      <c r="A15496" s="3">
        <v>44403.178402777776</v>
      </c>
      <c r="B15496" s="4" t="str">
        <f>HYPERLINK("https://twitter.com/petrogustavo","@petrogustavo")</f>
        <v>@petrogustavo</v>
      </c>
      <c r="C15496" s="5" t="s">
        <v>16</v>
      </c>
      <c r="D15496" s="5" t="s">
        <v>14927</v>
      </c>
      <c r="E15496" s="6" t="str">
        <f>HYPERLINK("https://twitter.com/petrogustavo/status/1419428976016171010","1419428976016171010")</f>
        <v>1419428976016171010</v>
      </c>
      <c r="F15496" s="7" t="s">
        <v>17</v>
      </c>
      <c r="G15496" s="7">
        <v>4336233</v>
      </c>
      <c r="H15496" s="7">
        <v>2532</v>
      </c>
      <c r="I15496" s="7">
        <v>50</v>
      </c>
      <c r="J15496" s="7">
        <v>0</v>
      </c>
      <c r="K15496" s="7" t="s">
        <v>18</v>
      </c>
      <c r="L15496" s="8">
        <v>39987.315405092595</v>
      </c>
      <c r="M15496" s="9" t="s">
        <v>19</v>
      </c>
      <c r="N15496" s="9" t="s">
        <v>20</v>
      </c>
      <c r="O15496" s="6" t="str">
        <f>HYPERLINK("https://pbs.twimg.com/profile_images/962471262747529216/Uo8lOkRJ_normal.jpg","View")</f>
        <v>View</v>
      </c>
      <c r="P15496" s="7"/>
    </row>
    <row r="15497" spans="1:16">
      <c r="A15497" s="3">
        <v>44403.284270833334</v>
      </c>
      <c r="B15497" s="4" t="str">
        <f>HYPERLINK("https://twitter.com/petrogustavo","@petrogustavo")</f>
        <v>@petrogustavo</v>
      </c>
      <c r="C15497" s="5" t="s">
        <v>16</v>
      </c>
      <c r="D15497" s="5" t="s">
        <v>14928</v>
      </c>
      <c r="E15497" s="6" t="str">
        <f>HYPERLINK("https://twitter.com/petrogustavo/status/1419467340677275648","1419467340677275648")</f>
        <v>1419467340677275648</v>
      </c>
      <c r="F15497" s="7" t="s">
        <v>17</v>
      </c>
      <c r="G15497" s="7">
        <v>4336297</v>
      </c>
      <c r="H15497" s="7">
        <v>2532</v>
      </c>
      <c r="I15497" s="7">
        <v>174</v>
      </c>
      <c r="J15497" s="7">
        <v>0</v>
      </c>
      <c r="K15497" s="7" t="s">
        <v>18</v>
      </c>
      <c r="L15497" s="8">
        <v>39987.315405092595</v>
      </c>
      <c r="M15497" s="9" t="s">
        <v>19</v>
      </c>
      <c r="N15497" s="9" t="s">
        <v>20</v>
      </c>
      <c r="O15497" s="6" t="str">
        <f>HYPERLINK("https://pbs.twimg.com/profile_images/962471262747529216/Uo8lOkRJ_normal.jpg","View")</f>
        <v>View</v>
      </c>
      <c r="P15497" s="7"/>
    </row>
    <row r="15498" spans="1:16">
      <c r="A15498" s="3">
        <v>44403.298206018517</v>
      </c>
      <c r="B15498" s="4" t="str">
        <f>HYPERLINK("https://twitter.com/petrogustavo","@petrogustavo")</f>
        <v>@petrogustavo</v>
      </c>
      <c r="C15498" s="5" t="s">
        <v>16</v>
      </c>
      <c r="D15498" s="5" t="s">
        <v>14929</v>
      </c>
      <c r="E15498" s="6" t="str">
        <f>HYPERLINK("https://twitter.com/petrogustavo/status/1419472392297099264","1419472392297099264")</f>
        <v>1419472392297099264</v>
      </c>
      <c r="F15498" s="7" t="s">
        <v>17</v>
      </c>
      <c r="G15498" s="7">
        <v>4336323</v>
      </c>
      <c r="H15498" s="7">
        <v>2532</v>
      </c>
      <c r="I15498" s="7">
        <v>382</v>
      </c>
      <c r="J15498" s="7">
        <v>1209</v>
      </c>
      <c r="K15498" s="7" t="s">
        <v>18</v>
      </c>
      <c r="L15498" s="8">
        <v>39987.315405092595</v>
      </c>
      <c r="M15498" s="9" t="s">
        <v>19</v>
      </c>
      <c r="N15498" s="9" t="s">
        <v>20</v>
      </c>
      <c r="O15498" s="6" t="str">
        <f>HYPERLINK("https://pbs.twimg.com/profile_images/962471262747529216/Uo8lOkRJ_normal.jpg","View")</f>
        <v>View</v>
      </c>
      <c r="P15498" s="7"/>
    </row>
    <row r="15499" spans="1:16">
      <c r="A15499" s="3">
        <v>44403.369398148148</v>
      </c>
      <c r="B15499" s="4" t="str">
        <f>HYPERLINK("https://twitter.com/petrogustavo","@petrogustavo")</f>
        <v>@petrogustavo</v>
      </c>
      <c r="C15499" s="5" t="s">
        <v>16</v>
      </c>
      <c r="D15499" s="5" t="s">
        <v>14930</v>
      </c>
      <c r="E15499" s="6" t="str">
        <f>HYPERLINK("https://twitter.com/petrogustavo/status/1419498190768943108","1419498190768943108")</f>
        <v>1419498190768943108</v>
      </c>
      <c r="F15499" s="7" t="s">
        <v>17</v>
      </c>
      <c r="G15499" s="7">
        <v>4336335</v>
      </c>
      <c r="H15499" s="7">
        <v>2532</v>
      </c>
      <c r="I15499" s="7">
        <v>68</v>
      </c>
      <c r="J15499" s="7">
        <v>0</v>
      </c>
      <c r="K15499" s="7" t="s">
        <v>18</v>
      </c>
      <c r="L15499" s="8">
        <v>39987.315405092595</v>
      </c>
      <c r="M15499" s="9" t="s">
        <v>19</v>
      </c>
      <c r="N15499" s="9" t="s">
        <v>20</v>
      </c>
      <c r="O15499" s="6" t="str">
        <f>HYPERLINK("https://pbs.twimg.com/profile_images/962471262747529216/Uo8lOkRJ_normal.jpg","View")</f>
        <v>View</v>
      </c>
      <c r="P15499" s="7"/>
    </row>
    <row r="15500" spans="1:16">
      <c r="A15500" s="3">
        <v>44403.383136574077</v>
      </c>
      <c r="B15500" s="4" t="str">
        <f>HYPERLINK("https://twitter.com/petrogustavo","@petrogustavo")</f>
        <v>@petrogustavo</v>
      </c>
      <c r="C15500" s="5" t="s">
        <v>16</v>
      </c>
      <c r="D15500" s="5" t="s">
        <v>14931</v>
      </c>
      <c r="E15500" s="6" t="str">
        <f>HYPERLINK("https://twitter.com/petrogustavo/status/1419503171999866880","1419503171999866880")</f>
        <v>1419503171999866880</v>
      </c>
      <c r="F15500" s="7" t="s">
        <v>17</v>
      </c>
      <c r="G15500" s="7">
        <v>4336356</v>
      </c>
      <c r="H15500" s="7">
        <v>2532</v>
      </c>
      <c r="I15500" s="7">
        <v>230</v>
      </c>
      <c r="J15500" s="7">
        <v>0</v>
      </c>
      <c r="K15500" s="7" t="s">
        <v>18</v>
      </c>
      <c r="L15500" s="8">
        <v>39987.315405092595</v>
      </c>
      <c r="M15500" s="9" t="s">
        <v>19</v>
      </c>
      <c r="N15500" s="9" t="s">
        <v>20</v>
      </c>
      <c r="O15500" s="6" t="str">
        <f>HYPERLINK("https://pbs.twimg.com/profile_images/962471262747529216/Uo8lOkRJ_normal.jpg","View")</f>
        <v>View</v>
      </c>
      <c r="P15500" s="7"/>
    </row>
    <row r="15501" spans="1:16">
      <c r="A15501" s="3">
        <v>44403.384895833333</v>
      </c>
      <c r="B15501" s="4" t="str">
        <f>HYPERLINK("https://twitter.com/petrogustavo","@petrogustavo")</f>
        <v>@petrogustavo</v>
      </c>
      <c r="C15501" s="5" t="s">
        <v>16</v>
      </c>
      <c r="D15501" s="5" t="s">
        <v>14932</v>
      </c>
      <c r="E15501" s="6" t="str">
        <f>HYPERLINK("https://twitter.com/petrogustavo/status/1419503807214538760","1419503807214538760")</f>
        <v>1419503807214538760</v>
      </c>
      <c r="F15501" s="7" t="s">
        <v>17</v>
      </c>
      <c r="G15501" s="7">
        <v>4336356</v>
      </c>
      <c r="H15501" s="7">
        <v>2532</v>
      </c>
      <c r="I15501" s="7">
        <v>81</v>
      </c>
      <c r="J15501" s="7">
        <v>0</v>
      </c>
      <c r="K15501" s="7" t="s">
        <v>18</v>
      </c>
      <c r="L15501" s="8">
        <v>39987.315405092595</v>
      </c>
      <c r="M15501" s="9" t="s">
        <v>19</v>
      </c>
      <c r="N15501" s="9" t="s">
        <v>20</v>
      </c>
      <c r="O15501" s="6" t="str">
        <f>HYPERLINK("https://pbs.twimg.com/profile_images/962471262747529216/Uo8lOkRJ_normal.jpg","View")</f>
        <v>View</v>
      </c>
      <c r="P15501" s="7"/>
    </row>
    <row r="15502" spans="1:16">
      <c r="A15502" s="3">
        <v>44403.385289351849</v>
      </c>
      <c r="B15502" s="4" t="str">
        <f>HYPERLINK("https://twitter.com/petrogustavo","@petrogustavo")</f>
        <v>@petrogustavo</v>
      </c>
      <c r="C15502" s="5" t="s">
        <v>16</v>
      </c>
      <c r="D15502" s="5" t="s">
        <v>14933</v>
      </c>
      <c r="E15502" s="6" t="str">
        <f>HYPERLINK("https://twitter.com/petrogustavo/status/1419503951808974848","1419503951808974848")</f>
        <v>1419503951808974848</v>
      </c>
      <c r="F15502" s="7" t="s">
        <v>17</v>
      </c>
      <c r="G15502" s="7">
        <v>4336356</v>
      </c>
      <c r="H15502" s="7">
        <v>2532</v>
      </c>
      <c r="I15502" s="7">
        <v>1352</v>
      </c>
      <c r="J15502" s="7">
        <v>0</v>
      </c>
      <c r="K15502" s="7" t="s">
        <v>18</v>
      </c>
      <c r="L15502" s="8">
        <v>39987.315405092595</v>
      </c>
      <c r="M15502" s="9" t="s">
        <v>19</v>
      </c>
      <c r="N15502" s="9" t="s">
        <v>20</v>
      </c>
      <c r="O15502" s="6" t="str">
        <f>HYPERLINK("https://pbs.twimg.com/profile_images/962471262747529216/Uo8lOkRJ_normal.jpg","View")</f>
        <v>View</v>
      </c>
      <c r="P15502" s="7"/>
    </row>
    <row r="15503" spans="1:16">
      <c r="A15503" s="3">
        <v>44403.395995370374</v>
      </c>
      <c r="B15503" s="4" t="str">
        <f>HYPERLINK("https://twitter.com/petrogustavo","@petrogustavo")</f>
        <v>@petrogustavo</v>
      </c>
      <c r="C15503" s="5" t="s">
        <v>16</v>
      </c>
      <c r="D15503" s="5" t="s">
        <v>14934</v>
      </c>
      <c r="E15503" s="6" t="str">
        <f>HYPERLINK("https://twitter.com/petrogustavo/status/1419507829807984643","1419507829807984643")</f>
        <v>1419507829807984643</v>
      </c>
      <c r="F15503" s="7" t="s">
        <v>17</v>
      </c>
      <c r="G15503" s="7">
        <v>4336356</v>
      </c>
      <c r="H15503" s="7">
        <v>2532</v>
      </c>
      <c r="I15503" s="7">
        <v>36</v>
      </c>
      <c r="J15503" s="7">
        <v>96</v>
      </c>
      <c r="K15503" s="7" t="s">
        <v>18</v>
      </c>
      <c r="L15503" s="8">
        <v>39987.315405092595</v>
      </c>
      <c r="M15503" s="9" t="s">
        <v>19</v>
      </c>
      <c r="N15503" s="9" t="s">
        <v>20</v>
      </c>
      <c r="O15503" s="6" t="str">
        <f>HYPERLINK("https://pbs.twimg.com/profile_images/962471262747529216/Uo8lOkRJ_normal.jpg","View")</f>
        <v>View</v>
      </c>
      <c r="P15503" s="7"/>
    </row>
    <row r="15504" spans="1:16">
      <c r="A15504" s="3">
        <v>44403.766666666663</v>
      </c>
      <c r="B15504" s="4" t="str">
        <f>HYPERLINK("https://twitter.com/petrogustavo","@petrogustavo")</f>
        <v>@petrogustavo</v>
      </c>
      <c r="C15504" s="5" t="s">
        <v>16</v>
      </c>
      <c r="D15504" s="5" t="s">
        <v>14935</v>
      </c>
      <c r="E15504" s="6" t="str">
        <f>HYPERLINK("https://twitter.com/petrogustavo/status/1419642155279212544","1419642155279212544")</f>
        <v>1419642155279212544</v>
      </c>
      <c r="F15504" s="7" t="s">
        <v>32</v>
      </c>
      <c r="G15504" s="7">
        <v>4336406</v>
      </c>
      <c r="H15504" s="7">
        <v>2532</v>
      </c>
      <c r="I15504" s="7">
        <v>143</v>
      </c>
      <c r="J15504" s="7">
        <v>480</v>
      </c>
      <c r="K15504" s="7" t="s">
        <v>18</v>
      </c>
      <c r="L15504" s="8">
        <v>39987.315405092595</v>
      </c>
      <c r="M15504" s="9" t="s">
        <v>19</v>
      </c>
      <c r="N15504" s="9" t="s">
        <v>20</v>
      </c>
      <c r="O15504" s="6" t="str">
        <f>HYPERLINK("https://pbs.twimg.com/profile_images/962471262747529216/Uo8lOkRJ_normal.jpg","View")</f>
        <v>View</v>
      </c>
      <c r="P15504" s="7"/>
    </row>
    <row r="15505" spans="1:16">
      <c r="A15505" s="3">
        <v>44403.887129629627</v>
      </c>
      <c r="B15505" s="4" t="str">
        <f>HYPERLINK("https://twitter.com/petrogustavo","@petrogustavo")</f>
        <v>@petrogustavo</v>
      </c>
      <c r="C15505" s="5" t="s">
        <v>16</v>
      </c>
      <c r="D15505" s="5" t="s">
        <v>14936</v>
      </c>
      <c r="E15505" s="6" t="str">
        <f>HYPERLINK("https://twitter.com/petrogustavo/status/1419685812623581185","1419685812623581185")</f>
        <v>1419685812623581185</v>
      </c>
      <c r="F15505" s="7" t="s">
        <v>17</v>
      </c>
      <c r="G15505" s="7">
        <v>4336481</v>
      </c>
      <c r="H15505" s="7">
        <v>2532</v>
      </c>
      <c r="I15505" s="7">
        <v>280</v>
      </c>
      <c r="J15505" s="7">
        <v>767</v>
      </c>
      <c r="K15505" s="7" t="s">
        <v>18</v>
      </c>
      <c r="L15505" s="8">
        <v>39987.315405092595</v>
      </c>
      <c r="M15505" s="9" t="s">
        <v>19</v>
      </c>
      <c r="N15505" s="9" t="s">
        <v>20</v>
      </c>
      <c r="O15505" s="6" t="str">
        <f>HYPERLINK("https://pbs.twimg.com/profile_images/962471262747529216/Uo8lOkRJ_normal.jpg","View")</f>
        <v>View</v>
      </c>
      <c r="P15505" s="7"/>
    </row>
    <row r="15506" spans="1:16">
      <c r="A15506" s="3">
        <v>44403.984039351853</v>
      </c>
      <c r="B15506" s="4" t="str">
        <f>HYPERLINK("https://twitter.com/petrogustavo","@petrogustavo")</f>
        <v>@petrogustavo</v>
      </c>
      <c r="C15506" s="5" t="s">
        <v>16</v>
      </c>
      <c r="D15506" s="5" t="s">
        <v>14937</v>
      </c>
      <c r="E15506" s="6" t="str">
        <f>HYPERLINK("https://twitter.com/petrogustavo/status/1419720928502632457","1419720928502632457")</f>
        <v>1419720928502632457</v>
      </c>
      <c r="F15506" s="7" t="s">
        <v>32</v>
      </c>
      <c r="G15506" s="7">
        <v>4336541</v>
      </c>
      <c r="H15506" s="7">
        <v>2532</v>
      </c>
      <c r="I15506" s="7">
        <v>1372</v>
      </c>
      <c r="J15506" s="7">
        <v>0</v>
      </c>
      <c r="K15506" s="7" t="s">
        <v>18</v>
      </c>
      <c r="L15506" s="8">
        <v>39987.315405092595</v>
      </c>
      <c r="M15506" s="9" t="s">
        <v>19</v>
      </c>
      <c r="N15506" s="9" t="s">
        <v>20</v>
      </c>
      <c r="O15506" s="6" t="str">
        <f>HYPERLINK("https://pbs.twimg.com/profile_images/962471262747529216/Uo8lOkRJ_normal.jpg","View")</f>
        <v>View</v>
      </c>
      <c r="P15506" s="7"/>
    </row>
    <row r="15507" spans="1:16">
      <c r="A15507" s="3">
        <v>44404.256354166668</v>
      </c>
      <c r="B15507" s="4" t="str">
        <f>HYPERLINK("https://twitter.com/petrogustavo","@petrogustavo")</f>
        <v>@petrogustavo</v>
      </c>
      <c r="C15507" s="5" t="s">
        <v>16</v>
      </c>
      <c r="D15507" s="5" t="s">
        <v>14937</v>
      </c>
      <c r="E15507" s="6" t="str">
        <f>HYPERLINK("https://twitter.com/petrogustavo/status/1419819612418580482","1419819612418580482")</f>
        <v>1419819612418580482</v>
      </c>
      <c r="F15507" s="7" t="s">
        <v>17</v>
      </c>
      <c r="G15507" s="7">
        <v>4336681</v>
      </c>
      <c r="H15507" s="7">
        <v>2532</v>
      </c>
      <c r="I15507" s="7">
        <v>2445</v>
      </c>
      <c r="J15507" s="7">
        <v>0</v>
      </c>
      <c r="K15507" s="7" t="s">
        <v>18</v>
      </c>
      <c r="L15507" s="8">
        <v>39987.315405092595</v>
      </c>
      <c r="M15507" s="9" t="s">
        <v>19</v>
      </c>
      <c r="N15507" s="9" t="s">
        <v>20</v>
      </c>
      <c r="O15507" s="6" t="str">
        <f>HYPERLINK("https://pbs.twimg.com/profile_images/962471262747529216/Uo8lOkRJ_normal.jpg","View")</f>
        <v>View</v>
      </c>
      <c r="P15507" s="7"/>
    </row>
    <row r="15508" spans="1:16">
      <c r="A15508" s="3">
        <v>44404.723587962959</v>
      </c>
      <c r="B15508" s="4" t="str">
        <f>HYPERLINK("https://twitter.com/petrogustavo","@petrogustavo")</f>
        <v>@petrogustavo</v>
      </c>
      <c r="C15508" s="5" t="s">
        <v>16</v>
      </c>
      <c r="D15508" s="5" t="s">
        <v>14938</v>
      </c>
      <c r="E15508" s="6" t="str">
        <f>HYPERLINK("https://twitter.com/petrogustavo/status/1419988934478733315","1419988934478733315")</f>
        <v>1419988934478733315</v>
      </c>
      <c r="F15508" s="7" t="s">
        <v>17</v>
      </c>
      <c r="G15508" s="7">
        <v>4336705</v>
      </c>
      <c r="H15508" s="7">
        <v>2532</v>
      </c>
      <c r="I15508" s="7">
        <v>113</v>
      </c>
      <c r="J15508" s="7">
        <v>463</v>
      </c>
      <c r="K15508" s="7" t="s">
        <v>18</v>
      </c>
      <c r="L15508" s="8">
        <v>39987.315405092595</v>
      </c>
      <c r="M15508" s="9" t="s">
        <v>19</v>
      </c>
      <c r="N15508" s="9" t="s">
        <v>20</v>
      </c>
      <c r="O15508" s="6" t="str">
        <f>HYPERLINK("https://pbs.twimg.com/profile_images/962471262747529216/Uo8lOkRJ_normal.jpg","View")</f>
        <v>View</v>
      </c>
      <c r="P15508" s="7"/>
    </row>
    <row r="15509" spans="1:16">
      <c r="A15509" s="3">
        <v>44404.729976851857</v>
      </c>
      <c r="B15509" s="4" t="str">
        <f>HYPERLINK("https://twitter.com/petrogustavo","@petrogustavo")</f>
        <v>@petrogustavo</v>
      </c>
      <c r="C15509" s="5" t="s">
        <v>16</v>
      </c>
      <c r="D15509" s="5" t="s">
        <v>14939</v>
      </c>
      <c r="E15509" s="6" t="str">
        <f>HYPERLINK("https://twitter.com/petrogustavo/status/1419991248954347527","1419991248954347527")</f>
        <v>1419991248954347527</v>
      </c>
      <c r="F15509" s="7" t="s">
        <v>17</v>
      </c>
      <c r="G15509" s="7">
        <v>4336705</v>
      </c>
      <c r="H15509" s="7">
        <v>2532</v>
      </c>
      <c r="I15509" s="7">
        <v>74</v>
      </c>
      <c r="J15509" s="7">
        <v>0</v>
      </c>
      <c r="K15509" s="7" t="s">
        <v>18</v>
      </c>
      <c r="L15509" s="8">
        <v>39987.315405092595</v>
      </c>
      <c r="M15509" s="9" t="s">
        <v>19</v>
      </c>
      <c r="N15509" s="9" t="s">
        <v>20</v>
      </c>
      <c r="O15509" s="6" t="str">
        <f>HYPERLINK("https://pbs.twimg.com/profile_images/962471262747529216/Uo8lOkRJ_normal.jpg","View")</f>
        <v>View</v>
      </c>
      <c r="P15509" s="7"/>
    </row>
    <row r="15510" spans="1:16">
      <c r="A15510" s="3">
        <v>44404.737696759257</v>
      </c>
      <c r="B15510" s="4" t="str">
        <f>HYPERLINK("https://twitter.com/petrogustavo","@petrogustavo")</f>
        <v>@petrogustavo</v>
      </c>
      <c r="C15510" s="5" t="s">
        <v>16</v>
      </c>
      <c r="D15510" s="5" t="s">
        <v>14940</v>
      </c>
      <c r="E15510" s="6" t="str">
        <f>HYPERLINK("https://twitter.com/petrogustavo/status/1419994048035762179","1419994048035762179")</f>
        <v>1419994048035762179</v>
      </c>
      <c r="F15510" s="7" t="s">
        <v>17</v>
      </c>
      <c r="G15510" s="7">
        <v>4336705</v>
      </c>
      <c r="H15510" s="7">
        <v>2532</v>
      </c>
      <c r="I15510" s="7">
        <v>52</v>
      </c>
      <c r="J15510" s="7">
        <v>95</v>
      </c>
      <c r="K15510" s="7" t="s">
        <v>18</v>
      </c>
      <c r="L15510" s="8">
        <v>39987.315405092595</v>
      </c>
      <c r="M15510" s="9" t="s">
        <v>19</v>
      </c>
      <c r="N15510" s="9" t="s">
        <v>20</v>
      </c>
      <c r="O15510" s="6" t="str">
        <f>HYPERLINK("https://pbs.twimg.com/profile_images/962471262747529216/Uo8lOkRJ_normal.jpg","View")</f>
        <v>View</v>
      </c>
      <c r="P15510" s="7"/>
    </row>
    <row r="15511" spans="1:16">
      <c r="A15511" s="3">
        <v>44404.786828703705</v>
      </c>
      <c r="B15511" s="4" t="str">
        <f>HYPERLINK("https://twitter.com/petrogustavo","@petrogustavo")</f>
        <v>@petrogustavo</v>
      </c>
      <c r="C15511" s="5" t="s">
        <v>16</v>
      </c>
      <c r="D15511" s="5" t="s">
        <v>14941</v>
      </c>
      <c r="E15511" s="6" t="str">
        <f>HYPERLINK("https://twitter.com/petrogustavo/status/1420011851270791177","1420011851270791177")</f>
        <v>1420011851270791177</v>
      </c>
      <c r="F15511" s="7" t="s">
        <v>17</v>
      </c>
      <c r="G15511" s="7">
        <v>4336740</v>
      </c>
      <c r="H15511" s="7">
        <v>2532</v>
      </c>
      <c r="I15511" s="7">
        <v>349</v>
      </c>
      <c r="J15511" s="7">
        <v>0</v>
      </c>
      <c r="K15511" s="7" t="s">
        <v>18</v>
      </c>
      <c r="L15511" s="8">
        <v>39987.315405092595</v>
      </c>
      <c r="M15511" s="9" t="s">
        <v>19</v>
      </c>
      <c r="N15511" s="9" t="s">
        <v>20</v>
      </c>
      <c r="O15511" s="6" t="str">
        <f>HYPERLINK("https://pbs.twimg.com/profile_images/962471262747529216/Uo8lOkRJ_normal.jpg","View")</f>
        <v>View</v>
      </c>
      <c r="P15511" s="7"/>
    </row>
    <row r="15512" spans="1:16">
      <c r="A15512" s="3">
        <v>44404.794212962966</v>
      </c>
      <c r="B15512" s="4" t="str">
        <f>HYPERLINK("https://twitter.com/petrogustavo","@petrogustavo")</f>
        <v>@petrogustavo</v>
      </c>
      <c r="C15512" s="5" t="s">
        <v>16</v>
      </c>
      <c r="D15512" s="5" t="s">
        <v>14942</v>
      </c>
      <c r="E15512" s="6" t="str">
        <f>HYPERLINK("https://twitter.com/petrogustavo/status/1420014526590824449","1420014526590824449")</f>
        <v>1420014526590824449</v>
      </c>
      <c r="F15512" s="7" t="s">
        <v>17</v>
      </c>
      <c r="G15512" s="7">
        <v>4336740</v>
      </c>
      <c r="H15512" s="7">
        <v>2532</v>
      </c>
      <c r="I15512" s="7">
        <v>146</v>
      </c>
      <c r="J15512" s="7">
        <v>246</v>
      </c>
      <c r="K15512" s="7" t="s">
        <v>18</v>
      </c>
      <c r="L15512" s="8">
        <v>39987.315405092595</v>
      </c>
      <c r="M15512" s="9" t="s">
        <v>19</v>
      </c>
      <c r="N15512" s="9" t="s">
        <v>20</v>
      </c>
      <c r="O15512" s="6" t="str">
        <f>HYPERLINK("https://pbs.twimg.com/profile_images/962471262747529216/Uo8lOkRJ_normal.jpg","View")</f>
        <v>View</v>
      </c>
      <c r="P15512" s="7"/>
    </row>
    <row r="15513" spans="1:16">
      <c r="A15513" s="3">
        <v>44404.815081018518</v>
      </c>
      <c r="B15513" s="4" t="str">
        <f>HYPERLINK("https://twitter.com/petrogustavo","@petrogustavo")</f>
        <v>@petrogustavo</v>
      </c>
      <c r="C15513" s="5" t="s">
        <v>16</v>
      </c>
      <c r="D15513" s="5" t="s">
        <v>14943</v>
      </c>
      <c r="E15513" s="6" t="str">
        <f>HYPERLINK("https://twitter.com/petrogustavo/status/1420022088937713674","1420022088937713674")</f>
        <v>1420022088937713674</v>
      </c>
      <c r="F15513" s="7" t="s">
        <v>17</v>
      </c>
      <c r="G15513" s="7">
        <v>4336736</v>
      </c>
      <c r="H15513" s="7">
        <v>2532</v>
      </c>
      <c r="I15513" s="7">
        <v>127</v>
      </c>
      <c r="J15513" s="7">
        <v>260</v>
      </c>
      <c r="K15513" s="7" t="s">
        <v>18</v>
      </c>
      <c r="L15513" s="8">
        <v>39987.315405092595</v>
      </c>
      <c r="M15513" s="9" t="s">
        <v>19</v>
      </c>
      <c r="N15513" s="9" t="s">
        <v>20</v>
      </c>
      <c r="O15513" s="6" t="str">
        <f>HYPERLINK("https://pbs.twimg.com/profile_images/962471262747529216/Uo8lOkRJ_normal.jpg","View")</f>
        <v>View</v>
      </c>
      <c r="P15513" s="7"/>
    </row>
    <row r="15514" spans="1:16">
      <c r="A15514" s="3">
        <v>44404.858298611114</v>
      </c>
      <c r="B15514" s="4" t="str">
        <f>HYPERLINK("https://twitter.com/petrogustavo","@petrogustavo")</f>
        <v>@petrogustavo</v>
      </c>
      <c r="C15514" s="5" t="s">
        <v>16</v>
      </c>
      <c r="D15514" s="5" t="s">
        <v>14944</v>
      </c>
      <c r="E15514" s="6" t="str">
        <f>HYPERLINK("https://twitter.com/petrogustavo/status/1420037749747425288","1420037749747425288")</f>
        <v>1420037749747425288</v>
      </c>
      <c r="F15514" s="7" t="s">
        <v>17</v>
      </c>
      <c r="G15514" s="7">
        <v>4336763</v>
      </c>
      <c r="H15514" s="7">
        <v>2533</v>
      </c>
      <c r="I15514" s="7">
        <v>87</v>
      </c>
      <c r="J15514" s="7">
        <v>0</v>
      </c>
      <c r="K15514" s="7" t="s">
        <v>18</v>
      </c>
      <c r="L15514" s="8">
        <v>39987.315405092595</v>
      </c>
      <c r="M15514" s="9" t="s">
        <v>19</v>
      </c>
      <c r="N15514" s="9" t="s">
        <v>20</v>
      </c>
      <c r="O15514" s="6" t="str">
        <f>HYPERLINK("https://pbs.twimg.com/profile_images/962471262747529216/Uo8lOkRJ_normal.jpg","View")</f>
        <v>View</v>
      </c>
      <c r="P15514" s="7"/>
    </row>
    <row r="15515" spans="1:16">
      <c r="A15515" s="3">
        <v>44404.862847222219</v>
      </c>
      <c r="B15515" s="4" t="str">
        <f>HYPERLINK("https://twitter.com/petrogustavo","@petrogustavo")</f>
        <v>@petrogustavo</v>
      </c>
      <c r="C15515" s="5" t="s">
        <v>16</v>
      </c>
      <c r="D15515" s="5" t="s">
        <v>14945</v>
      </c>
      <c r="E15515" s="6" t="str">
        <f>HYPERLINK("https://twitter.com/petrogustavo/status/1420039400986222593","1420039400986222593")</f>
        <v>1420039400986222593</v>
      </c>
      <c r="F15515" s="7" t="s">
        <v>17</v>
      </c>
      <c r="G15515" s="7">
        <v>4336763</v>
      </c>
      <c r="H15515" s="7">
        <v>2533</v>
      </c>
      <c r="I15515" s="7">
        <v>45</v>
      </c>
      <c r="J15515" s="7">
        <v>134</v>
      </c>
      <c r="K15515" s="7" t="s">
        <v>18</v>
      </c>
      <c r="L15515" s="8">
        <v>39987.315405092595</v>
      </c>
      <c r="M15515" s="9" t="s">
        <v>19</v>
      </c>
      <c r="N15515" s="9" t="s">
        <v>20</v>
      </c>
      <c r="O15515" s="6" t="str">
        <f>HYPERLINK("https://pbs.twimg.com/profile_images/962471262747529216/Uo8lOkRJ_normal.jpg","View")</f>
        <v>View</v>
      </c>
      <c r="P15515" s="7"/>
    </row>
    <row r="15516" spans="1:16">
      <c r="A15516" s="3">
        <v>44404.898784722223</v>
      </c>
      <c r="B15516" s="4" t="str">
        <f>HYPERLINK("https://twitter.com/petrogustavo","@petrogustavo")</f>
        <v>@petrogustavo</v>
      </c>
      <c r="C15516" s="5" t="s">
        <v>16</v>
      </c>
      <c r="D15516" s="5" t="s">
        <v>14946</v>
      </c>
      <c r="E15516" s="6" t="str">
        <f>HYPERLINK("https://twitter.com/petrogustavo/status/1420052422043607055","1420052422043607055")</f>
        <v>1420052422043607055</v>
      </c>
      <c r="F15516" s="7" t="s">
        <v>17</v>
      </c>
      <c r="G15516" s="7">
        <v>4336778</v>
      </c>
      <c r="H15516" s="7">
        <v>2532</v>
      </c>
      <c r="I15516" s="7">
        <v>132</v>
      </c>
      <c r="J15516" s="7">
        <v>0</v>
      </c>
      <c r="K15516" s="7" t="s">
        <v>18</v>
      </c>
      <c r="L15516" s="8">
        <v>39987.315405092595</v>
      </c>
      <c r="M15516" s="9" t="s">
        <v>19</v>
      </c>
      <c r="N15516" s="9" t="s">
        <v>20</v>
      </c>
      <c r="O15516" s="6" t="str">
        <f>HYPERLINK("https://pbs.twimg.com/profile_images/962471262747529216/Uo8lOkRJ_normal.jpg","View")</f>
        <v>View</v>
      </c>
      <c r="P15516" s="7"/>
    </row>
    <row r="15517" spans="1:16">
      <c r="A15517" s="3">
        <v>44404.90351851852</v>
      </c>
      <c r="B15517" s="4" t="str">
        <f>HYPERLINK("https://twitter.com/petrogustavo","@petrogustavo")</f>
        <v>@petrogustavo</v>
      </c>
      <c r="C15517" s="5" t="s">
        <v>16</v>
      </c>
      <c r="D15517" s="5" t="s">
        <v>14947</v>
      </c>
      <c r="E15517" s="6" t="str">
        <f>HYPERLINK("https://twitter.com/petrogustavo/status/1420054136192647168","1420054136192647168")</f>
        <v>1420054136192647168</v>
      </c>
      <c r="F15517" s="7" t="s">
        <v>17</v>
      </c>
      <c r="G15517" s="7">
        <v>4336778</v>
      </c>
      <c r="H15517" s="7">
        <v>2532</v>
      </c>
      <c r="I15517" s="7">
        <v>87</v>
      </c>
      <c r="J15517" s="7">
        <v>416</v>
      </c>
      <c r="K15517" s="7" t="s">
        <v>18</v>
      </c>
      <c r="L15517" s="8">
        <v>39987.315405092595</v>
      </c>
      <c r="M15517" s="9" t="s">
        <v>19</v>
      </c>
      <c r="N15517" s="9" t="s">
        <v>20</v>
      </c>
      <c r="O15517" s="6" t="str">
        <f>HYPERLINK("https://pbs.twimg.com/profile_images/962471262747529216/Uo8lOkRJ_normal.jpg","View")</f>
        <v>View</v>
      </c>
      <c r="P15517" s="7"/>
    </row>
    <row r="15518" spans="1:16">
      <c r="A15518" s="3">
        <v>44404.936122685191</v>
      </c>
      <c r="B15518" s="4" t="str">
        <f>HYPERLINK("https://twitter.com/petrogustavo","@petrogustavo")</f>
        <v>@petrogustavo</v>
      </c>
      <c r="C15518" s="5" t="s">
        <v>16</v>
      </c>
      <c r="D15518" s="5" t="s">
        <v>14948</v>
      </c>
      <c r="E15518" s="6" t="str">
        <f>HYPERLINK("https://twitter.com/petrogustavo/status/1420065955015798785","1420065955015798785")</f>
        <v>1420065955015798785</v>
      </c>
      <c r="F15518" s="7" t="s">
        <v>32</v>
      </c>
      <c r="G15518" s="7">
        <v>4336818</v>
      </c>
      <c r="H15518" s="7">
        <v>2532</v>
      </c>
      <c r="I15518" s="7">
        <v>96</v>
      </c>
      <c r="J15518" s="7">
        <v>0</v>
      </c>
      <c r="K15518" s="7" t="s">
        <v>18</v>
      </c>
      <c r="L15518" s="8">
        <v>39987.315405092595</v>
      </c>
      <c r="M15518" s="9" t="s">
        <v>19</v>
      </c>
      <c r="N15518" s="9" t="s">
        <v>20</v>
      </c>
      <c r="O15518" s="6" t="str">
        <f>HYPERLINK("https://pbs.twimg.com/profile_images/962471262747529216/Uo8lOkRJ_normal.jpg","View")</f>
        <v>View</v>
      </c>
      <c r="P15518" s="7"/>
    </row>
    <row r="15519" spans="1:16">
      <c r="A15519" s="3">
        <v>44404.945821759262</v>
      </c>
      <c r="B15519" s="4" t="str">
        <f>HYPERLINK("https://twitter.com/petrogustavo","@petrogustavo")</f>
        <v>@petrogustavo</v>
      </c>
      <c r="C15519" s="5" t="s">
        <v>16</v>
      </c>
      <c r="D15519" s="5" t="s">
        <v>14949</v>
      </c>
      <c r="E15519" s="6" t="str">
        <f>HYPERLINK("https://twitter.com/petrogustavo/status/1420069466558373896","1420069466558373896")</f>
        <v>1420069466558373896</v>
      </c>
      <c r="F15519" s="7" t="s">
        <v>32</v>
      </c>
      <c r="G15519" s="7">
        <v>4336818</v>
      </c>
      <c r="H15519" s="7">
        <v>2532</v>
      </c>
      <c r="I15519" s="7">
        <v>50</v>
      </c>
      <c r="J15519" s="7">
        <v>155</v>
      </c>
      <c r="K15519" s="7" t="s">
        <v>18</v>
      </c>
      <c r="L15519" s="8">
        <v>39987.315405092595</v>
      </c>
      <c r="M15519" s="9" t="s">
        <v>19</v>
      </c>
      <c r="N15519" s="9" t="s">
        <v>20</v>
      </c>
      <c r="O15519" s="6" t="str">
        <f>HYPERLINK("https://pbs.twimg.com/profile_images/962471262747529216/Uo8lOkRJ_normal.jpg","View")</f>
        <v>View</v>
      </c>
      <c r="P15519" s="7"/>
    </row>
    <row r="15520" spans="1:16">
      <c r="A15520" s="3">
        <v>44404.962337962963</v>
      </c>
      <c r="B15520" s="4" t="str">
        <f>HYPERLINK("https://twitter.com/petrogustavo","@petrogustavo")</f>
        <v>@petrogustavo</v>
      </c>
      <c r="C15520" s="5" t="s">
        <v>16</v>
      </c>
      <c r="D15520" s="5" t="s">
        <v>14950</v>
      </c>
      <c r="E15520" s="6" t="str">
        <f>HYPERLINK("https://twitter.com/petrogustavo/status/1420075454199959554","1420075454199959554")</f>
        <v>1420075454199959554</v>
      </c>
      <c r="F15520" s="7" t="s">
        <v>32</v>
      </c>
      <c r="G15520" s="7">
        <v>4336811</v>
      </c>
      <c r="H15520" s="7">
        <v>2531</v>
      </c>
      <c r="I15520" s="7">
        <v>136</v>
      </c>
      <c r="J15520" s="7">
        <v>0</v>
      </c>
      <c r="K15520" s="7" t="s">
        <v>18</v>
      </c>
      <c r="L15520" s="8">
        <v>39987.315405092595</v>
      </c>
      <c r="M15520" s="9" t="s">
        <v>19</v>
      </c>
      <c r="N15520" s="9" t="s">
        <v>20</v>
      </c>
      <c r="O15520" s="6" t="str">
        <f>HYPERLINK("https://pbs.twimg.com/profile_images/962471262747529216/Uo8lOkRJ_normal.jpg","View")</f>
        <v>View</v>
      </c>
      <c r="P15520" s="7"/>
    </row>
    <row r="15521" spans="1:16">
      <c r="A15521" s="3">
        <v>44405.028078703705</v>
      </c>
      <c r="B15521" s="4" t="str">
        <f>HYPERLINK("https://twitter.com/petrogustavo","@petrogustavo")</f>
        <v>@petrogustavo</v>
      </c>
      <c r="C15521" s="5" t="s">
        <v>16</v>
      </c>
      <c r="D15521" s="5" t="s">
        <v>14951</v>
      </c>
      <c r="E15521" s="6" t="str">
        <f>HYPERLINK("https://twitter.com/petrogustavo/status/1420099278769373186","1420099278769373186")</f>
        <v>1420099278769373186</v>
      </c>
      <c r="F15521" s="7" t="s">
        <v>17</v>
      </c>
      <c r="G15521" s="7">
        <v>4336876</v>
      </c>
      <c r="H15521" s="7">
        <v>2531</v>
      </c>
      <c r="I15521" s="7">
        <v>855</v>
      </c>
      <c r="J15521" s="7">
        <v>0</v>
      </c>
      <c r="K15521" s="7" t="s">
        <v>18</v>
      </c>
      <c r="L15521" s="8">
        <v>39987.315405092595</v>
      </c>
      <c r="M15521" s="9" t="s">
        <v>19</v>
      </c>
      <c r="N15521" s="9" t="s">
        <v>20</v>
      </c>
      <c r="O15521" s="6" t="str">
        <f>HYPERLINK("https://pbs.twimg.com/profile_images/962471262747529216/Uo8lOkRJ_normal.jpg","View")</f>
        <v>View</v>
      </c>
      <c r="P15521" s="7"/>
    </row>
    <row r="15522" spans="1:16">
      <c r="A15522" s="3">
        <v>44405.054155092592</v>
      </c>
      <c r="B15522" s="4" t="str">
        <f>HYPERLINK("https://twitter.com/petrogustavo","@petrogustavo")</f>
        <v>@petrogustavo</v>
      </c>
      <c r="C15522" s="5" t="s">
        <v>16</v>
      </c>
      <c r="D15522" s="5" t="s">
        <v>14952</v>
      </c>
      <c r="E15522" s="6" t="str">
        <f>HYPERLINK("https://twitter.com/petrogustavo/status/1420108725575196679","1420108725575196679")</f>
        <v>1420108725575196679</v>
      </c>
      <c r="F15522" s="7" t="s">
        <v>32</v>
      </c>
      <c r="G15522" s="7">
        <v>4336881</v>
      </c>
      <c r="H15522" s="7">
        <v>2531</v>
      </c>
      <c r="I15522" s="7">
        <v>16</v>
      </c>
      <c r="J15522" s="7">
        <v>0</v>
      </c>
      <c r="K15522" s="7" t="s">
        <v>18</v>
      </c>
      <c r="L15522" s="8">
        <v>39987.315405092595</v>
      </c>
      <c r="M15522" s="9" t="s">
        <v>19</v>
      </c>
      <c r="N15522" s="9" t="s">
        <v>20</v>
      </c>
      <c r="O15522" s="6" t="str">
        <f>HYPERLINK("https://pbs.twimg.com/profile_images/962471262747529216/Uo8lOkRJ_normal.jpg","View")</f>
        <v>View</v>
      </c>
      <c r="P15522" s="7"/>
    </row>
    <row r="15523" spans="1:16">
      <c r="A15523" s="3">
        <v>44405.146956018521</v>
      </c>
      <c r="B15523" s="4" t="str">
        <f>HYPERLINK("https://twitter.com/petrogustavo","@petrogustavo")</f>
        <v>@petrogustavo</v>
      </c>
      <c r="C15523" s="5" t="s">
        <v>16</v>
      </c>
      <c r="D15523" s="5" t="s">
        <v>14953</v>
      </c>
      <c r="E15523" s="6" t="str">
        <f>HYPERLINK("https://twitter.com/petrogustavo/status/1420142358453264389","1420142358453264389")</f>
        <v>1420142358453264389</v>
      </c>
      <c r="F15523" s="7" t="s">
        <v>17</v>
      </c>
      <c r="G15523" s="7">
        <v>4336974</v>
      </c>
      <c r="H15523" s="7">
        <v>2531</v>
      </c>
      <c r="I15523" s="7">
        <v>381</v>
      </c>
      <c r="J15523" s="7">
        <v>950</v>
      </c>
      <c r="K15523" s="7" t="s">
        <v>18</v>
      </c>
      <c r="L15523" s="8">
        <v>39987.315405092595</v>
      </c>
      <c r="M15523" s="9" t="s">
        <v>19</v>
      </c>
      <c r="N15523" s="9" t="s">
        <v>20</v>
      </c>
      <c r="O15523" s="6" t="str">
        <f>HYPERLINK("https://pbs.twimg.com/profile_images/962471262747529216/Uo8lOkRJ_normal.jpg","View")</f>
        <v>View</v>
      </c>
      <c r="P15523" s="7"/>
    </row>
    <row r="15524" spans="1:16">
      <c r="A15524" s="3">
        <v>44405.171076388884</v>
      </c>
      <c r="B15524" s="4" t="str">
        <f>HYPERLINK("https://twitter.com/petrogustavo","@petrogustavo")</f>
        <v>@petrogustavo</v>
      </c>
      <c r="C15524" s="5" t="s">
        <v>16</v>
      </c>
      <c r="D15524" s="5" t="s">
        <v>14951</v>
      </c>
      <c r="E15524" s="6" t="str">
        <f>HYPERLINK("https://twitter.com/petrogustavo/status/1420151095696011266","1420151095696011266")</f>
        <v>1420151095696011266</v>
      </c>
      <c r="F15524" s="7" t="s">
        <v>32</v>
      </c>
      <c r="G15524" s="7">
        <v>4336998</v>
      </c>
      <c r="H15524" s="7">
        <v>2531</v>
      </c>
      <c r="I15524" s="7">
        <v>1233</v>
      </c>
      <c r="J15524" s="7">
        <v>0</v>
      </c>
      <c r="K15524" s="7" t="s">
        <v>18</v>
      </c>
      <c r="L15524" s="8">
        <v>39987.315405092595</v>
      </c>
      <c r="M15524" s="9" t="s">
        <v>19</v>
      </c>
      <c r="N15524" s="9" t="s">
        <v>20</v>
      </c>
      <c r="O15524" s="6" t="str">
        <f>HYPERLINK("https://pbs.twimg.com/profile_images/962471262747529216/Uo8lOkRJ_normal.jpg","View")</f>
        <v>View</v>
      </c>
      <c r="P15524" s="7"/>
    </row>
    <row r="15525" spans="1:16">
      <c r="A15525" s="3">
        <v>44405.801030092596</v>
      </c>
      <c r="B15525" s="4" t="str">
        <f>HYPERLINK("https://twitter.com/petrogustavo","@petrogustavo")</f>
        <v>@petrogustavo</v>
      </c>
      <c r="C15525" s="5" t="s">
        <v>16</v>
      </c>
      <c r="D15525" s="5" t="s">
        <v>14954</v>
      </c>
      <c r="E15525" s="6" t="str">
        <f>HYPERLINK("https://twitter.com/petrogustavo/status/1420379385660678144","1420379385660678144")</f>
        <v>1420379385660678144</v>
      </c>
      <c r="F15525" s="7" t="s">
        <v>32</v>
      </c>
      <c r="G15525" s="7">
        <v>4337286</v>
      </c>
      <c r="H15525" s="7">
        <v>2531</v>
      </c>
      <c r="I15525" s="7">
        <v>69</v>
      </c>
      <c r="J15525" s="7">
        <v>216</v>
      </c>
      <c r="K15525" s="7" t="s">
        <v>18</v>
      </c>
      <c r="L15525" s="8">
        <v>39987.315405092595</v>
      </c>
      <c r="M15525" s="9" t="s">
        <v>19</v>
      </c>
      <c r="N15525" s="9" t="s">
        <v>20</v>
      </c>
      <c r="O15525" s="6" t="str">
        <f>HYPERLINK("https://pbs.twimg.com/profile_images/962471262747529216/Uo8lOkRJ_normal.jpg","View")</f>
        <v>View</v>
      </c>
      <c r="P15525" s="7"/>
    </row>
    <row r="15526" spans="1:16">
      <c r="A15526" s="3">
        <v>44405.852800925924</v>
      </c>
      <c r="B15526" s="4" t="str">
        <f>HYPERLINK("https://twitter.com/petrogustavo","@petrogustavo")</f>
        <v>@petrogustavo</v>
      </c>
      <c r="C15526" s="5" t="s">
        <v>16</v>
      </c>
      <c r="D15526" s="5" t="s">
        <v>14955</v>
      </c>
      <c r="E15526" s="6" t="str">
        <f>HYPERLINK("https://twitter.com/petrogustavo/status/1420398146887331851","1420398146887331851")</f>
        <v>1420398146887331851</v>
      </c>
      <c r="F15526" s="7" t="s">
        <v>32</v>
      </c>
      <c r="G15526" s="7">
        <v>4336532</v>
      </c>
      <c r="H15526" s="7">
        <v>2532</v>
      </c>
      <c r="I15526" s="7">
        <v>265</v>
      </c>
      <c r="J15526" s="7">
        <v>0</v>
      </c>
      <c r="K15526" s="7" t="s">
        <v>18</v>
      </c>
      <c r="L15526" s="8">
        <v>39987.315405092595</v>
      </c>
      <c r="M15526" s="9" t="s">
        <v>19</v>
      </c>
      <c r="N15526" s="9" t="s">
        <v>20</v>
      </c>
      <c r="O15526" s="6" t="str">
        <f>HYPERLINK("https://pbs.twimg.com/profile_images/962471262747529216/Uo8lOkRJ_normal.jpg","View")</f>
        <v>View</v>
      </c>
      <c r="P15526" s="7"/>
    </row>
    <row r="15527" spans="1:16">
      <c r="A15527" s="3">
        <v>44405.875960648147</v>
      </c>
      <c r="B15527" s="4" t="str">
        <f>HYPERLINK("https://twitter.com/petrogustavo","@petrogustavo")</f>
        <v>@petrogustavo</v>
      </c>
      <c r="C15527" s="5" t="s">
        <v>16</v>
      </c>
      <c r="D15527" s="5" t="s">
        <v>14956</v>
      </c>
      <c r="E15527" s="6" t="str">
        <f>HYPERLINK("https://twitter.com/petrogustavo/status/1420406538636775426","1420406538636775426")</f>
        <v>1420406538636775426</v>
      </c>
      <c r="F15527" s="7" t="s">
        <v>32</v>
      </c>
      <c r="G15527" s="7">
        <v>4337280</v>
      </c>
      <c r="H15527" s="7">
        <v>2531</v>
      </c>
      <c r="I15527" s="7">
        <v>452</v>
      </c>
      <c r="J15527" s="7">
        <v>1424</v>
      </c>
      <c r="K15527" s="7" t="s">
        <v>18</v>
      </c>
      <c r="L15527" s="8">
        <v>39987.315405092595</v>
      </c>
      <c r="M15527" s="9" t="s">
        <v>19</v>
      </c>
      <c r="N15527" s="9" t="s">
        <v>20</v>
      </c>
      <c r="O15527" s="6" t="str">
        <f>HYPERLINK("https://pbs.twimg.com/profile_images/962471262747529216/Uo8lOkRJ_normal.jpg","View")</f>
        <v>View</v>
      </c>
      <c r="P15527" s="7"/>
    </row>
    <row r="15528" spans="1:16">
      <c r="A15528" s="3">
        <v>44405.888888888891</v>
      </c>
      <c r="B15528" s="4" t="str">
        <f>HYPERLINK("https://twitter.com/petrogustavo","@petrogustavo")</f>
        <v>@petrogustavo</v>
      </c>
      <c r="C15528" s="5" t="s">
        <v>16</v>
      </c>
      <c r="D15528" s="5" t="s">
        <v>14957</v>
      </c>
      <c r="E15528" s="6" t="str">
        <f>HYPERLINK("https://twitter.com/petrogustavo/status/1420411223078838277","1420411223078838277")</f>
        <v>1420411223078838277</v>
      </c>
      <c r="F15528" s="7" t="s">
        <v>32</v>
      </c>
      <c r="G15528" s="7">
        <v>4337310</v>
      </c>
      <c r="H15528" s="7">
        <v>2531</v>
      </c>
      <c r="I15528" s="7">
        <v>154</v>
      </c>
      <c r="J15528" s="7">
        <v>410</v>
      </c>
      <c r="K15528" s="7" t="s">
        <v>18</v>
      </c>
      <c r="L15528" s="8">
        <v>39987.315405092595</v>
      </c>
      <c r="M15528" s="9" t="s">
        <v>19</v>
      </c>
      <c r="N15528" s="9" t="s">
        <v>20</v>
      </c>
      <c r="O15528" s="6" t="str">
        <f>HYPERLINK("https://pbs.twimg.com/profile_images/962471262747529216/Uo8lOkRJ_normal.jpg","View")</f>
        <v>View</v>
      </c>
      <c r="P15528" s="7"/>
    </row>
    <row r="15529" spans="1:16">
      <c r="A15529" s="3">
        <v>44405.888888888891</v>
      </c>
      <c r="B15529" s="4" t="str">
        <f>HYPERLINK("https://twitter.com/petrogustavo","@petrogustavo")</f>
        <v>@petrogustavo</v>
      </c>
      <c r="C15529" s="5" t="s">
        <v>16</v>
      </c>
      <c r="D15529" s="5" t="s">
        <v>14958</v>
      </c>
      <c r="E15529" s="6" t="str">
        <f>HYPERLINK("https://twitter.com/petrogustavo/status/1420411224236376074","1420411224236376074")</f>
        <v>1420411224236376074</v>
      </c>
      <c r="F15529" s="7" t="s">
        <v>32</v>
      </c>
      <c r="G15529" s="7">
        <v>4337310</v>
      </c>
      <c r="H15529" s="7">
        <v>2531</v>
      </c>
      <c r="I15529" s="7">
        <v>89</v>
      </c>
      <c r="J15529" s="7">
        <v>268</v>
      </c>
      <c r="K15529" s="7" t="s">
        <v>18</v>
      </c>
      <c r="L15529" s="8">
        <v>39987.315405092595</v>
      </c>
      <c r="M15529" s="9" t="s">
        <v>19</v>
      </c>
      <c r="N15529" s="9" t="s">
        <v>20</v>
      </c>
      <c r="O15529" s="6" t="str">
        <f>HYPERLINK("https://pbs.twimg.com/profile_images/962471262747529216/Uo8lOkRJ_normal.jpg","View")</f>
        <v>View</v>
      </c>
      <c r="P15529" s="7"/>
    </row>
    <row r="15530" spans="1:16">
      <c r="A15530" s="3">
        <v>44405.888888888891</v>
      </c>
      <c r="B15530" s="4" t="str">
        <f>HYPERLINK("https://twitter.com/petrogustavo","@petrogustavo")</f>
        <v>@petrogustavo</v>
      </c>
      <c r="C15530" s="5" t="s">
        <v>16</v>
      </c>
      <c r="D15530" s="5" t="s">
        <v>14959</v>
      </c>
      <c r="E15530" s="6" t="str">
        <f>HYPERLINK("https://twitter.com/petrogustavo/status/1420411225507303435","1420411225507303435")</f>
        <v>1420411225507303435</v>
      </c>
      <c r="F15530" s="7" t="s">
        <v>32</v>
      </c>
      <c r="G15530" s="7">
        <v>4337310</v>
      </c>
      <c r="H15530" s="7">
        <v>2531</v>
      </c>
      <c r="I15530" s="7">
        <v>83</v>
      </c>
      <c r="J15530" s="7">
        <v>252</v>
      </c>
      <c r="K15530" s="7" t="s">
        <v>18</v>
      </c>
      <c r="L15530" s="8">
        <v>39987.315405092595</v>
      </c>
      <c r="M15530" s="9" t="s">
        <v>19</v>
      </c>
      <c r="N15530" s="9" t="s">
        <v>20</v>
      </c>
      <c r="O15530" s="6" t="str">
        <f>HYPERLINK("https://pbs.twimg.com/profile_images/962471262747529216/Uo8lOkRJ_normal.jpg","View")</f>
        <v>View</v>
      </c>
      <c r="P15530" s="7"/>
    </row>
    <row r="15531" spans="1:16">
      <c r="A15531" s="3">
        <v>44405.913391203707</v>
      </c>
      <c r="B15531" s="4" t="str">
        <f>HYPERLINK("https://twitter.com/petrogustavo","@petrogustavo")</f>
        <v>@petrogustavo</v>
      </c>
      <c r="C15531" s="5" t="s">
        <v>16</v>
      </c>
      <c r="D15531" s="5" t="s">
        <v>14960</v>
      </c>
      <c r="E15531" s="6" t="str">
        <f>HYPERLINK("https://twitter.com/petrogustavo/status/1420420104936988678","1420420104936988678")</f>
        <v>1420420104936988678</v>
      </c>
      <c r="F15531" s="7" t="s">
        <v>17</v>
      </c>
      <c r="G15531" s="7">
        <v>4337327</v>
      </c>
      <c r="H15531" s="7">
        <v>2531</v>
      </c>
      <c r="I15531" s="7">
        <v>132</v>
      </c>
      <c r="J15531" s="7">
        <v>348</v>
      </c>
      <c r="K15531" s="7" t="s">
        <v>18</v>
      </c>
      <c r="L15531" s="8">
        <v>39987.315405092595</v>
      </c>
      <c r="M15531" s="9" t="s">
        <v>19</v>
      </c>
      <c r="N15531" s="9" t="s">
        <v>20</v>
      </c>
      <c r="O15531" s="6" t="str">
        <f>HYPERLINK("https://pbs.twimg.com/profile_images/962471262747529216/Uo8lOkRJ_normal.jpg","View")</f>
        <v>View</v>
      </c>
      <c r="P15531" s="7"/>
    </row>
    <row r="15532" spans="1:16">
      <c r="A15532" s="3">
        <v>44405.981099537035</v>
      </c>
      <c r="B15532" s="4" t="str">
        <f>HYPERLINK("https://twitter.com/petrogustavo","@petrogustavo")</f>
        <v>@petrogustavo</v>
      </c>
      <c r="C15532" s="5" t="s">
        <v>16</v>
      </c>
      <c r="D15532" s="5" t="s">
        <v>14961</v>
      </c>
      <c r="E15532" s="6" t="str">
        <f>HYPERLINK("https://twitter.com/petrogustavo/status/1420444641019695113","1420444641019695113")</f>
        <v>1420444641019695113</v>
      </c>
      <c r="F15532" s="7" t="s">
        <v>32</v>
      </c>
      <c r="G15532" s="7">
        <v>4337385</v>
      </c>
      <c r="H15532" s="7">
        <v>2530</v>
      </c>
      <c r="I15532" s="7">
        <v>458</v>
      </c>
      <c r="J15532" s="7">
        <v>0</v>
      </c>
      <c r="K15532" s="7" t="s">
        <v>18</v>
      </c>
      <c r="L15532" s="8">
        <v>39987.315405092595</v>
      </c>
      <c r="M15532" s="9" t="s">
        <v>19</v>
      </c>
      <c r="N15532" s="9" t="s">
        <v>20</v>
      </c>
      <c r="O15532" s="6" t="str">
        <f>HYPERLINK("https://pbs.twimg.com/profile_images/962471262747529216/Uo8lOkRJ_normal.jpg","View")</f>
        <v>View</v>
      </c>
      <c r="P15532" s="7"/>
    </row>
    <row r="15533" spans="1:16">
      <c r="A15533" s="3">
        <v>44406.144189814819</v>
      </c>
      <c r="B15533" s="4" t="str">
        <f>HYPERLINK("https://twitter.com/petrogustavo","@petrogustavo")</f>
        <v>@petrogustavo</v>
      </c>
      <c r="C15533" s="5" t="s">
        <v>16</v>
      </c>
      <c r="D15533" s="5" t="s">
        <v>14962</v>
      </c>
      <c r="E15533" s="6" t="str">
        <f>HYPERLINK("https://twitter.com/petrogustavo/status/1420503744282648577","1420503744282648577")</f>
        <v>1420503744282648577</v>
      </c>
      <c r="F15533" s="7" t="s">
        <v>32</v>
      </c>
      <c r="G15533" s="7">
        <v>4337516</v>
      </c>
      <c r="H15533" s="7">
        <v>2530</v>
      </c>
      <c r="I15533" s="7">
        <v>224</v>
      </c>
      <c r="J15533" s="7">
        <v>0</v>
      </c>
      <c r="K15533" s="7" t="s">
        <v>18</v>
      </c>
      <c r="L15533" s="8">
        <v>39987.315405092595</v>
      </c>
      <c r="M15533" s="9" t="s">
        <v>19</v>
      </c>
      <c r="N15533" s="9" t="s">
        <v>20</v>
      </c>
      <c r="O15533" s="6" t="str">
        <f>HYPERLINK("https://pbs.twimg.com/profile_images/962471262747529216/Uo8lOkRJ_normal.jpg","View")</f>
        <v>View</v>
      </c>
      <c r="P15533" s="7"/>
    </row>
    <row r="15534" spans="1:16">
      <c r="A15534" s="3">
        <v>44406.233391203699</v>
      </c>
      <c r="B15534" s="4" t="str">
        <f>HYPERLINK("https://twitter.com/petrogustavo","@petrogustavo")</f>
        <v>@petrogustavo</v>
      </c>
      <c r="C15534" s="5" t="s">
        <v>16</v>
      </c>
      <c r="D15534" s="5" t="s">
        <v>14961</v>
      </c>
      <c r="E15534" s="6" t="str">
        <f>HYPERLINK("https://twitter.com/petrogustavo/status/1420536066419920897","1420536066419920897")</f>
        <v>1420536066419920897</v>
      </c>
      <c r="F15534" s="7" t="s">
        <v>32</v>
      </c>
      <c r="G15534" s="7">
        <v>4337545</v>
      </c>
      <c r="H15534" s="7">
        <v>2531</v>
      </c>
      <c r="I15534" s="7">
        <v>972</v>
      </c>
      <c r="J15534" s="7">
        <v>0</v>
      </c>
      <c r="K15534" s="7" t="s">
        <v>18</v>
      </c>
      <c r="L15534" s="8">
        <v>39987.315405092595</v>
      </c>
      <c r="M15534" s="9" t="s">
        <v>19</v>
      </c>
      <c r="N15534" s="9" t="s">
        <v>20</v>
      </c>
      <c r="O15534" s="6" t="str">
        <f>HYPERLINK("https://pbs.twimg.com/profile_images/962471262747529216/Uo8lOkRJ_normal.jpg","View")</f>
        <v>View</v>
      </c>
      <c r="P15534" s="7"/>
    </row>
    <row r="15535" spans="1:16">
      <c r="A15535" s="3">
        <v>44406.276724537034</v>
      </c>
      <c r="B15535" s="4" t="str">
        <f>HYPERLINK("https://twitter.com/petrogustavo","@petrogustavo")</f>
        <v>@petrogustavo</v>
      </c>
      <c r="C15535" s="5" t="s">
        <v>16</v>
      </c>
      <c r="D15535" s="5" t="s">
        <v>14963</v>
      </c>
      <c r="E15535" s="6" t="str">
        <f>HYPERLINK("https://twitter.com/petrogustavo/status/1420551771487879168","1420551771487879168")</f>
        <v>1420551771487879168</v>
      </c>
      <c r="F15535" s="7" t="s">
        <v>17</v>
      </c>
      <c r="G15535" s="7">
        <v>4337583</v>
      </c>
      <c r="H15535" s="7">
        <v>2531</v>
      </c>
      <c r="I15535" s="7">
        <v>250</v>
      </c>
      <c r="J15535" s="7">
        <v>869</v>
      </c>
      <c r="K15535" s="7" t="s">
        <v>18</v>
      </c>
      <c r="L15535" s="8">
        <v>39987.315405092595</v>
      </c>
      <c r="M15535" s="9" t="s">
        <v>19</v>
      </c>
      <c r="N15535" s="9" t="s">
        <v>20</v>
      </c>
      <c r="O15535" s="6" t="str">
        <f>HYPERLINK("https://pbs.twimg.com/profile_images/962471262747529216/Uo8lOkRJ_normal.jpg","View")</f>
        <v>View</v>
      </c>
      <c r="P15535" s="7"/>
    </row>
    <row r="15536" spans="1:16">
      <c r="A15536" s="3">
        <v>44406.743576388893</v>
      </c>
      <c r="B15536" s="4" t="str">
        <f>HYPERLINK("https://twitter.com/petrogustavo","@petrogustavo")</f>
        <v>@petrogustavo</v>
      </c>
      <c r="C15536" s="5" t="s">
        <v>16</v>
      </c>
      <c r="D15536" s="5" t="s">
        <v>14964</v>
      </c>
      <c r="E15536" s="6" t="str">
        <f>HYPERLINK("https://twitter.com/petrogustavo/status/1420720952476901379","1420720952476901379")</f>
        <v>1420720952476901379</v>
      </c>
      <c r="F15536" s="7" t="s">
        <v>17</v>
      </c>
      <c r="G15536" s="7">
        <v>4337760</v>
      </c>
      <c r="H15536" s="7">
        <v>2531</v>
      </c>
      <c r="I15536" s="7">
        <v>3626</v>
      </c>
      <c r="J15536" s="7">
        <v>0</v>
      </c>
      <c r="K15536" s="7" t="s">
        <v>18</v>
      </c>
      <c r="L15536" s="8">
        <v>39987.315405092595</v>
      </c>
      <c r="M15536" s="9" t="s">
        <v>19</v>
      </c>
      <c r="N15536" s="9" t="s">
        <v>20</v>
      </c>
      <c r="O15536" s="6" t="str">
        <f>HYPERLINK("https://pbs.twimg.com/profile_images/962471262747529216/Uo8lOkRJ_normal.jpg","View")</f>
        <v>View</v>
      </c>
      <c r="P15536" s="7"/>
    </row>
    <row r="15537" spans="1:16">
      <c r="A15537" s="3">
        <v>44406.807928240742</v>
      </c>
      <c r="B15537" s="4" t="str">
        <f>HYPERLINK("https://twitter.com/petrogustavo","@petrogustavo")</f>
        <v>@petrogustavo</v>
      </c>
      <c r="C15537" s="5" t="s">
        <v>16</v>
      </c>
      <c r="D15537" s="5" t="s">
        <v>14965</v>
      </c>
      <c r="E15537" s="6" t="str">
        <f>HYPERLINK("https://twitter.com/petrogustavo/status/1420744273582952453","1420744273582952453")</f>
        <v>1420744273582952453</v>
      </c>
      <c r="F15537" s="7" t="s">
        <v>17</v>
      </c>
      <c r="G15537" s="7">
        <v>4337041</v>
      </c>
      <c r="H15537" s="7">
        <v>2532</v>
      </c>
      <c r="I15537" s="7">
        <v>74</v>
      </c>
      <c r="J15537" s="7">
        <v>250</v>
      </c>
      <c r="K15537" s="7" t="s">
        <v>18</v>
      </c>
      <c r="L15537" s="8">
        <v>39987.315405092595</v>
      </c>
      <c r="M15537" s="9" t="s">
        <v>19</v>
      </c>
      <c r="N15537" s="9" t="s">
        <v>20</v>
      </c>
      <c r="O15537" s="6" t="str">
        <f>HYPERLINK("https://pbs.twimg.com/profile_images/962471262747529216/Uo8lOkRJ_normal.jpg","View")</f>
        <v>View</v>
      </c>
      <c r="P15537" s="7"/>
    </row>
    <row r="15538" spans="1:16">
      <c r="A15538" s="3">
        <v>44406.808171296296</v>
      </c>
      <c r="B15538" s="4" t="str">
        <f>HYPERLINK("https://twitter.com/petrogustavo","@petrogustavo")</f>
        <v>@petrogustavo</v>
      </c>
      <c r="C15538" s="5" t="s">
        <v>16</v>
      </c>
      <c r="D15538" s="5" t="s">
        <v>14964</v>
      </c>
      <c r="E15538" s="6" t="str">
        <f>HYPERLINK("https://twitter.com/petrogustavo/status/1420744359582916616","1420744359582916616")</f>
        <v>1420744359582916616</v>
      </c>
      <c r="F15538" s="7" t="s">
        <v>17</v>
      </c>
      <c r="G15538" s="7">
        <v>4337041</v>
      </c>
      <c r="H15538" s="7">
        <v>2532</v>
      </c>
      <c r="I15538" s="7">
        <v>3990</v>
      </c>
      <c r="J15538" s="7">
        <v>0</v>
      </c>
      <c r="K15538" s="7" t="s">
        <v>18</v>
      </c>
      <c r="L15538" s="8">
        <v>39987.315405092595</v>
      </c>
      <c r="M15538" s="9" t="s">
        <v>19</v>
      </c>
      <c r="N15538" s="9" t="s">
        <v>20</v>
      </c>
      <c r="O15538" s="6" t="str">
        <f>HYPERLINK("https://pbs.twimg.com/profile_images/962471262747529216/Uo8lOkRJ_normal.jpg","View")</f>
        <v>View</v>
      </c>
      <c r="P15538" s="7"/>
    </row>
    <row r="15539" spans="1:16">
      <c r="A15539" s="3">
        <v>44406.813888888893</v>
      </c>
      <c r="B15539" s="4" t="str">
        <f>HYPERLINK("https://twitter.com/petrogustavo","@petrogustavo")</f>
        <v>@petrogustavo</v>
      </c>
      <c r="C15539" s="5" t="s">
        <v>16</v>
      </c>
      <c r="D15539" s="5" t="s">
        <v>14966</v>
      </c>
      <c r="E15539" s="6" t="str">
        <f>HYPERLINK("https://twitter.com/petrogustavo/status/1420746431049048073","1420746431049048073")</f>
        <v>1420746431049048073</v>
      </c>
      <c r="F15539" s="7" t="s">
        <v>17</v>
      </c>
      <c r="G15539" s="7">
        <v>4337041</v>
      </c>
      <c r="H15539" s="7">
        <v>2532</v>
      </c>
      <c r="I15539" s="7">
        <v>235</v>
      </c>
      <c r="J15539" s="7">
        <v>654</v>
      </c>
      <c r="K15539" s="7" t="s">
        <v>18</v>
      </c>
      <c r="L15539" s="8">
        <v>39987.315405092595</v>
      </c>
      <c r="M15539" s="9" t="s">
        <v>19</v>
      </c>
      <c r="N15539" s="9" t="s">
        <v>20</v>
      </c>
      <c r="O15539" s="6" t="str">
        <f>HYPERLINK("https://pbs.twimg.com/profile_images/962471262747529216/Uo8lOkRJ_normal.jpg","View")</f>
        <v>View</v>
      </c>
      <c r="P15539" s="7"/>
    </row>
    <row r="15540" spans="1:16">
      <c r="A15540" s="3">
        <v>44406.851851851854</v>
      </c>
      <c r="B15540" s="4" t="str">
        <f>HYPERLINK("https://twitter.com/petrogustavo","@petrogustavo")</f>
        <v>@petrogustavo</v>
      </c>
      <c r="C15540" s="5" t="s">
        <v>16</v>
      </c>
      <c r="D15540" s="5" t="s">
        <v>14967</v>
      </c>
      <c r="E15540" s="6" t="str">
        <f>HYPERLINK("https://twitter.com/petrogustavo/status/1420760191725867008","1420760191725867008")</f>
        <v>1420760191725867008</v>
      </c>
      <c r="F15540" s="7" t="s">
        <v>17</v>
      </c>
      <c r="G15540" s="7">
        <v>4337822</v>
      </c>
      <c r="H15540" s="7">
        <v>2531</v>
      </c>
      <c r="I15540" s="7">
        <v>71</v>
      </c>
      <c r="J15540" s="7">
        <v>0</v>
      </c>
      <c r="K15540" s="7" t="s">
        <v>18</v>
      </c>
      <c r="L15540" s="8">
        <v>39987.315405092595</v>
      </c>
      <c r="M15540" s="9" t="s">
        <v>19</v>
      </c>
      <c r="N15540" s="9" t="s">
        <v>20</v>
      </c>
      <c r="O15540" s="6" t="str">
        <f>HYPERLINK("https://pbs.twimg.com/profile_images/962471262747529216/Uo8lOkRJ_normal.jpg","View")</f>
        <v>View</v>
      </c>
      <c r="P15540" s="7"/>
    </row>
    <row r="15541" spans="1:16">
      <c r="A15541" s="3">
        <v>44406.853483796294</v>
      </c>
      <c r="B15541" s="4" t="str">
        <f>HYPERLINK("https://twitter.com/petrogustavo","@petrogustavo")</f>
        <v>@petrogustavo</v>
      </c>
      <c r="C15541" s="5" t="s">
        <v>16</v>
      </c>
      <c r="D15541" s="5" t="s">
        <v>14964</v>
      </c>
      <c r="E15541" s="6" t="str">
        <f>HYPERLINK("https://twitter.com/petrogustavo/status/1420760783277891586","1420760783277891586")</f>
        <v>1420760783277891586</v>
      </c>
      <c r="F15541" s="7" t="s">
        <v>17</v>
      </c>
      <c r="G15541" s="7">
        <v>4337822</v>
      </c>
      <c r="H15541" s="7">
        <v>2531</v>
      </c>
      <c r="I15541" s="7">
        <v>4206</v>
      </c>
      <c r="J15541" s="7">
        <v>0</v>
      </c>
      <c r="K15541" s="7" t="s">
        <v>18</v>
      </c>
      <c r="L15541" s="8">
        <v>39987.315405092595</v>
      </c>
      <c r="M15541" s="9" t="s">
        <v>19</v>
      </c>
      <c r="N15541" s="9" t="s">
        <v>20</v>
      </c>
      <c r="O15541" s="6" t="str">
        <f>HYPERLINK("https://pbs.twimg.com/profile_images/962471262747529216/Uo8lOkRJ_normal.jpg","View")</f>
        <v>View</v>
      </c>
      <c r="P15541" s="7"/>
    </row>
    <row r="15542" spans="1:16">
      <c r="A15542" s="3">
        <v>44406.866944444446</v>
      </c>
      <c r="B15542" s="4" t="str">
        <f>HYPERLINK("https://twitter.com/petrogustavo","@petrogustavo")</f>
        <v>@petrogustavo</v>
      </c>
      <c r="C15542" s="5" t="s">
        <v>16</v>
      </c>
      <c r="D15542" s="5" t="s">
        <v>14968</v>
      </c>
      <c r="E15542" s="6" t="str">
        <f>HYPERLINK("https://twitter.com/petrogustavo/status/1420765660494368768","1420765660494368768")</f>
        <v>1420765660494368768</v>
      </c>
      <c r="F15542" s="7" t="s">
        <v>17</v>
      </c>
      <c r="G15542" s="7">
        <v>4337843</v>
      </c>
      <c r="H15542" s="7">
        <v>2531</v>
      </c>
      <c r="I15542" s="7">
        <v>126</v>
      </c>
      <c r="J15542" s="7">
        <v>388</v>
      </c>
      <c r="K15542" s="7" t="s">
        <v>18</v>
      </c>
      <c r="L15542" s="8">
        <v>39987.315405092595</v>
      </c>
      <c r="M15542" s="9" t="s">
        <v>19</v>
      </c>
      <c r="N15542" s="9" t="s">
        <v>20</v>
      </c>
      <c r="O15542" s="6" t="str">
        <f>HYPERLINK("https://pbs.twimg.com/profile_images/962471262747529216/Uo8lOkRJ_normal.jpg","View")</f>
        <v>View</v>
      </c>
      <c r="P15542" s="7"/>
    </row>
    <row r="15543" spans="1:16">
      <c r="A15543" s="3">
        <v>44406.868113425924</v>
      </c>
      <c r="B15543" s="4" t="str">
        <f>HYPERLINK("https://twitter.com/petrogustavo","@petrogustavo")</f>
        <v>@petrogustavo</v>
      </c>
      <c r="C15543" s="5" t="s">
        <v>16</v>
      </c>
      <c r="D15543" s="5" t="s">
        <v>14961</v>
      </c>
      <c r="E15543" s="6" t="str">
        <f>HYPERLINK("https://twitter.com/petrogustavo/status/1420766085499035648","1420766085499035648")</f>
        <v>1420766085499035648</v>
      </c>
      <c r="F15543" s="7" t="s">
        <v>17</v>
      </c>
      <c r="G15543" s="7">
        <v>4337843</v>
      </c>
      <c r="H15543" s="7">
        <v>2531</v>
      </c>
      <c r="I15543" s="7">
        <v>1330</v>
      </c>
      <c r="J15543" s="7">
        <v>0</v>
      </c>
      <c r="K15543" s="7" t="s">
        <v>18</v>
      </c>
      <c r="L15543" s="8">
        <v>39987.315405092595</v>
      </c>
      <c r="M15543" s="9" t="s">
        <v>19</v>
      </c>
      <c r="N15543" s="9" t="s">
        <v>20</v>
      </c>
      <c r="O15543" s="6" t="str">
        <f>HYPERLINK("https://pbs.twimg.com/profile_images/962471262747529216/Uo8lOkRJ_normal.jpg","View")</f>
        <v>View</v>
      </c>
      <c r="P15543" s="7"/>
    </row>
    <row r="15544" spans="1:16">
      <c r="A15544" s="3">
        <v>44406.874432870369</v>
      </c>
      <c r="B15544" s="4" t="str">
        <f>HYPERLINK("https://twitter.com/petrogustavo","@petrogustavo")</f>
        <v>@petrogustavo</v>
      </c>
      <c r="C15544" s="5" t="s">
        <v>16</v>
      </c>
      <c r="D15544" s="5" t="s">
        <v>14969</v>
      </c>
      <c r="E15544" s="6" t="str">
        <f>HYPERLINK("https://twitter.com/petrogustavo/status/1420768374724993034","1420768374724993034")</f>
        <v>1420768374724993034</v>
      </c>
      <c r="F15544" s="7" t="s">
        <v>17</v>
      </c>
      <c r="G15544" s="7">
        <v>4337843</v>
      </c>
      <c r="H15544" s="7">
        <v>2531</v>
      </c>
      <c r="I15544" s="7">
        <v>78</v>
      </c>
      <c r="J15544" s="7">
        <v>161</v>
      </c>
      <c r="K15544" s="7" t="s">
        <v>18</v>
      </c>
      <c r="L15544" s="8">
        <v>39987.315405092595</v>
      </c>
      <c r="M15544" s="9" t="s">
        <v>19</v>
      </c>
      <c r="N15544" s="9" t="s">
        <v>20</v>
      </c>
      <c r="O15544" s="6" t="str">
        <f>HYPERLINK("https://pbs.twimg.com/profile_images/962471262747529216/Uo8lOkRJ_normal.jpg","View")</f>
        <v>View</v>
      </c>
      <c r="P15544" s="7"/>
    </row>
    <row r="15545" spans="1:16">
      <c r="A15545" s="3">
        <v>44406.885520833333</v>
      </c>
      <c r="B15545" s="4" t="str">
        <f>HYPERLINK("https://twitter.com/petrogustavo","@petrogustavo")</f>
        <v>@petrogustavo</v>
      </c>
      <c r="C15545" s="5" t="s">
        <v>16</v>
      </c>
      <c r="D15545" s="5" t="s">
        <v>14970</v>
      </c>
      <c r="E15545" s="6" t="str">
        <f>HYPERLINK("https://twitter.com/petrogustavo/status/1420772391605649417","1420772391605649417")</f>
        <v>1420772391605649417</v>
      </c>
      <c r="F15545" s="7" t="s">
        <v>17</v>
      </c>
      <c r="G15545" s="7">
        <v>4337843</v>
      </c>
      <c r="H15545" s="7">
        <v>2531</v>
      </c>
      <c r="I15545" s="7">
        <v>41</v>
      </c>
      <c r="J15545" s="7">
        <v>125</v>
      </c>
      <c r="K15545" s="7" t="s">
        <v>18</v>
      </c>
      <c r="L15545" s="8">
        <v>39987.315405092595</v>
      </c>
      <c r="M15545" s="9" t="s">
        <v>19</v>
      </c>
      <c r="N15545" s="9" t="s">
        <v>20</v>
      </c>
      <c r="O15545" s="6" t="str">
        <f>HYPERLINK("https://pbs.twimg.com/profile_images/962471262747529216/Uo8lOkRJ_normal.jpg","View")</f>
        <v>View</v>
      </c>
      <c r="P15545" s="7"/>
    </row>
    <row r="15546" spans="1:16">
      <c r="A15546" s="3">
        <v>44406.885520833333</v>
      </c>
      <c r="B15546" s="4" t="str">
        <f>HYPERLINK("https://twitter.com/petrogustavo","@petrogustavo")</f>
        <v>@petrogustavo</v>
      </c>
      <c r="C15546" s="5" t="s">
        <v>16</v>
      </c>
      <c r="D15546" s="5" t="s">
        <v>14971</v>
      </c>
      <c r="E15546" s="6" t="str">
        <f>HYPERLINK("https://twitter.com/petrogustavo/status/1420772392683585540","1420772392683585540")</f>
        <v>1420772392683585540</v>
      </c>
      <c r="F15546" s="7" t="s">
        <v>17</v>
      </c>
      <c r="G15546" s="7">
        <v>4337843</v>
      </c>
      <c r="H15546" s="7">
        <v>2531</v>
      </c>
      <c r="I15546" s="7">
        <v>15</v>
      </c>
      <c r="J15546" s="7">
        <v>68</v>
      </c>
      <c r="K15546" s="7" t="s">
        <v>18</v>
      </c>
      <c r="L15546" s="8">
        <v>39987.315405092595</v>
      </c>
      <c r="M15546" s="9" t="s">
        <v>19</v>
      </c>
      <c r="N15546" s="9" t="s">
        <v>20</v>
      </c>
      <c r="O15546" s="6" t="str">
        <f>HYPERLINK("https://pbs.twimg.com/profile_images/962471262747529216/Uo8lOkRJ_normal.jpg","View")</f>
        <v>View</v>
      </c>
      <c r="P15546" s="7"/>
    </row>
    <row r="15547" spans="1:16">
      <c r="A15547" s="3">
        <v>44406.952210648145</v>
      </c>
      <c r="B15547" s="4" t="str">
        <f>HYPERLINK("https://twitter.com/petrogustavo","@petrogustavo")</f>
        <v>@petrogustavo</v>
      </c>
      <c r="C15547" s="5" t="s">
        <v>16</v>
      </c>
      <c r="D15547" s="5" t="s">
        <v>14972</v>
      </c>
      <c r="E15547" s="6" t="str">
        <f>HYPERLINK("https://twitter.com/petrogustavo/status/1420796560598835202","1420796560598835202")</f>
        <v>1420796560598835202</v>
      </c>
      <c r="F15547" s="7" t="s">
        <v>32</v>
      </c>
      <c r="G15547" s="7">
        <v>4337916</v>
      </c>
      <c r="H15547" s="7">
        <v>2533</v>
      </c>
      <c r="I15547" s="7">
        <v>152</v>
      </c>
      <c r="J15547" s="7">
        <v>585</v>
      </c>
      <c r="K15547" s="7" t="s">
        <v>18</v>
      </c>
      <c r="L15547" s="8">
        <v>39987.315405092595</v>
      </c>
      <c r="M15547" s="9" t="s">
        <v>19</v>
      </c>
      <c r="N15547" s="9" t="s">
        <v>20</v>
      </c>
      <c r="O15547" s="6" t="str">
        <f>HYPERLINK("https://pbs.twimg.com/profile_images/962471262747529216/Uo8lOkRJ_normal.jpg","View")</f>
        <v>View</v>
      </c>
      <c r="P15547" s="7"/>
    </row>
    <row r="15548" spans="1:16">
      <c r="A15548" s="3">
        <v>44406.959965277776</v>
      </c>
      <c r="B15548" s="4" t="str">
        <f>HYPERLINK("https://twitter.com/petrogustavo","@petrogustavo")</f>
        <v>@petrogustavo</v>
      </c>
      <c r="C15548" s="5" t="s">
        <v>16</v>
      </c>
      <c r="D15548" s="5" t="s">
        <v>14973</v>
      </c>
      <c r="E15548" s="6" t="str">
        <f>HYPERLINK("https://twitter.com/petrogustavo/status/1420799367859118086","1420799367859118086")</f>
        <v>1420799367859118086</v>
      </c>
      <c r="F15548" s="7" t="s">
        <v>32</v>
      </c>
      <c r="G15548" s="7">
        <v>4337916</v>
      </c>
      <c r="H15548" s="7">
        <v>2533</v>
      </c>
      <c r="I15548" s="7">
        <v>93</v>
      </c>
      <c r="J15548" s="7">
        <v>173</v>
      </c>
      <c r="K15548" s="7" t="s">
        <v>18</v>
      </c>
      <c r="L15548" s="8">
        <v>39987.315405092595</v>
      </c>
      <c r="M15548" s="9" t="s">
        <v>19</v>
      </c>
      <c r="N15548" s="9" t="s">
        <v>20</v>
      </c>
      <c r="O15548" s="6" t="str">
        <f>HYPERLINK("https://pbs.twimg.com/profile_images/962471262747529216/Uo8lOkRJ_normal.jpg","View")</f>
        <v>View</v>
      </c>
      <c r="P15548" s="7"/>
    </row>
    <row r="15549" spans="1:16">
      <c r="A15549" s="3">
        <v>44406.961134259254</v>
      </c>
      <c r="B15549" s="4" t="str">
        <f>HYPERLINK("https://twitter.com/petrogustavo","@petrogustavo")</f>
        <v>@petrogustavo</v>
      </c>
      <c r="C15549" s="5" t="s">
        <v>16</v>
      </c>
      <c r="D15549" s="5" t="s">
        <v>14974</v>
      </c>
      <c r="E15549" s="6" t="str">
        <f>HYPERLINK("https://twitter.com/petrogustavo/status/1420799794021289990","1420799794021289990")</f>
        <v>1420799794021289990</v>
      </c>
      <c r="F15549" s="7" t="s">
        <v>32</v>
      </c>
      <c r="G15549" s="7">
        <v>4337916</v>
      </c>
      <c r="H15549" s="7">
        <v>2533</v>
      </c>
      <c r="I15549" s="7">
        <v>34</v>
      </c>
      <c r="J15549" s="7">
        <v>0</v>
      </c>
      <c r="K15549" s="7" t="s">
        <v>18</v>
      </c>
      <c r="L15549" s="8">
        <v>39987.315405092595</v>
      </c>
      <c r="M15549" s="9" t="s">
        <v>19</v>
      </c>
      <c r="N15549" s="9" t="s">
        <v>20</v>
      </c>
      <c r="O15549" s="6" t="str">
        <f>HYPERLINK("https://pbs.twimg.com/profile_images/962471262747529216/Uo8lOkRJ_normal.jpg","View")</f>
        <v>View</v>
      </c>
      <c r="P15549" s="7"/>
    </row>
    <row r="15550" spans="1:16">
      <c r="A15550" s="3">
        <v>44406.976412037038</v>
      </c>
      <c r="B15550" s="4" t="str">
        <f>HYPERLINK("https://twitter.com/petrogustavo","@petrogustavo")</f>
        <v>@petrogustavo</v>
      </c>
      <c r="C15550" s="5" t="s">
        <v>16</v>
      </c>
      <c r="D15550" s="5" t="s">
        <v>14975</v>
      </c>
      <c r="E15550" s="6" t="str">
        <f>HYPERLINK("https://twitter.com/petrogustavo/status/1420805331278602242","1420805331278602242")</f>
        <v>1420805331278602242</v>
      </c>
      <c r="F15550" s="7" t="s">
        <v>32</v>
      </c>
      <c r="G15550" s="7">
        <v>4337935</v>
      </c>
      <c r="H15550" s="7">
        <v>2533</v>
      </c>
      <c r="I15550" s="7">
        <v>171</v>
      </c>
      <c r="J15550" s="7">
        <v>0</v>
      </c>
      <c r="K15550" s="7" t="s">
        <v>18</v>
      </c>
      <c r="L15550" s="8">
        <v>39987.315405092595</v>
      </c>
      <c r="M15550" s="9" t="s">
        <v>19</v>
      </c>
      <c r="N15550" s="9" t="s">
        <v>20</v>
      </c>
      <c r="O15550" s="6" t="str">
        <f>HYPERLINK("https://pbs.twimg.com/profile_images/962471262747529216/Uo8lOkRJ_normal.jpg","View")</f>
        <v>View</v>
      </c>
      <c r="P15550" s="7"/>
    </row>
    <row r="15551" spans="1:16">
      <c r="A15551" s="3">
        <v>44407.010046296295</v>
      </c>
      <c r="B15551" s="4" t="str">
        <f>HYPERLINK("https://twitter.com/petrogustavo","@petrogustavo")</f>
        <v>@petrogustavo</v>
      </c>
      <c r="C15551" s="5" t="s">
        <v>16</v>
      </c>
      <c r="D15551" s="5" t="s">
        <v>14976</v>
      </c>
      <c r="E15551" s="6" t="str">
        <f>HYPERLINK("https://twitter.com/petrogustavo/status/1420817518030163975","1420817518030163975")</f>
        <v>1420817518030163975</v>
      </c>
      <c r="F15551" s="7" t="s">
        <v>32</v>
      </c>
      <c r="G15551" s="7">
        <v>4337949</v>
      </c>
      <c r="H15551" s="7">
        <v>2533</v>
      </c>
      <c r="I15551" s="7">
        <v>1014</v>
      </c>
      <c r="J15551" s="7">
        <v>0</v>
      </c>
      <c r="K15551" s="7" t="s">
        <v>18</v>
      </c>
      <c r="L15551" s="8">
        <v>39987.315405092595</v>
      </c>
      <c r="M15551" s="9" t="s">
        <v>19</v>
      </c>
      <c r="N15551" s="9" t="s">
        <v>20</v>
      </c>
      <c r="O15551" s="6" t="str">
        <f>HYPERLINK("https://pbs.twimg.com/profile_images/962471262747529216/Uo8lOkRJ_normal.jpg","View")</f>
        <v>View</v>
      </c>
      <c r="P15551" s="7"/>
    </row>
    <row r="15552" spans="1:16">
      <c r="A15552" s="3">
        <v>44407.356249999997</v>
      </c>
      <c r="B15552" s="4" t="str">
        <f>HYPERLINK("https://twitter.com/petrogustavo","@petrogustavo")</f>
        <v>@petrogustavo</v>
      </c>
      <c r="C15552" s="5" t="s">
        <v>16</v>
      </c>
      <c r="D15552" s="5" t="s">
        <v>14977</v>
      </c>
      <c r="E15552" s="6" t="str">
        <f>HYPERLINK("https://twitter.com/petrogustavo/status/1420942979506786307","1420942979506786307")</f>
        <v>1420942979506786307</v>
      </c>
      <c r="F15552" s="7" t="s">
        <v>17</v>
      </c>
      <c r="G15552" s="7">
        <v>4338240</v>
      </c>
      <c r="H15552" s="7">
        <v>2533</v>
      </c>
      <c r="I15552" s="7">
        <v>61</v>
      </c>
      <c r="J15552" s="7">
        <v>0</v>
      </c>
      <c r="K15552" s="7" t="s">
        <v>18</v>
      </c>
      <c r="L15552" s="8">
        <v>39987.315405092595</v>
      </c>
      <c r="M15552" s="9" t="s">
        <v>19</v>
      </c>
      <c r="N15552" s="9" t="s">
        <v>20</v>
      </c>
      <c r="O15552" s="6" t="str">
        <f>HYPERLINK("https://pbs.twimg.com/profile_images/962471262747529216/Uo8lOkRJ_normal.jpg","View")</f>
        <v>View</v>
      </c>
      <c r="P15552" s="7"/>
    </row>
    <row r="15553" spans="1:16">
      <c r="A15553" s="3">
        <v>44407.36518518519</v>
      </c>
      <c r="B15553" s="4" t="str">
        <f>HYPERLINK("https://twitter.com/petrogustavo","@petrogustavo")</f>
        <v>@petrogustavo</v>
      </c>
      <c r="C15553" s="5" t="s">
        <v>16</v>
      </c>
      <c r="D15553" s="5" t="s">
        <v>14975</v>
      </c>
      <c r="E15553" s="6" t="str">
        <f>HYPERLINK("https://twitter.com/petrogustavo/status/1420946214674108416","1420946214674108416")</f>
        <v>1420946214674108416</v>
      </c>
      <c r="F15553" s="7" t="s">
        <v>17</v>
      </c>
      <c r="G15553" s="7">
        <v>4338240</v>
      </c>
      <c r="H15553" s="7">
        <v>2533</v>
      </c>
      <c r="I15553" s="7">
        <v>745</v>
      </c>
      <c r="J15553" s="7">
        <v>0</v>
      </c>
      <c r="K15553" s="7" t="s">
        <v>18</v>
      </c>
      <c r="L15553" s="8">
        <v>39987.315405092595</v>
      </c>
      <c r="M15553" s="9" t="s">
        <v>19</v>
      </c>
      <c r="N15553" s="9" t="s">
        <v>20</v>
      </c>
      <c r="O15553" s="6" t="str">
        <f>HYPERLINK("https://pbs.twimg.com/profile_images/962471262747529216/Uo8lOkRJ_normal.jpg","View")</f>
        <v>View</v>
      </c>
      <c r="P15553" s="7"/>
    </row>
    <row r="15554" spans="1:16">
      <c r="A15554" s="3">
        <v>44407.77988425926</v>
      </c>
      <c r="B15554" s="4" t="str">
        <f>HYPERLINK("https://twitter.com/petrogustavo","@petrogustavo")</f>
        <v>@petrogustavo</v>
      </c>
      <c r="C15554" s="5" t="s">
        <v>16</v>
      </c>
      <c r="D15554" s="5" t="s">
        <v>14978</v>
      </c>
      <c r="E15554" s="6" t="str">
        <f>HYPERLINK("https://twitter.com/petrogustavo/status/1421096498968805376","1421096498968805376")</f>
        <v>1421096498968805376</v>
      </c>
      <c r="F15554" s="7" t="s">
        <v>17</v>
      </c>
      <c r="G15554" s="7">
        <v>4338346</v>
      </c>
      <c r="H15554" s="7">
        <v>2533</v>
      </c>
      <c r="I15554" s="7">
        <v>55</v>
      </c>
      <c r="J15554" s="7">
        <v>103</v>
      </c>
      <c r="K15554" s="7" t="s">
        <v>18</v>
      </c>
      <c r="L15554" s="8">
        <v>39987.315405092595</v>
      </c>
      <c r="M15554" s="9" t="s">
        <v>19</v>
      </c>
      <c r="N15554" s="9" t="s">
        <v>20</v>
      </c>
      <c r="O15554" s="6" t="str">
        <f>HYPERLINK("https://pbs.twimg.com/profile_images/962471262747529216/Uo8lOkRJ_normal.jpg","View")</f>
        <v>View</v>
      </c>
      <c r="P15554" s="7"/>
    </row>
    <row r="15555" spans="1:16">
      <c r="A15555" s="3">
        <v>44407.77988425926</v>
      </c>
      <c r="B15555" s="4" t="str">
        <f>HYPERLINK("https://twitter.com/petrogustavo","@petrogustavo")</f>
        <v>@petrogustavo</v>
      </c>
      <c r="C15555" s="5" t="s">
        <v>16</v>
      </c>
      <c r="D15555" s="5" t="s">
        <v>14979</v>
      </c>
      <c r="E15555" s="6" t="str">
        <f>HYPERLINK("https://twitter.com/petrogustavo/status/1421096499937689602","1421096499937689602")</f>
        <v>1421096499937689602</v>
      </c>
      <c r="F15555" s="7" t="s">
        <v>17</v>
      </c>
      <c r="G15555" s="7">
        <v>4338346</v>
      </c>
      <c r="H15555" s="7">
        <v>2533</v>
      </c>
      <c r="I15555" s="7">
        <v>27</v>
      </c>
      <c r="J15555" s="7">
        <v>73</v>
      </c>
      <c r="K15555" s="7" t="s">
        <v>18</v>
      </c>
      <c r="L15555" s="8">
        <v>39987.315405092595</v>
      </c>
      <c r="M15555" s="9" t="s">
        <v>19</v>
      </c>
      <c r="N15555" s="9" t="s">
        <v>20</v>
      </c>
      <c r="O15555" s="6" t="str">
        <f>HYPERLINK("https://pbs.twimg.com/profile_images/962471262747529216/Uo8lOkRJ_normal.jpg","View")</f>
        <v>View</v>
      </c>
      <c r="P15555" s="7"/>
    </row>
    <row r="15556" spans="1:16">
      <c r="A15556" s="3">
        <v>44407.77989583333</v>
      </c>
      <c r="B15556" s="4" t="str">
        <f>HYPERLINK("https://twitter.com/petrogustavo","@petrogustavo")</f>
        <v>@petrogustavo</v>
      </c>
      <c r="C15556" s="5" t="s">
        <v>16</v>
      </c>
      <c r="D15556" s="5" t="s">
        <v>14980</v>
      </c>
      <c r="E15556" s="6" t="str">
        <f>HYPERLINK("https://twitter.com/petrogustavo/status/1421096501040779268","1421096501040779268")</f>
        <v>1421096501040779268</v>
      </c>
      <c r="F15556" s="7" t="s">
        <v>17</v>
      </c>
      <c r="G15556" s="7">
        <v>4338346</v>
      </c>
      <c r="H15556" s="7">
        <v>2533</v>
      </c>
      <c r="I15556" s="7">
        <v>29</v>
      </c>
      <c r="J15556" s="7">
        <v>72</v>
      </c>
      <c r="K15556" s="7" t="s">
        <v>18</v>
      </c>
      <c r="L15556" s="8">
        <v>39987.315405092595</v>
      </c>
      <c r="M15556" s="9" t="s">
        <v>19</v>
      </c>
      <c r="N15556" s="9" t="s">
        <v>20</v>
      </c>
      <c r="O15556" s="6" t="str">
        <f>HYPERLINK("https://pbs.twimg.com/profile_images/962471262747529216/Uo8lOkRJ_normal.jpg","View")</f>
        <v>View</v>
      </c>
      <c r="P15556" s="7"/>
    </row>
    <row r="15557" spans="1:16">
      <c r="A15557" s="3">
        <v>44407.804849537039</v>
      </c>
      <c r="B15557" s="4" t="str">
        <f>HYPERLINK("https://twitter.com/petrogustavo","@petrogustavo")</f>
        <v>@petrogustavo</v>
      </c>
      <c r="C15557" s="5" t="s">
        <v>16</v>
      </c>
      <c r="D15557" s="5" t="s">
        <v>14981</v>
      </c>
      <c r="E15557" s="6" t="str">
        <f>HYPERLINK("https://twitter.com/petrogustavo/status/1421105546577518593","1421105546577518593")</f>
        <v>1421105546577518593</v>
      </c>
      <c r="F15557" s="7" t="s">
        <v>17</v>
      </c>
      <c r="G15557" s="7">
        <v>4338352</v>
      </c>
      <c r="H15557" s="7">
        <v>2533</v>
      </c>
      <c r="I15557" s="7">
        <v>95</v>
      </c>
      <c r="J15557" s="7">
        <v>221</v>
      </c>
      <c r="K15557" s="7" t="s">
        <v>18</v>
      </c>
      <c r="L15557" s="8">
        <v>39987.315405092595</v>
      </c>
      <c r="M15557" s="9" t="s">
        <v>19</v>
      </c>
      <c r="N15557" s="9" t="s">
        <v>20</v>
      </c>
      <c r="O15557" s="6" t="str">
        <f>HYPERLINK("https://pbs.twimg.com/profile_images/962471262747529216/Uo8lOkRJ_normal.jpg","View")</f>
        <v>View</v>
      </c>
      <c r="P15557" s="7"/>
    </row>
    <row r="15558" spans="1:16">
      <c r="A15558" s="3">
        <v>44407.804861111115</v>
      </c>
      <c r="B15558" s="4" t="str">
        <f>HYPERLINK("https://twitter.com/petrogustavo","@petrogustavo")</f>
        <v>@petrogustavo</v>
      </c>
      <c r="C15558" s="5" t="s">
        <v>16</v>
      </c>
      <c r="D15558" s="5" t="s">
        <v>14982</v>
      </c>
      <c r="E15558" s="6" t="str">
        <f>HYPERLINK("https://twitter.com/petrogustavo/status/1421105548041326593","1421105548041326593")</f>
        <v>1421105548041326593</v>
      </c>
      <c r="F15558" s="7" t="s">
        <v>17</v>
      </c>
      <c r="G15558" s="7">
        <v>4338352</v>
      </c>
      <c r="H15558" s="7">
        <v>2533</v>
      </c>
      <c r="I15558" s="7">
        <v>53</v>
      </c>
      <c r="J15558" s="7">
        <v>188</v>
      </c>
      <c r="K15558" s="7" t="s">
        <v>18</v>
      </c>
      <c r="L15558" s="8">
        <v>39987.315405092595</v>
      </c>
      <c r="M15558" s="9" t="s">
        <v>19</v>
      </c>
      <c r="N15558" s="9" t="s">
        <v>20</v>
      </c>
      <c r="O15558" s="6" t="str">
        <f>HYPERLINK("https://pbs.twimg.com/profile_images/962471262747529216/Uo8lOkRJ_normal.jpg","View")</f>
        <v>View</v>
      </c>
      <c r="P15558" s="7"/>
    </row>
    <row r="15559" spans="1:16">
      <c r="A15559" s="3">
        <v>44407.804861111115</v>
      </c>
      <c r="B15559" s="4" t="str">
        <f>HYPERLINK("https://twitter.com/petrogustavo","@petrogustavo")</f>
        <v>@petrogustavo</v>
      </c>
      <c r="C15559" s="5" t="s">
        <v>16</v>
      </c>
      <c r="D15559" s="5" t="s">
        <v>14983</v>
      </c>
      <c r="E15559" s="6" t="str">
        <f>HYPERLINK("https://twitter.com/petrogustavo/status/1421105549383503876","1421105549383503876")</f>
        <v>1421105549383503876</v>
      </c>
      <c r="F15559" s="7" t="s">
        <v>17</v>
      </c>
      <c r="G15559" s="7">
        <v>4338352</v>
      </c>
      <c r="H15559" s="7">
        <v>2533</v>
      </c>
      <c r="I15559" s="7">
        <v>58</v>
      </c>
      <c r="J15559" s="7">
        <v>209</v>
      </c>
      <c r="K15559" s="7" t="s">
        <v>18</v>
      </c>
      <c r="L15559" s="8">
        <v>39987.315405092595</v>
      </c>
      <c r="M15559" s="9" t="s">
        <v>19</v>
      </c>
      <c r="N15559" s="9" t="s">
        <v>20</v>
      </c>
      <c r="O15559" s="6" t="str">
        <f>HYPERLINK("https://pbs.twimg.com/profile_images/962471262747529216/Uo8lOkRJ_normal.jpg","View")</f>
        <v>View</v>
      </c>
      <c r="P15559" s="7"/>
    </row>
    <row r="15560" spans="1:16">
      <c r="A15560" s="3">
        <v>44407.845706018517</v>
      </c>
      <c r="B15560" s="4" t="str">
        <f>HYPERLINK("https://twitter.com/petrogustavo","@petrogustavo")</f>
        <v>@petrogustavo</v>
      </c>
      <c r="C15560" s="5" t="s">
        <v>16</v>
      </c>
      <c r="D15560" s="5" t="s">
        <v>14984</v>
      </c>
      <c r="E15560" s="6" t="str">
        <f>HYPERLINK("https://twitter.com/petrogustavo/status/1421120350952251392","1421120350952251392")</f>
        <v>1421120350952251392</v>
      </c>
      <c r="F15560" s="7" t="s">
        <v>17</v>
      </c>
      <c r="G15560" s="7">
        <v>4338382</v>
      </c>
      <c r="H15560" s="7">
        <v>2533</v>
      </c>
      <c r="I15560" s="7">
        <v>0</v>
      </c>
      <c r="J15560" s="7">
        <v>3</v>
      </c>
      <c r="K15560" s="7" t="s">
        <v>18</v>
      </c>
      <c r="L15560" s="8">
        <v>39987.315405092595</v>
      </c>
      <c r="M15560" s="9" t="s">
        <v>19</v>
      </c>
      <c r="N15560" s="9" t="s">
        <v>20</v>
      </c>
      <c r="O15560" s="6" t="str">
        <f>HYPERLINK("https://pbs.twimg.com/profile_images/962471262747529216/Uo8lOkRJ_normal.jpg","View")</f>
        <v>View</v>
      </c>
      <c r="P15560" s="7"/>
    </row>
    <row r="15561" spans="1:16">
      <c r="A15561" s="3">
        <v>44407.861550925925</v>
      </c>
      <c r="B15561" s="4" t="str">
        <f>HYPERLINK("https://twitter.com/petrogustavo","@petrogustavo")</f>
        <v>@petrogustavo</v>
      </c>
      <c r="C15561" s="5" t="s">
        <v>16</v>
      </c>
      <c r="D15561" s="5" t="s">
        <v>14985</v>
      </c>
      <c r="E15561" s="6" t="str">
        <f>HYPERLINK("https://twitter.com/petrogustavo/status/1421126092572827653","1421126092572827653")</f>
        <v>1421126092572827653</v>
      </c>
      <c r="F15561" s="7" t="s">
        <v>32</v>
      </c>
      <c r="G15561" s="7">
        <v>4338390</v>
      </c>
      <c r="H15561" s="7">
        <v>2533</v>
      </c>
      <c r="I15561" s="7">
        <v>68</v>
      </c>
      <c r="J15561" s="7">
        <v>195</v>
      </c>
      <c r="K15561" s="7" t="s">
        <v>18</v>
      </c>
      <c r="L15561" s="8">
        <v>39987.315405092595</v>
      </c>
      <c r="M15561" s="9" t="s">
        <v>19</v>
      </c>
      <c r="N15561" s="9" t="s">
        <v>20</v>
      </c>
      <c r="O15561" s="6" t="str">
        <f>HYPERLINK("https://pbs.twimg.com/profile_images/962471262747529216/Uo8lOkRJ_normal.jpg","View")</f>
        <v>View</v>
      </c>
      <c r="P15561" s="7"/>
    </row>
    <row r="15562" spans="1:16">
      <c r="A15562" s="3">
        <v>44407.86336805555</v>
      </c>
      <c r="B15562" s="4" t="str">
        <f>HYPERLINK("https://twitter.com/petrogustavo","@petrogustavo")</f>
        <v>@petrogustavo</v>
      </c>
      <c r="C15562" s="5" t="s">
        <v>16</v>
      </c>
      <c r="D15562" s="5" t="s">
        <v>14986</v>
      </c>
      <c r="E15562" s="6" t="str">
        <f>HYPERLINK("https://twitter.com/petrogustavo/status/1421126751984525315","1421126751984525315")</f>
        <v>1421126751984525315</v>
      </c>
      <c r="F15562" s="7" t="s">
        <v>32</v>
      </c>
      <c r="G15562" s="7">
        <v>4338390</v>
      </c>
      <c r="H15562" s="7">
        <v>2533</v>
      </c>
      <c r="I15562" s="7">
        <v>275</v>
      </c>
      <c r="J15562" s="7">
        <v>0</v>
      </c>
      <c r="K15562" s="7" t="s">
        <v>18</v>
      </c>
      <c r="L15562" s="8">
        <v>39987.315405092595</v>
      </c>
      <c r="M15562" s="9" t="s">
        <v>19</v>
      </c>
      <c r="N15562" s="9" t="s">
        <v>20</v>
      </c>
      <c r="O15562" s="6" t="str">
        <f>HYPERLINK("https://pbs.twimg.com/profile_images/962471262747529216/Uo8lOkRJ_normal.jpg","View")</f>
        <v>View</v>
      </c>
      <c r="P15562" s="7"/>
    </row>
    <row r="15563" spans="1:16">
      <c r="A15563" s="3">
        <v>44407.868877314817</v>
      </c>
      <c r="B15563" s="4" t="str">
        <f>HYPERLINK("https://twitter.com/petrogustavo","@petrogustavo")</f>
        <v>@petrogustavo</v>
      </c>
      <c r="C15563" s="5" t="s">
        <v>16</v>
      </c>
      <c r="D15563" s="5" t="s">
        <v>14987</v>
      </c>
      <c r="E15563" s="6" t="str">
        <f>HYPERLINK("https://twitter.com/petrogustavo/status/1421128747311378440","1421128747311378440")</f>
        <v>1421128747311378440</v>
      </c>
      <c r="F15563" s="7" t="s">
        <v>17</v>
      </c>
      <c r="G15563" s="7">
        <v>4338431</v>
      </c>
      <c r="H15563" s="7">
        <v>2533</v>
      </c>
      <c r="I15563" s="7">
        <v>78</v>
      </c>
      <c r="J15563" s="7">
        <v>199</v>
      </c>
      <c r="K15563" s="7" t="s">
        <v>18</v>
      </c>
      <c r="L15563" s="8">
        <v>39987.315405092595</v>
      </c>
      <c r="M15563" s="9" t="s">
        <v>19</v>
      </c>
      <c r="N15563" s="9" t="s">
        <v>20</v>
      </c>
      <c r="O15563" s="6" t="str">
        <f>HYPERLINK("https://pbs.twimg.com/profile_images/962471262747529216/Uo8lOkRJ_normal.jpg","View")</f>
        <v>View</v>
      </c>
      <c r="P15563" s="7"/>
    </row>
    <row r="15564" spans="1:16">
      <c r="A15564" s="3">
        <v>44407.882974537039</v>
      </c>
      <c r="B15564" s="4" t="str">
        <f>HYPERLINK("https://twitter.com/petrogustavo","@petrogustavo")</f>
        <v>@petrogustavo</v>
      </c>
      <c r="C15564" s="5" t="s">
        <v>16</v>
      </c>
      <c r="D15564" s="5" t="s">
        <v>14988</v>
      </c>
      <c r="E15564" s="6" t="str">
        <f>HYPERLINK("https://twitter.com/petrogustavo/status/1421133856229535744","1421133856229535744")</f>
        <v>1421133856229535744</v>
      </c>
      <c r="F15564" s="7" t="s">
        <v>17</v>
      </c>
      <c r="G15564" s="7">
        <v>4338431</v>
      </c>
      <c r="H15564" s="7">
        <v>2533</v>
      </c>
      <c r="I15564" s="7">
        <v>53</v>
      </c>
      <c r="J15564" s="7">
        <v>169</v>
      </c>
      <c r="K15564" s="7" t="s">
        <v>18</v>
      </c>
      <c r="L15564" s="8">
        <v>39987.315405092595</v>
      </c>
      <c r="M15564" s="9" t="s">
        <v>19</v>
      </c>
      <c r="N15564" s="9" t="s">
        <v>20</v>
      </c>
      <c r="O15564" s="6" t="str">
        <f>HYPERLINK("https://pbs.twimg.com/profile_images/962471262747529216/Uo8lOkRJ_normal.jpg","View")</f>
        <v>View</v>
      </c>
      <c r="P15564" s="7"/>
    </row>
    <row r="15565" spans="1:16">
      <c r="A15565" s="3">
        <v>44407.882997685185</v>
      </c>
      <c r="B15565" s="4" t="str">
        <f>HYPERLINK("https://twitter.com/petrogustavo","@petrogustavo")</f>
        <v>@petrogustavo</v>
      </c>
      <c r="C15565" s="5" t="s">
        <v>16</v>
      </c>
      <c r="D15565" s="5" t="s">
        <v>14989</v>
      </c>
      <c r="E15565" s="6" t="str">
        <f>HYPERLINK("https://twitter.com/petrogustavo/status/1421133863217213442","1421133863217213442")</f>
        <v>1421133863217213442</v>
      </c>
      <c r="F15565" s="7" t="s">
        <v>17</v>
      </c>
      <c r="G15565" s="7">
        <v>4338431</v>
      </c>
      <c r="H15565" s="7">
        <v>2533</v>
      </c>
      <c r="I15565" s="7">
        <v>45</v>
      </c>
      <c r="J15565" s="7">
        <v>146</v>
      </c>
      <c r="K15565" s="7" t="s">
        <v>18</v>
      </c>
      <c r="L15565" s="8">
        <v>39987.315405092595</v>
      </c>
      <c r="M15565" s="9" t="s">
        <v>19</v>
      </c>
      <c r="N15565" s="9" t="s">
        <v>20</v>
      </c>
      <c r="O15565" s="6" t="str">
        <f>HYPERLINK("https://pbs.twimg.com/profile_images/962471262747529216/Uo8lOkRJ_normal.jpg","View")</f>
        <v>View</v>
      </c>
      <c r="P15565" s="7"/>
    </row>
    <row r="15566" spans="1:16">
      <c r="A15566" s="3">
        <v>44407.922500000001</v>
      </c>
      <c r="B15566" s="4" t="str">
        <f>HYPERLINK("https://twitter.com/petrogustavo","@petrogustavo")</f>
        <v>@petrogustavo</v>
      </c>
      <c r="C15566" s="5" t="s">
        <v>16</v>
      </c>
      <c r="D15566" s="5" t="s">
        <v>14990</v>
      </c>
      <c r="E15566" s="6" t="str">
        <f>HYPERLINK("https://twitter.com/petrogustavo/status/1421148181002395653","1421148181002395653")</f>
        <v>1421148181002395653</v>
      </c>
      <c r="F15566" s="7" t="s">
        <v>32</v>
      </c>
      <c r="G15566" s="7">
        <v>4338491</v>
      </c>
      <c r="H15566" s="7">
        <v>2533</v>
      </c>
      <c r="I15566" s="7">
        <v>161</v>
      </c>
      <c r="J15566" s="7">
        <v>473</v>
      </c>
      <c r="K15566" s="7" t="s">
        <v>18</v>
      </c>
      <c r="L15566" s="8">
        <v>39987.315405092595</v>
      </c>
      <c r="M15566" s="9" t="s">
        <v>19</v>
      </c>
      <c r="N15566" s="9" t="s">
        <v>20</v>
      </c>
      <c r="O15566" s="6" t="str">
        <f>HYPERLINK("https://pbs.twimg.com/profile_images/962471262747529216/Uo8lOkRJ_normal.jpg","View")</f>
        <v>View</v>
      </c>
      <c r="P15566" s="7"/>
    </row>
    <row r="15567" spans="1:16">
      <c r="A15567" s="3">
        <v>44407.938668981486</v>
      </c>
      <c r="B15567" s="4" t="str">
        <f>HYPERLINK("https://twitter.com/petrogustavo","@petrogustavo")</f>
        <v>@petrogustavo</v>
      </c>
      <c r="C15567" s="5" t="s">
        <v>16</v>
      </c>
      <c r="D15567" s="5" t="s">
        <v>14991</v>
      </c>
      <c r="E15567" s="6" t="str">
        <f>HYPERLINK("https://twitter.com/petrogustavo/status/1421154037894893583","1421154037894893583")</f>
        <v>1421154037894893583</v>
      </c>
      <c r="F15567" s="7" t="s">
        <v>32</v>
      </c>
      <c r="G15567" s="7">
        <v>4338508</v>
      </c>
      <c r="H15567" s="7">
        <v>2533</v>
      </c>
      <c r="I15567" s="7">
        <v>93</v>
      </c>
      <c r="J15567" s="7">
        <v>243</v>
      </c>
      <c r="K15567" s="7" t="s">
        <v>18</v>
      </c>
      <c r="L15567" s="8">
        <v>39987.315405092595</v>
      </c>
      <c r="M15567" s="9" t="s">
        <v>19</v>
      </c>
      <c r="N15567" s="9" t="s">
        <v>20</v>
      </c>
      <c r="O15567" s="6" t="str">
        <f>HYPERLINK("https://pbs.twimg.com/profile_images/962471262747529216/Uo8lOkRJ_normal.jpg","View")</f>
        <v>View</v>
      </c>
      <c r="P15567" s="7"/>
    </row>
    <row r="15568" spans="1:16">
      <c r="A15568" s="3">
        <v>44407.938668981486</v>
      </c>
      <c r="B15568" s="4" t="str">
        <f>HYPERLINK("https://twitter.com/petrogustavo","@petrogustavo")</f>
        <v>@petrogustavo</v>
      </c>
      <c r="C15568" s="5" t="s">
        <v>16</v>
      </c>
      <c r="D15568" s="5" t="s">
        <v>14992</v>
      </c>
      <c r="E15568" s="6" t="str">
        <f>HYPERLINK("https://twitter.com/petrogustavo/status/1421154039912443907","1421154039912443907")</f>
        <v>1421154039912443907</v>
      </c>
      <c r="F15568" s="7" t="s">
        <v>32</v>
      </c>
      <c r="G15568" s="7">
        <v>4338508</v>
      </c>
      <c r="H15568" s="7">
        <v>2533</v>
      </c>
      <c r="I15568" s="7">
        <v>48</v>
      </c>
      <c r="J15568" s="7">
        <v>179</v>
      </c>
      <c r="K15568" s="7" t="s">
        <v>18</v>
      </c>
      <c r="L15568" s="8">
        <v>39987.315405092595</v>
      </c>
      <c r="M15568" s="9" t="s">
        <v>19</v>
      </c>
      <c r="N15568" s="9" t="s">
        <v>20</v>
      </c>
      <c r="O15568" s="6" t="str">
        <f>HYPERLINK("https://pbs.twimg.com/profile_images/962471262747529216/Uo8lOkRJ_normal.jpg","View")</f>
        <v>View</v>
      </c>
      <c r="P15568" s="7"/>
    </row>
    <row r="15569" spans="1:16">
      <c r="A15569" s="3">
        <v>44408.121203703704</v>
      </c>
      <c r="B15569" s="4" t="str">
        <f>HYPERLINK("https://twitter.com/petrogustavo","@petrogustavo")</f>
        <v>@petrogustavo</v>
      </c>
      <c r="C15569" s="5" t="s">
        <v>16</v>
      </c>
      <c r="D15569" s="5" t="s">
        <v>14993</v>
      </c>
      <c r="E15569" s="6" t="str">
        <f>HYPERLINK("https://twitter.com/petrogustavo/status/1421220190008774656","1421220190008774656")</f>
        <v>1421220190008774656</v>
      </c>
      <c r="F15569" s="7" t="s">
        <v>17</v>
      </c>
      <c r="G15569" s="7">
        <v>4338712</v>
      </c>
      <c r="H15569" s="7">
        <v>2533</v>
      </c>
      <c r="I15569" s="7">
        <v>110</v>
      </c>
      <c r="J15569" s="7">
        <v>294</v>
      </c>
      <c r="K15569" s="7" t="s">
        <v>18</v>
      </c>
      <c r="L15569" s="8">
        <v>39987.315405092595</v>
      </c>
      <c r="M15569" s="9" t="s">
        <v>19</v>
      </c>
      <c r="N15569" s="9" t="s">
        <v>20</v>
      </c>
      <c r="O15569" s="6" t="str">
        <f>HYPERLINK("https://pbs.twimg.com/profile_images/962471262747529216/Uo8lOkRJ_normal.jpg","View")</f>
        <v>View</v>
      </c>
      <c r="P15569" s="7"/>
    </row>
    <row r="15570" spans="1:16">
      <c r="A15570" s="3">
        <v>44408.121215277773</v>
      </c>
      <c r="B15570" s="4" t="str">
        <f>HYPERLINK("https://twitter.com/petrogustavo","@petrogustavo")</f>
        <v>@petrogustavo</v>
      </c>
      <c r="C15570" s="5" t="s">
        <v>16</v>
      </c>
      <c r="D15570" s="5" t="s">
        <v>14994</v>
      </c>
      <c r="E15570" s="6" t="str">
        <f>HYPERLINK("https://twitter.com/petrogustavo/status/1421220191569055744","1421220191569055744")</f>
        <v>1421220191569055744</v>
      </c>
      <c r="F15570" s="7" t="s">
        <v>17</v>
      </c>
      <c r="G15570" s="7">
        <v>4338712</v>
      </c>
      <c r="H15570" s="7">
        <v>2533</v>
      </c>
      <c r="I15570" s="7">
        <v>80</v>
      </c>
      <c r="J15570" s="7">
        <v>254</v>
      </c>
      <c r="K15570" s="7" t="s">
        <v>18</v>
      </c>
      <c r="L15570" s="8">
        <v>39987.315405092595</v>
      </c>
      <c r="M15570" s="9" t="s">
        <v>19</v>
      </c>
      <c r="N15570" s="9" t="s">
        <v>20</v>
      </c>
      <c r="O15570" s="6" t="str">
        <f>HYPERLINK("https://pbs.twimg.com/profile_images/962471262747529216/Uo8lOkRJ_normal.jpg","View")</f>
        <v>View</v>
      </c>
      <c r="P15570" s="7"/>
    </row>
    <row r="15571" spans="1:16">
      <c r="A15571" s="3">
        <v>44408.121215277773</v>
      </c>
      <c r="B15571" s="4" t="str">
        <f>HYPERLINK("https://twitter.com/petrogustavo","@petrogustavo")</f>
        <v>@petrogustavo</v>
      </c>
      <c r="C15571" s="5" t="s">
        <v>16</v>
      </c>
      <c r="D15571" s="5" t="s">
        <v>14995</v>
      </c>
      <c r="E15571" s="6" t="str">
        <f>HYPERLINK("https://twitter.com/petrogustavo/status/1421220192823218178","1421220192823218178")</f>
        <v>1421220192823218178</v>
      </c>
      <c r="F15571" s="7" t="s">
        <v>17</v>
      </c>
      <c r="G15571" s="7">
        <v>4338712</v>
      </c>
      <c r="H15571" s="7">
        <v>2533</v>
      </c>
      <c r="I15571" s="7">
        <v>75</v>
      </c>
      <c r="J15571" s="7">
        <v>238</v>
      </c>
      <c r="K15571" s="7" t="s">
        <v>18</v>
      </c>
      <c r="L15571" s="8">
        <v>39987.315405092595</v>
      </c>
      <c r="M15571" s="9" t="s">
        <v>19</v>
      </c>
      <c r="N15571" s="9" t="s">
        <v>20</v>
      </c>
      <c r="O15571" s="6" t="str">
        <f>HYPERLINK("https://pbs.twimg.com/profile_images/962471262747529216/Uo8lOkRJ_normal.jpg","View")</f>
        <v>View</v>
      </c>
      <c r="P15571" s="7"/>
    </row>
    <row r="15572" spans="1:16">
      <c r="A15572" s="3">
        <v>44408.163599537038</v>
      </c>
      <c r="B15572" s="4" t="str">
        <f>HYPERLINK("https://twitter.com/petrogustavo","@petrogustavo")</f>
        <v>@petrogustavo</v>
      </c>
      <c r="C15572" s="5" t="s">
        <v>16</v>
      </c>
      <c r="D15572" s="5" t="s">
        <v>14996</v>
      </c>
      <c r="E15572" s="6" t="str">
        <f>HYPERLINK("https://twitter.com/petrogustavo/status/1421235552427384836","1421235552427384836")</f>
        <v>1421235552427384836</v>
      </c>
      <c r="F15572" s="7" t="s">
        <v>17</v>
      </c>
      <c r="G15572" s="7">
        <v>4338756</v>
      </c>
      <c r="H15572" s="7">
        <v>2533</v>
      </c>
      <c r="I15572" s="7">
        <v>286</v>
      </c>
      <c r="J15572" s="7">
        <v>714</v>
      </c>
      <c r="K15572" s="7" t="s">
        <v>18</v>
      </c>
      <c r="L15572" s="8">
        <v>39987.315405092595</v>
      </c>
      <c r="M15572" s="9" t="s">
        <v>19</v>
      </c>
      <c r="N15572" s="9" t="s">
        <v>20</v>
      </c>
      <c r="O15572" s="6" t="str">
        <f>HYPERLINK("https://pbs.twimg.com/profile_images/962471262747529216/Uo8lOkRJ_normal.jpg","View")</f>
        <v>View</v>
      </c>
      <c r="P15572" s="7"/>
    </row>
    <row r="15573" spans="1:16">
      <c r="A15573" s="3">
        <v>44408.166712962964</v>
      </c>
      <c r="B15573" s="4" t="str">
        <f>HYPERLINK("https://twitter.com/petrogustavo","@petrogustavo")</f>
        <v>@petrogustavo</v>
      </c>
      <c r="C15573" s="5" t="s">
        <v>16</v>
      </c>
      <c r="D15573" s="5" t="s">
        <v>14997</v>
      </c>
      <c r="E15573" s="6" t="str">
        <f>HYPERLINK("https://twitter.com/petrogustavo/status/1421236679176855554","1421236679176855554")</f>
        <v>1421236679176855554</v>
      </c>
      <c r="F15573" s="7" t="s">
        <v>17</v>
      </c>
      <c r="G15573" s="7">
        <v>4338756</v>
      </c>
      <c r="H15573" s="7">
        <v>2533</v>
      </c>
      <c r="I15573" s="7">
        <v>111</v>
      </c>
      <c r="J15573" s="7">
        <v>249</v>
      </c>
      <c r="K15573" s="7" t="s">
        <v>18</v>
      </c>
      <c r="L15573" s="8">
        <v>39987.315405092595</v>
      </c>
      <c r="M15573" s="9" t="s">
        <v>19</v>
      </c>
      <c r="N15573" s="9" t="s">
        <v>20</v>
      </c>
      <c r="O15573" s="6" t="str">
        <f>HYPERLINK("https://pbs.twimg.com/profile_images/962471262747529216/Uo8lOkRJ_normal.jpg","View")</f>
        <v>View</v>
      </c>
      <c r="P15573" s="7"/>
    </row>
    <row r="15574" spans="1:16">
      <c r="A15574" s="3">
        <v>44408.184189814812</v>
      </c>
      <c r="B15574" s="4" t="str">
        <f>HYPERLINK("https://twitter.com/petrogustavo","@petrogustavo")</f>
        <v>@petrogustavo</v>
      </c>
      <c r="C15574" s="5" t="s">
        <v>16</v>
      </c>
      <c r="D15574" s="5" t="s">
        <v>14998</v>
      </c>
      <c r="E15574" s="6" t="str">
        <f>HYPERLINK("https://twitter.com/petrogustavo/status/1421243014480113666","1421243014480113666")</f>
        <v>1421243014480113666</v>
      </c>
      <c r="F15574" s="7" t="s">
        <v>17</v>
      </c>
      <c r="G15574" s="7">
        <v>4338766</v>
      </c>
      <c r="H15574" s="7">
        <v>2533</v>
      </c>
      <c r="I15574" s="7">
        <v>155</v>
      </c>
      <c r="J15574" s="7">
        <v>381</v>
      </c>
      <c r="K15574" s="7" t="s">
        <v>18</v>
      </c>
      <c r="L15574" s="8">
        <v>39987.315405092595</v>
      </c>
      <c r="M15574" s="9" t="s">
        <v>19</v>
      </c>
      <c r="N15574" s="9" t="s">
        <v>20</v>
      </c>
      <c r="O15574" s="6" t="str">
        <f>HYPERLINK("https://pbs.twimg.com/profile_images/962471262747529216/Uo8lOkRJ_normal.jpg","View")</f>
        <v>View</v>
      </c>
      <c r="P15574" s="7"/>
    </row>
    <row r="15575" spans="1:16">
      <c r="A15575" s="3">
        <v>44408.228414351848</v>
      </c>
      <c r="B15575" s="4" t="str">
        <f>HYPERLINK("https://twitter.com/petrogustavo","@petrogustavo")</f>
        <v>@petrogustavo</v>
      </c>
      <c r="C15575" s="5" t="s">
        <v>16</v>
      </c>
      <c r="D15575" s="5" t="s">
        <v>14999</v>
      </c>
      <c r="E15575" s="6" t="str">
        <f>HYPERLINK("https://twitter.com/petrogustavo/status/1421259038197702663","1421259038197702663")</f>
        <v>1421259038197702663</v>
      </c>
      <c r="F15575" s="7" t="s">
        <v>17</v>
      </c>
      <c r="G15575" s="7">
        <v>4338810</v>
      </c>
      <c r="H15575" s="7">
        <v>2533</v>
      </c>
      <c r="I15575" s="7">
        <v>154</v>
      </c>
      <c r="J15575" s="7">
        <v>391</v>
      </c>
      <c r="K15575" s="7" t="s">
        <v>18</v>
      </c>
      <c r="L15575" s="8">
        <v>39987.315405092595</v>
      </c>
      <c r="M15575" s="9" t="s">
        <v>19</v>
      </c>
      <c r="N15575" s="9" t="s">
        <v>20</v>
      </c>
      <c r="O15575" s="6" t="str">
        <f>HYPERLINK("https://pbs.twimg.com/profile_images/962471262747529216/Uo8lOkRJ_normal.jpg","View")</f>
        <v>View</v>
      </c>
      <c r="P15575" s="7"/>
    </row>
    <row r="15576" spans="1:16">
      <c r="A15576" s="3">
        <v>44408.228414351848</v>
      </c>
      <c r="B15576" s="4" t="str">
        <f>HYPERLINK("https://twitter.com/petrogustavo","@petrogustavo")</f>
        <v>@petrogustavo</v>
      </c>
      <c r="C15576" s="5" t="s">
        <v>16</v>
      </c>
      <c r="D15576" s="5" t="s">
        <v>15000</v>
      </c>
      <c r="E15576" s="6" t="str">
        <f>HYPERLINK("https://twitter.com/petrogustavo/status/1421259039112110089","1421259039112110089")</f>
        <v>1421259039112110089</v>
      </c>
      <c r="F15576" s="7" t="s">
        <v>17</v>
      </c>
      <c r="G15576" s="7">
        <v>4338810</v>
      </c>
      <c r="H15576" s="7">
        <v>2533</v>
      </c>
      <c r="I15576" s="7">
        <v>87</v>
      </c>
      <c r="J15576" s="7">
        <v>264</v>
      </c>
      <c r="K15576" s="7" t="s">
        <v>18</v>
      </c>
      <c r="L15576" s="8">
        <v>39987.315405092595</v>
      </c>
      <c r="M15576" s="9" t="s">
        <v>19</v>
      </c>
      <c r="N15576" s="9" t="s">
        <v>20</v>
      </c>
      <c r="O15576" s="6" t="str">
        <f>HYPERLINK("https://pbs.twimg.com/profile_images/962471262747529216/Uo8lOkRJ_normal.jpg","View")</f>
        <v>View</v>
      </c>
      <c r="P15576" s="7"/>
    </row>
    <row r="15577" spans="1:16">
      <c r="A15577" s="3">
        <v>44408.228680555556</v>
      </c>
      <c r="B15577" s="4" t="str">
        <f>HYPERLINK("https://twitter.com/petrogustavo","@petrogustavo")</f>
        <v>@petrogustavo</v>
      </c>
      <c r="C15577" s="5" t="s">
        <v>16</v>
      </c>
      <c r="D15577" s="5" t="s">
        <v>15001</v>
      </c>
      <c r="E15577" s="6" t="str">
        <f>HYPERLINK("https://twitter.com/petrogustavo/status/1421259135857856515","1421259135857856515")</f>
        <v>1421259135857856515</v>
      </c>
      <c r="F15577" s="7" t="s">
        <v>17</v>
      </c>
      <c r="G15577" s="7">
        <v>4338810</v>
      </c>
      <c r="H15577" s="7">
        <v>2533</v>
      </c>
      <c r="I15577" s="7">
        <v>154</v>
      </c>
      <c r="J15577" s="7">
        <v>0</v>
      </c>
      <c r="K15577" s="7" t="s">
        <v>18</v>
      </c>
      <c r="L15577" s="8">
        <v>39987.315405092595</v>
      </c>
      <c r="M15577" s="9" t="s">
        <v>19</v>
      </c>
      <c r="N15577" s="9" t="s">
        <v>20</v>
      </c>
      <c r="O15577" s="6" t="str">
        <f>HYPERLINK("https://pbs.twimg.com/profile_images/962471262747529216/Uo8lOkRJ_normal.jpg","View")</f>
        <v>View</v>
      </c>
      <c r="P15577" s="7"/>
    </row>
    <row r="15578" spans="1:16">
      <c r="A15578" s="3">
        <v>44408.263310185182</v>
      </c>
      <c r="B15578" s="4" t="str">
        <f>HYPERLINK("https://twitter.com/petrogustavo","@petrogustavo")</f>
        <v>@petrogustavo</v>
      </c>
      <c r="C15578" s="5" t="s">
        <v>16</v>
      </c>
      <c r="D15578" s="5" t="s">
        <v>15002</v>
      </c>
      <c r="E15578" s="6" t="str">
        <f>HYPERLINK("https://twitter.com/petrogustavo/status/1421271687291670529","1421271687291670529")</f>
        <v>1421271687291670529</v>
      </c>
      <c r="F15578" s="7" t="s">
        <v>17</v>
      </c>
      <c r="G15578" s="7">
        <v>4338846</v>
      </c>
      <c r="H15578" s="7">
        <v>2534</v>
      </c>
      <c r="I15578" s="7">
        <v>178</v>
      </c>
      <c r="J15578" s="7">
        <v>458</v>
      </c>
      <c r="K15578" s="7" t="s">
        <v>18</v>
      </c>
      <c r="L15578" s="8">
        <v>39987.315405092595</v>
      </c>
      <c r="M15578" s="9" t="s">
        <v>19</v>
      </c>
      <c r="N15578" s="9" t="s">
        <v>20</v>
      </c>
      <c r="O15578" s="6" t="str">
        <f>HYPERLINK("https://pbs.twimg.com/profile_images/962471262747529216/Uo8lOkRJ_normal.jpg","View")</f>
        <v>View</v>
      </c>
      <c r="P15578" s="7"/>
    </row>
    <row r="15579" spans="1:16">
      <c r="A15579" s="3">
        <v>44408.263321759259</v>
      </c>
      <c r="B15579" s="4" t="str">
        <f>HYPERLINK("https://twitter.com/petrogustavo","@petrogustavo")</f>
        <v>@petrogustavo</v>
      </c>
      <c r="C15579" s="5" t="s">
        <v>16</v>
      </c>
      <c r="D15579" s="5" t="s">
        <v>15003</v>
      </c>
      <c r="E15579" s="6" t="str">
        <f>HYPERLINK("https://twitter.com/petrogustavo/status/1421271688684003331","1421271688684003331")</f>
        <v>1421271688684003331</v>
      </c>
      <c r="F15579" s="7" t="s">
        <v>17</v>
      </c>
      <c r="G15579" s="7">
        <v>4338846</v>
      </c>
      <c r="H15579" s="7">
        <v>2534</v>
      </c>
      <c r="I15579" s="7">
        <v>103</v>
      </c>
      <c r="J15579" s="7">
        <v>351</v>
      </c>
      <c r="K15579" s="7" t="s">
        <v>18</v>
      </c>
      <c r="L15579" s="8">
        <v>39987.315405092595</v>
      </c>
      <c r="M15579" s="9" t="s">
        <v>19</v>
      </c>
      <c r="N15579" s="9" t="s">
        <v>20</v>
      </c>
      <c r="O15579" s="6" t="str">
        <f>HYPERLINK("https://pbs.twimg.com/profile_images/962471262747529216/Uo8lOkRJ_normal.jpg","View")</f>
        <v>View</v>
      </c>
      <c r="P15579" s="7"/>
    </row>
    <row r="15580" spans="1:16">
      <c r="A15580" s="3">
        <v>44408.263321759259</v>
      </c>
      <c r="B15580" s="4" t="str">
        <f>HYPERLINK("https://twitter.com/petrogustavo","@petrogustavo")</f>
        <v>@petrogustavo</v>
      </c>
      <c r="C15580" s="5" t="s">
        <v>16</v>
      </c>
      <c r="D15580" s="5" t="s">
        <v>15004</v>
      </c>
      <c r="E15580" s="6" t="str">
        <f>HYPERLINK("https://twitter.com/petrogustavo/status/1421271689841762309","1421271689841762309")</f>
        <v>1421271689841762309</v>
      </c>
      <c r="F15580" s="7" t="s">
        <v>17</v>
      </c>
      <c r="G15580" s="7">
        <v>4338846</v>
      </c>
      <c r="H15580" s="7">
        <v>2534</v>
      </c>
      <c r="I15580" s="7">
        <v>74</v>
      </c>
      <c r="J15580" s="7">
        <v>301</v>
      </c>
      <c r="K15580" s="7" t="s">
        <v>18</v>
      </c>
      <c r="L15580" s="8">
        <v>39987.315405092595</v>
      </c>
      <c r="M15580" s="9" t="s">
        <v>19</v>
      </c>
      <c r="N15580" s="9" t="s">
        <v>20</v>
      </c>
      <c r="O15580" s="6" t="str">
        <f>HYPERLINK("https://pbs.twimg.com/profile_images/962471262747529216/Uo8lOkRJ_normal.jpg","View")</f>
        <v>View</v>
      </c>
      <c r="P15580" s="7"/>
    </row>
    <row r="15581" spans="1:16">
      <c r="A15581" s="3">
        <v>44408.678599537037</v>
      </c>
      <c r="B15581" s="4" t="str">
        <f>HYPERLINK("https://twitter.com/petrogustavo","@petrogustavo")</f>
        <v>@petrogustavo</v>
      </c>
      <c r="C15581" s="5" t="s">
        <v>16</v>
      </c>
      <c r="D15581" s="5" t="s">
        <v>15005</v>
      </c>
      <c r="E15581" s="6" t="str">
        <f>HYPERLINK("https://twitter.com/petrogustavo/status/1421422180127154176","1421422180127154176")</f>
        <v>1421422180127154176</v>
      </c>
      <c r="F15581" s="7" t="s">
        <v>17</v>
      </c>
      <c r="G15581" s="7">
        <v>4339010</v>
      </c>
      <c r="H15581" s="7">
        <v>2534</v>
      </c>
      <c r="I15581" s="7">
        <v>0</v>
      </c>
      <c r="J15581" s="7">
        <v>0</v>
      </c>
      <c r="K15581" s="7" t="s">
        <v>18</v>
      </c>
      <c r="L15581" s="8">
        <v>39987.315405092595</v>
      </c>
      <c r="M15581" s="9" t="s">
        <v>19</v>
      </c>
      <c r="N15581" s="9" t="s">
        <v>20</v>
      </c>
      <c r="O15581" s="6" t="str">
        <f>HYPERLINK("https://pbs.twimg.com/profile_images/962471262747529216/Uo8lOkRJ_normal.jpg","View")</f>
        <v>View</v>
      </c>
      <c r="P15581" s="7"/>
    </row>
    <row r="15582" spans="1:16">
      <c r="A15582" s="3">
        <v>44408.74319444444</v>
      </c>
      <c r="B15582" s="4" t="str">
        <f>HYPERLINK("https://twitter.com/petrogustavo","@petrogustavo")</f>
        <v>@petrogustavo</v>
      </c>
      <c r="C15582" s="5" t="s">
        <v>16</v>
      </c>
      <c r="D15582" s="5" t="s">
        <v>15006</v>
      </c>
      <c r="E15582" s="6" t="str">
        <f>HYPERLINK("https://twitter.com/petrogustavo/status/1421445590362337280","1421445590362337280")</f>
        <v>1421445590362337280</v>
      </c>
      <c r="F15582" s="7" t="s">
        <v>17</v>
      </c>
      <c r="G15582" s="7">
        <v>4339040</v>
      </c>
      <c r="H15582" s="7">
        <v>2534</v>
      </c>
      <c r="I15582" s="7">
        <v>1023</v>
      </c>
      <c r="J15582" s="7">
        <v>0</v>
      </c>
      <c r="K15582" s="7" t="s">
        <v>18</v>
      </c>
      <c r="L15582" s="8">
        <v>39987.315405092595</v>
      </c>
      <c r="M15582" s="9" t="s">
        <v>19</v>
      </c>
      <c r="N15582" s="9" t="s">
        <v>20</v>
      </c>
      <c r="O15582" s="6" t="str">
        <f>HYPERLINK("https://pbs.twimg.com/profile_images/962471262747529216/Uo8lOkRJ_normal.jpg","View")</f>
        <v>View</v>
      </c>
      <c r="P15582" s="7"/>
    </row>
    <row r="15583" spans="1:16">
      <c r="A15583" s="3">
        <v>44408.81758101852</v>
      </c>
      <c r="B15583" s="4" t="str">
        <f>HYPERLINK("https://twitter.com/petrogustavo","@petrogustavo")</f>
        <v>@petrogustavo</v>
      </c>
      <c r="C15583" s="5" t="s">
        <v>16</v>
      </c>
      <c r="D15583" s="5" t="s">
        <v>15007</v>
      </c>
      <c r="E15583" s="6" t="str">
        <f>HYPERLINK("https://twitter.com/petrogustavo/status/1421472546822709249","1421472546822709249")</f>
        <v>1421472546822709249</v>
      </c>
      <c r="F15583" s="7" t="s">
        <v>17</v>
      </c>
      <c r="G15583" s="7">
        <v>4339077</v>
      </c>
      <c r="H15583" s="7">
        <v>2534</v>
      </c>
      <c r="I15583" s="7">
        <v>631</v>
      </c>
      <c r="J15583" s="7">
        <v>0</v>
      </c>
      <c r="K15583" s="7" t="s">
        <v>18</v>
      </c>
      <c r="L15583" s="8">
        <v>39987.315405092595</v>
      </c>
      <c r="M15583" s="9" t="s">
        <v>19</v>
      </c>
      <c r="N15583" s="9" t="s">
        <v>20</v>
      </c>
      <c r="O15583" s="6" t="str">
        <f>HYPERLINK("https://pbs.twimg.com/profile_images/962471262747529216/Uo8lOkRJ_normal.jpg","View")</f>
        <v>View</v>
      </c>
      <c r="P15583" s="7"/>
    </row>
    <row r="15584" spans="1:16">
      <c r="A15584" s="3">
        <v>44408.833090277782</v>
      </c>
      <c r="B15584" s="4" t="str">
        <f>HYPERLINK("https://twitter.com/petrogustavo","@petrogustavo")</f>
        <v>@petrogustavo</v>
      </c>
      <c r="C15584" s="5" t="s">
        <v>16</v>
      </c>
      <c r="D15584" s="5" t="s">
        <v>15006</v>
      </c>
      <c r="E15584" s="6" t="str">
        <f>HYPERLINK("https://twitter.com/petrogustavo/status/1421478167668301827","1421478167668301827")</f>
        <v>1421478167668301827</v>
      </c>
      <c r="F15584" s="7" t="s">
        <v>17</v>
      </c>
      <c r="G15584" s="7">
        <v>4339041</v>
      </c>
      <c r="H15584" s="7">
        <v>2533</v>
      </c>
      <c r="I15584" s="7">
        <v>1186</v>
      </c>
      <c r="J15584" s="7">
        <v>0</v>
      </c>
      <c r="K15584" s="7" t="s">
        <v>18</v>
      </c>
      <c r="L15584" s="8">
        <v>39987.315405092595</v>
      </c>
      <c r="M15584" s="9" t="s">
        <v>19</v>
      </c>
      <c r="N15584" s="9" t="s">
        <v>20</v>
      </c>
      <c r="O15584" s="6" t="str">
        <f>HYPERLINK("https://pbs.twimg.com/profile_images/962471262747529216/Uo8lOkRJ_normal.jpg","View")</f>
        <v>View</v>
      </c>
      <c r="P15584" s="7"/>
    </row>
    <row r="15585" spans="1:16">
      <c r="A15585" s="3">
        <v>44408.889745370368</v>
      </c>
      <c r="B15585" s="4" t="str">
        <f>HYPERLINK("https://twitter.com/petrogustavo","@petrogustavo")</f>
        <v>@petrogustavo</v>
      </c>
      <c r="C15585" s="5" t="s">
        <v>16</v>
      </c>
      <c r="D15585" s="5" t="s">
        <v>15008</v>
      </c>
      <c r="E15585" s="6" t="str">
        <f>HYPERLINK("https://twitter.com/petrogustavo/status/1421498698912108546","1421498698912108546")</f>
        <v>1421498698912108546</v>
      </c>
      <c r="F15585" s="7" t="s">
        <v>17</v>
      </c>
      <c r="G15585" s="7">
        <v>4339075</v>
      </c>
      <c r="H15585" s="7">
        <v>2533</v>
      </c>
      <c r="I15585" s="7">
        <v>256</v>
      </c>
      <c r="J15585" s="7">
        <v>868</v>
      </c>
      <c r="K15585" s="7" t="s">
        <v>18</v>
      </c>
      <c r="L15585" s="8">
        <v>39987.315405092595</v>
      </c>
      <c r="M15585" s="9" t="s">
        <v>19</v>
      </c>
      <c r="N15585" s="9" t="s">
        <v>20</v>
      </c>
      <c r="O15585" s="6" t="str">
        <f>HYPERLINK("https://pbs.twimg.com/profile_images/962471262747529216/Uo8lOkRJ_normal.jpg","View")</f>
        <v>View</v>
      </c>
      <c r="P15585" s="7"/>
    </row>
    <row r="15586" spans="1:16">
      <c r="A15586" s="3">
        <v>44409.006261574075</v>
      </c>
      <c r="B15586" s="4" t="str">
        <f>HYPERLINK("https://twitter.com/petrogustavo","@petrogustavo")</f>
        <v>@petrogustavo</v>
      </c>
      <c r="C15586" s="5" t="s">
        <v>16</v>
      </c>
      <c r="D15586" s="5" t="s">
        <v>15009</v>
      </c>
      <c r="E15586" s="6" t="str">
        <f>HYPERLINK("https://twitter.com/petrogustavo/status/1421540923310280710","1421540923310280710")</f>
        <v>1421540923310280710</v>
      </c>
      <c r="F15586" s="7" t="s">
        <v>17</v>
      </c>
      <c r="G15586" s="7">
        <v>4339101</v>
      </c>
      <c r="H15586" s="7">
        <v>2533</v>
      </c>
      <c r="I15586" s="7">
        <v>119</v>
      </c>
      <c r="J15586" s="7">
        <v>300</v>
      </c>
      <c r="K15586" s="7" t="s">
        <v>18</v>
      </c>
      <c r="L15586" s="8">
        <v>39987.315405092595</v>
      </c>
      <c r="M15586" s="9" t="s">
        <v>19</v>
      </c>
      <c r="N15586" s="9" t="s">
        <v>20</v>
      </c>
      <c r="O15586" s="6" t="str">
        <f>HYPERLINK("https://pbs.twimg.com/profile_images/962471262747529216/Uo8lOkRJ_normal.jpg","View")</f>
        <v>View</v>
      </c>
      <c r="P15586" s="7"/>
    </row>
    <row r="15587" spans="1:16">
      <c r="A15587" s="3">
        <v>44409.016111111108</v>
      </c>
      <c r="B15587" s="4" t="str">
        <f>HYPERLINK("https://twitter.com/petrogustavo","@petrogustavo")</f>
        <v>@petrogustavo</v>
      </c>
      <c r="C15587" s="5" t="s">
        <v>16</v>
      </c>
      <c r="D15587" s="5" t="s">
        <v>15010</v>
      </c>
      <c r="E15587" s="6" t="str">
        <f>HYPERLINK("https://twitter.com/petrogustavo/status/1421544493153767431","1421544493153767431")</f>
        <v>1421544493153767431</v>
      </c>
      <c r="F15587" s="7" t="s">
        <v>17</v>
      </c>
      <c r="G15587" s="7">
        <v>4339119</v>
      </c>
      <c r="H15587" s="7">
        <v>2533</v>
      </c>
      <c r="I15587" s="7">
        <v>196</v>
      </c>
      <c r="J15587" s="7">
        <v>572</v>
      </c>
      <c r="K15587" s="7" t="s">
        <v>18</v>
      </c>
      <c r="L15587" s="8">
        <v>39987.315405092595</v>
      </c>
      <c r="M15587" s="9" t="s">
        <v>19</v>
      </c>
      <c r="N15587" s="9" t="s">
        <v>20</v>
      </c>
      <c r="O15587" s="6" t="str">
        <f>HYPERLINK("https://pbs.twimg.com/profile_images/962471262747529216/Uo8lOkRJ_normal.jpg","View")</f>
        <v>View</v>
      </c>
      <c r="P15587" s="7"/>
    </row>
    <row r="15588" spans="1:16">
      <c r="A15588" s="3">
        <v>44409.091643518521</v>
      </c>
      <c r="B15588" s="4" t="str">
        <f>HYPERLINK("https://twitter.com/petrogustavo","@petrogustavo")</f>
        <v>@petrogustavo</v>
      </c>
      <c r="C15588" s="5" t="s">
        <v>16</v>
      </c>
      <c r="D15588" s="5" t="s">
        <v>15011</v>
      </c>
      <c r="E15588" s="6" t="str">
        <f>HYPERLINK("https://twitter.com/petrogustavo/status/1421571861767409667","1421571861767409667")</f>
        <v>1421571861767409667</v>
      </c>
      <c r="F15588" s="7" t="s">
        <v>17</v>
      </c>
      <c r="G15588" s="7">
        <v>4339164</v>
      </c>
      <c r="H15588" s="7">
        <v>2533</v>
      </c>
      <c r="I15588" s="7">
        <v>54</v>
      </c>
      <c r="J15588" s="7">
        <v>115</v>
      </c>
      <c r="K15588" s="7" t="s">
        <v>18</v>
      </c>
      <c r="L15588" s="8">
        <v>39987.315405092595</v>
      </c>
      <c r="M15588" s="9" t="s">
        <v>19</v>
      </c>
      <c r="N15588" s="9" t="s">
        <v>20</v>
      </c>
      <c r="O15588" s="6" t="str">
        <f>HYPERLINK("https://pbs.twimg.com/profile_images/962471262747529216/Uo8lOkRJ_normal.jpg","View")</f>
        <v>View</v>
      </c>
      <c r="P15588" s="7"/>
    </row>
    <row r="15589" spans="1:16">
      <c r="A15589" s="3">
        <v>44409.091643518521</v>
      </c>
      <c r="B15589" s="4" t="str">
        <f>HYPERLINK("https://twitter.com/petrogustavo","@petrogustavo")</f>
        <v>@petrogustavo</v>
      </c>
      <c r="C15589" s="5" t="s">
        <v>16</v>
      </c>
      <c r="D15589" s="5" t="s">
        <v>15012</v>
      </c>
      <c r="E15589" s="6" t="str">
        <f>HYPERLINK("https://twitter.com/petrogustavo/status/1421571863453577219","1421571863453577219")</f>
        <v>1421571863453577219</v>
      </c>
      <c r="F15589" s="7" t="s">
        <v>17</v>
      </c>
      <c r="G15589" s="7">
        <v>4339164</v>
      </c>
      <c r="H15589" s="7">
        <v>2533</v>
      </c>
      <c r="I15589" s="7">
        <v>6</v>
      </c>
      <c r="J15589" s="7">
        <v>20</v>
      </c>
      <c r="K15589" s="7" t="s">
        <v>18</v>
      </c>
      <c r="L15589" s="8">
        <v>39987.315405092595</v>
      </c>
      <c r="M15589" s="9" t="s">
        <v>19</v>
      </c>
      <c r="N15589" s="9" t="s">
        <v>20</v>
      </c>
      <c r="O15589" s="6" t="str">
        <f>HYPERLINK("https://pbs.twimg.com/profile_images/962471262747529216/Uo8lOkRJ_normal.jpg","View")</f>
        <v>View</v>
      </c>
      <c r="P15589" s="7"/>
    </row>
    <row r="15590" spans="1:16">
      <c r="A15590" s="3">
        <v>44409.091643518521</v>
      </c>
      <c r="B15590" s="4" t="str">
        <f>HYPERLINK("https://twitter.com/petrogustavo","@petrogustavo")</f>
        <v>@petrogustavo</v>
      </c>
      <c r="C15590" s="5" t="s">
        <v>16</v>
      </c>
      <c r="D15590" s="5" t="s">
        <v>15013</v>
      </c>
      <c r="E15590" s="6" t="str">
        <f>HYPERLINK("https://twitter.com/petrogustavo/status/1421571865043144715","1421571865043144715")</f>
        <v>1421571865043144715</v>
      </c>
      <c r="F15590" s="7" t="s">
        <v>17</v>
      </c>
      <c r="G15590" s="7">
        <v>4339164</v>
      </c>
      <c r="H15590" s="7">
        <v>2533</v>
      </c>
      <c r="I15590" s="7">
        <v>7</v>
      </c>
      <c r="J15590" s="7">
        <v>21</v>
      </c>
      <c r="K15590" s="7" t="s">
        <v>18</v>
      </c>
      <c r="L15590" s="8">
        <v>39987.315405092595</v>
      </c>
      <c r="M15590" s="9" t="s">
        <v>19</v>
      </c>
      <c r="N15590" s="9" t="s">
        <v>20</v>
      </c>
      <c r="O15590" s="6" t="str">
        <f>HYPERLINK("https://pbs.twimg.com/profile_images/962471262747529216/Uo8lOkRJ_normal.jpg","View")</f>
        <v>View</v>
      </c>
      <c r="P15590" s="7"/>
    </row>
    <row r="15591" spans="1:16">
      <c r="A15591" s="3">
        <v>44409.09165509259</v>
      </c>
      <c r="B15591" s="4" t="str">
        <f>HYPERLINK("https://twitter.com/petrogustavo","@petrogustavo")</f>
        <v>@petrogustavo</v>
      </c>
      <c r="C15591" s="5" t="s">
        <v>16</v>
      </c>
      <c r="D15591" s="5" t="s">
        <v>15014</v>
      </c>
      <c r="E15591" s="6" t="str">
        <f>HYPERLINK("https://twitter.com/petrogustavo/status/1421571866708353032","1421571866708353032")</f>
        <v>1421571866708353032</v>
      </c>
      <c r="F15591" s="7" t="s">
        <v>17</v>
      </c>
      <c r="G15591" s="7">
        <v>4339164</v>
      </c>
      <c r="H15591" s="7">
        <v>2533</v>
      </c>
      <c r="I15591" s="7">
        <v>19</v>
      </c>
      <c r="J15591" s="7">
        <v>45</v>
      </c>
      <c r="K15591" s="7" t="s">
        <v>18</v>
      </c>
      <c r="L15591" s="8">
        <v>39987.315405092595</v>
      </c>
      <c r="M15591" s="9" t="s">
        <v>19</v>
      </c>
      <c r="N15591" s="9" t="s">
        <v>20</v>
      </c>
      <c r="O15591" s="6" t="str">
        <f>HYPERLINK("https://pbs.twimg.com/profile_images/962471262747529216/Uo8lOkRJ_normal.jpg","View")</f>
        <v>View</v>
      </c>
      <c r="P15591" s="7"/>
    </row>
    <row r="15592" spans="1:16">
      <c r="A15592" s="3">
        <v>44409.09165509259</v>
      </c>
      <c r="B15592" s="4" t="str">
        <f>HYPERLINK("https://twitter.com/petrogustavo","@petrogustavo")</f>
        <v>@petrogustavo</v>
      </c>
      <c r="C15592" s="5" t="s">
        <v>16</v>
      </c>
      <c r="D15592" s="5" t="s">
        <v>15015</v>
      </c>
      <c r="E15592" s="6" t="str">
        <f>HYPERLINK("https://twitter.com/petrogustavo/status/1421571868134412291","1421571868134412291")</f>
        <v>1421571868134412291</v>
      </c>
      <c r="F15592" s="7" t="s">
        <v>17</v>
      </c>
      <c r="G15592" s="7">
        <v>4339164</v>
      </c>
      <c r="H15592" s="7">
        <v>2533</v>
      </c>
      <c r="I15592" s="7">
        <v>17</v>
      </c>
      <c r="J15592" s="7">
        <v>56</v>
      </c>
      <c r="K15592" s="7" t="s">
        <v>18</v>
      </c>
      <c r="L15592" s="8">
        <v>39987.315405092595</v>
      </c>
      <c r="M15592" s="9" t="s">
        <v>19</v>
      </c>
      <c r="N15592" s="9" t="s">
        <v>20</v>
      </c>
      <c r="O15592" s="6" t="str">
        <f>HYPERLINK("https://pbs.twimg.com/profile_images/962471262747529216/Uo8lOkRJ_normal.jpg","View")</f>
        <v>View</v>
      </c>
      <c r="P15592" s="7"/>
    </row>
    <row r="15593" spans="1:16">
      <c r="A15593" s="3">
        <v>44409.123449074075</v>
      </c>
      <c r="B15593" s="4" t="str">
        <f>HYPERLINK("https://twitter.com/petrogustavo","@petrogustavo")</f>
        <v>@petrogustavo</v>
      </c>
      <c r="C15593" s="5" t="s">
        <v>16</v>
      </c>
      <c r="D15593" s="5" t="s">
        <v>15016</v>
      </c>
      <c r="E15593" s="6" t="str">
        <f>HYPERLINK("https://twitter.com/petrogustavo/status/1421583389359017984","1421583389359017984")</f>
        <v>1421583389359017984</v>
      </c>
      <c r="F15593" s="7" t="s">
        <v>17</v>
      </c>
      <c r="G15593" s="7">
        <v>4339193</v>
      </c>
      <c r="H15593" s="7">
        <v>2533</v>
      </c>
      <c r="I15593" s="7">
        <v>81</v>
      </c>
      <c r="J15593" s="7">
        <v>256</v>
      </c>
      <c r="K15593" s="7" t="s">
        <v>18</v>
      </c>
      <c r="L15593" s="8">
        <v>39987.315405092595</v>
      </c>
      <c r="M15593" s="9" t="s">
        <v>19</v>
      </c>
      <c r="N15593" s="9" t="s">
        <v>20</v>
      </c>
      <c r="O15593" s="6" t="str">
        <f>HYPERLINK("https://pbs.twimg.com/profile_images/962471262747529216/Uo8lOkRJ_normal.jpg","View")</f>
        <v>View</v>
      </c>
      <c r="P15593" s="7"/>
    </row>
    <row r="15594" spans="1:16">
      <c r="A15594" s="3">
        <v>44409.135497685187</v>
      </c>
      <c r="B15594" s="4" t="str">
        <f>HYPERLINK("https://twitter.com/petrogustavo","@petrogustavo")</f>
        <v>@petrogustavo</v>
      </c>
      <c r="C15594" s="5" t="s">
        <v>16</v>
      </c>
      <c r="D15594" s="5" t="s">
        <v>15017</v>
      </c>
      <c r="E15594" s="6" t="str">
        <f>HYPERLINK("https://twitter.com/petrogustavo/status/1421587756602609664","1421587756602609664")</f>
        <v>1421587756602609664</v>
      </c>
      <c r="F15594" s="7" t="s">
        <v>17</v>
      </c>
      <c r="G15594" s="7">
        <v>4339193</v>
      </c>
      <c r="H15594" s="7">
        <v>2533</v>
      </c>
      <c r="I15594" s="7">
        <v>551</v>
      </c>
      <c r="J15594" s="7">
        <v>0</v>
      </c>
      <c r="K15594" s="7" t="s">
        <v>18</v>
      </c>
      <c r="L15594" s="8">
        <v>39987.315405092595</v>
      </c>
      <c r="M15594" s="9" t="s">
        <v>19</v>
      </c>
      <c r="N15594" s="9" t="s">
        <v>20</v>
      </c>
      <c r="O15594" s="6" t="str">
        <f>HYPERLINK("https://pbs.twimg.com/profile_images/962471262747529216/Uo8lOkRJ_normal.jpg","View")</f>
        <v>View</v>
      </c>
      <c r="P15594" s="7"/>
    </row>
    <row r="15595" spans="1:16">
      <c r="A15595" s="3">
        <v>44409.138541666667</v>
      </c>
      <c r="B15595" s="4" t="str">
        <f>HYPERLINK("https://twitter.com/petrogustavo","@petrogustavo")</f>
        <v>@petrogustavo</v>
      </c>
      <c r="C15595" s="5" t="s">
        <v>16</v>
      </c>
      <c r="D15595" s="5" t="s">
        <v>15018</v>
      </c>
      <c r="E15595" s="6" t="str">
        <f>HYPERLINK("https://twitter.com/petrogustavo/status/1421588860673331206","1421588860673331206")</f>
        <v>1421588860673331206</v>
      </c>
      <c r="F15595" s="7" t="s">
        <v>17</v>
      </c>
      <c r="G15595" s="7">
        <v>4339202</v>
      </c>
      <c r="H15595" s="7">
        <v>2533</v>
      </c>
      <c r="I15595" s="7">
        <v>35</v>
      </c>
      <c r="J15595" s="7">
        <v>0</v>
      </c>
      <c r="K15595" s="7" t="s">
        <v>18</v>
      </c>
      <c r="L15595" s="8">
        <v>39987.315405092595</v>
      </c>
      <c r="M15595" s="9" t="s">
        <v>19</v>
      </c>
      <c r="N15595" s="9" t="s">
        <v>20</v>
      </c>
      <c r="O15595" s="6" t="str">
        <f>HYPERLINK("https://pbs.twimg.com/profile_images/962471262747529216/Uo8lOkRJ_normal.jpg","View")</f>
        <v>View</v>
      </c>
      <c r="P15595" s="7"/>
    </row>
    <row r="15596" spans="1:16">
      <c r="A15596" s="3">
        <v>44409.140219907407</v>
      </c>
      <c r="B15596" s="4" t="str">
        <f>HYPERLINK("https://twitter.com/petrogustavo","@petrogustavo")</f>
        <v>@petrogustavo</v>
      </c>
      <c r="C15596" s="5" t="s">
        <v>16</v>
      </c>
      <c r="D15596" s="5" t="s">
        <v>15019</v>
      </c>
      <c r="E15596" s="6" t="str">
        <f>HYPERLINK("https://twitter.com/petrogustavo/status/1421589468423802881","1421589468423802881")</f>
        <v>1421589468423802881</v>
      </c>
      <c r="F15596" s="7" t="s">
        <v>17</v>
      </c>
      <c r="G15596" s="7">
        <v>4339202</v>
      </c>
      <c r="H15596" s="7">
        <v>2533</v>
      </c>
      <c r="I15596" s="7">
        <v>23</v>
      </c>
      <c r="J15596" s="7">
        <v>0</v>
      </c>
      <c r="K15596" s="7" t="s">
        <v>18</v>
      </c>
      <c r="L15596" s="8">
        <v>39987.315405092595</v>
      </c>
      <c r="M15596" s="9" t="s">
        <v>19</v>
      </c>
      <c r="N15596" s="9" t="s">
        <v>20</v>
      </c>
      <c r="O15596" s="6" t="str">
        <f>HYPERLINK("https://pbs.twimg.com/profile_images/962471262747529216/Uo8lOkRJ_normal.jpg","View")</f>
        <v>View</v>
      </c>
      <c r="P15596" s="7"/>
    </row>
    <row r="15597" spans="1:16">
      <c r="A15597" s="3">
        <v>44409.140474537038</v>
      </c>
      <c r="B15597" s="4" t="str">
        <f>HYPERLINK("https://twitter.com/petrogustavo","@petrogustavo")</f>
        <v>@petrogustavo</v>
      </c>
      <c r="C15597" s="5" t="s">
        <v>16</v>
      </c>
      <c r="D15597" s="5" t="s">
        <v>15020</v>
      </c>
      <c r="E15597" s="6" t="str">
        <f>HYPERLINK("https://twitter.com/petrogustavo/status/1421589561197699077","1421589561197699077")</f>
        <v>1421589561197699077</v>
      </c>
      <c r="F15597" s="7" t="s">
        <v>17</v>
      </c>
      <c r="G15597" s="7">
        <v>4339202</v>
      </c>
      <c r="H15597" s="7">
        <v>2533</v>
      </c>
      <c r="I15597" s="7">
        <v>27</v>
      </c>
      <c r="J15597" s="7">
        <v>0</v>
      </c>
      <c r="K15597" s="7" t="s">
        <v>18</v>
      </c>
      <c r="L15597" s="8">
        <v>39987.315405092595</v>
      </c>
      <c r="M15597" s="9" t="s">
        <v>19</v>
      </c>
      <c r="N15597" s="9" t="s">
        <v>20</v>
      </c>
      <c r="O15597" s="6" t="str">
        <f>HYPERLINK("https://pbs.twimg.com/profile_images/962471262747529216/Uo8lOkRJ_normal.jpg","View")</f>
        <v>View</v>
      </c>
      <c r="P15597" s="7"/>
    </row>
    <row r="15598" spans="1:16">
      <c r="A15598" s="3">
        <v>44409.142025462963</v>
      </c>
      <c r="B15598" s="4" t="str">
        <f>HYPERLINK("https://twitter.com/petrogustavo","@petrogustavo")</f>
        <v>@petrogustavo</v>
      </c>
      <c r="C15598" s="5" t="s">
        <v>16</v>
      </c>
      <c r="D15598" s="5" t="s">
        <v>15017</v>
      </c>
      <c r="E15598" s="6" t="str">
        <f>HYPERLINK("https://twitter.com/petrogustavo/status/1421590120134856709","1421590120134856709")</f>
        <v>1421590120134856709</v>
      </c>
      <c r="F15598" s="7" t="s">
        <v>17</v>
      </c>
      <c r="G15598" s="7">
        <v>4339202</v>
      </c>
      <c r="H15598" s="7">
        <v>2533</v>
      </c>
      <c r="I15598" s="7">
        <v>590</v>
      </c>
      <c r="J15598" s="7">
        <v>0</v>
      </c>
      <c r="K15598" s="7" t="s">
        <v>18</v>
      </c>
      <c r="L15598" s="8">
        <v>39987.315405092595</v>
      </c>
      <c r="M15598" s="9" t="s">
        <v>19</v>
      </c>
      <c r="N15598" s="9" t="s">
        <v>20</v>
      </c>
      <c r="O15598" s="6" t="str">
        <f>HYPERLINK("https://pbs.twimg.com/profile_images/962471262747529216/Uo8lOkRJ_normal.jpg","View")</f>
        <v>View</v>
      </c>
      <c r="P15598" s="7"/>
    </row>
    <row r="15599" spans="1:16">
      <c r="A15599" s="3">
        <v>44409.145752314813</v>
      </c>
      <c r="B15599" s="4" t="str">
        <f>HYPERLINK("https://twitter.com/petrogustavo","@petrogustavo")</f>
        <v>@petrogustavo</v>
      </c>
      <c r="C15599" s="5" t="s">
        <v>16</v>
      </c>
      <c r="D15599" s="5" t="s">
        <v>15021</v>
      </c>
      <c r="E15599" s="6" t="str">
        <f>HYPERLINK("https://twitter.com/petrogustavo/status/1421591473498345479","1421591473498345479")</f>
        <v>1421591473498345479</v>
      </c>
      <c r="F15599" s="7" t="s">
        <v>17</v>
      </c>
      <c r="G15599" s="7">
        <v>4339202</v>
      </c>
      <c r="H15599" s="7">
        <v>2533</v>
      </c>
      <c r="I15599" s="7">
        <v>74</v>
      </c>
      <c r="J15599" s="7">
        <v>205</v>
      </c>
      <c r="K15599" s="7" t="s">
        <v>18</v>
      </c>
      <c r="L15599" s="8">
        <v>39987.315405092595</v>
      </c>
      <c r="M15599" s="9" t="s">
        <v>19</v>
      </c>
      <c r="N15599" s="9" t="s">
        <v>20</v>
      </c>
      <c r="O15599" s="6" t="str">
        <f>HYPERLINK("https://pbs.twimg.com/profile_images/962471262747529216/Uo8lOkRJ_normal.jpg","View")</f>
        <v>View</v>
      </c>
      <c r="P15599" s="7"/>
    </row>
    <row r="15600" spans="1:16">
      <c r="A15600" s="3">
        <v>44409.145787037036</v>
      </c>
      <c r="B15600" s="4" t="str">
        <f>HYPERLINK("https://twitter.com/petrogustavo","@petrogustavo")</f>
        <v>@petrogustavo</v>
      </c>
      <c r="C15600" s="5" t="s">
        <v>16</v>
      </c>
      <c r="D15600" s="5" t="s">
        <v>15022</v>
      </c>
      <c r="E15600" s="6" t="str">
        <f>HYPERLINK("https://twitter.com/petrogustavo/status/1421591482939629571","1421591482939629571")</f>
        <v>1421591482939629571</v>
      </c>
      <c r="F15600" s="7" t="s">
        <v>17</v>
      </c>
      <c r="G15600" s="7">
        <v>4339202</v>
      </c>
      <c r="H15600" s="7">
        <v>2533</v>
      </c>
      <c r="I15600" s="7">
        <v>41</v>
      </c>
      <c r="J15600" s="7">
        <v>153</v>
      </c>
      <c r="K15600" s="7" t="s">
        <v>18</v>
      </c>
      <c r="L15600" s="8">
        <v>39987.315405092595</v>
      </c>
      <c r="M15600" s="9" t="s">
        <v>19</v>
      </c>
      <c r="N15600" s="9" t="s">
        <v>20</v>
      </c>
      <c r="O15600" s="6" t="str">
        <f>HYPERLINK("https://pbs.twimg.com/profile_images/962471262747529216/Uo8lOkRJ_normal.jpg","View")</f>
        <v>View</v>
      </c>
      <c r="P15600" s="7"/>
    </row>
    <row r="15601" spans="1:16">
      <c r="A15601" s="3">
        <v>44409.162604166668</v>
      </c>
      <c r="B15601" s="4" t="str">
        <f>HYPERLINK("https://twitter.com/petrogustavo","@petrogustavo")</f>
        <v>@petrogustavo</v>
      </c>
      <c r="C15601" s="5" t="s">
        <v>16</v>
      </c>
      <c r="D15601" s="5" t="s">
        <v>15023</v>
      </c>
      <c r="E15601" s="6" t="str">
        <f>HYPERLINK("https://twitter.com/petrogustavo/status/1421597577582108676","1421597577582108676")</f>
        <v>1421597577582108676</v>
      </c>
      <c r="F15601" s="7" t="s">
        <v>17</v>
      </c>
      <c r="G15601" s="7">
        <v>4339212</v>
      </c>
      <c r="H15601" s="7">
        <v>2534</v>
      </c>
      <c r="I15601" s="7">
        <v>48</v>
      </c>
      <c r="J15601" s="7">
        <v>0</v>
      </c>
      <c r="K15601" s="7" t="s">
        <v>18</v>
      </c>
      <c r="L15601" s="8">
        <v>39987.315405092595</v>
      </c>
      <c r="M15601" s="9" t="s">
        <v>19</v>
      </c>
      <c r="N15601" s="9" t="s">
        <v>20</v>
      </c>
      <c r="O15601" s="6" t="str">
        <f>HYPERLINK("https://pbs.twimg.com/profile_images/962471262747529216/Uo8lOkRJ_normal.jpg","View")</f>
        <v>View</v>
      </c>
      <c r="P15601" s="7"/>
    </row>
    <row r="15602" spans="1:16">
      <c r="A15602" s="3">
        <v>44409.17260416667</v>
      </c>
      <c r="B15602" s="4" t="str">
        <f>HYPERLINK("https://twitter.com/petrogustavo","@petrogustavo")</f>
        <v>@petrogustavo</v>
      </c>
      <c r="C15602" s="5" t="s">
        <v>16</v>
      </c>
      <c r="D15602" s="5" t="s">
        <v>15024</v>
      </c>
      <c r="E15602" s="6" t="str">
        <f>HYPERLINK("https://twitter.com/petrogustavo/status/1421601201708220416","1421601201708220416")</f>
        <v>1421601201708220416</v>
      </c>
      <c r="F15602" s="7" t="s">
        <v>17</v>
      </c>
      <c r="G15602" s="7">
        <v>4339212</v>
      </c>
      <c r="H15602" s="7">
        <v>2534</v>
      </c>
      <c r="I15602" s="7">
        <v>62</v>
      </c>
      <c r="J15602" s="7">
        <v>184</v>
      </c>
      <c r="K15602" s="7" t="s">
        <v>18</v>
      </c>
      <c r="L15602" s="8">
        <v>39987.315405092595</v>
      </c>
      <c r="M15602" s="9" t="s">
        <v>19</v>
      </c>
      <c r="N15602" s="9" t="s">
        <v>20</v>
      </c>
      <c r="O15602" s="6" t="str">
        <f>HYPERLINK("https://pbs.twimg.com/profile_images/962471262747529216/Uo8lOkRJ_normal.jpg","View")</f>
        <v>View</v>
      </c>
      <c r="P15602" s="7"/>
    </row>
    <row r="15603" spans="1:16">
      <c r="A15603" s="3">
        <v>44409.175625000003</v>
      </c>
      <c r="B15603" s="4" t="str">
        <f>HYPERLINK("https://twitter.com/petrogustavo","@petrogustavo")</f>
        <v>@petrogustavo</v>
      </c>
      <c r="C15603" s="5" t="s">
        <v>16</v>
      </c>
      <c r="D15603" s="5" t="s">
        <v>15025</v>
      </c>
      <c r="E15603" s="6" t="str">
        <f>HYPERLINK("https://twitter.com/petrogustavo/status/1421602297474322436","1421602297474322436")</f>
        <v>1421602297474322436</v>
      </c>
      <c r="F15603" s="7" t="s">
        <v>17</v>
      </c>
      <c r="G15603" s="7">
        <v>4339212</v>
      </c>
      <c r="H15603" s="7">
        <v>2534</v>
      </c>
      <c r="I15603" s="7">
        <v>142</v>
      </c>
      <c r="J15603" s="7">
        <v>0</v>
      </c>
      <c r="K15603" s="7" t="s">
        <v>18</v>
      </c>
      <c r="L15603" s="8">
        <v>39987.315405092595</v>
      </c>
      <c r="M15603" s="9" t="s">
        <v>19</v>
      </c>
      <c r="N15603" s="9" t="s">
        <v>20</v>
      </c>
      <c r="O15603" s="6" t="str">
        <f>HYPERLINK("https://pbs.twimg.com/profile_images/962471262747529216/Uo8lOkRJ_normal.jpg","View")</f>
        <v>View</v>
      </c>
      <c r="P15603" s="7"/>
    </row>
    <row r="15604" spans="1:16">
      <c r="A15604" s="3">
        <v>44409.187592592592</v>
      </c>
      <c r="B15604" s="4" t="str">
        <f>HYPERLINK("https://twitter.com/petrogustavo","@petrogustavo")</f>
        <v>@petrogustavo</v>
      </c>
      <c r="C15604" s="5" t="s">
        <v>16</v>
      </c>
      <c r="D15604" s="5" t="s">
        <v>15026</v>
      </c>
      <c r="E15604" s="6" t="str">
        <f>HYPERLINK("https://twitter.com/petrogustavo/status/1421606632690262016","1421606632690262016")</f>
        <v>1421606632690262016</v>
      </c>
      <c r="F15604" s="7" t="s">
        <v>17</v>
      </c>
      <c r="G15604" s="7">
        <v>4339219</v>
      </c>
      <c r="H15604" s="7">
        <v>2534</v>
      </c>
      <c r="I15604" s="7">
        <v>84</v>
      </c>
      <c r="J15604" s="7">
        <v>231</v>
      </c>
      <c r="K15604" s="7" t="s">
        <v>18</v>
      </c>
      <c r="L15604" s="8">
        <v>39987.315405092595</v>
      </c>
      <c r="M15604" s="9" t="s">
        <v>19</v>
      </c>
      <c r="N15604" s="9" t="s">
        <v>20</v>
      </c>
      <c r="O15604" s="6" t="str">
        <f>HYPERLINK("https://pbs.twimg.com/profile_images/962471262747529216/Uo8lOkRJ_normal.jpg","View")</f>
        <v>View</v>
      </c>
      <c r="P15604" s="7"/>
    </row>
    <row r="15605" spans="1:16">
      <c r="A15605" s="3">
        <v>44409.187731481477</v>
      </c>
      <c r="B15605" s="4" t="str">
        <f>HYPERLINK("https://twitter.com/petrogustavo","@petrogustavo")</f>
        <v>@petrogustavo</v>
      </c>
      <c r="C15605" s="5" t="s">
        <v>16</v>
      </c>
      <c r="D15605" s="5" t="s">
        <v>15025</v>
      </c>
      <c r="E15605" s="6" t="str">
        <f>HYPERLINK("https://twitter.com/petrogustavo/status/1421606683185397763","1421606683185397763")</f>
        <v>1421606683185397763</v>
      </c>
      <c r="F15605" s="7" t="s">
        <v>17</v>
      </c>
      <c r="G15605" s="7">
        <v>4339219</v>
      </c>
      <c r="H15605" s="7">
        <v>2534</v>
      </c>
      <c r="I15605" s="7">
        <v>189</v>
      </c>
      <c r="J15605" s="7">
        <v>0</v>
      </c>
      <c r="K15605" s="7" t="s">
        <v>18</v>
      </c>
      <c r="L15605" s="8">
        <v>39987.315405092595</v>
      </c>
      <c r="M15605" s="9" t="s">
        <v>19</v>
      </c>
      <c r="N15605" s="9" t="s">
        <v>20</v>
      </c>
      <c r="O15605" s="6" t="str">
        <f>HYPERLINK("https://pbs.twimg.com/profile_images/962471262747529216/Uo8lOkRJ_normal.jpg","View")</f>
        <v>View</v>
      </c>
      <c r="P15605" s="7"/>
    </row>
    <row r="15606" spans="1:16">
      <c r="A15606" s="3">
        <v>44409.248194444444</v>
      </c>
      <c r="B15606" s="4" t="str">
        <f>HYPERLINK("https://twitter.com/petrogustavo","@petrogustavo")</f>
        <v>@petrogustavo</v>
      </c>
      <c r="C15606" s="5" t="s">
        <v>16</v>
      </c>
      <c r="D15606" s="5" t="s">
        <v>15027</v>
      </c>
      <c r="E15606" s="6" t="str">
        <f>HYPERLINK("https://twitter.com/petrogustavo/status/1421628594313441284","1421628594313441284")</f>
        <v>1421628594313441284</v>
      </c>
      <c r="F15606" s="7" t="s">
        <v>17</v>
      </c>
      <c r="G15606" s="7">
        <v>4339265</v>
      </c>
      <c r="H15606" s="7">
        <v>2535</v>
      </c>
      <c r="I15606" s="7">
        <v>106</v>
      </c>
      <c r="J15606" s="7">
        <v>213</v>
      </c>
      <c r="K15606" s="7" t="s">
        <v>18</v>
      </c>
      <c r="L15606" s="8">
        <v>39987.315405092595</v>
      </c>
      <c r="M15606" s="9" t="s">
        <v>19</v>
      </c>
      <c r="N15606" s="9" t="s">
        <v>20</v>
      </c>
      <c r="O15606" s="6" t="str">
        <f>HYPERLINK("https://pbs.twimg.com/profile_images/962471262747529216/Uo8lOkRJ_normal.jpg","View")</f>
        <v>View</v>
      </c>
      <c r="P15606" s="7"/>
    </row>
    <row r="15607" spans="1:16">
      <c r="A15607" s="3">
        <v>44409.253483796296</v>
      </c>
      <c r="B15607" s="4" t="str">
        <f>HYPERLINK("https://twitter.com/petrogustavo","@petrogustavo")</f>
        <v>@petrogustavo</v>
      </c>
      <c r="C15607" s="5" t="s">
        <v>16</v>
      </c>
      <c r="D15607" s="5" t="s">
        <v>15028</v>
      </c>
      <c r="E15607" s="6" t="str">
        <f>HYPERLINK("https://twitter.com/petrogustavo/status/1421630513568223234","1421630513568223234")</f>
        <v>1421630513568223234</v>
      </c>
      <c r="F15607" s="7" t="s">
        <v>17</v>
      </c>
      <c r="G15607" s="7">
        <v>4339265</v>
      </c>
      <c r="H15607" s="7">
        <v>2535</v>
      </c>
      <c r="I15607" s="7">
        <v>106</v>
      </c>
      <c r="J15607" s="7">
        <v>0</v>
      </c>
      <c r="K15607" s="7" t="s">
        <v>18</v>
      </c>
      <c r="L15607" s="8">
        <v>39987.315405092595</v>
      </c>
      <c r="M15607" s="9" t="s">
        <v>19</v>
      </c>
      <c r="N15607" s="9" t="s">
        <v>20</v>
      </c>
      <c r="O15607" s="6" t="str">
        <f>HYPERLINK("https://pbs.twimg.com/profile_images/962471262747529216/Uo8lOkRJ_normal.jpg","View")</f>
        <v>View</v>
      </c>
      <c r="P15607" s="7"/>
    </row>
    <row r="15608" spans="1:16">
      <c r="A15608" s="3">
        <v>44409.255995370375</v>
      </c>
      <c r="B15608" s="4" t="str">
        <f>HYPERLINK("https://twitter.com/petrogustavo","@petrogustavo")</f>
        <v>@petrogustavo</v>
      </c>
      <c r="C15608" s="5" t="s">
        <v>16</v>
      </c>
      <c r="D15608" s="5" t="s">
        <v>15029</v>
      </c>
      <c r="E15608" s="6" t="str">
        <f>HYPERLINK("https://twitter.com/petrogustavo/status/1421631421991563269","1421631421991563269")</f>
        <v>1421631421991563269</v>
      </c>
      <c r="F15608" s="7" t="s">
        <v>17</v>
      </c>
      <c r="G15608" s="7">
        <v>4339265</v>
      </c>
      <c r="H15608" s="7">
        <v>2535</v>
      </c>
      <c r="I15608" s="7">
        <v>100</v>
      </c>
      <c r="J15608" s="7">
        <v>167</v>
      </c>
      <c r="K15608" s="7" t="s">
        <v>18</v>
      </c>
      <c r="L15608" s="8">
        <v>39987.315405092595</v>
      </c>
      <c r="M15608" s="9" t="s">
        <v>19</v>
      </c>
      <c r="N15608" s="9" t="s">
        <v>20</v>
      </c>
      <c r="O15608" s="6" t="str">
        <f>HYPERLINK("https://pbs.twimg.com/profile_images/962471262747529216/Uo8lOkRJ_normal.jpg","View")</f>
        <v>View</v>
      </c>
      <c r="P15608" s="7"/>
    </row>
    <row r="15609" spans="1:16">
      <c r="A15609" s="3">
        <v>44409.262777777782</v>
      </c>
      <c r="B15609" s="4" t="str">
        <f>HYPERLINK("https://twitter.com/petrogustavo","@petrogustavo")</f>
        <v>@petrogustavo</v>
      </c>
      <c r="C15609" s="5" t="s">
        <v>16</v>
      </c>
      <c r="D15609" s="5" t="s">
        <v>15030</v>
      </c>
      <c r="E15609" s="6" t="str">
        <f>HYPERLINK("https://twitter.com/petrogustavo/status/1421633879350423554","1421633879350423554")</f>
        <v>1421633879350423554</v>
      </c>
      <c r="F15609" s="7" t="s">
        <v>17</v>
      </c>
      <c r="G15609" s="7">
        <v>4339274</v>
      </c>
      <c r="H15609" s="7">
        <v>2535</v>
      </c>
      <c r="I15609" s="7">
        <v>226</v>
      </c>
      <c r="J15609" s="7">
        <v>720</v>
      </c>
      <c r="K15609" s="7" t="s">
        <v>18</v>
      </c>
      <c r="L15609" s="8">
        <v>39987.315405092595</v>
      </c>
      <c r="M15609" s="9" t="s">
        <v>19</v>
      </c>
      <c r="N15609" s="9" t="s">
        <v>20</v>
      </c>
      <c r="O15609" s="6" t="str">
        <f>HYPERLINK("https://pbs.twimg.com/profile_images/962471262747529216/Uo8lOkRJ_normal.jpg","View")</f>
        <v>View</v>
      </c>
      <c r="P15609" s="7"/>
    </row>
    <row r="15610" spans="1:16">
      <c r="A15610" s="3">
        <v>44409.298831018517</v>
      </c>
      <c r="B15610" s="4" t="str">
        <f>HYPERLINK("https://twitter.com/petrogustavo","@petrogustavo")</f>
        <v>@petrogustavo</v>
      </c>
      <c r="C15610" s="5" t="s">
        <v>16</v>
      </c>
      <c r="D15610" s="5" t="s">
        <v>15031</v>
      </c>
      <c r="E15610" s="6" t="str">
        <f>HYPERLINK("https://twitter.com/petrogustavo/status/1421646947618807813","1421646947618807813")</f>
        <v>1421646947618807813</v>
      </c>
      <c r="F15610" s="7" t="s">
        <v>17</v>
      </c>
      <c r="G15610" s="7">
        <v>4339277</v>
      </c>
      <c r="H15610" s="7">
        <v>2535</v>
      </c>
      <c r="I15610" s="7">
        <v>139</v>
      </c>
      <c r="J15610" s="7">
        <v>387</v>
      </c>
      <c r="K15610" s="7" t="s">
        <v>18</v>
      </c>
      <c r="L15610" s="8">
        <v>39987.315405092595</v>
      </c>
      <c r="M15610" s="9" t="s">
        <v>19</v>
      </c>
      <c r="N15610" s="9" t="s">
        <v>20</v>
      </c>
      <c r="O15610" s="6" t="str">
        <f>HYPERLINK("https://pbs.twimg.com/profile_images/962471262747529216/Uo8lOkRJ_normal.jpg","View")</f>
        <v>View</v>
      </c>
      <c r="P15610" s="7"/>
    </row>
    <row r="15611" spans="1:16">
      <c r="A15611" s="3">
        <v>44409.722280092596</v>
      </c>
      <c r="B15611" s="4" t="str">
        <f>HYPERLINK("https://twitter.com/petrogustavo","@petrogustavo")</f>
        <v>@petrogustavo</v>
      </c>
      <c r="C15611" s="5" t="s">
        <v>16</v>
      </c>
      <c r="D15611" s="5" t="s">
        <v>15032</v>
      </c>
      <c r="E15611" s="6" t="str">
        <f>HYPERLINK("https://twitter.com/petrogustavo/status/1421800400194256900","1421800400194256900")</f>
        <v>1421800400194256900</v>
      </c>
      <c r="F15611" s="7" t="s">
        <v>32</v>
      </c>
      <c r="G15611" s="7">
        <v>4339337</v>
      </c>
      <c r="H15611" s="7">
        <v>2535</v>
      </c>
      <c r="I15611" s="7">
        <v>581</v>
      </c>
      <c r="J15611" s="7">
        <v>0</v>
      </c>
      <c r="K15611" s="7" t="s">
        <v>18</v>
      </c>
      <c r="L15611" s="8">
        <v>39987.315405092595</v>
      </c>
      <c r="M15611" s="9" t="s">
        <v>19</v>
      </c>
      <c r="N15611" s="9" t="s">
        <v>20</v>
      </c>
      <c r="O15611" s="6" t="str">
        <f>HYPERLINK("https://pbs.twimg.com/profile_images/962471262747529216/Uo8lOkRJ_normal.jpg","View")</f>
        <v>View</v>
      </c>
      <c r="P15611" s="7"/>
    </row>
    <row r="15612" spans="1:16">
      <c r="A15612" s="3">
        <v>44409.723576388889</v>
      </c>
      <c r="B15612" s="4" t="str">
        <f>HYPERLINK("https://twitter.com/petrogustavo","@petrogustavo")</f>
        <v>@petrogustavo</v>
      </c>
      <c r="C15612" s="5" t="s">
        <v>16</v>
      </c>
      <c r="D15612" s="5" t="s">
        <v>15033</v>
      </c>
      <c r="E15612" s="6" t="str">
        <f>HYPERLINK("https://twitter.com/petrogustavo/status/1421800867913736193","1421800867913736193")</f>
        <v>1421800867913736193</v>
      </c>
      <c r="F15612" s="7" t="s">
        <v>32</v>
      </c>
      <c r="G15612" s="7">
        <v>4339337</v>
      </c>
      <c r="H15612" s="7">
        <v>2535</v>
      </c>
      <c r="I15612" s="7">
        <v>33</v>
      </c>
      <c r="J15612" s="7">
        <v>0</v>
      </c>
      <c r="K15612" s="7" t="s">
        <v>18</v>
      </c>
      <c r="L15612" s="8">
        <v>39987.315405092595</v>
      </c>
      <c r="M15612" s="9" t="s">
        <v>19</v>
      </c>
      <c r="N15612" s="9" t="s">
        <v>20</v>
      </c>
      <c r="O15612" s="6" t="str">
        <f>HYPERLINK("https://pbs.twimg.com/profile_images/962471262747529216/Uo8lOkRJ_normal.jpg","View")</f>
        <v>View</v>
      </c>
      <c r="P15612" s="7"/>
    </row>
    <row r="15613" spans="1:16">
      <c r="A15613" s="3">
        <v>44409.74381944444</v>
      </c>
      <c r="B15613" s="4" t="str">
        <f>HYPERLINK("https://twitter.com/petrogustavo","@petrogustavo")</f>
        <v>@petrogustavo</v>
      </c>
      <c r="C15613" s="5" t="s">
        <v>16</v>
      </c>
      <c r="D15613" s="5" t="s">
        <v>15034</v>
      </c>
      <c r="E15613" s="6" t="str">
        <f>HYPERLINK("https://twitter.com/petrogustavo/status/1421808203906551808","1421808203906551808")</f>
        <v>1421808203906551808</v>
      </c>
      <c r="F15613" s="7" t="s">
        <v>17</v>
      </c>
      <c r="G15613" s="7">
        <v>4339340</v>
      </c>
      <c r="H15613" s="7">
        <v>2535</v>
      </c>
      <c r="I15613" s="7">
        <v>132</v>
      </c>
      <c r="J15613" s="7">
        <v>920</v>
      </c>
      <c r="K15613" s="7" t="s">
        <v>18</v>
      </c>
      <c r="L15613" s="8">
        <v>39987.315405092595</v>
      </c>
      <c r="M15613" s="9" t="s">
        <v>19</v>
      </c>
      <c r="N15613" s="9" t="s">
        <v>20</v>
      </c>
      <c r="O15613" s="6" t="str">
        <f>HYPERLINK("https://pbs.twimg.com/profile_images/962471262747529216/Uo8lOkRJ_normal.jpg","View")</f>
        <v>View</v>
      </c>
      <c r="P15613" s="7"/>
    </row>
    <row r="15614" spans="1:16">
      <c r="A15614" s="3">
        <v>44409.753240740742</v>
      </c>
      <c r="B15614" s="4" t="str">
        <f>HYPERLINK("https://twitter.com/petrogustavo","@petrogustavo")</f>
        <v>@petrogustavo</v>
      </c>
      <c r="C15614" s="5" t="s">
        <v>16</v>
      </c>
      <c r="D15614" s="5" t="s">
        <v>15035</v>
      </c>
      <c r="E15614" s="6" t="str">
        <f>HYPERLINK("https://twitter.com/petrogustavo/status/1421811620427206659","1421811620427206659")</f>
        <v>1421811620427206659</v>
      </c>
      <c r="F15614" s="7" t="s">
        <v>32</v>
      </c>
      <c r="G15614" s="7">
        <v>4339340</v>
      </c>
      <c r="H15614" s="7">
        <v>2535</v>
      </c>
      <c r="I15614" s="7">
        <v>113</v>
      </c>
      <c r="J15614" s="7">
        <v>0</v>
      </c>
      <c r="K15614" s="7" t="s">
        <v>18</v>
      </c>
      <c r="L15614" s="8">
        <v>39987.315405092595</v>
      </c>
      <c r="M15614" s="9" t="s">
        <v>19</v>
      </c>
      <c r="N15614" s="9" t="s">
        <v>20</v>
      </c>
      <c r="O15614" s="6" t="str">
        <f>HYPERLINK("https://pbs.twimg.com/profile_images/962471262747529216/Uo8lOkRJ_normal.jpg","View")</f>
        <v>View</v>
      </c>
      <c r="P15614" s="7"/>
    </row>
    <row r="15615" spans="1:16">
      <c r="A15615" s="3">
        <v>44409.826238425929</v>
      </c>
      <c r="B15615" s="4" t="str">
        <f>HYPERLINK("https://twitter.com/petrogustavo","@petrogustavo")</f>
        <v>@petrogustavo</v>
      </c>
      <c r="C15615" s="5" t="s">
        <v>16</v>
      </c>
      <c r="D15615" s="5" t="s">
        <v>15036</v>
      </c>
      <c r="E15615" s="6" t="str">
        <f>HYPERLINK("https://twitter.com/petrogustavo/status/1421838071767646209","1421838071767646209")</f>
        <v>1421838071767646209</v>
      </c>
      <c r="F15615" s="7" t="s">
        <v>17</v>
      </c>
      <c r="G15615" s="7">
        <v>4339383</v>
      </c>
      <c r="H15615" s="7">
        <v>2535</v>
      </c>
      <c r="I15615" s="7">
        <v>142</v>
      </c>
      <c r="J15615" s="7">
        <v>628</v>
      </c>
      <c r="K15615" s="7" t="s">
        <v>18</v>
      </c>
      <c r="L15615" s="8">
        <v>39987.315405092595</v>
      </c>
      <c r="M15615" s="9" t="s">
        <v>19</v>
      </c>
      <c r="N15615" s="9" t="s">
        <v>20</v>
      </c>
      <c r="O15615" s="6" t="str">
        <f>HYPERLINK("https://pbs.twimg.com/profile_images/962471262747529216/Uo8lOkRJ_normal.jpg","View")</f>
        <v>View</v>
      </c>
      <c r="P15615" s="7"/>
    </row>
    <row r="15616" spans="1:16">
      <c r="A15616" s="3">
        <v>44409.930243055554</v>
      </c>
      <c r="B15616" s="4" t="str">
        <f>HYPERLINK("https://twitter.com/petrogustavo","@petrogustavo")</f>
        <v>@petrogustavo</v>
      </c>
      <c r="C15616" s="5" t="s">
        <v>16</v>
      </c>
      <c r="D15616" s="5" t="s">
        <v>15037</v>
      </c>
      <c r="E15616" s="6" t="str">
        <f>HYPERLINK("https://twitter.com/petrogustavo/status/1421875763729534984","1421875763729534984")</f>
        <v>1421875763729534984</v>
      </c>
      <c r="F15616" s="7" t="s">
        <v>32</v>
      </c>
      <c r="G15616" s="7">
        <v>4339423</v>
      </c>
      <c r="H15616" s="7">
        <v>2535</v>
      </c>
      <c r="I15616" s="7">
        <v>105</v>
      </c>
      <c r="J15616" s="7">
        <v>253</v>
      </c>
      <c r="K15616" s="7" t="s">
        <v>18</v>
      </c>
      <c r="L15616" s="8">
        <v>39987.315405092595</v>
      </c>
      <c r="M15616" s="9" t="s">
        <v>19</v>
      </c>
      <c r="N15616" s="9" t="s">
        <v>20</v>
      </c>
      <c r="O15616" s="6" t="str">
        <f>HYPERLINK("https://pbs.twimg.com/profile_images/962471262747529216/Uo8lOkRJ_normal.jpg","View")</f>
        <v>View</v>
      </c>
      <c r="P15616" s="7"/>
    </row>
    <row r="15617" spans="1:16">
      <c r="A15617" s="3">
        <v>44409.94636574074</v>
      </c>
      <c r="B15617" s="4" t="str">
        <f>HYPERLINK("https://twitter.com/petrogustavo","@petrogustavo")</f>
        <v>@petrogustavo</v>
      </c>
      <c r="C15617" s="5" t="s">
        <v>16</v>
      </c>
      <c r="D15617" s="5" t="s">
        <v>15038</v>
      </c>
      <c r="E15617" s="6" t="str">
        <f>HYPERLINK("https://twitter.com/petrogustavo/status/1421881602909540352","1421881602909540352")</f>
        <v>1421881602909540352</v>
      </c>
      <c r="F15617" s="7" t="s">
        <v>17</v>
      </c>
      <c r="G15617" s="7">
        <v>4339423</v>
      </c>
      <c r="H15617" s="7">
        <v>2535</v>
      </c>
      <c r="I15617" s="7">
        <v>28</v>
      </c>
      <c r="J15617" s="7">
        <v>60</v>
      </c>
      <c r="K15617" s="7" t="s">
        <v>18</v>
      </c>
      <c r="L15617" s="8">
        <v>39987.315405092595</v>
      </c>
      <c r="M15617" s="9" t="s">
        <v>19</v>
      </c>
      <c r="N15617" s="9" t="s">
        <v>20</v>
      </c>
      <c r="O15617" s="6" t="str">
        <f>HYPERLINK("https://pbs.twimg.com/profile_images/962471262747529216/Uo8lOkRJ_normal.jpg","View")</f>
        <v>View</v>
      </c>
      <c r="P15617" s="7"/>
    </row>
    <row r="15618" spans="1:16">
      <c r="A15618" s="3">
        <v>44410.035520833335</v>
      </c>
      <c r="B15618" s="4" t="str">
        <f>HYPERLINK("https://twitter.com/petrogustavo","@petrogustavo")</f>
        <v>@petrogustavo</v>
      </c>
      <c r="C15618" s="5" t="s">
        <v>16</v>
      </c>
      <c r="D15618" s="5" t="s">
        <v>15039</v>
      </c>
      <c r="E15618" s="6" t="str">
        <f>HYPERLINK("https://twitter.com/petrogustavo/status/1421913915223597058","1421913915223597058")</f>
        <v>1421913915223597058</v>
      </c>
      <c r="F15618" s="7" t="s">
        <v>32</v>
      </c>
      <c r="G15618" s="7">
        <v>4339470</v>
      </c>
      <c r="H15618" s="7">
        <v>2535</v>
      </c>
      <c r="I15618" s="7">
        <v>318</v>
      </c>
      <c r="J15618" s="7">
        <v>0</v>
      </c>
      <c r="K15618" s="7" t="s">
        <v>18</v>
      </c>
      <c r="L15618" s="8">
        <v>39987.315405092595</v>
      </c>
      <c r="M15618" s="9" t="s">
        <v>19</v>
      </c>
      <c r="N15618" s="9" t="s">
        <v>20</v>
      </c>
      <c r="O15618" s="6" t="str">
        <f>HYPERLINK("https://pbs.twimg.com/profile_images/962471262747529216/Uo8lOkRJ_normal.jpg","View")</f>
        <v>View</v>
      </c>
      <c r="P15618" s="7"/>
    </row>
    <row r="15619" spans="1:16">
      <c r="A15619" s="3">
        <v>44410.06450231481</v>
      </c>
      <c r="B15619" s="4" t="str">
        <f>HYPERLINK("https://twitter.com/petrogustavo","@petrogustavo")</f>
        <v>@petrogustavo</v>
      </c>
      <c r="C15619" s="5" t="s">
        <v>16</v>
      </c>
      <c r="D15619" s="5" t="s">
        <v>15040</v>
      </c>
      <c r="E15619" s="6" t="str">
        <f>HYPERLINK("https://twitter.com/petrogustavo/status/1421924415919607813","1421924415919607813")</f>
        <v>1421924415919607813</v>
      </c>
      <c r="F15619" s="7" t="s">
        <v>17</v>
      </c>
      <c r="G15619" s="7">
        <v>4339491</v>
      </c>
      <c r="H15619" s="7">
        <v>2535</v>
      </c>
      <c r="I15619" s="7">
        <v>58</v>
      </c>
      <c r="J15619" s="7">
        <v>107</v>
      </c>
      <c r="K15619" s="7" t="s">
        <v>18</v>
      </c>
      <c r="L15619" s="8">
        <v>39987.315405092595</v>
      </c>
      <c r="M15619" s="9" t="s">
        <v>19</v>
      </c>
      <c r="N15619" s="9" t="s">
        <v>20</v>
      </c>
      <c r="O15619" s="6" t="str">
        <f>HYPERLINK("https://pbs.twimg.com/profile_images/962471262747529216/Uo8lOkRJ_normal.jpg","View")</f>
        <v>View</v>
      </c>
      <c r="P15619" s="7"/>
    </row>
    <row r="15620" spans="1:16">
      <c r="A15620" s="3">
        <v>44410.10456018518</v>
      </c>
      <c r="B15620" s="4" t="str">
        <f>HYPERLINK("https://twitter.com/petrogustavo","@petrogustavo")</f>
        <v>@petrogustavo</v>
      </c>
      <c r="C15620" s="5" t="s">
        <v>16</v>
      </c>
      <c r="D15620" s="5" t="s">
        <v>15039</v>
      </c>
      <c r="E15620" s="6" t="str">
        <f>HYPERLINK("https://twitter.com/petrogustavo/status/1421938930824454147","1421938930824454147")</f>
        <v>1421938930824454147</v>
      </c>
      <c r="F15620" s="7" t="s">
        <v>17</v>
      </c>
      <c r="G15620" s="7">
        <v>4339516</v>
      </c>
      <c r="H15620" s="7">
        <v>2535</v>
      </c>
      <c r="I15620" s="7">
        <v>420</v>
      </c>
      <c r="J15620" s="7">
        <v>0</v>
      </c>
      <c r="K15620" s="7" t="s">
        <v>18</v>
      </c>
      <c r="L15620" s="8">
        <v>39987.315405092595</v>
      </c>
      <c r="M15620" s="9" t="s">
        <v>19</v>
      </c>
      <c r="N15620" s="9" t="s">
        <v>20</v>
      </c>
      <c r="O15620" s="6" t="str">
        <f>HYPERLINK("https://pbs.twimg.com/profile_images/962471262747529216/Uo8lOkRJ_normal.jpg","View")</f>
        <v>View</v>
      </c>
      <c r="P15620" s="7"/>
    </row>
    <row r="15621" spans="1:16">
      <c r="A15621" s="3">
        <v>44410.156643518523</v>
      </c>
      <c r="B15621" s="4" t="str">
        <f>HYPERLINK("https://twitter.com/petrogustavo","@petrogustavo")</f>
        <v>@petrogustavo</v>
      </c>
      <c r="C15621" s="5" t="s">
        <v>16</v>
      </c>
      <c r="D15621" s="5" t="s">
        <v>15041</v>
      </c>
      <c r="E15621" s="6" t="str">
        <f>HYPERLINK("https://twitter.com/petrogustavo/status/1421957806190645252","1421957806190645252")</f>
        <v>1421957806190645252</v>
      </c>
      <c r="F15621" s="7" t="s">
        <v>32</v>
      </c>
      <c r="G15621" s="7">
        <v>4339546</v>
      </c>
      <c r="H15621" s="7">
        <v>2535</v>
      </c>
      <c r="I15621" s="7">
        <v>51</v>
      </c>
      <c r="J15621" s="7">
        <v>0</v>
      </c>
      <c r="K15621" s="7" t="s">
        <v>18</v>
      </c>
      <c r="L15621" s="8">
        <v>39987.315405092595</v>
      </c>
      <c r="M15621" s="9" t="s">
        <v>19</v>
      </c>
      <c r="N15621" s="9" t="s">
        <v>20</v>
      </c>
      <c r="O15621" s="6" t="str">
        <f>HYPERLINK("https://pbs.twimg.com/profile_images/962471262747529216/Uo8lOkRJ_normal.jpg","View")</f>
        <v>View</v>
      </c>
      <c r="P15621" s="7"/>
    </row>
    <row r="15622" spans="1:16">
      <c r="A15622" s="3">
        <v>44410.174861111111</v>
      </c>
      <c r="B15622" s="4" t="str">
        <f>HYPERLINK("https://twitter.com/petrogustavo","@petrogustavo")</f>
        <v>@petrogustavo</v>
      </c>
      <c r="C15622" s="5" t="s">
        <v>16</v>
      </c>
      <c r="D15622" s="5" t="s">
        <v>15042</v>
      </c>
      <c r="E15622" s="6" t="str">
        <f>HYPERLINK("https://twitter.com/petrogustavo/status/1421964409040211971","1421964409040211971")</f>
        <v>1421964409040211971</v>
      </c>
      <c r="F15622" s="7" t="s">
        <v>17</v>
      </c>
      <c r="G15622" s="7">
        <v>4339558</v>
      </c>
      <c r="H15622" s="7">
        <v>2535</v>
      </c>
      <c r="I15622" s="7">
        <v>60</v>
      </c>
      <c r="J15622" s="7">
        <v>295</v>
      </c>
      <c r="K15622" s="7" t="s">
        <v>18</v>
      </c>
      <c r="L15622" s="8">
        <v>39987.315405092595</v>
      </c>
      <c r="M15622" s="9" t="s">
        <v>19</v>
      </c>
      <c r="N15622" s="9" t="s">
        <v>20</v>
      </c>
      <c r="O15622" s="6" t="str">
        <f>HYPERLINK("https://pbs.twimg.com/profile_images/962471262747529216/Uo8lOkRJ_normal.jpg","View")</f>
        <v>View</v>
      </c>
      <c r="P15622" s="7"/>
    </row>
    <row r="15623" spans="1:16">
      <c r="A15623" s="3">
        <v>44410.17868055556</v>
      </c>
      <c r="B15623" s="4" t="str">
        <f>HYPERLINK("https://twitter.com/petrogustavo","@petrogustavo")</f>
        <v>@petrogustavo</v>
      </c>
      <c r="C15623" s="5" t="s">
        <v>16</v>
      </c>
      <c r="D15623" s="5" t="s">
        <v>15043</v>
      </c>
      <c r="E15623" s="6" t="str">
        <f>HYPERLINK("https://twitter.com/petrogustavo/status/1421965794381078533","1421965794381078533")</f>
        <v>1421965794381078533</v>
      </c>
      <c r="F15623" s="7" t="s">
        <v>17</v>
      </c>
      <c r="G15623" s="7">
        <v>4339558</v>
      </c>
      <c r="H15623" s="7">
        <v>2535</v>
      </c>
      <c r="I15623" s="7">
        <v>207</v>
      </c>
      <c r="J15623" s="7">
        <v>1001</v>
      </c>
      <c r="K15623" s="7" t="s">
        <v>18</v>
      </c>
      <c r="L15623" s="8">
        <v>39987.315405092595</v>
      </c>
      <c r="M15623" s="9" t="s">
        <v>19</v>
      </c>
      <c r="N15623" s="9" t="s">
        <v>20</v>
      </c>
      <c r="O15623" s="6" t="str">
        <f>HYPERLINK("https://pbs.twimg.com/profile_images/962471262747529216/Uo8lOkRJ_normal.jpg","View")</f>
        <v>View</v>
      </c>
      <c r="P15623" s="7"/>
    </row>
    <row r="15624" spans="1:16">
      <c r="A15624" s="3">
        <v>44410.19258101852</v>
      </c>
      <c r="B15624" s="4" t="str">
        <f>HYPERLINK("https://twitter.com/petrogustavo","@petrogustavo")</f>
        <v>@petrogustavo</v>
      </c>
      <c r="C15624" s="5" t="s">
        <v>16</v>
      </c>
      <c r="D15624" s="5" t="s">
        <v>15044</v>
      </c>
      <c r="E15624" s="6" t="str">
        <f>HYPERLINK("https://twitter.com/petrogustavo/status/1421970828611276800","1421970828611276800")</f>
        <v>1421970828611276800</v>
      </c>
      <c r="F15624" s="7" t="s">
        <v>32</v>
      </c>
      <c r="G15624" s="7">
        <v>4339558</v>
      </c>
      <c r="H15624" s="7">
        <v>2535</v>
      </c>
      <c r="I15624" s="7">
        <v>202</v>
      </c>
      <c r="J15624" s="7">
        <v>0</v>
      </c>
      <c r="K15624" s="7" t="s">
        <v>18</v>
      </c>
      <c r="L15624" s="8">
        <v>39987.315405092595</v>
      </c>
      <c r="M15624" s="9" t="s">
        <v>19</v>
      </c>
      <c r="N15624" s="9" t="s">
        <v>20</v>
      </c>
      <c r="O15624" s="6" t="str">
        <f>HYPERLINK("https://pbs.twimg.com/profile_images/962471262747529216/Uo8lOkRJ_normal.jpg","View")</f>
        <v>View</v>
      </c>
      <c r="P15624" s="7"/>
    </row>
    <row r="15625" spans="1:16">
      <c r="A15625" s="3">
        <v>44410.209537037037</v>
      </c>
      <c r="B15625" s="4" t="str">
        <f>HYPERLINK("https://twitter.com/petrogustavo","@petrogustavo")</f>
        <v>@petrogustavo</v>
      </c>
      <c r="C15625" s="5" t="s">
        <v>16</v>
      </c>
      <c r="D15625" s="5" t="s">
        <v>15045</v>
      </c>
      <c r="E15625" s="6" t="str">
        <f>HYPERLINK("https://twitter.com/petrogustavo/status/1421976974038376450","1421976974038376450")</f>
        <v>1421976974038376450</v>
      </c>
      <c r="F15625" s="7" t="s">
        <v>32</v>
      </c>
      <c r="G15625" s="7">
        <v>4339577</v>
      </c>
      <c r="H15625" s="7">
        <v>2535</v>
      </c>
      <c r="I15625" s="7">
        <v>69</v>
      </c>
      <c r="J15625" s="7">
        <v>155</v>
      </c>
      <c r="K15625" s="7" t="s">
        <v>18</v>
      </c>
      <c r="L15625" s="8">
        <v>39987.315405092595</v>
      </c>
      <c r="M15625" s="9" t="s">
        <v>19</v>
      </c>
      <c r="N15625" s="9" t="s">
        <v>20</v>
      </c>
      <c r="O15625" s="6" t="str">
        <f>HYPERLINK("https://pbs.twimg.com/profile_images/962471262747529216/Uo8lOkRJ_normal.jpg","View")</f>
        <v>View</v>
      </c>
      <c r="P15625" s="7"/>
    </row>
    <row r="15626" spans="1:16">
      <c r="A15626" s="3">
        <v>44410.239027777774</v>
      </c>
      <c r="B15626" s="4" t="str">
        <f>HYPERLINK("https://twitter.com/petrogustavo","@petrogustavo")</f>
        <v>@petrogustavo</v>
      </c>
      <c r="C15626" s="5" t="s">
        <v>16</v>
      </c>
      <c r="D15626" s="5" t="s">
        <v>15046</v>
      </c>
      <c r="E15626" s="6" t="str">
        <f>HYPERLINK("https://twitter.com/petrogustavo/status/1421987661900763139","1421987661900763139")</f>
        <v>1421987661900763139</v>
      </c>
      <c r="F15626" s="7" t="s">
        <v>22</v>
      </c>
      <c r="G15626" s="7">
        <v>4339591</v>
      </c>
      <c r="H15626" s="7">
        <v>2535</v>
      </c>
      <c r="I15626" s="7">
        <v>47</v>
      </c>
      <c r="J15626" s="7">
        <v>115</v>
      </c>
      <c r="K15626" s="7" t="s">
        <v>18</v>
      </c>
      <c r="L15626" s="8">
        <v>39987.315405092595</v>
      </c>
      <c r="M15626" s="9" t="s">
        <v>19</v>
      </c>
      <c r="N15626" s="9" t="s">
        <v>20</v>
      </c>
      <c r="O15626" s="6" t="str">
        <f>HYPERLINK("https://pbs.twimg.com/profile_images/962471262747529216/Uo8lOkRJ_normal.jpg","View")</f>
        <v>View</v>
      </c>
      <c r="P15626" s="7"/>
    </row>
    <row r="15627" spans="1:16">
      <c r="A15627" s="3">
        <v>44410.736574074079</v>
      </c>
      <c r="B15627" s="4" t="str">
        <f>HYPERLINK("https://twitter.com/petrogustavo","@petrogustavo")</f>
        <v>@petrogustavo</v>
      </c>
      <c r="C15627" s="5" t="s">
        <v>16</v>
      </c>
      <c r="D15627" s="5" t="s">
        <v>15047</v>
      </c>
      <c r="E15627" s="6" t="str">
        <f>HYPERLINK("https://twitter.com/petrogustavo/status/1422167965609467904","1422167965609467904")</f>
        <v>1422167965609467904</v>
      </c>
      <c r="F15627" s="7" t="s">
        <v>17</v>
      </c>
      <c r="G15627" s="7">
        <v>4339844</v>
      </c>
      <c r="H15627" s="7">
        <v>2535</v>
      </c>
      <c r="I15627" s="7">
        <v>80</v>
      </c>
      <c r="J15627" s="7">
        <v>154</v>
      </c>
      <c r="K15627" s="7" t="s">
        <v>18</v>
      </c>
      <c r="L15627" s="8">
        <v>39987.315405092595</v>
      </c>
      <c r="M15627" s="9" t="s">
        <v>19</v>
      </c>
      <c r="N15627" s="9" t="s">
        <v>20</v>
      </c>
      <c r="O15627" s="6" t="str">
        <f>HYPERLINK("https://pbs.twimg.com/profile_images/962471262747529216/Uo8lOkRJ_normal.jpg","View")</f>
        <v>View</v>
      </c>
      <c r="P15627" s="7"/>
    </row>
    <row r="15628" spans="1:16">
      <c r="A15628" s="3">
        <v>44410.73841435185</v>
      </c>
      <c r="B15628" s="4" t="str">
        <f>HYPERLINK("https://twitter.com/petrogustavo","@petrogustavo")</f>
        <v>@petrogustavo</v>
      </c>
      <c r="C15628" s="5" t="s">
        <v>16</v>
      </c>
      <c r="D15628" s="5" t="s">
        <v>15048</v>
      </c>
      <c r="E15628" s="6" t="str">
        <f>HYPERLINK("https://twitter.com/petrogustavo/status/1422168633602625536","1422168633602625536")</f>
        <v>1422168633602625536</v>
      </c>
      <c r="F15628" s="7" t="s">
        <v>17</v>
      </c>
      <c r="G15628" s="7">
        <v>4339844</v>
      </c>
      <c r="H15628" s="7">
        <v>2535</v>
      </c>
      <c r="I15628" s="7">
        <v>1539</v>
      </c>
      <c r="J15628" s="7">
        <v>0</v>
      </c>
      <c r="K15628" s="7" t="s">
        <v>18</v>
      </c>
      <c r="L15628" s="8">
        <v>39987.315405092595</v>
      </c>
      <c r="M15628" s="9" t="s">
        <v>19</v>
      </c>
      <c r="N15628" s="9" t="s">
        <v>20</v>
      </c>
      <c r="O15628" s="6" t="str">
        <f>HYPERLINK("https://pbs.twimg.com/profile_images/962471262747529216/Uo8lOkRJ_normal.jpg","View")</f>
        <v>View</v>
      </c>
      <c r="P15628" s="7"/>
    </row>
    <row r="15629" spans="1:16">
      <c r="A15629" s="3">
        <v>44410.740300925929</v>
      </c>
      <c r="B15629" s="4" t="str">
        <f>HYPERLINK("https://twitter.com/petrogustavo","@petrogustavo")</f>
        <v>@petrogustavo</v>
      </c>
      <c r="C15629" s="5" t="s">
        <v>16</v>
      </c>
      <c r="D15629" s="5" t="s">
        <v>15049</v>
      </c>
      <c r="E15629" s="6" t="str">
        <f>HYPERLINK("https://twitter.com/petrogustavo/status/1422169318029238279","1422169318029238279")</f>
        <v>1422169318029238279</v>
      </c>
      <c r="F15629" s="7" t="s">
        <v>17</v>
      </c>
      <c r="G15629" s="7">
        <v>4339844</v>
      </c>
      <c r="H15629" s="7">
        <v>2535</v>
      </c>
      <c r="I15629" s="7">
        <v>230</v>
      </c>
      <c r="J15629" s="7">
        <v>0</v>
      </c>
      <c r="K15629" s="7" t="s">
        <v>18</v>
      </c>
      <c r="L15629" s="8">
        <v>39987.315405092595</v>
      </c>
      <c r="M15629" s="9" t="s">
        <v>19</v>
      </c>
      <c r="N15629" s="9" t="s">
        <v>20</v>
      </c>
      <c r="O15629" s="6" t="str">
        <f>HYPERLINK("https://pbs.twimg.com/profile_images/962471262747529216/Uo8lOkRJ_normal.jpg","View")</f>
        <v>View</v>
      </c>
      <c r="P15629" s="7"/>
    </row>
    <row r="15630" spans="1:16">
      <c r="A15630" s="3">
        <v>44410.745335648149</v>
      </c>
      <c r="B15630" s="4" t="str">
        <f>HYPERLINK("https://twitter.com/petrogustavo","@petrogustavo")</f>
        <v>@petrogustavo</v>
      </c>
      <c r="C15630" s="5" t="s">
        <v>16</v>
      </c>
      <c r="D15630" s="5" t="s">
        <v>15050</v>
      </c>
      <c r="E15630" s="6" t="str">
        <f>HYPERLINK("https://twitter.com/petrogustavo/status/1422171139766427648","1422171139766427648")</f>
        <v>1422171139766427648</v>
      </c>
      <c r="F15630" s="7" t="s">
        <v>17</v>
      </c>
      <c r="G15630" s="7">
        <v>4339853</v>
      </c>
      <c r="H15630" s="7">
        <v>2535</v>
      </c>
      <c r="I15630" s="7">
        <v>38</v>
      </c>
      <c r="J15630" s="7">
        <v>0</v>
      </c>
      <c r="K15630" s="7" t="s">
        <v>18</v>
      </c>
      <c r="L15630" s="8">
        <v>39987.315405092595</v>
      </c>
      <c r="M15630" s="9" t="s">
        <v>19</v>
      </c>
      <c r="N15630" s="9" t="s">
        <v>20</v>
      </c>
      <c r="O15630" s="6" t="str">
        <f>HYPERLINK("https://pbs.twimg.com/profile_images/962471262747529216/Uo8lOkRJ_normal.jpg","View")</f>
        <v>View</v>
      </c>
      <c r="P15630" s="7"/>
    </row>
    <row r="15631" spans="1:16">
      <c r="A15631" s="3">
        <v>44410.747546296298</v>
      </c>
      <c r="B15631" s="4" t="str">
        <f>HYPERLINK("https://twitter.com/petrogustavo","@petrogustavo")</f>
        <v>@petrogustavo</v>
      </c>
      <c r="C15631" s="5" t="s">
        <v>16</v>
      </c>
      <c r="D15631" s="5" t="s">
        <v>15051</v>
      </c>
      <c r="E15631" s="6" t="str">
        <f>HYPERLINK("https://twitter.com/petrogustavo/status/1422171942535172098","1422171942535172098")</f>
        <v>1422171942535172098</v>
      </c>
      <c r="F15631" s="7" t="s">
        <v>17</v>
      </c>
      <c r="G15631" s="7">
        <v>4339853</v>
      </c>
      <c r="H15631" s="7">
        <v>2535</v>
      </c>
      <c r="I15631" s="7">
        <v>219</v>
      </c>
      <c r="J15631" s="7">
        <v>489</v>
      </c>
      <c r="K15631" s="7" t="s">
        <v>18</v>
      </c>
      <c r="L15631" s="8">
        <v>39987.315405092595</v>
      </c>
      <c r="M15631" s="9" t="s">
        <v>19</v>
      </c>
      <c r="N15631" s="9" t="s">
        <v>20</v>
      </c>
      <c r="O15631" s="6" t="str">
        <f>HYPERLINK("https://pbs.twimg.com/profile_images/962471262747529216/Uo8lOkRJ_normal.jpg","View")</f>
        <v>View</v>
      </c>
      <c r="P15631" s="7"/>
    </row>
    <row r="15632" spans="1:16">
      <c r="A15632" s="3">
        <v>44410.75</v>
      </c>
      <c r="B15632" s="4" t="str">
        <f>HYPERLINK("https://twitter.com/petrogustavo","@petrogustavo")</f>
        <v>@petrogustavo</v>
      </c>
      <c r="C15632" s="5" t="s">
        <v>16</v>
      </c>
      <c r="D15632" s="5" t="s">
        <v>15052</v>
      </c>
      <c r="E15632" s="6" t="str">
        <f>HYPERLINK("https://twitter.com/petrogustavo/status/1422172830540648449","1422172830540648449")</f>
        <v>1422172830540648449</v>
      </c>
      <c r="F15632" s="7" t="s">
        <v>17</v>
      </c>
      <c r="G15632" s="7">
        <v>4339853</v>
      </c>
      <c r="H15632" s="7">
        <v>2535</v>
      </c>
      <c r="I15632" s="7">
        <v>24</v>
      </c>
      <c r="J15632" s="7">
        <v>0</v>
      </c>
      <c r="K15632" s="7" t="s">
        <v>18</v>
      </c>
      <c r="L15632" s="8">
        <v>39987.315405092595</v>
      </c>
      <c r="M15632" s="9" t="s">
        <v>19</v>
      </c>
      <c r="N15632" s="9" t="s">
        <v>20</v>
      </c>
      <c r="O15632" s="6" t="str">
        <f>HYPERLINK("https://pbs.twimg.com/profile_images/962471262747529216/Uo8lOkRJ_normal.jpg","View")</f>
        <v>View</v>
      </c>
      <c r="P15632" s="7"/>
    </row>
    <row r="15633" spans="1:16">
      <c r="A15633" s="3">
        <v>44410.750173611115</v>
      </c>
      <c r="B15633" s="4" t="str">
        <f>HYPERLINK("https://twitter.com/petrogustavo","@petrogustavo")</f>
        <v>@petrogustavo</v>
      </c>
      <c r="C15633" s="5" t="s">
        <v>16</v>
      </c>
      <c r="D15633" s="5" t="s">
        <v>15053</v>
      </c>
      <c r="E15633" s="6" t="str">
        <f>HYPERLINK("https://twitter.com/petrogustavo/status/1422172894369550337","1422172894369550337")</f>
        <v>1422172894369550337</v>
      </c>
      <c r="F15633" s="7" t="s">
        <v>17</v>
      </c>
      <c r="G15633" s="7">
        <v>4339853</v>
      </c>
      <c r="H15633" s="7">
        <v>2535</v>
      </c>
      <c r="I15633" s="7">
        <v>1604</v>
      </c>
      <c r="J15633" s="7">
        <v>0</v>
      </c>
      <c r="K15633" s="7" t="s">
        <v>18</v>
      </c>
      <c r="L15633" s="8">
        <v>39987.315405092595</v>
      </c>
      <c r="M15633" s="9" t="s">
        <v>19</v>
      </c>
      <c r="N15633" s="9" t="s">
        <v>20</v>
      </c>
      <c r="O15633" s="6" t="str">
        <f>HYPERLINK("https://pbs.twimg.com/profile_images/962471262747529216/Uo8lOkRJ_normal.jpg","View")</f>
        <v>View</v>
      </c>
      <c r="P15633" s="7"/>
    </row>
    <row r="15634" spans="1:16">
      <c r="A15634" s="3">
        <v>44410.751180555555</v>
      </c>
      <c r="B15634" s="4" t="str">
        <f>HYPERLINK("https://twitter.com/petrogustavo","@petrogustavo")</f>
        <v>@petrogustavo</v>
      </c>
      <c r="C15634" s="5" t="s">
        <v>16</v>
      </c>
      <c r="D15634" s="5" t="s">
        <v>15054</v>
      </c>
      <c r="E15634" s="6" t="str">
        <f>HYPERLINK("https://twitter.com/petrogustavo/status/1422173257751531527","1422173257751531527")</f>
        <v>1422173257751531527</v>
      </c>
      <c r="F15634" s="7" t="s">
        <v>17</v>
      </c>
      <c r="G15634" s="7">
        <v>4339853</v>
      </c>
      <c r="H15634" s="7">
        <v>2535</v>
      </c>
      <c r="I15634" s="7">
        <v>15</v>
      </c>
      <c r="J15634" s="7">
        <v>0</v>
      </c>
      <c r="K15634" s="7" t="s">
        <v>18</v>
      </c>
      <c r="L15634" s="8">
        <v>39987.315405092595</v>
      </c>
      <c r="M15634" s="9" t="s">
        <v>19</v>
      </c>
      <c r="N15634" s="9" t="s">
        <v>20</v>
      </c>
      <c r="O15634" s="6" t="str">
        <f>HYPERLINK("https://pbs.twimg.com/profile_images/962471262747529216/Uo8lOkRJ_normal.jpg","View")</f>
        <v>View</v>
      </c>
      <c r="P15634" s="7"/>
    </row>
    <row r="15635" spans="1:16">
      <c r="A15635" s="3">
        <v>44410.751712962963</v>
      </c>
      <c r="B15635" s="4" t="str">
        <f>HYPERLINK("https://twitter.com/petrogustavo","@petrogustavo")</f>
        <v>@petrogustavo</v>
      </c>
      <c r="C15635" s="5" t="s">
        <v>16</v>
      </c>
      <c r="D15635" s="5" t="s">
        <v>15055</v>
      </c>
      <c r="E15635" s="6" t="str">
        <f>HYPERLINK("https://twitter.com/petrogustavo/status/1422173453566844930","1422173453566844930")</f>
        <v>1422173453566844930</v>
      </c>
      <c r="F15635" s="7" t="s">
        <v>17</v>
      </c>
      <c r="G15635" s="7">
        <v>4339853</v>
      </c>
      <c r="H15635" s="7">
        <v>2535</v>
      </c>
      <c r="I15635" s="7">
        <v>103</v>
      </c>
      <c r="J15635" s="7">
        <v>0</v>
      </c>
      <c r="K15635" s="7" t="s">
        <v>18</v>
      </c>
      <c r="L15635" s="8">
        <v>39987.315405092595</v>
      </c>
      <c r="M15635" s="9" t="s">
        <v>19</v>
      </c>
      <c r="N15635" s="9" t="s">
        <v>20</v>
      </c>
      <c r="O15635" s="6" t="str">
        <f>HYPERLINK("https://pbs.twimg.com/profile_images/962471262747529216/Uo8lOkRJ_normal.jpg","View")</f>
        <v>View</v>
      </c>
      <c r="P15635" s="7"/>
    </row>
    <row r="15636" spans="1:16">
      <c r="A15636" s="3">
        <v>44410.753148148149</v>
      </c>
      <c r="B15636" s="4" t="str">
        <f>HYPERLINK("https://twitter.com/petrogustavo","@petrogustavo")</f>
        <v>@petrogustavo</v>
      </c>
      <c r="C15636" s="5" t="s">
        <v>16</v>
      </c>
      <c r="D15636" s="5" t="s">
        <v>15056</v>
      </c>
      <c r="E15636" s="6" t="str">
        <f>HYPERLINK("https://twitter.com/petrogustavo/status/1422173973471801348","1422173973471801348")</f>
        <v>1422173973471801348</v>
      </c>
      <c r="F15636" s="7" t="s">
        <v>17</v>
      </c>
      <c r="G15636" s="7">
        <v>4339853</v>
      </c>
      <c r="H15636" s="7">
        <v>2535</v>
      </c>
      <c r="I15636" s="7">
        <v>286</v>
      </c>
      <c r="J15636" s="7">
        <v>0</v>
      </c>
      <c r="K15636" s="7" t="s">
        <v>18</v>
      </c>
      <c r="L15636" s="8">
        <v>39987.315405092595</v>
      </c>
      <c r="M15636" s="9" t="s">
        <v>19</v>
      </c>
      <c r="N15636" s="9" t="s">
        <v>20</v>
      </c>
      <c r="O15636" s="6" t="str">
        <f>HYPERLINK("https://pbs.twimg.com/profile_images/962471262747529216/Uo8lOkRJ_normal.jpg","View")</f>
        <v>View</v>
      </c>
      <c r="P15636" s="7"/>
    </row>
    <row r="15637" spans="1:16">
      <c r="A15637" s="3">
        <v>44410.765023148153</v>
      </c>
      <c r="B15637" s="4" t="str">
        <f>HYPERLINK("https://twitter.com/petrogustavo","@petrogustavo")</f>
        <v>@petrogustavo</v>
      </c>
      <c r="C15637" s="5" t="s">
        <v>16</v>
      </c>
      <c r="D15637" s="5" t="s">
        <v>15057</v>
      </c>
      <c r="E15637" s="6" t="str">
        <f>HYPERLINK("https://twitter.com/petrogustavo/status/1422178274235633664","1422178274235633664")</f>
        <v>1422178274235633664</v>
      </c>
      <c r="F15637" s="7" t="s">
        <v>17</v>
      </c>
      <c r="G15637" s="7">
        <v>4339865</v>
      </c>
      <c r="H15637" s="7">
        <v>2535</v>
      </c>
      <c r="I15637" s="7">
        <v>86</v>
      </c>
      <c r="J15637" s="7">
        <v>186</v>
      </c>
      <c r="K15637" s="7" t="s">
        <v>18</v>
      </c>
      <c r="L15637" s="8">
        <v>39987.315405092595</v>
      </c>
      <c r="M15637" s="9" t="s">
        <v>19</v>
      </c>
      <c r="N15637" s="9" t="s">
        <v>20</v>
      </c>
      <c r="O15637" s="6" t="str">
        <f>HYPERLINK("https://pbs.twimg.com/profile_images/962471262747529216/Uo8lOkRJ_normal.jpg","View")</f>
        <v>View</v>
      </c>
      <c r="P15637" s="7"/>
    </row>
    <row r="15638" spans="1:16">
      <c r="A15638" s="3">
        <v>44410.765023148153</v>
      </c>
      <c r="B15638" s="4" t="str">
        <f>HYPERLINK("https://twitter.com/petrogustavo","@petrogustavo")</f>
        <v>@petrogustavo</v>
      </c>
      <c r="C15638" s="5" t="s">
        <v>16</v>
      </c>
      <c r="D15638" s="5" t="s">
        <v>15058</v>
      </c>
      <c r="E15638" s="6" t="str">
        <f>HYPERLINK("https://twitter.com/petrogustavo/status/1422178275254849538","1422178275254849538")</f>
        <v>1422178275254849538</v>
      </c>
      <c r="F15638" s="7" t="s">
        <v>17</v>
      </c>
      <c r="G15638" s="7">
        <v>4339865</v>
      </c>
      <c r="H15638" s="7">
        <v>2535</v>
      </c>
      <c r="I15638" s="7">
        <v>50</v>
      </c>
      <c r="J15638" s="7">
        <v>128</v>
      </c>
      <c r="K15638" s="7" t="s">
        <v>18</v>
      </c>
      <c r="L15638" s="8">
        <v>39987.315405092595</v>
      </c>
      <c r="M15638" s="9" t="s">
        <v>19</v>
      </c>
      <c r="N15638" s="9" t="s">
        <v>20</v>
      </c>
      <c r="O15638" s="6" t="str">
        <f>HYPERLINK("https://pbs.twimg.com/profile_images/962471262747529216/Uo8lOkRJ_normal.jpg","View")</f>
        <v>View</v>
      </c>
      <c r="P15638" s="7"/>
    </row>
    <row r="15639" spans="1:16">
      <c r="A15639" s="3">
        <v>44410.770752314813</v>
      </c>
      <c r="B15639" s="4" t="str">
        <f>HYPERLINK("https://twitter.com/petrogustavo","@petrogustavo")</f>
        <v>@petrogustavo</v>
      </c>
      <c r="C15639" s="5" t="s">
        <v>16</v>
      </c>
      <c r="D15639" s="5" t="s">
        <v>15059</v>
      </c>
      <c r="E15639" s="6" t="str">
        <f>HYPERLINK("https://twitter.com/petrogustavo/status/1422180352173477889","1422180352173477889")</f>
        <v>1422180352173477889</v>
      </c>
      <c r="F15639" s="7" t="s">
        <v>17</v>
      </c>
      <c r="G15639" s="7">
        <v>4339865</v>
      </c>
      <c r="H15639" s="7">
        <v>2535</v>
      </c>
      <c r="I15639" s="7">
        <v>79</v>
      </c>
      <c r="J15639" s="7">
        <v>227</v>
      </c>
      <c r="K15639" s="7" t="s">
        <v>18</v>
      </c>
      <c r="L15639" s="8">
        <v>39987.315405092595</v>
      </c>
      <c r="M15639" s="9" t="s">
        <v>19</v>
      </c>
      <c r="N15639" s="9" t="s">
        <v>20</v>
      </c>
      <c r="O15639" s="6" t="str">
        <f>HYPERLINK("https://pbs.twimg.com/profile_images/962471262747529216/Uo8lOkRJ_normal.jpg","View")</f>
        <v>View</v>
      </c>
      <c r="P15639" s="7"/>
    </row>
    <row r="15640" spans="1:16">
      <c r="A15640" s="3">
        <v>44410.77275462963</v>
      </c>
      <c r="B15640" s="4" t="str">
        <f>HYPERLINK("https://twitter.com/petrogustavo","@petrogustavo")</f>
        <v>@petrogustavo</v>
      </c>
      <c r="C15640" s="5" t="s">
        <v>16</v>
      </c>
      <c r="D15640" s="5" t="s">
        <v>15060</v>
      </c>
      <c r="E15640" s="6" t="str">
        <f>HYPERLINK("https://twitter.com/petrogustavo/status/1422181079029620738","1422181079029620738")</f>
        <v>1422181079029620738</v>
      </c>
      <c r="F15640" s="7" t="s">
        <v>17</v>
      </c>
      <c r="G15640" s="7">
        <v>4339865</v>
      </c>
      <c r="H15640" s="7">
        <v>2535</v>
      </c>
      <c r="I15640" s="7">
        <v>126</v>
      </c>
      <c r="J15640" s="7">
        <v>326</v>
      </c>
      <c r="K15640" s="7" t="s">
        <v>18</v>
      </c>
      <c r="L15640" s="8">
        <v>39987.315405092595</v>
      </c>
      <c r="M15640" s="9" t="s">
        <v>19</v>
      </c>
      <c r="N15640" s="9" t="s">
        <v>20</v>
      </c>
      <c r="O15640" s="6" t="str">
        <f>HYPERLINK("https://pbs.twimg.com/profile_images/962471262747529216/Uo8lOkRJ_normal.jpg","View")</f>
        <v>View</v>
      </c>
      <c r="P15640" s="7"/>
    </row>
    <row r="15641" spans="1:16">
      <c r="A15641" s="3">
        <v>44410.772881944446</v>
      </c>
      <c r="B15641" s="4" t="str">
        <f>HYPERLINK("https://twitter.com/petrogustavo","@petrogustavo")</f>
        <v>@petrogustavo</v>
      </c>
      <c r="C15641" s="5" t="s">
        <v>16</v>
      </c>
      <c r="D15641" s="5" t="s">
        <v>15061</v>
      </c>
      <c r="E15641" s="6" t="str">
        <f>HYPERLINK("https://twitter.com/petrogustavo/status/1422181122595753988","1422181122595753988")</f>
        <v>1422181122595753988</v>
      </c>
      <c r="F15641" s="7" t="s">
        <v>17</v>
      </c>
      <c r="G15641" s="7">
        <v>4339865</v>
      </c>
      <c r="H15641" s="7">
        <v>2535</v>
      </c>
      <c r="I15641" s="7">
        <v>79</v>
      </c>
      <c r="J15641" s="7">
        <v>0</v>
      </c>
      <c r="K15641" s="7" t="s">
        <v>18</v>
      </c>
      <c r="L15641" s="8">
        <v>39987.315405092595</v>
      </c>
      <c r="M15641" s="9" t="s">
        <v>19</v>
      </c>
      <c r="N15641" s="9" t="s">
        <v>20</v>
      </c>
      <c r="O15641" s="6" t="str">
        <f>HYPERLINK("https://pbs.twimg.com/profile_images/962471262747529216/Uo8lOkRJ_normal.jpg","View")</f>
        <v>View</v>
      </c>
      <c r="P15641" s="7"/>
    </row>
    <row r="15642" spans="1:16">
      <c r="A15642" s="3">
        <v>44410.789293981477</v>
      </c>
      <c r="B15642" s="4" t="str">
        <f>HYPERLINK("https://twitter.com/petrogustavo","@petrogustavo")</f>
        <v>@petrogustavo</v>
      </c>
      <c r="C15642" s="5" t="s">
        <v>16</v>
      </c>
      <c r="D15642" s="5" t="s">
        <v>15062</v>
      </c>
      <c r="E15642" s="6" t="str">
        <f>HYPERLINK("https://twitter.com/petrogustavo/status/1422187072794857481","1422187072794857481")</f>
        <v>1422187072794857481</v>
      </c>
      <c r="F15642" s="7" t="s">
        <v>17</v>
      </c>
      <c r="G15642" s="7">
        <v>4339888</v>
      </c>
      <c r="H15642" s="7">
        <v>2535</v>
      </c>
      <c r="I15642" s="7">
        <v>65</v>
      </c>
      <c r="J15642" s="7">
        <v>172</v>
      </c>
      <c r="K15642" s="7" t="s">
        <v>18</v>
      </c>
      <c r="L15642" s="8">
        <v>39987.315405092595</v>
      </c>
      <c r="M15642" s="9" t="s">
        <v>19</v>
      </c>
      <c r="N15642" s="9" t="s">
        <v>20</v>
      </c>
      <c r="O15642" s="6" t="str">
        <f>HYPERLINK("https://pbs.twimg.com/profile_images/962471262747529216/Uo8lOkRJ_normal.jpg","View")</f>
        <v>View</v>
      </c>
      <c r="P15642" s="7"/>
    </row>
    <row r="15643" spans="1:16">
      <c r="A15643" s="3">
        <v>44410.869097222225</v>
      </c>
      <c r="B15643" s="4" t="str">
        <f>HYPERLINK("https://twitter.com/petrogustavo","@petrogustavo")</f>
        <v>@petrogustavo</v>
      </c>
      <c r="C15643" s="5" t="s">
        <v>16</v>
      </c>
      <c r="D15643" s="5" t="s">
        <v>15063</v>
      </c>
      <c r="E15643" s="6" t="str">
        <f>HYPERLINK("https://twitter.com/petrogustavo/status/1422215991124275204","1422215991124275204")</f>
        <v>1422215991124275204</v>
      </c>
      <c r="F15643" s="7" t="s">
        <v>17</v>
      </c>
      <c r="G15643" s="7">
        <v>4339940</v>
      </c>
      <c r="H15643" s="7">
        <v>2534</v>
      </c>
      <c r="I15643" s="7">
        <v>40</v>
      </c>
      <c r="J15643" s="7">
        <v>0</v>
      </c>
      <c r="K15643" s="7" t="s">
        <v>18</v>
      </c>
      <c r="L15643" s="8">
        <v>39987.315405092595</v>
      </c>
      <c r="M15643" s="9" t="s">
        <v>19</v>
      </c>
      <c r="N15643" s="9" t="s">
        <v>20</v>
      </c>
      <c r="O15643" s="6" t="str">
        <f>HYPERLINK("https://pbs.twimg.com/profile_images/962471262747529216/Uo8lOkRJ_normal.jpg","View")</f>
        <v>View</v>
      </c>
      <c r="P15643" s="7"/>
    </row>
    <row r="15644" spans="1:16">
      <c r="A15644" s="3">
        <v>44410.947523148148</v>
      </c>
      <c r="B15644" s="4" t="str">
        <f>HYPERLINK("https://twitter.com/petrogustavo","@petrogustavo")</f>
        <v>@petrogustavo</v>
      </c>
      <c r="C15644" s="5" t="s">
        <v>16</v>
      </c>
      <c r="D15644" s="5" t="s">
        <v>15064</v>
      </c>
      <c r="E15644" s="6" t="str">
        <f>HYPERLINK("https://twitter.com/petrogustavo/status/1422244411954630656","1422244411954630656")</f>
        <v>1422244411954630656</v>
      </c>
      <c r="F15644" s="7" t="s">
        <v>32</v>
      </c>
      <c r="G15644" s="7">
        <v>4339975</v>
      </c>
      <c r="H15644" s="7">
        <v>2534</v>
      </c>
      <c r="I15644" s="7">
        <v>74</v>
      </c>
      <c r="J15644" s="7">
        <v>0</v>
      </c>
      <c r="K15644" s="7" t="s">
        <v>18</v>
      </c>
      <c r="L15644" s="8">
        <v>39987.315405092595</v>
      </c>
      <c r="M15644" s="9" t="s">
        <v>19</v>
      </c>
      <c r="N15644" s="9" t="s">
        <v>20</v>
      </c>
      <c r="O15644" s="6" t="str">
        <f>HYPERLINK("https://pbs.twimg.com/profile_images/962471262747529216/Uo8lOkRJ_normal.jpg","View")</f>
        <v>View</v>
      </c>
      <c r="P15644" s="7"/>
    </row>
    <row r="15645" spans="1:16">
      <c r="A15645" s="3">
        <v>44410.949606481481</v>
      </c>
      <c r="B15645" s="4" t="str">
        <f>HYPERLINK("https://twitter.com/petrogustavo","@petrogustavo")</f>
        <v>@petrogustavo</v>
      </c>
      <c r="C15645" s="5" t="s">
        <v>16</v>
      </c>
      <c r="D15645" s="5" t="s">
        <v>15065</v>
      </c>
      <c r="E15645" s="6" t="str">
        <f>HYPERLINK("https://twitter.com/petrogustavo/status/1422245166702858240","1422245166702858240")</f>
        <v>1422245166702858240</v>
      </c>
      <c r="F15645" s="7" t="s">
        <v>32</v>
      </c>
      <c r="G15645" s="7">
        <v>4339975</v>
      </c>
      <c r="H15645" s="7">
        <v>2534</v>
      </c>
      <c r="I15645" s="7">
        <v>11</v>
      </c>
      <c r="J15645" s="7">
        <v>37</v>
      </c>
      <c r="K15645" s="7" t="s">
        <v>18</v>
      </c>
      <c r="L15645" s="8">
        <v>39987.315405092595</v>
      </c>
      <c r="M15645" s="9" t="s">
        <v>19</v>
      </c>
      <c r="N15645" s="9" t="s">
        <v>20</v>
      </c>
      <c r="O15645" s="6" t="str">
        <f>HYPERLINK("https://pbs.twimg.com/profile_images/962471262747529216/Uo8lOkRJ_normal.jpg","View")</f>
        <v>View</v>
      </c>
      <c r="P15645" s="7"/>
    </row>
    <row r="15646" spans="1:16">
      <c r="A15646" s="3">
        <v>44410.99728009259</v>
      </c>
      <c r="B15646" s="4" t="str">
        <f>HYPERLINK("https://twitter.com/petrogustavo","@petrogustavo")</f>
        <v>@petrogustavo</v>
      </c>
      <c r="C15646" s="5" t="s">
        <v>16</v>
      </c>
      <c r="D15646" s="5" t="s">
        <v>15066</v>
      </c>
      <c r="E15646" s="6" t="str">
        <f>HYPERLINK("https://twitter.com/petrogustavo/status/1422262441791172609","1422262441791172609")</f>
        <v>1422262441791172609</v>
      </c>
      <c r="F15646" s="7" t="s">
        <v>32</v>
      </c>
      <c r="G15646" s="7">
        <v>4340016</v>
      </c>
      <c r="H15646" s="7">
        <v>2534</v>
      </c>
      <c r="I15646" s="7">
        <v>324</v>
      </c>
      <c r="J15646" s="7">
        <v>0</v>
      </c>
      <c r="K15646" s="7" t="s">
        <v>18</v>
      </c>
      <c r="L15646" s="8">
        <v>39987.315405092595</v>
      </c>
      <c r="M15646" s="9" t="s">
        <v>19</v>
      </c>
      <c r="N15646" s="9" t="s">
        <v>20</v>
      </c>
      <c r="O15646" s="6" t="str">
        <f>HYPERLINK("https://pbs.twimg.com/profile_images/962471262747529216/Uo8lOkRJ_normal.jpg","View")</f>
        <v>View</v>
      </c>
      <c r="P15646" s="7"/>
    </row>
    <row r="15647" spans="1:16">
      <c r="A15647" s="3">
        <v>44411.143182870372</v>
      </c>
      <c r="B15647" s="4" t="str">
        <f>HYPERLINK("https://twitter.com/petrogustavo","@petrogustavo")</f>
        <v>@petrogustavo</v>
      </c>
      <c r="C15647" s="5" t="s">
        <v>16</v>
      </c>
      <c r="D15647" s="5" t="s">
        <v>15067</v>
      </c>
      <c r="E15647" s="6" t="str">
        <f>HYPERLINK("https://twitter.com/petrogustavo/status/1422315318454665219","1422315318454665219")</f>
        <v>1422315318454665219</v>
      </c>
      <c r="F15647" s="7" t="s">
        <v>32</v>
      </c>
      <c r="G15647" s="7">
        <v>4340079</v>
      </c>
      <c r="H15647" s="7">
        <v>2534</v>
      </c>
      <c r="I15647" s="7">
        <v>313</v>
      </c>
      <c r="J15647" s="7">
        <v>1462</v>
      </c>
      <c r="K15647" s="7" t="s">
        <v>18</v>
      </c>
      <c r="L15647" s="8">
        <v>39987.315405092595</v>
      </c>
      <c r="M15647" s="9" t="s">
        <v>19</v>
      </c>
      <c r="N15647" s="9" t="s">
        <v>20</v>
      </c>
      <c r="O15647" s="6" t="str">
        <f>HYPERLINK("https://pbs.twimg.com/profile_images/962471262747529216/Uo8lOkRJ_normal.jpg","View")</f>
        <v>View</v>
      </c>
      <c r="P15647" s="7"/>
    </row>
    <row r="15648" spans="1:16">
      <c r="A15648" s="3">
        <v>44411.165173611109</v>
      </c>
      <c r="B15648" s="4" t="str">
        <f>HYPERLINK("https://twitter.com/petrogustavo","@petrogustavo")</f>
        <v>@petrogustavo</v>
      </c>
      <c r="C15648" s="5" t="s">
        <v>16</v>
      </c>
      <c r="D15648" s="5" t="s">
        <v>15068</v>
      </c>
      <c r="E15648" s="6" t="str">
        <f>HYPERLINK("https://twitter.com/petrogustavo/status/1422323287187763202","1422323287187763202")</f>
        <v>1422323287187763202</v>
      </c>
      <c r="F15648" s="7" t="s">
        <v>17</v>
      </c>
      <c r="G15648" s="7">
        <v>4340091</v>
      </c>
      <c r="H15648" s="7">
        <v>2534</v>
      </c>
      <c r="I15648" s="7">
        <v>346</v>
      </c>
      <c r="J15648" s="7">
        <v>0</v>
      </c>
      <c r="K15648" s="7" t="s">
        <v>18</v>
      </c>
      <c r="L15648" s="8">
        <v>39987.315405092595</v>
      </c>
      <c r="M15648" s="9" t="s">
        <v>19</v>
      </c>
      <c r="N15648" s="9" t="s">
        <v>20</v>
      </c>
      <c r="O15648" s="6" t="str">
        <f>HYPERLINK("https://pbs.twimg.com/profile_images/962471262747529216/Uo8lOkRJ_normal.jpg","View")</f>
        <v>View</v>
      </c>
      <c r="P15648" s="7"/>
    </row>
    <row r="15649" spans="1:16">
      <c r="A15649" s="3">
        <v>44411.165312500001</v>
      </c>
      <c r="B15649" s="4" t="str">
        <f>HYPERLINK("https://twitter.com/petrogustavo","@petrogustavo")</f>
        <v>@petrogustavo</v>
      </c>
      <c r="C15649" s="5" t="s">
        <v>16</v>
      </c>
      <c r="D15649" s="5" t="s">
        <v>15069</v>
      </c>
      <c r="E15649" s="6" t="str">
        <f>HYPERLINK("https://twitter.com/petrogustavo/status/1422323335669633026","1422323335669633026")</f>
        <v>1422323335669633026</v>
      </c>
      <c r="F15649" s="7" t="s">
        <v>17</v>
      </c>
      <c r="G15649" s="7">
        <v>4340091</v>
      </c>
      <c r="H15649" s="7">
        <v>2534</v>
      </c>
      <c r="I15649" s="7">
        <v>626</v>
      </c>
      <c r="J15649" s="7">
        <v>0</v>
      </c>
      <c r="K15649" s="7" t="s">
        <v>18</v>
      </c>
      <c r="L15649" s="8">
        <v>39987.315405092595</v>
      </c>
      <c r="M15649" s="9" t="s">
        <v>19</v>
      </c>
      <c r="N15649" s="9" t="s">
        <v>20</v>
      </c>
      <c r="O15649" s="6" t="str">
        <f>HYPERLINK("https://pbs.twimg.com/profile_images/962471262747529216/Uo8lOkRJ_normal.jpg","View")</f>
        <v>View</v>
      </c>
      <c r="P15649" s="7"/>
    </row>
    <row r="15650" spans="1:16">
      <c r="A15650" s="3">
        <v>44411.173807870371</v>
      </c>
      <c r="B15650" s="4" t="str">
        <f>HYPERLINK("https://twitter.com/petrogustavo","@petrogustavo")</f>
        <v>@petrogustavo</v>
      </c>
      <c r="C15650" s="5" t="s">
        <v>16</v>
      </c>
      <c r="D15650" s="5" t="s">
        <v>15070</v>
      </c>
      <c r="E15650" s="6" t="str">
        <f>HYPERLINK("https://twitter.com/petrogustavo/status/1422326415974965252","1422326415974965252")</f>
        <v>1422326415974965252</v>
      </c>
      <c r="F15650" s="7" t="s">
        <v>17</v>
      </c>
      <c r="G15650" s="7">
        <v>4340091</v>
      </c>
      <c r="H15650" s="7">
        <v>2534</v>
      </c>
      <c r="I15650" s="7">
        <v>38</v>
      </c>
      <c r="J15650" s="7">
        <v>0</v>
      </c>
      <c r="K15650" s="7" t="s">
        <v>18</v>
      </c>
      <c r="L15650" s="8">
        <v>39987.315405092595</v>
      </c>
      <c r="M15650" s="9" t="s">
        <v>19</v>
      </c>
      <c r="N15650" s="9" t="s">
        <v>20</v>
      </c>
      <c r="O15650" s="6" t="str">
        <f>HYPERLINK("https://pbs.twimg.com/profile_images/962471262747529216/Uo8lOkRJ_normal.jpg","View")</f>
        <v>View</v>
      </c>
      <c r="P15650" s="7"/>
    </row>
    <row r="15651" spans="1:16">
      <c r="A15651" s="3">
        <v>44411.367835648147</v>
      </c>
      <c r="B15651" s="4" t="str">
        <f>HYPERLINK("https://twitter.com/petrogustavo","@petrogustavo")</f>
        <v>@petrogustavo</v>
      </c>
      <c r="C15651" s="5" t="s">
        <v>16</v>
      </c>
      <c r="D15651" s="5" t="s">
        <v>15039</v>
      </c>
      <c r="E15651" s="6" t="str">
        <f>HYPERLINK("https://twitter.com/petrogustavo/status/1422396728741965844","1422396728741965844")</f>
        <v>1422396728741965844</v>
      </c>
      <c r="F15651" s="7" t="s">
        <v>17</v>
      </c>
      <c r="G15651" s="7">
        <v>4340228</v>
      </c>
      <c r="H15651" s="7">
        <v>2534</v>
      </c>
      <c r="I15651" s="7">
        <v>798</v>
      </c>
      <c r="J15651" s="7">
        <v>0</v>
      </c>
      <c r="K15651" s="7" t="s">
        <v>18</v>
      </c>
      <c r="L15651" s="8">
        <v>39987.315405092595</v>
      </c>
      <c r="M15651" s="9" t="s">
        <v>19</v>
      </c>
      <c r="N15651" s="9" t="s">
        <v>20</v>
      </c>
      <c r="O15651" s="6" t="str">
        <f>HYPERLINK("https://pbs.twimg.com/profile_images/962471262747529216/Uo8lOkRJ_normal.jpg","View")</f>
        <v>View</v>
      </c>
      <c r="P15651" s="7"/>
    </row>
    <row r="15652" spans="1:16">
      <c r="A15652" s="3">
        <v>44411.38853009259</v>
      </c>
      <c r="B15652" s="4" t="str">
        <f>HYPERLINK("https://twitter.com/petrogustavo","@petrogustavo")</f>
        <v>@petrogustavo</v>
      </c>
      <c r="C15652" s="5" t="s">
        <v>16</v>
      </c>
      <c r="D15652" s="5" t="s">
        <v>15071</v>
      </c>
      <c r="E15652" s="6" t="str">
        <f>HYPERLINK("https://twitter.com/petrogustavo/status/1422404227104747540","1422404227104747540")</f>
        <v>1422404227104747540</v>
      </c>
      <c r="F15652" s="7" t="s">
        <v>17</v>
      </c>
      <c r="G15652" s="7">
        <v>4340248</v>
      </c>
      <c r="H15652" s="7">
        <v>2534</v>
      </c>
      <c r="I15652" s="7">
        <v>252</v>
      </c>
      <c r="J15652" s="7">
        <v>982</v>
      </c>
      <c r="K15652" s="7" t="s">
        <v>18</v>
      </c>
      <c r="L15652" s="8">
        <v>39987.315405092595</v>
      </c>
      <c r="M15652" s="9" t="s">
        <v>19</v>
      </c>
      <c r="N15652" s="9" t="s">
        <v>20</v>
      </c>
      <c r="O15652" s="6" t="str">
        <f>HYPERLINK("https://pbs.twimg.com/profile_images/962471262747529216/Uo8lOkRJ_normal.jpg","View")</f>
        <v>View</v>
      </c>
      <c r="P15652" s="7"/>
    </row>
    <row r="15653" spans="1:16">
      <c r="A15653" s="3">
        <v>44411.719791666663</v>
      </c>
      <c r="B15653" s="4" t="str">
        <f>HYPERLINK("https://twitter.com/petrogustavo","@petrogustavo")</f>
        <v>@petrogustavo</v>
      </c>
      <c r="C15653" s="5" t="s">
        <v>16</v>
      </c>
      <c r="D15653" s="5" t="s">
        <v>15072</v>
      </c>
      <c r="E15653" s="6" t="str">
        <f>HYPERLINK("https://twitter.com/petrogustavo/status/1422524274460528640","1422524274460528640")</f>
        <v>1422524274460528640</v>
      </c>
      <c r="F15653" s="7" t="s">
        <v>17</v>
      </c>
      <c r="G15653" s="7">
        <v>4340290</v>
      </c>
      <c r="H15653" s="7">
        <v>2534</v>
      </c>
      <c r="I15653" s="7">
        <v>4</v>
      </c>
      <c r="J15653" s="7">
        <v>12</v>
      </c>
      <c r="K15653" s="7" t="s">
        <v>18</v>
      </c>
      <c r="L15653" s="8">
        <v>39987.315405092595</v>
      </c>
      <c r="M15653" s="9" t="s">
        <v>19</v>
      </c>
      <c r="N15653" s="9" t="s">
        <v>20</v>
      </c>
      <c r="O15653" s="6" t="str">
        <f>HYPERLINK("https://pbs.twimg.com/profile_images/962471262747529216/Uo8lOkRJ_normal.jpg","View")</f>
        <v>View</v>
      </c>
      <c r="P15653" s="7"/>
    </row>
    <row r="15654" spans="1:16">
      <c r="A15654" s="3">
        <v>44411.71980324074</v>
      </c>
      <c r="B15654" s="4" t="str">
        <f>HYPERLINK("https://twitter.com/petrogustavo","@petrogustavo")</f>
        <v>@petrogustavo</v>
      </c>
      <c r="C15654" s="5" t="s">
        <v>16</v>
      </c>
      <c r="D15654" s="5" t="s">
        <v>15073</v>
      </c>
      <c r="E15654" s="6" t="str">
        <f>HYPERLINK("https://twitter.com/petrogustavo/status/1422524275446226944","1422524275446226944")</f>
        <v>1422524275446226944</v>
      </c>
      <c r="F15654" s="7" t="s">
        <v>17</v>
      </c>
      <c r="G15654" s="7">
        <v>4340290</v>
      </c>
      <c r="H15654" s="7">
        <v>2534</v>
      </c>
      <c r="I15654" s="7">
        <v>2</v>
      </c>
      <c r="J15654" s="7">
        <v>5</v>
      </c>
      <c r="K15654" s="7" t="s">
        <v>18</v>
      </c>
      <c r="L15654" s="8">
        <v>39987.315405092595</v>
      </c>
      <c r="M15654" s="9" t="s">
        <v>19</v>
      </c>
      <c r="N15654" s="9" t="s">
        <v>20</v>
      </c>
      <c r="O15654" s="6" t="str">
        <f>HYPERLINK("https://pbs.twimg.com/profile_images/962471262747529216/Uo8lOkRJ_normal.jpg","View")</f>
        <v>View</v>
      </c>
      <c r="P15654" s="7"/>
    </row>
    <row r="15655" spans="1:16">
      <c r="A15655" s="3">
        <v>44411.71980324074</v>
      </c>
      <c r="B15655" s="4" t="str">
        <f>HYPERLINK("https://twitter.com/petrogustavo","@petrogustavo")</f>
        <v>@petrogustavo</v>
      </c>
      <c r="C15655" s="5" t="s">
        <v>16</v>
      </c>
      <c r="D15655" s="5" t="s">
        <v>15074</v>
      </c>
      <c r="E15655" s="6" t="str">
        <f>HYPERLINK("https://twitter.com/petrogustavo/status/1422524276519981059","1422524276519981059")</f>
        <v>1422524276519981059</v>
      </c>
      <c r="F15655" s="7" t="s">
        <v>17</v>
      </c>
      <c r="G15655" s="7">
        <v>4340290</v>
      </c>
      <c r="H15655" s="7">
        <v>2534</v>
      </c>
      <c r="I15655" s="7">
        <v>3</v>
      </c>
      <c r="J15655" s="7">
        <v>6</v>
      </c>
      <c r="K15655" s="7" t="s">
        <v>18</v>
      </c>
      <c r="L15655" s="8">
        <v>39987.315405092595</v>
      </c>
      <c r="M15655" s="9" t="s">
        <v>19</v>
      </c>
      <c r="N15655" s="9" t="s">
        <v>20</v>
      </c>
      <c r="O15655" s="6" t="str">
        <f>HYPERLINK("https://pbs.twimg.com/profile_images/962471262747529216/Uo8lOkRJ_normal.jpg","View")</f>
        <v>View</v>
      </c>
      <c r="P15655" s="7"/>
    </row>
    <row r="15656" spans="1:16">
      <c r="A15656" s="3">
        <v>44411.71980324074</v>
      </c>
      <c r="B15656" s="4" t="str">
        <f>HYPERLINK("https://twitter.com/petrogustavo","@petrogustavo")</f>
        <v>@petrogustavo</v>
      </c>
      <c r="C15656" s="5" t="s">
        <v>16</v>
      </c>
      <c r="D15656" s="5" t="s">
        <v>15075</v>
      </c>
      <c r="E15656" s="6" t="str">
        <f>HYPERLINK("https://twitter.com/petrogustavo/status/1422524277681758224","1422524277681758224")</f>
        <v>1422524277681758224</v>
      </c>
      <c r="F15656" s="7" t="s">
        <v>17</v>
      </c>
      <c r="G15656" s="7">
        <v>4340290</v>
      </c>
      <c r="H15656" s="7">
        <v>2534</v>
      </c>
      <c r="I15656" s="7">
        <v>2</v>
      </c>
      <c r="J15656" s="7">
        <v>4</v>
      </c>
      <c r="K15656" s="7" t="s">
        <v>18</v>
      </c>
      <c r="L15656" s="8">
        <v>39987.315405092595</v>
      </c>
      <c r="M15656" s="9" t="s">
        <v>19</v>
      </c>
      <c r="N15656" s="9" t="s">
        <v>20</v>
      </c>
      <c r="O15656" s="6" t="str">
        <f>HYPERLINK("https://pbs.twimg.com/profile_images/962471262747529216/Uo8lOkRJ_normal.jpg","View")</f>
        <v>View</v>
      </c>
      <c r="P15656" s="7"/>
    </row>
    <row r="15657" spans="1:16">
      <c r="A15657" s="3">
        <v>44411.71980324074</v>
      </c>
      <c r="B15657" s="4" t="str">
        <f>HYPERLINK("https://twitter.com/petrogustavo","@petrogustavo")</f>
        <v>@petrogustavo</v>
      </c>
      <c r="C15657" s="5" t="s">
        <v>16</v>
      </c>
      <c r="D15657" s="5" t="s">
        <v>15076</v>
      </c>
      <c r="E15657" s="6" t="str">
        <f>HYPERLINK("https://twitter.com/petrogustavo/status/1422524278889717763","1422524278889717763")</f>
        <v>1422524278889717763</v>
      </c>
      <c r="F15657" s="7" t="s">
        <v>17</v>
      </c>
      <c r="G15657" s="7">
        <v>4340290</v>
      </c>
      <c r="H15657" s="7">
        <v>2534</v>
      </c>
      <c r="I15657" s="7">
        <v>2</v>
      </c>
      <c r="J15657" s="7">
        <v>4</v>
      </c>
      <c r="K15657" s="7" t="s">
        <v>18</v>
      </c>
      <c r="L15657" s="8">
        <v>39987.315405092595</v>
      </c>
      <c r="M15657" s="9" t="s">
        <v>19</v>
      </c>
      <c r="N15657" s="9" t="s">
        <v>20</v>
      </c>
      <c r="O15657" s="6" t="str">
        <f>HYPERLINK("https://pbs.twimg.com/profile_images/962471262747529216/Uo8lOkRJ_normal.jpg","View")</f>
        <v>View</v>
      </c>
      <c r="P15657" s="7"/>
    </row>
    <row r="15658" spans="1:16">
      <c r="A15658" s="3">
        <v>44411.719814814816</v>
      </c>
      <c r="B15658" s="4" t="str">
        <f>HYPERLINK("https://twitter.com/petrogustavo","@petrogustavo")</f>
        <v>@petrogustavo</v>
      </c>
      <c r="C15658" s="5" t="s">
        <v>16</v>
      </c>
      <c r="D15658" s="5" t="s">
        <v>15077</v>
      </c>
      <c r="E15658" s="6" t="str">
        <f>HYPERLINK("https://twitter.com/petrogustavo/status/1422524280143810560","1422524280143810560")</f>
        <v>1422524280143810560</v>
      </c>
      <c r="F15658" s="7" t="s">
        <v>17</v>
      </c>
      <c r="G15658" s="7">
        <v>4340290</v>
      </c>
      <c r="H15658" s="7">
        <v>2534</v>
      </c>
      <c r="I15658" s="7">
        <v>2</v>
      </c>
      <c r="J15658" s="7">
        <v>3</v>
      </c>
      <c r="K15658" s="7" t="s">
        <v>18</v>
      </c>
      <c r="L15658" s="8">
        <v>39987.315405092595</v>
      </c>
      <c r="M15658" s="9" t="s">
        <v>19</v>
      </c>
      <c r="N15658" s="9" t="s">
        <v>20</v>
      </c>
      <c r="O15658" s="6" t="str">
        <f>HYPERLINK("https://pbs.twimg.com/profile_images/962471262747529216/Uo8lOkRJ_normal.jpg","View")</f>
        <v>View</v>
      </c>
      <c r="P15658" s="7"/>
    </row>
    <row r="15659" spans="1:16">
      <c r="A15659" s="3">
        <v>44411.719814814816</v>
      </c>
      <c r="B15659" s="4" t="str">
        <f>HYPERLINK("https://twitter.com/petrogustavo","@petrogustavo")</f>
        <v>@petrogustavo</v>
      </c>
      <c r="C15659" s="5" t="s">
        <v>16</v>
      </c>
      <c r="D15659" s="5" t="s">
        <v>15078</v>
      </c>
      <c r="E15659" s="6" t="str">
        <f>HYPERLINK("https://twitter.com/petrogustavo/status/1422524281267884033","1422524281267884033")</f>
        <v>1422524281267884033</v>
      </c>
      <c r="F15659" s="7" t="s">
        <v>17</v>
      </c>
      <c r="G15659" s="7">
        <v>4340290</v>
      </c>
      <c r="H15659" s="7">
        <v>2534</v>
      </c>
      <c r="I15659" s="7">
        <v>2</v>
      </c>
      <c r="J15659" s="7">
        <v>4</v>
      </c>
      <c r="K15659" s="7" t="s">
        <v>18</v>
      </c>
      <c r="L15659" s="8">
        <v>39987.315405092595</v>
      </c>
      <c r="M15659" s="9" t="s">
        <v>19</v>
      </c>
      <c r="N15659" s="9" t="s">
        <v>20</v>
      </c>
      <c r="O15659" s="6" t="str">
        <f>HYPERLINK("https://pbs.twimg.com/profile_images/962471262747529216/Uo8lOkRJ_normal.jpg","View")</f>
        <v>View</v>
      </c>
      <c r="P15659" s="7"/>
    </row>
    <row r="15660" spans="1:16">
      <c r="A15660" s="3">
        <v>44411.719814814816</v>
      </c>
      <c r="B15660" s="4" t="str">
        <f>HYPERLINK("https://twitter.com/petrogustavo","@petrogustavo")</f>
        <v>@petrogustavo</v>
      </c>
      <c r="C15660" s="5" t="s">
        <v>16</v>
      </c>
      <c r="D15660" s="5" t="s">
        <v>15079</v>
      </c>
      <c r="E15660" s="6" t="str">
        <f>HYPERLINK("https://twitter.com/petrogustavo/status/1422524282882637824","1422524282882637824")</f>
        <v>1422524282882637824</v>
      </c>
      <c r="F15660" s="7" t="s">
        <v>17</v>
      </c>
      <c r="G15660" s="7">
        <v>4340290</v>
      </c>
      <c r="H15660" s="7">
        <v>2534</v>
      </c>
      <c r="I15660" s="7">
        <v>1</v>
      </c>
      <c r="J15660" s="7">
        <v>5</v>
      </c>
      <c r="K15660" s="7" t="s">
        <v>18</v>
      </c>
      <c r="L15660" s="8">
        <v>39987.315405092595</v>
      </c>
      <c r="M15660" s="9" t="s">
        <v>19</v>
      </c>
      <c r="N15660" s="9" t="s">
        <v>20</v>
      </c>
      <c r="O15660" s="6" t="str">
        <f>HYPERLINK("https://pbs.twimg.com/profile_images/962471262747529216/Uo8lOkRJ_normal.jpg","View")</f>
        <v>View</v>
      </c>
      <c r="P15660" s="7"/>
    </row>
    <row r="15661" spans="1:16">
      <c r="A15661" s="3">
        <v>44411.719826388886</v>
      </c>
      <c r="B15661" s="4" t="str">
        <f>HYPERLINK("https://twitter.com/petrogustavo","@petrogustavo")</f>
        <v>@petrogustavo</v>
      </c>
      <c r="C15661" s="5" t="s">
        <v>16</v>
      </c>
      <c r="D15661" s="5" t="s">
        <v>15080</v>
      </c>
      <c r="E15661" s="6" t="str">
        <f>HYPERLINK("https://twitter.com/petrogustavo/status/1422524283927076891","1422524283927076891")</f>
        <v>1422524283927076891</v>
      </c>
      <c r="F15661" s="7" t="s">
        <v>17</v>
      </c>
      <c r="G15661" s="7">
        <v>4340290</v>
      </c>
      <c r="H15661" s="7">
        <v>2534</v>
      </c>
      <c r="I15661" s="7">
        <v>0</v>
      </c>
      <c r="J15661" s="7">
        <v>3</v>
      </c>
      <c r="K15661" s="7" t="s">
        <v>18</v>
      </c>
      <c r="L15661" s="8">
        <v>39987.315405092595</v>
      </c>
      <c r="M15661" s="9" t="s">
        <v>19</v>
      </c>
      <c r="N15661" s="9" t="s">
        <v>20</v>
      </c>
      <c r="O15661" s="6" t="str">
        <f>HYPERLINK("https://pbs.twimg.com/profile_images/962471262747529216/Uo8lOkRJ_normal.jpg","View")</f>
        <v>View</v>
      </c>
      <c r="P15661" s="7"/>
    </row>
    <row r="15662" spans="1:16">
      <c r="A15662" s="3">
        <v>44411.733310185184</v>
      </c>
      <c r="B15662" s="4" t="str">
        <f>HYPERLINK("https://twitter.com/petrogustavo","@petrogustavo")</f>
        <v>@petrogustavo</v>
      </c>
      <c r="C15662" s="5" t="s">
        <v>16</v>
      </c>
      <c r="D15662" s="5" t="s">
        <v>15081</v>
      </c>
      <c r="E15662" s="6" t="str">
        <f>HYPERLINK("https://twitter.com/petrogustavo/status/1422529169636958208","1422529169636958208")</f>
        <v>1422529169636958208</v>
      </c>
      <c r="F15662" s="7" t="s">
        <v>17</v>
      </c>
      <c r="G15662" s="7">
        <v>4340298</v>
      </c>
      <c r="H15662" s="7">
        <v>2534</v>
      </c>
      <c r="I15662" s="7">
        <v>198</v>
      </c>
      <c r="J15662" s="7">
        <v>573</v>
      </c>
      <c r="K15662" s="7" t="s">
        <v>18</v>
      </c>
      <c r="L15662" s="8">
        <v>39987.315405092595</v>
      </c>
      <c r="M15662" s="9" t="s">
        <v>19</v>
      </c>
      <c r="N15662" s="9" t="s">
        <v>20</v>
      </c>
      <c r="O15662" s="6" t="str">
        <f>HYPERLINK("https://pbs.twimg.com/profile_images/962471262747529216/Uo8lOkRJ_normal.jpg","View")</f>
        <v>View</v>
      </c>
      <c r="P15662" s="7"/>
    </row>
    <row r="15663" spans="1:16">
      <c r="A15663" s="3">
        <v>44411.754826388889</v>
      </c>
      <c r="B15663" s="4" t="str">
        <f>HYPERLINK("https://twitter.com/petrogustavo","@petrogustavo")</f>
        <v>@petrogustavo</v>
      </c>
      <c r="C15663" s="5" t="s">
        <v>16</v>
      </c>
      <c r="D15663" s="5" t="s">
        <v>15082</v>
      </c>
      <c r="E15663" s="6" t="str">
        <f>HYPERLINK("https://twitter.com/petrogustavo/status/1422536970673270785","1422536970673270785")</f>
        <v>1422536970673270785</v>
      </c>
      <c r="F15663" s="7" t="s">
        <v>17</v>
      </c>
      <c r="G15663" s="7">
        <v>4340312</v>
      </c>
      <c r="H15663" s="7">
        <v>2534</v>
      </c>
      <c r="I15663" s="7">
        <v>53</v>
      </c>
      <c r="J15663" s="7">
        <v>152</v>
      </c>
      <c r="K15663" s="7" t="s">
        <v>18</v>
      </c>
      <c r="L15663" s="8">
        <v>39987.315405092595</v>
      </c>
      <c r="M15663" s="9" t="s">
        <v>19</v>
      </c>
      <c r="N15663" s="9" t="s">
        <v>20</v>
      </c>
      <c r="O15663" s="6" t="str">
        <f>HYPERLINK("https://pbs.twimg.com/profile_images/962471262747529216/Uo8lOkRJ_normal.jpg","View")</f>
        <v>View</v>
      </c>
      <c r="P15663" s="7"/>
    </row>
    <row r="15664" spans="1:16">
      <c r="A15664" s="3">
        <v>44411.754837962959</v>
      </c>
      <c r="B15664" s="4" t="str">
        <f>HYPERLINK("https://twitter.com/petrogustavo","@petrogustavo")</f>
        <v>@petrogustavo</v>
      </c>
      <c r="C15664" s="5" t="s">
        <v>16</v>
      </c>
      <c r="D15664" s="5" t="s">
        <v>15083</v>
      </c>
      <c r="E15664" s="6" t="str">
        <f>HYPERLINK("https://twitter.com/petrogustavo/status/1422536971960913921","1422536971960913921")</f>
        <v>1422536971960913921</v>
      </c>
      <c r="F15664" s="7" t="s">
        <v>17</v>
      </c>
      <c r="G15664" s="7">
        <v>4340312</v>
      </c>
      <c r="H15664" s="7">
        <v>2534</v>
      </c>
      <c r="I15664" s="7">
        <v>30</v>
      </c>
      <c r="J15664" s="7">
        <v>99</v>
      </c>
      <c r="K15664" s="7" t="s">
        <v>18</v>
      </c>
      <c r="L15664" s="8">
        <v>39987.315405092595</v>
      </c>
      <c r="M15664" s="9" t="s">
        <v>19</v>
      </c>
      <c r="N15664" s="9" t="s">
        <v>20</v>
      </c>
      <c r="O15664" s="6" t="str">
        <f>HYPERLINK("https://pbs.twimg.com/profile_images/962471262747529216/Uo8lOkRJ_normal.jpg","View")</f>
        <v>View</v>
      </c>
      <c r="P15664" s="7"/>
    </row>
    <row r="15665" spans="1:16">
      <c r="A15665" s="3">
        <v>44411.754837962959</v>
      </c>
      <c r="B15665" s="4" t="str">
        <f>HYPERLINK("https://twitter.com/petrogustavo","@petrogustavo")</f>
        <v>@petrogustavo</v>
      </c>
      <c r="C15665" s="5" t="s">
        <v>16</v>
      </c>
      <c r="D15665" s="5" t="s">
        <v>15084</v>
      </c>
      <c r="E15665" s="6" t="str">
        <f>HYPERLINK("https://twitter.com/petrogustavo/status/1422536973152133121","1422536973152133121")</f>
        <v>1422536973152133121</v>
      </c>
      <c r="F15665" s="7" t="s">
        <v>17</v>
      </c>
      <c r="G15665" s="7">
        <v>4340312</v>
      </c>
      <c r="H15665" s="7">
        <v>2534</v>
      </c>
      <c r="I15665" s="7">
        <v>27</v>
      </c>
      <c r="J15665" s="7">
        <v>101</v>
      </c>
      <c r="K15665" s="7" t="s">
        <v>18</v>
      </c>
      <c r="L15665" s="8">
        <v>39987.315405092595</v>
      </c>
      <c r="M15665" s="9" t="s">
        <v>19</v>
      </c>
      <c r="N15665" s="9" t="s">
        <v>20</v>
      </c>
      <c r="O15665" s="6" t="str">
        <f>HYPERLINK("https://pbs.twimg.com/profile_images/962471262747529216/Uo8lOkRJ_normal.jpg","View")</f>
        <v>View</v>
      </c>
      <c r="P15665" s="7"/>
    </row>
    <row r="15666" spans="1:16">
      <c r="A15666" s="3">
        <v>44411.764050925922</v>
      </c>
      <c r="B15666" s="4" t="str">
        <f>HYPERLINK("https://twitter.com/petrogustavo","@petrogustavo")</f>
        <v>@petrogustavo</v>
      </c>
      <c r="C15666" s="5" t="s">
        <v>16</v>
      </c>
      <c r="D15666" s="5" t="s">
        <v>15085</v>
      </c>
      <c r="E15666" s="6" t="str">
        <f>HYPERLINK("https://twitter.com/petrogustavo/status/1422540309733511172","1422540309733511172")</f>
        <v>1422540309733511172</v>
      </c>
      <c r="F15666" s="7" t="s">
        <v>17</v>
      </c>
      <c r="G15666" s="7">
        <v>4340327</v>
      </c>
      <c r="H15666" s="7">
        <v>2534</v>
      </c>
      <c r="I15666" s="7">
        <v>377</v>
      </c>
      <c r="J15666" s="7">
        <v>0</v>
      </c>
      <c r="K15666" s="7" t="s">
        <v>18</v>
      </c>
      <c r="L15666" s="8">
        <v>39987.315405092595</v>
      </c>
      <c r="M15666" s="9" t="s">
        <v>19</v>
      </c>
      <c r="N15666" s="9" t="s">
        <v>20</v>
      </c>
      <c r="O15666" s="6" t="str">
        <f>HYPERLINK("https://pbs.twimg.com/profile_images/962471262747529216/Uo8lOkRJ_normal.jpg","View")</f>
        <v>View</v>
      </c>
      <c r="P15666" s="7"/>
    </row>
    <row r="15667" spans="1:16">
      <c r="A15667" s="3">
        <v>44411.764247685191</v>
      </c>
      <c r="B15667" s="4" t="str">
        <f>HYPERLINK("https://twitter.com/petrogustavo","@petrogustavo")</f>
        <v>@petrogustavo</v>
      </c>
      <c r="C15667" s="5" t="s">
        <v>16</v>
      </c>
      <c r="D15667" s="5" t="s">
        <v>15086</v>
      </c>
      <c r="E15667" s="6" t="str">
        <f>HYPERLINK("https://twitter.com/petrogustavo/status/1422540384677281802","1422540384677281802")</f>
        <v>1422540384677281802</v>
      </c>
      <c r="F15667" s="7" t="s">
        <v>17</v>
      </c>
      <c r="G15667" s="7">
        <v>4340327</v>
      </c>
      <c r="H15667" s="7">
        <v>2534</v>
      </c>
      <c r="I15667" s="7">
        <v>375</v>
      </c>
      <c r="J15667" s="7">
        <v>0</v>
      </c>
      <c r="K15667" s="7" t="s">
        <v>18</v>
      </c>
      <c r="L15667" s="8">
        <v>39987.315405092595</v>
      </c>
      <c r="M15667" s="9" t="s">
        <v>19</v>
      </c>
      <c r="N15667" s="9" t="s">
        <v>20</v>
      </c>
      <c r="O15667" s="6" t="str">
        <f>HYPERLINK("https://pbs.twimg.com/profile_images/962471262747529216/Uo8lOkRJ_normal.jpg","View")</f>
        <v>View</v>
      </c>
      <c r="P15667" s="7"/>
    </row>
    <row r="15668" spans="1:16">
      <c r="A15668" s="3">
        <v>44411.815902777773</v>
      </c>
      <c r="B15668" s="4" t="str">
        <f>HYPERLINK("https://twitter.com/petrogustavo","@petrogustavo")</f>
        <v>@petrogustavo</v>
      </c>
      <c r="C15668" s="5" t="s">
        <v>16</v>
      </c>
      <c r="D15668" s="5" t="s">
        <v>15087</v>
      </c>
      <c r="E15668" s="6" t="str">
        <f>HYPERLINK("https://twitter.com/petrogustavo/status/1422559100567687170","1422559100567687170")</f>
        <v>1422559100567687170</v>
      </c>
      <c r="F15668" s="7" t="s">
        <v>17</v>
      </c>
      <c r="G15668" s="7">
        <v>4340340</v>
      </c>
      <c r="H15668" s="7">
        <v>2534</v>
      </c>
      <c r="I15668" s="7">
        <v>206</v>
      </c>
      <c r="J15668" s="7">
        <v>700</v>
      </c>
      <c r="K15668" s="7" t="s">
        <v>18</v>
      </c>
      <c r="L15668" s="8">
        <v>39987.315405092595</v>
      </c>
      <c r="M15668" s="9" t="s">
        <v>19</v>
      </c>
      <c r="N15668" s="9" t="s">
        <v>20</v>
      </c>
      <c r="O15668" s="6" t="str">
        <f>HYPERLINK("https://pbs.twimg.com/profile_images/962471262747529216/Uo8lOkRJ_normal.jpg","View")</f>
        <v>View</v>
      </c>
      <c r="P15668" s="7"/>
    </row>
    <row r="15669" spans="1:16">
      <c r="A15669" s="3">
        <v>44411.870428240742</v>
      </c>
      <c r="B15669" s="4" t="str">
        <f>HYPERLINK("https://twitter.com/petrogustavo","@petrogustavo")</f>
        <v>@petrogustavo</v>
      </c>
      <c r="C15669" s="5" t="s">
        <v>16</v>
      </c>
      <c r="D15669" s="5" t="s">
        <v>15088</v>
      </c>
      <c r="E15669" s="6" t="str">
        <f>HYPERLINK("https://twitter.com/petrogustavo/status/1422578861963988999","1422578861963988999")</f>
        <v>1422578861963988999</v>
      </c>
      <c r="F15669" s="7" t="s">
        <v>17</v>
      </c>
      <c r="G15669" s="7">
        <v>4340419</v>
      </c>
      <c r="H15669" s="7">
        <v>2534</v>
      </c>
      <c r="I15669" s="7">
        <v>320</v>
      </c>
      <c r="J15669" s="7">
        <v>2215</v>
      </c>
      <c r="K15669" s="7" t="s">
        <v>18</v>
      </c>
      <c r="L15669" s="8">
        <v>39987.315405092595</v>
      </c>
      <c r="M15669" s="9" t="s">
        <v>19</v>
      </c>
      <c r="N15669" s="9" t="s">
        <v>20</v>
      </c>
      <c r="O15669" s="6" t="str">
        <f>HYPERLINK("https://pbs.twimg.com/profile_images/962471262747529216/Uo8lOkRJ_normal.jpg","View")</f>
        <v>View</v>
      </c>
      <c r="P15669" s="7"/>
    </row>
    <row r="15670" spans="1:16">
      <c r="A15670" s="3">
        <v>44412.099733796298</v>
      </c>
      <c r="B15670" s="4" t="str">
        <f>HYPERLINK("https://twitter.com/petrogustavo","@petrogustavo")</f>
        <v>@petrogustavo</v>
      </c>
      <c r="C15670" s="5" t="s">
        <v>16</v>
      </c>
      <c r="D15670" s="5" t="s">
        <v>15089</v>
      </c>
      <c r="E15670" s="6" t="str">
        <f>HYPERLINK("https://twitter.com/petrogustavo/status/1422661958508101639","1422661958508101639")</f>
        <v>1422661958508101639</v>
      </c>
      <c r="F15670" s="7" t="s">
        <v>32</v>
      </c>
      <c r="G15670" s="7">
        <v>4340621</v>
      </c>
      <c r="H15670" s="7">
        <v>2534</v>
      </c>
      <c r="I15670" s="7">
        <v>189</v>
      </c>
      <c r="J15670" s="7">
        <v>750</v>
      </c>
      <c r="K15670" s="7" t="s">
        <v>18</v>
      </c>
      <c r="L15670" s="8">
        <v>39987.315405092595</v>
      </c>
      <c r="M15670" s="9" t="s">
        <v>19</v>
      </c>
      <c r="N15670" s="9" t="s">
        <v>20</v>
      </c>
      <c r="O15670" s="6" t="str">
        <f>HYPERLINK("https://pbs.twimg.com/profile_images/962471262747529216/Uo8lOkRJ_normal.jpg","View")</f>
        <v>View</v>
      </c>
      <c r="P15670" s="7"/>
    </row>
    <row r="15671" spans="1:16">
      <c r="A15671" s="3">
        <v>44412.144409722227</v>
      </c>
      <c r="B15671" s="4" t="str">
        <f>HYPERLINK("https://twitter.com/petrogustavo","@petrogustavo")</f>
        <v>@petrogustavo</v>
      </c>
      <c r="C15671" s="5" t="s">
        <v>16</v>
      </c>
      <c r="D15671" s="5" t="s">
        <v>15090</v>
      </c>
      <c r="E15671" s="6" t="str">
        <f>HYPERLINK("https://twitter.com/petrogustavo/status/1422678147405950979","1422678147405950979")</f>
        <v>1422678147405950979</v>
      </c>
      <c r="F15671" s="7" t="s">
        <v>32</v>
      </c>
      <c r="G15671" s="7">
        <v>4339902</v>
      </c>
      <c r="H15671" s="7">
        <v>2535</v>
      </c>
      <c r="I15671" s="7">
        <v>1578</v>
      </c>
      <c r="J15671" s="7">
        <v>0</v>
      </c>
      <c r="K15671" s="7" t="s">
        <v>18</v>
      </c>
      <c r="L15671" s="8">
        <v>39987.315405092595</v>
      </c>
      <c r="M15671" s="9" t="s">
        <v>19</v>
      </c>
      <c r="N15671" s="9" t="s">
        <v>20</v>
      </c>
      <c r="O15671" s="6" t="str">
        <f>HYPERLINK("https://pbs.twimg.com/profile_images/962471262747529216/Uo8lOkRJ_normal.jpg","View")</f>
        <v>View</v>
      </c>
      <c r="P15671" s="7"/>
    </row>
    <row r="15672" spans="1:16">
      <c r="A15672" s="3">
        <v>44412.149907407409</v>
      </c>
      <c r="B15672" s="4" t="str">
        <f>HYPERLINK("https://twitter.com/petrogustavo","@petrogustavo")</f>
        <v>@petrogustavo</v>
      </c>
      <c r="C15672" s="5" t="s">
        <v>16</v>
      </c>
      <c r="D15672" s="5" t="s">
        <v>15086</v>
      </c>
      <c r="E15672" s="6" t="str">
        <f>HYPERLINK("https://twitter.com/petrogustavo/status/1422680142028197894","1422680142028197894")</f>
        <v>1422680142028197894</v>
      </c>
      <c r="F15672" s="7" t="s">
        <v>32</v>
      </c>
      <c r="G15672" s="7">
        <v>4339902</v>
      </c>
      <c r="H15672" s="7">
        <v>2535</v>
      </c>
      <c r="I15672" s="7">
        <v>1070</v>
      </c>
      <c r="J15672" s="7">
        <v>0</v>
      </c>
      <c r="K15672" s="7" t="s">
        <v>18</v>
      </c>
      <c r="L15672" s="8">
        <v>39987.315405092595</v>
      </c>
      <c r="M15672" s="9" t="s">
        <v>19</v>
      </c>
      <c r="N15672" s="9" t="s">
        <v>20</v>
      </c>
      <c r="O15672" s="6" t="str">
        <f>HYPERLINK("https://pbs.twimg.com/profile_images/962471262747529216/Uo8lOkRJ_normal.jpg","View")</f>
        <v>View</v>
      </c>
      <c r="P15672" s="7"/>
    </row>
    <row r="15673" spans="1:16">
      <c r="A15673" s="3">
        <v>44412.209814814814</v>
      </c>
      <c r="B15673" s="4" t="str">
        <f>HYPERLINK("https://twitter.com/petrogustavo","@petrogustavo")</f>
        <v>@petrogustavo</v>
      </c>
      <c r="C15673" s="5" t="s">
        <v>16</v>
      </c>
      <c r="D15673" s="5" t="s">
        <v>15091</v>
      </c>
      <c r="E15673" s="6" t="str">
        <f>HYPERLINK("https://twitter.com/petrogustavo/status/1422701853142306818","1422701853142306818")</f>
        <v>1422701853142306818</v>
      </c>
      <c r="F15673" s="7" t="s">
        <v>32</v>
      </c>
      <c r="G15673" s="7">
        <v>4340689</v>
      </c>
      <c r="H15673" s="7">
        <v>2534</v>
      </c>
      <c r="I15673" s="7">
        <v>109</v>
      </c>
      <c r="J15673" s="7">
        <v>323</v>
      </c>
      <c r="K15673" s="7" t="s">
        <v>18</v>
      </c>
      <c r="L15673" s="8">
        <v>39987.315405092595</v>
      </c>
      <c r="M15673" s="9" t="s">
        <v>19</v>
      </c>
      <c r="N15673" s="9" t="s">
        <v>20</v>
      </c>
      <c r="O15673" s="6" t="str">
        <f>HYPERLINK("https://pbs.twimg.com/profile_images/962471262747529216/Uo8lOkRJ_normal.jpg","View")</f>
        <v>View</v>
      </c>
      <c r="P15673" s="7"/>
    </row>
    <row r="15674" spans="1:16">
      <c r="A15674" s="3">
        <v>44412.209826388891</v>
      </c>
      <c r="B15674" s="4" t="str">
        <f>HYPERLINK("https://twitter.com/petrogustavo","@petrogustavo")</f>
        <v>@petrogustavo</v>
      </c>
      <c r="C15674" s="5" t="s">
        <v>16</v>
      </c>
      <c r="D15674" s="5" t="s">
        <v>15092</v>
      </c>
      <c r="E15674" s="6" t="str">
        <f>HYPERLINK("https://twitter.com/petrogustavo/status/1422701854786572293","1422701854786572293")</f>
        <v>1422701854786572293</v>
      </c>
      <c r="F15674" s="7" t="s">
        <v>32</v>
      </c>
      <c r="G15674" s="7">
        <v>4340689</v>
      </c>
      <c r="H15674" s="7">
        <v>2534</v>
      </c>
      <c r="I15674" s="7">
        <v>62</v>
      </c>
      <c r="J15674" s="7">
        <v>261</v>
      </c>
      <c r="K15674" s="7" t="s">
        <v>18</v>
      </c>
      <c r="L15674" s="8">
        <v>39987.315405092595</v>
      </c>
      <c r="M15674" s="9" t="s">
        <v>19</v>
      </c>
      <c r="N15674" s="9" t="s">
        <v>20</v>
      </c>
      <c r="O15674" s="6" t="str">
        <f>HYPERLINK("https://pbs.twimg.com/profile_images/962471262747529216/Uo8lOkRJ_normal.jpg","View")</f>
        <v>View</v>
      </c>
      <c r="P15674" s="7"/>
    </row>
    <row r="15675" spans="1:16">
      <c r="A15675" s="3">
        <v>44412.209826388891</v>
      </c>
      <c r="B15675" s="4" t="str">
        <f>HYPERLINK("https://twitter.com/petrogustavo","@petrogustavo")</f>
        <v>@petrogustavo</v>
      </c>
      <c r="C15675" s="5" t="s">
        <v>16</v>
      </c>
      <c r="D15675" s="5" t="s">
        <v>15093</v>
      </c>
      <c r="E15675" s="6" t="str">
        <f>HYPERLINK("https://twitter.com/petrogustavo/status/1422701856011214848","1422701856011214848")</f>
        <v>1422701856011214848</v>
      </c>
      <c r="F15675" s="7" t="s">
        <v>32</v>
      </c>
      <c r="G15675" s="7">
        <v>4340689</v>
      </c>
      <c r="H15675" s="7">
        <v>2534</v>
      </c>
      <c r="I15675" s="7">
        <v>64</v>
      </c>
      <c r="J15675" s="7">
        <v>267</v>
      </c>
      <c r="K15675" s="7" t="s">
        <v>18</v>
      </c>
      <c r="L15675" s="8">
        <v>39987.315405092595</v>
      </c>
      <c r="M15675" s="9" t="s">
        <v>19</v>
      </c>
      <c r="N15675" s="9" t="s">
        <v>20</v>
      </c>
      <c r="O15675" s="6" t="str">
        <f>HYPERLINK("https://pbs.twimg.com/profile_images/962471262747529216/Uo8lOkRJ_normal.jpg","View")</f>
        <v>View</v>
      </c>
      <c r="P15675" s="7"/>
    </row>
    <row r="15676" spans="1:16">
      <c r="A15676" s="3">
        <v>44412.238287037035</v>
      </c>
      <c r="B15676" s="4" t="str">
        <f>HYPERLINK("https://twitter.com/petrogustavo","@petrogustavo")</f>
        <v>@petrogustavo</v>
      </c>
      <c r="C15676" s="5" t="s">
        <v>16</v>
      </c>
      <c r="D15676" s="5" t="s">
        <v>15094</v>
      </c>
      <c r="E15676" s="6" t="str">
        <f>HYPERLINK("https://twitter.com/petrogustavo/status/1422712167988613121","1422712167988613121")</f>
        <v>1422712167988613121</v>
      </c>
      <c r="F15676" s="7" t="s">
        <v>17</v>
      </c>
      <c r="G15676" s="7">
        <v>4340667</v>
      </c>
      <c r="H15676" s="7">
        <v>2534</v>
      </c>
      <c r="I15676" s="7">
        <v>30</v>
      </c>
      <c r="J15676" s="7">
        <v>0</v>
      </c>
      <c r="K15676" s="7" t="s">
        <v>18</v>
      </c>
      <c r="L15676" s="8">
        <v>39987.315405092595</v>
      </c>
      <c r="M15676" s="9" t="s">
        <v>19</v>
      </c>
      <c r="N15676" s="9" t="s">
        <v>20</v>
      </c>
      <c r="O15676" s="6" t="str">
        <f>HYPERLINK("https://pbs.twimg.com/profile_images/962471262747529216/Uo8lOkRJ_normal.jpg","View")</f>
        <v>View</v>
      </c>
      <c r="P15676" s="7"/>
    </row>
    <row r="15677" spans="1:16">
      <c r="A15677" s="3">
        <v>44412.240879629629</v>
      </c>
      <c r="B15677" s="4" t="str">
        <f>HYPERLINK("https://twitter.com/petrogustavo","@petrogustavo")</f>
        <v>@petrogustavo</v>
      </c>
      <c r="C15677" s="5" t="s">
        <v>16</v>
      </c>
      <c r="D15677" s="5" t="s">
        <v>15095</v>
      </c>
      <c r="E15677" s="6" t="str">
        <f>HYPERLINK("https://twitter.com/petrogustavo/status/1422713108917899265","1422713108917899265")</f>
        <v>1422713108917899265</v>
      </c>
      <c r="F15677" s="7" t="s">
        <v>17</v>
      </c>
      <c r="G15677" s="7">
        <v>4340667</v>
      </c>
      <c r="H15677" s="7">
        <v>2534</v>
      </c>
      <c r="I15677" s="7">
        <v>12</v>
      </c>
      <c r="J15677" s="7">
        <v>0</v>
      </c>
      <c r="K15677" s="7" t="s">
        <v>18</v>
      </c>
      <c r="L15677" s="8">
        <v>39987.315405092595</v>
      </c>
      <c r="M15677" s="9" t="s">
        <v>19</v>
      </c>
      <c r="N15677" s="9" t="s">
        <v>20</v>
      </c>
      <c r="O15677" s="6" t="str">
        <f>HYPERLINK("https://pbs.twimg.com/profile_images/962471262747529216/Uo8lOkRJ_normal.jpg","View")</f>
        <v>View</v>
      </c>
      <c r="P15677" s="7"/>
    </row>
    <row r="15678" spans="1:16">
      <c r="A15678" s="3">
        <v>44412.2503587963</v>
      </c>
      <c r="B15678" s="4" t="str">
        <f>HYPERLINK("https://twitter.com/petrogustavo","@petrogustavo")</f>
        <v>@petrogustavo</v>
      </c>
      <c r="C15678" s="5" t="s">
        <v>16</v>
      </c>
      <c r="D15678" s="5" t="s">
        <v>15096</v>
      </c>
      <c r="E15678" s="6" t="str">
        <f>HYPERLINK("https://twitter.com/petrogustavo/status/1422716543272685572","1422716543272685572")</f>
        <v>1422716543272685572</v>
      </c>
      <c r="F15678" s="7" t="s">
        <v>17</v>
      </c>
      <c r="G15678" s="7">
        <v>4340686</v>
      </c>
      <c r="H15678" s="7">
        <v>2534</v>
      </c>
      <c r="I15678" s="7">
        <v>1586</v>
      </c>
      <c r="J15678" s="7">
        <v>0</v>
      </c>
      <c r="K15678" s="7" t="s">
        <v>18</v>
      </c>
      <c r="L15678" s="8">
        <v>39987.315405092595</v>
      </c>
      <c r="M15678" s="9" t="s">
        <v>19</v>
      </c>
      <c r="N15678" s="9" t="s">
        <v>20</v>
      </c>
      <c r="O15678" s="6" t="str">
        <f>HYPERLINK("https://pbs.twimg.com/profile_images/962471262747529216/Uo8lOkRJ_normal.jpg","View")</f>
        <v>View</v>
      </c>
      <c r="P15678" s="7"/>
    </row>
    <row r="15679" spans="1:16">
      <c r="A15679" s="3">
        <v>44412.269513888888</v>
      </c>
      <c r="B15679" s="4" t="str">
        <f>HYPERLINK("https://twitter.com/petrogustavo","@petrogustavo")</f>
        <v>@petrogustavo</v>
      </c>
      <c r="C15679" s="5" t="s">
        <v>16</v>
      </c>
      <c r="D15679" s="5" t="s">
        <v>15097</v>
      </c>
      <c r="E15679" s="6" t="str">
        <f>HYPERLINK("https://twitter.com/petrogustavo/status/1422723485525237760","1422723485525237760")</f>
        <v>1422723485525237760</v>
      </c>
      <c r="F15679" s="7" t="s">
        <v>17</v>
      </c>
      <c r="G15679" s="7">
        <v>4340694</v>
      </c>
      <c r="H15679" s="7">
        <v>2534</v>
      </c>
      <c r="I15679" s="7">
        <v>43</v>
      </c>
      <c r="J15679" s="7">
        <v>116</v>
      </c>
      <c r="K15679" s="7" t="s">
        <v>18</v>
      </c>
      <c r="L15679" s="8">
        <v>39987.315405092595</v>
      </c>
      <c r="M15679" s="9" t="s">
        <v>19</v>
      </c>
      <c r="N15679" s="9" t="s">
        <v>20</v>
      </c>
      <c r="O15679" s="6" t="str">
        <f>HYPERLINK("https://pbs.twimg.com/profile_images/962471262747529216/Uo8lOkRJ_normal.jpg","View")</f>
        <v>View</v>
      </c>
      <c r="P15679" s="7"/>
    </row>
    <row r="15680" spans="1:16">
      <c r="A15680" s="3">
        <v>44412.275023148148</v>
      </c>
      <c r="B15680" s="4" t="str">
        <f>HYPERLINK("https://twitter.com/petrogustavo","@petrogustavo")</f>
        <v>@petrogustavo</v>
      </c>
      <c r="C15680" s="5" t="s">
        <v>16</v>
      </c>
      <c r="D15680" s="5" t="s">
        <v>15098</v>
      </c>
      <c r="E15680" s="6" t="str">
        <f>HYPERLINK("https://twitter.com/petrogustavo/status/1422725480034279432","1422725480034279432")</f>
        <v>1422725480034279432</v>
      </c>
      <c r="F15680" s="7" t="s">
        <v>17</v>
      </c>
      <c r="G15680" s="7">
        <v>4340694</v>
      </c>
      <c r="H15680" s="7">
        <v>2534</v>
      </c>
      <c r="I15680" s="7">
        <v>358</v>
      </c>
      <c r="J15680" s="7">
        <v>0</v>
      </c>
      <c r="K15680" s="7" t="s">
        <v>18</v>
      </c>
      <c r="L15680" s="8">
        <v>39987.315405092595</v>
      </c>
      <c r="M15680" s="9" t="s">
        <v>19</v>
      </c>
      <c r="N15680" s="9" t="s">
        <v>20</v>
      </c>
      <c r="O15680" s="6" t="str">
        <f>HYPERLINK("https://pbs.twimg.com/profile_images/962471262747529216/Uo8lOkRJ_normal.jpg","View")</f>
        <v>View</v>
      </c>
      <c r="P15680" s="7"/>
    </row>
    <row r="15681" spans="1:16">
      <c r="A15681" s="3">
        <v>44412.750416666662</v>
      </c>
      <c r="B15681" s="4" t="str">
        <f>HYPERLINK("https://twitter.com/petrogustavo","@petrogustavo")</f>
        <v>@petrogustavo</v>
      </c>
      <c r="C15681" s="5" t="s">
        <v>16</v>
      </c>
      <c r="D15681" s="5" t="s">
        <v>15098</v>
      </c>
      <c r="E15681" s="6" t="str">
        <f>HYPERLINK("https://twitter.com/petrogustavo/status/1422897757396799493","1422897757396799493")</f>
        <v>1422897757396799493</v>
      </c>
      <c r="F15681" s="7" t="s">
        <v>32</v>
      </c>
      <c r="G15681" s="7">
        <v>4340917</v>
      </c>
      <c r="H15681" s="7">
        <v>2534</v>
      </c>
      <c r="I15681" s="7">
        <v>777</v>
      </c>
      <c r="J15681" s="7">
        <v>0</v>
      </c>
      <c r="K15681" s="7" t="s">
        <v>18</v>
      </c>
      <c r="L15681" s="8">
        <v>39987.315405092595</v>
      </c>
      <c r="M15681" s="9" t="s">
        <v>19</v>
      </c>
      <c r="N15681" s="9" t="s">
        <v>20</v>
      </c>
      <c r="O15681" s="6" t="str">
        <f>HYPERLINK("https://pbs.twimg.com/profile_images/962471262747529216/Uo8lOkRJ_normal.jpg","View")</f>
        <v>View</v>
      </c>
      <c r="P15681" s="7"/>
    </row>
    <row r="15682" spans="1:16">
      <c r="A15682" s="3">
        <v>44412.770775462966</v>
      </c>
      <c r="B15682" s="4" t="str">
        <f>HYPERLINK("https://twitter.com/petrogustavo","@petrogustavo")</f>
        <v>@petrogustavo</v>
      </c>
      <c r="C15682" s="5" t="s">
        <v>16</v>
      </c>
      <c r="D15682" s="5" t="s">
        <v>15099</v>
      </c>
      <c r="E15682" s="6" t="str">
        <f>HYPERLINK("https://twitter.com/petrogustavo/status/1422905136586833923","1422905136586833923")</f>
        <v>1422905136586833923</v>
      </c>
      <c r="F15682" s="7" t="s">
        <v>17</v>
      </c>
      <c r="G15682" s="7">
        <v>4340926</v>
      </c>
      <c r="H15682" s="7">
        <v>2534</v>
      </c>
      <c r="I15682" s="7">
        <v>28</v>
      </c>
      <c r="J15682" s="7">
        <v>0</v>
      </c>
      <c r="K15682" s="7" t="s">
        <v>18</v>
      </c>
      <c r="L15682" s="8">
        <v>39987.315405092595</v>
      </c>
      <c r="M15682" s="9" t="s">
        <v>19</v>
      </c>
      <c r="N15682" s="9" t="s">
        <v>20</v>
      </c>
      <c r="O15682" s="6" t="str">
        <f>HYPERLINK("https://pbs.twimg.com/profile_images/962471262747529216/Uo8lOkRJ_normal.jpg","View")</f>
        <v>View</v>
      </c>
      <c r="P15682" s="7"/>
    </row>
    <row r="15683" spans="1:16">
      <c r="A15683" s="3">
        <v>44412.818206018521</v>
      </c>
      <c r="B15683" s="4" t="str">
        <f>HYPERLINK("https://twitter.com/petrogustavo","@petrogustavo")</f>
        <v>@petrogustavo</v>
      </c>
      <c r="C15683" s="5" t="s">
        <v>16</v>
      </c>
      <c r="D15683" s="5" t="s">
        <v>15100</v>
      </c>
      <c r="E15683" s="6" t="str">
        <f>HYPERLINK("https://twitter.com/petrogustavo/status/1422922325931008009","1422922325931008009")</f>
        <v>1422922325931008009</v>
      </c>
      <c r="F15683" s="7" t="s">
        <v>17</v>
      </c>
      <c r="G15683" s="7">
        <v>4340950</v>
      </c>
      <c r="H15683" s="7">
        <v>2534</v>
      </c>
      <c r="I15683" s="7">
        <v>116</v>
      </c>
      <c r="J15683" s="7">
        <v>626</v>
      </c>
      <c r="K15683" s="7" t="s">
        <v>18</v>
      </c>
      <c r="L15683" s="8">
        <v>39987.315405092595</v>
      </c>
      <c r="M15683" s="9" t="s">
        <v>19</v>
      </c>
      <c r="N15683" s="9" t="s">
        <v>20</v>
      </c>
      <c r="O15683" s="6" t="str">
        <f>HYPERLINK("https://pbs.twimg.com/profile_images/962471262747529216/Uo8lOkRJ_normal.jpg","View")</f>
        <v>View</v>
      </c>
      <c r="P15683" s="7"/>
    </row>
    <row r="15684" spans="1:16">
      <c r="A15684" s="3">
        <v>44412.836099537039</v>
      </c>
      <c r="B15684" s="4" t="str">
        <f>HYPERLINK("https://twitter.com/petrogustavo","@petrogustavo")</f>
        <v>@petrogustavo</v>
      </c>
      <c r="C15684" s="5" t="s">
        <v>16</v>
      </c>
      <c r="D15684" s="5" t="s">
        <v>15101</v>
      </c>
      <c r="E15684" s="6" t="str">
        <f>HYPERLINK("https://twitter.com/petrogustavo/status/1422928808362102787","1422928808362102787")</f>
        <v>1422928808362102787</v>
      </c>
      <c r="F15684" s="7" t="s">
        <v>17</v>
      </c>
      <c r="G15684" s="7">
        <v>4340967</v>
      </c>
      <c r="H15684" s="7">
        <v>2534</v>
      </c>
      <c r="I15684" s="7">
        <v>75</v>
      </c>
      <c r="J15684" s="7">
        <v>164</v>
      </c>
      <c r="K15684" s="7" t="s">
        <v>18</v>
      </c>
      <c r="L15684" s="8">
        <v>39987.315405092595</v>
      </c>
      <c r="M15684" s="9" t="s">
        <v>19</v>
      </c>
      <c r="N15684" s="9" t="s">
        <v>20</v>
      </c>
      <c r="O15684" s="6" t="str">
        <f>HYPERLINK("https://pbs.twimg.com/profile_images/962471262747529216/Uo8lOkRJ_normal.jpg","View")</f>
        <v>View</v>
      </c>
      <c r="P15684" s="7"/>
    </row>
    <row r="15685" spans="1:16">
      <c r="A15685" s="3">
        <v>44412.841365740736</v>
      </c>
      <c r="B15685" s="4" t="str">
        <f>HYPERLINK("https://twitter.com/petrogustavo","@petrogustavo")</f>
        <v>@petrogustavo</v>
      </c>
      <c r="C15685" s="5" t="s">
        <v>16</v>
      </c>
      <c r="D15685" s="5" t="s">
        <v>15102</v>
      </c>
      <c r="E15685" s="6" t="str">
        <f>HYPERLINK("https://twitter.com/petrogustavo/status/1422930717638594560","1422930717638594560")</f>
        <v>1422930717638594560</v>
      </c>
      <c r="F15685" s="7" t="s">
        <v>17</v>
      </c>
      <c r="G15685" s="7">
        <v>4340967</v>
      </c>
      <c r="H15685" s="7">
        <v>2534</v>
      </c>
      <c r="I15685" s="7">
        <v>37</v>
      </c>
      <c r="J15685" s="7">
        <v>100</v>
      </c>
      <c r="K15685" s="7" t="s">
        <v>18</v>
      </c>
      <c r="L15685" s="8">
        <v>39987.315405092595</v>
      </c>
      <c r="M15685" s="9" t="s">
        <v>19</v>
      </c>
      <c r="N15685" s="9" t="s">
        <v>20</v>
      </c>
      <c r="O15685" s="6" t="str">
        <f>HYPERLINK("https://pbs.twimg.com/profile_images/962471262747529216/Uo8lOkRJ_normal.jpg","View")</f>
        <v>View</v>
      </c>
      <c r="P15685" s="7"/>
    </row>
    <row r="15686" spans="1:16">
      <c r="A15686" s="3">
        <v>44412.895023148143</v>
      </c>
      <c r="B15686" s="4" t="str">
        <f>HYPERLINK("https://twitter.com/petrogustavo","@petrogustavo")</f>
        <v>@petrogustavo</v>
      </c>
      <c r="C15686" s="5" t="s">
        <v>16</v>
      </c>
      <c r="D15686" s="5" t="s">
        <v>15103</v>
      </c>
      <c r="E15686" s="6" t="str">
        <f>HYPERLINK("https://twitter.com/petrogustavo/status/1422950161177776138","1422950161177776138")</f>
        <v>1422950161177776138</v>
      </c>
      <c r="F15686" s="7" t="s">
        <v>32</v>
      </c>
      <c r="G15686" s="7">
        <v>4341037</v>
      </c>
      <c r="H15686" s="7">
        <v>2534</v>
      </c>
      <c r="I15686" s="7">
        <v>206</v>
      </c>
      <c r="J15686" s="7">
        <v>0</v>
      </c>
      <c r="K15686" s="7" t="s">
        <v>18</v>
      </c>
      <c r="L15686" s="8">
        <v>39987.315405092595</v>
      </c>
      <c r="M15686" s="9" t="s">
        <v>19</v>
      </c>
      <c r="N15686" s="9" t="s">
        <v>20</v>
      </c>
      <c r="O15686" s="6" t="str">
        <f>HYPERLINK("https://pbs.twimg.com/profile_images/962471262747529216/Uo8lOkRJ_normal.jpg","View")</f>
        <v>View</v>
      </c>
      <c r="P15686" s="7"/>
    </row>
    <row r="15687" spans="1:16">
      <c r="A15687" s="3">
        <v>44412.895208333328</v>
      </c>
      <c r="B15687" s="4" t="str">
        <f>HYPERLINK("https://twitter.com/petrogustavo","@petrogustavo")</f>
        <v>@petrogustavo</v>
      </c>
      <c r="C15687" s="5" t="s">
        <v>16</v>
      </c>
      <c r="D15687" s="5" t="s">
        <v>15104</v>
      </c>
      <c r="E15687" s="6" t="str">
        <f>HYPERLINK("https://twitter.com/petrogustavo/status/1422950229561708545","1422950229561708545")</f>
        <v>1422950229561708545</v>
      </c>
      <c r="F15687" s="7" t="s">
        <v>32</v>
      </c>
      <c r="G15687" s="7">
        <v>4341037</v>
      </c>
      <c r="H15687" s="7">
        <v>2534</v>
      </c>
      <c r="I15687" s="7">
        <v>807</v>
      </c>
      <c r="J15687" s="7">
        <v>0</v>
      </c>
      <c r="K15687" s="7" t="s">
        <v>18</v>
      </c>
      <c r="L15687" s="8">
        <v>39987.315405092595</v>
      </c>
      <c r="M15687" s="9" t="s">
        <v>19</v>
      </c>
      <c r="N15687" s="9" t="s">
        <v>20</v>
      </c>
      <c r="O15687" s="6" t="str">
        <f>HYPERLINK("https://pbs.twimg.com/profile_images/962471262747529216/Uo8lOkRJ_normal.jpg","View")</f>
        <v>View</v>
      </c>
      <c r="P15687" s="7"/>
    </row>
    <row r="15688" spans="1:16">
      <c r="A15688" s="3">
        <v>44412.95349537037</v>
      </c>
      <c r="B15688" s="4" t="str">
        <f>HYPERLINK("https://twitter.com/petrogustavo","@petrogustavo")</f>
        <v>@petrogustavo</v>
      </c>
      <c r="C15688" s="5" t="s">
        <v>16</v>
      </c>
      <c r="D15688" s="5" t="s">
        <v>15105</v>
      </c>
      <c r="E15688" s="6" t="str">
        <f>HYPERLINK("https://twitter.com/petrogustavo/status/1422971353410457610","1422971353410457610")</f>
        <v>1422971353410457610</v>
      </c>
      <c r="F15688" s="7" t="s">
        <v>17</v>
      </c>
      <c r="G15688" s="7">
        <v>4341063</v>
      </c>
      <c r="H15688" s="7">
        <v>2534</v>
      </c>
      <c r="I15688" s="7">
        <v>104</v>
      </c>
      <c r="J15688" s="7">
        <v>345</v>
      </c>
      <c r="K15688" s="7" t="s">
        <v>18</v>
      </c>
      <c r="L15688" s="8">
        <v>39987.315405092595</v>
      </c>
      <c r="M15688" s="9" t="s">
        <v>19</v>
      </c>
      <c r="N15688" s="9" t="s">
        <v>20</v>
      </c>
      <c r="O15688" s="6" t="str">
        <f>HYPERLINK("https://pbs.twimg.com/profile_images/962471262747529216/Uo8lOkRJ_normal.jpg","View")</f>
        <v>View</v>
      </c>
      <c r="P15688" s="7"/>
    </row>
    <row r="15689" spans="1:16">
      <c r="A15689" s="3">
        <v>44412.9612962963</v>
      </c>
      <c r="B15689" s="4" t="str">
        <f>HYPERLINK("https://twitter.com/petrogustavo","@petrogustavo")</f>
        <v>@petrogustavo</v>
      </c>
      <c r="C15689" s="5" t="s">
        <v>16</v>
      </c>
      <c r="D15689" s="5" t="s">
        <v>15106</v>
      </c>
      <c r="E15689" s="6" t="str">
        <f>HYPERLINK("https://twitter.com/petrogustavo/status/1422974177200459784","1422974177200459784")</f>
        <v>1422974177200459784</v>
      </c>
      <c r="F15689" s="7" t="s">
        <v>17</v>
      </c>
      <c r="G15689" s="7">
        <v>4341063</v>
      </c>
      <c r="H15689" s="7">
        <v>2534</v>
      </c>
      <c r="I15689" s="7">
        <v>91</v>
      </c>
      <c r="J15689" s="7">
        <v>0</v>
      </c>
      <c r="K15689" s="7" t="s">
        <v>18</v>
      </c>
      <c r="L15689" s="8">
        <v>39987.315405092595</v>
      </c>
      <c r="M15689" s="9" t="s">
        <v>19</v>
      </c>
      <c r="N15689" s="9" t="s">
        <v>20</v>
      </c>
      <c r="O15689" s="6" t="str">
        <f>HYPERLINK("https://pbs.twimg.com/profile_images/962471262747529216/Uo8lOkRJ_normal.jpg","View")</f>
        <v>View</v>
      </c>
      <c r="P15689" s="7"/>
    </row>
    <row r="15690" spans="1:16">
      <c r="A15690" s="3">
        <v>44413.080914351856</v>
      </c>
      <c r="B15690" s="4" t="str">
        <f>HYPERLINK("https://twitter.com/petrogustavo","@petrogustavo")</f>
        <v>@petrogustavo</v>
      </c>
      <c r="C15690" s="5" t="s">
        <v>16</v>
      </c>
      <c r="D15690" s="5" t="s">
        <v>15107</v>
      </c>
      <c r="E15690" s="6" t="str">
        <f>HYPERLINK("https://twitter.com/petrogustavo/status/1423017529048436738","1423017529048436738")</f>
        <v>1423017529048436738</v>
      </c>
      <c r="F15690" s="7" t="s">
        <v>17</v>
      </c>
      <c r="G15690" s="7">
        <v>4341144</v>
      </c>
      <c r="H15690" s="7">
        <v>2535</v>
      </c>
      <c r="I15690" s="7">
        <v>553</v>
      </c>
      <c r="J15690" s="7">
        <v>0</v>
      </c>
      <c r="K15690" s="7" t="s">
        <v>18</v>
      </c>
      <c r="L15690" s="8">
        <v>39987.315405092595</v>
      </c>
      <c r="M15690" s="9" t="s">
        <v>19</v>
      </c>
      <c r="N15690" s="9" t="s">
        <v>20</v>
      </c>
      <c r="O15690" s="6" t="str">
        <f>HYPERLINK("https://pbs.twimg.com/profile_images/962471262747529216/Uo8lOkRJ_normal.jpg","View")</f>
        <v>View</v>
      </c>
      <c r="P15690" s="7"/>
    </row>
    <row r="15691" spans="1:16">
      <c r="A15691" s="3">
        <v>44413.10019675926</v>
      </c>
      <c r="B15691" s="4" t="str">
        <f>HYPERLINK("https://twitter.com/petrogustavo","@petrogustavo")</f>
        <v>@petrogustavo</v>
      </c>
      <c r="C15691" s="5" t="s">
        <v>16</v>
      </c>
      <c r="D15691" s="5" t="s">
        <v>15108</v>
      </c>
      <c r="E15691" s="6" t="str">
        <f>HYPERLINK("https://twitter.com/petrogustavo/status/1423024514657574914","1423024514657574914")</f>
        <v>1423024514657574914</v>
      </c>
      <c r="F15691" s="7" t="s">
        <v>32</v>
      </c>
      <c r="G15691" s="7">
        <v>4341158</v>
      </c>
      <c r="H15691" s="7">
        <v>2535</v>
      </c>
      <c r="I15691" s="7">
        <v>248</v>
      </c>
      <c r="J15691" s="7">
        <v>600</v>
      </c>
      <c r="K15691" s="7" t="s">
        <v>18</v>
      </c>
      <c r="L15691" s="8">
        <v>39987.315405092595</v>
      </c>
      <c r="M15691" s="9" t="s">
        <v>19</v>
      </c>
      <c r="N15691" s="9" t="s">
        <v>20</v>
      </c>
      <c r="O15691" s="6" t="str">
        <f>HYPERLINK("https://pbs.twimg.com/profile_images/962471262747529216/Uo8lOkRJ_normal.jpg","View")</f>
        <v>View</v>
      </c>
      <c r="P15691" s="7"/>
    </row>
    <row r="15692" spans="1:16">
      <c r="A15692" s="3">
        <v>44413.885081018518</v>
      </c>
      <c r="B15692" s="4" t="str">
        <f>HYPERLINK("https://twitter.com/petrogustavo","@petrogustavo")</f>
        <v>@petrogustavo</v>
      </c>
      <c r="C15692" s="5" t="s">
        <v>16</v>
      </c>
      <c r="D15692" s="5" t="s">
        <v>15109</v>
      </c>
      <c r="E15692" s="6" t="str">
        <f>HYPERLINK("https://twitter.com/petrogustavo/status/1423308947407187968","1423308947407187968")</f>
        <v>1423308947407187968</v>
      </c>
      <c r="F15692" s="7" t="s">
        <v>32</v>
      </c>
      <c r="G15692" s="7">
        <v>4341465</v>
      </c>
      <c r="H15692" s="7">
        <v>2533</v>
      </c>
      <c r="I15692" s="7">
        <v>46</v>
      </c>
      <c r="J15692" s="7">
        <v>297</v>
      </c>
      <c r="K15692" s="7" t="s">
        <v>18</v>
      </c>
      <c r="L15692" s="8">
        <v>39987.315405092595</v>
      </c>
      <c r="M15692" s="9" t="s">
        <v>19</v>
      </c>
      <c r="N15692" s="9" t="s">
        <v>20</v>
      </c>
      <c r="O15692" s="6" t="str">
        <f>HYPERLINK("https://pbs.twimg.com/profile_images/962471262747529216/Uo8lOkRJ_normal.jpg","View")</f>
        <v>View</v>
      </c>
      <c r="P15692" s="7"/>
    </row>
    <row r="15693" spans="1:16">
      <c r="A15693" s="3">
        <v>44414.123773148152</v>
      </c>
      <c r="B15693" s="4" t="str">
        <f>HYPERLINK("https://twitter.com/petrogustavo","@petrogustavo")</f>
        <v>@petrogustavo</v>
      </c>
      <c r="C15693" s="5" t="s">
        <v>16</v>
      </c>
      <c r="D15693" s="5" t="s">
        <v>15110</v>
      </c>
      <c r="E15693" s="6" t="str">
        <f>HYPERLINK("https://twitter.com/petrogustavo/status/1423395446236631040","1423395446236631040")</f>
        <v>1423395446236631040</v>
      </c>
      <c r="F15693" s="7" t="s">
        <v>32</v>
      </c>
      <c r="G15693" s="7">
        <v>4341657</v>
      </c>
      <c r="H15693" s="7">
        <v>2533</v>
      </c>
      <c r="I15693" s="7">
        <v>323</v>
      </c>
      <c r="J15693" s="7">
        <v>1221</v>
      </c>
      <c r="K15693" s="7" t="s">
        <v>18</v>
      </c>
      <c r="L15693" s="8">
        <v>39987.315405092595</v>
      </c>
      <c r="M15693" s="9" t="s">
        <v>19</v>
      </c>
      <c r="N15693" s="9" t="s">
        <v>20</v>
      </c>
      <c r="O15693" s="6" t="str">
        <f>HYPERLINK("https://pbs.twimg.com/profile_images/962471262747529216/Uo8lOkRJ_normal.jpg","View")</f>
        <v>View</v>
      </c>
      <c r="P15693" s="7"/>
    </row>
    <row r="15694" spans="1:16">
      <c r="A15694" s="3">
        <v>44414.264687499999</v>
      </c>
      <c r="B15694" s="4" t="str">
        <f>HYPERLINK("https://twitter.com/petrogustavo","@petrogustavo")</f>
        <v>@petrogustavo</v>
      </c>
      <c r="C15694" s="5" t="s">
        <v>16</v>
      </c>
      <c r="D15694" s="5" t="s">
        <v>15111</v>
      </c>
      <c r="E15694" s="6" t="str">
        <f>HYPERLINK("https://twitter.com/petrogustavo/status/1423446511690657796","1423446511690657796")</f>
        <v>1423446511690657796</v>
      </c>
      <c r="F15694" s="7" t="s">
        <v>17</v>
      </c>
      <c r="G15694" s="7">
        <v>4341735</v>
      </c>
      <c r="H15694" s="7">
        <v>2533</v>
      </c>
      <c r="I15694" s="7">
        <v>61</v>
      </c>
      <c r="J15694" s="7">
        <v>0</v>
      </c>
      <c r="K15694" s="7" t="s">
        <v>18</v>
      </c>
      <c r="L15694" s="8">
        <v>39987.315405092595</v>
      </c>
      <c r="M15694" s="9" t="s">
        <v>19</v>
      </c>
      <c r="N15694" s="9" t="s">
        <v>20</v>
      </c>
      <c r="O15694" s="6" t="str">
        <f>HYPERLINK("https://pbs.twimg.com/profile_images/962471262747529216/Uo8lOkRJ_normal.jpg","View")</f>
        <v>View</v>
      </c>
      <c r="P15694" s="7"/>
    </row>
    <row r="15695" spans="1:16">
      <c r="A15695" s="3">
        <v>44414.27851851852</v>
      </c>
      <c r="B15695" s="4" t="str">
        <f>HYPERLINK("https://twitter.com/petrogustavo","@petrogustavo")</f>
        <v>@petrogustavo</v>
      </c>
      <c r="C15695" s="5" t="s">
        <v>16</v>
      </c>
      <c r="D15695" s="5" t="s">
        <v>15112</v>
      </c>
      <c r="E15695" s="6" t="str">
        <f>HYPERLINK("https://twitter.com/petrogustavo/status/1423451524089450499","1423451524089450499")</f>
        <v>1423451524089450499</v>
      </c>
      <c r="F15695" s="7" t="s">
        <v>17</v>
      </c>
      <c r="G15695" s="7">
        <v>4341735</v>
      </c>
      <c r="H15695" s="7">
        <v>2533</v>
      </c>
      <c r="I15695" s="7">
        <v>62</v>
      </c>
      <c r="J15695" s="7">
        <v>168</v>
      </c>
      <c r="K15695" s="7" t="s">
        <v>18</v>
      </c>
      <c r="L15695" s="8">
        <v>39987.315405092595</v>
      </c>
      <c r="M15695" s="9" t="s">
        <v>19</v>
      </c>
      <c r="N15695" s="9" t="s">
        <v>20</v>
      </c>
      <c r="O15695" s="6" t="str">
        <f>HYPERLINK("https://pbs.twimg.com/profile_images/962471262747529216/Uo8lOkRJ_normal.jpg","View")</f>
        <v>View</v>
      </c>
      <c r="P15695" s="7"/>
    </row>
    <row r="15696" spans="1:16">
      <c r="A15696" s="3">
        <v>44414.770787037036</v>
      </c>
      <c r="B15696" s="4" t="str">
        <f>HYPERLINK("https://twitter.com/petrogustavo","@petrogustavo")</f>
        <v>@petrogustavo</v>
      </c>
      <c r="C15696" s="5" t="s">
        <v>16</v>
      </c>
      <c r="D15696" s="5" t="s">
        <v>15113</v>
      </c>
      <c r="E15696" s="6" t="str">
        <f>HYPERLINK("https://twitter.com/petrogustavo/status/1423629916151615491","1423629916151615491")</f>
        <v>1423629916151615491</v>
      </c>
      <c r="F15696" s="7" t="s">
        <v>17</v>
      </c>
      <c r="G15696" s="7">
        <v>4341965</v>
      </c>
      <c r="H15696" s="7">
        <v>2533</v>
      </c>
      <c r="I15696" s="7">
        <v>48</v>
      </c>
      <c r="J15696" s="7">
        <v>344</v>
      </c>
      <c r="K15696" s="7" t="s">
        <v>18</v>
      </c>
      <c r="L15696" s="8">
        <v>39987.315405092595</v>
      </c>
      <c r="M15696" s="9" t="s">
        <v>19</v>
      </c>
      <c r="N15696" s="9" t="s">
        <v>20</v>
      </c>
      <c r="O15696" s="6" t="str">
        <f>HYPERLINK("https://pbs.twimg.com/profile_images/962471262747529216/Uo8lOkRJ_normal.jpg","View")</f>
        <v>View</v>
      </c>
      <c r="P15696" s="7"/>
    </row>
    <row r="15697" spans="1:16">
      <c r="A15697" s="3">
        <v>44414.773252314815</v>
      </c>
      <c r="B15697" s="4" t="str">
        <f>HYPERLINK("https://twitter.com/petrogustavo","@petrogustavo")</f>
        <v>@petrogustavo</v>
      </c>
      <c r="C15697" s="5" t="s">
        <v>16</v>
      </c>
      <c r="D15697" s="5" t="s">
        <v>15114</v>
      </c>
      <c r="E15697" s="6" t="str">
        <f>HYPERLINK("https://twitter.com/petrogustavo/status/1423630811019059200","1423630811019059200")</f>
        <v>1423630811019059200</v>
      </c>
      <c r="F15697" s="7" t="s">
        <v>17</v>
      </c>
      <c r="G15697" s="7">
        <v>4341965</v>
      </c>
      <c r="H15697" s="7">
        <v>2533</v>
      </c>
      <c r="I15697" s="7">
        <v>448</v>
      </c>
      <c r="J15697" s="7">
        <v>0</v>
      </c>
      <c r="K15697" s="7" t="s">
        <v>18</v>
      </c>
      <c r="L15697" s="8">
        <v>39987.315405092595</v>
      </c>
      <c r="M15697" s="9" t="s">
        <v>19</v>
      </c>
      <c r="N15697" s="9" t="s">
        <v>20</v>
      </c>
      <c r="O15697" s="6" t="str">
        <f>HYPERLINK("https://pbs.twimg.com/profile_images/962471262747529216/Uo8lOkRJ_normal.jpg","View")</f>
        <v>View</v>
      </c>
      <c r="P15697" s="7"/>
    </row>
    <row r="15698" spans="1:16">
      <c r="A15698" s="3">
        <v>44414.780578703707</v>
      </c>
      <c r="B15698" s="4" t="str">
        <f>HYPERLINK("https://twitter.com/petrogustavo","@petrogustavo")</f>
        <v>@petrogustavo</v>
      </c>
      <c r="C15698" s="5" t="s">
        <v>16</v>
      </c>
      <c r="D15698" s="5" t="s">
        <v>15115</v>
      </c>
      <c r="E15698" s="6" t="str">
        <f>HYPERLINK("https://twitter.com/petrogustavo/status/1423633465896017920","1423633465896017920")</f>
        <v>1423633465896017920</v>
      </c>
      <c r="F15698" s="7" t="s">
        <v>17</v>
      </c>
      <c r="G15698" s="7">
        <v>4341965</v>
      </c>
      <c r="H15698" s="7">
        <v>2533</v>
      </c>
      <c r="I15698" s="7">
        <v>26</v>
      </c>
      <c r="J15698" s="7">
        <v>68</v>
      </c>
      <c r="K15698" s="7" t="s">
        <v>18</v>
      </c>
      <c r="L15698" s="8">
        <v>39987.315405092595</v>
      </c>
      <c r="M15698" s="9" t="s">
        <v>19</v>
      </c>
      <c r="N15698" s="9" t="s">
        <v>20</v>
      </c>
      <c r="O15698" s="6" t="str">
        <f>HYPERLINK("https://pbs.twimg.com/profile_images/962471262747529216/Uo8lOkRJ_normal.jpg","View")</f>
        <v>View</v>
      </c>
      <c r="P15698" s="7"/>
    </row>
    <row r="15699" spans="1:16">
      <c r="A15699" s="3">
        <v>44414.782083333332</v>
      </c>
      <c r="B15699" s="4" t="str">
        <f>HYPERLINK("https://twitter.com/petrogustavo","@petrogustavo")</f>
        <v>@petrogustavo</v>
      </c>
      <c r="C15699" s="5" t="s">
        <v>16</v>
      </c>
      <c r="D15699" s="5" t="s">
        <v>15116</v>
      </c>
      <c r="E15699" s="6" t="str">
        <f>HYPERLINK("https://twitter.com/petrogustavo/status/1423634008609546240","1423634008609546240")</f>
        <v>1423634008609546240</v>
      </c>
      <c r="F15699" s="7" t="s">
        <v>17</v>
      </c>
      <c r="G15699" s="7">
        <v>4341965</v>
      </c>
      <c r="H15699" s="7">
        <v>2533</v>
      </c>
      <c r="I15699" s="7">
        <v>241</v>
      </c>
      <c r="J15699" s="7">
        <v>0</v>
      </c>
      <c r="K15699" s="7" t="s">
        <v>18</v>
      </c>
      <c r="L15699" s="8">
        <v>39987.315405092595</v>
      </c>
      <c r="M15699" s="9" t="s">
        <v>19</v>
      </c>
      <c r="N15699" s="9" t="s">
        <v>20</v>
      </c>
      <c r="O15699" s="6" t="str">
        <f>HYPERLINK("https://pbs.twimg.com/profile_images/962471262747529216/Uo8lOkRJ_normal.jpg","View")</f>
        <v>View</v>
      </c>
      <c r="P15699" s="7"/>
    </row>
    <row r="15700" spans="1:16">
      <c r="A15700" s="3">
        <v>44414.79314814815</v>
      </c>
      <c r="B15700" s="4" t="str">
        <f>HYPERLINK("https://twitter.com/petrogustavo","@petrogustavo")</f>
        <v>@petrogustavo</v>
      </c>
      <c r="C15700" s="5" t="s">
        <v>16</v>
      </c>
      <c r="D15700" s="5" t="s">
        <v>15117</v>
      </c>
      <c r="E15700" s="6" t="str">
        <f>HYPERLINK("https://twitter.com/petrogustavo/status/1423638021455466501","1423638021455466501")</f>
        <v>1423638021455466501</v>
      </c>
      <c r="F15700" s="7" t="s">
        <v>17</v>
      </c>
      <c r="G15700" s="7">
        <v>4341982</v>
      </c>
      <c r="H15700" s="7">
        <v>2533</v>
      </c>
      <c r="I15700" s="7">
        <v>158</v>
      </c>
      <c r="J15700" s="7">
        <v>455</v>
      </c>
      <c r="K15700" s="7" t="s">
        <v>18</v>
      </c>
      <c r="L15700" s="8">
        <v>39987.315405092595</v>
      </c>
      <c r="M15700" s="9" t="s">
        <v>19</v>
      </c>
      <c r="N15700" s="9" t="s">
        <v>20</v>
      </c>
      <c r="O15700" s="6" t="str">
        <f>HYPERLINK("https://pbs.twimg.com/profile_images/962471262747529216/Uo8lOkRJ_normal.jpg","View")</f>
        <v>View</v>
      </c>
      <c r="P15700" s="7"/>
    </row>
    <row r="15701" spans="1:16">
      <c r="A15701" s="3">
        <v>44414.79315972222</v>
      </c>
      <c r="B15701" s="4" t="str">
        <f>HYPERLINK("https://twitter.com/petrogustavo","@petrogustavo")</f>
        <v>@petrogustavo</v>
      </c>
      <c r="C15701" s="5" t="s">
        <v>16</v>
      </c>
      <c r="D15701" s="5" t="s">
        <v>15118</v>
      </c>
      <c r="E15701" s="6" t="str">
        <f>HYPERLINK("https://twitter.com/petrogustavo/status/1423638023107923980","1423638023107923980")</f>
        <v>1423638023107923980</v>
      </c>
      <c r="F15701" s="7" t="s">
        <v>17</v>
      </c>
      <c r="G15701" s="7">
        <v>4341982</v>
      </c>
      <c r="H15701" s="7">
        <v>2533</v>
      </c>
      <c r="I15701" s="7">
        <v>21</v>
      </c>
      <c r="J15701" s="7">
        <v>62</v>
      </c>
      <c r="K15701" s="7" t="s">
        <v>18</v>
      </c>
      <c r="L15701" s="8">
        <v>39987.315405092595</v>
      </c>
      <c r="M15701" s="9" t="s">
        <v>19</v>
      </c>
      <c r="N15701" s="9" t="s">
        <v>20</v>
      </c>
      <c r="O15701" s="6" t="str">
        <f>HYPERLINK("https://pbs.twimg.com/profile_images/962471262747529216/Uo8lOkRJ_normal.jpg","View")</f>
        <v>View</v>
      </c>
      <c r="P15701" s="7"/>
    </row>
    <row r="15702" spans="1:16">
      <c r="A15702" s="3">
        <v>44414.79315972222</v>
      </c>
      <c r="B15702" s="4" t="str">
        <f>HYPERLINK("https://twitter.com/petrogustavo","@petrogustavo")</f>
        <v>@petrogustavo</v>
      </c>
      <c r="C15702" s="5" t="s">
        <v>16</v>
      </c>
      <c r="D15702" s="5" t="s">
        <v>15119</v>
      </c>
      <c r="E15702" s="6" t="str">
        <f>HYPERLINK("https://twitter.com/petrogustavo/status/1423638025096114181","1423638025096114181")</f>
        <v>1423638025096114181</v>
      </c>
      <c r="F15702" s="7" t="s">
        <v>17</v>
      </c>
      <c r="G15702" s="7">
        <v>4341982</v>
      </c>
      <c r="H15702" s="7">
        <v>2533</v>
      </c>
      <c r="I15702" s="7">
        <v>24</v>
      </c>
      <c r="J15702" s="7">
        <v>65</v>
      </c>
      <c r="K15702" s="7" t="s">
        <v>18</v>
      </c>
      <c r="L15702" s="8">
        <v>39987.315405092595</v>
      </c>
      <c r="M15702" s="9" t="s">
        <v>19</v>
      </c>
      <c r="N15702" s="9" t="s">
        <v>20</v>
      </c>
      <c r="O15702" s="6" t="str">
        <f>HYPERLINK("https://pbs.twimg.com/profile_images/962471262747529216/Uo8lOkRJ_normal.jpg","View")</f>
        <v>View</v>
      </c>
      <c r="P15702" s="7"/>
    </row>
    <row r="15703" spans="1:16">
      <c r="A15703" s="3">
        <v>44414.793171296296</v>
      </c>
      <c r="B15703" s="4" t="str">
        <f>HYPERLINK("https://twitter.com/petrogustavo","@petrogustavo")</f>
        <v>@petrogustavo</v>
      </c>
      <c r="C15703" s="5" t="s">
        <v>16</v>
      </c>
      <c r="D15703" s="5" t="s">
        <v>15120</v>
      </c>
      <c r="E15703" s="6" t="str">
        <f>HYPERLINK("https://twitter.com/petrogustavo/status/1423638026803163141","1423638026803163141")</f>
        <v>1423638026803163141</v>
      </c>
      <c r="F15703" s="7" t="s">
        <v>17</v>
      </c>
      <c r="G15703" s="7">
        <v>4341982</v>
      </c>
      <c r="H15703" s="7">
        <v>2533</v>
      </c>
      <c r="I15703" s="7">
        <v>62</v>
      </c>
      <c r="J15703" s="7">
        <v>201</v>
      </c>
      <c r="K15703" s="7" t="s">
        <v>18</v>
      </c>
      <c r="L15703" s="8">
        <v>39987.315405092595</v>
      </c>
      <c r="M15703" s="9" t="s">
        <v>19</v>
      </c>
      <c r="N15703" s="9" t="s">
        <v>20</v>
      </c>
      <c r="O15703" s="6" t="str">
        <f>HYPERLINK("https://pbs.twimg.com/profile_images/962471262747529216/Uo8lOkRJ_normal.jpg","View")</f>
        <v>View</v>
      </c>
      <c r="P15703" s="7"/>
    </row>
    <row r="15704" spans="1:16">
      <c r="A15704" s="3">
        <v>44414.793171296296</v>
      </c>
      <c r="B15704" s="4" t="str">
        <f>HYPERLINK("https://twitter.com/petrogustavo","@petrogustavo")</f>
        <v>@petrogustavo</v>
      </c>
      <c r="C15704" s="5" t="s">
        <v>16</v>
      </c>
      <c r="D15704" s="5" t="s">
        <v>15121</v>
      </c>
      <c r="E15704" s="6" t="str">
        <f>HYPERLINK("https://twitter.com/petrogustavo/status/1423638029974085633","1423638029974085633")</f>
        <v>1423638029974085633</v>
      </c>
      <c r="F15704" s="7" t="s">
        <v>17</v>
      </c>
      <c r="G15704" s="7">
        <v>4341982</v>
      </c>
      <c r="H15704" s="7">
        <v>2533</v>
      </c>
      <c r="I15704" s="7">
        <v>80</v>
      </c>
      <c r="J15704" s="7">
        <v>229</v>
      </c>
      <c r="K15704" s="7" t="s">
        <v>18</v>
      </c>
      <c r="L15704" s="8">
        <v>39987.315405092595</v>
      </c>
      <c r="M15704" s="9" t="s">
        <v>19</v>
      </c>
      <c r="N15704" s="9" t="s">
        <v>20</v>
      </c>
      <c r="O15704" s="6" t="str">
        <f>HYPERLINK("https://pbs.twimg.com/profile_images/962471262747529216/Uo8lOkRJ_normal.jpg","View")</f>
        <v>View</v>
      </c>
      <c r="P15704" s="7"/>
    </row>
    <row r="15705" spans="1:16">
      <c r="A15705" s="3">
        <v>44414.868136574078</v>
      </c>
      <c r="B15705" s="4" t="str">
        <f>HYPERLINK("https://twitter.com/petrogustavo","@petrogustavo")</f>
        <v>@petrogustavo</v>
      </c>
      <c r="C15705" s="5" t="s">
        <v>16</v>
      </c>
      <c r="D15705" s="4" t="s">
        <v>15122</v>
      </c>
      <c r="E15705" s="6" t="str">
        <f>HYPERLINK("https://twitter.com/petrogustavo/status/1423665194954338308","1423665194954338308")</f>
        <v>1423665194954338308</v>
      </c>
      <c r="F15705" s="7" t="s">
        <v>32</v>
      </c>
      <c r="G15705" s="7">
        <v>4342032</v>
      </c>
      <c r="H15705" s="7">
        <v>2533</v>
      </c>
      <c r="I15705" s="7">
        <v>47</v>
      </c>
      <c r="J15705" s="7">
        <v>210</v>
      </c>
      <c r="K15705" s="7" t="s">
        <v>18</v>
      </c>
      <c r="L15705" s="8">
        <v>39987.315405092595</v>
      </c>
      <c r="M15705" s="9" t="s">
        <v>19</v>
      </c>
      <c r="N15705" s="9" t="s">
        <v>20</v>
      </c>
      <c r="O15705" s="6" t="str">
        <f>HYPERLINK("https://pbs.twimg.com/profile_images/962471262747529216/Uo8lOkRJ_normal.jpg","View")</f>
        <v>View</v>
      </c>
      <c r="P15705" s="7"/>
    </row>
    <row r="15706" spans="1:16">
      <c r="A15706" s="3">
        <v>44414.989201388889</v>
      </c>
      <c r="B15706" s="4" t="str">
        <f>HYPERLINK("https://twitter.com/petrogustavo","@petrogustavo")</f>
        <v>@petrogustavo</v>
      </c>
      <c r="C15706" s="5" t="s">
        <v>16</v>
      </c>
      <c r="D15706" s="5" t="s">
        <v>15123</v>
      </c>
      <c r="E15706" s="6" t="str">
        <f>HYPERLINK("https://twitter.com/petrogustavo/status/1423709066044526593","1423709066044526593")</f>
        <v>1423709066044526593</v>
      </c>
      <c r="F15706" s="7" t="s">
        <v>17</v>
      </c>
      <c r="G15706" s="7">
        <v>4342127</v>
      </c>
      <c r="H15706" s="7">
        <v>2533</v>
      </c>
      <c r="I15706" s="7">
        <v>35</v>
      </c>
      <c r="J15706" s="7">
        <v>157</v>
      </c>
      <c r="K15706" s="7" t="s">
        <v>18</v>
      </c>
      <c r="L15706" s="8">
        <v>39987.315405092595</v>
      </c>
      <c r="M15706" s="9" t="s">
        <v>19</v>
      </c>
      <c r="N15706" s="9" t="s">
        <v>20</v>
      </c>
      <c r="O15706" s="6" t="str">
        <f>HYPERLINK("https://pbs.twimg.com/profile_images/962471262747529216/Uo8lOkRJ_normal.jpg","View")</f>
        <v>View</v>
      </c>
      <c r="P15706" s="7"/>
    </row>
    <row r="15707" spans="1:16">
      <c r="A15707" s="3">
        <v>44415.035740740743</v>
      </c>
      <c r="B15707" s="4" t="str">
        <f>HYPERLINK("https://twitter.com/petrogustavo","@petrogustavo")</f>
        <v>@petrogustavo</v>
      </c>
      <c r="C15707" s="5" t="s">
        <v>16</v>
      </c>
      <c r="D15707" s="5" t="s">
        <v>15124</v>
      </c>
      <c r="E15707" s="6" t="str">
        <f>HYPERLINK("https://twitter.com/petrogustavo/status/1423725931970056192","1423725931970056192")</f>
        <v>1423725931970056192</v>
      </c>
      <c r="F15707" s="7" t="s">
        <v>17</v>
      </c>
      <c r="G15707" s="7">
        <v>4342171</v>
      </c>
      <c r="H15707" s="7">
        <v>2533</v>
      </c>
      <c r="I15707" s="7">
        <v>1519</v>
      </c>
      <c r="J15707" s="7">
        <v>0</v>
      </c>
      <c r="K15707" s="7" t="s">
        <v>18</v>
      </c>
      <c r="L15707" s="8">
        <v>39987.315405092595</v>
      </c>
      <c r="M15707" s="9" t="s">
        <v>19</v>
      </c>
      <c r="N15707" s="9" t="s">
        <v>20</v>
      </c>
      <c r="O15707" s="6" t="str">
        <f>HYPERLINK("https://pbs.twimg.com/profile_images/962471262747529216/Uo8lOkRJ_normal.jpg","View")</f>
        <v>View</v>
      </c>
      <c r="P15707" s="7"/>
    </row>
    <row r="15708" spans="1:16">
      <c r="A15708" s="3">
        <v>44415.098611111112</v>
      </c>
      <c r="B15708" s="4" t="str">
        <f>HYPERLINK("https://twitter.com/petrogustavo","@petrogustavo")</f>
        <v>@petrogustavo</v>
      </c>
      <c r="C15708" s="5" t="s">
        <v>16</v>
      </c>
      <c r="D15708" s="5" t="s">
        <v>15124</v>
      </c>
      <c r="E15708" s="6" t="str">
        <f>HYPERLINK("https://twitter.com/petrogustavo/status/1423748717916606470","1423748717916606470")</f>
        <v>1423748717916606470</v>
      </c>
      <c r="F15708" s="7" t="s">
        <v>17</v>
      </c>
      <c r="G15708" s="7">
        <v>4342202</v>
      </c>
      <c r="H15708" s="7">
        <v>2533</v>
      </c>
      <c r="I15708" s="7">
        <v>1657</v>
      </c>
      <c r="J15708" s="7">
        <v>0</v>
      </c>
      <c r="K15708" s="7" t="s">
        <v>18</v>
      </c>
      <c r="L15708" s="8">
        <v>39987.315405092595</v>
      </c>
      <c r="M15708" s="9" t="s">
        <v>19</v>
      </c>
      <c r="N15708" s="9" t="s">
        <v>20</v>
      </c>
      <c r="O15708" s="6" t="str">
        <f>HYPERLINK("https://pbs.twimg.com/profile_images/962471262747529216/Uo8lOkRJ_normal.jpg","View")</f>
        <v>View</v>
      </c>
      <c r="P15708" s="7"/>
    </row>
    <row r="15709" spans="1:16">
      <c r="A15709" s="3">
        <v>44415.826504629629</v>
      </c>
      <c r="B15709" s="4" t="str">
        <f>HYPERLINK("https://twitter.com/petrogustavo","@petrogustavo")</f>
        <v>@petrogustavo</v>
      </c>
      <c r="C15709" s="5" t="s">
        <v>16</v>
      </c>
      <c r="D15709" s="5" t="s">
        <v>15125</v>
      </c>
      <c r="E15709" s="6" t="str">
        <f>HYPERLINK("https://twitter.com/petrogustavo/status/1424012496629809155","1424012496629809155")</f>
        <v>1424012496629809155</v>
      </c>
      <c r="F15709" s="7" t="s">
        <v>32</v>
      </c>
      <c r="G15709" s="7">
        <v>4342484</v>
      </c>
      <c r="H15709" s="7">
        <v>2533</v>
      </c>
      <c r="I15709" s="7">
        <v>144</v>
      </c>
      <c r="J15709" s="7">
        <v>0</v>
      </c>
      <c r="K15709" s="7" t="s">
        <v>18</v>
      </c>
      <c r="L15709" s="8">
        <v>39987.315405092595</v>
      </c>
      <c r="M15709" s="9" t="s">
        <v>19</v>
      </c>
      <c r="N15709" s="9" t="s">
        <v>20</v>
      </c>
      <c r="O15709" s="6" t="str">
        <f>HYPERLINK("https://pbs.twimg.com/profile_images/962471262747529216/Uo8lOkRJ_normal.jpg","View")</f>
        <v>View</v>
      </c>
      <c r="P15709" s="7"/>
    </row>
    <row r="15710" spans="1:16">
      <c r="A15710" s="3">
        <v>44415.858449074076</v>
      </c>
      <c r="B15710" s="4" t="str">
        <f>HYPERLINK("https://twitter.com/petrogustavo","@petrogustavo")</f>
        <v>@petrogustavo</v>
      </c>
      <c r="C15710" s="5" t="s">
        <v>16</v>
      </c>
      <c r="D15710" s="5" t="s">
        <v>15126</v>
      </c>
      <c r="E15710" s="6" t="str">
        <f>HYPERLINK("https://twitter.com/petrogustavo/status/1424024070916542466","1424024070916542466")</f>
        <v>1424024070916542466</v>
      </c>
      <c r="F15710" s="7" t="s">
        <v>17</v>
      </c>
      <c r="G15710" s="7">
        <v>4342491</v>
      </c>
      <c r="H15710" s="7">
        <v>2533</v>
      </c>
      <c r="I15710" s="7">
        <v>105</v>
      </c>
      <c r="J15710" s="7">
        <v>196</v>
      </c>
      <c r="K15710" s="7" t="s">
        <v>18</v>
      </c>
      <c r="L15710" s="8">
        <v>39987.315405092595</v>
      </c>
      <c r="M15710" s="9" t="s">
        <v>19</v>
      </c>
      <c r="N15710" s="9" t="s">
        <v>20</v>
      </c>
      <c r="O15710" s="6" t="str">
        <f>HYPERLINK("https://pbs.twimg.com/profile_images/962471262747529216/Uo8lOkRJ_normal.jpg","View")</f>
        <v>View</v>
      </c>
      <c r="P15710" s="7"/>
    </row>
    <row r="15711" spans="1:16">
      <c r="A15711" s="3">
        <v>44415.95957175926</v>
      </c>
      <c r="B15711" s="4" t="str">
        <f>HYPERLINK("https://twitter.com/petrogustavo","@petrogustavo")</f>
        <v>@petrogustavo</v>
      </c>
      <c r="C15711" s="5" t="s">
        <v>16</v>
      </c>
      <c r="D15711" s="5" t="s">
        <v>15125</v>
      </c>
      <c r="E15711" s="6" t="str">
        <f>HYPERLINK("https://twitter.com/petrogustavo/status/1424060718375182338","1424060718375182338")</f>
        <v>1424060718375182338</v>
      </c>
      <c r="F15711" s="7" t="s">
        <v>17</v>
      </c>
      <c r="G15711" s="7">
        <v>4342578</v>
      </c>
      <c r="H15711" s="7">
        <v>2533</v>
      </c>
      <c r="I15711" s="7">
        <v>414</v>
      </c>
      <c r="J15711" s="7">
        <v>0</v>
      </c>
      <c r="K15711" s="7" t="s">
        <v>18</v>
      </c>
      <c r="L15711" s="8">
        <v>39987.315405092595</v>
      </c>
      <c r="M15711" s="9" t="s">
        <v>19</v>
      </c>
      <c r="N15711" s="9" t="s">
        <v>20</v>
      </c>
      <c r="O15711" s="6" t="str">
        <f>HYPERLINK("https://pbs.twimg.com/profile_images/962471262747529216/Uo8lOkRJ_normal.jpg","View")</f>
        <v>View</v>
      </c>
      <c r="P15711" s="7"/>
    </row>
    <row r="15712" spans="1:16">
      <c r="A15712" s="3">
        <v>44416.738877314812</v>
      </c>
      <c r="B15712" s="4" t="str">
        <f>HYPERLINK("https://twitter.com/petrogustavo","@petrogustavo")</f>
        <v>@petrogustavo</v>
      </c>
      <c r="C15712" s="5" t="s">
        <v>16</v>
      </c>
      <c r="D15712" s="5" t="s">
        <v>15127</v>
      </c>
      <c r="E15712" s="6" t="str">
        <f>HYPERLINK("https://twitter.com/petrogustavo/status/1424343128920756230","1424343128920756230")</f>
        <v>1424343128920756230</v>
      </c>
      <c r="F15712" s="7" t="s">
        <v>17</v>
      </c>
      <c r="G15712" s="7">
        <v>4342886</v>
      </c>
      <c r="H15712" s="7">
        <v>2533</v>
      </c>
      <c r="I15712" s="7">
        <v>19</v>
      </c>
      <c r="J15712" s="7">
        <v>52</v>
      </c>
      <c r="K15712" s="7" t="s">
        <v>18</v>
      </c>
      <c r="L15712" s="8">
        <v>39987.315405092595</v>
      </c>
      <c r="M15712" s="9" t="s">
        <v>19</v>
      </c>
      <c r="N15712" s="9" t="s">
        <v>20</v>
      </c>
      <c r="O15712" s="6" t="str">
        <f>HYPERLINK("https://pbs.twimg.com/profile_images/962471262747529216/Uo8lOkRJ_normal.jpg","View")</f>
        <v>View</v>
      </c>
      <c r="P15712" s="7"/>
    </row>
    <row r="15713" spans="1:16">
      <c r="A15713" s="3">
        <v>44416.749421296292</v>
      </c>
      <c r="B15713" s="4" t="str">
        <f>HYPERLINK("https://twitter.com/petrogustavo","@petrogustavo")</f>
        <v>@petrogustavo</v>
      </c>
      <c r="C15713" s="5" t="s">
        <v>16</v>
      </c>
      <c r="D15713" s="5" t="s">
        <v>15128</v>
      </c>
      <c r="E15713" s="6" t="str">
        <f>HYPERLINK("https://twitter.com/petrogustavo/status/1424346949579333635","1424346949579333635")</f>
        <v>1424346949579333635</v>
      </c>
      <c r="F15713" s="7" t="s">
        <v>17</v>
      </c>
      <c r="G15713" s="7">
        <v>4342899</v>
      </c>
      <c r="H15713" s="7">
        <v>2533</v>
      </c>
      <c r="I15713" s="7">
        <v>47</v>
      </c>
      <c r="J15713" s="7">
        <v>129</v>
      </c>
      <c r="K15713" s="7" t="s">
        <v>18</v>
      </c>
      <c r="L15713" s="8">
        <v>39987.315405092595</v>
      </c>
      <c r="M15713" s="9" t="s">
        <v>19</v>
      </c>
      <c r="N15713" s="9" t="s">
        <v>20</v>
      </c>
      <c r="O15713" s="6" t="str">
        <f>HYPERLINK("https://pbs.twimg.com/profile_images/962471262747529216/Uo8lOkRJ_normal.jpg","View")</f>
        <v>View</v>
      </c>
      <c r="P15713" s="7"/>
    </row>
    <row r="15714" spans="1:16">
      <c r="A15714" s="3">
        <v>44416.941631944443</v>
      </c>
      <c r="B15714" s="4" t="str">
        <f>HYPERLINK("https://twitter.com/petrogustavo","@petrogustavo")</f>
        <v>@petrogustavo</v>
      </c>
      <c r="C15714" s="5" t="s">
        <v>16</v>
      </c>
      <c r="D15714" s="5" t="s">
        <v>15129</v>
      </c>
      <c r="E15714" s="6" t="str">
        <f>HYPERLINK("https://twitter.com/petrogustavo/status/1424416604469747715","1424416604469747715")</f>
        <v>1424416604469747715</v>
      </c>
      <c r="F15714" s="7" t="s">
        <v>17</v>
      </c>
      <c r="G15714" s="7">
        <v>4343016</v>
      </c>
      <c r="H15714" s="7">
        <v>2533</v>
      </c>
      <c r="I15714" s="7">
        <v>447</v>
      </c>
      <c r="J15714" s="7">
        <v>0</v>
      </c>
      <c r="K15714" s="7" t="s">
        <v>18</v>
      </c>
      <c r="L15714" s="8">
        <v>39987.315405092595</v>
      </c>
      <c r="M15714" s="9" t="s">
        <v>19</v>
      </c>
      <c r="N15714" s="9" t="s">
        <v>20</v>
      </c>
      <c r="O15714" s="6" t="str">
        <f>HYPERLINK("https://pbs.twimg.com/profile_images/962471262747529216/Uo8lOkRJ_normal.jpg","View")</f>
        <v>View</v>
      </c>
      <c r="P15714" s="7"/>
    </row>
    <row r="15715" spans="1:16">
      <c r="A15715" s="3">
        <v>44417.152314814812</v>
      </c>
      <c r="B15715" s="4" t="str">
        <f>HYPERLINK("https://twitter.com/petrogustavo","@petrogustavo")</f>
        <v>@petrogustavo</v>
      </c>
      <c r="C15715" s="5" t="s">
        <v>16</v>
      </c>
      <c r="D15715" s="5" t="s">
        <v>15129</v>
      </c>
      <c r="E15715" s="6" t="str">
        <f>HYPERLINK("https://twitter.com/petrogustavo/status/1424492952391454725","1424492952391454725")</f>
        <v>1424492952391454725</v>
      </c>
      <c r="F15715" s="7" t="s">
        <v>17</v>
      </c>
      <c r="G15715" s="7">
        <v>4343099</v>
      </c>
      <c r="H15715" s="7">
        <v>2533</v>
      </c>
      <c r="I15715" s="7">
        <v>654</v>
      </c>
      <c r="J15715" s="7">
        <v>0</v>
      </c>
      <c r="K15715" s="7" t="s">
        <v>18</v>
      </c>
      <c r="L15715" s="8">
        <v>39987.315405092595</v>
      </c>
      <c r="M15715" s="9" t="s">
        <v>19</v>
      </c>
      <c r="N15715" s="9" t="s">
        <v>20</v>
      </c>
      <c r="O15715" s="6" t="str">
        <f>HYPERLINK("https://pbs.twimg.com/profile_images/962471262747529216/Uo8lOkRJ_normal.jpg","View")</f>
        <v>View</v>
      </c>
      <c r="P15715" s="7"/>
    </row>
    <row r="15716" spans="1:16">
      <c r="A15716" s="3">
        <v>44417.175011574072</v>
      </c>
      <c r="B15716" s="4" t="str">
        <f>HYPERLINK("https://twitter.com/petrogustavo","@petrogustavo")</f>
        <v>@petrogustavo</v>
      </c>
      <c r="C15716" s="5" t="s">
        <v>16</v>
      </c>
      <c r="D15716" s="5" t="s">
        <v>15130</v>
      </c>
      <c r="E15716" s="6" t="str">
        <f>HYPERLINK("https://twitter.com/petrogustavo/status/1424501177685839872","1424501177685839872")</f>
        <v>1424501177685839872</v>
      </c>
      <c r="F15716" s="7" t="s">
        <v>17</v>
      </c>
      <c r="G15716" s="7">
        <v>4343113</v>
      </c>
      <c r="H15716" s="7">
        <v>2533</v>
      </c>
      <c r="I15716" s="7">
        <v>25</v>
      </c>
      <c r="J15716" s="7">
        <v>0</v>
      </c>
      <c r="K15716" s="7" t="s">
        <v>18</v>
      </c>
      <c r="L15716" s="8">
        <v>39987.315405092595</v>
      </c>
      <c r="M15716" s="9" t="s">
        <v>19</v>
      </c>
      <c r="N15716" s="9" t="s">
        <v>20</v>
      </c>
      <c r="O15716" s="6" t="str">
        <f>HYPERLINK("https://pbs.twimg.com/profile_images/962471262747529216/Uo8lOkRJ_normal.jpg","View")</f>
        <v>View</v>
      </c>
      <c r="P15716" s="7"/>
    </row>
    <row r="15717" spans="1:16">
      <c r="A15717" s="3">
        <v>44417.235578703709</v>
      </c>
      <c r="B15717" s="4" t="str">
        <f>HYPERLINK("https://twitter.com/petrogustavo","@petrogustavo")</f>
        <v>@petrogustavo</v>
      </c>
      <c r="C15717" s="5" t="s">
        <v>16</v>
      </c>
      <c r="D15717" s="5" t="s">
        <v>15131</v>
      </c>
      <c r="E15717" s="6" t="str">
        <f>HYPERLINK("https://twitter.com/petrogustavo/status/1424523125425795072","1424523125425795072")</f>
        <v>1424523125425795072</v>
      </c>
      <c r="F15717" s="7" t="s">
        <v>22</v>
      </c>
      <c r="G15717" s="7">
        <v>4343168</v>
      </c>
      <c r="H15717" s="7">
        <v>2533</v>
      </c>
      <c r="I15717" s="7">
        <v>113</v>
      </c>
      <c r="J15717" s="7">
        <v>248</v>
      </c>
      <c r="K15717" s="7" t="s">
        <v>18</v>
      </c>
      <c r="L15717" s="8">
        <v>39987.315405092595</v>
      </c>
      <c r="M15717" s="9" t="s">
        <v>19</v>
      </c>
      <c r="N15717" s="9" t="s">
        <v>20</v>
      </c>
      <c r="O15717" s="6" t="str">
        <f>HYPERLINK("https://pbs.twimg.com/profile_images/962471262747529216/Uo8lOkRJ_normal.jpg","View")</f>
        <v>View</v>
      </c>
      <c r="P15717" s="7"/>
    </row>
    <row r="15718" spans="1:16">
      <c r="A15718" s="3">
        <v>44418.172060185185</v>
      </c>
      <c r="B15718" s="4" t="str">
        <f>HYPERLINK("https://twitter.com/petrogustavo","@petrogustavo")</f>
        <v>@petrogustavo</v>
      </c>
      <c r="C15718" s="5" t="s">
        <v>16</v>
      </c>
      <c r="D15718" s="5" t="s">
        <v>15132</v>
      </c>
      <c r="E15718" s="6" t="str">
        <f>HYPERLINK("https://twitter.com/petrogustavo/status/1424862497979441153","1424862497979441153")</f>
        <v>1424862497979441153</v>
      </c>
      <c r="F15718" s="7" t="s">
        <v>17</v>
      </c>
      <c r="G15718" s="7">
        <v>4343680</v>
      </c>
      <c r="H15718" s="7">
        <v>2533</v>
      </c>
      <c r="I15718" s="7">
        <v>119</v>
      </c>
      <c r="J15718" s="7">
        <v>386</v>
      </c>
      <c r="K15718" s="7" t="s">
        <v>18</v>
      </c>
      <c r="L15718" s="8">
        <v>39987.315405092595</v>
      </c>
      <c r="M15718" s="9" t="s">
        <v>19</v>
      </c>
      <c r="N15718" s="9" t="s">
        <v>20</v>
      </c>
      <c r="O15718" s="6" t="str">
        <f>HYPERLINK("https://pbs.twimg.com/profile_images/962471262747529216/Uo8lOkRJ_normal.jpg","View")</f>
        <v>View</v>
      </c>
      <c r="P15718" s="7"/>
    </row>
    <row r="15719" spans="1:16">
      <c r="A15719" s="3">
        <v>44418.26498842593</v>
      </c>
      <c r="B15719" s="4" t="str">
        <f>HYPERLINK("https://twitter.com/petrogustavo","@petrogustavo")</f>
        <v>@petrogustavo</v>
      </c>
      <c r="C15719" s="5" t="s">
        <v>16</v>
      </c>
      <c r="D15719" s="5" t="s">
        <v>15133</v>
      </c>
      <c r="E15719" s="6" t="str">
        <f>HYPERLINK("https://twitter.com/petrogustavo/status/1424896172364271618","1424896172364271618")</f>
        <v>1424896172364271618</v>
      </c>
      <c r="F15719" s="7" t="s">
        <v>17</v>
      </c>
      <c r="G15719" s="7">
        <v>4343713</v>
      </c>
      <c r="H15719" s="7">
        <v>2533</v>
      </c>
      <c r="I15719" s="7">
        <v>282</v>
      </c>
      <c r="J15719" s="7">
        <v>903</v>
      </c>
      <c r="K15719" s="7" t="s">
        <v>18</v>
      </c>
      <c r="L15719" s="8">
        <v>39987.315405092595</v>
      </c>
      <c r="M15719" s="9" t="s">
        <v>19</v>
      </c>
      <c r="N15719" s="9" t="s">
        <v>20</v>
      </c>
      <c r="O15719" s="6" t="str">
        <f>HYPERLINK("https://pbs.twimg.com/profile_images/962471262747529216/Uo8lOkRJ_normal.jpg","View")</f>
        <v>View</v>
      </c>
      <c r="P15719" s="7"/>
    </row>
    <row r="15720" spans="1:16">
      <c r="A15720" s="3">
        <v>44418.318854166668</v>
      </c>
      <c r="B15720" s="4" t="str">
        <f>HYPERLINK("https://twitter.com/petrogustavo","@petrogustavo")</f>
        <v>@petrogustavo</v>
      </c>
      <c r="C15720" s="5" t="s">
        <v>16</v>
      </c>
      <c r="D15720" s="5" t="s">
        <v>15134</v>
      </c>
      <c r="E15720" s="6" t="str">
        <f>HYPERLINK("https://twitter.com/petrogustavo/status/1424915692021747716","1424915692021747716")</f>
        <v>1424915692021747716</v>
      </c>
      <c r="F15720" s="7" t="s">
        <v>17</v>
      </c>
      <c r="G15720" s="7">
        <v>4343735</v>
      </c>
      <c r="H15720" s="7">
        <v>2533</v>
      </c>
      <c r="I15720" s="7">
        <v>80</v>
      </c>
      <c r="J15720" s="7">
        <v>369</v>
      </c>
      <c r="K15720" s="7" t="s">
        <v>18</v>
      </c>
      <c r="L15720" s="8">
        <v>39987.315405092595</v>
      </c>
      <c r="M15720" s="9" t="s">
        <v>19</v>
      </c>
      <c r="N15720" s="9" t="s">
        <v>20</v>
      </c>
      <c r="O15720" s="6" t="str">
        <f>HYPERLINK("https://pbs.twimg.com/profile_images/962471262747529216/Uo8lOkRJ_normal.jpg","View")</f>
        <v>View</v>
      </c>
      <c r="P15720" s="7"/>
    </row>
    <row r="15721" spans="1:16">
      <c r="A15721" s="3">
        <v>44418.320439814815</v>
      </c>
      <c r="B15721" s="4" t="str">
        <f>HYPERLINK("https://twitter.com/petrogustavo","@petrogustavo")</f>
        <v>@petrogustavo</v>
      </c>
      <c r="C15721" s="5" t="s">
        <v>16</v>
      </c>
      <c r="D15721" s="5" t="s">
        <v>15135</v>
      </c>
      <c r="E15721" s="6" t="str">
        <f>HYPERLINK("https://twitter.com/petrogustavo/status/1424916266410815493","1424916266410815493")</f>
        <v>1424916266410815493</v>
      </c>
      <c r="F15721" s="7" t="s">
        <v>17</v>
      </c>
      <c r="G15721" s="7">
        <v>4343735</v>
      </c>
      <c r="H15721" s="7">
        <v>2533</v>
      </c>
      <c r="I15721" s="7">
        <v>68</v>
      </c>
      <c r="J15721" s="7">
        <v>259</v>
      </c>
      <c r="K15721" s="7" t="s">
        <v>18</v>
      </c>
      <c r="L15721" s="8">
        <v>39987.315405092595</v>
      </c>
      <c r="M15721" s="9" t="s">
        <v>19</v>
      </c>
      <c r="N15721" s="9" t="s">
        <v>20</v>
      </c>
      <c r="O15721" s="6" t="str">
        <f>HYPERLINK("https://pbs.twimg.com/profile_images/962471262747529216/Uo8lOkRJ_normal.jpg","View")</f>
        <v>View</v>
      </c>
      <c r="P15721" s="7"/>
    </row>
    <row r="15722" spans="1:16">
      <c r="A15722" s="3">
        <v>44418.762083333335</v>
      </c>
      <c r="B15722" s="4" t="str">
        <f>HYPERLINK("https://twitter.com/petrogustavo","@petrogustavo")</f>
        <v>@petrogustavo</v>
      </c>
      <c r="C15722" s="5" t="s">
        <v>16</v>
      </c>
      <c r="D15722" s="5" t="s">
        <v>15136</v>
      </c>
      <c r="E15722" s="6" t="str">
        <f>HYPERLINK("https://twitter.com/petrogustavo/status/1425076315368079381","1425076315368079381")</f>
        <v>1425076315368079381</v>
      </c>
      <c r="F15722" s="7" t="s">
        <v>17</v>
      </c>
      <c r="G15722" s="7">
        <v>4343855</v>
      </c>
      <c r="H15722" s="7">
        <v>2533</v>
      </c>
      <c r="I15722" s="7">
        <v>8</v>
      </c>
      <c r="J15722" s="7">
        <v>22</v>
      </c>
      <c r="K15722" s="7" t="s">
        <v>18</v>
      </c>
      <c r="L15722" s="8">
        <v>39987.315405092595</v>
      </c>
      <c r="M15722" s="9" t="s">
        <v>19</v>
      </c>
      <c r="N15722" s="9" t="s">
        <v>20</v>
      </c>
      <c r="O15722" s="6" t="str">
        <f>HYPERLINK("https://pbs.twimg.com/profile_images/962471262747529216/Uo8lOkRJ_normal.jpg","View")</f>
        <v>View</v>
      </c>
      <c r="P15722" s="7"/>
    </row>
    <row r="15723" spans="1:16">
      <c r="A15723" s="3">
        <v>44418.767824074079</v>
      </c>
      <c r="B15723" s="4" t="str">
        <f>HYPERLINK("https://twitter.com/petrogustavo","@petrogustavo")</f>
        <v>@petrogustavo</v>
      </c>
      <c r="C15723" s="5" t="s">
        <v>16</v>
      </c>
      <c r="D15723" s="5" t="s">
        <v>15137</v>
      </c>
      <c r="E15723" s="6" t="str">
        <f>HYPERLINK("https://twitter.com/petrogustavo/status/1425078396141322257","1425078396141322257")</f>
        <v>1425078396141322257</v>
      </c>
      <c r="F15723" s="7" t="s">
        <v>17</v>
      </c>
      <c r="G15723" s="7">
        <v>4343881</v>
      </c>
      <c r="H15723" s="7">
        <v>2533</v>
      </c>
      <c r="I15723" s="7">
        <v>629</v>
      </c>
      <c r="J15723" s="7">
        <v>2002</v>
      </c>
      <c r="K15723" s="7" t="s">
        <v>18</v>
      </c>
      <c r="L15723" s="8">
        <v>39987.315405092595</v>
      </c>
      <c r="M15723" s="9" t="s">
        <v>19</v>
      </c>
      <c r="N15723" s="9" t="s">
        <v>20</v>
      </c>
      <c r="O15723" s="6" t="str">
        <f>HYPERLINK("https://pbs.twimg.com/profile_images/962471262747529216/Uo8lOkRJ_normal.jpg","View")</f>
        <v>View</v>
      </c>
      <c r="P15723" s="7"/>
    </row>
    <row r="15724" spans="1:16">
      <c r="A15724" s="3">
        <v>44418.773599537039</v>
      </c>
      <c r="B15724" s="4" t="str">
        <f>HYPERLINK("https://twitter.com/petrogustavo","@petrogustavo")</f>
        <v>@petrogustavo</v>
      </c>
      <c r="C15724" s="5" t="s">
        <v>16</v>
      </c>
      <c r="D15724" s="5" t="s">
        <v>15138</v>
      </c>
      <c r="E15724" s="6" t="str">
        <f>HYPERLINK("https://twitter.com/petrogustavo/status/1425080486372720662","1425080486372720662")</f>
        <v>1425080486372720662</v>
      </c>
      <c r="F15724" s="7" t="s">
        <v>17</v>
      </c>
      <c r="G15724" s="7">
        <v>4343881</v>
      </c>
      <c r="H15724" s="7">
        <v>2533</v>
      </c>
      <c r="I15724" s="7">
        <v>276</v>
      </c>
      <c r="J15724" s="7">
        <v>740</v>
      </c>
      <c r="K15724" s="7" t="s">
        <v>18</v>
      </c>
      <c r="L15724" s="8">
        <v>39987.315405092595</v>
      </c>
      <c r="M15724" s="9" t="s">
        <v>19</v>
      </c>
      <c r="N15724" s="9" t="s">
        <v>20</v>
      </c>
      <c r="O15724" s="6" t="str">
        <f>HYPERLINK("https://pbs.twimg.com/profile_images/962471262747529216/Uo8lOkRJ_normal.jpg","View")</f>
        <v>View</v>
      </c>
      <c r="P15724" s="7"/>
    </row>
    <row r="15725" spans="1:16">
      <c r="A15725" s="3">
        <v>44418.783796296295</v>
      </c>
      <c r="B15725" s="4" t="str">
        <f>HYPERLINK("https://twitter.com/petrogustavo","@petrogustavo")</f>
        <v>@petrogustavo</v>
      </c>
      <c r="C15725" s="5" t="s">
        <v>16</v>
      </c>
      <c r="D15725" s="5" t="s">
        <v>15139</v>
      </c>
      <c r="E15725" s="6" t="str">
        <f>HYPERLINK("https://twitter.com/petrogustavo/status/1425084180417982468","1425084180417982468")</f>
        <v>1425084180417982468</v>
      </c>
      <c r="F15725" s="7" t="s">
        <v>17</v>
      </c>
      <c r="G15725" s="7">
        <v>4343899</v>
      </c>
      <c r="H15725" s="7">
        <v>2533</v>
      </c>
      <c r="I15725" s="7">
        <v>278</v>
      </c>
      <c r="J15725" s="7">
        <v>692</v>
      </c>
      <c r="K15725" s="7" t="s">
        <v>18</v>
      </c>
      <c r="L15725" s="8">
        <v>39987.315405092595</v>
      </c>
      <c r="M15725" s="9" t="s">
        <v>19</v>
      </c>
      <c r="N15725" s="9" t="s">
        <v>20</v>
      </c>
      <c r="O15725" s="6" t="str">
        <f>HYPERLINK("https://pbs.twimg.com/profile_images/962471262747529216/Uo8lOkRJ_normal.jpg","View")</f>
        <v>View</v>
      </c>
      <c r="P15725" s="7"/>
    </row>
    <row r="15726" spans="1:16">
      <c r="A15726" s="3">
        <v>44418.786562499998</v>
      </c>
      <c r="B15726" s="4" t="str">
        <f>HYPERLINK("https://twitter.com/petrogustavo","@petrogustavo")</f>
        <v>@petrogustavo</v>
      </c>
      <c r="C15726" s="5" t="s">
        <v>16</v>
      </c>
      <c r="D15726" s="5" t="s">
        <v>15140</v>
      </c>
      <c r="E15726" s="6" t="str">
        <f>HYPERLINK("https://twitter.com/petrogustavo/status/1425085183968137220","1425085183968137220")</f>
        <v>1425085183968137220</v>
      </c>
      <c r="F15726" s="7" t="s">
        <v>17</v>
      </c>
      <c r="G15726" s="7">
        <v>4343899</v>
      </c>
      <c r="H15726" s="7">
        <v>2533</v>
      </c>
      <c r="I15726" s="7">
        <v>178</v>
      </c>
      <c r="J15726" s="7">
        <v>540</v>
      </c>
      <c r="K15726" s="7" t="s">
        <v>18</v>
      </c>
      <c r="L15726" s="8">
        <v>39987.315405092595</v>
      </c>
      <c r="M15726" s="9" t="s">
        <v>19</v>
      </c>
      <c r="N15726" s="9" t="s">
        <v>20</v>
      </c>
      <c r="O15726" s="6" t="str">
        <f>HYPERLINK("https://pbs.twimg.com/profile_images/962471262747529216/Uo8lOkRJ_normal.jpg","View")</f>
        <v>View</v>
      </c>
      <c r="P15726" s="7"/>
    </row>
    <row r="15727" spans="1:16">
      <c r="A15727" s="3">
        <v>44418.789571759262</v>
      </c>
      <c r="B15727" s="4" t="str">
        <f>HYPERLINK("https://twitter.com/petrogustavo","@petrogustavo")</f>
        <v>@petrogustavo</v>
      </c>
      <c r="C15727" s="5" t="s">
        <v>16</v>
      </c>
      <c r="D15727" s="5" t="s">
        <v>15141</v>
      </c>
      <c r="E15727" s="6" t="str">
        <f>HYPERLINK("https://twitter.com/petrogustavo/status/1425086274436837377","1425086274436837377")</f>
        <v>1425086274436837377</v>
      </c>
      <c r="F15727" s="7" t="s">
        <v>17</v>
      </c>
      <c r="G15727" s="7">
        <v>4343899</v>
      </c>
      <c r="H15727" s="7">
        <v>2533</v>
      </c>
      <c r="I15727" s="7">
        <v>269</v>
      </c>
      <c r="J15727" s="7">
        <v>886</v>
      </c>
      <c r="K15727" s="7" t="s">
        <v>18</v>
      </c>
      <c r="L15727" s="8">
        <v>39987.315405092595</v>
      </c>
      <c r="M15727" s="9" t="s">
        <v>19</v>
      </c>
      <c r="N15727" s="9" t="s">
        <v>20</v>
      </c>
      <c r="O15727" s="6" t="str">
        <f>HYPERLINK("https://pbs.twimg.com/profile_images/962471262747529216/Uo8lOkRJ_normal.jpg","View")</f>
        <v>View</v>
      </c>
      <c r="P15727" s="7"/>
    </row>
    <row r="15728" spans="1:16">
      <c r="A15728" s="3">
        <v>44418.792870370366</v>
      </c>
      <c r="B15728" s="4" t="str">
        <f>HYPERLINK("https://twitter.com/petrogustavo","@petrogustavo")</f>
        <v>@petrogustavo</v>
      </c>
      <c r="C15728" s="5" t="s">
        <v>16</v>
      </c>
      <c r="D15728" s="5" t="s">
        <v>15142</v>
      </c>
      <c r="E15728" s="6" t="str">
        <f>HYPERLINK("https://twitter.com/petrogustavo/status/1425087469448478732","1425087469448478732")</f>
        <v>1425087469448478732</v>
      </c>
      <c r="F15728" s="7" t="s">
        <v>17</v>
      </c>
      <c r="G15728" s="7">
        <v>4343899</v>
      </c>
      <c r="H15728" s="7">
        <v>2533</v>
      </c>
      <c r="I15728" s="7">
        <v>278</v>
      </c>
      <c r="J15728" s="7">
        <v>0</v>
      </c>
      <c r="K15728" s="7" t="s">
        <v>18</v>
      </c>
      <c r="L15728" s="8">
        <v>39987.315405092595</v>
      </c>
      <c r="M15728" s="9" t="s">
        <v>19</v>
      </c>
      <c r="N15728" s="9" t="s">
        <v>20</v>
      </c>
      <c r="O15728" s="6" t="str">
        <f>HYPERLINK("https://pbs.twimg.com/profile_images/962471262747529216/Uo8lOkRJ_normal.jpg","View")</f>
        <v>View</v>
      </c>
      <c r="P15728" s="7"/>
    </row>
    <row r="15729" spans="1:16">
      <c r="A15729" s="3">
        <v>44418.825509259259</v>
      </c>
      <c r="B15729" s="4" t="str">
        <f>HYPERLINK("https://twitter.com/petrogustavo","@petrogustavo")</f>
        <v>@petrogustavo</v>
      </c>
      <c r="C15729" s="5" t="s">
        <v>16</v>
      </c>
      <c r="D15729" s="5" t="s">
        <v>15143</v>
      </c>
      <c r="E15729" s="6" t="str">
        <f>HYPERLINK("https://twitter.com/petrogustavo/status/1425099296676974593","1425099296676974593")</f>
        <v>1425099296676974593</v>
      </c>
      <c r="F15729" s="7" t="s">
        <v>17</v>
      </c>
      <c r="G15729" s="7">
        <v>4343912</v>
      </c>
      <c r="H15729" s="7">
        <v>2533</v>
      </c>
      <c r="I15729" s="7">
        <v>351</v>
      </c>
      <c r="J15729" s="7">
        <v>1128</v>
      </c>
      <c r="K15729" s="7" t="s">
        <v>18</v>
      </c>
      <c r="L15729" s="8">
        <v>39987.315405092595</v>
      </c>
      <c r="M15729" s="9" t="s">
        <v>19</v>
      </c>
      <c r="N15729" s="9" t="s">
        <v>20</v>
      </c>
      <c r="O15729" s="6" t="str">
        <f>HYPERLINK("https://pbs.twimg.com/profile_images/962471262747529216/Uo8lOkRJ_normal.jpg","View")</f>
        <v>View</v>
      </c>
      <c r="P15729" s="7"/>
    </row>
    <row r="15730" spans="1:16">
      <c r="A15730" s="3">
        <v>44418.905474537038</v>
      </c>
      <c r="B15730" s="4" t="str">
        <f>HYPERLINK("https://twitter.com/petrogustavo","@petrogustavo")</f>
        <v>@petrogustavo</v>
      </c>
      <c r="C15730" s="5" t="s">
        <v>16</v>
      </c>
      <c r="D15730" s="5" t="s">
        <v>15144</v>
      </c>
      <c r="E15730" s="6" t="str">
        <f>HYPERLINK("https://twitter.com/petrogustavo/status/1425128277568630787","1425128277568630787")</f>
        <v>1425128277568630787</v>
      </c>
      <c r="F15730" s="7" t="s">
        <v>17</v>
      </c>
      <c r="G15730" s="7">
        <v>4343965</v>
      </c>
      <c r="H15730" s="7">
        <v>2533</v>
      </c>
      <c r="I15730" s="7">
        <v>162</v>
      </c>
      <c r="J15730" s="7">
        <v>0</v>
      </c>
      <c r="K15730" s="7" t="s">
        <v>18</v>
      </c>
      <c r="L15730" s="8">
        <v>39987.315405092595</v>
      </c>
      <c r="M15730" s="9" t="s">
        <v>19</v>
      </c>
      <c r="N15730" s="9" t="s">
        <v>20</v>
      </c>
      <c r="O15730" s="6" t="str">
        <f>HYPERLINK("https://pbs.twimg.com/profile_images/962471262747529216/Uo8lOkRJ_normal.jpg","View")</f>
        <v>View</v>
      </c>
      <c r="P15730" s="7"/>
    </row>
    <row r="15731" spans="1:16">
      <c r="A15731" s="3">
        <v>44418.929849537039</v>
      </c>
      <c r="B15731" s="4" t="str">
        <f>HYPERLINK("https://twitter.com/petrogustavo","@petrogustavo")</f>
        <v>@petrogustavo</v>
      </c>
      <c r="C15731" s="5" t="s">
        <v>16</v>
      </c>
      <c r="D15731" s="5" t="s">
        <v>15145</v>
      </c>
      <c r="E15731" s="6" t="str">
        <f>HYPERLINK("https://twitter.com/petrogustavo/status/1425137109539729408","1425137109539729408")</f>
        <v>1425137109539729408</v>
      </c>
      <c r="F15731" s="7" t="s">
        <v>17</v>
      </c>
      <c r="G15731" s="7">
        <v>4344022</v>
      </c>
      <c r="H15731" s="7">
        <v>2533</v>
      </c>
      <c r="I15731" s="7">
        <v>150</v>
      </c>
      <c r="J15731" s="7">
        <v>420</v>
      </c>
      <c r="K15731" s="7" t="s">
        <v>18</v>
      </c>
      <c r="L15731" s="8">
        <v>39987.315405092595</v>
      </c>
      <c r="M15731" s="9" t="s">
        <v>19</v>
      </c>
      <c r="N15731" s="9" t="s">
        <v>20</v>
      </c>
      <c r="O15731" s="6" t="str">
        <f>HYPERLINK("https://pbs.twimg.com/profile_images/962471262747529216/Uo8lOkRJ_normal.jpg","View")</f>
        <v>View</v>
      </c>
      <c r="P15731" s="7"/>
    </row>
    <row r="15732" spans="1:16">
      <c r="A15732" s="3">
        <v>44418.993171296301</v>
      </c>
      <c r="B15732" s="4" t="str">
        <f>HYPERLINK("https://twitter.com/petrogustavo","@petrogustavo")</f>
        <v>@petrogustavo</v>
      </c>
      <c r="C15732" s="5" t="s">
        <v>16</v>
      </c>
      <c r="D15732" s="5" t="s">
        <v>15146</v>
      </c>
      <c r="E15732" s="6" t="str">
        <f>HYPERLINK("https://twitter.com/petrogustavo/status/1425160055494778880","1425160055494778880")</f>
        <v>1425160055494778880</v>
      </c>
      <c r="F15732" s="7" t="s">
        <v>17</v>
      </c>
      <c r="G15732" s="7">
        <v>4344098</v>
      </c>
      <c r="H15732" s="7">
        <v>2533</v>
      </c>
      <c r="I15732" s="7">
        <v>1068</v>
      </c>
      <c r="J15732" s="7">
        <v>0</v>
      </c>
      <c r="K15732" s="7" t="s">
        <v>18</v>
      </c>
      <c r="L15732" s="8">
        <v>39987.315405092595</v>
      </c>
      <c r="M15732" s="9" t="s">
        <v>19</v>
      </c>
      <c r="N15732" s="9" t="s">
        <v>20</v>
      </c>
      <c r="O15732" s="6" t="str">
        <f>HYPERLINK("https://pbs.twimg.com/profile_images/962471262747529216/Uo8lOkRJ_normal.jpg","View")</f>
        <v>View</v>
      </c>
      <c r="P15732" s="7"/>
    </row>
    <row r="15733" spans="1:16">
      <c r="A15733" s="3">
        <v>44418.993437500001</v>
      </c>
      <c r="B15733" s="4" t="str">
        <f>HYPERLINK("https://twitter.com/petrogustavo","@petrogustavo")</f>
        <v>@petrogustavo</v>
      </c>
      <c r="C15733" s="5" t="s">
        <v>16</v>
      </c>
      <c r="D15733" s="5" t="s">
        <v>15147</v>
      </c>
      <c r="E15733" s="6" t="str">
        <f>HYPERLINK("https://twitter.com/petrogustavo/status/1425160152441831425","1425160152441831425")</f>
        <v>1425160152441831425</v>
      </c>
      <c r="F15733" s="7" t="s">
        <v>17</v>
      </c>
      <c r="G15733" s="7">
        <v>4344098</v>
      </c>
      <c r="H15733" s="7">
        <v>2533</v>
      </c>
      <c r="I15733" s="7">
        <v>471</v>
      </c>
      <c r="J15733" s="7">
        <v>0</v>
      </c>
      <c r="K15733" s="7" t="s">
        <v>18</v>
      </c>
      <c r="L15733" s="8">
        <v>39987.315405092595</v>
      </c>
      <c r="M15733" s="9" t="s">
        <v>19</v>
      </c>
      <c r="N15733" s="9" t="s">
        <v>20</v>
      </c>
      <c r="O15733" s="6" t="str">
        <f>HYPERLINK("https://pbs.twimg.com/profile_images/962471262747529216/Uo8lOkRJ_normal.jpg","View")</f>
        <v>View</v>
      </c>
      <c r="P15733" s="7"/>
    </row>
    <row r="15734" spans="1:16">
      <c r="A15734" s="3">
        <v>44418.998680555553</v>
      </c>
      <c r="B15734" s="4" t="str">
        <f>HYPERLINK("https://twitter.com/petrogustavo","@petrogustavo")</f>
        <v>@petrogustavo</v>
      </c>
      <c r="C15734" s="5" t="s">
        <v>16</v>
      </c>
      <c r="D15734" s="5" t="s">
        <v>15148</v>
      </c>
      <c r="E15734" s="6" t="str">
        <f>HYPERLINK("https://twitter.com/petrogustavo/status/1425162052545417218","1425162052545417218")</f>
        <v>1425162052545417218</v>
      </c>
      <c r="F15734" s="7" t="s">
        <v>17</v>
      </c>
      <c r="G15734" s="7">
        <v>4344098</v>
      </c>
      <c r="H15734" s="7">
        <v>2533</v>
      </c>
      <c r="I15734" s="7">
        <v>308</v>
      </c>
      <c r="J15734" s="7">
        <v>1039</v>
      </c>
      <c r="K15734" s="7" t="s">
        <v>18</v>
      </c>
      <c r="L15734" s="8">
        <v>39987.315405092595</v>
      </c>
      <c r="M15734" s="9" t="s">
        <v>19</v>
      </c>
      <c r="N15734" s="9" t="s">
        <v>20</v>
      </c>
      <c r="O15734" s="6" t="str">
        <f>HYPERLINK("https://pbs.twimg.com/profile_images/962471262747529216/Uo8lOkRJ_normal.jpg","View")</f>
        <v>View</v>
      </c>
      <c r="P15734" s="7"/>
    </row>
    <row r="15735" spans="1:16">
      <c r="A15735" s="3">
        <v>44419.294907407406</v>
      </c>
      <c r="B15735" s="4" t="str">
        <f>HYPERLINK("https://twitter.com/petrogustavo","@petrogustavo")</f>
        <v>@petrogustavo</v>
      </c>
      <c r="C15735" s="5" t="s">
        <v>16</v>
      </c>
      <c r="D15735" s="5" t="s">
        <v>15149</v>
      </c>
      <c r="E15735" s="6" t="str">
        <f>HYPERLINK("https://twitter.com/petrogustavo/status/1425269400903593988","1425269400903593988")</f>
        <v>1425269400903593988</v>
      </c>
      <c r="F15735" s="7" t="s">
        <v>32</v>
      </c>
      <c r="G15735" s="7">
        <v>4344395</v>
      </c>
      <c r="H15735" s="7">
        <v>2534</v>
      </c>
      <c r="I15735" s="7">
        <v>81</v>
      </c>
      <c r="J15735" s="7">
        <v>0</v>
      </c>
      <c r="K15735" s="7" t="s">
        <v>18</v>
      </c>
      <c r="L15735" s="8">
        <v>39987.315405092595</v>
      </c>
      <c r="M15735" s="9" t="s">
        <v>19</v>
      </c>
      <c r="N15735" s="9" t="s">
        <v>20</v>
      </c>
      <c r="O15735" s="6" t="str">
        <f>HYPERLINK("https://pbs.twimg.com/profile_images/962471262747529216/Uo8lOkRJ_normal.jpg","View")</f>
        <v>View</v>
      </c>
      <c r="P15735" s="7"/>
    </row>
    <row r="15736" spans="1:16">
      <c r="A15736" s="3">
        <v>44419.29996527778</v>
      </c>
      <c r="B15736" s="4" t="str">
        <f>HYPERLINK("https://twitter.com/petrogustavo","@petrogustavo")</f>
        <v>@petrogustavo</v>
      </c>
      <c r="C15736" s="5" t="s">
        <v>16</v>
      </c>
      <c r="D15736" s="5" t="s">
        <v>15150</v>
      </c>
      <c r="E15736" s="6" t="str">
        <f>HYPERLINK("https://twitter.com/petrogustavo/status/1425271237731930116","1425271237731930116")</f>
        <v>1425271237731930116</v>
      </c>
      <c r="F15736" s="7" t="s">
        <v>32</v>
      </c>
      <c r="G15736" s="7">
        <v>4344395</v>
      </c>
      <c r="H15736" s="7">
        <v>2534</v>
      </c>
      <c r="I15736" s="7">
        <v>216</v>
      </c>
      <c r="J15736" s="7">
        <v>433</v>
      </c>
      <c r="K15736" s="7" t="s">
        <v>18</v>
      </c>
      <c r="L15736" s="8">
        <v>39987.315405092595</v>
      </c>
      <c r="M15736" s="9" t="s">
        <v>19</v>
      </c>
      <c r="N15736" s="9" t="s">
        <v>20</v>
      </c>
      <c r="O15736" s="6" t="str">
        <f>HYPERLINK("https://pbs.twimg.com/profile_images/962471262747529216/Uo8lOkRJ_normal.jpg","View")</f>
        <v>View</v>
      </c>
      <c r="P15736" s="7"/>
    </row>
    <row r="15737" spans="1:16">
      <c r="A15737" s="3">
        <v>44419.344236111108</v>
      </c>
      <c r="B15737" s="4" t="str">
        <f>HYPERLINK("https://twitter.com/petrogustavo","@petrogustavo")</f>
        <v>@petrogustavo</v>
      </c>
      <c r="C15737" s="5" t="s">
        <v>16</v>
      </c>
      <c r="D15737" s="5" t="s">
        <v>15151</v>
      </c>
      <c r="E15737" s="6" t="str">
        <f>HYPERLINK("https://twitter.com/petrogustavo/status/1425287277983510528","1425287277983510528")</f>
        <v>1425287277983510528</v>
      </c>
      <c r="F15737" s="7" t="s">
        <v>15152</v>
      </c>
      <c r="G15737" s="7">
        <v>4344438</v>
      </c>
      <c r="H15737" s="7">
        <v>2534</v>
      </c>
      <c r="I15737" s="7">
        <v>44</v>
      </c>
      <c r="J15737" s="7">
        <v>107</v>
      </c>
      <c r="K15737" s="7" t="s">
        <v>18</v>
      </c>
      <c r="L15737" s="8">
        <v>39987.315405092595</v>
      </c>
      <c r="M15737" s="9" t="s">
        <v>19</v>
      </c>
      <c r="N15737" s="9" t="s">
        <v>20</v>
      </c>
      <c r="O15737" s="6" t="str">
        <f>HYPERLINK("https://pbs.twimg.com/profile_images/962471262747529216/Uo8lOkRJ_normal.jpg","View")</f>
        <v>View</v>
      </c>
      <c r="P15737" s="7"/>
    </row>
    <row r="15738" spans="1:16">
      <c r="A15738" s="3">
        <v>44419.365254629629</v>
      </c>
      <c r="B15738" s="4" t="str">
        <f>HYPERLINK("https://twitter.com/petrogustavo","@petrogustavo")</f>
        <v>@petrogustavo</v>
      </c>
      <c r="C15738" s="5" t="s">
        <v>16</v>
      </c>
      <c r="D15738" s="5" t="s">
        <v>15153</v>
      </c>
      <c r="E15738" s="6" t="str">
        <f>HYPERLINK("https://twitter.com/petrogustavo/status/1425294897523929090","1425294897523929090")</f>
        <v>1425294897523929090</v>
      </c>
      <c r="F15738" s="7" t="s">
        <v>17</v>
      </c>
      <c r="G15738" s="7">
        <v>4344448</v>
      </c>
      <c r="H15738" s="7">
        <v>2534</v>
      </c>
      <c r="I15738" s="7">
        <v>24</v>
      </c>
      <c r="J15738" s="7">
        <v>43</v>
      </c>
      <c r="K15738" s="7" t="s">
        <v>18</v>
      </c>
      <c r="L15738" s="8">
        <v>39987.315405092595</v>
      </c>
      <c r="M15738" s="9" t="s">
        <v>19</v>
      </c>
      <c r="N15738" s="9" t="s">
        <v>20</v>
      </c>
      <c r="O15738" s="6" t="str">
        <f>HYPERLINK("https://pbs.twimg.com/profile_images/962471262747529216/Uo8lOkRJ_normal.jpg","View")</f>
        <v>View</v>
      </c>
      <c r="P15738" s="7"/>
    </row>
    <row r="15739" spans="1:16">
      <c r="A15739" s="3">
        <v>44419.770312499997</v>
      </c>
      <c r="B15739" s="4" t="str">
        <f>HYPERLINK("https://twitter.com/petrogustavo","@petrogustavo")</f>
        <v>@petrogustavo</v>
      </c>
      <c r="C15739" s="5" t="s">
        <v>16</v>
      </c>
      <c r="D15739" s="5" t="s">
        <v>15154</v>
      </c>
      <c r="E15739" s="6" t="str">
        <f>HYPERLINK("https://twitter.com/petrogustavo/status/1425441681818755076","1425441681818755076")</f>
        <v>1425441681818755076</v>
      </c>
      <c r="F15739" s="7" t="s">
        <v>32</v>
      </c>
      <c r="G15739" s="7">
        <v>4344542</v>
      </c>
      <c r="H15739" s="7">
        <v>2534</v>
      </c>
      <c r="I15739" s="7">
        <v>127</v>
      </c>
      <c r="J15739" s="7">
        <v>388</v>
      </c>
      <c r="K15739" s="7" t="s">
        <v>18</v>
      </c>
      <c r="L15739" s="8">
        <v>39987.315405092595</v>
      </c>
      <c r="M15739" s="9" t="s">
        <v>19</v>
      </c>
      <c r="N15739" s="9" t="s">
        <v>20</v>
      </c>
      <c r="O15739" s="6" t="str">
        <f>HYPERLINK("https://pbs.twimg.com/profile_images/962471262747529216/Uo8lOkRJ_normal.jpg","View")</f>
        <v>View</v>
      </c>
      <c r="P15739" s="7"/>
    </row>
    <row r="15740" spans="1:16">
      <c r="A15740" s="3">
        <v>44419.833680555559</v>
      </c>
      <c r="B15740" s="4" t="str">
        <f>HYPERLINK("https://twitter.com/petrogustavo","@petrogustavo")</f>
        <v>@petrogustavo</v>
      </c>
      <c r="C15740" s="5" t="s">
        <v>16</v>
      </c>
      <c r="D15740" s="5" t="s">
        <v>15155</v>
      </c>
      <c r="E15740" s="6" t="str">
        <f>HYPERLINK("https://twitter.com/petrogustavo/status/1425464645528297477","1425464645528297477")</f>
        <v>1425464645528297477</v>
      </c>
      <c r="F15740" s="7" t="s">
        <v>32</v>
      </c>
      <c r="G15740" s="7">
        <v>4344611</v>
      </c>
      <c r="H15740" s="7">
        <v>2534</v>
      </c>
      <c r="I15740" s="7">
        <v>2577</v>
      </c>
      <c r="J15740" s="7">
        <v>0</v>
      </c>
      <c r="K15740" s="7" t="s">
        <v>18</v>
      </c>
      <c r="L15740" s="8">
        <v>39987.315405092595</v>
      </c>
      <c r="M15740" s="9" t="s">
        <v>19</v>
      </c>
      <c r="N15740" s="9" t="s">
        <v>20</v>
      </c>
      <c r="O15740" s="6" t="str">
        <f>HYPERLINK("https://pbs.twimg.com/profile_images/962471262747529216/Uo8lOkRJ_normal.jpg","View")</f>
        <v>View</v>
      </c>
      <c r="P15740" s="7"/>
    </row>
    <row r="15741" spans="1:16">
      <c r="A15741" s="3">
        <v>44419.860462962963</v>
      </c>
      <c r="B15741" s="4" t="str">
        <f>HYPERLINK("https://twitter.com/petrogustavo","@petrogustavo")</f>
        <v>@petrogustavo</v>
      </c>
      <c r="C15741" s="5" t="s">
        <v>16</v>
      </c>
      <c r="D15741" s="5" t="s">
        <v>15156</v>
      </c>
      <c r="E15741" s="6" t="str">
        <f>HYPERLINK("https://twitter.com/petrogustavo/status/1425474353521692675","1425474353521692675")</f>
        <v>1425474353521692675</v>
      </c>
      <c r="F15741" s="7" t="s">
        <v>17</v>
      </c>
      <c r="G15741" s="7">
        <v>4344620</v>
      </c>
      <c r="H15741" s="7">
        <v>2535</v>
      </c>
      <c r="I15741" s="7">
        <v>147</v>
      </c>
      <c r="J15741" s="7">
        <v>315</v>
      </c>
      <c r="K15741" s="7" t="s">
        <v>18</v>
      </c>
      <c r="L15741" s="8">
        <v>39987.315405092595</v>
      </c>
      <c r="M15741" s="9" t="s">
        <v>19</v>
      </c>
      <c r="N15741" s="9" t="s">
        <v>20</v>
      </c>
      <c r="O15741" s="6" t="str">
        <f>HYPERLINK("https://pbs.twimg.com/profile_images/962471262747529216/Uo8lOkRJ_normal.jpg","View")</f>
        <v>View</v>
      </c>
      <c r="P15741" s="7"/>
    </row>
    <row r="15742" spans="1:16">
      <c r="A15742" s="3">
        <v>44419.860462962963</v>
      </c>
      <c r="B15742" s="4" t="str">
        <f>HYPERLINK("https://twitter.com/petrogustavo","@petrogustavo")</f>
        <v>@petrogustavo</v>
      </c>
      <c r="C15742" s="5" t="s">
        <v>16</v>
      </c>
      <c r="D15742" s="5" t="s">
        <v>15157</v>
      </c>
      <c r="E15742" s="6" t="str">
        <f>HYPERLINK("https://twitter.com/petrogustavo/status/1425474355279142924","1425474355279142924")</f>
        <v>1425474355279142924</v>
      </c>
      <c r="F15742" s="7" t="s">
        <v>17</v>
      </c>
      <c r="G15742" s="7">
        <v>4344620</v>
      </c>
      <c r="H15742" s="7">
        <v>2535</v>
      </c>
      <c r="I15742" s="7">
        <v>84</v>
      </c>
      <c r="J15742" s="7">
        <v>228</v>
      </c>
      <c r="K15742" s="7" t="s">
        <v>18</v>
      </c>
      <c r="L15742" s="8">
        <v>39987.315405092595</v>
      </c>
      <c r="M15742" s="9" t="s">
        <v>19</v>
      </c>
      <c r="N15742" s="9" t="s">
        <v>20</v>
      </c>
      <c r="O15742" s="6" t="str">
        <f>HYPERLINK("https://pbs.twimg.com/profile_images/962471262747529216/Uo8lOkRJ_normal.jpg","View")</f>
        <v>View</v>
      </c>
      <c r="P15742" s="7"/>
    </row>
    <row r="15743" spans="1:16">
      <c r="A15743" s="3">
        <v>44419.962476851855</v>
      </c>
      <c r="B15743" s="4" t="str">
        <f>HYPERLINK("https://twitter.com/petrogustavo","@petrogustavo")</f>
        <v>@petrogustavo</v>
      </c>
      <c r="C15743" s="5" t="s">
        <v>16</v>
      </c>
      <c r="D15743" s="5" t="s">
        <v>15155</v>
      </c>
      <c r="E15743" s="6" t="str">
        <f>HYPERLINK("https://twitter.com/petrogustavo/status/1425511319759953927","1425511319759953927")</f>
        <v>1425511319759953927</v>
      </c>
      <c r="F15743" s="7" t="s">
        <v>17</v>
      </c>
      <c r="G15743" s="7">
        <v>4344643</v>
      </c>
      <c r="H15743" s="7">
        <v>2535</v>
      </c>
      <c r="I15743" s="7">
        <v>2904</v>
      </c>
      <c r="J15743" s="7">
        <v>0</v>
      </c>
      <c r="K15743" s="7" t="s">
        <v>18</v>
      </c>
      <c r="L15743" s="8">
        <v>39987.315405092595</v>
      </c>
      <c r="M15743" s="9" t="s">
        <v>19</v>
      </c>
      <c r="N15743" s="9" t="s">
        <v>20</v>
      </c>
      <c r="O15743" s="6" t="str">
        <f>HYPERLINK("https://pbs.twimg.com/profile_images/962471262747529216/Uo8lOkRJ_normal.jpg","View")</f>
        <v>View</v>
      </c>
      <c r="P15743" s="7"/>
    </row>
    <row r="15744" spans="1:16">
      <c r="A15744" s="3">
        <v>44419.998923611114</v>
      </c>
      <c r="B15744" s="4" t="str">
        <f>HYPERLINK("https://twitter.com/petrogustavo","@petrogustavo")</f>
        <v>@petrogustavo</v>
      </c>
      <c r="C15744" s="5" t="s">
        <v>16</v>
      </c>
      <c r="D15744" s="5" t="s">
        <v>15158</v>
      </c>
      <c r="E15744" s="6" t="str">
        <f>HYPERLINK("https://twitter.com/petrogustavo/status/1425524527958831104","1425524527958831104")</f>
        <v>1425524527958831104</v>
      </c>
      <c r="F15744" s="7" t="s">
        <v>15152</v>
      </c>
      <c r="G15744" s="7">
        <v>4344689</v>
      </c>
      <c r="H15744" s="7">
        <v>2535</v>
      </c>
      <c r="I15744" s="7">
        <v>121</v>
      </c>
      <c r="J15744" s="7">
        <v>201</v>
      </c>
      <c r="K15744" s="7" t="s">
        <v>18</v>
      </c>
      <c r="L15744" s="8">
        <v>39987.315405092595</v>
      </c>
      <c r="M15744" s="9" t="s">
        <v>19</v>
      </c>
      <c r="N15744" s="9" t="s">
        <v>20</v>
      </c>
      <c r="O15744" s="6" t="str">
        <f>HYPERLINK("https://pbs.twimg.com/profile_images/962471262747529216/Uo8lOkRJ_normal.jpg","View")</f>
        <v>View</v>
      </c>
      <c r="P15744" s="7"/>
    </row>
    <row r="15745" spans="1:16">
      <c r="A15745" s="3">
        <v>44419.999351851853</v>
      </c>
      <c r="B15745" s="4" t="str">
        <f>HYPERLINK("https://twitter.com/petrogustavo","@petrogustavo")</f>
        <v>@petrogustavo</v>
      </c>
      <c r="C15745" s="5" t="s">
        <v>16</v>
      </c>
      <c r="D15745" s="5" t="s">
        <v>15159</v>
      </c>
      <c r="E15745" s="6" t="str">
        <f>HYPERLINK("https://twitter.com/petrogustavo/status/1425524684452466691","1425524684452466691")</f>
        <v>1425524684452466691</v>
      </c>
      <c r="F15745" s="7" t="s">
        <v>15152</v>
      </c>
      <c r="G15745" s="7">
        <v>4344689</v>
      </c>
      <c r="H15745" s="7">
        <v>2535</v>
      </c>
      <c r="I15745" s="7">
        <v>77</v>
      </c>
      <c r="J15745" s="7">
        <v>188</v>
      </c>
      <c r="K15745" s="7" t="s">
        <v>18</v>
      </c>
      <c r="L15745" s="8">
        <v>39987.315405092595</v>
      </c>
      <c r="M15745" s="9" t="s">
        <v>19</v>
      </c>
      <c r="N15745" s="9" t="s">
        <v>20</v>
      </c>
      <c r="O15745" s="6" t="str">
        <f>HYPERLINK("https://pbs.twimg.com/profile_images/962471262747529216/Uo8lOkRJ_normal.jpg","View")</f>
        <v>View</v>
      </c>
      <c r="P15745" s="7"/>
    </row>
    <row r="15746" spans="1:16">
      <c r="A15746" s="3">
        <v>44419.999826388885</v>
      </c>
      <c r="B15746" s="4" t="str">
        <f>HYPERLINK("https://twitter.com/petrogustavo","@petrogustavo")</f>
        <v>@petrogustavo</v>
      </c>
      <c r="C15746" s="5" t="s">
        <v>16</v>
      </c>
      <c r="D15746" s="5" t="s">
        <v>15160</v>
      </c>
      <c r="E15746" s="6" t="str">
        <f>HYPERLINK("https://twitter.com/petrogustavo/status/1425524858587422728","1425524858587422728")</f>
        <v>1425524858587422728</v>
      </c>
      <c r="F15746" s="7" t="s">
        <v>15152</v>
      </c>
      <c r="G15746" s="7">
        <v>4344689</v>
      </c>
      <c r="H15746" s="7">
        <v>2535</v>
      </c>
      <c r="I15746" s="7">
        <v>115</v>
      </c>
      <c r="J15746" s="7">
        <v>243</v>
      </c>
      <c r="K15746" s="7" t="s">
        <v>18</v>
      </c>
      <c r="L15746" s="8">
        <v>39987.315405092595</v>
      </c>
      <c r="M15746" s="9" t="s">
        <v>19</v>
      </c>
      <c r="N15746" s="9" t="s">
        <v>20</v>
      </c>
      <c r="O15746" s="6" t="str">
        <f>HYPERLINK("https://pbs.twimg.com/profile_images/962471262747529216/Uo8lOkRJ_normal.jpg","View")</f>
        <v>View</v>
      </c>
      <c r="P15746" s="7"/>
    </row>
    <row r="15747" spans="1:16">
      <c r="A15747" s="3">
        <v>44420.057766203703</v>
      </c>
      <c r="B15747" s="4" t="str">
        <f>HYPERLINK("https://twitter.com/petrogustavo","@petrogustavo")</f>
        <v>@petrogustavo</v>
      </c>
      <c r="C15747" s="5" t="s">
        <v>16</v>
      </c>
      <c r="D15747" s="5" t="s">
        <v>15161</v>
      </c>
      <c r="E15747" s="6" t="str">
        <f>HYPERLINK("https://twitter.com/petrogustavo/status/1425545855113781256","1425545855113781256")</f>
        <v>1425545855113781256</v>
      </c>
      <c r="F15747" s="7" t="s">
        <v>32</v>
      </c>
      <c r="G15747" s="7">
        <v>4344735</v>
      </c>
      <c r="H15747" s="7">
        <v>2535</v>
      </c>
      <c r="I15747" s="7">
        <v>192</v>
      </c>
      <c r="J15747" s="7">
        <v>0</v>
      </c>
      <c r="K15747" s="7" t="s">
        <v>18</v>
      </c>
      <c r="L15747" s="8">
        <v>39987.315405092595</v>
      </c>
      <c r="M15747" s="9" t="s">
        <v>19</v>
      </c>
      <c r="N15747" s="9" t="s">
        <v>20</v>
      </c>
      <c r="O15747" s="6" t="str">
        <f>HYPERLINK("https://pbs.twimg.com/profile_images/962471262747529216/Uo8lOkRJ_normal.jpg","View")</f>
        <v>View</v>
      </c>
      <c r="P15747" s="7"/>
    </row>
    <row r="15748" spans="1:16">
      <c r="A15748" s="3">
        <v>44420.057824074072</v>
      </c>
      <c r="B15748" s="4" t="str">
        <f>HYPERLINK("https://twitter.com/petrogustavo","@petrogustavo")</f>
        <v>@petrogustavo</v>
      </c>
      <c r="C15748" s="5" t="s">
        <v>16</v>
      </c>
      <c r="D15748" s="5" t="s">
        <v>15161</v>
      </c>
      <c r="E15748" s="6" t="str">
        <f>HYPERLINK("https://twitter.com/petrogustavo/status/1425545875535929352","1425545875535929352")</f>
        <v>1425545875535929352</v>
      </c>
      <c r="F15748" s="7" t="s">
        <v>32</v>
      </c>
      <c r="G15748" s="7">
        <v>4344735</v>
      </c>
      <c r="H15748" s="7">
        <v>2535</v>
      </c>
      <c r="I15748" s="7">
        <v>287</v>
      </c>
      <c r="J15748" s="7">
        <v>0</v>
      </c>
      <c r="K15748" s="7" t="s">
        <v>18</v>
      </c>
      <c r="L15748" s="8">
        <v>39987.315405092595</v>
      </c>
      <c r="M15748" s="9" t="s">
        <v>19</v>
      </c>
      <c r="N15748" s="9" t="s">
        <v>20</v>
      </c>
      <c r="O15748" s="6" t="str">
        <f>HYPERLINK("https://pbs.twimg.com/profile_images/962471262747529216/Uo8lOkRJ_normal.jpg","View")</f>
        <v>View</v>
      </c>
      <c r="P15748" s="7"/>
    </row>
    <row r="15749" spans="1:16">
      <c r="A15749" s="3">
        <v>44420.223333333328</v>
      </c>
      <c r="B15749" s="4" t="str">
        <f>HYPERLINK("https://twitter.com/petrogustavo","@petrogustavo")</f>
        <v>@petrogustavo</v>
      </c>
      <c r="C15749" s="5" t="s">
        <v>16</v>
      </c>
      <c r="D15749" s="5" t="s">
        <v>15162</v>
      </c>
      <c r="E15749" s="6" t="str">
        <f>HYPERLINK("https://twitter.com/petrogustavo/status/1425605853491630083","1425605853491630083")</f>
        <v>1425605853491630083</v>
      </c>
      <c r="F15749" s="7" t="s">
        <v>17</v>
      </c>
      <c r="G15749" s="7">
        <v>4344871</v>
      </c>
      <c r="H15749" s="7">
        <v>2535</v>
      </c>
      <c r="I15749" s="7">
        <v>150</v>
      </c>
      <c r="J15749" s="7">
        <v>466</v>
      </c>
      <c r="K15749" s="7" t="s">
        <v>18</v>
      </c>
      <c r="L15749" s="8">
        <v>39987.315405092595</v>
      </c>
      <c r="M15749" s="9" t="s">
        <v>19</v>
      </c>
      <c r="N15749" s="9" t="s">
        <v>20</v>
      </c>
      <c r="O15749" s="6" t="str">
        <f>HYPERLINK("https://pbs.twimg.com/profile_images/962471262747529216/Uo8lOkRJ_normal.jpg","View")</f>
        <v>View</v>
      </c>
      <c r="P15749" s="7"/>
    </row>
    <row r="15750" spans="1:16">
      <c r="A15750" s="3">
        <v>44420.337465277778</v>
      </c>
      <c r="B15750" s="4" t="str">
        <f>HYPERLINK("https://twitter.com/petrogustavo","@petrogustavo")</f>
        <v>@petrogustavo</v>
      </c>
      <c r="C15750" s="5" t="s">
        <v>16</v>
      </c>
      <c r="D15750" s="5" t="s">
        <v>15163</v>
      </c>
      <c r="E15750" s="6" t="str">
        <f>HYPERLINK("https://twitter.com/petrogustavo/status/1425647212298653703","1425647212298653703")</f>
        <v>1425647212298653703</v>
      </c>
      <c r="F15750" s="7" t="s">
        <v>15152</v>
      </c>
      <c r="G15750" s="7">
        <v>4344980</v>
      </c>
      <c r="H15750" s="7">
        <v>2535</v>
      </c>
      <c r="I15750" s="7">
        <v>69</v>
      </c>
      <c r="J15750" s="7">
        <v>173</v>
      </c>
      <c r="K15750" s="7" t="s">
        <v>18</v>
      </c>
      <c r="L15750" s="8">
        <v>39987.315405092595</v>
      </c>
      <c r="M15750" s="9" t="s">
        <v>19</v>
      </c>
      <c r="N15750" s="9" t="s">
        <v>20</v>
      </c>
      <c r="O15750" s="6" t="str">
        <f>HYPERLINK("https://pbs.twimg.com/profile_images/962471262747529216/Uo8lOkRJ_normal.jpg","View")</f>
        <v>View</v>
      </c>
      <c r="P15750" s="7"/>
    </row>
    <row r="15751" spans="1:16">
      <c r="A15751" s="3">
        <v>44420.338182870371</v>
      </c>
      <c r="B15751" s="4" t="str">
        <f>HYPERLINK("https://twitter.com/petrogustavo","@petrogustavo")</f>
        <v>@petrogustavo</v>
      </c>
      <c r="C15751" s="5" t="s">
        <v>16</v>
      </c>
      <c r="D15751" s="5" t="s">
        <v>15164</v>
      </c>
      <c r="E15751" s="6" t="str">
        <f>HYPERLINK("https://twitter.com/petrogustavo/status/1425647474014830592","1425647474014830592")</f>
        <v>1425647474014830592</v>
      </c>
      <c r="F15751" s="7" t="s">
        <v>15152</v>
      </c>
      <c r="G15751" s="7">
        <v>4344980</v>
      </c>
      <c r="H15751" s="7">
        <v>2535</v>
      </c>
      <c r="I15751" s="7">
        <v>58</v>
      </c>
      <c r="J15751" s="7">
        <v>150</v>
      </c>
      <c r="K15751" s="7" t="s">
        <v>18</v>
      </c>
      <c r="L15751" s="8">
        <v>39987.315405092595</v>
      </c>
      <c r="M15751" s="9" t="s">
        <v>19</v>
      </c>
      <c r="N15751" s="9" t="s">
        <v>20</v>
      </c>
      <c r="O15751" s="6" t="str">
        <f>HYPERLINK("https://pbs.twimg.com/profile_images/962471262747529216/Uo8lOkRJ_normal.jpg","View")</f>
        <v>View</v>
      </c>
      <c r="P15751" s="7"/>
    </row>
    <row r="15752" spans="1:16">
      <c r="A15752" s="3">
        <v>44420.338425925926</v>
      </c>
      <c r="B15752" s="4" t="str">
        <f>HYPERLINK("https://twitter.com/petrogustavo","@petrogustavo")</f>
        <v>@petrogustavo</v>
      </c>
      <c r="C15752" s="5" t="s">
        <v>16</v>
      </c>
      <c r="D15752" s="5" t="s">
        <v>15165</v>
      </c>
      <c r="E15752" s="6" t="str">
        <f>HYPERLINK("https://twitter.com/petrogustavo/status/1425647563106045952","1425647563106045952")</f>
        <v>1425647563106045952</v>
      </c>
      <c r="F15752" s="7" t="s">
        <v>15152</v>
      </c>
      <c r="G15752" s="7">
        <v>4344980</v>
      </c>
      <c r="H15752" s="7">
        <v>2535</v>
      </c>
      <c r="I15752" s="7">
        <v>48</v>
      </c>
      <c r="J15752" s="7">
        <v>117</v>
      </c>
      <c r="K15752" s="7" t="s">
        <v>18</v>
      </c>
      <c r="L15752" s="8">
        <v>39987.315405092595</v>
      </c>
      <c r="M15752" s="9" t="s">
        <v>19</v>
      </c>
      <c r="N15752" s="9" t="s">
        <v>20</v>
      </c>
      <c r="O15752" s="6" t="str">
        <f>HYPERLINK("https://pbs.twimg.com/profile_images/962471262747529216/Uo8lOkRJ_normal.jpg","View")</f>
        <v>View</v>
      </c>
      <c r="P15752" s="7"/>
    </row>
    <row r="15753" spans="1:16">
      <c r="A15753" s="3">
        <v>44420.33866898148</v>
      </c>
      <c r="B15753" s="4" t="str">
        <f>HYPERLINK("https://twitter.com/petrogustavo","@petrogustavo")</f>
        <v>@petrogustavo</v>
      </c>
      <c r="C15753" s="5" t="s">
        <v>16</v>
      </c>
      <c r="D15753" s="5" t="s">
        <v>15166</v>
      </c>
      <c r="E15753" s="6" t="str">
        <f>HYPERLINK("https://twitter.com/petrogustavo/status/1425647651207454728","1425647651207454728")</f>
        <v>1425647651207454728</v>
      </c>
      <c r="F15753" s="7" t="s">
        <v>15152</v>
      </c>
      <c r="G15753" s="7">
        <v>4344980</v>
      </c>
      <c r="H15753" s="7">
        <v>2535</v>
      </c>
      <c r="I15753" s="7">
        <v>52</v>
      </c>
      <c r="J15753" s="7">
        <v>121</v>
      </c>
      <c r="K15753" s="7" t="s">
        <v>18</v>
      </c>
      <c r="L15753" s="8">
        <v>39987.315405092595</v>
      </c>
      <c r="M15753" s="9" t="s">
        <v>19</v>
      </c>
      <c r="N15753" s="9" t="s">
        <v>20</v>
      </c>
      <c r="O15753" s="6" t="str">
        <f>HYPERLINK("https://pbs.twimg.com/profile_images/962471262747529216/Uo8lOkRJ_normal.jpg","View")</f>
        <v>View</v>
      </c>
      <c r="P15753" s="7"/>
    </row>
    <row r="15754" spans="1:16">
      <c r="A15754" s="3">
        <v>44420.338842592595</v>
      </c>
      <c r="B15754" s="4" t="str">
        <f>HYPERLINK("https://twitter.com/petrogustavo","@petrogustavo")</f>
        <v>@petrogustavo</v>
      </c>
      <c r="C15754" s="5" t="s">
        <v>16</v>
      </c>
      <c r="D15754" s="5" t="s">
        <v>15167</v>
      </c>
      <c r="E15754" s="6" t="str">
        <f>HYPERLINK("https://twitter.com/petrogustavo/status/1425647712804950019","1425647712804950019")</f>
        <v>1425647712804950019</v>
      </c>
      <c r="F15754" s="7" t="s">
        <v>15152</v>
      </c>
      <c r="G15754" s="7">
        <v>4344980</v>
      </c>
      <c r="H15754" s="7">
        <v>2535</v>
      </c>
      <c r="I15754" s="7">
        <v>63</v>
      </c>
      <c r="J15754" s="7">
        <v>195</v>
      </c>
      <c r="K15754" s="7" t="s">
        <v>18</v>
      </c>
      <c r="L15754" s="8">
        <v>39987.315405092595</v>
      </c>
      <c r="M15754" s="9" t="s">
        <v>19</v>
      </c>
      <c r="N15754" s="9" t="s">
        <v>20</v>
      </c>
      <c r="O15754" s="6" t="str">
        <f>HYPERLINK("https://pbs.twimg.com/profile_images/962471262747529216/Uo8lOkRJ_normal.jpg","View")</f>
        <v>View</v>
      </c>
      <c r="P15754" s="7"/>
    </row>
    <row r="15755" spans="1:16">
      <c r="A15755" s="3">
        <v>44420.339340277773</v>
      </c>
      <c r="B15755" s="4" t="str">
        <f>HYPERLINK("https://twitter.com/petrogustavo","@petrogustavo")</f>
        <v>@petrogustavo</v>
      </c>
      <c r="C15755" s="5" t="s">
        <v>16</v>
      </c>
      <c r="D15755" s="5" t="s">
        <v>15168</v>
      </c>
      <c r="E15755" s="6" t="str">
        <f>HYPERLINK("https://twitter.com/petrogustavo/status/1425647892174356486","1425647892174356486")</f>
        <v>1425647892174356486</v>
      </c>
      <c r="F15755" s="7" t="s">
        <v>32</v>
      </c>
      <c r="G15755" s="7">
        <v>4344980</v>
      </c>
      <c r="H15755" s="7">
        <v>2535</v>
      </c>
      <c r="I15755" s="7">
        <v>52</v>
      </c>
      <c r="J15755" s="7">
        <v>0</v>
      </c>
      <c r="K15755" s="7" t="s">
        <v>18</v>
      </c>
      <c r="L15755" s="8">
        <v>39987.315405092595</v>
      </c>
      <c r="M15755" s="9" t="s">
        <v>19</v>
      </c>
      <c r="N15755" s="9" t="s">
        <v>20</v>
      </c>
      <c r="O15755" s="6" t="str">
        <f>HYPERLINK("https://pbs.twimg.com/profile_images/962471262747529216/Uo8lOkRJ_normal.jpg","View")</f>
        <v>View</v>
      </c>
      <c r="P15755" s="7"/>
    </row>
    <row r="15756" spans="1:16">
      <c r="A15756" s="3">
        <v>44420.339386574073</v>
      </c>
      <c r="B15756" s="4" t="str">
        <f>HYPERLINK("https://twitter.com/petrogustavo","@petrogustavo")</f>
        <v>@petrogustavo</v>
      </c>
      <c r="C15756" s="5" t="s">
        <v>16</v>
      </c>
      <c r="D15756" s="5" t="s">
        <v>15169</v>
      </c>
      <c r="E15756" s="6" t="str">
        <f>HYPERLINK("https://twitter.com/petrogustavo/status/1425647908020436997","1425647908020436997")</f>
        <v>1425647908020436997</v>
      </c>
      <c r="F15756" s="7" t="s">
        <v>32</v>
      </c>
      <c r="G15756" s="7">
        <v>4344980</v>
      </c>
      <c r="H15756" s="7">
        <v>2535</v>
      </c>
      <c r="I15756" s="7">
        <v>48</v>
      </c>
      <c r="J15756" s="7">
        <v>0</v>
      </c>
      <c r="K15756" s="7" t="s">
        <v>18</v>
      </c>
      <c r="L15756" s="8">
        <v>39987.315405092595</v>
      </c>
      <c r="M15756" s="9" t="s">
        <v>19</v>
      </c>
      <c r="N15756" s="9" t="s">
        <v>20</v>
      </c>
      <c r="O15756" s="6" t="str">
        <f>HYPERLINK("https://pbs.twimg.com/profile_images/962471262747529216/Uo8lOkRJ_normal.jpg","View")</f>
        <v>View</v>
      </c>
      <c r="P15756" s="7"/>
    </row>
    <row r="15757" spans="1:16">
      <c r="A15757" s="3">
        <v>44420.339432870373</v>
      </c>
      <c r="B15757" s="4" t="str">
        <f>HYPERLINK("https://twitter.com/petrogustavo","@petrogustavo")</f>
        <v>@petrogustavo</v>
      </c>
      <c r="C15757" s="5" t="s">
        <v>16</v>
      </c>
      <c r="D15757" s="5" t="s">
        <v>15170</v>
      </c>
      <c r="E15757" s="6" t="str">
        <f>HYPERLINK("https://twitter.com/petrogustavo/status/1425647925581991938","1425647925581991938")</f>
        <v>1425647925581991938</v>
      </c>
      <c r="F15757" s="7" t="s">
        <v>32</v>
      </c>
      <c r="G15757" s="7">
        <v>4344980</v>
      </c>
      <c r="H15757" s="7">
        <v>2535</v>
      </c>
      <c r="I15757" s="7">
        <v>58</v>
      </c>
      <c r="J15757" s="7">
        <v>0</v>
      </c>
      <c r="K15757" s="7" t="s">
        <v>18</v>
      </c>
      <c r="L15757" s="8">
        <v>39987.315405092595</v>
      </c>
      <c r="M15757" s="9" t="s">
        <v>19</v>
      </c>
      <c r="N15757" s="9" t="s">
        <v>20</v>
      </c>
      <c r="O15757" s="6" t="str">
        <f>HYPERLINK("https://pbs.twimg.com/profile_images/962471262747529216/Uo8lOkRJ_normal.jpg","View")</f>
        <v>View</v>
      </c>
      <c r="P15757" s="7"/>
    </row>
    <row r="15758" spans="1:16">
      <c r="A15758" s="3">
        <v>44420.339502314819</v>
      </c>
      <c r="B15758" s="4" t="str">
        <f>HYPERLINK("https://twitter.com/petrogustavo","@petrogustavo")</f>
        <v>@petrogustavo</v>
      </c>
      <c r="C15758" s="5" t="s">
        <v>16</v>
      </c>
      <c r="D15758" s="5" t="s">
        <v>15171</v>
      </c>
      <c r="E15758" s="6" t="str">
        <f>HYPERLINK("https://twitter.com/petrogustavo/status/1425647951418990592","1425647951418990592")</f>
        <v>1425647951418990592</v>
      </c>
      <c r="F15758" s="7" t="s">
        <v>32</v>
      </c>
      <c r="G15758" s="7">
        <v>4344980</v>
      </c>
      <c r="H15758" s="7">
        <v>2535</v>
      </c>
      <c r="I15758" s="7">
        <v>69</v>
      </c>
      <c r="J15758" s="7">
        <v>0</v>
      </c>
      <c r="K15758" s="7" t="s">
        <v>18</v>
      </c>
      <c r="L15758" s="8">
        <v>39987.315405092595</v>
      </c>
      <c r="M15758" s="9" t="s">
        <v>19</v>
      </c>
      <c r="N15758" s="9" t="s">
        <v>20</v>
      </c>
      <c r="O15758" s="6" t="str">
        <f>HYPERLINK("https://pbs.twimg.com/profile_images/962471262747529216/Uo8lOkRJ_normal.jpg","View")</f>
        <v>View</v>
      </c>
      <c r="P15758" s="7"/>
    </row>
    <row r="15759" spans="1:16">
      <c r="A15759" s="3">
        <v>44420.730185185181</v>
      </c>
      <c r="B15759" s="4" t="str">
        <f>HYPERLINK("https://twitter.com/petrogustavo","@petrogustavo")</f>
        <v>@petrogustavo</v>
      </c>
      <c r="C15759" s="5" t="s">
        <v>16</v>
      </c>
      <c r="D15759" s="5" t="s">
        <v>15172</v>
      </c>
      <c r="E15759" s="6" t="str">
        <f>HYPERLINK("https://twitter.com/petrogustavo/status/1425789529521377282","1425789529521377282")</f>
        <v>1425789529521377282</v>
      </c>
      <c r="F15759" s="7" t="s">
        <v>17</v>
      </c>
      <c r="G15759" s="7">
        <v>4345064</v>
      </c>
      <c r="H15759" s="7">
        <v>2535</v>
      </c>
      <c r="I15759" s="7">
        <v>116</v>
      </c>
      <c r="J15759" s="7">
        <v>453</v>
      </c>
      <c r="K15759" s="7" t="s">
        <v>18</v>
      </c>
      <c r="L15759" s="8">
        <v>39987.315405092595</v>
      </c>
      <c r="M15759" s="9" t="s">
        <v>19</v>
      </c>
      <c r="N15759" s="9" t="s">
        <v>20</v>
      </c>
      <c r="O15759" s="6" t="str">
        <f>HYPERLINK("https://pbs.twimg.com/profile_images/962471262747529216/Uo8lOkRJ_normal.jpg","View")</f>
        <v>View</v>
      </c>
      <c r="P15759" s="7"/>
    </row>
    <row r="15760" spans="1:16">
      <c r="A15760" s="3">
        <v>44420.793252314819</v>
      </c>
      <c r="B15760" s="4" t="str">
        <f>HYPERLINK("https://twitter.com/petrogustavo","@petrogustavo")</f>
        <v>@petrogustavo</v>
      </c>
      <c r="C15760" s="5" t="s">
        <v>16</v>
      </c>
      <c r="D15760" s="5" t="s">
        <v>15173</v>
      </c>
      <c r="E15760" s="6" t="str">
        <f>HYPERLINK("https://twitter.com/petrogustavo/status/1425812384795529217","1425812384795529217")</f>
        <v>1425812384795529217</v>
      </c>
      <c r="F15760" s="7" t="s">
        <v>17</v>
      </c>
      <c r="G15760" s="7">
        <v>4344361</v>
      </c>
      <c r="H15760" s="7">
        <v>2536</v>
      </c>
      <c r="I15760" s="7">
        <v>3114</v>
      </c>
      <c r="J15760" s="7">
        <v>0</v>
      </c>
      <c r="K15760" s="7" t="s">
        <v>18</v>
      </c>
      <c r="L15760" s="8">
        <v>39987.315405092595</v>
      </c>
      <c r="M15760" s="9" t="s">
        <v>19</v>
      </c>
      <c r="N15760" s="9" t="s">
        <v>20</v>
      </c>
      <c r="O15760" s="6" t="str">
        <f>HYPERLINK("https://pbs.twimg.com/profile_images/962471262747529216/Uo8lOkRJ_normal.jpg","View")</f>
        <v>View</v>
      </c>
      <c r="P15760" s="7"/>
    </row>
    <row r="15761" spans="1:16">
      <c r="A15761" s="3">
        <v>44420.794004629628</v>
      </c>
      <c r="B15761" s="4" t="str">
        <f>HYPERLINK("https://twitter.com/petrogustavo","@petrogustavo")</f>
        <v>@petrogustavo</v>
      </c>
      <c r="C15761" s="5" t="s">
        <v>16</v>
      </c>
      <c r="D15761" s="5" t="s">
        <v>15174</v>
      </c>
      <c r="E15761" s="6" t="str">
        <f>HYPERLINK("https://twitter.com/petrogustavo/status/1425812655592415237","1425812655592415237")</f>
        <v>1425812655592415237</v>
      </c>
      <c r="F15761" s="7" t="s">
        <v>17</v>
      </c>
      <c r="G15761" s="7">
        <v>4344361</v>
      </c>
      <c r="H15761" s="7">
        <v>2536</v>
      </c>
      <c r="I15761" s="7">
        <v>1036</v>
      </c>
      <c r="J15761" s="7">
        <v>0</v>
      </c>
      <c r="K15761" s="7" t="s">
        <v>18</v>
      </c>
      <c r="L15761" s="8">
        <v>39987.315405092595</v>
      </c>
      <c r="M15761" s="9" t="s">
        <v>19</v>
      </c>
      <c r="N15761" s="9" t="s">
        <v>20</v>
      </c>
      <c r="O15761" s="6" t="str">
        <f>HYPERLINK("https://pbs.twimg.com/profile_images/962471262747529216/Uo8lOkRJ_normal.jpg","View")</f>
        <v>View</v>
      </c>
      <c r="P15761" s="7"/>
    </row>
    <row r="15762" spans="1:16">
      <c r="A15762" s="3">
        <v>44420.814803240741</v>
      </c>
      <c r="B15762" s="4" t="str">
        <f>HYPERLINK("https://twitter.com/petrogustavo","@petrogustavo")</f>
        <v>@petrogustavo</v>
      </c>
      <c r="C15762" s="5" t="s">
        <v>16</v>
      </c>
      <c r="D15762" s="5" t="s">
        <v>15175</v>
      </c>
      <c r="E15762" s="6" t="str">
        <f>HYPERLINK("https://twitter.com/petrogustavo/status/1425820195386544129","1425820195386544129")</f>
        <v>1425820195386544129</v>
      </c>
      <c r="F15762" s="7" t="s">
        <v>32</v>
      </c>
      <c r="G15762" s="7">
        <v>4344380</v>
      </c>
      <c r="H15762" s="7">
        <v>2536</v>
      </c>
      <c r="I15762" s="7">
        <v>89</v>
      </c>
      <c r="J15762" s="7">
        <v>190</v>
      </c>
      <c r="K15762" s="7" t="s">
        <v>18</v>
      </c>
      <c r="L15762" s="8">
        <v>39987.315405092595</v>
      </c>
      <c r="M15762" s="9" t="s">
        <v>19</v>
      </c>
      <c r="N15762" s="9" t="s">
        <v>20</v>
      </c>
      <c r="O15762" s="6" t="str">
        <f>HYPERLINK("https://pbs.twimg.com/profile_images/962471262747529216/Uo8lOkRJ_normal.jpg","View")</f>
        <v>View</v>
      </c>
      <c r="P15762" s="7"/>
    </row>
    <row r="15763" spans="1:16">
      <c r="A15763" s="3">
        <v>44420.816076388888</v>
      </c>
      <c r="B15763" s="4" t="str">
        <f>HYPERLINK("https://twitter.com/petrogustavo","@petrogustavo")</f>
        <v>@petrogustavo</v>
      </c>
      <c r="C15763" s="5" t="s">
        <v>16</v>
      </c>
      <c r="D15763" s="5" t="s">
        <v>15176</v>
      </c>
      <c r="E15763" s="6" t="str">
        <f>HYPERLINK("https://twitter.com/petrogustavo/status/1425820654352224275","1425820654352224275")</f>
        <v>1425820654352224275</v>
      </c>
      <c r="F15763" s="7" t="s">
        <v>32</v>
      </c>
      <c r="G15763" s="7">
        <v>4344380</v>
      </c>
      <c r="H15763" s="7">
        <v>2536</v>
      </c>
      <c r="I15763" s="7">
        <v>503</v>
      </c>
      <c r="J15763" s="7">
        <v>0</v>
      </c>
      <c r="K15763" s="7" t="s">
        <v>18</v>
      </c>
      <c r="L15763" s="8">
        <v>39987.315405092595</v>
      </c>
      <c r="M15763" s="9" t="s">
        <v>19</v>
      </c>
      <c r="N15763" s="9" t="s">
        <v>20</v>
      </c>
      <c r="O15763" s="6" t="str">
        <f>HYPERLINK("https://pbs.twimg.com/profile_images/962471262747529216/Uo8lOkRJ_normal.jpg","View")</f>
        <v>View</v>
      </c>
      <c r="P15763" s="7"/>
    </row>
    <row r="15764" spans="1:16">
      <c r="A15764" s="3">
        <v>44420.816238425927</v>
      </c>
      <c r="B15764" s="4" t="str">
        <f>HYPERLINK("https://twitter.com/petrogustavo","@petrogustavo")</f>
        <v>@petrogustavo</v>
      </c>
      <c r="C15764" s="5" t="s">
        <v>16</v>
      </c>
      <c r="D15764" s="5" t="s">
        <v>15168</v>
      </c>
      <c r="E15764" s="6" t="str">
        <f>HYPERLINK("https://twitter.com/petrogustavo/status/1425820714372796428","1425820714372796428")</f>
        <v>1425820714372796428</v>
      </c>
      <c r="F15764" s="7" t="s">
        <v>32</v>
      </c>
      <c r="G15764" s="7">
        <v>4344380</v>
      </c>
      <c r="H15764" s="7">
        <v>2536</v>
      </c>
      <c r="I15764" s="7">
        <v>266</v>
      </c>
      <c r="J15764" s="7">
        <v>0</v>
      </c>
      <c r="K15764" s="7" t="s">
        <v>18</v>
      </c>
      <c r="L15764" s="8">
        <v>39987.315405092595</v>
      </c>
      <c r="M15764" s="9" t="s">
        <v>19</v>
      </c>
      <c r="N15764" s="9" t="s">
        <v>20</v>
      </c>
      <c r="O15764" s="6" t="str">
        <f>HYPERLINK("https://pbs.twimg.com/profile_images/962471262747529216/Uo8lOkRJ_normal.jpg","View")</f>
        <v>View</v>
      </c>
      <c r="P15764" s="7"/>
    </row>
    <row r="15765" spans="1:16">
      <c r="A15765" s="3">
        <v>44420.816400462965</v>
      </c>
      <c r="B15765" s="4" t="str">
        <f>HYPERLINK("https://twitter.com/petrogustavo","@petrogustavo")</f>
        <v>@petrogustavo</v>
      </c>
      <c r="C15765" s="5" t="s">
        <v>16</v>
      </c>
      <c r="D15765" s="5" t="s">
        <v>15169</v>
      </c>
      <c r="E15765" s="6" t="str">
        <f>HYPERLINK("https://twitter.com/petrogustavo/status/1425820774577758222","1425820774577758222")</f>
        <v>1425820774577758222</v>
      </c>
      <c r="F15765" s="7" t="s">
        <v>32</v>
      </c>
      <c r="G15765" s="7">
        <v>4344380</v>
      </c>
      <c r="H15765" s="7">
        <v>2536</v>
      </c>
      <c r="I15765" s="7">
        <v>203</v>
      </c>
      <c r="J15765" s="7">
        <v>0</v>
      </c>
      <c r="K15765" s="7" t="s">
        <v>18</v>
      </c>
      <c r="L15765" s="8">
        <v>39987.315405092595</v>
      </c>
      <c r="M15765" s="9" t="s">
        <v>19</v>
      </c>
      <c r="N15765" s="9" t="s">
        <v>20</v>
      </c>
      <c r="O15765" s="6" t="str">
        <f>HYPERLINK("https://pbs.twimg.com/profile_images/962471262747529216/Uo8lOkRJ_normal.jpg","View")</f>
        <v>View</v>
      </c>
      <c r="P15765" s="7"/>
    </row>
    <row r="15766" spans="1:16">
      <c r="A15766" s="3">
        <v>44420.81653935185</v>
      </c>
      <c r="B15766" s="4" t="str">
        <f>HYPERLINK("https://twitter.com/petrogustavo","@petrogustavo")</f>
        <v>@petrogustavo</v>
      </c>
      <c r="C15766" s="5" t="s">
        <v>16</v>
      </c>
      <c r="D15766" s="5" t="s">
        <v>15170</v>
      </c>
      <c r="E15766" s="6" t="str">
        <f>HYPERLINK("https://twitter.com/petrogustavo/status/1425820822636089355","1425820822636089355")</f>
        <v>1425820822636089355</v>
      </c>
      <c r="F15766" s="7" t="s">
        <v>32</v>
      </c>
      <c r="G15766" s="7">
        <v>4344380</v>
      </c>
      <c r="H15766" s="7">
        <v>2536</v>
      </c>
      <c r="I15766" s="7">
        <v>266</v>
      </c>
      <c r="J15766" s="7">
        <v>0</v>
      </c>
      <c r="K15766" s="7" t="s">
        <v>18</v>
      </c>
      <c r="L15766" s="8">
        <v>39987.315405092595</v>
      </c>
      <c r="M15766" s="9" t="s">
        <v>19</v>
      </c>
      <c r="N15766" s="9" t="s">
        <v>20</v>
      </c>
      <c r="O15766" s="6" t="str">
        <f>HYPERLINK("https://pbs.twimg.com/profile_images/962471262747529216/Uo8lOkRJ_normal.jpg","View")</f>
        <v>View</v>
      </c>
      <c r="P15766" s="7"/>
    </row>
    <row r="15767" spans="1:16">
      <c r="A15767" s="3">
        <v>44420.816747685181</v>
      </c>
      <c r="B15767" s="4" t="str">
        <f>HYPERLINK("https://twitter.com/petrogustavo","@petrogustavo")</f>
        <v>@petrogustavo</v>
      </c>
      <c r="C15767" s="5" t="s">
        <v>16</v>
      </c>
      <c r="D15767" s="5" t="s">
        <v>15171</v>
      </c>
      <c r="E15767" s="6" t="str">
        <f>HYPERLINK("https://twitter.com/petrogustavo/status/1425820901237395461","1425820901237395461")</f>
        <v>1425820901237395461</v>
      </c>
      <c r="F15767" s="7" t="s">
        <v>32</v>
      </c>
      <c r="G15767" s="7">
        <v>4344380</v>
      </c>
      <c r="H15767" s="7">
        <v>2536</v>
      </c>
      <c r="I15767" s="7">
        <v>324</v>
      </c>
      <c r="J15767" s="7">
        <v>0</v>
      </c>
      <c r="K15767" s="7" t="s">
        <v>18</v>
      </c>
      <c r="L15767" s="8">
        <v>39987.315405092595</v>
      </c>
      <c r="M15767" s="9" t="s">
        <v>19</v>
      </c>
      <c r="N15767" s="9" t="s">
        <v>20</v>
      </c>
      <c r="O15767" s="6" t="str">
        <f>HYPERLINK("https://pbs.twimg.com/profile_images/962471262747529216/Uo8lOkRJ_normal.jpg","View")</f>
        <v>View</v>
      </c>
      <c r="P15767" s="7"/>
    </row>
    <row r="15768" spans="1:16">
      <c r="A15768" s="3">
        <v>44420.854675925926</v>
      </c>
      <c r="B15768" s="4" t="str">
        <f>HYPERLINK("https://twitter.com/petrogustavo","@petrogustavo")</f>
        <v>@petrogustavo</v>
      </c>
      <c r="C15768" s="5" t="s">
        <v>16</v>
      </c>
      <c r="D15768" s="5" t="s">
        <v>15177</v>
      </c>
      <c r="E15768" s="6" t="str">
        <f>HYPERLINK("https://twitter.com/petrogustavo/status/1425834645959057413","1425834645959057413")</f>
        <v>1425834645959057413</v>
      </c>
      <c r="F15768" s="7" t="s">
        <v>32</v>
      </c>
      <c r="G15768" s="7">
        <v>4345134</v>
      </c>
      <c r="H15768" s="7">
        <v>2535</v>
      </c>
      <c r="I15768" s="7">
        <v>233</v>
      </c>
      <c r="J15768" s="7">
        <v>0</v>
      </c>
      <c r="K15768" s="7" t="s">
        <v>18</v>
      </c>
      <c r="L15768" s="8">
        <v>39987.315405092595</v>
      </c>
      <c r="M15768" s="9" t="s">
        <v>19</v>
      </c>
      <c r="N15768" s="9" t="s">
        <v>20</v>
      </c>
      <c r="O15768" s="6" t="str">
        <f>HYPERLINK("https://pbs.twimg.com/profile_images/962471262747529216/Uo8lOkRJ_normal.jpg","View")</f>
        <v>View</v>
      </c>
      <c r="P15768" s="7"/>
    </row>
    <row r="15769" spans="1:16">
      <c r="A15769" s="3">
        <v>44421.017245370371</v>
      </c>
      <c r="B15769" s="4" t="str">
        <f>HYPERLINK("https://twitter.com/petrogustavo","@petrogustavo")</f>
        <v>@petrogustavo</v>
      </c>
      <c r="C15769" s="5" t="s">
        <v>16</v>
      </c>
      <c r="D15769" s="5" t="s">
        <v>15178</v>
      </c>
      <c r="E15769" s="6" t="str">
        <f>HYPERLINK("https://twitter.com/petrogustavo/status/1425893555105636359","1425893555105636359")</f>
        <v>1425893555105636359</v>
      </c>
      <c r="F15769" s="7" t="s">
        <v>17</v>
      </c>
      <c r="G15769" s="7">
        <v>4345300</v>
      </c>
      <c r="H15769" s="7">
        <v>2535</v>
      </c>
      <c r="I15769" s="7">
        <v>89</v>
      </c>
      <c r="J15769" s="7">
        <v>249</v>
      </c>
      <c r="K15769" s="7" t="s">
        <v>18</v>
      </c>
      <c r="L15769" s="8">
        <v>39987.315405092595</v>
      </c>
      <c r="M15769" s="9" t="s">
        <v>19</v>
      </c>
      <c r="N15769" s="9" t="s">
        <v>20</v>
      </c>
      <c r="O15769" s="6" t="str">
        <f>HYPERLINK("https://pbs.twimg.com/profile_images/962471262747529216/Uo8lOkRJ_normal.jpg","View")</f>
        <v>View</v>
      </c>
      <c r="P15769" s="7"/>
    </row>
    <row r="15770" spans="1:16">
      <c r="A15770" s="3">
        <v>44421.08666666667</v>
      </c>
      <c r="B15770" s="4" t="str">
        <f>HYPERLINK("https://twitter.com/petrogustavo","@petrogustavo")</f>
        <v>@petrogustavo</v>
      </c>
      <c r="C15770" s="5" t="s">
        <v>16</v>
      </c>
      <c r="D15770" s="5" t="s">
        <v>15179</v>
      </c>
      <c r="E15770" s="6" t="str">
        <f>HYPERLINK("https://twitter.com/petrogustavo/status/1425918716328415238","1425918716328415238")</f>
        <v>1425918716328415238</v>
      </c>
      <c r="F15770" s="7" t="s">
        <v>32</v>
      </c>
      <c r="G15770" s="7">
        <v>4345348</v>
      </c>
      <c r="H15770" s="7">
        <v>2535</v>
      </c>
      <c r="I15770" s="7">
        <v>96</v>
      </c>
      <c r="J15770" s="7">
        <v>0</v>
      </c>
      <c r="K15770" s="7" t="s">
        <v>18</v>
      </c>
      <c r="L15770" s="8">
        <v>39987.315405092595</v>
      </c>
      <c r="M15770" s="9" t="s">
        <v>19</v>
      </c>
      <c r="N15770" s="9" t="s">
        <v>20</v>
      </c>
      <c r="O15770" s="6" t="str">
        <f>HYPERLINK("https://pbs.twimg.com/profile_images/962471262747529216/Uo8lOkRJ_normal.jpg","View")</f>
        <v>View</v>
      </c>
      <c r="P15770" s="7"/>
    </row>
    <row r="15771" spans="1:16">
      <c r="A15771" s="3">
        <v>44421.088217592594</v>
      </c>
      <c r="B15771" s="4" t="str">
        <f>HYPERLINK("https://twitter.com/petrogustavo","@petrogustavo")</f>
        <v>@petrogustavo</v>
      </c>
      <c r="C15771" s="5" t="s">
        <v>16</v>
      </c>
      <c r="D15771" s="5" t="s">
        <v>15180</v>
      </c>
      <c r="E15771" s="6" t="str">
        <f>HYPERLINK("https://twitter.com/petrogustavo/status/1425919276549132291","1425919276549132291")</f>
        <v>1425919276549132291</v>
      </c>
      <c r="F15771" s="7" t="s">
        <v>32</v>
      </c>
      <c r="G15771" s="7">
        <v>4345348</v>
      </c>
      <c r="H15771" s="7">
        <v>2535</v>
      </c>
      <c r="I15771" s="7">
        <v>554</v>
      </c>
      <c r="J15771" s="7">
        <v>1888</v>
      </c>
      <c r="K15771" s="7" t="s">
        <v>18</v>
      </c>
      <c r="L15771" s="8">
        <v>39987.315405092595</v>
      </c>
      <c r="M15771" s="9" t="s">
        <v>19</v>
      </c>
      <c r="N15771" s="9" t="s">
        <v>20</v>
      </c>
      <c r="O15771" s="6" t="str">
        <f>HYPERLINK("https://pbs.twimg.com/profile_images/962471262747529216/Uo8lOkRJ_normal.jpg","View")</f>
        <v>View</v>
      </c>
      <c r="P15771" s="7"/>
    </row>
    <row r="15772" spans="1:16">
      <c r="A15772" s="3">
        <v>44421.213506944448</v>
      </c>
      <c r="B15772" s="4" t="str">
        <f>HYPERLINK("https://twitter.com/petrogustavo","@petrogustavo")</f>
        <v>@petrogustavo</v>
      </c>
      <c r="C15772" s="5" t="s">
        <v>16</v>
      </c>
      <c r="D15772" s="5" t="s">
        <v>15181</v>
      </c>
      <c r="E15772" s="6" t="str">
        <f>HYPERLINK("https://twitter.com/petrogustavo/status/1425964678497325059","1425964678497325059")</f>
        <v>1425964678497325059</v>
      </c>
      <c r="F15772" s="7" t="s">
        <v>17</v>
      </c>
      <c r="G15772" s="7">
        <v>4345508</v>
      </c>
      <c r="H15772" s="7">
        <v>2535</v>
      </c>
      <c r="I15772" s="7">
        <v>641</v>
      </c>
      <c r="J15772" s="7">
        <v>0</v>
      </c>
      <c r="K15772" s="7" t="s">
        <v>18</v>
      </c>
      <c r="L15772" s="8">
        <v>39987.315405092595</v>
      </c>
      <c r="M15772" s="9" t="s">
        <v>19</v>
      </c>
      <c r="N15772" s="9" t="s">
        <v>20</v>
      </c>
      <c r="O15772" s="6" t="str">
        <f>HYPERLINK("https://pbs.twimg.com/profile_images/962471262747529216/Uo8lOkRJ_normal.jpg","View")</f>
        <v>View</v>
      </c>
      <c r="P15772" s="7"/>
    </row>
    <row r="15773" spans="1:16">
      <c r="A15773" s="3">
        <v>44421.278298611112</v>
      </c>
      <c r="B15773" s="4" t="str">
        <f>HYPERLINK("https://twitter.com/petrogustavo","@petrogustavo")</f>
        <v>@petrogustavo</v>
      </c>
      <c r="C15773" s="5" t="s">
        <v>16</v>
      </c>
      <c r="D15773" s="5" t="s">
        <v>15182</v>
      </c>
      <c r="E15773" s="6" t="str">
        <f>HYPERLINK("https://twitter.com/petrogustavo/status/1425988160597766150","1425988160597766150")</f>
        <v>1425988160597766150</v>
      </c>
      <c r="F15773" s="7" t="s">
        <v>17</v>
      </c>
      <c r="G15773" s="7">
        <v>4345624</v>
      </c>
      <c r="H15773" s="7">
        <v>2535</v>
      </c>
      <c r="I15773" s="7">
        <v>48</v>
      </c>
      <c r="J15773" s="7">
        <v>0</v>
      </c>
      <c r="K15773" s="7" t="s">
        <v>18</v>
      </c>
      <c r="L15773" s="8">
        <v>39987.315405092595</v>
      </c>
      <c r="M15773" s="9" t="s">
        <v>19</v>
      </c>
      <c r="N15773" s="9" t="s">
        <v>20</v>
      </c>
      <c r="O15773" s="6" t="str">
        <f>HYPERLINK("https://pbs.twimg.com/profile_images/962471262747529216/Uo8lOkRJ_normal.jpg","View")</f>
        <v>View</v>
      </c>
      <c r="P15773" s="7"/>
    </row>
    <row r="15774" spans="1:16">
      <c r="A15774" s="3">
        <v>44421.281921296293</v>
      </c>
      <c r="B15774" s="4" t="str">
        <f>HYPERLINK("https://twitter.com/petrogustavo","@petrogustavo")</f>
        <v>@petrogustavo</v>
      </c>
      <c r="C15774" s="5" t="s">
        <v>16</v>
      </c>
      <c r="D15774" s="5" t="s">
        <v>15183</v>
      </c>
      <c r="E15774" s="6" t="str">
        <f>HYPERLINK("https://twitter.com/petrogustavo/status/1425989471145705477","1425989471145705477")</f>
        <v>1425989471145705477</v>
      </c>
      <c r="F15774" s="7" t="s">
        <v>17</v>
      </c>
      <c r="G15774" s="7">
        <v>4345624</v>
      </c>
      <c r="H15774" s="7">
        <v>2535</v>
      </c>
      <c r="I15774" s="7">
        <v>42</v>
      </c>
      <c r="J15774" s="7">
        <v>82</v>
      </c>
      <c r="K15774" s="7" t="s">
        <v>18</v>
      </c>
      <c r="L15774" s="8">
        <v>39987.315405092595</v>
      </c>
      <c r="M15774" s="9" t="s">
        <v>19</v>
      </c>
      <c r="N15774" s="9" t="s">
        <v>20</v>
      </c>
      <c r="O15774" s="6" t="str">
        <f>HYPERLINK("https://pbs.twimg.com/profile_images/962471262747529216/Uo8lOkRJ_normal.jpg","View")</f>
        <v>View</v>
      </c>
      <c r="P15774" s="7"/>
    </row>
    <row r="15775" spans="1:16">
      <c r="A15775" s="3">
        <v>44421.334953703699</v>
      </c>
      <c r="B15775" s="4" t="str">
        <f>HYPERLINK("https://twitter.com/petrogustavo","@petrogustavo")</f>
        <v>@petrogustavo</v>
      </c>
      <c r="C15775" s="5" t="s">
        <v>16</v>
      </c>
      <c r="D15775" s="5" t="s">
        <v>15184</v>
      </c>
      <c r="E15775" s="6" t="str">
        <f>HYPERLINK("https://twitter.com/petrogustavo/status/1426008689606025220","1426008689606025220")</f>
        <v>1426008689606025220</v>
      </c>
      <c r="F15775" s="7" t="s">
        <v>17</v>
      </c>
      <c r="G15775" s="7">
        <v>4345736</v>
      </c>
      <c r="H15775" s="7">
        <v>2535</v>
      </c>
      <c r="I15775" s="7">
        <v>53</v>
      </c>
      <c r="J15775" s="7">
        <v>0</v>
      </c>
      <c r="K15775" s="7" t="s">
        <v>18</v>
      </c>
      <c r="L15775" s="8">
        <v>39987.315405092595</v>
      </c>
      <c r="M15775" s="9" t="s">
        <v>19</v>
      </c>
      <c r="N15775" s="9" t="s">
        <v>20</v>
      </c>
      <c r="O15775" s="6" t="str">
        <f>HYPERLINK("https://pbs.twimg.com/profile_images/962471262747529216/Uo8lOkRJ_normal.jpg","View")</f>
        <v>View</v>
      </c>
      <c r="P15775" s="7"/>
    </row>
    <row r="15776" spans="1:16">
      <c r="A15776" s="3">
        <v>44421.378912037035</v>
      </c>
      <c r="B15776" s="4" t="str">
        <f>HYPERLINK("https://twitter.com/petrogustavo","@petrogustavo")</f>
        <v>@petrogustavo</v>
      </c>
      <c r="C15776" s="5" t="s">
        <v>16</v>
      </c>
      <c r="D15776" s="5" t="s">
        <v>15185</v>
      </c>
      <c r="E15776" s="6" t="str">
        <f>HYPERLINK("https://twitter.com/petrogustavo/status/1426024620554084356","1426024620554084356")</f>
        <v>1426024620554084356</v>
      </c>
      <c r="F15776" s="7" t="s">
        <v>17</v>
      </c>
      <c r="G15776" s="7">
        <v>4345765</v>
      </c>
      <c r="H15776" s="7">
        <v>2535</v>
      </c>
      <c r="I15776" s="7">
        <v>137</v>
      </c>
      <c r="J15776" s="7">
        <v>499</v>
      </c>
      <c r="K15776" s="7" t="s">
        <v>18</v>
      </c>
      <c r="L15776" s="8">
        <v>39987.315405092595</v>
      </c>
      <c r="M15776" s="9" t="s">
        <v>19</v>
      </c>
      <c r="N15776" s="9" t="s">
        <v>20</v>
      </c>
      <c r="O15776" s="6" t="str">
        <f>HYPERLINK("https://pbs.twimg.com/profile_images/962471262747529216/Uo8lOkRJ_normal.jpg","View")</f>
        <v>View</v>
      </c>
      <c r="P15776" s="7"/>
    </row>
    <row r="15777" spans="1:16">
      <c r="A15777" s="3">
        <v>44421.775821759264</v>
      </c>
      <c r="B15777" s="4" t="str">
        <f>HYPERLINK("https://twitter.com/petrogustavo","@petrogustavo")</f>
        <v>@petrogustavo</v>
      </c>
      <c r="C15777" s="5" t="s">
        <v>16</v>
      </c>
      <c r="D15777" s="5" t="s">
        <v>15186</v>
      </c>
      <c r="E15777" s="6" t="str">
        <f>HYPERLINK("https://twitter.com/petrogustavo/status/1426168454730616837","1426168454730616837")</f>
        <v>1426168454730616837</v>
      </c>
      <c r="F15777" s="7" t="s">
        <v>17</v>
      </c>
      <c r="G15777" s="7">
        <v>4345986</v>
      </c>
      <c r="H15777" s="7">
        <v>2535</v>
      </c>
      <c r="I15777" s="7">
        <v>368</v>
      </c>
      <c r="J15777" s="7">
        <v>1419</v>
      </c>
      <c r="K15777" s="7" t="s">
        <v>18</v>
      </c>
      <c r="L15777" s="8">
        <v>39987.315405092595</v>
      </c>
      <c r="M15777" s="9" t="s">
        <v>19</v>
      </c>
      <c r="N15777" s="9" t="s">
        <v>20</v>
      </c>
      <c r="O15777" s="6" t="str">
        <f>HYPERLINK("https://pbs.twimg.com/profile_images/962471262747529216/Uo8lOkRJ_normal.jpg","View")</f>
        <v>View</v>
      </c>
      <c r="P15777" s="7"/>
    </row>
    <row r="15778" spans="1:16">
      <c r="A15778" s="3">
        <v>44422.03361111111</v>
      </c>
      <c r="B15778" s="4" t="str">
        <f>HYPERLINK("https://twitter.com/petrogustavo","@petrogustavo")</f>
        <v>@petrogustavo</v>
      </c>
      <c r="C15778" s="5" t="s">
        <v>16</v>
      </c>
      <c r="D15778" s="5" t="s">
        <v>15187</v>
      </c>
      <c r="E15778" s="6" t="str">
        <f>HYPERLINK("https://twitter.com/petrogustavo/status/1426261876678316035","1426261876678316035")</f>
        <v>1426261876678316035</v>
      </c>
      <c r="F15778" s="7" t="s">
        <v>17</v>
      </c>
      <c r="G15778" s="7">
        <v>4346266</v>
      </c>
      <c r="H15778" s="7">
        <v>2535</v>
      </c>
      <c r="I15778" s="7">
        <v>193</v>
      </c>
      <c r="J15778" s="7">
        <v>695</v>
      </c>
      <c r="K15778" s="7" t="s">
        <v>18</v>
      </c>
      <c r="L15778" s="8">
        <v>39987.315405092595</v>
      </c>
      <c r="M15778" s="9" t="s">
        <v>19</v>
      </c>
      <c r="N15778" s="9" t="s">
        <v>20</v>
      </c>
      <c r="O15778" s="6" t="str">
        <f>HYPERLINK("https://pbs.twimg.com/profile_images/962471262747529216/Uo8lOkRJ_normal.jpg","View")</f>
        <v>View</v>
      </c>
      <c r="P15778" s="7"/>
    </row>
    <row r="15779" spans="1:16">
      <c r="A15779" s="3">
        <v>44422.221956018519</v>
      </c>
      <c r="B15779" s="4" t="str">
        <f>HYPERLINK("https://twitter.com/petrogustavo","@petrogustavo")</f>
        <v>@petrogustavo</v>
      </c>
      <c r="C15779" s="5" t="s">
        <v>16</v>
      </c>
      <c r="D15779" s="5" t="s">
        <v>15188</v>
      </c>
      <c r="E15779" s="6" t="str">
        <f>HYPERLINK("https://twitter.com/petrogustavo/status/1426330128615972867","1426330128615972867")</f>
        <v>1426330128615972867</v>
      </c>
      <c r="F15779" s="7" t="s">
        <v>17</v>
      </c>
      <c r="G15779" s="7">
        <v>4346397</v>
      </c>
      <c r="H15779" s="7">
        <v>2534</v>
      </c>
      <c r="I15779" s="7">
        <v>4040</v>
      </c>
      <c r="J15779" s="7">
        <v>0</v>
      </c>
      <c r="K15779" s="7" t="s">
        <v>18</v>
      </c>
      <c r="L15779" s="8">
        <v>39987.315405092595</v>
      </c>
      <c r="M15779" s="9" t="s">
        <v>19</v>
      </c>
      <c r="N15779" s="9" t="s">
        <v>20</v>
      </c>
      <c r="O15779" s="6" t="str">
        <f>HYPERLINK("https://pbs.twimg.com/profile_images/962471262747529216/Uo8lOkRJ_normal.jpg","View")</f>
        <v>View</v>
      </c>
      <c r="P15779" s="7"/>
    </row>
    <row r="15780" spans="1:16">
      <c r="A15780" s="3">
        <v>44422.264965277776</v>
      </c>
      <c r="B15780" s="4" t="str">
        <f>HYPERLINK("https://twitter.com/petrogustavo","@petrogustavo")</f>
        <v>@petrogustavo</v>
      </c>
      <c r="C15780" s="5" t="s">
        <v>16</v>
      </c>
      <c r="D15780" s="5" t="s">
        <v>15189</v>
      </c>
      <c r="E15780" s="6" t="str">
        <f>HYPERLINK("https://twitter.com/petrogustavo/status/1426345715656273920","1426345715656273920")</f>
        <v>1426345715656273920</v>
      </c>
      <c r="F15780" s="7" t="s">
        <v>17</v>
      </c>
      <c r="G15780" s="7">
        <v>4346439</v>
      </c>
      <c r="H15780" s="7">
        <v>2534</v>
      </c>
      <c r="I15780" s="7">
        <v>347</v>
      </c>
      <c r="J15780" s="7">
        <v>929</v>
      </c>
      <c r="K15780" s="7" t="s">
        <v>18</v>
      </c>
      <c r="L15780" s="8">
        <v>39987.315405092595</v>
      </c>
      <c r="M15780" s="9" t="s">
        <v>19</v>
      </c>
      <c r="N15780" s="9" t="s">
        <v>20</v>
      </c>
      <c r="O15780" s="6" t="str">
        <f>HYPERLINK("https://pbs.twimg.com/profile_images/962471262747529216/Uo8lOkRJ_normal.jpg","View")</f>
        <v>View</v>
      </c>
      <c r="P15780" s="7"/>
    </row>
    <row r="15781" spans="1:16">
      <c r="A15781" s="3">
        <v>44422.313541666663</v>
      </c>
      <c r="B15781" s="4" t="str">
        <f>HYPERLINK("https://twitter.com/petrogustavo","@petrogustavo")</f>
        <v>@petrogustavo</v>
      </c>
      <c r="C15781" s="5" t="s">
        <v>16</v>
      </c>
      <c r="D15781" s="5" t="s">
        <v>15190</v>
      </c>
      <c r="E15781" s="6" t="str">
        <f>HYPERLINK("https://twitter.com/petrogustavo/status/1426363318768390154","1426363318768390154")</f>
        <v>1426363318768390154</v>
      </c>
      <c r="F15781" s="7" t="s">
        <v>17</v>
      </c>
      <c r="G15781" s="7">
        <v>4346485</v>
      </c>
      <c r="H15781" s="7">
        <v>2534</v>
      </c>
      <c r="I15781" s="7">
        <v>201</v>
      </c>
      <c r="J15781" s="7">
        <v>0</v>
      </c>
      <c r="K15781" s="7" t="s">
        <v>18</v>
      </c>
      <c r="L15781" s="8">
        <v>39987.315405092595</v>
      </c>
      <c r="M15781" s="9" t="s">
        <v>19</v>
      </c>
      <c r="N15781" s="9" t="s">
        <v>20</v>
      </c>
      <c r="O15781" s="6" t="str">
        <f>HYPERLINK("https://pbs.twimg.com/profile_images/962471262747529216/Uo8lOkRJ_normal.jpg","View")</f>
        <v>View</v>
      </c>
      <c r="P15781" s="7"/>
    </row>
    <row r="15782" spans="1:16">
      <c r="A15782" s="3">
        <v>44422.339560185181</v>
      </c>
      <c r="B15782" s="4" t="str">
        <f>HYPERLINK("https://twitter.com/petrogustavo","@petrogustavo")</f>
        <v>@petrogustavo</v>
      </c>
      <c r="C15782" s="5" t="s">
        <v>16</v>
      </c>
      <c r="D15782" s="5" t="s">
        <v>15191</v>
      </c>
      <c r="E15782" s="6" t="str">
        <f>HYPERLINK("https://twitter.com/petrogustavo/status/1426372746343239684","1426372746343239684")</f>
        <v>1426372746343239684</v>
      </c>
      <c r="F15782" s="7" t="s">
        <v>17</v>
      </c>
      <c r="G15782" s="7">
        <v>4346500</v>
      </c>
      <c r="H15782" s="7">
        <v>2535</v>
      </c>
      <c r="I15782" s="7">
        <v>862</v>
      </c>
      <c r="J15782" s="7">
        <v>0</v>
      </c>
      <c r="K15782" s="7" t="s">
        <v>18</v>
      </c>
      <c r="L15782" s="8">
        <v>39987.315405092595</v>
      </c>
      <c r="M15782" s="9" t="s">
        <v>19</v>
      </c>
      <c r="N15782" s="9" t="s">
        <v>20</v>
      </c>
      <c r="O15782" s="6" t="str">
        <f>HYPERLINK("https://pbs.twimg.com/profile_images/962471262747529216/Uo8lOkRJ_normal.jpg","View")</f>
        <v>View</v>
      </c>
      <c r="P15782" s="7"/>
    </row>
    <row r="15783" spans="1:16">
      <c r="A15783" s="3">
        <v>44422.341828703706</v>
      </c>
      <c r="B15783" s="4" t="str">
        <f>HYPERLINK("https://twitter.com/petrogustavo","@petrogustavo")</f>
        <v>@petrogustavo</v>
      </c>
      <c r="C15783" s="5" t="s">
        <v>16</v>
      </c>
      <c r="D15783" s="5" t="s">
        <v>15192</v>
      </c>
      <c r="E15783" s="6" t="str">
        <f>HYPERLINK("https://twitter.com/petrogustavo/status/1426373569722847240","1426373569722847240")</f>
        <v>1426373569722847240</v>
      </c>
      <c r="F15783" s="7" t="s">
        <v>17</v>
      </c>
      <c r="G15783" s="7">
        <v>4346500</v>
      </c>
      <c r="H15783" s="7">
        <v>2535</v>
      </c>
      <c r="I15783" s="7">
        <v>48</v>
      </c>
      <c r="J15783" s="7">
        <v>251</v>
      </c>
      <c r="K15783" s="7" t="s">
        <v>18</v>
      </c>
      <c r="L15783" s="8">
        <v>39987.315405092595</v>
      </c>
      <c r="M15783" s="9" t="s">
        <v>19</v>
      </c>
      <c r="N15783" s="9" t="s">
        <v>20</v>
      </c>
      <c r="O15783" s="6" t="str">
        <f>HYPERLINK("https://pbs.twimg.com/profile_images/962471262747529216/Uo8lOkRJ_normal.jpg","View")</f>
        <v>View</v>
      </c>
      <c r="P15783" s="7"/>
    </row>
    <row r="15784" spans="1:16">
      <c r="A15784" s="3">
        <v>44422.697719907403</v>
      </c>
      <c r="B15784" s="4" t="str">
        <f>HYPERLINK("https://twitter.com/petrogustavo","@petrogustavo")</f>
        <v>@petrogustavo</v>
      </c>
      <c r="C15784" s="5" t="s">
        <v>16</v>
      </c>
      <c r="D15784" s="5" t="s">
        <v>15193</v>
      </c>
      <c r="E15784" s="6" t="str">
        <f>HYPERLINK("https://twitter.com/petrogustavo/status/1426502541102231557","1426502541102231557")</f>
        <v>1426502541102231557</v>
      </c>
      <c r="F15784" s="7" t="s">
        <v>17</v>
      </c>
      <c r="G15784" s="7">
        <v>4346618</v>
      </c>
      <c r="H15784" s="7">
        <v>2535</v>
      </c>
      <c r="I15784" s="7">
        <v>18</v>
      </c>
      <c r="J15784" s="7">
        <v>51</v>
      </c>
      <c r="K15784" s="7" t="s">
        <v>18</v>
      </c>
      <c r="L15784" s="8">
        <v>39987.315405092595</v>
      </c>
      <c r="M15784" s="9" t="s">
        <v>19</v>
      </c>
      <c r="N15784" s="9" t="s">
        <v>20</v>
      </c>
      <c r="O15784" s="6" t="str">
        <f>HYPERLINK("https://pbs.twimg.com/profile_images/962471262747529216/Uo8lOkRJ_normal.jpg","View")</f>
        <v>View</v>
      </c>
      <c r="P15784" s="7"/>
    </row>
    <row r="15785" spans="1:16">
      <c r="A15785" s="3">
        <v>44422.787048611106</v>
      </c>
      <c r="B15785" s="4" t="str">
        <f>HYPERLINK("https://twitter.com/petrogustavo","@petrogustavo")</f>
        <v>@petrogustavo</v>
      </c>
      <c r="C15785" s="5" t="s">
        <v>16</v>
      </c>
      <c r="D15785" s="5" t="s">
        <v>15194</v>
      </c>
      <c r="E15785" s="6" t="str">
        <f>HYPERLINK("https://twitter.com/petrogustavo/status/1426534913935818765","1426534913935818765")</f>
        <v>1426534913935818765</v>
      </c>
      <c r="F15785" s="7" t="s">
        <v>32</v>
      </c>
      <c r="G15785" s="7">
        <v>4346657</v>
      </c>
      <c r="H15785" s="7">
        <v>2535</v>
      </c>
      <c r="I15785" s="7">
        <v>290</v>
      </c>
      <c r="J15785" s="7">
        <v>706</v>
      </c>
      <c r="K15785" s="7" t="s">
        <v>18</v>
      </c>
      <c r="L15785" s="8">
        <v>39987.315405092595</v>
      </c>
      <c r="M15785" s="9" t="s">
        <v>19</v>
      </c>
      <c r="N15785" s="9" t="s">
        <v>20</v>
      </c>
      <c r="O15785" s="6" t="str">
        <f>HYPERLINK("https://pbs.twimg.com/profile_images/962471262747529216/Uo8lOkRJ_normal.jpg","View")</f>
        <v>View</v>
      </c>
      <c r="P15785" s="7"/>
    </row>
    <row r="15786" spans="1:16">
      <c r="A15786" s="3">
        <v>44422.838171296295</v>
      </c>
      <c r="B15786" s="4" t="str">
        <f>HYPERLINK("https://twitter.com/petrogustavo","@petrogustavo")</f>
        <v>@petrogustavo</v>
      </c>
      <c r="C15786" s="5" t="s">
        <v>16</v>
      </c>
      <c r="D15786" s="5" t="s">
        <v>15195</v>
      </c>
      <c r="E15786" s="6" t="str">
        <f>HYPERLINK("https://twitter.com/petrogustavo/status/1426553440667324417","1426553440667324417")</f>
        <v>1426553440667324417</v>
      </c>
      <c r="F15786" s="7" t="s">
        <v>32</v>
      </c>
      <c r="G15786" s="7">
        <v>4346689</v>
      </c>
      <c r="H15786" s="7">
        <v>2535</v>
      </c>
      <c r="I15786" s="7">
        <v>80</v>
      </c>
      <c r="J15786" s="7">
        <v>193</v>
      </c>
      <c r="K15786" s="7" t="s">
        <v>18</v>
      </c>
      <c r="L15786" s="8">
        <v>39987.315405092595</v>
      </c>
      <c r="M15786" s="9" t="s">
        <v>19</v>
      </c>
      <c r="N15786" s="9" t="s">
        <v>20</v>
      </c>
      <c r="O15786" s="6" t="str">
        <f>HYPERLINK("https://pbs.twimg.com/profile_images/962471262747529216/Uo8lOkRJ_normal.jpg","View")</f>
        <v>View</v>
      </c>
      <c r="P15786" s="7"/>
    </row>
    <row r="15787" spans="1:16">
      <c r="A15787" s="3">
        <v>44423.014016203699</v>
      </c>
      <c r="B15787" s="4" t="str">
        <f>HYPERLINK("https://twitter.com/petrogustavo","@petrogustavo")</f>
        <v>@petrogustavo</v>
      </c>
      <c r="C15787" s="5" t="s">
        <v>16</v>
      </c>
      <c r="D15787" s="5" t="s">
        <v>15196</v>
      </c>
      <c r="E15787" s="6" t="str">
        <f>HYPERLINK("https://twitter.com/petrogustavo/status/1426617161896939525","1426617161896939525")</f>
        <v>1426617161896939525</v>
      </c>
      <c r="F15787" s="7" t="s">
        <v>15152</v>
      </c>
      <c r="G15787" s="7">
        <v>4346836</v>
      </c>
      <c r="H15787" s="7">
        <v>2535</v>
      </c>
      <c r="I15787" s="7">
        <v>177</v>
      </c>
      <c r="J15787" s="7">
        <v>417</v>
      </c>
      <c r="K15787" s="7" t="s">
        <v>18</v>
      </c>
      <c r="L15787" s="8">
        <v>39987.315405092595</v>
      </c>
      <c r="M15787" s="9" t="s">
        <v>19</v>
      </c>
      <c r="N15787" s="9" t="s">
        <v>20</v>
      </c>
      <c r="O15787" s="6" t="str">
        <f>HYPERLINK("https://pbs.twimg.com/profile_images/962471262747529216/Uo8lOkRJ_normal.jpg","View")</f>
        <v>View</v>
      </c>
      <c r="P15787" s="7"/>
    </row>
    <row r="15788" spans="1:16">
      <c r="A15788" s="3">
        <v>44423.109548611115</v>
      </c>
      <c r="B15788" s="4" t="str">
        <f>HYPERLINK("https://twitter.com/petrogustavo","@petrogustavo")</f>
        <v>@petrogustavo</v>
      </c>
      <c r="C15788" s="5" t="s">
        <v>16</v>
      </c>
      <c r="D15788" s="5" t="s">
        <v>15197</v>
      </c>
      <c r="E15788" s="6" t="str">
        <f>HYPERLINK("https://twitter.com/petrogustavo/status/1426651783464726536","1426651783464726536")</f>
        <v>1426651783464726536</v>
      </c>
      <c r="F15788" s="7" t="s">
        <v>17</v>
      </c>
      <c r="G15788" s="7">
        <v>4346873</v>
      </c>
      <c r="H15788" s="7">
        <v>2535</v>
      </c>
      <c r="I15788" s="7">
        <v>505</v>
      </c>
      <c r="J15788" s="7">
        <v>0</v>
      </c>
      <c r="K15788" s="7" t="s">
        <v>18</v>
      </c>
      <c r="L15788" s="8">
        <v>39987.315405092595</v>
      </c>
      <c r="M15788" s="9" t="s">
        <v>19</v>
      </c>
      <c r="N15788" s="9" t="s">
        <v>20</v>
      </c>
      <c r="O15788" s="6" t="str">
        <f>HYPERLINK("https://pbs.twimg.com/profile_images/962471262747529216/Uo8lOkRJ_normal.jpg","View")</f>
        <v>View</v>
      </c>
      <c r="P15788" s="7"/>
    </row>
    <row r="15789" spans="1:16">
      <c r="A15789" s="3">
        <v>44423.210694444446</v>
      </c>
      <c r="B15789" s="4" t="str">
        <f>HYPERLINK("https://twitter.com/petrogustavo","@petrogustavo")</f>
        <v>@petrogustavo</v>
      </c>
      <c r="C15789" s="5" t="s">
        <v>16</v>
      </c>
      <c r="D15789" s="5" t="s">
        <v>15198</v>
      </c>
      <c r="E15789" s="6" t="str">
        <f>HYPERLINK("https://twitter.com/petrogustavo/status/1426688435683745792","1426688435683745792")</f>
        <v>1426688435683745792</v>
      </c>
      <c r="F15789" s="7" t="s">
        <v>17</v>
      </c>
      <c r="G15789" s="7">
        <v>4346941</v>
      </c>
      <c r="H15789" s="7">
        <v>2535</v>
      </c>
      <c r="I15789" s="7">
        <v>269</v>
      </c>
      <c r="J15789" s="7">
        <v>802</v>
      </c>
      <c r="K15789" s="7" t="s">
        <v>18</v>
      </c>
      <c r="L15789" s="8">
        <v>39987.315405092595</v>
      </c>
      <c r="M15789" s="9" t="s">
        <v>19</v>
      </c>
      <c r="N15789" s="9" t="s">
        <v>20</v>
      </c>
      <c r="O15789" s="6" t="str">
        <f>HYPERLINK("https://pbs.twimg.com/profile_images/962471262747529216/Uo8lOkRJ_normal.jpg","View")</f>
        <v>View</v>
      </c>
      <c r="P15789" s="7"/>
    </row>
    <row r="15790" spans="1:16">
      <c r="A15790" s="3">
        <v>44423.271620370375</v>
      </c>
      <c r="B15790" s="4" t="str">
        <f>HYPERLINK("https://twitter.com/petrogustavo","@petrogustavo")</f>
        <v>@petrogustavo</v>
      </c>
      <c r="C15790" s="5" t="s">
        <v>16</v>
      </c>
      <c r="D15790" s="5" t="s">
        <v>15199</v>
      </c>
      <c r="E15790" s="6" t="str">
        <f>HYPERLINK("https://twitter.com/petrogustavo/status/1426710513552084995","1426710513552084995")</f>
        <v>1426710513552084995</v>
      </c>
      <c r="F15790" s="7" t="s">
        <v>15152</v>
      </c>
      <c r="G15790" s="7">
        <v>4346976</v>
      </c>
      <c r="H15790" s="7">
        <v>2535</v>
      </c>
      <c r="I15790" s="7">
        <v>125</v>
      </c>
      <c r="J15790" s="7">
        <v>349</v>
      </c>
      <c r="K15790" s="7" t="s">
        <v>18</v>
      </c>
      <c r="L15790" s="8">
        <v>39987.315405092595</v>
      </c>
      <c r="M15790" s="9" t="s">
        <v>19</v>
      </c>
      <c r="N15790" s="9" t="s">
        <v>20</v>
      </c>
      <c r="O15790" s="6" t="str">
        <f>HYPERLINK("https://pbs.twimg.com/profile_images/962471262747529216/Uo8lOkRJ_normal.jpg","View")</f>
        <v>View</v>
      </c>
      <c r="P15790" s="7"/>
    </row>
    <row r="15791" spans="1:16">
      <c r="A15791" s="3">
        <v>44423.272222222222</v>
      </c>
      <c r="B15791" s="4" t="str">
        <f>HYPERLINK("https://twitter.com/petrogustavo","@petrogustavo")</f>
        <v>@petrogustavo</v>
      </c>
      <c r="C15791" s="5" t="s">
        <v>16</v>
      </c>
      <c r="D15791" s="5" t="s">
        <v>15200</v>
      </c>
      <c r="E15791" s="6" t="str">
        <f>HYPERLINK("https://twitter.com/petrogustavo/status/1426710731433693193","1426710731433693193")</f>
        <v>1426710731433693193</v>
      </c>
      <c r="F15791" s="7" t="s">
        <v>32</v>
      </c>
      <c r="G15791" s="7">
        <v>4346976</v>
      </c>
      <c r="H15791" s="7">
        <v>2535</v>
      </c>
      <c r="I15791" s="7">
        <v>1097</v>
      </c>
      <c r="J15791" s="7">
        <v>0</v>
      </c>
      <c r="K15791" s="7" t="s">
        <v>18</v>
      </c>
      <c r="L15791" s="8">
        <v>39987.315405092595</v>
      </c>
      <c r="M15791" s="9" t="s">
        <v>19</v>
      </c>
      <c r="N15791" s="9" t="s">
        <v>20</v>
      </c>
      <c r="O15791" s="6" t="str">
        <f>HYPERLINK("https://pbs.twimg.com/profile_images/962471262747529216/Uo8lOkRJ_normal.jpg","View")</f>
        <v>View</v>
      </c>
      <c r="P15791" s="7"/>
    </row>
    <row r="15792" spans="1:16">
      <c r="A15792" s="3">
        <v>44423.314340277779</v>
      </c>
      <c r="B15792" s="4" t="str">
        <f>HYPERLINK("https://twitter.com/petrogustavo","@petrogustavo")</f>
        <v>@petrogustavo</v>
      </c>
      <c r="C15792" s="5" t="s">
        <v>16</v>
      </c>
      <c r="D15792" s="5" t="s">
        <v>15201</v>
      </c>
      <c r="E15792" s="6" t="str">
        <f>HYPERLINK("https://twitter.com/petrogustavo/status/1426725995588038659","1426725995588038659")</f>
        <v>1426725995588038659</v>
      </c>
      <c r="F15792" s="7" t="s">
        <v>32</v>
      </c>
      <c r="G15792" s="7">
        <v>4347027</v>
      </c>
      <c r="H15792" s="7">
        <v>2536</v>
      </c>
      <c r="I15792" s="7">
        <v>81</v>
      </c>
      <c r="J15792" s="7">
        <v>0</v>
      </c>
      <c r="K15792" s="7" t="s">
        <v>18</v>
      </c>
      <c r="L15792" s="8">
        <v>39987.315405092595</v>
      </c>
      <c r="M15792" s="9" t="s">
        <v>19</v>
      </c>
      <c r="N15792" s="9" t="s">
        <v>20</v>
      </c>
      <c r="O15792" s="6" t="str">
        <f>HYPERLINK("https://pbs.twimg.com/profile_images/962471262747529216/Uo8lOkRJ_normal.jpg","View")</f>
        <v>View</v>
      </c>
      <c r="P15792" s="7"/>
    </row>
    <row r="15793" spans="1:16">
      <c r="A15793" s="3">
        <v>44423.354583333334</v>
      </c>
      <c r="B15793" s="4" t="str">
        <f>HYPERLINK("https://twitter.com/petrogustavo","@petrogustavo")</f>
        <v>@petrogustavo</v>
      </c>
      <c r="C15793" s="5" t="s">
        <v>16</v>
      </c>
      <c r="D15793" s="5" t="s">
        <v>15202</v>
      </c>
      <c r="E15793" s="6" t="str">
        <f>HYPERLINK("https://twitter.com/petrogustavo/status/1426740580516831234","1426740580516831234")</f>
        <v>1426740580516831234</v>
      </c>
      <c r="F15793" s="7" t="s">
        <v>17</v>
      </c>
      <c r="G15793" s="7">
        <v>4347030</v>
      </c>
      <c r="H15793" s="7">
        <v>2536</v>
      </c>
      <c r="I15793" s="7">
        <v>564</v>
      </c>
      <c r="J15793" s="7">
        <v>0</v>
      </c>
      <c r="K15793" s="7" t="s">
        <v>18</v>
      </c>
      <c r="L15793" s="8">
        <v>39987.315405092595</v>
      </c>
      <c r="M15793" s="9" t="s">
        <v>19</v>
      </c>
      <c r="N15793" s="9" t="s">
        <v>20</v>
      </c>
      <c r="O15793" s="6" t="str">
        <f>HYPERLINK("https://pbs.twimg.com/profile_images/962471262747529216/Uo8lOkRJ_normal.jpg","View")</f>
        <v>View</v>
      </c>
      <c r="P15793" s="7"/>
    </row>
    <row r="15794" spans="1:16">
      <c r="A15794" s="3">
        <v>44423.797835648147</v>
      </c>
      <c r="B15794" s="4" t="str">
        <f>HYPERLINK("https://twitter.com/petrogustavo","@petrogustavo")</f>
        <v>@petrogustavo</v>
      </c>
      <c r="C15794" s="5" t="s">
        <v>16</v>
      </c>
      <c r="D15794" s="5" t="s">
        <v>15203</v>
      </c>
      <c r="E15794" s="6" t="str">
        <f>HYPERLINK("https://twitter.com/petrogustavo/status/1426901207596113929","1426901207596113929")</f>
        <v>1426901207596113929</v>
      </c>
      <c r="F15794" s="7" t="s">
        <v>17</v>
      </c>
      <c r="G15794" s="7">
        <v>4347135</v>
      </c>
      <c r="H15794" s="7">
        <v>2536</v>
      </c>
      <c r="I15794" s="7">
        <v>20</v>
      </c>
      <c r="J15794" s="7">
        <v>0</v>
      </c>
      <c r="K15794" s="7" t="s">
        <v>18</v>
      </c>
      <c r="L15794" s="8">
        <v>39987.315405092595</v>
      </c>
      <c r="M15794" s="9" t="s">
        <v>19</v>
      </c>
      <c r="N15794" s="9" t="s">
        <v>20</v>
      </c>
      <c r="O15794" s="6" t="str">
        <f>HYPERLINK("https://pbs.twimg.com/profile_images/962471262747529216/Uo8lOkRJ_normal.jpg","View")</f>
        <v>View</v>
      </c>
      <c r="P15794" s="7"/>
    </row>
    <row r="15795" spans="1:16">
      <c r="A15795" s="3">
        <v>44423.80023148148</v>
      </c>
      <c r="B15795" s="4" t="str">
        <f>HYPERLINK("https://twitter.com/petrogustavo","@petrogustavo")</f>
        <v>@petrogustavo</v>
      </c>
      <c r="C15795" s="5" t="s">
        <v>16</v>
      </c>
      <c r="D15795" s="5" t="s">
        <v>15204</v>
      </c>
      <c r="E15795" s="6" t="str">
        <f>HYPERLINK("https://twitter.com/petrogustavo/status/1426902076039340038","1426902076039340038")</f>
        <v>1426902076039340038</v>
      </c>
      <c r="F15795" s="7" t="s">
        <v>17</v>
      </c>
      <c r="G15795" s="7">
        <v>4347135</v>
      </c>
      <c r="H15795" s="7">
        <v>2536</v>
      </c>
      <c r="I15795" s="7">
        <v>41</v>
      </c>
      <c r="J15795" s="7">
        <v>174</v>
      </c>
      <c r="K15795" s="7" t="s">
        <v>18</v>
      </c>
      <c r="L15795" s="8">
        <v>39987.315405092595</v>
      </c>
      <c r="M15795" s="9" t="s">
        <v>19</v>
      </c>
      <c r="N15795" s="9" t="s">
        <v>20</v>
      </c>
      <c r="O15795" s="6" t="str">
        <f>HYPERLINK("https://pbs.twimg.com/profile_images/962471262747529216/Uo8lOkRJ_normal.jpg","View")</f>
        <v>View</v>
      </c>
      <c r="P15795" s="7"/>
    </row>
    <row r="15796" spans="1:16">
      <c r="A15796" s="3">
        <v>44423.804976851854</v>
      </c>
      <c r="B15796" s="4" t="str">
        <f>HYPERLINK("https://twitter.com/petrogustavo","@petrogustavo")</f>
        <v>@petrogustavo</v>
      </c>
      <c r="C15796" s="5" t="s">
        <v>16</v>
      </c>
      <c r="D15796" s="5" t="s">
        <v>15205</v>
      </c>
      <c r="E15796" s="6" t="str">
        <f>HYPERLINK("https://twitter.com/petrogustavo/status/1426903797952024580","1426903797952024580")</f>
        <v>1426903797952024580</v>
      </c>
      <c r="F15796" s="7" t="s">
        <v>17</v>
      </c>
      <c r="G15796" s="7">
        <v>4347150</v>
      </c>
      <c r="H15796" s="7">
        <v>2536</v>
      </c>
      <c r="I15796" s="7">
        <v>294</v>
      </c>
      <c r="J15796" s="7">
        <v>879</v>
      </c>
      <c r="K15796" s="7" t="s">
        <v>18</v>
      </c>
      <c r="L15796" s="8">
        <v>39987.315405092595</v>
      </c>
      <c r="M15796" s="9" t="s">
        <v>19</v>
      </c>
      <c r="N15796" s="9" t="s">
        <v>20</v>
      </c>
      <c r="O15796" s="6" t="str">
        <f>HYPERLINK("https://pbs.twimg.com/profile_images/962471262747529216/Uo8lOkRJ_normal.jpg","View")</f>
        <v>View</v>
      </c>
      <c r="P15796" s="7"/>
    </row>
    <row r="15797" spans="1:16">
      <c r="A15797" s="3">
        <v>44423.871805555551</v>
      </c>
      <c r="B15797" s="4" t="str">
        <f>HYPERLINK("https://twitter.com/petrogustavo","@petrogustavo")</f>
        <v>@petrogustavo</v>
      </c>
      <c r="C15797" s="5" t="s">
        <v>16</v>
      </c>
      <c r="D15797" s="5" t="s">
        <v>15206</v>
      </c>
      <c r="E15797" s="6" t="str">
        <f>HYPERLINK("https://twitter.com/petrogustavo/status/1426928014437371914","1426928014437371914")</f>
        <v>1426928014437371914</v>
      </c>
      <c r="F15797" s="7" t="s">
        <v>17</v>
      </c>
      <c r="G15797" s="7">
        <v>4347192</v>
      </c>
      <c r="H15797" s="7">
        <v>2536</v>
      </c>
      <c r="I15797" s="7">
        <v>114</v>
      </c>
      <c r="J15797" s="7">
        <v>293</v>
      </c>
      <c r="K15797" s="7" t="s">
        <v>18</v>
      </c>
      <c r="L15797" s="8">
        <v>39987.315405092595</v>
      </c>
      <c r="M15797" s="9" t="s">
        <v>19</v>
      </c>
      <c r="N15797" s="9" t="s">
        <v>20</v>
      </c>
      <c r="O15797" s="6" t="str">
        <f>HYPERLINK("https://pbs.twimg.com/profile_images/962471262747529216/Uo8lOkRJ_normal.jpg","View")</f>
        <v>View</v>
      </c>
      <c r="P15797" s="7"/>
    </row>
    <row r="15798" spans="1:16">
      <c r="A15798" s="3">
        <v>44423.921284722222</v>
      </c>
      <c r="B15798" s="4" t="str">
        <f>HYPERLINK("https://twitter.com/petrogustavo","@petrogustavo")</f>
        <v>@petrogustavo</v>
      </c>
      <c r="C15798" s="5" t="s">
        <v>16</v>
      </c>
      <c r="D15798" s="5" t="s">
        <v>15207</v>
      </c>
      <c r="E15798" s="6" t="str">
        <f>HYPERLINK("https://twitter.com/petrogustavo/status/1426945945544138752","1426945945544138752")</f>
        <v>1426945945544138752</v>
      </c>
      <c r="F15798" s="7" t="s">
        <v>17</v>
      </c>
      <c r="G15798" s="7">
        <v>4347217</v>
      </c>
      <c r="H15798" s="7">
        <v>2536</v>
      </c>
      <c r="I15798" s="7">
        <v>63</v>
      </c>
      <c r="J15798" s="7">
        <v>225</v>
      </c>
      <c r="K15798" s="7" t="s">
        <v>18</v>
      </c>
      <c r="L15798" s="8">
        <v>39987.315405092595</v>
      </c>
      <c r="M15798" s="9" t="s">
        <v>19</v>
      </c>
      <c r="N15798" s="9" t="s">
        <v>20</v>
      </c>
      <c r="O15798" s="6" t="str">
        <f>HYPERLINK("https://pbs.twimg.com/profile_images/962471262747529216/Uo8lOkRJ_normal.jpg","View")</f>
        <v>View</v>
      </c>
      <c r="P15798" s="7"/>
    </row>
    <row r="15799" spans="1:16">
      <c r="A15799" s="3">
        <v>44423.934363425928</v>
      </c>
      <c r="B15799" s="4" t="str">
        <f>HYPERLINK("https://twitter.com/petrogustavo","@petrogustavo")</f>
        <v>@petrogustavo</v>
      </c>
      <c r="C15799" s="5" t="s">
        <v>16</v>
      </c>
      <c r="D15799" s="5" t="s">
        <v>15208</v>
      </c>
      <c r="E15799" s="6" t="str">
        <f>HYPERLINK("https://twitter.com/petrogustavo/status/1426950685950627840","1426950685950627840")</f>
        <v>1426950685950627840</v>
      </c>
      <c r="F15799" s="7" t="s">
        <v>17</v>
      </c>
      <c r="G15799" s="7">
        <v>4347230</v>
      </c>
      <c r="H15799" s="7">
        <v>2536</v>
      </c>
      <c r="I15799" s="7">
        <v>226</v>
      </c>
      <c r="J15799" s="7">
        <v>725</v>
      </c>
      <c r="K15799" s="7" t="s">
        <v>18</v>
      </c>
      <c r="L15799" s="8">
        <v>39987.315405092595</v>
      </c>
      <c r="M15799" s="9" t="s">
        <v>19</v>
      </c>
      <c r="N15799" s="9" t="s">
        <v>20</v>
      </c>
      <c r="O15799" s="6" t="str">
        <f>HYPERLINK("https://pbs.twimg.com/profile_images/962471262747529216/Uo8lOkRJ_normal.jpg","View")</f>
        <v>View</v>
      </c>
      <c r="P15799" s="7"/>
    </row>
    <row r="15800" spans="1:16">
      <c r="A15800" s="3">
        <v>44423.934363425928</v>
      </c>
      <c r="B15800" s="4" t="str">
        <f>HYPERLINK("https://twitter.com/petrogustavo","@petrogustavo")</f>
        <v>@petrogustavo</v>
      </c>
      <c r="C15800" s="5" t="s">
        <v>16</v>
      </c>
      <c r="D15800" s="5" t="s">
        <v>15209</v>
      </c>
      <c r="E15800" s="6" t="str">
        <f>HYPERLINK("https://twitter.com/petrogustavo/status/1426950687007649798","1426950687007649798")</f>
        <v>1426950687007649798</v>
      </c>
      <c r="F15800" s="7" t="s">
        <v>17</v>
      </c>
      <c r="G15800" s="7">
        <v>4347230</v>
      </c>
      <c r="H15800" s="7">
        <v>2536</v>
      </c>
      <c r="I15800" s="7">
        <v>152</v>
      </c>
      <c r="J15800" s="7">
        <v>570</v>
      </c>
      <c r="K15800" s="7" t="s">
        <v>18</v>
      </c>
      <c r="L15800" s="8">
        <v>39987.315405092595</v>
      </c>
      <c r="M15800" s="9" t="s">
        <v>19</v>
      </c>
      <c r="N15800" s="9" t="s">
        <v>20</v>
      </c>
      <c r="O15800" s="6" t="str">
        <f>HYPERLINK("https://pbs.twimg.com/profile_images/962471262747529216/Uo8lOkRJ_normal.jpg","View")</f>
        <v>View</v>
      </c>
      <c r="P15800" s="7"/>
    </row>
    <row r="15801" spans="1:16">
      <c r="A15801" s="3">
        <v>44423.985613425924</v>
      </c>
      <c r="B15801" s="4" t="str">
        <f>HYPERLINK("https://twitter.com/petrogustavo","@petrogustavo")</f>
        <v>@petrogustavo</v>
      </c>
      <c r="C15801" s="5" t="s">
        <v>16</v>
      </c>
      <c r="D15801" s="5" t="s">
        <v>15202</v>
      </c>
      <c r="E15801" s="6" t="str">
        <f>HYPERLINK("https://twitter.com/petrogustavo/status/1426969256676233220","1426969256676233220")</f>
        <v>1426969256676233220</v>
      </c>
      <c r="F15801" s="7" t="s">
        <v>17</v>
      </c>
      <c r="G15801" s="7">
        <v>4347261</v>
      </c>
      <c r="H15801" s="7">
        <v>2536</v>
      </c>
      <c r="I15801" s="7">
        <v>1398</v>
      </c>
      <c r="J15801" s="7">
        <v>0</v>
      </c>
      <c r="K15801" s="7" t="s">
        <v>18</v>
      </c>
      <c r="L15801" s="8">
        <v>39987.315405092595</v>
      </c>
      <c r="M15801" s="9" t="s">
        <v>19</v>
      </c>
      <c r="N15801" s="9" t="s">
        <v>20</v>
      </c>
      <c r="O15801" s="6" t="str">
        <f>HYPERLINK("https://pbs.twimg.com/profile_images/962471262747529216/Uo8lOkRJ_normal.jpg","View")</f>
        <v>View</v>
      </c>
      <c r="P15801" s="7"/>
    </row>
    <row r="15802" spans="1:16">
      <c r="A15802" s="3">
        <v>44424.118206018524</v>
      </c>
      <c r="B15802" s="4" t="str">
        <f>HYPERLINK("https://twitter.com/petrogustavo","@petrogustavo")</f>
        <v>@petrogustavo</v>
      </c>
      <c r="C15802" s="5" t="s">
        <v>16</v>
      </c>
      <c r="D15802" s="5" t="s">
        <v>15210</v>
      </c>
      <c r="E15802" s="6" t="str">
        <f>HYPERLINK("https://twitter.com/petrogustavo/status/1427017305683337217","1427017305683337217")</f>
        <v>1427017305683337217</v>
      </c>
      <c r="F15802" s="7" t="s">
        <v>17</v>
      </c>
      <c r="G15802" s="7">
        <v>4347336</v>
      </c>
      <c r="H15802" s="7">
        <v>2536</v>
      </c>
      <c r="I15802" s="7">
        <v>189</v>
      </c>
      <c r="J15802" s="7">
        <v>765</v>
      </c>
      <c r="K15802" s="7" t="s">
        <v>18</v>
      </c>
      <c r="L15802" s="8">
        <v>39987.315405092595</v>
      </c>
      <c r="M15802" s="9" t="s">
        <v>19</v>
      </c>
      <c r="N15802" s="9" t="s">
        <v>20</v>
      </c>
      <c r="O15802" s="6" t="str">
        <f>HYPERLINK("https://pbs.twimg.com/profile_images/962471262747529216/Uo8lOkRJ_normal.jpg","View")</f>
        <v>View</v>
      </c>
      <c r="P15802" s="7"/>
    </row>
    <row r="15803" spans="1:16">
      <c r="A15803" s="3">
        <v>44424.144247685181</v>
      </c>
      <c r="B15803" s="4" t="str">
        <f>HYPERLINK("https://twitter.com/petrogustavo","@petrogustavo")</f>
        <v>@petrogustavo</v>
      </c>
      <c r="C15803" s="5" t="s">
        <v>16</v>
      </c>
      <c r="D15803" s="5" t="s">
        <v>15211</v>
      </c>
      <c r="E15803" s="6" t="str">
        <f>HYPERLINK("https://twitter.com/petrogustavo/status/1427026745216147464","1427026745216147464")</f>
        <v>1427026745216147464</v>
      </c>
      <c r="F15803" s="7" t="s">
        <v>17</v>
      </c>
      <c r="G15803" s="7">
        <v>4347352</v>
      </c>
      <c r="H15803" s="7">
        <v>2537</v>
      </c>
      <c r="I15803" s="7">
        <v>60</v>
      </c>
      <c r="J15803" s="7">
        <v>200</v>
      </c>
      <c r="K15803" s="7" t="s">
        <v>18</v>
      </c>
      <c r="L15803" s="8">
        <v>39987.315405092595</v>
      </c>
      <c r="M15803" s="9" t="s">
        <v>19</v>
      </c>
      <c r="N15803" s="9" t="s">
        <v>20</v>
      </c>
      <c r="O15803" s="6" t="str">
        <f>HYPERLINK("https://pbs.twimg.com/profile_images/962471262747529216/Uo8lOkRJ_normal.jpg","View")</f>
        <v>View</v>
      </c>
      <c r="P15803" s="7"/>
    </row>
    <row r="15804" spans="1:16">
      <c r="A15804" s="3">
        <v>44424.151851851857</v>
      </c>
      <c r="B15804" s="4" t="str">
        <f>HYPERLINK("https://twitter.com/petrogustavo","@petrogustavo")</f>
        <v>@petrogustavo</v>
      </c>
      <c r="C15804" s="5" t="s">
        <v>16</v>
      </c>
      <c r="D15804" s="5" t="s">
        <v>15212</v>
      </c>
      <c r="E15804" s="6" t="str">
        <f>HYPERLINK("https://twitter.com/petrogustavo/status/1427029501716926473","1427029501716926473")</f>
        <v>1427029501716926473</v>
      </c>
      <c r="F15804" s="7" t="s">
        <v>17</v>
      </c>
      <c r="G15804" s="7">
        <v>4347352</v>
      </c>
      <c r="H15804" s="7">
        <v>2537</v>
      </c>
      <c r="I15804" s="7">
        <v>145</v>
      </c>
      <c r="J15804" s="7">
        <v>332</v>
      </c>
      <c r="K15804" s="7" t="s">
        <v>18</v>
      </c>
      <c r="L15804" s="8">
        <v>39987.315405092595</v>
      </c>
      <c r="M15804" s="9" t="s">
        <v>19</v>
      </c>
      <c r="N15804" s="9" t="s">
        <v>20</v>
      </c>
      <c r="O15804" s="6" t="str">
        <f>HYPERLINK("https://pbs.twimg.com/profile_images/962471262747529216/Uo8lOkRJ_normal.jpg","View")</f>
        <v>View</v>
      </c>
      <c r="P15804" s="7"/>
    </row>
    <row r="15805" spans="1:16">
      <c r="A15805" s="3">
        <v>44424.198252314818</v>
      </c>
      <c r="B15805" s="4" t="str">
        <f>HYPERLINK("https://twitter.com/petrogustavo","@petrogustavo")</f>
        <v>@petrogustavo</v>
      </c>
      <c r="C15805" s="5" t="s">
        <v>16</v>
      </c>
      <c r="D15805" s="5" t="s">
        <v>15202</v>
      </c>
      <c r="E15805" s="6" t="str">
        <f>HYPERLINK("https://twitter.com/petrogustavo/status/1427046315482095619","1427046315482095619")</f>
        <v>1427046315482095619</v>
      </c>
      <c r="F15805" s="7" t="s">
        <v>17</v>
      </c>
      <c r="G15805" s="7">
        <v>4347376</v>
      </c>
      <c r="H15805" s="7">
        <v>2537</v>
      </c>
      <c r="I15805" s="7">
        <v>1516</v>
      </c>
      <c r="J15805" s="7">
        <v>0</v>
      </c>
      <c r="K15805" s="7" t="s">
        <v>18</v>
      </c>
      <c r="L15805" s="8">
        <v>39987.315405092595</v>
      </c>
      <c r="M15805" s="9" t="s">
        <v>19</v>
      </c>
      <c r="N15805" s="9" t="s">
        <v>20</v>
      </c>
      <c r="O15805" s="6" t="str">
        <f>HYPERLINK("https://pbs.twimg.com/profile_images/962471262747529216/Uo8lOkRJ_normal.jpg","View")</f>
        <v>View</v>
      </c>
      <c r="P15805" s="7"/>
    </row>
    <row r="15806" spans="1:16">
      <c r="A15806" s="3">
        <v>44424.718240740738</v>
      </c>
      <c r="B15806" s="4" t="str">
        <f>HYPERLINK("https://twitter.com/petrogustavo","@petrogustavo")</f>
        <v>@petrogustavo</v>
      </c>
      <c r="C15806" s="5" t="s">
        <v>16</v>
      </c>
      <c r="D15806" s="5" t="s">
        <v>15213</v>
      </c>
      <c r="E15806" s="6" t="str">
        <f>HYPERLINK("https://twitter.com/petrogustavo/status/1427234754500481028","1427234754500481028")</f>
        <v>1427234754500481028</v>
      </c>
      <c r="F15806" s="7" t="s">
        <v>17</v>
      </c>
      <c r="G15806" s="7">
        <v>4347554</v>
      </c>
      <c r="H15806" s="7">
        <v>2537</v>
      </c>
      <c r="I15806" s="7">
        <v>44</v>
      </c>
      <c r="J15806" s="7">
        <v>0</v>
      </c>
      <c r="K15806" s="7" t="s">
        <v>18</v>
      </c>
      <c r="L15806" s="8">
        <v>39987.315405092595</v>
      </c>
      <c r="M15806" s="9" t="s">
        <v>19</v>
      </c>
      <c r="N15806" s="9" t="s">
        <v>20</v>
      </c>
      <c r="O15806" s="6" t="str">
        <f>HYPERLINK("https://pbs.twimg.com/profile_images/962471262747529216/Uo8lOkRJ_normal.jpg","View")</f>
        <v>View</v>
      </c>
      <c r="P15806" s="7"/>
    </row>
    <row r="15807" spans="1:16">
      <c r="A15807" s="3">
        <v>44424.71837962963</v>
      </c>
      <c r="B15807" s="4" t="str">
        <f>HYPERLINK("https://twitter.com/petrogustavo","@petrogustavo")</f>
        <v>@petrogustavo</v>
      </c>
      <c r="C15807" s="5" t="s">
        <v>16</v>
      </c>
      <c r="D15807" s="5" t="s">
        <v>15214</v>
      </c>
      <c r="E15807" s="6" t="str">
        <f>HYPERLINK("https://twitter.com/petrogustavo/status/1427234804160925697","1427234804160925697")</f>
        <v>1427234804160925697</v>
      </c>
      <c r="F15807" s="7" t="s">
        <v>17</v>
      </c>
      <c r="G15807" s="7">
        <v>4347554</v>
      </c>
      <c r="H15807" s="7">
        <v>2537</v>
      </c>
      <c r="I15807" s="7">
        <v>32</v>
      </c>
      <c r="J15807" s="7">
        <v>0</v>
      </c>
      <c r="K15807" s="7" t="s">
        <v>18</v>
      </c>
      <c r="L15807" s="8">
        <v>39987.315405092595</v>
      </c>
      <c r="M15807" s="9" t="s">
        <v>19</v>
      </c>
      <c r="N15807" s="9" t="s">
        <v>20</v>
      </c>
      <c r="O15807" s="6" t="str">
        <f>HYPERLINK("https://pbs.twimg.com/profile_images/962471262747529216/Uo8lOkRJ_normal.jpg","View")</f>
        <v>View</v>
      </c>
      <c r="P15807" s="7"/>
    </row>
    <row r="15808" spans="1:16">
      <c r="A15808" s="3">
        <v>44424.742881944447</v>
      </c>
      <c r="B15808" s="4" t="str">
        <f>HYPERLINK("https://twitter.com/petrogustavo","@petrogustavo")</f>
        <v>@petrogustavo</v>
      </c>
      <c r="C15808" s="5" t="s">
        <v>16</v>
      </c>
      <c r="D15808" s="5" t="s">
        <v>15215</v>
      </c>
      <c r="E15808" s="6" t="str">
        <f>HYPERLINK("https://twitter.com/petrogustavo/status/1427243684223930369","1427243684223930369")</f>
        <v>1427243684223930369</v>
      </c>
      <c r="F15808" s="7" t="s">
        <v>17</v>
      </c>
      <c r="G15808" s="7">
        <v>4347573</v>
      </c>
      <c r="H15808" s="7">
        <v>2537</v>
      </c>
      <c r="I15808" s="7">
        <v>120</v>
      </c>
      <c r="J15808" s="7">
        <v>370</v>
      </c>
      <c r="K15808" s="7" t="s">
        <v>18</v>
      </c>
      <c r="L15808" s="8">
        <v>39987.315405092595</v>
      </c>
      <c r="M15808" s="9" t="s">
        <v>19</v>
      </c>
      <c r="N15808" s="9" t="s">
        <v>20</v>
      </c>
      <c r="O15808" s="6" t="str">
        <f>HYPERLINK("https://pbs.twimg.com/profile_images/962471262747529216/Uo8lOkRJ_normal.jpg","View")</f>
        <v>View</v>
      </c>
      <c r="P15808" s="7"/>
    </row>
    <row r="15809" spans="1:16">
      <c r="A15809" s="3">
        <v>44424.742893518516</v>
      </c>
      <c r="B15809" s="4" t="str">
        <f>HYPERLINK("https://twitter.com/petrogustavo","@petrogustavo")</f>
        <v>@petrogustavo</v>
      </c>
      <c r="C15809" s="5" t="s">
        <v>16</v>
      </c>
      <c r="D15809" s="5" t="s">
        <v>15216</v>
      </c>
      <c r="E15809" s="6" t="str">
        <f>HYPERLINK("https://twitter.com/petrogustavo/status/1427243685566193664","1427243685566193664")</f>
        <v>1427243685566193664</v>
      </c>
      <c r="F15809" s="7" t="s">
        <v>17</v>
      </c>
      <c r="G15809" s="7">
        <v>4347573</v>
      </c>
      <c r="H15809" s="7">
        <v>2537</v>
      </c>
      <c r="I15809" s="7">
        <v>80</v>
      </c>
      <c r="J15809" s="7">
        <v>390</v>
      </c>
      <c r="K15809" s="7" t="s">
        <v>18</v>
      </c>
      <c r="L15809" s="8">
        <v>39987.315405092595</v>
      </c>
      <c r="M15809" s="9" t="s">
        <v>19</v>
      </c>
      <c r="N15809" s="9" t="s">
        <v>20</v>
      </c>
      <c r="O15809" s="6" t="str">
        <f>HYPERLINK("https://pbs.twimg.com/profile_images/962471262747529216/Uo8lOkRJ_normal.jpg","View")</f>
        <v>View</v>
      </c>
      <c r="P15809" s="7"/>
    </row>
    <row r="15810" spans="1:16">
      <c r="A15810" s="3">
        <v>44424.787800925929</v>
      </c>
      <c r="B15810" s="4" t="str">
        <f>HYPERLINK("https://twitter.com/petrogustavo","@petrogustavo")</f>
        <v>@petrogustavo</v>
      </c>
      <c r="C15810" s="5" t="s">
        <v>16</v>
      </c>
      <c r="D15810" s="5" t="s">
        <v>15217</v>
      </c>
      <c r="E15810" s="6" t="str">
        <f>HYPERLINK("https://twitter.com/petrogustavo/status/1427259962074480641","1427259962074480641")</f>
        <v>1427259962074480641</v>
      </c>
      <c r="F15810" s="7" t="s">
        <v>17</v>
      </c>
      <c r="G15810" s="7">
        <v>4347601</v>
      </c>
      <c r="H15810" s="7">
        <v>2537</v>
      </c>
      <c r="I15810" s="7">
        <v>339</v>
      </c>
      <c r="J15810" s="7">
        <v>937</v>
      </c>
      <c r="K15810" s="7" t="s">
        <v>18</v>
      </c>
      <c r="L15810" s="8">
        <v>39987.315405092595</v>
      </c>
      <c r="M15810" s="9" t="s">
        <v>19</v>
      </c>
      <c r="N15810" s="9" t="s">
        <v>20</v>
      </c>
      <c r="O15810" s="6" t="str">
        <f>HYPERLINK("https://pbs.twimg.com/profile_images/962471262747529216/Uo8lOkRJ_normal.jpg","View")</f>
        <v>View</v>
      </c>
      <c r="P15810" s="7"/>
    </row>
    <row r="15811" spans="1:16">
      <c r="A15811" s="3">
        <v>44424.859421296293</v>
      </c>
      <c r="B15811" s="4" t="str">
        <f>HYPERLINK("https://twitter.com/petrogustavo","@petrogustavo")</f>
        <v>@petrogustavo</v>
      </c>
      <c r="C15811" s="5" t="s">
        <v>16</v>
      </c>
      <c r="D15811" s="5" t="s">
        <v>15218</v>
      </c>
      <c r="E15811" s="6" t="str">
        <f>HYPERLINK("https://twitter.com/petrogustavo/status/1427285913315467266","1427285913315467266")</f>
        <v>1427285913315467266</v>
      </c>
      <c r="F15811" s="7" t="s">
        <v>15152</v>
      </c>
      <c r="G15811" s="7">
        <v>4347650</v>
      </c>
      <c r="H15811" s="7">
        <v>2537</v>
      </c>
      <c r="I15811" s="7">
        <v>59</v>
      </c>
      <c r="J15811" s="7">
        <v>175</v>
      </c>
      <c r="K15811" s="7" t="s">
        <v>18</v>
      </c>
      <c r="L15811" s="8">
        <v>39987.315405092595</v>
      </c>
      <c r="M15811" s="9" t="s">
        <v>19</v>
      </c>
      <c r="N15811" s="9" t="s">
        <v>20</v>
      </c>
      <c r="O15811" s="6" t="str">
        <f>HYPERLINK("https://pbs.twimg.com/profile_images/962471262747529216/Uo8lOkRJ_normal.jpg","View")</f>
        <v>View</v>
      </c>
      <c r="P15811" s="7"/>
    </row>
    <row r="15812" spans="1:16">
      <c r="A15812" s="3">
        <v>44424.986122685186</v>
      </c>
      <c r="B15812" s="4" t="str">
        <f>HYPERLINK("https://twitter.com/petrogustavo","@petrogustavo")</f>
        <v>@petrogustavo</v>
      </c>
      <c r="C15812" s="5" t="s">
        <v>16</v>
      </c>
      <c r="D15812" s="5" t="s">
        <v>15219</v>
      </c>
      <c r="E15812" s="6" t="str">
        <f>HYPERLINK("https://twitter.com/petrogustavo/status/1427331828646621189","1427331828646621189")</f>
        <v>1427331828646621189</v>
      </c>
      <c r="F15812" s="7" t="s">
        <v>17</v>
      </c>
      <c r="G15812" s="7">
        <v>4347778</v>
      </c>
      <c r="H15812" s="7">
        <v>2538</v>
      </c>
      <c r="I15812" s="7">
        <v>378</v>
      </c>
      <c r="J15812" s="7">
        <v>0</v>
      </c>
      <c r="K15812" s="7" t="s">
        <v>18</v>
      </c>
      <c r="L15812" s="8">
        <v>39987.315405092595</v>
      </c>
      <c r="M15812" s="9" t="s">
        <v>19</v>
      </c>
      <c r="N15812" s="9" t="s">
        <v>20</v>
      </c>
      <c r="O15812" s="6" t="str">
        <f>HYPERLINK("https://pbs.twimg.com/profile_images/962471262747529216/Uo8lOkRJ_normal.jpg","View")</f>
        <v>View</v>
      </c>
      <c r="P15812" s="7"/>
    </row>
    <row r="15813" spans="1:16">
      <c r="A15813" s="3">
        <v>44425.122592592597</v>
      </c>
      <c r="B15813" s="4" t="str">
        <f>HYPERLINK("https://twitter.com/petrogustavo","@petrogustavo")</f>
        <v>@petrogustavo</v>
      </c>
      <c r="C15813" s="5" t="s">
        <v>16</v>
      </c>
      <c r="D15813" s="5" t="s">
        <v>15220</v>
      </c>
      <c r="E15813" s="6" t="str">
        <f>HYPERLINK("https://twitter.com/petrogustavo/status/1427381286151278592","1427381286151278592")</f>
        <v>1427381286151278592</v>
      </c>
      <c r="F15813" s="7" t="s">
        <v>17</v>
      </c>
      <c r="G15813" s="7">
        <v>4347896</v>
      </c>
      <c r="H15813" s="7">
        <v>2538</v>
      </c>
      <c r="I15813" s="7">
        <v>186</v>
      </c>
      <c r="J15813" s="7">
        <v>689</v>
      </c>
      <c r="K15813" s="7" t="s">
        <v>18</v>
      </c>
      <c r="L15813" s="8">
        <v>39987.315405092595</v>
      </c>
      <c r="M15813" s="9" t="s">
        <v>19</v>
      </c>
      <c r="N15813" s="9" t="s">
        <v>20</v>
      </c>
      <c r="O15813" s="6" t="str">
        <f>HYPERLINK("https://pbs.twimg.com/profile_images/962471262747529216/Uo8lOkRJ_normal.jpg","View")</f>
        <v>View</v>
      </c>
      <c r="P15813" s="7"/>
    </row>
    <row r="15814" spans="1:16">
      <c r="A15814" s="3">
        <v>44425.287939814814</v>
      </c>
      <c r="B15814" s="4" t="str">
        <f>HYPERLINK("https://twitter.com/petrogustavo","@petrogustavo")</f>
        <v>@petrogustavo</v>
      </c>
      <c r="C15814" s="5" t="s">
        <v>16</v>
      </c>
      <c r="D15814" s="5" t="s">
        <v>15221</v>
      </c>
      <c r="E15814" s="6" t="str">
        <f>HYPERLINK("https://twitter.com/petrogustavo/status/1427441206192181250","1427441206192181250")</f>
        <v>1427441206192181250</v>
      </c>
      <c r="F15814" s="7" t="s">
        <v>17</v>
      </c>
      <c r="G15814" s="7">
        <v>4348002</v>
      </c>
      <c r="H15814" s="7">
        <v>2538</v>
      </c>
      <c r="I15814" s="7">
        <v>560</v>
      </c>
      <c r="J15814" s="7">
        <v>1844</v>
      </c>
      <c r="K15814" s="7" t="s">
        <v>18</v>
      </c>
      <c r="L15814" s="8">
        <v>39987.315405092595</v>
      </c>
      <c r="M15814" s="9" t="s">
        <v>19</v>
      </c>
      <c r="N15814" s="9" t="s">
        <v>20</v>
      </c>
      <c r="O15814" s="6" t="str">
        <f>HYPERLINK("https://pbs.twimg.com/profile_images/962471262747529216/Uo8lOkRJ_normal.jpg","View")</f>
        <v>View</v>
      </c>
      <c r="P15814" s="7"/>
    </row>
    <row r="15815" spans="1:16">
      <c r="A15815" s="3">
        <v>44425.787650462968</v>
      </c>
      <c r="B15815" s="4" t="str">
        <f>HYPERLINK("https://twitter.com/petrogustavo","@petrogustavo")</f>
        <v>@petrogustavo</v>
      </c>
      <c r="C15815" s="5" t="s">
        <v>16</v>
      </c>
      <c r="D15815" s="5" t="s">
        <v>15222</v>
      </c>
      <c r="E15815" s="6" t="str">
        <f>HYPERLINK("https://twitter.com/petrogustavo/status/1427622294621405186","1427622294621405186")</f>
        <v>1427622294621405186</v>
      </c>
      <c r="F15815" s="7" t="s">
        <v>17</v>
      </c>
      <c r="G15815" s="7">
        <v>4348204</v>
      </c>
      <c r="H15815" s="7">
        <v>2537</v>
      </c>
      <c r="I15815" s="7">
        <v>151</v>
      </c>
      <c r="J15815" s="7">
        <v>462</v>
      </c>
      <c r="K15815" s="7" t="s">
        <v>18</v>
      </c>
      <c r="L15815" s="8">
        <v>39987.315405092595</v>
      </c>
      <c r="M15815" s="9" t="s">
        <v>19</v>
      </c>
      <c r="N15815" s="9" t="s">
        <v>20</v>
      </c>
      <c r="O15815" s="6" t="str">
        <f>HYPERLINK("https://pbs.twimg.com/profile_images/962471262747529216/Uo8lOkRJ_normal.jpg","View")</f>
        <v>View</v>
      </c>
      <c r="P15815" s="7"/>
    </row>
    <row r="15816" spans="1:16">
      <c r="A15816" s="3">
        <v>44425.792048611111</v>
      </c>
      <c r="B15816" s="4" t="str">
        <f>HYPERLINK("https://twitter.com/petrogustavo","@petrogustavo")</f>
        <v>@petrogustavo</v>
      </c>
      <c r="C15816" s="5" t="s">
        <v>16</v>
      </c>
      <c r="D15816" s="5" t="s">
        <v>15223</v>
      </c>
      <c r="E15816" s="6" t="str">
        <f>HYPERLINK("https://twitter.com/petrogustavo/status/1427623886334611458","1427623886334611458")</f>
        <v>1427623886334611458</v>
      </c>
      <c r="F15816" s="7" t="s">
        <v>17</v>
      </c>
      <c r="G15816" s="7">
        <v>4348204</v>
      </c>
      <c r="H15816" s="7">
        <v>2537</v>
      </c>
      <c r="I15816" s="7">
        <v>90</v>
      </c>
      <c r="J15816" s="7">
        <v>0</v>
      </c>
      <c r="K15816" s="7" t="s">
        <v>18</v>
      </c>
      <c r="L15816" s="8">
        <v>39987.315405092595</v>
      </c>
      <c r="M15816" s="9" t="s">
        <v>19</v>
      </c>
      <c r="N15816" s="9" t="s">
        <v>20</v>
      </c>
      <c r="O15816" s="6" t="str">
        <f>HYPERLINK("https://pbs.twimg.com/profile_images/962471262747529216/Uo8lOkRJ_normal.jpg","View")</f>
        <v>View</v>
      </c>
      <c r="P15816" s="7"/>
    </row>
    <row r="15817" spans="1:16">
      <c r="A15817" s="3">
        <v>44425.795185185183</v>
      </c>
      <c r="B15817" s="4" t="str">
        <f>HYPERLINK("https://twitter.com/petrogustavo","@petrogustavo")</f>
        <v>@petrogustavo</v>
      </c>
      <c r="C15817" s="5" t="s">
        <v>16</v>
      </c>
      <c r="D15817" s="5" t="s">
        <v>15224</v>
      </c>
      <c r="E15817" s="6" t="str">
        <f>HYPERLINK("https://twitter.com/petrogustavo/status/1427625025968955402","1427625025968955402")</f>
        <v>1427625025968955402</v>
      </c>
      <c r="F15817" s="7" t="s">
        <v>17</v>
      </c>
      <c r="G15817" s="7">
        <v>4348204</v>
      </c>
      <c r="H15817" s="7">
        <v>2537</v>
      </c>
      <c r="I15817" s="7">
        <v>125</v>
      </c>
      <c r="J15817" s="7">
        <v>0</v>
      </c>
      <c r="K15817" s="7" t="s">
        <v>18</v>
      </c>
      <c r="L15817" s="8">
        <v>39987.315405092595</v>
      </c>
      <c r="M15817" s="9" t="s">
        <v>19</v>
      </c>
      <c r="N15817" s="9" t="s">
        <v>20</v>
      </c>
      <c r="O15817" s="6" t="str">
        <f>HYPERLINK("https://pbs.twimg.com/profile_images/962471262747529216/Uo8lOkRJ_normal.jpg","View")</f>
        <v>View</v>
      </c>
      <c r="P15817" s="7"/>
    </row>
    <row r="15818" spans="1:16">
      <c r="A15818" s="3">
        <v>44425.797013888892</v>
      </c>
      <c r="B15818" s="4" t="str">
        <f>HYPERLINK("https://twitter.com/petrogustavo","@petrogustavo")</f>
        <v>@petrogustavo</v>
      </c>
      <c r="C15818" s="5" t="s">
        <v>16</v>
      </c>
      <c r="D15818" s="5" t="s">
        <v>15225</v>
      </c>
      <c r="E15818" s="6" t="str">
        <f>HYPERLINK("https://twitter.com/petrogustavo/status/1427625688228630535","1427625688228630535")</f>
        <v>1427625688228630535</v>
      </c>
      <c r="F15818" s="7" t="s">
        <v>17</v>
      </c>
      <c r="G15818" s="7">
        <v>4348204</v>
      </c>
      <c r="H15818" s="7">
        <v>2537</v>
      </c>
      <c r="I15818" s="7">
        <v>57</v>
      </c>
      <c r="J15818" s="7">
        <v>162</v>
      </c>
      <c r="K15818" s="7" t="s">
        <v>18</v>
      </c>
      <c r="L15818" s="8">
        <v>39987.315405092595</v>
      </c>
      <c r="M15818" s="9" t="s">
        <v>19</v>
      </c>
      <c r="N15818" s="9" t="s">
        <v>20</v>
      </c>
      <c r="O15818" s="6" t="str">
        <f>HYPERLINK("https://pbs.twimg.com/profile_images/962471262747529216/Uo8lOkRJ_normal.jpg","View")</f>
        <v>View</v>
      </c>
      <c r="P15818" s="7"/>
    </row>
    <row r="15819" spans="1:16">
      <c r="A15819" s="3">
        <v>44425.801817129628</v>
      </c>
      <c r="B15819" s="4" t="str">
        <f>HYPERLINK("https://twitter.com/petrogustavo","@petrogustavo")</f>
        <v>@petrogustavo</v>
      </c>
      <c r="C15819" s="5" t="s">
        <v>16</v>
      </c>
      <c r="D15819" s="5" t="s">
        <v>15226</v>
      </c>
      <c r="E15819" s="6" t="str">
        <f>HYPERLINK("https://twitter.com/petrogustavo/status/1427627428298563589","1427627428298563589")</f>
        <v>1427627428298563589</v>
      </c>
      <c r="F15819" s="7" t="s">
        <v>17</v>
      </c>
      <c r="G15819" s="7">
        <v>4348204</v>
      </c>
      <c r="H15819" s="7">
        <v>2537</v>
      </c>
      <c r="I15819" s="7">
        <v>66</v>
      </c>
      <c r="J15819" s="7">
        <v>275</v>
      </c>
      <c r="K15819" s="7" t="s">
        <v>18</v>
      </c>
      <c r="L15819" s="8">
        <v>39987.315405092595</v>
      </c>
      <c r="M15819" s="9" t="s">
        <v>19</v>
      </c>
      <c r="N15819" s="9" t="s">
        <v>20</v>
      </c>
      <c r="O15819" s="6" t="str">
        <f>HYPERLINK("https://pbs.twimg.com/profile_images/962471262747529216/Uo8lOkRJ_normal.jpg","View")</f>
        <v>View</v>
      </c>
      <c r="P15819" s="7"/>
    </row>
    <row r="15820" spans="1:16">
      <c r="A15820" s="3">
        <v>44425.870729166665</v>
      </c>
      <c r="B15820" s="4" t="str">
        <f>HYPERLINK("https://twitter.com/petrogustavo","@petrogustavo")</f>
        <v>@petrogustavo</v>
      </c>
      <c r="C15820" s="5" t="s">
        <v>16</v>
      </c>
      <c r="D15820" s="5" t="s">
        <v>15227</v>
      </c>
      <c r="E15820" s="6" t="str">
        <f>HYPERLINK("https://twitter.com/petrogustavo/status/1427652400131805191","1427652400131805191")</f>
        <v>1427652400131805191</v>
      </c>
      <c r="F15820" s="7" t="s">
        <v>32</v>
      </c>
      <c r="G15820" s="7">
        <v>4348269</v>
      </c>
      <c r="H15820" s="7">
        <v>2537</v>
      </c>
      <c r="I15820" s="7">
        <v>104</v>
      </c>
      <c r="J15820" s="7">
        <v>0</v>
      </c>
      <c r="K15820" s="7" t="s">
        <v>18</v>
      </c>
      <c r="L15820" s="8">
        <v>39987.315405092595</v>
      </c>
      <c r="M15820" s="9" t="s">
        <v>19</v>
      </c>
      <c r="N15820" s="9" t="s">
        <v>20</v>
      </c>
      <c r="O15820" s="6" t="str">
        <f>HYPERLINK("https://pbs.twimg.com/profile_images/962471262747529216/Uo8lOkRJ_normal.jpg","View")</f>
        <v>View</v>
      </c>
      <c r="P15820" s="7"/>
    </row>
    <row r="15821" spans="1:16">
      <c r="A15821" s="3">
        <v>44425.872118055559</v>
      </c>
      <c r="B15821" s="4" t="str">
        <f>HYPERLINK("https://twitter.com/petrogustavo","@petrogustavo")</f>
        <v>@petrogustavo</v>
      </c>
      <c r="C15821" s="5" t="s">
        <v>16</v>
      </c>
      <c r="D15821" s="5" t="s">
        <v>15228</v>
      </c>
      <c r="E15821" s="6" t="str">
        <f>HYPERLINK("https://twitter.com/petrogustavo/status/1427652902907170816","1427652902907170816")</f>
        <v>1427652902907170816</v>
      </c>
      <c r="F15821" s="7" t="s">
        <v>32</v>
      </c>
      <c r="G15821" s="7">
        <v>4348269</v>
      </c>
      <c r="H15821" s="7">
        <v>2537</v>
      </c>
      <c r="I15821" s="7">
        <v>1029</v>
      </c>
      <c r="J15821" s="7">
        <v>0</v>
      </c>
      <c r="K15821" s="7" t="s">
        <v>18</v>
      </c>
      <c r="L15821" s="8">
        <v>39987.315405092595</v>
      </c>
      <c r="M15821" s="9" t="s">
        <v>19</v>
      </c>
      <c r="N15821" s="9" t="s">
        <v>20</v>
      </c>
      <c r="O15821" s="6" t="str">
        <f>HYPERLINK("https://pbs.twimg.com/profile_images/962471262747529216/Uo8lOkRJ_normal.jpg","View")</f>
        <v>View</v>
      </c>
      <c r="P15821" s="7"/>
    </row>
    <row r="15822" spans="1:16">
      <c r="A15822" s="3">
        <v>44425.9841087963</v>
      </c>
      <c r="B15822" s="4" t="str">
        <f>HYPERLINK("https://twitter.com/petrogustavo","@petrogustavo")</f>
        <v>@petrogustavo</v>
      </c>
      <c r="C15822" s="5" t="s">
        <v>16</v>
      </c>
      <c r="D15822" s="5" t="s">
        <v>15229</v>
      </c>
      <c r="E15822" s="6" t="str">
        <f>HYPERLINK("https://twitter.com/petrogustavo/status/1427693487718342656","1427693487718342656")</f>
        <v>1427693487718342656</v>
      </c>
      <c r="F15822" s="7" t="s">
        <v>32</v>
      </c>
      <c r="G15822" s="7">
        <v>4348375</v>
      </c>
      <c r="H15822" s="7">
        <v>2538</v>
      </c>
      <c r="I15822" s="7">
        <v>95</v>
      </c>
      <c r="J15822" s="7">
        <v>471</v>
      </c>
      <c r="K15822" s="7" t="s">
        <v>18</v>
      </c>
      <c r="L15822" s="8">
        <v>39987.315405092595</v>
      </c>
      <c r="M15822" s="9" t="s">
        <v>19</v>
      </c>
      <c r="N15822" s="9" t="s">
        <v>20</v>
      </c>
      <c r="O15822" s="6" t="str">
        <f>HYPERLINK("https://pbs.twimg.com/profile_images/962471262747529216/Uo8lOkRJ_normal.jpg","View")</f>
        <v>View</v>
      </c>
      <c r="P15822" s="7"/>
    </row>
    <row r="15823" spans="1:16">
      <c r="A15823" s="3">
        <v>44425.994560185187</v>
      </c>
      <c r="B15823" s="4" t="str">
        <f>HYPERLINK("https://twitter.com/petrogustavo","@petrogustavo")</f>
        <v>@petrogustavo</v>
      </c>
      <c r="C15823" s="5" t="s">
        <v>16</v>
      </c>
      <c r="D15823" s="5" t="s">
        <v>15230</v>
      </c>
      <c r="E15823" s="6" t="str">
        <f>HYPERLINK("https://twitter.com/petrogustavo/status/1427697275292246017","1427697275292246017")</f>
        <v>1427697275292246017</v>
      </c>
      <c r="F15823" s="7" t="s">
        <v>32</v>
      </c>
      <c r="G15823" s="7">
        <v>4348403</v>
      </c>
      <c r="H15823" s="7">
        <v>2538</v>
      </c>
      <c r="I15823" s="7">
        <v>161</v>
      </c>
      <c r="J15823" s="7">
        <v>0</v>
      </c>
      <c r="K15823" s="7" t="s">
        <v>18</v>
      </c>
      <c r="L15823" s="8">
        <v>39987.315405092595</v>
      </c>
      <c r="M15823" s="9" t="s">
        <v>19</v>
      </c>
      <c r="N15823" s="9" t="s">
        <v>20</v>
      </c>
      <c r="O15823" s="6" t="str">
        <f>HYPERLINK("https://pbs.twimg.com/profile_images/962471262747529216/Uo8lOkRJ_normal.jpg","View")</f>
        <v>View</v>
      </c>
      <c r="P15823" s="7"/>
    </row>
    <row r="15824" spans="1:16">
      <c r="A15824" s="3">
        <v>44425.994791666672</v>
      </c>
      <c r="B15824" s="4" t="str">
        <f>HYPERLINK("https://twitter.com/petrogustavo","@petrogustavo")</f>
        <v>@petrogustavo</v>
      </c>
      <c r="C15824" s="5" t="s">
        <v>16</v>
      </c>
      <c r="D15824" s="5" t="s">
        <v>15231</v>
      </c>
      <c r="E15824" s="6" t="str">
        <f>HYPERLINK("https://twitter.com/petrogustavo/status/1427697360453386240","1427697360453386240")</f>
        <v>1427697360453386240</v>
      </c>
      <c r="F15824" s="7" t="s">
        <v>32</v>
      </c>
      <c r="G15824" s="7">
        <v>4348403</v>
      </c>
      <c r="H15824" s="7">
        <v>2538</v>
      </c>
      <c r="I15824" s="7">
        <v>263</v>
      </c>
      <c r="J15824" s="7">
        <v>0</v>
      </c>
      <c r="K15824" s="7" t="s">
        <v>18</v>
      </c>
      <c r="L15824" s="8">
        <v>39987.315405092595</v>
      </c>
      <c r="M15824" s="9" t="s">
        <v>19</v>
      </c>
      <c r="N15824" s="9" t="s">
        <v>20</v>
      </c>
      <c r="O15824" s="6" t="str">
        <f>HYPERLINK("https://pbs.twimg.com/profile_images/962471262747529216/Uo8lOkRJ_normal.jpg","View")</f>
        <v>View</v>
      </c>
      <c r="P15824" s="7"/>
    </row>
    <row r="15825" spans="1:16">
      <c r="A15825" s="3">
        <v>44426.068692129629</v>
      </c>
      <c r="B15825" s="4" t="str">
        <f>HYPERLINK("https://twitter.com/petrogustavo","@petrogustavo")</f>
        <v>@petrogustavo</v>
      </c>
      <c r="C15825" s="5" t="s">
        <v>16</v>
      </c>
      <c r="D15825" s="5" t="s">
        <v>15232</v>
      </c>
      <c r="E15825" s="6" t="str">
        <f>HYPERLINK("https://twitter.com/petrogustavo/status/1427724142216876035","1427724142216876035")</f>
        <v>1427724142216876035</v>
      </c>
      <c r="F15825" s="7" t="s">
        <v>32</v>
      </c>
      <c r="G15825" s="7">
        <v>4348444</v>
      </c>
      <c r="H15825" s="7">
        <v>2538</v>
      </c>
      <c r="I15825" s="7">
        <v>150</v>
      </c>
      <c r="J15825" s="7">
        <v>340</v>
      </c>
      <c r="K15825" s="7" t="s">
        <v>18</v>
      </c>
      <c r="L15825" s="8">
        <v>39987.315405092595</v>
      </c>
      <c r="M15825" s="9" t="s">
        <v>19</v>
      </c>
      <c r="N15825" s="9" t="s">
        <v>20</v>
      </c>
      <c r="O15825" s="6" t="str">
        <f>HYPERLINK("https://pbs.twimg.com/profile_images/962471262747529216/Uo8lOkRJ_normal.jpg","View")</f>
        <v>View</v>
      </c>
      <c r="P15825" s="7"/>
    </row>
    <row r="15826" spans="1:16">
      <c r="A15826" s="3">
        <v>44426.238009259258</v>
      </c>
      <c r="B15826" s="4" t="str">
        <f>HYPERLINK("https://twitter.com/petrogustavo","@petrogustavo")</f>
        <v>@petrogustavo</v>
      </c>
      <c r="C15826" s="5" t="s">
        <v>16</v>
      </c>
      <c r="D15826" s="5" t="s">
        <v>15233</v>
      </c>
      <c r="E15826" s="6" t="str">
        <f>HYPERLINK("https://twitter.com/petrogustavo/status/1427785499842732036","1427785499842732036")</f>
        <v>1427785499842732036</v>
      </c>
      <c r="F15826" s="7" t="s">
        <v>21</v>
      </c>
      <c r="G15826" s="7">
        <v>4348604</v>
      </c>
      <c r="H15826" s="7">
        <v>2538</v>
      </c>
      <c r="I15826" s="7">
        <v>82</v>
      </c>
      <c r="J15826" s="7">
        <v>275</v>
      </c>
      <c r="K15826" s="7" t="s">
        <v>18</v>
      </c>
      <c r="L15826" s="8">
        <v>39987.315405092595</v>
      </c>
      <c r="M15826" s="9" t="s">
        <v>19</v>
      </c>
      <c r="N15826" s="9" t="s">
        <v>20</v>
      </c>
      <c r="O15826" s="6" t="str">
        <f>HYPERLINK("https://pbs.twimg.com/profile_images/962471262747529216/Uo8lOkRJ_normal.jpg","View")</f>
        <v>View</v>
      </c>
      <c r="P15826" s="7"/>
    </row>
    <row r="15827" spans="1:16">
      <c r="A15827" s="3">
        <v>44426.711793981478</v>
      </c>
      <c r="B15827" s="4" t="str">
        <f>HYPERLINK("https://twitter.com/petrogustavo","@petrogustavo")</f>
        <v>@petrogustavo</v>
      </c>
      <c r="C15827" s="5" t="s">
        <v>16</v>
      </c>
      <c r="D15827" s="5" t="s">
        <v>15234</v>
      </c>
      <c r="E15827" s="6" t="str">
        <f>HYPERLINK("https://twitter.com/petrogustavo/status/1427957191521280001","1427957191521280001")</f>
        <v>1427957191521280001</v>
      </c>
      <c r="F15827" s="7" t="s">
        <v>17</v>
      </c>
      <c r="G15827" s="7">
        <v>4348687</v>
      </c>
      <c r="H15827" s="7">
        <v>2537</v>
      </c>
      <c r="I15827" s="7">
        <v>69</v>
      </c>
      <c r="J15827" s="7">
        <v>144</v>
      </c>
      <c r="K15827" s="7" t="s">
        <v>18</v>
      </c>
      <c r="L15827" s="8">
        <v>39987.315405092595</v>
      </c>
      <c r="M15827" s="9" t="s">
        <v>19</v>
      </c>
      <c r="N15827" s="9" t="s">
        <v>20</v>
      </c>
      <c r="O15827" s="6" t="str">
        <f>HYPERLINK("https://pbs.twimg.com/profile_images/962471262747529216/Uo8lOkRJ_normal.jpg","View")</f>
        <v>View</v>
      </c>
      <c r="P15827" s="7"/>
    </row>
    <row r="15828" spans="1:16">
      <c r="A15828" s="3">
        <v>44426.724768518514</v>
      </c>
      <c r="B15828" s="4" t="str">
        <f>HYPERLINK("https://twitter.com/petrogustavo","@petrogustavo")</f>
        <v>@petrogustavo</v>
      </c>
      <c r="C15828" s="5" t="s">
        <v>16</v>
      </c>
      <c r="D15828" s="5" t="s">
        <v>15235</v>
      </c>
      <c r="E15828" s="6" t="str">
        <f>HYPERLINK("https://twitter.com/petrogustavo/status/1427961893675753475","1427961893675753475")</f>
        <v>1427961893675753475</v>
      </c>
      <c r="F15828" s="7" t="s">
        <v>17</v>
      </c>
      <c r="G15828" s="7">
        <v>4348700</v>
      </c>
      <c r="H15828" s="7">
        <v>2537</v>
      </c>
      <c r="I15828" s="7">
        <v>51</v>
      </c>
      <c r="J15828" s="7">
        <v>170</v>
      </c>
      <c r="K15828" s="7" t="s">
        <v>18</v>
      </c>
      <c r="L15828" s="8">
        <v>39987.315405092595</v>
      </c>
      <c r="M15828" s="9" t="s">
        <v>19</v>
      </c>
      <c r="N15828" s="9" t="s">
        <v>20</v>
      </c>
      <c r="O15828" s="6" t="str">
        <f>HYPERLINK("https://pbs.twimg.com/profile_images/962471262747529216/Uo8lOkRJ_normal.jpg","View")</f>
        <v>View</v>
      </c>
      <c r="P15828" s="7"/>
    </row>
    <row r="15829" spans="1:16">
      <c r="A15829" s="3">
        <v>44426.730578703704</v>
      </c>
      <c r="B15829" s="4" t="str">
        <f>HYPERLINK("https://twitter.com/petrogustavo","@petrogustavo")</f>
        <v>@petrogustavo</v>
      </c>
      <c r="C15829" s="5" t="s">
        <v>16</v>
      </c>
      <c r="D15829" s="5" t="s">
        <v>15236</v>
      </c>
      <c r="E15829" s="6" t="str">
        <f>HYPERLINK("https://twitter.com/petrogustavo/status/1427963999761620996","1427963999761620996")</f>
        <v>1427963999761620996</v>
      </c>
      <c r="F15829" s="7" t="s">
        <v>17</v>
      </c>
      <c r="G15829" s="7">
        <v>4348700</v>
      </c>
      <c r="H15829" s="7">
        <v>2537</v>
      </c>
      <c r="I15829" s="7">
        <v>91</v>
      </c>
      <c r="J15829" s="7">
        <v>281</v>
      </c>
      <c r="K15829" s="7" t="s">
        <v>18</v>
      </c>
      <c r="L15829" s="8">
        <v>39987.315405092595</v>
      </c>
      <c r="M15829" s="9" t="s">
        <v>19</v>
      </c>
      <c r="N15829" s="9" t="s">
        <v>20</v>
      </c>
      <c r="O15829" s="6" t="str">
        <f>HYPERLINK("https://pbs.twimg.com/profile_images/962471262747529216/Uo8lOkRJ_normal.jpg","View")</f>
        <v>View</v>
      </c>
      <c r="P15829" s="7"/>
    </row>
    <row r="15830" spans="1:16">
      <c r="A15830" s="3">
        <v>44426.737511574072</v>
      </c>
      <c r="B15830" s="4" t="str">
        <f>HYPERLINK("https://twitter.com/petrogustavo","@petrogustavo")</f>
        <v>@petrogustavo</v>
      </c>
      <c r="C15830" s="5" t="s">
        <v>16</v>
      </c>
      <c r="D15830" s="5" t="s">
        <v>15237</v>
      </c>
      <c r="E15830" s="6" t="str">
        <f>HYPERLINK("https://twitter.com/petrogustavo/status/1427966511285772296","1427966511285772296")</f>
        <v>1427966511285772296</v>
      </c>
      <c r="F15830" s="7" t="s">
        <v>17</v>
      </c>
      <c r="G15830" s="7">
        <v>4348700</v>
      </c>
      <c r="H15830" s="7">
        <v>2537</v>
      </c>
      <c r="I15830" s="7">
        <v>51</v>
      </c>
      <c r="J15830" s="7">
        <v>0</v>
      </c>
      <c r="K15830" s="7" t="s">
        <v>18</v>
      </c>
      <c r="L15830" s="8">
        <v>39987.315405092595</v>
      </c>
      <c r="M15830" s="9" t="s">
        <v>19</v>
      </c>
      <c r="N15830" s="9" t="s">
        <v>20</v>
      </c>
      <c r="O15830" s="6" t="str">
        <f>HYPERLINK("https://pbs.twimg.com/profile_images/962471262747529216/Uo8lOkRJ_normal.jpg","View")</f>
        <v>View</v>
      </c>
      <c r="P15830" s="7"/>
    </row>
    <row r="15831" spans="1:16">
      <c r="A15831" s="3">
        <v>44426.756030092598</v>
      </c>
      <c r="B15831" s="4" t="str">
        <f>HYPERLINK("https://twitter.com/petrogustavo","@petrogustavo")</f>
        <v>@petrogustavo</v>
      </c>
      <c r="C15831" s="5" t="s">
        <v>16</v>
      </c>
      <c r="D15831" s="5" t="s">
        <v>15238</v>
      </c>
      <c r="E15831" s="6" t="str">
        <f>HYPERLINK("https://twitter.com/petrogustavo/status/1427973221807185927","1427973221807185927")</f>
        <v>1427973221807185927</v>
      </c>
      <c r="F15831" s="7" t="s">
        <v>17</v>
      </c>
      <c r="G15831" s="7">
        <v>4348707</v>
      </c>
      <c r="H15831" s="7">
        <v>2537</v>
      </c>
      <c r="I15831" s="7">
        <v>89</v>
      </c>
      <c r="J15831" s="7">
        <v>0</v>
      </c>
      <c r="K15831" s="7" t="s">
        <v>18</v>
      </c>
      <c r="L15831" s="8">
        <v>39987.315405092595</v>
      </c>
      <c r="M15831" s="9" t="s">
        <v>19</v>
      </c>
      <c r="N15831" s="9" t="s">
        <v>20</v>
      </c>
      <c r="O15831" s="6" t="str">
        <f>HYPERLINK("https://pbs.twimg.com/profile_images/962471262747529216/Uo8lOkRJ_normal.jpg","View")</f>
        <v>View</v>
      </c>
      <c r="P15831" s="7"/>
    </row>
    <row r="15832" spans="1:16">
      <c r="A15832" s="3">
        <v>44426.758379629631</v>
      </c>
      <c r="B15832" s="4" t="str">
        <f>HYPERLINK("https://twitter.com/petrogustavo","@petrogustavo")</f>
        <v>@petrogustavo</v>
      </c>
      <c r="C15832" s="5" t="s">
        <v>16</v>
      </c>
      <c r="D15832" s="5" t="s">
        <v>15239</v>
      </c>
      <c r="E15832" s="6" t="str">
        <f>HYPERLINK("https://twitter.com/petrogustavo/status/1427974073045356549","1427974073045356549")</f>
        <v>1427974073045356549</v>
      </c>
      <c r="F15832" s="7" t="s">
        <v>17</v>
      </c>
      <c r="G15832" s="7">
        <v>4348707</v>
      </c>
      <c r="H15832" s="7">
        <v>2537</v>
      </c>
      <c r="I15832" s="7">
        <v>175</v>
      </c>
      <c r="J15832" s="7">
        <v>478</v>
      </c>
      <c r="K15832" s="7" t="s">
        <v>18</v>
      </c>
      <c r="L15832" s="8">
        <v>39987.315405092595</v>
      </c>
      <c r="M15832" s="9" t="s">
        <v>19</v>
      </c>
      <c r="N15832" s="9" t="s">
        <v>20</v>
      </c>
      <c r="O15832" s="6" t="str">
        <f>HYPERLINK("https://pbs.twimg.com/profile_images/962471262747529216/Uo8lOkRJ_normal.jpg","View")</f>
        <v>View</v>
      </c>
      <c r="P15832" s="7"/>
    </row>
    <row r="15833" spans="1:16">
      <c r="A15833" s="3">
        <v>44426.761863425927</v>
      </c>
      <c r="B15833" s="4" t="str">
        <f>HYPERLINK("https://twitter.com/petrogustavo","@petrogustavo")</f>
        <v>@petrogustavo</v>
      </c>
      <c r="C15833" s="5" t="s">
        <v>16</v>
      </c>
      <c r="D15833" s="5" t="s">
        <v>15240</v>
      </c>
      <c r="E15833" s="6" t="str">
        <f>HYPERLINK("https://twitter.com/petrogustavo/status/1427975338265567242","1427975338265567242")</f>
        <v>1427975338265567242</v>
      </c>
      <c r="F15833" s="7" t="s">
        <v>17</v>
      </c>
      <c r="G15833" s="7">
        <v>4348707</v>
      </c>
      <c r="H15833" s="7">
        <v>2537</v>
      </c>
      <c r="I15833" s="7">
        <v>0</v>
      </c>
      <c r="J15833" s="7">
        <v>0</v>
      </c>
      <c r="K15833" s="7" t="s">
        <v>18</v>
      </c>
      <c r="L15833" s="8">
        <v>39987.315405092595</v>
      </c>
      <c r="M15833" s="9" t="s">
        <v>19</v>
      </c>
      <c r="N15833" s="9" t="s">
        <v>20</v>
      </c>
      <c r="O15833" s="6" t="str">
        <f>HYPERLINK("https://pbs.twimg.com/profile_images/962471262747529216/Uo8lOkRJ_normal.jpg","View")</f>
        <v>View</v>
      </c>
      <c r="P15833" s="7"/>
    </row>
    <row r="15834" spans="1:16">
      <c r="A15834" s="3">
        <v>44426.766145833331</v>
      </c>
      <c r="B15834" s="4" t="str">
        <f>HYPERLINK("https://twitter.com/petrogustavo","@petrogustavo")</f>
        <v>@petrogustavo</v>
      </c>
      <c r="C15834" s="5" t="s">
        <v>16</v>
      </c>
      <c r="D15834" s="5" t="s">
        <v>15241</v>
      </c>
      <c r="E15834" s="6" t="str">
        <f>HYPERLINK("https://twitter.com/petrogustavo/status/1427976887318499334","1427976887318499334")</f>
        <v>1427976887318499334</v>
      </c>
      <c r="F15834" s="7" t="s">
        <v>17</v>
      </c>
      <c r="G15834" s="7">
        <v>4348723</v>
      </c>
      <c r="H15834" s="7">
        <v>2537</v>
      </c>
      <c r="I15834" s="7">
        <v>102</v>
      </c>
      <c r="J15834" s="7">
        <v>260</v>
      </c>
      <c r="K15834" s="7" t="s">
        <v>18</v>
      </c>
      <c r="L15834" s="8">
        <v>39987.315405092595</v>
      </c>
      <c r="M15834" s="9" t="s">
        <v>19</v>
      </c>
      <c r="N15834" s="9" t="s">
        <v>20</v>
      </c>
      <c r="O15834" s="6" t="str">
        <f>HYPERLINK("https://pbs.twimg.com/profile_images/962471262747529216/Uo8lOkRJ_normal.jpg","View")</f>
        <v>View</v>
      </c>
      <c r="P15834" s="7"/>
    </row>
    <row r="15835" spans="1:16">
      <c r="A15835" s="3">
        <v>44426.766793981486</v>
      </c>
      <c r="B15835" s="4" t="str">
        <f>HYPERLINK("https://twitter.com/petrogustavo","@petrogustavo")</f>
        <v>@petrogustavo</v>
      </c>
      <c r="C15835" s="5" t="s">
        <v>16</v>
      </c>
      <c r="D15835" s="5" t="s">
        <v>15242</v>
      </c>
      <c r="E15835" s="6" t="str">
        <f>HYPERLINK("https://twitter.com/petrogustavo/status/1427977123420061699","1427977123420061699")</f>
        <v>1427977123420061699</v>
      </c>
      <c r="F15835" s="7" t="s">
        <v>17</v>
      </c>
      <c r="G15835" s="7">
        <v>4348723</v>
      </c>
      <c r="H15835" s="7">
        <v>2537</v>
      </c>
      <c r="I15835" s="7">
        <v>297</v>
      </c>
      <c r="J15835" s="7">
        <v>0</v>
      </c>
      <c r="K15835" s="7" t="s">
        <v>18</v>
      </c>
      <c r="L15835" s="8">
        <v>39987.315405092595</v>
      </c>
      <c r="M15835" s="9" t="s">
        <v>19</v>
      </c>
      <c r="N15835" s="9" t="s">
        <v>20</v>
      </c>
      <c r="O15835" s="6" t="str">
        <f>HYPERLINK("https://pbs.twimg.com/profile_images/962471262747529216/Uo8lOkRJ_normal.jpg","View")</f>
        <v>View</v>
      </c>
      <c r="P15835" s="7"/>
    </row>
    <row r="15836" spans="1:16">
      <c r="A15836" s="3">
        <v>44426.820937500001</v>
      </c>
      <c r="B15836" s="4" t="str">
        <f>HYPERLINK("https://twitter.com/petrogustavo","@petrogustavo")</f>
        <v>@petrogustavo</v>
      </c>
      <c r="C15836" s="5" t="s">
        <v>16</v>
      </c>
      <c r="D15836" s="5" t="s">
        <v>15243</v>
      </c>
      <c r="E15836" s="6" t="str">
        <f>HYPERLINK("https://twitter.com/petrogustavo/status/1427996745603104774","1427996745603104774")</f>
        <v>1427996745603104774</v>
      </c>
      <c r="F15836" s="7" t="s">
        <v>32</v>
      </c>
      <c r="G15836" s="7">
        <v>4348744</v>
      </c>
      <c r="H15836" s="7">
        <v>2537</v>
      </c>
      <c r="I15836" s="7">
        <v>16</v>
      </c>
      <c r="J15836" s="7">
        <v>0</v>
      </c>
      <c r="K15836" s="7" t="s">
        <v>18</v>
      </c>
      <c r="L15836" s="8">
        <v>39987.315405092595</v>
      </c>
      <c r="M15836" s="9" t="s">
        <v>19</v>
      </c>
      <c r="N15836" s="9" t="s">
        <v>20</v>
      </c>
      <c r="O15836" s="6" t="str">
        <f>HYPERLINK("https://pbs.twimg.com/profile_images/962471262747529216/Uo8lOkRJ_normal.jpg","View")</f>
        <v>View</v>
      </c>
      <c r="P15836" s="7"/>
    </row>
    <row r="15837" spans="1:16">
      <c r="A15837" s="3">
        <v>44426.855960648143</v>
      </c>
      <c r="B15837" s="4" t="str">
        <f>HYPERLINK("https://twitter.com/petrogustavo","@petrogustavo")</f>
        <v>@petrogustavo</v>
      </c>
      <c r="C15837" s="5" t="s">
        <v>16</v>
      </c>
      <c r="D15837" s="5" t="s">
        <v>15244</v>
      </c>
      <c r="E15837" s="6" t="str">
        <f>HYPERLINK("https://twitter.com/petrogustavo/status/1428009436677869578","1428009436677869578")</f>
        <v>1428009436677869578</v>
      </c>
      <c r="F15837" s="7" t="s">
        <v>32</v>
      </c>
      <c r="G15837" s="7">
        <v>4348772</v>
      </c>
      <c r="H15837" s="7">
        <v>2537</v>
      </c>
      <c r="I15837" s="7">
        <v>66</v>
      </c>
      <c r="J15837" s="7">
        <v>202</v>
      </c>
      <c r="K15837" s="7" t="s">
        <v>18</v>
      </c>
      <c r="L15837" s="8">
        <v>39987.315405092595</v>
      </c>
      <c r="M15837" s="9" t="s">
        <v>19</v>
      </c>
      <c r="N15837" s="9" t="s">
        <v>20</v>
      </c>
      <c r="O15837" s="6" t="str">
        <f>HYPERLINK("https://pbs.twimg.com/profile_images/962471262747529216/Uo8lOkRJ_normal.jpg","View")</f>
        <v>View</v>
      </c>
      <c r="P15837" s="7"/>
    </row>
    <row r="15838" spans="1:16">
      <c r="A15838" s="3">
        <v>44426.855960648143</v>
      </c>
      <c r="B15838" s="4" t="str">
        <f>HYPERLINK("https://twitter.com/petrogustavo","@petrogustavo")</f>
        <v>@petrogustavo</v>
      </c>
      <c r="C15838" s="5" t="s">
        <v>16</v>
      </c>
      <c r="D15838" s="5" t="s">
        <v>15245</v>
      </c>
      <c r="E15838" s="6" t="str">
        <f>HYPERLINK("https://twitter.com/petrogustavo/status/1428009438523367431","1428009438523367431")</f>
        <v>1428009438523367431</v>
      </c>
      <c r="F15838" s="7" t="s">
        <v>32</v>
      </c>
      <c r="G15838" s="7">
        <v>4348772</v>
      </c>
      <c r="H15838" s="7">
        <v>2537</v>
      </c>
      <c r="I15838" s="7">
        <v>7</v>
      </c>
      <c r="J15838" s="7">
        <v>38</v>
      </c>
      <c r="K15838" s="7" t="s">
        <v>18</v>
      </c>
      <c r="L15838" s="8">
        <v>39987.315405092595</v>
      </c>
      <c r="M15838" s="9" t="s">
        <v>19</v>
      </c>
      <c r="N15838" s="9" t="s">
        <v>20</v>
      </c>
      <c r="O15838" s="6" t="str">
        <f>HYPERLINK("https://pbs.twimg.com/profile_images/962471262747529216/Uo8lOkRJ_normal.jpg","View")</f>
        <v>View</v>
      </c>
      <c r="P15838" s="7"/>
    </row>
    <row r="15839" spans="1:16">
      <c r="A15839" s="3">
        <v>44426.855972222227</v>
      </c>
      <c r="B15839" s="4" t="str">
        <f>HYPERLINK("https://twitter.com/petrogustavo","@petrogustavo")</f>
        <v>@petrogustavo</v>
      </c>
      <c r="C15839" s="5" t="s">
        <v>16</v>
      </c>
      <c r="D15839" s="5" t="s">
        <v>15246</v>
      </c>
      <c r="E15839" s="6" t="str">
        <f>HYPERLINK("https://twitter.com/petrogustavo/status/1428009440096264199","1428009440096264199")</f>
        <v>1428009440096264199</v>
      </c>
      <c r="F15839" s="7" t="s">
        <v>32</v>
      </c>
      <c r="G15839" s="7">
        <v>4348772</v>
      </c>
      <c r="H15839" s="7">
        <v>2537</v>
      </c>
      <c r="I15839" s="7">
        <v>7</v>
      </c>
      <c r="J15839" s="7">
        <v>35</v>
      </c>
      <c r="K15839" s="7" t="s">
        <v>18</v>
      </c>
      <c r="L15839" s="8">
        <v>39987.315405092595</v>
      </c>
      <c r="M15839" s="9" t="s">
        <v>19</v>
      </c>
      <c r="N15839" s="9" t="s">
        <v>20</v>
      </c>
      <c r="O15839" s="6" t="str">
        <f>HYPERLINK("https://pbs.twimg.com/profile_images/962471262747529216/Uo8lOkRJ_normal.jpg","View")</f>
        <v>View</v>
      </c>
      <c r="P15839" s="7"/>
    </row>
    <row r="15840" spans="1:16">
      <c r="A15840" s="3">
        <v>44426.855972222227</v>
      </c>
      <c r="B15840" s="4" t="str">
        <f>HYPERLINK("https://twitter.com/petrogustavo","@petrogustavo")</f>
        <v>@petrogustavo</v>
      </c>
      <c r="C15840" s="5" t="s">
        <v>16</v>
      </c>
      <c r="D15840" s="5" t="s">
        <v>15247</v>
      </c>
      <c r="E15840" s="6" t="str">
        <f>HYPERLINK("https://twitter.com/petrogustavo/status/1428009441505562636","1428009441505562636")</f>
        <v>1428009441505562636</v>
      </c>
      <c r="F15840" s="7" t="s">
        <v>32</v>
      </c>
      <c r="G15840" s="7">
        <v>4348772</v>
      </c>
      <c r="H15840" s="7">
        <v>2537</v>
      </c>
      <c r="I15840" s="7">
        <v>6</v>
      </c>
      <c r="J15840" s="7">
        <v>38</v>
      </c>
      <c r="K15840" s="7" t="s">
        <v>18</v>
      </c>
      <c r="L15840" s="8">
        <v>39987.315405092595</v>
      </c>
      <c r="M15840" s="9" t="s">
        <v>19</v>
      </c>
      <c r="N15840" s="9" t="s">
        <v>20</v>
      </c>
      <c r="O15840" s="6" t="str">
        <f>HYPERLINK("https://pbs.twimg.com/profile_images/962471262747529216/Uo8lOkRJ_normal.jpg","View")</f>
        <v>View</v>
      </c>
      <c r="P15840" s="7"/>
    </row>
    <row r="15841" spans="1:16">
      <c r="A15841" s="3">
        <v>44426.855972222227</v>
      </c>
      <c r="B15841" s="4" t="str">
        <f>HYPERLINK("https://twitter.com/petrogustavo","@petrogustavo")</f>
        <v>@petrogustavo</v>
      </c>
      <c r="C15841" s="5" t="s">
        <v>16</v>
      </c>
      <c r="D15841" s="5" t="s">
        <v>15248</v>
      </c>
      <c r="E15841" s="6" t="str">
        <f>HYPERLINK("https://twitter.com/petrogustavo/status/1428009442835116032","1428009442835116032")</f>
        <v>1428009442835116032</v>
      </c>
      <c r="F15841" s="7" t="s">
        <v>32</v>
      </c>
      <c r="G15841" s="7">
        <v>4348772</v>
      </c>
      <c r="H15841" s="7">
        <v>2537</v>
      </c>
      <c r="I15841" s="7">
        <v>7</v>
      </c>
      <c r="J15841" s="7">
        <v>34</v>
      </c>
      <c r="K15841" s="7" t="s">
        <v>18</v>
      </c>
      <c r="L15841" s="8">
        <v>39987.315405092595</v>
      </c>
      <c r="M15841" s="9" t="s">
        <v>19</v>
      </c>
      <c r="N15841" s="9" t="s">
        <v>20</v>
      </c>
      <c r="O15841" s="6" t="str">
        <f>HYPERLINK("https://pbs.twimg.com/profile_images/962471262747529216/Uo8lOkRJ_normal.jpg","View")</f>
        <v>View</v>
      </c>
      <c r="P15841" s="7"/>
    </row>
    <row r="15842" spans="1:16">
      <c r="A15842" s="3">
        <v>44426.855983796297</v>
      </c>
      <c r="B15842" s="4" t="str">
        <f>HYPERLINK("https://twitter.com/petrogustavo","@petrogustavo")</f>
        <v>@petrogustavo</v>
      </c>
      <c r="C15842" s="5" t="s">
        <v>16</v>
      </c>
      <c r="D15842" s="5" t="s">
        <v>15249</v>
      </c>
      <c r="E15842" s="6" t="str">
        <f>HYPERLINK("https://twitter.com/petrogustavo/status/1428009444236009475","1428009444236009475")</f>
        <v>1428009444236009475</v>
      </c>
      <c r="F15842" s="7" t="s">
        <v>32</v>
      </c>
      <c r="G15842" s="7">
        <v>4348772</v>
      </c>
      <c r="H15842" s="7">
        <v>2537</v>
      </c>
      <c r="I15842" s="7">
        <v>7</v>
      </c>
      <c r="J15842" s="7">
        <v>36</v>
      </c>
      <c r="K15842" s="7" t="s">
        <v>18</v>
      </c>
      <c r="L15842" s="8">
        <v>39987.315405092595</v>
      </c>
      <c r="M15842" s="9" t="s">
        <v>19</v>
      </c>
      <c r="N15842" s="9" t="s">
        <v>20</v>
      </c>
      <c r="O15842" s="6" t="str">
        <f>HYPERLINK("https://pbs.twimg.com/profile_images/962471262747529216/Uo8lOkRJ_normal.jpg","View")</f>
        <v>View</v>
      </c>
      <c r="P15842" s="7"/>
    </row>
    <row r="15843" spans="1:16">
      <c r="A15843" s="3">
        <v>44426.855983796297</v>
      </c>
      <c r="B15843" s="4" t="str">
        <f>HYPERLINK("https://twitter.com/petrogustavo","@petrogustavo")</f>
        <v>@petrogustavo</v>
      </c>
      <c r="C15843" s="5" t="s">
        <v>16</v>
      </c>
      <c r="D15843" s="5" t="s">
        <v>15250</v>
      </c>
      <c r="E15843" s="6" t="str">
        <f>HYPERLINK("https://twitter.com/petrogustavo/status/1428009445825601539","1428009445825601539")</f>
        <v>1428009445825601539</v>
      </c>
      <c r="F15843" s="7" t="s">
        <v>32</v>
      </c>
      <c r="G15843" s="7">
        <v>4348772</v>
      </c>
      <c r="H15843" s="7">
        <v>2537</v>
      </c>
      <c r="I15843" s="7">
        <v>7</v>
      </c>
      <c r="J15843" s="7">
        <v>41</v>
      </c>
      <c r="K15843" s="7" t="s">
        <v>18</v>
      </c>
      <c r="L15843" s="8">
        <v>39987.315405092595</v>
      </c>
      <c r="M15843" s="9" t="s">
        <v>19</v>
      </c>
      <c r="N15843" s="9" t="s">
        <v>20</v>
      </c>
      <c r="O15843" s="6" t="str">
        <f>HYPERLINK("https://pbs.twimg.com/profile_images/962471262747529216/Uo8lOkRJ_normal.jpg","View")</f>
        <v>View</v>
      </c>
      <c r="P15843" s="7"/>
    </row>
    <row r="15844" spans="1:16">
      <c r="A15844" s="3">
        <v>44426.855983796297</v>
      </c>
      <c r="B15844" s="4" t="str">
        <f>HYPERLINK("https://twitter.com/petrogustavo","@petrogustavo")</f>
        <v>@petrogustavo</v>
      </c>
      <c r="C15844" s="5" t="s">
        <v>16</v>
      </c>
      <c r="D15844" s="5" t="s">
        <v>15251</v>
      </c>
      <c r="E15844" s="6" t="str">
        <f>HYPERLINK("https://twitter.com/petrogustavo/status/1428009447171973125","1428009447171973125")</f>
        <v>1428009447171973125</v>
      </c>
      <c r="F15844" s="7" t="s">
        <v>32</v>
      </c>
      <c r="G15844" s="7">
        <v>4348772</v>
      </c>
      <c r="H15844" s="7">
        <v>2537</v>
      </c>
      <c r="I15844" s="7">
        <v>6</v>
      </c>
      <c r="J15844" s="7">
        <v>40</v>
      </c>
      <c r="K15844" s="7" t="s">
        <v>18</v>
      </c>
      <c r="L15844" s="8">
        <v>39987.315405092595</v>
      </c>
      <c r="M15844" s="9" t="s">
        <v>19</v>
      </c>
      <c r="N15844" s="9" t="s">
        <v>20</v>
      </c>
      <c r="O15844" s="6" t="str">
        <f>HYPERLINK("https://pbs.twimg.com/profile_images/962471262747529216/Uo8lOkRJ_normal.jpg","View")</f>
        <v>View</v>
      </c>
      <c r="P15844" s="7"/>
    </row>
    <row r="15845" spans="1:16">
      <c r="A15845" s="3">
        <v>44426.855995370366</v>
      </c>
      <c r="B15845" s="4" t="str">
        <f>HYPERLINK("https://twitter.com/petrogustavo","@petrogustavo")</f>
        <v>@petrogustavo</v>
      </c>
      <c r="C15845" s="5" t="s">
        <v>16</v>
      </c>
      <c r="D15845" s="5" t="s">
        <v>15252</v>
      </c>
      <c r="E15845" s="6" t="str">
        <f>HYPERLINK("https://twitter.com/petrogustavo/status/1428009448795262985","1428009448795262985")</f>
        <v>1428009448795262985</v>
      </c>
      <c r="F15845" s="7" t="s">
        <v>32</v>
      </c>
      <c r="G15845" s="7">
        <v>4348772</v>
      </c>
      <c r="H15845" s="7">
        <v>2537</v>
      </c>
      <c r="I15845" s="7">
        <v>7</v>
      </c>
      <c r="J15845" s="7">
        <v>42</v>
      </c>
      <c r="K15845" s="7" t="s">
        <v>18</v>
      </c>
      <c r="L15845" s="8">
        <v>39987.315405092595</v>
      </c>
      <c r="M15845" s="9" t="s">
        <v>19</v>
      </c>
      <c r="N15845" s="9" t="s">
        <v>20</v>
      </c>
      <c r="O15845" s="6" t="str">
        <f>HYPERLINK("https://pbs.twimg.com/profile_images/962471262747529216/Uo8lOkRJ_normal.jpg","View")</f>
        <v>View</v>
      </c>
      <c r="P15845" s="7"/>
    </row>
    <row r="15846" spans="1:16">
      <c r="A15846" s="3">
        <v>44426.855995370366</v>
      </c>
      <c r="B15846" s="4" t="str">
        <f>HYPERLINK("https://twitter.com/petrogustavo","@petrogustavo")</f>
        <v>@petrogustavo</v>
      </c>
      <c r="C15846" s="5" t="s">
        <v>16</v>
      </c>
      <c r="D15846" s="5" t="s">
        <v>15253</v>
      </c>
      <c r="E15846" s="6" t="str">
        <f>HYPERLINK("https://twitter.com/petrogustavo/status/1428009450053439488","1428009450053439488")</f>
        <v>1428009450053439488</v>
      </c>
      <c r="F15846" s="7" t="s">
        <v>32</v>
      </c>
      <c r="G15846" s="7">
        <v>4348772</v>
      </c>
      <c r="H15846" s="7">
        <v>2537</v>
      </c>
      <c r="I15846" s="7">
        <v>8</v>
      </c>
      <c r="J15846" s="7">
        <v>38</v>
      </c>
      <c r="K15846" s="7" t="s">
        <v>18</v>
      </c>
      <c r="L15846" s="8">
        <v>39987.315405092595</v>
      </c>
      <c r="M15846" s="9" t="s">
        <v>19</v>
      </c>
      <c r="N15846" s="9" t="s">
        <v>20</v>
      </c>
      <c r="O15846" s="6" t="str">
        <f>HYPERLINK("https://pbs.twimg.com/profile_images/962471262747529216/Uo8lOkRJ_normal.jpg","View")</f>
        <v>View</v>
      </c>
      <c r="P15846" s="7"/>
    </row>
    <row r="15847" spans="1:16">
      <c r="A15847" s="3">
        <v>44426.856006944443</v>
      </c>
      <c r="B15847" s="4" t="str">
        <f>HYPERLINK("https://twitter.com/petrogustavo","@petrogustavo")</f>
        <v>@petrogustavo</v>
      </c>
      <c r="C15847" s="5" t="s">
        <v>16</v>
      </c>
      <c r="D15847" s="5" t="s">
        <v>15254</v>
      </c>
      <c r="E15847" s="6" t="str">
        <f>HYPERLINK("https://twitter.com/petrogustavo/status/1428009452104454153","1428009452104454153")</f>
        <v>1428009452104454153</v>
      </c>
      <c r="F15847" s="7" t="s">
        <v>32</v>
      </c>
      <c r="G15847" s="7">
        <v>4348772</v>
      </c>
      <c r="H15847" s="7">
        <v>2537</v>
      </c>
      <c r="I15847" s="7">
        <v>5</v>
      </c>
      <c r="J15847" s="7">
        <v>30</v>
      </c>
      <c r="K15847" s="7" t="s">
        <v>18</v>
      </c>
      <c r="L15847" s="8">
        <v>39987.315405092595</v>
      </c>
      <c r="M15847" s="9" t="s">
        <v>19</v>
      </c>
      <c r="N15847" s="9" t="s">
        <v>20</v>
      </c>
      <c r="O15847" s="6" t="str">
        <f>HYPERLINK("https://pbs.twimg.com/profile_images/962471262747529216/Uo8lOkRJ_normal.jpg","View")</f>
        <v>View</v>
      </c>
      <c r="P15847" s="7"/>
    </row>
    <row r="15848" spans="1:16">
      <c r="A15848" s="3">
        <v>44426.856006944443</v>
      </c>
      <c r="B15848" s="4" t="str">
        <f>HYPERLINK("https://twitter.com/petrogustavo","@petrogustavo")</f>
        <v>@petrogustavo</v>
      </c>
      <c r="C15848" s="5" t="s">
        <v>16</v>
      </c>
      <c r="D15848" s="5" t="s">
        <v>15255</v>
      </c>
      <c r="E15848" s="6" t="str">
        <f>HYPERLINK("https://twitter.com/petrogustavo/status/1428009453320867845","1428009453320867845")</f>
        <v>1428009453320867845</v>
      </c>
      <c r="F15848" s="7" t="s">
        <v>32</v>
      </c>
      <c r="G15848" s="7">
        <v>4348772</v>
      </c>
      <c r="H15848" s="7">
        <v>2537</v>
      </c>
      <c r="I15848" s="7">
        <v>4</v>
      </c>
      <c r="J15848" s="7">
        <v>30</v>
      </c>
      <c r="K15848" s="7" t="s">
        <v>18</v>
      </c>
      <c r="L15848" s="8">
        <v>39987.315405092595</v>
      </c>
      <c r="M15848" s="9" t="s">
        <v>19</v>
      </c>
      <c r="N15848" s="9" t="s">
        <v>20</v>
      </c>
      <c r="O15848" s="6" t="str">
        <f>HYPERLINK("https://pbs.twimg.com/profile_images/962471262747529216/Uo8lOkRJ_normal.jpg","View")</f>
        <v>View</v>
      </c>
      <c r="P15848" s="7"/>
    </row>
    <row r="15849" spans="1:16">
      <c r="A15849" s="3">
        <v>44426.856006944443</v>
      </c>
      <c r="B15849" s="4" t="str">
        <f>HYPERLINK("https://twitter.com/petrogustavo","@petrogustavo")</f>
        <v>@petrogustavo</v>
      </c>
      <c r="C15849" s="5" t="s">
        <v>16</v>
      </c>
      <c r="D15849" s="5" t="s">
        <v>15256</v>
      </c>
      <c r="E15849" s="6" t="str">
        <f>HYPERLINK("https://twitter.com/petrogustavo/status/1428009454738591748","1428009454738591748")</f>
        <v>1428009454738591748</v>
      </c>
      <c r="F15849" s="7" t="s">
        <v>32</v>
      </c>
      <c r="G15849" s="7">
        <v>4348772</v>
      </c>
      <c r="H15849" s="7">
        <v>2537</v>
      </c>
      <c r="I15849" s="7">
        <v>6</v>
      </c>
      <c r="J15849" s="7">
        <v>28</v>
      </c>
      <c r="K15849" s="7" t="s">
        <v>18</v>
      </c>
      <c r="L15849" s="8">
        <v>39987.315405092595</v>
      </c>
      <c r="M15849" s="9" t="s">
        <v>19</v>
      </c>
      <c r="N15849" s="9" t="s">
        <v>20</v>
      </c>
      <c r="O15849" s="6" t="str">
        <f>HYPERLINK("https://pbs.twimg.com/profile_images/962471262747529216/Uo8lOkRJ_normal.jpg","View")</f>
        <v>View</v>
      </c>
      <c r="P15849" s="7"/>
    </row>
    <row r="15850" spans="1:16">
      <c r="A15850" s="3">
        <v>44426.85601851852</v>
      </c>
      <c r="B15850" s="4" t="str">
        <f>HYPERLINK("https://twitter.com/petrogustavo","@petrogustavo")</f>
        <v>@petrogustavo</v>
      </c>
      <c r="C15850" s="5" t="s">
        <v>16</v>
      </c>
      <c r="D15850" s="5" t="s">
        <v>15257</v>
      </c>
      <c r="E15850" s="6" t="str">
        <f>HYPERLINK("https://twitter.com/petrogustavo/status/1428009456114278405","1428009456114278405")</f>
        <v>1428009456114278405</v>
      </c>
      <c r="F15850" s="7" t="s">
        <v>32</v>
      </c>
      <c r="G15850" s="7">
        <v>4348772</v>
      </c>
      <c r="H15850" s="7">
        <v>2537</v>
      </c>
      <c r="I15850" s="7">
        <v>15</v>
      </c>
      <c r="J15850" s="7">
        <v>60</v>
      </c>
      <c r="K15850" s="7" t="s">
        <v>18</v>
      </c>
      <c r="L15850" s="8">
        <v>39987.315405092595</v>
      </c>
      <c r="M15850" s="9" t="s">
        <v>19</v>
      </c>
      <c r="N15850" s="9" t="s">
        <v>20</v>
      </c>
      <c r="O15850" s="6" t="str">
        <f>HYPERLINK("https://pbs.twimg.com/profile_images/962471262747529216/Uo8lOkRJ_normal.jpg","View")</f>
        <v>View</v>
      </c>
      <c r="P15850" s="7"/>
    </row>
    <row r="15851" spans="1:16">
      <c r="A15851" s="3">
        <v>44426.85601851852</v>
      </c>
      <c r="B15851" s="4" t="str">
        <f>HYPERLINK("https://twitter.com/petrogustavo","@petrogustavo")</f>
        <v>@petrogustavo</v>
      </c>
      <c r="C15851" s="5" t="s">
        <v>16</v>
      </c>
      <c r="D15851" s="5" t="s">
        <v>15258</v>
      </c>
      <c r="E15851" s="6" t="str">
        <f>HYPERLINK("https://twitter.com/petrogustavo/status/1428009457473265669","1428009457473265669")</f>
        <v>1428009457473265669</v>
      </c>
      <c r="F15851" s="7" t="s">
        <v>32</v>
      </c>
      <c r="G15851" s="7">
        <v>4348772</v>
      </c>
      <c r="H15851" s="7">
        <v>2537</v>
      </c>
      <c r="I15851" s="7">
        <v>21</v>
      </c>
      <c r="J15851" s="7">
        <v>79</v>
      </c>
      <c r="K15851" s="7" t="s">
        <v>18</v>
      </c>
      <c r="L15851" s="8">
        <v>39987.315405092595</v>
      </c>
      <c r="M15851" s="9" t="s">
        <v>19</v>
      </c>
      <c r="N15851" s="9" t="s">
        <v>20</v>
      </c>
      <c r="O15851" s="6" t="str">
        <f>HYPERLINK("https://pbs.twimg.com/profile_images/962471262747529216/Uo8lOkRJ_normal.jpg","View")</f>
        <v>View</v>
      </c>
      <c r="P15851" s="7"/>
    </row>
    <row r="15852" spans="1:16">
      <c r="A15852" s="3">
        <v>44427.229618055557</v>
      </c>
      <c r="B15852" s="4" t="str">
        <f>HYPERLINK("https://twitter.com/petrogustavo","@petrogustavo")</f>
        <v>@petrogustavo</v>
      </c>
      <c r="C15852" s="5" t="s">
        <v>16</v>
      </c>
      <c r="D15852" s="5" t="s">
        <v>15259</v>
      </c>
      <c r="E15852" s="6" t="str">
        <f>HYPERLINK("https://twitter.com/petrogustavo/status/1428144844900339716","1428144844900339716")</f>
        <v>1428144844900339716</v>
      </c>
      <c r="F15852" s="7" t="s">
        <v>32</v>
      </c>
      <c r="G15852" s="7">
        <v>4349026</v>
      </c>
      <c r="H15852" s="7">
        <v>2537</v>
      </c>
      <c r="I15852" s="7">
        <v>365</v>
      </c>
      <c r="J15852" s="7">
        <v>0</v>
      </c>
      <c r="K15852" s="7" t="s">
        <v>18</v>
      </c>
      <c r="L15852" s="8">
        <v>39987.315405092595</v>
      </c>
      <c r="M15852" s="9" t="s">
        <v>19</v>
      </c>
      <c r="N15852" s="9" t="s">
        <v>20</v>
      </c>
      <c r="O15852" s="6" t="str">
        <f>HYPERLINK("https://pbs.twimg.com/profile_images/962471262747529216/Uo8lOkRJ_normal.jpg","View")</f>
        <v>View</v>
      </c>
      <c r="P15852" s="7"/>
    </row>
    <row r="15853" spans="1:16">
      <c r="A15853" s="3">
        <v>44427.265370370369</v>
      </c>
      <c r="B15853" s="4" t="str">
        <f>HYPERLINK("https://twitter.com/petrogustavo","@petrogustavo")</f>
        <v>@petrogustavo</v>
      </c>
      <c r="C15853" s="5" t="s">
        <v>16</v>
      </c>
      <c r="D15853" s="5" t="s">
        <v>15260</v>
      </c>
      <c r="E15853" s="6" t="str">
        <f>HYPERLINK("https://twitter.com/petrogustavo/status/1428157800446840833","1428157800446840833")</f>
        <v>1428157800446840833</v>
      </c>
      <c r="F15853" s="7" t="s">
        <v>32</v>
      </c>
      <c r="G15853" s="7">
        <v>4349055</v>
      </c>
      <c r="H15853" s="7">
        <v>2537</v>
      </c>
      <c r="I15853" s="7">
        <v>101</v>
      </c>
      <c r="J15853" s="7">
        <v>0</v>
      </c>
      <c r="K15853" s="7" t="s">
        <v>18</v>
      </c>
      <c r="L15853" s="8">
        <v>39987.315405092595</v>
      </c>
      <c r="M15853" s="9" t="s">
        <v>19</v>
      </c>
      <c r="N15853" s="9" t="s">
        <v>20</v>
      </c>
      <c r="O15853" s="6" t="str">
        <f>HYPERLINK("https://pbs.twimg.com/profile_images/962471262747529216/Uo8lOkRJ_normal.jpg","View")</f>
        <v>View</v>
      </c>
      <c r="P15853" s="7"/>
    </row>
    <row r="15854" spans="1:16">
      <c r="A15854" s="3">
        <v>44427.267187500001</v>
      </c>
      <c r="B15854" s="4" t="str">
        <f>HYPERLINK("https://twitter.com/petrogustavo","@petrogustavo")</f>
        <v>@petrogustavo</v>
      </c>
      <c r="C15854" s="5" t="s">
        <v>16</v>
      </c>
      <c r="D15854" s="5" t="s">
        <v>15261</v>
      </c>
      <c r="E15854" s="6" t="str">
        <f>HYPERLINK("https://twitter.com/petrogustavo/status/1428158458663165954","1428158458663165954")</f>
        <v>1428158458663165954</v>
      </c>
      <c r="F15854" s="7" t="s">
        <v>32</v>
      </c>
      <c r="G15854" s="7">
        <v>4349055</v>
      </c>
      <c r="H15854" s="7">
        <v>2537</v>
      </c>
      <c r="I15854" s="7">
        <v>234</v>
      </c>
      <c r="J15854" s="7">
        <v>542</v>
      </c>
      <c r="K15854" s="7" t="s">
        <v>18</v>
      </c>
      <c r="L15854" s="8">
        <v>39987.315405092595</v>
      </c>
      <c r="M15854" s="9" t="s">
        <v>19</v>
      </c>
      <c r="N15854" s="9" t="s">
        <v>20</v>
      </c>
      <c r="O15854" s="6" t="str">
        <f>HYPERLINK("https://pbs.twimg.com/profile_images/962471262747529216/Uo8lOkRJ_normal.jpg","View")</f>
        <v>View</v>
      </c>
      <c r="P15854" s="7"/>
    </row>
    <row r="15855" spans="1:16">
      <c r="A15855" s="3">
        <v>44427.279027777782</v>
      </c>
      <c r="B15855" s="4" t="str">
        <f>HYPERLINK("https://twitter.com/petrogustavo","@petrogustavo")</f>
        <v>@petrogustavo</v>
      </c>
      <c r="C15855" s="5" t="s">
        <v>16</v>
      </c>
      <c r="D15855" s="5" t="s">
        <v>15262</v>
      </c>
      <c r="E15855" s="6" t="str">
        <f>HYPERLINK("https://twitter.com/petrogustavo/status/1428162751650795522","1428162751650795522")</f>
        <v>1428162751650795522</v>
      </c>
      <c r="F15855" s="7" t="s">
        <v>32</v>
      </c>
      <c r="G15855" s="7">
        <v>4349055</v>
      </c>
      <c r="H15855" s="7">
        <v>2537</v>
      </c>
      <c r="I15855" s="7">
        <v>163</v>
      </c>
      <c r="J15855" s="7">
        <v>0</v>
      </c>
      <c r="K15855" s="7" t="s">
        <v>18</v>
      </c>
      <c r="L15855" s="8">
        <v>39987.315405092595</v>
      </c>
      <c r="M15855" s="9" t="s">
        <v>19</v>
      </c>
      <c r="N15855" s="9" t="s">
        <v>20</v>
      </c>
      <c r="O15855" s="6" t="str">
        <f>HYPERLINK("https://pbs.twimg.com/profile_images/962471262747529216/Uo8lOkRJ_normal.jpg","View")</f>
        <v>View</v>
      </c>
      <c r="P15855" s="7"/>
    </row>
    <row r="15856" spans="1:16">
      <c r="A15856" s="3">
        <v>44427.311111111107</v>
      </c>
      <c r="B15856" s="4" t="str">
        <f>HYPERLINK("https://twitter.com/petrogustavo","@petrogustavo")</f>
        <v>@petrogustavo</v>
      </c>
      <c r="C15856" s="5" t="s">
        <v>16</v>
      </c>
      <c r="D15856" s="5" t="s">
        <v>15263</v>
      </c>
      <c r="E15856" s="6" t="str">
        <f>HYPERLINK("https://twitter.com/petrogustavo/status/1428174375941984259","1428174375941984259")</f>
        <v>1428174375941984259</v>
      </c>
      <c r="F15856" s="7" t="s">
        <v>17</v>
      </c>
      <c r="G15856" s="7">
        <v>4349082</v>
      </c>
      <c r="H15856" s="7">
        <v>2537</v>
      </c>
      <c r="I15856" s="7">
        <v>503</v>
      </c>
      <c r="J15856" s="7">
        <v>1297</v>
      </c>
      <c r="K15856" s="7" t="s">
        <v>18</v>
      </c>
      <c r="L15856" s="8">
        <v>39987.315405092595</v>
      </c>
      <c r="M15856" s="9" t="s">
        <v>19</v>
      </c>
      <c r="N15856" s="9" t="s">
        <v>20</v>
      </c>
      <c r="O15856" s="6" t="str">
        <f>HYPERLINK("https://pbs.twimg.com/profile_images/962471262747529216/Uo8lOkRJ_normal.jpg","View")</f>
        <v>View</v>
      </c>
      <c r="P15856" s="7"/>
    </row>
    <row r="15857" spans="1:16">
      <c r="A15857" s="3">
        <v>44427.326331018514</v>
      </c>
      <c r="B15857" s="4" t="str">
        <f>HYPERLINK("https://twitter.com/petrogustavo","@petrogustavo")</f>
        <v>@petrogustavo</v>
      </c>
      <c r="C15857" s="5" t="s">
        <v>16</v>
      </c>
      <c r="D15857" s="5" t="s">
        <v>15264</v>
      </c>
      <c r="E15857" s="6" t="str">
        <f>HYPERLINK("https://twitter.com/petrogustavo/status/1428179894173847552","1428179894173847552")</f>
        <v>1428179894173847552</v>
      </c>
      <c r="F15857" s="7" t="s">
        <v>17</v>
      </c>
      <c r="G15857" s="7">
        <v>4349100</v>
      </c>
      <c r="H15857" s="7">
        <v>2537</v>
      </c>
      <c r="I15857" s="7">
        <v>3122</v>
      </c>
      <c r="J15857" s="7">
        <v>0</v>
      </c>
      <c r="K15857" s="7" t="s">
        <v>18</v>
      </c>
      <c r="L15857" s="8">
        <v>39987.315405092595</v>
      </c>
      <c r="M15857" s="9" t="s">
        <v>19</v>
      </c>
      <c r="N15857" s="9" t="s">
        <v>20</v>
      </c>
      <c r="O15857" s="6" t="str">
        <f>HYPERLINK("https://pbs.twimg.com/profile_images/962471262747529216/Uo8lOkRJ_normal.jpg","View")</f>
        <v>View</v>
      </c>
      <c r="P15857" s="7"/>
    </row>
    <row r="15858" spans="1:16">
      <c r="A15858" s="3">
        <v>44427.3284837963</v>
      </c>
      <c r="B15858" s="4" t="str">
        <f>HYPERLINK("https://twitter.com/petrogustavo","@petrogustavo")</f>
        <v>@petrogustavo</v>
      </c>
      <c r="C15858" s="5" t="s">
        <v>16</v>
      </c>
      <c r="D15858" s="5" t="s">
        <v>15265</v>
      </c>
      <c r="E15858" s="6" t="str">
        <f>HYPERLINK("https://twitter.com/petrogustavo/status/1428180674532491265","1428180674532491265")</f>
        <v>1428180674532491265</v>
      </c>
      <c r="F15858" s="7" t="s">
        <v>17</v>
      </c>
      <c r="G15858" s="7">
        <v>4349100</v>
      </c>
      <c r="H15858" s="7">
        <v>2537</v>
      </c>
      <c r="I15858" s="7">
        <v>1079</v>
      </c>
      <c r="J15858" s="7">
        <v>0</v>
      </c>
      <c r="K15858" s="7" t="s">
        <v>18</v>
      </c>
      <c r="L15858" s="8">
        <v>39987.315405092595</v>
      </c>
      <c r="M15858" s="9" t="s">
        <v>19</v>
      </c>
      <c r="N15858" s="9" t="s">
        <v>20</v>
      </c>
      <c r="O15858" s="6" t="str">
        <f>HYPERLINK("https://pbs.twimg.com/profile_images/962471262747529216/Uo8lOkRJ_normal.jpg","View")</f>
        <v>View</v>
      </c>
      <c r="P15858" s="7"/>
    </row>
    <row r="15859" spans="1:16">
      <c r="A15859" s="3">
        <v>44427.701354166667</v>
      </c>
      <c r="B15859" s="4" t="str">
        <f>HYPERLINK("https://twitter.com/petrogustavo","@petrogustavo")</f>
        <v>@petrogustavo</v>
      </c>
      <c r="C15859" s="5" t="s">
        <v>16</v>
      </c>
      <c r="D15859" s="5" t="s">
        <v>15266</v>
      </c>
      <c r="E15859" s="6" t="str">
        <f>HYPERLINK("https://twitter.com/petrogustavo/status/1428315797835980802","1428315797835980802")</f>
        <v>1428315797835980802</v>
      </c>
      <c r="F15859" s="7" t="s">
        <v>17</v>
      </c>
      <c r="G15859" s="7">
        <v>4349059</v>
      </c>
      <c r="H15859" s="7">
        <v>2536</v>
      </c>
      <c r="I15859" s="7">
        <v>202</v>
      </c>
      <c r="J15859" s="7">
        <v>560</v>
      </c>
      <c r="K15859" s="7" t="s">
        <v>18</v>
      </c>
      <c r="L15859" s="8">
        <v>39987.315405092595</v>
      </c>
      <c r="M15859" s="9" t="s">
        <v>19</v>
      </c>
      <c r="N15859" s="9" t="s">
        <v>20</v>
      </c>
      <c r="O15859" s="6" t="str">
        <f>HYPERLINK("https://pbs.twimg.com/profile_images/962471262747529216/Uo8lOkRJ_normal.jpg","View")</f>
        <v>View</v>
      </c>
      <c r="P15859" s="7"/>
    </row>
    <row r="15860" spans="1:16">
      <c r="A15860" s="3">
        <v>44427.80604166667</v>
      </c>
      <c r="B15860" s="4" t="str">
        <f>HYPERLINK("https://twitter.com/petrogustavo","@petrogustavo")</f>
        <v>@petrogustavo</v>
      </c>
      <c r="C15860" s="5" t="s">
        <v>16</v>
      </c>
      <c r="D15860" s="5" t="s">
        <v>15267</v>
      </c>
      <c r="E15860" s="6" t="str">
        <f>HYPERLINK("https://twitter.com/petrogustavo/status/1428353735705587718","1428353735705587718")</f>
        <v>1428353735705587718</v>
      </c>
      <c r="F15860" s="7" t="s">
        <v>17</v>
      </c>
      <c r="G15860" s="7">
        <v>4348381</v>
      </c>
      <c r="H15860" s="7">
        <v>2537</v>
      </c>
      <c r="I15860" s="7">
        <v>131</v>
      </c>
      <c r="J15860" s="7">
        <v>460</v>
      </c>
      <c r="K15860" s="7" t="s">
        <v>18</v>
      </c>
      <c r="L15860" s="8">
        <v>39987.315405092595</v>
      </c>
      <c r="M15860" s="9" t="s">
        <v>19</v>
      </c>
      <c r="N15860" s="9" t="s">
        <v>20</v>
      </c>
      <c r="O15860" s="6" t="str">
        <f>HYPERLINK("https://pbs.twimg.com/profile_images/962471262747529216/Uo8lOkRJ_normal.jpg","View")</f>
        <v>View</v>
      </c>
      <c r="P15860" s="7"/>
    </row>
    <row r="15861" spans="1:16">
      <c r="A15861" s="3">
        <v>44427.815416666665</v>
      </c>
      <c r="B15861" s="4" t="str">
        <f>HYPERLINK("https://twitter.com/petrogustavo","@petrogustavo")</f>
        <v>@petrogustavo</v>
      </c>
      <c r="C15861" s="5" t="s">
        <v>16</v>
      </c>
      <c r="D15861" s="5" t="s">
        <v>15268</v>
      </c>
      <c r="E15861" s="6" t="str">
        <f>HYPERLINK("https://twitter.com/petrogustavo/status/1428357132609482757","1428357132609482757")</f>
        <v>1428357132609482757</v>
      </c>
      <c r="F15861" s="7" t="s">
        <v>17</v>
      </c>
      <c r="G15861" s="7">
        <v>4348381</v>
      </c>
      <c r="H15861" s="7">
        <v>2537</v>
      </c>
      <c r="I15861" s="7">
        <v>222</v>
      </c>
      <c r="J15861" s="7">
        <v>0</v>
      </c>
      <c r="K15861" s="7" t="s">
        <v>18</v>
      </c>
      <c r="L15861" s="8">
        <v>39987.315405092595</v>
      </c>
      <c r="M15861" s="9" t="s">
        <v>19</v>
      </c>
      <c r="N15861" s="9" t="s">
        <v>20</v>
      </c>
      <c r="O15861" s="6" t="str">
        <f>HYPERLINK("https://pbs.twimg.com/profile_images/962471262747529216/Uo8lOkRJ_normal.jpg","View")</f>
        <v>View</v>
      </c>
      <c r="P15861" s="7"/>
    </row>
    <row r="15862" spans="1:16">
      <c r="A15862" s="3">
        <v>44427.822326388894</v>
      </c>
      <c r="B15862" s="4" t="str">
        <f>HYPERLINK("https://twitter.com/petrogustavo","@petrogustavo")</f>
        <v>@petrogustavo</v>
      </c>
      <c r="C15862" s="5" t="s">
        <v>16</v>
      </c>
      <c r="D15862" s="5" t="s">
        <v>15269</v>
      </c>
      <c r="E15862" s="6" t="str">
        <f>HYPERLINK("https://twitter.com/petrogustavo/status/1428359633916162048","1428359633916162048")</f>
        <v>1428359633916162048</v>
      </c>
      <c r="F15862" s="7" t="s">
        <v>17</v>
      </c>
      <c r="G15862" s="7">
        <v>4348381</v>
      </c>
      <c r="H15862" s="7">
        <v>2537</v>
      </c>
      <c r="I15862" s="7">
        <v>33</v>
      </c>
      <c r="J15862" s="7">
        <v>90</v>
      </c>
      <c r="K15862" s="7" t="s">
        <v>18</v>
      </c>
      <c r="L15862" s="8">
        <v>39987.315405092595</v>
      </c>
      <c r="M15862" s="9" t="s">
        <v>19</v>
      </c>
      <c r="N15862" s="9" t="s">
        <v>20</v>
      </c>
      <c r="O15862" s="6" t="str">
        <f>HYPERLINK("https://pbs.twimg.com/profile_images/962471262747529216/Uo8lOkRJ_normal.jpg","View")</f>
        <v>View</v>
      </c>
      <c r="P15862" s="7"/>
    </row>
    <row r="15863" spans="1:16">
      <c r="A15863" s="3">
        <v>44427.822326388894</v>
      </c>
      <c r="B15863" s="4" t="str">
        <f>HYPERLINK("https://twitter.com/petrogustavo","@petrogustavo")</f>
        <v>@petrogustavo</v>
      </c>
      <c r="C15863" s="5" t="s">
        <v>16</v>
      </c>
      <c r="D15863" s="5" t="s">
        <v>15270</v>
      </c>
      <c r="E15863" s="6" t="str">
        <f>HYPERLINK("https://twitter.com/petrogustavo/status/1428359636231483398","1428359636231483398")</f>
        <v>1428359636231483398</v>
      </c>
      <c r="F15863" s="7" t="s">
        <v>17</v>
      </c>
      <c r="G15863" s="7">
        <v>4348381</v>
      </c>
      <c r="H15863" s="7">
        <v>2537</v>
      </c>
      <c r="I15863" s="7">
        <v>42</v>
      </c>
      <c r="J15863" s="7">
        <v>143</v>
      </c>
      <c r="K15863" s="7" t="s">
        <v>18</v>
      </c>
      <c r="L15863" s="8">
        <v>39987.315405092595</v>
      </c>
      <c r="M15863" s="9" t="s">
        <v>19</v>
      </c>
      <c r="N15863" s="9" t="s">
        <v>20</v>
      </c>
      <c r="O15863" s="6" t="str">
        <f>HYPERLINK("https://pbs.twimg.com/profile_images/962471262747529216/Uo8lOkRJ_normal.jpg","View")</f>
        <v>View</v>
      </c>
      <c r="P15863" s="7"/>
    </row>
    <row r="15864" spans="1:16">
      <c r="A15864" s="3">
        <v>44427.833414351851</v>
      </c>
      <c r="B15864" s="4" t="str">
        <f>HYPERLINK("https://twitter.com/petrogustavo","@petrogustavo")</f>
        <v>@petrogustavo</v>
      </c>
      <c r="C15864" s="5" t="s">
        <v>16</v>
      </c>
      <c r="D15864" s="5" t="s">
        <v>15271</v>
      </c>
      <c r="E15864" s="6" t="str">
        <f>HYPERLINK("https://twitter.com/petrogustavo/status/1428363655767232516","1428363655767232516")</f>
        <v>1428363655767232516</v>
      </c>
      <c r="F15864" s="7" t="s">
        <v>17</v>
      </c>
      <c r="G15864" s="7">
        <v>4348367</v>
      </c>
      <c r="H15864" s="7">
        <v>2537</v>
      </c>
      <c r="I15864" s="7">
        <v>200</v>
      </c>
      <c r="J15864" s="7">
        <v>457</v>
      </c>
      <c r="K15864" s="7" t="s">
        <v>18</v>
      </c>
      <c r="L15864" s="8">
        <v>39987.315405092595</v>
      </c>
      <c r="M15864" s="9" t="s">
        <v>19</v>
      </c>
      <c r="N15864" s="9" t="s">
        <v>20</v>
      </c>
      <c r="O15864" s="6" t="str">
        <f>HYPERLINK("https://pbs.twimg.com/profile_images/962471262747529216/Uo8lOkRJ_normal.jpg","View")</f>
        <v>View</v>
      </c>
      <c r="P15864" s="7"/>
    </row>
    <row r="15865" spans="1:16">
      <c r="A15865" s="3">
        <v>44427.888472222221</v>
      </c>
      <c r="B15865" s="4" t="str">
        <f>HYPERLINK("https://twitter.com/petrogustavo","@petrogustavo")</f>
        <v>@petrogustavo</v>
      </c>
      <c r="C15865" s="5" t="s">
        <v>16</v>
      </c>
      <c r="D15865" s="5" t="s">
        <v>15272</v>
      </c>
      <c r="E15865" s="6" t="str">
        <f>HYPERLINK("https://twitter.com/petrogustavo/status/1428383607282970624","1428383607282970624")</f>
        <v>1428383607282970624</v>
      </c>
      <c r="F15865" s="7" t="s">
        <v>17</v>
      </c>
      <c r="G15865" s="7">
        <v>4349126</v>
      </c>
      <c r="H15865" s="7">
        <v>2536</v>
      </c>
      <c r="I15865" s="7">
        <v>135</v>
      </c>
      <c r="J15865" s="7">
        <v>379</v>
      </c>
      <c r="K15865" s="7" t="s">
        <v>18</v>
      </c>
      <c r="L15865" s="8">
        <v>39987.315405092595</v>
      </c>
      <c r="M15865" s="9" t="s">
        <v>19</v>
      </c>
      <c r="N15865" s="9" t="s">
        <v>20</v>
      </c>
      <c r="O15865" s="6" t="str">
        <f>HYPERLINK("https://pbs.twimg.com/profile_images/962471262747529216/Uo8lOkRJ_normal.jpg","View")</f>
        <v>View</v>
      </c>
      <c r="P15865" s="7"/>
    </row>
    <row r="15866" spans="1:16">
      <c r="A15866" s="3">
        <v>44427.899525462963</v>
      </c>
      <c r="B15866" s="4" t="str">
        <f>HYPERLINK("https://twitter.com/petrogustavo","@petrogustavo")</f>
        <v>@petrogustavo</v>
      </c>
      <c r="C15866" s="5" t="s">
        <v>16</v>
      </c>
      <c r="D15866" s="5" t="s">
        <v>15273</v>
      </c>
      <c r="E15866" s="6" t="str">
        <f>HYPERLINK("https://twitter.com/petrogustavo/status/1428387611144560640","1428387611144560640")</f>
        <v>1428387611144560640</v>
      </c>
      <c r="F15866" s="7" t="s">
        <v>17</v>
      </c>
      <c r="G15866" s="7">
        <v>4349126</v>
      </c>
      <c r="H15866" s="7">
        <v>2536</v>
      </c>
      <c r="I15866" s="7">
        <v>34</v>
      </c>
      <c r="J15866" s="7">
        <v>117</v>
      </c>
      <c r="K15866" s="7" t="s">
        <v>18</v>
      </c>
      <c r="L15866" s="8">
        <v>39987.315405092595</v>
      </c>
      <c r="M15866" s="9" t="s">
        <v>19</v>
      </c>
      <c r="N15866" s="9" t="s">
        <v>20</v>
      </c>
      <c r="O15866" s="6" t="str">
        <f>HYPERLINK("https://pbs.twimg.com/profile_images/962471262747529216/Uo8lOkRJ_normal.jpg","View")</f>
        <v>View</v>
      </c>
      <c r="P15866" s="7"/>
    </row>
    <row r="15867" spans="1:16">
      <c r="A15867" s="3">
        <v>44427.907384259262</v>
      </c>
      <c r="B15867" s="4" t="str">
        <f>HYPERLINK("https://twitter.com/petrogustavo","@petrogustavo")</f>
        <v>@petrogustavo</v>
      </c>
      <c r="C15867" s="5" t="s">
        <v>16</v>
      </c>
      <c r="D15867" s="5" t="s">
        <v>15274</v>
      </c>
      <c r="E15867" s="6" t="str">
        <f>HYPERLINK("https://twitter.com/petrogustavo/status/1428390460247224321","1428390460247224321")</f>
        <v>1428390460247224321</v>
      </c>
      <c r="F15867" s="7" t="s">
        <v>17</v>
      </c>
      <c r="G15867" s="7">
        <v>4349126</v>
      </c>
      <c r="H15867" s="7">
        <v>2536</v>
      </c>
      <c r="I15867" s="7">
        <v>22</v>
      </c>
      <c r="J15867" s="7">
        <v>46</v>
      </c>
      <c r="K15867" s="7" t="s">
        <v>18</v>
      </c>
      <c r="L15867" s="8">
        <v>39987.315405092595</v>
      </c>
      <c r="M15867" s="9" t="s">
        <v>19</v>
      </c>
      <c r="N15867" s="9" t="s">
        <v>20</v>
      </c>
      <c r="O15867" s="6" t="str">
        <f>HYPERLINK("https://pbs.twimg.com/profile_images/962471262747529216/Uo8lOkRJ_normal.jpg","View")</f>
        <v>View</v>
      </c>
      <c r="P15867" s="7"/>
    </row>
    <row r="15868" spans="1:16">
      <c r="A15868" s="3">
        <v>44427.908888888887</v>
      </c>
      <c r="B15868" s="4" t="str">
        <f>HYPERLINK("https://twitter.com/petrogustavo","@petrogustavo")</f>
        <v>@petrogustavo</v>
      </c>
      <c r="C15868" s="5" t="s">
        <v>16</v>
      </c>
      <c r="D15868" s="5" t="s">
        <v>15275</v>
      </c>
      <c r="E15868" s="6" t="str">
        <f>HYPERLINK("https://twitter.com/petrogustavo/status/1428391005057912835","1428391005057912835")</f>
        <v>1428391005057912835</v>
      </c>
      <c r="F15868" s="7" t="s">
        <v>17</v>
      </c>
      <c r="G15868" s="7">
        <v>4349148</v>
      </c>
      <c r="H15868" s="7">
        <v>2536</v>
      </c>
      <c r="I15868" s="7">
        <v>175</v>
      </c>
      <c r="J15868" s="7">
        <v>482</v>
      </c>
      <c r="K15868" s="7" t="s">
        <v>18</v>
      </c>
      <c r="L15868" s="8">
        <v>39987.315405092595</v>
      </c>
      <c r="M15868" s="9" t="s">
        <v>19</v>
      </c>
      <c r="N15868" s="9" t="s">
        <v>20</v>
      </c>
      <c r="O15868" s="6" t="str">
        <f>HYPERLINK("https://pbs.twimg.com/profile_images/962471262747529216/Uo8lOkRJ_normal.jpg","View")</f>
        <v>View</v>
      </c>
      <c r="P15868" s="7"/>
    </row>
    <row r="15869" spans="1:16">
      <c r="A15869" s="3">
        <v>44427.963437500002</v>
      </c>
      <c r="B15869" s="4" t="str">
        <f>HYPERLINK("https://twitter.com/petrogustavo","@petrogustavo")</f>
        <v>@petrogustavo</v>
      </c>
      <c r="C15869" s="5" t="s">
        <v>16</v>
      </c>
      <c r="D15869" s="5" t="s">
        <v>15276</v>
      </c>
      <c r="E15869" s="6" t="str">
        <f>HYPERLINK("https://twitter.com/petrogustavo/status/1428410770828759043","1428410770828759043")</f>
        <v>1428410770828759043</v>
      </c>
      <c r="F15869" s="7" t="s">
        <v>32</v>
      </c>
      <c r="G15869" s="7">
        <v>4349181</v>
      </c>
      <c r="H15869" s="7">
        <v>2536</v>
      </c>
      <c r="I15869" s="7">
        <v>50</v>
      </c>
      <c r="J15869" s="7">
        <v>129</v>
      </c>
      <c r="K15869" s="7" t="s">
        <v>18</v>
      </c>
      <c r="L15869" s="8">
        <v>39987.315405092595</v>
      </c>
      <c r="M15869" s="9" t="s">
        <v>19</v>
      </c>
      <c r="N15869" s="9" t="s">
        <v>20</v>
      </c>
      <c r="O15869" s="6" t="str">
        <f>HYPERLINK("https://pbs.twimg.com/profile_images/962471262747529216/Uo8lOkRJ_normal.jpg","View")</f>
        <v>View</v>
      </c>
      <c r="P15869" s="7"/>
    </row>
    <row r="15870" spans="1:16">
      <c r="A15870" s="3">
        <v>44427.963437500002</v>
      </c>
      <c r="B15870" s="4" t="str">
        <f>HYPERLINK("https://twitter.com/petrogustavo","@petrogustavo")</f>
        <v>@petrogustavo</v>
      </c>
      <c r="C15870" s="5" t="s">
        <v>16</v>
      </c>
      <c r="D15870" s="5" t="s">
        <v>15277</v>
      </c>
      <c r="E15870" s="6" t="str">
        <f>HYPERLINK("https://twitter.com/petrogustavo/status/1428410773307596807","1428410773307596807")</f>
        <v>1428410773307596807</v>
      </c>
      <c r="F15870" s="7" t="s">
        <v>32</v>
      </c>
      <c r="G15870" s="7">
        <v>4349181</v>
      </c>
      <c r="H15870" s="7">
        <v>2536</v>
      </c>
      <c r="I15870" s="7">
        <v>26</v>
      </c>
      <c r="J15870" s="7">
        <v>87</v>
      </c>
      <c r="K15870" s="7" t="s">
        <v>18</v>
      </c>
      <c r="L15870" s="8">
        <v>39987.315405092595</v>
      </c>
      <c r="M15870" s="9" t="s">
        <v>19</v>
      </c>
      <c r="N15870" s="9" t="s">
        <v>20</v>
      </c>
      <c r="O15870" s="6" t="str">
        <f>HYPERLINK("https://pbs.twimg.com/profile_images/962471262747529216/Uo8lOkRJ_normal.jpg","View")</f>
        <v>View</v>
      </c>
      <c r="P15870" s="7"/>
    </row>
    <row r="15871" spans="1:16">
      <c r="A15871" s="3">
        <v>44428.014849537038</v>
      </c>
      <c r="B15871" s="4" t="str">
        <f>HYPERLINK("https://twitter.com/petrogustavo","@petrogustavo")</f>
        <v>@petrogustavo</v>
      </c>
      <c r="C15871" s="5" t="s">
        <v>16</v>
      </c>
      <c r="D15871" s="5" t="s">
        <v>15278</v>
      </c>
      <c r="E15871" s="6" t="str">
        <f>HYPERLINK("https://twitter.com/petrogustavo/status/1428429404921896979","1428429404921896979")</f>
        <v>1428429404921896979</v>
      </c>
      <c r="F15871" s="7" t="s">
        <v>17</v>
      </c>
      <c r="G15871" s="7">
        <v>4349246</v>
      </c>
      <c r="H15871" s="7">
        <v>2536</v>
      </c>
      <c r="I15871" s="7">
        <v>40</v>
      </c>
      <c r="J15871" s="7">
        <v>0</v>
      </c>
      <c r="K15871" s="7" t="s">
        <v>18</v>
      </c>
      <c r="L15871" s="8">
        <v>39987.315405092595</v>
      </c>
      <c r="M15871" s="9" t="s">
        <v>19</v>
      </c>
      <c r="N15871" s="9" t="s">
        <v>20</v>
      </c>
      <c r="O15871" s="6" t="str">
        <f>HYPERLINK("https://pbs.twimg.com/profile_images/962471262747529216/Uo8lOkRJ_normal.jpg","View")</f>
        <v>View</v>
      </c>
      <c r="P15871" s="7"/>
    </row>
    <row r="15872" spans="1:16">
      <c r="A15872" s="3">
        <v>44428.017314814817</v>
      </c>
      <c r="B15872" s="4" t="str">
        <f>HYPERLINK("https://twitter.com/petrogustavo","@petrogustavo")</f>
        <v>@petrogustavo</v>
      </c>
      <c r="C15872" s="5" t="s">
        <v>16</v>
      </c>
      <c r="D15872" s="5" t="s">
        <v>15279</v>
      </c>
      <c r="E15872" s="6" t="str">
        <f>HYPERLINK("https://twitter.com/petrogustavo/status/1428430296676978692","1428430296676978692")</f>
        <v>1428430296676978692</v>
      </c>
      <c r="F15872" s="7" t="s">
        <v>17</v>
      </c>
      <c r="G15872" s="7">
        <v>4349246</v>
      </c>
      <c r="H15872" s="7">
        <v>2536</v>
      </c>
      <c r="I15872" s="7">
        <v>217</v>
      </c>
      <c r="J15872" s="7">
        <v>0</v>
      </c>
      <c r="K15872" s="7" t="s">
        <v>18</v>
      </c>
      <c r="L15872" s="8">
        <v>39987.315405092595</v>
      </c>
      <c r="M15872" s="9" t="s">
        <v>19</v>
      </c>
      <c r="N15872" s="9" t="s">
        <v>20</v>
      </c>
      <c r="O15872" s="6" t="str">
        <f>HYPERLINK("https://pbs.twimg.com/profile_images/962471262747529216/Uo8lOkRJ_normal.jpg","View")</f>
        <v>View</v>
      </c>
      <c r="P15872" s="7"/>
    </row>
    <row r="15873" spans="1:16">
      <c r="A15873" s="3">
        <v>44428.017743055556</v>
      </c>
      <c r="B15873" s="4" t="str">
        <f>HYPERLINK("https://twitter.com/petrogustavo","@petrogustavo")</f>
        <v>@petrogustavo</v>
      </c>
      <c r="C15873" s="5" t="s">
        <v>16</v>
      </c>
      <c r="D15873" s="5" t="s">
        <v>15280</v>
      </c>
      <c r="E15873" s="6" t="str">
        <f>HYPERLINK("https://twitter.com/petrogustavo/status/1428430452298326022","1428430452298326022")</f>
        <v>1428430452298326022</v>
      </c>
      <c r="F15873" s="7" t="s">
        <v>17</v>
      </c>
      <c r="G15873" s="7">
        <v>4349246</v>
      </c>
      <c r="H15873" s="7">
        <v>2536</v>
      </c>
      <c r="I15873" s="7">
        <v>27</v>
      </c>
      <c r="J15873" s="7">
        <v>0</v>
      </c>
      <c r="K15873" s="7" t="s">
        <v>18</v>
      </c>
      <c r="L15873" s="8">
        <v>39987.315405092595</v>
      </c>
      <c r="M15873" s="9" t="s">
        <v>19</v>
      </c>
      <c r="N15873" s="9" t="s">
        <v>20</v>
      </c>
      <c r="O15873" s="6" t="str">
        <f>HYPERLINK("https://pbs.twimg.com/profile_images/962471262747529216/Uo8lOkRJ_normal.jpg","View")</f>
        <v>View</v>
      </c>
      <c r="P15873" s="7"/>
    </row>
    <row r="15874" spans="1:16">
      <c r="A15874" s="3">
        <v>44428.139398148152</v>
      </c>
      <c r="B15874" s="4" t="str">
        <f>HYPERLINK("https://twitter.com/petrogustavo","@petrogustavo")</f>
        <v>@petrogustavo</v>
      </c>
      <c r="C15874" s="5" t="s">
        <v>16</v>
      </c>
      <c r="D15874" s="5" t="s">
        <v>15281</v>
      </c>
      <c r="E15874" s="6" t="str">
        <f>HYPERLINK("https://twitter.com/petrogustavo/status/1428474537818079245","1428474537818079245")</f>
        <v>1428474537818079245</v>
      </c>
      <c r="F15874" s="7" t="s">
        <v>32</v>
      </c>
      <c r="G15874" s="7">
        <v>4349325</v>
      </c>
      <c r="H15874" s="7">
        <v>2536</v>
      </c>
      <c r="I15874" s="7">
        <v>128</v>
      </c>
      <c r="J15874" s="7">
        <v>331</v>
      </c>
      <c r="K15874" s="7" t="s">
        <v>18</v>
      </c>
      <c r="L15874" s="8">
        <v>39987.315405092595</v>
      </c>
      <c r="M15874" s="9" t="s">
        <v>19</v>
      </c>
      <c r="N15874" s="9" t="s">
        <v>20</v>
      </c>
      <c r="O15874" s="6" t="str">
        <f>HYPERLINK("https://pbs.twimg.com/profile_images/962471262747529216/Uo8lOkRJ_normal.jpg","View")</f>
        <v>View</v>
      </c>
      <c r="P15874" s="7"/>
    </row>
    <row r="15875" spans="1:16">
      <c r="A15875" s="3">
        <v>44428.139398148152</v>
      </c>
      <c r="B15875" s="4" t="str">
        <f>HYPERLINK("https://twitter.com/petrogustavo","@petrogustavo")</f>
        <v>@petrogustavo</v>
      </c>
      <c r="C15875" s="5" t="s">
        <v>16</v>
      </c>
      <c r="D15875" s="5" t="s">
        <v>15282</v>
      </c>
      <c r="E15875" s="6" t="str">
        <f>HYPERLINK("https://twitter.com/petrogustavo/status/1428474539294474243","1428474539294474243")</f>
        <v>1428474539294474243</v>
      </c>
      <c r="F15875" s="7" t="s">
        <v>32</v>
      </c>
      <c r="G15875" s="7">
        <v>4349325</v>
      </c>
      <c r="H15875" s="7">
        <v>2536</v>
      </c>
      <c r="I15875" s="7">
        <v>96</v>
      </c>
      <c r="J15875" s="7">
        <v>270</v>
      </c>
      <c r="K15875" s="7" t="s">
        <v>18</v>
      </c>
      <c r="L15875" s="8">
        <v>39987.315405092595</v>
      </c>
      <c r="M15875" s="9" t="s">
        <v>19</v>
      </c>
      <c r="N15875" s="9" t="s">
        <v>20</v>
      </c>
      <c r="O15875" s="6" t="str">
        <f>HYPERLINK("https://pbs.twimg.com/profile_images/962471262747529216/Uo8lOkRJ_normal.jpg","View")</f>
        <v>View</v>
      </c>
      <c r="P15875" s="7"/>
    </row>
    <row r="15876" spans="1:16">
      <c r="A15876" s="3">
        <v>44428.214398148149</v>
      </c>
      <c r="B15876" s="4" t="str">
        <f>HYPERLINK("https://twitter.com/petrogustavo","@petrogustavo")</f>
        <v>@petrogustavo</v>
      </c>
      <c r="C15876" s="5" t="s">
        <v>16</v>
      </c>
      <c r="D15876" s="5" t="s">
        <v>15283</v>
      </c>
      <c r="E15876" s="6" t="str">
        <f>HYPERLINK("https://twitter.com/petrogustavo/status/1428501719659520000","1428501719659520000")</f>
        <v>1428501719659520000</v>
      </c>
      <c r="F15876" s="7" t="s">
        <v>32</v>
      </c>
      <c r="G15876" s="7">
        <v>4349374</v>
      </c>
      <c r="H15876" s="7">
        <v>2536</v>
      </c>
      <c r="I15876" s="7">
        <v>430</v>
      </c>
      <c r="J15876" s="7">
        <v>0</v>
      </c>
      <c r="K15876" s="7" t="s">
        <v>18</v>
      </c>
      <c r="L15876" s="8">
        <v>39987.315405092595</v>
      </c>
      <c r="M15876" s="9" t="s">
        <v>19</v>
      </c>
      <c r="N15876" s="9" t="s">
        <v>20</v>
      </c>
      <c r="O15876" s="6" t="str">
        <f>HYPERLINK("https://pbs.twimg.com/profile_images/962471262747529216/Uo8lOkRJ_normal.jpg","View")</f>
        <v>View</v>
      </c>
      <c r="P15876" s="7"/>
    </row>
    <row r="15877" spans="1:16">
      <c r="A15877" s="3">
        <v>44428.267708333333</v>
      </c>
      <c r="B15877" s="4" t="str">
        <f>HYPERLINK("https://twitter.com/petrogustavo","@petrogustavo")</f>
        <v>@petrogustavo</v>
      </c>
      <c r="C15877" s="5" t="s">
        <v>16</v>
      </c>
      <c r="D15877" s="5" t="s">
        <v>15284</v>
      </c>
      <c r="E15877" s="6" t="str">
        <f>HYPERLINK("https://twitter.com/petrogustavo/status/1428521035981275136","1428521035981275136")</f>
        <v>1428521035981275136</v>
      </c>
      <c r="F15877" s="7" t="s">
        <v>17</v>
      </c>
      <c r="G15877" s="7">
        <v>4349390</v>
      </c>
      <c r="H15877" s="7">
        <v>2536</v>
      </c>
      <c r="I15877" s="7">
        <v>216</v>
      </c>
      <c r="J15877" s="7">
        <v>618</v>
      </c>
      <c r="K15877" s="7" t="s">
        <v>18</v>
      </c>
      <c r="L15877" s="8">
        <v>39987.315405092595</v>
      </c>
      <c r="M15877" s="9" t="s">
        <v>19</v>
      </c>
      <c r="N15877" s="9" t="s">
        <v>20</v>
      </c>
      <c r="O15877" s="6" t="str">
        <f>HYPERLINK("https://pbs.twimg.com/profile_images/962471262747529216/Uo8lOkRJ_normal.jpg","View")</f>
        <v>View</v>
      </c>
      <c r="P15877" s="7"/>
    </row>
    <row r="15878" spans="1:16">
      <c r="A15878" s="3">
        <v>44428.379398148143</v>
      </c>
      <c r="B15878" s="4" t="str">
        <f>HYPERLINK("https://twitter.com/petrogustavo","@petrogustavo")</f>
        <v>@petrogustavo</v>
      </c>
      <c r="C15878" s="5" t="s">
        <v>16</v>
      </c>
      <c r="D15878" s="5" t="s">
        <v>15285</v>
      </c>
      <c r="E15878" s="6" t="str">
        <f>HYPERLINK("https://twitter.com/petrogustavo/status/1428561512352911364","1428561512352911364")</f>
        <v>1428561512352911364</v>
      </c>
      <c r="F15878" s="7" t="s">
        <v>17</v>
      </c>
      <c r="G15878" s="7">
        <v>4349504</v>
      </c>
      <c r="H15878" s="7">
        <v>2536</v>
      </c>
      <c r="I15878" s="7">
        <v>124</v>
      </c>
      <c r="J15878" s="7">
        <v>0</v>
      </c>
      <c r="K15878" s="7" t="s">
        <v>18</v>
      </c>
      <c r="L15878" s="8">
        <v>39987.315405092595</v>
      </c>
      <c r="M15878" s="9" t="s">
        <v>19</v>
      </c>
      <c r="N15878" s="9" t="s">
        <v>20</v>
      </c>
      <c r="O15878" s="6" t="str">
        <f>HYPERLINK("https://pbs.twimg.com/profile_images/962471262747529216/Uo8lOkRJ_normal.jpg","View")</f>
        <v>View</v>
      </c>
      <c r="P15878" s="7"/>
    </row>
    <row r="15879" spans="1:16">
      <c r="A15879" s="3">
        <v>44428.392847222218</v>
      </c>
      <c r="B15879" s="4" t="str">
        <f>HYPERLINK("https://twitter.com/petrogustavo","@petrogustavo")</f>
        <v>@petrogustavo</v>
      </c>
      <c r="C15879" s="5" t="s">
        <v>16</v>
      </c>
      <c r="D15879" s="5" t="s">
        <v>15286</v>
      </c>
      <c r="E15879" s="6" t="str">
        <f>HYPERLINK("https://twitter.com/petrogustavo/status/1428566385261744130","1428566385261744130")</f>
        <v>1428566385261744130</v>
      </c>
      <c r="F15879" s="7" t="s">
        <v>17</v>
      </c>
      <c r="G15879" s="7">
        <v>4349530</v>
      </c>
      <c r="H15879" s="7">
        <v>2536</v>
      </c>
      <c r="I15879" s="7">
        <v>1648</v>
      </c>
      <c r="J15879" s="7">
        <v>0</v>
      </c>
      <c r="K15879" s="7" t="s">
        <v>18</v>
      </c>
      <c r="L15879" s="8">
        <v>39987.315405092595</v>
      </c>
      <c r="M15879" s="9" t="s">
        <v>19</v>
      </c>
      <c r="N15879" s="9" t="s">
        <v>20</v>
      </c>
      <c r="O15879" s="6" t="str">
        <f>HYPERLINK("https://pbs.twimg.com/profile_images/962471262747529216/Uo8lOkRJ_normal.jpg","View")</f>
        <v>View</v>
      </c>
      <c r="P15879" s="7"/>
    </row>
    <row r="15880" spans="1:16">
      <c r="A15880" s="3">
        <v>44428.400949074072</v>
      </c>
      <c r="B15880" s="4" t="str">
        <f>HYPERLINK("https://twitter.com/petrogustavo","@petrogustavo")</f>
        <v>@petrogustavo</v>
      </c>
      <c r="C15880" s="5" t="s">
        <v>16</v>
      </c>
      <c r="D15880" s="5" t="s">
        <v>15287</v>
      </c>
      <c r="E15880" s="6" t="str">
        <f>HYPERLINK("https://twitter.com/petrogustavo/status/1428569320498548744","1428569320498548744")</f>
        <v>1428569320498548744</v>
      </c>
      <c r="F15880" s="7" t="s">
        <v>17</v>
      </c>
      <c r="G15880" s="7">
        <v>4349530</v>
      </c>
      <c r="H15880" s="7">
        <v>2536</v>
      </c>
      <c r="I15880" s="7">
        <v>72</v>
      </c>
      <c r="J15880" s="7">
        <v>185</v>
      </c>
      <c r="K15880" s="7" t="s">
        <v>18</v>
      </c>
      <c r="L15880" s="8">
        <v>39987.315405092595</v>
      </c>
      <c r="M15880" s="9" t="s">
        <v>19</v>
      </c>
      <c r="N15880" s="9" t="s">
        <v>20</v>
      </c>
      <c r="O15880" s="6" t="str">
        <f>HYPERLINK("https://pbs.twimg.com/profile_images/962471262747529216/Uo8lOkRJ_normal.jpg","View")</f>
        <v>View</v>
      </c>
      <c r="P15880" s="7"/>
    </row>
    <row r="15881" spans="1:16">
      <c r="A15881" s="3">
        <v>44428.795104166667</v>
      </c>
      <c r="B15881" s="4" t="str">
        <f>HYPERLINK("https://twitter.com/petrogustavo","@petrogustavo")</f>
        <v>@petrogustavo</v>
      </c>
      <c r="C15881" s="5" t="s">
        <v>16</v>
      </c>
      <c r="D15881" s="5" t="s">
        <v>15288</v>
      </c>
      <c r="E15881" s="6" t="str">
        <f>HYPERLINK("https://twitter.com/petrogustavo/status/1428712160079790081","1428712160079790081")</f>
        <v>1428712160079790081</v>
      </c>
      <c r="F15881" s="7" t="s">
        <v>17</v>
      </c>
      <c r="G15881" s="7">
        <v>4349622</v>
      </c>
      <c r="H15881" s="7">
        <v>2536</v>
      </c>
      <c r="I15881" s="7">
        <v>184</v>
      </c>
      <c r="J15881" s="7">
        <v>307</v>
      </c>
      <c r="K15881" s="7" t="s">
        <v>18</v>
      </c>
      <c r="L15881" s="8">
        <v>39987.315405092595</v>
      </c>
      <c r="M15881" s="9" t="s">
        <v>19</v>
      </c>
      <c r="N15881" s="9" t="s">
        <v>20</v>
      </c>
      <c r="O15881" s="6" t="str">
        <f>HYPERLINK("https://pbs.twimg.com/profile_images/962471262747529216/Uo8lOkRJ_normal.jpg","View")</f>
        <v>View</v>
      </c>
      <c r="P15881" s="7"/>
    </row>
    <row r="15882" spans="1:16">
      <c r="A15882" s="3">
        <v>44428.809293981481</v>
      </c>
      <c r="B15882" s="4" t="str">
        <f>HYPERLINK("https://twitter.com/petrogustavo","@petrogustavo")</f>
        <v>@petrogustavo</v>
      </c>
      <c r="C15882" s="5" t="s">
        <v>16</v>
      </c>
      <c r="D15882" s="5" t="s">
        <v>15289</v>
      </c>
      <c r="E15882" s="6" t="str">
        <f>HYPERLINK("https://twitter.com/petrogustavo/status/1428717300463591425","1428717300463591425")</f>
        <v>1428717300463591425</v>
      </c>
      <c r="F15882" s="7" t="s">
        <v>17</v>
      </c>
      <c r="G15882" s="7">
        <v>4349637</v>
      </c>
      <c r="H15882" s="7">
        <v>2536</v>
      </c>
      <c r="I15882" s="7">
        <v>151</v>
      </c>
      <c r="J15882" s="7">
        <v>454</v>
      </c>
      <c r="K15882" s="7" t="s">
        <v>18</v>
      </c>
      <c r="L15882" s="8">
        <v>39987.315405092595</v>
      </c>
      <c r="M15882" s="9" t="s">
        <v>19</v>
      </c>
      <c r="N15882" s="9" t="s">
        <v>20</v>
      </c>
      <c r="O15882" s="6" t="str">
        <f>HYPERLINK("https://pbs.twimg.com/profile_images/962471262747529216/Uo8lOkRJ_normal.jpg","View")</f>
        <v>View</v>
      </c>
      <c r="P15882" s="7"/>
    </row>
    <row r="15883" spans="1:16">
      <c r="A15883" s="3">
        <v>44428.809305555551</v>
      </c>
      <c r="B15883" s="4" t="str">
        <f>HYPERLINK("https://twitter.com/petrogustavo","@petrogustavo")</f>
        <v>@petrogustavo</v>
      </c>
      <c r="C15883" s="5" t="s">
        <v>16</v>
      </c>
      <c r="D15883" s="5" t="s">
        <v>15290</v>
      </c>
      <c r="E15883" s="6" t="str">
        <f>HYPERLINK("https://twitter.com/petrogustavo/status/1428717303324086276","1428717303324086276")</f>
        <v>1428717303324086276</v>
      </c>
      <c r="F15883" s="7" t="s">
        <v>17</v>
      </c>
      <c r="G15883" s="7">
        <v>4349637</v>
      </c>
      <c r="H15883" s="7">
        <v>2536</v>
      </c>
      <c r="I15883" s="7">
        <v>90</v>
      </c>
      <c r="J15883" s="7">
        <v>297</v>
      </c>
      <c r="K15883" s="7" t="s">
        <v>18</v>
      </c>
      <c r="L15883" s="8">
        <v>39987.315405092595</v>
      </c>
      <c r="M15883" s="9" t="s">
        <v>19</v>
      </c>
      <c r="N15883" s="9" t="s">
        <v>20</v>
      </c>
      <c r="O15883" s="6" t="str">
        <f>HYPERLINK("https://pbs.twimg.com/profile_images/962471262747529216/Uo8lOkRJ_normal.jpg","View")</f>
        <v>View</v>
      </c>
      <c r="P15883" s="7"/>
    </row>
    <row r="15884" spans="1:16">
      <c r="A15884" s="3">
        <v>44428.81287037037</v>
      </c>
      <c r="B15884" s="4" t="str">
        <f>HYPERLINK("https://twitter.com/petrogustavo","@petrogustavo")</f>
        <v>@petrogustavo</v>
      </c>
      <c r="C15884" s="5" t="s">
        <v>16</v>
      </c>
      <c r="D15884" s="5" t="s">
        <v>15291</v>
      </c>
      <c r="E15884" s="6" t="str">
        <f>HYPERLINK("https://twitter.com/petrogustavo/status/1428718596709097475","1428718596709097475")</f>
        <v>1428718596709097475</v>
      </c>
      <c r="F15884" s="7" t="s">
        <v>17</v>
      </c>
      <c r="G15884" s="7">
        <v>4349637</v>
      </c>
      <c r="H15884" s="7">
        <v>2536</v>
      </c>
      <c r="I15884" s="7">
        <v>340</v>
      </c>
      <c r="J15884" s="7">
        <v>1181</v>
      </c>
      <c r="K15884" s="7" t="s">
        <v>18</v>
      </c>
      <c r="L15884" s="8">
        <v>39987.315405092595</v>
      </c>
      <c r="M15884" s="9" t="s">
        <v>19</v>
      </c>
      <c r="N15884" s="9" t="s">
        <v>20</v>
      </c>
      <c r="O15884" s="6" t="str">
        <f>HYPERLINK("https://pbs.twimg.com/profile_images/962471262747529216/Uo8lOkRJ_normal.jpg","View")</f>
        <v>View</v>
      </c>
      <c r="P15884" s="7"/>
    </row>
    <row r="15885" spans="1:16">
      <c r="A15885" s="3">
        <v>44428.82267361111</v>
      </c>
      <c r="B15885" s="4" t="str">
        <f>HYPERLINK("https://twitter.com/petrogustavo","@petrogustavo")</f>
        <v>@petrogustavo</v>
      </c>
      <c r="C15885" s="5" t="s">
        <v>16</v>
      </c>
      <c r="D15885" s="5" t="s">
        <v>15292</v>
      </c>
      <c r="E15885" s="6" t="str">
        <f>HYPERLINK("https://twitter.com/petrogustavo/status/1428722148835831813","1428722148835831813")</f>
        <v>1428722148835831813</v>
      </c>
      <c r="F15885" s="7" t="s">
        <v>17</v>
      </c>
      <c r="G15885" s="7">
        <v>4349637</v>
      </c>
      <c r="H15885" s="7">
        <v>2536</v>
      </c>
      <c r="I15885" s="7">
        <v>48</v>
      </c>
      <c r="J15885" s="7">
        <v>90</v>
      </c>
      <c r="K15885" s="7" t="s">
        <v>18</v>
      </c>
      <c r="L15885" s="8">
        <v>39987.315405092595</v>
      </c>
      <c r="M15885" s="9" t="s">
        <v>19</v>
      </c>
      <c r="N15885" s="9" t="s">
        <v>20</v>
      </c>
      <c r="O15885" s="6" t="str">
        <f>HYPERLINK("https://pbs.twimg.com/profile_images/962471262747529216/Uo8lOkRJ_normal.jpg","View")</f>
        <v>View</v>
      </c>
      <c r="P15885" s="7"/>
    </row>
    <row r="15886" spans="1:16">
      <c r="A15886" s="3">
        <v>44428.827870370369</v>
      </c>
      <c r="B15886" s="4" t="str">
        <f>HYPERLINK("https://twitter.com/petrogustavo","@petrogustavo")</f>
        <v>@petrogustavo</v>
      </c>
      <c r="C15886" s="5" t="s">
        <v>16</v>
      </c>
      <c r="D15886" s="5" t="s">
        <v>15293</v>
      </c>
      <c r="E15886" s="6" t="str">
        <f>HYPERLINK("https://twitter.com/petrogustavo/status/1428724034053808130","1428724034053808130")</f>
        <v>1428724034053808130</v>
      </c>
      <c r="F15886" s="7" t="s">
        <v>17</v>
      </c>
      <c r="G15886" s="7">
        <v>4349638</v>
      </c>
      <c r="H15886" s="7">
        <v>2536</v>
      </c>
      <c r="I15886" s="7">
        <v>66</v>
      </c>
      <c r="J15886" s="7">
        <v>280</v>
      </c>
      <c r="K15886" s="7" t="s">
        <v>18</v>
      </c>
      <c r="L15886" s="8">
        <v>39987.315405092595</v>
      </c>
      <c r="M15886" s="9" t="s">
        <v>19</v>
      </c>
      <c r="N15886" s="9" t="s">
        <v>20</v>
      </c>
      <c r="O15886" s="6" t="str">
        <f>HYPERLINK("https://pbs.twimg.com/profile_images/962471262747529216/Uo8lOkRJ_normal.jpg","View")</f>
        <v>View</v>
      </c>
      <c r="P15886" s="7"/>
    </row>
    <row r="15887" spans="1:16">
      <c r="A15887" s="3">
        <v>44428.866296296299</v>
      </c>
      <c r="B15887" s="4" t="str">
        <f>HYPERLINK("https://twitter.com/petrogustavo","@petrogustavo")</f>
        <v>@petrogustavo</v>
      </c>
      <c r="C15887" s="5" t="s">
        <v>16</v>
      </c>
      <c r="D15887" s="5" t="s">
        <v>15294</v>
      </c>
      <c r="E15887" s="6" t="str">
        <f>HYPERLINK("https://twitter.com/petrogustavo/status/1428737959390502914","1428737959390502914")</f>
        <v>1428737959390502914</v>
      </c>
      <c r="F15887" s="7" t="s">
        <v>17</v>
      </c>
      <c r="G15887" s="7">
        <v>4349653</v>
      </c>
      <c r="H15887" s="7">
        <v>2536</v>
      </c>
      <c r="I15887" s="7">
        <v>4</v>
      </c>
      <c r="J15887" s="7">
        <v>14</v>
      </c>
      <c r="K15887" s="7" t="s">
        <v>18</v>
      </c>
      <c r="L15887" s="8">
        <v>39987.315405092595</v>
      </c>
      <c r="M15887" s="9" t="s">
        <v>19</v>
      </c>
      <c r="N15887" s="9" t="s">
        <v>20</v>
      </c>
      <c r="O15887" s="6" t="str">
        <f>HYPERLINK("https://pbs.twimg.com/profile_images/962471262747529216/Uo8lOkRJ_normal.jpg","View")</f>
        <v>View</v>
      </c>
      <c r="P15887" s="7"/>
    </row>
    <row r="15888" spans="1:16">
      <c r="A15888" s="3">
        <v>44428.891018518523</v>
      </c>
      <c r="B15888" s="4" t="str">
        <f>HYPERLINK("https://twitter.com/petrogustavo","@petrogustavo")</f>
        <v>@petrogustavo</v>
      </c>
      <c r="C15888" s="5" t="s">
        <v>16</v>
      </c>
      <c r="D15888" s="5" t="s">
        <v>15295</v>
      </c>
      <c r="E15888" s="6" t="str">
        <f>HYPERLINK("https://twitter.com/petrogustavo/status/1428746915353710597","1428746915353710597")</f>
        <v>1428746915353710597</v>
      </c>
      <c r="F15888" s="7" t="s">
        <v>17</v>
      </c>
      <c r="G15888" s="7">
        <v>4349662</v>
      </c>
      <c r="H15888" s="7">
        <v>2537</v>
      </c>
      <c r="I15888" s="7">
        <v>126</v>
      </c>
      <c r="J15888" s="7">
        <v>555</v>
      </c>
      <c r="K15888" s="7" t="s">
        <v>18</v>
      </c>
      <c r="L15888" s="8">
        <v>39987.315405092595</v>
      </c>
      <c r="M15888" s="9" t="s">
        <v>19</v>
      </c>
      <c r="N15888" s="9" t="s">
        <v>20</v>
      </c>
      <c r="O15888" s="6" t="str">
        <f>HYPERLINK("https://pbs.twimg.com/profile_images/962471262747529216/Uo8lOkRJ_normal.jpg","View")</f>
        <v>View</v>
      </c>
      <c r="P15888" s="7"/>
    </row>
    <row r="15889" spans="1:16">
      <c r="A15889" s="3">
        <v>44428.948530092588</v>
      </c>
      <c r="B15889" s="4" t="str">
        <f>HYPERLINK("https://twitter.com/petrogustavo","@petrogustavo")</f>
        <v>@petrogustavo</v>
      </c>
      <c r="C15889" s="5" t="s">
        <v>16</v>
      </c>
      <c r="D15889" s="5" t="s">
        <v>15296</v>
      </c>
      <c r="E15889" s="6" t="str">
        <f>HYPERLINK("https://twitter.com/petrogustavo/status/1428767759450652674","1428767759450652674")</f>
        <v>1428767759450652674</v>
      </c>
      <c r="F15889" s="7" t="s">
        <v>17</v>
      </c>
      <c r="G15889" s="7">
        <v>4349681</v>
      </c>
      <c r="H15889" s="7">
        <v>2537</v>
      </c>
      <c r="I15889" s="7">
        <v>64</v>
      </c>
      <c r="J15889" s="7">
        <v>167</v>
      </c>
      <c r="K15889" s="7" t="s">
        <v>18</v>
      </c>
      <c r="L15889" s="8">
        <v>39987.315405092595</v>
      </c>
      <c r="M15889" s="9" t="s">
        <v>19</v>
      </c>
      <c r="N15889" s="9" t="s">
        <v>20</v>
      </c>
      <c r="O15889" s="6" t="str">
        <f>HYPERLINK("https://pbs.twimg.com/profile_images/962471262747529216/Uo8lOkRJ_normal.jpg","View")</f>
        <v>View</v>
      </c>
      <c r="P15889" s="7"/>
    </row>
    <row r="15890" spans="1:16">
      <c r="A15890" s="3">
        <v>44428.96711805556</v>
      </c>
      <c r="B15890" s="4" t="str">
        <f>HYPERLINK("https://twitter.com/petrogustavo","@petrogustavo")</f>
        <v>@petrogustavo</v>
      </c>
      <c r="C15890" s="5" t="s">
        <v>16</v>
      </c>
      <c r="D15890" s="5" t="s">
        <v>15297</v>
      </c>
      <c r="E15890" s="6" t="str">
        <f>HYPERLINK("https://twitter.com/petrogustavo/status/1428774493410009090","1428774493410009090")</f>
        <v>1428774493410009090</v>
      </c>
      <c r="F15890" s="7" t="s">
        <v>32</v>
      </c>
      <c r="G15890" s="7">
        <v>4349689</v>
      </c>
      <c r="H15890" s="7">
        <v>2537</v>
      </c>
      <c r="I15890" s="7">
        <v>22</v>
      </c>
      <c r="J15890" s="7">
        <v>81</v>
      </c>
      <c r="K15890" s="7" t="s">
        <v>18</v>
      </c>
      <c r="L15890" s="8">
        <v>39987.315405092595</v>
      </c>
      <c r="M15890" s="9" t="s">
        <v>19</v>
      </c>
      <c r="N15890" s="9" t="s">
        <v>20</v>
      </c>
      <c r="O15890" s="6" t="str">
        <f>HYPERLINK("https://pbs.twimg.com/profile_images/962471262747529216/Uo8lOkRJ_normal.jpg","View")</f>
        <v>View</v>
      </c>
      <c r="P15890" s="7"/>
    </row>
    <row r="15891" spans="1:16">
      <c r="A15891" s="3">
        <v>44429.169131944444</v>
      </c>
      <c r="B15891" s="4" t="str">
        <f>HYPERLINK("https://twitter.com/petrogustavo","@petrogustavo")</f>
        <v>@petrogustavo</v>
      </c>
      <c r="C15891" s="5" t="s">
        <v>16</v>
      </c>
      <c r="D15891" s="5" t="s">
        <v>15298</v>
      </c>
      <c r="E15891" s="6" t="str">
        <f>HYPERLINK("https://twitter.com/petrogustavo/status/1428847702733991938","1428847702733991938")</f>
        <v>1428847702733991938</v>
      </c>
      <c r="F15891" s="7" t="s">
        <v>17</v>
      </c>
      <c r="G15891" s="7">
        <v>4349817</v>
      </c>
      <c r="H15891" s="7">
        <v>2538</v>
      </c>
      <c r="I15891" s="7">
        <v>233</v>
      </c>
      <c r="J15891" s="7">
        <v>642</v>
      </c>
      <c r="K15891" s="7" t="s">
        <v>18</v>
      </c>
      <c r="L15891" s="8">
        <v>39987.315405092595</v>
      </c>
      <c r="M15891" s="9" t="s">
        <v>19</v>
      </c>
      <c r="N15891" s="9" t="s">
        <v>20</v>
      </c>
      <c r="O15891" s="6" t="str">
        <f>HYPERLINK("https://pbs.twimg.com/profile_images/962471262747529216/Uo8lOkRJ_normal.jpg","View")</f>
        <v>View</v>
      </c>
      <c r="P15891" s="7"/>
    </row>
    <row r="15892" spans="1:16">
      <c r="A15892" s="3">
        <v>44429.221331018518</v>
      </c>
      <c r="B15892" s="4" t="str">
        <f>HYPERLINK("https://twitter.com/petrogustavo","@petrogustavo")</f>
        <v>@petrogustavo</v>
      </c>
      <c r="C15892" s="5" t="s">
        <v>16</v>
      </c>
      <c r="D15892" s="5" t="s">
        <v>15299</v>
      </c>
      <c r="E15892" s="6" t="str">
        <f>HYPERLINK("https://twitter.com/petrogustavo/status/1428866616142581766","1428866616142581766")</f>
        <v>1428866616142581766</v>
      </c>
      <c r="F15892" s="7" t="s">
        <v>17</v>
      </c>
      <c r="G15892" s="7">
        <v>4349851</v>
      </c>
      <c r="H15892" s="7">
        <v>2538</v>
      </c>
      <c r="I15892" s="7">
        <v>115</v>
      </c>
      <c r="J15892" s="7">
        <v>0</v>
      </c>
      <c r="K15892" s="7" t="s">
        <v>18</v>
      </c>
      <c r="L15892" s="8">
        <v>39987.315405092595</v>
      </c>
      <c r="M15892" s="9" t="s">
        <v>19</v>
      </c>
      <c r="N15892" s="9" t="s">
        <v>20</v>
      </c>
      <c r="O15892" s="6" t="str">
        <f>HYPERLINK("https://pbs.twimg.com/profile_images/962471262747529216/Uo8lOkRJ_normal.jpg","View")</f>
        <v>View</v>
      </c>
      <c r="P15892" s="7"/>
    </row>
    <row r="15893" spans="1:16">
      <c r="A15893" s="3">
        <v>44429.26939814815</v>
      </c>
      <c r="B15893" s="4" t="str">
        <f>HYPERLINK("https://twitter.com/petrogustavo","@petrogustavo")</f>
        <v>@petrogustavo</v>
      </c>
      <c r="C15893" s="5" t="s">
        <v>16</v>
      </c>
      <c r="D15893" s="5" t="s">
        <v>15300</v>
      </c>
      <c r="E15893" s="6" t="str">
        <f>HYPERLINK("https://twitter.com/petrogustavo/status/1428884037775593472","1428884037775593472")</f>
        <v>1428884037775593472</v>
      </c>
      <c r="F15893" s="7" t="s">
        <v>17</v>
      </c>
      <c r="G15893" s="7">
        <v>4349864</v>
      </c>
      <c r="H15893" s="7">
        <v>2538</v>
      </c>
      <c r="I15893" s="7">
        <v>361</v>
      </c>
      <c r="J15893" s="7">
        <v>0</v>
      </c>
      <c r="K15893" s="7" t="s">
        <v>18</v>
      </c>
      <c r="L15893" s="8">
        <v>39987.315405092595</v>
      </c>
      <c r="M15893" s="9" t="s">
        <v>19</v>
      </c>
      <c r="N15893" s="9" t="s">
        <v>20</v>
      </c>
      <c r="O15893" s="6" t="str">
        <f>HYPERLINK("https://pbs.twimg.com/profile_images/962471262747529216/Uo8lOkRJ_normal.jpg","View")</f>
        <v>View</v>
      </c>
      <c r="P15893" s="7"/>
    </row>
    <row r="15894" spans="1:16">
      <c r="A15894" s="3">
        <v>44429.275462962964</v>
      </c>
      <c r="B15894" s="4" t="str">
        <f>HYPERLINK("https://twitter.com/petrogustavo","@petrogustavo")</f>
        <v>@petrogustavo</v>
      </c>
      <c r="C15894" s="5" t="s">
        <v>16</v>
      </c>
      <c r="D15894" s="5" t="s">
        <v>15299</v>
      </c>
      <c r="E15894" s="6" t="str">
        <f>HYPERLINK("https://twitter.com/petrogustavo/status/1428886236664639490","1428886236664639490")</f>
        <v>1428886236664639490</v>
      </c>
      <c r="F15894" s="7" t="s">
        <v>17</v>
      </c>
      <c r="G15894" s="7">
        <v>4349864</v>
      </c>
      <c r="H15894" s="7">
        <v>2538</v>
      </c>
      <c r="I15894" s="7">
        <v>174</v>
      </c>
      <c r="J15894" s="7">
        <v>0</v>
      </c>
      <c r="K15894" s="7" t="s">
        <v>18</v>
      </c>
      <c r="L15894" s="8">
        <v>39987.315405092595</v>
      </c>
      <c r="M15894" s="9" t="s">
        <v>19</v>
      </c>
      <c r="N15894" s="9" t="s">
        <v>20</v>
      </c>
      <c r="O15894" s="6" t="str">
        <f>HYPERLINK("https://pbs.twimg.com/profile_images/962471262747529216/Uo8lOkRJ_normal.jpg","View")</f>
        <v>View</v>
      </c>
      <c r="P15894" s="7"/>
    </row>
    <row r="15895" spans="1:16">
      <c r="A15895" s="3">
        <v>44429.818865740745</v>
      </c>
      <c r="B15895" s="4" t="str">
        <f>HYPERLINK("https://twitter.com/petrogustavo","@petrogustavo")</f>
        <v>@petrogustavo</v>
      </c>
      <c r="C15895" s="5" t="s">
        <v>16</v>
      </c>
      <c r="D15895" s="4" t="s">
        <v>15301</v>
      </c>
      <c r="E15895" s="6" t="str">
        <f>HYPERLINK("https://twitter.com/petrogustavo/status/1429083159124140033","1429083159124140033")</f>
        <v>1429083159124140033</v>
      </c>
      <c r="F15895" s="7" t="s">
        <v>17</v>
      </c>
      <c r="G15895" s="7">
        <v>4350076</v>
      </c>
      <c r="H15895" s="7">
        <v>2538</v>
      </c>
      <c r="I15895" s="7">
        <v>30</v>
      </c>
      <c r="J15895" s="7">
        <v>140</v>
      </c>
      <c r="K15895" s="7" t="s">
        <v>18</v>
      </c>
      <c r="L15895" s="8">
        <v>39987.315405092595</v>
      </c>
      <c r="M15895" s="9" t="s">
        <v>19</v>
      </c>
      <c r="N15895" s="9" t="s">
        <v>20</v>
      </c>
      <c r="O15895" s="6" t="str">
        <f>HYPERLINK("https://pbs.twimg.com/profile_images/962471262747529216/Uo8lOkRJ_normal.jpg","View")</f>
        <v>View</v>
      </c>
      <c r="P15895" s="7"/>
    </row>
    <row r="15896" spans="1:16">
      <c r="A15896" s="3">
        <v>44429.825902777782</v>
      </c>
      <c r="B15896" s="4" t="str">
        <f>HYPERLINK("https://twitter.com/petrogustavo","@petrogustavo")</f>
        <v>@petrogustavo</v>
      </c>
      <c r="C15896" s="5" t="s">
        <v>16</v>
      </c>
      <c r="D15896" s="5" t="s">
        <v>15302</v>
      </c>
      <c r="E15896" s="6" t="str">
        <f>HYPERLINK("https://twitter.com/petrogustavo/status/1429085705645461507","1429085705645461507")</f>
        <v>1429085705645461507</v>
      </c>
      <c r="F15896" s="7" t="s">
        <v>17</v>
      </c>
      <c r="G15896" s="7">
        <v>4350075</v>
      </c>
      <c r="H15896" s="7">
        <v>2538</v>
      </c>
      <c r="I15896" s="7">
        <v>505</v>
      </c>
      <c r="J15896" s="7">
        <v>0</v>
      </c>
      <c r="K15896" s="7" t="s">
        <v>18</v>
      </c>
      <c r="L15896" s="8">
        <v>39987.315405092595</v>
      </c>
      <c r="M15896" s="9" t="s">
        <v>19</v>
      </c>
      <c r="N15896" s="9" t="s">
        <v>20</v>
      </c>
      <c r="O15896" s="6" t="str">
        <f>HYPERLINK("https://pbs.twimg.com/profile_images/962471262747529216/Uo8lOkRJ_normal.jpg","View")</f>
        <v>View</v>
      </c>
      <c r="P15896" s="7"/>
    </row>
    <row r="15897" spans="1:16">
      <c r="A15897" s="3">
        <v>44429.859583333338</v>
      </c>
      <c r="B15897" s="4" t="str">
        <f>HYPERLINK("https://twitter.com/petrogustavo","@petrogustavo")</f>
        <v>@petrogustavo</v>
      </c>
      <c r="C15897" s="5" t="s">
        <v>16</v>
      </c>
      <c r="D15897" s="5" t="s">
        <v>15303</v>
      </c>
      <c r="E15897" s="6" t="str">
        <f>HYPERLINK("https://twitter.com/petrogustavo/status/1429097914308206593","1429097914308206593")</f>
        <v>1429097914308206593</v>
      </c>
      <c r="F15897" s="7" t="s">
        <v>21</v>
      </c>
      <c r="G15897" s="7">
        <v>4350083</v>
      </c>
      <c r="H15897" s="7">
        <v>2538</v>
      </c>
      <c r="I15897" s="7">
        <v>184</v>
      </c>
      <c r="J15897" s="7">
        <v>298</v>
      </c>
      <c r="K15897" s="7" t="s">
        <v>18</v>
      </c>
      <c r="L15897" s="8">
        <v>39987.315405092595</v>
      </c>
      <c r="M15897" s="9" t="s">
        <v>19</v>
      </c>
      <c r="N15897" s="9" t="s">
        <v>20</v>
      </c>
      <c r="O15897" s="6" t="str">
        <f>HYPERLINK("https://pbs.twimg.com/profile_images/962471262747529216/Uo8lOkRJ_normal.jpg","View")</f>
        <v>View</v>
      </c>
      <c r="P15897" s="7"/>
    </row>
    <row r="15898" spans="1:16">
      <c r="A15898" s="3">
        <v>44429.957928240736</v>
      </c>
      <c r="B15898" s="4" t="str">
        <f>HYPERLINK("https://twitter.com/petrogustavo","@petrogustavo")</f>
        <v>@petrogustavo</v>
      </c>
      <c r="C15898" s="5" t="s">
        <v>16</v>
      </c>
      <c r="D15898" s="5" t="s">
        <v>15304</v>
      </c>
      <c r="E15898" s="6" t="str">
        <f>HYPERLINK("https://twitter.com/petrogustavo/status/1429133551132364800","1429133551132364800")</f>
        <v>1429133551132364800</v>
      </c>
      <c r="F15898" s="7" t="s">
        <v>32</v>
      </c>
      <c r="G15898" s="7">
        <v>4350135</v>
      </c>
      <c r="H15898" s="7">
        <v>2538</v>
      </c>
      <c r="I15898" s="7">
        <v>94</v>
      </c>
      <c r="J15898" s="7">
        <v>335</v>
      </c>
      <c r="K15898" s="7" t="s">
        <v>18</v>
      </c>
      <c r="L15898" s="8">
        <v>39987.315405092595</v>
      </c>
      <c r="M15898" s="9" t="s">
        <v>19</v>
      </c>
      <c r="N15898" s="9" t="s">
        <v>20</v>
      </c>
      <c r="O15898" s="6" t="str">
        <f>HYPERLINK("https://pbs.twimg.com/profile_images/962471262747529216/Uo8lOkRJ_normal.jpg","View")</f>
        <v>View</v>
      </c>
      <c r="P15898" s="7"/>
    </row>
    <row r="15899" spans="1:16">
      <c r="A15899" s="3">
        <v>44429.972222222219</v>
      </c>
      <c r="B15899" s="4" t="str">
        <f>HYPERLINK("https://twitter.com/petrogustavo","@petrogustavo")</f>
        <v>@petrogustavo</v>
      </c>
      <c r="C15899" s="5" t="s">
        <v>16</v>
      </c>
      <c r="D15899" s="5" t="s">
        <v>15305</v>
      </c>
      <c r="E15899" s="6" t="str">
        <f>HYPERLINK("https://twitter.com/petrogustavo/status/1429138731844448261","1429138731844448261")</f>
        <v>1429138731844448261</v>
      </c>
      <c r="F15899" s="7" t="s">
        <v>32</v>
      </c>
      <c r="G15899" s="7">
        <v>4350141</v>
      </c>
      <c r="H15899" s="7">
        <v>2538</v>
      </c>
      <c r="I15899" s="7">
        <v>174</v>
      </c>
      <c r="J15899" s="7">
        <v>477</v>
      </c>
      <c r="K15899" s="7" t="s">
        <v>18</v>
      </c>
      <c r="L15899" s="8">
        <v>39987.315405092595</v>
      </c>
      <c r="M15899" s="9" t="s">
        <v>19</v>
      </c>
      <c r="N15899" s="9" t="s">
        <v>20</v>
      </c>
      <c r="O15899" s="6" t="str">
        <f>HYPERLINK("https://pbs.twimg.com/profile_images/962471262747529216/Uo8lOkRJ_normal.jpg","View")</f>
        <v>View</v>
      </c>
      <c r="P15899" s="7"/>
    </row>
    <row r="15900" spans="1:16">
      <c r="A15900" s="3">
        <v>44429.973460648151</v>
      </c>
      <c r="B15900" s="4" t="str">
        <f>HYPERLINK("https://twitter.com/petrogustavo","@petrogustavo")</f>
        <v>@petrogustavo</v>
      </c>
      <c r="C15900" s="5" t="s">
        <v>16</v>
      </c>
      <c r="D15900" s="5" t="s">
        <v>15306</v>
      </c>
      <c r="E15900" s="6" t="str">
        <f>HYPERLINK("https://twitter.com/petrogustavo/status/1429139182325219328","1429139182325219328")</f>
        <v>1429139182325219328</v>
      </c>
      <c r="F15900" s="7" t="s">
        <v>32</v>
      </c>
      <c r="G15900" s="7">
        <v>4350141</v>
      </c>
      <c r="H15900" s="7">
        <v>2538</v>
      </c>
      <c r="I15900" s="7">
        <v>41</v>
      </c>
      <c r="J15900" s="7">
        <v>0</v>
      </c>
      <c r="K15900" s="7" t="s">
        <v>18</v>
      </c>
      <c r="L15900" s="8">
        <v>39987.315405092595</v>
      </c>
      <c r="M15900" s="9" t="s">
        <v>19</v>
      </c>
      <c r="N15900" s="9" t="s">
        <v>20</v>
      </c>
      <c r="O15900" s="6" t="str">
        <f>HYPERLINK("https://pbs.twimg.com/profile_images/962471262747529216/Uo8lOkRJ_normal.jpg","View")</f>
        <v>View</v>
      </c>
      <c r="P15900" s="7"/>
    </row>
    <row r="15901" spans="1:16">
      <c r="A15901" s="3">
        <v>44429.978703703702</v>
      </c>
      <c r="B15901" s="4" t="str">
        <f>HYPERLINK("https://twitter.com/petrogustavo","@petrogustavo")</f>
        <v>@petrogustavo</v>
      </c>
      <c r="C15901" s="5" t="s">
        <v>16</v>
      </c>
      <c r="D15901" s="5" t="s">
        <v>15307</v>
      </c>
      <c r="E15901" s="6" t="str">
        <f>HYPERLINK("https://twitter.com/petrogustavo/status/1429141079455043588","1429141079455043588")</f>
        <v>1429141079455043588</v>
      </c>
      <c r="F15901" s="7" t="s">
        <v>32</v>
      </c>
      <c r="G15901" s="7">
        <v>4350141</v>
      </c>
      <c r="H15901" s="7">
        <v>2538</v>
      </c>
      <c r="I15901" s="7">
        <v>174</v>
      </c>
      <c r="J15901" s="7">
        <v>0</v>
      </c>
      <c r="K15901" s="7" t="s">
        <v>18</v>
      </c>
      <c r="L15901" s="8">
        <v>39987.315405092595</v>
      </c>
      <c r="M15901" s="9" t="s">
        <v>19</v>
      </c>
      <c r="N15901" s="9" t="s">
        <v>20</v>
      </c>
      <c r="O15901" s="6" t="str">
        <f>HYPERLINK("https://pbs.twimg.com/profile_images/962471262747529216/Uo8lOkRJ_normal.jpg","View")</f>
        <v>View</v>
      </c>
      <c r="P15901" s="7"/>
    </row>
    <row r="15902" spans="1:16">
      <c r="A15902" s="3">
        <v>44429.98510416667</v>
      </c>
      <c r="B15902" s="4" t="str">
        <f>HYPERLINK("https://twitter.com/petrogustavo","@petrogustavo")</f>
        <v>@petrogustavo</v>
      </c>
      <c r="C15902" s="5" t="s">
        <v>16</v>
      </c>
      <c r="D15902" s="5" t="s">
        <v>15308</v>
      </c>
      <c r="E15902" s="6" t="str">
        <f>HYPERLINK("https://twitter.com/petrogustavo/status/1429143400201216004","1429143400201216004")</f>
        <v>1429143400201216004</v>
      </c>
      <c r="F15902" s="7" t="s">
        <v>32</v>
      </c>
      <c r="G15902" s="7">
        <v>4350141</v>
      </c>
      <c r="H15902" s="7">
        <v>2538</v>
      </c>
      <c r="I15902" s="7">
        <v>2133</v>
      </c>
      <c r="J15902" s="7">
        <v>0</v>
      </c>
      <c r="K15902" s="7" t="s">
        <v>18</v>
      </c>
      <c r="L15902" s="8">
        <v>39987.315405092595</v>
      </c>
      <c r="M15902" s="9" t="s">
        <v>19</v>
      </c>
      <c r="N15902" s="9" t="s">
        <v>20</v>
      </c>
      <c r="O15902" s="6" t="str">
        <f>HYPERLINK("https://pbs.twimg.com/profile_images/962471262747529216/Uo8lOkRJ_normal.jpg","View")</f>
        <v>View</v>
      </c>
      <c r="P15902" s="7"/>
    </row>
    <row r="15903" spans="1:16">
      <c r="A15903" s="3">
        <v>44430.06149305556</v>
      </c>
      <c r="B15903" s="4" t="str">
        <f>HYPERLINK("https://twitter.com/petrogustavo","@petrogustavo")</f>
        <v>@petrogustavo</v>
      </c>
      <c r="C15903" s="5" t="s">
        <v>16</v>
      </c>
      <c r="D15903" s="5" t="s">
        <v>15309</v>
      </c>
      <c r="E15903" s="6" t="str">
        <f>HYPERLINK("https://twitter.com/petrogustavo/status/1429171084771962885","1429171084771962885")</f>
        <v>1429171084771962885</v>
      </c>
      <c r="F15903" s="7" t="s">
        <v>17</v>
      </c>
      <c r="G15903" s="7">
        <v>4350183</v>
      </c>
      <c r="H15903" s="7">
        <v>2538</v>
      </c>
      <c r="I15903" s="7">
        <v>1095</v>
      </c>
      <c r="J15903" s="7">
        <v>0</v>
      </c>
      <c r="K15903" s="7" t="s">
        <v>18</v>
      </c>
      <c r="L15903" s="8">
        <v>39987.315405092595</v>
      </c>
      <c r="M15903" s="9" t="s">
        <v>19</v>
      </c>
      <c r="N15903" s="9" t="s">
        <v>20</v>
      </c>
      <c r="O15903" s="6" t="str">
        <f>HYPERLINK("https://pbs.twimg.com/profile_images/962471262747529216/Uo8lOkRJ_normal.jpg","View")</f>
        <v>View</v>
      </c>
      <c r="P15903" s="7"/>
    </row>
    <row r="15904" spans="1:16">
      <c r="A15904" s="3">
        <v>44430.064745370371</v>
      </c>
      <c r="B15904" s="4" t="str">
        <f>HYPERLINK("https://twitter.com/petrogustavo","@petrogustavo")</f>
        <v>@petrogustavo</v>
      </c>
      <c r="C15904" s="5" t="s">
        <v>16</v>
      </c>
      <c r="D15904" s="5" t="s">
        <v>15310</v>
      </c>
      <c r="E15904" s="6" t="str">
        <f>HYPERLINK("https://twitter.com/petrogustavo/status/1429172261240639495","1429172261240639495")</f>
        <v>1429172261240639495</v>
      </c>
      <c r="F15904" s="7" t="s">
        <v>17</v>
      </c>
      <c r="G15904" s="7">
        <v>4350183</v>
      </c>
      <c r="H15904" s="7">
        <v>2538</v>
      </c>
      <c r="I15904" s="7">
        <v>348</v>
      </c>
      <c r="J15904" s="7">
        <v>0</v>
      </c>
      <c r="K15904" s="7" t="s">
        <v>18</v>
      </c>
      <c r="L15904" s="8">
        <v>39987.315405092595</v>
      </c>
      <c r="M15904" s="9" t="s">
        <v>19</v>
      </c>
      <c r="N15904" s="9" t="s">
        <v>20</v>
      </c>
      <c r="O15904" s="6" t="str">
        <f>HYPERLINK("https://pbs.twimg.com/profile_images/962471262747529216/Uo8lOkRJ_normal.jpg","View")</f>
        <v>View</v>
      </c>
      <c r="P15904" s="7"/>
    </row>
    <row r="15905" spans="1:16">
      <c r="A15905" s="3">
        <v>44430.220532407402</v>
      </c>
      <c r="B15905" s="4" t="str">
        <f>HYPERLINK("https://twitter.com/petrogustavo","@petrogustavo")</f>
        <v>@petrogustavo</v>
      </c>
      <c r="C15905" s="5" t="s">
        <v>16</v>
      </c>
      <c r="D15905" s="5" t="s">
        <v>15311</v>
      </c>
      <c r="E15905" s="6" t="str">
        <f>HYPERLINK("https://twitter.com/petrogustavo/status/1429228716987756545","1429228716987756545")</f>
        <v>1429228716987756545</v>
      </c>
      <c r="F15905" s="7" t="s">
        <v>17</v>
      </c>
      <c r="G15905" s="7">
        <v>4350267</v>
      </c>
      <c r="H15905" s="7">
        <v>2538</v>
      </c>
      <c r="I15905" s="7">
        <v>143</v>
      </c>
      <c r="J15905" s="7">
        <v>610</v>
      </c>
      <c r="K15905" s="7" t="s">
        <v>18</v>
      </c>
      <c r="L15905" s="8">
        <v>39987.315405092595</v>
      </c>
      <c r="M15905" s="9" t="s">
        <v>19</v>
      </c>
      <c r="N15905" s="9" t="s">
        <v>20</v>
      </c>
      <c r="O15905" s="6" t="str">
        <f>HYPERLINK("https://pbs.twimg.com/profile_images/962471262747529216/Uo8lOkRJ_normal.jpg","View")</f>
        <v>View</v>
      </c>
      <c r="P15905" s="7"/>
    </row>
    <row r="15906" spans="1:16">
      <c r="A15906" s="3">
        <v>44430.874918981484</v>
      </c>
      <c r="B15906" s="4" t="str">
        <f>HYPERLINK("https://twitter.com/petrogustavo","@petrogustavo")</f>
        <v>@petrogustavo</v>
      </c>
      <c r="C15906" s="5" t="s">
        <v>16</v>
      </c>
      <c r="D15906" s="5" t="s">
        <v>15312</v>
      </c>
      <c r="E15906" s="6" t="str">
        <f>HYPERLINK("https://twitter.com/petrogustavo/status/1429465857906913284","1429465857906913284")</f>
        <v>1429465857906913284</v>
      </c>
      <c r="F15906" s="7" t="s">
        <v>17</v>
      </c>
      <c r="G15906" s="7">
        <v>4350410</v>
      </c>
      <c r="H15906" s="7">
        <v>2538</v>
      </c>
      <c r="I15906" s="7">
        <v>36</v>
      </c>
      <c r="J15906" s="7">
        <v>81</v>
      </c>
      <c r="K15906" s="7" t="s">
        <v>18</v>
      </c>
      <c r="L15906" s="8">
        <v>39987.315405092595</v>
      </c>
      <c r="M15906" s="9" t="s">
        <v>19</v>
      </c>
      <c r="N15906" s="9" t="s">
        <v>20</v>
      </c>
      <c r="O15906" s="6" t="str">
        <f>HYPERLINK("https://pbs.twimg.com/profile_images/962471262747529216/Uo8lOkRJ_normal.jpg","View")</f>
        <v>View</v>
      </c>
      <c r="P15906" s="7"/>
    </row>
    <row r="15907" spans="1:16">
      <c r="A15907" s="3">
        <v>44430.874918981484</v>
      </c>
      <c r="B15907" s="4" t="str">
        <f>HYPERLINK("https://twitter.com/petrogustavo","@petrogustavo")</f>
        <v>@petrogustavo</v>
      </c>
      <c r="C15907" s="5" t="s">
        <v>16</v>
      </c>
      <c r="D15907" s="5" t="s">
        <v>15313</v>
      </c>
      <c r="E15907" s="6" t="str">
        <f>HYPERLINK("https://twitter.com/petrogustavo/status/1429465859349786624","1429465859349786624")</f>
        <v>1429465859349786624</v>
      </c>
      <c r="F15907" s="7" t="s">
        <v>17</v>
      </c>
      <c r="G15907" s="7">
        <v>4350410</v>
      </c>
      <c r="H15907" s="7">
        <v>2538</v>
      </c>
      <c r="I15907" s="7">
        <v>25</v>
      </c>
      <c r="J15907" s="7">
        <v>53</v>
      </c>
      <c r="K15907" s="7" t="s">
        <v>18</v>
      </c>
      <c r="L15907" s="8">
        <v>39987.315405092595</v>
      </c>
      <c r="M15907" s="9" t="s">
        <v>19</v>
      </c>
      <c r="N15907" s="9" t="s">
        <v>20</v>
      </c>
      <c r="O15907" s="6" t="str">
        <f>HYPERLINK("https://pbs.twimg.com/profile_images/962471262747529216/Uo8lOkRJ_normal.jpg","View")</f>
        <v>View</v>
      </c>
      <c r="P15907" s="7"/>
    </row>
    <row r="15908" spans="1:16">
      <c r="A15908" s="3">
        <v>44430.886145833334</v>
      </c>
      <c r="B15908" s="4" t="str">
        <f>HYPERLINK("https://twitter.com/petrogustavo","@petrogustavo")</f>
        <v>@petrogustavo</v>
      </c>
      <c r="C15908" s="5" t="s">
        <v>16</v>
      </c>
      <c r="D15908" s="5" t="s">
        <v>15314</v>
      </c>
      <c r="E15908" s="6" t="str">
        <f>HYPERLINK("https://twitter.com/petrogustavo/status/1429469925261914117","1429469925261914117")</f>
        <v>1429469925261914117</v>
      </c>
      <c r="F15908" s="7" t="s">
        <v>17</v>
      </c>
      <c r="G15908" s="7">
        <v>4350417</v>
      </c>
      <c r="H15908" s="7">
        <v>2538</v>
      </c>
      <c r="I15908" s="7">
        <v>40</v>
      </c>
      <c r="J15908" s="7">
        <v>0</v>
      </c>
      <c r="K15908" s="7" t="s">
        <v>18</v>
      </c>
      <c r="L15908" s="8">
        <v>39987.315405092595</v>
      </c>
      <c r="M15908" s="9" t="s">
        <v>19</v>
      </c>
      <c r="N15908" s="9" t="s">
        <v>20</v>
      </c>
      <c r="O15908" s="6" t="str">
        <f>HYPERLINK("https://pbs.twimg.com/profile_images/962471262747529216/Uo8lOkRJ_normal.jpg","View")</f>
        <v>View</v>
      </c>
      <c r="P15908" s="7"/>
    </row>
    <row r="15909" spans="1:16">
      <c r="A15909" s="3">
        <v>44430.887141203704</v>
      </c>
      <c r="B15909" s="4" t="str">
        <f>HYPERLINK("https://twitter.com/petrogustavo","@petrogustavo")</f>
        <v>@petrogustavo</v>
      </c>
      <c r="C15909" s="5" t="s">
        <v>16</v>
      </c>
      <c r="D15909" s="5" t="s">
        <v>15315</v>
      </c>
      <c r="E15909" s="6" t="str">
        <f>HYPERLINK("https://twitter.com/petrogustavo/status/1429470287339401226","1429470287339401226")</f>
        <v>1429470287339401226</v>
      </c>
      <c r="F15909" s="7" t="s">
        <v>17</v>
      </c>
      <c r="G15909" s="7">
        <v>4350417</v>
      </c>
      <c r="H15909" s="7">
        <v>2538</v>
      </c>
      <c r="I15909" s="7">
        <v>381</v>
      </c>
      <c r="J15909" s="7">
        <v>0</v>
      </c>
      <c r="K15909" s="7" t="s">
        <v>18</v>
      </c>
      <c r="L15909" s="8">
        <v>39987.315405092595</v>
      </c>
      <c r="M15909" s="9" t="s">
        <v>19</v>
      </c>
      <c r="N15909" s="9" t="s">
        <v>20</v>
      </c>
      <c r="O15909" s="6" t="str">
        <f>HYPERLINK("https://pbs.twimg.com/profile_images/962471262747529216/Uo8lOkRJ_normal.jpg","View")</f>
        <v>View</v>
      </c>
      <c r="P15909" s="7"/>
    </row>
    <row r="15910" spans="1:16">
      <c r="A15910" s="3">
        <v>44431.069293981476</v>
      </c>
      <c r="B15910" s="4" t="str">
        <f>HYPERLINK("https://twitter.com/petrogustavo","@petrogustavo")</f>
        <v>@petrogustavo</v>
      </c>
      <c r="C15910" s="5" t="s">
        <v>16</v>
      </c>
      <c r="D15910" s="5" t="s">
        <v>15316</v>
      </c>
      <c r="E15910" s="6" t="str">
        <f>HYPERLINK("https://twitter.com/petrogustavo/status/1429536295823581188","1429536295823581188")</f>
        <v>1429536295823581188</v>
      </c>
      <c r="F15910" s="7" t="s">
        <v>17</v>
      </c>
      <c r="G15910" s="7">
        <v>4350518</v>
      </c>
      <c r="H15910" s="7">
        <v>2538</v>
      </c>
      <c r="I15910" s="7">
        <v>311</v>
      </c>
      <c r="J15910" s="7">
        <v>0</v>
      </c>
      <c r="K15910" s="7" t="s">
        <v>18</v>
      </c>
      <c r="L15910" s="8">
        <v>39987.315405092595</v>
      </c>
      <c r="M15910" s="9" t="s">
        <v>19</v>
      </c>
      <c r="N15910" s="9" t="s">
        <v>20</v>
      </c>
      <c r="O15910" s="6" t="str">
        <f>HYPERLINK("https://pbs.twimg.com/profile_images/962471262747529216/Uo8lOkRJ_normal.jpg","View")</f>
        <v>View</v>
      </c>
      <c r="P15910" s="7"/>
    </row>
    <row r="15911" spans="1:16">
      <c r="A15911" s="3">
        <v>44431.08662037037</v>
      </c>
      <c r="B15911" s="4" t="str">
        <f>HYPERLINK("https://twitter.com/petrogustavo","@petrogustavo")</f>
        <v>@petrogustavo</v>
      </c>
      <c r="C15911" s="5" t="s">
        <v>16</v>
      </c>
      <c r="D15911" s="5" t="s">
        <v>15308</v>
      </c>
      <c r="E15911" s="6" t="str">
        <f>HYPERLINK("https://twitter.com/petrogustavo/status/1429542576516968460","1429542576516968460")</f>
        <v>1429542576516968460</v>
      </c>
      <c r="F15911" s="7" t="s">
        <v>17</v>
      </c>
      <c r="G15911" s="7">
        <v>4350515</v>
      </c>
      <c r="H15911" s="7">
        <v>2538</v>
      </c>
      <c r="I15911" s="7">
        <v>5194</v>
      </c>
      <c r="J15911" s="7">
        <v>0</v>
      </c>
      <c r="K15911" s="7" t="s">
        <v>18</v>
      </c>
      <c r="L15911" s="8">
        <v>39987.315405092595</v>
      </c>
      <c r="M15911" s="9" t="s">
        <v>19</v>
      </c>
      <c r="N15911" s="9" t="s">
        <v>20</v>
      </c>
      <c r="O15911" s="6" t="str">
        <f>HYPERLINK("https://pbs.twimg.com/profile_images/962471262747529216/Uo8lOkRJ_normal.jpg","View")</f>
        <v>View</v>
      </c>
      <c r="P15911" s="7"/>
    </row>
    <row r="15912" spans="1:16">
      <c r="A15912" s="3">
        <v>44431.194872685184</v>
      </c>
      <c r="B15912" s="4" t="str">
        <f>HYPERLINK("https://twitter.com/petrogustavo","@petrogustavo")</f>
        <v>@petrogustavo</v>
      </c>
      <c r="C15912" s="5" t="s">
        <v>16</v>
      </c>
      <c r="D15912" s="5" t="s">
        <v>15317</v>
      </c>
      <c r="E15912" s="6" t="str">
        <f>HYPERLINK("https://twitter.com/petrogustavo/status/1429581804948889608","1429581804948889608")</f>
        <v>1429581804948889608</v>
      </c>
      <c r="F15912" s="7" t="s">
        <v>17</v>
      </c>
      <c r="G15912" s="7">
        <v>4350564</v>
      </c>
      <c r="H15912" s="7">
        <v>2538</v>
      </c>
      <c r="I15912" s="7">
        <v>139</v>
      </c>
      <c r="J15912" s="7">
        <v>418</v>
      </c>
      <c r="K15912" s="7" t="s">
        <v>18</v>
      </c>
      <c r="L15912" s="8">
        <v>39987.315405092595</v>
      </c>
      <c r="M15912" s="9" t="s">
        <v>19</v>
      </c>
      <c r="N15912" s="9" t="s">
        <v>20</v>
      </c>
      <c r="O15912" s="6" t="str">
        <f>HYPERLINK("https://pbs.twimg.com/profile_images/962471262747529216/Uo8lOkRJ_normal.jpg","View")</f>
        <v>View</v>
      </c>
      <c r="P15912" s="7"/>
    </row>
    <row r="15913" spans="1:16">
      <c r="A15913" s="3">
        <v>44431.194872685184</v>
      </c>
      <c r="B15913" s="4" t="str">
        <f>HYPERLINK("https://twitter.com/petrogustavo","@petrogustavo")</f>
        <v>@petrogustavo</v>
      </c>
      <c r="C15913" s="5" t="s">
        <v>16</v>
      </c>
      <c r="D15913" s="5" t="s">
        <v>15318</v>
      </c>
      <c r="E15913" s="6" t="str">
        <f>HYPERLINK("https://twitter.com/petrogustavo/status/1429581806618226689","1429581806618226689")</f>
        <v>1429581806618226689</v>
      </c>
      <c r="F15913" s="7" t="s">
        <v>17</v>
      </c>
      <c r="G15913" s="7">
        <v>4350564</v>
      </c>
      <c r="H15913" s="7">
        <v>2538</v>
      </c>
      <c r="I15913" s="7">
        <v>80</v>
      </c>
      <c r="J15913" s="7">
        <v>298</v>
      </c>
      <c r="K15913" s="7" t="s">
        <v>18</v>
      </c>
      <c r="L15913" s="8">
        <v>39987.315405092595</v>
      </c>
      <c r="M15913" s="9" t="s">
        <v>19</v>
      </c>
      <c r="N15913" s="9" t="s">
        <v>20</v>
      </c>
      <c r="O15913" s="6" t="str">
        <f>HYPERLINK("https://pbs.twimg.com/profile_images/962471262747529216/Uo8lOkRJ_normal.jpg","View")</f>
        <v>View</v>
      </c>
      <c r="P15913" s="7"/>
    </row>
    <row r="15914" spans="1:16">
      <c r="A15914" s="3">
        <v>44431.194884259261</v>
      </c>
      <c r="B15914" s="4" t="str">
        <f>HYPERLINK("https://twitter.com/petrogustavo","@petrogustavo")</f>
        <v>@petrogustavo</v>
      </c>
      <c r="C15914" s="5" t="s">
        <v>16</v>
      </c>
      <c r="D15914" s="5" t="s">
        <v>15319</v>
      </c>
      <c r="E15914" s="6" t="str">
        <f>HYPERLINK("https://twitter.com/petrogustavo/status/1429581808014868482","1429581808014868482")</f>
        <v>1429581808014868482</v>
      </c>
      <c r="F15914" s="7" t="s">
        <v>17</v>
      </c>
      <c r="G15914" s="7">
        <v>4350564</v>
      </c>
      <c r="H15914" s="7">
        <v>2538</v>
      </c>
      <c r="I15914" s="7">
        <v>69</v>
      </c>
      <c r="J15914" s="7">
        <v>294</v>
      </c>
      <c r="K15914" s="7" t="s">
        <v>18</v>
      </c>
      <c r="L15914" s="8">
        <v>39987.315405092595</v>
      </c>
      <c r="M15914" s="9" t="s">
        <v>19</v>
      </c>
      <c r="N15914" s="9" t="s">
        <v>20</v>
      </c>
      <c r="O15914" s="6" t="str">
        <f>HYPERLINK("https://pbs.twimg.com/profile_images/962471262747529216/Uo8lOkRJ_normal.jpg","View")</f>
        <v>View</v>
      </c>
      <c r="P15914" s="7"/>
    </row>
    <row r="15915" spans="1:16">
      <c r="A15915" s="3">
        <v>44431.688252314816</v>
      </c>
      <c r="B15915" s="4" t="str">
        <f>HYPERLINK("https://twitter.com/petrogustavo","@petrogustavo")</f>
        <v>@petrogustavo</v>
      </c>
      <c r="C15915" s="5" t="s">
        <v>16</v>
      </c>
      <c r="D15915" s="5" t="s">
        <v>15320</v>
      </c>
      <c r="E15915" s="6" t="str">
        <f>HYPERLINK("https://twitter.com/petrogustavo/status/1429760599521730565","1429760599521730565")</f>
        <v>1429760599521730565</v>
      </c>
      <c r="F15915" s="7" t="s">
        <v>17</v>
      </c>
      <c r="G15915" s="7">
        <v>4350725</v>
      </c>
      <c r="H15915" s="7">
        <v>2537</v>
      </c>
      <c r="I15915" s="7">
        <v>3100</v>
      </c>
      <c r="J15915" s="7">
        <v>0</v>
      </c>
      <c r="K15915" s="7" t="s">
        <v>18</v>
      </c>
      <c r="L15915" s="8">
        <v>39987.315405092595</v>
      </c>
      <c r="M15915" s="9" t="s">
        <v>19</v>
      </c>
      <c r="N15915" s="9" t="s">
        <v>20</v>
      </c>
      <c r="O15915" s="6" t="str">
        <f>HYPERLINK("https://pbs.twimg.com/profile_images/962471262747529216/Uo8lOkRJ_normal.jpg","View")</f>
        <v>View</v>
      </c>
      <c r="P15915" s="7"/>
    </row>
    <row r="15916" spans="1:16">
      <c r="A15916" s="3">
        <v>44431.693888888884</v>
      </c>
      <c r="B15916" s="4" t="str">
        <f>HYPERLINK("https://twitter.com/petrogustavo","@petrogustavo")</f>
        <v>@petrogustavo</v>
      </c>
      <c r="C15916" s="5" t="s">
        <v>16</v>
      </c>
      <c r="D15916" s="5" t="s">
        <v>15321</v>
      </c>
      <c r="E15916" s="6" t="str">
        <f>HYPERLINK("https://twitter.com/petrogustavo/status/1429762644597223426","1429762644597223426")</f>
        <v>1429762644597223426</v>
      </c>
      <c r="F15916" s="7" t="s">
        <v>17</v>
      </c>
      <c r="G15916" s="7">
        <v>4350735</v>
      </c>
      <c r="H15916" s="7">
        <v>2537</v>
      </c>
      <c r="I15916" s="7">
        <v>182</v>
      </c>
      <c r="J15916" s="7">
        <v>487</v>
      </c>
      <c r="K15916" s="7" t="s">
        <v>18</v>
      </c>
      <c r="L15916" s="8">
        <v>39987.315405092595</v>
      </c>
      <c r="M15916" s="9" t="s">
        <v>19</v>
      </c>
      <c r="N15916" s="9" t="s">
        <v>20</v>
      </c>
      <c r="O15916" s="6" t="str">
        <f>HYPERLINK("https://pbs.twimg.com/profile_images/962471262747529216/Uo8lOkRJ_normal.jpg","View")</f>
        <v>View</v>
      </c>
      <c r="P15916" s="7"/>
    </row>
    <row r="15917" spans="1:16">
      <c r="A15917" s="3">
        <v>44431.698483796295</v>
      </c>
      <c r="B15917" s="4" t="str">
        <f>HYPERLINK("https://twitter.com/petrogustavo","@petrogustavo")</f>
        <v>@petrogustavo</v>
      </c>
      <c r="C15917" s="5" t="s">
        <v>16</v>
      </c>
      <c r="D15917" s="5" t="s">
        <v>15322</v>
      </c>
      <c r="E15917" s="6" t="str">
        <f>HYPERLINK("https://twitter.com/petrogustavo/status/1429764308590866438","1429764308590866438")</f>
        <v>1429764308590866438</v>
      </c>
      <c r="F15917" s="7" t="s">
        <v>17</v>
      </c>
      <c r="G15917" s="7">
        <v>4350735</v>
      </c>
      <c r="H15917" s="7">
        <v>2537</v>
      </c>
      <c r="I15917" s="7">
        <v>977</v>
      </c>
      <c r="J15917" s="7">
        <v>0</v>
      </c>
      <c r="K15917" s="7" t="s">
        <v>18</v>
      </c>
      <c r="L15917" s="8">
        <v>39987.315405092595</v>
      </c>
      <c r="M15917" s="9" t="s">
        <v>19</v>
      </c>
      <c r="N15917" s="9" t="s">
        <v>20</v>
      </c>
      <c r="O15917" s="6" t="str">
        <f>HYPERLINK("https://pbs.twimg.com/profile_images/962471262747529216/Uo8lOkRJ_normal.jpg","View")</f>
        <v>View</v>
      </c>
      <c r="P15917" s="7"/>
    </row>
    <row r="15918" spans="1:16">
      <c r="A15918" s="3">
        <v>44431.771886574075</v>
      </c>
      <c r="B15918" s="4" t="str">
        <f>HYPERLINK("https://twitter.com/petrogustavo","@petrogustavo")</f>
        <v>@petrogustavo</v>
      </c>
      <c r="C15918" s="5" t="s">
        <v>16</v>
      </c>
      <c r="D15918" s="5" t="s">
        <v>15323</v>
      </c>
      <c r="E15918" s="6" t="str">
        <f>HYPERLINK("https://twitter.com/petrogustavo/status/1429790908891992071","1429790908891992071")</f>
        <v>1429790908891992071</v>
      </c>
      <c r="F15918" s="7" t="s">
        <v>17</v>
      </c>
      <c r="G15918" s="7">
        <v>4350767</v>
      </c>
      <c r="H15918" s="7">
        <v>2537</v>
      </c>
      <c r="I15918" s="7">
        <v>5586</v>
      </c>
      <c r="J15918" s="7">
        <v>0</v>
      </c>
      <c r="K15918" s="7" t="s">
        <v>18</v>
      </c>
      <c r="L15918" s="8">
        <v>39987.315405092595</v>
      </c>
      <c r="M15918" s="9" t="s">
        <v>19</v>
      </c>
      <c r="N15918" s="9" t="s">
        <v>20</v>
      </c>
      <c r="O15918" s="6" t="str">
        <f>HYPERLINK("https://pbs.twimg.com/profile_images/962471262747529216/Uo8lOkRJ_normal.jpg","View")</f>
        <v>View</v>
      </c>
      <c r="P15918" s="7"/>
    </row>
    <row r="15919" spans="1:16">
      <c r="A15919" s="3">
        <v>44431.806157407409</v>
      </c>
      <c r="B15919" s="4" t="str">
        <f>HYPERLINK("https://twitter.com/petrogustavo","@petrogustavo")</f>
        <v>@petrogustavo</v>
      </c>
      <c r="C15919" s="5" t="s">
        <v>16</v>
      </c>
      <c r="D15919" s="5" t="s">
        <v>15324</v>
      </c>
      <c r="E15919" s="6" t="str">
        <f>HYPERLINK("https://twitter.com/petrogustavo/status/1429803329320853506","1429803329320853506")</f>
        <v>1429803329320853506</v>
      </c>
      <c r="F15919" s="7" t="s">
        <v>17</v>
      </c>
      <c r="G15919" s="7">
        <v>4350793</v>
      </c>
      <c r="H15919" s="7">
        <v>2537</v>
      </c>
      <c r="I15919" s="7">
        <v>104</v>
      </c>
      <c r="J15919" s="7">
        <v>340</v>
      </c>
      <c r="K15919" s="7" t="s">
        <v>18</v>
      </c>
      <c r="L15919" s="8">
        <v>39987.315405092595</v>
      </c>
      <c r="M15919" s="9" t="s">
        <v>19</v>
      </c>
      <c r="N15919" s="9" t="s">
        <v>20</v>
      </c>
      <c r="O15919" s="6" t="str">
        <f>HYPERLINK("https://pbs.twimg.com/profile_images/962471262747529216/Uo8lOkRJ_normal.jpg","View")</f>
        <v>View</v>
      </c>
      <c r="P15919" s="7"/>
    </row>
    <row r="15920" spans="1:16">
      <c r="A15920" s="3">
        <v>44432.006597222222</v>
      </c>
      <c r="B15920" s="4" t="str">
        <f>HYPERLINK("https://twitter.com/petrogustavo","@petrogustavo")</f>
        <v>@petrogustavo</v>
      </c>
      <c r="C15920" s="5" t="s">
        <v>16</v>
      </c>
      <c r="D15920" s="5" t="s">
        <v>15325</v>
      </c>
      <c r="E15920" s="6" t="str">
        <f>HYPERLINK("https://twitter.com/petrogustavo/status/1429875963274403842","1429875963274403842")</f>
        <v>1429875963274403842</v>
      </c>
      <c r="F15920" s="7" t="s">
        <v>17</v>
      </c>
      <c r="G15920" s="7">
        <v>4350914</v>
      </c>
      <c r="H15920" s="7">
        <v>2537</v>
      </c>
      <c r="I15920" s="7">
        <v>173</v>
      </c>
      <c r="J15920" s="7">
        <v>708</v>
      </c>
      <c r="K15920" s="7" t="s">
        <v>18</v>
      </c>
      <c r="L15920" s="8">
        <v>39987.315405092595</v>
      </c>
      <c r="M15920" s="9" t="s">
        <v>19</v>
      </c>
      <c r="N15920" s="9" t="s">
        <v>20</v>
      </c>
      <c r="O15920" s="6" t="str">
        <f>HYPERLINK("https://pbs.twimg.com/profile_images/962471262747529216/Uo8lOkRJ_normal.jpg","View")</f>
        <v>View</v>
      </c>
      <c r="P15920" s="7"/>
    </row>
    <row r="15921" spans="1:16">
      <c r="A15921" s="3">
        <v>44432.048495370371</v>
      </c>
      <c r="B15921" s="4" t="str">
        <f>HYPERLINK("https://twitter.com/petrogustavo","@petrogustavo")</f>
        <v>@petrogustavo</v>
      </c>
      <c r="C15921" s="5" t="s">
        <v>16</v>
      </c>
      <c r="D15921" s="5" t="s">
        <v>15326</v>
      </c>
      <c r="E15921" s="6" t="str">
        <f>HYPERLINK("https://twitter.com/petrogustavo/status/1429891148319952896","1429891148319952896")</f>
        <v>1429891148319952896</v>
      </c>
      <c r="F15921" s="7" t="s">
        <v>17</v>
      </c>
      <c r="G15921" s="7">
        <v>4350928</v>
      </c>
      <c r="H15921" s="7">
        <v>2537</v>
      </c>
      <c r="I15921" s="7">
        <v>99</v>
      </c>
      <c r="J15921" s="7">
        <v>285</v>
      </c>
      <c r="K15921" s="7" t="s">
        <v>18</v>
      </c>
      <c r="L15921" s="8">
        <v>39987.315405092595</v>
      </c>
      <c r="M15921" s="9" t="s">
        <v>19</v>
      </c>
      <c r="N15921" s="9" t="s">
        <v>20</v>
      </c>
      <c r="O15921" s="6" t="str">
        <f>HYPERLINK("https://pbs.twimg.com/profile_images/962471262747529216/Uo8lOkRJ_normal.jpg","View")</f>
        <v>View</v>
      </c>
      <c r="P15921" s="7"/>
    </row>
    <row r="15922" spans="1:16">
      <c r="A15922" s="3">
        <v>44432.723020833335</v>
      </c>
      <c r="B15922" s="4" t="str">
        <f>HYPERLINK("https://twitter.com/petrogustavo","@petrogustavo")</f>
        <v>@petrogustavo</v>
      </c>
      <c r="C15922" s="5" t="s">
        <v>16</v>
      </c>
      <c r="D15922" s="5" t="s">
        <v>15327</v>
      </c>
      <c r="E15922" s="6" t="str">
        <f>HYPERLINK("https://twitter.com/petrogustavo/status/1430135590041931804","1430135590041931804")</f>
        <v>1430135590041931804</v>
      </c>
      <c r="F15922" s="7" t="s">
        <v>32</v>
      </c>
      <c r="G15922" s="7">
        <v>4351172</v>
      </c>
      <c r="H15922" s="7">
        <v>2537</v>
      </c>
      <c r="I15922" s="7">
        <v>85</v>
      </c>
      <c r="J15922" s="7">
        <v>301</v>
      </c>
      <c r="K15922" s="7" t="s">
        <v>18</v>
      </c>
      <c r="L15922" s="8">
        <v>39987.315405092595</v>
      </c>
      <c r="M15922" s="9" t="s">
        <v>19</v>
      </c>
      <c r="N15922" s="9" t="s">
        <v>20</v>
      </c>
      <c r="O15922" s="6" t="str">
        <f>HYPERLINK("https://pbs.twimg.com/profile_images/962471262747529216/Uo8lOkRJ_normal.jpg","View")</f>
        <v>View</v>
      </c>
      <c r="P15922" s="7"/>
    </row>
    <row r="15923" spans="1:16">
      <c r="A15923" s="3">
        <v>44432.728402777779</v>
      </c>
      <c r="B15923" s="4" t="str">
        <f>HYPERLINK("https://twitter.com/petrogustavo","@petrogustavo")</f>
        <v>@petrogustavo</v>
      </c>
      <c r="C15923" s="5" t="s">
        <v>16</v>
      </c>
      <c r="D15923" s="5" t="s">
        <v>15328</v>
      </c>
      <c r="E15923" s="6" t="str">
        <f>HYPERLINK("https://twitter.com/petrogustavo/status/1430137540389085185","1430137540389085185")</f>
        <v>1430137540389085185</v>
      </c>
      <c r="F15923" s="7" t="s">
        <v>32</v>
      </c>
      <c r="G15923" s="7">
        <v>4351172</v>
      </c>
      <c r="H15923" s="7">
        <v>2537</v>
      </c>
      <c r="I15923" s="7">
        <v>48</v>
      </c>
      <c r="J15923" s="7">
        <v>85</v>
      </c>
      <c r="K15923" s="7" t="s">
        <v>18</v>
      </c>
      <c r="L15923" s="8">
        <v>39987.315405092595</v>
      </c>
      <c r="M15923" s="9" t="s">
        <v>19</v>
      </c>
      <c r="N15923" s="9" t="s">
        <v>20</v>
      </c>
      <c r="O15923" s="6" t="str">
        <f>HYPERLINK("https://pbs.twimg.com/profile_images/962471262747529216/Uo8lOkRJ_normal.jpg","View")</f>
        <v>View</v>
      </c>
      <c r="P15923" s="7"/>
    </row>
    <row r="15924" spans="1:16">
      <c r="A15924" s="3">
        <v>44432.730856481481</v>
      </c>
      <c r="B15924" s="4" t="str">
        <f>HYPERLINK("https://twitter.com/petrogustavo","@petrogustavo")</f>
        <v>@petrogustavo</v>
      </c>
      <c r="C15924" s="5" t="s">
        <v>16</v>
      </c>
      <c r="D15924" s="5" t="s">
        <v>15329</v>
      </c>
      <c r="E15924" s="6" t="str">
        <f>HYPERLINK("https://twitter.com/petrogustavo/status/1430138427245318168","1430138427245318168")</f>
        <v>1430138427245318168</v>
      </c>
      <c r="F15924" s="7" t="s">
        <v>32</v>
      </c>
      <c r="G15924" s="7">
        <v>4351183</v>
      </c>
      <c r="H15924" s="7">
        <v>2537</v>
      </c>
      <c r="I15924" s="7">
        <v>361</v>
      </c>
      <c r="J15924" s="7">
        <v>0</v>
      </c>
      <c r="K15924" s="7" t="s">
        <v>18</v>
      </c>
      <c r="L15924" s="8">
        <v>39987.315405092595</v>
      </c>
      <c r="M15924" s="9" t="s">
        <v>19</v>
      </c>
      <c r="N15924" s="9" t="s">
        <v>20</v>
      </c>
      <c r="O15924" s="6" t="str">
        <f>HYPERLINK("https://pbs.twimg.com/profile_images/962471262747529216/Uo8lOkRJ_normal.jpg","View")</f>
        <v>View</v>
      </c>
      <c r="P15924" s="7"/>
    </row>
    <row r="15925" spans="1:16">
      <c r="A15925" s="3">
        <v>44432.738391203704</v>
      </c>
      <c r="B15925" s="4" t="str">
        <f>HYPERLINK("https://twitter.com/petrogustavo","@petrogustavo")</f>
        <v>@petrogustavo</v>
      </c>
      <c r="C15925" s="5" t="s">
        <v>16</v>
      </c>
      <c r="D15925" s="5" t="s">
        <v>15330</v>
      </c>
      <c r="E15925" s="6" t="str">
        <f>HYPERLINK("https://twitter.com/petrogustavo/status/1430141159247073281","1430141159247073281")</f>
        <v>1430141159247073281</v>
      </c>
      <c r="F15925" s="7" t="s">
        <v>32</v>
      </c>
      <c r="G15925" s="7">
        <v>4351183</v>
      </c>
      <c r="H15925" s="7">
        <v>2537</v>
      </c>
      <c r="I15925" s="7">
        <v>220</v>
      </c>
      <c r="J15925" s="7">
        <v>580</v>
      </c>
      <c r="K15925" s="7" t="s">
        <v>18</v>
      </c>
      <c r="L15925" s="8">
        <v>39987.315405092595</v>
      </c>
      <c r="M15925" s="9" t="s">
        <v>19</v>
      </c>
      <c r="N15925" s="9" t="s">
        <v>20</v>
      </c>
      <c r="O15925" s="6" t="str">
        <f>HYPERLINK("https://pbs.twimg.com/profile_images/962471262747529216/Uo8lOkRJ_normal.jpg","View")</f>
        <v>View</v>
      </c>
      <c r="P15925" s="7"/>
    </row>
    <row r="15926" spans="1:16">
      <c r="A15926" s="3">
        <v>44432.738402777773</v>
      </c>
      <c r="B15926" s="4" t="str">
        <f>HYPERLINK("https://twitter.com/petrogustavo","@petrogustavo")</f>
        <v>@petrogustavo</v>
      </c>
      <c r="C15926" s="5" t="s">
        <v>16</v>
      </c>
      <c r="D15926" s="5" t="s">
        <v>15331</v>
      </c>
      <c r="E15926" s="6" t="str">
        <f>HYPERLINK("https://twitter.com/petrogustavo/status/1430141160941670403","1430141160941670403")</f>
        <v>1430141160941670403</v>
      </c>
      <c r="F15926" s="7" t="s">
        <v>32</v>
      </c>
      <c r="G15926" s="7">
        <v>4351183</v>
      </c>
      <c r="H15926" s="7">
        <v>2537</v>
      </c>
      <c r="I15926" s="7">
        <v>109</v>
      </c>
      <c r="J15926" s="7">
        <v>316</v>
      </c>
      <c r="K15926" s="7" t="s">
        <v>18</v>
      </c>
      <c r="L15926" s="8">
        <v>39987.315405092595</v>
      </c>
      <c r="M15926" s="9" t="s">
        <v>19</v>
      </c>
      <c r="N15926" s="9" t="s">
        <v>20</v>
      </c>
      <c r="O15926" s="6" t="str">
        <f>HYPERLINK("https://pbs.twimg.com/profile_images/962471262747529216/Uo8lOkRJ_normal.jpg","View")</f>
        <v>View</v>
      </c>
      <c r="P15926" s="7"/>
    </row>
    <row r="15927" spans="1:16">
      <c r="A15927" s="3">
        <v>44432.743159722224</v>
      </c>
      <c r="B15927" s="4" t="str">
        <f>HYPERLINK("https://twitter.com/petrogustavo","@petrogustavo")</f>
        <v>@petrogustavo</v>
      </c>
      <c r="C15927" s="5" t="s">
        <v>16</v>
      </c>
      <c r="D15927" s="5" t="s">
        <v>15332</v>
      </c>
      <c r="E15927" s="6" t="str">
        <f>HYPERLINK("https://twitter.com/petrogustavo/status/1430142887367528465","1430142887367528465")</f>
        <v>1430142887367528465</v>
      </c>
      <c r="F15927" s="7" t="s">
        <v>32</v>
      </c>
      <c r="G15927" s="7">
        <v>4351183</v>
      </c>
      <c r="H15927" s="7">
        <v>2537</v>
      </c>
      <c r="I15927" s="7">
        <v>33</v>
      </c>
      <c r="J15927" s="7">
        <v>0</v>
      </c>
      <c r="K15927" s="7" t="s">
        <v>18</v>
      </c>
      <c r="L15927" s="8">
        <v>39987.315405092595</v>
      </c>
      <c r="M15927" s="9" t="s">
        <v>19</v>
      </c>
      <c r="N15927" s="9" t="s">
        <v>20</v>
      </c>
      <c r="O15927" s="6" t="str">
        <f>HYPERLINK("https://pbs.twimg.com/profile_images/962471262747529216/Uo8lOkRJ_normal.jpg","View")</f>
        <v>View</v>
      </c>
      <c r="P15927" s="7"/>
    </row>
    <row r="15928" spans="1:16">
      <c r="A15928" s="3">
        <v>44432.74354166667</v>
      </c>
      <c r="B15928" s="4" t="str">
        <f>HYPERLINK("https://twitter.com/petrogustavo","@petrogustavo")</f>
        <v>@petrogustavo</v>
      </c>
      <c r="C15928" s="5" t="s">
        <v>16</v>
      </c>
      <c r="D15928" s="5" t="s">
        <v>15333</v>
      </c>
      <c r="E15928" s="6" t="str">
        <f>HYPERLINK("https://twitter.com/petrogustavo/status/1430143025490141190","1430143025490141190")</f>
        <v>1430143025490141190</v>
      </c>
      <c r="F15928" s="7" t="s">
        <v>32</v>
      </c>
      <c r="G15928" s="7">
        <v>4351183</v>
      </c>
      <c r="H15928" s="7">
        <v>2537</v>
      </c>
      <c r="I15928" s="7">
        <v>220</v>
      </c>
      <c r="J15928" s="7">
        <v>0</v>
      </c>
      <c r="K15928" s="7" t="s">
        <v>18</v>
      </c>
      <c r="L15928" s="8">
        <v>39987.315405092595</v>
      </c>
      <c r="M15928" s="9" t="s">
        <v>19</v>
      </c>
      <c r="N15928" s="9" t="s">
        <v>20</v>
      </c>
      <c r="O15928" s="6" t="str">
        <f>HYPERLINK("https://pbs.twimg.com/profile_images/962471262747529216/Uo8lOkRJ_normal.jpg","View")</f>
        <v>View</v>
      </c>
      <c r="P15928" s="7"/>
    </row>
    <row r="15929" spans="1:16">
      <c r="A15929" s="3">
        <v>44432.76362268519</v>
      </c>
      <c r="B15929" s="4" t="str">
        <f>HYPERLINK("https://twitter.com/petrogustavo","@petrogustavo")</f>
        <v>@petrogustavo</v>
      </c>
      <c r="C15929" s="5" t="s">
        <v>16</v>
      </c>
      <c r="D15929" s="5" t="s">
        <v>15334</v>
      </c>
      <c r="E15929" s="6" t="str">
        <f>HYPERLINK("https://twitter.com/petrogustavo/status/1430150300120326144","1430150300120326144")</f>
        <v>1430150300120326144</v>
      </c>
      <c r="F15929" s="7" t="s">
        <v>32</v>
      </c>
      <c r="G15929" s="7">
        <v>4351178</v>
      </c>
      <c r="H15929" s="7">
        <v>2537</v>
      </c>
      <c r="I15929" s="7">
        <v>92</v>
      </c>
      <c r="J15929" s="7">
        <v>277</v>
      </c>
      <c r="K15929" s="7" t="s">
        <v>18</v>
      </c>
      <c r="L15929" s="8">
        <v>39987.315405092595</v>
      </c>
      <c r="M15929" s="9" t="s">
        <v>19</v>
      </c>
      <c r="N15929" s="9" t="s">
        <v>20</v>
      </c>
      <c r="O15929" s="6" t="str">
        <f>HYPERLINK("https://pbs.twimg.com/profile_images/962471262747529216/Uo8lOkRJ_normal.jpg","View")</f>
        <v>View</v>
      </c>
      <c r="P15929" s="7"/>
    </row>
    <row r="15930" spans="1:16">
      <c r="A15930" s="3">
        <v>44432.76362268519</v>
      </c>
      <c r="B15930" s="4" t="str">
        <f>HYPERLINK("https://twitter.com/petrogustavo","@petrogustavo")</f>
        <v>@petrogustavo</v>
      </c>
      <c r="C15930" s="5" t="s">
        <v>16</v>
      </c>
      <c r="D15930" s="5" t="s">
        <v>15335</v>
      </c>
      <c r="E15930" s="6" t="str">
        <f>HYPERLINK("https://twitter.com/petrogustavo/status/1430150301852618762","1430150301852618762")</f>
        <v>1430150301852618762</v>
      </c>
      <c r="F15930" s="7" t="s">
        <v>32</v>
      </c>
      <c r="G15930" s="7">
        <v>4351178</v>
      </c>
      <c r="H15930" s="7">
        <v>2537</v>
      </c>
      <c r="I15930" s="7">
        <v>59</v>
      </c>
      <c r="J15930" s="7">
        <v>240</v>
      </c>
      <c r="K15930" s="7" t="s">
        <v>18</v>
      </c>
      <c r="L15930" s="8">
        <v>39987.315405092595</v>
      </c>
      <c r="M15930" s="9" t="s">
        <v>19</v>
      </c>
      <c r="N15930" s="9" t="s">
        <v>20</v>
      </c>
      <c r="O15930" s="6" t="str">
        <f>HYPERLINK("https://pbs.twimg.com/profile_images/962471262747529216/Uo8lOkRJ_normal.jpg","View")</f>
        <v>View</v>
      </c>
      <c r="P15930" s="7"/>
    </row>
    <row r="15931" spans="1:16">
      <c r="A15931" s="3">
        <v>44432.767025462963</v>
      </c>
      <c r="B15931" s="4" t="str">
        <f>HYPERLINK("https://twitter.com/petrogustavo","@petrogustavo")</f>
        <v>@petrogustavo</v>
      </c>
      <c r="C15931" s="5" t="s">
        <v>16</v>
      </c>
      <c r="D15931" s="5" t="s">
        <v>15333</v>
      </c>
      <c r="E15931" s="6" t="str">
        <f>HYPERLINK("https://twitter.com/petrogustavo/status/1430151535682539522","1430151535682539522")</f>
        <v>1430151535682539522</v>
      </c>
      <c r="F15931" s="7" t="s">
        <v>17</v>
      </c>
      <c r="G15931" s="7">
        <v>4351178</v>
      </c>
      <c r="H15931" s="7">
        <v>2537</v>
      </c>
      <c r="I15931" s="7">
        <v>446</v>
      </c>
      <c r="J15931" s="7">
        <v>0</v>
      </c>
      <c r="K15931" s="7" t="s">
        <v>18</v>
      </c>
      <c r="L15931" s="8">
        <v>39987.315405092595</v>
      </c>
      <c r="M15931" s="9" t="s">
        <v>19</v>
      </c>
      <c r="N15931" s="9" t="s">
        <v>20</v>
      </c>
      <c r="O15931" s="6" t="str">
        <f>HYPERLINK("https://pbs.twimg.com/profile_images/962471262747529216/Uo8lOkRJ_normal.jpg","View")</f>
        <v>View</v>
      </c>
      <c r="P15931" s="7"/>
    </row>
    <row r="15932" spans="1:16">
      <c r="A15932" s="3">
        <v>44433.044131944444</v>
      </c>
      <c r="B15932" s="4" t="str">
        <f>HYPERLINK("https://twitter.com/petrogustavo","@petrogustavo")</f>
        <v>@petrogustavo</v>
      </c>
      <c r="C15932" s="5" t="s">
        <v>16</v>
      </c>
      <c r="D15932" s="5" t="s">
        <v>15336</v>
      </c>
      <c r="E15932" s="6" t="str">
        <f>HYPERLINK("https://twitter.com/petrogustavo/status/1430251955100831745","1430251955100831745")</f>
        <v>1430251955100831745</v>
      </c>
      <c r="F15932" s="7" t="s">
        <v>17</v>
      </c>
      <c r="G15932" s="7">
        <v>4351303</v>
      </c>
      <c r="H15932" s="7">
        <v>2537</v>
      </c>
      <c r="I15932" s="7">
        <v>386</v>
      </c>
      <c r="J15932" s="7">
        <v>1464</v>
      </c>
      <c r="K15932" s="7" t="s">
        <v>18</v>
      </c>
      <c r="L15932" s="8">
        <v>39987.315405092595</v>
      </c>
      <c r="M15932" s="9" t="s">
        <v>19</v>
      </c>
      <c r="N15932" s="9" t="s">
        <v>20</v>
      </c>
      <c r="O15932" s="6" t="str">
        <f>HYPERLINK("https://pbs.twimg.com/profile_images/962471262747529216/Uo8lOkRJ_normal.jpg","View")</f>
        <v>View</v>
      </c>
      <c r="P15932" s="7"/>
    </row>
    <row r="15933" spans="1:16">
      <c r="A15933" s="3">
        <v>44433.145590277782</v>
      </c>
      <c r="B15933" s="4" t="str">
        <f>HYPERLINK("https://twitter.com/petrogustavo","@petrogustavo")</f>
        <v>@petrogustavo</v>
      </c>
      <c r="C15933" s="5" t="s">
        <v>16</v>
      </c>
      <c r="D15933" s="5" t="s">
        <v>15337</v>
      </c>
      <c r="E15933" s="6" t="str">
        <f>HYPERLINK("https://twitter.com/petrogustavo/status/1430288722742939661","1430288722742939661")</f>
        <v>1430288722742939661</v>
      </c>
      <c r="F15933" s="7" t="s">
        <v>32</v>
      </c>
      <c r="G15933" s="7">
        <v>4351347</v>
      </c>
      <c r="H15933" s="7">
        <v>2537</v>
      </c>
      <c r="I15933" s="7">
        <v>265</v>
      </c>
      <c r="J15933" s="7">
        <v>0</v>
      </c>
      <c r="K15933" s="7" t="s">
        <v>18</v>
      </c>
      <c r="L15933" s="8">
        <v>39987.315405092595</v>
      </c>
      <c r="M15933" s="9" t="s">
        <v>19</v>
      </c>
      <c r="N15933" s="9" t="s">
        <v>20</v>
      </c>
      <c r="O15933" s="6" t="str">
        <f>HYPERLINK("https://pbs.twimg.com/profile_images/962471262747529216/Uo8lOkRJ_normal.jpg","View")</f>
        <v>View</v>
      </c>
      <c r="P15933" s="7"/>
    </row>
    <row r="15934" spans="1:16">
      <c r="A15934" s="3">
        <v>44433.191909722227</v>
      </c>
      <c r="B15934" s="4" t="str">
        <f>HYPERLINK("https://twitter.com/petrogustavo","@petrogustavo")</f>
        <v>@petrogustavo</v>
      </c>
      <c r="C15934" s="5" t="s">
        <v>16</v>
      </c>
      <c r="D15934" s="5" t="s">
        <v>15338</v>
      </c>
      <c r="E15934" s="6" t="str">
        <f>HYPERLINK("https://twitter.com/petrogustavo/status/1430305506023849985","1430305506023849985")</f>
        <v>1430305506023849985</v>
      </c>
      <c r="F15934" s="7" t="s">
        <v>32</v>
      </c>
      <c r="G15934" s="7">
        <v>4351386</v>
      </c>
      <c r="H15934" s="7">
        <v>2536</v>
      </c>
      <c r="I15934" s="7">
        <v>109</v>
      </c>
      <c r="J15934" s="7">
        <v>428</v>
      </c>
      <c r="K15934" s="7" t="s">
        <v>18</v>
      </c>
      <c r="L15934" s="8">
        <v>39987.315405092595</v>
      </c>
      <c r="M15934" s="9" t="s">
        <v>19</v>
      </c>
      <c r="N15934" s="9" t="s">
        <v>20</v>
      </c>
      <c r="O15934" s="6" t="str">
        <f>HYPERLINK("https://pbs.twimg.com/profile_images/962471262747529216/Uo8lOkRJ_normal.jpg","View")</f>
        <v>View</v>
      </c>
      <c r="P15934" s="7"/>
    </row>
    <row r="15935" spans="1:16">
      <c r="A15935" s="3">
        <v>44433.73232638889</v>
      </c>
      <c r="B15935" s="4" t="str">
        <f>HYPERLINK("https://twitter.com/petrogustavo","@petrogustavo")</f>
        <v>@petrogustavo</v>
      </c>
      <c r="C15935" s="5" t="s">
        <v>16</v>
      </c>
      <c r="D15935" s="5" t="s">
        <v>15339</v>
      </c>
      <c r="E15935" s="6" t="str">
        <f>HYPERLINK("https://twitter.com/petrogustavo/status/1430501347418386434","1430501347418386434")</f>
        <v>1430501347418386434</v>
      </c>
      <c r="F15935" s="7" t="s">
        <v>17</v>
      </c>
      <c r="G15935" s="7">
        <v>4351620</v>
      </c>
      <c r="H15935" s="7">
        <v>2536</v>
      </c>
      <c r="I15935" s="7">
        <v>297</v>
      </c>
      <c r="J15935" s="7">
        <v>608</v>
      </c>
      <c r="K15935" s="7" t="s">
        <v>18</v>
      </c>
      <c r="L15935" s="8">
        <v>39987.315405092595</v>
      </c>
      <c r="M15935" s="9" t="s">
        <v>19</v>
      </c>
      <c r="N15935" s="9" t="s">
        <v>20</v>
      </c>
      <c r="O15935" s="6" t="str">
        <f>HYPERLINK("https://pbs.twimg.com/profile_images/962471262747529216/Uo8lOkRJ_normal.jpg","View")</f>
        <v>View</v>
      </c>
      <c r="P15935" s="7"/>
    </row>
    <row r="15936" spans="1:16">
      <c r="A15936" s="3">
        <v>44433.732789351852</v>
      </c>
      <c r="B15936" s="4" t="str">
        <f>HYPERLINK("https://twitter.com/petrogustavo","@petrogustavo")</f>
        <v>@petrogustavo</v>
      </c>
      <c r="C15936" s="5" t="s">
        <v>16</v>
      </c>
      <c r="D15936" s="5" t="s">
        <v>15340</v>
      </c>
      <c r="E15936" s="6" t="str">
        <f>HYPERLINK("https://twitter.com/petrogustavo/status/1430501517040173059","1430501517040173059")</f>
        <v>1430501517040173059</v>
      </c>
      <c r="F15936" s="7" t="s">
        <v>17</v>
      </c>
      <c r="G15936" s="7">
        <v>4351620</v>
      </c>
      <c r="H15936" s="7">
        <v>2536</v>
      </c>
      <c r="I15936" s="7">
        <v>2580</v>
      </c>
      <c r="J15936" s="7">
        <v>0</v>
      </c>
      <c r="K15936" s="7" t="s">
        <v>18</v>
      </c>
      <c r="L15936" s="8">
        <v>39987.315405092595</v>
      </c>
      <c r="M15936" s="9" t="s">
        <v>19</v>
      </c>
      <c r="N15936" s="9" t="s">
        <v>20</v>
      </c>
      <c r="O15936" s="6" t="str">
        <f>HYPERLINK("https://pbs.twimg.com/profile_images/962471262747529216/Uo8lOkRJ_normal.jpg","View")</f>
        <v>View</v>
      </c>
      <c r="P15936" s="7"/>
    </row>
    <row r="15937" spans="1:16">
      <c r="A15937" s="3">
        <v>44433.737118055556</v>
      </c>
      <c r="B15937" s="4" t="str">
        <f>HYPERLINK("https://twitter.com/petrogustavo","@petrogustavo")</f>
        <v>@petrogustavo</v>
      </c>
      <c r="C15937" s="5" t="s">
        <v>16</v>
      </c>
      <c r="D15937" s="5" t="s">
        <v>15341</v>
      </c>
      <c r="E15937" s="6" t="str">
        <f>HYPERLINK("https://twitter.com/petrogustavo/status/1430503083071754246","1430503083071754246")</f>
        <v>1430503083071754246</v>
      </c>
      <c r="F15937" s="7" t="s">
        <v>17</v>
      </c>
      <c r="G15937" s="7">
        <v>4351620</v>
      </c>
      <c r="H15937" s="7">
        <v>2536</v>
      </c>
      <c r="I15937" s="7">
        <v>130</v>
      </c>
      <c r="J15937" s="7">
        <v>453</v>
      </c>
      <c r="K15937" s="7" t="s">
        <v>18</v>
      </c>
      <c r="L15937" s="8">
        <v>39987.315405092595</v>
      </c>
      <c r="M15937" s="9" t="s">
        <v>19</v>
      </c>
      <c r="N15937" s="9" t="s">
        <v>20</v>
      </c>
      <c r="O15937" s="6" t="str">
        <f>HYPERLINK("https://pbs.twimg.com/profile_images/962471262747529216/Uo8lOkRJ_normal.jpg","View")</f>
        <v>View</v>
      </c>
      <c r="P15937" s="7"/>
    </row>
    <row r="15938" spans="1:16">
      <c r="A15938" s="3">
        <v>44433.740844907406</v>
      </c>
      <c r="B15938" s="4" t="str">
        <f>HYPERLINK("https://twitter.com/petrogustavo","@petrogustavo")</f>
        <v>@petrogustavo</v>
      </c>
      <c r="C15938" s="5" t="s">
        <v>16</v>
      </c>
      <c r="D15938" s="5" t="s">
        <v>15342</v>
      </c>
      <c r="E15938" s="6" t="str">
        <f>HYPERLINK("https://twitter.com/petrogustavo/status/1430504436095459335","1430504436095459335")</f>
        <v>1430504436095459335</v>
      </c>
      <c r="F15938" s="7" t="s">
        <v>17</v>
      </c>
      <c r="G15938" s="7">
        <v>4351620</v>
      </c>
      <c r="H15938" s="7">
        <v>2536</v>
      </c>
      <c r="I15938" s="7">
        <v>99</v>
      </c>
      <c r="J15938" s="7">
        <v>305</v>
      </c>
      <c r="K15938" s="7" t="s">
        <v>18</v>
      </c>
      <c r="L15938" s="8">
        <v>39987.315405092595</v>
      </c>
      <c r="M15938" s="9" t="s">
        <v>19</v>
      </c>
      <c r="N15938" s="9" t="s">
        <v>20</v>
      </c>
      <c r="O15938" s="6" t="str">
        <f>HYPERLINK("https://pbs.twimg.com/profile_images/962471262747529216/Uo8lOkRJ_normal.jpg","View")</f>
        <v>View</v>
      </c>
      <c r="P15938" s="7"/>
    </row>
    <row r="15939" spans="1:16">
      <c r="A15939" s="3">
        <v>44433.750578703708</v>
      </c>
      <c r="B15939" s="4" t="str">
        <f>HYPERLINK("https://twitter.com/petrogustavo","@petrogustavo")</f>
        <v>@petrogustavo</v>
      </c>
      <c r="C15939" s="5" t="s">
        <v>16</v>
      </c>
      <c r="D15939" s="5" t="s">
        <v>15343</v>
      </c>
      <c r="E15939" s="6" t="str">
        <f>HYPERLINK("https://twitter.com/petrogustavo/status/1430507962104221699","1430507962104221699")</f>
        <v>1430507962104221699</v>
      </c>
      <c r="F15939" s="7" t="s">
        <v>17</v>
      </c>
      <c r="G15939" s="7">
        <v>4351620</v>
      </c>
      <c r="H15939" s="7">
        <v>2536</v>
      </c>
      <c r="I15939" s="7">
        <v>37</v>
      </c>
      <c r="J15939" s="7">
        <v>141</v>
      </c>
      <c r="K15939" s="7" t="s">
        <v>18</v>
      </c>
      <c r="L15939" s="8">
        <v>39987.315405092595</v>
      </c>
      <c r="M15939" s="9" t="s">
        <v>19</v>
      </c>
      <c r="N15939" s="9" t="s">
        <v>20</v>
      </c>
      <c r="O15939" s="6" t="str">
        <f>HYPERLINK("https://pbs.twimg.com/profile_images/962471262747529216/Uo8lOkRJ_normal.jpg","View")</f>
        <v>View</v>
      </c>
      <c r="P15939" s="7"/>
    </row>
    <row r="15940" spans="1:16">
      <c r="A15940" s="3">
        <v>44433.76525462963</v>
      </c>
      <c r="B15940" s="4" t="str">
        <f>HYPERLINK("https://twitter.com/petrogustavo","@petrogustavo")</f>
        <v>@petrogustavo</v>
      </c>
      <c r="C15940" s="5" t="s">
        <v>16</v>
      </c>
      <c r="D15940" s="5" t="s">
        <v>15344</v>
      </c>
      <c r="E15940" s="6" t="str">
        <f>HYPERLINK("https://twitter.com/petrogustavo/status/1430513282092306432","1430513282092306432")</f>
        <v>1430513282092306432</v>
      </c>
      <c r="F15940" s="7" t="s">
        <v>17</v>
      </c>
      <c r="G15940" s="7">
        <v>4351627</v>
      </c>
      <c r="H15940" s="7">
        <v>2536</v>
      </c>
      <c r="I15940" s="7">
        <v>159</v>
      </c>
      <c r="J15940" s="7">
        <v>362</v>
      </c>
      <c r="K15940" s="7" t="s">
        <v>18</v>
      </c>
      <c r="L15940" s="8">
        <v>39987.315405092595</v>
      </c>
      <c r="M15940" s="9" t="s">
        <v>19</v>
      </c>
      <c r="N15940" s="9" t="s">
        <v>20</v>
      </c>
      <c r="O15940" s="6" t="str">
        <f>HYPERLINK("https://pbs.twimg.com/profile_images/962471262747529216/Uo8lOkRJ_normal.jpg","View")</f>
        <v>View</v>
      </c>
      <c r="P15940" s="7"/>
    </row>
    <row r="15941" spans="1:16">
      <c r="A15941" s="3">
        <v>44433.775543981479</v>
      </c>
      <c r="B15941" s="4" t="str">
        <f>HYPERLINK("https://twitter.com/petrogustavo","@petrogustavo")</f>
        <v>@petrogustavo</v>
      </c>
      <c r="C15941" s="5" t="s">
        <v>16</v>
      </c>
      <c r="D15941" s="5" t="s">
        <v>15345</v>
      </c>
      <c r="E15941" s="6" t="str">
        <f>HYPERLINK("https://twitter.com/petrogustavo/status/1430517008089616388","1430517008089616388")</f>
        <v>1430517008089616388</v>
      </c>
      <c r="F15941" s="7" t="s">
        <v>17</v>
      </c>
      <c r="G15941" s="7">
        <v>4351654</v>
      </c>
      <c r="H15941" s="7">
        <v>2536</v>
      </c>
      <c r="I15941" s="7">
        <v>48</v>
      </c>
      <c r="J15941" s="7">
        <v>149</v>
      </c>
      <c r="K15941" s="7" t="s">
        <v>18</v>
      </c>
      <c r="L15941" s="8">
        <v>39987.315405092595</v>
      </c>
      <c r="M15941" s="9" t="s">
        <v>19</v>
      </c>
      <c r="N15941" s="9" t="s">
        <v>20</v>
      </c>
      <c r="O15941" s="6" t="str">
        <f>HYPERLINK("https://pbs.twimg.com/profile_images/962471262747529216/Uo8lOkRJ_normal.jpg","View")</f>
        <v>View</v>
      </c>
      <c r="P15941" s="7"/>
    </row>
    <row r="15942" spans="1:16">
      <c r="A15942" s="3">
        <v>44433.783912037034</v>
      </c>
      <c r="B15942" s="4" t="str">
        <f>HYPERLINK("https://twitter.com/petrogustavo","@petrogustavo")</f>
        <v>@petrogustavo</v>
      </c>
      <c r="C15942" s="5" t="s">
        <v>16</v>
      </c>
      <c r="D15942" s="5" t="s">
        <v>15346</v>
      </c>
      <c r="E15942" s="6" t="str">
        <f>HYPERLINK("https://twitter.com/petrogustavo/status/1430520041892679683","1430520041892679683")</f>
        <v>1430520041892679683</v>
      </c>
      <c r="F15942" s="7" t="s">
        <v>17</v>
      </c>
      <c r="G15942" s="7">
        <v>4351654</v>
      </c>
      <c r="H15942" s="7">
        <v>2536</v>
      </c>
      <c r="I15942" s="7">
        <v>101</v>
      </c>
      <c r="J15942" s="7">
        <v>285</v>
      </c>
      <c r="K15942" s="7" t="s">
        <v>18</v>
      </c>
      <c r="L15942" s="8">
        <v>39987.315405092595</v>
      </c>
      <c r="M15942" s="9" t="s">
        <v>19</v>
      </c>
      <c r="N15942" s="9" t="s">
        <v>20</v>
      </c>
      <c r="O15942" s="6" t="str">
        <f>HYPERLINK("https://pbs.twimg.com/profile_images/962471262747529216/Uo8lOkRJ_normal.jpg","View")</f>
        <v>View</v>
      </c>
      <c r="P15942" s="7"/>
    </row>
    <row r="15943" spans="1:16">
      <c r="A15943" s="3">
        <v>44433.786053240736</v>
      </c>
      <c r="B15943" s="4" t="str">
        <f>HYPERLINK("https://twitter.com/petrogustavo","@petrogustavo")</f>
        <v>@petrogustavo</v>
      </c>
      <c r="C15943" s="5" t="s">
        <v>16</v>
      </c>
      <c r="D15943" s="5" t="s">
        <v>15347</v>
      </c>
      <c r="E15943" s="6" t="str">
        <f>HYPERLINK("https://twitter.com/petrogustavo/status/1430520816718987268","1430520816718987268")</f>
        <v>1430520816718987268</v>
      </c>
      <c r="F15943" s="7" t="s">
        <v>17</v>
      </c>
      <c r="G15943" s="7">
        <v>4351654</v>
      </c>
      <c r="H15943" s="7">
        <v>2536</v>
      </c>
      <c r="I15943" s="7">
        <v>58</v>
      </c>
      <c r="J15943" s="7">
        <v>178</v>
      </c>
      <c r="K15943" s="7" t="s">
        <v>18</v>
      </c>
      <c r="L15943" s="8">
        <v>39987.315405092595</v>
      </c>
      <c r="M15943" s="9" t="s">
        <v>19</v>
      </c>
      <c r="N15943" s="9" t="s">
        <v>20</v>
      </c>
      <c r="O15943" s="6" t="str">
        <f>HYPERLINK("https://pbs.twimg.com/profile_images/962471262747529216/Uo8lOkRJ_normal.jpg","View")</f>
        <v>View</v>
      </c>
      <c r="P15943" s="7"/>
    </row>
    <row r="15944" spans="1:16">
      <c r="A15944" s="3">
        <v>44433.786956018521</v>
      </c>
      <c r="B15944" s="4" t="str">
        <f>HYPERLINK("https://twitter.com/petrogustavo","@petrogustavo")</f>
        <v>@petrogustavo</v>
      </c>
      <c r="C15944" s="5" t="s">
        <v>16</v>
      </c>
      <c r="D15944" s="5" t="s">
        <v>15348</v>
      </c>
      <c r="E15944" s="6" t="str">
        <f>HYPERLINK("https://twitter.com/petrogustavo/status/1430521144352858114","1430521144352858114")</f>
        <v>1430521144352858114</v>
      </c>
      <c r="F15944" s="7" t="s">
        <v>17</v>
      </c>
      <c r="G15944" s="7">
        <v>4351654</v>
      </c>
      <c r="H15944" s="7">
        <v>2536</v>
      </c>
      <c r="I15944" s="7">
        <v>101</v>
      </c>
      <c r="J15944" s="7">
        <v>0</v>
      </c>
      <c r="K15944" s="7" t="s">
        <v>18</v>
      </c>
      <c r="L15944" s="8">
        <v>39987.315405092595</v>
      </c>
      <c r="M15944" s="9" t="s">
        <v>19</v>
      </c>
      <c r="N15944" s="9" t="s">
        <v>20</v>
      </c>
      <c r="O15944" s="6" t="str">
        <f>HYPERLINK("https://pbs.twimg.com/profile_images/962471262747529216/Uo8lOkRJ_normal.jpg","View")</f>
        <v>View</v>
      </c>
      <c r="P15944" s="7"/>
    </row>
    <row r="15945" spans="1:16">
      <c r="A15945" s="3">
        <v>44433.796759259261</v>
      </c>
      <c r="B15945" s="4" t="str">
        <f>HYPERLINK("https://twitter.com/petrogustavo","@petrogustavo")</f>
        <v>@petrogustavo</v>
      </c>
      <c r="C15945" s="5" t="s">
        <v>16</v>
      </c>
      <c r="D15945" s="5" t="s">
        <v>15349</v>
      </c>
      <c r="E15945" s="6" t="str">
        <f>HYPERLINK("https://twitter.com/petrogustavo/status/1430524696819380229","1430524696819380229")</f>
        <v>1430524696819380229</v>
      </c>
      <c r="F15945" s="7" t="s">
        <v>17</v>
      </c>
      <c r="G15945" s="7">
        <v>4351685</v>
      </c>
      <c r="H15945" s="7">
        <v>2536</v>
      </c>
      <c r="I15945" s="7">
        <v>305</v>
      </c>
      <c r="J15945" s="7">
        <v>0</v>
      </c>
      <c r="K15945" s="7" t="s">
        <v>18</v>
      </c>
      <c r="L15945" s="8">
        <v>39987.315405092595</v>
      </c>
      <c r="M15945" s="9" t="s">
        <v>19</v>
      </c>
      <c r="N15945" s="9" t="s">
        <v>20</v>
      </c>
      <c r="O15945" s="6" t="str">
        <f>HYPERLINK("https://pbs.twimg.com/profile_images/962471262747529216/Uo8lOkRJ_normal.jpg","View")</f>
        <v>View</v>
      </c>
      <c r="P15945" s="7"/>
    </row>
    <row r="15946" spans="1:16">
      <c r="A15946" s="3">
        <v>44434.072650462964</v>
      </c>
      <c r="B15946" s="4" t="str">
        <f>HYPERLINK("https://twitter.com/petrogustavo","@petrogustavo")</f>
        <v>@petrogustavo</v>
      </c>
      <c r="C15946" s="5" t="s">
        <v>16</v>
      </c>
      <c r="D15946" s="5" t="s">
        <v>15350</v>
      </c>
      <c r="E15946" s="6" t="str">
        <f>HYPERLINK("https://twitter.com/petrogustavo/status/1430624677467144195","1430624677467144195")</f>
        <v>1430624677467144195</v>
      </c>
      <c r="F15946" s="7" t="s">
        <v>32</v>
      </c>
      <c r="G15946" s="7">
        <v>4351925</v>
      </c>
      <c r="H15946" s="7">
        <v>2536</v>
      </c>
      <c r="I15946" s="7">
        <v>326</v>
      </c>
      <c r="J15946" s="7">
        <v>0</v>
      </c>
      <c r="K15946" s="7" t="s">
        <v>18</v>
      </c>
      <c r="L15946" s="8">
        <v>39987.315405092595</v>
      </c>
      <c r="M15946" s="9" t="s">
        <v>19</v>
      </c>
      <c r="N15946" s="9" t="s">
        <v>20</v>
      </c>
      <c r="O15946" s="6" t="str">
        <f>HYPERLINK("https://pbs.twimg.com/profile_images/962471262747529216/Uo8lOkRJ_normal.jpg","View")</f>
        <v>View</v>
      </c>
      <c r="P15946" s="7"/>
    </row>
    <row r="15947" spans="1:16">
      <c r="A15947" s="3">
        <v>44434.089988425927</v>
      </c>
      <c r="B15947" s="4" t="str">
        <f>HYPERLINK("https://twitter.com/petrogustavo","@petrogustavo")</f>
        <v>@petrogustavo</v>
      </c>
      <c r="C15947" s="5" t="s">
        <v>16</v>
      </c>
      <c r="D15947" s="5" t="s">
        <v>15351</v>
      </c>
      <c r="E15947" s="6" t="str">
        <f>HYPERLINK("https://twitter.com/petrogustavo/status/1430630962405298176","1430630962405298176")</f>
        <v>1430630962405298176</v>
      </c>
      <c r="F15947" s="7" t="s">
        <v>32</v>
      </c>
      <c r="G15947" s="7">
        <v>4351945</v>
      </c>
      <c r="H15947" s="7">
        <v>2536</v>
      </c>
      <c r="I15947" s="7">
        <v>98</v>
      </c>
      <c r="J15947" s="7">
        <v>466</v>
      </c>
      <c r="K15947" s="7" t="s">
        <v>18</v>
      </c>
      <c r="L15947" s="8">
        <v>39987.315405092595</v>
      </c>
      <c r="M15947" s="9" t="s">
        <v>19</v>
      </c>
      <c r="N15947" s="9" t="s">
        <v>20</v>
      </c>
      <c r="O15947" s="6" t="str">
        <f>HYPERLINK("https://pbs.twimg.com/profile_images/962471262747529216/Uo8lOkRJ_normal.jpg","View")</f>
        <v>View</v>
      </c>
      <c r="P15947" s="7"/>
    </row>
    <row r="15948" spans="1:16">
      <c r="A15948" s="3">
        <v>44435.268634259264</v>
      </c>
      <c r="B15948" s="4" t="str">
        <f>HYPERLINK("https://twitter.com/petrogustavo","@petrogustavo")</f>
        <v>@petrogustavo</v>
      </c>
      <c r="C15948" s="5" t="s">
        <v>16</v>
      </c>
      <c r="D15948" s="5" t="s">
        <v>15352</v>
      </c>
      <c r="E15948" s="6" t="str">
        <f>HYPERLINK("https://twitter.com/petrogustavo/status/1431058085603430400","1431058085603430400")</f>
        <v>1431058085603430400</v>
      </c>
      <c r="F15948" s="7" t="s">
        <v>17</v>
      </c>
      <c r="G15948" s="7">
        <v>4352663</v>
      </c>
      <c r="H15948" s="7">
        <v>2534</v>
      </c>
      <c r="I15948" s="7">
        <v>43</v>
      </c>
      <c r="J15948" s="7">
        <v>131</v>
      </c>
      <c r="K15948" s="7" t="s">
        <v>18</v>
      </c>
      <c r="L15948" s="8">
        <v>39987.315405092595</v>
      </c>
      <c r="M15948" s="9" t="s">
        <v>19</v>
      </c>
      <c r="N15948" s="9" t="s">
        <v>20</v>
      </c>
      <c r="O15948" s="6" t="str">
        <f>HYPERLINK("https://pbs.twimg.com/profile_images/962471262747529216/Uo8lOkRJ_normal.jpg","View")</f>
        <v>View</v>
      </c>
      <c r="P15948" s="7"/>
    </row>
    <row r="15949" spans="1:16">
      <c r="A15949" s="3">
        <v>44435.270173611112</v>
      </c>
      <c r="B15949" s="4" t="str">
        <f>HYPERLINK("https://twitter.com/petrogustavo","@petrogustavo")</f>
        <v>@petrogustavo</v>
      </c>
      <c r="C15949" s="5" t="s">
        <v>16</v>
      </c>
      <c r="D15949" s="5" t="s">
        <v>15353</v>
      </c>
      <c r="E15949" s="6" t="str">
        <f>HYPERLINK("https://twitter.com/petrogustavo/status/1431058644825743364","1431058644825743364")</f>
        <v>1431058644825743364</v>
      </c>
      <c r="F15949" s="7" t="s">
        <v>17</v>
      </c>
      <c r="G15949" s="7">
        <v>4352663</v>
      </c>
      <c r="H15949" s="7">
        <v>2534</v>
      </c>
      <c r="I15949" s="7">
        <v>35</v>
      </c>
      <c r="J15949" s="7">
        <v>121</v>
      </c>
      <c r="K15949" s="7" t="s">
        <v>18</v>
      </c>
      <c r="L15949" s="8">
        <v>39987.315405092595</v>
      </c>
      <c r="M15949" s="9" t="s">
        <v>19</v>
      </c>
      <c r="N15949" s="9" t="s">
        <v>20</v>
      </c>
      <c r="O15949" s="6" t="str">
        <f>HYPERLINK("https://pbs.twimg.com/profile_images/962471262747529216/Uo8lOkRJ_normal.jpg","View")</f>
        <v>View</v>
      </c>
      <c r="P15949" s="7"/>
    </row>
    <row r="15950" spans="1:16">
      <c r="A15950" s="3">
        <v>44435.293182870373</v>
      </c>
      <c r="B15950" s="4" t="str">
        <f>HYPERLINK("https://twitter.com/petrogustavo","@petrogustavo")</f>
        <v>@petrogustavo</v>
      </c>
      <c r="C15950" s="5" t="s">
        <v>16</v>
      </c>
      <c r="D15950" s="5" t="s">
        <v>15354</v>
      </c>
      <c r="E15950" s="6" t="str">
        <f>HYPERLINK("https://twitter.com/petrogustavo/status/1431066984171573262","1431066984171573262")</f>
        <v>1431066984171573262</v>
      </c>
      <c r="F15950" s="7" t="s">
        <v>17</v>
      </c>
      <c r="G15950" s="7">
        <v>4352685</v>
      </c>
      <c r="H15950" s="7">
        <v>2534</v>
      </c>
      <c r="I15950" s="7">
        <v>0</v>
      </c>
      <c r="J15950" s="7">
        <v>0</v>
      </c>
      <c r="K15950" s="7" t="s">
        <v>18</v>
      </c>
      <c r="L15950" s="8">
        <v>39987.315405092595</v>
      </c>
      <c r="M15950" s="9" t="s">
        <v>19</v>
      </c>
      <c r="N15950" s="9" t="s">
        <v>20</v>
      </c>
      <c r="O15950" s="6" t="str">
        <f>HYPERLINK("https://pbs.twimg.com/profile_images/962471262747529216/Uo8lOkRJ_normal.jpg","View")</f>
        <v>View</v>
      </c>
      <c r="P15950" s="7"/>
    </row>
    <row r="15951" spans="1:16">
      <c r="A15951" s="3">
        <v>44435.785752314812</v>
      </c>
      <c r="B15951" s="4" t="str">
        <f>HYPERLINK("https://twitter.com/petrogustavo","@petrogustavo")</f>
        <v>@petrogustavo</v>
      </c>
      <c r="C15951" s="5" t="s">
        <v>16</v>
      </c>
      <c r="D15951" s="5" t="s">
        <v>15355</v>
      </c>
      <c r="E15951" s="6" t="str">
        <f>HYPERLINK("https://twitter.com/petrogustavo/status/1431245485159895047","1431245485159895047")</f>
        <v>1431245485159895047</v>
      </c>
      <c r="F15951" s="7" t="s">
        <v>17</v>
      </c>
      <c r="G15951" s="7">
        <v>4352828</v>
      </c>
      <c r="H15951" s="7">
        <v>2532</v>
      </c>
      <c r="I15951" s="7">
        <v>185</v>
      </c>
      <c r="J15951" s="7">
        <v>0</v>
      </c>
      <c r="K15951" s="7" t="s">
        <v>18</v>
      </c>
      <c r="L15951" s="8">
        <v>39987.315405092595</v>
      </c>
      <c r="M15951" s="9" t="s">
        <v>19</v>
      </c>
      <c r="N15951" s="9" t="s">
        <v>20</v>
      </c>
      <c r="O15951" s="6" t="str">
        <f>HYPERLINK("https://pbs.twimg.com/profile_images/962471262747529216/Uo8lOkRJ_normal.jpg","View")</f>
        <v>View</v>
      </c>
      <c r="P15951" s="7"/>
    </row>
    <row r="15952" spans="1:16">
      <c r="A15952" s="3">
        <v>44435.78706018519</v>
      </c>
      <c r="B15952" s="4" t="str">
        <f>HYPERLINK("https://twitter.com/petrogustavo","@petrogustavo")</f>
        <v>@petrogustavo</v>
      </c>
      <c r="C15952" s="5" t="s">
        <v>16</v>
      </c>
      <c r="D15952" s="5" t="s">
        <v>15356</v>
      </c>
      <c r="E15952" s="6" t="str">
        <f>HYPERLINK("https://twitter.com/petrogustavo/status/1431245956855570447","1431245956855570447")</f>
        <v>1431245956855570447</v>
      </c>
      <c r="F15952" s="7" t="s">
        <v>17</v>
      </c>
      <c r="G15952" s="7">
        <v>4352828</v>
      </c>
      <c r="H15952" s="7">
        <v>2532</v>
      </c>
      <c r="I15952" s="7">
        <v>65</v>
      </c>
      <c r="J15952" s="7">
        <v>0</v>
      </c>
      <c r="K15952" s="7" t="s">
        <v>18</v>
      </c>
      <c r="L15952" s="8">
        <v>39987.315405092595</v>
      </c>
      <c r="M15952" s="9" t="s">
        <v>19</v>
      </c>
      <c r="N15952" s="9" t="s">
        <v>20</v>
      </c>
      <c r="O15952" s="6" t="str">
        <f>HYPERLINK("https://pbs.twimg.com/profile_images/962471262747529216/Uo8lOkRJ_normal.jpg","View")</f>
        <v>View</v>
      </c>
      <c r="P15952" s="7"/>
    </row>
    <row r="15953" spans="1:16">
      <c r="A15953" s="3">
        <v>44435.79069444444</v>
      </c>
      <c r="B15953" s="4" t="str">
        <f>HYPERLINK("https://twitter.com/petrogustavo","@petrogustavo")</f>
        <v>@petrogustavo</v>
      </c>
      <c r="C15953" s="5" t="s">
        <v>16</v>
      </c>
      <c r="D15953" s="5" t="s">
        <v>15357</v>
      </c>
      <c r="E15953" s="6" t="str">
        <f>HYPERLINK("https://twitter.com/petrogustavo/status/1431247273724350480","1431247273724350480")</f>
        <v>1431247273724350480</v>
      </c>
      <c r="F15953" s="7" t="s">
        <v>17</v>
      </c>
      <c r="G15953" s="7">
        <v>4352828</v>
      </c>
      <c r="H15953" s="7">
        <v>2532</v>
      </c>
      <c r="I15953" s="7">
        <v>189</v>
      </c>
      <c r="J15953" s="7">
        <v>797</v>
      </c>
      <c r="K15953" s="7" t="s">
        <v>18</v>
      </c>
      <c r="L15953" s="8">
        <v>39987.315405092595</v>
      </c>
      <c r="M15953" s="9" t="s">
        <v>19</v>
      </c>
      <c r="N15953" s="9" t="s">
        <v>20</v>
      </c>
      <c r="O15953" s="6" t="str">
        <f>HYPERLINK("https://pbs.twimg.com/profile_images/962471262747529216/Uo8lOkRJ_normal.jpg","View")</f>
        <v>View</v>
      </c>
      <c r="P15953" s="7"/>
    </row>
    <row r="15954" spans="1:16">
      <c r="A15954" s="3">
        <v>44435.79069444444</v>
      </c>
      <c r="B15954" s="4" t="str">
        <f>HYPERLINK("https://twitter.com/petrogustavo","@petrogustavo")</f>
        <v>@petrogustavo</v>
      </c>
      <c r="C15954" s="5" t="s">
        <v>16</v>
      </c>
      <c r="D15954" s="5" t="s">
        <v>15358</v>
      </c>
      <c r="E15954" s="6" t="str">
        <f>HYPERLINK("https://twitter.com/petrogustavo/status/1431247275272069124","1431247275272069124")</f>
        <v>1431247275272069124</v>
      </c>
      <c r="F15954" s="7" t="s">
        <v>17</v>
      </c>
      <c r="G15954" s="7">
        <v>4352828</v>
      </c>
      <c r="H15954" s="7">
        <v>2532</v>
      </c>
      <c r="I15954" s="7">
        <v>143</v>
      </c>
      <c r="J15954" s="7">
        <v>651</v>
      </c>
      <c r="K15954" s="7" t="s">
        <v>18</v>
      </c>
      <c r="L15954" s="8">
        <v>39987.315405092595</v>
      </c>
      <c r="M15954" s="9" t="s">
        <v>19</v>
      </c>
      <c r="N15954" s="9" t="s">
        <v>20</v>
      </c>
      <c r="O15954" s="6" t="str">
        <f>HYPERLINK("https://pbs.twimg.com/profile_images/962471262747529216/Uo8lOkRJ_normal.jpg","View")</f>
        <v>View</v>
      </c>
      <c r="P15954" s="7"/>
    </row>
    <row r="15955" spans="1:16">
      <c r="A15955" s="3">
        <v>44435.945740740739</v>
      </c>
      <c r="B15955" s="4" t="str">
        <f>HYPERLINK("https://twitter.com/petrogustavo","@petrogustavo")</f>
        <v>@petrogustavo</v>
      </c>
      <c r="C15955" s="5" t="s">
        <v>16</v>
      </c>
      <c r="D15955" s="5" t="s">
        <v>15359</v>
      </c>
      <c r="E15955" s="6" t="str">
        <f>HYPERLINK("https://twitter.com/petrogustavo/status/1431303461744824325","1431303461744824325")</f>
        <v>1431303461744824325</v>
      </c>
      <c r="F15955" s="7" t="s">
        <v>32</v>
      </c>
      <c r="G15955" s="7">
        <v>4352944</v>
      </c>
      <c r="H15955" s="7">
        <v>2532</v>
      </c>
      <c r="I15955" s="7">
        <v>120</v>
      </c>
      <c r="J15955" s="7">
        <v>630</v>
      </c>
      <c r="K15955" s="7" t="s">
        <v>18</v>
      </c>
      <c r="L15955" s="8">
        <v>39987.315405092595</v>
      </c>
      <c r="M15955" s="9" t="s">
        <v>19</v>
      </c>
      <c r="N15955" s="9" t="s">
        <v>20</v>
      </c>
      <c r="O15955" s="6" t="str">
        <f>HYPERLINK("https://pbs.twimg.com/profile_images/962471262747529216/Uo8lOkRJ_normal.jpg","View")</f>
        <v>View</v>
      </c>
      <c r="P15955" s="7"/>
    </row>
    <row r="15956" spans="1:16">
      <c r="A15956" s="3">
        <v>44436.082048611112</v>
      </c>
      <c r="B15956" s="4" t="str">
        <f>HYPERLINK("https://twitter.com/petrogustavo","@petrogustavo")</f>
        <v>@petrogustavo</v>
      </c>
      <c r="C15956" s="5" t="s">
        <v>16</v>
      </c>
      <c r="D15956" s="5" t="s">
        <v>15360</v>
      </c>
      <c r="E15956" s="6" t="str">
        <f>HYPERLINK("https://twitter.com/petrogustavo/status/1431352858029531137","1431352858029531137")</f>
        <v>1431352858029531137</v>
      </c>
      <c r="F15956" s="7" t="s">
        <v>32</v>
      </c>
      <c r="G15956" s="7">
        <v>4353056</v>
      </c>
      <c r="H15956" s="7">
        <v>2532</v>
      </c>
      <c r="I15956" s="7">
        <v>35</v>
      </c>
      <c r="J15956" s="7">
        <v>115</v>
      </c>
      <c r="K15956" s="7" t="s">
        <v>18</v>
      </c>
      <c r="L15956" s="8">
        <v>39987.315405092595</v>
      </c>
      <c r="M15956" s="9" t="s">
        <v>19</v>
      </c>
      <c r="N15956" s="9" t="s">
        <v>20</v>
      </c>
      <c r="O15956" s="6" t="str">
        <f>HYPERLINK("https://pbs.twimg.com/profile_images/962471262747529216/Uo8lOkRJ_normal.jpg","View")</f>
        <v>View</v>
      </c>
      <c r="P15956" s="7"/>
    </row>
    <row r="15957" spans="1:16">
      <c r="A15957" s="3">
        <v>44436.082048611112</v>
      </c>
      <c r="B15957" s="4" t="str">
        <f>HYPERLINK("https://twitter.com/petrogustavo","@petrogustavo")</f>
        <v>@petrogustavo</v>
      </c>
      <c r="C15957" s="5" t="s">
        <v>16</v>
      </c>
      <c r="D15957" s="5" t="s">
        <v>15361</v>
      </c>
      <c r="E15957" s="6" t="str">
        <f>HYPERLINK("https://twitter.com/petrogustavo/status/1431352859401068551","1431352859401068551")</f>
        <v>1431352859401068551</v>
      </c>
      <c r="F15957" s="7" t="s">
        <v>32</v>
      </c>
      <c r="G15957" s="7">
        <v>4353056</v>
      </c>
      <c r="H15957" s="7">
        <v>2532</v>
      </c>
      <c r="I15957" s="7">
        <v>6</v>
      </c>
      <c r="J15957" s="7">
        <v>20</v>
      </c>
      <c r="K15957" s="7" t="s">
        <v>18</v>
      </c>
      <c r="L15957" s="8">
        <v>39987.315405092595</v>
      </c>
      <c r="M15957" s="9" t="s">
        <v>19</v>
      </c>
      <c r="N15957" s="9" t="s">
        <v>20</v>
      </c>
      <c r="O15957" s="6" t="str">
        <f>HYPERLINK("https://pbs.twimg.com/profile_images/962471262747529216/Uo8lOkRJ_normal.jpg","View")</f>
        <v>View</v>
      </c>
      <c r="P15957" s="7"/>
    </row>
    <row r="15958" spans="1:16">
      <c r="A15958" s="3">
        <v>44436.082060185188</v>
      </c>
      <c r="B15958" s="4" t="str">
        <f>HYPERLINK("https://twitter.com/petrogustavo","@petrogustavo")</f>
        <v>@petrogustavo</v>
      </c>
      <c r="C15958" s="5" t="s">
        <v>16</v>
      </c>
      <c r="D15958" s="5" t="s">
        <v>15362</v>
      </c>
      <c r="E15958" s="6" t="str">
        <f>HYPERLINK("https://twitter.com/petrogustavo/status/1431352861569568774","1431352861569568774")</f>
        <v>1431352861569568774</v>
      </c>
      <c r="F15958" s="7" t="s">
        <v>32</v>
      </c>
      <c r="G15958" s="7">
        <v>4353056</v>
      </c>
      <c r="H15958" s="7">
        <v>2532</v>
      </c>
      <c r="I15958" s="7">
        <v>4</v>
      </c>
      <c r="J15958" s="7">
        <v>18</v>
      </c>
      <c r="K15958" s="7" t="s">
        <v>18</v>
      </c>
      <c r="L15958" s="8">
        <v>39987.315405092595</v>
      </c>
      <c r="M15958" s="9" t="s">
        <v>19</v>
      </c>
      <c r="N15958" s="9" t="s">
        <v>20</v>
      </c>
      <c r="O15958" s="6" t="str">
        <f>HYPERLINK("https://pbs.twimg.com/profile_images/962471262747529216/Uo8lOkRJ_normal.jpg","View")</f>
        <v>View</v>
      </c>
      <c r="P15958" s="7"/>
    </row>
    <row r="15959" spans="1:16">
      <c r="A15959" s="3">
        <v>44436.082060185188</v>
      </c>
      <c r="B15959" s="4" t="str">
        <f>HYPERLINK("https://twitter.com/petrogustavo","@petrogustavo")</f>
        <v>@petrogustavo</v>
      </c>
      <c r="C15959" s="5" t="s">
        <v>16</v>
      </c>
      <c r="D15959" s="5" t="s">
        <v>15363</v>
      </c>
      <c r="E15959" s="6" t="str">
        <f>HYPERLINK("https://twitter.com/petrogustavo/status/1431352862806794246","1431352862806794246")</f>
        <v>1431352862806794246</v>
      </c>
      <c r="F15959" s="7" t="s">
        <v>32</v>
      </c>
      <c r="G15959" s="7">
        <v>4353056</v>
      </c>
      <c r="H15959" s="7">
        <v>2532</v>
      </c>
      <c r="I15959" s="7">
        <v>5</v>
      </c>
      <c r="J15959" s="7">
        <v>23</v>
      </c>
      <c r="K15959" s="7" t="s">
        <v>18</v>
      </c>
      <c r="L15959" s="8">
        <v>39987.315405092595</v>
      </c>
      <c r="M15959" s="9" t="s">
        <v>19</v>
      </c>
      <c r="N15959" s="9" t="s">
        <v>20</v>
      </c>
      <c r="O15959" s="6" t="str">
        <f>HYPERLINK("https://pbs.twimg.com/profile_images/962471262747529216/Uo8lOkRJ_normal.jpg","View")</f>
        <v>View</v>
      </c>
      <c r="P15959" s="7"/>
    </row>
    <row r="15960" spans="1:16">
      <c r="A15960" s="3">
        <v>44436.082060185188</v>
      </c>
      <c r="B15960" s="4" t="str">
        <f>HYPERLINK("https://twitter.com/petrogustavo","@petrogustavo")</f>
        <v>@petrogustavo</v>
      </c>
      <c r="C15960" s="5" t="s">
        <v>16</v>
      </c>
      <c r="D15960" s="5" t="s">
        <v>15364</v>
      </c>
      <c r="E15960" s="6" t="str">
        <f>HYPERLINK("https://twitter.com/petrogustavo/status/1431352864211972096","1431352864211972096")</f>
        <v>1431352864211972096</v>
      </c>
      <c r="F15960" s="7" t="s">
        <v>32</v>
      </c>
      <c r="G15960" s="7">
        <v>4353056</v>
      </c>
      <c r="H15960" s="7">
        <v>2532</v>
      </c>
      <c r="I15960" s="7">
        <v>6</v>
      </c>
      <c r="J15960" s="7">
        <v>23</v>
      </c>
      <c r="K15960" s="7" t="s">
        <v>18</v>
      </c>
      <c r="L15960" s="8">
        <v>39987.315405092595</v>
      </c>
      <c r="M15960" s="9" t="s">
        <v>19</v>
      </c>
      <c r="N15960" s="9" t="s">
        <v>20</v>
      </c>
      <c r="O15960" s="6" t="str">
        <f>HYPERLINK("https://pbs.twimg.com/profile_images/962471262747529216/Uo8lOkRJ_normal.jpg","View")</f>
        <v>View</v>
      </c>
      <c r="P15960" s="7"/>
    </row>
    <row r="15961" spans="1:16">
      <c r="A15961" s="3">
        <v>44436.082199074073</v>
      </c>
      <c r="B15961" s="4" t="str">
        <f>HYPERLINK("https://twitter.com/petrogustavo","@petrogustavo")</f>
        <v>@petrogustavo</v>
      </c>
      <c r="C15961" s="5" t="s">
        <v>16</v>
      </c>
      <c r="D15961" s="5" t="s">
        <v>15365</v>
      </c>
      <c r="E15961" s="6" t="str">
        <f>HYPERLINK("https://twitter.com/petrogustavo/status/1431352914883268609","1431352914883268609")</f>
        <v>1431352914883268609</v>
      </c>
      <c r="F15961" s="7" t="s">
        <v>32</v>
      </c>
      <c r="G15961" s="7">
        <v>4353056</v>
      </c>
      <c r="H15961" s="7">
        <v>2532</v>
      </c>
      <c r="I15961" s="7">
        <v>3</v>
      </c>
      <c r="J15961" s="7">
        <v>24</v>
      </c>
      <c r="K15961" s="7" t="s">
        <v>18</v>
      </c>
      <c r="L15961" s="8">
        <v>39987.315405092595</v>
      </c>
      <c r="M15961" s="9" t="s">
        <v>19</v>
      </c>
      <c r="N15961" s="9" t="s">
        <v>20</v>
      </c>
      <c r="O15961" s="6" t="str">
        <f>HYPERLINK("https://pbs.twimg.com/profile_images/962471262747529216/Uo8lOkRJ_normal.jpg","View")</f>
        <v>View</v>
      </c>
      <c r="P15961" s="7"/>
    </row>
    <row r="15962" spans="1:16">
      <c r="A15962" s="3">
        <v>44436.08221064815</v>
      </c>
      <c r="B15962" s="4" t="str">
        <f>HYPERLINK("https://twitter.com/petrogustavo","@petrogustavo")</f>
        <v>@petrogustavo</v>
      </c>
      <c r="C15962" s="5" t="s">
        <v>16</v>
      </c>
      <c r="D15962" s="5" t="s">
        <v>15366</v>
      </c>
      <c r="E15962" s="6" t="str">
        <f>HYPERLINK("https://twitter.com/petrogustavo/status/1431352916372230148","1431352916372230148")</f>
        <v>1431352916372230148</v>
      </c>
      <c r="F15962" s="7" t="s">
        <v>32</v>
      </c>
      <c r="G15962" s="7">
        <v>4353056</v>
      </c>
      <c r="H15962" s="7">
        <v>2532</v>
      </c>
      <c r="I15962" s="7">
        <v>5</v>
      </c>
      <c r="J15962" s="7">
        <v>25</v>
      </c>
      <c r="K15962" s="7" t="s">
        <v>18</v>
      </c>
      <c r="L15962" s="8">
        <v>39987.315405092595</v>
      </c>
      <c r="M15962" s="9" t="s">
        <v>19</v>
      </c>
      <c r="N15962" s="9" t="s">
        <v>20</v>
      </c>
      <c r="O15962" s="6" t="str">
        <f>HYPERLINK("https://pbs.twimg.com/profile_images/962471262747529216/Uo8lOkRJ_normal.jpg","View")</f>
        <v>View</v>
      </c>
      <c r="P15962" s="7"/>
    </row>
    <row r="15963" spans="1:16">
      <c r="A15963" s="3">
        <v>44436.08221064815</v>
      </c>
      <c r="B15963" s="4" t="str">
        <f>HYPERLINK("https://twitter.com/petrogustavo","@petrogustavo")</f>
        <v>@petrogustavo</v>
      </c>
      <c r="C15963" s="5" t="s">
        <v>16</v>
      </c>
      <c r="D15963" s="5" t="s">
        <v>15367</v>
      </c>
      <c r="E15963" s="6" t="str">
        <f>HYPERLINK("https://twitter.com/petrogustavo/status/1431352917697736709","1431352917697736709")</f>
        <v>1431352917697736709</v>
      </c>
      <c r="F15963" s="7" t="s">
        <v>32</v>
      </c>
      <c r="G15963" s="7">
        <v>4353056</v>
      </c>
      <c r="H15963" s="7">
        <v>2532</v>
      </c>
      <c r="I15963" s="7">
        <v>17</v>
      </c>
      <c r="J15963" s="7">
        <v>59</v>
      </c>
      <c r="K15963" s="7" t="s">
        <v>18</v>
      </c>
      <c r="L15963" s="8">
        <v>39987.315405092595</v>
      </c>
      <c r="M15963" s="9" t="s">
        <v>19</v>
      </c>
      <c r="N15963" s="9" t="s">
        <v>20</v>
      </c>
      <c r="O15963" s="6" t="str">
        <f>HYPERLINK("https://pbs.twimg.com/profile_images/962471262747529216/Uo8lOkRJ_normal.jpg","View")</f>
        <v>View</v>
      </c>
      <c r="P15963" s="7"/>
    </row>
    <row r="15964" spans="1:16">
      <c r="A15964" s="3">
        <v>44436.08221064815</v>
      </c>
      <c r="B15964" s="4" t="str">
        <f>HYPERLINK("https://twitter.com/petrogustavo","@petrogustavo")</f>
        <v>@petrogustavo</v>
      </c>
      <c r="C15964" s="5" t="s">
        <v>16</v>
      </c>
      <c r="D15964" s="5" t="s">
        <v>15368</v>
      </c>
      <c r="E15964" s="6" t="str">
        <f>HYPERLINK("https://twitter.com/petrogustavo/status/1431352918955995140","1431352918955995140")</f>
        <v>1431352918955995140</v>
      </c>
      <c r="F15964" s="7" t="s">
        <v>32</v>
      </c>
      <c r="G15964" s="7">
        <v>4353056</v>
      </c>
      <c r="H15964" s="7">
        <v>2532</v>
      </c>
      <c r="I15964" s="7">
        <v>14</v>
      </c>
      <c r="J15964" s="7">
        <v>67</v>
      </c>
      <c r="K15964" s="7" t="s">
        <v>18</v>
      </c>
      <c r="L15964" s="8">
        <v>39987.315405092595</v>
      </c>
      <c r="M15964" s="9" t="s">
        <v>19</v>
      </c>
      <c r="N15964" s="9" t="s">
        <v>20</v>
      </c>
      <c r="O15964" s="6" t="str">
        <f>HYPERLINK("https://pbs.twimg.com/profile_images/962471262747529216/Uo8lOkRJ_normal.jpg","View")</f>
        <v>View</v>
      </c>
      <c r="P15964" s="7"/>
    </row>
    <row r="15965" spans="1:16">
      <c r="A15965" s="3">
        <v>44436.094502314816</v>
      </c>
      <c r="B15965" s="4" t="str">
        <f>HYPERLINK("https://twitter.com/petrogustavo","@petrogustavo")</f>
        <v>@petrogustavo</v>
      </c>
      <c r="C15965" s="5" t="s">
        <v>16</v>
      </c>
      <c r="D15965" s="5" t="s">
        <v>15369</v>
      </c>
      <c r="E15965" s="6" t="str">
        <f>HYPERLINK("https://twitter.com/petrogustavo/status/1431357373193629703","1431357373193629703")</f>
        <v>1431357373193629703</v>
      </c>
      <c r="F15965" s="7" t="s">
        <v>32</v>
      </c>
      <c r="G15965" s="7">
        <v>4353067</v>
      </c>
      <c r="H15965" s="7">
        <v>2532</v>
      </c>
      <c r="I15965" s="7">
        <v>59</v>
      </c>
      <c r="J15965" s="7">
        <v>287</v>
      </c>
      <c r="K15965" s="7" t="s">
        <v>18</v>
      </c>
      <c r="L15965" s="8">
        <v>39987.315405092595</v>
      </c>
      <c r="M15965" s="9" t="s">
        <v>19</v>
      </c>
      <c r="N15965" s="9" t="s">
        <v>20</v>
      </c>
      <c r="O15965" s="6" t="str">
        <f>HYPERLINK("https://pbs.twimg.com/profile_images/962471262747529216/Uo8lOkRJ_normal.jpg","View")</f>
        <v>View</v>
      </c>
      <c r="P15965" s="7"/>
    </row>
    <row r="15966" spans="1:16">
      <c r="A15966" s="3">
        <v>44436.097013888888</v>
      </c>
      <c r="B15966" s="4" t="str">
        <f>HYPERLINK("https://twitter.com/petrogustavo","@petrogustavo")</f>
        <v>@petrogustavo</v>
      </c>
      <c r="C15966" s="5" t="s">
        <v>16</v>
      </c>
      <c r="D15966" s="5" t="s">
        <v>15370</v>
      </c>
      <c r="E15966" s="6" t="str">
        <f>HYPERLINK("https://twitter.com/petrogustavo/status/1431358282027917315","1431358282027917315")</f>
        <v>1431358282027917315</v>
      </c>
      <c r="F15966" s="7" t="s">
        <v>32</v>
      </c>
      <c r="G15966" s="7">
        <v>4353067</v>
      </c>
      <c r="H15966" s="7">
        <v>2532</v>
      </c>
      <c r="I15966" s="7">
        <v>168</v>
      </c>
      <c r="J15966" s="7">
        <v>0</v>
      </c>
      <c r="K15966" s="7" t="s">
        <v>18</v>
      </c>
      <c r="L15966" s="8">
        <v>39987.315405092595</v>
      </c>
      <c r="M15966" s="9" t="s">
        <v>19</v>
      </c>
      <c r="N15966" s="9" t="s">
        <v>20</v>
      </c>
      <c r="O15966" s="6" t="str">
        <f>HYPERLINK("https://pbs.twimg.com/profile_images/962471262747529216/Uo8lOkRJ_normal.jpg","View")</f>
        <v>View</v>
      </c>
      <c r="P15966" s="7"/>
    </row>
    <row r="15967" spans="1:16">
      <c r="A15967" s="3">
        <v>44436.763483796298</v>
      </c>
      <c r="B15967" s="4" t="str">
        <f>HYPERLINK("https://twitter.com/petrogustavo","@petrogustavo")</f>
        <v>@petrogustavo</v>
      </c>
      <c r="C15967" s="5" t="s">
        <v>16</v>
      </c>
      <c r="D15967" s="5" t="s">
        <v>15371</v>
      </c>
      <c r="E15967" s="6" t="str">
        <f>HYPERLINK("https://twitter.com/petrogustavo/status/1431599803859865603","1431599803859865603")</f>
        <v>1431599803859865603</v>
      </c>
      <c r="F15967" s="7" t="s">
        <v>17</v>
      </c>
      <c r="G15967" s="7">
        <v>4353371</v>
      </c>
      <c r="H15967" s="7">
        <v>2532</v>
      </c>
      <c r="I15967" s="7">
        <v>93</v>
      </c>
      <c r="J15967" s="7">
        <v>206</v>
      </c>
      <c r="K15967" s="7" t="s">
        <v>18</v>
      </c>
      <c r="L15967" s="8">
        <v>39987.315405092595</v>
      </c>
      <c r="M15967" s="9" t="s">
        <v>19</v>
      </c>
      <c r="N15967" s="9" t="s">
        <v>20</v>
      </c>
      <c r="O15967" s="6" t="str">
        <f>HYPERLINK("https://pbs.twimg.com/profile_images/962471262747529216/Uo8lOkRJ_normal.jpg","View")</f>
        <v>View</v>
      </c>
      <c r="P15967" s="7"/>
    </row>
    <row r="15968" spans="1:16">
      <c r="A15968" s="3">
        <v>44436.770543981482</v>
      </c>
      <c r="B15968" s="4" t="str">
        <f>HYPERLINK("https://twitter.com/petrogustavo","@petrogustavo")</f>
        <v>@petrogustavo</v>
      </c>
      <c r="C15968" s="5" t="s">
        <v>16</v>
      </c>
      <c r="D15968" s="5" t="s">
        <v>15372</v>
      </c>
      <c r="E15968" s="6" t="str">
        <f>HYPERLINK("https://twitter.com/petrogustavo/status/1431602360959254528","1431602360959254528")</f>
        <v>1431602360959254528</v>
      </c>
      <c r="F15968" s="7" t="s">
        <v>17</v>
      </c>
      <c r="G15968" s="7">
        <v>4353371</v>
      </c>
      <c r="H15968" s="7">
        <v>2532</v>
      </c>
      <c r="I15968" s="7">
        <v>20</v>
      </c>
      <c r="J15968" s="7">
        <v>45</v>
      </c>
      <c r="K15968" s="7" t="s">
        <v>18</v>
      </c>
      <c r="L15968" s="8">
        <v>39987.315405092595</v>
      </c>
      <c r="M15968" s="9" t="s">
        <v>19</v>
      </c>
      <c r="N15968" s="9" t="s">
        <v>20</v>
      </c>
      <c r="O15968" s="6" t="str">
        <f>HYPERLINK("https://pbs.twimg.com/profile_images/962471262747529216/Uo8lOkRJ_normal.jpg","View")</f>
        <v>View</v>
      </c>
      <c r="P15968" s="7"/>
    </row>
    <row r="15969" spans="1:16">
      <c r="A15969" s="3">
        <v>44436.770543981482</v>
      </c>
      <c r="B15969" s="4" t="str">
        <f>HYPERLINK("https://twitter.com/petrogustavo","@petrogustavo")</f>
        <v>@petrogustavo</v>
      </c>
      <c r="C15969" s="5" t="s">
        <v>16</v>
      </c>
      <c r="D15969" s="5" t="s">
        <v>15373</v>
      </c>
      <c r="E15969" s="6" t="str">
        <f>HYPERLINK("https://twitter.com/petrogustavo/status/1431602362146336769","1431602362146336769")</f>
        <v>1431602362146336769</v>
      </c>
      <c r="F15969" s="7" t="s">
        <v>17</v>
      </c>
      <c r="G15969" s="7">
        <v>4353371</v>
      </c>
      <c r="H15969" s="7">
        <v>2532</v>
      </c>
      <c r="I15969" s="7">
        <v>17</v>
      </c>
      <c r="J15969" s="7">
        <v>42</v>
      </c>
      <c r="K15969" s="7" t="s">
        <v>18</v>
      </c>
      <c r="L15969" s="8">
        <v>39987.315405092595</v>
      </c>
      <c r="M15969" s="9" t="s">
        <v>19</v>
      </c>
      <c r="N15969" s="9" t="s">
        <v>20</v>
      </c>
      <c r="O15969" s="6" t="str">
        <f>HYPERLINK("https://pbs.twimg.com/profile_images/962471262747529216/Uo8lOkRJ_normal.jpg","View")</f>
        <v>View</v>
      </c>
      <c r="P15969" s="7"/>
    </row>
    <row r="15970" spans="1:16">
      <c r="A15970" s="3">
        <v>44436.778634259259</v>
      </c>
      <c r="B15970" s="4" t="str">
        <f>HYPERLINK("https://twitter.com/petrogustavo","@petrogustavo")</f>
        <v>@petrogustavo</v>
      </c>
      <c r="C15970" s="5" t="s">
        <v>16</v>
      </c>
      <c r="D15970" s="5" t="s">
        <v>15374</v>
      </c>
      <c r="E15970" s="6" t="str">
        <f>HYPERLINK("https://twitter.com/petrogustavo/status/1431605291137867781","1431605291137867781")</f>
        <v>1431605291137867781</v>
      </c>
      <c r="F15970" s="7" t="s">
        <v>17</v>
      </c>
      <c r="G15970" s="7">
        <v>4353378</v>
      </c>
      <c r="H15970" s="7">
        <v>2532</v>
      </c>
      <c r="I15970" s="7">
        <v>67</v>
      </c>
      <c r="J15970" s="7">
        <v>0</v>
      </c>
      <c r="K15970" s="7" t="s">
        <v>18</v>
      </c>
      <c r="L15970" s="8">
        <v>39987.315405092595</v>
      </c>
      <c r="M15970" s="9" t="s">
        <v>19</v>
      </c>
      <c r="N15970" s="9" t="s">
        <v>20</v>
      </c>
      <c r="O15970" s="6" t="str">
        <f>HYPERLINK("https://pbs.twimg.com/profile_images/962471262747529216/Uo8lOkRJ_normal.jpg","View")</f>
        <v>View</v>
      </c>
      <c r="P15970" s="7"/>
    </row>
    <row r="15971" spans="1:16">
      <c r="A15971" s="3">
        <v>44436.778715277775</v>
      </c>
      <c r="B15971" s="4" t="str">
        <f>HYPERLINK("https://twitter.com/petrogustavo","@petrogustavo")</f>
        <v>@petrogustavo</v>
      </c>
      <c r="C15971" s="5" t="s">
        <v>16</v>
      </c>
      <c r="D15971" s="5" t="s">
        <v>15375</v>
      </c>
      <c r="E15971" s="6" t="str">
        <f>HYPERLINK("https://twitter.com/petrogustavo/status/1431605322322485253","1431605322322485253")</f>
        <v>1431605322322485253</v>
      </c>
      <c r="F15971" s="7" t="s">
        <v>17</v>
      </c>
      <c r="G15971" s="7">
        <v>4353378</v>
      </c>
      <c r="H15971" s="7">
        <v>2532</v>
      </c>
      <c r="I15971" s="7">
        <v>87</v>
      </c>
      <c r="J15971" s="7">
        <v>0</v>
      </c>
      <c r="K15971" s="7" t="s">
        <v>18</v>
      </c>
      <c r="L15971" s="8">
        <v>39987.315405092595</v>
      </c>
      <c r="M15971" s="9" t="s">
        <v>19</v>
      </c>
      <c r="N15971" s="9" t="s">
        <v>20</v>
      </c>
      <c r="O15971" s="6" t="str">
        <f>HYPERLINK("https://pbs.twimg.com/profile_images/962471262747529216/Uo8lOkRJ_normal.jpg","View")</f>
        <v>View</v>
      </c>
      <c r="P15971" s="7"/>
    </row>
    <row r="15972" spans="1:16">
      <c r="A15972" s="3">
        <v>44436.792581018519</v>
      </c>
      <c r="B15972" s="4" t="str">
        <f>HYPERLINK("https://twitter.com/petrogustavo","@petrogustavo")</f>
        <v>@petrogustavo</v>
      </c>
      <c r="C15972" s="5" t="s">
        <v>16</v>
      </c>
      <c r="D15972" s="5" t="s">
        <v>15376</v>
      </c>
      <c r="E15972" s="6" t="str">
        <f>HYPERLINK("https://twitter.com/petrogustavo/status/1431610345618038786","1431610345618038786")</f>
        <v>1431610345618038786</v>
      </c>
      <c r="F15972" s="7" t="s">
        <v>17</v>
      </c>
      <c r="G15972" s="7">
        <v>4353378</v>
      </c>
      <c r="H15972" s="7">
        <v>2532</v>
      </c>
      <c r="I15972" s="7">
        <v>519</v>
      </c>
      <c r="J15972" s="7">
        <v>0</v>
      </c>
      <c r="K15972" s="7" t="s">
        <v>18</v>
      </c>
      <c r="L15972" s="8">
        <v>39987.315405092595</v>
      </c>
      <c r="M15972" s="9" t="s">
        <v>19</v>
      </c>
      <c r="N15972" s="9" t="s">
        <v>20</v>
      </c>
      <c r="O15972" s="6" t="str">
        <f>HYPERLINK("https://pbs.twimg.com/profile_images/962471262747529216/Uo8lOkRJ_normal.jpg","View")</f>
        <v>View</v>
      </c>
      <c r="P15972" s="7"/>
    </row>
    <row r="15973" spans="1:16">
      <c r="A15973" s="3">
        <v>44436.801574074074</v>
      </c>
      <c r="B15973" s="4" t="str">
        <f>HYPERLINK("https://twitter.com/petrogustavo","@petrogustavo")</f>
        <v>@petrogustavo</v>
      </c>
      <c r="C15973" s="5" t="s">
        <v>16</v>
      </c>
      <c r="D15973" s="5" t="s">
        <v>15370</v>
      </c>
      <c r="E15973" s="6" t="str">
        <f>HYPERLINK("https://twitter.com/petrogustavo/status/1431613607469535236","1431613607469535236")</f>
        <v>1431613607469535236</v>
      </c>
      <c r="F15973" s="7" t="s">
        <v>17</v>
      </c>
      <c r="G15973" s="7">
        <v>4353396</v>
      </c>
      <c r="H15973" s="7">
        <v>2532</v>
      </c>
      <c r="I15973" s="7">
        <v>1757</v>
      </c>
      <c r="J15973" s="7">
        <v>0</v>
      </c>
      <c r="K15973" s="7" t="s">
        <v>18</v>
      </c>
      <c r="L15973" s="8">
        <v>39987.315405092595</v>
      </c>
      <c r="M15973" s="9" t="s">
        <v>19</v>
      </c>
      <c r="N15973" s="9" t="s">
        <v>20</v>
      </c>
      <c r="O15973" s="6" t="str">
        <f>HYPERLINK("https://pbs.twimg.com/profile_images/962471262747529216/Uo8lOkRJ_normal.jpg","View")</f>
        <v>View</v>
      </c>
      <c r="P15973" s="7"/>
    </row>
    <row r="15974" spans="1:16">
      <c r="A15974" s="3">
        <v>44436.806458333333</v>
      </c>
      <c r="B15974" s="4" t="str">
        <f>HYPERLINK("https://twitter.com/petrogustavo","@petrogustavo")</f>
        <v>@petrogustavo</v>
      </c>
      <c r="C15974" s="5" t="s">
        <v>16</v>
      </c>
      <c r="D15974" s="5" t="s">
        <v>15377</v>
      </c>
      <c r="E15974" s="6" t="str">
        <f>HYPERLINK("https://twitter.com/petrogustavo/status/1431615377033895939","1431615377033895939")</f>
        <v>1431615377033895939</v>
      </c>
      <c r="F15974" s="7" t="s">
        <v>17</v>
      </c>
      <c r="G15974" s="7">
        <v>4353396</v>
      </c>
      <c r="H15974" s="7">
        <v>2532</v>
      </c>
      <c r="I15974" s="7">
        <v>111</v>
      </c>
      <c r="J15974" s="7">
        <v>210</v>
      </c>
      <c r="K15974" s="7" t="s">
        <v>18</v>
      </c>
      <c r="L15974" s="8">
        <v>39987.315405092595</v>
      </c>
      <c r="M15974" s="9" t="s">
        <v>19</v>
      </c>
      <c r="N15974" s="9" t="s">
        <v>20</v>
      </c>
      <c r="O15974" s="6" t="str">
        <f>HYPERLINK("https://pbs.twimg.com/profile_images/962471262747529216/Uo8lOkRJ_normal.jpg","View")</f>
        <v>View</v>
      </c>
      <c r="P15974" s="7"/>
    </row>
    <row r="15975" spans="1:16">
      <c r="A15975" s="3">
        <v>44436.806469907402</v>
      </c>
      <c r="B15975" s="4" t="str">
        <f>HYPERLINK("https://twitter.com/petrogustavo","@petrogustavo")</f>
        <v>@petrogustavo</v>
      </c>
      <c r="C15975" s="5" t="s">
        <v>16</v>
      </c>
      <c r="D15975" s="5" t="s">
        <v>15378</v>
      </c>
      <c r="E15975" s="6" t="str">
        <f>HYPERLINK("https://twitter.com/petrogustavo/status/1431615378787127296","1431615378787127296")</f>
        <v>1431615378787127296</v>
      </c>
      <c r="F15975" s="7" t="s">
        <v>17</v>
      </c>
      <c r="G15975" s="7">
        <v>4353396</v>
      </c>
      <c r="H15975" s="7">
        <v>2532</v>
      </c>
      <c r="I15975" s="7">
        <v>56</v>
      </c>
      <c r="J15975" s="7">
        <v>151</v>
      </c>
      <c r="K15975" s="7" t="s">
        <v>18</v>
      </c>
      <c r="L15975" s="8">
        <v>39987.315405092595</v>
      </c>
      <c r="M15975" s="9" t="s">
        <v>19</v>
      </c>
      <c r="N15975" s="9" t="s">
        <v>20</v>
      </c>
      <c r="O15975" s="6" t="str">
        <f>HYPERLINK("https://pbs.twimg.com/profile_images/962471262747529216/Uo8lOkRJ_normal.jpg","View")</f>
        <v>View</v>
      </c>
      <c r="P15975" s="7"/>
    </row>
    <row r="15976" spans="1:16">
      <c r="A15976" s="3">
        <v>44436.806469907402</v>
      </c>
      <c r="B15976" s="4" t="str">
        <f>HYPERLINK("https://twitter.com/petrogustavo","@petrogustavo")</f>
        <v>@petrogustavo</v>
      </c>
      <c r="C15976" s="5" t="s">
        <v>16</v>
      </c>
      <c r="D15976" s="5" t="s">
        <v>15379</v>
      </c>
      <c r="E15976" s="6" t="str">
        <f>HYPERLINK("https://twitter.com/petrogustavo/status/1431615379911098373","1431615379911098373")</f>
        <v>1431615379911098373</v>
      </c>
      <c r="F15976" s="7" t="s">
        <v>17</v>
      </c>
      <c r="G15976" s="7">
        <v>4353396</v>
      </c>
      <c r="H15976" s="7">
        <v>2532</v>
      </c>
      <c r="I15976" s="7">
        <v>55</v>
      </c>
      <c r="J15976" s="7">
        <v>156</v>
      </c>
      <c r="K15976" s="7" t="s">
        <v>18</v>
      </c>
      <c r="L15976" s="8">
        <v>39987.315405092595</v>
      </c>
      <c r="M15976" s="9" t="s">
        <v>19</v>
      </c>
      <c r="N15976" s="9" t="s">
        <v>20</v>
      </c>
      <c r="O15976" s="6" t="str">
        <f>HYPERLINK("https://pbs.twimg.com/profile_images/962471262747529216/Uo8lOkRJ_normal.jpg","View")</f>
        <v>View</v>
      </c>
      <c r="P15976" s="7"/>
    </row>
    <row r="15977" spans="1:16">
      <c r="A15977" s="3">
        <v>44436.812754629631</v>
      </c>
      <c r="B15977" s="4" t="str">
        <f>HYPERLINK("https://twitter.com/petrogustavo","@petrogustavo")</f>
        <v>@petrogustavo</v>
      </c>
      <c r="C15977" s="5" t="s">
        <v>16</v>
      </c>
      <c r="D15977" s="5" t="s">
        <v>15380</v>
      </c>
      <c r="E15977" s="6" t="str">
        <f>HYPERLINK("https://twitter.com/petrogustavo/status/1431617657502109701","1431617657502109701")</f>
        <v>1431617657502109701</v>
      </c>
      <c r="F15977" s="7" t="s">
        <v>17</v>
      </c>
      <c r="G15977" s="7">
        <v>4353396</v>
      </c>
      <c r="H15977" s="7">
        <v>2532</v>
      </c>
      <c r="I15977" s="7">
        <v>45</v>
      </c>
      <c r="J15977" s="7">
        <v>96</v>
      </c>
      <c r="K15977" s="7" t="s">
        <v>18</v>
      </c>
      <c r="L15977" s="8">
        <v>39987.315405092595</v>
      </c>
      <c r="M15977" s="9" t="s">
        <v>19</v>
      </c>
      <c r="N15977" s="9" t="s">
        <v>20</v>
      </c>
      <c r="O15977" s="6" t="str">
        <f>HYPERLINK("https://pbs.twimg.com/profile_images/962471262747529216/Uo8lOkRJ_normal.jpg","View")</f>
        <v>View</v>
      </c>
      <c r="P15977" s="7"/>
    </row>
    <row r="15978" spans="1:16">
      <c r="A15978" s="3">
        <v>44436.829143518524</v>
      </c>
      <c r="B15978" s="4" t="str">
        <f>HYPERLINK("https://twitter.com/petrogustavo","@petrogustavo")</f>
        <v>@petrogustavo</v>
      </c>
      <c r="C15978" s="5" t="s">
        <v>16</v>
      </c>
      <c r="D15978" s="5" t="s">
        <v>15381</v>
      </c>
      <c r="E15978" s="6" t="str">
        <f>HYPERLINK("https://twitter.com/petrogustavo/status/1431623598259806208","1431623598259806208")</f>
        <v>1431623598259806208</v>
      </c>
      <c r="F15978" s="7" t="s">
        <v>17</v>
      </c>
      <c r="G15978" s="7">
        <v>4353388</v>
      </c>
      <c r="H15978" s="7">
        <v>2532</v>
      </c>
      <c r="I15978" s="7">
        <v>49</v>
      </c>
      <c r="J15978" s="7">
        <v>187</v>
      </c>
      <c r="K15978" s="7" t="s">
        <v>18</v>
      </c>
      <c r="L15978" s="8">
        <v>39987.315405092595</v>
      </c>
      <c r="M15978" s="9" t="s">
        <v>19</v>
      </c>
      <c r="N15978" s="9" t="s">
        <v>20</v>
      </c>
      <c r="O15978" s="6" t="str">
        <f>HYPERLINK("https://pbs.twimg.com/profile_images/962471262747529216/Uo8lOkRJ_normal.jpg","View")</f>
        <v>View</v>
      </c>
      <c r="P15978" s="7"/>
    </row>
    <row r="15979" spans="1:16">
      <c r="A15979" s="3">
        <v>44436.833136574074</v>
      </c>
      <c r="B15979" s="4" t="str">
        <f>HYPERLINK("https://twitter.com/petrogustavo","@petrogustavo")</f>
        <v>@petrogustavo</v>
      </c>
      <c r="C15979" s="5" t="s">
        <v>16</v>
      </c>
      <c r="D15979" s="5" t="s">
        <v>15382</v>
      </c>
      <c r="E15979" s="6" t="str">
        <f>HYPERLINK("https://twitter.com/petrogustavo/status/1431625044808056834","1431625044808056834")</f>
        <v>1431625044808056834</v>
      </c>
      <c r="F15979" s="7" t="s">
        <v>17</v>
      </c>
      <c r="G15979" s="7">
        <v>4353388</v>
      </c>
      <c r="H15979" s="7">
        <v>2532</v>
      </c>
      <c r="I15979" s="7">
        <v>21</v>
      </c>
      <c r="J15979" s="7">
        <v>0</v>
      </c>
      <c r="K15979" s="7" t="s">
        <v>18</v>
      </c>
      <c r="L15979" s="8">
        <v>39987.315405092595</v>
      </c>
      <c r="M15979" s="9" t="s">
        <v>19</v>
      </c>
      <c r="N15979" s="9" t="s">
        <v>20</v>
      </c>
      <c r="O15979" s="6" t="str">
        <f>HYPERLINK("https://pbs.twimg.com/profile_images/962471262747529216/Uo8lOkRJ_normal.jpg","View")</f>
        <v>View</v>
      </c>
      <c r="P15979" s="7"/>
    </row>
    <row r="15980" spans="1:16">
      <c r="A15980" s="3">
        <v>44436.835277777776</v>
      </c>
      <c r="B15980" s="4" t="str">
        <f>HYPERLINK("https://twitter.com/petrogustavo","@petrogustavo")</f>
        <v>@petrogustavo</v>
      </c>
      <c r="C15980" s="5" t="s">
        <v>16</v>
      </c>
      <c r="D15980" s="5" t="s">
        <v>15383</v>
      </c>
      <c r="E15980" s="6" t="str">
        <f>HYPERLINK("https://twitter.com/petrogustavo/status/1431625818107793421","1431625818107793421")</f>
        <v>1431625818107793421</v>
      </c>
      <c r="F15980" s="7" t="s">
        <v>17</v>
      </c>
      <c r="G15980" s="7">
        <v>4353388</v>
      </c>
      <c r="H15980" s="7">
        <v>2532</v>
      </c>
      <c r="I15980" s="7">
        <v>109</v>
      </c>
      <c r="J15980" s="7">
        <v>0</v>
      </c>
      <c r="K15980" s="7" t="s">
        <v>18</v>
      </c>
      <c r="L15980" s="8">
        <v>39987.315405092595</v>
      </c>
      <c r="M15980" s="9" t="s">
        <v>19</v>
      </c>
      <c r="N15980" s="9" t="s">
        <v>20</v>
      </c>
      <c r="O15980" s="6" t="str">
        <f>HYPERLINK("https://pbs.twimg.com/profile_images/962471262747529216/Uo8lOkRJ_normal.jpg","View")</f>
        <v>View</v>
      </c>
      <c r="P15980" s="7"/>
    </row>
    <row r="15981" spans="1:16">
      <c r="A15981" s="3">
        <v>44436.836967592593</v>
      </c>
      <c r="B15981" s="4" t="str">
        <f>HYPERLINK("https://twitter.com/petrogustavo","@petrogustavo")</f>
        <v>@petrogustavo</v>
      </c>
      <c r="C15981" s="5" t="s">
        <v>16</v>
      </c>
      <c r="D15981" s="5" t="s">
        <v>15384</v>
      </c>
      <c r="E15981" s="6" t="str">
        <f>HYPERLINK("https://twitter.com/petrogustavo/status/1431626430442520583","1431626430442520583")</f>
        <v>1431626430442520583</v>
      </c>
      <c r="F15981" s="7" t="s">
        <v>17</v>
      </c>
      <c r="G15981" s="7">
        <v>4353410</v>
      </c>
      <c r="H15981" s="7">
        <v>2532</v>
      </c>
      <c r="I15981" s="7">
        <v>423</v>
      </c>
      <c r="J15981" s="7">
        <v>0</v>
      </c>
      <c r="K15981" s="7" t="s">
        <v>18</v>
      </c>
      <c r="L15981" s="8">
        <v>39987.315405092595</v>
      </c>
      <c r="M15981" s="9" t="s">
        <v>19</v>
      </c>
      <c r="N15981" s="9" t="s">
        <v>20</v>
      </c>
      <c r="O15981" s="6" t="str">
        <f>HYPERLINK("https://pbs.twimg.com/profile_images/962471262747529216/Uo8lOkRJ_normal.jpg","View")</f>
        <v>View</v>
      </c>
      <c r="P15981" s="7"/>
    </row>
    <row r="15982" spans="1:16">
      <c r="A15982" s="3">
        <v>44437.001550925925</v>
      </c>
      <c r="B15982" s="4" t="str">
        <f>HYPERLINK("https://twitter.com/petrogustavo","@petrogustavo")</f>
        <v>@petrogustavo</v>
      </c>
      <c r="C15982" s="5" t="s">
        <v>16</v>
      </c>
      <c r="D15982" s="5" t="s">
        <v>15385</v>
      </c>
      <c r="E15982" s="6" t="str">
        <f>HYPERLINK("https://twitter.com/petrogustavo/status/1431686075299336192","1431686075299336192")</f>
        <v>1431686075299336192</v>
      </c>
      <c r="F15982" s="7" t="s">
        <v>32</v>
      </c>
      <c r="G15982" s="7">
        <v>4353466</v>
      </c>
      <c r="H15982" s="7">
        <v>2532</v>
      </c>
      <c r="I15982" s="7">
        <v>0</v>
      </c>
      <c r="J15982" s="7">
        <v>0</v>
      </c>
      <c r="K15982" s="7" t="s">
        <v>18</v>
      </c>
      <c r="L15982" s="8">
        <v>39987.315405092595</v>
      </c>
      <c r="M15982" s="9" t="s">
        <v>19</v>
      </c>
      <c r="N15982" s="9" t="s">
        <v>20</v>
      </c>
      <c r="O15982" s="6" t="str">
        <f>HYPERLINK("https://pbs.twimg.com/profile_images/962471262747529216/Uo8lOkRJ_normal.jpg","View")</f>
        <v>View</v>
      </c>
      <c r="P15982" s="7"/>
    </row>
    <row r="15983" spans="1:16">
      <c r="A15983" s="3">
        <v>44437.001550925925</v>
      </c>
      <c r="B15983" s="4" t="str">
        <f>HYPERLINK("https://twitter.com/petrogustavo","@petrogustavo")</f>
        <v>@petrogustavo</v>
      </c>
      <c r="C15983" s="5" t="s">
        <v>16</v>
      </c>
      <c r="D15983" s="5" t="s">
        <v>15386</v>
      </c>
      <c r="E15983" s="6" t="str">
        <f>HYPERLINK("https://twitter.com/petrogustavo/status/1431686077392228357","1431686077392228357")</f>
        <v>1431686077392228357</v>
      </c>
      <c r="F15983" s="7" t="s">
        <v>32</v>
      </c>
      <c r="G15983" s="7">
        <v>4353466</v>
      </c>
      <c r="H15983" s="7">
        <v>2532</v>
      </c>
      <c r="I15983" s="7">
        <v>0</v>
      </c>
      <c r="J15983" s="7">
        <v>0</v>
      </c>
      <c r="K15983" s="7" t="s">
        <v>18</v>
      </c>
      <c r="L15983" s="8">
        <v>39987.315405092595</v>
      </c>
      <c r="M15983" s="9" t="s">
        <v>19</v>
      </c>
      <c r="N15983" s="9" t="s">
        <v>20</v>
      </c>
      <c r="O15983" s="6" t="str">
        <f>HYPERLINK("https://pbs.twimg.com/profile_images/962471262747529216/Uo8lOkRJ_normal.jpg","View")</f>
        <v>View</v>
      </c>
      <c r="P15983" s="7"/>
    </row>
    <row r="15984" spans="1:16">
      <c r="A15984" s="3">
        <v>44437.004525462966</v>
      </c>
      <c r="B15984" s="4" t="str">
        <f>HYPERLINK("https://twitter.com/petrogustavo","@petrogustavo")</f>
        <v>@petrogustavo</v>
      </c>
      <c r="C15984" s="5" t="s">
        <v>16</v>
      </c>
      <c r="D15984" s="5" t="s">
        <v>15387</v>
      </c>
      <c r="E15984" s="6" t="str">
        <f>HYPERLINK("https://twitter.com/petrogustavo/status/1431687154745413639","1431687154745413639")</f>
        <v>1431687154745413639</v>
      </c>
      <c r="F15984" s="7" t="s">
        <v>32</v>
      </c>
      <c r="G15984" s="7">
        <v>4353475</v>
      </c>
      <c r="H15984" s="7">
        <v>2532</v>
      </c>
      <c r="I15984" s="7">
        <v>984</v>
      </c>
      <c r="J15984" s="7">
        <v>0</v>
      </c>
      <c r="K15984" s="7" t="s">
        <v>18</v>
      </c>
      <c r="L15984" s="8">
        <v>39987.315405092595</v>
      </c>
      <c r="M15984" s="9" t="s">
        <v>19</v>
      </c>
      <c r="N15984" s="9" t="s">
        <v>20</v>
      </c>
      <c r="O15984" s="6" t="str">
        <f>HYPERLINK("https://pbs.twimg.com/profile_images/962471262747529216/Uo8lOkRJ_normal.jpg","View")</f>
        <v>View</v>
      </c>
      <c r="P15984" s="7"/>
    </row>
    <row r="15985" spans="1:16">
      <c r="A15985" s="3">
        <v>44437.006018518514</v>
      </c>
      <c r="B15985" s="4" t="str">
        <f>HYPERLINK("https://twitter.com/petrogustavo","@petrogustavo")</f>
        <v>@petrogustavo</v>
      </c>
      <c r="C15985" s="5" t="s">
        <v>16</v>
      </c>
      <c r="D15985" s="5" t="s">
        <v>15388</v>
      </c>
      <c r="E15985" s="6" t="str">
        <f>HYPERLINK("https://twitter.com/petrogustavo/status/1431687695181484038","1431687695181484038")</f>
        <v>1431687695181484038</v>
      </c>
      <c r="F15985" s="7" t="s">
        <v>32</v>
      </c>
      <c r="G15985" s="7">
        <v>4353475</v>
      </c>
      <c r="H15985" s="7">
        <v>2532</v>
      </c>
      <c r="I15985" s="7">
        <v>126</v>
      </c>
      <c r="J15985" s="7">
        <v>211</v>
      </c>
      <c r="K15985" s="7" t="s">
        <v>18</v>
      </c>
      <c r="L15985" s="8">
        <v>39987.315405092595</v>
      </c>
      <c r="M15985" s="9" t="s">
        <v>19</v>
      </c>
      <c r="N15985" s="9" t="s">
        <v>20</v>
      </c>
      <c r="O15985" s="6" t="str">
        <f>HYPERLINK("https://pbs.twimg.com/profile_images/962471262747529216/Uo8lOkRJ_normal.jpg","View")</f>
        <v>View</v>
      </c>
      <c r="P15985" s="7"/>
    </row>
    <row r="15986" spans="1:16">
      <c r="A15986" s="3">
        <v>44437.008657407408</v>
      </c>
      <c r="B15986" s="4" t="str">
        <f>HYPERLINK("https://twitter.com/petrogustavo","@petrogustavo")</f>
        <v>@petrogustavo</v>
      </c>
      <c r="C15986" s="5" t="s">
        <v>16</v>
      </c>
      <c r="D15986" s="5" t="s">
        <v>15389</v>
      </c>
      <c r="E15986" s="6" t="str">
        <f>HYPERLINK("https://twitter.com/petrogustavo/status/1431688652267130884","1431688652267130884")</f>
        <v>1431688652267130884</v>
      </c>
      <c r="F15986" s="7" t="s">
        <v>32</v>
      </c>
      <c r="G15986" s="7">
        <v>4353475</v>
      </c>
      <c r="H15986" s="7">
        <v>2532</v>
      </c>
      <c r="I15986" s="7">
        <v>303</v>
      </c>
      <c r="J15986" s="7">
        <v>1033</v>
      </c>
      <c r="K15986" s="7" t="s">
        <v>18</v>
      </c>
      <c r="L15986" s="8">
        <v>39987.315405092595</v>
      </c>
      <c r="M15986" s="9" t="s">
        <v>19</v>
      </c>
      <c r="N15986" s="9" t="s">
        <v>20</v>
      </c>
      <c r="O15986" s="6" t="str">
        <f>HYPERLINK("https://pbs.twimg.com/profile_images/962471262747529216/Uo8lOkRJ_normal.jpg","View")</f>
        <v>View</v>
      </c>
      <c r="P15986" s="7"/>
    </row>
    <row r="15987" spans="1:16">
      <c r="A15987" s="3">
        <v>44437.014976851853</v>
      </c>
      <c r="B15987" s="4" t="str">
        <f>HYPERLINK("https://twitter.com/petrogustavo","@petrogustavo")</f>
        <v>@petrogustavo</v>
      </c>
      <c r="C15987" s="5" t="s">
        <v>16</v>
      </c>
      <c r="D15987" s="5" t="s">
        <v>15390</v>
      </c>
      <c r="E15987" s="6" t="str">
        <f>HYPERLINK("https://twitter.com/petrogustavo/status/1431690940234731520","1431690940234731520")</f>
        <v>1431690940234731520</v>
      </c>
      <c r="F15987" s="7" t="s">
        <v>32</v>
      </c>
      <c r="G15987" s="7">
        <v>4353475</v>
      </c>
      <c r="H15987" s="7">
        <v>2532</v>
      </c>
      <c r="I15987" s="7">
        <v>126</v>
      </c>
      <c r="J15987" s="7">
        <v>0</v>
      </c>
      <c r="K15987" s="7" t="s">
        <v>18</v>
      </c>
      <c r="L15987" s="8">
        <v>39987.315405092595</v>
      </c>
      <c r="M15987" s="9" t="s">
        <v>19</v>
      </c>
      <c r="N15987" s="9" t="s">
        <v>20</v>
      </c>
      <c r="O15987" s="6" t="str">
        <f>HYPERLINK("https://pbs.twimg.com/profile_images/962471262747529216/Uo8lOkRJ_normal.jpg","View")</f>
        <v>View</v>
      </c>
      <c r="P15987" s="7"/>
    </row>
    <row r="15988" spans="1:16">
      <c r="A15988" s="3">
        <v>44437.020312499997</v>
      </c>
      <c r="B15988" s="4" t="str">
        <f>HYPERLINK("https://twitter.com/petrogustavo","@petrogustavo")</f>
        <v>@petrogustavo</v>
      </c>
      <c r="C15988" s="5" t="s">
        <v>16</v>
      </c>
      <c r="D15988" s="5" t="s">
        <v>15391</v>
      </c>
      <c r="E15988" s="6" t="str">
        <f>HYPERLINK("https://twitter.com/petrogustavo/status/1431692874500952074","1431692874500952074")</f>
        <v>1431692874500952074</v>
      </c>
      <c r="F15988" s="7" t="s">
        <v>32</v>
      </c>
      <c r="G15988" s="7">
        <v>4353475</v>
      </c>
      <c r="H15988" s="7">
        <v>2532</v>
      </c>
      <c r="I15988" s="7">
        <v>13</v>
      </c>
      <c r="J15988" s="7">
        <v>61</v>
      </c>
      <c r="K15988" s="7" t="s">
        <v>18</v>
      </c>
      <c r="L15988" s="8">
        <v>39987.315405092595</v>
      </c>
      <c r="M15988" s="9" t="s">
        <v>19</v>
      </c>
      <c r="N15988" s="9" t="s">
        <v>20</v>
      </c>
      <c r="O15988" s="6" t="str">
        <f>HYPERLINK("https://pbs.twimg.com/profile_images/962471262747529216/Uo8lOkRJ_normal.jpg","View")</f>
        <v>View</v>
      </c>
      <c r="P15988" s="7"/>
    </row>
    <row r="15989" spans="1:16">
      <c r="A15989" s="3">
        <v>44437.025381944448</v>
      </c>
      <c r="B15989" s="4" t="str">
        <f>HYPERLINK("https://twitter.com/petrogustavo","@petrogustavo")</f>
        <v>@petrogustavo</v>
      </c>
      <c r="C15989" s="5" t="s">
        <v>16</v>
      </c>
      <c r="D15989" s="5" t="s">
        <v>15392</v>
      </c>
      <c r="E15989" s="6" t="str">
        <f>HYPERLINK("https://twitter.com/petrogustavo/status/1431694709693550592","1431694709693550592")</f>
        <v>1431694709693550592</v>
      </c>
      <c r="F15989" s="7" t="s">
        <v>32</v>
      </c>
      <c r="G15989" s="7">
        <v>4353499</v>
      </c>
      <c r="H15989" s="7">
        <v>2532</v>
      </c>
      <c r="I15989" s="7">
        <v>76</v>
      </c>
      <c r="J15989" s="7">
        <v>223</v>
      </c>
      <c r="K15989" s="7" t="s">
        <v>18</v>
      </c>
      <c r="L15989" s="8">
        <v>39987.315405092595</v>
      </c>
      <c r="M15989" s="9" t="s">
        <v>19</v>
      </c>
      <c r="N15989" s="9" t="s">
        <v>20</v>
      </c>
      <c r="O15989" s="6" t="str">
        <f>HYPERLINK("https://pbs.twimg.com/profile_images/962471262747529216/Uo8lOkRJ_normal.jpg","View")</f>
        <v>View</v>
      </c>
      <c r="P15989" s="7"/>
    </row>
    <row r="15990" spans="1:16">
      <c r="A15990" s="3">
        <v>44437.025381944448</v>
      </c>
      <c r="B15990" s="4" t="str">
        <f>HYPERLINK("https://twitter.com/petrogustavo","@petrogustavo")</f>
        <v>@petrogustavo</v>
      </c>
      <c r="C15990" s="5" t="s">
        <v>16</v>
      </c>
      <c r="D15990" s="5" t="s">
        <v>15393</v>
      </c>
      <c r="E15990" s="6" t="str">
        <f>HYPERLINK("https://twitter.com/petrogustavo/status/1431694711790751748","1431694711790751748")</f>
        <v>1431694711790751748</v>
      </c>
      <c r="F15990" s="7" t="s">
        <v>32</v>
      </c>
      <c r="G15990" s="7">
        <v>4353499</v>
      </c>
      <c r="H15990" s="7">
        <v>2532</v>
      </c>
      <c r="I15990" s="7">
        <v>43</v>
      </c>
      <c r="J15990" s="7">
        <v>165</v>
      </c>
      <c r="K15990" s="7" t="s">
        <v>18</v>
      </c>
      <c r="L15990" s="8">
        <v>39987.315405092595</v>
      </c>
      <c r="M15990" s="9" t="s">
        <v>19</v>
      </c>
      <c r="N15990" s="9" t="s">
        <v>20</v>
      </c>
      <c r="O15990" s="6" t="str">
        <f>HYPERLINK("https://pbs.twimg.com/profile_images/962471262747529216/Uo8lOkRJ_normal.jpg","View")</f>
        <v>View</v>
      </c>
      <c r="P15990" s="7"/>
    </row>
    <row r="15991" spans="1:16">
      <c r="A15991" s="3">
        <v>44437.043958333335</v>
      </c>
      <c r="B15991" s="4" t="str">
        <f>HYPERLINK("https://twitter.com/petrogustavo","@petrogustavo")</f>
        <v>@petrogustavo</v>
      </c>
      <c r="C15991" s="5" t="s">
        <v>16</v>
      </c>
      <c r="D15991" s="5" t="s">
        <v>15394</v>
      </c>
      <c r="E15991" s="6" t="str">
        <f>HYPERLINK("https://twitter.com/petrogustavo/status/1431701442566496257","1431701442566496257")</f>
        <v>1431701442566496257</v>
      </c>
      <c r="F15991" s="7" t="s">
        <v>32</v>
      </c>
      <c r="G15991" s="7">
        <v>4353519</v>
      </c>
      <c r="H15991" s="7">
        <v>2532</v>
      </c>
      <c r="I15991" s="7">
        <v>178</v>
      </c>
      <c r="J15991" s="7">
        <v>562</v>
      </c>
      <c r="K15991" s="7" t="s">
        <v>18</v>
      </c>
      <c r="L15991" s="8">
        <v>39987.315405092595</v>
      </c>
      <c r="M15991" s="9" t="s">
        <v>19</v>
      </c>
      <c r="N15991" s="9" t="s">
        <v>20</v>
      </c>
      <c r="O15991" s="6" t="str">
        <f>HYPERLINK("https://pbs.twimg.com/profile_images/962471262747529216/Uo8lOkRJ_normal.jpg","View")</f>
        <v>View</v>
      </c>
      <c r="P15991" s="7"/>
    </row>
    <row r="15992" spans="1:16">
      <c r="A15992" s="3">
        <v>44437.043958333335</v>
      </c>
      <c r="B15992" s="4" t="str">
        <f>HYPERLINK("https://twitter.com/petrogustavo","@petrogustavo")</f>
        <v>@petrogustavo</v>
      </c>
      <c r="C15992" s="5" t="s">
        <v>16</v>
      </c>
      <c r="D15992" s="5" t="s">
        <v>15395</v>
      </c>
      <c r="E15992" s="6" t="str">
        <f>HYPERLINK("https://twitter.com/petrogustavo/status/1431701444126810121","1431701444126810121")</f>
        <v>1431701444126810121</v>
      </c>
      <c r="F15992" s="7" t="s">
        <v>32</v>
      </c>
      <c r="G15992" s="7">
        <v>4353519</v>
      </c>
      <c r="H15992" s="7">
        <v>2532</v>
      </c>
      <c r="I15992" s="7">
        <v>138</v>
      </c>
      <c r="J15992" s="7">
        <v>572</v>
      </c>
      <c r="K15992" s="7" t="s">
        <v>18</v>
      </c>
      <c r="L15992" s="8">
        <v>39987.315405092595</v>
      </c>
      <c r="M15992" s="9" t="s">
        <v>19</v>
      </c>
      <c r="N15992" s="9" t="s">
        <v>20</v>
      </c>
      <c r="O15992" s="6" t="str">
        <f>HYPERLINK("https://pbs.twimg.com/profile_images/962471262747529216/Uo8lOkRJ_normal.jpg","View")</f>
        <v>View</v>
      </c>
      <c r="P15992" s="7"/>
    </row>
    <row r="15993" spans="1:16">
      <c r="A15993" s="3">
        <v>44437.044675925921</v>
      </c>
      <c r="B15993" s="4" t="str">
        <f>HYPERLINK("https://twitter.com/petrogustavo","@petrogustavo")</f>
        <v>@petrogustavo</v>
      </c>
      <c r="C15993" s="5" t="s">
        <v>16</v>
      </c>
      <c r="D15993" s="5" t="s">
        <v>15396</v>
      </c>
      <c r="E15993" s="6" t="str">
        <f>HYPERLINK("https://twitter.com/petrogustavo/status/1431701704748277762","1431701704748277762")</f>
        <v>1431701704748277762</v>
      </c>
      <c r="F15993" s="7" t="s">
        <v>32</v>
      </c>
      <c r="G15993" s="7">
        <v>4353519</v>
      </c>
      <c r="H15993" s="7">
        <v>2532</v>
      </c>
      <c r="I15993" s="7">
        <v>139</v>
      </c>
      <c r="J15993" s="7">
        <v>0</v>
      </c>
      <c r="K15993" s="7" t="s">
        <v>18</v>
      </c>
      <c r="L15993" s="8">
        <v>39987.315405092595</v>
      </c>
      <c r="M15993" s="9" t="s">
        <v>19</v>
      </c>
      <c r="N15993" s="9" t="s">
        <v>20</v>
      </c>
      <c r="O15993" s="6" t="str">
        <f>HYPERLINK("https://pbs.twimg.com/profile_images/962471262747529216/Uo8lOkRJ_normal.jpg","View")</f>
        <v>View</v>
      </c>
      <c r="P15993" s="7"/>
    </row>
    <row r="15994" spans="1:16">
      <c r="A15994" s="3">
        <v>44437.109490740739</v>
      </c>
      <c r="B15994" s="4" t="str">
        <f>HYPERLINK("https://twitter.com/petrogustavo","@petrogustavo")</f>
        <v>@petrogustavo</v>
      </c>
      <c r="C15994" s="5" t="s">
        <v>16</v>
      </c>
      <c r="D15994" s="5" t="s">
        <v>15397</v>
      </c>
      <c r="E15994" s="6" t="str">
        <f>HYPERLINK("https://twitter.com/petrogustavo/status/1431725192993193988","1431725192993193988")</f>
        <v>1431725192993193988</v>
      </c>
      <c r="F15994" s="7" t="s">
        <v>32</v>
      </c>
      <c r="G15994" s="7">
        <v>4353550</v>
      </c>
      <c r="H15994" s="7">
        <v>2532</v>
      </c>
      <c r="I15994" s="7">
        <v>103</v>
      </c>
      <c r="J15994" s="7">
        <v>308</v>
      </c>
      <c r="K15994" s="7" t="s">
        <v>18</v>
      </c>
      <c r="L15994" s="8">
        <v>39987.315405092595</v>
      </c>
      <c r="M15994" s="9" t="s">
        <v>19</v>
      </c>
      <c r="N15994" s="9" t="s">
        <v>20</v>
      </c>
      <c r="O15994" s="6" t="str">
        <f>HYPERLINK("https://pbs.twimg.com/profile_images/962471262747529216/Uo8lOkRJ_normal.jpg","View")</f>
        <v>View</v>
      </c>
      <c r="P15994" s="7"/>
    </row>
    <row r="15995" spans="1:16">
      <c r="A15995" s="3">
        <v>44437.11310185185</v>
      </c>
      <c r="B15995" s="4" t="str">
        <f>HYPERLINK("https://twitter.com/petrogustavo","@petrogustavo")</f>
        <v>@petrogustavo</v>
      </c>
      <c r="C15995" s="5" t="s">
        <v>16</v>
      </c>
      <c r="D15995" s="5" t="s">
        <v>15390</v>
      </c>
      <c r="E15995" s="6" t="str">
        <f>HYPERLINK("https://twitter.com/petrogustavo/status/1431726500756209666","1431726500756209666")</f>
        <v>1431726500756209666</v>
      </c>
      <c r="F15995" s="7" t="s">
        <v>32</v>
      </c>
      <c r="G15995" s="7">
        <v>4353550</v>
      </c>
      <c r="H15995" s="7">
        <v>2532</v>
      </c>
      <c r="I15995" s="7">
        <v>320</v>
      </c>
      <c r="J15995" s="7">
        <v>0</v>
      </c>
      <c r="K15995" s="7" t="s">
        <v>18</v>
      </c>
      <c r="L15995" s="8">
        <v>39987.315405092595</v>
      </c>
      <c r="M15995" s="9" t="s">
        <v>19</v>
      </c>
      <c r="N15995" s="9" t="s">
        <v>20</v>
      </c>
      <c r="O15995" s="6" t="str">
        <f>HYPERLINK("https://pbs.twimg.com/profile_images/962471262747529216/Uo8lOkRJ_normal.jpg","View")</f>
        <v>View</v>
      </c>
      <c r="P15995" s="7"/>
    </row>
    <row r="15996" spans="1:16">
      <c r="A15996" s="3">
        <v>44437.149675925924</v>
      </c>
      <c r="B15996" s="4" t="str">
        <f>HYPERLINK("https://twitter.com/petrogustavo","@petrogustavo")</f>
        <v>@petrogustavo</v>
      </c>
      <c r="C15996" s="5" t="s">
        <v>16</v>
      </c>
      <c r="D15996" s="5" t="s">
        <v>15398</v>
      </c>
      <c r="E15996" s="6" t="str">
        <f>HYPERLINK("https://twitter.com/petrogustavo/status/1431739752580059140","1431739752580059140")</f>
        <v>1431739752580059140</v>
      </c>
      <c r="F15996" s="7" t="s">
        <v>17</v>
      </c>
      <c r="G15996" s="7">
        <v>4353571</v>
      </c>
      <c r="H15996" s="7">
        <v>2532</v>
      </c>
      <c r="I15996" s="7">
        <v>147</v>
      </c>
      <c r="J15996" s="7">
        <v>509</v>
      </c>
      <c r="K15996" s="7" t="s">
        <v>18</v>
      </c>
      <c r="L15996" s="8">
        <v>39987.315405092595</v>
      </c>
      <c r="M15996" s="9" t="s">
        <v>19</v>
      </c>
      <c r="N15996" s="9" t="s">
        <v>20</v>
      </c>
      <c r="O15996" s="6" t="str">
        <f>HYPERLINK("https://pbs.twimg.com/profile_images/962471262747529216/Uo8lOkRJ_normal.jpg","View")</f>
        <v>View</v>
      </c>
      <c r="P15996" s="7"/>
    </row>
    <row r="15997" spans="1:16">
      <c r="A15997" s="3">
        <v>44437.178587962961</v>
      </c>
      <c r="B15997" s="4" t="str">
        <f>HYPERLINK("https://twitter.com/petrogustavo","@petrogustavo")</f>
        <v>@petrogustavo</v>
      </c>
      <c r="C15997" s="5" t="s">
        <v>16</v>
      </c>
      <c r="D15997" s="5" t="s">
        <v>15399</v>
      </c>
      <c r="E15997" s="6" t="str">
        <f>HYPERLINK("https://twitter.com/petrogustavo/status/1431750232879079428","1431750232879079428")</f>
        <v>1431750232879079428</v>
      </c>
      <c r="F15997" s="7" t="s">
        <v>32</v>
      </c>
      <c r="G15997" s="7">
        <v>4353587</v>
      </c>
      <c r="H15997" s="7">
        <v>2532</v>
      </c>
      <c r="I15997" s="7">
        <v>55</v>
      </c>
      <c r="J15997" s="7">
        <v>106</v>
      </c>
      <c r="K15997" s="7" t="s">
        <v>18</v>
      </c>
      <c r="L15997" s="8">
        <v>39987.315405092595</v>
      </c>
      <c r="M15997" s="9" t="s">
        <v>19</v>
      </c>
      <c r="N15997" s="9" t="s">
        <v>20</v>
      </c>
      <c r="O15997" s="6" t="str">
        <f>HYPERLINK("https://pbs.twimg.com/profile_images/962471262747529216/Uo8lOkRJ_normal.jpg","View")</f>
        <v>View</v>
      </c>
      <c r="P15997" s="7"/>
    </row>
    <row r="15998" spans="1:16">
      <c r="A15998" s="3">
        <v>44437.200474537036</v>
      </c>
      <c r="B15998" s="4" t="str">
        <f>HYPERLINK("https://twitter.com/petrogustavo","@petrogustavo")</f>
        <v>@petrogustavo</v>
      </c>
      <c r="C15998" s="5" t="s">
        <v>16</v>
      </c>
      <c r="D15998" s="5" t="s">
        <v>15400</v>
      </c>
      <c r="E15998" s="6" t="str">
        <f>HYPERLINK("https://twitter.com/petrogustavo/status/1431758163234131974","1431758163234131974")</f>
        <v>1431758163234131974</v>
      </c>
      <c r="F15998" s="7" t="s">
        <v>32</v>
      </c>
      <c r="G15998" s="7">
        <v>4353597</v>
      </c>
      <c r="H15998" s="7">
        <v>2532</v>
      </c>
      <c r="I15998" s="7">
        <v>321</v>
      </c>
      <c r="J15998" s="7">
        <v>0</v>
      </c>
      <c r="K15998" s="7" t="s">
        <v>18</v>
      </c>
      <c r="L15998" s="8">
        <v>39987.315405092595</v>
      </c>
      <c r="M15998" s="9" t="s">
        <v>19</v>
      </c>
      <c r="N15998" s="9" t="s">
        <v>20</v>
      </c>
      <c r="O15998" s="6" t="str">
        <f>HYPERLINK("https://pbs.twimg.com/profile_images/962471262747529216/Uo8lOkRJ_normal.jpg","View")</f>
        <v>View</v>
      </c>
      <c r="P15998" s="7"/>
    </row>
    <row r="15999" spans="1:16">
      <c r="A15999" s="3">
        <v>44437.228842592594</v>
      </c>
      <c r="B15999" s="4" t="str">
        <f>HYPERLINK("https://twitter.com/petrogustavo","@petrogustavo")</f>
        <v>@petrogustavo</v>
      </c>
      <c r="C15999" s="5" t="s">
        <v>16</v>
      </c>
      <c r="D15999" s="5" t="s">
        <v>15401</v>
      </c>
      <c r="E15999" s="6" t="str">
        <f>HYPERLINK("https://twitter.com/petrogustavo/status/1431768443003588608","1431768443003588608")</f>
        <v>1431768443003588608</v>
      </c>
      <c r="F15999" s="7" t="s">
        <v>32</v>
      </c>
      <c r="G15999" s="7">
        <v>4353615</v>
      </c>
      <c r="H15999" s="7">
        <v>2532</v>
      </c>
      <c r="I15999" s="7">
        <v>17</v>
      </c>
      <c r="J15999" s="7">
        <v>40</v>
      </c>
      <c r="K15999" s="7" t="s">
        <v>18</v>
      </c>
      <c r="L15999" s="8">
        <v>39987.315405092595</v>
      </c>
      <c r="M15999" s="9" t="s">
        <v>19</v>
      </c>
      <c r="N15999" s="9" t="s">
        <v>20</v>
      </c>
      <c r="O15999" s="6" t="str">
        <f>HYPERLINK("https://pbs.twimg.com/profile_images/962471262747529216/Uo8lOkRJ_normal.jpg","View")</f>
        <v>View</v>
      </c>
      <c r="P15999" s="7"/>
    </row>
    <row r="16000" spans="1:16">
      <c r="A16000" s="3">
        <v>44437.228842592594</v>
      </c>
      <c r="B16000" s="4" t="str">
        <f>HYPERLINK("https://twitter.com/petrogustavo","@petrogustavo")</f>
        <v>@petrogustavo</v>
      </c>
      <c r="C16000" s="5" t="s">
        <v>16</v>
      </c>
      <c r="D16000" s="5" t="s">
        <v>15402</v>
      </c>
      <c r="E16000" s="6" t="str">
        <f>HYPERLINK("https://twitter.com/petrogustavo/status/1431768444341563393","1431768444341563393")</f>
        <v>1431768444341563393</v>
      </c>
      <c r="F16000" s="7" t="s">
        <v>32</v>
      </c>
      <c r="G16000" s="7">
        <v>4353615</v>
      </c>
      <c r="H16000" s="7">
        <v>2532</v>
      </c>
      <c r="I16000" s="7">
        <v>5</v>
      </c>
      <c r="J16000" s="7">
        <v>5</v>
      </c>
      <c r="K16000" s="7" t="s">
        <v>18</v>
      </c>
      <c r="L16000" s="8">
        <v>39987.315405092595</v>
      </c>
      <c r="M16000" s="9" t="s">
        <v>19</v>
      </c>
      <c r="N16000" s="9" t="s">
        <v>20</v>
      </c>
      <c r="O16000" s="6" t="str">
        <f>HYPERLINK("https://pbs.twimg.com/profile_images/962471262747529216/Uo8lOkRJ_normal.jpg","View")</f>
        <v>View</v>
      </c>
      <c r="P16000" s="7"/>
    </row>
    <row r="16001" spans="1:16">
      <c r="A16001" s="3">
        <v>44437.228854166664</v>
      </c>
      <c r="B16001" s="4" t="str">
        <f>HYPERLINK("https://twitter.com/petrogustavo","@petrogustavo")</f>
        <v>@petrogustavo</v>
      </c>
      <c r="C16001" s="5" t="s">
        <v>16</v>
      </c>
      <c r="D16001" s="5" t="s">
        <v>15403</v>
      </c>
      <c r="E16001" s="6" t="str">
        <f>HYPERLINK("https://twitter.com/petrogustavo/status/1431768445478215683","1431768445478215683")</f>
        <v>1431768445478215683</v>
      </c>
      <c r="F16001" s="7" t="s">
        <v>32</v>
      </c>
      <c r="G16001" s="7">
        <v>4353615</v>
      </c>
      <c r="H16001" s="7">
        <v>2532</v>
      </c>
      <c r="I16001" s="7">
        <v>3</v>
      </c>
      <c r="J16001" s="7">
        <v>5</v>
      </c>
      <c r="K16001" s="7" t="s">
        <v>18</v>
      </c>
      <c r="L16001" s="8">
        <v>39987.315405092595</v>
      </c>
      <c r="M16001" s="9" t="s">
        <v>19</v>
      </c>
      <c r="N16001" s="9" t="s">
        <v>20</v>
      </c>
      <c r="O16001" s="6" t="str">
        <f>HYPERLINK("https://pbs.twimg.com/profile_images/962471262747529216/Uo8lOkRJ_normal.jpg","View")</f>
        <v>View</v>
      </c>
      <c r="P16001" s="7"/>
    </row>
    <row r="16002" spans="1:16">
      <c r="A16002" s="3">
        <v>44437.228854166664</v>
      </c>
      <c r="B16002" s="4" t="str">
        <f>HYPERLINK("https://twitter.com/petrogustavo","@petrogustavo")</f>
        <v>@petrogustavo</v>
      </c>
      <c r="C16002" s="5" t="s">
        <v>16</v>
      </c>
      <c r="D16002" s="5" t="s">
        <v>15404</v>
      </c>
      <c r="E16002" s="6" t="str">
        <f>HYPERLINK("https://twitter.com/petrogustavo/status/1431768446690279425","1431768446690279425")</f>
        <v>1431768446690279425</v>
      </c>
      <c r="F16002" s="7" t="s">
        <v>32</v>
      </c>
      <c r="G16002" s="7">
        <v>4353615</v>
      </c>
      <c r="H16002" s="7">
        <v>2532</v>
      </c>
      <c r="I16002" s="7">
        <v>3</v>
      </c>
      <c r="J16002" s="7">
        <v>4</v>
      </c>
      <c r="K16002" s="7" t="s">
        <v>18</v>
      </c>
      <c r="L16002" s="8">
        <v>39987.315405092595</v>
      </c>
      <c r="M16002" s="9" t="s">
        <v>19</v>
      </c>
      <c r="N16002" s="9" t="s">
        <v>20</v>
      </c>
      <c r="O16002" s="6" t="str">
        <f>HYPERLINK("https://pbs.twimg.com/profile_images/962471262747529216/Uo8lOkRJ_normal.jpg","View")</f>
        <v>View</v>
      </c>
      <c r="P16002" s="7"/>
    </row>
    <row r="16003" spans="1:16">
      <c r="A16003" s="3">
        <v>44437.228854166664</v>
      </c>
      <c r="B16003" s="4" t="str">
        <f>HYPERLINK("https://twitter.com/petrogustavo","@petrogustavo")</f>
        <v>@petrogustavo</v>
      </c>
      <c r="C16003" s="5" t="s">
        <v>16</v>
      </c>
      <c r="D16003" s="5" t="s">
        <v>15405</v>
      </c>
      <c r="E16003" s="6" t="str">
        <f>HYPERLINK("https://twitter.com/petrogustavo/status/1431768447898296325","1431768447898296325")</f>
        <v>1431768447898296325</v>
      </c>
      <c r="F16003" s="7" t="s">
        <v>32</v>
      </c>
      <c r="G16003" s="7">
        <v>4353615</v>
      </c>
      <c r="H16003" s="7">
        <v>2532</v>
      </c>
      <c r="I16003" s="7">
        <v>10</v>
      </c>
      <c r="J16003" s="7">
        <v>15</v>
      </c>
      <c r="K16003" s="7" t="s">
        <v>18</v>
      </c>
      <c r="L16003" s="8">
        <v>39987.315405092595</v>
      </c>
      <c r="M16003" s="9" t="s">
        <v>19</v>
      </c>
      <c r="N16003" s="9" t="s">
        <v>20</v>
      </c>
      <c r="O16003" s="6" t="str">
        <f>HYPERLINK("https://pbs.twimg.com/profile_images/962471262747529216/Uo8lOkRJ_normal.jpg","View")</f>
        <v>View</v>
      </c>
      <c r="P16003" s="7"/>
    </row>
    <row r="16004" spans="1:16">
      <c r="A16004" s="3">
        <v>44437.228854166664</v>
      </c>
      <c r="B16004" s="4" t="str">
        <f>HYPERLINK("https://twitter.com/petrogustavo","@petrogustavo")</f>
        <v>@petrogustavo</v>
      </c>
      <c r="C16004" s="5" t="s">
        <v>16</v>
      </c>
      <c r="D16004" s="5" t="s">
        <v>15406</v>
      </c>
      <c r="E16004" s="6" t="str">
        <f>HYPERLINK("https://twitter.com/petrogustavo/status/1431768449148203016","1431768449148203016")</f>
        <v>1431768449148203016</v>
      </c>
      <c r="F16004" s="7" t="s">
        <v>32</v>
      </c>
      <c r="G16004" s="7">
        <v>4353615</v>
      </c>
      <c r="H16004" s="7">
        <v>2532</v>
      </c>
      <c r="I16004" s="7">
        <v>6</v>
      </c>
      <c r="J16004" s="7">
        <v>14</v>
      </c>
      <c r="K16004" s="7" t="s">
        <v>18</v>
      </c>
      <c r="L16004" s="8">
        <v>39987.315405092595</v>
      </c>
      <c r="M16004" s="9" t="s">
        <v>19</v>
      </c>
      <c r="N16004" s="9" t="s">
        <v>20</v>
      </c>
      <c r="O16004" s="6" t="str">
        <f>HYPERLINK("https://pbs.twimg.com/profile_images/962471262747529216/Uo8lOkRJ_normal.jpg","View")</f>
        <v>View</v>
      </c>
      <c r="P16004" s="7"/>
    </row>
    <row r="16005" spans="1:16">
      <c r="A16005" s="3">
        <v>44437.269085648149</v>
      </c>
      <c r="B16005" s="4" t="str">
        <f>HYPERLINK("https://twitter.com/petrogustavo","@petrogustavo")</f>
        <v>@petrogustavo</v>
      </c>
      <c r="C16005" s="5" t="s">
        <v>16</v>
      </c>
      <c r="D16005" s="5" t="s">
        <v>15407</v>
      </c>
      <c r="E16005" s="6" t="str">
        <f>HYPERLINK("https://twitter.com/petrogustavo/status/1431783026699214850","1431783026699214850")</f>
        <v>1431783026699214850</v>
      </c>
      <c r="F16005" s="7" t="s">
        <v>21</v>
      </c>
      <c r="G16005" s="7">
        <v>4353648</v>
      </c>
      <c r="H16005" s="7">
        <v>2532</v>
      </c>
      <c r="I16005" s="7">
        <v>74</v>
      </c>
      <c r="J16005" s="7">
        <v>144</v>
      </c>
      <c r="K16005" s="7" t="s">
        <v>18</v>
      </c>
      <c r="L16005" s="8">
        <v>39987.315405092595</v>
      </c>
      <c r="M16005" s="9" t="s">
        <v>19</v>
      </c>
      <c r="N16005" s="9" t="s">
        <v>20</v>
      </c>
      <c r="O16005" s="6" t="str">
        <f>HYPERLINK("https://pbs.twimg.com/profile_images/962471262747529216/Uo8lOkRJ_normal.jpg","View")</f>
        <v>View</v>
      </c>
      <c r="P16005" s="7"/>
    </row>
    <row r="16006" spans="1:16">
      <c r="A16006" s="3">
        <v>44437.768020833333</v>
      </c>
      <c r="B16006" s="4" t="str">
        <f>HYPERLINK("https://twitter.com/petrogustavo","@petrogustavo")</f>
        <v>@petrogustavo</v>
      </c>
      <c r="C16006" s="5" t="s">
        <v>16</v>
      </c>
      <c r="D16006" s="5" t="s">
        <v>15408</v>
      </c>
      <c r="E16006" s="6" t="str">
        <f>HYPERLINK("https://twitter.com/petrogustavo/status/1431963834311483399","1431963834311483399")</f>
        <v>1431963834311483399</v>
      </c>
      <c r="F16006" s="7" t="s">
        <v>17</v>
      </c>
      <c r="G16006" s="7">
        <v>4353777</v>
      </c>
      <c r="H16006" s="7">
        <v>2533</v>
      </c>
      <c r="I16006" s="7">
        <v>73</v>
      </c>
      <c r="J16006" s="7">
        <v>154</v>
      </c>
      <c r="K16006" s="7" t="s">
        <v>18</v>
      </c>
      <c r="L16006" s="8">
        <v>39987.315405092595</v>
      </c>
      <c r="M16006" s="9" t="s">
        <v>19</v>
      </c>
      <c r="N16006" s="9" t="s">
        <v>20</v>
      </c>
      <c r="O16006" s="6" t="str">
        <f>HYPERLINK("https://pbs.twimg.com/profile_images/962471262747529216/Uo8lOkRJ_normal.jpg","View")</f>
        <v>View</v>
      </c>
      <c r="P16006" s="7"/>
    </row>
    <row r="16007" spans="1:16">
      <c r="A16007" s="3">
        <v>44437.784189814818</v>
      </c>
      <c r="B16007" s="4" t="str">
        <f>HYPERLINK("https://twitter.com/petrogustavo","@petrogustavo")</f>
        <v>@petrogustavo</v>
      </c>
      <c r="C16007" s="5" t="s">
        <v>16</v>
      </c>
      <c r="D16007" s="5" t="s">
        <v>15409</v>
      </c>
      <c r="E16007" s="6" t="str">
        <f>HYPERLINK("https://twitter.com/petrogustavo/status/1431969693053734914","1431969693053734914")</f>
        <v>1431969693053734914</v>
      </c>
      <c r="F16007" s="7" t="s">
        <v>17</v>
      </c>
      <c r="G16007" s="7">
        <v>4353784</v>
      </c>
      <c r="H16007" s="7">
        <v>2533</v>
      </c>
      <c r="I16007" s="7">
        <v>52</v>
      </c>
      <c r="J16007" s="7">
        <v>148</v>
      </c>
      <c r="K16007" s="7" t="s">
        <v>18</v>
      </c>
      <c r="L16007" s="8">
        <v>39987.315405092595</v>
      </c>
      <c r="M16007" s="9" t="s">
        <v>19</v>
      </c>
      <c r="N16007" s="9" t="s">
        <v>20</v>
      </c>
      <c r="O16007" s="6" t="str">
        <f>HYPERLINK("https://pbs.twimg.com/profile_images/962471262747529216/Uo8lOkRJ_normal.jpg","View")</f>
        <v>View</v>
      </c>
      <c r="P16007" s="7"/>
    </row>
    <row r="16008" spans="1:16">
      <c r="A16008" s="3">
        <v>44437.784189814818</v>
      </c>
      <c r="B16008" s="4" t="str">
        <f>HYPERLINK("https://twitter.com/petrogustavo","@petrogustavo")</f>
        <v>@petrogustavo</v>
      </c>
      <c r="C16008" s="5" t="s">
        <v>16</v>
      </c>
      <c r="D16008" s="5" t="s">
        <v>15410</v>
      </c>
      <c r="E16008" s="6" t="str">
        <f>HYPERLINK("https://twitter.com/petrogustavo/status/1431969694253191175","1431969694253191175")</f>
        <v>1431969694253191175</v>
      </c>
      <c r="F16008" s="7" t="s">
        <v>17</v>
      </c>
      <c r="G16008" s="7">
        <v>4353784</v>
      </c>
      <c r="H16008" s="7">
        <v>2533</v>
      </c>
      <c r="I16008" s="7">
        <v>15</v>
      </c>
      <c r="J16008" s="7">
        <v>27</v>
      </c>
      <c r="K16008" s="7" t="s">
        <v>18</v>
      </c>
      <c r="L16008" s="8">
        <v>39987.315405092595</v>
      </c>
      <c r="M16008" s="9" t="s">
        <v>19</v>
      </c>
      <c r="N16008" s="9" t="s">
        <v>20</v>
      </c>
      <c r="O16008" s="6" t="str">
        <f>HYPERLINK("https://pbs.twimg.com/profile_images/962471262747529216/Uo8lOkRJ_normal.jpg","View")</f>
        <v>View</v>
      </c>
      <c r="P16008" s="7"/>
    </row>
    <row r="16009" spans="1:16">
      <c r="A16009" s="3">
        <v>44437.784189814818</v>
      </c>
      <c r="B16009" s="4" t="str">
        <f>HYPERLINK("https://twitter.com/petrogustavo","@petrogustavo")</f>
        <v>@petrogustavo</v>
      </c>
      <c r="C16009" s="5" t="s">
        <v>16</v>
      </c>
      <c r="D16009" s="5" t="s">
        <v>15411</v>
      </c>
      <c r="E16009" s="6" t="str">
        <f>HYPERLINK("https://twitter.com/petrogustavo/status/1431969695394111488","1431969695394111488")</f>
        <v>1431969695394111488</v>
      </c>
      <c r="F16009" s="7" t="s">
        <v>17</v>
      </c>
      <c r="G16009" s="7">
        <v>4353784</v>
      </c>
      <c r="H16009" s="7">
        <v>2533</v>
      </c>
      <c r="I16009" s="7">
        <v>10</v>
      </c>
      <c r="J16009" s="7">
        <v>26</v>
      </c>
      <c r="K16009" s="7" t="s">
        <v>18</v>
      </c>
      <c r="L16009" s="8">
        <v>39987.315405092595</v>
      </c>
      <c r="M16009" s="9" t="s">
        <v>19</v>
      </c>
      <c r="N16009" s="9" t="s">
        <v>20</v>
      </c>
      <c r="O16009" s="6" t="str">
        <f>HYPERLINK("https://pbs.twimg.com/profile_images/962471262747529216/Uo8lOkRJ_normal.jpg","View")</f>
        <v>View</v>
      </c>
      <c r="P16009" s="7"/>
    </row>
    <row r="16010" spans="1:16">
      <c r="A16010" s="3">
        <v>44437.784201388888</v>
      </c>
      <c r="B16010" s="4" t="str">
        <f>HYPERLINK("https://twitter.com/petrogustavo","@petrogustavo")</f>
        <v>@petrogustavo</v>
      </c>
      <c r="C16010" s="5" t="s">
        <v>16</v>
      </c>
      <c r="D16010" s="5" t="s">
        <v>15412</v>
      </c>
      <c r="E16010" s="6" t="str">
        <f>HYPERLINK("https://twitter.com/petrogustavo/status/1431969696673419276","1431969696673419276")</f>
        <v>1431969696673419276</v>
      </c>
      <c r="F16010" s="7" t="s">
        <v>17</v>
      </c>
      <c r="G16010" s="7">
        <v>4353784</v>
      </c>
      <c r="H16010" s="7">
        <v>2533</v>
      </c>
      <c r="I16010" s="7">
        <v>30</v>
      </c>
      <c r="J16010" s="7">
        <v>88</v>
      </c>
      <c r="K16010" s="7" t="s">
        <v>18</v>
      </c>
      <c r="L16010" s="8">
        <v>39987.315405092595</v>
      </c>
      <c r="M16010" s="9" t="s">
        <v>19</v>
      </c>
      <c r="N16010" s="9" t="s">
        <v>20</v>
      </c>
      <c r="O16010" s="6" t="str">
        <f>HYPERLINK("https://pbs.twimg.com/profile_images/962471262747529216/Uo8lOkRJ_normal.jpg","View")</f>
        <v>View</v>
      </c>
      <c r="P16010" s="7"/>
    </row>
    <row r="16011" spans="1:16">
      <c r="A16011" s="3">
        <v>44437.784201388888</v>
      </c>
      <c r="B16011" s="4" t="str">
        <f>HYPERLINK("https://twitter.com/petrogustavo","@petrogustavo")</f>
        <v>@petrogustavo</v>
      </c>
      <c r="C16011" s="5" t="s">
        <v>16</v>
      </c>
      <c r="D16011" s="5" t="s">
        <v>15413</v>
      </c>
      <c r="E16011" s="6" t="str">
        <f>HYPERLINK("https://twitter.com/petrogustavo/status/1431969697893920768","1431969697893920768")</f>
        <v>1431969697893920768</v>
      </c>
      <c r="F16011" s="7" t="s">
        <v>17</v>
      </c>
      <c r="G16011" s="7">
        <v>4353784</v>
      </c>
      <c r="H16011" s="7">
        <v>2533</v>
      </c>
      <c r="I16011" s="7">
        <v>29</v>
      </c>
      <c r="J16011" s="7">
        <v>92</v>
      </c>
      <c r="K16011" s="7" t="s">
        <v>18</v>
      </c>
      <c r="L16011" s="8">
        <v>39987.315405092595</v>
      </c>
      <c r="M16011" s="9" t="s">
        <v>19</v>
      </c>
      <c r="N16011" s="9" t="s">
        <v>20</v>
      </c>
      <c r="O16011" s="6" t="str">
        <f>HYPERLINK("https://pbs.twimg.com/profile_images/962471262747529216/Uo8lOkRJ_normal.jpg","View")</f>
        <v>View</v>
      </c>
      <c r="P16011" s="7"/>
    </row>
    <row r="16012" spans="1:16">
      <c r="A16012" s="3">
        <v>44437.826608796298</v>
      </c>
      <c r="B16012" s="4" t="str">
        <f>HYPERLINK("https://twitter.com/petrogustavo","@petrogustavo")</f>
        <v>@petrogustavo</v>
      </c>
      <c r="C16012" s="5" t="s">
        <v>16</v>
      </c>
      <c r="D16012" s="5" t="s">
        <v>15414</v>
      </c>
      <c r="E16012" s="6" t="str">
        <f>HYPERLINK("https://twitter.com/petrogustavo/status/1431985066255785985","1431985066255785985")</f>
        <v>1431985066255785985</v>
      </c>
      <c r="F16012" s="7" t="s">
        <v>32</v>
      </c>
      <c r="G16012" s="7">
        <v>4353807</v>
      </c>
      <c r="H16012" s="7">
        <v>2533</v>
      </c>
      <c r="I16012" s="7">
        <v>1958</v>
      </c>
      <c r="J16012" s="7">
        <v>0</v>
      </c>
      <c r="K16012" s="7" t="s">
        <v>18</v>
      </c>
      <c r="L16012" s="8">
        <v>39987.315405092595</v>
      </c>
      <c r="M16012" s="9" t="s">
        <v>19</v>
      </c>
      <c r="N16012" s="9" t="s">
        <v>20</v>
      </c>
      <c r="O16012" s="6" t="str">
        <f>HYPERLINK("https://pbs.twimg.com/profile_images/962471262747529216/Uo8lOkRJ_normal.jpg","View")</f>
        <v>View</v>
      </c>
      <c r="P16012" s="7"/>
    </row>
    <row r="16013" spans="1:16">
      <c r="A16013" s="3">
        <v>44437.923148148147</v>
      </c>
      <c r="B16013" s="4" t="str">
        <f>HYPERLINK("https://twitter.com/petrogustavo","@petrogustavo")</f>
        <v>@petrogustavo</v>
      </c>
      <c r="C16013" s="5" t="s">
        <v>16</v>
      </c>
      <c r="D16013" s="5" t="s">
        <v>15415</v>
      </c>
      <c r="E16013" s="6" t="str">
        <f>HYPERLINK("https://twitter.com/petrogustavo/status/1432020052606431236","1432020052606431236")</f>
        <v>1432020052606431236</v>
      </c>
      <c r="F16013" s="7" t="s">
        <v>17</v>
      </c>
      <c r="G16013" s="7">
        <v>4353856</v>
      </c>
      <c r="H16013" s="7">
        <v>2533</v>
      </c>
      <c r="I16013" s="7">
        <v>318</v>
      </c>
      <c r="J16013" s="7">
        <v>0</v>
      </c>
      <c r="K16013" s="7" t="s">
        <v>18</v>
      </c>
      <c r="L16013" s="8">
        <v>39987.315405092595</v>
      </c>
      <c r="M16013" s="9" t="s">
        <v>19</v>
      </c>
      <c r="N16013" s="9" t="s">
        <v>20</v>
      </c>
      <c r="O16013" s="6" t="str">
        <f>HYPERLINK("https://pbs.twimg.com/profile_images/962471262747529216/Uo8lOkRJ_normal.jpg","View")</f>
        <v>View</v>
      </c>
      <c r="P16013" s="7"/>
    </row>
    <row r="16014" spans="1:16">
      <c r="A16014" s="3">
        <v>44437.930532407408</v>
      </c>
      <c r="B16014" s="4" t="str">
        <f>HYPERLINK("https://twitter.com/petrogustavo","@petrogustavo")</f>
        <v>@petrogustavo</v>
      </c>
      <c r="C16014" s="5" t="s">
        <v>16</v>
      </c>
      <c r="D16014" s="5" t="s">
        <v>15416</v>
      </c>
      <c r="E16014" s="6" t="str">
        <f>HYPERLINK("https://twitter.com/petrogustavo/status/1432022728417103877","1432022728417103877")</f>
        <v>1432022728417103877</v>
      </c>
      <c r="F16014" s="7" t="s">
        <v>21</v>
      </c>
      <c r="G16014" s="7">
        <v>4353856</v>
      </c>
      <c r="H16014" s="7">
        <v>2533</v>
      </c>
      <c r="I16014" s="7">
        <v>151</v>
      </c>
      <c r="J16014" s="7">
        <v>324</v>
      </c>
      <c r="K16014" s="7" t="s">
        <v>18</v>
      </c>
      <c r="L16014" s="8">
        <v>39987.315405092595</v>
      </c>
      <c r="M16014" s="9" t="s">
        <v>19</v>
      </c>
      <c r="N16014" s="9" t="s">
        <v>20</v>
      </c>
      <c r="O16014" s="6" t="str">
        <f>HYPERLINK("https://pbs.twimg.com/profile_images/962471262747529216/Uo8lOkRJ_normal.jpg","View")</f>
        <v>View</v>
      </c>
      <c r="P16014" s="7"/>
    </row>
    <row r="16015" spans="1:16">
      <c r="A16015" s="3">
        <v>44437.982222222221</v>
      </c>
      <c r="B16015" s="4" t="str">
        <f>HYPERLINK("https://twitter.com/petrogustavo","@petrogustavo")</f>
        <v>@petrogustavo</v>
      </c>
      <c r="C16015" s="5" t="s">
        <v>16</v>
      </c>
      <c r="D16015" s="5" t="s">
        <v>15417</v>
      </c>
      <c r="E16015" s="6" t="str">
        <f>HYPERLINK("https://twitter.com/petrogustavo/status/1432041457288876033","1432041457288876033")</f>
        <v>1432041457288876033</v>
      </c>
      <c r="F16015" s="7" t="s">
        <v>32</v>
      </c>
      <c r="G16015" s="7">
        <v>4353861</v>
      </c>
      <c r="H16015" s="7">
        <v>2533</v>
      </c>
      <c r="I16015" s="7">
        <v>729</v>
      </c>
      <c r="J16015" s="7">
        <v>0</v>
      </c>
      <c r="K16015" s="7" t="s">
        <v>18</v>
      </c>
      <c r="L16015" s="8">
        <v>39987.315405092595</v>
      </c>
      <c r="M16015" s="9" t="s">
        <v>19</v>
      </c>
      <c r="N16015" s="9" t="s">
        <v>20</v>
      </c>
      <c r="O16015" s="6" t="str">
        <f>HYPERLINK("https://pbs.twimg.com/profile_images/962471262747529216/Uo8lOkRJ_normal.jpg","View")</f>
        <v>View</v>
      </c>
      <c r="P16015" s="7"/>
    </row>
    <row r="16016" spans="1:16">
      <c r="A16016" s="3">
        <v>44438.000578703708</v>
      </c>
      <c r="B16016" s="4" t="str">
        <f>HYPERLINK("https://twitter.com/petrogustavo","@petrogustavo")</f>
        <v>@petrogustavo</v>
      </c>
      <c r="C16016" s="5" t="s">
        <v>16</v>
      </c>
      <c r="D16016" s="5" t="s">
        <v>15418</v>
      </c>
      <c r="E16016" s="6" t="str">
        <f>HYPERLINK("https://twitter.com/petrogustavo/status/1432048109559992326","1432048109559992326")</f>
        <v>1432048109559992326</v>
      </c>
      <c r="F16016" s="7" t="s">
        <v>17</v>
      </c>
      <c r="G16016" s="7">
        <v>4353861</v>
      </c>
      <c r="H16016" s="7">
        <v>2533</v>
      </c>
      <c r="I16016" s="7">
        <v>43</v>
      </c>
      <c r="J16016" s="7">
        <v>0</v>
      </c>
      <c r="K16016" s="7" t="s">
        <v>18</v>
      </c>
      <c r="L16016" s="8">
        <v>39987.315405092595</v>
      </c>
      <c r="M16016" s="9" t="s">
        <v>19</v>
      </c>
      <c r="N16016" s="9" t="s">
        <v>20</v>
      </c>
      <c r="O16016" s="6" t="str">
        <f>HYPERLINK("https://pbs.twimg.com/profile_images/962471262747529216/Uo8lOkRJ_normal.jpg","View")</f>
        <v>View</v>
      </c>
      <c r="P16016" s="7"/>
    </row>
    <row r="16017" spans="1:16">
      <c r="A16017" s="3">
        <v>44438.000914351855</v>
      </c>
      <c r="B16017" s="4" t="str">
        <f>HYPERLINK("https://twitter.com/petrogustavo","@petrogustavo")</f>
        <v>@petrogustavo</v>
      </c>
      <c r="C16017" s="5" t="s">
        <v>16</v>
      </c>
      <c r="D16017" s="5" t="s">
        <v>15414</v>
      </c>
      <c r="E16017" s="6" t="str">
        <f>HYPERLINK("https://twitter.com/petrogustavo/status/1432048230607511552","1432048230607511552")</f>
        <v>1432048230607511552</v>
      </c>
      <c r="F16017" s="7" t="s">
        <v>17</v>
      </c>
      <c r="G16017" s="7">
        <v>4353861</v>
      </c>
      <c r="H16017" s="7">
        <v>2533</v>
      </c>
      <c r="I16017" s="7">
        <v>2431</v>
      </c>
      <c r="J16017" s="7">
        <v>0</v>
      </c>
      <c r="K16017" s="7" t="s">
        <v>18</v>
      </c>
      <c r="L16017" s="8">
        <v>39987.315405092595</v>
      </c>
      <c r="M16017" s="9" t="s">
        <v>19</v>
      </c>
      <c r="N16017" s="9" t="s">
        <v>20</v>
      </c>
      <c r="O16017" s="6" t="str">
        <f>HYPERLINK("https://pbs.twimg.com/profile_images/962471262747529216/Uo8lOkRJ_normal.jpg","View")</f>
        <v>View</v>
      </c>
      <c r="P16017" s="7"/>
    </row>
    <row r="16018" spans="1:16">
      <c r="A16018" s="3">
        <v>44438.0159375</v>
      </c>
      <c r="B16018" s="4" t="str">
        <f>HYPERLINK("https://twitter.com/petrogustavo","@petrogustavo")</f>
        <v>@petrogustavo</v>
      </c>
      <c r="C16018" s="5" t="s">
        <v>16</v>
      </c>
      <c r="D16018" s="5" t="s">
        <v>15419</v>
      </c>
      <c r="E16018" s="6" t="str">
        <f>HYPERLINK("https://twitter.com/petrogustavo/status/1432053674856038408","1432053674856038408")</f>
        <v>1432053674856038408</v>
      </c>
      <c r="F16018" s="7" t="s">
        <v>17</v>
      </c>
      <c r="G16018" s="7">
        <v>4353865</v>
      </c>
      <c r="H16018" s="7">
        <v>2533</v>
      </c>
      <c r="I16018" s="7">
        <v>66</v>
      </c>
      <c r="J16018" s="7">
        <v>0</v>
      </c>
      <c r="K16018" s="7" t="s">
        <v>18</v>
      </c>
      <c r="L16018" s="8">
        <v>39987.315405092595</v>
      </c>
      <c r="M16018" s="9" t="s">
        <v>19</v>
      </c>
      <c r="N16018" s="9" t="s">
        <v>20</v>
      </c>
      <c r="O16018" s="6" t="str">
        <f>HYPERLINK("https://pbs.twimg.com/profile_images/962471262747529216/Uo8lOkRJ_normal.jpg","View")</f>
        <v>View</v>
      </c>
      <c r="P16018" s="7"/>
    </row>
    <row r="16019" spans="1:16">
      <c r="A16019" s="3">
        <v>44438.023541666669</v>
      </c>
      <c r="B16019" s="4" t="str">
        <f>HYPERLINK("https://twitter.com/petrogustavo","@petrogustavo")</f>
        <v>@petrogustavo</v>
      </c>
      <c r="C16019" s="5" t="s">
        <v>16</v>
      </c>
      <c r="D16019" s="5" t="s">
        <v>15420</v>
      </c>
      <c r="E16019" s="6" t="str">
        <f>HYPERLINK("https://twitter.com/petrogustavo/status/1432056431335940096","1432056431335940096")</f>
        <v>1432056431335940096</v>
      </c>
      <c r="F16019" s="7" t="s">
        <v>17</v>
      </c>
      <c r="G16019" s="7">
        <v>4353873</v>
      </c>
      <c r="H16019" s="7">
        <v>2533</v>
      </c>
      <c r="I16019" s="7">
        <v>395</v>
      </c>
      <c r="J16019" s="7">
        <v>1452</v>
      </c>
      <c r="K16019" s="7" t="s">
        <v>18</v>
      </c>
      <c r="L16019" s="8">
        <v>39987.315405092595</v>
      </c>
      <c r="M16019" s="9" t="s">
        <v>19</v>
      </c>
      <c r="N16019" s="9" t="s">
        <v>20</v>
      </c>
      <c r="O16019" s="6" t="str">
        <f>HYPERLINK("https://pbs.twimg.com/profile_images/962471262747529216/Uo8lOkRJ_normal.jpg","View")</f>
        <v>View</v>
      </c>
      <c r="P16019" s="7"/>
    </row>
    <row r="16020" spans="1:16">
      <c r="A16020" s="3">
        <v>44438.292083333334</v>
      </c>
      <c r="B16020" s="4" t="str">
        <f>HYPERLINK("https://twitter.com/petrogustavo","@petrogustavo")</f>
        <v>@petrogustavo</v>
      </c>
      <c r="C16020" s="5" t="s">
        <v>16</v>
      </c>
      <c r="D16020" s="5" t="s">
        <v>15421</v>
      </c>
      <c r="E16020" s="6" t="str">
        <f>HYPERLINK("https://twitter.com/petrogustavo/status/1432153750593024002","1432153750593024002")</f>
        <v>1432153750593024002</v>
      </c>
      <c r="F16020" s="7" t="s">
        <v>32</v>
      </c>
      <c r="G16020" s="7">
        <v>4354062</v>
      </c>
      <c r="H16020" s="7">
        <v>2533</v>
      </c>
      <c r="I16020" s="7">
        <v>1700</v>
      </c>
      <c r="J16020" s="7">
        <v>0</v>
      </c>
      <c r="K16020" s="7" t="s">
        <v>18</v>
      </c>
      <c r="L16020" s="8">
        <v>39987.315405092595</v>
      </c>
      <c r="M16020" s="9" t="s">
        <v>19</v>
      </c>
      <c r="N16020" s="9" t="s">
        <v>20</v>
      </c>
      <c r="O16020" s="6" t="str">
        <f>HYPERLINK("https://pbs.twimg.com/profile_images/962471262747529216/Uo8lOkRJ_normal.jpg","View")</f>
        <v>View</v>
      </c>
      <c r="P16020" s="7"/>
    </row>
    <row r="16021" spans="1:16">
      <c r="A16021" s="3">
        <v>44439.083912037036</v>
      </c>
      <c r="B16021" s="4" t="str">
        <f>HYPERLINK("https://twitter.com/petrogustavo","@petrogustavo")</f>
        <v>@petrogustavo</v>
      </c>
      <c r="C16021" s="5" t="s">
        <v>16</v>
      </c>
      <c r="D16021" s="5" t="s">
        <v>15422</v>
      </c>
      <c r="E16021" s="6" t="str">
        <f>HYPERLINK("https://twitter.com/petrogustavo/status/1432440696103968771","1432440696103968771")</f>
        <v>1432440696103968771</v>
      </c>
      <c r="F16021" s="7" t="s">
        <v>17</v>
      </c>
      <c r="G16021" s="7">
        <v>4354403</v>
      </c>
      <c r="H16021" s="7">
        <v>2533</v>
      </c>
      <c r="I16021" s="7">
        <v>177</v>
      </c>
      <c r="J16021" s="7">
        <v>0</v>
      </c>
      <c r="K16021" s="7" t="s">
        <v>18</v>
      </c>
      <c r="L16021" s="8">
        <v>39987.315405092595</v>
      </c>
      <c r="M16021" s="9" t="s">
        <v>19</v>
      </c>
      <c r="N16021" s="9" t="s">
        <v>20</v>
      </c>
      <c r="O16021" s="6" t="str">
        <f>HYPERLINK("https://pbs.twimg.com/profile_images/962471262747529216/Uo8lOkRJ_normal.jpg","View")</f>
        <v>View</v>
      </c>
      <c r="P16021" s="7"/>
    </row>
    <row r="16022" spans="1:16">
      <c r="A16022" s="3">
        <v>44439.18818287037</v>
      </c>
      <c r="B16022" s="4" t="str">
        <f>HYPERLINK("https://twitter.com/petrogustavo","@petrogustavo")</f>
        <v>@petrogustavo</v>
      </c>
      <c r="C16022" s="5" t="s">
        <v>16</v>
      </c>
      <c r="D16022" s="5" t="s">
        <v>15423</v>
      </c>
      <c r="E16022" s="6" t="str">
        <f>HYPERLINK("https://twitter.com/petrogustavo/status/1432478483968561159","1432478483968561159")</f>
        <v>1432478483968561159</v>
      </c>
      <c r="F16022" s="7" t="s">
        <v>32</v>
      </c>
      <c r="G16022" s="7">
        <v>4354463</v>
      </c>
      <c r="H16022" s="7">
        <v>2534</v>
      </c>
      <c r="I16022" s="7">
        <v>56</v>
      </c>
      <c r="J16022" s="7">
        <v>171</v>
      </c>
      <c r="K16022" s="7" t="s">
        <v>18</v>
      </c>
      <c r="L16022" s="8">
        <v>39987.315405092595</v>
      </c>
      <c r="M16022" s="9" t="s">
        <v>19</v>
      </c>
      <c r="N16022" s="9" t="s">
        <v>20</v>
      </c>
      <c r="O16022" s="6" t="str">
        <f>HYPERLINK("https://pbs.twimg.com/profile_images/962471262747529216/Uo8lOkRJ_normal.jpg","View")</f>
        <v>View</v>
      </c>
      <c r="P16022" s="7"/>
    </row>
    <row r="16023" spans="1:16">
      <c r="A16023" s="3">
        <v>44439.248668981483</v>
      </c>
      <c r="B16023" s="4" t="str">
        <f>HYPERLINK("https://twitter.com/petrogustavo","@petrogustavo")</f>
        <v>@petrogustavo</v>
      </c>
      <c r="C16023" s="5" t="s">
        <v>16</v>
      </c>
      <c r="D16023" s="5" t="s">
        <v>15424</v>
      </c>
      <c r="E16023" s="6" t="str">
        <f>HYPERLINK("https://twitter.com/petrogustavo/status/1432500405532045314","1432500405532045314")</f>
        <v>1432500405532045314</v>
      </c>
      <c r="F16023" s="7" t="s">
        <v>32</v>
      </c>
      <c r="G16023" s="7">
        <v>4354528</v>
      </c>
      <c r="H16023" s="7">
        <v>2534</v>
      </c>
      <c r="I16023" s="7">
        <v>62</v>
      </c>
      <c r="J16023" s="7">
        <v>192</v>
      </c>
      <c r="K16023" s="7" t="s">
        <v>18</v>
      </c>
      <c r="L16023" s="8">
        <v>39987.315405092595</v>
      </c>
      <c r="M16023" s="9" t="s">
        <v>19</v>
      </c>
      <c r="N16023" s="9" t="s">
        <v>20</v>
      </c>
      <c r="O16023" s="6" t="str">
        <f>HYPERLINK("https://pbs.twimg.com/profile_images/962471262747529216/Uo8lOkRJ_normal.jpg","View")</f>
        <v>View</v>
      </c>
      <c r="P16023" s="7"/>
    </row>
    <row r="16024" spans="1:16">
      <c r="A16024" s="3">
        <v>44439.25613425926</v>
      </c>
      <c r="B16024" s="4" t="str">
        <f>HYPERLINK("https://twitter.com/petrogustavo","@petrogustavo")</f>
        <v>@petrogustavo</v>
      </c>
      <c r="C16024" s="5" t="s">
        <v>16</v>
      </c>
      <c r="D16024" s="5" t="s">
        <v>15425</v>
      </c>
      <c r="E16024" s="6" t="str">
        <f>HYPERLINK("https://twitter.com/petrogustavo/status/1432503107515207681","1432503107515207681")</f>
        <v>1432503107515207681</v>
      </c>
      <c r="F16024" s="7" t="s">
        <v>32</v>
      </c>
      <c r="G16024" s="7">
        <v>4354519</v>
      </c>
      <c r="H16024" s="7">
        <v>2534</v>
      </c>
      <c r="I16024" s="7">
        <v>1454</v>
      </c>
      <c r="J16024" s="7">
        <v>0</v>
      </c>
      <c r="K16024" s="7" t="s">
        <v>18</v>
      </c>
      <c r="L16024" s="8">
        <v>39987.315405092595</v>
      </c>
      <c r="M16024" s="9" t="s">
        <v>19</v>
      </c>
      <c r="N16024" s="9" t="s">
        <v>20</v>
      </c>
      <c r="O16024" s="6" t="str">
        <f>HYPERLINK("https://pbs.twimg.com/profile_images/962471262747529216/Uo8lOkRJ_normal.jpg","View")</f>
        <v>View</v>
      </c>
      <c r="P16024" s="7"/>
    </row>
    <row r="16025" spans="1:16">
      <c r="A16025" s="3">
        <v>44439.271597222221</v>
      </c>
      <c r="B16025" s="4" t="str">
        <f>HYPERLINK("https://twitter.com/petrogustavo","@petrogustavo")</f>
        <v>@petrogustavo</v>
      </c>
      <c r="C16025" s="5" t="s">
        <v>16</v>
      </c>
      <c r="D16025" s="5" t="s">
        <v>15426</v>
      </c>
      <c r="E16025" s="6" t="str">
        <f>HYPERLINK("https://twitter.com/petrogustavo/status/1432508711000580096","1432508711000580096")</f>
        <v>1432508711000580096</v>
      </c>
      <c r="F16025" s="7" t="s">
        <v>32</v>
      </c>
      <c r="G16025" s="7">
        <v>4354519</v>
      </c>
      <c r="H16025" s="7">
        <v>2534</v>
      </c>
      <c r="I16025" s="7">
        <v>445</v>
      </c>
      <c r="J16025" s="7">
        <v>0</v>
      </c>
      <c r="K16025" s="7" t="s">
        <v>18</v>
      </c>
      <c r="L16025" s="8">
        <v>39987.315405092595</v>
      </c>
      <c r="M16025" s="9" t="s">
        <v>19</v>
      </c>
      <c r="N16025" s="9" t="s">
        <v>20</v>
      </c>
      <c r="O16025" s="6" t="str">
        <f>HYPERLINK("https://pbs.twimg.com/profile_images/962471262747529216/Uo8lOkRJ_normal.jpg","View")</f>
        <v>View</v>
      </c>
      <c r="P16025" s="7"/>
    </row>
    <row r="16026" spans="1:16">
      <c r="A16026" s="3">
        <v>44439.280381944445</v>
      </c>
      <c r="B16026" s="4" t="str">
        <f>HYPERLINK("https://twitter.com/petrogustavo","@petrogustavo")</f>
        <v>@petrogustavo</v>
      </c>
      <c r="C16026" s="5" t="s">
        <v>16</v>
      </c>
      <c r="D16026" s="5" t="s">
        <v>15427</v>
      </c>
      <c r="E16026" s="6" t="str">
        <f>HYPERLINK("https://twitter.com/petrogustavo/status/1432511894447865859","1432511894447865859")</f>
        <v>1432511894447865859</v>
      </c>
      <c r="F16026" s="7" t="s">
        <v>32</v>
      </c>
      <c r="G16026" s="7">
        <v>4354544</v>
      </c>
      <c r="H16026" s="7">
        <v>2534</v>
      </c>
      <c r="I16026" s="7">
        <v>2244</v>
      </c>
      <c r="J16026" s="7">
        <v>0</v>
      </c>
      <c r="K16026" s="7" t="s">
        <v>18</v>
      </c>
      <c r="L16026" s="8">
        <v>39987.315405092595</v>
      </c>
      <c r="M16026" s="9" t="s">
        <v>19</v>
      </c>
      <c r="N16026" s="9" t="s">
        <v>20</v>
      </c>
      <c r="O16026" s="6" t="str">
        <f>HYPERLINK("https://pbs.twimg.com/profile_images/962471262747529216/Uo8lOkRJ_normal.jpg","View")</f>
        <v>View</v>
      </c>
      <c r="P16026" s="7"/>
    </row>
    <row r="16027" spans="1:16">
      <c r="A16027" s="3">
        <v>44439.280902777777</v>
      </c>
      <c r="B16027" s="4" t="str">
        <f>HYPERLINK("https://twitter.com/petrogustavo","@petrogustavo")</f>
        <v>@petrogustavo</v>
      </c>
      <c r="C16027" s="5" t="s">
        <v>16</v>
      </c>
      <c r="D16027" s="5" t="s">
        <v>15425</v>
      </c>
      <c r="E16027" s="6" t="str">
        <f>HYPERLINK("https://twitter.com/petrogustavo/status/1432512086064644100","1432512086064644100")</f>
        <v>1432512086064644100</v>
      </c>
      <c r="F16027" s="7" t="s">
        <v>32</v>
      </c>
      <c r="G16027" s="7">
        <v>4354544</v>
      </c>
      <c r="H16027" s="7">
        <v>2534</v>
      </c>
      <c r="I16027" s="7">
        <v>1642</v>
      </c>
      <c r="J16027" s="7">
        <v>0</v>
      </c>
      <c r="K16027" s="7" t="s">
        <v>18</v>
      </c>
      <c r="L16027" s="8">
        <v>39987.315405092595</v>
      </c>
      <c r="M16027" s="9" t="s">
        <v>19</v>
      </c>
      <c r="N16027" s="9" t="s">
        <v>20</v>
      </c>
      <c r="O16027" s="6" t="str">
        <f>HYPERLINK("https://pbs.twimg.com/profile_images/962471262747529216/Uo8lOkRJ_normal.jpg","View")</f>
        <v>View</v>
      </c>
      <c r="P16027" s="7"/>
    </row>
    <row r="16028" spans="1:16">
      <c r="A16028" s="3">
        <v>44439.766168981485</v>
      </c>
      <c r="B16028" s="4" t="str">
        <f>HYPERLINK("https://twitter.com/petrogustavo","@petrogustavo")</f>
        <v>@petrogustavo</v>
      </c>
      <c r="C16028" s="5" t="s">
        <v>16</v>
      </c>
      <c r="D16028" s="5" t="s">
        <v>15428</v>
      </c>
      <c r="E16028" s="6" t="str">
        <f>HYPERLINK("https://twitter.com/petrogustavo/status/1432687938404556803","1432687938404556803")</f>
        <v>1432687938404556803</v>
      </c>
      <c r="F16028" s="7" t="s">
        <v>17</v>
      </c>
      <c r="G16028" s="7">
        <v>4354670</v>
      </c>
      <c r="H16028" s="7">
        <v>2533</v>
      </c>
      <c r="I16028" s="7">
        <v>82</v>
      </c>
      <c r="J16028" s="7">
        <v>234</v>
      </c>
      <c r="K16028" s="7" t="s">
        <v>18</v>
      </c>
      <c r="L16028" s="8">
        <v>39987.315405092595</v>
      </c>
      <c r="M16028" s="9" t="s">
        <v>19</v>
      </c>
      <c r="N16028" s="9" t="s">
        <v>20</v>
      </c>
      <c r="O16028" s="6" t="str">
        <f>HYPERLINK("https://pbs.twimg.com/profile_images/962471262747529216/Uo8lOkRJ_normal.jpg","View")</f>
        <v>View</v>
      </c>
      <c r="P16028" s="7"/>
    </row>
    <row r="16029" spans="1:16">
      <c r="A16029" s="3">
        <v>44439.772337962961</v>
      </c>
      <c r="B16029" s="4" t="str">
        <f>HYPERLINK("https://twitter.com/petrogustavo","@petrogustavo")</f>
        <v>@petrogustavo</v>
      </c>
      <c r="C16029" s="5" t="s">
        <v>16</v>
      </c>
      <c r="D16029" s="5" t="s">
        <v>15429</v>
      </c>
      <c r="E16029" s="6" t="str">
        <f>HYPERLINK("https://twitter.com/petrogustavo/status/1432690176011157504","1432690176011157504")</f>
        <v>1432690176011157504</v>
      </c>
      <c r="F16029" s="7" t="s">
        <v>17</v>
      </c>
      <c r="G16029" s="7">
        <v>4354670</v>
      </c>
      <c r="H16029" s="7">
        <v>2533</v>
      </c>
      <c r="I16029" s="7">
        <v>7</v>
      </c>
      <c r="J16029" s="7">
        <v>20</v>
      </c>
      <c r="K16029" s="7" t="s">
        <v>18</v>
      </c>
      <c r="L16029" s="8">
        <v>39987.315405092595</v>
      </c>
      <c r="M16029" s="9" t="s">
        <v>19</v>
      </c>
      <c r="N16029" s="9" t="s">
        <v>20</v>
      </c>
      <c r="O16029" s="6" t="str">
        <f>HYPERLINK("https://pbs.twimg.com/profile_images/962471262747529216/Uo8lOkRJ_normal.jpg","View")</f>
        <v>View</v>
      </c>
      <c r="P16029" s="7"/>
    </row>
    <row r="16030" spans="1:16">
      <c r="A16030" s="3">
        <v>44439.790451388893</v>
      </c>
      <c r="B16030" s="4" t="str">
        <f>HYPERLINK("https://twitter.com/petrogustavo","@petrogustavo")</f>
        <v>@petrogustavo</v>
      </c>
      <c r="C16030" s="5" t="s">
        <v>16</v>
      </c>
      <c r="D16030" s="5" t="s">
        <v>15430</v>
      </c>
      <c r="E16030" s="6" t="str">
        <f>HYPERLINK("https://twitter.com/petrogustavo/status/1432696738582863877","1432696738582863877")</f>
        <v>1432696738582863877</v>
      </c>
      <c r="F16030" s="7" t="s">
        <v>17</v>
      </c>
      <c r="G16030" s="7">
        <v>4354684</v>
      </c>
      <c r="H16030" s="7">
        <v>2533</v>
      </c>
      <c r="I16030" s="7">
        <v>50</v>
      </c>
      <c r="J16030" s="7">
        <v>140</v>
      </c>
      <c r="K16030" s="7" t="s">
        <v>18</v>
      </c>
      <c r="L16030" s="8">
        <v>39987.315405092595</v>
      </c>
      <c r="M16030" s="9" t="s">
        <v>19</v>
      </c>
      <c r="N16030" s="9" t="s">
        <v>20</v>
      </c>
      <c r="O16030" s="6" t="str">
        <f>HYPERLINK("https://pbs.twimg.com/profile_images/962471262747529216/Uo8lOkRJ_normal.jpg","View")</f>
        <v>View</v>
      </c>
      <c r="P16030" s="7"/>
    </row>
    <row r="16031" spans="1:16">
      <c r="A16031" s="3">
        <v>44439.790451388893</v>
      </c>
      <c r="B16031" s="4" t="str">
        <f>HYPERLINK("https://twitter.com/petrogustavo","@petrogustavo")</f>
        <v>@petrogustavo</v>
      </c>
      <c r="C16031" s="5" t="s">
        <v>16</v>
      </c>
      <c r="D16031" s="5" t="s">
        <v>15431</v>
      </c>
      <c r="E16031" s="6" t="str">
        <f>HYPERLINK("https://twitter.com/petrogustavo/status/1432696741191733248","1432696741191733248")</f>
        <v>1432696741191733248</v>
      </c>
      <c r="F16031" s="7" t="s">
        <v>17</v>
      </c>
      <c r="G16031" s="7">
        <v>4354684</v>
      </c>
      <c r="H16031" s="7">
        <v>2533</v>
      </c>
      <c r="I16031" s="7">
        <v>23</v>
      </c>
      <c r="J16031" s="7">
        <v>72</v>
      </c>
      <c r="K16031" s="7" t="s">
        <v>18</v>
      </c>
      <c r="L16031" s="8">
        <v>39987.315405092595</v>
      </c>
      <c r="M16031" s="9" t="s">
        <v>19</v>
      </c>
      <c r="N16031" s="9" t="s">
        <v>20</v>
      </c>
      <c r="O16031" s="6" t="str">
        <f>HYPERLINK("https://pbs.twimg.com/profile_images/962471262747529216/Uo8lOkRJ_normal.jpg","View")</f>
        <v>View</v>
      </c>
      <c r="P16031" s="7"/>
    </row>
    <row r="16032" spans="1:16">
      <c r="A16032" s="3">
        <v>44439.802442129629</v>
      </c>
      <c r="B16032" s="4" t="str">
        <f>HYPERLINK("https://twitter.com/petrogustavo","@petrogustavo")</f>
        <v>@petrogustavo</v>
      </c>
      <c r="C16032" s="5" t="s">
        <v>16</v>
      </c>
      <c r="D16032" s="5" t="s">
        <v>15432</v>
      </c>
      <c r="E16032" s="6" t="str">
        <f>HYPERLINK("https://twitter.com/petrogustavo/status/1432701082770317326","1432701082770317326")</f>
        <v>1432701082770317326</v>
      </c>
      <c r="F16032" s="7" t="s">
        <v>17</v>
      </c>
      <c r="G16032" s="7">
        <v>4354691</v>
      </c>
      <c r="H16032" s="7">
        <v>2533</v>
      </c>
      <c r="I16032" s="7">
        <v>52</v>
      </c>
      <c r="J16032" s="7">
        <v>199</v>
      </c>
      <c r="K16032" s="7" t="s">
        <v>18</v>
      </c>
      <c r="L16032" s="8">
        <v>39987.315405092595</v>
      </c>
      <c r="M16032" s="9" t="s">
        <v>19</v>
      </c>
      <c r="N16032" s="9" t="s">
        <v>20</v>
      </c>
      <c r="O16032" s="6" t="str">
        <f>HYPERLINK("https://pbs.twimg.com/profile_images/962471262747529216/Uo8lOkRJ_normal.jpg","View")</f>
        <v>View</v>
      </c>
      <c r="P16032" s="7"/>
    </row>
    <row r="16033" spans="1:16">
      <c r="A16033" s="3">
        <v>44439.849699074075</v>
      </c>
      <c r="B16033" s="4" t="str">
        <f>HYPERLINK("https://twitter.com/petrogustavo","@petrogustavo")</f>
        <v>@petrogustavo</v>
      </c>
      <c r="C16033" s="5" t="s">
        <v>16</v>
      </c>
      <c r="D16033" s="5" t="s">
        <v>15433</v>
      </c>
      <c r="E16033" s="6" t="str">
        <f>HYPERLINK("https://twitter.com/petrogustavo/status/1432718211913588742","1432718211913588742")</f>
        <v>1432718211913588742</v>
      </c>
      <c r="F16033" s="7" t="s">
        <v>17</v>
      </c>
      <c r="G16033" s="7">
        <v>4354720</v>
      </c>
      <c r="H16033" s="7">
        <v>2535</v>
      </c>
      <c r="I16033" s="7">
        <v>71</v>
      </c>
      <c r="J16033" s="7">
        <v>210</v>
      </c>
      <c r="K16033" s="7" t="s">
        <v>18</v>
      </c>
      <c r="L16033" s="8">
        <v>39987.315405092595</v>
      </c>
      <c r="M16033" s="9" t="s">
        <v>19</v>
      </c>
      <c r="N16033" s="9" t="s">
        <v>20</v>
      </c>
      <c r="O16033" s="6" t="str">
        <f>HYPERLINK("https://pbs.twimg.com/profile_images/962471262747529216/Uo8lOkRJ_normal.jpg","View")</f>
        <v>View</v>
      </c>
      <c r="P16033" s="7"/>
    </row>
    <row r="16034" spans="1:16">
      <c r="A16034" s="3">
        <v>44439.853541666671</v>
      </c>
      <c r="B16034" s="4" t="str">
        <f>HYPERLINK("https://twitter.com/petrogustavo","@petrogustavo")</f>
        <v>@petrogustavo</v>
      </c>
      <c r="C16034" s="5" t="s">
        <v>16</v>
      </c>
      <c r="D16034" s="5" t="s">
        <v>15434</v>
      </c>
      <c r="E16034" s="6" t="str">
        <f>HYPERLINK("https://twitter.com/petrogustavo/status/1432719604326051846","1432719604326051846")</f>
        <v>1432719604326051846</v>
      </c>
      <c r="F16034" s="7" t="s">
        <v>17</v>
      </c>
      <c r="G16034" s="7">
        <v>4354720</v>
      </c>
      <c r="H16034" s="7">
        <v>2535</v>
      </c>
      <c r="I16034" s="7">
        <v>28</v>
      </c>
      <c r="J16034" s="7">
        <v>95</v>
      </c>
      <c r="K16034" s="7" t="s">
        <v>18</v>
      </c>
      <c r="L16034" s="8">
        <v>39987.315405092595</v>
      </c>
      <c r="M16034" s="9" t="s">
        <v>19</v>
      </c>
      <c r="N16034" s="9" t="s">
        <v>20</v>
      </c>
      <c r="O16034" s="6" t="str">
        <f>HYPERLINK("https://pbs.twimg.com/profile_images/962471262747529216/Uo8lOkRJ_normal.jpg","View")</f>
        <v>View</v>
      </c>
      <c r="P16034" s="7"/>
    </row>
    <row r="16035" spans="1:16">
      <c r="A16035" s="3">
        <v>44439.867280092592</v>
      </c>
      <c r="B16035" s="4" t="str">
        <f>HYPERLINK("https://twitter.com/petrogustavo","@petrogustavo")</f>
        <v>@petrogustavo</v>
      </c>
      <c r="C16035" s="5" t="s">
        <v>16</v>
      </c>
      <c r="D16035" s="5" t="s">
        <v>15435</v>
      </c>
      <c r="E16035" s="6" t="str">
        <f>HYPERLINK("https://twitter.com/petrogustavo/status/1432724580116877314","1432724580116877314")</f>
        <v>1432724580116877314</v>
      </c>
      <c r="F16035" s="7" t="s">
        <v>17</v>
      </c>
      <c r="G16035" s="7">
        <v>4354735</v>
      </c>
      <c r="H16035" s="7">
        <v>2535</v>
      </c>
      <c r="I16035" s="7">
        <v>326</v>
      </c>
      <c r="J16035" s="7">
        <v>0</v>
      </c>
      <c r="K16035" s="7" t="s">
        <v>18</v>
      </c>
      <c r="L16035" s="8">
        <v>39987.315405092595</v>
      </c>
      <c r="M16035" s="9" t="s">
        <v>19</v>
      </c>
      <c r="N16035" s="9" t="s">
        <v>20</v>
      </c>
      <c r="O16035" s="6" t="str">
        <f>HYPERLINK("https://pbs.twimg.com/profile_images/962471262747529216/Uo8lOkRJ_normal.jpg","View")</f>
        <v>View</v>
      </c>
      <c r="P16035" s="7"/>
    </row>
    <row r="16036" spans="1:16">
      <c r="A16036" s="3">
        <v>44439.917175925926</v>
      </c>
      <c r="B16036" s="4" t="str">
        <f>HYPERLINK("https://twitter.com/petrogustavo","@petrogustavo")</f>
        <v>@petrogustavo</v>
      </c>
      <c r="C16036" s="5" t="s">
        <v>16</v>
      </c>
      <c r="D16036" s="5" t="s">
        <v>15436</v>
      </c>
      <c r="E16036" s="6" t="str">
        <f>HYPERLINK("https://twitter.com/petrogustavo/status/1432742660880715785","1432742660880715785")</f>
        <v>1432742660880715785</v>
      </c>
      <c r="F16036" s="7" t="s">
        <v>17</v>
      </c>
      <c r="G16036" s="7">
        <v>4354756</v>
      </c>
      <c r="H16036" s="7">
        <v>2535</v>
      </c>
      <c r="I16036" s="7">
        <v>41</v>
      </c>
      <c r="J16036" s="7">
        <v>144</v>
      </c>
      <c r="K16036" s="7" t="s">
        <v>18</v>
      </c>
      <c r="L16036" s="8">
        <v>39987.315405092595</v>
      </c>
      <c r="M16036" s="9" t="s">
        <v>19</v>
      </c>
      <c r="N16036" s="9" t="s">
        <v>20</v>
      </c>
      <c r="O16036" s="6" t="str">
        <f>HYPERLINK("https://pbs.twimg.com/profile_images/962471262747529216/Uo8lOkRJ_normal.jpg","View")</f>
        <v>View</v>
      </c>
      <c r="P16036" s="7"/>
    </row>
    <row r="16037" spans="1:16">
      <c r="A16037" s="3">
        <v>44439.917175925926</v>
      </c>
      <c r="B16037" s="4" t="str">
        <f>HYPERLINK("https://twitter.com/petrogustavo","@petrogustavo")</f>
        <v>@petrogustavo</v>
      </c>
      <c r="C16037" s="5" t="s">
        <v>16</v>
      </c>
      <c r="D16037" s="5" t="s">
        <v>15437</v>
      </c>
      <c r="E16037" s="6" t="str">
        <f>HYPERLINK("https://twitter.com/petrogustavo/status/1432742662159884288","1432742662159884288")</f>
        <v>1432742662159884288</v>
      </c>
      <c r="F16037" s="7" t="s">
        <v>17</v>
      </c>
      <c r="G16037" s="7">
        <v>4354756</v>
      </c>
      <c r="H16037" s="7">
        <v>2535</v>
      </c>
      <c r="I16037" s="7">
        <v>22</v>
      </c>
      <c r="J16037" s="7">
        <v>104</v>
      </c>
      <c r="K16037" s="7" t="s">
        <v>18</v>
      </c>
      <c r="L16037" s="8">
        <v>39987.315405092595</v>
      </c>
      <c r="M16037" s="9" t="s">
        <v>19</v>
      </c>
      <c r="N16037" s="9" t="s">
        <v>20</v>
      </c>
      <c r="O16037" s="6" t="str">
        <f>HYPERLINK("https://pbs.twimg.com/profile_images/962471262747529216/Uo8lOkRJ_normal.jpg","View")</f>
        <v>View</v>
      </c>
      <c r="P16037" s="7"/>
    </row>
    <row r="16038" spans="1:16">
      <c r="A16038" s="3">
        <v>44439.962870370371</v>
      </c>
      <c r="B16038" s="4" t="str">
        <f>HYPERLINK("https://twitter.com/petrogustavo","@petrogustavo")</f>
        <v>@petrogustavo</v>
      </c>
      <c r="C16038" s="5" t="s">
        <v>16</v>
      </c>
      <c r="D16038" s="5" t="s">
        <v>15438</v>
      </c>
      <c r="E16038" s="6" t="str">
        <f>HYPERLINK("https://twitter.com/petrogustavo/status/1432759220420726784","1432759220420726784")</f>
        <v>1432759220420726784</v>
      </c>
      <c r="F16038" s="7" t="s">
        <v>17</v>
      </c>
      <c r="G16038" s="7">
        <v>4354806</v>
      </c>
      <c r="H16038" s="7">
        <v>2535</v>
      </c>
      <c r="I16038" s="7">
        <v>206</v>
      </c>
      <c r="J16038" s="7">
        <v>921</v>
      </c>
      <c r="K16038" s="7" t="s">
        <v>18</v>
      </c>
      <c r="L16038" s="8">
        <v>39987.315405092595</v>
      </c>
      <c r="M16038" s="9" t="s">
        <v>19</v>
      </c>
      <c r="N16038" s="9" t="s">
        <v>20</v>
      </c>
      <c r="O16038" s="6" t="str">
        <f>HYPERLINK("https://pbs.twimg.com/profile_images/962471262747529216/Uo8lOkRJ_normal.jpg","View")</f>
        <v>View</v>
      </c>
      <c r="P16038" s="7"/>
    </row>
    <row r="16039" spans="1:16">
      <c r="A16039" s="3">
        <v>44440.044270833328</v>
      </c>
      <c r="B16039" s="4" t="str">
        <f>HYPERLINK("https://twitter.com/petrogustavo","@petrogustavo")</f>
        <v>@petrogustavo</v>
      </c>
      <c r="C16039" s="5" t="s">
        <v>16</v>
      </c>
      <c r="D16039" s="5" t="s">
        <v>15435</v>
      </c>
      <c r="E16039" s="6" t="str">
        <f>HYPERLINK("https://twitter.com/petrogustavo/status/1432788718306435084","1432788718306435084")</f>
        <v>1432788718306435084</v>
      </c>
      <c r="F16039" s="7" t="s">
        <v>17</v>
      </c>
      <c r="G16039" s="7">
        <v>4354879</v>
      </c>
      <c r="H16039" s="7">
        <v>2535</v>
      </c>
      <c r="I16039" s="7">
        <v>1559</v>
      </c>
      <c r="J16039" s="7">
        <v>0</v>
      </c>
      <c r="K16039" s="7" t="s">
        <v>18</v>
      </c>
      <c r="L16039" s="8">
        <v>39987.315405092595</v>
      </c>
      <c r="M16039" s="9" t="s">
        <v>19</v>
      </c>
      <c r="N16039" s="9" t="s">
        <v>20</v>
      </c>
      <c r="O16039" s="6" t="str">
        <f>HYPERLINK("https://pbs.twimg.com/profile_images/962471262747529216/Uo8lOkRJ_normal.jpg","View")</f>
        <v>View</v>
      </c>
      <c r="P16039" s="7"/>
    </row>
    <row r="16040" spans="1:16">
      <c r="A16040" s="3">
        <v>44440.160532407404</v>
      </c>
      <c r="B16040" s="4" t="str">
        <f>HYPERLINK("https://twitter.com/petrogustavo","@petrogustavo")</f>
        <v>@petrogustavo</v>
      </c>
      <c r="C16040" s="5" t="s">
        <v>16</v>
      </c>
      <c r="D16040" s="5" t="s">
        <v>15439</v>
      </c>
      <c r="E16040" s="6" t="str">
        <f>HYPERLINK("https://twitter.com/petrogustavo/status/1432830853726490627","1432830853726490627")</f>
        <v>1432830853726490627</v>
      </c>
      <c r="F16040" s="7" t="s">
        <v>17</v>
      </c>
      <c r="G16040" s="7">
        <v>4354197</v>
      </c>
      <c r="H16040" s="7">
        <v>2536</v>
      </c>
      <c r="I16040" s="7">
        <v>187</v>
      </c>
      <c r="J16040" s="7">
        <v>501</v>
      </c>
      <c r="K16040" s="7" t="s">
        <v>18</v>
      </c>
      <c r="L16040" s="8">
        <v>39987.315405092595</v>
      </c>
      <c r="M16040" s="9" t="s">
        <v>19</v>
      </c>
      <c r="N16040" s="9" t="s">
        <v>20</v>
      </c>
      <c r="O16040" s="6" t="str">
        <f>HYPERLINK("https://pbs.twimg.com/profile_images/962471262747529216/Uo8lOkRJ_normal.jpg","View")</f>
        <v>View</v>
      </c>
      <c r="P16040" s="7"/>
    </row>
    <row r="16041" spans="1:16">
      <c r="A16041" s="3">
        <v>44440.16642361111</v>
      </c>
      <c r="B16041" s="4" t="str">
        <f>HYPERLINK("https://twitter.com/petrogustavo","@petrogustavo")</f>
        <v>@petrogustavo</v>
      </c>
      <c r="C16041" s="5" t="s">
        <v>16</v>
      </c>
      <c r="D16041" s="5" t="s">
        <v>15440</v>
      </c>
      <c r="E16041" s="6" t="str">
        <f>HYPERLINK("https://twitter.com/petrogustavo/status/1432832988136427527","1432832988136427527")</f>
        <v>1432832988136427527</v>
      </c>
      <c r="F16041" s="7" t="s">
        <v>17</v>
      </c>
      <c r="G16041" s="7">
        <v>4354197</v>
      </c>
      <c r="H16041" s="7">
        <v>2536</v>
      </c>
      <c r="I16041" s="7">
        <v>1313</v>
      </c>
      <c r="J16041" s="7">
        <v>0</v>
      </c>
      <c r="K16041" s="7" t="s">
        <v>18</v>
      </c>
      <c r="L16041" s="8">
        <v>39987.315405092595</v>
      </c>
      <c r="M16041" s="9" t="s">
        <v>19</v>
      </c>
      <c r="N16041" s="9" t="s">
        <v>20</v>
      </c>
      <c r="O16041" s="6" t="str">
        <f>HYPERLINK("https://pbs.twimg.com/profile_images/962471262747529216/Uo8lOkRJ_normal.jpg","View")</f>
        <v>View</v>
      </c>
      <c r="P16041" s="7"/>
    </row>
    <row r="16042" spans="1:16">
      <c r="A16042" s="3">
        <v>44440.241747685184</v>
      </c>
      <c r="B16042" s="4" t="str">
        <f>HYPERLINK("https://twitter.com/petrogustavo","@petrogustavo")</f>
        <v>@petrogustavo</v>
      </c>
      <c r="C16042" s="5" t="s">
        <v>16</v>
      </c>
      <c r="D16042" s="5" t="s">
        <v>15441</v>
      </c>
      <c r="E16042" s="6" t="str">
        <f>HYPERLINK("https://twitter.com/petrogustavo/status/1432860285048606723","1432860285048606723")</f>
        <v>1432860285048606723</v>
      </c>
      <c r="F16042" s="7" t="s">
        <v>17</v>
      </c>
      <c r="G16042" s="7">
        <v>4354970</v>
      </c>
      <c r="H16042" s="7">
        <v>2535</v>
      </c>
      <c r="I16042" s="7">
        <v>179</v>
      </c>
      <c r="J16042" s="7">
        <v>0</v>
      </c>
      <c r="K16042" s="7" t="s">
        <v>18</v>
      </c>
      <c r="L16042" s="8">
        <v>39987.315405092595</v>
      </c>
      <c r="M16042" s="9" t="s">
        <v>19</v>
      </c>
      <c r="N16042" s="9" t="s">
        <v>20</v>
      </c>
      <c r="O16042" s="6" t="str">
        <f>HYPERLINK("https://pbs.twimg.com/profile_images/962471262747529216/Uo8lOkRJ_normal.jpg","View")</f>
        <v>View</v>
      </c>
      <c r="P16042" s="7"/>
    </row>
    <row r="16043" spans="1:16">
      <c r="A16043" s="3">
        <v>44440.302048611113</v>
      </c>
      <c r="B16043" s="4" t="str">
        <f>HYPERLINK("https://twitter.com/petrogustavo","@petrogustavo")</f>
        <v>@petrogustavo</v>
      </c>
      <c r="C16043" s="5" t="s">
        <v>16</v>
      </c>
      <c r="D16043" s="5" t="s">
        <v>15442</v>
      </c>
      <c r="E16043" s="6" t="str">
        <f>HYPERLINK("https://twitter.com/petrogustavo/status/1432882134386102272","1432882134386102272")</f>
        <v>1432882134386102272</v>
      </c>
      <c r="F16043" s="7" t="s">
        <v>17</v>
      </c>
      <c r="G16043" s="7">
        <v>4355028</v>
      </c>
      <c r="H16043" s="7">
        <v>2535</v>
      </c>
      <c r="I16043" s="7">
        <v>113</v>
      </c>
      <c r="J16043" s="7">
        <v>0</v>
      </c>
      <c r="K16043" s="7" t="s">
        <v>18</v>
      </c>
      <c r="L16043" s="8">
        <v>39987.315405092595</v>
      </c>
      <c r="M16043" s="9" t="s">
        <v>19</v>
      </c>
      <c r="N16043" s="9" t="s">
        <v>20</v>
      </c>
      <c r="O16043" s="6" t="str">
        <f>HYPERLINK("https://pbs.twimg.com/profile_images/962471262747529216/Uo8lOkRJ_normal.jpg","View")</f>
        <v>View</v>
      </c>
      <c r="P16043" s="7"/>
    </row>
    <row r="16044" spans="1:16">
      <c r="A16044" s="3">
        <v>44440.302662037036</v>
      </c>
      <c r="B16044" s="4" t="str">
        <f>HYPERLINK("https://twitter.com/petrogustavo","@petrogustavo")</f>
        <v>@petrogustavo</v>
      </c>
      <c r="C16044" s="5" t="s">
        <v>16</v>
      </c>
      <c r="D16044" s="5" t="s">
        <v>15443</v>
      </c>
      <c r="E16044" s="6" t="str">
        <f>HYPERLINK("https://twitter.com/petrogustavo/status/1432882356449329156","1432882356449329156")</f>
        <v>1432882356449329156</v>
      </c>
      <c r="F16044" s="7" t="s">
        <v>17</v>
      </c>
      <c r="G16044" s="7">
        <v>4355028</v>
      </c>
      <c r="H16044" s="7">
        <v>2535</v>
      </c>
      <c r="I16044" s="7">
        <v>1339</v>
      </c>
      <c r="J16044" s="7">
        <v>0</v>
      </c>
      <c r="K16044" s="7" t="s">
        <v>18</v>
      </c>
      <c r="L16044" s="8">
        <v>39987.315405092595</v>
      </c>
      <c r="M16044" s="9" t="s">
        <v>19</v>
      </c>
      <c r="N16044" s="9" t="s">
        <v>20</v>
      </c>
      <c r="O16044" s="6" t="str">
        <f>HYPERLINK("https://pbs.twimg.com/profile_images/962471262747529216/Uo8lOkRJ_normal.jpg","View")</f>
        <v>View</v>
      </c>
      <c r="P16044" s="7"/>
    </row>
    <row r="16045" spans="1:16">
      <c r="A16045" s="3">
        <v>44440.306724537033</v>
      </c>
      <c r="B16045" s="4" t="str">
        <f>HYPERLINK("https://twitter.com/petrogustavo","@petrogustavo")</f>
        <v>@petrogustavo</v>
      </c>
      <c r="C16045" s="5" t="s">
        <v>16</v>
      </c>
      <c r="D16045" s="5" t="s">
        <v>15444</v>
      </c>
      <c r="E16045" s="6" t="str">
        <f>HYPERLINK("https://twitter.com/petrogustavo/status/1432883830453641217","1432883830453641217")</f>
        <v>1432883830453641217</v>
      </c>
      <c r="F16045" s="7" t="s">
        <v>17</v>
      </c>
      <c r="G16045" s="7">
        <v>4355028</v>
      </c>
      <c r="H16045" s="7">
        <v>2535</v>
      </c>
      <c r="I16045" s="7">
        <v>96</v>
      </c>
      <c r="J16045" s="7">
        <v>347</v>
      </c>
      <c r="K16045" s="7" t="s">
        <v>18</v>
      </c>
      <c r="L16045" s="8">
        <v>39987.315405092595</v>
      </c>
      <c r="M16045" s="9" t="s">
        <v>19</v>
      </c>
      <c r="N16045" s="9" t="s">
        <v>20</v>
      </c>
      <c r="O16045" s="6" t="str">
        <f>HYPERLINK("https://pbs.twimg.com/profile_images/962471262747529216/Uo8lOkRJ_normal.jpg","View")</f>
        <v>View</v>
      </c>
      <c r="P16045" s="7"/>
    </row>
    <row r="16046" spans="1:16">
      <c r="A16046" s="3">
        <v>44440.323159722218</v>
      </c>
      <c r="B16046" s="4" t="str">
        <f>HYPERLINK("https://twitter.com/petrogustavo","@petrogustavo")</f>
        <v>@petrogustavo</v>
      </c>
      <c r="C16046" s="5" t="s">
        <v>16</v>
      </c>
      <c r="D16046" s="5" t="s">
        <v>15445</v>
      </c>
      <c r="E16046" s="6" t="str">
        <f>HYPERLINK("https://twitter.com/petrogustavo/status/1432889784972812289","1432889784972812289")</f>
        <v>1432889784972812289</v>
      </c>
      <c r="F16046" s="7" t="s">
        <v>17</v>
      </c>
      <c r="G16046" s="7">
        <v>4355037</v>
      </c>
      <c r="H16046" s="7">
        <v>2535</v>
      </c>
      <c r="I16046" s="7">
        <v>143</v>
      </c>
      <c r="J16046" s="7">
        <v>435</v>
      </c>
      <c r="K16046" s="7" t="s">
        <v>18</v>
      </c>
      <c r="L16046" s="8">
        <v>39987.315405092595</v>
      </c>
      <c r="M16046" s="9" t="s">
        <v>19</v>
      </c>
      <c r="N16046" s="9" t="s">
        <v>20</v>
      </c>
      <c r="O16046" s="6" t="str">
        <f>HYPERLINK("https://pbs.twimg.com/profile_images/962471262747529216/Uo8lOkRJ_normal.jpg","View")</f>
        <v>View</v>
      </c>
      <c r="P16046" s="7"/>
    </row>
    <row r="16047" spans="1:16">
      <c r="A16047" s="3">
        <v>44440.323159722218</v>
      </c>
      <c r="B16047" s="4" t="str">
        <f>HYPERLINK("https://twitter.com/petrogustavo","@petrogustavo")</f>
        <v>@petrogustavo</v>
      </c>
      <c r="C16047" s="5" t="s">
        <v>16</v>
      </c>
      <c r="D16047" s="5" t="s">
        <v>15446</v>
      </c>
      <c r="E16047" s="6" t="str">
        <f>HYPERLINK("https://twitter.com/petrogustavo/status/1432889786298257411","1432889786298257411")</f>
        <v>1432889786298257411</v>
      </c>
      <c r="F16047" s="7" t="s">
        <v>17</v>
      </c>
      <c r="G16047" s="7">
        <v>4355037</v>
      </c>
      <c r="H16047" s="7">
        <v>2535</v>
      </c>
      <c r="I16047" s="7">
        <v>131</v>
      </c>
      <c r="J16047" s="7">
        <v>522</v>
      </c>
      <c r="K16047" s="7" t="s">
        <v>18</v>
      </c>
      <c r="L16047" s="8">
        <v>39987.315405092595</v>
      </c>
      <c r="M16047" s="9" t="s">
        <v>19</v>
      </c>
      <c r="N16047" s="9" t="s">
        <v>20</v>
      </c>
      <c r="O16047" s="6" t="str">
        <f>HYPERLINK("https://pbs.twimg.com/profile_images/962471262747529216/Uo8lOkRJ_normal.jpg","View")</f>
        <v>View</v>
      </c>
      <c r="P16047" s="7"/>
    </row>
    <row r="16048" spans="1:16">
      <c r="A16048" s="3">
        <v>44440.344641203701</v>
      </c>
      <c r="B16048" s="4" t="str">
        <f>HYPERLINK("https://twitter.com/petrogustavo","@petrogustavo")</f>
        <v>@petrogustavo</v>
      </c>
      <c r="C16048" s="5" t="s">
        <v>16</v>
      </c>
      <c r="D16048" s="5" t="s">
        <v>15447</v>
      </c>
      <c r="E16048" s="6" t="str">
        <f>HYPERLINK("https://twitter.com/petrogustavo/status/1432897569311629315","1432897569311629315")</f>
        <v>1432897569311629315</v>
      </c>
      <c r="F16048" s="7" t="s">
        <v>21</v>
      </c>
      <c r="G16048" s="7">
        <v>4355062</v>
      </c>
      <c r="H16048" s="7">
        <v>2535</v>
      </c>
      <c r="I16048" s="7">
        <v>116</v>
      </c>
      <c r="J16048" s="7">
        <v>249</v>
      </c>
      <c r="K16048" s="7" t="s">
        <v>18</v>
      </c>
      <c r="L16048" s="8">
        <v>39987.315405092595</v>
      </c>
      <c r="M16048" s="9" t="s">
        <v>19</v>
      </c>
      <c r="N16048" s="9" t="s">
        <v>20</v>
      </c>
      <c r="O16048" s="6" t="str">
        <f>HYPERLINK("https://pbs.twimg.com/profile_images/962471262747529216/Uo8lOkRJ_normal.jpg","View")</f>
        <v>View</v>
      </c>
      <c r="P16048" s="7"/>
    </row>
    <row r="16049" spans="1:16">
      <c r="A16049" s="3">
        <v>44440.345000000001</v>
      </c>
      <c r="B16049" s="4" t="str">
        <f>HYPERLINK("https://twitter.com/petrogustavo","@petrogustavo")</f>
        <v>@petrogustavo</v>
      </c>
      <c r="C16049" s="5" t="s">
        <v>16</v>
      </c>
      <c r="D16049" s="5" t="s">
        <v>15448</v>
      </c>
      <c r="E16049" s="6" t="str">
        <f>HYPERLINK("https://twitter.com/petrogustavo/status/1432897702380113921","1432897702380113921")</f>
        <v>1432897702380113921</v>
      </c>
      <c r="F16049" s="7" t="s">
        <v>21</v>
      </c>
      <c r="G16049" s="7">
        <v>4355062</v>
      </c>
      <c r="H16049" s="7">
        <v>2535</v>
      </c>
      <c r="I16049" s="7">
        <v>142</v>
      </c>
      <c r="J16049" s="7">
        <v>321</v>
      </c>
      <c r="K16049" s="7" t="s">
        <v>18</v>
      </c>
      <c r="L16049" s="8">
        <v>39987.315405092595</v>
      </c>
      <c r="M16049" s="9" t="s">
        <v>19</v>
      </c>
      <c r="N16049" s="9" t="s">
        <v>20</v>
      </c>
      <c r="O16049" s="6" t="str">
        <f>HYPERLINK("https://pbs.twimg.com/profile_images/962471262747529216/Uo8lOkRJ_normal.jpg","View")</f>
        <v>View</v>
      </c>
      <c r="P16049" s="7"/>
    </row>
    <row r="16050" spans="1:16">
      <c r="A16050" s="3">
        <v>44440.345347222217</v>
      </c>
      <c r="B16050" s="4" t="str">
        <f>HYPERLINK("https://twitter.com/petrogustavo","@petrogustavo")</f>
        <v>@petrogustavo</v>
      </c>
      <c r="C16050" s="5" t="s">
        <v>16</v>
      </c>
      <c r="D16050" s="5" t="s">
        <v>15449</v>
      </c>
      <c r="E16050" s="6" t="str">
        <f>HYPERLINK("https://twitter.com/petrogustavo/status/1432897825357111308","1432897825357111308")</f>
        <v>1432897825357111308</v>
      </c>
      <c r="F16050" s="7" t="s">
        <v>21</v>
      </c>
      <c r="G16050" s="7">
        <v>4355062</v>
      </c>
      <c r="H16050" s="7">
        <v>2535</v>
      </c>
      <c r="I16050" s="7">
        <v>159</v>
      </c>
      <c r="J16050" s="7">
        <v>360</v>
      </c>
      <c r="K16050" s="7" t="s">
        <v>18</v>
      </c>
      <c r="L16050" s="8">
        <v>39987.315405092595</v>
      </c>
      <c r="M16050" s="9" t="s">
        <v>19</v>
      </c>
      <c r="N16050" s="9" t="s">
        <v>20</v>
      </c>
      <c r="O16050" s="6" t="str">
        <f>HYPERLINK("https://pbs.twimg.com/profile_images/962471262747529216/Uo8lOkRJ_normal.jpg","View")</f>
        <v>View</v>
      </c>
      <c r="P16050" s="7"/>
    </row>
    <row r="16051" spans="1:16">
      <c r="A16051" s="3">
        <v>44440.780150462961</v>
      </c>
      <c r="B16051" s="4" t="str">
        <f>HYPERLINK("https://twitter.com/petrogustavo","@petrogustavo")</f>
        <v>@petrogustavo</v>
      </c>
      <c r="C16051" s="5" t="s">
        <v>16</v>
      </c>
      <c r="D16051" s="5" t="s">
        <v>15450</v>
      </c>
      <c r="E16051" s="6" t="str">
        <f>HYPERLINK("https://twitter.com/petrogustavo/status/1433055392079269889","1433055392079269889")</f>
        <v>1433055392079269889</v>
      </c>
      <c r="F16051" s="7" t="s">
        <v>17</v>
      </c>
      <c r="G16051" s="7">
        <v>4355182</v>
      </c>
      <c r="H16051" s="7">
        <v>2535</v>
      </c>
      <c r="I16051" s="7">
        <v>202</v>
      </c>
      <c r="J16051" s="7">
        <v>0</v>
      </c>
      <c r="K16051" s="7" t="s">
        <v>18</v>
      </c>
      <c r="L16051" s="8">
        <v>39987.315405092595</v>
      </c>
      <c r="M16051" s="9" t="s">
        <v>19</v>
      </c>
      <c r="N16051" s="9" t="s">
        <v>20</v>
      </c>
      <c r="O16051" s="6" t="str">
        <f>HYPERLINK("https://pbs.twimg.com/profile_images/962471262747529216/Uo8lOkRJ_normal.jpg","View")</f>
        <v>View</v>
      </c>
      <c r="P16051" s="7"/>
    </row>
    <row r="16052" spans="1:16">
      <c r="A16052" s="3">
        <v>44440.780763888892</v>
      </c>
      <c r="B16052" s="4" t="str">
        <f>HYPERLINK("https://twitter.com/petrogustavo","@petrogustavo")</f>
        <v>@petrogustavo</v>
      </c>
      <c r="C16052" s="5" t="s">
        <v>16</v>
      </c>
      <c r="D16052" s="5" t="s">
        <v>15451</v>
      </c>
      <c r="E16052" s="6" t="str">
        <f>HYPERLINK("https://twitter.com/petrogustavo/status/1433055617174880257","1433055617174880257")</f>
        <v>1433055617174880257</v>
      </c>
      <c r="F16052" s="7" t="s">
        <v>17</v>
      </c>
      <c r="G16052" s="7">
        <v>4355182</v>
      </c>
      <c r="H16052" s="7">
        <v>2535</v>
      </c>
      <c r="I16052" s="7">
        <v>653</v>
      </c>
      <c r="J16052" s="7">
        <v>0</v>
      </c>
      <c r="K16052" s="7" t="s">
        <v>18</v>
      </c>
      <c r="L16052" s="8">
        <v>39987.315405092595</v>
      </c>
      <c r="M16052" s="9" t="s">
        <v>19</v>
      </c>
      <c r="N16052" s="9" t="s">
        <v>20</v>
      </c>
      <c r="O16052" s="6" t="str">
        <f>HYPERLINK("https://pbs.twimg.com/profile_images/962471262747529216/Uo8lOkRJ_normal.jpg","View")</f>
        <v>View</v>
      </c>
      <c r="P16052" s="7"/>
    </row>
    <row r="16053" spans="1:16">
      <c r="A16053" s="3">
        <v>44440.783101851848</v>
      </c>
      <c r="B16053" s="4" t="str">
        <f>HYPERLINK("https://twitter.com/petrogustavo","@petrogustavo")</f>
        <v>@petrogustavo</v>
      </c>
      <c r="C16053" s="5" t="s">
        <v>16</v>
      </c>
      <c r="D16053" s="5" t="s">
        <v>15435</v>
      </c>
      <c r="E16053" s="6" t="str">
        <f>HYPERLINK("https://twitter.com/petrogustavo/status/1433056465242185731","1433056465242185731")</f>
        <v>1433056465242185731</v>
      </c>
      <c r="F16053" s="7" t="s">
        <v>17</v>
      </c>
      <c r="G16053" s="7">
        <v>4355182</v>
      </c>
      <c r="H16053" s="7">
        <v>2535</v>
      </c>
      <c r="I16053" s="7">
        <v>2648</v>
      </c>
      <c r="J16053" s="7">
        <v>0</v>
      </c>
      <c r="K16053" s="7" t="s">
        <v>18</v>
      </c>
      <c r="L16053" s="8">
        <v>39987.315405092595</v>
      </c>
      <c r="M16053" s="9" t="s">
        <v>19</v>
      </c>
      <c r="N16053" s="9" t="s">
        <v>20</v>
      </c>
      <c r="O16053" s="6" t="str">
        <f>HYPERLINK("https://pbs.twimg.com/profile_images/962471262747529216/Uo8lOkRJ_normal.jpg","View")</f>
        <v>View</v>
      </c>
      <c r="P16053" s="7"/>
    </row>
    <row r="16054" spans="1:16">
      <c r="A16054" s="3">
        <v>44440.801180555558</v>
      </c>
      <c r="B16054" s="4" t="str">
        <f>HYPERLINK("https://twitter.com/petrogustavo","@petrogustavo")</f>
        <v>@petrogustavo</v>
      </c>
      <c r="C16054" s="5" t="s">
        <v>16</v>
      </c>
      <c r="D16054" s="5" t="s">
        <v>15452</v>
      </c>
      <c r="E16054" s="6" t="str">
        <f>HYPERLINK("https://twitter.com/petrogustavo/status/1433063017101529093","1433063017101529093")</f>
        <v>1433063017101529093</v>
      </c>
      <c r="F16054" s="7" t="s">
        <v>17</v>
      </c>
      <c r="G16054" s="7">
        <v>4355192</v>
      </c>
      <c r="H16054" s="7">
        <v>2535</v>
      </c>
      <c r="I16054" s="7">
        <v>367</v>
      </c>
      <c r="J16054" s="7">
        <v>0</v>
      </c>
      <c r="K16054" s="7" t="s">
        <v>18</v>
      </c>
      <c r="L16054" s="8">
        <v>39987.315405092595</v>
      </c>
      <c r="M16054" s="9" t="s">
        <v>19</v>
      </c>
      <c r="N16054" s="9" t="s">
        <v>20</v>
      </c>
      <c r="O16054" s="6" t="str">
        <f>HYPERLINK("https://pbs.twimg.com/profile_images/962471262747529216/Uo8lOkRJ_normal.jpg","View")</f>
        <v>View</v>
      </c>
      <c r="P16054" s="7"/>
    </row>
    <row r="16055" spans="1:16">
      <c r="A16055" s="3">
        <v>44440.890289351853</v>
      </c>
      <c r="B16055" s="4" t="str">
        <f>HYPERLINK("https://twitter.com/petrogustavo","@petrogustavo")</f>
        <v>@petrogustavo</v>
      </c>
      <c r="C16055" s="5" t="s">
        <v>16</v>
      </c>
      <c r="D16055" s="5" t="s">
        <v>15453</v>
      </c>
      <c r="E16055" s="6" t="str">
        <f>HYPERLINK("https://twitter.com/petrogustavo/status/1433095306112086016","1433095306112086016")</f>
        <v>1433095306112086016</v>
      </c>
      <c r="F16055" s="7" t="s">
        <v>17</v>
      </c>
      <c r="G16055" s="7">
        <v>4355241</v>
      </c>
      <c r="H16055" s="7">
        <v>2535</v>
      </c>
      <c r="I16055" s="7">
        <v>56</v>
      </c>
      <c r="J16055" s="7">
        <v>0</v>
      </c>
      <c r="K16055" s="7" t="s">
        <v>18</v>
      </c>
      <c r="L16055" s="8">
        <v>39987.315405092595</v>
      </c>
      <c r="M16055" s="9" t="s">
        <v>19</v>
      </c>
      <c r="N16055" s="9" t="s">
        <v>20</v>
      </c>
      <c r="O16055" s="6" t="str">
        <f>HYPERLINK("https://pbs.twimg.com/profile_images/962471262747529216/Uo8lOkRJ_normal.jpg","View")</f>
        <v>View</v>
      </c>
      <c r="P16055" s="7"/>
    </row>
    <row r="16056" spans="1:16">
      <c r="A16056" s="3">
        <v>44440.897280092591</v>
      </c>
      <c r="B16056" s="4" t="str">
        <f>HYPERLINK("https://twitter.com/petrogustavo","@petrogustavo")</f>
        <v>@petrogustavo</v>
      </c>
      <c r="C16056" s="5" t="s">
        <v>16</v>
      </c>
      <c r="D16056" s="5" t="s">
        <v>15454</v>
      </c>
      <c r="E16056" s="6" t="str">
        <f>HYPERLINK("https://twitter.com/petrogustavo/status/1433097840167948291","1433097840167948291")</f>
        <v>1433097840167948291</v>
      </c>
      <c r="F16056" s="7" t="s">
        <v>17</v>
      </c>
      <c r="G16056" s="7">
        <v>4355241</v>
      </c>
      <c r="H16056" s="7">
        <v>2535</v>
      </c>
      <c r="I16056" s="7">
        <v>12</v>
      </c>
      <c r="J16056" s="7">
        <v>26</v>
      </c>
      <c r="K16056" s="7" t="s">
        <v>18</v>
      </c>
      <c r="L16056" s="8">
        <v>39987.315405092595</v>
      </c>
      <c r="M16056" s="9" t="s">
        <v>19</v>
      </c>
      <c r="N16056" s="9" t="s">
        <v>20</v>
      </c>
      <c r="O16056" s="6" t="str">
        <f>HYPERLINK("https://pbs.twimg.com/profile_images/962471262747529216/Uo8lOkRJ_normal.jpg","View")</f>
        <v>View</v>
      </c>
      <c r="P16056" s="7"/>
    </row>
    <row r="16057" spans="1:16">
      <c r="A16057" s="3">
        <v>44440.947766203702</v>
      </c>
      <c r="B16057" s="4" t="str">
        <f>HYPERLINK("https://twitter.com/petrogustavo","@petrogustavo")</f>
        <v>@petrogustavo</v>
      </c>
      <c r="C16057" s="5" t="s">
        <v>16</v>
      </c>
      <c r="D16057" s="5" t="s">
        <v>15455</v>
      </c>
      <c r="E16057" s="6" t="str">
        <f>HYPERLINK("https://twitter.com/petrogustavo/status/1433116137173180423","1433116137173180423")</f>
        <v>1433116137173180423</v>
      </c>
      <c r="F16057" s="7" t="s">
        <v>17</v>
      </c>
      <c r="G16057" s="7">
        <v>4355259</v>
      </c>
      <c r="H16057" s="7">
        <v>2535</v>
      </c>
      <c r="I16057" s="7">
        <v>48</v>
      </c>
      <c r="J16057" s="7">
        <v>189</v>
      </c>
      <c r="K16057" s="7" t="s">
        <v>18</v>
      </c>
      <c r="L16057" s="8">
        <v>39987.315405092595</v>
      </c>
      <c r="M16057" s="9" t="s">
        <v>19</v>
      </c>
      <c r="N16057" s="9" t="s">
        <v>20</v>
      </c>
      <c r="O16057" s="6" t="str">
        <f>HYPERLINK("https://pbs.twimg.com/profile_images/962471262747529216/Uo8lOkRJ_normal.jpg","View")</f>
        <v>View</v>
      </c>
      <c r="P16057" s="7"/>
    </row>
    <row r="16058" spans="1:16">
      <c r="A16058" s="3">
        <v>44441.030416666668</v>
      </c>
      <c r="B16058" s="4" t="str">
        <f>HYPERLINK("https://twitter.com/petrogustavo","@petrogustavo")</f>
        <v>@petrogustavo</v>
      </c>
      <c r="C16058" s="5" t="s">
        <v>16</v>
      </c>
      <c r="D16058" s="5" t="s">
        <v>15456</v>
      </c>
      <c r="E16058" s="6" t="str">
        <f>HYPERLINK("https://twitter.com/petrogustavo/status/1433146087418826753","1433146087418826753")</f>
        <v>1433146087418826753</v>
      </c>
      <c r="F16058" s="7" t="s">
        <v>32</v>
      </c>
      <c r="G16058" s="7">
        <v>4355317</v>
      </c>
      <c r="H16058" s="7">
        <v>2534</v>
      </c>
      <c r="I16058" s="7">
        <v>1538</v>
      </c>
      <c r="J16058" s="7">
        <v>0</v>
      </c>
      <c r="K16058" s="7" t="s">
        <v>18</v>
      </c>
      <c r="L16058" s="8">
        <v>39987.315405092595</v>
      </c>
      <c r="M16058" s="9" t="s">
        <v>19</v>
      </c>
      <c r="N16058" s="9" t="s">
        <v>20</v>
      </c>
      <c r="O16058" s="6" t="str">
        <f>HYPERLINK("https://pbs.twimg.com/profile_images/962471262747529216/Uo8lOkRJ_normal.jpg","View")</f>
        <v>View</v>
      </c>
      <c r="P16058" s="7"/>
    </row>
    <row r="16059" spans="1:16">
      <c r="A16059" s="3">
        <v>44441.030509259261</v>
      </c>
      <c r="B16059" s="4" t="str">
        <f>HYPERLINK("https://twitter.com/petrogustavo","@petrogustavo")</f>
        <v>@petrogustavo</v>
      </c>
      <c r="C16059" s="5" t="s">
        <v>16</v>
      </c>
      <c r="D16059" s="5" t="s">
        <v>15457</v>
      </c>
      <c r="E16059" s="6" t="str">
        <f>HYPERLINK("https://twitter.com/petrogustavo/status/1433146123066224640","1433146123066224640")</f>
        <v>1433146123066224640</v>
      </c>
      <c r="F16059" s="7" t="s">
        <v>32</v>
      </c>
      <c r="G16059" s="7">
        <v>4355317</v>
      </c>
      <c r="H16059" s="7">
        <v>2534</v>
      </c>
      <c r="I16059" s="7">
        <v>2207</v>
      </c>
      <c r="J16059" s="7">
        <v>0</v>
      </c>
      <c r="K16059" s="7" t="s">
        <v>18</v>
      </c>
      <c r="L16059" s="8">
        <v>39987.315405092595</v>
      </c>
      <c r="M16059" s="9" t="s">
        <v>19</v>
      </c>
      <c r="N16059" s="9" t="s">
        <v>20</v>
      </c>
      <c r="O16059" s="6" t="str">
        <f>HYPERLINK("https://pbs.twimg.com/profile_images/962471262747529216/Uo8lOkRJ_normal.jpg","View")</f>
        <v>View</v>
      </c>
      <c r="P16059" s="7"/>
    </row>
    <row r="16060" spans="1:16">
      <c r="A16060" s="3">
        <v>44441.03061342593</v>
      </c>
      <c r="B16060" s="4" t="str">
        <f>HYPERLINK("https://twitter.com/petrogustavo","@petrogustavo")</f>
        <v>@petrogustavo</v>
      </c>
      <c r="C16060" s="5" t="s">
        <v>16</v>
      </c>
      <c r="D16060" s="5" t="s">
        <v>15458</v>
      </c>
      <c r="E16060" s="6" t="str">
        <f>HYPERLINK("https://twitter.com/petrogustavo/status/1433146160416534532","1433146160416534532")</f>
        <v>1433146160416534532</v>
      </c>
      <c r="F16060" s="7" t="s">
        <v>32</v>
      </c>
      <c r="G16060" s="7">
        <v>4355317</v>
      </c>
      <c r="H16060" s="7">
        <v>2534</v>
      </c>
      <c r="I16060" s="7">
        <v>2370</v>
      </c>
      <c r="J16060" s="7">
        <v>0</v>
      </c>
      <c r="K16060" s="7" t="s">
        <v>18</v>
      </c>
      <c r="L16060" s="8">
        <v>39987.315405092595</v>
      </c>
      <c r="M16060" s="9" t="s">
        <v>19</v>
      </c>
      <c r="N16060" s="9" t="s">
        <v>20</v>
      </c>
      <c r="O16060" s="6" t="str">
        <f>HYPERLINK("https://pbs.twimg.com/profile_images/962471262747529216/Uo8lOkRJ_normal.jpg","View")</f>
        <v>View</v>
      </c>
      <c r="P16060" s="7"/>
    </row>
    <row r="16061" spans="1:16">
      <c r="A16061" s="3">
        <v>44441.171469907407</v>
      </c>
      <c r="B16061" s="4" t="str">
        <f>HYPERLINK("https://twitter.com/petrogustavo","@petrogustavo")</f>
        <v>@petrogustavo</v>
      </c>
      <c r="C16061" s="5" t="s">
        <v>16</v>
      </c>
      <c r="D16061" s="5" t="s">
        <v>15459</v>
      </c>
      <c r="E16061" s="6" t="str">
        <f>HYPERLINK("https://twitter.com/petrogustavo/status/1433197202378268672","1433197202378268672")</f>
        <v>1433197202378268672</v>
      </c>
      <c r="F16061" s="7" t="s">
        <v>32</v>
      </c>
      <c r="G16061" s="7">
        <v>4355409</v>
      </c>
      <c r="H16061" s="7">
        <v>2534</v>
      </c>
      <c r="I16061" s="7">
        <v>522</v>
      </c>
      <c r="J16061" s="7">
        <v>1811</v>
      </c>
      <c r="K16061" s="7" t="s">
        <v>18</v>
      </c>
      <c r="L16061" s="8">
        <v>39987.315405092595</v>
      </c>
      <c r="M16061" s="9" t="s">
        <v>19</v>
      </c>
      <c r="N16061" s="9" t="s">
        <v>20</v>
      </c>
      <c r="O16061" s="6" t="str">
        <f>HYPERLINK("https://pbs.twimg.com/profile_images/962471262747529216/Uo8lOkRJ_normal.jpg","View")</f>
        <v>View</v>
      </c>
      <c r="P16061" s="7"/>
    </row>
    <row r="16062" spans="1:16">
      <c r="A16062" s="3">
        <v>44441.17591435185</v>
      </c>
      <c r="B16062" s="4" t="str">
        <f>HYPERLINK("https://twitter.com/petrogustavo","@petrogustavo")</f>
        <v>@petrogustavo</v>
      </c>
      <c r="C16062" s="5" t="s">
        <v>16</v>
      </c>
      <c r="D16062" s="5" t="s">
        <v>15460</v>
      </c>
      <c r="E16062" s="6" t="str">
        <f>HYPERLINK("https://twitter.com/petrogustavo/status/1433198814261915650","1433198814261915650")</f>
        <v>1433198814261915650</v>
      </c>
      <c r="F16062" s="7" t="s">
        <v>32</v>
      </c>
      <c r="G16062" s="7">
        <v>4355409</v>
      </c>
      <c r="H16062" s="7">
        <v>2534</v>
      </c>
      <c r="I16062" s="7">
        <v>400</v>
      </c>
      <c r="J16062" s="7">
        <v>0</v>
      </c>
      <c r="K16062" s="7" t="s">
        <v>18</v>
      </c>
      <c r="L16062" s="8">
        <v>39987.315405092595</v>
      </c>
      <c r="M16062" s="9" t="s">
        <v>19</v>
      </c>
      <c r="N16062" s="9" t="s">
        <v>20</v>
      </c>
      <c r="O16062" s="6" t="str">
        <f>HYPERLINK("https://pbs.twimg.com/profile_images/962471262747529216/Uo8lOkRJ_normal.jpg","View")</f>
        <v>View</v>
      </c>
      <c r="P16062" s="7"/>
    </row>
    <row r="16063" spans="1:16">
      <c r="A16063" s="3">
        <v>44441.188287037032</v>
      </c>
      <c r="B16063" s="4" t="str">
        <f>HYPERLINK("https://twitter.com/petrogustavo","@petrogustavo")</f>
        <v>@petrogustavo</v>
      </c>
      <c r="C16063" s="5" t="s">
        <v>16</v>
      </c>
      <c r="D16063" s="5" t="s">
        <v>15461</v>
      </c>
      <c r="E16063" s="6" t="str">
        <f>HYPERLINK("https://twitter.com/petrogustavo/status/1433203296597159939","1433203296597159939")</f>
        <v>1433203296597159939</v>
      </c>
      <c r="F16063" s="7" t="s">
        <v>32</v>
      </c>
      <c r="G16063" s="7">
        <v>4355409</v>
      </c>
      <c r="H16063" s="7">
        <v>2534</v>
      </c>
      <c r="I16063" s="7">
        <v>328</v>
      </c>
      <c r="J16063" s="7">
        <v>0</v>
      </c>
      <c r="K16063" s="7" t="s">
        <v>18</v>
      </c>
      <c r="L16063" s="8">
        <v>39987.315405092595</v>
      </c>
      <c r="M16063" s="9" t="s">
        <v>19</v>
      </c>
      <c r="N16063" s="9" t="s">
        <v>20</v>
      </c>
      <c r="O16063" s="6" t="str">
        <f>HYPERLINK("https://pbs.twimg.com/profile_images/962471262747529216/Uo8lOkRJ_normal.jpg","View")</f>
        <v>View</v>
      </c>
      <c r="P16063" s="7"/>
    </row>
    <row r="16064" spans="1:16">
      <c r="A16064" s="3">
        <v>44441.188680555555</v>
      </c>
      <c r="B16064" s="4" t="str">
        <f>HYPERLINK("https://twitter.com/petrogustavo","@petrogustavo")</f>
        <v>@petrogustavo</v>
      </c>
      <c r="C16064" s="5" t="s">
        <v>16</v>
      </c>
      <c r="D16064" s="5" t="s">
        <v>15462</v>
      </c>
      <c r="E16064" s="6" t="str">
        <f>HYPERLINK("https://twitter.com/petrogustavo/status/1433203439622934528","1433203439622934528")</f>
        <v>1433203439622934528</v>
      </c>
      <c r="F16064" s="7" t="s">
        <v>32</v>
      </c>
      <c r="G16064" s="7">
        <v>4355409</v>
      </c>
      <c r="H16064" s="7">
        <v>2534</v>
      </c>
      <c r="I16064" s="7">
        <v>522</v>
      </c>
      <c r="J16064" s="7">
        <v>0</v>
      </c>
      <c r="K16064" s="7" t="s">
        <v>18</v>
      </c>
      <c r="L16064" s="8">
        <v>39987.315405092595</v>
      </c>
      <c r="M16064" s="9" t="s">
        <v>19</v>
      </c>
      <c r="N16064" s="9" t="s">
        <v>20</v>
      </c>
      <c r="O16064" s="6" t="str">
        <f>HYPERLINK("https://pbs.twimg.com/profile_images/962471262747529216/Uo8lOkRJ_normal.jpg","View")</f>
        <v>View</v>
      </c>
      <c r="P16064" s="7"/>
    </row>
    <row r="16065" spans="1:16">
      <c r="A16065" s="3">
        <v>44441.270543981482</v>
      </c>
      <c r="B16065" s="4" t="str">
        <f>HYPERLINK("https://twitter.com/petrogustavo","@petrogustavo")</f>
        <v>@petrogustavo</v>
      </c>
      <c r="C16065" s="5" t="s">
        <v>16</v>
      </c>
      <c r="D16065" s="5" t="s">
        <v>15462</v>
      </c>
      <c r="E16065" s="6" t="str">
        <f>HYPERLINK("https://twitter.com/petrogustavo/status/1433233108879433730","1433233108879433730")</f>
        <v>1433233108879433730</v>
      </c>
      <c r="F16065" s="7" t="s">
        <v>32</v>
      </c>
      <c r="G16065" s="7">
        <v>4355478</v>
      </c>
      <c r="H16065" s="7">
        <v>2534</v>
      </c>
      <c r="I16065" s="7">
        <v>1829</v>
      </c>
      <c r="J16065" s="7">
        <v>0</v>
      </c>
      <c r="K16065" s="7" t="s">
        <v>18</v>
      </c>
      <c r="L16065" s="8">
        <v>39987.315405092595</v>
      </c>
      <c r="M16065" s="9" t="s">
        <v>19</v>
      </c>
      <c r="N16065" s="9" t="s">
        <v>20</v>
      </c>
      <c r="O16065" s="6" t="str">
        <f>HYPERLINK("https://pbs.twimg.com/profile_images/962471262747529216/Uo8lOkRJ_normal.jpg","View")</f>
        <v>View</v>
      </c>
      <c r="P16065" s="7"/>
    </row>
    <row r="16066" spans="1:16">
      <c r="A16066" s="3">
        <v>44441.307395833333</v>
      </c>
      <c r="B16066" s="4" t="str">
        <f>HYPERLINK("https://twitter.com/petrogustavo","@petrogustavo")</f>
        <v>@petrogustavo</v>
      </c>
      <c r="C16066" s="5" t="s">
        <v>16</v>
      </c>
      <c r="D16066" s="5" t="s">
        <v>15463</v>
      </c>
      <c r="E16066" s="6" t="str">
        <f>HYPERLINK("https://twitter.com/petrogustavo/status/1433246461509124096","1433246461509124096")</f>
        <v>1433246461509124096</v>
      </c>
      <c r="F16066" s="7" t="s">
        <v>17</v>
      </c>
      <c r="G16066" s="7">
        <v>4355531</v>
      </c>
      <c r="H16066" s="7">
        <v>2534</v>
      </c>
      <c r="I16066" s="7">
        <v>111</v>
      </c>
      <c r="J16066" s="7">
        <v>258</v>
      </c>
      <c r="K16066" s="7" t="s">
        <v>18</v>
      </c>
      <c r="L16066" s="8">
        <v>39987.315405092595</v>
      </c>
      <c r="M16066" s="9" t="s">
        <v>19</v>
      </c>
      <c r="N16066" s="9" t="s">
        <v>20</v>
      </c>
      <c r="O16066" s="6" t="str">
        <f>HYPERLINK("https://pbs.twimg.com/profile_images/962471262747529216/Uo8lOkRJ_normal.jpg","View")</f>
        <v>View</v>
      </c>
      <c r="P16066" s="7"/>
    </row>
    <row r="16067" spans="1:16">
      <c r="A16067" s="3">
        <v>44441.359305555554</v>
      </c>
      <c r="B16067" s="4" t="str">
        <f>HYPERLINK("https://twitter.com/petrogustavo","@petrogustavo")</f>
        <v>@petrogustavo</v>
      </c>
      <c r="C16067" s="5" t="s">
        <v>16</v>
      </c>
      <c r="D16067" s="5" t="s">
        <v>15464</v>
      </c>
      <c r="E16067" s="6" t="str">
        <f>HYPERLINK("https://twitter.com/petrogustavo/status/1433265274858491906","1433265274858491906")</f>
        <v>1433265274858491906</v>
      </c>
      <c r="F16067" s="7" t="s">
        <v>17</v>
      </c>
      <c r="G16067" s="7">
        <v>4355579</v>
      </c>
      <c r="H16067" s="7">
        <v>2534</v>
      </c>
      <c r="I16067" s="7">
        <v>262</v>
      </c>
      <c r="J16067" s="7">
        <v>846</v>
      </c>
      <c r="K16067" s="7" t="s">
        <v>18</v>
      </c>
      <c r="L16067" s="8">
        <v>39987.315405092595</v>
      </c>
      <c r="M16067" s="9" t="s">
        <v>19</v>
      </c>
      <c r="N16067" s="9" t="s">
        <v>20</v>
      </c>
      <c r="O16067" s="6" t="str">
        <f>HYPERLINK("https://pbs.twimg.com/profile_images/962471262747529216/Uo8lOkRJ_normal.jpg","View")</f>
        <v>View</v>
      </c>
      <c r="P16067" s="7"/>
    </row>
    <row r="16068" spans="1:16">
      <c r="A16068" s="3">
        <v>44441.365173611106</v>
      </c>
      <c r="B16068" s="4" t="str">
        <f>HYPERLINK("https://twitter.com/petrogustavo","@petrogustavo")</f>
        <v>@petrogustavo</v>
      </c>
      <c r="C16068" s="5" t="s">
        <v>16</v>
      </c>
      <c r="D16068" s="5" t="s">
        <v>15465</v>
      </c>
      <c r="E16068" s="6" t="str">
        <f>HYPERLINK("https://twitter.com/petrogustavo/status/1433267399487279105","1433267399487279105")</f>
        <v>1433267399487279105</v>
      </c>
      <c r="F16068" s="7" t="s">
        <v>17</v>
      </c>
      <c r="G16068" s="7">
        <v>4355579</v>
      </c>
      <c r="H16068" s="7">
        <v>2534</v>
      </c>
      <c r="I16068" s="7">
        <v>420</v>
      </c>
      <c r="J16068" s="7">
        <v>0</v>
      </c>
      <c r="K16068" s="7" t="s">
        <v>18</v>
      </c>
      <c r="L16068" s="8">
        <v>39987.315405092595</v>
      </c>
      <c r="M16068" s="9" t="s">
        <v>19</v>
      </c>
      <c r="N16068" s="9" t="s">
        <v>20</v>
      </c>
      <c r="O16068" s="6" t="str">
        <f>HYPERLINK("https://pbs.twimg.com/profile_images/962471262747529216/Uo8lOkRJ_normal.jpg","View")</f>
        <v>View</v>
      </c>
      <c r="P16068" s="7"/>
    </row>
    <row r="16069" spans="1:16">
      <c r="A16069" s="3">
        <v>44441.724120370374</v>
      </c>
      <c r="B16069" s="4" t="str">
        <f>HYPERLINK("https://twitter.com/petrogustavo","@petrogustavo")</f>
        <v>@petrogustavo</v>
      </c>
      <c r="C16069" s="5" t="s">
        <v>16</v>
      </c>
      <c r="D16069" s="5" t="s">
        <v>15466</v>
      </c>
      <c r="E16069" s="6" t="str">
        <f>HYPERLINK("https://twitter.com/petrogustavo/status/1433397475369435144","1433397475369435144")</f>
        <v>1433397475369435144</v>
      </c>
      <c r="F16069" s="7" t="s">
        <v>17</v>
      </c>
      <c r="G16069" s="7">
        <v>4355629</v>
      </c>
      <c r="H16069" s="7">
        <v>2534</v>
      </c>
      <c r="I16069" s="7">
        <v>98</v>
      </c>
      <c r="J16069" s="7">
        <v>381</v>
      </c>
      <c r="K16069" s="7" t="s">
        <v>18</v>
      </c>
      <c r="L16069" s="8">
        <v>39987.315405092595</v>
      </c>
      <c r="M16069" s="9" t="s">
        <v>19</v>
      </c>
      <c r="N16069" s="9" t="s">
        <v>20</v>
      </c>
      <c r="O16069" s="6" t="str">
        <f>HYPERLINK("https://pbs.twimg.com/profile_images/962471262747529216/Uo8lOkRJ_normal.jpg","View")</f>
        <v>View</v>
      </c>
      <c r="P16069" s="7"/>
    </row>
    <row r="16070" spans="1:16">
      <c r="A16070" s="3">
        <v>44441.736030092594</v>
      </c>
      <c r="B16070" s="4" t="str">
        <f>HYPERLINK("https://twitter.com/petrogustavo","@petrogustavo")</f>
        <v>@petrogustavo</v>
      </c>
      <c r="C16070" s="5" t="s">
        <v>16</v>
      </c>
      <c r="D16070" s="5" t="s">
        <v>15467</v>
      </c>
      <c r="E16070" s="6" t="str">
        <f>HYPERLINK("https://twitter.com/petrogustavo/status/1433401793434865671","1433401793434865671")</f>
        <v>1433401793434865671</v>
      </c>
      <c r="F16070" s="7" t="s">
        <v>17</v>
      </c>
      <c r="G16070" s="7">
        <v>4355631</v>
      </c>
      <c r="H16070" s="7">
        <v>2534</v>
      </c>
      <c r="I16070" s="7">
        <v>63</v>
      </c>
      <c r="J16070" s="7">
        <v>174</v>
      </c>
      <c r="K16070" s="7" t="s">
        <v>18</v>
      </c>
      <c r="L16070" s="8">
        <v>39987.315405092595</v>
      </c>
      <c r="M16070" s="9" t="s">
        <v>19</v>
      </c>
      <c r="N16070" s="9" t="s">
        <v>20</v>
      </c>
      <c r="O16070" s="6" t="str">
        <f>HYPERLINK("https://pbs.twimg.com/profile_images/962471262747529216/Uo8lOkRJ_normal.jpg","View")</f>
        <v>View</v>
      </c>
      <c r="P16070" s="7"/>
    </row>
    <row r="16071" spans="1:16">
      <c r="A16071" s="3">
        <v>44441.768032407403</v>
      </c>
      <c r="B16071" s="4" t="str">
        <f>HYPERLINK("https://twitter.com/petrogustavo","@petrogustavo")</f>
        <v>@petrogustavo</v>
      </c>
      <c r="C16071" s="5" t="s">
        <v>16</v>
      </c>
      <c r="D16071" s="5" t="s">
        <v>15468</v>
      </c>
      <c r="E16071" s="6" t="str">
        <f>HYPERLINK("https://twitter.com/petrogustavo/status/1433413390047842304","1433413390047842304")</f>
        <v>1433413390047842304</v>
      </c>
      <c r="F16071" s="7" t="s">
        <v>17</v>
      </c>
      <c r="G16071" s="7">
        <v>4355650</v>
      </c>
      <c r="H16071" s="7">
        <v>2534</v>
      </c>
      <c r="I16071" s="7">
        <v>49</v>
      </c>
      <c r="J16071" s="7">
        <v>195</v>
      </c>
      <c r="K16071" s="7" t="s">
        <v>18</v>
      </c>
      <c r="L16071" s="8">
        <v>39987.315405092595</v>
      </c>
      <c r="M16071" s="9" t="s">
        <v>19</v>
      </c>
      <c r="N16071" s="9" t="s">
        <v>20</v>
      </c>
      <c r="O16071" s="6" t="str">
        <f>HYPERLINK("https://pbs.twimg.com/profile_images/962471262747529216/Uo8lOkRJ_normal.jpg","View")</f>
        <v>View</v>
      </c>
      <c r="P16071" s="7"/>
    </row>
    <row r="16072" spans="1:16">
      <c r="A16072" s="3">
        <v>44441.778854166667</v>
      </c>
      <c r="B16072" s="4" t="str">
        <f>HYPERLINK("https://twitter.com/petrogustavo","@petrogustavo")</f>
        <v>@petrogustavo</v>
      </c>
      <c r="C16072" s="5" t="s">
        <v>16</v>
      </c>
      <c r="D16072" s="5" t="s">
        <v>15469</v>
      </c>
      <c r="E16072" s="6" t="str">
        <f>HYPERLINK("https://twitter.com/petrogustavo/status/1433417312644763650","1433417312644763650")</f>
        <v>1433417312644763650</v>
      </c>
      <c r="F16072" s="7" t="s">
        <v>17</v>
      </c>
      <c r="G16072" s="7">
        <v>4355662</v>
      </c>
      <c r="H16072" s="7">
        <v>2534</v>
      </c>
      <c r="I16072" s="7">
        <v>69</v>
      </c>
      <c r="J16072" s="7">
        <v>270</v>
      </c>
      <c r="K16072" s="7" t="s">
        <v>18</v>
      </c>
      <c r="L16072" s="8">
        <v>39987.315405092595</v>
      </c>
      <c r="M16072" s="9" t="s">
        <v>19</v>
      </c>
      <c r="N16072" s="9" t="s">
        <v>20</v>
      </c>
      <c r="O16072" s="6" t="str">
        <f>HYPERLINK("https://pbs.twimg.com/profile_images/962471262747529216/Uo8lOkRJ_normal.jpg","View")</f>
        <v>View</v>
      </c>
      <c r="P16072" s="7"/>
    </row>
    <row r="16073" spans="1:16">
      <c r="A16073" s="3">
        <v>44441.779039351852</v>
      </c>
      <c r="B16073" s="4" t="str">
        <f>HYPERLINK("https://twitter.com/petrogustavo","@petrogustavo")</f>
        <v>@petrogustavo</v>
      </c>
      <c r="C16073" s="5" t="s">
        <v>16</v>
      </c>
      <c r="D16073" s="5" t="s">
        <v>15470</v>
      </c>
      <c r="E16073" s="6" t="str">
        <f>HYPERLINK("https://twitter.com/petrogustavo/status/1433417378700926982","1433417378700926982")</f>
        <v>1433417378700926982</v>
      </c>
      <c r="F16073" s="7" t="s">
        <v>17</v>
      </c>
      <c r="G16073" s="7">
        <v>4355662</v>
      </c>
      <c r="H16073" s="7">
        <v>2534</v>
      </c>
      <c r="I16073" s="7">
        <v>140</v>
      </c>
      <c r="J16073" s="7">
        <v>0</v>
      </c>
      <c r="K16073" s="7" t="s">
        <v>18</v>
      </c>
      <c r="L16073" s="8">
        <v>39987.315405092595</v>
      </c>
      <c r="M16073" s="9" t="s">
        <v>19</v>
      </c>
      <c r="N16073" s="9" t="s">
        <v>20</v>
      </c>
      <c r="O16073" s="6" t="str">
        <f>HYPERLINK("https://pbs.twimg.com/profile_images/962471262747529216/Uo8lOkRJ_normal.jpg","View")</f>
        <v>View</v>
      </c>
      <c r="P16073" s="7"/>
    </row>
    <row r="16074" spans="1:16">
      <c r="A16074" s="3">
        <v>44441.79041666667</v>
      </c>
      <c r="B16074" s="4" t="str">
        <f>HYPERLINK("https://twitter.com/petrogustavo","@petrogustavo")</f>
        <v>@petrogustavo</v>
      </c>
      <c r="C16074" s="5" t="s">
        <v>16</v>
      </c>
      <c r="D16074" s="5" t="s">
        <v>15471</v>
      </c>
      <c r="E16074" s="6" t="str">
        <f>HYPERLINK("https://twitter.com/petrogustavo/status/1433421503052324864","1433421503052324864")</f>
        <v>1433421503052324864</v>
      </c>
      <c r="F16074" s="7" t="s">
        <v>17</v>
      </c>
      <c r="G16074" s="7">
        <v>4355662</v>
      </c>
      <c r="H16074" s="7">
        <v>2534</v>
      </c>
      <c r="I16074" s="7">
        <v>12</v>
      </c>
      <c r="J16074" s="7">
        <v>0</v>
      </c>
      <c r="K16074" s="7" t="s">
        <v>18</v>
      </c>
      <c r="L16074" s="8">
        <v>39987.315405092595</v>
      </c>
      <c r="M16074" s="9" t="s">
        <v>19</v>
      </c>
      <c r="N16074" s="9" t="s">
        <v>20</v>
      </c>
      <c r="O16074" s="6" t="str">
        <f>HYPERLINK("https://pbs.twimg.com/profile_images/962471262747529216/Uo8lOkRJ_normal.jpg","View")</f>
        <v>View</v>
      </c>
      <c r="P16074" s="7"/>
    </row>
    <row r="16075" spans="1:16">
      <c r="A16075" s="3">
        <v>44441.793819444443</v>
      </c>
      <c r="B16075" s="4" t="str">
        <f>HYPERLINK("https://twitter.com/petrogustavo","@petrogustavo")</f>
        <v>@petrogustavo</v>
      </c>
      <c r="C16075" s="5" t="s">
        <v>16</v>
      </c>
      <c r="D16075" s="5" t="s">
        <v>15472</v>
      </c>
      <c r="E16075" s="6" t="str">
        <f>HYPERLINK("https://twitter.com/petrogustavo/status/1433422733828886530","1433422733828886530")</f>
        <v>1433422733828886530</v>
      </c>
      <c r="F16075" s="7" t="s">
        <v>17</v>
      </c>
      <c r="G16075" s="7">
        <v>4355662</v>
      </c>
      <c r="H16075" s="7">
        <v>2534</v>
      </c>
      <c r="I16075" s="7">
        <v>1</v>
      </c>
      <c r="J16075" s="7">
        <v>6</v>
      </c>
      <c r="K16075" s="7" t="s">
        <v>18</v>
      </c>
      <c r="L16075" s="8">
        <v>39987.315405092595</v>
      </c>
      <c r="M16075" s="9" t="s">
        <v>19</v>
      </c>
      <c r="N16075" s="9" t="s">
        <v>20</v>
      </c>
      <c r="O16075" s="6" t="str">
        <f>HYPERLINK("https://pbs.twimg.com/profile_images/962471262747529216/Uo8lOkRJ_normal.jpg","View")</f>
        <v>View</v>
      </c>
      <c r="P16075" s="7"/>
    </row>
    <row r="16076" spans="1:16">
      <c r="A16076" s="3">
        <v>44441.812916666662</v>
      </c>
      <c r="B16076" s="4" t="str">
        <f>HYPERLINK("https://twitter.com/petrogustavo","@petrogustavo")</f>
        <v>@petrogustavo</v>
      </c>
      <c r="C16076" s="5" t="s">
        <v>16</v>
      </c>
      <c r="D16076" s="5" t="s">
        <v>15473</v>
      </c>
      <c r="E16076" s="6" t="str">
        <f>HYPERLINK("https://twitter.com/petrogustavo/status/1433429654052880395","1433429654052880395")</f>
        <v>1433429654052880395</v>
      </c>
      <c r="F16076" s="7" t="s">
        <v>17</v>
      </c>
      <c r="G16076" s="7">
        <v>4354936</v>
      </c>
      <c r="H16076" s="7">
        <v>2535</v>
      </c>
      <c r="I16076" s="7">
        <v>426</v>
      </c>
      <c r="J16076" s="7">
        <v>0</v>
      </c>
      <c r="K16076" s="7" t="s">
        <v>18</v>
      </c>
      <c r="L16076" s="8">
        <v>39987.315405092595</v>
      </c>
      <c r="M16076" s="9" t="s">
        <v>19</v>
      </c>
      <c r="N16076" s="9" t="s">
        <v>20</v>
      </c>
      <c r="O16076" s="6" t="str">
        <f>HYPERLINK("https://pbs.twimg.com/profile_images/962471262747529216/Uo8lOkRJ_normal.jpg","View")</f>
        <v>View</v>
      </c>
      <c r="P16076" s="7"/>
    </row>
    <row r="16077" spans="1:16">
      <c r="A16077" s="3">
        <v>44441.81313657407</v>
      </c>
      <c r="B16077" s="4" t="str">
        <f>HYPERLINK("https://twitter.com/petrogustavo","@petrogustavo")</f>
        <v>@petrogustavo</v>
      </c>
      <c r="C16077" s="5" t="s">
        <v>16</v>
      </c>
      <c r="D16077" s="5" t="s">
        <v>15474</v>
      </c>
      <c r="E16077" s="6" t="str">
        <f>HYPERLINK("https://twitter.com/petrogustavo/status/1433429735233576975","1433429735233576975")</f>
        <v>1433429735233576975</v>
      </c>
      <c r="F16077" s="7" t="s">
        <v>17</v>
      </c>
      <c r="G16077" s="7">
        <v>4354936</v>
      </c>
      <c r="H16077" s="7">
        <v>2535</v>
      </c>
      <c r="I16077" s="7">
        <v>163</v>
      </c>
      <c r="J16077" s="7">
        <v>0</v>
      </c>
      <c r="K16077" s="7" t="s">
        <v>18</v>
      </c>
      <c r="L16077" s="8">
        <v>39987.315405092595</v>
      </c>
      <c r="M16077" s="9" t="s">
        <v>19</v>
      </c>
      <c r="N16077" s="9" t="s">
        <v>20</v>
      </c>
      <c r="O16077" s="6" t="str">
        <f>HYPERLINK("https://pbs.twimg.com/profile_images/962471262747529216/Uo8lOkRJ_normal.jpg","View")</f>
        <v>View</v>
      </c>
      <c r="P16077" s="7"/>
    </row>
    <row r="16078" spans="1:16">
      <c r="A16078" s="3">
        <v>44441.81322916667</v>
      </c>
      <c r="B16078" s="4" t="str">
        <f>HYPERLINK("https://twitter.com/petrogustavo","@petrogustavo")</f>
        <v>@petrogustavo</v>
      </c>
      <c r="C16078" s="5" t="s">
        <v>16</v>
      </c>
      <c r="D16078" s="5" t="s">
        <v>15475</v>
      </c>
      <c r="E16078" s="6" t="str">
        <f>HYPERLINK("https://twitter.com/petrogustavo/status/1433429768955858947","1433429768955858947")</f>
        <v>1433429768955858947</v>
      </c>
      <c r="F16078" s="7" t="s">
        <v>17</v>
      </c>
      <c r="G16078" s="7">
        <v>4354936</v>
      </c>
      <c r="H16078" s="7">
        <v>2535</v>
      </c>
      <c r="I16078" s="7">
        <v>584</v>
      </c>
      <c r="J16078" s="7">
        <v>0</v>
      </c>
      <c r="K16078" s="7" t="s">
        <v>18</v>
      </c>
      <c r="L16078" s="8">
        <v>39987.315405092595</v>
      </c>
      <c r="M16078" s="9" t="s">
        <v>19</v>
      </c>
      <c r="N16078" s="9" t="s">
        <v>20</v>
      </c>
      <c r="O16078" s="6" t="str">
        <f>HYPERLINK("https://pbs.twimg.com/profile_images/962471262747529216/Uo8lOkRJ_normal.jpg","View")</f>
        <v>View</v>
      </c>
      <c r="P16078" s="7"/>
    </row>
    <row r="16079" spans="1:16">
      <c r="A16079" s="3">
        <v>44441.968842592592</v>
      </c>
      <c r="B16079" s="4" t="str">
        <f>HYPERLINK("https://twitter.com/petrogustavo","@petrogustavo")</f>
        <v>@petrogustavo</v>
      </c>
      <c r="C16079" s="5" t="s">
        <v>16</v>
      </c>
      <c r="D16079" s="5" t="s">
        <v>15476</v>
      </c>
      <c r="E16079" s="6" t="str">
        <f>HYPERLINK("https://twitter.com/petrogustavo/status/1433486161960374281","1433486161960374281")</f>
        <v>1433486161960374281</v>
      </c>
      <c r="F16079" s="7" t="s">
        <v>17</v>
      </c>
      <c r="G16079" s="7">
        <v>4355806</v>
      </c>
      <c r="H16079" s="7">
        <v>2534</v>
      </c>
      <c r="I16079" s="7">
        <v>368</v>
      </c>
      <c r="J16079" s="7">
        <v>741</v>
      </c>
      <c r="K16079" s="7" t="s">
        <v>18</v>
      </c>
      <c r="L16079" s="8">
        <v>39987.315405092595</v>
      </c>
      <c r="M16079" s="9" t="s">
        <v>19</v>
      </c>
      <c r="N16079" s="9" t="s">
        <v>20</v>
      </c>
      <c r="O16079" s="6" t="str">
        <f>HYPERLINK("https://pbs.twimg.com/profile_images/962471262747529216/Uo8lOkRJ_normal.jpg","View")</f>
        <v>View</v>
      </c>
      <c r="P16079" s="7"/>
    </row>
    <row r="16080" spans="1:16">
      <c r="A16080" s="3">
        <v>44442.005555555559</v>
      </c>
      <c r="B16080" s="4" t="str">
        <f>HYPERLINK("https://twitter.com/petrogustavo","@petrogustavo")</f>
        <v>@petrogustavo</v>
      </c>
      <c r="C16080" s="5" t="s">
        <v>16</v>
      </c>
      <c r="D16080" s="5" t="s">
        <v>15477</v>
      </c>
      <c r="E16080" s="6" t="str">
        <f>HYPERLINK("https://twitter.com/petrogustavo/status/1433499465193771016","1433499465193771016")</f>
        <v>1433499465193771016</v>
      </c>
      <c r="F16080" s="7" t="s">
        <v>17</v>
      </c>
      <c r="G16080" s="7">
        <v>4355847</v>
      </c>
      <c r="H16080" s="7">
        <v>2534</v>
      </c>
      <c r="I16080" s="7">
        <v>60</v>
      </c>
      <c r="J16080" s="7">
        <v>0</v>
      </c>
      <c r="K16080" s="7" t="s">
        <v>18</v>
      </c>
      <c r="L16080" s="8">
        <v>39987.315405092595</v>
      </c>
      <c r="M16080" s="9" t="s">
        <v>19</v>
      </c>
      <c r="N16080" s="9" t="s">
        <v>20</v>
      </c>
      <c r="O16080" s="6" t="str">
        <f>HYPERLINK("https://pbs.twimg.com/profile_images/962471262747529216/Uo8lOkRJ_normal.jpg","View")</f>
        <v>View</v>
      </c>
      <c r="P16080" s="7"/>
    </row>
    <row r="16081" spans="1:16">
      <c r="A16081" s="3">
        <v>44442.008344907408</v>
      </c>
      <c r="B16081" s="4" t="str">
        <f>HYPERLINK("https://twitter.com/petrogustavo","@petrogustavo")</f>
        <v>@petrogustavo</v>
      </c>
      <c r="C16081" s="5" t="s">
        <v>16</v>
      </c>
      <c r="D16081" s="5" t="s">
        <v>15478</v>
      </c>
      <c r="E16081" s="6" t="str">
        <f>HYPERLINK("https://twitter.com/petrogustavo/status/1433500477992341511","1433500477992341511")</f>
        <v>1433500477992341511</v>
      </c>
      <c r="F16081" s="7" t="s">
        <v>17</v>
      </c>
      <c r="G16081" s="7">
        <v>4355847</v>
      </c>
      <c r="H16081" s="7">
        <v>2534</v>
      </c>
      <c r="I16081" s="7">
        <v>56</v>
      </c>
      <c r="J16081" s="7">
        <v>0</v>
      </c>
      <c r="K16081" s="7" t="s">
        <v>18</v>
      </c>
      <c r="L16081" s="8">
        <v>39987.315405092595</v>
      </c>
      <c r="M16081" s="9" t="s">
        <v>19</v>
      </c>
      <c r="N16081" s="9" t="s">
        <v>20</v>
      </c>
      <c r="O16081" s="6" t="str">
        <f>HYPERLINK("https://pbs.twimg.com/profile_images/962471262747529216/Uo8lOkRJ_normal.jpg","View")</f>
        <v>View</v>
      </c>
      <c r="P16081" s="7"/>
    </row>
    <row r="16082" spans="1:16">
      <c r="A16082" s="3">
        <v>44442.010868055557</v>
      </c>
      <c r="B16082" s="4" t="str">
        <f>HYPERLINK("https://twitter.com/petrogustavo","@petrogustavo")</f>
        <v>@petrogustavo</v>
      </c>
      <c r="C16082" s="5" t="s">
        <v>16</v>
      </c>
      <c r="D16082" s="5" t="s">
        <v>15479</v>
      </c>
      <c r="E16082" s="6" t="str">
        <f>HYPERLINK("https://twitter.com/petrogustavo/status/1433501390534553605","1433501390534553605")</f>
        <v>1433501390534553605</v>
      </c>
      <c r="F16082" s="7" t="s">
        <v>17</v>
      </c>
      <c r="G16082" s="7">
        <v>4355847</v>
      </c>
      <c r="H16082" s="7">
        <v>2534</v>
      </c>
      <c r="I16082" s="7">
        <v>139</v>
      </c>
      <c r="J16082" s="7">
        <v>516</v>
      </c>
      <c r="K16082" s="7" t="s">
        <v>18</v>
      </c>
      <c r="L16082" s="8">
        <v>39987.315405092595</v>
      </c>
      <c r="M16082" s="9" t="s">
        <v>19</v>
      </c>
      <c r="N16082" s="9" t="s">
        <v>20</v>
      </c>
      <c r="O16082" s="6" t="str">
        <f>HYPERLINK("https://pbs.twimg.com/profile_images/962471262747529216/Uo8lOkRJ_normal.jpg","View")</f>
        <v>View</v>
      </c>
      <c r="P16082" s="7"/>
    </row>
    <row r="16083" spans="1:16">
      <c r="A16083" s="3">
        <v>44442.01599537037</v>
      </c>
      <c r="B16083" s="4" t="str">
        <f>HYPERLINK("https://twitter.com/petrogustavo","@petrogustavo")</f>
        <v>@petrogustavo</v>
      </c>
      <c r="C16083" s="5" t="s">
        <v>16</v>
      </c>
      <c r="D16083" s="5" t="s">
        <v>15480</v>
      </c>
      <c r="E16083" s="6" t="str">
        <f>HYPERLINK("https://twitter.com/petrogustavo/status/1433503249068343297","1433503249068343297")</f>
        <v>1433503249068343297</v>
      </c>
      <c r="F16083" s="7" t="s">
        <v>17</v>
      </c>
      <c r="G16083" s="7">
        <v>4355847</v>
      </c>
      <c r="H16083" s="7">
        <v>2534</v>
      </c>
      <c r="I16083" s="7">
        <v>88</v>
      </c>
      <c r="J16083" s="7">
        <v>187</v>
      </c>
      <c r="K16083" s="7" t="s">
        <v>18</v>
      </c>
      <c r="L16083" s="8">
        <v>39987.315405092595</v>
      </c>
      <c r="M16083" s="9" t="s">
        <v>19</v>
      </c>
      <c r="N16083" s="9" t="s">
        <v>20</v>
      </c>
      <c r="O16083" s="6" t="str">
        <f>HYPERLINK("https://pbs.twimg.com/profile_images/962471262747529216/Uo8lOkRJ_normal.jpg","View")</f>
        <v>View</v>
      </c>
      <c r="P16083" s="7"/>
    </row>
    <row r="16084" spans="1:16">
      <c r="A16084" s="3">
        <v>44442.016909722224</v>
      </c>
      <c r="B16084" s="4" t="str">
        <f>HYPERLINK("https://twitter.com/petrogustavo","@petrogustavo")</f>
        <v>@petrogustavo</v>
      </c>
      <c r="C16084" s="5" t="s">
        <v>16</v>
      </c>
      <c r="D16084" s="5" t="s">
        <v>15481</v>
      </c>
      <c r="E16084" s="6" t="str">
        <f>HYPERLINK("https://twitter.com/petrogustavo/status/1433503580531695625","1433503580531695625")</f>
        <v>1433503580531695625</v>
      </c>
      <c r="F16084" s="7" t="s">
        <v>17</v>
      </c>
      <c r="G16084" s="7">
        <v>4355847</v>
      </c>
      <c r="H16084" s="7">
        <v>2534</v>
      </c>
      <c r="I16084" s="7">
        <v>13</v>
      </c>
      <c r="J16084" s="7">
        <v>0</v>
      </c>
      <c r="K16084" s="7" t="s">
        <v>18</v>
      </c>
      <c r="L16084" s="8">
        <v>39987.315405092595</v>
      </c>
      <c r="M16084" s="9" t="s">
        <v>19</v>
      </c>
      <c r="N16084" s="9" t="s">
        <v>20</v>
      </c>
      <c r="O16084" s="6" t="str">
        <f>HYPERLINK("https://pbs.twimg.com/profile_images/962471262747529216/Uo8lOkRJ_normal.jpg","View")</f>
        <v>View</v>
      </c>
      <c r="P16084" s="7"/>
    </row>
    <row r="16085" spans="1:16">
      <c r="A16085" s="3">
        <v>44442.018796296295</v>
      </c>
      <c r="B16085" s="4" t="str">
        <f>HYPERLINK("https://twitter.com/petrogustavo","@petrogustavo")</f>
        <v>@petrogustavo</v>
      </c>
      <c r="C16085" s="5" t="s">
        <v>16</v>
      </c>
      <c r="D16085" s="5" t="s">
        <v>15482</v>
      </c>
      <c r="E16085" s="6" t="str">
        <f>HYPERLINK("https://twitter.com/petrogustavo/status/1433504263393710088","1433504263393710088")</f>
        <v>1433504263393710088</v>
      </c>
      <c r="F16085" s="7" t="s">
        <v>17</v>
      </c>
      <c r="G16085" s="7">
        <v>4355847</v>
      </c>
      <c r="H16085" s="7">
        <v>2534</v>
      </c>
      <c r="I16085" s="7">
        <v>139</v>
      </c>
      <c r="J16085" s="7">
        <v>0</v>
      </c>
      <c r="K16085" s="7" t="s">
        <v>18</v>
      </c>
      <c r="L16085" s="8">
        <v>39987.315405092595</v>
      </c>
      <c r="M16085" s="9" t="s">
        <v>19</v>
      </c>
      <c r="N16085" s="9" t="s">
        <v>20</v>
      </c>
      <c r="O16085" s="6" t="str">
        <f>HYPERLINK("https://pbs.twimg.com/profile_images/962471262747529216/Uo8lOkRJ_normal.jpg","View")</f>
        <v>View</v>
      </c>
      <c r="P16085" s="7"/>
    </row>
    <row r="16086" spans="1:16">
      <c r="A16086" s="3">
        <v>44442.046527777777</v>
      </c>
      <c r="B16086" s="4" t="str">
        <f>HYPERLINK("https://twitter.com/petrogustavo","@petrogustavo")</f>
        <v>@petrogustavo</v>
      </c>
      <c r="C16086" s="5" t="s">
        <v>16</v>
      </c>
      <c r="D16086" s="5" t="s">
        <v>15483</v>
      </c>
      <c r="E16086" s="6" t="str">
        <f>HYPERLINK("https://twitter.com/petrogustavo/status/1433514314409910272","1433514314409910272")</f>
        <v>1433514314409910272</v>
      </c>
      <c r="F16086" s="7" t="s">
        <v>17</v>
      </c>
      <c r="G16086" s="7">
        <v>4355874</v>
      </c>
      <c r="H16086" s="7">
        <v>2534</v>
      </c>
      <c r="I16086" s="7">
        <v>34</v>
      </c>
      <c r="J16086" s="7">
        <v>0</v>
      </c>
      <c r="K16086" s="7" t="s">
        <v>18</v>
      </c>
      <c r="L16086" s="8">
        <v>39987.315405092595</v>
      </c>
      <c r="M16086" s="9" t="s">
        <v>19</v>
      </c>
      <c r="N16086" s="9" t="s">
        <v>20</v>
      </c>
      <c r="O16086" s="6" t="str">
        <f>HYPERLINK("https://pbs.twimg.com/profile_images/962471262747529216/Uo8lOkRJ_normal.jpg","View")</f>
        <v>View</v>
      </c>
      <c r="P16086" s="7"/>
    </row>
    <row r="16087" spans="1:16">
      <c r="A16087" s="3">
        <v>44442.059652777782</v>
      </c>
      <c r="B16087" s="4" t="str">
        <f>HYPERLINK("https://twitter.com/petrogustavo","@petrogustavo")</f>
        <v>@petrogustavo</v>
      </c>
      <c r="C16087" s="5" t="s">
        <v>16</v>
      </c>
      <c r="D16087" s="5" t="s">
        <v>15484</v>
      </c>
      <c r="E16087" s="6" t="str">
        <f>HYPERLINK("https://twitter.com/petrogustavo/status/1433519070507372545","1433519070507372545")</f>
        <v>1433519070507372545</v>
      </c>
      <c r="F16087" s="7" t="s">
        <v>17</v>
      </c>
      <c r="G16087" s="7">
        <v>4355874</v>
      </c>
      <c r="H16087" s="7">
        <v>2534</v>
      </c>
      <c r="I16087" s="7">
        <v>46</v>
      </c>
      <c r="J16087" s="7">
        <v>180</v>
      </c>
      <c r="K16087" s="7" t="s">
        <v>18</v>
      </c>
      <c r="L16087" s="8">
        <v>39987.315405092595</v>
      </c>
      <c r="M16087" s="9" t="s">
        <v>19</v>
      </c>
      <c r="N16087" s="9" t="s">
        <v>20</v>
      </c>
      <c r="O16087" s="6" t="str">
        <f>HYPERLINK("https://pbs.twimg.com/profile_images/962471262747529216/Uo8lOkRJ_normal.jpg","View")</f>
        <v>View</v>
      </c>
      <c r="P16087" s="7"/>
    </row>
    <row r="16088" spans="1:16">
      <c r="A16088" s="3">
        <v>44442.26730324074</v>
      </c>
      <c r="B16088" s="4" t="str">
        <f>HYPERLINK("https://twitter.com/petrogustavo","@petrogustavo")</f>
        <v>@petrogustavo</v>
      </c>
      <c r="C16088" s="5" t="s">
        <v>16</v>
      </c>
      <c r="D16088" s="5" t="s">
        <v>15485</v>
      </c>
      <c r="E16088" s="6" t="str">
        <f>HYPERLINK("https://twitter.com/petrogustavo/status/1433594321341714437","1433594321341714437")</f>
        <v>1433594321341714437</v>
      </c>
      <c r="F16088" s="7" t="s">
        <v>17</v>
      </c>
      <c r="G16088" s="7">
        <v>4355985</v>
      </c>
      <c r="H16088" s="7">
        <v>2534</v>
      </c>
      <c r="I16088" s="7">
        <v>68</v>
      </c>
      <c r="J16088" s="7">
        <v>164</v>
      </c>
      <c r="K16088" s="7" t="s">
        <v>18</v>
      </c>
      <c r="L16088" s="8">
        <v>39987.315405092595</v>
      </c>
      <c r="M16088" s="9" t="s">
        <v>19</v>
      </c>
      <c r="N16088" s="9" t="s">
        <v>20</v>
      </c>
      <c r="O16088" s="6" t="str">
        <f>HYPERLINK("https://pbs.twimg.com/profile_images/962471262747529216/Uo8lOkRJ_normal.jpg","View")</f>
        <v>View</v>
      </c>
      <c r="P16088" s="7"/>
    </row>
    <row r="16089" spans="1:16">
      <c r="A16089" s="3">
        <v>44442.272361111114</v>
      </c>
      <c r="B16089" s="4" t="str">
        <f>HYPERLINK("https://twitter.com/petrogustavo","@petrogustavo")</f>
        <v>@petrogustavo</v>
      </c>
      <c r="C16089" s="5" t="s">
        <v>16</v>
      </c>
      <c r="D16089" s="5" t="s">
        <v>15486</v>
      </c>
      <c r="E16089" s="6" t="str">
        <f>HYPERLINK("https://twitter.com/petrogustavo/status/1433596154902683657","1433596154902683657")</f>
        <v>1433596154902683657</v>
      </c>
      <c r="F16089" s="7" t="s">
        <v>17</v>
      </c>
      <c r="G16089" s="7">
        <v>4355985</v>
      </c>
      <c r="H16089" s="7">
        <v>2534</v>
      </c>
      <c r="I16089" s="7">
        <v>10</v>
      </c>
      <c r="J16089" s="7">
        <v>33</v>
      </c>
      <c r="K16089" s="7" t="s">
        <v>18</v>
      </c>
      <c r="L16089" s="8">
        <v>39987.315405092595</v>
      </c>
      <c r="M16089" s="9" t="s">
        <v>19</v>
      </c>
      <c r="N16089" s="9" t="s">
        <v>20</v>
      </c>
      <c r="O16089" s="6" t="str">
        <f>HYPERLINK("https://pbs.twimg.com/profile_images/962471262747529216/Uo8lOkRJ_normal.jpg","View")</f>
        <v>View</v>
      </c>
      <c r="P16089" s="7"/>
    </row>
    <row r="16090" spans="1:16">
      <c r="A16090" s="3">
        <v>44442.76284722222</v>
      </c>
      <c r="B16090" s="4" t="str">
        <f>HYPERLINK("https://twitter.com/petrogustavo","@petrogustavo")</f>
        <v>@petrogustavo</v>
      </c>
      <c r="C16090" s="5" t="s">
        <v>16</v>
      </c>
      <c r="D16090" s="5" t="s">
        <v>15487</v>
      </c>
      <c r="E16090" s="6" t="str">
        <f>HYPERLINK("https://twitter.com/petrogustavo/status/1433773901163737092","1433773901163737092")</f>
        <v>1433773901163737092</v>
      </c>
      <c r="F16090" s="7" t="s">
        <v>17</v>
      </c>
      <c r="G16090" s="7">
        <v>4356122</v>
      </c>
      <c r="H16090" s="7">
        <v>2535</v>
      </c>
      <c r="I16090" s="7">
        <v>1682</v>
      </c>
      <c r="J16090" s="7">
        <v>0</v>
      </c>
      <c r="K16090" s="7" t="s">
        <v>18</v>
      </c>
      <c r="L16090" s="8">
        <v>39987.315405092595</v>
      </c>
      <c r="M16090" s="9" t="s">
        <v>19</v>
      </c>
      <c r="N16090" s="9" t="s">
        <v>20</v>
      </c>
      <c r="O16090" s="6" t="str">
        <f>HYPERLINK("https://pbs.twimg.com/profile_images/962471262747529216/Uo8lOkRJ_normal.jpg","View")</f>
        <v>View</v>
      </c>
      <c r="P16090" s="7"/>
    </row>
    <row r="16091" spans="1:16">
      <c r="A16091" s="3">
        <v>44442.764722222222</v>
      </c>
      <c r="B16091" s="4" t="str">
        <f>HYPERLINK("https://twitter.com/petrogustavo","@petrogustavo")</f>
        <v>@petrogustavo</v>
      </c>
      <c r="C16091" s="5" t="s">
        <v>16</v>
      </c>
      <c r="D16091" s="5" t="s">
        <v>15488</v>
      </c>
      <c r="E16091" s="6" t="str">
        <f>HYPERLINK("https://twitter.com/petrogustavo/status/1433774576832499722","1433774576832499722")</f>
        <v>1433774576832499722</v>
      </c>
      <c r="F16091" s="7" t="s">
        <v>17</v>
      </c>
      <c r="G16091" s="7">
        <v>4356122</v>
      </c>
      <c r="H16091" s="7">
        <v>2535</v>
      </c>
      <c r="I16091" s="7">
        <v>69</v>
      </c>
      <c r="J16091" s="7">
        <v>256</v>
      </c>
      <c r="K16091" s="7" t="s">
        <v>18</v>
      </c>
      <c r="L16091" s="8">
        <v>39987.315405092595</v>
      </c>
      <c r="M16091" s="9" t="s">
        <v>19</v>
      </c>
      <c r="N16091" s="9" t="s">
        <v>20</v>
      </c>
      <c r="O16091" s="6" t="str">
        <f>HYPERLINK("https://pbs.twimg.com/profile_images/962471262747529216/Uo8lOkRJ_normal.jpg","View")</f>
        <v>View</v>
      </c>
      <c r="P16091" s="7"/>
    </row>
    <row r="16092" spans="1:16">
      <c r="A16092" s="3">
        <v>44442.76662037037</v>
      </c>
      <c r="B16092" s="4" t="str">
        <f>HYPERLINK("https://twitter.com/petrogustavo","@petrogustavo")</f>
        <v>@petrogustavo</v>
      </c>
      <c r="C16092" s="5" t="s">
        <v>16</v>
      </c>
      <c r="D16092" s="5" t="s">
        <v>15489</v>
      </c>
      <c r="E16092" s="6" t="str">
        <f>HYPERLINK("https://twitter.com/petrogustavo/status/1433775267496009731","1433775267496009731")</f>
        <v>1433775267496009731</v>
      </c>
      <c r="F16092" s="7" t="s">
        <v>17</v>
      </c>
      <c r="G16092" s="7">
        <v>4356122</v>
      </c>
      <c r="H16092" s="7">
        <v>2535</v>
      </c>
      <c r="I16092" s="7">
        <v>26</v>
      </c>
      <c r="J16092" s="7">
        <v>103</v>
      </c>
      <c r="K16092" s="7" t="s">
        <v>18</v>
      </c>
      <c r="L16092" s="8">
        <v>39987.315405092595</v>
      </c>
      <c r="M16092" s="9" t="s">
        <v>19</v>
      </c>
      <c r="N16092" s="9" t="s">
        <v>20</v>
      </c>
      <c r="O16092" s="6" t="str">
        <f>HYPERLINK("https://pbs.twimg.com/profile_images/962471262747529216/Uo8lOkRJ_normal.jpg","View")</f>
        <v>View</v>
      </c>
      <c r="P16092" s="7"/>
    </row>
    <row r="16093" spans="1:16">
      <c r="A16093" s="3">
        <v>44442.786354166667</v>
      </c>
      <c r="B16093" s="4" t="str">
        <f>HYPERLINK("https://twitter.com/petrogustavo","@petrogustavo")</f>
        <v>@petrogustavo</v>
      </c>
      <c r="C16093" s="5" t="s">
        <v>16</v>
      </c>
      <c r="D16093" s="5" t="s">
        <v>15490</v>
      </c>
      <c r="E16093" s="6" t="str">
        <f>HYPERLINK("https://twitter.com/petrogustavo/status/1433782419451219971","1433782419451219971")</f>
        <v>1433782419451219971</v>
      </c>
      <c r="F16093" s="7" t="s">
        <v>17</v>
      </c>
      <c r="G16093" s="7">
        <v>4356134</v>
      </c>
      <c r="H16093" s="7">
        <v>2535</v>
      </c>
      <c r="I16093" s="7">
        <v>166</v>
      </c>
      <c r="J16093" s="7">
        <v>0</v>
      </c>
      <c r="K16093" s="7" t="s">
        <v>18</v>
      </c>
      <c r="L16093" s="8">
        <v>39987.315405092595</v>
      </c>
      <c r="M16093" s="9" t="s">
        <v>19</v>
      </c>
      <c r="N16093" s="9" t="s">
        <v>20</v>
      </c>
      <c r="O16093" s="6" t="str">
        <f>HYPERLINK("https://pbs.twimg.com/profile_images/962471262747529216/Uo8lOkRJ_normal.jpg","View")</f>
        <v>View</v>
      </c>
      <c r="P16093" s="7"/>
    </row>
    <row r="16094" spans="1:16">
      <c r="A16094" s="3">
        <v>44442.795185185183</v>
      </c>
      <c r="B16094" s="4" t="str">
        <f>HYPERLINK("https://twitter.com/petrogustavo","@petrogustavo")</f>
        <v>@petrogustavo</v>
      </c>
      <c r="C16094" s="5" t="s">
        <v>16</v>
      </c>
      <c r="D16094" s="5" t="s">
        <v>15491</v>
      </c>
      <c r="E16094" s="6" t="str">
        <f>HYPERLINK("https://twitter.com/petrogustavo/status/1433785616957902853","1433785616957902853")</f>
        <v>1433785616957902853</v>
      </c>
      <c r="F16094" s="7" t="s">
        <v>17</v>
      </c>
      <c r="G16094" s="7">
        <v>4356147</v>
      </c>
      <c r="H16094" s="7">
        <v>2535</v>
      </c>
      <c r="I16094" s="7">
        <v>111</v>
      </c>
      <c r="J16094" s="7">
        <v>299</v>
      </c>
      <c r="K16094" s="7" t="s">
        <v>18</v>
      </c>
      <c r="L16094" s="8">
        <v>39987.315405092595</v>
      </c>
      <c r="M16094" s="9" t="s">
        <v>19</v>
      </c>
      <c r="N16094" s="9" t="s">
        <v>20</v>
      </c>
      <c r="O16094" s="6" t="str">
        <f>HYPERLINK("https://pbs.twimg.com/profile_images/962471262747529216/Uo8lOkRJ_normal.jpg","View")</f>
        <v>View</v>
      </c>
      <c r="P16094" s="7"/>
    </row>
    <row r="16095" spans="1:16">
      <c r="A16095" s="3">
        <v>44442.797025462962</v>
      </c>
      <c r="B16095" s="4" t="str">
        <f>HYPERLINK("https://twitter.com/petrogustavo","@petrogustavo")</f>
        <v>@petrogustavo</v>
      </c>
      <c r="C16095" s="5" t="s">
        <v>16</v>
      </c>
      <c r="D16095" s="5" t="s">
        <v>15492</v>
      </c>
      <c r="E16095" s="6" t="str">
        <f>HYPERLINK("https://twitter.com/petrogustavo/status/1433786285085372421","1433786285085372421")</f>
        <v>1433786285085372421</v>
      </c>
      <c r="F16095" s="7" t="s">
        <v>17</v>
      </c>
      <c r="G16095" s="7">
        <v>4356147</v>
      </c>
      <c r="H16095" s="7">
        <v>2535</v>
      </c>
      <c r="I16095" s="7">
        <v>444</v>
      </c>
      <c r="J16095" s="7">
        <v>0</v>
      </c>
      <c r="K16095" s="7" t="s">
        <v>18</v>
      </c>
      <c r="L16095" s="8">
        <v>39987.315405092595</v>
      </c>
      <c r="M16095" s="9" t="s">
        <v>19</v>
      </c>
      <c r="N16095" s="9" t="s">
        <v>20</v>
      </c>
      <c r="O16095" s="6" t="str">
        <f>HYPERLINK("https://pbs.twimg.com/profile_images/962471262747529216/Uo8lOkRJ_normal.jpg","View")</f>
        <v>View</v>
      </c>
      <c r="P16095" s="7"/>
    </row>
    <row r="16096" spans="1:16">
      <c r="A16096" s="3">
        <v>44442.806180555555</v>
      </c>
      <c r="B16096" s="4" t="str">
        <f>HYPERLINK("https://twitter.com/petrogustavo","@petrogustavo")</f>
        <v>@petrogustavo</v>
      </c>
      <c r="C16096" s="5" t="s">
        <v>16</v>
      </c>
      <c r="D16096" s="5" t="s">
        <v>15493</v>
      </c>
      <c r="E16096" s="6" t="str">
        <f>HYPERLINK("https://twitter.com/petrogustavo/status/1433789600967938057","1433789600967938057")</f>
        <v>1433789600967938057</v>
      </c>
      <c r="F16096" s="7" t="s">
        <v>17</v>
      </c>
      <c r="G16096" s="7">
        <v>4356147</v>
      </c>
      <c r="H16096" s="7">
        <v>2535</v>
      </c>
      <c r="I16096" s="7">
        <v>675</v>
      </c>
      <c r="J16096" s="7">
        <v>0</v>
      </c>
      <c r="K16096" s="7" t="s">
        <v>18</v>
      </c>
      <c r="L16096" s="8">
        <v>39987.315405092595</v>
      </c>
      <c r="M16096" s="9" t="s">
        <v>19</v>
      </c>
      <c r="N16096" s="9" t="s">
        <v>20</v>
      </c>
      <c r="O16096" s="6" t="str">
        <f>HYPERLINK("https://pbs.twimg.com/profile_images/962471262747529216/Uo8lOkRJ_normal.jpg","View")</f>
        <v>View</v>
      </c>
      <c r="P16096" s="7"/>
    </row>
    <row r="16097" spans="1:16">
      <c r="A16097" s="3">
        <v>44442.963009259256</v>
      </c>
      <c r="B16097" s="4" t="str">
        <f>HYPERLINK("https://twitter.com/petrogustavo","@petrogustavo")</f>
        <v>@petrogustavo</v>
      </c>
      <c r="C16097" s="5" t="s">
        <v>16</v>
      </c>
      <c r="D16097" s="5" t="s">
        <v>15494</v>
      </c>
      <c r="E16097" s="6" t="str">
        <f>HYPERLINK("https://twitter.com/petrogustavo/status/1433846434206523406","1433846434206523406")</f>
        <v>1433846434206523406</v>
      </c>
      <c r="F16097" s="7" t="s">
        <v>32</v>
      </c>
      <c r="G16097" s="7">
        <v>4356242</v>
      </c>
      <c r="H16097" s="7">
        <v>2536</v>
      </c>
      <c r="I16097" s="7">
        <v>1460</v>
      </c>
      <c r="J16097" s="7">
        <v>0</v>
      </c>
      <c r="K16097" s="7" t="s">
        <v>18</v>
      </c>
      <c r="L16097" s="8">
        <v>39987.315405092595</v>
      </c>
      <c r="M16097" s="9" t="s">
        <v>19</v>
      </c>
      <c r="N16097" s="9" t="s">
        <v>20</v>
      </c>
      <c r="O16097" s="6" t="str">
        <f>HYPERLINK("https://pbs.twimg.com/profile_images/962471262747529216/Uo8lOkRJ_normal.jpg","View")</f>
        <v>View</v>
      </c>
      <c r="P16097" s="7"/>
    </row>
    <row r="16098" spans="1:16">
      <c r="A16098" s="3">
        <v>44442.965590277774</v>
      </c>
      <c r="B16098" s="4" t="str">
        <f>HYPERLINK("https://twitter.com/petrogustavo","@petrogustavo")</f>
        <v>@petrogustavo</v>
      </c>
      <c r="C16098" s="5" t="s">
        <v>16</v>
      </c>
      <c r="D16098" s="5" t="s">
        <v>15495</v>
      </c>
      <c r="E16098" s="6" t="str">
        <f>HYPERLINK("https://twitter.com/petrogustavo/status/1433847372984066053","1433847372984066053")</f>
        <v>1433847372984066053</v>
      </c>
      <c r="F16098" s="7" t="s">
        <v>32</v>
      </c>
      <c r="G16098" s="7">
        <v>4356242</v>
      </c>
      <c r="H16098" s="7">
        <v>2536</v>
      </c>
      <c r="I16098" s="7">
        <v>439</v>
      </c>
      <c r="J16098" s="7">
        <v>0</v>
      </c>
      <c r="K16098" s="7" t="s">
        <v>18</v>
      </c>
      <c r="L16098" s="8">
        <v>39987.315405092595</v>
      </c>
      <c r="M16098" s="9" t="s">
        <v>19</v>
      </c>
      <c r="N16098" s="9" t="s">
        <v>20</v>
      </c>
      <c r="O16098" s="6" t="str">
        <f>HYPERLINK("https://pbs.twimg.com/profile_images/962471262747529216/Uo8lOkRJ_normal.jpg","View")</f>
        <v>View</v>
      </c>
      <c r="P16098" s="7"/>
    </row>
    <row r="16099" spans="1:16">
      <c r="A16099" s="3">
        <v>44442.973680555559</v>
      </c>
      <c r="B16099" s="4" t="str">
        <f>HYPERLINK("https://twitter.com/petrogustavo","@petrogustavo")</f>
        <v>@petrogustavo</v>
      </c>
      <c r="C16099" s="5" t="s">
        <v>16</v>
      </c>
      <c r="D16099" s="5" t="s">
        <v>15496</v>
      </c>
      <c r="E16099" s="6" t="str">
        <f>HYPERLINK("https://twitter.com/petrogustavo/status/1433850301208047621","1433850301208047621")</f>
        <v>1433850301208047621</v>
      </c>
      <c r="F16099" s="7" t="s">
        <v>32</v>
      </c>
      <c r="G16099" s="7">
        <v>4356242</v>
      </c>
      <c r="H16099" s="7">
        <v>2536</v>
      </c>
      <c r="I16099" s="7">
        <v>154</v>
      </c>
      <c r="J16099" s="7">
        <v>327</v>
      </c>
      <c r="K16099" s="7" t="s">
        <v>18</v>
      </c>
      <c r="L16099" s="8">
        <v>39987.315405092595</v>
      </c>
      <c r="M16099" s="9" t="s">
        <v>19</v>
      </c>
      <c r="N16099" s="9" t="s">
        <v>20</v>
      </c>
      <c r="O16099" s="6" t="str">
        <f>HYPERLINK("https://pbs.twimg.com/profile_images/962471262747529216/Uo8lOkRJ_normal.jpg","View")</f>
        <v>View</v>
      </c>
      <c r="P16099" s="7"/>
    </row>
    <row r="16100" spans="1:16">
      <c r="A16100" s="3">
        <v>44442.977025462962</v>
      </c>
      <c r="B16100" s="4" t="str">
        <f>HYPERLINK("https://twitter.com/petrogustavo","@petrogustavo")</f>
        <v>@petrogustavo</v>
      </c>
      <c r="C16100" s="5" t="s">
        <v>16</v>
      </c>
      <c r="D16100" s="5" t="s">
        <v>15497</v>
      </c>
      <c r="E16100" s="6" t="str">
        <f>HYPERLINK("https://twitter.com/petrogustavo/status/1433851515085729795","1433851515085729795")</f>
        <v>1433851515085729795</v>
      </c>
      <c r="F16100" s="7" t="s">
        <v>17</v>
      </c>
      <c r="G16100" s="7">
        <v>4356242</v>
      </c>
      <c r="H16100" s="7">
        <v>2536</v>
      </c>
      <c r="I16100" s="7">
        <v>86</v>
      </c>
      <c r="J16100" s="7">
        <v>190</v>
      </c>
      <c r="K16100" s="7" t="s">
        <v>18</v>
      </c>
      <c r="L16100" s="8">
        <v>39987.315405092595</v>
      </c>
      <c r="M16100" s="9" t="s">
        <v>19</v>
      </c>
      <c r="N16100" s="9" t="s">
        <v>20</v>
      </c>
      <c r="O16100" s="6" t="str">
        <f>HYPERLINK("https://pbs.twimg.com/profile_images/962471262747529216/Uo8lOkRJ_normal.jpg","View")</f>
        <v>View</v>
      </c>
      <c r="P16100" s="7"/>
    </row>
    <row r="16101" spans="1:16">
      <c r="A16101" s="3">
        <v>44443.077685185184</v>
      </c>
      <c r="B16101" s="4" t="str">
        <f>HYPERLINK("https://twitter.com/petrogustavo","@petrogustavo")</f>
        <v>@petrogustavo</v>
      </c>
      <c r="C16101" s="5" t="s">
        <v>16</v>
      </c>
      <c r="D16101" s="5" t="s">
        <v>15498</v>
      </c>
      <c r="E16101" s="6" t="str">
        <f>HYPERLINK("https://twitter.com/petrogustavo/status/1433887993820024837","1433887993820024837")</f>
        <v>1433887993820024837</v>
      </c>
      <c r="F16101" s="7" t="s">
        <v>32</v>
      </c>
      <c r="G16101" s="7">
        <v>4356295</v>
      </c>
      <c r="H16101" s="7">
        <v>2537</v>
      </c>
      <c r="I16101" s="7">
        <v>660</v>
      </c>
      <c r="J16101" s="7">
        <v>0</v>
      </c>
      <c r="K16101" s="7" t="s">
        <v>18</v>
      </c>
      <c r="L16101" s="8">
        <v>39987.315405092595</v>
      </c>
      <c r="M16101" s="9" t="s">
        <v>19</v>
      </c>
      <c r="N16101" s="9" t="s">
        <v>20</v>
      </c>
      <c r="O16101" s="6" t="str">
        <f>HYPERLINK("https://pbs.twimg.com/profile_images/962471262747529216/Uo8lOkRJ_normal.jpg","View")</f>
        <v>View</v>
      </c>
      <c r="P16101" s="7"/>
    </row>
    <row r="16102" spans="1:16">
      <c r="A16102" s="3">
        <v>44443.079189814816</v>
      </c>
      <c r="B16102" s="4" t="str">
        <f>HYPERLINK("https://twitter.com/petrogustavo","@petrogustavo")</f>
        <v>@petrogustavo</v>
      </c>
      <c r="C16102" s="5" t="s">
        <v>16</v>
      </c>
      <c r="D16102" s="5" t="s">
        <v>15499</v>
      </c>
      <c r="E16102" s="6" t="str">
        <f>HYPERLINK("https://twitter.com/petrogustavo/status/1433888536789454870","1433888536789454870")</f>
        <v>1433888536789454870</v>
      </c>
      <c r="F16102" s="7" t="s">
        <v>32</v>
      </c>
      <c r="G16102" s="7">
        <v>4356295</v>
      </c>
      <c r="H16102" s="7">
        <v>2537</v>
      </c>
      <c r="I16102" s="7">
        <v>136</v>
      </c>
      <c r="J16102" s="7">
        <v>0</v>
      </c>
      <c r="K16102" s="7" t="s">
        <v>18</v>
      </c>
      <c r="L16102" s="8">
        <v>39987.315405092595</v>
      </c>
      <c r="M16102" s="9" t="s">
        <v>19</v>
      </c>
      <c r="N16102" s="9" t="s">
        <v>20</v>
      </c>
      <c r="O16102" s="6" t="str">
        <f>HYPERLINK("https://pbs.twimg.com/profile_images/962471262747529216/Uo8lOkRJ_normal.jpg","View")</f>
        <v>View</v>
      </c>
      <c r="P16102" s="7"/>
    </row>
    <row r="16103" spans="1:16">
      <c r="A16103" s="3">
        <v>44443.083865740744</v>
      </c>
      <c r="B16103" s="4" t="str">
        <f>HYPERLINK("https://twitter.com/petrogustavo","@petrogustavo")</f>
        <v>@petrogustavo</v>
      </c>
      <c r="C16103" s="5" t="s">
        <v>16</v>
      </c>
      <c r="D16103" s="5" t="s">
        <v>15500</v>
      </c>
      <c r="E16103" s="6" t="str">
        <f>HYPERLINK("https://twitter.com/petrogustavo/status/1433890233645469696","1433890233645469696")</f>
        <v>1433890233645469696</v>
      </c>
      <c r="F16103" s="7" t="s">
        <v>32</v>
      </c>
      <c r="G16103" s="7">
        <v>4356295</v>
      </c>
      <c r="H16103" s="7">
        <v>2537</v>
      </c>
      <c r="I16103" s="7">
        <v>28</v>
      </c>
      <c r="J16103" s="7">
        <v>50</v>
      </c>
      <c r="K16103" s="7" t="s">
        <v>18</v>
      </c>
      <c r="L16103" s="8">
        <v>39987.315405092595</v>
      </c>
      <c r="M16103" s="9" t="s">
        <v>19</v>
      </c>
      <c r="N16103" s="9" t="s">
        <v>20</v>
      </c>
      <c r="O16103" s="6" t="str">
        <f>HYPERLINK("https://pbs.twimg.com/profile_images/962471262747529216/Uo8lOkRJ_normal.jpg","View")</f>
        <v>View</v>
      </c>
      <c r="P16103" s="7"/>
    </row>
    <row r="16104" spans="1:16">
      <c r="A16104" s="3">
        <v>44443.083877314813</v>
      </c>
      <c r="B16104" s="4" t="str">
        <f>HYPERLINK("https://twitter.com/petrogustavo","@petrogustavo")</f>
        <v>@petrogustavo</v>
      </c>
      <c r="C16104" s="5" t="s">
        <v>16</v>
      </c>
      <c r="D16104" s="5" t="s">
        <v>15501</v>
      </c>
      <c r="E16104" s="6" t="str">
        <f>HYPERLINK("https://twitter.com/petrogustavo/status/1433890235809681409","1433890235809681409")</f>
        <v>1433890235809681409</v>
      </c>
      <c r="F16104" s="7" t="s">
        <v>32</v>
      </c>
      <c r="G16104" s="7">
        <v>4356295</v>
      </c>
      <c r="H16104" s="7">
        <v>2537</v>
      </c>
      <c r="I16104" s="7">
        <v>12</v>
      </c>
      <c r="J16104" s="7">
        <v>25</v>
      </c>
      <c r="K16104" s="7" t="s">
        <v>18</v>
      </c>
      <c r="L16104" s="8">
        <v>39987.315405092595</v>
      </c>
      <c r="M16104" s="9" t="s">
        <v>19</v>
      </c>
      <c r="N16104" s="9" t="s">
        <v>20</v>
      </c>
      <c r="O16104" s="6" t="str">
        <f>HYPERLINK("https://pbs.twimg.com/profile_images/962471262747529216/Uo8lOkRJ_normal.jpg","View")</f>
        <v>View</v>
      </c>
      <c r="P16104" s="7"/>
    </row>
    <row r="16105" spans="1:16">
      <c r="A16105" s="3">
        <v>44443.083877314813</v>
      </c>
      <c r="B16105" s="4" t="str">
        <f>HYPERLINK("https://twitter.com/petrogustavo","@petrogustavo")</f>
        <v>@petrogustavo</v>
      </c>
      <c r="C16105" s="5" t="s">
        <v>16</v>
      </c>
      <c r="D16105" s="5" t="s">
        <v>15502</v>
      </c>
      <c r="E16105" s="6" t="str">
        <f>HYPERLINK("https://twitter.com/petrogustavo/status/1433890237252505600","1433890237252505600")</f>
        <v>1433890237252505600</v>
      </c>
      <c r="F16105" s="7" t="s">
        <v>32</v>
      </c>
      <c r="G16105" s="7">
        <v>4356295</v>
      </c>
      <c r="H16105" s="7">
        <v>2537</v>
      </c>
      <c r="I16105" s="7">
        <v>10</v>
      </c>
      <c r="J16105" s="7">
        <v>22</v>
      </c>
      <c r="K16105" s="7" t="s">
        <v>18</v>
      </c>
      <c r="L16105" s="8">
        <v>39987.315405092595</v>
      </c>
      <c r="M16105" s="9" t="s">
        <v>19</v>
      </c>
      <c r="N16105" s="9" t="s">
        <v>20</v>
      </c>
      <c r="O16105" s="6" t="str">
        <f>HYPERLINK("https://pbs.twimg.com/profile_images/962471262747529216/Uo8lOkRJ_normal.jpg","View")</f>
        <v>View</v>
      </c>
      <c r="P16105" s="7"/>
    </row>
    <row r="16106" spans="1:16">
      <c r="A16106" s="3">
        <v>44443.097546296296</v>
      </c>
      <c r="B16106" s="4" t="str">
        <f>HYPERLINK("https://twitter.com/petrogustavo","@petrogustavo")</f>
        <v>@petrogustavo</v>
      </c>
      <c r="C16106" s="5" t="s">
        <v>16</v>
      </c>
      <c r="D16106" s="5" t="s">
        <v>15498</v>
      </c>
      <c r="E16106" s="6" t="str">
        <f>HYPERLINK("https://twitter.com/petrogustavo/status/1433895190088060931","1433895190088060931")</f>
        <v>1433895190088060931</v>
      </c>
      <c r="F16106" s="7" t="s">
        <v>17</v>
      </c>
      <c r="G16106" s="7">
        <v>4356301</v>
      </c>
      <c r="H16106" s="7">
        <v>2537</v>
      </c>
      <c r="I16106" s="7">
        <v>746</v>
      </c>
      <c r="J16106" s="7">
        <v>0</v>
      </c>
      <c r="K16106" s="7" t="s">
        <v>18</v>
      </c>
      <c r="L16106" s="8">
        <v>39987.315405092595</v>
      </c>
      <c r="M16106" s="9" t="s">
        <v>19</v>
      </c>
      <c r="N16106" s="9" t="s">
        <v>20</v>
      </c>
      <c r="O16106" s="6" t="str">
        <f>HYPERLINK("https://pbs.twimg.com/profile_images/962471262747529216/Uo8lOkRJ_normal.jpg","View")</f>
        <v>View</v>
      </c>
      <c r="P16106" s="7"/>
    </row>
    <row r="16107" spans="1:16">
      <c r="A16107" s="3">
        <v>44443.177500000005</v>
      </c>
      <c r="B16107" s="4" t="str">
        <f>HYPERLINK("https://twitter.com/petrogustavo","@petrogustavo")</f>
        <v>@petrogustavo</v>
      </c>
      <c r="C16107" s="5" t="s">
        <v>16</v>
      </c>
      <c r="D16107" s="5" t="s">
        <v>15503</v>
      </c>
      <c r="E16107" s="6" t="str">
        <f>HYPERLINK("https://twitter.com/petrogustavo/status/1433924162611994627","1433924162611994627")</f>
        <v>1433924162611994627</v>
      </c>
      <c r="F16107" s="7" t="s">
        <v>17</v>
      </c>
      <c r="G16107" s="7">
        <v>4356357</v>
      </c>
      <c r="H16107" s="7">
        <v>2537</v>
      </c>
      <c r="I16107" s="7">
        <v>73</v>
      </c>
      <c r="J16107" s="7">
        <v>199</v>
      </c>
      <c r="K16107" s="7" t="s">
        <v>18</v>
      </c>
      <c r="L16107" s="8">
        <v>39987.315405092595</v>
      </c>
      <c r="M16107" s="9" t="s">
        <v>19</v>
      </c>
      <c r="N16107" s="9" t="s">
        <v>20</v>
      </c>
      <c r="O16107" s="6" t="str">
        <f>HYPERLINK("https://pbs.twimg.com/profile_images/962471262747529216/Uo8lOkRJ_normal.jpg","View")</f>
        <v>View</v>
      </c>
      <c r="P16107" s="7"/>
    </row>
    <row r="16108" spans="1:16">
      <c r="A16108" s="3">
        <v>44443.203449074077</v>
      </c>
      <c r="B16108" s="4" t="str">
        <f>HYPERLINK("https://twitter.com/petrogustavo","@petrogustavo")</f>
        <v>@petrogustavo</v>
      </c>
      <c r="C16108" s="5" t="s">
        <v>16</v>
      </c>
      <c r="D16108" s="5" t="s">
        <v>15504</v>
      </c>
      <c r="E16108" s="6" t="str">
        <f>HYPERLINK("https://twitter.com/petrogustavo/status/1433933567126540291","1433933567126540291")</f>
        <v>1433933567126540291</v>
      </c>
      <c r="F16108" s="7" t="s">
        <v>17</v>
      </c>
      <c r="G16108" s="7">
        <v>4356367</v>
      </c>
      <c r="H16108" s="7">
        <v>2537</v>
      </c>
      <c r="I16108" s="7">
        <v>93</v>
      </c>
      <c r="J16108" s="7">
        <v>0</v>
      </c>
      <c r="K16108" s="7" t="s">
        <v>18</v>
      </c>
      <c r="L16108" s="8">
        <v>39987.315405092595</v>
      </c>
      <c r="M16108" s="9" t="s">
        <v>19</v>
      </c>
      <c r="N16108" s="9" t="s">
        <v>20</v>
      </c>
      <c r="O16108" s="6" t="str">
        <f>HYPERLINK("https://pbs.twimg.com/profile_images/962471262747529216/Uo8lOkRJ_normal.jpg","View")</f>
        <v>View</v>
      </c>
      <c r="P16108" s="7"/>
    </row>
    <row r="16109" spans="1:16">
      <c r="A16109" s="3">
        <v>44443.215914351851</v>
      </c>
      <c r="B16109" s="4" t="str">
        <f>HYPERLINK("https://twitter.com/petrogustavo","@petrogustavo")</f>
        <v>@petrogustavo</v>
      </c>
      <c r="C16109" s="5" t="s">
        <v>16</v>
      </c>
      <c r="D16109" s="5" t="s">
        <v>15505</v>
      </c>
      <c r="E16109" s="6" t="str">
        <f>HYPERLINK("https://twitter.com/petrogustavo/status/1433938084387860480","1433938084387860480")</f>
        <v>1433938084387860480</v>
      </c>
      <c r="F16109" s="7" t="s">
        <v>17</v>
      </c>
      <c r="G16109" s="7">
        <v>4356382</v>
      </c>
      <c r="H16109" s="7">
        <v>2537</v>
      </c>
      <c r="I16109" s="7">
        <v>169</v>
      </c>
      <c r="J16109" s="7">
        <v>0</v>
      </c>
      <c r="K16109" s="7" t="s">
        <v>18</v>
      </c>
      <c r="L16109" s="8">
        <v>39987.315405092595</v>
      </c>
      <c r="M16109" s="9" t="s">
        <v>19</v>
      </c>
      <c r="N16109" s="9" t="s">
        <v>20</v>
      </c>
      <c r="O16109" s="6" t="str">
        <f>HYPERLINK("https://pbs.twimg.com/profile_images/962471262747529216/Uo8lOkRJ_normal.jpg","View")</f>
        <v>View</v>
      </c>
      <c r="P16109" s="7"/>
    </row>
    <row r="16110" spans="1:16">
      <c r="A16110" s="3">
        <v>44443.225624999999</v>
      </c>
      <c r="B16110" s="4" t="str">
        <f>HYPERLINK("https://twitter.com/petrogustavo","@petrogustavo")</f>
        <v>@petrogustavo</v>
      </c>
      <c r="C16110" s="5" t="s">
        <v>16</v>
      </c>
      <c r="D16110" s="5" t="s">
        <v>15506</v>
      </c>
      <c r="E16110" s="6" t="str">
        <f>HYPERLINK("https://twitter.com/petrogustavo/status/1433941605967441925","1433941605967441925")</f>
        <v>1433941605967441925</v>
      </c>
      <c r="F16110" s="7" t="s">
        <v>17</v>
      </c>
      <c r="G16110" s="7">
        <v>4356382</v>
      </c>
      <c r="H16110" s="7">
        <v>2537</v>
      </c>
      <c r="I16110" s="7">
        <v>120</v>
      </c>
      <c r="J16110" s="7">
        <v>331</v>
      </c>
      <c r="K16110" s="7" t="s">
        <v>18</v>
      </c>
      <c r="L16110" s="8">
        <v>39987.315405092595</v>
      </c>
      <c r="M16110" s="9" t="s">
        <v>19</v>
      </c>
      <c r="N16110" s="9" t="s">
        <v>20</v>
      </c>
      <c r="O16110" s="6" t="str">
        <f>HYPERLINK("https://pbs.twimg.com/profile_images/962471262747529216/Uo8lOkRJ_normal.jpg","View")</f>
        <v>View</v>
      </c>
      <c r="P16110" s="7"/>
    </row>
    <row r="16111" spans="1:16">
      <c r="A16111" s="3">
        <v>44443.355324074073</v>
      </c>
      <c r="B16111" s="4" t="str">
        <f>HYPERLINK("https://twitter.com/petrogustavo","@petrogustavo")</f>
        <v>@petrogustavo</v>
      </c>
      <c r="C16111" s="5" t="s">
        <v>16</v>
      </c>
      <c r="D16111" s="5" t="s">
        <v>15507</v>
      </c>
      <c r="E16111" s="6" t="str">
        <f>HYPERLINK("https://twitter.com/petrogustavo/status/1433988604682985473","1433988604682985473")</f>
        <v>1433988604682985473</v>
      </c>
      <c r="F16111" s="7" t="s">
        <v>17</v>
      </c>
      <c r="G16111" s="7">
        <v>4356423</v>
      </c>
      <c r="H16111" s="7">
        <v>2537</v>
      </c>
      <c r="I16111" s="7">
        <v>15</v>
      </c>
      <c r="J16111" s="7">
        <v>0</v>
      </c>
      <c r="K16111" s="7" t="s">
        <v>18</v>
      </c>
      <c r="L16111" s="8">
        <v>39987.315405092595</v>
      </c>
      <c r="M16111" s="9" t="s">
        <v>19</v>
      </c>
      <c r="N16111" s="9" t="s">
        <v>20</v>
      </c>
      <c r="O16111" s="6" t="str">
        <f>HYPERLINK("https://pbs.twimg.com/profile_images/962471262747529216/Uo8lOkRJ_normal.jpg","View")</f>
        <v>View</v>
      </c>
      <c r="P16111" s="7"/>
    </row>
    <row r="16112" spans="1:16">
      <c r="A16112" s="3">
        <v>44443.358819444446</v>
      </c>
      <c r="B16112" s="4" t="str">
        <f>HYPERLINK("https://twitter.com/petrogustavo","@petrogustavo")</f>
        <v>@petrogustavo</v>
      </c>
      <c r="C16112" s="5" t="s">
        <v>16</v>
      </c>
      <c r="D16112" s="5" t="s">
        <v>15508</v>
      </c>
      <c r="E16112" s="6" t="str">
        <f>HYPERLINK("https://twitter.com/petrogustavo/status/1433989874185605124","1433989874185605124")</f>
        <v>1433989874185605124</v>
      </c>
      <c r="F16112" s="7" t="s">
        <v>17</v>
      </c>
      <c r="G16112" s="7">
        <v>4356443</v>
      </c>
      <c r="H16112" s="7">
        <v>2537</v>
      </c>
      <c r="I16112" s="7">
        <v>1005</v>
      </c>
      <c r="J16112" s="7">
        <v>0</v>
      </c>
      <c r="K16112" s="7" t="s">
        <v>18</v>
      </c>
      <c r="L16112" s="8">
        <v>39987.315405092595</v>
      </c>
      <c r="M16112" s="9" t="s">
        <v>19</v>
      </c>
      <c r="N16112" s="9" t="s">
        <v>20</v>
      </c>
      <c r="O16112" s="6" t="str">
        <f>HYPERLINK("https://pbs.twimg.com/profile_images/962471262747529216/Uo8lOkRJ_normal.jpg","View")</f>
        <v>View</v>
      </c>
      <c r="P16112" s="7"/>
    </row>
    <row r="16113" spans="1:16">
      <c r="A16113" s="3">
        <v>44443.386828703704</v>
      </c>
      <c r="B16113" s="4" t="str">
        <f>HYPERLINK("https://twitter.com/petrogustavo","@petrogustavo")</f>
        <v>@petrogustavo</v>
      </c>
      <c r="C16113" s="5" t="s">
        <v>16</v>
      </c>
      <c r="D16113" s="5" t="s">
        <v>15509</v>
      </c>
      <c r="E16113" s="6" t="str">
        <f>HYPERLINK("https://twitter.com/petrogustavo/status/1434000024057303044","1434000024057303044")</f>
        <v>1434000024057303044</v>
      </c>
      <c r="F16113" s="7" t="s">
        <v>17</v>
      </c>
      <c r="G16113" s="7">
        <v>4356453</v>
      </c>
      <c r="H16113" s="7">
        <v>2537</v>
      </c>
      <c r="I16113" s="7">
        <v>46</v>
      </c>
      <c r="J16113" s="7">
        <v>0</v>
      </c>
      <c r="K16113" s="7" t="s">
        <v>18</v>
      </c>
      <c r="L16113" s="8">
        <v>39987.315405092595</v>
      </c>
      <c r="M16113" s="9" t="s">
        <v>19</v>
      </c>
      <c r="N16113" s="9" t="s">
        <v>20</v>
      </c>
      <c r="O16113" s="6" t="str">
        <f>HYPERLINK("https://pbs.twimg.com/profile_images/962471262747529216/Uo8lOkRJ_normal.jpg","View")</f>
        <v>View</v>
      </c>
      <c r="P16113" s="7"/>
    </row>
    <row r="16114" spans="1:16">
      <c r="A16114" s="3">
        <v>44443.396331018521</v>
      </c>
      <c r="B16114" s="4" t="str">
        <f>HYPERLINK("https://twitter.com/petrogustavo","@petrogustavo")</f>
        <v>@petrogustavo</v>
      </c>
      <c r="C16114" s="5" t="s">
        <v>16</v>
      </c>
      <c r="D16114" s="5" t="s">
        <v>15508</v>
      </c>
      <c r="E16114" s="6" t="str">
        <f>HYPERLINK("https://twitter.com/petrogustavo/status/1434003466469494785","1434003466469494785")</f>
        <v>1434003466469494785</v>
      </c>
      <c r="F16114" s="7" t="s">
        <v>17</v>
      </c>
      <c r="G16114" s="7">
        <v>4356453</v>
      </c>
      <c r="H16114" s="7">
        <v>2537</v>
      </c>
      <c r="I16114" s="7">
        <v>1092</v>
      </c>
      <c r="J16114" s="7">
        <v>0</v>
      </c>
      <c r="K16114" s="7" t="s">
        <v>18</v>
      </c>
      <c r="L16114" s="8">
        <v>39987.315405092595</v>
      </c>
      <c r="M16114" s="9" t="s">
        <v>19</v>
      </c>
      <c r="N16114" s="9" t="s">
        <v>20</v>
      </c>
      <c r="O16114" s="6" t="str">
        <f>HYPERLINK("https://pbs.twimg.com/profile_images/962471262747529216/Uo8lOkRJ_normal.jpg","View")</f>
        <v>View</v>
      </c>
      <c r="P16114" s="7"/>
    </row>
    <row r="16115" spans="1:16">
      <c r="A16115" s="3">
        <v>44443.818148148144</v>
      </c>
      <c r="B16115" s="4" t="str">
        <f>HYPERLINK("https://twitter.com/petrogustavo","@petrogustavo")</f>
        <v>@petrogustavo</v>
      </c>
      <c r="C16115" s="5" t="s">
        <v>16</v>
      </c>
      <c r="D16115" s="5" t="s">
        <v>15510</v>
      </c>
      <c r="E16115" s="6" t="str">
        <f>HYPERLINK("https://twitter.com/petrogustavo/status/1434156326851121162","1434156326851121162")</f>
        <v>1434156326851121162</v>
      </c>
      <c r="F16115" s="7" t="s">
        <v>17</v>
      </c>
      <c r="G16115" s="7">
        <v>4356517</v>
      </c>
      <c r="H16115" s="7">
        <v>2538</v>
      </c>
      <c r="I16115" s="7">
        <v>91</v>
      </c>
      <c r="J16115" s="7">
        <v>295</v>
      </c>
      <c r="K16115" s="7" t="s">
        <v>18</v>
      </c>
      <c r="L16115" s="8">
        <v>39987.315405092595</v>
      </c>
      <c r="M16115" s="9" t="s">
        <v>19</v>
      </c>
      <c r="N16115" s="9" t="s">
        <v>20</v>
      </c>
      <c r="O16115" s="6" t="str">
        <f>HYPERLINK("https://pbs.twimg.com/profile_images/962471262747529216/Uo8lOkRJ_normal.jpg","View")</f>
        <v>View</v>
      </c>
      <c r="P16115" s="7"/>
    </row>
    <row r="16116" spans="1:16">
      <c r="A16116" s="3">
        <v>44443.825057870374</v>
      </c>
      <c r="B16116" s="4" t="str">
        <f>HYPERLINK("https://twitter.com/petrogustavo","@petrogustavo")</f>
        <v>@petrogustavo</v>
      </c>
      <c r="C16116" s="5" t="s">
        <v>16</v>
      </c>
      <c r="D16116" s="5" t="s">
        <v>15511</v>
      </c>
      <c r="E16116" s="6" t="str">
        <f>HYPERLINK("https://twitter.com/petrogustavo/status/1434158831886643201","1434158831886643201")</f>
        <v>1434158831886643201</v>
      </c>
      <c r="F16116" s="7" t="s">
        <v>17</v>
      </c>
      <c r="G16116" s="7">
        <v>4356517</v>
      </c>
      <c r="H16116" s="7">
        <v>2538</v>
      </c>
      <c r="I16116" s="7">
        <v>40</v>
      </c>
      <c r="J16116" s="7">
        <v>178</v>
      </c>
      <c r="K16116" s="7" t="s">
        <v>18</v>
      </c>
      <c r="L16116" s="8">
        <v>39987.315405092595</v>
      </c>
      <c r="M16116" s="9" t="s">
        <v>19</v>
      </c>
      <c r="N16116" s="9" t="s">
        <v>20</v>
      </c>
      <c r="O16116" s="6" t="str">
        <f>HYPERLINK("https://pbs.twimg.com/profile_images/962471262747529216/Uo8lOkRJ_normal.jpg","View")</f>
        <v>View</v>
      </c>
      <c r="P16116" s="7"/>
    </row>
    <row r="16117" spans="1:16">
      <c r="A16117" s="3">
        <v>44443.825057870374</v>
      </c>
      <c r="B16117" s="4" t="str">
        <f>HYPERLINK("https://twitter.com/petrogustavo","@petrogustavo")</f>
        <v>@petrogustavo</v>
      </c>
      <c r="C16117" s="5" t="s">
        <v>16</v>
      </c>
      <c r="D16117" s="5" t="s">
        <v>15512</v>
      </c>
      <c r="E16117" s="6" t="str">
        <f>HYPERLINK("https://twitter.com/petrogustavo/status/1434158833409085443","1434158833409085443")</f>
        <v>1434158833409085443</v>
      </c>
      <c r="F16117" s="7" t="s">
        <v>17</v>
      </c>
      <c r="G16117" s="7">
        <v>4356517</v>
      </c>
      <c r="H16117" s="7">
        <v>2538</v>
      </c>
      <c r="I16117" s="7">
        <v>19</v>
      </c>
      <c r="J16117" s="7">
        <v>104</v>
      </c>
      <c r="K16117" s="7" t="s">
        <v>18</v>
      </c>
      <c r="L16117" s="8">
        <v>39987.315405092595</v>
      </c>
      <c r="M16117" s="9" t="s">
        <v>19</v>
      </c>
      <c r="N16117" s="9" t="s">
        <v>20</v>
      </c>
      <c r="O16117" s="6" t="str">
        <f>HYPERLINK("https://pbs.twimg.com/profile_images/962471262747529216/Uo8lOkRJ_normal.jpg","View")</f>
        <v>View</v>
      </c>
      <c r="P16117" s="7"/>
    </row>
    <row r="16118" spans="1:16">
      <c r="A16118" s="3">
        <v>44443.825069444443</v>
      </c>
      <c r="B16118" s="4" t="str">
        <f>HYPERLINK("https://twitter.com/petrogustavo","@petrogustavo")</f>
        <v>@petrogustavo</v>
      </c>
      <c r="C16118" s="5" t="s">
        <v>16</v>
      </c>
      <c r="D16118" s="5" t="s">
        <v>15513</v>
      </c>
      <c r="E16118" s="6" t="str">
        <f>HYPERLINK("https://twitter.com/petrogustavo/status/1434158834659041289","1434158834659041289")</f>
        <v>1434158834659041289</v>
      </c>
      <c r="F16118" s="7" t="s">
        <v>17</v>
      </c>
      <c r="G16118" s="7">
        <v>4356517</v>
      </c>
      <c r="H16118" s="7">
        <v>2538</v>
      </c>
      <c r="I16118" s="7">
        <v>19</v>
      </c>
      <c r="J16118" s="7">
        <v>107</v>
      </c>
      <c r="K16118" s="7" t="s">
        <v>18</v>
      </c>
      <c r="L16118" s="8">
        <v>39987.315405092595</v>
      </c>
      <c r="M16118" s="9" t="s">
        <v>19</v>
      </c>
      <c r="N16118" s="9" t="s">
        <v>20</v>
      </c>
      <c r="O16118" s="6" t="str">
        <f>HYPERLINK("https://pbs.twimg.com/profile_images/962471262747529216/Uo8lOkRJ_normal.jpg","View")</f>
        <v>View</v>
      </c>
      <c r="P16118" s="7"/>
    </row>
    <row r="16119" spans="1:16">
      <c r="A16119" s="3">
        <v>44443.905590277776</v>
      </c>
      <c r="B16119" s="4" t="str">
        <f>HYPERLINK("https://twitter.com/petrogustavo","@petrogustavo")</f>
        <v>@petrogustavo</v>
      </c>
      <c r="C16119" s="5" t="s">
        <v>16</v>
      </c>
      <c r="D16119" s="5" t="s">
        <v>15514</v>
      </c>
      <c r="E16119" s="6" t="str">
        <f>HYPERLINK("https://twitter.com/petrogustavo/status/1434188017149825024","1434188017149825024")</f>
        <v>1434188017149825024</v>
      </c>
      <c r="F16119" s="7" t="s">
        <v>32</v>
      </c>
      <c r="G16119" s="7">
        <v>4356551</v>
      </c>
      <c r="H16119" s="7">
        <v>2538</v>
      </c>
      <c r="I16119" s="7">
        <v>83</v>
      </c>
      <c r="J16119" s="7">
        <v>165</v>
      </c>
      <c r="K16119" s="7" t="s">
        <v>18</v>
      </c>
      <c r="L16119" s="8">
        <v>39987.315405092595</v>
      </c>
      <c r="M16119" s="9" t="s">
        <v>19</v>
      </c>
      <c r="N16119" s="9" t="s">
        <v>20</v>
      </c>
      <c r="O16119" s="6" t="str">
        <f>HYPERLINK("https://pbs.twimg.com/profile_images/962471262747529216/Uo8lOkRJ_normal.jpg","View")</f>
        <v>View</v>
      </c>
      <c r="P16119" s="7"/>
    </row>
    <row r="16120" spans="1:16">
      <c r="A16120" s="3">
        <v>44443.933518518519</v>
      </c>
      <c r="B16120" s="4" t="str">
        <f>HYPERLINK("https://twitter.com/petrogustavo","@petrogustavo")</f>
        <v>@petrogustavo</v>
      </c>
      <c r="C16120" s="5" t="s">
        <v>16</v>
      </c>
      <c r="D16120" s="5" t="s">
        <v>15515</v>
      </c>
      <c r="E16120" s="6" t="str">
        <f>HYPERLINK("https://twitter.com/petrogustavo/status/1434198138286379012","1434198138286379012")</f>
        <v>1434198138286379012</v>
      </c>
      <c r="F16120" s="7" t="s">
        <v>32</v>
      </c>
      <c r="G16120" s="7">
        <v>4356564</v>
      </c>
      <c r="H16120" s="7">
        <v>2538</v>
      </c>
      <c r="I16120" s="7">
        <v>15</v>
      </c>
      <c r="J16120" s="7">
        <v>38</v>
      </c>
      <c r="K16120" s="7" t="s">
        <v>18</v>
      </c>
      <c r="L16120" s="8">
        <v>39987.315405092595</v>
      </c>
      <c r="M16120" s="9" t="s">
        <v>19</v>
      </c>
      <c r="N16120" s="9" t="s">
        <v>20</v>
      </c>
      <c r="O16120" s="6" t="str">
        <f>HYPERLINK("https://pbs.twimg.com/profile_images/962471262747529216/Uo8lOkRJ_normal.jpg","View")</f>
        <v>View</v>
      </c>
      <c r="P16120" s="7"/>
    </row>
    <row r="16121" spans="1:16">
      <c r="A16121" s="3">
        <v>44443.933530092589</v>
      </c>
      <c r="B16121" s="4" t="str">
        <f>HYPERLINK("https://twitter.com/petrogustavo","@petrogustavo")</f>
        <v>@petrogustavo</v>
      </c>
      <c r="C16121" s="5" t="s">
        <v>16</v>
      </c>
      <c r="D16121" s="5" t="s">
        <v>15516</v>
      </c>
      <c r="E16121" s="6" t="str">
        <f>HYPERLINK("https://twitter.com/petrogustavo/status/1434198139771228169","1434198139771228169")</f>
        <v>1434198139771228169</v>
      </c>
      <c r="F16121" s="7" t="s">
        <v>32</v>
      </c>
      <c r="G16121" s="7">
        <v>4356564</v>
      </c>
      <c r="H16121" s="7">
        <v>2538</v>
      </c>
      <c r="I16121" s="7">
        <v>5</v>
      </c>
      <c r="J16121" s="7">
        <v>14</v>
      </c>
      <c r="K16121" s="7" t="s">
        <v>18</v>
      </c>
      <c r="L16121" s="8">
        <v>39987.315405092595</v>
      </c>
      <c r="M16121" s="9" t="s">
        <v>19</v>
      </c>
      <c r="N16121" s="9" t="s">
        <v>20</v>
      </c>
      <c r="O16121" s="6" t="str">
        <f>HYPERLINK("https://pbs.twimg.com/profile_images/962471262747529216/Uo8lOkRJ_normal.jpg","View")</f>
        <v>View</v>
      </c>
      <c r="P16121" s="7"/>
    </row>
    <row r="16122" spans="1:16">
      <c r="A16122" s="3">
        <v>44443.933530092589</v>
      </c>
      <c r="B16122" s="4" t="str">
        <f>HYPERLINK("https://twitter.com/petrogustavo","@petrogustavo")</f>
        <v>@petrogustavo</v>
      </c>
      <c r="C16122" s="5" t="s">
        <v>16</v>
      </c>
      <c r="D16122" s="5" t="s">
        <v>15517</v>
      </c>
      <c r="E16122" s="6" t="str">
        <f>HYPERLINK("https://twitter.com/petrogustavo/status/1434198141482541058","1434198141482541058")</f>
        <v>1434198141482541058</v>
      </c>
      <c r="F16122" s="7" t="s">
        <v>32</v>
      </c>
      <c r="G16122" s="7">
        <v>4356564</v>
      </c>
      <c r="H16122" s="7">
        <v>2538</v>
      </c>
      <c r="I16122" s="7">
        <v>5</v>
      </c>
      <c r="J16122" s="7">
        <v>16</v>
      </c>
      <c r="K16122" s="7" t="s">
        <v>18</v>
      </c>
      <c r="L16122" s="8">
        <v>39987.315405092595</v>
      </c>
      <c r="M16122" s="9" t="s">
        <v>19</v>
      </c>
      <c r="N16122" s="9" t="s">
        <v>20</v>
      </c>
      <c r="O16122" s="6" t="str">
        <f>HYPERLINK("https://pbs.twimg.com/profile_images/962471262747529216/Uo8lOkRJ_normal.jpg","View")</f>
        <v>View</v>
      </c>
      <c r="P16122" s="7"/>
    </row>
    <row r="16123" spans="1:16">
      <c r="A16123" s="3">
        <v>44443.933541666665</v>
      </c>
      <c r="B16123" s="4" t="str">
        <f>HYPERLINK("https://twitter.com/petrogustavo","@petrogustavo")</f>
        <v>@petrogustavo</v>
      </c>
      <c r="C16123" s="5" t="s">
        <v>16</v>
      </c>
      <c r="D16123" s="5" t="s">
        <v>15518</v>
      </c>
      <c r="E16123" s="6" t="str">
        <f>HYPERLINK("https://twitter.com/petrogustavo/status/1434198143172743173","1434198143172743173")</f>
        <v>1434198143172743173</v>
      </c>
      <c r="F16123" s="7" t="s">
        <v>32</v>
      </c>
      <c r="G16123" s="7">
        <v>4356564</v>
      </c>
      <c r="H16123" s="7">
        <v>2538</v>
      </c>
      <c r="I16123" s="7">
        <v>4</v>
      </c>
      <c r="J16123" s="7">
        <v>14</v>
      </c>
      <c r="K16123" s="7" t="s">
        <v>18</v>
      </c>
      <c r="L16123" s="8">
        <v>39987.315405092595</v>
      </c>
      <c r="M16123" s="9" t="s">
        <v>19</v>
      </c>
      <c r="N16123" s="9" t="s">
        <v>20</v>
      </c>
      <c r="O16123" s="6" t="str">
        <f>HYPERLINK("https://pbs.twimg.com/profile_images/962471262747529216/Uo8lOkRJ_normal.jpg","View")</f>
        <v>View</v>
      </c>
      <c r="P16123" s="7"/>
    </row>
    <row r="16124" spans="1:16">
      <c r="A16124" s="3">
        <v>44443.933541666665</v>
      </c>
      <c r="B16124" s="4" t="str">
        <f>HYPERLINK("https://twitter.com/petrogustavo","@petrogustavo")</f>
        <v>@petrogustavo</v>
      </c>
      <c r="C16124" s="5" t="s">
        <v>16</v>
      </c>
      <c r="D16124" s="5" t="s">
        <v>15519</v>
      </c>
      <c r="E16124" s="6" t="str">
        <f>HYPERLINK("https://twitter.com/petrogustavo/status/1434198144930172932","1434198144930172932")</f>
        <v>1434198144930172932</v>
      </c>
      <c r="F16124" s="7" t="s">
        <v>32</v>
      </c>
      <c r="G16124" s="7">
        <v>4356564</v>
      </c>
      <c r="H16124" s="7">
        <v>2538</v>
      </c>
      <c r="I16124" s="7">
        <v>5</v>
      </c>
      <c r="J16124" s="7">
        <v>17</v>
      </c>
      <c r="K16124" s="7" t="s">
        <v>18</v>
      </c>
      <c r="L16124" s="8">
        <v>39987.315405092595</v>
      </c>
      <c r="M16124" s="9" t="s">
        <v>19</v>
      </c>
      <c r="N16124" s="9" t="s">
        <v>20</v>
      </c>
      <c r="O16124" s="6" t="str">
        <f>HYPERLINK("https://pbs.twimg.com/profile_images/962471262747529216/Uo8lOkRJ_normal.jpg","View")</f>
        <v>View</v>
      </c>
      <c r="P16124" s="7"/>
    </row>
    <row r="16125" spans="1:16">
      <c r="A16125" s="3">
        <v>44443.933541666665</v>
      </c>
      <c r="B16125" s="4" t="str">
        <f>HYPERLINK("https://twitter.com/petrogustavo","@petrogustavo")</f>
        <v>@petrogustavo</v>
      </c>
      <c r="C16125" s="5" t="s">
        <v>16</v>
      </c>
      <c r="D16125" s="5" t="s">
        <v>15520</v>
      </c>
      <c r="E16125" s="6" t="str">
        <f>HYPERLINK("https://twitter.com/petrogustavo/status/1434198146326859781","1434198146326859781")</f>
        <v>1434198146326859781</v>
      </c>
      <c r="F16125" s="7" t="s">
        <v>32</v>
      </c>
      <c r="G16125" s="7">
        <v>4356564</v>
      </c>
      <c r="H16125" s="7">
        <v>2538</v>
      </c>
      <c r="I16125" s="7">
        <v>27</v>
      </c>
      <c r="J16125" s="7">
        <v>68</v>
      </c>
      <c r="K16125" s="7" t="s">
        <v>18</v>
      </c>
      <c r="L16125" s="8">
        <v>39987.315405092595</v>
      </c>
      <c r="M16125" s="9" t="s">
        <v>19</v>
      </c>
      <c r="N16125" s="9" t="s">
        <v>20</v>
      </c>
      <c r="O16125" s="6" t="str">
        <f>HYPERLINK("https://pbs.twimg.com/profile_images/962471262747529216/Uo8lOkRJ_normal.jpg","View")</f>
        <v>View</v>
      </c>
      <c r="P16125" s="7"/>
    </row>
    <row r="16126" spans="1:16">
      <c r="A16126" s="3">
        <v>44443.933553240742</v>
      </c>
      <c r="B16126" s="4" t="str">
        <f>HYPERLINK("https://twitter.com/petrogustavo","@petrogustavo")</f>
        <v>@petrogustavo</v>
      </c>
      <c r="C16126" s="5" t="s">
        <v>16</v>
      </c>
      <c r="D16126" s="5" t="s">
        <v>15521</v>
      </c>
      <c r="E16126" s="6" t="str">
        <f>HYPERLINK("https://twitter.com/petrogustavo/status/1434198147727872000","1434198147727872000")</f>
        <v>1434198147727872000</v>
      </c>
      <c r="F16126" s="7" t="s">
        <v>32</v>
      </c>
      <c r="G16126" s="7">
        <v>4356564</v>
      </c>
      <c r="H16126" s="7">
        <v>2538</v>
      </c>
      <c r="I16126" s="7">
        <v>27</v>
      </c>
      <c r="J16126" s="7">
        <v>60</v>
      </c>
      <c r="K16126" s="7" t="s">
        <v>18</v>
      </c>
      <c r="L16126" s="8">
        <v>39987.315405092595</v>
      </c>
      <c r="M16126" s="9" t="s">
        <v>19</v>
      </c>
      <c r="N16126" s="9" t="s">
        <v>20</v>
      </c>
      <c r="O16126" s="6" t="str">
        <f>HYPERLINK("https://pbs.twimg.com/profile_images/962471262747529216/Uo8lOkRJ_normal.jpg","View")</f>
        <v>View</v>
      </c>
      <c r="P16126" s="7"/>
    </row>
    <row r="16127" spans="1:16">
      <c r="A16127" s="3">
        <v>44443.993587962963</v>
      </c>
      <c r="B16127" s="4" t="str">
        <f>HYPERLINK("https://twitter.com/petrogustavo","@petrogustavo")</f>
        <v>@petrogustavo</v>
      </c>
      <c r="C16127" s="5" t="s">
        <v>16</v>
      </c>
      <c r="D16127" s="5" t="s">
        <v>15522</v>
      </c>
      <c r="E16127" s="6" t="str">
        <f>HYPERLINK("https://twitter.com/petrogustavo/status/1434219903280689159","1434219903280689159")</f>
        <v>1434219903280689159</v>
      </c>
      <c r="F16127" s="7" t="s">
        <v>17</v>
      </c>
      <c r="G16127" s="7">
        <v>4356568</v>
      </c>
      <c r="H16127" s="7">
        <v>2538</v>
      </c>
      <c r="I16127" s="7">
        <v>158</v>
      </c>
      <c r="J16127" s="7">
        <v>0</v>
      </c>
      <c r="K16127" s="7" t="s">
        <v>18</v>
      </c>
      <c r="L16127" s="8">
        <v>39987.315405092595</v>
      </c>
      <c r="M16127" s="9" t="s">
        <v>19</v>
      </c>
      <c r="N16127" s="9" t="s">
        <v>20</v>
      </c>
      <c r="O16127" s="6" t="str">
        <f>HYPERLINK("https://pbs.twimg.com/profile_images/962471262747529216/Uo8lOkRJ_normal.jpg","View")</f>
        <v>View</v>
      </c>
      <c r="P16127" s="7"/>
    </row>
    <row r="16128" spans="1:16">
      <c r="A16128" s="3">
        <v>44444.078321759254</v>
      </c>
      <c r="B16128" s="4" t="str">
        <f>HYPERLINK("https://twitter.com/petrogustavo","@petrogustavo")</f>
        <v>@petrogustavo</v>
      </c>
      <c r="C16128" s="5" t="s">
        <v>16</v>
      </c>
      <c r="D16128" s="5" t="s">
        <v>15523</v>
      </c>
      <c r="E16128" s="6" t="str">
        <f>HYPERLINK("https://twitter.com/petrogustavo/status/1434250611046944777","1434250611046944777")</f>
        <v>1434250611046944777</v>
      </c>
      <c r="F16128" s="7" t="s">
        <v>17</v>
      </c>
      <c r="G16128" s="7">
        <v>4356565</v>
      </c>
      <c r="H16128" s="7">
        <v>2538</v>
      </c>
      <c r="I16128" s="7">
        <v>55</v>
      </c>
      <c r="J16128" s="7">
        <v>211</v>
      </c>
      <c r="K16128" s="7" t="s">
        <v>18</v>
      </c>
      <c r="L16128" s="8">
        <v>39987.315405092595</v>
      </c>
      <c r="M16128" s="9" t="s">
        <v>19</v>
      </c>
      <c r="N16128" s="9" t="s">
        <v>20</v>
      </c>
      <c r="O16128" s="6" t="str">
        <f>HYPERLINK("https://pbs.twimg.com/profile_images/962471262747529216/Uo8lOkRJ_normal.jpg","View")</f>
        <v>View</v>
      </c>
      <c r="P16128" s="7"/>
    </row>
    <row r="16129" spans="1:16">
      <c r="A16129" s="3">
        <v>44444.087743055556</v>
      </c>
      <c r="B16129" s="4" t="str">
        <f>HYPERLINK("https://twitter.com/petrogustavo","@petrogustavo")</f>
        <v>@petrogustavo</v>
      </c>
      <c r="C16129" s="5" t="s">
        <v>16</v>
      </c>
      <c r="D16129" s="5" t="s">
        <v>15524</v>
      </c>
      <c r="E16129" s="6" t="str">
        <f>HYPERLINK("https://twitter.com/petrogustavo/status/1434254026481278977","1434254026481278977")</f>
        <v>1434254026481278977</v>
      </c>
      <c r="F16129" s="7" t="s">
        <v>17</v>
      </c>
      <c r="G16129" s="7">
        <v>4356558</v>
      </c>
      <c r="H16129" s="7">
        <v>2538</v>
      </c>
      <c r="I16129" s="7">
        <v>397</v>
      </c>
      <c r="J16129" s="7">
        <v>1209</v>
      </c>
      <c r="K16129" s="7" t="s">
        <v>18</v>
      </c>
      <c r="L16129" s="8">
        <v>39987.315405092595</v>
      </c>
      <c r="M16129" s="9" t="s">
        <v>19</v>
      </c>
      <c r="N16129" s="9" t="s">
        <v>20</v>
      </c>
      <c r="O16129" s="6" t="str">
        <f>HYPERLINK("https://pbs.twimg.com/profile_images/962471262747529216/Uo8lOkRJ_normal.jpg","View")</f>
        <v>View</v>
      </c>
      <c r="P16129" s="7"/>
    </row>
    <row r="16130" spans="1:16">
      <c r="A16130" s="3">
        <v>44444.226041666669</v>
      </c>
      <c r="B16130" s="4" t="str">
        <f>HYPERLINK("https://twitter.com/petrogustavo","@petrogustavo")</f>
        <v>@petrogustavo</v>
      </c>
      <c r="C16130" s="5" t="s">
        <v>16</v>
      </c>
      <c r="D16130" s="5" t="s">
        <v>15525</v>
      </c>
      <c r="E16130" s="6" t="str">
        <f>HYPERLINK("https://twitter.com/petrogustavo/status/1434304142881738755","1434304142881738755")</f>
        <v>1434304142881738755</v>
      </c>
      <c r="F16130" s="7" t="s">
        <v>17</v>
      </c>
      <c r="G16130" s="7">
        <v>4356615</v>
      </c>
      <c r="H16130" s="7">
        <v>2539</v>
      </c>
      <c r="I16130" s="7">
        <v>105</v>
      </c>
      <c r="J16130" s="7">
        <v>256</v>
      </c>
      <c r="K16130" s="7" t="s">
        <v>18</v>
      </c>
      <c r="L16130" s="8">
        <v>39987.315405092595</v>
      </c>
      <c r="M16130" s="9" t="s">
        <v>19</v>
      </c>
      <c r="N16130" s="9" t="s">
        <v>20</v>
      </c>
      <c r="O16130" s="6" t="str">
        <f>HYPERLINK("https://pbs.twimg.com/profile_images/962471262747529216/Uo8lOkRJ_normal.jpg","View")</f>
        <v>View</v>
      </c>
      <c r="P16130" s="7"/>
    </row>
    <row r="16131" spans="1:16">
      <c r="A16131" s="3">
        <v>44444.292499999996</v>
      </c>
      <c r="B16131" s="4" t="str">
        <f>HYPERLINK("https://twitter.com/petrogustavo","@petrogustavo")</f>
        <v>@petrogustavo</v>
      </c>
      <c r="C16131" s="5" t="s">
        <v>16</v>
      </c>
      <c r="D16131" s="5" t="s">
        <v>15526</v>
      </c>
      <c r="E16131" s="6" t="str">
        <f>HYPERLINK("https://twitter.com/petrogustavo/status/1434328226982158340","1434328226982158340")</f>
        <v>1434328226982158340</v>
      </c>
      <c r="F16131" s="7" t="s">
        <v>21</v>
      </c>
      <c r="G16131" s="7">
        <v>4356650</v>
      </c>
      <c r="H16131" s="7">
        <v>2539</v>
      </c>
      <c r="I16131" s="7">
        <v>21</v>
      </c>
      <c r="J16131" s="7">
        <v>59</v>
      </c>
      <c r="K16131" s="7" t="s">
        <v>18</v>
      </c>
      <c r="L16131" s="8">
        <v>39987.315405092595</v>
      </c>
      <c r="M16131" s="9" t="s">
        <v>19</v>
      </c>
      <c r="N16131" s="9" t="s">
        <v>20</v>
      </c>
      <c r="O16131" s="6" t="str">
        <f>HYPERLINK("https://pbs.twimg.com/profile_images/962471262747529216/Uo8lOkRJ_normal.jpg","View")</f>
        <v>View</v>
      </c>
      <c r="P16131" s="7"/>
    </row>
    <row r="16132" spans="1:16">
      <c r="A16132" s="3">
        <v>44444.748854166668</v>
      </c>
      <c r="B16132" s="4" t="str">
        <f>HYPERLINK("https://twitter.com/petrogustavo","@petrogustavo")</f>
        <v>@petrogustavo</v>
      </c>
      <c r="C16132" s="5" t="s">
        <v>16</v>
      </c>
      <c r="D16132" s="5" t="s">
        <v>15527</v>
      </c>
      <c r="E16132" s="6" t="str">
        <f>HYPERLINK("https://twitter.com/petrogustavo/status/1434493605117366281","1434493605117366281")</f>
        <v>1434493605117366281</v>
      </c>
      <c r="F16132" s="7" t="s">
        <v>32</v>
      </c>
      <c r="G16132" s="7">
        <v>4356752</v>
      </c>
      <c r="H16132" s="7">
        <v>2539</v>
      </c>
      <c r="I16132" s="7">
        <v>841</v>
      </c>
      <c r="J16132" s="7">
        <v>0</v>
      </c>
      <c r="K16132" s="7" t="s">
        <v>18</v>
      </c>
      <c r="L16132" s="8">
        <v>39987.315405092595</v>
      </c>
      <c r="M16132" s="9" t="s">
        <v>19</v>
      </c>
      <c r="N16132" s="9" t="s">
        <v>20</v>
      </c>
      <c r="O16132" s="6" t="str">
        <f>HYPERLINK("https://pbs.twimg.com/profile_images/962471262747529216/Uo8lOkRJ_normal.jpg","View")</f>
        <v>View</v>
      </c>
      <c r="P16132" s="7"/>
    </row>
    <row r="16133" spans="1:16">
      <c r="A16133" s="3">
        <v>44444.80069444445</v>
      </c>
      <c r="B16133" s="4" t="str">
        <f>HYPERLINK("https://twitter.com/petrogustavo","@petrogustavo")</f>
        <v>@petrogustavo</v>
      </c>
      <c r="C16133" s="5" t="s">
        <v>16</v>
      </c>
      <c r="D16133" s="5" t="s">
        <v>15528</v>
      </c>
      <c r="E16133" s="6" t="str">
        <f>HYPERLINK("https://twitter.com/petrogustavo/status/1434512390553579525","1434512390553579525")</f>
        <v>1434512390553579525</v>
      </c>
      <c r="F16133" s="7" t="s">
        <v>17</v>
      </c>
      <c r="G16133" s="7">
        <v>4356767</v>
      </c>
      <c r="H16133" s="7">
        <v>2539</v>
      </c>
      <c r="I16133" s="7">
        <v>1395</v>
      </c>
      <c r="J16133" s="7">
        <v>0</v>
      </c>
      <c r="K16133" s="7" t="s">
        <v>18</v>
      </c>
      <c r="L16133" s="8">
        <v>39987.315405092595</v>
      </c>
      <c r="M16133" s="9" t="s">
        <v>19</v>
      </c>
      <c r="N16133" s="9" t="s">
        <v>20</v>
      </c>
      <c r="O16133" s="6" t="str">
        <f>HYPERLINK("https://pbs.twimg.com/profile_images/962471262747529216/Uo8lOkRJ_normal.jpg","View")</f>
        <v>View</v>
      </c>
      <c r="P16133" s="7"/>
    </row>
    <row r="16134" spans="1:16">
      <c r="A16134" s="3">
        <v>44444.880439814813</v>
      </c>
      <c r="B16134" s="4" t="str">
        <f>HYPERLINK("https://twitter.com/petrogustavo","@petrogustavo")</f>
        <v>@petrogustavo</v>
      </c>
      <c r="C16134" s="5" t="s">
        <v>16</v>
      </c>
      <c r="D16134" s="5" t="s">
        <v>15529</v>
      </c>
      <c r="E16134" s="6" t="str">
        <f>HYPERLINK("https://twitter.com/petrogustavo/status/1434541289773707272","1434541289773707272")</f>
        <v>1434541289773707272</v>
      </c>
      <c r="F16134" s="7" t="s">
        <v>32</v>
      </c>
      <c r="G16134" s="7">
        <v>4356809</v>
      </c>
      <c r="H16134" s="7">
        <v>2539</v>
      </c>
      <c r="I16134" s="7">
        <v>132</v>
      </c>
      <c r="J16134" s="7">
        <v>352</v>
      </c>
      <c r="K16134" s="7" t="s">
        <v>18</v>
      </c>
      <c r="L16134" s="8">
        <v>39987.315405092595</v>
      </c>
      <c r="M16134" s="9" t="s">
        <v>19</v>
      </c>
      <c r="N16134" s="9" t="s">
        <v>20</v>
      </c>
      <c r="O16134" s="6" t="str">
        <f>HYPERLINK("https://pbs.twimg.com/profile_images/962471262747529216/Uo8lOkRJ_normal.jpg","View")</f>
        <v>View</v>
      </c>
      <c r="P16134" s="7"/>
    </row>
    <row r="16135" spans="1:16">
      <c r="A16135" s="3">
        <v>44444.890659722223</v>
      </c>
      <c r="B16135" s="4" t="str">
        <f>HYPERLINK("https://twitter.com/petrogustavo","@petrogustavo")</f>
        <v>@petrogustavo</v>
      </c>
      <c r="C16135" s="5" t="s">
        <v>16</v>
      </c>
      <c r="D16135" s="5" t="s">
        <v>15530</v>
      </c>
      <c r="E16135" s="6" t="str">
        <f>HYPERLINK("https://twitter.com/petrogustavo/status/1434544992647892994","1434544992647892994")</f>
        <v>1434544992647892994</v>
      </c>
      <c r="F16135" s="7" t="s">
        <v>32</v>
      </c>
      <c r="G16135" s="7">
        <v>4356809</v>
      </c>
      <c r="H16135" s="7">
        <v>2539</v>
      </c>
      <c r="I16135" s="7">
        <v>152</v>
      </c>
      <c r="J16135" s="7">
        <v>0</v>
      </c>
      <c r="K16135" s="7" t="s">
        <v>18</v>
      </c>
      <c r="L16135" s="8">
        <v>39987.315405092595</v>
      </c>
      <c r="M16135" s="9" t="s">
        <v>19</v>
      </c>
      <c r="N16135" s="9" t="s">
        <v>20</v>
      </c>
      <c r="O16135" s="6" t="str">
        <f>HYPERLINK("https://pbs.twimg.com/profile_images/962471262747529216/Uo8lOkRJ_normal.jpg","View")</f>
        <v>View</v>
      </c>
      <c r="P16135" s="7"/>
    </row>
    <row r="16136" spans="1:16">
      <c r="A16136" s="3">
        <v>44444.902592592596</v>
      </c>
      <c r="B16136" s="4" t="str">
        <f>HYPERLINK("https://twitter.com/petrogustavo","@petrogustavo")</f>
        <v>@petrogustavo</v>
      </c>
      <c r="C16136" s="5" t="s">
        <v>16</v>
      </c>
      <c r="D16136" s="5" t="s">
        <v>15531</v>
      </c>
      <c r="E16136" s="6" t="str">
        <f>HYPERLINK("https://twitter.com/petrogustavo/status/1434549316111245314","1434549316111245314")</f>
        <v>1434549316111245314</v>
      </c>
      <c r="F16136" s="7" t="s">
        <v>32</v>
      </c>
      <c r="G16136" s="7">
        <v>4356825</v>
      </c>
      <c r="H16136" s="7">
        <v>2539</v>
      </c>
      <c r="I16136" s="7">
        <v>55</v>
      </c>
      <c r="J16136" s="7">
        <v>156</v>
      </c>
      <c r="K16136" s="7" t="s">
        <v>18</v>
      </c>
      <c r="L16136" s="8">
        <v>39987.315405092595</v>
      </c>
      <c r="M16136" s="9" t="s">
        <v>19</v>
      </c>
      <c r="N16136" s="9" t="s">
        <v>20</v>
      </c>
      <c r="O16136" s="6" t="str">
        <f>HYPERLINK("https://pbs.twimg.com/profile_images/962471262747529216/Uo8lOkRJ_normal.jpg","View")</f>
        <v>View</v>
      </c>
      <c r="P16136" s="7"/>
    </row>
    <row r="16137" spans="1:16">
      <c r="A16137" s="3">
        <v>44444.902604166666</v>
      </c>
      <c r="B16137" s="4" t="str">
        <f>HYPERLINK("https://twitter.com/petrogustavo","@petrogustavo")</f>
        <v>@petrogustavo</v>
      </c>
      <c r="C16137" s="5" t="s">
        <v>16</v>
      </c>
      <c r="D16137" s="5" t="s">
        <v>15532</v>
      </c>
      <c r="E16137" s="6" t="str">
        <f>HYPERLINK("https://twitter.com/petrogustavo/status/1434549319655432195","1434549319655432195")</f>
        <v>1434549319655432195</v>
      </c>
      <c r="F16137" s="7" t="s">
        <v>32</v>
      </c>
      <c r="G16137" s="7">
        <v>4356825</v>
      </c>
      <c r="H16137" s="7">
        <v>2539</v>
      </c>
      <c r="I16137" s="7">
        <v>13</v>
      </c>
      <c r="J16137" s="7">
        <v>45</v>
      </c>
      <c r="K16137" s="7" t="s">
        <v>18</v>
      </c>
      <c r="L16137" s="8">
        <v>39987.315405092595</v>
      </c>
      <c r="M16137" s="9" t="s">
        <v>19</v>
      </c>
      <c r="N16137" s="9" t="s">
        <v>20</v>
      </c>
      <c r="O16137" s="6" t="str">
        <f>HYPERLINK("https://pbs.twimg.com/profile_images/962471262747529216/Uo8lOkRJ_normal.jpg","View")</f>
        <v>View</v>
      </c>
      <c r="P16137" s="7"/>
    </row>
    <row r="16138" spans="1:16">
      <c r="A16138" s="3">
        <v>44444.902604166666</v>
      </c>
      <c r="B16138" s="4" t="str">
        <f>HYPERLINK("https://twitter.com/petrogustavo","@petrogustavo")</f>
        <v>@petrogustavo</v>
      </c>
      <c r="C16138" s="5" t="s">
        <v>16</v>
      </c>
      <c r="D16138" s="5" t="s">
        <v>15533</v>
      </c>
      <c r="E16138" s="6" t="str">
        <f>HYPERLINK("https://twitter.com/petrogustavo/status/1434549322385960960","1434549322385960960")</f>
        <v>1434549322385960960</v>
      </c>
      <c r="F16138" s="7" t="s">
        <v>32</v>
      </c>
      <c r="G16138" s="7">
        <v>4356825</v>
      </c>
      <c r="H16138" s="7">
        <v>2539</v>
      </c>
      <c r="I16138" s="7">
        <v>13</v>
      </c>
      <c r="J16138" s="7">
        <v>45</v>
      </c>
      <c r="K16138" s="7" t="s">
        <v>18</v>
      </c>
      <c r="L16138" s="8">
        <v>39987.315405092595</v>
      </c>
      <c r="M16138" s="9" t="s">
        <v>19</v>
      </c>
      <c r="N16138" s="9" t="s">
        <v>20</v>
      </c>
      <c r="O16138" s="6" t="str">
        <f>HYPERLINK("https://pbs.twimg.com/profile_images/962471262747529216/Uo8lOkRJ_normal.jpg","View")</f>
        <v>View</v>
      </c>
      <c r="P16138" s="7"/>
    </row>
    <row r="16139" spans="1:16">
      <c r="A16139" s="3">
        <v>44444.902615740742</v>
      </c>
      <c r="B16139" s="4" t="str">
        <f>HYPERLINK("https://twitter.com/petrogustavo","@petrogustavo")</f>
        <v>@petrogustavo</v>
      </c>
      <c r="C16139" s="5" t="s">
        <v>16</v>
      </c>
      <c r="D16139" s="5" t="s">
        <v>15534</v>
      </c>
      <c r="E16139" s="6" t="str">
        <f>HYPERLINK("https://twitter.com/petrogustavo/status/1434549324957065223","1434549324957065223")</f>
        <v>1434549324957065223</v>
      </c>
      <c r="F16139" s="7" t="s">
        <v>32</v>
      </c>
      <c r="G16139" s="7">
        <v>4356825</v>
      </c>
      <c r="H16139" s="7">
        <v>2539</v>
      </c>
      <c r="I16139" s="7">
        <v>13</v>
      </c>
      <c r="J16139" s="7">
        <v>56</v>
      </c>
      <c r="K16139" s="7" t="s">
        <v>18</v>
      </c>
      <c r="L16139" s="8">
        <v>39987.315405092595</v>
      </c>
      <c r="M16139" s="9" t="s">
        <v>19</v>
      </c>
      <c r="N16139" s="9" t="s">
        <v>20</v>
      </c>
      <c r="O16139" s="6" t="str">
        <f>HYPERLINK("https://pbs.twimg.com/profile_images/962471262747529216/Uo8lOkRJ_normal.jpg","View")</f>
        <v>View</v>
      </c>
      <c r="P16139" s="7"/>
    </row>
    <row r="16140" spans="1:16">
      <c r="A16140" s="3">
        <v>44444.902615740742</v>
      </c>
      <c r="B16140" s="4" t="str">
        <f>HYPERLINK("https://twitter.com/petrogustavo","@petrogustavo")</f>
        <v>@petrogustavo</v>
      </c>
      <c r="C16140" s="5" t="s">
        <v>16</v>
      </c>
      <c r="D16140" s="5" t="s">
        <v>15535</v>
      </c>
      <c r="E16140" s="6" t="str">
        <f>HYPERLINK("https://twitter.com/petrogustavo/status/1434549327574315012","1434549327574315012")</f>
        <v>1434549327574315012</v>
      </c>
      <c r="F16140" s="7" t="s">
        <v>32</v>
      </c>
      <c r="G16140" s="7">
        <v>4356825</v>
      </c>
      <c r="H16140" s="7">
        <v>2539</v>
      </c>
      <c r="I16140" s="7">
        <v>22</v>
      </c>
      <c r="J16140" s="7">
        <v>106</v>
      </c>
      <c r="K16140" s="7" t="s">
        <v>18</v>
      </c>
      <c r="L16140" s="8">
        <v>39987.315405092595</v>
      </c>
      <c r="M16140" s="9" t="s">
        <v>19</v>
      </c>
      <c r="N16140" s="9" t="s">
        <v>20</v>
      </c>
      <c r="O16140" s="6" t="str">
        <f>HYPERLINK("https://pbs.twimg.com/profile_images/962471262747529216/Uo8lOkRJ_normal.jpg","View")</f>
        <v>View</v>
      </c>
      <c r="P16140" s="7"/>
    </row>
    <row r="16141" spans="1:16">
      <c r="A16141" s="3">
        <v>44444.902627314819</v>
      </c>
      <c r="B16141" s="4" t="str">
        <f>HYPERLINK("https://twitter.com/petrogustavo","@petrogustavo")</f>
        <v>@petrogustavo</v>
      </c>
      <c r="C16141" s="5" t="s">
        <v>16</v>
      </c>
      <c r="D16141" s="5" t="s">
        <v>15536</v>
      </c>
      <c r="E16141" s="6" t="str">
        <f>HYPERLINK("https://twitter.com/petrogustavo/status/1434549330271252482","1434549330271252482")</f>
        <v>1434549330271252482</v>
      </c>
      <c r="F16141" s="7" t="s">
        <v>32</v>
      </c>
      <c r="G16141" s="7">
        <v>4356825</v>
      </c>
      <c r="H16141" s="7">
        <v>2539</v>
      </c>
      <c r="I16141" s="7">
        <v>29</v>
      </c>
      <c r="J16141" s="7">
        <v>128</v>
      </c>
      <c r="K16141" s="7" t="s">
        <v>18</v>
      </c>
      <c r="L16141" s="8">
        <v>39987.315405092595</v>
      </c>
      <c r="M16141" s="9" t="s">
        <v>19</v>
      </c>
      <c r="N16141" s="9" t="s">
        <v>20</v>
      </c>
      <c r="O16141" s="6" t="str">
        <f>HYPERLINK("https://pbs.twimg.com/profile_images/962471262747529216/Uo8lOkRJ_normal.jpg","View")</f>
        <v>View</v>
      </c>
      <c r="P16141" s="7"/>
    </row>
    <row r="16142" spans="1:16">
      <c r="A16142" s="3">
        <v>44444.938194444447</v>
      </c>
      <c r="B16142" s="4" t="str">
        <f>HYPERLINK("https://twitter.com/petrogustavo","@petrogustavo")</f>
        <v>@petrogustavo</v>
      </c>
      <c r="C16142" s="5" t="s">
        <v>16</v>
      </c>
      <c r="D16142" s="5" t="s">
        <v>15528</v>
      </c>
      <c r="E16142" s="6" t="str">
        <f>HYPERLINK("https://twitter.com/petrogustavo/status/1434562220122325001","1434562220122325001")</f>
        <v>1434562220122325001</v>
      </c>
      <c r="F16142" s="7" t="s">
        <v>32</v>
      </c>
      <c r="G16142" s="7">
        <v>4356846</v>
      </c>
      <c r="H16142" s="7">
        <v>2539</v>
      </c>
      <c r="I16142" s="7">
        <v>1609</v>
      </c>
      <c r="J16142" s="7">
        <v>0</v>
      </c>
      <c r="K16142" s="7" t="s">
        <v>18</v>
      </c>
      <c r="L16142" s="8">
        <v>39987.315405092595</v>
      </c>
      <c r="M16142" s="9" t="s">
        <v>19</v>
      </c>
      <c r="N16142" s="9" t="s">
        <v>20</v>
      </c>
      <c r="O16142" s="6" t="str">
        <f>HYPERLINK("https://pbs.twimg.com/profile_images/962471262747529216/Uo8lOkRJ_normal.jpg","View")</f>
        <v>View</v>
      </c>
      <c r="P16142" s="7"/>
    </row>
    <row r="16143" spans="1:16">
      <c r="A16143" s="3">
        <v>44445.029328703706</v>
      </c>
      <c r="B16143" s="4" t="str">
        <f>HYPERLINK("https://twitter.com/petrogustavo","@petrogustavo")</f>
        <v>@petrogustavo</v>
      </c>
      <c r="C16143" s="5" t="s">
        <v>16</v>
      </c>
      <c r="D16143" s="5" t="s">
        <v>15537</v>
      </c>
      <c r="E16143" s="6" t="str">
        <f>HYPERLINK("https://twitter.com/petrogustavo/status/1434595244729905154","1434595244729905154")</f>
        <v>1434595244729905154</v>
      </c>
      <c r="F16143" s="7" t="s">
        <v>17</v>
      </c>
      <c r="G16143" s="7">
        <v>4356907</v>
      </c>
      <c r="H16143" s="7">
        <v>2539</v>
      </c>
      <c r="I16143" s="7">
        <v>504</v>
      </c>
      <c r="J16143" s="7">
        <v>0</v>
      </c>
      <c r="K16143" s="7" t="s">
        <v>18</v>
      </c>
      <c r="L16143" s="8">
        <v>39987.315405092595</v>
      </c>
      <c r="M16143" s="9" t="s">
        <v>19</v>
      </c>
      <c r="N16143" s="9" t="s">
        <v>20</v>
      </c>
      <c r="O16143" s="6" t="str">
        <f>HYPERLINK("https://pbs.twimg.com/profile_images/962471262747529216/Uo8lOkRJ_normal.jpg","View")</f>
        <v>View</v>
      </c>
      <c r="P16143" s="7"/>
    </row>
    <row r="16144" spans="1:16">
      <c r="A16144" s="3">
        <v>44445.030740740738</v>
      </c>
      <c r="B16144" s="4" t="str">
        <f>HYPERLINK("https://twitter.com/petrogustavo","@petrogustavo")</f>
        <v>@petrogustavo</v>
      </c>
      <c r="C16144" s="5" t="s">
        <v>16</v>
      </c>
      <c r="D16144" s="5" t="s">
        <v>15538</v>
      </c>
      <c r="E16144" s="6" t="str">
        <f>HYPERLINK("https://twitter.com/petrogustavo/status/1434595758213324811","1434595758213324811")</f>
        <v>1434595758213324811</v>
      </c>
      <c r="F16144" s="7" t="s">
        <v>17</v>
      </c>
      <c r="G16144" s="7">
        <v>4356907</v>
      </c>
      <c r="H16144" s="7">
        <v>2539</v>
      </c>
      <c r="I16144" s="7">
        <v>1435</v>
      </c>
      <c r="J16144" s="7">
        <v>0</v>
      </c>
      <c r="K16144" s="7" t="s">
        <v>18</v>
      </c>
      <c r="L16144" s="8">
        <v>39987.315405092595</v>
      </c>
      <c r="M16144" s="9" t="s">
        <v>19</v>
      </c>
      <c r="N16144" s="9" t="s">
        <v>20</v>
      </c>
      <c r="O16144" s="6" t="str">
        <f>HYPERLINK("https://pbs.twimg.com/profile_images/962471262747529216/Uo8lOkRJ_normal.jpg","View")</f>
        <v>View</v>
      </c>
      <c r="P16144" s="7"/>
    </row>
    <row r="16145" spans="1:16">
      <c r="A16145" s="3">
        <v>44445.038715277777</v>
      </c>
      <c r="B16145" s="4" t="str">
        <f>HYPERLINK("https://twitter.com/petrogustavo","@petrogustavo")</f>
        <v>@petrogustavo</v>
      </c>
      <c r="C16145" s="5" t="s">
        <v>16</v>
      </c>
      <c r="D16145" s="5" t="s">
        <v>15539</v>
      </c>
      <c r="E16145" s="6" t="str">
        <f>HYPERLINK("https://twitter.com/petrogustavo/status/1434598644423041026","1434598644423041026")</f>
        <v>1434598644423041026</v>
      </c>
      <c r="F16145" s="7" t="s">
        <v>17</v>
      </c>
      <c r="G16145" s="7">
        <v>4356907</v>
      </c>
      <c r="H16145" s="7">
        <v>2539</v>
      </c>
      <c r="I16145" s="7">
        <v>39</v>
      </c>
      <c r="J16145" s="7">
        <v>116</v>
      </c>
      <c r="K16145" s="7" t="s">
        <v>18</v>
      </c>
      <c r="L16145" s="8">
        <v>39987.315405092595</v>
      </c>
      <c r="M16145" s="9" t="s">
        <v>19</v>
      </c>
      <c r="N16145" s="9" t="s">
        <v>20</v>
      </c>
      <c r="O16145" s="6" t="str">
        <f>HYPERLINK("https://pbs.twimg.com/profile_images/962471262747529216/Uo8lOkRJ_normal.jpg","View")</f>
        <v>View</v>
      </c>
      <c r="P16145" s="7"/>
    </row>
    <row r="16146" spans="1:16">
      <c r="A16146" s="3">
        <v>44445.043391203704</v>
      </c>
      <c r="B16146" s="4" t="str">
        <f>HYPERLINK("https://twitter.com/petrogustavo","@petrogustavo")</f>
        <v>@petrogustavo</v>
      </c>
      <c r="C16146" s="5" t="s">
        <v>16</v>
      </c>
      <c r="D16146" s="5" t="s">
        <v>15540</v>
      </c>
      <c r="E16146" s="6" t="str">
        <f>HYPERLINK("https://twitter.com/petrogustavo/status/1434600339639001094","1434600339639001094")</f>
        <v>1434600339639001094</v>
      </c>
      <c r="F16146" s="7" t="s">
        <v>17</v>
      </c>
      <c r="G16146" s="7">
        <v>4356907</v>
      </c>
      <c r="H16146" s="7">
        <v>2539</v>
      </c>
      <c r="I16146" s="7">
        <v>6</v>
      </c>
      <c r="J16146" s="7">
        <v>21</v>
      </c>
      <c r="K16146" s="7" t="s">
        <v>18</v>
      </c>
      <c r="L16146" s="8">
        <v>39987.315405092595</v>
      </c>
      <c r="M16146" s="9" t="s">
        <v>19</v>
      </c>
      <c r="N16146" s="9" t="s">
        <v>20</v>
      </c>
      <c r="O16146" s="6" t="str">
        <f>HYPERLINK("https://pbs.twimg.com/profile_images/962471262747529216/Uo8lOkRJ_normal.jpg","View")</f>
        <v>View</v>
      </c>
      <c r="P16146" s="7"/>
    </row>
    <row r="16147" spans="1:16">
      <c r="A16147" s="3">
        <v>44445.069895833338</v>
      </c>
      <c r="B16147" s="4" t="str">
        <f>HYPERLINK("https://twitter.com/petrogustavo","@petrogustavo")</f>
        <v>@petrogustavo</v>
      </c>
      <c r="C16147" s="5" t="s">
        <v>16</v>
      </c>
      <c r="D16147" s="5" t="s">
        <v>15541</v>
      </c>
      <c r="E16147" s="6" t="str">
        <f>HYPERLINK("https://twitter.com/petrogustavo/status/1434609945165578242","1434609945165578242")</f>
        <v>1434609945165578242</v>
      </c>
      <c r="F16147" s="7" t="s">
        <v>17</v>
      </c>
      <c r="G16147" s="7">
        <v>4356938</v>
      </c>
      <c r="H16147" s="7">
        <v>2539</v>
      </c>
      <c r="I16147" s="7">
        <v>58</v>
      </c>
      <c r="J16147" s="7">
        <v>203</v>
      </c>
      <c r="K16147" s="7" t="s">
        <v>18</v>
      </c>
      <c r="L16147" s="8">
        <v>39987.315405092595</v>
      </c>
      <c r="M16147" s="9" t="s">
        <v>19</v>
      </c>
      <c r="N16147" s="9" t="s">
        <v>20</v>
      </c>
      <c r="O16147" s="6" t="str">
        <f>HYPERLINK("https://pbs.twimg.com/profile_images/962471262747529216/Uo8lOkRJ_normal.jpg","View")</f>
        <v>View</v>
      </c>
      <c r="P16147" s="7"/>
    </row>
    <row r="16148" spans="1:16">
      <c r="A16148" s="3">
        <v>44445.107314814813</v>
      </c>
      <c r="B16148" s="4" t="str">
        <f>HYPERLINK("https://twitter.com/petrogustavo","@petrogustavo")</f>
        <v>@petrogustavo</v>
      </c>
      <c r="C16148" s="5" t="s">
        <v>16</v>
      </c>
      <c r="D16148" s="5" t="s">
        <v>15542</v>
      </c>
      <c r="E16148" s="6" t="str">
        <f>HYPERLINK("https://twitter.com/petrogustavo/status/1434623503974780931","1434623503974780931")</f>
        <v>1434623503974780931</v>
      </c>
      <c r="F16148" s="7" t="s">
        <v>17</v>
      </c>
      <c r="G16148" s="7">
        <v>4356961</v>
      </c>
      <c r="H16148" s="7">
        <v>2539</v>
      </c>
      <c r="I16148" s="7">
        <v>317</v>
      </c>
      <c r="J16148" s="7">
        <v>0</v>
      </c>
      <c r="K16148" s="7" t="s">
        <v>18</v>
      </c>
      <c r="L16148" s="8">
        <v>39987.315405092595</v>
      </c>
      <c r="M16148" s="9" t="s">
        <v>19</v>
      </c>
      <c r="N16148" s="9" t="s">
        <v>20</v>
      </c>
      <c r="O16148" s="6" t="str">
        <f>HYPERLINK("https://pbs.twimg.com/profile_images/962471262747529216/Uo8lOkRJ_normal.jpg","View")</f>
        <v>View</v>
      </c>
      <c r="P16148" s="7"/>
    </row>
    <row r="16149" spans="1:16">
      <c r="A16149" s="3">
        <v>44445.114293981482</v>
      </c>
      <c r="B16149" s="4" t="str">
        <f>HYPERLINK("https://twitter.com/petrogustavo","@petrogustavo")</f>
        <v>@petrogustavo</v>
      </c>
      <c r="C16149" s="5" t="s">
        <v>16</v>
      </c>
      <c r="D16149" s="5" t="s">
        <v>15543</v>
      </c>
      <c r="E16149" s="6" t="str">
        <f>HYPERLINK("https://twitter.com/petrogustavo/status/1434626035027427332","1434626035027427332")</f>
        <v>1434626035027427332</v>
      </c>
      <c r="F16149" s="7" t="s">
        <v>17</v>
      </c>
      <c r="G16149" s="7">
        <v>4356961</v>
      </c>
      <c r="H16149" s="7">
        <v>2539</v>
      </c>
      <c r="I16149" s="7">
        <v>130</v>
      </c>
      <c r="J16149" s="7">
        <v>1428</v>
      </c>
      <c r="K16149" s="7" t="s">
        <v>18</v>
      </c>
      <c r="L16149" s="8">
        <v>39987.315405092595</v>
      </c>
      <c r="M16149" s="9" t="s">
        <v>19</v>
      </c>
      <c r="N16149" s="9" t="s">
        <v>20</v>
      </c>
      <c r="O16149" s="6" t="str">
        <f>HYPERLINK("https://pbs.twimg.com/profile_images/962471262747529216/Uo8lOkRJ_normal.jpg","View")</f>
        <v>View</v>
      </c>
      <c r="P16149" s="7"/>
    </row>
    <row r="16150" spans="1:16">
      <c r="A16150" s="3">
        <v>44445.233344907407</v>
      </c>
      <c r="B16150" s="4" t="str">
        <f>HYPERLINK("https://twitter.com/petrogustavo","@petrogustavo")</f>
        <v>@petrogustavo</v>
      </c>
      <c r="C16150" s="5" t="s">
        <v>16</v>
      </c>
      <c r="D16150" s="5" t="s">
        <v>15544</v>
      </c>
      <c r="E16150" s="6" t="str">
        <f>HYPERLINK("https://twitter.com/petrogustavo/status/1434669175830679553","1434669175830679553")</f>
        <v>1434669175830679553</v>
      </c>
      <c r="F16150" s="7" t="s">
        <v>17</v>
      </c>
      <c r="G16150" s="7">
        <v>4357029</v>
      </c>
      <c r="H16150" s="7">
        <v>2539</v>
      </c>
      <c r="I16150" s="7">
        <v>694</v>
      </c>
      <c r="J16150" s="7">
        <v>0</v>
      </c>
      <c r="K16150" s="7" t="s">
        <v>18</v>
      </c>
      <c r="L16150" s="8">
        <v>39987.315405092595</v>
      </c>
      <c r="M16150" s="9" t="s">
        <v>19</v>
      </c>
      <c r="N16150" s="9" t="s">
        <v>20</v>
      </c>
      <c r="O16150" s="6" t="str">
        <f>HYPERLINK("https://pbs.twimg.com/profile_images/962471262747529216/Uo8lOkRJ_normal.jpg","View")</f>
        <v>View</v>
      </c>
      <c r="P16150" s="7"/>
    </row>
    <row r="16151" spans="1:16">
      <c r="A16151" s="3">
        <v>44445.691342592589</v>
      </c>
      <c r="B16151" s="4" t="str">
        <f>HYPERLINK("https://twitter.com/petrogustavo","@petrogustavo")</f>
        <v>@petrogustavo</v>
      </c>
      <c r="C16151" s="5" t="s">
        <v>16</v>
      </c>
      <c r="D16151" s="5" t="s">
        <v>15545</v>
      </c>
      <c r="E16151" s="6" t="str">
        <f>HYPERLINK("https://twitter.com/petrogustavo/status/1434835151834451969","1434835151834451969")</f>
        <v>1434835151834451969</v>
      </c>
      <c r="F16151" s="7" t="s">
        <v>17</v>
      </c>
      <c r="G16151" s="7">
        <v>4357171</v>
      </c>
      <c r="H16151" s="7">
        <v>2538</v>
      </c>
      <c r="I16151" s="7">
        <v>54</v>
      </c>
      <c r="J16151" s="7">
        <v>160</v>
      </c>
      <c r="K16151" s="7" t="s">
        <v>18</v>
      </c>
      <c r="L16151" s="8">
        <v>39987.315405092595</v>
      </c>
      <c r="M16151" s="9" t="s">
        <v>19</v>
      </c>
      <c r="N16151" s="9" t="s">
        <v>20</v>
      </c>
      <c r="O16151" s="6" t="str">
        <f>HYPERLINK("https://pbs.twimg.com/profile_images/962471262747529216/Uo8lOkRJ_normal.jpg","View")</f>
        <v>View</v>
      </c>
      <c r="P16151" s="7"/>
    </row>
    <row r="16152" spans="1:16">
      <c r="A16152" s="3">
        <v>44445.691354166665</v>
      </c>
      <c r="B16152" s="4" t="str">
        <f>HYPERLINK("https://twitter.com/petrogustavo","@petrogustavo")</f>
        <v>@petrogustavo</v>
      </c>
      <c r="C16152" s="5" t="s">
        <v>16</v>
      </c>
      <c r="D16152" s="5" t="s">
        <v>15546</v>
      </c>
      <c r="E16152" s="6" t="str">
        <f>HYPERLINK("https://twitter.com/petrogustavo/status/1434835153113829384","1434835153113829384")</f>
        <v>1434835153113829384</v>
      </c>
      <c r="F16152" s="7" t="s">
        <v>17</v>
      </c>
      <c r="G16152" s="7">
        <v>4357171</v>
      </c>
      <c r="H16152" s="7">
        <v>2538</v>
      </c>
      <c r="I16152" s="7">
        <v>50</v>
      </c>
      <c r="J16152" s="7">
        <v>193</v>
      </c>
      <c r="K16152" s="7" t="s">
        <v>18</v>
      </c>
      <c r="L16152" s="8">
        <v>39987.315405092595</v>
      </c>
      <c r="M16152" s="9" t="s">
        <v>19</v>
      </c>
      <c r="N16152" s="9" t="s">
        <v>20</v>
      </c>
      <c r="O16152" s="6" t="str">
        <f>HYPERLINK("https://pbs.twimg.com/profile_images/962471262747529216/Uo8lOkRJ_normal.jpg","View")</f>
        <v>View</v>
      </c>
      <c r="P16152" s="7"/>
    </row>
    <row r="16153" spans="1:16">
      <c r="A16153" s="3">
        <v>44445.695590277777</v>
      </c>
      <c r="B16153" s="4" t="str">
        <f>HYPERLINK("https://twitter.com/petrogustavo","@petrogustavo")</f>
        <v>@petrogustavo</v>
      </c>
      <c r="C16153" s="5" t="s">
        <v>16</v>
      </c>
      <c r="D16153" s="5" t="s">
        <v>15547</v>
      </c>
      <c r="E16153" s="6" t="str">
        <f>HYPERLINK("https://twitter.com/petrogustavo/status/1434836691810988033","1434836691810988033")</f>
        <v>1434836691810988033</v>
      </c>
      <c r="F16153" s="7" t="s">
        <v>17</v>
      </c>
      <c r="G16153" s="7">
        <v>4357171</v>
      </c>
      <c r="H16153" s="7">
        <v>2538</v>
      </c>
      <c r="I16153" s="7">
        <v>139</v>
      </c>
      <c r="J16153" s="7">
        <v>280</v>
      </c>
      <c r="K16153" s="7" t="s">
        <v>18</v>
      </c>
      <c r="L16153" s="8">
        <v>39987.315405092595</v>
      </c>
      <c r="M16153" s="9" t="s">
        <v>19</v>
      </c>
      <c r="N16153" s="9" t="s">
        <v>20</v>
      </c>
      <c r="O16153" s="6" t="str">
        <f>HYPERLINK("https://pbs.twimg.com/profile_images/962471262747529216/Uo8lOkRJ_normal.jpg","View")</f>
        <v>View</v>
      </c>
      <c r="P16153" s="7"/>
    </row>
    <row r="16154" spans="1:16">
      <c r="A16154" s="3">
        <v>44445.696215277778</v>
      </c>
      <c r="B16154" s="4" t="str">
        <f>HYPERLINK("https://twitter.com/petrogustavo","@petrogustavo")</f>
        <v>@petrogustavo</v>
      </c>
      <c r="C16154" s="5" t="s">
        <v>16</v>
      </c>
      <c r="D16154" s="5" t="s">
        <v>15548</v>
      </c>
      <c r="E16154" s="6" t="str">
        <f>HYPERLINK("https://twitter.com/petrogustavo/status/1434836917435224067","1434836917435224067")</f>
        <v>1434836917435224067</v>
      </c>
      <c r="F16154" s="7" t="s">
        <v>17</v>
      </c>
      <c r="G16154" s="7">
        <v>4357171</v>
      </c>
      <c r="H16154" s="7">
        <v>2538</v>
      </c>
      <c r="I16154" s="7">
        <v>54</v>
      </c>
      <c r="J16154" s="7">
        <v>0</v>
      </c>
      <c r="K16154" s="7" t="s">
        <v>18</v>
      </c>
      <c r="L16154" s="8">
        <v>39987.315405092595</v>
      </c>
      <c r="M16154" s="9" t="s">
        <v>19</v>
      </c>
      <c r="N16154" s="9" t="s">
        <v>20</v>
      </c>
      <c r="O16154" s="6" t="str">
        <f>HYPERLINK("https://pbs.twimg.com/profile_images/962471262747529216/Uo8lOkRJ_normal.jpg","View")</f>
        <v>View</v>
      </c>
      <c r="P16154" s="7"/>
    </row>
    <row r="16155" spans="1:16">
      <c r="A16155" s="3">
        <v>44445.712893518517</v>
      </c>
      <c r="B16155" s="4" t="str">
        <f>HYPERLINK("https://twitter.com/petrogustavo","@petrogustavo")</f>
        <v>@petrogustavo</v>
      </c>
      <c r="C16155" s="5" t="s">
        <v>16</v>
      </c>
      <c r="D16155" s="5" t="s">
        <v>15549</v>
      </c>
      <c r="E16155" s="6" t="str">
        <f>HYPERLINK("https://twitter.com/petrogustavo/status/1434842958394765318","1434842958394765318")</f>
        <v>1434842958394765318</v>
      </c>
      <c r="F16155" s="7" t="s">
        <v>17</v>
      </c>
      <c r="G16155" s="7">
        <v>4357180</v>
      </c>
      <c r="H16155" s="7">
        <v>2538</v>
      </c>
      <c r="I16155" s="7">
        <v>296</v>
      </c>
      <c r="J16155" s="7">
        <v>0</v>
      </c>
      <c r="K16155" s="7" t="s">
        <v>18</v>
      </c>
      <c r="L16155" s="8">
        <v>39987.315405092595</v>
      </c>
      <c r="M16155" s="9" t="s">
        <v>19</v>
      </c>
      <c r="N16155" s="9" t="s">
        <v>20</v>
      </c>
      <c r="O16155" s="6" t="str">
        <f>HYPERLINK("https://pbs.twimg.com/profile_images/962471262747529216/Uo8lOkRJ_normal.jpg","View")</f>
        <v>View</v>
      </c>
      <c r="P16155" s="7"/>
    </row>
    <row r="16156" spans="1:16">
      <c r="A16156" s="3">
        <v>44445.715914351851</v>
      </c>
      <c r="B16156" s="4" t="str">
        <f>HYPERLINK("https://twitter.com/petrogustavo","@petrogustavo")</f>
        <v>@petrogustavo</v>
      </c>
      <c r="C16156" s="5" t="s">
        <v>16</v>
      </c>
      <c r="D16156" s="5" t="s">
        <v>15550</v>
      </c>
      <c r="E16156" s="6" t="str">
        <f>HYPERLINK("https://twitter.com/petrogustavo/status/1434844055163314178","1434844055163314178")</f>
        <v>1434844055163314178</v>
      </c>
      <c r="F16156" s="7" t="s">
        <v>17</v>
      </c>
      <c r="G16156" s="7">
        <v>4357180</v>
      </c>
      <c r="H16156" s="7">
        <v>2538</v>
      </c>
      <c r="I16156" s="7">
        <v>124</v>
      </c>
      <c r="J16156" s="7">
        <v>424</v>
      </c>
      <c r="K16156" s="7" t="s">
        <v>18</v>
      </c>
      <c r="L16156" s="8">
        <v>39987.315405092595</v>
      </c>
      <c r="M16156" s="9" t="s">
        <v>19</v>
      </c>
      <c r="N16156" s="9" t="s">
        <v>20</v>
      </c>
      <c r="O16156" s="6" t="str">
        <f>HYPERLINK("https://pbs.twimg.com/profile_images/962471262747529216/Uo8lOkRJ_normal.jpg","View")</f>
        <v>View</v>
      </c>
      <c r="P16156" s="7"/>
    </row>
    <row r="16157" spans="1:16">
      <c r="A16157" s="3">
        <v>44445.720439814817</v>
      </c>
      <c r="B16157" s="4" t="str">
        <f>HYPERLINK("https://twitter.com/petrogustavo","@petrogustavo")</f>
        <v>@petrogustavo</v>
      </c>
      <c r="C16157" s="5" t="s">
        <v>16</v>
      </c>
      <c r="D16157" s="5" t="s">
        <v>15551</v>
      </c>
      <c r="E16157" s="6" t="str">
        <f>HYPERLINK("https://twitter.com/petrogustavo/status/1434845694347579394","1434845694347579394")</f>
        <v>1434845694347579394</v>
      </c>
      <c r="F16157" s="7" t="s">
        <v>17</v>
      </c>
      <c r="G16157" s="7">
        <v>4357180</v>
      </c>
      <c r="H16157" s="7">
        <v>2538</v>
      </c>
      <c r="I16157" s="7">
        <v>26</v>
      </c>
      <c r="J16157" s="7">
        <v>0</v>
      </c>
      <c r="K16157" s="7" t="s">
        <v>18</v>
      </c>
      <c r="L16157" s="8">
        <v>39987.315405092595</v>
      </c>
      <c r="M16157" s="9" t="s">
        <v>19</v>
      </c>
      <c r="N16157" s="9" t="s">
        <v>20</v>
      </c>
      <c r="O16157" s="6" t="str">
        <f>HYPERLINK("https://pbs.twimg.com/profile_images/962471262747529216/Uo8lOkRJ_normal.jpg","View")</f>
        <v>View</v>
      </c>
      <c r="P16157" s="7"/>
    </row>
    <row r="16158" spans="1:16">
      <c r="A16158" s="3">
        <v>44445.721006944441</v>
      </c>
      <c r="B16158" s="4" t="str">
        <f>HYPERLINK("https://twitter.com/petrogustavo","@petrogustavo")</f>
        <v>@petrogustavo</v>
      </c>
      <c r="C16158" s="5" t="s">
        <v>16</v>
      </c>
      <c r="D16158" s="5" t="s">
        <v>15552</v>
      </c>
      <c r="E16158" s="6" t="str">
        <f>HYPERLINK("https://twitter.com/petrogustavo/status/1434845898832551936","1434845898832551936")</f>
        <v>1434845898832551936</v>
      </c>
      <c r="F16158" s="7" t="s">
        <v>17</v>
      </c>
      <c r="G16158" s="7">
        <v>4357180</v>
      </c>
      <c r="H16158" s="7">
        <v>2538</v>
      </c>
      <c r="I16158" s="7">
        <v>124</v>
      </c>
      <c r="J16158" s="7">
        <v>0</v>
      </c>
      <c r="K16158" s="7" t="s">
        <v>18</v>
      </c>
      <c r="L16158" s="8">
        <v>39987.315405092595</v>
      </c>
      <c r="M16158" s="9" t="s">
        <v>19</v>
      </c>
      <c r="N16158" s="9" t="s">
        <v>20</v>
      </c>
      <c r="O16158" s="6" t="str">
        <f>HYPERLINK("https://pbs.twimg.com/profile_images/962471262747529216/Uo8lOkRJ_normal.jpg","View")</f>
        <v>View</v>
      </c>
      <c r="P16158" s="7"/>
    </row>
    <row r="16159" spans="1:16">
      <c r="A16159" s="3">
        <v>44445.728298611109</v>
      </c>
      <c r="B16159" s="4" t="str">
        <f>HYPERLINK("https://twitter.com/petrogustavo","@petrogustavo")</f>
        <v>@petrogustavo</v>
      </c>
      <c r="C16159" s="5" t="s">
        <v>16</v>
      </c>
      <c r="D16159" s="5" t="s">
        <v>15553</v>
      </c>
      <c r="E16159" s="6" t="str">
        <f>HYPERLINK("https://twitter.com/petrogustavo/status/1434848542816968705","1434848542816968705")</f>
        <v>1434848542816968705</v>
      </c>
      <c r="F16159" s="7" t="s">
        <v>17</v>
      </c>
      <c r="G16159" s="7">
        <v>4357180</v>
      </c>
      <c r="H16159" s="7">
        <v>2538</v>
      </c>
      <c r="I16159" s="7">
        <v>25</v>
      </c>
      <c r="J16159" s="7">
        <v>74</v>
      </c>
      <c r="K16159" s="7" t="s">
        <v>18</v>
      </c>
      <c r="L16159" s="8">
        <v>39987.315405092595</v>
      </c>
      <c r="M16159" s="9" t="s">
        <v>19</v>
      </c>
      <c r="N16159" s="9" t="s">
        <v>20</v>
      </c>
      <c r="O16159" s="6" t="str">
        <f>HYPERLINK("https://pbs.twimg.com/profile_images/962471262747529216/Uo8lOkRJ_normal.jpg","View")</f>
        <v>View</v>
      </c>
      <c r="P16159" s="7"/>
    </row>
    <row r="16160" spans="1:16">
      <c r="A16160" s="3">
        <v>44445.754537037035</v>
      </c>
      <c r="B16160" s="4" t="str">
        <f>HYPERLINK("https://twitter.com/petrogustavo","@petrogustavo")</f>
        <v>@petrogustavo</v>
      </c>
      <c r="C16160" s="5" t="s">
        <v>16</v>
      </c>
      <c r="D16160" s="5" t="s">
        <v>15554</v>
      </c>
      <c r="E16160" s="6" t="str">
        <f>HYPERLINK("https://twitter.com/petrogustavo/status/1434858050071015436","1434858050071015436")</f>
        <v>1434858050071015436</v>
      </c>
      <c r="F16160" s="7" t="s">
        <v>17</v>
      </c>
      <c r="G16160" s="7">
        <v>4357215</v>
      </c>
      <c r="H16160" s="7">
        <v>2538</v>
      </c>
      <c r="I16160" s="7">
        <v>156</v>
      </c>
      <c r="J16160" s="7">
        <v>528</v>
      </c>
      <c r="K16160" s="7" t="s">
        <v>18</v>
      </c>
      <c r="L16160" s="8">
        <v>39987.315405092595</v>
      </c>
      <c r="M16160" s="9" t="s">
        <v>19</v>
      </c>
      <c r="N16160" s="9" t="s">
        <v>20</v>
      </c>
      <c r="O16160" s="6" t="str">
        <f>HYPERLINK("https://pbs.twimg.com/profile_images/962471262747529216/Uo8lOkRJ_normal.jpg","View")</f>
        <v>View</v>
      </c>
      <c r="P16160" s="7"/>
    </row>
    <row r="16161" spans="1:16">
      <c r="A16161" s="3">
        <v>44446.109178240746</v>
      </c>
      <c r="B16161" s="4" t="str">
        <f>HYPERLINK("https://twitter.com/petrogustavo","@petrogustavo")</f>
        <v>@petrogustavo</v>
      </c>
      <c r="C16161" s="5" t="s">
        <v>16</v>
      </c>
      <c r="D16161" s="5" t="s">
        <v>15555</v>
      </c>
      <c r="E16161" s="6" t="str">
        <f>HYPERLINK("https://twitter.com/petrogustavo/status/1434986571053273089","1434986571053273089")</f>
        <v>1434986571053273089</v>
      </c>
      <c r="F16161" s="7" t="s">
        <v>17</v>
      </c>
      <c r="G16161" s="7">
        <v>4357445</v>
      </c>
      <c r="H16161" s="7">
        <v>2538</v>
      </c>
      <c r="I16161" s="7">
        <v>84</v>
      </c>
      <c r="J16161" s="7">
        <v>352</v>
      </c>
      <c r="K16161" s="7" t="s">
        <v>18</v>
      </c>
      <c r="L16161" s="8">
        <v>39987.315405092595</v>
      </c>
      <c r="M16161" s="9" t="s">
        <v>19</v>
      </c>
      <c r="N16161" s="9" t="s">
        <v>20</v>
      </c>
      <c r="O16161" s="6" t="str">
        <f>HYPERLINK("https://pbs.twimg.com/profile_images/962471262747529216/Uo8lOkRJ_normal.jpg","View")</f>
        <v>View</v>
      </c>
      <c r="P16161" s="7"/>
    </row>
    <row r="16162" spans="1:16">
      <c r="A16162" s="3">
        <v>44446.196979166663</v>
      </c>
      <c r="B16162" s="4" t="str">
        <f>HYPERLINK("https://twitter.com/petrogustavo","@petrogustavo")</f>
        <v>@petrogustavo</v>
      </c>
      <c r="C16162" s="5" t="s">
        <v>16</v>
      </c>
      <c r="D16162" s="5" t="s">
        <v>15556</v>
      </c>
      <c r="E16162" s="6" t="str">
        <f>HYPERLINK("https://twitter.com/petrogustavo/status/1435018385172086784","1435018385172086784")</f>
        <v>1435018385172086784</v>
      </c>
      <c r="F16162" s="7" t="s">
        <v>17</v>
      </c>
      <c r="G16162" s="7">
        <v>4357484</v>
      </c>
      <c r="H16162" s="7">
        <v>2538</v>
      </c>
      <c r="I16162" s="7">
        <v>147</v>
      </c>
      <c r="J16162" s="7">
        <v>569</v>
      </c>
      <c r="K16162" s="7" t="s">
        <v>18</v>
      </c>
      <c r="L16162" s="8">
        <v>39987.315405092595</v>
      </c>
      <c r="M16162" s="9" t="s">
        <v>19</v>
      </c>
      <c r="N16162" s="9" t="s">
        <v>20</v>
      </c>
      <c r="O16162" s="6" t="str">
        <f>HYPERLINK("https://pbs.twimg.com/profile_images/962471262747529216/Uo8lOkRJ_normal.jpg","View")</f>
        <v>View</v>
      </c>
      <c r="P16162" s="7"/>
    </row>
    <row r="16163" spans="1:16">
      <c r="A16163" s="3">
        <v>44446.702523148153</v>
      </c>
      <c r="B16163" s="4" t="str">
        <f>HYPERLINK("https://twitter.com/petrogustavo","@petrogustavo")</f>
        <v>@petrogustavo</v>
      </c>
      <c r="C16163" s="5" t="s">
        <v>16</v>
      </c>
      <c r="D16163" s="5" t="s">
        <v>15557</v>
      </c>
      <c r="E16163" s="6" t="str">
        <f>HYPERLINK("https://twitter.com/petrogustavo/status/1435201589644611588","1435201589644611588")</f>
        <v>1435201589644611588</v>
      </c>
      <c r="F16163" s="7" t="s">
        <v>17</v>
      </c>
      <c r="G16163" s="7">
        <v>4357690</v>
      </c>
      <c r="H16163" s="7">
        <v>2536</v>
      </c>
      <c r="I16163" s="7">
        <v>204</v>
      </c>
      <c r="J16163" s="7">
        <v>436</v>
      </c>
      <c r="K16163" s="7" t="s">
        <v>18</v>
      </c>
      <c r="L16163" s="8">
        <v>39987.315405092595</v>
      </c>
      <c r="M16163" s="9" t="s">
        <v>19</v>
      </c>
      <c r="N16163" s="9" t="s">
        <v>20</v>
      </c>
      <c r="O16163" s="6" t="str">
        <f>HYPERLINK("https://pbs.twimg.com/profile_images/962471262747529216/Uo8lOkRJ_normal.jpg","View")</f>
        <v>View</v>
      </c>
      <c r="P16163" s="7"/>
    </row>
    <row r="16164" spans="1:16">
      <c r="A16164" s="3">
        <v>44446.707708333328</v>
      </c>
      <c r="B16164" s="4" t="str">
        <f>HYPERLINK("https://twitter.com/petrogustavo","@petrogustavo")</f>
        <v>@petrogustavo</v>
      </c>
      <c r="C16164" s="5" t="s">
        <v>16</v>
      </c>
      <c r="D16164" s="5" t="s">
        <v>15558</v>
      </c>
      <c r="E16164" s="6" t="str">
        <f>HYPERLINK("https://twitter.com/petrogustavo/status/1435203470517313540","1435203470517313540")</f>
        <v>1435203470517313540</v>
      </c>
      <c r="F16164" s="7" t="s">
        <v>17</v>
      </c>
      <c r="G16164" s="7">
        <v>4357690</v>
      </c>
      <c r="H16164" s="7">
        <v>2536</v>
      </c>
      <c r="I16164" s="7">
        <v>242</v>
      </c>
      <c r="J16164" s="7">
        <v>0</v>
      </c>
      <c r="K16164" s="7" t="s">
        <v>18</v>
      </c>
      <c r="L16164" s="8">
        <v>39987.315405092595</v>
      </c>
      <c r="M16164" s="9" t="s">
        <v>19</v>
      </c>
      <c r="N16164" s="9" t="s">
        <v>20</v>
      </c>
      <c r="O16164" s="6" t="str">
        <f>HYPERLINK("https://pbs.twimg.com/profile_images/962471262747529216/Uo8lOkRJ_normal.jpg","View")</f>
        <v>View</v>
      </c>
      <c r="P16164" s="7"/>
    </row>
    <row r="16165" spans="1:16">
      <c r="A16165" s="3">
        <v>44446.712256944447</v>
      </c>
      <c r="B16165" s="4" t="str">
        <f>HYPERLINK("https://twitter.com/petrogustavo","@petrogustavo")</f>
        <v>@petrogustavo</v>
      </c>
      <c r="C16165" s="5" t="s">
        <v>16</v>
      </c>
      <c r="D16165" s="5" t="s">
        <v>15559</v>
      </c>
      <c r="E16165" s="6" t="str">
        <f>HYPERLINK("https://twitter.com/petrogustavo/status/1435205116961906692","1435205116961906692")</f>
        <v>1435205116961906692</v>
      </c>
      <c r="F16165" s="7" t="s">
        <v>17</v>
      </c>
      <c r="G16165" s="7">
        <v>4357690</v>
      </c>
      <c r="H16165" s="7">
        <v>2536</v>
      </c>
      <c r="I16165" s="7">
        <v>75</v>
      </c>
      <c r="J16165" s="7">
        <v>163</v>
      </c>
      <c r="K16165" s="7" t="s">
        <v>18</v>
      </c>
      <c r="L16165" s="8">
        <v>39987.315405092595</v>
      </c>
      <c r="M16165" s="9" t="s">
        <v>19</v>
      </c>
      <c r="N16165" s="9" t="s">
        <v>20</v>
      </c>
      <c r="O16165" s="6" t="str">
        <f>HYPERLINK("https://pbs.twimg.com/profile_images/962471262747529216/Uo8lOkRJ_normal.jpg","View")</f>
        <v>View</v>
      </c>
      <c r="P16165" s="7"/>
    </row>
    <row r="16166" spans="1:16">
      <c r="A16166" s="3">
        <v>44446.752199074079</v>
      </c>
      <c r="B16166" s="4" t="str">
        <f>HYPERLINK("https://twitter.com/petrogustavo","@petrogustavo")</f>
        <v>@petrogustavo</v>
      </c>
      <c r="C16166" s="5" t="s">
        <v>16</v>
      </c>
      <c r="D16166" s="4" t="s">
        <v>15560</v>
      </c>
      <c r="E16166" s="6" t="str">
        <f>HYPERLINK("https://twitter.com/petrogustavo/status/1435219594172588032","1435219594172588032")</f>
        <v>1435219594172588032</v>
      </c>
      <c r="F16166" s="7" t="s">
        <v>32</v>
      </c>
      <c r="G16166" s="7">
        <v>4357707</v>
      </c>
      <c r="H16166" s="7">
        <v>2536</v>
      </c>
      <c r="I16166" s="7">
        <v>137</v>
      </c>
      <c r="J16166" s="7">
        <v>490</v>
      </c>
      <c r="K16166" s="7" t="s">
        <v>18</v>
      </c>
      <c r="L16166" s="8">
        <v>39987.315405092595</v>
      </c>
      <c r="M16166" s="9" t="s">
        <v>19</v>
      </c>
      <c r="N16166" s="9" t="s">
        <v>20</v>
      </c>
      <c r="O16166" s="6" t="str">
        <f>HYPERLINK("https://pbs.twimg.com/profile_images/962471262747529216/Uo8lOkRJ_normal.jpg","View")</f>
        <v>View</v>
      </c>
      <c r="P16166" s="7"/>
    </row>
    <row r="16167" spans="1:16">
      <c r="A16167" s="3">
        <v>44446.755509259259</v>
      </c>
      <c r="B16167" s="4" t="str">
        <f>HYPERLINK("https://twitter.com/petrogustavo","@petrogustavo")</f>
        <v>@petrogustavo</v>
      </c>
      <c r="C16167" s="5" t="s">
        <v>16</v>
      </c>
      <c r="D16167" s="5" t="s">
        <v>15561</v>
      </c>
      <c r="E16167" s="6" t="str">
        <f>HYPERLINK("https://twitter.com/petrogustavo/status/1435220792581709824","1435220792581709824")</f>
        <v>1435220792581709824</v>
      </c>
      <c r="F16167" s="7" t="s">
        <v>32</v>
      </c>
      <c r="G16167" s="7">
        <v>4357707</v>
      </c>
      <c r="H16167" s="7">
        <v>2536</v>
      </c>
      <c r="I16167" s="7">
        <v>327</v>
      </c>
      <c r="J16167" s="7">
        <v>0</v>
      </c>
      <c r="K16167" s="7" t="s">
        <v>18</v>
      </c>
      <c r="L16167" s="8">
        <v>39987.315405092595</v>
      </c>
      <c r="M16167" s="9" t="s">
        <v>19</v>
      </c>
      <c r="N16167" s="9" t="s">
        <v>20</v>
      </c>
      <c r="O16167" s="6" t="str">
        <f>HYPERLINK("https://pbs.twimg.com/profile_images/962471262747529216/Uo8lOkRJ_normal.jpg","View")</f>
        <v>View</v>
      </c>
      <c r="P16167" s="7"/>
    </row>
    <row r="16168" spans="1:16">
      <c r="A16168" s="3">
        <v>44446.766643518524</v>
      </c>
      <c r="B16168" s="4" t="str">
        <f>HYPERLINK("https://twitter.com/petrogustavo","@petrogustavo")</f>
        <v>@petrogustavo</v>
      </c>
      <c r="C16168" s="5" t="s">
        <v>16</v>
      </c>
      <c r="D16168" s="5" t="s">
        <v>15562</v>
      </c>
      <c r="E16168" s="6" t="str">
        <f>HYPERLINK("https://twitter.com/petrogustavo/status/1435224825409294336","1435224825409294336")</f>
        <v>1435224825409294336</v>
      </c>
      <c r="F16168" s="7" t="s">
        <v>32</v>
      </c>
      <c r="G16168" s="7">
        <v>4357723</v>
      </c>
      <c r="H16168" s="7">
        <v>2536</v>
      </c>
      <c r="I16168" s="7">
        <v>61</v>
      </c>
      <c r="J16168" s="7">
        <v>266</v>
      </c>
      <c r="K16168" s="7" t="s">
        <v>18</v>
      </c>
      <c r="L16168" s="8">
        <v>39987.315405092595</v>
      </c>
      <c r="M16168" s="9" t="s">
        <v>19</v>
      </c>
      <c r="N16168" s="9" t="s">
        <v>20</v>
      </c>
      <c r="O16168" s="6" t="str">
        <f>HYPERLINK("https://pbs.twimg.com/profile_images/962471262747529216/Uo8lOkRJ_normal.jpg","View")</f>
        <v>View</v>
      </c>
      <c r="P16168" s="7"/>
    </row>
    <row r="16169" spans="1:16">
      <c r="A16169" s="3">
        <v>44446.772893518515</v>
      </c>
      <c r="B16169" s="4" t="str">
        <f>HYPERLINK("https://twitter.com/petrogustavo","@petrogustavo")</f>
        <v>@petrogustavo</v>
      </c>
      <c r="C16169" s="5" t="s">
        <v>16</v>
      </c>
      <c r="D16169" s="5" t="s">
        <v>15561</v>
      </c>
      <c r="E16169" s="6" t="str">
        <f>HYPERLINK("https://twitter.com/petrogustavo/status/1435227090773815298","1435227090773815298")</f>
        <v>1435227090773815298</v>
      </c>
      <c r="F16169" s="7" t="s">
        <v>32</v>
      </c>
      <c r="G16169" s="7">
        <v>4357723</v>
      </c>
      <c r="H16169" s="7">
        <v>2536</v>
      </c>
      <c r="I16169" s="7">
        <v>419</v>
      </c>
      <c r="J16169" s="7">
        <v>0</v>
      </c>
      <c r="K16169" s="7" t="s">
        <v>18</v>
      </c>
      <c r="L16169" s="8">
        <v>39987.315405092595</v>
      </c>
      <c r="M16169" s="9" t="s">
        <v>19</v>
      </c>
      <c r="N16169" s="9" t="s">
        <v>20</v>
      </c>
      <c r="O16169" s="6" t="str">
        <f>HYPERLINK("https://pbs.twimg.com/profile_images/962471262747529216/Uo8lOkRJ_normal.jpg","View")</f>
        <v>View</v>
      </c>
      <c r="P16169" s="7"/>
    </row>
    <row r="16170" spans="1:16">
      <c r="A16170" s="3">
        <v>44446.888356481482</v>
      </c>
      <c r="B16170" s="4" t="str">
        <f>HYPERLINK("https://twitter.com/petrogustavo","@petrogustavo")</f>
        <v>@petrogustavo</v>
      </c>
      <c r="C16170" s="5" t="s">
        <v>16</v>
      </c>
      <c r="D16170" s="5" t="s">
        <v>15563</v>
      </c>
      <c r="E16170" s="6" t="str">
        <f>HYPERLINK("https://twitter.com/petrogustavo/status/1435268933393788929","1435268933393788929")</f>
        <v>1435268933393788929</v>
      </c>
      <c r="F16170" s="7" t="s">
        <v>17</v>
      </c>
      <c r="G16170" s="7">
        <v>4357062</v>
      </c>
      <c r="H16170" s="7">
        <v>2537</v>
      </c>
      <c r="I16170" s="7">
        <v>108</v>
      </c>
      <c r="J16170" s="7">
        <v>450</v>
      </c>
      <c r="K16170" s="7" t="s">
        <v>18</v>
      </c>
      <c r="L16170" s="8">
        <v>39987.315405092595</v>
      </c>
      <c r="M16170" s="9" t="s">
        <v>19</v>
      </c>
      <c r="N16170" s="9" t="s">
        <v>20</v>
      </c>
      <c r="O16170" s="6" t="str">
        <f>HYPERLINK("https://pbs.twimg.com/profile_images/962471262747529216/Uo8lOkRJ_normal.jpg","View")</f>
        <v>View</v>
      </c>
      <c r="P16170" s="7"/>
    </row>
    <row r="16171" spans="1:16">
      <c r="A16171" s="3">
        <v>44446.894884259258</v>
      </c>
      <c r="B16171" s="4" t="str">
        <f>HYPERLINK("https://twitter.com/petrogustavo","@petrogustavo")</f>
        <v>@petrogustavo</v>
      </c>
      <c r="C16171" s="5" t="s">
        <v>16</v>
      </c>
      <c r="D16171" s="5" t="s">
        <v>15564</v>
      </c>
      <c r="E16171" s="6" t="str">
        <f>HYPERLINK("https://twitter.com/petrogustavo/status/1435271298494705669","1435271298494705669")</f>
        <v>1435271298494705669</v>
      </c>
      <c r="F16171" s="7" t="s">
        <v>17</v>
      </c>
      <c r="G16171" s="7">
        <v>4357062</v>
      </c>
      <c r="H16171" s="7">
        <v>2537</v>
      </c>
      <c r="I16171" s="7">
        <v>90</v>
      </c>
      <c r="J16171" s="7">
        <v>249</v>
      </c>
      <c r="K16171" s="7" t="s">
        <v>18</v>
      </c>
      <c r="L16171" s="8">
        <v>39987.315405092595</v>
      </c>
      <c r="M16171" s="9" t="s">
        <v>19</v>
      </c>
      <c r="N16171" s="9" t="s">
        <v>20</v>
      </c>
      <c r="O16171" s="6" t="str">
        <f>HYPERLINK("https://pbs.twimg.com/profile_images/962471262747529216/Uo8lOkRJ_normal.jpg","View")</f>
        <v>View</v>
      </c>
      <c r="P16171" s="7"/>
    </row>
    <row r="16172" spans="1:16">
      <c r="A16172" s="3">
        <v>44447.172662037032</v>
      </c>
      <c r="B16172" s="4" t="str">
        <f>HYPERLINK("https://twitter.com/petrogustavo","@petrogustavo")</f>
        <v>@petrogustavo</v>
      </c>
      <c r="C16172" s="5" t="s">
        <v>16</v>
      </c>
      <c r="D16172" s="5" t="s">
        <v>15565</v>
      </c>
      <c r="E16172" s="6" t="str">
        <f>HYPERLINK("https://twitter.com/petrogustavo/status/1435371962495389702","1435371962495389702")</f>
        <v>1435371962495389702</v>
      </c>
      <c r="F16172" s="7" t="s">
        <v>21</v>
      </c>
      <c r="G16172" s="7">
        <v>4358008</v>
      </c>
      <c r="H16172" s="7">
        <v>2536</v>
      </c>
      <c r="I16172" s="7">
        <v>140</v>
      </c>
      <c r="J16172" s="7">
        <v>299</v>
      </c>
      <c r="K16172" s="7" t="s">
        <v>18</v>
      </c>
      <c r="L16172" s="8">
        <v>39987.315405092595</v>
      </c>
      <c r="M16172" s="9" t="s">
        <v>19</v>
      </c>
      <c r="N16172" s="9" t="s">
        <v>20</v>
      </c>
      <c r="O16172" s="6" t="str">
        <f>HYPERLINK("https://pbs.twimg.com/profile_images/962471262747529216/Uo8lOkRJ_normal.jpg","View")</f>
        <v>View</v>
      </c>
      <c r="P16172" s="7"/>
    </row>
    <row r="16173" spans="1:16">
      <c r="A16173" s="3">
        <v>44447.296412037038</v>
      </c>
      <c r="B16173" s="4" t="str">
        <f>HYPERLINK("https://twitter.com/petrogustavo","@petrogustavo")</f>
        <v>@petrogustavo</v>
      </c>
      <c r="C16173" s="5" t="s">
        <v>16</v>
      </c>
      <c r="D16173" s="5" t="s">
        <v>15566</v>
      </c>
      <c r="E16173" s="6" t="str">
        <f>HYPERLINK("https://twitter.com/petrogustavo/status/1435416808249561090","1435416808249561090")</f>
        <v>1435416808249561090</v>
      </c>
      <c r="F16173" s="7" t="s">
        <v>32</v>
      </c>
      <c r="G16173" s="7">
        <v>4358009</v>
      </c>
      <c r="H16173" s="7">
        <v>2536</v>
      </c>
      <c r="I16173" s="7">
        <v>1559</v>
      </c>
      <c r="J16173" s="7">
        <v>0</v>
      </c>
      <c r="K16173" s="7" t="s">
        <v>18</v>
      </c>
      <c r="L16173" s="8">
        <v>39987.315405092595</v>
      </c>
      <c r="M16173" s="9" t="s">
        <v>19</v>
      </c>
      <c r="N16173" s="9" t="s">
        <v>20</v>
      </c>
      <c r="O16173" s="6" t="str">
        <f>HYPERLINK("https://pbs.twimg.com/profile_images/962471262747529216/Uo8lOkRJ_normal.jpg","View")</f>
        <v>View</v>
      </c>
      <c r="P16173" s="7"/>
    </row>
    <row r="16174" spans="1:16">
      <c r="A16174" s="3">
        <v>44447.30196759259</v>
      </c>
      <c r="B16174" s="4" t="str">
        <f>HYPERLINK("https://twitter.com/petrogustavo","@petrogustavo")</f>
        <v>@petrogustavo</v>
      </c>
      <c r="C16174" s="5" t="s">
        <v>16</v>
      </c>
      <c r="D16174" s="5" t="s">
        <v>15567</v>
      </c>
      <c r="E16174" s="6" t="str">
        <f>HYPERLINK("https://twitter.com/petrogustavo/status/1435418821712613378","1435418821712613378")</f>
        <v>1435418821712613378</v>
      </c>
      <c r="F16174" s="7" t="s">
        <v>32</v>
      </c>
      <c r="G16174" s="7">
        <v>4358009</v>
      </c>
      <c r="H16174" s="7">
        <v>2536</v>
      </c>
      <c r="I16174" s="7">
        <v>218</v>
      </c>
      <c r="J16174" s="7">
        <v>0</v>
      </c>
      <c r="K16174" s="7" t="s">
        <v>18</v>
      </c>
      <c r="L16174" s="8">
        <v>39987.315405092595</v>
      </c>
      <c r="M16174" s="9" t="s">
        <v>19</v>
      </c>
      <c r="N16174" s="9" t="s">
        <v>20</v>
      </c>
      <c r="O16174" s="6" t="str">
        <f>HYPERLINK("https://pbs.twimg.com/profile_images/962471262747529216/Uo8lOkRJ_normal.jpg","View")</f>
        <v>View</v>
      </c>
      <c r="P16174" s="7"/>
    </row>
    <row r="16175" spans="1:16">
      <c r="A16175" s="3">
        <v>44447.30400462963</v>
      </c>
      <c r="B16175" s="4" t="str">
        <f>HYPERLINK("https://twitter.com/petrogustavo","@petrogustavo")</f>
        <v>@petrogustavo</v>
      </c>
      <c r="C16175" s="5" t="s">
        <v>16</v>
      </c>
      <c r="D16175" s="5" t="s">
        <v>15568</v>
      </c>
      <c r="E16175" s="6" t="str">
        <f>HYPERLINK("https://twitter.com/petrogustavo/status/1435419560220545028","1435419560220545028")</f>
        <v>1435419560220545028</v>
      </c>
      <c r="F16175" s="7" t="s">
        <v>32</v>
      </c>
      <c r="G16175" s="7">
        <v>4358009</v>
      </c>
      <c r="H16175" s="7">
        <v>2536</v>
      </c>
      <c r="I16175" s="7">
        <v>173</v>
      </c>
      <c r="J16175" s="7">
        <v>0</v>
      </c>
      <c r="K16175" s="7" t="s">
        <v>18</v>
      </c>
      <c r="L16175" s="8">
        <v>39987.315405092595</v>
      </c>
      <c r="M16175" s="9" t="s">
        <v>19</v>
      </c>
      <c r="N16175" s="9" t="s">
        <v>20</v>
      </c>
      <c r="O16175" s="6" t="str">
        <f>HYPERLINK("https://pbs.twimg.com/profile_images/962471262747529216/Uo8lOkRJ_normal.jpg","View")</f>
        <v>View</v>
      </c>
      <c r="P16175" s="7"/>
    </row>
    <row r="16176" spans="1:16">
      <c r="A16176" s="3">
        <v>44447.304490740746</v>
      </c>
      <c r="B16176" s="4" t="str">
        <f>HYPERLINK("https://twitter.com/petrogustavo","@petrogustavo")</f>
        <v>@petrogustavo</v>
      </c>
      <c r="C16176" s="5" t="s">
        <v>16</v>
      </c>
      <c r="D16176" s="5" t="s">
        <v>15566</v>
      </c>
      <c r="E16176" s="6" t="str">
        <f>HYPERLINK("https://twitter.com/petrogustavo/status/1435419735693344773","1435419735693344773")</f>
        <v>1435419735693344773</v>
      </c>
      <c r="F16176" s="7" t="s">
        <v>32</v>
      </c>
      <c r="G16176" s="7">
        <v>4358028</v>
      </c>
      <c r="H16176" s="7">
        <v>2536</v>
      </c>
      <c r="I16176" s="7">
        <v>1747</v>
      </c>
      <c r="J16176" s="7">
        <v>0</v>
      </c>
      <c r="K16176" s="7" t="s">
        <v>18</v>
      </c>
      <c r="L16176" s="8">
        <v>39987.315405092595</v>
      </c>
      <c r="M16176" s="9" t="s">
        <v>19</v>
      </c>
      <c r="N16176" s="9" t="s">
        <v>20</v>
      </c>
      <c r="O16176" s="6" t="str">
        <f>HYPERLINK("https://pbs.twimg.com/profile_images/962471262747529216/Uo8lOkRJ_normal.jpg","View")</f>
        <v>View</v>
      </c>
      <c r="P16176" s="7"/>
    </row>
    <row r="16177" spans="1:16">
      <c r="A16177" s="3">
        <v>44447.817870370374</v>
      </c>
      <c r="B16177" s="4" t="str">
        <f>HYPERLINK("https://twitter.com/petrogustavo","@petrogustavo")</f>
        <v>@petrogustavo</v>
      </c>
      <c r="C16177" s="5" t="s">
        <v>16</v>
      </c>
      <c r="D16177" s="5" t="s">
        <v>15569</v>
      </c>
      <c r="E16177" s="6" t="str">
        <f>HYPERLINK("https://twitter.com/petrogustavo/status/1435605777620811783","1435605777620811783")</f>
        <v>1435605777620811783</v>
      </c>
      <c r="F16177" s="7" t="s">
        <v>17</v>
      </c>
      <c r="G16177" s="7">
        <v>4358223</v>
      </c>
      <c r="H16177" s="7">
        <v>2536</v>
      </c>
      <c r="I16177" s="7">
        <v>60</v>
      </c>
      <c r="J16177" s="7">
        <v>155</v>
      </c>
      <c r="K16177" s="7" t="s">
        <v>18</v>
      </c>
      <c r="L16177" s="8">
        <v>39987.315405092595</v>
      </c>
      <c r="M16177" s="9" t="s">
        <v>19</v>
      </c>
      <c r="N16177" s="9" t="s">
        <v>20</v>
      </c>
      <c r="O16177" s="6" t="str">
        <f>HYPERLINK("https://pbs.twimg.com/profile_images/962471262747529216/Uo8lOkRJ_normal.jpg","View")</f>
        <v>View</v>
      </c>
      <c r="P16177" s="7"/>
    </row>
    <row r="16178" spans="1:16">
      <c r="A16178" s="3">
        <v>44447.819074074076</v>
      </c>
      <c r="B16178" s="4" t="str">
        <f>HYPERLINK("https://twitter.com/petrogustavo","@petrogustavo")</f>
        <v>@petrogustavo</v>
      </c>
      <c r="C16178" s="5" t="s">
        <v>16</v>
      </c>
      <c r="D16178" s="5" t="s">
        <v>15570</v>
      </c>
      <c r="E16178" s="6" t="str">
        <f>HYPERLINK("https://twitter.com/petrogustavo/status/1435606213891342336","1435606213891342336")</f>
        <v>1435606213891342336</v>
      </c>
      <c r="F16178" s="7" t="s">
        <v>17</v>
      </c>
      <c r="G16178" s="7">
        <v>4358223</v>
      </c>
      <c r="H16178" s="7">
        <v>2536</v>
      </c>
      <c r="I16178" s="7">
        <v>41</v>
      </c>
      <c r="J16178" s="7">
        <v>122</v>
      </c>
      <c r="K16178" s="7" t="s">
        <v>18</v>
      </c>
      <c r="L16178" s="8">
        <v>39987.315405092595</v>
      </c>
      <c r="M16178" s="9" t="s">
        <v>19</v>
      </c>
      <c r="N16178" s="9" t="s">
        <v>20</v>
      </c>
      <c r="O16178" s="6" t="str">
        <f>HYPERLINK("https://pbs.twimg.com/profile_images/962471262747529216/Uo8lOkRJ_normal.jpg","View")</f>
        <v>View</v>
      </c>
      <c r="P16178" s="7"/>
    </row>
    <row r="16179" spans="1:16">
      <c r="A16179" s="3">
        <v>44447.820381944446</v>
      </c>
      <c r="B16179" s="4" t="str">
        <f>HYPERLINK("https://twitter.com/petrogustavo","@petrogustavo")</f>
        <v>@petrogustavo</v>
      </c>
      <c r="C16179" s="5" t="s">
        <v>16</v>
      </c>
      <c r="D16179" s="5" t="s">
        <v>15571</v>
      </c>
      <c r="E16179" s="6" t="str">
        <f>HYPERLINK("https://twitter.com/petrogustavo/status/1435606688502099969","1435606688502099969")</f>
        <v>1435606688502099969</v>
      </c>
      <c r="F16179" s="7" t="s">
        <v>17</v>
      </c>
      <c r="G16179" s="7">
        <v>4358223</v>
      </c>
      <c r="H16179" s="7">
        <v>2536</v>
      </c>
      <c r="I16179" s="7">
        <v>24</v>
      </c>
      <c r="J16179" s="7">
        <v>59</v>
      </c>
      <c r="K16179" s="7" t="s">
        <v>18</v>
      </c>
      <c r="L16179" s="8">
        <v>39987.315405092595</v>
      </c>
      <c r="M16179" s="9" t="s">
        <v>19</v>
      </c>
      <c r="N16179" s="9" t="s">
        <v>20</v>
      </c>
      <c r="O16179" s="6" t="str">
        <f>HYPERLINK("https://pbs.twimg.com/profile_images/962471262747529216/Uo8lOkRJ_normal.jpg","View")</f>
        <v>View</v>
      </c>
      <c r="P16179" s="7"/>
    </row>
    <row r="16180" spans="1:16">
      <c r="A16180" s="3">
        <v>44447.822685185187</v>
      </c>
      <c r="B16180" s="4" t="str">
        <f>HYPERLINK("https://twitter.com/petrogustavo","@petrogustavo")</f>
        <v>@petrogustavo</v>
      </c>
      <c r="C16180" s="5" t="s">
        <v>16</v>
      </c>
      <c r="D16180" s="5" t="s">
        <v>15572</v>
      </c>
      <c r="E16180" s="6" t="str">
        <f>HYPERLINK("https://twitter.com/petrogustavo/status/1435607522749079558","1435607522749079558")</f>
        <v>1435607522749079558</v>
      </c>
      <c r="F16180" s="7" t="s">
        <v>17</v>
      </c>
      <c r="G16180" s="7">
        <v>4358223</v>
      </c>
      <c r="H16180" s="7">
        <v>2536</v>
      </c>
      <c r="I16180" s="7">
        <v>23</v>
      </c>
      <c r="J16180" s="7">
        <v>0</v>
      </c>
      <c r="K16180" s="7" t="s">
        <v>18</v>
      </c>
      <c r="L16180" s="8">
        <v>39987.315405092595</v>
      </c>
      <c r="M16180" s="9" t="s">
        <v>19</v>
      </c>
      <c r="N16180" s="9" t="s">
        <v>20</v>
      </c>
      <c r="O16180" s="6" t="str">
        <f>HYPERLINK("https://pbs.twimg.com/profile_images/962471262747529216/Uo8lOkRJ_normal.jpg","View")</f>
        <v>View</v>
      </c>
      <c r="P16180" s="7"/>
    </row>
    <row r="16181" spans="1:16">
      <c r="A16181" s="3">
        <v>44447.823564814811</v>
      </c>
      <c r="B16181" s="4" t="str">
        <f>HYPERLINK("https://twitter.com/petrogustavo","@petrogustavo")</f>
        <v>@petrogustavo</v>
      </c>
      <c r="C16181" s="5" t="s">
        <v>16</v>
      </c>
      <c r="D16181" s="5" t="s">
        <v>15573</v>
      </c>
      <c r="E16181" s="6" t="str">
        <f>HYPERLINK("https://twitter.com/petrogustavo/status/1435607841457516546","1435607841457516546")</f>
        <v>1435607841457516546</v>
      </c>
      <c r="F16181" s="7" t="s">
        <v>17</v>
      </c>
      <c r="G16181" s="7">
        <v>4358223</v>
      </c>
      <c r="H16181" s="7">
        <v>2536</v>
      </c>
      <c r="I16181" s="7">
        <v>1461</v>
      </c>
      <c r="J16181" s="7">
        <v>0</v>
      </c>
      <c r="K16181" s="7" t="s">
        <v>18</v>
      </c>
      <c r="L16181" s="8">
        <v>39987.315405092595</v>
      </c>
      <c r="M16181" s="9" t="s">
        <v>19</v>
      </c>
      <c r="N16181" s="9" t="s">
        <v>20</v>
      </c>
      <c r="O16181" s="6" t="str">
        <f>HYPERLINK("https://pbs.twimg.com/profile_images/962471262747529216/Uo8lOkRJ_normal.jpg","View")</f>
        <v>View</v>
      </c>
      <c r="P16181" s="7"/>
    </row>
    <row r="16182" spans="1:16">
      <c r="A16182" s="3">
        <v>44447.826817129629</v>
      </c>
      <c r="B16182" s="4" t="str">
        <f>HYPERLINK("https://twitter.com/petrogustavo","@petrogustavo")</f>
        <v>@petrogustavo</v>
      </c>
      <c r="C16182" s="5" t="s">
        <v>16</v>
      </c>
      <c r="D16182" s="5" t="s">
        <v>15574</v>
      </c>
      <c r="E16182" s="6" t="str">
        <f>HYPERLINK("https://twitter.com/petrogustavo/status/1435609018815455236","1435609018815455236")</f>
        <v>1435609018815455236</v>
      </c>
      <c r="F16182" s="7" t="s">
        <v>17</v>
      </c>
      <c r="G16182" s="7">
        <v>4358235</v>
      </c>
      <c r="H16182" s="7">
        <v>2536</v>
      </c>
      <c r="I16182" s="7">
        <v>110</v>
      </c>
      <c r="J16182" s="7">
        <v>0</v>
      </c>
      <c r="K16182" s="7" t="s">
        <v>18</v>
      </c>
      <c r="L16182" s="8">
        <v>39987.315405092595</v>
      </c>
      <c r="M16182" s="9" t="s">
        <v>19</v>
      </c>
      <c r="N16182" s="9" t="s">
        <v>20</v>
      </c>
      <c r="O16182" s="6" t="str">
        <f>HYPERLINK("https://pbs.twimg.com/profile_images/962471262747529216/Uo8lOkRJ_normal.jpg","View")</f>
        <v>View</v>
      </c>
      <c r="P16182" s="7"/>
    </row>
    <row r="16183" spans="1:16">
      <c r="A16183" s="3">
        <v>44447.829513888893</v>
      </c>
      <c r="B16183" s="4" t="str">
        <f>HYPERLINK("https://twitter.com/petrogustavo","@petrogustavo")</f>
        <v>@petrogustavo</v>
      </c>
      <c r="C16183" s="5" t="s">
        <v>16</v>
      </c>
      <c r="D16183" s="5" t="s">
        <v>15575</v>
      </c>
      <c r="E16183" s="6" t="str">
        <f>HYPERLINK("https://twitter.com/petrogustavo/status/1435609998038548485","1435609998038548485")</f>
        <v>1435609998038548485</v>
      </c>
      <c r="F16183" s="7" t="s">
        <v>17</v>
      </c>
      <c r="G16183" s="7">
        <v>4358235</v>
      </c>
      <c r="H16183" s="7">
        <v>2536</v>
      </c>
      <c r="I16183" s="7">
        <v>119</v>
      </c>
      <c r="J16183" s="7">
        <v>238</v>
      </c>
      <c r="K16183" s="7" t="s">
        <v>18</v>
      </c>
      <c r="L16183" s="8">
        <v>39987.315405092595</v>
      </c>
      <c r="M16183" s="9" t="s">
        <v>19</v>
      </c>
      <c r="N16183" s="9" t="s">
        <v>20</v>
      </c>
      <c r="O16183" s="6" t="str">
        <f>HYPERLINK("https://pbs.twimg.com/profile_images/962471262747529216/Uo8lOkRJ_normal.jpg","View")</f>
        <v>View</v>
      </c>
      <c r="P16183" s="7"/>
    </row>
    <row r="16184" spans="1:16">
      <c r="A16184" s="3">
        <v>44447.843726851846</v>
      </c>
      <c r="B16184" s="4" t="str">
        <f>HYPERLINK("https://twitter.com/petrogustavo","@petrogustavo")</f>
        <v>@petrogustavo</v>
      </c>
      <c r="C16184" s="5" t="s">
        <v>16</v>
      </c>
      <c r="D16184" s="5" t="s">
        <v>15576</v>
      </c>
      <c r="E16184" s="6" t="str">
        <f>HYPERLINK("https://twitter.com/petrogustavo/status/1435615149638012929","1435615149638012929")</f>
        <v>1435615149638012929</v>
      </c>
      <c r="F16184" s="7" t="s">
        <v>17</v>
      </c>
      <c r="G16184" s="7">
        <v>4358235</v>
      </c>
      <c r="H16184" s="7">
        <v>2536</v>
      </c>
      <c r="I16184" s="7">
        <v>23</v>
      </c>
      <c r="J16184" s="7">
        <v>60</v>
      </c>
      <c r="K16184" s="7" t="s">
        <v>18</v>
      </c>
      <c r="L16184" s="8">
        <v>39987.315405092595</v>
      </c>
      <c r="M16184" s="9" t="s">
        <v>19</v>
      </c>
      <c r="N16184" s="9" t="s">
        <v>20</v>
      </c>
      <c r="O16184" s="6" t="str">
        <f>HYPERLINK("https://pbs.twimg.com/profile_images/962471262747529216/Uo8lOkRJ_normal.jpg","View")</f>
        <v>View</v>
      </c>
      <c r="P16184" s="7"/>
    </row>
    <row r="16185" spans="1:16">
      <c r="A16185" s="3">
        <v>44447.853125000001</v>
      </c>
      <c r="B16185" s="4" t="str">
        <f>HYPERLINK("https://twitter.com/petrogustavo","@petrogustavo")</f>
        <v>@petrogustavo</v>
      </c>
      <c r="C16185" s="5" t="s">
        <v>16</v>
      </c>
      <c r="D16185" s="5" t="s">
        <v>15577</v>
      </c>
      <c r="E16185" s="6" t="str">
        <f>HYPERLINK("https://twitter.com/petrogustavo/status/1435618554716491782","1435618554716491782")</f>
        <v>1435618554716491782</v>
      </c>
      <c r="F16185" s="7" t="s">
        <v>17</v>
      </c>
      <c r="G16185" s="7">
        <v>4358249</v>
      </c>
      <c r="H16185" s="7">
        <v>2536</v>
      </c>
      <c r="I16185" s="7">
        <v>162</v>
      </c>
      <c r="J16185" s="7">
        <v>0</v>
      </c>
      <c r="K16185" s="7" t="s">
        <v>18</v>
      </c>
      <c r="L16185" s="8">
        <v>39987.315405092595</v>
      </c>
      <c r="M16185" s="9" t="s">
        <v>19</v>
      </c>
      <c r="N16185" s="9" t="s">
        <v>20</v>
      </c>
      <c r="O16185" s="6" t="str">
        <f>HYPERLINK("https://pbs.twimg.com/profile_images/962471262747529216/Uo8lOkRJ_normal.jpg","View")</f>
        <v>View</v>
      </c>
      <c r="P16185" s="7"/>
    </row>
    <row r="16186" spans="1:16">
      <c r="A16186" s="3">
        <v>44447.853275462963</v>
      </c>
      <c r="B16186" s="4" t="str">
        <f>HYPERLINK("https://twitter.com/petrogustavo","@petrogustavo")</f>
        <v>@petrogustavo</v>
      </c>
      <c r="C16186" s="5" t="s">
        <v>16</v>
      </c>
      <c r="D16186" s="5" t="s">
        <v>15566</v>
      </c>
      <c r="E16186" s="6" t="str">
        <f>HYPERLINK("https://twitter.com/petrogustavo/status/1435618609959776269","1435618609959776269")</f>
        <v>1435618609959776269</v>
      </c>
      <c r="F16186" s="7" t="s">
        <v>17</v>
      </c>
      <c r="G16186" s="7">
        <v>4358249</v>
      </c>
      <c r="H16186" s="7">
        <v>2536</v>
      </c>
      <c r="I16186" s="7">
        <v>4095</v>
      </c>
      <c r="J16186" s="7">
        <v>0</v>
      </c>
      <c r="K16186" s="7" t="s">
        <v>18</v>
      </c>
      <c r="L16186" s="8">
        <v>39987.315405092595</v>
      </c>
      <c r="M16186" s="9" t="s">
        <v>19</v>
      </c>
      <c r="N16186" s="9" t="s">
        <v>20</v>
      </c>
      <c r="O16186" s="6" t="str">
        <f>HYPERLINK("https://pbs.twimg.com/profile_images/962471262747529216/Uo8lOkRJ_normal.jpg","View")</f>
        <v>View</v>
      </c>
      <c r="P16186" s="7"/>
    </row>
    <row r="16187" spans="1:16">
      <c r="A16187" s="3">
        <v>44447.886493055557</v>
      </c>
      <c r="B16187" s="4" t="str">
        <f>HYPERLINK("https://twitter.com/petrogustavo","@petrogustavo")</f>
        <v>@petrogustavo</v>
      </c>
      <c r="C16187" s="5" t="s">
        <v>16</v>
      </c>
      <c r="D16187" s="5" t="s">
        <v>15578</v>
      </c>
      <c r="E16187" s="6" t="str">
        <f>HYPERLINK("https://twitter.com/petrogustavo/status/1435630646911803396","1435630646911803396")</f>
        <v>1435630646911803396</v>
      </c>
      <c r="F16187" s="7" t="s">
        <v>32</v>
      </c>
      <c r="G16187" s="7">
        <v>4358263</v>
      </c>
      <c r="H16187" s="7">
        <v>2536</v>
      </c>
      <c r="I16187" s="7">
        <v>28</v>
      </c>
      <c r="J16187" s="7">
        <v>57</v>
      </c>
      <c r="K16187" s="7" t="s">
        <v>18</v>
      </c>
      <c r="L16187" s="8">
        <v>39987.315405092595</v>
      </c>
      <c r="M16187" s="9" t="s">
        <v>19</v>
      </c>
      <c r="N16187" s="9" t="s">
        <v>20</v>
      </c>
      <c r="O16187" s="6" t="str">
        <f>HYPERLINK("https://pbs.twimg.com/profile_images/962471262747529216/Uo8lOkRJ_normal.jpg","View")</f>
        <v>View</v>
      </c>
      <c r="P16187" s="7"/>
    </row>
    <row r="16188" spans="1:16">
      <c r="A16188" s="3">
        <v>44448.147766203707</v>
      </c>
      <c r="B16188" s="4" t="str">
        <f>HYPERLINK("https://twitter.com/petrogustavo","@petrogustavo")</f>
        <v>@petrogustavo</v>
      </c>
      <c r="C16188" s="5" t="s">
        <v>16</v>
      </c>
      <c r="D16188" s="5" t="s">
        <v>15566</v>
      </c>
      <c r="E16188" s="6" t="str">
        <f>HYPERLINK("https://twitter.com/petrogustavo/status/1435725328803106823","1435725328803106823")</f>
        <v>1435725328803106823</v>
      </c>
      <c r="F16188" s="7" t="s">
        <v>32</v>
      </c>
      <c r="G16188" s="7">
        <v>4358418</v>
      </c>
      <c r="H16188" s="7">
        <v>2536</v>
      </c>
      <c r="I16188" s="7">
        <v>4833</v>
      </c>
      <c r="J16188" s="7">
        <v>0</v>
      </c>
      <c r="K16188" s="7" t="s">
        <v>18</v>
      </c>
      <c r="L16188" s="8">
        <v>39987.315405092595</v>
      </c>
      <c r="M16188" s="9" t="s">
        <v>19</v>
      </c>
      <c r="N16188" s="9" t="s">
        <v>20</v>
      </c>
      <c r="O16188" s="6" t="str">
        <f>HYPERLINK("https://pbs.twimg.com/profile_images/962471262747529216/Uo8lOkRJ_normal.jpg","View")</f>
        <v>View</v>
      </c>
      <c r="P16188" s="7"/>
    </row>
    <row r="16189" spans="1:16">
      <c r="A16189" s="3">
        <v>44448.255115740743</v>
      </c>
      <c r="B16189" s="4" t="str">
        <f>HYPERLINK("https://twitter.com/petrogustavo","@petrogustavo")</f>
        <v>@petrogustavo</v>
      </c>
      <c r="C16189" s="5" t="s">
        <v>16</v>
      </c>
      <c r="D16189" s="5" t="s">
        <v>15579</v>
      </c>
      <c r="E16189" s="6" t="str">
        <f>HYPERLINK("https://twitter.com/petrogustavo/status/1435764231979339786","1435764231979339786")</f>
        <v>1435764231979339786</v>
      </c>
      <c r="F16189" s="7" t="s">
        <v>32</v>
      </c>
      <c r="G16189" s="7">
        <v>4358474</v>
      </c>
      <c r="H16189" s="7">
        <v>2536</v>
      </c>
      <c r="I16189" s="7">
        <v>1104</v>
      </c>
      <c r="J16189" s="7">
        <v>0</v>
      </c>
      <c r="K16189" s="7" t="s">
        <v>18</v>
      </c>
      <c r="L16189" s="8">
        <v>39987.315405092595</v>
      </c>
      <c r="M16189" s="9" t="s">
        <v>19</v>
      </c>
      <c r="N16189" s="9" t="s">
        <v>20</v>
      </c>
      <c r="O16189" s="6" t="str">
        <f>HYPERLINK("https://pbs.twimg.com/profile_images/962471262747529216/Uo8lOkRJ_normal.jpg","View")</f>
        <v>View</v>
      </c>
      <c r="P16189" s="7"/>
    </row>
    <row r="16190" spans="1:16">
      <c r="A16190" s="3">
        <v>44448.260624999995</v>
      </c>
      <c r="B16190" s="4" t="str">
        <f>HYPERLINK("https://twitter.com/petrogustavo","@petrogustavo")</f>
        <v>@petrogustavo</v>
      </c>
      <c r="C16190" s="5" t="s">
        <v>16</v>
      </c>
      <c r="D16190" s="5" t="s">
        <v>15580</v>
      </c>
      <c r="E16190" s="6" t="str">
        <f>HYPERLINK("https://twitter.com/petrogustavo/status/1435766226094067717","1435766226094067717")</f>
        <v>1435766226094067717</v>
      </c>
      <c r="F16190" s="7" t="s">
        <v>32</v>
      </c>
      <c r="G16190" s="7">
        <v>4358474</v>
      </c>
      <c r="H16190" s="7">
        <v>2536</v>
      </c>
      <c r="I16190" s="7">
        <v>23</v>
      </c>
      <c r="J16190" s="7">
        <v>70</v>
      </c>
      <c r="K16190" s="7" t="s">
        <v>18</v>
      </c>
      <c r="L16190" s="8">
        <v>39987.315405092595</v>
      </c>
      <c r="M16190" s="9" t="s">
        <v>19</v>
      </c>
      <c r="N16190" s="9" t="s">
        <v>20</v>
      </c>
      <c r="O16190" s="6" t="str">
        <f>HYPERLINK("https://pbs.twimg.com/profile_images/962471262747529216/Uo8lOkRJ_normal.jpg","View")</f>
        <v>View</v>
      </c>
      <c r="P16190" s="7"/>
    </row>
    <row r="16191" spans="1:16">
      <c r="A16191" s="3">
        <v>44448.28597222222</v>
      </c>
      <c r="B16191" s="4" t="str">
        <f>HYPERLINK("https://twitter.com/petrogustavo","@petrogustavo")</f>
        <v>@petrogustavo</v>
      </c>
      <c r="C16191" s="5" t="s">
        <v>16</v>
      </c>
      <c r="D16191" s="5" t="s">
        <v>15581</v>
      </c>
      <c r="E16191" s="6" t="str">
        <f>HYPERLINK("https://twitter.com/petrogustavo/status/1435775410910945280","1435775410910945280")</f>
        <v>1435775410910945280</v>
      </c>
      <c r="F16191" s="7" t="s">
        <v>17</v>
      </c>
      <c r="G16191" s="7">
        <v>4358462</v>
      </c>
      <c r="H16191" s="7">
        <v>2536</v>
      </c>
      <c r="I16191" s="7">
        <v>210</v>
      </c>
      <c r="J16191" s="7">
        <v>576</v>
      </c>
      <c r="K16191" s="7" t="s">
        <v>18</v>
      </c>
      <c r="L16191" s="8">
        <v>39987.315405092595</v>
      </c>
      <c r="M16191" s="9" t="s">
        <v>19</v>
      </c>
      <c r="N16191" s="9" t="s">
        <v>20</v>
      </c>
      <c r="O16191" s="6" t="str">
        <f>HYPERLINK("https://pbs.twimg.com/profile_images/962471262747529216/Uo8lOkRJ_normal.jpg","View")</f>
        <v>View</v>
      </c>
      <c r="P16191" s="7"/>
    </row>
    <row r="16192" spans="1:16">
      <c r="A16192" s="3">
        <v>44448.287893518514</v>
      </c>
      <c r="B16192" s="4" t="str">
        <f>HYPERLINK("https://twitter.com/petrogustavo","@petrogustavo")</f>
        <v>@petrogustavo</v>
      </c>
      <c r="C16192" s="5" t="s">
        <v>16</v>
      </c>
      <c r="D16192" s="5" t="s">
        <v>15582</v>
      </c>
      <c r="E16192" s="6" t="str">
        <f>HYPERLINK("https://twitter.com/petrogustavo/status/1435776110852194311","1435776110852194311")</f>
        <v>1435776110852194311</v>
      </c>
      <c r="F16192" s="7" t="s">
        <v>32</v>
      </c>
      <c r="G16192" s="7">
        <v>4358462</v>
      </c>
      <c r="H16192" s="7">
        <v>2536</v>
      </c>
      <c r="I16192" s="7">
        <v>50</v>
      </c>
      <c r="J16192" s="7">
        <v>0</v>
      </c>
      <c r="K16192" s="7" t="s">
        <v>18</v>
      </c>
      <c r="L16192" s="8">
        <v>39987.315405092595</v>
      </c>
      <c r="M16192" s="9" t="s">
        <v>19</v>
      </c>
      <c r="N16192" s="9" t="s">
        <v>20</v>
      </c>
      <c r="O16192" s="6" t="str">
        <f>HYPERLINK("https://pbs.twimg.com/profile_images/962471262747529216/Uo8lOkRJ_normal.jpg","View")</f>
        <v>View</v>
      </c>
      <c r="P16192" s="7"/>
    </row>
    <row r="16193" spans="1:16">
      <c r="A16193" s="3">
        <v>44448.288842592592</v>
      </c>
      <c r="B16193" s="4" t="str">
        <f>HYPERLINK("https://twitter.com/petrogustavo","@petrogustavo")</f>
        <v>@petrogustavo</v>
      </c>
      <c r="C16193" s="5" t="s">
        <v>16</v>
      </c>
      <c r="D16193" s="5" t="s">
        <v>15583</v>
      </c>
      <c r="E16193" s="6" t="str">
        <f>HYPERLINK("https://twitter.com/petrogustavo/status/1435776452432121860","1435776452432121860")</f>
        <v>1435776452432121860</v>
      </c>
      <c r="F16193" s="7" t="s">
        <v>32</v>
      </c>
      <c r="G16193" s="7">
        <v>4358462</v>
      </c>
      <c r="H16193" s="7">
        <v>2536</v>
      </c>
      <c r="I16193" s="7">
        <v>165</v>
      </c>
      <c r="J16193" s="7">
        <v>0</v>
      </c>
      <c r="K16193" s="7" t="s">
        <v>18</v>
      </c>
      <c r="L16193" s="8">
        <v>39987.315405092595</v>
      </c>
      <c r="M16193" s="9" t="s">
        <v>19</v>
      </c>
      <c r="N16193" s="9" t="s">
        <v>20</v>
      </c>
      <c r="O16193" s="6" t="str">
        <f>HYPERLINK("https://pbs.twimg.com/profile_images/962471262747529216/Uo8lOkRJ_normal.jpg","View")</f>
        <v>View</v>
      </c>
      <c r="P16193" s="7"/>
    </row>
    <row r="16194" spans="1:16">
      <c r="A16194" s="3">
        <v>44448.307962962965</v>
      </c>
      <c r="B16194" s="4" t="str">
        <f>HYPERLINK("https://twitter.com/petrogustavo","@petrogustavo")</f>
        <v>@petrogustavo</v>
      </c>
      <c r="C16194" s="5" t="s">
        <v>16</v>
      </c>
      <c r="D16194" s="5" t="s">
        <v>15584</v>
      </c>
      <c r="E16194" s="6" t="str">
        <f>HYPERLINK("https://twitter.com/petrogustavo/status/1435783383934722050","1435783383934722050")</f>
        <v>1435783383934722050</v>
      </c>
      <c r="F16194" s="7" t="s">
        <v>32</v>
      </c>
      <c r="G16194" s="7">
        <v>4358500</v>
      </c>
      <c r="H16194" s="7">
        <v>2536</v>
      </c>
      <c r="I16194" s="7">
        <v>497</v>
      </c>
      <c r="J16194" s="7">
        <v>0</v>
      </c>
      <c r="K16194" s="7" t="s">
        <v>18</v>
      </c>
      <c r="L16194" s="8">
        <v>39987.315405092595</v>
      </c>
      <c r="M16194" s="9" t="s">
        <v>19</v>
      </c>
      <c r="N16194" s="9" t="s">
        <v>20</v>
      </c>
      <c r="O16194" s="6" t="str">
        <f>HYPERLINK("https://pbs.twimg.com/profile_images/962471262747529216/Uo8lOkRJ_normal.jpg","View")</f>
        <v>View</v>
      </c>
      <c r="P16194" s="7"/>
    </row>
    <row r="16195" spans="1:16">
      <c r="A16195" s="3">
        <v>44448.810081018513</v>
      </c>
      <c r="B16195" s="4" t="str">
        <f>HYPERLINK("https://twitter.com/petrogustavo","@petrogustavo")</f>
        <v>@petrogustavo</v>
      </c>
      <c r="C16195" s="5" t="s">
        <v>16</v>
      </c>
      <c r="D16195" s="5" t="s">
        <v>15585</v>
      </c>
      <c r="E16195" s="6" t="str">
        <f>HYPERLINK("https://twitter.com/petrogustavo/status/1435965342057000975","1435965342057000975")</f>
        <v>1435965342057000975</v>
      </c>
      <c r="F16195" s="7" t="s">
        <v>32</v>
      </c>
      <c r="G16195" s="7">
        <v>4358599</v>
      </c>
      <c r="H16195" s="7">
        <v>2536</v>
      </c>
      <c r="I16195" s="7">
        <v>466</v>
      </c>
      <c r="J16195" s="7">
        <v>1493</v>
      </c>
      <c r="K16195" s="7" t="s">
        <v>18</v>
      </c>
      <c r="L16195" s="8">
        <v>39987.315405092595</v>
      </c>
      <c r="M16195" s="9" t="s">
        <v>19</v>
      </c>
      <c r="N16195" s="9" t="s">
        <v>20</v>
      </c>
      <c r="O16195" s="6" t="str">
        <f>HYPERLINK("https://pbs.twimg.com/profile_images/962471262747529216/Uo8lOkRJ_normal.jpg","View")</f>
        <v>View</v>
      </c>
      <c r="P16195" s="7"/>
    </row>
    <row r="16196" spans="1:16">
      <c r="A16196" s="3">
        <v>44448.839305555557</v>
      </c>
      <c r="B16196" s="4" t="str">
        <f>HYPERLINK("https://twitter.com/petrogustavo","@petrogustavo")</f>
        <v>@petrogustavo</v>
      </c>
      <c r="C16196" s="5" t="s">
        <v>16</v>
      </c>
      <c r="D16196" s="5" t="s">
        <v>15586</v>
      </c>
      <c r="E16196" s="6" t="str">
        <f>HYPERLINK("https://twitter.com/petrogustavo/status/1435975934407024644","1435975934407024644")</f>
        <v>1435975934407024644</v>
      </c>
      <c r="F16196" s="7" t="s">
        <v>17</v>
      </c>
      <c r="G16196" s="7">
        <v>4358621</v>
      </c>
      <c r="H16196" s="7">
        <v>2536</v>
      </c>
      <c r="I16196" s="7">
        <v>148</v>
      </c>
      <c r="J16196" s="7">
        <v>520</v>
      </c>
      <c r="K16196" s="7" t="s">
        <v>18</v>
      </c>
      <c r="L16196" s="8">
        <v>39987.315405092595</v>
      </c>
      <c r="M16196" s="9" t="s">
        <v>19</v>
      </c>
      <c r="N16196" s="9" t="s">
        <v>20</v>
      </c>
      <c r="O16196" s="6" t="str">
        <f>HYPERLINK("https://pbs.twimg.com/profile_images/962471262747529216/Uo8lOkRJ_normal.jpg","View")</f>
        <v>View</v>
      </c>
      <c r="P16196" s="7"/>
    </row>
    <row r="16197" spans="1:16">
      <c r="A16197" s="3">
        <v>44448.839305555557</v>
      </c>
      <c r="B16197" s="4" t="str">
        <f>HYPERLINK("https://twitter.com/petrogustavo","@petrogustavo")</f>
        <v>@petrogustavo</v>
      </c>
      <c r="C16197" s="5" t="s">
        <v>16</v>
      </c>
      <c r="D16197" s="5" t="s">
        <v>15587</v>
      </c>
      <c r="E16197" s="6" t="str">
        <f>HYPERLINK("https://twitter.com/petrogustavo/status/1435975935359062028","1435975935359062028")</f>
        <v>1435975935359062028</v>
      </c>
      <c r="F16197" s="7" t="s">
        <v>17</v>
      </c>
      <c r="G16197" s="7">
        <v>4358621</v>
      </c>
      <c r="H16197" s="7">
        <v>2536</v>
      </c>
      <c r="I16197" s="7">
        <v>86</v>
      </c>
      <c r="J16197" s="7">
        <v>420</v>
      </c>
      <c r="K16197" s="7" t="s">
        <v>18</v>
      </c>
      <c r="L16197" s="8">
        <v>39987.315405092595</v>
      </c>
      <c r="M16197" s="9" t="s">
        <v>19</v>
      </c>
      <c r="N16197" s="9" t="s">
        <v>20</v>
      </c>
      <c r="O16197" s="6" t="str">
        <f>HYPERLINK("https://pbs.twimg.com/profile_images/962471262747529216/Uo8lOkRJ_normal.jpg","View")</f>
        <v>View</v>
      </c>
      <c r="P16197" s="7"/>
    </row>
    <row r="16198" spans="1:16">
      <c r="A16198" s="3">
        <v>44449.249664351853</v>
      </c>
      <c r="B16198" s="4" t="str">
        <f>HYPERLINK("https://twitter.com/petrogustavo","@petrogustavo")</f>
        <v>@petrogustavo</v>
      </c>
      <c r="C16198" s="5" t="s">
        <v>16</v>
      </c>
      <c r="D16198" s="5" t="s">
        <v>15588</v>
      </c>
      <c r="E16198" s="6" t="str">
        <f>HYPERLINK("https://twitter.com/petrogustavo/status/1436124641236504576","1436124641236504576")</f>
        <v>1436124641236504576</v>
      </c>
      <c r="F16198" s="7" t="s">
        <v>32</v>
      </c>
      <c r="G16198" s="7">
        <v>4358818</v>
      </c>
      <c r="H16198" s="7">
        <v>2537</v>
      </c>
      <c r="I16198" s="7">
        <v>2584</v>
      </c>
      <c r="J16198" s="7">
        <v>0</v>
      </c>
      <c r="K16198" s="7" t="s">
        <v>18</v>
      </c>
      <c r="L16198" s="8">
        <v>39987.315405092595</v>
      </c>
      <c r="M16198" s="9" t="s">
        <v>19</v>
      </c>
      <c r="N16198" s="9" t="s">
        <v>20</v>
      </c>
      <c r="O16198" s="6" t="str">
        <f>HYPERLINK("https://pbs.twimg.com/profile_images/962471262747529216/Uo8lOkRJ_normal.jpg","View")</f>
        <v>View</v>
      </c>
      <c r="P16198" s="7"/>
    </row>
    <row r="16199" spans="1:16">
      <c r="A16199" s="3">
        <v>44449.31181712963</v>
      </c>
      <c r="B16199" s="4" t="str">
        <f>HYPERLINK("https://twitter.com/petrogustavo","@petrogustavo")</f>
        <v>@petrogustavo</v>
      </c>
      <c r="C16199" s="5" t="s">
        <v>16</v>
      </c>
      <c r="D16199" s="5" t="s">
        <v>15589</v>
      </c>
      <c r="E16199" s="6" t="str">
        <f>HYPERLINK("https://twitter.com/petrogustavo/status/1436147167928930305","1436147167928930305")</f>
        <v>1436147167928930305</v>
      </c>
      <c r="F16199" s="7" t="s">
        <v>17</v>
      </c>
      <c r="G16199" s="7">
        <v>4358862</v>
      </c>
      <c r="H16199" s="7">
        <v>2537</v>
      </c>
      <c r="I16199" s="7">
        <v>425</v>
      </c>
      <c r="J16199" s="7">
        <v>0</v>
      </c>
      <c r="K16199" s="7" t="s">
        <v>18</v>
      </c>
      <c r="L16199" s="8">
        <v>39987.315405092595</v>
      </c>
      <c r="M16199" s="9" t="s">
        <v>19</v>
      </c>
      <c r="N16199" s="9" t="s">
        <v>20</v>
      </c>
      <c r="O16199" s="6" t="str">
        <f>HYPERLINK("https://pbs.twimg.com/profile_images/962471262747529216/Uo8lOkRJ_normal.jpg","View")</f>
        <v>View</v>
      </c>
      <c r="P16199" s="7"/>
    </row>
    <row r="16200" spans="1:16">
      <c r="A16200" s="3">
        <v>44449.312638888892</v>
      </c>
      <c r="B16200" s="4" t="str">
        <f>HYPERLINK("https://twitter.com/petrogustavo","@petrogustavo")</f>
        <v>@petrogustavo</v>
      </c>
      <c r="C16200" s="5" t="s">
        <v>16</v>
      </c>
      <c r="D16200" s="5" t="s">
        <v>15590</v>
      </c>
      <c r="E16200" s="6" t="str">
        <f>HYPERLINK("https://twitter.com/petrogustavo/status/1436147463241539589","1436147463241539589")</f>
        <v>1436147463241539589</v>
      </c>
      <c r="F16200" s="7" t="s">
        <v>17</v>
      </c>
      <c r="G16200" s="7">
        <v>4358862</v>
      </c>
      <c r="H16200" s="7">
        <v>2537</v>
      </c>
      <c r="I16200" s="7">
        <v>82</v>
      </c>
      <c r="J16200" s="7">
        <v>0</v>
      </c>
      <c r="K16200" s="7" t="s">
        <v>18</v>
      </c>
      <c r="L16200" s="8">
        <v>39987.315405092595</v>
      </c>
      <c r="M16200" s="9" t="s">
        <v>19</v>
      </c>
      <c r="N16200" s="9" t="s">
        <v>20</v>
      </c>
      <c r="O16200" s="6" t="str">
        <f>HYPERLINK("https://pbs.twimg.com/profile_images/962471262747529216/Uo8lOkRJ_normal.jpg","View")</f>
        <v>View</v>
      </c>
      <c r="P16200" s="7"/>
    </row>
    <row r="16201" spans="1:16">
      <c r="A16201" s="3">
        <v>44449.364733796298</v>
      </c>
      <c r="B16201" s="4" t="str">
        <f>HYPERLINK("https://twitter.com/petrogustavo","@petrogustavo")</f>
        <v>@petrogustavo</v>
      </c>
      <c r="C16201" s="5" t="s">
        <v>16</v>
      </c>
      <c r="D16201" s="5" t="s">
        <v>15591</v>
      </c>
      <c r="E16201" s="6" t="str">
        <f>HYPERLINK("https://twitter.com/petrogustavo/status/1436166342747512834","1436166342747512834")</f>
        <v>1436166342747512834</v>
      </c>
      <c r="F16201" s="7" t="s">
        <v>17</v>
      </c>
      <c r="G16201" s="7">
        <v>4358905</v>
      </c>
      <c r="H16201" s="7">
        <v>2537</v>
      </c>
      <c r="I16201" s="7">
        <v>21</v>
      </c>
      <c r="J16201" s="7">
        <v>51</v>
      </c>
      <c r="K16201" s="7" t="s">
        <v>18</v>
      </c>
      <c r="L16201" s="8">
        <v>39987.315405092595</v>
      </c>
      <c r="M16201" s="9" t="s">
        <v>19</v>
      </c>
      <c r="N16201" s="9" t="s">
        <v>20</v>
      </c>
      <c r="O16201" s="6" t="str">
        <f>HYPERLINK("https://pbs.twimg.com/profile_images/962471262747529216/Uo8lOkRJ_normal.jpg","View")</f>
        <v>View</v>
      </c>
      <c r="P16201" s="7"/>
    </row>
    <row r="16202" spans="1:16">
      <c r="A16202" s="3">
        <v>44449.385694444441</v>
      </c>
      <c r="B16202" s="4" t="str">
        <f>HYPERLINK("https://twitter.com/petrogustavo","@petrogustavo")</f>
        <v>@petrogustavo</v>
      </c>
      <c r="C16202" s="5" t="s">
        <v>16</v>
      </c>
      <c r="D16202" s="5" t="s">
        <v>15592</v>
      </c>
      <c r="E16202" s="6" t="str">
        <f>HYPERLINK("https://twitter.com/petrogustavo/status/1436173938791432197","1436173938791432197")</f>
        <v>1436173938791432197</v>
      </c>
      <c r="F16202" s="7" t="s">
        <v>17</v>
      </c>
      <c r="G16202" s="7">
        <v>4358924</v>
      </c>
      <c r="H16202" s="7">
        <v>2537</v>
      </c>
      <c r="I16202" s="7">
        <v>549</v>
      </c>
      <c r="J16202" s="7">
        <v>0</v>
      </c>
      <c r="K16202" s="7" t="s">
        <v>18</v>
      </c>
      <c r="L16202" s="8">
        <v>39987.315405092595</v>
      </c>
      <c r="M16202" s="9" t="s">
        <v>19</v>
      </c>
      <c r="N16202" s="9" t="s">
        <v>20</v>
      </c>
      <c r="O16202" s="6" t="str">
        <f>HYPERLINK("https://pbs.twimg.com/profile_images/962471262747529216/Uo8lOkRJ_normal.jpg","View")</f>
        <v>View</v>
      </c>
      <c r="P16202" s="7"/>
    </row>
    <row r="16203" spans="1:16">
      <c r="A16203" s="3">
        <v>44449.389131944445</v>
      </c>
      <c r="B16203" s="4" t="str">
        <f>HYPERLINK("https://twitter.com/petrogustavo","@petrogustavo")</f>
        <v>@petrogustavo</v>
      </c>
      <c r="C16203" s="5" t="s">
        <v>16</v>
      </c>
      <c r="D16203" s="5" t="s">
        <v>15593</v>
      </c>
      <c r="E16203" s="6" t="str">
        <f>HYPERLINK("https://twitter.com/petrogustavo/status/1436175183690223617","1436175183690223617")</f>
        <v>1436175183690223617</v>
      </c>
      <c r="F16203" s="7" t="s">
        <v>17</v>
      </c>
      <c r="G16203" s="7">
        <v>4358937</v>
      </c>
      <c r="H16203" s="7">
        <v>2537</v>
      </c>
      <c r="I16203" s="7">
        <v>215</v>
      </c>
      <c r="J16203" s="7">
        <v>829</v>
      </c>
      <c r="K16203" s="7" t="s">
        <v>18</v>
      </c>
      <c r="L16203" s="8">
        <v>39987.315405092595</v>
      </c>
      <c r="M16203" s="9" t="s">
        <v>19</v>
      </c>
      <c r="N16203" s="9" t="s">
        <v>20</v>
      </c>
      <c r="O16203" s="6" t="str">
        <f>HYPERLINK("https://pbs.twimg.com/profile_images/962471262747529216/Uo8lOkRJ_normal.jpg","View")</f>
        <v>View</v>
      </c>
      <c r="P16203" s="7"/>
    </row>
    <row r="16204" spans="1:16">
      <c r="A16204" s="3">
        <v>44449.712916666671</v>
      </c>
      <c r="B16204" s="4" t="str">
        <f>HYPERLINK("https://twitter.com/petrogustavo","@petrogustavo")</f>
        <v>@petrogustavo</v>
      </c>
      <c r="C16204" s="5" t="s">
        <v>16</v>
      </c>
      <c r="D16204" s="5" t="s">
        <v>15592</v>
      </c>
      <c r="E16204" s="6" t="str">
        <f>HYPERLINK("https://twitter.com/petrogustavo/status/1436292520753999873","1436292520753999873")</f>
        <v>1436292520753999873</v>
      </c>
      <c r="F16204" s="7" t="s">
        <v>17</v>
      </c>
      <c r="G16204" s="7">
        <v>4358979</v>
      </c>
      <c r="H16204" s="7">
        <v>2537</v>
      </c>
      <c r="I16204" s="7">
        <v>714</v>
      </c>
      <c r="J16204" s="7">
        <v>0</v>
      </c>
      <c r="K16204" s="7" t="s">
        <v>18</v>
      </c>
      <c r="L16204" s="8">
        <v>39987.315405092595</v>
      </c>
      <c r="M16204" s="9" t="s">
        <v>19</v>
      </c>
      <c r="N16204" s="9" t="s">
        <v>20</v>
      </c>
      <c r="O16204" s="6" t="str">
        <f>HYPERLINK("https://pbs.twimg.com/profile_images/962471262747529216/Uo8lOkRJ_normal.jpg","View")</f>
        <v>View</v>
      </c>
      <c r="P16204" s="7"/>
    </row>
    <row r="16205" spans="1:16">
      <c r="A16205" s="3">
        <v>44449.718298611115</v>
      </c>
      <c r="B16205" s="4" t="str">
        <f>HYPERLINK("https://twitter.com/petrogustavo","@petrogustavo")</f>
        <v>@petrogustavo</v>
      </c>
      <c r="C16205" s="5" t="s">
        <v>16</v>
      </c>
      <c r="D16205" s="5" t="s">
        <v>15594</v>
      </c>
      <c r="E16205" s="6" t="str">
        <f>HYPERLINK("https://twitter.com/petrogustavo/status/1436294470165745664","1436294470165745664")</f>
        <v>1436294470165745664</v>
      </c>
      <c r="F16205" s="7" t="s">
        <v>17</v>
      </c>
      <c r="G16205" s="7">
        <v>4358979</v>
      </c>
      <c r="H16205" s="7">
        <v>2537</v>
      </c>
      <c r="I16205" s="7">
        <v>14</v>
      </c>
      <c r="J16205" s="7">
        <v>51</v>
      </c>
      <c r="K16205" s="7" t="s">
        <v>18</v>
      </c>
      <c r="L16205" s="8">
        <v>39987.315405092595</v>
      </c>
      <c r="M16205" s="9" t="s">
        <v>19</v>
      </c>
      <c r="N16205" s="9" t="s">
        <v>20</v>
      </c>
      <c r="O16205" s="6" t="str">
        <f>HYPERLINK("https://pbs.twimg.com/profile_images/962471262747529216/Uo8lOkRJ_normal.jpg","View")</f>
        <v>View</v>
      </c>
      <c r="P16205" s="7"/>
    </row>
    <row r="16206" spans="1:16">
      <c r="A16206" s="3">
        <v>44449.765034722222</v>
      </c>
      <c r="B16206" s="4" t="str">
        <f>HYPERLINK("https://twitter.com/petrogustavo","@petrogustavo")</f>
        <v>@petrogustavo</v>
      </c>
      <c r="C16206" s="5" t="s">
        <v>16</v>
      </c>
      <c r="D16206" s="5" t="s">
        <v>15595</v>
      </c>
      <c r="E16206" s="6" t="str">
        <f>HYPERLINK("https://twitter.com/petrogustavo/status/1436311408967364632","1436311408967364632")</f>
        <v>1436311408967364632</v>
      </c>
      <c r="F16206" s="7" t="s">
        <v>17</v>
      </c>
      <c r="G16206" s="7">
        <v>4359014</v>
      </c>
      <c r="H16206" s="7">
        <v>2537</v>
      </c>
      <c r="I16206" s="7">
        <v>44</v>
      </c>
      <c r="J16206" s="7">
        <v>0</v>
      </c>
      <c r="K16206" s="7" t="s">
        <v>18</v>
      </c>
      <c r="L16206" s="8">
        <v>39987.315405092595</v>
      </c>
      <c r="M16206" s="9" t="s">
        <v>19</v>
      </c>
      <c r="N16206" s="9" t="s">
        <v>20</v>
      </c>
      <c r="O16206" s="6" t="str">
        <f>HYPERLINK("https://pbs.twimg.com/profile_images/962471262747529216/Uo8lOkRJ_normal.jpg","View")</f>
        <v>View</v>
      </c>
      <c r="P16206" s="7"/>
    </row>
    <row r="16207" spans="1:16">
      <c r="A16207" s="3">
        <v>44449.769409722227</v>
      </c>
      <c r="B16207" s="4" t="str">
        <f>HYPERLINK("https://twitter.com/petrogustavo","@petrogustavo")</f>
        <v>@petrogustavo</v>
      </c>
      <c r="C16207" s="5" t="s">
        <v>16</v>
      </c>
      <c r="D16207" s="5" t="s">
        <v>15596</v>
      </c>
      <c r="E16207" s="6" t="str">
        <f>HYPERLINK("https://twitter.com/petrogustavo/status/1436312993260843023","1436312993260843023")</f>
        <v>1436312993260843023</v>
      </c>
      <c r="F16207" s="7" t="s">
        <v>17</v>
      </c>
      <c r="G16207" s="7">
        <v>4359014</v>
      </c>
      <c r="H16207" s="7">
        <v>2537</v>
      </c>
      <c r="I16207" s="7">
        <v>160</v>
      </c>
      <c r="J16207" s="7">
        <v>490</v>
      </c>
      <c r="K16207" s="7" t="s">
        <v>18</v>
      </c>
      <c r="L16207" s="8">
        <v>39987.315405092595</v>
      </c>
      <c r="M16207" s="9" t="s">
        <v>19</v>
      </c>
      <c r="N16207" s="9" t="s">
        <v>20</v>
      </c>
      <c r="O16207" s="6" t="str">
        <f>HYPERLINK("https://pbs.twimg.com/profile_images/962471262747529216/Uo8lOkRJ_normal.jpg","View")</f>
        <v>View</v>
      </c>
      <c r="P16207" s="7"/>
    </row>
    <row r="16208" spans="1:16">
      <c r="A16208" s="3">
        <v>44449.79310185185</v>
      </c>
      <c r="B16208" s="4" t="str">
        <f>HYPERLINK("https://twitter.com/petrogustavo","@petrogustavo")</f>
        <v>@petrogustavo</v>
      </c>
      <c r="C16208" s="5" t="s">
        <v>16</v>
      </c>
      <c r="D16208" s="5" t="s">
        <v>15597</v>
      </c>
      <c r="E16208" s="6" t="str">
        <f>HYPERLINK("https://twitter.com/petrogustavo/status/1436321580397834267","1436321580397834267")</f>
        <v>1436321580397834267</v>
      </c>
      <c r="F16208" s="7" t="s">
        <v>17</v>
      </c>
      <c r="G16208" s="7">
        <v>4359017</v>
      </c>
      <c r="H16208" s="7">
        <v>2537</v>
      </c>
      <c r="I16208" s="7">
        <v>52</v>
      </c>
      <c r="J16208" s="7">
        <v>160</v>
      </c>
      <c r="K16208" s="7" t="s">
        <v>18</v>
      </c>
      <c r="L16208" s="8">
        <v>39987.315405092595</v>
      </c>
      <c r="M16208" s="9" t="s">
        <v>19</v>
      </c>
      <c r="N16208" s="9" t="s">
        <v>20</v>
      </c>
      <c r="O16208" s="6" t="str">
        <f>HYPERLINK("https://pbs.twimg.com/profile_images/962471262747529216/Uo8lOkRJ_normal.jpg","View")</f>
        <v>View</v>
      </c>
      <c r="P16208" s="7"/>
    </row>
    <row r="16209" spans="1:16">
      <c r="A16209" s="3">
        <v>44449.87667824074</v>
      </c>
      <c r="B16209" s="4" t="str">
        <f>HYPERLINK("https://twitter.com/petrogustavo","@petrogustavo")</f>
        <v>@petrogustavo</v>
      </c>
      <c r="C16209" s="5" t="s">
        <v>16</v>
      </c>
      <c r="D16209" s="5" t="s">
        <v>15598</v>
      </c>
      <c r="E16209" s="6" t="str">
        <f>HYPERLINK("https://twitter.com/petrogustavo/status/1436351865193746444","1436351865193746444")</f>
        <v>1436351865193746444</v>
      </c>
      <c r="F16209" s="7" t="s">
        <v>17</v>
      </c>
      <c r="G16209" s="7">
        <v>4359057</v>
      </c>
      <c r="H16209" s="7">
        <v>2537</v>
      </c>
      <c r="I16209" s="7">
        <v>733</v>
      </c>
      <c r="J16209" s="7">
        <v>0</v>
      </c>
      <c r="K16209" s="7" t="s">
        <v>18</v>
      </c>
      <c r="L16209" s="8">
        <v>39987.315405092595</v>
      </c>
      <c r="M16209" s="9" t="s">
        <v>19</v>
      </c>
      <c r="N16209" s="9" t="s">
        <v>20</v>
      </c>
      <c r="O16209" s="6" t="str">
        <f>HYPERLINK("https://pbs.twimg.com/profile_images/962471262747529216/Uo8lOkRJ_normal.jpg","View")</f>
        <v>View</v>
      </c>
      <c r="P16209" s="7"/>
    </row>
    <row r="16210" spans="1:16">
      <c r="A16210" s="3">
        <v>44450.048009259262</v>
      </c>
      <c r="B16210" s="4" t="str">
        <f>HYPERLINK("https://twitter.com/petrogustavo","@petrogustavo")</f>
        <v>@petrogustavo</v>
      </c>
      <c r="C16210" s="5" t="s">
        <v>16</v>
      </c>
      <c r="D16210" s="5" t="s">
        <v>15599</v>
      </c>
      <c r="E16210" s="6" t="str">
        <f>HYPERLINK("https://twitter.com/petrogustavo/status/1436413954692112389","1436413954692112389")</f>
        <v>1436413954692112389</v>
      </c>
      <c r="F16210" s="7" t="s">
        <v>17</v>
      </c>
      <c r="G16210" s="7">
        <v>4359135</v>
      </c>
      <c r="H16210" s="7">
        <v>2537</v>
      </c>
      <c r="I16210" s="7">
        <v>129</v>
      </c>
      <c r="J16210" s="7">
        <v>315</v>
      </c>
      <c r="K16210" s="7" t="s">
        <v>18</v>
      </c>
      <c r="L16210" s="8">
        <v>39987.315405092595</v>
      </c>
      <c r="M16210" s="9" t="s">
        <v>19</v>
      </c>
      <c r="N16210" s="9" t="s">
        <v>20</v>
      </c>
      <c r="O16210" s="6" t="str">
        <f>HYPERLINK("https://pbs.twimg.com/profile_images/962471262747529216/Uo8lOkRJ_normal.jpg","View")</f>
        <v>View</v>
      </c>
      <c r="P16210" s="7"/>
    </row>
    <row r="16211" spans="1:16">
      <c r="A16211" s="3">
        <v>44450.113750000004</v>
      </c>
      <c r="B16211" s="4" t="str">
        <f>HYPERLINK("https://twitter.com/petrogustavo","@petrogustavo")</f>
        <v>@petrogustavo</v>
      </c>
      <c r="C16211" s="5" t="s">
        <v>16</v>
      </c>
      <c r="D16211" s="5" t="s">
        <v>15600</v>
      </c>
      <c r="E16211" s="6" t="str">
        <f>HYPERLINK("https://twitter.com/petrogustavo/status/1436437776958898185","1436437776958898185")</f>
        <v>1436437776958898185</v>
      </c>
      <c r="F16211" s="7" t="s">
        <v>17</v>
      </c>
      <c r="G16211" s="7">
        <v>4359167</v>
      </c>
      <c r="H16211" s="7">
        <v>2537</v>
      </c>
      <c r="I16211" s="7">
        <v>65</v>
      </c>
      <c r="J16211" s="7">
        <v>344</v>
      </c>
      <c r="K16211" s="7" t="s">
        <v>18</v>
      </c>
      <c r="L16211" s="8">
        <v>39987.315405092595</v>
      </c>
      <c r="M16211" s="9" t="s">
        <v>19</v>
      </c>
      <c r="N16211" s="9" t="s">
        <v>20</v>
      </c>
      <c r="O16211" s="6" t="str">
        <f>HYPERLINK("https://pbs.twimg.com/profile_images/962471262747529216/Uo8lOkRJ_normal.jpg","View")</f>
        <v>View</v>
      </c>
      <c r="P16211" s="7"/>
    </row>
    <row r="16212" spans="1:16">
      <c r="A16212" s="3">
        <v>44450.119247685187</v>
      </c>
      <c r="B16212" s="4" t="str">
        <f>HYPERLINK("https://twitter.com/petrogustavo","@petrogustavo")</f>
        <v>@petrogustavo</v>
      </c>
      <c r="C16212" s="5" t="s">
        <v>16</v>
      </c>
      <c r="D16212" s="5" t="s">
        <v>15601</v>
      </c>
      <c r="E16212" s="6" t="str">
        <f>HYPERLINK("https://twitter.com/petrogustavo/status/1436439770549428224","1436439770549428224")</f>
        <v>1436439770549428224</v>
      </c>
      <c r="F16212" s="7" t="s">
        <v>17</v>
      </c>
      <c r="G16212" s="7">
        <v>4359175</v>
      </c>
      <c r="H16212" s="7">
        <v>2537</v>
      </c>
      <c r="I16212" s="7">
        <v>751</v>
      </c>
      <c r="J16212" s="7">
        <v>0</v>
      </c>
      <c r="K16212" s="7" t="s">
        <v>18</v>
      </c>
      <c r="L16212" s="8">
        <v>39987.315405092595</v>
      </c>
      <c r="M16212" s="9" t="s">
        <v>19</v>
      </c>
      <c r="N16212" s="9" t="s">
        <v>20</v>
      </c>
      <c r="O16212" s="6" t="str">
        <f>HYPERLINK("https://pbs.twimg.com/profile_images/962471262747529216/Uo8lOkRJ_normal.jpg","View")</f>
        <v>View</v>
      </c>
      <c r="P16212" s="7"/>
    </row>
    <row r="16213" spans="1:16">
      <c r="A16213" s="3">
        <v>44450.133726851855</v>
      </c>
      <c r="B16213" s="4" t="str">
        <f>HYPERLINK("https://twitter.com/petrogustavo","@petrogustavo")</f>
        <v>@petrogustavo</v>
      </c>
      <c r="C16213" s="5" t="s">
        <v>16</v>
      </c>
      <c r="D16213" s="5" t="s">
        <v>15602</v>
      </c>
      <c r="E16213" s="6" t="str">
        <f>HYPERLINK("https://twitter.com/petrogustavo/status/1436445016038199296","1436445016038199296")</f>
        <v>1436445016038199296</v>
      </c>
      <c r="F16213" s="7" t="s">
        <v>17</v>
      </c>
      <c r="G16213" s="7">
        <v>4359175</v>
      </c>
      <c r="H16213" s="7">
        <v>2537</v>
      </c>
      <c r="I16213" s="7">
        <v>90</v>
      </c>
      <c r="J16213" s="7">
        <v>0</v>
      </c>
      <c r="K16213" s="7" t="s">
        <v>18</v>
      </c>
      <c r="L16213" s="8">
        <v>39987.315405092595</v>
      </c>
      <c r="M16213" s="9" t="s">
        <v>19</v>
      </c>
      <c r="N16213" s="9" t="s">
        <v>20</v>
      </c>
      <c r="O16213" s="6" t="str">
        <f>HYPERLINK("https://pbs.twimg.com/profile_images/962471262747529216/Uo8lOkRJ_normal.jpg","View")</f>
        <v>View</v>
      </c>
      <c r="P16213" s="7"/>
    </row>
    <row r="16214" spans="1:16">
      <c r="A16214" s="3">
        <v>44450.15825231481</v>
      </c>
      <c r="B16214" s="4" t="str">
        <f>HYPERLINK("https://twitter.com/petrogustavo","@petrogustavo")</f>
        <v>@petrogustavo</v>
      </c>
      <c r="C16214" s="5" t="s">
        <v>16</v>
      </c>
      <c r="D16214" s="5" t="s">
        <v>15603</v>
      </c>
      <c r="E16214" s="6" t="str">
        <f>HYPERLINK("https://twitter.com/petrogustavo/status/1436453903206424588","1436453903206424588")</f>
        <v>1436453903206424588</v>
      </c>
      <c r="F16214" s="7" t="s">
        <v>17</v>
      </c>
      <c r="G16214" s="7">
        <v>4359193</v>
      </c>
      <c r="H16214" s="7">
        <v>2537</v>
      </c>
      <c r="I16214" s="7">
        <v>0</v>
      </c>
      <c r="J16214" s="7">
        <v>1</v>
      </c>
      <c r="K16214" s="7" t="s">
        <v>18</v>
      </c>
      <c r="L16214" s="8">
        <v>39987.315405092595</v>
      </c>
      <c r="M16214" s="9" t="s">
        <v>19</v>
      </c>
      <c r="N16214" s="9" t="s">
        <v>20</v>
      </c>
      <c r="O16214" s="6" t="str">
        <f>HYPERLINK("https://pbs.twimg.com/profile_images/962471262747529216/Uo8lOkRJ_normal.jpg","View")</f>
        <v>View</v>
      </c>
      <c r="P16214" s="7"/>
    </row>
    <row r="16215" spans="1:16">
      <c r="A16215" s="3">
        <v>44450.291087962964</v>
      </c>
      <c r="B16215" s="4" t="str">
        <f>HYPERLINK("https://twitter.com/petrogustavo","@petrogustavo")</f>
        <v>@petrogustavo</v>
      </c>
      <c r="C16215" s="5" t="s">
        <v>16</v>
      </c>
      <c r="D16215" s="5" t="s">
        <v>15604</v>
      </c>
      <c r="E16215" s="6" t="str">
        <f>HYPERLINK("https://twitter.com/petrogustavo/status/1436502042873303040","1436502042873303040")</f>
        <v>1436502042873303040</v>
      </c>
      <c r="F16215" s="7" t="s">
        <v>17</v>
      </c>
      <c r="G16215" s="7">
        <v>4359296</v>
      </c>
      <c r="H16215" s="7">
        <v>2537</v>
      </c>
      <c r="I16215" s="7">
        <v>582</v>
      </c>
      <c r="J16215" s="7">
        <v>2480</v>
      </c>
      <c r="K16215" s="7" t="s">
        <v>18</v>
      </c>
      <c r="L16215" s="8">
        <v>39987.315405092595</v>
      </c>
      <c r="M16215" s="9" t="s">
        <v>19</v>
      </c>
      <c r="N16215" s="9" t="s">
        <v>20</v>
      </c>
      <c r="O16215" s="6" t="str">
        <f>HYPERLINK("https://pbs.twimg.com/profile_images/962471262747529216/Uo8lOkRJ_normal.jpg","View")</f>
        <v>View</v>
      </c>
      <c r="P16215" s="7"/>
    </row>
    <row r="16216" spans="1:16">
      <c r="A16216" s="3">
        <v>44450.291863425926</v>
      </c>
      <c r="B16216" s="4" t="str">
        <f>HYPERLINK("https://twitter.com/petrogustavo","@petrogustavo")</f>
        <v>@petrogustavo</v>
      </c>
      <c r="C16216" s="5" t="s">
        <v>16</v>
      </c>
      <c r="D16216" s="5" t="s">
        <v>15605</v>
      </c>
      <c r="E16216" s="6" t="str">
        <f>HYPERLINK("https://twitter.com/petrogustavo/status/1436502321417134081","1436502321417134081")</f>
        <v>1436502321417134081</v>
      </c>
      <c r="F16216" s="7" t="s">
        <v>17</v>
      </c>
      <c r="G16216" s="7">
        <v>4359296</v>
      </c>
      <c r="H16216" s="7">
        <v>2537</v>
      </c>
      <c r="I16216" s="7">
        <v>366</v>
      </c>
      <c r="J16216" s="7">
        <v>1415</v>
      </c>
      <c r="K16216" s="7" t="s">
        <v>18</v>
      </c>
      <c r="L16216" s="8">
        <v>39987.315405092595</v>
      </c>
      <c r="M16216" s="9" t="s">
        <v>19</v>
      </c>
      <c r="N16216" s="9" t="s">
        <v>20</v>
      </c>
      <c r="O16216" s="6" t="str">
        <f>HYPERLINK("https://pbs.twimg.com/profile_images/962471262747529216/Uo8lOkRJ_normal.jpg","View")</f>
        <v>View</v>
      </c>
      <c r="P16216" s="7"/>
    </row>
    <row r="16217" spans="1:16">
      <c r="A16217" s="3">
        <v>44450.40325231482</v>
      </c>
      <c r="B16217" s="4" t="str">
        <f>HYPERLINK("https://twitter.com/petrogustavo","@petrogustavo")</f>
        <v>@petrogustavo</v>
      </c>
      <c r="C16217" s="5" t="s">
        <v>16</v>
      </c>
      <c r="D16217" s="5" t="s">
        <v>15606</v>
      </c>
      <c r="E16217" s="6" t="str">
        <f>HYPERLINK("https://twitter.com/petrogustavo/status/1436542688862642177","1436542688862642177")</f>
        <v>1436542688862642177</v>
      </c>
      <c r="F16217" s="7" t="s">
        <v>17</v>
      </c>
      <c r="G16217" s="7">
        <v>4359388</v>
      </c>
      <c r="H16217" s="7">
        <v>2537</v>
      </c>
      <c r="I16217" s="7">
        <v>112</v>
      </c>
      <c r="J16217" s="7">
        <v>410</v>
      </c>
      <c r="K16217" s="7" t="s">
        <v>18</v>
      </c>
      <c r="L16217" s="8">
        <v>39987.315405092595</v>
      </c>
      <c r="M16217" s="9" t="s">
        <v>19</v>
      </c>
      <c r="N16217" s="9" t="s">
        <v>20</v>
      </c>
      <c r="O16217" s="6" t="str">
        <f>HYPERLINK("https://pbs.twimg.com/profile_images/962471262747529216/Uo8lOkRJ_normal.jpg","View")</f>
        <v>View</v>
      </c>
      <c r="P16217" s="7"/>
    </row>
    <row r="16218" spans="1:16">
      <c r="A16218" s="3">
        <v>44450.813043981485</v>
      </c>
      <c r="B16218" s="4" t="str">
        <f>HYPERLINK("https://twitter.com/petrogustavo","@petrogustavo")</f>
        <v>@petrogustavo</v>
      </c>
      <c r="C16218" s="5" t="s">
        <v>16</v>
      </c>
      <c r="D16218" s="5" t="s">
        <v>15607</v>
      </c>
      <c r="E16218" s="6" t="str">
        <f>HYPERLINK("https://twitter.com/petrogustavo/status/1436691193816047630","1436691193816047630")</f>
        <v>1436691193816047630</v>
      </c>
      <c r="F16218" s="7" t="s">
        <v>17</v>
      </c>
      <c r="G16218" s="7">
        <v>4359520</v>
      </c>
      <c r="H16218" s="7">
        <v>2537</v>
      </c>
      <c r="I16218" s="7">
        <v>159</v>
      </c>
      <c r="J16218" s="7">
        <v>496</v>
      </c>
      <c r="K16218" s="7" t="s">
        <v>18</v>
      </c>
      <c r="L16218" s="8">
        <v>39987.315405092595</v>
      </c>
      <c r="M16218" s="9" t="s">
        <v>19</v>
      </c>
      <c r="N16218" s="9" t="s">
        <v>20</v>
      </c>
      <c r="O16218" s="6" t="str">
        <f>HYPERLINK("https://pbs.twimg.com/profile_images/962471262747529216/Uo8lOkRJ_normal.jpg","View")</f>
        <v>View</v>
      </c>
      <c r="P16218" s="7"/>
    </row>
    <row r="16219" spans="1:16">
      <c r="A16219" s="3">
        <v>44451.223425925928</v>
      </c>
      <c r="B16219" s="4" t="str">
        <f>HYPERLINK("https://twitter.com/petrogustavo","@petrogustavo")</f>
        <v>@petrogustavo</v>
      </c>
      <c r="C16219" s="5" t="s">
        <v>16</v>
      </c>
      <c r="D16219" s="5" t="s">
        <v>15608</v>
      </c>
      <c r="E16219" s="6" t="str">
        <f>HYPERLINK("https://twitter.com/petrogustavo/status/1436839912121290755","1436839912121290755")</f>
        <v>1436839912121290755</v>
      </c>
      <c r="F16219" s="7" t="s">
        <v>17</v>
      </c>
      <c r="G16219" s="7">
        <v>4359726</v>
      </c>
      <c r="H16219" s="7">
        <v>2538</v>
      </c>
      <c r="I16219" s="7">
        <v>215</v>
      </c>
      <c r="J16219" s="7">
        <v>757</v>
      </c>
      <c r="K16219" s="7" t="s">
        <v>18</v>
      </c>
      <c r="L16219" s="8">
        <v>39987.315405092595</v>
      </c>
      <c r="M16219" s="9" t="s">
        <v>19</v>
      </c>
      <c r="N16219" s="9" t="s">
        <v>20</v>
      </c>
      <c r="O16219" s="6" t="str">
        <f>HYPERLINK("https://pbs.twimg.com/profile_images/962471262747529216/Uo8lOkRJ_normal.jpg","View")</f>
        <v>View</v>
      </c>
      <c r="P16219" s="7"/>
    </row>
    <row r="16220" spans="1:16">
      <c r="A16220" s="3">
        <v>44451.318136574075</v>
      </c>
      <c r="B16220" s="4" t="str">
        <f>HYPERLINK("https://twitter.com/petrogustavo","@petrogustavo")</f>
        <v>@petrogustavo</v>
      </c>
      <c r="C16220" s="5" t="s">
        <v>16</v>
      </c>
      <c r="D16220" s="5" t="s">
        <v>15609</v>
      </c>
      <c r="E16220" s="6" t="str">
        <f>HYPERLINK("https://twitter.com/petrogustavo/status/1436874233204908044","1436874233204908044")</f>
        <v>1436874233204908044</v>
      </c>
      <c r="F16220" s="7" t="s">
        <v>17</v>
      </c>
      <c r="G16220" s="7">
        <v>4359772</v>
      </c>
      <c r="H16220" s="7">
        <v>2538</v>
      </c>
      <c r="I16220" s="7">
        <v>58</v>
      </c>
      <c r="J16220" s="7">
        <v>295</v>
      </c>
      <c r="K16220" s="7" t="s">
        <v>18</v>
      </c>
      <c r="L16220" s="8">
        <v>39987.315405092595</v>
      </c>
      <c r="M16220" s="9" t="s">
        <v>19</v>
      </c>
      <c r="N16220" s="9" t="s">
        <v>20</v>
      </c>
      <c r="O16220" s="6" t="str">
        <f>HYPERLINK("https://pbs.twimg.com/profile_images/962471262747529216/Uo8lOkRJ_normal.jpg","View")</f>
        <v>View</v>
      </c>
      <c r="P16220" s="7"/>
    </row>
    <row r="16221" spans="1:16">
      <c r="A16221" s="3">
        <v>44452.773182870369</v>
      </c>
      <c r="B16221" s="4" t="str">
        <f>HYPERLINK("https://twitter.com/petrogustavo","@petrogustavo")</f>
        <v>@petrogustavo</v>
      </c>
      <c r="C16221" s="5" t="s">
        <v>16</v>
      </c>
      <c r="D16221" s="5" t="s">
        <v>15610</v>
      </c>
      <c r="E16221" s="6" t="str">
        <f>HYPERLINK("https://twitter.com/petrogustavo/status/1437401523118559237","1437401523118559237")</f>
        <v>1437401523118559237</v>
      </c>
      <c r="F16221" s="7" t="s">
        <v>17</v>
      </c>
      <c r="G16221" s="7">
        <v>4360300</v>
      </c>
      <c r="H16221" s="7">
        <v>2538</v>
      </c>
      <c r="I16221" s="7">
        <v>164</v>
      </c>
      <c r="J16221" s="7">
        <v>865</v>
      </c>
      <c r="K16221" s="7" t="s">
        <v>18</v>
      </c>
      <c r="L16221" s="8">
        <v>39987.315405092595</v>
      </c>
      <c r="M16221" s="9" t="s">
        <v>19</v>
      </c>
      <c r="N16221" s="9" t="s">
        <v>20</v>
      </c>
      <c r="O16221" s="6" t="str">
        <f>HYPERLINK("https://pbs.twimg.com/profile_images/962471262747529216/Uo8lOkRJ_normal.jpg","View")</f>
        <v>View</v>
      </c>
      <c r="P16221" s="7"/>
    </row>
    <row r="16222" spans="1:16">
      <c r="A16222" s="3">
        <v>44452.807546296295</v>
      </c>
      <c r="B16222" s="4" t="str">
        <f>HYPERLINK("https://twitter.com/petrogustavo","@petrogustavo")</f>
        <v>@petrogustavo</v>
      </c>
      <c r="C16222" s="5" t="s">
        <v>16</v>
      </c>
      <c r="D16222" s="5" t="s">
        <v>15611</v>
      </c>
      <c r="E16222" s="6" t="str">
        <f>HYPERLINK("https://twitter.com/petrogustavo/status/1437413974832730113","1437413974832730113")</f>
        <v>1437413974832730113</v>
      </c>
      <c r="F16222" s="7" t="s">
        <v>17</v>
      </c>
      <c r="G16222" s="7">
        <v>4360313</v>
      </c>
      <c r="H16222" s="7">
        <v>2539</v>
      </c>
      <c r="I16222" s="7">
        <v>274</v>
      </c>
      <c r="J16222" s="7">
        <v>1258</v>
      </c>
      <c r="K16222" s="7" t="s">
        <v>18</v>
      </c>
      <c r="L16222" s="8">
        <v>39987.315405092595</v>
      </c>
      <c r="M16222" s="9" t="s">
        <v>19</v>
      </c>
      <c r="N16222" s="9" t="s">
        <v>20</v>
      </c>
      <c r="O16222" s="6" t="str">
        <f>HYPERLINK("https://pbs.twimg.com/profile_images/962471262747529216/Uo8lOkRJ_normal.jpg","View")</f>
        <v>View</v>
      </c>
      <c r="P16222" s="7"/>
    </row>
    <row r="16223" spans="1:16">
      <c r="A16223" s="3">
        <v>44454.01289351852</v>
      </c>
      <c r="B16223" s="4" t="str">
        <f>HYPERLINK("https://twitter.com/petrogustavo","@petrogustavo")</f>
        <v>@petrogustavo</v>
      </c>
      <c r="C16223" s="5" t="s">
        <v>16</v>
      </c>
      <c r="D16223" s="5" t="s">
        <v>15612</v>
      </c>
      <c r="E16223" s="6" t="str">
        <f>HYPERLINK("https://twitter.com/petrogustavo/status/1437850780413960193","1437850780413960193")</f>
        <v>1437850780413960193</v>
      </c>
      <c r="F16223" s="7" t="s">
        <v>17</v>
      </c>
      <c r="G16223" s="7">
        <v>4360922</v>
      </c>
      <c r="H16223" s="7">
        <v>2539</v>
      </c>
      <c r="I16223" s="7">
        <v>319</v>
      </c>
      <c r="J16223" s="7">
        <v>0</v>
      </c>
      <c r="K16223" s="7" t="s">
        <v>18</v>
      </c>
      <c r="L16223" s="8">
        <v>39987.315405092595</v>
      </c>
      <c r="M16223" s="9" t="s">
        <v>19</v>
      </c>
      <c r="N16223" s="9" t="s">
        <v>20</v>
      </c>
      <c r="O16223" s="6" t="str">
        <f>HYPERLINK("https://pbs.twimg.com/profile_images/962471262747529216/Uo8lOkRJ_normal.jpg","View")</f>
        <v>View</v>
      </c>
      <c r="P16223" s="7"/>
    </row>
    <row r="16224" spans="1:16">
      <c r="A16224" s="3">
        <v>44454.847187499996</v>
      </c>
      <c r="B16224" s="4" t="str">
        <f>HYPERLINK("https://twitter.com/petrogustavo","@petrogustavo")</f>
        <v>@petrogustavo</v>
      </c>
      <c r="C16224" s="5" t="s">
        <v>16</v>
      </c>
      <c r="D16224" s="5" t="s">
        <v>15613</v>
      </c>
      <c r="E16224" s="6" t="str">
        <f>HYPERLINK("https://twitter.com/petrogustavo/status/1438153117963534338","1438153117963534338")</f>
        <v>1438153117963534338</v>
      </c>
      <c r="F16224" s="7" t="s">
        <v>32</v>
      </c>
      <c r="G16224" s="7">
        <v>4361138</v>
      </c>
      <c r="H16224" s="7">
        <v>2539</v>
      </c>
      <c r="I16224" s="7">
        <v>106</v>
      </c>
      <c r="J16224" s="7">
        <v>389</v>
      </c>
      <c r="K16224" s="7" t="s">
        <v>18</v>
      </c>
      <c r="L16224" s="8">
        <v>39987.315405092595</v>
      </c>
      <c r="M16224" s="9" t="s">
        <v>19</v>
      </c>
      <c r="N16224" s="9" t="s">
        <v>20</v>
      </c>
      <c r="O16224" s="6" t="str">
        <f>HYPERLINK("https://pbs.twimg.com/profile_images/962471262747529216/Uo8lOkRJ_normal.jpg","View")</f>
        <v>View</v>
      </c>
      <c r="P16224" s="7"/>
    </row>
    <row r="16225" spans="1:16">
      <c r="A16225" s="3">
        <v>44455.073148148149</v>
      </c>
      <c r="B16225" s="4" t="str">
        <f>HYPERLINK("https://twitter.com/petrogustavo","@petrogustavo")</f>
        <v>@petrogustavo</v>
      </c>
      <c r="C16225" s="5" t="s">
        <v>16</v>
      </c>
      <c r="D16225" s="5" t="s">
        <v>15614</v>
      </c>
      <c r="E16225" s="6" t="str">
        <f>HYPERLINK("https://twitter.com/petrogustavo/status/1438235004589514765","1438235004589514765")</f>
        <v>1438235004589514765</v>
      </c>
      <c r="F16225" s="7" t="s">
        <v>17</v>
      </c>
      <c r="G16225" s="7">
        <v>4361179</v>
      </c>
      <c r="H16225" s="7">
        <v>2538</v>
      </c>
      <c r="I16225" s="7">
        <v>103</v>
      </c>
      <c r="J16225" s="7">
        <v>0</v>
      </c>
      <c r="K16225" s="7" t="s">
        <v>18</v>
      </c>
      <c r="L16225" s="8">
        <v>39987.315405092595</v>
      </c>
      <c r="M16225" s="9" t="s">
        <v>19</v>
      </c>
      <c r="N16225" s="9" t="s">
        <v>20</v>
      </c>
      <c r="O16225" s="6" t="str">
        <f>HYPERLINK("https://pbs.twimg.com/profile_images/962471262747529216/Uo8lOkRJ_normal.jpg","View")</f>
        <v>View</v>
      </c>
      <c r="P16225" s="7"/>
    </row>
    <row r="16226" spans="1:16">
      <c r="A16226" s="3">
        <v>44455.296736111108</v>
      </c>
      <c r="B16226" s="4" t="str">
        <f>HYPERLINK("https://twitter.com/petrogustavo","@petrogustavo")</f>
        <v>@petrogustavo</v>
      </c>
      <c r="C16226" s="5" t="s">
        <v>16</v>
      </c>
      <c r="D16226" s="5" t="s">
        <v>15615</v>
      </c>
      <c r="E16226" s="6" t="str">
        <f>HYPERLINK("https://twitter.com/petrogustavo/status/1438316028237426692","1438316028237426692")</f>
        <v>1438316028237426692</v>
      </c>
      <c r="F16226" s="7" t="s">
        <v>32</v>
      </c>
      <c r="G16226" s="7">
        <v>4361272</v>
      </c>
      <c r="H16226" s="7">
        <v>2538</v>
      </c>
      <c r="I16226" s="7">
        <v>188</v>
      </c>
      <c r="J16226" s="7">
        <v>0</v>
      </c>
      <c r="K16226" s="7" t="s">
        <v>18</v>
      </c>
      <c r="L16226" s="8">
        <v>39987.315405092595</v>
      </c>
      <c r="M16226" s="9" t="s">
        <v>19</v>
      </c>
      <c r="N16226" s="9" t="s">
        <v>20</v>
      </c>
      <c r="O16226" s="6" t="str">
        <f>HYPERLINK("https://pbs.twimg.com/profile_images/962471262747529216/Uo8lOkRJ_normal.jpg","View")</f>
        <v>View</v>
      </c>
      <c r="P16226" s="7"/>
    </row>
    <row r="16227" spans="1:16">
      <c r="A16227" s="3">
        <v>44455.683993055558</v>
      </c>
      <c r="B16227" s="4" t="str">
        <f>HYPERLINK("https://twitter.com/petrogustavo","@petrogustavo")</f>
        <v>@petrogustavo</v>
      </c>
      <c r="C16227" s="5" t="s">
        <v>16</v>
      </c>
      <c r="D16227" s="5" t="s">
        <v>15616</v>
      </c>
      <c r="E16227" s="6" t="str">
        <f>HYPERLINK("https://twitter.com/petrogustavo/status/1438456364884537348","1438456364884537348")</f>
        <v>1438456364884537348</v>
      </c>
      <c r="F16227" s="7" t="s">
        <v>17</v>
      </c>
      <c r="G16227" s="7">
        <v>4361306</v>
      </c>
      <c r="H16227" s="7">
        <v>2538</v>
      </c>
      <c r="I16227" s="7">
        <v>18</v>
      </c>
      <c r="J16227" s="7">
        <v>0</v>
      </c>
      <c r="K16227" s="7" t="s">
        <v>18</v>
      </c>
      <c r="L16227" s="8">
        <v>39987.315405092595</v>
      </c>
      <c r="M16227" s="9" t="s">
        <v>19</v>
      </c>
      <c r="N16227" s="9" t="s">
        <v>20</v>
      </c>
      <c r="O16227" s="6" t="str">
        <f>HYPERLINK("https://pbs.twimg.com/profile_images/962471262747529216/Uo8lOkRJ_normal.jpg","View")</f>
        <v>View</v>
      </c>
      <c r="P16227" s="7"/>
    </row>
    <row r="16228" spans="1:16">
      <c r="A16228" s="3">
        <v>44455.693657407406</v>
      </c>
      <c r="B16228" s="4" t="str">
        <f>HYPERLINK("https://twitter.com/petrogustavo","@petrogustavo")</f>
        <v>@petrogustavo</v>
      </c>
      <c r="C16228" s="5" t="s">
        <v>16</v>
      </c>
      <c r="D16228" s="5" t="s">
        <v>15617</v>
      </c>
      <c r="E16228" s="6" t="str">
        <f>HYPERLINK("https://twitter.com/petrogustavo/status/1438459867186991108","1438459867186991108")</f>
        <v>1438459867186991108</v>
      </c>
      <c r="F16228" s="7" t="s">
        <v>17</v>
      </c>
      <c r="G16228" s="7">
        <v>4361315</v>
      </c>
      <c r="H16228" s="7">
        <v>2538</v>
      </c>
      <c r="I16228" s="7">
        <v>76</v>
      </c>
      <c r="J16228" s="7">
        <v>254</v>
      </c>
      <c r="K16228" s="7" t="s">
        <v>18</v>
      </c>
      <c r="L16228" s="8">
        <v>39987.315405092595</v>
      </c>
      <c r="M16228" s="9" t="s">
        <v>19</v>
      </c>
      <c r="N16228" s="9" t="s">
        <v>20</v>
      </c>
      <c r="O16228" s="6" t="str">
        <f>HYPERLINK("https://pbs.twimg.com/profile_images/962471262747529216/Uo8lOkRJ_normal.jpg","View")</f>
        <v>View</v>
      </c>
      <c r="P16228" s="7"/>
    </row>
    <row r="16229" spans="1:16">
      <c r="A16229" s="3">
        <v>44455.740590277783</v>
      </c>
      <c r="B16229" s="4" t="str">
        <f>HYPERLINK("https://twitter.com/petrogustavo","@petrogustavo")</f>
        <v>@petrogustavo</v>
      </c>
      <c r="C16229" s="5" t="s">
        <v>16</v>
      </c>
      <c r="D16229" s="5" t="s">
        <v>15618</v>
      </c>
      <c r="E16229" s="6" t="str">
        <f>HYPERLINK("https://twitter.com/petrogustavo/status/1438476874850648066","1438476874850648066")</f>
        <v>1438476874850648066</v>
      </c>
      <c r="F16229" s="7" t="s">
        <v>32</v>
      </c>
      <c r="G16229" s="7">
        <v>4361326</v>
      </c>
      <c r="H16229" s="7">
        <v>2539</v>
      </c>
      <c r="I16229" s="7">
        <v>71</v>
      </c>
      <c r="J16229" s="7">
        <v>195</v>
      </c>
      <c r="K16229" s="7" t="s">
        <v>18</v>
      </c>
      <c r="L16229" s="8">
        <v>39987.315405092595</v>
      </c>
      <c r="M16229" s="9" t="s">
        <v>19</v>
      </c>
      <c r="N16229" s="9" t="s">
        <v>20</v>
      </c>
      <c r="O16229" s="6" t="str">
        <f>HYPERLINK("https://pbs.twimg.com/profile_images/962471262747529216/Uo8lOkRJ_normal.jpg","View")</f>
        <v>View</v>
      </c>
      <c r="P16229" s="7"/>
    </row>
    <row r="16230" spans="1:16">
      <c r="A16230" s="3">
        <v>44455.822824074072</v>
      </c>
      <c r="B16230" s="4" t="str">
        <f>HYPERLINK("https://twitter.com/petrogustavo","@petrogustavo")</f>
        <v>@petrogustavo</v>
      </c>
      <c r="C16230" s="5" t="s">
        <v>16</v>
      </c>
      <c r="D16230" s="5" t="s">
        <v>15619</v>
      </c>
      <c r="E16230" s="6" t="str">
        <f>HYPERLINK("https://twitter.com/petrogustavo/status/1438506675904806931","1438506675904806931")</f>
        <v>1438506675904806931</v>
      </c>
      <c r="F16230" s="7" t="s">
        <v>17</v>
      </c>
      <c r="G16230" s="7">
        <v>4360611</v>
      </c>
      <c r="H16230" s="7">
        <v>2540</v>
      </c>
      <c r="I16230" s="7">
        <v>64</v>
      </c>
      <c r="J16230" s="7">
        <v>207</v>
      </c>
      <c r="K16230" s="7" t="s">
        <v>18</v>
      </c>
      <c r="L16230" s="8">
        <v>39987.315405092595</v>
      </c>
      <c r="M16230" s="9" t="s">
        <v>19</v>
      </c>
      <c r="N16230" s="9" t="s">
        <v>20</v>
      </c>
      <c r="O16230" s="6" t="str">
        <f>HYPERLINK("https://pbs.twimg.com/profile_images/962471262747529216/Uo8lOkRJ_normal.jpg","View")</f>
        <v>View</v>
      </c>
      <c r="P16230" s="7"/>
    </row>
    <row r="16231" spans="1:16">
      <c r="A16231" s="3">
        <v>44455.822824074072</v>
      </c>
      <c r="B16231" s="4" t="str">
        <f>HYPERLINK("https://twitter.com/petrogustavo","@petrogustavo")</f>
        <v>@petrogustavo</v>
      </c>
      <c r="C16231" s="5" t="s">
        <v>16</v>
      </c>
      <c r="D16231" s="5" t="s">
        <v>15620</v>
      </c>
      <c r="E16231" s="6" t="str">
        <f>HYPERLINK("https://twitter.com/petrogustavo/status/1438506677666336770","1438506677666336770")</f>
        <v>1438506677666336770</v>
      </c>
      <c r="F16231" s="7" t="s">
        <v>17</v>
      </c>
      <c r="G16231" s="7">
        <v>4360611</v>
      </c>
      <c r="H16231" s="7">
        <v>2540</v>
      </c>
      <c r="I16231" s="7">
        <v>71</v>
      </c>
      <c r="J16231" s="7">
        <v>238</v>
      </c>
      <c r="K16231" s="7" t="s">
        <v>18</v>
      </c>
      <c r="L16231" s="8">
        <v>39987.315405092595</v>
      </c>
      <c r="M16231" s="9" t="s">
        <v>19</v>
      </c>
      <c r="N16231" s="9" t="s">
        <v>20</v>
      </c>
      <c r="O16231" s="6" t="str">
        <f>HYPERLINK("https://pbs.twimg.com/profile_images/962471262747529216/Uo8lOkRJ_normal.jpg","View")</f>
        <v>View</v>
      </c>
      <c r="P16231" s="7"/>
    </row>
    <row r="16232" spans="1:16">
      <c r="A16232" s="3">
        <v>44456.217349537037</v>
      </c>
      <c r="B16232" s="4" t="str">
        <f>HYPERLINK("https://twitter.com/petrogustavo","@petrogustavo")</f>
        <v>@petrogustavo</v>
      </c>
      <c r="C16232" s="5" t="s">
        <v>16</v>
      </c>
      <c r="D16232" s="5" t="s">
        <v>15621</v>
      </c>
      <c r="E16232" s="6" t="str">
        <f>HYPERLINK("https://twitter.com/petrogustavo/status/1438649646369415169","1438649646369415169")</f>
        <v>1438649646369415169</v>
      </c>
      <c r="F16232" s="7" t="s">
        <v>17</v>
      </c>
      <c r="G16232" s="7">
        <v>4361473</v>
      </c>
      <c r="H16232" s="7">
        <v>2539</v>
      </c>
      <c r="I16232" s="7">
        <v>196</v>
      </c>
      <c r="J16232" s="7">
        <v>699</v>
      </c>
      <c r="K16232" s="7" t="s">
        <v>18</v>
      </c>
      <c r="L16232" s="8">
        <v>39987.315405092595</v>
      </c>
      <c r="M16232" s="9" t="s">
        <v>19</v>
      </c>
      <c r="N16232" s="9" t="s">
        <v>20</v>
      </c>
      <c r="O16232" s="6" t="str">
        <f>HYPERLINK("https://pbs.twimg.com/profile_images/962471262747529216/Uo8lOkRJ_normal.jpg","View")</f>
        <v>View</v>
      </c>
      <c r="P16232" s="7"/>
    </row>
    <row r="16233" spans="1:16">
      <c r="A16233" s="3">
        <v>44456.247465277775</v>
      </c>
      <c r="B16233" s="4" t="str">
        <f>HYPERLINK("https://twitter.com/petrogustavo","@petrogustavo")</f>
        <v>@petrogustavo</v>
      </c>
      <c r="C16233" s="5" t="s">
        <v>16</v>
      </c>
      <c r="D16233" s="5" t="s">
        <v>15622</v>
      </c>
      <c r="E16233" s="6" t="str">
        <f>HYPERLINK("https://twitter.com/petrogustavo/status/1438660561366134784","1438660561366134784")</f>
        <v>1438660561366134784</v>
      </c>
      <c r="F16233" s="7" t="s">
        <v>17</v>
      </c>
      <c r="G16233" s="7">
        <v>4361471</v>
      </c>
      <c r="H16233" s="7">
        <v>2539</v>
      </c>
      <c r="I16233" s="7">
        <v>122</v>
      </c>
      <c r="J16233" s="7">
        <v>473</v>
      </c>
      <c r="K16233" s="7" t="s">
        <v>18</v>
      </c>
      <c r="L16233" s="8">
        <v>39987.315405092595</v>
      </c>
      <c r="M16233" s="9" t="s">
        <v>19</v>
      </c>
      <c r="N16233" s="9" t="s">
        <v>20</v>
      </c>
      <c r="O16233" s="6" t="str">
        <f>HYPERLINK("https://pbs.twimg.com/profile_images/962471262747529216/Uo8lOkRJ_normal.jpg","View")</f>
        <v>View</v>
      </c>
      <c r="P16233" s="7"/>
    </row>
    <row r="16234" spans="1:16">
      <c r="A16234" s="3">
        <v>44456.41741898148</v>
      </c>
      <c r="B16234" s="4" t="str">
        <f>HYPERLINK("https://twitter.com/petrogustavo","@petrogustavo")</f>
        <v>@petrogustavo</v>
      </c>
      <c r="C16234" s="5" t="s">
        <v>16</v>
      </c>
      <c r="D16234" s="5" t="s">
        <v>15623</v>
      </c>
      <c r="E16234" s="6" t="str">
        <f>HYPERLINK("https://twitter.com/petrogustavo/status/1438722151419465731","1438722151419465731")</f>
        <v>1438722151419465731</v>
      </c>
      <c r="F16234" s="7" t="s">
        <v>17</v>
      </c>
      <c r="G16234" s="7">
        <v>4361652</v>
      </c>
      <c r="H16234" s="7">
        <v>2540</v>
      </c>
      <c r="I16234" s="7">
        <v>25</v>
      </c>
      <c r="J16234" s="7">
        <v>0</v>
      </c>
      <c r="K16234" s="7" t="s">
        <v>18</v>
      </c>
      <c r="L16234" s="8">
        <v>39987.315405092595</v>
      </c>
      <c r="M16234" s="9" t="s">
        <v>19</v>
      </c>
      <c r="N16234" s="9" t="s">
        <v>20</v>
      </c>
      <c r="O16234" s="6" t="str">
        <f>HYPERLINK("https://pbs.twimg.com/profile_images/962471262747529216/Uo8lOkRJ_normal.jpg","View")</f>
        <v>View</v>
      </c>
      <c r="P16234" s="7"/>
    </row>
    <row r="16235" spans="1:16">
      <c r="A16235" s="3">
        <v>44456.41788194445</v>
      </c>
      <c r="B16235" s="4" t="str">
        <f>HYPERLINK("https://twitter.com/petrogustavo","@petrogustavo")</f>
        <v>@petrogustavo</v>
      </c>
      <c r="C16235" s="5" t="s">
        <v>16</v>
      </c>
      <c r="D16235" s="5" t="s">
        <v>15624</v>
      </c>
      <c r="E16235" s="6" t="str">
        <f>HYPERLINK("https://twitter.com/petrogustavo/status/1438722320198217730","1438722320198217730")</f>
        <v>1438722320198217730</v>
      </c>
      <c r="F16235" s="7" t="s">
        <v>17</v>
      </c>
      <c r="G16235" s="7">
        <v>4361652</v>
      </c>
      <c r="H16235" s="7">
        <v>2540</v>
      </c>
      <c r="I16235" s="7">
        <v>23</v>
      </c>
      <c r="J16235" s="7">
        <v>0</v>
      </c>
      <c r="K16235" s="7" t="s">
        <v>18</v>
      </c>
      <c r="L16235" s="8">
        <v>39987.315405092595</v>
      </c>
      <c r="M16235" s="9" t="s">
        <v>19</v>
      </c>
      <c r="N16235" s="9" t="s">
        <v>20</v>
      </c>
      <c r="O16235" s="6" t="str">
        <f>HYPERLINK("https://pbs.twimg.com/profile_images/962471262747529216/Uo8lOkRJ_normal.jpg","View")</f>
        <v>View</v>
      </c>
      <c r="P16235" s="7"/>
    </row>
    <row r="16236" spans="1:16">
      <c r="A16236" s="3">
        <v>44456.419120370367</v>
      </c>
      <c r="B16236" s="4" t="str">
        <f>HYPERLINK("https://twitter.com/petrogustavo","@petrogustavo")</f>
        <v>@petrogustavo</v>
      </c>
      <c r="C16236" s="5" t="s">
        <v>16</v>
      </c>
      <c r="D16236" s="5" t="s">
        <v>15625</v>
      </c>
      <c r="E16236" s="6" t="str">
        <f>HYPERLINK("https://twitter.com/petrogustavo/status/1438722767000637445","1438722767000637445")</f>
        <v>1438722767000637445</v>
      </c>
      <c r="F16236" s="7" t="s">
        <v>17</v>
      </c>
      <c r="G16236" s="7">
        <v>4361666</v>
      </c>
      <c r="H16236" s="7">
        <v>2540</v>
      </c>
      <c r="I16236" s="7">
        <v>59</v>
      </c>
      <c r="J16236" s="7">
        <v>0</v>
      </c>
      <c r="K16236" s="7" t="s">
        <v>18</v>
      </c>
      <c r="L16236" s="8">
        <v>39987.315405092595</v>
      </c>
      <c r="M16236" s="9" t="s">
        <v>19</v>
      </c>
      <c r="N16236" s="9" t="s">
        <v>20</v>
      </c>
      <c r="O16236" s="6" t="str">
        <f>HYPERLINK("https://pbs.twimg.com/profile_images/962471262747529216/Uo8lOkRJ_normal.jpg","View")</f>
        <v>View</v>
      </c>
      <c r="P16236" s="7"/>
    </row>
    <row r="16237" spans="1:16">
      <c r="A16237" s="3">
        <v>44456.419490740736</v>
      </c>
      <c r="B16237" s="4" t="str">
        <f>HYPERLINK("https://twitter.com/petrogustavo","@petrogustavo")</f>
        <v>@petrogustavo</v>
      </c>
      <c r="C16237" s="5" t="s">
        <v>16</v>
      </c>
      <c r="D16237" s="5" t="s">
        <v>15626</v>
      </c>
      <c r="E16237" s="6" t="str">
        <f>HYPERLINK("https://twitter.com/petrogustavo/status/1438722901226803201","1438722901226803201")</f>
        <v>1438722901226803201</v>
      </c>
      <c r="F16237" s="7" t="s">
        <v>17</v>
      </c>
      <c r="G16237" s="7">
        <v>4361666</v>
      </c>
      <c r="H16237" s="7">
        <v>2540</v>
      </c>
      <c r="I16237" s="7">
        <v>92</v>
      </c>
      <c r="J16237" s="7">
        <v>0</v>
      </c>
      <c r="K16237" s="7" t="s">
        <v>18</v>
      </c>
      <c r="L16237" s="8">
        <v>39987.315405092595</v>
      </c>
      <c r="M16237" s="9" t="s">
        <v>19</v>
      </c>
      <c r="N16237" s="9" t="s">
        <v>20</v>
      </c>
      <c r="O16237" s="6" t="str">
        <f>HYPERLINK("https://pbs.twimg.com/profile_images/962471262747529216/Uo8lOkRJ_normal.jpg","View")</f>
        <v>View</v>
      </c>
      <c r="P16237" s="7"/>
    </row>
    <row r="16238" spans="1:16">
      <c r="A16238" s="3">
        <v>44456.420277777783</v>
      </c>
      <c r="B16238" s="4" t="str">
        <f>HYPERLINK("https://twitter.com/petrogustavo","@petrogustavo")</f>
        <v>@petrogustavo</v>
      </c>
      <c r="C16238" s="5" t="s">
        <v>16</v>
      </c>
      <c r="D16238" s="5" t="s">
        <v>15627</v>
      </c>
      <c r="E16238" s="6" t="str">
        <f>HYPERLINK("https://twitter.com/petrogustavo/status/1438723186657579009","1438723186657579009")</f>
        <v>1438723186657579009</v>
      </c>
      <c r="F16238" s="7" t="s">
        <v>17</v>
      </c>
      <c r="G16238" s="7">
        <v>4361666</v>
      </c>
      <c r="H16238" s="7">
        <v>2540</v>
      </c>
      <c r="I16238" s="7">
        <v>166</v>
      </c>
      <c r="J16238" s="7">
        <v>0</v>
      </c>
      <c r="K16238" s="7" t="s">
        <v>18</v>
      </c>
      <c r="L16238" s="8">
        <v>39987.315405092595</v>
      </c>
      <c r="M16238" s="9" t="s">
        <v>19</v>
      </c>
      <c r="N16238" s="9" t="s">
        <v>20</v>
      </c>
      <c r="O16238" s="6" t="str">
        <f>HYPERLINK("https://pbs.twimg.com/profile_images/962471262747529216/Uo8lOkRJ_normal.jpg","View")</f>
        <v>View</v>
      </c>
      <c r="P16238" s="7"/>
    </row>
    <row r="16239" spans="1:16">
      <c r="A16239" s="3">
        <v>44456.430729166663</v>
      </c>
      <c r="B16239" s="4" t="str">
        <f>HYPERLINK("https://twitter.com/petrogustavo","@petrogustavo")</f>
        <v>@petrogustavo</v>
      </c>
      <c r="C16239" s="5" t="s">
        <v>16</v>
      </c>
      <c r="D16239" s="5" t="s">
        <v>15628</v>
      </c>
      <c r="E16239" s="6" t="str">
        <f>HYPERLINK("https://twitter.com/petrogustavo/status/1438726972541181952","1438726972541181952")</f>
        <v>1438726972541181952</v>
      </c>
      <c r="F16239" s="7" t="s">
        <v>17</v>
      </c>
      <c r="G16239" s="7">
        <v>4361666</v>
      </c>
      <c r="H16239" s="7">
        <v>2540</v>
      </c>
      <c r="I16239" s="7">
        <v>52</v>
      </c>
      <c r="J16239" s="7">
        <v>305</v>
      </c>
      <c r="K16239" s="7" t="s">
        <v>18</v>
      </c>
      <c r="L16239" s="8">
        <v>39987.315405092595</v>
      </c>
      <c r="M16239" s="9" t="s">
        <v>19</v>
      </c>
      <c r="N16239" s="9" t="s">
        <v>20</v>
      </c>
      <c r="O16239" s="6" t="str">
        <f>HYPERLINK("https://pbs.twimg.com/profile_images/962471262747529216/Uo8lOkRJ_normal.jpg","View")</f>
        <v>View</v>
      </c>
      <c r="P16239" s="7"/>
    </row>
    <row r="16240" spans="1:16">
      <c r="A16240" s="3">
        <v>44456.725949074069</v>
      </c>
      <c r="B16240" s="4" t="str">
        <f>HYPERLINK("https://twitter.com/petrogustavo","@petrogustavo")</f>
        <v>@petrogustavo</v>
      </c>
      <c r="C16240" s="5" t="s">
        <v>16</v>
      </c>
      <c r="D16240" s="5" t="s">
        <v>15629</v>
      </c>
      <c r="E16240" s="6" t="str">
        <f>HYPERLINK("https://twitter.com/petrogustavo/status/1438833959627116544","1438833959627116544")</f>
        <v>1438833959627116544</v>
      </c>
      <c r="F16240" s="7" t="s">
        <v>17</v>
      </c>
      <c r="G16240" s="7">
        <v>4361685</v>
      </c>
      <c r="H16240" s="7">
        <v>2539</v>
      </c>
      <c r="I16240" s="7">
        <v>484</v>
      </c>
      <c r="J16240" s="7">
        <v>0</v>
      </c>
      <c r="K16240" s="7" t="s">
        <v>18</v>
      </c>
      <c r="L16240" s="8">
        <v>39987.315405092595</v>
      </c>
      <c r="M16240" s="9" t="s">
        <v>19</v>
      </c>
      <c r="N16240" s="9" t="s">
        <v>20</v>
      </c>
      <c r="O16240" s="6" t="str">
        <f>HYPERLINK("https://pbs.twimg.com/profile_images/962471262747529216/Uo8lOkRJ_normal.jpg","View")</f>
        <v>View</v>
      </c>
      <c r="P16240" s="7"/>
    </row>
    <row r="16241" spans="1:16">
      <c r="A16241" s="3">
        <v>44456.892488425925</v>
      </c>
      <c r="B16241" s="4" t="str">
        <f>HYPERLINK("https://twitter.com/petrogustavo","@petrogustavo")</f>
        <v>@petrogustavo</v>
      </c>
      <c r="C16241" s="5" t="s">
        <v>16</v>
      </c>
      <c r="D16241" s="5" t="s">
        <v>15630</v>
      </c>
      <c r="E16241" s="6" t="str">
        <f>HYPERLINK("https://twitter.com/petrogustavo/status/1438894310360031232","1438894310360031232")</f>
        <v>1438894310360031232</v>
      </c>
      <c r="F16241" s="7" t="s">
        <v>17</v>
      </c>
      <c r="G16241" s="7">
        <v>4361788</v>
      </c>
      <c r="H16241" s="7">
        <v>2538</v>
      </c>
      <c r="I16241" s="7">
        <v>172</v>
      </c>
      <c r="J16241" s="7">
        <v>619</v>
      </c>
      <c r="K16241" s="7" t="s">
        <v>18</v>
      </c>
      <c r="L16241" s="8">
        <v>39987.315405092595</v>
      </c>
      <c r="M16241" s="9" t="s">
        <v>19</v>
      </c>
      <c r="N16241" s="9" t="s">
        <v>20</v>
      </c>
      <c r="O16241" s="6" t="str">
        <f>HYPERLINK("https://pbs.twimg.com/profile_images/962471262747529216/Uo8lOkRJ_normal.jpg","View")</f>
        <v>View</v>
      </c>
      <c r="P16241" s="7"/>
    </row>
    <row r="16242" spans="1:16">
      <c r="A16242" s="3">
        <v>44457.002812499995</v>
      </c>
      <c r="B16242" s="4" t="str">
        <f>HYPERLINK("https://twitter.com/petrogustavo","@petrogustavo")</f>
        <v>@petrogustavo</v>
      </c>
      <c r="C16242" s="5" t="s">
        <v>16</v>
      </c>
      <c r="D16242" s="5" t="s">
        <v>15631</v>
      </c>
      <c r="E16242" s="6" t="str">
        <f>HYPERLINK("https://twitter.com/petrogustavo/status/1438934289605857281","1438934289605857281")</f>
        <v>1438934289605857281</v>
      </c>
      <c r="F16242" s="7" t="s">
        <v>17</v>
      </c>
      <c r="G16242" s="7">
        <v>4361844</v>
      </c>
      <c r="H16242" s="7">
        <v>2538</v>
      </c>
      <c r="I16242" s="7">
        <v>151</v>
      </c>
      <c r="J16242" s="7">
        <v>452</v>
      </c>
      <c r="K16242" s="7" t="s">
        <v>18</v>
      </c>
      <c r="L16242" s="8">
        <v>39987.315405092595</v>
      </c>
      <c r="M16242" s="9" t="s">
        <v>19</v>
      </c>
      <c r="N16242" s="9" t="s">
        <v>20</v>
      </c>
      <c r="O16242" s="6" t="str">
        <f>HYPERLINK("https://pbs.twimg.com/profile_images/962471262747529216/Uo8lOkRJ_normal.jpg","View")</f>
        <v>View</v>
      </c>
      <c r="P16242" s="7"/>
    </row>
    <row r="16243" spans="1:16">
      <c r="A16243" s="3">
        <v>44457.07136574074</v>
      </c>
      <c r="B16243" s="4" t="str">
        <f>HYPERLINK("https://twitter.com/petrogustavo","@petrogustavo")</f>
        <v>@petrogustavo</v>
      </c>
      <c r="C16243" s="5" t="s">
        <v>16</v>
      </c>
      <c r="D16243" s="5" t="s">
        <v>15632</v>
      </c>
      <c r="E16243" s="6" t="str">
        <f>HYPERLINK("https://twitter.com/petrogustavo/status/1438959133542207493","1438959133542207493")</f>
        <v>1438959133542207493</v>
      </c>
      <c r="F16243" s="7" t="s">
        <v>17</v>
      </c>
      <c r="G16243" s="7">
        <v>4361827</v>
      </c>
      <c r="H16243" s="7">
        <v>2538</v>
      </c>
      <c r="I16243" s="7">
        <v>37</v>
      </c>
      <c r="J16243" s="7">
        <v>89</v>
      </c>
      <c r="K16243" s="7" t="s">
        <v>18</v>
      </c>
      <c r="L16243" s="8">
        <v>39987.315405092595</v>
      </c>
      <c r="M16243" s="9" t="s">
        <v>19</v>
      </c>
      <c r="N16243" s="9" t="s">
        <v>20</v>
      </c>
      <c r="O16243" s="6" t="str">
        <f>HYPERLINK("https://pbs.twimg.com/profile_images/962471262747529216/Uo8lOkRJ_normal.jpg","View")</f>
        <v>View</v>
      </c>
      <c r="P16243" s="7"/>
    </row>
    <row r="16244" spans="1:16">
      <c r="A16244" s="3">
        <v>44457.259930555556</v>
      </c>
      <c r="B16244" s="4" t="str">
        <f>HYPERLINK("https://twitter.com/petrogustavo","@petrogustavo")</f>
        <v>@petrogustavo</v>
      </c>
      <c r="C16244" s="5" t="s">
        <v>16</v>
      </c>
      <c r="D16244" s="5" t="s">
        <v>15633</v>
      </c>
      <c r="E16244" s="6" t="str">
        <f>HYPERLINK("https://twitter.com/petrogustavo/status/1439027466295721985","1439027466295721985")</f>
        <v>1439027466295721985</v>
      </c>
      <c r="F16244" s="7" t="s">
        <v>32</v>
      </c>
      <c r="G16244" s="7">
        <v>4361949</v>
      </c>
      <c r="H16244" s="7">
        <v>2537</v>
      </c>
      <c r="I16244" s="7">
        <v>563</v>
      </c>
      <c r="J16244" s="7">
        <v>0</v>
      </c>
      <c r="K16244" s="7" t="s">
        <v>18</v>
      </c>
      <c r="L16244" s="8">
        <v>39987.315405092595</v>
      </c>
      <c r="M16244" s="9" t="s">
        <v>19</v>
      </c>
      <c r="N16244" s="9" t="s">
        <v>20</v>
      </c>
      <c r="O16244" s="6" t="str">
        <f>HYPERLINK("https://pbs.twimg.com/profile_images/962471262747529216/Uo8lOkRJ_normal.jpg","View")</f>
        <v>View</v>
      </c>
      <c r="P16244" s="7"/>
    </row>
    <row r="16245" spans="1:16">
      <c r="A16245" s="3">
        <v>44457.800925925927</v>
      </c>
      <c r="B16245" s="4" t="str">
        <f>HYPERLINK("https://twitter.com/petrogustavo","@petrogustavo")</f>
        <v>@petrogustavo</v>
      </c>
      <c r="C16245" s="5" t="s">
        <v>16</v>
      </c>
      <c r="D16245" s="5" t="s">
        <v>15634</v>
      </c>
      <c r="E16245" s="6" t="str">
        <f>HYPERLINK("https://twitter.com/petrogustavo/status/1439223517631877124","1439223517631877124")</f>
        <v>1439223517631877124</v>
      </c>
      <c r="F16245" s="7" t="s">
        <v>32</v>
      </c>
      <c r="G16245" s="7">
        <v>4362085</v>
      </c>
      <c r="H16245" s="7">
        <v>2537</v>
      </c>
      <c r="I16245" s="7">
        <v>24</v>
      </c>
      <c r="J16245" s="7">
        <v>61</v>
      </c>
      <c r="K16245" s="7" t="s">
        <v>18</v>
      </c>
      <c r="L16245" s="8">
        <v>39987.315405092595</v>
      </c>
      <c r="M16245" s="9" t="s">
        <v>19</v>
      </c>
      <c r="N16245" s="9" t="s">
        <v>20</v>
      </c>
      <c r="O16245" s="6" t="str">
        <f>HYPERLINK("https://pbs.twimg.com/profile_images/962471262747529216/Uo8lOkRJ_normal.jpg","View")</f>
        <v>View</v>
      </c>
      <c r="P16245" s="7"/>
    </row>
    <row r="16246" spans="1:16">
      <c r="A16246" s="3">
        <v>44457.851516203707</v>
      </c>
      <c r="B16246" s="4" t="str">
        <f>HYPERLINK("https://twitter.com/petrogustavo","@petrogustavo")</f>
        <v>@petrogustavo</v>
      </c>
      <c r="C16246" s="5" t="s">
        <v>16</v>
      </c>
      <c r="D16246" s="5" t="s">
        <v>15635</v>
      </c>
      <c r="E16246" s="6" t="str">
        <f>HYPERLINK("https://twitter.com/petrogustavo/status/1439241849064075264","1439241849064075264")</f>
        <v>1439241849064075264</v>
      </c>
      <c r="F16246" s="7" t="s">
        <v>32</v>
      </c>
      <c r="G16246" s="7">
        <v>4362134</v>
      </c>
      <c r="H16246" s="7">
        <v>2537</v>
      </c>
      <c r="I16246" s="7">
        <v>843</v>
      </c>
      <c r="J16246" s="7">
        <v>0</v>
      </c>
      <c r="K16246" s="7" t="s">
        <v>18</v>
      </c>
      <c r="L16246" s="8">
        <v>39987.315405092595</v>
      </c>
      <c r="M16246" s="9" t="s">
        <v>19</v>
      </c>
      <c r="N16246" s="9" t="s">
        <v>20</v>
      </c>
      <c r="O16246" s="6" t="str">
        <f>HYPERLINK("https://pbs.twimg.com/profile_images/962471262747529216/Uo8lOkRJ_normal.jpg","View")</f>
        <v>View</v>
      </c>
      <c r="P16246" s="7"/>
    </row>
    <row r="16247" spans="1:16">
      <c r="A16247" s="3">
        <v>44457.857939814814</v>
      </c>
      <c r="B16247" s="4" t="str">
        <f>HYPERLINK("https://twitter.com/petrogustavo","@petrogustavo")</f>
        <v>@petrogustavo</v>
      </c>
      <c r="C16247" s="5" t="s">
        <v>16</v>
      </c>
      <c r="D16247" s="5" t="s">
        <v>15636</v>
      </c>
      <c r="E16247" s="6" t="str">
        <f>HYPERLINK("https://twitter.com/petrogustavo/status/1439244179276718085","1439244179276718085")</f>
        <v>1439244179276718085</v>
      </c>
      <c r="F16247" s="7" t="s">
        <v>32</v>
      </c>
      <c r="G16247" s="7">
        <v>4362134</v>
      </c>
      <c r="H16247" s="7">
        <v>2537</v>
      </c>
      <c r="I16247" s="7">
        <v>88</v>
      </c>
      <c r="J16247" s="7">
        <v>302</v>
      </c>
      <c r="K16247" s="7" t="s">
        <v>18</v>
      </c>
      <c r="L16247" s="8">
        <v>39987.315405092595</v>
      </c>
      <c r="M16247" s="9" t="s">
        <v>19</v>
      </c>
      <c r="N16247" s="9" t="s">
        <v>20</v>
      </c>
      <c r="O16247" s="6" t="str">
        <f>HYPERLINK("https://pbs.twimg.com/profile_images/962471262747529216/Uo8lOkRJ_normal.jpg","View")</f>
        <v>View</v>
      </c>
      <c r="P16247" s="7"/>
    </row>
    <row r="16248" spans="1:16">
      <c r="A16248" s="3">
        <v>44457.857951388884</v>
      </c>
      <c r="B16248" s="4" t="str">
        <f>HYPERLINK("https://twitter.com/petrogustavo","@petrogustavo")</f>
        <v>@petrogustavo</v>
      </c>
      <c r="C16248" s="5" t="s">
        <v>16</v>
      </c>
      <c r="D16248" s="5" t="s">
        <v>15637</v>
      </c>
      <c r="E16248" s="6" t="str">
        <f>HYPERLINK("https://twitter.com/petrogustavo/status/1439244181256429572","1439244181256429572")</f>
        <v>1439244181256429572</v>
      </c>
      <c r="F16248" s="7" t="s">
        <v>32</v>
      </c>
      <c r="G16248" s="7">
        <v>4362134</v>
      </c>
      <c r="H16248" s="7">
        <v>2537</v>
      </c>
      <c r="I16248" s="7">
        <v>12</v>
      </c>
      <c r="J16248" s="7">
        <v>42</v>
      </c>
      <c r="K16248" s="7" t="s">
        <v>18</v>
      </c>
      <c r="L16248" s="8">
        <v>39987.315405092595</v>
      </c>
      <c r="M16248" s="9" t="s">
        <v>19</v>
      </c>
      <c r="N16248" s="9" t="s">
        <v>20</v>
      </c>
      <c r="O16248" s="6" t="str">
        <f>HYPERLINK("https://pbs.twimg.com/profile_images/962471262747529216/Uo8lOkRJ_normal.jpg","View")</f>
        <v>View</v>
      </c>
      <c r="P16248" s="7"/>
    </row>
    <row r="16249" spans="1:16">
      <c r="A16249" s="3">
        <v>44457.857951388884</v>
      </c>
      <c r="B16249" s="4" t="str">
        <f>HYPERLINK("https://twitter.com/petrogustavo","@petrogustavo")</f>
        <v>@petrogustavo</v>
      </c>
      <c r="C16249" s="5" t="s">
        <v>16</v>
      </c>
      <c r="D16249" s="5" t="s">
        <v>15638</v>
      </c>
      <c r="E16249" s="6" t="str">
        <f>HYPERLINK("https://twitter.com/petrogustavo/status/1439244182879719433","1439244182879719433")</f>
        <v>1439244182879719433</v>
      </c>
      <c r="F16249" s="7" t="s">
        <v>32</v>
      </c>
      <c r="G16249" s="7">
        <v>4362134</v>
      </c>
      <c r="H16249" s="7">
        <v>2537</v>
      </c>
      <c r="I16249" s="7">
        <v>13</v>
      </c>
      <c r="J16249" s="7">
        <v>45</v>
      </c>
      <c r="K16249" s="7" t="s">
        <v>18</v>
      </c>
      <c r="L16249" s="8">
        <v>39987.315405092595</v>
      </c>
      <c r="M16249" s="9" t="s">
        <v>19</v>
      </c>
      <c r="N16249" s="9" t="s">
        <v>20</v>
      </c>
      <c r="O16249" s="6" t="str">
        <f>HYPERLINK("https://pbs.twimg.com/profile_images/962471262747529216/Uo8lOkRJ_normal.jpg","View")</f>
        <v>View</v>
      </c>
      <c r="P16249" s="7"/>
    </row>
    <row r="16250" spans="1:16">
      <c r="A16250" s="3">
        <v>44457.857962962968</v>
      </c>
      <c r="B16250" s="4" t="str">
        <f>HYPERLINK("https://twitter.com/petrogustavo","@petrogustavo")</f>
        <v>@petrogustavo</v>
      </c>
      <c r="C16250" s="5" t="s">
        <v>16</v>
      </c>
      <c r="D16250" s="5" t="s">
        <v>15639</v>
      </c>
      <c r="E16250" s="6" t="str">
        <f>HYPERLINK("https://twitter.com/petrogustavo/status/1439244184725168131","1439244184725168131")</f>
        <v>1439244184725168131</v>
      </c>
      <c r="F16250" s="7" t="s">
        <v>32</v>
      </c>
      <c r="G16250" s="7">
        <v>4362134</v>
      </c>
      <c r="H16250" s="7">
        <v>2537</v>
      </c>
      <c r="I16250" s="7">
        <v>38</v>
      </c>
      <c r="J16250" s="7">
        <v>144</v>
      </c>
      <c r="K16250" s="7" t="s">
        <v>18</v>
      </c>
      <c r="L16250" s="8">
        <v>39987.315405092595</v>
      </c>
      <c r="M16250" s="9" t="s">
        <v>19</v>
      </c>
      <c r="N16250" s="9" t="s">
        <v>20</v>
      </c>
      <c r="O16250" s="6" t="str">
        <f>HYPERLINK("https://pbs.twimg.com/profile_images/962471262747529216/Uo8lOkRJ_normal.jpg","View")</f>
        <v>View</v>
      </c>
      <c r="P16250" s="7"/>
    </row>
    <row r="16251" spans="1:16">
      <c r="A16251" s="3">
        <v>44457.857962962968</v>
      </c>
      <c r="B16251" s="4" t="str">
        <f>HYPERLINK("https://twitter.com/petrogustavo","@petrogustavo")</f>
        <v>@petrogustavo</v>
      </c>
      <c r="C16251" s="5" t="s">
        <v>16</v>
      </c>
      <c r="D16251" s="5" t="s">
        <v>15640</v>
      </c>
      <c r="E16251" s="6" t="str">
        <f>HYPERLINK("https://twitter.com/petrogustavo/status/1439244186386149381","1439244186386149381")</f>
        <v>1439244186386149381</v>
      </c>
      <c r="F16251" s="7" t="s">
        <v>32</v>
      </c>
      <c r="G16251" s="7">
        <v>4362134</v>
      </c>
      <c r="H16251" s="7">
        <v>2537</v>
      </c>
      <c r="I16251" s="7">
        <v>65</v>
      </c>
      <c r="J16251" s="7">
        <v>223</v>
      </c>
      <c r="K16251" s="7" t="s">
        <v>18</v>
      </c>
      <c r="L16251" s="8">
        <v>39987.315405092595</v>
      </c>
      <c r="M16251" s="9" t="s">
        <v>19</v>
      </c>
      <c r="N16251" s="9" t="s">
        <v>20</v>
      </c>
      <c r="O16251" s="6" t="str">
        <f>HYPERLINK("https://pbs.twimg.com/profile_images/962471262747529216/Uo8lOkRJ_normal.jpg","View")</f>
        <v>View</v>
      </c>
      <c r="P16251" s="7"/>
    </row>
    <row r="16252" spans="1:16">
      <c r="A16252" s="3">
        <v>44457.980104166665</v>
      </c>
      <c r="B16252" s="4" t="str">
        <f>HYPERLINK("https://twitter.com/petrogustavo","@petrogustavo")</f>
        <v>@petrogustavo</v>
      </c>
      <c r="C16252" s="5" t="s">
        <v>16</v>
      </c>
      <c r="D16252" s="5" t="s">
        <v>15641</v>
      </c>
      <c r="E16252" s="6" t="str">
        <f>HYPERLINK("https://twitter.com/petrogustavo/status/1439288447995424770","1439288447995424770")</f>
        <v>1439288447995424770</v>
      </c>
      <c r="F16252" s="7" t="s">
        <v>17</v>
      </c>
      <c r="G16252" s="7">
        <v>4362204</v>
      </c>
      <c r="H16252" s="7">
        <v>2537</v>
      </c>
      <c r="I16252" s="7">
        <v>210</v>
      </c>
      <c r="J16252" s="7">
        <v>523</v>
      </c>
      <c r="K16252" s="7" t="s">
        <v>18</v>
      </c>
      <c r="L16252" s="8">
        <v>39987.315405092595</v>
      </c>
      <c r="M16252" s="9" t="s">
        <v>19</v>
      </c>
      <c r="N16252" s="9" t="s">
        <v>20</v>
      </c>
      <c r="O16252" s="6" t="str">
        <f>HYPERLINK("https://pbs.twimg.com/profile_images/962471262747529216/Uo8lOkRJ_normal.jpg","View")</f>
        <v>View</v>
      </c>
      <c r="P16252" s="7"/>
    </row>
    <row r="16253" spans="1:16">
      <c r="A16253" s="3">
        <v>44457.995462962965</v>
      </c>
      <c r="B16253" s="4" t="str">
        <f>HYPERLINK("https://twitter.com/petrogustavo","@petrogustavo")</f>
        <v>@petrogustavo</v>
      </c>
      <c r="C16253" s="5" t="s">
        <v>16</v>
      </c>
      <c r="D16253" s="5" t="s">
        <v>15642</v>
      </c>
      <c r="E16253" s="6" t="str">
        <f>HYPERLINK("https://twitter.com/petrogustavo/status/1439294015736881160","1439294015736881160")</f>
        <v>1439294015736881160</v>
      </c>
      <c r="F16253" s="7" t="s">
        <v>17</v>
      </c>
      <c r="G16253" s="7">
        <v>4362217</v>
      </c>
      <c r="H16253" s="7">
        <v>2537</v>
      </c>
      <c r="I16253" s="7">
        <v>173</v>
      </c>
      <c r="J16253" s="7">
        <v>590</v>
      </c>
      <c r="K16253" s="7" t="s">
        <v>18</v>
      </c>
      <c r="L16253" s="8">
        <v>39987.315405092595</v>
      </c>
      <c r="M16253" s="9" t="s">
        <v>19</v>
      </c>
      <c r="N16253" s="9" t="s">
        <v>20</v>
      </c>
      <c r="O16253" s="6" t="str">
        <f>HYPERLINK("https://pbs.twimg.com/profile_images/962471262747529216/Uo8lOkRJ_normal.jpg","View")</f>
        <v>View</v>
      </c>
      <c r="P16253" s="7"/>
    </row>
    <row r="16254" spans="1:16">
      <c r="A16254" s="3">
        <v>44459.705763888887</v>
      </c>
      <c r="B16254" s="4" t="str">
        <f>HYPERLINK("https://twitter.com/petrogustavo","@petrogustavo")</f>
        <v>@petrogustavo</v>
      </c>
      <c r="C16254" s="5" t="s">
        <v>16</v>
      </c>
      <c r="D16254" s="5" t="s">
        <v>15643</v>
      </c>
      <c r="E16254" s="6" t="str">
        <f>HYPERLINK("https://twitter.com/petrogustavo/status/1439913808525398017","1439913808525398017")</f>
        <v>1439913808525398017</v>
      </c>
      <c r="F16254" s="7" t="s">
        <v>17</v>
      </c>
      <c r="G16254" s="7">
        <v>4362928</v>
      </c>
      <c r="H16254" s="7">
        <v>2535</v>
      </c>
      <c r="I16254" s="7">
        <v>1223</v>
      </c>
      <c r="J16254" s="7">
        <v>0</v>
      </c>
      <c r="K16254" s="7" t="s">
        <v>18</v>
      </c>
      <c r="L16254" s="8">
        <v>39987.315405092595</v>
      </c>
      <c r="M16254" s="9" t="s">
        <v>19</v>
      </c>
      <c r="N16254" s="9" t="s">
        <v>20</v>
      </c>
      <c r="O16254" s="6" t="str">
        <f>HYPERLINK("https://pbs.twimg.com/profile_images/962471262747529216/Uo8lOkRJ_normal.jpg","View")</f>
        <v>View</v>
      </c>
      <c r="P16254" s="7"/>
    </row>
    <row r="16255" spans="1:16">
      <c r="A16255" s="3">
        <v>44459.762175925927</v>
      </c>
      <c r="B16255" s="4" t="str">
        <f>HYPERLINK("https://twitter.com/petrogustavo","@petrogustavo")</f>
        <v>@petrogustavo</v>
      </c>
      <c r="C16255" s="5" t="s">
        <v>16</v>
      </c>
      <c r="D16255" s="5" t="s">
        <v>15644</v>
      </c>
      <c r="E16255" s="6" t="str">
        <f>HYPERLINK("https://twitter.com/petrogustavo/status/1439934249176608775","1439934249176608775")</f>
        <v>1439934249176608775</v>
      </c>
      <c r="F16255" s="7" t="s">
        <v>32</v>
      </c>
      <c r="G16255" s="7">
        <v>4362952</v>
      </c>
      <c r="H16255" s="7">
        <v>2535</v>
      </c>
      <c r="I16255" s="7">
        <v>6</v>
      </c>
      <c r="J16255" s="7">
        <v>14</v>
      </c>
      <c r="K16255" s="7" t="s">
        <v>18</v>
      </c>
      <c r="L16255" s="8">
        <v>39987.315405092595</v>
      </c>
      <c r="M16255" s="9" t="s">
        <v>19</v>
      </c>
      <c r="N16255" s="9" t="s">
        <v>20</v>
      </c>
      <c r="O16255" s="6" t="str">
        <f>HYPERLINK("https://pbs.twimg.com/profile_images/962471262747529216/Uo8lOkRJ_normal.jpg","View")</f>
        <v>View</v>
      </c>
      <c r="P16255" s="7"/>
    </row>
    <row r="16256" spans="1:16">
      <c r="A16256" s="3">
        <v>44459.762175925927</v>
      </c>
      <c r="B16256" s="4" t="str">
        <f>HYPERLINK("https://twitter.com/petrogustavo","@petrogustavo")</f>
        <v>@petrogustavo</v>
      </c>
      <c r="C16256" s="5" t="s">
        <v>16</v>
      </c>
      <c r="D16256" s="5" t="s">
        <v>15645</v>
      </c>
      <c r="E16256" s="6" t="str">
        <f>HYPERLINK("https://twitter.com/petrogustavo/status/1439934251449860104","1439934251449860104")</f>
        <v>1439934251449860104</v>
      </c>
      <c r="F16256" s="7" t="s">
        <v>32</v>
      </c>
      <c r="G16256" s="7">
        <v>4362952</v>
      </c>
      <c r="H16256" s="7">
        <v>2535</v>
      </c>
      <c r="I16256" s="7">
        <v>2</v>
      </c>
      <c r="J16256" s="7">
        <v>6</v>
      </c>
      <c r="K16256" s="7" t="s">
        <v>18</v>
      </c>
      <c r="L16256" s="8">
        <v>39987.315405092595</v>
      </c>
      <c r="M16256" s="9" t="s">
        <v>19</v>
      </c>
      <c r="N16256" s="9" t="s">
        <v>20</v>
      </c>
      <c r="O16256" s="6" t="str">
        <f>HYPERLINK("https://pbs.twimg.com/profile_images/962471262747529216/Uo8lOkRJ_normal.jpg","View")</f>
        <v>View</v>
      </c>
      <c r="P16256" s="7"/>
    </row>
    <row r="16257" spans="1:16">
      <c r="A16257" s="3">
        <v>44459.762986111113</v>
      </c>
      <c r="B16257" s="4" t="str">
        <f>HYPERLINK("https://twitter.com/petrogustavo","@petrogustavo")</f>
        <v>@petrogustavo</v>
      </c>
      <c r="C16257" s="5" t="s">
        <v>16</v>
      </c>
      <c r="D16257" s="5" t="s">
        <v>15646</v>
      </c>
      <c r="E16257" s="6" t="str">
        <f>HYPERLINK("https://twitter.com/petrogustavo/status/1439934544019398666","1439934544019398666")</f>
        <v>1439934544019398666</v>
      </c>
      <c r="F16257" s="7" t="s">
        <v>32</v>
      </c>
      <c r="G16257" s="7">
        <v>4362971</v>
      </c>
      <c r="H16257" s="7">
        <v>2535</v>
      </c>
      <c r="I16257" s="7">
        <v>21</v>
      </c>
      <c r="J16257" s="7">
        <v>53</v>
      </c>
      <c r="K16257" s="7" t="s">
        <v>18</v>
      </c>
      <c r="L16257" s="8">
        <v>39987.315405092595</v>
      </c>
      <c r="M16257" s="9" t="s">
        <v>19</v>
      </c>
      <c r="N16257" s="9" t="s">
        <v>20</v>
      </c>
      <c r="O16257" s="6" t="str">
        <f>HYPERLINK("https://pbs.twimg.com/profile_images/962471262747529216/Uo8lOkRJ_normal.jpg","View")</f>
        <v>View</v>
      </c>
      <c r="P16257" s="7"/>
    </row>
    <row r="16258" spans="1:16">
      <c r="A16258" s="3">
        <v>44459.76326388889</v>
      </c>
      <c r="B16258" s="4" t="str">
        <f>HYPERLINK("https://twitter.com/petrogustavo","@petrogustavo")</f>
        <v>@petrogustavo</v>
      </c>
      <c r="C16258" s="5" t="s">
        <v>16</v>
      </c>
      <c r="D16258" s="5" t="s">
        <v>15647</v>
      </c>
      <c r="E16258" s="6" t="str">
        <f>HYPERLINK("https://twitter.com/petrogustavo/status/1439934642270900227","1439934642270900227")</f>
        <v>1439934642270900227</v>
      </c>
      <c r="F16258" s="7" t="s">
        <v>32</v>
      </c>
      <c r="G16258" s="7">
        <v>4362971</v>
      </c>
      <c r="H16258" s="7">
        <v>2535</v>
      </c>
      <c r="I16258" s="7">
        <v>44</v>
      </c>
      <c r="J16258" s="7">
        <v>142</v>
      </c>
      <c r="K16258" s="7" t="s">
        <v>18</v>
      </c>
      <c r="L16258" s="8">
        <v>39987.315405092595</v>
      </c>
      <c r="M16258" s="9" t="s">
        <v>19</v>
      </c>
      <c r="N16258" s="9" t="s">
        <v>20</v>
      </c>
      <c r="O16258" s="6" t="str">
        <f>HYPERLINK("https://pbs.twimg.com/profile_images/962471262747529216/Uo8lOkRJ_normal.jpg","View")</f>
        <v>View</v>
      </c>
      <c r="P16258" s="7"/>
    </row>
    <row r="16259" spans="1:16">
      <c r="A16259" s="3">
        <v>44459.763564814813</v>
      </c>
      <c r="B16259" s="4" t="str">
        <f>HYPERLINK("https://twitter.com/petrogustavo","@petrogustavo")</f>
        <v>@petrogustavo</v>
      </c>
      <c r="C16259" s="5" t="s">
        <v>16</v>
      </c>
      <c r="D16259" s="5" t="s">
        <v>15648</v>
      </c>
      <c r="E16259" s="6" t="str">
        <f>HYPERLINK("https://twitter.com/petrogustavo/status/1439934752887382018","1439934752887382018")</f>
        <v>1439934752887382018</v>
      </c>
      <c r="F16259" s="7" t="s">
        <v>32</v>
      </c>
      <c r="G16259" s="7">
        <v>4362971</v>
      </c>
      <c r="H16259" s="7">
        <v>2535</v>
      </c>
      <c r="I16259" s="7">
        <v>35</v>
      </c>
      <c r="J16259" s="7">
        <v>129</v>
      </c>
      <c r="K16259" s="7" t="s">
        <v>18</v>
      </c>
      <c r="L16259" s="8">
        <v>39987.315405092595</v>
      </c>
      <c r="M16259" s="9" t="s">
        <v>19</v>
      </c>
      <c r="N16259" s="9" t="s">
        <v>20</v>
      </c>
      <c r="O16259" s="6" t="str">
        <f>HYPERLINK("https://pbs.twimg.com/profile_images/962471262747529216/Uo8lOkRJ_normal.jpg","View")</f>
        <v>View</v>
      </c>
      <c r="P16259" s="7"/>
    </row>
    <row r="16260" spans="1:16">
      <c r="A16260" s="3">
        <v>44459.7890625</v>
      </c>
      <c r="B16260" s="4" t="str">
        <f>HYPERLINK("https://twitter.com/petrogustavo","@petrogustavo")</f>
        <v>@petrogustavo</v>
      </c>
      <c r="C16260" s="5" t="s">
        <v>16</v>
      </c>
      <c r="D16260" s="5" t="s">
        <v>15649</v>
      </c>
      <c r="E16260" s="6" t="str">
        <f>HYPERLINK("https://twitter.com/petrogustavo/status/1439943993928916992","1439943993928916992")</f>
        <v>1439943993928916992</v>
      </c>
      <c r="F16260" s="7" t="s">
        <v>32</v>
      </c>
      <c r="G16260" s="7">
        <v>4362981</v>
      </c>
      <c r="H16260" s="7">
        <v>2535</v>
      </c>
      <c r="I16260" s="7">
        <v>83</v>
      </c>
      <c r="J16260" s="7">
        <v>0</v>
      </c>
      <c r="K16260" s="7" t="s">
        <v>18</v>
      </c>
      <c r="L16260" s="8">
        <v>39987.315405092595</v>
      </c>
      <c r="M16260" s="9" t="s">
        <v>19</v>
      </c>
      <c r="N16260" s="9" t="s">
        <v>20</v>
      </c>
      <c r="O16260" s="6" t="str">
        <f>HYPERLINK("https://pbs.twimg.com/profile_images/962471262747529216/Uo8lOkRJ_normal.jpg","View")</f>
        <v>View</v>
      </c>
      <c r="P16260" s="7"/>
    </row>
    <row r="16261" spans="1:16">
      <c r="A16261" s="3">
        <v>44459.807129629626</v>
      </c>
      <c r="B16261" s="4" t="str">
        <f>HYPERLINK("https://twitter.com/petrogustavo","@petrogustavo")</f>
        <v>@petrogustavo</v>
      </c>
      <c r="C16261" s="5" t="s">
        <v>16</v>
      </c>
      <c r="D16261" s="5" t="s">
        <v>15650</v>
      </c>
      <c r="E16261" s="6" t="str">
        <f>HYPERLINK("https://twitter.com/petrogustavo/status/1439950539446525958","1439950539446525958")</f>
        <v>1439950539446525958</v>
      </c>
      <c r="F16261" s="7" t="s">
        <v>32</v>
      </c>
      <c r="G16261" s="7">
        <v>4362990</v>
      </c>
      <c r="H16261" s="7">
        <v>2535</v>
      </c>
      <c r="I16261" s="7">
        <v>185</v>
      </c>
      <c r="J16261" s="7">
        <v>592</v>
      </c>
      <c r="K16261" s="7" t="s">
        <v>18</v>
      </c>
      <c r="L16261" s="8">
        <v>39987.315405092595</v>
      </c>
      <c r="M16261" s="9" t="s">
        <v>19</v>
      </c>
      <c r="N16261" s="9" t="s">
        <v>20</v>
      </c>
      <c r="O16261" s="6" t="str">
        <f>HYPERLINK("https://pbs.twimg.com/profile_images/962471262747529216/Uo8lOkRJ_normal.jpg","View")</f>
        <v>View</v>
      </c>
      <c r="P16261" s="7"/>
    </row>
    <row r="16262" spans="1:16">
      <c r="A16262" s="3">
        <v>44460.825520833328</v>
      </c>
      <c r="B16262" s="4" t="str">
        <f>HYPERLINK("https://twitter.com/petrogustavo","@petrogustavo")</f>
        <v>@petrogustavo</v>
      </c>
      <c r="C16262" s="5" t="s">
        <v>16</v>
      </c>
      <c r="D16262" s="5" t="s">
        <v>15651</v>
      </c>
      <c r="E16262" s="6" t="str">
        <f>HYPERLINK("https://twitter.com/petrogustavo/status/1440319592891437059","1440319592891437059")</f>
        <v>1440319592891437059</v>
      </c>
      <c r="F16262" s="7" t="s">
        <v>17</v>
      </c>
      <c r="G16262" s="7">
        <v>4362755</v>
      </c>
      <c r="H16262" s="7">
        <v>2538</v>
      </c>
      <c r="I16262" s="7">
        <v>134</v>
      </c>
      <c r="J16262" s="7">
        <v>359</v>
      </c>
      <c r="K16262" s="7" t="s">
        <v>18</v>
      </c>
      <c r="L16262" s="8">
        <v>39987.315405092595</v>
      </c>
      <c r="M16262" s="9" t="s">
        <v>19</v>
      </c>
      <c r="N16262" s="9" t="s">
        <v>20</v>
      </c>
      <c r="O16262" s="6" t="str">
        <f>HYPERLINK("https://pbs.twimg.com/profile_images/962471262747529216/Uo8lOkRJ_normal.jpg","View")</f>
        <v>View</v>
      </c>
      <c r="P16262" s="7"/>
    </row>
    <row r="16263" spans="1:16">
      <c r="A16263" s="3">
        <v>44460.869826388887</v>
      </c>
      <c r="B16263" s="4" t="str">
        <f>HYPERLINK("https://twitter.com/petrogustavo","@petrogustavo")</f>
        <v>@petrogustavo</v>
      </c>
      <c r="C16263" s="5" t="s">
        <v>16</v>
      </c>
      <c r="D16263" s="5" t="s">
        <v>15652</v>
      </c>
      <c r="E16263" s="6" t="str">
        <f>HYPERLINK("https://twitter.com/petrogustavo/status/1440335650574659592","1440335650574659592")</f>
        <v>1440335650574659592</v>
      </c>
      <c r="F16263" s="7" t="s">
        <v>32</v>
      </c>
      <c r="G16263" s="7">
        <v>4362759</v>
      </c>
      <c r="H16263" s="7">
        <v>2538</v>
      </c>
      <c r="I16263" s="7">
        <v>131</v>
      </c>
      <c r="J16263" s="7">
        <v>436</v>
      </c>
      <c r="K16263" s="7" t="s">
        <v>18</v>
      </c>
      <c r="L16263" s="8">
        <v>39987.315405092595</v>
      </c>
      <c r="M16263" s="9" t="s">
        <v>19</v>
      </c>
      <c r="N16263" s="9" t="s">
        <v>20</v>
      </c>
      <c r="O16263" s="6" t="str">
        <f>HYPERLINK("https://pbs.twimg.com/profile_images/962471262747529216/Uo8lOkRJ_normal.jpg","View")</f>
        <v>View</v>
      </c>
      <c r="P16263" s="7"/>
    </row>
    <row r="16264" spans="1:16">
      <c r="A16264" s="3">
        <v>44460.928368055553</v>
      </c>
      <c r="B16264" s="4" t="str">
        <f>HYPERLINK("https://twitter.com/petrogustavo","@petrogustavo")</f>
        <v>@petrogustavo</v>
      </c>
      <c r="C16264" s="5" t="s">
        <v>16</v>
      </c>
      <c r="D16264" s="5" t="s">
        <v>15653</v>
      </c>
      <c r="E16264" s="6" t="str">
        <f>HYPERLINK("https://twitter.com/petrogustavo/status/1440356864722554883","1440356864722554883")</f>
        <v>1440356864722554883</v>
      </c>
      <c r="F16264" s="7" t="s">
        <v>32</v>
      </c>
      <c r="G16264" s="7">
        <v>4362794</v>
      </c>
      <c r="H16264" s="7">
        <v>2538</v>
      </c>
      <c r="I16264" s="7">
        <v>11</v>
      </c>
      <c r="J16264" s="7">
        <v>34</v>
      </c>
      <c r="K16264" s="7" t="s">
        <v>18</v>
      </c>
      <c r="L16264" s="8">
        <v>39987.315405092595</v>
      </c>
      <c r="M16264" s="9" t="s">
        <v>19</v>
      </c>
      <c r="N16264" s="9" t="s">
        <v>20</v>
      </c>
      <c r="O16264" s="6" t="str">
        <f>HYPERLINK("https://pbs.twimg.com/profile_images/962471262747529216/Uo8lOkRJ_normal.jpg","View")</f>
        <v>View</v>
      </c>
      <c r="P16264" s="7"/>
    </row>
    <row r="16265" spans="1:16">
      <c r="A16265" s="3">
        <v>44461.081770833334</v>
      </c>
      <c r="B16265" s="4" t="str">
        <f>HYPERLINK("https://twitter.com/petrogustavo","@petrogustavo")</f>
        <v>@petrogustavo</v>
      </c>
      <c r="C16265" s="5" t="s">
        <v>16</v>
      </c>
      <c r="D16265" s="5" t="s">
        <v>15654</v>
      </c>
      <c r="E16265" s="6" t="str">
        <f>HYPERLINK("https://twitter.com/petrogustavo/status/1440412456505864199","1440412456505864199")</f>
        <v>1440412456505864199</v>
      </c>
      <c r="F16265" s="7" t="s">
        <v>17</v>
      </c>
      <c r="G16265" s="7">
        <v>4362854</v>
      </c>
      <c r="H16265" s="7">
        <v>2538</v>
      </c>
      <c r="I16265" s="7">
        <v>37</v>
      </c>
      <c r="J16265" s="7">
        <v>0</v>
      </c>
      <c r="K16265" s="7" t="s">
        <v>18</v>
      </c>
      <c r="L16265" s="8">
        <v>39987.315405092595</v>
      </c>
      <c r="M16265" s="9" t="s">
        <v>19</v>
      </c>
      <c r="N16265" s="9" t="s">
        <v>20</v>
      </c>
      <c r="O16265" s="6" t="str">
        <f>HYPERLINK("https://pbs.twimg.com/profile_images/962471262747529216/Uo8lOkRJ_normal.jpg","View")</f>
        <v>View</v>
      </c>
      <c r="P16265" s="7"/>
    </row>
    <row r="16266" spans="1:16">
      <c r="A16266" s="3">
        <v>44461.246770833328</v>
      </c>
      <c r="B16266" s="4" t="str">
        <f>HYPERLINK("https://twitter.com/petrogustavo","@petrogustavo")</f>
        <v>@petrogustavo</v>
      </c>
      <c r="C16266" s="5" t="s">
        <v>16</v>
      </c>
      <c r="D16266" s="5" t="s">
        <v>15655</v>
      </c>
      <c r="E16266" s="6" t="str">
        <f>HYPERLINK("https://twitter.com/petrogustavo/status/1440472247836106757","1440472247836106757")</f>
        <v>1440472247836106757</v>
      </c>
      <c r="F16266" s="7" t="s">
        <v>32</v>
      </c>
      <c r="G16266" s="7">
        <v>4362929</v>
      </c>
      <c r="H16266" s="7">
        <v>2538</v>
      </c>
      <c r="I16266" s="7">
        <v>16</v>
      </c>
      <c r="J16266" s="7">
        <v>0</v>
      </c>
      <c r="K16266" s="7" t="s">
        <v>18</v>
      </c>
      <c r="L16266" s="8">
        <v>39987.315405092595</v>
      </c>
      <c r="M16266" s="9" t="s">
        <v>19</v>
      </c>
      <c r="N16266" s="9" t="s">
        <v>20</v>
      </c>
      <c r="O16266" s="6" t="str">
        <f>HYPERLINK("https://pbs.twimg.com/profile_images/962471262747529216/Uo8lOkRJ_normal.jpg","View")</f>
        <v>View</v>
      </c>
      <c r="P16266" s="7"/>
    </row>
    <row r="16267" spans="1:16">
      <c r="A16267" s="3">
        <v>44461.265104166669</v>
      </c>
      <c r="B16267" s="4" t="str">
        <f>HYPERLINK("https://twitter.com/petrogustavo","@petrogustavo")</f>
        <v>@petrogustavo</v>
      </c>
      <c r="C16267" s="5" t="s">
        <v>16</v>
      </c>
      <c r="D16267" s="5" t="s">
        <v>15656</v>
      </c>
      <c r="E16267" s="6" t="str">
        <f>HYPERLINK("https://twitter.com/petrogustavo/status/1440478890980360203","1440478890980360203")</f>
        <v>1440478890980360203</v>
      </c>
      <c r="F16267" s="7" t="s">
        <v>21</v>
      </c>
      <c r="G16267" s="7">
        <v>4362940</v>
      </c>
      <c r="H16267" s="7">
        <v>2538</v>
      </c>
      <c r="I16267" s="7">
        <v>113</v>
      </c>
      <c r="J16267" s="7">
        <v>305</v>
      </c>
      <c r="K16267" s="7" t="s">
        <v>18</v>
      </c>
      <c r="L16267" s="8">
        <v>39987.315405092595</v>
      </c>
      <c r="M16267" s="9" t="s">
        <v>19</v>
      </c>
      <c r="N16267" s="9" t="s">
        <v>20</v>
      </c>
      <c r="O16267" s="6" t="str">
        <f>HYPERLINK("https://pbs.twimg.com/profile_images/962471262747529216/Uo8lOkRJ_normal.jpg","View")</f>
        <v>View</v>
      </c>
      <c r="P16267" s="7"/>
    </row>
    <row r="16268" spans="1:16">
      <c r="A16268" s="3">
        <v>44461.267187500001</v>
      </c>
      <c r="B16268" s="4" t="str">
        <f>HYPERLINK("https://twitter.com/petrogustavo","@petrogustavo")</f>
        <v>@petrogustavo</v>
      </c>
      <c r="C16268" s="5" t="s">
        <v>16</v>
      </c>
      <c r="D16268" s="5" t="s">
        <v>15657</v>
      </c>
      <c r="E16268" s="6" t="str">
        <f>HYPERLINK("https://twitter.com/petrogustavo/status/1440479647687344133","1440479647687344133")</f>
        <v>1440479647687344133</v>
      </c>
      <c r="F16268" s="7" t="s">
        <v>21</v>
      </c>
      <c r="G16268" s="7">
        <v>4362940</v>
      </c>
      <c r="H16268" s="7">
        <v>2538</v>
      </c>
      <c r="I16268" s="7">
        <v>159</v>
      </c>
      <c r="J16268" s="7">
        <v>397</v>
      </c>
      <c r="K16268" s="7" t="s">
        <v>18</v>
      </c>
      <c r="L16268" s="8">
        <v>39987.315405092595</v>
      </c>
      <c r="M16268" s="9" t="s">
        <v>19</v>
      </c>
      <c r="N16268" s="9" t="s">
        <v>20</v>
      </c>
      <c r="O16268" s="6" t="str">
        <f>HYPERLINK("https://pbs.twimg.com/profile_images/962471262747529216/Uo8lOkRJ_normal.jpg","View")</f>
        <v>View</v>
      </c>
      <c r="P16268" s="7"/>
    </row>
    <row r="16269" spans="1:16">
      <c r="A16269" s="3">
        <v>44461.275127314817</v>
      </c>
      <c r="B16269" s="4" t="str">
        <f>HYPERLINK("https://twitter.com/petrogustavo","@petrogustavo")</f>
        <v>@petrogustavo</v>
      </c>
      <c r="C16269" s="5" t="s">
        <v>16</v>
      </c>
      <c r="D16269" s="5" t="s">
        <v>15658</v>
      </c>
      <c r="E16269" s="6" t="str">
        <f>HYPERLINK("https://twitter.com/petrogustavo/status/1440482523163742226","1440482523163742226")</f>
        <v>1440482523163742226</v>
      </c>
      <c r="F16269" s="7" t="s">
        <v>21</v>
      </c>
      <c r="G16269" s="7">
        <v>4362940</v>
      </c>
      <c r="H16269" s="7">
        <v>2538</v>
      </c>
      <c r="I16269" s="7">
        <v>102</v>
      </c>
      <c r="J16269" s="7">
        <v>242</v>
      </c>
      <c r="K16269" s="7" t="s">
        <v>18</v>
      </c>
      <c r="L16269" s="8">
        <v>39987.315405092595</v>
      </c>
      <c r="M16269" s="9" t="s">
        <v>19</v>
      </c>
      <c r="N16269" s="9" t="s">
        <v>20</v>
      </c>
      <c r="O16269" s="6" t="str">
        <f>HYPERLINK("https://pbs.twimg.com/profile_images/962471262747529216/Uo8lOkRJ_normal.jpg","View")</f>
        <v>View</v>
      </c>
      <c r="P16269" s="7"/>
    </row>
    <row r="16270" spans="1:16">
      <c r="A16270" s="3">
        <v>44461.278368055559</v>
      </c>
      <c r="B16270" s="4" t="str">
        <f>HYPERLINK("https://twitter.com/petrogustavo","@petrogustavo")</f>
        <v>@petrogustavo</v>
      </c>
      <c r="C16270" s="5" t="s">
        <v>16</v>
      </c>
      <c r="D16270" s="5" t="s">
        <v>15659</v>
      </c>
      <c r="E16270" s="6" t="str">
        <f>HYPERLINK("https://twitter.com/petrogustavo/status/1440483698428694528","1440483698428694528")</f>
        <v>1440483698428694528</v>
      </c>
      <c r="F16270" s="7" t="s">
        <v>21</v>
      </c>
      <c r="G16270" s="7">
        <v>4362940</v>
      </c>
      <c r="H16270" s="7">
        <v>2538</v>
      </c>
      <c r="I16270" s="7">
        <v>47</v>
      </c>
      <c r="J16270" s="7">
        <v>104</v>
      </c>
      <c r="K16270" s="7" t="s">
        <v>18</v>
      </c>
      <c r="L16270" s="8">
        <v>39987.315405092595</v>
      </c>
      <c r="M16270" s="9" t="s">
        <v>19</v>
      </c>
      <c r="N16270" s="9" t="s">
        <v>20</v>
      </c>
      <c r="O16270" s="6" t="str">
        <f>HYPERLINK("https://pbs.twimg.com/profile_images/962471262747529216/Uo8lOkRJ_normal.jpg","View")</f>
        <v>View</v>
      </c>
      <c r="P16270" s="7"/>
    </row>
    <row r="16271" spans="1:16">
      <c r="A16271" s="3">
        <v>44461.278680555552</v>
      </c>
      <c r="B16271" s="4" t="str">
        <f>HYPERLINK("https://twitter.com/petrogustavo","@petrogustavo")</f>
        <v>@petrogustavo</v>
      </c>
      <c r="C16271" s="5" t="s">
        <v>16</v>
      </c>
      <c r="D16271" s="5" t="s">
        <v>15660</v>
      </c>
      <c r="E16271" s="6" t="str">
        <f>HYPERLINK("https://twitter.com/petrogustavo/status/1440483812132024325","1440483812132024325")</f>
        <v>1440483812132024325</v>
      </c>
      <c r="F16271" s="7" t="s">
        <v>32</v>
      </c>
      <c r="G16271" s="7">
        <v>4362940</v>
      </c>
      <c r="H16271" s="7">
        <v>2538</v>
      </c>
      <c r="I16271" s="7">
        <v>102</v>
      </c>
      <c r="J16271" s="7">
        <v>0</v>
      </c>
      <c r="K16271" s="7" t="s">
        <v>18</v>
      </c>
      <c r="L16271" s="8">
        <v>39987.315405092595</v>
      </c>
      <c r="M16271" s="9" t="s">
        <v>19</v>
      </c>
      <c r="N16271" s="9" t="s">
        <v>20</v>
      </c>
      <c r="O16271" s="6" t="str">
        <f>HYPERLINK("https://pbs.twimg.com/profile_images/962471262747529216/Uo8lOkRJ_normal.jpg","View")</f>
        <v>View</v>
      </c>
      <c r="P16271" s="7"/>
    </row>
    <row r="16272" spans="1:16">
      <c r="A16272" s="3">
        <v>44461.740428240737</v>
      </c>
      <c r="B16272" s="4" t="str">
        <f>HYPERLINK("https://twitter.com/petrogustavo","@petrogustavo")</f>
        <v>@petrogustavo</v>
      </c>
      <c r="C16272" s="5" t="s">
        <v>16</v>
      </c>
      <c r="D16272" s="5" t="s">
        <v>15661</v>
      </c>
      <c r="E16272" s="6" t="str">
        <f>HYPERLINK("https://twitter.com/petrogustavo/status/1440651145945305096","1440651145945305096")</f>
        <v>1440651145945305096</v>
      </c>
      <c r="F16272" s="7" t="s">
        <v>17</v>
      </c>
      <c r="G16272" s="7">
        <v>4363043</v>
      </c>
      <c r="H16272" s="7">
        <v>2538</v>
      </c>
      <c r="I16272" s="7">
        <v>41</v>
      </c>
      <c r="J16272" s="7">
        <v>84</v>
      </c>
      <c r="K16272" s="7" t="s">
        <v>18</v>
      </c>
      <c r="L16272" s="8">
        <v>39987.315405092595</v>
      </c>
      <c r="M16272" s="9" t="s">
        <v>19</v>
      </c>
      <c r="N16272" s="9" t="s">
        <v>20</v>
      </c>
      <c r="O16272" s="6" t="str">
        <f>HYPERLINK("https://pbs.twimg.com/profile_images/962471262747529216/Uo8lOkRJ_normal.jpg","View")</f>
        <v>View</v>
      </c>
      <c r="P16272" s="7"/>
    </row>
    <row r="16273" spans="1:16">
      <c r="A16273" s="3">
        <v>44461.775787037041</v>
      </c>
      <c r="B16273" s="4" t="str">
        <f>HYPERLINK("https://twitter.com/petrogustavo","@petrogustavo")</f>
        <v>@petrogustavo</v>
      </c>
      <c r="C16273" s="5" t="s">
        <v>16</v>
      </c>
      <c r="D16273" s="5" t="s">
        <v>15662</v>
      </c>
      <c r="E16273" s="6" t="str">
        <f>HYPERLINK("https://twitter.com/petrogustavo/status/1440663959565062158","1440663959565062158")</f>
        <v>1440663959565062158</v>
      </c>
      <c r="F16273" s="7" t="s">
        <v>32</v>
      </c>
      <c r="G16273" s="7">
        <v>4363059</v>
      </c>
      <c r="H16273" s="7">
        <v>2538</v>
      </c>
      <c r="I16273" s="7">
        <v>132</v>
      </c>
      <c r="J16273" s="7">
        <v>394</v>
      </c>
      <c r="K16273" s="7" t="s">
        <v>18</v>
      </c>
      <c r="L16273" s="8">
        <v>39987.315405092595</v>
      </c>
      <c r="M16273" s="9" t="s">
        <v>19</v>
      </c>
      <c r="N16273" s="9" t="s">
        <v>20</v>
      </c>
      <c r="O16273" s="6" t="str">
        <f>HYPERLINK("https://pbs.twimg.com/profile_images/962471262747529216/Uo8lOkRJ_normal.jpg","View")</f>
        <v>View</v>
      </c>
      <c r="P16273" s="7"/>
    </row>
    <row r="16274" spans="1:16">
      <c r="A16274" s="3">
        <v>44461.776759259257</v>
      </c>
      <c r="B16274" s="4" t="str">
        <f>HYPERLINK("https://twitter.com/petrogustavo","@petrogustavo")</f>
        <v>@petrogustavo</v>
      </c>
      <c r="C16274" s="5" t="s">
        <v>16</v>
      </c>
      <c r="D16274" s="5" t="s">
        <v>15663</v>
      </c>
      <c r="E16274" s="6" t="str">
        <f>HYPERLINK("https://twitter.com/petrogustavo/status/1440664310519250960","1440664310519250960")</f>
        <v>1440664310519250960</v>
      </c>
      <c r="F16274" s="7" t="s">
        <v>32</v>
      </c>
      <c r="G16274" s="7">
        <v>4363059</v>
      </c>
      <c r="H16274" s="7">
        <v>2538</v>
      </c>
      <c r="I16274" s="7">
        <v>39</v>
      </c>
      <c r="J16274" s="7">
        <v>0</v>
      </c>
      <c r="K16274" s="7" t="s">
        <v>18</v>
      </c>
      <c r="L16274" s="8">
        <v>39987.315405092595</v>
      </c>
      <c r="M16274" s="9" t="s">
        <v>19</v>
      </c>
      <c r="N16274" s="9" t="s">
        <v>20</v>
      </c>
      <c r="O16274" s="6" t="str">
        <f>HYPERLINK("https://pbs.twimg.com/profile_images/962471262747529216/Uo8lOkRJ_normal.jpg","View")</f>
        <v>View</v>
      </c>
      <c r="P16274" s="7"/>
    </row>
    <row r="16275" spans="1:16">
      <c r="A16275" s="3">
        <v>44461.78261574074</v>
      </c>
      <c r="B16275" s="4" t="str">
        <f>HYPERLINK("https://twitter.com/petrogustavo","@petrogustavo")</f>
        <v>@petrogustavo</v>
      </c>
      <c r="C16275" s="5" t="s">
        <v>16</v>
      </c>
      <c r="D16275" s="5" t="s">
        <v>15664</v>
      </c>
      <c r="E16275" s="6" t="str">
        <f>HYPERLINK("https://twitter.com/petrogustavo/status/1440666432316981260","1440666432316981260")</f>
        <v>1440666432316981260</v>
      </c>
      <c r="F16275" s="7" t="s">
        <v>32</v>
      </c>
      <c r="G16275" s="7">
        <v>4363059</v>
      </c>
      <c r="H16275" s="7">
        <v>2538</v>
      </c>
      <c r="I16275" s="7">
        <v>513</v>
      </c>
      <c r="J16275" s="7">
        <v>0</v>
      </c>
      <c r="K16275" s="7" t="s">
        <v>18</v>
      </c>
      <c r="L16275" s="8">
        <v>39987.315405092595</v>
      </c>
      <c r="M16275" s="9" t="s">
        <v>19</v>
      </c>
      <c r="N16275" s="9" t="s">
        <v>20</v>
      </c>
      <c r="O16275" s="6" t="str">
        <f>HYPERLINK("https://pbs.twimg.com/profile_images/962471262747529216/Uo8lOkRJ_normal.jpg","View")</f>
        <v>View</v>
      </c>
      <c r="P16275" s="7"/>
    </row>
    <row r="16276" spans="1:16">
      <c r="A16276" s="3">
        <v>44461.789131944446</v>
      </c>
      <c r="B16276" s="4" t="str">
        <f>HYPERLINK("https://twitter.com/petrogustavo","@petrogustavo")</f>
        <v>@petrogustavo</v>
      </c>
      <c r="C16276" s="5" t="s">
        <v>16</v>
      </c>
      <c r="D16276" s="5" t="s">
        <v>15665</v>
      </c>
      <c r="E16276" s="6" t="str">
        <f>HYPERLINK("https://twitter.com/petrogustavo/status/1440668795773722628","1440668795773722628")</f>
        <v>1440668795773722628</v>
      </c>
      <c r="F16276" s="7" t="s">
        <v>32</v>
      </c>
      <c r="G16276" s="7">
        <v>4363065</v>
      </c>
      <c r="H16276" s="7">
        <v>2538</v>
      </c>
      <c r="I16276" s="7">
        <v>55</v>
      </c>
      <c r="J16276" s="7">
        <v>0</v>
      </c>
      <c r="K16276" s="7" t="s">
        <v>18</v>
      </c>
      <c r="L16276" s="8">
        <v>39987.315405092595</v>
      </c>
      <c r="M16276" s="9" t="s">
        <v>19</v>
      </c>
      <c r="N16276" s="9" t="s">
        <v>20</v>
      </c>
      <c r="O16276" s="6" t="str">
        <f>HYPERLINK("https://pbs.twimg.com/profile_images/962471262747529216/Uo8lOkRJ_normal.jpg","View")</f>
        <v>View</v>
      </c>
      <c r="P16276" s="7"/>
    </row>
    <row r="16277" spans="1:16">
      <c r="A16277" s="3">
        <v>44461.790497685186</v>
      </c>
      <c r="B16277" s="4" t="str">
        <f>HYPERLINK("https://twitter.com/petrogustavo","@petrogustavo")</f>
        <v>@petrogustavo</v>
      </c>
      <c r="C16277" s="5" t="s">
        <v>16</v>
      </c>
      <c r="D16277" s="5" t="s">
        <v>15666</v>
      </c>
      <c r="E16277" s="6" t="str">
        <f>HYPERLINK("https://twitter.com/petrogustavo/status/1440669290345025544","1440669290345025544")</f>
        <v>1440669290345025544</v>
      </c>
      <c r="F16277" s="7" t="s">
        <v>32</v>
      </c>
      <c r="G16277" s="7">
        <v>4363065</v>
      </c>
      <c r="H16277" s="7">
        <v>2538</v>
      </c>
      <c r="I16277" s="7">
        <v>140</v>
      </c>
      <c r="J16277" s="7">
        <v>452</v>
      </c>
      <c r="K16277" s="7" t="s">
        <v>18</v>
      </c>
      <c r="L16277" s="8">
        <v>39987.315405092595</v>
      </c>
      <c r="M16277" s="9" t="s">
        <v>19</v>
      </c>
      <c r="N16277" s="9" t="s">
        <v>20</v>
      </c>
      <c r="O16277" s="6" t="str">
        <f>HYPERLINK("https://pbs.twimg.com/profile_images/962471262747529216/Uo8lOkRJ_normal.jpg","View")</f>
        <v>View</v>
      </c>
      <c r="P16277" s="7"/>
    </row>
    <row r="16278" spans="1:16">
      <c r="A16278" s="3">
        <v>44461.988807870366</v>
      </c>
      <c r="B16278" s="4" t="str">
        <f>HYPERLINK("https://twitter.com/petrogustavo","@petrogustavo")</f>
        <v>@petrogustavo</v>
      </c>
      <c r="C16278" s="5" t="s">
        <v>16</v>
      </c>
      <c r="D16278" s="5" t="s">
        <v>15667</v>
      </c>
      <c r="E16278" s="6" t="str">
        <f>HYPERLINK("https://twitter.com/petrogustavo/status/1440741154786398221","1440741154786398221")</f>
        <v>1440741154786398221</v>
      </c>
      <c r="F16278" s="7" t="s">
        <v>17</v>
      </c>
      <c r="G16278" s="7">
        <v>4363854</v>
      </c>
      <c r="H16278" s="7">
        <v>2537</v>
      </c>
      <c r="I16278" s="7">
        <v>39</v>
      </c>
      <c r="J16278" s="7">
        <v>142</v>
      </c>
      <c r="K16278" s="7" t="s">
        <v>18</v>
      </c>
      <c r="L16278" s="8">
        <v>39987.315405092595</v>
      </c>
      <c r="M16278" s="9" t="s">
        <v>19</v>
      </c>
      <c r="N16278" s="9" t="s">
        <v>20</v>
      </c>
      <c r="O16278" s="6" t="str">
        <f>HYPERLINK("https://pbs.twimg.com/profile_images/962471262747529216/Uo8lOkRJ_normal.jpg","View")</f>
        <v>View</v>
      </c>
      <c r="P16278" s="7"/>
    </row>
    <row r="16279" spans="1:16">
      <c r="A16279" s="3">
        <v>44461.994479166664</v>
      </c>
      <c r="B16279" s="4" t="str">
        <f>HYPERLINK("https://twitter.com/petrogustavo","@petrogustavo")</f>
        <v>@petrogustavo</v>
      </c>
      <c r="C16279" s="5" t="s">
        <v>16</v>
      </c>
      <c r="D16279" s="5" t="s">
        <v>15668</v>
      </c>
      <c r="E16279" s="6" t="str">
        <f>HYPERLINK("https://twitter.com/petrogustavo/status/1440743211438206978","1440743211438206978")</f>
        <v>1440743211438206978</v>
      </c>
      <c r="F16279" s="7" t="s">
        <v>17</v>
      </c>
      <c r="G16279" s="7">
        <v>4363127</v>
      </c>
      <c r="H16279" s="7">
        <v>2538</v>
      </c>
      <c r="I16279" s="7">
        <v>32</v>
      </c>
      <c r="J16279" s="7">
        <v>0</v>
      </c>
      <c r="K16279" s="7" t="s">
        <v>18</v>
      </c>
      <c r="L16279" s="8">
        <v>39987.315405092595</v>
      </c>
      <c r="M16279" s="9" t="s">
        <v>19</v>
      </c>
      <c r="N16279" s="9" t="s">
        <v>20</v>
      </c>
      <c r="O16279" s="6" t="str">
        <f>HYPERLINK("https://pbs.twimg.com/profile_images/962471262747529216/Uo8lOkRJ_normal.jpg","View")</f>
        <v>View</v>
      </c>
      <c r="P16279" s="7"/>
    </row>
    <row r="16280" spans="1:16">
      <c r="A16280" s="3">
        <v>44461.997245370367</v>
      </c>
      <c r="B16280" s="4" t="str">
        <f>HYPERLINK("https://twitter.com/petrogustavo","@petrogustavo")</f>
        <v>@petrogustavo</v>
      </c>
      <c r="C16280" s="5" t="s">
        <v>16</v>
      </c>
      <c r="D16280" s="5" t="s">
        <v>15669</v>
      </c>
      <c r="E16280" s="6" t="str">
        <f>HYPERLINK("https://twitter.com/petrogustavo/status/1440744213105184780","1440744213105184780")</f>
        <v>1440744213105184780</v>
      </c>
      <c r="F16280" s="7" t="s">
        <v>17</v>
      </c>
      <c r="G16280" s="7">
        <v>4363127</v>
      </c>
      <c r="H16280" s="7">
        <v>2538</v>
      </c>
      <c r="I16280" s="7">
        <v>147</v>
      </c>
      <c r="J16280" s="7">
        <v>509</v>
      </c>
      <c r="K16280" s="7" t="s">
        <v>18</v>
      </c>
      <c r="L16280" s="8">
        <v>39987.315405092595</v>
      </c>
      <c r="M16280" s="9" t="s">
        <v>19</v>
      </c>
      <c r="N16280" s="9" t="s">
        <v>20</v>
      </c>
      <c r="O16280" s="6" t="str">
        <f>HYPERLINK("https://pbs.twimg.com/profile_images/962471262747529216/Uo8lOkRJ_normal.jpg","View")</f>
        <v>View</v>
      </c>
      <c r="P16280" s="7"/>
    </row>
    <row r="16281" spans="1:16">
      <c r="A16281" s="3">
        <v>44462.213946759264</v>
      </c>
      <c r="B16281" s="4" t="str">
        <f>HYPERLINK("https://twitter.com/petrogustavo","@petrogustavo")</f>
        <v>@petrogustavo</v>
      </c>
      <c r="C16281" s="5" t="s">
        <v>16</v>
      </c>
      <c r="D16281" s="5" t="s">
        <v>15670</v>
      </c>
      <c r="E16281" s="6" t="str">
        <f>HYPERLINK("https://twitter.com/petrogustavo/status/1440822741565804545","1440822741565804545")</f>
        <v>1440822741565804545</v>
      </c>
      <c r="F16281" s="7" t="s">
        <v>17</v>
      </c>
      <c r="G16281" s="7">
        <v>4363970</v>
      </c>
      <c r="H16281" s="7">
        <v>2538</v>
      </c>
      <c r="I16281" s="7">
        <v>282</v>
      </c>
      <c r="J16281" s="7">
        <v>1464</v>
      </c>
      <c r="K16281" s="7" t="s">
        <v>18</v>
      </c>
      <c r="L16281" s="8">
        <v>39987.315405092595</v>
      </c>
      <c r="M16281" s="9" t="s">
        <v>19</v>
      </c>
      <c r="N16281" s="9" t="s">
        <v>20</v>
      </c>
      <c r="O16281" s="6" t="str">
        <f>HYPERLINK("https://pbs.twimg.com/profile_images/962471262747529216/Uo8lOkRJ_normal.jpg","View")</f>
        <v>View</v>
      </c>
      <c r="P16281" s="7"/>
    </row>
    <row r="16282" spans="1:16">
      <c r="A16282" s="3">
        <v>44462.799282407403</v>
      </c>
      <c r="B16282" s="4" t="str">
        <f>HYPERLINK("https://twitter.com/petrogustavo","@petrogustavo")</f>
        <v>@petrogustavo</v>
      </c>
      <c r="C16282" s="5" t="s">
        <v>16</v>
      </c>
      <c r="D16282" s="4" t="s">
        <v>15671</v>
      </c>
      <c r="E16282" s="6" t="str">
        <f>HYPERLINK("https://twitter.com/petrogustavo/status/1441034860139790340","1441034860139790340")</f>
        <v>1441034860139790340</v>
      </c>
      <c r="F16282" s="7" t="s">
        <v>17</v>
      </c>
      <c r="G16282" s="7">
        <v>4364184</v>
      </c>
      <c r="H16282" s="7">
        <v>2538</v>
      </c>
      <c r="I16282" s="7">
        <v>15</v>
      </c>
      <c r="J16282" s="7">
        <v>64</v>
      </c>
      <c r="K16282" s="7" t="s">
        <v>18</v>
      </c>
      <c r="L16282" s="8">
        <v>39987.315405092595</v>
      </c>
      <c r="M16282" s="9" t="s">
        <v>19</v>
      </c>
      <c r="N16282" s="9" t="s">
        <v>20</v>
      </c>
      <c r="O16282" s="6" t="str">
        <f>HYPERLINK("https://pbs.twimg.com/profile_images/962471262747529216/Uo8lOkRJ_normal.jpg","View")</f>
        <v>View</v>
      </c>
      <c r="P16282" s="7"/>
    </row>
    <row r="16283" spans="1:16">
      <c r="A16283" s="3">
        <v>44462.808634259258</v>
      </c>
      <c r="B16283" s="4" t="str">
        <f>HYPERLINK("https://twitter.com/petrogustavo","@petrogustavo")</f>
        <v>@petrogustavo</v>
      </c>
      <c r="C16283" s="5" t="s">
        <v>16</v>
      </c>
      <c r="D16283" s="5" t="s">
        <v>15672</v>
      </c>
      <c r="E16283" s="6" t="str">
        <f>HYPERLINK("https://twitter.com/petrogustavo/status/1441038249162588163","1441038249162588163")</f>
        <v>1441038249162588163</v>
      </c>
      <c r="F16283" s="7" t="s">
        <v>17</v>
      </c>
      <c r="G16283" s="7">
        <v>4364182</v>
      </c>
      <c r="H16283" s="7">
        <v>2538</v>
      </c>
      <c r="I16283" s="7">
        <v>172</v>
      </c>
      <c r="J16283" s="7">
        <v>406</v>
      </c>
      <c r="K16283" s="7" t="s">
        <v>18</v>
      </c>
      <c r="L16283" s="8">
        <v>39987.315405092595</v>
      </c>
      <c r="M16283" s="9" t="s">
        <v>19</v>
      </c>
      <c r="N16283" s="9" t="s">
        <v>20</v>
      </c>
      <c r="O16283" s="6" t="str">
        <f>HYPERLINK("https://pbs.twimg.com/profile_images/962471262747529216/Uo8lOkRJ_normal.jpg","View")</f>
        <v>View</v>
      </c>
      <c r="P16283" s="7"/>
    </row>
    <row r="16284" spans="1:16">
      <c r="A16284" s="3">
        <v>44462.867407407408</v>
      </c>
      <c r="B16284" s="4" t="str">
        <f>HYPERLINK("https://twitter.com/petrogustavo","@petrogustavo")</f>
        <v>@petrogustavo</v>
      </c>
      <c r="C16284" s="5" t="s">
        <v>16</v>
      </c>
      <c r="D16284" s="5" t="s">
        <v>15673</v>
      </c>
      <c r="E16284" s="6" t="str">
        <f>HYPERLINK("https://twitter.com/petrogustavo/status/1441059546194137091","1441059546194137091")</f>
        <v>1441059546194137091</v>
      </c>
      <c r="F16284" s="7" t="s">
        <v>32</v>
      </c>
      <c r="G16284" s="7">
        <v>4364216</v>
      </c>
      <c r="H16284" s="7">
        <v>2538</v>
      </c>
      <c r="I16284" s="7">
        <v>204</v>
      </c>
      <c r="J16284" s="7">
        <v>422</v>
      </c>
      <c r="K16284" s="7" t="s">
        <v>18</v>
      </c>
      <c r="L16284" s="8">
        <v>39987.315405092595</v>
      </c>
      <c r="M16284" s="9" t="s">
        <v>19</v>
      </c>
      <c r="N16284" s="9" t="s">
        <v>20</v>
      </c>
      <c r="O16284" s="6" t="str">
        <f>HYPERLINK("https://pbs.twimg.com/profile_images/962471262747529216/Uo8lOkRJ_normal.jpg","View")</f>
        <v>View</v>
      </c>
      <c r="P16284" s="7"/>
    </row>
    <row r="16285" spans="1:16">
      <c r="A16285" s="3">
        <v>44462.871192129634</v>
      </c>
      <c r="B16285" s="4" t="str">
        <f>HYPERLINK("https://twitter.com/petrogustavo","@petrogustavo")</f>
        <v>@petrogustavo</v>
      </c>
      <c r="C16285" s="5" t="s">
        <v>16</v>
      </c>
      <c r="D16285" s="5" t="s">
        <v>15674</v>
      </c>
      <c r="E16285" s="6" t="str">
        <f>HYPERLINK("https://twitter.com/petrogustavo/status/1441060918515965952","1441060918515965952")</f>
        <v>1441060918515965952</v>
      </c>
      <c r="F16285" s="7" t="s">
        <v>32</v>
      </c>
      <c r="G16285" s="7">
        <v>4364216</v>
      </c>
      <c r="H16285" s="7">
        <v>2538</v>
      </c>
      <c r="I16285" s="7">
        <v>323</v>
      </c>
      <c r="J16285" s="7">
        <v>0</v>
      </c>
      <c r="K16285" s="7" t="s">
        <v>18</v>
      </c>
      <c r="L16285" s="8">
        <v>39987.315405092595</v>
      </c>
      <c r="M16285" s="9" t="s">
        <v>19</v>
      </c>
      <c r="N16285" s="9" t="s">
        <v>20</v>
      </c>
      <c r="O16285" s="6" t="str">
        <f>HYPERLINK("https://pbs.twimg.com/profile_images/962471262747529216/Uo8lOkRJ_normal.jpg","View")</f>
        <v>View</v>
      </c>
      <c r="P16285" s="7"/>
    </row>
    <row r="16286" spans="1:16">
      <c r="A16286" s="3">
        <v>44462.899178240739</v>
      </c>
      <c r="B16286" s="4" t="str">
        <f>HYPERLINK("https://twitter.com/petrogustavo","@petrogustavo")</f>
        <v>@petrogustavo</v>
      </c>
      <c r="C16286" s="5" t="s">
        <v>16</v>
      </c>
      <c r="D16286" s="5" t="s">
        <v>15675</v>
      </c>
      <c r="E16286" s="6" t="str">
        <f>HYPERLINK("https://twitter.com/petrogustavo/status/1441071060133294081","1441071060133294081")</f>
        <v>1441071060133294081</v>
      </c>
      <c r="F16286" s="7" t="s">
        <v>17</v>
      </c>
      <c r="G16286" s="7">
        <v>4363511</v>
      </c>
      <c r="H16286" s="7">
        <v>2539</v>
      </c>
      <c r="I16286" s="7">
        <v>91</v>
      </c>
      <c r="J16286" s="7">
        <v>312</v>
      </c>
      <c r="K16286" s="7" t="s">
        <v>18</v>
      </c>
      <c r="L16286" s="8">
        <v>39987.315405092595</v>
      </c>
      <c r="M16286" s="9" t="s">
        <v>19</v>
      </c>
      <c r="N16286" s="9" t="s">
        <v>20</v>
      </c>
      <c r="O16286" s="6" t="str">
        <f>HYPERLINK("https://pbs.twimg.com/profile_images/962471262747529216/Uo8lOkRJ_normal.jpg","View")</f>
        <v>View</v>
      </c>
      <c r="P16286" s="7"/>
    </row>
    <row r="16287" spans="1:16">
      <c r="A16287" s="3">
        <v>44462.957476851851</v>
      </c>
      <c r="B16287" s="4" t="str">
        <f>HYPERLINK("https://twitter.com/petrogustavo","@petrogustavo")</f>
        <v>@petrogustavo</v>
      </c>
      <c r="C16287" s="5" t="s">
        <v>16</v>
      </c>
      <c r="D16287" s="5" t="s">
        <v>15676</v>
      </c>
      <c r="E16287" s="6" t="str">
        <f>HYPERLINK("https://twitter.com/petrogustavo/status/1441092186330730501","1441092186330730501")</f>
        <v>1441092186330730501</v>
      </c>
      <c r="F16287" s="7" t="s">
        <v>32</v>
      </c>
      <c r="G16287" s="7">
        <v>4363549</v>
      </c>
      <c r="H16287" s="7">
        <v>2539</v>
      </c>
      <c r="I16287" s="7">
        <v>16</v>
      </c>
      <c r="J16287" s="7">
        <v>0</v>
      </c>
      <c r="K16287" s="7" t="s">
        <v>18</v>
      </c>
      <c r="L16287" s="8">
        <v>39987.315405092595</v>
      </c>
      <c r="M16287" s="9" t="s">
        <v>19</v>
      </c>
      <c r="N16287" s="9" t="s">
        <v>20</v>
      </c>
      <c r="O16287" s="6" t="str">
        <f>HYPERLINK("https://pbs.twimg.com/profile_images/962471262747529216/Uo8lOkRJ_normal.jpg","View")</f>
        <v>View</v>
      </c>
      <c r="P16287" s="7"/>
    </row>
    <row r="16288" spans="1:16">
      <c r="A16288" s="3">
        <v>44462.96366898148</v>
      </c>
      <c r="B16288" s="4" t="str">
        <f>HYPERLINK("https://twitter.com/petrogustavo","@petrogustavo")</f>
        <v>@petrogustavo</v>
      </c>
      <c r="C16288" s="5" t="s">
        <v>16</v>
      </c>
      <c r="D16288" s="5" t="s">
        <v>15677</v>
      </c>
      <c r="E16288" s="6" t="str">
        <f>HYPERLINK("https://twitter.com/petrogustavo/status/1441094433592668180","1441094433592668180")</f>
        <v>1441094433592668180</v>
      </c>
      <c r="F16288" s="7" t="s">
        <v>17</v>
      </c>
      <c r="G16288" s="7">
        <v>4363549</v>
      </c>
      <c r="H16288" s="7">
        <v>2539</v>
      </c>
      <c r="I16288" s="7">
        <v>80</v>
      </c>
      <c r="J16288" s="7">
        <v>232</v>
      </c>
      <c r="K16288" s="7" t="s">
        <v>18</v>
      </c>
      <c r="L16288" s="8">
        <v>39987.315405092595</v>
      </c>
      <c r="M16288" s="9" t="s">
        <v>19</v>
      </c>
      <c r="N16288" s="9" t="s">
        <v>20</v>
      </c>
      <c r="O16288" s="6" t="str">
        <f>HYPERLINK("https://pbs.twimg.com/profile_images/962471262747529216/Uo8lOkRJ_normal.jpg","View")</f>
        <v>View</v>
      </c>
      <c r="P16288" s="7"/>
    </row>
    <row r="16289" spans="1:16">
      <c r="A16289" s="3">
        <v>44462.981192129635</v>
      </c>
      <c r="B16289" s="4" t="str">
        <f>HYPERLINK("https://twitter.com/petrogustavo","@petrogustavo")</f>
        <v>@petrogustavo</v>
      </c>
      <c r="C16289" s="5" t="s">
        <v>16</v>
      </c>
      <c r="D16289" s="5" t="s">
        <v>15678</v>
      </c>
      <c r="E16289" s="6" t="str">
        <f>HYPERLINK("https://twitter.com/petrogustavo/status/1441100783060074513","1441100783060074513")</f>
        <v>1441100783060074513</v>
      </c>
      <c r="F16289" s="7" t="s">
        <v>17</v>
      </c>
      <c r="G16289" s="7">
        <v>4363552</v>
      </c>
      <c r="H16289" s="7">
        <v>2539</v>
      </c>
      <c r="I16289" s="7">
        <v>38</v>
      </c>
      <c r="J16289" s="7">
        <v>137</v>
      </c>
      <c r="K16289" s="7" t="s">
        <v>18</v>
      </c>
      <c r="L16289" s="8">
        <v>39987.315405092595</v>
      </c>
      <c r="M16289" s="9" t="s">
        <v>19</v>
      </c>
      <c r="N16289" s="9" t="s">
        <v>20</v>
      </c>
      <c r="O16289" s="6" t="str">
        <f>HYPERLINK("https://pbs.twimg.com/profile_images/962471262747529216/Uo8lOkRJ_normal.jpg","View")</f>
        <v>View</v>
      </c>
      <c r="P16289" s="7"/>
    </row>
    <row r="16290" spans="1:16">
      <c r="A16290" s="3">
        <v>44462.983136574076</v>
      </c>
      <c r="B16290" s="4" t="str">
        <f>HYPERLINK("https://twitter.com/petrogustavo","@petrogustavo")</f>
        <v>@petrogustavo</v>
      </c>
      <c r="C16290" s="5" t="s">
        <v>16</v>
      </c>
      <c r="D16290" s="5" t="s">
        <v>15679</v>
      </c>
      <c r="E16290" s="6" t="str">
        <f>HYPERLINK("https://twitter.com/petrogustavo/status/1441101488772640771","1441101488772640771")</f>
        <v>1441101488772640771</v>
      </c>
      <c r="F16290" s="7" t="s">
        <v>17</v>
      </c>
      <c r="G16290" s="7">
        <v>4363552</v>
      </c>
      <c r="H16290" s="7">
        <v>2539</v>
      </c>
      <c r="I16290" s="7">
        <v>40</v>
      </c>
      <c r="J16290" s="7">
        <v>174</v>
      </c>
      <c r="K16290" s="7" t="s">
        <v>18</v>
      </c>
      <c r="L16290" s="8">
        <v>39987.315405092595</v>
      </c>
      <c r="M16290" s="9" t="s">
        <v>19</v>
      </c>
      <c r="N16290" s="9" t="s">
        <v>20</v>
      </c>
      <c r="O16290" s="6" t="str">
        <f>HYPERLINK("https://pbs.twimg.com/profile_images/962471262747529216/Uo8lOkRJ_normal.jpg","View")</f>
        <v>View</v>
      </c>
      <c r="P16290" s="7"/>
    </row>
    <row r="16291" spans="1:16">
      <c r="A16291" s="3">
        <v>44462.997106481482</v>
      </c>
      <c r="B16291" s="4" t="str">
        <f>HYPERLINK("https://twitter.com/petrogustavo","@petrogustavo")</f>
        <v>@petrogustavo</v>
      </c>
      <c r="C16291" s="5" t="s">
        <v>16</v>
      </c>
      <c r="D16291" s="5" t="s">
        <v>15680</v>
      </c>
      <c r="E16291" s="6" t="str">
        <f>HYPERLINK("https://twitter.com/petrogustavo/status/1441106548177002501","1441106548177002501")</f>
        <v>1441106548177002501</v>
      </c>
      <c r="F16291" s="7" t="s">
        <v>17</v>
      </c>
      <c r="G16291" s="7">
        <v>4363561</v>
      </c>
      <c r="H16291" s="7">
        <v>2539</v>
      </c>
      <c r="I16291" s="7">
        <v>52</v>
      </c>
      <c r="J16291" s="7">
        <v>155</v>
      </c>
      <c r="K16291" s="7" t="s">
        <v>18</v>
      </c>
      <c r="L16291" s="8">
        <v>39987.315405092595</v>
      </c>
      <c r="M16291" s="9" t="s">
        <v>19</v>
      </c>
      <c r="N16291" s="9" t="s">
        <v>20</v>
      </c>
      <c r="O16291" s="6" t="str">
        <f>HYPERLINK("https://pbs.twimg.com/profile_images/962471262747529216/Uo8lOkRJ_normal.jpg","View")</f>
        <v>View</v>
      </c>
      <c r="P16291" s="7"/>
    </row>
    <row r="16292" spans="1:16">
      <c r="A16292" s="3">
        <v>44462.998773148152</v>
      </c>
      <c r="B16292" s="4" t="str">
        <f>HYPERLINK("https://twitter.com/petrogustavo","@petrogustavo")</f>
        <v>@petrogustavo</v>
      </c>
      <c r="C16292" s="5" t="s">
        <v>16</v>
      </c>
      <c r="D16292" s="5" t="s">
        <v>15681</v>
      </c>
      <c r="E16292" s="6" t="str">
        <f>HYPERLINK("https://twitter.com/petrogustavo/status/1441107152932794372","1441107152932794372")</f>
        <v>1441107152932794372</v>
      </c>
      <c r="F16292" s="7" t="s">
        <v>17</v>
      </c>
      <c r="G16292" s="7">
        <v>4363561</v>
      </c>
      <c r="H16292" s="7">
        <v>2539</v>
      </c>
      <c r="I16292" s="7">
        <v>39</v>
      </c>
      <c r="J16292" s="7">
        <v>120</v>
      </c>
      <c r="K16292" s="7" t="s">
        <v>18</v>
      </c>
      <c r="L16292" s="8">
        <v>39987.315405092595</v>
      </c>
      <c r="M16292" s="9" t="s">
        <v>19</v>
      </c>
      <c r="N16292" s="9" t="s">
        <v>20</v>
      </c>
      <c r="O16292" s="6" t="str">
        <f>HYPERLINK("https://pbs.twimg.com/profile_images/962471262747529216/Uo8lOkRJ_normal.jpg","View")</f>
        <v>View</v>
      </c>
      <c r="P16292" s="7"/>
    </row>
    <row r="16293" spans="1:16">
      <c r="A16293" s="3">
        <v>44463.001261574071</v>
      </c>
      <c r="B16293" s="4" t="str">
        <f>HYPERLINK("https://twitter.com/petrogustavo","@petrogustavo")</f>
        <v>@petrogustavo</v>
      </c>
      <c r="C16293" s="5" t="s">
        <v>16</v>
      </c>
      <c r="D16293" s="5" t="s">
        <v>15682</v>
      </c>
      <c r="E16293" s="6" t="str">
        <f>HYPERLINK("https://twitter.com/petrogustavo/status/1441108056960487431","1441108056960487431")</f>
        <v>1441108056960487431</v>
      </c>
      <c r="F16293" s="7" t="s">
        <v>17</v>
      </c>
      <c r="G16293" s="7">
        <v>4363561</v>
      </c>
      <c r="H16293" s="7">
        <v>2539</v>
      </c>
      <c r="I16293" s="7">
        <v>53</v>
      </c>
      <c r="J16293" s="7">
        <v>121</v>
      </c>
      <c r="K16293" s="7" t="s">
        <v>18</v>
      </c>
      <c r="L16293" s="8">
        <v>39987.315405092595</v>
      </c>
      <c r="M16293" s="9" t="s">
        <v>19</v>
      </c>
      <c r="N16293" s="9" t="s">
        <v>20</v>
      </c>
      <c r="O16293" s="6" t="str">
        <f>HYPERLINK("https://pbs.twimg.com/profile_images/962471262747529216/Uo8lOkRJ_normal.jpg","View")</f>
        <v>View</v>
      </c>
      <c r="P16293" s="7"/>
    </row>
    <row r="16294" spans="1:16">
      <c r="A16294" s="3">
        <v>44463.105775462958</v>
      </c>
      <c r="B16294" s="4" t="str">
        <f>HYPERLINK("https://twitter.com/petrogustavo","@petrogustavo")</f>
        <v>@petrogustavo</v>
      </c>
      <c r="C16294" s="5" t="s">
        <v>16</v>
      </c>
      <c r="D16294" s="5" t="s">
        <v>15683</v>
      </c>
      <c r="E16294" s="6" t="str">
        <f>HYPERLINK("https://twitter.com/petrogustavo/status/1441145930040758275","1441145930040758275")</f>
        <v>1441145930040758275</v>
      </c>
      <c r="F16294" s="7" t="s">
        <v>17</v>
      </c>
      <c r="G16294" s="7">
        <v>4363557</v>
      </c>
      <c r="H16294" s="7">
        <v>2539</v>
      </c>
      <c r="I16294" s="7">
        <v>47</v>
      </c>
      <c r="J16294" s="7">
        <v>168</v>
      </c>
      <c r="K16294" s="7" t="s">
        <v>18</v>
      </c>
      <c r="L16294" s="8">
        <v>39987.315405092595</v>
      </c>
      <c r="M16294" s="9" t="s">
        <v>19</v>
      </c>
      <c r="N16294" s="9" t="s">
        <v>20</v>
      </c>
      <c r="O16294" s="6" t="str">
        <f>HYPERLINK("https://pbs.twimg.com/profile_images/962471262747529216/Uo8lOkRJ_normal.jpg","View")</f>
        <v>View</v>
      </c>
      <c r="P16294" s="7"/>
    </row>
    <row r="16295" spans="1:16">
      <c r="A16295" s="3">
        <v>44463.203009259261</v>
      </c>
      <c r="B16295" s="4" t="str">
        <f>HYPERLINK("https://twitter.com/petrogustavo","@petrogustavo")</f>
        <v>@petrogustavo</v>
      </c>
      <c r="C16295" s="5" t="s">
        <v>16</v>
      </c>
      <c r="D16295" s="5" t="s">
        <v>15684</v>
      </c>
      <c r="E16295" s="6" t="str">
        <f>HYPERLINK("https://twitter.com/petrogustavo/status/1441181166606893056","1441181166606893056")</f>
        <v>1441181166606893056</v>
      </c>
      <c r="F16295" s="7" t="s">
        <v>17</v>
      </c>
      <c r="G16295" s="7">
        <v>4364342</v>
      </c>
      <c r="H16295" s="7">
        <v>2538</v>
      </c>
      <c r="I16295" s="7">
        <v>178</v>
      </c>
      <c r="J16295" s="7">
        <v>662</v>
      </c>
      <c r="K16295" s="7" t="s">
        <v>18</v>
      </c>
      <c r="L16295" s="8">
        <v>39987.315405092595</v>
      </c>
      <c r="M16295" s="9" t="s">
        <v>19</v>
      </c>
      <c r="N16295" s="9" t="s">
        <v>20</v>
      </c>
      <c r="O16295" s="6" t="str">
        <f>HYPERLINK("https://pbs.twimg.com/profile_images/962471262747529216/Uo8lOkRJ_normal.jpg","View")</f>
        <v>View</v>
      </c>
      <c r="P16295" s="7"/>
    </row>
    <row r="16296" spans="1:16">
      <c r="A16296" s="3">
        <v>44463.276979166665</v>
      </c>
      <c r="B16296" s="4" t="str">
        <f>HYPERLINK("https://twitter.com/petrogustavo","@petrogustavo")</f>
        <v>@petrogustavo</v>
      </c>
      <c r="C16296" s="5" t="s">
        <v>16</v>
      </c>
      <c r="D16296" s="5" t="s">
        <v>15685</v>
      </c>
      <c r="E16296" s="6" t="str">
        <f>HYPERLINK("https://twitter.com/petrogustavo/status/1441207970885296129","1441207970885296129")</f>
        <v>1441207970885296129</v>
      </c>
      <c r="F16296" s="7" t="s">
        <v>32</v>
      </c>
      <c r="G16296" s="7">
        <v>4363656</v>
      </c>
      <c r="H16296" s="7">
        <v>2539</v>
      </c>
      <c r="I16296" s="7">
        <v>69</v>
      </c>
      <c r="J16296" s="7">
        <v>211</v>
      </c>
      <c r="K16296" s="7" t="s">
        <v>18</v>
      </c>
      <c r="L16296" s="8">
        <v>39987.315405092595</v>
      </c>
      <c r="M16296" s="9" t="s">
        <v>19</v>
      </c>
      <c r="N16296" s="9" t="s">
        <v>20</v>
      </c>
      <c r="O16296" s="6" t="str">
        <f>HYPERLINK("https://pbs.twimg.com/profile_images/962471262747529216/Uo8lOkRJ_normal.jpg","View")</f>
        <v>View</v>
      </c>
      <c r="P16296" s="7"/>
    </row>
    <row r="16297" spans="1:16">
      <c r="A16297" s="3">
        <v>44463.276979166665</v>
      </c>
      <c r="B16297" s="4" t="str">
        <f>HYPERLINK("https://twitter.com/petrogustavo","@petrogustavo")</f>
        <v>@petrogustavo</v>
      </c>
      <c r="C16297" s="5" t="s">
        <v>16</v>
      </c>
      <c r="D16297" s="5" t="s">
        <v>15686</v>
      </c>
      <c r="E16297" s="6" t="str">
        <f>HYPERLINK("https://twitter.com/petrogustavo/status/1441207973171240964","1441207973171240964")</f>
        <v>1441207973171240964</v>
      </c>
      <c r="F16297" s="7" t="s">
        <v>32</v>
      </c>
      <c r="G16297" s="7">
        <v>4363656</v>
      </c>
      <c r="H16297" s="7">
        <v>2539</v>
      </c>
      <c r="I16297" s="7">
        <v>40</v>
      </c>
      <c r="J16297" s="7">
        <v>153</v>
      </c>
      <c r="K16297" s="7" t="s">
        <v>18</v>
      </c>
      <c r="L16297" s="8">
        <v>39987.315405092595</v>
      </c>
      <c r="M16297" s="9" t="s">
        <v>19</v>
      </c>
      <c r="N16297" s="9" t="s">
        <v>20</v>
      </c>
      <c r="O16297" s="6" t="str">
        <f>HYPERLINK("https://pbs.twimg.com/profile_images/962471262747529216/Uo8lOkRJ_normal.jpg","View")</f>
        <v>View</v>
      </c>
      <c r="P16297" s="7"/>
    </row>
    <row r="16298" spans="1:16">
      <c r="A16298" s="3">
        <v>44463.276990740742</v>
      </c>
      <c r="B16298" s="4" t="str">
        <f>HYPERLINK("https://twitter.com/petrogustavo","@petrogustavo")</f>
        <v>@petrogustavo</v>
      </c>
      <c r="C16298" s="5" t="s">
        <v>16</v>
      </c>
      <c r="D16298" s="5" t="s">
        <v>15687</v>
      </c>
      <c r="E16298" s="6" t="str">
        <f>HYPERLINK("https://twitter.com/petrogustavo/status/1441207975272665088","1441207975272665088")</f>
        <v>1441207975272665088</v>
      </c>
      <c r="F16298" s="7" t="s">
        <v>32</v>
      </c>
      <c r="G16298" s="7">
        <v>4363656</v>
      </c>
      <c r="H16298" s="7">
        <v>2539</v>
      </c>
      <c r="I16298" s="7">
        <v>37</v>
      </c>
      <c r="J16298" s="7">
        <v>156</v>
      </c>
      <c r="K16298" s="7" t="s">
        <v>18</v>
      </c>
      <c r="L16298" s="8">
        <v>39987.315405092595</v>
      </c>
      <c r="M16298" s="9" t="s">
        <v>19</v>
      </c>
      <c r="N16298" s="9" t="s">
        <v>20</v>
      </c>
      <c r="O16298" s="6" t="str">
        <f>HYPERLINK("https://pbs.twimg.com/profile_images/962471262747529216/Uo8lOkRJ_normal.jpg","View")</f>
        <v>View</v>
      </c>
      <c r="P16298" s="7"/>
    </row>
    <row r="16299" spans="1:16">
      <c r="A16299" s="3">
        <v>44463.291770833333</v>
      </c>
      <c r="B16299" s="4" t="str">
        <f>HYPERLINK("https://twitter.com/petrogustavo","@petrogustavo")</f>
        <v>@petrogustavo</v>
      </c>
      <c r="C16299" s="5" t="s">
        <v>16</v>
      </c>
      <c r="D16299" s="5" t="s">
        <v>15688</v>
      </c>
      <c r="E16299" s="6" t="str">
        <f>HYPERLINK("https://twitter.com/petrogustavo/status/1441213332925472770","1441213332925472770")</f>
        <v>1441213332925472770</v>
      </c>
      <c r="F16299" s="7" t="s">
        <v>17</v>
      </c>
      <c r="G16299" s="7">
        <v>4363674</v>
      </c>
      <c r="H16299" s="7">
        <v>2539</v>
      </c>
      <c r="I16299" s="7">
        <v>209</v>
      </c>
      <c r="J16299" s="7">
        <v>0</v>
      </c>
      <c r="K16299" s="7" t="s">
        <v>18</v>
      </c>
      <c r="L16299" s="8">
        <v>39987.315405092595</v>
      </c>
      <c r="M16299" s="9" t="s">
        <v>19</v>
      </c>
      <c r="N16299" s="9" t="s">
        <v>20</v>
      </c>
      <c r="O16299" s="6" t="str">
        <f>HYPERLINK("https://pbs.twimg.com/profile_images/962471262747529216/Uo8lOkRJ_normal.jpg","View")</f>
        <v>View</v>
      </c>
      <c r="P16299" s="7"/>
    </row>
    <row r="16300" spans="1:16">
      <c r="A16300" s="3">
        <v>44463.292361111111</v>
      </c>
      <c r="B16300" s="4" t="str">
        <f>HYPERLINK("https://twitter.com/petrogustavo","@petrogustavo")</f>
        <v>@petrogustavo</v>
      </c>
      <c r="C16300" s="5" t="s">
        <v>16</v>
      </c>
      <c r="D16300" s="5" t="s">
        <v>15689</v>
      </c>
      <c r="E16300" s="6" t="str">
        <f>HYPERLINK("https://twitter.com/petrogustavo/status/1441213547560771589","1441213547560771589")</f>
        <v>1441213547560771589</v>
      </c>
      <c r="F16300" s="7" t="s">
        <v>17</v>
      </c>
      <c r="G16300" s="7">
        <v>4363674</v>
      </c>
      <c r="H16300" s="7">
        <v>2539</v>
      </c>
      <c r="I16300" s="7">
        <v>78</v>
      </c>
      <c r="J16300" s="7">
        <v>0</v>
      </c>
      <c r="K16300" s="7" t="s">
        <v>18</v>
      </c>
      <c r="L16300" s="8">
        <v>39987.315405092595</v>
      </c>
      <c r="M16300" s="9" t="s">
        <v>19</v>
      </c>
      <c r="N16300" s="9" t="s">
        <v>20</v>
      </c>
      <c r="O16300" s="6" t="str">
        <f>HYPERLINK("https://pbs.twimg.com/profile_images/962471262747529216/Uo8lOkRJ_normal.jpg","View")</f>
        <v>View</v>
      </c>
      <c r="P16300" s="7"/>
    </row>
    <row r="16301" spans="1:16">
      <c r="A16301" s="3">
        <v>44463.297766203701</v>
      </c>
      <c r="B16301" s="4" t="str">
        <f>HYPERLINK("https://twitter.com/petrogustavo","@petrogustavo")</f>
        <v>@petrogustavo</v>
      </c>
      <c r="C16301" s="5" t="s">
        <v>16</v>
      </c>
      <c r="D16301" s="5" t="s">
        <v>15690</v>
      </c>
      <c r="E16301" s="6" t="str">
        <f>HYPERLINK("https://twitter.com/petrogustavo/status/1441215503310237696","1441215503310237696")</f>
        <v>1441215503310237696</v>
      </c>
      <c r="F16301" s="7" t="s">
        <v>17</v>
      </c>
      <c r="G16301" s="7">
        <v>4363674</v>
      </c>
      <c r="H16301" s="7">
        <v>2539</v>
      </c>
      <c r="I16301" s="7">
        <v>27</v>
      </c>
      <c r="J16301" s="7">
        <v>0</v>
      </c>
      <c r="K16301" s="7" t="s">
        <v>18</v>
      </c>
      <c r="L16301" s="8">
        <v>39987.315405092595</v>
      </c>
      <c r="M16301" s="9" t="s">
        <v>19</v>
      </c>
      <c r="N16301" s="9" t="s">
        <v>20</v>
      </c>
      <c r="O16301" s="6" t="str">
        <f>HYPERLINK("https://pbs.twimg.com/profile_images/962471262747529216/Uo8lOkRJ_normal.jpg","View")</f>
        <v>View</v>
      </c>
      <c r="P16301" s="7"/>
    </row>
    <row r="16302" spans="1:16">
      <c r="A16302" s="3">
        <v>44463.297858796301</v>
      </c>
      <c r="B16302" s="4" t="str">
        <f>HYPERLINK("https://twitter.com/petrogustavo","@petrogustavo")</f>
        <v>@petrogustavo</v>
      </c>
      <c r="C16302" s="5" t="s">
        <v>16</v>
      </c>
      <c r="D16302" s="5" t="s">
        <v>15691</v>
      </c>
      <c r="E16302" s="6" t="str">
        <f>HYPERLINK("https://twitter.com/petrogustavo/status/1441215539192360972","1441215539192360972")</f>
        <v>1441215539192360972</v>
      </c>
      <c r="F16302" s="7" t="s">
        <v>17</v>
      </c>
      <c r="G16302" s="7">
        <v>4363674</v>
      </c>
      <c r="H16302" s="7">
        <v>2539</v>
      </c>
      <c r="I16302" s="7">
        <v>20</v>
      </c>
      <c r="J16302" s="7">
        <v>0</v>
      </c>
      <c r="K16302" s="7" t="s">
        <v>18</v>
      </c>
      <c r="L16302" s="8">
        <v>39987.315405092595</v>
      </c>
      <c r="M16302" s="9" t="s">
        <v>19</v>
      </c>
      <c r="N16302" s="9" t="s">
        <v>20</v>
      </c>
      <c r="O16302" s="6" t="str">
        <f>HYPERLINK("https://pbs.twimg.com/profile_images/962471262747529216/Uo8lOkRJ_normal.jpg","View")</f>
        <v>View</v>
      </c>
      <c r="P16302" s="7"/>
    </row>
    <row r="16303" spans="1:16">
      <c r="A16303" s="3">
        <v>44463.297951388886</v>
      </c>
      <c r="B16303" s="4" t="str">
        <f>HYPERLINK("https://twitter.com/petrogustavo","@petrogustavo")</f>
        <v>@petrogustavo</v>
      </c>
      <c r="C16303" s="5" t="s">
        <v>16</v>
      </c>
      <c r="D16303" s="5" t="s">
        <v>15692</v>
      </c>
      <c r="E16303" s="6" t="str">
        <f>HYPERLINK("https://twitter.com/petrogustavo/status/1441215572335751171","1441215572335751171")</f>
        <v>1441215572335751171</v>
      </c>
      <c r="F16303" s="7" t="s">
        <v>17</v>
      </c>
      <c r="G16303" s="7">
        <v>4363674</v>
      </c>
      <c r="H16303" s="7">
        <v>2539</v>
      </c>
      <c r="I16303" s="7">
        <v>55</v>
      </c>
      <c r="J16303" s="7">
        <v>0</v>
      </c>
      <c r="K16303" s="7" t="s">
        <v>18</v>
      </c>
      <c r="L16303" s="8">
        <v>39987.315405092595</v>
      </c>
      <c r="M16303" s="9" t="s">
        <v>19</v>
      </c>
      <c r="N16303" s="9" t="s">
        <v>20</v>
      </c>
      <c r="O16303" s="6" t="str">
        <f>HYPERLINK("https://pbs.twimg.com/profile_images/962471262747529216/Uo8lOkRJ_normal.jpg","View")</f>
        <v>View</v>
      </c>
      <c r="P16303" s="7"/>
    </row>
    <row r="16304" spans="1:16">
      <c r="A16304" s="3">
        <v>44463.302812499998</v>
      </c>
      <c r="B16304" s="4" t="str">
        <f>HYPERLINK("https://twitter.com/petrogustavo","@petrogustavo")</f>
        <v>@petrogustavo</v>
      </c>
      <c r="C16304" s="5" t="s">
        <v>16</v>
      </c>
      <c r="D16304" s="5" t="s">
        <v>15693</v>
      </c>
      <c r="E16304" s="6" t="str">
        <f>HYPERLINK("https://twitter.com/petrogustavo/status/1441217334220242952","1441217334220242952")</f>
        <v>1441217334220242952</v>
      </c>
      <c r="F16304" s="7" t="s">
        <v>17</v>
      </c>
      <c r="G16304" s="7">
        <v>4363674</v>
      </c>
      <c r="H16304" s="7">
        <v>2539</v>
      </c>
      <c r="I16304" s="7">
        <v>12</v>
      </c>
      <c r="J16304" s="7">
        <v>45</v>
      </c>
      <c r="K16304" s="7" t="s">
        <v>18</v>
      </c>
      <c r="L16304" s="8">
        <v>39987.315405092595</v>
      </c>
      <c r="M16304" s="9" t="s">
        <v>19</v>
      </c>
      <c r="N16304" s="9" t="s">
        <v>20</v>
      </c>
      <c r="O16304" s="6" t="str">
        <f>HYPERLINK("https://pbs.twimg.com/profile_images/962471262747529216/Uo8lOkRJ_normal.jpg","View")</f>
        <v>View</v>
      </c>
      <c r="P16304" s="7"/>
    </row>
    <row r="16305" spans="1:16">
      <c r="A16305" s="3">
        <v>44463.313333333332</v>
      </c>
      <c r="B16305" s="4" t="str">
        <f>HYPERLINK("https://twitter.com/petrogustavo","@petrogustavo")</f>
        <v>@petrogustavo</v>
      </c>
      <c r="C16305" s="5" t="s">
        <v>16</v>
      </c>
      <c r="D16305" s="5" t="s">
        <v>15694</v>
      </c>
      <c r="E16305" s="6" t="str">
        <f>HYPERLINK("https://twitter.com/petrogustavo/status/1441221145080918016","1441221145080918016")</f>
        <v>1441221145080918016</v>
      </c>
      <c r="F16305" s="7" t="s">
        <v>17</v>
      </c>
      <c r="G16305" s="7">
        <v>4364400</v>
      </c>
      <c r="H16305" s="7">
        <v>2538</v>
      </c>
      <c r="I16305" s="7">
        <v>786</v>
      </c>
      <c r="J16305" s="7">
        <v>0</v>
      </c>
      <c r="K16305" s="7" t="s">
        <v>18</v>
      </c>
      <c r="L16305" s="8">
        <v>39987.315405092595</v>
      </c>
      <c r="M16305" s="9" t="s">
        <v>19</v>
      </c>
      <c r="N16305" s="9" t="s">
        <v>20</v>
      </c>
      <c r="O16305" s="6" t="str">
        <f>HYPERLINK("https://pbs.twimg.com/profile_images/962471262747529216/Uo8lOkRJ_normal.jpg","View")</f>
        <v>View</v>
      </c>
      <c r="P16305" s="7"/>
    </row>
    <row r="16306" spans="1:16">
      <c r="A16306" s="3">
        <v>44463.329791666663</v>
      </c>
      <c r="B16306" s="4" t="str">
        <f>HYPERLINK("https://twitter.com/petrogustavo","@petrogustavo")</f>
        <v>@petrogustavo</v>
      </c>
      <c r="C16306" s="5" t="s">
        <v>16</v>
      </c>
      <c r="D16306" s="5" t="s">
        <v>15695</v>
      </c>
      <c r="E16306" s="6" t="str">
        <f>HYPERLINK("https://twitter.com/petrogustavo/status/1441227108441722881","1441227108441722881")</f>
        <v>1441227108441722881</v>
      </c>
      <c r="F16306" s="7" t="s">
        <v>17</v>
      </c>
      <c r="G16306" s="7">
        <v>4363697</v>
      </c>
      <c r="H16306" s="7">
        <v>2539</v>
      </c>
      <c r="I16306" s="7">
        <v>111</v>
      </c>
      <c r="J16306" s="7">
        <v>386</v>
      </c>
      <c r="K16306" s="7" t="s">
        <v>18</v>
      </c>
      <c r="L16306" s="8">
        <v>39987.315405092595</v>
      </c>
      <c r="M16306" s="9" t="s">
        <v>19</v>
      </c>
      <c r="N16306" s="9" t="s">
        <v>20</v>
      </c>
      <c r="O16306" s="6" t="str">
        <f>HYPERLINK("https://pbs.twimg.com/profile_images/962471262747529216/Uo8lOkRJ_normal.jpg","View")</f>
        <v>View</v>
      </c>
      <c r="P16306" s="7"/>
    </row>
    <row r="16307" spans="1:16">
      <c r="A16307" s="3">
        <v>44463.332048611112</v>
      </c>
      <c r="B16307" s="4" t="str">
        <f>HYPERLINK("https://twitter.com/petrogustavo","@petrogustavo")</f>
        <v>@petrogustavo</v>
      </c>
      <c r="C16307" s="5" t="s">
        <v>16</v>
      </c>
      <c r="D16307" s="5" t="s">
        <v>15696</v>
      </c>
      <c r="E16307" s="6" t="str">
        <f>HYPERLINK("https://twitter.com/petrogustavo/status/1441227927295705096","1441227927295705096")</f>
        <v>1441227927295705096</v>
      </c>
      <c r="F16307" s="7" t="s">
        <v>17</v>
      </c>
      <c r="G16307" s="7">
        <v>4363697</v>
      </c>
      <c r="H16307" s="7">
        <v>2539</v>
      </c>
      <c r="I16307" s="7">
        <v>115</v>
      </c>
      <c r="J16307" s="7">
        <v>0</v>
      </c>
      <c r="K16307" s="7" t="s">
        <v>18</v>
      </c>
      <c r="L16307" s="8">
        <v>39987.315405092595</v>
      </c>
      <c r="M16307" s="9" t="s">
        <v>19</v>
      </c>
      <c r="N16307" s="9" t="s">
        <v>20</v>
      </c>
      <c r="O16307" s="6" t="str">
        <f>HYPERLINK("https://pbs.twimg.com/profile_images/962471262747529216/Uo8lOkRJ_normal.jpg","View")</f>
        <v>View</v>
      </c>
      <c r="P16307" s="7"/>
    </row>
    <row r="16308" spans="1:16">
      <c r="A16308" s="3">
        <v>44463.336319444439</v>
      </c>
      <c r="B16308" s="4" t="str">
        <f>HYPERLINK("https://twitter.com/petrogustavo","@petrogustavo")</f>
        <v>@petrogustavo</v>
      </c>
      <c r="C16308" s="5" t="s">
        <v>16</v>
      </c>
      <c r="D16308" s="5" t="s">
        <v>15697</v>
      </c>
      <c r="E16308" s="6" t="str">
        <f>HYPERLINK("https://twitter.com/petrogustavo/status/1441229474616406020","1441229474616406020")</f>
        <v>1441229474616406020</v>
      </c>
      <c r="F16308" s="7" t="s">
        <v>17</v>
      </c>
      <c r="G16308" s="7">
        <v>4363697</v>
      </c>
      <c r="H16308" s="7">
        <v>2539</v>
      </c>
      <c r="I16308" s="7">
        <v>107</v>
      </c>
      <c r="J16308" s="7">
        <v>362</v>
      </c>
      <c r="K16308" s="7" t="s">
        <v>18</v>
      </c>
      <c r="L16308" s="8">
        <v>39987.315405092595</v>
      </c>
      <c r="M16308" s="9" t="s">
        <v>19</v>
      </c>
      <c r="N16308" s="9" t="s">
        <v>20</v>
      </c>
      <c r="O16308" s="6" t="str">
        <f>HYPERLINK("https://pbs.twimg.com/profile_images/962471262747529216/Uo8lOkRJ_normal.jpg","View")</f>
        <v>View</v>
      </c>
      <c r="P16308" s="7"/>
    </row>
    <row r="16309" spans="1:16">
      <c r="A16309" s="3">
        <v>44463.338310185187</v>
      </c>
      <c r="B16309" s="4" t="str">
        <f>HYPERLINK("https://twitter.com/petrogustavo","@petrogustavo")</f>
        <v>@petrogustavo</v>
      </c>
      <c r="C16309" s="5" t="s">
        <v>16</v>
      </c>
      <c r="D16309" s="5" t="s">
        <v>15698</v>
      </c>
      <c r="E16309" s="6" t="str">
        <f>HYPERLINK("https://twitter.com/petrogustavo/status/1441230198335160320","1441230198335160320")</f>
        <v>1441230198335160320</v>
      </c>
      <c r="F16309" s="7" t="s">
        <v>17</v>
      </c>
      <c r="G16309" s="7">
        <v>4363697</v>
      </c>
      <c r="H16309" s="7">
        <v>2539</v>
      </c>
      <c r="I16309" s="7">
        <v>19</v>
      </c>
      <c r="J16309" s="7">
        <v>0</v>
      </c>
      <c r="K16309" s="7" t="s">
        <v>18</v>
      </c>
      <c r="L16309" s="8">
        <v>39987.315405092595</v>
      </c>
      <c r="M16309" s="9" t="s">
        <v>19</v>
      </c>
      <c r="N16309" s="9" t="s">
        <v>20</v>
      </c>
      <c r="O16309" s="6" t="str">
        <f>HYPERLINK("https://pbs.twimg.com/profile_images/962471262747529216/Uo8lOkRJ_normal.jpg","View")</f>
        <v>View</v>
      </c>
      <c r="P16309" s="7"/>
    </row>
    <row r="16310" spans="1:16">
      <c r="A16310" s="3">
        <v>44463.354062500002</v>
      </c>
      <c r="B16310" s="4" t="str">
        <f>HYPERLINK("https://twitter.com/petrogustavo","@petrogustavo")</f>
        <v>@petrogustavo</v>
      </c>
      <c r="C16310" s="5" t="s">
        <v>16</v>
      </c>
      <c r="D16310" s="5" t="s">
        <v>15699</v>
      </c>
      <c r="E16310" s="6" t="str">
        <f>HYPERLINK("https://twitter.com/petrogustavo/status/1441235906183245825","1441235906183245825")</f>
        <v>1441235906183245825</v>
      </c>
      <c r="F16310" s="7" t="s">
        <v>17</v>
      </c>
      <c r="G16310" s="7">
        <v>4364432</v>
      </c>
      <c r="H16310" s="7">
        <v>2538</v>
      </c>
      <c r="I16310" s="7">
        <v>127</v>
      </c>
      <c r="J16310" s="7">
        <v>271</v>
      </c>
      <c r="K16310" s="7" t="s">
        <v>18</v>
      </c>
      <c r="L16310" s="8">
        <v>39987.315405092595</v>
      </c>
      <c r="M16310" s="9" t="s">
        <v>19</v>
      </c>
      <c r="N16310" s="9" t="s">
        <v>20</v>
      </c>
      <c r="O16310" s="6" t="str">
        <f>HYPERLINK("https://pbs.twimg.com/profile_images/962471262747529216/Uo8lOkRJ_normal.jpg","View")</f>
        <v>View</v>
      </c>
      <c r="P16310" s="7"/>
    </row>
    <row r="16311" spans="1:16">
      <c r="A16311" s="3">
        <v>44463.354062500002</v>
      </c>
      <c r="B16311" s="4" t="str">
        <f>HYPERLINK("https://twitter.com/petrogustavo","@petrogustavo")</f>
        <v>@petrogustavo</v>
      </c>
      <c r="C16311" s="5" t="s">
        <v>16</v>
      </c>
      <c r="D16311" s="5" t="s">
        <v>15700</v>
      </c>
      <c r="E16311" s="6" t="str">
        <f>HYPERLINK("https://twitter.com/petrogustavo/status/1441235907491680259","1441235907491680259")</f>
        <v>1441235907491680259</v>
      </c>
      <c r="F16311" s="7" t="s">
        <v>17</v>
      </c>
      <c r="G16311" s="7">
        <v>4364432</v>
      </c>
      <c r="H16311" s="7">
        <v>2538</v>
      </c>
      <c r="I16311" s="7">
        <v>68</v>
      </c>
      <c r="J16311" s="7">
        <v>209</v>
      </c>
      <c r="K16311" s="7" t="s">
        <v>18</v>
      </c>
      <c r="L16311" s="8">
        <v>39987.315405092595</v>
      </c>
      <c r="M16311" s="9" t="s">
        <v>19</v>
      </c>
      <c r="N16311" s="9" t="s">
        <v>20</v>
      </c>
      <c r="O16311" s="6" t="str">
        <f>HYPERLINK("https://pbs.twimg.com/profile_images/962471262747529216/Uo8lOkRJ_normal.jpg","View")</f>
        <v>View</v>
      </c>
      <c r="P16311" s="7"/>
    </row>
    <row r="16312" spans="1:16">
      <c r="A16312" s="3">
        <v>44463.646203703705</v>
      </c>
      <c r="B16312" s="4" t="str">
        <f>HYPERLINK("https://twitter.com/petrogustavo","@petrogustavo")</f>
        <v>@petrogustavo</v>
      </c>
      <c r="C16312" s="5" t="s">
        <v>16</v>
      </c>
      <c r="D16312" s="5" t="s">
        <v>15701</v>
      </c>
      <c r="E16312" s="6" t="str">
        <f>HYPERLINK("https://twitter.com/petrogustavo/status/1441341773343641604","1441341773343641604")</f>
        <v>1441341773343641604</v>
      </c>
      <c r="F16312" s="7" t="s">
        <v>17</v>
      </c>
      <c r="G16312" s="7">
        <v>4363763</v>
      </c>
      <c r="H16312" s="7">
        <v>2539</v>
      </c>
      <c r="I16312" s="7">
        <v>1007</v>
      </c>
      <c r="J16312" s="7">
        <v>0</v>
      </c>
      <c r="K16312" s="7" t="s">
        <v>18</v>
      </c>
      <c r="L16312" s="8">
        <v>39987.315405092595</v>
      </c>
      <c r="M16312" s="9" t="s">
        <v>19</v>
      </c>
      <c r="N16312" s="9" t="s">
        <v>20</v>
      </c>
      <c r="O16312" s="6" t="str">
        <f>HYPERLINK("https://pbs.twimg.com/profile_images/962471262747529216/Uo8lOkRJ_normal.jpg","View")</f>
        <v>View</v>
      </c>
      <c r="P16312" s="7"/>
    </row>
    <row r="16313" spans="1:16">
      <c r="A16313" s="3">
        <v>44463.693275462967</v>
      </c>
      <c r="B16313" s="4" t="str">
        <f>HYPERLINK("https://twitter.com/petrogustavo","@petrogustavo")</f>
        <v>@petrogustavo</v>
      </c>
      <c r="C16313" s="5" t="s">
        <v>16</v>
      </c>
      <c r="D16313" s="5" t="s">
        <v>15702</v>
      </c>
      <c r="E16313" s="6" t="str">
        <f>HYPERLINK("https://twitter.com/petrogustavo/status/1441358834493054977","1441358834493054977")</f>
        <v>1441358834493054977</v>
      </c>
      <c r="F16313" s="7" t="s">
        <v>17</v>
      </c>
      <c r="G16313" s="7">
        <v>4363780</v>
      </c>
      <c r="H16313" s="7">
        <v>2539</v>
      </c>
      <c r="I16313" s="7">
        <v>55</v>
      </c>
      <c r="J16313" s="7">
        <v>139</v>
      </c>
      <c r="K16313" s="7" t="s">
        <v>18</v>
      </c>
      <c r="L16313" s="8">
        <v>39987.315405092595</v>
      </c>
      <c r="M16313" s="9" t="s">
        <v>19</v>
      </c>
      <c r="N16313" s="9" t="s">
        <v>20</v>
      </c>
      <c r="O16313" s="6" t="str">
        <f>HYPERLINK("https://pbs.twimg.com/profile_images/962471262747529216/Uo8lOkRJ_normal.jpg","View")</f>
        <v>View</v>
      </c>
      <c r="P16313" s="7"/>
    </row>
    <row r="16314" spans="1:16">
      <c r="A16314" s="3">
        <v>44463.758645833332</v>
      </c>
      <c r="B16314" s="4" t="str">
        <f>HYPERLINK("https://twitter.com/petrogustavo","@petrogustavo")</f>
        <v>@petrogustavo</v>
      </c>
      <c r="C16314" s="5" t="s">
        <v>16</v>
      </c>
      <c r="D16314" s="5" t="s">
        <v>15703</v>
      </c>
      <c r="E16314" s="6" t="str">
        <f>HYPERLINK("https://twitter.com/petrogustavo/status/1441382521111908352","1441382521111908352")</f>
        <v>1441382521111908352</v>
      </c>
      <c r="F16314" s="7" t="s">
        <v>17</v>
      </c>
      <c r="G16314" s="7">
        <v>4363800</v>
      </c>
      <c r="H16314" s="7">
        <v>2539</v>
      </c>
      <c r="I16314" s="7">
        <v>343</v>
      </c>
      <c r="J16314" s="7">
        <v>0</v>
      </c>
      <c r="K16314" s="7" t="s">
        <v>18</v>
      </c>
      <c r="L16314" s="8">
        <v>39987.315405092595</v>
      </c>
      <c r="M16314" s="9" t="s">
        <v>19</v>
      </c>
      <c r="N16314" s="9" t="s">
        <v>20</v>
      </c>
      <c r="O16314" s="6" t="str">
        <f>HYPERLINK("https://pbs.twimg.com/profile_images/962471262747529216/Uo8lOkRJ_normal.jpg","View")</f>
        <v>View</v>
      </c>
      <c r="P16314" s="7"/>
    </row>
    <row r="16315" spans="1:16">
      <c r="A16315" s="3">
        <v>44463.970937499995</v>
      </c>
      <c r="B16315" s="4" t="str">
        <f>HYPERLINK("https://twitter.com/petrogustavo","@petrogustavo")</f>
        <v>@petrogustavo</v>
      </c>
      <c r="C16315" s="5" t="s">
        <v>16</v>
      </c>
      <c r="D16315" s="5" t="s">
        <v>15704</v>
      </c>
      <c r="E16315" s="6" t="str">
        <f>HYPERLINK("https://twitter.com/petrogustavo/status/1441459455971966976","1441459455971966976")</f>
        <v>1441459455971966976</v>
      </c>
      <c r="F16315" s="7" t="s">
        <v>17</v>
      </c>
      <c r="G16315" s="7">
        <v>4364651</v>
      </c>
      <c r="H16315" s="7">
        <v>2538</v>
      </c>
      <c r="I16315" s="7">
        <v>0</v>
      </c>
      <c r="J16315" s="7">
        <v>0</v>
      </c>
      <c r="K16315" s="7" t="s">
        <v>18</v>
      </c>
      <c r="L16315" s="8">
        <v>39987.315405092595</v>
      </c>
      <c r="M16315" s="9" t="s">
        <v>19</v>
      </c>
      <c r="N16315" s="9" t="s">
        <v>20</v>
      </c>
      <c r="O16315" s="6" t="str">
        <f>HYPERLINK("https://pbs.twimg.com/profile_images/962471262747529216/Uo8lOkRJ_normal.jpg","View")</f>
        <v>View</v>
      </c>
      <c r="P16315" s="7"/>
    </row>
    <row r="16316" spans="1:16">
      <c r="A16316" s="3">
        <v>44463.992430555554</v>
      </c>
      <c r="B16316" s="4" t="str">
        <f>HYPERLINK("https://twitter.com/petrogustavo","@petrogustavo")</f>
        <v>@petrogustavo</v>
      </c>
      <c r="C16316" s="5" t="s">
        <v>16</v>
      </c>
      <c r="D16316" s="5" t="s">
        <v>15705</v>
      </c>
      <c r="E16316" s="6" t="str">
        <f>HYPERLINK("https://twitter.com/petrogustavo/status/1441467242928033799","1441467242928033799")</f>
        <v>1441467242928033799</v>
      </c>
      <c r="F16316" s="7" t="s">
        <v>17</v>
      </c>
      <c r="G16316" s="7">
        <v>4364676</v>
      </c>
      <c r="H16316" s="7">
        <v>2538</v>
      </c>
      <c r="I16316" s="7">
        <v>156</v>
      </c>
      <c r="J16316" s="7">
        <v>447</v>
      </c>
      <c r="K16316" s="7" t="s">
        <v>18</v>
      </c>
      <c r="L16316" s="8">
        <v>39987.315405092595</v>
      </c>
      <c r="M16316" s="9" t="s">
        <v>19</v>
      </c>
      <c r="N16316" s="9" t="s">
        <v>20</v>
      </c>
      <c r="O16316" s="6" t="str">
        <f>HYPERLINK("https://pbs.twimg.com/profile_images/962471262747529216/Uo8lOkRJ_normal.jpg","View")</f>
        <v>View</v>
      </c>
      <c r="P16316" s="7"/>
    </row>
    <row r="16317" spans="1:16">
      <c r="A16317" s="3">
        <v>44464.015474537038</v>
      </c>
      <c r="B16317" s="4" t="str">
        <f>HYPERLINK("https://twitter.com/petrogustavo","@petrogustavo")</f>
        <v>@petrogustavo</v>
      </c>
      <c r="C16317" s="5" t="s">
        <v>16</v>
      </c>
      <c r="D16317" s="5" t="s">
        <v>15706</v>
      </c>
      <c r="E16317" s="6" t="str">
        <f>HYPERLINK("https://twitter.com/petrogustavo/status/1441475594093477888","1441475594093477888")</f>
        <v>1441475594093477888</v>
      </c>
      <c r="F16317" s="7" t="s">
        <v>17</v>
      </c>
      <c r="G16317" s="7">
        <v>4364691</v>
      </c>
      <c r="H16317" s="7">
        <v>2538</v>
      </c>
      <c r="I16317" s="7">
        <v>93</v>
      </c>
      <c r="J16317" s="7">
        <v>255</v>
      </c>
      <c r="K16317" s="7" t="s">
        <v>18</v>
      </c>
      <c r="L16317" s="8">
        <v>39987.315405092595</v>
      </c>
      <c r="M16317" s="9" t="s">
        <v>19</v>
      </c>
      <c r="N16317" s="9" t="s">
        <v>20</v>
      </c>
      <c r="O16317" s="6" t="str">
        <f>HYPERLINK("https://pbs.twimg.com/profile_images/962471262747529216/Uo8lOkRJ_normal.jpg","View")</f>
        <v>View</v>
      </c>
      <c r="P16317" s="7"/>
    </row>
    <row r="16318" spans="1:16">
      <c r="A16318" s="3">
        <v>44464.026377314818</v>
      </c>
      <c r="B16318" s="4" t="str">
        <f>HYPERLINK("https://twitter.com/petrogustavo","@petrogustavo")</f>
        <v>@petrogustavo</v>
      </c>
      <c r="C16318" s="5" t="s">
        <v>16</v>
      </c>
      <c r="D16318" s="5" t="s">
        <v>15707</v>
      </c>
      <c r="E16318" s="6" t="str">
        <f>HYPERLINK("https://twitter.com/petrogustavo/status/1441479542959484929","1441479542959484929")</f>
        <v>1441479542959484929</v>
      </c>
      <c r="F16318" s="7" t="s">
        <v>17</v>
      </c>
      <c r="G16318" s="7">
        <v>4364691</v>
      </c>
      <c r="H16318" s="7">
        <v>2538</v>
      </c>
      <c r="I16318" s="7">
        <v>41</v>
      </c>
      <c r="J16318" s="7">
        <v>110</v>
      </c>
      <c r="K16318" s="7" t="s">
        <v>18</v>
      </c>
      <c r="L16318" s="8">
        <v>39987.315405092595</v>
      </c>
      <c r="M16318" s="9" t="s">
        <v>19</v>
      </c>
      <c r="N16318" s="9" t="s">
        <v>20</v>
      </c>
      <c r="O16318" s="6" t="str">
        <f>HYPERLINK("https://pbs.twimg.com/profile_images/962471262747529216/Uo8lOkRJ_normal.jpg","View")</f>
        <v>View</v>
      </c>
      <c r="P16318" s="7"/>
    </row>
    <row r="16319" spans="1:16">
      <c r="A16319" s="3">
        <v>44464.026539351849</v>
      </c>
      <c r="B16319" s="4" t="str">
        <f>HYPERLINK("https://twitter.com/petrogustavo","@petrogustavo")</f>
        <v>@petrogustavo</v>
      </c>
      <c r="C16319" s="5" t="s">
        <v>16</v>
      </c>
      <c r="D16319" s="5" t="s">
        <v>15708</v>
      </c>
      <c r="E16319" s="6" t="str">
        <f>HYPERLINK("https://twitter.com/petrogustavo/status/1441479603672031234","1441479603672031234")</f>
        <v>1441479603672031234</v>
      </c>
      <c r="F16319" s="7" t="s">
        <v>17</v>
      </c>
      <c r="G16319" s="7">
        <v>4364691</v>
      </c>
      <c r="H16319" s="7">
        <v>2538</v>
      </c>
      <c r="I16319" s="7">
        <v>244</v>
      </c>
      <c r="J16319" s="7">
        <v>0</v>
      </c>
      <c r="K16319" s="7" t="s">
        <v>18</v>
      </c>
      <c r="L16319" s="8">
        <v>39987.315405092595</v>
      </c>
      <c r="M16319" s="9" t="s">
        <v>19</v>
      </c>
      <c r="N16319" s="9" t="s">
        <v>20</v>
      </c>
      <c r="O16319" s="6" t="str">
        <f>HYPERLINK("https://pbs.twimg.com/profile_images/962471262747529216/Uo8lOkRJ_normal.jpg","View")</f>
        <v>View</v>
      </c>
      <c r="P16319" s="7"/>
    </row>
    <row r="16320" spans="1:16">
      <c r="A16320" s="3">
        <v>44464.117685185185</v>
      </c>
      <c r="B16320" s="4" t="str">
        <f>HYPERLINK("https://twitter.com/petrogustavo","@petrogustavo")</f>
        <v>@petrogustavo</v>
      </c>
      <c r="C16320" s="5" t="s">
        <v>16</v>
      </c>
      <c r="D16320" s="5" t="s">
        <v>15709</v>
      </c>
      <c r="E16320" s="6" t="str">
        <f>HYPERLINK("https://twitter.com/petrogustavo/status/1441512634948497411","1441512634948497411")</f>
        <v>1441512634948497411</v>
      </c>
      <c r="F16320" s="7" t="s">
        <v>17</v>
      </c>
      <c r="G16320" s="7">
        <v>4364752</v>
      </c>
      <c r="H16320" s="7">
        <v>2538</v>
      </c>
      <c r="I16320" s="7">
        <v>155</v>
      </c>
      <c r="J16320" s="7">
        <v>574</v>
      </c>
      <c r="K16320" s="7" t="s">
        <v>18</v>
      </c>
      <c r="L16320" s="8">
        <v>39987.315405092595</v>
      </c>
      <c r="M16320" s="9" t="s">
        <v>19</v>
      </c>
      <c r="N16320" s="9" t="s">
        <v>20</v>
      </c>
      <c r="O16320" s="6" t="str">
        <f>HYPERLINK("https://pbs.twimg.com/profile_images/962471262747529216/Uo8lOkRJ_normal.jpg","View")</f>
        <v>View</v>
      </c>
      <c r="P16320" s="7"/>
    </row>
    <row r="16321" spans="1:16">
      <c r="A16321" s="3">
        <v>44464.179525462961</v>
      </c>
      <c r="B16321" s="4" t="str">
        <f>HYPERLINK("https://twitter.com/petrogustavo","@petrogustavo")</f>
        <v>@petrogustavo</v>
      </c>
      <c r="C16321" s="5" t="s">
        <v>16</v>
      </c>
      <c r="D16321" s="5" t="s">
        <v>15710</v>
      </c>
      <c r="E16321" s="6" t="str">
        <f>HYPERLINK("https://twitter.com/petrogustavo/status/1441535043034234882","1441535043034234882")</f>
        <v>1441535043034234882</v>
      </c>
      <c r="F16321" s="7" t="s">
        <v>17</v>
      </c>
      <c r="G16321" s="7">
        <v>4364040</v>
      </c>
      <c r="H16321" s="7">
        <v>2539</v>
      </c>
      <c r="I16321" s="7">
        <v>0</v>
      </c>
      <c r="J16321" s="7">
        <v>0</v>
      </c>
      <c r="K16321" s="7" t="s">
        <v>18</v>
      </c>
      <c r="L16321" s="8">
        <v>39987.315405092595</v>
      </c>
      <c r="M16321" s="9" t="s">
        <v>19</v>
      </c>
      <c r="N16321" s="9" t="s">
        <v>20</v>
      </c>
      <c r="O16321" s="6" t="str">
        <f>HYPERLINK("https://pbs.twimg.com/profile_images/962471262747529216/Uo8lOkRJ_normal.jpg","View")</f>
        <v>View</v>
      </c>
      <c r="P16321" s="7"/>
    </row>
    <row r="16322" spans="1:16">
      <c r="A16322" s="3">
        <v>44464.180648148147</v>
      </c>
      <c r="B16322" s="4" t="str">
        <f>HYPERLINK("https://twitter.com/petrogustavo","@petrogustavo")</f>
        <v>@petrogustavo</v>
      </c>
      <c r="C16322" s="5" t="s">
        <v>16</v>
      </c>
      <c r="D16322" s="5" t="s">
        <v>15711</v>
      </c>
      <c r="E16322" s="6" t="str">
        <f>HYPERLINK("https://twitter.com/petrogustavo/status/1441535448518733837","1441535448518733837")</f>
        <v>1441535448518733837</v>
      </c>
      <c r="F16322" s="7" t="s">
        <v>17</v>
      </c>
      <c r="G16322" s="7">
        <v>4364051</v>
      </c>
      <c r="H16322" s="7">
        <v>2539</v>
      </c>
      <c r="I16322" s="7">
        <v>243</v>
      </c>
      <c r="J16322" s="7">
        <v>920</v>
      </c>
      <c r="K16322" s="7" t="s">
        <v>18</v>
      </c>
      <c r="L16322" s="8">
        <v>39987.315405092595</v>
      </c>
      <c r="M16322" s="9" t="s">
        <v>19</v>
      </c>
      <c r="N16322" s="9" t="s">
        <v>20</v>
      </c>
      <c r="O16322" s="6" t="str">
        <f>HYPERLINK("https://pbs.twimg.com/profile_images/962471262747529216/Uo8lOkRJ_normal.jpg","View")</f>
        <v>View</v>
      </c>
      <c r="P16322" s="7"/>
    </row>
    <row r="16323" spans="1:16">
      <c r="A16323" s="3">
        <v>44464.229976851857</v>
      </c>
      <c r="B16323" s="4" t="str">
        <f>HYPERLINK("https://twitter.com/petrogustavo","@petrogustavo")</f>
        <v>@petrogustavo</v>
      </c>
      <c r="C16323" s="5" t="s">
        <v>16</v>
      </c>
      <c r="D16323" s="5" t="s">
        <v>15712</v>
      </c>
      <c r="E16323" s="6" t="str">
        <f>HYPERLINK("https://twitter.com/petrogustavo/status/1441553324650680320","1441553324650680320")</f>
        <v>1441553324650680320</v>
      </c>
      <c r="F16323" s="7" t="s">
        <v>17</v>
      </c>
      <c r="G16323" s="7">
        <v>4364060</v>
      </c>
      <c r="H16323" s="7">
        <v>2539</v>
      </c>
      <c r="I16323" s="7">
        <v>173</v>
      </c>
      <c r="J16323" s="7">
        <v>492</v>
      </c>
      <c r="K16323" s="7" t="s">
        <v>18</v>
      </c>
      <c r="L16323" s="8">
        <v>39987.315405092595</v>
      </c>
      <c r="M16323" s="9" t="s">
        <v>19</v>
      </c>
      <c r="N16323" s="9" t="s">
        <v>20</v>
      </c>
      <c r="O16323" s="6" t="str">
        <f>HYPERLINK("https://pbs.twimg.com/profile_images/962471262747529216/Uo8lOkRJ_normal.jpg","View")</f>
        <v>View</v>
      </c>
      <c r="P16323" s="7"/>
    </row>
    <row r="16324" spans="1:16">
      <c r="A16324" s="3">
        <v>44464.329884259263</v>
      </c>
      <c r="B16324" s="4" t="str">
        <f>HYPERLINK("https://twitter.com/petrogustavo","@petrogustavo")</f>
        <v>@petrogustavo</v>
      </c>
      <c r="C16324" s="5" t="s">
        <v>16</v>
      </c>
      <c r="D16324" s="5" t="s">
        <v>15713</v>
      </c>
      <c r="E16324" s="6" t="str">
        <f>HYPERLINK("https://twitter.com/petrogustavo/status/1441589530038001670","1441589530038001670")</f>
        <v>1441589530038001670</v>
      </c>
      <c r="F16324" s="7" t="s">
        <v>17</v>
      </c>
      <c r="G16324" s="7">
        <v>4364108</v>
      </c>
      <c r="H16324" s="7">
        <v>2539</v>
      </c>
      <c r="I16324" s="7">
        <v>100</v>
      </c>
      <c r="J16324" s="7">
        <v>0</v>
      </c>
      <c r="K16324" s="7" t="s">
        <v>18</v>
      </c>
      <c r="L16324" s="8">
        <v>39987.315405092595</v>
      </c>
      <c r="M16324" s="9" t="s">
        <v>19</v>
      </c>
      <c r="N16324" s="9" t="s">
        <v>20</v>
      </c>
      <c r="O16324" s="6" t="str">
        <f>HYPERLINK("https://pbs.twimg.com/profile_images/962471262747529216/Uo8lOkRJ_normal.jpg","View")</f>
        <v>View</v>
      </c>
      <c r="P16324" s="7"/>
    </row>
    <row r="16325" spans="1:16">
      <c r="A16325" s="3">
        <v>44464.909467592588</v>
      </c>
      <c r="B16325" s="4" t="str">
        <f>HYPERLINK("https://twitter.com/petrogustavo","@petrogustavo")</f>
        <v>@petrogustavo</v>
      </c>
      <c r="C16325" s="5" t="s">
        <v>16</v>
      </c>
      <c r="D16325" s="5" t="s">
        <v>15714</v>
      </c>
      <c r="E16325" s="6" t="str">
        <f>HYPERLINK("https://twitter.com/petrogustavo/status/1441799565347147785","1441799565347147785")</f>
        <v>1441799565347147785</v>
      </c>
      <c r="F16325" s="7" t="s">
        <v>17</v>
      </c>
      <c r="G16325" s="7">
        <v>4365035</v>
      </c>
      <c r="H16325" s="7">
        <v>2537</v>
      </c>
      <c r="I16325" s="7">
        <v>253</v>
      </c>
      <c r="J16325" s="7">
        <v>682</v>
      </c>
      <c r="K16325" s="7" t="s">
        <v>18</v>
      </c>
      <c r="L16325" s="8">
        <v>39987.315405092595</v>
      </c>
      <c r="M16325" s="9" t="s">
        <v>19</v>
      </c>
      <c r="N16325" s="9" t="s">
        <v>20</v>
      </c>
      <c r="O16325" s="6" t="str">
        <f>HYPERLINK("https://pbs.twimg.com/profile_images/962471262747529216/Uo8lOkRJ_normal.jpg","View")</f>
        <v>View</v>
      </c>
      <c r="P16325" s="7"/>
    </row>
    <row r="16326" spans="1:16">
      <c r="A16326" s="3">
        <v>44465.008472222224</v>
      </c>
      <c r="B16326" s="4" t="str">
        <f>HYPERLINK("https://twitter.com/petrogustavo","@petrogustavo")</f>
        <v>@petrogustavo</v>
      </c>
      <c r="C16326" s="5" t="s">
        <v>16</v>
      </c>
      <c r="D16326" s="5" t="s">
        <v>15715</v>
      </c>
      <c r="E16326" s="6" t="str">
        <f>HYPERLINK("https://twitter.com/petrogustavo/status/1441835445864779776","1441835445864779776")</f>
        <v>1441835445864779776</v>
      </c>
      <c r="F16326" s="7" t="s">
        <v>17</v>
      </c>
      <c r="G16326" s="7">
        <v>4364326</v>
      </c>
      <c r="H16326" s="7">
        <v>2538</v>
      </c>
      <c r="I16326" s="7">
        <v>45</v>
      </c>
      <c r="J16326" s="7">
        <v>189</v>
      </c>
      <c r="K16326" s="7" t="s">
        <v>18</v>
      </c>
      <c r="L16326" s="8">
        <v>39987.315405092595</v>
      </c>
      <c r="M16326" s="9" t="s">
        <v>19</v>
      </c>
      <c r="N16326" s="9" t="s">
        <v>20</v>
      </c>
      <c r="O16326" s="6" t="str">
        <f>HYPERLINK("https://pbs.twimg.com/profile_images/962471262747529216/Uo8lOkRJ_normal.jpg","View")</f>
        <v>View</v>
      </c>
      <c r="P16326" s="7"/>
    </row>
    <row r="16327" spans="1:16">
      <c r="A16327" s="3">
        <v>44465.09475694444</v>
      </c>
      <c r="B16327" s="4" t="str">
        <f>HYPERLINK("https://twitter.com/petrogustavo","@petrogustavo")</f>
        <v>@petrogustavo</v>
      </c>
      <c r="C16327" s="5" t="s">
        <v>16</v>
      </c>
      <c r="D16327" s="5" t="s">
        <v>15716</v>
      </c>
      <c r="E16327" s="6" t="str">
        <f>HYPERLINK("https://twitter.com/petrogustavo/status/1441866711913926658","1441866711913926658")</f>
        <v>1441866711913926658</v>
      </c>
      <c r="F16327" s="7" t="s">
        <v>17</v>
      </c>
      <c r="G16327" s="7">
        <v>4365083</v>
      </c>
      <c r="H16327" s="7">
        <v>2537</v>
      </c>
      <c r="I16327" s="7">
        <v>937</v>
      </c>
      <c r="J16327" s="7">
        <v>0</v>
      </c>
      <c r="K16327" s="7" t="s">
        <v>18</v>
      </c>
      <c r="L16327" s="8">
        <v>39987.315405092595</v>
      </c>
      <c r="M16327" s="9" t="s">
        <v>19</v>
      </c>
      <c r="N16327" s="9" t="s">
        <v>20</v>
      </c>
      <c r="O16327" s="6" t="str">
        <f>HYPERLINK("https://pbs.twimg.com/profile_images/962471262747529216/Uo8lOkRJ_normal.jpg","View")</f>
        <v>View</v>
      </c>
      <c r="P16327" s="7"/>
    </row>
    <row r="16328" spans="1:16">
      <c r="A16328" s="3">
        <v>44465.18105324074</v>
      </c>
      <c r="B16328" s="4" t="str">
        <f>HYPERLINK("https://twitter.com/petrogustavo","@petrogustavo")</f>
        <v>@petrogustavo</v>
      </c>
      <c r="C16328" s="5" t="s">
        <v>16</v>
      </c>
      <c r="D16328" s="5" t="s">
        <v>15717</v>
      </c>
      <c r="E16328" s="6" t="str">
        <f>HYPERLINK("https://twitter.com/petrogustavo/status/1441897984564793345","1441897984564793345")</f>
        <v>1441897984564793345</v>
      </c>
      <c r="F16328" s="7" t="s">
        <v>17</v>
      </c>
      <c r="G16328" s="7">
        <v>4365120</v>
      </c>
      <c r="H16328" s="7">
        <v>2537</v>
      </c>
      <c r="I16328" s="7">
        <v>103</v>
      </c>
      <c r="J16328" s="7">
        <v>291</v>
      </c>
      <c r="K16328" s="7" t="s">
        <v>18</v>
      </c>
      <c r="L16328" s="8">
        <v>39987.315405092595</v>
      </c>
      <c r="M16328" s="9" t="s">
        <v>19</v>
      </c>
      <c r="N16328" s="9" t="s">
        <v>20</v>
      </c>
      <c r="O16328" s="6" t="str">
        <f>HYPERLINK("https://pbs.twimg.com/profile_images/962471262747529216/Uo8lOkRJ_normal.jpg","View")</f>
        <v>View</v>
      </c>
      <c r="P16328" s="7"/>
    </row>
    <row r="16329" spans="1:16">
      <c r="A16329" s="3">
        <v>44465.195821759262</v>
      </c>
      <c r="B16329" s="4" t="str">
        <f>HYPERLINK("https://twitter.com/petrogustavo","@petrogustavo")</f>
        <v>@petrogustavo</v>
      </c>
      <c r="C16329" s="5" t="s">
        <v>16</v>
      </c>
      <c r="D16329" s="5" t="s">
        <v>15718</v>
      </c>
      <c r="E16329" s="6" t="str">
        <f>HYPERLINK("https://twitter.com/petrogustavo/status/1441903336916193282","1441903336916193282")</f>
        <v>1441903336916193282</v>
      </c>
      <c r="F16329" s="7" t="s">
        <v>17</v>
      </c>
      <c r="G16329" s="7">
        <v>4365120</v>
      </c>
      <c r="H16329" s="7">
        <v>2537</v>
      </c>
      <c r="I16329" s="7">
        <v>87</v>
      </c>
      <c r="J16329" s="7">
        <v>357</v>
      </c>
      <c r="K16329" s="7" t="s">
        <v>18</v>
      </c>
      <c r="L16329" s="8">
        <v>39987.315405092595</v>
      </c>
      <c r="M16329" s="9" t="s">
        <v>19</v>
      </c>
      <c r="N16329" s="9" t="s">
        <v>20</v>
      </c>
      <c r="O16329" s="6" t="str">
        <f>HYPERLINK("https://pbs.twimg.com/profile_images/962471262747529216/Uo8lOkRJ_normal.jpg","View")</f>
        <v>View</v>
      </c>
      <c r="P16329" s="7"/>
    </row>
    <row r="16330" spans="1:16">
      <c r="A16330" s="3">
        <v>44465.21493055555</v>
      </c>
      <c r="B16330" s="4" t="str">
        <f>HYPERLINK("https://twitter.com/petrogustavo","@petrogustavo")</f>
        <v>@petrogustavo</v>
      </c>
      <c r="C16330" s="5" t="s">
        <v>16</v>
      </c>
      <c r="D16330" s="5" t="s">
        <v>15719</v>
      </c>
      <c r="E16330" s="6" t="str">
        <f>HYPERLINK("https://twitter.com/petrogustavo/status/1441910263867854848","1441910263867854848")</f>
        <v>1441910263867854848</v>
      </c>
      <c r="F16330" s="7" t="s">
        <v>17</v>
      </c>
      <c r="G16330" s="7">
        <v>4365131</v>
      </c>
      <c r="H16330" s="7">
        <v>2537</v>
      </c>
      <c r="I16330" s="7">
        <v>163</v>
      </c>
      <c r="J16330" s="7">
        <v>0</v>
      </c>
      <c r="K16330" s="7" t="s">
        <v>18</v>
      </c>
      <c r="L16330" s="8">
        <v>39987.315405092595</v>
      </c>
      <c r="M16330" s="9" t="s">
        <v>19</v>
      </c>
      <c r="N16330" s="9" t="s">
        <v>20</v>
      </c>
      <c r="O16330" s="6" t="str">
        <f>HYPERLINK("https://pbs.twimg.com/profile_images/962471262747529216/Uo8lOkRJ_normal.jpg","View")</f>
        <v>View</v>
      </c>
      <c r="P16330" s="7"/>
    </row>
    <row r="16331" spans="1:16">
      <c r="A16331" s="3">
        <v>44465.316446759258</v>
      </c>
      <c r="B16331" s="4" t="str">
        <f>HYPERLINK("https://twitter.com/petrogustavo","@petrogustavo")</f>
        <v>@petrogustavo</v>
      </c>
      <c r="C16331" s="5" t="s">
        <v>16</v>
      </c>
      <c r="D16331" s="5" t="s">
        <v>15720</v>
      </c>
      <c r="E16331" s="6" t="str">
        <f>HYPERLINK("https://twitter.com/petrogustavo/status/1441947049310703620","1441947049310703620")</f>
        <v>1441947049310703620</v>
      </c>
      <c r="F16331" s="7" t="s">
        <v>17</v>
      </c>
      <c r="G16331" s="7">
        <v>4364445</v>
      </c>
      <c r="H16331" s="7">
        <v>2538</v>
      </c>
      <c r="I16331" s="7">
        <v>1184</v>
      </c>
      <c r="J16331" s="7">
        <v>0</v>
      </c>
      <c r="K16331" s="7" t="s">
        <v>18</v>
      </c>
      <c r="L16331" s="8">
        <v>39987.315405092595</v>
      </c>
      <c r="M16331" s="9" t="s">
        <v>19</v>
      </c>
      <c r="N16331" s="9" t="s">
        <v>20</v>
      </c>
      <c r="O16331" s="6" t="str">
        <f>HYPERLINK("https://pbs.twimg.com/profile_images/962471262747529216/Uo8lOkRJ_normal.jpg","View")</f>
        <v>View</v>
      </c>
      <c r="P16331" s="7"/>
    </row>
    <row r="16332" spans="1:16">
      <c r="A16332" s="3">
        <v>44465.381620370375</v>
      </c>
      <c r="B16332" s="4" t="str">
        <f>HYPERLINK("https://twitter.com/petrogustavo","@petrogustavo")</f>
        <v>@petrogustavo</v>
      </c>
      <c r="C16332" s="5" t="s">
        <v>16</v>
      </c>
      <c r="D16332" s="5" t="s">
        <v>15721</v>
      </c>
      <c r="E16332" s="6" t="str">
        <f>HYPERLINK("https://twitter.com/petrogustavo/status/1441970668816539649","1441970668816539649")</f>
        <v>1441970668816539649</v>
      </c>
      <c r="F16332" s="7" t="s">
        <v>17</v>
      </c>
      <c r="G16332" s="7">
        <v>4365177</v>
      </c>
      <c r="H16332" s="7">
        <v>2537</v>
      </c>
      <c r="I16332" s="7">
        <v>134</v>
      </c>
      <c r="J16332" s="7">
        <v>552</v>
      </c>
      <c r="K16332" s="7" t="s">
        <v>18</v>
      </c>
      <c r="L16332" s="8">
        <v>39987.315405092595</v>
      </c>
      <c r="M16332" s="9" t="s">
        <v>19</v>
      </c>
      <c r="N16332" s="9" t="s">
        <v>20</v>
      </c>
      <c r="O16332" s="6" t="str">
        <f>HYPERLINK("https://pbs.twimg.com/profile_images/962471262747529216/Uo8lOkRJ_normal.jpg","View")</f>
        <v>View</v>
      </c>
      <c r="P16332" s="7"/>
    </row>
    <row r="16333" spans="1:16">
      <c r="A16333" s="3">
        <v>44465.424895833334</v>
      </c>
      <c r="B16333" s="4" t="str">
        <f>HYPERLINK("https://twitter.com/petrogustavo","@petrogustavo")</f>
        <v>@petrogustavo</v>
      </c>
      <c r="C16333" s="5" t="s">
        <v>16</v>
      </c>
      <c r="D16333" s="5" t="s">
        <v>15722</v>
      </c>
      <c r="E16333" s="6" t="str">
        <f>HYPERLINK("https://twitter.com/petrogustavo/status/1441986349548986375","1441986349548986375")</f>
        <v>1441986349548986375</v>
      </c>
      <c r="F16333" s="7" t="s">
        <v>17</v>
      </c>
      <c r="G16333" s="7">
        <v>4364456</v>
      </c>
      <c r="H16333" s="7">
        <v>2538</v>
      </c>
      <c r="I16333" s="7">
        <v>76</v>
      </c>
      <c r="J16333" s="7">
        <v>0</v>
      </c>
      <c r="K16333" s="7" t="s">
        <v>18</v>
      </c>
      <c r="L16333" s="8">
        <v>39987.315405092595</v>
      </c>
      <c r="M16333" s="9" t="s">
        <v>19</v>
      </c>
      <c r="N16333" s="9" t="s">
        <v>20</v>
      </c>
      <c r="O16333" s="6" t="str">
        <f>HYPERLINK("https://pbs.twimg.com/profile_images/962471262747529216/Uo8lOkRJ_normal.jpg","View")</f>
        <v>View</v>
      </c>
      <c r="P16333" s="7"/>
    </row>
    <row r="16334" spans="1:16">
      <c r="A16334" s="3">
        <v>44465.826921296291</v>
      </c>
      <c r="B16334" s="4" t="str">
        <f>HYPERLINK("https://twitter.com/petrogustavo","@petrogustavo")</f>
        <v>@petrogustavo</v>
      </c>
      <c r="C16334" s="5" t="s">
        <v>16</v>
      </c>
      <c r="D16334" s="5" t="s">
        <v>15723</v>
      </c>
      <c r="E16334" s="6" t="str">
        <f>HYPERLINK("https://twitter.com/petrogustavo/status/1442132040342671365","1442132040342671365")</f>
        <v>1442132040342671365</v>
      </c>
      <c r="F16334" s="7" t="s">
        <v>21</v>
      </c>
      <c r="G16334" s="7">
        <v>4365252</v>
      </c>
      <c r="H16334" s="7">
        <v>2537</v>
      </c>
      <c r="I16334" s="7">
        <v>208</v>
      </c>
      <c r="J16334" s="7">
        <v>638</v>
      </c>
      <c r="K16334" s="7" t="s">
        <v>18</v>
      </c>
      <c r="L16334" s="8">
        <v>39987.315405092595</v>
      </c>
      <c r="M16334" s="9" t="s">
        <v>19</v>
      </c>
      <c r="N16334" s="9" t="s">
        <v>20</v>
      </c>
      <c r="O16334" s="6" t="str">
        <f>HYPERLINK("https://pbs.twimg.com/profile_images/962471262747529216/Uo8lOkRJ_normal.jpg","View")</f>
        <v>View</v>
      </c>
      <c r="P16334" s="7"/>
    </row>
    <row r="16335" spans="1:16">
      <c r="A16335" s="3">
        <v>44465.858807870369</v>
      </c>
      <c r="B16335" s="4" t="str">
        <f>HYPERLINK("https://twitter.com/petrogustavo","@petrogustavo")</f>
        <v>@petrogustavo</v>
      </c>
      <c r="C16335" s="5" t="s">
        <v>16</v>
      </c>
      <c r="D16335" s="5" t="s">
        <v>15724</v>
      </c>
      <c r="E16335" s="6" t="str">
        <f>HYPERLINK("https://twitter.com/petrogustavo/status/1442143594123497473","1442143594123497473")</f>
        <v>1442143594123497473</v>
      </c>
      <c r="F16335" s="7" t="s">
        <v>17</v>
      </c>
      <c r="G16335" s="7">
        <v>4365257</v>
      </c>
      <c r="H16335" s="7">
        <v>2537</v>
      </c>
      <c r="I16335" s="7">
        <v>66</v>
      </c>
      <c r="J16335" s="7">
        <v>216</v>
      </c>
      <c r="K16335" s="7" t="s">
        <v>18</v>
      </c>
      <c r="L16335" s="8">
        <v>39987.315405092595</v>
      </c>
      <c r="M16335" s="9" t="s">
        <v>19</v>
      </c>
      <c r="N16335" s="9" t="s">
        <v>20</v>
      </c>
      <c r="O16335" s="6" t="str">
        <f>HYPERLINK("https://pbs.twimg.com/profile_images/962471262747529216/Uo8lOkRJ_normal.jpg","View")</f>
        <v>View</v>
      </c>
      <c r="P16335" s="7"/>
    </row>
    <row r="16336" spans="1:16">
      <c r="A16336" s="3">
        <v>44465.867939814816</v>
      </c>
      <c r="B16336" s="4" t="str">
        <f>HYPERLINK("https://twitter.com/petrogustavo","@petrogustavo")</f>
        <v>@petrogustavo</v>
      </c>
      <c r="C16336" s="5" t="s">
        <v>16</v>
      </c>
      <c r="D16336" s="5" t="s">
        <v>15725</v>
      </c>
      <c r="E16336" s="6" t="str">
        <f>HYPERLINK("https://twitter.com/petrogustavo/status/1442146904838574092","1442146904838574092")</f>
        <v>1442146904838574092</v>
      </c>
      <c r="F16336" s="7" t="s">
        <v>17</v>
      </c>
      <c r="G16336" s="7">
        <v>4365268</v>
      </c>
      <c r="H16336" s="7">
        <v>2537</v>
      </c>
      <c r="I16336" s="7">
        <v>500</v>
      </c>
      <c r="J16336" s="7">
        <v>0</v>
      </c>
      <c r="K16336" s="7" t="s">
        <v>18</v>
      </c>
      <c r="L16336" s="8">
        <v>39987.315405092595</v>
      </c>
      <c r="M16336" s="9" t="s">
        <v>19</v>
      </c>
      <c r="N16336" s="9" t="s">
        <v>20</v>
      </c>
      <c r="O16336" s="6" t="str">
        <f>HYPERLINK("https://pbs.twimg.com/profile_images/962471262747529216/Uo8lOkRJ_normal.jpg","View")</f>
        <v>View</v>
      </c>
      <c r="P16336" s="7"/>
    </row>
    <row r="16337" spans="1:16">
      <c r="A16337" s="3">
        <v>44466.191053240742</v>
      </c>
      <c r="B16337" s="4" t="str">
        <f>HYPERLINK("https://twitter.com/petrogustavo","@petrogustavo")</f>
        <v>@petrogustavo</v>
      </c>
      <c r="C16337" s="5" t="s">
        <v>16</v>
      </c>
      <c r="D16337" s="5" t="s">
        <v>15726</v>
      </c>
      <c r="E16337" s="6" t="str">
        <f>HYPERLINK("https://twitter.com/petrogustavo/status/1442263997114425344","1442263997114425344")</f>
        <v>1442263997114425344</v>
      </c>
      <c r="F16337" s="7" t="s">
        <v>17</v>
      </c>
      <c r="G16337" s="7">
        <v>4365408</v>
      </c>
      <c r="H16337" s="7">
        <v>2537</v>
      </c>
      <c r="I16337" s="7">
        <v>161</v>
      </c>
      <c r="J16337" s="7">
        <v>483</v>
      </c>
      <c r="K16337" s="7" t="s">
        <v>18</v>
      </c>
      <c r="L16337" s="8">
        <v>39987.315405092595</v>
      </c>
      <c r="M16337" s="9" t="s">
        <v>19</v>
      </c>
      <c r="N16337" s="9" t="s">
        <v>20</v>
      </c>
      <c r="O16337" s="6" t="str">
        <f>HYPERLINK("https://pbs.twimg.com/profile_images/962471262747529216/Uo8lOkRJ_normal.jpg","View")</f>
        <v>View</v>
      </c>
      <c r="P16337" s="7"/>
    </row>
    <row r="16338" spans="1:16">
      <c r="A16338" s="3">
        <v>44466.252430555556</v>
      </c>
      <c r="B16338" s="4" t="str">
        <f>HYPERLINK("https://twitter.com/petrogustavo","@petrogustavo")</f>
        <v>@petrogustavo</v>
      </c>
      <c r="C16338" s="5" t="s">
        <v>16</v>
      </c>
      <c r="D16338" s="5" t="s">
        <v>15725</v>
      </c>
      <c r="E16338" s="6" t="str">
        <f>HYPERLINK("https://twitter.com/petrogustavo/status/1442286237973245952","1442286237973245952")</f>
        <v>1442286237973245952</v>
      </c>
      <c r="F16338" s="7" t="s">
        <v>17</v>
      </c>
      <c r="G16338" s="7">
        <v>4365412</v>
      </c>
      <c r="H16338" s="7">
        <v>2538</v>
      </c>
      <c r="I16338" s="7">
        <v>1463</v>
      </c>
      <c r="J16338" s="7">
        <v>0</v>
      </c>
      <c r="K16338" s="7" t="s">
        <v>18</v>
      </c>
      <c r="L16338" s="8">
        <v>39987.315405092595</v>
      </c>
      <c r="M16338" s="9" t="s">
        <v>19</v>
      </c>
      <c r="N16338" s="9" t="s">
        <v>20</v>
      </c>
      <c r="O16338" s="6" t="str">
        <f>HYPERLINK("https://pbs.twimg.com/profile_images/962471262747529216/Uo8lOkRJ_normal.jpg","View")</f>
        <v>View</v>
      </c>
      <c r="P16338" s="7"/>
    </row>
    <row r="16339" spans="1:16">
      <c r="A16339" s="3">
        <v>44466.743321759262</v>
      </c>
      <c r="B16339" s="4" t="str">
        <f>HYPERLINK("https://twitter.com/petrogustavo","@petrogustavo")</f>
        <v>@petrogustavo</v>
      </c>
      <c r="C16339" s="5" t="s">
        <v>16</v>
      </c>
      <c r="D16339" s="5" t="s">
        <v>15727</v>
      </c>
      <c r="E16339" s="6" t="str">
        <f>HYPERLINK("https://twitter.com/petrogustavo/status/1442464132092026886","1442464132092026886")</f>
        <v>1442464132092026886</v>
      </c>
      <c r="F16339" s="7" t="s">
        <v>17</v>
      </c>
      <c r="G16339" s="7">
        <v>4365486</v>
      </c>
      <c r="H16339" s="7">
        <v>2538</v>
      </c>
      <c r="I16339" s="7">
        <v>70</v>
      </c>
      <c r="J16339" s="7">
        <v>170</v>
      </c>
      <c r="K16339" s="7" t="s">
        <v>18</v>
      </c>
      <c r="L16339" s="8">
        <v>39987.315405092595</v>
      </c>
      <c r="M16339" s="9" t="s">
        <v>19</v>
      </c>
      <c r="N16339" s="9" t="s">
        <v>20</v>
      </c>
      <c r="O16339" s="6" t="str">
        <f>HYPERLINK("https://pbs.twimg.com/profile_images/962471262747529216/Uo8lOkRJ_normal.jpg","View")</f>
        <v>View</v>
      </c>
      <c r="P16339" s="7"/>
    </row>
    <row r="16340" spans="1:16">
      <c r="A16340" s="3">
        <v>44466.745243055557</v>
      </c>
      <c r="B16340" s="4" t="str">
        <f>HYPERLINK("https://twitter.com/petrogustavo","@petrogustavo")</f>
        <v>@petrogustavo</v>
      </c>
      <c r="C16340" s="5" t="s">
        <v>16</v>
      </c>
      <c r="D16340" s="5" t="s">
        <v>15728</v>
      </c>
      <c r="E16340" s="6" t="str">
        <f>HYPERLINK("https://twitter.com/petrogustavo/status/1442464830032547842","1442464830032547842")</f>
        <v>1442464830032547842</v>
      </c>
      <c r="F16340" s="7" t="s">
        <v>17</v>
      </c>
      <c r="G16340" s="7">
        <v>4365486</v>
      </c>
      <c r="H16340" s="7">
        <v>2538</v>
      </c>
      <c r="I16340" s="7">
        <v>102</v>
      </c>
      <c r="J16340" s="7">
        <v>307</v>
      </c>
      <c r="K16340" s="7" t="s">
        <v>18</v>
      </c>
      <c r="L16340" s="8">
        <v>39987.315405092595</v>
      </c>
      <c r="M16340" s="9" t="s">
        <v>19</v>
      </c>
      <c r="N16340" s="9" t="s">
        <v>20</v>
      </c>
      <c r="O16340" s="6" t="str">
        <f>HYPERLINK("https://pbs.twimg.com/profile_images/962471262747529216/Uo8lOkRJ_normal.jpg","View")</f>
        <v>View</v>
      </c>
      <c r="P16340" s="7"/>
    </row>
    <row r="16341" spans="1:16">
      <c r="A16341" s="3">
        <v>44466.786238425921</v>
      </c>
      <c r="B16341" s="4" t="str">
        <f>HYPERLINK("https://twitter.com/petrogustavo","@petrogustavo")</f>
        <v>@petrogustavo</v>
      </c>
      <c r="C16341" s="5" t="s">
        <v>16</v>
      </c>
      <c r="D16341" s="5" t="s">
        <v>15729</v>
      </c>
      <c r="E16341" s="6" t="str">
        <f>HYPERLINK("https://twitter.com/petrogustavo/status/1442479684428570629","1442479684428570629")</f>
        <v>1442479684428570629</v>
      </c>
      <c r="F16341" s="7" t="s">
        <v>17</v>
      </c>
      <c r="G16341" s="7">
        <v>4364774</v>
      </c>
      <c r="H16341" s="7">
        <v>2539</v>
      </c>
      <c r="I16341" s="7">
        <v>57</v>
      </c>
      <c r="J16341" s="7">
        <v>0</v>
      </c>
      <c r="K16341" s="7" t="s">
        <v>18</v>
      </c>
      <c r="L16341" s="8">
        <v>39987.315405092595</v>
      </c>
      <c r="M16341" s="9" t="s">
        <v>19</v>
      </c>
      <c r="N16341" s="9" t="s">
        <v>20</v>
      </c>
      <c r="O16341" s="6" t="str">
        <f>HYPERLINK("https://pbs.twimg.com/profile_images/962471262747529216/Uo8lOkRJ_normal.jpg","View")</f>
        <v>View</v>
      </c>
      <c r="P16341" s="7"/>
    </row>
    <row r="16342" spans="1:16">
      <c r="A16342" s="3">
        <v>44466.819895833338</v>
      </c>
      <c r="B16342" s="4" t="str">
        <f>HYPERLINK("https://twitter.com/petrogustavo","@petrogustavo")</f>
        <v>@petrogustavo</v>
      </c>
      <c r="C16342" s="5" t="s">
        <v>16</v>
      </c>
      <c r="D16342" s="5" t="s">
        <v>15730</v>
      </c>
      <c r="E16342" s="6" t="str">
        <f>HYPERLINK("https://twitter.com/petrogustavo/status/1442491879984148483","1442491879984148483")</f>
        <v>1442491879984148483</v>
      </c>
      <c r="F16342" s="7" t="s">
        <v>17</v>
      </c>
      <c r="G16342" s="7">
        <v>4365506</v>
      </c>
      <c r="H16342" s="7">
        <v>2538</v>
      </c>
      <c r="I16342" s="7">
        <v>122</v>
      </c>
      <c r="J16342" s="7">
        <v>0</v>
      </c>
      <c r="K16342" s="7" t="s">
        <v>18</v>
      </c>
      <c r="L16342" s="8">
        <v>39987.315405092595</v>
      </c>
      <c r="M16342" s="9" t="s">
        <v>19</v>
      </c>
      <c r="N16342" s="9" t="s">
        <v>20</v>
      </c>
      <c r="O16342" s="6" t="str">
        <f>HYPERLINK("https://pbs.twimg.com/profile_images/962471262747529216/Uo8lOkRJ_normal.jpg","View")</f>
        <v>View</v>
      </c>
      <c r="P16342" s="7"/>
    </row>
    <row r="16343" spans="1:16">
      <c r="A16343" s="3">
        <v>44466.820821759262</v>
      </c>
      <c r="B16343" s="4" t="str">
        <f>HYPERLINK("https://twitter.com/petrogustavo","@petrogustavo")</f>
        <v>@petrogustavo</v>
      </c>
      <c r="C16343" s="5" t="s">
        <v>16</v>
      </c>
      <c r="D16343" s="5" t="s">
        <v>15731</v>
      </c>
      <c r="E16343" s="6" t="str">
        <f>HYPERLINK("https://twitter.com/petrogustavo/status/1442492219110223883","1442492219110223883")</f>
        <v>1442492219110223883</v>
      </c>
      <c r="F16343" s="7" t="s">
        <v>17</v>
      </c>
      <c r="G16343" s="7">
        <v>4365506</v>
      </c>
      <c r="H16343" s="7">
        <v>2538</v>
      </c>
      <c r="I16343" s="7">
        <v>56</v>
      </c>
      <c r="J16343" s="7">
        <v>282</v>
      </c>
      <c r="K16343" s="7" t="s">
        <v>18</v>
      </c>
      <c r="L16343" s="8">
        <v>39987.315405092595</v>
      </c>
      <c r="M16343" s="9" t="s">
        <v>19</v>
      </c>
      <c r="N16343" s="9" t="s">
        <v>20</v>
      </c>
      <c r="O16343" s="6" t="str">
        <f>HYPERLINK("https://pbs.twimg.com/profile_images/962471262747529216/Uo8lOkRJ_normal.jpg","View")</f>
        <v>View</v>
      </c>
      <c r="P16343" s="7"/>
    </row>
    <row r="16344" spans="1:16">
      <c r="A16344" s="3">
        <v>44466.831157407403</v>
      </c>
      <c r="B16344" s="4" t="str">
        <f>HYPERLINK("https://twitter.com/petrogustavo","@petrogustavo")</f>
        <v>@petrogustavo</v>
      </c>
      <c r="C16344" s="5" t="s">
        <v>16</v>
      </c>
      <c r="D16344" s="5" t="s">
        <v>15732</v>
      </c>
      <c r="E16344" s="6" t="str">
        <f>HYPERLINK("https://twitter.com/petrogustavo/status/1442495963432570891","1442495963432570891")</f>
        <v>1442495963432570891</v>
      </c>
      <c r="F16344" s="7" t="s">
        <v>17</v>
      </c>
      <c r="G16344" s="7">
        <v>4365515</v>
      </c>
      <c r="H16344" s="7">
        <v>2538</v>
      </c>
      <c r="I16344" s="7">
        <v>1724</v>
      </c>
      <c r="J16344" s="7">
        <v>0</v>
      </c>
      <c r="K16344" s="7" t="s">
        <v>18</v>
      </c>
      <c r="L16344" s="8">
        <v>39987.315405092595</v>
      </c>
      <c r="M16344" s="9" t="s">
        <v>19</v>
      </c>
      <c r="N16344" s="9" t="s">
        <v>20</v>
      </c>
      <c r="O16344" s="6" t="str">
        <f>HYPERLINK("https://pbs.twimg.com/profile_images/962471262747529216/Uo8lOkRJ_normal.jpg","View")</f>
        <v>View</v>
      </c>
      <c r="P16344" s="7"/>
    </row>
    <row r="16345" spans="1:16">
      <c r="A16345" s="3">
        <v>44466.833553240736</v>
      </c>
      <c r="B16345" s="4" t="str">
        <f>HYPERLINK("https://twitter.com/petrogustavo","@petrogustavo")</f>
        <v>@petrogustavo</v>
      </c>
      <c r="C16345" s="5" t="s">
        <v>16</v>
      </c>
      <c r="D16345" s="5" t="s">
        <v>15733</v>
      </c>
      <c r="E16345" s="6" t="str">
        <f>HYPERLINK("https://twitter.com/petrogustavo/status/1442496829749354497","1442496829749354497")</f>
        <v>1442496829749354497</v>
      </c>
      <c r="F16345" s="7" t="s">
        <v>17</v>
      </c>
      <c r="G16345" s="7">
        <v>4365515</v>
      </c>
      <c r="H16345" s="7">
        <v>2538</v>
      </c>
      <c r="I16345" s="7">
        <v>258</v>
      </c>
      <c r="J16345" s="7">
        <v>799</v>
      </c>
      <c r="K16345" s="7" t="s">
        <v>18</v>
      </c>
      <c r="L16345" s="8">
        <v>39987.315405092595</v>
      </c>
      <c r="M16345" s="9" t="s">
        <v>19</v>
      </c>
      <c r="N16345" s="9" t="s">
        <v>20</v>
      </c>
      <c r="O16345" s="6" t="str">
        <f>HYPERLINK("https://pbs.twimg.com/profile_images/962471262747529216/Uo8lOkRJ_normal.jpg","View")</f>
        <v>View</v>
      </c>
      <c r="P16345" s="7"/>
    </row>
    <row r="16346" spans="1:16">
      <c r="A16346" s="3">
        <v>44466.849953703699</v>
      </c>
      <c r="B16346" s="4" t="str">
        <f>HYPERLINK("https://twitter.com/petrogustavo","@petrogustavo")</f>
        <v>@petrogustavo</v>
      </c>
      <c r="C16346" s="5" t="s">
        <v>16</v>
      </c>
      <c r="D16346" s="5" t="s">
        <v>15734</v>
      </c>
      <c r="E16346" s="6" t="str">
        <f>HYPERLINK("https://twitter.com/petrogustavo/status/1442502773082189825","1442502773082189825")</f>
        <v>1442502773082189825</v>
      </c>
      <c r="F16346" s="7" t="s">
        <v>17</v>
      </c>
      <c r="G16346" s="7">
        <v>4364791</v>
      </c>
      <c r="H16346" s="7">
        <v>2539</v>
      </c>
      <c r="I16346" s="7">
        <v>73</v>
      </c>
      <c r="J16346" s="7">
        <v>192</v>
      </c>
      <c r="K16346" s="7" t="s">
        <v>18</v>
      </c>
      <c r="L16346" s="8">
        <v>39987.315405092595</v>
      </c>
      <c r="M16346" s="9" t="s">
        <v>19</v>
      </c>
      <c r="N16346" s="9" t="s">
        <v>20</v>
      </c>
      <c r="O16346" s="6" t="str">
        <f>HYPERLINK("https://pbs.twimg.com/profile_images/962471262747529216/Uo8lOkRJ_normal.jpg","View")</f>
        <v>View</v>
      </c>
      <c r="P16346" s="7"/>
    </row>
    <row r="16347" spans="1:16">
      <c r="A16347" s="3">
        <v>44466.853125000001</v>
      </c>
      <c r="B16347" s="4" t="str">
        <f>HYPERLINK("https://twitter.com/petrogustavo","@petrogustavo")</f>
        <v>@petrogustavo</v>
      </c>
      <c r="C16347" s="5" t="s">
        <v>16</v>
      </c>
      <c r="D16347" s="5" t="s">
        <v>15735</v>
      </c>
      <c r="E16347" s="6" t="str">
        <f>HYPERLINK("https://twitter.com/petrogustavo/status/1442503924225880066","1442503924225880066")</f>
        <v>1442503924225880066</v>
      </c>
      <c r="F16347" s="7" t="s">
        <v>17</v>
      </c>
      <c r="G16347" s="7">
        <v>4364791</v>
      </c>
      <c r="H16347" s="7">
        <v>2539</v>
      </c>
      <c r="I16347" s="7">
        <v>37</v>
      </c>
      <c r="J16347" s="7">
        <v>336</v>
      </c>
      <c r="K16347" s="7" t="s">
        <v>18</v>
      </c>
      <c r="L16347" s="8">
        <v>39987.315405092595</v>
      </c>
      <c r="M16347" s="9" t="s">
        <v>19</v>
      </c>
      <c r="N16347" s="9" t="s">
        <v>20</v>
      </c>
      <c r="O16347" s="6" t="str">
        <f>HYPERLINK("https://pbs.twimg.com/profile_images/962471262747529216/Uo8lOkRJ_normal.jpg","View")</f>
        <v>View</v>
      </c>
      <c r="P16347" s="7"/>
    </row>
    <row r="16348" spans="1:16">
      <c r="A16348" s="3">
        <v>44466.937581018516</v>
      </c>
      <c r="B16348" s="4" t="str">
        <f>HYPERLINK("https://twitter.com/petrogustavo","@petrogustavo")</f>
        <v>@petrogustavo</v>
      </c>
      <c r="C16348" s="5" t="s">
        <v>16</v>
      </c>
      <c r="D16348" s="5" t="s">
        <v>15736</v>
      </c>
      <c r="E16348" s="6" t="str">
        <f>HYPERLINK("https://twitter.com/petrogustavo/status/1442534529600655365","1442534529600655365")</f>
        <v>1442534529600655365</v>
      </c>
      <c r="F16348" s="7" t="s">
        <v>17</v>
      </c>
      <c r="G16348" s="7">
        <v>4365583</v>
      </c>
      <c r="H16348" s="7">
        <v>2538</v>
      </c>
      <c r="I16348" s="7">
        <v>56</v>
      </c>
      <c r="J16348" s="7">
        <v>0</v>
      </c>
      <c r="K16348" s="7" t="s">
        <v>18</v>
      </c>
      <c r="L16348" s="8">
        <v>39987.315405092595</v>
      </c>
      <c r="M16348" s="9" t="s">
        <v>19</v>
      </c>
      <c r="N16348" s="9" t="s">
        <v>20</v>
      </c>
      <c r="O16348" s="6" t="str">
        <f>HYPERLINK("https://pbs.twimg.com/profile_images/962471262747529216/Uo8lOkRJ_normal.jpg","View")</f>
        <v>View</v>
      </c>
      <c r="P16348" s="7"/>
    </row>
    <row r="16349" spans="1:16">
      <c r="A16349" s="3">
        <v>44466.941284722227</v>
      </c>
      <c r="B16349" s="4" t="str">
        <f>HYPERLINK("https://twitter.com/petrogustavo","@petrogustavo")</f>
        <v>@petrogustavo</v>
      </c>
      <c r="C16349" s="5" t="s">
        <v>16</v>
      </c>
      <c r="D16349" s="5" t="s">
        <v>15737</v>
      </c>
      <c r="E16349" s="6" t="str">
        <f>HYPERLINK("https://twitter.com/petrogustavo/status/1442535870414921729","1442535870414921729")</f>
        <v>1442535870414921729</v>
      </c>
      <c r="F16349" s="7" t="s">
        <v>17</v>
      </c>
      <c r="G16349" s="7">
        <v>4365583</v>
      </c>
      <c r="H16349" s="7">
        <v>2538</v>
      </c>
      <c r="I16349" s="7">
        <v>1471</v>
      </c>
      <c r="J16349" s="7">
        <v>0</v>
      </c>
      <c r="K16349" s="7" t="s">
        <v>18</v>
      </c>
      <c r="L16349" s="8">
        <v>39987.315405092595</v>
      </c>
      <c r="M16349" s="9" t="s">
        <v>19</v>
      </c>
      <c r="N16349" s="9" t="s">
        <v>20</v>
      </c>
      <c r="O16349" s="6" t="str">
        <f>HYPERLINK("https://pbs.twimg.com/profile_images/962471262747529216/Uo8lOkRJ_normal.jpg","View")</f>
        <v>View</v>
      </c>
      <c r="P16349" s="7"/>
    </row>
    <row r="16350" spans="1:16">
      <c r="A16350" s="3">
        <v>44467.078368055554</v>
      </c>
      <c r="B16350" s="4" t="str">
        <f>HYPERLINK("https://twitter.com/petrogustavo","@petrogustavo")</f>
        <v>@petrogustavo</v>
      </c>
      <c r="C16350" s="5" t="s">
        <v>16</v>
      </c>
      <c r="D16350" s="5" t="s">
        <v>15737</v>
      </c>
      <c r="E16350" s="6" t="str">
        <f>HYPERLINK("https://twitter.com/petrogustavo/status/1442585549689311237","1442585549689311237")</f>
        <v>1442585549689311237</v>
      </c>
      <c r="F16350" s="7" t="s">
        <v>17</v>
      </c>
      <c r="G16350" s="7">
        <v>4365631</v>
      </c>
      <c r="H16350" s="7">
        <v>2538</v>
      </c>
      <c r="I16350" s="7">
        <v>2368</v>
      </c>
      <c r="J16350" s="7">
        <v>0</v>
      </c>
      <c r="K16350" s="7" t="s">
        <v>18</v>
      </c>
      <c r="L16350" s="8">
        <v>39987.315405092595</v>
      </c>
      <c r="M16350" s="9" t="s">
        <v>19</v>
      </c>
      <c r="N16350" s="9" t="s">
        <v>20</v>
      </c>
      <c r="O16350" s="6" t="str">
        <f>HYPERLINK("https://pbs.twimg.com/profile_images/962471262747529216/Uo8lOkRJ_normal.jpg","View")</f>
        <v>View</v>
      </c>
      <c r="P16350" s="7"/>
    </row>
    <row r="16351" spans="1:16">
      <c r="A16351" s="3">
        <v>44467.247800925921</v>
      </c>
      <c r="B16351" s="4" t="str">
        <f>HYPERLINK("https://twitter.com/petrogustavo","@petrogustavo")</f>
        <v>@petrogustavo</v>
      </c>
      <c r="C16351" s="5" t="s">
        <v>16</v>
      </c>
      <c r="D16351" s="5" t="s">
        <v>15738</v>
      </c>
      <c r="E16351" s="6" t="str">
        <f>HYPERLINK("https://twitter.com/petrogustavo/status/1442646951296749569","1442646951296749569")</f>
        <v>1442646951296749569</v>
      </c>
      <c r="F16351" s="7" t="s">
        <v>21</v>
      </c>
      <c r="G16351" s="7">
        <v>4365731</v>
      </c>
      <c r="H16351" s="7">
        <v>2538</v>
      </c>
      <c r="I16351" s="7">
        <v>421</v>
      </c>
      <c r="J16351" s="7">
        <v>1147</v>
      </c>
      <c r="K16351" s="7" t="s">
        <v>18</v>
      </c>
      <c r="L16351" s="8">
        <v>39987.315405092595</v>
      </c>
      <c r="M16351" s="9" t="s">
        <v>19</v>
      </c>
      <c r="N16351" s="9" t="s">
        <v>20</v>
      </c>
      <c r="O16351" s="6" t="str">
        <f>HYPERLINK("https://pbs.twimg.com/profile_images/962471262747529216/Uo8lOkRJ_normal.jpg","View")</f>
        <v>View</v>
      </c>
      <c r="P16351" s="7"/>
    </row>
    <row r="16352" spans="1:16">
      <c r="A16352" s="3">
        <v>44467.33394675926</v>
      </c>
      <c r="B16352" s="4" t="str">
        <f>HYPERLINK("https://twitter.com/petrogustavo","@petrogustavo")</f>
        <v>@petrogustavo</v>
      </c>
      <c r="C16352" s="5" t="s">
        <v>16</v>
      </c>
      <c r="D16352" s="5" t="s">
        <v>15739</v>
      </c>
      <c r="E16352" s="6" t="str">
        <f>HYPERLINK("https://twitter.com/petrogustavo/status/1442678168914173954","1442678168914173954")</f>
        <v>1442678168914173954</v>
      </c>
      <c r="F16352" s="7" t="s">
        <v>17</v>
      </c>
      <c r="G16352" s="7">
        <v>4365810</v>
      </c>
      <c r="H16352" s="7">
        <v>2538</v>
      </c>
      <c r="I16352" s="7">
        <v>1960</v>
      </c>
      <c r="J16352" s="7">
        <v>0</v>
      </c>
      <c r="K16352" s="7" t="s">
        <v>18</v>
      </c>
      <c r="L16352" s="8">
        <v>39987.315405092595</v>
      </c>
      <c r="M16352" s="9" t="s">
        <v>19</v>
      </c>
      <c r="N16352" s="9" t="s">
        <v>20</v>
      </c>
      <c r="O16352" s="6" t="str">
        <f>HYPERLINK("https://pbs.twimg.com/profile_images/962471262747529216/Uo8lOkRJ_normal.jpg","View")</f>
        <v>View</v>
      </c>
      <c r="P16352" s="7"/>
    </row>
    <row r="16353" spans="1:16">
      <c r="A16353" s="3">
        <v>44467.829328703709</v>
      </c>
      <c r="B16353" s="4" t="str">
        <f>HYPERLINK("https://twitter.com/petrogustavo","@petrogustavo")</f>
        <v>@petrogustavo</v>
      </c>
      <c r="C16353" s="5" t="s">
        <v>16</v>
      </c>
      <c r="D16353" s="5" t="s">
        <v>15740</v>
      </c>
      <c r="E16353" s="6" t="str">
        <f>HYPERLINK("https://twitter.com/petrogustavo/status/1442857689319682049","1442857689319682049")</f>
        <v>1442857689319682049</v>
      </c>
      <c r="F16353" s="7" t="s">
        <v>32</v>
      </c>
      <c r="G16353" s="7">
        <v>4365980</v>
      </c>
      <c r="H16353" s="7">
        <v>2538</v>
      </c>
      <c r="I16353" s="7">
        <v>199</v>
      </c>
      <c r="J16353" s="7">
        <v>781</v>
      </c>
      <c r="K16353" s="7" t="s">
        <v>18</v>
      </c>
      <c r="L16353" s="8">
        <v>39987.315405092595</v>
      </c>
      <c r="M16353" s="9" t="s">
        <v>19</v>
      </c>
      <c r="N16353" s="9" t="s">
        <v>20</v>
      </c>
      <c r="O16353" s="6" t="str">
        <f>HYPERLINK("https://pbs.twimg.com/profile_images/962471262747529216/Uo8lOkRJ_normal.jpg","View")</f>
        <v>View</v>
      </c>
      <c r="P16353" s="7"/>
    </row>
    <row r="16354" spans="1:16">
      <c r="A16354" s="3">
        <v>44468.142337962963</v>
      </c>
      <c r="B16354" s="4" t="str">
        <f>HYPERLINK("https://twitter.com/petrogustavo","@petrogustavo")</f>
        <v>@petrogustavo</v>
      </c>
      <c r="C16354" s="5" t="s">
        <v>16</v>
      </c>
      <c r="D16354" s="5" t="s">
        <v>15741</v>
      </c>
      <c r="E16354" s="6" t="str">
        <f>HYPERLINK("https://twitter.com/petrogustavo/status/1442971119619911680","1442971119619911680")</f>
        <v>1442971119619911680</v>
      </c>
      <c r="F16354" s="7" t="s">
        <v>32</v>
      </c>
      <c r="G16354" s="7">
        <v>4366173</v>
      </c>
      <c r="H16354" s="7">
        <v>2539</v>
      </c>
      <c r="I16354" s="7">
        <v>223</v>
      </c>
      <c r="J16354" s="7">
        <v>658</v>
      </c>
      <c r="K16354" s="7" t="s">
        <v>18</v>
      </c>
      <c r="L16354" s="8">
        <v>39987.315405092595</v>
      </c>
      <c r="M16354" s="9" t="s">
        <v>19</v>
      </c>
      <c r="N16354" s="9" t="s">
        <v>20</v>
      </c>
      <c r="O16354" s="6" t="str">
        <f>HYPERLINK("https://pbs.twimg.com/profile_images/962471262747529216/Uo8lOkRJ_normal.jpg","View")</f>
        <v>View</v>
      </c>
      <c r="P16354" s="7"/>
    </row>
    <row r="16355" spans="1:16">
      <c r="A16355" s="3">
        <v>44468.211030092592</v>
      </c>
      <c r="B16355" s="4" t="str">
        <f>HYPERLINK("https://twitter.com/petrogustavo","@petrogustavo")</f>
        <v>@petrogustavo</v>
      </c>
      <c r="C16355" s="5" t="s">
        <v>16</v>
      </c>
      <c r="D16355" s="5" t="s">
        <v>15742</v>
      </c>
      <c r="E16355" s="6" t="str">
        <f>HYPERLINK("https://twitter.com/petrogustavo/status/1442996013179023362","1442996013179023362")</f>
        <v>1442996013179023362</v>
      </c>
      <c r="F16355" s="7" t="s">
        <v>32</v>
      </c>
      <c r="G16355" s="7">
        <v>4366228</v>
      </c>
      <c r="H16355" s="7">
        <v>2539</v>
      </c>
      <c r="I16355" s="7">
        <v>911</v>
      </c>
      <c r="J16355" s="7">
        <v>0</v>
      </c>
      <c r="K16355" s="7" t="s">
        <v>18</v>
      </c>
      <c r="L16355" s="8">
        <v>39987.315405092595</v>
      </c>
      <c r="M16355" s="9" t="s">
        <v>19</v>
      </c>
      <c r="N16355" s="9" t="s">
        <v>20</v>
      </c>
      <c r="O16355" s="6" t="str">
        <f>HYPERLINK("https://pbs.twimg.com/profile_images/962471262747529216/Uo8lOkRJ_normal.jpg","View")</f>
        <v>View</v>
      </c>
      <c r="P16355" s="7"/>
    </row>
    <row r="16356" spans="1:16">
      <c r="A16356" s="3">
        <v>44468.353437500002</v>
      </c>
      <c r="B16356" s="4" t="str">
        <f>HYPERLINK("https://twitter.com/petrogustavo","@petrogustavo")</f>
        <v>@petrogustavo</v>
      </c>
      <c r="C16356" s="5" t="s">
        <v>16</v>
      </c>
      <c r="D16356" s="5" t="s">
        <v>15743</v>
      </c>
      <c r="E16356" s="6" t="str">
        <f>HYPERLINK("https://twitter.com/petrogustavo/status/1443047619501117442","1443047619501117442")</f>
        <v>1443047619501117442</v>
      </c>
      <c r="F16356" s="7" t="s">
        <v>17</v>
      </c>
      <c r="G16356" s="7">
        <v>4366368</v>
      </c>
      <c r="H16356" s="7">
        <v>2539</v>
      </c>
      <c r="I16356" s="7">
        <v>382</v>
      </c>
      <c r="J16356" s="7">
        <v>666</v>
      </c>
      <c r="K16356" s="7" t="s">
        <v>18</v>
      </c>
      <c r="L16356" s="8">
        <v>39987.315405092595</v>
      </c>
      <c r="M16356" s="9" t="s">
        <v>19</v>
      </c>
      <c r="N16356" s="9" t="s">
        <v>20</v>
      </c>
      <c r="O16356" s="6" t="str">
        <f>HYPERLINK("https://pbs.twimg.com/profile_images/962471262747529216/Uo8lOkRJ_normal.jpg","View")</f>
        <v>View</v>
      </c>
      <c r="P16356" s="7"/>
    </row>
    <row r="16357" spans="1:16">
      <c r="A16357" s="3">
        <v>44468.699490740742</v>
      </c>
      <c r="B16357" s="4" t="str">
        <f>HYPERLINK("https://twitter.com/petrogustavo","@petrogustavo")</f>
        <v>@petrogustavo</v>
      </c>
      <c r="C16357" s="5" t="s">
        <v>16</v>
      </c>
      <c r="D16357" s="5" t="s">
        <v>15744</v>
      </c>
      <c r="E16357" s="6" t="str">
        <f>HYPERLINK("https://twitter.com/petrogustavo/status/1443173025474560003","1443173025474560003")</f>
        <v>1443173025474560003</v>
      </c>
      <c r="F16357" s="7" t="s">
        <v>17</v>
      </c>
      <c r="G16357" s="7">
        <v>4366455</v>
      </c>
      <c r="H16357" s="7">
        <v>2539</v>
      </c>
      <c r="I16357" s="7">
        <v>77</v>
      </c>
      <c r="J16357" s="7">
        <v>240</v>
      </c>
      <c r="K16357" s="7" t="s">
        <v>18</v>
      </c>
      <c r="L16357" s="8">
        <v>39987.315405092595</v>
      </c>
      <c r="M16357" s="9" t="s">
        <v>19</v>
      </c>
      <c r="N16357" s="9" t="s">
        <v>20</v>
      </c>
      <c r="O16357" s="6" t="str">
        <f>HYPERLINK("https://pbs.twimg.com/profile_images/962471262747529216/Uo8lOkRJ_normal.jpg","View")</f>
        <v>View</v>
      </c>
      <c r="P16357" s="7"/>
    </row>
    <row r="16358" spans="1:16">
      <c r="A16358" s="3">
        <v>44468.705081018517</v>
      </c>
      <c r="B16358" s="4" t="str">
        <f>HYPERLINK("https://twitter.com/petrogustavo","@petrogustavo")</f>
        <v>@petrogustavo</v>
      </c>
      <c r="C16358" s="5" t="s">
        <v>16</v>
      </c>
      <c r="D16358" s="5" t="s">
        <v>15745</v>
      </c>
      <c r="E16358" s="6" t="str">
        <f>HYPERLINK("https://twitter.com/petrogustavo/status/1443175050480439300","1443175050480439300")</f>
        <v>1443175050480439300</v>
      </c>
      <c r="F16358" s="7" t="s">
        <v>17</v>
      </c>
      <c r="G16358" s="7">
        <v>4366455</v>
      </c>
      <c r="H16358" s="7">
        <v>2539</v>
      </c>
      <c r="I16358" s="7">
        <v>570</v>
      </c>
      <c r="J16358" s="7">
        <v>0</v>
      </c>
      <c r="K16358" s="7" t="s">
        <v>18</v>
      </c>
      <c r="L16358" s="8">
        <v>39987.315405092595</v>
      </c>
      <c r="M16358" s="9" t="s">
        <v>19</v>
      </c>
      <c r="N16358" s="9" t="s">
        <v>20</v>
      </c>
      <c r="O16358" s="6" t="str">
        <f>HYPERLINK("https://pbs.twimg.com/profile_images/962471262747529216/Uo8lOkRJ_normal.jpg","View")</f>
        <v>View</v>
      </c>
      <c r="P16358" s="7"/>
    </row>
    <row r="16359" spans="1:16">
      <c r="A16359" s="3">
        <v>44468.708310185189</v>
      </c>
      <c r="B16359" s="4" t="str">
        <f>HYPERLINK("https://twitter.com/petrogustavo","@petrogustavo")</f>
        <v>@petrogustavo</v>
      </c>
      <c r="C16359" s="5" t="s">
        <v>16</v>
      </c>
      <c r="D16359" s="5" t="s">
        <v>15746</v>
      </c>
      <c r="E16359" s="6" t="str">
        <f>HYPERLINK("https://twitter.com/petrogustavo/status/1443176219256803328","1443176219256803328")</f>
        <v>1443176219256803328</v>
      </c>
      <c r="F16359" s="7" t="s">
        <v>17</v>
      </c>
      <c r="G16359" s="7">
        <v>4366455</v>
      </c>
      <c r="H16359" s="7">
        <v>2539</v>
      </c>
      <c r="I16359" s="7">
        <v>11</v>
      </c>
      <c r="J16359" s="7">
        <v>0</v>
      </c>
      <c r="K16359" s="7" t="s">
        <v>18</v>
      </c>
      <c r="L16359" s="8">
        <v>39987.315405092595</v>
      </c>
      <c r="M16359" s="9" t="s">
        <v>19</v>
      </c>
      <c r="N16359" s="9" t="s">
        <v>20</v>
      </c>
      <c r="O16359" s="6" t="str">
        <f>HYPERLINK("https://pbs.twimg.com/profile_images/962471262747529216/Uo8lOkRJ_normal.jpg","View")</f>
        <v>View</v>
      </c>
      <c r="P16359" s="7"/>
    </row>
    <row r="16360" spans="1:16">
      <c r="A16360" s="3">
        <v>44468.710011574076</v>
      </c>
      <c r="B16360" s="4" t="str">
        <f>HYPERLINK("https://twitter.com/petrogustavo","@petrogustavo")</f>
        <v>@petrogustavo</v>
      </c>
      <c r="C16360" s="5" t="s">
        <v>16</v>
      </c>
      <c r="D16360" s="5" t="s">
        <v>15747</v>
      </c>
      <c r="E16360" s="6" t="str">
        <f>HYPERLINK("https://twitter.com/petrogustavo/status/1443176835420983301","1443176835420983301")</f>
        <v>1443176835420983301</v>
      </c>
      <c r="F16360" s="7" t="s">
        <v>17</v>
      </c>
      <c r="G16360" s="7">
        <v>4366461</v>
      </c>
      <c r="H16360" s="7">
        <v>2539</v>
      </c>
      <c r="I16360" s="7">
        <v>141</v>
      </c>
      <c r="J16360" s="7">
        <v>0</v>
      </c>
      <c r="K16360" s="7" t="s">
        <v>18</v>
      </c>
      <c r="L16360" s="8">
        <v>39987.315405092595</v>
      </c>
      <c r="M16360" s="9" t="s">
        <v>19</v>
      </c>
      <c r="N16360" s="9" t="s">
        <v>20</v>
      </c>
      <c r="O16360" s="6" t="str">
        <f>HYPERLINK("https://pbs.twimg.com/profile_images/962471262747529216/Uo8lOkRJ_normal.jpg","View")</f>
        <v>View</v>
      </c>
      <c r="P16360" s="7"/>
    </row>
    <row r="16361" spans="1:16">
      <c r="A16361" s="3">
        <v>44468.776064814811</v>
      </c>
      <c r="B16361" s="4" t="str">
        <f>HYPERLINK("https://twitter.com/petrogustavo","@petrogustavo")</f>
        <v>@petrogustavo</v>
      </c>
      <c r="C16361" s="5" t="s">
        <v>16</v>
      </c>
      <c r="D16361" s="5" t="s">
        <v>15748</v>
      </c>
      <c r="E16361" s="6" t="str">
        <f>HYPERLINK("https://twitter.com/petrogustavo/status/1443200774411100161","1443200774411100161")</f>
        <v>1443200774411100161</v>
      </c>
      <c r="F16361" s="7" t="s">
        <v>32</v>
      </c>
      <c r="G16361" s="7">
        <v>4366498</v>
      </c>
      <c r="H16361" s="7">
        <v>2539</v>
      </c>
      <c r="I16361" s="7">
        <v>313</v>
      </c>
      <c r="J16361" s="7">
        <v>0</v>
      </c>
      <c r="K16361" s="7" t="s">
        <v>18</v>
      </c>
      <c r="L16361" s="8">
        <v>39987.315405092595</v>
      </c>
      <c r="M16361" s="9" t="s">
        <v>19</v>
      </c>
      <c r="N16361" s="9" t="s">
        <v>20</v>
      </c>
      <c r="O16361" s="6" t="str">
        <f>HYPERLINK("https://pbs.twimg.com/profile_images/962471262747529216/Uo8lOkRJ_normal.jpg","View")</f>
        <v>View</v>
      </c>
      <c r="P16361" s="7"/>
    </row>
    <row r="16362" spans="1:16">
      <c r="A16362" s="3">
        <v>44468.777962962966</v>
      </c>
      <c r="B16362" s="4" t="str">
        <f>HYPERLINK("https://twitter.com/petrogustavo","@petrogustavo")</f>
        <v>@petrogustavo</v>
      </c>
      <c r="C16362" s="5" t="s">
        <v>16</v>
      </c>
      <c r="D16362" s="5" t="s">
        <v>15749</v>
      </c>
      <c r="E16362" s="6" t="str">
        <f>HYPERLINK("https://twitter.com/petrogustavo/status/1443201463518380037","1443201463518380037")</f>
        <v>1443201463518380037</v>
      </c>
      <c r="F16362" s="7" t="s">
        <v>32</v>
      </c>
      <c r="G16362" s="7">
        <v>4366498</v>
      </c>
      <c r="H16362" s="7">
        <v>2539</v>
      </c>
      <c r="I16362" s="7">
        <v>24</v>
      </c>
      <c r="J16362" s="7">
        <v>0</v>
      </c>
      <c r="K16362" s="7" t="s">
        <v>18</v>
      </c>
      <c r="L16362" s="8">
        <v>39987.315405092595</v>
      </c>
      <c r="M16362" s="9" t="s">
        <v>19</v>
      </c>
      <c r="N16362" s="9" t="s">
        <v>20</v>
      </c>
      <c r="O16362" s="6" t="str">
        <f>HYPERLINK("https://pbs.twimg.com/profile_images/962471262747529216/Uo8lOkRJ_normal.jpg","View")</f>
        <v>View</v>
      </c>
      <c r="P16362" s="7"/>
    </row>
    <row r="16363" spans="1:16">
      <c r="A16363" s="3">
        <v>44468.77925925926</v>
      </c>
      <c r="B16363" s="4" t="str">
        <f>HYPERLINK("https://twitter.com/petrogustavo","@petrogustavo")</f>
        <v>@petrogustavo</v>
      </c>
      <c r="C16363" s="5" t="s">
        <v>16</v>
      </c>
      <c r="D16363" s="5" t="s">
        <v>15750</v>
      </c>
      <c r="E16363" s="6" t="str">
        <f>HYPERLINK("https://twitter.com/petrogustavo/status/1443201930151579656","1443201930151579656")</f>
        <v>1443201930151579656</v>
      </c>
      <c r="F16363" s="7" t="s">
        <v>17</v>
      </c>
      <c r="G16363" s="7">
        <v>4366498</v>
      </c>
      <c r="H16363" s="7">
        <v>2539</v>
      </c>
      <c r="I16363" s="7">
        <v>774</v>
      </c>
      <c r="J16363" s="7">
        <v>0</v>
      </c>
      <c r="K16363" s="7" t="s">
        <v>18</v>
      </c>
      <c r="L16363" s="8">
        <v>39987.315405092595</v>
      </c>
      <c r="M16363" s="9" t="s">
        <v>19</v>
      </c>
      <c r="N16363" s="9" t="s">
        <v>20</v>
      </c>
      <c r="O16363" s="6" t="str">
        <f>HYPERLINK("https://pbs.twimg.com/profile_images/962471262747529216/Uo8lOkRJ_normal.jpg","View")</f>
        <v>View</v>
      </c>
      <c r="P16363" s="7"/>
    </row>
    <row r="16364" spans="1:16">
      <c r="A16364" s="3">
        <v>44468.779340277775</v>
      </c>
      <c r="B16364" s="4" t="str">
        <f>HYPERLINK("https://twitter.com/petrogustavo","@petrogustavo")</f>
        <v>@petrogustavo</v>
      </c>
      <c r="C16364" s="5" t="s">
        <v>16</v>
      </c>
      <c r="D16364" s="5" t="s">
        <v>15751</v>
      </c>
      <c r="E16364" s="6" t="str">
        <f>HYPERLINK("https://twitter.com/petrogustavo/status/1443201961361395719","1443201961361395719")</f>
        <v>1443201961361395719</v>
      </c>
      <c r="F16364" s="7" t="s">
        <v>17</v>
      </c>
      <c r="G16364" s="7">
        <v>4366498</v>
      </c>
      <c r="H16364" s="7">
        <v>2539</v>
      </c>
      <c r="I16364" s="7">
        <v>693</v>
      </c>
      <c r="J16364" s="7">
        <v>0</v>
      </c>
      <c r="K16364" s="7" t="s">
        <v>18</v>
      </c>
      <c r="L16364" s="8">
        <v>39987.315405092595</v>
      </c>
      <c r="M16364" s="9" t="s">
        <v>19</v>
      </c>
      <c r="N16364" s="9" t="s">
        <v>20</v>
      </c>
      <c r="O16364" s="6" t="str">
        <f>HYPERLINK("https://pbs.twimg.com/profile_images/962471262747529216/Uo8lOkRJ_normal.jpg","View")</f>
        <v>View</v>
      </c>
      <c r="P16364" s="7"/>
    </row>
    <row r="16365" spans="1:16">
      <c r="A16365" s="3">
        <v>44468.785601851851</v>
      </c>
      <c r="B16365" s="4" t="str">
        <f>HYPERLINK("https://twitter.com/petrogustavo","@petrogustavo")</f>
        <v>@petrogustavo</v>
      </c>
      <c r="C16365" s="5" t="s">
        <v>16</v>
      </c>
      <c r="D16365" s="5" t="s">
        <v>15752</v>
      </c>
      <c r="E16365" s="6" t="str">
        <f>HYPERLINK("https://twitter.com/petrogustavo/status/1443204230219698177","1443204230219698177")</f>
        <v>1443204230219698177</v>
      </c>
      <c r="F16365" s="7" t="s">
        <v>17</v>
      </c>
      <c r="G16365" s="7">
        <v>4366498</v>
      </c>
      <c r="H16365" s="7">
        <v>2539</v>
      </c>
      <c r="I16365" s="7">
        <v>104</v>
      </c>
      <c r="J16365" s="7">
        <v>239</v>
      </c>
      <c r="K16365" s="7" t="s">
        <v>18</v>
      </c>
      <c r="L16365" s="8">
        <v>39987.315405092595</v>
      </c>
      <c r="M16365" s="9" t="s">
        <v>19</v>
      </c>
      <c r="N16365" s="9" t="s">
        <v>20</v>
      </c>
      <c r="O16365" s="6" t="str">
        <f>HYPERLINK("https://pbs.twimg.com/profile_images/962471262747529216/Uo8lOkRJ_normal.jpg","View")</f>
        <v>View</v>
      </c>
      <c r="P16365" s="7"/>
    </row>
    <row r="16366" spans="1:16">
      <c r="A16366" s="3">
        <v>44468.785613425927</v>
      </c>
      <c r="B16366" s="4" t="str">
        <f>HYPERLINK("https://twitter.com/petrogustavo","@petrogustavo")</f>
        <v>@petrogustavo</v>
      </c>
      <c r="C16366" s="5" t="s">
        <v>16</v>
      </c>
      <c r="D16366" s="5" t="s">
        <v>15753</v>
      </c>
      <c r="E16366" s="6" t="str">
        <f>HYPERLINK("https://twitter.com/petrogustavo/status/1443204232996343812","1443204232996343812")</f>
        <v>1443204232996343812</v>
      </c>
      <c r="F16366" s="7" t="s">
        <v>17</v>
      </c>
      <c r="G16366" s="7">
        <v>4366498</v>
      </c>
      <c r="H16366" s="7">
        <v>2539</v>
      </c>
      <c r="I16366" s="7">
        <v>41</v>
      </c>
      <c r="J16366" s="7">
        <v>121</v>
      </c>
      <c r="K16366" s="7" t="s">
        <v>18</v>
      </c>
      <c r="L16366" s="8">
        <v>39987.315405092595</v>
      </c>
      <c r="M16366" s="9" t="s">
        <v>19</v>
      </c>
      <c r="N16366" s="9" t="s">
        <v>20</v>
      </c>
      <c r="O16366" s="6" t="str">
        <f>HYPERLINK("https://pbs.twimg.com/profile_images/962471262747529216/Uo8lOkRJ_normal.jpg","View")</f>
        <v>View</v>
      </c>
      <c r="P16366" s="7"/>
    </row>
    <row r="16367" spans="1:16">
      <c r="A16367" s="3">
        <v>44468.785613425927</v>
      </c>
      <c r="B16367" s="4" t="str">
        <f>HYPERLINK("https://twitter.com/petrogustavo","@petrogustavo")</f>
        <v>@petrogustavo</v>
      </c>
      <c r="C16367" s="5" t="s">
        <v>16</v>
      </c>
      <c r="D16367" s="5" t="s">
        <v>15754</v>
      </c>
      <c r="E16367" s="6" t="str">
        <f>HYPERLINK("https://twitter.com/petrogustavo/status/1443204234598551556","1443204234598551556")</f>
        <v>1443204234598551556</v>
      </c>
      <c r="F16367" s="7" t="s">
        <v>17</v>
      </c>
      <c r="G16367" s="7">
        <v>4366498</v>
      </c>
      <c r="H16367" s="7">
        <v>2539</v>
      </c>
      <c r="I16367" s="7">
        <v>35</v>
      </c>
      <c r="J16367" s="7">
        <v>114</v>
      </c>
      <c r="K16367" s="7" t="s">
        <v>18</v>
      </c>
      <c r="L16367" s="8">
        <v>39987.315405092595</v>
      </c>
      <c r="M16367" s="9" t="s">
        <v>19</v>
      </c>
      <c r="N16367" s="9" t="s">
        <v>20</v>
      </c>
      <c r="O16367" s="6" t="str">
        <f>HYPERLINK("https://pbs.twimg.com/profile_images/962471262747529216/Uo8lOkRJ_normal.jpg","View")</f>
        <v>View</v>
      </c>
      <c r="P16367" s="7"/>
    </row>
    <row r="16368" spans="1:16">
      <c r="A16368" s="3">
        <v>44468.938379629632</v>
      </c>
      <c r="B16368" s="4" t="str">
        <f>HYPERLINK("https://twitter.com/petrogustavo","@petrogustavo")</f>
        <v>@petrogustavo</v>
      </c>
      <c r="C16368" s="5" t="s">
        <v>16</v>
      </c>
      <c r="D16368" s="5" t="s">
        <v>15755</v>
      </c>
      <c r="E16368" s="6" t="str">
        <f>HYPERLINK("https://twitter.com/petrogustavo/status/1443259594583707648","1443259594583707648")</f>
        <v>1443259594583707648</v>
      </c>
      <c r="F16368" s="7" t="s">
        <v>32</v>
      </c>
      <c r="G16368" s="7">
        <v>4366582</v>
      </c>
      <c r="H16368" s="7">
        <v>2539</v>
      </c>
      <c r="I16368" s="7">
        <v>906</v>
      </c>
      <c r="J16368" s="7">
        <v>0</v>
      </c>
      <c r="K16368" s="7" t="s">
        <v>18</v>
      </c>
      <c r="L16368" s="8">
        <v>39987.315405092595</v>
      </c>
      <c r="M16368" s="9" t="s">
        <v>19</v>
      </c>
      <c r="N16368" s="9" t="s">
        <v>20</v>
      </c>
      <c r="O16368" s="6" t="str">
        <f>HYPERLINK("https://pbs.twimg.com/profile_images/962471262747529216/Uo8lOkRJ_normal.jpg","View")</f>
        <v>View</v>
      </c>
      <c r="P16368" s="7"/>
    </row>
    <row r="16369" spans="1:16">
      <c r="A16369" s="3">
        <v>44469.066469907411</v>
      </c>
      <c r="B16369" s="4" t="str">
        <f>HYPERLINK("https://twitter.com/petrogustavo","@petrogustavo")</f>
        <v>@petrogustavo</v>
      </c>
      <c r="C16369" s="5" t="s">
        <v>16</v>
      </c>
      <c r="D16369" s="5" t="s">
        <v>15756</v>
      </c>
      <c r="E16369" s="6" t="str">
        <f>HYPERLINK("https://twitter.com/petrogustavo/status/1443306012484808719","1443306012484808719")</f>
        <v>1443306012484808719</v>
      </c>
      <c r="F16369" s="7" t="s">
        <v>32</v>
      </c>
      <c r="G16369" s="7">
        <v>4366691</v>
      </c>
      <c r="H16369" s="7">
        <v>2539</v>
      </c>
      <c r="I16369" s="7">
        <v>158</v>
      </c>
      <c r="J16369" s="7">
        <v>530</v>
      </c>
      <c r="K16369" s="7" t="s">
        <v>18</v>
      </c>
      <c r="L16369" s="8">
        <v>39987.315405092595</v>
      </c>
      <c r="M16369" s="9" t="s">
        <v>19</v>
      </c>
      <c r="N16369" s="9" t="s">
        <v>20</v>
      </c>
      <c r="O16369" s="6" t="str">
        <f>HYPERLINK("https://pbs.twimg.com/profile_images/962471262747529216/Uo8lOkRJ_normal.jpg","View")</f>
        <v>View</v>
      </c>
      <c r="P16369" s="7"/>
    </row>
    <row r="16370" spans="1:16">
      <c r="A16370" s="3">
        <v>44469.161724537036</v>
      </c>
      <c r="B16370" s="4" t="str">
        <f>HYPERLINK("https://twitter.com/petrogustavo","@petrogustavo")</f>
        <v>@petrogustavo</v>
      </c>
      <c r="C16370" s="5" t="s">
        <v>16</v>
      </c>
      <c r="D16370" s="5" t="s">
        <v>15757</v>
      </c>
      <c r="E16370" s="6" t="str">
        <f>HYPERLINK("https://twitter.com/petrogustavo/status/1443340533976477698","1443340533976477698")</f>
        <v>1443340533976477698</v>
      </c>
      <c r="F16370" s="7" t="s">
        <v>32</v>
      </c>
      <c r="G16370" s="7">
        <v>4366749</v>
      </c>
      <c r="H16370" s="7">
        <v>2539</v>
      </c>
      <c r="I16370" s="7">
        <v>425</v>
      </c>
      <c r="J16370" s="7">
        <v>0</v>
      </c>
      <c r="K16370" s="7" t="s">
        <v>18</v>
      </c>
      <c r="L16370" s="8">
        <v>39987.315405092595</v>
      </c>
      <c r="M16370" s="9" t="s">
        <v>19</v>
      </c>
      <c r="N16370" s="9" t="s">
        <v>20</v>
      </c>
      <c r="O16370" s="6" t="str">
        <f>HYPERLINK("https://pbs.twimg.com/profile_images/962471262747529216/Uo8lOkRJ_normal.jpg","View")</f>
        <v>View</v>
      </c>
      <c r="P16370" s="7"/>
    </row>
    <row r="16371" spans="1:16">
      <c r="A16371" s="3">
        <v>44469.161782407406</v>
      </c>
      <c r="B16371" s="4" t="str">
        <f>HYPERLINK("https://twitter.com/petrogustavo","@petrogustavo")</f>
        <v>@petrogustavo</v>
      </c>
      <c r="C16371" s="5" t="s">
        <v>16</v>
      </c>
      <c r="D16371" s="5" t="s">
        <v>15758</v>
      </c>
      <c r="E16371" s="6" t="str">
        <f>HYPERLINK("https://twitter.com/petrogustavo/status/1443340555057082368","1443340555057082368")</f>
        <v>1443340555057082368</v>
      </c>
      <c r="F16371" s="7" t="s">
        <v>32</v>
      </c>
      <c r="G16371" s="7">
        <v>4366749</v>
      </c>
      <c r="H16371" s="7">
        <v>2539</v>
      </c>
      <c r="I16371" s="7">
        <v>453</v>
      </c>
      <c r="J16371" s="7">
        <v>0</v>
      </c>
      <c r="K16371" s="7" t="s">
        <v>18</v>
      </c>
      <c r="L16371" s="8">
        <v>39987.315405092595</v>
      </c>
      <c r="M16371" s="9" t="s">
        <v>19</v>
      </c>
      <c r="N16371" s="9" t="s">
        <v>20</v>
      </c>
      <c r="O16371" s="6" t="str">
        <f>HYPERLINK("https://pbs.twimg.com/profile_images/962471262747529216/Uo8lOkRJ_normal.jpg","View")</f>
        <v>View</v>
      </c>
      <c r="P16371" s="7"/>
    </row>
    <row r="16372" spans="1:16">
      <c r="A16372" s="3">
        <v>44469.163078703699</v>
      </c>
      <c r="B16372" s="4" t="str">
        <f>HYPERLINK("https://twitter.com/petrogustavo","@petrogustavo")</f>
        <v>@petrogustavo</v>
      </c>
      <c r="C16372" s="5" t="s">
        <v>16</v>
      </c>
      <c r="D16372" s="5" t="s">
        <v>15759</v>
      </c>
      <c r="E16372" s="6" t="str">
        <f>HYPERLINK("https://twitter.com/petrogustavo/status/1443341021316853763","1443341021316853763")</f>
        <v>1443341021316853763</v>
      </c>
      <c r="F16372" s="7" t="s">
        <v>32</v>
      </c>
      <c r="G16372" s="7">
        <v>4366749</v>
      </c>
      <c r="H16372" s="7">
        <v>2539</v>
      </c>
      <c r="I16372" s="7">
        <v>33</v>
      </c>
      <c r="J16372" s="7">
        <v>0</v>
      </c>
      <c r="K16372" s="7" t="s">
        <v>18</v>
      </c>
      <c r="L16372" s="8">
        <v>39987.315405092595</v>
      </c>
      <c r="M16372" s="9" t="s">
        <v>19</v>
      </c>
      <c r="N16372" s="9" t="s">
        <v>20</v>
      </c>
      <c r="O16372" s="6" t="str">
        <f>HYPERLINK("https://pbs.twimg.com/profile_images/962471262747529216/Uo8lOkRJ_normal.jpg","View")</f>
        <v>View</v>
      </c>
      <c r="P16372" s="7"/>
    </row>
    <row r="16373" spans="1:16">
      <c r="A16373" s="3">
        <v>44469.867905092593</v>
      </c>
      <c r="B16373" s="4" t="str">
        <f>HYPERLINK("https://twitter.com/petrogustavo","@petrogustavo")</f>
        <v>@petrogustavo</v>
      </c>
      <c r="C16373" s="5" t="s">
        <v>16</v>
      </c>
      <c r="D16373" s="5" t="s">
        <v>15760</v>
      </c>
      <c r="E16373" s="6" t="str">
        <f>HYPERLINK("https://twitter.com/petrogustavo/status/1443596443235803143","1443596443235803143")</f>
        <v>1443596443235803143</v>
      </c>
      <c r="F16373" s="7" t="s">
        <v>17</v>
      </c>
      <c r="G16373" s="7">
        <v>4367155</v>
      </c>
      <c r="H16373" s="7">
        <v>2539</v>
      </c>
      <c r="I16373" s="7">
        <v>101</v>
      </c>
      <c r="J16373" s="7">
        <v>399</v>
      </c>
      <c r="K16373" s="7" t="s">
        <v>18</v>
      </c>
      <c r="L16373" s="8">
        <v>39987.315405092595</v>
      </c>
      <c r="M16373" s="9" t="s">
        <v>19</v>
      </c>
      <c r="N16373" s="9" t="s">
        <v>20</v>
      </c>
      <c r="O16373" s="6" t="str">
        <f>HYPERLINK("https://pbs.twimg.com/profile_images/962471262747529216/Uo8lOkRJ_normal.jpg","View")</f>
        <v>View</v>
      </c>
      <c r="P16373" s="7"/>
    </row>
    <row r="16374" spans="1:16">
      <c r="A16374" s="3">
        <v>44470.044247685189</v>
      </c>
      <c r="B16374" s="4" t="str">
        <f>HYPERLINK("https://twitter.com/petrogustavo","@petrogustavo")</f>
        <v>@petrogustavo</v>
      </c>
      <c r="C16374" s="5" t="s">
        <v>16</v>
      </c>
      <c r="D16374" s="5" t="s">
        <v>15755</v>
      </c>
      <c r="E16374" s="6" t="str">
        <f>HYPERLINK("https://twitter.com/petrogustavo/status/1443660347693535238","1443660347693535238")</f>
        <v>1443660347693535238</v>
      </c>
      <c r="F16374" s="7" t="s">
        <v>32</v>
      </c>
      <c r="G16374" s="7">
        <v>4367336</v>
      </c>
      <c r="H16374" s="7">
        <v>2539</v>
      </c>
      <c r="I16374" s="7">
        <v>2153</v>
      </c>
      <c r="J16374" s="7">
        <v>0</v>
      </c>
      <c r="K16374" s="7" t="s">
        <v>18</v>
      </c>
      <c r="L16374" s="8">
        <v>39987.315405092595</v>
      </c>
      <c r="M16374" s="9" t="s">
        <v>19</v>
      </c>
      <c r="N16374" s="9" t="s">
        <v>20</v>
      </c>
      <c r="O16374" s="6" t="str">
        <f>HYPERLINK("https://pbs.twimg.com/profile_images/962471262747529216/Uo8lOkRJ_normal.jpg","View")</f>
        <v>View</v>
      </c>
      <c r="P16374" s="7"/>
    </row>
    <row r="16375" spans="1:16">
      <c r="A16375" s="3">
        <v>44470.745601851857</v>
      </c>
      <c r="B16375" s="4" t="str">
        <f>HYPERLINK("https://twitter.com/petrogustavo","@petrogustavo")</f>
        <v>@petrogustavo</v>
      </c>
      <c r="C16375" s="5" t="s">
        <v>16</v>
      </c>
      <c r="D16375" s="5" t="s">
        <v>15761</v>
      </c>
      <c r="E16375" s="6" t="str">
        <f>HYPERLINK("https://twitter.com/petrogustavo/status/1443914511308689408","1443914511308689408")</f>
        <v>1443914511308689408</v>
      </c>
      <c r="F16375" s="7" t="s">
        <v>17</v>
      </c>
      <c r="G16375" s="7">
        <v>4367633</v>
      </c>
      <c r="H16375" s="7">
        <v>2539</v>
      </c>
      <c r="I16375" s="7">
        <v>34</v>
      </c>
      <c r="J16375" s="7">
        <v>131</v>
      </c>
      <c r="K16375" s="7" t="s">
        <v>18</v>
      </c>
      <c r="L16375" s="8">
        <v>39987.315405092595</v>
      </c>
      <c r="M16375" s="9" t="s">
        <v>19</v>
      </c>
      <c r="N16375" s="9" t="s">
        <v>20</v>
      </c>
      <c r="O16375" s="6" t="str">
        <f>HYPERLINK("https://pbs.twimg.com/profile_images/962471262747529216/Uo8lOkRJ_normal.jpg","View")</f>
        <v>View</v>
      </c>
      <c r="P16375" s="7"/>
    </row>
    <row r="16376" spans="1:16">
      <c r="A16376" s="3">
        <v>44470.752569444448</v>
      </c>
      <c r="B16376" s="4" t="str">
        <f>HYPERLINK("https://twitter.com/petrogustavo","@petrogustavo")</f>
        <v>@petrogustavo</v>
      </c>
      <c r="C16376" s="5" t="s">
        <v>16</v>
      </c>
      <c r="D16376" s="5" t="s">
        <v>15762</v>
      </c>
      <c r="E16376" s="6" t="str">
        <f>HYPERLINK("https://twitter.com/petrogustavo/status/1443917036732628993","1443917036732628993")</f>
        <v>1443917036732628993</v>
      </c>
      <c r="F16376" s="7" t="s">
        <v>17</v>
      </c>
      <c r="G16376" s="7">
        <v>4367641</v>
      </c>
      <c r="H16376" s="7">
        <v>2539</v>
      </c>
      <c r="I16376" s="7">
        <v>69</v>
      </c>
      <c r="J16376" s="7">
        <v>336</v>
      </c>
      <c r="K16376" s="7" t="s">
        <v>18</v>
      </c>
      <c r="L16376" s="8">
        <v>39987.315405092595</v>
      </c>
      <c r="M16376" s="9" t="s">
        <v>19</v>
      </c>
      <c r="N16376" s="9" t="s">
        <v>20</v>
      </c>
      <c r="O16376" s="6" t="str">
        <f>HYPERLINK("https://pbs.twimg.com/profile_images/962471262747529216/Uo8lOkRJ_normal.jpg","View")</f>
        <v>View</v>
      </c>
      <c r="P16376" s="7"/>
    </row>
    <row r="16377" spans="1:16">
      <c r="A16377" s="3">
        <v>44470.779942129629</v>
      </c>
      <c r="B16377" s="4" t="str">
        <f>HYPERLINK("https://twitter.com/petrogustavo","@petrogustavo")</f>
        <v>@petrogustavo</v>
      </c>
      <c r="C16377" s="5" t="s">
        <v>16</v>
      </c>
      <c r="D16377" s="5" t="s">
        <v>15763</v>
      </c>
      <c r="E16377" s="6" t="str">
        <f>HYPERLINK("https://twitter.com/petrogustavo/status/1443926952637833227","1443926952637833227")</f>
        <v>1443926952637833227</v>
      </c>
      <c r="F16377" s="7" t="s">
        <v>17</v>
      </c>
      <c r="G16377" s="7">
        <v>4367664</v>
      </c>
      <c r="H16377" s="7">
        <v>2539</v>
      </c>
      <c r="I16377" s="7">
        <v>668</v>
      </c>
      <c r="J16377" s="7">
        <v>0</v>
      </c>
      <c r="K16377" s="7" t="s">
        <v>18</v>
      </c>
      <c r="L16377" s="8">
        <v>39987.315405092595</v>
      </c>
      <c r="M16377" s="9" t="s">
        <v>19</v>
      </c>
      <c r="N16377" s="9" t="s">
        <v>20</v>
      </c>
      <c r="O16377" s="6" t="str">
        <f>HYPERLINK("https://pbs.twimg.com/profile_images/962471262747529216/Uo8lOkRJ_normal.jpg","View")</f>
        <v>View</v>
      </c>
      <c r="P16377" s="7"/>
    </row>
    <row r="16378" spans="1:16">
      <c r="A16378" s="3">
        <v>44470.783263888894</v>
      </c>
      <c r="B16378" s="4" t="str">
        <f>HYPERLINK("https://twitter.com/petrogustavo","@petrogustavo")</f>
        <v>@petrogustavo</v>
      </c>
      <c r="C16378" s="5" t="s">
        <v>16</v>
      </c>
      <c r="D16378" s="5" t="s">
        <v>15764</v>
      </c>
      <c r="E16378" s="6" t="str">
        <f>HYPERLINK("https://twitter.com/petrogustavo/status/1443928159032905732","1443928159032905732")</f>
        <v>1443928159032905732</v>
      </c>
      <c r="F16378" s="7" t="s">
        <v>17</v>
      </c>
      <c r="G16378" s="7">
        <v>4367664</v>
      </c>
      <c r="H16378" s="7">
        <v>2539</v>
      </c>
      <c r="I16378" s="7">
        <v>104</v>
      </c>
      <c r="J16378" s="7">
        <v>238</v>
      </c>
      <c r="K16378" s="7" t="s">
        <v>18</v>
      </c>
      <c r="L16378" s="8">
        <v>39987.315405092595</v>
      </c>
      <c r="M16378" s="9" t="s">
        <v>19</v>
      </c>
      <c r="N16378" s="9" t="s">
        <v>20</v>
      </c>
      <c r="O16378" s="6" t="str">
        <f>HYPERLINK("https://pbs.twimg.com/profile_images/962471262747529216/Uo8lOkRJ_normal.jpg","View")</f>
        <v>View</v>
      </c>
      <c r="P16378" s="7"/>
    </row>
    <row r="16379" spans="1:16">
      <c r="A16379" s="3">
        <v>44471.18686342593</v>
      </c>
      <c r="B16379" s="4" t="str">
        <f>HYPERLINK("https://twitter.com/petrogustavo","@petrogustavo")</f>
        <v>@petrogustavo</v>
      </c>
      <c r="C16379" s="5" t="s">
        <v>16</v>
      </c>
      <c r="D16379" s="5" t="s">
        <v>15765</v>
      </c>
      <c r="E16379" s="6" t="str">
        <f>HYPERLINK("https://twitter.com/petrogustavo/status/1444074416678313984","1444074416678313984")</f>
        <v>1444074416678313984</v>
      </c>
      <c r="F16379" s="7" t="s">
        <v>17</v>
      </c>
      <c r="G16379" s="7">
        <v>4367967</v>
      </c>
      <c r="H16379" s="7">
        <v>2539</v>
      </c>
      <c r="I16379" s="7">
        <v>2500</v>
      </c>
      <c r="J16379" s="7">
        <v>0</v>
      </c>
      <c r="K16379" s="7" t="s">
        <v>18</v>
      </c>
      <c r="L16379" s="8">
        <v>39987.315405092595</v>
      </c>
      <c r="M16379" s="9" t="s">
        <v>19</v>
      </c>
      <c r="N16379" s="9" t="s">
        <v>20</v>
      </c>
      <c r="O16379" s="6" t="str">
        <f>HYPERLINK("https://pbs.twimg.com/profile_images/962471262747529216/Uo8lOkRJ_normal.jpg","View")</f>
        <v>View</v>
      </c>
      <c r="P16379" s="7"/>
    </row>
    <row r="16380" spans="1:16">
      <c r="A16380" s="3">
        <v>44471.191354166665</v>
      </c>
      <c r="B16380" s="4" t="str">
        <f>HYPERLINK("https://twitter.com/petrogustavo","@petrogustavo")</f>
        <v>@petrogustavo</v>
      </c>
      <c r="C16380" s="5" t="s">
        <v>16</v>
      </c>
      <c r="D16380" s="5" t="s">
        <v>15766</v>
      </c>
      <c r="E16380" s="6" t="str">
        <f>HYPERLINK("https://twitter.com/petrogustavo/status/1444076044949020678","1444076044949020678")</f>
        <v>1444076044949020678</v>
      </c>
      <c r="F16380" s="7" t="s">
        <v>17</v>
      </c>
      <c r="G16380" s="7">
        <v>4367977</v>
      </c>
      <c r="H16380" s="7">
        <v>2539</v>
      </c>
      <c r="I16380" s="7">
        <v>761</v>
      </c>
      <c r="J16380" s="7">
        <v>0</v>
      </c>
      <c r="K16380" s="7" t="s">
        <v>18</v>
      </c>
      <c r="L16380" s="8">
        <v>39987.315405092595</v>
      </c>
      <c r="M16380" s="9" t="s">
        <v>19</v>
      </c>
      <c r="N16380" s="9" t="s">
        <v>20</v>
      </c>
      <c r="O16380" s="6" t="str">
        <f>HYPERLINK("https://pbs.twimg.com/profile_images/962471262747529216/Uo8lOkRJ_normal.jpg","View")</f>
        <v>View</v>
      </c>
      <c r="P16380" s="7"/>
    </row>
    <row r="16381" spans="1:16">
      <c r="A16381" s="3">
        <v>44471.20107638889</v>
      </c>
      <c r="B16381" s="4" t="str">
        <f>HYPERLINK("https://twitter.com/petrogustavo","@petrogustavo")</f>
        <v>@petrogustavo</v>
      </c>
      <c r="C16381" s="5" t="s">
        <v>16</v>
      </c>
      <c r="D16381" s="5" t="s">
        <v>15767</v>
      </c>
      <c r="E16381" s="6" t="str">
        <f>HYPERLINK("https://twitter.com/petrogustavo/status/1444079569322102791","1444079569322102791")</f>
        <v>1444079569322102791</v>
      </c>
      <c r="F16381" s="7" t="s">
        <v>17</v>
      </c>
      <c r="G16381" s="7">
        <v>4367977</v>
      </c>
      <c r="H16381" s="7">
        <v>2539</v>
      </c>
      <c r="I16381" s="7">
        <v>100</v>
      </c>
      <c r="J16381" s="7">
        <v>247</v>
      </c>
      <c r="K16381" s="7" t="s">
        <v>18</v>
      </c>
      <c r="L16381" s="8">
        <v>39987.315405092595</v>
      </c>
      <c r="M16381" s="9" t="s">
        <v>19</v>
      </c>
      <c r="N16381" s="9" t="s">
        <v>20</v>
      </c>
      <c r="O16381" s="6" t="str">
        <f>HYPERLINK("https://pbs.twimg.com/profile_images/962471262747529216/Uo8lOkRJ_normal.jpg","View")</f>
        <v>View</v>
      </c>
      <c r="P16381" s="7"/>
    </row>
    <row r="16382" spans="1:16">
      <c r="A16382" s="3">
        <v>44471.241863425923</v>
      </c>
      <c r="B16382" s="4" t="str">
        <f>HYPERLINK("https://twitter.com/petrogustavo","@petrogustavo")</f>
        <v>@petrogustavo</v>
      </c>
      <c r="C16382" s="5" t="s">
        <v>16</v>
      </c>
      <c r="D16382" s="5" t="s">
        <v>15768</v>
      </c>
      <c r="E16382" s="6" t="str">
        <f>HYPERLINK("https://twitter.com/petrogustavo/status/1444094350938542082","1444094350938542082")</f>
        <v>1444094350938542082</v>
      </c>
      <c r="F16382" s="7" t="s">
        <v>17</v>
      </c>
      <c r="G16382" s="7">
        <v>4367999</v>
      </c>
      <c r="H16382" s="7">
        <v>2539</v>
      </c>
      <c r="I16382" s="7">
        <v>141</v>
      </c>
      <c r="J16382" s="7">
        <v>0</v>
      </c>
      <c r="K16382" s="7" t="s">
        <v>18</v>
      </c>
      <c r="L16382" s="8">
        <v>39987.315405092595</v>
      </c>
      <c r="M16382" s="9" t="s">
        <v>19</v>
      </c>
      <c r="N16382" s="9" t="s">
        <v>20</v>
      </c>
      <c r="O16382" s="6" t="str">
        <f>HYPERLINK("https://pbs.twimg.com/profile_images/962471262747529216/Uo8lOkRJ_normal.jpg","View")</f>
        <v>View</v>
      </c>
      <c r="P16382" s="7"/>
    </row>
    <row r="16383" spans="1:16">
      <c r="A16383" s="3">
        <v>44471.251875000002</v>
      </c>
      <c r="B16383" s="4" t="str">
        <f>HYPERLINK("https://twitter.com/petrogustavo","@petrogustavo")</f>
        <v>@petrogustavo</v>
      </c>
      <c r="C16383" s="5" t="s">
        <v>16</v>
      </c>
      <c r="D16383" s="5" t="s">
        <v>15769</v>
      </c>
      <c r="E16383" s="6" t="str">
        <f>HYPERLINK("https://twitter.com/petrogustavo/status/1444097977975558144","1444097977975558144")</f>
        <v>1444097977975558144</v>
      </c>
      <c r="F16383" s="7" t="s">
        <v>17</v>
      </c>
      <c r="G16383" s="7">
        <v>4367999</v>
      </c>
      <c r="H16383" s="7">
        <v>2539</v>
      </c>
      <c r="I16383" s="7">
        <v>2</v>
      </c>
      <c r="J16383" s="7">
        <v>6</v>
      </c>
      <c r="K16383" s="7" t="s">
        <v>18</v>
      </c>
      <c r="L16383" s="8">
        <v>39987.315405092595</v>
      </c>
      <c r="M16383" s="9" t="s">
        <v>19</v>
      </c>
      <c r="N16383" s="9" t="s">
        <v>20</v>
      </c>
      <c r="O16383" s="6" t="str">
        <f>HYPERLINK("https://pbs.twimg.com/profile_images/962471262747529216/Uo8lOkRJ_normal.jpg","View")</f>
        <v>View</v>
      </c>
      <c r="P16383" s="7"/>
    </row>
    <row r="16384" spans="1:16">
      <c r="A16384" s="3">
        <v>44471.282812500001</v>
      </c>
      <c r="B16384" s="4" t="str">
        <f>HYPERLINK("https://twitter.com/petrogustavo","@petrogustavo")</f>
        <v>@petrogustavo</v>
      </c>
      <c r="C16384" s="5" t="s">
        <v>16</v>
      </c>
      <c r="D16384" s="5" t="s">
        <v>15770</v>
      </c>
      <c r="E16384" s="6" t="str">
        <f>HYPERLINK("https://twitter.com/petrogustavo/status/1444109188389539840","1444109188389539840")</f>
        <v>1444109188389539840</v>
      </c>
      <c r="F16384" s="7" t="s">
        <v>17</v>
      </c>
      <c r="G16384" s="7">
        <v>4368005</v>
      </c>
      <c r="H16384" s="7">
        <v>2539</v>
      </c>
      <c r="I16384" s="7">
        <v>68</v>
      </c>
      <c r="J16384" s="7">
        <v>155</v>
      </c>
      <c r="K16384" s="7" t="s">
        <v>18</v>
      </c>
      <c r="L16384" s="8">
        <v>39987.315405092595</v>
      </c>
      <c r="M16384" s="9" t="s">
        <v>19</v>
      </c>
      <c r="N16384" s="9" t="s">
        <v>20</v>
      </c>
      <c r="O16384" s="6" t="str">
        <f>HYPERLINK("https://pbs.twimg.com/profile_images/962471262747529216/Uo8lOkRJ_normal.jpg","View")</f>
        <v>View</v>
      </c>
      <c r="P16384" s="7"/>
    </row>
    <row r="16385" spans="1:16">
      <c r="A16385" s="3">
        <v>44471.285381944443</v>
      </c>
      <c r="B16385" s="4" t="str">
        <f>HYPERLINK("https://twitter.com/petrogustavo","@petrogustavo")</f>
        <v>@petrogustavo</v>
      </c>
      <c r="C16385" s="5" t="s">
        <v>16</v>
      </c>
      <c r="D16385" s="5" t="s">
        <v>15771</v>
      </c>
      <c r="E16385" s="6" t="str">
        <f>HYPERLINK("https://twitter.com/petrogustavo/status/1444110120334630921","1444110120334630921")</f>
        <v>1444110120334630921</v>
      </c>
      <c r="F16385" s="7" t="s">
        <v>17</v>
      </c>
      <c r="G16385" s="7">
        <v>4368005</v>
      </c>
      <c r="H16385" s="7">
        <v>2539</v>
      </c>
      <c r="I16385" s="7">
        <v>42</v>
      </c>
      <c r="J16385" s="7">
        <v>0</v>
      </c>
      <c r="K16385" s="7" t="s">
        <v>18</v>
      </c>
      <c r="L16385" s="8">
        <v>39987.315405092595</v>
      </c>
      <c r="M16385" s="9" t="s">
        <v>19</v>
      </c>
      <c r="N16385" s="9" t="s">
        <v>20</v>
      </c>
      <c r="O16385" s="6" t="str">
        <f>HYPERLINK("https://pbs.twimg.com/profile_images/962471262747529216/Uo8lOkRJ_normal.jpg","View")</f>
        <v>View</v>
      </c>
      <c r="P16385" s="7"/>
    </row>
    <row r="16386" spans="1:16">
      <c r="A16386" s="3">
        <v>44471.304027777776</v>
      </c>
      <c r="B16386" s="4" t="str">
        <f>HYPERLINK("https://twitter.com/petrogustavo","@petrogustavo")</f>
        <v>@petrogustavo</v>
      </c>
      <c r="C16386" s="5" t="s">
        <v>16</v>
      </c>
      <c r="D16386" s="5" t="s">
        <v>15772</v>
      </c>
      <c r="E16386" s="6" t="str">
        <f>HYPERLINK("https://twitter.com/petrogustavo/status/1444116875663794181","1444116875663794181")</f>
        <v>1444116875663794181</v>
      </c>
      <c r="F16386" s="7" t="s">
        <v>17</v>
      </c>
      <c r="G16386" s="7">
        <v>4368015</v>
      </c>
      <c r="H16386" s="7">
        <v>2540</v>
      </c>
      <c r="I16386" s="7">
        <v>105</v>
      </c>
      <c r="J16386" s="7">
        <v>458</v>
      </c>
      <c r="K16386" s="7" t="s">
        <v>18</v>
      </c>
      <c r="L16386" s="8">
        <v>39987.315405092595</v>
      </c>
      <c r="M16386" s="9" t="s">
        <v>19</v>
      </c>
      <c r="N16386" s="9" t="s">
        <v>20</v>
      </c>
      <c r="O16386" s="6" t="str">
        <f>HYPERLINK("https://pbs.twimg.com/profile_images/962471262747529216/Uo8lOkRJ_normal.jpg","View")</f>
        <v>View</v>
      </c>
      <c r="P16386" s="7"/>
    </row>
    <row r="16387" spans="1:16">
      <c r="A16387" s="3">
        <v>44471.304988425924</v>
      </c>
      <c r="B16387" s="4" t="str">
        <f>HYPERLINK("https://twitter.com/petrogustavo","@petrogustavo")</f>
        <v>@petrogustavo</v>
      </c>
      <c r="C16387" s="5" t="s">
        <v>16</v>
      </c>
      <c r="D16387" s="5" t="s">
        <v>15773</v>
      </c>
      <c r="E16387" s="6" t="str">
        <f>HYPERLINK("https://twitter.com/petrogustavo/status/1444117226991271938","1444117226991271938")</f>
        <v>1444117226991271938</v>
      </c>
      <c r="F16387" s="7" t="s">
        <v>17</v>
      </c>
      <c r="G16387" s="7">
        <v>4368015</v>
      </c>
      <c r="H16387" s="7">
        <v>2540</v>
      </c>
      <c r="I16387" s="7">
        <v>96</v>
      </c>
      <c r="J16387" s="7">
        <v>286</v>
      </c>
      <c r="K16387" s="7" t="s">
        <v>18</v>
      </c>
      <c r="L16387" s="8">
        <v>39987.315405092595</v>
      </c>
      <c r="M16387" s="9" t="s">
        <v>19</v>
      </c>
      <c r="N16387" s="9" t="s">
        <v>20</v>
      </c>
      <c r="O16387" s="6" t="str">
        <f>HYPERLINK("https://pbs.twimg.com/profile_images/962471262747529216/Uo8lOkRJ_normal.jpg","View")</f>
        <v>View</v>
      </c>
      <c r="P16387" s="7"/>
    </row>
    <row r="16388" spans="1:16">
      <c r="A16388" s="3">
        <v>44471.810706018514</v>
      </c>
      <c r="B16388" s="4" t="str">
        <f>HYPERLINK("https://twitter.com/petrogustavo","@petrogustavo")</f>
        <v>@petrogustavo</v>
      </c>
      <c r="C16388" s="5" t="s">
        <v>16</v>
      </c>
      <c r="D16388" s="5" t="s">
        <v>15774</v>
      </c>
      <c r="E16388" s="6" t="str">
        <f>HYPERLINK("https://twitter.com/petrogustavo/status/1444300490880258051","1444300490880258051")</f>
        <v>1444300490880258051</v>
      </c>
      <c r="F16388" s="7" t="s">
        <v>17</v>
      </c>
      <c r="G16388" s="7">
        <v>4368187</v>
      </c>
      <c r="H16388" s="7">
        <v>2540</v>
      </c>
      <c r="I16388" s="7">
        <v>26</v>
      </c>
      <c r="J16388" s="7">
        <v>0</v>
      </c>
      <c r="K16388" s="7" t="s">
        <v>18</v>
      </c>
      <c r="L16388" s="8">
        <v>39987.315405092595</v>
      </c>
      <c r="M16388" s="9" t="s">
        <v>19</v>
      </c>
      <c r="N16388" s="9" t="s">
        <v>20</v>
      </c>
      <c r="O16388" s="6" t="str">
        <f>HYPERLINK("https://pbs.twimg.com/profile_images/962471262747529216/Uo8lOkRJ_normal.jpg","View")</f>
        <v>View</v>
      </c>
      <c r="P16388" s="7"/>
    </row>
    <row r="16389" spans="1:16">
      <c r="A16389" s="3">
        <v>44471.828611111108</v>
      </c>
      <c r="B16389" s="4" t="str">
        <f>HYPERLINK("https://twitter.com/petrogustavo","@petrogustavo")</f>
        <v>@petrogustavo</v>
      </c>
      <c r="C16389" s="5" t="s">
        <v>16</v>
      </c>
      <c r="D16389" s="5" t="s">
        <v>15775</v>
      </c>
      <c r="E16389" s="6" t="str">
        <f>HYPERLINK("https://twitter.com/petrogustavo/status/1444306980663873543","1444306980663873543")</f>
        <v>1444306980663873543</v>
      </c>
      <c r="F16389" s="7" t="s">
        <v>17</v>
      </c>
      <c r="G16389" s="7">
        <v>4368192</v>
      </c>
      <c r="H16389" s="7">
        <v>2540</v>
      </c>
      <c r="I16389" s="7">
        <v>114</v>
      </c>
      <c r="J16389" s="7">
        <v>0</v>
      </c>
      <c r="K16389" s="7" t="s">
        <v>18</v>
      </c>
      <c r="L16389" s="8">
        <v>39987.315405092595</v>
      </c>
      <c r="M16389" s="9" t="s">
        <v>19</v>
      </c>
      <c r="N16389" s="9" t="s">
        <v>20</v>
      </c>
      <c r="O16389" s="6" t="str">
        <f>HYPERLINK("https://pbs.twimg.com/profile_images/962471262747529216/Uo8lOkRJ_normal.jpg","View")</f>
        <v>View</v>
      </c>
      <c r="P16389" s="7"/>
    </row>
    <row r="16390" spans="1:16">
      <c r="A16390" s="3">
        <v>44471.835324074069</v>
      </c>
      <c r="B16390" s="4" t="str">
        <f>HYPERLINK("https://twitter.com/petrogustavo","@petrogustavo")</f>
        <v>@petrogustavo</v>
      </c>
      <c r="C16390" s="5" t="s">
        <v>16</v>
      </c>
      <c r="D16390" s="5" t="s">
        <v>15776</v>
      </c>
      <c r="E16390" s="6" t="str">
        <f>HYPERLINK("https://twitter.com/petrogustavo/status/1444309411858636802","1444309411858636802")</f>
        <v>1444309411858636802</v>
      </c>
      <c r="F16390" s="7" t="s">
        <v>17</v>
      </c>
      <c r="G16390" s="7">
        <v>4368192</v>
      </c>
      <c r="H16390" s="7">
        <v>2540</v>
      </c>
      <c r="I16390" s="7">
        <v>831</v>
      </c>
      <c r="J16390" s="7">
        <v>0</v>
      </c>
      <c r="K16390" s="7" t="s">
        <v>18</v>
      </c>
      <c r="L16390" s="8">
        <v>39987.315405092595</v>
      </c>
      <c r="M16390" s="9" t="s">
        <v>19</v>
      </c>
      <c r="N16390" s="9" t="s">
        <v>20</v>
      </c>
      <c r="O16390" s="6" t="str">
        <f>HYPERLINK("https://pbs.twimg.com/profile_images/962471262747529216/Uo8lOkRJ_normal.jpg","View")</f>
        <v>View</v>
      </c>
      <c r="P16390" s="7"/>
    </row>
    <row r="16391" spans="1:16">
      <c r="A16391" s="3">
        <v>44471.855324074073</v>
      </c>
      <c r="B16391" s="4" t="str">
        <f>HYPERLINK("https://twitter.com/petrogustavo","@petrogustavo")</f>
        <v>@petrogustavo</v>
      </c>
      <c r="C16391" s="5" t="s">
        <v>16</v>
      </c>
      <c r="D16391" s="5" t="s">
        <v>15777</v>
      </c>
      <c r="E16391" s="6" t="str">
        <f>HYPERLINK("https://twitter.com/petrogustavo/status/1444316658265374724","1444316658265374724")</f>
        <v>1444316658265374724</v>
      </c>
      <c r="F16391" s="7" t="s">
        <v>32</v>
      </c>
      <c r="G16391" s="7">
        <v>4368213</v>
      </c>
      <c r="H16391" s="7">
        <v>2540</v>
      </c>
      <c r="I16391" s="7">
        <v>16</v>
      </c>
      <c r="J16391" s="7">
        <v>0</v>
      </c>
      <c r="K16391" s="7" t="s">
        <v>18</v>
      </c>
      <c r="L16391" s="8">
        <v>39987.315405092595</v>
      </c>
      <c r="M16391" s="9" t="s">
        <v>19</v>
      </c>
      <c r="N16391" s="9" t="s">
        <v>20</v>
      </c>
      <c r="O16391" s="6" t="str">
        <f>HYPERLINK("https://pbs.twimg.com/profile_images/962471262747529216/Uo8lOkRJ_normal.jpg","View")</f>
        <v>View</v>
      </c>
      <c r="P16391" s="7"/>
    </row>
    <row r="16392" spans="1:16">
      <c r="A16392" s="3">
        <v>44471.860983796301</v>
      </c>
      <c r="B16392" s="4" t="str">
        <f>HYPERLINK("https://twitter.com/petrogustavo","@petrogustavo")</f>
        <v>@petrogustavo</v>
      </c>
      <c r="C16392" s="5" t="s">
        <v>16</v>
      </c>
      <c r="D16392" s="5" t="s">
        <v>15776</v>
      </c>
      <c r="E16392" s="6" t="str">
        <f>HYPERLINK("https://twitter.com/petrogustavo/status/1444318709418500100","1444318709418500100")</f>
        <v>1444318709418500100</v>
      </c>
      <c r="F16392" s="7" t="s">
        <v>17</v>
      </c>
      <c r="G16392" s="7">
        <v>4368225</v>
      </c>
      <c r="H16392" s="7">
        <v>2540</v>
      </c>
      <c r="I16392" s="7">
        <v>920</v>
      </c>
      <c r="J16392" s="7">
        <v>0</v>
      </c>
      <c r="K16392" s="7" t="s">
        <v>18</v>
      </c>
      <c r="L16392" s="8">
        <v>39987.315405092595</v>
      </c>
      <c r="M16392" s="9" t="s">
        <v>19</v>
      </c>
      <c r="N16392" s="9" t="s">
        <v>20</v>
      </c>
      <c r="O16392" s="6" t="str">
        <f>HYPERLINK("https://pbs.twimg.com/profile_images/962471262747529216/Uo8lOkRJ_normal.jpg","View")</f>
        <v>View</v>
      </c>
      <c r="P16392" s="7"/>
    </row>
    <row r="16393" spans="1:16">
      <c r="A16393" s="3">
        <v>44471.997615740736</v>
      </c>
      <c r="B16393" s="4" t="str">
        <f>HYPERLINK("https://twitter.com/petrogustavo","@petrogustavo")</f>
        <v>@petrogustavo</v>
      </c>
      <c r="C16393" s="5" t="s">
        <v>16</v>
      </c>
      <c r="D16393" s="5" t="s">
        <v>15778</v>
      </c>
      <c r="E16393" s="6" t="str">
        <f>HYPERLINK("https://twitter.com/petrogustavo/status/1444368225769250816","1444368225769250816")</f>
        <v>1444368225769250816</v>
      </c>
      <c r="F16393" s="7" t="s">
        <v>17</v>
      </c>
      <c r="G16393" s="7">
        <v>4368284</v>
      </c>
      <c r="H16393" s="7">
        <v>2540</v>
      </c>
      <c r="I16393" s="7">
        <v>33</v>
      </c>
      <c r="J16393" s="7">
        <v>0</v>
      </c>
      <c r="K16393" s="7" t="s">
        <v>18</v>
      </c>
      <c r="L16393" s="8">
        <v>39987.315405092595</v>
      </c>
      <c r="M16393" s="9" t="s">
        <v>19</v>
      </c>
      <c r="N16393" s="9" t="s">
        <v>20</v>
      </c>
      <c r="O16393" s="6" t="str">
        <f>HYPERLINK("https://pbs.twimg.com/profile_images/962471262747529216/Uo8lOkRJ_normal.jpg","View")</f>
        <v>View</v>
      </c>
      <c r="P16393" s="7"/>
    </row>
    <row r="16394" spans="1:16">
      <c r="A16394" s="3">
        <v>44472.0159837963</v>
      </c>
      <c r="B16394" s="4" t="str">
        <f>HYPERLINK("https://twitter.com/petrogustavo","@petrogustavo")</f>
        <v>@petrogustavo</v>
      </c>
      <c r="C16394" s="5" t="s">
        <v>16</v>
      </c>
      <c r="D16394" s="5" t="s">
        <v>15779</v>
      </c>
      <c r="E16394" s="6" t="str">
        <f>HYPERLINK("https://twitter.com/petrogustavo/status/1444374880166744064","1444374880166744064")</f>
        <v>1444374880166744064</v>
      </c>
      <c r="F16394" s="7" t="s">
        <v>17</v>
      </c>
      <c r="G16394" s="7">
        <v>4368298</v>
      </c>
      <c r="H16394" s="7">
        <v>2540</v>
      </c>
      <c r="I16394" s="7">
        <v>121</v>
      </c>
      <c r="J16394" s="7">
        <v>396</v>
      </c>
      <c r="K16394" s="7" t="s">
        <v>18</v>
      </c>
      <c r="L16394" s="8">
        <v>39987.315405092595</v>
      </c>
      <c r="M16394" s="9" t="s">
        <v>19</v>
      </c>
      <c r="N16394" s="9" t="s">
        <v>20</v>
      </c>
      <c r="O16394" s="6" t="str">
        <f>HYPERLINK("https://pbs.twimg.com/profile_images/962471262747529216/Uo8lOkRJ_normal.jpg","View")</f>
        <v>View</v>
      </c>
      <c r="P16394" s="7"/>
    </row>
    <row r="16395" spans="1:16">
      <c r="A16395" s="3">
        <v>44472.022465277776</v>
      </c>
      <c r="B16395" s="4" t="str">
        <f>HYPERLINK("https://twitter.com/petrogustavo","@petrogustavo")</f>
        <v>@petrogustavo</v>
      </c>
      <c r="C16395" s="5" t="s">
        <v>16</v>
      </c>
      <c r="D16395" s="5" t="s">
        <v>15780</v>
      </c>
      <c r="E16395" s="6" t="str">
        <f>HYPERLINK("https://twitter.com/petrogustavo/status/1444377230784741377","1444377230784741377")</f>
        <v>1444377230784741377</v>
      </c>
      <c r="F16395" s="7" t="s">
        <v>17</v>
      </c>
      <c r="G16395" s="7">
        <v>4368298</v>
      </c>
      <c r="H16395" s="7">
        <v>2540</v>
      </c>
      <c r="I16395" s="7">
        <v>5</v>
      </c>
      <c r="J16395" s="7">
        <v>12</v>
      </c>
      <c r="K16395" s="7" t="s">
        <v>18</v>
      </c>
      <c r="L16395" s="8">
        <v>39987.315405092595</v>
      </c>
      <c r="M16395" s="9" t="s">
        <v>19</v>
      </c>
      <c r="N16395" s="9" t="s">
        <v>20</v>
      </c>
      <c r="O16395" s="6" t="str">
        <f>HYPERLINK("https://pbs.twimg.com/profile_images/962471262747529216/Uo8lOkRJ_normal.jpg","View")</f>
        <v>View</v>
      </c>
      <c r="P16395" s="7"/>
    </row>
    <row r="16396" spans="1:16">
      <c r="A16396" s="3">
        <v>44472.05469907407</v>
      </c>
      <c r="B16396" s="4" t="str">
        <f>HYPERLINK("https://twitter.com/petrogustavo","@petrogustavo")</f>
        <v>@petrogustavo</v>
      </c>
      <c r="C16396" s="5" t="s">
        <v>16</v>
      </c>
      <c r="D16396" s="5" t="s">
        <v>15781</v>
      </c>
      <c r="E16396" s="6" t="str">
        <f>HYPERLINK("https://twitter.com/petrogustavo/status/1444388912084946948","1444388912084946948")</f>
        <v>1444388912084946948</v>
      </c>
      <c r="F16396" s="7" t="s">
        <v>17</v>
      </c>
      <c r="G16396" s="7">
        <v>4368307</v>
      </c>
      <c r="H16396" s="7">
        <v>2540</v>
      </c>
      <c r="I16396" s="7">
        <v>143</v>
      </c>
      <c r="J16396" s="7">
        <v>237</v>
      </c>
      <c r="K16396" s="7" t="s">
        <v>18</v>
      </c>
      <c r="L16396" s="8">
        <v>39987.315405092595</v>
      </c>
      <c r="M16396" s="9" t="s">
        <v>19</v>
      </c>
      <c r="N16396" s="9" t="s">
        <v>20</v>
      </c>
      <c r="O16396" s="6" t="str">
        <f>HYPERLINK("https://pbs.twimg.com/profile_images/962471262747529216/Uo8lOkRJ_normal.jpg","View")</f>
        <v>View</v>
      </c>
      <c r="P16396" s="7"/>
    </row>
    <row r="16397" spans="1:16">
      <c r="A16397" s="3">
        <v>44472.076226851852</v>
      </c>
      <c r="B16397" s="4" t="str">
        <f>HYPERLINK("https://twitter.com/petrogustavo","@petrogustavo")</f>
        <v>@petrogustavo</v>
      </c>
      <c r="C16397" s="5" t="s">
        <v>16</v>
      </c>
      <c r="D16397" s="5" t="s">
        <v>15782</v>
      </c>
      <c r="E16397" s="6" t="str">
        <f>HYPERLINK("https://twitter.com/petrogustavo/status/1444396712274141191","1444396712274141191")</f>
        <v>1444396712274141191</v>
      </c>
      <c r="F16397" s="7" t="s">
        <v>17</v>
      </c>
      <c r="G16397" s="7">
        <v>4368318</v>
      </c>
      <c r="H16397" s="7">
        <v>2540</v>
      </c>
      <c r="I16397" s="7">
        <v>629</v>
      </c>
      <c r="J16397" s="7">
        <v>0</v>
      </c>
      <c r="K16397" s="7" t="s">
        <v>18</v>
      </c>
      <c r="L16397" s="8">
        <v>39987.315405092595</v>
      </c>
      <c r="M16397" s="9" t="s">
        <v>19</v>
      </c>
      <c r="N16397" s="9" t="s">
        <v>20</v>
      </c>
      <c r="O16397" s="6" t="str">
        <f>HYPERLINK("https://pbs.twimg.com/profile_images/962471262747529216/Uo8lOkRJ_normal.jpg","View")</f>
        <v>View</v>
      </c>
      <c r="P16397" s="7"/>
    </row>
    <row r="16398" spans="1:16">
      <c r="A16398" s="3">
        <v>44472.077361111107</v>
      </c>
      <c r="B16398" s="4" t="str">
        <f>HYPERLINK("https://twitter.com/petrogustavo","@petrogustavo")</f>
        <v>@petrogustavo</v>
      </c>
      <c r="C16398" s="5" t="s">
        <v>16</v>
      </c>
      <c r="D16398" s="5" t="s">
        <v>15783</v>
      </c>
      <c r="E16398" s="6" t="str">
        <f>HYPERLINK("https://twitter.com/petrogustavo/status/1444397124276400134","1444397124276400134")</f>
        <v>1444397124276400134</v>
      </c>
      <c r="F16398" s="7" t="s">
        <v>17</v>
      </c>
      <c r="G16398" s="7">
        <v>4368318</v>
      </c>
      <c r="H16398" s="7">
        <v>2540</v>
      </c>
      <c r="I16398" s="7">
        <v>129</v>
      </c>
      <c r="J16398" s="7">
        <v>440</v>
      </c>
      <c r="K16398" s="7" t="s">
        <v>18</v>
      </c>
      <c r="L16398" s="8">
        <v>39987.315405092595</v>
      </c>
      <c r="M16398" s="9" t="s">
        <v>19</v>
      </c>
      <c r="N16398" s="9" t="s">
        <v>20</v>
      </c>
      <c r="O16398" s="6" t="str">
        <f>HYPERLINK("https://pbs.twimg.com/profile_images/962471262747529216/Uo8lOkRJ_normal.jpg","View")</f>
        <v>View</v>
      </c>
      <c r="P16398" s="7"/>
    </row>
    <row r="16399" spans="1:16">
      <c r="A16399" s="3">
        <v>44472.178078703699</v>
      </c>
      <c r="B16399" s="4" t="str">
        <f>HYPERLINK("https://twitter.com/petrogustavo","@petrogustavo")</f>
        <v>@petrogustavo</v>
      </c>
      <c r="C16399" s="5" t="s">
        <v>16</v>
      </c>
      <c r="D16399" s="5" t="s">
        <v>15784</v>
      </c>
      <c r="E16399" s="6" t="str">
        <f>HYPERLINK("https://twitter.com/petrogustavo/status/1444433623776645126","1444433623776645126")</f>
        <v>1444433623776645126</v>
      </c>
      <c r="F16399" s="7" t="s">
        <v>17</v>
      </c>
      <c r="G16399" s="7">
        <v>4368345</v>
      </c>
      <c r="H16399" s="7">
        <v>2540</v>
      </c>
      <c r="I16399" s="7">
        <v>199</v>
      </c>
      <c r="J16399" s="7">
        <v>675</v>
      </c>
      <c r="K16399" s="7" t="s">
        <v>18</v>
      </c>
      <c r="L16399" s="8">
        <v>39987.315405092595</v>
      </c>
      <c r="M16399" s="9" t="s">
        <v>19</v>
      </c>
      <c r="N16399" s="9" t="s">
        <v>20</v>
      </c>
      <c r="O16399" s="6" t="str">
        <f>HYPERLINK("https://pbs.twimg.com/profile_images/962471262747529216/Uo8lOkRJ_normal.jpg","View")</f>
        <v>View</v>
      </c>
      <c r="P16399" s="7"/>
    </row>
    <row r="16400" spans="1:16">
      <c r="A16400" s="3">
        <v>44472.200428240743</v>
      </c>
      <c r="B16400" s="4" t="str">
        <f>HYPERLINK("https://twitter.com/petrogustavo","@petrogustavo")</f>
        <v>@petrogustavo</v>
      </c>
      <c r="C16400" s="5" t="s">
        <v>16</v>
      </c>
      <c r="D16400" s="4" t="s">
        <v>15785</v>
      </c>
      <c r="E16400" s="6" t="str">
        <f>HYPERLINK("https://twitter.com/petrogustavo/status/1444441723455823873","1444441723455823873")</f>
        <v>1444441723455823873</v>
      </c>
      <c r="F16400" s="7" t="s">
        <v>17</v>
      </c>
      <c r="G16400" s="7">
        <v>4368355</v>
      </c>
      <c r="H16400" s="7">
        <v>2540</v>
      </c>
      <c r="I16400" s="7">
        <v>193</v>
      </c>
      <c r="J16400" s="7">
        <v>607</v>
      </c>
      <c r="K16400" s="7" t="s">
        <v>18</v>
      </c>
      <c r="L16400" s="8">
        <v>39987.315405092595</v>
      </c>
      <c r="M16400" s="9" t="s">
        <v>19</v>
      </c>
      <c r="N16400" s="9" t="s">
        <v>20</v>
      </c>
      <c r="O16400" s="6" t="str">
        <f>HYPERLINK("https://pbs.twimg.com/profile_images/962471262747529216/Uo8lOkRJ_normal.jpg","View")</f>
        <v>View</v>
      </c>
      <c r="P16400" s="7"/>
    </row>
    <row r="16401" spans="1:16">
      <c r="A16401" s="3">
        <v>44472.255335648151</v>
      </c>
      <c r="B16401" s="4" t="str">
        <f>HYPERLINK("https://twitter.com/petrogustavo","@petrogustavo")</f>
        <v>@petrogustavo</v>
      </c>
      <c r="C16401" s="5" t="s">
        <v>16</v>
      </c>
      <c r="D16401" s="5" t="s">
        <v>15786</v>
      </c>
      <c r="E16401" s="6" t="str">
        <f>HYPERLINK("https://twitter.com/petrogustavo/status/1444461618235125764","1444461618235125764")</f>
        <v>1444461618235125764</v>
      </c>
      <c r="F16401" s="7" t="s">
        <v>17</v>
      </c>
      <c r="G16401" s="7">
        <v>4368380</v>
      </c>
      <c r="H16401" s="7">
        <v>2540</v>
      </c>
      <c r="I16401" s="7">
        <v>63</v>
      </c>
      <c r="J16401" s="7">
        <v>0</v>
      </c>
      <c r="K16401" s="7" t="s">
        <v>18</v>
      </c>
      <c r="L16401" s="8">
        <v>39987.315405092595</v>
      </c>
      <c r="M16401" s="9" t="s">
        <v>19</v>
      </c>
      <c r="N16401" s="9" t="s">
        <v>20</v>
      </c>
      <c r="O16401" s="6" t="str">
        <f>HYPERLINK("https://pbs.twimg.com/profile_images/962471262747529216/Uo8lOkRJ_normal.jpg","View")</f>
        <v>View</v>
      </c>
      <c r="P16401" s="7"/>
    </row>
    <row r="16402" spans="1:16">
      <c r="A16402" s="3">
        <v>44472.257002314815</v>
      </c>
      <c r="B16402" s="4" t="str">
        <f>HYPERLINK("https://twitter.com/petrogustavo","@petrogustavo")</f>
        <v>@petrogustavo</v>
      </c>
      <c r="C16402" s="5" t="s">
        <v>16</v>
      </c>
      <c r="D16402" s="4" t="s">
        <v>15787</v>
      </c>
      <c r="E16402" s="6" t="str">
        <f>HYPERLINK("https://twitter.com/petrogustavo/status/1444462223494037507","1444462223494037507")</f>
        <v>1444462223494037507</v>
      </c>
      <c r="F16402" s="7" t="s">
        <v>17</v>
      </c>
      <c r="G16402" s="7">
        <v>4368380</v>
      </c>
      <c r="H16402" s="7">
        <v>2540</v>
      </c>
      <c r="I16402" s="7">
        <v>146</v>
      </c>
      <c r="J16402" s="7">
        <v>482</v>
      </c>
      <c r="K16402" s="7" t="s">
        <v>18</v>
      </c>
      <c r="L16402" s="8">
        <v>39987.315405092595</v>
      </c>
      <c r="M16402" s="9" t="s">
        <v>19</v>
      </c>
      <c r="N16402" s="9" t="s">
        <v>20</v>
      </c>
      <c r="O16402" s="6" t="str">
        <f>HYPERLINK("https://pbs.twimg.com/profile_images/962471262747529216/Uo8lOkRJ_normal.jpg","View")</f>
        <v>View</v>
      </c>
      <c r="P16402" s="7"/>
    </row>
    <row r="16403" spans="1:16">
      <c r="A16403" s="3">
        <v>44472.290972222225</v>
      </c>
      <c r="B16403" s="4" t="str">
        <f>HYPERLINK("https://twitter.com/petrogustavo","@petrogustavo")</f>
        <v>@petrogustavo</v>
      </c>
      <c r="C16403" s="5" t="s">
        <v>16</v>
      </c>
      <c r="D16403" s="5" t="s">
        <v>15788</v>
      </c>
      <c r="E16403" s="6" t="str">
        <f>HYPERLINK("https://twitter.com/petrogustavo/status/1444474533545758720","1444474533545758720")</f>
        <v>1444474533545758720</v>
      </c>
      <c r="F16403" s="7" t="s">
        <v>17</v>
      </c>
      <c r="G16403" s="7">
        <v>4368392</v>
      </c>
      <c r="H16403" s="7">
        <v>2540</v>
      </c>
      <c r="I16403" s="7">
        <v>57</v>
      </c>
      <c r="J16403" s="7">
        <v>125</v>
      </c>
      <c r="K16403" s="7" t="s">
        <v>18</v>
      </c>
      <c r="L16403" s="8">
        <v>39987.315405092595</v>
      </c>
      <c r="M16403" s="9" t="s">
        <v>19</v>
      </c>
      <c r="N16403" s="9" t="s">
        <v>20</v>
      </c>
      <c r="O16403" s="6" t="str">
        <f>HYPERLINK("https://pbs.twimg.com/profile_images/962471262747529216/Uo8lOkRJ_normal.jpg","View")</f>
        <v>View</v>
      </c>
      <c r="P16403" s="7"/>
    </row>
    <row r="16404" spans="1:16">
      <c r="A16404" s="3">
        <v>44472.347118055557</v>
      </c>
      <c r="B16404" s="4" t="str">
        <f>HYPERLINK("https://twitter.com/petrogustavo","@petrogustavo")</f>
        <v>@petrogustavo</v>
      </c>
      <c r="C16404" s="5" t="s">
        <v>16</v>
      </c>
      <c r="D16404" s="5" t="s">
        <v>15789</v>
      </c>
      <c r="E16404" s="6" t="str">
        <f>HYPERLINK("https://twitter.com/petrogustavo/status/1444494878520578057","1444494878520578057")</f>
        <v>1444494878520578057</v>
      </c>
      <c r="F16404" s="7" t="s">
        <v>17</v>
      </c>
      <c r="G16404" s="7">
        <v>4368431</v>
      </c>
      <c r="H16404" s="7">
        <v>2540</v>
      </c>
      <c r="I16404" s="7">
        <v>142</v>
      </c>
      <c r="J16404" s="7">
        <v>583</v>
      </c>
      <c r="K16404" s="7" t="s">
        <v>18</v>
      </c>
      <c r="L16404" s="8">
        <v>39987.315405092595</v>
      </c>
      <c r="M16404" s="9" t="s">
        <v>19</v>
      </c>
      <c r="N16404" s="9" t="s">
        <v>20</v>
      </c>
      <c r="O16404" s="6" t="str">
        <f>HYPERLINK("https://pbs.twimg.com/profile_images/962471262747529216/Uo8lOkRJ_normal.jpg","View")</f>
        <v>View</v>
      </c>
      <c r="P16404" s="7"/>
    </row>
    <row r="16405" spans="1:16">
      <c r="A16405" s="3">
        <v>44472.359907407408</v>
      </c>
      <c r="B16405" s="4" t="str">
        <f>HYPERLINK("https://twitter.com/petrogustavo","@petrogustavo")</f>
        <v>@petrogustavo</v>
      </c>
      <c r="C16405" s="5" t="s">
        <v>16</v>
      </c>
      <c r="D16405" s="5" t="s">
        <v>15790</v>
      </c>
      <c r="E16405" s="6" t="str">
        <f>HYPERLINK("https://twitter.com/petrogustavo/status/1444499515181047811","1444499515181047811")</f>
        <v>1444499515181047811</v>
      </c>
      <c r="F16405" s="7" t="s">
        <v>17</v>
      </c>
      <c r="G16405" s="7">
        <v>4368433</v>
      </c>
      <c r="H16405" s="7">
        <v>2540</v>
      </c>
      <c r="I16405" s="7">
        <v>51</v>
      </c>
      <c r="J16405" s="7">
        <v>0</v>
      </c>
      <c r="K16405" s="7" t="s">
        <v>18</v>
      </c>
      <c r="L16405" s="8">
        <v>39987.315405092595</v>
      </c>
      <c r="M16405" s="9" t="s">
        <v>19</v>
      </c>
      <c r="N16405" s="9" t="s">
        <v>20</v>
      </c>
      <c r="O16405" s="6" t="str">
        <f>HYPERLINK("https://pbs.twimg.com/profile_images/962471262747529216/Uo8lOkRJ_normal.jpg","View")</f>
        <v>View</v>
      </c>
      <c r="P16405" s="7"/>
    </row>
    <row r="16406" spans="1:16">
      <c r="A16406" s="3">
        <v>44472.860300925924</v>
      </c>
      <c r="B16406" s="4" t="str">
        <f>HYPERLINK("https://twitter.com/petrogustavo","@petrogustavo")</f>
        <v>@petrogustavo</v>
      </c>
      <c r="C16406" s="5" t="s">
        <v>16</v>
      </c>
      <c r="D16406" s="5" t="s">
        <v>15791</v>
      </c>
      <c r="E16406" s="6" t="str">
        <f>HYPERLINK("https://twitter.com/petrogustavo/status/1444680851757883395","1444680851757883395")</f>
        <v>1444680851757883395</v>
      </c>
      <c r="F16406" s="7" t="s">
        <v>32</v>
      </c>
      <c r="G16406" s="7">
        <v>4368578</v>
      </c>
      <c r="H16406" s="7">
        <v>2540</v>
      </c>
      <c r="I16406" s="7">
        <v>64</v>
      </c>
      <c r="J16406" s="7">
        <v>211</v>
      </c>
      <c r="K16406" s="7" t="s">
        <v>18</v>
      </c>
      <c r="L16406" s="8">
        <v>39987.315405092595</v>
      </c>
      <c r="M16406" s="9" t="s">
        <v>19</v>
      </c>
      <c r="N16406" s="9" t="s">
        <v>20</v>
      </c>
      <c r="O16406" s="6" t="str">
        <f>HYPERLINK("https://pbs.twimg.com/profile_images/962471262747529216/Uo8lOkRJ_normal.jpg","View")</f>
        <v>View</v>
      </c>
      <c r="P16406" s="7"/>
    </row>
    <row r="16407" spans="1:16">
      <c r="A16407" s="3">
        <v>44472.867997685185</v>
      </c>
      <c r="B16407" s="4" t="str">
        <f>HYPERLINK("https://twitter.com/petrogustavo","@petrogustavo")</f>
        <v>@petrogustavo</v>
      </c>
      <c r="C16407" s="5" t="s">
        <v>16</v>
      </c>
      <c r="D16407" s="5" t="s">
        <v>15792</v>
      </c>
      <c r="E16407" s="6" t="str">
        <f>HYPERLINK("https://twitter.com/petrogustavo/status/1444683642119274502","1444683642119274502")</f>
        <v>1444683642119274502</v>
      </c>
      <c r="F16407" s="7" t="s">
        <v>32</v>
      </c>
      <c r="G16407" s="7">
        <v>4368596</v>
      </c>
      <c r="H16407" s="7">
        <v>2540</v>
      </c>
      <c r="I16407" s="7">
        <v>60</v>
      </c>
      <c r="J16407" s="7">
        <v>0</v>
      </c>
      <c r="K16407" s="7" t="s">
        <v>18</v>
      </c>
      <c r="L16407" s="8">
        <v>39987.315405092595</v>
      </c>
      <c r="M16407" s="9" t="s">
        <v>19</v>
      </c>
      <c r="N16407" s="9" t="s">
        <v>20</v>
      </c>
      <c r="O16407" s="6" t="str">
        <f>HYPERLINK("https://pbs.twimg.com/profile_images/962471262747529216/Uo8lOkRJ_normal.jpg","View")</f>
        <v>View</v>
      </c>
      <c r="P16407" s="7"/>
    </row>
    <row r="16408" spans="1:16">
      <c r="A16408" s="3">
        <v>44472.998784722222</v>
      </c>
      <c r="B16408" s="4" t="str">
        <f>HYPERLINK("https://twitter.com/petrogustavo","@petrogustavo")</f>
        <v>@petrogustavo</v>
      </c>
      <c r="C16408" s="5" t="s">
        <v>16</v>
      </c>
      <c r="D16408" s="5" t="s">
        <v>15793</v>
      </c>
      <c r="E16408" s="6" t="str">
        <f>HYPERLINK("https://twitter.com/petrogustavo/status/1444731037473456137","1444731037473456137")</f>
        <v>1444731037473456137</v>
      </c>
      <c r="F16408" s="7" t="s">
        <v>17</v>
      </c>
      <c r="G16408" s="7">
        <v>4368653</v>
      </c>
      <c r="H16408" s="7">
        <v>2540</v>
      </c>
      <c r="I16408" s="7">
        <v>67</v>
      </c>
      <c r="J16408" s="7">
        <v>235</v>
      </c>
      <c r="K16408" s="7" t="s">
        <v>18</v>
      </c>
      <c r="L16408" s="8">
        <v>39987.315405092595</v>
      </c>
      <c r="M16408" s="9" t="s">
        <v>19</v>
      </c>
      <c r="N16408" s="9" t="s">
        <v>20</v>
      </c>
      <c r="O16408" s="6" t="str">
        <f>HYPERLINK("https://pbs.twimg.com/profile_images/962471262747529216/Uo8lOkRJ_normal.jpg","View")</f>
        <v>View</v>
      </c>
      <c r="P16408" s="7"/>
    </row>
    <row r="16409" spans="1:16">
      <c r="A16409" s="3">
        <v>44473.025555555556</v>
      </c>
      <c r="B16409" s="4" t="str">
        <f>HYPERLINK("https://twitter.com/petrogustavo","@petrogustavo")</f>
        <v>@petrogustavo</v>
      </c>
      <c r="C16409" s="5" t="s">
        <v>16</v>
      </c>
      <c r="D16409" s="5" t="s">
        <v>15794</v>
      </c>
      <c r="E16409" s="6" t="str">
        <f>HYPERLINK("https://twitter.com/petrogustavo/status/1444740739401924622","1444740739401924622")</f>
        <v>1444740739401924622</v>
      </c>
      <c r="F16409" s="7" t="s">
        <v>17</v>
      </c>
      <c r="G16409" s="7">
        <v>4368666</v>
      </c>
      <c r="H16409" s="7">
        <v>2540</v>
      </c>
      <c r="I16409" s="7">
        <v>121</v>
      </c>
      <c r="J16409" s="7">
        <v>361</v>
      </c>
      <c r="K16409" s="7" t="s">
        <v>18</v>
      </c>
      <c r="L16409" s="8">
        <v>39987.315405092595</v>
      </c>
      <c r="M16409" s="9" t="s">
        <v>19</v>
      </c>
      <c r="N16409" s="9" t="s">
        <v>20</v>
      </c>
      <c r="O16409" s="6" t="str">
        <f>HYPERLINK("https://pbs.twimg.com/profile_images/962471262747529216/Uo8lOkRJ_normal.jpg","View")</f>
        <v>View</v>
      </c>
      <c r="P16409" s="7"/>
    </row>
    <row r="16410" spans="1:16">
      <c r="A16410" s="3">
        <v>44473.129143518519</v>
      </c>
      <c r="B16410" s="4" t="str">
        <f>HYPERLINK("https://twitter.com/petrogustavo","@petrogustavo")</f>
        <v>@petrogustavo</v>
      </c>
      <c r="C16410" s="5" t="s">
        <v>16</v>
      </c>
      <c r="D16410" s="5" t="s">
        <v>15795</v>
      </c>
      <c r="E16410" s="6" t="str">
        <f>HYPERLINK("https://twitter.com/petrogustavo/status/1444778277021831174","1444778277021831174")</f>
        <v>1444778277021831174</v>
      </c>
      <c r="F16410" s="7" t="s">
        <v>17</v>
      </c>
      <c r="G16410" s="7">
        <v>4368731</v>
      </c>
      <c r="H16410" s="7">
        <v>2540</v>
      </c>
      <c r="I16410" s="7">
        <v>271</v>
      </c>
      <c r="J16410" s="7">
        <v>666</v>
      </c>
      <c r="K16410" s="7" t="s">
        <v>18</v>
      </c>
      <c r="L16410" s="8">
        <v>39987.315405092595</v>
      </c>
      <c r="M16410" s="9" t="s">
        <v>19</v>
      </c>
      <c r="N16410" s="9" t="s">
        <v>20</v>
      </c>
      <c r="O16410" s="6" t="str">
        <f>HYPERLINK("https://pbs.twimg.com/profile_images/962471262747529216/Uo8lOkRJ_normal.jpg","View")</f>
        <v>View</v>
      </c>
      <c r="P16410" s="7"/>
    </row>
    <row r="16411" spans="1:16">
      <c r="A16411" s="3">
        <v>44473.313206018516</v>
      </c>
      <c r="B16411" s="4" t="str">
        <f>HYPERLINK("https://twitter.com/petrogustavo","@petrogustavo")</f>
        <v>@petrogustavo</v>
      </c>
      <c r="C16411" s="5" t="s">
        <v>16</v>
      </c>
      <c r="D16411" s="5" t="s">
        <v>15796</v>
      </c>
      <c r="E16411" s="6" t="str">
        <f>HYPERLINK("https://twitter.com/petrogustavo/status/1444844979629830149","1444844979629830149")</f>
        <v>1444844979629830149</v>
      </c>
      <c r="F16411" s="7" t="s">
        <v>17</v>
      </c>
      <c r="G16411" s="7">
        <v>4368880</v>
      </c>
      <c r="H16411" s="7">
        <v>2541</v>
      </c>
      <c r="I16411" s="7">
        <v>42</v>
      </c>
      <c r="J16411" s="7">
        <v>0</v>
      </c>
      <c r="K16411" s="7" t="s">
        <v>18</v>
      </c>
      <c r="L16411" s="8">
        <v>39987.315405092595</v>
      </c>
      <c r="M16411" s="9" t="s">
        <v>19</v>
      </c>
      <c r="N16411" s="9" t="s">
        <v>20</v>
      </c>
      <c r="O16411" s="6" t="str">
        <f>HYPERLINK("https://pbs.twimg.com/profile_images/962471262747529216/Uo8lOkRJ_normal.jpg","View")</f>
        <v>View</v>
      </c>
      <c r="P16411" s="7"/>
    </row>
    <row r="16412" spans="1:16">
      <c r="A16412" s="3">
        <v>44473.323009259257</v>
      </c>
      <c r="B16412" s="4" t="str">
        <f>HYPERLINK("https://twitter.com/petrogustavo","@petrogustavo")</f>
        <v>@petrogustavo</v>
      </c>
      <c r="C16412" s="5" t="s">
        <v>16</v>
      </c>
      <c r="D16412" s="5" t="s">
        <v>15797</v>
      </c>
      <c r="E16412" s="6" t="str">
        <f>HYPERLINK("https://twitter.com/petrogustavo/status/1444848531647434752","1444848531647434752")</f>
        <v>1444848531647434752</v>
      </c>
      <c r="F16412" s="7" t="s">
        <v>17</v>
      </c>
      <c r="G16412" s="7">
        <v>4368880</v>
      </c>
      <c r="H16412" s="7">
        <v>2541</v>
      </c>
      <c r="I16412" s="7">
        <v>1473</v>
      </c>
      <c r="J16412" s="7">
        <v>0</v>
      </c>
      <c r="K16412" s="7" t="s">
        <v>18</v>
      </c>
      <c r="L16412" s="8">
        <v>39987.315405092595</v>
      </c>
      <c r="M16412" s="9" t="s">
        <v>19</v>
      </c>
      <c r="N16412" s="9" t="s">
        <v>20</v>
      </c>
      <c r="O16412" s="6" t="str">
        <f>HYPERLINK("https://pbs.twimg.com/profile_images/962471262747529216/Uo8lOkRJ_normal.jpg","View")</f>
        <v>View</v>
      </c>
      <c r="P16412" s="7"/>
    </row>
    <row r="16413" spans="1:16">
      <c r="A16413" s="3">
        <v>44473.716678240744</v>
      </c>
      <c r="B16413" s="4" t="str">
        <f>HYPERLINK("https://twitter.com/petrogustavo","@petrogustavo")</f>
        <v>@petrogustavo</v>
      </c>
      <c r="C16413" s="5" t="s">
        <v>16</v>
      </c>
      <c r="D16413" s="5" t="s">
        <v>15798</v>
      </c>
      <c r="E16413" s="6" t="str">
        <f>HYPERLINK("https://twitter.com/petrogustavo/status/1444991191183921153","1444991191183921153")</f>
        <v>1444991191183921153</v>
      </c>
      <c r="F16413" s="7" t="s">
        <v>17</v>
      </c>
      <c r="G16413" s="7">
        <v>4368988</v>
      </c>
      <c r="H16413" s="7">
        <v>2543</v>
      </c>
      <c r="I16413" s="7">
        <v>85</v>
      </c>
      <c r="J16413" s="7">
        <v>160</v>
      </c>
      <c r="K16413" s="7" t="s">
        <v>18</v>
      </c>
      <c r="L16413" s="8">
        <v>39987.315405092595</v>
      </c>
      <c r="M16413" s="9" t="s">
        <v>19</v>
      </c>
      <c r="N16413" s="9" t="s">
        <v>20</v>
      </c>
      <c r="O16413" s="6" t="str">
        <f>HYPERLINK("https://pbs.twimg.com/profile_images/962471262747529216/Uo8lOkRJ_normal.jpg","View")</f>
        <v>View</v>
      </c>
      <c r="P16413" s="7"/>
    </row>
    <row r="16414" spans="1:16">
      <c r="A16414" s="3">
        <v>44473.716956018514</v>
      </c>
      <c r="B16414" s="4" t="str">
        <f>HYPERLINK("https://twitter.com/petrogustavo","@petrogustavo")</f>
        <v>@petrogustavo</v>
      </c>
      <c r="C16414" s="5" t="s">
        <v>16</v>
      </c>
      <c r="D16414" s="5" t="s">
        <v>15799</v>
      </c>
      <c r="E16414" s="6" t="str">
        <f>HYPERLINK("https://twitter.com/petrogustavo/status/1444991292572844032","1444991292572844032")</f>
        <v>1444991292572844032</v>
      </c>
      <c r="F16414" s="7" t="s">
        <v>17</v>
      </c>
      <c r="G16414" s="7">
        <v>4368988</v>
      </c>
      <c r="H16414" s="7">
        <v>2543</v>
      </c>
      <c r="I16414" s="7">
        <v>3936</v>
      </c>
      <c r="J16414" s="7">
        <v>0</v>
      </c>
      <c r="K16414" s="7" t="s">
        <v>18</v>
      </c>
      <c r="L16414" s="8">
        <v>39987.315405092595</v>
      </c>
      <c r="M16414" s="9" t="s">
        <v>19</v>
      </c>
      <c r="N16414" s="9" t="s">
        <v>20</v>
      </c>
      <c r="O16414" s="6" t="str">
        <f>HYPERLINK("https://pbs.twimg.com/profile_images/962471262747529216/Uo8lOkRJ_normal.jpg","View")</f>
        <v>View</v>
      </c>
      <c r="P16414" s="7"/>
    </row>
    <row r="16415" spans="1:16">
      <c r="A16415" s="3">
        <v>44473.794988425929</v>
      </c>
      <c r="B16415" s="4" t="str">
        <f>HYPERLINK("https://twitter.com/petrogustavo","@petrogustavo")</f>
        <v>@petrogustavo</v>
      </c>
      <c r="C16415" s="5" t="s">
        <v>16</v>
      </c>
      <c r="D16415" s="5" t="s">
        <v>15800</v>
      </c>
      <c r="E16415" s="6" t="str">
        <f>HYPERLINK("https://twitter.com/petrogustavo/status/1445019570809589768","1445019570809589768")</f>
        <v>1445019570809589768</v>
      </c>
      <c r="F16415" s="7" t="s">
        <v>17</v>
      </c>
      <c r="G16415" s="7">
        <v>4369035</v>
      </c>
      <c r="H16415" s="7">
        <v>2543</v>
      </c>
      <c r="I16415" s="7">
        <v>142</v>
      </c>
      <c r="J16415" s="7">
        <v>344</v>
      </c>
      <c r="K16415" s="7" t="s">
        <v>18</v>
      </c>
      <c r="L16415" s="8">
        <v>39987.315405092595</v>
      </c>
      <c r="M16415" s="9" t="s">
        <v>19</v>
      </c>
      <c r="N16415" s="9" t="s">
        <v>20</v>
      </c>
      <c r="O16415" s="6" t="str">
        <f>HYPERLINK("https://pbs.twimg.com/profile_images/962471262747529216/Uo8lOkRJ_normal.jpg","View")</f>
        <v>View</v>
      </c>
      <c r="P16415" s="7"/>
    </row>
    <row r="16416" spans="1:16">
      <c r="A16416" s="3">
        <v>44473.794988425929</v>
      </c>
      <c r="B16416" s="4" t="str">
        <f>HYPERLINK("https://twitter.com/petrogustavo","@petrogustavo")</f>
        <v>@petrogustavo</v>
      </c>
      <c r="C16416" s="5" t="s">
        <v>16</v>
      </c>
      <c r="D16416" s="5" t="s">
        <v>15801</v>
      </c>
      <c r="E16416" s="6" t="str">
        <f>HYPERLINK("https://twitter.com/petrogustavo/status/1445019572227215360","1445019572227215360")</f>
        <v>1445019572227215360</v>
      </c>
      <c r="F16416" s="7" t="s">
        <v>17</v>
      </c>
      <c r="G16416" s="7">
        <v>4369035</v>
      </c>
      <c r="H16416" s="7">
        <v>2543</v>
      </c>
      <c r="I16416" s="7">
        <v>85</v>
      </c>
      <c r="J16416" s="7">
        <v>249</v>
      </c>
      <c r="K16416" s="7" t="s">
        <v>18</v>
      </c>
      <c r="L16416" s="8">
        <v>39987.315405092595</v>
      </c>
      <c r="M16416" s="9" t="s">
        <v>19</v>
      </c>
      <c r="N16416" s="9" t="s">
        <v>20</v>
      </c>
      <c r="O16416" s="6" t="str">
        <f>HYPERLINK("https://pbs.twimg.com/profile_images/962471262747529216/Uo8lOkRJ_normal.jpg","View")</f>
        <v>View</v>
      </c>
      <c r="P16416" s="7"/>
    </row>
    <row r="16417" spans="1:16">
      <c r="A16417" s="3">
        <v>44473.82104166667</v>
      </c>
      <c r="B16417" s="4" t="str">
        <f>HYPERLINK("https://twitter.com/petrogustavo","@petrogustavo")</f>
        <v>@petrogustavo</v>
      </c>
      <c r="C16417" s="5" t="s">
        <v>16</v>
      </c>
      <c r="D16417" s="5" t="s">
        <v>15802</v>
      </c>
      <c r="E16417" s="6" t="str">
        <f>HYPERLINK("https://twitter.com/petrogustavo/status/1445029012766699525","1445029012766699525")</f>
        <v>1445029012766699525</v>
      </c>
      <c r="F16417" s="7" t="s">
        <v>17</v>
      </c>
      <c r="G16417" s="7">
        <v>4369076</v>
      </c>
      <c r="H16417" s="7">
        <v>2543</v>
      </c>
      <c r="I16417" s="7">
        <v>74</v>
      </c>
      <c r="J16417" s="7">
        <v>178</v>
      </c>
      <c r="K16417" s="7" t="s">
        <v>18</v>
      </c>
      <c r="L16417" s="8">
        <v>39987.315405092595</v>
      </c>
      <c r="M16417" s="9" t="s">
        <v>19</v>
      </c>
      <c r="N16417" s="9" t="s">
        <v>20</v>
      </c>
      <c r="O16417" s="6" t="str">
        <f>HYPERLINK("https://pbs.twimg.com/profile_images/962471262747529216/Uo8lOkRJ_normal.jpg","View")</f>
        <v>View</v>
      </c>
      <c r="P16417" s="7"/>
    </row>
    <row r="16418" spans="1:16">
      <c r="A16418" s="3">
        <v>44473.852071759262</v>
      </c>
      <c r="B16418" s="4" t="str">
        <f>HYPERLINK("https://twitter.com/petrogustavo","@petrogustavo")</f>
        <v>@petrogustavo</v>
      </c>
      <c r="C16418" s="5" t="s">
        <v>16</v>
      </c>
      <c r="D16418" s="5" t="s">
        <v>15803</v>
      </c>
      <c r="E16418" s="6" t="str">
        <f>HYPERLINK("https://twitter.com/petrogustavo/status/1445040256953241609","1445040256953241609")</f>
        <v>1445040256953241609</v>
      </c>
      <c r="F16418" s="7" t="s">
        <v>32</v>
      </c>
      <c r="G16418" s="7">
        <v>4369089</v>
      </c>
      <c r="H16418" s="7">
        <v>2543</v>
      </c>
      <c r="I16418" s="7">
        <v>760</v>
      </c>
      <c r="J16418" s="7">
        <v>0</v>
      </c>
      <c r="K16418" s="7" t="s">
        <v>18</v>
      </c>
      <c r="L16418" s="8">
        <v>39987.315405092595</v>
      </c>
      <c r="M16418" s="9" t="s">
        <v>19</v>
      </c>
      <c r="N16418" s="9" t="s">
        <v>20</v>
      </c>
      <c r="O16418" s="6" t="str">
        <f>HYPERLINK("https://pbs.twimg.com/profile_images/962471262747529216/Uo8lOkRJ_normal.jpg","View")</f>
        <v>View</v>
      </c>
      <c r="P16418" s="7"/>
    </row>
    <row r="16419" spans="1:16">
      <c r="A16419" s="3">
        <v>44473.903495370367</v>
      </c>
      <c r="B16419" s="4" t="str">
        <f>HYPERLINK("https://twitter.com/petrogustavo","@petrogustavo")</f>
        <v>@petrogustavo</v>
      </c>
      <c r="C16419" s="5" t="s">
        <v>16</v>
      </c>
      <c r="D16419" s="5" t="s">
        <v>15804</v>
      </c>
      <c r="E16419" s="6" t="str">
        <f>HYPERLINK("https://twitter.com/petrogustavo/status/1445058890836627467","1445058890836627467")</f>
        <v>1445058890836627467</v>
      </c>
      <c r="F16419" s="7" t="s">
        <v>32</v>
      </c>
      <c r="G16419" s="7">
        <v>4369156</v>
      </c>
      <c r="H16419" s="7">
        <v>2543</v>
      </c>
      <c r="I16419" s="7">
        <v>58</v>
      </c>
      <c r="J16419" s="7">
        <v>384</v>
      </c>
      <c r="K16419" s="7" t="s">
        <v>18</v>
      </c>
      <c r="L16419" s="8">
        <v>39987.315405092595</v>
      </c>
      <c r="M16419" s="9" t="s">
        <v>19</v>
      </c>
      <c r="N16419" s="9" t="s">
        <v>20</v>
      </c>
      <c r="O16419" s="6" t="str">
        <f>HYPERLINK("https://pbs.twimg.com/profile_images/962471262747529216/Uo8lOkRJ_normal.jpg","View")</f>
        <v>View</v>
      </c>
      <c r="P16419" s="7"/>
    </row>
    <row r="16420" spans="1:16">
      <c r="A16420" s="3">
        <v>44473.918333333335</v>
      </c>
      <c r="B16420" s="4" t="str">
        <f>HYPERLINK("https://twitter.com/petrogustavo","@petrogustavo")</f>
        <v>@petrogustavo</v>
      </c>
      <c r="C16420" s="5" t="s">
        <v>16</v>
      </c>
      <c r="D16420" s="5" t="s">
        <v>15803</v>
      </c>
      <c r="E16420" s="6" t="str">
        <f>HYPERLINK("https://twitter.com/petrogustavo/status/1445064268722884617","1445064268722884617")</f>
        <v>1445064268722884617</v>
      </c>
      <c r="F16420" s="7" t="s">
        <v>32</v>
      </c>
      <c r="G16420" s="7">
        <v>4369295</v>
      </c>
      <c r="H16420" s="7">
        <v>2543</v>
      </c>
      <c r="I16420" s="7">
        <v>1192</v>
      </c>
      <c r="J16420" s="7">
        <v>0</v>
      </c>
      <c r="K16420" s="7" t="s">
        <v>18</v>
      </c>
      <c r="L16420" s="8">
        <v>39987.315405092595</v>
      </c>
      <c r="M16420" s="9" t="s">
        <v>19</v>
      </c>
      <c r="N16420" s="9" t="s">
        <v>20</v>
      </c>
      <c r="O16420" s="6" t="str">
        <f>HYPERLINK("https://pbs.twimg.com/profile_images/962471262747529216/Uo8lOkRJ_normal.jpg","View")</f>
        <v>View</v>
      </c>
      <c r="P16420" s="7"/>
    </row>
    <row r="16421" spans="1:16">
      <c r="A16421" s="3">
        <v>44474.085555555561</v>
      </c>
      <c r="B16421" s="4" t="str">
        <f>HYPERLINK("https://twitter.com/petrogustavo","@petrogustavo")</f>
        <v>@petrogustavo</v>
      </c>
      <c r="C16421" s="5" t="s">
        <v>16</v>
      </c>
      <c r="D16421" s="5" t="s">
        <v>15805</v>
      </c>
      <c r="E16421" s="6" t="str">
        <f>HYPERLINK("https://twitter.com/petrogustavo/status/1445124870602383373","1445124870602383373")</f>
        <v>1445124870602383373</v>
      </c>
      <c r="F16421" s="7" t="s">
        <v>17</v>
      </c>
      <c r="G16421" s="7">
        <v>4372256</v>
      </c>
      <c r="H16421" s="7">
        <v>2543</v>
      </c>
      <c r="I16421" s="7">
        <v>924</v>
      </c>
      <c r="J16421" s="7">
        <v>0</v>
      </c>
      <c r="K16421" s="7" t="s">
        <v>18</v>
      </c>
      <c r="L16421" s="8">
        <v>39987.315405092595</v>
      </c>
      <c r="M16421" s="9" t="s">
        <v>19</v>
      </c>
      <c r="N16421" s="9" t="s">
        <v>20</v>
      </c>
      <c r="O16421" s="6" t="str">
        <f>HYPERLINK("https://pbs.twimg.com/profile_images/962471262747529216/Uo8lOkRJ_normal.jpg","View")</f>
        <v>View</v>
      </c>
      <c r="P16421" s="7"/>
    </row>
    <row r="16422" spans="1:16">
      <c r="A16422" s="3">
        <v>44474.233136574076</v>
      </c>
      <c r="B16422" s="4" t="str">
        <f>HYPERLINK("https://twitter.com/petrogustavo","@petrogustavo")</f>
        <v>@petrogustavo</v>
      </c>
      <c r="C16422" s="5" t="s">
        <v>16</v>
      </c>
      <c r="D16422" s="5" t="s">
        <v>15806</v>
      </c>
      <c r="E16422" s="6" t="str">
        <f>HYPERLINK("https://twitter.com/petrogustavo/status/1445178349081485317","1445178349081485317")</f>
        <v>1445178349081485317</v>
      </c>
      <c r="F16422" s="7" t="s">
        <v>17</v>
      </c>
      <c r="G16422" s="7">
        <v>4374112</v>
      </c>
      <c r="H16422" s="7">
        <v>2543</v>
      </c>
      <c r="I16422" s="7">
        <v>565</v>
      </c>
      <c r="J16422" s="7">
        <v>0</v>
      </c>
      <c r="K16422" s="7" t="s">
        <v>18</v>
      </c>
      <c r="L16422" s="8">
        <v>39987.315405092595</v>
      </c>
      <c r="M16422" s="9" t="s">
        <v>19</v>
      </c>
      <c r="N16422" s="9" t="s">
        <v>20</v>
      </c>
      <c r="O16422" s="6" t="str">
        <f>HYPERLINK("https://pbs.twimg.com/profile_images/962471262747529216/Uo8lOkRJ_normal.jpg","View")</f>
        <v>View</v>
      </c>
      <c r="P16422" s="7"/>
    </row>
    <row r="16423" spans="1:16">
      <c r="A16423" s="3">
        <v>44474.23809027778</v>
      </c>
      <c r="B16423" s="4" t="str">
        <f>HYPERLINK("https://twitter.com/petrogustavo","@petrogustavo")</f>
        <v>@petrogustavo</v>
      </c>
      <c r="C16423" s="5" t="s">
        <v>16</v>
      </c>
      <c r="D16423" s="5" t="s">
        <v>15807</v>
      </c>
      <c r="E16423" s="6" t="str">
        <f>HYPERLINK("https://twitter.com/petrogustavo/status/1445180146940526594","1445180146940526594")</f>
        <v>1445180146940526594</v>
      </c>
      <c r="F16423" s="7" t="s">
        <v>17</v>
      </c>
      <c r="G16423" s="7">
        <v>4374112</v>
      </c>
      <c r="H16423" s="7">
        <v>2543</v>
      </c>
      <c r="I16423" s="7">
        <v>28</v>
      </c>
      <c r="J16423" s="7">
        <v>0</v>
      </c>
      <c r="K16423" s="7" t="s">
        <v>18</v>
      </c>
      <c r="L16423" s="8">
        <v>39987.315405092595</v>
      </c>
      <c r="M16423" s="9" t="s">
        <v>19</v>
      </c>
      <c r="N16423" s="9" t="s">
        <v>20</v>
      </c>
      <c r="O16423" s="6" t="str">
        <f>HYPERLINK("https://pbs.twimg.com/profile_images/962471262747529216/Uo8lOkRJ_normal.jpg","View")</f>
        <v>View</v>
      </c>
      <c r="P16423" s="7"/>
    </row>
    <row r="16424" spans="1:16">
      <c r="A16424" s="3">
        <v>44474.241863425923</v>
      </c>
      <c r="B16424" s="4" t="str">
        <f>HYPERLINK("https://twitter.com/petrogustavo","@petrogustavo")</f>
        <v>@petrogustavo</v>
      </c>
      <c r="C16424" s="5" t="s">
        <v>16</v>
      </c>
      <c r="D16424" s="5" t="s">
        <v>15808</v>
      </c>
      <c r="E16424" s="6" t="str">
        <f>HYPERLINK("https://twitter.com/petrogustavo/status/1445181513553874949","1445181513553874949")</f>
        <v>1445181513553874949</v>
      </c>
      <c r="F16424" s="7" t="s">
        <v>17</v>
      </c>
      <c r="G16424" s="7">
        <v>4374193</v>
      </c>
      <c r="H16424" s="7">
        <v>2542</v>
      </c>
      <c r="I16424" s="7">
        <v>561</v>
      </c>
      <c r="J16424" s="7">
        <v>1660</v>
      </c>
      <c r="K16424" s="7" t="s">
        <v>18</v>
      </c>
      <c r="L16424" s="8">
        <v>39987.315405092595</v>
      </c>
      <c r="M16424" s="9" t="s">
        <v>19</v>
      </c>
      <c r="N16424" s="9" t="s">
        <v>20</v>
      </c>
      <c r="O16424" s="6" t="str">
        <f>HYPERLINK("https://pbs.twimg.com/profile_images/962471262747529216/Uo8lOkRJ_normal.jpg","View")</f>
        <v>View</v>
      </c>
      <c r="P16424" s="7"/>
    </row>
    <row r="16425" spans="1:16">
      <c r="A16425" s="3">
        <v>44474.713645833333</v>
      </c>
      <c r="B16425" s="4" t="str">
        <f>HYPERLINK("https://twitter.com/petrogustavo","@petrogustavo")</f>
        <v>@petrogustavo</v>
      </c>
      <c r="C16425" s="5" t="s">
        <v>16</v>
      </c>
      <c r="D16425" s="5" t="s">
        <v>15809</v>
      </c>
      <c r="E16425" s="6" t="str">
        <f>HYPERLINK("https://twitter.com/petrogustavo/status/1445352482901827595","1445352482901827595")</f>
        <v>1445352482901827595</v>
      </c>
      <c r="F16425" s="7" t="s">
        <v>17</v>
      </c>
      <c r="G16425" s="7">
        <v>4374716</v>
      </c>
      <c r="H16425" s="7">
        <v>2542</v>
      </c>
      <c r="I16425" s="7">
        <v>33</v>
      </c>
      <c r="J16425" s="7">
        <v>116</v>
      </c>
      <c r="K16425" s="7" t="s">
        <v>18</v>
      </c>
      <c r="L16425" s="8">
        <v>39987.315405092595</v>
      </c>
      <c r="M16425" s="9" t="s">
        <v>19</v>
      </c>
      <c r="N16425" s="9" t="s">
        <v>20</v>
      </c>
      <c r="O16425" s="6" t="str">
        <f>HYPERLINK("https://pbs.twimg.com/profile_images/962471262747529216/Uo8lOkRJ_normal.jpg","View")</f>
        <v>View</v>
      </c>
      <c r="P16425" s="7"/>
    </row>
    <row r="16426" spans="1:16">
      <c r="A16426" s="3">
        <v>44474.723194444443</v>
      </c>
      <c r="B16426" s="4" t="str">
        <f>HYPERLINK("https://twitter.com/petrogustavo","@petrogustavo")</f>
        <v>@petrogustavo</v>
      </c>
      <c r="C16426" s="5" t="s">
        <v>16</v>
      </c>
      <c r="D16426" s="5" t="s">
        <v>15810</v>
      </c>
      <c r="E16426" s="6" t="str">
        <f>HYPERLINK("https://twitter.com/petrogustavo/status/1445355941398974468","1445355941398974468")</f>
        <v>1445355941398974468</v>
      </c>
      <c r="F16426" s="7" t="s">
        <v>17</v>
      </c>
      <c r="G16426" s="7">
        <v>4374726</v>
      </c>
      <c r="H16426" s="7">
        <v>2542</v>
      </c>
      <c r="I16426" s="7">
        <v>65</v>
      </c>
      <c r="J16426" s="7">
        <v>0</v>
      </c>
      <c r="K16426" s="7" t="s">
        <v>18</v>
      </c>
      <c r="L16426" s="8">
        <v>39987.315405092595</v>
      </c>
      <c r="M16426" s="9" t="s">
        <v>19</v>
      </c>
      <c r="N16426" s="9" t="s">
        <v>20</v>
      </c>
      <c r="O16426" s="6" t="str">
        <f>HYPERLINK("https://pbs.twimg.com/profile_images/962471262747529216/Uo8lOkRJ_normal.jpg","View")</f>
        <v>View</v>
      </c>
      <c r="P16426" s="7"/>
    </row>
    <row r="16427" spans="1:16">
      <c r="A16427" s="3">
        <v>44474.724166666667</v>
      </c>
      <c r="B16427" s="4" t="str">
        <f>HYPERLINK("https://twitter.com/petrogustavo","@petrogustavo")</f>
        <v>@petrogustavo</v>
      </c>
      <c r="C16427" s="5" t="s">
        <v>16</v>
      </c>
      <c r="D16427" s="5" t="s">
        <v>15811</v>
      </c>
      <c r="E16427" s="6" t="str">
        <f>HYPERLINK("https://twitter.com/petrogustavo/status/1445356292088926210","1445356292088926210")</f>
        <v>1445356292088926210</v>
      </c>
      <c r="F16427" s="7" t="s">
        <v>17</v>
      </c>
      <c r="G16427" s="7">
        <v>4374726</v>
      </c>
      <c r="H16427" s="7">
        <v>2542</v>
      </c>
      <c r="I16427" s="7">
        <v>57</v>
      </c>
      <c r="J16427" s="7">
        <v>0</v>
      </c>
      <c r="K16427" s="7" t="s">
        <v>18</v>
      </c>
      <c r="L16427" s="8">
        <v>39987.315405092595</v>
      </c>
      <c r="M16427" s="9" t="s">
        <v>19</v>
      </c>
      <c r="N16427" s="9" t="s">
        <v>20</v>
      </c>
      <c r="O16427" s="6" t="str">
        <f>HYPERLINK("https://pbs.twimg.com/profile_images/962471262747529216/Uo8lOkRJ_normal.jpg","View")</f>
        <v>View</v>
      </c>
      <c r="P16427" s="7"/>
    </row>
    <row r="16428" spans="1:16">
      <c r="A16428" s="3">
        <v>44474.726180555561</v>
      </c>
      <c r="B16428" s="4" t="str">
        <f>HYPERLINK("https://twitter.com/petrogustavo","@petrogustavo")</f>
        <v>@petrogustavo</v>
      </c>
      <c r="C16428" s="5" t="s">
        <v>16</v>
      </c>
      <c r="D16428" s="5" t="s">
        <v>15812</v>
      </c>
      <c r="E16428" s="6" t="str">
        <f>HYPERLINK("https://twitter.com/petrogustavo/status/1445357023458177027","1445357023458177027")</f>
        <v>1445357023458177027</v>
      </c>
      <c r="F16428" s="7" t="s">
        <v>17</v>
      </c>
      <c r="G16428" s="7">
        <v>4374726</v>
      </c>
      <c r="H16428" s="7">
        <v>2542</v>
      </c>
      <c r="I16428" s="7">
        <v>140</v>
      </c>
      <c r="J16428" s="7">
        <v>419</v>
      </c>
      <c r="K16428" s="7" t="s">
        <v>18</v>
      </c>
      <c r="L16428" s="8">
        <v>39987.315405092595</v>
      </c>
      <c r="M16428" s="9" t="s">
        <v>19</v>
      </c>
      <c r="N16428" s="9" t="s">
        <v>20</v>
      </c>
      <c r="O16428" s="6" t="str">
        <f>HYPERLINK("https://pbs.twimg.com/profile_images/962471262747529216/Uo8lOkRJ_normal.jpg","View")</f>
        <v>View</v>
      </c>
      <c r="P16428" s="7"/>
    </row>
    <row r="16429" spans="1:16">
      <c r="A16429" s="3">
        <v>44474.728483796294</v>
      </c>
      <c r="B16429" s="4" t="str">
        <f>HYPERLINK("https://twitter.com/petrogustavo","@petrogustavo")</f>
        <v>@petrogustavo</v>
      </c>
      <c r="C16429" s="5" t="s">
        <v>16</v>
      </c>
      <c r="D16429" s="5" t="s">
        <v>15813</v>
      </c>
      <c r="E16429" s="6" t="str">
        <f>HYPERLINK("https://twitter.com/petrogustavo/status/1445357857784872960","1445357857784872960")</f>
        <v>1445357857784872960</v>
      </c>
      <c r="F16429" s="7" t="s">
        <v>17</v>
      </c>
      <c r="G16429" s="7">
        <v>4374726</v>
      </c>
      <c r="H16429" s="7">
        <v>2542</v>
      </c>
      <c r="I16429" s="7">
        <v>1515</v>
      </c>
      <c r="J16429" s="7">
        <v>0</v>
      </c>
      <c r="K16429" s="7" t="s">
        <v>18</v>
      </c>
      <c r="L16429" s="8">
        <v>39987.315405092595</v>
      </c>
      <c r="M16429" s="9" t="s">
        <v>19</v>
      </c>
      <c r="N16429" s="9" t="s">
        <v>20</v>
      </c>
      <c r="O16429" s="6" t="str">
        <f>HYPERLINK("https://pbs.twimg.com/profile_images/962471262747529216/Uo8lOkRJ_normal.jpg","View")</f>
        <v>View</v>
      </c>
      <c r="P16429" s="7"/>
    </row>
    <row r="16430" spans="1:16">
      <c r="A16430" s="3">
        <v>44474.728900462964</v>
      </c>
      <c r="B16430" s="4" t="str">
        <f>HYPERLINK("https://twitter.com/petrogustavo","@petrogustavo")</f>
        <v>@petrogustavo</v>
      </c>
      <c r="C16430" s="5" t="s">
        <v>16</v>
      </c>
      <c r="D16430" s="5" t="s">
        <v>15814</v>
      </c>
      <c r="E16430" s="6" t="str">
        <f>HYPERLINK("https://twitter.com/petrogustavo/status/1445358009740320773","1445358009740320773")</f>
        <v>1445358009740320773</v>
      </c>
      <c r="F16430" s="7" t="s">
        <v>17</v>
      </c>
      <c r="G16430" s="7">
        <v>4374726</v>
      </c>
      <c r="H16430" s="7">
        <v>2542</v>
      </c>
      <c r="I16430" s="7">
        <v>2969</v>
      </c>
      <c r="J16430" s="7">
        <v>0</v>
      </c>
      <c r="K16430" s="7" t="s">
        <v>18</v>
      </c>
      <c r="L16430" s="8">
        <v>39987.315405092595</v>
      </c>
      <c r="M16430" s="9" t="s">
        <v>19</v>
      </c>
      <c r="N16430" s="9" t="s">
        <v>20</v>
      </c>
      <c r="O16430" s="6" t="str">
        <f>HYPERLINK("https://pbs.twimg.com/profile_images/962471262747529216/Uo8lOkRJ_normal.jpg","View")</f>
        <v>View</v>
      </c>
      <c r="P16430" s="7"/>
    </row>
    <row r="16431" spans="1:16">
      <c r="A16431" s="3">
        <v>44474.741631944446</v>
      </c>
      <c r="B16431" s="4" t="str">
        <f>HYPERLINK("https://twitter.com/petrogustavo","@petrogustavo")</f>
        <v>@petrogustavo</v>
      </c>
      <c r="C16431" s="5" t="s">
        <v>16</v>
      </c>
      <c r="D16431" s="5" t="s">
        <v>15815</v>
      </c>
      <c r="E16431" s="6" t="str">
        <f>HYPERLINK("https://twitter.com/petrogustavo/status/1445362622841372678","1445362622841372678")</f>
        <v>1445362622841372678</v>
      </c>
      <c r="F16431" s="7" t="s">
        <v>17</v>
      </c>
      <c r="G16431" s="7">
        <v>4374726</v>
      </c>
      <c r="H16431" s="7">
        <v>2542</v>
      </c>
      <c r="I16431" s="7">
        <v>1</v>
      </c>
      <c r="J16431" s="7">
        <v>5</v>
      </c>
      <c r="K16431" s="7" t="s">
        <v>18</v>
      </c>
      <c r="L16431" s="8">
        <v>39987.315405092595</v>
      </c>
      <c r="M16431" s="9" t="s">
        <v>19</v>
      </c>
      <c r="N16431" s="9" t="s">
        <v>20</v>
      </c>
      <c r="O16431" s="6" t="str">
        <f>HYPERLINK("https://pbs.twimg.com/profile_images/962471262747529216/Uo8lOkRJ_normal.jpg","View")</f>
        <v>View</v>
      </c>
      <c r="P16431" s="7"/>
    </row>
    <row r="16432" spans="1:16">
      <c r="A16432" s="3">
        <v>44474.741631944446</v>
      </c>
      <c r="B16432" s="4" t="str">
        <f>HYPERLINK("https://twitter.com/petrogustavo","@petrogustavo")</f>
        <v>@petrogustavo</v>
      </c>
      <c r="C16432" s="5" t="s">
        <v>16</v>
      </c>
      <c r="D16432" s="5" t="s">
        <v>15816</v>
      </c>
      <c r="E16432" s="6" t="str">
        <f>HYPERLINK("https://twitter.com/petrogustavo/status/1445362624640737281","1445362624640737281")</f>
        <v>1445362624640737281</v>
      </c>
      <c r="F16432" s="7" t="s">
        <v>17</v>
      </c>
      <c r="G16432" s="7">
        <v>4374726</v>
      </c>
      <c r="H16432" s="7">
        <v>2542</v>
      </c>
      <c r="I16432" s="7">
        <v>0</v>
      </c>
      <c r="J16432" s="7">
        <v>3</v>
      </c>
      <c r="K16432" s="7" t="s">
        <v>18</v>
      </c>
      <c r="L16432" s="8">
        <v>39987.315405092595</v>
      </c>
      <c r="M16432" s="9" t="s">
        <v>19</v>
      </c>
      <c r="N16432" s="9" t="s">
        <v>20</v>
      </c>
      <c r="O16432" s="6" t="str">
        <f>HYPERLINK("https://pbs.twimg.com/profile_images/962471262747529216/Uo8lOkRJ_normal.jpg","View")</f>
        <v>View</v>
      </c>
      <c r="P16432" s="7"/>
    </row>
    <row r="16433" spans="1:16">
      <c r="A16433" s="3">
        <v>44474.751284722224</v>
      </c>
      <c r="B16433" s="4" t="str">
        <f>HYPERLINK("https://twitter.com/petrogustavo","@petrogustavo")</f>
        <v>@petrogustavo</v>
      </c>
      <c r="C16433" s="5" t="s">
        <v>16</v>
      </c>
      <c r="D16433" s="5" t="s">
        <v>15817</v>
      </c>
      <c r="E16433" s="6" t="str">
        <f>HYPERLINK("https://twitter.com/petrogustavo/status/1445366119724953606","1445366119724953606")</f>
        <v>1445366119724953606</v>
      </c>
      <c r="F16433" s="7" t="s">
        <v>17</v>
      </c>
      <c r="G16433" s="7">
        <v>4374756</v>
      </c>
      <c r="H16433" s="7">
        <v>2542</v>
      </c>
      <c r="I16433" s="7">
        <v>219</v>
      </c>
      <c r="J16433" s="7">
        <v>0</v>
      </c>
      <c r="K16433" s="7" t="s">
        <v>18</v>
      </c>
      <c r="L16433" s="8">
        <v>39987.315405092595</v>
      </c>
      <c r="M16433" s="9" t="s">
        <v>19</v>
      </c>
      <c r="N16433" s="9" t="s">
        <v>20</v>
      </c>
      <c r="O16433" s="6" t="str">
        <f>HYPERLINK("https://pbs.twimg.com/profile_images/962471262747529216/Uo8lOkRJ_normal.jpg","View")</f>
        <v>View</v>
      </c>
      <c r="P16433" s="7"/>
    </row>
    <row r="16434" spans="1:16">
      <c r="A16434" s="3">
        <v>44474.78770833333</v>
      </c>
      <c r="B16434" s="4" t="str">
        <f>HYPERLINK("https://twitter.com/petrogustavo","@petrogustavo")</f>
        <v>@petrogustavo</v>
      </c>
      <c r="C16434" s="5" t="s">
        <v>16</v>
      </c>
      <c r="D16434" s="5" t="s">
        <v>15818</v>
      </c>
      <c r="E16434" s="6" t="str">
        <f>HYPERLINK("https://twitter.com/petrogustavo/status/1445379318591406085","1445379318591406085")</f>
        <v>1445379318591406085</v>
      </c>
      <c r="F16434" s="7" t="s">
        <v>32</v>
      </c>
      <c r="G16434" s="7">
        <v>4374822</v>
      </c>
      <c r="H16434" s="7">
        <v>2542</v>
      </c>
      <c r="I16434" s="7">
        <v>61</v>
      </c>
      <c r="J16434" s="7">
        <v>244</v>
      </c>
      <c r="K16434" s="7" t="s">
        <v>18</v>
      </c>
      <c r="L16434" s="8">
        <v>39987.315405092595</v>
      </c>
      <c r="M16434" s="9" t="s">
        <v>19</v>
      </c>
      <c r="N16434" s="9" t="s">
        <v>20</v>
      </c>
      <c r="O16434" s="6" t="str">
        <f>HYPERLINK("https://pbs.twimg.com/profile_images/962471262747529216/Uo8lOkRJ_normal.jpg","View")</f>
        <v>View</v>
      </c>
      <c r="P16434" s="7"/>
    </row>
    <row r="16435" spans="1:16">
      <c r="A16435" s="3">
        <v>44474.78770833333</v>
      </c>
      <c r="B16435" s="4" t="str">
        <f>HYPERLINK("https://twitter.com/petrogustavo","@petrogustavo")</f>
        <v>@petrogustavo</v>
      </c>
      <c r="C16435" s="5" t="s">
        <v>16</v>
      </c>
      <c r="D16435" s="5" t="s">
        <v>15819</v>
      </c>
      <c r="E16435" s="6" t="str">
        <f>HYPERLINK("https://twitter.com/petrogustavo/status/1445379320445382667","1445379320445382667")</f>
        <v>1445379320445382667</v>
      </c>
      <c r="F16435" s="7" t="s">
        <v>32</v>
      </c>
      <c r="G16435" s="7">
        <v>4374822</v>
      </c>
      <c r="H16435" s="7">
        <v>2542</v>
      </c>
      <c r="I16435" s="7">
        <v>44</v>
      </c>
      <c r="J16435" s="7">
        <v>230</v>
      </c>
      <c r="K16435" s="7" t="s">
        <v>18</v>
      </c>
      <c r="L16435" s="8">
        <v>39987.315405092595</v>
      </c>
      <c r="M16435" s="9" t="s">
        <v>19</v>
      </c>
      <c r="N16435" s="9" t="s">
        <v>20</v>
      </c>
      <c r="O16435" s="6" t="str">
        <f>HYPERLINK("https://pbs.twimg.com/profile_images/962471262747529216/Uo8lOkRJ_normal.jpg","View")</f>
        <v>View</v>
      </c>
      <c r="P16435" s="7"/>
    </row>
    <row r="16436" spans="1:16">
      <c r="A16436" s="3">
        <v>44474.793090277773</v>
      </c>
      <c r="B16436" s="4" t="str">
        <f>HYPERLINK("https://twitter.com/petrogustavo","@petrogustavo")</f>
        <v>@petrogustavo</v>
      </c>
      <c r="C16436" s="5" t="s">
        <v>16</v>
      </c>
      <c r="D16436" s="5" t="s">
        <v>15820</v>
      </c>
      <c r="E16436" s="6" t="str">
        <f>HYPERLINK("https://twitter.com/petrogustavo/status/1445381269408333828","1445381269408333828")</f>
        <v>1445381269408333828</v>
      </c>
      <c r="F16436" s="7" t="s">
        <v>32</v>
      </c>
      <c r="G16436" s="7">
        <v>4374822</v>
      </c>
      <c r="H16436" s="7">
        <v>2542</v>
      </c>
      <c r="I16436" s="7">
        <v>92</v>
      </c>
      <c r="J16436" s="7">
        <v>239</v>
      </c>
      <c r="K16436" s="7" t="s">
        <v>18</v>
      </c>
      <c r="L16436" s="8">
        <v>39987.315405092595</v>
      </c>
      <c r="M16436" s="9" t="s">
        <v>19</v>
      </c>
      <c r="N16436" s="9" t="s">
        <v>20</v>
      </c>
      <c r="O16436" s="6" t="str">
        <f>HYPERLINK("https://pbs.twimg.com/profile_images/962471262747529216/Uo8lOkRJ_normal.jpg","View")</f>
        <v>View</v>
      </c>
      <c r="P16436" s="7"/>
    </row>
    <row r="16437" spans="1:16">
      <c r="A16437" s="3">
        <v>44474.800729166665</v>
      </c>
      <c r="B16437" s="4" t="str">
        <f>HYPERLINK("https://twitter.com/petrogustavo","@petrogustavo")</f>
        <v>@petrogustavo</v>
      </c>
      <c r="C16437" s="5" t="s">
        <v>16</v>
      </c>
      <c r="D16437" s="5" t="s">
        <v>15821</v>
      </c>
      <c r="E16437" s="6" t="str">
        <f>HYPERLINK("https://twitter.com/petrogustavo/status/1445384038299078667","1445384038299078667")</f>
        <v>1445384038299078667</v>
      </c>
      <c r="F16437" s="7" t="s">
        <v>32</v>
      </c>
      <c r="G16437" s="7">
        <v>4374822</v>
      </c>
      <c r="H16437" s="7">
        <v>2542</v>
      </c>
      <c r="I16437" s="7">
        <v>625</v>
      </c>
      <c r="J16437" s="7">
        <v>0</v>
      </c>
      <c r="K16437" s="7" t="s">
        <v>18</v>
      </c>
      <c r="L16437" s="8">
        <v>39987.315405092595</v>
      </c>
      <c r="M16437" s="9" t="s">
        <v>19</v>
      </c>
      <c r="N16437" s="9" t="s">
        <v>20</v>
      </c>
      <c r="O16437" s="6" t="str">
        <f>HYPERLINK("https://pbs.twimg.com/profile_images/962471262747529216/Uo8lOkRJ_normal.jpg","View")</f>
        <v>View</v>
      </c>
      <c r="P16437" s="7"/>
    </row>
    <row r="16438" spans="1:16">
      <c r="A16438" s="3">
        <v>44474.800983796296</v>
      </c>
      <c r="B16438" s="4" t="str">
        <f>HYPERLINK("https://twitter.com/petrogustavo","@petrogustavo")</f>
        <v>@petrogustavo</v>
      </c>
      <c r="C16438" s="5" t="s">
        <v>16</v>
      </c>
      <c r="D16438" s="5" t="s">
        <v>15822</v>
      </c>
      <c r="E16438" s="6" t="str">
        <f>HYPERLINK("https://twitter.com/petrogustavo/status/1445384132725559300","1445384132725559300")</f>
        <v>1445384132725559300</v>
      </c>
      <c r="F16438" s="7" t="s">
        <v>32</v>
      </c>
      <c r="G16438" s="7">
        <v>4374822</v>
      </c>
      <c r="H16438" s="7">
        <v>2542</v>
      </c>
      <c r="I16438" s="7">
        <v>92</v>
      </c>
      <c r="J16438" s="7">
        <v>0</v>
      </c>
      <c r="K16438" s="7" t="s">
        <v>18</v>
      </c>
      <c r="L16438" s="8">
        <v>39987.315405092595</v>
      </c>
      <c r="M16438" s="9" t="s">
        <v>19</v>
      </c>
      <c r="N16438" s="9" t="s">
        <v>20</v>
      </c>
      <c r="O16438" s="6" t="str">
        <f>HYPERLINK("https://pbs.twimg.com/profile_images/962471262747529216/Uo8lOkRJ_normal.jpg","View")</f>
        <v>View</v>
      </c>
      <c r="P16438" s="7"/>
    </row>
    <row r="16439" spans="1:16">
      <c r="A16439" s="3">
        <v>44474.844942129625</v>
      </c>
      <c r="B16439" s="4" t="str">
        <f>HYPERLINK("https://twitter.com/petrogustavo","@petrogustavo")</f>
        <v>@petrogustavo</v>
      </c>
      <c r="C16439" s="5" t="s">
        <v>16</v>
      </c>
      <c r="D16439" s="5" t="s">
        <v>15823</v>
      </c>
      <c r="E16439" s="6" t="str">
        <f>HYPERLINK("https://twitter.com/petrogustavo/status/1445400059928006676","1445400059928006676")</f>
        <v>1445400059928006676</v>
      </c>
      <c r="F16439" s="7" t="s">
        <v>21</v>
      </c>
      <c r="G16439" s="7">
        <v>4374851</v>
      </c>
      <c r="H16439" s="7">
        <v>2542</v>
      </c>
      <c r="I16439" s="7">
        <v>6</v>
      </c>
      <c r="J16439" s="7">
        <v>42</v>
      </c>
      <c r="K16439" s="7" t="s">
        <v>18</v>
      </c>
      <c r="L16439" s="8">
        <v>39987.315405092595</v>
      </c>
      <c r="M16439" s="9" t="s">
        <v>19</v>
      </c>
      <c r="N16439" s="9" t="s">
        <v>20</v>
      </c>
      <c r="O16439" s="6" t="str">
        <f>HYPERLINK("https://pbs.twimg.com/profile_images/962471262747529216/Uo8lOkRJ_normal.jpg","View")</f>
        <v>View</v>
      </c>
      <c r="P16439" s="7"/>
    </row>
    <row r="16440" spans="1:16">
      <c r="A16440" s="3">
        <v>44474.854745370365</v>
      </c>
      <c r="B16440" s="4" t="str">
        <f>HYPERLINK("https://twitter.com/petrogustavo","@petrogustavo")</f>
        <v>@petrogustavo</v>
      </c>
      <c r="C16440" s="5" t="s">
        <v>16</v>
      </c>
      <c r="D16440" s="5" t="s">
        <v>15824</v>
      </c>
      <c r="E16440" s="6" t="str">
        <f>HYPERLINK("https://twitter.com/petrogustavo/status/1445403613417902081","1445403613417902081")</f>
        <v>1445403613417902081</v>
      </c>
      <c r="F16440" s="7" t="s">
        <v>21</v>
      </c>
      <c r="G16440" s="7">
        <v>4374889</v>
      </c>
      <c r="H16440" s="7">
        <v>2542</v>
      </c>
      <c r="I16440" s="7">
        <v>99</v>
      </c>
      <c r="J16440" s="7">
        <v>260</v>
      </c>
      <c r="K16440" s="7" t="s">
        <v>18</v>
      </c>
      <c r="L16440" s="8">
        <v>39987.315405092595</v>
      </c>
      <c r="M16440" s="9" t="s">
        <v>19</v>
      </c>
      <c r="N16440" s="9" t="s">
        <v>20</v>
      </c>
      <c r="O16440" s="6" t="str">
        <f>HYPERLINK("https://pbs.twimg.com/profile_images/962471262747529216/Uo8lOkRJ_normal.jpg","View")</f>
        <v>View</v>
      </c>
      <c r="P16440" s="7"/>
    </row>
    <row r="16441" spans="1:16">
      <c r="A16441" s="3">
        <v>44474.879884259259</v>
      </c>
      <c r="B16441" s="4" t="str">
        <f>HYPERLINK("https://twitter.com/petrogustavo","@petrogustavo")</f>
        <v>@petrogustavo</v>
      </c>
      <c r="C16441" s="5" t="s">
        <v>16</v>
      </c>
      <c r="D16441" s="5" t="s">
        <v>15825</v>
      </c>
      <c r="E16441" s="6" t="str">
        <f>HYPERLINK("https://twitter.com/petrogustavo/status/1445412725081972736","1445412725081972736")</f>
        <v>1445412725081972736</v>
      </c>
      <c r="F16441" s="7" t="s">
        <v>17</v>
      </c>
      <c r="G16441" s="7">
        <v>4374912</v>
      </c>
      <c r="H16441" s="7">
        <v>2542</v>
      </c>
      <c r="I16441" s="7">
        <v>151</v>
      </c>
      <c r="J16441" s="7">
        <v>0</v>
      </c>
      <c r="K16441" s="7" t="s">
        <v>18</v>
      </c>
      <c r="L16441" s="8">
        <v>39987.315405092595</v>
      </c>
      <c r="M16441" s="9" t="s">
        <v>19</v>
      </c>
      <c r="N16441" s="9" t="s">
        <v>20</v>
      </c>
      <c r="O16441" s="6" t="str">
        <f>HYPERLINK("https://pbs.twimg.com/profile_images/962471262747529216/Uo8lOkRJ_normal.jpg","View")</f>
        <v>View</v>
      </c>
      <c r="P16441" s="7"/>
    </row>
    <row r="16442" spans="1:16">
      <c r="A16442" s="3">
        <v>44475.138240740736</v>
      </c>
      <c r="B16442" s="4" t="str">
        <f>HYPERLINK("https://twitter.com/petrogustavo","@petrogustavo")</f>
        <v>@petrogustavo</v>
      </c>
      <c r="C16442" s="5" t="s">
        <v>16</v>
      </c>
      <c r="D16442" s="5" t="s">
        <v>15826</v>
      </c>
      <c r="E16442" s="6" t="str">
        <f>HYPERLINK("https://twitter.com/petrogustavo/status/1445506349832577024","1445506349832577024")</f>
        <v>1445506349832577024</v>
      </c>
      <c r="F16442" s="7" t="s">
        <v>32</v>
      </c>
      <c r="G16442" s="7">
        <v>4374452</v>
      </c>
      <c r="H16442" s="7">
        <v>2543</v>
      </c>
      <c r="I16442" s="7">
        <v>345</v>
      </c>
      <c r="J16442" s="7">
        <v>1830</v>
      </c>
      <c r="K16442" s="7" t="s">
        <v>18</v>
      </c>
      <c r="L16442" s="8">
        <v>39987.315405092595</v>
      </c>
      <c r="M16442" s="9" t="s">
        <v>19</v>
      </c>
      <c r="N16442" s="9" t="s">
        <v>20</v>
      </c>
      <c r="O16442" s="6" t="str">
        <f>HYPERLINK("https://pbs.twimg.com/profile_images/962471262747529216/Uo8lOkRJ_normal.jpg","View")</f>
        <v>View</v>
      </c>
      <c r="P16442" s="7"/>
    </row>
    <row r="16443" spans="1:16">
      <c r="A16443" s="3">
        <v>44475.205995370372</v>
      </c>
      <c r="B16443" s="4" t="str">
        <f>HYPERLINK("https://twitter.com/petrogustavo","@petrogustavo")</f>
        <v>@petrogustavo</v>
      </c>
      <c r="C16443" s="5" t="s">
        <v>16</v>
      </c>
      <c r="D16443" s="5" t="s">
        <v>15827</v>
      </c>
      <c r="E16443" s="6" t="str">
        <f>HYPERLINK("https://twitter.com/petrogustavo/status/1445530901144760322","1445530901144760322")</f>
        <v>1445530901144760322</v>
      </c>
      <c r="F16443" s="7" t="s">
        <v>17</v>
      </c>
      <c r="G16443" s="7">
        <v>4374508</v>
      </c>
      <c r="H16443" s="7">
        <v>2543</v>
      </c>
      <c r="I16443" s="7">
        <v>196</v>
      </c>
      <c r="J16443" s="7">
        <v>0</v>
      </c>
      <c r="K16443" s="7" t="s">
        <v>18</v>
      </c>
      <c r="L16443" s="8">
        <v>39987.315405092595</v>
      </c>
      <c r="M16443" s="9" t="s">
        <v>19</v>
      </c>
      <c r="N16443" s="9" t="s">
        <v>20</v>
      </c>
      <c r="O16443" s="6" t="str">
        <f>HYPERLINK("https://pbs.twimg.com/profile_images/962471262747529216/Uo8lOkRJ_normal.jpg","View")</f>
        <v>View</v>
      </c>
      <c r="P16443" s="7"/>
    </row>
    <row r="16444" spans="1:16">
      <c r="A16444" s="3">
        <v>44475.276967592596</v>
      </c>
      <c r="B16444" s="4" t="str">
        <f>HYPERLINK("https://twitter.com/petrogustavo","@petrogustavo")</f>
        <v>@petrogustavo</v>
      </c>
      <c r="C16444" s="5" t="s">
        <v>16</v>
      </c>
      <c r="D16444" s="5" t="s">
        <v>15828</v>
      </c>
      <c r="E16444" s="6" t="str">
        <f>HYPERLINK("https://twitter.com/petrogustavo/status/1445556622156312577","1445556622156312577")</f>
        <v>1445556622156312577</v>
      </c>
      <c r="F16444" s="7" t="s">
        <v>32</v>
      </c>
      <c r="G16444" s="7">
        <v>4374547</v>
      </c>
      <c r="H16444" s="7">
        <v>2543</v>
      </c>
      <c r="I16444" s="7">
        <v>26</v>
      </c>
      <c r="J16444" s="7">
        <v>0</v>
      </c>
      <c r="K16444" s="7" t="s">
        <v>18</v>
      </c>
      <c r="L16444" s="8">
        <v>39987.315405092595</v>
      </c>
      <c r="M16444" s="9" t="s">
        <v>19</v>
      </c>
      <c r="N16444" s="9" t="s">
        <v>20</v>
      </c>
      <c r="O16444" s="6" t="str">
        <f>HYPERLINK("https://pbs.twimg.com/profile_images/962471262747529216/Uo8lOkRJ_normal.jpg","View")</f>
        <v>View</v>
      </c>
      <c r="P16444" s="7"/>
    </row>
    <row r="16445" spans="1:16">
      <c r="A16445" s="3">
        <v>44475.277326388888</v>
      </c>
      <c r="B16445" s="4" t="str">
        <f>HYPERLINK("https://twitter.com/petrogustavo","@petrogustavo")</f>
        <v>@petrogustavo</v>
      </c>
      <c r="C16445" s="5" t="s">
        <v>16</v>
      </c>
      <c r="D16445" s="5" t="s">
        <v>15829</v>
      </c>
      <c r="E16445" s="6" t="str">
        <f>HYPERLINK("https://twitter.com/petrogustavo/status/1445556752724889602","1445556752724889602")</f>
        <v>1445556752724889602</v>
      </c>
      <c r="F16445" s="7" t="s">
        <v>32</v>
      </c>
      <c r="G16445" s="7">
        <v>4374547</v>
      </c>
      <c r="H16445" s="7">
        <v>2543</v>
      </c>
      <c r="I16445" s="7">
        <v>12</v>
      </c>
      <c r="J16445" s="7">
        <v>0</v>
      </c>
      <c r="K16445" s="7" t="s">
        <v>18</v>
      </c>
      <c r="L16445" s="8">
        <v>39987.315405092595</v>
      </c>
      <c r="M16445" s="9" t="s">
        <v>19</v>
      </c>
      <c r="N16445" s="9" t="s">
        <v>20</v>
      </c>
      <c r="O16445" s="6" t="str">
        <f>HYPERLINK("https://pbs.twimg.com/profile_images/962471262747529216/Uo8lOkRJ_normal.jpg","View")</f>
        <v>View</v>
      </c>
      <c r="P16445" s="7"/>
    </row>
    <row r="16446" spans="1:16">
      <c r="A16446" s="3">
        <v>44475.289675925931</v>
      </c>
      <c r="B16446" s="4" t="str">
        <f>HYPERLINK("https://twitter.com/petrogustavo","@petrogustavo")</f>
        <v>@petrogustavo</v>
      </c>
      <c r="C16446" s="5" t="s">
        <v>16</v>
      </c>
      <c r="D16446" s="5" t="s">
        <v>15830</v>
      </c>
      <c r="E16446" s="6" t="str">
        <f>HYPERLINK("https://twitter.com/petrogustavo/status/1445561229406208002","1445561229406208002")</f>
        <v>1445561229406208002</v>
      </c>
      <c r="F16446" s="7" t="s">
        <v>32</v>
      </c>
      <c r="G16446" s="7">
        <v>4374568</v>
      </c>
      <c r="H16446" s="7">
        <v>2543</v>
      </c>
      <c r="I16446" s="7">
        <v>265</v>
      </c>
      <c r="J16446" s="7">
        <v>523</v>
      </c>
      <c r="K16446" s="7" t="s">
        <v>18</v>
      </c>
      <c r="L16446" s="8">
        <v>39987.315405092595</v>
      </c>
      <c r="M16446" s="9" t="s">
        <v>19</v>
      </c>
      <c r="N16446" s="9" t="s">
        <v>20</v>
      </c>
      <c r="O16446" s="6" t="str">
        <f>HYPERLINK("https://pbs.twimg.com/profile_images/962471262747529216/Uo8lOkRJ_normal.jpg","View")</f>
        <v>View</v>
      </c>
      <c r="P16446" s="7"/>
    </row>
    <row r="16447" spans="1:16">
      <c r="A16447" s="3">
        <v>44475.289687500001</v>
      </c>
      <c r="B16447" s="4" t="str">
        <f>HYPERLINK("https://twitter.com/petrogustavo","@petrogustavo")</f>
        <v>@petrogustavo</v>
      </c>
      <c r="C16447" s="5" t="s">
        <v>16</v>
      </c>
      <c r="D16447" s="5" t="s">
        <v>15831</v>
      </c>
      <c r="E16447" s="6" t="str">
        <f>HYPERLINK("https://twitter.com/petrogustavo/status/1445561232002535424","1445561232002535424")</f>
        <v>1445561232002535424</v>
      </c>
      <c r="F16447" s="7" t="s">
        <v>32</v>
      </c>
      <c r="G16447" s="7">
        <v>4374568</v>
      </c>
      <c r="H16447" s="7">
        <v>2543</v>
      </c>
      <c r="I16447" s="7">
        <v>43</v>
      </c>
      <c r="J16447" s="7">
        <v>104</v>
      </c>
      <c r="K16447" s="7" t="s">
        <v>18</v>
      </c>
      <c r="L16447" s="8">
        <v>39987.315405092595</v>
      </c>
      <c r="M16447" s="9" t="s">
        <v>19</v>
      </c>
      <c r="N16447" s="9" t="s">
        <v>20</v>
      </c>
      <c r="O16447" s="6" t="str">
        <f>HYPERLINK("https://pbs.twimg.com/profile_images/962471262747529216/Uo8lOkRJ_normal.jpg","View")</f>
        <v>View</v>
      </c>
      <c r="P16447" s="7"/>
    </row>
    <row r="16448" spans="1:16">
      <c r="A16448" s="3">
        <v>44475.28969907407</v>
      </c>
      <c r="B16448" s="4" t="str">
        <f>HYPERLINK("https://twitter.com/petrogustavo","@petrogustavo")</f>
        <v>@petrogustavo</v>
      </c>
      <c r="C16448" s="5" t="s">
        <v>16</v>
      </c>
      <c r="D16448" s="5" t="s">
        <v>15832</v>
      </c>
      <c r="E16448" s="6" t="str">
        <f>HYPERLINK("https://twitter.com/petrogustavo/status/1445561235055865857","1445561235055865857")</f>
        <v>1445561235055865857</v>
      </c>
      <c r="F16448" s="7" t="s">
        <v>32</v>
      </c>
      <c r="G16448" s="7">
        <v>4374568</v>
      </c>
      <c r="H16448" s="7">
        <v>2543</v>
      </c>
      <c r="I16448" s="7">
        <v>40</v>
      </c>
      <c r="J16448" s="7">
        <v>88</v>
      </c>
      <c r="K16448" s="7" t="s">
        <v>18</v>
      </c>
      <c r="L16448" s="8">
        <v>39987.315405092595</v>
      </c>
      <c r="M16448" s="9" t="s">
        <v>19</v>
      </c>
      <c r="N16448" s="9" t="s">
        <v>20</v>
      </c>
      <c r="O16448" s="6" t="str">
        <f>HYPERLINK("https://pbs.twimg.com/profile_images/962471262747529216/Uo8lOkRJ_normal.jpg","View")</f>
        <v>View</v>
      </c>
      <c r="P16448" s="7"/>
    </row>
    <row r="16449" spans="1:16">
      <c r="A16449" s="3">
        <v>44475.28969907407</v>
      </c>
      <c r="B16449" s="4" t="str">
        <f>HYPERLINK("https://twitter.com/petrogustavo","@petrogustavo")</f>
        <v>@petrogustavo</v>
      </c>
      <c r="C16449" s="5" t="s">
        <v>16</v>
      </c>
      <c r="D16449" s="5" t="s">
        <v>15833</v>
      </c>
      <c r="E16449" s="6" t="str">
        <f>HYPERLINK("https://twitter.com/petrogustavo/status/1445561237652205573","1445561237652205573")</f>
        <v>1445561237652205573</v>
      </c>
      <c r="F16449" s="7" t="s">
        <v>32</v>
      </c>
      <c r="G16449" s="7">
        <v>4374568</v>
      </c>
      <c r="H16449" s="7">
        <v>2543</v>
      </c>
      <c r="I16449" s="7">
        <v>39</v>
      </c>
      <c r="J16449" s="7">
        <v>79</v>
      </c>
      <c r="K16449" s="7" t="s">
        <v>18</v>
      </c>
      <c r="L16449" s="8">
        <v>39987.315405092595</v>
      </c>
      <c r="M16449" s="9" t="s">
        <v>19</v>
      </c>
      <c r="N16449" s="9" t="s">
        <v>20</v>
      </c>
      <c r="O16449" s="6" t="str">
        <f>HYPERLINK("https://pbs.twimg.com/profile_images/962471262747529216/Uo8lOkRJ_normal.jpg","View")</f>
        <v>View</v>
      </c>
      <c r="P16449" s="7"/>
    </row>
    <row r="16450" spans="1:16">
      <c r="A16450" s="3">
        <v>44475.289710648147</v>
      </c>
      <c r="B16450" s="4" t="str">
        <f>HYPERLINK("https://twitter.com/petrogustavo","@petrogustavo")</f>
        <v>@petrogustavo</v>
      </c>
      <c r="C16450" s="5" t="s">
        <v>16</v>
      </c>
      <c r="D16450" s="5" t="s">
        <v>15834</v>
      </c>
      <c r="E16450" s="6" t="str">
        <f>HYPERLINK("https://twitter.com/petrogustavo/status/1445561239262748675","1445561239262748675")</f>
        <v>1445561239262748675</v>
      </c>
      <c r="F16450" s="7" t="s">
        <v>32</v>
      </c>
      <c r="G16450" s="7">
        <v>4374568</v>
      </c>
      <c r="H16450" s="7">
        <v>2543</v>
      </c>
      <c r="I16450" s="7">
        <v>35</v>
      </c>
      <c r="J16450" s="7">
        <v>76</v>
      </c>
      <c r="K16450" s="7" t="s">
        <v>18</v>
      </c>
      <c r="L16450" s="8">
        <v>39987.315405092595</v>
      </c>
      <c r="M16450" s="9" t="s">
        <v>19</v>
      </c>
      <c r="N16450" s="9" t="s">
        <v>20</v>
      </c>
      <c r="O16450" s="6" t="str">
        <f>HYPERLINK("https://pbs.twimg.com/profile_images/962471262747529216/Uo8lOkRJ_normal.jpg","View")</f>
        <v>View</v>
      </c>
      <c r="P16450" s="7"/>
    </row>
    <row r="16451" spans="1:16">
      <c r="A16451" s="3">
        <v>44475.289710648147</v>
      </c>
      <c r="B16451" s="4" t="str">
        <f>HYPERLINK("https://twitter.com/petrogustavo","@petrogustavo")</f>
        <v>@petrogustavo</v>
      </c>
      <c r="C16451" s="5" t="s">
        <v>16</v>
      </c>
      <c r="D16451" s="5" t="s">
        <v>15835</v>
      </c>
      <c r="E16451" s="6" t="str">
        <f>HYPERLINK("https://twitter.com/petrogustavo/status/1445561241259237381","1445561241259237381")</f>
        <v>1445561241259237381</v>
      </c>
      <c r="F16451" s="7" t="s">
        <v>32</v>
      </c>
      <c r="G16451" s="7">
        <v>4374568</v>
      </c>
      <c r="H16451" s="7">
        <v>2543</v>
      </c>
      <c r="I16451" s="7">
        <v>32</v>
      </c>
      <c r="J16451" s="7">
        <v>66</v>
      </c>
      <c r="K16451" s="7" t="s">
        <v>18</v>
      </c>
      <c r="L16451" s="8">
        <v>39987.315405092595</v>
      </c>
      <c r="M16451" s="9" t="s">
        <v>19</v>
      </c>
      <c r="N16451" s="9" t="s">
        <v>20</v>
      </c>
      <c r="O16451" s="6" t="str">
        <f>HYPERLINK("https://pbs.twimg.com/profile_images/962471262747529216/Uo8lOkRJ_normal.jpg","View")</f>
        <v>View</v>
      </c>
      <c r="P16451" s="7"/>
    </row>
    <row r="16452" spans="1:16">
      <c r="A16452" s="3">
        <v>44475.289722222224</v>
      </c>
      <c r="B16452" s="4" t="str">
        <f>HYPERLINK("https://twitter.com/petrogustavo","@petrogustavo")</f>
        <v>@petrogustavo</v>
      </c>
      <c r="C16452" s="5" t="s">
        <v>16</v>
      </c>
      <c r="D16452" s="5" t="s">
        <v>15836</v>
      </c>
      <c r="E16452" s="6" t="str">
        <f>HYPERLINK("https://twitter.com/petrogustavo/status/1445561243503259657","1445561243503259657")</f>
        <v>1445561243503259657</v>
      </c>
      <c r="F16452" s="7" t="s">
        <v>32</v>
      </c>
      <c r="G16452" s="7">
        <v>4374568</v>
      </c>
      <c r="H16452" s="7">
        <v>2543</v>
      </c>
      <c r="I16452" s="7">
        <v>33</v>
      </c>
      <c r="J16452" s="7">
        <v>69</v>
      </c>
      <c r="K16452" s="7" t="s">
        <v>18</v>
      </c>
      <c r="L16452" s="8">
        <v>39987.315405092595</v>
      </c>
      <c r="M16452" s="9" t="s">
        <v>19</v>
      </c>
      <c r="N16452" s="9" t="s">
        <v>20</v>
      </c>
      <c r="O16452" s="6" t="str">
        <f>HYPERLINK("https://pbs.twimg.com/profile_images/962471262747529216/Uo8lOkRJ_normal.jpg","View")</f>
        <v>View</v>
      </c>
      <c r="P16452" s="7"/>
    </row>
    <row r="16453" spans="1:16">
      <c r="A16453" s="3">
        <v>44475.289722222224</v>
      </c>
      <c r="B16453" s="4" t="str">
        <f>HYPERLINK("https://twitter.com/petrogustavo","@petrogustavo")</f>
        <v>@petrogustavo</v>
      </c>
      <c r="C16453" s="5" t="s">
        <v>16</v>
      </c>
      <c r="D16453" s="5" t="s">
        <v>15837</v>
      </c>
      <c r="E16453" s="6" t="str">
        <f>HYPERLINK("https://twitter.com/petrogustavo/status/1445561245311012876","1445561245311012876")</f>
        <v>1445561245311012876</v>
      </c>
      <c r="F16453" s="7" t="s">
        <v>32</v>
      </c>
      <c r="G16453" s="7">
        <v>4374568</v>
      </c>
      <c r="H16453" s="7">
        <v>2543</v>
      </c>
      <c r="I16453" s="7">
        <v>34</v>
      </c>
      <c r="J16453" s="7">
        <v>67</v>
      </c>
      <c r="K16453" s="7" t="s">
        <v>18</v>
      </c>
      <c r="L16453" s="8">
        <v>39987.315405092595</v>
      </c>
      <c r="M16453" s="9" t="s">
        <v>19</v>
      </c>
      <c r="N16453" s="9" t="s">
        <v>20</v>
      </c>
      <c r="O16453" s="6" t="str">
        <f>HYPERLINK("https://pbs.twimg.com/profile_images/962471262747529216/Uo8lOkRJ_normal.jpg","View")</f>
        <v>View</v>
      </c>
      <c r="P16453" s="7"/>
    </row>
    <row r="16454" spans="1:16">
      <c r="A16454" s="3">
        <v>44475.289733796293</v>
      </c>
      <c r="B16454" s="4" t="str">
        <f>HYPERLINK("https://twitter.com/petrogustavo","@petrogustavo")</f>
        <v>@petrogustavo</v>
      </c>
      <c r="C16454" s="5" t="s">
        <v>16</v>
      </c>
      <c r="D16454" s="5" t="s">
        <v>15838</v>
      </c>
      <c r="E16454" s="6" t="str">
        <f>HYPERLINK("https://twitter.com/petrogustavo/status/1445561246938329095","1445561246938329095")</f>
        <v>1445561246938329095</v>
      </c>
      <c r="F16454" s="7" t="s">
        <v>32</v>
      </c>
      <c r="G16454" s="7">
        <v>4374568</v>
      </c>
      <c r="H16454" s="7">
        <v>2543</v>
      </c>
      <c r="I16454" s="7">
        <v>93</v>
      </c>
      <c r="J16454" s="7">
        <v>209</v>
      </c>
      <c r="K16454" s="7" t="s">
        <v>18</v>
      </c>
      <c r="L16454" s="8">
        <v>39987.315405092595</v>
      </c>
      <c r="M16454" s="9" t="s">
        <v>19</v>
      </c>
      <c r="N16454" s="9" t="s">
        <v>20</v>
      </c>
      <c r="O16454" s="6" t="str">
        <f>HYPERLINK("https://pbs.twimg.com/profile_images/962471262747529216/Uo8lOkRJ_normal.jpg","View")</f>
        <v>View</v>
      </c>
      <c r="P16454" s="7"/>
    </row>
    <row r="16455" spans="1:16">
      <c r="A16455" s="3">
        <v>44475.289733796293</v>
      </c>
      <c r="B16455" s="4" t="str">
        <f>HYPERLINK("https://twitter.com/petrogustavo","@petrogustavo")</f>
        <v>@petrogustavo</v>
      </c>
      <c r="C16455" s="5" t="s">
        <v>16</v>
      </c>
      <c r="D16455" s="5" t="s">
        <v>15839</v>
      </c>
      <c r="E16455" s="6" t="str">
        <f>HYPERLINK("https://twitter.com/petrogustavo/status/1445561248624480263","1445561248624480263")</f>
        <v>1445561248624480263</v>
      </c>
      <c r="F16455" s="7" t="s">
        <v>32</v>
      </c>
      <c r="G16455" s="7">
        <v>4374568</v>
      </c>
      <c r="H16455" s="7">
        <v>2543</v>
      </c>
      <c r="I16455" s="7">
        <v>109</v>
      </c>
      <c r="J16455" s="7">
        <v>248</v>
      </c>
      <c r="K16455" s="7" t="s">
        <v>18</v>
      </c>
      <c r="L16455" s="8">
        <v>39987.315405092595</v>
      </c>
      <c r="M16455" s="9" t="s">
        <v>19</v>
      </c>
      <c r="N16455" s="9" t="s">
        <v>20</v>
      </c>
      <c r="O16455" s="6" t="str">
        <f>HYPERLINK("https://pbs.twimg.com/profile_images/962471262747529216/Uo8lOkRJ_normal.jpg","View")</f>
        <v>View</v>
      </c>
      <c r="P16455" s="7"/>
    </row>
    <row r="16456" spans="1:16">
      <c r="A16456" s="3">
        <v>44475.733912037038</v>
      </c>
      <c r="B16456" s="4" t="str">
        <f>HYPERLINK("https://twitter.com/petrogustavo","@petrogustavo")</f>
        <v>@petrogustavo</v>
      </c>
      <c r="C16456" s="5" t="s">
        <v>16</v>
      </c>
      <c r="D16456" s="5" t="s">
        <v>15840</v>
      </c>
      <c r="E16456" s="6" t="str">
        <f>HYPERLINK("https://twitter.com/petrogustavo/status/1445722213294882820","1445722213294882820")</f>
        <v>1445722213294882820</v>
      </c>
      <c r="F16456" s="7" t="s">
        <v>17</v>
      </c>
      <c r="G16456" s="7">
        <v>4375535</v>
      </c>
      <c r="H16456" s="7">
        <v>2542</v>
      </c>
      <c r="I16456" s="7">
        <v>1903</v>
      </c>
      <c r="J16456" s="7">
        <v>0</v>
      </c>
      <c r="K16456" s="7" t="s">
        <v>18</v>
      </c>
      <c r="L16456" s="8">
        <v>39987.315405092595</v>
      </c>
      <c r="M16456" s="9" t="s">
        <v>19</v>
      </c>
      <c r="N16456" s="9" t="s">
        <v>20</v>
      </c>
      <c r="O16456" s="6" t="str">
        <f>HYPERLINK("https://pbs.twimg.com/profile_images/962471262747529216/Uo8lOkRJ_normal.jpg","View")</f>
        <v>View</v>
      </c>
      <c r="P16456" s="7"/>
    </row>
    <row r="16457" spans="1:16">
      <c r="A16457" s="3">
        <v>44475.754004629634</v>
      </c>
      <c r="B16457" s="4" t="str">
        <f>HYPERLINK("https://twitter.com/petrogustavo","@petrogustavo")</f>
        <v>@petrogustavo</v>
      </c>
      <c r="C16457" s="5" t="s">
        <v>16</v>
      </c>
      <c r="D16457" s="5" t="s">
        <v>15841</v>
      </c>
      <c r="E16457" s="6" t="str">
        <f>HYPERLINK("https://twitter.com/petrogustavo/status/1445729492878729223","1445729492878729223")</f>
        <v>1445729492878729223</v>
      </c>
      <c r="F16457" s="7" t="s">
        <v>21</v>
      </c>
      <c r="G16457" s="7">
        <v>4375556</v>
      </c>
      <c r="H16457" s="7">
        <v>2542</v>
      </c>
      <c r="I16457" s="7">
        <v>106</v>
      </c>
      <c r="J16457" s="7">
        <v>248</v>
      </c>
      <c r="K16457" s="7" t="s">
        <v>18</v>
      </c>
      <c r="L16457" s="8">
        <v>39987.315405092595</v>
      </c>
      <c r="M16457" s="9" t="s">
        <v>19</v>
      </c>
      <c r="N16457" s="9" t="s">
        <v>20</v>
      </c>
      <c r="O16457" s="6" t="str">
        <f>HYPERLINK("https://pbs.twimg.com/profile_images/962471262747529216/Uo8lOkRJ_normal.jpg","View")</f>
        <v>View</v>
      </c>
      <c r="P16457" s="7"/>
    </row>
    <row r="16458" spans="1:16">
      <c r="A16458" s="3">
        <v>44475.760381944448</v>
      </c>
      <c r="B16458" s="4" t="str">
        <f>HYPERLINK("https://twitter.com/petrogustavo","@petrogustavo")</f>
        <v>@petrogustavo</v>
      </c>
      <c r="C16458" s="5" t="s">
        <v>16</v>
      </c>
      <c r="D16458" s="5" t="s">
        <v>15842</v>
      </c>
      <c r="E16458" s="6" t="str">
        <f>HYPERLINK("https://twitter.com/petrogustavo/status/1445731806934827014","1445731806934827014")</f>
        <v>1445731806934827014</v>
      </c>
      <c r="F16458" s="7" t="s">
        <v>21</v>
      </c>
      <c r="G16458" s="7">
        <v>4375556</v>
      </c>
      <c r="H16458" s="7">
        <v>2542</v>
      </c>
      <c r="I16458" s="7">
        <v>54</v>
      </c>
      <c r="J16458" s="7">
        <v>114</v>
      </c>
      <c r="K16458" s="7" t="s">
        <v>18</v>
      </c>
      <c r="L16458" s="8">
        <v>39987.315405092595</v>
      </c>
      <c r="M16458" s="9" t="s">
        <v>19</v>
      </c>
      <c r="N16458" s="9" t="s">
        <v>20</v>
      </c>
      <c r="O16458" s="6" t="str">
        <f>HYPERLINK("https://pbs.twimg.com/profile_images/962471262747529216/Uo8lOkRJ_normal.jpg","View")</f>
        <v>View</v>
      </c>
      <c r="P16458" s="7"/>
    </row>
    <row r="16459" spans="1:16">
      <c r="A16459" s="3">
        <v>44475.763761574075</v>
      </c>
      <c r="B16459" s="4" t="str">
        <f>HYPERLINK("https://twitter.com/petrogustavo","@petrogustavo")</f>
        <v>@petrogustavo</v>
      </c>
      <c r="C16459" s="5" t="s">
        <v>16</v>
      </c>
      <c r="D16459" s="5" t="s">
        <v>15843</v>
      </c>
      <c r="E16459" s="6" t="str">
        <f>HYPERLINK("https://twitter.com/petrogustavo/status/1445733031998808064","1445733031998808064")</f>
        <v>1445733031998808064</v>
      </c>
      <c r="F16459" s="7" t="s">
        <v>21</v>
      </c>
      <c r="G16459" s="7">
        <v>4374844</v>
      </c>
      <c r="H16459" s="7">
        <v>2543</v>
      </c>
      <c r="I16459" s="7">
        <v>126</v>
      </c>
      <c r="J16459" s="7">
        <v>281</v>
      </c>
      <c r="K16459" s="7" t="s">
        <v>18</v>
      </c>
      <c r="L16459" s="8">
        <v>39987.315405092595</v>
      </c>
      <c r="M16459" s="9" t="s">
        <v>19</v>
      </c>
      <c r="N16459" s="9" t="s">
        <v>20</v>
      </c>
      <c r="O16459" s="6" t="str">
        <f>HYPERLINK("https://pbs.twimg.com/profile_images/962471262747529216/Uo8lOkRJ_normal.jpg","View")</f>
        <v>View</v>
      </c>
      <c r="P16459" s="7"/>
    </row>
    <row r="16460" spans="1:16">
      <c r="A16460" s="3">
        <v>44475.795104166667</v>
      </c>
      <c r="B16460" s="4" t="str">
        <f>HYPERLINK("https://twitter.com/petrogustavo","@petrogustavo")</f>
        <v>@petrogustavo</v>
      </c>
      <c r="C16460" s="5" t="s">
        <v>16</v>
      </c>
      <c r="D16460" s="5" t="s">
        <v>15844</v>
      </c>
      <c r="E16460" s="6" t="str">
        <f>HYPERLINK("https://twitter.com/petrogustavo/status/1445744388840198147","1445744388840198147")</f>
        <v>1445744388840198147</v>
      </c>
      <c r="F16460" s="7" t="s">
        <v>32</v>
      </c>
      <c r="G16460" s="7">
        <v>4374862</v>
      </c>
      <c r="H16460" s="7">
        <v>2543</v>
      </c>
      <c r="I16460" s="7">
        <v>99</v>
      </c>
      <c r="J16460" s="7">
        <v>249</v>
      </c>
      <c r="K16460" s="7" t="s">
        <v>18</v>
      </c>
      <c r="L16460" s="8">
        <v>39987.315405092595</v>
      </c>
      <c r="M16460" s="9" t="s">
        <v>19</v>
      </c>
      <c r="N16460" s="9" t="s">
        <v>20</v>
      </c>
      <c r="O16460" s="6" t="str">
        <f>HYPERLINK("https://pbs.twimg.com/profile_images/962471262747529216/Uo8lOkRJ_normal.jpg","View")</f>
        <v>View</v>
      </c>
      <c r="P16460" s="7"/>
    </row>
    <row r="16461" spans="1:16">
      <c r="A16461" s="3">
        <v>44475.795324074075</v>
      </c>
      <c r="B16461" s="4" t="str">
        <f>HYPERLINK("https://twitter.com/petrogustavo","@petrogustavo")</f>
        <v>@petrogustavo</v>
      </c>
      <c r="C16461" s="5" t="s">
        <v>16</v>
      </c>
      <c r="D16461" s="5" t="s">
        <v>15845</v>
      </c>
      <c r="E16461" s="6" t="str">
        <f>HYPERLINK("https://twitter.com/petrogustavo/status/1445744466950647810","1445744466950647810")</f>
        <v>1445744466950647810</v>
      </c>
      <c r="F16461" s="7" t="s">
        <v>32</v>
      </c>
      <c r="G16461" s="7">
        <v>4374862</v>
      </c>
      <c r="H16461" s="7">
        <v>2543</v>
      </c>
      <c r="I16461" s="7">
        <v>178</v>
      </c>
      <c r="J16461" s="7">
        <v>0</v>
      </c>
      <c r="K16461" s="7" t="s">
        <v>18</v>
      </c>
      <c r="L16461" s="8">
        <v>39987.315405092595</v>
      </c>
      <c r="M16461" s="9" t="s">
        <v>19</v>
      </c>
      <c r="N16461" s="9" t="s">
        <v>20</v>
      </c>
      <c r="O16461" s="6" t="str">
        <f>HYPERLINK("https://pbs.twimg.com/profile_images/962471262747529216/Uo8lOkRJ_normal.jpg","View")</f>
        <v>View</v>
      </c>
      <c r="P16461" s="7"/>
    </row>
    <row r="16462" spans="1:16">
      <c r="A16462" s="3">
        <v>44475.795370370368</v>
      </c>
      <c r="B16462" s="4" t="str">
        <f>HYPERLINK("https://twitter.com/petrogustavo","@petrogustavo")</f>
        <v>@petrogustavo</v>
      </c>
      <c r="C16462" s="5" t="s">
        <v>16</v>
      </c>
      <c r="D16462" s="5" t="s">
        <v>15845</v>
      </c>
      <c r="E16462" s="6" t="str">
        <f>HYPERLINK("https://twitter.com/petrogustavo/status/1445744484973629441","1445744484973629441")</f>
        <v>1445744484973629441</v>
      </c>
      <c r="F16462" s="7" t="s">
        <v>32</v>
      </c>
      <c r="G16462" s="7">
        <v>4374862</v>
      </c>
      <c r="H16462" s="7">
        <v>2543</v>
      </c>
      <c r="I16462" s="7">
        <v>327</v>
      </c>
      <c r="J16462" s="7">
        <v>0</v>
      </c>
      <c r="K16462" s="7" t="s">
        <v>18</v>
      </c>
      <c r="L16462" s="8">
        <v>39987.315405092595</v>
      </c>
      <c r="M16462" s="9" t="s">
        <v>19</v>
      </c>
      <c r="N16462" s="9" t="s">
        <v>20</v>
      </c>
      <c r="O16462" s="6" t="str">
        <f>HYPERLINK("https://pbs.twimg.com/profile_images/962471262747529216/Uo8lOkRJ_normal.jpg","View")</f>
        <v>View</v>
      </c>
      <c r="P16462" s="7"/>
    </row>
    <row r="16463" spans="1:16">
      <c r="A16463" s="3">
        <v>44475.795416666668</v>
      </c>
      <c r="B16463" s="4" t="str">
        <f>HYPERLINK("https://twitter.com/petrogustavo","@petrogustavo")</f>
        <v>@petrogustavo</v>
      </c>
      <c r="C16463" s="5" t="s">
        <v>16</v>
      </c>
      <c r="D16463" s="5" t="s">
        <v>15845</v>
      </c>
      <c r="E16463" s="6" t="str">
        <f>HYPERLINK("https://twitter.com/petrogustavo/status/1445744503478886407","1445744503478886407")</f>
        <v>1445744503478886407</v>
      </c>
      <c r="F16463" s="7" t="s">
        <v>32</v>
      </c>
      <c r="G16463" s="7">
        <v>4374862</v>
      </c>
      <c r="H16463" s="7">
        <v>2543</v>
      </c>
      <c r="I16463" s="7">
        <v>271</v>
      </c>
      <c r="J16463" s="7">
        <v>0</v>
      </c>
      <c r="K16463" s="7" t="s">
        <v>18</v>
      </c>
      <c r="L16463" s="8">
        <v>39987.315405092595</v>
      </c>
      <c r="M16463" s="9" t="s">
        <v>19</v>
      </c>
      <c r="N16463" s="9" t="s">
        <v>20</v>
      </c>
      <c r="O16463" s="6" t="str">
        <f>HYPERLINK("https://pbs.twimg.com/profile_images/962471262747529216/Uo8lOkRJ_normal.jpg","View")</f>
        <v>View</v>
      </c>
      <c r="P16463" s="7"/>
    </row>
    <row r="16464" spans="1:16">
      <c r="A16464" s="3">
        <v>44475.884328703702</v>
      </c>
      <c r="B16464" s="4" t="str">
        <f>HYPERLINK("https://twitter.com/petrogustavo","@petrogustavo")</f>
        <v>@petrogustavo</v>
      </c>
      <c r="C16464" s="5" t="s">
        <v>16</v>
      </c>
      <c r="D16464" s="5" t="s">
        <v>15846</v>
      </c>
      <c r="E16464" s="6" t="str">
        <f>HYPERLINK("https://twitter.com/petrogustavo/status/1445776721983115271","1445776721983115271")</f>
        <v>1445776721983115271</v>
      </c>
      <c r="F16464" s="7" t="s">
        <v>32</v>
      </c>
      <c r="G16464" s="7">
        <v>4374918</v>
      </c>
      <c r="H16464" s="7">
        <v>2543</v>
      </c>
      <c r="I16464" s="7">
        <v>59</v>
      </c>
      <c r="J16464" s="7">
        <v>134</v>
      </c>
      <c r="K16464" s="7" t="s">
        <v>18</v>
      </c>
      <c r="L16464" s="8">
        <v>39987.315405092595</v>
      </c>
      <c r="M16464" s="9" t="s">
        <v>19</v>
      </c>
      <c r="N16464" s="9" t="s">
        <v>20</v>
      </c>
      <c r="O16464" s="6" t="str">
        <f>HYPERLINK("https://pbs.twimg.com/profile_images/962471262747529216/Uo8lOkRJ_normal.jpg","View")</f>
        <v>View</v>
      </c>
      <c r="P16464" s="7"/>
    </row>
    <row r="16465" spans="1:16">
      <c r="A16465" s="3">
        <v>44476.165243055555</v>
      </c>
      <c r="B16465" s="4" t="str">
        <f>HYPERLINK("https://twitter.com/petrogustavo","@petrogustavo")</f>
        <v>@petrogustavo</v>
      </c>
      <c r="C16465" s="5" t="s">
        <v>16</v>
      </c>
      <c r="D16465" s="5" t="s">
        <v>15847</v>
      </c>
      <c r="E16465" s="6" t="str">
        <f>HYPERLINK("https://twitter.com/petrogustavo/status/1445878522480824321","1445878522480824321")</f>
        <v>1445878522480824321</v>
      </c>
      <c r="F16465" s="7" t="s">
        <v>32</v>
      </c>
      <c r="G16465" s="7">
        <v>4375915</v>
      </c>
      <c r="H16465" s="7">
        <v>2542</v>
      </c>
      <c r="I16465" s="7">
        <v>153</v>
      </c>
      <c r="J16465" s="7">
        <v>391</v>
      </c>
      <c r="K16465" s="7" t="s">
        <v>18</v>
      </c>
      <c r="L16465" s="8">
        <v>39987.315405092595</v>
      </c>
      <c r="M16465" s="9" t="s">
        <v>19</v>
      </c>
      <c r="N16465" s="9" t="s">
        <v>20</v>
      </c>
      <c r="O16465" s="6" t="str">
        <f>HYPERLINK("https://pbs.twimg.com/profile_images/962471262747529216/Uo8lOkRJ_normal.jpg","View")</f>
        <v>View</v>
      </c>
      <c r="P16465" s="7"/>
    </row>
    <row r="16466" spans="1:16">
      <c r="A16466" s="3">
        <v>44476.168182870373</v>
      </c>
      <c r="B16466" s="4" t="str">
        <f>HYPERLINK("https://twitter.com/petrogustavo","@petrogustavo")</f>
        <v>@petrogustavo</v>
      </c>
      <c r="C16466" s="5" t="s">
        <v>16</v>
      </c>
      <c r="D16466" s="5" t="s">
        <v>15848</v>
      </c>
      <c r="E16466" s="6" t="str">
        <f>HYPERLINK("https://twitter.com/petrogustavo/status/1445879589063073792","1445879589063073792")</f>
        <v>1445879589063073792</v>
      </c>
      <c r="F16466" s="7" t="s">
        <v>32</v>
      </c>
      <c r="G16466" s="7">
        <v>4375915</v>
      </c>
      <c r="H16466" s="7">
        <v>2542</v>
      </c>
      <c r="I16466" s="7">
        <v>1537</v>
      </c>
      <c r="J16466" s="7">
        <v>0</v>
      </c>
      <c r="K16466" s="7" t="s">
        <v>18</v>
      </c>
      <c r="L16466" s="8">
        <v>39987.315405092595</v>
      </c>
      <c r="M16466" s="9" t="s">
        <v>19</v>
      </c>
      <c r="N16466" s="9" t="s">
        <v>20</v>
      </c>
      <c r="O16466" s="6" t="str">
        <f>HYPERLINK("https://pbs.twimg.com/profile_images/962471262747529216/Uo8lOkRJ_normal.jpg","View")</f>
        <v>View</v>
      </c>
      <c r="P16466" s="7"/>
    </row>
    <row r="16467" spans="1:16">
      <c r="A16467" s="3">
        <v>44476.168449074074</v>
      </c>
      <c r="B16467" s="4" t="str">
        <f>HYPERLINK("https://twitter.com/petrogustavo","@petrogustavo")</f>
        <v>@petrogustavo</v>
      </c>
      <c r="C16467" s="5" t="s">
        <v>16</v>
      </c>
      <c r="D16467" s="5" t="s">
        <v>15845</v>
      </c>
      <c r="E16467" s="6" t="str">
        <f>HYPERLINK("https://twitter.com/petrogustavo/status/1445879683019591680","1445879683019591680")</f>
        <v>1445879683019591680</v>
      </c>
      <c r="F16467" s="7" t="s">
        <v>32</v>
      </c>
      <c r="G16467" s="7">
        <v>4375915</v>
      </c>
      <c r="H16467" s="7">
        <v>2542</v>
      </c>
      <c r="I16467" s="7">
        <v>592</v>
      </c>
      <c r="J16467" s="7">
        <v>0</v>
      </c>
      <c r="K16467" s="7" t="s">
        <v>18</v>
      </c>
      <c r="L16467" s="8">
        <v>39987.315405092595</v>
      </c>
      <c r="M16467" s="9" t="s">
        <v>19</v>
      </c>
      <c r="N16467" s="9" t="s">
        <v>20</v>
      </c>
      <c r="O16467" s="6" t="str">
        <f>HYPERLINK("https://pbs.twimg.com/profile_images/962471262747529216/Uo8lOkRJ_normal.jpg","View")</f>
        <v>View</v>
      </c>
      <c r="P16467" s="7"/>
    </row>
    <row r="16468" spans="1:16">
      <c r="A16468" s="3">
        <v>44476.168495370366</v>
      </c>
      <c r="B16468" s="4" t="str">
        <f>HYPERLINK("https://twitter.com/petrogustavo","@petrogustavo")</f>
        <v>@petrogustavo</v>
      </c>
      <c r="C16468" s="5" t="s">
        <v>16</v>
      </c>
      <c r="D16468" s="5" t="s">
        <v>15845</v>
      </c>
      <c r="E16468" s="6" t="str">
        <f>HYPERLINK("https://twitter.com/petrogustavo/status/1445879700165963777","1445879700165963777")</f>
        <v>1445879700165963777</v>
      </c>
      <c r="F16468" s="7" t="s">
        <v>32</v>
      </c>
      <c r="G16468" s="7">
        <v>4375915</v>
      </c>
      <c r="H16468" s="7">
        <v>2542</v>
      </c>
      <c r="I16468" s="7">
        <v>1132</v>
      </c>
      <c r="J16468" s="7">
        <v>0</v>
      </c>
      <c r="K16468" s="7" t="s">
        <v>18</v>
      </c>
      <c r="L16468" s="8">
        <v>39987.315405092595</v>
      </c>
      <c r="M16468" s="9" t="s">
        <v>19</v>
      </c>
      <c r="N16468" s="9" t="s">
        <v>20</v>
      </c>
      <c r="O16468" s="6" t="str">
        <f>HYPERLINK("https://pbs.twimg.com/profile_images/962471262747529216/Uo8lOkRJ_normal.jpg","View")</f>
        <v>View</v>
      </c>
      <c r="P16468" s="7"/>
    </row>
    <row r="16469" spans="1:16">
      <c r="A16469" s="3">
        <v>44476.168541666666</v>
      </c>
      <c r="B16469" s="4" t="str">
        <f>HYPERLINK("https://twitter.com/petrogustavo","@petrogustavo")</f>
        <v>@petrogustavo</v>
      </c>
      <c r="C16469" s="5" t="s">
        <v>16</v>
      </c>
      <c r="D16469" s="5" t="s">
        <v>15845</v>
      </c>
      <c r="E16469" s="6" t="str">
        <f>HYPERLINK("https://twitter.com/petrogustavo/status/1445879716360204293","1445879716360204293")</f>
        <v>1445879716360204293</v>
      </c>
      <c r="F16469" s="7" t="s">
        <v>32</v>
      </c>
      <c r="G16469" s="7">
        <v>4375915</v>
      </c>
      <c r="H16469" s="7">
        <v>2542</v>
      </c>
      <c r="I16469" s="7">
        <v>764</v>
      </c>
      <c r="J16469" s="7">
        <v>0</v>
      </c>
      <c r="K16469" s="7" t="s">
        <v>18</v>
      </c>
      <c r="L16469" s="8">
        <v>39987.315405092595</v>
      </c>
      <c r="M16469" s="9" t="s">
        <v>19</v>
      </c>
      <c r="N16469" s="9" t="s">
        <v>20</v>
      </c>
      <c r="O16469" s="6" t="str">
        <f>HYPERLINK("https://pbs.twimg.com/profile_images/962471262747529216/Uo8lOkRJ_normal.jpg","View")</f>
        <v>View</v>
      </c>
      <c r="P16469" s="7"/>
    </row>
    <row r="16470" spans="1:16">
      <c r="A16470" s="3">
        <v>44476.761932870373</v>
      </c>
      <c r="B16470" s="4" t="str">
        <f>HYPERLINK("https://twitter.com/petrogustavo","@petrogustavo")</f>
        <v>@petrogustavo</v>
      </c>
      <c r="C16470" s="5" t="s">
        <v>16</v>
      </c>
      <c r="D16470" s="5" t="s">
        <v>15849</v>
      </c>
      <c r="E16470" s="6" t="str">
        <f>HYPERLINK("https://twitter.com/petrogustavo/status/1446094756443009035","1446094756443009035")</f>
        <v>1446094756443009035</v>
      </c>
      <c r="F16470" s="7" t="s">
        <v>17</v>
      </c>
      <c r="G16470" s="7">
        <v>4376267</v>
      </c>
      <c r="H16470" s="7">
        <v>2542</v>
      </c>
      <c r="I16470" s="7">
        <v>7</v>
      </c>
      <c r="J16470" s="7">
        <v>24</v>
      </c>
      <c r="K16470" s="7" t="s">
        <v>18</v>
      </c>
      <c r="L16470" s="8">
        <v>39987.315405092595</v>
      </c>
      <c r="M16470" s="9" t="s">
        <v>19</v>
      </c>
      <c r="N16470" s="9" t="s">
        <v>20</v>
      </c>
      <c r="O16470" s="6" t="str">
        <f>HYPERLINK("https://pbs.twimg.com/profile_images/962471262747529216/Uo8lOkRJ_normal.jpg","View")</f>
        <v>View</v>
      </c>
      <c r="P16470" s="7"/>
    </row>
    <row r="16471" spans="1:16">
      <c r="A16471" s="3">
        <v>44476.763287037036</v>
      </c>
      <c r="B16471" s="4" t="str">
        <f>HYPERLINK("https://twitter.com/petrogustavo","@petrogustavo")</f>
        <v>@petrogustavo</v>
      </c>
      <c r="C16471" s="5" t="s">
        <v>16</v>
      </c>
      <c r="D16471" s="5" t="s">
        <v>15850</v>
      </c>
      <c r="E16471" s="6" t="str">
        <f>HYPERLINK("https://twitter.com/petrogustavo/status/1446095244576051200","1446095244576051200")</f>
        <v>1446095244576051200</v>
      </c>
      <c r="F16471" s="7" t="s">
        <v>17</v>
      </c>
      <c r="G16471" s="7">
        <v>4376292</v>
      </c>
      <c r="H16471" s="7">
        <v>2542</v>
      </c>
      <c r="I16471" s="7">
        <v>144</v>
      </c>
      <c r="J16471" s="7">
        <v>0</v>
      </c>
      <c r="K16471" s="7" t="s">
        <v>18</v>
      </c>
      <c r="L16471" s="8">
        <v>39987.315405092595</v>
      </c>
      <c r="M16471" s="9" t="s">
        <v>19</v>
      </c>
      <c r="N16471" s="9" t="s">
        <v>20</v>
      </c>
      <c r="O16471" s="6" t="str">
        <f>HYPERLINK("https://pbs.twimg.com/profile_images/962471262747529216/Uo8lOkRJ_normal.jpg","View")</f>
        <v>View</v>
      </c>
      <c r="P16471" s="7"/>
    </row>
    <row r="16472" spans="1:16">
      <c r="A16472" s="3">
        <v>44476.765208333338</v>
      </c>
      <c r="B16472" s="4" t="str">
        <f>HYPERLINK("https://twitter.com/petrogustavo","@petrogustavo")</f>
        <v>@petrogustavo</v>
      </c>
      <c r="C16472" s="5" t="s">
        <v>16</v>
      </c>
      <c r="D16472" s="5" t="s">
        <v>15851</v>
      </c>
      <c r="E16472" s="6" t="str">
        <f>HYPERLINK("https://twitter.com/petrogustavo/status/1446095941220683778","1446095941220683778")</f>
        <v>1446095941220683778</v>
      </c>
      <c r="F16472" s="7" t="s">
        <v>17</v>
      </c>
      <c r="G16472" s="7">
        <v>4376292</v>
      </c>
      <c r="H16472" s="7">
        <v>2542</v>
      </c>
      <c r="I16472" s="7">
        <v>450</v>
      </c>
      <c r="J16472" s="7">
        <v>1103</v>
      </c>
      <c r="K16472" s="7" t="s">
        <v>18</v>
      </c>
      <c r="L16472" s="8">
        <v>39987.315405092595</v>
      </c>
      <c r="M16472" s="9" t="s">
        <v>19</v>
      </c>
      <c r="N16472" s="9" t="s">
        <v>20</v>
      </c>
      <c r="O16472" s="6" t="str">
        <f>HYPERLINK("https://pbs.twimg.com/profile_images/962471262747529216/Uo8lOkRJ_normal.jpg","View")</f>
        <v>View</v>
      </c>
      <c r="P16472" s="7"/>
    </row>
    <row r="16473" spans="1:16">
      <c r="A16473" s="3">
        <v>44476.772372685184</v>
      </c>
      <c r="B16473" s="4" t="str">
        <f>HYPERLINK("https://twitter.com/petrogustavo","@petrogustavo")</f>
        <v>@petrogustavo</v>
      </c>
      <c r="C16473" s="5" t="s">
        <v>16</v>
      </c>
      <c r="D16473" s="5" t="s">
        <v>15852</v>
      </c>
      <c r="E16473" s="6" t="str">
        <f>HYPERLINK("https://twitter.com/petrogustavo/status/1446098536945397761","1446098536945397761")</f>
        <v>1446098536945397761</v>
      </c>
      <c r="F16473" s="7" t="s">
        <v>17</v>
      </c>
      <c r="G16473" s="7">
        <v>4376292</v>
      </c>
      <c r="H16473" s="7">
        <v>2542</v>
      </c>
      <c r="I16473" s="7">
        <v>83</v>
      </c>
      <c r="J16473" s="7">
        <v>171</v>
      </c>
      <c r="K16473" s="7" t="s">
        <v>18</v>
      </c>
      <c r="L16473" s="8">
        <v>39987.315405092595</v>
      </c>
      <c r="M16473" s="9" t="s">
        <v>19</v>
      </c>
      <c r="N16473" s="9" t="s">
        <v>20</v>
      </c>
      <c r="O16473" s="6" t="str">
        <f>HYPERLINK("https://pbs.twimg.com/profile_images/962471262747529216/Uo8lOkRJ_normal.jpg","View")</f>
        <v>View</v>
      </c>
      <c r="P16473" s="7"/>
    </row>
    <row r="16474" spans="1:16">
      <c r="A16474" s="3">
        <v>44476.772372685184</v>
      </c>
      <c r="B16474" s="4" t="str">
        <f>HYPERLINK("https://twitter.com/petrogustavo","@petrogustavo")</f>
        <v>@petrogustavo</v>
      </c>
      <c r="C16474" s="5" t="s">
        <v>16</v>
      </c>
      <c r="D16474" s="5" t="s">
        <v>15853</v>
      </c>
      <c r="E16474" s="6" t="str">
        <f>HYPERLINK("https://twitter.com/petrogustavo/status/1446098538774110218","1446098538774110218")</f>
        <v>1446098538774110218</v>
      </c>
      <c r="F16474" s="7" t="s">
        <v>17</v>
      </c>
      <c r="G16474" s="7">
        <v>4376292</v>
      </c>
      <c r="H16474" s="7">
        <v>2542</v>
      </c>
      <c r="I16474" s="7">
        <v>56</v>
      </c>
      <c r="J16474" s="7">
        <v>113</v>
      </c>
      <c r="K16474" s="7" t="s">
        <v>18</v>
      </c>
      <c r="L16474" s="8">
        <v>39987.315405092595</v>
      </c>
      <c r="M16474" s="9" t="s">
        <v>19</v>
      </c>
      <c r="N16474" s="9" t="s">
        <v>20</v>
      </c>
      <c r="O16474" s="6" t="str">
        <f>HYPERLINK("https://pbs.twimg.com/profile_images/962471262747529216/Uo8lOkRJ_normal.jpg","View")</f>
        <v>View</v>
      </c>
      <c r="P16474" s="7"/>
    </row>
    <row r="16475" spans="1:16">
      <c r="A16475" s="3">
        <v>44476.773182870369</v>
      </c>
      <c r="B16475" s="4" t="str">
        <f>HYPERLINK("https://twitter.com/petrogustavo","@petrogustavo")</f>
        <v>@petrogustavo</v>
      </c>
      <c r="C16475" s="5" t="s">
        <v>16</v>
      </c>
      <c r="D16475" s="5" t="s">
        <v>15854</v>
      </c>
      <c r="E16475" s="6" t="str">
        <f>HYPERLINK("https://twitter.com/petrogustavo/status/1446098830236192773","1446098830236192773")</f>
        <v>1446098830236192773</v>
      </c>
      <c r="F16475" s="7" t="s">
        <v>17</v>
      </c>
      <c r="G16475" s="7">
        <v>4376292</v>
      </c>
      <c r="H16475" s="7">
        <v>2542</v>
      </c>
      <c r="I16475" s="7">
        <v>165</v>
      </c>
      <c r="J16475" s="7">
        <v>0</v>
      </c>
      <c r="K16475" s="7" t="s">
        <v>18</v>
      </c>
      <c r="L16475" s="8">
        <v>39987.315405092595</v>
      </c>
      <c r="M16475" s="9" t="s">
        <v>19</v>
      </c>
      <c r="N16475" s="9" t="s">
        <v>20</v>
      </c>
      <c r="O16475" s="6" t="str">
        <f>HYPERLINK("https://pbs.twimg.com/profile_images/962471262747529216/Uo8lOkRJ_normal.jpg","View")</f>
        <v>View</v>
      </c>
      <c r="P16475" s="7"/>
    </row>
    <row r="16476" spans="1:16">
      <c r="A16476" s="3">
        <v>44476.860775462963</v>
      </c>
      <c r="B16476" s="4" t="str">
        <f>HYPERLINK("https://twitter.com/petrogustavo","@petrogustavo")</f>
        <v>@petrogustavo</v>
      </c>
      <c r="C16476" s="5" t="s">
        <v>16</v>
      </c>
      <c r="D16476" s="5" t="s">
        <v>15855</v>
      </c>
      <c r="E16476" s="6" t="str">
        <f>HYPERLINK("https://twitter.com/petrogustavo/status/1446130573232201728","1446130573232201728")</f>
        <v>1446130573232201728</v>
      </c>
      <c r="F16476" s="7" t="s">
        <v>32</v>
      </c>
      <c r="G16476" s="7">
        <v>4375629</v>
      </c>
      <c r="H16476" s="7">
        <v>2543</v>
      </c>
      <c r="I16476" s="7">
        <v>48</v>
      </c>
      <c r="J16476" s="7">
        <v>174</v>
      </c>
      <c r="K16476" s="7" t="s">
        <v>18</v>
      </c>
      <c r="L16476" s="8">
        <v>39987.315405092595</v>
      </c>
      <c r="M16476" s="9" t="s">
        <v>19</v>
      </c>
      <c r="N16476" s="9" t="s">
        <v>20</v>
      </c>
      <c r="O16476" s="6" t="str">
        <f>HYPERLINK("https://pbs.twimg.com/profile_images/962471262747529216/Uo8lOkRJ_normal.jpg","View")</f>
        <v>View</v>
      </c>
      <c r="P16476" s="7"/>
    </row>
    <row r="16477" spans="1:16">
      <c r="A16477" s="3">
        <v>44476.906006944446</v>
      </c>
      <c r="B16477" s="4" t="str">
        <f>HYPERLINK("https://twitter.com/petrogustavo","@petrogustavo")</f>
        <v>@petrogustavo</v>
      </c>
      <c r="C16477" s="5" t="s">
        <v>16</v>
      </c>
      <c r="D16477" s="5" t="s">
        <v>15856</v>
      </c>
      <c r="E16477" s="6" t="str">
        <f>HYPERLINK("https://twitter.com/petrogustavo/status/1446146964366757892","1446146964366757892")</f>
        <v>1446146964366757892</v>
      </c>
      <c r="F16477" s="7" t="s">
        <v>32</v>
      </c>
      <c r="G16477" s="7">
        <v>4376399</v>
      </c>
      <c r="H16477" s="7">
        <v>2542</v>
      </c>
      <c r="I16477" s="7">
        <v>31</v>
      </c>
      <c r="J16477" s="7">
        <v>0</v>
      </c>
      <c r="K16477" s="7" t="s">
        <v>18</v>
      </c>
      <c r="L16477" s="8">
        <v>39987.315405092595</v>
      </c>
      <c r="M16477" s="9" t="s">
        <v>19</v>
      </c>
      <c r="N16477" s="9" t="s">
        <v>20</v>
      </c>
      <c r="O16477" s="6" t="str">
        <f>HYPERLINK("https://pbs.twimg.com/profile_images/962471262747529216/Uo8lOkRJ_normal.jpg","View")</f>
        <v>View</v>
      </c>
      <c r="P16477" s="7"/>
    </row>
    <row r="16478" spans="1:16">
      <c r="A16478" s="3">
        <v>44476.909687499996</v>
      </c>
      <c r="B16478" s="4" t="str">
        <f>HYPERLINK("https://twitter.com/petrogustavo","@petrogustavo")</f>
        <v>@petrogustavo</v>
      </c>
      <c r="C16478" s="5" t="s">
        <v>16</v>
      </c>
      <c r="D16478" s="5" t="s">
        <v>15857</v>
      </c>
      <c r="E16478" s="6" t="str">
        <f>HYPERLINK("https://twitter.com/petrogustavo/status/1446148299963129863","1446148299963129863")</f>
        <v>1446148299963129863</v>
      </c>
      <c r="F16478" s="7" t="s">
        <v>32</v>
      </c>
      <c r="G16478" s="7">
        <v>4376426</v>
      </c>
      <c r="H16478" s="7">
        <v>2542</v>
      </c>
      <c r="I16478" s="7">
        <v>252</v>
      </c>
      <c r="J16478" s="7">
        <v>715</v>
      </c>
      <c r="K16478" s="7" t="s">
        <v>18</v>
      </c>
      <c r="L16478" s="8">
        <v>39987.315405092595</v>
      </c>
      <c r="M16478" s="9" t="s">
        <v>19</v>
      </c>
      <c r="N16478" s="9" t="s">
        <v>20</v>
      </c>
      <c r="O16478" s="6" t="str">
        <f>HYPERLINK("https://pbs.twimg.com/profile_images/962471262747529216/Uo8lOkRJ_normal.jpg","View")</f>
        <v>View</v>
      </c>
      <c r="P16478" s="7"/>
    </row>
    <row r="16479" spans="1:16">
      <c r="A16479" s="3">
        <v>44476.959282407406</v>
      </c>
      <c r="B16479" s="4" t="str">
        <f>HYPERLINK("https://twitter.com/petrogustavo","@petrogustavo")</f>
        <v>@petrogustavo</v>
      </c>
      <c r="C16479" s="5" t="s">
        <v>16</v>
      </c>
      <c r="D16479" s="5" t="s">
        <v>15858</v>
      </c>
      <c r="E16479" s="6" t="str">
        <f>HYPERLINK("https://twitter.com/petrogustavo/status/1446166270597025800","1446166270597025800")</f>
        <v>1446166270597025800</v>
      </c>
      <c r="F16479" s="7" t="s">
        <v>17</v>
      </c>
      <c r="G16479" s="7">
        <v>4376469</v>
      </c>
      <c r="H16479" s="7">
        <v>2542</v>
      </c>
      <c r="I16479" s="7">
        <v>94</v>
      </c>
      <c r="J16479" s="7">
        <v>185</v>
      </c>
      <c r="K16479" s="7" t="s">
        <v>18</v>
      </c>
      <c r="L16479" s="8">
        <v>39987.315405092595</v>
      </c>
      <c r="M16479" s="9" t="s">
        <v>19</v>
      </c>
      <c r="N16479" s="9" t="s">
        <v>20</v>
      </c>
      <c r="O16479" s="6" t="str">
        <f>HYPERLINK("https://pbs.twimg.com/profile_images/962471262747529216/Uo8lOkRJ_normal.jpg","View")</f>
        <v>View</v>
      </c>
      <c r="P16479" s="7"/>
    </row>
    <row r="16480" spans="1:16">
      <c r="A16480" s="3">
        <v>44476.959282407406</v>
      </c>
      <c r="B16480" s="4" t="str">
        <f>HYPERLINK("https://twitter.com/petrogustavo","@petrogustavo")</f>
        <v>@petrogustavo</v>
      </c>
      <c r="C16480" s="5" t="s">
        <v>16</v>
      </c>
      <c r="D16480" s="5" t="s">
        <v>15859</v>
      </c>
      <c r="E16480" s="6" t="str">
        <f>HYPERLINK("https://twitter.com/petrogustavo/status/1446166272840962052","1446166272840962052")</f>
        <v>1446166272840962052</v>
      </c>
      <c r="F16480" s="7" t="s">
        <v>17</v>
      </c>
      <c r="G16480" s="7">
        <v>4376469</v>
      </c>
      <c r="H16480" s="7">
        <v>2542</v>
      </c>
      <c r="I16480" s="7">
        <v>38</v>
      </c>
      <c r="J16480" s="7">
        <v>118</v>
      </c>
      <c r="K16480" s="7" t="s">
        <v>18</v>
      </c>
      <c r="L16480" s="8">
        <v>39987.315405092595</v>
      </c>
      <c r="M16480" s="9" t="s">
        <v>19</v>
      </c>
      <c r="N16480" s="9" t="s">
        <v>20</v>
      </c>
      <c r="O16480" s="6" t="str">
        <f>HYPERLINK("https://pbs.twimg.com/profile_images/962471262747529216/Uo8lOkRJ_normal.jpg","View")</f>
        <v>View</v>
      </c>
      <c r="P16480" s="7"/>
    </row>
    <row r="16481" spans="1:16">
      <c r="A16481" s="3">
        <v>44476.983217592591</v>
      </c>
      <c r="B16481" s="4" t="str">
        <f>HYPERLINK("https://twitter.com/petrogustavo","@petrogustavo")</f>
        <v>@petrogustavo</v>
      </c>
      <c r="C16481" s="5" t="s">
        <v>16</v>
      </c>
      <c r="D16481" s="5" t="s">
        <v>15860</v>
      </c>
      <c r="E16481" s="6" t="str">
        <f>HYPERLINK("https://twitter.com/petrogustavo/status/1446174948263972864","1446174948263972864")</f>
        <v>1446174948263972864</v>
      </c>
      <c r="F16481" s="7" t="s">
        <v>32</v>
      </c>
      <c r="G16481" s="7">
        <v>4376489</v>
      </c>
      <c r="H16481" s="7">
        <v>2542</v>
      </c>
      <c r="I16481" s="7">
        <v>270</v>
      </c>
      <c r="J16481" s="7">
        <v>0</v>
      </c>
      <c r="K16481" s="7" t="s">
        <v>18</v>
      </c>
      <c r="L16481" s="8">
        <v>39987.315405092595</v>
      </c>
      <c r="M16481" s="9" t="s">
        <v>19</v>
      </c>
      <c r="N16481" s="9" t="s">
        <v>20</v>
      </c>
      <c r="O16481" s="6" t="str">
        <f>HYPERLINK("https://pbs.twimg.com/profile_images/962471262747529216/Uo8lOkRJ_normal.jpg","View")</f>
        <v>View</v>
      </c>
      <c r="P16481" s="7"/>
    </row>
    <row r="16482" spans="1:16">
      <c r="A16482" s="3">
        <v>44477.04792824074</v>
      </c>
      <c r="B16482" s="4" t="str">
        <f>HYPERLINK("https://twitter.com/petrogustavo","@petrogustavo")</f>
        <v>@petrogustavo</v>
      </c>
      <c r="C16482" s="5" t="s">
        <v>16</v>
      </c>
      <c r="D16482" s="5" t="s">
        <v>15861</v>
      </c>
      <c r="E16482" s="6" t="str">
        <f>HYPERLINK("https://twitter.com/petrogustavo/status/1446198398005153797","1446198398005153797")</f>
        <v>1446198398005153797</v>
      </c>
      <c r="F16482" s="7" t="s">
        <v>17</v>
      </c>
      <c r="G16482" s="7">
        <v>4376542</v>
      </c>
      <c r="H16482" s="7">
        <v>2542</v>
      </c>
      <c r="I16482" s="7">
        <v>50</v>
      </c>
      <c r="J16482" s="7">
        <v>117</v>
      </c>
      <c r="K16482" s="7" t="s">
        <v>18</v>
      </c>
      <c r="L16482" s="8">
        <v>39987.315405092595</v>
      </c>
      <c r="M16482" s="9" t="s">
        <v>19</v>
      </c>
      <c r="N16482" s="9" t="s">
        <v>20</v>
      </c>
      <c r="O16482" s="6" t="str">
        <f>HYPERLINK("https://pbs.twimg.com/profile_images/962471262747529216/Uo8lOkRJ_normal.jpg","View")</f>
        <v>View</v>
      </c>
      <c r="P16482" s="7"/>
    </row>
    <row r="16483" spans="1:16">
      <c r="A16483" s="3">
        <v>44477.060173611113</v>
      </c>
      <c r="B16483" s="4" t="str">
        <f>HYPERLINK("https://twitter.com/petrogustavo","@petrogustavo")</f>
        <v>@petrogustavo</v>
      </c>
      <c r="C16483" s="5" t="s">
        <v>16</v>
      </c>
      <c r="D16483" s="5" t="s">
        <v>15862</v>
      </c>
      <c r="E16483" s="6" t="str">
        <f>HYPERLINK("https://twitter.com/petrogustavo/status/1446202836107280388","1446202836107280388")</f>
        <v>1446202836107280388</v>
      </c>
      <c r="F16483" s="7" t="s">
        <v>17</v>
      </c>
      <c r="G16483" s="7">
        <v>4376560</v>
      </c>
      <c r="H16483" s="7">
        <v>2542</v>
      </c>
      <c r="I16483" s="7">
        <v>131</v>
      </c>
      <c r="J16483" s="7">
        <v>244</v>
      </c>
      <c r="K16483" s="7" t="s">
        <v>18</v>
      </c>
      <c r="L16483" s="8">
        <v>39987.315405092595</v>
      </c>
      <c r="M16483" s="9" t="s">
        <v>19</v>
      </c>
      <c r="N16483" s="9" t="s">
        <v>20</v>
      </c>
      <c r="O16483" s="6" t="str">
        <f>HYPERLINK("https://pbs.twimg.com/profile_images/962471262747529216/Uo8lOkRJ_normal.jpg","View")</f>
        <v>View</v>
      </c>
      <c r="P16483" s="7"/>
    </row>
    <row r="16484" spans="1:16">
      <c r="A16484" s="3">
        <v>44477.276979166665</v>
      </c>
      <c r="B16484" s="4" t="str">
        <f>HYPERLINK("https://twitter.com/petrogustavo","@petrogustavo")</f>
        <v>@petrogustavo</v>
      </c>
      <c r="C16484" s="5" t="s">
        <v>16</v>
      </c>
      <c r="D16484" s="5" t="s">
        <v>15863</v>
      </c>
      <c r="E16484" s="6" t="str">
        <f>HYPERLINK("https://twitter.com/petrogustavo/status/1446281403033866246","1446281403033866246")</f>
        <v>1446281403033866246</v>
      </c>
      <c r="F16484" s="7" t="s">
        <v>32</v>
      </c>
      <c r="G16484" s="7">
        <v>4376654</v>
      </c>
      <c r="H16484" s="7">
        <v>2542</v>
      </c>
      <c r="I16484" s="7">
        <v>88</v>
      </c>
      <c r="J16484" s="7">
        <v>277</v>
      </c>
      <c r="K16484" s="7" t="s">
        <v>18</v>
      </c>
      <c r="L16484" s="8">
        <v>39987.315405092595</v>
      </c>
      <c r="M16484" s="9" t="s">
        <v>19</v>
      </c>
      <c r="N16484" s="9" t="s">
        <v>20</v>
      </c>
      <c r="O16484" s="6" t="str">
        <f>HYPERLINK("https://pbs.twimg.com/profile_images/962471262747529216/Uo8lOkRJ_normal.jpg","View")</f>
        <v>View</v>
      </c>
      <c r="P16484" s="7"/>
    </row>
    <row r="16485" spans="1:16">
      <c r="A16485" s="3">
        <v>44477.302141203705</v>
      </c>
      <c r="B16485" s="4" t="str">
        <f>HYPERLINK("https://twitter.com/petrogustavo","@petrogustavo")</f>
        <v>@petrogustavo</v>
      </c>
      <c r="C16485" s="5" t="s">
        <v>16</v>
      </c>
      <c r="D16485" s="5" t="s">
        <v>15864</v>
      </c>
      <c r="E16485" s="6" t="str">
        <f>HYPERLINK("https://twitter.com/petrogustavo/status/1446290519257198595","1446290519257198595")</f>
        <v>1446290519257198595</v>
      </c>
      <c r="F16485" s="7" t="s">
        <v>17</v>
      </c>
      <c r="G16485" s="7">
        <v>4376671</v>
      </c>
      <c r="H16485" s="7">
        <v>2542</v>
      </c>
      <c r="I16485" s="7">
        <v>43</v>
      </c>
      <c r="J16485" s="7">
        <v>185</v>
      </c>
      <c r="K16485" s="7" t="s">
        <v>18</v>
      </c>
      <c r="L16485" s="8">
        <v>39987.315405092595</v>
      </c>
      <c r="M16485" s="9" t="s">
        <v>19</v>
      </c>
      <c r="N16485" s="9" t="s">
        <v>20</v>
      </c>
      <c r="O16485" s="6" t="str">
        <f>HYPERLINK("https://pbs.twimg.com/profile_images/962471262747529216/Uo8lOkRJ_normal.jpg","View")</f>
        <v>View</v>
      </c>
      <c r="P16485" s="7"/>
    </row>
    <row r="16486" spans="1:16">
      <c r="A16486" s="3">
        <v>44477.655694444446</v>
      </c>
      <c r="B16486" s="4" t="str">
        <f>HYPERLINK("https://twitter.com/petrogustavo","@petrogustavo")</f>
        <v>@petrogustavo</v>
      </c>
      <c r="C16486" s="5" t="s">
        <v>16</v>
      </c>
      <c r="D16486" s="5" t="s">
        <v>15865</v>
      </c>
      <c r="E16486" s="6" t="str">
        <f>HYPERLINK("https://twitter.com/petrogustavo/status/1446418642418163714","1446418642418163714")</f>
        <v>1446418642418163714</v>
      </c>
      <c r="F16486" s="7" t="s">
        <v>17</v>
      </c>
      <c r="G16486" s="7">
        <v>4376761</v>
      </c>
      <c r="H16486" s="7">
        <v>2541</v>
      </c>
      <c r="I16486" s="7">
        <v>686</v>
      </c>
      <c r="J16486" s="7">
        <v>0</v>
      </c>
      <c r="K16486" s="7" t="s">
        <v>18</v>
      </c>
      <c r="L16486" s="8">
        <v>39987.315405092595</v>
      </c>
      <c r="M16486" s="9" t="s">
        <v>19</v>
      </c>
      <c r="N16486" s="9" t="s">
        <v>20</v>
      </c>
      <c r="O16486" s="6" t="str">
        <f>HYPERLINK("https://pbs.twimg.com/profile_images/962471262747529216/Uo8lOkRJ_normal.jpg","View")</f>
        <v>View</v>
      </c>
      <c r="P16486" s="7"/>
    </row>
    <row r="16487" spans="1:16">
      <c r="A16487" s="3">
        <v>44477.659803240742</v>
      </c>
      <c r="B16487" s="4" t="str">
        <f>HYPERLINK("https://twitter.com/petrogustavo","@petrogustavo")</f>
        <v>@petrogustavo</v>
      </c>
      <c r="C16487" s="5" t="s">
        <v>16</v>
      </c>
      <c r="D16487" s="5" t="s">
        <v>15866</v>
      </c>
      <c r="E16487" s="6" t="str">
        <f>HYPERLINK("https://twitter.com/petrogustavo/status/1446420134260838402","1446420134260838402")</f>
        <v>1446420134260838402</v>
      </c>
      <c r="F16487" s="7" t="s">
        <v>17</v>
      </c>
      <c r="G16487" s="7">
        <v>4376749</v>
      </c>
      <c r="H16487" s="7">
        <v>2542</v>
      </c>
      <c r="I16487" s="7">
        <v>111</v>
      </c>
      <c r="J16487" s="7">
        <v>480</v>
      </c>
      <c r="K16487" s="7" t="s">
        <v>18</v>
      </c>
      <c r="L16487" s="8">
        <v>39987.315405092595</v>
      </c>
      <c r="M16487" s="9" t="s">
        <v>19</v>
      </c>
      <c r="N16487" s="9" t="s">
        <v>20</v>
      </c>
      <c r="O16487" s="6" t="str">
        <f>HYPERLINK("https://pbs.twimg.com/profile_images/962471262747529216/Uo8lOkRJ_normal.jpg","View")</f>
        <v>View</v>
      </c>
      <c r="P16487" s="7"/>
    </row>
    <row r="16488" spans="1:16">
      <c r="A16488" s="3">
        <v>44477.697465277779</v>
      </c>
      <c r="B16488" s="4" t="str">
        <f>HYPERLINK("https://twitter.com/petrogustavo","@petrogustavo")</f>
        <v>@petrogustavo</v>
      </c>
      <c r="C16488" s="5" t="s">
        <v>16</v>
      </c>
      <c r="D16488" s="5" t="s">
        <v>15867</v>
      </c>
      <c r="E16488" s="6" t="str">
        <f>HYPERLINK("https://twitter.com/petrogustavo/status/1446433782710554625","1446433782710554625")</f>
        <v>1446433782710554625</v>
      </c>
      <c r="F16488" s="7" t="s">
        <v>17</v>
      </c>
      <c r="G16488" s="7">
        <v>4376758</v>
      </c>
      <c r="H16488" s="7">
        <v>2542</v>
      </c>
      <c r="I16488" s="7">
        <v>28</v>
      </c>
      <c r="J16488" s="7">
        <v>44</v>
      </c>
      <c r="K16488" s="7" t="s">
        <v>18</v>
      </c>
      <c r="L16488" s="8">
        <v>39987.315405092595</v>
      </c>
      <c r="M16488" s="9" t="s">
        <v>19</v>
      </c>
      <c r="N16488" s="9" t="s">
        <v>20</v>
      </c>
      <c r="O16488" s="6" t="str">
        <f>HYPERLINK("https://pbs.twimg.com/profile_images/962471262747529216/Uo8lOkRJ_normal.jpg","View")</f>
        <v>View</v>
      </c>
      <c r="P16488" s="7"/>
    </row>
    <row r="16489" spans="1:16">
      <c r="A16489" s="3">
        <v>44477.707673611112</v>
      </c>
      <c r="B16489" s="4" t="str">
        <f>HYPERLINK("https://twitter.com/petrogustavo","@petrogustavo")</f>
        <v>@petrogustavo</v>
      </c>
      <c r="C16489" s="5" t="s">
        <v>16</v>
      </c>
      <c r="D16489" s="5" t="s">
        <v>15868</v>
      </c>
      <c r="E16489" s="6" t="str">
        <f>HYPERLINK("https://twitter.com/petrogustavo/status/1446437480237092869","1446437480237092869")</f>
        <v>1446437480237092869</v>
      </c>
      <c r="F16489" s="7" t="s">
        <v>17</v>
      </c>
      <c r="G16489" s="7">
        <v>4376770</v>
      </c>
      <c r="H16489" s="7">
        <v>2542</v>
      </c>
      <c r="I16489" s="7">
        <v>350</v>
      </c>
      <c r="J16489" s="7">
        <v>0</v>
      </c>
      <c r="K16489" s="7" t="s">
        <v>18</v>
      </c>
      <c r="L16489" s="8">
        <v>39987.315405092595</v>
      </c>
      <c r="M16489" s="9" t="s">
        <v>19</v>
      </c>
      <c r="N16489" s="9" t="s">
        <v>20</v>
      </c>
      <c r="O16489" s="6" t="str">
        <f>HYPERLINK("https://pbs.twimg.com/profile_images/962471262747529216/Uo8lOkRJ_normal.jpg","View")</f>
        <v>View</v>
      </c>
      <c r="P16489" s="7"/>
    </row>
    <row r="16490" spans="1:16">
      <c r="A16490" s="3">
        <v>44477.886990740742</v>
      </c>
      <c r="B16490" s="4" t="str">
        <f>HYPERLINK("https://twitter.com/petrogustavo","@petrogustavo")</f>
        <v>@petrogustavo</v>
      </c>
      <c r="C16490" s="5" t="s">
        <v>16</v>
      </c>
      <c r="D16490" s="5" t="s">
        <v>15868</v>
      </c>
      <c r="E16490" s="6" t="str">
        <f>HYPERLINK("https://twitter.com/petrogustavo/status/1446502463390035968","1446502463390035968")</f>
        <v>1446502463390035968</v>
      </c>
      <c r="F16490" s="7" t="s">
        <v>17</v>
      </c>
      <c r="G16490" s="7">
        <v>4376905</v>
      </c>
      <c r="H16490" s="7">
        <v>2542</v>
      </c>
      <c r="I16490" s="7">
        <v>1194</v>
      </c>
      <c r="J16490" s="7">
        <v>0</v>
      </c>
      <c r="K16490" s="7" t="s">
        <v>18</v>
      </c>
      <c r="L16490" s="8">
        <v>39987.315405092595</v>
      </c>
      <c r="M16490" s="9" t="s">
        <v>19</v>
      </c>
      <c r="N16490" s="9" t="s">
        <v>20</v>
      </c>
      <c r="O16490" s="6" t="str">
        <f>HYPERLINK("https://pbs.twimg.com/profile_images/962471262747529216/Uo8lOkRJ_normal.jpg","View")</f>
        <v>View</v>
      </c>
      <c r="P16490" s="7"/>
    </row>
    <row r="16491" spans="1:16">
      <c r="A16491" s="3">
        <v>44477.900925925926</v>
      </c>
      <c r="B16491" s="4" t="str">
        <f>HYPERLINK("https://twitter.com/petrogustavo","@petrogustavo")</f>
        <v>@petrogustavo</v>
      </c>
      <c r="C16491" s="5" t="s">
        <v>16</v>
      </c>
      <c r="D16491" s="5" t="s">
        <v>15869</v>
      </c>
      <c r="E16491" s="6" t="str">
        <f>HYPERLINK("https://twitter.com/petrogustavo/status/1446507511322906631","1446507511322906631")</f>
        <v>1446507511322906631</v>
      </c>
      <c r="F16491" s="7" t="s">
        <v>17</v>
      </c>
      <c r="G16491" s="7">
        <v>4376923</v>
      </c>
      <c r="H16491" s="7">
        <v>2542</v>
      </c>
      <c r="I16491" s="7">
        <v>104</v>
      </c>
      <c r="J16491" s="7">
        <v>478</v>
      </c>
      <c r="K16491" s="7" t="s">
        <v>18</v>
      </c>
      <c r="L16491" s="8">
        <v>39987.315405092595</v>
      </c>
      <c r="M16491" s="9" t="s">
        <v>19</v>
      </c>
      <c r="N16491" s="9" t="s">
        <v>20</v>
      </c>
      <c r="O16491" s="6" t="str">
        <f>HYPERLINK("https://pbs.twimg.com/profile_images/962471262747529216/Uo8lOkRJ_normal.jpg","View")</f>
        <v>View</v>
      </c>
      <c r="P16491" s="7"/>
    </row>
    <row r="16492" spans="1:16">
      <c r="A16492" s="3">
        <v>44478.011122685188</v>
      </c>
      <c r="B16492" s="4" t="str">
        <f>HYPERLINK("https://twitter.com/petrogustavo","@petrogustavo")</f>
        <v>@petrogustavo</v>
      </c>
      <c r="C16492" s="5" t="s">
        <v>16</v>
      </c>
      <c r="D16492" s="5" t="s">
        <v>15870</v>
      </c>
      <c r="E16492" s="6" t="str">
        <f>HYPERLINK("https://twitter.com/petrogustavo/status/1446547445144604675","1446547445144604675")</f>
        <v>1446547445144604675</v>
      </c>
      <c r="F16492" s="7" t="s">
        <v>17</v>
      </c>
      <c r="G16492" s="7">
        <v>4376974</v>
      </c>
      <c r="H16492" s="7">
        <v>2542</v>
      </c>
      <c r="I16492" s="7">
        <v>27</v>
      </c>
      <c r="J16492" s="7">
        <v>80</v>
      </c>
      <c r="K16492" s="7" t="s">
        <v>18</v>
      </c>
      <c r="L16492" s="8">
        <v>39987.315405092595</v>
      </c>
      <c r="M16492" s="9" t="s">
        <v>19</v>
      </c>
      <c r="N16492" s="9" t="s">
        <v>20</v>
      </c>
      <c r="O16492" s="6" t="str">
        <f>HYPERLINK("https://pbs.twimg.com/profile_images/962471262747529216/Uo8lOkRJ_normal.jpg","View")</f>
        <v>View</v>
      </c>
      <c r="P16492" s="7"/>
    </row>
    <row r="16493" spans="1:16">
      <c r="A16493" s="3">
        <v>44478.104791666672</v>
      </c>
      <c r="B16493" s="4" t="str">
        <f>HYPERLINK("https://twitter.com/petrogustavo","@petrogustavo")</f>
        <v>@petrogustavo</v>
      </c>
      <c r="C16493" s="5" t="s">
        <v>16</v>
      </c>
      <c r="D16493" s="5" t="s">
        <v>15871</v>
      </c>
      <c r="E16493" s="6" t="str">
        <f>HYPERLINK("https://twitter.com/petrogustavo/status/1446581392477937667","1446581392477937667")</f>
        <v>1446581392477937667</v>
      </c>
      <c r="F16493" s="7" t="s">
        <v>17</v>
      </c>
      <c r="G16493" s="7">
        <v>4377053</v>
      </c>
      <c r="H16493" s="7">
        <v>2542</v>
      </c>
      <c r="I16493" s="7">
        <v>263</v>
      </c>
      <c r="J16493" s="7">
        <v>723</v>
      </c>
      <c r="K16493" s="7" t="s">
        <v>18</v>
      </c>
      <c r="L16493" s="8">
        <v>39987.315405092595</v>
      </c>
      <c r="M16493" s="9" t="s">
        <v>19</v>
      </c>
      <c r="N16493" s="9" t="s">
        <v>20</v>
      </c>
      <c r="O16493" s="6" t="str">
        <f>HYPERLINK("https://pbs.twimg.com/profile_images/962471262747529216/Uo8lOkRJ_normal.jpg","View")</f>
        <v>View</v>
      </c>
      <c r="P16493" s="7"/>
    </row>
    <row r="16494" spans="1:16">
      <c r="A16494" s="3">
        <v>44478.165509259255</v>
      </c>
      <c r="B16494" s="4" t="str">
        <f>HYPERLINK("https://twitter.com/petrogustavo","@petrogustavo")</f>
        <v>@petrogustavo</v>
      </c>
      <c r="C16494" s="5" t="s">
        <v>16</v>
      </c>
      <c r="D16494" s="5" t="s">
        <v>15872</v>
      </c>
      <c r="E16494" s="6" t="str">
        <f>HYPERLINK("https://twitter.com/petrogustavo/status/1446603393183719433","1446603393183719433")</f>
        <v>1446603393183719433</v>
      </c>
      <c r="F16494" s="7" t="s">
        <v>17</v>
      </c>
      <c r="G16494" s="7">
        <v>4377100</v>
      </c>
      <c r="H16494" s="7">
        <v>2542</v>
      </c>
      <c r="I16494" s="7">
        <v>270</v>
      </c>
      <c r="J16494" s="7">
        <v>1046</v>
      </c>
      <c r="K16494" s="7" t="s">
        <v>18</v>
      </c>
      <c r="L16494" s="8">
        <v>39987.315405092595</v>
      </c>
      <c r="M16494" s="9" t="s">
        <v>19</v>
      </c>
      <c r="N16494" s="9" t="s">
        <v>20</v>
      </c>
      <c r="O16494" s="6" t="str">
        <f>HYPERLINK("https://pbs.twimg.com/profile_images/962471262747529216/Uo8lOkRJ_normal.jpg","View")</f>
        <v>View</v>
      </c>
      <c r="P16494" s="7"/>
    </row>
    <row r="16495" spans="1:16">
      <c r="A16495" s="3">
        <v>44478.202141203699</v>
      </c>
      <c r="B16495" s="4" t="str">
        <f>HYPERLINK("https://twitter.com/petrogustavo","@petrogustavo")</f>
        <v>@petrogustavo</v>
      </c>
      <c r="C16495" s="5" t="s">
        <v>16</v>
      </c>
      <c r="D16495" s="4" t="s">
        <v>15873</v>
      </c>
      <c r="E16495" s="6" t="str">
        <f>HYPERLINK("https://twitter.com/petrogustavo/status/1446616668063535104","1446616668063535104")</f>
        <v>1446616668063535104</v>
      </c>
      <c r="F16495" s="7" t="s">
        <v>17</v>
      </c>
      <c r="G16495" s="7">
        <v>4377112</v>
      </c>
      <c r="H16495" s="7">
        <v>2542</v>
      </c>
      <c r="I16495" s="7">
        <v>99</v>
      </c>
      <c r="J16495" s="7">
        <v>340</v>
      </c>
      <c r="K16495" s="7" t="s">
        <v>18</v>
      </c>
      <c r="L16495" s="8">
        <v>39987.315405092595</v>
      </c>
      <c r="M16495" s="9" t="s">
        <v>19</v>
      </c>
      <c r="N16495" s="9" t="s">
        <v>20</v>
      </c>
      <c r="O16495" s="6" t="str">
        <f>HYPERLINK("https://pbs.twimg.com/profile_images/962471262747529216/Uo8lOkRJ_normal.jpg","View")</f>
        <v>View</v>
      </c>
      <c r="P16495" s="7"/>
    </row>
    <row r="16496" spans="1:16">
      <c r="A16496" s="3">
        <v>44478.204791666663</v>
      </c>
      <c r="B16496" s="4" t="str">
        <f>HYPERLINK("https://twitter.com/petrogustavo","@petrogustavo")</f>
        <v>@petrogustavo</v>
      </c>
      <c r="C16496" s="5" t="s">
        <v>16</v>
      </c>
      <c r="D16496" s="5" t="s">
        <v>15874</v>
      </c>
      <c r="E16496" s="6" t="str">
        <f>HYPERLINK("https://twitter.com/petrogustavo/status/1446617629733568515","1446617629733568515")</f>
        <v>1446617629733568515</v>
      </c>
      <c r="F16496" s="7" t="s">
        <v>17</v>
      </c>
      <c r="G16496" s="7">
        <v>4377112</v>
      </c>
      <c r="H16496" s="7">
        <v>2542</v>
      </c>
      <c r="I16496" s="7">
        <v>80</v>
      </c>
      <c r="J16496" s="7">
        <v>0</v>
      </c>
      <c r="K16496" s="7" t="s">
        <v>18</v>
      </c>
      <c r="L16496" s="8">
        <v>39987.315405092595</v>
      </c>
      <c r="M16496" s="9" t="s">
        <v>19</v>
      </c>
      <c r="N16496" s="9" t="s">
        <v>20</v>
      </c>
      <c r="O16496" s="6" t="str">
        <f>HYPERLINK("https://pbs.twimg.com/profile_images/962471262747529216/Uo8lOkRJ_normal.jpg","View")</f>
        <v>View</v>
      </c>
      <c r="P16496" s="7"/>
    </row>
    <row r="16497" spans="1:16">
      <c r="A16497" s="3">
        <v>44478.214236111111</v>
      </c>
      <c r="B16497" s="4" t="str">
        <f>HYPERLINK("https://twitter.com/petrogustavo","@petrogustavo")</f>
        <v>@petrogustavo</v>
      </c>
      <c r="C16497" s="5" t="s">
        <v>16</v>
      </c>
      <c r="D16497" s="5" t="s">
        <v>15875</v>
      </c>
      <c r="E16497" s="6" t="str">
        <f>HYPERLINK("https://twitter.com/petrogustavo/status/1446621054567428198","1446621054567428198")</f>
        <v>1446621054567428198</v>
      </c>
      <c r="F16497" s="7" t="s">
        <v>17</v>
      </c>
      <c r="G16497" s="7">
        <v>4377112</v>
      </c>
      <c r="H16497" s="7">
        <v>2542</v>
      </c>
      <c r="I16497" s="7">
        <v>136</v>
      </c>
      <c r="J16497" s="7">
        <v>363</v>
      </c>
      <c r="K16497" s="7" t="s">
        <v>18</v>
      </c>
      <c r="L16497" s="8">
        <v>39987.315405092595</v>
      </c>
      <c r="M16497" s="9" t="s">
        <v>19</v>
      </c>
      <c r="N16497" s="9" t="s">
        <v>20</v>
      </c>
      <c r="O16497" s="6" t="str">
        <f>HYPERLINK("https://pbs.twimg.com/profile_images/962471262747529216/Uo8lOkRJ_normal.jpg","View")</f>
        <v>View</v>
      </c>
      <c r="P16497" s="7"/>
    </row>
    <row r="16498" spans="1:16">
      <c r="A16498" s="3">
        <v>44478.216689814813</v>
      </c>
      <c r="B16498" s="4" t="str">
        <f>HYPERLINK("https://twitter.com/petrogustavo","@petrogustavo")</f>
        <v>@petrogustavo</v>
      </c>
      <c r="C16498" s="5" t="s">
        <v>16</v>
      </c>
      <c r="D16498" s="5" t="s">
        <v>15876</v>
      </c>
      <c r="E16498" s="6" t="str">
        <f>HYPERLINK("https://twitter.com/petrogustavo/status/1446621942488969218","1446621942488969218")</f>
        <v>1446621942488969218</v>
      </c>
      <c r="F16498" s="7" t="s">
        <v>17</v>
      </c>
      <c r="G16498" s="7">
        <v>4377112</v>
      </c>
      <c r="H16498" s="7">
        <v>2542</v>
      </c>
      <c r="I16498" s="7">
        <v>46</v>
      </c>
      <c r="J16498" s="7">
        <v>0</v>
      </c>
      <c r="K16498" s="7" t="s">
        <v>18</v>
      </c>
      <c r="L16498" s="8">
        <v>39987.315405092595</v>
      </c>
      <c r="M16498" s="9" t="s">
        <v>19</v>
      </c>
      <c r="N16498" s="9" t="s">
        <v>20</v>
      </c>
      <c r="O16498" s="6" t="str">
        <f>HYPERLINK("https://pbs.twimg.com/profile_images/962471262747529216/Uo8lOkRJ_normal.jpg","View")</f>
        <v>View</v>
      </c>
      <c r="P16498" s="7"/>
    </row>
    <row r="16499" spans="1:16">
      <c r="A16499" s="3">
        <v>44478.216736111106</v>
      </c>
      <c r="B16499" s="4" t="str">
        <f>HYPERLINK("https://twitter.com/petrogustavo","@petrogustavo")</f>
        <v>@petrogustavo</v>
      </c>
      <c r="C16499" s="5" t="s">
        <v>16</v>
      </c>
      <c r="D16499" s="5" t="s">
        <v>15877</v>
      </c>
      <c r="E16499" s="6" t="str">
        <f>HYPERLINK("https://twitter.com/petrogustavo/status/1446621958360256512","1446621958360256512")</f>
        <v>1446621958360256512</v>
      </c>
      <c r="F16499" s="7" t="s">
        <v>17</v>
      </c>
      <c r="G16499" s="7">
        <v>4377112</v>
      </c>
      <c r="H16499" s="7">
        <v>2542</v>
      </c>
      <c r="I16499" s="7">
        <v>29</v>
      </c>
      <c r="J16499" s="7">
        <v>0</v>
      </c>
      <c r="K16499" s="7" t="s">
        <v>18</v>
      </c>
      <c r="L16499" s="8">
        <v>39987.315405092595</v>
      </c>
      <c r="M16499" s="9" t="s">
        <v>19</v>
      </c>
      <c r="N16499" s="9" t="s">
        <v>20</v>
      </c>
      <c r="O16499" s="6" t="str">
        <f>HYPERLINK("https://pbs.twimg.com/profile_images/962471262747529216/Uo8lOkRJ_normal.jpg","View")</f>
        <v>View</v>
      </c>
      <c r="P16499" s="7"/>
    </row>
    <row r="16500" spans="1:16">
      <c r="A16500" s="3">
        <v>44478.21707175926</v>
      </c>
      <c r="B16500" s="4" t="str">
        <f>HYPERLINK("https://twitter.com/petrogustavo","@petrogustavo")</f>
        <v>@petrogustavo</v>
      </c>
      <c r="C16500" s="5" t="s">
        <v>16</v>
      </c>
      <c r="D16500" s="5" t="s">
        <v>15878</v>
      </c>
      <c r="E16500" s="6" t="str">
        <f>HYPERLINK("https://twitter.com/petrogustavo/status/1446622082008240133","1446622082008240133")</f>
        <v>1446622082008240133</v>
      </c>
      <c r="F16500" s="7" t="s">
        <v>17</v>
      </c>
      <c r="G16500" s="7">
        <v>4377112</v>
      </c>
      <c r="H16500" s="7">
        <v>2542</v>
      </c>
      <c r="I16500" s="7">
        <v>17</v>
      </c>
      <c r="J16500" s="7">
        <v>0</v>
      </c>
      <c r="K16500" s="7" t="s">
        <v>18</v>
      </c>
      <c r="L16500" s="8">
        <v>39987.315405092595</v>
      </c>
      <c r="M16500" s="9" t="s">
        <v>19</v>
      </c>
      <c r="N16500" s="9" t="s">
        <v>20</v>
      </c>
      <c r="O16500" s="6" t="str">
        <f>HYPERLINK("https://pbs.twimg.com/profile_images/962471262747529216/Uo8lOkRJ_normal.jpg","View")</f>
        <v>View</v>
      </c>
      <c r="P16500" s="7"/>
    </row>
    <row r="16501" spans="1:16">
      <c r="A16501" s="3">
        <v>44478.217534722222</v>
      </c>
      <c r="B16501" s="4" t="str">
        <f>HYPERLINK("https://twitter.com/petrogustavo","@petrogustavo")</f>
        <v>@petrogustavo</v>
      </c>
      <c r="C16501" s="5" t="s">
        <v>16</v>
      </c>
      <c r="D16501" s="5" t="s">
        <v>15879</v>
      </c>
      <c r="E16501" s="6" t="str">
        <f>HYPERLINK("https://twitter.com/petrogustavo/status/1446622248991875074","1446622248991875074")</f>
        <v>1446622248991875074</v>
      </c>
      <c r="F16501" s="7" t="s">
        <v>17</v>
      </c>
      <c r="G16501" s="7">
        <v>4377112</v>
      </c>
      <c r="H16501" s="7">
        <v>2542</v>
      </c>
      <c r="I16501" s="7">
        <v>43</v>
      </c>
      <c r="J16501" s="7">
        <v>0</v>
      </c>
      <c r="K16501" s="7" t="s">
        <v>18</v>
      </c>
      <c r="L16501" s="8">
        <v>39987.315405092595</v>
      </c>
      <c r="M16501" s="9" t="s">
        <v>19</v>
      </c>
      <c r="N16501" s="9" t="s">
        <v>20</v>
      </c>
      <c r="O16501" s="6" t="str">
        <f>HYPERLINK("https://pbs.twimg.com/profile_images/962471262747529216/Uo8lOkRJ_normal.jpg","View")</f>
        <v>View</v>
      </c>
      <c r="P16501" s="7"/>
    </row>
    <row r="16502" spans="1:16">
      <c r="A16502" s="3">
        <v>44478.217858796299</v>
      </c>
      <c r="B16502" s="4" t="str">
        <f>HYPERLINK("https://twitter.com/petrogustavo","@petrogustavo")</f>
        <v>@petrogustavo</v>
      </c>
      <c r="C16502" s="5" t="s">
        <v>16</v>
      </c>
      <c r="D16502" s="5" t="s">
        <v>15880</v>
      </c>
      <c r="E16502" s="6" t="str">
        <f>HYPERLINK("https://twitter.com/petrogustavo/status/1446622363316015111","1446622363316015111")</f>
        <v>1446622363316015111</v>
      </c>
      <c r="F16502" s="7" t="s">
        <v>17</v>
      </c>
      <c r="G16502" s="7">
        <v>4377112</v>
      </c>
      <c r="H16502" s="7">
        <v>2542</v>
      </c>
      <c r="I16502" s="7">
        <v>20</v>
      </c>
      <c r="J16502" s="7">
        <v>0</v>
      </c>
      <c r="K16502" s="7" t="s">
        <v>18</v>
      </c>
      <c r="L16502" s="8">
        <v>39987.315405092595</v>
      </c>
      <c r="M16502" s="9" t="s">
        <v>19</v>
      </c>
      <c r="N16502" s="9" t="s">
        <v>20</v>
      </c>
      <c r="O16502" s="6" t="str">
        <f>HYPERLINK("https://pbs.twimg.com/profile_images/962471262747529216/Uo8lOkRJ_normal.jpg","View")</f>
        <v>View</v>
      </c>
      <c r="P16502" s="7"/>
    </row>
    <row r="16503" spans="1:16">
      <c r="A16503" s="3">
        <v>44478.223379629635</v>
      </c>
      <c r="B16503" s="4" t="str">
        <f>HYPERLINK("https://twitter.com/petrogustavo","@petrogustavo")</f>
        <v>@petrogustavo</v>
      </c>
      <c r="C16503" s="5" t="s">
        <v>16</v>
      </c>
      <c r="D16503" s="5" t="s">
        <v>15881</v>
      </c>
      <c r="E16503" s="6" t="str">
        <f>HYPERLINK("https://twitter.com/petrogustavo/status/1446624367899725832","1446624367899725832")</f>
        <v>1446624367899725832</v>
      </c>
      <c r="F16503" s="7" t="s">
        <v>17</v>
      </c>
      <c r="G16503" s="7">
        <v>4377127</v>
      </c>
      <c r="H16503" s="7">
        <v>2542</v>
      </c>
      <c r="I16503" s="7">
        <v>69</v>
      </c>
      <c r="J16503" s="7">
        <v>0</v>
      </c>
      <c r="K16503" s="7" t="s">
        <v>18</v>
      </c>
      <c r="L16503" s="8">
        <v>39987.315405092595</v>
      </c>
      <c r="M16503" s="9" t="s">
        <v>19</v>
      </c>
      <c r="N16503" s="9" t="s">
        <v>20</v>
      </c>
      <c r="O16503" s="6" t="str">
        <f>HYPERLINK("https://pbs.twimg.com/profile_images/962471262747529216/Uo8lOkRJ_normal.jpg","View")</f>
        <v>View</v>
      </c>
      <c r="P16503" s="7"/>
    </row>
    <row r="16504" spans="1:16">
      <c r="A16504" s="3">
        <v>44478.225115740745</v>
      </c>
      <c r="B16504" s="4" t="str">
        <f>HYPERLINK("https://twitter.com/petrogustavo","@petrogustavo")</f>
        <v>@petrogustavo</v>
      </c>
      <c r="C16504" s="5" t="s">
        <v>16</v>
      </c>
      <c r="D16504" s="5" t="s">
        <v>15882</v>
      </c>
      <c r="E16504" s="6" t="str">
        <f>HYPERLINK("https://twitter.com/petrogustavo/status/1446624994260307968","1446624994260307968")</f>
        <v>1446624994260307968</v>
      </c>
      <c r="F16504" s="7" t="s">
        <v>17</v>
      </c>
      <c r="G16504" s="7">
        <v>4377127</v>
      </c>
      <c r="H16504" s="7">
        <v>2542</v>
      </c>
      <c r="I16504" s="7">
        <v>211</v>
      </c>
      <c r="J16504" s="7">
        <v>0</v>
      </c>
      <c r="K16504" s="7" t="s">
        <v>18</v>
      </c>
      <c r="L16504" s="8">
        <v>39987.315405092595</v>
      </c>
      <c r="M16504" s="9" t="s">
        <v>19</v>
      </c>
      <c r="N16504" s="9" t="s">
        <v>20</v>
      </c>
      <c r="O16504" s="6" t="str">
        <f>HYPERLINK("https://pbs.twimg.com/profile_images/962471262747529216/Uo8lOkRJ_normal.jpg","View")</f>
        <v>View</v>
      </c>
      <c r="P16504" s="7"/>
    </row>
    <row r="16505" spans="1:16">
      <c r="A16505" s="3">
        <v>44478.22550925926</v>
      </c>
      <c r="B16505" s="4" t="str">
        <f>HYPERLINK("https://twitter.com/petrogustavo","@petrogustavo")</f>
        <v>@petrogustavo</v>
      </c>
      <c r="C16505" s="5" t="s">
        <v>16</v>
      </c>
      <c r="D16505" s="4" t="s">
        <v>15883</v>
      </c>
      <c r="E16505" s="6" t="str">
        <f>HYPERLINK("https://twitter.com/petrogustavo/status/1446625139467202562","1446625139467202562")</f>
        <v>1446625139467202562</v>
      </c>
      <c r="F16505" s="7" t="s">
        <v>17</v>
      </c>
      <c r="G16505" s="7">
        <v>4377127</v>
      </c>
      <c r="H16505" s="7">
        <v>2542</v>
      </c>
      <c r="I16505" s="7">
        <v>104</v>
      </c>
      <c r="J16505" s="7">
        <v>341</v>
      </c>
      <c r="K16505" s="7" t="s">
        <v>18</v>
      </c>
      <c r="L16505" s="8">
        <v>39987.315405092595</v>
      </c>
      <c r="M16505" s="9" t="s">
        <v>19</v>
      </c>
      <c r="N16505" s="9" t="s">
        <v>20</v>
      </c>
      <c r="O16505" s="6" t="str">
        <f>HYPERLINK("https://pbs.twimg.com/profile_images/962471262747529216/Uo8lOkRJ_normal.jpg","View")</f>
        <v>View</v>
      </c>
      <c r="P16505" s="7"/>
    </row>
    <row r="16506" spans="1:16">
      <c r="A16506" s="3">
        <v>44478.238321759258</v>
      </c>
      <c r="B16506" s="4" t="str">
        <f>HYPERLINK("https://twitter.com/petrogustavo","@petrogustavo")</f>
        <v>@petrogustavo</v>
      </c>
      <c r="C16506" s="5" t="s">
        <v>16</v>
      </c>
      <c r="D16506" s="4" t="s">
        <v>15884</v>
      </c>
      <c r="E16506" s="6" t="str">
        <f>HYPERLINK("https://twitter.com/petrogustavo/status/1446629781013991424","1446629781013991424")</f>
        <v>1446629781013991424</v>
      </c>
      <c r="F16506" s="7" t="s">
        <v>17</v>
      </c>
      <c r="G16506" s="7">
        <v>4377127</v>
      </c>
      <c r="H16506" s="7">
        <v>2542</v>
      </c>
      <c r="I16506" s="7">
        <v>25</v>
      </c>
      <c r="J16506" s="7">
        <v>78</v>
      </c>
      <c r="K16506" s="7" t="s">
        <v>18</v>
      </c>
      <c r="L16506" s="8">
        <v>39987.315405092595</v>
      </c>
      <c r="M16506" s="9" t="s">
        <v>19</v>
      </c>
      <c r="N16506" s="9" t="s">
        <v>20</v>
      </c>
      <c r="O16506" s="6" t="str">
        <f>HYPERLINK("https://pbs.twimg.com/profile_images/962471262747529216/Uo8lOkRJ_normal.jpg","View")</f>
        <v>View</v>
      </c>
      <c r="P16506" s="7"/>
    </row>
    <row r="16507" spans="1:16">
      <c r="A16507" s="3">
        <v>44478.254074074073</v>
      </c>
      <c r="B16507" s="4" t="str">
        <f>HYPERLINK("https://twitter.com/petrogustavo","@petrogustavo")</f>
        <v>@petrogustavo</v>
      </c>
      <c r="C16507" s="5" t="s">
        <v>16</v>
      </c>
      <c r="D16507" s="5" t="s">
        <v>15885</v>
      </c>
      <c r="E16507" s="6" t="str">
        <f>HYPERLINK("https://twitter.com/petrogustavo/status/1446635487691739138","1446635487691739138")</f>
        <v>1446635487691739138</v>
      </c>
      <c r="F16507" s="7" t="s">
        <v>17</v>
      </c>
      <c r="G16507" s="7">
        <v>4377136</v>
      </c>
      <c r="H16507" s="7">
        <v>2542</v>
      </c>
      <c r="I16507" s="7">
        <v>184</v>
      </c>
      <c r="J16507" s="7">
        <v>0</v>
      </c>
      <c r="K16507" s="7" t="s">
        <v>18</v>
      </c>
      <c r="L16507" s="8">
        <v>39987.315405092595</v>
      </c>
      <c r="M16507" s="9" t="s">
        <v>19</v>
      </c>
      <c r="N16507" s="9" t="s">
        <v>20</v>
      </c>
      <c r="O16507" s="6" t="str">
        <f>HYPERLINK("https://pbs.twimg.com/profile_images/962471262747529216/Uo8lOkRJ_normal.jpg","View")</f>
        <v>View</v>
      </c>
      <c r="P16507" s="7"/>
    </row>
    <row r="16508" spans="1:16">
      <c r="A16508" s="3">
        <v>44478.257118055553</v>
      </c>
      <c r="B16508" s="4" t="str">
        <f>HYPERLINK("https://twitter.com/petrogustavo","@petrogustavo")</f>
        <v>@petrogustavo</v>
      </c>
      <c r="C16508" s="5" t="s">
        <v>16</v>
      </c>
      <c r="D16508" s="5" t="s">
        <v>15886</v>
      </c>
      <c r="E16508" s="6" t="str">
        <f>HYPERLINK("https://twitter.com/petrogustavo/status/1446636594279206920","1446636594279206920")</f>
        <v>1446636594279206920</v>
      </c>
      <c r="F16508" s="7" t="s">
        <v>17</v>
      </c>
      <c r="G16508" s="7">
        <v>4377136</v>
      </c>
      <c r="H16508" s="7">
        <v>2542</v>
      </c>
      <c r="I16508" s="7">
        <v>46</v>
      </c>
      <c r="J16508" s="7">
        <v>0</v>
      </c>
      <c r="K16508" s="7" t="s">
        <v>18</v>
      </c>
      <c r="L16508" s="8">
        <v>39987.315405092595</v>
      </c>
      <c r="M16508" s="9" t="s">
        <v>19</v>
      </c>
      <c r="N16508" s="9" t="s">
        <v>20</v>
      </c>
      <c r="O16508" s="6" t="str">
        <f>HYPERLINK("https://pbs.twimg.com/profile_images/962471262747529216/Uo8lOkRJ_normal.jpg","View")</f>
        <v>View</v>
      </c>
      <c r="P16508" s="7"/>
    </row>
    <row r="16509" spans="1:16">
      <c r="A16509" s="3">
        <v>44478.383553240739</v>
      </c>
      <c r="B16509" s="4" t="str">
        <f>HYPERLINK("https://twitter.com/petrogustavo","@petrogustavo")</f>
        <v>@petrogustavo</v>
      </c>
      <c r="C16509" s="5" t="s">
        <v>16</v>
      </c>
      <c r="D16509" s="5" t="s">
        <v>15887</v>
      </c>
      <c r="E16509" s="6" t="str">
        <f>HYPERLINK("https://twitter.com/petrogustavo/status/1446682411987836934","1446682411987836934")</f>
        <v>1446682411987836934</v>
      </c>
      <c r="F16509" s="7" t="s">
        <v>17</v>
      </c>
      <c r="G16509" s="7">
        <v>4377247</v>
      </c>
      <c r="H16509" s="7">
        <v>2542</v>
      </c>
      <c r="I16509" s="7">
        <v>432</v>
      </c>
      <c r="J16509" s="7">
        <v>0</v>
      </c>
      <c r="K16509" s="7" t="s">
        <v>18</v>
      </c>
      <c r="L16509" s="8">
        <v>39987.315405092595</v>
      </c>
      <c r="M16509" s="9" t="s">
        <v>19</v>
      </c>
      <c r="N16509" s="9" t="s">
        <v>20</v>
      </c>
      <c r="O16509" s="6" t="str">
        <f>HYPERLINK("https://pbs.twimg.com/profile_images/962471262747529216/Uo8lOkRJ_normal.jpg","View")</f>
        <v>View</v>
      </c>
      <c r="P16509" s="7"/>
    </row>
    <row r="16510" spans="1:16">
      <c r="A16510" s="3">
        <v>44478.387511574074</v>
      </c>
      <c r="B16510" s="4" t="str">
        <f>HYPERLINK("https://twitter.com/petrogustavo","@petrogustavo")</f>
        <v>@petrogustavo</v>
      </c>
      <c r="C16510" s="5" t="s">
        <v>16</v>
      </c>
      <c r="D16510" s="5" t="s">
        <v>15888</v>
      </c>
      <c r="E16510" s="6" t="str">
        <f>HYPERLINK("https://twitter.com/petrogustavo/status/1446683846284611584","1446683846284611584")</f>
        <v>1446683846284611584</v>
      </c>
      <c r="F16510" s="7" t="s">
        <v>17</v>
      </c>
      <c r="G16510" s="7">
        <v>4377268</v>
      </c>
      <c r="H16510" s="7">
        <v>2542</v>
      </c>
      <c r="I16510" s="7">
        <v>140</v>
      </c>
      <c r="J16510" s="7">
        <v>450</v>
      </c>
      <c r="K16510" s="7" t="s">
        <v>18</v>
      </c>
      <c r="L16510" s="8">
        <v>39987.315405092595</v>
      </c>
      <c r="M16510" s="9" t="s">
        <v>19</v>
      </c>
      <c r="N16510" s="9" t="s">
        <v>20</v>
      </c>
      <c r="O16510" s="6" t="str">
        <f>HYPERLINK("https://pbs.twimg.com/profile_images/962471262747529216/Uo8lOkRJ_normal.jpg","View")</f>
        <v>View</v>
      </c>
      <c r="P16510" s="7"/>
    </row>
    <row r="16511" spans="1:16">
      <c r="A16511" s="3">
        <v>44478.716412037036</v>
      </c>
      <c r="B16511" s="4" t="str">
        <f>HYPERLINK("https://twitter.com/petrogustavo","@petrogustavo")</f>
        <v>@petrogustavo</v>
      </c>
      <c r="C16511" s="5" t="s">
        <v>16</v>
      </c>
      <c r="D16511" s="5" t="s">
        <v>15889</v>
      </c>
      <c r="E16511" s="6" t="str">
        <f>HYPERLINK("https://twitter.com/petrogustavo/status/1446803036035338245","1446803036035338245")</f>
        <v>1446803036035338245</v>
      </c>
      <c r="F16511" s="7" t="s">
        <v>17</v>
      </c>
      <c r="G16511" s="7">
        <v>4377317</v>
      </c>
      <c r="H16511" s="7">
        <v>2542</v>
      </c>
      <c r="I16511" s="7">
        <v>68</v>
      </c>
      <c r="J16511" s="7">
        <v>147</v>
      </c>
      <c r="K16511" s="7" t="s">
        <v>18</v>
      </c>
      <c r="L16511" s="8">
        <v>39987.315405092595</v>
      </c>
      <c r="M16511" s="9" t="s">
        <v>19</v>
      </c>
      <c r="N16511" s="9" t="s">
        <v>20</v>
      </c>
      <c r="O16511" s="6" t="str">
        <f>HYPERLINK("https://pbs.twimg.com/profile_images/962471262747529216/Uo8lOkRJ_normal.jpg","View")</f>
        <v>View</v>
      </c>
      <c r="P16511" s="7"/>
    </row>
    <row r="16512" spans="1:16">
      <c r="A16512" s="3">
        <v>44478.717094907406</v>
      </c>
      <c r="B16512" s="4" t="str">
        <f>HYPERLINK("https://twitter.com/petrogustavo","@petrogustavo")</f>
        <v>@petrogustavo</v>
      </c>
      <c r="C16512" s="5" t="s">
        <v>16</v>
      </c>
      <c r="D16512" s="5" t="s">
        <v>15890</v>
      </c>
      <c r="E16512" s="6" t="str">
        <f>HYPERLINK("https://twitter.com/petrogustavo/status/1446803280689090565","1446803280689090565")</f>
        <v>1446803280689090565</v>
      </c>
      <c r="F16512" s="7" t="s">
        <v>17</v>
      </c>
      <c r="G16512" s="7">
        <v>4377317</v>
      </c>
      <c r="H16512" s="7">
        <v>2542</v>
      </c>
      <c r="I16512" s="7">
        <v>540</v>
      </c>
      <c r="J16512" s="7">
        <v>0</v>
      </c>
      <c r="K16512" s="7" t="s">
        <v>18</v>
      </c>
      <c r="L16512" s="8">
        <v>39987.315405092595</v>
      </c>
      <c r="M16512" s="9" t="s">
        <v>19</v>
      </c>
      <c r="N16512" s="9" t="s">
        <v>20</v>
      </c>
      <c r="O16512" s="6" t="str">
        <f>HYPERLINK("https://pbs.twimg.com/profile_images/962471262747529216/Uo8lOkRJ_normal.jpg","View")</f>
        <v>View</v>
      </c>
      <c r="P16512" s="7"/>
    </row>
    <row r="16513" spans="1:16">
      <c r="A16513" s="3">
        <v>44478.764560185184</v>
      </c>
      <c r="B16513" s="4" t="str">
        <f>HYPERLINK("https://twitter.com/petrogustavo","@petrogustavo")</f>
        <v>@petrogustavo</v>
      </c>
      <c r="C16513" s="5" t="s">
        <v>16</v>
      </c>
      <c r="D16513" s="5" t="s">
        <v>15891</v>
      </c>
      <c r="E16513" s="6" t="str">
        <f>HYPERLINK("https://twitter.com/petrogustavo/status/1446820482599247874","1446820482599247874")</f>
        <v>1446820482599247874</v>
      </c>
      <c r="F16513" s="7" t="s">
        <v>17</v>
      </c>
      <c r="G16513" s="7">
        <v>4377350</v>
      </c>
      <c r="H16513" s="7">
        <v>2542</v>
      </c>
      <c r="I16513" s="7">
        <v>241</v>
      </c>
      <c r="J16513" s="7">
        <v>465</v>
      </c>
      <c r="K16513" s="7" t="s">
        <v>18</v>
      </c>
      <c r="L16513" s="8">
        <v>39987.315405092595</v>
      </c>
      <c r="M16513" s="9" t="s">
        <v>19</v>
      </c>
      <c r="N16513" s="9" t="s">
        <v>20</v>
      </c>
      <c r="O16513" s="6" t="str">
        <f>HYPERLINK("https://pbs.twimg.com/profile_images/962471262747529216/Uo8lOkRJ_normal.jpg","View")</f>
        <v>View</v>
      </c>
      <c r="P16513" s="7"/>
    </row>
    <row r="16514" spans="1:16">
      <c r="A16514" s="3">
        <v>44478.776249999995</v>
      </c>
      <c r="B16514" s="4" t="str">
        <f>HYPERLINK("https://twitter.com/petrogustavo","@petrogustavo")</f>
        <v>@petrogustavo</v>
      </c>
      <c r="C16514" s="5" t="s">
        <v>16</v>
      </c>
      <c r="D16514" s="5" t="s">
        <v>15892</v>
      </c>
      <c r="E16514" s="6" t="str">
        <f>HYPERLINK("https://twitter.com/petrogustavo/status/1446824720037564429","1446824720037564429")</f>
        <v>1446824720037564429</v>
      </c>
      <c r="F16514" s="7" t="s">
        <v>17</v>
      </c>
      <c r="G16514" s="7">
        <v>4377350</v>
      </c>
      <c r="H16514" s="7">
        <v>2542</v>
      </c>
      <c r="I16514" s="7">
        <v>186</v>
      </c>
      <c r="J16514" s="7">
        <v>623</v>
      </c>
      <c r="K16514" s="7" t="s">
        <v>18</v>
      </c>
      <c r="L16514" s="8">
        <v>39987.315405092595</v>
      </c>
      <c r="M16514" s="9" t="s">
        <v>19</v>
      </c>
      <c r="N16514" s="9" t="s">
        <v>20</v>
      </c>
      <c r="O16514" s="6" t="str">
        <f>HYPERLINK("https://pbs.twimg.com/profile_images/962471262747529216/Uo8lOkRJ_normal.jpg","View")</f>
        <v>View</v>
      </c>
      <c r="P16514" s="7"/>
    </row>
    <row r="16515" spans="1:16">
      <c r="A16515" s="3">
        <v>44478.7971875</v>
      </c>
      <c r="B16515" s="4" t="str">
        <f>HYPERLINK("https://twitter.com/petrogustavo","@petrogustavo")</f>
        <v>@petrogustavo</v>
      </c>
      <c r="C16515" s="5" t="s">
        <v>16</v>
      </c>
      <c r="D16515" s="5" t="s">
        <v>15893</v>
      </c>
      <c r="E16515" s="6" t="str">
        <f>HYPERLINK("https://twitter.com/petrogustavo/status/1446832307701264390","1446832307701264390")</f>
        <v>1446832307701264390</v>
      </c>
      <c r="F16515" s="7" t="s">
        <v>17</v>
      </c>
      <c r="G16515" s="7">
        <v>4377362</v>
      </c>
      <c r="H16515" s="7">
        <v>2543</v>
      </c>
      <c r="I16515" s="7">
        <v>883</v>
      </c>
      <c r="J16515" s="7">
        <v>0</v>
      </c>
      <c r="K16515" s="7" t="s">
        <v>18</v>
      </c>
      <c r="L16515" s="8">
        <v>39987.315405092595</v>
      </c>
      <c r="M16515" s="9" t="s">
        <v>19</v>
      </c>
      <c r="N16515" s="9" t="s">
        <v>20</v>
      </c>
      <c r="O16515" s="6" t="str">
        <f>HYPERLINK("https://pbs.twimg.com/profile_images/962471262747529216/Uo8lOkRJ_normal.jpg","View")</f>
        <v>View</v>
      </c>
      <c r="P16515" s="7"/>
    </row>
    <row r="16516" spans="1:16">
      <c r="A16516" s="3">
        <v>44478.798750000002</v>
      </c>
      <c r="B16516" s="4" t="str">
        <f>HYPERLINK("https://twitter.com/petrogustavo","@petrogustavo")</f>
        <v>@petrogustavo</v>
      </c>
      <c r="C16516" s="5" t="s">
        <v>16</v>
      </c>
      <c r="D16516" s="5" t="s">
        <v>15894</v>
      </c>
      <c r="E16516" s="6" t="str">
        <f>HYPERLINK("https://twitter.com/petrogustavo/status/1446832874439725061","1446832874439725061")</f>
        <v>1446832874439725061</v>
      </c>
      <c r="F16516" s="7" t="s">
        <v>17</v>
      </c>
      <c r="G16516" s="7">
        <v>4377362</v>
      </c>
      <c r="H16516" s="7">
        <v>2543</v>
      </c>
      <c r="I16516" s="7">
        <v>560</v>
      </c>
      <c r="J16516" s="7">
        <v>0</v>
      </c>
      <c r="K16516" s="7" t="s">
        <v>18</v>
      </c>
      <c r="L16516" s="8">
        <v>39987.315405092595</v>
      </c>
      <c r="M16516" s="9" t="s">
        <v>19</v>
      </c>
      <c r="N16516" s="9" t="s">
        <v>20</v>
      </c>
      <c r="O16516" s="6" t="str">
        <f>HYPERLINK("https://pbs.twimg.com/profile_images/962471262747529216/Uo8lOkRJ_normal.jpg","View")</f>
        <v>View</v>
      </c>
      <c r="P16516" s="7"/>
    </row>
    <row r="16517" spans="1:16">
      <c r="A16517" s="3">
        <v>44478.837395833332</v>
      </c>
      <c r="B16517" s="4" t="str">
        <f>HYPERLINK("https://twitter.com/petrogustavo","@petrogustavo")</f>
        <v>@petrogustavo</v>
      </c>
      <c r="C16517" s="5" t="s">
        <v>16</v>
      </c>
      <c r="D16517" s="5" t="s">
        <v>15895</v>
      </c>
      <c r="E16517" s="6" t="str">
        <f>HYPERLINK("https://twitter.com/petrogustavo/status/1446846877174050818","1446846877174050818")</f>
        <v>1446846877174050818</v>
      </c>
      <c r="F16517" s="7" t="s">
        <v>32</v>
      </c>
      <c r="G16517" s="7">
        <v>4377399</v>
      </c>
      <c r="H16517" s="7">
        <v>2543</v>
      </c>
      <c r="I16517" s="7">
        <v>60</v>
      </c>
      <c r="J16517" s="7">
        <v>232</v>
      </c>
      <c r="K16517" s="7" t="s">
        <v>18</v>
      </c>
      <c r="L16517" s="8">
        <v>39987.315405092595</v>
      </c>
      <c r="M16517" s="9" t="s">
        <v>19</v>
      </c>
      <c r="N16517" s="9" t="s">
        <v>20</v>
      </c>
      <c r="O16517" s="6" t="str">
        <f>HYPERLINK("https://pbs.twimg.com/profile_images/962471262747529216/Uo8lOkRJ_normal.jpg","View")</f>
        <v>View</v>
      </c>
      <c r="P16517" s="7"/>
    </row>
    <row r="16518" spans="1:16">
      <c r="A16518" s="3">
        <v>44479.139687499999</v>
      </c>
      <c r="B16518" s="4" t="str">
        <f>HYPERLINK("https://twitter.com/petrogustavo","@petrogustavo")</f>
        <v>@petrogustavo</v>
      </c>
      <c r="C16518" s="5" t="s">
        <v>16</v>
      </c>
      <c r="D16518" s="5" t="s">
        <v>15896</v>
      </c>
      <c r="E16518" s="6" t="str">
        <f>HYPERLINK("https://twitter.com/petrogustavo/status/1446956425096437763","1446956425096437763")</f>
        <v>1446956425096437763</v>
      </c>
      <c r="F16518" s="7" t="s">
        <v>17</v>
      </c>
      <c r="G16518" s="7">
        <v>4377578</v>
      </c>
      <c r="H16518" s="7">
        <v>2543</v>
      </c>
      <c r="I16518" s="7">
        <v>112</v>
      </c>
      <c r="J16518" s="7">
        <v>516</v>
      </c>
      <c r="K16518" s="7" t="s">
        <v>18</v>
      </c>
      <c r="L16518" s="8">
        <v>39987.315405092595</v>
      </c>
      <c r="M16518" s="9" t="s">
        <v>19</v>
      </c>
      <c r="N16518" s="9" t="s">
        <v>20</v>
      </c>
      <c r="O16518" s="6" t="str">
        <f>HYPERLINK("https://pbs.twimg.com/profile_images/962471262747529216/Uo8lOkRJ_normal.jpg","View")</f>
        <v>View</v>
      </c>
      <c r="P16518" s="7"/>
    </row>
    <row r="16519" spans="1:16">
      <c r="A16519" s="3">
        <v>44479.145856481482</v>
      </c>
      <c r="B16519" s="4" t="str">
        <f>HYPERLINK("https://twitter.com/petrogustavo","@petrogustavo")</f>
        <v>@petrogustavo</v>
      </c>
      <c r="C16519" s="5" t="s">
        <v>16</v>
      </c>
      <c r="D16519" s="5" t="s">
        <v>15897</v>
      </c>
      <c r="E16519" s="6" t="str">
        <f>HYPERLINK("https://twitter.com/petrogustavo/status/1446958662023581704","1446958662023581704")</f>
        <v>1446958662023581704</v>
      </c>
      <c r="F16519" s="7" t="s">
        <v>17</v>
      </c>
      <c r="G16519" s="7">
        <v>4377578</v>
      </c>
      <c r="H16519" s="7">
        <v>2543</v>
      </c>
      <c r="I16519" s="7">
        <v>158</v>
      </c>
      <c r="J16519" s="7">
        <v>567</v>
      </c>
      <c r="K16519" s="7" t="s">
        <v>18</v>
      </c>
      <c r="L16519" s="8">
        <v>39987.315405092595</v>
      </c>
      <c r="M16519" s="9" t="s">
        <v>19</v>
      </c>
      <c r="N16519" s="9" t="s">
        <v>20</v>
      </c>
      <c r="O16519" s="6" t="str">
        <f>HYPERLINK("https://pbs.twimg.com/profile_images/962471262747529216/Uo8lOkRJ_normal.jpg","View")</f>
        <v>View</v>
      </c>
      <c r="P16519" s="7"/>
    </row>
    <row r="16520" spans="1:16">
      <c r="A16520" s="3">
        <v>44479.28324074074</v>
      </c>
      <c r="B16520" s="4" t="str">
        <f>HYPERLINK("https://twitter.com/petrogustavo","@petrogustavo")</f>
        <v>@petrogustavo</v>
      </c>
      <c r="C16520" s="5" t="s">
        <v>16</v>
      </c>
      <c r="D16520" s="5" t="s">
        <v>15898</v>
      </c>
      <c r="E16520" s="6" t="str">
        <f>HYPERLINK("https://twitter.com/petrogustavo/status/1447008446717612032","1447008446717612032")</f>
        <v>1447008446717612032</v>
      </c>
      <c r="F16520" s="7" t="s">
        <v>17</v>
      </c>
      <c r="G16520" s="7">
        <v>4377634</v>
      </c>
      <c r="H16520" s="7">
        <v>2543</v>
      </c>
      <c r="I16520" s="7">
        <v>1</v>
      </c>
      <c r="J16520" s="7">
        <v>5</v>
      </c>
      <c r="K16520" s="7" t="s">
        <v>18</v>
      </c>
      <c r="L16520" s="8">
        <v>39987.315405092595</v>
      </c>
      <c r="M16520" s="9" t="s">
        <v>19</v>
      </c>
      <c r="N16520" s="9" t="s">
        <v>20</v>
      </c>
      <c r="O16520" s="6" t="str">
        <f>HYPERLINK("https://pbs.twimg.com/profile_images/962471262747529216/Uo8lOkRJ_normal.jpg","View")</f>
        <v>View</v>
      </c>
      <c r="P16520" s="7"/>
    </row>
    <row r="16521" spans="1:16">
      <c r="A16521" s="3">
        <v>44479.299583333333</v>
      </c>
      <c r="B16521" s="4" t="str">
        <f>HYPERLINK("https://twitter.com/petrogustavo","@petrogustavo")</f>
        <v>@petrogustavo</v>
      </c>
      <c r="C16521" s="5" t="s">
        <v>16</v>
      </c>
      <c r="D16521" s="5" t="s">
        <v>15899</v>
      </c>
      <c r="E16521" s="6" t="str">
        <f>HYPERLINK("https://twitter.com/petrogustavo/status/1447014368613437442","1447014368613437442")</f>
        <v>1447014368613437442</v>
      </c>
      <c r="F16521" s="7" t="s">
        <v>17</v>
      </c>
      <c r="G16521" s="7">
        <v>4377639</v>
      </c>
      <c r="H16521" s="7">
        <v>2543</v>
      </c>
      <c r="I16521" s="7">
        <v>0</v>
      </c>
      <c r="J16521" s="7">
        <v>2</v>
      </c>
      <c r="K16521" s="7" t="s">
        <v>18</v>
      </c>
      <c r="L16521" s="8">
        <v>39987.315405092595</v>
      </c>
      <c r="M16521" s="9" t="s">
        <v>19</v>
      </c>
      <c r="N16521" s="9" t="s">
        <v>20</v>
      </c>
      <c r="O16521" s="6" t="str">
        <f>HYPERLINK("https://pbs.twimg.com/profile_images/962471262747529216/Uo8lOkRJ_normal.jpg","View")</f>
        <v>View</v>
      </c>
      <c r="P16521" s="7"/>
    </row>
    <row r="16522" spans="1:16">
      <c r="A16522" s="3">
        <v>44479.869513888887</v>
      </c>
      <c r="B16522" s="4" t="str">
        <f>HYPERLINK("https://twitter.com/petrogustavo","@petrogustavo")</f>
        <v>@petrogustavo</v>
      </c>
      <c r="C16522" s="5" t="s">
        <v>16</v>
      </c>
      <c r="D16522" s="5" t="s">
        <v>15900</v>
      </c>
      <c r="E16522" s="6" t="str">
        <f>HYPERLINK("https://twitter.com/petrogustavo/status/1447220904375816192","1447220904375816192")</f>
        <v>1447220904375816192</v>
      </c>
      <c r="F16522" s="7" t="s">
        <v>17</v>
      </c>
      <c r="G16522" s="7">
        <v>4377801</v>
      </c>
      <c r="H16522" s="7">
        <v>2543</v>
      </c>
      <c r="I16522" s="7">
        <v>542</v>
      </c>
      <c r="J16522" s="7">
        <v>944</v>
      </c>
      <c r="K16522" s="7" t="s">
        <v>18</v>
      </c>
      <c r="L16522" s="8">
        <v>39987.315405092595</v>
      </c>
      <c r="M16522" s="9" t="s">
        <v>19</v>
      </c>
      <c r="N16522" s="9" t="s">
        <v>20</v>
      </c>
      <c r="O16522" s="6" t="str">
        <f>HYPERLINK("https://pbs.twimg.com/profile_images/962471262747529216/Uo8lOkRJ_normal.jpg","View")</f>
        <v>View</v>
      </c>
      <c r="P16522" s="7"/>
    </row>
    <row r="16523" spans="1:16">
      <c r="A16523" s="3">
        <v>44479.884074074071</v>
      </c>
      <c r="B16523" s="4" t="str">
        <f>HYPERLINK("https://twitter.com/petrogustavo","@petrogustavo")</f>
        <v>@petrogustavo</v>
      </c>
      <c r="C16523" s="5" t="s">
        <v>16</v>
      </c>
      <c r="D16523" s="5" t="s">
        <v>15901</v>
      </c>
      <c r="E16523" s="6" t="str">
        <f>HYPERLINK("https://twitter.com/petrogustavo/status/1447226182114725888","1447226182114725888")</f>
        <v>1447226182114725888</v>
      </c>
      <c r="F16523" s="7" t="s">
        <v>17</v>
      </c>
      <c r="G16523" s="7">
        <v>4377801</v>
      </c>
      <c r="H16523" s="7">
        <v>2543</v>
      </c>
      <c r="I16523" s="7">
        <v>67</v>
      </c>
      <c r="J16523" s="7">
        <v>123</v>
      </c>
      <c r="K16523" s="7" t="s">
        <v>18</v>
      </c>
      <c r="L16523" s="8">
        <v>39987.315405092595</v>
      </c>
      <c r="M16523" s="9" t="s">
        <v>19</v>
      </c>
      <c r="N16523" s="9" t="s">
        <v>20</v>
      </c>
      <c r="O16523" s="6" t="str">
        <f>HYPERLINK("https://pbs.twimg.com/profile_images/962471262747529216/Uo8lOkRJ_normal.jpg","View")</f>
        <v>View</v>
      </c>
      <c r="P16523" s="7"/>
    </row>
    <row r="16524" spans="1:16">
      <c r="A16524" s="3">
        <v>44479.901284722218</v>
      </c>
      <c r="B16524" s="4" t="str">
        <f>HYPERLINK("https://twitter.com/petrogustavo","@petrogustavo")</f>
        <v>@petrogustavo</v>
      </c>
      <c r="C16524" s="5" t="s">
        <v>16</v>
      </c>
      <c r="D16524" s="5" t="s">
        <v>15902</v>
      </c>
      <c r="E16524" s="6" t="str">
        <f>HYPERLINK("https://twitter.com/petrogustavo/status/1447232419451523078","1447232419451523078")</f>
        <v>1447232419451523078</v>
      </c>
      <c r="F16524" s="7" t="s">
        <v>17</v>
      </c>
      <c r="G16524" s="7">
        <v>4377838</v>
      </c>
      <c r="H16524" s="7">
        <v>2543</v>
      </c>
      <c r="I16524" s="7">
        <v>63</v>
      </c>
      <c r="J16524" s="7">
        <v>256</v>
      </c>
      <c r="K16524" s="7" t="s">
        <v>18</v>
      </c>
      <c r="L16524" s="8">
        <v>39987.315405092595</v>
      </c>
      <c r="M16524" s="9" t="s">
        <v>19</v>
      </c>
      <c r="N16524" s="9" t="s">
        <v>20</v>
      </c>
      <c r="O16524" s="6" t="str">
        <f>HYPERLINK("https://pbs.twimg.com/profile_images/962471262747529216/Uo8lOkRJ_normal.jpg","View")</f>
        <v>View</v>
      </c>
      <c r="P16524" s="7"/>
    </row>
    <row r="16525" spans="1:16">
      <c r="A16525" s="3">
        <v>44479.906377314815</v>
      </c>
      <c r="B16525" s="4" t="str">
        <f>HYPERLINK("https://twitter.com/petrogustavo","@petrogustavo")</f>
        <v>@petrogustavo</v>
      </c>
      <c r="C16525" s="5" t="s">
        <v>16</v>
      </c>
      <c r="D16525" s="5" t="s">
        <v>15903</v>
      </c>
      <c r="E16525" s="6" t="str">
        <f>HYPERLINK("https://twitter.com/petrogustavo/status/1447234263963815945","1447234263963815945")</f>
        <v>1447234263963815945</v>
      </c>
      <c r="F16525" s="7" t="s">
        <v>17</v>
      </c>
      <c r="G16525" s="7">
        <v>4377838</v>
      </c>
      <c r="H16525" s="7">
        <v>2543</v>
      </c>
      <c r="I16525" s="7">
        <v>36</v>
      </c>
      <c r="J16525" s="7">
        <v>75</v>
      </c>
      <c r="K16525" s="7" t="s">
        <v>18</v>
      </c>
      <c r="L16525" s="8">
        <v>39987.315405092595</v>
      </c>
      <c r="M16525" s="9" t="s">
        <v>19</v>
      </c>
      <c r="N16525" s="9" t="s">
        <v>20</v>
      </c>
      <c r="O16525" s="6" t="str">
        <f>HYPERLINK("https://pbs.twimg.com/profile_images/962471262747529216/Uo8lOkRJ_normal.jpg","View")</f>
        <v>View</v>
      </c>
      <c r="P16525" s="7"/>
    </row>
    <row r="16526" spans="1:16">
      <c r="A16526" s="3">
        <v>44479.92763888889</v>
      </c>
      <c r="B16526" s="4" t="str">
        <f>HYPERLINK("https://twitter.com/petrogustavo","@petrogustavo")</f>
        <v>@petrogustavo</v>
      </c>
      <c r="C16526" s="5" t="s">
        <v>16</v>
      </c>
      <c r="D16526" s="5" t="s">
        <v>15904</v>
      </c>
      <c r="E16526" s="6" t="str">
        <f>HYPERLINK("https://twitter.com/petrogustavo/status/1447241970183819264","1447241970183819264")</f>
        <v>1447241970183819264</v>
      </c>
      <c r="F16526" s="7" t="s">
        <v>17</v>
      </c>
      <c r="G16526" s="7">
        <v>4377857</v>
      </c>
      <c r="H16526" s="7">
        <v>2543</v>
      </c>
      <c r="I16526" s="7">
        <v>1361</v>
      </c>
      <c r="J16526" s="7">
        <v>0</v>
      </c>
      <c r="K16526" s="7" t="s">
        <v>18</v>
      </c>
      <c r="L16526" s="8">
        <v>39987.315405092595</v>
      </c>
      <c r="M16526" s="9" t="s">
        <v>19</v>
      </c>
      <c r="N16526" s="9" t="s">
        <v>20</v>
      </c>
      <c r="O16526" s="6" t="str">
        <f>HYPERLINK("https://pbs.twimg.com/profile_images/962471262747529216/Uo8lOkRJ_normal.jpg","View")</f>
        <v>View</v>
      </c>
      <c r="P16526" s="7"/>
    </row>
    <row r="16527" spans="1:16">
      <c r="A16527" s="3">
        <v>44479.948078703703</v>
      </c>
      <c r="B16527" s="4" t="str">
        <f>HYPERLINK("https://twitter.com/petrogustavo","@petrogustavo")</f>
        <v>@petrogustavo</v>
      </c>
      <c r="C16527" s="5" t="s">
        <v>16</v>
      </c>
      <c r="D16527" s="5" t="s">
        <v>15905</v>
      </c>
      <c r="E16527" s="6" t="str">
        <f>HYPERLINK("https://twitter.com/petrogustavo/status/1447249377349849088","1447249377349849088")</f>
        <v>1447249377349849088</v>
      </c>
      <c r="F16527" s="7" t="s">
        <v>17</v>
      </c>
      <c r="G16527" s="7">
        <v>4377874</v>
      </c>
      <c r="H16527" s="7">
        <v>2543</v>
      </c>
      <c r="I16527" s="7">
        <v>27</v>
      </c>
      <c r="J16527" s="7">
        <v>87</v>
      </c>
      <c r="K16527" s="7" t="s">
        <v>18</v>
      </c>
      <c r="L16527" s="8">
        <v>39987.315405092595</v>
      </c>
      <c r="M16527" s="9" t="s">
        <v>19</v>
      </c>
      <c r="N16527" s="9" t="s">
        <v>20</v>
      </c>
      <c r="O16527" s="6" t="str">
        <f>HYPERLINK("https://pbs.twimg.com/profile_images/962471262747529216/Uo8lOkRJ_normal.jpg","View")</f>
        <v>View</v>
      </c>
      <c r="P16527" s="7"/>
    </row>
    <row r="16528" spans="1:16">
      <c r="A16528" s="3">
        <v>44479.948715277773</v>
      </c>
      <c r="B16528" s="4" t="str">
        <f>HYPERLINK("https://twitter.com/petrogustavo","@petrogustavo")</f>
        <v>@petrogustavo</v>
      </c>
      <c r="C16528" s="5" t="s">
        <v>16</v>
      </c>
      <c r="D16528" s="5" t="s">
        <v>15906</v>
      </c>
      <c r="E16528" s="6" t="str">
        <f>HYPERLINK("https://twitter.com/petrogustavo/status/1447249608489545728","1447249608489545728")</f>
        <v>1447249608489545728</v>
      </c>
      <c r="F16528" s="7" t="s">
        <v>17</v>
      </c>
      <c r="G16528" s="7">
        <v>4377874</v>
      </c>
      <c r="H16528" s="7">
        <v>2543</v>
      </c>
      <c r="I16528" s="7">
        <v>15</v>
      </c>
      <c r="J16528" s="7">
        <v>0</v>
      </c>
      <c r="K16528" s="7" t="s">
        <v>18</v>
      </c>
      <c r="L16528" s="8">
        <v>39987.315405092595</v>
      </c>
      <c r="M16528" s="9" t="s">
        <v>19</v>
      </c>
      <c r="N16528" s="9" t="s">
        <v>20</v>
      </c>
      <c r="O16528" s="6" t="str">
        <f>HYPERLINK("https://pbs.twimg.com/profile_images/962471262747529216/Uo8lOkRJ_normal.jpg","View")</f>
        <v>View</v>
      </c>
      <c r="P16528" s="7"/>
    </row>
    <row r="16529" spans="1:16">
      <c r="A16529" s="3">
        <v>44479.956192129626</v>
      </c>
      <c r="B16529" s="4" t="str">
        <f>HYPERLINK("https://twitter.com/petrogustavo","@petrogustavo")</f>
        <v>@petrogustavo</v>
      </c>
      <c r="C16529" s="5" t="s">
        <v>16</v>
      </c>
      <c r="D16529" s="5" t="s">
        <v>15907</v>
      </c>
      <c r="E16529" s="6" t="str">
        <f>HYPERLINK("https://twitter.com/petrogustavo/status/1447252314620825600","1447252314620825600")</f>
        <v>1447252314620825600</v>
      </c>
      <c r="F16529" s="7" t="s">
        <v>17</v>
      </c>
      <c r="G16529" s="7">
        <v>4377885</v>
      </c>
      <c r="H16529" s="7">
        <v>2543</v>
      </c>
      <c r="I16529" s="7">
        <v>220</v>
      </c>
      <c r="J16529" s="7">
        <v>0</v>
      </c>
      <c r="K16529" s="7" t="s">
        <v>18</v>
      </c>
      <c r="L16529" s="8">
        <v>39987.315405092595</v>
      </c>
      <c r="M16529" s="9" t="s">
        <v>19</v>
      </c>
      <c r="N16529" s="9" t="s">
        <v>20</v>
      </c>
      <c r="O16529" s="6" t="str">
        <f>HYPERLINK("https://pbs.twimg.com/profile_images/962471262747529216/Uo8lOkRJ_normal.jpg","View")</f>
        <v>View</v>
      </c>
      <c r="P16529" s="7"/>
    </row>
    <row r="16530" spans="1:16">
      <c r="A16530" s="3">
        <v>44480.126134259262</v>
      </c>
      <c r="B16530" s="4" t="str">
        <f>HYPERLINK("https://twitter.com/petrogustavo","@petrogustavo")</f>
        <v>@petrogustavo</v>
      </c>
      <c r="C16530" s="5" t="s">
        <v>16</v>
      </c>
      <c r="D16530" s="5" t="s">
        <v>15908</v>
      </c>
      <c r="E16530" s="6" t="str">
        <f>HYPERLINK("https://twitter.com/petrogustavo/status/1447313900337311752","1447313900337311752")</f>
        <v>1447313900337311752</v>
      </c>
      <c r="F16530" s="7" t="s">
        <v>17</v>
      </c>
      <c r="G16530" s="7">
        <v>4378004</v>
      </c>
      <c r="H16530" s="7">
        <v>2543</v>
      </c>
      <c r="I16530" s="7">
        <v>211</v>
      </c>
      <c r="J16530" s="7">
        <v>0</v>
      </c>
      <c r="K16530" s="7" t="s">
        <v>18</v>
      </c>
      <c r="L16530" s="8">
        <v>39987.315405092595</v>
      </c>
      <c r="M16530" s="9" t="s">
        <v>19</v>
      </c>
      <c r="N16530" s="9" t="s">
        <v>20</v>
      </c>
      <c r="O16530" s="6" t="str">
        <f>HYPERLINK("https://pbs.twimg.com/profile_images/962471262747529216/Uo8lOkRJ_normal.jpg","View")</f>
        <v>View</v>
      </c>
      <c r="P16530" s="7"/>
    </row>
    <row r="16531" spans="1:16">
      <c r="A16531" s="3">
        <v>44480.128344907411</v>
      </c>
      <c r="B16531" s="4" t="str">
        <f>HYPERLINK("https://twitter.com/petrogustavo","@petrogustavo")</f>
        <v>@petrogustavo</v>
      </c>
      <c r="C16531" s="5" t="s">
        <v>16</v>
      </c>
      <c r="D16531" s="5" t="s">
        <v>15904</v>
      </c>
      <c r="E16531" s="6" t="str">
        <f>HYPERLINK("https://twitter.com/petrogustavo/status/1447314702195953664","1447314702195953664")</f>
        <v>1447314702195953664</v>
      </c>
      <c r="F16531" s="7" t="s">
        <v>17</v>
      </c>
      <c r="G16531" s="7">
        <v>4378004</v>
      </c>
      <c r="H16531" s="7">
        <v>2543</v>
      </c>
      <c r="I16531" s="7">
        <v>3152</v>
      </c>
      <c r="J16531" s="7">
        <v>0</v>
      </c>
      <c r="K16531" s="7" t="s">
        <v>18</v>
      </c>
      <c r="L16531" s="8">
        <v>39987.315405092595</v>
      </c>
      <c r="M16531" s="9" t="s">
        <v>19</v>
      </c>
      <c r="N16531" s="9" t="s">
        <v>20</v>
      </c>
      <c r="O16531" s="6" t="str">
        <f>HYPERLINK("https://pbs.twimg.com/profile_images/962471262747529216/Uo8lOkRJ_normal.jpg","View")</f>
        <v>View</v>
      </c>
      <c r="P16531" s="7"/>
    </row>
    <row r="16532" spans="1:16">
      <c r="A16532" s="3">
        <v>44480.318136574075</v>
      </c>
      <c r="B16532" s="4" t="str">
        <f>HYPERLINK("https://twitter.com/petrogustavo","@petrogustavo")</f>
        <v>@petrogustavo</v>
      </c>
      <c r="C16532" s="5" t="s">
        <v>16</v>
      </c>
      <c r="D16532" s="5" t="s">
        <v>15909</v>
      </c>
      <c r="E16532" s="6" t="str">
        <f>HYPERLINK("https://twitter.com/petrogustavo/status/1447383478941720578","1447383478941720578")</f>
        <v>1447383478941720578</v>
      </c>
      <c r="F16532" s="7" t="s">
        <v>17</v>
      </c>
      <c r="G16532" s="7">
        <v>4378131</v>
      </c>
      <c r="H16532" s="7">
        <v>2544</v>
      </c>
      <c r="I16532" s="7">
        <v>183</v>
      </c>
      <c r="J16532" s="7">
        <v>0</v>
      </c>
      <c r="K16532" s="7" t="s">
        <v>18</v>
      </c>
      <c r="L16532" s="8">
        <v>39987.315405092595</v>
      </c>
      <c r="M16532" s="9" t="s">
        <v>19</v>
      </c>
      <c r="N16532" s="9" t="s">
        <v>20</v>
      </c>
      <c r="O16532" s="6" t="str">
        <f>HYPERLINK("https://pbs.twimg.com/profile_images/962471262747529216/Uo8lOkRJ_normal.jpg","View")</f>
        <v>View</v>
      </c>
      <c r="P16532" s="7"/>
    </row>
    <row r="16533" spans="1:16">
      <c r="A16533" s="3">
        <v>44480.322245370371</v>
      </c>
      <c r="B16533" s="4" t="str">
        <f>HYPERLINK("https://twitter.com/petrogustavo","@petrogustavo")</f>
        <v>@petrogustavo</v>
      </c>
      <c r="C16533" s="5" t="s">
        <v>16</v>
      </c>
      <c r="D16533" s="5" t="s">
        <v>15910</v>
      </c>
      <c r="E16533" s="6" t="str">
        <f>HYPERLINK("https://twitter.com/petrogustavo/status/1447384969790246912","1447384969790246912")</f>
        <v>1447384969790246912</v>
      </c>
      <c r="F16533" s="7" t="s">
        <v>17</v>
      </c>
      <c r="G16533" s="7">
        <v>4378131</v>
      </c>
      <c r="H16533" s="7">
        <v>2544</v>
      </c>
      <c r="I16533" s="7">
        <v>393</v>
      </c>
      <c r="J16533" s="7">
        <v>0</v>
      </c>
      <c r="K16533" s="7" t="s">
        <v>18</v>
      </c>
      <c r="L16533" s="8">
        <v>39987.315405092595</v>
      </c>
      <c r="M16533" s="9" t="s">
        <v>19</v>
      </c>
      <c r="N16533" s="9" t="s">
        <v>20</v>
      </c>
      <c r="O16533" s="6" t="str">
        <f>HYPERLINK("https://pbs.twimg.com/profile_images/962471262747529216/Uo8lOkRJ_normal.jpg","View")</f>
        <v>View</v>
      </c>
      <c r="P16533" s="7"/>
    </row>
    <row r="16534" spans="1:16">
      <c r="A16534" s="3">
        <v>44480.325416666667</v>
      </c>
      <c r="B16534" s="4" t="str">
        <f>HYPERLINK("https://twitter.com/petrogustavo","@petrogustavo")</f>
        <v>@petrogustavo</v>
      </c>
      <c r="C16534" s="5" t="s">
        <v>16</v>
      </c>
      <c r="D16534" s="5" t="s">
        <v>15911</v>
      </c>
      <c r="E16534" s="6" t="str">
        <f>HYPERLINK("https://twitter.com/petrogustavo/status/1447386116668203013","1447386116668203013")</f>
        <v>1447386116668203013</v>
      </c>
      <c r="F16534" s="7" t="s">
        <v>17</v>
      </c>
      <c r="G16534" s="7">
        <v>4378159</v>
      </c>
      <c r="H16534" s="7">
        <v>2544</v>
      </c>
      <c r="I16534" s="7">
        <v>103</v>
      </c>
      <c r="J16534" s="7">
        <v>436</v>
      </c>
      <c r="K16534" s="7" t="s">
        <v>18</v>
      </c>
      <c r="L16534" s="8">
        <v>39987.315405092595</v>
      </c>
      <c r="M16534" s="9" t="s">
        <v>19</v>
      </c>
      <c r="N16534" s="9" t="s">
        <v>20</v>
      </c>
      <c r="O16534" s="6" t="str">
        <f>HYPERLINK("https://pbs.twimg.com/profile_images/962471262747529216/Uo8lOkRJ_normal.jpg","View")</f>
        <v>View</v>
      </c>
      <c r="P16534" s="7"/>
    </row>
    <row r="16535" spans="1:16">
      <c r="A16535" s="3">
        <v>44480.327430555553</v>
      </c>
      <c r="B16535" s="4" t="str">
        <f>HYPERLINK("https://twitter.com/petrogustavo","@petrogustavo")</f>
        <v>@petrogustavo</v>
      </c>
      <c r="C16535" s="5" t="s">
        <v>16</v>
      </c>
      <c r="D16535" s="5" t="s">
        <v>15912</v>
      </c>
      <c r="E16535" s="6" t="str">
        <f>HYPERLINK("https://twitter.com/petrogustavo/status/1447386850264502276","1447386850264502276")</f>
        <v>1447386850264502276</v>
      </c>
      <c r="F16535" s="7" t="s">
        <v>17</v>
      </c>
      <c r="G16535" s="7">
        <v>4378159</v>
      </c>
      <c r="H16535" s="7">
        <v>2544</v>
      </c>
      <c r="I16535" s="7">
        <v>328</v>
      </c>
      <c r="J16535" s="7">
        <v>1152</v>
      </c>
      <c r="K16535" s="7" t="s">
        <v>18</v>
      </c>
      <c r="L16535" s="8">
        <v>39987.315405092595</v>
      </c>
      <c r="M16535" s="9" t="s">
        <v>19</v>
      </c>
      <c r="N16535" s="9" t="s">
        <v>20</v>
      </c>
      <c r="O16535" s="6" t="str">
        <f>HYPERLINK("https://pbs.twimg.com/profile_images/962471262747529216/Uo8lOkRJ_normal.jpg","View")</f>
        <v>View</v>
      </c>
      <c r="P16535" s="7"/>
    </row>
    <row r="16536" spans="1:16">
      <c r="A16536" s="3">
        <v>44480.335127314815</v>
      </c>
      <c r="B16536" s="4" t="str">
        <f>HYPERLINK("https://twitter.com/petrogustavo","@petrogustavo")</f>
        <v>@petrogustavo</v>
      </c>
      <c r="C16536" s="5" t="s">
        <v>16</v>
      </c>
      <c r="D16536" s="5" t="s">
        <v>15913</v>
      </c>
      <c r="E16536" s="6" t="str">
        <f>HYPERLINK("https://twitter.com/petrogustavo/status/1447389637752852483","1447389637752852483")</f>
        <v>1447389637752852483</v>
      </c>
      <c r="F16536" s="7" t="s">
        <v>17</v>
      </c>
      <c r="G16536" s="7">
        <v>4378159</v>
      </c>
      <c r="H16536" s="7">
        <v>2544</v>
      </c>
      <c r="I16536" s="7">
        <v>62</v>
      </c>
      <c r="J16536" s="7">
        <v>227</v>
      </c>
      <c r="K16536" s="7" t="s">
        <v>18</v>
      </c>
      <c r="L16536" s="8">
        <v>39987.315405092595</v>
      </c>
      <c r="M16536" s="9" t="s">
        <v>19</v>
      </c>
      <c r="N16536" s="9" t="s">
        <v>20</v>
      </c>
      <c r="O16536" s="6" t="str">
        <f>HYPERLINK("https://pbs.twimg.com/profile_images/962471262747529216/Uo8lOkRJ_normal.jpg","View")</f>
        <v>View</v>
      </c>
      <c r="P16536" s="7"/>
    </row>
    <row r="16537" spans="1:16">
      <c r="A16537" s="3">
        <v>44480.349502314813</v>
      </c>
      <c r="B16537" s="4" t="str">
        <f>HYPERLINK("https://twitter.com/petrogustavo","@petrogustavo")</f>
        <v>@petrogustavo</v>
      </c>
      <c r="C16537" s="5" t="s">
        <v>16</v>
      </c>
      <c r="D16537" s="5" t="s">
        <v>15914</v>
      </c>
      <c r="E16537" s="6" t="str">
        <f>HYPERLINK("https://twitter.com/petrogustavo/status/1447394846805831684","1447394846805831684")</f>
        <v>1447394846805831684</v>
      </c>
      <c r="F16537" s="7" t="s">
        <v>17</v>
      </c>
      <c r="G16537" s="7">
        <v>4378176</v>
      </c>
      <c r="H16537" s="7">
        <v>2544</v>
      </c>
      <c r="I16537" s="7">
        <v>60</v>
      </c>
      <c r="J16537" s="7">
        <v>455</v>
      </c>
      <c r="K16537" s="7" t="s">
        <v>18</v>
      </c>
      <c r="L16537" s="8">
        <v>39987.315405092595</v>
      </c>
      <c r="M16537" s="9" t="s">
        <v>19</v>
      </c>
      <c r="N16537" s="9" t="s">
        <v>20</v>
      </c>
      <c r="O16537" s="6" t="str">
        <f>HYPERLINK("https://pbs.twimg.com/profile_images/962471262747529216/Uo8lOkRJ_normal.jpg","View")</f>
        <v>View</v>
      </c>
      <c r="P16537" s="7"/>
    </row>
    <row r="16538" spans="1:16">
      <c r="A16538" s="3">
        <v>44480.351157407407</v>
      </c>
      <c r="B16538" s="4" t="str">
        <f>HYPERLINK("https://twitter.com/petrogustavo","@petrogustavo")</f>
        <v>@petrogustavo</v>
      </c>
      <c r="C16538" s="5" t="s">
        <v>16</v>
      </c>
      <c r="D16538" s="5" t="s">
        <v>15915</v>
      </c>
      <c r="E16538" s="6" t="str">
        <f>HYPERLINK("https://twitter.com/petrogustavo/status/1447395447379738624","1447395447379738624")</f>
        <v>1447395447379738624</v>
      </c>
      <c r="F16538" s="7" t="s">
        <v>17</v>
      </c>
      <c r="G16538" s="7">
        <v>4378176</v>
      </c>
      <c r="H16538" s="7">
        <v>2544</v>
      </c>
      <c r="I16538" s="7">
        <v>291</v>
      </c>
      <c r="J16538" s="7">
        <v>0</v>
      </c>
      <c r="K16538" s="7" t="s">
        <v>18</v>
      </c>
      <c r="L16538" s="8">
        <v>39987.315405092595</v>
      </c>
      <c r="M16538" s="9" t="s">
        <v>19</v>
      </c>
      <c r="N16538" s="9" t="s">
        <v>20</v>
      </c>
      <c r="O16538" s="6" t="str">
        <f>HYPERLINK("https://pbs.twimg.com/profile_images/962471262747529216/Uo8lOkRJ_normal.jpg","View")</f>
        <v>View</v>
      </c>
      <c r="P16538" s="7"/>
    </row>
    <row r="16539" spans="1:16">
      <c r="A16539" s="3">
        <v>44480.35456018518</v>
      </c>
      <c r="B16539" s="4" t="str">
        <f>HYPERLINK("https://twitter.com/petrogustavo","@petrogustavo")</f>
        <v>@petrogustavo</v>
      </c>
      <c r="C16539" s="5" t="s">
        <v>16</v>
      </c>
      <c r="D16539" s="5" t="s">
        <v>15916</v>
      </c>
      <c r="E16539" s="6" t="str">
        <f>HYPERLINK("https://twitter.com/petrogustavo/status/1447396678055702531","1447396678055702531")</f>
        <v>1447396678055702531</v>
      </c>
      <c r="F16539" s="7" t="s">
        <v>17</v>
      </c>
      <c r="G16539" s="7">
        <v>4378176</v>
      </c>
      <c r="H16539" s="7">
        <v>2544</v>
      </c>
      <c r="I16539" s="7">
        <v>523</v>
      </c>
      <c r="J16539" s="7">
        <v>0</v>
      </c>
      <c r="K16539" s="7" t="s">
        <v>18</v>
      </c>
      <c r="L16539" s="8">
        <v>39987.315405092595</v>
      </c>
      <c r="M16539" s="9" t="s">
        <v>19</v>
      </c>
      <c r="N16539" s="9" t="s">
        <v>20</v>
      </c>
      <c r="O16539" s="6" t="str">
        <f>HYPERLINK("https://pbs.twimg.com/profile_images/962471262747529216/Uo8lOkRJ_normal.jpg","View")</f>
        <v>View</v>
      </c>
      <c r="P16539" s="7"/>
    </row>
    <row r="16540" spans="1:16">
      <c r="A16540" s="3">
        <v>44480.371377314819</v>
      </c>
      <c r="B16540" s="4" t="str">
        <f>HYPERLINK("https://twitter.com/petrogustavo","@petrogustavo")</f>
        <v>@petrogustavo</v>
      </c>
      <c r="C16540" s="5" t="s">
        <v>16</v>
      </c>
      <c r="D16540" s="5" t="s">
        <v>15917</v>
      </c>
      <c r="E16540" s="6" t="str">
        <f>HYPERLINK("https://twitter.com/petrogustavo/status/1447402772815663112","1447402772815663112")</f>
        <v>1447402772815663112</v>
      </c>
      <c r="F16540" s="7" t="s">
        <v>17</v>
      </c>
      <c r="G16540" s="7">
        <v>4378185</v>
      </c>
      <c r="H16540" s="7">
        <v>2544</v>
      </c>
      <c r="I16540" s="7">
        <v>51</v>
      </c>
      <c r="J16540" s="7">
        <v>193</v>
      </c>
      <c r="K16540" s="7" t="s">
        <v>18</v>
      </c>
      <c r="L16540" s="8">
        <v>39987.315405092595</v>
      </c>
      <c r="M16540" s="9" t="s">
        <v>19</v>
      </c>
      <c r="N16540" s="9" t="s">
        <v>20</v>
      </c>
      <c r="O16540" s="6" t="str">
        <f>HYPERLINK("https://pbs.twimg.com/profile_images/962471262747529216/Uo8lOkRJ_normal.jpg","View")</f>
        <v>View</v>
      </c>
      <c r="P16540" s="7"/>
    </row>
    <row r="16541" spans="1:16">
      <c r="A16541" s="3">
        <v>44480.375972222224</v>
      </c>
      <c r="B16541" s="4" t="str">
        <f>HYPERLINK("https://twitter.com/petrogustavo","@petrogustavo")</f>
        <v>@petrogustavo</v>
      </c>
      <c r="C16541" s="5" t="s">
        <v>16</v>
      </c>
      <c r="D16541" s="5" t="s">
        <v>15918</v>
      </c>
      <c r="E16541" s="6" t="str">
        <f>HYPERLINK("https://twitter.com/petrogustavo/status/1447404437555884033","1447404437555884033")</f>
        <v>1447404437555884033</v>
      </c>
      <c r="F16541" s="7" t="s">
        <v>17</v>
      </c>
      <c r="G16541" s="7">
        <v>4378185</v>
      </c>
      <c r="H16541" s="7">
        <v>2544</v>
      </c>
      <c r="I16541" s="7">
        <v>46</v>
      </c>
      <c r="J16541" s="7">
        <v>237</v>
      </c>
      <c r="K16541" s="7" t="s">
        <v>18</v>
      </c>
      <c r="L16541" s="8">
        <v>39987.315405092595</v>
      </c>
      <c r="M16541" s="9" t="s">
        <v>19</v>
      </c>
      <c r="N16541" s="9" t="s">
        <v>20</v>
      </c>
      <c r="O16541" s="6" t="str">
        <f>HYPERLINK("https://pbs.twimg.com/profile_images/962471262747529216/Uo8lOkRJ_normal.jpg","View")</f>
        <v>View</v>
      </c>
      <c r="P16541" s="7"/>
    </row>
    <row r="16542" spans="1:16">
      <c r="A16542" s="3">
        <v>44480.38013888889</v>
      </c>
      <c r="B16542" s="4" t="str">
        <f>HYPERLINK("https://twitter.com/petrogustavo","@petrogustavo")</f>
        <v>@petrogustavo</v>
      </c>
      <c r="C16542" s="5" t="s">
        <v>16</v>
      </c>
      <c r="D16542" s="5" t="s">
        <v>15919</v>
      </c>
      <c r="E16542" s="6" t="str">
        <f>HYPERLINK("https://twitter.com/petrogustavo/status/1447405951263334402","1447405951263334402")</f>
        <v>1447405951263334402</v>
      </c>
      <c r="F16542" s="7" t="s">
        <v>17</v>
      </c>
      <c r="G16542" s="7">
        <v>4378185</v>
      </c>
      <c r="H16542" s="7">
        <v>2544</v>
      </c>
      <c r="I16542" s="7">
        <v>25</v>
      </c>
      <c r="J16542" s="7">
        <v>0</v>
      </c>
      <c r="K16542" s="7" t="s">
        <v>18</v>
      </c>
      <c r="L16542" s="8">
        <v>39987.315405092595</v>
      </c>
      <c r="M16542" s="9" t="s">
        <v>19</v>
      </c>
      <c r="N16542" s="9" t="s">
        <v>20</v>
      </c>
      <c r="O16542" s="6" t="str">
        <f>HYPERLINK("https://pbs.twimg.com/profile_images/962471262747529216/Uo8lOkRJ_normal.jpg","View")</f>
        <v>View</v>
      </c>
      <c r="P16542" s="7"/>
    </row>
    <row r="16543" spans="1:16">
      <c r="A16543" s="3">
        <v>44480.383981481486</v>
      </c>
      <c r="B16543" s="4" t="str">
        <f>HYPERLINK("https://twitter.com/petrogustavo","@petrogustavo")</f>
        <v>@petrogustavo</v>
      </c>
      <c r="C16543" s="5" t="s">
        <v>16</v>
      </c>
      <c r="D16543" s="5" t="s">
        <v>15920</v>
      </c>
      <c r="E16543" s="6" t="str">
        <f>HYPERLINK("https://twitter.com/petrogustavo/status/1447407342316830723","1447407342316830723")</f>
        <v>1447407342316830723</v>
      </c>
      <c r="F16543" s="7" t="s">
        <v>17</v>
      </c>
      <c r="G16543" s="7">
        <v>4378185</v>
      </c>
      <c r="H16543" s="7">
        <v>2544</v>
      </c>
      <c r="I16543" s="7">
        <v>67</v>
      </c>
      <c r="J16543" s="7">
        <v>157</v>
      </c>
      <c r="K16543" s="7" t="s">
        <v>18</v>
      </c>
      <c r="L16543" s="8">
        <v>39987.315405092595</v>
      </c>
      <c r="M16543" s="9" t="s">
        <v>19</v>
      </c>
      <c r="N16543" s="9" t="s">
        <v>20</v>
      </c>
      <c r="O16543" s="6" t="str">
        <f>HYPERLINK("https://pbs.twimg.com/profile_images/962471262747529216/Uo8lOkRJ_normal.jpg","View")</f>
        <v>View</v>
      </c>
      <c r="P16543" s="7"/>
    </row>
    <row r="16544" spans="1:16">
      <c r="A16544" s="3">
        <v>44480.389745370368</v>
      </c>
      <c r="B16544" s="4" t="str">
        <f>HYPERLINK("https://twitter.com/petrogustavo","@petrogustavo")</f>
        <v>@petrogustavo</v>
      </c>
      <c r="C16544" s="5" t="s">
        <v>16</v>
      </c>
      <c r="D16544" s="5" t="s">
        <v>15921</v>
      </c>
      <c r="E16544" s="6" t="str">
        <f>HYPERLINK("https://twitter.com/petrogustavo/status/1447409429972987906","1447409429972987906")</f>
        <v>1447409429972987906</v>
      </c>
      <c r="F16544" s="7" t="s">
        <v>17</v>
      </c>
      <c r="G16544" s="7">
        <v>4378188</v>
      </c>
      <c r="H16544" s="7">
        <v>2544</v>
      </c>
      <c r="I16544" s="7">
        <v>181</v>
      </c>
      <c r="J16544" s="7">
        <v>451</v>
      </c>
      <c r="K16544" s="7" t="s">
        <v>18</v>
      </c>
      <c r="L16544" s="8">
        <v>39987.315405092595</v>
      </c>
      <c r="M16544" s="9" t="s">
        <v>19</v>
      </c>
      <c r="N16544" s="9" t="s">
        <v>20</v>
      </c>
      <c r="O16544" s="6" t="str">
        <f>HYPERLINK("https://pbs.twimg.com/profile_images/962471262747529216/Uo8lOkRJ_normal.jpg","View")</f>
        <v>View</v>
      </c>
      <c r="P16544" s="7"/>
    </row>
    <row r="16545" spans="1:16">
      <c r="A16545" s="3">
        <v>44480.408784722225</v>
      </c>
      <c r="B16545" s="4" t="str">
        <f>HYPERLINK("https://twitter.com/petrogustavo","@petrogustavo")</f>
        <v>@petrogustavo</v>
      </c>
      <c r="C16545" s="5" t="s">
        <v>16</v>
      </c>
      <c r="D16545" s="5" t="s">
        <v>15922</v>
      </c>
      <c r="E16545" s="6" t="str">
        <f>HYPERLINK("https://twitter.com/petrogustavo/status/1447416330714599424","1447416330714599424")</f>
        <v>1447416330714599424</v>
      </c>
      <c r="F16545" s="7" t="s">
        <v>17</v>
      </c>
      <c r="G16545" s="7">
        <v>4378193</v>
      </c>
      <c r="H16545" s="7">
        <v>2544</v>
      </c>
      <c r="I16545" s="7">
        <v>74</v>
      </c>
      <c r="J16545" s="7">
        <v>323</v>
      </c>
      <c r="K16545" s="7" t="s">
        <v>18</v>
      </c>
      <c r="L16545" s="8">
        <v>39987.315405092595</v>
      </c>
      <c r="M16545" s="9" t="s">
        <v>19</v>
      </c>
      <c r="N16545" s="9" t="s">
        <v>20</v>
      </c>
      <c r="O16545" s="6" t="str">
        <f>HYPERLINK("https://pbs.twimg.com/profile_images/962471262747529216/Uo8lOkRJ_normal.jpg","View")</f>
        <v>View</v>
      </c>
      <c r="P16545" s="7"/>
    </row>
    <row r="16546" spans="1:16">
      <c r="A16546" s="3">
        <v>44480.69027777778</v>
      </c>
      <c r="B16546" s="4" t="str">
        <f>HYPERLINK("https://twitter.com/petrogustavo","@petrogustavo")</f>
        <v>@petrogustavo</v>
      </c>
      <c r="C16546" s="5" t="s">
        <v>16</v>
      </c>
      <c r="D16546" s="5" t="s">
        <v>15923</v>
      </c>
      <c r="E16546" s="6" t="str">
        <f>HYPERLINK("https://twitter.com/petrogustavo/status/1447518340742852610","1447518340742852610")</f>
        <v>1447518340742852610</v>
      </c>
      <c r="F16546" s="7" t="s">
        <v>17</v>
      </c>
      <c r="G16546" s="7">
        <v>4378217</v>
      </c>
      <c r="H16546" s="7">
        <v>2544</v>
      </c>
      <c r="I16546" s="7">
        <v>151</v>
      </c>
      <c r="J16546" s="7">
        <v>0</v>
      </c>
      <c r="K16546" s="7" t="s">
        <v>18</v>
      </c>
      <c r="L16546" s="8">
        <v>39987.315405092595</v>
      </c>
      <c r="M16546" s="9" t="s">
        <v>19</v>
      </c>
      <c r="N16546" s="9" t="s">
        <v>20</v>
      </c>
      <c r="O16546" s="6" t="str">
        <f>HYPERLINK("https://pbs.twimg.com/profile_images/962471262747529216/Uo8lOkRJ_normal.jpg","View")</f>
        <v>View</v>
      </c>
      <c r="P16546" s="7"/>
    </row>
    <row r="16547" spans="1:16">
      <c r="A16547" s="3">
        <v>44480.701365740737</v>
      </c>
      <c r="B16547" s="4" t="str">
        <f>HYPERLINK("https://twitter.com/petrogustavo","@petrogustavo")</f>
        <v>@petrogustavo</v>
      </c>
      <c r="C16547" s="5" t="s">
        <v>16</v>
      </c>
      <c r="D16547" s="5" t="s">
        <v>15924</v>
      </c>
      <c r="E16547" s="6" t="str">
        <f>HYPERLINK("https://twitter.com/petrogustavo/status/1447522359854964736","1447522359854964736")</f>
        <v>1447522359854964736</v>
      </c>
      <c r="F16547" s="7" t="s">
        <v>17</v>
      </c>
      <c r="G16547" s="7">
        <v>4378223</v>
      </c>
      <c r="H16547" s="7">
        <v>2544</v>
      </c>
      <c r="I16547" s="7">
        <v>71</v>
      </c>
      <c r="J16547" s="7">
        <v>177</v>
      </c>
      <c r="K16547" s="7" t="s">
        <v>18</v>
      </c>
      <c r="L16547" s="8">
        <v>39987.315405092595</v>
      </c>
      <c r="M16547" s="9" t="s">
        <v>19</v>
      </c>
      <c r="N16547" s="9" t="s">
        <v>20</v>
      </c>
      <c r="O16547" s="6" t="str">
        <f>HYPERLINK("https://pbs.twimg.com/profile_images/962471262747529216/Uo8lOkRJ_normal.jpg","View")</f>
        <v>View</v>
      </c>
      <c r="P16547" s="7"/>
    </row>
    <row r="16548" spans="1:16">
      <c r="A16548" s="3">
        <v>44480.707314814819</v>
      </c>
      <c r="B16548" s="4" t="str">
        <f>HYPERLINK("https://twitter.com/petrogustavo","@petrogustavo")</f>
        <v>@petrogustavo</v>
      </c>
      <c r="C16548" s="5" t="s">
        <v>16</v>
      </c>
      <c r="D16548" s="5" t="s">
        <v>15925</v>
      </c>
      <c r="E16548" s="6" t="str">
        <f>HYPERLINK("https://twitter.com/petrogustavo/status/1447524514108252163","1447524514108252163")</f>
        <v>1447524514108252163</v>
      </c>
      <c r="F16548" s="7" t="s">
        <v>17</v>
      </c>
      <c r="G16548" s="7">
        <v>4378223</v>
      </c>
      <c r="H16548" s="7">
        <v>2544</v>
      </c>
      <c r="I16548" s="7">
        <v>131</v>
      </c>
      <c r="J16548" s="7">
        <v>321</v>
      </c>
      <c r="K16548" s="7" t="s">
        <v>18</v>
      </c>
      <c r="L16548" s="8">
        <v>39987.315405092595</v>
      </c>
      <c r="M16548" s="9" t="s">
        <v>19</v>
      </c>
      <c r="N16548" s="9" t="s">
        <v>20</v>
      </c>
      <c r="O16548" s="6" t="str">
        <f>HYPERLINK("https://pbs.twimg.com/profile_images/962471262747529216/Uo8lOkRJ_normal.jpg","View")</f>
        <v>View</v>
      </c>
      <c r="P16548" s="7"/>
    </row>
    <row r="16549" spans="1:16">
      <c r="A16549" s="3">
        <v>44480.712430555555</v>
      </c>
      <c r="B16549" s="4" t="str">
        <f>HYPERLINK("https://twitter.com/petrogustavo","@petrogustavo")</f>
        <v>@petrogustavo</v>
      </c>
      <c r="C16549" s="5" t="s">
        <v>16</v>
      </c>
      <c r="D16549" s="5" t="s">
        <v>15926</v>
      </c>
      <c r="E16549" s="6" t="str">
        <f>HYPERLINK("https://twitter.com/petrogustavo/status/1447526366187032586","1447526366187032586")</f>
        <v>1447526366187032586</v>
      </c>
      <c r="F16549" s="7" t="s">
        <v>17</v>
      </c>
      <c r="G16549" s="7">
        <v>4378223</v>
      </c>
      <c r="H16549" s="7">
        <v>2544</v>
      </c>
      <c r="I16549" s="7">
        <v>56</v>
      </c>
      <c r="J16549" s="7">
        <v>133</v>
      </c>
      <c r="K16549" s="7" t="s">
        <v>18</v>
      </c>
      <c r="L16549" s="8">
        <v>39987.315405092595</v>
      </c>
      <c r="M16549" s="9" t="s">
        <v>19</v>
      </c>
      <c r="N16549" s="9" t="s">
        <v>20</v>
      </c>
      <c r="O16549" s="6" t="str">
        <f>HYPERLINK("https://pbs.twimg.com/profile_images/962471262747529216/Uo8lOkRJ_normal.jpg","View")</f>
        <v>View</v>
      </c>
      <c r="P16549" s="7"/>
    </row>
    <row r="16550" spans="1:16">
      <c r="A16550" s="3">
        <v>44480.789629629631</v>
      </c>
      <c r="B16550" s="4" t="str">
        <f>HYPERLINK("https://twitter.com/petrogustavo","@petrogustavo")</f>
        <v>@petrogustavo</v>
      </c>
      <c r="C16550" s="5" t="s">
        <v>16</v>
      </c>
      <c r="D16550" s="5" t="s">
        <v>15927</v>
      </c>
      <c r="E16550" s="6" t="str">
        <f>HYPERLINK("https://twitter.com/petrogustavo/status/1447554345206157323","1447554345206157323")</f>
        <v>1447554345206157323</v>
      </c>
      <c r="F16550" s="7" t="s">
        <v>17</v>
      </c>
      <c r="G16550" s="7">
        <v>4378270</v>
      </c>
      <c r="H16550" s="7">
        <v>2544</v>
      </c>
      <c r="I16550" s="7">
        <v>42</v>
      </c>
      <c r="J16550" s="7">
        <v>115</v>
      </c>
      <c r="K16550" s="7" t="s">
        <v>18</v>
      </c>
      <c r="L16550" s="8">
        <v>39987.315405092595</v>
      </c>
      <c r="M16550" s="9" t="s">
        <v>19</v>
      </c>
      <c r="N16550" s="9" t="s">
        <v>20</v>
      </c>
      <c r="O16550" s="6" t="str">
        <f>HYPERLINK("https://pbs.twimg.com/profile_images/962471262747529216/Uo8lOkRJ_normal.jpg","View")</f>
        <v>View</v>
      </c>
      <c r="P16550" s="7"/>
    </row>
    <row r="16551" spans="1:16">
      <c r="A16551" s="3">
        <v>44480.837106481486</v>
      </c>
      <c r="B16551" s="4" t="str">
        <f>HYPERLINK("https://twitter.com/petrogustavo","@petrogustavo")</f>
        <v>@petrogustavo</v>
      </c>
      <c r="C16551" s="5" t="s">
        <v>16</v>
      </c>
      <c r="D16551" s="5" t="s">
        <v>15928</v>
      </c>
      <c r="E16551" s="6" t="str">
        <f>HYPERLINK("https://twitter.com/petrogustavo/status/1447571550933241857","1447571550933241857")</f>
        <v>1447571550933241857</v>
      </c>
      <c r="F16551" s="7" t="s">
        <v>17</v>
      </c>
      <c r="G16551" s="7">
        <v>4378299</v>
      </c>
      <c r="H16551" s="7">
        <v>2544</v>
      </c>
      <c r="I16551" s="7">
        <v>134</v>
      </c>
      <c r="J16551" s="7">
        <v>0</v>
      </c>
      <c r="K16551" s="7" t="s">
        <v>18</v>
      </c>
      <c r="L16551" s="8">
        <v>39987.315405092595</v>
      </c>
      <c r="M16551" s="9" t="s">
        <v>19</v>
      </c>
      <c r="N16551" s="9" t="s">
        <v>20</v>
      </c>
      <c r="O16551" s="6" t="str">
        <f>HYPERLINK("https://pbs.twimg.com/profile_images/962471262747529216/Uo8lOkRJ_normal.jpg","View")</f>
        <v>View</v>
      </c>
      <c r="P16551" s="7"/>
    </row>
    <row r="16552" spans="1:16">
      <c r="A16552" s="3">
        <v>44481.18954861111</v>
      </c>
      <c r="B16552" s="4" t="str">
        <f>HYPERLINK("https://twitter.com/petrogustavo","@petrogustavo")</f>
        <v>@petrogustavo</v>
      </c>
      <c r="C16552" s="5" t="s">
        <v>16</v>
      </c>
      <c r="D16552" s="5" t="s">
        <v>15929</v>
      </c>
      <c r="E16552" s="6" t="str">
        <f>HYPERLINK("https://twitter.com/petrogustavo/status/1447699268995846148","1447699268995846148")</f>
        <v>1447699268995846148</v>
      </c>
      <c r="F16552" s="7" t="s">
        <v>32</v>
      </c>
      <c r="G16552" s="7">
        <v>4378552</v>
      </c>
      <c r="H16552" s="7">
        <v>2544</v>
      </c>
      <c r="I16552" s="7">
        <v>41</v>
      </c>
      <c r="J16552" s="7">
        <v>0</v>
      </c>
      <c r="K16552" s="7" t="s">
        <v>18</v>
      </c>
      <c r="L16552" s="8">
        <v>39987.315405092595</v>
      </c>
      <c r="M16552" s="9" t="s">
        <v>19</v>
      </c>
      <c r="N16552" s="9" t="s">
        <v>20</v>
      </c>
      <c r="O16552" s="6" t="str">
        <f>HYPERLINK("https://pbs.twimg.com/profile_images/962471262747529216/Uo8lOkRJ_normal.jpg","View")</f>
        <v>View</v>
      </c>
      <c r="P16552" s="7"/>
    </row>
    <row r="16553" spans="1:16">
      <c r="A16553" s="3">
        <v>44481.190868055557</v>
      </c>
      <c r="B16553" s="4" t="str">
        <f>HYPERLINK("https://twitter.com/petrogustavo","@petrogustavo")</f>
        <v>@petrogustavo</v>
      </c>
      <c r="C16553" s="5" t="s">
        <v>16</v>
      </c>
      <c r="D16553" s="5" t="s">
        <v>15930</v>
      </c>
      <c r="E16553" s="6" t="str">
        <f>HYPERLINK("https://twitter.com/petrogustavo/status/1447699749168156673","1447699749168156673")</f>
        <v>1447699749168156673</v>
      </c>
      <c r="F16553" s="7" t="s">
        <v>32</v>
      </c>
      <c r="G16553" s="7">
        <v>4378552</v>
      </c>
      <c r="H16553" s="7">
        <v>2544</v>
      </c>
      <c r="I16553" s="7">
        <v>33</v>
      </c>
      <c r="J16553" s="7">
        <v>0</v>
      </c>
      <c r="K16553" s="7" t="s">
        <v>18</v>
      </c>
      <c r="L16553" s="8">
        <v>39987.315405092595</v>
      </c>
      <c r="M16553" s="9" t="s">
        <v>19</v>
      </c>
      <c r="N16553" s="9" t="s">
        <v>20</v>
      </c>
      <c r="O16553" s="6" t="str">
        <f>HYPERLINK("https://pbs.twimg.com/profile_images/962471262747529216/Uo8lOkRJ_normal.jpg","View")</f>
        <v>View</v>
      </c>
      <c r="P16553" s="7"/>
    </row>
    <row r="16554" spans="1:16">
      <c r="A16554" s="3">
        <v>44481.192233796297</v>
      </c>
      <c r="B16554" s="4" t="str">
        <f>HYPERLINK("https://twitter.com/petrogustavo","@petrogustavo")</f>
        <v>@petrogustavo</v>
      </c>
      <c r="C16554" s="5" t="s">
        <v>16</v>
      </c>
      <c r="D16554" s="5" t="s">
        <v>15931</v>
      </c>
      <c r="E16554" s="6" t="str">
        <f>HYPERLINK("https://twitter.com/petrogustavo/status/1447700241604567042","1447700241604567042")</f>
        <v>1447700241604567042</v>
      </c>
      <c r="F16554" s="7" t="s">
        <v>32</v>
      </c>
      <c r="G16554" s="7">
        <v>4378552</v>
      </c>
      <c r="H16554" s="7">
        <v>2544</v>
      </c>
      <c r="I16554" s="7">
        <v>38</v>
      </c>
      <c r="J16554" s="7">
        <v>0</v>
      </c>
      <c r="K16554" s="7" t="s">
        <v>18</v>
      </c>
      <c r="L16554" s="8">
        <v>39987.315405092595</v>
      </c>
      <c r="M16554" s="9" t="s">
        <v>19</v>
      </c>
      <c r="N16554" s="9" t="s">
        <v>20</v>
      </c>
      <c r="O16554" s="6" t="str">
        <f>HYPERLINK("https://pbs.twimg.com/profile_images/962471262747529216/Uo8lOkRJ_normal.jpg","View")</f>
        <v>View</v>
      </c>
      <c r="P16554" s="7"/>
    </row>
    <row r="16555" spans="1:16">
      <c r="A16555" s="3">
        <v>44481.197731481487</v>
      </c>
      <c r="B16555" s="4" t="str">
        <f>HYPERLINK("https://twitter.com/petrogustavo","@petrogustavo")</f>
        <v>@petrogustavo</v>
      </c>
      <c r="C16555" s="5" t="s">
        <v>16</v>
      </c>
      <c r="D16555" s="5" t="s">
        <v>15932</v>
      </c>
      <c r="E16555" s="6" t="str">
        <f>HYPERLINK("https://twitter.com/petrogustavo/status/1447702235237003267","1447702235237003267")</f>
        <v>1447702235237003267</v>
      </c>
      <c r="F16555" s="7" t="s">
        <v>32</v>
      </c>
      <c r="G16555" s="7">
        <v>4378552</v>
      </c>
      <c r="H16555" s="7">
        <v>2544</v>
      </c>
      <c r="I16555" s="7">
        <v>23</v>
      </c>
      <c r="J16555" s="7">
        <v>78</v>
      </c>
      <c r="K16555" s="7" t="s">
        <v>18</v>
      </c>
      <c r="L16555" s="8">
        <v>39987.315405092595</v>
      </c>
      <c r="M16555" s="9" t="s">
        <v>19</v>
      </c>
      <c r="N16555" s="9" t="s">
        <v>20</v>
      </c>
      <c r="O16555" s="6" t="str">
        <f>HYPERLINK("https://pbs.twimg.com/profile_images/962471262747529216/Uo8lOkRJ_normal.jpg","View")</f>
        <v>View</v>
      </c>
      <c r="P16555" s="7"/>
    </row>
    <row r="16556" spans="1:16">
      <c r="A16556" s="3">
        <v>44481.215300925927</v>
      </c>
      <c r="B16556" s="4" t="str">
        <f>HYPERLINK("https://twitter.com/petrogustavo","@petrogustavo")</f>
        <v>@petrogustavo</v>
      </c>
      <c r="C16556" s="5" t="s">
        <v>16</v>
      </c>
      <c r="D16556" s="5" t="s">
        <v>15933</v>
      </c>
      <c r="E16556" s="6" t="str">
        <f>HYPERLINK("https://twitter.com/petrogustavo/status/1447708601301229570","1447708601301229570")</f>
        <v>1447708601301229570</v>
      </c>
      <c r="F16556" s="7" t="s">
        <v>17</v>
      </c>
      <c r="G16556" s="7">
        <v>4378568</v>
      </c>
      <c r="H16556" s="7">
        <v>2544</v>
      </c>
      <c r="I16556" s="7">
        <v>55</v>
      </c>
      <c r="J16556" s="7">
        <v>0</v>
      </c>
      <c r="K16556" s="7" t="s">
        <v>18</v>
      </c>
      <c r="L16556" s="8">
        <v>39987.315405092595</v>
      </c>
      <c r="M16556" s="9" t="s">
        <v>19</v>
      </c>
      <c r="N16556" s="9" t="s">
        <v>20</v>
      </c>
      <c r="O16556" s="6" t="str">
        <f>HYPERLINK("https://pbs.twimg.com/profile_images/962471262747529216/Uo8lOkRJ_normal.jpg","View")</f>
        <v>View</v>
      </c>
      <c r="P16556" s="7"/>
    </row>
    <row r="16557" spans="1:16">
      <c r="A16557" s="3">
        <v>44481.215949074074</v>
      </c>
      <c r="B16557" s="4" t="str">
        <f>HYPERLINK("https://twitter.com/petrogustavo","@petrogustavo")</f>
        <v>@petrogustavo</v>
      </c>
      <c r="C16557" s="5" t="s">
        <v>16</v>
      </c>
      <c r="D16557" s="5" t="s">
        <v>15934</v>
      </c>
      <c r="E16557" s="6" t="str">
        <f>HYPERLINK("https://twitter.com/petrogustavo/status/1447708837507747841","1447708837507747841")</f>
        <v>1447708837507747841</v>
      </c>
      <c r="F16557" s="7" t="s">
        <v>17</v>
      </c>
      <c r="G16557" s="7">
        <v>4378568</v>
      </c>
      <c r="H16557" s="7">
        <v>2544</v>
      </c>
      <c r="I16557" s="7">
        <v>18</v>
      </c>
      <c r="J16557" s="7">
        <v>0</v>
      </c>
      <c r="K16557" s="7" t="s">
        <v>18</v>
      </c>
      <c r="L16557" s="8">
        <v>39987.315405092595</v>
      </c>
      <c r="M16557" s="9" t="s">
        <v>19</v>
      </c>
      <c r="N16557" s="9" t="s">
        <v>20</v>
      </c>
      <c r="O16557" s="6" t="str">
        <f>HYPERLINK("https://pbs.twimg.com/profile_images/962471262747529216/Uo8lOkRJ_normal.jpg","View")</f>
        <v>View</v>
      </c>
      <c r="P16557" s="7"/>
    </row>
    <row r="16558" spans="1:16">
      <c r="A16558" s="3">
        <v>44481.316238425927</v>
      </c>
      <c r="B16558" s="4" t="str">
        <f>HYPERLINK("https://twitter.com/petrogustavo","@petrogustavo")</f>
        <v>@petrogustavo</v>
      </c>
      <c r="C16558" s="5" t="s">
        <v>16</v>
      </c>
      <c r="D16558" s="5" t="s">
        <v>15935</v>
      </c>
      <c r="E16558" s="6" t="str">
        <f>HYPERLINK("https://twitter.com/petrogustavo/status/1447745181172764674","1447745181172764674")</f>
        <v>1447745181172764674</v>
      </c>
      <c r="F16558" s="7" t="s">
        <v>17</v>
      </c>
      <c r="G16558" s="7">
        <v>4378595</v>
      </c>
      <c r="H16558" s="7">
        <v>2544</v>
      </c>
      <c r="I16558" s="7">
        <v>31</v>
      </c>
      <c r="J16558" s="7">
        <v>0</v>
      </c>
      <c r="K16558" s="7" t="s">
        <v>18</v>
      </c>
      <c r="L16558" s="8">
        <v>39987.315405092595</v>
      </c>
      <c r="M16558" s="9" t="s">
        <v>19</v>
      </c>
      <c r="N16558" s="9" t="s">
        <v>20</v>
      </c>
      <c r="O16558" s="6" t="str">
        <f>HYPERLINK("https://pbs.twimg.com/profile_images/962471262747529216/Uo8lOkRJ_normal.jpg","View")</f>
        <v>View</v>
      </c>
      <c r="P16558" s="7"/>
    </row>
    <row r="16559" spans="1:16">
      <c r="A16559" s="3">
        <v>44481.721273148149</v>
      </c>
      <c r="B16559" s="4" t="str">
        <f>HYPERLINK("https://twitter.com/petrogustavo","@petrogustavo")</f>
        <v>@petrogustavo</v>
      </c>
      <c r="C16559" s="5" t="s">
        <v>16</v>
      </c>
      <c r="D16559" s="5" t="s">
        <v>15936</v>
      </c>
      <c r="E16559" s="6" t="str">
        <f>HYPERLINK("https://twitter.com/petrogustavo/status/1447891960878993409","1447891960878993409")</f>
        <v>1447891960878993409</v>
      </c>
      <c r="F16559" s="7" t="s">
        <v>17</v>
      </c>
      <c r="G16559" s="7">
        <v>4378725</v>
      </c>
      <c r="H16559" s="7">
        <v>2544</v>
      </c>
      <c r="I16559" s="7">
        <v>263</v>
      </c>
      <c r="J16559" s="7">
        <v>778</v>
      </c>
      <c r="K16559" s="7" t="s">
        <v>18</v>
      </c>
      <c r="L16559" s="8">
        <v>39987.315405092595</v>
      </c>
      <c r="M16559" s="9" t="s">
        <v>19</v>
      </c>
      <c r="N16559" s="9" t="s">
        <v>20</v>
      </c>
      <c r="O16559" s="6" t="str">
        <f>HYPERLINK("https://pbs.twimg.com/profile_images/962471262747529216/Uo8lOkRJ_normal.jpg","View")</f>
        <v>View</v>
      </c>
      <c r="P16559" s="7"/>
    </row>
    <row r="16560" spans="1:16">
      <c r="A16560" s="3">
        <v>44481.721273148149</v>
      </c>
      <c r="B16560" s="4" t="str">
        <f>HYPERLINK("https://twitter.com/petrogustavo","@petrogustavo")</f>
        <v>@petrogustavo</v>
      </c>
      <c r="C16560" s="5" t="s">
        <v>16</v>
      </c>
      <c r="D16560" s="5" t="s">
        <v>15937</v>
      </c>
      <c r="E16560" s="6" t="str">
        <f>HYPERLINK("https://twitter.com/petrogustavo/status/1447891962112135170","1447891962112135170")</f>
        <v>1447891962112135170</v>
      </c>
      <c r="F16560" s="7" t="s">
        <v>17</v>
      </c>
      <c r="G16560" s="7">
        <v>4378725</v>
      </c>
      <c r="H16560" s="7">
        <v>2544</v>
      </c>
      <c r="I16560" s="7">
        <v>100</v>
      </c>
      <c r="J16560" s="7">
        <v>395</v>
      </c>
      <c r="K16560" s="7" t="s">
        <v>18</v>
      </c>
      <c r="L16560" s="8">
        <v>39987.315405092595</v>
      </c>
      <c r="M16560" s="9" t="s">
        <v>19</v>
      </c>
      <c r="N16560" s="9" t="s">
        <v>20</v>
      </c>
      <c r="O16560" s="6" t="str">
        <f>HYPERLINK("https://pbs.twimg.com/profile_images/962471262747529216/Uo8lOkRJ_normal.jpg","View")</f>
        <v>View</v>
      </c>
      <c r="P16560" s="7"/>
    </row>
    <row r="16561" spans="1:16">
      <c r="A16561" s="3">
        <v>44481.721284722225</v>
      </c>
      <c r="B16561" s="4" t="str">
        <f>HYPERLINK("https://twitter.com/petrogustavo","@petrogustavo")</f>
        <v>@petrogustavo</v>
      </c>
      <c r="C16561" s="5" t="s">
        <v>16</v>
      </c>
      <c r="D16561" s="5" t="s">
        <v>15938</v>
      </c>
      <c r="E16561" s="6" t="str">
        <f>HYPERLINK("https://twitter.com/petrogustavo/status/1447891963219427331","1447891963219427331")</f>
        <v>1447891963219427331</v>
      </c>
      <c r="F16561" s="7" t="s">
        <v>17</v>
      </c>
      <c r="G16561" s="7">
        <v>4378725</v>
      </c>
      <c r="H16561" s="7">
        <v>2544</v>
      </c>
      <c r="I16561" s="7">
        <v>116</v>
      </c>
      <c r="J16561" s="7">
        <v>421</v>
      </c>
      <c r="K16561" s="7" t="s">
        <v>18</v>
      </c>
      <c r="L16561" s="8">
        <v>39987.315405092595</v>
      </c>
      <c r="M16561" s="9" t="s">
        <v>19</v>
      </c>
      <c r="N16561" s="9" t="s">
        <v>20</v>
      </c>
      <c r="O16561" s="6" t="str">
        <f>HYPERLINK("https://pbs.twimg.com/profile_images/962471262747529216/Uo8lOkRJ_normal.jpg","View")</f>
        <v>View</v>
      </c>
      <c r="P16561" s="7"/>
    </row>
    <row r="16562" spans="1:16">
      <c r="A16562" s="3">
        <v>44481.735312500001</v>
      </c>
      <c r="B16562" s="4" t="str">
        <f>HYPERLINK("https://twitter.com/petrogustavo","@petrogustavo")</f>
        <v>@petrogustavo</v>
      </c>
      <c r="C16562" s="5" t="s">
        <v>16</v>
      </c>
      <c r="D16562" s="5" t="s">
        <v>15939</v>
      </c>
      <c r="E16562" s="6" t="str">
        <f>HYPERLINK("https://twitter.com/petrogustavo/status/1447897048733388800","1447897048733388800")</f>
        <v>1447897048733388800</v>
      </c>
      <c r="F16562" s="7" t="s">
        <v>17</v>
      </c>
      <c r="G16562" s="7">
        <v>4378725</v>
      </c>
      <c r="H16562" s="7">
        <v>2544</v>
      </c>
      <c r="I16562" s="7">
        <v>49</v>
      </c>
      <c r="J16562" s="7">
        <v>153</v>
      </c>
      <c r="K16562" s="7" t="s">
        <v>18</v>
      </c>
      <c r="L16562" s="8">
        <v>39987.315405092595</v>
      </c>
      <c r="M16562" s="9" t="s">
        <v>19</v>
      </c>
      <c r="N16562" s="9" t="s">
        <v>20</v>
      </c>
      <c r="O16562" s="6" t="str">
        <f>HYPERLINK("https://pbs.twimg.com/profile_images/962471262747529216/Uo8lOkRJ_normal.jpg","View")</f>
        <v>View</v>
      </c>
      <c r="P16562" s="7"/>
    </row>
    <row r="16563" spans="1:16">
      <c r="A16563" s="3">
        <v>44481.735324074078</v>
      </c>
      <c r="B16563" s="4" t="str">
        <f>HYPERLINK("https://twitter.com/petrogustavo","@petrogustavo")</f>
        <v>@petrogustavo</v>
      </c>
      <c r="C16563" s="5" t="s">
        <v>16</v>
      </c>
      <c r="D16563" s="5" t="s">
        <v>15940</v>
      </c>
      <c r="E16563" s="6" t="str">
        <f>HYPERLINK("https://twitter.com/petrogustavo/status/1447897050197135360","1447897050197135360")</f>
        <v>1447897050197135360</v>
      </c>
      <c r="F16563" s="7" t="s">
        <v>17</v>
      </c>
      <c r="G16563" s="7">
        <v>4378725</v>
      </c>
      <c r="H16563" s="7">
        <v>2544</v>
      </c>
      <c r="I16563" s="7">
        <v>24</v>
      </c>
      <c r="J16563" s="7">
        <v>93</v>
      </c>
      <c r="K16563" s="7" t="s">
        <v>18</v>
      </c>
      <c r="L16563" s="8">
        <v>39987.315405092595</v>
      </c>
      <c r="M16563" s="9" t="s">
        <v>19</v>
      </c>
      <c r="N16563" s="9" t="s">
        <v>20</v>
      </c>
      <c r="O16563" s="6" t="str">
        <f>HYPERLINK("https://pbs.twimg.com/profile_images/962471262747529216/Uo8lOkRJ_normal.jpg","View")</f>
        <v>View</v>
      </c>
      <c r="P16563" s="7"/>
    </row>
    <row r="16564" spans="1:16">
      <c r="A16564" s="3">
        <v>44481.735324074078</v>
      </c>
      <c r="B16564" s="4" t="str">
        <f>HYPERLINK("https://twitter.com/petrogustavo","@petrogustavo")</f>
        <v>@petrogustavo</v>
      </c>
      <c r="C16564" s="5" t="s">
        <v>16</v>
      </c>
      <c r="D16564" s="5" t="s">
        <v>15941</v>
      </c>
      <c r="E16564" s="6" t="str">
        <f>HYPERLINK("https://twitter.com/petrogustavo/status/1447897051145117705","1447897051145117705")</f>
        <v>1447897051145117705</v>
      </c>
      <c r="F16564" s="7" t="s">
        <v>17</v>
      </c>
      <c r="G16564" s="7">
        <v>4378725</v>
      </c>
      <c r="H16564" s="7">
        <v>2544</v>
      </c>
      <c r="I16564" s="7">
        <v>22</v>
      </c>
      <c r="J16564" s="7">
        <v>80</v>
      </c>
      <c r="K16564" s="7" t="s">
        <v>18</v>
      </c>
      <c r="L16564" s="8">
        <v>39987.315405092595</v>
      </c>
      <c r="M16564" s="9" t="s">
        <v>19</v>
      </c>
      <c r="N16564" s="9" t="s">
        <v>20</v>
      </c>
      <c r="O16564" s="6" t="str">
        <f>HYPERLINK("https://pbs.twimg.com/profile_images/962471262747529216/Uo8lOkRJ_normal.jpg","View")</f>
        <v>View</v>
      </c>
      <c r="P16564" s="7"/>
    </row>
    <row r="16565" spans="1:16">
      <c r="A16565" s="3">
        <v>44481.755162037036</v>
      </c>
      <c r="B16565" s="4" t="str">
        <f>HYPERLINK("https://twitter.com/petrogustavo","@petrogustavo")</f>
        <v>@petrogustavo</v>
      </c>
      <c r="C16565" s="5" t="s">
        <v>16</v>
      </c>
      <c r="D16565" s="5" t="s">
        <v>15942</v>
      </c>
      <c r="E16565" s="6" t="str">
        <f>HYPERLINK("https://twitter.com/petrogustavo/status/1447904239192313860","1447904239192313860")</f>
        <v>1447904239192313860</v>
      </c>
      <c r="F16565" s="7" t="s">
        <v>17</v>
      </c>
      <c r="G16565" s="7">
        <v>4378735</v>
      </c>
      <c r="H16565" s="7">
        <v>2544</v>
      </c>
      <c r="I16565" s="7">
        <v>51</v>
      </c>
      <c r="J16565" s="7">
        <v>136</v>
      </c>
      <c r="K16565" s="7" t="s">
        <v>18</v>
      </c>
      <c r="L16565" s="8">
        <v>39987.315405092595</v>
      </c>
      <c r="M16565" s="9" t="s">
        <v>19</v>
      </c>
      <c r="N16565" s="9" t="s">
        <v>20</v>
      </c>
      <c r="O16565" s="6" t="str">
        <f>HYPERLINK("https://pbs.twimg.com/profile_images/962471262747529216/Uo8lOkRJ_normal.jpg","View")</f>
        <v>View</v>
      </c>
      <c r="P16565" s="7"/>
    </row>
    <row r="16566" spans="1:16">
      <c r="A16566" s="3">
        <v>44481.755162037036</v>
      </c>
      <c r="B16566" s="4" t="str">
        <f>HYPERLINK("https://twitter.com/petrogustavo","@petrogustavo")</f>
        <v>@petrogustavo</v>
      </c>
      <c r="C16566" s="5" t="s">
        <v>16</v>
      </c>
      <c r="D16566" s="5" t="s">
        <v>15943</v>
      </c>
      <c r="E16566" s="6" t="str">
        <f>HYPERLINK("https://twitter.com/petrogustavo/status/1447904240886820871","1447904240886820871")</f>
        <v>1447904240886820871</v>
      </c>
      <c r="F16566" s="7" t="s">
        <v>17</v>
      </c>
      <c r="G16566" s="7">
        <v>4378735</v>
      </c>
      <c r="H16566" s="7">
        <v>2544</v>
      </c>
      <c r="I16566" s="7">
        <v>32</v>
      </c>
      <c r="J16566" s="7">
        <v>90</v>
      </c>
      <c r="K16566" s="7" t="s">
        <v>18</v>
      </c>
      <c r="L16566" s="8">
        <v>39987.315405092595</v>
      </c>
      <c r="M16566" s="9" t="s">
        <v>19</v>
      </c>
      <c r="N16566" s="9" t="s">
        <v>20</v>
      </c>
      <c r="O16566" s="6" t="str">
        <f>HYPERLINK("https://pbs.twimg.com/profile_images/962471262747529216/Uo8lOkRJ_normal.jpg","View")</f>
        <v>View</v>
      </c>
      <c r="P16566" s="7"/>
    </row>
    <row r="16567" spans="1:16">
      <c r="A16567" s="3">
        <v>44481.755162037036</v>
      </c>
      <c r="B16567" s="4" t="str">
        <f>HYPERLINK("https://twitter.com/petrogustavo","@petrogustavo")</f>
        <v>@petrogustavo</v>
      </c>
      <c r="C16567" s="5" t="s">
        <v>16</v>
      </c>
      <c r="D16567" s="5" t="s">
        <v>15944</v>
      </c>
      <c r="E16567" s="6" t="str">
        <f>HYPERLINK("https://twitter.com/petrogustavo/status/1447904242329694210","1447904242329694210")</f>
        <v>1447904242329694210</v>
      </c>
      <c r="F16567" s="7" t="s">
        <v>17</v>
      </c>
      <c r="G16567" s="7">
        <v>4378735</v>
      </c>
      <c r="H16567" s="7">
        <v>2544</v>
      </c>
      <c r="I16567" s="7">
        <v>32</v>
      </c>
      <c r="J16567" s="7">
        <v>84</v>
      </c>
      <c r="K16567" s="7" t="s">
        <v>18</v>
      </c>
      <c r="L16567" s="8">
        <v>39987.315405092595</v>
      </c>
      <c r="M16567" s="9" t="s">
        <v>19</v>
      </c>
      <c r="N16567" s="9" t="s">
        <v>20</v>
      </c>
      <c r="O16567" s="6" t="str">
        <f>HYPERLINK("https://pbs.twimg.com/profile_images/962471262747529216/Uo8lOkRJ_normal.jpg","View")</f>
        <v>View</v>
      </c>
      <c r="P16567" s="7"/>
    </row>
    <row r="16568" spans="1:16">
      <c r="A16568" s="3">
        <v>44481.768148148149</v>
      </c>
      <c r="B16568" s="4" t="str">
        <f>HYPERLINK("https://twitter.com/petrogustavo","@petrogustavo")</f>
        <v>@petrogustavo</v>
      </c>
      <c r="C16568" s="5" t="s">
        <v>16</v>
      </c>
      <c r="D16568" s="5" t="s">
        <v>15945</v>
      </c>
      <c r="E16568" s="6" t="str">
        <f>HYPERLINK("https://twitter.com/petrogustavo/status/1447908948506550272","1447908948506550272")</f>
        <v>1447908948506550272</v>
      </c>
      <c r="F16568" s="7" t="s">
        <v>17</v>
      </c>
      <c r="G16568" s="7">
        <v>4378757</v>
      </c>
      <c r="H16568" s="7">
        <v>2544</v>
      </c>
      <c r="I16568" s="7">
        <v>360</v>
      </c>
      <c r="J16568" s="7">
        <v>0</v>
      </c>
      <c r="K16568" s="7" t="s">
        <v>18</v>
      </c>
      <c r="L16568" s="8">
        <v>39987.315405092595</v>
      </c>
      <c r="M16568" s="9" t="s">
        <v>19</v>
      </c>
      <c r="N16568" s="9" t="s">
        <v>20</v>
      </c>
      <c r="O16568" s="6" t="str">
        <f>HYPERLINK("https://pbs.twimg.com/profile_images/962471262747529216/Uo8lOkRJ_normal.jpg","View")</f>
        <v>View</v>
      </c>
      <c r="P16568" s="7"/>
    </row>
    <row r="16569" spans="1:16">
      <c r="A16569" s="3">
        <v>44481.773356481484</v>
      </c>
      <c r="B16569" s="4" t="str">
        <f>HYPERLINK("https://twitter.com/petrogustavo","@petrogustavo")</f>
        <v>@petrogustavo</v>
      </c>
      <c r="C16569" s="5" t="s">
        <v>16</v>
      </c>
      <c r="D16569" s="5" t="s">
        <v>15946</v>
      </c>
      <c r="E16569" s="6" t="str">
        <f>HYPERLINK("https://twitter.com/petrogustavo/status/1447910833309224962","1447910833309224962")</f>
        <v>1447910833309224962</v>
      </c>
      <c r="F16569" s="7" t="s">
        <v>17</v>
      </c>
      <c r="G16569" s="7">
        <v>4378757</v>
      </c>
      <c r="H16569" s="7">
        <v>2544</v>
      </c>
      <c r="I16569" s="7">
        <v>102</v>
      </c>
      <c r="J16569" s="7">
        <v>213</v>
      </c>
      <c r="K16569" s="7" t="s">
        <v>18</v>
      </c>
      <c r="L16569" s="8">
        <v>39987.315405092595</v>
      </c>
      <c r="M16569" s="9" t="s">
        <v>19</v>
      </c>
      <c r="N16569" s="9" t="s">
        <v>20</v>
      </c>
      <c r="O16569" s="6" t="str">
        <f>HYPERLINK("https://pbs.twimg.com/profile_images/962471262747529216/Uo8lOkRJ_normal.jpg","View")</f>
        <v>View</v>
      </c>
      <c r="P16569" s="7"/>
    </row>
    <row r="16570" spans="1:16">
      <c r="A16570" s="3">
        <v>44481.789212962962</v>
      </c>
      <c r="B16570" s="4" t="str">
        <f>HYPERLINK("https://twitter.com/petrogustavo","@petrogustavo")</f>
        <v>@petrogustavo</v>
      </c>
      <c r="C16570" s="5" t="s">
        <v>16</v>
      </c>
      <c r="D16570" s="5" t="s">
        <v>15947</v>
      </c>
      <c r="E16570" s="6" t="str">
        <f>HYPERLINK("https://twitter.com/petrogustavo/status/1447916581053423634","1447916581053423634")</f>
        <v>1447916581053423634</v>
      </c>
      <c r="F16570" s="7" t="s">
        <v>17</v>
      </c>
      <c r="G16570" s="7">
        <v>4378757</v>
      </c>
      <c r="H16570" s="7">
        <v>2544</v>
      </c>
      <c r="I16570" s="7">
        <v>757</v>
      </c>
      <c r="J16570" s="7">
        <v>0</v>
      </c>
      <c r="K16570" s="7" t="s">
        <v>18</v>
      </c>
      <c r="L16570" s="8">
        <v>39987.315405092595</v>
      </c>
      <c r="M16570" s="9" t="s">
        <v>19</v>
      </c>
      <c r="N16570" s="9" t="s">
        <v>20</v>
      </c>
      <c r="O16570" s="6" t="str">
        <f>HYPERLINK("https://pbs.twimg.com/profile_images/962471262747529216/Uo8lOkRJ_normal.jpg","View")</f>
        <v>View</v>
      </c>
      <c r="P16570" s="7"/>
    </row>
    <row r="16571" spans="1:16">
      <c r="A16571" s="3">
        <v>44481.85356481481</v>
      </c>
      <c r="B16571" s="4" t="str">
        <f>HYPERLINK("https://twitter.com/petrogustavo","@petrogustavo")</f>
        <v>@petrogustavo</v>
      </c>
      <c r="C16571" s="5" t="s">
        <v>16</v>
      </c>
      <c r="D16571" s="5" t="s">
        <v>15947</v>
      </c>
      <c r="E16571" s="6" t="str">
        <f>HYPERLINK("https://twitter.com/petrogustavo/status/1447939902541377536","1447939902541377536")</f>
        <v>1447939902541377536</v>
      </c>
      <c r="F16571" s="7" t="s">
        <v>32</v>
      </c>
      <c r="G16571" s="7">
        <v>4378795</v>
      </c>
      <c r="H16571" s="7">
        <v>2544</v>
      </c>
      <c r="I16571" s="7">
        <v>1092</v>
      </c>
      <c r="J16571" s="7">
        <v>0</v>
      </c>
      <c r="K16571" s="7" t="s">
        <v>18</v>
      </c>
      <c r="L16571" s="8">
        <v>39987.315405092595</v>
      </c>
      <c r="M16571" s="9" t="s">
        <v>19</v>
      </c>
      <c r="N16571" s="9" t="s">
        <v>20</v>
      </c>
      <c r="O16571" s="6" t="str">
        <f>HYPERLINK("https://pbs.twimg.com/profile_images/962471262747529216/Uo8lOkRJ_normal.jpg","View")</f>
        <v>View</v>
      </c>
      <c r="P16571" s="7"/>
    </row>
    <row r="16572" spans="1:16">
      <c r="A16572" s="3">
        <v>44482.277453703704</v>
      </c>
      <c r="B16572" s="4" t="str">
        <f>HYPERLINK("https://twitter.com/petrogustavo","@petrogustavo")</f>
        <v>@petrogustavo</v>
      </c>
      <c r="C16572" s="5" t="s">
        <v>16</v>
      </c>
      <c r="D16572" s="5" t="s">
        <v>15948</v>
      </c>
      <c r="E16572" s="6" t="str">
        <f>HYPERLINK("https://twitter.com/petrogustavo/status/1448093513816682496","1448093513816682496")</f>
        <v>1448093513816682496</v>
      </c>
      <c r="F16572" s="7" t="s">
        <v>32</v>
      </c>
      <c r="G16572" s="7">
        <v>4379094</v>
      </c>
      <c r="H16572" s="7">
        <v>2545</v>
      </c>
      <c r="I16572" s="7">
        <v>882</v>
      </c>
      <c r="J16572" s="7">
        <v>0</v>
      </c>
      <c r="K16572" s="7" t="s">
        <v>18</v>
      </c>
      <c r="L16572" s="8">
        <v>39987.315405092595</v>
      </c>
      <c r="M16572" s="9" t="s">
        <v>19</v>
      </c>
      <c r="N16572" s="9" t="s">
        <v>20</v>
      </c>
      <c r="O16572" s="6" t="str">
        <f>HYPERLINK("https://pbs.twimg.com/profile_images/962471262747529216/Uo8lOkRJ_normal.jpg","View")</f>
        <v>View</v>
      </c>
      <c r="P16572" s="7"/>
    </row>
    <row r="16573" spans="1:16">
      <c r="A16573" s="3">
        <v>44482.687106481477</v>
      </c>
      <c r="B16573" s="4" t="str">
        <f>HYPERLINK("https://twitter.com/petrogustavo","@petrogustavo")</f>
        <v>@petrogustavo</v>
      </c>
      <c r="C16573" s="5" t="s">
        <v>16</v>
      </c>
      <c r="D16573" s="5" t="s">
        <v>15949</v>
      </c>
      <c r="E16573" s="6" t="str">
        <f>HYPERLINK("https://twitter.com/petrogustavo/status/1448241967096283137","1448241967096283137")</f>
        <v>1448241967096283137</v>
      </c>
      <c r="F16573" s="7" t="s">
        <v>17</v>
      </c>
      <c r="G16573" s="7">
        <v>4379203</v>
      </c>
      <c r="H16573" s="7">
        <v>2545</v>
      </c>
      <c r="I16573" s="7">
        <v>30</v>
      </c>
      <c r="J16573" s="7">
        <v>88</v>
      </c>
      <c r="K16573" s="7" t="s">
        <v>18</v>
      </c>
      <c r="L16573" s="8">
        <v>39987.315405092595</v>
      </c>
      <c r="M16573" s="9" t="s">
        <v>19</v>
      </c>
      <c r="N16573" s="9" t="s">
        <v>20</v>
      </c>
      <c r="O16573" s="6" t="str">
        <f>HYPERLINK("https://pbs.twimg.com/profile_images/962471262747529216/Uo8lOkRJ_normal.jpg","View")</f>
        <v>View</v>
      </c>
      <c r="P16573" s="7"/>
    </row>
    <row r="16574" spans="1:16">
      <c r="A16574" s="3">
        <v>44482.690798611111</v>
      </c>
      <c r="B16574" s="4" t="str">
        <f>HYPERLINK("https://twitter.com/petrogustavo","@petrogustavo")</f>
        <v>@petrogustavo</v>
      </c>
      <c r="C16574" s="5" t="s">
        <v>16</v>
      </c>
      <c r="D16574" s="5" t="s">
        <v>15950</v>
      </c>
      <c r="E16574" s="6" t="str">
        <f>HYPERLINK("https://twitter.com/petrogustavo/status/1448243303074369538","1448243303074369538")</f>
        <v>1448243303074369538</v>
      </c>
      <c r="F16574" s="7" t="s">
        <v>17</v>
      </c>
      <c r="G16574" s="7">
        <v>4379203</v>
      </c>
      <c r="H16574" s="7">
        <v>2545</v>
      </c>
      <c r="I16574" s="7">
        <v>54</v>
      </c>
      <c r="J16574" s="7">
        <v>150</v>
      </c>
      <c r="K16574" s="7" t="s">
        <v>18</v>
      </c>
      <c r="L16574" s="8">
        <v>39987.315405092595</v>
      </c>
      <c r="M16574" s="9" t="s">
        <v>19</v>
      </c>
      <c r="N16574" s="9" t="s">
        <v>20</v>
      </c>
      <c r="O16574" s="6" t="str">
        <f>HYPERLINK("https://pbs.twimg.com/profile_images/962471262747529216/Uo8lOkRJ_normal.jpg","View")</f>
        <v>View</v>
      </c>
      <c r="P16574" s="7"/>
    </row>
    <row r="16575" spans="1:16">
      <c r="A16575" s="3">
        <v>44482.705763888887</v>
      </c>
      <c r="B16575" s="4" t="str">
        <f>HYPERLINK("https://twitter.com/petrogustavo","@petrogustavo")</f>
        <v>@petrogustavo</v>
      </c>
      <c r="C16575" s="5" t="s">
        <v>16</v>
      </c>
      <c r="D16575" s="5" t="s">
        <v>15951</v>
      </c>
      <c r="E16575" s="6" t="str">
        <f>HYPERLINK("https://twitter.com/petrogustavo/status/1448248726615740416","1448248726615740416")</f>
        <v>1448248726615740416</v>
      </c>
      <c r="F16575" s="7" t="s">
        <v>17</v>
      </c>
      <c r="G16575" s="7">
        <v>4379207</v>
      </c>
      <c r="H16575" s="7">
        <v>2545</v>
      </c>
      <c r="I16575" s="7">
        <v>121</v>
      </c>
      <c r="J16575" s="7">
        <v>232</v>
      </c>
      <c r="K16575" s="7" t="s">
        <v>18</v>
      </c>
      <c r="L16575" s="8">
        <v>39987.315405092595</v>
      </c>
      <c r="M16575" s="9" t="s">
        <v>19</v>
      </c>
      <c r="N16575" s="9" t="s">
        <v>20</v>
      </c>
      <c r="O16575" s="6" t="str">
        <f>HYPERLINK("https://pbs.twimg.com/profile_images/962471262747529216/Uo8lOkRJ_normal.jpg","View")</f>
        <v>View</v>
      </c>
      <c r="P16575" s="7"/>
    </row>
    <row r="16576" spans="1:16">
      <c r="A16576" s="3">
        <v>44482.705763888887</v>
      </c>
      <c r="B16576" s="4" t="str">
        <f>HYPERLINK("https://twitter.com/petrogustavo","@petrogustavo")</f>
        <v>@petrogustavo</v>
      </c>
      <c r="C16576" s="5" t="s">
        <v>16</v>
      </c>
      <c r="D16576" s="5" t="s">
        <v>15952</v>
      </c>
      <c r="E16576" s="6" t="str">
        <f>HYPERLINK("https://twitter.com/petrogustavo/status/1448248728368910336","1448248728368910336")</f>
        <v>1448248728368910336</v>
      </c>
      <c r="F16576" s="7" t="s">
        <v>17</v>
      </c>
      <c r="G16576" s="7">
        <v>4379207</v>
      </c>
      <c r="H16576" s="7">
        <v>2545</v>
      </c>
      <c r="I16576" s="7">
        <v>80</v>
      </c>
      <c r="J16576" s="7">
        <v>190</v>
      </c>
      <c r="K16576" s="7" t="s">
        <v>18</v>
      </c>
      <c r="L16576" s="8">
        <v>39987.315405092595</v>
      </c>
      <c r="M16576" s="9" t="s">
        <v>19</v>
      </c>
      <c r="N16576" s="9" t="s">
        <v>20</v>
      </c>
      <c r="O16576" s="6" t="str">
        <f>HYPERLINK("https://pbs.twimg.com/profile_images/962471262747529216/Uo8lOkRJ_normal.jpg","View")</f>
        <v>View</v>
      </c>
      <c r="P16576" s="7"/>
    </row>
    <row r="16577" spans="1:16">
      <c r="A16577" s="3">
        <v>44482.707326388889</v>
      </c>
      <c r="B16577" s="4" t="str">
        <f>HYPERLINK("https://twitter.com/petrogustavo","@petrogustavo")</f>
        <v>@petrogustavo</v>
      </c>
      <c r="C16577" s="5" t="s">
        <v>16</v>
      </c>
      <c r="D16577" s="5" t="s">
        <v>15953</v>
      </c>
      <c r="E16577" s="6" t="str">
        <f>HYPERLINK("https://twitter.com/petrogustavo/status/1448249294323175424","1448249294323175424")</f>
        <v>1448249294323175424</v>
      </c>
      <c r="F16577" s="7" t="s">
        <v>17</v>
      </c>
      <c r="G16577" s="7">
        <v>4379207</v>
      </c>
      <c r="H16577" s="7">
        <v>2545</v>
      </c>
      <c r="I16577" s="7">
        <v>67</v>
      </c>
      <c r="J16577" s="7">
        <v>139</v>
      </c>
      <c r="K16577" s="7" t="s">
        <v>18</v>
      </c>
      <c r="L16577" s="8">
        <v>39987.315405092595</v>
      </c>
      <c r="M16577" s="9" t="s">
        <v>19</v>
      </c>
      <c r="N16577" s="9" t="s">
        <v>20</v>
      </c>
      <c r="O16577" s="6" t="str">
        <f>HYPERLINK("https://pbs.twimg.com/profile_images/962471262747529216/Uo8lOkRJ_normal.jpg","View")</f>
        <v>View</v>
      </c>
      <c r="P16577" s="7"/>
    </row>
    <row r="16578" spans="1:16">
      <c r="A16578" s="3">
        <v>44482.726956018523</v>
      </c>
      <c r="B16578" s="4" t="str">
        <f>HYPERLINK("https://twitter.com/petrogustavo","@petrogustavo")</f>
        <v>@petrogustavo</v>
      </c>
      <c r="C16578" s="5" t="s">
        <v>16</v>
      </c>
      <c r="D16578" s="5" t="s">
        <v>15954</v>
      </c>
      <c r="E16578" s="6" t="str">
        <f>HYPERLINK("https://twitter.com/petrogustavo/status/1448256408407977991","1448256408407977991")</f>
        <v>1448256408407977991</v>
      </c>
      <c r="F16578" s="7" t="s">
        <v>17</v>
      </c>
      <c r="G16578" s="7">
        <v>4379223</v>
      </c>
      <c r="H16578" s="7">
        <v>2545</v>
      </c>
      <c r="I16578" s="7">
        <v>34</v>
      </c>
      <c r="J16578" s="7">
        <v>0</v>
      </c>
      <c r="K16578" s="7" t="s">
        <v>18</v>
      </c>
      <c r="L16578" s="8">
        <v>39987.315405092595</v>
      </c>
      <c r="M16578" s="9" t="s">
        <v>19</v>
      </c>
      <c r="N16578" s="9" t="s">
        <v>20</v>
      </c>
      <c r="O16578" s="6" t="str">
        <f>HYPERLINK("https://pbs.twimg.com/profile_images/962471262747529216/Uo8lOkRJ_normal.jpg","View")</f>
        <v>View</v>
      </c>
      <c r="P16578" s="7"/>
    </row>
    <row r="16579" spans="1:16">
      <c r="A16579" s="3">
        <v>44482.74732638889</v>
      </c>
      <c r="B16579" s="4" t="str">
        <f>HYPERLINK("https://twitter.com/petrogustavo","@petrogustavo")</f>
        <v>@petrogustavo</v>
      </c>
      <c r="C16579" s="5" t="s">
        <v>16</v>
      </c>
      <c r="D16579" s="5" t="s">
        <v>15955</v>
      </c>
      <c r="E16579" s="6" t="str">
        <f>HYPERLINK("https://twitter.com/petrogustavo/status/1448263791083462665","1448263791083462665")</f>
        <v>1448263791083462665</v>
      </c>
      <c r="F16579" s="7" t="s">
        <v>17</v>
      </c>
      <c r="G16579" s="7">
        <v>4379242</v>
      </c>
      <c r="H16579" s="7">
        <v>2545</v>
      </c>
      <c r="I16579" s="7">
        <v>88</v>
      </c>
      <c r="J16579" s="7">
        <v>276</v>
      </c>
      <c r="K16579" s="7" t="s">
        <v>18</v>
      </c>
      <c r="L16579" s="8">
        <v>39987.315405092595</v>
      </c>
      <c r="M16579" s="9" t="s">
        <v>19</v>
      </c>
      <c r="N16579" s="9" t="s">
        <v>20</v>
      </c>
      <c r="O16579" s="6" t="str">
        <f>HYPERLINK("https://pbs.twimg.com/profile_images/962471262747529216/Uo8lOkRJ_normal.jpg","View")</f>
        <v>View</v>
      </c>
      <c r="P16579" s="7"/>
    </row>
    <row r="16580" spans="1:16">
      <c r="A16580" s="3">
        <v>44482.749560185184</v>
      </c>
      <c r="B16580" s="4" t="str">
        <f>HYPERLINK("https://twitter.com/petrogustavo","@petrogustavo")</f>
        <v>@petrogustavo</v>
      </c>
      <c r="C16580" s="5" t="s">
        <v>16</v>
      </c>
      <c r="D16580" s="5" t="s">
        <v>15956</v>
      </c>
      <c r="E16580" s="6" t="str">
        <f>HYPERLINK("https://twitter.com/petrogustavo/status/1448264597664849924","1448264597664849924")</f>
        <v>1448264597664849924</v>
      </c>
      <c r="F16580" s="7" t="s">
        <v>17</v>
      </c>
      <c r="G16580" s="7">
        <v>4379242</v>
      </c>
      <c r="H16580" s="7">
        <v>2545</v>
      </c>
      <c r="I16580" s="7">
        <v>267</v>
      </c>
      <c r="J16580" s="7">
        <v>702</v>
      </c>
      <c r="K16580" s="7" t="s">
        <v>18</v>
      </c>
      <c r="L16580" s="8">
        <v>39987.315405092595</v>
      </c>
      <c r="M16580" s="9" t="s">
        <v>19</v>
      </c>
      <c r="N16580" s="9" t="s">
        <v>20</v>
      </c>
      <c r="O16580" s="6" t="str">
        <f>HYPERLINK("https://pbs.twimg.com/profile_images/962471262747529216/Uo8lOkRJ_normal.jpg","View")</f>
        <v>View</v>
      </c>
      <c r="P16580" s="7"/>
    </row>
    <row r="16581" spans="1:16">
      <c r="A16581" s="3">
        <v>44482.754502314812</v>
      </c>
      <c r="B16581" s="4" t="str">
        <f>HYPERLINK("https://twitter.com/petrogustavo","@petrogustavo")</f>
        <v>@petrogustavo</v>
      </c>
      <c r="C16581" s="5" t="s">
        <v>16</v>
      </c>
      <c r="D16581" s="5" t="s">
        <v>15957</v>
      </c>
      <c r="E16581" s="6" t="str">
        <f>HYPERLINK("https://twitter.com/petrogustavo/status/1448266391958794246","1448266391958794246")</f>
        <v>1448266391958794246</v>
      </c>
      <c r="F16581" s="7" t="s">
        <v>17</v>
      </c>
      <c r="G16581" s="7">
        <v>4379242</v>
      </c>
      <c r="H16581" s="7">
        <v>2545</v>
      </c>
      <c r="I16581" s="7">
        <v>382</v>
      </c>
      <c r="J16581" s="7">
        <v>0</v>
      </c>
      <c r="K16581" s="7" t="s">
        <v>18</v>
      </c>
      <c r="L16581" s="8">
        <v>39987.315405092595</v>
      </c>
      <c r="M16581" s="9" t="s">
        <v>19</v>
      </c>
      <c r="N16581" s="9" t="s">
        <v>20</v>
      </c>
      <c r="O16581" s="6" t="str">
        <f>HYPERLINK("https://pbs.twimg.com/profile_images/962471262747529216/Uo8lOkRJ_normal.jpg","View")</f>
        <v>View</v>
      </c>
      <c r="P16581" s="7"/>
    </row>
    <row r="16582" spans="1:16">
      <c r="A16582" s="3">
        <v>44482.762199074074</v>
      </c>
      <c r="B16582" s="4" t="str">
        <f>HYPERLINK("https://twitter.com/petrogustavo","@petrogustavo")</f>
        <v>@petrogustavo</v>
      </c>
      <c r="C16582" s="5" t="s">
        <v>16</v>
      </c>
      <c r="D16582" s="5" t="s">
        <v>15958</v>
      </c>
      <c r="E16582" s="6" t="str">
        <f>HYPERLINK("https://twitter.com/petrogustavo/status/1448269178356523011","1448269178356523011")</f>
        <v>1448269178356523011</v>
      </c>
      <c r="F16582" s="7" t="s">
        <v>17</v>
      </c>
      <c r="G16582" s="7">
        <v>4379250</v>
      </c>
      <c r="H16582" s="7">
        <v>2545</v>
      </c>
      <c r="I16582" s="7">
        <v>195</v>
      </c>
      <c r="J16582" s="7">
        <v>395</v>
      </c>
      <c r="K16582" s="7" t="s">
        <v>18</v>
      </c>
      <c r="L16582" s="8">
        <v>39987.315405092595</v>
      </c>
      <c r="M16582" s="9" t="s">
        <v>19</v>
      </c>
      <c r="N16582" s="9" t="s">
        <v>20</v>
      </c>
      <c r="O16582" s="6" t="str">
        <f>HYPERLINK("https://pbs.twimg.com/profile_images/962471262747529216/Uo8lOkRJ_normal.jpg","View")</f>
        <v>View</v>
      </c>
      <c r="P16582" s="7"/>
    </row>
    <row r="16583" spans="1:16">
      <c r="A16583" s="3">
        <v>44482.763553240744</v>
      </c>
      <c r="B16583" s="4" t="str">
        <f>HYPERLINK("https://twitter.com/petrogustavo","@petrogustavo")</f>
        <v>@petrogustavo</v>
      </c>
      <c r="C16583" s="5" t="s">
        <v>16</v>
      </c>
      <c r="D16583" s="5" t="s">
        <v>15957</v>
      </c>
      <c r="E16583" s="6" t="str">
        <f>HYPERLINK("https://twitter.com/petrogustavo/status/1448269669324967939","1448269669324967939")</f>
        <v>1448269669324967939</v>
      </c>
      <c r="F16583" s="7" t="s">
        <v>17</v>
      </c>
      <c r="G16583" s="7">
        <v>4379250</v>
      </c>
      <c r="H16583" s="7">
        <v>2545</v>
      </c>
      <c r="I16583" s="7">
        <v>473</v>
      </c>
      <c r="J16583" s="7">
        <v>0</v>
      </c>
      <c r="K16583" s="7" t="s">
        <v>18</v>
      </c>
      <c r="L16583" s="8">
        <v>39987.315405092595</v>
      </c>
      <c r="M16583" s="9" t="s">
        <v>19</v>
      </c>
      <c r="N16583" s="9" t="s">
        <v>20</v>
      </c>
      <c r="O16583" s="6" t="str">
        <f>HYPERLINK("https://pbs.twimg.com/profile_images/962471262747529216/Uo8lOkRJ_normal.jpg","View")</f>
        <v>View</v>
      </c>
      <c r="P16583" s="7"/>
    </row>
    <row r="16584" spans="1:16">
      <c r="A16584" s="3">
        <v>44482.832384259258</v>
      </c>
      <c r="B16584" s="4" t="str">
        <f>HYPERLINK("https://twitter.com/petrogustavo","@petrogustavo")</f>
        <v>@petrogustavo</v>
      </c>
      <c r="C16584" s="5" t="s">
        <v>16</v>
      </c>
      <c r="D16584" s="5" t="s">
        <v>15957</v>
      </c>
      <c r="E16584" s="6" t="str">
        <f>HYPERLINK("https://twitter.com/petrogustavo/status/1448294613635280896","1448294613635280896")</f>
        <v>1448294613635280896</v>
      </c>
      <c r="F16584" s="7" t="s">
        <v>32</v>
      </c>
      <c r="G16584" s="7">
        <v>4379296</v>
      </c>
      <c r="H16584" s="7">
        <v>2545</v>
      </c>
      <c r="I16584" s="7">
        <v>635</v>
      </c>
      <c r="J16584" s="7">
        <v>0</v>
      </c>
      <c r="K16584" s="7" t="s">
        <v>18</v>
      </c>
      <c r="L16584" s="8">
        <v>39987.315405092595</v>
      </c>
      <c r="M16584" s="9" t="s">
        <v>19</v>
      </c>
      <c r="N16584" s="9" t="s">
        <v>20</v>
      </c>
      <c r="O16584" s="6" t="str">
        <f>HYPERLINK("https://pbs.twimg.com/profile_images/962471262747529216/Uo8lOkRJ_normal.jpg","View")</f>
        <v>View</v>
      </c>
      <c r="P16584" s="7"/>
    </row>
    <row r="16585" spans="1:16">
      <c r="A16585" s="3">
        <v>44483.718055555553</v>
      </c>
      <c r="B16585" s="4" t="str">
        <f>HYPERLINK("https://twitter.com/petrogustavo","@petrogustavo")</f>
        <v>@petrogustavo</v>
      </c>
      <c r="C16585" s="5" t="s">
        <v>16</v>
      </c>
      <c r="D16585" s="5" t="s">
        <v>15959</v>
      </c>
      <c r="E16585" s="6" t="str">
        <f>HYPERLINK("https://twitter.com/petrogustavo/status/1448615569259962369","1448615569259962369")</f>
        <v>1448615569259962369</v>
      </c>
      <c r="F16585" s="7" t="s">
        <v>17</v>
      </c>
      <c r="G16585" s="7">
        <v>4381751</v>
      </c>
      <c r="H16585" s="7">
        <v>2550</v>
      </c>
      <c r="I16585" s="7">
        <v>1654</v>
      </c>
      <c r="J16585" s="7">
        <v>3581</v>
      </c>
      <c r="K16585" s="7" t="s">
        <v>18</v>
      </c>
      <c r="L16585" s="8">
        <v>39987.315405092595</v>
      </c>
      <c r="M16585" s="9" t="s">
        <v>19</v>
      </c>
      <c r="N16585" s="9" t="s">
        <v>20</v>
      </c>
      <c r="O16585" s="6" t="str">
        <f>HYPERLINK("https://pbs.twimg.com/profile_images/962471262747529216/Uo8lOkRJ_normal.jpg","View")</f>
        <v>View</v>
      </c>
      <c r="P16585" s="7"/>
    </row>
    <row r="16586" spans="1:16">
      <c r="A16586" s="3">
        <v>44483.718055555553</v>
      </c>
      <c r="B16586" s="4" t="str">
        <f>HYPERLINK("https://twitter.com/petrogustavo","@petrogustavo")</f>
        <v>@petrogustavo</v>
      </c>
      <c r="C16586" s="5" t="s">
        <v>16</v>
      </c>
      <c r="D16586" s="5" t="s">
        <v>15960</v>
      </c>
      <c r="E16586" s="6" t="str">
        <f>HYPERLINK("https://twitter.com/petrogustavo/status/1448615570514010117","1448615570514010117")</f>
        <v>1448615570514010117</v>
      </c>
      <c r="F16586" s="7" t="s">
        <v>17</v>
      </c>
      <c r="G16586" s="7">
        <v>4381751</v>
      </c>
      <c r="H16586" s="7">
        <v>2550</v>
      </c>
      <c r="I16586" s="7">
        <v>985</v>
      </c>
      <c r="J16586" s="7">
        <v>2459</v>
      </c>
      <c r="K16586" s="7" t="s">
        <v>18</v>
      </c>
      <c r="L16586" s="8">
        <v>39987.315405092595</v>
      </c>
      <c r="M16586" s="9" t="s">
        <v>19</v>
      </c>
      <c r="N16586" s="9" t="s">
        <v>20</v>
      </c>
      <c r="O16586" s="6" t="str">
        <f>HYPERLINK("https://pbs.twimg.com/profile_images/962471262747529216/Uo8lOkRJ_normal.jpg","View")</f>
        <v>View</v>
      </c>
      <c r="P16586" s="7"/>
    </row>
    <row r="16587" spans="1:16">
      <c r="A16587" s="3">
        <v>44483.719467592593</v>
      </c>
      <c r="B16587" s="4" t="str">
        <f>HYPERLINK("https://twitter.com/petrogustavo","@petrogustavo")</f>
        <v>@petrogustavo</v>
      </c>
      <c r="C16587" s="5" t="s">
        <v>16</v>
      </c>
      <c r="D16587" s="5" t="s">
        <v>15961</v>
      </c>
      <c r="E16587" s="6" t="str">
        <f>HYPERLINK("https://twitter.com/petrogustavo/status/1448616082021957632","1448616082021957632")</f>
        <v>1448616082021957632</v>
      </c>
      <c r="F16587" s="7" t="s">
        <v>17</v>
      </c>
      <c r="G16587" s="7">
        <v>4381751</v>
      </c>
      <c r="H16587" s="7">
        <v>2550</v>
      </c>
      <c r="I16587" s="7">
        <v>536</v>
      </c>
      <c r="J16587" s="7">
        <v>0</v>
      </c>
      <c r="K16587" s="7" t="s">
        <v>18</v>
      </c>
      <c r="L16587" s="8">
        <v>39987.315405092595</v>
      </c>
      <c r="M16587" s="9" t="s">
        <v>19</v>
      </c>
      <c r="N16587" s="9" t="s">
        <v>20</v>
      </c>
      <c r="O16587" s="6" t="str">
        <f>HYPERLINK("https://pbs.twimg.com/profile_images/962471262747529216/Uo8lOkRJ_normal.jpg","View")</f>
        <v>View</v>
      </c>
      <c r="P16587" s="7"/>
    </row>
    <row r="16588" spans="1:16">
      <c r="A16588" s="3">
        <v>44483.733356481476</v>
      </c>
      <c r="B16588" s="4" t="str">
        <f>HYPERLINK("https://twitter.com/petrogustavo","@petrogustavo")</f>
        <v>@petrogustavo</v>
      </c>
      <c r="C16588" s="5" t="s">
        <v>16</v>
      </c>
      <c r="D16588" s="5" t="s">
        <v>15962</v>
      </c>
      <c r="E16588" s="6" t="str">
        <f>HYPERLINK("https://twitter.com/petrogustavo/status/1448621113790148610","1448621113790148610")</f>
        <v>1448621113790148610</v>
      </c>
      <c r="F16588" s="7" t="s">
        <v>17</v>
      </c>
      <c r="G16588" s="7">
        <v>4381751</v>
      </c>
      <c r="H16588" s="7">
        <v>2550</v>
      </c>
      <c r="I16588" s="7">
        <v>3143</v>
      </c>
      <c r="J16588" s="7">
        <v>7168</v>
      </c>
      <c r="K16588" s="7" t="s">
        <v>18</v>
      </c>
      <c r="L16588" s="8">
        <v>39987.315405092595</v>
      </c>
      <c r="M16588" s="9" t="s">
        <v>19</v>
      </c>
      <c r="N16588" s="9" t="s">
        <v>20</v>
      </c>
      <c r="O16588" s="6" t="str">
        <f>HYPERLINK("https://pbs.twimg.com/profile_images/962471262747529216/Uo8lOkRJ_normal.jpg","View")</f>
        <v>View</v>
      </c>
      <c r="P16588" s="7"/>
    </row>
    <row r="16589" spans="1:16">
      <c r="A16589" s="3">
        <v>44483.735486111109</v>
      </c>
      <c r="B16589" s="4" t="str">
        <f>HYPERLINK("https://twitter.com/petrogustavo","@petrogustavo")</f>
        <v>@petrogustavo</v>
      </c>
      <c r="C16589" s="5" t="s">
        <v>16</v>
      </c>
      <c r="D16589" s="5" t="s">
        <v>15963</v>
      </c>
      <c r="E16589" s="6" t="str">
        <f>HYPERLINK("https://twitter.com/petrogustavo/status/1448621887756591104","1448621887756591104")</f>
        <v>1448621887756591104</v>
      </c>
      <c r="F16589" s="7" t="s">
        <v>17</v>
      </c>
      <c r="G16589" s="7">
        <v>4381751</v>
      </c>
      <c r="H16589" s="7">
        <v>2550</v>
      </c>
      <c r="I16589" s="7">
        <v>697</v>
      </c>
      <c r="J16589" s="7">
        <v>2713</v>
      </c>
      <c r="K16589" s="7" t="s">
        <v>18</v>
      </c>
      <c r="L16589" s="8">
        <v>39987.315405092595</v>
      </c>
      <c r="M16589" s="9" t="s">
        <v>19</v>
      </c>
      <c r="N16589" s="9" t="s">
        <v>20</v>
      </c>
      <c r="O16589" s="6" t="str">
        <f>HYPERLINK("https://pbs.twimg.com/profile_images/962471262747529216/Uo8lOkRJ_normal.jpg","View")</f>
        <v>View</v>
      </c>
      <c r="P16589" s="7"/>
    </row>
    <row r="16590" spans="1:16">
      <c r="A16590" s="3">
        <v>44483.743055555555</v>
      </c>
      <c r="B16590" s="4" t="str">
        <f>HYPERLINK("https://twitter.com/petrogustavo","@petrogustavo")</f>
        <v>@petrogustavo</v>
      </c>
      <c r="C16590" s="5" t="s">
        <v>16</v>
      </c>
      <c r="D16590" s="5" t="s">
        <v>15964</v>
      </c>
      <c r="E16590" s="6" t="str">
        <f>HYPERLINK("https://twitter.com/petrogustavo/status/1448624629342482434","1448624629342482434")</f>
        <v>1448624629342482434</v>
      </c>
      <c r="F16590" s="7" t="s">
        <v>17</v>
      </c>
      <c r="G16590" s="7">
        <v>4381751</v>
      </c>
      <c r="H16590" s="7">
        <v>2550</v>
      </c>
      <c r="I16590" s="7">
        <v>375</v>
      </c>
      <c r="J16590" s="7">
        <v>0</v>
      </c>
      <c r="K16590" s="7" t="s">
        <v>18</v>
      </c>
      <c r="L16590" s="8">
        <v>39987.315405092595</v>
      </c>
      <c r="M16590" s="9" t="s">
        <v>19</v>
      </c>
      <c r="N16590" s="9" t="s">
        <v>20</v>
      </c>
      <c r="O16590" s="6" t="str">
        <f>HYPERLINK("https://pbs.twimg.com/profile_images/962471262747529216/Uo8lOkRJ_normal.jpg","View")</f>
        <v>View</v>
      </c>
      <c r="P16590" s="7"/>
    </row>
    <row r="16591" spans="1:16">
      <c r="A16591" s="3">
        <v>44483.747488425928</v>
      </c>
      <c r="B16591" s="4" t="str">
        <f>HYPERLINK("https://twitter.com/petrogustavo","@petrogustavo")</f>
        <v>@petrogustavo</v>
      </c>
      <c r="C16591" s="5" t="s">
        <v>16</v>
      </c>
      <c r="D16591" s="5" t="s">
        <v>15965</v>
      </c>
      <c r="E16591" s="6" t="str">
        <f>HYPERLINK("https://twitter.com/petrogustavo/status/1448626236473978884","1448626236473978884")</f>
        <v>1448626236473978884</v>
      </c>
      <c r="F16591" s="7" t="s">
        <v>17</v>
      </c>
      <c r="G16591" s="7">
        <v>4381751</v>
      </c>
      <c r="H16591" s="7">
        <v>2550</v>
      </c>
      <c r="I16591" s="7">
        <v>154</v>
      </c>
      <c r="J16591" s="7">
        <v>0</v>
      </c>
      <c r="K16591" s="7" t="s">
        <v>18</v>
      </c>
      <c r="L16591" s="8">
        <v>39987.315405092595</v>
      </c>
      <c r="M16591" s="9" t="s">
        <v>19</v>
      </c>
      <c r="N16591" s="9" t="s">
        <v>20</v>
      </c>
      <c r="O16591" s="6" t="str">
        <f>HYPERLINK("https://pbs.twimg.com/profile_images/962471262747529216/Uo8lOkRJ_normal.jpg","View")</f>
        <v>View</v>
      </c>
      <c r="P16591" s="7"/>
    </row>
    <row r="16592" spans="1:16">
      <c r="A16592" s="3">
        <v>44483.752349537041</v>
      </c>
      <c r="B16592" s="4" t="str">
        <f>HYPERLINK("https://twitter.com/petrogustavo","@petrogustavo")</f>
        <v>@petrogustavo</v>
      </c>
      <c r="C16592" s="5" t="s">
        <v>16</v>
      </c>
      <c r="D16592" s="5" t="s">
        <v>15966</v>
      </c>
      <c r="E16592" s="6" t="str">
        <f>HYPERLINK("https://twitter.com/petrogustavo/status/1448627996059910151","1448627996059910151")</f>
        <v>1448627996059910151</v>
      </c>
      <c r="F16592" s="7" t="s">
        <v>17</v>
      </c>
      <c r="G16592" s="7">
        <v>4381751</v>
      </c>
      <c r="H16592" s="7">
        <v>2550</v>
      </c>
      <c r="I16592" s="7">
        <v>901</v>
      </c>
      <c r="J16592" s="7">
        <v>0</v>
      </c>
      <c r="K16592" s="7" t="s">
        <v>18</v>
      </c>
      <c r="L16592" s="8">
        <v>39987.315405092595</v>
      </c>
      <c r="M16592" s="9" t="s">
        <v>19</v>
      </c>
      <c r="N16592" s="9" t="s">
        <v>20</v>
      </c>
      <c r="O16592" s="6" t="str">
        <f>HYPERLINK("https://pbs.twimg.com/profile_images/962471262747529216/Uo8lOkRJ_normal.jpg","View")</f>
        <v>View</v>
      </c>
      <c r="P16592" s="7"/>
    </row>
    <row r="16593" spans="1:16">
      <c r="A16593" s="3">
        <v>44483.752928240741</v>
      </c>
      <c r="B16593" s="4" t="str">
        <f>HYPERLINK("https://twitter.com/petrogustavo","@petrogustavo")</f>
        <v>@petrogustavo</v>
      </c>
      <c r="C16593" s="5" t="s">
        <v>16</v>
      </c>
      <c r="D16593" s="5" t="s">
        <v>15967</v>
      </c>
      <c r="E16593" s="6" t="str">
        <f>HYPERLINK("https://twitter.com/petrogustavo/status/1448628207792623616","1448628207792623616")</f>
        <v>1448628207792623616</v>
      </c>
      <c r="F16593" s="7" t="s">
        <v>17</v>
      </c>
      <c r="G16593" s="7">
        <v>4381751</v>
      </c>
      <c r="H16593" s="7">
        <v>2550</v>
      </c>
      <c r="I16593" s="7">
        <v>1654</v>
      </c>
      <c r="J16593" s="7">
        <v>0</v>
      </c>
      <c r="K16593" s="7" t="s">
        <v>18</v>
      </c>
      <c r="L16593" s="8">
        <v>39987.315405092595</v>
      </c>
      <c r="M16593" s="9" t="s">
        <v>19</v>
      </c>
      <c r="N16593" s="9" t="s">
        <v>20</v>
      </c>
      <c r="O16593" s="6" t="str">
        <f>HYPERLINK("https://pbs.twimg.com/profile_images/962471262747529216/Uo8lOkRJ_normal.jpg","View")</f>
        <v>View</v>
      </c>
      <c r="P16593" s="7"/>
    </row>
    <row r="16594" spans="1:16">
      <c r="A16594" s="3">
        <v>44483.768831018519</v>
      </c>
      <c r="B16594" s="4" t="str">
        <f>HYPERLINK("https://twitter.com/petrogustavo","@petrogustavo")</f>
        <v>@petrogustavo</v>
      </c>
      <c r="C16594" s="5" t="s">
        <v>16</v>
      </c>
      <c r="D16594" s="5" t="s">
        <v>15968</v>
      </c>
      <c r="E16594" s="6" t="str">
        <f>HYPERLINK("https://twitter.com/petrogustavo/status/1448633971265490945","1448633971265490945")</f>
        <v>1448633971265490945</v>
      </c>
      <c r="F16594" s="7" t="s">
        <v>17</v>
      </c>
      <c r="G16594" s="7">
        <v>4381751</v>
      </c>
      <c r="H16594" s="7">
        <v>2550</v>
      </c>
      <c r="I16594" s="7">
        <v>3173</v>
      </c>
      <c r="J16594" s="7">
        <v>12050</v>
      </c>
      <c r="K16594" s="7" t="s">
        <v>18</v>
      </c>
      <c r="L16594" s="8">
        <v>39987.315405092595</v>
      </c>
      <c r="M16594" s="9" t="s">
        <v>19</v>
      </c>
      <c r="N16594" s="9" t="s">
        <v>20</v>
      </c>
      <c r="O16594" s="6" t="str">
        <f>HYPERLINK("https://pbs.twimg.com/profile_images/962471262747529216/Uo8lOkRJ_normal.jpg","View")</f>
        <v>View</v>
      </c>
      <c r="P16594" s="7"/>
    </row>
    <row r="16595" spans="1:16">
      <c r="A16595" s="3">
        <v>44483.768842592588</v>
      </c>
      <c r="B16595" s="4" t="str">
        <f>HYPERLINK("https://twitter.com/petrogustavo","@petrogustavo")</f>
        <v>@petrogustavo</v>
      </c>
      <c r="C16595" s="5" t="s">
        <v>16</v>
      </c>
      <c r="D16595" s="5" t="s">
        <v>15969</v>
      </c>
      <c r="E16595" s="6" t="str">
        <f>HYPERLINK("https://twitter.com/petrogustavo/status/1448633973677117443","1448633973677117443")</f>
        <v>1448633973677117443</v>
      </c>
      <c r="F16595" s="7" t="s">
        <v>17</v>
      </c>
      <c r="G16595" s="7">
        <v>4381751</v>
      </c>
      <c r="H16595" s="7">
        <v>2550</v>
      </c>
      <c r="I16595" s="7">
        <v>714</v>
      </c>
      <c r="J16595" s="7">
        <v>2785</v>
      </c>
      <c r="K16595" s="7" t="s">
        <v>18</v>
      </c>
      <c r="L16595" s="8">
        <v>39987.315405092595</v>
      </c>
      <c r="M16595" s="9" t="s">
        <v>19</v>
      </c>
      <c r="N16595" s="9" t="s">
        <v>20</v>
      </c>
      <c r="O16595" s="6" t="str">
        <f>HYPERLINK("https://pbs.twimg.com/profile_images/962471262747529216/Uo8lOkRJ_normal.jpg","View")</f>
        <v>View</v>
      </c>
      <c r="P16595" s="7"/>
    </row>
    <row r="16596" spans="1:16">
      <c r="A16596" s="3">
        <v>44483.768842592588</v>
      </c>
      <c r="B16596" s="4" t="str">
        <f>HYPERLINK("https://twitter.com/petrogustavo","@petrogustavo")</f>
        <v>@petrogustavo</v>
      </c>
      <c r="C16596" s="5" t="s">
        <v>16</v>
      </c>
      <c r="D16596" s="5" t="s">
        <v>15970</v>
      </c>
      <c r="E16596" s="6" t="str">
        <f>HYPERLINK("https://twitter.com/petrogustavo/status/1448633975153598468","1448633975153598468")</f>
        <v>1448633975153598468</v>
      </c>
      <c r="F16596" s="7" t="s">
        <v>17</v>
      </c>
      <c r="G16596" s="7">
        <v>4381751</v>
      </c>
      <c r="H16596" s="7">
        <v>2550</v>
      </c>
      <c r="I16596" s="7">
        <v>679</v>
      </c>
      <c r="J16596" s="7">
        <v>2908</v>
      </c>
      <c r="K16596" s="7" t="s">
        <v>18</v>
      </c>
      <c r="L16596" s="8">
        <v>39987.315405092595</v>
      </c>
      <c r="M16596" s="9" t="s">
        <v>19</v>
      </c>
      <c r="N16596" s="9" t="s">
        <v>20</v>
      </c>
      <c r="O16596" s="6" t="str">
        <f>HYPERLINK("https://pbs.twimg.com/profile_images/962471262747529216/Uo8lOkRJ_normal.jpg","View")</f>
        <v>View</v>
      </c>
      <c r="P16596" s="7"/>
    </row>
    <row r="16597" spans="1:16">
      <c r="A16597" s="3">
        <v>44483.768842592588</v>
      </c>
      <c r="B16597" s="4" t="str">
        <f>HYPERLINK("https://twitter.com/petrogustavo","@petrogustavo")</f>
        <v>@petrogustavo</v>
      </c>
      <c r="C16597" s="5" t="s">
        <v>16</v>
      </c>
      <c r="D16597" s="5" t="s">
        <v>15971</v>
      </c>
      <c r="E16597" s="6" t="str">
        <f>HYPERLINK("https://twitter.com/petrogustavo/status/1448633976374050821","1448633976374050821")</f>
        <v>1448633976374050821</v>
      </c>
      <c r="F16597" s="7" t="s">
        <v>17</v>
      </c>
      <c r="G16597" s="7">
        <v>4381751</v>
      </c>
      <c r="H16597" s="7">
        <v>2550</v>
      </c>
      <c r="I16597" s="7">
        <v>723</v>
      </c>
      <c r="J16597" s="7">
        <v>2841</v>
      </c>
      <c r="K16597" s="7" t="s">
        <v>18</v>
      </c>
      <c r="L16597" s="8">
        <v>39987.315405092595</v>
      </c>
      <c r="M16597" s="9" t="s">
        <v>19</v>
      </c>
      <c r="N16597" s="9" t="s">
        <v>20</v>
      </c>
      <c r="O16597" s="6" t="str">
        <f>HYPERLINK("https://pbs.twimg.com/profile_images/962471262747529216/Uo8lOkRJ_normal.jpg","View")</f>
        <v>View</v>
      </c>
      <c r="P16597" s="7"/>
    </row>
    <row r="16598" spans="1:16">
      <c r="A16598" s="3">
        <v>44484.102511574078</v>
      </c>
      <c r="B16598" s="4" t="str">
        <f>HYPERLINK("https://twitter.com/petrogustavo","@petrogustavo")</f>
        <v>@petrogustavo</v>
      </c>
      <c r="C16598" s="5" t="s">
        <v>16</v>
      </c>
      <c r="D16598" s="5" t="s">
        <v>15972</v>
      </c>
      <c r="E16598" s="6" t="str">
        <f>HYPERLINK("https://twitter.com/petrogustavo/status/1448754892416430085","1448754892416430085")</f>
        <v>1448754892416430085</v>
      </c>
      <c r="F16598" s="7" t="s">
        <v>17</v>
      </c>
      <c r="G16598" s="7">
        <v>4381751</v>
      </c>
      <c r="H16598" s="7">
        <v>2550</v>
      </c>
      <c r="I16598" s="7">
        <v>540</v>
      </c>
      <c r="J16598" s="7">
        <v>0</v>
      </c>
      <c r="K16598" s="7" t="s">
        <v>18</v>
      </c>
      <c r="L16598" s="8">
        <v>39987.315405092595</v>
      </c>
      <c r="M16598" s="9" t="s">
        <v>19</v>
      </c>
      <c r="N16598" s="9" t="s">
        <v>20</v>
      </c>
      <c r="O16598" s="6" t="str">
        <f>HYPERLINK("https://pbs.twimg.com/profile_images/962471262747529216/Uo8lOkRJ_normal.jpg","View")</f>
        <v>View</v>
      </c>
      <c r="P16598" s="7"/>
    </row>
    <row r="16599" spans="1:16">
      <c r="A16599" s="3">
        <v>44484.149282407408</v>
      </c>
      <c r="B16599" s="4" t="str">
        <f>HYPERLINK("https://twitter.com/petrogustavo","@petrogustavo")</f>
        <v>@petrogustavo</v>
      </c>
      <c r="C16599" s="5" t="s">
        <v>16</v>
      </c>
      <c r="D16599" s="5" t="s">
        <v>15973</v>
      </c>
      <c r="E16599" s="6" t="str">
        <f>HYPERLINK("https://twitter.com/petrogustavo/status/1448771840348934155","1448771840348934155")</f>
        <v>1448771840348934155</v>
      </c>
      <c r="F16599" s="7" t="s">
        <v>17</v>
      </c>
      <c r="G16599" s="7">
        <v>4381751</v>
      </c>
      <c r="H16599" s="7">
        <v>2550</v>
      </c>
      <c r="I16599" s="7">
        <v>674</v>
      </c>
      <c r="J16599" s="7">
        <v>1522</v>
      </c>
      <c r="K16599" s="7" t="s">
        <v>18</v>
      </c>
      <c r="L16599" s="8">
        <v>39987.315405092595</v>
      </c>
      <c r="M16599" s="9" t="s">
        <v>19</v>
      </c>
      <c r="N16599" s="9" t="s">
        <v>20</v>
      </c>
      <c r="O16599" s="6" t="str">
        <f>HYPERLINK("https://pbs.twimg.com/profile_images/962471262747529216/Uo8lOkRJ_normal.jpg","View")</f>
        <v>View</v>
      </c>
      <c r="P16599" s="7"/>
    </row>
    <row r="16600" spans="1:16">
      <c r="A16600" s="3">
        <v>44484.338275462964</v>
      </c>
      <c r="B16600" s="4" t="str">
        <f>HYPERLINK("https://twitter.com/petrogustavo","@petrogustavo")</f>
        <v>@petrogustavo</v>
      </c>
      <c r="C16600" s="5" t="s">
        <v>16</v>
      </c>
      <c r="D16600" s="5" t="s">
        <v>15974</v>
      </c>
      <c r="E16600" s="6" t="str">
        <f>HYPERLINK("https://twitter.com/petrogustavo/status/1448840329692696584","1448840329692696584")</f>
        <v>1448840329692696584</v>
      </c>
      <c r="F16600" s="7" t="s">
        <v>17</v>
      </c>
      <c r="G16600" s="7">
        <v>4381751</v>
      </c>
      <c r="H16600" s="7">
        <v>2550</v>
      </c>
      <c r="I16600" s="7">
        <v>762</v>
      </c>
      <c r="J16600" s="7">
        <v>2040</v>
      </c>
      <c r="K16600" s="7" t="s">
        <v>18</v>
      </c>
      <c r="L16600" s="8">
        <v>39987.315405092595</v>
      </c>
      <c r="M16600" s="9" t="s">
        <v>19</v>
      </c>
      <c r="N16600" s="9" t="s">
        <v>20</v>
      </c>
      <c r="O16600" s="6" t="str">
        <f>HYPERLINK("https://pbs.twimg.com/profile_images/962471262747529216/Uo8lOkRJ_normal.jpg","View")</f>
        <v>View</v>
      </c>
      <c r="P16600" s="7"/>
    </row>
    <row r="16601" spans="1:16">
      <c r="A16601" s="3">
        <v>44484.339768518519</v>
      </c>
      <c r="B16601" s="4" t="str">
        <f>HYPERLINK("https://twitter.com/petrogustavo","@petrogustavo")</f>
        <v>@petrogustavo</v>
      </c>
      <c r="C16601" s="5" t="s">
        <v>16</v>
      </c>
      <c r="D16601" s="5" t="s">
        <v>15975</v>
      </c>
      <c r="E16601" s="6" t="str">
        <f>HYPERLINK("https://twitter.com/petrogustavo/status/1448840872850776072","1448840872850776072")</f>
        <v>1448840872850776072</v>
      </c>
      <c r="F16601" s="7" t="s">
        <v>17</v>
      </c>
      <c r="G16601" s="7">
        <v>4381751</v>
      </c>
      <c r="H16601" s="7">
        <v>2550</v>
      </c>
      <c r="I16601" s="7">
        <v>2184</v>
      </c>
      <c r="J16601" s="7">
        <v>6100</v>
      </c>
      <c r="K16601" s="7" t="s">
        <v>18</v>
      </c>
      <c r="L16601" s="8">
        <v>39987.315405092595</v>
      </c>
      <c r="M16601" s="9" t="s">
        <v>19</v>
      </c>
      <c r="N16601" s="9" t="s">
        <v>20</v>
      </c>
      <c r="O16601" s="6" t="str">
        <f>HYPERLINK("https://pbs.twimg.com/profile_images/962471262747529216/Uo8lOkRJ_normal.jpg","View")</f>
        <v>View</v>
      </c>
      <c r="P16601" s="7"/>
    </row>
    <row r="16602" spans="1:16">
      <c r="A16602" s="3">
        <v>44484.803831018522</v>
      </c>
      <c r="B16602" s="4" t="str">
        <f>HYPERLINK("https://twitter.com/petrogustavo","@petrogustavo")</f>
        <v>@petrogustavo</v>
      </c>
      <c r="C16602" s="5" t="s">
        <v>16</v>
      </c>
      <c r="D16602" s="5" t="s">
        <v>15976</v>
      </c>
      <c r="E16602" s="6" t="str">
        <f>HYPERLINK("https://twitter.com/petrogustavo/status/1449009040617525252","1449009040617525252")</f>
        <v>1449009040617525252</v>
      </c>
      <c r="F16602" s="7" t="s">
        <v>17</v>
      </c>
      <c r="G16602" s="7">
        <v>4381751</v>
      </c>
      <c r="H16602" s="7">
        <v>2550</v>
      </c>
      <c r="I16602" s="7">
        <v>1923</v>
      </c>
      <c r="J16602" s="7">
        <v>0</v>
      </c>
      <c r="K16602" s="7" t="s">
        <v>18</v>
      </c>
      <c r="L16602" s="8">
        <v>39987.315405092595</v>
      </c>
      <c r="M16602" s="9" t="s">
        <v>19</v>
      </c>
      <c r="N16602" s="9" t="s">
        <v>20</v>
      </c>
      <c r="O16602" s="6" t="str">
        <f>HYPERLINK("https://pbs.twimg.com/profile_images/962471262747529216/Uo8lOkRJ_normal.jpg","View")</f>
        <v>View</v>
      </c>
      <c r="P16602" s="7"/>
    </row>
    <row r="16603" spans="1:16">
      <c r="A16603" s="3">
        <v>44484.806608796294</v>
      </c>
      <c r="B16603" s="4" t="str">
        <f>HYPERLINK("https://twitter.com/petrogustavo","@petrogustavo")</f>
        <v>@petrogustavo</v>
      </c>
      <c r="C16603" s="5" t="s">
        <v>16</v>
      </c>
      <c r="D16603" s="5" t="s">
        <v>15977</v>
      </c>
      <c r="E16603" s="6" t="str">
        <f>HYPERLINK("https://twitter.com/petrogustavo/status/1449010048454250498","1449010048454250498")</f>
        <v>1449010048454250498</v>
      </c>
      <c r="F16603" s="7" t="s">
        <v>17</v>
      </c>
      <c r="G16603" s="7">
        <v>4381751</v>
      </c>
      <c r="H16603" s="7">
        <v>2550</v>
      </c>
      <c r="I16603" s="7">
        <v>660</v>
      </c>
      <c r="J16603" s="7">
        <v>0</v>
      </c>
      <c r="K16603" s="7" t="s">
        <v>18</v>
      </c>
      <c r="L16603" s="8">
        <v>39987.315405092595</v>
      </c>
      <c r="M16603" s="9" t="s">
        <v>19</v>
      </c>
      <c r="N16603" s="9" t="s">
        <v>20</v>
      </c>
      <c r="O16603" s="6" t="str">
        <f>HYPERLINK("https://pbs.twimg.com/profile_images/962471262747529216/Uo8lOkRJ_normal.jpg","View")</f>
        <v>View</v>
      </c>
      <c r="P16603" s="7"/>
    </row>
    <row r="16604" spans="1:16">
      <c r="A16604" s="3">
        <v>44484.833854166667</v>
      </c>
      <c r="B16604" s="4" t="str">
        <f>HYPERLINK("https://twitter.com/petrogustavo","@petrogustavo")</f>
        <v>@petrogustavo</v>
      </c>
      <c r="C16604" s="5" t="s">
        <v>16</v>
      </c>
      <c r="D16604" s="5" t="s">
        <v>15978</v>
      </c>
      <c r="E16604" s="6" t="str">
        <f>HYPERLINK("https://twitter.com/petrogustavo/status/1449019921564938246","1449019921564938246")</f>
        <v>1449019921564938246</v>
      </c>
      <c r="F16604" s="7" t="s">
        <v>17</v>
      </c>
      <c r="G16604" s="7">
        <v>4381751</v>
      </c>
      <c r="H16604" s="7">
        <v>2550</v>
      </c>
      <c r="I16604" s="7">
        <v>449</v>
      </c>
      <c r="J16604" s="7">
        <v>1793</v>
      </c>
      <c r="K16604" s="7" t="s">
        <v>18</v>
      </c>
      <c r="L16604" s="8">
        <v>39987.315405092595</v>
      </c>
      <c r="M16604" s="9" t="s">
        <v>19</v>
      </c>
      <c r="N16604" s="9" t="s">
        <v>20</v>
      </c>
      <c r="O16604" s="6" t="str">
        <f>HYPERLINK("https://pbs.twimg.com/profile_images/962471262747529216/Uo8lOkRJ_normal.jpg","View")</f>
        <v>View</v>
      </c>
      <c r="P16604" s="7"/>
    </row>
    <row r="16605" spans="1:16">
      <c r="A16605" s="3">
        <v>44484.838321759264</v>
      </c>
      <c r="B16605" s="4" t="str">
        <f>HYPERLINK("https://twitter.com/petrogustavo","@petrogustavo")</f>
        <v>@petrogustavo</v>
      </c>
      <c r="C16605" s="5" t="s">
        <v>16</v>
      </c>
      <c r="D16605" s="5" t="s">
        <v>15979</v>
      </c>
      <c r="E16605" s="6" t="str">
        <f>HYPERLINK("https://twitter.com/petrogustavo/status/1449021540671148037","1449021540671148037")</f>
        <v>1449021540671148037</v>
      </c>
      <c r="F16605" s="7" t="s">
        <v>17</v>
      </c>
      <c r="G16605" s="7">
        <v>4381751</v>
      </c>
      <c r="H16605" s="7">
        <v>2550</v>
      </c>
      <c r="I16605" s="7">
        <v>432</v>
      </c>
      <c r="J16605" s="7">
        <v>1704</v>
      </c>
      <c r="K16605" s="7" t="s">
        <v>18</v>
      </c>
      <c r="L16605" s="8">
        <v>39987.315405092595</v>
      </c>
      <c r="M16605" s="9" t="s">
        <v>19</v>
      </c>
      <c r="N16605" s="9" t="s">
        <v>20</v>
      </c>
      <c r="O16605" s="6" t="str">
        <f>HYPERLINK("https://pbs.twimg.com/profile_images/962471262747529216/Uo8lOkRJ_normal.jpg","View")</f>
        <v>View</v>
      </c>
      <c r="P16605" s="7"/>
    </row>
    <row r="16606" spans="1:16">
      <c r="A16606" s="3">
        <v>44484.842604166668</v>
      </c>
      <c r="B16606" s="4" t="str">
        <f>HYPERLINK("https://twitter.com/petrogustavo","@petrogustavo")</f>
        <v>@petrogustavo</v>
      </c>
      <c r="C16606" s="5" t="s">
        <v>16</v>
      </c>
      <c r="D16606" s="5" t="s">
        <v>15980</v>
      </c>
      <c r="E16606" s="6" t="str">
        <f>HYPERLINK("https://twitter.com/petrogustavo/status/1449023092530028549","1449023092530028549")</f>
        <v>1449023092530028549</v>
      </c>
      <c r="F16606" s="7" t="s">
        <v>17</v>
      </c>
      <c r="G16606" s="7">
        <v>4381751</v>
      </c>
      <c r="H16606" s="7">
        <v>2550</v>
      </c>
      <c r="I16606" s="7">
        <v>1490</v>
      </c>
      <c r="J16606" s="7">
        <v>5027</v>
      </c>
      <c r="K16606" s="7" t="s">
        <v>18</v>
      </c>
      <c r="L16606" s="8">
        <v>39987.315405092595</v>
      </c>
      <c r="M16606" s="9" t="s">
        <v>19</v>
      </c>
      <c r="N16606" s="9" t="s">
        <v>20</v>
      </c>
      <c r="O16606" s="6" t="str">
        <f>HYPERLINK("https://pbs.twimg.com/profile_images/962471262747529216/Uo8lOkRJ_normal.jpg","View")</f>
        <v>View</v>
      </c>
      <c r="P16606" s="7"/>
    </row>
    <row r="16607" spans="1:16">
      <c r="A16607" s="3">
        <v>44485.121793981481</v>
      </c>
      <c r="B16607" s="4" t="str">
        <f>HYPERLINK("https://twitter.com/petrogustavo","@petrogustavo")</f>
        <v>@petrogustavo</v>
      </c>
      <c r="C16607" s="5" t="s">
        <v>16</v>
      </c>
      <c r="D16607" s="5" t="s">
        <v>15981</v>
      </c>
      <c r="E16607" s="6" t="str">
        <f>HYPERLINK("https://twitter.com/petrogustavo/status/1449124265773649925","1449124265773649925")</f>
        <v>1449124265773649925</v>
      </c>
      <c r="F16607" s="7" t="s">
        <v>17</v>
      </c>
      <c r="G16607" s="7">
        <v>4381751</v>
      </c>
      <c r="H16607" s="7">
        <v>2550</v>
      </c>
      <c r="I16607" s="7">
        <v>1177</v>
      </c>
      <c r="J16607" s="7">
        <v>0</v>
      </c>
      <c r="K16607" s="7" t="s">
        <v>18</v>
      </c>
      <c r="L16607" s="8">
        <v>39987.315405092595</v>
      </c>
      <c r="M16607" s="9" t="s">
        <v>19</v>
      </c>
      <c r="N16607" s="9" t="s">
        <v>20</v>
      </c>
      <c r="O16607" s="6" t="str">
        <f>HYPERLINK("https://pbs.twimg.com/profile_images/962471262747529216/Uo8lOkRJ_normal.jpg","View")</f>
        <v>View</v>
      </c>
      <c r="P16607" s="7"/>
    </row>
    <row r="16608" spans="1:16">
      <c r="A16608" s="3">
        <v>44485.127638888887</v>
      </c>
      <c r="B16608" s="4" t="str">
        <f>HYPERLINK("https://twitter.com/petrogustavo","@petrogustavo")</f>
        <v>@petrogustavo</v>
      </c>
      <c r="C16608" s="5" t="s">
        <v>16</v>
      </c>
      <c r="D16608" s="5" t="s">
        <v>15982</v>
      </c>
      <c r="E16608" s="6" t="str">
        <f>HYPERLINK("https://twitter.com/petrogustavo/status/1449126384606060545","1449126384606060545")</f>
        <v>1449126384606060545</v>
      </c>
      <c r="F16608" s="7" t="s">
        <v>17</v>
      </c>
      <c r="G16608" s="7">
        <v>4381751</v>
      </c>
      <c r="H16608" s="7">
        <v>2550</v>
      </c>
      <c r="I16608" s="7">
        <v>590</v>
      </c>
      <c r="J16608" s="7">
        <v>1775</v>
      </c>
      <c r="K16608" s="7" t="s">
        <v>18</v>
      </c>
      <c r="L16608" s="8">
        <v>39987.315405092595</v>
      </c>
      <c r="M16608" s="9" t="s">
        <v>19</v>
      </c>
      <c r="N16608" s="9" t="s">
        <v>20</v>
      </c>
      <c r="O16608" s="6" t="str">
        <f>HYPERLINK("https://pbs.twimg.com/profile_images/962471262747529216/Uo8lOkRJ_normal.jpg","View")</f>
        <v>View</v>
      </c>
      <c r="P16608" s="7"/>
    </row>
    <row r="16609" spans="1:16">
      <c r="A16609" s="3">
        <v>44485.141238425931</v>
      </c>
      <c r="B16609" s="4" t="str">
        <f>HYPERLINK("https://twitter.com/petrogustavo","@petrogustavo")</f>
        <v>@petrogustavo</v>
      </c>
      <c r="C16609" s="5" t="s">
        <v>16</v>
      </c>
      <c r="D16609" s="5" t="s">
        <v>15983</v>
      </c>
      <c r="E16609" s="6" t="str">
        <f>HYPERLINK("https://twitter.com/petrogustavo/status/1449131315366879238","1449131315366879238")</f>
        <v>1449131315366879238</v>
      </c>
      <c r="F16609" s="7" t="s">
        <v>17</v>
      </c>
      <c r="G16609" s="7">
        <v>4381751</v>
      </c>
      <c r="H16609" s="7">
        <v>2550</v>
      </c>
      <c r="I16609" s="7">
        <v>1640</v>
      </c>
      <c r="J16609" s="7">
        <v>4275</v>
      </c>
      <c r="K16609" s="7" t="s">
        <v>18</v>
      </c>
      <c r="L16609" s="8">
        <v>39987.315405092595</v>
      </c>
      <c r="M16609" s="9" t="s">
        <v>19</v>
      </c>
      <c r="N16609" s="9" t="s">
        <v>20</v>
      </c>
      <c r="O16609" s="6" t="str">
        <f>HYPERLINK("https://pbs.twimg.com/profile_images/962471262747529216/Uo8lOkRJ_normal.jpg","View")</f>
        <v>View</v>
      </c>
      <c r="P16609" s="7"/>
    </row>
    <row r="16610" spans="1:16">
      <c r="A16610" s="3">
        <v>44485.160659722227</v>
      </c>
      <c r="B16610" s="4" t="str">
        <f>HYPERLINK("https://twitter.com/petrogustavo","@petrogustavo")</f>
        <v>@petrogustavo</v>
      </c>
      <c r="C16610" s="5" t="s">
        <v>16</v>
      </c>
      <c r="D16610" s="5" t="s">
        <v>15984</v>
      </c>
      <c r="E16610" s="6" t="str">
        <f>HYPERLINK("https://twitter.com/petrogustavo/status/1449138352507297794","1449138352507297794")</f>
        <v>1449138352507297794</v>
      </c>
      <c r="F16610" s="7" t="s">
        <v>17</v>
      </c>
      <c r="G16610" s="7">
        <v>4381751</v>
      </c>
      <c r="H16610" s="7">
        <v>2550</v>
      </c>
      <c r="I16610" s="7">
        <v>1922</v>
      </c>
      <c r="J16610" s="7">
        <v>4889</v>
      </c>
      <c r="K16610" s="7" t="s">
        <v>18</v>
      </c>
      <c r="L16610" s="8">
        <v>39987.315405092595</v>
      </c>
      <c r="M16610" s="9" t="s">
        <v>19</v>
      </c>
      <c r="N16610" s="9" t="s">
        <v>20</v>
      </c>
      <c r="O16610" s="6" t="str">
        <f>HYPERLINK("https://pbs.twimg.com/profile_images/962471262747529216/Uo8lOkRJ_normal.jpg","View")</f>
        <v>View</v>
      </c>
      <c r="P16610" s="7"/>
    </row>
    <row r="16611" spans="1:16">
      <c r="A16611" s="3">
        <v>44485.173425925925</v>
      </c>
      <c r="B16611" s="4" t="str">
        <f>HYPERLINK("https://twitter.com/petrogustavo","@petrogustavo")</f>
        <v>@petrogustavo</v>
      </c>
      <c r="C16611" s="5" t="s">
        <v>16</v>
      </c>
      <c r="D16611" s="5" t="s">
        <v>15985</v>
      </c>
      <c r="E16611" s="6" t="str">
        <f>HYPERLINK("https://twitter.com/petrogustavo/status/1449142978367393800","1449142978367393800")</f>
        <v>1449142978367393800</v>
      </c>
      <c r="F16611" s="7" t="s">
        <v>17</v>
      </c>
      <c r="G16611" s="7">
        <v>4381751</v>
      </c>
      <c r="H16611" s="7">
        <v>2550</v>
      </c>
      <c r="I16611" s="7">
        <v>3913</v>
      </c>
      <c r="J16611" s="7">
        <v>8931</v>
      </c>
      <c r="K16611" s="7" t="s">
        <v>18</v>
      </c>
      <c r="L16611" s="8">
        <v>39987.315405092595</v>
      </c>
      <c r="M16611" s="9" t="s">
        <v>19</v>
      </c>
      <c r="N16611" s="9" t="s">
        <v>20</v>
      </c>
      <c r="O16611" s="6" t="str">
        <f>HYPERLINK("https://pbs.twimg.com/profile_images/962471262747529216/Uo8lOkRJ_normal.jpg","View")</f>
        <v>View</v>
      </c>
      <c r="P16611" s="7"/>
    </row>
    <row r="16612" spans="1:16">
      <c r="A16612" s="3">
        <v>44485.182141203702</v>
      </c>
      <c r="B16612" s="4" t="str">
        <f>HYPERLINK("https://twitter.com/petrogustavo","@petrogustavo")</f>
        <v>@petrogustavo</v>
      </c>
      <c r="C16612" s="5" t="s">
        <v>16</v>
      </c>
      <c r="D16612" s="5" t="s">
        <v>15986</v>
      </c>
      <c r="E16612" s="6" t="str">
        <f>HYPERLINK("https://twitter.com/petrogustavo/status/1449146136393129986","1449146136393129986")</f>
        <v>1449146136393129986</v>
      </c>
      <c r="F16612" s="7" t="s">
        <v>17</v>
      </c>
      <c r="G16612" s="7">
        <v>4381751</v>
      </c>
      <c r="H16612" s="7">
        <v>2550</v>
      </c>
      <c r="I16612" s="7">
        <v>1744</v>
      </c>
      <c r="J16612" s="7">
        <v>4330</v>
      </c>
      <c r="K16612" s="7" t="s">
        <v>18</v>
      </c>
      <c r="L16612" s="8">
        <v>39987.315405092595</v>
      </c>
      <c r="M16612" s="9" t="s">
        <v>19</v>
      </c>
      <c r="N16612" s="9" t="s">
        <v>20</v>
      </c>
      <c r="O16612" s="6" t="str">
        <f>HYPERLINK("https://pbs.twimg.com/profile_images/962471262747529216/Uo8lOkRJ_normal.jpg","View")</f>
        <v>View</v>
      </c>
      <c r="P16612" s="7"/>
    </row>
    <row r="16613" spans="1:16">
      <c r="A16613" s="3">
        <v>44485.207326388889</v>
      </c>
      <c r="B16613" s="4" t="str">
        <f>HYPERLINK("https://twitter.com/petrogustavo","@petrogustavo")</f>
        <v>@petrogustavo</v>
      </c>
      <c r="C16613" s="5" t="s">
        <v>16</v>
      </c>
      <c r="D16613" s="5" t="s">
        <v>15987</v>
      </c>
      <c r="E16613" s="6" t="str">
        <f>HYPERLINK("https://twitter.com/petrogustavo/status/1449155262141673475","1449155262141673475")</f>
        <v>1449155262141673475</v>
      </c>
      <c r="F16613" s="7" t="s">
        <v>17</v>
      </c>
      <c r="G16613" s="7">
        <v>4381751</v>
      </c>
      <c r="H16613" s="7">
        <v>2550</v>
      </c>
      <c r="I16613" s="7">
        <v>2226</v>
      </c>
      <c r="J16613" s="7">
        <v>6253</v>
      </c>
      <c r="K16613" s="7" t="s">
        <v>18</v>
      </c>
      <c r="L16613" s="8">
        <v>39987.315405092595</v>
      </c>
      <c r="M16613" s="9" t="s">
        <v>19</v>
      </c>
      <c r="N16613" s="9" t="s">
        <v>20</v>
      </c>
      <c r="O16613" s="6" t="str">
        <f>HYPERLINK("https://pbs.twimg.com/profile_images/962471262747529216/Uo8lOkRJ_normal.jpg","View")</f>
        <v>View</v>
      </c>
      <c r="P16613" s="7"/>
    </row>
    <row r="16614" spans="1:16">
      <c r="A16614" s="3">
        <v>44485.210752314815</v>
      </c>
      <c r="B16614" s="4" t="str">
        <f>HYPERLINK("https://twitter.com/petrogustavo","@petrogustavo")</f>
        <v>@petrogustavo</v>
      </c>
      <c r="C16614" s="5" t="s">
        <v>16</v>
      </c>
      <c r="D16614" s="5" t="s">
        <v>15988</v>
      </c>
      <c r="E16614" s="6" t="str">
        <f>HYPERLINK("https://twitter.com/petrogustavo/status/1449156505253601280","1449156505253601280")</f>
        <v>1449156505253601280</v>
      </c>
      <c r="F16614" s="7" t="s">
        <v>17</v>
      </c>
      <c r="G16614" s="7">
        <v>4381751</v>
      </c>
      <c r="H16614" s="7">
        <v>2550</v>
      </c>
      <c r="I16614" s="7">
        <v>2456</v>
      </c>
      <c r="J16614" s="7">
        <v>8440</v>
      </c>
      <c r="K16614" s="7" t="s">
        <v>18</v>
      </c>
      <c r="L16614" s="8">
        <v>39987.315405092595</v>
      </c>
      <c r="M16614" s="9" t="s">
        <v>19</v>
      </c>
      <c r="N16614" s="9" t="s">
        <v>20</v>
      </c>
      <c r="O16614" s="6" t="str">
        <f>HYPERLINK("https://pbs.twimg.com/profile_images/962471262747529216/Uo8lOkRJ_normal.jpg","View")</f>
        <v>View</v>
      </c>
      <c r="P16614" s="7"/>
    </row>
    <row r="16615" spans="1:16">
      <c r="A16615" s="3">
        <v>44485.245624999996</v>
      </c>
      <c r="B16615" s="4" t="str">
        <f>HYPERLINK("https://twitter.com/petrogustavo","@petrogustavo")</f>
        <v>@petrogustavo</v>
      </c>
      <c r="C16615" s="5" t="s">
        <v>16</v>
      </c>
      <c r="D16615" s="5" t="s">
        <v>15989</v>
      </c>
      <c r="E16615" s="6" t="str">
        <f>HYPERLINK("https://twitter.com/petrogustavo/status/1449169143782158336","1449169143782158336")</f>
        <v>1449169143782158336</v>
      </c>
      <c r="F16615" s="7" t="s">
        <v>17</v>
      </c>
      <c r="G16615" s="7">
        <v>4381751</v>
      </c>
      <c r="H16615" s="7">
        <v>2550</v>
      </c>
      <c r="I16615" s="7">
        <v>834</v>
      </c>
      <c r="J16615" s="7">
        <v>0</v>
      </c>
      <c r="K16615" s="7" t="s">
        <v>18</v>
      </c>
      <c r="L16615" s="8">
        <v>39987.315405092595</v>
      </c>
      <c r="M16615" s="9" t="s">
        <v>19</v>
      </c>
      <c r="N16615" s="9" t="s">
        <v>20</v>
      </c>
      <c r="O16615" s="6" t="str">
        <f>HYPERLINK("https://pbs.twimg.com/profile_images/962471262747529216/Uo8lOkRJ_normal.jpg","View")</f>
        <v>View</v>
      </c>
      <c r="P16615" s="7"/>
    </row>
    <row r="16616" spans="1:16">
      <c r="A16616" s="3">
        <v>44485.271261574075</v>
      </c>
      <c r="B16616" s="4" t="str">
        <f>HYPERLINK("https://twitter.com/petrogustavo","@petrogustavo")</f>
        <v>@petrogustavo</v>
      </c>
      <c r="C16616" s="5" t="s">
        <v>16</v>
      </c>
      <c r="D16616" s="5" t="s">
        <v>15990</v>
      </c>
      <c r="E16616" s="6" t="str">
        <f>HYPERLINK("https://twitter.com/petrogustavo/status/1449178432198283265","1449178432198283265")</f>
        <v>1449178432198283265</v>
      </c>
      <c r="F16616" s="7" t="s">
        <v>17</v>
      </c>
      <c r="G16616" s="7">
        <v>4381751</v>
      </c>
      <c r="H16616" s="7">
        <v>2550</v>
      </c>
      <c r="I16616" s="7">
        <v>2179</v>
      </c>
      <c r="J16616" s="7">
        <v>4522</v>
      </c>
      <c r="K16616" s="7" t="s">
        <v>18</v>
      </c>
      <c r="L16616" s="8">
        <v>39987.315405092595</v>
      </c>
      <c r="M16616" s="9" t="s">
        <v>19</v>
      </c>
      <c r="N16616" s="9" t="s">
        <v>20</v>
      </c>
      <c r="O16616" s="6" t="str">
        <f>HYPERLINK("https://pbs.twimg.com/profile_images/962471262747529216/Uo8lOkRJ_normal.jpg","View")</f>
        <v>View</v>
      </c>
      <c r="P16616" s="7"/>
    </row>
    <row r="16617" spans="1:16">
      <c r="A16617" s="3">
        <v>44485.271261574075</v>
      </c>
      <c r="B16617" s="4" t="str">
        <f>HYPERLINK("https://twitter.com/petrogustavo","@petrogustavo")</f>
        <v>@petrogustavo</v>
      </c>
      <c r="C16617" s="5" t="s">
        <v>16</v>
      </c>
      <c r="D16617" s="5" t="s">
        <v>15991</v>
      </c>
      <c r="E16617" s="6" t="str">
        <f>HYPERLINK("https://twitter.com/petrogustavo/status/1449178433783750657","1449178433783750657")</f>
        <v>1449178433783750657</v>
      </c>
      <c r="F16617" s="7" t="s">
        <v>17</v>
      </c>
      <c r="G16617" s="7">
        <v>4381751</v>
      </c>
      <c r="H16617" s="7">
        <v>2550</v>
      </c>
      <c r="I16617" s="7">
        <v>541</v>
      </c>
      <c r="J16617" s="7">
        <v>1198</v>
      </c>
      <c r="K16617" s="7" t="s">
        <v>18</v>
      </c>
      <c r="L16617" s="8">
        <v>39987.315405092595</v>
      </c>
      <c r="M16617" s="9" t="s">
        <v>19</v>
      </c>
      <c r="N16617" s="9" t="s">
        <v>20</v>
      </c>
      <c r="O16617" s="6" t="str">
        <f>HYPERLINK("https://pbs.twimg.com/profile_images/962471262747529216/Uo8lOkRJ_normal.jpg","View")</f>
        <v>View</v>
      </c>
      <c r="P16617" s="7"/>
    </row>
    <row r="16618" spans="1:16">
      <c r="A16618" s="3">
        <v>44485.271261574075</v>
      </c>
      <c r="B16618" s="4" t="str">
        <f>HYPERLINK("https://twitter.com/petrogustavo","@petrogustavo")</f>
        <v>@petrogustavo</v>
      </c>
      <c r="C16618" s="5" t="s">
        <v>16</v>
      </c>
      <c r="D16618" s="5" t="s">
        <v>15992</v>
      </c>
      <c r="E16618" s="6" t="str">
        <f>HYPERLINK("https://twitter.com/petrogustavo/status/1449178434740051973","1449178434740051973")</f>
        <v>1449178434740051973</v>
      </c>
      <c r="F16618" s="7" t="s">
        <v>17</v>
      </c>
      <c r="G16618" s="7">
        <v>4381751</v>
      </c>
      <c r="H16618" s="7">
        <v>2550</v>
      </c>
      <c r="I16618" s="7">
        <v>428</v>
      </c>
      <c r="J16618" s="7">
        <v>997</v>
      </c>
      <c r="K16618" s="7" t="s">
        <v>18</v>
      </c>
      <c r="L16618" s="8">
        <v>39987.315405092595</v>
      </c>
      <c r="M16618" s="9" t="s">
        <v>19</v>
      </c>
      <c r="N16618" s="9" t="s">
        <v>20</v>
      </c>
      <c r="O16618" s="6" t="str">
        <f>HYPERLINK("https://pbs.twimg.com/profile_images/962471262747529216/Uo8lOkRJ_normal.jpg","View")</f>
        <v>View</v>
      </c>
      <c r="P16618" s="7"/>
    </row>
    <row r="16619" spans="1:16">
      <c r="A16619" s="3">
        <v>44485.271273148144</v>
      </c>
      <c r="B16619" s="4" t="str">
        <f>HYPERLINK("https://twitter.com/petrogustavo","@petrogustavo")</f>
        <v>@petrogustavo</v>
      </c>
      <c r="C16619" s="5" t="s">
        <v>16</v>
      </c>
      <c r="D16619" s="5" t="s">
        <v>15993</v>
      </c>
      <c r="E16619" s="6" t="str">
        <f>HYPERLINK("https://twitter.com/petrogustavo/status/1449178435725795331","1449178435725795331")</f>
        <v>1449178435725795331</v>
      </c>
      <c r="F16619" s="7" t="s">
        <v>17</v>
      </c>
      <c r="G16619" s="7">
        <v>4381751</v>
      </c>
      <c r="H16619" s="7">
        <v>2550</v>
      </c>
      <c r="I16619" s="7">
        <v>326</v>
      </c>
      <c r="J16619" s="7">
        <v>797</v>
      </c>
      <c r="K16619" s="7" t="s">
        <v>18</v>
      </c>
      <c r="L16619" s="8">
        <v>39987.315405092595</v>
      </c>
      <c r="M16619" s="9" t="s">
        <v>19</v>
      </c>
      <c r="N16619" s="9" t="s">
        <v>20</v>
      </c>
      <c r="O16619" s="6" t="str">
        <f>HYPERLINK("https://pbs.twimg.com/profile_images/962471262747529216/Uo8lOkRJ_normal.jpg","View")</f>
        <v>View</v>
      </c>
      <c r="P16619" s="7"/>
    </row>
    <row r="16620" spans="1:16">
      <c r="A16620" s="3">
        <v>44485.271273148144</v>
      </c>
      <c r="B16620" s="4" t="str">
        <f>HYPERLINK("https://twitter.com/petrogustavo","@petrogustavo")</f>
        <v>@petrogustavo</v>
      </c>
      <c r="C16620" s="5" t="s">
        <v>16</v>
      </c>
      <c r="D16620" s="5" t="s">
        <v>15994</v>
      </c>
      <c r="E16620" s="6" t="str">
        <f>HYPERLINK("https://twitter.com/petrogustavo/status/1449178436849766401","1449178436849766401")</f>
        <v>1449178436849766401</v>
      </c>
      <c r="F16620" s="7" t="s">
        <v>17</v>
      </c>
      <c r="G16620" s="7">
        <v>4381751</v>
      </c>
      <c r="H16620" s="7">
        <v>2550</v>
      </c>
      <c r="I16620" s="7">
        <v>306</v>
      </c>
      <c r="J16620" s="7">
        <v>764</v>
      </c>
      <c r="K16620" s="7" t="s">
        <v>18</v>
      </c>
      <c r="L16620" s="8">
        <v>39987.315405092595</v>
      </c>
      <c r="M16620" s="9" t="s">
        <v>19</v>
      </c>
      <c r="N16620" s="9" t="s">
        <v>20</v>
      </c>
      <c r="O16620" s="6" t="str">
        <f>HYPERLINK("https://pbs.twimg.com/profile_images/962471262747529216/Uo8lOkRJ_normal.jpg","View")</f>
        <v>View</v>
      </c>
      <c r="P16620" s="7"/>
    </row>
    <row r="16621" spans="1:16">
      <c r="A16621" s="3">
        <v>44485.271273148144</v>
      </c>
      <c r="B16621" s="4" t="str">
        <f>HYPERLINK("https://twitter.com/petrogustavo","@petrogustavo")</f>
        <v>@petrogustavo</v>
      </c>
      <c r="C16621" s="5" t="s">
        <v>16</v>
      </c>
      <c r="D16621" s="5" t="s">
        <v>15995</v>
      </c>
      <c r="E16621" s="6" t="str">
        <f>HYPERLINK("https://twitter.com/petrogustavo/status/1449178437659336705","1449178437659336705")</f>
        <v>1449178437659336705</v>
      </c>
      <c r="F16621" s="7" t="s">
        <v>17</v>
      </c>
      <c r="G16621" s="7">
        <v>4381751</v>
      </c>
      <c r="H16621" s="7">
        <v>2550</v>
      </c>
      <c r="I16621" s="7">
        <v>321</v>
      </c>
      <c r="J16621" s="7">
        <v>835</v>
      </c>
      <c r="K16621" s="7" t="s">
        <v>18</v>
      </c>
      <c r="L16621" s="8">
        <v>39987.315405092595</v>
      </c>
      <c r="M16621" s="9" t="s">
        <v>19</v>
      </c>
      <c r="N16621" s="9" t="s">
        <v>20</v>
      </c>
      <c r="O16621" s="6" t="str">
        <f>HYPERLINK("https://pbs.twimg.com/profile_images/962471262747529216/Uo8lOkRJ_normal.jpg","View")</f>
        <v>View</v>
      </c>
      <c r="P16621" s="7"/>
    </row>
    <row r="16622" spans="1:16">
      <c r="A16622" s="3">
        <v>44485.271273148144</v>
      </c>
      <c r="B16622" s="4" t="str">
        <f>HYPERLINK("https://twitter.com/petrogustavo","@petrogustavo")</f>
        <v>@petrogustavo</v>
      </c>
      <c r="C16622" s="5" t="s">
        <v>16</v>
      </c>
      <c r="D16622" s="5" t="s">
        <v>15996</v>
      </c>
      <c r="E16622" s="6" t="str">
        <f>HYPERLINK("https://twitter.com/petrogustavo/status/1449178438535946245","1449178438535946245")</f>
        <v>1449178438535946245</v>
      </c>
      <c r="F16622" s="7" t="s">
        <v>17</v>
      </c>
      <c r="G16622" s="7">
        <v>4381751</v>
      </c>
      <c r="H16622" s="7">
        <v>2550</v>
      </c>
      <c r="I16622" s="7">
        <v>620</v>
      </c>
      <c r="J16622" s="7">
        <v>1740</v>
      </c>
      <c r="K16622" s="7" t="s">
        <v>18</v>
      </c>
      <c r="L16622" s="8">
        <v>39987.315405092595</v>
      </c>
      <c r="M16622" s="9" t="s">
        <v>19</v>
      </c>
      <c r="N16622" s="9" t="s">
        <v>20</v>
      </c>
      <c r="O16622" s="6" t="str">
        <f>HYPERLINK("https://pbs.twimg.com/profile_images/962471262747529216/Uo8lOkRJ_normal.jpg","View")</f>
        <v>View</v>
      </c>
      <c r="P16622" s="7"/>
    </row>
    <row r="16623" spans="1:16">
      <c r="A16623" s="3">
        <v>44485.271284722221</v>
      </c>
      <c r="B16623" s="4" t="str">
        <f>HYPERLINK("https://twitter.com/petrogustavo","@petrogustavo")</f>
        <v>@petrogustavo</v>
      </c>
      <c r="C16623" s="5" t="s">
        <v>16</v>
      </c>
      <c r="D16623" s="5" t="s">
        <v>15997</v>
      </c>
      <c r="E16623" s="6" t="str">
        <f>HYPERLINK("https://twitter.com/petrogustavo/status/1449178439475503107","1449178439475503107")</f>
        <v>1449178439475503107</v>
      </c>
      <c r="F16623" s="7" t="s">
        <v>17</v>
      </c>
      <c r="G16623" s="7">
        <v>4381751</v>
      </c>
      <c r="H16623" s="7">
        <v>2550</v>
      </c>
      <c r="I16623" s="7">
        <v>823</v>
      </c>
      <c r="J16623" s="7">
        <v>2304</v>
      </c>
      <c r="K16623" s="7" t="s">
        <v>18</v>
      </c>
      <c r="L16623" s="8">
        <v>39987.315405092595</v>
      </c>
      <c r="M16623" s="9" t="s">
        <v>19</v>
      </c>
      <c r="N16623" s="9" t="s">
        <v>20</v>
      </c>
      <c r="O16623" s="6" t="str">
        <f>HYPERLINK("https://pbs.twimg.com/profile_images/962471262747529216/Uo8lOkRJ_normal.jpg","View")</f>
        <v>View</v>
      </c>
      <c r="P16623" s="7"/>
    </row>
    <row r="16624" spans="1:16">
      <c r="A16624" s="3">
        <v>44485.284872685181</v>
      </c>
      <c r="B16624" s="4" t="str">
        <f>HYPERLINK("https://twitter.com/petrogustavo","@petrogustavo")</f>
        <v>@petrogustavo</v>
      </c>
      <c r="C16624" s="5" t="s">
        <v>16</v>
      </c>
      <c r="D16624" s="5" t="s">
        <v>15998</v>
      </c>
      <c r="E16624" s="6" t="str">
        <f>HYPERLINK("https://twitter.com/petrogustavo/status/1449183366453006343","1449183366453006343")</f>
        <v>1449183366453006343</v>
      </c>
      <c r="F16624" s="7" t="s">
        <v>17</v>
      </c>
      <c r="G16624" s="7">
        <v>4381751</v>
      </c>
      <c r="H16624" s="7">
        <v>2550</v>
      </c>
      <c r="I16624" s="7">
        <v>1321</v>
      </c>
      <c r="J16624" s="7">
        <v>4841</v>
      </c>
      <c r="K16624" s="7" t="s">
        <v>18</v>
      </c>
      <c r="L16624" s="8">
        <v>39987.315405092595</v>
      </c>
      <c r="M16624" s="9" t="s">
        <v>19</v>
      </c>
      <c r="N16624" s="9" t="s">
        <v>20</v>
      </c>
      <c r="O16624" s="6" t="str">
        <f>HYPERLINK("https://pbs.twimg.com/profile_images/962471262747529216/Uo8lOkRJ_normal.jpg","View")</f>
        <v>View</v>
      </c>
      <c r="P16624" s="7"/>
    </row>
    <row r="16625" spans="1:16">
      <c r="A16625" s="3">
        <v>44485.284884259258</v>
      </c>
      <c r="B16625" s="4" t="str">
        <f>HYPERLINK("https://twitter.com/petrogustavo","@petrogustavo")</f>
        <v>@petrogustavo</v>
      </c>
      <c r="C16625" s="5" t="s">
        <v>16</v>
      </c>
      <c r="D16625" s="5" t="s">
        <v>15999</v>
      </c>
      <c r="E16625" s="6" t="str">
        <f>HYPERLINK("https://twitter.com/petrogustavo/status/1449183367983992835","1449183367983992835")</f>
        <v>1449183367983992835</v>
      </c>
      <c r="F16625" s="7" t="s">
        <v>17</v>
      </c>
      <c r="G16625" s="7">
        <v>4381751</v>
      </c>
      <c r="H16625" s="7">
        <v>2550</v>
      </c>
      <c r="I16625" s="7">
        <v>738</v>
      </c>
      <c r="J16625" s="7">
        <v>2957</v>
      </c>
      <c r="K16625" s="7" t="s">
        <v>18</v>
      </c>
      <c r="L16625" s="8">
        <v>39987.315405092595</v>
      </c>
      <c r="M16625" s="9" t="s">
        <v>19</v>
      </c>
      <c r="N16625" s="9" t="s">
        <v>20</v>
      </c>
      <c r="O16625" s="6" t="str">
        <f>HYPERLINK("https://pbs.twimg.com/profile_images/962471262747529216/Uo8lOkRJ_normal.jpg","View")</f>
        <v>View</v>
      </c>
      <c r="P16625" s="7"/>
    </row>
    <row r="16626" spans="1:16">
      <c r="A16626" s="3">
        <v>44485.28502314815</v>
      </c>
      <c r="B16626" s="4" t="str">
        <f>HYPERLINK("https://twitter.com/petrogustavo","@petrogustavo")</f>
        <v>@petrogustavo</v>
      </c>
      <c r="C16626" s="5" t="s">
        <v>16</v>
      </c>
      <c r="D16626" s="5" t="s">
        <v>16000</v>
      </c>
      <c r="E16626" s="6" t="str">
        <f>HYPERLINK("https://twitter.com/petrogustavo/status/1449183418567307270","1449183418567307270")</f>
        <v>1449183418567307270</v>
      </c>
      <c r="F16626" s="7" t="s">
        <v>17</v>
      </c>
      <c r="G16626" s="7">
        <v>4381751</v>
      </c>
      <c r="H16626" s="7">
        <v>2550</v>
      </c>
      <c r="I16626" s="7">
        <v>2179</v>
      </c>
      <c r="J16626" s="7">
        <v>0</v>
      </c>
      <c r="K16626" s="7" t="s">
        <v>18</v>
      </c>
      <c r="L16626" s="8">
        <v>39987.315405092595</v>
      </c>
      <c r="M16626" s="9" t="s">
        <v>19</v>
      </c>
      <c r="N16626" s="9" t="s">
        <v>20</v>
      </c>
      <c r="O16626" s="6" t="str">
        <f>HYPERLINK("https://pbs.twimg.com/profile_images/962471262747529216/Uo8lOkRJ_normal.jpg","View")</f>
        <v>View</v>
      </c>
      <c r="P16626" s="7"/>
    </row>
    <row r="16627" spans="1:16">
      <c r="A16627" s="3">
        <v>44485.337314814809</v>
      </c>
      <c r="B16627" s="4" t="str">
        <f>HYPERLINK("https://twitter.com/petrogustavo","@petrogustavo")</f>
        <v>@petrogustavo</v>
      </c>
      <c r="C16627" s="5" t="s">
        <v>16</v>
      </c>
      <c r="D16627" s="5" t="s">
        <v>16001</v>
      </c>
      <c r="E16627" s="6" t="str">
        <f>HYPERLINK("https://twitter.com/petrogustavo/status/1449202369904979972","1449202369904979972")</f>
        <v>1449202369904979972</v>
      </c>
      <c r="F16627" s="7" t="s">
        <v>17</v>
      </c>
      <c r="G16627" s="7">
        <v>4381751</v>
      </c>
      <c r="H16627" s="7">
        <v>2550</v>
      </c>
      <c r="I16627" s="7">
        <v>3424</v>
      </c>
      <c r="J16627" s="7">
        <v>10501</v>
      </c>
      <c r="K16627" s="7" t="s">
        <v>18</v>
      </c>
      <c r="L16627" s="8">
        <v>39987.315405092595</v>
      </c>
      <c r="M16627" s="9" t="s">
        <v>19</v>
      </c>
      <c r="N16627" s="9" t="s">
        <v>20</v>
      </c>
      <c r="O16627" s="6" t="str">
        <f>HYPERLINK("https://pbs.twimg.com/profile_images/962471262747529216/Uo8lOkRJ_normal.jpg","View")</f>
        <v>View</v>
      </c>
      <c r="P16627" s="7"/>
    </row>
    <row r="16628" spans="1:16">
      <c r="A16628" s="3">
        <v>44485.759930555556</v>
      </c>
      <c r="B16628" s="4" t="str">
        <f>HYPERLINK("https://twitter.com/petrogustavo","@petrogustavo")</f>
        <v>@petrogustavo</v>
      </c>
      <c r="C16628" s="5" t="s">
        <v>16</v>
      </c>
      <c r="D16628" s="5" t="s">
        <v>16002</v>
      </c>
      <c r="E16628" s="6" t="str">
        <f>HYPERLINK("https://twitter.com/petrogustavo/status/1449355521207808001","1449355521207808001")</f>
        <v>1449355521207808001</v>
      </c>
      <c r="F16628" s="7" t="s">
        <v>17</v>
      </c>
      <c r="G16628" s="7">
        <v>4381751</v>
      </c>
      <c r="H16628" s="7">
        <v>2550</v>
      </c>
      <c r="I16628" s="7">
        <v>716</v>
      </c>
      <c r="J16628" s="7">
        <v>2020</v>
      </c>
      <c r="K16628" s="7" t="s">
        <v>18</v>
      </c>
      <c r="L16628" s="8">
        <v>39987.315405092595</v>
      </c>
      <c r="M16628" s="9" t="s">
        <v>19</v>
      </c>
      <c r="N16628" s="9" t="s">
        <v>20</v>
      </c>
      <c r="O16628" s="6" t="str">
        <f>HYPERLINK("https://pbs.twimg.com/profile_images/962471262747529216/Uo8lOkRJ_normal.jpg","View")</f>
        <v>View</v>
      </c>
      <c r="P16628" s="7"/>
    </row>
    <row r="16629" spans="1:16">
      <c r="A16629" s="3">
        <v>44485.759930555556</v>
      </c>
      <c r="B16629" s="4" t="str">
        <f>HYPERLINK("https://twitter.com/petrogustavo","@petrogustavo")</f>
        <v>@petrogustavo</v>
      </c>
      <c r="C16629" s="5" t="s">
        <v>16</v>
      </c>
      <c r="D16629" s="5" t="s">
        <v>16003</v>
      </c>
      <c r="E16629" s="6" t="str">
        <f>HYPERLINK("https://twitter.com/petrogustavo/status/1449355522445037572","1449355522445037572")</f>
        <v>1449355522445037572</v>
      </c>
      <c r="F16629" s="7" t="s">
        <v>17</v>
      </c>
      <c r="G16629" s="7">
        <v>4381751</v>
      </c>
      <c r="H16629" s="7">
        <v>2550</v>
      </c>
      <c r="I16629" s="7">
        <v>499</v>
      </c>
      <c r="J16629" s="7">
        <v>1367</v>
      </c>
      <c r="K16629" s="7" t="s">
        <v>18</v>
      </c>
      <c r="L16629" s="8">
        <v>39987.315405092595</v>
      </c>
      <c r="M16629" s="9" t="s">
        <v>19</v>
      </c>
      <c r="N16629" s="9" t="s">
        <v>20</v>
      </c>
      <c r="O16629" s="6" t="str">
        <f>HYPERLINK("https://pbs.twimg.com/profile_images/962471262747529216/Uo8lOkRJ_normal.jpg","View")</f>
        <v>View</v>
      </c>
      <c r="P16629" s="7"/>
    </row>
    <row r="16630" spans="1:16">
      <c r="A16630" s="3">
        <v>44485.778379629628</v>
      </c>
      <c r="B16630" s="4" t="str">
        <f>HYPERLINK("https://twitter.com/petrogustavo","@petrogustavo")</f>
        <v>@petrogustavo</v>
      </c>
      <c r="C16630" s="5" t="s">
        <v>16</v>
      </c>
      <c r="D16630" s="5" t="s">
        <v>16004</v>
      </c>
      <c r="E16630" s="6" t="str">
        <f>HYPERLINK("https://twitter.com/petrogustavo/status/1449362204667613188","1449362204667613188")</f>
        <v>1449362204667613188</v>
      </c>
      <c r="F16630" s="7" t="s">
        <v>17</v>
      </c>
      <c r="G16630" s="7">
        <v>4381751</v>
      </c>
      <c r="H16630" s="7">
        <v>2550</v>
      </c>
      <c r="I16630" s="7">
        <v>1516</v>
      </c>
      <c r="J16630" s="7">
        <v>5563</v>
      </c>
      <c r="K16630" s="7" t="s">
        <v>18</v>
      </c>
      <c r="L16630" s="8">
        <v>39987.315405092595</v>
      </c>
      <c r="M16630" s="9" t="s">
        <v>19</v>
      </c>
      <c r="N16630" s="9" t="s">
        <v>20</v>
      </c>
      <c r="O16630" s="6" t="str">
        <f>HYPERLINK("https://pbs.twimg.com/profile_images/962471262747529216/Uo8lOkRJ_normal.jpg","View")</f>
        <v>View</v>
      </c>
      <c r="P16630" s="7"/>
    </row>
    <row r="16631" spans="1:16">
      <c r="A16631" s="3">
        <v>44485.938275462962</v>
      </c>
      <c r="B16631" s="4" t="str">
        <f>HYPERLINK("https://twitter.com/petrogustavo","@petrogustavo")</f>
        <v>@petrogustavo</v>
      </c>
      <c r="C16631" s="5" t="s">
        <v>16</v>
      </c>
      <c r="D16631" s="5" t="s">
        <v>16005</v>
      </c>
      <c r="E16631" s="6" t="str">
        <f>HYPERLINK("https://twitter.com/petrogustavo/status/1449420149623119873","1449420149623119873")</f>
        <v>1449420149623119873</v>
      </c>
      <c r="F16631" s="7" t="s">
        <v>17</v>
      </c>
      <c r="G16631" s="7">
        <v>4381751</v>
      </c>
      <c r="H16631" s="7">
        <v>2550</v>
      </c>
      <c r="I16631" s="7">
        <v>2350</v>
      </c>
      <c r="J16631" s="7">
        <v>11621</v>
      </c>
      <c r="K16631" s="7" t="s">
        <v>18</v>
      </c>
      <c r="L16631" s="8">
        <v>39987.315405092595</v>
      </c>
      <c r="M16631" s="9" t="s">
        <v>19</v>
      </c>
      <c r="N16631" s="9" t="s">
        <v>20</v>
      </c>
      <c r="O16631" s="6" t="str">
        <f>HYPERLINK("https://pbs.twimg.com/profile_images/962471262747529216/Uo8lOkRJ_normal.jpg","View")</f>
        <v>View</v>
      </c>
      <c r="P16631" s="7"/>
    </row>
    <row r="16632" spans="1:16">
      <c r="A16632" s="3">
        <v>44486.075914351852</v>
      </c>
      <c r="B16632" s="4" t="str">
        <f>HYPERLINK("https://twitter.com/petrogustavo","@petrogustavo")</f>
        <v>@petrogustavo</v>
      </c>
      <c r="C16632" s="5" t="s">
        <v>16</v>
      </c>
      <c r="D16632" s="5" t="s">
        <v>16006</v>
      </c>
      <c r="E16632" s="6" t="str">
        <f>HYPERLINK("https://twitter.com/petrogustavo/status/1449470027976122373","1449470027976122373")</f>
        <v>1449470027976122373</v>
      </c>
      <c r="F16632" s="7" t="s">
        <v>17</v>
      </c>
      <c r="G16632" s="7">
        <v>4381751</v>
      </c>
      <c r="H16632" s="7">
        <v>2550</v>
      </c>
      <c r="I16632" s="7">
        <v>2350</v>
      </c>
      <c r="J16632" s="7">
        <v>0</v>
      </c>
      <c r="K16632" s="7" t="s">
        <v>18</v>
      </c>
      <c r="L16632" s="8">
        <v>39987.315405092595</v>
      </c>
      <c r="M16632" s="9" t="s">
        <v>19</v>
      </c>
      <c r="N16632" s="9" t="s">
        <v>20</v>
      </c>
      <c r="O16632" s="6" t="str">
        <f>HYPERLINK("https://pbs.twimg.com/profile_images/962471262747529216/Uo8lOkRJ_normal.jpg","View")</f>
        <v>View</v>
      </c>
      <c r="P16632" s="7"/>
    </row>
    <row r="16633" spans="1:16">
      <c r="A16633" s="3">
        <v>44486.775706018518</v>
      </c>
      <c r="B16633" s="4" t="str">
        <f>HYPERLINK("https://twitter.com/petrogustavo","@petrogustavo")</f>
        <v>@petrogustavo</v>
      </c>
      <c r="C16633" s="5" t="s">
        <v>16</v>
      </c>
      <c r="D16633" s="5" t="s">
        <v>16007</v>
      </c>
      <c r="E16633" s="6" t="str">
        <f>HYPERLINK("https://twitter.com/petrogustavo/status/1449723626916388869","1449723626916388869")</f>
        <v>1449723626916388869</v>
      </c>
      <c r="F16633" s="7" t="s">
        <v>17</v>
      </c>
      <c r="G16633" s="7">
        <v>4381751</v>
      </c>
      <c r="H16633" s="7">
        <v>2550</v>
      </c>
      <c r="I16633" s="7">
        <v>705</v>
      </c>
      <c r="J16633" s="7">
        <v>1832</v>
      </c>
      <c r="K16633" s="7" t="s">
        <v>18</v>
      </c>
      <c r="L16633" s="8">
        <v>39987.315405092595</v>
      </c>
      <c r="M16633" s="9" t="s">
        <v>19</v>
      </c>
      <c r="N16633" s="9" t="s">
        <v>20</v>
      </c>
      <c r="O16633" s="6" t="str">
        <f>HYPERLINK("https://pbs.twimg.com/profile_images/962471262747529216/Uo8lOkRJ_normal.jpg","View")</f>
        <v>View</v>
      </c>
      <c r="P16633" s="7"/>
    </row>
    <row r="16634" spans="1:16">
      <c r="A16634" s="3">
        <v>44486.799270833333</v>
      </c>
      <c r="B16634" s="4" t="str">
        <f>HYPERLINK("https://twitter.com/petrogustavo","@petrogustavo")</f>
        <v>@petrogustavo</v>
      </c>
      <c r="C16634" s="5" t="s">
        <v>16</v>
      </c>
      <c r="D16634" s="5" t="s">
        <v>16008</v>
      </c>
      <c r="E16634" s="6" t="str">
        <f>HYPERLINK("https://twitter.com/petrogustavo/status/1449732164044693505","1449732164044693505")</f>
        <v>1449732164044693505</v>
      </c>
      <c r="F16634" s="7" t="s">
        <v>17</v>
      </c>
      <c r="G16634" s="7">
        <v>4381751</v>
      </c>
      <c r="H16634" s="7">
        <v>2550</v>
      </c>
      <c r="I16634" s="7">
        <v>1805</v>
      </c>
      <c r="J16634" s="7">
        <v>5690</v>
      </c>
      <c r="K16634" s="7" t="s">
        <v>18</v>
      </c>
      <c r="L16634" s="8">
        <v>39987.315405092595</v>
      </c>
      <c r="M16634" s="9" t="s">
        <v>19</v>
      </c>
      <c r="N16634" s="9" t="s">
        <v>20</v>
      </c>
      <c r="O16634" s="6" t="str">
        <f>HYPERLINK("https://pbs.twimg.com/profile_images/962471262747529216/Uo8lOkRJ_normal.jpg","View")</f>
        <v>View</v>
      </c>
      <c r="P16634" s="7"/>
    </row>
    <row r="16635" spans="1:16">
      <c r="A16635" s="3">
        <v>44486.804606481484</v>
      </c>
      <c r="B16635" s="4" t="str">
        <f>HYPERLINK("https://twitter.com/petrogustavo","@petrogustavo")</f>
        <v>@petrogustavo</v>
      </c>
      <c r="C16635" s="5" t="s">
        <v>16</v>
      </c>
      <c r="D16635" s="5" t="s">
        <v>16009</v>
      </c>
      <c r="E16635" s="6" t="str">
        <f>HYPERLINK("https://twitter.com/petrogustavo/status/1449734096591142914","1449734096591142914")</f>
        <v>1449734096591142914</v>
      </c>
      <c r="F16635" s="7" t="s">
        <v>17</v>
      </c>
      <c r="G16635" s="7">
        <v>4381751</v>
      </c>
      <c r="H16635" s="7">
        <v>2550</v>
      </c>
      <c r="I16635" s="7">
        <v>950</v>
      </c>
      <c r="J16635" s="7">
        <v>3132</v>
      </c>
      <c r="K16635" s="7" t="s">
        <v>18</v>
      </c>
      <c r="L16635" s="8">
        <v>39987.315405092595</v>
      </c>
      <c r="M16635" s="9" t="s">
        <v>19</v>
      </c>
      <c r="N16635" s="9" t="s">
        <v>20</v>
      </c>
      <c r="O16635" s="6" t="str">
        <f>HYPERLINK("https://pbs.twimg.com/profile_images/962471262747529216/Uo8lOkRJ_normal.jpg","View")</f>
        <v>View</v>
      </c>
      <c r="P16635" s="7"/>
    </row>
    <row r="16636" spans="1:16">
      <c r="A16636" s="3">
        <v>44486.928182870368</v>
      </c>
      <c r="B16636" s="4" t="str">
        <f>HYPERLINK("https://twitter.com/petrogustavo","@petrogustavo")</f>
        <v>@petrogustavo</v>
      </c>
      <c r="C16636" s="5" t="s">
        <v>16</v>
      </c>
      <c r="D16636" s="5" t="s">
        <v>16010</v>
      </c>
      <c r="E16636" s="6" t="str">
        <f>HYPERLINK("https://twitter.com/petrogustavo/status/1449778879196024832","1449778879196024832")</f>
        <v>1449778879196024832</v>
      </c>
      <c r="F16636" s="7" t="s">
        <v>17</v>
      </c>
      <c r="G16636" s="7">
        <v>4381751</v>
      </c>
      <c r="H16636" s="7">
        <v>2550</v>
      </c>
      <c r="I16636" s="7">
        <v>1072</v>
      </c>
      <c r="J16636" s="7">
        <v>3490</v>
      </c>
      <c r="K16636" s="7" t="s">
        <v>18</v>
      </c>
      <c r="L16636" s="8">
        <v>39987.315405092595</v>
      </c>
      <c r="M16636" s="9" t="s">
        <v>19</v>
      </c>
      <c r="N16636" s="9" t="s">
        <v>20</v>
      </c>
      <c r="O16636" s="6" t="str">
        <f>HYPERLINK("https://pbs.twimg.com/profile_images/962471262747529216/Uo8lOkRJ_normal.jpg","View")</f>
        <v>View</v>
      </c>
      <c r="P16636" s="7"/>
    </row>
    <row r="16637" spans="1:16">
      <c r="A16637" s="3">
        <v>44486.948287037041</v>
      </c>
      <c r="B16637" s="4" t="str">
        <f>HYPERLINK("https://twitter.com/petrogustavo","@petrogustavo")</f>
        <v>@petrogustavo</v>
      </c>
      <c r="C16637" s="5" t="s">
        <v>16</v>
      </c>
      <c r="D16637" s="5" t="s">
        <v>16011</v>
      </c>
      <c r="E16637" s="6" t="str">
        <f>HYPERLINK("https://twitter.com/petrogustavo/status/1449786164899155974","1449786164899155974")</f>
        <v>1449786164899155974</v>
      </c>
      <c r="F16637" s="7" t="s">
        <v>17</v>
      </c>
      <c r="G16637" s="7">
        <v>4381751</v>
      </c>
      <c r="H16637" s="7">
        <v>2550</v>
      </c>
      <c r="I16637" s="7">
        <v>817</v>
      </c>
      <c r="J16637" s="7">
        <v>2031</v>
      </c>
      <c r="K16637" s="7" t="s">
        <v>18</v>
      </c>
      <c r="L16637" s="8">
        <v>39987.315405092595</v>
      </c>
      <c r="M16637" s="9" t="s">
        <v>19</v>
      </c>
      <c r="N16637" s="9" t="s">
        <v>20</v>
      </c>
      <c r="O16637" s="6" t="str">
        <f>HYPERLINK("https://pbs.twimg.com/profile_images/962471262747529216/Uo8lOkRJ_normal.jpg","View")</f>
        <v>View</v>
      </c>
      <c r="P16637" s="7"/>
    </row>
    <row r="16638" spans="1:16">
      <c r="A16638" s="3">
        <v>44486.948287037041</v>
      </c>
      <c r="B16638" s="4" t="str">
        <f>HYPERLINK("https://twitter.com/petrogustavo","@petrogustavo")</f>
        <v>@petrogustavo</v>
      </c>
      <c r="C16638" s="5" t="s">
        <v>16</v>
      </c>
      <c r="D16638" s="5" t="s">
        <v>16012</v>
      </c>
      <c r="E16638" s="6" t="str">
        <f>HYPERLINK("https://twitter.com/petrogustavo/status/1449786166090387456","1449786166090387456")</f>
        <v>1449786166090387456</v>
      </c>
      <c r="F16638" s="7" t="s">
        <v>17</v>
      </c>
      <c r="G16638" s="7">
        <v>4381751</v>
      </c>
      <c r="H16638" s="7">
        <v>2550</v>
      </c>
      <c r="I16638" s="7">
        <v>269</v>
      </c>
      <c r="J16638" s="7">
        <v>754</v>
      </c>
      <c r="K16638" s="7" t="s">
        <v>18</v>
      </c>
      <c r="L16638" s="8">
        <v>39987.315405092595</v>
      </c>
      <c r="M16638" s="9" t="s">
        <v>19</v>
      </c>
      <c r="N16638" s="9" t="s">
        <v>20</v>
      </c>
      <c r="O16638" s="6" t="str">
        <f>HYPERLINK("https://pbs.twimg.com/profile_images/962471262747529216/Uo8lOkRJ_normal.jpg","View")</f>
        <v>View</v>
      </c>
      <c r="P16638" s="7"/>
    </row>
    <row r="16639" spans="1:16">
      <c r="A16639" s="3">
        <v>44486.948287037041</v>
      </c>
      <c r="B16639" s="4" t="str">
        <f>HYPERLINK("https://twitter.com/petrogustavo","@petrogustavo")</f>
        <v>@petrogustavo</v>
      </c>
      <c r="C16639" s="5" t="s">
        <v>16</v>
      </c>
      <c r="D16639" s="5" t="s">
        <v>16013</v>
      </c>
      <c r="E16639" s="6" t="str">
        <f>HYPERLINK("https://twitter.com/petrogustavo/status/1449786167948423173","1449786167948423173")</f>
        <v>1449786167948423173</v>
      </c>
      <c r="F16639" s="7" t="s">
        <v>17</v>
      </c>
      <c r="G16639" s="7">
        <v>4381751</v>
      </c>
      <c r="H16639" s="7">
        <v>2550</v>
      </c>
      <c r="I16639" s="7">
        <v>273</v>
      </c>
      <c r="J16639" s="7">
        <v>787</v>
      </c>
      <c r="K16639" s="7" t="s">
        <v>18</v>
      </c>
      <c r="L16639" s="8">
        <v>39987.315405092595</v>
      </c>
      <c r="M16639" s="9" t="s">
        <v>19</v>
      </c>
      <c r="N16639" s="9" t="s">
        <v>20</v>
      </c>
      <c r="O16639" s="6" t="str">
        <f>HYPERLINK("https://pbs.twimg.com/profile_images/962471262747529216/Uo8lOkRJ_normal.jpg","View")</f>
        <v>View</v>
      </c>
      <c r="P16639" s="7"/>
    </row>
    <row r="16640" spans="1:16">
      <c r="A16640" s="3">
        <v>44486.972962962958</v>
      </c>
      <c r="B16640" s="4" t="str">
        <f>HYPERLINK("https://twitter.com/petrogustavo","@petrogustavo")</f>
        <v>@petrogustavo</v>
      </c>
      <c r="C16640" s="5" t="s">
        <v>16</v>
      </c>
      <c r="D16640" s="5" t="s">
        <v>16014</v>
      </c>
      <c r="E16640" s="6" t="str">
        <f>HYPERLINK("https://twitter.com/petrogustavo/status/1449795109848027139","1449795109848027139")</f>
        <v>1449795109848027139</v>
      </c>
      <c r="F16640" s="7" t="s">
        <v>17</v>
      </c>
      <c r="G16640" s="7">
        <v>4381751</v>
      </c>
      <c r="H16640" s="7">
        <v>2550</v>
      </c>
      <c r="I16640" s="7">
        <v>2098</v>
      </c>
      <c r="J16640" s="7">
        <v>13687</v>
      </c>
      <c r="K16640" s="7" t="s">
        <v>18</v>
      </c>
      <c r="L16640" s="8">
        <v>39987.315405092595</v>
      </c>
      <c r="M16640" s="9" t="s">
        <v>19</v>
      </c>
      <c r="N16640" s="9" t="s">
        <v>20</v>
      </c>
      <c r="O16640" s="6" t="str">
        <f>HYPERLINK("https://pbs.twimg.com/profile_images/962471262747529216/Uo8lOkRJ_normal.jpg","View")</f>
        <v>View</v>
      </c>
      <c r="P16640" s="7"/>
    </row>
    <row r="16641" spans="1:16">
      <c r="A16641" s="3">
        <v>44487.120624999996</v>
      </c>
      <c r="B16641" s="4" t="str">
        <f>HYPERLINK("https://twitter.com/petrogustavo","@petrogustavo")</f>
        <v>@petrogustavo</v>
      </c>
      <c r="C16641" s="5" t="s">
        <v>16</v>
      </c>
      <c r="D16641" s="5" t="s">
        <v>16015</v>
      </c>
      <c r="E16641" s="6" t="str">
        <f>HYPERLINK("https://twitter.com/petrogustavo/status/1449848620044402688","1449848620044402688")</f>
        <v>1449848620044402688</v>
      </c>
      <c r="F16641" s="7" t="s">
        <v>32</v>
      </c>
      <c r="G16641" s="7">
        <v>4381751</v>
      </c>
      <c r="H16641" s="7">
        <v>2550</v>
      </c>
      <c r="I16641" s="7">
        <v>947</v>
      </c>
      <c r="J16641" s="7">
        <v>2179</v>
      </c>
      <c r="K16641" s="7" t="s">
        <v>18</v>
      </c>
      <c r="L16641" s="8">
        <v>39987.315405092595</v>
      </c>
      <c r="M16641" s="9" t="s">
        <v>19</v>
      </c>
      <c r="N16641" s="9" t="s">
        <v>20</v>
      </c>
      <c r="O16641" s="6" t="str">
        <f>HYPERLINK("https://pbs.twimg.com/profile_images/962471262747529216/Uo8lOkRJ_normal.jpg","View")</f>
        <v>View</v>
      </c>
      <c r="P16641" s="7"/>
    </row>
    <row r="16642" spans="1:16">
      <c r="A16642" s="3">
        <v>44487.120636574073</v>
      </c>
      <c r="B16642" s="4" t="str">
        <f>HYPERLINK("https://twitter.com/petrogustavo","@petrogustavo")</f>
        <v>@petrogustavo</v>
      </c>
      <c r="C16642" s="5" t="s">
        <v>16</v>
      </c>
      <c r="D16642" s="5" t="s">
        <v>16016</v>
      </c>
      <c r="E16642" s="6" t="str">
        <f>HYPERLINK("https://twitter.com/petrogustavo/status/1449848622846197766","1449848622846197766")</f>
        <v>1449848622846197766</v>
      </c>
      <c r="F16642" s="7" t="s">
        <v>32</v>
      </c>
      <c r="G16642" s="7">
        <v>4381751</v>
      </c>
      <c r="H16642" s="7">
        <v>2550</v>
      </c>
      <c r="I16642" s="7">
        <v>808</v>
      </c>
      <c r="J16642" s="7">
        <v>1987</v>
      </c>
      <c r="K16642" s="7" t="s">
        <v>18</v>
      </c>
      <c r="L16642" s="8">
        <v>39987.315405092595</v>
      </c>
      <c r="M16642" s="9" t="s">
        <v>19</v>
      </c>
      <c r="N16642" s="9" t="s">
        <v>20</v>
      </c>
      <c r="O16642" s="6" t="str">
        <f>HYPERLINK("https://pbs.twimg.com/profile_images/962471262747529216/Uo8lOkRJ_normal.jpg","View")</f>
        <v>View</v>
      </c>
      <c r="P16642" s="7"/>
    </row>
    <row r="16643" spans="1:16">
      <c r="A16643" s="3">
        <v>44487.146550925929</v>
      </c>
      <c r="B16643" s="4" t="str">
        <f>HYPERLINK("https://twitter.com/petrogustavo","@petrogustavo")</f>
        <v>@petrogustavo</v>
      </c>
      <c r="C16643" s="5" t="s">
        <v>16</v>
      </c>
      <c r="D16643" s="5" t="s">
        <v>16017</v>
      </c>
      <c r="E16643" s="6" t="str">
        <f>HYPERLINK("https://twitter.com/petrogustavo/status/1449858013251125250","1449858013251125250")</f>
        <v>1449858013251125250</v>
      </c>
      <c r="F16643" s="7" t="s">
        <v>17</v>
      </c>
      <c r="G16643" s="7">
        <v>4381751</v>
      </c>
      <c r="H16643" s="7">
        <v>2550</v>
      </c>
      <c r="I16643" s="7">
        <v>1156</v>
      </c>
      <c r="J16643" s="7">
        <v>3182</v>
      </c>
      <c r="K16643" s="7" t="s">
        <v>18</v>
      </c>
      <c r="L16643" s="8">
        <v>39987.315405092595</v>
      </c>
      <c r="M16643" s="9" t="s">
        <v>19</v>
      </c>
      <c r="N16643" s="9" t="s">
        <v>20</v>
      </c>
      <c r="O16643" s="6" t="str">
        <f>HYPERLINK("https://pbs.twimg.com/profile_images/962471262747529216/Uo8lOkRJ_normal.jpg","View")</f>
        <v>View</v>
      </c>
      <c r="P16643" s="7"/>
    </row>
    <row r="16644" spans="1:16">
      <c r="A16644" s="3">
        <v>44487.146550925929</v>
      </c>
      <c r="B16644" s="4" t="str">
        <f>HYPERLINK("https://twitter.com/petrogustavo","@petrogustavo")</f>
        <v>@petrogustavo</v>
      </c>
      <c r="C16644" s="5" t="s">
        <v>16</v>
      </c>
      <c r="D16644" s="5" t="s">
        <v>16018</v>
      </c>
      <c r="E16644" s="6" t="str">
        <f>HYPERLINK("https://twitter.com/petrogustavo/status/1449858014777851908","1449858014777851908")</f>
        <v>1449858014777851908</v>
      </c>
      <c r="F16644" s="7" t="s">
        <v>17</v>
      </c>
      <c r="G16644" s="7">
        <v>4381751</v>
      </c>
      <c r="H16644" s="7">
        <v>2550</v>
      </c>
      <c r="I16644" s="7">
        <v>198</v>
      </c>
      <c r="J16644" s="7">
        <v>465</v>
      </c>
      <c r="K16644" s="7" t="s">
        <v>18</v>
      </c>
      <c r="L16644" s="8">
        <v>39987.315405092595</v>
      </c>
      <c r="M16644" s="9" t="s">
        <v>19</v>
      </c>
      <c r="N16644" s="9" t="s">
        <v>20</v>
      </c>
      <c r="O16644" s="6" t="str">
        <f>HYPERLINK("https://pbs.twimg.com/profile_images/962471262747529216/Uo8lOkRJ_normal.jpg","View")</f>
        <v>View</v>
      </c>
      <c r="P16644" s="7"/>
    </row>
    <row r="16645" spans="1:16">
      <c r="A16645" s="3">
        <v>44487.146550925929</v>
      </c>
      <c r="B16645" s="4" t="str">
        <f>HYPERLINK("https://twitter.com/petrogustavo","@petrogustavo")</f>
        <v>@petrogustavo</v>
      </c>
      <c r="C16645" s="5" t="s">
        <v>16</v>
      </c>
      <c r="D16645" s="5" t="s">
        <v>16019</v>
      </c>
      <c r="E16645" s="6" t="str">
        <f>HYPERLINK("https://twitter.com/petrogustavo/status/1449858015872569347","1449858015872569347")</f>
        <v>1449858015872569347</v>
      </c>
      <c r="F16645" s="7" t="s">
        <v>17</v>
      </c>
      <c r="G16645" s="7">
        <v>4381751</v>
      </c>
      <c r="H16645" s="7">
        <v>2550</v>
      </c>
      <c r="I16645" s="7">
        <v>177</v>
      </c>
      <c r="J16645" s="7">
        <v>418</v>
      </c>
      <c r="K16645" s="7" t="s">
        <v>18</v>
      </c>
      <c r="L16645" s="8">
        <v>39987.315405092595</v>
      </c>
      <c r="M16645" s="9" t="s">
        <v>19</v>
      </c>
      <c r="N16645" s="9" t="s">
        <v>20</v>
      </c>
      <c r="O16645" s="6" t="str">
        <f>HYPERLINK("https://pbs.twimg.com/profile_images/962471262747529216/Uo8lOkRJ_normal.jpg","View")</f>
        <v>View</v>
      </c>
      <c r="P16645" s="7"/>
    </row>
    <row r="16646" spans="1:16">
      <c r="A16646" s="3">
        <v>44487.146550925929</v>
      </c>
      <c r="B16646" s="4" t="str">
        <f>HYPERLINK("https://twitter.com/petrogustavo","@petrogustavo")</f>
        <v>@petrogustavo</v>
      </c>
      <c r="C16646" s="5" t="s">
        <v>16</v>
      </c>
      <c r="D16646" s="5" t="s">
        <v>16020</v>
      </c>
      <c r="E16646" s="6" t="str">
        <f>HYPERLINK("https://twitter.com/petrogustavo/status/1449858016904458243","1449858016904458243")</f>
        <v>1449858016904458243</v>
      </c>
      <c r="F16646" s="7" t="s">
        <v>17</v>
      </c>
      <c r="G16646" s="7">
        <v>4381751</v>
      </c>
      <c r="H16646" s="7">
        <v>2550</v>
      </c>
      <c r="I16646" s="7">
        <v>184</v>
      </c>
      <c r="J16646" s="7">
        <v>419</v>
      </c>
      <c r="K16646" s="7" t="s">
        <v>18</v>
      </c>
      <c r="L16646" s="8">
        <v>39987.315405092595</v>
      </c>
      <c r="M16646" s="9" t="s">
        <v>19</v>
      </c>
      <c r="N16646" s="9" t="s">
        <v>20</v>
      </c>
      <c r="O16646" s="6" t="str">
        <f>HYPERLINK("https://pbs.twimg.com/profile_images/962471262747529216/Uo8lOkRJ_normal.jpg","View")</f>
        <v>View</v>
      </c>
      <c r="P16646" s="7"/>
    </row>
    <row r="16647" spans="1:16">
      <c r="A16647" s="3">
        <v>44487.146562499998</v>
      </c>
      <c r="B16647" s="4" t="str">
        <f>HYPERLINK("https://twitter.com/petrogustavo","@petrogustavo")</f>
        <v>@petrogustavo</v>
      </c>
      <c r="C16647" s="5" t="s">
        <v>16</v>
      </c>
      <c r="D16647" s="5" t="s">
        <v>16021</v>
      </c>
      <c r="E16647" s="6" t="str">
        <f>HYPERLINK("https://twitter.com/petrogustavo/status/1449858018062000129","1449858018062000129")</f>
        <v>1449858018062000129</v>
      </c>
      <c r="F16647" s="7" t="s">
        <v>17</v>
      </c>
      <c r="G16647" s="7">
        <v>4381751</v>
      </c>
      <c r="H16647" s="7">
        <v>2550</v>
      </c>
      <c r="I16647" s="7">
        <v>176</v>
      </c>
      <c r="J16647" s="7">
        <v>413</v>
      </c>
      <c r="K16647" s="7" t="s">
        <v>18</v>
      </c>
      <c r="L16647" s="8">
        <v>39987.315405092595</v>
      </c>
      <c r="M16647" s="9" t="s">
        <v>19</v>
      </c>
      <c r="N16647" s="9" t="s">
        <v>20</v>
      </c>
      <c r="O16647" s="6" t="str">
        <f>HYPERLINK("https://pbs.twimg.com/profile_images/962471262747529216/Uo8lOkRJ_normal.jpg","View")</f>
        <v>View</v>
      </c>
      <c r="P16647" s="7"/>
    </row>
    <row r="16648" spans="1:16">
      <c r="A16648" s="3">
        <v>44487.146562499998</v>
      </c>
      <c r="B16648" s="4" t="str">
        <f>HYPERLINK("https://twitter.com/petrogustavo","@petrogustavo")</f>
        <v>@petrogustavo</v>
      </c>
      <c r="C16648" s="5" t="s">
        <v>16</v>
      </c>
      <c r="D16648" s="5" t="s">
        <v>16022</v>
      </c>
      <c r="E16648" s="6" t="str">
        <f>HYPERLINK("https://twitter.com/petrogustavo/status/1449858019123204112","1449858019123204112")</f>
        <v>1449858019123204112</v>
      </c>
      <c r="F16648" s="7" t="s">
        <v>17</v>
      </c>
      <c r="G16648" s="7">
        <v>4381751</v>
      </c>
      <c r="H16648" s="7">
        <v>2550</v>
      </c>
      <c r="I16648" s="7">
        <v>284</v>
      </c>
      <c r="J16648" s="7">
        <v>665</v>
      </c>
      <c r="K16648" s="7" t="s">
        <v>18</v>
      </c>
      <c r="L16648" s="8">
        <v>39987.315405092595</v>
      </c>
      <c r="M16648" s="9" t="s">
        <v>19</v>
      </c>
      <c r="N16648" s="9" t="s">
        <v>20</v>
      </c>
      <c r="O16648" s="6" t="str">
        <f>HYPERLINK("https://pbs.twimg.com/profile_images/962471262747529216/Uo8lOkRJ_normal.jpg","View")</f>
        <v>View</v>
      </c>
      <c r="P16648" s="7"/>
    </row>
    <row r="16649" spans="1:16">
      <c r="A16649" s="3">
        <v>44487.146562499998</v>
      </c>
      <c r="B16649" s="4" t="str">
        <f>HYPERLINK("https://twitter.com/petrogustavo","@petrogustavo")</f>
        <v>@petrogustavo</v>
      </c>
      <c r="C16649" s="5" t="s">
        <v>16</v>
      </c>
      <c r="D16649" s="5" t="s">
        <v>16023</v>
      </c>
      <c r="E16649" s="6" t="str">
        <f>HYPERLINK("https://twitter.com/petrogustavo/status/1449858020247318532","1449858020247318532")</f>
        <v>1449858020247318532</v>
      </c>
      <c r="F16649" s="7" t="s">
        <v>17</v>
      </c>
      <c r="G16649" s="7">
        <v>4381751</v>
      </c>
      <c r="H16649" s="7">
        <v>2550</v>
      </c>
      <c r="I16649" s="7">
        <v>269</v>
      </c>
      <c r="J16649" s="7">
        <v>650</v>
      </c>
      <c r="K16649" s="7" t="s">
        <v>18</v>
      </c>
      <c r="L16649" s="8">
        <v>39987.315405092595</v>
      </c>
      <c r="M16649" s="9" t="s">
        <v>19</v>
      </c>
      <c r="N16649" s="9" t="s">
        <v>20</v>
      </c>
      <c r="O16649" s="6" t="str">
        <f>HYPERLINK("https://pbs.twimg.com/profile_images/962471262747529216/Uo8lOkRJ_normal.jpg","View")</f>
        <v>View</v>
      </c>
      <c r="P16649" s="7"/>
    </row>
    <row r="16650" spans="1:16">
      <c r="A16650" s="3">
        <v>44487.146574074075</v>
      </c>
      <c r="B16650" s="4" t="str">
        <f>HYPERLINK("https://twitter.com/petrogustavo","@petrogustavo")</f>
        <v>@petrogustavo</v>
      </c>
      <c r="C16650" s="5" t="s">
        <v>16</v>
      </c>
      <c r="D16650" s="5" t="s">
        <v>16024</v>
      </c>
      <c r="E16650" s="6" t="str">
        <f>HYPERLINK("https://twitter.com/petrogustavo/status/1449858021333549063","1449858021333549063")</f>
        <v>1449858021333549063</v>
      </c>
      <c r="F16650" s="7" t="s">
        <v>17</v>
      </c>
      <c r="G16650" s="7">
        <v>4381751</v>
      </c>
      <c r="H16650" s="7">
        <v>2550</v>
      </c>
      <c r="I16650" s="7">
        <v>506</v>
      </c>
      <c r="J16650" s="7">
        <v>1314</v>
      </c>
      <c r="K16650" s="7" t="s">
        <v>18</v>
      </c>
      <c r="L16650" s="8">
        <v>39987.315405092595</v>
      </c>
      <c r="M16650" s="9" t="s">
        <v>19</v>
      </c>
      <c r="N16650" s="9" t="s">
        <v>20</v>
      </c>
      <c r="O16650" s="6" t="str">
        <f>HYPERLINK("https://pbs.twimg.com/profile_images/962471262747529216/Uo8lOkRJ_normal.jpg","View")</f>
        <v>View</v>
      </c>
      <c r="P16650" s="7"/>
    </row>
    <row r="16651" spans="1:16">
      <c r="A16651" s="3">
        <v>44487.146574074075</v>
      </c>
      <c r="B16651" s="4" t="str">
        <f>HYPERLINK("https://twitter.com/petrogustavo","@petrogustavo")</f>
        <v>@petrogustavo</v>
      </c>
      <c r="C16651" s="5" t="s">
        <v>16</v>
      </c>
      <c r="D16651" s="5" t="s">
        <v>16025</v>
      </c>
      <c r="E16651" s="6" t="str">
        <f>HYPERLINK("https://twitter.com/petrogustavo/status/1449858022352855050","1449858022352855050")</f>
        <v>1449858022352855050</v>
      </c>
      <c r="F16651" s="7" t="s">
        <v>17</v>
      </c>
      <c r="G16651" s="7">
        <v>4381751</v>
      </c>
      <c r="H16651" s="7">
        <v>2550</v>
      </c>
      <c r="I16651" s="7">
        <v>389</v>
      </c>
      <c r="J16651" s="7">
        <v>1057</v>
      </c>
      <c r="K16651" s="7" t="s">
        <v>18</v>
      </c>
      <c r="L16651" s="8">
        <v>39987.315405092595</v>
      </c>
      <c r="M16651" s="9" t="s">
        <v>19</v>
      </c>
      <c r="N16651" s="9" t="s">
        <v>20</v>
      </c>
      <c r="O16651" s="6" t="str">
        <f>HYPERLINK("https://pbs.twimg.com/profile_images/962471262747529216/Uo8lOkRJ_normal.jpg","View")</f>
        <v>View</v>
      </c>
      <c r="P16651" s="7"/>
    </row>
    <row r="16652" spans="1:16">
      <c r="A16652" s="3">
        <v>44487.743715277778</v>
      </c>
      <c r="B16652" s="4" t="str">
        <f>HYPERLINK("https://twitter.com/petrogustavo","@petrogustavo")</f>
        <v>@petrogustavo</v>
      </c>
      <c r="C16652" s="5" t="s">
        <v>16</v>
      </c>
      <c r="D16652" s="5" t="s">
        <v>16026</v>
      </c>
      <c r="E16652" s="6" t="str">
        <f>HYPERLINK("https://twitter.com/petrogustavo/status/1450074420744163334","1450074420744163334")</f>
        <v>1450074420744163334</v>
      </c>
      <c r="F16652" s="7" t="s">
        <v>17</v>
      </c>
      <c r="G16652" s="7">
        <v>4381751</v>
      </c>
      <c r="H16652" s="7">
        <v>2550</v>
      </c>
      <c r="I16652" s="7">
        <v>6285</v>
      </c>
      <c r="J16652" s="7">
        <v>17339</v>
      </c>
      <c r="K16652" s="7" t="s">
        <v>18</v>
      </c>
      <c r="L16652" s="8">
        <v>39987.315405092595</v>
      </c>
      <c r="M16652" s="9" t="s">
        <v>19</v>
      </c>
      <c r="N16652" s="9" t="s">
        <v>20</v>
      </c>
      <c r="O16652" s="6" t="str">
        <f>HYPERLINK("https://pbs.twimg.com/profile_images/962471262747529216/Uo8lOkRJ_normal.jpg","View")</f>
        <v>View</v>
      </c>
      <c r="P16652" s="7"/>
    </row>
    <row r="16653" spans="1:16">
      <c r="A16653" s="3">
        <v>44487.792951388888</v>
      </c>
      <c r="B16653" s="4" t="str">
        <f>HYPERLINK("https://twitter.com/petrogustavo","@petrogustavo")</f>
        <v>@petrogustavo</v>
      </c>
      <c r="C16653" s="5" t="s">
        <v>16</v>
      </c>
      <c r="D16653" s="5" t="s">
        <v>16027</v>
      </c>
      <c r="E16653" s="6" t="str">
        <f>HYPERLINK("https://twitter.com/petrogustavo/status/1450092261069443080","1450092261069443080")</f>
        <v>1450092261069443080</v>
      </c>
      <c r="F16653" s="7" t="s">
        <v>17</v>
      </c>
      <c r="G16653" s="7">
        <v>4381751</v>
      </c>
      <c r="H16653" s="7">
        <v>2550</v>
      </c>
      <c r="I16653" s="7">
        <v>1207</v>
      </c>
      <c r="J16653" s="7">
        <v>0</v>
      </c>
      <c r="K16653" s="7" t="s">
        <v>18</v>
      </c>
      <c r="L16653" s="8">
        <v>39987.315405092595</v>
      </c>
      <c r="M16653" s="9" t="s">
        <v>19</v>
      </c>
      <c r="N16653" s="9" t="s">
        <v>20</v>
      </c>
      <c r="O16653" s="6" t="str">
        <f>HYPERLINK("https://pbs.twimg.com/profile_images/962471262747529216/Uo8lOkRJ_normal.jpg","View")</f>
        <v>View</v>
      </c>
      <c r="P16653" s="7"/>
    </row>
    <row r="16654" spans="1:16">
      <c r="A16654" s="3">
        <v>44487.801192129627</v>
      </c>
      <c r="B16654" s="4" t="str">
        <f>HYPERLINK("https://twitter.com/petrogustavo","@petrogustavo")</f>
        <v>@petrogustavo</v>
      </c>
      <c r="C16654" s="5" t="s">
        <v>16</v>
      </c>
      <c r="D16654" s="5" t="s">
        <v>16028</v>
      </c>
      <c r="E16654" s="6" t="str">
        <f>HYPERLINK("https://twitter.com/petrogustavo/status/1450095248181432327","1450095248181432327")</f>
        <v>1450095248181432327</v>
      </c>
      <c r="F16654" s="7" t="s">
        <v>17</v>
      </c>
      <c r="G16654" s="7">
        <v>4381751</v>
      </c>
      <c r="H16654" s="7">
        <v>2550</v>
      </c>
      <c r="I16654" s="7">
        <v>1929</v>
      </c>
      <c r="J16654" s="7">
        <v>4507</v>
      </c>
      <c r="K16654" s="7" t="s">
        <v>18</v>
      </c>
      <c r="L16654" s="8">
        <v>39987.315405092595</v>
      </c>
      <c r="M16654" s="9" t="s">
        <v>19</v>
      </c>
      <c r="N16654" s="9" t="s">
        <v>20</v>
      </c>
      <c r="O16654" s="6" t="str">
        <f>HYPERLINK("https://pbs.twimg.com/profile_images/962471262747529216/Uo8lOkRJ_normal.jpg","View")</f>
        <v>View</v>
      </c>
      <c r="P16654" s="7"/>
    </row>
    <row r="16655" spans="1:16">
      <c r="A16655" s="3">
        <v>44487.808229166665</v>
      </c>
      <c r="B16655" s="4" t="str">
        <f>HYPERLINK("https://twitter.com/petrogustavo","@petrogustavo")</f>
        <v>@petrogustavo</v>
      </c>
      <c r="C16655" s="5" t="s">
        <v>16</v>
      </c>
      <c r="D16655" s="5" t="s">
        <v>16029</v>
      </c>
      <c r="E16655" s="6" t="str">
        <f>HYPERLINK("https://twitter.com/petrogustavo/status/1450097799027204107","1450097799027204107")</f>
        <v>1450097799027204107</v>
      </c>
      <c r="F16655" s="7" t="s">
        <v>17</v>
      </c>
      <c r="G16655" s="7">
        <v>4381751</v>
      </c>
      <c r="H16655" s="7">
        <v>2550</v>
      </c>
      <c r="I16655" s="7">
        <v>330</v>
      </c>
      <c r="J16655" s="7">
        <v>0</v>
      </c>
      <c r="K16655" s="7" t="s">
        <v>18</v>
      </c>
      <c r="L16655" s="8">
        <v>39987.315405092595</v>
      </c>
      <c r="M16655" s="9" t="s">
        <v>19</v>
      </c>
      <c r="N16655" s="9" t="s">
        <v>20</v>
      </c>
      <c r="O16655" s="6" t="str">
        <f>HYPERLINK("https://pbs.twimg.com/profile_images/962471262747529216/Uo8lOkRJ_normal.jpg","View")</f>
        <v>View</v>
      </c>
      <c r="P16655" s="7"/>
    </row>
    <row r="16656" spans="1:16">
      <c r="A16656" s="3">
        <v>44487.811481481476</v>
      </c>
      <c r="B16656" s="4" t="str">
        <f>HYPERLINK("https://twitter.com/petrogustavo","@petrogustavo")</f>
        <v>@petrogustavo</v>
      </c>
      <c r="C16656" s="5" t="s">
        <v>16</v>
      </c>
      <c r="D16656" s="5" t="s">
        <v>16030</v>
      </c>
      <c r="E16656" s="6" t="str">
        <f>HYPERLINK("https://twitter.com/petrogustavo/status/1450098977781727235","1450098977781727235")</f>
        <v>1450098977781727235</v>
      </c>
      <c r="F16656" s="7" t="s">
        <v>17</v>
      </c>
      <c r="G16656" s="7">
        <v>4381751</v>
      </c>
      <c r="H16656" s="7">
        <v>2550</v>
      </c>
      <c r="I16656" s="7">
        <v>6285</v>
      </c>
      <c r="J16656" s="7">
        <v>0</v>
      </c>
      <c r="K16656" s="7" t="s">
        <v>18</v>
      </c>
      <c r="L16656" s="8">
        <v>39987.315405092595</v>
      </c>
      <c r="M16656" s="9" t="s">
        <v>19</v>
      </c>
      <c r="N16656" s="9" t="s">
        <v>20</v>
      </c>
      <c r="O16656" s="6" t="str">
        <f>HYPERLINK("https://pbs.twimg.com/profile_images/962471262747529216/Uo8lOkRJ_normal.jpg","View")</f>
        <v>View</v>
      </c>
      <c r="P16656" s="7"/>
    </row>
    <row r="16657" spans="1:16">
      <c r="A16657" s="3">
        <v>44487.873969907407</v>
      </c>
      <c r="B16657" s="4" t="str">
        <f>HYPERLINK("https://twitter.com/petrogustavo","@petrogustavo")</f>
        <v>@petrogustavo</v>
      </c>
      <c r="C16657" s="5" t="s">
        <v>16</v>
      </c>
      <c r="D16657" s="5" t="s">
        <v>16031</v>
      </c>
      <c r="E16657" s="6" t="str">
        <f>HYPERLINK("https://twitter.com/petrogustavo/status/1450121622065668097","1450121622065668097")</f>
        <v>1450121622065668097</v>
      </c>
      <c r="F16657" s="7" t="s">
        <v>17</v>
      </c>
      <c r="G16657" s="7">
        <v>4381751</v>
      </c>
      <c r="H16657" s="7">
        <v>2550</v>
      </c>
      <c r="I16657" s="7">
        <v>1156</v>
      </c>
      <c r="J16657" s="7">
        <v>0</v>
      </c>
      <c r="K16657" s="7" t="s">
        <v>18</v>
      </c>
      <c r="L16657" s="8">
        <v>39987.315405092595</v>
      </c>
      <c r="M16657" s="9" t="s">
        <v>19</v>
      </c>
      <c r="N16657" s="9" t="s">
        <v>20</v>
      </c>
      <c r="O16657" s="6" t="str">
        <f>HYPERLINK("https://pbs.twimg.com/profile_images/962471262747529216/Uo8lOkRJ_normal.jpg","View")</f>
        <v>View</v>
      </c>
      <c r="P16657" s="7"/>
    </row>
    <row r="16658" spans="1:16">
      <c r="A16658" s="3">
        <v>44488.200937500005</v>
      </c>
      <c r="B16658" s="4" t="str">
        <f>HYPERLINK("https://twitter.com/petrogustavo","@petrogustavo")</f>
        <v>@petrogustavo</v>
      </c>
      <c r="C16658" s="5" t="s">
        <v>16</v>
      </c>
      <c r="D16658" s="5" t="s">
        <v>16032</v>
      </c>
      <c r="E16658" s="6" t="str">
        <f>HYPERLINK("https://twitter.com/petrogustavo/status/1450240110906200074","1450240110906200074")</f>
        <v>1450240110906200074</v>
      </c>
      <c r="F16658" s="7" t="s">
        <v>17</v>
      </c>
      <c r="G16658" s="7">
        <v>4381751</v>
      </c>
      <c r="H16658" s="7">
        <v>2550</v>
      </c>
      <c r="I16658" s="7">
        <v>936</v>
      </c>
      <c r="J16658" s="7">
        <v>2308</v>
      </c>
      <c r="K16658" s="7" t="s">
        <v>18</v>
      </c>
      <c r="L16658" s="8">
        <v>39987.315405092595</v>
      </c>
      <c r="M16658" s="9" t="s">
        <v>19</v>
      </c>
      <c r="N16658" s="9" t="s">
        <v>20</v>
      </c>
      <c r="O16658" s="6" t="str">
        <f>HYPERLINK("https://pbs.twimg.com/profile_images/962471262747529216/Uo8lOkRJ_normal.jpg","View")</f>
        <v>View</v>
      </c>
      <c r="P16658" s="7"/>
    </row>
    <row r="16659" spans="1:16">
      <c r="A16659" s="3">
        <v>44488.200937500005</v>
      </c>
      <c r="B16659" s="4" t="str">
        <f>HYPERLINK("https://twitter.com/petrogustavo","@petrogustavo")</f>
        <v>@petrogustavo</v>
      </c>
      <c r="C16659" s="5" t="s">
        <v>16</v>
      </c>
      <c r="D16659" s="5" t="s">
        <v>16033</v>
      </c>
      <c r="E16659" s="6" t="str">
        <f>HYPERLINK("https://twitter.com/petrogustavo/status/1450240113586311172","1450240113586311172")</f>
        <v>1450240113586311172</v>
      </c>
      <c r="F16659" s="7" t="s">
        <v>17</v>
      </c>
      <c r="G16659" s="7">
        <v>4381751</v>
      </c>
      <c r="H16659" s="7">
        <v>2550</v>
      </c>
      <c r="I16659" s="7">
        <v>338</v>
      </c>
      <c r="J16659" s="7">
        <v>910</v>
      </c>
      <c r="K16659" s="7" t="s">
        <v>18</v>
      </c>
      <c r="L16659" s="8">
        <v>39987.315405092595</v>
      </c>
      <c r="M16659" s="9" t="s">
        <v>19</v>
      </c>
      <c r="N16659" s="9" t="s">
        <v>20</v>
      </c>
      <c r="O16659" s="6" t="str">
        <f>HYPERLINK("https://pbs.twimg.com/profile_images/962471262747529216/Uo8lOkRJ_normal.jpg","View")</f>
        <v>View</v>
      </c>
      <c r="P16659" s="7"/>
    </row>
    <row r="16660" spans="1:16">
      <c r="A16660" s="3">
        <v>44488.200949074075</v>
      </c>
      <c r="B16660" s="4" t="str">
        <f>HYPERLINK("https://twitter.com/petrogustavo","@petrogustavo")</f>
        <v>@petrogustavo</v>
      </c>
      <c r="C16660" s="5" t="s">
        <v>16</v>
      </c>
      <c r="D16660" s="5" t="s">
        <v>16034</v>
      </c>
      <c r="E16660" s="6" t="str">
        <f>HYPERLINK("https://twitter.com/petrogustavo/status/1450240114806902784","1450240114806902784")</f>
        <v>1450240114806902784</v>
      </c>
      <c r="F16660" s="7" t="s">
        <v>17</v>
      </c>
      <c r="G16660" s="7">
        <v>4381751</v>
      </c>
      <c r="H16660" s="7">
        <v>2550</v>
      </c>
      <c r="I16660" s="7">
        <v>227</v>
      </c>
      <c r="J16660" s="7">
        <v>537</v>
      </c>
      <c r="K16660" s="7" t="s">
        <v>18</v>
      </c>
      <c r="L16660" s="8">
        <v>39987.315405092595</v>
      </c>
      <c r="M16660" s="9" t="s">
        <v>19</v>
      </c>
      <c r="N16660" s="9" t="s">
        <v>20</v>
      </c>
      <c r="O16660" s="6" t="str">
        <f>HYPERLINK("https://pbs.twimg.com/profile_images/962471262747529216/Uo8lOkRJ_normal.jpg","View")</f>
        <v>View</v>
      </c>
      <c r="P16660" s="7"/>
    </row>
    <row r="16661" spans="1:16">
      <c r="A16661" s="3">
        <v>44488.200949074075</v>
      </c>
      <c r="B16661" s="4" t="str">
        <f>HYPERLINK("https://twitter.com/petrogustavo","@petrogustavo")</f>
        <v>@petrogustavo</v>
      </c>
      <c r="C16661" s="5" t="s">
        <v>16</v>
      </c>
      <c r="D16661" s="5" t="s">
        <v>16035</v>
      </c>
      <c r="E16661" s="6" t="str">
        <f>HYPERLINK("https://twitter.com/petrogustavo/status/1450240117042524163","1450240117042524163")</f>
        <v>1450240117042524163</v>
      </c>
      <c r="F16661" s="7" t="s">
        <v>17</v>
      </c>
      <c r="G16661" s="7">
        <v>4381751</v>
      </c>
      <c r="H16661" s="7">
        <v>2550</v>
      </c>
      <c r="I16661" s="7">
        <v>181</v>
      </c>
      <c r="J16661" s="7">
        <v>465</v>
      </c>
      <c r="K16661" s="7" t="s">
        <v>18</v>
      </c>
      <c r="L16661" s="8">
        <v>39987.315405092595</v>
      </c>
      <c r="M16661" s="9" t="s">
        <v>19</v>
      </c>
      <c r="N16661" s="9" t="s">
        <v>20</v>
      </c>
      <c r="O16661" s="6" t="str">
        <f>HYPERLINK("https://pbs.twimg.com/profile_images/962471262747529216/Uo8lOkRJ_normal.jpg","View")</f>
        <v>View</v>
      </c>
      <c r="P16661" s="7"/>
    </row>
    <row r="16662" spans="1:16">
      <c r="A16662" s="3">
        <v>44488.200949074075</v>
      </c>
      <c r="B16662" s="4" t="str">
        <f>HYPERLINK("https://twitter.com/petrogustavo","@petrogustavo")</f>
        <v>@petrogustavo</v>
      </c>
      <c r="C16662" s="5" t="s">
        <v>16</v>
      </c>
      <c r="D16662" s="5" t="s">
        <v>16036</v>
      </c>
      <c r="E16662" s="6" t="str">
        <f>HYPERLINK("https://twitter.com/petrogustavo/status/1450240118195949582","1450240118195949582")</f>
        <v>1450240118195949582</v>
      </c>
      <c r="F16662" s="7" t="s">
        <v>17</v>
      </c>
      <c r="G16662" s="7">
        <v>4381751</v>
      </c>
      <c r="H16662" s="7">
        <v>2550</v>
      </c>
      <c r="I16662" s="7">
        <v>154</v>
      </c>
      <c r="J16662" s="7">
        <v>391</v>
      </c>
      <c r="K16662" s="7" t="s">
        <v>18</v>
      </c>
      <c r="L16662" s="8">
        <v>39987.315405092595</v>
      </c>
      <c r="M16662" s="9" t="s">
        <v>19</v>
      </c>
      <c r="N16662" s="9" t="s">
        <v>20</v>
      </c>
      <c r="O16662" s="6" t="str">
        <f>HYPERLINK("https://pbs.twimg.com/profile_images/962471262747529216/Uo8lOkRJ_normal.jpg","View")</f>
        <v>View</v>
      </c>
      <c r="P16662" s="7"/>
    </row>
    <row r="16663" spans="1:16">
      <c r="A16663" s="3">
        <v>44488.200960648144</v>
      </c>
      <c r="B16663" s="4" t="str">
        <f>HYPERLINK("https://twitter.com/petrogustavo","@petrogustavo")</f>
        <v>@petrogustavo</v>
      </c>
      <c r="C16663" s="5" t="s">
        <v>16</v>
      </c>
      <c r="D16663" s="5" t="s">
        <v>16037</v>
      </c>
      <c r="E16663" s="6" t="str">
        <f>HYPERLINK("https://twitter.com/petrogustavo/status/1450240120074944518","1450240120074944518")</f>
        <v>1450240120074944518</v>
      </c>
      <c r="F16663" s="7" t="s">
        <v>17</v>
      </c>
      <c r="G16663" s="7">
        <v>4381751</v>
      </c>
      <c r="H16663" s="7">
        <v>2550</v>
      </c>
      <c r="I16663" s="7">
        <v>167</v>
      </c>
      <c r="J16663" s="7">
        <v>413</v>
      </c>
      <c r="K16663" s="7" t="s">
        <v>18</v>
      </c>
      <c r="L16663" s="8">
        <v>39987.315405092595</v>
      </c>
      <c r="M16663" s="9" t="s">
        <v>19</v>
      </c>
      <c r="N16663" s="9" t="s">
        <v>20</v>
      </c>
      <c r="O16663" s="6" t="str">
        <f>HYPERLINK("https://pbs.twimg.com/profile_images/962471262747529216/Uo8lOkRJ_normal.jpg","View")</f>
        <v>View</v>
      </c>
      <c r="P16663" s="7"/>
    </row>
    <row r="16664" spans="1:16">
      <c r="A16664" s="3">
        <v>44488.200960648144</v>
      </c>
      <c r="B16664" s="4" t="str">
        <f>HYPERLINK("https://twitter.com/petrogustavo","@petrogustavo")</f>
        <v>@petrogustavo</v>
      </c>
      <c r="C16664" s="5" t="s">
        <v>16</v>
      </c>
      <c r="D16664" s="5" t="s">
        <v>16038</v>
      </c>
      <c r="E16664" s="6" t="str">
        <f>HYPERLINK("https://twitter.com/petrogustavo/status/1450240121421410305","1450240121421410305")</f>
        <v>1450240121421410305</v>
      </c>
      <c r="F16664" s="7" t="s">
        <v>17</v>
      </c>
      <c r="G16664" s="7">
        <v>4381751</v>
      </c>
      <c r="H16664" s="7">
        <v>2550</v>
      </c>
      <c r="I16664" s="7">
        <v>267</v>
      </c>
      <c r="J16664" s="7">
        <v>749</v>
      </c>
      <c r="K16664" s="7" t="s">
        <v>18</v>
      </c>
      <c r="L16664" s="8">
        <v>39987.315405092595</v>
      </c>
      <c r="M16664" s="9" t="s">
        <v>19</v>
      </c>
      <c r="N16664" s="9" t="s">
        <v>20</v>
      </c>
      <c r="O16664" s="6" t="str">
        <f>HYPERLINK("https://pbs.twimg.com/profile_images/962471262747529216/Uo8lOkRJ_normal.jpg","View")</f>
        <v>View</v>
      </c>
      <c r="P16664" s="7"/>
    </row>
    <row r="16665" spans="1:16">
      <c r="A16665" s="3">
        <v>44488.200972222221</v>
      </c>
      <c r="B16665" s="4" t="str">
        <f>HYPERLINK("https://twitter.com/petrogustavo","@petrogustavo")</f>
        <v>@petrogustavo</v>
      </c>
      <c r="C16665" s="5" t="s">
        <v>16</v>
      </c>
      <c r="D16665" s="5" t="s">
        <v>16039</v>
      </c>
      <c r="E16665" s="6" t="str">
        <f>HYPERLINK("https://twitter.com/petrogustavo/status/1450240122717458438","1450240122717458438")</f>
        <v>1450240122717458438</v>
      </c>
      <c r="F16665" s="7" t="s">
        <v>17</v>
      </c>
      <c r="G16665" s="7">
        <v>4381751</v>
      </c>
      <c r="H16665" s="7">
        <v>2550</v>
      </c>
      <c r="I16665" s="7">
        <v>326</v>
      </c>
      <c r="J16665" s="7">
        <v>944</v>
      </c>
      <c r="K16665" s="7" t="s">
        <v>18</v>
      </c>
      <c r="L16665" s="8">
        <v>39987.315405092595</v>
      </c>
      <c r="M16665" s="9" t="s">
        <v>19</v>
      </c>
      <c r="N16665" s="9" t="s">
        <v>20</v>
      </c>
      <c r="O16665" s="6" t="str">
        <f>HYPERLINK("https://pbs.twimg.com/profile_images/962471262747529216/Uo8lOkRJ_normal.jpg","View")</f>
        <v>View</v>
      </c>
      <c r="P16665" s="7"/>
    </row>
    <row r="16666" spans="1:16">
      <c r="A16666" s="3">
        <v>44488.201284722221</v>
      </c>
      <c r="B16666" s="4" t="str">
        <f>HYPERLINK("https://twitter.com/petrogustavo","@petrogustavo")</f>
        <v>@petrogustavo</v>
      </c>
      <c r="C16666" s="5" t="s">
        <v>16</v>
      </c>
      <c r="D16666" s="5" t="s">
        <v>16040</v>
      </c>
      <c r="E16666" s="6" t="str">
        <f>HYPERLINK("https://twitter.com/petrogustavo/status/1450240235695132674","1450240235695132674")</f>
        <v>1450240235695132674</v>
      </c>
      <c r="F16666" s="7" t="s">
        <v>17</v>
      </c>
      <c r="G16666" s="7">
        <v>4381751</v>
      </c>
      <c r="H16666" s="7">
        <v>2550</v>
      </c>
      <c r="I16666" s="7">
        <v>936</v>
      </c>
      <c r="J16666" s="7">
        <v>0</v>
      </c>
      <c r="K16666" s="7" t="s">
        <v>18</v>
      </c>
      <c r="L16666" s="8">
        <v>39987.315405092595</v>
      </c>
      <c r="M16666" s="9" t="s">
        <v>19</v>
      </c>
      <c r="N16666" s="9" t="s">
        <v>20</v>
      </c>
      <c r="O16666" s="6" t="str">
        <f>HYPERLINK("https://pbs.twimg.com/profile_images/962471262747529216/Uo8lOkRJ_normal.jpg","View")</f>
        <v>View</v>
      </c>
      <c r="P16666" s="7"/>
    </row>
    <row r="16667" spans="1:16">
      <c r="A16667" s="3">
        <v>44488.699490740742</v>
      </c>
      <c r="B16667" s="4" t="str">
        <f>HYPERLINK("https://twitter.com/petrogustavo","@petrogustavo")</f>
        <v>@petrogustavo</v>
      </c>
      <c r="C16667" s="5" t="s">
        <v>16</v>
      </c>
      <c r="D16667" s="5" t="s">
        <v>16040</v>
      </c>
      <c r="E16667" s="6" t="str">
        <f>HYPERLINK("https://twitter.com/petrogustavo/status/1450420780794253313","1450420780794253313")</f>
        <v>1450420780794253313</v>
      </c>
      <c r="F16667" s="7" t="s">
        <v>17</v>
      </c>
      <c r="G16667" s="7">
        <v>4381767</v>
      </c>
      <c r="H16667" s="7">
        <v>2550</v>
      </c>
      <c r="I16667" s="7">
        <v>971</v>
      </c>
      <c r="J16667" s="7">
        <v>0</v>
      </c>
      <c r="K16667" s="7" t="s">
        <v>18</v>
      </c>
      <c r="L16667" s="8">
        <v>39987.315405092595</v>
      </c>
      <c r="M16667" s="9" t="s">
        <v>19</v>
      </c>
      <c r="N16667" s="9" t="s">
        <v>20</v>
      </c>
      <c r="O16667" s="6" t="str">
        <f>HYPERLINK("https://pbs.twimg.com/profile_images/962471262747529216/Uo8lOkRJ_normal.jpg","View")</f>
        <v>View</v>
      </c>
      <c r="P16667" s="7"/>
    </row>
    <row r="16668" spans="1:16">
      <c r="A16668" s="3">
        <v>44488.835092592592</v>
      </c>
      <c r="B16668" s="4" t="str">
        <f>HYPERLINK("https://twitter.com/petrogustavo","@petrogustavo")</f>
        <v>@petrogustavo</v>
      </c>
      <c r="C16668" s="5" t="s">
        <v>16</v>
      </c>
      <c r="D16668" s="5" t="s">
        <v>16041</v>
      </c>
      <c r="E16668" s="6" t="str">
        <f>HYPERLINK("https://twitter.com/petrogustavo/status/1450469921620627462","1450469921620627462")</f>
        <v>1450469921620627462</v>
      </c>
      <c r="F16668" s="7" t="s">
        <v>17</v>
      </c>
      <c r="G16668" s="7">
        <v>4381869</v>
      </c>
      <c r="H16668" s="7">
        <v>2550</v>
      </c>
      <c r="I16668" s="7">
        <v>91</v>
      </c>
      <c r="J16668" s="7">
        <v>339</v>
      </c>
      <c r="K16668" s="7" t="s">
        <v>18</v>
      </c>
      <c r="L16668" s="8">
        <v>39987.315405092595</v>
      </c>
      <c r="M16668" s="9" t="s">
        <v>19</v>
      </c>
      <c r="N16668" s="9" t="s">
        <v>20</v>
      </c>
      <c r="O16668" s="6" t="str">
        <f>HYPERLINK("https://pbs.twimg.com/profile_images/962471262747529216/Uo8lOkRJ_normal.jpg","View")</f>
        <v>View</v>
      </c>
      <c r="P16668" s="7"/>
    </row>
    <row r="16669" spans="1:16">
      <c r="A16669" s="3">
        <v>44488.982465277775</v>
      </c>
      <c r="B16669" s="4" t="str">
        <f>HYPERLINK("https://twitter.com/petrogustavo","@petrogustavo")</f>
        <v>@petrogustavo</v>
      </c>
      <c r="C16669" s="5" t="s">
        <v>16</v>
      </c>
      <c r="D16669" s="5" t="s">
        <v>16042</v>
      </c>
      <c r="E16669" s="6" t="str">
        <f>HYPERLINK("https://twitter.com/petrogustavo/status/1450523326984642563","1450523326984642563")</f>
        <v>1450523326984642563</v>
      </c>
      <c r="F16669" s="7" t="s">
        <v>17</v>
      </c>
      <c r="G16669" s="7">
        <v>4381945</v>
      </c>
      <c r="H16669" s="7">
        <v>2550</v>
      </c>
      <c r="I16669" s="7">
        <v>216</v>
      </c>
      <c r="J16669" s="7">
        <v>675</v>
      </c>
      <c r="K16669" s="7" t="s">
        <v>18</v>
      </c>
      <c r="L16669" s="8">
        <v>39987.315405092595</v>
      </c>
      <c r="M16669" s="9" t="s">
        <v>19</v>
      </c>
      <c r="N16669" s="9" t="s">
        <v>20</v>
      </c>
      <c r="O16669" s="6" t="str">
        <f>HYPERLINK("https://pbs.twimg.com/profile_images/962471262747529216/Uo8lOkRJ_normal.jpg","View")</f>
        <v>View</v>
      </c>
      <c r="P16669" s="7"/>
    </row>
    <row r="16670" spans="1:16">
      <c r="A16670" s="3">
        <v>44488.982465277775</v>
      </c>
      <c r="B16670" s="4" t="str">
        <f>HYPERLINK("https://twitter.com/petrogustavo","@petrogustavo")</f>
        <v>@petrogustavo</v>
      </c>
      <c r="C16670" s="5" t="s">
        <v>16</v>
      </c>
      <c r="D16670" s="5" t="s">
        <v>16043</v>
      </c>
      <c r="E16670" s="6" t="str">
        <f>HYPERLINK("https://twitter.com/petrogustavo/status/1450523328360468484","1450523328360468484")</f>
        <v>1450523328360468484</v>
      </c>
      <c r="F16670" s="7" t="s">
        <v>17</v>
      </c>
      <c r="G16670" s="7">
        <v>4381945</v>
      </c>
      <c r="H16670" s="7">
        <v>2550</v>
      </c>
      <c r="I16670" s="7">
        <v>155</v>
      </c>
      <c r="J16670" s="7">
        <v>556</v>
      </c>
      <c r="K16670" s="7" t="s">
        <v>18</v>
      </c>
      <c r="L16670" s="8">
        <v>39987.315405092595</v>
      </c>
      <c r="M16670" s="9" t="s">
        <v>19</v>
      </c>
      <c r="N16670" s="9" t="s">
        <v>20</v>
      </c>
      <c r="O16670" s="6" t="str">
        <f>HYPERLINK("https://pbs.twimg.com/profile_images/962471262747529216/Uo8lOkRJ_normal.jpg","View")</f>
        <v>View</v>
      </c>
      <c r="P16670" s="7"/>
    </row>
    <row r="16671" spans="1:16">
      <c r="A16671" s="3">
        <v>44489.254247685181</v>
      </c>
      <c r="B16671" s="4" t="str">
        <f>HYPERLINK("https://twitter.com/petrogustavo","@petrogustavo")</f>
        <v>@petrogustavo</v>
      </c>
      <c r="C16671" s="5" t="s">
        <v>16</v>
      </c>
      <c r="D16671" s="5" t="s">
        <v>16044</v>
      </c>
      <c r="E16671" s="6" t="str">
        <f>HYPERLINK("https://twitter.com/petrogustavo/status/1450621820491767811","1450621820491767811")</f>
        <v>1450621820491767811</v>
      </c>
      <c r="F16671" s="7" t="s">
        <v>32</v>
      </c>
      <c r="G16671" s="7">
        <v>4382152</v>
      </c>
      <c r="H16671" s="7">
        <v>2550</v>
      </c>
      <c r="I16671" s="7">
        <v>537</v>
      </c>
      <c r="J16671" s="7">
        <v>1142</v>
      </c>
      <c r="K16671" s="7" t="s">
        <v>18</v>
      </c>
      <c r="L16671" s="8">
        <v>39987.315405092595</v>
      </c>
      <c r="M16671" s="9" t="s">
        <v>19</v>
      </c>
      <c r="N16671" s="9" t="s">
        <v>20</v>
      </c>
      <c r="O16671" s="6" t="str">
        <f>HYPERLINK("https://pbs.twimg.com/profile_images/962471262747529216/Uo8lOkRJ_normal.jpg","View")</f>
        <v>View</v>
      </c>
      <c r="P16671" s="7"/>
    </row>
    <row r="16672" spans="1:16">
      <c r="A16672" s="3">
        <v>44489.281018518523</v>
      </c>
      <c r="B16672" s="4" t="str">
        <f>HYPERLINK("https://twitter.com/petrogustavo","@petrogustavo")</f>
        <v>@petrogustavo</v>
      </c>
      <c r="C16672" s="5" t="s">
        <v>16</v>
      </c>
      <c r="D16672" s="5" t="s">
        <v>16045</v>
      </c>
      <c r="E16672" s="6" t="str">
        <f>HYPERLINK("https://twitter.com/petrogustavo/status/1450631520012677122","1450631520012677122")</f>
        <v>1450631520012677122</v>
      </c>
      <c r="F16672" s="7" t="s">
        <v>32</v>
      </c>
      <c r="G16672" s="7">
        <v>4382186</v>
      </c>
      <c r="H16672" s="7">
        <v>2550</v>
      </c>
      <c r="I16672" s="7">
        <v>48</v>
      </c>
      <c r="J16672" s="7">
        <v>125</v>
      </c>
      <c r="K16672" s="7" t="s">
        <v>18</v>
      </c>
      <c r="L16672" s="8">
        <v>39987.315405092595</v>
      </c>
      <c r="M16672" s="9" t="s">
        <v>19</v>
      </c>
      <c r="N16672" s="9" t="s">
        <v>20</v>
      </c>
      <c r="O16672" s="6" t="str">
        <f>HYPERLINK("https://pbs.twimg.com/profile_images/962471262747529216/Uo8lOkRJ_normal.jpg","View")</f>
        <v>View</v>
      </c>
      <c r="P16672" s="7"/>
    </row>
    <row r="16673" spans="1:16">
      <c r="A16673" s="3">
        <v>44489.701782407406</v>
      </c>
      <c r="B16673" s="4" t="str">
        <f>HYPERLINK("https://twitter.com/petrogustavo","@petrogustavo")</f>
        <v>@petrogustavo</v>
      </c>
      <c r="C16673" s="5" t="s">
        <v>16</v>
      </c>
      <c r="D16673" s="5" t="s">
        <v>16046</v>
      </c>
      <c r="E16673" s="6" t="str">
        <f>HYPERLINK("https://twitter.com/petrogustavo/status/1450783997861191681","1450783997861191681")</f>
        <v>1450783997861191681</v>
      </c>
      <c r="F16673" s="7" t="s">
        <v>17</v>
      </c>
      <c r="G16673" s="7">
        <v>4382363</v>
      </c>
      <c r="H16673" s="7">
        <v>2550</v>
      </c>
      <c r="I16673" s="7">
        <v>1227</v>
      </c>
      <c r="J16673" s="7">
        <v>0</v>
      </c>
      <c r="K16673" s="7" t="s">
        <v>18</v>
      </c>
      <c r="L16673" s="8">
        <v>39987.315405092595</v>
      </c>
      <c r="M16673" s="9" t="s">
        <v>19</v>
      </c>
      <c r="N16673" s="9" t="s">
        <v>20</v>
      </c>
      <c r="O16673" s="6" t="str">
        <f>HYPERLINK("https://pbs.twimg.com/profile_images/962471262747529216/Uo8lOkRJ_normal.jpg","View")</f>
        <v>View</v>
      </c>
      <c r="P16673" s="7"/>
    </row>
    <row r="16674" spans="1:16">
      <c r="A16674" s="3">
        <v>44489.704930555556</v>
      </c>
      <c r="B16674" s="4" t="str">
        <f>HYPERLINK("https://twitter.com/petrogustavo","@petrogustavo")</f>
        <v>@petrogustavo</v>
      </c>
      <c r="C16674" s="5" t="s">
        <v>16</v>
      </c>
      <c r="D16674" s="5" t="s">
        <v>16047</v>
      </c>
      <c r="E16674" s="6" t="str">
        <f>HYPERLINK("https://twitter.com/petrogustavo/status/1450785142478360577","1450785142478360577")</f>
        <v>1450785142478360577</v>
      </c>
      <c r="F16674" s="7" t="s">
        <v>17</v>
      </c>
      <c r="G16674" s="7">
        <v>4382363</v>
      </c>
      <c r="H16674" s="7">
        <v>2550</v>
      </c>
      <c r="I16674" s="7">
        <v>177</v>
      </c>
      <c r="J16674" s="7">
        <v>295</v>
      </c>
      <c r="K16674" s="7" t="s">
        <v>18</v>
      </c>
      <c r="L16674" s="8">
        <v>39987.315405092595</v>
      </c>
      <c r="M16674" s="9" t="s">
        <v>19</v>
      </c>
      <c r="N16674" s="9" t="s">
        <v>20</v>
      </c>
      <c r="O16674" s="6" t="str">
        <f>HYPERLINK("https://pbs.twimg.com/profile_images/962471262747529216/Uo8lOkRJ_normal.jpg","View")</f>
        <v>View</v>
      </c>
      <c r="P16674" s="7"/>
    </row>
    <row r="16675" spans="1:16">
      <c r="A16675" s="3">
        <v>44489.71366898148</v>
      </c>
      <c r="B16675" s="4" t="str">
        <f>HYPERLINK("https://twitter.com/petrogustavo","@petrogustavo")</f>
        <v>@petrogustavo</v>
      </c>
      <c r="C16675" s="5" t="s">
        <v>16</v>
      </c>
      <c r="D16675" s="5" t="s">
        <v>16048</v>
      </c>
      <c r="E16675" s="6" t="str">
        <f>HYPERLINK("https://twitter.com/petrogustavo/status/1450788307454078977","1450788307454078977")</f>
        <v>1450788307454078977</v>
      </c>
      <c r="F16675" s="7" t="s">
        <v>17</v>
      </c>
      <c r="G16675" s="7">
        <v>4382363</v>
      </c>
      <c r="H16675" s="7">
        <v>2550</v>
      </c>
      <c r="I16675" s="7">
        <v>59</v>
      </c>
      <c r="J16675" s="7">
        <v>120</v>
      </c>
      <c r="K16675" s="7" t="s">
        <v>18</v>
      </c>
      <c r="L16675" s="8">
        <v>39987.315405092595</v>
      </c>
      <c r="M16675" s="9" t="s">
        <v>19</v>
      </c>
      <c r="N16675" s="9" t="s">
        <v>20</v>
      </c>
      <c r="O16675" s="6" t="str">
        <f>HYPERLINK("https://pbs.twimg.com/profile_images/962471262747529216/Uo8lOkRJ_normal.jpg","View")</f>
        <v>View</v>
      </c>
      <c r="P16675" s="7"/>
    </row>
    <row r="16676" spans="1:16">
      <c r="A16676" s="3">
        <v>44489.745115740741</v>
      </c>
      <c r="B16676" s="4" t="str">
        <f>HYPERLINK("https://twitter.com/petrogustavo","@petrogustavo")</f>
        <v>@petrogustavo</v>
      </c>
      <c r="C16676" s="5" t="s">
        <v>16</v>
      </c>
      <c r="D16676" s="5" t="s">
        <v>16049</v>
      </c>
      <c r="E16676" s="6" t="str">
        <f>HYPERLINK("https://twitter.com/petrogustavo/status/1450799702539186180","1450799702539186180")</f>
        <v>1450799702539186180</v>
      </c>
      <c r="F16676" s="7" t="s">
        <v>17</v>
      </c>
      <c r="G16676" s="7">
        <v>4382394</v>
      </c>
      <c r="H16676" s="7">
        <v>2550</v>
      </c>
      <c r="I16676" s="7">
        <v>234</v>
      </c>
      <c r="J16676" s="7">
        <v>927</v>
      </c>
      <c r="K16676" s="7" t="s">
        <v>18</v>
      </c>
      <c r="L16676" s="8">
        <v>39987.315405092595</v>
      </c>
      <c r="M16676" s="9" t="s">
        <v>19</v>
      </c>
      <c r="N16676" s="9" t="s">
        <v>20</v>
      </c>
      <c r="O16676" s="6" t="str">
        <f>HYPERLINK("https://pbs.twimg.com/profile_images/962471262747529216/Uo8lOkRJ_normal.jpg","View")</f>
        <v>View</v>
      </c>
      <c r="P16676" s="7"/>
    </row>
    <row r="16677" spans="1:16">
      <c r="A16677" s="3">
        <v>44489.745590277773</v>
      </c>
      <c r="B16677" s="4" t="str">
        <f>HYPERLINK("https://twitter.com/petrogustavo","@petrogustavo")</f>
        <v>@petrogustavo</v>
      </c>
      <c r="C16677" s="5" t="s">
        <v>16</v>
      </c>
      <c r="D16677" s="5" t="s">
        <v>16050</v>
      </c>
      <c r="E16677" s="6" t="str">
        <f>HYPERLINK("https://twitter.com/petrogustavo/status/1450799873364738051","1450799873364738051")</f>
        <v>1450799873364738051</v>
      </c>
      <c r="F16677" s="7" t="s">
        <v>17</v>
      </c>
      <c r="G16677" s="7">
        <v>4382394</v>
      </c>
      <c r="H16677" s="7">
        <v>2550</v>
      </c>
      <c r="I16677" s="7">
        <v>321</v>
      </c>
      <c r="J16677" s="7">
        <v>0</v>
      </c>
      <c r="K16677" s="7" t="s">
        <v>18</v>
      </c>
      <c r="L16677" s="8">
        <v>39987.315405092595</v>
      </c>
      <c r="M16677" s="9" t="s">
        <v>19</v>
      </c>
      <c r="N16677" s="9" t="s">
        <v>20</v>
      </c>
      <c r="O16677" s="6" t="str">
        <f>HYPERLINK("https://pbs.twimg.com/profile_images/962471262747529216/Uo8lOkRJ_normal.jpg","View")</f>
        <v>View</v>
      </c>
      <c r="P16677" s="7"/>
    </row>
    <row r="16678" spans="1:16">
      <c r="A16678" s="3">
        <v>44489.759282407409</v>
      </c>
      <c r="B16678" s="4" t="str">
        <f>HYPERLINK("https://twitter.com/petrogustavo","@petrogustavo")</f>
        <v>@petrogustavo</v>
      </c>
      <c r="C16678" s="5" t="s">
        <v>16</v>
      </c>
      <c r="D16678" s="5" t="s">
        <v>16051</v>
      </c>
      <c r="E16678" s="6" t="str">
        <f>HYPERLINK("https://twitter.com/petrogustavo/status/1450804836681887748","1450804836681887748")</f>
        <v>1450804836681887748</v>
      </c>
      <c r="F16678" s="7" t="s">
        <v>32</v>
      </c>
      <c r="G16678" s="7">
        <v>4382394</v>
      </c>
      <c r="H16678" s="7">
        <v>2550</v>
      </c>
      <c r="I16678" s="7">
        <v>34</v>
      </c>
      <c r="J16678" s="7">
        <v>84</v>
      </c>
      <c r="K16678" s="7" t="s">
        <v>18</v>
      </c>
      <c r="L16678" s="8">
        <v>39987.315405092595</v>
      </c>
      <c r="M16678" s="9" t="s">
        <v>19</v>
      </c>
      <c r="N16678" s="9" t="s">
        <v>20</v>
      </c>
      <c r="O16678" s="6" t="str">
        <f>HYPERLINK("https://pbs.twimg.com/profile_images/962471262747529216/Uo8lOkRJ_normal.jpg","View")</f>
        <v>View</v>
      </c>
      <c r="P16678" s="7"/>
    </row>
    <row r="16679" spans="1:16">
      <c r="A16679" s="3">
        <v>44489.759282407409</v>
      </c>
      <c r="B16679" s="4" t="str">
        <f>HYPERLINK("https://twitter.com/petrogustavo","@petrogustavo")</f>
        <v>@petrogustavo</v>
      </c>
      <c r="C16679" s="5" t="s">
        <v>16</v>
      </c>
      <c r="D16679" s="5" t="s">
        <v>16052</v>
      </c>
      <c r="E16679" s="6" t="str">
        <f>HYPERLINK("https://twitter.com/petrogustavo/status/1450804838472855552","1450804838472855552")</f>
        <v>1450804838472855552</v>
      </c>
      <c r="F16679" s="7" t="s">
        <v>32</v>
      </c>
      <c r="G16679" s="7">
        <v>4382394</v>
      </c>
      <c r="H16679" s="7">
        <v>2550</v>
      </c>
      <c r="I16679" s="7">
        <v>19</v>
      </c>
      <c r="J16679" s="7">
        <v>55</v>
      </c>
      <c r="K16679" s="7" t="s">
        <v>18</v>
      </c>
      <c r="L16679" s="8">
        <v>39987.315405092595</v>
      </c>
      <c r="M16679" s="9" t="s">
        <v>19</v>
      </c>
      <c r="N16679" s="9" t="s">
        <v>20</v>
      </c>
      <c r="O16679" s="6" t="str">
        <f>HYPERLINK("https://pbs.twimg.com/profile_images/962471262747529216/Uo8lOkRJ_normal.jpg","View")</f>
        <v>View</v>
      </c>
      <c r="P16679" s="7"/>
    </row>
    <row r="16680" spans="1:16">
      <c r="A16680" s="3">
        <v>44489.772314814814</v>
      </c>
      <c r="B16680" s="4" t="str">
        <f>HYPERLINK("https://twitter.com/petrogustavo","@petrogustavo")</f>
        <v>@petrogustavo</v>
      </c>
      <c r="C16680" s="5" t="s">
        <v>16</v>
      </c>
      <c r="D16680" s="5" t="s">
        <v>16050</v>
      </c>
      <c r="E16680" s="6" t="str">
        <f>HYPERLINK("https://twitter.com/petrogustavo/status/1450809558742573057","1450809558742573057")</f>
        <v>1450809558742573057</v>
      </c>
      <c r="F16680" s="7" t="s">
        <v>32</v>
      </c>
      <c r="G16680" s="7">
        <v>4382391</v>
      </c>
      <c r="H16680" s="7">
        <v>2550</v>
      </c>
      <c r="I16680" s="7">
        <v>401</v>
      </c>
      <c r="J16680" s="7">
        <v>0</v>
      </c>
      <c r="K16680" s="7" t="s">
        <v>18</v>
      </c>
      <c r="L16680" s="8">
        <v>39987.315405092595</v>
      </c>
      <c r="M16680" s="9" t="s">
        <v>19</v>
      </c>
      <c r="N16680" s="9" t="s">
        <v>20</v>
      </c>
      <c r="O16680" s="6" t="str">
        <f>HYPERLINK("https://pbs.twimg.com/profile_images/962471262747529216/Uo8lOkRJ_normal.jpg","View")</f>
        <v>View</v>
      </c>
      <c r="P16680" s="7"/>
    </row>
    <row r="16681" spans="1:16">
      <c r="A16681" s="3">
        <v>44489.781967592593</v>
      </c>
      <c r="B16681" s="4" t="str">
        <f>HYPERLINK("https://twitter.com/petrogustavo","@petrogustavo")</f>
        <v>@petrogustavo</v>
      </c>
      <c r="C16681" s="5" t="s">
        <v>16</v>
      </c>
      <c r="D16681" s="5" t="s">
        <v>16053</v>
      </c>
      <c r="E16681" s="6" t="str">
        <f>HYPERLINK("https://twitter.com/petrogustavo/status/1450813056129421315","1450813056129421315")</f>
        <v>1450813056129421315</v>
      </c>
      <c r="F16681" s="7" t="s">
        <v>32</v>
      </c>
      <c r="G16681" s="7">
        <v>4382391</v>
      </c>
      <c r="H16681" s="7">
        <v>2550</v>
      </c>
      <c r="I16681" s="7">
        <v>464</v>
      </c>
      <c r="J16681" s="7">
        <v>0</v>
      </c>
      <c r="K16681" s="7" t="s">
        <v>18</v>
      </c>
      <c r="L16681" s="8">
        <v>39987.315405092595</v>
      </c>
      <c r="M16681" s="9" t="s">
        <v>19</v>
      </c>
      <c r="N16681" s="9" t="s">
        <v>20</v>
      </c>
      <c r="O16681" s="6" t="str">
        <f>HYPERLINK("https://pbs.twimg.com/profile_images/962471262747529216/Uo8lOkRJ_normal.jpg","View")</f>
        <v>View</v>
      </c>
      <c r="P16681" s="7"/>
    </row>
    <row r="16682" spans="1:16">
      <c r="A16682" s="3">
        <v>44489.86555555556</v>
      </c>
      <c r="B16682" s="4" t="str">
        <f>HYPERLINK("https://twitter.com/petrogustavo","@petrogustavo")</f>
        <v>@petrogustavo</v>
      </c>
      <c r="C16682" s="5" t="s">
        <v>16</v>
      </c>
      <c r="D16682" s="5" t="s">
        <v>16054</v>
      </c>
      <c r="E16682" s="6" t="str">
        <f>HYPERLINK("https://twitter.com/petrogustavo/status/1450843349016092676","1450843349016092676")</f>
        <v>1450843349016092676</v>
      </c>
      <c r="F16682" s="7" t="s">
        <v>32</v>
      </c>
      <c r="G16682" s="7">
        <v>4382445</v>
      </c>
      <c r="H16682" s="7">
        <v>2550</v>
      </c>
      <c r="I16682" s="7">
        <v>59</v>
      </c>
      <c r="J16682" s="7">
        <v>142</v>
      </c>
      <c r="K16682" s="7" t="s">
        <v>18</v>
      </c>
      <c r="L16682" s="8">
        <v>39987.315405092595</v>
      </c>
      <c r="M16682" s="9" t="s">
        <v>19</v>
      </c>
      <c r="N16682" s="9" t="s">
        <v>20</v>
      </c>
      <c r="O16682" s="6" t="str">
        <f>HYPERLINK("https://pbs.twimg.com/profile_images/962471262747529216/Uo8lOkRJ_normal.jpg","View")</f>
        <v>View</v>
      </c>
      <c r="P16682" s="7"/>
    </row>
    <row r="16683" spans="1:16">
      <c r="A16683" s="3">
        <v>44490.311666666668</v>
      </c>
      <c r="B16683" s="4" t="str">
        <f>HYPERLINK("https://twitter.com/petrogustavo","@petrogustavo")</f>
        <v>@petrogustavo</v>
      </c>
      <c r="C16683" s="5" t="s">
        <v>16</v>
      </c>
      <c r="D16683" s="5" t="s">
        <v>16055</v>
      </c>
      <c r="E16683" s="6" t="str">
        <f>HYPERLINK("https://twitter.com/petrogustavo/status/1451005016031039495","1451005016031039495")</f>
        <v>1451005016031039495</v>
      </c>
      <c r="F16683" s="7" t="s">
        <v>17</v>
      </c>
      <c r="G16683" s="7">
        <v>4382758</v>
      </c>
      <c r="H16683" s="7">
        <v>2550</v>
      </c>
      <c r="I16683" s="7">
        <v>228</v>
      </c>
      <c r="J16683" s="7">
        <v>852</v>
      </c>
      <c r="K16683" s="7" t="s">
        <v>18</v>
      </c>
      <c r="L16683" s="8">
        <v>39987.315405092595</v>
      </c>
      <c r="M16683" s="9" t="s">
        <v>19</v>
      </c>
      <c r="N16683" s="9" t="s">
        <v>20</v>
      </c>
      <c r="O16683" s="6" t="str">
        <f>HYPERLINK("https://pbs.twimg.com/profile_images/962471262747529216/Uo8lOkRJ_normal.jpg","View")</f>
        <v>View</v>
      </c>
      <c r="P16683" s="7"/>
    </row>
    <row r="16684" spans="1:16">
      <c r="A16684" s="3">
        <v>44490.3121875</v>
      </c>
      <c r="B16684" s="4" t="str">
        <f>HYPERLINK("https://twitter.com/petrogustavo","@petrogustavo")</f>
        <v>@petrogustavo</v>
      </c>
      <c r="C16684" s="5" t="s">
        <v>16</v>
      </c>
      <c r="D16684" s="5" t="s">
        <v>16056</v>
      </c>
      <c r="E16684" s="6" t="str">
        <f>HYPERLINK("https://twitter.com/petrogustavo/status/1451005204497842177","1451005204497842177")</f>
        <v>1451005204497842177</v>
      </c>
      <c r="F16684" s="7" t="s">
        <v>17</v>
      </c>
      <c r="G16684" s="7">
        <v>4382758</v>
      </c>
      <c r="H16684" s="7">
        <v>2550</v>
      </c>
      <c r="I16684" s="7">
        <v>168</v>
      </c>
      <c r="J16684" s="7">
        <v>612</v>
      </c>
      <c r="K16684" s="7" t="s">
        <v>18</v>
      </c>
      <c r="L16684" s="8">
        <v>39987.315405092595</v>
      </c>
      <c r="M16684" s="9" t="s">
        <v>19</v>
      </c>
      <c r="N16684" s="9" t="s">
        <v>20</v>
      </c>
      <c r="O16684" s="6" t="str">
        <f>HYPERLINK("https://pbs.twimg.com/profile_images/962471262747529216/Uo8lOkRJ_normal.jpg","View")</f>
        <v>View</v>
      </c>
      <c r="P16684" s="7"/>
    </row>
    <row r="16685" spans="1:16">
      <c r="A16685" s="3">
        <v>44490.674062499995</v>
      </c>
      <c r="B16685" s="4" t="str">
        <f>HYPERLINK("https://twitter.com/petrogustavo","@petrogustavo")</f>
        <v>@petrogustavo</v>
      </c>
      <c r="C16685" s="5" t="s">
        <v>16</v>
      </c>
      <c r="D16685" s="5" t="s">
        <v>16057</v>
      </c>
      <c r="E16685" s="6" t="str">
        <f>HYPERLINK("https://twitter.com/petrogustavo/status/1451136341870325760","1451136341870325760")</f>
        <v>1451136341870325760</v>
      </c>
      <c r="F16685" s="7" t="s">
        <v>17</v>
      </c>
      <c r="G16685" s="7">
        <v>4382879</v>
      </c>
      <c r="H16685" s="7">
        <v>2550</v>
      </c>
      <c r="I16685" s="7">
        <v>16</v>
      </c>
      <c r="J16685" s="7">
        <v>45</v>
      </c>
      <c r="K16685" s="7" t="s">
        <v>18</v>
      </c>
      <c r="L16685" s="8">
        <v>39987.315405092595</v>
      </c>
      <c r="M16685" s="9" t="s">
        <v>19</v>
      </c>
      <c r="N16685" s="9" t="s">
        <v>20</v>
      </c>
      <c r="O16685" s="6" t="str">
        <f>HYPERLINK("https://pbs.twimg.com/profile_images/962471262747529216/Uo8lOkRJ_normal.jpg","View")</f>
        <v>View</v>
      </c>
      <c r="P16685" s="7"/>
    </row>
    <row r="16686" spans="1:16">
      <c r="A16686" s="3">
        <v>44491.011018518519</v>
      </c>
      <c r="B16686" s="4" t="str">
        <f>HYPERLINK("https://twitter.com/petrogustavo","@petrogustavo")</f>
        <v>@petrogustavo</v>
      </c>
      <c r="C16686" s="5" t="s">
        <v>16</v>
      </c>
      <c r="D16686" s="5" t="s">
        <v>16058</v>
      </c>
      <c r="E16686" s="6" t="str">
        <f>HYPERLINK("https://twitter.com/petrogustavo/status/1451258450491723777","1451258450491723777")</f>
        <v>1451258450491723777</v>
      </c>
      <c r="F16686" s="7" t="s">
        <v>17</v>
      </c>
      <c r="G16686" s="7">
        <v>4383114</v>
      </c>
      <c r="H16686" s="7">
        <v>2551</v>
      </c>
      <c r="I16686" s="7">
        <v>23</v>
      </c>
      <c r="J16686" s="7">
        <v>108</v>
      </c>
      <c r="K16686" s="7" t="s">
        <v>18</v>
      </c>
      <c r="L16686" s="8">
        <v>39987.315405092595</v>
      </c>
      <c r="M16686" s="9" t="s">
        <v>19</v>
      </c>
      <c r="N16686" s="9" t="s">
        <v>20</v>
      </c>
      <c r="O16686" s="6" t="str">
        <f>HYPERLINK("https://pbs.twimg.com/profile_images/962471262747529216/Uo8lOkRJ_normal.jpg","View")</f>
        <v>View</v>
      </c>
      <c r="P16686" s="7"/>
    </row>
    <row r="16687" spans="1:16">
      <c r="A16687" s="3">
        <v>44491.133090277777</v>
      </c>
      <c r="B16687" s="4" t="str">
        <f>HYPERLINK("https://twitter.com/petrogustavo","@petrogustavo")</f>
        <v>@petrogustavo</v>
      </c>
      <c r="C16687" s="5" t="s">
        <v>16</v>
      </c>
      <c r="D16687" s="5" t="s">
        <v>16059</v>
      </c>
      <c r="E16687" s="6" t="str">
        <f>HYPERLINK("https://twitter.com/petrogustavo/status/1451302688633860098","1451302688633860098")</f>
        <v>1451302688633860098</v>
      </c>
      <c r="F16687" s="7" t="s">
        <v>17</v>
      </c>
      <c r="G16687" s="7">
        <v>4383200</v>
      </c>
      <c r="H16687" s="7">
        <v>2551</v>
      </c>
      <c r="I16687" s="7">
        <v>117</v>
      </c>
      <c r="J16687" s="7">
        <v>477</v>
      </c>
      <c r="K16687" s="7" t="s">
        <v>18</v>
      </c>
      <c r="L16687" s="8">
        <v>39987.315405092595</v>
      </c>
      <c r="M16687" s="9" t="s">
        <v>19</v>
      </c>
      <c r="N16687" s="9" t="s">
        <v>20</v>
      </c>
      <c r="O16687" s="6" t="str">
        <f>HYPERLINK("https://pbs.twimg.com/profile_images/962471262747529216/Uo8lOkRJ_normal.jpg","View")</f>
        <v>View</v>
      </c>
      <c r="P16687" s="7"/>
    </row>
    <row r="16688" spans="1:16">
      <c r="A16688" s="3">
        <v>44491.143923611111</v>
      </c>
      <c r="B16688" s="4" t="str">
        <f>HYPERLINK("https://twitter.com/petrogustavo","@petrogustavo")</f>
        <v>@petrogustavo</v>
      </c>
      <c r="C16688" s="5" t="s">
        <v>16</v>
      </c>
      <c r="D16688" s="5" t="s">
        <v>16060</v>
      </c>
      <c r="E16688" s="6" t="str">
        <f>HYPERLINK("https://twitter.com/petrogustavo/status/1451306614762446853","1451306614762446853")</f>
        <v>1451306614762446853</v>
      </c>
      <c r="F16688" s="7" t="s">
        <v>17</v>
      </c>
      <c r="G16688" s="7">
        <v>4383228</v>
      </c>
      <c r="H16688" s="7">
        <v>2551</v>
      </c>
      <c r="I16688" s="7">
        <v>253</v>
      </c>
      <c r="J16688" s="7">
        <v>851</v>
      </c>
      <c r="K16688" s="7" t="s">
        <v>18</v>
      </c>
      <c r="L16688" s="8">
        <v>39987.315405092595</v>
      </c>
      <c r="M16688" s="9" t="s">
        <v>19</v>
      </c>
      <c r="N16688" s="9" t="s">
        <v>20</v>
      </c>
      <c r="O16688" s="6" t="str">
        <f>HYPERLINK("https://pbs.twimg.com/profile_images/962471262747529216/Uo8lOkRJ_normal.jpg","View")</f>
        <v>View</v>
      </c>
      <c r="P16688" s="7"/>
    </row>
    <row r="16689" spans="1:16">
      <c r="A16689" s="3">
        <v>44491.157546296294</v>
      </c>
      <c r="B16689" s="4" t="str">
        <f>HYPERLINK("https://twitter.com/petrogustavo","@petrogustavo")</f>
        <v>@petrogustavo</v>
      </c>
      <c r="C16689" s="5" t="s">
        <v>16</v>
      </c>
      <c r="D16689" s="5" t="s">
        <v>16061</v>
      </c>
      <c r="E16689" s="6" t="str">
        <f>HYPERLINK("https://twitter.com/petrogustavo/status/1451311549029797891","1451311549029797891")</f>
        <v>1451311549029797891</v>
      </c>
      <c r="F16689" s="7" t="s">
        <v>17</v>
      </c>
      <c r="G16689" s="7">
        <v>4383228</v>
      </c>
      <c r="H16689" s="7">
        <v>2551</v>
      </c>
      <c r="I16689" s="7">
        <v>6</v>
      </c>
      <c r="J16689" s="7">
        <v>17</v>
      </c>
      <c r="K16689" s="7" t="s">
        <v>18</v>
      </c>
      <c r="L16689" s="8">
        <v>39987.315405092595</v>
      </c>
      <c r="M16689" s="9" t="s">
        <v>19</v>
      </c>
      <c r="N16689" s="9" t="s">
        <v>20</v>
      </c>
      <c r="O16689" s="6" t="str">
        <f>HYPERLINK("https://pbs.twimg.com/profile_images/962471262747529216/Uo8lOkRJ_normal.jpg","View")</f>
        <v>View</v>
      </c>
      <c r="P16689" s="7"/>
    </row>
    <row r="16690" spans="1:16">
      <c r="A16690" s="3">
        <v>44491.235706018517</v>
      </c>
      <c r="B16690" s="4" t="str">
        <f>HYPERLINK("https://twitter.com/petrogustavo","@petrogustavo")</f>
        <v>@petrogustavo</v>
      </c>
      <c r="C16690" s="5" t="s">
        <v>16</v>
      </c>
      <c r="D16690" s="5" t="s">
        <v>16062</v>
      </c>
      <c r="E16690" s="6" t="str">
        <f>HYPERLINK("https://twitter.com/petrogustavo/status/1451339873546383362","1451339873546383362")</f>
        <v>1451339873546383362</v>
      </c>
      <c r="F16690" s="7" t="s">
        <v>17</v>
      </c>
      <c r="G16690" s="7">
        <v>4383261</v>
      </c>
      <c r="H16690" s="7">
        <v>2551</v>
      </c>
      <c r="I16690" s="7">
        <v>87</v>
      </c>
      <c r="J16690" s="7">
        <v>323</v>
      </c>
      <c r="K16690" s="7" t="s">
        <v>18</v>
      </c>
      <c r="L16690" s="8">
        <v>39987.315405092595</v>
      </c>
      <c r="M16690" s="9" t="s">
        <v>19</v>
      </c>
      <c r="N16690" s="9" t="s">
        <v>20</v>
      </c>
      <c r="O16690" s="6" t="str">
        <f>HYPERLINK("https://pbs.twimg.com/profile_images/962471262747529216/Uo8lOkRJ_normal.jpg","View")</f>
        <v>View</v>
      </c>
      <c r="P16690" s="7"/>
    </row>
    <row r="16691" spans="1:16">
      <c r="A16691" s="3">
        <v>44491.237581018519</v>
      </c>
      <c r="B16691" s="4" t="str">
        <f>HYPERLINK("https://twitter.com/petrogustavo","@petrogustavo")</f>
        <v>@petrogustavo</v>
      </c>
      <c r="C16691" s="5" t="s">
        <v>16</v>
      </c>
      <c r="D16691" s="5" t="s">
        <v>16063</v>
      </c>
      <c r="E16691" s="6" t="str">
        <f>HYPERLINK("https://twitter.com/petrogustavo/status/1451340556681023492","1451340556681023492")</f>
        <v>1451340556681023492</v>
      </c>
      <c r="F16691" s="7" t="s">
        <v>17</v>
      </c>
      <c r="G16691" s="7">
        <v>4383261</v>
      </c>
      <c r="H16691" s="7">
        <v>2551</v>
      </c>
      <c r="I16691" s="7">
        <v>92</v>
      </c>
      <c r="J16691" s="7">
        <v>326</v>
      </c>
      <c r="K16691" s="7" t="s">
        <v>18</v>
      </c>
      <c r="L16691" s="8">
        <v>39987.315405092595</v>
      </c>
      <c r="M16691" s="9" t="s">
        <v>19</v>
      </c>
      <c r="N16691" s="9" t="s">
        <v>20</v>
      </c>
      <c r="O16691" s="6" t="str">
        <f>HYPERLINK("https://pbs.twimg.com/profile_images/962471262747529216/Uo8lOkRJ_normal.jpg","View")</f>
        <v>View</v>
      </c>
      <c r="P16691" s="7"/>
    </row>
    <row r="16692" spans="1:16">
      <c r="A16692" s="3">
        <v>44492.700590277775</v>
      </c>
      <c r="B16692" s="4" t="str">
        <f>HYPERLINK("https://twitter.com/petrogustavo","@petrogustavo")</f>
        <v>@petrogustavo</v>
      </c>
      <c r="C16692" s="5" t="s">
        <v>16</v>
      </c>
      <c r="D16692" s="5" t="s">
        <v>16064</v>
      </c>
      <c r="E16692" s="6" t="str">
        <f>HYPERLINK("https://twitter.com/petrogustavo/status/1451870730463989761","1451870730463989761")</f>
        <v>1451870730463989761</v>
      </c>
      <c r="F16692" s="7" t="s">
        <v>17</v>
      </c>
      <c r="G16692" s="7">
        <v>4383927</v>
      </c>
      <c r="H16692" s="7">
        <v>2562</v>
      </c>
      <c r="I16692" s="7">
        <v>111</v>
      </c>
      <c r="J16692" s="7">
        <v>444</v>
      </c>
      <c r="K16692" s="7" t="s">
        <v>18</v>
      </c>
      <c r="L16692" s="8">
        <v>39987.315405092595</v>
      </c>
      <c r="M16692" s="9" t="s">
        <v>19</v>
      </c>
      <c r="N16692" s="9" t="s">
        <v>20</v>
      </c>
      <c r="O16692" s="6" t="str">
        <f>HYPERLINK("https://pbs.twimg.com/profile_images/962471262747529216/Uo8lOkRJ_normal.jpg","View")</f>
        <v>View</v>
      </c>
      <c r="P16692" s="7"/>
    </row>
    <row r="16693" spans="1:16">
      <c r="A16693" s="3">
        <v>44492.710717592592</v>
      </c>
      <c r="B16693" s="4" t="str">
        <f>HYPERLINK("https://twitter.com/petrogustavo","@petrogustavo")</f>
        <v>@petrogustavo</v>
      </c>
      <c r="C16693" s="5" t="s">
        <v>16</v>
      </c>
      <c r="D16693" s="5" t="s">
        <v>16065</v>
      </c>
      <c r="E16693" s="6" t="str">
        <f>HYPERLINK("https://twitter.com/petrogustavo/status/1451874402841382912","1451874402841382912")</f>
        <v>1451874402841382912</v>
      </c>
      <c r="F16693" s="7" t="s">
        <v>17</v>
      </c>
      <c r="G16693" s="7">
        <v>4383927</v>
      </c>
      <c r="H16693" s="7">
        <v>2562</v>
      </c>
      <c r="I16693" s="7">
        <v>66</v>
      </c>
      <c r="J16693" s="7">
        <v>195</v>
      </c>
      <c r="K16693" s="7" t="s">
        <v>18</v>
      </c>
      <c r="L16693" s="8">
        <v>39987.315405092595</v>
      </c>
      <c r="M16693" s="9" t="s">
        <v>19</v>
      </c>
      <c r="N16693" s="9" t="s">
        <v>20</v>
      </c>
      <c r="O16693" s="6" t="str">
        <f>HYPERLINK("https://pbs.twimg.com/profile_images/962471262747529216/Uo8lOkRJ_normal.jpg","View")</f>
        <v>View</v>
      </c>
      <c r="P16693" s="7"/>
    </row>
    <row r="16694" spans="1:16">
      <c r="A16694" s="3">
        <v>44492.784895833334</v>
      </c>
      <c r="B16694" s="4" t="str">
        <f>HYPERLINK("https://twitter.com/petrogustavo","@petrogustavo")</f>
        <v>@petrogustavo</v>
      </c>
      <c r="C16694" s="5" t="s">
        <v>16</v>
      </c>
      <c r="D16694" s="5" t="s">
        <v>16066</v>
      </c>
      <c r="E16694" s="6" t="str">
        <f>HYPERLINK("https://twitter.com/petrogustavo/status/1451901281757503488","1451901281757503488")</f>
        <v>1451901281757503488</v>
      </c>
      <c r="F16694" s="7" t="s">
        <v>17</v>
      </c>
      <c r="G16694" s="7">
        <v>4383974</v>
      </c>
      <c r="H16694" s="7">
        <v>2562</v>
      </c>
      <c r="I16694" s="7">
        <v>368</v>
      </c>
      <c r="J16694" s="7">
        <v>1204</v>
      </c>
      <c r="K16694" s="7" t="s">
        <v>18</v>
      </c>
      <c r="L16694" s="8">
        <v>39987.315405092595</v>
      </c>
      <c r="M16694" s="9" t="s">
        <v>19</v>
      </c>
      <c r="N16694" s="9" t="s">
        <v>20</v>
      </c>
      <c r="O16694" s="6" t="str">
        <f>HYPERLINK("https://pbs.twimg.com/profile_images/962471262747529216/Uo8lOkRJ_normal.jpg","View")</f>
        <v>View</v>
      </c>
      <c r="P16694" s="7"/>
    </row>
    <row r="16695" spans="1:16">
      <c r="A16695" s="3">
        <v>44492.785648148143</v>
      </c>
      <c r="B16695" s="4" t="str">
        <f>HYPERLINK("https://twitter.com/petrogustavo","@petrogustavo")</f>
        <v>@petrogustavo</v>
      </c>
      <c r="C16695" s="5" t="s">
        <v>16</v>
      </c>
      <c r="D16695" s="5" t="s">
        <v>16067</v>
      </c>
      <c r="E16695" s="6" t="str">
        <f>HYPERLINK("https://twitter.com/petrogustavo/status/1451901554932473856","1451901554932473856")</f>
        <v>1451901554932473856</v>
      </c>
      <c r="F16695" s="7" t="s">
        <v>17</v>
      </c>
      <c r="G16695" s="7">
        <v>4383974</v>
      </c>
      <c r="H16695" s="7">
        <v>2562</v>
      </c>
      <c r="I16695" s="7">
        <v>507</v>
      </c>
      <c r="J16695" s="7">
        <v>0</v>
      </c>
      <c r="K16695" s="7" t="s">
        <v>18</v>
      </c>
      <c r="L16695" s="8">
        <v>39987.315405092595</v>
      </c>
      <c r="M16695" s="9" t="s">
        <v>19</v>
      </c>
      <c r="N16695" s="9" t="s">
        <v>20</v>
      </c>
      <c r="O16695" s="6" t="str">
        <f>HYPERLINK("https://pbs.twimg.com/profile_images/962471262747529216/Uo8lOkRJ_normal.jpg","View")</f>
        <v>View</v>
      </c>
      <c r="P16695" s="7"/>
    </row>
    <row r="16696" spans="1:16">
      <c r="A16696" s="3">
        <v>44492.869664351849</v>
      </c>
      <c r="B16696" s="4" t="str">
        <f>HYPERLINK("https://twitter.com/petrogustavo","@petrogustavo")</f>
        <v>@petrogustavo</v>
      </c>
      <c r="C16696" s="5" t="s">
        <v>16</v>
      </c>
      <c r="D16696" s="5" t="s">
        <v>16068</v>
      </c>
      <c r="E16696" s="6" t="str">
        <f>HYPERLINK("https://twitter.com/petrogustavo/status/1451932003096485891","1451932003096485891")</f>
        <v>1451932003096485891</v>
      </c>
      <c r="F16696" s="7" t="s">
        <v>17</v>
      </c>
      <c r="G16696" s="7">
        <v>4384038</v>
      </c>
      <c r="H16696" s="7">
        <v>2562</v>
      </c>
      <c r="I16696" s="7">
        <v>50</v>
      </c>
      <c r="J16696" s="7">
        <v>131</v>
      </c>
      <c r="K16696" s="7" t="s">
        <v>18</v>
      </c>
      <c r="L16696" s="8">
        <v>39987.315405092595</v>
      </c>
      <c r="M16696" s="9" t="s">
        <v>19</v>
      </c>
      <c r="N16696" s="9" t="s">
        <v>20</v>
      </c>
      <c r="O16696" s="6" t="str">
        <f>HYPERLINK("https://pbs.twimg.com/profile_images/962471262747529216/Uo8lOkRJ_normal.jpg","View")</f>
        <v>View</v>
      </c>
      <c r="P16696" s="7"/>
    </row>
    <row r="16697" spans="1:16">
      <c r="A16697" s="3">
        <v>44492.98914351852</v>
      </c>
      <c r="B16697" s="4" t="str">
        <f>HYPERLINK("https://twitter.com/petrogustavo","@petrogustavo")</f>
        <v>@petrogustavo</v>
      </c>
      <c r="C16697" s="5" t="s">
        <v>16</v>
      </c>
      <c r="D16697" s="5" t="s">
        <v>16067</v>
      </c>
      <c r="E16697" s="6" t="str">
        <f>HYPERLINK("https://twitter.com/petrogustavo/status/1451975301462994952","1451975301462994952")</f>
        <v>1451975301462994952</v>
      </c>
      <c r="F16697" s="7" t="s">
        <v>17</v>
      </c>
      <c r="G16697" s="7">
        <v>4384188</v>
      </c>
      <c r="H16697" s="7">
        <v>2562</v>
      </c>
      <c r="I16697" s="7">
        <v>973</v>
      </c>
      <c r="J16697" s="7">
        <v>0</v>
      </c>
      <c r="K16697" s="7" t="s">
        <v>18</v>
      </c>
      <c r="L16697" s="8">
        <v>39987.315405092595</v>
      </c>
      <c r="M16697" s="9" t="s">
        <v>19</v>
      </c>
      <c r="N16697" s="9" t="s">
        <v>20</v>
      </c>
      <c r="O16697" s="6" t="str">
        <f>HYPERLINK("https://pbs.twimg.com/profile_images/962471262747529216/Uo8lOkRJ_normal.jpg","View")</f>
        <v>View</v>
      </c>
      <c r="P16697" s="7"/>
    </row>
    <row r="16698" spans="1:16">
      <c r="A16698" s="3">
        <v>44493.078819444447</v>
      </c>
      <c r="B16698" s="4" t="str">
        <f>HYPERLINK("https://twitter.com/petrogustavo","@petrogustavo")</f>
        <v>@petrogustavo</v>
      </c>
      <c r="C16698" s="5" t="s">
        <v>16</v>
      </c>
      <c r="D16698" s="5" t="s">
        <v>16069</v>
      </c>
      <c r="E16698" s="6" t="str">
        <f>HYPERLINK("https://twitter.com/petrogustavo/status/1452007798435459073","1452007798435459073")</f>
        <v>1452007798435459073</v>
      </c>
      <c r="F16698" s="7" t="s">
        <v>17</v>
      </c>
      <c r="G16698" s="7">
        <v>4384347</v>
      </c>
      <c r="H16698" s="7">
        <v>2562</v>
      </c>
      <c r="I16698" s="7">
        <v>209</v>
      </c>
      <c r="J16698" s="7">
        <v>845</v>
      </c>
      <c r="K16698" s="7" t="s">
        <v>18</v>
      </c>
      <c r="L16698" s="8">
        <v>39987.315405092595</v>
      </c>
      <c r="M16698" s="9" t="s">
        <v>19</v>
      </c>
      <c r="N16698" s="9" t="s">
        <v>20</v>
      </c>
      <c r="O16698" s="6" t="str">
        <f>HYPERLINK("https://pbs.twimg.com/profile_images/962471262747529216/Uo8lOkRJ_normal.jpg","View")</f>
        <v>View</v>
      </c>
      <c r="P16698" s="7"/>
    </row>
    <row r="16699" spans="1:16">
      <c r="A16699" s="3">
        <v>44493.153634259259</v>
      </c>
      <c r="B16699" s="4" t="str">
        <f>HYPERLINK("https://twitter.com/petrogustavo","@petrogustavo")</f>
        <v>@petrogustavo</v>
      </c>
      <c r="C16699" s="5" t="s">
        <v>16</v>
      </c>
      <c r="D16699" s="5" t="s">
        <v>16070</v>
      </c>
      <c r="E16699" s="6" t="str">
        <f>HYPERLINK("https://twitter.com/petrogustavo/status/1452034908298297345","1452034908298297345")</f>
        <v>1452034908298297345</v>
      </c>
      <c r="F16699" s="7" t="s">
        <v>17</v>
      </c>
      <c r="G16699" s="7">
        <v>4384414</v>
      </c>
      <c r="H16699" s="7">
        <v>2562</v>
      </c>
      <c r="I16699" s="7">
        <v>35</v>
      </c>
      <c r="J16699" s="7">
        <v>0</v>
      </c>
      <c r="K16699" s="7" t="s">
        <v>18</v>
      </c>
      <c r="L16699" s="8">
        <v>39987.315405092595</v>
      </c>
      <c r="M16699" s="9" t="s">
        <v>19</v>
      </c>
      <c r="N16699" s="9" t="s">
        <v>20</v>
      </c>
      <c r="O16699" s="6" t="str">
        <f>HYPERLINK("https://pbs.twimg.com/profile_images/962471262747529216/Uo8lOkRJ_normal.jpg","View")</f>
        <v>View</v>
      </c>
      <c r="P16699" s="7"/>
    </row>
    <row r="16700" spans="1:16">
      <c r="A16700" s="3">
        <v>44493.156296296293</v>
      </c>
      <c r="B16700" s="4" t="str">
        <f>HYPERLINK("https://twitter.com/petrogustavo","@petrogustavo")</f>
        <v>@petrogustavo</v>
      </c>
      <c r="C16700" s="5" t="s">
        <v>16</v>
      </c>
      <c r="D16700" s="5" t="s">
        <v>16071</v>
      </c>
      <c r="E16700" s="6" t="str">
        <f>HYPERLINK("https://twitter.com/petrogustavo/status/1452035872984084484","1452035872984084484")</f>
        <v>1452035872984084484</v>
      </c>
      <c r="F16700" s="7" t="s">
        <v>17</v>
      </c>
      <c r="G16700" s="7">
        <v>4384414</v>
      </c>
      <c r="H16700" s="7">
        <v>2562</v>
      </c>
      <c r="I16700" s="7">
        <v>37</v>
      </c>
      <c r="J16700" s="7">
        <v>144</v>
      </c>
      <c r="K16700" s="7" t="s">
        <v>18</v>
      </c>
      <c r="L16700" s="8">
        <v>39987.315405092595</v>
      </c>
      <c r="M16700" s="9" t="s">
        <v>19</v>
      </c>
      <c r="N16700" s="9" t="s">
        <v>20</v>
      </c>
      <c r="O16700" s="6" t="str">
        <f>HYPERLINK("https://pbs.twimg.com/profile_images/962471262747529216/Uo8lOkRJ_normal.jpg","View")</f>
        <v>View</v>
      </c>
      <c r="P16700" s="7"/>
    </row>
    <row r="16701" spans="1:16">
      <c r="A16701" s="3">
        <v>44493.171030092592</v>
      </c>
      <c r="B16701" s="4" t="str">
        <f>HYPERLINK("https://twitter.com/petrogustavo","@petrogustavo")</f>
        <v>@petrogustavo</v>
      </c>
      <c r="C16701" s="5" t="s">
        <v>16</v>
      </c>
      <c r="D16701" s="5" t="s">
        <v>16072</v>
      </c>
      <c r="E16701" s="6" t="str">
        <f>HYPERLINK("https://twitter.com/petrogustavo/status/1452041212576378883","1452041212576378883")</f>
        <v>1452041212576378883</v>
      </c>
      <c r="F16701" s="7" t="s">
        <v>17</v>
      </c>
      <c r="G16701" s="7">
        <v>4384441</v>
      </c>
      <c r="H16701" s="7">
        <v>2562</v>
      </c>
      <c r="I16701" s="7">
        <v>148</v>
      </c>
      <c r="J16701" s="7">
        <v>634</v>
      </c>
      <c r="K16701" s="7" t="s">
        <v>18</v>
      </c>
      <c r="L16701" s="8">
        <v>39987.315405092595</v>
      </c>
      <c r="M16701" s="9" t="s">
        <v>19</v>
      </c>
      <c r="N16701" s="9" t="s">
        <v>20</v>
      </c>
      <c r="O16701" s="6" t="str">
        <f>HYPERLINK("https://pbs.twimg.com/profile_images/962471262747529216/Uo8lOkRJ_normal.jpg","View")</f>
        <v>View</v>
      </c>
      <c r="P16701" s="7"/>
    </row>
    <row r="16702" spans="1:16">
      <c r="A16702" s="3">
        <v>44493.906458333338</v>
      </c>
      <c r="B16702" s="4" t="str">
        <f>HYPERLINK("https://twitter.com/petrogustavo","@petrogustavo")</f>
        <v>@petrogustavo</v>
      </c>
      <c r="C16702" s="5" t="s">
        <v>16</v>
      </c>
      <c r="D16702" s="5" t="s">
        <v>16073</v>
      </c>
      <c r="E16702" s="6" t="str">
        <f>HYPERLINK("https://twitter.com/petrogustavo/status/1452307721546567682","1452307721546567682")</f>
        <v>1452307721546567682</v>
      </c>
      <c r="F16702" s="7" t="s">
        <v>17</v>
      </c>
      <c r="G16702" s="7">
        <v>4385002</v>
      </c>
      <c r="H16702" s="7">
        <v>2562</v>
      </c>
      <c r="I16702" s="7">
        <v>65</v>
      </c>
      <c r="J16702" s="7">
        <v>0</v>
      </c>
      <c r="K16702" s="7" t="s">
        <v>18</v>
      </c>
      <c r="L16702" s="8">
        <v>39987.315405092595</v>
      </c>
      <c r="M16702" s="9" t="s">
        <v>19</v>
      </c>
      <c r="N16702" s="9" t="s">
        <v>20</v>
      </c>
      <c r="O16702" s="6" t="str">
        <f>HYPERLINK("https://pbs.twimg.com/profile_images/962471262747529216/Uo8lOkRJ_normal.jpg","View")</f>
        <v>View</v>
      </c>
      <c r="P16702" s="7"/>
    </row>
    <row r="16703" spans="1:16">
      <c r="A16703" s="3">
        <v>44493.9371412037</v>
      </c>
      <c r="B16703" s="4" t="str">
        <f>HYPERLINK("https://twitter.com/petrogustavo","@petrogustavo")</f>
        <v>@petrogustavo</v>
      </c>
      <c r="C16703" s="5" t="s">
        <v>16</v>
      </c>
      <c r="D16703" s="5" t="s">
        <v>16074</v>
      </c>
      <c r="E16703" s="6" t="str">
        <f>HYPERLINK("https://twitter.com/petrogustavo/status/1452318843108532224","1452318843108532224")</f>
        <v>1452318843108532224</v>
      </c>
      <c r="F16703" s="7" t="s">
        <v>17</v>
      </c>
      <c r="G16703" s="7">
        <v>4385042</v>
      </c>
      <c r="H16703" s="7">
        <v>2562</v>
      </c>
      <c r="I16703" s="7">
        <v>142</v>
      </c>
      <c r="J16703" s="7">
        <v>0</v>
      </c>
      <c r="K16703" s="7" t="s">
        <v>18</v>
      </c>
      <c r="L16703" s="8">
        <v>39987.315405092595</v>
      </c>
      <c r="M16703" s="9" t="s">
        <v>19</v>
      </c>
      <c r="N16703" s="9" t="s">
        <v>20</v>
      </c>
      <c r="O16703" s="6" t="str">
        <f>HYPERLINK("https://pbs.twimg.com/profile_images/962471262747529216/Uo8lOkRJ_normal.jpg","View")</f>
        <v>View</v>
      </c>
      <c r="P16703" s="7"/>
    </row>
    <row r="16704" spans="1:16">
      <c r="A16704" s="3">
        <v>44494.099398148144</v>
      </c>
      <c r="B16704" s="4" t="str">
        <f>HYPERLINK("https://twitter.com/petrogustavo","@petrogustavo")</f>
        <v>@petrogustavo</v>
      </c>
      <c r="C16704" s="5" t="s">
        <v>16</v>
      </c>
      <c r="D16704" s="5" t="s">
        <v>16075</v>
      </c>
      <c r="E16704" s="6" t="str">
        <f>HYPERLINK("https://twitter.com/petrogustavo/status/1452377643416948741","1452377643416948741")</f>
        <v>1452377643416948741</v>
      </c>
      <c r="F16704" s="7" t="s">
        <v>17</v>
      </c>
      <c r="G16704" s="7">
        <v>4385206</v>
      </c>
      <c r="H16704" s="7">
        <v>2562</v>
      </c>
      <c r="I16704" s="7">
        <v>262</v>
      </c>
      <c r="J16704" s="7">
        <v>0</v>
      </c>
      <c r="K16704" s="7" t="s">
        <v>18</v>
      </c>
      <c r="L16704" s="8">
        <v>39987.315405092595</v>
      </c>
      <c r="M16704" s="9" t="s">
        <v>19</v>
      </c>
      <c r="N16704" s="9" t="s">
        <v>20</v>
      </c>
      <c r="O16704" s="6" t="str">
        <f>HYPERLINK("https://pbs.twimg.com/profile_images/962471262747529216/Uo8lOkRJ_normal.jpg","View")</f>
        <v>View</v>
      </c>
      <c r="P16704" s="7"/>
    </row>
    <row r="16705" spans="1:16">
      <c r="A16705" s="3">
        <v>44494.242905092593</v>
      </c>
      <c r="B16705" s="4" t="str">
        <f>HYPERLINK("https://twitter.com/petrogustavo","@petrogustavo")</f>
        <v>@petrogustavo</v>
      </c>
      <c r="C16705" s="5" t="s">
        <v>16</v>
      </c>
      <c r="D16705" s="5" t="s">
        <v>16076</v>
      </c>
      <c r="E16705" s="6" t="str">
        <f>HYPERLINK("https://twitter.com/petrogustavo/status/1452429647740874764","1452429647740874764")</f>
        <v>1452429647740874764</v>
      </c>
      <c r="F16705" s="7" t="s">
        <v>32</v>
      </c>
      <c r="G16705" s="7">
        <v>4385319</v>
      </c>
      <c r="H16705" s="7">
        <v>2562</v>
      </c>
      <c r="I16705" s="7">
        <v>109</v>
      </c>
      <c r="J16705" s="7">
        <v>0</v>
      </c>
      <c r="K16705" s="7" t="s">
        <v>18</v>
      </c>
      <c r="L16705" s="8">
        <v>39987.315405092595</v>
      </c>
      <c r="M16705" s="9" t="s">
        <v>19</v>
      </c>
      <c r="N16705" s="9" t="s">
        <v>20</v>
      </c>
      <c r="O16705" s="6" t="str">
        <f>HYPERLINK("https://pbs.twimg.com/profile_images/962471262747529216/Uo8lOkRJ_normal.jpg","View")</f>
        <v>View</v>
      </c>
      <c r="P16705" s="7"/>
    </row>
    <row r="16706" spans="1:16">
      <c r="A16706" s="3">
        <v>44494.244884259257</v>
      </c>
      <c r="B16706" s="4" t="str">
        <f>HYPERLINK("https://twitter.com/petrogustavo","@petrogustavo")</f>
        <v>@petrogustavo</v>
      </c>
      <c r="C16706" s="5" t="s">
        <v>16</v>
      </c>
      <c r="D16706" s="5" t="s">
        <v>16077</v>
      </c>
      <c r="E16706" s="6" t="str">
        <f>HYPERLINK("https://twitter.com/petrogustavo/status/1452430366199910401","1452430366199910401")</f>
        <v>1452430366199910401</v>
      </c>
      <c r="F16706" s="7" t="s">
        <v>32</v>
      </c>
      <c r="G16706" s="7">
        <v>4385319</v>
      </c>
      <c r="H16706" s="7">
        <v>2562</v>
      </c>
      <c r="I16706" s="7">
        <v>204</v>
      </c>
      <c r="J16706" s="7">
        <v>535</v>
      </c>
      <c r="K16706" s="7" t="s">
        <v>18</v>
      </c>
      <c r="L16706" s="8">
        <v>39987.315405092595</v>
      </c>
      <c r="M16706" s="9" t="s">
        <v>19</v>
      </c>
      <c r="N16706" s="9" t="s">
        <v>20</v>
      </c>
      <c r="O16706" s="6" t="str">
        <f>HYPERLINK("https://pbs.twimg.com/profile_images/962471262747529216/Uo8lOkRJ_normal.jpg","View")</f>
        <v>View</v>
      </c>
      <c r="P16706" s="7"/>
    </row>
    <row r="16707" spans="1:16">
      <c r="A16707" s="3">
        <v>44494.820023148146</v>
      </c>
      <c r="B16707" s="4" t="str">
        <f>HYPERLINK("https://twitter.com/petrogustavo","@petrogustavo")</f>
        <v>@petrogustavo</v>
      </c>
      <c r="C16707" s="5" t="s">
        <v>16</v>
      </c>
      <c r="D16707" s="5" t="s">
        <v>16078</v>
      </c>
      <c r="E16707" s="6" t="str">
        <f>HYPERLINK("https://twitter.com/petrogustavo/status/1452638788228984836","1452638788228984836")</f>
        <v>1452638788228984836</v>
      </c>
      <c r="F16707" s="7" t="s">
        <v>17</v>
      </c>
      <c r="G16707" s="7">
        <v>4385610</v>
      </c>
      <c r="H16707" s="7">
        <v>2562</v>
      </c>
      <c r="I16707" s="7">
        <v>35</v>
      </c>
      <c r="J16707" s="7">
        <v>94</v>
      </c>
      <c r="K16707" s="7" t="s">
        <v>18</v>
      </c>
      <c r="L16707" s="8">
        <v>39987.315405092595</v>
      </c>
      <c r="M16707" s="9" t="s">
        <v>19</v>
      </c>
      <c r="N16707" s="9" t="s">
        <v>20</v>
      </c>
      <c r="O16707" s="6" t="str">
        <f>HYPERLINK("https://pbs.twimg.com/profile_images/962471262747529216/Uo8lOkRJ_normal.jpg","View")</f>
        <v>View</v>
      </c>
      <c r="P16707" s="7"/>
    </row>
    <row r="16708" spans="1:16">
      <c r="A16708" s="3">
        <v>44494.820023148146</v>
      </c>
      <c r="B16708" s="4" t="str">
        <f>HYPERLINK("https://twitter.com/petrogustavo","@petrogustavo")</f>
        <v>@petrogustavo</v>
      </c>
      <c r="C16708" s="5" t="s">
        <v>16</v>
      </c>
      <c r="D16708" s="5" t="s">
        <v>16079</v>
      </c>
      <c r="E16708" s="6" t="str">
        <f>HYPERLINK("https://twitter.com/petrogustavo/status/1452638789881503750","1452638789881503750")</f>
        <v>1452638789881503750</v>
      </c>
      <c r="F16708" s="7" t="s">
        <v>17</v>
      </c>
      <c r="G16708" s="7">
        <v>4385610</v>
      </c>
      <c r="H16708" s="7">
        <v>2562</v>
      </c>
      <c r="I16708" s="7">
        <v>9</v>
      </c>
      <c r="J16708" s="7">
        <v>25</v>
      </c>
      <c r="K16708" s="7" t="s">
        <v>18</v>
      </c>
      <c r="L16708" s="8">
        <v>39987.315405092595</v>
      </c>
      <c r="M16708" s="9" t="s">
        <v>19</v>
      </c>
      <c r="N16708" s="9" t="s">
        <v>20</v>
      </c>
      <c r="O16708" s="6" t="str">
        <f>HYPERLINK("https://pbs.twimg.com/profile_images/962471262747529216/Uo8lOkRJ_normal.jpg","View")</f>
        <v>View</v>
      </c>
      <c r="P16708" s="7"/>
    </row>
    <row r="16709" spans="1:16">
      <c r="A16709" s="3">
        <v>44494.820034722223</v>
      </c>
      <c r="B16709" s="4" t="str">
        <f>HYPERLINK("https://twitter.com/petrogustavo","@petrogustavo")</f>
        <v>@petrogustavo</v>
      </c>
      <c r="C16709" s="5" t="s">
        <v>16</v>
      </c>
      <c r="D16709" s="5" t="s">
        <v>16080</v>
      </c>
      <c r="E16709" s="6" t="str">
        <f>HYPERLINK("https://twitter.com/petrogustavo/status/1452638791123050507","1452638791123050507")</f>
        <v>1452638791123050507</v>
      </c>
      <c r="F16709" s="7" t="s">
        <v>17</v>
      </c>
      <c r="G16709" s="7">
        <v>4385610</v>
      </c>
      <c r="H16709" s="7">
        <v>2562</v>
      </c>
      <c r="I16709" s="7">
        <v>7</v>
      </c>
      <c r="J16709" s="7">
        <v>21</v>
      </c>
      <c r="K16709" s="7" t="s">
        <v>18</v>
      </c>
      <c r="L16709" s="8">
        <v>39987.315405092595</v>
      </c>
      <c r="M16709" s="9" t="s">
        <v>19</v>
      </c>
      <c r="N16709" s="9" t="s">
        <v>20</v>
      </c>
      <c r="O16709" s="6" t="str">
        <f>HYPERLINK("https://pbs.twimg.com/profile_images/962471262747529216/Uo8lOkRJ_normal.jpg","View")</f>
        <v>View</v>
      </c>
      <c r="P16709" s="7"/>
    </row>
    <row r="16710" spans="1:16">
      <c r="A16710" s="3">
        <v>44494.820034722223</v>
      </c>
      <c r="B16710" s="4" t="str">
        <f>HYPERLINK("https://twitter.com/petrogustavo","@petrogustavo")</f>
        <v>@petrogustavo</v>
      </c>
      <c r="C16710" s="5" t="s">
        <v>16</v>
      </c>
      <c r="D16710" s="5" t="s">
        <v>16081</v>
      </c>
      <c r="E16710" s="6" t="str">
        <f>HYPERLINK("https://twitter.com/petrogustavo/status/1452638792683331591","1452638792683331591")</f>
        <v>1452638792683331591</v>
      </c>
      <c r="F16710" s="7" t="s">
        <v>17</v>
      </c>
      <c r="G16710" s="7">
        <v>4385610</v>
      </c>
      <c r="H16710" s="7">
        <v>2562</v>
      </c>
      <c r="I16710" s="7">
        <v>7</v>
      </c>
      <c r="J16710" s="7">
        <v>21</v>
      </c>
      <c r="K16710" s="7" t="s">
        <v>18</v>
      </c>
      <c r="L16710" s="8">
        <v>39987.315405092595</v>
      </c>
      <c r="M16710" s="9" t="s">
        <v>19</v>
      </c>
      <c r="N16710" s="9" t="s">
        <v>20</v>
      </c>
      <c r="O16710" s="6" t="str">
        <f>HYPERLINK("https://pbs.twimg.com/profile_images/962471262747529216/Uo8lOkRJ_normal.jpg","View")</f>
        <v>View</v>
      </c>
      <c r="P16710" s="7"/>
    </row>
    <row r="16711" spans="1:16">
      <c r="A16711" s="3">
        <v>44494.820034722223</v>
      </c>
      <c r="B16711" s="4" t="str">
        <f>HYPERLINK("https://twitter.com/petrogustavo","@petrogustavo")</f>
        <v>@petrogustavo</v>
      </c>
      <c r="C16711" s="5" t="s">
        <v>16</v>
      </c>
      <c r="D16711" s="5" t="s">
        <v>16082</v>
      </c>
      <c r="E16711" s="6" t="str">
        <f>HYPERLINK("https://twitter.com/petrogustavo/status/1452638793819951114","1452638793819951114")</f>
        <v>1452638793819951114</v>
      </c>
      <c r="F16711" s="7" t="s">
        <v>17</v>
      </c>
      <c r="G16711" s="7">
        <v>4385610</v>
      </c>
      <c r="H16711" s="7">
        <v>2562</v>
      </c>
      <c r="I16711" s="7">
        <v>11</v>
      </c>
      <c r="J16711" s="7">
        <v>41</v>
      </c>
      <c r="K16711" s="7" t="s">
        <v>18</v>
      </c>
      <c r="L16711" s="8">
        <v>39987.315405092595</v>
      </c>
      <c r="M16711" s="9" t="s">
        <v>19</v>
      </c>
      <c r="N16711" s="9" t="s">
        <v>20</v>
      </c>
      <c r="O16711" s="6" t="str">
        <f>HYPERLINK("https://pbs.twimg.com/profile_images/962471262747529216/Uo8lOkRJ_normal.jpg","View")</f>
        <v>View</v>
      </c>
      <c r="P16711" s="7"/>
    </row>
    <row r="16712" spans="1:16">
      <c r="A16712" s="3">
        <v>44494.8200462963</v>
      </c>
      <c r="B16712" s="4" t="str">
        <f>HYPERLINK("https://twitter.com/petrogustavo","@petrogustavo")</f>
        <v>@petrogustavo</v>
      </c>
      <c r="C16712" s="5" t="s">
        <v>16</v>
      </c>
      <c r="D16712" s="5" t="s">
        <v>16083</v>
      </c>
      <c r="E16712" s="6" t="str">
        <f>HYPERLINK("https://twitter.com/petrogustavo/status/1452638795719921677","1452638795719921677")</f>
        <v>1452638795719921677</v>
      </c>
      <c r="F16712" s="7" t="s">
        <v>17</v>
      </c>
      <c r="G16712" s="7">
        <v>4385610</v>
      </c>
      <c r="H16712" s="7">
        <v>2562</v>
      </c>
      <c r="I16712" s="7">
        <v>14</v>
      </c>
      <c r="J16712" s="7">
        <v>54</v>
      </c>
      <c r="K16712" s="7" t="s">
        <v>18</v>
      </c>
      <c r="L16712" s="8">
        <v>39987.315405092595</v>
      </c>
      <c r="M16712" s="9" t="s">
        <v>19</v>
      </c>
      <c r="N16712" s="9" t="s">
        <v>20</v>
      </c>
      <c r="O16712" s="6" t="str">
        <f>HYPERLINK("https://pbs.twimg.com/profile_images/962471262747529216/Uo8lOkRJ_normal.jpg","View")</f>
        <v>View</v>
      </c>
      <c r="P16712" s="7"/>
    </row>
    <row r="16713" spans="1:16">
      <c r="A16713" s="3">
        <v>44494.823773148149</v>
      </c>
      <c r="B16713" s="4" t="str">
        <f>HYPERLINK("https://twitter.com/petrogustavo","@petrogustavo")</f>
        <v>@petrogustavo</v>
      </c>
      <c r="C16713" s="5" t="s">
        <v>16</v>
      </c>
      <c r="D16713" s="5" t="s">
        <v>16084</v>
      </c>
      <c r="E16713" s="6" t="str">
        <f>HYPERLINK("https://twitter.com/petrogustavo/status/1452640145384132617","1452640145384132617")</f>
        <v>1452640145384132617</v>
      </c>
      <c r="F16713" s="7" t="s">
        <v>17</v>
      </c>
      <c r="G16713" s="7">
        <v>4385610</v>
      </c>
      <c r="H16713" s="7">
        <v>2562</v>
      </c>
      <c r="I16713" s="7">
        <v>19</v>
      </c>
      <c r="J16713" s="7">
        <v>50</v>
      </c>
      <c r="K16713" s="7" t="s">
        <v>18</v>
      </c>
      <c r="L16713" s="8">
        <v>39987.315405092595</v>
      </c>
      <c r="M16713" s="9" t="s">
        <v>19</v>
      </c>
      <c r="N16713" s="9" t="s">
        <v>20</v>
      </c>
      <c r="O16713" s="6" t="str">
        <f>HYPERLINK("https://pbs.twimg.com/profile_images/962471262747529216/Uo8lOkRJ_normal.jpg","View")</f>
        <v>View</v>
      </c>
      <c r="P16713" s="7"/>
    </row>
    <row r="16714" spans="1:16">
      <c r="A16714" s="3">
        <v>44494.823773148149</v>
      </c>
      <c r="B16714" s="4" t="str">
        <f>HYPERLINK("https://twitter.com/petrogustavo","@petrogustavo")</f>
        <v>@petrogustavo</v>
      </c>
      <c r="C16714" s="5" t="s">
        <v>16</v>
      </c>
      <c r="D16714" s="5" t="s">
        <v>16085</v>
      </c>
      <c r="E16714" s="6" t="str">
        <f>HYPERLINK("https://twitter.com/petrogustavo/status/1452640147519025153","1452640147519025153")</f>
        <v>1452640147519025153</v>
      </c>
      <c r="F16714" s="7" t="s">
        <v>17</v>
      </c>
      <c r="G16714" s="7">
        <v>4385610</v>
      </c>
      <c r="H16714" s="7">
        <v>2562</v>
      </c>
      <c r="I16714" s="7">
        <v>10</v>
      </c>
      <c r="J16714" s="7">
        <v>31</v>
      </c>
      <c r="K16714" s="7" t="s">
        <v>18</v>
      </c>
      <c r="L16714" s="8">
        <v>39987.315405092595</v>
      </c>
      <c r="M16714" s="9" t="s">
        <v>19</v>
      </c>
      <c r="N16714" s="9" t="s">
        <v>20</v>
      </c>
      <c r="O16714" s="6" t="str">
        <f>HYPERLINK("https://pbs.twimg.com/profile_images/962471262747529216/Uo8lOkRJ_normal.jpg","View")</f>
        <v>View</v>
      </c>
      <c r="P16714" s="7"/>
    </row>
    <row r="16715" spans="1:16">
      <c r="A16715" s="3">
        <v>44495.26798611111</v>
      </c>
      <c r="B16715" s="4" t="str">
        <f>HYPERLINK("https://twitter.com/petrogustavo","@petrogustavo")</f>
        <v>@petrogustavo</v>
      </c>
      <c r="C16715" s="5" t="s">
        <v>16</v>
      </c>
      <c r="D16715" s="5" t="s">
        <v>16086</v>
      </c>
      <c r="E16715" s="6" t="str">
        <f>HYPERLINK("https://twitter.com/petrogustavo/status/1452801123157487621","1452801123157487621")</f>
        <v>1452801123157487621</v>
      </c>
      <c r="F16715" s="7" t="s">
        <v>32</v>
      </c>
      <c r="G16715" s="7">
        <v>4386077</v>
      </c>
      <c r="H16715" s="7">
        <v>2562</v>
      </c>
      <c r="I16715" s="7">
        <v>136</v>
      </c>
      <c r="J16715" s="7">
        <v>540</v>
      </c>
      <c r="K16715" s="7" t="s">
        <v>18</v>
      </c>
      <c r="L16715" s="8">
        <v>39987.315405092595</v>
      </c>
      <c r="M16715" s="9" t="s">
        <v>19</v>
      </c>
      <c r="N16715" s="9" t="s">
        <v>20</v>
      </c>
      <c r="O16715" s="6" t="str">
        <f>HYPERLINK("https://pbs.twimg.com/profile_images/962471262747529216/Uo8lOkRJ_normal.jpg","View")</f>
        <v>View</v>
      </c>
      <c r="P16715" s="7"/>
    </row>
    <row r="16716" spans="1:16">
      <c r="A16716" s="3">
        <v>44495.800370370373</v>
      </c>
      <c r="B16716" s="4" t="str">
        <f>HYPERLINK("https://twitter.com/petrogustavo","@petrogustavo")</f>
        <v>@petrogustavo</v>
      </c>
      <c r="C16716" s="5" t="s">
        <v>16</v>
      </c>
      <c r="D16716" s="5" t="s">
        <v>16087</v>
      </c>
      <c r="E16716" s="6" t="str">
        <f>HYPERLINK("https://twitter.com/petrogustavo/status/1452994053935706112","1452994053935706112")</f>
        <v>1452994053935706112</v>
      </c>
      <c r="F16716" s="7" t="s">
        <v>32</v>
      </c>
      <c r="G16716" s="7">
        <v>4386323</v>
      </c>
      <c r="H16716" s="7">
        <v>2562</v>
      </c>
      <c r="I16716" s="7">
        <v>30</v>
      </c>
      <c r="J16716" s="7">
        <v>116</v>
      </c>
      <c r="K16716" s="7" t="s">
        <v>18</v>
      </c>
      <c r="L16716" s="8">
        <v>39987.315405092595</v>
      </c>
      <c r="M16716" s="9" t="s">
        <v>19</v>
      </c>
      <c r="N16716" s="9" t="s">
        <v>20</v>
      </c>
      <c r="O16716" s="6" t="str">
        <f>HYPERLINK("https://pbs.twimg.com/profile_images/962471262747529216/Uo8lOkRJ_normal.jpg","View")</f>
        <v>View</v>
      </c>
      <c r="P16716" s="7"/>
    </row>
    <row r="16717" spans="1:16">
      <c r="A16717" s="3">
        <v>44496.748900462961</v>
      </c>
      <c r="B16717" s="4" t="str">
        <f>HYPERLINK("https://twitter.com/petrogustavo","@petrogustavo")</f>
        <v>@petrogustavo</v>
      </c>
      <c r="C16717" s="5" t="s">
        <v>16</v>
      </c>
      <c r="D16717" s="5" t="s">
        <v>16088</v>
      </c>
      <c r="E16717" s="6" t="str">
        <f>HYPERLINK("https://twitter.com/petrogustavo/status/1453337788984725511","1453337788984725511")</f>
        <v>1453337788984725511</v>
      </c>
      <c r="F16717" s="7" t="s">
        <v>17</v>
      </c>
      <c r="G16717" s="7">
        <v>4386993</v>
      </c>
      <c r="H16717" s="7">
        <v>2561</v>
      </c>
      <c r="I16717" s="7">
        <v>131</v>
      </c>
      <c r="J16717" s="7">
        <v>503</v>
      </c>
      <c r="K16717" s="7" t="s">
        <v>18</v>
      </c>
      <c r="L16717" s="8">
        <v>39987.315405092595</v>
      </c>
      <c r="M16717" s="9" t="s">
        <v>19</v>
      </c>
      <c r="N16717" s="9" t="s">
        <v>20</v>
      </c>
      <c r="O16717" s="6" t="str">
        <f>HYPERLINK("https://pbs.twimg.com/profile_images/962471262747529216/Uo8lOkRJ_normal.jpg","View")</f>
        <v>View</v>
      </c>
      <c r="P16717" s="7"/>
    </row>
    <row r="16718" spans="1:16">
      <c r="A16718" s="3">
        <v>44496.763888888891</v>
      </c>
      <c r="B16718" s="4" t="str">
        <f>HYPERLINK("https://twitter.com/petrogustavo","@petrogustavo")</f>
        <v>@petrogustavo</v>
      </c>
      <c r="C16718" s="5" t="s">
        <v>16</v>
      </c>
      <c r="D16718" s="5" t="s">
        <v>16089</v>
      </c>
      <c r="E16718" s="6" t="str">
        <f>HYPERLINK("https://twitter.com/petrogustavo/status/1453343222936264706","1453343222936264706")</f>
        <v>1453343222936264706</v>
      </c>
      <c r="F16718" s="7" t="s">
        <v>17</v>
      </c>
      <c r="G16718" s="7">
        <v>4387017</v>
      </c>
      <c r="H16718" s="7">
        <v>2561</v>
      </c>
      <c r="I16718" s="7">
        <v>221</v>
      </c>
      <c r="J16718" s="7">
        <v>527</v>
      </c>
      <c r="K16718" s="7" t="s">
        <v>18</v>
      </c>
      <c r="L16718" s="8">
        <v>39987.315405092595</v>
      </c>
      <c r="M16718" s="9" t="s">
        <v>19</v>
      </c>
      <c r="N16718" s="9" t="s">
        <v>20</v>
      </c>
      <c r="O16718" s="6" t="str">
        <f>HYPERLINK("https://pbs.twimg.com/profile_images/962471262747529216/Uo8lOkRJ_normal.jpg","View")</f>
        <v>View</v>
      </c>
      <c r="P16718" s="7"/>
    </row>
    <row r="16719" spans="1:16">
      <c r="A16719" s="3">
        <v>44496.763912037037</v>
      </c>
      <c r="B16719" s="4" t="str">
        <f>HYPERLINK("https://twitter.com/petrogustavo","@petrogustavo")</f>
        <v>@petrogustavo</v>
      </c>
      <c r="C16719" s="5" t="s">
        <v>16</v>
      </c>
      <c r="D16719" s="5" t="s">
        <v>16090</v>
      </c>
      <c r="E16719" s="6" t="str">
        <f>HYPERLINK("https://twitter.com/petrogustavo/status/1453343231157092357","1453343231157092357")</f>
        <v>1453343231157092357</v>
      </c>
      <c r="F16719" s="7" t="s">
        <v>17</v>
      </c>
      <c r="G16719" s="7">
        <v>4387017</v>
      </c>
      <c r="H16719" s="7">
        <v>2561</v>
      </c>
      <c r="I16719" s="7">
        <v>42</v>
      </c>
      <c r="J16719" s="7">
        <v>105</v>
      </c>
      <c r="K16719" s="7" t="s">
        <v>18</v>
      </c>
      <c r="L16719" s="8">
        <v>39987.315405092595</v>
      </c>
      <c r="M16719" s="9" t="s">
        <v>19</v>
      </c>
      <c r="N16719" s="9" t="s">
        <v>20</v>
      </c>
      <c r="O16719" s="6" t="str">
        <f>HYPERLINK("https://pbs.twimg.com/profile_images/962471262747529216/Uo8lOkRJ_normal.jpg","View")</f>
        <v>View</v>
      </c>
      <c r="P16719" s="7"/>
    </row>
    <row r="16720" spans="1:16">
      <c r="A16720" s="3">
        <v>44496.763923611114</v>
      </c>
      <c r="B16720" s="4" t="str">
        <f>HYPERLINK("https://twitter.com/petrogustavo","@petrogustavo")</f>
        <v>@petrogustavo</v>
      </c>
      <c r="C16720" s="5" t="s">
        <v>16</v>
      </c>
      <c r="D16720" s="5" t="s">
        <v>16091</v>
      </c>
      <c r="E16720" s="6" t="str">
        <f>HYPERLINK("https://twitter.com/petrogustavo/status/1453343235280101377","1453343235280101377")</f>
        <v>1453343235280101377</v>
      </c>
      <c r="F16720" s="7" t="s">
        <v>17</v>
      </c>
      <c r="G16720" s="7">
        <v>4387017</v>
      </c>
      <c r="H16720" s="7">
        <v>2561</v>
      </c>
      <c r="I16720" s="7">
        <v>36</v>
      </c>
      <c r="J16720" s="7">
        <v>93</v>
      </c>
      <c r="K16720" s="7" t="s">
        <v>18</v>
      </c>
      <c r="L16720" s="8">
        <v>39987.315405092595</v>
      </c>
      <c r="M16720" s="9" t="s">
        <v>19</v>
      </c>
      <c r="N16720" s="9" t="s">
        <v>20</v>
      </c>
      <c r="O16720" s="6" t="str">
        <f>HYPERLINK("https://pbs.twimg.com/profile_images/962471262747529216/Uo8lOkRJ_normal.jpg","View")</f>
        <v>View</v>
      </c>
      <c r="P16720" s="7"/>
    </row>
    <row r="16721" spans="1:16">
      <c r="A16721" s="3">
        <v>44496.763935185183</v>
      </c>
      <c r="B16721" s="4" t="str">
        <f>HYPERLINK("https://twitter.com/petrogustavo","@petrogustavo")</f>
        <v>@petrogustavo</v>
      </c>
      <c r="C16721" s="5" t="s">
        <v>16</v>
      </c>
      <c r="D16721" s="5" t="s">
        <v>16092</v>
      </c>
      <c r="E16721" s="6" t="str">
        <f>HYPERLINK("https://twitter.com/petrogustavo/status/1453343237457027078","1453343237457027078")</f>
        <v>1453343237457027078</v>
      </c>
      <c r="F16721" s="7" t="s">
        <v>17</v>
      </c>
      <c r="G16721" s="7">
        <v>4387017</v>
      </c>
      <c r="H16721" s="7">
        <v>2561</v>
      </c>
      <c r="I16721" s="7">
        <v>39</v>
      </c>
      <c r="J16721" s="7">
        <v>108</v>
      </c>
      <c r="K16721" s="7" t="s">
        <v>18</v>
      </c>
      <c r="L16721" s="8">
        <v>39987.315405092595</v>
      </c>
      <c r="M16721" s="9" t="s">
        <v>19</v>
      </c>
      <c r="N16721" s="9" t="s">
        <v>20</v>
      </c>
      <c r="O16721" s="6" t="str">
        <f>HYPERLINK("https://pbs.twimg.com/profile_images/962471262747529216/Uo8lOkRJ_normal.jpg","View")</f>
        <v>View</v>
      </c>
      <c r="P16721" s="7"/>
    </row>
    <row r="16722" spans="1:16">
      <c r="A16722" s="3">
        <v>44496.763935185183</v>
      </c>
      <c r="B16722" s="4" t="str">
        <f>HYPERLINK("https://twitter.com/petrogustavo","@petrogustavo")</f>
        <v>@petrogustavo</v>
      </c>
      <c r="C16722" s="5" t="s">
        <v>16</v>
      </c>
      <c r="D16722" s="5" t="s">
        <v>16093</v>
      </c>
      <c r="E16722" s="6" t="str">
        <f>HYPERLINK("https://twitter.com/petrogustavo/status/1453343239709331463","1453343239709331463")</f>
        <v>1453343239709331463</v>
      </c>
      <c r="F16722" s="7" t="s">
        <v>17</v>
      </c>
      <c r="G16722" s="7">
        <v>4387017</v>
      </c>
      <c r="H16722" s="7">
        <v>2561</v>
      </c>
      <c r="I16722" s="7">
        <v>38</v>
      </c>
      <c r="J16722" s="7">
        <v>100</v>
      </c>
      <c r="K16722" s="7" t="s">
        <v>18</v>
      </c>
      <c r="L16722" s="8">
        <v>39987.315405092595</v>
      </c>
      <c r="M16722" s="9" t="s">
        <v>19</v>
      </c>
      <c r="N16722" s="9" t="s">
        <v>20</v>
      </c>
      <c r="O16722" s="6" t="str">
        <f>HYPERLINK("https://pbs.twimg.com/profile_images/962471262747529216/Uo8lOkRJ_normal.jpg","View")</f>
        <v>View</v>
      </c>
      <c r="P16722" s="7"/>
    </row>
    <row r="16723" spans="1:16">
      <c r="A16723" s="3">
        <v>44496.76394675926</v>
      </c>
      <c r="B16723" s="4" t="str">
        <f>HYPERLINK("https://twitter.com/petrogustavo","@petrogustavo")</f>
        <v>@petrogustavo</v>
      </c>
      <c r="C16723" s="5" t="s">
        <v>16</v>
      </c>
      <c r="D16723" s="5" t="s">
        <v>16094</v>
      </c>
      <c r="E16723" s="6" t="str">
        <f>HYPERLINK("https://twitter.com/petrogustavo/status/1453343241663885312","1453343241663885312")</f>
        <v>1453343241663885312</v>
      </c>
      <c r="F16723" s="7" t="s">
        <v>17</v>
      </c>
      <c r="G16723" s="7">
        <v>4387017</v>
      </c>
      <c r="H16723" s="7">
        <v>2561</v>
      </c>
      <c r="I16723" s="7">
        <v>69</v>
      </c>
      <c r="J16723" s="7">
        <v>188</v>
      </c>
      <c r="K16723" s="7" t="s">
        <v>18</v>
      </c>
      <c r="L16723" s="8">
        <v>39987.315405092595</v>
      </c>
      <c r="M16723" s="9" t="s">
        <v>19</v>
      </c>
      <c r="N16723" s="9" t="s">
        <v>20</v>
      </c>
      <c r="O16723" s="6" t="str">
        <f>HYPERLINK("https://pbs.twimg.com/profile_images/962471262747529216/Uo8lOkRJ_normal.jpg","View")</f>
        <v>View</v>
      </c>
      <c r="P16723" s="7"/>
    </row>
    <row r="16724" spans="1:16">
      <c r="A16724" s="3">
        <v>44496.76394675926</v>
      </c>
      <c r="B16724" s="4" t="str">
        <f>HYPERLINK("https://twitter.com/petrogustavo","@petrogustavo")</f>
        <v>@petrogustavo</v>
      </c>
      <c r="C16724" s="5" t="s">
        <v>16</v>
      </c>
      <c r="D16724" s="5" t="s">
        <v>16095</v>
      </c>
      <c r="E16724" s="6" t="str">
        <f>HYPERLINK("https://twitter.com/petrogustavo/status/1453343243610034190","1453343243610034190")</f>
        <v>1453343243610034190</v>
      </c>
      <c r="F16724" s="7" t="s">
        <v>17</v>
      </c>
      <c r="G16724" s="7">
        <v>4387017</v>
      </c>
      <c r="H16724" s="7">
        <v>2561</v>
      </c>
      <c r="I16724" s="7">
        <v>102</v>
      </c>
      <c r="J16724" s="7">
        <v>266</v>
      </c>
      <c r="K16724" s="7" t="s">
        <v>18</v>
      </c>
      <c r="L16724" s="8">
        <v>39987.315405092595</v>
      </c>
      <c r="M16724" s="9" t="s">
        <v>19</v>
      </c>
      <c r="N16724" s="9" t="s">
        <v>20</v>
      </c>
      <c r="O16724" s="6" t="str">
        <f>HYPERLINK("https://pbs.twimg.com/profile_images/962471262747529216/Uo8lOkRJ_normal.jpg","View")</f>
        <v>View</v>
      </c>
      <c r="P16724" s="7"/>
    </row>
    <row r="16725" spans="1:16">
      <c r="A16725" s="3">
        <v>44497.714444444442</v>
      </c>
      <c r="B16725" s="4" t="str">
        <f>HYPERLINK("https://twitter.com/petrogustavo","@petrogustavo")</f>
        <v>@petrogustavo</v>
      </c>
      <c r="C16725" s="5" t="s">
        <v>16</v>
      </c>
      <c r="D16725" s="5" t="s">
        <v>16096</v>
      </c>
      <c r="E16725" s="6" t="str">
        <f>HYPERLINK("https://twitter.com/petrogustavo/status/1453687693406318596","1453687693406318596")</f>
        <v>1453687693406318596</v>
      </c>
      <c r="F16725" s="7" t="s">
        <v>17</v>
      </c>
      <c r="G16725" s="7">
        <v>4387659</v>
      </c>
      <c r="H16725" s="7">
        <v>2560</v>
      </c>
      <c r="I16725" s="7">
        <v>62</v>
      </c>
      <c r="J16725" s="7">
        <v>188</v>
      </c>
      <c r="K16725" s="7" t="s">
        <v>18</v>
      </c>
      <c r="L16725" s="8">
        <v>39987.315405092595</v>
      </c>
      <c r="M16725" s="9" t="s">
        <v>19</v>
      </c>
      <c r="N16725" s="9" t="s">
        <v>20</v>
      </c>
      <c r="O16725" s="6" t="str">
        <f>HYPERLINK("https://pbs.twimg.com/profile_images/962471262747529216/Uo8lOkRJ_normal.jpg","View")</f>
        <v>View</v>
      </c>
      <c r="P16725" s="7"/>
    </row>
    <row r="16726" spans="1:16">
      <c r="A16726" s="3">
        <v>44497.774918981479</v>
      </c>
      <c r="B16726" s="4" t="str">
        <f>HYPERLINK("https://twitter.com/petrogustavo","@petrogustavo")</f>
        <v>@petrogustavo</v>
      </c>
      <c r="C16726" s="5" t="s">
        <v>16</v>
      </c>
      <c r="D16726" s="5" t="s">
        <v>16097</v>
      </c>
      <c r="E16726" s="6" t="str">
        <f>HYPERLINK("https://twitter.com/petrogustavo/status/1453709607713525760","1453709607713525760")</f>
        <v>1453709607713525760</v>
      </c>
      <c r="F16726" s="7" t="s">
        <v>17</v>
      </c>
      <c r="G16726" s="7">
        <v>4387695</v>
      </c>
      <c r="H16726" s="7">
        <v>2560</v>
      </c>
      <c r="I16726" s="7">
        <v>73</v>
      </c>
      <c r="J16726" s="7">
        <v>295</v>
      </c>
      <c r="K16726" s="7" t="s">
        <v>18</v>
      </c>
      <c r="L16726" s="8">
        <v>39987.315405092595</v>
      </c>
      <c r="M16726" s="9" t="s">
        <v>19</v>
      </c>
      <c r="N16726" s="9" t="s">
        <v>20</v>
      </c>
      <c r="O16726" s="6" t="str">
        <f>HYPERLINK("https://pbs.twimg.com/profile_images/962471262747529216/Uo8lOkRJ_normal.jpg","View")</f>
        <v>View</v>
      </c>
      <c r="P16726" s="7"/>
    </row>
    <row r="16727" spans="1:16">
      <c r="A16727" s="3">
        <v>44497.836319444439</v>
      </c>
      <c r="B16727" s="4" t="str">
        <f>HYPERLINK("https://twitter.com/petrogustavo","@petrogustavo")</f>
        <v>@petrogustavo</v>
      </c>
      <c r="C16727" s="5" t="s">
        <v>16</v>
      </c>
      <c r="D16727" s="5" t="s">
        <v>16098</v>
      </c>
      <c r="E16727" s="6" t="str">
        <f>HYPERLINK("https://twitter.com/petrogustavo/status/1453731855832731649","1453731855832731649")</f>
        <v>1453731855832731649</v>
      </c>
      <c r="F16727" s="7" t="s">
        <v>17</v>
      </c>
      <c r="G16727" s="7">
        <v>4387042</v>
      </c>
      <c r="H16727" s="7">
        <v>2561</v>
      </c>
      <c r="I16727" s="7">
        <v>106</v>
      </c>
      <c r="J16727" s="7">
        <v>462</v>
      </c>
      <c r="K16727" s="7" t="s">
        <v>18</v>
      </c>
      <c r="L16727" s="8">
        <v>39987.315405092595</v>
      </c>
      <c r="M16727" s="9" t="s">
        <v>19</v>
      </c>
      <c r="N16727" s="9" t="s">
        <v>20</v>
      </c>
      <c r="O16727" s="6" t="str">
        <f>HYPERLINK("https://pbs.twimg.com/profile_images/962471262747529216/Uo8lOkRJ_normal.jpg","View")</f>
        <v>View</v>
      </c>
      <c r="P16727" s="7"/>
    </row>
    <row r="16728" spans="1:16">
      <c r="A16728" s="3">
        <v>44497.942511574074</v>
      </c>
      <c r="B16728" s="4" t="str">
        <f>HYPERLINK("https://twitter.com/petrogustavo","@petrogustavo")</f>
        <v>@petrogustavo</v>
      </c>
      <c r="C16728" s="5" t="s">
        <v>16</v>
      </c>
      <c r="D16728" s="5" t="s">
        <v>16099</v>
      </c>
      <c r="E16728" s="6" t="str">
        <f>HYPERLINK("https://twitter.com/petrogustavo/status/1453770339444473864","1453770339444473864")</f>
        <v>1453770339444473864</v>
      </c>
      <c r="F16728" s="7" t="s">
        <v>17</v>
      </c>
      <c r="G16728" s="7">
        <v>4387821</v>
      </c>
      <c r="H16728" s="7">
        <v>2560</v>
      </c>
      <c r="I16728" s="7">
        <v>978</v>
      </c>
      <c r="J16728" s="7">
        <v>0</v>
      </c>
      <c r="K16728" s="7" t="s">
        <v>18</v>
      </c>
      <c r="L16728" s="8">
        <v>39987.315405092595</v>
      </c>
      <c r="M16728" s="9" t="s">
        <v>19</v>
      </c>
      <c r="N16728" s="9" t="s">
        <v>20</v>
      </c>
      <c r="O16728" s="6" t="str">
        <f>HYPERLINK("https://pbs.twimg.com/profile_images/962471262747529216/Uo8lOkRJ_normal.jpg","View")</f>
        <v>View</v>
      </c>
      <c r="P16728" s="7"/>
    </row>
    <row r="16729" spans="1:16">
      <c r="A16729" s="3">
        <v>44498.197870370372</v>
      </c>
      <c r="B16729" s="4" t="str">
        <f>HYPERLINK("https://twitter.com/petrogustavo","@petrogustavo")</f>
        <v>@petrogustavo</v>
      </c>
      <c r="C16729" s="5" t="s">
        <v>16</v>
      </c>
      <c r="D16729" s="5" t="s">
        <v>16100</v>
      </c>
      <c r="E16729" s="6" t="str">
        <f>HYPERLINK("https://twitter.com/petrogustavo/status/1453862879460007944","1453862879460007944")</f>
        <v>1453862879460007944</v>
      </c>
      <c r="F16729" s="7" t="s">
        <v>17</v>
      </c>
      <c r="G16729" s="7">
        <v>4388034</v>
      </c>
      <c r="H16729" s="7">
        <v>2560</v>
      </c>
      <c r="I16729" s="7">
        <v>206</v>
      </c>
      <c r="J16729" s="7">
        <v>0</v>
      </c>
      <c r="K16729" s="7" t="s">
        <v>18</v>
      </c>
      <c r="L16729" s="8">
        <v>39987.315405092595</v>
      </c>
      <c r="M16729" s="9" t="s">
        <v>19</v>
      </c>
      <c r="N16729" s="9" t="s">
        <v>20</v>
      </c>
      <c r="O16729" s="6" t="str">
        <f>HYPERLINK("https://pbs.twimg.com/profile_images/962471262747529216/Uo8lOkRJ_normal.jpg","View")</f>
        <v>View</v>
      </c>
      <c r="P16729" s="7"/>
    </row>
    <row r="16730" spans="1:16">
      <c r="A16730" s="3">
        <v>44498.197939814811</v>
      </c>
      <c r="B16730" s="4" t="str">
        <f>HYPERLINK("https://twitter.com/petrogustavo","@petrogustavo")</f>
        <v>@petrogustavo</v>
      </c>
      <c r="C16730" s="5" t="s">
        <v>16</v>
      </c>
      <c r="D16730" s="5" t="s">
        <v>16101</v>
      </c>
      <c r="E16730" s="6" t="str">
        <f>HYPERLINK("https://twitter.com/petrogustavo/status/1453862902251806728","1453862902251806728")</f>
        <v>1453862902251806728</v>
      </c>
      <c r="F16730" s="7" t="s">
        <v>17</v>
      </c>
      <c r="G16730" s="7">
        <v>4388034</v>
      </c>
      <c r="H16730" s="7">
        <v>2560</v>
      </c>
      <c r="I16730" s="7">
        <v>170</v>
      </c>
      <c r="J16730" s="7">
        <v>0</v>
      </c>
      <c r="K16730" s="7" t="s">
        <v>18</v>
      </c>
      <c r="L16730" s="8">
        <v>39987.315405092595</v>
      </c>
      <c r="M16730" s="9" t="s">
        <v>19</v>
      </c>
      <c r="N16730" s="9" t="s">
        <v>20</v>
      </c>
      <c r="O16730" s="6" t="str">
        <f>HYPERLINK("https://pbs.twimg.com/profile_images/962471262747529216/Uo8lOkRJ_normal.jpg","View")</f>
        <v>View</v>
      </c>
      <c r="P16730" s="7"/>
    </row>
    <row r="16731" spans="1:16">
      <c r="A16731" s="3">
        <v>44498.214837962965</v>
      </c>
      <c r="B16731" s="4" t="str">
        <f>HYPERLINK("https://twitter.com/petrogustavo","@petrogustavo")</f>
        <v>@petrogustavo</v>
      </c>
      <c r="C16731" s="5" t="s">
        <v>16</v>
      </c>
      <c r="D16731" s="5" t="s">
        <v>16102</v>
      </c>
      <c r="E16731" s="6" t="str">
        <f>HYPERLINK("https://twitter.com/petrogustavo/status/1453869026078232584","1453869026078232584")</f>
        <v>1453869026078232584</v>
      </c>
      <c r="F16731" s="7" t="s">
        <v>17</v>
      </c>
      <c r="G16731" s="7">
        <v>4388057</v>
      </c>
      <c r="H16731" s="7">
        <v>2560</v>
      </c>
      <c r="I16731" s="7">
        <v>64</v>
      </c>
      <c r="J16731" s="7">
        <v>274</v>
      </c>
      <c r="K16731" s="7" t="s">
        <v>18</v>
      </c>
      <c r="L16731" s="8">
        <v>39987.315405092595</v>
      </c>
      <c r="M16731" s="9" t="s">
        <v>19</v>
      </c>
      <c r="N16731" s="9" t="s">
        <v>20</v>
      </c>
      <c r="O16731" s="6" t="str">
        <f>HYPERLINK("https://pbs.twimg.com/profile_images/962471262747529216/Uo8lOkRJ_normal.jpg","View")</f>
        <v>View</v>
      </c>
      <c r="P16731" s="7"/>
    </row>
    <row r="16732" spans="1:16">
      <c r="A16732" s="3">
        <v>44498.286562499998</v>
      </c>
      <c r="B16732" s="4" t="str">
        <f>HYPERLINK("https://twitter.com/petrogustavo","@petrogustavo")</f>
        <v>@petrogustavo</v>
      </c>
      <c r="C16732" s="5" t="s">
        <v>16</v>
      </c>
      <c r="D16732" s="5" t="s">
        <v>16103</v>
      </c>
      <c r="E16732" s="6" t="str">
        <f>HYPERLINK("https://twitter.com/petrogustavo/status/1453895021548167169","1453895021548167169")</f>
        <v>1453895021548167169</v>
      </c>
      <c r="F16732" s="7" t="s">
        <v>17</v>
      </c>
      <c r="G16732" s="7">
        <v>4388141</v>
      </c>
      <c r="H16732" s="7">
        <v>2560</v>
      </c>
      <c r="I16732" s="7">
        <v>78</v>
      </c>
      <c r="J16732" s="7">
        <v>0</v>
      </c>
      <c r="K16732" s="7" t="s">
        <v>18</v>
      </c>
      <c r="L16732" s="8">
        <v>39987.315405092595</v>
      </c>
      <c r="M16732" s="9" t="s">
        <v>19</v>
      </c>
      <c r="N16732" s="9" t="s">
        <v>20</v>
      </c>
      <c r="O16732" s="6" t="str">
        <f>HYPERLINK("https://pbs.twimg.com/profile_images/962471262747529216/Uo8lOkRJ_normal.jpg","View")</f>
        <v>View</v>
      </c>
      <c r="P16732" s="7"/>
    </row>
    <row r="16733" spans="1:16">
      <c r="A16733" s="3">
        <v>44498.307905092588</v>
      </c>
      <c r="B16733" s="4" t="str">
        <f>HYPERLINK("https://twitter.com/petrogustavo","@petrogustavo")</f>
        <v>@petrogustavo</v>
      </c>
      <c r="C16733" s="5" t="s">
        <v>16</v>
      </c>
      <c r="D16733" s="5" t="s">
        <v>16104</v>
      </c>
      <c r="E16733" s="6" t="str">
        <f>HYPERLINK("https://twitter.com/petrogustavo/status/1453902753210720267","1453902753210720267")</f>
        <v>1453902753210720267</v>
      </c>
      <c r="F16733" s="7" t="s">
        <v>17</v>
      </c>
      <c r="G16733" s="7">
        <v>4388135</v>
      </c>
      <c r="H16733" s="7">
        <v>2560</v>
      </c>
      <c r="I16733" s="7">
        <v>138</v>
      </c>
      <c r="J16733" s="7">
        <v>0</v>
      </c>
      <c r="K16733" s="7" t="s">
        <v>18</v>
      </c>
      <c r="L16733" s="8">
        <v>39987.315405092595</v>
      </c>
      <c r="M16733" s="9" t="s">
        <v>19</v>
      </c>
      <c r="N16733" s="9" t="s">
        <v>20</v>
      </c>
      <c r="O16733" s="6" t="str">
        <f>HYPERLINK("https://pbs.twimg.com/profile_images/962471262747529216/Uo8lOkRJ_normal.jpg","View")</f>
        <v>View</v>
      </c>
      <c r="P16733" s="7"/>
    </row>
    <row r="16734" spans="1:16">
      <c r="A16734" s="3">
        <v>44498.324699074074</v>
      </c>
      <c r="B16734" s="4" t="str">
        <f>HYPERLINK("https://twitter.com/petrogustavo","@petrogustavo")</f>
        <v>@petrogustavo</v>
      </c>
      <c r="C16734" s="5" t="s">
        <v>16</v>
      </c>
      <c r="D16734" s="5" t="s">
        <v>16105</v>
      </c>
      <c r="E16734" s="6" t="str">
        <f>HYPERLINK("https://twitter.com/petrogustavo/status/1453908840941039619","1453908840941039619")</f>
        <v>1453908840941039619</v>
      </c>
      <c r="F16734" s="7" t="s">
        <v>17</v>
      </c>
      <c r="G16734" s="7">
        <v>4388157</v>
      </c>
      <c r="H16734" s="7">
        <v>2560</v>
      </c>
      <c r="I16734" s="7">
        <v>206</v>
      </c>
      <c r="J16734" s="7">
        <v>0</v>
      </c>
      <c r="K16734" s="7" t="s">
        <v>18</v>
      </c>
      <c r="L16734" s="8">
        <v>39987.315405092595</v>
      </c>
      <c r="M16734" s="9" t="s">
        <v>19</v>
      </c>
      <c r="N16734" s="9" t="s">
        <v>20</v>
      </c>
      <c r="O16734" s="6" t="str">
        <f>HYPERLINK("https://pbs.twimg.com/profile_images/962471262747529216/Uo8lOkRJ_normal.jpg","View")</f>
        <v>View</v>
      </c>
      <c r="P16734" s="7"/>
    </row>
    <row r="16735" spans="1:16">
      <c r="A16735" s="3">
        <v>44498.702685185184</v>
      </c>
      <c r="B16735" s="4" t="str">
        <f>HYPERLINK("https://twitter.com/petrogustavo","@petrogustavo")</f>
        <v>@petrogustavo</v>
      </c>
      <c r="C16735" s="5" t="s">
        <v>16</v>
      </c>
      <c r="D16735" s="5" t="s">
        <v>16106</v>
      </c>
      <c r="E16735" s="6" t="str">
        <f>HYPERLINK("https://twitter.com/petrogustavo/status/1454045818147770370","1454045818147770370")</f>
        <v>1454045818147770370</v>
      </c>
      <c r="F16735" s="7" t="s">
        <v>17</v>
      </c>
      <c r="G16735" s="7">
        <v>4388286</v>
      </c>
      <c r="H16735" s="7">
        <v>2560</v>
      </c>
      <c r="I16735" s="7">
        <v>147</v>
      </c>
      <c r="J16735" s="7">
        <v>455</v>
      </c>
      <c r="K16735" s="7" t="s">
        <v>18</v>
      </c>
      <c r="L16735" s="8">
        <v>39987.315405092595</v>
      </c>
      <c r="M16735" s="9" t="s">
        <v>19</v>
      </c>
      <c r="N16735" s="9" t="s">
        <v>20</v>
      </c>
      <c r="O16735" s="6" t="str">
        <f>HYPERLINK("https://pbs.twimg.com/profile_images/962471262747529216/Uo8lOkRJ_normal.jpg","View")</f>
        <v>View</v>
      </c>
      <c r="P16735" s="7"/>
    </row>
    <row r="16736" spans="1:16">
      <c r="A16736" s="3">
        <v>44498.883530092593</v>
      </c>
      <c r="B16736" s="4" t="str">
        <f>HYPERLINK("https://twitter.com/petrogustavo","@petrogustavo")</f>
        <v>@petrogustavo</v>
      </c>
      <c r="C16736" s="5" t="s">
        <v>16</v>
      </c>
      <c r="D16736" s="5" t="s">
        <v>16107</v>
      </c>
      <c r="E16736" s="6" t="str">
        <f>HYPERLINK("https://twitter.com/petrogustavo/status/1454111353615040525","1454111353615040525")</f>
        <v>1454111353615040525</v>
      </c>
      <c r="F16736" s="7" t="s">
        <v>17</v>
      </c>
      <c r="G16736" s="7">
        <v>4388396</v>
      </c>
      <c r="H16736" s="7">
        <v>2559</v>
      </c>
      <c r="I16736" s="7">
        <v>1557</v>
      </c>
      <c r="J16736" s="7">
        <v>0</v>
      </c>
      <c r="K16736" s="7" t="s">
        <v>18</v>
      </c>
      <c r="L16736" s="8">
        <v>39987.315405092595</v>
      </c>
      <c r="M16736" s="9" t="s">
        <v>19</v>
      </c>
      <c r="N16736" s="9" t="s">
        <v>20</v>
      </c>
      <c r="O16736" s="6" t="str">
        <f>HYPERLINK("https://pbs.twimg.com/profile_images/962471262747529216/Uo8lOkRJ_normal.jpg","View")</f>
        <v>View</v>
      </c>
      <c r="P16736" s="7"/>
    </row>
    <row r="16737" spans="1:16">
      <c r="A16737" s="3">
        <v>44498.883842592593</v>
      </c>
      <c r="B16737" s="4" t="str">
        <f>HYPERLINK("https://twitter.com/petrogustavo","@petrogustavo")</f>
        <v>@petrogustavo</v>
      </c>
      <c r="C16737" s="5" t="s">
        <v>16</v>
      </c>
      <c r="D16737" s="5" t="s">
        <v>16108</v>
      </c>
      <c r="E16737" s="6" t="str">
        <f>HYPERLINK("https://twitter.com/petrogustavo/status/1454111468534865931","1454111468534865931")</f>
        <v>1454111468534865931</v>
      </c>
      <c r="F16737" s="7" t="s">
        <v>17</v>
      </c>
      <c r="G16737" s="7">
        <v>4388396</v>
      </c>
      <c r="H16737" s="7">
        <v>2559</v>
      </c>
      <c r="I16737" s="7">
        <v>831</v>
      </c>
      <c r="J16737" s="7">
        <v>0</v>
      </c>
      <c r="K16737" s="7" t="s">
        <v>18</v>
      </c>
      <c r="L16737" s="8">
        <v>39987.315405092595</v>
      </c>
      <c r="M16737" s="9" t="s">
        <v>19</v>
      </c>
      <c r="N16737" s="9" t="s">
        <v>20</v>
      </c>
      <c r="O16737" s="6" t="str">
        <f>HYPERLINK("https://pbs.twimg.com/profile_images/962471262747529216/Uo8lOkRJ_normal.jpg","View")</f>
        <v>View</v>
      </c>
      <c r="P16737" s="7"/>
    </row>
    <row r="16738" spans="1:16">
      <c r="A16738" s="3">
        <v>44498.887314814812</v>
      </c>
      <c r="B16738" s="4" t="str">
        <f>HYPERLINK("https://twitter.com/petrogustavo","@petrogustavo")</f>
        <v>@petrogustavo</v>
      </c>
      <c r="C16738" s="5" t="s">
        <v>16</v>
      </c>
      <c r="D16738" s="5" t="s">
        <v>16109</v>
      </c>
      <c r="E16738" s="6" t="str">
        <f>HYPERLINK("https://twitter.com/petrogustavo/status/1454112723940302856","1454112723940302856")</f>
        <v>1454112723940302856</v>
      </c>
      <c r="F16738" s="7" t="s">
        <v>17</v>
      </c>
      <c r="G16738" s="7">
        <v>4388396</v>
      </c>
      <c r="H16738" s="7">
        <v>2559</v>
      </c>
      <c r="I16738" s="7">
        <v>380</v>
      </c>
      <c r="J16738" s="7">
        <v>0</v>
      </c>
      <c r="K16738" s="7" t="s">
        <v>18</v>
      </c>
      <c r="L16738" s="8">
        <v>39987.315405092595</v>
      </c>
      <c r="M16738" s="9" t="s">
        <v>19</v>
      </c>
      <c r="N16738" s="9" t="s">
        <v>20</v>
      </c>
      <c r="O16738" s="6" t="str">
        <f>HYPERLINK("https://pbs.twimg.com/profile_images/962471262747529216/Uo8lOkRJ_normal.jpg","View")</f>
        <v>View</v>
      </c>
      <c r="P16738" s="7"/>
    </row>
    <row r="16739" spans="1:16">
      <c r="A16739" s="3">
        <v>44499.74726851852</v>
      </c>
      <c r="B16739" s="4" t="str">
        <f>HYPERLINK("https://twitter.com/petrogustavo","@petrogustavo")</f>
        <v>@petrogustavo</v>
      </c>
      <c r="C16739" s="5" t="s">
        <v>16</v>
      </c>
      <c r="D16739" s="5" t="s">
        <v>16110</v>
      </c>
      <c r="E16739" s="6" t="str">
        <f>HYPERLINK("https://twitter.com/petrogustavo/status/1454424362329772034","1454424362329772034")</f>
        <v>1454424362329772034</v>
      </c>
      <c r="F16739" s="7" t="s">
        <v>32</v>
      </c>
      <c r="G16739" s="7">
        <v>4388721</v>
      </c>
      <c r="H16739" s="7">
        <v>2560</v>
      </c>
      <c r="I16739" s="7">
        <v>149</v>
      </c>
      <c r="J16739" s="7">
        <v>400</v>
      </c>
      <c r="K16739" s="7" t="s">
        <v>18</v>
      </c>
      <c r="L16739" s="8">
        <v>39987.315405092595</v>
      </c>
      <c r="M16739" s="9" t="s">
        <v>19</v>
      </c>
      <c r="N16739" s="9" t="s">
        <v>20</v>
      </c>
      <c r="O16739" s="6" t="str">
        <f>HYPERLINK("https://pbs.twimg.com/profile_images/962471262747529216/Uo8lOkRJ_normal.jpg","View")</f>
        <v>View</v>
      </c>
      <c r="P16739" s="7"/>
    </row>
    <row r="16740" spans="1:16">
      <c r="A16740" s="3">
        <v>44499.751944444448</v>
      </c>
      <c r="B16740" s="4" t="str">
        <f>HYPERLINK("https://twitter.com/petrogustavo","@petrogustavo")</f>
        <v>@petrogustavo</v>
      </c>
      <c r="C16740" s="5" t="s">
        <v>16</v>
      </c>
      <c r="D16740" s="5" t="s">
        <v>16111</v>
      </c>
      <c r="E16740" s="6" t="str">
        <f>HYPERLINK("https://twitter.com/petrogustavo/status/1454426056065171456","1454426056065171456")</f>
        <v>1454426056065171456</v>
      </c>
      <c r="F16740" s="7" t="s">
        <v>32</v>
      </c>
      <c r="G16740" s="7">
        <v>4388721</v>
      </c>
      <c r="H16740" s="7">
        <v>2560</v>
      </c>
      <c r="I16740" s="7">
        <v>142</v>
      </c>
      <c r="J16740" s="7">
        <v>277</v>
      </c>
      <c r="K16740" s="7" t="s">
        <v>18</v>
      </c>
      <c r="L16740" s="8">
        <v>39987.315405092595</v>
      </c>
      <c r="M16740" s="9" t="s">
        <v>19</v>
      </c>
      <c r="N16740" s="9" t="s">
        <v>20</v>
      </c>
      <c r="O16740" s="6" t="str">
        <f>HYPERLINK("https://pbs.twimg.com/profile_images/962471262747529216/Uo8lOkRJ_normal.jpg","View")</f>
        <v>View</v>
      </c>
      <c r="P16740" s="7"/>
    </row>
    <row r="16741" spans="1:16">
      <c r="A16741" s="3">
        <v>44499.755347222221</v>
      </c>
      <c r="B16741" s="4" t="str">
        <f>HYPERLINK("https://twitter.com/petrogustavo","@petrogustavo")</f>
        <v>@petrogustavo</v>
      </c>
      <c r="C16741" s="5" t="s">
        <v>16</v>
      </c>
      <c r="D16741" s="5" t="s">
        <v>16112</v>
      </c>
      <c r="E16741" s="6" t="str">
        <f>HYPERLINK("https://twitter.com/petrogustavo/status/1454427288637001728","1454427288637001728")</f>
        <v>1454427288637001728</v>
      </c>
      <c r="F16741" s="7" t="s">
        <v>32</v>
      </c>
      <c r="G16741" s="7">
        <v>4388721</v>
      </c>
      <c r="H16741" s="7">
        <v>2560</v>
      </c>
      <c r="I16741" s="7">
        <v>86</v>
      </c>
      <c r="J16741" s="7">
        <v>211</v>
      </c>
      <c r="K16741" s="7" t="s">
        <v>18</v>
      </c>
      <c r="L16741" s="8">
        <v>39987.315405092595</v>
      </c>
      <c r="M16741" s="9" t="s">
        <v>19</v>
      </c>
      <c r="N16741" s="9" t="s">
        <v>20</v>
      </c>
      <c r="O16741" s="6" t="str">
        <f>HYPERLINK("https://pbs.twimg.com/profile_images/962471262747529216/Uo8lOkRJ_normal.jpg","View")</f>
        <v>View</v>
      </c>
      <c r="P16741" s="7"/>
    </row>
    <row r="16742" spans="1:16">
      <c r="A16742" s="3">
        <v>44499.765162037038</v>
      </c>
      <c r="B16742" s="4" t="str">
        <f>HYPERLINK("https://twitter.com/petrogustavo","@petrogustavo")</f>
        <v>@petrogustavo</v>
      </c>
      <c r="C16742" s="5" t="s">
        <v>16</v>
      </c>
      <c r="D16742" s="5" t="s">
        <v>16113</v>
      </c>
      <c r="E16742" s="6" t="str">
        <f>HYPERLINK("https://twitter.com/petrogustavo/status/1454430845343784962","1454430845343784962")</f>
        <v>1454430845343784962</v>
      </c>
      <c r="F16742" s="7" t="s">
        <v>32</v>
      </c>
      <c r="G16742" s="7">
        <v>4388738</v>
      </c>
      <c r="H16742" s="7">
        <v>2560</v>
      </c>
      <c r="I16742" s="7">
        <v>219</v>
      </c>
      <c r="J16742" s="7">
        <v>717</v>
      </c>
      <c r="K16742" s="7" t="s">
        <v>18</v>
      </c>
      <c r="L16742" s="8">
        <v>39987.315405092595</v>
      </c>
      <c r="M16742" s="9" t="s">
        <v>19</v>
      </c>
      <c r="N16742" s="9" t="s">
        <v>20</v>
      </c>
      <c r="O16742" s="6" t="str">
        <f>HYPERLINK("https://pbs.twimg.com/profile_images/962471262747529216/Uo8lOkRJ_normal.jpg","View")</f>
        <v>View</v>
      </c>
      <c r="P16742" s="7"/>
    </row>
    <row r="16743" spans="1:16">
      <c r="A16743" s="3">
        <v>44500.013518518521</v>
      </c>
      <c r="B16743" s="4" t="str">
        <f>HYPERLINK("https://twitter.com/petrogustavo","@petrogustavo")</f>
        <v>@petrogustavo</v>
      </c>
      <c r="C16743" s="5" t="s">
        <v>16</v>
      </c>
      <c r="D16743" s="5" t="s">
        <v>16114</v>
      </c>
      <c r="E16743" s="6" t="str">
        <f>HYPERLINK("https://twitter.com/petrogustavo/status/1454520848535244806","1454520848535244806")</f>
        <v>1454520848535244806</v>
      </c>
      <c r="F16743" s="7" t="s">
        <v>17</v>
      </c>
      <c r="G16743" s="7">
        <v>4388875</v>
      </c>
      <c r="H16743" s="7">
        <v>2560</v>
      </c>
      <c r="I16743" s="7">
        <v>182</v>
      </c>
      <c r="J16743" s="7">
        <v>635</v>
      </c>
      <c r="K16743" s="7" t="s">
        <v>18</v>
      </c>
      <c r="L16743" s="8">
        <v>39987.315405092595</v>
      </c>
      <c r="M16743" s="9" t="s">
        <v>19</v>
      </c>
      <c r="N16743" s="9" t="s">
        <v>20</v>
      </c>
      <c r="O16743" s="6" t="str">
        <f>HYPERLINK("https://pbs.twimg.com/profile_images/962471262747529216/Uo8lOkRJ_normal.jpg","View")</f>
        <v>View</v>
      </c>
      <c r="P16743" s="7"/>
    </row>
    <row r="16744" spans="1:16">
      <c r="A16744" s="3">
        <v>44500.013518518521</v>
      </c>
      <c r="B16744" s="4" t="str">
        <f>HYPERLINK("https://twitter.com/petrogustavo","@petrogustavo")</f>
        <v>@petrogustavo</v>
      </c>
      <c r="C16744" s="5" t="s">
        <v>16</v>
      </c>
      <c r="D16744" s="5" t="s">
        <v>16115</v>
      </c>
      <c r="E16744" s="6" t="str">
        <f>HYPERLINK("https://twitter.com/petrogustavo/status/1454520849877409798","1454520849877409798")</f>
        <v>1454520849877409798</v>
      </c>
      <c r="F16744" s="7" t="s">
        <v>17</v>
      </c>
      <c r="G16744" s="7">
        <v>4388875</v>
      </c>
      <c r="H16744" s="7">
        <v>2560</v>
      </c>
      <c r="I16744" s="7">
        <v>94</v>
      </c>
      <c r="J16744" s="7">
        <v>315</v>
      </c>
      <c r="K16744" s="7" t="s">
        <v>18</v>
      </c>
      <c r="L16744" s="8">
        <v>39987.315405092595</v>
      </c>
      <c r="M16744" s="9" t="s">
        <v>19</v>
      </c>
      <c r="N16744" s="9" t="s">
        <v>20</v>
      </c>
      <c r="O16744" s="6" t="str">
        <f>HYPERLINK("https://pbs.twimg.com/profile_images/962471262747529216/Uo8lOkRJ_normal.jpg","View")</f>
        <v>View</v>
      </c>
      <c r="P16744" s="7"/>
    </row>
    <row r="16745" spans="1:16">
      <c r="A16745" s="3">
        <v>44500.01353009259</v>
      </c>
      <c r="B16745" s="4" t="str">
        <f>HYPERLINK("https://twitter.com/petrogustavo","@petrogustavo")</f>
        <v>@petrogustavo</v>
      </c>
      <c r="C16745" s="5" t="s">
        <v>16</v>
      </c>
      <c r="D16745" s="5" t="s">
        <v>16116</v>
      </c>
      <c r="E16745" s="6" t="str">
        <f>HYPERLINK("https://twitter.com/petrogustavo/status/1454520851542511627","1454520851542511627")</f>
        <v>1454520851542511627</v>
      </c>
      <c r="F16745" s="7" t="s">
        <v>17</v>
      </c>
      <c r="G16745" s="7">
        <v>4388875</v>
      </c>
      <c r="H16745" s="7">
        <v>2560</v>
      </c>
      <c r="I16745" s="7">
        <v>103</v>
      </c>
      <c r="J16745" s="7">
        <v>364</v>
      </c>
      <c r="K16745" s="7" t="s">
        <v>18</v>
      </c>
      <c r="L16745" s="8">
        <v>39987.315405092595</v>
      </c>
      <c r="M16745" s="9" t="s">
        <v>19</v>
      </c>
      <c r="N16745" s="9" t="s">
        <v>20</v>
      </c>
      <c r="O16745" s="6" t="str">
        <f>HYPERLINK("https://pbs.twimg.com/profile_images/962471262747529216/Uo8lOkRJ_normal.jpg","View")</f>
        <v>View</v>
      </c>
      <c r="P16745" s="7"/>
    </row>
    <row r="16746" spans="1:16">
      <c r="A16746" s="3">
        <v>44500.40892361111</v>
      </c>
      <c r="B16746" s="4" t="str">
        <f>HYPERLINK("https://twitter.com/petrogustavo","@petrogustavo")</f>
        <v>@petrogustavo</v>
      </c>
      <c r="C16746" s="5" t="s">
        <v>16</v>
      </c>
      <c r="D16746" s="5" t="s">
        <v>16108</v>
      </c>
      <c r="E16746" s="6" t="str">
        <f>HYPERLINK("https://twitter.com/petrogustavo/status/1454664136416190470","1454664136416190470")</f>
        <v>1454664136416190470</v>
      </c>
      <c r="F16746" s="7" t="s">
        <v>32</v>
      </c>
      <c r="G16746" s="7">
        <v>4389046</v>
      </c>
      <c r="H16746" s="7">
        <v>2562</v>
      </c>
      <c r="I16746" s="7">
        <v>1697</v>
      </c>
      <c r="J16746" s="7">
        <v>0</v>
      </c>
      <c r="K16746" s="7" t="s">
        <v>18</v>
      </c>
      <c r="L16746" s="8">
        <v>39987.315405092595</v>
      </c>
      <c r="M16746" s="9" t="s">
        <v>19</v>
      </c>
      <c r="N16746" s="9" t="s">
        <v>20</v>
      </c>
      <c r="O16746" s="6" t="str">
        <f>HYPERLINK("https://pbs.twimg.com/profile_images/962471262747529216/Uo8lOkRJ_normal.jpg","View")</f>
        <v>View</v>
      </c>
      <c r="P16746" s="7"/>
    </row>
    <row r="16747" spans="1:16">
      <c r="A16747" s="3">
        <v>44500.876284722224</v>
      </c>
      <c r="B16747" s="4" t="str">
        <f>HYPERLINK("https://twitter.com/petrogustavo","@petrogustavo")</f>
        <v>@petrogustavo</v>
      </c>
      <c r="C16747" s="5" t="s">
        <v>16</v>
      </c>
      <c r="D16747" s="5" t="s">
        <v>16117</v>
      </c>
      <c r="E16747" s="6" t="str">
        <f>HYPERLINK("https://twitter.com/petrogustavo/status/1454833504336982019","1454833504336982019")</f>
        <v>1454833504336982019</v>
      </c>
      <c r="F16747" s="7" t="s">
        <v>17</v>
      </c>
      <c r="G16747" s="7">
        <v>4389150</v>
      </c>
      <c r="H16747" s="7">
        <v>2562</v>
      </c>
      <c r="I16747" s="7">
        <v>6</v>
      </c>
      <c r="J16747" s="7">
        <v>29</v>
      </c>
      <c r="K16747" s="7" t="s">
        <v>18</v>
      </c>
      <c r="L16747" s="8">
        <v>39987.315405092595</v>
      </c>
      <c r="M16747" s="9" t="s">
        <v>19</v>
      </c>
      <c r="N16747" s="9" t="s">
        <v>20</v>
      </c>
      <c r="O16747" s="6" t="str">
        <f>HYPERLINK("https://pbs.twimg.com/profile_images/962471262747529216/Uo8lOkRJ_normal.jpg","View")</f>
        <v>View</v>
      </c>
      <c r="P16747" s="7"/>
    </row>
    <row r="16748" spans="1:16">
      <c r="A16748" s="3">
        <v>44500.876296296294</v>
      </c>
      <c r="B16748" s="4" t="str">
        <f>HYPERLINK("https://twitter.com/petrogustavo","@petrogustavo")</f>
        <v>@petrogustavo</v>
      </c>
      <c r="C16748" s="5" t="s">
        <v>16</v>
      </c>
      <c r="D16748" s="5" t="s">
        <v>16118</v>
      </c>
      <c r="E16748" s="6" t="str">
        <f>HYPERLINK("https://twitter.com/petrogustavo/status/1454833506719256578","1454833506719256578")</f>
        <v>1454833506719256578</v>
      </c>
      <c r="F16748" s="7" t="s">
        <v>17</v>
      </c>
      <c r="G16748" s="7">
        <v>4389150</v>
      </c>
      <c r="H16748" s="7">
        <v>2562</v>
      </c>
      <c r="I16748" s="7">
        <v>6</v>
      </c>
      <c r="J16748" s="7">
        <v>17</v>
      </c>
      <c r="K16748" s="7" t="s">
        <v>18</v>
      </c>
      <c r="L16748" s="8">
        <v>39987.315405092595</v>
      </c>
      <c r="M16748" s="9" t="s">
        <v>19</v>
      </c>
      <c r="N16748" s="9" t="s">
        <v>20</v>
      </c>
      <c r="O16748" s="6" t="str">
        <f>HYPERLINK("https://pbs.twimg.com/profile_images/962471262747529216/Uo8lOkRJ_normal.jpg","View")</f>
        <v>View</v>
      </c>
      <c r="P16748" s="7"/>
    </row>
    <row r="16749" spans="1:16">
      <c r="A16749" s="3">
        <v>44500.897673611107</v>
      </c>
      <c r="B16749" s="4" t="str">
        <f>HYPERLINK("https://twitter.com/petrogustavo","@petrogustavo")</f>
        <v>@petrogustavo</v>
      </c>
      <c r="C16749" s="5" t="s">
        <v>16</v>
      </c>
      <c r="D16749" s="5" t="s">
        <v>16119</v>
      </c>
      <c r="E16749" s="6" t="str">
        <f>HYPERLINK("https://twitter.com/petrogustavo/status/1454841256111116293","1454841256111116293")</f>
        <v>1454841256111116293</v>
      </c>
      <c r="F16749" s="7" t="s">
        <v>17</v>
      </c>
      <c r="G16749" s="7">
        <v>4389187</v>
      </c>
      <c r="H16749" s="7">
        <v>2562</v>
      </c>
      <c r="I16749" s="7">
        <v>117</v>
      </c>
      <c r="J16749" s="7">
        <v>459</v>
      </c>
      <c r="K16749" s="7" t="s">
        <v>18</v>
      </c>
      <c r="L16749" s="8">
        <v>39987.315405092595</v>
      </c>
      <c r="M16749" s="9" t="s">
        <v>19</v>
      </c>
      <c r="N16749" s="9" t="s">
        <v>20</v>
      </c>
      <c r="O16749" s="6" t="str">
        <f>HYPERLINK("https://pbs.twimg.com/profile_images/962471262747529216/Uo8lOkRJ_normal.jpg","View")</f>
        <v>View</v>
      </c>
      <c r="P16749" s="7"/>
    </row>
    <row r="16750" spans="1:16">
      <c r="A16750" s="3">
        <v>44500.912719907406</v>
      </c>
      <c r="B16750" s="4" t="str">
        <f>HYPERLINK("https://twitter.com/petrogustavo","@petrogustavo")</f>
        <v>@petrogustavo</v>
      </c>
      <c r="C16750" s="5" t="s">
        <v>16</v>
      </c>
      <c r="D16750" s="5" t="s">
        <v>16120</v>
      </c>
      <c r="E16750" s="6" t="str">
        <f>HYPERLINK("https://twitter.com/petrogustavo/status/1454846708542754817","1454846708542754817")</f>
        <v>1454846708542754817</v>
      </c>
      <c r="F16750" s="7" t="s">
        <v>17</v>
      </c>
      <c r="G16750" s="7">
        <v>4389187</v>
      </c>
      <c r="H16750" s="7">
        <v>2562</v>
      </c>
      <c r="I16750" s="7">
        <v>88</v>
      </c>
      <c r="J16750" s="7">
        <v>277</v>
      </c>
      <c r="K16750" s="7" t="s">
        <v>18</v>
      </c>
      <c r="L16750" s="8">
        <v>39987.315405092595</v>
      </c>
      <c r="M16750" s="9" t="s">
        <v>19</v>
      </c>
      <c r="N16750" s="9" t="s">
        <v>20</v>
      </c>
      <c r="O16750" s="6" t="str">
        <f>HYPERLINK("https://pbs.twimg.com/profile_images/962471262747529216/Uo8lOkRJ_normal.jpg","View")</f>
        <v>View</v>
      </c>
      <c r="P16750" s="7"/>
    </row>
    <row r="16751" spans="1:16">
      <c r="A16751" s="3">
        <v>44501.003668981481</v>
      </c>
      <c r="B16751" s="4" t="str">
        <f>HYPERLINK("https://twitter.com/petrogustavo","@petrogustavo")</f>
        <v>@petrogustavo</v>
      </c>
      <c r="C16751" s="5" t="s">
        <v>16</v>
      </c>
      <c r="D16751" s="5" t="s">
        <v>16121</v>
      </c>
      <c r="E16751" s="6" t="str">
        <f>HYPERLINK("https://twitter.com/petrogustavo/status/1454879666595053574","1454879666595053574")</f>
        <v>1454879666595053574</v>
      </c>
      <c r="F16751" s="7" t="s">
        <v>17</v>
      </c>
      <c r="G16751" s="7">
        <v>4388482</v>
      </c>
      <c r="H16751" s="7">
        <v>2563</v>
      </c>
      <c r="I16751" s="7">
        <v>205</v>
      </c>
      <c r="J16751" s="7">
        <v>953</v>
      </c>
      <c r="K16751" s="7" t="s">
        <v>18</v>
      </c>
      <c r="L16751" s="8">
        <v>39987.315405092595</v>
      </c>
      <c r="M16751" s="9" t="s">
        <v>19</v>
      </c>
      <c r="N16751" s="9" t="s">
        <v>20</v>
      </c>
      <c r="O16751" s="6" t="str">
        <f>HYPERLINK("https://pbs.twimg.com/profile_images/962471262747529216/Uo8lOkRJ_normal.jpg","View")</f>
        <v>View</v>
      </c>
      <c r="P16751" s="7"/>
    </row>
    <row r="16752" spans="1:16">
      <c r="A16752" s="3">
        <v>44501.151724537034</v>
      </c>
      <c r="B16752" s="4" t="str">
        <f>HYPERLINK("https://twitter.com/petrogustavo","@petrogustavo")</f>
        <v>@petrogustavo</v>
      </c>
      <c r="C16752" s="5" t="s">
        <v>16</v>
      </c>
      <c r="D16752" s="4" t="s">
        <v>16122</v>
      </c>
      <c r="E16752" s="6" t="str">
        <f>HYPERLINK("https://twitter.com/petrogustavo/status/1454933319326609409","1454933319326609409")</f>
        <v>1454933319326609409</v>
      </c>
      <c r="F16752" s="7" t="s">
        <v>17</v>
      </c>
      <c r="G16752" s="7">
        <v>4389270</v>
      </c>
      <c r="H16752" s="7">
        <v>2562</v>
      </c>
      <c r="I16752" s="7">
        <v>172</v>
      </c>
      <c r="J16752" s="7">
        <v>1209</v>
      </c>
      <c r="K16752" s="7" t="s">
        <v>18</v>
      </c>
      <c r="L16752" s="8">
        <v>39987.315405092595</v>
      </c>
      <c r="M16752" s="9" t="s">
        <v>19</v>
      </c>
      <c r="N16752" s="9" t="s">
        <v>20</v>
      </c>
      <c r="O16752" s="6" t="str">
        <f>HYPERLINK("https://pbs.twimg.com/profile_images/962471262747529216/Uo8lOkRJ_normal.jpg","View")</f>
        <v>View</v>
      </c>
      <c r="P16752" s="7"/>
    </row>
    <row r="16753" spans="1:16">
      <c r="A16753" s="3">
        <v>44501.178726851853</v>
      </c>
      <c r="B16753" s="4" t="str">
        <f>HYPERLINK("https://twitter.com/petrogustavo","@petrogustavo")</f>
        <v>@petrogustavo</v>
      </c>
      <c r="C16753" s="5" t="s">
        <v>16</v>
      </c>
      <c r="D16753" s="5" t="s">
        <v>16123</v>
      </c>
      <c r="E16753" s="6" t="str">
        <f>HYPERLINK("https://twitter.com/petrogustavo/status/1454943105975832581","1454943105975832581")</f>
        <v>1454943105975832581</v>
      </c>
      <c r="F16753" s="7" t="s">
        <v>17</v>
      </c>
      <c r="G16753" s="7">
        <v>4388559</v>
      </c>
      <c r="H16753" s="7">
        <v>2563</v>
      </c>
      <c r="I16753" s="7">
        <v>55</v>
      </c>
      <c r="J16753" s="7">
        <v>0</v>
      </c>
      <c r="K16753" s="7" t="s">
        <v>18</v>
      </c>
      <c r="L16753" s="8">
        <v>39987.315405092595</v>
      </c>
      <c r="M16753" s="9" t="s">
        <v>19</v>
      </c>
      <c r="N16753" s="9" t="s">
        <v>20</v>
      </c>
      <c r="O16753" s="6" t="str">
        <f>HYPERLINK("https://pbs.twimg.com/profile_images/962471262747529216/Uo8lOkRJ_normal.jpg","View")</f>
        <v>View</v>
      </c>
      <c r="P16753" s="7"/>
    </row>
    <row r="16754" spans="1:16">
      <c r="A16754" s="3">
        <v>44501.262222222227</v>
      </c>
      <c r="B16754" s="4" t="str">
        <f>HYPERLINK("https://twitter.com/petrogustavo","@petrogustavo")</f>
        <v>@petrogustavo</v>
      </c>
      <c r="C16754" s="5" t="s">
        <v>16</v>
      </c>
      <c r="D16754" s="5" t="s">
        <v>16124</v>
      </c>
      <c r="E16754" s="6" t="str">
        <f>HYPERLINK("https://twitter.com/petrogustavo/status/1454973364712480770","1454973364712480770")</f>
        <v>1454973364712480770</v>
      </c>
      <c r="F16754" s="7" t="s">
        <v>17</v>
      </c>
      <c r="G16754" s="7">
        <v>4389328</v>
      </c>
      <c r="H16754" s="7">
        <v>2563</v>
      </c>
      <c r="I16754" s="7">
        <v>66</v>
      </c>
      <c r="J16754" s="7">
        <v>388</v>
      </c>
      <c r="K16754" s="7" t="s">
        <v>18</v>
      </c>
      <c r="L16754" s="8">
        <v>39987.315405092595</v>
      </c>
      <c r="M16754" s="9" t="s">
        <v>19</v>
      </c>
      <c r="N16754" s="9" t="s">
        <v>20</v>
      </c>
      <c r="O16754" s="6" t="str">
        <f>HYPERLINK("https://pbs.twimg.com/profile_images/962471262747529216/Uo8lOkRJ_normal.jpg","View")</f>
        <v>View</v>
      </c>
      <c r="P16754" s="7"/>
    </row>
    <row r="16755" spans="1:16">
      <c r="A16755" s="3">
        <v>44502.18414351852</v>
      </c>
      <c r="B16755" s="4" t="str">
        <f>HYPERLINK("https://twitter.com/petrogustavo","@petrogustavo")</f>
        <v>@petrogustavo</v>
      </c>
      <c r="C16755" s="5" t="s">
        <v>16</v>
      </c>
      <c r="D16755" s="5" t="s">
        <v>16125</v>
      </c>
      <c r="E16755" s="6" t="str">
        <f>HYPERLINK("https://twitter.com/petrogustavo/status/1455307455735517185","1455307455735517185")</f>
        <v>1455307455735517185</v>
      </c>
      <c r="F16755" s="7" t="s">
        <v>32</v>
      </c>
      <c r="G16755" s="7">
        <v>4389690</v>
      </c>
      <c r="H16755" s="7">
        <v>2563</v>
      </c>
      <c r="I16755" s="7">
        <v>71</v>
      </c>
      <c r="J16755" s="7">
        <v>210</v>
      </c>
      <c r="K16755" s="7" t="s">
        <v>18</v>
      </c>
      <c r="L16755" s="8">
        <v>39987.315405092595</v>
      </c>
      <c r="M16755" s="9" t="s">
        <v>19</v>
      </c>
      <c r="N16755" s="9" t="s">
        <v>20</v>
      </c>
      <c r="O16755" s="6" t="str">
        <f>HYPERLINK("https://pbs.twimg.com/profile_images/962471262747529216/Uo8lOkRJ_normal.jpg","View")</f>
        <v>View</v>
      </c>
      <c r="P16755" s="7"/>
    </row>
    <row r="16756" spans="1:16">
      <c r="A16756" s="3">
        <v>44502.192280092597</v>
      </c>
      <c r="B16756" s="4" t="str">
        <f>HYPERLINK("https://twitter.com/petrogustavo","@petrogustavo")</f>
        <v>@petrogustavo</v>
      </c>
      <c r="C16756" s="5" t="s">
        <v>16</v>
      </c>
      <c r="D16756" s="5" t="s">
        <v>16126</v>
      </c>
      <c r="E16756" s="6" t="str">
        <f>HYPERLINK("https://twitter.com/petrogustavo/status/1455310402754068486","1455310402754068486")</f>
        <v>1455310402754068486</v>
      </c>
      <c r="F16756" s="7" t="s">
        <v>32</v>
      </c>
      <c r="G16756" s="7">
        <v>4389704</v>
      </c>
      <c r="H16756" s="7">
        <v>2563</v>
      </c>
      <c r="I16756" s="7">
        <v>119</v>
      </c>
      <c r="J16756" s="7">
        <v>557</v>
      </c>
      <c r="K16756" s="7" t="s">
        <v>18</v>
      </c>
      <c r="L16756" s="8">
        <v>39987.315405092595</v>
      </c>
      <c r="M16756" s="9" t="s">
        <v>19</v>
      </c>
      <c r="N16756" s="9" t="s">
        <v>20</v>
      </c>
      <c r="O16756" s="6" t="str">
        <f>HYPERLINK("https://pbs.twimg.com/profile_images/962471262747529216/Uo8lOkRJ_normal.jpg","View")</f>
        <v>View</v>
      </c>
      <c r="P16756" s="7"/>
    </row>
    <row r="16757" spans="1:16">
      <c r="A16757" s="3">
        <v>44502.231354166666</v>
      </c>
      <c r="B16757" s="4" t="str">
        <f>HYPERLINK("https://twitter.com/petrogustavo","@petrogustavo")</f>
        <v>@petrogustavo</v>
      </c>
      <c r="C16757" s="5" t="s">
        <v>16</v>
      </c>
      <c r="D16757" s="5" t="s">
        <v>16127</v>
      </c>
      <c r="E16757" s="6" t="str">
        <f>HYPERLINK("https://twitter.com/petrogustavo/status/1455324564280553480","1455324564280553480")</f>
        <v>1455324564280553480</v>
      </c>
      <c r="F16757" s="7" t="s">
        <v>32</v>
      </c>
      <c r="G16757" s="7">
        <v>4389715</v>
      </c>
      <c r="H16757" s="7">
        <v>2563</v>
      </c>
      <c r="I16757" s="7">
        <v>415</v>
      </c>
      <c r="J16757" s="7">
        <v>0</v>
      </c>
      <c r="K16757" s="7" t="s">
        <v>18</v>
      </c>
      <c r="L16757" s="8">
        <v>39987.315405092595</v>
      </c>
      <c r="M16757" s="9" t="s">
        <v>19</v>
      </c>
      <c r="N16757" s="9" t="s">
        <v>20</v>
      </c>
      <c r="O16757" s="6" t="str">
        <f>HYPERLINK("https://pbs.twimg.com/profile_images/962471262747529216/Uo8lOkRJ_normal.jpg","View")</f>
        <v>View</v>
      </c>
      <c r="P16757" s="7"/>
    </row>
    <row r="16758" spans="1:16">
      <c r="A16758" s="3">
        <v>44502.255405092597</v>
      </c>
      <c r="B16758" s="4" t="str">
        <f>HYPERLINK("https://twitter.com/petrogustavo","@petrogustavo")</f>
        <v>@petrogustavo</v>
      </c>
      <c r="C16758" s="5" t="s">
        <v>16</v>
      </c>
      <c r="D16758" s="5" t="s">
        <v>16128</v>
      </c>
      <c r="E16758" s="6" t="str">
        <f>HYPERLINK("https://twitter.com/petrogustavo/status/1455333280962781187","1455333280962781187")</f>
        <v>1455333280962781187</v>
      </c>
      <c r="F16758" s="7" t="s">
        <v>21</v>
      </c>
      <c r="G16758" s="7">
        <v>4389736</v>
      </c>
      <c r="H16758" s="7">
        <v>2563</v>
      </c>
      <c r="I16758" s="7">
        <v>291</v>
      </c>
      <c r="J16758" s="7">
        <v>805</v>
      </c>
      <c r="K16758" s="7" t="s">
        <v>18</v>
      </c>
      <c r="L16758" s="8">
        <v>39987.315405092595</v>
      </c>
      <c r="M16758" s="9" t="s">
        <v>19</v>
      </c>
      <c r="N16758" s="9" t="s">
        <v>20</v>
      </c>
      <c r="O16758" s="6" t="str">
        <f>HYPERLINK("https://pbs.twimg.com/profile_images/962471262747529216/Uo8lOkRJ_normal.jpg","View")</f>
        <v>View</v>
      </c>
      <c r="P16758" s="7"/>
    </row>
    <row r="16759" spans="1:16">
      <c r="A16759" s="3">
        <v>44502.696377314816</v>
      </c>
      <c r="B16759" s="4" t="str">
        <f>HYPERLINK("https://twitter.com/petrogustavo","@petrogustavo")</f>
        <v>@petrogustavo</v>
      </c>
      <c r="C16759" s="5" t="s">
        <v>16</v>
      </c>
      <c r="D16759" s="5" t="s">
        <v>16129</v>
      </c>
      <c r="E16759" s="6" t="str">
        <f>HYPERLINK("https://twitter.com/petrogustavo/status/1455493083232153609","1455493083232153609")</f>
        <v>1455493083232153609</v>
      </c>
      <c r="F16759" s="7" t="s">
        <v>17</v>
      </c>
      <c r="G16759" s="7">
        <v>4389814</v>
      </c>
      <c r="H16759" s="7">
        <v>2563</v>
      </c>
      <c r="I16759" s="7">
        <v>1523</v>
      </c>
      <c r="J16759" s="7">
        <v>0</v>
      </c>
      <c r="K16759" s="7" t="s">
        <v>18</v>
      </c>
      <c r="L16759" s="8">
        <v>39987.315405092595</v>
      </c>
      <c r="M16759" s="9" t="s">
        <v>19</v>
      </c>
      <c r="N16759" s="9" t="s">
        <v>20</v>
      </c>
      <c r="O16759" s="6" t="str">
        <f>HYPERLINK("https://pbs.twimg.com/profile_images/962471262747529216/Uo8lOkRJ_normal.jpg","View")</f>
        <v>View</v>
      </c>
      <c r="P16759" s="7"/>
    </row>
    <row r="16760" spans="1:16">
      <c r="A16760" s="3">
        <v>44502.930891203709</v>
      </c>
      <c r="B16760" s="4" t="str">
        <f>HYPERLINK("https://twitter.com/petrogustavo","@petrogustavo")</f>
        <v>@petrogustavo</v>
      </c>
      <c r="C16760" s="5" t="s">
        <v>16</v>
      </c>
      <c r="D16760" s="5" t="s">
        <v>16129</v>
      </c>
      <c r="E16760" s="6" t="str">
        <f>HYPERLINK("https://twitter.com/petrogustavo/status/1455578070098882570","1455578070098882570")</f>
        <v>1455578070098882570</v>
      </c>
      <c r="F16760" s="7" t="s">
        <v>32</v>
      </c>
      <c r="G16760" s="7">
        <v>4389943</v>
      </c>
      <c r="H16760" s="7">
        <v>2565</v>
      </c>
      <c r="I16760" s="7">
        <v>1985</v>
      </c>
      <c r="J16760" s="7">
        <v>0</v>
      </c>
      <c r="K16760" s="7" t="s">
        <v>18</v>
      </c>
      <c r="L16760" s="8">
        <v>39987.315405092595</v>
      </c>
      <c r="M16760" s="9" t="s">
        <v>19</v>
      </c>
      <c r="N16760" s="9" t="s">
        <v>20</v>
      </c>
      <c r="O16760" s="6" t="str">
        <f>HYPERLINK("https://pbs.twimg.com/profile_images/962471262747529216/Uo8lOkRJ_normal.jpg","View")</f>
        <v>View</v>
      </c>
      <c r="P16760" s="7"/>
    </row>
    <row r="16761" spans="1:16">
      <c r="A16761" s="3">
        <v>44502.972893518519</v>
      </c>
      <c r="B16761" s="4" t="str">
        <f>HYPERLINK("https://twitter.com/petrogustavo","@petrogustavo")</f>
        <v>@petrogustavo</v>
      </c>
      <c r="C16761" s="5" t="s">
        <v>16</v>
      </c>
      <c r="D16761" s="5" t="s">
        <v>16130</v>
      </c>
      <c r="E16761" s="6" t="str">
        <f>HYPERLINK("https://twitter.com/petrogustavo/status/1455593289256734733","1455593289256734733")</f>
        <v>1455593289256734733</v>
      </c>
      <c r="F16761" s="7" t="s">
        <v>17</v>
      </c>
      <c r="G16761" s="7">
        <v>4389950</v>
      </c>
      <c r="H16761" s="7">
        <v>2566</v>
      </c>
      <c r="I16761" s="7">
        <v>147</v>
      </c>
      <c r="J16761" s="7">
        <v>572</v>
      </c>
      <c r="K16761" s="7" t="s">
        <v>18</v>
      </c>
      <c r="L16761" s="8">
        <v>39987.315405092595</v>
      </c>
      <c r="M16761" s="9" t="s">
        <v>19</v>
      </c>
      <c r="N16761" s="9" t="s">
        <v>20</v>
      </c>
      <c r="O16761" s="6" t="str">
        <f>HYPERLINK("https://pbs.twimg.com/profile_images/962471262747529216/Uo8lOkRJ_normal.jpg","View")</f>
        <v>View</v>
      </c>
      <c r="P16761" s="7"/>
    </row>
    <row r="16762" spans="1:16">
      <c r="A16762" s="3">
        <v>44503.143958333334</v>
      </c>
      <c r="B16762" s="4" t="str">
        <f>HYPERLINK("https://twitter.com/petrogustavo","@petrogustavo")</f>
        <v>@petrogustavo</v>
      </c>
      <c r="C16762" s="5" t="s">
        <v>16</v>
      </c>
      <c r="D16762" s="5" t="s">
        <v>16131</v>
      </c>
      <c r="E16762" s="6" t="str">
        <f>HYPERLINK("https://twitter.com/petrogustavo/status/1455655283053764611","1455655283053764611")</f>
        <v>1455655283053764611</v>
      </c>
      <c r="F16762" s="7" t="s">
        <v>17</v>
      </c>
      <c r="G16762" s="7">
        <v>4390043</v>
      </c>
      <c r="H16762" s="7">
        <v>2566</v>
      </c>
      <c r="I16762" s="7">
        <v>44</v>
      </c>
      <c r="J16762" s="7">
        <v>205</v>
      </c>
      <c r="K16762" s="7" t="s">
        <v>18</v>
      </c>
      <c r="L16762" s="8">
        <v>39987.315405092595</v>
      </c>
      <c r="M16762" s="9" t="s">
        <v>19</v>
      </c>
      <c r="N16762" s="9" t="s">
        <v>20</v>
      </c>
      <c r="O16762" s="6" t="str">
        <f>HYPERLINK("https://pbs.twimg.com/profile_images/962471262747529216/Uo8lOkRJ_normal.jpg","View")</f>
        <v>View</v>
      </c>
      <c r="P16762" s="7"/>
    </row>
    <row r="16763" spans="1:16">
      <c r="A16763" s="3">
        <v>44503.161087962959</v>
      </c>
      <c r="B16763" s="4" t="str">
        <f>HYPERLINK("https://twitter.com/petrogustavo","@petrogustavo")</f>
        <v>@petrogustavo</v>
      </c>
      <c r="C16763" s="5" t="s">
        <v>16</v>
      </c>
      <c r="D16763" s="5" t="s">
        <v>16132</v>
      </c>
      <c r="E16763" s="6" t="str">
        <f>HYPERLINK("https://twitter.com/petrogustavo/status/1455661489638027273","1455661489638027273")</f>
        <v>1455661489638027273</v>
      </c>
      <c r="F16763" s="7" t="s">
        <v>32</v>
      </c>
      <c r="G16763" s="7">
        <v>4390054</v>
      </c>
      <c r="H16763" s="7">
        <v>2566</v>
      </c>
      <c r="I16763" s="7">
        <v>58</v>
      </c>
      <c r="J16763" s="7">
        <v>221</v>
      </c>
      <c r="K16763" s="7" t="s">
        <v>18</v>
      </c>
      <c r="L16763" s="8">
        <v>39987.315405092595</v>
      </c>
      <c r="M16763" s="9" t="s">
        <v>19</v>
      </c>
      <c r="N16763" s="9" t="s">
        <v>20</v>
      </c>
      <c r="O16763" s="6" t="str">
        <f>HYPERLINK("https://pbs.twimg.com/profile_images/962471262747529216/Uo8lOkRJ_normal.jpg","View")</f>
        <v>View</v>
      </c>
      <c r="P16763" s="7"/>
    </row>
    <row r="16764" spans="1:16">
      <c r="A16764" s="3">
        <v>44503.188819444447</v>
      </c>
      <c r="B16764" s="4" t="str">
        <f>HYPERLINK("https://twitter.com/petrogustavo","@petrogustavo")</f>
        <v>@petrogustavo</v>
      </c>
      <c r="C16764" s="5" t="s">
        <v>16</v>
      </c>
      <c r="D16764" s="5" t="s">
        <v>16133</v>
      </c>
      <c r="E16764" s="6" t="str">
        <f>HYPERLINK("https://twitter.com/petrogustavo/status/1455671537454010368","1455671537454010368")</f>
        <v>1455671537454010368</v>
      </c>
      <c r="F16764" s="7" t="s">
        <v>32</v>
      </c>
      <c r="G16764" s="7">
        <v>4390069</v>
      </c>
      <c r="H16764" s="7">
        <v>2566</v>
      </c>
      <c r="I16764" s="7">
        <v>1446</v>
      </c>
      <c r="J16764" s="7">
        <v>0</v>
      </c>
      <c r="K16764" s="7" t="s">
        <v>18</v>
      </c>
      <c r="L16764" s="8">
        <v>39987.315405092595</v>
      </c>
      <c r="M16764" s="9" t="s">
        <v>19</v>
      </c>
      <c r="N16764" s="9" t="s">
        <v>20</v>
      </c>
      <c r="O16764" s="6" t="str">
        <f>HYPERLINK("https://pbs.twimg.com/profile_images/962471262747529216/Uo8lOkRJ_normal.jpg","View")</f>
        <v>View</v>
      </c>
      <c r="P16764" s="7"/>
    </row>
    <row r="16765" spans="1:16">
      <c r="A16765" s="3">
        <v>44503.211724537032</v>
      </c>
      <c r="B16765" s="4" t="str">
        <f>HYPERLINK("https://twitter.com/petrogustavo","@petrogustavo")</f>
        <v>@petrogustavo</v>
      </c>
      <c r="C16765" s="5" t="s">
        <v>16</v>
      </c>
      <c r="D16765" s="5" t="s">
        <v>16134</v>
      </c>
      <c r="E16765" s="6" t="str">
        <f>HYPERLINK("https://twitter.com/petrogustavo/status/1455679837373337604","1455679837373337604")</f>
        <v>1455679837373337604</v>
      </c>
      <c r="F16765" s="7" t="s">
        <v>17</v>
      </c>
      <c r="G16765" s="7">
        <v>4390101</v>
      </c>
      <c r="H16765" s="7">
        <v>2566</v>
      </c>
      <c r="I16765" s="7">
        <v>217</v>
      </c>
      <c r="J16765" s="7">
        <v>637</v>
      </c>
      <c r="K16765" s="7" t="s">
        <v>18</v>
      </c>
      <c r="L16765" s="8">
        <v>39987.315405092595</v>
      </c>
      <c r="M16765" s="9" t="s">
        <v>19</v>
      </c>
      <c r="N16765" s="9" t="s">
        <v>20</v>
      </c>
      <c r="O16765" s="6" t="str">
        <f>HYPERLINK("https://pbs.twimg.com/profile_images/962471262747529216/Uo8lOkRJ_normal.jpg","View")</f>
        <v>View</v>
      </c>
      <c r="P16765" s="7"/>
    </row>
    <row r="16766" spans="1:16">
      <c r="A16766" s="3">
        <v>44503.211724537032</v>
      </c>
      <c r="B16766" s="4" t="str">
        <f>HYPERLINK("https://twitter.com/petrogustavo","@petrogustavo")</f>
        <v>@petrogustavo</v>
      </c>
      <c r="C16766" s="5" t="s">
        <v>16</v>
      </c>
      <c r="D16766" s="5" t="s">
        <v>16135</v>
      </c>
      <c r="E16766" s="6" t="str">
        <f>HYPERLINK("https://twitter.com/petrogustavo/status/1455679839462113281","1455679839462113281")</f>
        <v>1455679839462113281</v>
      </c>
      <c r="F16766" s="7" t="s">
        <v>17</v>
      </c>
      <c r="G16766" s="7">
        <v>4390101</v>
      </c>
      <c r="H16766" s="7">
        <v>2566</v>
      </c>
      <c r="I16766" s="7">
        <v>89</v>
      </c>
      <c r="J16766" s="7">
        <v>351</v>
      </c>
      <c r="K16766" s="7" t="s">
        <v>18</v>
      </c>
      <c r="L16766" s="8">
        <v>39987.315405092595</v>
      </c>
      <c r="M16766" s="9" t="s">
        <v>19</v>
      </c>
      <c r="N16766" s="9" t="s">
        <v>20</v>
      </c>
      <c r="O16766" s="6" t="str">
        <f>HYPERLINK("https://pbs.twimg.com/profile_images/962471262747529216/Uo8lOkRJ_normal.jpg","View")</f>
        <v>View</v>
      </c>
      <c r="P16766" s="7"/>
    </row>
    <row r="16767" spans="1:16">
      <c r="A16767" s="3">
        <v>44503.224872685183</v>
      </c>
      <c r="B16767" s="4" t="str">
        <f>HYPERLINK("https://twitter.com/petrogustavo","@petrogustavo")</f>
        <v>@petrogustavo</v>
      </c>
      <c r="C16767" s="5" t="s">
        <v>16</v>
      </c>
      <c r="D16767" s="5" t="s">
        <v>16136</v>
      </c>
      <c r="E16767" s="6" t="str">
        <f>HYPERLINK("https://twitter.com/petrogustavo/status/1455684602362834950","1455684602362834950")</f>
        <v>1455684602362834950</v>
      </c>
      <c r="F16767" s="7" t="s">
        <v>32</v>
      </c>
      <c r="G16767" s="7">
        <v>4390101</v>
      </c>
      <c r="H16767" s="7">
        <v>2566</v>
      </c>
      <c r="I16767" s="7">
        <v>193</v>
      </c>
      <c r="J16767" s="7">
        <v>726</v>
      </c>
      <c r="K16767" s="7" t="s">
        <v>18</v>
      </c>
      <c r="L16767" s="8">
        <v>39987.315405092595</v>
      </c>
      <c r="M16767" s="9" t="s">
        <v>19</v>
      </c>
      <c r="N16767" s="9" t="s">
        <v>20</v>
      </c>
      <c r="O16767" s="6" t="str">
        <f>HYPERLINK("https://pbs.twimg.com/profile_images/962471262747529216/Uo8lOkRJ_normal.jpg","View")</f>
        <v>View</v>
      </c>
      <c r="P16767" s="7"/>
    </row>
    <row r="16768" spans="1:16">
      <c r="A16768" s="3">
        <v>44503.242673611108</v>
      </c>
      <c r="B16768" s="4" t="str">
        <f>HYPERLINK("https://twitter.com/petrogustavo","@petrogustavo")</f>
        <v>@petrogustavo</v>
      </c>
      <c r="C16768" s="5" t="s">
        <v>16</v>
      </c>
      <c r="D16768" s="5" t="s">
        <v>16137</v>
      </c>
      <c r="E16768" s="6" t="str">
        <f>HYPERLINK("https://twitter.com/petrogustavo/status/1455691052552265740","1455691052552265740")</f>
        <v>1455691052552265740</v>
      </c>
      <c r="F16768" s="7" t="s">
        <v>32</v>
      </c>
      <c r="G16768" s="7">
        <v>4390097</v>
      </c>
      <c r="H16768" s="7">
        <v>2566</v>
      </c>
      <c r="I16768" s="7">
        <v>68</v>
      </c>
      <c r="J16768" s="7">
        <v>169</v>
      </c>
      <c r="K16768" s="7" t="s">
        <v>18</v>
      </c>
      <c r="L16768" s="8">
        <v>39987.315405092595</v>
      </c>
      <c r="M16768" s="9" t="s">
        <v>19</v>
      </c>
      <c r="N16768" s="9" t="s">
        <v>20</v>
      </c>
      <c r="O16768" s="6" t="str">
        <f>HYPERLINK("https://pbs.twimg.com/profile_images/962471262747529216/Uo8lOkRJ_normal.jpg","View")</f>
        <v>View</v>
      </c>
      <c r="P16768" s="7"/>
    </row>
    <row r="16769" spans="1:16">
      <c r="A16769" s="3">
        <v>44503.265231481477</v>
      </c>
      <c r="B16769" s="4" t="str">
        <f>HYPERLINK("https://twitter.com/petrogustavo","@petrogustavo")</f>
        <v>@petrogustavo</v>
      </c>
      <c r="C16769" s="5" t="s">
        <v>16</v>
      </c>
      <c r="D16769" s="5" t="s">
        <v>16138</v>
      </c>
      <c r="E16769" s="6" t="str">
        <f>HYPERLINK("https://twitter.com/petrogustavo/status/1455699231105331204","1455699231105331204")</f>
        <v>1455699231105331204</v>
      </c>
      <c r="F16769" s="7" t="s">
        <v>17</v>
      </c>
      <c r="G16769" s="7">
        <v>4390108</v>
      </c>
      <c r="H16769" s="7">
        <v>2566</v>
      </c>
      <c r="I16769" s="7">
        <v>997</v>
      </c>
      <c r="J16769" s="7">
        <v>0</v>
      </c>
      <c r="K16769" s="7" t="s">
        <v>18</v>
      </c>
      <c r="L16769" s="8">
        <v>39987.315405092595</v>
      </c>
      <c r="M16769" s="9" t="s">
        <v>19</v>
      </c>
      <c r="N16769" s="9" t="s">
        <v>20</v>
      </c>
      <c r="O16769" s="6" t="str">
        <f>HYPERLINK("https://pbs.twimg.com/profile_images/962471262747529216/Uo8lOkRJ_normal.jpg","View")</f>
        <v>View</v>
      </c>
      <c r="P16769" s="7"/>
    </row>
    <row r="16770" spans="1:16">
      <c r="A16770" s="3">
        <v>44503.702002314814</v>
      </c>
      <c r="B16770" s="4" t="str">
        <f>HYPERLINK("https://twitter.com/petrogustavo","@petrogustavo")</f>
        <v>@petrogustavo</v>
      </c>
      <c r="C16770" s="5" t="s">
        <v>16</v>
      </c>
      <c r="D16770" s="5" t="s">
        <v>16139</v>
      </c>
      <c r="E16770" s="6" t="str">
        <f>HYPERLINK("https://twitter.com/petrogustavo/status/1455857511014277120","1455857511014277120")</f>
        <v>1455857511014277120</v>
      </c>
      <c r="F16770" s="7" t="s">
        <v>17</v>
      </c>
      <c r="G16770" s="7">
        <v>4390313</v>
      </c>
      <c r="H16770" s="7">
        <v>2566</v>
      </c>
      <c r="I16770" s="7">
        <v>40</v>
      </c>
      <c r="J16770" s="7">
        <v>142</v>
      </c>
      <c r="K16770" s="7" t="s">
        <v>18</v>
      </c>
      <c r="L16770" s="8">
        <v>39987.315405092595</v>
      </c>
      <c r="M16770" s="9" t="s">
        <v>19</v>
      </c>
      <c r="N16770" s="9" t="s">
        <v>20</v>
      </c>
      <c r="O16770" s="6" t="str">
        <f>HYPERLINK("https://pbs.twimg.com/profile_images/962471262747529216/Uo8lOkRJ_normal.jpg","View")</f>
        <v>View</v>
      </c>
      <c r="P16770" s="7"/>
    </row>
    <row r="16771" spans="1:16">
      <c r="A16771" s="3">
        <v>44503.702013888891</v>
      </c>
      <c r="B16771" s="4" t="str">
        <f>HYPERLINK("https://twitter.com/petrogustavo","@petrogustavo")</f>
        <v>@petrogustavo</v>
      </c>
      <c r="C16771" s="5" t="s">
        <v>16</v>
      </c>
      <c r="D16771" s="5" t="s">
        <v>16140</v>
      </c>
      <c r="E16771" s="6" t="str">
        <f>HYPERLINK("https://twitter.com/petrogustavo/status/1455857512884973575","1455857512884973575")</f>
        <v>1455857512884973575</v>
      </c>
      <c r="F16771" s="7" t="s">
        <v>17</v>
      </c>
      <c r="G16771" s="7">
        <v>4390313</v>
      </c>
      <c r="H16771" s="7">
        <v>2566</v>
      </c>
      <c r="I16771" s="7">
        <v>29</v>
      </c>
      <c r="J16771" s="7">
        <v>102</v>
      </c>
      <c r="K16771" s="7" t="s">
        <v>18</v>
      </c>
      <c r="L16771" s="8">
        <v>39987.315405092595</v>
      </c>
      <c r="M16771" s="9" t="s">
        <v>19</v>
      </c>
      <c r="N16771" s="9" t="s">
        <v>20</v>
      </c>
      <c r="O16771" s="6" t="str">
        <f>HYPERLINK("https://pbs.twimg.com/profile_images/962471262747529216/Uo8lOkRJ_normal.jpg","View")</f>
        <v>View</v>
      </c>
      <c r="P16771" s="7"/>
    </row>
    <row r="16772" spans="1:16">
      <c r="A16772" s="3">
        <v>44503.712048611109</v>
      </c>
      <c r="B16772" s="4" t="str">
        <f>HYPERLINK("https://twitter.com/petrogustavo","@petrogustavo")</f>
        <v>@petrogustavo</v>
      </c>
      <c r="C16772" s="5" t="s">
        <v>16</v>
      </c>
      <c r="D16772" s="5" t="s">
        <v>16141</v>
      </c>
      <c r="E16772" s="6" t="str">
        <f>HYPERLINK("https://twitter.com/petrogustavo/status/1455861151154192384","1455861151154192384")</f>
        <v>1455861151154192384</v>
      </c>
      <c r="F16772" s="7" t="s">
        <v>17</v>
      </c>
      <c r="G16772" s="7">
        <v>4390329</v>
      </c>
      <c r="H16772" s="7">
        <v>2566</v>
      </c>
      <c r="I16772" s="7">
        <v>59</v>
      </c>
      <c r="J16772" s="7">
        <v>234</v>
      </c>
      <c r="K16772" s="7" t="s">
        <v>18</v>
      </c>
      <c r="L16772" s="8">
        <v>39987.315405092595</v>
      </c>
      <c r="M16772" s="9" t="s">
        <v>19</v>
      </c>
      <c r="N16772" s="9" t="s">
        <v>20</v>
      </c>
      <c r="O16772" s="6" t="str">
        <f>HYPERLINK("https://pbs.twimg.com/profile_images/962471262747529216/Uo8lOkRJ_normal.jpg","View")</f>
        <v>View</v>
      </c>
      <c r="P16772" s="7"/>
    </row>
    <row r="16773" spans="1:16">
      <c r="A16773" s="3">
        <v>44503.712442129632</v>
      </c>
      <c r="B16773" s="4" t="str">
        <f>HYPERLINK("https://twitter.com/petrogustavo","@petrogustavo")</f>
        <v>@petrogustavo</v>
      </c>
      <c r="C16773" s="5" t="s">
        <v>16</v>
      </c>
      <c r="D16773" s="5" t="s">
        <v>16142</v>
      </c>
      <c r="E16773" s="6" t="str">
        <f>HYPERLINK("https://twitter.com/petrogustavo/status/1455861294783942657","1455861294783942657")</f>
        <v>1455861294783942657</v>
      </c>
      <c r="F16773" s="7" t="s">
        <v>17</v>
      </c>
      <c r="G16773" s="7">
        <v>4390329</v>
      </c>
      <c r="H16773" s="7">
        <v>2566</v>
      </c>
      <c r="I16773" s="7">
        <v>130</v>
      </c>
      <c r="J16773" s="7">
        <v>0</v>
      </c>
      <c r="K16773" s="7" t="s">
        <v>18</v>
      </c>
      <c r="L16773" s="8">
        <v>39987.315405092595</v>
      </c>
      <c r="M16773" s="9" t="s">
        <v>19</v>
      </c>
      <c r="N16773" s="9" t="s">
        <v>20</v>
      </c>
      <c r="O16773" s="6" t="str">
        <f>HYPERLINK("https://pbs.twimg.com/profile_images/962471262747529216/Uo8lOkRJ_normal.jpg","View")</f>
        <v>View</v>
      </c>
      <c r="P16773" s="7"/>
    </row>
    <row r="16774" spans="1:16">
      <c r="A16774" s="3">
        <v>44503.715879629628</v>
      </c>
      <c r="B16774" s="4" t="str">
        <f>HYPERLINK("https://twitter.com/petrogustavo","@petrogustavo")</f>
        <v>@petrogustavo</v>
      </c>
      <c r="C16774" s="5" t="s">
        <v>16</v>
      </c>
      <c r="D16774" s="5" t="s">
        <v>16143</v>
      </c>
      <c r="E16774" s="6" t="str">
        <f>HYPERLINK("https://twitter.com/petrogustavo/status/1455862539225604103","1455862539225604103")</f>
        <v>1455862539225604103</v>
      </c>
      <c r="F16774" s="7" t="s">
        <v>17</v>
      </c>
      <c r="G16774" s="7">
        <v>4390329</v>
      </c>
      <c r="H16774" s="7">
        <v>2566</v>
      </c>
      <c r="I16774" s="7">
        <v>1056</v>
      </c>
      <c r="J16774" s="7">
        <v>0</v>
      </c>
      <c r="K16774" s="7" t="s">
        <v>18</v>
      </c>
      <c r="L16774" s="8">
        <v>39987.315405092595</v>
      </c>
      <c r="M16774" s="9" t="s">
        <v>19</v>
      </c>
      <c r="N16774" s="9" t="s">
        <v>20</v>
      </c>
      <c r="O16774" s="6" t="str">
        <f>HYPERLINK("https://pbs.twimg.com/profile_images/962471262747529216/Uo8lOkRJ_normal.jpg","View")</f>
        <v>View</v>
      </c>
      <c r="P16774" s="7"/>
    </row>
    <row r="16775" spans="1:16">
      <c r="A16775" s="3">
        <v>44503.717268518521</v>
      </c>
      <c r="B16775" s="4" t="str">
        <f>HYPERLINK("https://twitter.com/petrogustavo","@petrogustavo")</f>
        <v>@petrogustavo</v>
      </c>
      <c r="C16775" s="5" t="s">
        <v>16</v>
      </c>
      <c r="D16775" s="5" t="s">
        <v>16144</v>
      </c>
      <c r="E16775" s="6" t="str">
        <f>HYPERLINK("https://twitter.com/petrogustavo/status/1455863041560612866","1455863041560612866")</f>
        <v>1455863041560612866</v>
      </c>
      <c r="F16775" s="7" t="s">
        <v>17</v>
      </c>
      <c r="G16775" s="7">
        <v>4390329</v>
      </c>
      <c r="H16775" s="7">
        <v>2566</v>
      </c>
      <c r="I16775" s="7">
        <v>132</v>
      </c>
      <c r="J16775" s="7">
        <v>385</v>
      </c>
      <c r="K16775" s="7" t="s">
        <v>18</v>
      </c>
      <c r="L16775" s="8">
        <v>39987.315405092595</v>
      </c>
      <c r="M16775" s="9" t="s">
        <v>19</v>
      </c>
      <c r="N16775" s="9" t="s">
        <v>20</v>
      </c>
      <c r="O16775" s="6" t="str">
        <f>HYPERLINK("https://pbs.twimg.com/profile_images/962471262747529216/Uo8lOkRJ_normal.jpg","View")</f>
        <v>View</v>
      </c>
      <c r="P16775" s="7"/>
    </row>
    <row r="16776" spans="1:16">
      <c r="A16776" s="3">
        <v>44503.749537037038</v>
      </c>
      <c r="B16776" s="4" t="str">
        <f>HYPERLINK("https://twitter.com/petrogustavo","@petrogustavo")</f>
        <v>@petrogustavo</v>
      </c>
      <c r="C16776" s="5" t="s">
        <v>16</v>
      </c>
      <c r="D16776" s="5" t="s">
        <v>16145</v>
      </c>
      <c r="E16776" s="6" t="str">
        <f>HYPERLINK("https://twitter.com/petrogustavo/status/1455874735754158081","1455874735754158081")</f>
        <v>1455874735754158081</v>
      </c>
      <c r="F16776" s="7" t="s">
        <v>32</v>
      </c>
      <c r="G16776" s="7">
        <v>4390347</v>
      </c>
      <c r="H16776" s="7">
        <v>2566</v>
      </c>
      <c r="I16776" s="7">
        <v>26</v>
      </c>
      <c r="J16776" s="7">
        <v>103</v>
      </c>
      <c r="K16776" s="7" t="s">
        <v>18</v>
      </c>
      <c r="L16776" s="8">
        <v>39987.315405092595</v>
      </c>
      <c r="M16776" s="9" t="s">
        <v>19</v>
      </c>
      <c r="N16776" s="9" t="s">
        <v>20</v>
      </c>
      <c r="O16776" s="6" t="str">
        <f>HYPERLINK("https://pbs.twimg.com/profile_images/962471262747529216/Uo8lOkRJ_normal.jpg","View")</f>
        <v>View</v>
      </c>
      <c r="P16776" s="7"/>
    </row>
    <row r="16777" spans="1:16">
      <c r="A16777" s="3">
        <v>44503.755115740743</v>
      </c>
      <c r="B16777" s="4" t="str">
        <f>HYPERLINK("https://twitter.com/petrogustavo","@petrogustavo")</f>
        <v>@petrogustavo</v>
      </c>
      <c r="C16777" s="5" t="s">
        <v>16</v>
      </c>
      <c r="D16777" s="5" t="s">
        <v>16146</v>
      </c>
      <c r="E16777" s="6" t="str">
        <f>HYPERLINK("https://twitter.com/petrogustavo/status/1455876756079095813","1455876756079095813")</f>
        <v>1455876756079095813</v>
      </c>
      <c r="F16777" s="7" t="s">
        <v>21</v>
      </c>
      <c r="G16777" s="7">
        <v>4390364</v>
      </c>
      <c r="H16777" s="7">
        <v>2566</v>
      </c>
      <c r="I16777" s="7">
        <v>100</v>
      </c>
      <c r="J16777" s="7">
        <v>354</v>
      </c>
      <c r="K16777" s="7" t="s">
        <v>18</v>
      </c>
      <c r="L16777" s="8">
        <v>39987.315405092595</v>
      </c>
      <c r="M16777" s="9" t="s">
        <v>19</v>
      </c>
      <c r="N16777" s="9" t="s">
        <v>20</v>
      </c>
      <c r="O16777" s="6" t="str">
        <f>HYPERLINK("https://pbs.twimg.com/profile_images/962471262747529216/Uo8lOkRJ_normal.jpg","View")</f>
        <v>View</v>
      </c>
      <c r="P16777" s="7"/>
    </row>
    <row r="16778" spans="1:16">
      <c r="A16778" s="3">
        <v>44503.899768518517</v>
      </c>
      <c r="B16778" s="4" t="str">
        <f>HYPERLINK("https://twitter.com/petrogustavo","@petrogustavo")</f>
        <v>@petrogustavo</v>
      </c>
      <c r="C16778" s="5" t="s">
        <v>16</v>
      </c>
      <c r="D16778" s="5" t="s">
        <v>16147</v>
      </c>
      <c r="E16778" s="6" t="str">
        <f>HYPERLINK("https://twitter.com/petrogustavo/status/1455929175811006470","1455929175811006470")</f>
        <v>1455929175811006470</v>
      </c>
      <c r="F16778" s="7" t="s">
        <v>32</v>
      </c>
      <c r="G16778" s="7">
        <v>4390514</v>
      </c>
      <c r="H16778" s="7">
        <v>2566</v>
      </c>
      <c r="I16778" s="7">
        <v>772</v>
      </c>
      <c r="J16778" s="7">
        <v>0</v>
      </c>
      <c r="K16778" s="7" t="s">
        <v>18</v>
      </c>
      <c r="L16778" s="8">
        <v>39987.315405092595</v>
      </c>
      <c r="M16778" s="9" t="s">
        <v>19</v>
      </c>
      <c r="N16778" s="9" t="s">
        <v>20</v>
      </c>
      <c r="O16778" s="6" t="str">
        <f>HYPERLINK("https://pbs.twimg.com/profile_images/962471262747529216/Uo8lOkRJ_normal.jpg","View")</f>
        <v>View</v>
      </c>
      <c r="P16778" s="7"/>
    </row>
    <row r="16779" spans="1:16">
      <c r="A16779" s="3">
        <v>44503.918773148151</v>
      </c>
      <c r="B16779" s="4" t="str">
        <f>HYPERLINK("https://twitter.com/petrogustavo","@petrogustavo")</f>
        <v>@petrogustavo</v>
      </c>
      <c r="C16779" s="5" t="s">
        <v>16</v>
      </c>
      <c r="D16779" s="5" t="s">
        <v>16148</v>
      </c>
      <c r="E16779" s="6" t="str">
        <f>HYPERLINK("https://twitter.com/petrogustavo/status/1455936063571218435","1455936063571218435")</f>
        <v>1455936063571218435</v>
      </c>
      <c r="F16779" s="7" t="s">
        <v>17</v>
      </c>
      <c r="G16779" s="7">
        <v>4390514</v>
      </c>
      <c r="H16779" s="7">
        <v>2566</v>
      </c>
      <c r="I16779" s="7">
        <v>3</v>
      </c>
      <c r="J16779" s="7">
        <v>0</v>
      </c>
      <c r="K16779" s="7" t="s">
        <v>18</v>
      </c>
      <c r="L16779" s="8">
        <v>39987.315405092595</v>
      </c>
      <c r="M16779" s="9" t="s">
        <v>19</v>
      </c>
      <c r="N16779" s="9" t="s">
        <v>20</v>
      </c>
      <c r="O16779" s="6" t="str">
        <f>HYPERLINK("https://pbs.twimg.com/profile_images/962471262747529216/Uo8lOkRJ_normal.jpg","View")</f>
        <v>View</v>
      </c>
      <c r="P16779" s="7"/>
    </row>
    <row r="16780" spans="1:16">
      <c r="A16780" s="3">
        <v>44503.926863425921</v>
      </c>
      <c r="B16780" s="4" t="str">
        <f>HYPERLINK("https://twitter.com/petrogustavo","@petrogustavo")</f>
        <v>@petrogustavo</v>
      </c>
      <c r="C16780" s="5" t="s">
        <v>16</v>
      </c>
      <c r="D16780" s="5" t="s">
        <v>16149</v>
      </c>
      <c r="E16780" s="6" t="str">
        <f>HYPERLINK("https://twitter.com/petrogustavo/status/1455938995284856845","1455938995284856845")</f>
        <v>1455938995284856845</v>
      </c>
      <c r="F16780" s="7" t="s">
        <v>17</v>
      </c>
      <c r="G16780" s="7">
        <v>4390499</v>
      </c>
      <c r="H16780" s="7">
        <v>2566</v>
      </c>
      <c r="I16780" s="7">
        <v>116</v>
      </c>
      <c r="J16780" s="7">
        <v>360</v>
      </c>
      <c r="K16780" s="7" t="s">
        <v>18</v>
      </c>
      <c r="L16780" s="8">
        <v>39987.315405092595</v>
      </c>
      <c r="M16780" s="9" t="s">
        <v>19</v>
      </c>
      <c r="N16780" s="9" t="s">
        <v>20</v>
      </c>
      <c r="O16780" s="6" t="str">
        <f>HYPERLINK("https://pbs.twimg.com/profile_images/962471262747529216/Uo8lOkRJ_normal.jpg","View")</f>
        <v>View</v>
      </c>
      <c r="P16780" s="7"/>
    </row>
    <row r="16781" spans="1:16">
      <c r="A16781" s="3">
        <v>44503.926863425921</v>
      </c>
      <c r="B16781" s="4" t="str">
        <f>HYPERLINK("https://twitter.com/petrogustavo","@petrogustavo")</f>
        <v>@petrogustavo</v>
      </c>
      <c r="C16781" s="5" t="s">
        <v>16</v>
      </c>
      <c r="D16781" s="5" t="s">
        <v>16150</v>
      </c>
      <c r="E16781" s="6" t="str">
        <f>HYPERLINK("https://twitter.com/petrogustavo/status/1455938998040514565","1455938998040514565")</f>
        <v>1455938998040514565</v>
      </c>
      <c r="F16781" s="7" t="s">
        <v>17</v>
      </c>
      <c r="G16781" s="7">
        <v>4390499</v>
      </c>
      <c r="H16781" s="7">
        <v>2566</v>
      </c>
      <c r="I16781" s="7">
        <v>21</v>
      </c>
      <c r="J16781" s="7">
        <v>53</v>
      </c>
      <c r="K16781" s="7" t="s">
        <v>18</v>
      </c>
      <c r="L16781" s="8">
        <v>39987.315405092595</v>
      </c>
      <c r="M16781" s="9" t="s">
        <v>19</v>
      </c>
      <c r="N16781" s="9" t="s">
        <v>20</v>
      </c>
      <c r="O16781" s="6" t="str">
        <f>HYPERLINK("https://pbs.twimg.com/profile_images/962471262747529216/Uo8lOkRJ_normal.jpg","View")</f>
        <v>View</v>
      </c>
      <c r="P16781" s="7"/>
    </row>
    <row r="16782" spans="1:16">
      <c r="A16782" s="3">
        <v>44503.926875000005</v>
      </c>
      <c r="B16782" s="4" t="str">
        <f>HYPERLINK("https://twitter.com/petrogustavo","@petrogustavo")</f>
        <v>@petrogustavo</v>
      </c>
      <c r="C16782" s="5" t="s">
        <v>16</v>
      </c>
      <c r="D16782" s="5" t="s">
        <v>16151</v>
      </c>
      <c r="E16782" s="6" t="str">
        <f>HYPERLINK("https://twitter.com/petrogustavo/status/1455938999730720772","1455938999730720772")</f>
        <v>1455938999730720772</v>
      </c>
      <c r="F16782" s="7" t="s">
        <v>17</v>
      </c>
      <c r="G16782" s="7">
        <v>4390499</v>
      </c>
      <c r="H16782" s="7">
        <v>2566</v>
      </c>
      <c r="I16782" s="7">
        <v>39</v>
      </c>
      <c r="J16782" s="7">
        <v>153</v>
      </c>
      <c r="K16782" s="7" t="s">
        <v>18</v>
      </c>
      <c r="L16782" s="8">
        <v>39987.315405092595</v>
      </c>
      <c r="M16782" s="9" t="s">
        <v>19</v>
      </c>
      <c r="N16782" s="9" t="s">
        <v>20</v>
      </c>
      <c r="O16782" s="6" t="str">
        <f>HYPERLINK("https://pbs.twimg.com/profile_images/962471262747529216/Uo8lOkRJ_normal.jpg","View")</f>
        <v>View</v>
      </c>
      <c r="P16782" s="7"/>
    </row>
    <row r="16783" spans="1:16">
      <c r="A16783" s="3">
        <v>44503.926875000005</v>
      </c>
      <c r="B16783" s="4" t="str">
        <f>HYPERLINK("https://twitter.com/petrogustavo","@petrogustavo")</f>
        <v>@petrogustavo</v>
      </c>
      <c r="C16783" s="5" t="s">
        <v>16</v>
      </c>
      <c r="D16783" s="5" t="s">
        <v>16152</v>
      </c>
      <c r="E16783" s="6" t="str">
        <f>HYPERLINK("https://twitter.com/petrogustavo/status/1455939001437892610","1455939001437892610")</f>
        <v>1455939001437892610</v>
      </c>
      <c r="F16783" s="7" t="s">
        <v>17</v>
      </c>
      <c r="G16783" s="7">
        <v>4390499</v>
      </c>
      <c r="H16783" s="7">
        <v>2566</v>
      </c>
      <c r="I16783" s="7">
        <v>45</v>
      </c>
      <c r="J16783" s="7">
        <v>147</v>
      </c>
      <c r="K16783" s="7" t="s">
        <v>18</v>
      </c>
      <c r="L16783" s="8">
        <v>39987.315405092595</v>
      </c>
      <c r="M16783" s="9" t="s">
        <v>19</v>
      </c>
      <c r="N16783" s="9" t="s">
        <v>20</v>
      </c>
      <c r="O16783" s="6" t="str">
        <f>HYPERLINK("https://pbs.twimg.com/profile_images/962471262747529216/Uo8lOkRJ_normal.jpg","View")</f>
        <v>View</v>
      </c>
      <c r="P16783" s="7"/>
    </row>
    <row r="16784" spans="1:16">
      <c r="A16784" s="3">
        <v>44504.022604166668</v>
      </c>
      <c r="B16784" s="4" t="str">
        <f>HYPERLINK("https://twitter.com/petrogustavo","@petrogustavo")</f>
        <v>@petrogustavo</v>
      </c>
      <c r="C16784" s="5" t="s">
        <v>16</v>
      </c>
      <c r="D16784" s="5" t="s">
        <v>16153</v>
      </c>
      <c r="E16784" s="6" t="str">
        <f>HYPERLINK("https://twitter.com/petrogustavo/status/1455973691788038145","1455973691788038145")</f>
        <v>1455973691788038145</v>
      </c>
      <c r="F16784" s="7" t="s">
        <v>32</v>
      </c>
      <c r="G16784" s="7">
        <v>4390615</v>
      </c>
      <c r="H16784" s="7">
        <v>2566</v>
      </c>
      <c r="I16784" s="7">
        <v>561</v>
      </c>
      <c r="J16784" s="7">
        <v>0</v>
      </c>
      <c r="K16784" s="7" t="s">
        <v>18</v>
      </c>
      <c r="L16784" s="8">
        <v>39987.315405092595</v>
      </c>
      <c r="M16784" s="9" t="s">
        <v>19</v>
      </c>
      <c r="N16784" s="9" t="s">
        <v>20</v>
      </c>
      <c r="O16784" s="6" t="str">
        <f>HYPERLINK("https://pbs.twimg.com/profile_images/962471262747529216/Uo8lOkRJ_normal.jpg","View")</f>
        <v>View</v>
      </c>
      <c r="P16784" s="7"/>
    </row>
    <row r="16785" spans="1:16">
      <c r="A16785" s="3">
        <v>44504.33211805555</v>
      </c>
      <c r="B16785" s="4" t="str">
        <f>HYPERLINK("https://twitter.com/petrogustavo","@petrogustavo")</f>
        <v>@petrogustavo</v>
      </c>
      <c r="C16785" s="5" t="s">
        <v>16</v>
      </c>
      <c r="D16785" s="5" t="s">
        <v>16153</v>
      </c>
      <c r="E16785" s="6" t="str">
        <f>HYPERLINK("https://twitter.com/petrogustavo/status/1456085854573809670","1456085854573809670")</f>
        <v>1456085854573809670</v>
      </c>
      <c r="F16785" s="7" t="s">
        <v>32</v>
      </c>
      <c r="G16785" s="7">
        <v>4391082</v>
      </c>
      <c r="H16785" s="7">
        <v>2565</v>
      </c>
      <c r="I16785" s="7">
        <v>1120</v>
      </c>
      <c r="J16785" s="7">
        <v>0</v>
      </c>
      <c r="K16785" s="7" t="s">
        <v>18</v>
      </c>
      <c r="L16785" s="8">
        <v>39987.315405092595</v>
      </c>
      <c r="M16785" s="9" t="s">
        <v>19</v>
      </c>
      <c r="N16785" s="9" t="s">
        <v>20</v>
      </c>
      <c r="O16785" s="6" t="str">
        <f>HYPERLINK("https://pbs.twimg.com/profile_images/962471262747529216/Uo8lOkRJ_normal.jpg","View")</f>
        <v>View</v>
      </c>
      <c r="P16785" s="7"/>
    </row>
    <row r="16786" spans="1:16">
      <c r="A16786" s="3">
        <v>44504.698321759264</v>
      </c>
      <c r="B16786" s="4" t="str">
        <f>HYPERLINK("https://twitter.com/petrogustavo","@petrogustavo")</f>
        <v>@petrogustavo</v>
      </c>
      <c r="C16786" s="5" t="s">
        <v>16</v>
      </c>
      <c r="D16786" s="5" t="s">
        <v>16154</v>
      </c>
      <c r="E16786" s="6" t="str">
        <f>HYPERLINK("https://twitter.com/petrogustavo/status/1456218564797648900","1456218564797648900")</f>
        <v>1456218564797648900</v>
      </c>
      <c r="F16786" s="7" t="s">
        <v>17</v>
      </c>
      <c r="G16786" s="7">
        <v>4391288</v>
      </c>
      <c r="H16786" s="7">
        <v>2565</v>
      </c>
      <c r="I16786" s="7">
        <v>94</v>
      </c>
      <c r="J16786" s="7">
        <v>234</v>
      </c>
      <c r="K16786" s="7" t="s">
        <v>18</v>
      </c>
      <c r="L16786" s="8">
        <v>39987.315405092595</v>
      </c>
      <c r="M16786" s="9" t="s">
        <v>19</v>
      </c>
      <c r="N16786" s="9" t="s">
        <v>20</v>
      </c>
      <c r="O16786" s="6" t="str">
        <f>HYPERLINK("https://pbs.twimg.com/profile_images/962471262747529216/Uo8lOkRJ_normal.jpg","View")</f>
        <v>View</v>
      </c>
      <c r="P16786" s="7"/>
    </row>
    <row r="16787" spans="1:16">
      <c r="A16787" s="3">
        <v>44504.742291666669</v>
      </c>
      <c r="B16787" s="4" t="str">
        <f>HYPERLINK("https://twitter.com/petrogustavo","@petrogustavo")</f>
        <v>@petrogustavo</v>
      </c>
      <c r="C16787" s="5" t="s">
        <v>16</v>
      </c>
      <c r="D16787" s="5" t="s">
        <v>16155</v>
      </c>
      <c r="E16787" s="6" t="str">
        <f>HYPERLINK("https://twitter.com/petrogustavo/status/1456234498161586188","1456234498161586188")</f>
        <v>1456234498161586188</v>
      </c>
      <c r="F16787" s="7" t="s">
        <v>32</v>
      </c>
      <c r="G16787" s="7">
        <v>4391341</v>
      </c>
      <c r="H16787" s="7">
        <v>2565</v>
      </c>
      <c r="I16787" s="7">
        <v>21</v>
      </c>
      <c r="J16787" s="7">
        <v>0</v>
      </c>
      <c r="K16787" s="7" t="s">
        <v>18</v>
      </c>
      <c r="L16787" s="8">
        <v>39987.315405092595</v>
      </c>
      <c r="M16787" s="9" t="s">
        <v>19</v>
      </c>
      <c r="N16787" s="9" t="s">
        <v>20</v>
      </c>
      <c r="O16787" s="6" t="str">
        <f>HYPERLINK("https://pbs.twimg.com/profile_images/962471262747529216/Uo8lOkRJ_normal.jpg","View")</f>
        <v>View</v>
      </c>
      <c r="P16787" s="7"/>
    </row>
    <row r="16788" spans="1:16">
      <c r="A16788" s="3">
        <v>44504.751284722224</v>
      </c>
      <c r="B16788" s="4" t="str">
        <f>HYPERLINK("https://twitter.com/petrogustavo","@petrogustavo")</f>
        <v>@petrogustavo</v>
      </c>
      <c r="C16788" s="5" t="s">
        <v>16</v>
      </c>
      <c r="D16788" s="5" t="s">
        <v>16156</v>
      </c>
      <c r="E16788" s="6" t="str">
        <f>HYPERLINK("https://twitter.com/petrogustavo/status/1456237756049412100","1456237756049412100")</f>
        <v>1456237756049412100</v>
      </c>
      <c r="F16788" s="7" t="s">
        <v>32</v>
      </c>
      <c r="G16788" s="7">
        <v>4391341</v>
      </c>
      <c r="H16788" s="7">
        <v>2565</v>
      </c>
      <c r="I16788" s="7">
        <v>9</v>
      </c>
      <c r="J16788" s="7">
        <v>19</v>
      </c>
      <c r="K16788" s="7" t="s">
        <v>18</v>
      </c>
      <c r="L16788" s="8">
        <v>39987.315405092595</v>
      </c>
      <c r="M16788" s="9" t="s">
        <v>19</v>
      </c>
      <c r="N16788" s="9" t="s">
        <v>20</v>
      </c>
      <c r="O16788" s="6" t="str">
        <f>HYPERLINK("https://pbs.twimg.com/profile_images/962471262747529216/Uo8lOkRJ_normal.jpg","View")</f>
        <v>View</v>
      </c>
      <c r="P16788" s="7"/>
    </row>
    <row r="16789" spans="1:16">
      <c r="A16789" s="3">
        <v>44504.751284722224</v>
      </c>
      <c r="B16789" s="4" t="str">
        <f>HYPERLINK("https://twitter.com/petrogustavo","@petrogustavo")</f>
        <v>@petrogustavo</v>
      </c>
      <c r="C16789" s="5" t="s">
        <v>16</v>
      </c>
      <c r="D16789" s="5" t="s">
        <v>16157</v>
      </c>
      <c r="E16789" s="6" t="str">
        <f>HYPERLINK("https://twitter.com/petrogustavo/status/1456237757899186187","1456237757899186187")</f>
        <v>1456237757899186187</v>
      </c>
      <c r="F16789" s="7" t="s">
        <v>32</v>
      </c>
      <c r="G16789" s="7">
        <v>4391341</v>
      </c>
      <c r="H16789" s="7">
        <v>2565</v>
      </c>
      <c r="I16789" s="7">
        <v>2</v>
      </c>
      <c r="J16789" s="7">
        <v>4</v>
      </c>
      <c r="K16789" s="7" t="s">
        <v>18</v>
      </c>
      <c r="L16789" s="8">
        <v>39987.315405092595</v>
      </c>
      <c r="M16789" s="9" t="s">
        <v>19</v>
      </c>
      <c r="N16789" s="9" t="s">
        <v>20</v>
      </c>
      <c r="O16789" s="6" t="str">
        <f>HYPERLINK("https://pbs.twimg.com/profile_images/962471262747529216/Uo8lOkRJ_normal.jpg","View")</f>
        <v>View</v>
      </c>
      <c r="P16789" s="7"/>
    </row>
    <row r="16790" spans="1:16">
      <c r="A16790" s="3">
        <v>44504.751296296294</v>
      </c>
      <c r="B16790" s="4" t="str">
        <f>HYPERLINK("https://twitter.com/petrogustavo","@petrogustavo")</f>
        <v>@petrogustavo</v>
      </c>
      <c r="C16790" s="5" t="s">
        <v>16</v>
      </c>
      <c r="D16790" s="5" t="s">
        <v>16158</v>
      </c>
      <c r="E16790" s="6" t="str">
        <f>HYPERLINK("https://twitter.com/petrogustavo/status/1456237759404953604","1456237759404953604")</f>
        <v>1456237759404953604</v>
      </c>
      <c r="F16790" s="7" t="s">
        <v>32</v>
      </c>
      <c r="G16790" s="7">
        <v>4391341</v>
      </c>
      <c r="H16790" s="7">
        <v>2565</v>
      </c>
      <c r="I16790" s="7">
        <v>2</v>
      </c>
      <c r="J16790" s="7">
        <v>6</v>
      </c>
      <c r="K16790" s="7" t="s">
        <v>18</v>
      </c>
      <c r="L16790" s="8">
        <v>39987.315405092595</v>
      </c>
      <c r="M16790" s="9" t="s">
        <v>19</v>
      </c>
      <c r="N16790" s="9" t="s">
        <v>20</v>
      </c>
      <c r="O16790" s="6" t="str">
        <f>HYPERLINK("https://pbs.twimg.com/profile_images/962471262747529216/Uo8lOkRJ_normal.jpg","View")</f>
        <v>View</v>
      </c>
      <c r="P16790" s="7"/>
    </row>
    <row r="16791" spans="1:16">
      <c r="A16791" s="3">
        <v>44504.755995370375</v>
      </c>
      <c r="B16791" s="4" t="str">
        <f>HYPERLINK("https://twitter.com/petrogustavo","@petrogustavo")</f>
        <v>@petrogustavo</v>
      </c>
      <c r="C16791" s="5" t="s">
        <v>16</v>
      </c>
      <c r="D16791" s="5" t="s">
        <v>16159</v>
      </c>
      <c r="E16791" s="6" t="str">
        <f>HYPERLINK("https://twitter.com/petrogustavo/status/1456239464439762946","1456239464439762946")</f>
        <v>1456239464439762946</v>
      </c>
      <c r="F16791" s="7" t="s">
        <v>32</v>
      </c>
      <c r="G16791" s="7">
        <v>4391374</v>
      </c>
      <c r="H16791" s="7">
        <v>2565</v>
      </c>
      <c r="I16791" s="7">
        <v>58</v>
      </c>
      <c r="J16791" s="7">
        <v>193</v>
      </c>
      <c r="K16791" s="7" t="s">
        <v>18</v>
      </c>
      <c r="L16791" s="8">
        <v>39987.315405092595</v>
      </c>
      <c r="M16791" s="9" t="s">
        <v>19</v>
      </c>
      <c r="N16791" s="9" t="s">
        <v>20</v>
      </c>
      <c r="O16791" s="6" t="str">
        <f>HYPERLINK("https://pbs.twimg.com/profile_images/962471262747529216/Uo8lOkRJ_normal.jpg","View")</f>
        <v>View</v>
      </c>
      <c r="P16791" s="7"/>
    </row>
    <row r="16792" spans="1:16">
      <c r="A16792" s="3">
        <v>44504.761956018519</v>
      </c>
      <c r="B16792" s="4" t="str">
        <f>HYPERLINK("https://twitter.com/petrogustavo","@petrogustavo")</f>
        <v>@petrogustavo</v>
      </c>
      <c r="C16792" s="5" t="s">
        <v>16</v>
      </c>
      <c r="D16792" s="5" t="s">
        <v>16160</v>
      </c>
      <c r="E16792" s="6" t="str">
        <f>HYPERLINK("https://twitter.com/petrogustavo/status/1456241623491391495","1456241623491391495")</f>
        <v>1456241623491391495</v>
      </c>
      <c r="F16792" s="7" t="s">
        <v>32</v>
      </c>
      <c r="G16792" s="7">
        <v>4391374</v>
      </c>
      <c r="H16792" s="7">
        <v>2565</v>
      </c>
      <c r="I16792" s="7">
        <v>138</v>
      </c>
      <c r="J16792" s="7">
        <v>0</v>
      </c>
      <c r="K16792" s="7" t="s">
        <v>18</v>
      </c>
      <c r="L16792" s="8">
        <v>39987.315405092595</v>
      </c>
      <c r="M16792" s="9" t="s">
        <v>19</v>
      </c>
      <c r="N16792" s="9" t="s">
        <v>20</v>
      </c>
      <c r="O16792" s="6" t="str">
        <f>HYPERLINK("https://pbs.twimg.com/profile_images/962471262747529216/Uo8lOkRJ_normal.jpg","View")</f>
        <v>View</v>
      </c>
      <c r="P16792" s="7"/>
    </row>
    <row r="16793" spans="1:16">
      <c r="A16793" s="3">
        <v>44504.866261574076</v>
      </c>
      <c r="B16793" s="4" t="str">
        <f>HYPERLINK("https://twitter.com/petrogustavo","@petrogustavo")</f>
        <v>@petrogustavo</v>
      </c>
      <c r="C16793" s="5" t="s">
        <v>16</v>
      </c>
      <c r="D16793" s="5" t="s">
        <v>16160</v>
      </c>
      <c r="E16793" s="6" t="str">
        <f>HYPERLINK("https://twitter.com/petrogustavo/status/1456279424320425984","1456279424320425984")</f>
        <v>1456279424320425984</v>
      </c>
      <c r="F16793" s="7" t="s">
        <v>32</v>
      </c>
      <c r="G16793" s="7">
        <v>4391488</v>
      </c>
      <c r="H16793" s="7">
        <v>2566</v>
      </c>
      <c r="I16793" s="7">
        <v>554</v>
      </c>
      <c r="J16793" s="7">
        <v>0</v>
      </c>
      <c r="K16793" s="7" t="s">
        <v>18</v>
      </c>
      <c r="L16793" s="8">
        <v>39987.315405092595</v>
      </c>
      <c r="M16793" s="9" t="s">
        <v>19</v>
      </c>
      <c r="N16793" s="9" t="s">
        <v>20</v>
      </c>
      <c r="O16793" s="6" t="str">
        <f>HYPERLINK("https://pbs.twimg.com/profile_images/962471262747529216/Uo8lOkRJ_normal.jpg","View")</f>
        <v>View</v>
      </c>
      <c r="P16793" s="7"/>
    </row>
    <row r="16794" spans="1:16">
      <c r="A16794" s="3">
        <v>44504.876527777778</v>
      </c>
      <c r="B16794" s="4" t="str">
        <f>HYPERLINK("https://twitter.com/petrogustavo","@petrogustavo")</f>
        <v>@petrogustavo</v>
      </c>
      <c r="C16794" s="5" t="s">
        <v>16</v>
      </c>
      <c r="D16794" s="5" t="s">
        <v>16161</v>
      </c>
      <c r="E16794" s="6" t="str">
        <f>HYPERLINK("https://twitter.com/petrogustavo/status/1456283143078547457","1456283143078547457")</f>
        <v>1456283143078547457</v>
      </c>
      <c r="F16794" s="7" t="s">
        <v>17</v>
      </c>
      <c r="G16794" s="7">
        <v>4391488</v>
      </c>
      <c r="H16794" s="7">
        <v>2566</v>
      </c>
      <c r="I16794" s="7">
        <v>6</v>
      </c>
      <c r="J16794" s="7">
        <v>20</v>
      </c>
      <c r="K16794" s="7" t="s">
        <v>18</v>
      </c>
      <c r="L16794" s="8">
        <v>39987.315405092595</v>
      </c>
      <c r="M16794" s="9" t="s">
        <v>19</v>
      </c>
      <c r="N16794" s="9" t="s">
        <v>20</v>
      </c>
      <c r="O16794" s="6" t="str">
        <f>HYPERLINK("https://pbs.twimg.com/profile_images/962471262747529216/Uo8lOkRJ_normal.jpg","View")</f>
        <v>View</v>
      </c>
      <c r="P16794" s="7"/>
    </row>
    <row r="16795" spans="1:16">
      <c r="A16795" s="3">
        <v>44504.956817129627</v>
      </c>
      <c r="B16795" s="4" t="str">
        <f>HYPERLINK("https://twitter.com/petrogustavo","@petrogustavo")</f>
        <v>@petrogustavo</v>
      </c>
      <c r="C16795" s="5" t="s">
        <v>16</v>
      </c>
      <c r="D16795" s="5" t="s">
        <v>16162</v>
      </c>
      <c r="E16795" s="6" t="str">
        <f>HYPERLINK("https://twitter.com/petrogustavo/status/1456312238994767875","1456312238994767875")</f>
        <v>1456312238994767875</v>
      </c>
      <c r="F16795" s="7" t="s">
        <v>17</v>
      </c>
      <c r="G16795" s="7">
        <v>4391629</v>
      </c>
      <c r="H16795" s="7">
        <v>2566</v>
      </c>
      <c r="I16795" s="7">
        <v>15</v>
      </c>
      <c r="J16795" s="7">
        <v>0</v>
      </c>
      <c r="K16795" s="7" t="s">
        <v>18</v>
      </c>
      <c r="L16795" s="8">
        <v>39987.315405092595</v>
      </c>
      <c r="M16795" s="9" t="s">
        <v>19</v>
      </c>
      <c r="N16795" s="9" t="s">
        <v>20</v>
      </c>
      <c r="O16795" s="6" t="str">
        <f>HYPERLINK("https://pbs.twimg.com/profile_images/962471262747529216/Uo8lOkRJ_normal.jpg","View")</f>
        <v>View</v>
      </c>
      <c r="P16795" s="7"/>
    </row>
    <row r="16796" spans="1:16">
      <c r="A16796" s="3">
        <v>44504.998113425929</v>
      </c>
      <c r="B16796" s="4" t="str">
        <f>HYPERLINK("https://twitter.com/petrogustavo","@petrogustavo")</f>
        <v>@petrogustavo</v>
      </c>
      <c r="C16796" s="5" t="s">
        <v>16</v>
      </c>
      <c r="D16796" s="5" t="s">
        <v>16163</v>
      </c>
      <c r="E16796" s="6" t="str">
        <f>HYPERLINK("https://twitter.com/petrogustavo/status/1456327204284125184","1456327204284125184")</f>
        <v>1456327204284125184</v>
      </c>
      <c r="F16796" s="7" t="s">
        <v>17</v>
      </c>
      <c r="G16796" s="7">
        <v>4391690</v>
      </c>
      <c r="H16796" s="7">
        <v>2566</v>
      </c>
      <c r="I16796" s="7">
        <v>41</v>
      </c>
      <c r="J16796" s="7">
        <v>123</v>
      </c>
      <c r="K16796" s="7" t="s">
        <v>18</v>
      </c>
      <c r="L16796" s="8">
        <v>39987.315405092595</v>
      </c>
      <c r="M16796" s="9" t="s">
        <v>19</v>
      </c>
      <c r="N16796" s="9" t="s">
        <v>20</v>
      </c>
      <c r="O16796" s="6" t="str">
        <f>HYPERLINK("https://pbs.twimg.com/profile_images/962471262747529216/Uo8lOkRJ_normal.jpg","View")</f>
        <v>View</v>
      </c>
      <c r="P16796" s="7"/>
    </row>
    <row r="16797" spans="1:16">
      <c r="A16797" s="3">
        <v>44505.07331018518</v>
      </c>
      <c r="B16797" s="4" t="str">
        <f>HYPERLINK("https://twitter.com/petrogustavo","@petrogustavo")</f>
        <v>@petrogustavo</v>
      </c>
      <c r="C16797" s="5" t="s">
        <v>16</v>
      </c>
      <c r="D16797" s="5" t="s">
        <v>16164</v>
      </c>
      <c r="E16797" s="6" t="str">
        <f>HYPERLINK("https://twitter.com/petrogustavo/status/1456354456459784199","1456354456459784199")</f>
        <v>1456354456459784199</v>
      </c>
      <c r="F16797" s="7" t="s">
        <v>32</v>
      </c>
      <c r="G16797" s="7">
        <v>4391817</v>
      </c>
      <c r="H16797" s="7">
        <v>2566</v>
      </c>
      <c r="I16797" s="7">
        <v>164</v>
      </c>
      <c r="J16797" s="7">
        <v>401</v>
      </c>
      <c r="K16797" s="7" t="s">
        <v>18</v>
      </c>
      <c r="L16797" s="8">
        <v>39987.315405092595</v>
      </c>
      <c r="M16797" s="9" t="s">
        <v>19</v>
      </c>
      <c r="N16797" s="9" t="s">
        <v>20</v>
      </c>
      <c r="O16797" s="6" t="str">
        <f>HYPERLINK("https://pbs.twimg.com/profile_images/962471262747529216/Uo8lOkRJ_normal.jpg","View")</f>
        <v>View</v>
      </c>
      <c r="P16797" s="7"/>
    </row>
    <row r="16798" spans="1:16">
      <c r="A16798" s="3">
        <v>44505.0934375</v>
      </c>
      <c r="B16798" s="4" t="str">
        <f>HYPERLINK("https://twitter.com/petrogustavo","@petrogustavo")</f>
        <v>@petrogustavo</v>
      </c>
      <c r="C16798" s="5" t="s">
        <v>16</v>
      </c>
      <c r="D16798" s="5" t="s">
        <v>16165</v>
      </c>
      <c r="E16798" s="6" t="str">
        <f>HYPERLINK("https://twitter.com/petrogustavo/status/1456361747443486721","1456361747443486721")</f>
        <v>1456361747443486721</v>
      </c>
      <c r="F16798" s="7" t="s">
        <v>17</v>
      </c>
      <c r="G16798" s="7">
        <v>4391826</v>
      </c>
      <c r="H16798" s="7">
        <v>2566</v>
      </c>
      <c r="I16798" s="7">
        <v>449</v>
      </c>
      <c r="J16798" s="7">
        <v>0</v>
      </c>
      <c r="K16798" s="7" t="s">
        <v>18</v>
      </c>
      <c r="L16798" s="8">
        <v>39987.315405092595</v>
      </c>
      <c r="M16798" s="9" t="s">
        <v>19</v>
      </c>
      <c r="N16798" s="9" t="s">
        <v>20</v>
      </c>
      <c r="O16798" s="6" t="str">
        <f>HYPERLINK("https://pbs.twimg.com/profile_images/962471262747529216/Uo8lOkRJ_normal.jpg","View")</f>
        <v>View</v>
      </c>
      <c r="P16798" s="7"/>
    </row>
    <row r="16799" spans="1:16">
      <c r="A16799" s="3">
        <v>44505.095219907409</v>
      </c>
      <c r="B16799" s="4" t="str">
        <f>HYPERLINK("https://twitter.com/petrogustavo","@petrogustavo")</f>
        <v>@petrogustavo</v>
      </c>
      <c r="C16799" s="5" t="s">
        <v>16</v>
      </c>
      <c r="D16799" s="5" t="s">
        <v>16166</v>
      </c>
      <c r="E16799" s="6" t="str">
        <f>HYPERLINK("https://twitter.com/petrogustavo/status/1456362394498777089","1456362394498777089")</f>
        <v>1456362394498777089</v>
      </c>
      <c r="F16799" s="7" t="s">
        <v>17</v>
      </c>
      <c r="G16799" s="7">
        <v>4391826</v>
      </c>
      <c r="H16799" s="7">
        <v>2566</v>
      </c>
      <c r="I16799" s="7">
        <v>58</v>
      </c>
      <c r="J16799" s="7">
        <v>182</v>
      </c>
      <c r="K16799" s="7" t="s">
        <v>18</v>
      </c>
      <c r="L16799" s="8">
        <v>39987.315405092595</v>
      </c>
      <c r="M16799" s="9" t="s">
        <v>19</v>
      </c>
      <c r="N16799" s="9" t="s">
        <v>20</v>
      </c>
      <c r="O16799" s="6" t="str">
        <f>HYPERLINK("https://pbs.twimg.com/profile_images/962471262747529216/Uo8lOkRJ_normal.jpg","View")</f>
        <v>View</v>
      </c>
      <c r="P16799" s="7"/>
    </row>
    <row r="16800" spans="1:16">
      <c r="A16800" s="3">
        <v>44505.20107638889</v>
      </c>
      <c r="B16800" s="4" t="str">
        <f>HYPERLINK("https://twitter.com/petrogustavo","@petrogustavo")</f>
        <v>@petrogustavo</v>
      </c>
      <c r="C16800" s="5" t="s">
        <v>16</v>
      </c>
      <c r="D16800" s="5" t="s">
        <v>16167</v>
      </c>
      <c r="E16800" s="6" t="str">
        <f>HYPERLINK("https://twitter.com/petrogustavo/status/1456400756244992004","1456400756244992004")</f>
        <v>1456400756244992004</v>
      </c>
      <c r="F16800" s="7" t="s">
        <v>17</v>
      </c>
      <c r="G16800" s="7">
        <v>4391960</v>
      </c>
      <c r="H16800" s="7">
        <v>2566</v>
      </c>
      <c r="I16800" s="7">
        <v>66</v>
      </c>
      <c r="J16800" s="7">
        <v>197</v>
      </c>
      <c r="K16800" s="7" t="s">
        <v>18</v>
      </c>
      <c r="L16800" s="8">
        <v>39987.315405092595</v>
      </c>
      <c r="M16800" s="9" t="s">
        <v>19</v>
      </c>
      <c r="N16800" s="9" t="s">
        <v>20</v>
      </c>
      <c r="O16800" s="6" t="str">
        <f>HYPERLINK("https://pbs.twimg.com/profile_images/962471262747529216/Uo8lOkRJ_normal.jpg","View")</f>
        <v>View</v>
      </c>
      <c r="P16800" s="7"/>
    </row>
    <row r="16801" spans="1:16">
      <c r="A16801" s="3">
        <v>44505.233333333337</v>
      </c>
      <c r="B16801" s="4" t="str">
        <f>HYPERLINK("https://twitter.com/petrogustavo","@petrogustavo")</f>
        <v>@petrogustavo</v>
      </c>
      <c r="C16801" s="5" t="s">
        <v>16</v>
      </c>
      <c r="D16801" s="5" t="s">
        <v>16168</v>
      </c>
      <c r="E16801" s="6" t="str">
        <f>HYPERLINK("https://twitter.com/petrogustavo/status/1456412445690540038","1456412445690540038")</f>
        <v>1456412445690540038</v>
      </c>
      <c r="F16801" s="7" t="s">
        <v>32</v>
      </c>
      <c r="G16801" s="7">
        <v>4392029</v>
      </c>
      <c r="H16801" s="7">
        <v>2566</v>
      </c>
      <c r="I16801" s="7">
        <v>80</v>
      </c>
      <c r="J16801" s="7">
        <v>0</v>
      </c>
      <c r="K16801" s="7" t="s">
        <v>18</v>
      </c>
      <c r="L16801" s="8">
        <v>39987.315405092595</v>
      </c>
      <c r="M16801" s="9" t="s">
        <v>19</v>
      </c>
      <c r="N16801" s="9" t="s">
        <v>20</v>
      </c>
      <c r="O16801" s="6" t="str">
        <f>HYPERLINK("https://pbs.twimg.com/profile_images/962471262747529216/Uo8lOkRJ_normal.jpg","View")</f>
        <v>View</v>
      </c>
      <c r="P16801" s="7"/>
    </row>
    <row r="16802" spans="1:16">
      <c r="A16802" s="3">
        <v>44505.236284722225</v>
      </c>
      <c r="B16802" s="4" t="str">
        <f>HYPERLINK("https://twitter.com/petrogustavo","@petrogustavo")</f>
        <v>@petrogustavo</v>
      </c>
      <c r="C16802" s="5" t="s">
        <v>16</v>
      </c>
      <c r="D16802" s="5" t="s">
        <v>16169</v>
      </c>
      <c r="E16802" s="6" t="str">
        <f>HYPERLINK("https://twitter.com/petrogustavo/status/1456413516697686016","1456413516697686016")</f>
        <v>1456413516697686016</v>
      </c>
      <c r="F16802" s="7" t="s">
        <v>32</v>
      </c>
      <c r="G16802" s="7">
        <v>4392029</v>
      </c>
      <c r="H16802" s="7">
        <v>2566</v>
      </c>
      <c r="I16802" s="7">
        <v>193</v>
      </c>
      <c r="J16802" s="7">
        <v>580</v>
      </c>
      <c r="K16802" s="7" t="s">
        <v>18</v>
      </c>
      <c r="L16802" s="8">
        <v>39987.315405092595</v>
      </c>
      <c r="M16802" s="9" t="s">
        <v>19</v>
      </c>
      <c r="N16802" s="9" t="s">
        <v>20</v>
      </c>
      <c r="O16802" s="6" t="str">
        <f>HYPERLINK("https://pbs.twimg.com/profile_images/962471262747529216/Uo8lOkRJ_normal.jpg","View")</f>
        <v>View</v>
      </c>
      <c r="P16802" s="7"/>
    </row>
    <row r="16803" spans="1:16">
      <c r="A16803" s="3">
        <v>44505.237442129626</v>
      </c>
      <c r="B16803" s="4" t="str">
        <f>HYPERLINK("https://twitter.com/petrogustavo","@petrogustavo")</f>
        <v>@petrogustavo</v>
      </c>
      <c r="C16803" s="5" t="s">
        <v>16</v>
      </c>
      <c r="D16803" s="5" t="s">
        <v>16170</v>
      </c>
      <c r="E16803" s="6" t="str">
        <f>HYPERLINK("https://twitter.com/petrogustavo/status/1456413936270598145","1456413936270598145")</f>
        <v>1456413936270598145</v>
      </c>
      <c r="F16803" s="7" t="s">
        <v>32</v>
      </c>
      <c r="G16803" s="7">
        <v>4392029</v>
      </c>
      <c r="H16803" s="7">
        <v>2566</v>
      </c>
      <c r="I16803" s="7">
        <v>936</v>
      </c>
      <c r="J16803" s="7">
        <v>0</v>
      </c>
      <c r="K16803" s="7" t="s">
        <v>18</v>
      </c>
      <c r="L16803" s="8">
        <v>39987.315405092595</v>
      </c>
      <c r="M16803" s="9" t="s">
        <v>19</v>
      </c>
      <c r="N16803" s="9" t="s">
        <v>20</v>
      </c>
      <c r="O16803" s="6" t="str">
        <f>HYPERLINK("https://pbs.twimg.com/profile_images/962471262747529216/Uo8lOkRJ_normal.jpg","View")</f>
        <v>View</v>
      </c>
      <c r="P16803" s="7"/>
    </row>
    <row r="16804" spans="1:16">
      <c r="A16804" s="3">
        <v>44505.237615740742</v>
      </c>
      <c r="B16804" s="4" t="str">
        <f>HYPERLINK("https://twitter.com/petrogustavo","@petrogustavo")</f>
        <v>@petrogustavo</v>
      </c>
      <c r="C16804" s="5" t="s">
        <v>16</v>
      </c>
      <c r="D16804" s="5" t="s">
        <v>16171</v>
      </c>
      <c r="E16804" s="6" t="str">
        <f>HYPERLINK("https://twitter.com/petrogustavo/status/1456413997121556488","1456413997121556488")</f>
        <v>1456413997121556488</v>
      </c>
      <c r="F16804" s="7" t="s">
        <v>32</v>
      </c>
      <c r="G16804" s="7">
        <v>4392029</v>
      </c>
      <c r="H16804" s="7">
        <v>2566</v>
      </c>
      <c r="I16804" s="7">
        <v>193</v>
      </c>
      <c r="J16804" s="7">
        <v>0</v>
      </c>
      <c r="K16804" s="7" t="s">
        <v>18</v>
      </c>
      <c r="L16804" s="8">
        <v>39987.315405092595</v>
      </c>
      <c r="M16804" s="9" t="s">
        <v>19</v>
      </c>
      <c r="N16804" s="9" t="s">
        <v>20</v>
      </c>
      <c r="O16804" s="6" t="str">
        <f>HYPERLINK("https://pbs.twimg.com/profile_images/962471262747529216/Uo8lOkRJ_normal.jpg","View")</f>
        <v>View</v>
      </c>
      <c r="P16804" s="7"/>
    </row>
    <row r="16805" spans="1:16">
      <c r="A16805" s="3">
        <v>44505.254513888889</v>
      </c>
      <c r="B16805" s="4" t="str">
        <f>HYPERLINK("https://twitter.com/petrogustavo","@petrogustavo")</f>
        <v>@petrogustavo</v>
      </c>
      <c r="C16805" s="5" t="s">
        <v>16</v>
      </c>
      <c r="D16805" s="5" t="s">
        <v>16172</v>
      </c>
      <c r="E16805" s="6" t="str">
        <f>HYPERLINK("https://twitter.com/petrogustavo/status/1456420121875042306","1456420121875042306")</f>
        <v>1456420121875042306</v>
      </c>
      <c r="F16805" s="7" t="s">
        <v>17</v>
      </c>
      <c r="G16805" s="7">
        <v>4392065</v>
      </c>
      <c r="H16805" s="7">
        <v>2566</v>
      </c>
      <c r="I16805" s="7">
        <v>144</v>
      </c>
      <c r="J16805" s="7">
        <v>370</v>
      </c>
      <c r="K16805" s="7" t="s">
        <v>18</v>
      </c>
      <c r="L16805" s="8">
        <v>39987.315405092595</v>
      </c>
      <c r="M16805" s="9" t="s">
        <v>19</v>
      </c>
      <c r="N16805" s="9" t="s">
        <v>20</v>
      </c>
      <c r="O16805" s="6" t="str">
        <f>HYPERLINK("https://pbs.twimg.com/profile_images/962471262747529216/Uo8lOkRJ_normal.jpg","View")</f>
        <v>View</v>
      </c>
      <c r="P16805" s="7"/>
    </row>
    <row r="16806" spans="1:16">
      <c r="A16806" s="3">
        <v>44505.262962962966</v>
      </c>
      <c r="B16806" s="4" t="str">
        <f>HYPERLINK("https://twitter.com/petrogustavo","@petrogustavo")</f>
        <v>@petrogustavo</v>
      </c>
      <c r="C16806" s="5" t="s">
        <v>16</v>
      </c>
      <c r="D16806" s="5" t="s">
        <v>16173</v>
      </c>
      <c r="E16806" s="6" t="str">
        <f>HYPERLINK("https://twitter.com/petrogustavo/status/1456423182307577861","1456423182307577861")</f>
        <v>1456423182307577861</v>
      </c>
      <c r="F16806" s="7" t="s">
        <v>17</v>
      </c>
      <c r="G16806" s="7">
        <v>4392065</v>
      </c>
      <c r="H16806" s="7">
        <v>2566</v>
      </c>
      <c r="I16806" s="7">
        <v>144</v>
      </c>
      <c r="J16806" s="7">
        <v>0</v>
      </c>
      <c r="K16806" s="7" t="s">
        <v>18</v>
      </c>
      <c r="L16806" s="8">
        <v>39987.315405092595</v>
      </c>
      <c r="M16806" s="9" t="s">
        <v>19</v>
      </c>
      <c r="N16806" s="9" t="s">
        <v>20</v>
      </c>
      <c r="O16806" s="6" t="str">
        <f>HYPERLINK("https://pbs.twimg.com/profile_images/962471262747529216/Uo8lOkRJ_normal.jpg","View")</f>
        <v>View</v>
      </c>
      <c r="P16806" s="7"/>
    </row>
    <row r="16807" spans="1:16">
      <c r="A16807" s="3">
        <v>44505.276192129633</v>
      </c>
      <c r="B16807" s="4" t="str">
        <f>HYPERLINK("https://twitter.com/petrogustavo","@petrogustavo")</f>
        <v>@petrogustavo</v>
      </c>
      <c r="C16807" s="5" t="s">
        <v>16</v>
      </c>
      <c r="D16807" s="5" t="s">
        <v>16173</v>
      </c>
      <c r="E16807" s="6" t="str">
        <f>HYPERLINK("https://twitter.com/petrogustavo/status/1456427978548826114","1456427978548826114")</f>
        <v>1456427978548826114</v>
      </c>
      <c r="F16807" s="7" t="s">
        <v>17</v>
      </c>
      <c r="G16807" s="7">
        <v>4392113</v>
      </c>
      <c r="H16807" s="7">
        <v>2566</v>
      </c>
      <c r="I16807" s="7">
        <v>266</v>
      </c>
      <c r="J16807" s="7">
        <v>0</v>
      </c>
      <c r="K16807" s="7" t="s">
        <v>18</v>
      </c>
      <c r="L16807" s="8">
        <v>39987.315405092595</v>
      </c>
      <c r="M16807" s="9" t="s">
        <v>19</v>
      </c>
      <c r="N16807" s="9" t="s">
        <v>20</v>
      </c>
      <c r="O16807" s="6" t="str">
        <f>HYPERLINK("https://pbs.twimg.com/profile_images/962471262747529216/Uo8lOkRJ_normal.jpg","View")</f>
        <v>View</v>
      </c>
      <c r="P16807" s="7"/>
    </row>
    <row r="16808" spans="1:16">
      <c r="A16808" s="3">
        <v>44505.314097222217</v>
      </c>
      <c r="B16808" s="4" t="str">
        <f>HYPERLINK("https://twitter.com/petrogustavo","@petrogustavo")</f>
        <v>@petrogustavo</v>
      </c>
      <c r="C16808" s="5" t="s">
        <v>16</v>
      </c>
      <c r="D16808" s="5" t="s">
        <v>16174</v>
      </c>
      <c r="E16808" s="6" t="str">
        <f>HYPERLINK("https://twitter.com/petrogustavo/status/1456441711471824897","1456441711471824897")</f>
        <v>1456441711471824897</v>
      </c>
      <c r="F16808" s="7" t="s">
        <v>17</v>
      </c>
      <c r="G16808" s="7">
        <v>4392158</v>
      </c>
      <c r="H16808" s="7">
        <v>2566</v>
      </c>
      <c r="I16808" s="7">
        <v>64</v>
      </c>
      <c r="J16808" s="7">
        <v>0</v>
      </c>
      <c r="K16808" s="7" t="s">
        <v>18</v>
      </c>
      <c r="L16808" s="8">
        <v>39987.315405092595</v>
      </c>
      <c r="M16808" s="9" t="s">
        <v>19</v>
      </c>
      <c r="N16808" s="9" t="s">
        <v>20</v>
      </c>
      <c r="O16808" s="6" t="str">
        <f>HYPERLINK("https://pbs.twimg.com/profile_images/962471262747529216/Uo8lOkRJ_normal.jpg","View")</f>
        <v>View</v>
      </c>
      <c r="P16808" s="7"/>
    </row>
    <row r="16809" spans="1:16">
      <c r="A16809" s="3">
        <v>44505.314259259263</v>
      </c>
      <c r="B16809" s="4" t="str">
        <f>HYPERLINK("https://twitter.com/petrogustavo","@petrogustavo")</f>
        <v>@petrogustavo</v>
      </c>
      <c r="C16809" s="5" t="s">
        <v>16</v>
      </c>
      <c r="D16809" s="5" t="s">
        <v>16175</v>
      </c>
      <c r="E16809" s="6" t="str">
        <f>HYPERLINK("https://twitter.com/petrogustavo/status/1456441770233974784","1456441770233974784")</f>
        <v>1456441770233974784</v>
      </c>
      <c r="F16809" s="7" t="s">
        <v>17</v>
      </c>
      <c r="G16809" s="7">
        <v>4392158</v>
      </c>
      <c r="H16809" s="7">
        <v>2566</v>
      </c>
      <c r="I16809" s="7">
        <v>193</v>
      </c>
      <c r="J16809" s="7">
        <v>0</v>
      </c>
      <c r="K16809" s="7" t="s">
        <v>18</v>
      </c>
      <c r="L16809" s="8">
        <v>39987.315405092595</v>
      </c>
      <c r="M16809" s="9" t="s">
        <v>19</v>
      </c>
      <c r="N16809" s="9" t="s">
        <v>20</v>
      </c>
      <c r="O16809" s="6" t="str">
        <f>HYPERLINK("https://pbs.twimg.com/profile_images/962471262747529216/Uo8lOkRJ_normal.jpg","View")</f>
        <v>View</v>
      </c>
      <c r="P16809" s="7"/>
    </row>
    <row r="16810" spans="1:16">
      <c r="A16810" s="3">
        <v>44505.998888888891</v>
      </c>
      <c r="B16810" s="4" t="str">
        <f>HYPERLINK("https://twitter.com/petrogustavo","@petrogustavo")</f>
        <v>@petrogustavo</v>
      </c>
      <c r="C16810" s="5" t="s">
        <v>16</v>
      </c>
      <c r="D16810" s="5" t="s">
        <v>16176</v>
      </c>
      <c r="E16810" s="6" t="str">
        <f>HYPERLINK("https://twitter.com/petrogustavo/status/1456689872857616384","1456689872857616384")</f>
        <v>1456689872857616384</v>
      </c>
      <c r="F16810" s="7" t="s">
        <v>17</v>
      </c>
      <c r="G16810" s="7">
        <v>4392756</v>
      </c>
      <c r="H16810" s="7">
        <v>2566</v>
      </c>
      <c r="I16810" s="7">
        <v>70</v>
      </c>
      <c r="J16810" s="7">
        <v>318</v>
      </c>
      <c r="K16810" s="7" t="s">
        <v>18</v>
      </c>
      <c r="L16810" s="8">
        <v>39987.315405092595</v>
      </c>
      <c r="M16810" s="9" t="s">
        <v>19</v>
      </c>
      <c r="N16810" s="9" t="s">
        <v>20</v>
      </c>
      <c r="O16810" s="6" t="str">
        <f>HYPERLINK("https://pbs.twimg.com/profile_images/962471262747529216/Uo8lOkRJ_normal.jpg","View")</f>
        <v>View</v>
      </c>
      <c r="P16810" s="7"/>
    </row>
    <row r="16811" spans="1:16">
      <c r="A16811" s="3">
        <v>44506.017534722225</v>
      </c>
      <c r="B16811" s="4" t="str">
        <f>HYPERLINK("https://twitter.com/petrogustavo","@petrogustavo")</f>
        <v>@petrogustavo</v>
      </c>
      <c r="C16811" s="5" t="s">
        <v>16</v>
      </c>
      <c r="D16811" s="5" t="s">
        <v>16177</v>
      </c>
      <c r="E16811" s="6" t="str">
        <f>HYPERLINK("https://twitter.com/petrogustavo/status/1456696631097712649","1456696631097712649")</f>
        <v>1456696631097712649</v>
      </c>
      <c r="F16811" s="7" t="s">
        <v>17</v>
      </c>
      <c r="G16811" s="7">
        <v>4392785</v>
      </c>
      <c r="H16811" s="7">
        <v>2566</v>
      </c>
      <c r="I16811" s="7">
        <v>83</v>
      </c>
      <c r="J16811" s="7">
        <v>287</v>
      </c>
      <c r="K16811" s="7" t="s">
        <v>18</v>
      </c>
      <c r="L16811" s="8">
        <v>39987.315405092595</v>
      </c>
      <c r="M16811" s="9" t="s">
        <v>19</v>
      </c>
      <c r="N16811" s="9" t="s">
        <v>20</v>
      </c>
      <c r="O16811" s="6" t="str">
        <f>HYPERLINK("https://pbs.twimg.com/profile_images/962471262747529216/Uo8lOkRJ_normal.jpg","View")</f>
        <v>View</v>
      </c>
      <c r="P16811" s="7"/>
    </row>
    <row r="16812" spans="1:16">
      <c r="A16812" s="3">
        <v>44506.081030092595</v>
      </c>
      <c r="B16812" s="4" t="str">
        <f>HYPERLINK("https://twitter.com/petrogustavo","@petrogustavo")</f>
        <v>@petrogustavo</v>
      </c>
      <c r="C16812" s="5" t="s">
        <v>16</v>
      </c>
      <c r="D16812" s="5" t="s">
        <v>16178</v>
      </c>
      <c r="E16812" s="6" t="str">
        <f>HYPERLINK("https://twitter.com/petrogustavo/status/1456719640852410382","1456719640852410382")</f>
        <v>1456719640852410382</v>
      </c>
      <c r="F16812" s="7" t="s">
        <v>17</v>
      </c>
      <c r="G16812" s="7">
        <v>4392869</v>
      </c>
      <c r="H16812" s="7">
        <v>2566</v>
      </c>
      <c r="I16812" s="7">
        <v>80</v>
      </c>
      <c r="J16812" s="7">
        <v>325</v>
      </c>
      <c r="K16812" s="7" t="s">
        <v>18</v>
      </c>
      <c r="L16812" s="8">
        <v>39987.315405092595</v>
      </c>
      <c r="M16812" s="9" t="s">
        <v>19</v>
      </c>
      <c r="N16812" s="9" t="s">
        <v>20</v>
      </c>
      <c r="O16812" s="6" t="str">
        <f>HYPERLINK("https://pbs.twimg.com/profile_images/962471262747529216/Uo8lOkRJ_normal.jpg","View")</f>
        <v>View</v>
      </c>
      <c r="P16812" s="7"/>
    </row>
    <row r="16813" spans="1:16">
      <c r="A16813" s="3">
        <v>44506.125833333332</v>
      </c>
      <c r="B16813" s="4" t="str">
        <f>HYPERLINK("https://twitter.com/petrogustavo","@petrogustavo")</f>
        <v>@petrogustavo</v>
      </c>
      <c r="C16813" s="5" t="s">
        <v>16</v>
      </c>
      <c r="D16813" s="5" t="s">
        <v>16179</v>
      </c>
      <c r="E16813" s="6" t="str">
        <f>HYPERLINK("https://twitter.com/petrogustavo/status/1456735877472923648","1456735877472923648")</f>
        <v>1456735877472923648</v>
      </c>
      <c r="F16813" s="7" t="s">
        <v>17</v>
      </c>
      <c r="G16813" s="7">
        <v>4392910</v>
      </c>
      <c r="H16813" s="7">
        <v>2566</v>
      </c>
      <c r="I16813" s="7">
        <v>34</v>
      </c>
      <c r="J16813" s="7">
        <v>0</v>
      </c>
      <c r="K16813" s="7" t="s">
        <v>18</v>
      </c>
      <c r="L16813" s="8">
        <v>39987.315405092595</v>
      </c>
      <c r="M16813" s="9" t="s">
        <v>19</v>
      </c>
      <c r="N16813" s="9" t="s">
        <v>20</v>
      </c>
      <c r="O16813" s="6" t="str">
        <f>HYPERLINK("https://pbs.twimg.com/profile_images/962471262747529216/Uo8lOkRJ_normal.jpg","View")</f>
        <v>View</v>
      </c>
      <c r="P16813" s="7"/>
    </row>
    <row r="16814" spans="1:16">
      <c r="A16814" s="3">
        <v>44506.14780092593</v>
      </c>
      <c r="B16814" s="4" t="str">
        <f>HYPERLINK("https://twitter.com/petrogustavo","@petrogustavo")</f>
        <v>@petrogustavo</v>
      </c>
      <c r="C16814" s="5" t="s">
        <v>16</v>
      </c>
      <c r="D16814" s="5" t="s">
        <v>16180</v>
      </c>
      <c r="E16814" s="6" t="str">
        <f>HYPERLINK("https://twitter.com/petrogustavo/status/1456743838735900672","1456743838735900672")</f>
        <v>1456743838735900672</v>
      </c>
      <c r="F16814" s="7" t="s">
        <v>17</v>
      </c>
      <c r="G16814" s="7">
        <v>4392940</v>
      </c>
      <c r="H16814" s="7">
        <v>2567</v>
      </c>
      <c r="I16814" s="7">
        <v>4</v>
      </c>
      <c r="J16814" s="7">
        <v>18</v>
      </c>
      <c r="K16814" s="7" t="s">
        <v>18</v>
      </c>
      <c r="L16814" s="8">
        <v>39987.315405092595</v>
      </c>
      <c r="M16814" s="9" t="s">
        <v>19</v>
      </c>
      <c r="N16814" s="9" t="s">
        <v>20</v>
      </c>
      <c r="O16814" s="6" t="str">
        <f>HYPERLINK("https://pbs.twimg.com/profile_images/962471262747529216/Uo8lOkRJ_normal.jpg","View")</f>
        <v>View</v>
      </c>
      <c r="P16814" s="7"/>
    </row>
    <row r="16815" spans="1:16">
      <c r="A16815" s="3">
        <v>44506.30467592593</v>
      </c>
      <c r="B16815" s="4" t="str">
        <f>HYPERLINK("https://twitter.com/petrogustavo","@petrogustavo")</f>
        <v>@petrogustavo</v>
      </c>
      <c r="C16815" s="5" t="s">
        <v>16</v>
      </c>
      <c r="D16815" s="5" t="s">
        <v>16181</v>
      </c>
      <c r="E16815" s="6" t="str">
        <f>HYPERLINK("https://twitter.com/petrogustavo/status/1456800689124950018","1456800689124950018")</f>
        <v>1456800689124950018</v>
      </c>
      <c r="F16815" s="7" t="s">
        <v>17</v>
      </c>
      <c r="G16815" s="7">
        <v>4393135</v>
      </c>
      <c r="H16815" s="7">
        <v>2568</v>
      </c>
      <c r="I16815" s="7">
        <v>154</v>
      </c>
      <c r="J16815" s="7">
        <v>575</v>
      </c>
      <c r="K16815" s="7" t="s">
        <v>18</v>
      </c>
      <c r="L16815" s="8">
        <v>39987.315405092595</v>
      </c>
      <c r="M16815" s="9" t="s">
        <v>19</v>
      </c>
      <c r="N16815" s="9" t="s">
        <v>20</v>
      </c>
      <c r="O16815" s="6" t="str">
        <f>HYPERLINK("https://pbs.twimg.com/profile_images/962471262747529216/Uo8lOkRJ_normal.jpg","View")</f>
        <v>View</v>
      </c>
      <c r="P16815" s="7"/>
    </row>
    <row r="16816" spans="1:16">
      <c r="A16816" s="3">
        <v>44506.317199074074</v>
      </c>
      <c r="B16816" s="4" t="str">
        <f>HYPERLINK("https://twitter.com/petrogustavo","@petrogustavo")</f>
        <v>@petrogustavo</v>
      </c>
      <c r="C16816" s="5" t="s">
        <v>16</v>
      </c>
      <c r="D16816" s="5" t="s">
        <v>16182</v>
      </c>
      <c r="E16816" s="6" t="str">
        <f>HYPERLINK("https://twitter.com/petrogustavo/status/1456805227168948229","1456805227168948229")</f>
        <v>1456805227168948229</v>
      </c>
      <c r="F16816" s="7" t="s">
        <v>17</v>
      </c>
      <c r="G16816" s="7">
        <v>4393172</v>
      </c>
      <c r="H16816" s="7">
        <v>2568</v>
      </c>
      <c r="I16816" s="7">
        <v>381</v>
      </c>
      <c r="J16816" s="7">
        <v>1059</v>
      </c>
      <c r="K16816" s="7" t="s">
        <v>18</v>
      </c>
      <c r="L16816" s="8">
        <v>39987.315405092595</v>
      </c>
      <c r="M16816" s="9" t="s">
        <v>19</v>
      </c>
      <c r="N16816" s="9" t="s">
        <v>20</v>
      </c>
      <c r="O16816" s="6" t="str">
        <f>HYPERLINK("https://pbs.twimg.com/profile_images/962471262747529216/Uo8lOkRJ_normal.jpg","View")</f>
        <v>View</v>
      </c>
      <c r="P16816" s="7"/>
    </row>
    <row r="16817" spans="1:16">
      <c r="A16817" s="3">
        <v>44506.319363425922</v>
      </c>
      <c r="B16817" s="4" t="str">
        <f>HYPERLINK("https://twitter.com/petrogustavo","@petrogustavo")</f>
        <v>@petrogustavo</v>
      </c>
      <c r="C16817" s="5" t="s">
        <v>16</v>
      </c>
      <c r="D16817" s="5" t="s">
        <v>16183</v>
      </c>
      <c r="E16817" s="6" t="str">
        <f>HYPERLINK("https://twitter.com/petrogustavo/status/1456806009570213892","1456806009570213892")</f>
        <v>1456806009570213892</v>
      </c>
      <c r="F16817" s="7" t="s">
        <v>17</v>
      </c>
      <c r="G16817" s="7">
        <v>4393172</v>
      </c>
      <c r="H16817" s="7">
        <v>2568</v>
      </c>
      <c r="I16817" s="7">
        <v>115</v>
      </c>
      <c r="J16817" s="7">
        <v>0</v>
      </c>
      <c r="K16817" s="7" t="s">
        <v>18</v>
      </c>
      <c r="L16817" s="8">
        <v>39987.315405092595</v>
      </c>
      <c r="M16817" s="9" t="s">
        <v>19</v>
      </c>
      <c r="N16817" s="9" t="s">
        <v>20</v>
      </c>
      <c r="O16817" s="6" t="str">
        <f>HYPERLINK("https://pbs.twimg.com/profile_images/962471262747529216/Uo8lOkRJ_normal.jpg","View")</f>
        <v>View</v>
      </c>
      <c r="P16817" s="7"/>
    </row>
    <row r="16818" spans="1:16">
      <c r="A16818" s="3">
        <v>44506.320810185185</v>
      </c>
      <c r="B16818" s="4" t="str">
        <f>HYPERLINK("https://twitter.com/petrogustavo","@petrogustavo")</f>
        <v>@petrogustavo</v>
      </c>
      <c r="C16818" s="5" t="s">
        <v>16</v>
      </c>
      <c r="D16818" s="5" t="s">
        <v>16184</v>
      </c>
      <c r="E16818" s="6" t="str">
        <f>HYPERLINK("https://twitter.com/petrogustavo/status/1456806535997313029","1456806535997313029")</f>
        <v>1456806535997313029</v>
      </c>
      <c r="F16818" s="7" t="s">
        <v>17</v>
      </c>
      <c r="G16818" s="7">
        <v>4393172</v>
      </c>
      <c r="H16818" s="7">
        <v>2568</v>
      </c>
      <c r="I16818" s="7">
        <v>203</v>
      </c>
      <c r="J16818" s="7">
        <v>0</v>
      </c>
      <c r="K16818" s="7" t="s">
        <v>18</v>
      </c>
      <c r="L16818" s="8">
        <v>39987.315405092595</v>
      </c>
      <c r="M16818" s="9" t="s">
        <v>19</v>
      </c>
      <c r="N16818" s="9" t="s">
        <v>20</v>
      </c>
      <c r="O16818" s="6" t="str">
        <f>HYPERLINK("https://pbs.twimg.com/profile_images/962471262747529216/Uo8lOkRJ_normal.jpg","View")</f>
        <v>View</v>
      </c>
      <c r="P16818" s="7"/>
    </row>
    <row r="16819" spans="1:16">
      <c r="A16819" s="3">
        <v>44506.326111111106</v>
      </c>
      <c r="B16819" s="4" t="str">
        <f>HYPERLINK("https://twitter.com/petrogustavo","@petrogustavo")</f>
        <v>@petrogustavo</v>
      </c>
      <c r="C16819" s="5" t="s">
        <v>16</v>
      </c>
      <c r="D16819" s="5" t="s">
        <v>16185</v>
      </c>
      <c r="E16819" s="6" t="str">
        <f>HYPERLINK("https://twitter.com/petrogustavo/status/1456808453146558464","1456808453146558464")</f>
        <v>1456808453146558464</v>
      </c>
      <c r="F16819" s="7" t="s">
        <v>17</v>
      </c>
      <c r="G16819" s="7">
        <v>4393172</v>
      </c>
      <c r="H16819" s="7">
        <v>2568</v>
      </c>
      <c r="I16819" s="7">
        <v>85</v>
      </c>
      <c r="J16819" s="7">
        <v>0</v>
      </c>
      <c r="K16819" s="7" t="s">
        <v>18</v>
      </c>
      <c r="L16819" s="8">
        <v>39987.315405092595</v>
      </c>
      <c r="M16819" s="9" t="s">
        <v>19</v>
      </c>
      <c r="N16819" s="9" t="s">
        <v>20</v>
      </c>
      <c r="O16819" s="6" t="str">
        <f>HYPERLINK("https://pbs.twimg.com/profile_images/962471262747529216/Uo8lOkRJ_normal.jpg","View")</f>
        <v>View</v>
      </c>
      <c r="P16819" s="7"/>
    </row>
    <row r="16820" spans="1:16">
      <c r="A16820" s="3">
        <v>44506.330821759257</v>
      </c>
      <c r="B16820" s="4" t="str">
        <f>HYPERLINK("https://twitter.com/petrogustavo","@petrogustavo")</f>
        <v>@petrogustavo</v>
      </c>
      <c r="C16820" s="5" t="s">
        <v>16</v>
      </c>
      <c r="D16820" s="5" t="s">
        <v>16186</v>
      </c>
      <c r="E16820" s="6" t="str">
        <f>HYPERLINK("https://twitter.com/petrogustavo/status/1456810162715561984","1456810162715561984")</f>
        <v>1456810162715561984</v>
      </c>
      <c r="F16820" s="7" t="s">
        <v>17</v>
      </c>
      <c r="G16820" s="7">
        <v>4393172</v>
      </c>
      <c r="H16820" s="7">
        <v>2568</v>
      </c>
      <c r="I16820" s="7">
        <v>144</v>
      </c>
      <c r="J16820" s="7">
        <v>0</v>
      </c>
      <c r="K16820" s="7" t="s">
        <v>18</v>
      </c>
      <c r="L16820" s="8">
        <v>39987.315405092595</v>
      </c>
      <c r="M16820" s="9" t="s">
        <v>19</v>
      </c>
      <c r="N16820" s="9" t="s">
        <v>20</v>
      </c>
      <c r="O16820" s="6" t="str">
        <f>HYPERLINK("https://pbs.twimg.com/profile_images/962471262747529216/Uo8lOkRJ_normal.jpg","View")</f>
        <v>View</v>
      </c>
      <c r="P16820" s="7"/>
    </row>
    <row r="16821" spans="1:16">
      <c r="A16821" s="3">
        <v>44506.804039351853</v>
      </c>
      <c r="B16821" s="4" t="str">
        <f>HYPERLINK("https://twitter.com/petrogustavo","@petrogustavo")</f>
        <v>@petrogustavo</v>
      </c>
      <c r="C16821" s="5" t="s">
        <v>16</v>
      </c>
      <c r="D16821" s="5" t="s">
        <v>16187</v>
      </c>
      <c r="E16821" s="6" t="str">
        <f>HYPERLINK("https://twitter.com/petrogustavo/status/1456981650500431884","1456981650500431884")</f>
        <v>1456981650500431884</v>
      </c>
      <c r="F16821" s="7" t="s">
        <v>17</v>
      </c>
      <c r="G16821" s="7">
        <v>4393595</v>
      </c>
      <c r="H16821" s="7">
        <v>2569</v>
      </c>
      <c r="I16821" s="7">
        <v>62</v>
      </c>
      <c r="J16821" s="7">
        <v>0</v>
      </c>
      <c r="K16821" s="7" t="s">
        <v>18</v>
      </c>
      <c r="L16821" s="8">
        <v>39987.315405092595</v>
      </c>
      <c r="M16821" s="9" t="s">
        <v>19</v>
      </c>
      <c r="N16821" s="9" t="s">
        <v>20</v>
      </c>
      <c r="O16821" s="6" t="str">
        <f>HYPERLINK("https://pbs.twimg.com/profile_images/962471262747529216/Uo8lOkRJ_normal.jpg","View")</f>
        <v>View</v>
      </c>
      <c r="P16821" s="7"/>
    </row>
    <row r="16822" spans="1:16">
      <c r="A16822" s="3">
        <v>44506.805787037039</v>
      </c>
      <c r="B16822" s="4" t="str">
        <f>HYPERLINK("https://twitter.com/petrogustavo","@petrogustavo")</f>
        <v>@petrogustavo</v>
      </c>
      <c r="C16822" s="5" t="s">
        <v>16</v>
      </c>
      <c r="D16822" s="5" t="s">
        <v>16188</v>
      </c>
      <c r="E16822" s="6" t="str">
        <f>HYPERLINK("https://twitter.com/petrogustavo/status/1456982284364619780","1456982284364619780")</f>
        <v>1456982284364619780</v>
      </c>
      <c r="F16822" s="7" t="s">
        <v>17</v>
      </c>
      <c r="G16822" s="7">
        <v>4393595</v>
      </c>
      <c r="H16822" s="7">
        <v>2569</v>
      </c>
      <c r="I16822" s="7">
        <v>652</v>
      </c>
      <c r="J16822" s="7">
        <v>0</v>
      </c>
      <c r="K16822" s="7" t="s">
        <v>18</v>
      </c>
      <c r="L16822" s="8">
        <v>39987.315405092595</v>
      </c>
      <c r="M16822" s="9" t="s">
        <v>19</v>
      </c>
      <c r="N16822" s="9" t="s">
        <v>20</v>
      </c>
      <c r="O16822" s="6" t="str">
        <f>HYPERLINK("https://pbs.twimg.com/profile_images/962471262747529216/Uo8lOkRJ_normal.jpg","View")</f>
        <v>View</v>
      </c>
      <c r="P16822" s="7"/>
    </row>
    <row r="16823" spans="1:16">
      <c r="A16823" s="3">
        <v>44506.811481481476</v>
      </c>
      <c r="B16823" s="4" t="str">
        <f>HYPERLINK("https://twitter.com/petrogustavo","@petrogustavo")</f>
        <v>@petrogustavo</v>
      </c>
      <c r="C16823" s="5" t="s">
        <v>16</v>
      </c>
      <c r="D16823" s="5" t="s">
        <v>16189</v>
      </c>
      <c r="E16823" s="6" t="str">
        <f>HYPERLINK("https://twitter.com/petrogustavo/status/1456984346796216320","1456984346796216320")</f>
        <v>1456984346796216320</v>
      </c>
      <c r="F16823" s="7" t="s">
        <v>17</v>
      </c>
      <c r="G16823" s="7">
        <v>4393595</v>
      </c>
      <c r="H16823" s="7">
        <v>2569</v>
      </c>
      <c r="I16823" s="7">
        <v>29</v>
      </c>
      <c r="J16823" s="7">
        <v>0</v>
      </c>
      <c r="K16823" s="7" t="s">
        <v>18</v>
      </c>
      <c r="L16823" s="8">
        <v>39987.315405092595</v>
      </c>
      <c r="M16823" s="9" t="s">
        <v>19</v>
      </c>
      <c r="N16823" s="9" t="s">
        <v>20</v>
      </c>
      <c r="O16823" s="6" t="str">
        <f>HYPERLINK("https://pbs.twimg.com/profile_images/962471262747529216/Uo8lOkRJ_normal.jpg","View")</f>
        <v>View</v>
      </c>
      <c r="P16823" s="7"/>
    </row>
    <row r="16824" spans="1:16">
      <c r="A16824" s="3">
        <v>44506.811956018515</v>
      </c>
      <c r="B16824" s="4" t="str">
        <f>HYPERLINK("https://twitter.com/petrogustavo","@petrogustavo")</f>
        <v>@petrogustavo</v>
      </c>
      <c r="C16824" s="5" t="s">
        <v>16</v>
      </c>
      <c r="D16824" s="5" t="s">
        <v>16190</v>
      </c>
      <c r="E16824" s="6" t="str">
        <f>HYPERLINK("https://twitter.com/petrogustavo/status/1456984521010827274","1456984521010827274")</f>
        <v>1456984521010827274</v>
      </c>
      <c r="F16824" s="7" t="s">
        <v>17</v>
      </c>
      <c r="G16824" s="7">
        <v>4393595</v>
      </c>
      <c r="H16824" s="7">
        <v>2569</v>
      </c>
      <c r="I16824" s="7">
        <v>6</v>
      </c>
      <c r="J16824" s="7">
        <v>0</v>
      </c>
      <c r="K16824" s="7" t="s">
        <v>18</v>
      </c>
      <c r="L16824" s="8">
        <v>39987.315405092595</v>
      </c>
      <c r="M16824" s="9" t="s">
        <v>19</v>
      </c>
      <c r="N16824" s="9" t="s">
        <v>20</v>
      </c>
      <c r="O16824" s="6" t="str">
        <f>HYPERLINK("https://pbs.twimg.com/profile_images/962471262747529216/Uo8lOkRJ_normal.jpg","View")</f>
        <v>View</v>
      </c>
      <c r="P16824" s="7"/>
    </row>
    <row r="16825" spans="1:16">
      <c r="A16825" s="3">
        <v>44506.8125</v>
      </c>
      <c r="B16825" s="4" t="str">
        <f>HYPERLINK("https://twitter.com/petrogustavo","@petrogustavo")</f>
        <v>@petrogustavo</v>
      </c>
      <c r="C16825" s="5" t="s">
        <v>16</v>
      </c>
      <c r="D16825" s="5" t="s">
        <v>16191</v>
      </c>
      <c r="E16825" s="6" t="str">
        <f>HYPERLINK("https://twitter.com/petrogustavo/status/1456984717153161220","1456984717153161220")</f>
        <v>1456984717153161220</v>
      </c>
      <c r="F16825" s="7" t="s">
        <v>17</v>
      </c>
      <c r="G16825" s="7">
        <v>4393595</v>
      </c>
      <c r="H16825" s="7">
        <v>2569</v>
      </c>
      <c r="I16825" s="7">
        <v>82</v>
      </c>
      <c r="J16825" s="7">
        <v>0</v>
      </c>
      <c r="K16825" s="7" t="s">
        <v>18</v>
      </c>
      <c r="L16825" s="8">
        <v>39987.315405092595</v>
      </c>
      <c r="M16825" s="9" t="s">
        <v>19</v>
      </c>
      <c r="N16825" s="9" t="s">
        <v>20</v>
      </c>
      <c r="O16825" s="6" t="str">
        <f>HYPERLINK("https://pbs.twimg.com/profile_images/962471262747529216/Uo8lOkRJ_normal.jpg","View")</f>
        <v>View</v>
      </c>
      <c r="P16825" s="7"/>
    </row>
    <row r="16826" spans="1:16">
      <c r="A16826" s="3">
        <v>44506.813888888893</v>
      </c>
      <c r="B16826" s="4" t="str">
        <f>HYPERLINK("https://twitter.com/petrogustavo","@petrogustavo")</f>
        <v>@petrogustavo</v>
      </c>
      <c r="C16826" s="5" t="s">
        <v>16</v>
      </c>
      <c r="D16826" s="5" t="s">
        <v>16192</v>
      </c>
      <c r="E16826" s="6" t="str">
        <f>HYPERLINK("https://twitter.com/petrogustavo/status/1456985221195345920","1456985221195345920")</f>
        <v>1456985221195345920</v>
      </c>
      <c r="F16826" s="7" t="s">
        <v>17</v>
      </c>
      <c r="G16826" s="7">
        <v>4393595</v>
      </c>
      <c r="H16826" s="7">
        <v>2569</v>
      </c>
      <c r="I16826" s="7">
        <v>645</v>
      </c>
      <c r="J16826" s="7">
        <v>0</v>
      </c>
      <c r="K16826" s="7" t="s">
        <v>18</v>
      </c>
      <c r="L16826" s="8">
        <v>39987.315405092595</v>
      </c>
      <c r="M16826" s="9" t="s">
        <v>19</v>
      </c>
      <c r="N16826" s="9" t="s">
        <v>20</v>
      </c>
      <c r="O16826" s="6" t="str">
        <f>HYPERLINK("https://pbs.twimg.com/profile_images/962471262747529216/Uo8lOkRJ_normal.jpg","View")</f>
        <v>View</v>
      </c>
      <c r="P16826" s="7"/>
    </row>
    <row r="16827" spans="1:16">
      <c r="A16827" s="3">
        <v>44506.854756944449</v>
      </c>
      <c r="B16827" s="4" t="str">
        <f>HYPERLINK("https://twitter.com/petrogustavo","@petrogustavo")</f>
        <v>@petrogustavo</v>
      </c>
      <c r="C16827" s="5" t="s">
        <v>16</v>
      </c>
      <c r="D16827" s="5" t="s">
        <v>16193</v>
      </c>
      <c r="E16827" s="6" t="str">
        <f>HYPERLINK("https://twitter.com/petrogustavo/status/1457000030007611393","1457000030007611393")</f>
        <v>1457000030007611393</v>
      </c>
      <c r="F16827" s="7" t="s">
        <v>17</v>
      </c>
      <c r="G16827" s="7">
        <v>4393662</v>
      </c>
      <c r="H16827" s="7">
        <v>2569</v>
      </c>
      <c r="I16827" s="7">
        <v>5</v>
      </c>
      <c r="J16827" s="7">
        <v>12</v>
      </c>
      <c r="K16827" s="7" t="s">
        <v>18</v>
      </c>
      <c r="L16827" s="8">
        <v>39987.315405092595</v>
      </c>
      <c r="M16827" s="9" t="s">
        <v>19</v>
      </c>
      <c r="N16827" s="9" t="s">
        <v>20</v>
      </c>
      <c r="O16827" s="6" t="str">
        <f>HYPERLINK("https://pbs.twimg.com/profile_images/962471262747529216/Uo8lOkRJ_normal.jpg","View")</f>
        <v>View</v>
      </c>
      <c r="P16827" s="7"/>
    </row>
    <row r="16828" spans="1:16">
      <c r="A16828" s="3">
        <v>44506.854768518519</v>
      </c>
      <c r="B16828" s="4" t="str">
        <f>HYPERLINK("https://twitter.com/petrogustavo","@petrogustavo")</f>
        <v>@petrogustavo</v>
      </c>
      <c r="C16828" s="5" t="s">
        <v>16</v>
      </c>
      <c r="D16828" s="5" t="s">
        <v>16194</v>
      </c>
      <c r="E16828" s="6" t="str">
        <f>HYPERLINK("https://twitter.com/petrogustavo/status/1457000032067014661","1457000032067014661")</f>
        <v>1457000032067014661</v>
      </c>
      <c r="F16828" s="7" t="s">
        <v>17</v>
      </c>
      <c r="G16828" s="7">
        <v>4393662</v>
      </c>
      <c r="H16828" s="7">
        <v>2569</v>
      </c>
      <c r="I16828" s="7">
        <v>0</v>
      </c>
      <c r="J16828" s="7">
        <v>10</v>
      </c>
      <c r="K16828" s="7" t="s">
        <v>18</v>
      </c>
      <c r="L16828" s="8">
        <v>39987.315405092595</v>
      </c>
      <c r="M16828" s="9" t="s">
        <v>19</v>
      </c>
      <c r="N16828" s="9" t="s">
        <v>20</v>
      </c>
      <c r="O16828" s="6" t="str">
        <f>HYPERLINK("https://pbs.twimg.com/profile_images/962471262747529216/Uo8lOkRJ_normal.jpg","View")</f>
        <v>View</v>
      </c>
      <c r="P16828" s="7"/>
    </row>
    <row r="16829" spans="1:16">
      <c r="A16829" s="3">
        <v>44506.854768518519</v>
      </c>
      <c r="B16829" s="4" t="str">
        <f>HYPERLINK("https://twitter.com/petrogustavo","@petrogustavo")</f>
        <v>@petrogustavo</v>
      </c>
      <c r="C16829" s="5" t="s">
        <v>16</v>
      </c>
      <c r="D16829" s="5" t="s">
        <v>16195</v>
      </c>
      <c r="E16829" s="6" t="str">
        <f>HYPERLINK("https://twitter.com/petrogustavo/status/1457000034277470214","1457000034277470214")</f>
        <v>1457000034277470214</v>
      </c>
      <c r="F16829" s="7" t="s">
        <v>17</v>
      </c>
      <c r="G16829" s="7">
        <v>4393662</v>
      </c>
      <c r="H16829" s="7">
        <v>2569</v>
      </c>
      <c r="I16829" s="7">
        <v>1</v>
      </c>
      <c r="J16829" s="7">
        <v>5</v>
      </c>
      <c r="K16829" s="7" t="s">
        <v>18</v>
      </c>
      <c r="L16829" s="8">
        <v>39987.315405092595</v>
      </c>
      <c r="M16829" s="9" t="s">
        <v>19</v>
      </c>
      <c r="N16829" s="9" t="s">
        <v>20</v>
      </c>
      <c r="O16829" s="6" t="str">
        <f>HYPERLINK("https://pbs.twimg.com/profile_images/962471262747529216/Uo8lOkRJ_normal.jpg","View")</f>
        <v>View</v>
      </c>
      <c r="P16829" s="7"/>
    </row>
    <row r="16830" spans="1:16">
      <c r="A16830" s="3">
        <v>44506.879583333328</v>
      </c>
      <c r="B16830" s="4" t="str">
        <f>HYPERLINK("https://twitter.com/petrogustavo","@petrogustavo")</f>
        <v>@petrogustavo</v>
      </c>
      <c r="C16830" s="5" t="s">
        <v>16</v>
      </c>
      <c r="D16830" s="5" t="s">
        <v>16196</v>
      </c>
      <c r="E16830" s="6" t="str">
        <f>HYPERLINK("https://twitter.com/petrogustavo/status/1457009026504536069","1457009026504536069")</f>
        <v>1457009026504536069</v>
      </c>
      <c r="F16830" s="7" t="s">
        <v>17</v>
      </c>
      <c r="G16830" s="7">
        <v>4393714</v>
      </c>
      <c r="H16830" s="7">
        <v>2569</v>
      </c>
      <c r="I16830" s="7">
        <v>88</v>
      </c>
      <c r="J16830" s="7">
        <v>260</v>
      </c>
      <c r="K16830" s="7" t="s">
        <v>18</v>
      </c>
      <c r="L16830" s="8">
        <v>39987.315405092595</v>
      </c>
      <c r="M16830" s="9" t="s">
        <v>19</v>
      </c>
      <c r="N16830" s="9" t="s">
        <v>20</v>
      </c>
      <c r="O16830" s="6" t="str">
        <f>HYPERLINK("https://pbs.twimg.com/profile_images/962471262747529216/Uo8lOkRJ_normal.jpg","View")</f>
        <v>View</v>
      </c>
      <c r="P16830" s="7"/>
    </row>
    <row r="16831" spans="1:16">
      <c r="A16831" s="3">
        <v>44506.903171296297</v>
      </c>
      <c r="B16831" s="4" t="str">
        <f>HYPERLINK("https://twitter.com/petrogustavo","@petrogustavo")</f>
        <v>@petrogustavo</v>
      </c>
      <c r="C16831" s="5" t="s">
        <v>16</v>
      </c>
      <c r="D16831" s="5" t="s">
        <v>16197</v>
      </c>
      <c r="E16831" s="6" t="str">
        <f>HYPERLINK("https://twitter.com/petrogustavo/status/1457017576031150089","1457017576031150089")</f>
        <v>1457017576031150089</v>
      </c>
      <c r="F16831" s="7" t="s">
        <v>17</v>
      </c>
      <c r="G16831" s="7">
        <v>4393748</v>
      </c>
      <c r="H16831" s="7">
        <v>2570</v>
      </c>
      <c r="I16831" s="7">
        <v>200</v>
      </c>
      <c r="J16831" s="7">
        <v>894</v>
      </c>
      <c r="K16831" s="7" t="s">
        <v>18</v>
      </c>
      <c r="L16831" s="8">
        <v>39987.315405092595</v>
      </c>
      <c r="M16831" s="9" t="s">
        <v>19</v>
      </c>
      <c r="N16831" s="9" t="s">
        <v>20</v>
      </c>
      <c r="O16831" s="6" t="str">
        <f>HYPERLINK("https://pbs.twimg.com/profile_images/962471262747529216/Uo8lOkRJ_normal.jpg","View")</f>
        <v>View</v>
      </c>
      <c r="P16831" s="7"/>
    </row>
    <row r="16832" spans="1:16">
      <c r="A16832" s="3">
        <v>44506.918263888889</v>
      </c>
      <c r="B16832" s="4" t="str">
        <f>HYPERLINK("https://twitter.com/petrogustavo","@petrogustavo")</f>
        <v>@petrogustavo</v>
      </c>
      <c r="C16832" s="5" t="s">
        <v>16</v>
      </c>
      <c r="D16832" s="5" t="s">
        <v>16198</v>
      </c>
      <c r="E16832" s="6" t="str">
        <f>HYPERLINK("https://twitter.com/petrogustavo/status/1457023042765344768","1457023042765344768")</f>
        <v>1457023042765344768</v>
      </c>
      <c r="F16832" s="7" t="s">
        <v>17</v>
      </c>
      <c r="G16832" s="7">
        <v>4393748</v>
      </c>
      <c r="H16832" s="7">
        <v>2570</v>
      </c>
      <c r="I16832" s="7">
        <v>338</v>
      </c>
      <c r="J16832" s="7">
        <v>0</v>
      </c>
      <c r="K16832" s="7" t="s">
        <v>18</v>
      </c>
      <c r="L16832" s="8">
        <v>39987.315405092595</v>
      </c>
      <c r="M16832" s="9" t="s">
        <v>19</v>
      </c>
      <c r="N16832" s="9" t="s">
        <v>20</v>
      </c>
      <c r="O16832" s="6" t="str">
        <f>HYPERLINK("https://pbs.twimg.com/profile_images/962471262747529216/Uo8lOkRJ_normal.jpg","View")</f>
        <v>View</v>
      </c>
      <c r="P16832" s="7"/>
    </row>
    <row r="16833" spans="1:16">
      <c r="A16833" s="3">
        <v>44506.923645833333</v>
      </c>
      <c r="B16833" s="4" t="str">
        <f>HYPERLINK("https://twitter.com/petrogustavo","@petrogustavo")</f>
        <v>@petrogustavo</v>
      </c>
      <c r="C16833" s="5" t="s">
        <v>16</v>
      </c>
      <c r="D16833" s="5" t="s">
        <v>16199</v>
      </c>
      <c r="E16833" s="6" t="str">
        <f>HYPERLINK("https://twitter.com/petrogustavo/status/1457024994073010177","1457024994073010177")</f>
        <v>1457024994073010177</v>
      </c>
      <c r="F16833" s="7" t="s">
        <v>17</v>
      </c>
      <c r="G16833" s="7">
        <v>4393762</v>
      </c>
      <c r="H16833" s="7">
        <v>2571</v>
      </c>
      <c r="I16833" s="7">
        <v>30</v>
      </c>
      <c r="J16833" s="7">
        <v>0</v>
      </c>
      <c r="K16833" s="7" t="s">
        <v>18</v>
      </c>
      <c r="L16833" s="8">
        <v>39987.315405092595</v>
      </c>
      <c r="M16833" s="9" t="s">
        <v>19</v>
      </c>
      <c r="N16833" s="9" t="s">
        <v>20</v>
      </c>
      <c r="O16833" s="6" t="str">
        <f>HYPERLINK("https://pbs.twimg.com/profile_images/962471262747529216/Uo8lOkRJ_normal.jpg","View")</f>
        <v>View</v>
      </c>
      <c r="P16833" s="7"/>
    </row>
    <row r="16834" spans="1:16">
      <c r="A16834" s="3">
        <v>44506.932060185187</v>
      </c>
      <c r="B16834" s="4" t="str">
        <f>HYPERLINK("https://twitter.com/petrogustavo","@petrogustavo")</f>
        <v>@petrogustavo</v>
      </c>
      <c r="C16834" s="5" t="s">
        <v>16</v>
      </c>
      <c r="D16834" s="5" t="s">
        <v>16200</v>
      </c>
      <c r="E16834" s="6" t="str">
        <f>HYPERLINK("https://twitter.com/petrogustavo/status/1457028042107375620","1457028042107375620")</f>
        <v>1457028042107375620</v>
      </c>
      <c r="F16834" s="7" t="s">
        <v>17</v>
      </c>
      <c r="G16834" s="7">
        <v>4393762</v>
      </c>
      <c r="H16834" s="7">
        <v>2571</v>
      </c>
      <c r="I16834" s="7">
        <v>40</v>
      </c>
      <c r="J16834" s="7">
        <v>0</v>
      </c>
      <c r="K16834" s="7" t="s">
        <v>18</v>
      </c>
      <c r="L16834" s="8">
        <v>39987.315405092595</v>
      </c>
      <c r="M16834" s="9" t="s">
        <v>19</v>
      </c>
      <c r="N16834" s="9" t="s">
        <v>20</v>
      </c>
      <c r="O16834" s="6" t="str">
        <f>HYPERLINK("https://pbs.twimg.com/profile_images/962471262747529216/Uo8lOkRJ_normal.jpg","View")</f>
        <v>View</v>
      </c>
      <c r="P16834" s="7"/>
    </row>
    <row r="16835" spans="1:16">
      <c r="A16835" s="3">
        <v>44506.941122685181</v>
      </c>
      <c r="B16835" s="4" t="str">
        <f>HYPERLINK("https://twitter.com/petrogustavo","@petrogustavo")</f>
        <v>@petrogustavo</v>
      </c>
      <c r="C16835" s="5" t="s">
        <v>16</v>
      </c>
      <c r="D16835" s="5" t="s">
        <v>16201</v>
      </c>
      <c r="E16835" s="6" t="str">
        <f>HYPERLINK("https://twitter.com/petrogustavo/status/1457031327442735106","1457031327442735106")</f>
        <v>1457031327442735106</v>
      </c>
      <c r="F16835" s="7" t="s">
        <v>17</v>
      </c>
      <c r="G16835" s="7">
        <v>4393784</v>
      </c>
      <c r="H16835" s="7">
        <v>2571</v>
      </c>
      <c r="I16835" s="7">
        <v>23</v>
      </c>
      <c r="J16835" s="7">
        <v>0</v>
      </c>
      <c r="K16835" s="7" t="s">
        <v>18</v>
      </c>
      <c r="L16835" s="8">
        <v>39987.315405092595</v>
      </c>
      <c r="M16835" s="9" t="s">
        <v>19</v>
      </c>
      <c r="N16835" s="9" t="s">
        <v>20</v>
      </c>
      <c r="O16835" s="6" t="str">
        <f>HYPERLINK("https://pbs.twimg.com/profile_images/962471262747529216/Uo8lOkRJ_normal.jpg","View")</f>
        <v>View</v>
      </c>
      <c r="P16835" s="7"/>
    </row>
    <row r="16836" spans="1:16">
      <c r="A16836" s="3">
        <v>44506.951944444445</v>
      </c>
      <c r="B16836" s="4" t="str">
        <f>HYPERLINK("https://twitter.com/petrogustavo","@petrogustavo")</f>
        <v>@petrogustavo</v>
      </c>
      <c r="C16836" s="5" t="s">
        <v>16</v>
      </c>
      <c r="D16836" s="5" t="s">
        <v>16202</v>
      </c>
      <c r="E16836" s="6" t="str">
        <f>HYPERLINK("https://twitter.com/petrogustavo/status/1457035247342784512","1457035247342784512")</f>
        <v>1457035247342784512</v>
      </c>
      <c r="F16836" s="7" t="s">
        <v>17</v>
      </c>
      <c r="G16836" s="7">
        <v>4393784</v>
      </c>
      <c r="H16836" s="7">
        <v>2571</v>
      </c>
      <c r="I16836" s="7">
        <v>231</v>
      </c>
      <c r="J16836" s="7">
        <v>0</v>
      </c>
      <c r="K16836" s="7" t="s">
        <v>18</v>
      </c>
      <c r="L16836" s="8">
        <v>39987.315405092595</v>
      </c>
      <c r="M16836" s="9" t="s">
        <v>19</v>
      </c>
      <c r="N16836" s="9" t="s">
        <v>20</v>
      </c>
      <c r="O16836" s="6" t="str">
        <f>HYPERLINK("https://pbs.twimg.com/profile_images/962471262747529216/Uo8lOkRJ_normal.jpg","View")</f>
        <v>View</v>
      </c>
      <c r="P16836" s="7"/>
    </row>
    <row r="16837" spans="1:16">
      <c r="A16837" s="3">
        <v>44506.956689814819</v>
      </c>
      <c r="B16837" s="4" t="str">
        <f>HYPERLINK("https://twitter.com/petrogustavo","@petrogustavo")</f>
        <v>@petrogustavo</v>
      </c>
      <c r="C16837" s="5" t="s">
        <v>16</v>
      </c>
      <c r="D16837" s="5" t="s">
        <v>16203</v>
      </c>
      <c r="E16837" s="6" t="str">
        <f>HYPERLINK("https://twitter.com/petrogustavo/status/1457036967598858242","1457036967598858242")</f>
        <v>1457036967598858242</v>
      </c>
      <c r="F16837" s="7" t="s">
        <v>17</v>
      </c>
      <c r="G16837" s="7">
        <v>4393784</v>
      </c>
      <c r="H16837" s="7">
        <v>2571</v>
      </c>
      <c r="I16837" s="7">
        <v>212</v>
      </c>
      <c r="J16837" s="7">
        <v>0</v>
      </c>
      <c r="K16837" s="7" t="s">
        <v>18</v>
      </c>
      <c r="L16837" s="8">
        <v>39987.315405092595</v>
      </c>
      <c r="M16837" s="9" t="s">
        <v>19</v>
      </c>
      <c r="N16837" s="9" t="s">
        <v>20</v>
      </c>
      <c r="O16837" s="6" t="str">
        <f>HYPERLINK("https://pbs.twimg.com/profile_images/962471262747529216/Uo8lOkRJ_normal.jpg","View")</f>
        <v>View</v>
      </c>
      <c r="P16837" s="7"/>
    </row>
    <row r="16838" spans="1:16">
      <c r="A16838" s="3">
        <v>44506.985706018517</v>
      </c>
      <c r="B16838" s="4" t="str">
        <f>HYPERLINK("https://twitter.com/petrogustavo","@petrogustavo")</f>
        <v>@petrogustavo</v>
      </c>
      <c r="C16838" s="5" t="s">
        <v>16</v>
      </c>
      <c r="D16838" s="5" t="s">
        <v>16204</v>
      </c>
      <c r="E16838" s="6" t="str">
        <f>HYPERLINK("https://twitter.com/petrogustavo/status/1457047484128243714","1457047484128243714")</f>
        <v>1457047484128243714</v>
      </c>
      <c r="F16838" s="7" t="s">
        <v>17</v>
      </c>
      <c r="G16838" s="7">
        <v>4393849</v>
      </c>
      <c r="H16838" s="7">
        <v>2571</v>
      </c>
      <c r="I16838" s="7">
        <v>18</v>
      </c>
      <c r="J16838" s="7">
        <v>67</v>
      </c>
      <c r="K16838" s="7" t="s">
        <v>18</v>
      </c>
      <c r="L16838" s="8">
        <v>39987.315405092595</v>
      </c>
      <c r="M16838" s="9" t="s">
        <v>19</v>
      </c>
      <c r="N16838" s="9" t="s">
        <v>20</v>
      </c>
      <c r="O16838" s="6" t="str">
        <f>HYPERLINK("https://pbs.twimg.com/profile_images/962471262747529216/Uo8lOkRJ_normal.jpg","View")</f>
        <v>View</v>
      </c>
      <c r="P16838" s="7"/>
    </row>
    <row r="16839" spans="1:16">
      <c r="A16839" s="3">
        <v>44506.985706018517</v>
      </c>
      <c r="B16839" s="4" t="str">
        <f>HYPERLINK("https://twitter.com/petrogustavo","@petrogustavo")</f>
        <v>@petrogustavo</v>
      </c>
      <c r="C16839" s="5" t="s">
        <v>16</v>
      </c>
      <c r="D16839" s="5" t="s">
        <v>16205</v>
      </c>
      <c r="E16839" s="6" t="str">
        <f>HYPERLINK("https://twitter.com/petrogustavo/status/1457047485646622726","1457047485646622726")</f>
        <v>1457047485646622726</v>
      </c>
      <c r="F16839" s="7" t="s">
        <v>17</v>
      </c>
      <c r="G16839" s="7">
        <v>4393849</v>
      </c>
      <c r="H16839" s="7">
        <v>2571</v>
      </c>
      <c r="I16839" s="7">
        <v>12</v>
      </c>
      <c r="J16839" s="7">
        <v>63</v>
      </c>
      <c r="K16839" s="7" t="s">
        <v>18</v>
      </c>
      <c r="L16839" s="8">
        <v>39987.315405092595</v>
      </c>
      <c r="M16839" s="9" t="s">
        <v>19</v>
      </c>
      <c r="N16839" s="9" t="s">
        <v>20</v>
      </c>
      <c r="O16839" s="6" t="str">
        <f>HYPERLINK("https://pbs.twimg.com/profile_images/962471262747529216/Uo8lOkRJ_normal.jpg","View")</f>
        <v>View</v>
      </c>
      <c r="P16839" s="7"/>
    </row>
    <row r="16840" spans="1:16">
      <c r="A16840" s="3">
        <v>44506.985717592594</v>
      </c>
      <c r="B16840" s="4" t="str">
        <f>HYPERLINK("https://twitter.com/petrogustavo","@petrogustavo")</f>
        <v>@petrogustavo</v>
      </c>
      <c r="C16840" s="5" t="s">
        <v>16</v>
      </c>
      <c r="D16840" s="5" t="s">
        <v>16206</v>
      </c>
      <c r="E16840" s="6" t="str">
        <f>HYPERLINK("https://twitter.com/petrogustavo/status/1457047487001382918","1457047487001382918")</f>
        <v>1457047487001382918</v>
      </c>
      <c r="F16840" s="7" t="s">
        <v>17</v>
      </c>
      <c r="G16840" s="7">
        <v>4393849</v>
      </c>
      <c r="H16840" s="7">
        <v>2571</v>
      </c>
      <c r="I16840" s="7">
        <v>11</v>
      </c>
      <c r="J16840" s="7">
        <v>61</v>
      </c>
      <c r="K16840" s="7" t="s">
        <v>18</v>
      </c>
      <c r="L16840" s="8">
        <v>39987.315405092595</v>
      </c>
      <c r="M16840" s="9" t="s">
        <v>19</v>
      </c>
      <c r="N16840" s="9" t="s">
        <v>20</v>
      </c>
      <c r="O16840" s="6" t="str">
        <f>HYPERLINK("https://pbs.twimg.com/profile_images/962471262747529216/Uo8lOkRJ_normal.jpg","View")</f>
        <v>View</v>
      </c>
      <c r="P16840" s="7"/>
    </row>
    <row r="16841" spans="1:16">
      <c r="A16841" s="3">
        <v>44506.985717592594</v>
      </c>
      <c r="B16841" s="4" t="str">
        <f>HYPERLINK("https://twitter.com/petrogustavo","@petrogustavo")</f>
        <v>@petrogustavo</v>
      </c>
      <c r="C16841" s="5" t="s">
        <v>16</v>
      </c>
      <c r="D16841" s="5" t="s">
        <v>16207</v>
      </c>
      <c r="E16841" s="6" t="str">
        <f>HYPERLINK("https://twitter.com/petrogustavo/status/1457047488486125573","1457047488486125573")</f>
        <v>1457047488486125573</v>
      </c>
      <c r="F16841" s="7" t="s">
        <v>17</v>
      </c>
      <c r="G16841" s="7">
        <v>4393849</v>
      </c>
      <c r="H16841" s="7">
        <v>2571</v>
      </c>
      <c r="I16841" s="7">
        <v>15</v>
      </c>
      <c r="J16841" s="7">
        <v>53</v>
      </c>
      <c r="K16841" s="7" t="s">
        <v>18</v>
      </c>
      <c r="L16841" s="8">
        <v>39987.315405092595</v>
      </c>
      <c r="M16841" s="9" t="s">
        <v>19</v>
      </c>
      <c r="N16841" s="9" t="s">
        <v>20</v>
      </c>
      <c r="O16841" s="6" t="str">
        <f>HYPERLINK("https://pbs.twimg.com/profile_images/962471262747529216/Uo8lOkRJ_normal.jpg","View")</f>
        <v>View</v>
      </c>
      <c r="P16841" s="7"/>
    </row>
    <row r="16842" spans="1:16">
      <c r="A16842" s="3">
        <v>44506.985717592594</v>
      </c>
      <c r="B16842" s="4" t="str">
        <f>HYPERLINK("https://twitter.com/petrogustavo","@petrogustavo")</f>
        <v>@petrogustavo</v>
      </c>
      <c r="C16842" s="5" t="s">
        <v>16</v>
      </c>
      <c r="D16842" s="5" t="s">
        <v>16208</v>
      </c>
      <c r="E16842" s="6" t="str">
        <f>HYPERLINK("https://twitter.com/petrogustavo/status/1457047490004410368","1457047490004410368")</f>
        <v>1457047490004410368</v>
      </c>
      <c r="F16842" s="7" t="s">
        <v>17</v>
      </c>
      <c r="G16842" s="7">
        <v>4393849</v>
      </c>
      <c r="H16842" s="7">
        <v>2571</v>
      </c>
      <c r="I16842" s="7">
        <v>10</v>
      </c>
      <c r="J16842" s="7">
        <v>55</v>
      </c>
      <c r="K16842" s="7" t="s">
        <v>18</v>
      </c>
      <c r="L16842" s="8">
        <v>39987.315405092595</v>
      </c>
      <c r="M16842" s="9" t="s">
        <v>19</v>
      </c>
      <c r="N16842" s="9" t="s">
        <v>20</v>
      </c>
      <c r="O16842" s="6" t="str">
        <f>HYPERLINK("https://pbs.twimg.com/profile_images/962471262747529216/Uo8lOkRJ_normal.jpg","View")</f>
        <v>View</v>
      </c>
      <c r="P16842" s="7"/>
    </row>
    <row r="16843" spans="1:16">
      <c r="A16843" s="3">
        <v>44506.98572916667</v>
      </c>
      <c r="B16843" s="4" t="str">
        <f>HYPERLINK("https://twitter.com/petrogustavo","@petrogustavo")</f>
        <v>@petrogustavo</v>
      </c>
      <c r="C16843" s="5" t="s">
        <v>16</v>
      </c>
      <c r="D16843" s="5" t="s">
        <v>16209</v>
      </c>
      <c r="E16843" s="6" t="str">
        <f>HYPERLINK("https://twitter.com/petrogustavo/status/1457047491581562890","1457047491581562890")</f>
        <v>1457047491581562890</v>
      </c>
      <c r="F16843" s="7" t="s">
        <v>17</v>
      </c>
      <c r="G16843" s="7">
        <v>4393849</v>
      </c>
      <c r="H16843" s="7">
        <v>2571</v>
      </c>
      <c r="I16843" s="7">
        <v>11</v>
      </c>
      <c r="J16843" s="7">
        <v>54</v>
      </c>
      <c r="K16843" s="7" t="s">
        <v>18</v>
      </c>
      <c r="L16843" s="8">
        <v>39987.315405092595</v>
      </c>
      <c r="M16843" s="9" t="s">
        <v>19</v>
      </c>
      <c r="N16843" s="9" t="s">
        <v>20</v>
      </c>
      <c r="O16843" s="6" t="str">
        <f>HYPERLINK("https://pbs.twimg.com/profile_images/962471262747529216/Uo8lOkRJ_normal.jpg","View")</f>
        <v>View</v>
      </c>
      <c r="P16843" s="7"/>
    </row>
    <row r="16844" spans="1:16">
      <c r="A16844" s="3">
        <v>44506.98572916667</v>
      </c>
      <c r="B16844" s="4" t="str">
        <f>HYPERLINK("https://twitter.com/petrogustavo","@petrogustavo")</f>
        <v>@petrogustavo</v>
      </c>
      <c r="C16844" s="5" t="s">
        <v>16</v>
      </c>
      <c r="D16844" s="5" t="s">
        <v>16210</v>
      </c>
      <c r="E16844" s="6" t="str">
        <f>HYPERLINK("https://twitter.com/petrogustavo/status/1457047493372485632","1457047493372485632")</f>
        <v>1457047493372485632</v>
      </c>
      <c r="F16844" s="7" t="s">
        <v>17</v>
      </c>
      <c r="G16844" s="7">
        <v>4393849</v>
      </c>
      <c r="H16844" s="7">
        <v>2571</v>
      </c>
      <c r="I16844" s="7">
        <v>8</v>
      </c>
      <c r="J16844" s="7">
        <v>52</v>
      </c>
      <c r="K16844" s="7" t="s">
        <v>18</v>
      </c>
      <c r="L16844" s="8">
        <v>39987.315405092595</v>
      </c>
      <c r="M16844" s="9" t="s">
        <v>19</v>
      </c>
      <c r="N16844" s="9" t="s">
        <v>20</v>
      </c>
      <c r="O16844" s="6" t="str">
        <f>HYPERLINK("https://pbs.twimg.com/profile_images/962471262747529216/Uo8lOkRJ_normal.jpg","View")</f>
        <v>View</v>
      </c>
      <c r="P16844" s="7"/>
    </row>
    <row r="16845" spans="1:16">
      <c r="A16845" s="3">
        <v>44506.98574074074</v>
      </c>
      <c r="B16845" s="4" t="str">
        <f>HYPERLINK("https://twitter.com/petrogustavo","@petrogustavo")</f>
        <v>@petrogustavo</v>
      </c>
      <c r="C16845" s="5" t="s">
        <v>16</v>
      </c>
      <c r="D16845" s="5" t="s">
        <v>16211</v>
      </c>
      <c r="E16845" s="6" t="str">
        <f>HYPERLINK("https://twitter.com/petrogustavo/status/1457047495066980363","1457047495066980363")</f>
        <v>1457047495066980363</v>
      </c>
      <c r="F16845" s="7" t="s">
        <v>17</v>
      </c>
      <c r="G16845" s="7">
        <v>4393849</v>
      </c>
      <c r="H16845" s="7">
        <v>2571</v>
      </c>
      <c r="I16845" s="7">
        <v>15</v>
      </c>
      <c r="J16845" s="7">
        <v>59</v>
      </c>
      <c r="K16845" s="7" t="s">
        <v>18</v>
      </c>
      <c r="L16845" s="8">
        <v>39987.315405092595</v>
      </c>
      <c r="M16845" s="9" t="s">
        <v>19</v>
      </c>
      <c r="N16845" s="9" t="s">
        <v>20</v>
      </c>
      <c r="O16845" s="6" t="str">
        <f>HYPERLINK("https://pbs.twimg.com/profile_images/962471262747529216/Uo8lOkRJ_normal.jpg","View")</f>
        <v>View</v>
      </c>
      <c r="P16845" s="7"/>
    </row>
    <row r="16846" spans="1:16">
      <c r="A16846" s="3">
        <v>44506.98574074074</v>
      </c>
      <c r="B16846" s="4" t="str">
        <f>HYPERLINK("https://twitter.com/petrogustavo","@petrogustavo")</f>
        <v>@petrogustavo</v>
      </c>
      <c r="C16846" s="5" t="s">
        <v>16</v>
      </c>
      <c r="D16846" s="5" t="s">
        <v>16212</v>
      </c>
      <c r="E16846" s="6" t="str">
        <f>HYPERLINK("https://twitter.com/petrogustavo/status/1457047497386467328","1457047497386467328")</f>
        <v>1457047497386467328</v>
      </c>
      <c r="F16846" s="7" t="s">
        <v>17</v>
      </c>
      <c r="G16846" s="7">
        <v>4393849</v>
      </c>
      <c r="H16846" s="7">
        <v>2571</v>
      </c>
      <c r="I16846" s="7">
        <v>63</v>
      </c>
      <c r="J16846" s="7">
        <v>251</v>
      </c>
      <c r="K16846" s="7" t="s">
        <v>18</v>
      </c>
      <c r="L16846" s="8">
        <v>39987.315405092595</v>
      </c>
      <c r="M16846" s="9" t="s">
        <v>19</v>
      </c>
      <c r="N16846" s="9" t="s">
        <v>20</v>
      </c>
      <c r="O16846" s="6" t="str">
        <f>HYPERLINK("https://pbs.twimg.com/profile_images/962471262747529216/Uo8lOkRJ_normal.jpg","View")</f>
        <v>View</v>
      </c>
      <c r="P16846" s="7"/>
    </row>
    <row r="16847" spans="1:16">
      <c r="A16847" s="3">
        <v>44506.985752314809</v>
      </c>
      <c r="B16847" s="4" t="str">
        <f>HYPERLINK("https://twitter.com/petrogustavo","@petrogustavo")</f>
        <v>@petrogustavo</v>
      </c>
      <c r="C16847" s="5" t="s">
        <v>16</v>
      </c>
      <c r="D16847" s="5" t="s">
        <v>16213</v>
      </c>
      <c r="E16847" s="6" t="str">
        <f>HYPERLINK("https://twitter.com/petrogustavo/status/1457047498988474371","1457047498988474371")</f>
        <v>1457047498988474371</v>
      </c>
      <c r="F16847" s="7" t="s">
        <v>17</v>
      </c>
      <c r="G16847" s="7">
        <v>4393849</v>
      </c>
      <c r="H16847" s="7">
        <v>2571</v>
      </c>
      <c r="I16847" s="7">
        <v>57</v>
      </c>
      <c r="J16847" s="7">
        <v>222</v>
      </c>
      <c r="K16847" s="7" t="s">
        <v>18</v>
      </c>
      <c r="L16847" s="8">
        <v>39987.315405092595</v>
      </c>
      <c r="M16847" s="9" t="s">
        <v>19</v>
      </c>
      <c r="N16847" s="9" t="s">
        <v>20</v>
      </c>
      <c r="O16847" s="6" t="str">
        <f>HYPERLINK("https://pbs.twimg.com/profile_images/962471262747529216/Uo8lOkRJ_normal.jpg","View")</f>
        <v>View</v>
      </c>
      <c r="P16847" s="7"/>
    </row>
    <row r="16848" spans="1:16">
      <c r="A16848" s="3">
        <v>44507.143449074079</v>
      </c>
      <c r="B16848" s="4" t="str">
        <f>HYPERLINK("https://twitter.com/petrogustavo","@petrogustavo")</f>
        <v>@petrogustavo</v>
      </c>
      <c r="C16848" s="5" t="s">
        <v>16</v>
      </c>
      <c r="D16848" s="5" t="s">
        <v>16214</v>
      </c>
      <c r="E16848" s="6" t="str">
        <f>HYPERLINK("https://twitter.com/petrogustavo/status/1457104649220132866","1457104649220132866")</f>
        <v>1457104649220132866</v>
      </c>
      <c r="F16848" s="7" t="s">
        <v>17</v>
      </c>
      <c r="G16848" s="7">
        <v>4394030</v>
      </c>
      <c r="H16848" s="7">
        <v>2571</v>
      </c>
      <c r="I16848" s="7">
        <v>62</v>
      </c>
      <c r="J16848" s="7">
        <v>166</v>
      </c>
      <c r="K16848" s="7" t="s">
        <v>18</v>
      </c>
      <c r="L16848" s="8">
        <v>39987.315405092595</v>
      </c>
      <c r="M16848" s="9" t="s">
        <v>19</v>
      </c>
      <c r="N16848" s="9" t="s">
        <v>20</v>
      </c>
      <c r="O16848" s="6" t="str">
        <f>HYPERLINK("https://pbs.twimg.com/profile_images/962471262747529216/Uo8lOkRJ_normal.jpg","View")</f>
        <v>View</v>
      </c>
      <c r="P16848" s="7"/>
    </row>
    <row r="16849" spans="1:16">
      <c r="A16849" s="3">
        <v>44507.298981481479</v>
      </c>
      <c r="B16849" s="4" t="str">
        <f>HYPERLINK("https://twitter.com/petrogustavo","@petrogustavo")</f>
        <v>@petrogustavo</v>
      </c>
      <c r="C16849" s="5" t="s">
        <v>16</v>
      </c>
      <c r="D16849" s="5" t="s">
        <v>16215</v>
      </c>
      <c r="E16849" s="6" t="str">
        <f>HYPERLINK("https://twitter.com/petrogustavo/status/1457161012105433089","1457161012105433089")</f>
        <v>1457161012105433089</v>
      </c>
      <c r="F16849" s="7" t="s">
        <v>17</v>
      </c>
      <c r="G16849" s="7">
        <v>4394235</v>
      </c>
      <c r="H16849" s="7">
        <v>2571</v>
      </c>
      <c r="I16849" s="7">
        <v>174</v>
      </c>
      <c r="J16849" s="7">
        <v>394</v>
      </c>
      <c r="K16849" s="7" t="s">
        <v>18</v>
      </c>
      <c r="L16849" s="8">
        <v>39987.315405092595</v>
      </c>
      <c r="M16849" s="9" t="s">
        <v>19</v>
      </c>
      <c r="N16849" s="9" t="s">
        <v>20</v>
      </c>
      <c r="O16849" s="6" t="str">
        <f>HYPERLINK("https://pbs.twimg.com/profile_images/962471262747529216/Uo8lOkRJ_normal.jpg","View")</f>
        <v>View</v>
      </c>
      <c r="P16849" s="7"/>
    </row>
    <row r="16850" spans="1:16">
      <c r="A16850" s="3">
        <v>44507.309421296297</v>
      </c>
      <c r="B16850" s="4" t="str">
        <f>HYPERLINK("https://twitter.com/petrogustavo","@petrogustavo")</f>
        <v>@petrogustavo</v>
      </c>
      <c r="C16850" s="5" t="s">
        <v>16</v>
      </c>
      <c r="D16850" s="5" t="s">
        <v>16216</v>
      </c>
      <c r="E16850" s="6" t="str">
        <f>HYPERLINK("https://twitter.com/petrogustavo/status/1457164795086508041","1457164795086508041")</f>
        <v>1457164795086508041</v>
      </c>
      <c r="F16850" s="7" t="s">
        <v>17</v>
      </c>
      <c r="G16850" s="7">
        <v>4394235</v>
      </c>
      <c r="H16850" s="7">
        <v>2571</v>
      </c>
      <c r="I16850" s="7">
        <v>25</v>
      </c>
      <c r="J16850" s="7">
        <v>0</v>
      </c>
      <c r="K16850" s="7" t="s">
        <v>18</v>
      </c>
      <c r="L16850" s="8">
        <v>39987.315405092595</v>
      </c>
      <c r="M16850" s="9" t="s">
        <v>19</v>
      </c>
      <c r="N16850" s="9" t="s">
        <v>20</v>
      </c>
      <c r="O16850" s="6" t="str">
        <f>HYPERLINK("https://pbs.twimg.com/profile_images/962471262747529216/Uo8lOkRJ_normal.jpg","View")</f>
        <v>View</v>
      </c>
      <c r="P16850" s="7"/>
    </row>
    <row r="16851" spans="1:16">
      <c r="A16851" s="3">
        <v>44507.812256944446</v>
      </c>
      <c r="B16851" s="4" t="str">
        <f>HYPERLINK("https://twitter.com/petrogustavo","@petrogustavo")</f>
        <v>@petrogustavo</v>
      </c>
      <c r="C16851" s="5" t="s">
        <v>16</v>
      </c>
      <c r="D16851" s="5" t="s">
        <v>16217</v>
      </c>
      <c r="E16851" s="6" t="str">
        <f>HYPERLINK("https://twitter.com/petrogustavo/status/1457347018188275713","1457347018188275713")</f>
        <v>1457347018188275713</v>
      </c>
      <c r="F16851" s="7" t="s">
        <v>17</v>
      </c>
      <c r="G16851" s="7">
        <v>4394652</v>
      </c>
      <c r="H16851" s="7">
        <v>2571</v>
      </c>
      <c r="I16851" s="7">
        <v>44</v>
      </c>
      <c r="J16851" s="7">
        <v>148</v>
      </c>
      <c r="K16851" s="7" t="s">
        <v>18</v>
      </c>
      <c r="L16851" s="8">
        <v>39987.315405092595</v>
      </c>
      <c r="M16851" s="9" t="s">
        <v>19</v>
      </c>
      <c r="N16851" s="9" t="s">
        <v>20</v>
      </c>
      <c r="O16851" s="6" t="str">
        <f>HYPERLINK("https://pbs.twimg.com/profile_images/962471262747529216/Uo8lOkRJ_normal.jpg","View")</f>
        <v>View</v>
      </c>
      <c r="P16851" s="7"/>
    </row>
    <row r="16852" spans="1:16">
      <c r="A16852" s="3">
        <v>44507.820347222223</v>
      </c>
      <c r="B16852" s="4" t="str">
        <f>HYPERLINK("https://twitter.com/petrogustavo","@petrogustavo")</f>
        <v>@petrogustavo</v>
      </c>
      <c r="C16852" s="5" t="s">
        <v>16</v>
      </c>
      <c r="D16852" s="5" t="s">
        <v>16218</v>
      </c>
      <c r="E16852" s="6" t="str">
        <f>HYPERLINK("https://twitter.com/petrogustavo/status/1457349947309821960","1457349947309821960")</f>
        <v>1457349947309821960</v>
      </c>
      <c r="F16852" s="7" t="s">
        <v>17</v>
      </c>
      <c r="G16852" s="7">
        <v>4394670</v>
      </c>
      <c r="H16852" s="7">
        <v>2571</v>
      </c>
      <c r="I16852" s="7">
        <v>166</v>
      </c>
      <c r="J16852" s="7">
        <v>558</v>
      </c>
      <c r="K16852" s="7" t="s">
        <v>18</v>
      </c>
      <c r="L16852" s="8">
        <v>39987.315405092595</v>
      </c>
      <c r="M16852" s="9" t="s">
        <v>19</v>
      </c>
      <c r="N16852" s="9" t="s">
        <v>20</v>
      </c>
      <c r="O16852" s="6" t="str">
        <f>HYPERLINK("https://pbs.twimg.com/profile_images/962471262747529216/Uo8lOkRJ_normal.jpg","View")</f>
        <v>View</v>
      </c>
      <c r="P16852" s="7"/>
    </row>
    <row r="16853" spans="1:16">
      <c r="A16853" s="3">
        <v>44507.823935185181</v>
      </c>
      <c r="B16853" s="4" t="str">
        <f>HYPERLINK("https://twitter.com/petrogustavo","@petrogustavo")</f>
        <v>@petrogustavo</v>
      </c>
      <c r="C16853" s="5" t="s">
        <v>16</v>
      </c>
      <c r="D16853" s="5" t="s">
        <v>16219</v>
      </c>
      <c r="E16853" s="6" t="str">
        <f>HYPERLINK("https://twitter.com/petrogustavo/status/1457351248861175828","1457351248861175828")</f>
        <v>1457351248861175828</v>
      </c>
      <c r="F16853" s="7" t="s">
        <v>17</v>
      </c>
      <c r="G16853" s="7">
        <v>4394670</v>
      </c>
      <c r="H16853" s="7">
        <v>2571</v>
      </c>
      <c r="I16853" s="7">
        <v>223</v>
      </c>
      <c r="J16853" s="7">
        <v>837</v>
      </c>
      <c r="K16853" s="7" t="s">
        <v>18</v>
      </c>
      <c r="L16853" s="8">
        <v>39987.315405092595</v>
      </c>
      <c r="M16853" s="9" t="s">
        <v>19</v>
      </c>
      <c r="N16853" s="9" t="s">
        <v>20</v>
      </c>
      <c r="O16853" s="6" t="str">
        <f>HYPERLINK("https://pbs.twimg.com/profile_images/962471262747529216/Uo8lOkRJ_normal.jpg","View")</f>
        <v>View</v>
      </c>
      <c r="P16853" s="7"/>
    </row>
    <row r="16854" spans="1:16">
      <c r="A16854" s="3">
        <v>44507.838553240741</v>
      </c>
      <c r="B16854" s="4" t="str">
        <f>HYPERLINK("https://twitter.com/petrogustavo","@petrogustavo")</f>
        <v>@petrogustavo</v>
      </c>
      <c r="C16854" s="5" t="s">
        <v>16</v>
      </c>
      <c r="D16854" s="5" t="s">
        <v>16220</v>
      </c>
      <c r="E16854" s="6" t="str">
        <f>HYPERLINK("https://twitter.com/petrogustavo/status/1457356547424768002","1457356547424768002")</f>
        <v>1457356547424768002</v>
      </c>
      <c r="F16854" s="7" t="s">
        <v>17</v>
      </c>
      <c r="G16854" s="7">
        <v>4394709</v>
      </c>
      <c r="H16854" s="7">
        <v>2571</v>
      </c>
      <c r="I16854" s="7">
        <v>251</v>
      </c>
      <c r="J16854" s="7">
        <v>953</v>
      </c>
      <c r="K16854" s="7" t="s">
        <v>18</v>
      </c>
      <c r="L16854" s="8">
        <v>39987.315405092595</v>
      </c>
      <c r="M16854" s="9" t="s">
        <v>19</v>
      </c>
      <c r="N16854" s="9" t="s">
        <v>20</v>
      </c>
      <c r="O16854" s="6" t="str">
        <f>HYPERLINK("https://pbs.twimg.com/profile_images/962471262747529216/Uo8lOkRJ_normal.jpg","View")</f>
        <v>View</v>
      </c>
      <c r="P16854" s="7"/>
    </row>
    <row r="16855" spans="1:16">
      <c r="A16855" s="3">
        <v>44507.838564814811</v>
      </c>
      <c r="B16855" s="4" t="str">
        <f>HYPERLINK("https://twitter.com/petrogustavo","@petrogustavo")</f>
        <v>@petrogustavo</v>
      </c>
      <c r="C16855" s="5" t="s">
        <v>16</v>
      </c>
      <c r="D16855" s="5" t="s">
        <v>16221</v>
      </c>
      <c r="E16855" s="6" t="str">
        <f>HYPERLINK("https://twitter.com/petrogustavo/status/1457356549148528642","1457356549148528642")</f>
        <v>1457356549148528642</v>
      </c>
      <c r="F16855" s="7" t="s">
        <v>17</v>
      </c>
      <c r="G16855" s="7">
        <v>4394709</v>
      </c>
      <c r="H16855" s="7">
        <v>2571</v>
      </c>
      <c r="I16855" s="7">
        <v>204</v>
      </c>
      <c r="J16855" s="7">
        <v>872</v>
      </c>
      <c r="K16855" s="7" t="s">
        <v>18</v>
      </c>
      <c r="L16855" s="8">
        <v>39987.315405092595</v>
      </c>
      <c r="M16855" s="9" t="s">
        <v>19</v>
      </c>
      <c r="N16855" s="9" t="s">
        <v>20</v>
      </c>
      <c r="O16855" s="6" t="str">
        <f>HYPERLINK("https://pbs.twimg.com/profile_images/962471262747529216/Uo8lOkRJ_normal.jpg","View")</f>
        <v>View</v>
      </c>
      <c r="P16855" s="7"/>
    </row>
    <row r="16856" spans="1:16">
      <c r="A16856" s="3">
        <v>44507.846631944441</v>
      </c>
      <c r="B16856" s="4" t="str">
        <f>HYPERLINK("https://twitter.com/petrogustavo","@petrogustavo")</f>
        <v>@petrogustavo</v>
      </c>
      <c r="C16856" s="5" t="s">
        <v>16</v>
      </c>
      <c r="D16856" s="5" t="s">
        <v>16222</v>
      </c>
      <c r="E16856" s="6" t="str">
        <f>HYPERLINK("https://twitter.com/petrogustavo/status/1457359471919964170","1457359471919964170")</f>
        <v>1457359471919964170</v>
      </c>
      <c r="F16856" s="7" t="s">
        <v>17</v>
      </c>
      <c r="G16856" s="7">
        <v>4394709</v>
      </c>
      <c r="H16856" s="7">
        <v>2571</v>
      </c>
      <c r="I16856" s="7">
        <v>39</v>
      </c>
      <c r="J16856" s="7">
        <v>221</v>
      </c>
      <c r="K16856" s="7" t="s">
        <v>18</v>
      </c>
      <c r="L16856" s="8">
        <v>39987.315405092595</v>
      </c>
      <c r="M16856" s="9" t="s">
        <v>19</v>
      </c>
      <c r="N16856" s="9" t="s">
        <v>20</v>
      </c>
      <c r="O16856" s="6" t="str">
        <f>HYPERLINK("https://pbs.twimg.com/profile_images/962471262747529216/Uo8lOkRJ_normal.jpg","View")</f>
        <v>View</v>
      </c>
      <c r="P16856" s="7"/>
    </row>
    <row r="16857" spans="1:16">
      <c r="A16857" s="3">
        <v>44507.847777777773</v>
      </c>
      <c r="B16857" s="4" t="str">
        <f>HYPERLINK("https://twitter.com/petrogustavo","@petrogustavo")</f>
        <v>@petrogustavo</v>
      </c>
      <c r="C16857" s="5" t="s">
        <v>16</v>
      </c>
      <c r="D16857" s="5" t="s">
        <v>16223</v>
      </c>
      <c r="E16857" s="6" t="str">
        <f>HYPERLINK("https://twitter.com/petrogustavo/status/1457359890306027523","1457359890306027523")</f>
        <v>1457359890306027523</v>
      </c>
      <c r="F16857" s="7" t="s">
        <v>17</v>
      </c>
      <c r="G16857" s="7">
        <v>4394709</v>
      </c>
      <c r="H16857" s="7">
        <v>2571</v>
      </c>
      <c r="I16857" s="7">
        <v>251</v>
      </c>
      <c r="J16857" s="7">
        <v>0</v>
      </c>
      <c r="K16857" s="7" t="s">
        <v>18</v>
      </c>
      <c r="L16857" s="8">
        <v>39987.315405092595</v>
      </c>
      <c r="M16857" s="9" t="s">
        <v>19</v>
      </c>
      <c r="N16857" s="9" t="s">
        <v>20</v>
      </c>
      <c r="O16857" s="6" t="str">
        <f>HYPERLINK("https://pbs.twimg.com/profile_images/962471262747529216/Uo8lOkRJ_normal.jpg","View")</f>
        <v>View</v>
      </c>
      <c r="P16857" s="7"/>
    </row>
    <row r="16858" spans="1:16">
      <c r="A16858" s="3">
        <v>44507.856631944444</v>
      </c>
      <c r="B16858" s="4" t="str">
        <f>HYPERLINK("https://twitter.com/petrogustavo","@petrogustavo")</f>
        <v>@petrogustavo</v>
      </c>
      <c r="C16858" s="5" t="s">
        <v>16</v>
      </c>
      <c r="D16858" s="5" t="s">
        <v>16224</v>
      </c>
      <c r="E16858" s="6" t="str">
        <f>HYPERLINK("https://twitter.com/petrogustavo/status/1457363096289284097","1457363096289284097")</f>
        <v>1457363096289284097</v>
      </c>
      <c r="F16858" s="7" t="s">
        <v>17</v>
      </c>
      <c r="G16858" s="7">
        <v>4394762</v>
      </c>
      <c r="H16858" s="7">
        <v>2571</v>
      </c>
      <c r="I16858" s="7">
        <v>147</v>
      </c>
      <c r="J16858" s="7">
        <v>437</v>
      </c>
      <c r="K16858" s="7" t="s">
        <v>18</v>
      </c>
      <c r="L16858" s="8">
        <v>39987.315405092595</v>
      </c>
      <c r="M16858" s="9" t="s">
        <v>19</v>
      </c>
      <c r="N16858" s="9" t="s">
        <v>20</v>
      </c>
      <c r="O16858" s="6" t="str">
        <f>HYPERLINK("https://pbs.twimg.com/profile_images/962471262747529216/Uo8lOkRJ_normal.jpg","View")</f>
        <v>View</v>
      </c>
      <c r="P16858" s="7"/>
    </row>
    <row r="16859" spans="1:16">
      <c r="A16859" s="3">
        <v>44507.966689814813</v>
      </c>
      <c r="B16859" s="4" t="str">
        <f>HYPERLINK("https://twitter.com/petrogustavo","@petrogustavo")</f>
        <v>@petrogustavo</v>
      </c>
      <c r="C16859" s="5" t="s">
        <v>16</v>
      </c>
      <c r="D16859" s="5" t="s">
        <v>16225</v>
      </c>
      <c r="E16859" s="6" t="str">
        <f>HYPERLINK("https://twitter.com/petrogustavo/status/1457402978936229894","1457402978936229894")</f>
        <v>1457402978936229894</v>
      </c>
      <c r="F16859" s="7" t="s">
        <v>17</v>
      </c>
      <c r="G16859" s="7">
        <v>4394868</v>
      </c>
      <c r="H16859" s="7">
        <v>2571</v>
      </c>
      <c r="I16859" s="7">
        <v>24</v>
      </c>
      <c r="J16859" s="7">
        <v>0</v>
      </c>
      <c r="K16859" s="7" t="s">
        <v>18</v>
      </c>
      <c r="L16859" s="8">
        <v>39987.315405092595</v>
      </c>
      <c r="M16859" s="9" t="s">
        <v>19</v>
      </c>
      <c r="N16859" s="9" t="s">
        <v>20</v>
      </c>
      <c r="O16859" s="6" t="str">
        <f>HYPERLINK("https://pbs.twimg.com/profile_images/962471262747529216/Uo8lOkRJ_normal.jpg","View")</f>
        <v>View</v>
      </c>
      <c r="P16859" s="7"/>
    </row>
    <row r="16860" spans="1:16">
      <c r="A16860" s="3">
        <v>44507.995787037042</v>
      </c>
      <c r="B16860" s="4" t="str">
        <f>HYPERLINK("https://twitter.com/petrogustavo","@petrogustavo")</f>
        <v>@petrogustavo</v>
      </c>
      <c r="C16860" s="5" t="s">
        <v>16</v>
      </c>
      <c r="D16860" s="5" t="s">
        <v>16226</v>
      </c>
      <c r="E16860" s="6" t="str">
        <f>HYPERLINK("https://twitter.com/petrogustavo/status/1457413525832445954","1457413525832445954")</f>
        <v>1457413525832445954</v>
      </c>
      <c r="F16860" s="7" t="s">
        <v>17</v>
      </c>
      <c r="G16860" s="7">
        <v>4394909</v>
      </c>
      <c r="H16860" s="7">
        <v>2570</v>
      </c>
      <c r="I16860" s="7">
        <v>31</v>
      </c>
      <c r="J16860" s="7">
        <v>0</v>
      </c>
      <c r="K16860" s="7" t="s">
        <v>18</v>
      </c>
      <c r="L16860" s="8">
        <v>39987.315405092595</v>
      </c>
      <c r="M16860" s="9" t="s">
        <v>19</v>
      </c>
      <c r="N16860" s="9" t="s">
        <v>20</v>
      </c>
      <c r="O16860" s="6" t="str">
        <f>HYPERLINK("https://pbs.twimg.com/profile_images/962471262747529216/Uo8lOkRJ_normal.jpg","View")</f>
        <v>View</v>
      </c>
      <c r="P16860" s="7"/>
    </row>
    <row r="16861" spans="1:16">
      <c r="A16861" s="3">
        <v>44507.997928240744</v>
      </c>
      <c r="B16861" s="4" t="str">
        <f>HYPERLINK("https://twitter.com/petrogustavo","@petrogustavo")</f>
        <v>@petrogustavo</v>
      </c>
      <c r="C16861" s="5" t="s">
        <v>16</v>
      </c>
      <c r="D16861" s="5" t="s">
        <v>16227</v>
      </c>
      <c r="E16861" s="6" t="str">
        <f>HYPERLINK("https://twitter.com/petrogustavo/status/1457414303129219079","1457414303129219079")</f>
        <v>1457414303129219079</v>
      </c>
      <c r="F16861" s="7" t="s">
        <v>17</v>
      </c>
      <c r="G16861" s="7">
        <v>4394909</v>
      </c>
      <c r="H16861" s="7">
        <v>2570</v>
      </c>
      <c r="I16861" s="7">
        <v>57</v>
      </c>
      <c r="J16861" s="7">
        <v>0</v>
      </c>
      <c r="K16861" s="7" t="s">
        <v>18</v>
      </c>
      <c r="L16861" s="8">
        <v>39987.315405092595</v>
      </c>
      <c r="M16861" s="9" t="s">
        <v>19</v>
      </c>
      <c r="N16861" s="9" t="s">
        <v>20</v>
      </c>
      <c r="O16861" s="6" t="str">
        <f>HYPERLINK("https://pbs.twimg.com/profile_images/962471262747529216/Uo8lOkRJ_normal.jpg","View")</f>
        <v>View</v>
      </c>
      <c r="P16861" s="7"/>
    </row>
    <row r="16862" spans="1:16">
      <c r="A16862" s="3">
        <v>44508.005428240736</v>
      </c>
      <c r="B16862" s="4" t="str">
        <f>HYPERLINK("https://twitter.com/petrogustavo","@petrogustavo")</f>
        <v>@petrogustavo</v>
      </c>
      <c r="C16862" s="5" t="s">
        <v>16</v>
      </c>
      <c r="D16862" s="4" t="s">
        <v>16228</v>
      </c>
      <c r="E16862" s="6" t="str">
        <f>HYPERLINK("https://twitter.com/petrogustavo/status/1457417018706124804","1457417018706124804")</f>
        <v>1457417018706124804</v>
      </c>
      <c r="F16862" s="7" t="s">
        <v>17</v>
      </c>
      <c r="G16862" s="7">
        <v>4394909</v>
      </c>
      <c r="H16862" s="7">
        <v>2570</v>
      </c>
      <c r="I16862" s="7">
        <v>74</v>
      </c>
      <c r="J16862" s="7">
        <v>487</v>
      </c>
      <c r="K16862" s="7" t="s">
        <v>18</v>
      </c>
      <c r="L16862" s="8">
        <v>39987.315405092595</v>
      </c>
      <c r="M16862" s="9" t="s">
        <v>19</v>
      </c>
      <c r="N16862" s="9" t="s">
        <v>20</v>
      </c>
      <c r="O16862" s="6" t="str">
        <f>HYPERLINK("https://pbs.twimg.com/profile_images/962471262747529216/Uo8lOkRJ_normal.jpg","View")</f>
        <v>View</v>
      </c>
      <c r="P16862" s="7"/>
    </row>
    <row r="16863" spans="1:16">
      <c r="A16863" s="3">
        <v>44508.295312499999</v>
      </c>
      <c r="B16863" s="4" t="str">
        <f>HYPERLINK("https://twitter.com/petrogustavo","@petrogustavo")</f>
        <v>@petrogustavo</v>
      </c>
      <c r="C16863" s="5" t="s">
        <v>16</v>
      </c>
      <c r="D16863" s="5" t="s">
        <v>16229</v>
      </c>
      <c r="E16863" s="6" t="str">
        <f>HYPERLINK("https://twitter.com/petrogustavo/status/1457522068417810432","1457522068417810432")</f>
        <v>1457522068417810432</v>
      </c>
      <c r="F16863" s="7" t="s">
        <v>17</v>
      </c>
      <c r="G16863" s="7">
        <v>4395292</v>
      </c>
      <c r="H16863" s="7">
        <v>2571</v>
      </c>
      <c r="I16863" s="7">
        <v>70</v>
      </c>
      <c r="J16863" s="7">
        <v>0</v>
      </c>
      <c r="K16863" s="7" t="s">
        <v>18</v>
      </c>
      <c r="L16863" s="8">
        <v>39987.315405092595</v>
      </c>
      <c r="M16863" s="9" t="s">
        <v>19</v>
      </c>
      <c r="N16863" s="9" t="s">
        <v>20</v>
      </c>
      <c r="O16863" s="6" t="str">
        <f>HYPERLINK("https://pbs.twimg.com/profile_images/962471262747529216/Uo8lOkRJ_normal.jpg","View")</f>
        <v>View</v>
      </c>
      <c r="P16863" s="7"/>
    </row>
    <row r="16864" spans="1:16">
      <c r="A16864" s="3">
        <v>44508.296099537038</v>
      </c>
      <c r="B16864" s="4" t="str">
        <f>HYPERLINK("https://twitter.com/petrogustavo","@petrogustavo")</f>
        <v>@petrogustavo</v>
      </c>
      <c r="C16864" s="5" t="s">
        <v>16</v>
      </c>
      <c r="D16864" s="5" t="s">
        <v>16230</v>
      </c>
      <c r="E16864" s="6" t="str">
        <f>HYPERLINK("https://twitter.com/petrogustavo/status/1457522354314260485","1457522354314260485")</f>
        <v>1457522354314260485</v>
      </c>
      <c r="F16864" s="7" t="s">
        <v>17</v>
      </c>
      <c r="G16864" s="7">
        <v>4395292</v>
      </c>
      <c r="H16864" s="7">
        <v>2571</v>
      </c>
      <c r="I16864" s="7">
        <v>378</v>
      </c>
      <c r="J16864" s="7">
        <v>0</v>
      </c>
      <c r="K16864" s="7" t="s">
        <v>18</v>
      </c>
      <c r="L16864" s="8">
        <v>39987.315405092595</v>
      </c>
      <c r="M16864" s="9" t="s">
        <v>19</v>
      </c>
      <c r="N16864" s="9" t="s">
        <v>20</v>
      </c>
      <c r="O16864" s="6" t="str">
        <f>HYPERLINK("https://pbs.twimg.com/profile_images/962471262747529216/Uo8lOkRJ_normal.jpg","View")</f>
        <v>View</v>
      </c>
      <c r="P16864" s="7"/>
    </row>
    <row r="16865" spans="1:16">
      <c r="A16865" s="3">
        <v>44508.305497685185</v>
      </c>
      <c r="B16865" s="4" t="str">
        <f>HYPERLINK("https://twitter.com/petrogustavo","@petrogustavo")</f>
        <v>@petrogustavo</v>
      </c>
      <c r="C16865" s="5" t="s">
        <v>16</v>
      </c>
      <c r="D16865" s="5" t="s">
        <v>16231</v>
      </c>
      <c r="E16865" s="6" t="str">
        <f>HYPERLINK("https://twitter.com/petrogustavo/status/1457525761053712394","1457525761053712394")</f>
        <v>1457525761053712394</v>
      </c>
      <c r="F16865" s="7" t="s">
        <v>17</v>
      </c>
      <c r="G16865" s="7">
        <v>4395313</v>
      </c>
      <c r="H16865" s="7">
        <v>2571</v>
      </c>
      <c r="I16865" s="7">
        <v>510</v>
      </c>
      <c r="J16865" s="7">
        <v>0</v>
      </c>
      <c r="K16865" s="7" t="s">
        <v>18</v>
      </c>
      <c r="L16865" s="8">
        <v>39987.315405092595</v>
      </c>
      <c r="M16865" s="9" t="s">
        <v>19</v>
      </c>
      <c r="N16865" s="9" t="s">
        <v>20</v>
      </c>
      <c r="O16865" s="6" t="str">
        <f>HYPERLINK("https://pbs.twimg.com/profile_images/962471262747529216/Uo8lOkRJ_normal.jpg","View")</f>
        <v>View</v>
      </c>
      <c r="P16865" s="7"/>
    </row>
    <row r="16866" spans="1:16">
      <c r="A16866" s="3">
        <v>44508.311898148153</v>
      </c>
      <c r="B16866" s="4" t="str">
        <f>HYPERLINK("https://twitter.com/petrogustavo","@petrogustavo")</f>
        <v>@petrogustavo</v>
      </c>
      <c r="C16866" s="5" t="s">
        <v>16</v>
      </c>
      <c r="D16866" s="5" t="s">
        <v>16232</v>
      </c>
      <c r="E16866" s="6" t="str">
        <f>HYPERLINK("https://twitter.com/petrogustavo/status/1457528079794978818","1457528079794978818")</f>
        <v>1457528079794978818</v>
      </c>
      <c r="F16866" s="7" t="s">
        <v>17</v>
      </c>
      <c r="G16866" s="7">
        <v>4395313</v>
      </c>
      <c r="H16866" s="7">
        <v>2571</v>
      </c>
      <c r="I16866" s="7">
        <v>129</v>
      </c>
      <c r="J16866" s="7">
        <v>0</v>
      </c>
      <c r="K16866" s="7" t="s">
        <v>18</v>
      </c>
      <c r="L16866" s="8">
        <v>39987.315405092595</v>
      </c>
      <c r="M16866" s="9" t="s">
        <v>19</v>
      </c>
      <c r="N16866" s="9" t="s">
        <v>20</v>
      </c>
      <c r="O16866" s="6" t="str">
        <f>HYPERLINK("https://pbs.twimg.com/profile_images/962471262747529216/Uo8lOkRJ_normal.jpg","View")</f>
        <v>View</v>
      </c>
      <c r="P16866" s="7"/>
    </row>
    <row r="16867" spans="1:16">
      <c r="A16867" s="3">
        <v>44508.324317129634</v>
      </c>
      <c r="B16867" s="4" t="str">
        <f>HYPERLINK("https://twitter.com/petrogustavo","@petrogustavo")</f>
        <v>@petrogustavo</v>
      </c>
      <c r="C16867" s="5" t="s">
        <v>16</v>
      </c>
      <c r="D16867" s="5" t="s">
        <v>16233</v>
      </c>
      <c r="E16867" s="6" t="str">
        <f>HYPERLINK("https://twitter.com/petrogustavo/status/1457532579251433480","1457532579251433480")</f>
        <v>1457532579251433480</v>
      </c>
      <c r="F16867" s="7" t="s">
        <v>17</v>
      </c>
      <c r="G16867" s="7">
        <v>4395313</v>
      </c>
      <c r="H16867" s="7">
        <v>2571</v>
      </c>
      <c r="I16867" s="7">
        <v>3</v>
      </c>
      <c r="J16867" s="7">
        <v>3</v>
      </c>
      <c r="K16867" s="7" t="s">
        <v>18</v>
      </c>
      <c r="L16867" s="8">
        <v>39987.315405092595</v>
      </c>
      <c r="M16867" s="9" t="s">
        <v>19</v>
      </c>
      <c r="N16867" s="9" t="s">
        <v>20</v>
      </c>
      <c r="O16867" s="6" t="str">
        <f>HYPERLINK("https://pbs.twimg.com/profile_images/962471262747529216/Uo8lOkRJ_normal.jpg","View")</f>
        <v>View</v>
      </c>
      <c r="P16867" s="7"/>
    </row>
    <row r="16868" spans="1:16">
      <c r="A16868" s="3">
        <v>44508.328645833331</v>
      </c>
      <c r="B16868" s="4" t="str">
        <f>HYPERLINK("https://twitter.com/petrogustavo","@petrogustavo")</f>
        <v>@petrogustavo</v>
      </c>
      <c r="C16868" s="5" t="s">
        <v>16</v>
      </c>
      <c r="D16868" s="5" t="s">
        <v>16234</v>
      </c>
      <c r="E16868" s="6" t="str">
        <f>HYPERLINK("https://twitter.com/petrogustavo/status/1457534150227992584","1457534150227992584")</f>
        <v>1457534150227992584</v>
      </c>
      <c r="F16868" s="7" t="s">
        <v>17</v>
      </c>
      <c r="G16868" s="7">
        <v>4395355</v>
      </c>
      <c r="H16868" s="7">
        <v>2571</v>
      </c>
      <c r="I16868" s="7">
        <v>836</v>
      </c>
      <c r="J16868" s="7">
        <v>0</v>
      </c>
      <c r="K16868" s="7" t="s">
        <v>18</v>
      </c>
      <c r="L16868" s="8">
        <v>39987.315405092595</v>
      </c>
      <c r="M16868" s="9" t="s">
        <v>19</v>
      </c>
      <c r="N16868" s="9" t="s">
        <v>20</v>
      </c>
      <c r="O16868" s="6" t="str">
        <f>HYPERLINK("https://pbs.twimg.com/profile_images/962471262747529216/Uo8lOkRJ_normal.jpg","View")</f>
        <v>View</v>
      </c>
      <c r="P16868" s="7"/>
    </row>
    <row r="16869" spans="1:16">
      <c r="A16869" s="3">
        <v>44508.72347222222</v>
      </c>
      <c r="B16869" s="4" t="str">
        <f>HYPERLINK("https://twitter.com/petrogustavo","@petrogustavo")</f>
        <v>@petrogustavo</v>
      </c>
      <c r="C16869" s="5" t="s">
        <v>16</v>
      </c>
      <c r="D16869" s="5" t="s">
        <v>16235</v>
      </c>
      <c r="E16869" s="6" t="str">
        <f>HYPERLINK("https://twitter.com/petrogustavo/status/1457677228049903619","1457677228049903619")</f>
        <v>1457677228049903619</v>
      </c>
      <c r="F16869" s="7" t="s">
        <v>17</v>
      </c>
      <c r="G16869" s="7">
        <v>4395632</v>
      </c>
      <c r="H16869" s="7">
        <v>2571</v>
      </c>
      <c r="I16869" s="7">
        <v>172</v>
      </c>
      <c r="J16869" s="7">
        <v>0</v>
      </c>
      <c r="K16869" s="7" t="s">
        <v>18</v>
      </c>
      <c r="L16869" s="8">
        <v>39987.315405092595</v>
      </c>
      <c r="M16869" s="9" t="s">
        <v>19</v>
      </c>
      <c r="N16869" s="9" t="s">
        <v>20</v>
      </c>
      <c r="O16869" s="6" t="str">
        <f>HYPERLINK("https://pbs.twimg.com/profile_images/962471262747529216/Uo8lOkRJ_normal.jpg","View")</f>
        <v>View</v>
      </c>
      <c r="P16869" s="7"/>
    </row>
    <row r="16870" spans="1:16">
      <c r="A16870" s="3">
        <v>44508.891030092593</v>
      </c>
      <c r="B16870" s="4" t="str">
        <f>HYPERLINK("https://twitter.com/petrogustavo","@petrogustavo")</f>
        <v>@petrogustavo</v>
      </c>
      <c r="C16870" s="5" t="s">
        <v>16</v>
      </c>
      <c r="D16870" s="5" t="s">
        <v>16236</v>
      </c>
      <c r="E16870" s="6" t="str">
        <f>HYPERLINK("https://twitter.com/petrogustavo/status/1457737951211884546","1457737951211884546")</f>
        <v>1457737951211884546</v>
      </c>
      <c r="F16870" s="7" t="s">
        <v>17</v>
      </c>
      <c r="G16870" s="7">
        <v>4395813</v>
      </c>
      <c r="H16870" s="7">
        <v>2571</v>
      </c>
      <c r="I16870" s="7">
        <v>36</v>
      </c>
      <c r="J16870" s="7">
        <v>0</v>
      </c>
      <c r="K16870" s="7" t="s">
        <v>18</v>
      </c>
      <c r="L16870" s="8">
        <v>39987.315405092595</v>
      </c>
      <c r="M16870" s="9" t="s">
        <v>19</v>
      </c>
      <c r="N16870" s="9" t="s">
        <v>20</v>
      </c>
      <c r="O16870" s="6" t="str">
        <f>HYPERLINK("https://pbs.twimg.com/profile_images/962471262747529216/Uo8lOkRJ_normal.jpg","View")</f>
        <v>View</v>
      </c>
      <c r="P16870" s="7"/>
    </row>
    <row r="16871" spans="1:16">
      <c r="A16871" s="3">
        <v>44508.947569444441</v>
      </c>
      <c r="B16871" s="4" t="str">
        <f>HYPERLINK("https://twitter.com/petrogustavo","@petrogustavo")</f>
        <v>@petrogustavo</v>
      </c>
      <c r="C16871" s="5" t="s">
        <v>16</v>
      </c>
      <c r="D16871" s="5" t="s">
        <v>16237</v>
      </c>
      <c r="E16871" s="6" t="str">
        <f>HYPERLINK("https://twitter.com/petrogustavo/status/1457758439539675138","1457758439539675138")</f>
        <v>1457758439539675138</v>
      </c>
      <c r="F16871" s="7" t="s">
        <v>17</v>
      </c>
      <c r="G16871" s="7">
        <v>4395876</v>
      </c>
      <c r="H16871" s="7">
        <v>2571</v>
      </c>
      <c r="I16871" s="7">
        <v>28</v>
      </c>
      <c r="J16871" s="7">
        <v>70</v>
      </c>
      <c r="K16871" s="7" t="s">
        <v>18</v>
      </c>
      <c r="L16871" s="8">
        <v>39987.315405092595</v>
      </c>
      <c r="M16871" s="9" t="s">
        <v>19</v>
      </c>
      <c r="N16871" s="9" t="s">
        <v>20</v>
      </c>
      <c r="O16871" s="6" t="str">
        <f>HYPERLINK("https://pbs.twimg.com/profile_images/962471262747529216/Uo8lOkRJ_normal.jpg","View")</f>
        <v>View</v>
      </c>
      <c r="P16871" s="7"/>
    </row>
    <row r="16872" spans="1:16">
      <c r="A16872" s="3">
        <v>44508.991006944445</v>
      </c>
      <c r="B16872" s="4" t="str">
        <f>HYPERLINK("https://twitter.com/petrogustavo","@petrogustavo")</f>
        <v>@petrogustavo</v>
      </c>
      <c r="C16872" s="5" t="s">
        <v>16</v>
      </c>
      <c r="D16872" s="5" t="s">
        <v>16238</v>
      </c>
      <c r="E16872" s="6" t="str">
        <f>HYPERLINK("https://twitter.com/petrogustavo/status/1457774179156062233","1457774179156062233")</f>
        <v>1457774179156062233</v>
      </c>
      <c r="F16872" s="7" t="s">
        <v>32</v>
      </c>
      <c r="G16872" s="7">
        <v>4395944</v>
      </c>
      <c r="H16872" s="7">
        <v>2571</v>
      </c>
      <c r="I16872" s="7">
        <v>13</v>
      </c>
      <c r="J16872" s="7">
        <v>28</v>
      </c>
      <c r="K16872" s="7" t="s">
        <v>18</v>
      </c>
      <c r="L16872" s="8">
        <v>39987.315405092595</v>
      </c>
      <c r="M16872" s="9" t="s">
        <v>19</v>
      </c>
      <c r="N16872" s="9" t="s">
        <v>20</v>
      </c>
      <c r="O16872" s="6" t="str">
        <f>HYPERLINK("https://pbs.twimg.com/profile_images/962471262747529216/Uo8lOkRJ_normal.jpg","View")</f>
        <v>View</v>
      </c>
      <c r="P16872" s="7"/>
    </row>
    <row r="16873" spans="1:16">
      <c r="A16873" s="3">
        <v>44509.049386574072</v>
      </c>
      <c r="B16873" s="4" t="str">
        <f>HYPERLINK("https://twitter.com/petrogustavo","@petrogustavo")</f>
        <v>@petrogustavo</v>
      </c>
      <c r="C16873" s="5" t="s">
        <v>16</v>
      </c>
      <c r="D16873" s="5" t="s">
        <v>16239</v>
      </c>
      <c r="E16873" s="6" t="str">
        <f>HYPERLINK("https://twitter.com/petrogustavo/status/1457795335208665094","1457795335208665094")</f>
        <v>1457795335208665094</v>
      </c>
      <c r="F16873" s="7" t="s">
        <v>17</v>
      </c>
      <c r="G16873" s="7">
        <v>4395286</v>
      </c>
      <c r="H16873" s="7">
        <v>2572</v>
      </c>
      <c r="I16873" s="7">
        <v>67</v>
      </c>
      <c r="J16873" s="7">
        <v>245</v>
      </c>
      <c r="K16873" s="7" t="s">
        <v>18</v>
      </c>
      <c r="L16873" s="8">
        <v>39987.315405092595</v>
      </c>
      <c r="M16873" s="9" t="s">
        <v>19</v>
      </c>
      <c r="N16873" s="9" t="s">
        <v>20</v>
      </c>
      <c r="O16873" s="6" t="str">
        <f>HYPERLINK("https://pbs.twimg.com/profile_images/962471262747529216/Uo8lOkRJ_normal.jpg","View")</f>
        <v>View</v>
      </c>
      <c r="P16873" s="7"/>
    </row>
    <row r="16874" spans="1:16">
      <c r="A16874" s="3">
        <v>44509.124027777776</v>
      </c>
      <c r="B16874" s="4" t="str">
        <f>HYPERLINK("https://twitter.com/petrogustavo","@petrogustavo")</f>
        <v>@petrogustavo</v>
      </c>
      <c r="C16874" s="5" t="s">
        <v>16</v>
      </c>
      <c r="D16874" s="5" t="s">
        <v>16240</v>
      </c>
      <c r="E16874" s="6" t="str">
        <f>HYPERLINK("https://twitter.com/petrogustavo/status/1457822385361637378","1457822385361637378")</f>
        <v>1457822385361637378</v>
      </c>
      <c r="F16874" s="7" t="s">
        <v>32</v>
      </c>
      <c r="G16874" s="7">
        <v>4396139</v>
      </c>
      <c r="H16874" s="7">
        <v>2571</v>
      </c>
      <c r="I16874" s="7">
        <v>346</v>
      </c>
      <c r="J16874" s="7">
        <v>1188</v>
      </c>
      <c r="K16874" s="7" t="s">
        <v>18</v>
      </c>
      <c r="L16874" s="8">
        <v>39987.315405092595</v>
      </c>
      <c r="M16874" s="9" t="s">
        <v>19</v>
      </c>
      <c r="N16874" s="9" t="s">
        <v>20</v>
      </c>
      <c r="O16874" s="6" t="str">
        <f>HYPERLINK("https://pbs.twimg.com/profile_images/962471262747529216/Uo8lOkRJ_normal.jpg","View")</f>
        <v>View</v>
      </c>
      <c r="P16874" s="7"/>
    </row>
    <row r="16875" spans="1:16">
      <c r="A16875" s="3">
        <v>44509.27416666667</v>
      </c>
      <c r="B16875" s="4" t="str">
        <f>HYPERLINK("https://twitter.com/petrogustavo","@petrogustavo")</f>
        <v>@petrogustavo</v>
      </c>
      <c r="C16875" s="5" t="s">
        <v>16</v>
      </c>
      <c r="D16875" s="5" t="s">
        <v>16241</v>
      </c>
      <c r="E16875" s="6" t="str">
        <f>HYPERLINK("https://twitter.com/petrogustavo/status/1457876794787471362","1457876794787471362")</f>
        <v>1457876794787471362</v>
      </c>
      <c r="F16875" s="7" t="s">
        <v>32</v>
      </c>
      <c r="G16875" s="7">
        <v>4396353</v>
      </c>
      <c r="H16875" s="7">
        <v>2571</v>
      </c>
      <c r="I16875" s="7">
        <v>74</v>
      </c>
      <c r="J16875" s="7">
        <v>0</v>
      </c>
      <c r="K16875" s="7" t="s">
        <v>18</v>
      </c>
      <c r="L16875" s="8">
        <v>39987.315405092595</v>
      </c>
      <c r="M16875" s="9" t="s">
        <v>19</v>
      </c>
      <c r="N16875" s="9" t="s">
        <v>20</v>
      </c>
      <c r="O16875" s="6" t="str">
        <f>HYPERLINK("https://pbs.twimg.com/profile_images/962471262747529216/Uo8lOkRJ_normal.jpg","View")</f>
        <v>View</v>
      </c>
      <c r="P16875" s="7"/>
    </row>
    <row r="16876" spans="1:16">
      <c r="A16876" s="3">
        <v>44509.296087962968</v>
      </c>
      <c r="B16876" s="4" t="str">
        <f>HYPERLINK("https://twitter.com/petrogustavo","@petrogustavo")</f>
        <v>@petrogustavo</v>
      </c>
      <c r="C16876" s="5" t="s">
        <v>16</v>
      </c>
      <c r="D16876" s="5" t="s">
        <v>16242</v>
      </c>
      <c r="E16876" s="6" t="str">
        <f>HYPERLINK("https://twitter.com/petrogustavo/status/1457884740363632643","1457884740363632643")</f>
        <v>1457884740363632643</v>
      </c>
      <c r="F16876" s="7" t="s">
        <v>32</v>
      </c>
      <c r="G16876" s="7">
        <v>4396364</v>
      </c>
      <c r="H16876" s="7">
        <v>2571</v>
      </c>
      <c r="I16876" s="7">
        <v>277</v>
      </c>
      <c r="J16876" s="7">
        <v>0</v>
      </c>
      <c r="K16876" s="7" t="s">
        <v>18</v>
      </c>
      <c r="L16876" s="8">
        <v>39987.315405092595</v>
      </c>
      <c r="M16876" s="9" t="s">
        <v>19</v>
      </c>
      <c r="N16876" s="9" t="s">
        <v>20</v>
      </c>
      <c r="O16876" s="6" t="str">
        <f>HYPERLINK("https://pbs.twimg.com/profile_images/962471262747529216/Uo8lOkRJ_normal.jpg","View")</f>
        <v>View</v>
      </c>
      <c r="P16876" s="7"/>
    </row>
    <row r="16877" spans="1:16">
      <c r="A16877" s="3">
        <v>44509.31622685185</v>
      </c>
      <c r="B16877" s="4" t="str">
        <f>HYPERLINK("https://twitter.com/petrogustavo","@petrogustavo")</f>
        <v>@petrogustavo</v>
      </c>
      <c r="C16877" s="5" t="s">
        <v>16</v>
      </c>
      <c r="D16877" s="5" t="s">
        <v>16243</v>
      </c>
      <c r="E16877" s="6" t="str">
        <f>HYPERLINK("https://twitter.com/petrogustavo/status/1457892034778484738","1457892034778484738")</f>
        <v>1457892034778484738</v>
      </c>
      <c r="F16877" s="7" t="s">
        <v>17</v>
      </c>
      <c r="G16877" s="7">
        <v>4396405</v>
      </c>
      <c r="H16877" s="7">
        <v>2571</v>
      </c>
      <c r="I16877" s="7">
        <v>183</v>
      </c>
      <c r="J16877" s="7">
        <v>770</v>
      </c>
      <c r="K16877" s="7" t="s">
        <v>18</v>
      </c>
      <c r="L16877" s="8">
        <v>39987.315405092595</v>
      </c>
      <c r="M16877" s="9" t="s">
        <v>19</v>
      </c>
      <c r="N16877" s="9" t="s">
        <v>20</v>
      </c>
      <c r="O16877" s="6" t="str">
        <f>HYPERLINK("https://pbs.twimg.com/profile_images/962471262747529216/Uo8lOkRJ_normal.jpg","View")</f>
        <v>View</v>
      </c>
      <c r="P16877" s="7"/>
    </row>
    <row r="16878" spans="1:16">
      <c r="A16878" s="3">
        <v>44509.329583333332</v>
      </c>
      <c r="B16878" s="4" t="str">
        <f>HYPERLINK("https://twitter.com/petrogustavo","@petrogustavo")</f>
        <v>@petrogustavo</v>
      </c>
      <c r="C16878" s="5" t="s">
        <v>16</v>
      </c>
      <c r="D16878" s="5" t="s">
        <v>16244</v>
      </c>
      <c r="E16878" s="6" t="str">
        <f>HYPERLINK("https://twitter.com/petrogustavo/status/1457896874762018818","1457896874762018818")</f>
        <v>1457896874762018818</v>
      </c>
      <c r="F16878" s="7" t="s">
        <v>17</v>
      </c>
      <c r="G16878" s="7">
        <v>4396456</v>
      </c>
      <c r="H16878" s="7">
        <v>2571</v>
      </c>
      <c r="I16878" s="7">
        <v>150</v>
      </c>
      <c r="J16878" s="7">
        <v>0</v>
      </c>
      <c r="K16878" s="7" t="s">
        <v>18</v>
      </c>
      <c r="L16878" s="8">
        <v>39987.315405092595</v>
      </c>
      <c r="M16878" s="9" t="s">
        <v>19</v>
      </c>
      <c r="N16878" s="9" t="s">
        <v>20</v>
      </c>
      <c r="O16878" s="6" t="str">
        <f>HYPERLINK("https://pbs.twimg.com/profile_images/962471262747529216/Uo8lOkRJ_normal.jpg","View")</f>
        <v>View</v>
      </c>
      <c r="P16878" s="7"/>
    </row>
    <row r="16879" spans="1:16">
      <c r="A16879" s="3">
        <v>44509.714062500003</v>
      </c>
      <c r="B16879" s="4" t="str">
        <f>HYPERLINK("https://twitter.com/petrogustavo","@petrogustavo")</f>
        <v>@petrogustavo</v>
      </c>
      <c r="C16879" s="5" t="s">
        <v>16</v>
      </c>
      <c r="D16879" s="5" t="s">
        <v>16245</v>
      </c>
      <c r="E16879" s="6" t="str">
        <f>HYPERLINK("https://twitter.com/petrogustavo/status/1458036205753339907","1458036205753339907")</f>
        <v>1458036205753339907</v>
      </c>
      <c r="F16879" s="7" t="s">
        <v>17</v>
      </c>
      <c r="G16879" s="7">
        <v>4396652</v>
      </c>
      <c r="H16879" s="7">
        <v>2571</v>
      </c>
      <c r="I16879" s="7">
        <v>48</v>
      </c>
      <c r="J16879" s="7">
        <v>189</v>
      </c>
      <c r="K16879" s="7" t="s">
        <v>18</v>
      </c>
      <c r="L16879" s="8">
        <v>39987.315405092595</v>
      </c>
      <c r="M16879" s="9" t="s">
        <v>19</v>
      </c>
      <c r="N16879" s="9" t="s">
        <v>20</v>
      </c>
      <c r="O16879" s="6" t="str">
        <f>HYPERLINK("https://pbs.twimg.com/profile_images/962471262747529216/Uo8lOkRJ_normal.jpg","View")</f>
        <v>View</v>
      </c>
      <c r="P16879" s="7"/>
    </row>
    <row r="16880" spans="1:16">
      <c r="A16880" s="3">
        <v>44509.716006944444</v>
      </c>
      <c r="B16880" s="4" t="str">
        <f>HYPERLINK("https://twitter.com/petrogustavo","@petrogustavo")</f>
        <v>@petrogustavo</v>
      </c>
      <c r="C16880" s="5" t="s">
        <v>16</v>
      </c>
      <c r="D16880" s="5" t="s">
        <v>16246</v>
      </c>
      <c r="E16880" s="6" t="str">
        <f>HYPERLINK("https://twitter.com/petrogustavo/status/1458036912862728195","1458036912862728195")</f>
        <v>1458036912862728195</v>
      </c>
      <c r="F16880" s="7" t="s">
        <v>17</v>
      </c>
      <c r="G16880" s="7">
        <v>4396652</v>
      </c>
      <c r="H16880" s="7">
        <v>2571</v>
      </c>
      <c r="I16880" s="7">
        <v>34</v>
      </c>
      <c r="J16880" s="7">
        <v>113</v>
      </c>
      <c r="K16880" s="7" t="s">
        <v>18</v>
      </c>
      <c r="L16880" s="8">
        <v>39987.315405092595</v>
      </c>
      <c r="M16880" s="9" t="s">
        <v>19</v>
      </c>
      <c r="N16880" s="9" t="s">
        <v>20</v>
      </c>
      <c r="O16880" s="6" t="str">
        <f>HYPERLINK("https://pbs.twimg.com/profile_images/962471262747529216/Uo8lOkRJ_normal.jpg","View")</f>
        <v>View</v>
      </c>
      <c r="P16880" s="7"/>
    </row>
    <row r="16881" spans="1:16">
      <c r="A16881" s="3">
        <v>44509.790277777778</v>
      </c>
      <c r="B16881" s="4" t="str">
        <f>HYPERLINK("https://twitter.com/petrogustavo","@petrogustavo")</f>
        <v>@petrogustavo</v>
      </c>
      <c r="C16881" s="5" t="s">
        <v>16</v>
      </c>
      <c r="D16881" s="5" t="s">
        <v>16247</v>
      </c>
      <c r="E16881" s="6" t="str">
        <f>HYPERLINK("https://twitter.com/petrogustavo/status/1458063828353261569","1458063828353261569")</f>
        <v>1458063828353261569</v>
      </c>
      <c r="F16881" s="7" t="s">
        <v>32</v>
      </c>
      <c r="G16881" s="7">
        <v>4396741</v>
      </c>
      <c r="H16881" s="7">
        <v>2571</v>
      </c>
      <c r="I16881" s="7">
        <v>58</v>
      </c>
      <c r="J16881" s="7">
        <v>0</v>
      </c>
      <c r="K16881" s="7" t="s">
        <v>18</v>
      </c>
      <c r="L16881" s="8">
        <v>39987.315405092595</v>
      </c>
      <c r="M16881" s="9" t="s">
        <v>19</v>
      </c>
      <c r="N16881" s="9" t="s">
        <v>20</v>
      </c>
      <c r="O16881" s="6" t="str">
        <f>HYPERLINK("https://pbs.twimg.com/profile_images/962471262747529216/Uo8lOkRJ_normal.jpg","View")</f>
        <v>View</v>
      </c>
      <c r="P16881" s="7"/>
    </row>
    <row r="16882" spans="1:16">
      <c r="A16882" s="3">
        <v>44509.791331018518</v>
      </c>
      <c r="B16882" s="4" t="str">
        <f>HYPERLINK("https://twitter.com/petrogustavo","@petrogustavo")</f>
        <v>@petrogustavo</v>
      </c>
      <c r="C16882" s="5" t="s">
        <v>16</v>
      </c>
      <c r="D16882" s="5" t="s">
        <v>16248</v>
      </c>
      <c r="E16882" s="6" t="str">
        <f>HYPERLINK("https://twitter.com/petrogustavo/status/1458064207681839107","1458064207681839107")</f>
        <v>1458064207681839107</v>
      </c>
      <c r="F16882" s="7" t="s">
        <v>32</v>
      </c>
      <c r="G16882" s="7">
        <v>4396741</v>
      </c>
      <c r="H16882" s="7">
        <v>2571</v>
      </c>
      <c r="I16882" s="7">
        <v>28</v>
      </c>
      <c r="J16882" s="7">
        <v>0</v>
      </c>
      <c r="K16882" s="7" t="s">
        <v>18</v>
      </c>
      <c r="L16882" s="8">
        <v>39987.315405092595</v>
      </c>
      <c r="M16882" s="9" t="s">
        <v>19</v>
      </c>
      <c r="N16882" s="9" t="s">
        <v>20</v>
      </c>
      <c r="O16882" s="6" t="str">
        <f>HYPERLINK("https://pbs.twimg.com/profile_images/962471262747529216/Uo8lOkRJ_normal.jpg","View")</f>
        <v>View</v>
      </c>
      <c r="P16882" s="7"/>
    </row>
    <row r="16883" spans="1:16">
      <c r="A16883" s="3">
        <v>44510.11990740741</v>
      </c>
      <c r="B16883" s="4" t="str">
        <f>HYPERLINK("https://twitter.com/petrogustavo","@petrogustavo")</f>
        <v>@petrogustavo</v>
      </c>
      <c r="C16883" s="5" t="s">
        <v>16</v>
      </c>
      <c r="D16883" s="5" t="s">
        <v>16249</v>
      </c>
      <c r="E16883" s="6" t="str">
        <f>HYPERLINK("https://twitter.com/petrogustavo/status/1458183282600914948","1458183282600914948")</f>
        <v>1458183282600914948</v>
      </c>
      <c r="F16883" s="7" t="s">
        <v>32</v>
      </c>
      <c r="G16883" s="7">
        <v>4397097</v>
      </c>
      <c r="H16883" s="7">
        <v>2571</v>
      </c>
      <c r="I16883" s="7">
        <v>288</v>
      </c>
      <c r="J16883" s="7">
        <v>0</v>
      </c>
      <c r="K16883" s="7" t="s">
        <v>18</v>
      </c>
      <c r="L16883" s="8">
        <v>39987.315405092595</v>
      </c>
      <c r="M16883" s="9" t="s">
        <v>19</v>
      </c>
      <c r="N16883" s="9" t="s">
        <v>20</v>
      </c>
      <c r="O16883" s="6" t="str">
        <f>HYPERLINK("https://pbs.twimg.com/profile_images/962471262747529216/Uo8lOkRJ_normal.jpg","View")</f>
        <v>View</v>
      </c>
      <c r="P16883" s="7"/>
    </row>
    <row r="16884" spans="1:16">
      <c r="A16884" s="3">
        <v>44510.123587962968</v>
      </c>
      <c r="B16884" s="4" t="str">
        <f>HYPERLINK("https://twitter.com/petrogustavo","@petrogustavo")</f>
        <v>@petrogustavo</v>
      </c>
      <c r="C16884" s="5" t="s">
        <v>16</v>
      </c>
      <c r="D16884" s="5" t="s">
        <v>16250</v>
      </c>
      <c r="E16884" s="6" t="str">
        <f>HYPERLINK("https://twitter.com/petrogustavo/status/1458184614892216331","1458184614892216331")</f>
        <v>1458184614892216331</v>
      </c>
      <c r="F16884" s="7" t="s">
        <v>32</v>
      </c>
      <c r="G16884" s="7">
        <v>4397097</v>
      </c>
      <c r="H16884" s="7">
        <v>2571</v>
      </c>
      <c r="I16884" s="7">
        <v>273</v>
      </c>
      <c r="J16884" s="7">
        <v>1012</v>
      </c>
      <c r="K16884" s="7" t="s">
        <v>18</v>
      </c>
      <c r="L16884" s="8">
        <v>39987.315405092595</v>
      </c>
      <c r="M16884" s="9" t="s">
        <v>19</v>
      </c>
      <c r="N16884" s="9" t="s">
        <v>20</v>
      </c>
      <c r="O16884" s="6" t="str">
        <f>HYPERLINK("https://pbs.twimg.com/profile_images/962471262747529216/Uo8lOkRJ_normal.jpg","View")</f>
        <v>View</v>
      </c>
      <c r="P16884" s="7"/>
    </row>
    <row r="16885" spans="1:16">
      <c r="A16885" s="3">
        <v>44510.146944444445</v>
      </c>
      <c r="B16885" s="4" t="str">
        <f>HYPERLINK("https://twitter.com/petrogustavo","@petrogustavo")</f>
        <v>@petrogustavo</v>
      </c>
      <c r="C16885" s="5" t="s">
        <v>16</v>
      </c>
      <c r="D16885" s="5" t="s">
        <v>16251</v>
      </c>
      <c r="E16885" s="6" t="str">
        <f>HYPERLINK("https://twitter.com/petrogustavo/status/1458193077902974984","1458193077902974984")</f>
        <v>1458193077902974984</v>
      </c>
      <c r="F16885" s="7" t="s">
        <v>17</v>
      </c>
      <c r="G16885" s="7">
        <v>4397124</v>
      </c>
      <c r="H16885" s="7">
        <v>2571</v>
      </c>
      <c r="I16885" s="7">
        <v>90</v>
      </c>
      <c r="J16885" s="7">
        <v>282</v>
      </c>
      <c r="K16885" s="7" t="s">
        <v>18</v>
      </c>
      <c r="L16885" s="8">
        <v>39987.315405092595</v>
      </c>
      <c r="M16885" s="9" t="s">
        <v>19</v>
      </c>
      <c r="N16885" s="9" t="s">
        <v>20</v>
      </c>
      <c r="O16885" s="6" t="str">
        <f>HYPERLINK("https://pbs.twimg.com/profile_images/962471262747529216/Uo8lOkRJ_normal.jpg","View")</f>
        <v>View</v>
      </c>
      <c r="P16885" s="7"/>
    </row>
    <row r="16886" spans="1:16">
      <c r="A16886" s="3">
        <v>44510.248877314814</v>
      </c>
      <c r="B16886" s="4" t="str">
        <f>HYPERLINK("https://twitter.com/petrogustavo","@petrogustavo")</f>
        <v>@petrogustavo</v>
      </c>
      <c r="C16886" s="5" t="s">
        <v>16</v>
      </c>
      <c r="D16886" s="5" t="s">
        <v>16252</v>
      </c>
      <c r="E16886" s="6" t="str">
        <f>HYPERLINK("https://twitter.com/petrogustavo/status/1458230017683562496","1458230017683562496")</f>
        <v>1458230017683562496</v>
      </c>
      <c r="F16886" s="7" t="s">
        <v>17</v>
      </c>
      <c r="G16886" s="7">
        <v>4397240</v>
      </c>
      <c r="H16886" s="7">
        <v>2571</v>
      </c>
      <c r="I16886" s="7">
        <v>294</v>
      </c>
      <c r="J16886" s="7">
        <v>0</v>
      </c>
      <c r="K16886" s="7" t="s">
        <v>18</v>
      </c>
      <c r="L16886" s="8">
        <v>39987.315405092595</v>
      </c>
      <c r="M16886" s="9" t="s">
        <v>19</v>
      </c>
      <c r="N16886" s="9" t="s">
        <v>20</v>
      </c>
      <c r="O16886" s="6" t="str">
        <f>HYPERLINK("https://pbs.twimg.com/profile_images/962471262747529216/Uo8lOkRJ_normal.jpg","View")</f>
        <v>View</v>
      </c>
      <c r="P16886" s="7"/>
    </row>
    <row r="16887" spans="1:16">
      <c r="A16887" s="3">
        <v>44510.252916666665</v>
      </c>
      <c r="B16887" s="4" t="str">
        <f>HYPERLINK("https://twitter.com/petrogustavo","@petrogustavo")</f>
        <v>@petrogustavo</v>
      </c>
      <c r="C16887" s="5" t="s">
        <v>16</v>
      </c>
      <c r="D16887" s="5" t="s">
        <v>16253</v>
      </c>
      <c r="E16887" s="6" t="str">
        <f>HYPERLINK("https://twitter.com/petrogustavo/status/1458231480027582477","1458231480027582477")</f>
        <v>1458231480027582477</v>
      </c>
      <c r="F16887" s="7" t="s">
        <v>17</v>
      </c>
      <c r="G16887" s="7">
        <v>4397240</v>
      </c>
      <c r="H16887" s="7">
        <v>2571</v>
      </c>
      <c r="I16887" s="7">
        <v>274</v>
      </c>
      <c r="J16887" s="7">
        <v>459</v>
      </c>
      <c r="K16887" s="7" t="s">
        <v>18</v>
      </c>
      <c r="L16887" s="8">
        <v>39987.315405092595</v>
      </c>
      <c r="M16887" s="9" t="s">
        <v>19</v>
      </c>
      <c r="N16887" s="9" t="s">
        <v>20</v>
      </c>
      <c r="O16887" s="6" t="str">
        <f>HYPERLINK("https://pbs.twimg.com/profile_images/962471262747529216/Uo8lOkRJ_normal.jpg","View")</f>
        <v>View</v>
      </c>
      <c r="P16887" s="7"/>
    </row>
    <row r="16888" spans="1:16">
      <c r="A16888" s="3">
        <v>44510.295694444445</v>
      </c>
      <c r="B16888" s="4" t="str">
        <f>HYPERLINK("https://twitter.com/petrogustavo","@petrogustavo")</f>
        <v>@petrogustavo</v>
      </c>
      <c r="C16888" s="5" t="s">
        <v>16</v>
      </c>
      <c r="D16888" s="5" t="s">
        <v>16254</v>
      </c>
      <c r="E16888" s="6" t="str">
        <f>HYPERLINK("https://twitter.com/petrogustavo/status/1458246983240634371","1458246983240634371")</f>
        <v>1458246983240634371</v>
      </c>
      <c r="F16888" s="7" t="s">
        <v>17</v>
      </c>
      <c r="G16888" s="7">
        <v>4397317</v>
      </c>
      <c r="H16888" s="7">
        <v>2571</v>
      </c>
      <c r="I16888" s="7">
        <v>43</v>
      </c>
      <c r="J16888" s="7">
        <v>0</v>
      </c>
      <c r="K16888" s="7" t="s">
        <v>18</v>
      </c>
      <c r="L16888" s="8">
        <v>39987.315405092595</v>
      </c>
      <c r="M16888" s="9" t="s">
        <v>19</v>
      </c>
      <c r="N16888" s="9" t="s">
        <v>20</v>
      </c>
      <c r="O16888" s="6" t="str">
        <f>HYPERLINK("https://pbs.twimg.com/profile_images/962471262747529216/Uo8lOkRJ_normal.jpg","View")</f>
        <v>View</v>
      </c>
      <c r="P16888" s="7"/>
    </row>
    <row r="16889" spans="1:16">
      <c r="A16889" s="3">
        <v>44510.299016203702</v>
      </c>
      <c r="B16889" s="4" t="str">
        <f>HYPERLINK("https://twitter.com/petrogustavo","@petrogustavo")</f>
        <v>@petrogustavo</v>
      </c>
      <c r="C16889" s="5" t="s">
        <v>16</v>
      </c>
      <c r="D16889" s="5" t="s">
        <v>16255</v>
      </c>
      <c r="E16889" s="6" t="str">
        <f>HYPERLINK("https://twitter.com/petrogustavo/status/1458248188121559040","1458248188121559040")</f>
        <v>1458248188121559040</v>
      </c>
      <c r="F16889" s="7" t="s">
        <v>17</v>
      </c>
      <c r="G16889" s="7">
        <v>4397317</v>
      </c>
      <c r="H16889" s="7">
        <v>2571</v>
      </c>
      <c r="I16889" s="7">
        <v>1376</v>
      </c>
      <c r="J16889" s="7">
        <v>0</v>
      </c>
      <c r="K16889" s="7" t="s">
        <v>18</v>
      </c>
      <c r="L16889" s="8">
        <v>39987.315405092595</v>
      </c>
      <c r="M16889" s="9" t="s">
        <v>19</v>
      </c>
      <c r="N16889" s="9" t="s">
        <v>20</v>
      </c>
      <c r="O16889" s="6" t="str">
        <f>HYPERLINK("https://pbs.twimg.com/profile_images/962471262747529216/Uo8lOkRJ_normal.jpg","View")</f>
        <v>View</v>
      </c>
      <c r="P16889" s="7"/>
    </row>
    <row r="16890" spans="1:16">
      <c r="A16890" s="3">
        <v>44510.299166666664</v>
      </c>
      <c r="B16890" s="4" t="str">
        <f>HYPERLINK("https://twitter.com/petrogustavo","@petrogustavo")</f>
        <v>@petrogustavo</v>
      </c>
      <c r="C16890" s="5" t="s">
        <v>16</v>
      </c>
      <c r="D16890" s="5" t="s">
        <v>16256</v>
      </c>
      <c r="E16890" s="6" t="str">
        <f>HYPERLINK("https://twitter.com/petrogustavo/status/1458248240869134350","1458248240869134350")</f>
        <v>1458248240869134350</v>
      </c>
      <c r="F16890" s="7" t="s">
        <v>17</v>
      </c>
      <c r="G16890" s="7">
        <v>4397317</v>
      </c>
      <c r="H16890" s="7">
        <v>2571</v>
      </c>
      <c r="I16890" s="7">
        <v>39</v>
      </c>
      <c r="J16890" s="7">
        <v>0</v>
      </c>
      <c r="K16890" s="7" t="s">
        <v>18</v>
      </c>
      <c r="L16890" s="8">
        <v>39987.315405092595</v>
      </c>
      <c r="M16890" s="9" t="s">
        <v>19</v>
      </c>
      <c r="N16890" s="9" t="s">
        <v>20</v>
      </c>
      <c r="O16890" s="6" t="str">
        <f>HYPERLINK("https://pbs.twimg.com/profile_images/962471262747529216/Uo8lOkRJ_normal.jpg","View")</f>
        <v>View</v>
      </c>
      <c r="P16890" s="7"/>
    </row>
    <row r="16891" spans="1:16">
      <c r="A16891" s="3">
        <v>44510.311620370368</v>
      </c>
      <c r="B16891" s="4" t="str">
        <f>HYPERLINK("https://twitter.com/petrogustavo","@petrogustavo")</f>
        <v>@petrogustavo</v>
      </c>
      <c r="C16891" s="5" t="s">
        <v>16</v>
      </c>
      <c r="D16891" s="5" t="s">
        <v>16257</v>
      </c>
      <c r="E16891" s="6" t="str">
        <f>HYPERLINK("https://twitter.com/petrogustavo/status/1458252754166722565","1458252754166722565")</f>
        <v>1458252754166722565</v>
      </c>
      <c r="F16891" s="7" t="s">
        <v>17</v>
      </c>
      <c r="G16891" s="7">
        <v>4397346</v>
      </c>
      <c r="H16891" s="7">
        <v>2571</v>
      </c>
      <c r="I16891" s="7">
        <v>26</v>
      </c>
      <c r="J16891" s="7">
        <v>0</v>
      </c>
      <c r="K16891" s="7" t="s">
        <v>18</v>
      </c>
      <c r="L16891" s="8">
        <v>39987.315405092595</v>
      </c>
      <c r="M16891" s="9" t="s">
        <v>19</v>
      </c>
      <c r="N16891" s="9" t="s">
        <v>20</v>
      </c>
      <c r="O16891" s="6" t="str">
        <f>HYPERLINK("https://pbs.twimg.com/profile_images/962471262747529216/Uo8lOkRJ_normal.jpg","View")</f>
        <v>View</v>
      </c>
      <c r="P16891" s="7"/>
    </row>
    <row r="16892" spans="1:16">
      <c r="A16892" s="3">
        <v>44510.312743055554</v>
      </c>
      <c r="B16892" s="4" t="str">
        <f>HYPERLINK("https://twitter.com/petrogustavo","@petrogustavo")</f>
        <v>@petrogustavo</v>
      </c>
      <c r="C16892" s="5" t="s">
        <v>16</v>
      </c>
      <c r="D16892" s="5" t="s">
        <v>16258</v>
      </c>
      <c r="E16892" s="6" t="str">
        <f>HYPERLINK("https://twitter.com/petrogustavo/status/1458253161685299203","1458253161685299203")</f>
        <v>1458253161685299203</v>
      </c>
      <c r="F16892" s="7" t="s">
        <v>17</v>
      </c>
      <c r="G16892" s="7">
        <v>4397346</v>
      </c>
      <c r="H16892" s="7">
        <v>2571</v>
      </c>
      <c r="I16892" s="7">
        <v>37</v>
      </c>
      <c r="J16892" s="7">
        <v>0</v>
      </c>
      <c r="K16892" s="7" t="s">
        <v>18</v>
      </c>
      <c r="L16892" s="8">
        <v>39987.315405092595</v>
      </c>
      <c r="M16892" s="9" t="s">
        <v>19</v>
      </c>
      <c r="N16892" s="9" t="s">
        <v>20</v>
      </c>
      <c r="O16892" s="6" t="str">
        <f>HYPERLINK("https://pbs.twimg.com/profile_images/962471262747529216/Uo8lOkRJ_normal.jpg","View")</f>
        <v>View</v>
      </c>
      <c r="P16892" s="7"/>
    </row>
    <row r="16893" spans="1:16">
      <c r="A16893" s="3">
        <v>44510.321701388893</v>
      </c>
      <c r="B16893" s="4" t="str">
        <f>HYPERLINK("https://twitter.com/petrogustavo","@petrogustavo")</f>
        <v>@petrogustavo</v>
      </c>
      <c r="C16893" s="5" t="s">
        <v>16</v>
      </c>
      <c r="D16893" s="5" t="s">
        <v>16259</v>
      </c>
      <c r="E16893" s="6" t="str">
        <f>HYPERLINK("https://twitter.com/petrogustavo/status/1458256409724964866","1458256409724964866")</f>
        <v>1458256409724964866</v>
      </c>
      <c r="F16893" s="7" t="s">
        <v>17</v>
      </c>
      <c r="G16893" s="7">
        <v>4397346</v>
      </c>
      <c r="H16893" s="7">
        <v>2571</v>
      </c>
      <c r="I16893" s="7">
        <v>175</v>
      </c>
      <c r="J16893" s="7">
        <v>382</v>
      </c>
      <c r="K16893" s="7" t="s">
        <v>18</v>
      </c>
      <c r="L16893" s="8">
        <v>39987.315405092595</v>
      </c>
      <c r="M16893" s="9" t="s">
        <v>19</v>
      </c>
      <c r="N16893" s="9" t="s">
        <v>20</v>
      </c>
      <c r="O16893" s="6" t="str">
        <f>HYPERLINK("https://pbs.twimg.com/profile_images/962471262747529216/Uo8lOkRJ_normal.jpg","View")</f>
        <v>View</v>
      </c>
      <c r="P16893" s="7"/>
    </row>
    <row r="16894" spans="1:16">
      <c r="A16894" s="3">
        <v>44510.747962962967</v>
      </c>
      <c r="B16894" s="4" t="str">
        <f>HYPERLINK("https://twitter.com/petrogustavo","@petrogustavo")</f>
        <v>@petrogustavo</v>
      </c>
      <c r="C16894" s="5" t="s">
        <v>16</v>
      </c>
      <c r="D16894" s="5" t="s">
        <v>16260</v>
      </c>
      <c r="E16894" s="6" t="str">
        <f>HYPERLINK("https://twitter.com/petrogustavo/status/1458410880232796166","1458410880232796166")</f>
        <v>1458410880232796166</v>
      </c>
      <c r="F16894" s="7" t="s">
        <v>32</v>
      </c>
      <c r="G16894" s="7">
        <v>4397603</v>
      </c>
      <c r="H16894" s="7">
        <v>2571</v>
      </c>
      <c r="I16894" s="7">
        <v>507</v>
      </c>
      <c r="J16894" s="7">
        <v>0</v>
      </c>
      <c r="K16894" s="7" t="s">
        <v>18</v>
      </c>
      <c r="L16894" s="8">
        <v>39987.315405092595</v>
      </c>
      <c r="M16894" s="9" t="s">
        <v>19</v>
      </c>
      <c r="N16894" s="9" t="s">
        <v>20</v>
      </c>
      <c r="O16894" s="6" t="str">
        <f>HYPERLINK("https://pbs.twimg.com/profile_images/962471262747529216/Uo8lOkRJ_normal.jpg","View")</f>
        <v>View</v>
      </c>
      <c r="P16894" s="7"/>
    </row>
    <row r="16895" spans="1:16">
      <c r="A16895" s="3">
        <v>44510.751423611116</v>
      </c>
      <c r="B16895" s="4" t="str">
        <f>HYPERLINK("https://twitter.com/petrogustavo","@petrogustavo")</f>
        <v>@petrogustavo</v>
      </c>
      <c r="C16895" s="5" t="s">
        <v>16</v>
      </c>
      <c r="D16895" s="5" t="s">
        <v>16261</v>
      </c>
      <c r="E16895" s="6" t="str">
        <f>HYPERLINK("https://twitter.com/petrogustavo/status/1458412133243367433","1458412133243367433")</f>
        <v>1458412133243367433</v>
      </c>
      <c r="F16895" s="7" t="s">
        <v>32</v>
      </c>
      <c r="G16895" s="7">
        <v>4397603</v>
      </c>
      <c r="H16895" s="7">
        <v>2571</v>
      </c>
      <c r="I16895" s="7">
        <v>59</v>
      </c>
      <c r="J16895" s="7">
        <v>0</v>
      </c>
      <c r="K16895" s="7" t="s">
        <v>18</v>
      </c>
      <c r="L16895" s="8">
        <v>39987.315405092595</v>
      </c>
      <c r="M16895" s="9" t="s">
        <v>19</v>
      </c>
      <c r="N16895" s="9" t="s">
        <v>20</v>
      </c>
      <c r="O16895" s="6" t="str">
        <f>HYPERLINK("https://pbs.twimg.com/profile_images/962471262747529216/Uo8lOkRJ_normal.jpg","View")</f>
        <v>View</v>
      </c>
      <c r="P16895" s="7"/>
    </row>
    <row r="16896" spans="1:16">
      <c r="A16896" s="3">
        <v>44510.819745370369</v>
      </c>
      <c r="B16896" s="4" t="str">
        <f>HYPERLINK("https://twitter.com/petrogustavo","@petrogustavo")</f>
        <v>@petrogustavo</v>
      </c>
      <c r="C16896" s="5" t="s">
        <v>16</v>
      </c>
      <c r="D16896" s="5" t="s">
        <v>16262</v>
      </c>
      <c r="E16896" s="6" t="str">
        <f>HYPERLINK("https://twitter.com/petrogustavo/status/1458436894455443463","1458436894455443463")</f>
        <v>1458436894455443463</v>
      </c>
      <c r="F16896" s="7" t="s">
        <v>32</v>
      </c>
      <c r="G16896" s="7">
        <v>4397667</v>
      </c>
      <c r="H16896" s="7">
        <v>2571</v>
      </c>
      <c r="I16896" s="7">
        <v>43</v>
      </c>
      <c r="J16896" s="7">
        <v>115</v>
      </c>
      <c r="K16896" s="7" t="s">
        <v>18</v>
      </c>
      <c r="L16896" s="8">
        <v>39987.315405092595</v>
      </c>
      <c r="M16896" s="9" t="s">
        <v>19</v>
      </c>
      <c r="N16896" s="9" t="s">
        <v>20</v>
      </c>
      <c r="O16896" s="6" t="str">
        <f>HYPERLINK("https://pbs.twimg.com/profile_images/962471262747529216/Uo8lOkRJ_normal.jpg","View")</f>
        <v>View</v>
      </c>
      <c r="P16896" s="7"/>
    </row>
    <row r="16897" spans="1:16">
      <c r="A16897" s="3">
        <v>44510.819756944446</v>
      </c>
      <c r="B16897" s="4" t="str">
        <f>HYPERLINK("https://twitter.com/petrogustavo","@petrogustavo")</f>
        <v>@petrogustavo</v>
      </c>
      <c r="C16897" s="5" t="s">
        <v>16</v>
      </c>
      <c r="D16897" s="5" t="s">
        <v>16263</v>
      </c>
      <c r="E16897" s="6" t="str">
        <f>HYPERLINK("https://twitter.com/petrogustavo/status/1458436896401592320","1458436896401592320")</f>
        <v>1458436896401592320</v>
      </c>
      <c r="F16897" s="7" t="s">
        <v>32</v>
      </c>
      <c r="G16897" s="7">
        <v>4397667</v>
      </c>
      <c r="H16897" s="7">
        <v>2571</v>
      </c>
      <c r="I16897" s="7">
        <v>21</v>
      </c>
      <c r="J16897" s="7">
        <v>80</v>
      </c>
      <c r="K16897" s="7" t="s">
        <v>18</v>
      </c>
      <c r="L16897" s="8">
        <v>39987.315405092595</v>
      </c>
      <c r="M16897" s="9" t="s">
        <v>19</v>
      </c>
      <c r="N16897" s="9" t="s">
        <v>20</v>
      </c>
      <c r="O16897" s="6" t="str">
        <f>HYPERLINK("https://pbs.twimg.com/profile_images/962471262747529216/Uo8lOkRJ_normal.jpg","View")</f>
        <v>View</v>
      </c>
      <c r="P16897" s="7"/>
    </row>
    <row r="16898" spans="1:16">
      <c r="A16898" s="3">
        <v>44510.822962962964</v>
      </c>
      <c r="B16898" s="4" t="str">
        <f>HYPERLINK("https://twitter.com/petrogustavo","@petrogustavo")</f>
        <v>@petrogustavo</v>
      </c>
      <c r="C16898" s="5" t="s">
        <v>16</v>
      </c>
      <c r="D16898" s="5" t="s">
        <v>16264</v>
      </c>
      <c r="E16898" s="6" t="str">
        <f>HYPERLINK("https://twitter.com/petrogustavo/status/1458438060102717451","1458438060102717451")</f>
        <v>1458438060102717451</v>
      </c>
      <c r="F16898" s="7" t="s">
        <v>32</v>
      </c>
      <c r="G16898" s="7">
        <v>4397667</v>
      </c>
      <c r="H16898" s="7">
        <v>2571</v>
      </c>
      <c r="I16898" s="7">
        <v>31</v>
      </c>
      <c r="J16898" s="7">
        <v>67</v>
      </c>
      <c r="K16898" s="7" t="s">
        <v>18</v>
      </c>
      <c r="L16898" s="8">
        <v>39987.315405092595</v>
      </c>
      <c r="M16898" s="9" t="s">
        <v>19</v>
      </c>
      <c r="N16898" s="9" t="s">
        <v>20</v>
      </c>
      <c r="O16898" s="6" t="str">
        <f>HYPERLINK("https://pbs.twimg.com/profile_images/962471262747529216/Uo8lOkRJ_normal.jpg","View")</f>
        <v>View</v>
      </c>
      <c r="P16898" s="7"/>
    </row>
    <row r="16899" spans="1:16">
      <c r="A16899" s="3">
        <v>44511.037673611107</v>
      </c>
      <c r="B16899" s="4" t="str">
        <f>HYPERLINK("https://twitter.com/petrogustavo","@petrogustavo")</f>
        <v>@petrogustavo</v>
      </c>
      <c r="C16899" s="5" t="s">
        <v>16</v>
      </c>
      <c r="D16899" s="5" t="s">
        <v>16265</v>
      </c>
      <c r="E16899" s="6" t="str">
        <f>HYPERLINK("https://twitter.com/petrogustavo/status/1458515869487796249","1458515869487796249")</f>
        <v>1458515869487796249</v>
      </c>
      <c r="F16899" s="7" t="s">
        <v>17</v>
      </c>
      <c r="G16899" s="7">
        <v>4397925</v>
      </c>
      <c r="H16899" s="7">
        <v>2571</v>
      </c>
      <c r="I16899" s="7">
        <v>2636</v>
      </c>
      <c r="J16899" s="7">
        <v>0</v>
      </c>
      <c r="K16899" s="7" t="s">
        <v>18</v>
      </c>
      <c r="L16899" s="8">
        <v>39987.315405092595</v>
      </c>
      <c r="M16899" s="9" t="s">
        <v>19</v>
      </c>
      <c r="N16899" s="9" t="s">
        <v>20</v>
      </c>
      <c r="O16899" s="6" t="str">
        <f>HYPERLINK("https://pbs.twimg.com/profile_images/962471262747529216/Uo8lOkRJ_normal.jpg","View")</f>
        <v>View</v>
      </c>
      <c r="P16899" s="7"/>
    </row>
    <row r="16900" spans="1:16">
      <c r="A16900" s="3">
        <v>44511.049467592587</v>
      </c>
      <c r="B16900" s="4" t="str">
        <f>HYPERLINK("https://twitter.com/petrogustavo","@petrogustavo")</f>
        <v>@petrogustavo</v>
      </c>
      <c r="C16900" s="5" t="s">
        <v>16</v>
      </c>
      <c r="D16900" s="5" t="s">
        <v>16266</v>
      </c>
      <c r="E16900" s="6" t="str">
        <f>HYPERLINK("https://twitter.com/petrogustavo/status/1458520143982698508","1458520143982698508")</f>
        <v>1458520143982698508</v>
      </c>
      <c r="F16900" s="7" t="s">
        <v>32</v>
      </c>
      <c r="G16900" s="7">
        <v>4397925</v>
      </c>
      <c r="H16900" s="7">
        <v>2571</v>
      </c>
      <c r="I16900" s="7">
        <v>6074</v>
      </c>
      <c r="J16900" s="7">
        <v>0</v>
      </c>
      <c r="K16900" s="7" t="s">
        <v>18</v>
      </c>
      <c r="L16900" s="8">
        <v>39987.315405092595</v>
      </c>
      <c r="M16900" s="9" t="s">
        <v>19</v>
      </c>
      <c r="N16900" s="9" t="s">
        <v>20</v>
      </c>
      <c r="O16900" s="6" t="str">
        <f>HYPERLINK("https://pbs.twimg.com/profile_images/962471262747529216/Uo8lOkRJ_normal.jpg","View")</f>
        <v>View</v>
      </c>
      <c r="P16900" s="7"/>
    </row>
    <row r="16901" spans="1:16">
      <c r="A16901" s="3">
        <v>44511.149108796293</v>
      </c>
      <c r="B16901" s="4" t="str">
        <f>HYPERLINK("https://twitter.com/petrogustavo","@petrogustavo")</f>
        <v>@petrogustavo</v>
      </c>
      <c r="C16901" s="5" t="s">
        <v>16</v>
      </c>
      <c r="D16901" s="5" t="s">
        <v>16267</v>
      </c>
      <c r="E16901" s="6" t="str">
        <f>HYPERLINK("https://twitter.com/petrogustavo/status/1458556251600826378","1458556251600826378")</f>
        <v>1458556251600826378</v>
      </c>
      <c r="F16901" s="7" t="s">
        <v>32</v>
      </c>
      <c r="G16901" s="7">
        <v>4398067</v>
      </c>
      <c r="H16901" s="7">
        <v>2571</v>
      </c>
      <c r="I16901" s="7">
        <v>401</v>
      </c>
      <c r="J16901" s="7">
        <v>0</v>
      </c>
      <c r="K16901" s="7" t="s">
        <v>18</v>
      </c>
      <c r="L16901" s="8">
        <v>39987.315405092595</v>
      </c>
      <c r="M16901" s="9" t="s">
        <v>19</v>
      </c>
      <c r="N16901" s="9" t="s">
        <v>20</v>
      </c>
      <c r="O16901" s="6" t="str">
        <f>HYPERLINK("https://pbs.twimg.com/profile_images/962471262747529216/Uo8lOkRJ_normal.jpg","View")</f>
        <v>View</v>
      </c>
      <c r="P16901" s="7"/>
    </row>
    <row r="16902" spans="1:16">
      <c r="A16902" s="3">
        <v>44511.160798611112</v>
      </c>
      <c r="B16902" s="4" t="str">
        <f>HYPERLINK("https://twitter.com/petrogustavo","@petrogustavo")</f>
        <v>@petrogustavo</v>
      </c>
      <c r="C16902" s="5" t="s">
        <v>16</v>
      </c>
      <c r="D16902" s="5" t="s">
        <v>16268</v>
      </c>
      <c r="E16902" s="6" t="str">
        <f>HYPERLINK("https://twitter.com/petrogustavo/status/1458560486216241159","1458560486216241159")</f>
        <v>1458560486216241159</v>
      </c>
      <c r="F16902" s="7" t="s">
        <v>15152</v>
      </c>
      <c r="G16902" s="7">
        <v>4398093</v>
      </c>
      <c r="H16902" s="7">
        <v>2571</v>
      </c>
      <c r="I16902" s="7">
        <v>557</v>
      </c>
      <c r="J16902" s="7">
        <v>1051</v>
      </c>
      <c r="K16902" s="7" t="s">
        <v>18</v>
      </c>
      <c r="L16902" s="8">
        <v>39987.315405092595</v>
      </c>
      <c r="M16902" s="9" t="s">
        <v>19</v>
      </c>
      <c r="N16902" s="9" t="s">
        <v>20</v>
      </c>
      <c r="O16902" s="6" t="str">
        <f>HYPERLINK("https://pbs.twimg.com/profile_images/962471262747529216/Uo8lOkRJ_normal.jpg","View")</f>
        <v>View</v>
      </c>
      <c r="P16902" s="7"/>
    </row>
    <row r="16903" spans="1:16">
      <c r="A16903" s="3">
        <v>44511.250625000001</v>
      </c>
      <c r="B16903" s="4" t="str">
        <f>HYPERLINK("https://twitter.com/petrogustavo","@petrogustavo")</f>
        <v>@petrogustavo</v>
      </c>
      <c r="C16903" s="5" t="s">
        <v>16</v>
      </c>
      <c r="D16903" s="5" t="s">
        <v>16269</v>
      </c>
      <c r="E16903" s="6" t="str">
        <f>HYPERLINK("https://twitter.com/petrogustavo/status/1458593039295950852","1458593039295950852")</f>
        <v>1458593039295950852</v>
      </c>
      <c r="F16903" s="7" t="s">
        <v>32</v>
      </c>
      <c r="G16903" s="7">
        <v>4398213</v>
      </c>
      <c r="H16903" s="7">
        <v>2571</v>
      </c>
      <c r="I16903" s="7">
        <v>188</v>
      </c>
      <c r="J16903" s="7">
        <v>446</v>
      </c>
      <c r="K16903" s="7" t="s">
        <v>18</v>
      </c>
      <c r="L16903" s="8">
        <v>39987.315405092595</v>
      </c>
      <c r="M16903" s="9" t="s">
        <v>19</v>
      </c>
      <c r="N16903" s="9" t="s">
        <v>20</v>
      </c>
      <c r="O16903" s="6" t="str">
        <f>HYPERLINK("https://pbs.twimg.com/profile_images/962471262747529216/Uo8lOkRJ_normal.jpg","View")</f>
        <v>View</v>
      </c>
      <c r="P16903" s="7"/>
    </row>
    <row r="16904" spans="1:16">
      <c r="A16904" s="3">
        <v>44511.299722222218</v>
      </c>
      <c r="B16904" s="4" t="str">
        <f>HYPERLINK("https://twitter.com/petrogustavo","@petrogustavo")</f>
        <v>@petrogustavo</v>
      </c>
      <c r="C16904" s="5" t="s">
        <v>16</v>
      </c>
      <c r="D16904" s="5" t="s">
        <v>16270</v>
      </c>
      <c r="E16904" s="6" t="str">
        <f>HYPERLINK("https://twitter.com/petrogustavo/status/1458610831176912902","1458610831176912902")</f>
        <v>1458610831176912902</v>
      </c>
      <c r="F16904" s="7" t="s">
        <v>32</v>
      </c>
      <c r="G16904" s="7">
        <v>4398259</v>
      </c>
      <c r="H16904" s="7">
        <v>2571</v>
      </c>
      <c r="I16904" s="7">
        <v>2200</v>
      </c>
      <c r="J16904" s="7">
        <v>0</v>
      </c>
      <c r="K16904" s="7" t="s">
        <v>18</v>
      </c>
      <c r="L16904" s="8">
        <v>39987.315405092595</v>
      </c>
      <c r="M16904" s="9" t="s">
        <v>19</v>
      </c>
      <c r="N16904" s="9" t="s">
        <v>20</v>
      </c>
      <c r="O16904" s="6" t="str">
        <f>HYPERLINK("https://pbs.twimg.com/profile_images/962471262747529216/Uo8lOkRJ_normal.jpg","View")</f>
        <v>View</v>
      </c>
      <c r="P16904" s="7"/>
    </row>
    <row r="16905" spans="1:16">
      <c r="A16905" s="3">
        <v>44511.330439814818</v>
      </c>
      <c r="B16905" s="4" t="str">
        <f>HYPERLINK("https://twitter.com/petrogustavo","@petrogustavo")</f>
        <v>@petrogustavo</v>
      </c>
      <c r="C16905" s="5" t="s">
        <v>16</v>
      </c>
      <c r="D16905" s="5" t="s">
        <v>16271</v>
      </c>
      <c r="E16905" s="6" t="str">
        <f>HYPERLINK("https://twitter.com/petrogustavo/status/1458621961853153280","1458621961853153280")</f>
        <v>1458621961853153280</v>
      </c>
      <c r="F16905" s="7" t="s">
        <v>17</v>
      </c>
      <c r="G16905" s="7">
        <v>4398326</v>
      </c>
      <c r="H16905" s="7">
        <v>2572</v>
      </c>
      <c r="I16905" s="7">
        <v>234</v>
      </c>
      <c r="J16905" s="7">
        <v>638</v>
      </c>
      <c r="K16905" s="7" t="s">
        <v>18</v>
      </c>
      <c r="L16905" s="8">
        <v>39987.315405092595</v>
      </c>
      <c r="M16905" s="9" t="s">
        <v>19</v>
      </c>
      <c r="N16905" s="9" t="s">
        <v>20</v>
      </c>
      <c r="O16905" s="6" t="str">
        <f>HYPERLINK("https://pbs.twimg.com/profile_images/962471262747529216/Uo8lOkRJ_normal.jpg","View")</f>
        <v>View</v>
      </c>
      <c r="P16905" s="7"/>
    </row>
    <row r="16906" spans="1:16">
      <c r="A16906" s="3">
        <v>44511.340081018519</v>
      </c>
      <c r="B16906" s="4" t="str">
        <f>HYPERLINK("https://twitter.com/petrogustavo","@petrogustavo")</f>
        <v>@petrogustavo</v>
      </c>
      <c r="C16906" s="5" t="s">
        <v>16</v>
      </c>
      <c r="D16906" s="5" t="s">
        <v>16272</v>
      </c>
      <c r="E16906" s="6" t="str">
        <f>HYPERLINK("https://twitter.com/petrogustavo/status/1458625458556256256","1458625458556256256")</f>
        <v>1458625458556256256</v>
      </c>
      <c r="F16906" s="7" t="s">
        <v>17</v>
      </c>
      <c r="G16906" s="7">
        <v>4398326</v>
      </c>
      <c r="H16906" s="7">
        <v>2572</v>
      </c>
      <c r="I16906" s="7">
        <v>103</v>
      </c>
      <c r="J16906" s="7">
        <v>0</v>
      </c>
      <c r="K16906" s="7" t="s">
        <v>18</v>
      </c>
      <c r="L16906" s="8">
        <v>39987.315405092595</v>
      </c>
      <c r="M16906" s="9" t="s">
        <v>19</v>
      </c>
      <c r="N16906" s="9" t="s">
        <v>20</v>
      </c>
      <c r="O16906" s="6" t="str">
        <f>HYPERLINK("https://pbs.twimg.com/profile_images/962471262747529216/Uo8lOkRJ_normal.jpg","View")</f>
        <v>View</v>
      </c>
      <c r="P16906" s="7"/>
    </row>
    <row r="16907" spans="1:16">
      <c r="A16907" s="3">
        <v>44511.342511574076</v>
      </c>
      <c r="B16907" s="4" t="str">
        <f>HYPERLINK("https://twitter.com/petrogustavo","@petrogustavo")</f>
        <v>@petrogustavo</v>
      </c>
      <c r="C16907" s="5" t="s">
        <v>16</v>
      </c>
      <c r="D16907" s="5" t="s">
        <v>16273</v>
      </c>
      <c r="E16907" s="6" t="str">
        <f>HYPERLINK("https://twitter.com/petrogustavo/status/1458626337535631365","1458626337535631365")</f>
        <v>1458626337535631365</v>
      </c>
      <c r="F16907" s="7" t="s">
        <v>17</v>
      </c>
      <c r="G16907" s="7">
        <v>4398326</v>
      </c>
      <c r="H16907" s="7">
        <v>2572</v>
      </c>
      <c r="I16907" s="7">
        <v>52</v>
      </c>
      <c r="J16907" s="7">
        <v>94</v>
      </c>
      <c r="K16907" s="7" t="s">
        <v>18</v>
      </c>
      <c r="L16907" s="8">
        <v>39987.315405092595</v>
      </c>
      <c r="M16907" s="9" t="s">
        <v>19</v>
      </c>
      <c r="N16907" s="9" t="s">
        <v>20</v>
      </c>
      <c r="O16907" s="6" t="str">
        <f>HYPERLINK("https://pbs.twimg.com/profile_images/962471262747529216/Uo8lOkRJ_normal.jpg","View")</f>
        <v>View</v>
      </c>
      <c r="P16907" s="7"/>
    </row>
    <row r="16908" spans="1:16">
      <c r="A16908" s="3">
        <v>44511.342800925922</v>
      </c>
      <c r="B16908" s="4" t="str">
        <f>HYPERLINK("https://twitter.com/petrogustavo","@petrogustavo")</f>
        <v>@petrogustavo</v>
      </c>
      <c r="C16908" s="5" t="s">
        <v>16</v>
      </c>
      <c r="D16908" s="5" t="s">
        <v>16274</v>
      </c>
      <c r="E16908" s="6" t="str">
        <f>HYPERLINK("https://twitter.com/petrogustavo/status/1458626441680203794","1458626441680203794")</f>
        <v>1458626441680203794</v>
      </c>
      <c r="F16908" s="7" t="s">
        <v>17</v>
      </c>
      <c r="G16908" s="7">
        <v>4398326</v>
      </c>
      <c r="H16908" s="7">
        <v>2572</v>
      </c>
      <c r="I16908" s="7">
        <v>234</v>
      </c>
      <c r="J16908" s="7">
        <v>0</v>
      </c>
      <c r="K16908" s="7" t="s">
        <v>18</v>
      </c>
      <c r="L16908" s="8">
        <v>39987.315405092595</v>
      </c>
      <c r="M16908" s="9" t="s">
        <v>19</v>
      </c>
      <c r="N16908" s="9" t="s">
        <v>20</v>
      </c>
      <c r="O16908" s="6" t="str">
        <f>HYPERLINK("https://pbs.twimg.com/profile_images/962471262747529216/Uo8lOkRJ_normal.jpg","View")</f>
        <v>View</v>
      </c>
      <c r="P16908" s="7"/>
    </row>
    <row r="16909" spans="1:16">
      <c r="A16909" s="3">
        <v>44511.386064814811</v>
      </c>
      <c r="B16909" s="4" t="str">
        <f>HYPERLINK("https://twitter.com/petrogustavo","@petrogustavo")</f>
        <v>@petrogustavo</v>
      </c>
      <c r="C16909" s="5" t="s">
        <v>16</v>
      </c>
      <c r="D16909" s="5" t="s">
        <v>16275</v>
      </c>
      <c r="E16909" s="6" t="str">
        <f>HYPERLINK("https://twitter.com/petrogustavo/status/1458642121599201283","1458642121599201283")</f>
        <v>1458642121599201283</v>
      </c>
      <c r="F16909" s="7" t="s">
        <v>17</v>
      </c>
      <c r="G16909" s="7">
        <v>4398395</v>
      </c>
      <c r="H16909" s="7">
        <v>2572</v>
      </c>
      <c r="I16909" s="7">
        <v>259</v>
      </c>
      <c r="J16909" s="7">
        <v>0</v>
      </c>
      <c r="K16909" s="7" t="s">
        <v>18</v>
      </c>
      <c r="L16909" s="8">
        <v>39987.315405092595</v>
      </c>
      <c r="M16909" s="9" t="s">
        <v>19</v>
      </c>
      <c r="N16909" s="9" t="s">
        <v>20</v>
      </c>
      <c r="O16909" s="6" t="str">
        <f>HYPERLINK("https://pbs.twimg.com/profile_images/962471262747529216/Uo8lOkRJ_normal.jpg","View")</f>
        <v>View</v>
      </c>
      <c r="P16909" s="7"/>
    </row>
    <row r="16910" spans="1:16">
      <c r="A16910" s="3">
        <v>44511.387002314819</v>
      </c>
      <c r="B16910" s="4" t="str">
        <f>HYPERLINK("https://twitter.com/petrogustavo","@petrogustavo")</f>
        <v>@petrogustavo</v>
      </c>
      <c r="C16910" s="5" t="s">
        <v>16</v>
      </c>
      <c r="D16910" s="5" t="s">
        <v>16276</v>
      </c>
      <c r="E16910" s="6" t="str">
        <f>HYPERLINK("https://twitter.com/petrogustavo/status/1458642460243116034","1458642460243116034")</f>
        <v>1458642460243116034</v>
      </c>
      <c r="F16910" s="7" t="s">
        <v>17</v>
      </c>
      <c r="G16910" s="7">
        <v>4398422</v>
      </c>
      <c r="H16910" s="7">
        <v>2572</v>
      </c>
      <c r="I16910" s="7">
        <v>200</v>
      </c>
      <c r="J16910" s="7">
        <v>544</v>
      </c>
      <c r="K16910" s="7" t="s">
        <v>18</v>
      </c>
      <c r="L16910" s="8">
        <v>39987.315405092595</v>
      </c>
      <c r="M16910" s="9" t="s">
        <v>19</v>
      </c>
      <c r="N16910" s="9" t="s">
        <v>20</v>
      </c>
      <c r="O16910" s="6" t="str">
        <f>HYPERLINK("https://pbs.twimg.com/profile_images/962471262747529216/Uo8lOkRJ_normal.jpg","View")</f>
        <v>View</v>
      </c>
      <c r="P16910" s="7"/>
    </row>
    <row r="16911" spans="1:16">
      <c r="A16911" s="3">
        <v>44511.672777777778</v>
      </c>
      <c r="B16911" s="4" t="str">
        <f>HYPERLINK("https://twitter.com/petrogustavo","@petrogustavo")</f>
        <v>@petrogustavo</v>
      </c>
      <c r="C16911" s="5" t="s">
        <v>16</v>
      </c>
      <c r="D16911" s="5" t="s">
        <v>16277</v>
      </c>
      <c r="E16911" s="6" t="str">
        <f>HYPERLINK("https://twitter.com/petrogustavo/status/1458746023493447681","1458746023493447681")</f>
        <v>1458746023493447681</v>
      </c>
      <c r="F16911" s="7" t="s">
        <v>17</v>
      </c>
      <c r="G16911" s="7">
        <v>4398518</v>
      </c>
      <c r="H16911" s="7">
        <v>2572</v>
      </c>
      <c r="I16911" s="7">
        <v>531</v>
      </c>
      <c r="J16911" s="7">
        <v>0</v>
      </c>
      <c r="K16911" s="7" t="s">
        <v>18</v>
      </c>
      <c r="L16911" s="8">
        <v>39987.315405092595</v>
      </c>
      <c r="M16911" s="9" t="s">
        <v>19</v>
      </c>
      <c r="N16911" s="9" t="s">
        <v>20</v>
      </c>
      <c r="O16911" s="6" t="str">
        <f>HYPERLINK("https://pbs.twimg.com/profile_images/962471262747529216/Uo8lOkRJ_normal.jpg","View")</f>
        <v>View</v>
      </c>
      <c r="P16911" s="7"/>
    </row>
    <row r="16912" spans="1:16">
      <c r="A16912" s="3">
        <v>44511.675879629634</v>
      </c>
      <c r="B16912" s="4" t="str">
        <f>HYPERLINK("https://twitter.com/petrogustavo","@petrogustavo")</f>
        <v>@petrogustavo</v>
      </c>
      <c r="C16912" s="5" t="s">
        <v>16</v>
      </c>
      <c r="D16912" s="5" t="s">
        <v>16278</v>
      </c>
      <c r="E16912" s="6" t="str">
        <f>HYPERLINK("https://twitter.com/petrogustavo/status/1458747146254045185","1458747146254045185")</f>
        <v>1458747146254045185</v>
      </c>
      <c r="F16912" s="7" t="s">
        <v>17</v>
      </c>
      <c r="G16912" s="7">
        <v>4398518</v>
      </c>
      <c r="H16912" s="7">
        <v>2572</v>
      </c>
      <c r="I16912" s="7">
        <v>19</v>
      </c>
      <c r="J16912" s="7">
        <v>50</v>
      </c>
      <c r="K16912" s="7" t="s">
        <v>18</v>
      </c>
      <c r="L16912" s="8">
        <v>39987.315405092595</v>
      </c>
      <c r="M16912" s="9" t="s">
        <v>19</v>
      </c>
      <c r="N16912" s="9" t="s">
        <v>20</v>
      </c>
      <c r="O16912" s="6" t="str">
        <f>HYPERLINK("https://pbs.twimg.com/profile_images/962471262747529216/Uo8lOkRJ_normal.jpg","View")</f>
        <v>View</v>
      </c>
      <c r="P16912" s="7"/>
    </row>
    <row r="16913" spans="1:16">
      <c r="A16913" s="3">
        <v>44511.723298611112</v>
      </c>
      <c r="B16913" s="4" t="str">
        <f>HYPERLINK("https://twitter.com/petrogustavo","@petrogustavo")</f>
        <v>@petrogustavo</v>
      </c>
      <c r="C16913" s="5" t="s">
        <v>16</v>
      </c>
      <c r="D16913" s="5" t="s">
        <v>16279</v>
      </c>
      <c r="E16913" s="6" t="str">
        <f>HYPERLINK("https://twitter.com/petrogustavo/status/1458764330648936453","1458764330648936453")</f>
        <v>1458764330648936453</v>
      </c>
      <c r="F16913" s="7" t="s">
        <v>17</v>
      </c>
      <c r="G16913" s="7">
        <v>4398561</v>
      </c>
      <c r="H16913" s="7">
        <v>2573</v>
      </c>
      <c r="I16913" s="7">
        <v>369</v>
      </c>
      <c r="J16913" s="7">
        <v>940</v>
      </c>
      <c r="K16913" s="7" t="s">
        <v>18</v>
      </c>
      <c r="L16913" s="8">
        <v>39987.315405092595</v>
      </c>
      <c r="M16913" s="9" t="s">
        <v>19</v>
      </c>
      <c r="N16913" s="9" t="s">
        <v>20</v>
      </c>
      <c r="O16913" s="6" t="str">
        <f>HYPERLINK("https://pbs.twimg.com/profile_images/962471262747529216/Uo8lOkRJ_normal.jpg","View")</f>
        <v>View</v>
      </c>
      <c r="P16913" s="7"/>
    </row>
    <row r="16914" spans="1:16">
      <c r="A16914" s="3">
        <v>44511.723310185189</v>
      </c>
      <c r="B16914" s="4" t="str">
        <f>HYPERLINK("https://twitter.com/petrogustavo","@petrogustavo")</f>
        <v>@petrogustavo</v>
      </c>
      <c r="C16914" s="5" t="s">
        <v>16</v>
      </c>
      <c r="D16914" s="5" t="s">
        <v>16280</v>
      </c>
      <c r="E16914" s="6" t="str">
        <f>HYPERLINK("https://twitter.com/petrogustavo/status/1458764332423163910","1458764332423163910")</f>
        <v>1458764332423163910</v>
      </c>
      <c r="F16914" s="7" t="s">
        <v>17</v>
      </c>
      <c r="G16914" s="7">
        <v>4398561</v>
      </c>
      <c r="H16914" s="7">
        <v>2573</v>
      </c>
      <c r="I16914" s="7">
        <v>161</v>
      </c>
      <c r="J16914" s="7">
        <v>493</v>
      </c>
      <c r="K16914" s="7" t="s">
        <v>18</v>
      </c>
      <c r="L16914" s="8">
        <v>39987.315405092595</v>
      </c>
      <c r="M16914" s="9" t="s">
        <v>19</v>
      </c>
      <c r="N16914" s="9" t="s">
        <v>20</v>
      </c>
      <c r="O16914" s="6" t="str">
        <f>HYPERLINK("https://pbs.twimg.com/profile_images/962471262747529216/Uo8lOkRJ_normal.jpg","View")</f>
        <v>View</v>
      </c>
      <c r="P16914" s="7"/>
    </row>
    <row r="16915" spans="1:16">
      <c r="A16915" s="3">
        <v>44511.723310185189</v>
      </c>
      <c r="B16915" s="4" t="str">
        <f>HYPERLINK("https://twitter.com/petrogustavo","@petrogustavo")</f>
        <v>@petrogustavo</v>
      </c>
      <c r="C16915" s="5" t="s">
        <v>16</v>
      </c>
      <c r="D16915" s="5" t="s">
        <v>16281</v>
      </c>
      <c r="E16915" s="6" t="str">
        <f>HYPERLINK("https://twitter.com/petrogustavo/status/1458764334201511944","1458764334201511944")</f>
        <v>1458764334201511944</v>
      </c>
      <c r="F16915" s="7" t="s">
        <v>17</v>
      </c>
      <c r="G16915" s="7">
        <v>4398561</v>
      </c>
      <c r="H16915" s="7">
        <v>2573</v>
      </c>
      <c r="I16915" s="7">
        <v>152</v>
      </c>
      <c r="J16915" s="7">
        <v>478</v>
      </c>
      <c r="K16915" s="7" t="s">
        <v>18</v>
      </c>
      <c r="L16915" s="8">
        <v>39987.315405092595</v>
      </c>
      <c r="M16915" s="9" t="s">
        <v>19</v>
      </c>
      <c r="N16915" s="9" t="s">
        <v>20</v>
      </c>
      <c r="O16915" s="6" t="str">
        <f>HYPERLINK("https://pbs.twimg.com/profile_images/962471262747529216/Uo8lOkRJ_normal.jpg","View")</f>
        <v>View</v>
      </c>
      <c r="P16915" s="7"/>
    </row>
    <row r="16916" spans="1:16">
      <c r="A16916" s="3">
        <v>44511.735671296294</v>
      </c>
      <c r="B16916" s="4" t="str">
        <f>HYPERLINK("https://twitter.com/petrogustavo","@petrogustavo")</f>
        <v>@petrogustavo</v>
      </c>
      <c r="C16916" s="5" t="s">
        <v>16</v>
      </c>
      <c r="D16916" s="5" t="s">
        <v>16282</v>
      </c>
      <c r="E16916" s="6" t="str">
        <f>HYPERLINK("https://twitter.com/petrogustavo/status/1458768812946477057","1458768812946477057")</f>
        <v>1458768812946477057</v>
      </c>
      <c r="F16916" s="7" t="s">
        <v>17</v>
      </c>
      <c r="G16916" s="7">
        <v>4398561</v>
      </c>
      <c r="H16916" s="7">
        <v>2573</v>
      </c>
      <c r="I16916" s="7">
        <v>649</v>
      </c>
      <c r="J16916" s="7">
        <v>0</v>
      </c>
      <c r="K16916" s="7" t="s">
        <v>18</v>
      </c>
      <c r="L16916" s="8">
        <v>39987.315405092595</v>
      </c>
      <c r="M16916" s="9" t="s">
        <v>19</v>
      </c>
      <c r="N16916" s="9" t="s">
        <v>20</v>
      </c>
      <c r="O16916" s="6" t="str">
        <f>HYPERLINK("https://pbs.twimg.com/profile_images/962471262747529216/Uo8lOkRJ_normal.jpg","View")</f>
        <v>View</v>
      </c>
      <c r="P16916" s="7"/>
    </row>
    <row r="16917" spans="1:16">
      <c r="A16917" s="3">
        <v>44511.746192129634</v>
      </c>
      <c r="B16917" s="4" t="str">
        <f>HYPERLINK("https://twitter.com/petrogustavo","@petrogustavo")</f>
        <v>@petrogustavo</v>
      </c>
      <c r="C16917" s="5" t="s">
        <v>16</v>
      </c>
      <c r="D16917" s="5" t="s">
        <v>16283</v>
      </c>
      <c r="E16917" s="6" t="str">
        <f>HYPERLINK("https://twitter.com/petrogustavo/status/1458772628081156101","1458772628081156101")</f>
        <v>1458772628081156101</v>
      </c>
      <c r="F16917" s="7" t="s">
        <v>17</v>
      </c>
      <c r="G16917" s="7">
        <v>4398583</v>
      </c>
      <c r="H16917" s="7">
        <v>2573</v>
      </c>
      <c r="I16917" s="7">
        <v>56</v>
      </c>
      <c r="J16917" s="7">
        <v>173</v>
      </c>
      <c r="K16917" s="7" t="s">
        <v>18</v>
      </c>
      <c r="L16917" s="8">
        <v>39987.315405092595</v>
      </c>
      <c r="M16917" s="9" t="s">
        <v>19</v>
      </c>
      <c r="N16917" s="9" t="s">
        <v>20</v>
      </c>
      <c r="O16917" s="6" t="str">
        <f>HYPERLINK("https://pbs.twimg.com/profile_images/962471262747529216/Uo8lOkRJ_normal.jpg","View")</f>
        <v>View</v>
      </c>
      <c r="P16917" s="7"/>
    </row>
    <row r="16918" spans="1:16">
      <c r="A16918" s="3">
        <v>44511.746203703704</v>
      </c>
      <c r="B16918" s="4" t="str">
        <f>HYPERLINK("https://twitter.com/petrogustavo","@petrogustavo")</f>
        <v>@petrogustavo</v>
      </c>
      <c r="C16918" s="5" t="s">
        <v>16</v>
      </c>
      <c r="D16918" s="5" t="s">
        <v>16284</v>
      </c>
      <c r="E16918" s="6" t="str">
        <f>HYPERLINK("https://twitter.com/petrogustavo/status/1458772629821734915","1458772629821734915")</f>
        <v>1458772629821734915</v>
      </c>
      <c r="F16918" s="7" t="s">
        <v>17</v>
      </c>
      <c r="G16918" s="7">
        <v>4398583</v>
      </c>
      <c r="H16918" s="7">
        <v>2573</v>
      </c>
      <c r="I16918" s="7">
        <v>6</v>
      </c>
      <c r="J16918" s="7">
        <v>17</v>
      </c>
      <c r="K16918" s="7" t="s">
        <v>18</v>
      </c>
      <c r="L16918" s="8">
        <v>39987.315405092595</v>
      </c>
      <c r="M16918" s="9" t="s">
        <v>19</v>
      </c>
      <c r="N16918" s="9" t="s">
        <v>20</v>
      </c>
      <c r="O16918" s="6" t="str">
        <f>HYPERLINK("https://pbs.twimg.com/profile_images/962471262747529216/Uo8lOkRJ_normal.jpg","View")</f>
        <v>View</v>
      </c>
      <c r="P16918" s="7"/>
    </row>
    <row r="16919" spans="1:16">
      <c r="A16919" s="3">
        <v>44511.746203703704</v>
      </c>
      <c r="B16919" s="4" t="str">
        <f>HYPERLINK("https://twitter.com/petrogustavo","@petrogustavo")</f>
        <v>@petrogustavo</v>
      </c>
      <c r="C16919" s="5" t="s">
        <v>16</v>
      </c>
      <c r="D16919" s="5" t="s">
        <v>16285</v>
      </c>
      <c r="E16919" s="6" t="str">
        <f>HYPERLINK("https://twitter.com/petrogustavo/status/1458772630983618563","1458772630983618563")</f>
        <v>1458772630983618563</v>
      </c>
      <c r="F16919" s="7" t="s">
        <v>17</v>
      </c>
      <c r="G16919" s="7">
        <v>4398583</v>
      </c>
      <c r="H16919" s="7">
        <v>2573</v>
      </c>
      <c r="I16919" s="7">
        <v>27</v>
      </c>
      <c r="J16919" s="7">
        <v>102</v>
      </c>
      <c r="K16919" s="7" t="s">
        <v>18</v>
      </c>
      <c r="L16919" s="8">
        <v>39987.315405092595</v>
      </c>
      <c r="M16919" s="9" t="s">
        <v>19</v>
      </c>
      <c r="N16919" s="9" t="s">
        <v>20</v>
      </c>
      <c r="O16919" s="6" t="str">
        <f>HYPERLINK("https://pbs.twimg.com/profile_images/962471262747529216/Uo8lOkRJ_normal.jpg","View")</f>
        <v>View</v>
      </c>
      <c r="P16919" s="7"/>
    </row>
    <row r="16920" spans="1:16">
      <c r="A16920" s="3">
        <v>44511.746203703704</v>
      </c>
      <c r="B16920" s="4" t="str">
        <f>HYPERLINK("https://twitter.com/petrogustavo","@petrogustavo")</f>
        <v>@petrogustavo</v>
      </c>
      <c r="C16920" s="5" t="s">
        <v>16</v>
      </c>
      <c r="D16920" s="5" t="s">
        <v>16286</v>
      </c>
      <c r="E16920" s="6" t="str">
        <f>HYPERLINK("https://twitter.com/petrogustavo/status/1458772632300666885","1458772632300666885")</f>
        <v>1458772632300666885</v>
      </c>
      <c r="F16920" s="7" t="s">
        <v>17</v>
      </c>
      <c r="G16920" s="7">
        <v>4398583</v>
      </c>
      <c r="H16920" s="7">
        <v>2573</v>
      </c>
      <c r="I16920" s="7">
        <v>34</v>
      </c>
      <c r="J16920" s="7">
        <v>104</v>
      </c>
      <c r="K16920" s="7" t="s">
        <v>18</v>
      </c>
      <c r="L16920" s="8">
        <v>39987.315405092595</v>
      </c>
      <c r="M16920" s="9" t="s">
        <v>19</v>
      </c>
      <c r="N16920" s="9" t="s">
        <v>20</v>
      </c>
      <c r="O16920" s="6" t="str">
        <f>HYPERLINK("https://pbs.twimg.com/profile_images/962471262747529216/Uo8lOkRJ_normal.jpg","View")</f>
        <v>View</v>
      </c>
      <c r="P16920" s="7"/>
    </row>
    <row r="16921" spans="1:16">
      <c r="A16921" s="3">
        <v>44511.797453703708</v>
      </c>
      <c r="B16921" s="4" t="str">
        <f>HYPERLINK("https://twitter.com/petrogustavo","@petrogustavo")</f>
        <v>@petrogustavo</v>
      </c>
      <c r="C16921" s="5" t="s">
        <v>16</v>
      </c>
      <c r="D16921" s="5" t="s">
        <v>16287</v>
      </c>
      <c r="E16921" s="6" t="str">
        <f>HYPERLINK("https://twitter.com/petrogustavo/status/1458791202384404492","1458791202384404492")</f>
        <v>1458791202384404492</v>
      </c>
      <c r="F16921" s="7" t="s">
        <v>17</v>
      </c>
      <c r="G16921" s="7">
        <v>4398630</v>
      </c>
      <c r="H16921" s="7">
        <v>2573</v>
      </c>
      <c r="I16921" s="7">
        <v>1272</v>
      </c>
      <c r="J16921" s="7">
        <v>0</v>
      </c>
      <c r="K16921" s="7" t="s">
        <v>18</v>
      </c>
      <c r="L16921" s="8">
        <v>39987.315405092595</v>
      </c>
      <c r="M16921" s="9" t="s">
        <v>19</v>
      </c>
      <c r="N16921" s="9" t="s">
        <v>20</v>
      </c>
      <c r="O16921" s="6" t="str">
        <f>HYPERLINK("https://pbs.twimg.com/profile_images/962471262747529216/Uo8lOkRJ_normal.jpg","View")</f>
        <v>View</v>
      </c>
      <c r="P16921" s="7"/>
    </row>
    <row r="16922" spans="1:16">
      <c r="A16922" s="3">
        <v>44511.892071759255</v>
      </c>
      <c r="B16922" s="4" t="str">
        <f>HYPERLINK("https://twitter.com/petrogustavo","@petrogustavo")</f>
        <v>@petrogustavo</v>
      </c>
      <c r="C16922" s="5" t="s">
        <v>16</v>
      </c>
      <c r="D16922" s="5" t="s">
        <v>16288</v>
      </c>
      <c r="E16922" s="6" t="str">
        <f>HYPERLINK("https://twitter.com/petrogustavo/status/1458825492128309251","1458825492128309251")</f>
        <v>1458825492128309251</v>
      </c>
      <c r="F16922" s="7" t="s">
        <v>17</v>
      </c>
      <c r="G16922" s="7">
        <v>4398754</v>
      </c>
      <c r="H16922" s="7">
        <v>2573</v>
      </c>
      <c r="I16922" s="7">
        <v>149</v>
      </c>
      <c r="J16922" s="7">
        <v>571</v>
      </c>
      <c r="K16922" s="7" t="s">
        <v>18</v>
      </c>
      <c r="L16922" s="8">
        <v>39987.315405092595</v>
      </c>
      <c r="M16922" s="9" t="s">
        <v>19</v>
      </c>
      <c r="N16922" s="9" t="s">
        <v>20</v>
      </c>
      <c r="O16922" s="6" t="str">
        <f>HYPERLINK("https://pbs.twimg.com/profile_images/962471262747529216/Uo8lOkRJ_normal.jpg","View")</f>
        <v>View</v>
      </c>
      <c r="P16922" s="7"/>
    </row>
    <row r="16923" spans="1:16">
      <c r="A16923" s="3">
        <v>44511.983263888891</v>
      </c>
      <c r="B16923" s="4" t="str">
        <f>HYPERLINK("https://twitter.com/petrogustavo","@petrogustavo")</f>
        <v>@petrogustavo</v>
      </c>
      <c r="C16923" s="5" t="s">
        <v>16</v>
      </c>
      <c r="D16923" s="5" t="s">
        <v>16289</v>
      </c>
      <c r="E16923" s="6" t="str">
        <f>HYPERLINK("https://twitter.com/petrogustavo/status/1458858537795399687","1458858537795399687")</f>
        <v>1458858537795399687</v>
      </c>
      <c r="F16923" s="7" t="s">
        <v>17</v>
      </c>
      <c r="G16923" s="7">
        <v>4398843</v>
      </c>
      <c r="H16923" s="7">
        <v>2573</v>
      </c>
      <c r="I16923" s="7">
        <v>137</v>
      </c>
      <c r="J16923" s="7">
        <v>445</v>
      </c>
      <c r="K16923" s="7" t="s">
        <v>18</v>
      </c>
      <c r="L16923" s="8">
        <v>39987.315405092595</v>
      </c>
      <c r="M16923" s="9" t="s">
        <v>19</v>
      </c>
      <c r="N16923" s="9" t="s">
        <v>20</v>
      </c>
      <c r="O16923" s="6" t="str">
        <f>HYPERLINK("https://pbs.twimg.com/profile_images/962471262747529216/Uo8lOkRJ_normal.jpg","View")</f>
        <v>View</v>
      </c>
      <c r="P16923" s="7"/>
    </row>
    <row r="16924" spans="1:16">
      <c r="A16924" s="3">
        <v>44512.009641203702</v>
      </c>
      <c r="B16924" s="4" t="str">
        <f>HYPERLINK("https://twitter.com/petrogustavo","@petrogustavo")</f>
        <v>@petrogustavo</v>
      </c>
      <c r="C16924" s="5" t="s">
        <v>16</v>
      </c>
      <c r="D16924" s="5" t="s">
        <v>16290</v>
      </c>
      <c r="E16924" s="6" t="str">
        <f>HYPERLINK("https://twitter.com/petrogustavo/status/1458868095892787203","1458868095892787203")</f>
        <v>1458868095892787203</v>
      </c>
      <c r="F16924" s="7" t="s">
        <v>17</v>
      </c>
      <c r="G16924" s="7">
        <v>4398861</v>
      </c>
      <c r="H16924" s="7">
        <v>2573</v>
      </c>
      <c r="I16924" s="7">
        <v>43</v>
      </c>
      <c r="J16924" s="7">
        <v>180</v>
      </c>
      <c r="K16924" s="7" t="s">
        <v>18</v>
      </c>
      <c r="L16924" s="8">
        <v>39987.315405092595</v>
      </c>
      <c r="M16924" s="9" t="s">
        <v>19</v>
      </c>
      <c r="N16924" s="9" t="s">
        <v>20</v>
      </c>
      <c r="O16924" s="6" t="str">
        <f>HYPERLINK("https://pbs.twimg.com/profile_images/962471262747529216/Uo8lOkRJ_normal.jpg","View")</f>
        <v>View</v>
      </c>
      <c r="P16924" s="7"/>
    </row>
    <row r="16925" spans="1:16">
      <c r="A16925" s="3">
        <v>44512.050173611111</v>
      </c>
      <c r="B16925" s="4" t="str">
        <f>HYPERLINK("https://twitter.com/petrogustavo","@petrogustavo")</f>
        <v>@petrogustavo</v>
      </c>
      <c r="C16925" s="5" t="s">
        <v>16</v>
      </c>
      <c r="D16925" s="5" t="s">
        <v>16291</v>
      </c>
      <c r="E16925" s="6" t="str">
        <f>HYPERLINK("https://twitter.com/petrogustavo/status/1458882784110460933","1458882784110460933")</f>
        <v>1458882784110460933</v>
      </c>
      <c r="F16925" s="7" t="s">
        <v>17</v>
      </c>
      <c r="G16925" s="7">
        <v>4398904</v>
      </c>
      <c r="H16925" s="7">
        <v>2573</v>
      </c>
      <c r="I16925" s="7">
        <v>22</v>
      </c>
      <c r="J16925" s="7">
        <v>73</v>
      </c>
      <c r="K16925" s="7" t="s">
        <v>18</v>
      </c>
      <c r="L16925" s="8">
        <v>39987.315405092595</v>
      </c>
      <c r="M16925" s="9" t="s">
        <v>19</v>
      </c>
      <c r="N16925" s="9" t="s">
        <v>20</v>
      </c>
      <c r="O16925" s="6" t="str">
        <f>HYPERLINK("https://pbs.twimg.com/profile_images/962471262747529216/Uo8lOkRJ_normal.jpg","View")</f>
        <v>View</v>
      </c>
      <c r="P16925" s="7"/>
    </row>
    <row r="16926" spans="1:16">
      <c r="A16926" s="3">
        <v>44512.050173611111</v>
      </c>
      <c r="B16926" s="4" t="str">
        <f>HYPERLINK("https://twitter.com/petrogustavo","@petrogustavo")</f>
        <v>@petrogustavo</v>
      </c>
      <c r="C16926" s="5" t="s">
        <v>16</v>
      </c>
      <c r="D16926" s="5" t="s">
        <v>16292</v>
      </c>
      <c r="E16926" s="6" t="str">
        <f>HYPERLINK("https://twitter.com/petrogustavo/status/1458882786832666633","1458882786832666633")</f>
        <v>1458882786832666633</v>
      </c>
      <c r="F16926" s="7" t="s">
        <v>17</v>
      </c>
      <c r="G16926" s="7">
        <v>4398904</v>
      </c>
      <c r="H16926" s="7">
        <v>2573</v>
      </c>
      <c r="I16926" s="7">
        <v>8</v>
      </c>
      <c r="J16926" s="7">
        <v>22</v>
      </c>
      <c r="K16926" s="7" t="s">
        <v>18</v>
      </c>
      <c r="L16926" s="8">
        <v>39987.315405092595</v>
      </c>
      <c r="M16926" s="9" t="s">
        <v>19</v>
      </c>
      <c r="N16926" s="9" t="s">
        <v>20</v>
      </c>
      <c r="O16926" s="6" t="str">
        <f>HYPERLINK("https://pbs.twimg.com/profile_images/962471262747529216/Uo8lOkRJ_normal.jpg","View")</f>
        <v>View</v>
      </c>
      <c r="P16926" s="7"/>
    </row>
    <row r="16927" spans="1:16">
      <c r="A16927" s="3">
        <v>44512.050185185188</v>
      </c>
      <c r="B16927" s="4" t="str">
        <f>HYPERLINK("https://twitter.com/petrogustavo","@petrogustavo")</f>
        <v>@petrogustavo</v>
      </c>
      <c r="C16927" s="5" t="s">
        <v>16</v>
      </c>
      <c r="D16927" s="5" t="s">
        <v>16293</v>
      </c>
      <c r="E16927" s="6" t="str">
        <f>HYPERLINK("https://twitter.com/petrogustavo/status/1458882789022048268","1458882789022048268")</f>
        <v>1458882789022048268</v>
      </c>
      <c r="F16927" s="7" t="s">
        <v>17</v>
      </c>
      <c r="G16927" s="7">
        <v>4398904</v>
      </c>
      <c r="H16927" s="7">
        <v>2573</v>
      </c>
      <c r="I16927" s="7">
        <v>7</v>
      </c>
      <c r="J16927" s="7">
        <v>19</v>
      </c>
      <c r="K16927" s="7" t="s">
        <v>18</v>
      </c>
      <c r="L16927" s="8">
        <v>39987.315405092595</v>
      </c>
      <c r="M16927" s="9" t="s">
        <v>19</v>
      </c>
      <c r="N16927" s="9" t="s">
        <v>20</v>
      </c>
      <c r="O16927" s="6" t="str">
        <f>HYPERLINK("https://pbs.twimg.com/profile_images/962471262747529216/Uo8lOkRJ_normal.jpg","View")</f>
        <v>View</v>
      </c>
      <c r="P16927" s="7"/>
    </row>
    <row r="16928" spans="1:16">
      <c r="A16928" s="3">
        <v>44512.050185185188</v>
      </c>
      <c r="B16928" s="4" t="str">
        <f>HYPERLINK("https://twitter.com/petrogustavo","@petrogustavo")</f>
        <v>@petrogustavo</v>
      </c>
      <c r="C16928" s="5" t="s">
        <v>16</v>
      </c>
      <c r="D16928" s="5" t="s">
        <v>16294</v>
      </c>
      <c r="E16928" s="6" t="str">
        <f>HYPERLINK("https://twitter.com/petrogustavo/status/1458882791068815370","1458882791068815370")</f>
        <v>1458882791068815370</v>
      </c>
      <c r="F16928" s="7" t="s">
        <v>17</v>
      </c>
      <c r="G16928" s="7">
        <v>4398904</v>
      </c>
      <c r="H16928" s="7">
        <v>2573</v>
      </c>
      <c r="I16928" s="7">
        <v>14</v>
      </c>
      <c r="J16928" s="7">
        <v>43</v>
      </c>
      <c r="K16928" s="7" t="s">
        <v>18</v>
      </c>
      <c r="L16928" s="8">
        <v>39987.315405092595</v>
      </c>
      <c r="M16928" s="9" t="s">
        <v>19</v>
      </c>
      <c r="N16928" s="9" t="s">
        <v>20</v>
      </c>
      <c r="O16928" s="6" t="str">
        <f>HYPERLINK("https://pbs.twimg.com/profile_images/962471262747529216/Uo8lOkRJ_normal.jpg","View")</f>
        <v>View</v>
      </c>
      <c r="P16928" s="7"/>
    </row>
    <row r="16929" spans="1:16">
      <c r="A16929" s="3">
        <v>44512.050196759257</v>
      </c>
      <c r="B16929" s="4" t="str">
        <f>HYPERLINK("https://twitter.com/petrogustavo","@petrogustavo")</f>
        <v>@petrogustavo</v>
      </c>
      <c r="C16929" s="5" t="s">
        <v>16</v>
      </c>
      <c r="D16929" s="5" t="s">
        <v>16295</v>
      </c>
      <c r="E16929" s="6" t="str">
        <f>HYPERLINK("https://twitter.com/petrogustavo/status/1458882793216294912","1458882793216294912")</f>
        <v>1458882793216294912</v>
      </c>
      <c r="F16929" s="7" t="s">
        <v>17</v>
      </c>
      <c r="G16929" s="7">
        <v>4398904</v>
      </c>
      <c r="H16929" s="7">
        <v>2573</v>
      </c>
      <c r="I16929" s="7">
        <v>14</v>
      </c>
      <c r="J16929" s="7">
        <v>48</v>
      </c>
      <c r="K16929" s="7" t="s">
        <v>18</v>
      </c>
      <c r="L16929" s="8">
        <v>39987.315405092595</v>
      </c>
      <c r="M16929" s="9" t="s">
        <v>19</v>
      </c>
      <c r="N16929" s="9" t="s">
        <v>20</v>
      </c>
      <c r="O16929" s="6" t="str">
        <f>HYPERLINK("https://pbs.twimg.com/profile_images/962471262747529216/Uo8lOkRJ_normal.jpg","View")</f>
        <v>View</v>
      </c>
      <c r="P16929" s="7"/>
    </row>
    <row r="16930" spans="1:16">
      <c r="A16930" s="3">
        <v>44512.151388888888</v>
      </c>
      <c r="B16930" s="4" t="str">
        <f>HYPERLINK("https://twitter.com/petrogustavo","@petrogustavo")</f>
        <v>@petrogustavo</v>
      </c>
      <c r="C16930" s="5" t="s">
        <v>16</v>
      </c>
      <c r="D16930" s="5" t="s">
        <v>16296</v>
      </c>
      <c r="E16930" s="6" t="str">
        <f>HYPERLINK("https://twitter.com/petrogustavo/status/1458919464234270720","1458919464234270720")</f>
        <v>1458919464234270720</v>
      </c>
      <c r="F16930" s="7" t="s">
        <v>17</v>
      </c>
      <c r="G16930" s="7">
        <v>4399055</v>
      </c>
      <c r="H16930" s="7">
        <v>2573</v>
      </c>
      <c r="I16930" s="7">
        <v>101</v>
      </c>
      <c r="J16930" s="7">
        <v>408</v>
      </c>
      <c r="K16930" s="7" t="s">
        <v>18</v>
      </c>
      <c r="L16930" s="8">
        <v>39987.315405092595</v>
      </c>
      <c r="M16930" s="9" t="s">
        <v>19</v>
      </c>
      <c r="N16930" s="9" t="s">
        <v>20</v>
      </c>
      <c r="O16930" s="6" t="str">
        <f>HYPERLINK("https://pbs.twimg.com/profile_images/962471262747529216/Uo8lOkRJ_normal.jpg","View")</f>
        <v>View</v>
      </c>
      <c r="P16930" s="7"/>
    </row>
    <row r="16931" spans="1:16">
      <c r="A16931" s="3">
        <v>44512.21493055555</v>
      </c>
      <c r="B16931" s="4" t="str">
        <f>HYPERLINK("https://twitter.com/petrogustavo","@petrogustavo")</f>
        <v>@petrogustavo</v>
      </c>
      <c r="C16931" s="5" t="s">
        <v>16</v>
      </c>
      <c r="D16931" s="5" t="s">
        <v>16297</v>
      </c>
      <c r="E16931" s="6" t="str">
        <f>HYPERLINK("https://twitter.com/petrogustavo/status/1458942489604378626","1458942489604378626")</f>
        <v>1458942489604378626</v>
      </c>
      <c r="F16931" s="7" t="s">
        <v>17</v>
      </c>
      <c r="G16931" s="7">
        <v>4399133</v>
      </c>
      <c r="H16931" s="7">
        <v>2573</v>
      </c>
      <c r="I16931" s="7">
        <v>148</v>
      </c>
      <c r="J16931" s="7">
        <v>480</v>
      </c>
      <c r="K16931" s="7" t="s">
        <v>18</v>
      </c>
      <c r="L16931" s="8">
        <v>39987.315405092595</v>
      </c>
      <c r="M16931" s="9" t="s">
        <v>19</v>
      </c>
      <c r="N16931" s="9" t="s">
        <v>20</v>
      </c>
      <c r="O16931" s="6" t="str">
        <f>HYPERLINK("https://pbs.twimg.com/profile_images/962471262747529216/Uo8lOkRJ_normal.jpg","View")</f>
        <v>View</v>
      </c>
      <c r="P16931" s="7"/>
    </row>
    <row r="16932" spans="1:16">
      <c r="A16932" s="3">
        <v>44512.217604166668</v>
      </c>
      <c r="B16932" s="4" t="str">
        <f>HYPERLINK("https://twitter.com/petrogustavo","@petrogustavo")</f>
        <v>@petrogustavo</v>
      </c>
      <c r="C16932" s="5" t="s">
        <v>16</v>
      </c>
      <c r="D16932" s="5" t="s">
        <v>16298</v>
      </c>
      <c r="E16932" s="6" t="str">
        <f>HYPERLINK("https://twitter.com/petrogustavo/status/1458943460338241546","1458943460338241546")</f>
        <v>1458943460338241546</v>
      </c>
      <c r="F16932" s="7" t="s">
        <v>17</v>
      </c>
      <c r="G16932" s="7">
        <v>4399133</v>
      </c>
      <c r="H16932" s="7">
        <v>2573</v>
      </c>
      <c r="I16932" s="7">
        <v>310</v>
      </c>
      <c r="J16932" s="7">
        <v>1145</v>
      </c>
      <c r="K16932" s="7" t="s">
        <v>18</v>
      </c>
      <c r="L16932" s="8">
        <v>39987.315405092595</v>
      </c>
      <c r="M16932" s="9" t="s">
        <v>19</v>
      </c>
      <c r="N16932" s="9" t="s">
        <v>20</v>
      </c>
      <c r="O16932" s="6" t="str">
        <f>HYPERLINK("https://pbs.twimg.com/profile_images/962471262747529216/Uo8lOkRJ_normal.jpg","View")</f>
        <v>View</v>
      </c>
      <c r="P16932" s="7"/>
    </row>
    <row r="16933" spans="1:16">
      <c r="A16933" s="3">
        <v>44512.260277777779</v>
      </c>
      <c r="B16933" s="4" t="str">
        <f>HYPERLINK("https://twitter.com/petrogustavo","@petrogustavo")</f>
        <v>@petrogustavo</v>
      </c>
      <c r="C16933" s="5" t="s">
        <v>16</v>
      </c>
      <c r="D16933" s="5" t="s">
        <v>16299</v>
      </c>
      <c r="E16933" s="6" t="str">
        <f>HYPERLINK("https://twitter.com/petrogustavo/status/1458958925018116096","1458958925018116096")</f>
        <v>1458958925018116096</v>
      </c>
      <c r="F16933" s="7" t="s">
        <v>17</v>
      </c>
      <c r="G16933" s="7">
        <v>4399173</v>
      </c>
      <c r="H16933" s="7">
        <v>2573</v>
      </c>
      <c r="I16933" s="7">
        <v>72</v>
      </c>
      <c r="J16933" s="7">
        <v>239</v>
      </c>
      <c r="K16933" s="7" t="s">
        <v>18</v>
      </c>
      <c r="L16933" s="8">
        <v>39987.315405092595</v>
      </c>
      <c r="M16933" s="9" t="s">
        <v>19</v>
      </c>
      <c r="N16933" s="9" t="s">
        <v>20</v>
      </c>
      <c r="O16933" s="6" t="str">
        <f>HYPERLINK("https://pbs.twimg.com/profile_images/962471262747529216/Uo8lOkRJ_normal.jpg","View")</f>
        <v>View</v>
      </c>
      <c r="P16933" s="7"/>
    </row>
    <row r="16934" spans="1:16">
      <c r="A16934" s="3">
        <v>44512.269490740742</v>
      </c>
      <c r="B16934" s="4" t="str">
        <f>HYPERLINK("https://twitter.com/petrogustavo","@petrogustavo")</f>
        <v>@petrogustavo</v>
      </c>
      <c r="C16934" s="5" t="s">
        <v>16</v>
      </c>
      <c r="D16934" s="5" t="s">
        <v>16300</v>
      </c>
      <c r="E16934" s="6" t="str">
        <f>HYPERLINK("https://twitter.com/petrogustavo/status/1458962262379704320","1458962262379704320")</f>
        <v>1458962262379704320</v>
      </c>
      <c r="F16934" s="7" t="s">
        <v>17</v>
      </c>
      <c r="G16934" s="7">
        <v>4399173</v>
      </c>
      <c r="H16934" s="7">
        <v>2573</v>
      </c>
      <c r="I16934" s="7">
        <v>859</v>
      </c>
      <c r="J16934" s="7">
        <v>0</v>
      </c>
      <c r="K16934" s="7" t="s">
        <v>18</v>
      </c>
      <c r="L16934" s="8">
        <v>39987.315405092595</v>
      </c>
      <c r="M16934" s="9" t="s">
        <v>19</v>
      </c>
      <c r="N16934" s="9" t="s">
        <v>20</v>
      </c>
      <c r="O16934" s="6" t="str">
        <f>HYPERLINK("https://pbs.twimg.com/profile_images/962471262747529216/Uo8lOkRJ_normal.jpg","View")</f>
        <v>View</v>
      </c>
      <c r="P16934" s="7"/>
    </row>
    <row r="16935" spans="1:16">
      <c r="A16935" s="3">
        <v>44512.339953703704</v>
      </c>
      <c r="B16935" s="4" t="str">
        <f>HYPERLINK("https://twitter.com/petrogustavo","@petrogustavo")</f>
        <v>@petrogustavo</v>
      </c>
      <c r="C16935" s="5" t="s">
        <v>16</v>
      </c>
      <c r="D16935" s="5" t="s">
        <v>16301</v>
      </c>
      <c r="E16935" s="6" t="str">
        <f>HYPERLINK("https://twitter.com/petrogustavo/status/1458987800196435987","1458987800196435987")</f>
        <v>1458987800196435987</v>
      </c>
      <c r="F16935" s="7" t="s">
        <v>17</v>
      </c>
      <c r="G16935" s="7">
        <v>4399307</v>
      </c>
      <c r="H16935" s="7">
        <v>2573</v>
      </c>
      <c r="I16935" s="7">
        <v>111</v>
      </c>
      <c r="J16935" s="7">
        <v>0</v>
      </c>
      <c r="K16935" s="7" t="s">
        <v>18</v>
      </c>
      <c r="L16935" s="8">
        <v>39987.315405092595</v>
      </c>
      <c r="M16935" s="9" t="s">
        <v>19</v>
      </c>
      <c r="N16935" s="9" t="s">
        <v>20</v>
      </c>
      <c r="O16935" s="6" t="str">
        <f>HYPERLINK("https://pbs.twimg.com/profile_images/962471262747529216/Uo8lOkRJ_normal.jpg","View")</f>
        <v>View</v>
      </c>
      <c r="P16935" s="7"/>
    </row>
    <row r="16936" spans="1:16">
      <c r="A16936" s="3">
        <v>44512.347199074073</v>
      </c>
      <c r="B16936" s="4" t="str">
        <f>HYPERLINK("https://twitter.com/petrogustavo","@petrogustavo")</f>
        <v>@petrogustavo</v>
      </c>
      <c r="C16936" s="5" t="s">
        <v>16</v>
      </c>
      <c r="D16936" s="5" t="s">
        <v>16302</v>
      </c>
      <c r="E16936" s="6" t="str">
        <f>HYPERLINK("https://twitter.com/petrogustavo/status/1458990423960080385","1458990423960080385")</f>
        <v>1458990423960080385</v>
      </c>
      <c r="F16936" s="7" t="s">
        <v>17</v>
      </c>
      <c r="G16936" s="7">
        <v>4399307</v>
      </c>
      <c r="H16936" s="7">
        <v>2573</v>
      </c>
      <c r="I16936" s="7">
        <v>199</v>
      </c>
      <c r="J16936" s="7">
        <v>0</v>
      </c>
      <c r="K16936" s="7" t="s">
        <v>18</v>
      </c>
      <c r="L16936" s="8">
        <v>39987.315405092595</v>
      </c>
      <c r="M16936" s="9" t="s">
        <v>19</v>
      </c>
      <c r="N16936" s="9" t="s">
        <v>20</v>
      </c>
      <c r="O16936" s="6" t="str">
        <f>HYPERLINK("https://pbs.twimg.com/profile_images/962471262747529216/Uo8lOkRJ_normal.jpg","View")</f>
        <v>View</v>
      </c>
      <c r="P16936" s="7"/>
    </row>
    <row r="16937" spans="1:16">
      <c r="A16937" s="3">
        <v>44512.386087962965</v>
      </c>
      <c r="B16937" s="4" t="str">
        <f>HYPERLINK("https://twitter.com/petrogustavo","@petrogustavo")</f>
        <v>@petrogustavo</v>
      </c>
      <c r="C16937" s="5" t="s">
        <v>16</v>
      </c>
      <c r="D16937" s="5" t="s">
        <v>16303</v>
      </c>
      <c r="E16937" s="6" t="str">
        <f>HYPERLINK("https://twitter.com/petrogustavo/status/1459004516922232836","1459004516922232836")</f>
        <v>1459004516922232836</v>
      </c>
      <c r="F16937" s="7" t="s">
        <v>17</v>
      </c>
      <c r="G16937" s="7">
        <v>4399369</v>
      </c>
      <c r="H16937" s="7">
        <v>2573</v>
      </c>
      <c r="I16937" s="7">
        <v>722</v>
      </c>
      <c r="J16937" s="7">
        <v>0</v>
      </c>
      <c r="K16937" s="7" t="s">
        <v>18</v>
      </c>
      <c r="L16937" s="8">
        <v>39987.315405092595</v>
      </c>
      <c r="M16937" s="9" t="s">
        <v>19</v>
      </c>
      <c r="N16937" s="9" t="s">
        <v>20</v>
      </c>
      <c r="O16937" s="6" t="str">
        <f>HYPERLINK("https://pbs.twimg.com/profile_images/962471262747529216/Uo8lOkRJ_normal.jpg","View")</f>
        <v>View</v>
      </c>
      <c r="P16937" s="7"/>
    </row>
    <row r="16938" spans="1:16">
      <c r="A16938" s="3">
        <v>44512.769409722227</v>
      </c>
      <c r="B16938" s="4" t="str">
        <f>HYPERLINK("https://twitter.com/petrogustavo","@petrogustavo")</f>
        <v>@petrogustavo</v>
      </c>
      <c r="C16938" s="5" t="s">
        <v>16</v>
      </c>
      <c r="D16938" s="5" t="s">
        <v>16304</v>
      </c>
      <c r="E16938" s="6" t="str">
        <f>HYPERLINK("https://twitter.com/petrogustavo/status/1459143426549686279","1459143426549686279")</f>
        <v>1459143426549686279</v>
      </c>
      <c r="F16938" s="7" t="s">
        <v>17</v>
      </c>
      <c r="G16938" s="7">
        <v>4399517</v>
      </c>
      <c r="H16938" s="7">
        <v>2573</v>
      </c>
      <c r="I16938" s="7">
        <v>284</v>
      </c>
      <c r="J16938" s="7">
        <v>0</v>
      </c>
      <c r="K16938" s="7" t="s">
        <v>18</v>
      </c>
      <c r="L16938" s="8">
        <v>39987.315405092595</v>
      </c>
      <c r="M16938" s="9" t="s">
        <v>19</v>
      </c>
      <c r="N16938" s="9" t="s">
        <v>20</v>
      </c>
      <c r="O16938" s="6" t="str">
        <f>HYPERLINK("https://pbs.twimg.com/profile_images/962471262747529216/Uo8lOkRJ_normal.jpg","View")</f>
        <v>View</v>
      </c>
      <c r="P16938" s="7"/>
    </row>
    <row r="16939" spans="1:16">
      <c r="A16939" s="3">
        <v>44512.893761574072</v>
      </c>
      <c r="B16939" s="4" t="str">
        <f>HYPERLINK("https://twitter.com/petrogustavo","@petrogustavo")</f>
        <v>@petrogustavo</v>
      </c>
      <c r="C16939" s="5" t="s">
        <v>16</v>
      </c>
      <c r="D16939" s="5" t="s">
        <v>16305</v>
      </c>
      <c r="E16939" s="6" t="str">
        <f>HYPERLINK("https://twitter.com/petrogustavo/status/1459188492009984002","1459188492009984002")</f>
        <v>1459188492009984002</v>
      </c>
      <c r="F16939" s="7" t="s">
        <v>17</v>
      </c>
      <c r="G16939" s="7">
        <v>4399635</v>
      </c>
      <c r="H16939" s="7">
        <v>2573</v>
      </c>
      <c r="I16939" s="7">
        <v>81</v>
      </c>
      <c r="J16939" s="7">
        <v>258</v>
      </c>
      <c r="K16939" s="7" t="s">
        <v>18</v>
      </c>
      <c r="L16939" s="8">
        <v>39987.315405092595</v>
      </c>
      <c r="M16939" s="9" t="s">
        <v>19</v>
      </c>
      <c r="N16939" s="9" t="s">
        <v>20</v>
      </c>
      <c r="O16939" s="6" t="str">
        <f>HYPERLINK("https://pbs.twimg.com/profile_images/962471262747529216/Uo8lOkRJ_normal.jpg","View")</f>
        <v>View</v>
      </c>
      <c r="P16939" s="7"/>
    </row>
    <row r="16940" spans="1:16">
      <c r="A16940" s="3">
        <v>44512.943402777775</v>
      </c>
      <c r="B16940" s="4" t="str">
        <f>HYPERLINK("https://twitter.com/petrogustavo","@petrogustavo")</f>
        <v>@petrogustavo</v>
      </c>
      <c r="C16940" s="5" t="s">
        <v>16</v>
      </c>
      <c r="D16940" s="5" t="s">
        <v>16306</v>
      </c>
      <c r="E16940" s="6" t="str">
        <f>HYPERLINK("https://twitter.com/petrogustavo/status/1459206479395934214","1459206479395934214")</f>
        <v>1459206479395934214</v>
      </c>
      <c r="F16940" s="7" t="s">
        <v>17</v>
      </c>
      <c r="G16940" s="7">
        <v>4399688</v>
      </c>
      <c r="H16940" s="7">
        <v>2573</v>
      </c>
      <c r="I16940" s="7">
        <v>130</v>
      </c>
      <c r="J16940" s="7">
        <v>541</v>
      </c>
      <c r="K16940" s="7" t="s">
        <v>18</v>
      </c>
      <c r="L16940" s="8">
        <v>39987.315405092595</v>
      </c>
      <c r="M16940" s="9" t="s">
        <v>19</v>
      </c>
      <c r="N16940" s="9" t="s">
        <v>20</v>
      </c>
      <c r="O16940" s="6" t="str">
        <f>HYPERLINK("https://pbs.twimg.com/profile_images/962471262747529216/Uo8lOkRJ_normal.jpg","View")</f>
        <v>View</v>
      </c>
      <c r="P16940" s="7"/>
    </row>
    <row r="16941" spans="1:16">
      <c r="A16941" s="3">
        <v>44513.068761574075</v>
      </c>
      <c r="B16941" s="4" t="str">
        <f>HYPERLINK("https://twitter.com/petrogustavo","@petrogustavo")</f>
        <v>@petrogustavo</v>
      </c>
      <c r="C16941" s="5" t="s">
        <v>16</v>
      </c>
      <c r="D16941" s="5" t="s">
        <v>16307</v>
      </c>
      <c r="E16941" s="6" t="str">
        <f>HYPERLINK("https://twitter.com/petrogustavo/status/1459251911195074561","1459251911195074561")</f>
        <v>1459251911195074561</v>
      </c>
      <c r="F16941" s="7" t="s">
        <v>17</v>
      </c>
      <c r="G16941" s="7">
        <v>4399820</v>
      </c>
      <c r="H16941" s="7">
        <v>2573</v>
      </c>
      <c r="I16941" s="7">
        <v>1404</v>
      </c>
      <c r="J16941" s="7">
        <v>0</v>
      </c>
      <c r="K16941" s="7" t="s">
        <v>18</v>
      </c>
      <c r="L16941" s="8">
        <v>39987.315405092595</v>
      </c>
      <c r="M16941" s="9" t="s">
        <v>19</v>
      </c>
      <c r="N16941" s="9" t="s">
        <v>20</v>
      </c>
      <c r="O16941" s="6" t="str">
        <f>HYPERLINK("https://pbs.twimg.com/profile_images/962471262747529216/Uo8lOkRJ_normal.jpg","View")</f>
        <v>View</v>
      </c>
      <c r="P16941" s="7"/>
    </row>
    <row r="16942" spans="1:16">
      <c r="A16942" s="3">
        <v>44513.083518518513</v>
      </c>
      <c r="B16942" s="4" t="str">
        <f>HYPERLINK("https://twitter.com/petrogustavo","@petrogustavo")</f>
        <v>@petrogustavo</v>
      </c>
      <c r="C16942" s="5" t="s">
        <v>16</v>
      </c>
      <c r="D16942" s="5" t="s">
        <v>16308</v>
      </c>
      <c r="E16942" s="6" t="str">
        <f>HYPERLINK("https://twitter.com/petrogustavo/status/1459257255606595590","1459257255606595590")</f>
        <v>1459257255606595590</v>
      </c>
      <c r="F16942" s="7" t="s">
        <v>17</v>
      </c>
      <c r="G16942" s="7">
        <v>4399820</v>
      </c>
      <c r="H16942" s="7">
        <v>2573</v>
      </c>
      <c r="I16942" s="7">
        <v>66</v>
      </c>
      <c r="J16942" s="7">
        <v>135</v>
      </c>
      <c r="K16942" s="7" t="s">
        <v>18</v>
      </c>
      <c r="L16942" s="8">
        <v>39987.315405092595</v>
      </c>
      <c r="M16942" s="9" t="s">
        <v>19</v>
      </c>
      <c r="N16942" s="9" t="s">
        <v>20</v>
      </c>
      <c r="O16942" s="6" t="str">
        <f>HYPERLINK("https://pbs.twimg.com/profile_images/962471262747529216/Uo8lOkRJ_normal.jpg","View")</f>
        <v>View</v>
      </c>
      <c r="P16942" s="7"/>
    </row>
    <row r="16943" spans="1:16">
      <c r="A16943" s="3">
        <v>44513.101655092592</v>
      </c>
      <c r="B16943" s="4" t="str">
        <f>HYPERLINK("https://twitter.com/petrogustavo","@petrogustavo")</f>
        <v>@petrogustavo</v>
      </c>
      <c r="C16943" s="5" t="s">
        <v>16</v>
      </c>
      <c r="D16943" s="5" t="s">
        <v>16309</v>
      </c>
      <c r="E16943" s="6" t="str">
        <f>HYPERLINK("https://twitter.com/petrogustavo/status/1459263831545417733","1459263831545417733")</f>
        <v>1459263831545417733</v>
      </c>
      <c r="F16943" s="7" t="s">
        <v>17</v>
      </c>
      <c r="G16943" s="7">
        <v>4399815</v>
      </c>
      <c r="H16943" s="7">
        <v>2573</v>
      </c>
      <c r="I16943" s="7">
        <v>89</v>
      </c>
      <c r="J16943" s="7">
        <v>392</v>
      </c>
      <c r="K16943" s="7" t="s">
        <v>18</v>
      </c>
      <c r="L16943" s="8">
        <v>39987.315405092595</v>
      </c>
      <c r="M16943" s="9" t="s">
        <v>19</v>
      </c>
      <c r="N16943" s="9" t="s">
        <v>20</v>
      </c>
      <c r="O16943" s="6" t="str">
        <f>HYPERLINK("https://pbs.twimg.com/profile_images/962471262747529216/Uo8lOkRJ_normal.jpg","View")</f>
        <v>View</v>
      </c>
      <c r="P16943" s="7"/>
    </row>
    <row r="16944" spans="1:16">
      <c r="A16944" s="3">
        <v>44513.734606481477</v>
      </c>
      <c r="B16944" s="4" t="str">
        <f>HYPERLINK("https://twitter.com/petrogustavo","@petrogustavo")</f>
        <v>@petrogustavo</v>
      </c>
      <c r="C16944" s="5" t="s">
        <v>16</v>
      </c>
      <c r="D16944" s="5" t="s">
        <v>16310</v>
      </c>
      <c r="E16944" s="6" t="str">
        <f>HYPERLINK("https://twitter.com/petrogustavo/status/1459493201937637385","1459493201937637385")</f>
        <v>1459493201937637385</v>
      </c>
      <c r="F16944" s="7" t="s">
        <v>17</v>
      </c>
      <c r="G16944" s="7">
        <v>4400187</v>
      </c>
      <c r="H16944" s="7">
        <v>2573</v>
      </c>
      <c r="I16944" s="7">
        <v>263</v>
      </c>
      <c r="J16944" s="7">
        <v>0</v>
      </c>
      <c r="K16944" s="7" t="s">
        <v>18</v>
      </c>
      <c r="L16944" s="8">
        <v>39987.315405092595</v>
      </c>
      <c r="M16944" s="9" t="s">
        <v>19</v>
      </c>
      <c r="N16944" s="9" t="s">
        <v>20</v>
      </c>
      <c r="O16944" s="6" t="str">
        <f>HYPERLINK("https://pbs.twimg.com/profile_images/962471262747529216/Uo8lOkRJ_normal.jpg","View")</f>
        <v>View</v>
      </c>
      <c r="P16944" s="7"/>
    </row>
    <row r="16945" spans="1:16">
      <c r="A16945" s="3">
        <v>44513.738113425927</v>
      </c>
      <c r="B16945" s="4" t="str">
        <f>HYPERLINK("https://twitter.com/petrogustavo","@petrogustavo")</f>
        <v>@petrogustavo</v>
      </c>
      <c r="C16945" s="5" t="s">
        <v>16</v>
      </c>
      <c r="D16945" s="5" t="s">
        <v>16311</v>
      </c>
      <c r="E16945" s="6" t="str">
        <f>HYPERLINK("https://twitter.com/petrogustavo/status/1459494474636267528","1459494474636267528")</f>
        <v>1459494474636267528</v>
      </c>
      <c r="F16945" s="7" t="s">
        <v>17</v>
      </c>
      <c r="G16945" s="7">
        <v>4400187</v>
      </c>
      <c r="H16945" s="7">
        <v>2573</v>
      </c>
      <c r="I16945" s="7">
        <v>161</v>
      </c>
      <c r="J16945" s="7">
        <v>542</v>
      </c>
      <c r="K16945" s="7" t="s">
        <v>18</v>
      </c>
      <c r="L16945" s="8">
        <v>39987.315405092595</v>
      </c>
      <c r="M16945" s="9" t="s">
        <v>19</v>
      </c>
      <c r="N16945" s="9" t="s">
        <v>20</v>
      </c>
      <c r="O16945" s="6" t="str">
        <f>HYPERLINK("https://pbs.twimg.com/profile_images/962471262747529216/Uo8lOkRJ_normal.jpg","View")</f>
        <v>View</v>
      </c>
      <c r="P16945" s="7"/>
    </row>
    <row r="16946" spans="1:16">
      <c r="A16946" s="3">
        <v>44513.743125000001</v>
      </c>
      <c r="B16946" s="4" t="str">
        <f>HYPERLINK("https://twitter.com/petrogustavo","@petrogustavo")</f>
        <v>@petrogustavo</v>
      </c>
      <c r="C16946" s="5" t="s">
        <v>16</v>
      </c>
      <c r="D16946" s="5" t="s">
        <v>16312</v>
      </c>
      <c r="E16946" s="6" t="str">
        <f>HYPERLINK("https://twitter.com/petrogustavo/status/1459496291407478788","1459496291407478788")</f>
        <v>1459496291407478788</v>
      </c>
      <c r="F16946" s="7" t="s">
        <v>17</v>
      </c>
      <c r="G16946" s="7">
        <v>4400187</v>
      </c>
      <c r="H16946" s="7">
        <v>2573</v>
      </c>
      <c r="I16946" s="7">
        <v>40</v>
      </c>
      <c r="J16946" s="7">
        <v>143</v>
      </c>
      <c r="K16946" s="7" t="s">
        <v>18</v>
      </c>
      <c r="L16946" s="8">
        <v>39987.315405092595</v>
      </c>
      <c r="M16946" s="9" t="s">
        <v>19</v>
      </c>
      <c r="N16946" s="9" t="s">
        <v>20</v>
      </c>
      <c r="O16946" s="6" t="str">
        <f>HYPERLINK("https://pbs.twimg.com/profile_images/962471262747529216/Uo8lOkRJ_normal.jpg","View")</f>
        <v>View</v>
      </c>
      <c r="P16946" s="7"/>
    </row>
    <row r="16947" spans="1:16">
      <c r="A16947" s="3">
        <v>44513.749652777777</v>
      </c>
      <c r="B16947" s="4" t="str">
        <f>HYPERLINK("https://twitter.com/petrogustavo","@petrogustavo")</f>
        <v>@petrogustavo</v>
      </c>
      <c r="C16947" s="5" t="s">
        <v>16</v>
      </c>
      <c r="D16947" s="5" t="s">
        <v>16313</v>
      </c>
      <c r="E16947" s="6" t="str">
        <f>HYPERLINK("https://twitter.com/petrogustavo/status/1459498657179447299","1459498657179447299")</f>
        <v>1459498657179447299</v>
      </c>
      <c r="F16947" s="7" t="s">
        <v>17</v>
      </c>
      <c r="G16947" s="7">
        <v>4400187</v>
      </c>
      <c r="H16947" s="7">
        <v>2573</v>
      </c>
      <c r="I16947" s="7">
        <v>63</v>
      </c>
      <c r="J16947" s="7">
        <v>166</v>
      </c>
      <c r="K16947" s="7" t="s">
        <v>18</v>
      </c>
      <c r="L16947" s="8">
        <v>39987.315405092595</v>
      </c>
      <c r="M16947" s="9" t="s">
        <v>19</v>
      </c>
      <c r="N16947" s="9" t="s">
        <v>20</v>
      </c>
      <c r="O16947" s="6" t="str">
        <f>HYPERLINK("https://pbs.twimg.com/profile_images/962471262747529216/Uo8lOkRJ_normal.jpg","View")</f>
        <v>View</v>
      </c>
      <c r="P16947" s="7"/>
    </row>
    <row r="16948" spans="1:16">
      <c r="A16948" s="3">
        <v>44513.792847222227</v>
      </c>
      <c r="B16948" s="4" t="str">
        <f>HYPERLINK("https://twitter.com/petrogustavo","@petrogustavo")</f>
        <v>@petrogustavo</v>
      </c>
      <c r="C16948" s="5" t="s">
        <v>16</v>
      </c>
      <c r="D16948" s="5" t="s">
        <v>16314</v>
      </c>
      <c r="E16948" s="6" t="str">
        <f>HYPERLINK("https://twitter.com/petrogustavo/status/1459514311018229767","1459514311018229767")</f>
        <v>1459514311018229767</v>
      </c>
      <c r="F16948" s="7" t="s">
        <v>17</v>
      </c>
      <c r="G16948" s="7">
        <v>4400220</v>
      </c>
      <c r="H16948" s="7">
        <v>2573</v>
      </c>
      <c r="I16948" s="7">
        <v>18</v>
      </c>
      <c r="J16948" s="7">
        <v>59</v>
      </c>
      <c r="K16948" s="7" t="s">
        <v>18</v>
      </c>
      <c r="L16948" s="8">
        <v>39987.315405092595</v>
      </c>
      <c r="M16948" s="9" t="s">
        <v>19</v>
      </c>
      <c r="N16948" s="9" t="s">
        <v>20</v>
      </c>
      <c r="O16948" s="6" t="str">
        <f>HYPERLINK("https://pbs.twimg.com/profile_images/962471262747529216/Uo8lOkRJ_normal.jpg","View")</f>
        <v>View</v>
      </c>
      <c r="P16948" s="7"/>
    </row>
    <row r="16949" spans="1:16">
      <c r="A16949" s="3">
        <v>44513.792858796296</v>
      </c>
      <c r="B16949" s="4" t="str">
        <f>HYPERLINK("https://twitter.com/petrogustavo","@petrogustavo")</f>
        <v>@petrogustavo</v>
      </c>
      <c r="C16949" s="5" t="s">
        <v>16</v>
      </c>
      <c r="D16949" s="5" t="s">
        <v>16315</v>
      </c>
      <c r="E16949" s="6" t="str">
        <f>HYPERLINK("https://twitter.com/petrogustavo/status/1459514312440041474","1459514312440041474")</f>
        <v>1459514312440041474</v>
      </c>
      <c r="F16949" s="7" t="s">
        <v>17</v>
      </c>
      <c r="G16949" s="7">
        <v>4400220</v>
      </c>
      <c r="H16949" s="7">
        <v>2573</v>
      </c>
      <c r="I16949" s="7">
        <v>8</v>
      </c>
      <c r="J16949" s="7">
        <v>34</v>
      </c>
      <c r="K16949" s="7" t="s">
        <v>18</v>
      </c>
      <c r="L16949" s="8">
        <v>39987.315405092595</v>
      </c>
      <c r="M16949" s="9" t="s">
        <v>19</v>
      </c>
      <c r="N16949" s="9" t="s">
        <v>20</v>
      </c>
      <c r="O16949" s="6" t="str">
        <f>HYPERLINK("https://pbs.twimg.com/profile_images/962471262747529216/Uo8lOkRJ_normal.jpg","View")</f>
        <v>View</v>
      </c>
      <c r="P16949" s="7"/>
    </row>
    <row r="16950" spans="1:16">
      <c r="A16950" s="3">
        <v>44513.830648148149</v>
      </c>
      <c r="B16950" s="4" t="str">
        <f>HYPERLINK("https://twitter.com/petrogustavo","@petrogustavo")</f>
        <v>@petrogustavo</v>
      </c>
      <c r="C16950" s="5" t="s">
        <v>16</v>
      </c>
      <c r="D16950" s="5" t="s">
        <v>16316</v>
      </c>
      <c r="E16950" s="6" t="str">
        <f>HYPERLINK("https://twitter.com/petrogustavo/status/1459528006033104900","1459528006033104900")</f>
        <v>1459528006033104900</v>
      </c>
      <c r="F16950" s="7" t="s">
        <v>17</v>
      </c>
      <c r="G16950" s="7">
        <v>4400207</v>
      </c>
      <c r="H16950" s="7">
        <v>2573</v>
      </c>
      <c r="I16950" s="7">
        <v>77</v>
      </c>
      <c r="J16950" s="7">
        <v>274</v>
      </c>
      <c r="K16950" s="7" t="s">
        <v>18</v>
      </c>
      <c r="L16950" s="8">
        <v>39987.315405092595</v>
      </c>
      <c r="M16950" s="9" t="s">
        <v>19</v>
      </c>
      <c r="N16950" s="9" t="s">
        <v>20</v>
      </c>
      <c r="O16950" s="6" t="str">
        <f>HYPERLINK("https://pbs.twimg.com/profile_images/962471262747529216/Uo8lOkRJ_normal.jpg","View")</f>
        <v>View</v>
      </c>
      <c r="P16950" s="7"/>
    </row>
    <row r="16951" spans="1:16">
      <c r="A16951" s="3">
        <v>44513.831620370373</v>
      </c>
      <c r="B16951" s="4" t="str">
        <f>HYPERLINK("https://twitter.com/petrogustavo","@petrogustavo")</f>
        <v>@petrogustavo</v>
      </c>
      <c r="C16951" s="5" t="s">
        <v>16</v>
      </c>
      <c r="D16951" s="5" t="s">
        <v>16317</v>
      </c>
      <c r="E16951" s="6" t="str">
        <f>HYPERLINK("https://twitter.com/petrogustavo/status/1459528359906627584","1459528359906627584")</f>
        <v>1459528359906627584</v>
      </c>
      <c r="F16951" s="7" t="s">
        <v>17</v>
      </c>
      <c r="G16951" s="7">
        <v>4400207</v>
      </c>
      <c r="H16951" s="7">
        <v>2573</v>
      </c>
      <c r="I16951" s="7">
        <v>49</v>
      </c>
      <c r="J16951" s="7">
        <v>384</v>
      </c>
      <c r="K16951" s="7" t="s">
        <v>18</v>
      </c>
      <c r="L16951" s="8">
        <v>39987.315405092595</v>
      </c>
      <c r="M16951" s="9" t="s">
        <v>19</v>
      </c>
      <c r="N16951" s="9" t="s">
        <v>20</v>
      </c>
      <c r="O16951" s="6" t="str">
        <f>HYPERLINK("https://pbs.twimg.com/profile_images/962471262747529216/Uo8lOkRJ_normal.jpg","View")</f>
        <v>View</v>
      </c>
      <c r="P16951" s="7"/>
    </row>
    <row r="16952" spans="1:16">
      <c r="A16952" s="3">
        <v>44513.831782407404</v>
      </c>
      <c r="B16952" s="4" t="str">
        <f>HYPERLINK("https://twitter.com/petrogustavo","@petrogustavo")</f>
        <v>@petrogustavo</v>
      </c>
      <c r="C16952" s="5" t="s">
        <v>16</v>
      </c>
      <c r="D16952" s="5" t="s">
        <v>16318</v>
      </c>
      <c r="E16952" s="6" t="str">
        <f>HYPERLINK("https://twitter.com/petrogustavo/status/1459528420459692032","1459528420459692032")</f>
        <v>1459528420459692032</v>
      </c>
      <c r="F16952" s="7" t="s">
        <v>17</v>
      </c>
      <c r="G16952" s="7">
        <v>4400207</v>
      </c>
      <c r="H16952" s="7">
        <v>2573</v>
      </c>
      <c r="I16952" s="7">
        <v>77</v>
      </c>
      <c r="J16952" s="7">
        <v>0</v>
      </c>
      <c r="K16952" s="7" t="s">
        <v>18</v>
      </c>
      <c r="L16952" s="8">
        <v>39987.315405092595</v>
      </c>
      <c r="M16952" s="9" t="s">
        <v>19</v>
      </c>
      <c r="N16952" s="9" t="s">
        <v>20</v>
      </c>
      <c r="O16952" s="6" t="str">
        <f>HYPERLINK("https://pbs.twimg.com/profile_images/962471262747529216/Uo8lOkRJ_normal.jpg","View")</f>
        <v>View</v>
      </c>
      <c r="P16952" s="7"/>
    </row>
    <row r="16953" spans="1:16">
      <c r="A16953" s="3">
        <v>44514.024004629631</v>
      </c>
      <c r="B16953" s="4" t="str">
        <f>HYPERLINK("https://twitter.com/petrogustavo","@petrogustavo")</f>
        <v>@petrogustavo</v>
      </c>
      <c r="C16953" s="5" t="s">
        <v>16</v>
      </c>
      <c r="D16953" s="5" t="s">
        <v>16319</v>
      </c>
      <c r="E16953" s="6" t="str">
        <f>HYPERLINK("https://twitter.com/petrogustavo/status/1459598077371764744","1459598077371764744")</f>
        <v>1459598077371764744</v>
      </c>
      <c r="F16953" s="7" t="s">
        <v>17</v>
      </c>
      <c r="G16953" s="7">
        <v>4400351</v>
      </c>
      <c r="H16953" s="7">
        <v>2573</v>
      </c>
      <c r="I16953" s="7">
        <v>428</v>
      </c>
      <c r="J16953" s="7">
        <v>1304</v>
      </c>
      <c r="K16953" s="7" t="s">
        <v>18</v>
      </c>
      <c r="L16953" s="8">
        <v>39987.315405092595</v>
      </c>
      <c r="M16953" s="9" t="s">
        <v>19</v>
      </c>
      <c r="N16953" s="9" t="s">
        <v>20</v>
      </c>
      <c r="O16953" s="6" t="str">
        <f>HYPERLINK("https://pbs.twimg.com/profile_images/962471262747529216/Uo8lOkRJ_normal.jpg","View")</f>
        <v>View</v>
      </c>
      <c r="P16953" s="7"/>
    </row>
    <row r="16954" spans="1:16">
      <c r="A16954" s="3">
        <v>44514.096666666665</v>
      </c>
      <c r="B16954" s="4" t="str">
        <f>HYPERLINK("https://twitter.com/petrogustavo","@petrogustavo")</f>
        <v>@petrogustavo</v>
      </c>
      <c r="C16954" s="5" t="s">
        <v>16</v>
      </c>
      <c r="D16954" s="5" t="s">
        <v>16320</v>
      </c>
      <c r="E16954" s="6" t="str">
        <f>HYPERLINK("https://twitter.com/petrogustavo/status/1459624410667757571","1459624410667757571")</f>
        <v>1459624410667757571</v>
      </c>
      <c r="F16954" s="7" t="s">
        <v>17</v>
      </c>
      <c r="G16954" s="7">
        <v>4400380</v>
      </c>
      <c r="H16954" s="7">
        <v>2573</v>
      </c>
      <c r="I16954" s="7">
        <v>130</v>
      </c>
      <c r="J16954" s="7">
        <v>310</v>
      </c>
      <c r="K16954" s="7" t="s">
        <v>18</v>
      </c>
      <c r="L16954" s="8">
        <v>39987.315405092595</v>
      </c>
      <c r="M16954" s="9" t="s">
        <v>19</v>
      </c>
      <c r="N16954" s="9" t="s">
        <v>20</v>
      </c>
      <c r="O16954" s="6" t="str">
        <f>HYPERLINK("https://pbs.twimg.com/profile_images/962471262747529216/Uo8lOkRJ_normal.jpg","View")</f>
        <v>View</v>
      </c>
      <c r="P16954" s="7"/>
    </row>
    <row r="16955" spans="1:16">
      <c r="A16955" s="3">
        <v>44514.124942129631</v>
      </c>
      <c r="B16955" s="4" t="str">
        <f>HYPERLINK("https://twitter.com/petrogustavo","@petrogustavo")</f>
        <v>@petrogustavo</v>
      </c>
      <c r="C16955" s="5" t="s">
        <v>16</v>
      </c>
      <c r="D16955" s="5" t="s">
        <v>16321</v>
      </c>
      <c r="E16955" s="6" t="str">
        <f>HYPERLINK("https://twitter.com/petrogustavo/status/1459634658409431040","1459634658409431040")</f>
        <v>1459634658409431040</v>
      </c>
      <c r="F16955" s="7" t="s">
        <v>17</v>
      </c>
      <c r="G16955" s="7">
        <v>4400398</v>
      </c>
      <c r="H16955" s="7">
        <v>2573</v>
      </c>
      <c r="I16955" s="7">
        <v>11</v>
      </c>
      <c r="J16955" s="7">
        <v>0</v>
      </c>
      <c r="K16955" s="7" t="s">
        <v>18</v>
      </c>
      <c r="L16955" s="8">
        <v>39987.315405092595</v>
      </c>
      <c r="M16955" s="9" t="s">
        <v>19</v>
      </c>
      <c r="N16955" s="9" t="s">
        <v>20</v>
      </c>
      <c r="O16955" s="6" t="str">
        <f>HYPERLINK("https://pbs.twimg.com/profile_images/962471262747529216/Uo8lOkRJ_normal.jpg","View")</f>
        <v>View</v>
      </c>
      <c r="P16955" s="7"/>
    </row>
    <row r="16956" spans="1:16">
      <c r="A16956" s="3">
        <v>44514.136331018519</v>
      </c>
      <c r="B16956" s="4" t="str">
        <f>HYPERLINK("https://twitter.com/petrogustavo","@petrogustavo")</f>
        <v>@petrogustavo</v>
      </c>
      <c r="C16956" s="5" t="s">
        <v>16</v>
      </c>
      <c r="D16956" s="5" t="s">
        <v>16322</v>
      </c>
      <c r="E16956" s="6" t="str">
        <f>HYPERLINK("https://twitter.com/petrogustavo/status/1459638782454636552","1459638782454636552")</f>
        <v>1459638782454636552</v>
      </c>
      <c r="F16956" s="7" t="s">
        <v>17</v>
      </c>
      <c r="G16956" s="7">
        <v>4400414</v>
      </c>
      <c r="H16956" s="7">
        <v>2573</v>
      </c>
      <c r="I16956" s="7">
        <v>96</v>
      </c>
      <c r="J16956" s="7">
        <v>0</v>
      </c>
      <c r="K16956" s="7" t="s">
        <v>18</v>
      </c>
      <c r="L16956" s="8">
        <v>39987.315405092595</v>
      </c>
      <c r="M16956" s="9" t="s">
        <v>19</v>
      </c>
      <c r="N16956" s="9" t="s">
        <v>20</v>
      </c>
      <c r="O16956" s="6" t="str">
        <f>HYPERLINK("https://pbs.twimg.com/profile_images/962471262747529216/Uo8lOkRJ_normal.jpg","View")</f>
        <v>View</v>
      </c>
      <c r="P16956" s="7"/>
    </row>
    <row r="16957" spans="1:16">
      <c r="A16957" s="3">
        <v>44514.152118055557</v>
      </c>
      <c r="B16957" s="4" t="str">
        <f>HYPERLINK("https://twitter.com/petrogustavo","@petrogustavo")</f>
        <v>@petrogustavo</v>
      </c>
      <c r="C16957" s="5" t="s">
        <v>16</v>
      </c>
      <c r="D16957" s="5" t="s">
        <v>16323</v>
      </c>
      <c r="E16957" s="6" t="str">
        <f>HYPERLINK("https://twitter.com/petrogustavo/status/1459644505666248704","1459644505666248704")</f>
        <v>1459644505666248704</v>
      </c>
      <c r="F16957" s="7" t="s">
        <v>17</v>
      </c>
      <c r="G16957" s="7">
        <v>4400413</v>
      </c>
      <c r="H16957" s="7">
        <v>2572</v>
      </c>
      <c r="I16957" s="7">
        <v>97</v>
      </c>
      <c r="J16957" s="7">
        <v>234</v>
      </c>
      <c r="K16957" s="7" t="s">
        <v>18</v>
      </c>
      <c r="L16957" s="8">
        <v>39987.315405092595</v>
      </c>
      <c r="M16957" s="9" t="s">
        <v>19</v>
      </c>
      <c r="N16957" s="9" t="s">
        <v>20</v>
      </c>
      <c r="O16957" s="6" t="str">
        <f>HYPERLINK("https://pbs.twimg.com/profile_images/962471262747529216/Uo8lOkRJ_normal.jpg","View")</f>
        <v>View</v>
      </c>
      <c r="P16957" s="7"/>
    </row>
    <row r="16958" spans="1:16">
      <c r="A16958" s="3">
        <v>44514.152118055557</v>
      </c>
      <c r="B16958" s="4" t="str">
        <f>HYPERLINK("https://twitter.com/petrogustavo","@petrogustavo")</f>
        <v>@petrogustavo</v>
      </c>
      <c r="C16958" s="5" t="s">
        <v>16</v>
      </c>
      <c r="D16958" s="5" t="s">
        <v>16324</v>
      </c>
      <c r="E16958" s="6" t="str">
        <f>HYPERLINK("https://twitter.com/petrogustavo/status/1459644506723307521","1459644506723307521")</f>
        <v>1459644506723307521</v>
      </c>
      <c r="F16958" s="7" t="s">
        <v>17</v>
      </c>
      <c r="G16958" s="7">
        <v>4400413</v>
      </c>
      <c r="H16958" s="7">
        <v>2572</v>
      </c>
      <c r="I16958" s="7">
        <v>7</v>
      </c>
      <c r="J16958" s="7">
        <v>30</v>
      </c>
      <c r="K16958" s="7" t="s">
        <v>18</v>
      </c>
      <c r="L16958" s="8">
        <v>39987.315405092595</v>
      </c>
      <c r="M16958" s="9" t="s">
        <v>19</v>
      </c>
      <c r="N16958" s="9" t="s">
        <v>20</v>
      </c>
      <c r="O16958" s="6" t="str">
        <f>HYPERLINK("https://pbs.twimg.com/profile_images/962471262747529216/Uo8lOkRJ_normal.jpg","View")</f>
        <v>View</v>
      </c>
      <c r="P16958" s="7"/>
    </row>
    <row r="16959" spans="1:16">
      <c r="A16959" s="3">
        <v>44514.152129629627</v>
      </c>
      <c r="B16959" s="4" t="str">
        <f>HYPERLINK("https://twitter.com/petrogustavo","@petrogustavo")</f>
        <v>@petrogustavo</v>
      </c>
      <c r="C16959" s="5" t="s">
        <v>16</v>
      </c>
      <c r="D16959" s="5" t="s">
        <v>16325</v>
      </c>
      <c r="E16959" s="6" t="str">
        <f>HYPERLINK("https://twitter.com/petrogustavo/status/1459644509088894978","1459644509088894978")</f>
        <v>1459644509088894978</v>
      </c>
      <c r="F16959" s="7" t="s">
        <v>17</v>
      </c>
      <c r="G16959" s="7">
        <v>4400413</v>
      </c>
      <c r="H16959" s="7">
        <v>2572</v>
      </c>
      <c r="I16959" s="7">
        <v>36</v>
      </c>
      <c r="J16959" s="7">
        <v>138</v>
      </c>
      <c r="K16959" s="7" t="s">
        <v>18</v>
      </c>
      <c r="L16959" s="8">
        <v>39987.315405092595</v>
      </c>
      <c r="M16959" s="9" t="s">
        <v>19</v>
      </c>
      <c r="N16959" s="9" t="s">
        <v>20</v>
      </c>
      <c r="O16959" s="6" t="str">
        <f>HYPERLINK("https://pbs.twimg.com/profile_images/962471262747529216/Uo8lOkRJ_normal.jpg","View")</f>
        <v>View</v>
      </c>
      <c r="P16959" s="7"/>
    </row>
    <row r="16960" spans="1:16">
      <c r="A16960" s="3">
        <v>44514.152129629627</v>
      </c>
      <c r="B16960" s="4" t="str">
        <f>HYPERLINK("https://twitter.com/petrogustavo","@petrogustavo")</f>
        <v>@petrogustavo</v>
      </c>
      <c r="C16960" s="5" t="s">
        <v>16</v>
      </c>
      <c r="D16960" s="5" t="s">
        <v>16326</v>
      </c>
      <c r="E16960" s="6" t="str">
        <f>HYPERLINK("https://twitter.com/petrogustavo/status/1459644510322008067","1459644510322008067")</f>
        <v>1459644510322008067</v>
      </c>
      <c r="F16960" s="7" t="s">
        <v>17</v>
      </c>
      <c r="G16960" s="7">
        <v>4400413</v>
      </c>
      <c r="H16960" s="7">
        <v>2572</v>
      </c>
      <c r="I16960" s="7">
        <v>39</v>
      </c>
      <c r="J16960" s="7">
        <v>155</v>
      </c>
      <c r="K16960" s="7" t="s">
        <v>18</v>
      </c>
      <c r="L16960" s="8">
        <v>39987.315405092595</v>
      </c>
      <c r="M16960" s="9" t="s">
        <v>19</v>
      </c>
      <c r="N16960" s="9" t="s">
        <v>20</v>
      </c>
      <c r="O16960" s="6" t="str">
        <f>HYPERLINK("https://pbs.twimg.com/profile_images/962471262747529216/Uo8lOkRJ_normal.jpg","View")</f>
        <v>View</v>
      </c>
      <c r="P16960" s="7"/>
    </row>
    <row r="16961" spans="1:16">
      <c r="A16961" s="3">
        <v>44514.217939814815</v>
      </c>
      <c r="B16961" s="4" t="str">
        <f>HYPERLINK("https://twitter.com/petrogustavo","@petrogustavo")</f>
        <v>@petrogustavo</v>
      </c>
      <c r="C16961" s="5" t="s">
        <v>16</v>
      </c>
      <c r="D16961" s="5" t="s">
        <v>16327</v>
      </c>
      <c r="E16961" s="6" t="str">
        <f>HYPERLINK("https://twitter.com/petrogustavo/status/1459668357309992963","1459668357309992963")</f>
        <v>1459668357309992963</v>
      </c>
      <c r="F16961" s="7" t="s">
        <v>17</v>
      </c>
      <c r="G16961" s="7">
        <v>4400455</v>
      </c>
      <c r="H16961" s="7">
        <v>2572</v>
      </c>
      <c r="I16961" s="7">
        <v>99</v>
      </c>
      <c r="J16961" s="7">
        <v>278</v>
      </c>
      <c r="K16961" s="7" t="s">
        <v>18</v>
      </c>
      <c r="L16961" s="8">
        <v>39987.315405092595</v>
      </c>
      <c r="M16961" s="9" t="s">
        <v>19</v>
      </c>
      <c r="N16961" s="9" t="s">
        <v>20</v>
      </c>
      <c r="O16961" s="6" t="str">
        <f>HYPERLINK("https://pbs.twimg.com/profile_images/962471262747529216/Uo8lOkRJ_normal.jpg","View")</f>
        <v>View</v>
      </c>
      <c r="P16961" s="7"/>
    </row>
    <row r="16962" spans="1:16">
      <c r="A16962" s="3">
        <v>44514.226458333331</v>
      </c>
      <c r="B16962" s="4" t="str">
        <f>HYPERLINK("https://twitter.com/petrogustavo","@petrogustavo")</f>
        <v>@petrogustavo</v>
      </c>
      <c r="C16962" s="5" t="s">
        <v>16</v>
      </c>
      <c r="D16962" s="5" t="s">
        <v>16328</v>
      </c>
      <c r="E16962" s="6" t="str">
        <f>HYPERLINK("https://twitter.com/petrogustavo/status/1459671446238736391","1459671446238736391")</f>
        <v>1459671446238736391</v>
      </c>
      <c r="F16962" s="7" t="s">
        <v>17</v>
      </c>
      <c r="G16962" s="7">
        <v>4400455</v>
      </c>
      <c r="H16962" s="7">
        <v>2572</v>
      </c>
      <c r="I16962" s="7">
        <v>40</v>
      </c>
      <c r="J16962" s="7">
        <v>122</v>
      </c>
      <c r="K16962" s="7" t="s">
        <v>18</v>
      </c>
      <c r="L16962" s="8">
        <v>39987.315405092595</v>
      </c>
      <c r="M16962" s="9" t="s">
        <v>19</v>
      </c>
      <c r="N16962" s="9" t="s">
        <v>20</v>
      </c>
      <c r="O16962" s="6" t="str">
        <f>HYPERLINK("https://pbs.twimg.com/profile_images/962471262747529216/Uo8lOkRJ_normal.jpg","View")</f>
        <v>View</v>
      </c>
      <c r="P16962" s="7"/>
    </row>
    <row r="16963" spans="1:16">
      <c r="A16963" s="3">
        <v>44514.758194444439</v>
      </c>
      <c r="B16963" s="4" t="str">
        <f>HYPERLINK("https://twitter.com/petrogustavo","@petrogustavo")</f>
        <v>@petrogustavo</v>
      </c>
      <c r="C16963" s="5" t="s">
        <v>16</v>
      </c>
      <c r="D16963" s="5" t="s">
        <v>16329</v>
      </c>
      <c r="E16963" s="6" t="str">
        <f>HYPERLINK("https://twitter.com/petrogustavo/status/1459864139111747586","1459864139111747586")</f>
        <v>1459864139111747586</v>
      </c>
      <c r="F16963" s="7" t="s">
        <v>17</v>
      </c>
      <c r="G16963" s="7">
        <v>4400752</v>
      </c>
      <c r="H16963" s="7">
        <v>2572</v>
      </c>
      <c r="I16963" s="7">
        <v>83</v>
      </c>
      <c r="J16963" s="7">
        <v>203</v>
      </c>
      <c r="K16963" s="7" t="s">
        <v>18</v>
      </c>
      <c r="L16963" s="8">
        <v>39987.315405092595</v>
      </c>
      <c r="M16963" s="9" t="s">
        <v>19</v>
      </c>
      <c r="N16963" s="9" t="s">
        <v>20</v>
      </c>
      <c r="O16963" s="6" t="str">
        <f>HYPERLINK("https://pbs.twimg.com/profile_images/962471262747529216/Uo8lOkRJ_normal.jpg","View")</f>
        <v>View</v>
      </c>
      <c r="P16963" s="7"/>
    </row>
    <row r="16964" spans="1:16">
      <c r="A16964" s="3">
        <v>44514.758194444439</v>
      </c>
      <c r="B16964" s="4" t="str">
        <f>HYPERLINK("https://twitter.com/petrogustavo","@petrogustavo")</f>
        <v>@petrogustavo</v>
      </c>
      <c r="C16964" s="5" t="s">
        <v>16</v>
      </c>
      <c r="D16964" s="5" t="s">
        <v>16330</v>
      </c>
      <c r="E16964" s="6" t="str">
        <f>HYPERLINK("https://twitter.com/petrogustavo/status/1459864140630179844","1459864140630179844")</f>
        <v>1459864140630179844</v>
      </c>
      <c r="F16964" s="7" t="s">
        <v>17</v>
      </c>
      <c r="G16964" s="7">
        <v>4400752</v>
      </c>
      <c r="H16964" s="7">
        <v>2572</v>
      </c>
      <c r="I16964" s="7">
        <v>7</v>
      </c>
      <c r="J16964" s="7">
        <v>20</v>
      </c>
      <c r="K16964" s="7" t="s">
        <v>18</v>
      </c>
      <c r="L16964" s="8">
        <v>39987.315405092595</v>
      </c>
      <c r="M16964" s="9" t="s">
        <v>19</v>
      </c>
      <c r="N16964" s="9" t="s">
        <v>20</v>
      </c>
      <c r="O16964" s="6" t="str">
        <f>HYPERLINK("https://pbs.twimg.com/profile_images/962471262747529216/Uo8lOkRJ_normal.jpg","View")</f>
        <v>View</v>
      </c>
      <c r="P16964" s="7"/>
    </row>
    <row r="16965" spans="1:16">
      <c r="A16965" s="3">
        <v>44514.758194444439</v>
      </c>
      <c r="B16965" s="4" t="str">
        <f>HYPERLINK("https://twitter.com/petrogustavo","@petrogustavo")</f>
        <v>@petrogustavo</v>
      </c>
      <c r="C16965" s="5" t="s">
        <v>16</v>
      </c>
      <c r="D16965" s="5" t="s">
        <v>16331</v>
      </c>
      <c r="E16965" s="6" t="str">
        <f>HYPERLINK("https://twitter.com/petrogustavo/status/1459864141632528387","1459864141632528387")</f>
        <v>1459864141632528387</v>
      </c>
      <c r="F16965" s="7" t="s">
        <v>17</v>
      </c>
      <c r="G16965" s="7">
        <v>4400752</v>
      </c>
      <c r="H16965" s="7">
        <v>2572</v>
      </c>
      <c r="I16965" s="7">
        <v>6</v>
      </c>
      <c r="J16965" s="7">
        <v>29</v>
      </c>
      <c r="K16965" s="7" t="s">
        <v>18</v>
      </c>
      <c r="L16965" s="8">
        <v>39987.315405092595</v>
      </c>
      <c r="M16965" s="9" t="s">
        <v>19</v>
      </c>
      <c r="N16965" s="9" t="s">
        <v>20</v>
      </c>
      <c r="O16965" s="6" t="str">
        <f>HYPERLINK("https://pbs.twimg.com/profile_images/962471262747529216/Uo8lOkRJ_normal.jpg","View")</f>
        <v>View</v>
      </c>
      <c r="P16965" s="7"/>
    </row>
    <row r="16966" spans="1:16">
      <c r="A16966" s="3">
        <v>44514.758206018523</v>
      </c>
      <c r="B16966" s="4" t="str">
        <f>HYPERLINK("https://twitter.com/petrogustavo","@petrogustavo")</f>
        <v>@petrogustavo</v>
      </c>
      <c r="C16966" s="5" t="s">
        <v>16</v>
      </c>
      <c r="D16966" s="5" t="s">
        <v>16332</v>
      </c>
      <c r="E16966" s="6" t="str">
        <f>HYPERLINK("https://twitter.com/petrogustavo/status/1459864142656032768","1459864142656032768")</f>
        <v>1459864142656032768</v>
      </c>
      <c r="F16966" s="7" t="s">
        <v>17</v>
      </c>
      <c r="G16966" s="7">
        <v>4400752</v>
      </c>
      <c r="H16966" s="7">
        <v>2572</v>
      </c>
      <c r="I16966" s="7">
        <v>30</v>
      </c>
      <c r="J16966" s="7">
        <v>134</v>
      </c>
      <c r="K16966" s="7" t="s">
        <v>18</v>
      </c>
      <c r="L16966" s="8">
        <v>39987.315405092595</v>
      </c>
      <c r="M16966" s="9" t="s">
        <v>19</v>
      </c>
      <c r="N16966" s="9" t="s">
        <v>20</v>
      </c>
      <c r="O16966" s="6" t="str">
        <f>HYPERLINK("https://pbs.twimg.com/profile_images/962471262747529216/Uo8lOkRJ_normal.jpg","View")</f>
        <v>View</v>
      </c>
      <c r="P16966" s="7"/>
    </row>
    <row r="16967" spans="1:16">
      <c r="A16967" s="3">
        <v>44514.758206018523</v>
      </c>
      <c r="B16967" s="4" t="str">
        <f>HYPERLINK("https://twitter.com/petrogustavo","@petrogustavo")</f>
        <v>@petrogustavo</v>
      </c>
      <c r="C16967" s="5" t="s">
        <v>16</v>
      </c>
      <c r="D16967" s="5" t="s">
        <v>16333</v>
      </c>
      <c r="E16967" s="6" t="str">
        <f>HYPERLINK("https://twitter.com/petrogustavo/status/1459864143624904707","1459864143624904707")</f>
        <v>1459864143624904707</v>
      </c>
      <c r="F16967" s="7" t="s">
        <v>17</v>
      </c>
      <c r="G16967" s="7">
        <v>4400752</v>
      </c>
      <c r="H16967" s="7">
        <v>2572</v>
      </c>
      <c r="I16967" s="7">
        <v>38</v>
      </c>
      <c r="J16967" s="7">
        <v>134</v>
      </c>
      <c r="K16967" s="7" t="s">
        <v>18</v>
      </c>
      <c r="L16967" s="8">
        <v>39987.315405092595</v>
      </c>
      <c r="M16967" s="9" t="s">
        <v>19</v>
      </c>
      <c r="N16967" s="9" t="s">
        <v>20</v>
      </c>
      <c r="O16967" s="6" t="str">
        <f>HYPERLINK("https://pbs.twimg.com/profile_images/962471262747529216/Uo8lOkRJ_normal.jpg","View")</f>
        <v>View</v>
      </c>
      <c r="P16967" s="7"/>
    </row>
    <row r="16968" spans="1:16">
      <c r="A16968" s="3">
        <v>44514.916134259256</v>
      </c>
      <c r="B16968" s="4" t="str">
        <f>HYPERLINK("https://twitter.com/petrogustavo","@petrogustavo")</f>
        <v>@petrogustavo</v>
      </c>
      <c r="C16968" s="5" t="s">
        <v>16</v>
      </c>
      <c r="D16968" s="5" t="s">
        <v>16334</v>
      </c>
      <c r="E16968" s="6" t="str">
        <f>HYPERLINK("https://twitter.com/petrogustavo/status/1459921374571552778","1459921374571552778")</f>
        <v>1459921374571552778</v>
      </c>
      <c r="F16968" s="7" t="s">
        <v>17</v>
      </c>
      <c r="G16968" s="7">
        <v>4400855</v>
      </c>
      <c r="H16968" s="7">
        <v>2572</v>
      </c>
      <c r="I16968" s="7">
        <v>57</v>
      </c>
      <c r="J16968" s="7">
        <v>207</v>
      </c>
      <c r="K16968" s="7" t="s">
        <v>18</v>
      </c>
      <c r="L16968" s="8">
        <v>39987.315405092595</v>
      </c>
      <c r="M16968" s="9" t="s">
        <v>19</v>
      </c>
      <c r="N16968" s="9" t="s">
        <v>20</v>
      </c>
      <c r="O16968" s="6" t="str">
        <f>HYPERLINK("https://pbs.twimg.com/profile_images/962471262747529216/Uo8lOkRJ_normal.jpg","View")</f>
        <v>View</v>
      </c>
      <c r="P16968" s="7"/>
    </row>
    <row r="16969" spans="1:16">
      <c r="A16969" s="3">
        <v>44514.923738425925</v>
      </c>
      <c r="B16969" s="4" t="str">
        <f>HYPERLINK("https://twitter.com/petrogustavo","@petrogustavo")</f>
        <v>@petrogustavo</v>
      </c>
      <c r="C16969" s="5" t="s">
        <v>16</v>
      </c>
      <c r="D16969" s="5" t="s">
        <v>16335</v>
      </c>
      <c r="E16969" s="6" t="str">
        <f>HYPERLINK("https://twitter.com/petrogustavo/status/1459924132125188117","1459924132125188117")</f>
        <v>1459924132125188117</v>
      </c>
      <c r="F16969" s="7" t="s">
        <v>17</v>
      </c>
      <c r="G16969" s="7">
        <v>4400874</v>
      </c>
      <c r="H16969" s="7">
        <v>2572</v>
      </c>
      <c r="I16969" s="7">
        <v>476</v>
      </c>
      <c r="J16969" s="7">
        <v>0</v>
      </c>
      <c r="K16969" s="7" t="s">
        <v>18</v>
      </c>
      <c r="L16969" s="8">
        <v>39987.315405092595</v>
      </c>
      <c r="M16969" s="9" t="s">
        <v>19</v>
      </c>
      <c r="N16969" s="9" t="s">
        <v>20</v>
      </c>
      <c r="O16969" s="6" t="str">
        <f>HYPERLINK("https://pbs.twimg.com/profile_images/962471262747529216/Uo8lOkRJ_normal.jpg","View")</f>
        <v>View</v>
      </c>
      <c r="P16969" s="7"/>
    </row>
    <row r="16970" spans="1:16">
      <c r="A16970" s="3">
        <v>44514.971909722226</v>
      </c>
      <c r="B16970" s="4" t="str">
        <f>HYPERLINK("https://twitter.com/petrogustavo","@petrogustavo")</f>
        <v>@petrogustavo</v>
      </c>
      <c r="C16970" s="5" t="s">
        <v>16</v>
      </c>
      <c r="D16970" s="5" t="s">
        <v>16336</v>
      </c>
      <c r="E16970" s="6" t="str">
        <f>HYPERLINK("https://twitter.com/petrogustavo/status/1459941587811811329","1459941587811811329")</f>
        <v>1459941587811811329</v>
      </c>
      <c r="F16970" s="7" t="s">
        <v>21</v>
      </c>
      <c r="G16970" s="7">
        <v>4400907</v>
      </c>
      <c r="H16970" s="7">
        <v>2572</v>
      </c>
      <c r="I16970" s="7">
        <v>66</v>
      </c>
      <c r="J16970" s="7">
        <v>221</v>
      </c>
      <c r="K16970" s="7" t="s">
        <v>18</v>
      </c>
      <c r="L16970" s="8">
        <v>39987.315405092595</v>
      </c>
      <c r="M16970" s="9" t="s">
        <v>19</v>
      </c>
      <c r="N16970" s="9" t="s">
        <v>20</v>
      </c>
      <c r="O16970" s="6" t="str">
        <f>HYPERLINK("https://pbs.twimg.com/profile_images/962471262747529216/Uo8lOkRJ_normal.jpg","View")</f>
        <v>View</v>
      </c>
      <c r="P16970" s="7"/>
    </row>
    <row r="16971" spans="1:16">
      <c r="A16971" s="3">
        <v>44515.148194444446</v>
      </c>
      <c r="B16971" s="4" t="str">
        <f>HYPERLINK("https://twitter.com/petrogustavo","@petrogustavo")</f>
        <v>@petrogustavo</v>
      </c>
      <c r="C16971" s="5" t="s">
        <v>16</v>
      </c>
      <c r="D16971" s="5" t="s">
        <v>16337</v>
      </c>
      <c r="E16971" s="6" t="str">
        <f>HYPERLINK("https://twitter.com/petrogustavo/status/1460005471960637445","1460005471960637445")</f>
        <v>1460005471960637445</v>
      </c>
      <c r="F16971" s="7" t="s">
        <v>32</v>
      </c>
      <c r="G16971" s="7">
        <v>4401044</v>
      </c>
      <c r="H16971" s="7">
        <v>2572</v>
      </c>
      <c r="I16971" s="7">
        <v>545</v>
      </c>
      <c r="J16971" s="7">
        <v>0</v>
      </c>
      <c r="K16971" s="7" t="s">
        <v>18</v>
      </c>
      <c r="L16971" s="8">
        <v>39987.315405092595</v>
      </c>
      <c r="M16971" s="9" t="s">
        <v>19</v>
      </c>
      <c r="N16971" s="9" t="s">
        <v>20</v>
      </c>
      <c r="O16971" s="6" t="str">
        <f>HYPERLINK("https://pbs.twimg.com/profile_images/962471262747529216/Uo8lOkRJ_normal.jpg","View")</f>
        <v>View</v>
      </c>
      <c r="P16971" s="7"/>
    </row>
    <row r="16972" spans="1:16">
      <c r="A16972" s="3">
        <v>44515.34239583333</v>
      </c>
      <c r="B16972" s="4" t="str">
        <f>HYPERLINK("https://twitter.com/petrogustavo","@petrogustavo")</f>
        <v>@petrogustavo</v>
      </c>
      <c r="C16972" s="5" t="s">
        <v>16</v>
      </c>
      <c r="D16972" s="5" t="s">
        <v>16335</v>
      </c>
      <c r="E16972" s="6" t="str">
        <f>HYPERLINK("https://twitter.com/petrogustavo/status/1460075845159170049","1460075845159170049")</f>
        <v>1460075845159170049</v>
      </c>
      <c r="F16972" s="7" t="s">
        <v>17</v>
      </c>
      <c r="G16972" s="7">
        <v>4401196</v>
      </c>
      <c r="H16972" s="7">
        <v>2572</v>
      </c>
      <c r="I16972" s="7">
        <v>766</v>
      </c>
      <c r="J16972" s="7">
        <v>0</v>
      </c>
      <c r="K16972" s="7" t="s">
        <v>18</v>
      </c>
      <c r="L16972" s="8">
        <v>39987.315405092595</v>
      </c>
      <c r="M16972" s="9" t="s">
        <v>19</v>
      </c>
      <c r="N16972" s="9" t="s">
        <v>20</v>
      </c>
      <c r="O16972" s="6" t="str">
        <f>HYPERLINK("https://pbs.twimg.com/profile_images/962471262747529216/Uo8lOkRJ_normal.jpg","View")</f>
        <v>View</v>
      </c>
      <c r="P16972" s="7"/>
    </row>
    <row r="16973" spans="1:16">
      <c r="A16973" s="3">
        <v>44515.678576388891</v>
      </c>
      <c r="B16973" s="4" t="str">
        <f>HYPERLINK("https://twitter.com/petrogustavo","@petrogustavo")</f>
        <v>@petrogustavo</v>
      </c>
      <c r="C16973" s="5" t="s">
        <v>16</v>
      </c>
      <c r="D16973" s="5" t="s">
        <v>16335</v>
      </c>
      <c r="E16973" s="6" t="str">
        <f>HYPERLINK("https://twitter.com/petrogustavo/status/1460197675077410816","1460197675077410816")</f>
        <v>1460197675077410816</v>
      </c>
      <c r="F16973" s="7" t="s">
        <v>17</v>
      </c>
      <c r="G16973" s="7">
        <v>4401331</v>
      </c>
      <c r="H16973" s="7">
        <v>2572</v>
      </c>
      <c r="I16973" s="7">
        <v>850</v>
      </c>
      <c r="J16973" s="7">
        <v>0</v>
      </c>
      <c r="K16973" s="7" t="s">
        <v>18</v>
      </c>
      <c r="L16973" s="8">
        <v>39987.315405092595</v>
      </c>
      <c r="M16973" s="9" t="s">
        <v>19</v>
      </c>
      <c r="N16973" s="9" t="s">
        <v>20</v>
      </c>
      <c r="O16973" s="6" t="str">
        <f>HYPERLINK("https://pbs.twimg.com/profile_images/962471262747529216/Uo8lOkRJ_normal.jpg","View")</f>
        <v>View</v>
      </c>
      <c r="P16973" s="7"/>
    </row>
    <row r="16974" spans="1:16">
      <c r="A16974" s="3">
        <v>44516.211678240739</v>
      </c>
      <c r="B16974" s="4" t="str">
        <f>HYPERLINK("https://twitter.com/petrogustavo","@petrogustavo")</f>
        <v>@petrogustavo</v>
      </c>
      <c r="C16974" s="5" t="s">
        <v>16</v>
      </c>
      <c r="D16974" s="5" t="s">
        <v>16338</v>
      </c>
      <c r="E16974" s="6" t="str">
        <f>HYPERLINK("https://twitter.com/petrogustavo/status/1460390865755648003","1460390865755648003")</f>
        <v>1460390865755648003</v>
      </c>
      <c r="F16974" s="7" t="s">
        <v>17</v>
      </c>
      <c r="G16974" s="7">
        <v>4401611</v>
      </c>
      <c r="H16974" s="7">
        <v>2572</v>
      </c>
      <c r="I16974" s="7">
        <v>139</v>
      </c>
      <c r="J16974" s="7">
        <v>465</v>
      </c>
      <c r="K16974" s="7" t="s">
        <v>18</v>
      </c>
      <c r="L16974" s="8">
        <v>39987.315405092595</v>
      </c>
      <c r="M16974" s="9" t="s">
        <v>19</v>
      </c>
      <c r="N16974" s="9" t="s">
        <v>20</v>
      </c>
      <c r="O16974" s="6" t="str">
        <f>HYPERLINK("https://pbs.twimg.com/profile_images/962471262747529216/Uo8lOkRJ_normal.jpg","View")</f>
        <v>View</v>
      </c>
      <c r="P16974" s="7"/>
    </row>
    <row r="16975" spans="1:16">
      <c r="A16975" s="3">
        <v>44516.211689814816</v>
      </c>
      <c r="B16975" s="4" t="str">
        <f>HYPERLINK("https://twitter.com/petrogustavo","@petrogustavo")</f>
        <v>@petrogustavo</v>
      </c>
      <c r="C16975" s="5" t="s">
        <v>16</v>
      </c>
      <c r="D16975" s="5" t="s">
        <v>16339</v>
      </c>
      <c r="E16975" s="6" t="str">
        <f>HYPERLINK("https://twitter.com/petrogustavo/status/1460390868091912194","1460390868091912194")</f>
        <v>1460390868091912194</v>
      </c>
      <c r="F16975" s="7" t="s">
        <v>17</v>
      </c>
      <c r="G16975" s="7">
        <v>4401611</v>
      </c>
      <c r="H16975" s="7">
        <v>2572</v>
      </c>
      <c r="I16975" s="7">
        <v>23</v>
      </c>
      <c r="J16975" s="7">
        <v>51</v>
      </c>
      <c r="K16975" s="7" t="s">
        <v>18</v>
      </c>
      <c r="L16975" s="8">
        <v>39987.315405092595</v>
      </c>
      <c r="M16975" s="9" t="s">
        <v>19</v>
      </c>
      <c r="N16975" s="9" t="s">
        <v>20</v>
      </c>
      <c r="O16975" s="6" t="str">
        <f>HYPERLINK("https://pbs.twimg.com/profile_images/962471262747529216/Uo8lOkRJ_normal.jpg","View")</f>
        <v>View</v>
      </c>
      <c r="P16975" s="7"/>
    </row>
    <row r="16976" spans="1:16">
      <c r="A16976" s="3">
        <v>44516.211689814816</v>
      </c>
      <c r="B16976" s="4" t="str">
        <f>HYPERLINK("https://twitter.com/petrogustavo","@petrogustavo")</f>
        <v>@petrogustavo</v>
      </c>
      <c r="C16976" s="5" t="s">
        <v>16</v>
      </c>
      <c r="D16976" s="5" t="s">
        <v>16340</v>
      </c>
      <c r="E16976" s="6" t="str">
        <f>HYPERLINK("https://twitter.com/petrogustavo/status/1460390869488578562","1460390869488578562")</f>
        <v>1460390869488578562</v>
      </c>
      <c r="F16976" s="7" t="s">
        <v>17</v>
      </c>
      <c r="G16976" s="7">
        <v>4401611</v>
      </c>
      <c r="H16976" s="7">
        <v>2572</v>
      </c>
      <c r="I16976" s="7">
        <v>17</v>
      </c>
      <c r="J16976" s="7">
        <v>42</v>
      </c>
      <c r="K16976" s="7" t="s">
        <v>18</v>
      </c>
      <c r="L16976" s="8">
        <v>39987.315405092595</v>
      </c>
      <c r="M16976" s="9" t="s">
        <v>19</v>
      </c>
      <c r="N16976" s="9" t="s">
        <v>20</v>
      </c>
      <c r="O16976" s="6" t="str">
        <f>HYPERLINK("https://pbs.twimg.com/profile_images/962471262747529216/Uo8lOkRJ_normal.jpg","View")</f>
        <v>View</v>
      </c>
      <c r="P16976" s="7"/>
    </row>
    <row r="16977" spans="1:16">
      <c r="A16977" s="3">
        <v>44516.211701388893</v>
      </c>
      <c r="B16977" s="4" t="str">
        <f>HYPERLINK("https://twitter.com/petrogustavo","@petrogustavo")</f>
        <v>@petrogustavo</v>
      </c>
      <c r="C16977" s="5" t="s">
        <v>16</v>
      </c>
      <c r="D16977" s="5" t="s">
        <v>16341</v>
      </c>
      <c r="E16977" s="6" t="str">
        <f>HYPERLINK("https://twitter.com/petrogustavo/status/1460390870981697540","1460390870981697540")</f>
        <v>1460390870981697540</v>
      </c>
      <c r="F16977" s="7" t="s">
        <v>17</v>
      </c>
      <c r="G16977" s="7">
        <v>4401611</v>
      </c>
      <c r="H16977" s="7">
        <v>2572</v>
      </c>
      <c r="I16977" s="7">
        <v>17</v>
      </c>
      <c r="J16977" s="7">
        <v>38</v>
      </c>
      <c r="K16977" s="7" t="s">
        <v>18</v>
      </c>
      <c r="L16977" s="8">
        <v>39987.315405092595</v>
      </c>
      <c r="M16977" s="9" t="s">
        <v>19</v>
      </c>
      <c r="N16977" s="9" t="s">
        <v>20</v>
      </c>
      <c r="O16977" s="6" t="str">
        <f>HYPERLINK("https://pbs.twimg.com/profile_images/962471262747529216/Uo8lOkRJ_normal.jpg","View")</f>
        <v>View</v>
      </c>
      <c r="P16977" s="7"/>
    </row>
    <row r="16978" spans="1:16">
      <c r="A16978" s="3">
        <v>44516.211701388893</v>
      </c>
      <c r="B16978" s="4" t="str">
        <f>HYPERLINK("https://twitter.com/petrogustavo","@petrogustavo")</f>
        <v>@petrogustavo</v>
      </c>
      <c r="C16978" s="5" t="s">
        <v>16</v>
      </c>
      <c r="D16978" s="5" t="s">
        <v>16342</v>
      </c>
      <c r="E16978" s="6" t="str">
        <f>HYPERLINK("https://twitter.com/petrogustavo/status/1460390872227500041","1460390872227500041")</f>
        <v>1460390872227500041</v>
      </c>
      <c r="F16978" s="7" t="s">
        <v>17</v>
      </c>
      <c r="G16978" s="7">
        <v>4401611</v>
      </c>
      <c r="H16978" s="7">
        <v>2572</v>
      </c>
      <c r="I16978" s="7">
        <v>18</v>
      </c>
      <c r="J16978" s="7">
        <v>40</v>
      </c>
      <c r="K16978" s="7" t="s">
        <v>18</v>
      </c>
      <c r="L16978" s="8">
        <v>39987.315405092595</v>
      </c>
      <c r="M16978" s="9" t="s">
        <v>19</v>
      </c>
      <c r="N16978" s="9" t="s">
        <v>20</v>
      </c>
      <c r="O16978" s="6" t="str">
        <f>HYPERLINK("https://pbs.twimg.com/profile_images/962471262747529216/Uo8lOkRJ_normal.jpg","View")</f>
        <v>View</v>
      </c>
      <c r="P16978" s="7"/>
    </row>
    <row r="16979" spans="1:16">
      <c r="A16979" s="3">
        <v>44516.211701388893</v>
      </c>
      <c r="B16979" s="4" t="str">
        <f>HYPERLINK("https://twitter.com/petrogustavo","@petrogustavo")</f>
        <v>@petrogustavo</v>
      </c>
      <c r="C16979" s="5" t="s">
        <v>16</v>
      </c>
      <c r="D16979" s="5" t="s">
        <v>16343</v>
      </c>
      <c r="E16979" s="6" t="str">
        <f>HYPERLINK("https://twitter.com/petrogustavo/status/1460390873561288707","1460390873561288707")</f>
        <v>1460390873561288707</v>
      </c>
      <c r="F16979" s="7" t="s">
        <v>17</v>
      </c>
      <c r="G16979" s="7">
        <v>4401611</v>
      </c>
      <c r="H16979" s="7">
        <v>2572</v>
      </c>
      <c r="I16979" s="7">
        <v>17</v>
      </c>
      <c r="J16979" s="7">
        <v>44</v>
      </c>
      <c r="K16979" s="7" t="s">
        <v>18</v>
      </c>
      <c r="L16979" s="8">
        <v>39987.315405092595</v>
      </c>
      <c r="M16979" s="9" t="s">
        <v>19</v>
      </c>
      <c r="N16979" s="9" t="s">
        <v>20</v>
      </c>
      <c r="O16979" s="6" t="str">
        <f>HYPERLINK("https://pbs.twimg.com/profile_images/962471262747529216/Uo8lOkRJ_normal.jpg","View")</f>
        <v>View</v>
      </c>
      <c r="P16979" s="7"/>
    </row>
    <row r="16980" spans="1:16">
      <c r="A16980" s="3">
        <v>44516.211770833332</v>
      </c>
      <c r="B16980" s="4" t="str">
        <f>HYPERLINK("https://twitter.com/petrogustavo","@petrogustavo")</f>
        <v>@petrogustavo</v>
      </c>
      <c r="C16980" s="5" t="s">
        <v>16</v>
      </c>
      <c r="D16980" s="5" t="s">
        <v>16344</v>
      </c>
      <c r="E16980" s="6" t="str">
        <f>HYPERLINK("https://twitter.com/petrogustavo/status/1460390898349449218","1460390898349449218")</f>
        <v>1460390898349449218</v>
      </c>
      <c r="F16980" s="7" t="s">
        <v>17</v>
      </c>
      <c r="G16980" s="7">
        <v>4401611</v>
      </c>
      <c r="H16980" s="7">
        <v>2572</v>
      </c>
      <c r="I16980" s="7">
        <v>16</v>
      </c>
      <c r="J16980" s="7">
        <v>50</v>
      </c>
      <c r="K16980" s="7" t="s">
        <v>18</v>
      </c>
      <c r="L16980" s="8">
        <v>39987.315405092595</v>
      </c>
      <c r="M16980" s="9" t="s">
        <v>19</v>
      </c>
      <c r="N16980" s="9" t="s">
        <v>20</v>
      </c>
      <c r="O16980" s="6" t="str">
        <f>HYPERLINK("https://pbs.twimg.com/profile_images/962471262747529216/Uo8lOkRJ_normal.jpg","View")</f>
        <v>View</v>
      </c>
      <c r="P16980" s="7"/>
    </row>
    <row r="16981" spans="1:16">
      <c r="A16981" s="3">
        <v>44516.211840277778</v>
      </c>
      <c r="B16981" s="4" t="str">
        <f>HYPERLINK("https://twitter.com/petrogustavo","@petrogustavo")</f>
        <v>@petrogustavo</v>
      </c>
      <c r="C16981" s="5" t="s">
        <v>16</v>
      </c>
      <c r="D16981" s="5" t="s">
        <v>16345</v>
      </c>
      <c r="E16981" s="6" t="str">
        <f>HYPERLINK("https://twitter.com/petrogustavo/status/1460390922366197762","1460390922366197762")</f>
        <v>1460390922366197762</v>
      </c>
      <c r="F16981" s="7" t="s">
        <v>17</v>
      </c>
      <c r="G16981" s="7">
        <v>4401611</v>
      </c>
      <c r="H16981" s="7">
        <v>2572</v>
      </c>
      <c r="I16981" s="7">
        <v>15</v>
      </c>
      <c r="J16981" s="7">
        <v>50</v>
      </c>
      <c r="K16981" s="7" t="s">
        <v>18</v>
      </c>
      <c r="L16981" s="8">
        <v>39987.315405092595</v>
      </c>
      <c r="M16981" s="9" t="s">
        <v>19</v>
      </c>
      <c r="N16981" s="9" t="s">
        <v>20</v>
      </c>
      <c r="O16981" s="6" t="str">
        <f>HYPERLINK("https://pbs.twimg.com/profile_images/962471262747529216/Uo8lOkRJ_normal.jpg","View")</f>
        <v>View</v>
      </c>
      <c r="P16981" s="7"/>
    </row>
    <row r="16982" spans="1:16">
      <c r="A16982" s="3">
        <v>44516.211840277778</v>
      </c>
      <c r="B16982" s="4" t="str">
        <f>HYPERLINK("https://twitter.com/petrogustavo","@petrogustavo")</f>
        <v>@petrogustavo</v>
      </c>
      <c r="C16982" s="5" t="s">
        <v>16</v>
      </c>
      <c r="D16982" s="5" t="s">
        <v>16346</v>
      </c>
      <c r="E16982" s="6" t="str">
        <f>HYPERLINK("https://twitter.com/petrogustavo/status/1460390924257800201","1460390924257800201")</f>
        <v>1460390924257800201</v>
      </c>
      <c r="F16982" s="7" t="s">
        <v>17</v>
      </c>
      <c r="G16982" s="7">
        <v>4401611</v>
      </c>
      <c r="H16982" s="7">
        <v>2572</v>
      </c>
      <c r="I16982" s="7">
        <v>44</v>
      </c>
      <c r="J16982" s="7">
        <v>172</v>
      </c>
      <c r="K16982" s="7" t="s">
        <v>18</v>
      </c>
      <c r="L16982" s="8">
        <v>39987.315405092595</v>
      </c>
      <c r="M16982" s="9" t="s">
        <v>19</v>
      </c>
      <c r="N16982" s="9" t="s">
        <v>20</v>
      </c>
      <c r="O16982" s="6" t="str">
        <f>HYPERLINK("https://pbs.twimg.com/profile_images/962471262747529216/Uo8lOkRJ_normal.jpg","View")</f>
        <v>View</v>
      </c>
      <c r="P16982" s="7"/>
    </row>
    <row r="16983" spans="1:16">
      <c r="A16983" s="3">
        <v>44516.211851851855</v>
      </c>
      <c r="B16983" s="4" t="str">
        <f>HYPERLINK("https://twitter.com/petrogustavo","@petrogustavo")</f>
        <v>@petrogustavo</v>
      </c>
      <c r="C16983" s="5" t="s">
        <v>16</v>
      </c>
      <c r="D16983" s="5" t="s">
        <v>16347</v>
      </c>
      <c r="E16983" s="6" t="str">
        <f>HYPERLINK("https://twitter.com/petrogustavo/status/1460390925449015302","1460390925449015302")</f>
        <v>1460390925449015302</v>
      </c>
      <c r="F16983" s="7" t="s">
        <v>17</v>
      </c>
      <c r="G16983" s="7">
        <v>4401611</v>
      </c>
      <c r="H16983" s="7">
        <v>2572</v>
      </c>
      <c r="I16983" s="7">
        <v>44</v>
      </c>
      <c r="J16983" s="7">
        <v>179</v>
      </c>
      <c r="K16983" s="7" t="s">
        <v>18</v>
      </c>
      <c r="L16983" s="8">
        <v>39987.315405092595</v>
      </c>
      <c r="M16983" s="9" t="s">
        <v>19</v>
      </c>
      <c r="N16983" s="9" t="s">
        <v>20</v>
      </c>
      <c r="O16983" s="6" t="str">
        <f>HYPERLINK("https://pbs.twimg.com/profile_images/962471262747529216/Uo8lOkRJ_normal.jpg","View")</f>
        <v>View</v>
      </c>
      <c r="P16983" s="7"/>
    </row>
    <row r="16984" spans="1:16">
      <c r="A16984" s="3">
        <v>44516.273981481485</v>
      </c>
      <c r="B16984" s="4" t="str">
        <f>HYPERLINK("https://twitter.com/petrogustavo","@petrogustavo")</f>
        <v>@petrogustavo</v>
      </c>
      <c r="C16984" s="5" t="s">
        <v>16</v>
      </c>
      <c r="D16984" s="5" t="s">
        <v>16348</v>
      </c>
      <c r="E16984" s="6" t="str">
        <f>HYPERLINK("https://twitter.com/petrogustavo/status/1460413441466945547","1460413441466945547")</f>
        <v>1460413441466945547</v>
      </c>
      <c r="F16984" s="7" t="s">
        <v>17</v>
      </c>
      <c r="G16984" s="7">
        <v>4401651</v>
      </c>
      <c r="H16984" s="7">
        <v>2572</v>
      </c>
      <c r="I16984" s="7">
        <v>38</v>
      </c>
      <c r="J16984" s="7">
        <v>141</v>
      </c>
      <c r="K16984" s="7" t="s">
        <v>18</v>
      </c>
      <c r="L16984" s="8">
        <v>39987.315405092595</v>
      </c>
      <c r="M16984" s="9" t="s">
        <v>19</v>
      </c>
      <c r="N16984" s="9" t="s">
        <v>20</v>
      </c>
      <c r="O16984" s="6" t="str">
        <f>HYPERLINK("https://pbs.twimg.com/profile_images/962471262747529216/Uo8lOkRJ_normal.jpg","View")</f>
        <v>View</v>
      </c>
      <c r="P16984" s="7"/>
    </row>
    <row r="16985" spans="1:16">
      <c r="A16985" s="3">
        <v>44516.702777777777</v>
      </c>
      <c r="B16985" s="4" t="str">
        <f>HYPERLINK("https://twitter.com/petrogustavo","@petrogustavo")</f>
        <v>@petrogustavo</v>
      </c>
      <c r="C16985" s="5" t="s">
        <v>16</v>
      </c>
      <c r="D16985" s="5" t="s">
        <v>16349</v>
      </c>
      <c r="E16985" s="6" t="str">
        <f>HYPERLINK("https://twitter.com/petrogustavo/status/1460568832897081348","1460568832897081348")</f>
        <v>1460568832897081348</v>
      </c>
      <c r="F16985" s="7" t="s">
        <v>17</v>
      </c>
      <c r="G16985" s="7">
        <v>4401916</v>
      </c>
      <c r="H16985" s="7">
        <v>2572</v>
      </c>
      <c r="I16985" s="7">
        <v>89</v>
      </c>
      <c r="J16985" s="7">
        <v>301</v>
      </c>
      <c r="K16985" s="7" t="s">
        <v>18</v>
      </c>
      <c r="L16985" s="8">
        <v>39987.315405092595</v>
      </c>
      <c r="M16985" s="9" t="s">
        <v>19</v>
      </c>
      <c r="N16985" s="9" t="s">
        <v>20</v>
      </c>
      <c r="O16985" s="6" t="str">
        <f>HYPERLINK("https://pbs.twimg.com/profile_images/962471262747529216/Uo8lOkRJ_normal.jpg","View")</f>
        <v>View</v>
      </c>
      <c r="P16985" s="7"/>
    </row>
    <row r="16986" spans="1:16">
      <c r="A16986" s="3">
        <v>44516.712951388894</v>
      </c>
      <c r="B16986" s="4" t="str">
        <f>HYPERLINK("https://twitter.com/petrogustavo","@petrogustavo")</f>
        <v>@petrogustavo</v>
      </c>
      <c r="C16986" s="5" t="s">
        <v>16</v>
      </c>
      <c r="D16986" s="5" t="s">
        <v>16350</v>
      </c>
      <c r="E16986" s="6" t="str">
        <f>HYPERLINK("https://twitter.com/petrogustavo/status/1460572518461411333","1460572518461411333")</f>
        <v>1460572518461411333</v>
      </c>
      <c r="F16986" s="7" t="s">
        <v>17</v>
      </c>
      <c r="G16986" s="7">
        <v>4401915</v>
      </c>
      <c r="H16986" s="7">
        <v>2572</v>
      </c>
      <c r="I16986" s="7">
        <v>954</v>
      </c>
      <c r="J16986" s="7">
        <v>0</v>
      </c>
      <c r="K16986" s="7" t="s">
        <v>18</v>
      </c>
      <c r="L16986" s="8">
        <v>39987.315405092595</v>
      </c>
      <c r="M16986" s="9" t="s">
        <v>19</v>
      </c>
      <c r="N16986" s="9" t="s">
        <v>20</v>
      </c>
      <c r="O16986" s="6" t="str">
        <f>HYPERLINK("https://pbs.twimg.com/profile_images/962471262747529216/Uo8lOkRJ_normal.jpg","View")</f>
        <v>View</v>
      </c>
      <c r="P16986" s="7"/>
    </row>
    <row r="16987" spans="1:16">
      <c r="A16987" s="3">
        <v>44516.741307870368</v>
      </c>
      <c r="B16987" s="4" t="str">
        <f>HYPERLINK("https://twitter.com/petrogustavo","@petrogustavo")</f>
        <v>@petrogustavo</v>
      </c>
      <c r="C16987" s="5" t="s">
        <v>16</v>
      </c>
      <c r="D16987" s="5" t="s">
        <v>16351</v>
      </c>
      <c r="E16987" s="6" t="str">
        <f>HYPERLINK("https://twitter.com/petrogustavo/status/1460582797597458443","1460582797597458443")</f>
        <v>1460582797597458443</v>
      </c>
      <c r="F16987" s="7" t="s">
        <v>32</v>
      </c>
      <c r="G16987" s="7">
        <v>4401933</v>
      </c>
      <c r="H16987" s="7">
        <v>2572</v>
      </c>
      <c r="I16987" s="7">
        <v>78</v>
      </c>
      <c r="J16987" s="7">
        <v>179</v>
      </c>
      <c r="K16987" s="7" t="s">
        <v>18</v>
      </c>
      <c r="L16987" s="8">
        <v>39987.315405092595</v>
      </c>
      <c r="M16987" s="9" t="s">
        <v>19</v>
      </c>
      <c r="N16987" s="9" t="s">
        <v>20</v>
      </c>
      <c r="O16987" s="6" t="str">
        <f>HYPERLINK("https://pbs.twimg.com/profile_images/962471262747529216/Uo8lOkRJ_normal.jpg","View")</f>
        <v>View</v>
      </c>
      <c r="P16987" s="7"/>
    </row>
    <row r="16988" spans="1:16">
      <c r="A16988" s="3">
        <v>44516.804872685185</v>
      </c>
      <c r="B16988" s="4" t="str">
        <f>HYPERLINK("https://twitter.com/petrogustavo","@petrogustavo")</f>
        <v>@petrogustavo</v>
      </c>
      <c r="C16988" s="5" t="s">
        <v>16</v>
      </c>
      <c r="D16988" s="5" t="s">
        <v>16350</v>
      </c>
      <c r="E16988" s="6" t="str">
        <f>HYPERLINK("https://twitter.com/petrogustavo/status/1460605832782127106","1460605832782127106")</f>
        <v>1460605832782127106</v>
      </c>
      <c r="F16988" s="7" t="s">
        <v>32</v>
      </c>
      <c r="G16988" s="7">
        <v>4401984</v>
      </c>
      <c r="H16988" s="7">
        <v>2572</v>
      </c>
      <c r="I16988" s="7">
        <v>1033</v>
      </c>
      <c r="J16988" s="7">
        <v>0</v>
      </c>
      <c r="K16988" s="7" t="s">
        <v>18</v>
      </c>
      <c r="L16988" s="8">
        <v>39987.315405092595</v>
      </c>
      <c r="M16988" s="9" t="s">
        <v>19</v>
      </c>
      <c r="N16988" s="9" t="s">
        <v>20</v>
      </c>
      <c r="O16988" s="6" t="str">
        <f>HYPERLINK("https://pbs.twimg.com/profile_images/962471262747529216/Uo8lOkRJ_normal.jpg","View")</f>
        <v>View</v>
      </c>
      <c r="P16988" s="7"/>
    </row>
    <row r="16989" spans="1:16">
      <c r="A16989" s="3">
        <v>44516.920266203699</v>
      </c>
      <c r="B16989" s="4" t="str">
        <f>HYPERLINK("https://twitter.com/petrogustavo","@petrogustavo")</f>
        <v>@petrogustavo</v>
      </c>
      <c r="C16989" s="5" t="s">
        <v>16</v>
      </c>
      <c r="D16989" s="5" t="s">
        <v>16350</v>
      </c>
      <c r="E16989" s="6" t="str">
        <f>HYPERLINK("https://twitter.com/petrogustavo/status/1460647646339678215","1460647646339678215")</f>
        <v>1460647646339678215</v>
      </c>
      <c r="F16989" s="7" t="s">
        <v>32</v>
      </c>
      <c r="G16989" s="7">
        <v>4402097</v>
      </c>
      <c r="H16989" s="7">
        <v>2572</v>
      </c>
      <c r="I16989" s="7">
        <v>1125</v>
      </c>
      <c r="J16989" s="7">
        <v>0</v>
      </c>
      <c r="K16989" s="7" t="s">
        <v>18</v>
      </c>
      <c r="L16989" s="8">
        <v>39987.315405092595</v>
      </c>
      <c r="M16989" s="9" t="s">
        <v>19</v>
      </c>
      <c r="N16989" s="9" t="s">
        <v>20</v>
      </c>
      <c r="O16989" s="6" t="str">
        <f>HYPERLINK("https://pbs.twimg.com/profile_images/962471262747529216/Uo8lOkRJ_normal.jpg","View")</f>
        <v>View</v>
      </c>
      <c r="P16989" s="7"/>
    </row>
    <row r="16990" spans="1:16">
      <c r="A16990" s="3">
        <v>44517.181296296301</v>
      </c>
      <c r="B16990" s="4" t="str">
        <f>HYPERLINK("https://twitter.com/petrogustavo","@petrogustavo")</f>
        <v>@petrogustavo</v>
      </c>
      <c r="C16990" s="5" t="s">
        <v>16</v>
      </c>
      <c r="D16990" s="5" t="s">
        <v>16352</v>
      </c>
      <c r="E16990" s="6" t="str">
        <f>HYPERLINK("https://twitter.com/petrogustavo/status/1460742243208286210","1460742243208286210")</f>
        <v>1460742243208286210</v>
      </c>
      <c r="F16990" s="7" t="s">
        <v>17</v>
      </c>
      <c r="G16990" s="7">
        <v>4402269</v>
      </c>
      <c r="H16990" s="7">
        <v>2572</v>
      </c>
      <c r="I16990" s="7">
        <v>112</v>
      </c>
      <c r="J16990" s="7">
        <v>306</v>
      </c>
      <c r="K16990" s="7" t="s">
        <v>18</v>
      </c>
      <c r="L16990" s="8">
        <v>39987.315405092595</v>
      </c>
      <c r="M16990" s="9" t="s">
        <v>19</v>
      </c>
      <c r="N16990" s="9" t="s">
        <v>20</v>
      </c>
      <c r="O16990" s="6" t="str">
        <f>HYPERLINK("https://pbs.twimg.com/profile_images/962471262747529216/Uo8lOkRJ_normal.jpg","View")</f>
        <v>View</v>
      </c>
      <c r="P16990" s="7"/>
    </row>
    <row r="16991" spans="1:16">
      <c r="A16991" s="3">
        <v>44517.272291666668</v>
      </c>
      <c r="B16991" s="4" t="str">
        <f>HYPERLINK("https://twitter.com/petrogustavo","@petrogustavo")</f>
        <v>@petrogustavo</v>
      </c>
      <c r="C16991" s="5" t="s">
        <v>16</v>
      </c>
      <c r="D16991" s="5" t="s">
        <v>16353</v>
      </c>
      <c r="E16991" s="6" t="str">
        <f>HYPERLINK("https://twitter.com/petrogustavo/status/1460775218746638336","1460775218746638336")</f>
        <v>1460775218746638336</v>
      </c>
      <c r="F16991" s="7" t="s">
        <v>32</v>
      </c>
      <c r="G16991" s="7">
        <v>4402357</v>
      </c>
      <c r="H16991" s="7">
        <v>2572</v>
      </c>
      <c r="I16991" s="7">
        <v>15</v>
      </c>
      <c r="J16991" s="7">
        <v>62</v>
      </c>
      <c r="K16991" s="7" t="s">
        <v>18</v>
      </c>
      <c r="L16991" s="8">
        <v>39987.315405092595</v>
      </c>
      <c r="M16991" s="9" t="s">
        <v>19</v>
      </c>
      <c r="N16991" s="9" t="s">
        <v>20</v>
      </c>
      <c r="O16991" s="6" t="str">
        <f>HYPERLINK("https://pbs.twimg.com/profile_images/962471262747529216/Uo8lOkRJ_normal.jpg","View")</f>
        <v>View</v>
      </c>
      <c r="P16991" s="7"/>
    </row>
    <row r="16992" spans="1:16">
      <c r="A16992" s="3">
        <v>44517.326157407406</v>
      </c>
      <c r="B16992" s="4" t="str">
        <f>HYPERLINK("https://twitter.com/petrogustavo","@petrogustavo")</f>
        <v>@petrogustavo</v>
      </c>
      <c r="C16992" s="5" t="s">
        <v>16</v>
      </c>
      <c r="D16992" s="5" t="s">
        <v>16354</v>
      </c>
      <c r="E16992" s="6" t="str">
        <f>HYPERLINK("https://twitter.com/petrogustavo/status/1460794739050037257","1460794739050037257")</f>
        <v>1460794739050037257</v>
      </c>
      <c r="F16992" s="7" t="s">
        <v>17</v>
      </c>
      <c r="G16992" s="7">
        <v>4402454</v>
      </c>
      <c r="H16992" s="7">
        <v>2572</v>
      </c>
      <c r="I16992" s="7">
        <v>287</v>
      </c>
      <c r="J16992" s="7">
        <v>1242</v>
      </c>
      <c r="K16992" s="7" t="s">
        <v>18</v>
      </c>
      <c r="L16992" s="8">
        <v>39987.315405092595</v>
      </c>
      <c r="M16992" s="9" t="s">
        <v>19</v>
      </c>
      <c r="N16992" s="9" t="s">
        <v>20</v>
      </c>
      <c r="O16992" s="6" t="str">
        <f>HYPERLINK("https://pbs.twimg.com/profile_images/962471262747529216/Uo8lOkRJ_normal.jpg","View")</f>
        <v>View</v>
      </c>
      <c r="P16992" s="7"/>
    </row>
    <row r="16993" spans="1:16">
      <c r="A16993" s="3">
        <v>44517.35628472222</v>
      </c>
      <c r="B16993" s="4" t="str">
        <f>HYPERLINK("https://twitter.com/petrogustavo","@petrogustavo")</f>
        <v>@petrogustavo</v>
      </c>
      <c r="C16993" s="5" t="s">
        <v>16</v>
      </c>
      <c r="D16993" s="5" t="s">
        <v>16355</v>
      </c>
      <c r="E16993" s="6" t="str">
        <f>HYPERLINK("https://twitter.com/petrogustavo/status/1460805656513024007","1460805656513024007")</f>
        <v>1460805656513024007</v>
      </c>
      <c r="F16993" s="7" t="s">
        <v>17</v>
      </c>
      <c r="G16993" s="7">
        <v>4402453</v>
      </c>
      <c r="H16993" s="7">
        <v>2572</v>
      </c>
      <c r="I16993" s="7">
        <v>0</v>
      </c>
      <c r="J16993" s="7">
        <v>0</v>
      </c>
      <c r="K16993" s="7" t="s">
        <v>18</v>
      </c>
      <c r="L16993" s="8">
        <v>39987.315405092595</v>
      </c>
      <c r="M16993" s="9" t="s">
        <v>19</v>
      </c>
      <c r="N16993" s="9" t="s">
        <v>20</v>
      </c>
      <c r="O16993" s="6" t="str">
        <f>HYPERLINK("https://pbs.twimg.com/profile_images/962471262747529216/Uo8lOkRJ_normal.jpg","View")</f>
        <v>View</v>
      </c>
      <c r="P16993" s="7"/>
    </row>
    <row r="16994" spans="1:16">
      <c r="A16994" s="3">
        <v>44517.702534722222</v>
      </c>
      <c r="B16994" s="4" t="str">
        <f>HYPERLINK("https://twitter.com/petrogustavo","@petrogustavo")</f>
        <v>@petrogustavo</v>
      </c>
      <c r="C16994" s="5" t="s">
        <v>16</v>
      </c>
      <c r="D16994" s="5" t="s">
        <v>16356</v>
      </c>
      <c r="E16994" s="6" t="str">
        <f>HYPERLINK("https://twitter.com/petrogustavo/status/1460931133709901829","1460931133709901829")</f>
        <v>1460931133709901829</v>
      </c>
      <c r="F16994" s="7" t="s">
        <v>17</v>
      </c>
      <c r="G16994" s="7">
        <v>4402666</v>
      </c>
      <c r="H16994" s="7">
        <v>2572</v>
      </c>
      <c r="I16994" s="7">
        <v>307</v>
      </c>
      <c r="J16994" s="7">
        <v>0</v>
      </c>
      <c r="K16994" s="7" t="s">
        <v>18</v>
      </c>
      <c r="L16994" s="8">
        <v>39987.315405092595</v>
      </c>
      <c r="M16994" s="9" t="s">
        <v>19</v>
      </c>
      <c r="N16994" s="9" t="s">
        <v>20</v>
      </c>
      <c r="O16994" s="6" t="str">
        <f>HYPERLINK("https://pbs.twimg.com/profile_images/962471262747529216/Uo8lOkRJ_normal.jpg","View")</f>
        <v>View</v>
      </c>
      <c r="P16994" s="7"/>
    </row>
    <row r="16995" spans="1:16">
      <c r="A16995" s="3">
        <v>44517.705960648149</v>
      </c>
      <c r="B16995" s="4" t="str">
        <f>HYPERLINK("https://twitter.com/petrogustavo","@petrogustavo")</f>
        <v>@petrogustavo</v>
      </c>
      <c r="C16995" s="5" t="s">
        <v>16</v>
      </c>
      <c r="D16995" s="5" t="s">
        <v>16357</v>
      </c>
      <c r="E16995" s="6" t="str">
        <f>HYPERLINK("https://twitter.com/petrogustavo/status/1460932375119024128","1460932375119024128")</f>
        <v>1460932375119024128</v>
      </c>
      <c r="F16995" s="7" t="s">
        <v>17</v>
      </c>
      <c r="G16995" s="7">
        <v>4402666</v>
      </c>
      <c r="H16995" s="7">
        <v>2572</v>
      </c>
      <c r="I16995" s="7">
        <v>56</v>
      </c>
      <c r="J16995" s="7">
        <v>134</v>
      </c>
      <c r="K16995" s="7" t="s">
        <v>18</v>
      </c>
      <c r="L16995" s="8">
        <v>39987.315405092595</v>
      </c>
      <c r="M16995" s="9" t="s">
        <v>19</v>
      </c>
      <c r="N16995" s="9" t="s">
        <v>20</v>
      </c>
      <c r="O16995" s="6" t="str">
        <f>HYPERLINK("https://pbs.twimg.com/profile_images/962471262747529216/Uo8lOkRJ_normal.jpg","View")</f>
        <v>View</v>
      </c>
      <c r="P16995" s="7"/>
    </row>
    <row r="16996" spans="1:16">
      <c r="A16996" s="3">
        <v>44517.711261574077</v>
      </c>
      <c r="B16996" s="4" t="str">
        <f>HYPERLINK("https://twitter.com/petrogustavo","@petrogustavo")</f>
        <v>@petrogustavo</v>
      </c>
      <c r="C16996" s="5" t="s">
        <v>16</v>
      </c>
      <c r="D16996" s="5" t="s">
        <v>16358</v>
      </c>
      <c r="E16996" s="6" t="str">
        <f>HYPERLINK("https://twitter.com/petrogustavo/status/1460934295376248832","1460934295376248832")</f>
        <v>1460934295376248832</v>
      </c>
      <c r="F16996" s="7" t="s">
        <v>17</v>
      </c>
      <c r="G16996" s="7">
        <v>4402681</v>
      </c>
      <c r="H16996" s="7">
        <v>2572</v>
      </c>
      <c r="I16996" s="7">
        <v>186</v>
      </c>
      <c r="J16996" s="7">
        <v>589</v>
      </c>
      <c r="K16996" s="7" t="s">
        <v>18</v>
      </c>
      <c r="L16996" s="8">
        <v>39987.315405092595</v>
      </c>
      <c r="M16996" s="9" t="s">
        <v>19</v>
      </c>
      <c r="N16996" s="9" t="s">
        <v>20</v>
      </c>
      <c r="O16996" s="6" t="str">
        <f>HYPERLINK("https://pbs.twimg.com/profile_images/962471262747529216/Uo8lOkRJ_normal.jpg","View")</f>
        <v>View</v>
      </c>
      <c r="P16996" s="7"/>
    </row>
    <row r="16997" spans="1:16">
      <c r="A16997" s="3">
        <v>44517.711469907408</v>
      </c>
      <c r="B16997" s="4" t="str">
        <f>HYPERLINK("https://twitter.com/petrogustavo","@petrogustavo")</f>
        <v>@petrogustavo</v>
      </c>
      <c r="C16997" s="5" t="s">
        <v>16</v>
      </c>
      <c r="D16997" s="5" t="s">
        <v>16359</v>
      </c>
      <c r="E16997" s="6" t="str">
        <f>HYPERLINK("https://twitter.com/petrogustavo/status/1460934372069187587","1460934372069187587")</f>
        <v>1460934372069187587</v>
      </c>
      <c r="F16997" s="7" t="s">
        <v>17</v>
      </c>
      <c r="G16997" s="7">
        <v>4402681</v>
      </c>
      <c r="H16997" s="7">
        <v>2572</v>
      </c>
      <c r="I16997" s="7">
        <v>51</v>
      </c>
      <c r="J16997" s="7">
        <v>0</v>
      </c>
      <c r="K16997" s="7" t="s">
        <v>18</v>
      </c>
      <c r="L16997" s="8">
        <v>39987.315405092595</v>
      </c>
      <c r="M16997" s="9" t="s">
        <v>19</v>
      </c>
      <c r="N16997" s="9" t="s">
        <v>20</v>
      </c>
      <c r="O16997" s="6" t="str">
        <f>HYPERLINK("https://pbs.twimg.com/profile_images/962471262747529216/Uo8lOkRJ_normal.jpg","View")</f>
        <v>View</v>
      </c>
      <c r="P16997" s="7"/>
    </row>
    <row r="16998" spans="1:16">
      <c r="A16998" s="3">
        <v>44517.714444444442</v>
      </c>
      <c r="B16998" s="4" t="str">
        <f>HYPERLINK("https://twitter.com/petrogustavo","@petrogustavo")</f>
        <v>@petrogustavo</v>
      </c>
      <c r="C16998" s="5" t="s">
        <v>16</v>
      </c>
      <c r="D16998" s="5" t="s">
        <v>16360</v>
      </c>
      <c r="E16998" s="6" t="str">
        <f>HYPERLINK("https://twitter.com/petrogustavo/status/1460935449392857104","1460935449392857104")</f>
        <v>1460935449392857104</v>
      </c>
      <c r="F16998" s="7" t="s">
        <v>17</v>
      </c>
      <c r="G16998" s="7">
        <v>4402681</v>
      </c>
      <c r="H16998" s="7">
        <v>2572</v>
      </c>
      <c r="I16998" s="7">
        <v>67</v>
      </c>
      <c r="J16998" s="7">
        <v>194</v>
      </c>
      <c r="K16998" s="7" t="s">
        <v>18</v>
      </c>
      <c r="L16998" s="8">
        <v>39987.315405092595</v>
      </c>
      <c r="M16998" s="9" t="s">
        <v>19</v>
      </c>
      <c r="N16998" s="9" t="s">
        <v>20</v>
      </c>
      <c r="O16998" s="6" t="str">
        <f>HYPERLINK("https://pbs.twimg.com/profile_images/962471262747529216/Uo8lOkRJ_normal.jpg","View")</f>
        <v>View</v>
      </c>
      <c r="P16998" s="7"/>
    </row>
    <row r="16999" spans="1:16">
      <c r="A16999" s="3">
        <v>44517.714918981481</v>
      </c>
      <c r="B16999" s="4" t="str">
        <f>HYPERLINK("https://twitter.com/petrogustavo","@petrogustavo")</f>
        <v>@petrogustavo</v>
      </c>
      <c r="C16999" s="5" t="s">
        <v>16</v>
      </c>
      <c r="D16999" s="5" t="s">
        <v>16361</v>
      </c>
      <c r="E16999" s="6" t="str">
        <f>HYPERLINK("https://twitter.com/petrogustavo/status/1460935618880577536","1460935618880577536")</f>
        <v>1460935618880577536</v>
      </c>
      <c r="F16999" s="7" t="s">
        <v>17</v>
      </c>
      <c r="G16999" s="7">
        <v>4402681</v>
      </c>
      <c r="H16999" s="7">
        <v>2572</v>
      </c>
      <c r="I16999" s="7">
        <v>201</v>
      </c>
      <c r="J16999" s="7">
        <v>0</v>
      </c>
      <c r="K16999" s="7" t="s">
        <v>18</v>
      </c>
      <c r="L16999" s="8">
        <v>39987.315405092595</v>
      </c>
      <c r="M16999" s="9" t="s">
        <v>19</v>
      </c>
      <c r="N16999" s="9" t="s">
        <v>20</v>
      </c>
      <c r="O16999" s="6" t="str">
        <f>HYPERLINK("https://pbs.twimg.com/profile_images/962471262747529216/Uo8lOkRJ_normal.jpg","View")</f>
        <v>View</v>
      </c>
      <c r="P16999" s="7"/>
    </row>
    <row r="17000" spans="1:16">
      <c r="A17000" s="3">
        <v>44517.726886574077</v>
      </c>
      <c r="B17000" s="4" t="str">
        <f>HYPERLINK("https://twitter.com/petrogustavo","@petrogustavo")</f>
        <v>@petrogustavo</v>
      </c>
      <c r="C17000" s="5" t="s">
        <v>16</v>
      </c>
      <c r="D17000" s="5" t="s">
        <v>16362</v>
      </c>
      <c r="E17000" s="6" t="str">
        <f>HYPERLINK("https://twitter.com/petrogustavo/status/1460939956986204165","1460939956986204165")</f>
        <v>1460939956986204165</v>
      </c>
      <c r="F17000" s="7" t="s">
        <v>17</v>
      </c>
      <c r="G17000" s="7">
        <v>4402681</v>
      </c>
      <c r="H17000" s="7">
        <v>2572</v>
      </c>
      <c r="I17000" s="7">
        <v>89</v>
      </c>
      <c r="J17000" s="7">
        <v>199</v>
      </c>
      <c r="K17000" s="7" t="s">
        <v>18</v>
      </c>
      <c r="L17000" s="8">
        <v>39987.315405092595</v>
      </c>
      <c r="M17000" s="9" t="s">
        <v>19</v>
      </c>
      <c r="N17000" s="9" t="s">
        <v>20</v>
      </c>
      <c r="O17000" s="6" t="str">
        <f>HYPERLINK("https://pbs.twimg.com/profile_images/962471262747529216/Uo8lOkRJ_normal.jpg","View")</f>
        <v>View</v>
      </c>
      <c r="P17000" s="7"/>
    </row>
    <row r="17001" spans="1:16">
      <c r="A17001" s="3">
        <v>44517.767685185187</v>
      </c>
      <c r="B17001" s="4" t="str">
        <f>HYPERLINK("https://twitter.com/petrogustavo","@petrogustavo")</f>
        <v>@petrogustavo</v>
      </c>
      <c r="C17001" s="5" t="s">
        <v>16</v>
      </c>
      <c r="D17001" s="5" t="s">
        <v>16363</v>
      </c>
      <c r="E17001" s="6" t="str">
        <f>HYPERLINK("https://twitter.com/petrogustavo/status/1460954744206376962","1460954744206376962")</f>
        <v>1460954744206376962</v>
      </c>
      <c r="F17001" s="7" t="s">
        <v>32</v>
      </c>
      <c r="G17001" s="7">
        <v>4402729</v>
      </c>
      <c r="H17001" s="7">
        <v>2572</v>
      </c>
      <c r="I17001" s="7">
        <v>17</v>
      </c>
      <c r="J17001" s="7">
        <v>0</v>
      </c>
      <c r="K17001" s="7" t="s">
        <v>18</v>
      </c>
      <c r="L17001" s="8">
        <v>39987.315405092595</v>
      </c>
      <c r="M17001" s="9" t="s">
        <v>19</v>
      </c>
      <c r="N17001" s="9" t="s">
        <v>20</v>
      </c>
      <c r="O17001" s="6" t="str">
        <f>HYPERLINK("https://pbs.twimg.com/profile_images/962471262747529216/Uo8lOkRJ_normal.jpg","View")</f>
        <v>View</v>
      </c>
      <c r="P17001" s="7"/>
    </row>
    <row r="17002" spans="1:16">
      <c r="A17002" s="3">
        <v>44517.773506944446</v>
      </c>
      <c r="B17002" s="4" t="str">
        <f>HYPERLINK("https://twitter.com/petrogustavo","@petrogustavo")</f>
        <v>@petrogustavo</v>
      </c>
      <c r="C17002" s="5" t="s">
        <v>16</v>
      </c>
      <c r="D17002" s="5" t="s">
        <v>16364</v>
      </c>
      <c r="E17002" s="6" t="str">
        <f>HYPERLINK("https://twitter.com/petrogustavo/status/1460956853400125443","1460956853400125443")</f>
        <v>1460956853400125443</v>
      </c>
      <c r="F17002" s="7" t="s">
        <v>32</v>
      </c>
      <c r="G17002" s="7">
        <v>4402753</v>
      </c>
      <c r="H17002" s="7">
        <v>2572</v>
      </c>
      <c r="I17002" s="7">
        <v>837</v>
      </c>
      <c r="J17002" s="7">
        <v>0</v>
      </c>
      <c r="K17002" s="7" t="s">
        <v>18</v>
      </c>
      <c r="L17002" s="8">
        <v>39987.315405092595</v>
      </c>
      <c r="M17002" s="9" t="s">
        <v>19</v>
      </c>
      <c r="N17002" s="9" t="s">
        <v>20</v>
      </c>
      <c r="O17002" s="6" t="str">
        <f>HYPERLINK("https://pbs.twimg.com/profile_images/962471262747529216/Uo8lOkRJ_normal.jpg","View")</f>
        <v>View</v>
      </c>
      <c r="P17002" s="7"/>
    </row>
    <row r="17003" spans="1:16">
      <c r="A17003" s="3">
        <v>44517.782395833332</v>
      </c>
      <c r="B17003" s="4" t="str">
        <f>HYPERLINK("https://twitter.com/petrogustavo","@petrogustavo")</f>
        <v>@petrogustavo</v>
      </c>
      <c r="C17003" s="5" t="s">
        <v>16</v>
      </c>
      <c r="D17003" s="5" t="s">
        <v>16365</v>
      </c>
      <c r="E17003" s="6" t="str">
        <f>HYPERLINK("https://twitter.com/petrogustavo/status/1460960075502264322","1460960075502264322")</f>
        <v>1460960075502264322</v>
      </c>
      <c r="F17003" s="7" t="s">
        <v>32</v>
      </c>
      <c r="G17003" s="7">
        <v>4402753</v>
      </c>
      <c r="H17003" s="7">
        <v>2572</v>
      </c>
      <c r="I17003" s="7">
        <v>14</v>
      </c>
      <c r="J17003" s="7">
        <v>0</v>
      </c>
      <c r="K17003" s="7" t="s">
        <v>18</v>
      </c>
      <c r="L17003" s="8">
        <v>39987.315405092595</v>
      </c>
      <c r="M17003" s="9" t="s">
        <v>19</v>
      </c>
      <c r="N17003" s="9" t="s">
        <v>20</v>
      </c>
      <c r="O17003" s="6" t="str">
        <f>HYPERLINK("https://pbs.twimg.com/profile_images/962471262747529216/Uo8lOkRJ_normal.jpg","View")</f>
        <v>View</v>
      </c>
      <c r="P17003" s="7"/>
    </row>
    <row r="17004" spans="1:16">
      <c r="A17004" s="3">
        <v>44517.789444444439</v>
      </c>
      <c r="B17004" s="4" t="str">
        <f>HYPERLINK("https://twitter.com/petrogustavo","@petrogustavo")</f>
        <v>@petrogustavo</v>
      </c>
      <c r="C17004" s="5" t="s">
        <v>16</v>
      </c>
      <c r="D17004" s="5" t="s">
        <v>16366</v>
      </c>
      <c r="E17004" s="6" t="str">
        <f>HYPERLINK("https://twitter.com/petrogustavo/status/1460962626264047619","1460962626264047619")</f>
        <v>1460962626264047619</v>
      </c>
      <c r="F17004" s="7" t="s">
        <v>32</v>
      </c>
      <c r="G17004" s="7">
        <v>4402753</v>
      </c>
      <c r="H17004" s="7">
        <v>2572</v>
      </c>
      <c r="I17004" s="7">
        <v>33</v>
      </c>
      <c r="J17004" s="7">
        <v>127</v>
      </c>
      <c r="K17004" s="7" t="s">
        <v>18</v>
      </c>
      <c r="L17004" s="8">
        <v>39987.315405092595</v>
      </c>
      <c r="M17004" s="9" t="s">
        <v>19</v>
      </c>
      <c r="N17004" s="9" t="s">
        <v>20</v>
      </c>
      <c r="O17004" s="6" t="str">
        <f>HYPERLINK("https://pbs.twimg.com/profile_images/962471262747529216/Uo8lOkRJ_normal.jpg","View")</f>
        <v>View</v>
      </c>
      <c r="P17004" s="7"/>
    </row>
    <row r="17005" spans="1:16">
      <c r="A17005" s="3">
        <v>44517.850671296299</v>
      </c>
      <c r="B17005" s="4" t="str">
        <f>HYPERLINK("https://twitter.com/petrogustavo","@petrogustavo")</f>
        <v>@petrogustavo</v>
      </c>
      <c r="C17005" s="5" t="s">
        <v>16</v>
      </c>
      <c r="D17005" s="5" t="s">
        <v>16367</v>
      </c>
      <c r="E17005" s="6" t="str">
        <f>HYPERLINK("https://twitter.com/petrogustavo/status/1460984815751159809","1460984815751159809")</f>
        <v>1460984815751159809</v>
      </c>
      <c r="F17005" s="7" t="s">
        <v>32</v>
      </c>
      <c r="G17005" s="7">
        <v>4402900</v>
      </c>
      <c r="H17005" s="7">
        <v>2572</v>
      </c>
      <c r="I17005" s="7">
        <v>483</v>
      </c>
      <c r="J17005" s="7">
        <v>1481</v>
      </c>
      <c r="K17005" s="7" t="s">
        <v>18</v>
      </c>
      <c r="L17005" s="8">
        <v>39987.315405092595</v>
      </c>
      <c r="M17005" s="9" t="s">
        <v>19</v>
      </c>
      <c r="N17005" s="9" t="s">
        <v>20</v>
      </c>
      <c r="O17005" s="6" t="str">
        <f>HYPERLINK("https://pbs.twimg.com/profile_images/962471262747529216/Uo8lOkRJ_normal.jpg","View")</f>
        <v>View</v>
      </c>
      <c r="P17005" s="7"/>
    </row>
    <row r="17006" spans="1:16">
      <c r="A17006" s="3">
        <v>44517.978819444441</v>
      </c>
      <c r="B17006" s="4" t="str">
        <f>HYPERLINK("https://twitter.com/petrogustavo","@petrogustavo")</f>
        <v>@petrogustavo</v>
      </c>
      <c r="C17006" s="5" t="s">
        <v>16</v>
      </c>
      <c r="D17006" s="5" t="s">
        <v>16359</v>
      </c>
      <c r="E17006" s="6" t="str">
        <f>HYPERLINK("https://twitter.com/petrogustavo/status/1461031253256425477","1461031253256425477")</f>
        <v>1461031253256425477</v>
      </c>
      <c r="F17006" s="7" t="s">
        <v>17</v>
      </c>
      <c r="G17006" s="7">
        <v>4403043</v>
      </c>
      <c r="H17006" s="7">
        <v>2572</v>
      </c>
      <c r="I17006" s="7">
        <v>193</v>
      </c>
      <c r="J17006" s="7">
        <v>0</v>
      </c>
      <c r="K17006" s="7" t="s">
        <v>18</v>
      </c>
      <c r="L17006" s="8">
        <v>39987.315405092595</v>
      </c>
      <c r="M17006" s="9" t="s">
        <v>19</v>
      </c>
      <c r="N17006" s="9" t="s">
        <v>20</v>
      </c>
      <c r="O17006" s="6" t="str">
        <f>HYPERLINK("https://pbs.twimg.com/profile_images/962471262747529216/Uo8lOkRJ_normal.jpg","View")</f>
        <v>View</v>
      </c>
      <c r="P17006" s="7"/>
    </row>
    <row r="17007" spans="1:16">
      <c r="A17007" s="3">
        <v>44517.98027777778</v>
      </c>
      <c r="B17007" s="4" t="str">
        <f>HYPERLINK("https://twitter.com/petrogustavo","@petrogustavo")</f>
        <v>@petrogustavo</v>
      </c>
      <c r="C17007" s="5" t="s">
        <v>16</v>
      </c>
      <c r="D17007" s="5" t="s">
        <v>16368</v>
      </c>
      <c r="E17007" s="6" t="str">
        <f>HYPERLINK("https://twitter.com/petrogustavo/status/1461031783257026561","1461031783257026561")</f>
        <v>1461031783257026561</v>
      </c>
      <c r="F17007" s="7" t="s">
        <v>17</v>
      </c>
      <c r="G17007" s="7">
        <v>4403043</v>
      </c>
      <c r="H17007" s="7">
        <v>2572</v>
      </c>
      <c r="I17007" s="7">
        <v>1359</v>
      </c>
      <c r="J17007" s="7">
        <v>0</v>
      </c>
      <c r="K17007" s="7" t="s">
        <v>18</v>
      </c>
      <c r="L17007" s="8">
        <v>39987.315405092595</v>
      </c>
      <c r="M17007" s="9" t="s">
        <v>19</v>
      </c>
      <c r="N17007" s="9" t="s">
        <v>20</v>
      </c>
      <c r="O17007" s="6" t="str">
        <f>HYPERLINK("https://pbs.twimg.com/profile_images/962471262747529216/Uo8lOkRJ_normal.jpg","View")</f>
        <v>View</v>
      </c>
      <c r="P17007" s="7"/>
    </row>
    <row r="17008" spans="1:16">
      <c r="A17008" s="3">
        <v>44517.98814814815</v>
      </c>
      <c r="B17008" s="4" t="str">
        <f>HYPERLINK("https://twitter.com/petrogustavo","@petrogustavo")</f>
        <v>@petrogustavo</v>
      </c>
      <c r="C17008" s="5" t="s">
        <v>16</v>
      </c>
      <c r="D17008" s="5" t="s">
        <v>16369</v>
      </c>
      <c r="E17008" s="6" t="str">
        <f>HYPERLINK("https://twitter.com/petrogustavo/status/1461034633831854084","1461034633831854084")</f>
        <v>1461034633831854084</v>
      </c>
      <c r="F17008" s="7" t="s">
        <v>17</v>
      </c>
      <c r="G17008" s="7">
        <v>4403081</v>
      </c>
      <c r="H17008" s="7">
        <v>2572</v>
      </c>
      <c r="I17008" s="7">
        <v>98</v>
      </c>
      <c r="J17008" s="7">
        <v>0</v>
      </c>
      <c r="K17008" s="7" t="s">
        <v>18</v>
      </c>
      <c r="L17008" s="8">
        <v>39987.315405092595</v>
      </c>
      <c r="M17008" s="9" t="s">
        <v>19</v>
      </c>
      <c r="N17008" s="9" t="s">
        <v>20</v>
      </c>
      <c r="O17008" s="6" t="str">
        <f>HYPERLINK("https://pbs.twimg.com/profile_images/962471262747529216/Uo8lOkRJ_normal.jpg","View")</f>
        <v>View</v>
      </c>
      <c r="P17008" s="7"/>
    </row>
    <row r="17009" spans="1:16">
      <c r="A17009" s="3">
        <v>44517.994085648148</v>
      </c>
      <c r="B17009" s="4" t="str">
        <f>HYPERLINK("https://twitter.com/petrogustavo","@petrogustavo")</f>
        <v>@petrogustavo</v>
      </c>
      <c r="C17009" s="5" t="s">
        <v>16</v>
      </c>
      <c r="D17009" s="5" t="s">
        <v>16370</v>
      </c>
      <c r="E17009" s="6" t="str">
        <f>HYPERLINK("https://twitter.com/petrogustavo/status/1461036789284618245","1461036789284618245")</f>
        <v>1461036789284618245</v>
      </c>
      <c r="F17009" s="7" t="s">
        <v>17</v>
      </c>
      <c r="G17009" s="7">
        <v>4403081</v>
      </c>
      <c r="H17009" s="7">
        <v>2572</v>
      </c>
      <c r="I17009" s="7">
        <v>148</v>
      </c>
      <c r="J17009" s="7">
        <v>560</v>
      </c>
      <c r="K17009" s="7" t="s">
        <v>18</v>
      </c>
      <c r="L17009" s="8">
        <v>39987.315405092595</v>
      </c>
      <c r="M17009" s="9" t="s">
        <v>19</v>
      </c>
      <c r="N17009" s="9" t="s">
        <v>20</v>
      </c>
      <c r="O17009" s="6" t="str">
        <f>HYPERLINK("https://pbs.twimg.com/profile_images/962471262747529216/Uo8lOkRJ_normal.jpg","View")</f>
        <v>View</v>
      </c>
      <c r="P17009" s="7"/>
    </row>
    <row r="17010" spans="1:16">
      <c r="A17010" s="3">
        <v>44517.994097222225</v>
      </c>
      <c r="B17010" s="4" t="str">
        <f>HYPERLINK("https://twitter.com/petrogustavo","@petrogustavo")</f>
        <v>@petrogustavo</v>
      </c>
      <c r="C17010" s="5" t="s">
        <v>16</v>
      </c>
      <c r="D17010" s="5" t="s">
        <v>16371</v>
      </c>
      <c r="E17010" s="6" t="str">
        <f>HYPERLINK("https://twitter.com/petrogustavo/status/1461036792442986508","1461036792442986508")</f>
        <v>1461036792442986508</v>
      </c>
      <c r="F17010" s="7" t="s">
        <v>17</v>
      </c>
      <c r="G17010" s="7">
        <v>4403081</v>
      </c>
      <c r="H17010" s="7">
        <v>2572</v>
      </c>
      <c r="I17010" s="7">
        <v>133</v>
      </c>
      <c r="J17010" s="7">
        <v>631</v>
      </c>
      <c r="K17010" s="7" t="s">
        <v>18</v>
      </c>
      <c r="L17010" s="8">
        <v>39987.315405092595</v>
      </c>
      <c r="M17010" s="9" t="s">
        <v>19</v>
      </c>
      <c r="N17010" s="9" t="s">
        <v>20</v>
      </c>
      <c r="O17010" s="6" t="str">
        <f>HYPERLINK("https://pbs.twimg.com/profile_images/962471262747529216/Uo8lOkRJ_normal.jpg","View")</f>
        <v>View</v>
      </c>
      <c r="P17010" s="7"/>
    </row>
    <row r="17011" spans="1:16">
      <c r="A17011" s="3">
        <v>44518.163090277776</v>
      </c>
      <c r="B17011" s="4" t="str">
        <f>HYPERLINK("https://twitter.com/petrogustavo","@petrogustavo")</f>
        <v>@petrogustavo</v>
      </c>
      <c r="C17011" s="5" t="s">
        <v>16</v>
      </c>
      <c r="D17011" s="5" t="s">
        <v>16372</v>
      </c>
      <c r="E17011" s="6" t="str">
        <f>HYPERLINK("https://twitter.com/petrogustavo/status/1461098031772803079","1461098031772803079")</f>
        <v>1461098031772803079</v>
      </c>
      <c r="F17011" s="7" t="s">
        <v>32</v>
      </c>
      <c r="G17011" s="7">
        <v>4403323</v>
      </c>
      <c r="H17011" s="7">
        <v>2572</v>
      </c>
      <c r="I17011" s="7">
        <v>136</v>
      </c>
      <c r="J17011" s="7">
        <v>466</v>
      </c>
      <c r="K17011" s="7" t="s">
        <v>18</v>
      </c>
      <c r="L17011" s="8">
        <v>39987.315405092595</v>
      </c>
      <c r="M17011" s="9" t="s">
        <v>19</v>
      </c>
      <c r="N17011" s="9" t="s">
        <v>20</v>
      </c>
      <c r="O17011" s="6" t="str">
        <f>HYPERLINK("https://pbs.twimg.com/profile_images/962471262747529216/Uo8lOkRJ_normal.jpg","View")</f>
        <v>View</v>
      </c>
      <c r="P17011" s="7"/>
    </row>
    <row r="17012" spans="1:16">
      <c r="A17012" s="3">
        <v>44518.243460648147</v>
      </c>
      <c r="B17012" s="4" t="str">
        <f>HYPERLINK("https://twitter.com/petrogustavo","@petrogustavo")</f>
        <v>@petrogustavo</v>
      </c>
      <c r="C17012" s="5" t="s">
        <v>16</v>
      </c>
      <c r="D17012" s="5" t="s">
        <v>16373</v>
      </c>
      <c r="E17012" s="6" t="str">
        <f>HYPERLINK("https://twitter.com/petrogustavo/status/1461127158915600390","1461127158915600390")</f>
        <v>1461127158915600390</v>
      </c>
      <c r="F17012" s="7" t="s">
        <v>32</v>
      </c>
      <c r="G17012" s="7">
        <v>4403453</v>
      </c>
      <c r="H17012" s="7">
        <v>2572</v>
      </c>
      <c r="I17012" s="7">
        <v>214</v>
      </c>
      <c r="J17012" s="7">
        <v>0</v>
      </c>
      <c r="K17012" s="7" t="s">
        <v>18</v>
      </c>
      <c r="L17012" s="8">
        <v>39987.315405092595</v>
      </c>
      <c r="M17012" s="9" t="s">
        <v>19</v>
      </c>
      <c r="N17012" s="9" t="s">
        <v>20</v>
      </c>
      <c r="O17012" s="6" t="str">
        <f>HYPERLINK("https://pbs.twimg.com/profile_images/962471262747529216/Uo8lOkRJ_normal.jpg","View")</f>
        <v>View</v>
      </c>
      <c r="P17012" s="7"/>
    </row>
    <row r="17013" spans="1:16">
      <c r="A17013" s="3">
        <v>44518.344340277778</v>
      </c>
      <c r="B17013" s="4" t="str">
        <f>HYPERLINK("https://twitter.com/petrogustavo","@petrogustavo")</f>
        <v>@petrogustavo</v>
      </c>
      <c r="C17013" s="5" t="s">
        <v>16</v>
      </c>
      <c r="D17013" s="5" t="s">
        <v>16374</v>
      </c>
      <c r="E17013" s="6" t="str">
        <f>HYPERLINK("https://twitter.com/petrogustavo/status/1461163716163125255","1461163716163125255")</f>
        <v>1461163716163125255</v>
      </c>
      <c r="F17013" s="7" t="s">
        <v>32</v>
      </c>
      <c r="G17013" s="7">
        <v>4403686</v>
      </c>
      <c r="H17013" s="7">
        <v>2572</v>
      </c>
      <c r="I17013" s="7">
        <v>456</v>
      </c>
      <c r="J17013" s="7">
        <v>0</v>
      </c>
      <c r="K17013" s="7" t="s">
        <v>18</v>
      </c>
      <c r="L17013" s="8">
        <v>39987.315405092595</v>
      </c>
      <c r="M17013" s="9" t="s">
        <v>19</v>
      </c>
      <c r="N17013" s="9" t="s">
        <v>20</v>
      </c>
      <c r="O17013" s="6" t="str">
        <f>HYPERLINK("https://pbs.twimg.com/profile_images/962471262747529216/Uo8lOkRJ_normal.jpg","View")</f>
        <v>View</v>
      </c>
      <c r="P17013" s="7"/>
    </row>
    <row r="17014" spans="1:16">
      <c r="A17014" s="3">
        <v>44518.73364583333</v>
      </c>
      <c r="B17014" s="4" t="str">
        <f>HYPERLINK("https://twitter.com/petrogustavo","@petrogustavo")</f>
        <v>@petrogustavo</v>
      </c>
      <c r="C17014" s="5" t="s">
        <v>16</v>
      </c>
      <c r="D17014" s="5" t="s">
        <v>16375</v>
      </c>
      <c r="E17014" s="6" t="str">
        <f>HYPERLINK("https://twitter.com/petrogustavo/status/1461304795684392962","1461304795684392962")</f>
        <v>1461304795684392962</v>
      </c>
      <c r="F17014" s="7" t="s">
        <v>17</v>
      </c>
      <c r="G17014" s="7">
        <v>4403991</v>
      </c>
      <c r="H17014" s="7">
        <v>2572</v>
      </c>
      <c r="I17014" s="7">
        <v>329</v>
      </c>
      <c r="J17014" s="7">
        <v>1364</v>
      </c>
      <c r="K17014" s="7" t="s">
        <v>18</v>
      </c>
      <c r="L17014" s="8">
        <v>39987.315405092595</v>
      </c>
      <c r="M17014" s="9" t="s">
        <v>19</v>
      </c>
      <c r="N17014" s="9" t="s">
        <v>20</v>
      </c>
      <c r="O17014" s="6" t="str">
        <f>HYPERLINK("https://pbs.twimg.com/profile_images/962471262747529216/Uo8lOkRJ_normal.jpg","View")</f>
        <v>View</v>
      </c>
      <c r="P17014" s="7"/>
    </row>
    <row r="17015" spans="1:16">
      <c r="A17015" s="3">
        <v>44518.892870370371</v>
      </c>
      <c r="B17015" s="4" t="str">
        <f>HYPERLINK("https://twitter.com/petrogustavo","@petrogustavo")</f>
        <v>@petrogustavo</v>
      </c>
      <c r="C17015" s="5" t="s">
        <v>16</v>
      </c>
      <c r="D17015" s="5" t="s">
        <v>16376</v>
      </c>
      <c r="E17015" s="6" t="str">
        <f>HYPERLINK("https://twitter.com/petrogustavo/status/1461362495919050760","1461362495919050760")</f>
        <v>1461362495919050760</v>
      </c>
      <c r="F17015" s="7" t="s">
        <v>17</v>
      </c>
      <c r="G17015" s="7">
        <v>4403444</v>
      </c>
      <c r="H17015" s="7">
        <v>2573</v>
      </c>
      <c r="I17015" s="7">
        <v>78</v>
      </c>
      <c r="J17015" s="7">
        <v>316</v>
      </c>
      <c r="K17015" s="7" t="s">
        <v>18</v>
      </c>
      <c r="L17015" s="8">
        <v>39987.315405092595</v>
      </c>
      <c r="M17015" s="9" t="s">
        <v>19</v>
      </c>
      <c r="N17015" s="9" t="s">
        <v>20</v>
      </c>
      <c r="O17015" s="6" t="str">
        <f>HYPERLINK("https://pbs.twimg.com/profile_images/962471262747529216/Uo8lOkRJ_normal.jpg","View")</f>
        <v>View</v>
      </c>
      <c r="P17015" s="7"/>
    </row>
    <row r="17016" spans="1:16">
      <c r="A17016" s="3">
        <v>44519.074178240742</v>
      </c>
      <c r="B17016" s="4" t="str">
        <f>HYPERLINK("https://twitter.com/petrogustavo","@petrogustavo")</f>
        <v>@petrogustavo</v>
      </c>
      <c r="C17016" s="5" t="s">
        <v>16</v>
      </c>
      <c r="D17016" s="5" t="s">
        <v>16377</v>
      </c>
      <c r="E17016" s="6" t="str">
        <f>HYPERLINK("https://twitter.com/petrogustavo/status/1461428201624944644","1461428201624944644")</f>
        <v>1461428201624944644</v>
      </c>
      <c r="F17016" s="7" t="s">
        <v>17</v>
      </c>
      <c r="G17016" s="7">
        <v>4404435</v>
      </c>
      <c r="H17016" s="7">
        <v>2572</v>
      </c>
      <c r="I17016" s="7">
        <v>174</v>
      </c>
      <c r="J17016" s="7">
        <v>665</v>
      </c>
      <c r="K17016" s="7" t="s">
        <v>18</v>
      </c>
      <c r="L17016" s="8">
        <v>39987.315405092595</v>
      </c>
      <c r="M17016" s="9" t="s">
        <v>19</v>
      </c>
      <c r="N17016" s="9" t="s">
        <v>20</v>
      </c>
      <c r="O17016" s="6" t="str">
        <f>HYPERLINK("https://pbs.twimg.com/profile_images/962471262747529216/Uo8lOkRJ_normal.jpg","View")</f>
        <v>View</v>
      </c>
      <c r="P17016" s="7"/>
    </row>
    <row r="17017" spans="1:16">
      <c r="A17017" s="3">
        <v>44519.179942129631</v>
      </c>
      <c r="B17017" s="4" t="str">
        <f>HYPERLINK("https://twitter.com/petrogustavo","@petrogustavo")</f>
        <v>@petrogustavo</v>
      </c>
      <c r="C17017" s="5" t="s">
        <v>16</v>
      </c>
      <c r="D17017" s="5" t="s">
        <v>16378</v>
      </c>
      <c r="E17017" s="6" t="str">
        <f>HYPERLINK("https://twitter.com/petrogustavo/status/1461466527249674246","1461466527249674246")</f>
        <v>1461466527249674246</v>
      </c>
      <c r="F17017" s="7" t="s">
        <v>17</v>
      </c>
      <c r="G17017" s="7">
        <v>4404606</v>
      </c>
      <c r="H17017" s="7">
        <v>2572</v>
      </c>
      <c r="I17017" s="7">
        <v>198</v>
      </c>
      <c r="J17017" s="7">
        <v>811</v>
      </c>
      <c r="K17017" s="7" t="s">
        <v>18</v>
      </c>
      <c r="L17017" s="8">
        <v>39987.315405092595</v>
      </c>
      <c r="M17017" s="9" t="s">
        <v>19</v>
      </c>
      <c r="N17017" s="9" t="s">
        <v>20</v>
      </c>
      <c r="O17017" s="6" t="str">
        <f>HYPERLINK("https://pbs.twimg.com/profile_images/962471262747529216/Uo8lOkRJ_normal.jpg","View")</f>
        <v>View</v>
      </c>
      <c r="P17017" s="7"/>
    </row>
    <row r="17018" spans="1:16">
      <c r="A17018" s="3">
        <v>44519.272245370375</v>
      </c>
      <c r="B17018" s="4" t="str">
        <f>HYPERLINK("https://twitter.com/petrogustavo","@petrogustavo")</f>
        <v>@petrogustavo</v>
      </c>
      <c r="C17018" s="5" t="s">
        <v>16</v>
      </c>
      <c r="D17018" s="5" t="s">
        <v>16379</v>
      </c>
      <c r="E17018" s="6" t="str">
        <f>HYPERLINK("https://twitter.com/petrogustavo/status/1461499977574797318","1461499977574797318")</f>
        <v>1461499977574797318</v>
      </c>
      <c r="F17018" s="7" t="s">
        <v>17</v>
      </c>
      <c r="G17018" s="7">
        <v>4404719</v>
      </c>
      <c r="H17018" s="7">
        <v>2572</v>
      </c>
      <c r="I17018" s="7">
        <v>24</v>
      </c>
      <c r="J17018" s="7">
        <v>0</v>
      </c>
      <c r="K17018" s="7" t="s">
        <v>18</v>
      </c>
      <c r="L17018" s="8">
        <v>39987.315405092595</v>
      </c>
      <c r="M17018" s="9" t="s">
        <v>19</v>
      </c>
      <c r="N17018" s="9" t="s">
        <v>20</v>
      </c>
      <c r="O17018" s="6" t="str">
        <f>HYPERLINK("https://pbs.twimg.com/profile_images/962471262747529216/Uo8lOkRJ_normal.jpg","View")</f>
        <v>View</v>
      </c>
      <c r="P17018" s="7"/>
    </row>
    <row r="17019" spans="1:16">
      <c r="A17019" s="3">
        <v>44519.273229166662</v>
      </c>
      <c r="B17019" s="4" t="str">
        <f>HYPERLINK("https://twitter.com/petrogustavo","@petrogustavo")</f>
        <v>@petrogustavo</v>
      </c>
      <c r="C17019" s="5" t="s">
        <v>16</v>
      </c>
      <c r="D17019" s="5" t="s">
        <v>16380</v>
      </c>
      <c r="E17019" s="6" t="str">
        <f>HYPERLINK("https://twitter.com/petrogustavo/status/1461500332962459654","1461500332962459654")</f>
        <v>1461500332962459654</v>
      </c>
      <c r="F17019" s="7" t="s">
        <v>17</v>
      </c>
      <c r="G17019" s="7">
        <v>4404739</v>
      </c>
      <c r="H17019" s="7">
        <v>2572</v>
      </c>
      <c r="I17019" s="7">
        <v>222</v>
      </c>
      <c r="J17019" s="7">
        <v>738</v>
      </c>
      <c r="K17019" s="7" t="s">
        <v>18</v>
      </c>
      <c r="L17019" s="8">
        <v>39987.315405092595</v>
      </c>
      <c r="M17019" s="9" t="s">
        <v>19</v>
      </c>
      <c r="N17019" s="9" t="s">
        <v>20</v>
      </c>
      <c r="O17019" s="6" t="str">
        <f>HYPERLINK("https://pbs.twimg.com/profile_images/962471262747529216/Uo8lOkRJ_normal.jpg","View")</f>
        <v>View</v>
      </c>
      <c r="P17019" s="7"/>
    </row>
    <row r="17020" spans="1:16">
      <c r="A17020" s="3">
        <v>44519.300636574073</v>
      </c>
      <c r="B17020" s="4" t="str">
        <f>HYPERLINK("https://twitter.com/petrogustavo","@petrogustavo")</f>
        <v>@petrogustavo</v>
      </c>
      <c r="C17020" s="5" t="s">
        <v>16</v>
      </c>
      <c r="D17020" s="5" t="s">
        <v>16381</v>
      </c>
      <c r="E17020" s="6" t="str">
        <f>HYPERLINK("https://twitter.com/petrogustavo/status/1461510264742989828","1461510264742989828")</f>
        <v>1461510264742989828</v>
      </c>
      <c r="F17020" s="7" t="s">
        <v>17</v>
      </c>
      <c r="G17020" s="7">
        <v>4404729</v>
      </c>
      <c r="H17020" s="7">
        <v>2572</v>
      </c>
      <c r="I17020" s="7">
        <v>482</v>
      </c>
      <c r="J17020" s="7">
        <v>0</v>
      </c>
      <c r="K17020" s="7" t="s">
        <v>18</v>
      </c>
      <c r="L17020" s="8">
        <v>39987.315405092595</v>
      </c>
      <c r="M17020" s="9" t="s">
        <v>19</v>
      </c>
      <c r="N17020" s="9" t="s">
        <v>20</v>
      </c>
      <c r="O17020" s="6" t="str">
        <f>HYPERLINK("https://pbs.twimg.com/profile_images/962471262747529216/Uo8lOkRJ_normal.jpg","View")</f>
        <v>View</v>
      </c>
      <c r="P17020" s="7"/>
    </row>
    <row r="17021" spans="1:16">
      <c r="A17021" s="3">
        <v>44519.30091435185</v>
      </c>
      <c r="B17021" s="4" t="str">
        <f>HYPERLINK("https://twitter.com/petrogustavo","@petrogustavo")</f>
        <v>@petrogustavo</v>
      </c>
      <c r="C17021" s="5" t="s">
        <v>16</v>
      </c>
      <c r="D17021" s="5" t="s">
        <v>16382</v>
      </c>
      <c r="E17021" s="6" t="str">
        <f>HYPERLINK("https://twitter.com/petrogustavo/status/1461510364600877065","1461510364600877065")</f>
        <v>1461510364600877065</v>
      </c>
      <c r="F17021" s="7" t="s">
        <v>17</v>
      </c>
      <c r="G17021" s="7">
        <v>4404729</v>
      </c>
      <c r="H17021" s="7">
        <v>2572</v>
      </c>
      <c r="I17021" s="7">
        <v>216</v>
      </c>
      <c r="J17021" s="7">
        <v>0</v>
      </c>
      <c r="K17021" s="7" t="s">
        <v>18</v>
      </c>
      <c r="L17021" s="8">
        <v>39987.315405092595</v>
      </c>
      <c r="M17021" s="9" t="s">
        <v>19</v>
      </c>
      <c r="N17021" s="9" t="s">
        <v>20</v>
      </c>
      <c r="O17021" s="6" t="str">
        <f>HYPERLINK("https://pbs.twimg.com/profile_images/962471262747529216/Uo8lOkRJ_normal.jpg","View")</f>
        <v>View</v>
      </c>
      <c r="P17021" s="7"/>
    </row>
    <row r="17022" spans="1:16">
      <c r="A17022" s="3">
        <v>44519.30097222222</v>
      </c>
      <c r="B17022" s="4" t="str">
        <f>HYPERLINK("https://twitter.com/petrogustavo","@petrogustavo")</f>
        <v>@petrogustavo</v>
      </c>
      <c r="C17022" s="5" t="s">
        <v>16</v>
      </c>
      <c r="D17022" s="5" t="s">
        <v>16383</v>
      </c>
      <c r="E17022" s="6" t="str">
        <f>HYPERLINK("https://twitter.com/petrogustavo/status/1461510388877381637","1461510388877381637")</f>
        <v>1461510388877381637</v>
      </c>
      <c r="F17022" s="7" t="s">
        <v>17</v>
      </c>
      <c r="G17022" s="7">
        <v>4404729</v>
      </c>
      <c r="H17022" s="7">
        <v>2572</v>
      </c>
      <c r="I17022" s="7">
        <v>487</v>
      </c>
      <c r="J17022" s="7">
        <v>0</v>
      </c>
      <c r="K17022" s="7" t="s">
        <v>18</v>
      </c>
      <c r="L17022" s="8">
        <v>39987.315405092595</v>
      </c>
      <c r="M17022" s="9" t="s">
        <v>19</v>
      </c>
      <c r="N17022" s="9" t="s">
        <v>20</v>
      </c>
      <c r="O17022" s="6" t="str">
        <f>HYPERLINK("https://pbs.twimg.com/profile_images/962471262747529216/Uo8lOkRJ_normal.jpg","View")</f>
        <v>View</v>
      </c>
      <c r="P17022" s="7"/>
    </row>
    <row r="17023" spans="1:16">
      <c r="A17023" s="3">
        <v>44519.301342592589</v>
      </c>
      <c r="B17023" s="4" t="str">
        <f>HYPERLINK("https://twitter.com/petrogustavo","@petrogustavo")</f>
        <v>@petrogustavo</v>
      </c>
      <c r="C17023" s="5" t="s">
        <v>16</v>
      </c>
      <c r="D17023" s="5" t="s">
        <v>16384</v>
      </c>
      <c r="E17023" s="6" t="str">
        <f>HYPERLINK("https://twitter.com/petrogustavo/status/1461510522583625730","1461510522583625730")</f>
        <v>1461510522583625730</v>
      </c>
      <c r="F17023" s="7" t="s">
        <v>17</v>
      </c>
      <c r="G17023" s="7">
        <v>4404729</v>
      </c>
      <c r="H17023" s="7">
        <v>2572</v>
      </c>
      <c r="I17023" s="7">
        <v>376</v>
      </c>
      <c r="J17023" s="7">
        <v>0</v>
      </c>
      <c r="K17023" s="7" t="s">
        <v>18</v>
      </c>
      <c r="L17023" s="8">
        <v>39987.315405092595</v>
      </c>
      <c r="M17023" s="9" t="s">
        <v>19</v>
      </c>
      <c r="N17023" s="9" t="s">
        <v>20</v>
      </c>
      <c r="O17023" s="6" t="str">
        <f>HYPERLINK("https://pbs.twimg.com/profile_images/962471262747529216/Uo8lOkRJ_normal.jpg","View")</f>
        <v>View</v>
      </c>
      <c r="P17023" s="7"/>
    </row>
    <row r="17024" spans="1:16">
      <c r="A17024" s="3">
        <v>44519.301435185189</v>
      </c>
      <c r="B17024" s="4" t="str">
        <f>HYPERLINK("https://twitter.com/petrogustavo","@petrogustavo")</f>
        <v>@petrogustavo</v>
      </c>
      <c r="C17024" s="5" t="s">
        <v>16</v>
      </c>
      <c r="D17024" s="5" t="s">
        <v>16385</v>
      </c>
      <c r="E17024" s="6" t="str">
        <f>HYPERLINK("https://twitter.com/petrogustavo/status/1461510553579528194","1461510553579528194")</f>
        <v>1461510553579528194</v>
      </c>
      <c r="F17024" s="7" t="s">
        <v>17</v>
      </c>
      <c r="G17024" s="7">
        <v>4404729</v>
      </c>
      <c r="H17024" s="7">
        <v>2572</v>
      </c>
      <c r="I17024" s="7">
        <v>362</v>
      </c>
      <c r="J17024" s="7">
        <v>0</v>
      </c>
      <c r="K17024" s="7" t="s">
        <v>18</v>
      </c>
      <c r="L17024" s="8">
        <v>39987.315405092595</v>
      </c>
      <c r="M17024" s="9" t="s">
        <v>19</v>
      </c>
      <c r="N17024" s="9" t="s">
        <v>20</v>
      </c>
      <c r="O17024" s="6" t="str">
        <f>HYPERLINK("https://pbs.twimg.com/profile_images/962471262747529216/Uo8lOkRJ_normal.jpg","View")</f>
        <v>View</v>
      </c>
      <c r="P17024" s="7"/>
    </row>
    <row r="17025" spans="1:16">
      <c r="A17025" s="3">
        <v>44520.258958333332</v>
      </c>
      <c r="B17025" s="4" t="str">
        <f>HYPERLINK("https://twitter.com/petrogustavo","@petrogustavo")</f>
        <v>@petrogustavo</v>
      </c>
      <c r="C17025" s="5" t="s">
        <v>16</v>
      </c>
      <c r="D17025" s="5" t="s">
        <v>16386</v>
      </c>
      <c r="E17025" s="6" t="str">
        <f>HYPERLINK("https://twitter.com/petrogustavo/status/1461857550295568391","1461857550295568391")</f>
        <v>1461857550295568391</v>
      </c>
      <c r="F17025" s="7" t="s">
        <v>17</v>
      </c>
      <c r="G17025" s="7">
        <v>4405729</v>
      </c>
      <c r="H17025" s="7">
        <v>2574</v>
      </c>
      <c r="I17025" s="7">
        <v>353</v>
      </c>
      <c r="J17025" s="7">
        <v>1165</v>
      </c>
      <c r="K17025" s="7" t="s">
        <v>18</v>
      </c>
      <c r="L17025" s="8">
        <v>39987.315405092595</v>
      </c>
      <c r="M17025" s="9" t="s">
        <v>19</v>
      </c>
      <c r="N17025" s="9" t="s">
        <v>20</v>
      </c>
      <c r="O17025" s="6" t="str">
        <f>HYPERLINK("https://pbs.twimg.com/profile_images/962471262747529216/Uo8lOkRJ_normal.jpg","View")</f>
        <v>View</v>
      </c>
      <c r="P17025" s="7"/>
    </row>
    <row r="17026" spans="1:16">
      <c r="A17026" s="3">
        <v>44520.283750000002</v>
      </c>
      <c r="B17026" s="4" t="str">
        <f>HYPERLINK("https://twitter.com/petrogustavo","@petrogustavo")</f>
        <v>@petrogustavo</v>
      </c>
      <c r="C17026" s="5" t="s">
        <v>16</v>
      </c>
      <c r="D17026" s="5" t="s">
        <v>16387</v>
      </c>
      <c r="E17026" s="6" t="str">
        <f>HYPERLINK("https://twitter.com/petrogustavo/status/1461866534834520072","1461866534834520072")</f>
        <v>1461866534834520072</v>
      </c>
      <c r="F17026" s="7" t="s">
        <v>17</v>
      </c>
      <c r="G17026" s="7">
        <v>4405753</v>
      </c>
      <c r="H17026" s="7">
        <v>2574</v>
      </c>
      <c r="I17026" s="7">
        <v>165</v>
      </c>
      <c r="J17026" s="7">
        <v>497</v>
      </c>
      <c r="K17026" s="7" t="s">
        <v>18</v>
      </c>
      <c r="L17026" s="8">
        <v>39987.315405092595</v>
      </c>
      <c r="M17026" s="9" t="s">
        <v>19</v>
      </c>
      <c r="N17026" s="9" t="s">
        <v>20</v>
      </c>
      <c r="O17026" s="6" t="str">
        <f>HYPERLINK("https://pbs.twimg.com/profile_images/962471262747529216/Uo8lOkRJ_normal.jpg","View")</f>
        <v>View</v>
      </c>
      <c r="P17026" s="7"/>
    </row>
    <row r="17027" spans="1:16">
      <c r="A17027" s="3">
        <v>44520.899097222224</v>
      </c>
      <c r="B17027" s="4" t="str">
        <f>HYPERLINK("https://twitter.com/petrogustavo","@petrogustavo")</f>
        <v>@petrogustavo</v>
      </c>
      <c r="C17027" s="5" t="s">
        <v>16</v>
      </c>
      <c r="D17027" s="5" t="s">
        <v>16388</v>
      </c>
      <c r="E17027" s="6" t="str">
        <f>HYPERLINK("https://twitter.com/petrogustavo/status/1462089528597008384","1462089528597008384")</f>
        <v>1462089528597008384</v>
      </c>
      <c r="F17027" s="7" t="s">
        <v>32</v>
      </c>
      <c r="G17027" s="7">
        <v>4406165</v>
      </c>
      <c r="H17027" s="7">
        <v>2574</v>
      </c>
      <c r="I17027" s="7">
        <v>49</v>
      </c>
      <c r="J17027" s="7">
        <v>0</v>
      </c>
      <c r="K17027" s="7" t="s">
        <v>18</v>
      </c>
      <c r="L17027" s="8">
        <v>39987.315405092595</v>
      </c>
      <c r="M17027" s="9" t="s">
        <v>19</v>
      </c>
      <c r="N17027" s="9" t="s">
        <v>20</v>
      </c>
      <c r="O17027" s="6" t="str">
        <f>HYPERLINK("https://pbs.twimg.com/profile_images/962471262747529216/Uo8lOkRJ_normal.jpg","View")</f>
        <v>View</v>
      </c>
      <c r="P17027" s="7"/>
    </row>
    <row r="17028" spans="1:16">
      <c r="A17028" s="3">
        <v>44520.901064814811</v>
      </c>
      <c r="B17028" s="4" t="str">
        <f>HYPERLINK("https://twitter.com/petrogustavo","@petrogustavo")</f>
        <v>@petrogustavo</v>
      </c>
      <c r="C17028" s="5" t="s">
        <v>16</v>
      </c>
      <c r="D17028" s="5" t="s">
        <v>16389</v>
      </c>
      <c r="E17028" s="6" t="str">
        <f>HYPERLINK("https://twitter.com/petrogustavo/status/1462090243109273607","1462090243109273607")</f>
        <v>1462090243109273607</v>
      </c>
      <c r="F17028" s="7" t="s">
        <v>32</v>
      </c>
      <c r="G17028" s="7">
        <v>4406165</v>
      </c>
      <c r="H17028" s="7">
        <v>2574</v>
      </c>
      <c r="I17028" s="7">
        <v>70</v>
      </c>
      <c r="J17028" s="7">
        <v>0</v>
      </c>
      <c r="K17028" s="7" t="s">
        <v>18</v>
      </c>
      <c r="L17028" s="8">
        <v>39987.315405092595</v>
      </c>
      <c r="M17028" s="9" t="s">
        <v>19</v>
      </c>
      <c r="N17028" s="9" t="s">
        <v>20</v>
      </c>
      <c r="O17028" s="6" t="str">
        <f>HYPERLINK("https://pbs.twimg.com/profile_images/962471262747529216/Uo8lOkRJ_normal.jpg","View")</f>
        <v>View</v>
      </c>
      <c r="P17028" s="7"/>
    </row>
    <row r="17029" spans="1:16">
      <c r="A17029" s="3">
        <v>44520.904328703706</v>
      </c>
      <c r="B17029" s="4" t="str">
        <f>HYPERLINK("https://twitter.com/petrogustavo","@petrogustavo")</f>
        <v>@petrogustavo</v>
      </c>
      <c r="C17029" s="5" t="s">
        <v>16</v>
      </c>
      <c r="D17029" s="5" t="s">
        <v>16390</v>
      </c>
      <c r="E17029" s="6" t="str">
        <f>HYPERLINK("https://twitter.com/petrogustavo/status/1462091424732696580","1462091424732696580")</f>
        <v>1462091424732696580</v>
      </c>
      <c r="F17029" s="7" t="s">
        <v>32</v>
      </c>
      <c r="G17029" s="7">
        <v>4406165</v>
      </c>
      <c r="H17029" s="7">
        <v>2574</v>
      </c>
      <c r="I17029" s="7">
        <v>45</v>
      </c>
      <c r="J17029" s="7">
        <v>0</v>
      </c>
      <c r="K17029" s="7" t="s">
        <v>18</v>
      </c>
      <c r="L17029" s="8">
        <v>39987.315405092595</v>
      </c>
      <c r="M17029" s="9" t="s">
        <v>19</v>
      </c>
      <c r="N17029" s="9" t="s">
        <v>20</v>
      </c>
      <c r="O17029" s="6" t="str">
        <f>HYPERLINK("https://pbs.twimg.com/profile_images/962471262747529216/Uo8lOkRJ_normal.jpg","View")</f>
        <v>View</v>
      </c>
      <c r="P17029" s="7"/>
    </row>
    <row r="17030" spans="1:16">
      <c r="A17030" s="3">
        <v>44520.905462962968</v>
      </c>
      <c r="B17030" s="4" t="str">
        <f>HYPERLINK("https://twitter.com/petrogustavo","@petrogustavo")</f>
        <v>@petrogustavo</v>
      </c>
      <c r="C17030" s="5" t="s">
        <v>16</v>
      </c>
      <c r="D17030" s="5" t="s">
        <v>16391</v>
      </c>
      <c r="E17030" s="6" t="str">
        <f>HYPERLINK("https://twitter.com/petrogustavo/status/1462091835040583690","1462091835040583690")</f>
        <v>1462091835040583690</v>
      </c>
      <c r="F17030" s="7" t="s">
        <v>32</v>
      </c>
      <c r="G17030" s="7">
        <v>4406165</v>
      </c>
      <c r="H17030" s="7">
        <v>2574</v>
      </c>
      <c r="I17030" s="7">
        <v>13</v>
      </c>
      <c r="J17030" s="7">
        <v>0</v>
      </c>
      <c r="K17030" s="7" t="s">
        <v>18</v>
      </c>
      <c r="L17030" s="8">
        <v>39987.315405092595</v>
      </c>
      <c r="M17030" s="9" t="s">
        <v>19</v>
      </c>
      <c r="N17030" s="9" t="s">
        <v>20</v>
      </c>
      <c r="O17030" s="6" t="str">
        <f>HYPERLINK("https://pbs.twimg.com/profile_images/962471262747529216/Uo8lOkRJ_normal.jpg","View")</f>
        <v>View</v>
      </c>
      <c r="P17030" s="7"/>
    </row>
    <row r="17031" spans="1:16">
      <c r="A17031" s="3">
        <v>44520.917488425926</v>
      </c>
      <c r="B17031" s="4" t="str">
        <f>HYPERLINK("https://twitter.com/petrogustavo","@petrogustavo")</f>
        <v>@petrogustavo</v>
      </c>
      <c r="C17031" s="5" t="s">
        <v>16</v>
      </c>
      <c r="D17031" s="5" t="s">
        <v>16392</v>
      </c>
      <c r="E17031" s="6" t="str">
        <f>HYPERLINK("https://twitter.com/petrogustavo/status/1462096191848697862","1462096191848697862")</f>
        <v>1462096191848697862</v>
      </c>
      <c r="F17031" s="7" t="s">
        <v>32</v>
      </c>
      <c r="G17031" s="7">
        <v>4406165</v>
      </c>
      <c r="H17031" s="7">
        <v>2574</v>
      </c>
      <c r="I17031" s="7">
        <v>16</v>
      </c>
      <c r="J17031" s="7">
        <v>43</v>
      </c>
      <c r="K17031" s="7" t="s">
        <v>18</v>
      </c>
      <c r="L17031" s="8">
        <v>39987.315405092595</v>
      </c>
      <c r="M17031" s="9" t="s">
        <v>19</v>
      </c>
      <c r="N17031" s="9" t="s">
        <v>20</v>
      </c>
      <c r="O17031" s="6" t="str">
        <f>HYPERLINK("https://pbs.twimg.com/profile_images/962471262747529216/Uo8lOkRJ_normal.jpg","View")</f>
        <v>View</v>
      </c>
      <c r="P17031" s="7"/>
    </row>
    <row r="17032" spans="1:16">
      <c r="A17032" s="3">
        <v>44520.92496527778</v>
      </c>
      <c r="B17032" s="4" t="str">
        <f>HYPERLINK("https://twitter.com/petrogustavo","@petrogustavo")</f>
        <v>@petrogustavo</v>
      </c>
      <c r="C17032" s="5" t="s">
        <v>16</v>
      </c>
      <c r="D17032" s="5" t="s">
        <v>16393</v>
      </c>
      <c r="E17032" s="6" t="str">
        <f>HYPERLINK("https://twitter.com/petrogustavo/status/1462098901989830656","1462098901989830656")</f>
        <v>1462098901989830656</v>
      </c>
      <c r="F17032" s="7" t="s">
        <v>32</v>
      </c>
      <c r="G17032" s="7">
        <v>4406193</v>
      </c>
      <c r="H17032" s="7">
        <v>2574</v>
      </c>
      <c r="I17032" s="7">
        <v>146</v>
      </c>
      <c r="J17032" s="7">
        <v>371</v>
      </c>
      <c r="K17032" s="7" t="s">
        <v>18</v>
      </c>
      <c r="L17032" s="8">
        <v>39987.315405092595</v>
      </c>
      <c r="M17032" s="9" t="s">
        <v>19</v>
      </c>
      <c r="N17032" s="9" t="s">
        <v>20</v>
      </c>
      <c r="O17032" s="6" t="str">
        <f>HYPERLINK("https://pbs.twimg.com/profile_images/962471262747529216/Uo8lOkRJ_normal.jpg","View")</f>
        <v>View</v>
      </c>
      <c r="P17032" s="7"/>
    </row>
    <row r="17033" spans="1:16">
      <c r="A17033" s="3">
        <v>44520.92496527778</v>
      </c>
      <c r="B17033" s="4" t="str">
        <f>HYPERLINK("https://twitter.com/petrogustavo","@petrogustavo")</f>
        <v>@petrogustavo</v>
      </c>
      <c r="C17033" s="5" t="s">
        <v>16</v>
      </c>
      <c r="D17033" s="5" t="s">
        <v>16394</v>
      </c>
      <c r="E17033" s="6" t="str">
        <f>HYPERLINK("https://twitter.com/petrogustavo/status/1462098903948566528","1462098903948566528")</f>
        <v>1462098903948566528</v>
      </c>
      <c r="F17033" s="7" t="s">
        <v>32</v>
      </c>
      <c r="G17033" s="7">
        <v>4406193</v>
      </c>
      <c r="H17033" s="7">
        <v>2574</v>
      </c>
      <c r="I17033" s="7">
        <v>65</v>
      </c>
      <c r="J17033" s="7">
        <v>214</v>
      </c>
      <c r="K17033" s="7" t="s">
        <v>18</v>
      </c>
      <c r="L17033" s="8">
        <v>39987.315405092595</v>
      </c>
      <c r="M17033" s="9" t="s">
        <v>19</v>
      </c>
      <c r="N17033" s="9" t="s">
        <v>20</v>
      </c>
      <c r="O17033" s="6" t="str">
        <f>HYPERLINK("https://pbs.twimg.com/profile_images/962471262747529216/Uo8lOkRJ_normal.jpg","View")</f>
        <v>View</v>
      </c>
      <c r="P17033" s="7"/>
    </row>
    <row r="17034" spans="1:16">
      <c r="A17034" s="3">
        <v>44520.924976851849</v>
      </c>
      <c r="B17034" s="4" t="str">
        <f>HYPERLINK("https://twitter.com/petrogustavo","@petrogustavo")</f>
        <v>@petrogustavo</v>
      </c>
      <c r="C17034" s="5" t="s">
        <v>16</v>
      </c>
      <c r="D17034" s="5" t="s">
        <v>16395</v>
      </c>
      <c r="E17034" s="6" t="str">
        <f>HYPERLINK("https://twitter.com/petrogustavo/status/1462098905286520840","1462098905286520840")</f>
        <v>1462098905286520840</v>
      </c>
      <c r="F17034" s="7" t="s">
        <v>32</v>
      </c>
      <c r="G17034" s="7">
        <v>4406193</v>
      </c>
      <c r="H17034" s="7">
        <v>2574</v>
      </c>
      <c r="I17034" s="7">
        <v>65</v>
      </c>
      <c r="J17034" s="7">
        <v>246</v>
      </c>
      <c r="K17034" s="7" t="s">
        <v>18</v>
      </c>
      <c r="L17034" s="8">
        <v>39987.315405092595</v>
      </c>
      <c r="M17034" s="9" t="s">
        <v>19</v>
      </c>
      <c r="N17034" s="9" t="s">
        <v>20</v>
      </c>
      <c r="O17034" s="6" t="str">
        <f>HYPERLINK("https://pbs.twimg.com/profile_images/962471262747529216/Uo8lOkRJ_normal.jpg","View")</f>
        <v>View</v>
      </c>
      <c r="P17034" s="7"/>
    </row>
    <row r="17035" spans="1:16">
      <c r="A17035" s="3">
        <v>44520.934687500005</v>
      </c>
      <c r="B17035" s="4" t="str">
        <f>HYPERLINK("https://twitter.com/petrogustavo","@petrogustavo")</f>
        <v>@petrogustavo</v>
      </c>
      <c r="C17035" s="5" t="s">
        <v>16</v>
      </c>
      <c r="D17035" s="5" t="s">
        <v>16396</v>
      </c>
      <c r="E17035" s="6" t="str">
        <f>HYPERLINK("https://twitter.com/petrogustavo/status/1462102424332689408","1462102424332689408")</f>
        <v>1462102424332689408</v>
      </c>
      <c r="F17035" s="7" t="s">
        <v>17</v>
      </c>
      <c r="G17035" s="7">
        <v>4406193</v>
      </c>
      <c r="H17035" s="7">
        <v>2574</v>
      </c>
      <c r="I17035" s="7">
        <v>61</v>
      </c>
      <c r="J17035" s="7">
        <v>242</v>
      </c>
      <c r="K17035" s="7" t="s">
        <v>18</v>
      </c>
      <c r="L17035" s="8">
        <v>39987.315405092595</v>
      </c>
      <c r="M17035" s="9" t="s">
        <v>19</v>
      </c>
      <c r="N17035" s="9" t="s">
        <v>20</v>
      </c>
      <c r="O17035" s="6" t="str">
        <f>HYPERLINK("https://pbs.twimg.com/profile_images/962471262747529216/Uo8lOkRJ_normal.jpg","View")</f>
        <v>View</v>
      </c>
      <c r="P17035" s="7"/>
    </row>
    <row r="17036" spans="1:16">
      <c r="A17036" s="3">
        <v>44520.996770833328</v>
      </c>
      <c r="B17036" s="4" t="str">
        <f>HYPERLINK("https://twitter.com/petrogustavo","@petrogustavo")</f>
        <v>@petrogustavo</v>
      </c>
      <c r="C17036" s="5" t="s">
        <v>16</v>
      </c>
      <c r="D17036" s="5" t="s">
        <v>16397</v>
      </c>
      <c r="E17036" s="6" t="str">
        <f>HYPERLINK("https://twitter.com/petrogustavo/status/1462124924038955023","1462124924038955023")</f>
        <v>1462124924038955023</v>
      </c>
      <c r="F17036" s="7" t="s">
        <v>17</v>
      </c>
      <c r="G17036" s="7">
        <v>4406251</v>
      </c>
      <c r="H17036" s="7">
        <v>2574</v>
      </c>
      <c r="I17036" s="7">
        <v>464</v>
      </c>
      <c r="J17036" s="7">
        <v>0</v>
      </c>
      <c r="K17036" s="7" t="s">
        <v>18</v>
      </c>
      <c r="L17036" s="8">
        <v>39987.315405092595</v>
      </c>
      <c r="M17036" s="9" t="s">
        <v>19</v>
      </c>
      <c r="N17036" s="9" t="s">
        <v>20</v>
      </c>
      <c r="O17036" s="6" t="str">
        <f>HYPERLINK("https://pbs.twimg.com/profile_images/962471262747529216/Uo8lOkRJ_normal.jpg","View")</f>
        <v>View</v>
      </c>
      <c r="P17036" s="7"/>
    </row>
    <row r="17037" spans="1:16">
      <c r="A17037" s="3">
        <v>44520.99690972222</v>
      </c>
      <c r="B17037" s="4" t="str">
        <f>HYPERLINK("https://twitter.com/petrogustavo","@petrogustavo")</f>
        <v>@petrogustavo</v>
      </c>
      <c r="C17037" s="5" t="s">
        <v>16</v>
      </c>
      <c r="D17037" s="5" t="s">
        <v>16398</v>
      </c>
      <c r="E17037" s="6" t="str">
        <f>HYPERLINK("https://twitter.com/petrogustavo/status/1462124974362304525","1462124974362304525")</f>
        <v>1462124974362304525</v>
      </c>
      <c r="F17037" s="7" t="s">
        <v>17</v>
      </c>
      <c r="G17037" s="7">
        <v>4406251</v>
      </c>
      <c r="H17037" s="7">
        <v>2574</v>
      </c>
      <c r="I17037" s="7">
        <v>2032</v>
      </c>
      <c r="J17037" s="7">
        <v>0</v>
      </c>
      <c r="K17037" s="7" t="s">
        <v>18</v>
      </c>
      <c r="L17037" s="8">
        <v>39987.315405092595</v>
      </c>
      <c r="M17037" s="9" t="s">
        <v>19</v>
      </c>
      <c r="N17037" s="9" t="s">
        <v>20</v>
      </c>
      <c r="O17037" s="6" t="str">
        <f>HYPERLINK("https://pbs.twimg.com/profile_images/962471262747529216/Uo8lOkRJ_normal.jpg","View")</f>
        <v>View</v>
      </c>
      <c r="P17037" s="7"/>
    </row>
    <row r="17038" spans="1:16">
      <c r="A17038" s="3">
        <v>44520.998668981483</v>
      </c>
      <c r="B17038" s="4" t="str">
        <f>HYPERLINK("https://twitter.com/petrogustavo","@petrogustavo")</f>
        <v>@petrogustavo</v>
      </c>
      <c r="C17038" s="5" t="s">
        <v>16</v>
      </c>
      <c r="D17038" s="5" t="s">
        <v>16399</v>
      </c>
      <c r="E17038" s="6" t="str">
        <f>HYPERLINK("https://twitter.com/petrogustavo/status/1462125611036680204","1462125611036680204")</f>
        <v>1462125611036680204</v>
      </c>
      <c r="F17038" s="7" t="s">
        <v>17</v>
      </c>
      <c r="G17038" s="7">
        <v>4406251</v>
      </c>
      <c r="H17038" s="7">
        <v>2574</v>
      </c>
      <c r="I17038" s="7">
        <v>65</v>
      </c>
      <c r="J17038" s="7">
        <v>374</v>
      </c>
      <c r="K17038" s="7" t="s">
        <v>18</v>
      </c>
      <c r="L17038" s="8">
        <v>39987.315405092595</v>
      </c>
      <c r="M17038" s="9" t="s">
        <v>19</v>
      </c>
      <c r="N17038" s="9" t="s">
        <v>20</v>
      </c>
      <c r="O17038" s="6" t="str">
        <f>HYPERLINK("https://pbs.twimg.com/profile_images/962471262747529216/Uo8lOkRJ_normal.jpg","View")</f>
        <v>View</v>
      </c>
      <c r="P17038" s="7"/>
    </row>
    <row r="17039" spans="1:16">
      <c r="A17039" s="3">
        <v>44521.062916666662</v>
      </c>
      <c r="B17039" s="4" t="str">
        <f>HYPERLINK("https://twitter.com/petrogustavo","@petrogustavo")</f>
        <v>@petrogustavo</v>
      </c>
      <c r="C17039" s="5" t="s">
        <v>16</v>
      </c>
      <c r="D17039" s="5" t="s">
        <v>16400</v>
      </c>
      <c r="E17039" s="6" t="str">
        <f>HYPERLINK("https://twitter.com/petrogustavo/status/1462148895316885507","1462148895316885507")</f>
        <v>1462148895316885507</v>
      </c>
      <c r="F17039" s="7" t="s">
        <v>17</v>
      </c>
      <c r="G17039" s="7">
        <v>4406311</v>
      </c>
      <c r="H17039" s="7">
        <v>2574</v>
      </c>
      <c r="I17039" s="7">
        <v>153</v>
      </c>
      <c r="J17039" s="7">
        <v>0</v>
      </c>
      <c r="K17039" s="7" t="s">
        <v>18</v>
      </c>
      <c r="L17039" s="8">
        <v>39987.315405092595</v>
      </c>
      <c r="M17039" s="9" t="s">
        <v>19</v>
      </c>
      <c r="N17039" s="9" t="s">
        <v>20</v>
      </c>
      <c r="O17039" s="6" t="str">
        <f>HYPERLINK("https://pbs.twimg.com/profile_images/962471262747529216/Uo8lOkRJ_normal.jpg","View")</f>
        <v>View</v>
      </c>
      <c r="P17039" s="7"/>
    </row>
    <row r="17040" spans="1:16">
      <c r="A17040" s="3">
        <v>44521.112268518518</v>
      </c>
      <c r="B17040" s="4" t="str">
        <f>HYPERLINK("https://twitter.com/petrogustavo","@petrogustavo")</f>
        <v>@petrogustavo</v>
      </c>
      <c r="C17040" s="5" t="s">
        <v>16</v>
      </c>
      <c r="D17040" s="5" t="s">
        <v>16401</v>
      </c>
      <c r="E17040" s="6" t="str">
        <f>HYPERLINK("https://twitter.com/petrogustavo/status/1462166780466679812","1462166780466679812")</f>
        <v>1462166780466679812</v>
      </c>
      <c r="F17040" s="7" t="s">
        <v>17</v>
      </c>
      <c r="G17040" s="7">
        <v>4406368</v>
      </c>
      <c r="H17040" s="7">
        <v>2574</v>
      </c>
      <c r="I17040" s="7">
        <v>163</v>
      </c>
      <c r="J17040" s="7">
        <v>632</v>
      </c>
      <c r="K17040" s="7" t="s">
        <v>18</v>
      </c>
      <c r="L17040" s="8">
        <v>39987.315405092595</v>
      </c>
      <c r="M17040" s="9" t="s">
        <v>19</v>
      </c>
      <c r="N17040" s="9" t="s">
        <v>20</v>
      </c>
      <c r="O17040" s="6" t="str">
        <f>HYPERLINK("https://pbs.twimg.com/profile_images/962471262747529216/Uo8lOkRJ_normal.jpg","View")</f>
        <v>View</v>
      </c>
      <c r="P17040" s="7"/>
    </row>
    <row r="17041" spans="1:16">
      <c r="A17041" s="3">
        <v>44521.169837962967</v>
      </c>
      <c r="B17041" s="4" t="str">
        <f>HYPERLINK("https://twitter.com/petrogustavo","@petrogustavo")</f>
        <v>@petrogustavo</v>
      </c>
      <c r="C17041" s="5" t="s">
        <v>16</v>
      </c>
      <c r="D17041" s="5" t="s">
        <v>16402</v>
      </c>
      <c r="E17041" s="6" t="str">
        <f>HYPERLINK("https://twitter.com/petrogustavo/status/1462187640774664193","1462187640774664193")</f>
        <v>1462187640774664193</v>
      </c>
      <c r="F17041" s="7" t="s">
        <v>17</v>
      </c>
      <c r="G17041" s="7">
        <v>4406437</v>
      </c>
      <c r="H17041" s="7">
        <v>2574</v>
      </c>
      <c r="I17041" s="7">
        <v>170</v>
      </c>
      <c r="J17041" s="7">
        <v>911</v>
      </c>
      <c r="K17041" s="7" t="s">
        <v>18</v>
      </c>
      <c r="L17041" s="8">
        <v>39987.315405092595</v>
      </c>
      <c r="M17041" s="9" t="s">
        <v>19</v>
      </c>
      <c r="N17041" s="9" t="s">
        <v>20</v>
      </c>
      <c r="O17041" s="6" t="str">
        <f>HYPERLINK("https://pbs.twimg.com/profile_images/962471262747529216/Uo8lOkRJ_normal.jpg","View")</f>
        <v>View</v>
      </c>
      <c r="P17041" s="7"/>
    </row>
    <row r="17042" spans="1:16">
      <c r="A17042" s="3">
        <v>44521.346712962964</v>
      </c>
      <c r="B17042" s="4" t="str">
        <f>HYPERLINK("https://twitter.com/petrogustavo","@petrogustavo")</f>
        <v>@petrogustavo</v>
      </c>
      <c r="C17042" s="5" t="s">
        <v>16</v>
      </c>
      <c r="D17042" s="5" t="s">
        <v>16403</v>
      </c>
      <c r="E17042" s="6" t="str">
        <f>HYPERLINK("https://twitter.com/petrogustavo/status/1462251738673598469","1462251738673598469")</f>
        <v>1462251738673598469</v>
      </c>
      <c r="F17042" s="7" t="s">
        <v>17</v>
      </c>
      <c r="G17042" s="7">
        <v>4406598</v>
      </c>
      <c r="H17042" s="7">
        <v>2574</v>
      </c>
      <c r="I17042" s="7">
        <v>94</v>
      </c>
      <c r="J17042" s="7">
        <v>427</v>
      </c>
      <c r="K17042" s="7" t="s">
        <v>18</v>
      </c>
      <c r="L17042" s="8">
        <v>39987.315405092595</v>
      </c>
      <c r="M17042" s="9" t="s">
        <v>19</v>
      </c>
      <c r="N17042" s="9" t="s">
        <v>20</v>
      </c>
      <c r="O17042" s="6" t="str">
        <f>HYPERLINK("https://pbs.twimg.com/profile_images/962471262747529216/Uo8lOkRJ_normal.jpg","View")</f>
        <v>View</v>
      </c>
      <c r="P17042" s="7"/>
    </row>
    <row r="17043" spans="1:16">
      <c r="A17043" s="3">
        <v>44522.009456018517</v>
      </c>
      <c r="B17043" s="4" t="str">
        <f>HYPERLINK("https://twitter.com/petrogustavo","@petrogustavo")</f>
        <v>@petrogustavo</v>
      </c>
      <c r="C17043" s="5" t="s">
        <v>16</v>
      </c>
      <c r="D17043" s="5" t="s">
        <v>16404</v>
      </c>
      <c r="E17043" s="6" t="str">
        <f>HYPERLINK("https://twitter.com/petrogustavo/status/1462491907079159810","1462491907079159810")</f>
        <v>1462491907079159810</v>
      </c>
      <c r="F17043" s="7" t="s">
        <v>32</v>
      </c>
      <c r="G17043" s="7">
        <v>4406955</v>
      </c>
      <c r="H17043" s="7">
        <v>2574</v>
      </c>
      <c r="I17043" s="7">
        <v>330</v>
      </c>
      <c r="J17043" s="7">
        <v>0</v>
      </c>
      <c r="K17043" s="7" t="s">
        <v>18</v>
      </c>
      <c r="L17043" s="8">
        <v>39987.315405092595</v>
      </c>
      <c r="M17043" s="9" t="s">
        <v>19</v>
      </c>
      <c r="N17043" s="9" t="s">
        <v>20</v>
      </c>
      <c r="O17043" s="6" t="str">
        <f>HYPERLINK("https://pbs.twimg.com/profile_images/962471262747529216/Uo8lOkRJ_normal.jpg","View")</f>
        <v>View</v>
      </c>
      <c r="P17043" s="7"/>
    </row>
    <row r="17044" spans="1:16">
      <c r="A17044" s="3">
        <v>44522.238229166665</v>
      </c>
      <c r="B17044" s="4" t="str">
        <f>HYPERLINK("https://twitter.com/petrogustavo","@petrogustavo")</f>
        <v>@petrogustavo</v>
      </c>
      <c r="C17044" s="5" t="s">
        <v>16</v>
      </c>
      <c r="D17044" s="5" t="s">
        <v>16405</v>
      </c>
      <c r="E17044" s="6" t="str">
        <f>HYPERLINK("https://twitter.com/petrogustavo/status/1462574812304396290","1462574812304396290")</f>
        <v>1462574812304396290</v>
      </c>
      <c r="F17044" s="7" t="s">
        <v>17</v>
      </c>
      <c r="G17044" s="7">
        <v>4407235</v>
      </c>
      <c r="H17044" s="7">
        <v>2574</v>
      </c>
      <c r="I17044" s="7">
        <v>388</v>
      </c>
      <c r="J17044" s="7">
        <v>889</v>
      </c>
      <c r="K17044" s="7" t="s">
        <v>18</v>
      </c>
      <c r="L17044" s="8">
        <v>39987.315405092595</v>
      </c>
      <c r="M17044" s="9" t="s">
        <v>19</v>
      </c>
      <c r="N17044" s="9" t="s">
        <v>20</v>
      </c>
      <c r="O17044" s="6" t="str">
        <f>HYPERLINK("https://pbs.twimg.com/profile_images/962471262747529216/Uo8lOkRJ_normal.jpg","View")</f>
        <v>View</v>
      </c>
      <c r="P17044" s="7"/>
    </row>
    <row r="17045" spans="1:16">
      <c r="A17045" s="3">
        <v>44522.74931712963</v>
      </c>
      <c r="B17045" s="4" t="str">
        <f>HYPERLINK("https://twitter.com/petrogustavo","@petrogustavo")</f>
        <v>@petrogustavo</v>
      </c>
      <c r="C17045" s="5" t="s">
        <v>16</v>
      </c>
      <c r="D17045" s="4" t="s">
        <v>16406</v>
      </c>
      <c r="E17045" s="6" t="str">
        <f>HYPERLINK("https://twitter.com/petrogustavo/status/1462760025210953735","1462760025210953735")</f>
        <v>1462760025210953735</v>
      </c>
      <c r="F17045" s="7" t="s">
        <v>17</v>
      </c>
      <c r="G17045" s="7">
        <v>4407626</v>
      </c>
      <c r="H17045" s="7">
        <v>2574</v>
      </c>
      <c r="I17045" s="7">
        <v>35</v>
      </c>
      <c r="J17045" s="7">
        <v>124</v>
      </c>
      <c r="K17045" s="7" t="s">
        <v>18</v>
      </c>
      <c r="L17045" s="8">
        <v>39987.315405092595</v>
      </c>
      <c r="M17045" s="9" t="s">
        <v>19</v>
      </c>
      <c r="N17045" s="9" t="s">
        <v>20</v>
      </c>
      <c r="O17045" s="6" t="str">
        <f>HYPERLINK("https://pbs.twimg.com/profile_images/962471262747529216/Uo8lOkRJ_normal.jpg","View")</f>
        <v>View</v>
      </c>
      <c r="P17045" s="7"/>
    </row>
    <row r="17046" spans="1:16">
      <c r="A17046" s="3">
        <v>44522.752326388887</v>
      </c>
      <c r="B17046" s="4" t="str">
        <f>HYPERLINK("https://twitter.com/petrogustavo","@petrogustavo")</f>
        <v>@petrogustavo</v>
      </c>
      <c r="C17046" s="5" t="s">
        <v>16</v>
      </c>
      <c r="D17046" s="5" t="s">
        <v>16407</v>
      </c>
      <c r="E17046" s="6" t="str">
        <f>HYPERLINK("https://twitter.com/petrogustavo/status/1462761116719886342","1462761116719886342")</f>
        <v>1462761116719886342</v>
      </c>
      <c r="F17046" s="7" t="s">
        <v>17</v>
      </c>
      <c r="G17046" s="7">
        <v>4407642</v>
      </c>
      <c r="H17046" s="7">
        <v>2574</v>
      </c>
      <c r="I17046" s="7">
        <v>1150</v>
      </c>
      <c r="J17046" s="7">
        <v>0</v>
      </c>
      <c r="K17046" s="7" t="s">
        <v>18</v>
      </c>
      <c r="L17046" s="8">
        <v>39987.315405092595</v>
      </c>
      <c r="M17046" s="9" t="s">
        <v>19</v>
      </c>
      <c r="N17046" s="9" t="s">
        <v>20</v>
      </c>
      <c r="O17046" s="6" t="str">
        <f>HYPERLINK("https://pbs.twimg.com/profile_images/962471262747529216/Uo8lOkRJ_normal.jpg","View")</f>
        <v>View</v>
      </c>
      <c r="P17046" s="7"/>
    </row>
    <row r="17047" spans="1:16">
      <c r="A17047" s="3">
        <v>44522.758738425924</v>
      </c>
      <c r="B17047" s="4" t="str">
        <f>HYPERLINK("https://twitter.com/petrogustavo","@petrogustavo")</f>
        <v>@petrogustavo</v>
      </c>
      <c r="C17047" s="5" t="s">
        <v>16</v>
      </c>
      <c r="D17047" s="5" t="s">
        <v>16408</v>
      </c>
      <c r="E17047" s="6" t="str">
        <f>HYPERLINK("https://twitter.com/petrogustavo/status/1462763440901173262","1462763440901173262")</f>
        <v>1462763440901173262</v>
      </c>
      <c r="F17047" s="7" t="s">
        <v>17</v>
      </c>
      <c r="G17047" s="7">
        <v>4407642</v>
      </c>
      <c r="H17047" s="7">
        <v>2574</v>
      </c>
      <c r="I17047" s="7">
        <v>110</v>
      </c>
      <c r="J17047" s="7">
        <v>355</v>
      </c>
      <c r="K17047" s="7" t="s">
        <v>18</v>
      </c>
      <c r="L17047" s="8">
        <v>39987.315405092595</v>
      </c>
      <c r="M17047" s="9" t="s">
        <v>19</v>
      </c>
      <c r="N17047" s="9" t="s">
        <v>20</v>
      </c>
      <c r="O17047" s="6" t="str">
        <f>HYPERLINK("https://pbs.twimg.com/profile_images/962471262747529216/Uo8lOkRJ_normal.jpg","View")</f>
        <v>View</v>
      </c>
      <c r="P17047" s="7"/>
    </row>
    <row r="17048" spans="1:16">
      <c r="A17048" s="3">
        <v>44522.758750000001</v>
      </c>
      <c r="B17048" s="4" t="str">
        <f>HYPERLINK("https://twitter.com/petrogustavo","@petrogustavo")</f>
        <v>@petrogustavo</v>
      </c>
      <c r="C17048" s="5" t="s">
        <v>16</v>
      </c>
      <c r="D17048" s="5" t="s">
        <v>16409</v>
      </c>
      <c r="E17048" s="6" t="str">
        <f>HYPERLINK("https://twitter.com/petrogustavo/status/1462763443543580672","1462763443543580672")</f>
        <v>1462763443543580672</v>
      </c>
      <c r="F17048" s="7" t="s">
        <v>17</v>
      </c>
      <c r="G17048" s="7">
        <v>4407642</v>
      </c>
      <c r="H17048" s="7">
        <v>2574</v>
      </c>
      <c r="I17048" s="7">
        <v>85</v>
      </c>
      <c r="J17048" s="7">
        <v>303</v>
      </c>
      <c r="K17048" s="7" t="s">
        <v>18</v>
      </c>
      <c r="L17048" s="8">
        <v>39987.315405092595</v>
      </c>
      <c r="M17048" s="9" t="s">
        <v>19</v>
      </c>
      <c r="N17048" s="9" t="s">
        <v>20</v>
      </c>
      <c r="O17048" s="6" t="str">
        <f>HYPERLINK("https://pbs.twimg.com/profile_images/962471262747529216/Uo8lOkRJ_normal.jpg","View")</f>
        <v>View</v>
      </c>
      <c r="P17048" s="7"/>
    </row>
    <row r="17049" spans="1:16">
      <c r="A17049" s="3">
        <v>44522.758750000001</v>
      </c>
      <c r="B17049" s="4" t="str">
        <f>HYPERLINK("https://twitter.com/petrogustavo","@petrogustavo")</f>
        <v>@petrogustavo</v>
      </c>
      <c r="C17049" s="5" t="s">
        <v>16</v>
      </c>
      <c r="D17049" s="5" t="s">
        <v>16410</v>
      </c>
      <c r="E17049" s="6" t="str">
        <f>HYPERLINK("https://twitter.com/petrogustavo/status/1462763444826955782","1462763444826955782")</f>
        <v>1462763444826955782</v>
      </c>
      <c r="F17049" s="7" t="s">
        <v>17</v>
      </c>
      <c r="G17049" s="7">
        <v>4407642</v>
      </c>
      <c r="H17049" s="7">
        <v>2574</v>
      </c>
      <c r="I17049" s="7">
        <v>82</v>
      </c>
      <c r="J17049" s="7">
        <v>320</v>
      </c>
      <c r="K17049" s="7" t="s">
        <v>18</v>
      </c>
      <c r="L17049" s="8">
        <v>39987.315405092595</v>
      </c>
      <c r="M17049" s="9" t="s">
        <v>19</v>
      </c>
      <c r="N17049" s="9" t="s">
        <v>20</v>
      </c>
      <c r="O17049" s="6" t="str">
        <f>HYPERLINK("https://pbs.twimg.com/profile_images/962471262747529216/Uo8lOkRJ_normal.jpg","View")</f>
        <v>View</v>
      </c>
      <c r="P17049" s="7"/>
    </row>
    <row r="17050" spans="1:16">
      <c r="A17050" s="3">
        <v>44522.993692129632</v>
      </c>
      <c r="B17050" s="4" t="str">
        <f>HYPERLINK("https://twitter.com/petrogustavo","@petrogustavo")</f>
        <v>@petrogustavo</v>
      </c>
      <c r="C17050" s="5" t="s">
        <v>16</v>
      </c>
      <c r="D17050" s="5" t="s">
        <v>16411</v>
      </c>
      <c r="E17050" s="6" t="str">
        <f>HYPERLINK("https://twitter.com/petrogustavo/status/1462848581975564302","1462848581975564302")</f>
        <v>1462848581975564302</v>
      </c>
      <c r="F17050" s="7" t="s">
        <v>17</v>
      </c>
      <c r="G17050" s="7">
        <v>4407938</v>
      </c>
      <c r="H17050" s="7">
        <v>2574</v>
      </c>
      <c r="I17050" s="7">
        <v>98</v>
      </c>
      <c r="J17050" s="7">
        <v>302</v>
      </c>
      <c r="K17050" s="7" t="s">
        <v>18</v>
      </c>
      <c r="L17050" s="8">
        <v>39987.315405092595</v>
      </c>
      <c r="M17050" s="9" t="s">
        <v>19</v>
      </c>
      <c r="N17050" s="9" t="s">
        <v>20</v>
      </c>
      <c r="O17050" s="6" t="str">
        <f>HYPERLINK("https://pbs.twimg.com/profile_images/962471262747529216/Uo8lOkRJ_normal.jpg","View")</f>
        <v>View</v>
      </c>
      <c r="P17050" s="7"/>
    </row>
    <row r="17051" spans="1:16">
      <c r="A17051" s="3">
        <v>44523.016435185185</v>
      </c>
      <c r="B17051" s="4" t="str">
        <f>HYPERLINK("https://twitter.com/petrogustavo","@petrogustavo")</f>
        <v>@petrogustavo</v>
      </c>
      <c r="C17051" s="5" t="s">
        <v>16</v>
      </c>
      <c r="D17051" s="5" t="s">
        <v>16412</v>
      </c>
      <c r="E17051" s="6" t="str">
        <f>HYPERLINK("https://twitter.com/petrogustavo/status/1462856826756780040","1462856826756780040")</f>
        <v>1462856826756780040</v>
      </c>
      <c r="F17051" s="7" t="s">
        <v>17</v>
      </c>
      <c r="G17051" s="7">
        <v>4407966</v>
      </c>
      <c r="H17051" s="7">
        <v>2574</v>
      </c>
      <c r="I17051" s="7">
        <v>56</v>
      </c>
      <c r="J17051" s="7">
        <v>174</v>
      </c>
      <c r="K17051" s="7" t="s">
        <v>18</v>
      </c>
      <c r="L17051" s="8">
        <v>39987.315405092595</v>
      </c>
      <c r="M17051" s="9" t="s">
        <v>19</v>
      </c>
      <c r="N17051" s="9" t="s">
        <v>20</v>
      </c>
      <c r="O17051" s="6" t="str">
        <f>HYPERLINK("https://pbs.twimg.com/profile_images/962471262747529216/Uo8lOkRJ_normal.jpg","View")</f>
        <v>View</v>
      </c>
      <c r="P17051" s="7"/>
    </row>
    <row r="17052" spans="1:16">
      <c r="A17052" s="3">
        <v>44523.016446759255</v>
      </c>
      <c r="B17052" s="4" t="str">
        <f>HYPERLINK("https://twitter.com/petrogustavo","@petrogustavo")</f>
        <v>@petrogustavo</v>
      </c>
      <c r="C17052" s="5" t="s">
        <v>16</v>
      </c>
      <c r="D17052" s="5" t="s">
        <v>16413</v>
      </c>
      <c r="E17052" s="6" t="str">
        <f>HYPERLINK("https://twitter.com/petrogustavo/status/1462856828191129606","1462856828191129606")</f>
        <v>1462856828191129606</v>
      </c>
      <c r="F17052" s="7" t="s">
        <v>17</v>
      </c>
      <c r="G17052" s="7">
        <v>4407966</v>
      </c>
      <c r="H17052" s="7">
        <v>2574</v>
      </c>
      <c r="I17052" s="7">
        <v>7</v>
      </c>
      <c r="J17052" s="7">
        <v>17</v>
      </c>
      <c r="K17052" s="7" t="s">
        <v>18</v>
      </c>
      <c r="L17052" s="8">
        <v>39987.315405092595</v>
      </c>
      <c r="M17052" s="9" t="s">
        <v>19</v>
      </c>
      <c r="N17052" s="9" t="s">
        <v>20</v>
      </c>
      <c r="O17052" s="6" t="str">
        <f>HYPERLINK("https://pbs.twimg.com/profile_images/962471262747529216/Uo8lOkRJ_normal.jpg","View")</f>
        <v>View</v>
      </c>
      <c r="P17052" s="7"/>
    </row>
    <row r="17053" spans="1:16">
      <c r="A17053" s="3">
        <v>44523.016446759255</v>
      </c>
      <c r="B17053" s="4" t="str">
        <f>HYPERLINK("https://twitter.com/petrogustavo","@petrogustavo")</f>
        <v>@petrogustavo</v>
      </c>
      <c r="C17053" s="5" t="s">
        <v>16</v>
      </c>
      <c r="D17053" s="5" t="s">
        <v>16414</v>
      </c>
      <c r="E17053" s="6" t="str">
        <f>HYPERLINK("https://twitter.com/petrogustavo/status/1462856829457870853","1462856829457870853")</f>
        <v>1462856829457870853</v>
      </c>
      <c r="F17053" s="7" t="s">
        <v>17</v>
      </c>
      <c r="G17053" s="7">
        <v>4407966</v>
      </c>
      <c r="H17053" s="7">
        <v>2574</v>
      </c>
      <c r="I17053" s="7">
        <v>18</v>
      </c>
      <c r="J17053" s="7">
        <v>84</v>
      </c>
      <c r="K17053" s="7" t="s">
        <v>18</v>
      </c>
      <c r="L17053" s="8">
        <v>39987.315405092595</v>
      </c>
      <c r="M17053" s="9" t="s">
        <v>19</v>
      </c>
      <c r="N17053" s="9" t="s">
        <v>20</v>
      </c>
      <c r="O17053" s="6" t="str">
        <f>HYPERLINK("https://pbs.twimg.com/profile_images/962471262747529216/Uo8lOkRJ_normal.jpg","View")</f>
        <v>View</v>
      </c>
      <c r="P17053" s="7"/>
    </row>
    <row r="17054" spans="1:16">
      <c r="A17054" s="3">
        <v>44523.016446759255</v>
      </c>
      <c r="B17054" s="4" t="str">
        <f>HYPERLINK("https://twitter.com/petrogustavo","@petrogustavo")</f>
        <v>@petrogustavo</v>
      </c>
      <c r="C17054" s="5" t="s">
        <v>16</v>
      </c>
      <c r="D17054" s="5" t="s">
        <v>16415</v>
      </c>
      <c r="E17054" s="6" t="str">
        <f>HYPERLINK("https://twitter.com/petrogustavo/status/1462856830711914509","1462856830711914509")</f>
        <v>1462856830711914509</v>
      </c>
      <c r="F17054" s="7" t="s">
        <v>17</v>
      </c>
      <c r="G17054" s="7">
        <v>4407966</v>
      </c>
      <c r="H17054" s="7">
        <v>2574</v>
      </c>
      <c r="I17054" s="7">
        <v>19</v>
      </c>
      <c r="J17054" s="7">
        <v>86</v>
      </c>
      <c r="K17054" s="7" t="s">
        <v>18</v>
      </c>
      <c r="L17054" s="8">
        <v>39987.315405092595</v>
      </c>
      <c r="M17054" s="9" t="s">
        <v>19</v>
      </c>
      <c r="N17054" s="9" t="s">
        <v>20</v>
      </c>
      <c r="O17054" s="6" t="str">
        <f>HYPERLINK("https://pbs.twimg.com/profile_images/962471262747529216/Uo8lOkRJ_normal.jpg","View")</f>
        <v>View</v>
      </c>
      <c r="P17054" s="7"/>
    </row>
    <row r="17055" spans="1:16">
      <c r="A17055" s="3">
        <v>44523.107812499999</v>
      </c>
      <c r="B17055" s="4" t="str">
        <f>HYPERLINK("https://twitter.com/petrogustavo","@petrogustavo")</f>
        <v>@petrogustavo</v>
      </c>
      <c r="C17055" s="5" t="s">
        <v>16</v>
      </c>
      <c r="D17055" s="5" t="s">
        <v>16416</v>
      </c>
      <c r="E17055" s="6" t="str">
        <f>HYPERLINK("https://twitter.com/petrogustavo/status/1462889938593230848","1462889938593230848")</f>
        <v>1462889938593230848</v>
      </c>
      <c r="F17055" s="7" t="s">
        <v>17</v>
      </c>
      <c r="G17055" s="7">
        <v>4408107</v>
      </c>
      <c r="H17055" s="7">
        <v>2574</v>
      </c>
      <c r="I17055" s="7">
        <v>14</v>
      </c>
      <c r="J17055" s="7">
        <v>48</v>
      </c>
      <c r="K17055" s="7" t="s">
        <v>18</v>
      </c>
      <c r="L17055" s="8">
        <v>39987.315405092595</v>
      </c>
      <c r="M17055" s="9" t="s">
        <v>19</v>
      </c>
      <c r="N17055" s="9" t="s">
        <v>20</v>
      </c>
      <c r="O17055" s="6" t="str">
        <f>HYPERLINK("https://pbs.twimg.com/profile_images/962471262747529216/Uo8lOkRJ_normal.jpg","View")</f>
        <v>View</v>
      </c>
      <c r="P17055" s="7"/>
    </row>
    <row r="17056" spans="1:16">
      <c r="A17056" s="3">
        <v>44523.107812499999</v>
      </c>
      <c r="B17056" s="4" t="str">
        <f>HYPERLINK("https://twitter.com/petrogustavo","@petrogustavo")</f>
        <v>@petrogustavo</v>
      </c>
      <c r="C17056" s="5" t="s">
        <v>16</v>
      </c>
      <c r="D17056" s="5" t="s">
        <v>16417</v>
      </c>
      <c r="E17056" s="6" t="str">
        <f>HYPERLINK("https://twitter.com/petrogustavo/status/1462889940149223428","1462889940149223428")</f>
        <v>1462889940149223428</v>
      </c>
      <c r="F17056" s="7" t="s">
        <v>17</v>
      </c>
      <c r="G17056" s="7">
        <v>4408107</v>
      </c>
      <c r="H17056" s="7">
        <v>2574</v>
      </c>
      <c r="I17056" s="7">
        <v>54</v>
      </c>
      <c r="J17056" s="7">
        <v>220</v>
      </c>
      <c r="K17056" s="7" t="s">
        <v>18</v>
      </c>
      <c r="L17056" s="8">
        <v>39987.315405092595</v>
      </c>
      <c r="M17056" s="9" t="s">
        <v>19</v>
      </c>
      <c r="N17056" s="9" t="s">
        <v>20</v>
      </c>
      <c r="O17056" s="6" t="str">
        <f>HYPERLINK("https://pbs.twimg.com/profile_images/962471262747529216/Uo8lOkRJ_normal.jpg","View")</f>
        <v>View</v>
      </c>
      <c r="P17056" s="7"/>
    </row>
    <row r="17057" spans="1:16">
      <c r="A17057" s="3">
        <v>44523.107812499999</v>
      </c>
      <c r="B17057" s="4" t="str">
        <f>HYPERLINK("https://twitter.com/petrogustavo","@petrogustavo")</f>
        <v>@petrogustavo</v>
      </c>
      <c r="C17057" s="5" t="s">
        <v>16</v>
      </c>
      <c r="D17057" s="5" t="s">
        <v>16418</v>
      </c>
      <c r="E17057" s="6" t="str">
        <f>HYPERLINK("https://twitter.com/petrogustavo/status/1462889941717983237","1462889941717983237")</f>
        <v>1462889941717983237</v>
      </c>
      <c r="F17057" s="7" t="s">
        <v>17</v>
      </c>
      <c r="G17057" s="7">
        <v>4408107</v>
      </c>
      <c r="H17057" s="7">
        <v>2574</v>
      </c>
      <c r="I17057" s="7">
        <v>56</v>
      </c>
      <c r="J17057" s="7">
        <v>231</v>
      </c>
      <c r="K17057" s="7" t="s">
        <v>18</v>
      </c>
      <c r="L17057" s="8">
        <v>39987.315405092595</v>
      </c>
      <c r="M17057" s="9" t="s">
        <v>19</v>
      </c>
      <c r="N17057" s="9" t="s">
        <v>20</v>
      </c>
      <c r="O17057" s="6" t="str">
        <f>HYPERLINK("https://pbs.twimg.com/profile_images/962471262747529216/Uo8lOkRJ_normal.jpg","View")</f>
        <v>View</v>
      </c>
      <c r="P17057" s="7"/>
    </row>
    <row r="17058" spans="1:16">
      <c r="A17058" s="3">
        <v>44523.107916666668</v>
      </c>
      <c r="B17058" s="4" t="str">
        <f>HYPERLINK("https://twitter.com/petrogustavo","@petrogustavo")</f>
        <v>@petrogustavo</v>
      </c>
      <c r="C17058" s="5" t="s">
        <v>16</v>
      </c>
      <c r="D17058" s="5" t="s">
        <v>16419</v>
      </c>
      <c r="E17058" s="6" t="str">
        <f>HYPERLINK("https://twitter.com/petrogustavo/status/1462889979349286915","1462889979349286915")</f>
        <v>1462889979349286915</v>
      </c>
      <c r="F17058" s="7" t="s">
        <v>17</v>
      </c>
      <c r="G17058" s="7">
        <v>4408107</v>
      </c>
      <c r="H17058" s="7">
        <v>2574</v>
      </c>
      <c r="I17058" s="7">
        <v>707</v>
      </c>
      <c r="J17058" s="7">
        <v>0</v>
      </c>
      <c r="K17058" s="7" t="s">
        <v>18</v>
      </c>
      <c r="L17058" s="8">
        <v>39987.315405092595</v>
      </c>
      <c r="M17058" s="9" t="s">
        <v>19</v>
      </c>
      <c r="N17058" s="9" t="s">
        <v>20</v>
      </c>
      <c r="O17058" s="6" t="str">
        <f>HYPERLINK("https://pbs.twimg.com/profile_images/962471262747529216/Uo8lOkRJ_normal.jpg","View")</f>
        <v>View</v>
      </c>
      <c r="P17058" s="7"/>
    </row>
    <row r="17059" spans="1:16">
      <c r="A17059" s="3">
        <v>44523.192835648151</v>
      </c>
      <c r="B17059" s="4" t="str">
        <f>HYPERLINK("https://twitter.com/petrogustavo","@petrogustavo")</f>
        <v>@petrogustavo</v>
      </c>
      <c r="C17059" s="5" t="s">
        <v>16</v>
      </c>
      <c r="D17059" s="5" t="s">
        <v>16420</v>
      </c>
      <c r="E17059" s="6" t="str">
        <f>HYPERLINK("https://twitter.com/petrogustavo/status/1462920749505728512","1462920749505728512")</f>
        <v>1462920749505728512</v>
      </c>
      <c r="F17059" s="7" t="s">
        <v>32</v>
      </c>
      <c r="G17059" s="7">
        <v>4408181</v>
      </c>
      <c r="H17059" s="7">
        <v>2574</v>
      </c>
      <c r="I17059" s="7">
        <v>362</v>
      </c>
      <c r="J17059" s="7">
        <v>698</v>
      </c>
      <c r="K17059" s="7" t="s">
        <v>18</v>
      </c>
      <c r="L17059" s="8">
        <v>39987.315405092595</v>
      </c>
      <c r="M17059" s="9" t="s">
        <v>19</v>
      </c>
      <c r="N17059" s="9" t="s">
        <v>20</v>
      </c>
      <c r="O17059" s="6" t="str">
        <f>HYPERLINK("https://pbs.twimg.com/profile_images/962471262747529216/Uo8lOkRJ_normal.jpg","View")</f>
        <v>View</v>
      </c>
      <c r="P17059" s="7"/>
    </row>
    <row r="17060" spans="1:16">
      <c r="A17060" s="3">
        <v>44523.200914351852</v>
      </c>
      <c r="B17060" s="4" t="str">
        <f>HYPERLINK("https://twitter.com/petrogustavo","@petrogustavo")</f>
        <v>@petrogustavo</v>
      </c>
      <c r="C17060" s="5" t="s">
        <v>16</v>
      </c>
      <c r="D17060" s="5" t="s">
        <v>16421</v>
      </c>
      <c r="E17060" s="6" t="str">
        <f>HYPERLINK("https://twitter.com/petrogustavo/status/1462923680401530891","1462923680401530891")</f>
        <v>1462923680401530891</v>
      </c>
      <c r="F17060" s="7" t="s">
        <v>32</v>
      </c>
      <c r="G17060" s="7">
        <v>4408181</v>
      </c>
      <c r="H17060" s="7">
        <v>2574</v>
      </c>
      <c r="I17060" s="7">
        <v>98</v>
      </c>
      <c r="J17060" s="7">
        <v>318</v>
      </c>
      <c r="K17060" s="7" t="s">
        <v>18</v>
      </c>
      <c r="L17060" s="8">
        <v>39987.315405092595</v>
      </c>
      <c r="M17060" s="9" t="s">
        <v>19</v>
      </c>
      <c r="N17060" s="9" t="s">
        <v>20</v>
      </c>
      <c r="O17060" s="6" t="str">
        <f>HYPERLINK("https://pbs.twimg.com/profile_images/962471262747529216/Uo8lOkRJ_normal.jpg","View")</f>
        <v>View</v>
      </c>
      <c r="P17060" s="7"/>
    </row>
    <row r="17061" spans="1:16">
      <c r="A17061" s="3">
        <v>44523.200925925921</v>
      </c>
      <c r="B17061" s="4" t="str">
        <f>HYPERLINK("https://twitter.com/petrogustavo","@petrogustavo")</f>
        <v>@petrogustavo</v>
      </c>
      <c r="C17061" s="5" t="s">
        <v>16</v>
      </c>
      <c r="D17061" s="5" t="s">
        <v>16422</v>
      </c>
      <c r="E17061" s="6" t="str">
        <f>HYPERLINK("https://twitter.com/petrogustavo/status/1462923682108555271","1462923682108555271")</f>
        <v>1462923682108555271</v>
      </c>
      <c r="F17061" s="7" t="s">
        <v>32</v>
      </c>
      <c r="G17061" s="7">
        <v>4408181</v>
      </c>
      <c r="H17061" s="7">
        <v>2574</v>
      </c>
      <c r="I17061" s="7">
        <v>53</v>
      </c>
      <c r="J17061" s="7">
        <v>220</v>
      </c>
      <c r="K17061" s="7" t="s">
        <v>18</v>
      </c>
      <c r="L17061" s="8">
        <v>39987.315405092595</v>
      </c>
      <c r="M17061" s="9" t="s">
        <v>19</v>
      </c>
      <c r="N17061" s="9" t="s">
        <v>20</v>
      </c>
      <c r="O17061" s="6" t="str">
        <f>HYPERLINK("https://pbs.twimg.com/profile_images/962471262747529216/Uo8lOkRJ_normal.jpg","View")</f>
        <v>View</v>
      </c>
      <c r="P17061" s="7"/>
    </row>
    <row r="17062" spans="1:16">
      <c r="A17062" s="3">
        <v>44523.200925925921</v>
      </c>
      <c r="B17062" s="4" t="str">
        <f>HYPERLINK("https://twitter.com/petrogustavo","@petrogustavo")</f>
        <v>@petrogustavo</v>
      </c>
      <c r="C17062" s="5" t="s">
        <v>16</v>
      </c>
      <c r="D17062" s="5" t="s">
        <v>16423</v>
      </c>
      <c r="E17062" s="6" t="str">
        <f>HYPERLINK("https://twitter.com/petrogustavo/status/1462923683459223560","1462923683459223560")</f>
        <v>1462923683459223560</v>
      </c>
      <c r="F17062" s="7" t="s">
        <v>32</v>
      </c>
      <c r="G17062" s="7">
        <v>4408181</v>
      </c>
      <c r="H17062" s="7">
        <v>2574</v>
      </c>
      <c r="I17062" s="7">
        <v>72</v>
      </c>
      <c r="J17062" s="7">
        <v>298</v>
      </c>
      <c r="K17062" s="7" t="s">
        <v>18</v>
      </c>
      <c r="L17062" s="8">
        <v>39987.315405092595</v>
      </c>
      <c r="M17062" s="9" t="s">
        <v>19</v>
      </c>
      <c r="N17062" s="9" t="s">
        <v>20</v>
      </c>
      <c r="O17062" s="6" t="str">
        <f>HYPERLINK("https://pbs.twimg.com/profile_images/962471262747529216/Uo8lOkRJ_normal.jpg","View")</f>
        <v>View</v>
      </c>
      <c r="P17062" s="7"/>
    </row>
    <row r="17063" spans="1:16">
      <c r="A17063" s="3">
        <v>44523.256249999999</v>
      </c>
      <c r="B17063" s="4" t="str">
        <f>HYPERLINK("https://twitter.com/petrogustavo","@petrogustavo")</f>
        <v>@petrogustavo</v>
      </c>
      <c r="C17063" s="5" t="s">
        <v>16</v>
      </c>
      <c r="D17063" s="5" t="s">
        <v>16424</v>
      </c>
      <c r="E17063" s="6" t="str">
        <f>HYPERLINK("https://twitter.com/petrogustavo/status/1462943733222191112","1462943733222191112")</f>
        <v>1462943733222191112</v>
      </c>
      <c r="F17063" s="7" t="s">
        <v>32</v>
      </c>
      <c r="G17063" s="7">
        <v>4408304</v>
      </c>
      <c r="H17063" s="7">
        <v>2574</v>
      </c>
      <c r="I17063" s="7">
        <v>2459</v>
      </c>
      <c r="J17063" s="7">
        <v>0</v>
      </c>
      <c r="K17063" s="7" t="s">
        <v>18</v>
      </c>
      <c r="L17063" s="8">
        <v>39987.315405092595</v>
      </c>
      <c r="M17063" s="9" t="s">
        <v>19</v>
      </c>
      <c r="N17063" s="9" t="s">
        <v>20</v>
      </c>
      <c r="O17063" s="6" t="str">
        <f>HYPERLINK("https://pbs.twimg.com/profile_images/962471262747529216/Uo8lOkRJ_normal.jpg","View")</f>
        <v>View</v>
      </c>
      <c r="P17063" s="7"/>
    </row>
    <row r="17064" spans="1:16">
      <c r="A17064" s="3">
        <v>44523.256770833337</v>
      </c>
      <c r="B17064" s="4" t="str">
        <f>HYPERLINK("https://twitter.com/petrogustavo","@petrogustavo")</f>
        <v>@petrogustavo</v>
      </c>
      <c r="C17064" s="5" t="s">
        <v>16</v>
      </c>
      <c r="D17064" s="5" t="s">
        <v>16425</v>
      </c>
      <c r="E17064" s="6" t="str">
        <f>HYPERLINK("https://twitter.com/petrogustavo/status/1462943921147949056","1462943921147949056")</f>
        <v>1462943921147949056</v>
      </c>
      <c r="F17064" s="7" t="s">
        <v>32</v>
      </c>
      <c r="G17064" s="7">
        <v>4408304</v>
      </c>
      <c r="H17064" s="7">
        <v>2574</v>
      </c>
      <c r="I17064" s="7">
        <v>617</v>
      </c>
      <c r="J17064" s="7">
        <v>0</v>
      </c>
      <c r="K17064" s="7" t="s">
        <v>18</v>
      </c>
      <c r="L17064" s="8">
        <v>39987.315405092595</v>
      </c>
      <c r="M17064" s="9" t="s">
        <v>19</v>
      </c>
      <c r="N17064" s="9" t="s">
        <v>20</v>
      </c>
      <c r="O17064" s="6" t="str">
        <f>HYPERLINK("https://pbs.twimg.com/profile_images/962471262747529216/Uo8lOkRJ_normal.jpg","View")</f>
        <v>View</v>
      </c>
      <c r="P17064" s="7"/>
    </row>
    <row r="17065" spans="1:16">
      <c r="A17065" s="3">
        <v>44523.289479166662</v>
      </c>
      <c r="B17065" s="4" t="str">
        <f>HYPERLINK("https://twitter.com/petrogustavo","@petrogustavo")</f>
        <v>@petrogustavo</v>
      </c>
      <c r="C17065" s="5" t="s">
        <v>16</v>
      </c>
      <c r="D17065" s="5" t="s">
        <v>16426</v>
      </c>
      <c r="E17065" s="6" t="str">
        <f>HYPERLINK("https://twitter.com/petrogustavo/status/1462955774934663168","1462955774934663168")</f>
        <v>1462955774934663168</v>
      </c>
      <c r="F17065" s="7" t="s">
        <v>32</v>
      </c>
      <c r="G17065" s="7">
        <v>4408347</v>
      </c>
      <c r="H17065" s="7">
        <v>2574</v>
      </c>
      <c r="I17065" s="7">
        <v>274</v>
      </c>
      <c r="J17065" s="7">
        <v>0</v>
      </c>
      <c r="K17065" s="7" t="s">
        <v>18</v>
      </c>
      <c r="L17065" s="8">
        <v>39987.315405092595</v>
      </c>
      <c r="M17065" s="9" t="s">
        <v>19</v>
      </c>
      <c r="N17065" s="9" t="s">
        <v>20</v>
      </c>
      <c r="O17065" s="6" t="str">
        <f>HYPERLINK("https://pbs.twimg.com/profile_images/962471262747529216/Uo8lOkRJ_normal.jpg","View")</f>
        <v>View</v>
      </c>
      <c r="P17065" s="7"/>
    </row>
    <row r="17066" spans="1:16">
      <c r="A17066" s="3">
        <v>44523.318564814814</v>
      </c>
      <c r="B17066" s="4" t="str">
        <f>HYPERLINK("https://twitter.com/petrogustavo","@petrogustavo")</f>
        <v>@petrogustavo</v>
      </c>
      <c r="C17066" s="5" t="s">
        <v>16</v>
      </c>
      <c r="D17066" s="5" t="s">
        <v>16425</v>
      </c>
      <c r="E17066" s="6" t="str">
        <f>HYPERLINK("https://twitter.com/petrogustavo/status/1462966313387794433","1462966313387794433")</f>
        <v>1462966313387794433</v>
      </c>
      <c r="F17066" s="7" t="s">
        <v>32</v>
      </c>
      <c r="G17066" s="7">
        <v>4408418</v>
      </c>
      <c r="H17066" s="7">
        <v>2575</v>
      </c>
      <c r="I17066" s="7">
        <v>939</v>
      </c>
      <c r="J17066" s="7">
        <v>0</v>
      </c>
      <c r="K17066" s="7" t="s">
        <v>18</v>
      </c>
      <c r="L17066" s="8">
        <v>39987.315405092595</v>
      </c>
      <c r="M17066" s="9" t="s">
        <v>19</v>
      </c>
      <c r="N17066" s="9" t="s">
        <v>20</v>
      </c>
      <c r="O17066" s="6" t="str">
        <f>HYPERLINK("https://pbs.twimg.com/profile_images/962471262747529216/Uo8lOkRJ_normal.jpg","View")</f>
        <v>View</v>
      </c>
      <c r="P17066" s="7"/>
    </row>
    <row r="17067" spans="1:16">
      <c r="A17067" s="3">
        <v>44523.329351851848</v>
      </c>
      <c r="B17067" s="4" t="str">
        <f>HYPERLINK("https://twitter.com/petrogustavo","@petrogustavo")</f>
        <v>@petrogustavo</v>
      </c>
      <c r="C17067" s="5" t="s">
        <v>16</v>
      </c>
      <c r="D17067" s="5" t="s">
        <v>16427</v>
      </c>
      <c r="E17067" s="6" t="str">
        <f>HYPERLINK("https://twitter.com/petrogustavo/status/1462970221606678535","1462970221606678535")</f>
        <v>1462970221606678535</v>
      </c>
      <c r="F17067" s="7" t="s">
        <v>32</v>
      </c>
      <c r="G17067" s="7">
        <v>4408418</v>
      </c>
      <c r="H17067" s="7">
        <v>2575</v>
      </c>
      <c r="I17067" s="7">
        <v>55</v>
      </c>
      <c r="J17067" s="7">
        <v>245</v>
      </c>
      <c r="K17067" s="7" t="s">
        <v>18</v>
      </c>
      <c r="L17067" s="8">
        <v>39987.315405092595</v>
      </c>
      <c r="M17067" s="9" t="s">
        <v>19</v>
      </c>
      <c r="N17067" s="9" t="s">
        <v>20</v>
      </c>
      <c r="O17067" s="6" t="str">
        <f>HYPERLINK("https://pbs.twimg.com/profile_images/962471262747529216/Uo8lOkRJ_normal.jpg","View")</f>
        <v>View</v>
      </c>
      <c r="P17067" s="7"/>
    </row>
    <row r="17068" spans="1:16">
      <c r="A17068" s="3">
        <v>44523.330983796295</v>
      </c>
      <c r="B17068" s="4" t="str">
        <f>HYPERLINK("https://twitter.com/petrogustavo","@petrogustavo")</f>
        <v>@petrogustavo</v>
      </c>
      <c r="C17068" s="5" t="s">
        <v>16</v>
      </c>
      <c r="D17068" s="5" t="s">
        <v>16419</v>
      </c>
      <c r="E17068" s="6" t="str">
        <f>HYPERLINK("https://twitter.com/petrogustavo/status/1462970812873510912","1462970812873510912")</f>
        <v>1462970812873510912</v>
      </c>
      <c r="F17068" s="7" t="s">
        <v>32</v>
      </c>
      <c r="G17068" s="7">
        <v>4408418</v>
      </c>
      <c r="H17068" s="7">
        <v>2575</v>
      </c>
      <c r="I17068" s="7">
        <v>1464</v>
      </c>
      <c r="J17068" s="7">
        <v>0</v>
      </c>
      <c r="K17068" s="7" t="s">
        <v>18</v>
      </c>
      <c r="L17068" s="8">
        <v>39987.315405092595</v>
      </c>
      <c r="M17068" s="9" t="s">
        <v>19</v>
      </c>
      <c r="N17068" s="9" t="s">
        <v>20</v>
      </c>
      <c r="O17068" s="6" t="str">
        <f>HYPERLINK("https://pbs.twimg.com/profile_images/962471262747529216/Uo8lOkRJ_normal.jpg","View")</f>
        <v>View</v>
      </c>
      <c r="P17068" s="7"/>
    </row>
    <row r="17069" spans="1:16">
      <c r="A17069" s="3">
        <v>44523.342210648145</v>
      </c>
      <c r="B17069" s="4" t="str">
        <f>HYPERLINK("https://twitter.com/petrogustavo","@petrogustavo")</f>
        <v>@petrogustavo</v>
      </c>
      <c r="C17069" s="5" t="s">
        <v>16</v>
      </c>
      <c r="D17069" s="5" t="s">
        <v>16428</v>
      </c>
      <c r="E17069" s="6" t="str">
        <f>HYPERLINK("https://twitter.com/petrogustavo/status/1462974883520995336","1462974883520995336")</f>
        <v>1462974883520995336</v>
      </c>
      <c r="F17069" s="7" t="s">
        <v>32</v>
      </c>
      <c r="G17069" s="7">
        <v>4408450</v>
      </c>
      <c r="H17069" s="7">
        <v>2575</v>
      </c>
      <c r="I17069" s="7">
        <v>145</v>
      </c>
      <c r="J17069" s="7">
        <v>0</v>
      </c>
      <c r="K17069" s="7" t="s">
        <v>18</v>
      </c>
      <c r="L17069" s="8">
        <v>39987.315405092595</v>
      </c>
      <c r="M17069" s="9" t="s">
        <v>19</v>
      </c>
      <c r="N17069" s="9" t="s">
        <v>20</v>
      </c>
      <c r="O17069" s="6" t="str">
        <f>HYPERLINK("https://pbs.twimg.com/profile_images/962471262747529216/Uo8lOkRJ_normal.jpg","View")</f>
        <v>View</v>
      </c>
      <c r="P17069" s="7"/>
    </row>
    <row r="17070" spans="1:16">
      <c r="A17070" s="3">
        <v>44523.342407407406</v>
      </c>
      <c r="B17070" s="4" t="str">
        <f>HYPERLINK("https://twitter.com/petrogustavo","@petrogustavo")</f>
        <v>@petrogustavo</v>
      </c>
      <c r="C17070" s="5" t="s">
        <v>16</v>
      </c>
      <c r="D17070" s="5" t="s">
        <v>16429</v>
      </c>
      <c r="E17070" s="6" t="str">
        <f>HYPERLINK("https://twitter.com/petrogustavo/status/1462974954329288705","1462974954329288705")</f>
        <v>1462974954329288705</v>
      </c>
      <c r="F17070" s="7" t="s">
        <v>32</v>
      </c>
      <c r="G17070" s="7">
        <v>4408450</v>
      </c>
      <c r="H17070" s="7">
        <v>2575</v>
      </c>
      <c r="I17070" s="7">
        <v>1107</v>
      </c>
      <c r="J17070" s="7">
        <v>0</v>
      </c>
      <c r="K17070" s="7" t="s">
        <v>18</v>
      </c>
      <c r="L17070" s="8">
        <v>39987.315405092595</v>
      </c>
      <c r="M17070" s="9" t="s">
        <v>19</v>
      </c>
      <c r="N17070" s="9" t="s">
        <v>20</v>
      </c>
      <c r="O17070" s="6" t="str">
        <f>HYPERLINK("https://pbs.twimg.com/profile_images/962471262747529216/Uo8lOkRJ_normal.jpg","View")</f>
        <v>View</v>
      </c>
      <c r="P17070" s="7"/>
    </row>
    <row r="17071" spans="1:16">
      <c r="A17071" s="3">
        <v>44523.345532407402</v>
      </c>
      <c r="B17071" s="4" t="str">
        <f>HYPERLINK("https://twitter.com/petrogustavo","@petrogustavo")</f>
        <v>@petrogustavo</v>
      </c>
      <c r="C17071" s="5" t="s">
        <v>16</v>
      </c>
      <c r="D17071" s="5" t="s">
        <v>16430</v>
      </c>
      <c r="E17071" s="6" t="str">
        <f>HYPERLINK("https://twitter.com/petrogustavo/status/1462976085642129409","1462976085642129409")</f>
        <v>1462976085642129409</v>
      </c>
      <c r="F17071" s="7" t="s">
        <v>32</v>
      </c>
      <c r="G17071" s="7">
        <v>4408450</v>
      </c>
      <c r="H17071" s="7">
        <v>2575</v>
      </c>
      <c r="I17071" s="7">
        <v>51</v>
      </c>
      <c r="J17071" s="7">
        <v>0</v>
      </c>
      <c r="K17071" s="7" t="s">
        <v>18</v>
      </c>
      <c r="L17071" s="8">
        <v>39987.315405092595</v>
      </c>
      <c r="M17071" s="9" t="s">
        <v>19</v>
      </c>
      <c r="N17071" s="9" t="s">
        <v>20</v>
      </c>
      <c r="O17071" s="6" t="str">
        <f>HYPERLINK("https://pbs.twimg.com/profile_images/962471262747529216/Uo8lOkRJ_normal.jpg","View")</f>
        <v>View</v>
      </c>
      <c r="P17071" s="7"/>
    </row>
    <row r="17072" spans="1:16">
      <c r="A17072" s="3">
        <v>44523.354733796295</v>
      </c>
      <c r="B17072" s="4" t="str">
        <f>HYPERLINK("https://twitter.com/petrogustavo","@petrogustavo")</f>
        <v>@petrogustavo</v>
      </c>
      <c r="C17072" s="5" t="s">
        <v>16</v>
      </c>
      <c r="D17072" s="5" t="s">
        <v>16431</v>
      </c>
      <c r="E17072" s="6" t="str">
        <f>HYPERLINK("https://twitter.com/petrogustavo/status/1462979420449292291","1462979420449292291")</f>
        <v>1462979420449292291</v>
      </c>
      <c r="F17072" s="7" t="s">
        <v>32</v>
      </c>
      <c r="G17072" s="7">
        <v>4408450</v>
      </c>
      <c r="H17072" s="7">
        <v>2575</v>
      </c>
      <c r="I17072" s="7">
        <v>86</v>
      </c>
      <c r="J17072" s="7">
        <v>0</v>
      </c>
      <c r="K17072" s="7" t="s">
        <v>18</v>
      </c>
      <c r="L17072" s="8">
        <v>39987.315405092595</v>
      </c>
      <c r="M17072" s="9" t="s">
        <v>19</v>
      </c>
      <c r="N17072" s="9" t="s">
        <v>20</v>
      </c>
      <c r="O17072" s="6" t="str">
        <f>HYPERLINK("https://pbs.twimg.com/profile_images/962471262747529216/Uo8lOkRJ_normal.jpg","View")</f>
        <v>View</v>
      </c>
      <c r="P17072" s="7"/>
    </row>
    <row r="17073" spans="1:16">
      <c r="A17073" s="3">
        <v>44523.355972222227</v>
      </c>
      <c r="B17073" s="4" t="str">
        <f>HYPERLINK("https://twitter.com/petrogustavo","@petrogustavo")</f>
        <v>@petrogustavo</v>
      </c>
      <c r="C17073" s="5" t="s">
        <v>16</v>
      </c>
      <c r="D17073" s="5" t="s">
        <v>16432</v>
      </c>
      <c r="E17073" s="6" t="str">
        <f>HYPERLINK("https://twitter.com/petrogustavo/status/1462979868447158280","1462979868447158280")</f>
        <v>1462979868447158280</v>
      </c>
      <c r="F17073" s="7" t="s">
        <v>32</v>
      </c>
      <c r="G17073" s="7">
        <v>4408450</v>
      </c>
      <c r="H17073" s="7">
        <v>2575</v>
      </c>
      <c r="I17073" s="7">
        <v>3</v>
      </c>
      <c r="J17073" s="7">
        <v>12</v>
      </c>
      <c r="K17073" s="7" t="s">
        <v>18</v>
      </c>
      <c r="L17073" s="8">
        <v>39987.315405092595</v>
      </c>
      <c r="M17073" s="9" t="s">
        <v>19</v>
      </c>
      <c r="N17073" s="9" t="s">
        <v>20</v>
      </c>
      <c r="O17073" s="6" t="str">
        <f>HYPERLINK("https://pbs.twimg.com/profile_images/962471262747529216/Uo8lOkRJ_normal.jpg","View")</f>
        <v>View</v>
      </c>
      <c r="P17073" s="7"/>
    </row>
    <row r="17074" spans="1:16">
      <c r="A17074" s="3">
        <v>44523.714641203704</v>
      </c>
      <c r="B17074" s="4" t="str">
        <f>HYPERLINK("https://twitter.com/petrogustavo","@petrogustavo")</f>
        <v>@petrogustavo</v>
      </c>
      <c r="C17074" s="5" t="s">
        <v>16</v>
      </c>
      <c r="D17074" s="5" t="s">
        <v>16433</v>
      </c>
      <c r="E17074" s="6" t="str">
        <f>HYPERLINK("https://twitter.com/petrogustavo/status/1463109848099430404","1463109848099430404")</f>
        <v>1463109848099430404</v>
      </c>
      <c r="F17074" s="7" t="s">
        <v>17</v>
      </c>
      <c r="G17074" s="7">
        <v>4408644</v>
      </c>
      <c r="H17074" s="7">
        <v>2575</v>
      </c>
      <c r="I17074" s="7">
        <v>768</v>
      </c>
      <c r="J17074" s="7">
        <v>0</v>
      </c>
      <c r="K17074" s="7" t="s">
        <v>18</v>
      </c>
      <c r="L17074" s="8">
        <v>39987.315405092595</v>
      </c>
      <c r="M17074" s="9" t="s">
        <v>19</v>
      </c>
      <c r="N17074" s="9" t="s">
        <v>20</v>
      </c>
      <c r="O17074" s="6" t="str">
        <f>HYPERLINK("https://pbs.twimg.com/profile_images/962471262747529216/Uo8lOkRJ_normal.jpg","View")</f>
        <v>View</v>
      </c>
      <c r="P17074" s="7"/>
    </row>
    <row r="17075" spans="1:16">
      <c r="A17075" s="3">
        <v>44523.729768518519</v>
      </c>
      <c r="B17075" s="4" t="str">
        <f>HYPERLINK("https://twitter.com/petrogustavo","@petrogustavo")</f>
        <v>@petrogustavo</v>
      </c>
      <c r="C17075" s="5" t="s">
        <v>16</v>
      </c>
      <c r="D17075" s="5" t="s">
        <v>16434</v>
      </c>
      <c r="E17075" s="6" t="str">
        <f>HYPERLINK("https://twitter.com/petrogustavo/status/1463115329010294795","1463115329010294795")</f>
        <v>1463115329010294795</v>
      </c>
      <c r="F17075" s="7" t="s">
        <v>17</v>
      </c>
      <c r="G17075" s="7">
        <v>4408644</v>
      </c>
      <c r="H17075" s="7">
        <v>2575</v>
      </c>
      <c r="I17075" s="7">
        <v>10</v>
      </c>
      <c r="J17075" s="7">
        <v>42</v>
      </c>
      <c r="K17075" s="7" t="s">
        <v>18</v>
      </c>
      <c r="L17075" s="8">
        <v>39987.315405092595</v>
      </c>
      <c r="M17075" s="9" t="s">
        <v>19</v>
      </c>
      <c r="N17075" s="9" t="s">
        <v>20</v>
      </c>
      <c r="O17075" s="6" t="str">
        <f>HYPERLINK("https://pbs.twimg.com/profile_images/962471262747529216/Uo8lOkRJ_normal.jpg","View")</f>
        <v>View</v>
      </c>
      <c r="P17075" s="7"/>
    </row>
    <row r="17076" spans="1:16">
      <c r="A17076" s="3">
        <v>44523.731562500005</v>
      </c>
      <c r="B17076" s="4" t="str">
        <f>HYPERLINK("https://twitter.com/petrogustavo","@petrogustavo")</f>
        <v>@petrogustavo</v>
      </c>
      <c r="C17076" s="5" t="s">
        <v>16</v>
      </c>
      <c r="D17076" s="5" t="s">
        <v>16435</v>
      </c>
      <c r="E17076" s="6" t="str">
        <f>HYPERLINK("https://twitter.com/petrogustavo/status/1463115978292834318","1463115978292834318")</f>
        <v>1463115978292834318</v>
      </c>
      <c r="F17076" s="7" t="s">
        <v>17</v>
      </c>
      <c r="G17076" s="7">
        <v>4408673</v>
      </c>
      <c r="H17076" s="7">
        <v>2575</v>
      </c>
      <c r="I17076" s="7">
        <v>71</v>
      </c>
      <c r="J17076" s="7">
        <v>0</v>
      </c>
      <c r="K17076" s="7" t="s">
        <v>18</v>
      </c>
      <c r="L17076" s="8">
        <v>39987.315405092595</v>
      </c>
      <c r="M17076" s="9" t="s">
        <v>19</v>
      </c>
      <c r="N17076" s="9" t="s">
        <v>20</v>
      </c>
      <c r="O17076" s="6" t="str">
        <f>HYPERLINK("https://pbs.twimg.com/profile_images/962471262747529216/Uo8lOkRJ_normal.jpg","View")</f>
        <v>View</v>
      </c>
      <c r="P17076" s="7"/>
    </row>
    <row r="17077" spans="1:16">
      <c r="A17077" s="3">
        <v>44523.736018518517</v>
      </c>
      <c r="B17077" s="4" t="str">
        <f>HYPERLINK("https://twitter.com/petrogustavo","@petrogustavo")</f>
        <v>@petrogustavo</v>
      </c>
      <c r="C17077" s="5" t="s">
        <v>16</v>
      </c>
      <c r="D17077" s="5" t="s">
        <v>16436</v>
      </c>
      <c r="E17077" s="6" t="str">
        <f>HYPERLINK("https://twitter.com/petrogustavo/status/1463117593619963905","1463117593619963905")</f>
        <v>1463117593619963905</v>
      </c>
      <c r="F17077" s="7" t="s">
        <v>17</v>
      </c>
      <c r="G17077" s="7">
        <v>4408673</v>
      </c>
      <c r="H17077" s="7">
        <v>2575</v>
      </c>
      <c r="I17077" s="7">
        <v>1612</v>
      </c>
      <c r="J17077" s="7">
        <v>0</v>
      </c>
      <c r="K17077" s="7" t="s">
        <v>18</v>
      </c>
      <c r="L17077" s="8">
        <v>39987.315405092595</v>
      </c>
      <c r="M17077" s="9" t="s">
        <v>19</v>
      </c>
      <c r="N17077" s="9" t="s">
        <v>20</v>
      </c>
      <c r="O17077" s="6" t="str">
        <f>HYPERLINK("https://pbs.twimg.com/profile_images/962471262747529216/Uo8lOkRJ_normal.jpg","View")</f>
        <v>View</v>
      </c>
      <c r="P17077" s="7"/>
    </row>
    <row r="17078" spans="1:16">
      <c r="A17078" s="3">
        <v>44523.737395833334</v>
      </c>
      <c r="B17078" s="4" t="str">
        <f>HYPERLINK("https://twitter.com/petrogustavo","@petrogustavo")</f>
        <v>@petrogustavo</v>
      </c>
      <c r="C17078" s="5" t="s">
        <v>16</v>
      </c>
      <c r="D17078" s="5" t="s">
        <v>16437</v>
      </c>
      <c r="E17078" s="6" t="str">
        <f>HYPERLINK("https://twitter.com/petrogustavo/status/1463118092700168193","1463118092700168193")</f>
        <v>1463118092700168193</v>
      </c>
      <c r="F17078" s="7" t="s">
        <v>17</v>
      </c>
      <c r="G17078" s="7">
        <v>4408673</v>
      </c>
      <c r="H17078" s="7">
        <v>2575</v>
      </c>
      <c r="I17078" s="7">
        <v>35</v>
      </c>
      <c r="J17078" s="7">
        <v>0</v>
      </c>
      <c r="K17078" s="7" t="s">
        <v>18</v>
      </c>
      <c r="L17078" s="8">
        <v>39987.315405092595</v>
      </c>
      <c r="M17078" s="9" t="s">
        <v>19</v>
      </c>
      <c r="N17078" s="9" t="s">
        <v>20</v>
      </c>
      <c r="O17078" s="6" t="str">
        <f>HYPERLINK("https://pbs.twimg.com/profile_images/962471262747529216/Uo8lOkRJ_normal.jpg","View")</f>
        <v>View</v>
      </c>
      <c r="P17078" s="7"/>
    </row>
    <row r="17079" spans="1:16">
      <c r="A17079" s="3">
        <v>44523.7893287037</v>
      </c>
      <c r="B17079" s="4" t="str">
        <f>HYPERLINK("https://twitter.com/petrogustavo","@petrogustavo")</f>
        <v>@petrogustavo</v>
      </c>
      <c r="C17079" s="5" t="s">
        <v>16</v>
      </c>
      <c r="D17079" s="5" t="s">
        <v>16438</v>
      </c>
      <c r="E17079" s="6" t="str">
        <f>HYPERLINK("https://twitter.com/petrogustavo/status/1463136911900430339","1463136911900430339")</f>
        <v>1463136911900430339</v>
      </c>
      <c r="F17079" s="7" t="s">
        <v>17</v>
      </c>
      <c r="G17079" s="7">
        <v>4408727</v>
      </c>
      <c r="H17079" s="7">
        <v>2575</v>
      </c>
      <c r="I17079" s="7">
        <v>60</v>
      </c>
      <c r="J17079" s="7">
        <v>228</v>
      </c>
      <c r="K17079" s="7" t="s">
        <v>18</v>
      </c>
      <c r="L17079" s="8">
        <v>39987.315405092595</v>
      </c>
      <c r="M17079" s="9" t="s">
        <v>19</v>
      </c>
      <c r="N17079" s="9" t="s">
        <v>20</v>
      </c>
      <c r="O17079" s="6" t="str">
        <f>HYPERLINK("https://pbs.twimg.com/profile_images/962471262747529216/Uo8lOkRJ_normal.jpg","View")</f>
        <v>View</v>
      </c>
      <c r="P17079" s="7"/>
    </row>
    <row r="17080" spans="1:16">
      <c r="A17080" s="3">
        <v>44523.815995370373</v>
      </c>
      <c r="B17080" s="4" t="str">
        <f>HYPERLINK("https://twitter.com/petrogustavo","@petrogustavo")</f>
        <v>@petrogustavo</v>
      </c>
      <c r="C17080" s="5" t="s">
        <v>16</v>
      </c>
      <c r="D17080" s="5" t="s">
        <v>16439</v>
      </c>
      <c r="E17080" s="6" t="str">
        <f>HYPERLINK("https://twitter.com/petrogustavo/status/1463146575912448002","1463146575912448002")</f>
        <v>1463146575912448002</v>
      </c>
      <c r="F17080" s="7" t="s">
        <v>17</v>
      </c>
      <c r="G17080" s="7">
        <v>4408800</v>
      </c>
      <c r="H17080" s="7">
        <v>2575</v>
      </c>
      <c r="I17080" s="7">
        <v>806</v>
      </c>
      <c r="J17080" s="7">
        <v>0</v>
      </c>
      <c r="K17080" s="7" t="s">
        <v>18</v>
      </c>
      <c r="L17080" s="8">
        <v>39987.315405092595</v>
      </c>
      <c r="M17080" s="9" t="s">
        <v>19</v>
      </c>
      <c r="N17080" s="9" t="s">
        <v>20</v>
      </c>
      <c r="O17080" s="6" t="str">
        <f>HYPERLINK("https://pbs.twimg.com/profile_images/962471262747529216/Uo8lOkRJ_normal.jpg","View")</f>
        <v>View</v>
      </c>
      <c r="P17080" s="7"/>
    </row>
    <row r="17081" spans="1:16">
      <c r="A17081" s="3">
        <v>44523.823449074072</v>
      </c>
      <c r="B17081" s="4" t="str">
        <f>HYPERLINK("https://twitter.com/petrogustavo","@petrogustavo")</f>
        <v>@petrogustavo</v>
      </c>
      <c r="C17081" s="5" t="s">
        <v>16</v>
      </c>
      <c r="D17081" s="5" t="s">
        <v>16433</v>
      </c>
      <c r="E17081" s="6" t="str">
        <f>HYPERLINK("https://twitter.com/petrogustavo/status/1463149279560749070","1463149279560749070")</f>
        <v>1463149279560749070</v>
      </c>
      <c r="F17081" s="7" t="s">
        <v>17</v>
      </c>
      <c r="G17081" s="7">
        <v>4408800</v>
      </c>
      <c r="H17081" s="7">
        <v>2575</v>
      </c>
      <c r="I17081" s="7">
        <v>989</v>
      </c>
      <c r="J17081" s="7">
        <v>0</v>
      </c>
      <c r="K17081" s="7" t="s">
        <v>18</v>
      </c>
      <c r="L17081" s="8">
        <v>39987.315405092595</v>
      </c>
      <c r="M17081" s="9" t="s">
        <v>19</v>
      </c>
      <c r="N17081" s="9" t="s">
        <v>20</v>
      </c>
      <c r="O17081" s="6" t="str">
        <f>HYPERLINK("https://pbs.twimg.com/profile_images/962471262747529216/Uo8lOkRJ_normal.jpg","View")</f>
        <v>View</v>
      </c>
      <c r="P17081" s="7"/>
    </row>
    <row r="17082" spans="1:16">
      <c r="A17082" s="3">
        <v>44523.825115740736</v>
      </c>
      <c r="B17082" s="4" t="str">
        <f>HYPERLINK("https://twitter.com/petrogustavo","@petrogustavo")</f>
        <v>@petrogustavo</v>
      </c>
      <c r="C17082" s="5" t="s">
        <v>16</v>
      </c>
      <c r="D17082" s="5" t="s">
        <v>16440</v>
      </c>
      <c r="E17082" s="6" t="str">
        <f>HYPERLINK("https://twitter.com/petrogustavo/status/1463149880801640451","1463149880801640451")</f>
        <v>1463149880801640451</v>
      </c>
      <c r="F17082" s="7" t="s">
        <v>17</v>
      </c>
      <c r="G17082" s="7">
        <v>4408800</v>
      </c>
      <c r="H17082" s="7">
        <v>2575</v>
      </c>
      <c r="I17082" s="7">
        <v>92</v>
      </c>
      <c r="J17082" s="7">
        <v>0</v>
      </c>
      <c r="K17082" s="7" t="s">
        <v>18</v>
      </c>
      <c r="L17082" s="8">
        <v>39987.315405092595</v>
      </c>
      <c r="M17082" s="9" t="s">
        <v>19</v>
      </c>
      <c r="N17082" s="9" t="s">
        <v>20</v>
      </c>
      <c r="O17082" s="6" t="str">
        <f>HYPERLINK("https://pbs.twimg.com/profile_images/962471262747529216/Uo8lOkRJ_normal.jpg","View")</f>
        <v>View</v>
      </c>
      <c r="P17082" s="7"/>
    </row>
    <row r="17083" spans="1:16">
      <c r="A17083" s="3">
        <v>44523.826249999998</v>
      </c>
      <c r="B17083" s="4" t="str">
        <f>HYPERLINK("https://twitter.com/petrogustavo","@petrogustavo")</f>
        <v>@petrogustavo</v>
      </c>
      <c r="C17083" s="5" t="s">
        <v>16</v>
      </c>
      <c r="D17083" s="5" t="s">
        <v>16441</v>
      </c>
      <c r="E17083" s="6" t="str">
        <f>HYPERLINK("https://twitter.com/petrogustavo/status/1463150293911318535","1463150293911318535")</f>
        <v>1463150293911318535</v>
      </c>
      <c r="F17083" s="7" t="s">
        <v>17</v>
      </c>
      <c r="G17083" s="7">
        <v>4408800</v>
      </c>
      <c r="H17083" s="7">
        <v>2575</v>
      </c>
      <c r="I17083" s="7">
        <v>33</v>
      </c>
      <c r="J17083" s="7">
        <v>0</v>
      </c>
      <c r="K17083" s="7" t="s">
        <v>18</v>
      </c>
      <c r="L17083" s="8">
        <v>39987.315405092595</v>
      </c>
      <c r="M17083" s="9" t="s">
        <v>19</v>
      </c>
      <c r="N17083" s="9" t="s">
        <v>20</v>
      </c>
      <c r="O17083" s="6" t="str">
        <f>HYPERLINK("https://pbs.twimg.com/profile_images/962471262747529216/Uo8lOkRJ_normal.jpg","View")</f>
        <v>View</v>
      </c>
      <c r="P17083" s="7"/>
    </row>
    <row r="17084" spans="1:16">
      <c r="A17084" s="3">
        <v>44523.828275462962</v>
      </c>
      <c r="B17084" s="4" t="str">
        <f>HYPERLINK("https://twitter.com/petrogustavo","@petrogustavo")</f>
        <v>@petrogustavo</v>
      </c>
      <c r="C17084" s="5" t="s">
        <v>16</v>
      </c>
      <c r="D17084" s="5" t="s">
        <v>16442</v>
      </c>
      <c r="E17084" s="6" t="str">
        <f>HYPERLINK("https://twitter.com/petrogustavo/status/1463151027306348549","1463151027306348549")</f>
        <v>1463151027306348549</v>
      </c>
      <c r="F17084" s="7" t="s">
        <v>17</v>
      </c>
      <c r="G17084" s="7">
        <v>4408800</v>
      </c>
      <c r="H17084" s="7">
        <v>2575</v>
      </c>
      <c r="I17084" s="7">
        <v>14</v>
      </c>
      <c r="J17084" s="7">
        <v>0</v>
      </c>
      <c r="K17084" s="7" t="s">
        <v>18</v>
      </c>
      <c r="L17084" s="8">
        <v>39987.315405092595</v>
      </c>
      <c r="M17084" s="9" t="s">
        <v>19</v>
      </c>
      <c r="N17084" s="9" t="s">
        <v>20</v>
      </c>
      <c r="O17084" s="6" t="str">
        <f>HYPERLINK("https://pbs.twimg.com/profile_images/962471262747529216/Uo8lOkRJ_normal.jpg","View")</f>
        <v>View</v>
      </c>
      <c r="P17084" s="7"/>
    </row>
    <row r="17085" spans="1:16">
      <c r="A17085" s="3">
        <v>44523.91196759259</v>
      </c>
      <c r="B17085" s="4" t="str">
        <f>HYPERLINK("https://twitter.com/petrogustavo","@petrogustavo")</f>
        <v>@petrogustavo</v>
      </c>
      <c r="C17085" s="5" t="s">
        <v>16</v>
      </c>
      <c r="D17085" s="5" t="s">
        <v>16443</v>
      </c>
      <c r="E17085" s="6" t="str">
        <f>HYPERLINK("https://twitter.com/petrogustavo/status/1463181357807554567","1463181357807554567")</f>
        <v>1463181357807554567</v>
      </c>
      <c r="F17085" s="7" t="s">
        <v>17</v>
      </c>
      <c r="G17085" s="7">
        <v>4408903</v>
      </c>
      <c r="H17085" s="7">
        <v>2575</v>
      </c>
      <c r="I17085" s="7">
        <v>89</v>
      </c>
      <c r="J17085" s="7">
        <v>240</v>
      </c>
      <c r="K17085" s="7" t="s">
        <v>18</v>
      </c>
      <c r="L17085" s="8">
        <v>39987.315405092595</v>
      </c>
      <c r="M17085" s="9" t="s">
        <v>19</v>
      </c>
      <c r="N17085" s="9" t="s">
        <v>20</v>
      </c>
      <c r="O17085" s="6" t="str">
        <f>HYPERLINK("https://pbs.twimg.com/profile_images/962471262747529216/Uo8lOkRJ_normal.jpg","View")</f>
        <v>View</v>
      </c>
      <c r="P17085" s="7"/>
    </row>
    <row r="17086" spans="1:16">
      <c r="A17086" s="3">
        <v>44523.942997685182</v>
      </c>
      <c r="B17086" s="4" t="str">
        <f>HYPERLINK("https://twitter.com/petrogustavo","@petrogustavo")</f>
        <v>@petrogustavo</v>
      </c>
      <c r="C17086" s="5" t="s">
        <v>16</v>
      </c>
      <c r="D17086" s="5" t="s">
        <v>16444</v>
      </c>
      <c r="E17086" s="6" t="str">
        <f>HYPERLINK("https://twitter.com/petrogustavo/status/1463192600123424775","1463192600123424775")</f>
        <v>1463192600123424775</v>
      </c>
      <c r="F17086" s="7" t="s">
        <v>17</v>
      </c>
      <c r="G17086" s="7">
        <v>4408965</v>
      </c>
      <c r="H17086" s="7">
        <v>2575</v>
      </c>
      <c r="I17086" s="7">
        <v>119</v>
      </c>
      <c r="J17086" s="7">
        <v>0</v>
      </c>
      <c r="K17086" s="7" t="s">
        <v>18</v>
      </c>
      <c r="L17086" s="8">
        <v>39987.315405092595</v>
      </c>
      <c r="M17086" s="9" t="s">
        <v>19</v>
      </c>
      <c r="N17086" s="9" t="s">
        <v>20</v>
      </c>
      <c r="O17086" s="6" t="str">
        <f>HYPERLINK("https://pbs.twimg.com/profile_images/962471262747529216/Uo8lOkRJ_normal.jpg","View")</f>
        <v>View</v>
      </c>
      <c r="P17086" s="7"/>
    </row>
    <row r="17087" spans="1:16">
      <c r="A17087" s="3">
        <v>44523.994629629626</v>
      </c>
      <c r="B17087" s="4" t="str">
        <f>HYPERLINK("https://twitter.com/petrogustavo","@petrogustavo")</f>
        <v>@petrogustavo</v>
      </c>
      <c r="C17087" s="5" t="s">
        <v>16</v>
      </c>
      <c r="D17087" s="5" t="s">
        <v>16445</v>
      </c>
      <c r="E17087" s="6" t="str">
        <f>HYPERLINK("https://twitter.com/petrogustavo/status/1463211311400112129","1463211311400112129")</f>
        <v>1463211311400112129</v>
      </c>
      <c r="F17087" s="7" t="s">
        <v>32</v>
      </c>
      <c r="G17087" s="7">
        <v>4409013</v>
      </c>
      <c r="H17087" s="7">
        <v>2575</v>
      </c>
      <c r="I17087" s="7">
        <v>123</v>
      </c>
      <c r="J17087" s="7">
        <v>412</v>
      </c>
      <c r="K17087" s="7" t="s">
        <v>18</v>
      </c>
      <c r="L17087" s="8">
        <v>39987.315405092595</v>
      </c>
      <c r="M17087" s="9" t="s">
        <v>19</v>
      </c>
      <c r="N17087" s="9" t="s">
        <v>20</v>
      </c>
      <c r="O17087" s="6" t="str">
        <f>HYPERLINK("https://pbs.twimg.com/profile_images/962471262747529216/Uo8lOkRJ_normal.jpg","View")</f>
        <v>View</v>
      </c>
      <c r="P17087" s="7"/>
    </row>
    <row r="17088" spans="1:16">
      <c r="A17088" s="3">
        <v>44524.009618055556</v>
      </c>
      <c r="B17088" s="4" t="str">
        <f>HYPERLINK("https://twitter.com/petrogustavo","@petrogustavo")</f>
        <v>@petrogustavo</v>
      </c>
      <c r="C17088" s="5" t="s">
        <v>16</v>
      </c>
      <c r="D17088" s="5" t="s">
        <v>16446</v>
      </c>
      <c r="E17088" s="6" t="str">
        <f>HYPERLINK("https://twitter.com/petrogustavo/status/1463216742000435217","1463216742000435217")</f>
        <v>1463216742000435217</v>
      </c>
      <c r="F17088" s="7" t="s">
        <v>32</v>
      </c>
      <c r="G17088" s="7">
        <v>4409034</v>
      </c>
      <c r="H17088" s="7">
        <v>2575</v>
      </c>
      <c r="I17088" s="7">
        <v>44</v>
      </c>
      <c r="J17088" s="7">
        <v>0</v>
      </c>
      <c r="K17088" s="7" t="s">
        <v>18</v>
      </c>
      <c r="L17088" s="8">
        <v>39987.315405092595</v>
      </c>
      <c r="M17088" s="9" t="s">
        <v>19</v>
      </c>
      <c r="N17088" s="9" t="s">
        <v>20</v>
      </c>
      <c r="O17088" s="6" t="str">
        <f>HYPERLINK("https://pbs.twimg.com/profile_images/962471262747529216/Uo8lOkRJ_normal.jpg","View")</f>
        <v>View</v>
      </c>
      <c r="P17088" s="7"/>
    </row>
    <row r="17089" spans="1:16">
      <c r="A17089" s="3">
        <v>44524.034201388888</v>
      </c>
      <c r="B17089" s="4" t="str">
        <f>HYPERLINK("https://twitter.com/petrogustavo","@petrogustavo")</f>
        <v>@petrogustavo</v>
      </c>
      <c r="C17089" s="5" t="s">
        <v>16</v>
      </c>
      <c r="D17089" s="5" t="s">
        <v>16447</v>
      </c>
      <c r="E17089" s="6" t="str">
        <f>HYPERLINK("https://twitter.com/petrogustavo/status/1463225653801754632","1463225653801754632")</f>
        <v>1463225653801754632</v>
      </c>
      <c r="F17089" s="7" t="s">
        <v>32</v>
      </c>
      <c r="G17089" s="7">
        <v>4409062</v>
      </c>
      <c r="H17089" s="7">
        <v>2575</v>
      </c>
      <c r="I17089" s="7">
        <v>26</v>
      </c>
      <c r="J17089" s="7">
        <v>0</v>
      </c>
      <c r="K17089" s="7" t="s">
        <v>18</v>
      </c>
      <c r="L17089" s="8">
        <v>39987.315405092595</v>
      </c>
      <c r="M17089" s="9" t="s">
        <v>19</v>
      </c>
      <c r="N17089" s="9" t="s">
        <v>20</v>
      </c>
      <c r="O17089" s="6" t="str">
        <f>HYPERLINK("https://pbs.twimg.com/profile_images/962471262747529216/Uo8lOkRJ_normal.jpg","View")</f>
        <v>View</v>
      </c>
      <c r="P17089" s="7"/>
    </row>
    <row r="17090" spans="1:16">
      <c r="A17090" s="3">
        <v>44524.037199074075</v>
      </c>
      <c r="B17090" s="4" t="str">
        <f>HYPERLINK("https://twitter.com/petrogustavo","@petrogustavo")</f>
        <v>@petrogustavo</v>
      </c>
      <c r="C17090" s="5" t="s">
        <v>16</v>
      </c>
      <c r="D17090" s="5" t="s">
        <v>16448</v>
      </c>
      <c r="E17090" s="6" t="str">
        <f>HYPERLINK("https://twitter.com/petrogustavo/status/1463226736221597703","1463226736221597703")</f>
        <v>1463226736221597703</v>
      </c>
      <c r="F17090" s="7" t="s">
        <v>32</v>
      </c>
      <c r="G17090" s="7">
        <v>4409062</v>
      </c>
      <c r="H17090" s="7">
        <v>2575</v>
      </c>
      <c r="I17090" s="7">
        <v>87</v>
      </c>
      <c r="J17090" s="7">
        <v>296</v>
      </c>
      <c r="K17090" s="7" t="s">
        <v>18</v>
      </c>
      <c r="L17090" s="8">
        <v>39987.315405092595</v>
      </c>
      <c r="M17090" s="9" t="s">
        <v>19</v>
      </c>
      <c r="N17090" s="9" t="s">
        <v>20</v>
      </c>
      <c r="O17090" s="6" t="str">
        <f>HYPERLINK("https://pbs.twimg.com/profile_images/962471262747529216/Uo8lOkRJ_normal.jpg","View")</f>
        <v>View</v>
      </c>
      <c r="P17090" s="7"/>
    </row>
    <row r="17091" spans="1:16">
      <c r="A17091" s="3">
        <v>44524.113356481481</v>
      </c>
      <c r="B17091" s="4" t="str">
        <f>HYPERLINK("https://twitter.com/petrogustavo","@petrogustavo")</f>
        <v>@petrogustavo</v>
      </c>
      <c r="C17091" s="5" t="s">
        <v>16</v>
      </c>
      <c r="D17091" s="5" t="s">
        <v>16449</v>
      </c>
      <c r="E17091" s="6" t="str">
        <f>HYPERLINK("https://twitter.com/petrogustavo/status/1463254338554503170","1463254338554503170")</f>
        <v>1463254338554503170</v>
      </c>
      <c r="F17091" s="7" t="s">
        <v>32</v>
      </c>
      <c r="G17091" s="7">
        <v>4409172</v>
      </c>
      <c r="H17091" s="7">
        <v>2575</v>
      </c>
      <c r="I17091" s="7">
        <v>190</v>
      </c>
      <c r="J17091" s="7">
        <v>647</v>
      </c>
      <c r="K17091" s="7" t="s">
        <v>18</v>
      </c>
      <c r="L17091" s="8">
        <v>39987.315405092595</v>
      </c>
      <c r="M17091" s="9" t="s">
        <v>19</v>
      </c>
      <c r="N17091" s="9" t="s">
        <v>20</v>
      </c>
      <c r="O17091" s="6" t="str">
        <f>HYPERLINK("https://pbs.twimg.com/profile_images/962471262747529216/Uo8lOkRJ_normal.jpg","View")</f>
        <v>View</v>
      </c>
      <c r="P17091" s="7"/>
    </row>
    <row r="17092" spans="1:16">
      <c r="A17092" s="3">
        <v>44524.153449074074</v>
      </c>
      <c r="B17092" s="4" t="str">
        <f>HYPERLINK("https://twitter.com/petrogustavo","@petrogustavo")</f>
        <v>@petrogustavo</v>
      </c>
      <c r="C17092" s="5" t="s">
        <v>16</v>
      </c>
      <c r="D17092" s="5" t="s">
        <v>16450</v>
      </c>
      <c r="E17092" s="6" t="str">
        <f>HYPERLINK("https://twitter.com/petrogustavo/status/1463268863945154565","1463268863945154565")</f>
        <v>1463268863945154565</v>
      </c>
      <c r="F17092" s="7" t="s">
        <v>17</v>
      </c>
      <c r="G17092" s="7">
        <v>4409244</v>
      </c>
      <c r="H17092" s="7">
        <v>2575</v>
      </c>
      <c r="I17092" s="7">
        <v>224</v>
      </c>
      <c r="J17092" s="7">
        <v>802</v>
      </c>
      <c r="K17092" s="7" t="s">
        <v>18</v>
      </c>
      <c r="L17092" s="8">
        <v>39987.315405092595</v>
      </c>
      <c r="M17092" s="9" t="s">
        <v>19</v>
      </c>
      <c r="N17092" s="9" t="s">
        <v>20</v>
      </c>
      <c r="O17092" s="6" t="str">
        <f>HYPERLINK("https://pbs.twimg.com/profile_images/962471262747529216/Uo8lOkRJ_normal.jpg","View")</f>
        <v>View</v>
      </c>
      <c r="P17092" s="7"/>
    </row>
    <row r="17093" spans="1:16">
      <c r="A17093" s="3">
        <v>44524.213020833333</v>
      </c>
      <c r="B17093" s="4" t="str">
        <f>HYPERLINK("https://twitter.com/petrogustavo","@petrogustavo")</f>
        <v>@petrogustavo</v>
      </c>
      <c r="C17093" s="5" t="s">
        <v>16</v>
      </c>
      <c r="D17093" s="5" t="s">
        <v>16451</v>
      </c>
      <c r="E17093" s="6" t="str">
        <f>HYPERLINK("https://twitter.com/petrogustavo/status/1463290455852945411","1463290455852945411")</f>
        <v>1463290455852945411</v>
      </c>
      <c r="F17093" s="7" t="s">
        <v>32</v>
      </c>
      <c r="G17093" s="7">
        <v>4409307</v>
      </c>
      <c r="H17093" s="7">
        <v>2575</v>
      </c>
      <c r="I17093" s="7">
        <v>47</v>
      </c>
      <c r="J17093" s="7">
        <v>0</v>
      </c>
      <c r="K17093" s="7" t="s">
        <v>18</v>
      </c>
      <c r="L17093" s="8">
        <v>39987.315405092595</v>
      </c>
      <c r="M17093" s="9" t="s">
        <v>19</v>
      </c>
      <c r="N17093" s="9" t="s">
        <v>20</v>
      </c>
      <c r="O17093" s="6" t="str">
        <f>HYPERLINK("https://pbs.twimg.com/profile_images/962471262747529216/Uo8lOkRJ_normal.jpg","View")</f>
        <v>View</v>
      </c>
      <c r="P17093" s="7"/>
    </row>
    <row r="17094" spans="1:16">
      <c r="A17094" s="3">
        <v>44524.216504629629</v>
      </c>
      <c r="B17094" s="4" t="str">
        <f>HYPERLINK("https://twitter.com/petrogustavo","@petrogustavo")</f>
        <v>@petrogustavo</v>
      </c>
      <c r="C17094" s="5" t="s">
        <v>16</v>
      </c>
      <c r="D17094" s="5" t="s">
        <v>16452</v>
      </c>
      <c r="E17094" s="6" t="str">
        <f>HYPERLINK("https://twitter.com/petrogustavo/status/1463291717050937347","1463291717050937347")</f>
        <v>1463291717050937347</v>
      </c>
      <c r="F17094" s="7" t="s">
        <v>17</v>
      </c>
      <c r="G17094" s="7">
        <v>4409307</v>
      </c>
      <c r="H17094" s="7">
        <v>2575</v>
      </c>
      <c r="I17094" s="7">
        <v>236</v>
      </c>
      <c r="J17094" s="7">
        <v>0</v>
      </c>
      <c r="K17094" s="7" t="s">
        <v>18</v>
      </c>
      <c r="L17094" s="8">
        <v>39987.315405092595</v>
      </c>
      <c r="M17094" s="9" t="s">
        <v>19</v>
      </c>
      <c r="N17094" s="9" t="s">
        <v>20</v>
      </c>
      <c r="O17094" s="6" t="str">
        <f>HYPERLINK("https://pbs.twimg.com/profile_images/962471262747529216/Uo8lOkRJ_normal.jpg","View")</f>
        <v>View</v>
      </c>
      <c r="P17094" s="7"/>
    </row>
    <row r="17095" spans="1:16">
      <c r="A17095" s="3">
        <v>44524.217442129629</v>
      </c>
      <c r="B17095" s="4" t="str">
        <f>HYPERLINK("https://twitter.com/petrogustavo","@petrogustavo")</f>
        <v>@petrogustavo</v>
      </c>
      <c r="C17095" s="5" t="s">
        <v>16</v>
      </c>
      <c r="D17095" s="5" t="s">
        <v>16453</v>
      </c>
      <c r="E17095" s="6" t="str">
        <f>HYPERLINK("https://twitter.com/petrogustavo/status/1463292056676229120","1463292056676229120")</f>
        <v>1463292056676229120</v>
      </c>
      <c r="F17095" s="7" t="s">
        <v>17</v>
      </c>
      <c r="G17095" s="7">
        <v>4409307</v>
      </c>
      <c r="H17095" s="7">
        <v>2575</v>
      </c>
      <c r="I17095" s="7">
        <v>225</v>
      </c>
      <c r="J17095" s="7">
        <v>764</v>
      </c>
      <c r="K17095" s="7" t="s">
        <v>18</v>
      </c>
      <c r="L17095" s="8">
        <v>39987.315405092595</v>
      </c>
      <c r="M17095" s="9" t="s">
        <v>19</v>
      </c>
      <c r="N17095" s="9" t="s">
        <v>20</v>
      </c>
      <c r="O17095" s="6" t="str">
        <f>HYPERLINK("https://pbs.twimg.com/profile_images/962471262747529216/Uo8lOkRJ_normal.jpg","View")</f>
        <v>View</v>
      </c>
      <c r="P17095" s="7"/>
    </row>
    <row r="17096" spans="1:16">
      <c r="A17096" s="3">
        <v>44524.220983796295</v>
      </c>
      <c r="B17096" s="4" t="str">
        <f>HYPERLINK("https://twitter.com/petrogustavo","@petrogustavo")</f>
        <v>@petrogustavo</v>
      </c>
      <c r="C17096" s="5" t="s">
        <v>16</v>
      </c>
      <c r="D17096" s="5" t="s">
        <v>16454</v>
      </c>
      <c r="E17096" s="6" t="str">
        <f>HYPERLINK("https://twitter.com/petrogustavo/status/1463293338778537989","1463293338778537989")</f>
        <v>1463293338778537989</v>
      </c>
      <c r="F17096" s="7" t="s">
        <v>17</v>
      </c>
      <c r="G17096" s="7">
        <v>4409307</v>
      </c>
      <c r="H17096" s="7">
        <v>2575</v>
      </c>
      <c r="I17096" s="7">
        <v>107</v>
      </c>
      <c r="J17096" s="7">
        <v>254</v>
      </c>
      <c r="K17096" s="7" t="s">
        <v>18</v>
      </c>
      <c r="L17096" s="8">
        <v>39987.315405092595</v>
      </c>
      <c r="M17096" s="9" t="s">
        <v>19</v>
      </c>
      <c r="N17096" s="9" t="s">
        <v>20</v>
      </c>
      <c r="O17096" s="6" t="str">
        <f>HYPERLINK("https://pbs.twimg.com/profile_images/962471262747529216/Uo8lOkRJ_normal.jpg","View")</f>
        <v>View</v>
      </c>
      <c r="P17096" s="7"/>
    </row>
    <row r="17097" spans="1:16">
      <c r="A17097" s="3">
        <v>44524.221631944441</v>
      </c>
      <c r="B17097" s="4" t="str">
        <f>HYPERLINK("https://twitter.com/petrogustavo","@petrogustavo")</f>
        <v>@petrogustavo</v>
      </c>
      <c r="C17097" s="5" t="s">
        <v>16</v>
      </c>
      <c r="D17097" s="5" t="s">
        <v>16455</v>
      </c>
      <c r="E17097" s="6" t="str">
        <f>HYPERLINK("https://twitter.com/petrogustavo/status/1463293574225747970","1463293574225747970")</f>
        <v>1463293574225747970</v>
      </c>
      <c r="F17097" s="7" t="s">
        <v>17</v>
      </c>
      <c r="G17097" s="7">
        <v>4409307</v>
      </c>
      <c r="H17097" s="7">
        <v>2575</v>
      </c>
      <c r="I17097" s="7">
        <v>190</v>
      </c>
      <c r="J17097" s="7">
        <v>0</v>
      </c>
      <c r="K17097" s="7" t="s">
        <v>18</v>
      </c>
      <c r="L17097" s="8">
        <v>39987.315405092595</v>
      </c>
      <c r="M17097" s="9" t="s">
        <v>19</v>
      </c>
      <c r="N17097" s="9" t="s">
        <v>20</v>
      </c>
      <c r="O17097" s="6" t="str">
        <f>HYPERLINK("https://pbs.twimg.com/profile_images/962471262747529216/Uo8lOkRJ_normal.jpg","View")</f>
        <v>View</v>
      </c>
      <c r="P17097" s="7"/>
    </row>
    <row r="17098" spans="1:16">
      <c r="A17098" s="3">
        <v>44524.221909722226</v>
      </c>
      <c r="B17098" s="4" t="str">
        <f>HYPERLINK("https://twitter.com/petrogustavo","@petrogustavo")</f>
        <v>@petrogustavo</v>
      </c>
      <c r="C17098" s="5" t="s">
        <v>16</v>
      </c>
      <c r="D17098" s="5" t="s">
        <v>16456</v>
      </c>
      <c r="E17098" s="6" t="str">
        <f>HYPERLINK("https://twitter.com/petrogustavo/status/1463293674729652227","1463293674729652227")</f>
        <v>1463293674729652227</v>
      </c>
      <c r="F17098" s="7" t="s">
        <v>17</v>
      </c>
      <c r="G17098" s="7">
        <v>4409307</v>
      </c>
      <c r="H17098" s="7">
        <v>2575</v>
      </c>
      <c r="I17098" s="7">
        <v>22</v>
      </c>
      <c r="J17098" s="7">
        <v>0</v>
      </c>
      <c r="K17098" s="7" t="s">
        <v>18</v>
      </c>
      <c r="L17098" s="8">
        <v>39987.315405092595</v>
      </c>
      <c r="M17098" s="9" t="s">
        <v>19</v>
      </c>
      <c r="N17098" s="9" t="s">
        <v>20</v>
      </c>
      <c r="O17098" s="6" t="str">
        <f>HYPERLINK("https://pbs.twimg.com/profile_images/962471262747529216/Uo8lOkRJ_normal.jpg","View")</f>
        <v>View</v>
      </c>
      <c r="P17098" s="7"/>
    </row>
    <row r="17099" spans="1:16">
      <c r="A17099" s="3">
        <v>44524.223425925928</v>
      </c>
      <c r="B17099" s="4" t="str">
        <f>HYPERLINK("https://twitter.com/petrogustavo","@petrogustavo")</f>
        <v>@petrogustavo</v>
      </c>
      <c r="C17099" s="5" t="s">
        <v>16</v>
      </c>
      <c r="D17099" s="5" t="s">
        <v>16457</v>
      </c>
      <c r="E17099" s="6" t="str">
        <f>HYPERLINK("https://twitter.com/petrogustavo/status/1463294223583744008","1463294223583744008")</f>
        <v>1463294223583744008</v>
      </c>
      <c r="F17099" s="7" t="s">
        <v>17</v>
      </c>
      <c r="G17099" s="7">
        <v>4409307</v>
      </c>
      <c r="H17099" s="7">
        <v>2575</v>
      </c>
      <c r="I17099" s="7">
        <v>18</v>
      </c>
      <c r="J17099" s="7">
        <v>0</v>
      </c>
      <c r="K17099" s="7" t="s">
        <v>18</v>
      </c>
      <c r="L17099" s="8">
        <v>39987.315405092595</v>
      </c>
      <c r="M17099" s="9" t="s">
        <v>19</v>
      </c>
      <c r="N17099" s="9" t="s">
        <v>20</v>
      </c>
      <c r="O17099" s="6" t="str">
        <f>HYPERLINK("https://pbs.twimg.com/profile_images/962471262747529216/Uo8lOkRJ_normal.jpg","View")</f>
        <v>View</v>
      </c>
      <c r="P17099" s="7"/>
    </row>
    <row r="17100" spans="1:16">
      <c r="A17100" s="3">
        <v>44524.227384259255</v>
      </c>
      <c r="B17100" s="4" t="str">
        <f>HYPERLINK("https://twitter.com/petrogustavo","@petrogustavo")</f>
        <v>@petrogustavo</v>
      </c>
      <c r="C17100" s="5" t="s">
        <v>16</v>
      </c>
      <c r="D17100" s="5" t="s">
        <v>16458</v>
      </c>
      <c r="E17100" s="6" t="str">
        <f>HYPERLINK("https://twitter.com/petrogustavo/status/1463295660304830467","1463295660304830467")</f>
        <v>1463295660304830467</v>
      </c>
      <c r="F17100" s="7" t="s">
        <v>17</v>
      </c>
      <c r="G17100" s="7">
        <v>4409307</v>
      </c>
      <c r="H17100" s="7">
        <v>2575</v>
      </c>
      <c r="I17100" s="7">
        <v>36</v>
      </c>
      <c r="J17100" s="7">
        <v>0</v>
      </c>
      <c r="K17100" s="7" t="s">
        <v>18</v>
      </c>
      <c r="L17100" s="8">
        <v>39987.315405092595</v>
      </c>
      <c r="M17100" s="9" t="s">
        <v>19</v>
      </c>
      <c r="N17100" s="9" t="s">
        <v>20</v>
      </c>
      <c r="O17100" s="6" t="str">
        <f>HYPERLINK("https://pbs.twimg.com/profile_images/962471262747529216/Uo8lOkRJ_normal.jpg","View")</f>
        <v>View</v>
      </c>
      <c r="P17100" s="7"/>
    </row>
    <row r="17101" spans="1:16">
      <c r="A17101" s="3">
        <v>44524.227534722224</v>
      </c>
      <c r="B17101" s="4" t="str">
        <f>HYPERLINK("https://twitter.com/petrogustavo","@petrogustavo")</f>
        <v>@petrogustavo</v>
      </c>
      <c r="C17101" s="5" t="s">
        <v>16</v>
      </c>
      <c r="D17101" s="5" t="s">
        <v>16459</v>
      </c>
      <c r="E17101" s="6" t="str">
        <f>HYPERLINK("https://twitter.com/petrogustavo/status/1463295715363463172","1463295715363463172")</f>
        <v>1463295715363463172</v>
      </c>
      <c r="F17101" s="7" t="s">
        <v>17</v>
      </c>
      <c r="G17101" s="7">
        <v>4409307</v>
      </c>
      <c r="H17101" s="7">
        <v>2575</v>
      </c>
      <c r="I17101" s="7">
        <v>101</v>
      </c>
      <c r="J17101" s="7">
        <v>0</v>
      </c>
      <c r="K17101" s="7" t="s">
        <v>18</v>
      </c>
      <c r="L17101" s="8">
        <v>39987.315405092595</v>
      </c>
      <c r="M17101" s="9" t="s">
        <v>19</v>
      </c>
      <c r="N17101" s="9" t="s">
        <v>20</v>
      </c>
      <c r="O17101" s="6" t="str">
        <f>HYPERLINK("https://pbs.twimg.com/profile_images/962471262747529216/Uo8lOkRJ_normal.jpg","View")</f>
        <v>View</v>
      </c>
      <c r="P17101" s="7"/>
    </row>
    <row r="17102" spans="1:16">
      <c r="A17102" s="3">
        <v>44524.228020833332</v>
      </c>
      <c r="B17102" s="4" t="str">
        <f>HYPERLINK("https://twitter.com/petrogustavo","@petrogustavo")</f>
        <v>@petrogustavo</v>
      </c>
      <c r="C17102" s="5" t="s">
        <v>16</v>
      </c>
      <c r="D17102" s="5" t="s">
        <v>16460</v>
      </c>
      <c r="E17102" s="6" t="str">
        <f>HYPERLINK("https://twitter.com/petrogustavo/status/1463295890484084737","1463295890484084737")</f>
        <v>1463295890484084737</v>
      </c>
      <c r="F17102" s="7" t="s">
        <v>17</v>
      </c>
      <c r="G17102" s="7">
        <v>4409307</v>
      </c>
      <c r="H17102" s="7">
        <v>2575</v>
      </c>
      <c r="I17102" s="7">
        <v>20</v>
      </c>
      <c r="J17102" s="7">
        <v>0</v>
      </c>
      <c r="K17102" s="7" t="s">
        <v>18</v>
      </c>
      <c r="L17102" s="8">
        <v>39987.315405092595</v>
      </c>
      <c r="M17102" s="9" t="s">
        <v>19</v>
      </c>
      <c r="N17102" s="9" t="s">
        <v>20</v>
      </c>
      <c r="O17102" s="6" t="str">
        <f>HYPERLINK("https://pbs.twimg.com/profile_images/962471262747529216/Uo8lOkRJ_normal.jpg","View")</f>
        <v>View</v>
      </c>
      <c r="P17102" s="7"/>
    </row>
    <row r="17103" spans="1:16">
      <c r="A17103" s="3">
        <v>44524.230717592596</v>
      </c>
      <c r="B17103" s="4" t="str">
        <f>HYPERLINK("https://twitter.com/petrogustavo","@petrogustavo")</f>
        <v>@petrogustavo</v>
      </c>
      <c r="C17103" s="5" t="s">
        <v>16</v>
      </c>
      <c r="D17103" s="5" t="s">
        <v>16461</v>
      </c>
      <c r="E17103" s="6" t="str">
        <f>HYPERLINK("https://twitter.com/petrogustavo/status/1463296868184641536","1463296868184641536")</f>
        <v>1463296868184641536</v>
      </c>
      <c r="F17103" s="7" t="s">
        <v>17</v>
      </c>
      <c r="G17103" s="7">
        <v>4409307</v>
      </c>
      <c r="H17103" s="7">
        <v>2575</v>
      </c>
      <c r="I17103" s="7">
        <v>9</v>
      </c>
      <c r="J17103" s="7">
        <v>23</v>
      </c>
      <c r="K17103" s="7" t="s">
        <v>18</v>
      </c>
      <c r="L17103" s="8">
        <v>39987.315405092595</v>
      </c>
      <c r="M17103" s="9" t="s">
        <v>19</v>
      </c>
      <c r="N17103" s="9" t="s">
        <v>20</v>
      </c>
      <c r="O17103" s="6" t="str">
        <f>HYPERLINK("https://pbs.twimg.com/profile_images/962471262747529216/Uo8lOkRJ_normal.jpg","View")</f>
        <v>View</v>
      </c>
      <c r="P17103" s="7"/>
    </row>
    <row r="17104" spans="1:16">
      <c r="A17104" s="3">
        <v>44524.230960648143</v>
      </c>
      <c r="B17104" s="4" t="str">
        <f>HYPERLINK("https://twitter.com/petrogustavo","@petrogustavo")</f>
        <v>@petrogustavo</v>
      </c>
      <c r="C17104" s="5" t="s">
        <v>16</v>
      </c>
      <c r="D17104" s="5" t="s">
        <v>16462</v>
      </c>
      <c r="E17104" s="6" t="str">
        <f>HYPERLINK("https://twitter.com/petrogustavo/status/1463296954004381698","1463296954004381698")</f>
        <v>1463296954004381698</v>
      </c>
      <c r="F17104" s="7" t="s">
        <v>17</v>
      </c>
      <c r="G17104" s="7">
        <v>4409307</v>
      </c>
      <c r="H17104" s="7">
        <v>2575</v>
      </c>
      <c r="I17104" s="7">
        <v>107</v>
      </c>
      <c r="J17104" s="7">
        <v>0</v>
      </c>
      <c r="K17104" s="7" t="s">
        <v>18</v>
      </c>
      <c r="L17104" s="8">
        <v>39987.315405092595</v>
      </c>
      <c r="M17104" s="9" t="s">
        <v>19</v>
      </c>
      <c r="N17104" s="9" t="s">
        <v>20</v>
      </c>
      <c r="O17104" s="6" t="str">
        <f>HYPERLINK("https://pbs.twimg.com/profile_images/962471262747529216/Uo8lOkRJ_normal.jpg","View")</f>
        <v>View</v>
      </c>
      <c r="P17104" s="7"/>
    </row>
    <row r="17105" spans="1:16">
      <c r="A17105" s="3">
        <v>44524.249259259261</v>
      </c>
      <c r="B17105" s="4" t="str">
        <f>HYPERLINK("https://twitter.com/petrogustavo","@petrogustavo")</f>
        <v>@petrogustavo</v>
      </c>
      <c r="C17105" s="5" t="s">
        <v>16</v>
      </c>
      <c r="D17105" s="5" t="s">
        <v>16463</v>
      </c>
      <c r="E17105" s="6" t="str">
        <f>HYPERLINK("https://twitter.com/petrogustavo/status/1463303586344054790","1463303586344054790")</f>
        <v>1463303586344054790</v>
      </c>
      <c r="F17105" s="7" t="s">
        <v>17</v>
      </c>
      <c r="G17105" s="7">
        <v>4409327</v>
      </c>
      <c r="H17105" s="7">
        <v>2575</v>
      </c>
      <c r="I17105" s="7">
        <v>10</v>
      </c>
      <c r="J17105" s="7">
        <v>0</v>
      </c>
      <c r="K17105" s="7" t="s">
        <v>18</v>
      </c>
      <c r="L17105" s="8">
        <v>39987.315405092595</v>
      </c>
      <c r="M17105" s="9" t="s">
        <v>19</v>
      </c>
      <c r="N17105" s="9" t="s">
        <v>20</v>
      </c>
      <c r="O17105" s="6" t="str">
        <f>HYPERLINK("https://pbs.twimg.com/profile_images/962471262747529216/Uo8lOkRJ_normal.jpg","View")</f>
        <v>View</v>
      </c>
      <c r="P17105" s="7"/>
    </row>
    <row r="17106" spans="1:16">
      <c r="A17106" s="3">
        <v>44524.25200231481</v>
      </c>
      <c r="B17106" s="4" t="str">
        <f>HYPERLINK("https://twitter.com/petrogustavo","@petrogustavo")</f>
        <v>@petrogustavo</v>
      </c>
      <c r="C17106" s="5" t="s">
        <v>16</v>
      </c>
      <c r="D17106" s="5" t="s">
        <v>16464</v>
      </c>
      <c r="E17106" s="6" t="str">
        <f>HYPERLINK("https://twitter.com/petrogustavo/status/1463304580519936007","1463304580519936007")</f>
        <v>1463304580519936007</v>
      </c>
      <c r="F17106" s="7" t="s">
        <v>17</v>
      </c>
      <c r="G17106" s="7">
        <v>4409327</v>
      </c>
      <c r="H17106" s="7">
        <v>2575</v>
      </c>
      <c r="I17106" s="7">
        <v>1</v>
      </c>
      <c r="J17106" s="7">
        <v>5</v>
      </c>
      <c r="K17106" s="7" t="s">
        <v>18</v>
      </c>
      <c r="L17106" s="8">
        <v>39987.315405092595</v>
      </c>
      <c r="M17106" s="9" t="s">
        <v>19</v>
      </c>
      <c r="N17106" s="9" t="s">
        <v>20</v>
      </c>
      <c r="O17106" s="6" t="str">
        <f>HYPERLINK("https://pbs.twimg.com/profile_images/962471262747529216/Uo8lOkRJ_normal.jpg","View")</f>
        <v>View</v>
      </c>
      <c r="P17106" s="7"/>
    </row>
    <row r="17107" spans="1:16">
      <c r="A17107" s="3">
        <v>44524.269212962958</v>
      </c>
      <c r="B17107" s="4" t="str">
        <f>HYPERLINK("https://twitter.com/petrogustavo","@petrogustavo")</f>
        <v>@petrogustavo</v>
      </c>
      <c r="C17107" s="5" t="s">
        <v>16</v>
      </c>
      <c r="D17107" s="5" t="s">
        <v>16465</v>
      </c>
      <c r="E17107" s="6" t="str">
        <f>HYPERLINK("https://twitter.com/petrogustavo/status/1463310818133655557","1463310818133655557")</f>
        <v>1463310818133655557</v>
      </c>
      <c r="F17107" s="7" t="s">
        <v>17</v>
      </c>
      <c r="G17107" s="7">
        <v>4409357</v>
      </c>
      <c r="H17107" s="7">
        <v>2575</v>
      </c>
      <c r="I17107" s="7">
        <v>105</v>
      </c>
      <c r="J17107" s="7">
        <v>0</v>
      </c>
      <c r="K17107" s="7" t="s">
        <v>18</v>
      </c>
      <c r="L17107" s="8">
        <v>39987.315405092595</v>
      </c>
      <c r="M17107" s="9" t="s">
        <v>19</v>
      </c>
      <c r="N17107" s="9" t="s">
        <v>20</v>
      </c>
      <c r="O17107" s="6" t="str">
        <f>HYPERLINK("https://pbs.twimg.com/profile_images/962471262747529216/Uo8lOkRJ_normal.jpg","View")</f>
        <v>View</v>
      </c>
      <c r="P17107" s="7"/>
    </row>
    <row r="17108" spans="1:16">
      <c r="A17108" s="3">
        <v>44524.269884259258</v>
      </c>
      <c r="B17108" s="4" t="str">
        <f>HYPERLINK("https://twitter.com/petrogustavo","@petrogustavo")</f>
        <v>@petrogustavo</v>
      </c>
      <c r="C17108" s="5" t="s">
        <v>16</v>
      </c>
      <c r="D17108" s="5" t="s">
        <v>16462</v>
      </c>
      <c r="E17108" s="6" t="str">
        <f>HYPERLINK("https://twitter.com/petrogustavo/status/1463311058555351042","1463311058555351042")</f>
        <v>1463311058555351042</v>
      </c>
      <c r="F17108" s="7" t="s">
        <v>17</v>
      </c>
      <c r="G17108" s="7">
        <v>4409357</v>
      </c>
      <c r="H17108" s="7">
        <v>2575</v>
      </c>
      <c r="I17108" s="7">
        <v>271</v>
      </c>
      <c r="J17108" s="7">
        <v>0</v>
      </c>
      <c r="K17108" s="7" t="s">
        <v>18</v>
      </c>
      <c r="L17108" s="8">
        <v>39987.315405092595</v>
      </c>
      <c r="M17108" s="9" t="s">
        <v>19</v>
      </c>
      <c r="N17108" s="9" t="s">
        <v>20</v>
      </c>
      <c r="O17108" s="6" t="str">
        <f>HYPERLINK("https://pbs.twimg.com/profile_images/962471262747529216/Uo8lOkRJ_normal.jpg","View")</f>
        <v>View</v>
      </c>
      <c r="P17108" s="7"/>
    </row>
    <row r="17109" spans="1:16">
      <c r="A17109" s="3">
        <v>44524.290682870371</v>
      </c>
      <c r="B17109" s="4" t="str">
        <f>HYPERLINK("https://twitter.com/petrogustavo","@petrogustavo")</f>
        <v>@petrogustavo</v>
      </c>
      <c r="C17109" s="5" t="s">
        <v>16</v>
      </c>
      <c r="D17109" s="5" t="s">
        <v>16466</v>
      </c>
      <c r="E17109" s="6" t="str">
        <f>HYPERLINK("https://twitter.com/petrogustavo/status/1463318595992276993","1463318595992276993")</f>
        <v>1463318595992276993</v>
      </c>
      <c r="F17109" s="7" t="s">
        <v>17</v>
      </c>
      <c r="G17109" s="7">
        <v>4409386</v>
      </c>
      <c r="H17109" s="7">
        <v>2575</v>
      </c>
      <c r="I17109" s="7">
        <v>78</v>
      </c>
      <c r="J17109" s="7">
        <v>0</v>
      </c>
      <c r="K17109" s="7" t="s">
        <v>18</v>
      </c>
      <c r="L17109" s="8">
        <v>39987.315405092595</v>
      </c>
      <c r="M17109" s="9" t="s">
        <v>19</v>
      </c>
      <c r="N17109" s="9" t="s">
        <v>20</v>
      </c>
      <c r="O17109" s="6" t="str">
        <f>HYPERLINK("https://pbs.twimg.com/profile_images/962471262747529216/Uo8lOkRJ_normal.jpg","View")</f>
        <v>View</v>
      </c>
      <c r="P17109" s="7"/>
    </row>
    <row r="17110" spans="1:16">
      <c r="A17110" s="3">
        <v>44524.291435185187</v>
      </c>
      <c r="B17110" s="4" t="str">
        <f>HYPERLINK("https://twitter.com/petrogustavo","@petrogustavo")</f>
        <v>@petrogustavo</v>
      </c>
      <c r="C17110" s="5" t="s">
        <v>16</v>
      </c>
      <c r="D17110" s="5" t="s">
        <v>16467</v>
      </c>
      <c r="E17110" s="6" t="str">
        <f>HYPERLINK("https://twitter.com/petrogustavo/status/1463318872187187201","1463318872187187201")</f>
        <v>1463318872187187201</v>
      </c>
      <c r="F17110" s="7" t="s">
        <v>17</v>
      </c>
      <c r="G17110" s="7">
        <v>4409386</v>
      </c>
      <c r="H17110" s="7">
        <v>2575</v>
      </c>
      <c r="I17110" s="7">
        <v>308</v>
      </c>
      <c r="J17110" s="7">
        <v>0</v>
      </c>
      <c r="K17110" s="7" t="s">
        <v>18</v>
      </c>
      <c r="L17110" s="8">
        <v>39987.315405092595</v>
      </c>
      <c r="M17110" s="9" t="s">
        <v>19</v>
      </c>
      <c r="N17110" s="9" t="s">
        <v>20</v>
      </c>
      <c r="O17110" s="6" t="str">
        <f>HYPERLINK("https://pbs.twimg.com/profile_images/962471262747529216/Uo8lOkRJ_normal.jpg","View")</f>
        <v>View</v>
      </c>
      <c r="P17110" s="7"/>
    </row>
    <row r="17111" spans="1:16">
      <c r="A17111" s="3">
        <v>44524.319791666669</v>
      </c>
      <c r="B17111" s="4" t="str">
        <f>HYPERLINK("https://twitter.com/petrogustavo","@petrogustavo")</f>
        <v>@petrogustavo</v>
      </c>
      <c r="C17111" s="5" t="s">
        <v>16</v>
      </c>
      <c r="D17111" s="5" t="s">
        <v>16468</v>
      </c>
      <c r="E17111" s="6" t="str">
        <f>HYPERLINK("https://twitter.com/petrogustavo/status/1463329146264772613","1463329146264772613")</f>
        <v>1463329146264772613</v>
      </c>
      <c r="F17111" s="7" t="s">
        <v>17</v>
      </c>
      <c r="G17111" s="7">
        <v>4409437</v>
      </c>
      <c r="H17111" s="7">
        <v>2575</v>
      </c>
      <c r="I17111" s="7">
        <v>84</v>
      </c>
      <c r="J17111" s="7">
        <v>254</v>
      </c>
      <c r="K17111" s="7" t="s">
        <v>18</v>
      </c>
      <c r="L17111" s="8">
        <v>39987.315405092595</v>
      </c>
      <c r="M17111" s="9" t="s">
        <v>19</v>
      </c>
      <c r="N17111" s="9" t="s">
        <v>20</v>
      </c>
      <c r="O17111" s="6" t="str">
        <f>HYPERLINK("https://pbs.twimg.com/profile_images/962471262747529216/Uo8lOkRJ_normal.jpg","View")</f>
        <v>View</v>
      </c>
      <c r="P17111" s="7"/>
    </row>
    <row r="17112" spans="1:16">
      <c r="A17112" s="3">
        <v>44524.8050462963</v>
      </c>
      <c r="B17112" s="4" t="str">
        <f>HYPERLINK("https://twitter.com/petrogustavo","@petrogustavo")</f>
        <v>@petrogustavo</v>
      </c>
      <c r="C17112" s="5" t="s">
        <v>16</v>
      </c>
      <c r="D17112" s="5" t="s">
        <v>16469</v>
      </c>
      <c r="E17112" s="6" t="str">
        <f>HYPERLINK("https://twitter.com/petrogustavo/status/1463504995928653832","1463504995928653832")</f>
        <v>1463504995928653832</v>
      </c>
      <c r="F17112" s="7" t="s">
        <v>17</v>
      </c>
      <c r="G17112" s="7">
        <v>4409786</v>
      </c>
      <c r="H17112" s="7">
        <v>2575</v>
      </c>
      <c r="I17112" s="7">
        <v>240</v>
      </c>
      <c r="J17112" s="7">
        <v>821</v>
      </c>
      <c r="K17112" s="7" t="s">
        <v>18</v>
      </c>
      <c r="L17112" s="8">
        <v>39987.315405092595</v>
      </c>
      <c r="M17112" s="9" t="s">
        <v>19</v>
      </c>
      <c r="N17112" s="9" t="s">
        <v>20</v>
      </c>
      <c r="O17112" s="6" t="str">
        <f>HYPERLINK("https://pbs.twimg.com/profile_images/962471262747529216/Uo8lOkRJ_normal.jpg","View")</f>
        <v>View</v>
      </c>
      <c r="P17112" s="7"/>
    </row>
    <row r="17113" spans="1:16">
      <c r="A17113" s="3">
        <v>44525.065960648149</v>
      </c>
      <c r="B17113" s="4" t="str">
        <f>HYPERLINK("https://twitter.com/petrogustavo","@petrogustavo")</f>
        <v>@petrogustavo</v>
      </c>
      <c r="C17113" s="5" t="s">
        <v>16</v>
      </c>
      <c r="D17113" s="5" t="s">
        <v>16470</v>
      </c>
      <c r="E17113" s="6" t="str">
        <f>HYPERLINK("https://twitter.com/petrogustavo/status/1463599549726044166","1463599549726044166")</f>
        <v>1463599549726044166</v>
      </c>
      <c r="F17113" s="7" t="s">
        <v>32</v>
      </c>
      <c r="G17113" s="7">
        <v>4410023</v>
      </c>
      <c r="H17113" s="7">
        <v>2575</v>
      </c>
      <c r="I17113" s="7">
        <v>605</v>
      </c>
      <c r="J17113" s="7">
        <v>0</v>
      </c>
      <c r="K17113" s="7" t="s">
        <v>18</v>
      </c>
      <c r="L17113" s="8">
        <v>39987.315405092595</v>
      </c>
      <c r="M17113" s="9" t="s">
        <v>19</v>
      </c>
      <c r="N17113" s="9" t="s">
        <v>20</v>
      </c>
      <c r="O17113" s="6" t="str">
        <f>HYPERLINK("https://pbs.twimg.com/profile_images/962471262747529216/Uo8lOkRJ_normal.jpg","View")</f>
        <v>View</v>
      </c>
      <c r="P17113" s="7"/>
    </row>
    <row r="17114" spans="1:16">
      <c r="A17114" s="3">
        <v>44525.076099537036</v>
      </c>
      <c r="B17114" s="4" t="str">
        <f>HYPERLINK("https://twitter.com/petrogustavo","@petrogustavo")</f>
        <v>@petrogustavo</v>
      </c>
      <c r="C17114" s="5" t="s">
        <v>16</v>
      </c>
      <c r="D17114" s="5" t="s">
        <v>16471</v>
      </c>
      <c r="E17114" s="6" t="str">
        <f>HYPERLINK("https://twitter.com/petrogustavo/status/1463603225186217999","1463603225186217999")</f>
        <v>1463603225186217999</v>
      </c>
      <c r="F17114" s="7" t="s">
        <v>17</v>
      </c>
      <c r="G17114" s="7">
        <v>4410023</v>
      </c>
      <c r="H17114" s="7">
        <v>2575</v>
      </c>
      <c r="I17114" s="7">
        <v>22</v>
      </c>
      <c r="J17114" s="7">
        <v>0</v>
      </c>
      <c r="K17114" s="7" t="s">
        <v>18</v>
      </c>
      <c r="L17114" s="8">
        <v>39987.315405092595</v>
      </c>
      <c r="M17114" s="9" t="s">
        <v>19</v>
      </c>
      <c r="N17114" s="9" t="s">
        <v>20</v>
      </c>
      <c r="O17114" s="6" t="str">
        <f>HYPERLINK("https://pbs.twimg.com/profile_images/962471262747529216/Uo8lOkRJ_normal.jpg","View")</f>
        <v>View</v>
      </c>
      <c r="P17114" s="7"/>
    </row>
    <row r="17115" spans="1:16">
      <c r="A17115" s="3">
        <v>44525.199699074074</v>
      </c>
      <c r="B17115" s="4" t="str">
        <f>HYPERLINK("https://twitter.com/petrogustavo","@petrogustavo")</f>
        <v>@petrogustavo</v>
      </c>
      <c r="C17115" s="5" t="s">
        <v>16</v>
      </c>
      <c r="D17115" s="5" t="s">
        <v>16470</v>
      </c>
      <c r="E17115" s="6" t="str">
        <f>HYPERLINK("https://twitter.com/petrogustavo/status/1463648014573215751","1463648014573215751")</f>
        <v>1463648014573215751</v>
      </c>
      <c r="F17115" s="7" t="s">
        <v>17</v>
      </c>
      <c r="G17115" s="7">
        <v>4410197</v>
      </c>
      <c r="H17115" s="7">
        <v>2575</v>
      </c>
      <c r="I17115" s="7">
        <v>861</v>
      </c>
      <c r="J17115" s="7">
        <v>0</v>
      </c>
      <c r="K17115" s="7" t="s">
        <v>18</v>
      </c>
      <c r="L17115" s="8">
        <v>39987.315405092595</v>
      </c>
      <c r="M17115" s="9" t="s">
        <v>19</v>
      </c>
      <c r="N17115" s="9" t="s">
        <v>20</v>
      </c>
      <c r="O17115" s="6" t="str">
        <f>HYPERLINK("https://pbs.twimg.com/profile_images/962471262747529216/Uo8lOkRJ_normal.jpg","View")</f>
        <v>View</v>
      </c>
      <c r="P17115" s="7"/>
    </row>
    <row r="17116" spans="1:16">
      <c r="A17116" s="3">
        <v>44525.203298611115</v>
      </c>
      <c r="B17116" s="4" t="str">
        <f>HYPERLINK("https://twitter.com/petrogustavo","@petrogustavo")</f>
        <v>@petrogustavo</v>
      </c>
      <c r="C17116" s="5" t="s">
        <v>16</v>
      </c>
      <c r="D17116" s="5" t="s">
        <v>16472</v>
      </c>
      <c r="E17116" s="6" t="str">
        <f>HYPERLINK("https://twitter.com/petrogustavo/status/1463649319895146499","1463649319895146499")</f>
        <v>1463649319895146499</v>
      </c>
      <c r="F17116" s="7" t="s">
        <v>17</v>
      </c>
      <c r="G17116" s="7">
        <v>4410197</v>
      </c>
      <c r="H17116" s="7">
        <v>2575</v>
      </c>
      <c r="I17116" s="7">
        <v>84</v>
      </c>
      <c r="J17116" s="7">
        <v>297</v>
      </c>
      <c r="K17116" s="7" t="s">
        <v>18</v>
      </c>
      <c r="L17116" s="8">
        <v>39987.315405092595</v>
      </c>
      <c r="M17116" s="9" t="s">
        <v>19</v>
      </c>
      <c r="N17116" s="9" t="s">
        <v>20</v>
      </c>
      <c r="O17116" s="6" t="str">
        <f>HYPERLINK("https://pbs.twimg.com/profile_images/962471262747529216/Uo8lOkRJ_normal.jpg","View")</f>
        <v>View</v>
      </c>
      <c r="P17116" s="7"/>
    </row>
    <row r="17117" spans="1:16">
      <c r="A17117" s="3">
        <v>44525.344594907408</v>
      </c>
      <c r="B17117" s="4" t="str">
        <f>HYPERLINK("https://twitter.com/petrogustavo","@petrogustavo")</f>
        <v>@petrogustavo</v>
      </c>
      <c r="C17117" s="5" t="s">
        <v>16</v>
      </c>
      <c r="D17117" s="5" t="s">
        <v>16473</v>
      </c>
      <c r="E17117" s="6" t="str">
        <f>HYPERLINK("https://twitter.com/petrogustavo/status/1463700524306419717","1463700524306419717")</f>
        <v>1463700524306419717</v>
      </c>
      <c r="F17117" s="7" t="s">
        <v>17</v>
      </c>
      <c r="G17117" s="7">
        <v>4410474</v>
      </c>
      <c r="H17117" s="7">
        <v>2575</v>
      </c>
      <c r="I17117" s="7">
        <v>257</v>
      </c>
      <c r="J17117" s="7">
        <v>1521</v>
      </c>
      <c r="K17117" s="7" t="s">
        <v>18</v>
      </c>
      <c r="L17117" s="8">
        <v>39987.315405092595</v>
      </c>
      <c r="M17117" s="9" t="s">
        <v>19</v>
      </c>
      <c r="N17117" s="9" t="s">
        <v>20</v>
      </c>
      <c r="O17117" s="6" t="str">
        <f>HYPERLINK("https://pbs.twimg.com/profile_images/962471262747529216/Uo8lOkRJ_normal.jpg","View")</f>
        <v>View</v>
      </c>
      <c r="P17117" s="7"/>
    </row>
    <row r="17118" spans="1:16">
      <c r="A17118" s="3">
        <v>44525.350127314814</v>
      </c>
      <c r="B17118" s="4" t="str">
        <f>HYPERLINK("https://twitter.com/petrogustavo","@petrogustavo")</f>
        <v>@petrogustavo</v>
      </c>
      <c r="C17118" s="5" t="s">
        <v>16</v>
      </c>
      <c r="D17118" s="5" t="s">
        <v>16474</v>
      </c>
      <c r="E17118" s="6" t="str">
        <f>HYPERLINK("https://twitter.com/petrogustavo/status/1463702526352629765","1463702526352629765")</f>
        <v>1463702526352629765</v>
      </c>
      <c r="F17118" s="7" t="s">
        <v>17</v>
      </c>
      <c r="G17118" s="7">
        <v>4410474</v>
      </c>
      <c r="H17118" s="7">
        <v>2575</v>
      </c>
      <c r="I17118" s="7">
        <v>37</v>
      </c>
      <c r="J17118" s="7">
        <v>0</v>
      </c>
      <c r="K17118" s="7" t="s">
        <v>18</v>
      </c>
      <c r="L17118" s="8">
        <v>39987.315405092595</v>
      </c>
      <c r="M17118" s="9" t="s">
        <v>19</v>
      </c>
      <c r="N17118" s="9" t="s">
        <v>20</v>
      </c>
      <c r="O17118" s="6" t="str">
        <f>HYPERLINK("https://pbs.twimg.com/profile_images/962471262747529216/Uo8lOkRJ_normal.jpg","View")</f>
        <v>View</v>
      </c>
      <c r="P17118" s="7"/>
    </row>
    <row r="17119" spans="1:16">
      <c r="A17119" s="3">
        <v>44525.721226851849</v>
      </c>
      <c r="B17119" s="4" t="str">
        <f>HYPERLINK("https://twitter.com/petrogustavo","@petrogustavo")</f>
        <v>@petrogustavo</v>
      </c>
      <c r="C17119" s="5" t="s">
        <v>16</v>
      </c>
      <c r="D17119" s="5" t="s">
        <v>16475</v>
      </c>
      <c r="E17119" s="6" t="str">
        <f>HYPERLINK("https://twitter.com/petrogustavo/status/1463837007772327937","1463837007772327937")</f>
        <v>1463837007772327937</v>
      </c>
      <c r="F17119" s="7" t="s">
        <v>17</v>
      </c>
      <c r="G17119" s="7">
        <v>4410695</v>
      </c>
      <c r="H17119" s="7">
        <v>2574</v>
      </c>
      <c r="I17119" s="7">
        <v>95</v>
      </c>
      <c r="J17119" s="7">
        <v>308</v>
      </c>
      <c r="K17119" s="7" t="s">
        <v>18</v>
      </c>
      <c r="L17119" s="8">
        <v>39987.315405092595</v>
      </c>
      <c r="M17119" s="9" t="s">
        <v>19</v>
      </c>
      <c r="N17119" s="9" t="s">
        <v>20</v>
      </c>
      <c r="O17119" s="6" t="str">
        <f>HYPERLINK("https://pbs.twimg.com/profile_images/962471262747529216/Uo8lOkRJ_normal.jpg","View")</f>
        <v>View</v>
      </c>
      <c r="P17119" s="7"/>
    </row>
    <row r="17120" spans="1:16">
      <c r="A17120" s="3">
        <v>44525.730879629627</v>
      </c>
      <c r="B17120" s="4" t="str">
        <f>HYPERLINK("https://twitter.com/petrogustavo","@petrogustavo")</f>
        <v>@petrogustavo</v>
      </c>
      <c r="C17120" s="5" t="s">
        <v>16</v>
      </c>
      <c r="D17120" s="5" t="s">
        <v>16476</v>
      </c>
      <c r="E17120" s="6" t="str">
        <f>HYPERLINK("https://twitter.com/petrogustavo/status/1463840507973537792","1463840507973537792")</f>
        <v>1463840507973537792</v>
      </c>
      <c r="F17120" s="7" t="s">
        <v>17</v>
      </c>
      <c r="G17120" s="7">
        <v>4410695</v>
      </c>
      <c r="H17120" s="7">
        <v>2574</v>
      </c>
      <c r="I17120" s="7">
        <v>944</v>
      </c>
      <c r="J17120" s="7">
        <v>0</v>
      </c>
      <c r="K17120" s="7" t="s">
        <v>18</v>
      </c>
      <c r="L17120" s="8">
        <v>39987.315405092595</v>
      </c>
      <c r="M17120" s="9" t="s">
        <v>19</v>
      </c>
      <c r="N17120" s="9" t="s">
        <v>20</v>
      </c>
      <c r="O17120" s="6" t="str">
        <f>HYPERLINK("https://pbs.twimg.com/profile_images/962471262747529216/Uo8lOkRJ_normal.jpg","View")</f>
        <v>View</v>
      </c>
      <c r="P17120" s="7"/>
    </row>
    <row r="17121" spans="1:16">
      <c r="A17121" s="3">
        <v>44525.73945601852</v>
      </c>
      <c r="B17121" s="4" t="str">
        <f>HYPERLINK("https://twitter.com/petrogustavo","@petrogustavo")</f>
        <v>@petrogustavo</v>
      </c>
      <c r="C17121" s="5" t="s">
        <v>16</v>
      </c>
      <c r="D17121" s="5" t="s">
        <v>16477</v>
      </c>
      <c r="E17121" s="6" t="str">
        <f>HYPERLINK("https://twitter.com/petrogustavo/status/1463843616099557376","1463843616099557376")</f>
        <v>1463843616099557376</v>
      </c>
      <c r="F17121" s="7" t="s">
        <v>17</v>
      </c>
      <c r="G17121" s="7">
        <v>4410722</v>
      </c>
      <c r="H17121" s="7">
        <v>2574</v>
      </c>
      <c r="I17121" s="7">
        <v>1682</v>
      </c>
      <c r="J17121" s="7">
        <v>0</v>
      </c>
      <c r="K17121" s="7" t="s">
        <v>18</v>
      </c>
      <c r="L17121" s="8">
        <v>39987.315405092595</v>
      </c>
      <c r="M17121" s="9" t="s">
        <v>19</v>
      </c>
      <c r="N17121" s="9" t="s">
        <v>20</v>
      </c>
      <c r="O17121" s="6" t="str">
        <f>HYPERLINK("https://pbs.twimg.com/profile_images/962471262747529216/Uo8lOkRJ_normal.jpg","View")</f>
        <v>View</v>
      </c>
      <c r="P17121" s="7"/>
    </row>
    <row r="17122" spans="1:16">
      <c r="A17122" s="3">
        <v>44525.746296296296</v>
      </c>
      <c r="B17122" s="4" t="str">
        <f>HYPERLINK("https://twitter.com/petrogustavo","@petrogustavo")</f>
        <v>@petrogustavo</v>
      </c>
      <c r="C17122" s="5" t="s">
        <v>16</v>
      </c>
      <c r="D17122" s="5" t="s">
        <v>16478</v>
      </c>
      <c r="E17122" s="6" t="str">
        <f>HYPERLINK("https://twitter.com/petrogustavo/status/1463846092852838404","1463846092852838404")</f>
        <v>1463846092852838404</v>
      </c>
      <c r="F17122" s="7" t="s">
        <v>17</v>
      </c>
      <c r="G17122" s="7">
        <v>4410722</v>
      </c>
      <c r="H17122" s="7">
        <v>2574</v>
      </c>
      <c r="I17122" s="7">
        <v>88</v>
      </c>
      <c r="J17122" s="7">
        <v>0</v>
      </c>
      <c r="K17122" s="7" t="s">
        <v>18</v>
      </c>
      <c r="L17122" s="8">
        <v>39987.315405092595</v>
      </c>
      <c r="M17122" s="9" t="s">
        <v>19</v>
      </c>
      <c r="N17122" s="9" t="s">
        <v>20</v>
      </c>
      <c r="O17122" s="6" t="str">
        <f>HYPERLINK("https://pbs.twimg.com/profile_images/962471262747529216/Uo8lOkRJ_normal.jpg","View")</f>
        <v>View</v>
      </c>
      <c r="P17122" s="7"/>
    </row>
    <row r="17123" spans="1:16">
      <c r="A17123" s="3">
        <v>44525.746504629627</v>
      </c>
      <c r="B17123" s="4" t="str">
        <f>HYPERLINK("https://twitter.com/petrogustavo","@petrogustavo")</f>
        <v>@petrogustavo</v>
      </c>
      <c r="C17123" s="5" t="s">
        <v>16</v>
      </c>
      <c r="D17123" s="5" t="s">
        <v>16479</v>
      </c>
      <c r="E17123" s="6" t="str">
        <f>HYPERLINK("https://twitter.com/petrogustavo/status/1463846169902256136","1463846169902256136")</f>
        <v>1463846169902256136</v>
      </c>
      <c r="F17123" s="7" t="s">
        <v>17</v>
      </c>
      <c r="G17123" s="7">
        <v>4410722</v>
      </c>
      <c r="H17123" s="7">
        <v>2574</v>
      </c>
      <c r="I17123" s="7">
        <v>201</v>
      </c>
      <c r="J17123" s="7">
        <v>0</v>
      </c>
      <c r="K17123" s="7" t="s">
        <v>18</v>
      </c>
      <c r="L17123" s="8">
        <v>39987.315405092595</v>
      </c>
      <c r="M17123" s="9" t="s">
        <v>19</v>
      </c>
      <c r="N17123" s="9" t="s">
        <v>20</v>
      </c>
      <c r="O17123" s="6" t="str">
        <f>HYPERLINK("https://pbs.twimg.com/profile_images/962471262747529216/Uo8lOkRJ_normal.jpg","View")</f>
        <v>View</v>
      </c>
      <c r="P17123" s="7"/>
    </row>
    <row r="17124" spans="1:16">
      <c r="A17124" s="3">
        <v>44525.748472222222</v>
      </c>
      <c r="B17124" s="4" t="str">
        <f>HYPERLINK("https://twitter.com/petrogustavo","@petrogustavo")</f>
        <v>@petrogustavo</v>
      </c>
      <c r="C17124" s="5" t="s">
        <v>16</v>
      </c>
      <c r="D17124" s="5" t="s">
        <v>16480</v>
      </c>
      <c r="E17124" s="6" t="str">
        <f>HYPERLINK("https://twitter.com/petrogustavo/status/1463846884393562122","1463846884393562122")</f>
        <v>1463846884393562122</v>
      </c>
      <c r="F17124" s="7" t="s">
        <v>17</v>
      </c>
      <c r="G17124" s="7">
        <v>4410722</v>
      </c>
      <c r="H17124" s="7">
        <v>2574</v>
      </c>
      <c r="I17124" s="7">
        <v>1466</v>
      </c>
      <c r="J17124" s="7">
        <v>0</v>
      </c>
      <c r="K17124" s="7" t="s">
        <v>18</v>
      </c>
      <c r="L17124" s="8">
        <v>39987.315405092595</v>
      </c>
      <c r="M17124" s="9" t="s">
        <v>19</v>
      </c>
      <c r="N17124" s="9" t="s">
        <v>20</v>
      </c>
      <c r="O17124" s="6" t="str">
        <f>HYPERLINK("https://pbs.twimg.com/profile_images/962471262747529216/Uo8lOkRJ_normal.jpg","View")</f>
        <v>View</v>
      </c>
      <c r="P17124" s="7"/>
    </row>
    <row r="17125" spans="1:16">
      <c r="A17125" s="3">
        <v>44525.753460648149</v>
      </c>
      <c r="B17125" s="4" t="str">
        <f>HYPERLINK("https://twitter.com/petrogustavo","@petrogustavo")</f>
        <v>@petrogustavo</v>
      </c>
      <c r="C17125" s="5" t="s">
        <v>16</v>
      </c>
      <c r="D17125" s="5" t="s">
        <v>16481</v>
      </c>
      <c r="E17125" s="6" t="str">
        <f>HYPERLINK("https://twitter.com/petrogustavo/status/1463848690494414849","1463848690494414849")</f>
        <v>1463848690494414849</v>
      </c>
      <c r="F17125" s="7" t="s">
        <v>17</v>
      </c>
      <c r="G17125" s="7">
        <v>4410754</v>
      </c>
      <c r="H17125" s="7">
        <v>2574</v>
      </c>
      <c r="I17125" s="7">
        <v>151</v>
      </c>
      <c r="J17125" s="7">
        <v>481</v>
      </c>
      <c r="K17125" s="7" t="s">
        <v>18</v>
      </c>
      <c r="L17125" s="8">
        <v>39987.315405092595</v>
      </c>
      <c r="M17125" s="9" t="s">
        <v>19</v>
      </c>
      <c r="N17125" s="9" t="s">
        <v>20</v>
      </c>
      <c r="O17125" s="6" t="str">
        <f>HYPERLINK("https://pbs.twimg.com/profile_images/962471262747529216/Uo8lOkRJ_normal.jpg","View")</f>
        <v>View</v>
      </c>
      <c r="P17125" s="7"/>
    </row>
    <row r="17126" spans="1:16">
      <c r="A17126" s="3">
        <v>44525.753460648149</v>
      </c>
      <c r="B17126" s="4" t="str">
        <f>HYPERLINK("https://twitter.com/petrogustavo","@petrogustavo")</f>
        <v>@petrogustavo</v>
      </c>
      <c r="C17126" s="5" t="s">
        <v>16</v>
      </c>
      <c r="D17126" s="5" t="s">
        <v>16482</v>
      </c>
      <c r="E17126" s="6" t="str">
        <f>HYPERLINK("https://twitter.com/petrogustavo/status/1463848691593359369","1463848691593359369")</f>
        <v>1463848691593359369</v>
      </c>
      <c r="F17126" s="7" t="s">
        <v>17</v>
      </c>
      <c r="G17126" s="7">
        <v>4410754</v>
      </c>
      <c r="H17126" s="7">
        <v>2574</v>
      </c>
      <c r="I17126" s="7">
        <v>79</v>
      </c>
      <c r="J17126" s="7">
        <v>252</v>
      </c>
      <c r="K17126" s="7" t="s">
        <v>18</v>
      </c>
      <c r="L17126" s="8">
        <v>39987.315405092595</v>
      </c>
      <c r="M17126" s="9" t="s">
        <v>19</v>
      </c>
      <c r="N17126" s="9" t="s">
        <v>20</v>
      </c>
      <c r="O17126" s="6" t="str">
        <f>HYPERLINK("https://pbs.twimg.com/profile_images/962471262747529216/Uo8lOkRJ_normal.jpg","View")</f>
        <v>View</v>
      </c>
      <c r="P17126" s="7"/>
    </row>
    <row r="17127" spans="1:16">
      <c r="A17127" s="3">
        <v>44525.753472222219</v>
      </c>
      <c r="B17127" s="4" t="str">
        <f>HYPERLINK("https://twitter.com/petrogustavo","@petrogustavo")</f>
        <v>@petrogustavo</v>
      </c>
      <c r="C17127" s="5" t="s">
        <v>16</v>
      </c>
      <c r="D17127" s="5" t="s">
        <v>16483</v>
      </c>
      <c r="E17127" s="6" t="str">
        <f>HYPERLINK("https://twitter.com/petrogustavo/status/1463848693715456002","1463848693715456002")</f>
        <v>1463848693715456002</v>
      </c>
      <c r="F17127" s="7" t="s">
        <v>17</v>
      </c>
      <c r="G17127" s="7">
        <v>4410754</v>
      </c>
      <c r="H17127" s="7">
        <v>2574</v>
      </c>
      <c r="I17127" s="7">
        <v>76</v>
      </c>
      <c r="J17127" s="7">
        <v>239</v>
      </c>
      <c r="K17127" s="7" t="s">
        <v>18</v>
      </c>
      <c r="L17127" s="8">
        <v>39987.315405092595</v>
      </c>
      <c r="M17127" s="9" t="s">
        <v>19</v>
      </c>
      <c r="N17127" s="9" t="s">
        <v>20</v>
      </c>
      <c r="O17127" s="6" t="str">
        <f>HYPERLINK("https://pbs.twimg.com/profile_images/962471262747529216/Uo8lOkRJ_normal.jpg","View")</f>
        <v>View</v>
      </c>
      <c r="P17127" s="7"/>
    </row>
    <row r="17128" spans="1:16">
      <c r="A17128" s="3">
        <v>44525.765972222223</v>
      </c>
      <c r="B17128" s="4" t="str">
        <f>HYPERLINK("https://twitter.com/petrogustavo","@petrogustavo")</f>
        <v>@petrogustavo</v>
      </c>
      <c r="C17128" s="5" t="s">
        <v>16</v>
      </c>
      <c r="D17128" s="5" t="s">
        <v>16484</v>
      </c>
      <c r="E17128" s="6" t="str">
        <f>HYPERLINK("https://twitter.com/petrogustavo/status/1463853224125939715","1463853224125939715")</f>
        <v>1463853224125939715</v>
      </c>
      <c r="F17128" s="7" t="s">
        <v>17</v>
      </c>
      <c r="G17128" s="7">
        <v>4410754</v>
      </c>
      <c r="H17128" s="7">
        <v>2574</v>
      </c>
      <c r="I17128" s="7">
        <v>43</v>
      </c>
      <c r="J17128" s="7">
        <v>101</v>
      </c>
      <c r="K17128" s="7" t="s">
        <v>18</v>
      </c>
      <c r="L17128" s="8">
        <v>39987.315405092595</v>
      </c>
      <c r="M17128" s="9" t="s">
        <v>19</v>
      </c>
      <c r="N17128" s="9" t="s">
        <v>20</v>
      </c>
      <c r="O17128" s="6" t="str">
        <f>HYPERLINK("https://pbs.twimg.com/profile_images/962471262747529216/Uo8lOkRJ_normal.jpg","View")</f>
        <v>View</v>
      </c>
      <c r="P17128" s="7"/>
    </row>
    <row r="17129" spans="1:16">
      <c r="A17129" s="3">
        <v>44525.765972222223</v>
      </c>
      <c r="B17129" s="4" t="str">
        <f>HYPERLINK("https://twitter.com/petrogustavo","@petrogustavo")</f>
        <v>@petrogustavo</v>
      </c>
      <c r="C17129" s="5" t="s">
        <v>16</v>
      </c>
      <c r="D17129" s="5" t="s">
        <v>16485</v>
      </c>
      <c r="E17129" s="6" t="str">
        <f>HYPERLINK("https://twitter.com/petrogustavo/status/1463853225979924484","1463853225979924484")</f>
        <v>1463853225979924484</v>
      </c>
      <c r="F17129" s="7" t="s">
        <v>17</v>
      </c>
      <c r="G17129" s="7">
        <v>4410754</v>
      </c>
      <c r="H17129" s="7">
        <v>2574</v>
      </c>
      <c r="I17129" s="7">
        <v>6</v>
      </c>
      <c r="J17129" s="7">
        <v>20</v>
      </c>
      <c r="K17129" s="7" t="s">
        <v>18</v>
      </c>
      <c r="L17129" s="8">
        <v>39987.315405092595</v>
      </c>
      <c r="M17129" s="9" t="s">
        <v>19</v>
      </c>
      <c r="N17129" s="9" t="s">
        <v>20</v>
      </c>
      <c r="O17129" s="6" t="str">
        <f>HYPERLINK("https://pbs.twimg.com/profile_images/962471262747529216/Uo8lOkRJ_normal.jpg","View")</f>
        <v>View</v>
      </c>
      <c r="P17129" s="7"/>
    </row>
    <row r="17130" spans="1:16">
      <c r="A17130" s="3">
        <v>44525.7659837963</v>
      </c>
      <c r="B17130" s="4" t="str">
        <f>HYPERLINK("https://twitter.com/petrogustavo","@petrogustavo")</f>
        <v>@petrogustavo</v>
      </c>
      <c r="C17130" s="5" t="s">
        <v>16</v>
      </c>
      <c r="D17130" s="5" t="s">
        <v>16486</v>
      </c>
      <c r="E17130" s="6" t="str">
        <f>HYPERLINK("https://twitter.com/petrogustavo/status/1463853227364032513","1463853227364032513")</f>
        <v>1463853227364032513</v>
      </c>
      <c r="F17130" s="7" t="s">
        <v>17</v>
      </c>
      <c r="G17130" s="7">
        <v>4410754</v>
      </c>
      <c r="H17130" s="7">
        <v>2574</v>
      </c>
      <c r="I17130" s="7">
        <v>22</v>
      </c>
      <c r="J17130" s="7">
        <v>61</v>
      </c>
      <c r="K17130" s="7" t="s">
        <v>18</v>
      </c>
      <c r="L17130" s="8">
        <v>39987.315405092595</v>
      </c>
      <c r="M17130" s="9" t="s">
        <v>19</v>
      </c>
      <c r="N17130" s="9" t="s">
        <v>20</v>
      </c>
      <c r="O17130" s="6" t="str">
        <f>HYPERLINK("https://pbs.twimg.com/profile_images/962471262747529216/Uo8lOkRJ_normal.jpg","View")</f>
        <v>View</v>
      </c>
      <c r="P17130" s="7"/>
    </row>
    <row r="17131" spans="1:16">
      <c r="A17131" s="3">
        <v>44525.7659837963</v>
      </c>
      <c r="B17131" s="4" t="str">
        <f>HYPERLINK("https://twitter.com/petrogustavo","@petrogustavo")</f>
        <v>@petrogustavo</v>
      </c>
      <c r="C17131" s="5" t="s">
        <v>16</v>
      </c>
      <c r="D17131" s="5" t="s">
        <v>16487</v>
      </c>
      <c r="E17131" s="6" t="str">
        <f>HYPERLINK("https://twitter.com/petrogustavo/status/1463853228798394368","1463853228798394368")</f>
        <v>1463853228798394368</v>
      </c>
      <c r="F17131" s="7" t="s">
        <v>17</v>
      </c>
      <c r="G17131" s="7">
        <v>4410754</v>
      </c>
      <c r="H17131" s="7">
        <v>2574</v>
      </c>
      <c r="I17131" s="7">
        <v>22</v>
      </c>
      <c r="J17131" s="7">
        <v>63</v>
      </c>
      <c r="K17131" s="7" t="s">
        <v>18</v>
      </c>
      <c r="L17131" s="8">
        <v>39987.315405092595</v>
      </c>
      <c r="M17131" s="9" t="s">
        <v>19</v>
      </c>
      <c r="N17131" s="9" t="s">
        <v>20</v>
      </c>
      <c r="O17131" s="6" t="str">
        <f>HYPERLINK("https://pbs.twimg.com/profile_images/962471262747529216/Uo8lOkRJ_normal.jpg","View")</f>
        <v>View</v>
      </c>
      <c r="P17131" s="7"/>
    </row>
    <row r="17132" spans="1:16">
      <c r="A17132" s="3">
        <v>44525.773310185185</v>
      </c>
      <c r="B17132" s="4" t="str">
        <f>HYPERLINK("https://twitter.com/petrogustavo","@petrogustavo")</f>
        <v>@petrogustavo</v>
      </c>
      <c r="C17132" s="5" t="s">
        <v>16</v>
      </c>
      <c r="D17132" s="5" t="s">
        <v>16488</v>
      </c>
      <c r="E17132" s="6" t="str">
        <f>HYPERLINK("https://twitter.com/petrogustavo/status/1463855882371059720","1463855882371059720")</f>
        <v>1463855882371059720</v>
      </c>
      <c r="F17132" s="7" t="s">
        <v>17</v>
      </c>
      <c r="G17132" s="7">
        <v>4410754</v>
      </c>
      <c r="H17132" s="7">
        <v>2574</v>
      </c>
      <c r="I17132" s="7">
        <v>0</v>
      </c>
      <c r="J17132" s="7">
        <v>0</v>
      </c>
      <c r="K17132" s="7" t="s">
        <v>18</v>
      </c>
      <c r="L17132" s="8">
        <v>39987.315405092595</v>
      </c>
      <c r="M17132" s="9" t="s">
        <v>19</v>
      </c>
      <c r="N17132" s="9" t="s">
        <v>20</v>
      </c>
      <c r="O17132" s="6" t="str">
        <f>HYPERLINK("https://pbs.twimg.com/profile_images/962471262747529216/Uo8lOkRJ_normal.jpg","View")</f>
        <v>View</v>
      </c>
      <c r="P17132" s="7"/>
    </row>
    <row r="17133" spans="1:16">
      <c r="A17133" s="3">
        <v>44526.092905092592</v>
      </c>
      <c r="B17133" s="4" t="str">
        <f>HYPERLINK("https://twitter.com/petrogustavo","@petrogustavo")</f>
        <v>@petrogustavo</v>
      </c>
      <c r="C17133" s="5" t="s">
        <v>16</v>
      </c>
      <c r="D17133" s="5" t="s">
        <v>16489</v>
      </c>
      <c r="E17133" s="6" t="str">
        <f>HYPERLINK("https://twitter.com/petrogustavo/status/1463971702560505863","1463971702560505863")</f>
        <v>1463971702560505863</v>
      </c>
      <c r="F17133" s="7" t="s">
        <v>32</v>
      </c>
      <c r="G17133" s="7">
        <v>4411177</v>
      </c>
      <c r="H17133" s="7">
        <v>2574</v>
      </c>
      <c r="I17133" s="7">
        <v>294</v>
      </c>
      <c r="J17133" s="7">
        <v>784</v>
      </c>
      <c r="K17133" s="7" t="s">
        <v>18</v>
      </c>
      <c r="L17133" s="8">
        <v>39987.315405092595</v>
      </c>
      <c r="M17133" s="9" t="s">
        <v>19</v>
      </c>
      <c r="N17133" s="9" t="s">
        <v>20</v>
      </c>
      <c r="O17133" s="6" t="str">
        <f>HYPERLINK("https://pbs.twimg.com/profile_images/962471262747529216/Uo8lOkRJ_normal.jpg","View")</f>
        <v>View</v>
      </c>
      <c r="P17133" s="7"/>
    </row>
    <row r="17134" spans="1:16">
      <c r="A17134" s="3">
        <v>44526.245162037041</v>
      </c>
      <c r="B17134" s="4" t="str">
        <f>HYPERLINK("https://twitter.com/petrogustavo","@petrogustavo")</f>
        <v>@petrogustavo</v>
      </c>
      <c r="C17134" s="5" t="s">
        <v>16</v>
      </c>
      <c r="D17134" s="5" t="s">
        <v>16490</v>
      </c>
      <c r="E17134" s="6" t="str">
        <f>HYPERLINK("https://twitter.com/petrogustavo/status/1464026875907526661","1464026875907526661")</f>
        <v>1464026875907526661</v>
      </c>
      <c r="F17134" s="7" t="s">
        <v>21</v>
      </c>
      <c r="G17134" s="7">
        <v>4411377</v>
      </c>
      <c r="H17134" s="7">
        <v>2574</v>
      </c>
      <c r="I17134" s="7">
        <v>238</v>
      </c>
      <c r="J17134" s="7">
        <v>584</v>
      </c>
      <c r="K17134" s="7" t="s">
        <v>18</v>
      </c>
      <c r="L17134" s="8">
        <v>39987.315405092595</v>
      </c>
      <c r="M17134" s="9" t="s">
        <v>19</v>
      </c>
      <c r="N17134" s="9" t="s">
        <v>20</v>
      </c>
      <c r="O17134" s="6" t="str">
        <f>HYPERLINK("https://pbs.twimg.com/profile_images/962471262747529216/Uo8lOkRJ_normal.jpg","View")</f>
        <v>View</v>
      </c>
      <c r="P17134" s="7"/>
    </row>
    <row r="17135" spans="1:16">
      <c r="A17135" s="3">
        <v>44526.318773148145</v>
      </c>
      <c r="B17135" s="4" t="str">
        <f>HYPERLINK("https://twitter.com/petrogustavo","@petrogustavo")</f>
        <v>@petrogustavo</v>
      </c>
      <c r="C17135" s="5" t="s">
        <v>16</v>
      </c>
      <c r="D17135" s="5" t="s">
        <v>16491</v>
      </c>
      <c r="E17135" s="6" t="str">
        <f>HYPERLINK("https://twitter.com/petrogustavo/status/1464053553736167449","1464053553736167449")</f>
        <v>1464053553736167449</v>
      </c>
      <c r="F17135" s="7" t="s">
        <v>17</v>
      </c>
      <c r="G17135" s="7">
        <v>4411557</v>
      </c>
      <c r="H17135" s="7">
        <v>2574</v>
      </c>
      <c r="I17135" s="7">
        <v>158</v>
      </c>
      <c r="J17135" s="7">
        <v>512</v>
      </c>
      <c r="K17135" s="7" t="s">
        <v>18</v>
      </c>
      <c r="L17135" s="8">
        <v>39987.315405092595</v>
      </c>
      <c r="M17135" s="9" t="s">
        <v>19</v>
      </c>
      <c r="N17135" s="9" t="s">
        <v>20</v>
      </c>
      <c r="O17135" s="6" t="str">
        <f>HYPERLINK("https://pbs.twimg.com/profile_images/962471262747529216/Uo8lOkRJ_normal.jpg","View")</f>
        <v>View</v>
      </c>
      <c r="P17135" s="7"/>
    </row>
    <row r="17136" spans="1:16">
      <c r="A17136" s="3">
        <v>44526.32545138889</v>
      </c>
      <c r="B17136" s="4" t="str">
        <f>HYPERLINK("https://twitter.com/petrogustavo","@petrogustavo")</f>
        <v>@petrogustavo</v>
      </c>
      <c r="C17136" s="5" t="s">
        <v>16</v>
      </c>
      <c r="D17136" s="5" t="s">
        <v>16492</v>
      </c>
      <c r="E17136" s="6" t="str">
        <f>HYPERLINK("https://twitter.com/petrogustavo/status/1464055975170695173","1464055975170695173")</f>
        <v>1464055975170695173</v>
      </c>
      <c r="F17136" s="7" t="s">
        <v>17</v>
      </c>
      <c r="G17136" s="7">
        <v>4411557</v>
      </c>
      <c r="H17136" s="7">
        <v>2574</v>
      </c>
      <c r="I17136" s="7">
        <v>2193</v>
      </c>
      <c r="J17136" s="7">
        <v>0</v>
      </c>
      <c r="K17136" s="7" t="s">
        <v>18</v>
      </c>
      <c r="L17136" s="8">
        <v>39987.315405092595</v>
      </c>
      <c r="M17136" s="9" t="s">
        <v>19</v>
      </c>
      <c r="N17136" s="9" t="s">
        <v>20</v>
      </c>
      <c r="O17136" s="6" t="str">
        <f>HYPERLINK("https://pbs.twimg.com/profile_images/962471262747529216/Uo8lOkRJ_normal.jpg","View")</f>
        <v>View</v>
      </c>
      <c r="P17136" s="7"/>
    </row>
    <row r="17137" spans="1:16">
      <c r="A17137" s="3">
        <v>44526.749594907407</v>
      </c>
      <c r="B17137" s="4" t="str">
        <f>HYPERLINK("https://twitter.com/petrogustavo","@petrogustavo")</f>
        <v>@petrogustavo</v>
      </c>
      <c r="C17137" s="5" t="s">
        <v>16</v>
      </c>
      <c r="D17137" s="5" t="s">
        <v>16492</v>
      </c>
      <c r="E17137" s="6" t="str">
        <f>HYPERLINK("https://twitter.com/petrogustavo/status/1464209677395402756","1464209677395402756")</f>
        <v>1464209677395402756</v>
      </c>
      <c r="F17137" s="7" t="s">
        <v>17</v>
      </c>
      <c r="G17137" s="7">
        <v>4411829</v>
      </c>
      <c r="H17137" s="7">
        <v>2574</v>
      </c>
      <c r="I17137" s="7">
        <v>4224</v>
      </c>
      <c r="J17137" s="7">
        <v>0</v>
      </c>
      <c r="K17137" s="7" t="s">
        <v>18</v>
      </c>
      <c r="L17137" s="8">
        <v>39987.315405092595</v>
      </c>
      <c r="M17137" s="9" t="s">
        <v>19</v>
      </c>
      <c r="N17137" s="9" t="s">
        <v>20</v>
      </c>
      <c r="O17137" s="6" t="str">
        <f>HYPERLINK("https://pbs.twimg.com/profile_images/962471262747529216/Uo8lOkRJ_normal.jpg","View")</f>
        <v>View</v>
      </c>
      <c r="P17137" s="7"/>
    </row>
    <row r="17138" spans="1:16">
      <c r="A17138" s="3">
        <v>44526.792465277773</v>
      </c>
      <c r="B17138" s="4" t="str">
        <f>HYPERLINK("https://twitter.com/petrogustavo","@petrogustavo")</f>
        <v>@petrogustavo</v>
      </c>
      <c r="C17138" s="5" t="s">
        <v>16</v>
      </c>
      <c r="D17138" s="5" t="s">
        <v>16493</v>
      </c>
      <c r="E17138" s="6" t="str">
        <f>HYPERLINK("https://twitter.com/petrogustavo/status/1464225215328755739","1464225215328755739")</f>
        <v>1464225215328755739</v>
      </c>
      <c r="F17138" s="7" t="s">
        <v>32</v>
      </c>
      <c r="G17138" s="7">
        <v>4411881</v>
      </c>
      <c r="H17138" s="7">
        <v>2574</v>
      </c>
      <c r="I17138" s="7">
        <v>10</v>
      </c>
      <c r="J17138" s="7">
        <v>34</v>
      </c>
      <c r="K17138" s="7" t="s">
        <v>18</v>
      </c>
      <c r="L17138" s="8">
        <v>39987.315405092595</v>
      </c>
      <c r="M17138" s="9" t="s">
        <v>19</v>
      </c>
      <c r="N17138" s="9" t="s">
        <v>20</v>
      </c>
      <c r="O17138" s="6" t="str">
        <f>HYPERLINK("https://pbs.twimg.com/profile_images/962471262747529216/Uo8lOkRJ_normal.jpg","View")</f>
        <v>View</v>
      </c>
      <c r="P17138" s="7"/>
    </row>
    <row r="17139" spans="1:16">
      <c r="A17139" s="3">
        <v>44526.792476851857</v>
      </c>
      <c r="B17139" s="4" t="str">
        <f>HYPERLINK("https://twitter.com/petrogustavo","@petrogustavo")</f>
        <v>@petrogustavo</v>
      </c>
      <c r="C17139" s="5" t="s">
        <v>16</v>
      </c>
      <c r="D17139" s="5" t="s">
        <v>16494</v>
      </c>
      <c r="E17139" s="6" t="str">
        <f>HYPERLINK("https://twitter.com/petrogustavo/status/1464225217321050122","1464225217321050122")</f>
        <v>1464225217321050122</v>
      </c>
      <c r="F17139" s="7" t="s">
        <v>32</v>
      </c>
      <c r="G17139" s="7">
        <v>4411881</v>
      </c>
      <c r="H17139" s="7">
        <v>2574</v>
      </c>
      <c r="I17139" s="7">
        <v>5</v>
      </c>
      <c r="J17139" s="7">
        <v>29</v>
      </c>
      <c r="K17139" s="7" t="s">
        <v>18</v>
      </c>
      <c r="L17139" s="8">
        <v>39987.315405092595</v>
      </c>
      <c r="M17139" s="9" t="s">
        <v>19</v>
      </c>
      <c r="N17139" s="9" t="s">
        <v>20</v>
      </c>
      <c r="O17139" s="6" t="str">
        <f>HYPERLINK("https://pbs.twimg.com/profile_images/962471262747529216/Uo8lOkRJ_normal.jpg","View")</f>
        <v>View</v>
      </c>
      <c r="P17139" s="7"/>
    </row>
    <row r="17140" spans="1:16">
      <c r="A17140" s="3">
        <v>44526.80195601852</v>
      </c>
      <c r="B17140" s="4" t="str">
        <f>HYPERLINK("https://twitter.com/petrogustavo","@petrogustavo")</f>
        <v>@petrogustavo</v>
      </c>
      <c r="C17140" s="5" t="s">
        <v>16</v>
      </c>
      <c r="D17140" s="5" t="s">
        <v>16495</v>
      </c>
      <c r="E17140" s="6" t="str">
        <f>HYPERLINK("https://twitter.com/petrogustavo/status/1464228652493770758","1464228652493770758")</f>
        <v>1464228652493770758</v>
      </c>
      <c r="F17140" s="7" t="s">
        <v>21</v>
      </c>
      <c r="G17140" s="7">
        <v>4411917</v>
      </c>
      <c r="H17140" s="7">
        <v>2574</v>
      </c>
      <c r="I17140" s="7">
        <v>89</v>
      </c>
      <c r="J17140" s="7">
        <v>241</v>
      </c>
      <c r="K17140" s="7" t="s">
        <v>18</v>
      </c>
      <c r="L17140" s="8">
        <v>39987.315405092595</v>
      </c>
      <c r="M17140" s="9" t="s">
        <v>19</v>
      </c>
      <c r="N17140" s="9" t="s">
        <v>20</v>
      </c>
      <c r="O17140" s="6" t="str">
        <f>HYPERLINK("https://pbs.twimg.com/profile_images/962471262747529216/Uo8lOkRJ_normal.jpg","View")</f>
        <v>View</v>
      </c>
      <c r="P17140" s="7"/>
    </row>
    <row r="17141" spans="1:16">
      <c r="A17141" s="3">
        <v>44526.91506944444</v>
      </c>
      <c r="B17141" s="4" t="str">
        <f>HYPERLINK("https://twitter.com/petrogustavo","@petrogustavo")</f>
        <v>@petrogustavo</v>
      </c>
      <c r="C17141" s="5" t="s">
        <v>16</v>
      </c>
      <c r="D17141" s="5" t="s">
        <v>16496</v>
      </c>
      <c r="E17141" s="6" t="str">
        <f>HYPERLINK("https://twitter.com/petrogustavo/status/1464269644848676868","1464269644848676868")</f>
        <v>1464269644848676868</v>
      </c>
      <c r="F17141" s="7" t="s">
        <v>17</v>
      </c>
      <c r="G17141" s="7">
        <v>4412024</v>
      </c>
      <c r="H17141" s="7">
        <v>2574</v>
      </c>
      <c r="I17141" s="7">
        <v>59</v>
      </c>
      <c r="J17141" s="7">
        <v>166</v>
      </c>
      <c r="K17141" s="7" t="s">
        <v>18</v>
      </c>
      <c r="L17141" s="8">
        <v>39987.315405092595</v>
      </c>
      <c r="M17141" s="9" t="s">
        <v>19</v>
      </c>
      <c r="N17141" s="9" t="s">
        <v>20</v>
      </c>
      <c r="O17141" s="6" t="str">
        <f>HYPERLINK("https://pbs.twimg.com/profile_images/962471262747529216/Uo8lOkRJ_normal.jpg","View")</f>
        <v>View</v>
      </c>
      <c r="P17141" s="7"/>
    </row>
    <row r="17142" spans="1:16">
      <c r="A17142" s="3">
        <v>44526.927881944444</v>
      </c>
      <c r="B17142" s="4" t="str">
        <f>HYPERLINK("https://twitter.com/petrogustavo","@petrogustavo")</f>
        <v>@petrogustavo</v>
      </c>
      <c r="C17142" s="5" t="s">
        <v>16</v>
      </c>
      <c r="D17142" s="5" t="s">
        <v>16497</v>
      </c>
      <c r="E17142" s="6" t="str">
        <f>HYPERLINK("https://twitter.com/petrogustavo/status/1464274288358432771","1464274288358432771")</f>
        <v>1464274288358432771</v>
      </c>
      <c r="F17142" s="7" t="s">
        <v>17</v>
      </c>
      <c r="G17142" s="7">
        <v>4412061</v>
      </c>
      <c r="H17142" s="7">
        <v>2574</v>
      </c>
      <c r="I17142" s="7">
        <v>88</v>
      </c>
      <c r="J17142" s="7">
        <v>272</v>
      </c>
      <c r="K17142" s="7" t="s">
        <v>18</v>
      </c>
      <c r="L17142" s="8">
        <v>39987.315405092595</v>
      </c>
      <c r="M17142" s="9" t="s">
        <v>19</v>
      </c>
      <c r="N17142" s="9" t="s">
        <v>20</v>
      </c>
      <c r="O17142" s="6" t="str">
        <f>HYPERLINK("https://pbs.twimg.com/profile_images/962471262747529216/Uo8lOkRJ_normal.jpg","View")</f>
        <v>View</v>
      </c>
      <c r="P17142" s="7"/>
    </row>
    <row r="17143" spans="1:16">
      <c r="A17143" s="3">
        <v>44526.927893518514</v>
      </c>
      <c r="B17143" s="4" t="str">
        <f>HYPERLINK("https://twitter.com/petrogustavo","@petrogustavo")</f>
        <v>@petrogustavo</v>
      </c>
      <c r="C17143" s="5" t="s">
        <v>16</v>
      </c>
      <c r="D17143" s="5" t="s">
        <v>16498</v>
      </c>
      <c r="E17143" s="6" t="str">
        <f>HYPERLINK("https://twitter.com/petrogustavo/status/1464274289948037168","1464274289948037168")</f>
        <v>1464274289948037168</v>
      </c>
      <c r="F17143" s="7" t="s">
        <v>17</v>
      </c>
      <c r="G17143" s="7">
        <v>4412061</v>
      </c>
      <c r="H17143" s="7">
        <v>2574</v>
      </c>
      <c r="I17143" s="7">
        <v>49</v>
      </c>
      <c r="J17143" s="7">
        <v>183</v>
      </c>
      <c r="K17143" s="7" t="s">
        <v>18</v>
      </c>
      <c r="L17143" s="8">
        <v>39987.315405092595</v>
      </c>
      <c r="M17143" s="9" t="s">
        <v>19</v>
      </c>
      <c r="N17143" s="9" t="s">
        <v>20</v>
      </c>
      <c r="O17143" s="6" t="str">
        <f>HYPERLINK("https://pbs.twimg.com/profile_images/962471262747529216/Uo8lOkRJ_normal.jpg","View")</f>
        <v>View</v>
      </c>
      <c r="P17143" s="7"/>
    </row>
    <row r="17144" spans="1:16">
      <c r="A17144" s="3">
        <v>44526.927893518514</v>
      </c>
      <c r="B17144" s="4" t="str">
        <f>HYPERLINK("https://twitter.com/petrogustavo","@petrogustavo")</f>
        <v>@petrogustavo</v>
      </c>
      <c r="C17144" s="5" t="s">
        <v>16</v>
      </c>
      <c r="D17144" s="5" t="s">
        <v>16499</v>
      </c>
      <c r="E17144" s="6" t="str">
        <f>HYPERLINK("https://twitter.com/petrogustavo/status/1464274291193745416","1464274291193745416")</f>
        <v>1464274291193745416</v>
      </c>
      <c r="F17144" s="7" t="s">
        <v>17</v>
      </c>
      <c r="G17144" s="7">
        <v>4412061</v>
      </c>
      <c r="H17144" s="7">
        <v>2574</v>
      </c>
      <c r="I17144" s="7">
        <v>40</v>
      </c>
      <c r="J17144" s="7">
        <v>137</v>
      </c>
      <c r="K17144" s="7" t="s">
        <v>18</v>
      </c>
      <c r="L17144" s="8">
        <v>39987.315405092595</v>
      </c>
      <c r="M17144" s="9" t="s">
        <v>19</v>
      </c>
      <c r="N17144" s="9" t="s">
        <v>20</v>
      </c>
      <c r="O17144" s="6" t="str">
        <f>HYPERLINK("https://pbs.twimg.com/profile_images/962471262747529216/Uo8lOkRJ_normal.jpg","View")</f>
        <v>View</v>
      </c>
      <c r="P17144" s="7"/>
    </row>
    <row r="17145" spans="1:16">
      <c r="A17145" s="3">
        <v>44526.928263888884</v>
      </c>
      <c r="B17145" s="4" t="str">
        <f>HYPERLINK("https://twitter.com/petrogustavo","@petrogustavo")</f>
        <v>@petrogustavo</v>
      </c>
      <c r="C17145" s="5" t="s">
        <v>16</v>
      </c>
      <c r="D17145" s="5" t="s">
        <v>16500</v>
      </c>
      <c r="E17145" s="6" t="str">
        <f>HYPERLINK("https://twitter.com/petrogustavo/status/1464274425088561160","1464274425088561160")</f>
        <v>1464274425088561160</v>
      </c>
      <c r="F17145" s="7" t="s">
        <v>17</v>
      </c>
      <c r="G17145" s="7">
        <v>4412061</v>
      </c>
      <c r="H17145" s="7">
        <v>2574</v>
      </c>
      <c r="I17145" s="7">
        <v>88</v>
      </c>
      <c r="J17145" s="7">
        <v>0</v>
      </c>
      <c r="K17145" s="7" t="s">
        <v>18</v>
      </c>
      <c r="L17145" s="8">
        <v>39987.315405092595</v>
      </c>
      <c r="M17145" s="9" t="s">
        <v>19</v>
      </c>
      <c r="N17145" s="9" t="s">
        <v>20</v>
      </c>
      <c r="O17145" s="6" t="str">
        <f>HYPERLINK("https://pbs.twimg.com/profile_images/962471262747529216/Uo8lOkRJ_normal.jpg","View")</f>
        <v>View</v>
      </c>
      <c r="P17145" s="7"/>
    </row>
    <row r="17146" spans="1:16">
      <c r="A17146" s="3">
        <v>44526.987893518519</v>
      </c>
      <c r="B17146" s="4" t="str">
        <f>HYPERLINK("https://twitter.com/petrogustavo","@petrogustavo")</f>
        <v>@petrogustavo</v>
      </c>
      <c r="C17146" s="5" t="s">
        <v>16</v>
      </c>
      <c r="D17146" s="5" t="s">
        <v>16501</v>
      </c>
      <c r="E17146" s="6" t="str">
        <f>HYPERLINK("https://twitter.com/petrogustavo/status/1464296035958898696","1464296035958898696")</f>
        <v>1464296035958898696</v>
      </c>
      <c r="F17146" s="7" t="s">
        <v>17</v>
      </c>
      <c r="G17146" s="7">
        <v>4412114</v>
      </c>
      <c r="H17146" s="7">
        <v>2574</v>
      </c>
      <c r="I17146" s="7">
        <v>363</v>
      </c>
      <c r="J17146" s="7">
        <v>809</v>
      </c>
      <c r="K17146" s="7" t="s">
        <v>18</v>
      </c>
      <c r="L17146" s="8">
        <v>39987.315405092595</v>
      </c>
      <c r="M17146" s="9" t="s">
        <v>19</v>
      </c>
      <c r="N17146" s="9" t="s">
        <v>20</v>
      </c>
      <c r="O17146" s="6" t="str">
        <f>HYPERLINK("https://pbs.twimg.com/profile_images/962471262747529216/Uo8lOkRJ_normal.jpg","View")</f>
        <v>View</v>
      </c>
      <c r="P17146" s="7"/>
    </row>
    <row r="17147" spans="1:16">
      <c r="A17147" s="3">
        <v>44527.060833333337</v>
      </c>
      <c r="B17147" s="4" t="str">
        <f>HYPERLINK("https://twitter.com/petrogustavo","@petrogustavo")</f>
        <v>@petrogustavo</v>
      </c>
      <c r="C17147" s="5" t="s">
        <v>16</v>
      </c>
      <c r="D17147" s="5" t="s">
        <v>16502</v>
      </c>
      <c r="E17147" s="6" t="str">
        <f>HYPERLINK("https://twitter.com/petrogustavo/status/1464322466713636874","1464322466713636874")</f>
        <v>1464322466713636874</v>
      </c>
      <c r="F17147" s="7" t="s">
        <v>17</v>
      </c>
      <c r="G17147" s="7">
        <v>4412198</v>
      </c>
      <c r="H17147" s="7">
        <v>2574</v>
      </c>
      <c r="I17147" s="7">
        <v>85</v>
      </c>
      <c r="J17147" s="7">
        <v>207</v>
      </c>
      <c r="K17147" s="7" t="s">
        <v>18</v>
      </c>
      <c r="L17147" s="8">
        <v>39987.315405092595</v>
      </c>
      <c r="M17147" s="9" t="s">
        <v>19</v>
      </c>
      <c r="N17147" s="9" t="s">
        <v>20</v>
      </c>
      <c r="O17147" s="6" t="str">
        <f>HYPERLINK("https://pbs.twimg.com/profile_images/962471262747529216/Uo8lOkRJ_normal.jpg","View")</f>
        <v>View</v>
      </c>
      <c r="P17147" s="7"/>
    </row>
    <row r="17148" spans="1:16">
      <c r="A17148" s="3">
        <v>44527.104629629626</v>
      </c>
      <c r="B17148" s="4" t="str">
        <f>HYPERLINK("https://twitter.com/petrogustavo","@petrogustavo")</f>
        <v>@petrogustavo</v>
      </c>
      <c r="C17148" s="5" t="s">
        <v>16</v>
      </c>
      <c r="D17148" s="5" t="s">
        <v>16503</v>
      </c>
      <c r="E17148" s="6" t="str">
        <f>HYPERLINK("https://twitter.com/petrogustavo/status/1464338337716711434","1464338337716711434")</f>
        <v>1464338337716711434</v>
      </c>
      <c r="F17148" s="7" t="s">
        <v>32</v>
      </c>
      <c r="G17148" s="7">
        <v>4412217</v>
      </c>
      <c r="H17148" s="7">
        <v>2574</v>
      </c>
      <c r="I17148" s="7">
        <v>624</v>
      </c>
      <c r="J17148" s="7">
        <v>0</v>
      </c>
      <c r="K17148" s="7" t="s">
        <v>18</v>
      </c>
      <c r="L17148" s="8">
        <v>39987.315405092595</v>
      </c>
      <c r="M17148" s="9" t="s">
        <v>19</v>
      </c>
      <c r="N17148" s="9" t="s">
        <v>20</v>
      </c>
      <c r="O17148" s="6" t="str">
        <f>HYPERLINK("https://pbs.twimg.com/profile_images/962471262747529216/Uo8lOkRJ_normal.jpg","View")</f>
        <v>View</v>
      </c>
      <c r="P17148" s="7"/>
    </row>
    <row r="17149" spans="1:16">
      <c r="A17149" s="3">
        <v>44527.233796296292</v>
      </c>
      <c r="B17149" s="4" t="str">
        <f>HYPERLINK("https://twitter.com/petrogustavo","@petrogustavo")</f>
        <v>@petrogustavo</v>
      </c>
      <c r="C17149" s="5" t="s">
        <v>16</v>
      </c>
      <c r="D17149" s="5" t="s">
        <v>16504</v>
      </c>
      <c r="E17149" s="6" t="str">
        <f>HYPERLINK("https://twitter.com/petrogustavo/status/1464385146866524163","1464385146866524163")</f>
        <v>1464385146866524163</v>
      </c>
      <c r="F17149" s="7" t="s">
        <v>17</v>
      </c>
      <c r="G17149" s="7">
        <v>4412397</v>
      </c>
      <c r="H17149" s="7">
        <v>2574</v>
      </c>
      <c r="I17149" s="7">
        <v>475</v>
      </c>
      <c r="J17149" s="7">
        <v>1382</v>
      </c>
      <c r="K17149" s="7" t="s">
        <v>18</v>
      </c>
      <c r="L17149" s="8">
        <v>39987.315405092595</v>
      </c>
      <c r="M17149" s="9" t="s">
        <v>19</v>
      </c>
      <c r="N17149" s="9" t="s">
        <v>20</v>
      </c>
      <c r="O17149" s="6" t="str">
        <f>HYPERLINK("https://pbs.twimg.com/profile_images/962471262747529216/Uo8lOkRJ_normal.jpg","View")</f>
        <v>View</v>
      </c>
      <c r="P17149" s="7"/>
    </row>
    <row r="17150" spans="1:16">
      <c r="A17150" s="3">
        <v>44527.240925925929</v>
      </c>
      <c r="B17150" s="4" t="str">
        <f>HYPERLINK("https://twitter.com/petrogustavo","@petrogustavo")</f>
        <v>@petrogustavo</v>
      </c>
      <c r="C17150" s="5" t="s">
        <v>16</v>
      </c>
      <c r="D17150" s="5" t="s">
        <v>16505</v>
      </c>
      <c r="E17150" s="6" t="str">
        <f>HYPERLINK("https://twitter.com/petrogustavo/status/1464387728305528833","1464387728305528833")</f>
        <v>1464387728305528833</v>
      </c>
      <c r="F17150" s="7" t="s">
        <v>17</v>
      </c>
      <c r="G17150" s="7">
        <v>4412397</v>
      </c>
      <c r="H17150" s="7">
        <v>2574</v>
      </c>
      <c r="I17150" s="7">
        <v>260</v>
      </c>
      <c r="J17150" s="7">
        <v>689</v>
      </c>
      <c r="K17150" s="7" t="s">
        <v>18</v>
      </c>
      <c r="L17150" s="8">
        <v>39987.315405092595</v>
      </c>
      <c r="M17150" s="9" t="s">
        <v>19</v>
      </c>
      <c r="N17150" s="9" t="s">
        <v>20</v>
      </c>
      <c r="O17150" s="6" t="str">
        <f>HYPERLINK("https://pbs.twimg.com/profile_images/962471262747529216/Uo8lOkRJ_normal.jpg","View")</f>
        <v>View</v>
      </c>
      <c r="P17150" s="7"/>
    </row>
    <row r="17151" spans="1:16">
      <c r="A17151" s="3">
        <v>44527.736840277779</v>
      </c>
      <c r="B17151" s="4" t="str">
        <f>HYPERLINK("https://twitter.com/petrogustavo","@petrogustavo")</f>
        <v>@petrogustavo</v>
      </c>
      <c r="C17151" s="5" t="s">
        <v>16</v>
      </c>
      <c r="D17151" s="5" t="s">
        <v>16506</v>
      </c>
      <c r="E17151" s="6" t="str">
        <f>HYPERLINK("https://twitter.com/petrogustavo/status/1464567443339329538","1464567443339329538")</f>
        <v>1464567443339329538</v>
      </c>
      <c r="F17151" s="7" t="s">
        <v>32</v>
      </c>
      <c r="G17151" s="7">
        <v>4412810</v>
      </c>
      <c r="H17151" s="7">
        <v>2574</v>
      </c>
      <c r="I17151" s="7">
        <v>38</v>
      </c>
      <c r="J17151" s="7">
        <v>0</v>
      </c>
      <c r="K17151" s="7" t="s">
        <v>18</v>
      </c>
      <c r="L17151" s="8">
        <v>39987.315405092595</v>
      </c>
      <c r="M17151" s="9" t="s">
        <v>19</v>
      </c>
      <c r="N17151" s="9" t="s">
        <v>20</v>
      </c>
      <c r="O17151" s="6" t="str">
        <f>HYPERLINK("https://pbs.twimg.com/profile_images/962471262747529216/Uo8lOkRJ_normal.jpg","View")</f>
        <v>View</v>
      </c>
      <c r="P17151" s="7"/>
    </row>
    <row r="17152" spans="1:16">
      <c r="A17152" s="3">
        <v>44527.737384259264</v>
      </c>
      <c r="B17152" s="4" t="str">
        <f>HYPERLINK("https://twitter.com/petrogustavo","@petrogustavo")</f>
        <v>@petrogustavo</v>
      </c>
      <c r="C17152" s="5" t="s">
        <v>16</v>
      </c>
      <c r="D17152" s="5" t="s">
        <v>16507</v>
      </c>
      <c r="E17152" s="6" t="str">
        <f>HYPERLINK("https://twitter.com/petrogustavo/status/1464567642124083202","1464567642124083202")</f>
        <v>1464567642124083202</v>
      </c>
      <c r="F17152" s="7" t="s">
        <v>32</v>
      </c>
      <c r="G17152" s="7">
        <v>4412810</v>
      </c>
      <c r="H17152" s="7">
        <v>2574</v>
      </c>
      <c r="I17152" s="7">
        <v>1908</v>
      </c>
      <c r="J17152" s="7">
        <v>0</v>
      </c>
      <c r="K17152" s="7" t="s">
        <v>18</v>
      </c>
      <c r="L17152" s="8">
        <v>39987.315405092595</v>
      </c>
      <c r="M17152" s="9" t="s">
        <v>19</v>
      </c>
      <c r="N17152" s="9" t="s">
        <v>20</v>
      </c>
      <c r="O17152" s="6" t="str">
        <f>HYPERLINK("https://pbs.twimg.com/profile_images/962471262747529216/Uo8lOkRJ_normal.jpg","View")</f>
        <v>View</v>
      </c>
      <c r="P17152" s="7"/>
    </row>
    <row r="17153" spans="1:16">
      <c r="A17153" s="3">
        <v>44527.799027777779</v>
      </c>
      <c r="B17153" s="4" t="str">
        <f>HYPERLINK("https://twitter.com/petrogustavo","@petrogustavo")</f>
        <v>@petrogustavo</v>
      </c>
      <c r="C17153" s="5" t="s">
        <v>16</v>
      </c>
      <c r="D17153" s="5" t="s">
        <v>16508</v>
      </c>
      <c r="E17153" s="6" t="str">
        <f>HYPERLINK("https://twitter.com/petrogustavo/status/1464589980785913856","1464589980785913856")</f>
        <v>1464589980785913856</v>
      </c>
      <c r="F17153" s="7" t="s">
        <v>17</v>
      </c>
      <c r="G17153" s="7">
        <v>4412883</v>
      </c>
      <c r="H17153" s="7">
        <v>2574</v>
      </c>
      <c r="I17153" s="7">
        <v>126</v>
      </c>
      <c r="J17153" s="7">
        <v>678</v>
      </c>
      <c r="K17153" s="7" t="s">
        <v>18</v>
      </c>
      <c r="L17153" s="8">
        <v>39987.315405092595</v>
      </c>
      <c r="M17153" s="9" t="s">
        <v>19</v>
      </c>
      <c r="N17153" s="9" t="s">
        <v>20</v>
      </c>
      <c r="O17153" s="6" t="str">
        <f>HYPERLINK("https://pbs.twimg.com/profile_images/962471262747529216/Uo8lOkRJ_normal.jpg","View")</f>
        <v>View</v>
      </c>
      <c r="P17153" s="7"/>
    </row>
    <row r="17154" spans="1:16">
      <c r="A17154" s="3">
        <v>44527.82712962963</v>
      </c>
      <c r="B17154" s="4" t="str">
        <f>HYPERLINK("https://twitter.com/petrogustavo","@petrogustavo")</f>
        <v>@petrogustavo</v>
      </c>
      <c r="C17154" s="5" t="s">
        <v>16</v>
      </c>
      <c r="D17154" s="5" t="s">
        <v>16509</v>
      </c>
      <c r="E17154" s="6" t="str">
        <f>HYPERLINK("https://twitter.com/petrogustavo/status/1464600161091571718","1464600161091571718")</f>
        <v>1464600161091571718</v>
      </c>
      <c r="F17154" s="7" t="s">
        <v>17</v>
      </c>
      <c r="G17154" s="7">
        <v>4412906</v>
      </c>
      <c r="H17154" s="7">
        <v>2574</v>
      </c>
      <c r="I17154" s="7">
        <v>71</v>
      </c>
      <c r="J17154" s="7">
        <v>278</v>
      </c>
      <c r="K17154" s="7" t="s">
        <v>18</v>
      </c>
      <c r="L17154" s="8">
        <v>39987.315405092595</v>
      </c>
      <c r="M17154" s="9" t="s">
        <v>19</v>
      </c>
      <c r="N17154" s="9" t="s">
        <v>20</v>
      </c>
      <c r="O17154" s="6" t="str">
        <f>HYPERLINK("https://pbs.twimg.com/profile_images/962471262747529216/Uo8lOkRJ_normal.jpg","View")</f>
        <v>View</v>
      </c>
      <c r="P17154" s="7"/>
    </row>
    <row r="17155" spans="1:16">
      <c r="A17155" s="3">
        <v>44527.82712962963</v>
      </c>
      <c r="B17155" s="4" t="str">
        <f>HYPERLINK("https://twitter.com/petrogustavo","@petrogustavo")</f>
        <v>@petrogustavo</v>
      </c>
      <c r="C17155" s="5" t="s">
        <v>16</v>
      </c>
      <c r="D17155" s="5" t="s">
        <v>16510</v>
      </c>
      <c r="E17155" s="6" t="str">
        <f>HYPERLINK("https://twitter.com/petrogustavo/status/1464600163033432077","1464600163033432077")</f>
        <v>1464600163033432077</v>
      </c>
      <c r="F17155" s="7" t="s">
        <v>17</v>
      </c>
      <c r="G17155" s="7">
        <v>4412906</v>
      </c>
      <c r="H17155" s="7">
        <v>2574</v>
      </c>
      <c r="I17155" s="7">
        <v>45</v>
      </c>
      <c r="J17155" s="7">
        <v>222</v>
      </c>
      <c r="K17155" s="7" t="s">
        <v>18</v>
      </c>
      <c r="L17155" s="8">
        <v>39987.315405092595</v>
      </c>
      <c r="M17155" s="9" t="s">
        <v>19</v>
      </c>
      <c r="N17155" s="9" t="s">
        <v>20</v>
      </c>
      <c r="O17155" s="6" t="str">
        <f>HYPERLINK("https://pbs.twimg.com/profile_images/962471262747529216/Uo8lOkRJ_normal.jpg","View")</f>
        <v>View</v>
      </c>
      <c r="P17155" s="7"/>
    </row>
    <row r="17156" spans="1:16">
      <c r="A17156" s="3">
        <v>44527.838275462964</v>
      </c>
      <c r="B17156" s="4" t="str">
        <f>HYPERLINK("https://twitter.com/petrogustavo","@petrogustavo")</f>
        <v>@petrogustavo</v>
      </c>
      <c r="C17156" s="5" t="s">
        <v>16</v>
      </c>
      <c r="D17156" s="5" t="s">
        <v>16511</v>
      </c>
      <c r="E17156" s="6" t="str">
        <f>HYPERLINK("https://twitter.com/petrogustavo/status/1464604200164331528","1464604200164331528")</f>
        <v>1464604200164331528</v>
      </c>
      <c r="F17156" s="7" t="s">
        <v>17</v>
      </c>
      <c r="G17156" s="7">
        <v>4412932</v>
      </c>
      <c r="H17156" s="7">
        <v>2574</v>
      </c>
      <c r="I17156" s="7">
        <v>184</v>
      </c>
      <c r="J17156" s="7">
        <v>659</v>
      </c>
      <c r="K17156" s="7" t="s">
        <v>18</v>
      </c>
      <c r="L17156" s="8">
        <v>39987.315405092595</v>
      </c>
      <c r="M17156" s="9" t="s">
        <v>19</v>
      </c>
      <c r="N17156" s="9" t="s">
        <v>20</v>
      </c>
      <c r="O17156" s="6" t="str">
        <f>HYPERLINK("https://pbs.twimg.com/profile_images/962471262747529216/Uo8lOkRJ_normal.jpg","View")</f>
        <v>View</v>
      </c>
      <c r="P17156" s="7"/>
    </row>
    <row r="17157" spans="1:16">
      <c r="A17157" s="3">
        <v>44527.905949074076</v>
      </c>
      <c r="B17157" s="4" t="str">
        <f>HYPERLINK("https://twitter.com/petrogustavo","@petrogustavo")</f>
        <v>@petrogustavo</v>
      </c>
      <c r="C17157" s="5" t="s">
        <v>16</v>
      </c>
      <c r="D17157" s="5" t="s">
        <v>16512</v>
      </c>
      <c r="E17157" s="6" t="str">
        <f>HYPERLINK("https://twitter.com/petrogustavo/status/1464628728022065161","1464628728022065161")</f>
        <v>1464628728022065161</v>
      </c>
      <c r="F17157" s="7" t="s">
        <v>17</v>
      </c>
      <c r="G17157" s="7">
        <v>4412998</v>
      </c>
      <c r="H17157" s="7">
        <v>2574</v>
      </c>
      <c r="I17157" s="7">
        <v>40</v>
      </c>
      <c r="J17157" s="7">
        <v>177</v>
      </c>
      <c r="K17157" s="7" t="s">
        <v>18</v>
      </c>
      <c r="L17157" s="8">
        <v>39987.315405092595</v>
      </c>
      <c r="M17157" s="9" t="s">
        <v>19</v>
      </c>
      <c r="N17157" s="9" t="s">
        <v>20</v>
      </c>
      <c r="O17157" s="6" t="str">
        <f>HYPERLINK("https://pbs.twimg.com/profile_images/962471262747529216/Uo8lOkRJ_normal.jpg","View")</f>
        <v>View</v>
      </c>
      <c r="P17157" s="7"/>
    </row>
    <row r="17158" spans="1:16">
      <c r="A17158" s="3">
        <v>44527.909571759257</v>
      </c>
      <c r="B17158" s="4" t="str">
        <f>HYPERLINK("https://twitter.com/petrogustavo","@petrogustavo")</f>
        <v>@petrogustavo</v>
      </c>
      <c r="C17158" s="5" t="s">
        <v>16</v>
      </c>
      <c r="D17158" s="5" t="s">
        <v>16513</v>
      </c>
      <c r="E17158" s="6" t="str">
        <f>HYPERLINK("https://twitter.com/petrogustavo/status/1464630040981876748","1464630040981876748")</f>
        <v>1464630040981876748</v>
      </c>
      <c r="F17158" s="7" t="s">
        <v>17</v>
      </c>
      <c r="G17158" s="7">
        <v>4412998</v>
      </c>
      <c r="H17158" s="7">
        <v>2574</v>
      </c>
      <c r="I17158" s="7">
        <v>91</v>
      </c>
      <c r="J17158" s="7">
        <v>325</v>
      </c>
      <c r="K17158" s="7" t="s">
        <v>18</v>
      </c>
      <c r="L17158" s="8">
        <v>39987.315405092595</v>
      </c>
      <c r="M17158" s="9" t="s">
        <v>19</v>
      </c>
      <c r="N17158" s="9" t="s">
        <v>20</v>
      </c>
      <c r="O17158" s="6" t="str">
        <f>HYPERLINK("https://pbs.twimg.com/profile_images/962471262747529216/Uo8lOkRJ_normal.jpg","View")</f>
        <v>View</v>
      </c>
      <c r="P17158" s="7"/>
    </row>
    <row r="17159" spans="1:16">
      <c r="A17159" s="3">
        <v>44527.98646990741</v>
      </c>
      <c r="B17159" s="4" t="str">
        <f>HYPERLINK("https://twitter.com/petrogustavo","@petrogustavo")</f>
        <v>@petrogustavo</v>
      </c>
      <c r="C17159" s="5" t="s">
        <v>16</v>
      </c>
      <c r="D17159" s="5" t="s">
        <v>16514</v>
      </c>
      <c r="E17159" s="6" t="str">
        <f>HYPERLINK("https://twitter.com/petrogustavo/status/1464657906784219139","1464657906784219139")</f>
        <v>1464657906784219139</v>
      </c>
      <c r="F17159" s="7" t="s">
        <v>17</v>
      </c>
      <c r="G17159" s="7">
        <v>4413062</v>
      </c>
      <c r="H17159" s="7">
        <v>2574</v>
      </c>
      <c r="I17159" s="7">
        <v>540</v>
      </c>
      <c r="J17159" s="7">
        <v>1921</v>
      </c>
      <c r="K17159" s="7" t="s">
        <v>18</v>
      </c>
      <c r="L17159" s="8">
        <v>39987.315405092595</v>
      </c>
      <c r="M17159" s="9" t="s">
        <v>19</v>
      </c>
      <c r="N17159" s="9" t="s">
        <v>20</v>
      </c>
      <c r="O17159" s="6" t="str">
        <f>HYPERLINK("https://pbs.twimg.com/profile_images/962471262747529216/Uo8lOkRJ_normal.jpg","View")</f>
        <v>View</v>
      </c>
      <c r="P17159" s="7"/>
    </row>
    <row r="17160" spans="1:16">
      <c r="A17160" s="3">
        <v>44528.120601851857</v>
      </c>
      <c r="B17160" s="4" t="str">
        <f>HYPERLINK("https://twitter.com/petrogustavo","@petrogustavo")</f>
        <v>@petrogustavo</v>
      </c>
      <c r="C17160" s="5" t="s">
        <v>16</v>
      </c>
      <c r="D17160" s="5" t="s">
        <v>16515</v>
      </c>
      <c r="E17160" s="6" t="str">
        <f>HYPERLINK("https://twitter.com/petrogustavo/status/1464706512513900545","1464706512513900545")</f>
        <v>1464706512513900545</v>
      </c>
      <c r="F17160" s="7" t="s">
        <v>17</v>
      </c>
      <c r="G17160" s="7">
        <v>4413203</v>
      </c>
      <c r="H17160" s="7">
        <v>2574</v>
      </c>
      <c r="I17160" s="7">
        <v>2493</v>
      </c>
      <c r="J17160" s="7">
        <v>0</v>
      </c>
      <c r="K17160" s="7" t="s">
        <v>18</v>
      </c>
      <c r="L17160" s="8">
        <v>39987.315405092595</v>
      </c>
      <c r="M17160" s="9" t="s">
        <v>19</v>
      </c>
      <c r="N17160" s="9" t="s">
        <v>20</v>
      </c>
      <c r="O17160" s="6" t="str">
        <f>HYPERLINK("https://pbs.twimg.com/profile_images/962471262747529216/Uo8lOkRJ_normal.jpg","View")</f>
        <v>View</v>
      </c>
      <c r="P17160" s="7"/>
    </row>
    <row r="17161" spans="1:16">
      <c r="A17161" s="3">
        <v>44528.127164351856</v>
      </c>
      <c r="B17161" s="4" t="str">
        <f>HYPERLINK("https://twitter.com/petrogustavo","@petrogustavo")</f>
        <v>@petrogustavo</v>
      </c>
      <c r="C17161" s="5" t="s">
        <v>16</v>
      </c>
      <c r="D17161" s="5" t="s">
        <v>16516</v>
      </c>
      <c r="E17161" s="6" t="str">
        <f>HYPERLINK("https://twitter.com/petrogustavo/status/1464708890403258372","1464708890403258372")</f>
        <v>1464708890403258372</v>
      </c>
      <c r="F17161" s="7" t="s">
        <v>17</v>
      </c>
      <c r="G17161" s="7">
        <v>4413203</v>
      </c>
      <c r="H17161" s="7">
        <v>2574</v>
      </c>
      <c r="I17161" s="7">
        <v>161</v>
      </c>
      <c r="J17161" s="7">
        <v>0</v>
      </c>
      <c r="K17161" s="7" t="s">
        <v>18</v>
      </c>
      <c r="L17161" s="8">
        <v>39987.315405092595</v>
      </c>
      <c r="M17161" s="9" t="s">
        <v>19</v>
      </c>
      <c r="N17161" s="9" t="s">
        <v>20</v>
      </c>
      <c r="O17161" s="6" t="str">
        <f>HYPERLINK("https://pbs.twimg.com/profile_images/962471262747529216/Uo8lOkRJ_normal.jpg","View")</f>
        <v>View</v>
      </c>
      <c r="P17161" s="7"/>
    </row>
    <row r="17162" spans="1:16">
      <c r="A17162" s="3">
        <v>44528.232037037036</v>
      </c>
      <c r="B17162" s="4" t="str">
        <f>HYPERLINK("https://twitter.com/petrogustavo","@petrogustavo")</f>
        <v>@petrogustavo</v>
      </c>
      <c r="C17162" s="5" t="s">
        <v>16</v>
      </c>
      <c r="D17162" s="5" t="s">
        <v>16515</v>
      </c>
      <c r="E17162" s="6" t="str">
        <f>HYPERLINK("https://twitter.com/petrogustavo/status/1464746895931285507","1464746895931285507")</f>
        <v>1464746895931285507</v>
      </c>
      <c r="F17162" s="7" t="s">
        <v>17</v>
      </c>
      <c r="G17162" s="7">
        <v>4413357</v>
      </c>
      <c r="H17162" s="7">
        <v>2574</v>
      </c>
      <c r="I17162" s="7">
        <v>3394</v>
      </c>
      <c r="J17162" s="7">
        <v>0</v>
      </c>
      <c r="K17162" s="7" t="s">
        <v>18</v>
      </c>
      <c r="L17162" s="8">
        <v>39987.315405092595</v>
      </c>
      <c r="M17162" s="9" t="s">
        <v>19</v>
      </c>
      <c r="N17162" s="9" t="s">
        <v>20</v>
      </c>
      <c r="O17162" s="6" t="str">
        <f>HYPERLINK("https://pbs.twimg.com/profile_images/962471262747529216/Uo8lOkRJ_normal.jpg","View")</f>
        <v>View</v>
      </c>
      <c r="P17162" s="7"/>
    </row>
    <row r="17163" spans="1:16">
      <c r="A17163" s="3">
        <v>44528.236041666663</v>
      </c>
      <c r="B17163" s="4" t="str">
        <f>HYPERLINK("https://twitter.com/petrogustavo","@petrogustavo")</f>
        <v>@petrogustavo</v>
      </c>
      <c r="C17163" s="5" t="s">
        <v>16</v>
      </c>
      <c r="D17163" s="5" t="s">
        <v>16517</v>
      </c>
      <c r="E17163" s="6" t="str">
        <f>HYPERLINK("https://twitter.com/petrogustavo/status/1464748346300518404","1464748346300518404")</f>
        <v>1464748346300518404</v>
      </c>
      <c r="F17163" s="7" t="s">
        <v>17</v>
      </c>
      <c r="G17163" s="7">
        <v>4413357</v>
      </c>
      <c r="H17163" s="7">
        <v>2574</v>
      </c>
      <c r="I17163" s="7">
        <v>233</v>
      </c>
      <c r="J17163" s="7">
        <v>838</v>
      </c>
      <c r="K17163" s="7" t="s">
        <v>18</v>
      </c>
      <c r="L17163" s="8">
        <v>39987.315405092595</v>
      </c>
      <c r="M17163" s="9" t="s">
        <v>19</v>
      </c>
      <c r="N17163" s="9" t="s">
        <v>20</v>
      </c>
      <c r="O17163" s="6" t="str">
        <f>HYPERLINK("https://pbs.twimg.com/profile_images/962471262747529216/Uo8lOkRJ_normal.jpg","View")</f>
        <v>View</v>
      </c>
      <c r="P17163" s="7"/>
    </row>
    <row r="17164" spans="1:16">
      <c r="A17164" s="3">
        <v>44528.786875000005</v>
      </c>
      <c r="B17164" s="4" t="str">
        <f>HYPERLINK("https://twitter.com/petrogustavo","@petrogustavo")</f>
        <v>@petrogustavo</v>
      </c>
      <c r="C17164" s="5" t="s">
        <v>16</v>
      </c>
      <c r="D17164" s="5" t="s">
        <v>16518</v>
      </c>
      <c r="E17164" s="6" t="str">
        <f>HYPERLINK("https://twitter.com/petrogustavo/status/1464947962027593730","1464947962027593730")</f>
        <v>1464947962027593730</v>
      </c>
      <c r="F17164" s="7" t="s">
        <v>17</v>
      </c>
      <c r="G17164" s="7">
        <v>4413739</v>
      </c>
      <c r="H17164" s="7">
        <v>2574</v>
      </c>
      <c r="I17164" s="7">
        <v>79</v>
      </c>
      <c r="J17164" s="7">
        <v>227</v>
      </c>
      <c r="K17164" s="7" t="s">
        <v>18</v>
      </c>
      <c r="L17164" s="8">
        <v>39987.315405092595</v>
      </c>
      <c r="M17164" s="9" t="s">
        <v>19</v>
      </c>
      <c r="N17164" s="9" t="s">
        <v>20</v>
      </c>
      <c r="O17164" s="6" t="str">
        <f>HYPERLINK("https://pbs.twimg.com/profile_images/962471262747529216/Uo8lOkRJ_normal.jpg","View")</f>
        <v>View</v>
      </c>
      <c r="P17164" s="7"/>
    </row>
    <row r="17165" spans="1:16">
      <c r="A17165" s="3">
        <v>44528.786875000005</v>
      </c>
      <c r="B17165" s="4" t="str">
        <f>HYPERLINK("https://twitter.com/petrogustavo","@petrogustavo")</f>
        <v>@petrogustavo</v>
      </c>
      <c r="C17165" s="5" t="s">
        <v>16</v>
      </c>
      <c r="D17165" s="5" t="s">
        <v>16519</v>
      </c>
      <c r="E17165" s="6" t="str">
        <f>HYPERLINK("https://twitter.com/petrogustavo/status/1464947963336310785","1464947963336310785")</f>
        <v>1464947963336310785</v>
      </c>
      <c r="F17165" s="7" t="s">
        <v>17</v>
      </c>
      <c r="G17165" s="7">
        <v>4413739</v>
      </c>
      <c r="H17165" s="7">
        <v>2574</v>
      </c>
      <c r="I17165" s="7">
        <v>42</v>
      </c>
      <c r="J17165" s="7">
        <v>189</v>
      </c>
      <c r="K17165" s="7" t="s">
        <v>18</v>
      </c>
      <c r="L17165" s="8">
        <v>39987.315405092595</v>
      </c>
      <c r="M17165" s="9" t="s">
        <v>19</v>
      </c>
      <c r="N17165" s="9" t="s">
        <v>20</v>
      </c>
      <c r="O17165" s="6" t="str">
        <f>HYPERLINK("https://pbs.twimg.com/profile_images/962471262747529216/Uo8lOkRJ_normal.jpg","View")</f>
        <v>View</v>
      </c>
      <c r="P17165" s="7"/>
    </row>
    <row r="17166" spans="1:16">
      <c r="A17166" s="3">
        <v>44528.786875000005</v>
      </c>
      <c r="B17166" s="4" t="str">
        <f>HYPERLINK("https://twitter.com/petrogustavo","@petrogustavo")</f>
        <v>@petrogustavo</v>
      </c>
      <c r="C17166" s="5" t="s">
        <v>16</v>
      </c>
      <c r="D17166" s="5" t="s">
        <v>16520</v>
      </c>
      <c r="E17166" s="6" t="str">
        <f>HYPERLINK("https://twitter.com/petrogustavo/status/1464947964670058503","1464947964670058503")</f>
        <v>1464947964670058503</v>
      </c>
      <c r="F17166" s="7" t="s">
        <v>17</v>
      </c>
      <c r="G17166" s="7">
        <v>4413739</v>
      </c>
      <c r="H17166" s="7">
        <v>2574</v>
      </c>
      <c r="I17166" s="7">
        <v>48</v>
      </c>
      <c r="J17166" s="7">
        <v>213</v>
      </c>
      <c r="K17166" s="7" t="s">
        <v>18</v>
      </c>
      <c r="L17166" s="8">
        <v>39987.315405092595</v>
      </c>
      <c r="M17166" s="9" t="s">
        <v>19</v>
      </c>
      <c r="N17166" s="9" t="s">
        <v>20</v>
      </c>
      <c r="O17166" s="6" t="str">
        <f>HYPERLINK("https://pbs.twimg.com/profile_images/962471262747529216/Uo8lOkRJ_normal.jpg","View")</f>
        <v>View</v>
      </c>
      <c r="P17166" s="7"/>
    </row>
    <row r="17167" spans="1:16">
      <c r="A17167" s="3">
        <v>44528.795474537037</v>
      </c>
      <c r="B17167" s="4" t="str">
        <f>HYPERLINK("https://twitter.com/petrogustavo","@petrogustavo")</f>
        <v>@petrogustavo</v>
      </c>
      <c r="C17167" s="5" t="s">
        <v>16</v>
      </c>
      <c r="D17167" s="5" t="s">
        <v>16521</v>
      </c>
      <c r="E17167" s="6" t="str">
        <f>HYPERLINK("https://twitter.com/petrogustavo/status/1464951080438087681","1464951080438087681")</f>
        <v>1464951080438087681</v>
      </c>
      <c r="F17167" s="7" t="s">
        <v>17</v>
      </c>
      <c r="G17167" s="7">
        <v>4413763</v>
      </c>
      <c r="H17167" s="7">
        <v>2574</v>
      </c>
      <c r="I17167" s="7">
        <v>2897</v>
      </c>
      <c r="J17167" s="7">
        <v>0</v>
      </c>
      <c r="K17167" s="7" t="s">
        <v>18</v>
      </c>
      <c r="L17167" s="8">
        <v>39987.315405092595</v>
      </c>
      <c r="M17167" s="9" t="s">
        <v>19</v>
      </c>
      <c r="N17167" s="9" t="s">
        <v>20</v>
      </c>
      <c r="O17167" s="6" t="str">
        <f>HYPERLINK("https://pbs.twimg.com/profile_images/962471262747529216/Uo8lOkRJ_normal.jpg","View")</f>
        <v>View</v>
      </c>
      <c r="P17167" s="7"/>
    </row>
    <row r="17168" spans="1:16">
      <c r="A17168" s="3">
        <v>44528.796168981484</v>
      </c>
      <c r="B17168" s="4" t="str">
        <f>HYPERLINK("https://twitter.com/petrogustavo","@petrogustavo")</f>
        <v>@petrogustavo</v>
      </c>
      <c r="C17168" s="5" t="s">
        <v>16</v>
      </c>
      <c r="D17168" s="5" t="s">
        <v>16522</v>
      </c>
      <c r="E17168" s="6" t="str">
        <f>HYPERLINK("https://twitter.com/petrogustavo/status/1464951329730740227","1464951329730740227")</f>
        <v>1464951329730740227</v>
      </c>
      <c r="F17168" s="7" t="s">
        <v>17</v>
      </c>
      <c r="G17168" s="7">
        <v>4413763</v>
      </c>
      <c r="H17168" s="7">
        <v>2574</v>
      </c>
      <c r="I17168" s="7">
        <v>764</v>
      </c>
      <c r="J17168" s="7">
        <v>0</v>
      </c>
      <c r="K17168" s="7" t="s">
        <v>18</v>
      </c>
      <c r="L17168" s="8">
        <v>39987.315405092595</v>
      </c>
      <c r="M17168" s="9" t="s">
        <v>19</v>
      </c>
      <c r="N17168" s="9" t="s">
        <v>20</v>
      </c>
      <c r="O17168" s="6" t="str">
        <f>HYPERLINK("https://pbs.twimg.com/profile_images/962471262747529216/Uo8lOkRJ_normal.jpg","View")</f>
        <v>View</v>
      </c>
      <c r="P17168" s="7"/>
    </row>
    <row r="17169" spans="1:16">
      <c r="A17169" s="3">
        <v>44528.799988425926</v>
      </c>
      <c r="B17169" s="4" t="str">
        <f>HYPERLINK("https://twitter.com/petrogustavo","@petrogustavo")</f>
        <v>@petrogustavo</v>
      </c>
      <c r="C17169" s="5" t="s">
        <v>16</v>
      </c>
      <c r="D17169" s="5" t="s">
        <v>16523</v>
      </c>
      <c r="E17169" s="6" t="str">
        <f>HYPERLINK("https://twitter.com/petrogustavo/status/1464952715520401408","1464952715520401408")</f>
        <v>1464952715520401408</v>
      </c>
      <c r="F17169" s="7" t="s">
        <v>17</v>
      </c>
      <c r="G17169" s="7">
        <v>4413763</v>
      </c>
      <c r="H17169" s="7">
        <v>2574</v>
      </c>
      <c r="I17169" s="7">
        <v>60</v>
      </c>
      <c r="J17169" s="7">
        <v>206</v>
      </c>
      <c r="K17169" s="7" t="s">
        <v>18</v>
      </c>
      <c r="L17169" s="8">
        <v>39987.315405092595</v>
      </c>
      <c r="M17169" s="9" t="s">
        <v>19</v>
      </c>
      <c r="N17169" s="9" t="s">
        <v>20</v>
      </c>
      <c r="O17169" s="6" t="str">
        <f>HYPERLINK("https://pbs.twimg.com/profile_images/962471262747529216/Uo8lOkRJ_normal.jpg","View")</f>
        <v>View</v>
      </c>
      <c r="P17169" s="7"/>
    </row>
    <row r="17170" spans="1:16">
      <c r="A17170" s="3">
        <v>44528.900810185187</v>
      </c>
      <c r="B17170" s="4" t="str">
        <f>HYPERLINK("https://twitter.com/petrogustavo","@petrogustavo")</f>
        <v>@petrogustavo</v>
      </c>
      <c r="C17170" s="5" t="s">
        <v>16</v>
      </c>
      <c r="D17170" s="5" t="s">
        <v>16524</v>
      </c>
      <c r="E17170" s="6" t="str">
        <f>HYPERLINK("https://twitter.com/petrogustavo/status/1464989252182233089","1464989252182233089")</f>
        <v>1464989252182233089</v>
      </c>
      <c r="F17170" s="7" t="s">
        <v>17</v>
      </c>
      <c r="G17170" s="7">
        <v>4413842</v>
      </c>
      <c r="H17170" s="7">
        <v>2574</v>
      </c>
      <c r="I17170" s="7">
        <v>167</v>
      </c>
      <c r="J17170" s="7">
        <v>1074</v>
      </c>
      <c r="K17170" s="7" t="s">
        <v>18</v>
      </c>
      <c r="L17170" s="8">
        <v>39987.315405092595</v>
      </c>
      <c r="M17170" s="9" t="s">
        <v>19</v>
      </c>
      <c r="N17170" s="9" t="s">
        <v>20</v>
      </c>
      <c r="O17170" s="6" t="str">
        <f>HYPERLINK("https://pbs.twimg.com/profile_images/962471262747529216/Uo8lOkRJ_normal.jpg","View")</f>
        <v>View</v>
      </c>
      <c r="P17170" s="7"/>
    </row>
    <row r="17171" spans="1:16">
      <c r="A17171" s="3">
        <v>44528.925324074073</v>
      </c>
      <c r="B17171" s="4" t="str">
        <f>HYPERLINK("https://twitter.com/petrogustavo","@petrogustavo")</f>
        <v>@petrogustavo</v>
      </c>
      <c r="C17171" s="5" t="s">
        <v>16</v>
      </c>
      <c r="D17171" s="5" t="s">
        <v>16525</v>
      </c>
      <c r="E17171" s="6" t="str">
        <f>HYPERLINK("https://twitter.com/petrogustavo/status/1464998134254383104","1464998134254383104")</f>
        <v>1464998134254383104</v>
      </c>
      <c r="F17171" s="7" t="s">
        <v>17</v>
      </c>
      <c r="G17171" s="7">
        <v>4413857</v>
      </c>
      <c r="H17171" s="7">
        <v>2574</v>
      </c>
      <c r="I17171" s="7">
        <v>63</v>
      </c>
      <c r="J17171" s="7">
        <v>160</v>
      </c>
      <c r="K17171" s="7" t="s">
        <v>18</v>
      </c>
      <c r="L17171" s="8">
        <v>39987.315405092595</v>
      </c>
      <c r="M17171" s="9" t="s">
        <v>19</v>
      </c>
      <c r="N17171" s="9" t="s">
        <v>20</v>
      </c>
      <c r="O17171" s="6" t="str">
        <f>HYPERLINK("https://pbs.twimg.com/profile_images/962471262747529216/Uo8lOkRJ_normal.jpg","View")</f>
        <v>View</v>
      </c>
      <c r="P17171" s="7"/>
    </row>
    <row r="17172" spans="1:16">
      <c r="A17172" s="3">
        <v>44528.925324074073</v>
      </c>
      <c r="B17172" s="4" t="str">
        <f>HYPERLINK("https://twitter.com/petrogustavo","@petrogustavo")</f>
        <v>@petrogustavo</v>
      </c>
      <c r="C17172" s="5" t="s">
        <v>16</v>
      </c>
      <c r="D17172" s="5" t="s">
        <v>16526</v>
      </c>
      <c r="E17172" s="6" t="str">
        <f>HYPERLINK("https://twitter.com/petrogustavo/status/1464998135617536010","1464998135617536010")</f>
        <v>1464998135617536010</v>
      </c>
      <c r="F17172" s="7" t="s">
        <v>17</v>
      </c>
      <c r="G17172" s="7">
        <v>4413857</v>
      </c>
      <c r="H17172" s="7">
        <v>2574</v>
      </c>
      <c r="I17172" s="7">
        <v>11</v>
      </c>
      <c r="J17172" s="7">
        <v>30</v>
      </c>
      <c r="K17172" s="7" t="s">
        <v>18</v>
      </c>
      <c r="L17172" s="8">
        <v>39987.315405092595</v>
      </c>
      <c r="M17172" s="9" t="s">
        <v>19</v>
      </c>
      <c r="N17172" s="9" t="s">
        <v>20</v>
      </c>
      <c r="O17172" s="6" t="str">
        <f>HYPERLINK("https://pbs.twimg.com/profile_images/962471262747529216/Uo8lOkRJ_normal.jpg","View")</f>
        <v>View</v>
      </c>
      <c r="P17172" s="7"/>
    </row>
    <row r="17173" spans="1:16">
      <c r="A17173" s="3">
        <v>44528.925335648149</v>
      </c>
      <c r="B17173" s="4" t="str">
        <f>HYPERLINK("https://twitter.com/petrogustavo","@petrogustavo")</f>
        <v>@petrogustavo</v>
      </c>
      <c r="C17173" s="5" t="s">
        <v>16</v>
      </c>
      <c r="D17173" s="5" t="s">
        <v>16527</v>
      </c>
      <c r="E17173" s="6" t="str">
        <f>HYPERLINK("https://twitter.com/petrogustavo/status/1464998137924358145","1464998137924358145")</f>
        <v>1464998137924358145</v>
      </c>
      <c r="F17173" s="7" t="s">
        <v>17</v>
      </c>
      <c r="G17173" s="7">
        <v>4413857</v>
      </c>
      <c r="H17173" s="7">
        <v>2574</v>
      </c>
      <c r="I17173" s="7">
        <v>10</v>
      </c>
      <c r="J17173" s="7">
        <v>32</v>
      </c>
      <c r="K17173" s="7" t="s">
        <v>18</v>
      </c>
      <c r="L17173" s="8">
        <v>39987.315405092595</v>
      </c>
      <c r="M17173" s="9" t="s">
        <v>19</v>
      </c>
      <c r="N17173" s="9" t="s">
        <v>20</v>
      </c>
      <c r="O17173" s="6" t="str">
        <f>HYPERLINK("https://pbs.twimg.com/profile_images/962471262747529216/Uo8lOkRJ_normal.jpg","View")</f>
        <v>View</v>
      </c>
      <c r="P17173" s="7"/>
    </row>
    <row r="17174" spans="1:16">
      <c r="A17174" s="3">
        <v>44528.925335648149</v>
      </c>
      <c r="B17174" s="4" t="str">
        <f>HYPERLINK("https://twitter.com/petrogustavo","@petrogustavo")</f>
        <v>@petrogustavo</v>
      </c>
      <c r="C17174" s="5" t="s">
        <v>16</v>
      </c>
      <c r="D17174" s="5" t="s">
        <v>16528</v>
      </c>
      <c r="E17174" s="6" t="str">
        <f>HYPERLINK("https://twitter.com/petrogustavo/status/1464998139325210628","1464998139325210628")</f>
        <v>1464998139325210628</v>
      </c>
      <c r="F17174" s="7" t="s">
        <v>17</v>
      </c>
      <c r="G17174" s="7">
        <v>4413857</v>
      </c>
      <c r="H17174" s="7">
        <v>2574</v>
      </c>
      <c r="I17174" s="7">
        <v>26</v>
      </c>
      <c r="J17174" s="7">
        <v>99</v>
      </c>
      <c r="K17174" s="7" t="s">
        <v>18</v>
      </c>
      <c r="L17174" s="8">
        <v>39987.315405092595</v>
      </c>
      <c r="M17174" s="9" t="s">
        <v>19</v>
      </c>
      <c r="N17174" s="9" t="s">
        <v>20</v>
      </c>
      <c r="O17174" s="6" t="str">
        <f>HYPERLINK("https://pbs.twimg.com/profile_images/962471262747529216/Uo8lOkRJ_normal.jpg","View")</f>
        <v>View</v>
      </c>
      <c r="P17174" s="7"/>
    </row>
    <row r="17175" spans="1:16">
      <c r="A17175" s="3">
        <v>44528.925335648149</v>
      </c>
      <c r="B17175" s="4" t="str">
        <f>HYPERLINK("https://twitter.com/petrogustavo","@petrogustavo")</f>
        <v>@petrogustavo</v>
      </c>
      <c r="C17175" s="5" t="s">
        <v>16</v>
      </c>
      <c r="D17175" s="5" t="s">
        <v>16529</v>
      </c>
      <c r="E17175" s="6" t="str">
        <f>HYPERLINK("https://twitter.com/petrogustavo/status/1464998140621332490","1464998140621332490")</f>
        <v>1464998140621332490</v>
      </c>
      <c r="F17175" s="7" t="s">
        <v>17</v>
      </c>
      <c r="G17175" s="7">
        <v>4413857</v>
      </c>
      <c r="H17175" s="7">
        <v>2574</v>
      </c>
      <c r="I17175" s="7">
        <v>24</v>
      </c>
      <c r="J17175" s="7">
        <v>96</v>
      </c>
      <c r="K17175" s="7" t="s">
        <v>18</v>
      </c>
      <c r="L17175" s="8">
        <v>39987.315405092595</v>
      </c>
      <c r="M17175" s="9" t="s">
        <v>19</v>
      </c>
      <c r="N17175" s="9" t="s">
        <v>20</v>
      </c>
      <c r="O17175" s="6" t="str">
        <f>HYPERLINK("https://pbs.twimg.com/profile_images/962471262747529216/Uo8lOkRJ_normal.jpg","View")</f>
        <v>View</v>
      </c>
      <c r="P17175" s="7"/>
    </row>
    <row r="17176" spans="1:16">
      <c r="A17176" s="3">
        <v>44529.214328703703</v>
      </c>
      <c r="B17176" s="4" t="str">
        <f>HYPERLINK("https://twitter.com/petrogustavo","@petrogustavo")</f>
        <v>@petrogustavo</v>
      </c>
      <c r="C17176" s="5" t="s">
        <v>16</v>
      </c>
      <c r="D17176" s="5" t="s">
        <v>16530</v>
      </c>
      <c r="E17176" s="6" t="str">
        <f>HYPERLINK("https://twitter.com/petrogustavo/status/1465102865157001225","1465102865157001225")</f>
        <v>1465102865157001225</v>
      </c>
      <c r="F17176" s="7" t="s">
        <v>17</v>
      </c>
      <c r="G17176" s="7">
        <v>4414228</v>
      </c>
      <c r="H17176" s="7">
        <v>2574</v>
      </c>
      <c r="I17176" s="7">
        <v>226</v>
      </c>
      <c r="J17176" s="7">
        <v>0</v>
      </c>
      <c r="K17176" s="7" t="s">
        <v>18</v>
      </c>
      <c r="L17176" s="8">
        <v>39987.315405092595</v>
      </c>
      <c r="M17176" s="9" t="s">
        <v>19</v>
      </c>
      <c r="N17176" s="9" t="s">
        <v>20</v>
      </c>
      <c r="O17176" s="6" t="str">
        <f>HYPERLINK("https://pbs.twimg.com/profile_images/962471262747529216/Uo8lOkRJ_normal.jpg","View")</f>
        <v>View</v>
      </c>
      <c r="P17176" s="7"/>
    </row>
    <row r="17177" spans="1:16">
      <c r="A17177" s="3">
        <v>44529.216863425929</v>
      </c>
      <c r="B17177" s="4" t="str">
        <f>HYPERLINK("https://twitter.com/petrogustavo","@petrogustavo")</f>
        <v>@petrogustavo</v>
      </c>
      <c r="C17177" s="5" t="s">
        <v>16</v>
      </c>
      <c r="D17177" s="5" t="s">
        <v>16531</v>
      </c>
      <c r="E17177" s="6" t="str">
        <f>HYPERLINK("https://twitter.com/petrogustavo/status/1465103783818665991","1465103783818665991")</f>
        <v>1465103783818665991</v>
      </c>
      <c r="F17177" s="7" t="s">
        <v>17</v>
      </c>
      <c r="G17177" s="7">
        <v>4414228</v>
      </c>
      <c r="H17177" s="7">
        <v>2574</v>
      </c>
      <c r="I17177" s="7">
        <v>58</v>
      </c>
      <c r="J17177" s="7">
        <v>0</v>
      </c>
      <c r="K17177" s="7" t="s">
        <v>18</v>
      </c>
      <c r="L17177" s="8">
        <v>39987.315405092595</v>
      </c>
      <c r="M17177" s="9" t="s">
        <v>19</v>
      </c>
      <c r="N17177" s="9" t="s">
        <v>20</v>
      </c>
      <c r="O17177" s="6" t="str">
        <f>HYPERLINK("https://pbs.twimg.com/profile_images/962471262747529216/Uo8lOkRJ_normal.jpg","View")</f>
        <v>View</v>
      </c>
      <c r="P17177" s="7"/>
    </row>
    <row r="17178" spans="1:16">
      <c r="A17178" s="3">
        <v>44529.217465277776</v>
      </c>
      <c r="B17178" s="4" t="str">
        <f>HYPERLINK("https://twitter.com/petrogustavo","@petrogustavo")</f>
        <v>@petrogustavo</v>
      </c>
      <c r="C17178" s="5" t="s">
        <v>16</v>
      </c>
      <c r="D17178" s="5" t="s">
        <v>16532</v>
      </c>
      <c r="E17178" s="6" t="str">
        <f>HYPERLINK("https://twitter.com/petrogustavo/status/1465104004552269824","1465104004552269824")</f>
        <v>1465104004552269824</v>
      </c>
      <c r="F17178" s="7" t="s">
        <v>17</v>
      </c>
      <c r="G17178" s="7">
        <v>4414228</v>
      </c>
      <c r="H17178" s="7">
        <v>2574</v>
      </c>
      <c r="I17178" s="7">
        <v>58</v>
      </c>
      <c r="J17178" s="7">
        <v>0</v>
      </c>
      <c r="K17178" s="7" t="s">
        <v>18</v>
      </c>
      <c r="L17178" s="8">
        <v>39987.315405092595</v>
      </c>
      <c r="M17178" s="9" t="s">
        <v>19</v>
      </c>
      <c r="N17178" s="9" t="s">
        <v>20</v>
      </c>
      <c r="O17178" s="6" t="str">
        <f>HYPERLINK("https://pbs.twimg.com/profile_images/962471262747529216/Uo8lOkRJ_normal.jpg","View")</f>
        <v>View</v>
      </c>
      <c r="P17178" s="7"/>
    </row>
    <row r="17179" spans="1:16">
      <c r="A17179" s="3">
        <v>44529.226041666669</v>
      </c>
      <c r="B17179" s="4" t="str">
        <f>HYPERLINK("https://twitter.com/petrogustavo","@petrogustavo")</f>
        <v>@petrogustavo</v>
      </c>
      <c r="C17179" s="5" t="s">
        <v>16</v>
      </c>
      <c r="D17179" s="5" t="s">
        <v>16533</v>
      </c>
      <c r="E17179" s="6" t="str">
        <f>HYPERLINK("https://twitter.com/petrogustavo/status/1465107113475289094","1465107113475289094")</f>
        <v>1465107113475289094</v>
      </c>
      <c r="F17179" s="7" t="s">
        <v>17</v>
      </c>
      <c r="G17179" s="7">
        <v>4414228</v>
      </c>
      <c r="H17179" s="7">
        <v>2574</v>
      </c>
      <c r="I17179" s="7">
        <v>66</v>
      </c>
      <c r="J17179" s="7">
        <v>479</v>
      </c>
      <c r="K17179" s="7" t="s">
        <v>18</v>
      </c>
      <c r="L17179" s="8">
        <v>39987.315405092595</v>
      </c>
      <c r="M17179" s="9" t="s">
        <v>19</v>
      </c>
      <c r="N17179" s="9" t="s">
        <v>20</v>
      </c>
      <c r="O17179" s="6" t="str">
        <f>HYPERLINK("https://pbs.twimg.com/profile_images/962471262747529216/Uo8lOkRJ_normal.jpg","View")</f>
        <v>View</v>
      </c>
      <c r="P17179" s="7"/>
    </row>
    <row r="17180" spans="1:16">
      <c r="A17180" s="3">
        <v>44529.730983796297</v>
      </c>
      <c r="B17180" s="4" t="str">
        <f>HYPERLINK("https://twitter.com/petrogustavo","@petrogustavo")</f>
        <v>@petrogustavo</v>
      </c>
      <c r="C17180" s="5" t="s">
        <v>16</v>
      </c>
      <c r="D17180" s="5" t="s">
        <v>16534</v>
      </c>
      <c r="E17180" s="6" t="str">
        <f>HYPERLINK("https://twitter.com/petrogustavo/status/1465290096131854343","1465290096131854343")</f>
        <v>1465290096131854343</v>
      </c>
      <c r="F17180" s="7" t="s">
        <v>17</v>
      </c>
      <c r="G17180" s="7">
        <v>4414630</v>
      </c>
      <c r="H17180" s="7">
        <v>2574</v>
      </c>
      <c r="I17180" s="7">
        <v>8</v>
      </c>
      <c r="J17180" s="7">
        <v>33</v>
      </c>
      <c r="K17180" s="7" t="s">
        <v>18</v>
      </c>
      <c r="L17180" s="8">
        <v>39987.315405092595</v>
      </c>
      <c r="M17180" s="9" t="s">
        <v>19</v>
      </c>
      <c r="N17180" s="9" t="s">
        <v>20</v>
      </c>
      <c r="O17180" s="6" t="str">
        <f>HYPERLINK("https://pbs.twimg.com/profile_images/962471262747529216/Uo8lOkRJ_normal.jpg","View")</f>
        <v>View</v>
      </c>
      <c r="P17180" s="7"/>
    </row>
    <row r="17181" spans="1:16">
      <c r="A17181" s="3">
        <v>44529.736979166672</v>
      </c>
      <c r="B17181" s="4" t="str">
        <f>HYPERLINK("https://twitter.com/petrogustavo","@petrogustavo")</f>
        <v>@petrogustavo</v>
      </c>
      <c r="C17181" s="5" t="s">
        <v>16</v>
      </c>
      <c r="D17181" s="5" t="s">
        <v>16535</v>
      </c>
      <c r="E17181" s="6" t="str">
        <f>HYPERLINK("https://twitter.com/petrogustavo/status/1465292268542341129","1465292268542341129")</f>
        <v>1465292268542341129</v>
      </c>
      <c r="F17181" s="7" t="s">
        <v>17</v>
      </c>
      <c r="G17181" s="7">
        <v>4414651</v>
      </c>
      <c r="H17181" s="7">
        <v>2574</v>
      </c>
      <c r="I17181" s="7">
        <v>115</v>
      </c>
      <c r="J17181" s="7">
        <v>393</v>
      </c>
      <c r="K17181" s="7" t="s">
        <v>18</v>
      </c>
      <c r="L17181" s="8">
        <v>39987.315405092595</v>
      </c>
      <c r="M17181" s="9" t="s">
        <v>19</v>
      </c>
      <c r="N17181" s="9" t="s">
        <v>20</v>
      </c>
      <c r="O17181" s="6" t="str">
        <f>HYPERLINK("https://pbs.twimg.com/profile_images/962471262747529216/Uo8lOkRJ_normal.jpg","View")</f>
        <v>View</v>
      </c>
      <c r="P17181" s="7"/>
    </row>
    <row r="17182" spans="1:16">
      <c r="A17182" s="3">
        <v>44529.767789351856</v>
      </c>
      <c r="B17182" s="4" t="str">
        <f>HYPERLINK("https://twitter.com/petrogustavo","@petrogustavo")</f>
        <v>@petrogustavo</v>
      </c>
      <c r="C17182" s="5" t="s">
        <v>16</v>
      </c>
      <c r="D17182" s="5" t="s">
        <v>16536</v>
      </c>
      <c r="E17182" s="6" t="str">
        <f>HYPERLINK("https://twitter.com/petrogustavo/status/1465303433674731528","1465303433674731528")</f>
        <v>1465303433674731528</v>
      </c>
      <c r="F17182" s="7" t="s">
        <v>17</v>
      </c>
      <c r="G17182" s="7">
        <v>4414667</v>
      </c>
      <c r="H17182" s="7">
        <v>2575</v>
      </c>
      <c r="I17182" s="7">
        <v>3779</v>
      </c>
      <c r="J17182" s="7">
        <v>0</v>
      </c>
      <c r="K17182" s="7" t="s">
        <v>18</v>
      </c>
      <c r="L17182" s="8">
        <v>39987.315405092595</v>
      </c>
      <c r="M17182" s="9" t="s">
        <v>19</v>
      </c>
      <c r="N17182" s="9" t="s">
        <v>20</v>
      </c>
      <c r="O17182" s="6" t="str">
        <f>HYPERLINK("https://pbs.twimg.com/profile_images/962471262747529216/Uo8lOkRJ_normal.jpg","View")</f>
        <v>View</v>
      </c>
      <c r="P17182" s="7"/>
    </row>
    <row r="17183" spans="1:16">
      <c r="A17183" s="3">
        <v>44529.773310185185</v>
      </c>
      <c r="B17183" s="4" t="str">
        <f>HYPERLINK("https://twitter.com/petrogustavo","@petrogustavo")</f>
        <v>@petrogustavo</v>
      </c>
      <c r="C17183" s="5" t="s">
        <v>16</v>
      </c>
      <c r="D17183" s="5" t="s">
        <v>16537</v>
      </c>
      <c r="E17183" s="6" t="str">
        <f>HYPERLINK("https://twitter.com/petrogustavo/status/1465305434500349965","1465305434500349965")</f>
        <v>1465305434500349965</v>
      </c>
      <c r="F17183" s="7" t="s">
        <v>17</v>
      </c>
      <c r="G17183" s="7">
        <v>4414688</v>
      </c>
      <c r="H17183" s="7">
        <v>2576</v>
      </c>
      <c r="I17183" s="7">
        <v>140</v>
      </c>
      <c r="J17183" s="7">
        <v>360</v>
      </c>
      <c r="K17183" s="7" t="s">
        <v>18</v>
      </c>
      <c r="L17183" s="8">
        <v>39987.315405092595</v>
      </c>
      <c r="M17183" s="9" t="s">
        <v>19</v>
      </c>
      <c r="N17183" s="9" t="s">
        <v>20</v>
      </c>
      <c r="O17183" s="6" t="str">
        <f>HYPERLINK("https://pbs.twimg.com/profile_images/962471262747529216/Uo8lOkRJ_normal.jpg","View")</f>
        <v>View</v>
      </c>
      <c r="P17183" s="7"/>
    </row>
    <row r="17184" spans="1:16">
      <c r="A17184" s="3">
        <v>44529.781851851847</v>
      </c>
      <c r="B17184" s="4" t="str">
        <f>HYPERLINK("https://twitter.com/petrogustavo","@petrogustavo")</f>
        <v>@petrogustavo</v>
      </c>
      <c r="C17184" s="5" t="s">
        <v>16</v>
      </c>
      <c r="D17184" s="5" t="s">
        <v>16538</v>
      </c>
      <c r="E17184" s="6" t="str">
        <f>HYPERLINK("https://twitter.com/petrogustavo/status/1465308529904992262","1465308529904992262")</f>
        <v>1465308529904992262</v>
      </c>
      <c r="F17184" s="7" t="s">
        <v>17</v>
      </c>
      <c r="G17184" s="7">
        <v>4414688</v>
      </c>
      <c r="H17184" s="7">
        <v>2576</v>
      </c>
      <c r="I17184" s="7">
        <v>215</v>
      </c>
      <c r="J17184" s="7">
        <v>691</v>
      </c>
      <c r="K17184" s="7" t="s">
        <v>18</v>
      </c>
      <c r="L17184" s="8">
        <v>39987.315405092595</v>
      </c>
      <c r="M17184" s="9" t="s">
        <v>19</v>
      </c>
      <c r="N17184" s="9" t="s">
        <v>20</v>
      </c>
      <c r="O17184" s="6" t="str">
        <f>HYPERLINK("https://pbs.twimg.com/profile_images/962471262747529216/Uo8lOkRJ_normal.jpg","View")</f>
        <v>View</v>
      </c>
      <c r="P17184" s="7"/>
    </row>
    <row r="17185" spans="1:16">
      <c r="A17185" s="3">
        <v>44529.812638888892</v>
      </c>
      <c r="B17185" s="4" t="str">
        <f>HYPERLINK("https://twitter.com/petrogustavo","@petrogustavo")</f>
        <v>@petrogustavo</v>
      </c>
      <c r="C17185" s="5" t="s">
        <v>16</v>
      </c>
      <c r="D17185" s="5" t="s">
        <v>16539</v>
      </c>
      <c r="E17185" s="6" t="str">
        <f>HYPERLINK("https://twitter.com/petrogustavo/status/1465319688410390536","1465319688410390536")</f>
        <v>1465319688410390536</v>
      </c>
      <c r="F17185" s="7" t="s">
        <v>32</v>
      </c>
      <c r="G17185" s="7">
        <v>4414702</v>
      </c>
      <c r="H17185" s="7">
        <v>2576</v>
      </c>
      <c r="I17185" s="7">
        <v>76</v>
      </c>
      <c r="J17185" s="7">
        <v>0</v>
      </c>
      <c r="K17185" s="7" t="s">
        <v>18</v>
      </c>
      <c r="L17185" s="8">
        <v>39987.315405092595</v>
      </c>
      <c r="M17185" s="9" t="s">
        <v>19</v>
      </c>
      <c r="N17185" s="9" t="s">
        <v>20</v>
      </c>
      <c r="O17185" s="6" t="str">
        <f>HYPERLINK("https://pbs.twimg.com/profile_images/962471262747529216/Uo8lOkRJ_normal.jpg","View")</f>
        <v>View</v>
      </c>
      <c r="P17185" s="7"/>
    </row>
    <row r="17186" spans="1:16">
      <c r="A17186" s="3">
        <v>44530.029108796298</v>
      </c>
      <c r="B17186" s="4" t="str">
        <f>HYPERLINK("https://twitter.com/petrogustavo","@petrogustavo")</f>
        <v>@petrogustavo</v>
      </c>
      <c r="C17186" s="5" t="s">
        <v>16</v>
      </c>
      <c r="D17186" s="5" t="s">
        <v>16540</v>
      </c>
      <c r="E17186" s="6" t="str">
        <f>HYPERLINK("https://twitter.com/petrogustavo/status/1465398134402658311","1465398134402658311")</f>
        <v>1465398134402658311</v>
      </c>
      <c r="F17186" s="7" t="s">
        <v>17</v>
      </c>
      <c r="G17186" s="7">
        <v>4414939</v>
      </c>
      <c r="H17186" s="7">
        <v>2577</v>
      </c>
      <c r="I17186" s="7">
        <v>67</v>
      </c>
      <c r="J17186" s="7">
        <v>0</v>
      </c>
      <c r="K17186" s="7" t="s">
        <v>18</v>
      </c>
      <c r="L17186" s="8">
        <v>39987.315405092595</v>
      </c>
      <c r="M17186" s="9" t="s">
        <v>19</v>
      </c>
      <c r="N17186" s="9" t="s">
        <v>20</v>
      </c>
      <c r="O17186" s="6" t="str">
        <f>HYPERLINK("https://pbs.twimg.com/profile_images/962471262747529216/Uo8lOkRJ_normal.jpg","View")</f>
        <v>View</v>
      </c>
      <c r="P17186" s="7"/>
    </row>
    <row r="17187" spans="1:16">
      <c r="A17187" s="3">
        <v>44530.037604166668</v>
      </c>
      <c r="B17187" s="4" t="str">
        <f>HYPERLINK("https://twitter.com/petrogustavo","@petrogustavo")</f>
        <v>@petrogustavo</v>
      </c>
      <c r="C17187" s="5" t="s">
        <v>16</v>
      </c>
      <c r="D17187" s="5" t="s">
        <v>16541</v>
      </c>
      <c r="E17187" s="6" t="str">
        <f>HYPERLINK("https://twitter.com/petrogustavo/status/1465401212581433353","1465401212581433353")</f>
        <v>1465401212581433353</v>
      </c>
      <c r="F17187" s="7" t="s">
        <v>17</v>
      </c>
      <c r="G17187" s="7">
        <v>4414939</v>
      </c>
      <c r="H17187" s="7">
        <v>2577</v>
      </c>
      <c r="I17187" s="7">
        <v>56</v>
      </c>
      <c r="J17187" s="7">
        <v>208</v>
      </c>
      <c r="K17187" s="7" t="s">
        <v>18</v>
      </c>
      <c r="L17187" s="8">
        <v>39987.315405092595</v>
      </c>
      <c r="M17187" s="9" t="s">
        <v>19</v>
      </c>
      <c r="N17187" s="9" t="s">
        <v>20</v>
      </c>
      <c r="O17187" s="6" t="str">
        <f>HYPERLINK("https://pbs.twimg.com/profile_images/962471262747529216/Uo8lOkRJ_normal.jpg","View")</f>
        <v>View</v>
      </c>
      <c r="P17187" s="7"/>
    </row>
    <row r="17188" spans="1:16">
      <c r="A17188" s="3">
        <v>44530.039247685185</v>
      </c>
      <c r="B17188" s="4" t="str">
        <f>HYPERLINK("https://twitter.com/petrogustavo","@petrogustavo")</f>
        <v>@petrogustavo</v>
      </c>
      <c r="C17188" s="5" t="s">
        <v>16</v>
      </c>
      <c r="D17188" s="5" t="s">
        <v>16542</v>
      </c>
      <c r="E17188" s="6" t="str">
        <f>HYPERLINK("https://twitter.com/petrogustavo/status/1465401808961118215","1465401808961118215")</f>
        <v>1465401808961118215</v>
      </c>
      <c r="F17188" s="7" t="s">
        <v>17</v>
      </c>
      <c r="G17188" s="7">
        <v>4414939</v>
      </c>
      <c r="H17188" s="7">
        <v>2577</v>
      </c>
      <c r="I17188" s="7">
        <v>52</v>
      </c>
      <c r="J17188" s="7">
        <v>204</v>
      </c>
      <c r="K17188" s="7" t="s">
        <v>18</v>
      </c>
      <c r="L17188" s="8">
        <v>39987.315405092595</v>
      </c>
      <c r="M17188" s="9" t="s">
        <v>19</v>
      </c>
      <c r="N17188" s="9" t="s">
        <v>20</v>
      </c>
      <c r="O17188" s="6" t="str">
        <f>HYPERLINK("https://pbs.twimg.com/profile_images/962471262747529216/Uo8lOkRJ_normal.jpg","View")</f>
        <v>View</v>
      </c>
      <c r="P17188" s="7"/>
    </row>
    <row r="17189" spans="1:16">
      <c r="A17189" s="3">
        <v>44530.237314814818</v>
      </c>
      <c r="B17189" s="4" t="str">
        <f>HYPERLINK("https://twitter.com/petrogustavo","@petrogustavo")</f>
        <v>@petrogustavo</v>
      </c>
      <c r="C17189" s="5" t="s">
        <v>16</v>
      </c>
      <c r="D17189" s="5" t="s">
        <v>16543</v>
      </c>
      <c r="E17189" s="6" t="str">
        <f>HYPERLINK("https://twitter.com/petrogustavo/status/1465473584164397060","1465473584164397060")</f>
        <v>1465473584164397060</v>
      </c>
      <c r="F17189" s="7" t="s">
        <v>17</v>
      </c>
      <c r="G17189" s="7">
        <v>4415207</v>
      </c>
      <c r="H17189" s="7">
        <v>2577</v>
      </c>
      <c r="I17189" s="7">
        <v>141</v>
      </c>
      <c r="J17189" s="7">
        <v>394</v>
      </c>
      <c r="K17189" s="7" t="s">
        <v>18</v>
      </c>
      <c r="L17189" s="8">
        <v>39987.315405092595</v>
      </c>
      <c r="M17189" s="9" t="s">
        <v>19</v>
      </c>
      <c r="N17189" s="9" t="s">
        <v>20</v>
      </c>
      <c r="O17189" s="6" t="str">
        <f>HYPERLINK("https://pbs.twimg.com/profile_images/962471262747529216/Uo8lOkRJ_normal.jpg","View")</f>
        <v>View</v>
      </c>
      <c r="P17189" s="7"/>
    </row>
    <row r="17190" spans="1:16">
      <c r="A17190" s="3">
        <v>44530.284236111111</v>
      </c>
      <c r="B17190" s="4" t="str">
        <f>HYPERLINK("https://twitter.com/petrogustavo","@petrogustavo")</f>
        <v>@petrogustavo</v>
      </c>
      <c r="C17190" s="5" t="s">
        <v>16</v>
      </c>
      <c r="D17190" s="5" t="s">
        <v>16544</v>
      </c>
      <c r="E17190" s="6" t="str">
        <f>HYPERLINK("https://twitter.com/petrogustavo/status/1465490589840035843","1465490589840035843")</f>
        <v>1465490589840035843</v>
      </c>
      <c r="F17190" s="7" t="s">
        <v>17</v>
      </c>
      <c r="G17190" s="7">
        <v>4415269</v>
      </c>
      <c r="H17190" s="7">
        <v>2577</v>
      </c>
      <c r="I17190" s="7">
        <v>170</v>
      </c>
      <c r="J17190" s="7">
        <v>634</v>
      </c>
      <c r="K17190" s="7" t="s">
        <v>18</v>
      </c>
      <c r="L17190" s="8">
        <v>39987.315405092595</v>
      </c>
      <c r="M17190" s="9" t="s">
        <v>19</v>
      </c>
      <c r="N17190" s="9" t="s">
        <v>20</v>
      </c>
      <c r="O17190" s="6" t="str">
        <f>HYPERLINK("https://pbs.twimg.com/profile_images/962471262747529216/Uo8lOkRJ_normal.jpg","View")</f>
        <v>View</v>
      </c>
      <c r="P17190" s="7"/>
    </row>
    <row r="17191" spans="1:16">
      <c r="A17191" s="3">
        <v>44530.310312500005</v>
      </c>
      <c r="B17191" s="4" t="str">
        <f>HYPERLINK("https://twitter.com/petrogustavo","@petrogustavo")</f>
        <v>@petrogustavo</v>
      </c>
      <c r="C17191" s="5" t="s">
        <v>16</v>
      </c>
      <c r="D17191" s="5" t="s">
        <v>16545</v>
      </c>
      <c r="E17191" s="6" t="str">
        <f>HYPERLINK("https://twitter.com/petrogustavo/status/1465500038017208327","1465500038017208327")</f>
        <v>1465500038017208327</v>
      </c>
      <c r="F17191" s="7" t="s">
        <v>17</v>
      </c>
      <c r="G17191" s="7">
        <v>4415299</v>
      </c>
      <c r="H17191" s="7">
        <v>2577</v>
      </c>
      <c r="I17191" s="7">
        <v>412</v>
      </c>
      <c r="J17191" s="7">
        <v>0</v>
      </c>
      <c r="K17191" s="7" t="s">
        <v>18</v>
      </c>
      <c r="L17191" s="8">
        <v>39987.315405092595</v>
      </c>
      <c r="M17191" s="9" t="s">
        <v>19</v>
      </c>
      <c r="N17191" s="9" t="s">
        <v>20</v>
      </c>
      <c r="O17191" s="6" t="str">
        <f>HYPERLINK("https://pbs.twimg.com/profile_images/962471262747529216/Uo8lOkRJ_normal.jpg","View")</f>
        <v>View</v>
      </c>
      <c r="P17191" s="7"/>
    </row>
    <row r="17192" spans="1:16">
      <c r="A17192" s="3">
        <v>44530.311585648145</v>
      </c>
      <c r="B17192" s="4" t="str">
        <f>HYPERLINK("https://twitter.com/petrogustavo","@petrogustavo")</f>
        <v>@petrogustavo</v>
      </c>
      <c r="C17192" s="5" t="s">
        <v>16</v>
      </c>
      <c r="D17192" s="5" t="s">
        <v>16546</v>
      </c>
      <c r="E17192" s="6" t="str">
        <f>HYPERLINK("https://twitter.com/petrogustavo/status/1465500501160648705","1465500501160648705")</f>
        <v>1465500501160648705</v>
      </c>
      <c r="F17192" s="7" t="s">
        <v>17</v>
      </c>
      <c r="G17192" s="7">
        <v>4415299</v>
      </c>
      <c r="H17192" s="7">
        <v>2577</v>
      </c>
      <c r="I17192" s="7">
        <v>38</v>
      </c>
      <c r="J17192" s="7">
        <v>0</v>
      </c>
      <c r="K17192" s="7" t="s">
        <v>18</v>
      </c>
      <c r="L17192" s="8">
        <v>39987.315405092595</v>
      </c>
      <c r="M17192" s="9" t="s">
        <v>19</v>
      </c>
      <c r="N17192" s="9" t="s">
        <v>20</v>
      </c>
      <c r="O17192" s="6" t="str">
        <f>HYPERLINK("https://pbs.twimg.com/profile_images/962471262747529216/Uo8lOkRJ_normal.jpg","View")</f>
        <v>View</v>
      </c>
      <c r="P17192" s="7"/>
    </row>
    <row r="17193" spans="1:16">
      <c r="A17193" s="3">
        <v>44530.756342592591</v>
      </c>
      <c r="B17193" s="4" t="str">
        <f>HYPERLINK("https://twitter.com/petrogustavo","@petrogustavo")</f>
        <v>@petrogustavo</v>
      </c>
      <c r="C17193" s="5" t="s">
        <v>16</v>
      </c>
      <c r="D17193" s="5" t="s">
        <v>16547</v>
      </c>
      <c r="E17193" s="6" t="str">
        <f>HYPERLINK("https://twitter.com/petrogustavo/status/1465661676120911873","1465661676120911873")</f>
        <v>1465661676120911873</v>
      </c>
      <c r="F17193" s="7" t="s">
        <v>17</v>
      </c>
      <c r="G17193" s="7">
        <v>4415570</v>
      </c>
      <c r="H17193" s="7">
        <v>2577</v>
      </c>
      <c r="I17193" s="7">
        <v>93</v>
      </c>
      <c r="J17193" s="7">
        <v>0</v>
      </c>
      <c r="K17193" s="7" t="s">
        <v>18</v>
      </c>
      <c r="L17193" s="8">
        <v>39987.315405092595</v>
      </c>
      <c r="M17193" s="9" t="s">
        <v>19</v>
      </c>
      <c r="N17193" s="9" t="s">
        <v>20</v>
      </c>
      <c r="O17193" s="6" t="str">
        <f>HYPERLINK("https://pbs.twimg.com/profile_images/962471262747529216/Uo8lOkRJ_normal.jpg","View")</f>
        <v>View</v>
      </c>
      <c r="P17193" s="7"/>
    </row>
    <row r="17194" spans="1:16">
      <c r="A17194" s="3">
        <v>44530.76190972222</v>
      </c>
      <c r="B17194" s="4" t="str">
        <f>HYPERLINK("https://twitter.com/petrogustavo","@petrogustavo")</f>
        <v>@petrogustavo</v>
      </c>
      <c r="C17194" s="5" t="s">
        <v>16</v>
      </c>
      <c r="D17194" s="5" t="s">
        <v>16548</v>
      </c>
      <c r="E17194" s="6" t="str">
        <f>HYPERLINK("https://twitter.com/petrogustavo/status/1465663690255044619","1465663690255044619")</f>
        <v>1465663690255044619</v>
      </c>
      <c r="F17194" s="7" t="s">
        <v>17</v>
      </c>
      <c r="G17194" s="7">
        <v>4415570</v>
      </c>
      <c r="H17194" s="7">
        <v>2577</v>
      </c>
      <c r="I17194" s="7">
        <v>128</v>
      </c>
      <c r="J17194" s="7">
        <v>344</v>
      </c>
      <c r="K17194" s="7" t="s">
        <v>18</v>
      </c>
      <c r="L17194" s="8">
        <v>39987.315405092595</v>
      </c>
      <c r="M17194" s="9" t="s">
        <v>19</v>
      </c>
      <c r="N17194" s="9" t="s">
        <v>20</v>
      </c>
      <c r="O17194" s="6" t="str">
        <f>HYPERLINK("https://pbs.twimg.com/profile_images/962471262747529216/Uo8lOkRJ_normal.jpg","View")</f>
        <v>View</v>
      </c>
      <c r="P17194" s="7"/>
    </row>
    <row r="17195" spans="1:16">
      <c r="A17195" s="3">
        <v>44530.76190972222</v>
      </c>
      <c r="B17195" s="4" t="str">
        <f>HYPERLINK("https://twitter.com/petrogustavo","@petrogustavo")</f>
        <v>@petrogustavo</v>
      </c>
      <c r="C17195" s="5" t="s">
        <v>16</v>
      </c>
      <c r="D17195" s="5" t="s">
        <v>16549</v>
      </c>
      <c r="E17195" s="6" t="str">
        <f>HYPERLINK("https://twitter.com/petrogustavo/status/1465663691949494273","1465663691949494273")</f>
        <v>1465663691949494273</v>
      </c>
      <c r="F17195" s="7" t="s">
        <v>17</v>
      </c>
      <c r="G17195" s="7">
        <v>4415570</v>
      </c>
      <c r="H17195" s="7">
        <v>2577</v>
      </c>
      <c r="I17195" s="7">
        <v>113</v>
      </c>
      <c r="J17195" s="7">
        <v>388</v>
      </c>
      <c r="K17195" s="7" t="s">
        <v>18</v>
      </c>
      <c r="L17195" s="8">
        <v>39987.315405092595</v>
      </c>
      <c r="M17195" s="9" t="s">
        <v>19</v>
      </c>
      <c r="N17195" s="9" t="s">
        <v>20</v>
      </c>
      <c r="O17195" s="6" t="str">
        <f>HYPERLINK("https://pbs.twimg.com/profile_images/962471262747529216/Uo8lOkRJ_normal.jpg","View")</f>
        <v>View</v>
      </c>
      <c r="P17195" s="7"/>
    </row>
    <row r="17196" spans="1:16">
      <c r="A17196" s="3">
        <v>44530.769803240742</v>
      </c>
      <c r="B17196" s="4" t="str">
        <f>HYPERLINK("https://twitter.com/petrogustavo","@petrogustavo")</f>
        <v>@petrogustavo</v>
      </c>
      <c r="C17196" s="5" t="s">
        <v>16</v>
      </c>
      <c r="D17196" s="5" t="s">
        <v>16550</v>
      </c>
      <c r="E17196" s="6" t="str">
        <f>HYPERLINK("https://twitter.com/petrogustavo/status/1465666553865773071","1465666553865773071")</f>
        <v>1465666553865773071</v>
      </c>
      <c r="F17196" s="7" t="s">
        <v>17</v>
      </c>
      <c r="G17196" s="7">
        <v>4415570</v>
      </c>
      <c r="H17196" s="7">
        <v>2577</v>
      </c>
      <c r="I17196" s="7">
        <v>24</v>
      </c>
      <c r="J17196" s="7">
        <v>63</v>
      </c>
      <c r="K17196" s="7" t="s">
        <v>18</v>
      </c>
      <c r="L17196" s="8">
        <v>39987.315405092595</v>
      </c>
      <c r="M17196" s="9" t="s">
        <v>19</v>
      </c>
      <c r="N17196" s="9" t="s">
        <v>20</v>
      </c>
      <c r="O17196" s="6" t="str">
        <f>HYPERLINK("https://pbs.twimg.com/profile_images/962471262747529216/Uo8lOkRJ_normal.jpg","View")</f>
        <v>View</v>
      </c>
      <c r="P17196" s="7"/>
    </row>
    <row r="17197" spans="1:16">
      <c r="A17197" s="3">
        <v>44530.769814814819</v>
      </c>
      <c r="B17197" s="4" t="str">
        <f>HYPERLINK("https://twitter.com/petrogustavo","@petrogustavo")</f>
        <v>@petrogustavo</v>
      </c>
      <c r="C17197" s="5" t="s">
        <v>16</v>
      </c>
      <c r="D17197" s="5" t="s">
        <v>16551</v>
      </c>
      <c r="E17197" s="6" t="str">
        <f>HYPERLINK("https://twitter.com/petrogustavo/status/1465666555094700037","1465666555094700037")</f>
        <v>1465666555094700037</v>
      </c>
      <c r="F17197" s="7" t="s">
        <v>17</v>
      </c>
      <c r="G17197" s="7">
        <v>4415570</v>
      </c>
      <c r="H17197" s="7">
        <v>2577</v>
      </c>
      <c r="I17197" s="7">
        <v>22</v>
      </c>
      <c r="J17197" s="7">
        <v>73</v>
      </c>
      <c r="K17197" s="7" t="s">
        <v>18</v>
      </c>
      <c r="L17197" s="8">
        <v>39987.315405092595</v>
      </c>
      <c r="M17197" s="9" t="s">
        <v>19</v>
      </c>
      <c r="N17197" s="9" t="s">
        <v>20</v>
      </c>
      <c r="O17197" s="6" t="str">
        <f>HYPERLINK("https://pbs.twimg.com/profile_images/962471262747529216/Uo8lOkRJ_normal.jpg","View")</f>
        <v>View</v>
      </c>
      <c r="P17197" s="7"/>
    </row>
    <row r="17198" spans="1:16">
      <c r="A17198" s="3">
        <v>44530.785092592589</v>
      </c>
      <c r="B17198" s="4" t="str">
        <f>HYPERLINK("https://twitter.com/petrogustavo","@petrogustavo")</f>
        <v>@petrogustavo</v>
      </c>
      <c r="C17198" s="5" t="s">
        <v>16</v>
      </c>
      <c r="D17198" s="5" t="s">
        <v>16552</v>
      </c>
      <c r="E17198" s="6" t="str">
        <f>HYPERLINK("https://twitter.com/petrogustavo/status/1465672094444929031","1465672094444929031")</f>
        <v>1465672094444929031</v>
      </c>
      <c r="F17198" s="7" t="s">
        <v>17</v>
      </c>
      <c r="G17198" s="7">
        <v>4415584</v>
      </c>
      <c r="H17198" s="7">
        <v>2577</v>
      </c>
      <c r="I17198" s="7">
        <v>238</v>
      </c>
      <c r="J17198" s="7">
        <v>0</v>
      </c>
      <c r="K17198" s="7" t="s">
        <v>18</v>
      </c>
      <c r="L17198" s="8">
        <v>39987.315405092595</v>
      </c>
      <c r="M17198" s="9" t="s">
        <v>19</v>
      </c>
      <c r="N17198" s="9" t="s">
        <v>20</v>
      </c>
      <c r="O17198" s="6" t="str">
        <f>HYPERLINK("https://pbs.twimg.com/profile_images/962471262747529216/Uo8lOkRJ_normal.jpg","View")</f>
        <v>View</v>
      </c>
      <c r="P17198" s="7"/>
    </row>
    <row r="17199" spans="1:16">
      <c r="A17199" s="3">
        <v>44530.829351851848</v>
      </c>
      <c r="B17199" s="4" t="str">
        <f>HYPERLINK("https://twitter.com/petrogustavo","@petrogustavo")</f>
        <v>@petrogustavo</v>
      </c>
      <c r="C17199" s="5" t="s">
        <v>16</v>
      </c>
      <c r="D17199" s="5" t="s">
        <v>16553</v>
      </c>
      <c r="E17199" s="6" t="str">
        <f>HYPERLINK("https://twitter.com/petrogustavo/status/1465688132821696513","1465688132821696513")</f>
        <v>1465688132821696513</v>
      </c>
      <c r="F17199" s="7" t="s">
        <v>17</v>
      </c>
      <c r="G17199" s="7">
        <v>4415626</v>
      </c>
      <c r="H17199" s="7">
        <v>2577</v>
      </c>
      <c r="I17199" s="7">
        <v>905</v>
      </c>
      <c r="J17199" s="7">
        <v>0</v>
      </c>
      <c r="K17199" s="7" t="s">
        <v>18</v>
      </c>
      <c r="L17199" s="8">
        <v>39987.315405092595</v>
      </c>
      <c r="M17199" s="9" t="s">
        <v>19</v>
      </c>
      <c r="N17199" s="9" t="s">
        <v>20</v>
      </c>
      <c r="O17199" s="6" t="str">
        <f>HYPERLINK("https://pbs.twimg.com/profile_images/962471262747529216/Uo8lOkRJ_normal.jpg","View")</f>
        <v>View</v>
      </c>
      <c r="P17199" s="7"/>
    </row>
    <row r="17200" spans="1:16">
      <c r="A17200" s="3">
        <v>44530.84003472222</v>
      </c>
      <c r="B17200" s="4" t="str">
        <f>HYPERLINK("https://twitter.com/petrogustavo","@petrogustavo")</f>
        <v>@petrogustavo</v>
      </c>
      <c r="C17200" s="5" t="s">
        <v>16</v>
      </c>
      <c r="D17200" s="5" t="s">
        <v>16552</v>
      </c>
      <c r="E17200" s="6" t="str">
        <f>HYPERLINK("https://twitter.com/petrogustavo/status/1465692002469793793","1465692002469793793")</f>
        <v>1465692002469793793</v>
      </c>
      <c r="F17200" s="7" t="s">
        <v>17</v>
      </c>
      <c r="G17200" s="7">
        <v>4414918</v>
      </c>
      <c r="H17200" s="7">
        <v>2578</v>
      </c>
      <c r="I17200" s="7">
        <v>498</v>
      </c>
      <c r="J17200" s="7">
        <v>0</v>
      </c>
      <c r="K17200" s="7" t="s">
        <v>18</v>
      </c>
      <c r="L17200" s="8">
        <v>39987.315405092595</v>
      </c>
      <c r="M17200" s="9" t="s">
        <v>19</v>
      </c>
      <c r="N17200" s="9" t="s">
        <v>20</v>
      </c>
      <c r="O17200" s="6" t="str">
        <f>HYPERLINK("https://pbs.twimg.com/profile_images/962471262747529216/Uo8lOkRJ_normal.jpg","View")</f>
        <v>View</v>
      </c>
      <c r="P17200" s="7"/>
    </row>
    <row r="17201" spans="1:16">
      <c r="A17201" s="3">
        <v>44530.845601851848</v>
      </c>
      <c r="B17201" s="4" t="str">
        <f>HYPERLINK("https://twitter.com/petrogustavo","@petrogustavo")</f>
        <v>@petrogustavo</v>
      </c>
      <c r="C17201" s="5" t="s">
        <v>16</v>
      </c>
      <c r="D17201" s="5" t="s">
        <v>16554</v>
      </c>
      <c r="E17201" s="6" t="str">
        <f>HYPERLINK("https://twitter.com/petrogustavo/status/1465694021024681985","1465694021024681985")</f>
        <v>1465694021024681985</v>
      </c>
      <c r="F17201" s="7" t="s">
        <v>17</v>
      </c>
      <c r="G17201" s="7">
        <v>4414918</v>
      </c>
      <c r="H17201" s="7">
        <v>2578</v>
      </c>
      <c r="I17201" s="7">
        <v>50</v>
      </c>
      <c r="J17201" s="7">
        <v>227</v>
      </c>
      <c r="K17201" s="7" t="s">
        <v>18</v>
      </c>
      <c r="L17201" s="8">
        <v>39987.315405092595</v>
      </c>
      <c r="M17201" s="9" t="s">
        <v>19</v>
      </c>
      <c r="N17201" s="9" t="s">
        <v>20</v>
      </c>
      <c r="O17201" s="6" t="str">
        <f>HYPERLINK("https://pbs.twimg.com/profile_images/962471262747529216/Uo8lOkRJ_normal.jpg","View")</f>
        <v>View</v>
      </c>
      <c r="P17201" s="7"/>
    </row>
    <row r="17202" spans="1:16">
      <c r="A17202" s="3">
        <v>44530.913263888884</v>
      </c>
      <c r="B17202" s="4" t="str">
        <f>HYPERLINK("https://twitter.com/petrogustavo","@petrogustavo")</f>
        <v>@petrogustavo</v>
      </c>
      <c r="C17202" s="5" t="s">
        <v>16</v>
      </c>
      <c r="D17202" s="5" t="s">
        <v>16555</v>
      </c>
      <c r="E17202" s="6" t="str">
        <f>HYPERLINK("https://twitter.com/petrogustavo/status/1465718540737077251","1465718540737077251")</f>
        <v>1465718540737077251</v>
      </c>
      <c r="F17202" s="7" t="s">
        <v>17</v>
      </c>
      <c r="G17202" s="7">
        <v>4415710</v>
      </c>
      <c r="H17202" s="7">
        <v>2577</v>
      </c>
      <c r="I17202" s="7">
        <v>26</v>
      </c>
      <c r="J17202" s="7">
        <v>46</v>
      </c>
      <c r="K17202" s="7" t="s">
        <v>18</v>
      </c>
      <c r="L17202" s="8">
        <v>39987.315405092595</v>
      </c>
      <c r="M17202" s="9" t="s">
        <v>19</v>
      </c>
      <c r="N17202" s="9" t="s">
        <v>20</v>
      </c>
      <c r="O17202" s="6" t="str">
        <f>HYPERLINK("https://pbs.twimg.com/profile_images/962471262747529216/Uo8lOkRJ_normal.jpg","View")</f>
        <v>View</v>
      </c>
      <c r="P17202" s="7"/>
    </row>
    <row r="17203" spans="1:16">
      <c r="A17203" s="3">
        <v>44530.914826388893</v>
      </c>
      <c r="B17203" s="4" t="str">
        <f>HYPERLINK("https://twitter.com/petrogustavo","@petrogustavo")</f>
        <v>@petrogustavo</v>
      </c>
      <c r="C17203" s="5" t="s">
        <v>16</v>
      </c>
      <c r="D17203" s="5" t="s">
        <v>16556</v>
      </c>
      <c r="E17203" s="6" t="str">
        <f>HYPERLINK("https://twitter.com/petrogustavo/status/1465719105051406340","1465719105051406340")</f>
        <v>1465719105051406340</v>
      </c>
      <c r="F17203" s="7" t="s">
        <v>17</v>
      </c>
      <c r="G17203" s="7">
        <v>4415710</v>
      </c>
      <c r="H17203" s="7">
        <v>2577</v>
      </c>
      <c r="I17203" s="7">
        <v>23</v>
      </c>
      <c r="J17203" s="7">
        <v>97</v>
      </c>
      <c r="K17203" s="7" t="s">
        <v>18</v>
      </c>
      <c r="L17203" s="8">
        <v>39987.315405092595</v>
      </c>
      <c r="M17203" s="9" t="s">
        <v>19</v>
      </c>
      <c r="N17203" s="9" t="s">
        <v>20</v>
      </c>
      <c r="O17203" s="6" t="str">
        <f>HYPERLINK("https://pbs.twimg.com/profile_images/962471262747529216/Uo8lOkRJ_normal.jpg","View")</f>
        <v>View</v>
      </c>
      <c r="P17203" s="7"/>
    </row>
    <row r="17204" spans="1:16">
      <c r="A17204" s="3">
        <v>44530.915081018524</v>
      </c>
      <c r="B17204" s="4" t="str">
        <f>HYPERLINK("https://twitter.com/petrogustavo","@petrogustavo")</f>
        <v>@petrogustavo</v>
      </c>
      <c r="C17204" s="5" t="s">
        <v>16</v>
      </c>
      <c r="D17204" s="5" t="s">
        <v>16557</v>
      </c>
      <c r="E17204" s="6" t="str">
        <f>HYPERLINK("https://twitter.com/petrogustavo/status/1465719199435796481","1465719199435796481")</f>
        <v>1465719199435796481</v>
      </c>
      <c r="F17204" s="7" t="s">
        <v>17</v>
      </c>
      <c r="G17204" s="7">
        <v>4415710</v>
      </c>
      <c r="H17204" s="7">
        <v>2577</v>
      </c>
      <c r="I17204" s="7">
        <v>26</v>
      </c>
      <c r="J17204" s="7">
        <v>0</v>
      </c>
      <c r="K17204" s="7" t="s">
        <v>18</v>
      </c>
      <c r="L17204" s="8">
        <v>39987.315405092595</v>
      </c>
      <c r="M17204" s="9" t="s">
        <v>19</v>
      </c>
      <c r="N17204" s="9" t="s">
        <v>20</v>
      </c>
      <c r="O17204" s="6" t="str">
        <f>HYPERLINK("https://pbs.twimg.com/profile_images/962471262747529216/Uo8lOkRJ_normal.jpg","View")</f>
        <v>View</v>
      </c>
      <c r="P17204" s="7"/>
    </row>
    <row r="17205" spans="1:16">
      <c r="A17205" s="3">
        <v>44530.983078703706</v>
      </c>
      <c r="B17205" s="4" t="str">
        <f>HYPERLINK("https://twitter.com/petrogustavo","@petrogustavo")</f>
        <v>@petrogustavo</v>
      </c>
      <c r="C17205" s="5" t="s">
        <v>16</v>
      </c>
      <c r="D17205" s="5" t="s">
        <v>16558</v>
      </c>
      <c r="E17205" s="6" t="str">
        <f>HYPERLINK("https://twitter.com/petrogustavo/status/1465743840195792902","1465743840195792902")</f>
        <v>1465743840195792902</v>
      </c>
      <c r="F17205" s="7" t="s">
        <v>17</v>
      </c>
      <c r="G17205" s="7">
        <v>4415793</v>
      </c>
      <c r="H17205" s="7">
        <v>2577</v>
      </c>
      <c r="I17205" s="7">
        <v>60</v>
      </c>
      <c r="J17205" s="7">
        <v>364</v>
      </c>
      <c r="K17205" s="7" t="s">
        <v>18</v>
      </c>
      <c r="L17205" s="8">
        <v>39987.315405092595</v>
      </c>
      <c r="M17205" s="9" t="s">
        <v>19</v>
      </c>
      <c r="N17205" s="9" t="s">
        <v>20</v>
      </c>
      <c r="O17205" s="6" t="str">
        <f>HYPERLINK("https://pbs.twimg.com/profile_images/962471262747529216/Uo8lOkRJ_normal.jpg","View")</f>
        <v>View</v>
      </c>
      <c r="P17205" s="7"/>
    </row>
    <row r="17206" spans="1:16">
      <c r="A17206" s="3">
        <v>44531.010462962964</v>
      </c>
      <c r="B17206" s="4" t="str">
        <f>HYPERLINK("https://twitter.com/petrogustavo","@petrogustavo")</f>
        <v>@petrogustavo</v>
      </c>
      <c r="C17206" s="5" t="s">
        <v>16</v>
      </c>
      <c r="D17206" s="5" t="s">
        <v>16559</v>
      </c>
      <c r="E17206" s="6" t="str">
        <f>HYPERLINK("https://twitter.com/petrogustavo/status/1465753763952668674","1465753763952668674")</f>
        <v>1465753763952668674</v>
      </c>
      <c r="F17206" s="7" t="s">
        <v>17</v>
      </c>
      <c r="G17206" s="7">
        <v>4415800</v>
      </c>
      <c r="H17206" s="7">
        <v>2577</v>
      </c>
      <c r="I17206" s="7">
        <v>104</v>
      </c>
      <c r="J17206" s="7">
        <v>335</v>
      </c>
      <c r="K17206" s="7" t="s">
        <v>18</v>
      </c>
      <c r="L17206" s="8">
        <v>39987.315405092595</v>
      </c>
      <c r="M17206" s="9" t="s">
        <v>19</v>
      </c>
      <c r="N17206" s="9" t="s">
        <v>20</v>
      </c>
      <c r="O17206" s="6" t="str">
        <f>HYPERLINK("https://pbs.twimg.com/profile_images/962471262747529216/Uo8lOkRJ_normal.jpg","View")</f>
        <v>View</v>
      </c>
      <c r="P17206" s="7"/>
    </row>
    <row r="17207" spans="1:16">
      <c r="A17207" s="3">
        <v>44531.066261574073</v>
      </c>
      <c r="B17207" s="4" t="str">
        <f>HYPERLINK("https://twitter.com/petrogustavo","@petrogustavo")</f>
        <v>@petrogustavo</v>
      </c>
      <c r="C17207" s="5" t="s">
        <v>16</v>
      </c>
      <c r="D17207" s="5" t="s">
        <v>16560</v>
      </c>
      <c r="E17207" s="6" t="str">
        <f>HYPERLINK("https://twitter.com/petrogustavo/status/1465773984780279821","1465773984780279821")</f>
        <v>1465773984780279821</v>
      </c>
      <c r="F17207" s="7" t="s">
        <v>17</v>
      </c>
      <c r="G17207" s="7">
        <v>4415859</v>
      </c>
      <c r="H17207" s="7">
        <v>2577</v>
      </c>
      <c r="I17207" s="7">
        <v>177</v>
      </c>
      <c r="J17207" s="7">
        <v>0</v>
      </c>
      <c r="K17207" s="7" t="s">
        <v>18</v>
      </c>
      <c r="L17207" s="8">
        <v>39987.315405092595</v>
      </c>
      <c r="M17207" s="9" t="s">
        <v>19</v>
      </c>
      <c r="N17207" s="9" t="s">
        <v>20</v>
      </c>
      <c r="O17207" s="6" t="str">
        <f>HYPERLINK("https://pbs.twimg.com/profile_images/962471262747529216/Uo8lOkRJ_normal.jpg","View")</f>
        <v>View</v>
      </c>
      <c r="P17207" s="7"/>
    </row>
    <row r="17208" spans="1:16">
      <c r="A17208" s="3">
        <v>44531.143969907411</v>
      </c>
      <c r="B17208" s="4" t="str">
        <f>HYPERLINK("https://twitter.com/petrogustavo","@petrogustavo")</f>
        <v>@petrogustavo</v>
      </c>
      <c r="C17208" s="5" t="s">
        <v>16</v>
      </c>
      <c r="D17208" s="5" t="s">
        <v>16561</v>
      </c>
      <c r="E17208" s="6" t="str">
        <f>HYPERLINK("https://twitter.com/petrogustavo/status/1465802147879174149","1465802147879174149")</f>
        <v>1465802147879174149</v>
      </c>
      <c r="F17208" s="7" t="s">
        <v>32</v>
      </c>
      <c r="G17208" s="7">
        <v>4415928</v>
      </c>
      <c r="H17208" s="7">
        <v>2577</v>
      </c>
      <c r="I17208" s="7">
        <v>2576</v>
      </c>
      <c r="J17208" s="7">
        <v>0</v>
      </c>
      <c r="K17208" s="7" t="s">
        <v>18</v>
      </c>
      <c r="L17208" s="8">
        <v>39987.315405092595</v>
      </c>
      <c r="M17208" s="9" t="s">
        <v>19</v>
      </c>
      <c r="N17208" s="9" t="s">
        <v>20</v>
      </c>
      <c r="O17208" s="6" t="str">
        <f>HYPERLINK("https://pbs.twimg.com/profile_images/962471262747529216/Uo8lOkRJ_normal.jpg","View")</f>
        <v>View</v>
      </c>
      <c r="P17208" s="7"/>
    </row>
    <row r="17209" spans="1:16">
      <c r="A17209" s="3">
        <v>44531.169328703705</v>
      </c>
      <c r="B17209" s="4" t="str">
        <f>HYPERLINK("https://twitter.com/petrogustavo","@petrogustavo")</f>
        <v>@petrogustavo</v>
      </c>
      <c r="C17209" s="5" t="s">
        <v>16</v>
      </c>
      <c r="D17209" s="5" t="s">
        <v>16562</v>
      </c>
      <c r="E17209" s="6" t="str">
        <f>HYPERLINK("https://twitter.com/petrogustavo/status/1465811333836853249","1465811333836853249")</f>
        <v>1465811333836853249</v>
      </c>
      <c r="F17209" s="7" t="s">
        <v>17</v>
      </c>
      <c r="G17209" s="7">
        <v>4415962</v>
      </c>
      <c r="H17209" s="7">
        <v>2577</v>
      </c>
      <c r="I17209" s="7">
        <v>113</v>
      </c>
      <c r="J17209" s="7">
        <v>0</v>
      </c>
      <c r="K17209" s="7" t="s">
        <v>18</v>
      </c>
      <c r="L17209" s="8">
        <v>39987.315405092595</v>
      </c>
      <c r="M17209" s="9" t="s">
        <v>19</v>
      </c>
      <c r="N17209" s="9" t="s">
        <v>20</v>
      </c>
      <c r="O17209" s="6" t="str">
        <f>HYPERLINK("https://pbs.twimg.com/profile_images/962471262747529216/Uo8lOkRJ_normal.jpg","View")</f>
        <v>View</v>
      </c>
      <c r="P17209" s="7"/>
    </row>
    <row r="17210" spans="1:16">
      <c r="A17210" s="3">
        <v>44531.178553240738</v>
      </c>
      <c r="B17210" s="4" t="str">
        <f>HYPERLINK("https://twitter.com/petrogustavo","@petrogustavo")</f>
        <v>@petrogustavo</v>
      </c>
      <c r="C17210" s="5" t="s">
        <v>16</v>
      </c>
      <c r="D17210" s="5" t="s">
        <v>16563</v>
      </c>
      <c r="E17210" s="6" t="str">
        <f>HYPERLINK("https://twitter.com/petrogustavo/status/1465814680216211458","1465814680216211458")</f>
        <v>1465814680216211458</v>
      </c>
      <c r="F17210" s="7" t="s">
        <v>17</v>
      </c>
      <c r="G17210" s="7">
        <v>4415962</v>
      </c>
      <c r="H17210" s="7">
        <v>2577</v>
      </c>
      <c r="I17210" s="7">
        <v>173</v>
      </c>
      <c r="J17210" s="7">
        <v>494</v>
      </c>
      <c r="K17210" s="7" t="s">
        <v>18</v>
      </c>
      <c r="L17210" s="8">
        <v>39987.315405092595</v>
      </c>
      <c r="M17210" s="9" t="s">
        <v>19</v>
      </c>
      <c r="N17210" s="9" t="s">
        <v>20</v>
      </c>
      <c r="O17210" s="6" t="str">
        <f>HYPERLINK("https://pbs.twimg.com/profile_images/962471262747529216/Uo8lOkRJ_normal.jpg","View")</f>
        <v>View</v>
      </c>
      <c r="P17210" s="7"/>
    </row>
    <row r="17211" spans="1:16">
      <c r="A17211" s="3">
        <v>44531.178564814814</v>
      </c>
      <c r="B17211" s="4" t="str">
        <f>HYPERLINK("https://twitter.com/petrogustavo","@petrogustavo")</f>
        <v>@petrogustavo</v>
      </c>
      <c r="C17211" s="5" t="s">
        <v>16</v>
      </c>
      <c r="D17211" s="5" t="s">
        <v>16564</v>
      </c>
      <c r="E17211" s="6" t="str">
        <f>HYPERLINK("https://twitter.com/petrogustavo/status/1465814681726210053","1465814681726210053")</f>
        <v>1465814681726210053</v>
      </c>
      <c r="F17211" s="7" t="s">
        <v>17</v>
      </c>
      <c r="G17211" s="7">
        <v>4415962</v>
      </c>
      <c r="H17211" s="7">
        <v>2577</v>
      </c>
      <c r="I17211" s="7">
        <v>49</v>
      </c>
      <c r="J17211" s="7">
        <v>120</v>
      </c>
      <c r="K17211" s="7" t="s">
        <v>18</v>
      </c>
      <c r="L17211" s="8">
        <v>39987.315405092595</v>
      </c>
      <c r="M17211" s="9" t="s">
        <v>19</v>
      </c>
      <c r="N17211" s="9" t="s">
        <v>20</v>
      </c>
      <c r="O17211" s="6" t="str">
        <f>HYPERLINK("https://pbs.twimg.com/profile_images/962471262747529216/Uo8lOkRJ_normal.jpg","View")</f>
        <v>View</v>
      </c>
      <c r="P17211" s="7"/>
    </row>
    <row r="17212" spans="1:16">
      <c r="A17212" s="3">
        <v>44531.178564814814</v>
      </c>
      <c r="B17212" s="4" t="str">
        <f>HYPERLINK("https://twitter.com/petrogustavo","@petrogustavo")</f>
        <v>@petrogustavo</v>
      </c>
      <c r="C17212" s="5" t="s">
        <v>16</v>
      </c>
      <c r="D17212" s="5" t="s">
        <v>16565</v>
      </c>
      <c r="E17212" s="6" t="str">
        <f>HYPERLINK("https://twitter.com/petrogustavo/status/1465814683164844037","1465814683164844037")</f>
        <v>1465814683164844037</v>
      </c>
      <c r="F17212" s="7" t="s">
        <v>17</v>
      </c>
      <c r="G17212" s="7">
        <v>4415962</v>
      </c>
      <c r="H17212" s="7">
        <v>2577</v>
      </c>
      <c r="I17212" s="7">
        <v>75</v>
      </c>
      <c r="J17212" s="7">
        <v>252</v>
      </c>
      <c r="K17212" s="7" t="s">
        <v>18</v>
      </c>
      <c r="L17212" s="8">
        <v>39987.315405092595</v>
      </c>
      <c r="M17212" s="9" t="s">
        <v>19</v>
      </c>
      <c r="N17212" s="9" t="s">
        <v>20</v>
      </c>
      <c r="O17212" s="6" t="str">
        <f>HYPERLINK("https://pbs.twimg.com/profile_images/962471262747529216/Uo8lOkRJ_normal.jpg","View")</f>
        <v>View</v>
      </c>
      <c r="P17212" s="7"/>
    </row>
    <row r="17213" spans="1:16">
      <c r="A17213" s="3">
        <v>44531.178576388891</v>
      </c>
      <c r="B17213" s="4" t="str">
        <f>HYPERLINK("https://twitter.com/petrogustavo","@petrogustavo")</f>
        <v>@petrogustavo</v>
      </c>
      <c r="C17213" s="5" t="s">
        <v>16</v>
      </c>
      <c r="D17213" s="5" t="s">
        <v>16566</v>
      </c>
      <c r="E17213" s="6" t="str">
        <f>HYPERLINK("https://twitter.com/petrogustavo/status/1465814684666368010","1465814684666368010")</f>
        <v>1465814684666368010</v>
      </c>
      <c r="F17213" s="7" t="s">
        <v>17</v>
      </c>
      <c r="G17213" s="7">
        <v>4415962</v>
      </c>
      <c r="H17213" s="7">
        <v>2577</v>
      </c>
      <c r="I17213" s="7">
        <v>79</v>
      </c>
      <c r="J17213" s="7">
        <v>264</v>
      </c>
      <c r="K17213" s="7" t="s">
        <v>18</v>
      </c>
      <c r="L17213" s="8">
        <v>39987.315405092595</v>
      </c>
      <c r="M17213" s="9" t="s">
        <v>19</v>
      </c>
      <c r="N17213" s="9" t="s">
        <v>20</v>
      </c>
      <c r="O17213" s="6" t="str">
        <f>HYPERLINK("https://pbs.twimg.com/profile_images/962471262747529216/Uo8lOkRJ_normal.jpg","View")</f>
        <v>View</v>
      </c>
      <c r="P17213" s="7"/>
    </row>
    <row r="17214" spans="1:16">
      <c r="A17214" s="3">
        <v>44531.224155092597</v>
      </c>
      <c r="B17214" s="4" t="str">
        <f>HYPERLINK("https://twitter.com/petrogustavo","@petrogustavo")</f>
        <v>@petrogustavo</v>
      </c>
      <c r="C17214" s="5" t="s">
        <v>16</v>
      </c>
      <c r="D17214" s="5" t="s">
        <v>16567</v>
      </c>
      <c r="E17214" s="6" t="str">
        <f>HYPERLINK("https://twitter.com/petrogustavo/status/1465831202036797440","1465831202036797440")</f>
        <v>1465831202036797440</v>
      </c>
      <c r="F17214" s="7" t="s">
        <v>17</v>
      </c>
      <c r="G17214" s="7">
        <v>4416003</v>
      </c>
      <c r="H17214" s="7">
        <v>2577</v>
      </c>
      <c r="I17214" s="7">
        <v>91</v>
      </c>
      <c r="J17214" s="7">
        <v>383</v>
      </c>
      <c r="K17214" s="7" t="s">
        <v>18</v>
      </c>
      <c r="L17214" s="8">
        <v>39987.315405092595</v>
      </c>
      <c r="M17214" s="9" t="s">
        <v>19</v>
      </c>
      <c r="N17214" s="9" t="s">
        <v>20</v>
      </c>
      <c r="O17214" s="6" t="str">
        <f>HYPERLINK("https://pbs.twimg.com/profile_images/962471262747529216/Uo8lOkRJ_normal.jpg","View")</f>
        <v>View</v>
      </c>
      <c r="P17214" s="7"/>
    </row>
    <row r="17215" spans="1:16">
      <c r="A17215" s="3">
        <v>44531.694097222222</v>
      </c>
      <c r="B17215" s="4" t="str">
        <f>HYPERLINK("https://twitter.com/petrogustavo","@petrogustavo")</f>
        <v>@petrogustavo</v>
      </c>
      <c r="C17215" s="5" t="s">
        <v>16</v>
      </c>
      <c r="D17215" s="5" t="s">
        <v>16568</v>
      </c>
      <c r="E17215" s="6" t="str">
        <f>HYPERLINK("https://twitter.com/petrogustavo/status/1466001504389808129","1466001504389808129")</f>
        <v>1466001504389808129</v>
      </c>
      <c r="F17215" s="7" t="s">
        <v>17</v>
      </c>
      <c r="G17215" s="7">
        <v>4416273</v>
      </c>
      <c r="H17215" s="7">
        <v>2578</v>
      </c>
      <c r="I17215" s="7">
        <v>13</v>
      </c>
      <c r="J17215" s="7">
        <v>0</v>
      </c>
      <c r="K17215" s="7" t="s">
        <v>18</v>
      </c>
      <c r="L17215" s="8">
        <v>39987.315405092595</v>
      </c>
      <c r="M17215" s="9" t="s">
        <v>19</v>
      </c>
      <c r="N17215" s="9" t="s">
        <v>20</v>
      </c>
      <c r="O17215" s="6" t="str">
        <f>HYPERLINK("https://pbs.twimg.com/profile_images/962471262747529216/Uo8lOkRJ_normal.jpg","View")</f>
        <v>View</v>
      </c>
      <c r="P17215" s="7"/>
    </row>
    <row r="17216" spans="1:16">
      <c r="A17216" s="3">
        <v>44531.709317129629</v>
      </c>
      <c r="B17216" s="4" t="str">
        <f>HYPERLINK("https://twitter.com/petrogustavo","@petrogustavo")</f>
        <v>@petrogustavo</v>
      </c>
      <c r="C17216" s="5" t="s">
        <v>16</v>
      </c>
      <c r="D17216" s="5" t="s">
        <v>16569</v>
      </c>
      <c r="E17216" s="6" t="str">
        <f>HYPERLINK("https://twitter.com/petrogustavo/status/1466007022495797253","1466007022495797253")</f>
        <v>1466007022495797253</v>
      </c>
      <c r="F17216" s="7" t="s">
        <v>17</v>
      </c>
      <c r="G17216" s="7">
        <v>4416273</v>
      </c>
      <c r="H17216" s="7">
        <v>2578</v>
      </c>
      <c r="I17216" s="7">
        <v>11</v>
      </c>
      <c r="J17216" s="7">
        <v>27</v>
      </c>
      <c r="K17216" s="7" t="s">
        <v>18</v>
      </c>
      <c r="L17216" s="8">
        <v>39987.315405092595</v>
      </c>
      <c r="M17216" s="9" t="s">
        <v>19</v>
      </c>
      <c r="N17216" s="9" t="s">
        <v>20</v>
      </c>
      <c r="O17216" s="6" t="str">
        <f>HYPERLINK("https://pbs.twimg.com/profile_images/962471262747529216/Uo8lOkRJ_normal.jpg","View")</f>
        <v>View</v>
      </c>
      <c r="P17216" s="7"/>
    </row>
    <row r="17217" spans="1:16">
      <c r="A17217" s="3">
        <v>44531.709328703699</v>
      </c>
      <c r="B17217" s="4" t="str">
        <f>HYPERLINK("https://twitter.com/petrogustavo","@petrogustavo")</f>
        <v>@petrogustavo</v>
      </c>
      <c r="C17217" s="5" t="s">
        <v>16</v>
      </c>
      <c r="D17217" s="5" t="s">
        <v>16570</v>
      </c>
      <c r="E17217" s="6" t="str">
        <f>HYPERLINK("https://twitter.com/petrogustavo/status/1466007024433602560","1466007024433602560")</f>
        <v>1466007024433602560</v>
      </c>
      <c r="F17217" s="7" t="s">
        <v>17</v>
      </c>
      <c r="G17217" s="7">
        <v>4416273</v>
      </c>
      <c r="H17217" s="7">
        <v>2578</v>
      </c>
      <c r="I17217" s="7">
        <v>5</v>
      </c>
      <c r="J17217" s="7">
        <v>23</v>
      </c>
      <c r="K17217" s="7" t="s">
        <v>18</v>
      </c>
      <c r="L17217" s="8">
        <v>39987.315405092595</v>
      </c>
      <c r="M17217" s="9" t="s">
        <v>19</v>
      </c>
      <c r="N17217" s="9" t="s">
        <v>20</v>
      </c>
      <c r="O17217" s="6" t="str">
        <f>HYPERLINK("https://pbs.twimg.com/profile_images/962471262747529216/Uo8lOkRJ_normal.jpg","View")</f>
        <v>View</v>
      </c>
      <c r="P17217" s="7"/>
    </row>
    <row r="17218" spans="1:16">
      <c r="A17218" s="3">
        <v>44531.727210648147</v>
      </c>
      <c r="B17218" s="4" t="str">
        <f>HYPERLINK("https://twitter.com/petrogustavo","@petrogustavo")</f>
        <v>@petrogustavo</v>
      </c>
      <c r="C17218" s="5" t="s">
        <v>16</v>
      </c>
      <c r="D17218" s="5" t="s">
        <v>16571</v>
      </c>
      <c r="E17218" s="6" t="str">
        <f>HYPERLINK("https://twitter.com/petrogustavo/status/1466013503479758849","1466013503479758849")</f>
        <v>1466013503479758849</v>
      </c>
      <c r="F17218" s="7" t="s">
        <v>17</v>
      </c>
      <c r="G17218" s="7">
        <v>4416289</v>
      </c>
      <c r="H17218" s="7">
        <v>2578</v>
      </c>
      <c r="I17218" s="7">
        <v>74</v>
      </c>
      <c r="J17218" s="7">
        <v>0</v>
      </c>
      <c r="K17218" s="7" t="s">
        <v>18</v>
      </c>
      <c r="L17218" s="8">
        <v>39987.315405092595</v>
      </c>
      <c r="M17218" s="9" t="s">
        <v>19</v>
      </c>
      <c r="N17218" s="9" t="s">
        <v>20</v>
      </c>
      <c r="O17218" s="6" t="str">
        <f>HYPERLINK("https://pbs.twimg.com/profile_images/962471262747529216/Uo8lOkRJ_normal.jpg","View")</f>
        <v>View</v>
      </c>
      <c r="P17218" s="7"/>
    </row>
    <row r="17219" spans="1:16">
      <c r="A17219" s="3">
        <v>44531.739259259259</v>
      </c>
      <c r="B17219" s="4" t="str">
        <f>HYPERLINK("https://twitter.com/petrogustavo","@petrogustavo")</f>
        <v>@petrogustavo</v>
      </c>
      <c r="C17219" s="5" t="s">
        <v>16</v>
      </c>
      <c r="D17219" s="5" t="s">
        <v>16572</v>
      </c>
      <c r="E17219" s="6" t="str">
        <f>HYPERLINK("https://twitter.com/petrogustavo/status/1466017870475837447","1466017870475837447")</f>
        <v>1466017870475837447</v>
      </c>
      <c r="F17219" s="7" t="s">
        <v>17</v>
      </c>
      <c r="G17219" s="7">
        <v>4416301</v>
      </c>
      <c r="H17219" s="7">
        <v>2578</v>
      </c>
      <c r="I17219" s="7">
        <v>12</v>
      </c>
      <c r="J17219" s="7">
        <v>0</v>
      </c>
      <c r="K17219" s="7" t="s">
        <v>18</v>
      </c>
      <c r="L17219" s="8">
        <v>39987.315405092595</v>
      </c>
      <c r="M17219" s="9" t="s">
        <v>19</v>
      </c>
      <c r="N17219" s="9" t="s">
        <v>20</v>
      </c>
      <c r="O17219" s="6" t="str">
        <f>HYPERLINK("https://pbs.twimg.com/profile_images/962471262747529216/Uo8lOkRJ_normal.jpg","View")</f>
        <v>View</v>
      </c>
      <c r="P17219" s="7"/>
    </row>
    <row r="17220" spans="1:16">
      <c r="A17220" s="3">
        <v>44531.746701388889</v>
      </c>
      <c r="B17220" s="4" t="str">
        <f>HYPERLINK("https://twitter.com/petrogustavo","@petrogustavo")</f>
        <v>@petrogustavo</v>
      </c>
      <c r="C17220" s="5" t="s">
        <v>16</v>
      </c>
      <c r="D17220" s="5" t="s">
        <v>16573</v>
      </c>
      <c r="E17220" s="6" t="str">
        <f>HYPERLINK("https://twitter.com/petrogustavo/status/1466020567627309063","1466020567627309063")</f>
        <v>1466020567627309063</v>
      </c>
      <c r="F17220" s="7" t="s">
        <v>17</v>
      </c>
      <c r="G17220" s="7">
        <v>4416301</v>
      </c>
      <c r="H17220" s="7">
        <v>2578</v>
      </c>
      <c r="I17220" s="7">
        <v>24</v>
      </c>
      <c r="J17220" s="7">
        <v>56</v>
      </c>
      <c r="K17220" s="7" t="s">
        <v>18</v>
      </c>
      <c r="L17220" s="8">
        <v>39987.315405092595</v>
      </c>
      <c r="M17220" s="9" t="s">
        <v>19</v>
      </c>
      <c r="N17220" s="9" t="s">
        <v>20</v>
      </c>
      <c r="O17220" s="6" t="str">
        <f>HYPERLINK("https://pbs.twimg.com/profile_images/962471262747529216/Uo8lOkRJ_normal.jpg","View")</f>
        <v>View</v>
      </c>
      <c r="P17220" s="7"/>
    </row>
    <row r="17221" spans="1:16">
      <c r="A17221" s="3">
        <v>44531.746701388889</v>
      </c>
      <c r="B17221" s="4" t="str">
        <f>HYPERLINK("https://twitter.com/petrogustavo","@petrogustavo")</f>
        <v>@petrogustavo</v>
      </c>
      <c r="C17221" s="5" t="s">
        <v>16</v>
      </c>
      <c r="D17221" s="5" t="s">
        <v>16574</v>
      </c>
      <c r="E17221" s="6" t="str">
        <f>HYPERLINK("https://twitter.com/petrogustavo/status/1466020569225248769","1466020569225248769")</f>
        <v>1466020569225248769</v>
      </c>
      <c r="F17221" s="7" t="s">
        <v>17</v>
      </c>
      <c r="G17221" s="7">
        <v>4416301</v>
      </c>
      <c r="H17221" s="7">
        <v>2578</v>
      </c>
      <c r="I17221" s="7">
        <v>23</v>
      </c>
      <c r="J17221" s="7">
        <v>48</v>
      </c>
      <c r="K17221" s="7" t="s">
        <v>18</v>
      </c>
      <c r="L17221" s="8">
        <v>39987.315405092595</v>
      </c>
      <c r="M17221" s="9" t="s">
        <v>19</v>
      </c>
      <c r="N17221" s="9" t="s">
        <v>20</v>
      </c>
      <c r="O17221" s="6" t="str">
        <f>HYPERLINK("https://pbs.twimg.com/profile_images/962471262747529216/Uo8lOkRJ_normal.jpg","View")</f>
        <v>View</v>
      </c>
      <c r="P17221" s="7"/>
    </row>
    <row r="17222" spans="1:16">
      <c r="A17222" s="3">
        <v>44531.746712962966</v>
      </c>
      <c r="B17222" s="4" t="str">
        <f>HYPERLINK("https://twitter.com/petrogustavo","@petrogustavo")</f>
        <v>@petrogustavo</v>
      </c>
      <c r="C17222" s="5" t="s">
        <v>16</v>
      </c>
      <c r="D17222" s="5" t="s">
        <v>16575</v>
      </c>
      <c r="E17222" s="6" t="str">
        <f>HYPERLINK("https://twitter.com/petrogustavo/status/1466020570605182977","1466020570605182977")</f>
        <v>1466020570605182977</v>
      </c>
      <c r="F17222" s="7" t="s">
        <v>17</v>
      </c>
      <c r="G17222" s="7">
        <v>4416301</v>
      </c>
      <c r="H17222" s="7">
        <v>2578</v>
      </c>
      <c r="I17222" s="7">
        <v>22</v>
      </c>
      <c r="J17222" s="7">
        <v>49</v>
      </c>
      <c r="K17222" s="7" t="s">
        <v>18</v>
      </c>
      <c r="L17222" s="8">
        <v>39987.315405092595</v>
      </c>
      <c r="M17222" s="9" t="s">
        <v>19</v>
      </c>
      <c r="N17222" s="9" t="s">
        <v>20</v>
      </c>
      <c r="O17222" s="6" t="str">
        <f>HYPERLINK("https://pbs.twimg.com/profile_images/962471262747529216/Uo8lOkRJ_normal.jpg","View")</f>
        <v>View</v>
      </c>
      <c r="P17222" s="7"/>
    </row>
    <row r="17223" spans="1:16">
      <c r="A17223" s="3">
        <v>44531.761435185181</v>
      </c>
      <c r="B17223" s="4" t="str">
        <f>HYPERLINK("https://twitter.com/petrogustavo","@petrogustavo")</f>
        <v>@petrogustavo</v>
      </c>
      <c r="C17223" s="5" t="s">
        <v>16</v>
      </c>
      <c r="D17223" s="5" t="s">
        <v>16576</v>
      </c>
      <c r="E17223" s="6" t="str">
        <f>HYPERLINK("https://twitter.com/petrogustavo/status/1466025909455101953","1466025909455101953")</f>
        <v>1466025909455101953</v>
      </c>
      <c r="F17223" s="7" t="s">
        <v>17</v>
      </c>
      <c r="G17223" s="7">
        <v>4416317</v>
      </c>
      <c r="H17223" s="7">
        <v>2578</v>
      </c>
      <c r="I17223" s="7">
        <v>41</v>
      </c>
      <c r="J17223" s="7">
        <v>109</v>
      </c>
      <c r="K17223" s="7" t="s">
        <v>18</v>
      </c>
      <c r="L17223" s="8">
        <v>39987.315405092595</v>
      </c>
      <c r="M17223" s="9" t="s">
        <v>19</v>
      </c>
      <c r="N17223" s="9" t="s">
        <v>20</v>
      </c>
      <c r="O17223" s="6" t="str">
        <f>HYPERLINK("https://pbs.twimg.com/profile_images/962471262747529216/Uo8lOkRJ_normal.jpg","View")</f>
        <v>View</v>
      </c>
      <c r="P17223" s="7"/>
    </row>
    <row r="17224" spans="1:16">
      <c r="A17224" s="3">
        <v>44531.761446759258</v>
      </c>
      <c r="B17224" s="4" t="str">
        <f>HYPERLINK("https://twitter.com/petrogustavo","@petrogustavo")</f>
        <v>@petrogustavo</v>
      </c>
      <c r="C17224" s="5" t="s">
        <v>16</v>
      </c>
      <c r="D17224" s="5" t="s">
        <v>16577</v>
      </c>
      <c r="E17224" s="6" t="str">
        <f>HYPERLINK("https://twitter.com/petrogustavo/status/1466025911078244355","1466025911078244355")</f>
        <v>1466025911078244355</v>
      </c>
      <c r="F17224" s="7" t="s">
        <v>17</v>
      </c>
      <c r="G17224" s="7">
        <v>4416317</v>
      </c>
      <c r="H17224" s="7">
        <v>2578</v>
      </c>
      <c r="I17224" s="7">
        <v>7</v>
      </c>
      <c r="J17224" s="7">
        <v>29</v>
      </c>
      <c r="K17224" s="7" t="s">
        <v>18</v>
      </c>
      <c r="L17224" s="8">
        <v>39987.315405092595</v>
      </c>
      <c r="M17224" s="9" t="s">
        <v>19</v>
      </c>
      <c r="N17224" s="9" t="s">
        <v>20</v>
      </c>
      <c r="O17224" s="6" t="str">
        <f>HYPERLINK("https://pbs.twimg.com/profile_images/962471262747529216/Uo8lOkRJ_normal.jpg","View")</f>
        <v>View</v>
      </c>
      <c r="P17224" s="7"/>
    </row>
    <row r="17225" spans="1:16">
      <c r="A17225" s="3">
        <v>44531.761446759258</v>
      </c>
      <c r="B17225" s="4" t="str">
        <f>HYPERLINK("https://twitter.com/petrogustavo","@petrogustavo")</f>
        <v>@petrogustavo</v>
      </c>
      <c r="C17225" s="5" t="s">
        <v>16</v>
      </c>
      <c r="D17225" s="5" t="s">
        <v>16578</v>
      </c>
      <c r="E17225" s="6" t="str">
        <f>HYPERLINK("https://twitter.com/petrogustavo/status/1466025912256843777","1466025912256843777")</f>
        <v>1466025912256843777</v>
      </c>
      <c r="F17225" s="7" t="s">
        <v>17</v>
      </c>
      <c r="G17225" s="7">
        <v>4416317</v>
      </c>
      <c r="H17225" s="7">
        <v>2578</v>
      </c>
      <c r="I17225" s="7">
        <v>6</v>
      </c>
      <c r="J17225" s="7">
        <v>19</v>
      </c>
      <c r="K17225" s="7" t="s">
        <v>18</v>
      </c>
      <c r="L17225" s="8">
        <v>39987.315405092595</v>
      </c>
      <c r="M17225" s="9" t="s">
        <v>19</v>
      </c>
      <c r="N17225" s="9" t="s">
        <v>20</v>
      </c>
      <c r="O17225" s="6" t="str">
        <f>HYPERLINK("https://pbs.twimg.com/profile_images/962471262747529216/Uo8lOkRJ_normal.jpg","View")</f>
        <v>View</v>
      </c>
      <c r="P17225" s="7"/>
    </row>
    <row r="17226" spans="1:16">
      <c r="A17226" s="3">
        <v>44531.761446759258</v>
      </c>
      <c r="B17226" s="4" t="str">
        <f>HYPERLINK("https://twitter.com/petrogustavo","@petrogustavo")</f>
        <v>@petrogustavo</v>
      </c>
      <c r="C17226" s="5" t="s">
        <v>16</v>
      </c>
      <c r="D17226" s="5" t="s">
        <v>16579</v>
      </c>
      <c r="E17226" s="6" t="str">
        <f>HYPERLINK("https://twitter.com/petrogustavo/status/1466025913854873601","1466025913854873601")</f>
        <v>1466025913854873601</v>
      </c>
      <c r="F17226" s="7" t="s">
        <v>17</v>
      </c>
      <c r="G17226" s="7">
        <v>4416317</v>
      </c>
      <c r="H17226" s="7">
        <v>2578</v>
      </c>
      <c r="I17226" s="7">
        <v>27</v>
      </c>
      <c r="J17226" s="7">
        <v>84</v>
      </c>
      <c r="K17226" s="7" t="s">
        <v>18</v>
      </c>
      <c r="L17226" s="8">
        <v>39987.315405092595</v>
      </c>
      <c r="M17226" s="9" t="s">
        <v>19</v>
      </c>
      <c r="N17226" s="9" t="s">
        <v>20</v>
      </c>
      <c r="O17226" s="6" t="str">
        <f>HYPERLINK("https://pbs.twimg.com/profile_images/962471262747529216/Uo8lOkRJ_normal.jpg","View")</f>
        <v>View</v>
      </c>
      <c r="P17226" s="7"/>
    </row>
    <row r="17227" spans="1:16">
      <c r="A17227" s="3">
        <v>44531.761458333334</v>
      </c>
      <c r="B17227" s="4" t="str">
        <f>HYPERLINK("https://twitter.com/petrogustavo","@petrogustavo")</f>
        <v>@petrogustavo</v>
      </c>
      <c r="C17227" s="5" t="s">
        <v>16</v>
      </c>
      <c r="D17227" s="5" t="s">
        <v>16580</v>
      </c>
      <c r="E17227" s="6" t="str">
        <f>HYPERLINK("https://twitter.com/petrogustavo/status/1466025915247472647","1466025915247472647")</f>
        <v>1466025915247472647</v>
      </c>
      <c r="F17227" s="7" t="s">
        <v>17</v>
      </c>
      <c r="G17227" s="7">
        <v>4416317</v>
      </c>
      <c r="H17227" s="7">
        <v>2578</v>
      </c>
      <c r="I17227" s="7">
        <v>29</v>
      </c>
      <c r="J17227" s="7">
        <v>96</v>
      </c>
      <c r="K17227" s="7" t="s">
        <v>18</v>
      </c>
      <c r="L17227" s="8">
        <v>39987.315405092595</v>
      </c>
      <c r="M17227" s="9" t="s">
        <v>19</v>
      </c>
      <c r="N17227" s="9" t="s">
        <v>20</v>
      </c>
      <c r="O17227" s="6" t="str">
        <f>HYPERLINK("https://pbs.twimg.com/profile_images/962471262747529216/Uo8lOkRJ_normal.jpg","View")</f>
        <v>View</v>
      </c>
      <c r="P17227" s="7"/>
    </row>
    <row r="17228" spans="1:16">
      <c r="A17228" s="3">
        <v>44531.786666666667</v>
      </c>
      <c r="B17228" s="4" t="str">
        <f>HYPERLINK("https://twitter.com/petrogustavo","@petrogustavo")</f>
        <v>@petrogustavo</v>
      </c>
      <c r="C17228" s="5" t="s">
        <v>16</v>
      </c>
      <c r="D17228" s="5" t="s">
        <v>16581</v>
      </c>
      <c r="E17228" s="6" t="str">
        <f>HYPERLINK("https://twitter.com/petrogustavo/status/1466035052823953413","1466035052823953413")</f>
        <v>1466035052823953413</v>
      </c>
      <c r="F17228" s="7" t="s">
        <v>17</v>
      </c>
      <c r="G17228" s="7">
        <v>4416336</v>
      </c>
      <c r="H17228" s="7">
        <v>2578</v>
      </c>
      <c r="I17228" s="7">
        <v>50</v>
      </c>
      <c r="J17228" s="7">
        <v>194</v>
      </c>
      <c r="K17228" s="7" t="s">
        <v>18</v>
      </c>
      <c r="L17228" s="8">
        <v>39987.315405092595</v>
      </c>
      <c r="M17228" s="9" t="s">
        <v>19</v>
      </c>
      <c r="N17228" s="9" t="s">
        <v>20</v>
      </c>
      <c r="O17228" s="6" t="str">
        <f>HYPERLINK("https://pbs.twimg.com/profile_images/962471262747529216/Uo8lOkRJ_normal.jpg","View")</f>
        <v>View</v>
      </c>
      <c r="P17228" s="7"/>
    </row>
    <row r="17229" spans="1:16">
      <c r="A17229" s="3">
        <v>44531.786840277782</v>
      </c>
      <c r="B17229" s="4" t="str">
        <f>HYPERLINK("https://twitter.com/petrogustavo","@petrogustavo")</f>
        <v>@petrogustavo</v>
      </c>
      <c r="C17229" s="5" t="s">
        <v>16</v>
      </c>
      <c r="D17229" s="5" t="s">
        <v>16582</v>
      </c>
      <c r="E17229" s="6" t="str">
        <f>HYPERLINK("https://twitter.com/petrogustavo/status/1466035115033780225","1466035115033780225")</f>
        <v>1466035115033780225</v>
      </c>
      <c r="F17229" s="7" t="s">
        <v>17</v>
      </c>
      <c r="G17229" s="7">
        <v>4416336</v>
      </c>
      <c r="H17229" s="7">
        <v>2578</v>
      </c>
      <c r="I17229" s="7">
        <v>130</v>
      </c>
      <c r="J17229" s="7">
        <v>0</v>
      </c>
      <c r="K17229" s="7" t="s">
        <v>18</v>
      </c>
      <c r="L17229" s="8">
        <v>39987.315405092595</v>
      </c>
      <c r="M17229" s="9" t="s">
        <v>19</v>
      </c>
      <c r="N17229" s="9" t="s">
        <v>20</v>
      </c>
      <c r="O17229" s="6" t="str">
        <f>HYPERLINK("https://pbs.twimg.com/profile_images/962471262747529216/Uo8lOkRJ_normal.jpg","View")</f>
        <v>View</v>
      </c>
      <c r="P17229" s="7"/>
    </row>
    <row r="17230" spans="1:16">
      <c r="A17230" s="3">
        <v>44531.795277777783</v>
      </c>
      <c r="B17230" s="4" t="str">
        <f>HYPERLINK("https://twitter.com/petrogustavo","@petrogustavo")</f>
        <v>@petrogustavo</v>
      </c>
      <c r="C17230" s="5" t="s">
        <v>16</v>
      </c>
      <c r="D17230" s="5" t="s">
        <v>16583</v>
      </c>
      <c r="E17230" s="6" t="str">
        <f>HYPERLINK("https://twitter.com/petrogustavo/status/1466038172450799625","1466038172450799625")</f>
        <v>1466038172450799625</v>
      </c>
      <c r="F17230" s="7" t="s">
        <v>17</v>
      </c>
      <c r="G17230" s="7">
        <v>4416355</v>
      </c>
      <c r="H17230" s="7">
        <v>2578</v>
      </c>
      <c r="I17230" s="7">
        <v>52</v>
      </c>
      <c r="J17230" s="7">
        <v>215</v>
      </c>
      <c r="K17230" s="7" t="s">
        <v>18</v>
      </c>
      <c r="L17230" s="8">
        <v>39987.315405092595</v>
      </c>
      <c r="M17230" s="9" t="s">
        <v>19</v>
      </c>
      <c r="N17230" s="9" t="s">
        <v>20</v>
      </c>
      <c r="O17230" s="6" t="str">
        <f>HYPERLINK("https://pbs.twimg.com/profile_images/962471262747529216/Uo8lOkRJ_normal.jpg","View")</f>
        <v>View</v>
      </c>
      <c r="P17230" s="7"/>
    </row>
    <row r="17231" spans="1:16">
      <c r="A17231" s="3">
        <v>44531.797395833331</v>
      </c>
      <c r="B17231" s="4" t="str">
        <f>HYPERLINK("https://twitter.com/petrogustavo","@petrogustavo")</f>
        <v>@petrogustavo</v>
      </c>
      <c r="C17231" s="5" t="s">
        <v>16</v>
      </c>
      <c r="D17231" s="5" t="s">
        <v>16582</v>
      </c>
      <c r="E17231" s="6" t="str">
        <f>HYPERLINK("https://twitter.com/petrogustavo/status/1466038937764478977","1466038937764478977")</f>
        <v>1466038937764478977</v>
      </c>
      <c r="F17231" s="7" t="s">
        <v>17</v>
      </c>
      <c r="G17231" s="7">
        <v>4416355</v>
      </c>
      <c r="H17231" s="7">
        <v>2578</v>
      </c>
      <c r="I17231" s="7">
        <v>182</v>
      </c>
      <c r="J17231" s="7">
        <v>0</v>
      </c>
      <c r="K17231" s="7" t="s">
        <v>18</v>
      </c>
      <c r="L17231" s="8">
        <v>39987.315405092595</v>
      </c>
      <c r="M17231" s="9" t="s">
        <v>19</v>
      </c>
      <c r="N17231" s="9" t="s">
        <v>20</v>
      </c>
      <c r="O17231" s="6" t="str">
        <f>HYPERLINK("https://pbs.twimg.com/profile_images/962471262747529216/Uo8lOkRJ_normal.jpg","View")</f>
        <v>View</v>
      </c>
      <c r="P17231" s="7"/>
    </row>
    <row r="17232" spans="1:16">
      <c r="A17232" s="3">
        <v>44531.79824074074</v>
      </c>
      <c r="B17232" s="4" t="str">
        <f>HYPERLINK("https://twitter.com/petrogustavo","@petrogustavo")</f>
        <v>@petrogustavo</v>
      </c>
      <c r="C17232" s="5" t="s">
        <v>16</v>
      </c>
      <c r="D17232" s="5" t="s">
        <v>16560</v>
      </c>
      <c r="E17232" s="6" t="str">
        <f>HYPERLINK("https://twitter.com/petrogustavo/status/1466039243822751745","1466039243822751745")</f>
        <v>1466039243822751745</v>
      </c>
      <c r="F17232" s="7" t="s">
        <v>17</v>
      </c>
      <c r="G17232" s="7">
        <v>4416355</v>
      </c>
      <c r="H17232" s="7">
        <v>2578</v>
      </c>
      <c r="I17232" s="7">
        <v>1063</v>
      </c>
      <c r="J17232" s="7">
        <v>0</v>
      </c>
      <c r="K17232" s="7" t="s">
        <v>18</v>
      </c>
      <c r="L17232" s="8">
        <v>39987.315405092595</v>
      </c>
      <c r="M17232" s="9" t="s">
        <v>19</v>
      </c>
      <c r="N17232" s="9" t="s">
        <v>20</v>
      </c>
      <c r="O17232" s="6" t="str">
        <f>HYPERLINK("https://pbs.twimg.com/profile_images/962471262747529216/Uo8lOkRJ_normal.jpg","View")</f>
        <v>View</v>
      </c>
      <c r="P17232" s="7"/>
    </row>
    <row r="17233" spans="1:16">
      <c r="A17233" s="3">
        <v>44531.846168981487</v>
      </c>
      <c r="B17233" s="4" t="str">
        <f>HYPERLINK("https://twitter.com/petrogustavo","@petrogustavo")</f>
        <v>@petrogustavo</v>
      </c>
      <c r="C17233" s="5" t="s">
        <v>16</v>
      </c>
      <c r="D17233" s="5" t="s">
        <v>16584</v>
      </c>
      <c r="E17233" s="6" t="str">
        <f>HYPERLINK("https://twitter.com/petrogustavo/status/1466056613320613892","1466056613320613892")</f>
        <v>1466056613320613892</v>
      </c>
      <c r="F17233" s="7" t="s">
        <v>32</v>
      </c>
      <c r="G17233" s="7">
        <v>4416356</v>
      </c>
      <c r="H17233" s="7">
        <v>2578</v>
      </c>
      <c r="I17233" s="7">
        <v>38</v>
      </c>
      <c r="J17233" s="7">
        <v>115</v>
      </c>
      <c r="K17233" s="7" t="s">
        <v>18</v>
      </c>
      <c r="L17233" s="8">
        <v>39987.315405092595</v>
      </c>
      <c r="M17233" s="9" t="s">
        <v>19</v>
      </c>
      <c r="N17233" s="9" t="s">
        <v>20</v>
      </c>
      <c r="O17233" s="6" t="str">
        <f>HYPERLINK("https://pbs.twimg.com/profile_images/962471262747529216/Uo8lOkRJ_normal.jpg","View")</f>
        <v>View</v>
      </c>
      <c r="P17233" s="7"/>
    </row>
    <row r="17234" spans="1:16">
      <c r="A17234" s="3">
        <v>44531.846168981487</v>
      </c>
      <c r="B17234" s="4" t="str">
        <f>HYPERLINK("https://twitter.com/petrogustavo","@petrogustavo")</f>
        <v>@petrogustavo</v>
      </c>
      <c r="C17234" s="5" t="s">
        <v>16</v>
      </c>
      <c r="D17234" s="5" t="s">
        <v>16585</v>
      </c>
      <c r="E17234" s="6" t="str">
        <f>HYPERLINK("https://twitter.com/petrogustavo/status/1466056615283634184","1466056615283634184")</f>
        <v>1466056615283634184</v>
      </c>
      <c r="F17234" s="7" t="s">
        <v>32</v>
      </c>
      <c r="G17234" s="7">
        <v>4416356</v>
      </c>
      <c r="H17234" s="7">
        <v>2578</v>
      </c>
      <c r="I17234" s="7">
        <v>43</v>
      </c>
      <c r="J17234" s="7">
        <v>155</v>
      </c>
      <c r="K17234" s="7" t="s">
        <v>18</v>
      </c>
      <c r="L17234" s="8">
        <v>39987.315405092595</v>
      </c>
      <c r="M17234" s="9" t="s">
        <v>19</v>
      </c>
      <c r="N17234" s="9" t="s">
        <v>20</v>
      </c>
      <c r="O17234" s="6" t="str">
        <f>HYPERLINK("https://pbs.twimg.com/profile_images/962471262747529216/Uo8lOkRJ_normal.jpg","View")</f>
        <v>View</v>
      </c>
      <c r="P17234" s="7"/>
    </row>
    <row r="17235" spans="1:16">
      <c r="A17235" s="3">
        <v>44531.871655092589</v>
      </c>
      <c r="B17235" s="4" t="str">
        <f>HYPERLINK("https://twitter.com/petrogustavo","@petrogustavo")</f>
        <v>@petrogustavo</v>
      </c>
      <c r="C17235" s="5" t="s">
        <v>16</v>
      </c>
      <c r="D17235" s="5" t="s">
        <v>16586</v>
      </c>
      <c r="E17235" s="6" t="str">
        <f>HYPERLINK("https://twitter.com/petrogustavo/status/1466065848532185095","1466065848532185095")</f>
        <v>1466065848532185095</v>
      </c>
      <c r="F17235" s="7" t="s">
        <v>32</v>
      </c>
      <c r="G17235" s="7">
        <v>4416377</v>
      </c>
      <c r="H17235" s="7">
        <v>2578</v>
      </c>
      <c r="I17235" s="7">
        <v>10</v>
      </c>
      <c r="J17235" s="7">
        <v>0</v>
      </c>
      <c r="K17235" s="7" t="s">
        <v>18</v>
      </c>
      <c r="L17235" s="8">
        <v>39987.315405092595</v>
      </c>
      <c r="M17235" s="9" t="s">
        <v>19</v>
      </c>
      <c r="N17235" s="9" t="s">
        <v>20</v>
      </c>
      <c r="O17235" s="6" t="str">
        <f>HYPERLINK("https://pbs.twimg.com/profile_images/962471262747529216/Uo8lOkRJ_normal.jpg","View")</f>
        <v>View</v>
      </c>
      <c r="P17235" s="7"/>
    </row>
    <row r="17236" spans="1:16">
      <c r="A17236" s="3">
        <v>44532.142592592594</v>
      </c>
      <c r="B17236" s="4" t="str">
        <f>HYPERLINK("https://twitter.com/petrogustavo","@petrogustavo")</f>
        <v>@petrogustavo</v>
      </c>
      <c r="C17236" s="5" t="s">
        <v>16</v>
      </c>
      <c r="D17236" s="5" t="s">
        <v>16587</v>
      </c>
      <c r="E17236" s="6" t="str">
        <f>HYPERLINK("https://twitter.com/petrogustavo/status/1466164036245065733","1466164036245065733")</f>
        <v>1466164036245065733</v>
      </c>
      <c r="F17236" s="7" t="s">
        <v>17</v>
      </c>
      <c r="G17236" s="7">
        <v>4416654</v>
      </c>
      <c r="H17236" s="7">
        <v>2578</v>
      </c>
      <c r="I17236" s="7">
        <v>59</v>
      </c>
      <c r="J17236" s="7">
        <v>118</v>
      </c>
      <c r="K17236" s="7" t="s">
        <v>18</v>
      </c>
      <c r="L17236" s="8">
        <v>39987.315405092595</v>
      </c>
      <c r="M17236" s="9" t="s">
        <v>19</v>
      </c>
      <c r="N17236" s="9" t="s">
        <v>20</v>
      </c>
      <c r="O17236" s="6" t="str">
        <f>HYPERLINK("https://pbs.twimg.com/profile_images/962471262747529216/Uo8lOkRJ_normal.jpg","View")</f>
        <v>View</v>
      </c>
      <c r="P17236" s="7"/>
    </row>
    <row r="17237" spans="1:16">
      <c r="A17237" s="3">
        <v>44532.265289351853</v>
      </c>
      <c r="B17237" s="4" t="str">
        <f>HYPERLINK("https://twitter.com/petrogustavo","@petrogustavo")</f>
        <v>@petrogustavo</v>
      </c>
      <c r="C17237" s="5" t="s">
        <v>16</v>
      </c>
      <c r="D17237" s="5" t="s">
        <v>16588</v>
      </c>
      <c r="E17237" s="6" t="str">
        <f>HYPERLINK("https://twitter.com/petrogustavo/status/1466208499411660804","1466208499411660804")</f>
        <v>1466208499411660804</v>
      </c>
      <c r="F17237" s="7" t="s">
        <v>17</v>
      </c>
      <c r="G17237" s="7">
        <v>4416785</v>
      </c>
      <c r="H17237" s="7">
        <v>2578</v>
      </c>
      <c r="I17237" s="7">
        <v>41</v>
      </c>
      <c r="J17237" s="7">
        <v>0</v>
      </c>
      <c r="K17237" s="7" t="s">
        <v>18</v>
      </c>
      <c r="L17237" s="8">
        <v>39987.315405092595</v>
      </c>
      <c r="M17237" s="9" t="s">
        <v>19</v>
      </c>
      <c r="N17237" s="9" t="s">
        <v>20</v>
      </c>
      <c r="O17237" s="6" t="str">
        <f>HYPERLINK("https://pbs.twimg.com/profile_images/962471262747529216/Uo8lOkRJ_normal.jpg","View")</f>
        <v>View</v>
      </c>
      <c r="P17237" s="7"/>
    </row>
    <row r="17238" spans="1:16">
      <c r="A17238" s="3">
        <v>44532.357118055559</v>
      </c>
      <c r="B17238" s="4" t="str">
        <f>HYPERLINK("https://twitter.com/petrogustavo","@petrogustavo")</f>
        <v>@petrogustavo</v>
      </c>
      <c r="C17238" s="5" t="s">
        <v>16</v>
      </c>
      <c r="D17238" s="5" t="s">
        <v>16589</v>
      </c>
      <c r="E17238" s="6" t="str">
        <f>HYPERLINK("https://twitter.com/petrogustavo/status/1466241775681613824","1466241775681613824")</f>
        <v>1466241775681613824</v>
      </c>
      <c r="F17238" s="7" t="s">
        <v>17</v>
      </c>
      <c r="G17238" s="7">
        <v>4416918</v>
      </c>
      <c r="H17238" s="7">
        <v>2578</v>
      </c>
      <c r="I17238" s="7">
        <v>173</v>
      </c>
      <c r="J17238" s="7">
        <v>905</v>
      </c>
      <c r="K17238" s="7" t="s">
        <v>18</v>
      </c>
      <c r="L17238" s="8">
        <v>39987.315405092595</v>
      </c>
      <c r="M17238" s="9" t="s">
        <v>19</v>
      </c>
      <c r="N17238" s="9" t="s">
        <v>20</v>
      </c>
      <c r="O17238" s="6" t="str">
        <f>HYPERLINK("https://pbs.twimg.com/profile_images/962471262747529216/Uo8lOkRJ_normal.jpg","View")</f>
        <v>View</v>
      </c>
      <c r="P17238" s="7"/>
    </row>
    <row r="17239" spans="1:16">
      <c r="A17239" s="3">
        <v>44533.850590277776</v>
      </c>
      <c r="B17239" s="4" t="str">
        <f>HYPERLINK("https://twitter.com/petrogustavo","@petrogustavo")</f>
        <v>@petrogustavo</v>
      </c>
      <c r="C17239" s="5" t="s">
        <v>16</v>
      </c>
      <c r="D17239" s="5" t="s">
        <v>16590</v>
      </c>
      <c r="E17239" s="6" t="str">
        <f>HYPERLINK("https://twitter.com/petrogustavo/status/1466782990890119171","1466782990890119171")</f>
        <v>1466782990890119171</v>
      </c>
      <c r="F17239" s="7" t="s">
        <v>17</v>
      </c>
      <c r="G17239" s="7">
        <v>4417790</v>
      </c>
      <c r="H17239" s="7">
        <v>2578</v>
      </c>
      <c r="I17239" s="7">
        <v>64</v>
      </c>
      <c r="J17239" s="7">
        <v>257</v>
      </c>
      <c r="K17239" s="7" t="s">
        <v>18</v>
      </c>
      <c r="L17239" s="8">
        <v>39987.315405092595</v>
      </c>
      <c r="M17239" s="9" t="s">
        <v>19</v>
      </c>
      <c r="N17239" s="9" t="s">
        <v>20</v>
      </c>
      <c r="O17239" s="6" t="str">
        <f>HYPERLINK("https://pbs.twimg.com/profile_images/962471262747529216/Uo8lOkRJ_normal.jpg","View")</f>
        <v>View</v>
      </c>
      <c r="P17239" s="7"/>
    </row>
    <row r="17240" spans="1:16">
      <c r="A17240" s="3">
        <v>44533.923738425925</v>
      </c>
      <c r="B17240" s="4" t="str">
        <f>HYPERLINK("https://twitter.com/petrogustavo","@petrogustavo")</f>
        <v>@petrogustavo</v>
      </c>
      <c r="C17240" s="5" t="s">
        <v>16</v>
      </c>
      <c r="D17240" s="5" t="s">
        <v>16591</v>
      </c>
      <c r="E17240" s="6" t="str">
        <f>HYPERLINK("https://twitter.com/petrogustavo/status/1466809499130466311","1466809499130466311")</f>
        <v>1466809499130466311</v>
      </c>
      <c r="F17240" s="7" t="s">
        <v>17</v>
      </c>
      <c r="G17240" s="7">
        <v>4417837</v>
      </c>
      <c r="H17240" s="7">
        <v>2578</v>
      </c>
      <c r="I17240" s="7">
        <v>84</v>
      </c>
      <c r="J17240" s="7">
        <v>387</v>
      </c>
      <c r="K17240" s="7" t="s">
        <v>18</v>
      </c>
      <c r="L17240" s="8">
        <v>39987.315405092595</v>
      </c>
      <c r="M17240" s="9" t="s">
        <v>19</v>
      </c>
      <c r="N17240" s="9" t="s">
        <v>20</v>
      </c>
      <c r="O17240" s="6" t="str">
        <f>HYPERLINK("https://pbs.twimg.com/profile_images/962471262747529216/Uo8lOkRJ_normal.jpg","View")</f>
        <v>View</v>
      </c>
      <c r="P17240" s="7"/>
    </row>
    <row r="17241" spans="1:16">
      <c r="A17241" s="3">
        <v>44534.132638888885</v>
      </c>
      <c r="B17241" s="4" t="str">
        <f>HYPERLINK("https://twitter.com/petrogustavo","@petrogustavo")</f>
        <v>@petrogustavo</v>
      </c>
      <c r="C17241" s="5" t="s">
        <v>16</v>
      </c>
      <c r="D17241" s="5" t="s">
        <v>16592</v>
      </c>
      <c r="E17241" s="6" t="str">
        <f>HYPERLINK("https://twitter.com/petrogustavo/status/1466885204589563907","1466885204589563907")</f>
        <v>1466885204589563907</v>
      </c>
      <c r="F17241" s="7" t="s">
        <v>17</v>
      </c>
      <c r="G17241" s="7">
        <v>4417967</v>
      </c>
      <c r="H17241" s="7">
        <v>2578</v>
      </c>
      <c r="I17241" s="7">
        <v>119</v>
      </c>
      <c r="J17241" s="7">
        <v>516</v>
      </c>
      <c r="K17241" s="7" t="s">
        <v>18</v>
      </c>
      <c r="L17241" s="8">
        <v>39987.315405092595</v>
      </c>
      <c r="M17241" s="9" t="s">
        <v>19</v>
      </c>
      <c r="N17241" s="9" t="s">
        <v>20</v>
      </c>
      <c r="O17241" s="6" t="str">
        <f>HYPERLINK("https://pbs.twimg.com/profile_images/962471262747529216/Uo8lOkRJ_normal.jpg","View")</f>
        <v>View</v>
      </c>
      <c r="P17241" s="7"/>
    </row>
    <row r="17242" spans="1:16">
      <c r="A17242" s="3">
        <v>44534.173136574071</v>
      </c>
      <c r="B17242" s="4" t="str">
        <f>HYPERLINK("https://twitter.com/petrogustavo","@petrogustavo")</f>
        <v>@petrogustavo</v>
      </c>
      <c r="C17242" s="5" t="s">
        <v>16</v>
      </c>
      <c r="D17242" s="5" t="s">
        <v>16593</v>
      </c>
      <c r="E17242" s="6" t="str">
        <f>HYPERLINK("https://twitter.com/petrogustavo/status/1466899877628194823","1466899877628194823")</f>
        <v>1466899877628194823</v>
      </c>
      <c r="F17242" s="7" t="s">
        <v>17</v>
      </c>
      <c r="G17242" s="7">
        <v>4417980</v>
      </c>
      <c r="H17242" s="7">
        <v>2578</v>
      </c>
      <c r="I17242" s="7">
        <v>150</v>
      </c>
      <c r="J17242" s="7">
        <v>578</v>
      </c>
      <c r="K17242" s="7" t="s">
        <v>18</v>
      </c>
      <c r="L17242" s="8">
        <v>39987.315405092595</v>
      </c>
      <c r="M17242" s="9" t="s">
        <v>19</v>
      </c>
      <c r="N17242" s="9" t="s">
        <v>20</v>
      </c>
      <c r="O17242" s="6" t="str">
        <f>HYPERLINK("https://pbs.twimg.com/profile_images/962471262747529216/Uo8lOkRJ_normal.jpg","View")</f>
        <v>View</v>
      </c>
      <c r="P17242" s="7"/>
    </row>
    <row r="17243" spans="1:16">
      <c r="A17243" s="3">
        <v>44534.245138888888</v>
      </c>
      <c r="B17243" s="4" t="str">
        <f>HYPERLINK("https://twitter.com/petrogustavo","@petrogustavo")</f>
        <v>@petrogustavo</v>
      </c>
      <c r="C17243" s="5" t="s">
        <v>16</v>
      </c>
      <c r="D17243" s="5" t="s">
        <v>16594</v>
      </c>
      <c r="E17243" s="6" t="str">
        <f>HYPERLINK("https://twitter.com/petrogustavo/status/1466925972771512328","1466925972771512328")</f>
        <v>1466925972771512328</v>
      </c>
      <c r="F17243" s="7" t="s">
        <v>17</v>
      </c>
      <c r="G17243" s="7">
        <v>4418032</v>
      </c>
      <c r="H17243" s="7">
        <v>2578</v>
      </c>
      <c r="I17243" s="7">
        <v>14</v>
      </c>
      <c r="J17243" s="7">
        <v>0</v>
      </c>
      <c r="K17243" s="7" t="s">
        <v>18</v>
      </c>
      <c r="L17243" s="8">
        <v>39987.315405092595</v>
      </c>
      <c r="M17243" s="9" t="s">
        <v>19</v>
      </c>
      <c r="N17243" s="9" t="s">
        <v>20</v>
      </c>
      <c r="O17243" s="6" t="str">
        <f>HYPERLINK("https://pbs.twimg.com/profile_images/962471262747529216/Uo8lOkRJ_normal.jpg","View")</f>
        <v>View</v>
      </c>
      <c r="P17243" s="7"/>
    </row>
    <row r="17244" spans="1:16">
      <c r="A17244" s="3">
        <v>44534.246354166666</v>
      </c>
      <c r="B17244" s="4" t="str">
        <f>HYPERLINK("https://twitter.com/petrogustavo","@petrogustavo")</f>
        <v>@petrogustavo</v>
      </c>
      <c r="C17244" s="5" t="s">
        <v>16</v>
      </c>
      <c r="D17244" s="5" t="s">
        <v>16595</v>
      </c>
      <c r="E17244" s="6" t="str">
        <f>HYPERLINK("https://twitter.com/petrogustavo/status/1466926410694635523","1466926410694635523")</f>
        <v>1466926410694635523</v>
      </c>
      <c r="F17244" s="7" t="s">
        <v>17</v>
      </c>
      <c r="G17244" s="7">
        <v>4418032</v>
      </c>
      <c r="H17244" s="7">
        <v>2578</v>
      </c>
      <c r="I17244" s="7">
        <v>22</v>
      </c>
      <c r="J17244" s="7">
        <v>0</v>
      </c>
      <c r="K17244" s="7" t="s">
        <v>18</v>
      </c>
      <c r="L17244" s="8">
        <v>39987.315405092595</v>
      </c>
      <c r="M17244" s="9" t="s">
        <v>19</v>
      </c>
      <c r="N17244" s="9" t="s">
        <v>20</v>
      </c>
      <c r="O17244" s="6" t="str">
        <f>HYPERLINK("https://pbs.twimg.com/profile_images/962471262747529216/Uo8lOkRJ_normal.jpg","View")</f>
        <v>View</v>
      </c>
      <c r="P17244" s="7"/>
    </row>
    <row r="17245" spans="1:16">
      <c r="A17245" s="3">
        <v>44534.247442129628</v>
      </c>
      <c r="B17245" s="4" t="str">
        <f>HYPERLINK("https://twitter.com/petrogustavo","@petrogustavo")</f>
        <v>@petrogustavo</v>
      </c>
      <c r="C17245" s="5" t="s">
        <v>16</v>
      </c>
      <c r="D17245" s="5" t="s">
        <v>16596</v>
      </c>
      <c r="E17245" s="6" t="str">
        <f>HYPERLINK("https://twitter.com/petrogustavo/status/1466926806137720839","1466926806137720839")</f>
        <v>1466926806137720839</v>
      </c>
      <c r="F17245" s="7" t="s">
        <v>17</v>
      </c>
      <c r="G17245" s="7">
        <v>4418032</v>
      </c>
      <c r="H17245" s="7">
        <v>2578</v>
      </c>
      <c r="I17245" s="7">
        <v>26</v>
      </c>
      <c r="J17245" s="7">
        <v>0</v>
      </c>
      <c r="K17245" s="7" t="s">
        <v>18</v>
      </c>
      <c r="L17245" s="8">
        <v>39987.315405092595</v>
      </c>
      <c r="M17245" s="9" t="s">
        <v>19</v>
      </c>
      <c r="N17245" s="9" t="s">
        <v>20</v>
      </c>
      <c r="O17245" s="6" t="str">
        <f>HYPERLINK("https://pbs.twimg.com/profile_images/962471262747529216/Uo8lOkRJ_normal.jpg","View")</f>
        <v>View</v>
      </c>
      <c r="P17245" s="7"/>
    </row>
    <row r="17246" spans="1:16">
      <c r="A17246" s="3">
        <v>44534.248831018514</v>
      </c>
      <c r="B17246" s="4" t="str">
        <f>HYPERLINK("https://twitter.com/petrogustavo","@petrogustavo")</f>
        <v>@petrogustavo</v>
      </c>
      <c r="C17246" s="5" t="s">
        <v>16</v>
      </c>
      <c r="D17246" s="5" t="s">
        <v>16597</v>
      </c>
      <c r="E17246" s="6" t="str">
        <f>HYPERLINK("https://twitter.com/petrogustavo/status/1466927310750236681","1466927310750236681")</f>
        <v>1466927310750236681</v>
      </c>
      <c r="F17246" s="7" t="s">
        <v>17</v>
      </c>
      <c r="G17246" s="7">
        <v>4418032</v>
      </c>
      <c r="H17246" s="7">
        <v>2578</v>
      </c>
      <c r="I17246" s="7">
        <v>465</v>
      </c>
      <c r="J17246" s="7">
        <v>0</v>
      </c>
      <c r="K17246" s="7" t="s">
        <v>18</v>
      </c>
      <c r="L17246" s="8">
        <v>39987.315405092595</v>
      </c>
      <c r="M17246" s="9" t="s">
        <v>19</v>
      </c>
      <c r="N17246" s="9" t="s">
        <v>20</v>
      </c>
      <c r="O17246" s="6" t="str">
        <f>HYPERLINK("https://pbs.twimg.com/profile_images/962471262747529216/Uo8lOkRJ_normal.jpg","View")</f>
        <v>View</v>
      </c>
      <c r="P17246" s="7"/>
    </row>
    <row r="17247" spans="1:16">
      <c r="A17247" s="3">
        <v>44534.266168981485</v>
      </c>
      <c r="B17247" s="4" t="str">
        <f>HYPERLINK("https://twitter.com/petrogustavo","@petrogustavo")</f>
        <v>@petrogustavo</v>
      </c>
      <c r="C17247" s="5" t="s">
        <v>16</v>
      </c>
      <c r="D17247" s="5" t="s">
        <v>16598</v>
      </c>
      <c r="E17247" s="6" t="str">
        <f>HYPERLINK("https://twitter.com/petrogustavo/status/1466933590911070214","1466933590911070214")</f>
        <v>1466933590911070214</v>
      </c>
      <c r="F17247" s="7" t="s">
        <v>17</v>
      </c>
      <c r="G17247" s="7">
        <v>4418055</v>
      </c>
      <c r="H17247" s="7">
        <v>2578</v>
      </c>
      <c r="I17247" s="7">
        <v>7</v>
      </c>
      <c r="J17247" s="7">
        <v>0</v>
      </c>
      <c r="K17247" s="7" t="s">
        <v>18</v>
      </c>
      <c r="L17247" s="8">
        <v>39987.315405092595</v>
      </c>
      <c r="M17247" s="9" t="s">
        <v>19</v>
      </c>
      <c r="N17247" s="9" t="s">
        <v>20</v>
      </c>
      <c r="O17247" s="6" t="str">
        <f>HYPERLINK("https://pbs.twimg.com/profile_images/962471262747529216/Uo8lOkRJ_normal.jpg","View")</f>
        <v>View</v>
      </c>
      <c r="P17247" s="7"/>
    </row>
    <row r="17248" spans="1:16">
      <c r="A17248" s="3">
        <v>44534.266331018516</v>
      </c>
      <c r="B17248" s="4" t="str">
        <f>HYPERLINK("https://twitter.com/petrogustavo","@petrogustavo")</f>
        <v>@petrogustavo</v>
      </c>
      <c r="C17248" s="5" t="s">
        <v>16</v>
      </c>
      <c r="D17248" s="5" t="s">
        <v>16599</v>
      </c>
      <c r="E17248" s="6" t="str">
        <f>HYPERLINK("https://twitter.com/petrogustavo/status/1466933652479225865","1466933652479225865")</f>
        <v>1466933652479225865</v>
      </c>
      <c r="F17248" s="7" t="s">
        <v>17</v>
      </c>
      <c r="G17248" s="7">
        <v>4418055</v>
      </c>
      <c r="H17248" s="7">
        <v>2578</v>
      </c>
      <c r="I17248" s="7">
        <v>29</v>
      </c>
      <c r="J17248" s="7">
        <v>0</v>
      </c>
      <c r="K17248" s="7" t="s">
        <v>18</v>
      </c>
      <c r="L17248" s="8">
        <v>39987.315405092595</v>
      </c>
      <c r="M17248" s="9" t="s">
        <v>19</v>
      </c>
      <c r="N17248" s="9" t="s">
        <v>20</v>
      </c>
      <c r="O17248" s="6" t="str">
        <f>HYPERLINK("https://pbs.twimg.com/profile_images/962471262747529216/Uo8lOkRJ_normal.jpg","View")</f>
        <v>View</v>
      </c>
      <c r="P17248" s="7"/>
    </row>
    <row r="17249" spans="1:16">
      <c r="A17249" s="3">
        <v>44534.272013888884</v>
      </c>
      <c r="B17249" s="4" t="str">
        <f>HYPERLINK("https://twitter.com/petrogustavo","@petrogustavo")</f>
        <v>@petrogustavo</v>
      </c>
      <c r="C17249" s="5" t="s">
        <v>16</v>
      </c>
      <c r="D17249" s="5" t="s">
        <v>16600</v>
      </c>
      <c r="E17249" s="6" t="str">
        <f>HYPERLINK("https://twitter.com/petrogustavo/status/1466935711488172039","1466935711488172039")</f>
        <v>1466935711488172039</v>
      </c>
      <c r="F17249" s="7" t="s">
        <v>17</v>
      </c>
      <c r="G17249" s="7">
        <v>4418055</v>
      </c>
      <c r="H17249" s="7">
        <v>2578</v>
      </c>
      <c r="I17249" s="7">
        <v>4</v>
      </c>
      <c r="J17249" s="7">
        <v>0</v>
      </c>
      <c r="K17249" s="7" t="s">
        <v>18</v>
      </c>
      <c r="L17249" s="8">
        <v>39987.315405092595</v>
      </c>
      <c r="M17249" s="9" t="s">
        <v>19</v>
      </c>
      <c r="N17249" s="9" t="s">
        <v>20</v>
      </c>
      <c r="O17249" s="6" t="str">
        <f>HYPERLINK("https://pbs.twimg.com/profile_images/962471262747529216/Uo8lOkRJ_normal.jpg","View")</f>
        <v>View</v>
      </c>
      <c r="P17249" s="7"/>
    </row>
    <row r="17250" spans="1:16">
      <c r="A17250" s="3">
        <v>44534.273043981477</v>
      </c>
      <c r="B17250" s="4" t="str">
        <f>HYPERLINK("https://twitter.com/petrogustavo","@petrogustavo")</f>
        <v>@petrogustavo</v>
      </c>
      <c r="C17250" s="5" t="s">
        <v>16</v>
      </c>
      <c r="D17250" s="5" t="s">
        <v>16601</v>
      </c>
      <c r="E17250" s="6" t="str">
        <f>HYPERLINK("https://twitter.com/petrogustavo/status/1466936082616958977","1466936082616958977")</f>
        <v>1466936082616958977</v>
      </c>
      <c r="F17250" s="7" t="s">
        <v>17</v>
      </c>
      <c r="G17250" s="7">
        <v>4418067</v>
      </c>
      <c r="H17250" s="7">
        <v>2578</v>
      </c>
      <c r="I17250" s="7">
        <v>32</v>
      </c>
      <c r="J17250" s="7">
        <v>0</v>
      </c>
      <c r="K17250" s="7" t="s">
        <v>18</v>
      </c>
      <c r="L17250" s="8">
        <v>39987.315405092595</v>
      </c>
      <c r="M17250" s="9" t="s">
        <v>19</v>
      </c>
      <c r="N17250" s="9" t="s">
        <v>20</v>
      </c>
      <c r="O17250" s="6" t="str">
        <f>HYPERLINK("https://pbs.twimg.com/profile_images/962471262747529216/Uo8lOkRJ_normal.jpg","View")</f>
        <v>View</v>
      </c>
      <c r="P17250" s="7"/>
    </row>
    <row r="17251" spans="1:16">
      <c r="A17251" s="3">
        <v>44534.280173611114</v>
      </c>
      <c r="B17251" s="4" t="str">
        <f>HYPERLINK("https://twitter.com/petrogustavo","@petrogustavo")</f>
        <v>@petrogustavo</v>
      </c>
      <c r="C17251" s="5" t="s">
        <v>16</v>
      </c>
      <c r="D17251" s="5" t="s">
        <v>16602</v>
      </c>
      <c r="E17251" s="6" t="str">
        <f>HYPERLINK("https://twitter.com/petrogustavo/status/1466938669491703821","1466938669491703821")</f>
        <v>1466938669491703821</v>
      </c>
      <c r="F17251" s="7" t="s">
        <v>17</v>
      </c>
      <c r="G17251" s="7">
        <v>4418067</v>
      </c>
      <c r="H17251" s="7">
        <v>2578</v>
      </c>
      <c r="I17251" s="7">
        <v>252</v>
      </c>
      <c r="J17251" s="7">
        <v>0</v>
      </c>
      <c r="K17251" s="7" t="s">
        <v>18</v>
      </c>
      <c r="L17251" s="8">
        <v>39987.315405092595</v>
      </c>
      <c r="M17251" s="9" t="s">
        <v>19</v>
      </c>
      <c r="N17251" s="9" t="s">
        <v>20</v>
      </c>
      <c r="O17251" s="6" t="str">
        <f>HYPERLINK("https://pbs.twimg.com/profile_images/962471262747529216/Uo8lOkRJ_normal.jpg","View")</f>
        <v>View</v>
      </c>
      <c r="P17251" s="7"/>
    </row>
    <row r="17252" spans="1:16">
      <c r="A17252" s="3">
        <v>44534.309918981482</v>
      </c>
      <c r="B17252" s="4" t="str">
        <f>HYPERLINK("https://twitter.com/petrogustavo","@petrogustavo")</f>
        <v>@petrogustavo</v>
      </c>
      <c r="C17252" s="5" t="s">
        <v>16</v>
      </c>
      <c r="D17252" s="5" t="s">
        <v>16603</v>
      </c>
      <c r="E17252" s="6" t="str">
        <f>HYPERLINK("https://twitter.com/petrogustavo/status/1466949448072941573","1466949448072941573")</f>
        <v>1466949448072941573</v>
      </c>
      <c r="F17252" s="7" t="s">
        <v>32</v>
      </c>
      <c r="G17252" s="7">
        <v>4418091</v>
      </c>
      <c r="H17252" s="7">
        <v>2578</v>
      </c>
      <c r="I17252" s="7">
        <v>40</v>
      </c>
      <c r="J17252" s="7">
        <v>87</v>
      </c>
      <c r="K17252" s="7" t="s">
        <v>18</v>
      </c>
      <c r="L17252" s="8">
        <v>39987.315405092595</v>
      </c>
      <c r="M17252" s="9" t="s">
        <v>19</v>
      </c>
      <c r="N17252" s="9" t="s">
        <v>20</v>
      </c>
      <c r="O17252" s="6" t="str">
        <f>HYPERLINK("https://pbs.twimg.com/profile_images/962471262747529216/Uo8lOkRJ_normal.jpg","View")</f>
        <v>View</v>
      </c>
      <c r="P17252" s="7"/>
    </row>
    <row r="17253" spans="1:16">
      <c r="A17253" s="3">
        <v>44534.319710648153</v>
      </c>
      <c r="B17253" s="4" t="str">
        <f>HYPERLINK("https://twitter.com/petrogustavo","@petrogustavo")</f>
        <v>@petrogustavo</v>
      </c>
      <c r="C17253" s="5" t="s">
        <v>16</v>
      </c>
      <c r="D17253" s="5" t="s">
        <v>16604</v>
      </c>
      <c r="E17253" s="6" t="str">
        <f>HYPERLINK("https://twitter.com/petrogustavo/status/1466952995179016200","1466952995179016200")</f>
        <v>1466952995179016200</v>
      </c>
      <c r="F17253" s="7" t="s">
        <v>17</v>
      </c>
      <c r="G17253" s="7">
        <v>4418097</v>
      </c>
      <c r="H17253" s="7">
        <v>2578</v>
      </c>
      <c r="I17253" s="7">
        <v>282</v>
      </c>
      <c r="J17253" s="7">
        <v>1360</v>
      </c>
      <c r="K17253" s="7" t="s">
        <v>18</v>
      </c>
      <c r="L17253" s="8">
        <v>39987.315405092595</v>
      </c>
      <c r="M17253" s="9" t="s">
        <v>19</v>
      </c>
      <c r="N17253" s="9" t="s">
        <v>20</v>
      </c>
      <c r="O17253" s="6" t="str">
        <f>HYPERLINK("https://pbs.twimg.com/profile_images/962471262747529216/Uo8lOkRJ_normal.jpg","View")</f>
        <v>View</v>
      </c>
      <c r="P17253" s="7"/>
    </row>
    <row r="17254" spans="1:16">
      <c r="A17254" s="3">
        <v>44534.341550925921</v>
      </c>
      <c r="B17254" s="4" t="str">
        <f>HYPERLINK("https://twitter.com/petrogustavo","@petrogustavo")</f>
        <v>@petrogustavo</v>
      </c>
      <c r="C17254" s="5" t="s">
        <v>16</v>
      </c>
      <c r="D17254" s="5" t="s">
        <v>16605</v>
      </c>
      <c r="E17254" s="6" t="str">
        <f>HYPERLINK("https://twitter.com/petrogustavo/status/1466960908584992771","1466960908584992771")</f>
        <v>1466960908584992771</v>
      </c>
      <c r="F17254" s="7" t="s">
        <v>17</v>
      </c>
      <c r="G17254" s="7">
        <v>4418125</v>
      </c>
      <c r="H17254" s="7">
        <v>2578</v>
      </c>
      <c r="I17254" s="7">
        <v>717</v>
      </c>
      <c r="J17254" s="7">
        <v>0</v>
      </c>
      <c r="K17254" s="7" t="s">
        <v>18</v>
      </c>
      <c r="L17254" s="8">
        <v>39987.315405092595</v>
      </c>
      <c r="M17254" s="9" t="s">
        <v>19</v>
      </c>
      <c r="N17254" s="9" t="s">
        <v>20</v>
      </c>
      <c r="O17254" s="6" t="str">
        <f>HYPERLINK("https://pbs.twimg.com/profile_images/962471262747529216/Uo8lOkRJ_normal.jpg","View")</f>
        <v>View</v>
      </c>
      <c r="P17254" s="7"/>
    </row>
    <row r="17255" spans="1:16">
      <c r="A17255" s="3">
        <v>44534.35392361111</v>
      </c>
      <c r="B17255" s="4" t="str">
        <f>HYPERLINK("https://twitter.com/petrogustavo","@petrogustavo")</f>
        <v>@petrogustavo</v>
      </c>
      <c r="C17255" s="5" t="s">
        <v>16</v>
      </c>
      <c r="D17255" s="5" t="s">
        <v>16606</v>
      </c>
      <c r="E17255" s="6" t="str">
        <f>HYPERLINK("https://twitter.com/petrogustavo/status/1466965395928141825","1466965395928141825")</f>
        <v>1466965395928141825</v>
      </c>
      <c r="F17255" s="7" t="s">
        <v>17</v>
      </c>
      <c r="G17255" s="7">
        <v>4418125</v>
      </c>
      <c r="H17255" s="7">
        <v>2578</v>
      </c>
      <c r="I17255" s="7">
        <v>577</v>
      </c>
      <c r="J17255" s="7">
        <v>0</v>
      </c>
      <c r="K17255" s="7" t="s">
        <v>18</v>
      </c>
      <c r="L17255" s="8">
        <v>39987.315405092595</v>
      </c>
      <c r="M17255" s="9" t="s">
        <v>19</v>
      </c>
      <c r="N17255" s="9" t="s">
        <v>20</v>
      </c>
      <c r="O17255" s="6" t="str">
        <f>HYPERLINK("https://pbs.twimg.com/profile_images/962471262747529216/Uo8lOkRJ_normal.jpg","View")</f>
        <v>View</v>
      </c>
      <c r="P17255" s="7"/>
    </row>
    <row r="17256" spans="1:16">
      <c r="A17256" s="3">
        <v>44534.820902777778</v>
      </c>
      <c r="B17256" s="4" t="str">
        <f>HYPERLINK("https://twitter.com/petrogustavo","@petrogustavo")</f>
        <v>@petrogustavo</v>
      </c>
      <c r="C17256" s="5" t="s">
        <v>16</v>
      </c>
      <c r="D17256" s="5" t="s">
        <v>16607</v>
      </c>
      <c r="E17256" s="6" t="str">
        <f>HYPERLINK("https://twitter.com/petrogustavo/status/1467134623331328006","1467134623331328006")</f>
        <v>1467134623331328006</v>
      </c>
      <c r="F17256" s="7" t="s">
        <v>32</v>
      </c>
      <c r="G17256" s="7">
        <v>4418364</v>
      </c>
      <c r="H17256" s="7">
        <v>2578</v>
      </c>
      <c r="I17256" s="7">
        <v>58</v>
      </c>
      <c r="J17256" s="7">
        <v>149</v>
      </c>
      <c r="K17256" s="7" t="s">
        <v>18</v>
      </c>
      <c r="L17256" s="8">
        <v>39987.315405092595</v>
      </c>
      <c r="M17256" s="9" t="s">
        <v>19</v>
      </c>
      <c r="N17256" s="9" t="s">
        <v>20</v>
      </c>
      <c r="O17256" s="6" t="str">
        <f>HYPERLINK("https://pbs.twimg.com/profile_images/962471262747529216/Uo8lOkRJ_normal.jpg","View")</f>
        <v>View</v>
      </c>
      <c r="P17256" s="7"/>
    </row>
    <row r="17257" spans="1:16">
      <c r="A17257" s="3">
        <v>44534.860694444447</v>
      </c>
      <c r="B17257" s="4" t="str">
        <f>HYPERLINK("https://twitter.com/petrogustavo","@petrogustavo")</f>
        <v>@petrogustavo</v>
      </c>
      <c r="C17257" s="5" t="s">
        <v>16</v>
      </c>
      <c r="D17257" s="5" t="s">
        <v>16606</v>
      </c>
      <c r="E17257" s="6" t="str">
        <f>HYPERLINK("https://twitter.com/petrogustavo/status/1467149040085262343","1467149040085262343")</f>
        <v>1467149040085262343</v>
      </c>
      <c r="F17257" s="7" t="s">
        <v>17</v>
      </c>
      <c r="G17257" s="7">
        <v>4418386</v>
      </c>
      <c r="H17257" s="7">
        <v>2578</v>
      </c>
      <c r="I17257" s="7">
        <v>2341</v>
      </c>
      <c r="J17257" s="7">
        <v>0</v>
      </c>
      <c r="K17257" s="7" t="s">
        <v>18</v>
      </c>
      <c r="L17257" s="8">
        <v>39987.315405092595</v>
      </c>
      <c r="M17257" s="9" t="s">
        <v>19</v>
      </c>
      <c r="N17257" s="9" t="s">
        <v>20</v>
      </c>
      <c r="O17257" s="6" t="str">
        <f>HYPERLINK("https://pbs.twimg.com/profile_images/962471262747529216/Uo8lOkRJ_normal.jpg","View")</f>
        <v>View</v>
      </c>
      <c r="P17257" s="7"/>
    </row>
    <row r="17258" spans="1:16">
      <c r="A17258" s="3">
        <v>44534.863819444443</v>
      </c>
      <c r="B17258" s="4" t="str">
        <f>HYPERLINK("https://twitter.com/petrogustavo","@petrogustavo")</f>
        <v>@petrogustavo</v>
      </c>
      <c r="C17258" s="5" t="s">
        <v>16</v>
      </c>
      <c r="D17258" s="5" t="s">
        <v>16608</v>
      </c>
      <c r="E17258" s="6" t="str">
        <f>HYPERLINK("https://twitter.com/petrogustavo/status/1467150173470179337","1467150173470179337")</f>
        <v>1467150173470179337</v>
      </c>
      <c r="F17258" s="7" t="s">
        <v>17</v>
      </c>
      <c r="G17258" s="7">
        <v>4418386</v>
      </c>
      <c r="H17258" s="7">
        <v>2578</v>
      </c>
      <c r="I17258" s="7">
        <v>27</v>
      </c>
      <c r="J17258" s="7">
        <v>0</v>
      </c>
      <c r="K17258" s="7" t="s">
        <v>18</v>
      </c>
      <c r="L17258" s="8">
        <v>39987.315405092595</v>
      </c>
      <c r="M17258" s="9" t="s">
        <v>19</v>
      </c>
      <c r="N17258" s="9" t="s">
        <v>20</v>
      </c>
      <c r="O17258" s="6" t="str">
        <f>HYPERLINK("https://pbs.twimg.com/profile_images/962471262747529216/Uo8lOkRJ_normal.jpg","View")</f>
        <v>View</v>
      </c>
      <c r="P17258" s="7"/>
    </row>
    <row r="17259" spans="1:16">
      <c r="A17259" s="3">
        <v>44534.997488425928</v>
      </c>
      <c r="B17259" s="4" t="str">
        <f>HYPERLINK("https://twitter.com/petrogustavo","@petrogustavo")</f>
        <v>@petrogustavo</v>
      </c>
      <c r="C17259" s="5" t="s">
        <v>16</v>
      </c>
      <c r="D17259" s="5" t="s">
        <v>16609</v>
      </c>
      <c r="E17259" s="6" t="str">
        <f>HYPERLINK("https://twitter.com/petrogustavo/status/1467198612992106498","1467198612992106498")</f>
        <v>1467198612992106498</v>
      </c>
      <c r="F17259" s="7" t="s">
        <v>17</v>
      </c>
      <c r="G17259" s="7">
        <v>4418511</v>
      </c>
      <c r="H17259" s="7">
        <v>2578</v>
      </c>
      <c r="I17259" s="7">
        <v>28</v>
      </c>
      <c r="J17259" s="7">
        <v>165</v>
      </c>
      <c r="K17259" s="7" t="s">
        <v>18</v>
      </c>
      <c r="L17259" s="8">
        <v>39987.315405092595</v>
      </c>
      <c r="M17259" s="9" t="s">
        <v>19</v>
      </c>
      <c r="N17259" s="9" t="s">
        <v>20</v>
      </c>
      <c r="O17259" s="6" t="str">
        <f>HYPERLINK("https://pbs.twimg.com/profile_images/962471262747529216/Uo8lOkRJ_normal.jpg","View")</f>
        <v>View</v>
      </c>
      <c r="P17259" s="7"/>
    </row>
    <row r="17260" spans="1:16">
      <c r="A17260" s="3">
        <v>44535.013692129629</v>
      </c>
      <c r="B17260" s="4" t="str">
        <f>HYPERLINK("https://twitter.com/petrogustavo","@petrogustavo")</f>
        <v>@petrogustavo</v>
      </c>
      <c r="C17260" s="5" t="s">
        <v>16</v>
      </c>
      <c r="D17260" s="5" t="s">
        <v>16610</v>
      </c>
      <c r="E17260" s="6" t="str">
        <f>HYPERLINK("https://twitter.com/petrogustavo/status/1467204484900298762","1467204484900298762")</f>
        <v>1467204484900298762</v>
      </c>
      <c r="F17260" s="7" t="s">
        <v>17</v>
      </c>
      <c r="G17260" s="7">
        <v>4418518</v>
      </c>
      <c r="H17260" s="7">
        <v>2578</v>
      </c>
      <c r="I17260" s="7">
        <v>40</v>
      </c>
      <c r="J17260" s="7">
        <v>155</v>
      </c>
      <c r="K17260" s="7" t="s">
        <v>18</v>
      </c>
      <c r="L17260" s="8">
        <v>39987.315405092595</v>
      </c>
      <c r="M17260" s="9" t="s">
        <v>19</v>
      </c>
      <c r="N17260" s="9" t="s">
        <v>20</v>
      </c>
      <c r="O17260" s="6" t="str">
        <f>HYPERLINK("https://pbs.twimg.com/profile_images/962471262747529216/Uo8lOkRJ_normal.jpg","View")</f>
        <v>View</v>
      </c>
      <c r="P17260" s="7"/>
    </row>
    <row r="17261" spans="1:16">
      <c r="A17261" s="3">
        <v>44535.122037037036</v>
      </c>
      <c r="B17261" s="4" t="str">
        <f>HYPERLINK("https://twitter.com/petrogustavo","@petrogustavo")</f>
        <v>@petrogustavo</v>
      </c>
      <c r="C17261" s="5" t="s">
        <v>16</v>
      </c>
      <c r="D17261" s="5" t="s">
        <v>16611</v>
      </c>
      <c r="E17261" s="6" t="str">
        <f>HYPERLINK("https://twitter.com/petrogustavo/status/1467243749629734919","1467243749629734919")</f>
        <v>1467243749629734919</v>
      </c>
      <c r="F17261" s="7" t="s">
        <v>17</v>
      </c>
      <c r="G17261" s="7">
        <v>4418584</v>
      </c>
      <c r="H17261" s="7">
        <v>2578</v>
      </c>
      <c r="I17261" s="7">
        <v>42</v>
      </c>
      <c r="J17261" s="7">
        <v>0</v>
      </c>
      <c r="K17261" s="7" t="s">
        <v>18</v>
      </c>
      <c r="L17261" s="8">
        <v>39987.315405092595</v>
      </c>
      <c r="M17261" s="9" t="s">
        <v>19</v>
      </c>
      <c r="N17261" s="9" t="s">
        <v>20</v>
      </c>
      <c r="O17261" s="6" t="str">
        <f>HYPERLINK("https://pbs.twimg.com/profile_images/962471262747529216/Uo8lOkRJ_normal.jpg","View")</f>
        <v>View</v>
      </c>
      <c r="P17261" s="7"/>
    </row>
    <row r="17262" spans="1:16">
      <c r="A17262" s="3">
        <v>44535.140497685185</v>
      </c>
      <c r="B17262" s="4" t="str">
        <f>HYPERLINK("https://twitter.com/petrogustavo","@petrogustavo")</f>
        <v>@petrogustavo</v>
      </c>
      <c r="C17262" s="5" t="s">
        <v>16</v>
      </c>
      <c r="D17262" s="5" t="s">
        <v>16612</v>
      </c>
      <c r="E17262" s="6" t="str">
        <f>HYPERLINK("https://twitter.com/petrogustavo/status/1467250437543899141","1467250437543899141")</f>
        <v>1467250437543899141</v>
      </c>
      <c r="F17262" s="7" t="s">
        <v>17</v>
      </c>
      <c r="G17262" s="7">
        <v>4418602</v>
      </c>
      <c r="H17262" s="7">
        <v>2578</v>
      </c>
      <c r="I17262" s="7">
        <v>93</v>
      </c>
      <c r="J17262" s="7">
        <v>349</v>
      </c>
      <c r="K17262" s="7" t="s">
        <v>18</v>
      </c>
      <c r="L17262" s="8">
        <v>39987.315405092595</v>
      </c>
      <c r="M17262" s="9" t="s">
        <v>19</v>
      </c>
      <c r="N17262" s="9" t="s">
        <v>20</v>
      </c>
      <c r="O17262" s="6" t="str">
        <f>HYPERLINK("https://pbs.twimg.com/profile_images/962471262747529216/Uo8lOkRJ_normal.jpg","View")</f>
        <v>View</v>
      </c>
      <c r="P17262" s="7"/>
    </row>
    <row r="17263" spans="1:16">
      <c r="A17263" s="3">
        <v>44535.191238425927</v>
      </c>
      <c r="B17263" s="4" t="str">
        <f>HYPERLINK("https://twitter.com/petrogustavo","@petrogustavo")</f>
        <v>@petrogustavo</v>
      </c>
      <c r="C17263" s="5" t="s">
        <v>16</v>
      </c>
      <c r="D17263" s="5" t="s">
        <v>16613</v>
      </c>
      <c r="E17263" s="6" t="str">
        <f>HYPERLINK("https://twitter.com/petrogustavo/status/1467268825053868036","1467268825053868036")</f>
        <v>1467268825053868036</v>
      </c>
      <c r="F17263" s="7" t="s">
        <v>17</v>
      </c>
      <c r="G17263" s="7">
        <v>4418642</v>
      </c>
      <c r="H17263" s="7">
        <v>2578</v>
      </c>
      <c r="I17263" s="7">
        <v>88</v>
      </c>
      <c r="J17263" s="7">
        <v>283</v>
      </c>
      <c r="K17263" s="7" t="s">
        <v>18</v>
      </c>
      <c r="L17263" s="8">
        <v>39987.315405092595</v>
      </c>
      <c r="M17263" s="9" t="s">
        <v>19</v>
      </c>
      <c r="N17263" s="9" t="s">
        <v>20</v>
      </c>
      <c r="O17263" s="6" t="str">
        <f>HYPERLINK("https://pbs.twimg.com/profile_images/962471262747529216/Uo8lOkRJ_normal.jpg","View")</f>
        <v>View</v>
      </c>
      <c r="P17263" s="7"/>
    </row>
    <row r="17264" spans="1:16">
      <c r="A17264" s="3">
        <v>44535.196157407408</v>
      </c>
      <c r="B17264" s="4" t="str">
        <f>HYPERLINK("https://twitter.com/petrogustavo","@petrogustavo")</f>
        <v>@petrogustavo</v>
      </c>
      <c r="C17264" s="5" t="s">
        <v>16</v>
      </c>
      <c r="D17264" s="5" t="s">
        <v>16614</v>
      </c>
      <c r="E17264" s="6" t="str">
        <f>HYPERLINK("https://twitter.com/petrogustavo/status/1467270610111942656","1467270610111942656")</f>
        <v>1467270610111942656</v>
      </c>
      <c r="F17264" s="7" t="s">
        <v>17</v>
      </c>
      <c r="G17264" s="7">
        <v>4418642</v>
      </c>
      <c r="H17264" s="7">
        <v>2578</v>
      </c>
      <c r="I17264" s="7">
        <v>55</v>
      </c>
      <c r="J17264" s="7">
        <v>0</v>
      </c>
      <c r="K17264" s="7" t="s">
        <v>18</v>
      </c>
      <c r="L17264" s="8">
        <v>39987.315405092595</v>
      </c>
      <c r="M17264" s="9" t="s">
        <v>19</v>
      </c>
      <c r="N17264" s="9" t="s">
        <v>20</v>
      </c>
      <c r="O17264" s="6" t="str">
        <f>HYPERLINK("https://pbs.twimg.com/profile_images/962471262747529216/Uo8lOkRJ_normal.jpg","View")</f>
        <v>View</v>
      </c>
      <c r="P17264" s="7"/>
    </row>
    <row r="17265" spans="1:16">
      <c r="A17265" s="3">
        <v>44535.198217592595</v>
      </c>
      <c r="B17265" s="4" t="str">
        <f>HYPERLINK("https://twitter.com/petrogustavo","@petrogustavo")</f>
        <v>@petrogustavo</v>
      </c>
      <c r="C17265" s="5" t="s">
        <v>16</v>
      </c>
      <c r="D17265" s="5" t="s">
        <v>16615</v>
      </c>
      <c r="E17265" s="6" t="str">
        <f>HYPERLINK("https://twitter.com/petrogustavo/status/1467271354378604548","1467271354378604548")</f>
        <v>1467271354378604548</v>
      </c>
      <c r="F17265" s="7" t="s">
        <v>17</v>
      </c>
      <c r="G17265" s="7">
        <v>4418642</v>
      </c>
      <c r="H17265" s="7">
        <v>2578</v>
      </c>
      <c r="I17265" s="7">
        <v>19</v>
      </c>
      <c r="J17265" s="7">
        <v>0</v>
      </c>
      <c r="K17265" s="7" t="s">
        <v>18</v>
      </c>
      <c r="L17265" s="8">
        <v>39987.315405092595</v>
      </c>
      <c r="M17265" s="9" t="s">
        <v>19</v>
      </c>
      <c r="N17265" s="9" t="s">
        <v>20</v>
      </c>
      <c r="O17265" s="6" t="str">
        <f>HYPERLINK("https://pbs.twimg.com/profile_images/962471262747529216/Uo8lOkRJ_normal.jpg","View")</f>
        <v>View</v>
      </c>
      <c r="P17265" s="7"/>
    </row>
    <row r="17266" spans="1:16">
      <c r="A17266" s="3">
        <v>44535.198391203703</v>
      </c>
      <c r="B17266" s="4" t="str">
        <f>HYPERLINK("https://twitter.com/petrogustavo","@petrogustavo")</f>
        <v>@petrogustavo</v>
      </c>
      <c r="C17266" s="5" t="s">
        <v>16</v>
      </c>
      <c r="D17266" s="5" t="s">
        <v>16616</v>
      </c>
      <c r="E17266" s="6" t="str">
        <f>HYPERLINK("https://twitter.com/petrogustavo/status/1467271417788047371","1467271417788047371")</f>
        <v>1467271417788047371</v>
      </c>
      <c r="F17266" s="7" t="s">
        <v>17</v>
      </c>
      <c r="G17266" s="7">
        <v>4418642</v>
      </c>
      <c r="H17266" s="7">
        <v>2578</v>
      </c>
      <c r="I17266" s="7">
        <v>14</v>
      </c>
      <c r="J17266" s="7">
        <v>0</v>
      </c>
      <c r="K17266" s="7" t="s">
        <v>18</v>
      </c>
      <c r="L17266" s="8">
        <v>39987.315405092595</v>
      </c>
      <c r="M17266" s="9" t="s">
        <v>19</v>
      </c>
      <c r="N17266" s="9" t="s">
        <v>20</v>
      </c>
      <c r="O17266" s="6" t="str">
        <f>HYPERLINK("https://pbs.twimg.com/profile_images/962471262747529216/Uo8lOkRJ_normal.jpg","View")</f>
        <v>View</v>
      </c>
      <c r="P17266" s="7"/>
    </row>
    <row r="17267" spans="1:16">
      <c r="A17267" s="3">
        <v>44535.199895833328</v>
      </c>
      <c r="B17267" s="4" t="str">
        <f>HYPERLINK("https://twitter.com/petrogustavo","@petrogustavo")</f>
        <v>@petrogustavo</v>
      </c>
      <c r="C17267" s="5" t="s">
        <v>16</v>
      </c>
      <c r="D17267" s="5" t="s">
        <v>16617</v>
      </c>
      <c r="E17267" s="6" t="str">
        <f>HYPERLINK("https://twitter.com/petrogustavo/status/1467271966059110401","1467271966059110401")</f>
        <v>1467271966059110401</v>
      </c>
      <c r="F17267" s="7" t="s">
        <v>17</v>
      </c>
      <c r="G17267" s="7">
        <v>4418642</v>
      </c>
      <c r="H17267" s="7">
        <v>2578</v>
      </c>
      <c r="I17267" s="7">
        <v>1578</v>
      </c>
      <c r="J17267" s="7">
        <v>0</v>
      </c>
      <c r="K17267" s="7" t="s">
        <v>18</v>
      </c>
      <c r="L17267" s="8">
        <v>39987.315405092595</v>
      </c>
      <c r="M17267" s="9" t="s">
        <v>19</v>
      </c>
      <c r="N17267" s="9" t="s">
        <v>20</v>
      </c>
      <c r="O17267" s="6" t="str">
        <f>HYPERLINK("https://pbs.twimg.com/profile_images/962471262747529216/Uo8lOkRJ_normal.jpg","View")</f>
        <v>View</v>
      </c>
      <c r="P17267" s="7"/>
    </row>
    <row r="17268" spans="1:16">
      <c r="A17268" s="3">
        <v>44535.204918981486</v>
      </c>
      <c r="B17268" s="4" t="str">
        <f>HYPERLINK("https://twitter.com/petrogustavo","@petrogustavo")</f>
        <v>@petrogustavo</v>
      </c>
      <c r="C17268" s="5" t="s">
        <v>16</v>
      </c>
      <c r="D17268" s="5" t="s">
        <v>16618</v>
      </c>
      <c r="E17268" s="6" t="str">
        <f>HYPERLINK("https://twitter.com/petrogustavo/status/1467273783472013319","1467273783472013319")</f>
        <v>1467273783472013319</v>
      </c>
      <c r="F17268" s="7" t="s">
        <v>17</v>
      </c>
      <c r="G17268" s="7">
        <v>4418642</v>
      </c>
      <c r="H17268" s="7">
        <v>2578</v>
      </c>
      <c r="I17268" s="7">
        <v>499</v>
      </c>
      <c r="J17268" s="7">
        <v>0</v>
      </c>
      <c r="K17268" s="7" t="s">
        <v>18</v>
      </c>
      <c r="L17268" s="8">
        <v>39987.315405092595</v>
      </c>
      <c r="M17268" s="9" t="s">
        <v>19</v>
      </c>
      <c r="N17268" s="9" t="s">
        <v>20</v>
      </c>
      <c r="O17268" s="6" t="str">
        <f>HYPERLINK("https://pbs.twimg.com/profile_images/962471262747529216/Uo8lOkRJ_normal.jpg","View")</f>
        <v>View</v>
      </c>
      <c r="P17268" s="7"/>
    </row>
    <row r="17269" spans="1:16">
      <c r="A17269" s="3">
        <v>44535.227754629625</v>
      </c>
      <c r="B17269" s="4" t="str">
        <f>HYPERLINK("https://twitter.com/petrogustavo","@petrogustavo")</f>
        <v>@petrogustavo</v>
      </c>
      <c r="C17269" s="5" t="s">
        <v>16</v>
      </c>
      <c r="D17269" s="5" t="s">
        <v>16619</v>
      </c>
      <c r="E17269" s="6" t="str">
        <f>HYPERLINK("https://twitter.com/petrogustavo/status/1467282059458756612","1467282059458756612")</f>
        <v>1467282059458756612</v>
      </c>
      <c r="F17269" s="7" t="s">
        <v>17</v>
      </c>
      <c r="G17269" s="7">
        <v>4418660</v>
      </c>
      <c r="H17269" s="7">
        <v>2579</v>
      </c>
      <c r="I17269" s="7">
        <v>291</v>
      </c>
      <c r="J17269" s="7">
        <v>0</v>
      </c>
      <c r="K17269" s="7" t="s">
        <v>18</v>
      </c>
      <c r="L17269" s="8">
        <v>39987.315405092595</v>
      </c>
      <c r="M17269" s="9" t="s">
        <v>19</v>
      </c>
      <c r="N17269" s="9" t="s">
        <v>20</v>
      </c>
      <c r="O17269" s="6" t="str">
        <f>HYPERLINK("https://pbs.twimg.com/profile_images/962471262747529216/Uo8lOkRJ_normal.jpg","View")</f>
        <v>View</v>
      </c>
      <c r="P17269" s="7"/>
    </row>
    <row r="17270" spans="1:16">
      <c r="A17270" s="3">
        <v>44535.228576388894</v>
      </c>
      <c r="B17270" s="4" t="str">
        <f>HYPERLINK("https://twitter.com/petrogustavo","@petrogustavo")</f>
        <v>@petrogustavo</v>
      </c>
      <c r="C17270" s="5" t="s">
        <v>16</v>
      </c>
      <c r="D17270" s="5" t="s">
        <v>16620</v>
      </c>
      <c r="E17270" s="6" t="str">
        <f>HYPERLINK("https://twitter.com/petrogustavo/status/1467282355899535372","1467282355899535372")</f>
        <v>1467282355899535372</v>
      </c>
      <c r="F17270" s="7" t="s">
        <v>17</v>
      </c>
      <c r="G17270" s="7">
        <v>4418660</v>
      </c>
      <c r="H17270" s="7">
        <v>2579</v>
      </c>
      <c r="I17270" s="7">
        <v>375</v>
      </c>
      <c r="J17270" s="7">
        <v>0</v>
      </c>
      <c r="K17270" s="7" t="s">
        <v>18</v>
      </c>
      <c r="L17270" s="8">
        <v>39987.315405092595</v>
      </c>
      <c r="M17270" s="9" t="s">
        <v>19</v>
      </c>
      <c r="N17270" s="9" t="s">
        <v>20</v>
      </c>
      <c r="O17270" s="6" t="str">
        <f>HYPERLINK("https://pbs.twimg.com/profile_images/962471262747529216/Uo8lOkRJ_normal.jpg","View")</f>
        <v>View</v>
      </c>
      <c r="P17270" s="7"/>
    </row>
    <row r="17271" spans="1:16">
      <c r="A17271" s="3">
        <v>44535.883923611109</v>
      </c>
      <c r="B17271" s="4" t="str">
        <f>HYPERLINK("https://twitter.com/petrogustavo","@petrogustavo")</f>
        <v>@petrogustavo</v>
      </c>
      <c r="C17271" s="5" t="s">
        <v>16</v>
      </c>
      <c r="D17271" s="5" t="s">
        <v>16621</v>
      </c>
      <c r="E17271" s="6" t="str">
        <f>HYPERLINK("https://twitter.com/petrogustavo/status/1467519847655481344","1467519847655481344")</f>
        <v>1467519847655481344</v>
      </c>
      <c r="F17271" s="7" t="s">
        <v>17</v>
      </c>
      <c r="G17271" s="7">
        <v>4418992</v>
      </c>
      <c r="H17271" s="7">
        <v>2579</v>
      </c>
      <c r="I17271" s="7">
        <v>68</v>
      </c>
      <c r="J17271" s="7">
        <v>176</v>
      </c>
      <c r="K17271" s="7" t="s">
        <v>18</v>
      </c>
      <c r="L17271" s="8">
        <v>39987.315405092595</v>
      </c>
      <c r="M17271" s="9" t="s">
        <v>19</v>
      </c>
      <c r="N17271" s="9" t="s">
        <v>20</v>
      </c>
      <c r="O17271" s="6" t="str">
        <f>HYPERLINK("https://pbs.twimg.com/profile_images/962471262747529216/Uo8lOkRJ_normal.jpg","View")</f>
        <v>View</v>
      </c>
      <c r="P17271" s="7"/>
    </row>
    <row r="17272" spans="1:16">
      <c r="A17272" s="3">
        <v>44535.896284722221</v>
      </c>
      <c r="B17272" s="4" t="str">
        <f>HYPERLINK("https://twitter.com/petrogustavo","@petrogustavo")</f>
        <v>@petrogustavo</v>
      </c>
      <c r="C17272" s="5" t="s">
        <v>16</v>
      </c>
      <c r="D17272" s="5" t="s">
        <v>16622</v>
      </c>
      <c r="E17272" s="6" t="str">
        <f>HYPERLINK("https://twitter.com/petrogustavo/status/1467524327826464774","1467524327826464774")</f>
        <v>1467524327826464774</v>
      </c>
      <c r="F17272" s="7" t="s">
        <v>17</v>
      </c>
      <c r="G17272" s="7">
        <v>4418992</v>
      </c>
      <c r="H17272" s="7">
        <v>2579</v>
      </c>
      <c r="I17272" s="7">
        <v>14</v>
      </c>
      <c r="J17272" s="7">
        <v>33</v>
      </c>
      <c r="K17272" s="7" t="s">
        <v>18</v>
      </c>
      <c r="L17272" s="8">
        <v>39987.315405092595</v>
      </c>
      <c r="M17272" s="9" t="s">
        <v>19</v>
      </c>
      <c r="N17272" s="9" t="s">
        <v>20</v>
      </c>
      <c r="O17272" s="6" t="str">
        <f>HYPERLINK("https://pbs.twimg.com/profile_images/962471262747529216/Uo8lOkRJ_normal.jpg","View")</f>
        <v>View</v>
      </c>
      <c r="P17272" s="7"/>
    </row>
    <row r="17273" spans="1:16">
      <c r="A17273" s="3">
        <v>44535.910173611112</v>
      </c>
      <c r="B17273" s="4" t="str">
        <f>HYPERLINK("https://twitter.com/petrogustavo","@petrogustavo")</f>
        <v>@petrogustavo</v>
      </c>
      <c r="C17273" s="5" t="s">
        <v>16</v>
      </c>
      <c r="D17273" s="5" t="s">
        <v>16623</v>
      </c>
      <c r="E17273" s="6" t="str">
        <f>HYPERLINK("https://twitter.com/petrogustavo/status/1467529360949325830","1467529360949325830")</f>
        <v>1467529360949325830</v>
      </c>
      <c r="F17273" s="7" t="s">
        <v>17</v>
      </c>
      <c r="G17273" s="7">
        <v>4419006</v>
      </c>
      <c r="H17273" s="7">
        <v>2579</v>
      </c>
      <c r="I17273" s="7">
        <v>19</v>
      </c>
      <c r="J17273" s="7">
        <v>0</v>
      </c>
      <c r="K17273" s="7" t="s">
        <v>18</v>
      </c>
      <c r="L17273" s="8">
        <v>39987.315405092595</v>
      </c>
      <c r="M17273" s="9" t="s">
        <v>19</v>
      </c>
      <c r="N17273" s="9" t="s">
        <v>20</v>
      </c>
      <c r="O17273" s="6" t="str">
        <f>HYPERLINK("https://pbs.twimg.com/profile_images/962471262747529216/Uo8lOkRJ_normal.jpg","View")</f>
        <v>View</v>
      </c>
      <c r="P17273" s="7"/>
    </row>
    <row r="17274" spans="1:16">
      <c r="A17274" s="3">
        <v>44535.910578703704</v>
      </c>
      <c r="B17274" s="4" t="str">
        <f>HYPERLINK("https://twitter.com/petrogustavo","@petrogustavo")</f>
        <v>@petrogustavo</v>
      </c>
      <c r="C17274" s="5" t="s">
        <v>16</v>
      </c>
      <c r="D17274" s="5" t="s">
        <v>16624</v>
      </c>
      <c r="E17274" s="6" t="str">
        <f>HYPERLINK("https://twitter.com/petrogustavo/status/1467529507540250628","1467529507540250628")</f>
        <v>1467529507540250628</v>
      </c>
      <c r="F17274" s="7" t="s">
        <v>17</v>
      </c>
      <c r="G17274" s="7">
        <v>4419006</v>
      </c>
      <c r="H17274" s="7">
        <v>2579</v>
      </c>
      <c r="I17274" s="7">
        <v>21</v>
      </c>
      <c r="J17274" s="7">
        <v>0</v>
      </c>
      <c r="K17274" s="7" t="s">
        <v>18</v>
      </c>
      <c r="L17274" s="8">
        <v>39987.315405092595</v>
      </c>
      <c r="M17274" s="9" t="s">
        <v>19</v>
      </c>
      <c r="N17274" s="9" t="s">
        <v>20</v>
      </c>
      <c r="O17274" s="6" t="str">
        <f>HYPERLINK("https://pbs.twimg.com/profile_images/962471262747529216/Uo8lOkRJ_normal.jpg","View")</f>
        <v>View</v>
      </c>
      <c r="P17274" s="7"/>
    </row>
    <row r="17275" spans="1:16">
      <c r="A17275" s="3">
        <v>44535.910810185189</v>
      </c>
      <c r="B17275" s="4" t="str">
        <f>HYPERLINK("https://twitter.com/petrogustavo","@petrogustavo")</f>
        <v>@petrogustavo</v>
      </c>
      <c r="C17275" s="5" t="s">
        <v>16</v>
      </c>
      <c r="D17275" s="5" t="s">
        <v>16625</v>
      </c>
      <c r="E17275" s="6" t="str">
        <f>HYPERLINK("https://twitter.com/petrogustavo/status/1467529589492703235","1467529589492703235")</f>
        <v>1467529589492703235</v>
      </c>
      <c r="F17275" s="7" t="s">
        <v>17</v>
      </c>
      <c r="G17275" s="7">
        <v>4419006</v>
      </c>
      <c r="H17275" s="7">
        <v>2579</v>
      </c>
      <c r="I17275" s="7">
        <v>22</v>
      </c>
      <c r="J17275" s="7">
        <v>0</v>
      </c>
      <c r="K17275" s="7" t="s">
        <v>18</v>
      </c>
      <c r="L17275" s="8">
        <v>39987.315405092595</v>
      </c>
      <c r="M17275" s="9" t="s">
        <v>19</v>
      </c>
      <c r="N17275" s="9" t="s">
        <v>20</v>
      </c>
      <c r="O17275" s="6" t="str">
        <f>HYPERLINK("https://pbs.twimg.com/profile_images/962471262747529216/Uo8lOkRJ_normal.jpg","View")</f>
        <v>View</v>
      </c>
      <c r="P17275" s="7"/>
    </row>
    <row r="17276" spans="1:16">
      <c r="A17276" s="3">
        <v>44535.915439814809</v>
      </c>
      <c r="B17276" s="4" t="str">
        <f>HYPERLINK("https://twitter.com/petrogustavo","@petrogustavo")</f>
        <v>@petrogustavo</v>
      </c>
      <c r="C17276" s="5" t="s">
        <v>16</v>
      </c>
      <c r="D17276" s="5" t="s">
        <v>16626</v>
      </c>
      <c r="E17276" s="6" t="str">
        <f>HYPERLINK("https://twitter.com/petrogustavo/status/1467531268682305543","1467531268682305543")</f>
        <v>1467531268682305543</v>
      </c>
      <c r="F17276" s="7" t="s">
        <v>17</v>
      </c>
      <c r="G17276" s="7">
        <v>4419006</v>
      </c>
      <c r="H17276" s="7">
        <v>2579</v>
      </c>
      <c r="I17276" s="7">
        <v>16</v>
      </c>
      <c r="J17276" s="7">
        <v>0</v>
      </c>
      <c r="K17276" s="7" t="s">
        <v>18</v>
      </c>
      <c r="L17276" s="8">
        <v>39987.315405092595</v>
      </c>
      <c r="M17276" s="9" t="s">
        <v>19</v>
      </c>
      <c r="N17276" s="9" t="s">
        <v>20</v>
      </c>
      <c r="O17276" s="6" t="str">
        <f>HYPERLINK("https://pbs.twimg.com/profile_images/962471262747529216/Uo8lOkRJ_normal.jpg","View")</f>
        <v>View</v>
      </c>
      <c r="P17276" s="7"/>
    </row>
    <row r="17277" spans="1:16">
      <c r="A17277" s="3">
        <v>44535.918252314819</v>
      </c>
      <c r="B17277" s="4" t="str">
        <f>HYPERLINK("https://twitter.com/petrogustavo","@petrogustavo")</f>
        <v>@petrogustavo</v>
      </c>
      <c r="C17277" s="5" t="s">
        <v>16</v>
      </c>
      <c r="D17277" s="5" t="s">
        <v>16627</v>
      </c>
      <c r="E17277" s="6" t="str">
        <f>HYPERLINK("https://twitter.com/petrogustavo/status/1467532286514143252","1467532286514143252")</f>
        <v>1467532286514143252</v>
      </c>
      <c r="F17277" s="7" t="s">
        <v>17</v>
      </c>
      <c r="G17277" s="7">
        <v>4419006</v>
      </c>
      <c r="H17277" s="7">
        <v>2579</v>
      </c>
      <c r="I17277" s="7">
        <v>20</v>
      </c>
      <c r="J17277" s="7">
        <v>0</v>
      </c>
      <c r="K17277" s="7" t="s">
        <v>18</v>
      </c>
      <c r="L17277" s="8">
        <v>39987.315405092595</v>
      </c>
      <c r="M17277" s="9" t="s">
        <v>19</v>
      </c>
      <c r="N17277" s="9" t="s">
        <v>20</v>
      </c>
      <c r="O17277" s="6" t="str">
        <f>HYPERLINK("https://pbs.twimg.com/profile_images/962471262747529216/Uo8lOkRJ_normal.jpg","View")</f>
        <v>View</v>
      </c>
      <c r="P17277" s="7"/>
    </row>
    <row r="17278" spans="1:16">
      <c r="A17278" s="3">
        <v>44535.923784722225</v>
      </c>
      <c r="B17278" s="4" t="str">
        <f>HYPERLINK("https://twitter.com/petrogustavo","@petrogustavo")</f>
        <v>@petrogustavo</v>
      </c>
      <c r="C17278" s="5" t="s">
        <v>16</v>
      </c>
      <c r="D17278" s="5" t="s">
        <v>16628</v>
      </c>
      <c r="E17278" s="6" t="str">
        <f>HYPERLINK("https://twitter.com/petrogustavo/status/1467534294348447751","1467534294348447751")</f>
        <v>1467534294348447751</v>
      </c>
      <c r="F17278" s="7" t="s">
        <v>17</v>
      </c>
      <c r="G17278" s="7">
        <v>4419023</v>
      </c>
      <c r="H17278" s="7">
        <v>2579</v>
      </c>
      <c r="I17278" s="7">
        <v>184</v>
      </c>
      <c r="J17278" s="7">
        <v>0</v>
      </c>
      <c r="K17278" s="7" t="s">
        <v>18</v>
      </c>
      <c r="L17278" s="8">
        <v>39987.315405092595</v>
      </c>
      <c r="M17278" s="9" t="s">
        <v>19</v>
      </c>
      <c r="N17278" s="9" t="s">
        <v>20</v>
      </c>
      <c r="O17278" s="6" t="str">
        <f>HYPERLINK("https://pbs.twimg.com/profile_images/962471262747529216/Uo8lOkRJ_normal.jpg","View")</f>
        <v>View</v>
      </c>
      <c r="P17278" s="7"/>
    </row>
    <row r="17279" spans="1:16">
      <c r="A17279" s="3">
        <v>44535.927881944444</v>
      </c>
      <c r="B17279" s="4" t="str">
        <f>HYPERLINK("https://twitter.com/petrogustavo","@petrogustavo")</f>
        <v>@petrogustavo</v>
      </c>
      <c r="C17279" s="5" t="s">
        <v>16</v>
      </c>
      <c r="D17279" s="5" t="s">
        <v>16629</v>
      </c>
      <c r="E17279" s="6" t="str">
        <f>HYPERLINK("https://twitter.com/petrogustavo/status/1467535775814361088","1467535775814361088")</f>
        <v>1467535775814361088</v>
      </c>
      <c r="F17279" s="7" t="s">
        <v>17</v>
      </c>
      <c r="G17279" s="7">
        <v>4419023</v>
      </c>
      <c r="H17279" s="7">
        <v>2579</v>
      </c>
      <c r="I17279" s="7">
        <v>61</v>
      </c>
      <c r="J17279" s="7">
        <v>0</v>
      </c>
      <c r="K17279" s="7" t="s">
        <v>18</v>
      </c>
      <c r="L17279" s="8">
        <v>39987.315405092595</v>
      </c>
      <c r="M17279" s="9" t="s">
        <v>19</v>
      </c>
      <c r="N17279" s="9" t="s">
        <v>20</v>
      </c>
      <c r="O17279" s="6" t="str">
        <f>HYPERLINK("https://pbs.twimg.com/profile_images/962471262747529216/Uo8lOkRJ_normal.jpg","View")</f>
        <v>View</v>
      </c>
      <c r="P17279" s="7"/>
    </row>
    <row r="17280" spans="1:16">
      <c r="A17280" s="3">
        <v>44535.930289351847</v>
      </c>
      <c r="B17280" s="4" t="str">
        <f>HYPERLINK("https://twitter.com/petrogustavo","@petrogustavo")</f>
        <v>@petrogustavo</v>
      </c>
      <c r="C17280" s="5" t="s">
        <v>16</v>
      </c>
      <c r="D17280" s="5" t="s">
        <v>16630</v>
      </c>
      <c r="E17280" s="6" t="str">
        <f>HYPERLINK("https://twitter.com/petrogustavo/status/1467536648862896128","1467536648862896128")</f>
        <v>1467536648862896128</v>
      </c>
      <c r="F17280" s="7" t="s">
        <v>17</v>
      </c>
      <c r="G17280" s="7">
        <v>4419023</v>
      </c>
      <c r="H17280" s="7">
        <v>2579</v>
      </c>
      <c r="I17280" s="7">
        <v>61</v>
      </c>
      <c r="J17280" s="7">
        <v>189</v>
      </c>
      <c r="K17280" s="7" t="s">
        <v>18</v>
      </c>
      <c r="L17280" s="8">
        <v>39987.315405092595</v>
      </c>
      <c r="M17280" s="9" t="s">
        <v>19</v>
      </c>
      <c r="N17280" s="9" t="s">
        <v>20</v>
      </c>
      <c r="O17280" s="6" t="str">
        <f>HYPERLINK("https://pbs.twimg.com/profile_images/962471262747529216/Uo8lOkRJ_normal.jpg","View")</f>
        <v>View</v>
      </c>
      <c r="P17280" s="7"/>
    </row>
    <row r="17281" spans="1:16">
      <c r="A17281" s="3">
        <v>44535.984027777777</v>
      </c>
      <c r="B17281" s="4" t="str">
        <f>HYPERLINK("https://twitter.com/petrogustavo","@petrogustavo")</f>
        <v>@petrogustavo</v>
      </c>
      <c r="C17281" s="5" t="s">
        <v>16</v>
      </c>
      <c r="D17281" s="5" t="s">
        <v>16628</v>
      </c>
      <c r="E17281" s="6" t="str">
        <f>HYPERLINK("https://twitter.com/petrogustavo/status/1467556124786413572","1467556124786413572")</f>
        <v>1467556124786413572</v>
      </c>
      <c r="F17281" s="7" t="s">
        <v>17</v>
      </c>
      <c r="G17281" s="7">
        <v>4419073</v>
      </c>
      <c r="H17281" s="7">
        <v>2579</v>
      </c>
      <c r="I17281" s="7">
        <v>285</v>
      </c>
      <c r="J17281" s="7">
        <v>0</v>
      </c>
      <c r="K17281" s="7" t="s">
        <v>18</v>
      </c>
      <c r="L17281" s="8">
        <v>39987.315405092595</v>
      </c>
      <c r="M17281" s="9" t="s">
        <v>19</v>
      </c>
      <c r="N17281" s="9" t="s">
        <v>20</v>
      </c>
      <c r="O17281" s="6" t="str">
        <f>HYPERLINK("https://pbs.twimg.com/profile_images/962471262747529216/Uo8lOkRJ_normal.jpg","View")</f>
        <v>View</v>
      </c>
      <c r="P17281" s="7"/>
    </row>
    <row r="17282" spans="1:16">
      <c r="A17282" s="3">
        <v>44535.994490740741</v>
      </c>
      <c r="B17282" s="4" t="str">
        <f>HYPERLINK("https://twitter.com/petrogustavo","@petrogustavo")</f>
        <v>@petrogustavo</v>
      </c>
      <c r="C17282" s="5" t="s">
        <v>16</v>
      </c>
      <c r="D17282" s="5" t="s">
        <v>16631</v>
      </c>
      <c r="E17282" s="6" t="str">
        <f>HYPERLINK("https://twitter.com/petrogustavo/status/1467559916575633412","1467559916575633412")</f>
        <v>1467559916575633412</v>
      </c>
      <c r="F17282" s="7" t="s">
        <v>17</v>
      </c>
      <c r="G17282" s="7">
        <v>4419073</v>
      </c>
      <c r="H17282" s="7">
        <v>2579</v>
      </c>
      <c r="I17282" s="7">
        <v>50</v>
      </c>
      <c r="J17282" s="7">
        <v>100</v>
      </c>
      <c r="K17282" s="7" t="s">
        <v>18</v>
      </c>
      <c r="L17282" s="8">
        <v>39987.315405092595</v>
      </c>
      <c r="M17282" s="9" t="s">
        <v>19</v>
      </c>
      <c r="N17282" s="9" t="s">
        <v>20</v>
      </c>
      <c r="O17282" s="6" t="str">
        <f>HYPERLINK("https://pbs.twimg.com/profile_images/962471262747529216/Uo8lOkRJ_normal.jpg","View")</f>
        <v>View</v>
      </c>
      <c r="P17282" s="7"/>
    </row>
    <row r="17283" spans="1:16">
      <c r="A17283" s="3">
        <v>44536.102835648147</v>
      </c>
      <c r="B17283" s="4" t="str">
        <f>HYPERLINK("https://twitter.com/petrogustavo","@petrogustavo")</f>
        <v>@petrogustavo</v>
      </c>
      <c r="C17283" s="5" t="s">
        <v>16</v>
      </c>
      <c r="D17283" s="5" t="s">
        <v>16632</v>
      </c>
      <c r="E17283" s="6" t="str">
        <f>HYPERLINK("https://twitter.com/petrogustavo/status/1467599176561266695","1467599176561266695")</f>
        <v>1467599176561266695</v>
      </c>
      <c r="F17283" s="7" t="s">
        <v>17</v>
      </c>
      <c r="G17283" s="7">
        <v>4419164</v>
      </c>
      <c r="H17283" s="7">
        <v>2579</v>
      </c>
      <c r="I17283" s="7">
        <v>78</v>
      </c>
      <c r="J17283" s="7">
        <v>0</v>
      </c>
      <c r="K17283" s="7" t="s">
        <v>18</v>
      </c>
      <c r="L17283" s="8">
        <v>39987.315405092595</v>
      </c>
      <c r="M17283" s="9" t="s">
        <v>19</v>
      </c>
      <c r="N17283" s="9" t="s">
        <v>20</v>
      </c>
      <c r="O17283" s="6" t="str">
        <f>HYPERLINK("https://pbs.twimg.com/profile_images/962471262747529216/Uo8lOkRJ_normal.jpg","View")</f>
        <v>View</v>
      </c>
      <c r="P17283" s="7"/>
    </row>
    <row r="17284" spans="1:16">
      <c r="A17284" s="3">
        <v>44536.146157407406</v>
      </c>
      <c r="B17284" s="4" t="str">
        <f>HYPERLINK("https://twitter.com/petrogustavo","@petrogustavo")</f>
        <v>@petrogustavo</v>
      </c>
      <c r="C17284" s="5" t="s">
        <v>16</v>
      </c>
      <c r="D17284" s="5" t="s">
        <v>16633</v>
      </c>
      <c r="E17284" s="6" t="str">
        <f>HYPERLINK("https://twitter.com/petrogustavo/status/1467614879565680656","1467614879565680656")</f>
        <v>1467614879565680656</v>
      </c>
      <c r="F17284" s="7" t="s">
        <v>17</v>
      </c>
      <c r="G17284" s="7">
        <v>4419205</v>
      </c>
      <c r="H17284" s="7">
        <v>2579</v>
      </c>
      <c r="I17284" s="7">
        <v>1714</v>
      </c>
      <c r="J17284" s="7">
        <v>0</v>
      </c>
      <c r="K17284" s="7" t="s">
        <v>18</v>
      </c>
      <c r="L17284" s="8">
        <v>39987.315405092595</v>
      </c>
      <c r="M17284" s="9" t="s">
        <v>19</v>
      </c>
      <c r="N17284" s="9" t="s">
        <v>20</v>
      </c>
      <c r="O17284" s="6" t="str">
        <f>HYPERLINK("https://pbs.twimg.com/profile_images/962471262747529216/Uo8lOkRJ_normal.jpg","View")</f>
        <v>View</v>
      </c>
      <c r="P17284" s="7"/>
    </row>
    <row r="17285" spans="1:16">
      <c r="A17285" s="3">
        <v>44536.174224537041</v>
      </c>
      <c r="B17285" s="4" t="str">
        <f>HYPERLINK("https://twitter.com/petrogustavo","@petrogustavo")</f>
        <v>@petrogustavo</v>
      </c>
      <c r="C17285" s="5" t="s">
        <v>16</v>
      </c>
      <c r="D17285" s="5" t="s">
        <v>16634</v>
      </c>
      <c r="E17285" s="6" t="str">
        <f>HYPERLINK("https://twitter.com/petrogustavo/status/1467625049431621636","1467625049431621636")</f>
        <v>1467625049431621636</v>
      </c>
      <c r="F17285" s="7" t="s">
        <v>17</v>
      </c>
      <c r="G17285" s="7">
        <v>4419233</v>
      </c>
      <c r="H17285" s="7">
        <v>2579</v>
      </c>
      <c r="I17285" s="7">
        <v>47</v>
      </c>
      <c r="J17285" s="7">
        <v>0</v>
      </c>
      <c r="K17285" s="7" t="s">
        <v>18</v>
      </c>
      <c r="L17285" s="8">
        <v>39987.315405092595</v>
      </c>
      <c r="M17285" s="9" t="s">
        <v>19</v>
      </c>
      <c r="N17285" s="9" t="s">
        <v>20</v>
      </c>
      <c r="O17285" s="6" t="str">
        <f>HYPERLINK("https://pbs.twimg.com/profile_images/962471262747529216/Uo8lOkRJ_normal.jpg","View")</f>
        <v>View</v>
      </c>
      <c r="P17285" s="7"/>
    </row>
    <row r="17286" spans="1:16">
      <c r="A17286" s="3">
        <v>44536.269293981481</v>
      </c>
      <c r="B17286" s="4" t="str">
        <f>HYPERLINK("https://twitter.com/petrogustavo","@petrogustavo")</f>
        <v>@petrogustavo</v>
      </c>
      <c r="C17286" s="5" t="s">
        <v>16</v>
      </c>
      <c r="D17286" s="5" t="s">
        <v>16635</v>
      </c>
      <c r="E17286" s="6" t="str">
        <f>HYPERLINK("https://twitter.com/petrogustavo/status/1467659501562171396","1467659501562171396")</f>
        <v>1467659501562171396</v>
      </c>
      <c r="F17286" s="7" t="s">
        <v>17</v>
      </c>
      <c r="G17286" s="7">
        <v>4419319</v>
      </c>
      <c r="H17286" s="7">
        <v>2579</v>
      </c>
      <c r="I17286" s="7">
        <v>102</v>
      </c>
      <c r="J17286" s="7">
        <v>0</v>
      </c>
      <c r="K17286" s="7" t="s">
        <v>18</v>
      </c>
      <c r="L17286" s="8">
        <v>39987.315405092595</v>
      </c>
      <c r="M17286" s="9" t="s">
        <v>19</v>
      </c>
      <c r="N17286" s="9" t="s">
        <v>20</v>
      </c>
      <c r="O17286" s="6" t="str">
        <f>HYPERLINK("https://pbs.twimg.com/profile_images/962471262747529216/Uo8lOkRJ_normal.jpg","View")</f>
        <v>View</v>
      </c>
      <c r="P17286" s="7"/>
    </row>
    <row r="17287" spans="1:16">
      <c r="A17287" s="3">
        <v>44536.270266203705</v>
      </c>
      <c r="B17287" s="4" t="str">
        <f>HYPERLINK("https://twitter.com/petrogustavo","@petrogustavo")</f>
        <v>@petrogustavo</v>
      </c>
      <c r="C17287" s="5" t="s">
        <v>16</v>
      </c>
      <c r="D17287" s="5" t="s">
        <v>16636</v>
      </c>
      <c r="E17287" s="6" t="str">
        <f>HYPERLINK("https://twitter.com/petrogustavo/status/1467659854827474946","1467659854827474946")</f>
        <v>1467659854827474946</v>
      </c>
      <c r="F17287" s="7" t="s">
        <v>17</v>
      </c>
      <c r="G17287" s="7">
        <v>4419319</v>
      </c>
      <c r="H17287" s="7">
        <v>2579</v>
      </c>
      <c r="I17287" s="7">
        <v>68</v>
      </c>
      <c r="J17287" s="7">
        <v>0</v>
      </c>
      <c r="K17287" s="7" t="s">
        <v>18</v>
      </c>
      <c r="L17287" s="8">
        <v>39987.315405092595</v>
      </c>
      <c r="M17287" s="9" t="s">
        <v>19</v>
      </c>
      <c r="N17287" s="9" t="s">
        <v>20</v>
      </c>
      <c r="O17287" s="6" t="str">
        <f>HYPERLINK("https://pbs.twimg.com/profile_images/962471262747529216/Uo8lOkRJ_normal.jpg","View")</f>
        <v>View</v>
      </c>
      <c r="P17287" s="7"/>
    </row>
    <row r="17288" spans="1:16">
      <c r="A17288" s="3">
        <v>44536.271516203706</v>
      </c>
      <c r="B17288" s="4" t="str">
        <f>HYPERLINK("https://twitter.com/petrogustavo","@petrogustavo")</f>
        <v>@petrogustavo</v>
      </c>
      <c r="C17288" s="5" t="s">
        <v>16</v>
      </c>
      <c r="D17288" s="5" t="s">
        <v>16637</v>
      </c>
      <c r="E17288" s="6" t="str">
        <f>HYPERLINK("https://twitter.com/petrogustavo/status/1467660306298118145","1467660306298118145")</f>
        <v>1467660306298118145</v>
      </c>
      <c r="F17288" s="7" t="s">
        <v>17</v>
      </c>
      <c r="G17288" s="7">
        <v>4419319</v>
      </c>
      <c r="H17288" s="7">
        <v>2579</v>
      </c>
      <c r="I17288" s="7">
        <v>29</v>
      </c>
      <c r="J17288" s="7">
        <v>0</v>
      </c>
      <c r="K17288" s="7" t="s">
        <v>18</v>
      </c>
      <c r="L17288" s="8">
        <v>39987.315405092595</v>
      </c>
      <c r="M17288" s="9" t="s">
        <v>19</v>
      </c>
      <c r="N17288" s="9" t="s">
        <v>20</v>
      </c>
      <c r="O17288" s="6" t="str">
        <f>HYPERLINK("https://pbs.twimg.com/profile_images/962471262747529216/Uo8lOkRJ_normal.jpg","View")</f>
        <v>View</v>
      </c>
      <c r="P17288" s="7"/>
    </row>
    <row r="17289" spans="1:16">
      <c r="A17289" s="3">
        <v>44536.271689814814</v>
      </c>
      <c r="B17289" s="4" t="str">
        <f>HYPERLINK("https://twitter.com/petrogustavo","@petrogustavo")</f>
        <v>@petrogustavo</v>
      </c>
      <c r="C17289" s="5" t="s">
        <v>16</v>
      </c>
      <c r="D17289" s="5" t="s">
        <v>16638</v>
      </c>
      <c r="E17289" s="6" t="str">
        <f>HYPERLINK("https://twitter.com/petrogustavo/status/1467660369908875265","1467660369908875265")</f>
        <v>1467660369908875265</v>
      </c>
      <c r="F17289" s="7" t="s">
        <v>17</v>
      </c>
      <c r="G17289" s="7">
        <v>4419319</v>
      </c>
      <c r="H17289" s="7">
        <v>2579</v>
      </c>
      <c r="I17289" s="7">
        <v>23</v>
      </c>
      <c r="J17289" s="7">
        <v>0</v>
      </c>
      <c r="K17289" s="7" t="s">
        <v>18</v>
      </c>
      <c r="L17289" s="8">
        <v>39987.315405092595</v>
      </c>
      <c r="M17289" s="9" t="s">
        <v>19</v>
      </c>
      <c r="N17289" s="9" t="s">
        <v>20</v>
      </c>
      <c r="O17289" s="6" t="str">
        <f>HYPERLINK("https://pbs.twimg.com/profile_images/962471262747529216/Uo8lOkRJ_normal.jpg","View")</f>
        <v>View</v>
      </c>
      <c r="P17289" s="7"/>
    </row>
    <row r="17290" spans="1:16">
      <c r="A17290" s="3">
        <v>44536.327384259261</v>
      </c>
      <c r="B17290" s="4" t="str">
        <f>HYPERLINK("https://twitter.com/petrogustavo","@petrogustavo")</f>
        <v>@petrogustavo</v>
      </c>
      <c r="C17290" s="5" t="s">
        <v>16</v>
      </c>
      <c r="D17290" s="5" t="s">
        <v>16639</v>
      </c>
      <c r="E17290" s="6" t="str">
        <f>HYPERLINK("https://twitter.com/petrogustavo/status/1467680552115449862","1467680552115449862")</f>
        <v>1467680552115449862</v>
      </c>
      <c r="F17290" s="7" t="s">
        <v>17</v>
      </c>
      <c r="G17290" s="7">
        <v>4419391</v>
      </c>
      <c r="H17290" s="7">
        <v>2579</v>
      </c>
      <c r="I17290" s="7">
        <v>225</v>
      </c>
      <c r="J17290" s="7">
        <v>0</v>
      </c>
      <c r="K17290" s="7" t="s">
        <v>18</v>
      </c>
      <c r="L17290" s="8">
        <v>39987.315405092595</v>
      </c>
      <c r="M17290" s="9" t="s">
        <v>19</v>
      </c>
      <c r="N17290" s="9" t="s">
        <v>20</v>
      </c>
      <c r="O17290" s="6" t="str">
        <f>HYPERLINK("https://pbs.twimg.com/profile_images/962471262747529216/Uo8lOkRJ_normal.jpg","View")</f>
        <v>View</v>
      </c>
      <c r="P17290" s="7"/>
    </row>
    <row r="17291" spans="1:16">
      <c r="A17291" s="3">
        <v>44536.712685185186</v>
      </c>
      <c r="B17291" s="4" t="str">
        <f>HYPERLINK("https://twitter.com/petrogustavo","@petrogustavo")</f>
        <v>@petrogustavo</v>
      </c>
      <c r="C17291" s="5" t="s">
        <v>16</v>
      </c>
      <c r="D17291" s="5" t="s">
        <v>16640</v>
      </c>
      <c r="E17291" s="6" t="str">
        <f>HYPERLINK("https://twitter.com/petrogustavo/status/1467820181430968321","1467820181430968321")</f>
        <v>1467820181430968321</v>
      </c>
      <c r="F17291" s="7" t="s">
        <v>17</v>
      </c>
      <c r="G17291" s="7">
        <v>4419545</v>
      </c>
      <c r="H17291" s="7">
        <v>2579</v>
      </c>
      <c r="I17291" s="7">
        <v>47</v>
      </c>
      <c r="J17291" s="7">
        <v>0</v>
      </c>
      <c r="K17291" s="7" t="s">
        <v>18</v>
      </c>
      <c r="L17291" s="8">
        <v>39987.315405092595</v>
      </c>
      <c r="M17291" s="9" t="s">
        <v>19</v>
      </c>
      <c r="N17291" s="9" t="s">
        <v>20</v>
      </c>
      <c r="O17291" s="6" t="str">
        <f>HYPERLINK("https://pbs.twimg.com/profile_images/962471262747529216/Uo8lOkRJ_normal.jpg","View")</f>
        <v>View</v>
      </c>
      <c r="P17291" s="7"/>
    </row>
    <row r="17292" spans="1:16">
      <c r="A17292" s="3">
        <v>44536.72488425926</v>
      </c>
      <c r="B17292" s="4" t="str">
        <f>HYPERLINK("https://twitter.com/petrogustavo","@petrogustavo")</f>
        <v>@petrogustavo</v>
      </c>
      <c r="C17292" s="5" t="s">
        <v>16</v>
      </c>
      <c r="D17292" s="5" t="s">
        <v>16641</v>
      </c>
      <c r="E17292" s="6" t="str">
        <f>HYPERLINK("https://twitter.com/petrogustavo/status/1467824601224908808","1467824601224908808")</f>
        <v>1467824601224908808</v>
      </c>
      <c r="F17292" s="7" t="s">
        <v>17</v>
      </c>
      <c r="G17292" s="7">
        <v>4419545</v>
      </c>
      <c r="H17292" s="7">
        <v>2579</v>
      </c>
      <c r="I17292" s="7">
        <v>54</v>
      </c>
      <c r="J17292" s="7">
        <v>143</v>
      </c>
      <c r="K17292" s="7" t="s">
        <v>18</v>
      </c>
      <c r="L17292" s="8">
        <v>39987.315405092595</v>
      </c>
      <c r="M17292" s="9" t="s">
        <v>19</v>
      </c>
      <c r="N17292" s="9" t="s">
        <v>20</v>
      </c>
      <c r="O17292" s="6" t="str">
        <f>HYPERLINK("https://pbs.twimg.com/profile_images/962471262747529216/Uo8lOkRJ_normal.jpg","View")</f>
        <v>View</v>
      </c>
      <c r="P17292" s="7"/>
    </row>
    <row r="17293" spans="1:16">
      <c r="A17293" s="3">
        <v>44536.724895833337</v>
      </c>
      <c r="B17293" s="4" t="str">
        <f>HYPERLINK("https://twitter.com/petrogustavo","@petrogustavo")</f>
        <v>@petrogustavo</v>
      </c>
      <c r="C17293" s="5" t="s">
        <v>16</v>
      </c>
      <c r="D17293" s="5" t="s">
        <v>16642</v>
      </c>
      <c r="E17293" s="6" t="str">
        <f>HYPERLINK("https://twitter.com/petrogustavo/status/1467824605565960192","1467824605565960192")</f>
        <v>1467824605565960192</v>
      </c>
      <c r="F17293" s="7" t="s">
        <v>17</v>
      </c>
      <c r="G17293" s="7">
        <v>4419545</v>
      </c>
      <c r="H17293" s="7">
        <v>2579</v>
      </c>
      <c r="I17293" s="7">
        <v>4</v>
      </c>
      <c r="J17293" s="7">
        <v>20</v>
      </c>
      <c r="K17293" s="7" t="s">
        <v>18</v>
      </c>
      <c r="L17293" s="8">
        <v>39987.315405092595</v>
      </c>
      <c r="M17293" s="9" t="s">
        <v>19</v>
      </c>
      <c r="N17293" s="9" t="s">
        <v>20</v>
      </c>
      <c r="O17293" s="6" t="str">
        <f>HYPERLINK("https://pbs.twimg.com/profile_images/962471262747529216/Uo8lOkRJ_normal.jpg","View")</f>
        <v>View</v>
      </c>
      <c r="P17293" s="7"/>
    </row>
    <row r="17294" spans="1:16">
      <c r="A17294" s="3">
        <v>44536.724907407406</v>
      </c>
      <c r="B17294" s="4" t="str">
        <f>HYPERLINK("https://twitter.com/petrogustavo","@petrogustavo")</f>
        <v>@petrogustavo</v>
      </c>
      <c r="C17294" s="5" t="s">
        <v>16</v>
      </c>
      <c r="D17294" s="5" t="s">
        <v>16643</v>
      </c>
      <c r="E17294" s="6" t="str">
        <f>HYPERLINK("https://twitter.com/petrogustavo/status/1467824611358298112","1467824611358298112")</f>
        <v>1467824611358298112</v>
      </c>
      <c r="F17294" s="7" t="s">
        <v>17</v>
      </c>
      <c r="G17294" s="7">
        <v>4419545</v>
      </c>
      <c r="H17294" s="7">
        <v>2579</v>
      </c>
      <c r="I17294" s="7">
        <v>3</v>
      </c>
      <c r="J17294" s="7">
        <v>20</v>
      </c>
      <c r="K17294" s="7" t="s">
        <v>18</v>
      </c>
      <c r="L17294" s="8">
        <v>39987.315405092595</v>
      </c>
      <c r="M17294" s="9" t="s">
        <v>19</v>
      </c>
      <c r="N17294" s="9" t="s">
        <v>20</v>
      </c>
      <c r="O17294" s="6" t="str">
        <f>HYPERLINK("https://pbs.twimg.com/profile_images/962471262747529216/Uo8lOkRJ_normal.jpg","View")</f>
        <v>View</v>
      </c>
      <c r="P17294" s="7"/>
    </row>
    <row r="17295" spans="1:16">
      <c r="A17295" s="3">
        <v>44536.72493055556</v>
      </c>
      <c r="B17295" s="4" t="str">
        <f>HYPERLINK("https://twitter.com/petrogustavo","@petrogustavo")</f>
        <v>@petrogustavo</v>
      </c>
      <c r="C17295" s="5" t="s">
        <v>16</v>
      </c>
      <c r="D17295" s="5" t="s">
        <v>16644</v>
      </c>
      <c r="E17295" s="6" t="str">
        <f>HYPERLINK("https://twitter.com/petrogustavo/status/1467824618048270355","1467824618048270355")</f>
        <v>1467824618048270355</v>
      </c>
      <c r="F17295" s="7" t="s">
        <v>17</v>
      </c>
      <c r="G17295" s="7">
        <v>4419545</v>
      </c>
      <c r="H17295" s="7">
        <v>2579</v>
      </c>
      <c r="I17295" s="7">
        <v>4</v>
      </c>
      <c r="J17295" s="7">
        <v>19</v>
      </c>
      <c r="K17295" s="7" t="s">
        <v>18</v>
      </c>
      <c r="L17295" s="8">
        <v>39987.315405092595</v>
      </c>
      <c r="M17295" s="9" t="s">
        <v>19</v>
      </c>
      <c r="N17295" s="9" t="s">
        <v>20</v>
      </c>
      <c r="O17295" s="6" t="str">
        <f>HYPERLINK("https://pbs.twimg.com/profile_images/962471262747529216/Uo8lOkRJ_normal.jpg","View")</f>
        <v>View</v>
      </c>
      <c r="P17295" s="7"/>
    </row>
    <row r="17296" spans="1:16">
      <c r="A17296" s="3">
        <v>44536.724942129629</v>
      </c>
      <c r="B17296" s="4" t="str">
        <f>HYPERLINK("https://twitter.com/petrogustavo","@petrogustavo")</f>
        <v>@petrogustavo</v>
      </c>
      <c r="C17296" s="5" t="s">
        <v>16</v>
      </c>
      <c r="D17296" s="5" t="s">
        <v>16645</v>
      </c>
      <c r="E17296" s="6" t="str">
        <f>HYPERLINK("https://twitter.com/petrogustavo/status/1467824623442182153","1467824623442182153")</f>
        <v>1467824623442182153</v>
      </c>
      <c r="F17296" s="7" t="s">
        <v>17</v>
      </c>
      <c r="G17296" s="7">
        <v>4419545</v>
      </c>
      <c r="H17296" s="7">
        <v>2579</v>
      </c>
      <c r="I17296" s="7">
        <v>3</v>
      </c>
      <c r="J17296" s="7">
        <v>17</v>
      </c>
      <c r="K17296" s="7" t="s">
        <v>18</v>
      </c>
      <c r="L17296" s="8">
        <v>39987.315405092595</v>
      </c>
      <c r="M17296" s="9" t="s">
        <v>19</v>
      </c>
      <c r="N17296" s="9" t="s">
        <v>20</v>
      </c>
      <c r="O17296" s="6" t="str">
        <f>HYPERLINK("https://pbs.twimg.com/profile_images/962471262747529216/Uo8lOkRJ_normal.jpg","View")</f>
        <v>View</v>
      </c>
      <c r="P17296" s="7"/>
    </row>
    <row r="17297" spans="1:16">
      <c r="A17297" s="3">
        <v>44536.724965277783</v>
      </c>
      <c r="B17297" s="4" t="str">
        <f>HYPERLINK("https://twitter.com/petrogustavo","@petrogustavo")</f>
        <v>@petrogustavo</v>
      </c>
      <c r="C17297" s="5" t="s">
        <v>16</v>
      </c>
      <c r="D17297" s="5" t="s">
        <v>16646</v>
      </c>
      <c r="E17297" s="6" t="str">
        <f>HYPERLINK("https://twitter.com/petrogustavo/status/1467824630115221505","1467824630115221505")</f>
        <v>1467824630115221505</v>
      </c>
      <c r="F17297" s="7" t="s">
        <v>17</v>
      </c>
      <c r="G17297" s="7">
        <v>4419545</v>
      </c>
      <c r="H17297" s="7">
        <v>2579</v>
      </c>
      <c r="I17297" s="7">
        <v>23</v>
      </c>
      <c r="J17297" s="7">
        <v>90</v>
      </c>
      <c r="K17297" s="7" t="s">
        <v>18</v>
      </c>
      <c r="L17297" s="8">
        <v>39987.315405092595</v>
      </c>
      <c r="M17297" s="9" t="s">
        <v>19</v>
      </c>
      <c r="N17297" s="9" t="s">
        <v>20</v>
      </c>
      <c r="O17297" s="6" t="str">
        <f>HYPERLINK("https://pbs.twimg.com/profile_images/962471262747529216/Uo8lOkRJ_normal.jpg","View")</f>
        <v>View</v>
      </c>
      <c r="P17297" s="7"/>
    </row>
    <row r="17298" spans="1:16">
      <c r="A17298" s="3">
        <v>44536.724976851852</v>
      </c>
      <c r="B17298" s="4" t="str">
        <f>HYPERLINK("https://twitter.com/petrogustavo","@petrogustavo")</f>
        <v>@petrogustavo</v>
      </c>
      <c r="C17298" s="5" t="s">
        <v>16</v>
      </c>
      <c r="D17298" s="5" t="s">
        <v>16647</v>
      </c>
      <c r="E17298" s="6" t="str">
        <f>HYPERLINK("https://twitter.com/petrogustavo/status/1467824633181356033","1467824633181356033")</f>
        <v>1467824633181356033</v>
      </c>
      <c r="F17298" s="7" t="s">
        <v>17</v>
      </c>
      <c r="G17298" s="7">
        <v>4419545</v>
      </c>
      <c r="H17298" s="7">
        <v>2579</v>
      </c>
      <c r="I17298" s="7">
        <v>54</v>
      </c>
      <c r="J17298" s="7">
        <v>161</v>
      </c>
      <c r="K17298" s="7" t="s">
        <v>18</v>
      </c>
      <c r="L17298" s="8">
        <v>39987.315405092595</v>
      </c>
      <c r="M17298" s="9" t="s">
        <v>19</v>
      </c>
      <c r="N17298" s="9" t="s">
        <v>20</v>
      </c>
      <c r="O17298" s="6" t="str">
        <f>HYPERLINK("https://pbs.twimg.com/profile_images/962471262747529216/Uo8lOkRJ_normal.jpg","View")</f>
        <v>View</v>
      </c>
      <c r="P17298" s="7"/>
    </row>
    <row r="17299" spans="1:16">
      <c r="A17299" s="3">
        <v>44536.839571759258</v>
      </c>
      <c r="B17299" s="4" t="str">
        <f>HYPERLINK("https://twitter.com/petrogustavo","@petrogustavo")</f>
        <v>@petrogustavo</v>
      </c>
      <c r="C17299" s="5" t="s">
        <v>16</v>
      </c>
      <c r="D17299" s="5" t="s">
        <v>16648</v>
      </c>
      <c r="E17299" s="6" t="str">
        <f>HYPERLINK("https://twitter.com/petrogustavo/status/1467866162365145089","1467866162365145089")</f>
        <v>1467866162365145089</v>
      </c>
      <c r="F17299" s="7" t="s">
        <v>17</v>
      </c>
      <c r="G17299" s="7">
        <v>4419667</v>
      </c>
      <c r="H17299" s="7">
        <v>2579</v>
      </c>
      <c r="I17299" s="7">
        <v>477</v>
      </c>
      <c r="J17299" s="7">
        <v>0</v>
      </c>
      <c r="K17299" s="7" t="s">
        <v>18</v>
      </c>
      <c r="L17299" s="8">
        <v>39987.315405092595</v>
      </c>
      <c r="M17299" s="9" t="s">
        <v>19</v>
      </c>
      <c r="N17299" s="9" t="s">
        <v>20</v>
      </c>
      <c r="O17299" s="6" t="str">
        <f>HYPERLINK("https://pbs.twimg.com/profile_images/962471262747529216/Uo8lOkRJ_normal.jpg","View")</f>
        <v>View</v>
      </c>
      <c r="P17299" s="7"/>
    </row>
    <row r="17300" spans="1:16">
      <c r="A17300" s="3">
        <v>44536.921296296292</v>
      </c>
      <c r="B17300" s="4" t="str">
        <f>HYPERLINK("https://twitter.com/petrogustavo","@petrogustavo")</f>
        <v>@petrogustavo</v>
      </c>
      <c r="C17300" s="5" t="s">
        <v>16</v>
      </c>
      <c r="D17300" s="5" t="s">
        <v>16649</v>
      </c>
      <c r="E17300" s="6" t="str">
        <f>HYPERLINK("https://twitter.com/petrogustavo/status/1467895780749021192","1467895780749021192")</f>
        <v>1467895780749021192</v>
      </c>
      <c r="F17300" s="7" t="s">
        <v>17</v>
      </c>
      <c r="G17300" s="7">
        <v>4419735</v>
      </c>
      <c r="H17300" s="7">
        <v>2579</v>
      </c>
      <c r="I17300" s="7">
        <v>150</v>
      </c>
      <c r="J17300" s="7">
        <v>497</v>
      </c>
      <c r="K17300" s="7" t="s">
        <v>18</v>
      </c>
      <c r="L17300" s="8">
        <v>39987.315405092595</v>
      </c>
      <c r="M17300" s="9" t="s">
        <v>19</v>
      </c>
      <c r="N17300" s="9" t="s">
        <v>20</v>
      </c>
      <c r="O17300" s="6" t="str">
        <f>HYPERLINK("https://pbs.twimg.com/profile_images/962471262747529216/Uo8lOkRJ_normal.jpg","View")</f>
        <v>View</v>
      </c>
      <c r="P17300" s="7"/>
    </row>
    <row r="17301" spans="1:16">
      <c r="A17301" s="3">
        <v>44536.936076388884</v>
      </c>
      <c r="B17301" s="4" t="str">
        <f>HYPERLINK("https://twitter.com/petrogustavo","@petrogustavo")</f>
        <v>@petrogustavo</v>
      </c>
      <c r="C17301" s="5" t="s">
        <v>16</v>
      </c>
      <c r="D17301" s="5" t="s">
        <v>16650</v>
      </c>
      <c r="E17301" s="6" t="str">
        <f>HYPERLINK("https://twitter.com/petrogustavo/status/1467901135365287939","1467901135365287939")</f>
        <v>1467901135365287939</v>
      </c>
      <c r="F17301" s="7" t="s">
        <v>17</v>
      </c>
      <c r="G17301" s="7">
        <v>4419735</v>
      </c>
      <c r="H17301" s="7">
        <v>2579</v>
      </c>
      <c r="I17301" s="7">
        <v>21</v>
      </c>
      <c r="J17301" s="7">
        <v>52</v>
      </c>
      <c r="K17301" s="7" t="s">
        <v>18</v>
      </c>
      <c r="L17301" s="8">
        <v>39987.315405092595</v>
      </c>
      <c r="M17301" s="9" t="s">
        <v>19</v>
      </c>
      <c r="N17301" s="9" t="s">
        <v>20</v>
      </c>
      <c r="O17301" s="6" t="str">
        <f>HYPERLINK("https://pbs.twimg.com/profile_images/962471262747529216/Uo8lOkRJ_normal.jpg","View")</f>
        <v>View</v>
      </c>
      <c r="P17301" s="7"/>
    </row>
    <row r="17302" spans="1:16">
      <c r="A17302" s="3">
        <v>44536.9372337963</v>
      </c>
      <c r="B17302" s="4" t="str">
        <f>HYPERLINK("https://twitter.com/petrogustavo","@petrogustavo")</f>
        <v>@petrogustavo</v>
      </c>
      <c r="C17302" s="5" t="s">
        <v>16</v>
      </c>
      <c r="D17302" s="5" t="s">
        <v>16651</v>
      </c>
      <c r="E17302" s="6" t="str">
        <f>HYPERLINK("https://twitter.com/petrogustavo/status/1467901553017298946","1467901553017298946")</f>
        <v>1467901553017298946</v>
      </c>
      <c r="F17302" s="7" t="s">
        <v>17</v>
      </c>
      <c r="G17302" s="7">
        <v>4419735</v>
      </c>
      <c r="H17302" s="7">
        <v>2579</v>
      </c>
      <c r="I17302" s="7">
        <v>29</v>
      </c>
      <c r="J17302" s="7">
        <v>68</v>
      </c>
      <c r="K17302" s="7" t="s">
        <v>18</v>
      </c>
      <c r="L17302" s="8">
        <v>39987.315405092595</v>
      </c>
      <c r="M17302" s="9" t="s">
        <v>19</v>
      </c>
      <c r="N17302" s="9" t="s">
        <v>20</v>
      </c>
      <c r="O17302" s="6" t="str">
        <f>HYPERLINK("https://pbs.twimg.com/profile_images/962471262747529216/Uo8lOkRJ_normal.jpg","View")</f>
        <v>View</v>
      </c>
      <c r="P17302" s="7"/>
    </row>
    <row r="17303" spans="1:16">
      <c r="A17303" s="3">
        <v>44536.937754629631</v>
      </c>
      <c r="B17303" s="4" t="str">
        <f>HYPERLINK("https://twitter.com/petrogustavo","@petrogustavo")</f>
        <v>@petrogustavo</v>
      </c>
      <c r="C17303" s="5" t="s">
        <v>16</v>
      </c>
      <c r="D17303" s="5" t="s">
        <v>16652</v>
      </c>
      <c r="E17303" s="6" t="str">
        <f>HYPERLINK("https://twitter.com/petrogustavo/status/1467901742725611528","1467901742725611528")</f>
        <v>1467901742725611528</v>
      </c>
      <c r="F17303" s="7" t="s">
        <v>17</v>
      </c>
      <c r="G17303" s="7">
        <v>4419735</v>
      </c>
      <c r="H17303" s="7">
        <v>2579</v>
      </c>
      <c r="I17303" s="7">
        <v>7</v>
      </c>
      <c r="J17303" s="7">
        <v>0</v>
      </c>
      <c r="K17303" s="7" t="s">
        <v>18</v>
      </c>
      <c r="L17303" s="8">
        <v>39987.315405092595</v>
      </c>
      <c r="M17303" s="9" t="s">
        <v>19</v>
      </c>
      <c r="N17303" s="9" t="s">
        <v>20</v>
      </c>
      <c r="O17303" s="6" t="str">
        <f>HYPERLINK("https://pbs.twimg.com/profile_images/962471262747529216/Uo8lOkRJ_normal.jpg","View")</f>
        <v>View</v>
      </c>
      <c r="P17303" s="7"/>
    </row>
    <row r="17304" spans="1:16">
      <c r="A17304" s="3">
        <v>44537.033287037033</v>
      </c>
      <c r="B17304" s="4" t="str">
        <f>HYPERLINK("https://twitter.com/petrogustavo","@petrogustavo")</f>
        <v>@petrogustavo</v>
      </c>
      <c r="C17304" s="5" t="s">
        <v>16</v>
      </c>
      <c r="D17304" s="5" t="s">
        <v>16653</v>
      </c>
      <c r="E17304" s="6" t="str">
        <f>HYPERLINK("https://twitter.com/petrogustavo/status/1467936362762575876","1467936362762575876")</f>
        <v>1467936362762575876</v>
      </c>
      <c r="F17304" s="7" t="s">
        <v>17</v>
      </c>
      <c r="G17304" s="7">
        <v>4419826</v>
      </c>
      <c r="H17304" s="7">
        <v>2579</v>
      </c>
      <c r="I17304" s="7">
        <v>138</v>
      </c>
      <c r="J17304" s="7">
        <v>0</v>
      </c>
      <c r="K17304" s="7" t="s">
        <v>18</v>
      </c>
      <c r="L17304" s="8">
        <v>39987.315405092595</v>
      </c>
      <c r="M17304" s="9" t="s">
        <v>19</v>
      </c>
      <c r="N17304" s="9" t="s">
        <v>20</v>
      </c>
      <c r="O17304" s="6" t="str">
        <f>HYPERLINK("https://pbs.twimg.com/profile_images/962471262747529216/Uo8lOkRJ_normal.jpg","View")</f>
        <v>View</v>
      </c>
      <c r="P17304" s="7"/>
    </row>
    <row r="17305" spans="1:16">
      <c r="A17305" s="3">
        <v>44537.045937499999</v>
      </c>
      <c r="B17305" s="4" t="str">
        <f>HYPERLINK("https://twitter.com/petrogustavo","@petrogustavo")</f>
        <v>@petrogustavo</v>
      </c>
      <c r="C17305" s="5" t="s">
        <v>16</v>
      </c>
      <c r="D17305" s="5" t="s">
        <v>16654</v>
      </c>
      <c r="E17305" s="6" t="str">
        <f>HYPERLINK("https://twitter.com/petrogustavo/status/1467940945484300295","1467940945484300295")</f>
        <v>1467940945484300295</v>
      </c>
      <c r="F17305" s="7" t="s">
        <v>17</v>
      </c>
      <c r="G17305" s="7">
        <v>4419837</v>
      </c>
      <c r="H17305" s="7">
        <v>2579</v>
      </c>
      <c r="I17305" s="7">
        <v>143</v>
      </c>
      <c r="J17305" s="7">
        <v>433</v>
      </c>
      <c r="K17305" s="7" t="s">
        <v>18</v>
      </c>
      <c r="L17305" s="8">
        <v>39987.315405092595</v>
      </c>
      <c r="M17305" s="9" t="s">
        <v>19</v>
      </c>
      <c r="N17305" s="9" t="s">
        <v>20</v>
      </c>
      <c r="O17305" s="6" t="str">
        <f>HYPERLINK("https://pbs.twimg.com/profile_images/962471262747529216/Uo8lOkRJ_normal.jpg","View")</f>
        <v>View</v>
      </c>
      <c r="P17305" s="7"/>
    </row>
    <row r="17306" spans="1:16">
      <c r="A17306" s="3">
        <v>44537.19431712963</v>
      </c>
      <c r="B17306" s="4" t="str">
        <f>HYPERLINK("https://twitter.com/petrogustavo","@petrogustavo")</f>
        <v>@petrogustavo</v>
      </c>
      <c r="C17306" s="5" t="s">
        <v>16</v>
      </c>
      <c r="D17306" s="5" t="s">
        <v>16655</v>
      </c>
      <c r="E17306" s="6" t="str">
        <f>HYPERLINK("https://twitter.com/petrogustavo/status/1467994716138573825","1467994716138573825")</f>
        <v>1467994716138573825</v>
      </c>
      <c r="F17306" s="7" t="s">
        <v>17</v>
      </c>
      <c r="G17306" s="7">
        <v>4419935</v>
      </c>
      <c r="H17306" s="7">
        <v>2579</v>
      </c>
      <c r="I17306" s="7">
        <v>224</v>
      </c>
      <c r="J17306" s="7">
        <v>674</v>
      </c>
      <c r="K17306" s="7" t="s">
        <v>18</v>
      </c>
      <c r="L17306" s="8">
        <v>39987.315405092595</v>
      </c>
      <c r="M17306" s="9" t="s">
        <v>19</v>
      </c>
      <c r="N17306" s="9" t="s">
        <v>20</v>
      </c>
      <c r="O17306" s="6" t="str">
        <f>HYPERLINK("https://pbs.twimg.com/profile_images/962471262747529216/Uo8lOkRJ_normal.jpg","View")</f>
        <v>View</v>
      </c>
      <c r="P17306" s="7"/>
    </row>
    <row r="17307" spans="1:16">
      <c r="A17307" s="3">
        <v>44537.315949074073</v>
      </c>
      <c r="B17307" s="4" t="str">
        <f>HYPERLINK("https://twitter.com/petrogustavo","@petrogustavo")</f>
        <v>@petrogustavo</v>
      </c>
      <c r="C17307" s="5" t="s">
        <v>16</v>
      </c>
      <c r="D17307" s="5" t="s">
        <v>16656</v>
      </c>
      <c r="E17307" s="6" t="str">
        <f>HYPERLINK("https://twitter.com/petrogustavo/status/1468038797107634178","1468038797107634178")</f>
        <v>1468038797107634178</v>
      </c>
      <c r="F17307" s="7" t="s">
        <v>17</v>
      </c>
      <c r="G17307" s="7">
        <v>4420022</v>
      </c>
      <c r="H17307" s="7">
        <v>2579</v>
      </c>
      <c r="I17307" s="7">
        <v>21</v>
      </c>
      <c r="J17307" s="7">
        <v>0</v>
      </c>
      <c r="K17307" s="7" t="s">
        <v>18</v>
      </c>
      <c r="L17307" s="8">
        <v>39987.315405092595</v>
      </c>
      <c r="M17307" s="9" t="s">
        <v>19</v>
      </c>
      <c r="N17307" s="9" t="s">
        <v>20</v>
      </c>
      <c r="O17307" s="6" t="str">
        <f>HYPERLINK("https://pbs.twimg.com/profile_images/962471262747529216/Uo8lOkRJ_normal.jpg","View")</f>
        <v>View</v>
      </c>
      <c r="P17307" s="7"/>
    </row>
    <row r="17308" spans="1:16">
      <c r="A17308" s="3">
        <v>44537.318518518514</v>
      </c>
      <c r="B17308" s="4" t="str">
        <f>HYPERLINK("https://twitter.com/petrogustavo","@petrogustavo")</f>
        <v>@petrogustavo</v>
      </c>
      <c r="C17308" s="5" t="s">
        <v>16</v>
      </c>
      <c r="D17308" s="5" t="s">
        <v>16657</v>
      </c>
      <c r="E17308" s="6" t="str">
        <f>HYPERLINK("https://twitter.com/petrogustavo/status/1468039728058540035","1468039728058540035")</f>
        <v>1468039728058540035</v>
      </c>
      <c r="F17308" s="7" t="s">
        <v>17</v>
      </c>
      <c r="G17308" s="7">
        <v>4420022</v>
      </c>
      <c r="H17308" s="7">
        <v>2579</v>
      </c>
      <c r="I17308" s="7">
        <v>666</v>
      </c>
      <c r="J17308" s="7">
        <v>0</v>
      </c>
      <c r="K17308" s="7" t="s">
        <v>18</v>
      </c>
      <c r="L17308" s="8">
        <v>39987.315405092595</v>
      </c>
      <c r="M17308" s="9" t="s">
        <v>19</v>
      </c>
      <c r="N17308" s="9" t="s">
        <v>20</v>
      </c>
      <c r="O17308" s="6" t="str">
        <f>HYPERLINK("https://pbs.twimg.com/profile_images/962471262747529216/Uo8lOkRJ_normal.jpg","View")</f>
        <v>View</v>
      </c>
      <c r="P17308" s="7"/>
    </row>
    <row r="17309" spans="1:16">
      <c r="A17309" s="3">
        <v>44537.715497685189</v>
      </c>
      <c r="B17309" s="4" t="str">
        <f>HYPERLINK("https://twitter.com/petrogustavo","@petrogustavo")</f>
        <v>@petrogustavo</v>
      </c>
      <c r="C17309" s="5" t="s">
        <v>16</v>
      </c>
      <c r="D17309" s="5" t="s">
        <v>16658</v>
      </c>
      <c r="E17309" s="6" t="str">
        <f>HYPERLINK("https://twitter.com/petrogustavo/status/1468183588189396993","1468183588189396993")</f>
        <v>1468183588189396993</v>
      </c>
      <c r="F17309" s="7" t="s">
        <v>17</v>
      </c>
      <c r="G17309" s="7">
        <v>4420186</v>
      </c>
      <c r="H17309" s="7">
        <v>2578</v>
      </c>
      <c r="I17309" s="7">
        <v>159</v>
      </c>
      <c r="J17309" s="7">
        <v>310</v>
      </c>
      <c r="K17309" s="7" t="s">
        <v>18</v>
      </c>
      <c r="L17309" s="8">
        <v>39987.315405092595</v>
      </c>
      <c r="M17309" s="9" t="s">
        <v>19</v>
      </c>
      <c r="N17309" s="9" t="s">
        <v>20</v>
      </c>
      <c r="O17309" s="6" t="str">
        <f>HYPERLINK("https://pbs.twimg.com/profile_images/962471262747529216/Uo8lOkRJ_normal.jpg","View")</f>
        <v>View</v>
      </c>
      <c r="P17309" s="7"/>
    </row>
    <row r="17310" spans="1:16">
      <c r="A17310" s="3">
        <v>44537.716770833329</v>
      </c>
      <c r="B17310" s="4" t="str">
        <f>HYPERLINK("https://twitter.com/petrogustavo","@petrogustavo")</f>
        <v>@petrogustavo</v>
      </c>
      <c r="C17310" s="5" t="s">
        <v>16</v>
      </c>
      <c r="D17310" s="5" t="s">
        <v>16659</v>
      </c>
      <c r="E17310" s="6" t="str">
        <f>HYPERLINK("https://twitter.com/petrogustavo/status/1468184047360913409","1468184047360913409")</f>
        <v>1468184047360913409</v>
      </c>
      <c r="F17310" s="7" t="s">
        <v>17</v>
      </c>
      <c r="G17310" s="7">
        <v>4420186</v>
      </c>
      <c r="H17310" s="7">
        <v>2578</v>
      </c>
      <c r="I17310" s="7">
        <v>50</v>
      </c>
      <c r="J17310" s="7">
        <v>0</v>
      </c>
      <c r="K17310" s="7" t="s">
        <v>18</v>
      </c>
      <c r="L17310" s="8">
        <v>39987.315405092595</v>
      </c>
      <c r="M17310" s="9" t="s">
        <v>19</v>
      </c>
      <c r="N17310" s="9" t="s">
        <v>20</v>
      </c>
      <c r="O17310" s="6" t="str">
        <f>HYPERLINK("https://pbs.twimg.com/profile_images/962471262747529216/Uo8lOkRJ_normal.jpg","View")</f>
        <v>View</v>
      </c>
      <c r="P17310" s="7"/>
    </row>
    <row r="17311" spans="1:16">
      <c r="A17311" s="3">
        <v>44537.72356481482</v>
      </c>
      <c r="B17311" s="4" t="str">
        <f>HYPERLINK("https://twitter.com/petrogustavo","@petrogustavo")</f>
        <v>@petrogustavo</v>
      </c>
      <c r="C17311" s="5" t="s">
        <v>16</v>
      </c>
      <c r="D17311" s="5" t="s">
        <v>16660</v>
      </c>
      <c r="E17311" s="6" t="str">
        <f>HYPERLINK("https://twitter.com/petrogustavo/status/1468186511262818307","1468186511262818307")</f>
        <v>1468186511262818307</v>
      </c>
      <c r="F17311" s="7" t="s">
        <v>17</v>
      </c>
      <c r="G17311" s="7">
        <v>4420186</v>
      </c>
      <c r="H17311" s="7">
        <v>2578</v>
      </c>
      <c r="I17311" s="7">
        <v>72</v>
      </c>
      <c r="J17311" s="7">
        <v>122</v>
      </c>
      <c r="K17311" s="7" t="s">
        <v>18</v>
      </c>
      <c r="L17311" s="8">
        <v>39987.315405092595</v>
      </c>
      <c r="M17311" s="9" t="s">
        <v>19</v>
      </c>
      <c r="N17311" s="9" t="s">
        <v>20</v>
      </c>
      <c r="O17311" s="6" t="str">
        <f>HYPERLINK("https://pbs.twimg.com/profile_images/962471262747529216/Uo8lOkRJ_normal.jpg","View")</f>
        <v>View</v>
      </c>
      <c r="P17311" s="7"/>
    </row>
    <row r="17312" spans="1:16">
      <c r="A17312" s="3">
        <v>44537.759074074071</v>
      </c>
      <c r="B17312" s="4" t="str">
        <f>HYPERLINK("https://twitter.com/petrogustavo","@petrogustavo")</f>
        <v>@petrogustavo</v>
      </c>
      <c r="C17312" s="5" t="s">
        <v>16</v>
      </c>
      <c r="D17312" s="5" t="s">
        <v>16661</v>
      </c>
      <c r="E17312" s="6" t="str">
        <f>HYPERLINK("https://twitter.com/petrogustavo/status/1468199378179567619","1468199378179567619")</f>
        <v>1468199378179567619</v>
      </c>
      <c r="F17312" s="7" t="s">
        <v>17</v>
      </c>
      <c r="G17312" s="7">
        <v>4420214</v>
      </c>
      <c r="H17312" s="7">
        <v>2578</v>
      </c>
      <c r="I17312" s="7">
        <v>509</v>
      </c>
      <c r="J17312" s="7">
        <v>0</v>
      </c>
      <c r="K17312" s="7" t="s">
        <v>18</v>
      </c>
      <c r="L17312" s="8">
        <v>39987.315405092595</v>
      </c>
      <c r="M17312" s="9" t="s">
        <v>19</v>
      </c>
      <c r="N17312" s="9" t="s">
        <v>20</v>
      </c>
      <c r="O17312" s="6" t="str">
        <f>HYPERLINK("https://pbs.twimg.com/profile_images/962471262747529216/Uo8lOkRJ_normal.jpg","View")</f>
        <v>View</v>
      </c>
      <c r="P17312" s="7"/>
    </row>
    <row r="17313" spans="1:16">
      <c r="A17313" s="3">
        <v>44537.763101851851</v>
      </c>
      <c r="B17313" s="4" t="str">
        <f>HYPERLINK("https://twitter.com/petrogustavo","@petrogustavo")</f>
        <v>@petrogustavo</v>
      </c>
      <c r="C17313" s="5" t="s">
        <v>16</v>
      </c>
      <c r="D17313" s="5" t="s">
        <v>16662</v>
      </c>
      <c r="E17313" s="6" t="str">
        <f>HYPERLINK("https://twitter.com/petrogustavo/status/1468200837046493188","1468200837046493188")</f>
        <v>1468200837046493188</v>
      </c>
      <c r="F17313" s="7" t="s">
        <v>17</v>
      </c>
      <c r="G17313" s="7">
        <v>4420214</v>
      </c>
      <c r="H17313" s="7">
        <v>2578</v>
      </c>
      <c r="I17313" s="7">
        <v>77</v>
      </c>
      <c r="J17313" s="7">
        <v>334</v>
      </c>
      <c r="K17313" s="7" t="s">
        <v>18</v>
      </c>
      <c r="L17313" s="8">
        <v>39987.315405092595</v>
      </c>
      <c r="M17313" s="9" t="s">
        <v>19</v>
      </c>
      <c r="N17313" s="9" t="s">
        <v>20</v>
      </c>
      <c r="O17313" s="6" t="str">
        <f>HYPERLINK("https://pbs.twimg.com/profile_images/962471262747529216/Uo8lOkRJ_normal.jpg","View")</f>
        <v>View</v>
      </c>
      <c r="P17313" s="7"/>
    </row>
    <row r="17314" spans="1:16">
      <c r="A17314" s="3">
        <v>44537.783391203702</v>
      </c>
      <c r="B17314" s="4" t="str">
        <f>HYPERLINK("https://twitter.com/petrogustavo","@petrogustavo")</f>
        <v>@petrogustavo</v>
      </c>
      <c r="C17314" s="5" t="s">
        <v>16</v>
      </c>
      <c r="D17314" s="5" t="s">
        <v>16663</v>
      </c>
      <c r="E17314" s="6" t="str">
        <f>HYPERLINK("https://twitter.com/petrogustavo/status/1468208192232509441","1468208192232509441")</f>
        <v>1468208192232509441</v>
      </c>
      <c r="F17314" s="7" t="s">
        <v>17</v>
      </c>
      <c r="G17314" s="7">
        <v>4420234</v>
      </c>
      <c r="H17314" s="7">
        <v>2578</v>
      </c>
      <c r="I17314" s="7">
        <v>609</v>
      </c>
      <c r="J17314" s="7">
        <v>0</v>
      </c>
      <c r="K17314" s="7" t="s">
        <v>18</v>
      </c>
      <c r="L17314" s="8">
        <v>39987.315405092595</v>
      </c>
      <c r="M17314" s="9" t="s">
        <v>19</v>
      </c>
      <c r="N17314" s="9" t="s">
        <v>20</v>
      </c>
      <c r="O17314" s="6" t="str">
        <f>HYPERLINK("https://pbs.twimg.com/profile_images/962471262747529216/Uo8lOkRJ_normal.jpg","View")</f>
        <v>View</v>
      </c>
      <c r="P17314" s="7"/>
    </row>
    <row r="17315" spans="1:16">
      <c r="A17315" s="3">
        <v>44537.787858796291</v>
      </c>
      <c r="B17315" s="4" t="str">
        <f>HYPERLINK("https://twitter.com/petrogustavo","@petrogustavo")</f>
        <v>@petrogustavo</v>
      </c>
      <c r="C17315" s="5" t="s">
        <v>16</v>
      </c>
      <c r="D17315" s="4" t="s">
        <v>16664</v>
      </c>
      <c r="E17315" s="6" t="str">
        <f>HYPERLINK("https://twitter.com/petrogustavo/status/1468209811770818562","1468209811770818562")</f>
        <v>1468209811770818562</v>
      </c>
      <c r="F17315" s="7" t="s">
        <v>17</v>
      </c>
      <c r="G17315" s="7">
        <v>4420234</v>
      </c>
      <c r="H17315" s="7">
        <v>2578</v>
      </c>
      <c r="I17315" s="7">
        <v>61</v>
      </c>
      <c r="J17315" s="7">
        <v>213</v>
      </c>
      <c r="K17315" s="7" t="s">
        <v>18</v>
      </c>
      <c r="L17315" s="8">
        <v>39987.315405092595</v>
      </c>
      <c r="M17315" s="9" t="s">
        <v>19</v>
      </c>
      <c r="N17315" s="9" t="s">
        <v>20</v>
      </c>
      <c r="O17315" s="6" t="str">
        <f>HYPERLINK("https://pbs.twimg.com/profile_images/962471262747529216/Uo8lOkRJ_normal.jpg","View")</f>
        <v>View</v>
      </c>
      <c r="P17315" s="7"/>
    </row>
    <row r="17316" spans="1:16">
      <c r="A17316" s="3">
        <v>44538.333240740743</v>
      </c>
      <c r="B17316" s="4" t="str">
        <f>HYPERLINK("https://twitter.com/petrogustavo","@petrogustavo")</f>
        <v>@petrogustavo</v>
      </c>
      <c r="C17316" s="5" t="s">
        <v>16</v>
      </c>
      <c r="D17316" s="5" t="s">
        <v>16665</v>
      </c>
      <c r="E17316" s="6" t="str">
        <f>HYPERLINK("https://twitter.com/petrogustavo/status/1468407449363361801","1468407449363361801")</f>
        <v>1468407449363361801</v>
      </c>
      <c r="F17316" s="7" t="s">
        <v>17</v>
      </c>
      <c r="G17316" s="7">
        <v>4420515</v>
      </c>
      <c r="H17316" s="7">
        <v>2578</v>
      </c>
      <c r="I17316" s="7">
        <v>22</v>
      </c>
      <c r="J17316" s="7">
        <v>118</v>
      </c>
      <c r="K17316" s="7" t="s">
        <v>18</v>
      </c>
      <c r="L17316" s="8">
        <v>39987.315405092595</v>
      </c>
      <c r="M17316" s="9" t="s">
        <v>19</v>
      </c>
      <c r="N17316" s="9" t="s">
        <v>20</v>
      </c>
      <c r="O17316" s="6" t="str">
        <f>HYPERLINK("https://pbs.twimg.com/profile_images/962471262747529216/Uo8lOkRJ_normal.jpg","View")</f>
        <v>View</v>
      </c>
      <c r="P17316" s="7"/>
    </row>
    <row r="17317" spans="1:16">
      <c r="A17317" s="3">
        <v>44538.364479166667</v>
      </c>
      <c r="B17317" s="4" t="str">
        <f>HYPERLINK("https://twitter.com/petrogustavo","@petrogustavo")</f>
        <v>@petrogustavo</v>
      </c>
      <c r="C17317" s="5" t="s">
        <v>16</v>
      </c>
      <c r="D17317" s="5" t="s">
        <v>16666</v>
      </c>
      <c r="E17317" s="6" t="str">
        <f>HYPERLINK("https://twitter.com/petrogustavo/status/1468418770884612097","1468418770884612097")</f>
        <v>1468418770884612097</v>
      </c>
      <c r="F17317" s="7" t="s">
        <v>17</v>
      </c>
      <c r="G17317" s="7">
        <v>4420537</v>
      </c>
      <c r="H17317" s="7">
        <v>2578</v>
      </c>
      <c r="I17317" s="7">
        <v>231</v>
      </c>
      <c r="J17317" s="7">
        <v>0</v>
      </c>
      <c r="K17317" s="7" t="s">
        <v>18</v>
      </c>
      <c r="L17317" s="8">
        <v>39987.315405092595</v>
      </c>
      <c r="M17317" s="9" t="s">
        <v>19</v>
      </c>
      <c r="N17317" s="9" t="s">
        <v>20</v>
      </c>
      <c r="O17317" s="6" t="str">
        <f>HYPERLINK("https://pbs.twimg.com/profile_images/962471262747529216/Uo8lOkRJ_normal.jpg","View")</f>
        <v>View</v>
      </c>
      <c r="P17317" s="7"/>
    </row>
    <row r="17318" spans="1:16">
      <c r="A17318" s="3">
        <v>44538.80773148148</v>
      </c>
      <c r="B17318" s="4" t="str">
        <f>HYPERLINK("https://twitter.com/petrogustavo","@petrogustavo")</f>
        <v>@petrogustavo</v>
      </c>
      <c r="C17318" s="5" t="s">
        <v>16</v>
      </c>
      <c r="D17318" s="5" t="s">
        <v>16667</v>
      </c>
      <c r="E17318" s="6" t="str">
        <f>HYPERLINK("https://twitter.com/petrogustavo/status/1468579400727900161","1468579400727900161")</f>
        <v>1468579400727900161</v>
      </c>
      <c r="F17318" s="7" t="s">
        <v>17</v>
      </c>
      <c r="G17318" s="7">
        <v>4420659</v>
      </c>
      <c r="H17318" s="7">
        <v>2578</v>
      </c>
      <c r="I17318" s="7">
        <v>64</v>
      </c>
      <c r="J17318" s="7">
        <v>141</v>
      </c>
      <c r="K17318" s="7" t="s">
        <v>18</v>
      </c>
      <c r="L17318" s="8">
        <v>39987.315405092595</v>
      </c>
      <c r="M17318" s="9" t="s">
        <v>19</v>
      </c>
      <c r="N17318" s="9" t="s">
        <v>20</v>
      </c>
      <c r="O17318" s="6" t="str">
        <f>HYPERLINK("https://pbs.twimg.com/profile_images/962471262747529216/Uo8lOkRJ_normal.jpg","View")</f>
        <v>View</v>
      </c>
      <c r="P17318" s="7"/>
    </row>
    <row r="17319" spans="1:16">
      <c r="A17319" s="3">
        <v>44538.816666666666</v>
      </c>
      <c r="B17319" s="4" t="str">
        <f>HYPERLINK("https://twitter.com/petrogustavo","@petrogustavo")</f>
        <v>@petrogustavo</v>
      </c>
      <c r="C17319" s="5" t="s">
        <v>16</v>
      </c>
      <c r="D17319" s="5" t="s">
        <v>16668</v>
      </c>
      <c r="E17319" s="6" t="str">
        <f>HYPERLINK("https://twitter.com/petrogustavo/status/1468582636117442561","1468582636117442561")</f>
        <v>1468582636117442561</v>
      </c>
      <c r="F17319" s="7" t="s">
        <v>17</v>
      </c>
      <c r="G17319" s="7">
        <v>4420676</v>
      </c>
      <c r="H17319" s="7">
        <v>2578</v>
      </c>
      <c r="I17319" s="7">
        <v>97</v>
      </c>
      <c r="J17319" s="7">
        <v>313</v>
      </c>
      <c r="K17319" s="7" t="s">
        <v>18</v>
      </c>
      <c r="L17319" s="8">
        <v>39987.315405092595</v>
      </c>
      <c r="M17319" s="9" t="s">
        <v>19</v>
      </c>
      <c r="N17319" s="9" t="s">
        <v>20</v>
      </c>
      <c r="O17319" s="6" t="str">
        <f>HYPERLINK("https://pbs.twimg.com/profile_images/962471262747529216/Uo8lOkRJ_normal.jpg","View")</f>
        <v>View</v>
      </c>
      <c r="P17319" s="7"/>
    </row>
    <row r="17320" spans="1:16">
      <c r="A17320" s="3">
        <v>44538.849328703705</v>
      </c>
      <c r="B17320" s="4" t="str">
        <f>HYPERLINK("https://twitter.com/petrogustavo","@petrogustavo")</f>
        <v>@petrogustavo</v>
      </c>
      <c r="C17320" s="5" t="s">
        <v>16</v>
      </c>
      <c r="D17320" s="5" t="s">
        <v>16669</v>
      </c>
      <c r="E17320" s="6" t="str">
        <f>HYPERLINK("https://twitter.com/petrogustavo/status/1468594475035414531","1468594475035414531")</f>
        <v>1468594475035414531</v>
      </c>
      <c r="F17320" s="7" t="s">
        <v>17</v>
      </c>
      <c r="G17320" s="7">
        <v>4420681</v>
      </c>
      <c r="H17320" s="7">
        <v>2578</v>
      </c>
      <c r="I17320" s="7">
        <v>72</v>
      </c>
      <c r="J17320" s="7">
        <v>210</v>
      </c>
      <c r="K17320" s="7" t="s">
        <v>18</v>
      </c>
      <c r="L17320" s="8">
        <v>39987.315405092595</v>
      </c>
      <c r="M17320" s="9" t="s">
        <v>19</v>
      </c>
      <c r="N17320" s="9" t="s">
        <v>20</v>
      </c>
      <c r="O17320" s="6" t="str">
        <f>HYPERLINK("https://pbs.twimg.com/profile_images/962471262747529216/Uo8lOkRJ_normal.jpg","View")</f>
        <v>View</v>
      </c>
      <c r="P17320" s="7"/>
    </row>
    <row r="17321" spans="1:16">
      <c r="A17321" s="3">
        <v>44538.857453703706</v>
      </c>
      <c r="B17321" s="4" t="str">
        <f>HYPERLINK("https://twitter.com/petrogustavo","@petrogustavo")</f>
        <v>@petrogustavo</v>
      </c>
      <c r="C17321" s="5" t="s">
        <v>16</v>
      </c>
      <c r="D17321" s="5" t="s">
        <v>16670</v>
      </c>
      <c r="E17321" s="6" t="str">
        <f>HYPERLINK("https://twitter.com/petrogustavo/status/1468597418392526850","1468597418392526850")</f>
        <v>1468597418392526850</v>
      </c>
      <c r="F17321" s="7" t="s">
        <v>17</v>
      </c>
      <c r="G17321" s="7">
        <v>4420691</v>
      </c>
      <c r="H17321" s="7">
        <v>2578</v>
      </c>
      <c r="I17321" s="7">
        <v>235</v>
      </c>
      <c r="J17321" s="7">
        <v>758</v>
      </c>
      <c r="K17321" s="7" t="s">
        <v>18</v>
      </c>
      <c r="L17321" s="8">
        <v>39987.315405092595</v>
      </c>
      <c r="M17321" s="9" t="s">
        <v>19</v>
      </c>
      <c r="N17321" s="9" t="s">
        <v>20</v>
      </c>
      <c r="O17321" s="6" t="str">
        <f>HYPERLINK("https://pbs.twimg.com/profile_images/962471262747529216/Uo8lOkRJ_normal.jpg","View")</f>
        <v>View</v>
      </c>
      <c r="P17321" s="7"/>
    </row>
    <row r="17322" spans="1:16">
      <c r="A17322" s="3">
        <v>44538.8597337963</v>
      </c>
      <c r="B17322" s="4" t="str">
        <f>HYPERLINK("https://twitter.com/petrogustavo","@petrogustavo")</f>
        <v>@petrogustavo</v>
      </c>
      <c r="C17322" s="5" t="s">
        <v>16</v>
      </c>
      <c r="D17322" s="5" t="s">
        <v>16671</v>
      </c>
      <c r="E17322" s="6" t="str">
        <f>HYPERLINK("https://twitter.com/petrogustavo/status/1468598246343942150","1468598246343942150")</f>
        <v>1468598246343942150</v>
      </c>
      <c r="F17322" s="7" t="s">
        <v>17</v>
      </c>
      <c r="G17322" s="7">
        <v>4420691</v>
      </c>
      <c r="H17322" s="7">
        <v>2578</v>
      </c>
      <c r="I17322" s="7">
        <v>896</v>
      </c>
      <c r="J17322" s="7">
        <v>0</v>
      </c>
      <c r="K17322" s="7" t="s">
        <v>18</v>
      </c>
      <c r="L17322" s="8">
        <v>39987.315405092595</v>
      </c>
      <c r="M17322" s="9" t="s">
        <v>19</v>
      </c>
      <c r="N17322" s="9" t="s">
        <v>20</v>
      </c>
      <c r="O17322" s="6" t="str">
        <f>HYPERLINK("https://pbs.twimg.com/profile_images/962471262747529216/Uo8lOkRJ_normal.jpg","View")</f>
        <v>View</v>
      </c>
      <c r="P17322" s="7"/>
    </row>
    <row r="17323" spans="1:16">
      <c r="A17323" s="3">
        <v>44538.861261574071</v>
      </c>
      <c r="B17323" s="4" t="str">
        <f>HYPERLINK("https://twitter.com/petrogustavo","@petrogustavo")</f>
        <v>@petrogustavo</v>
      </c>
      <c r="C17323" s="5" t="s">
        <v>16</v>
      </c>
      <c r="D17323" s="5" t="s">
        <v>16672</v>
      </c>
      <c r="E17323" s="6" t="str">
        <f>HYPERLINK("https://twitter.com/petrogustavo/status/1468598797337079813","1468598797337079813")</f>
        <v>1468598797337079813</v>
      </c>
      <c r="F17323" s="7" t="s">
        <v>17</v>
      </c>
      <c r="G17323" s="7">
        <v>4420691</v>
      </c>
      <c r="H17323" s="7">
        <v>2578</v>
      </c>
      <c r="I17323" s="7">
        <v>109</v>
      </c>
      <c r="J17323" s="7">
        <v>212</v>
      </c>
      <c r="K17323" s="7" t="s">
        <v>18</v>
      </c>
      <c r="L17323" s="8">
        <v>39987.315405092595</v>
      </c>
      <c r="M17323" s="9" t="s">
        <v>19</v>
      </c>
      <c r="N17323" s="9" t="s">
        <v>20</v>
      </c>
      <c r="O17323" s="6" t="str">
        <f>HYPERLINK("https://pbs.twimg.com/profile_images/962471262747529216/Uo8lOkRJ_normal.jpg","View")</f>
        <v>View</v>
      </c>
      <c r="P17323" s="7"/>
    </row>
    <row r="17324" spans="1:16">
      <c r="A17324" s="3">
        <v>44538.888715277775</v>
      </c>
      <c r="B17324" s="4" t="str">
        <f>HYPERLINK("https://twitter.com/petrogustavo","@petrogustavo")</f>
        <v>@petrogustavo</v>
      </c>
      <c r="C17324" s="5" t="s">
        <v>16</v>
      </c>
      <c r="D17324" s="5" t="s">
        <v>16673</v>
      </c>
      <c r="E17324" s="6" t="str">
        <f>HYPERLINK("https://twitter.com/petrogustavo/status/1468608746725142530","1468608746725142530")</f>
        <v>1468608746725142530</v>
      </c>
      <c r="F17324" s="7" t="s">
        <v>21</v>
      </c>
      <c r="G17324" s="7">
        <v>4420656</v>
      </c>
      <c r="H17324" s="7">
        <v>2578</v>
      </c>
      <c r="I17324" s="7">
        <v>86</v>
      </c>
      <c r="J17324" s="7">
        <v>257</v>
      </c>
      <c r="K17324" s="7" t="s">
        <v>18</v>
      </c>
      <c r="L17324" s="8">
        <v>39987.315405092595</v>
      </c>
      <c r="M17324" s="9" t="s">
        <v>19</v>
      </c>
      <c r="N17324" s="9" t="s">
        <v>20</v>
      </c>
      <c r="O17324" s="6" t="str">
        <f>HYPERLINK("https://pbs.twimg.com/profile_images/962471262747529216/Uo8lOkRJ_normal.jpg","View")</f>
        <v>View</v>
      </c>
      <c r="P17324" s="7"/>
    </row>
    <row r="17325" spans="1:16">
      <c r="A17325" s="3">
        <v>44539.106319444443</v>
      </c>
      <c r="B17325" s="4" t="str">
        <f>HYPERLINK("https://twitter.com/petrogustavo","@petrogustavo")</f>
        <v>@petrogustavo</v>
      </c>
      <c r="C17325" s="5" t="s">
        <v>16</v>
      </c>
      <c r="D17325" s="5" t="s">
        <v>16674</v>
      </c>
      <c r="E17325" s="6" t="str">
        <f>HYPERLINK("https://twitter.com/petrogustavo/status/1468687604468039681","1468687604468039681")</f>
        <v>1468687604468039681</v>
      </c>
      <c r="F17325" s="7" t="s">
        <v>17</v>
      </c>
      <c r="G17325" s="7">
        <v>4420811</v>
      </c>
      <c r="H17325" s="7">
        <v>2578</v>
      </c>
      <c r="I17325" s="7">
        <v>202</v>
      </c>
      <c r="J17325" s="7">
        <v>0</v>
      </c>
      <c r="K17325" s="7" t="s">
        <v>18</v>
      </c>
      <c r="L17325" s="8">
        <v>39987.315405092595</v>
      </c>
      <c r="M17325" s="9" t="s">
        <v>19</v>
      </c>
      <c r="N17325" s="9" t="s">
        <v>20</v>
      </c>
      <c r="O17325" s="6" t="str">
        <f>HYPERLINK("https://pbs.twimg.com/profile_images/962471262747529216/Uo8lOkRJ_normal.jpg","View")</f>
        <v>View</v>
      </c>
      <c r="P17325" s="7"/>
    </row>
    <row r="17326" spans="1:16">
      <c r="A17326" s="3">
        <v>44539.156597222223</v>
      </c>
      <c r="B17326" s="4" t="str">
        <f>HYPERLINK("https://twitter.com/petrogustavo","@petrogustavo")</f>
        <v>@petrogustavo</v>
      </c>
      <c r="C17326" s="5" t="s">
        <v>16</v>
      </c>
      <c r="D17326" s="5" t="s">
        <v>16675</v>
      </c>
      <c r="E17326" s="6" t="str">
        <f>HYPERLINK("https://twitter.com/petrogustavo/status/1468705824843382784","1468705824843382784")</f>
        <v>1468705824843382784</v>
      </c>
      <c r="F17326" s="7" t="s">
        <v>17</v>
      </c>
      <c r="G17326" s="7">
        <v>4420853</v>
      </c>
      <c r="H17326" s="7">
        <v>2578</v>
      </c>
      <c r="I17326" s="7">
        <v>116</v>
      </c>
      <c r="J17326" s="7">
        <v>391</v>
      </c>
      <c r="K17326" s="7" t="s">
        <v>18</v>
      </c>
      <c r="L17326" s="8">
        <v>39987.315405092595</v>
      </c>
      <c r="M17326" s="9" t="s">
        <v>19</v>
      </c>
      <c r="N17326" s="9" t="s">
        <v>20</v>
      </c>
      <c r="O17326" s="6" t="str">
        <f>HYPERLINK("https://pbs.twimg.com/profile_images/962471262747529216/Uo8lOkRJ_normal.jpg","View")</f>
        <v>View</v>
      </c>
      <c r="P17326" s="7"/>
    </row>
    <row r="17327" spans="1:16">
      <c r="A17327" s="3">
        <v>44539.196909722217</v>
      </c>
      <c r="B17327" s="4" t="str">
        <f>HYPERLINK("https://twitter.com/petrogustavo","@petrogustavo")</f>
        <v>@petrogustavo</v>
      </c>
      <c r="C17327" s="5" t="s">
        <v>16</v>
      </c>
      <c r="D17327" s="5" t="s">
        <v>16676</v>
      </c>
      <c r="E17327" s="6" t="str">
        <f>HYPERLINK("https://twitter.com/petrogustavo/status/1468720431473516545","1468720431473516545")</f>
        <v>1468720431473516545</v>
      </c>
      <c r="F17327" s="7" t="s">
        <v>17</v>
      </c>
      <c r="G17327" s="7">
        <v>4420869</v>
      </c>
      <c r="H17327" s="7">
        <v>2578</v>
      </c>
      <c r="I17327" s="7">
        <v>1074</v>
      </c>
      <c r="J17327" s="7">
        <v>0</v>
      </c>
      <c r="K17327" s="7" t="s">
        <v>18</v>
      </c>
      <c r="L17327" s="8">
        <v>39987.315405092595</v>
      </c>
      <c r="M17327" s="9" t="s">
        <v>19</v>
      </c>
      <c r="N17327" s="9" t="s">
        <v>20</v>
      </c>
      <c r="O17327" s="6" t="str">
        <f>HYPERLINK("https://pbs.twimg.com/profile_images/962471262747529216/Uo8lOkRJ_normal.jpg","View")</f>
        <v>View</v>
      </c>
      <c r="P17327" s="7"/>
    </row>
    <row r="17328" spans="1:16">
      <c r="A17328" s="3">
        <v>44539.245162037041</v>
      </c>
      <c r="B17328" s="4" t="str">
        <f>HYPERLINK("https://twitter.com/petrogustavo","@petrogustavo")</f>
        <v>@petrogustavo</v>
      </c>
      <c r="C17328" s="5" t="s">
        <v>16</v>
      </c>
      <c r="D17328" s="5" t="s">
        <v>16677</v>
      </c>
      <c r="E17328" s="6" t="str">
        <f>HYPERLINK("https://twitter.com/petrogustavo/status/1468737921532502021","1468737921532502021")</f>
        <v>1468737921532502021</v>
      </c>
      <c r="F17328" s="7" t="s">
        <v>17</v>
      </c>
      <c r="G17328" s="7">
        <v>4420910</v>
      </c>
      <c r="H17328" s="7">
        <v>2578</v>
      </c>
      <c r="I17328" s="7">
        <v>132</v>
      </c>
      <c r="J17328" s="7">
        <v>469</v>
      </c>
      <c r="K17328" s="7" t="s">
        <v>18</v>
      </c>
      <c r="L17328" s="8">
        <v>39987.315405092595</v>
      </c>
      <c r="M17328" s="9" t="s">
        <v>19</v>
      </c>
      <c r="N17328" s="9" t="s">
        <v>20</v>
      </c>
      <c r="O17328" s="6" t="str">
        <f>HYPERLINK("https://pbs.twimg.com/profile_images/962471262747529216/Uo8lOkRJ_normal.jpg","View")</f>
        <v>View</v>
      </c>
      <c r="P17328" s="7"/>
    </row>
    <row r="17329" spans="1:16">
      <c r="A17329" s="3">
        <v>44539.25990740741</v>
      </c>
      <c r="B17329" s="4" t="str">
        <f>HYPERLINK("https://twitter.com/petrogustavo","@petrogustavo")</f>
        <v>@petrogustavo</v>
      </c>
      <c r="C17329" s="5" t="s">
        <v>16</v>
      </c>
      <c r="D17329" s="5" t="s">
        <v>16678</v>
      </c>
      <c r="E17329" s="6" t="str">
        <f>HYPERLINK("https://twitter.com/petrogustavo/status/1468743262903099395","1468743262903099395")</f>
        <v>1468743262903099395</v>
      </c>
      <c r="F17329" s="7" t="s">
        <v>32</v>
      </c>
      <c r="G17329" s="7">
        <v>4420935</v>
      </c>
      <c r="H17329" s="7">
        <v>2578</v>
      </c>
      <c r="I17329" s="7">
        <v>102</v>
      </c>
      <c r="J17329" s="7">
        <v>377</v>
      </c>
      <c r="K17329" s="7" t="s">
        <v>18</v>
      </c>
      <c r="L17329" s="8">
        <v>39987.315405092595</v>
      </c>
      <c r="M17329" s="9" t="s">
        <v>19</v>
      </c>
      <c r="N17329" s="9" t="s">
        <v>20</v>
      </c>
      <c r="O17329" s="6" t="str">
        <f>HYPERLINK("https://pbs.twimg.com/profile_images/962471262747529216/Uo8lOkRJ_normal.jpg","View")</f>
        <v>View</v>
      </c>
      <c r="P17329" s="7"/>
    </row>
    <row r="17330" spans="1:16">
      <c r="A17330" s="3">
        <v>44539.266226851847</v>
      </c>
      <c r="B17330" s="4" t="str">
        <f>HYPERLINK("https://twitter.com/petrogustavo","@petrogustavo")</f>
        <v>@petrogustavo</v>
      </c>
      <c r="C17330" s="5" t="s">
        <v>16</v>
      </c>
      <c r="D17330" s="5" t="s">
        <v>16679</v>
      </c>
      <c r="E17330" s="6" t="str">
        <f>HYPERLINK("https://twitter.com/petrogustavo/status/1468745554792431616","1468745554792431616")</f>
        <v>1468745554792431616</v>
      </c>
      <c r="F17330" s="7" t="s">
        <v>17</v>
      </c>
      <c r="G17330" s="7">
        <v>4420935</v>
      </c>
      <c r="H17330" s="7">
        <v>2578</v>
      </c>
      <c r="I17330" s="7">
        <v>71</v>
      </c>
      <c r="J17330" s="7">
        <v>148</v>
      </c>
      <c r="K17330" s="7" t="s">
        <v>18</v>
      </c>
      <c r="L17330" s="8">
        <v>39987.315405092595</v>
      </c>
      <c r="M17330" s="9" t="s">
        <v>19</v>
      </c>
      <c r="N17330" s="9" t="s">
        <v>20</v>
      </c>
      <c r="O17330" s="6" t="str">
        <f>HYPERLINK("https://pbs.twimg.com/profile_images/962471262747529216/Uo8lOkRJ_normal.jpg","View")</f>
        <v>View</v>
      </c>
      <c r="P17330" s="7"/>
    </row>
    <row r="17331" spans="1:16">
      <c r="A17331" s="3">
        <v>44539.281736111108</v>
      </c>
      <c r="B17331" s="4" t="str">
        <f>HYPERLINK("https://twitter.com/petrogustavo","@petrogustavo")</f>
        <v>@petrogustavo</v>
      </c>
      <c r="C17331" s="5" t="s">
        <v>16</v>
      </c>
      <c r="D17331" s="5" t="s">
        <v>16680</v>
      </c>
      <c r="E17331" s="6" t="str">
        <f>HYPERLINK("https://twitter.com/petrogustavo/status/1468751175252070407","1468751175252070407")</f>
        <v>1468751175252070407</v>
      </c>
      <c r="F17331" s="7" t="s">
        <v>32</v>
      </c>
      <c r="G17331" s="7">
        <v>4420972</v>
      </c>
      <c r="H17331" s="7">
        <v>2578</v>
      </c>
      <c r="I17331" s="7">
        <v>205</v>
      </c>
      <c r="J17331" s="7">
        <v>0</v>
      </c>
      <c r="K17331" s="7" t="s">
        <v>18</v>
      </c>
      <c r="L17331" s="8">
        <v>39987.315405092595</v>
      </c>
      <c r="M17331" s="9" t="s">
        <v>19</v>
      </c>
      <c r="N17331" s="9" t="s">
        <v>20</v>
      </c>
      <c r="O17331" s="6" t="str">
        <f>HYPERLINK("https://pbs.twimg.com/profile_images/962471262747529216/Uo8lOkRJ_normal.jpg","View")</f>
        <v>View</v>
      </c>
      <c r="P17331" s="7"/>
    </row>
    <row r="17332" spans="1:16">
      <c r="A17332" s="3">
        <v>44539.319606481484</v>
      </c>
      <c r="B17332" s="4" t="str">
        <f>HYPERLINK("https://twitter.com/petrogustavo","@petrogustavo")</f>
        <v>@petrogustavo</v>
      </c>
      <c r="C17332" s="5" t="s">
        <v>16</v>
      </c>
      <c r="D17332" s="5" t="s">
        <v>16681</v>
      </c>
      <c r="E17332" s="6" t="str">
        <f>HYPERLINK("https://twitter.com/petrogustavo/status/1468764897190240260","1468764897190240260")</f>
        <v>1468764897190240260</v>
      </c>
      <c r="F17332" s="7" t="s">
        <v>17</v>
      </c>
      <c r="G17332" s="7">
        <v>4421028</v>
      </c>
      <c r="H17332" s="7">
        <v>2578</v>
      </c>
      <c r="I17332" s="7">
        <v>92</v>
      </c>
      <c r="J17332" s="7">
        <v>0</v>
      </c>
      <c r="K17332" s="7" t="s">
        <v>18</v>
      </c>
      <c r="L17332" s="8">
        <v>39987.315405092595</v>
      </c>
      <c r="M17332" s="9" t="s">
        <v>19</v>
      </c>
      <c r="N17332" s="9" t="s">
        <v>20</v>
      </c>
      <c r="O17332" s="6" t="str">
        <f>HYPERLINK("https://pbs.twimg.com/profile_images/962471262747529216/Uo8lOkRJ_normal.jpg","View")</f>
        <v>View</v>
      </c>
      <c r="P17332" s="7"/>
    </row>
    <row r="17333" spans="1:16">
      <c r="A17333" s="3">
        <v>44539.323113425926</v>
      </c>
      <c r="B17333" s="4" t="str">
        <f>HYPERLINK("https://twitter.com/petrogustavo","@petrogustavo")</f>
        <v>@petrogustavo</v>
      </c>
      <c r="C17333" s="5" t="s">
        <v>16</v>
      </c>
      <c r="D17333" s="5" t="s">
        <v>16682</v>
      </c>
      <c r="E17333" s="6" t="str">
        <f>HYPERLINK("https://twitter.com/petrogustavo/status/1468766168379015172","1468766168379015172")</f>
        <v>1468766168379015172</v>
      </c>
      <c r="F17333" s="7" t="s">
        <v>17</v>
      </c>
      <c r="G17333" s="7">
        <v>4421028</v>
      </c>
      <c r="H17333" s="7">
        <v>2578</v>
      </c>
      <c r="I17333" s="7">
        <v>83</v>
      </c>
      <c r="J17333" s="7">
        <v>0</v>
      </c>
      <c r="K17333" s="7" t="s">
        <v>18</v>
      </c>
      <c r="L17333" s="8">
        <v>39987.315405092595</v>
      </c>
      <c r="M17333" s="9" t="s">
        <v>19</v>
      </c>
      <c r="N17333" s="9" t="s">
        <v>20</v>
      </c>
      <c r="O17333" s="6" t="str">
        <f>HYPERLINK("https://pbs.twimg.com/profile_images/962471262747529216/Uo8lOkRJ_normal.jpg","View")</f>
        <v>View</v>
      </c>
      <c r="P17333" s="7"/>
    </row>
    <row r="17334" spans="1:16">
      <c r="A17334" s="3">
        <v>44539.324814814812</v>
      </c>
      <c r="B17334" s="4" t="str">
        <f>HYPERLINK("https://twitter.com/petrogustavo","@petrogustavo")</f>
        <v>@petrogustavo</v>
      </c>
      <c r="C17334" s="5" t="s">
        <v>16</v>
      </c>
      <c r="D17334" s="5" t="s">
        <v>16683</v>
      </c>
      <c r="E17334" s="6" t="str">
        <f>HYPERLINK("https://twitter.com/petrogustavo/status/1468766786099322881","1468766786099322881")</f>
        <v>1468766786099322881</v>
      </c>
      <c r="F17334" s="7" t="s">
        <v>17</v>
      </c>
      <c r="G17334" s="7">
        <v>4421028</v>
      </c>
      <c r="H17334" s="7">
        <v>2578</v>
      </c>
      <c r="I17334" s="7">
        <v>183</v>
      </c>
      <c r="J17334" s="7">
        <v>0</v>
      </c>
      <c r="K17334" s="7" t="s">
        <v>18</v>
      </c>
      <c r="L17334" s="8">
        <v>39987.315405092595</v>
      </c>
      <c r="M17334" s="9" t="s">
        <v>19</v>
      </c>
      <c r="N17334" s="9" t="s">
        <v>20</v>
      </c>
      <c r="O17334" s="6" t="str">
        <f>HYPERLINK("https://pbs.twimg.com/profile_images/962471262747529216/Uo8lOkRJ_normal.jpg","View")</f>
        <v>View</v>
      </c>
      <c r="P17334" s="7"/>
    </row>
    <row r="17335" spans="1:16">
      <c r="A17335" s="3">
        <v>44539.326793981483</v>
      </c>
      <c r="B17335" s="4" t="str">
        <f>HYPERLINK("https://twitter.com/petrogustavo","@petrogustavo")</f>
        <v>@petrogustavo</v>
      </c>
      <c r="C17335" s="5" t="s">
        <v>16</v>
      </c>
      <c r="D17335" s="5" t="s">
        <v>16684</v>
      </c>
      <c r="E17335" s="6" t="str">
        <f>HYPERLINK("https://twitter.com/petrogustavo/status/1468767500196323329","1468767500196323329")</f>
        <v>1468767500196323329</v>
      </c>
      <c r="F17335" s="7" t="s">
        <v>17</v>
      </c>
      <c r="G17335" s="7">
        <v>4421028</v>
      </c>
      <c r="H17335" s="7">
        <v>2578</v>
      </c>
      <c r="I17335" s="7">
        <v>72</v>
      </c>
      <c r="J17335" s="7">
        <v>0</v>
      </c>
      <c r="K17335" s="7" t="s">
        <v>18</v>
      </c>
      <c r="L17335" s="8">
        <v>39987.315405092595</v>
      </c>
      <c r="M17335" s="9" t="s">
        <v>19</v>
      </c>
      <c r="N17335" s="9" t="s">
        <v>20</v>
      </c>
      <c r="O17335" s="6" t="str">
        <f>HYPERLINK("https://pbs.twimg.com/profile_images/962471262747529216/Uo8lOkRJ_normal.jpg","View")</f>
        <v>View</v>
      </c>
      <c r="P17335" s="7"/>
    </row>
    <row r="17336" spans="1:16">
      <c r="A17336" s="3">
        <v>44539.712013888886</v>
      </c>
      <c r="B17336" s="4" t="str">
        <f>HYPERLINK("https://twitter.com/petrogustavo","@petrogustavo")</f>
        <v>@petrogustavo</v>
      </c>
      <c r="C17336" s="5" t="s">
        <v>16</v>
      </c>
      <c r="D17336" s="5" t="s">
        <v>16685</v>
      </c>
      <c r="E17336" s="6" t="str">
        <f>HYPERLINK("https://twitter.com/petrogustavo/status/1468907099186937856","1468907099186937856")</f>
        <v>1468907099186937856</v>
      </c>
      <c r="F17336" s="7" t="s">
        <v>17</v>
      </c>
      <c r="G17336" s="7">
        <v>4421170</v>
      </c>
      <c r="H17336" s="7">
        <v>2578</v>
      </c>
      <c r="I17336" s="7">
        <v>34</v>
      </c>
      <c r="J17336" s="7">
        <v>0</v>
      </c>
      <c r="K17336" s="7" t="s">
        <v>18</v>
      </c>
      <c r="L17336" s="8">
        <v>39987.315405092595</v>
      </c>
      <c r="M17336" s="9" t="s">
        <v>19</v>
      </c>
      <c r="N17336" s="9" t="s">
        <v>20</v>
      </c>
      <c r="O17336" s="6" t="str">
        <f>HYPERLINK("https://pbs.twimg.com/profile_images/962471262747529216/Uo8lOkRJ_normal.jpg","View")</f>
        <v>View</v>
      </c>
      <c r="P17336" s="7"/>
    </row>
    <row r="17337" spans="1:16">
      <c r="A17337" s="3">
        <v>44539.718321759261</v>
      </c>
      <c r="B17337" s="4" t="str">
        <f>HYPERLINK("https://twitter.com/petrogustavo","@petrogustavo")</f>
        <v>@petrogustavo</v>
      </c>
      <c r="C17337" s="5" t="s">
        <v>16</v>
      </c>
      <c r="D17337" s="5" t="s">
        <v>16686</v>
      </c>
      <c r="E17337" s="6" t="str">
        <f>HYPERLINK("https://twitter.com/petrogustavo/status/1468909385229508608","1468909385229508608")</f>
        <v>1468909385229508608</v>
      </c>
      <c r="F17337" s="7" t="s">
        <v>17</v>
      </c>
      <c r="G17337" s="7">
        <v>4421170</v>
      </c>
      <c r="H17337" s="7">
        <v>2578</v>
      </c>
      <c r="I17337" s="7">
        <v>39</v>
      </c>
      <c r="J17337" s="7">
        <v>0</v>
      </c>
      <c r="K17337" s="7" t="s">
        <v>18</v>
      </c>
      <c r="L17337" s="8">
        <v>39987.315405092595</v>
      </c>
      <c r="M17337" s="9" t="s">
        <v>19</v>
      </c>
      <c r="N17337" s="9" t="s">
        <v>20</v>
      </c>
      <c r="O17337" s="6" t="str">
        <f>HYPERLINK("https://pbs.twimg.com/profile_images/962471262747529216/Uo8lOkRJ_normal.jpg","View")</f>
        <v>View</v>
      </c>
      <c r="P17337" s="7"/>
    </row>
    <row r="17338" spans="1:16">
      <c r="A17338" s="3">
        <v>44540.004745370374</v>
      </c>
      <c r="B17338" s="4" t="str">
        <f>HYPERLINK("https://twitter.com/petrogustavo","@petrogustavo")</f>
        <v>@petrogustavo</v>
      </c>
      <c r="C17338" s="5" t="s">
        <v>16</v>
      </c>
      <c r="D17338" s="5" t="s">
        <v>16687</v>
      </c>
      <c r="E17338" s="6" t="str">
        <f>HYPERLINK("https://twitter.com/petrogustavo/status/1469013182371008517","1469013182371008517")</f>
        <v>1469013182371008517</v>
      </c>
      <c r="F17338" s="7" t="s">
        <v>17</v>
      </c>
      <c r="G17338" s="7">
        <v>4421416</v>
      </c>
      <c r="H17338" s="7">
        <v>2578</v>
      </c>
      <c r="I17338" s="7">
        <v>342</v>
      </c>
      <c r="J17338" s="7">
        <v>1237</v>
      </c>
      <c r="K17338" s="7" t="s">
        <v>18</v>
      </c>
      <c r="L17338" s="8">
        <v>39987.315405092595</v>
      </c>
      <c r="M17338" s="9" t="s">
        <v>19</v>
      </c>
      <c r="N17338" s="9" t="s">
        <v>20</v>
      </c>
      <c r="O17338" s="6" t="str">
        <f>HYPERLINK("https://pbs.twimg.com/profile_images/962471262747529216/Uo8lOkRJ_normal.jpg","View")</f>
        <v>View</v>
      </c>
      <c r="P17338" s="7"/>
    </row>
    <row r="17339" spans="1:16">
      <c r="A17339" s="3">
        <v>44540.198518518519</v>
      </c>
      <c r="B17339" s="4" t="str">
        <f>HYPERLINK("https://twitter.com/petrogustavo","@petrogustavo")</f>
        <v>@petrogustavo</v>
      </c>
      <c r="C17339" s="5" t="s">
        <v>16</v>
      </c>
      <c r="D17339" s="5" t="s">
        <v>16688</v>
      </c>
      <c r="E17339" s="6" t="str">
        <f>HYPERLINK("https://twitter.com/petrogustavo/status/1469083406235574281","1469083406235574281")</f>
        <v>1469083406235574281</v>
      </c>
      <c r="F17339" s="7" t="s">
        <v>17</v>
      </c>
      <c r="G17339" s="7">
        <v>4421577</v>
      </c>
      <c r="H17339" s="7">
        <v>2578</v>
      </c>
      <c r="I17339" s="7">
        <v>68</v>
      </c>
      <c r="J17339" s="7">
        <v>0</v>
      </c>
      <c r="K17339" s="7" t="s">
        <v>18</v>
      </c>
      <c r="L17339" s="8">
        <v>39987.315405092595</v>
      </c>
      <c r="M17339" s="9" t="s">
        <v>19</v>
      </c>
      <c r="N17339" s="9" t="s">
        <v>20</v>
      </c>
      <c r="O17339" s="6" t="str">
        <f>HYPERLINK("https://pbs.twimg.com/profile_images/962471262747529216/Uo8lOkRJ_normal.jpg","View")</f>
        <v>View</v>
      </c>
      <c r="P17339" s="7"/>
    </row>
    <row r="17340" spans="1:16">
      <c r="A17340" s="3">
        <v>44540.226631944446</v>
      </c>
      <c r="B17340" s="4" t="str">
        <f>HYPERLINK("https://twitter.com/petrogustavo","@petrogustavo")</f>
        <v>@petrogustavo</v>
      </c>
      <c r="C17340" s="5" t="s">
        <v>16</v>
      </c>
      <c r="D17340" s="5" t="s">
        <v>16689</v>
      </c>
      <c r="E17340" s="6" t="str">
        <f>HYPERLINK("https://twitter.com/petrogustavo/status/1469093590597095426","1469093590597095426")</f>
        <v>1469093590597095426</v>
      </c>
      <c r="F17340" s="7" t="s">
        <v>17</v>
      </c>
      <c r="G17340" s="7">
        <v>4421603</v>
      </c>
      <c r="H17340" s="7">
        <v>2578</v>
      </c>
      <c r="I17340" s="7">
        <v>115</v>
      </c>
      <c r="J17340" s="7">
        <v>332</v>
      </c>
      <c r="K17340" s="7" t="s">
        <v>18</v>
      </c>
      <c r="L17340" s="8">
        <v>39987.315405092595</v>
      </c>
      <c r="M17340" s="9" t="s">
        <v>19</v>
      </c>
      <c r="N17340" s="9" t="s">
        <v>20</v>
      </c>
      <c r="O17340" s="6" t="str">
        <f>HYPERLINK("https://pbs.twimg.com/profile_images/962471262747529216/Uo8lOkRJ_normal.jpg","View")</f>
        <v>View</v>
      </c>
      <c r="P17340" s="7"/>
    </row>
    <row r="17341" spans="1:16">
      <c r="A17341" s="3">
        <v>44540.271041666667</v>
      </c>
      <c r="B17341" s="4" t="str">
        <f>HYPERLINK("https://twitter.com/petrogustavo","@petrogustavo")</f>
        <v>@petrogustavo</v>
      </c>
      <c r="C17341" s="5" t="s">
        <v>16</v>
      </c>
      <c r="D17341" s="5" t="s">
        <v>16690</v>
      </c>
      <c r="E17341" s="6" t="str">
        <f>HYPERLINK("https://twitter.com/petrogustavo/status/1469109687484305413","1469109687484305413")</f>
        <v>1469109687484305413</v>
      </c>
      <c r="F17341" s="7" t="s">
        <v>17</v>
      </c>
      <c r="G17341" s="7">
        <v>4421612</v>
      </c>
      <c r="H17341" s="7">
        <v>2578</v>
      </c>
      <c r="I17341" s="7">
        <v>14</v>
      </c>
      <c r="J17341" s="7">
        <v>0</v>
      </c>
      <c r="K17341" s="7" t="s">
        <v>18</v>
      </c>
      <c r="L17341" s="8">
        <v>39987.315405092595</v>
      </c>
      <c r="M17341" s="9" t="s">
        <v>19</v>
      </c>
      <c r="N17341" s="9" t="s">
        <v>20</v>
      </c>
      <c r="O17341" s="6" t="str">
        <f>HYPERLINK("https://pbs.twimg.com/profile_images/962471262747529216/Uo8lOkRJ_normal.jpg","View")</f>
        <v>View</v>
      </c>
      <c r="P17341" s="7"/>
    </row>
    <row r="17342" spans="1:16">
      <c r="A17342" s="3">
        <v>44540.348611111112</v>
      </c>
      <c r="B17342" s="4" t="str">
        <f>HYPERLINK("https://twitter.com/petrogustavo","@petrogustavo")</f>
        <v>@petrogustavo</v>
      </c>
      <c r="C17342" s="5" t="s">
        <v>16</v>
      </c>
      <c r="D17342" s="5" t="s">
        <v>16691</v>
      </c>
      <c r="E17342" s="6" t="str">
        <f>HYPERLINK("https://twitter.com/petrogustavo/status/1469137797311340552","1469137797311340552")</f>
        <v>1469137797311340552</v>
      </c>
      <c r="F17342" s="7" t="s">
        <v>17</v>
      </c>
      <c r="G17342" s="7">
        <v>4421728</v>
      </c>
      <c r="H17342" s="7">
        <v>2578</v>
      </c>
      <c r="I17342" s="7">
        <v>44</v>
      </c>
      <c r="J17342" s="7">
        <v>0</v>
      </c>
      <c r="K17342" s="7" t="s">
        <v>18</v>
      </c>
      <c r="L17342" s="8">
        <v>39987.315405092595</v>
      </c>
      <c r="M17342" s="9" t="s">
        <v>19</v>
      </c>
      <c r="N17342" s="9" t="s">
        <v>20</v>
      </c>
      <c r="O17342" s="6" t="str">
        <f>HYPERLINK("https://pbs.twimg.com/profile_images/962471262747529216/Uo8lOkRJ_normal.jpg","View")</f>
        <v>View</v>
      </c>
      <c r="P17342" s="7"/>
    </row>
    <row r="17343" spans="1:16">
      <c r="A17343" s="3">
        <v>44540.714606481481</v>
      </c>
      <c r="B17343" s="4" t="str">
        <f>HYPERLINK("https://twitter.com/petrogustavo","@petrogustavo")</f>
        <v>@petrogustavo</v>
      </c>
      <c r="C17343" s="5" t="s">
        <v>16</v>
      </c>
      <c r="D17343" s="5" t="s">
        <v>16692</v>
      </c>
      <c r="E17343" s="6" t="str">
        <f>HYPERLINK("https://twitter.com/petrogustavo/status/1469270429583949826","1469270429583949826")</f>
        <v>1469270429583949826</v>
      </c>
      <c r="F17343" s="7" t="s">
        <v>17</v>
      </c>
      <c r="G17343" s="7">
        <v>4421956</v>
      </c>
      <c r="H17343" s="7">
        <v>2577</v>
      </c>
      <c r="I17343" s="7">
        <v>76</v>
      </c>
      <c r="J17343" s="7">
        <v>205</v>
      </c>
      <c r="K17343" s="7" t="s">
        <v>18</v>
      </c>
      <c r="L17343" s="8">
        <v>39987.315405092595</v>
      </c>
      <c r="M17343" s="9" t="s">
        <v>19</v>
      </c>
      <c r="N17343" s="9" t="s">
        <v>20</v>
      </c>
      <c r="O17343" s="6" t="str">
        <f>HYPERLINK("https://pbs.twimg.com/profile_images/962471262747529216/Uo8lOkRJ_normal.jpg","View")</f>
        <v>View</v>
      </c>
      <c r="P17343" s="7"/>
    </row>
    <row r="17344" spans="1:16">
      <c r="A17344" s="3">
        <v>44540.717060185183</v>
      </c>
      <c r="B17344" s="4" t="str">
        <f>HYPERLINK("https://twitter.com/petrogustavo","@petrogustavo")</f>
        <v>@petrogustavo</v>
      </c>
      <c r="C17344" s="5" t="s">
        <v>16</v>
      </c>
      <c r="D17344" s="5" t="s">
        <v>16693</v>
      </c>
      <c r="E17344" s="6" t="str">
        <f>HYPERLINK("https://twitter.com/petrogustavo/status/1469271317715337220","1469271317715337220")</f>
        <v>1469271317715337220</v>
      </c>
      <c r="F17344" s="7" t="s">
        <v>17</v>
      </c>
      <c r="G17344" s="7">
        <v>4421956</v>
      </c>
      <c r="H17344" s="7">
        <v>2577</v>
      </c>
      <c r="I17344" s="7">
        <v>194</v>
      </c>
      <c r="J17344" s="7">
        <v>575</v>
      </c>
      <c r="K17344" s="7" t="s">
        <v>18</v>
      </c>
      <c r="L17344" s="8">
        <v>39987.315405092595</v>
      </c>
      <c r="M17344" s="9" t="s">
        <v>19</v>
      </c>
      <c r="N17344" s="9" t="s">
        <v>20</v>
      </c>
      <c r="O17344" s="6" t="str">
        <f>HYPERLINK("https://pbs.twimg.com/profile_images/962471262747529216/Uo8lOkRJ_normal.jpg","View")</f>
        <v>View</v>
      </c>
      <c r="P17344" s="7"/>
    </row>
    <row r="17345" spans="1:16">
      <c r="A17345" s="3">
        <v>44540.729768518519</v>
      </c>
      <c r="B17345" s="4" t="str">
        <f>HYPERLINK("https://twitter.com/petrogustavo","@petrogustavo")</f>
        <v>@petrogustavo</v>
      </c>
      <c r="C17345" s="5" t="s">
        <v>16</v>
      </c>
      <c r="D17345" s="5" t="s">
        <v>16694</v>
      </c>
      <c r="E17345" s="6" t="str">
        <f>HYPERLINK("https://twitter.com/petrogustavo/status/1469275923212034052","1469275923212034052")</f>
        <v>1469275923212034052</v>
      </c>
      <c r="F17345" s="7" t="s">
        <v>17</v>
      </c>
      <c r="G17345" s="7">
        <v>4421956</v>
      </c>
      <c r="H17345" s="7">
        <v>2577</v>
      </c>
      <c r="I17345" s="7">
        <v>17</v>
      </c>
      <c r="J17345" s="7">
        <v>33</v>
      </c>
      <c r="K17345" s="7" t="s">
        <v>18</v>
      </c>
      <c r="L17345" s="8">
        <v>39987.315405092595</v>
      </c>
      <c r="M17345" s="9" t="s">
        <v>19</v>
      </c>
      <c r="N17345" s="9" t="s">
        <v>20</v>
      </c>
      <c r="O17345" s="6" t="str">
        <f>HYPERLINK("https://pbs.twimg.com/profile_images/962471262747529216/Uo8lOkRJ_normal.jpg","View")</f>
        <v>View</v>
      </c>
      <c r="P17345" s="7"/>
    </row>
    <row r="17346" spans="1:16">
      <c r="A17346" s="3">
        <v>44540.729768518519</v>
      </c>
      <c r="B17346" s="4" t="str">
        <f>HYPERLINK("https://twitter.com/petrogustavo","@petrogustavo")</f>
        <v>@petrogustavo</v>
      </c>
      <c r="C17346" s="5" t="s">
        <v>16</v>
      </c>
      <c r="D17346" s="5" t="s">
        <v>16695</v>
      </c>
      <c r="E17346" s="6" t="str">
        <f>HYPERLINK("https://twitter.com/petrogustavo/status/1469275924822646785","1469275924822646785")</f>
        <v>1469275924822646785</v>
      </c>
      <c r="F17346" s="7" t="s">
        <v>17</v>
      </c>
      <c r="G17346" s="7">
        <v>4421956</v>
      </c>
      <c r="H17346" s="7">
        <v>2577</v>
      </c>
      <c r="I17346" s="7">
        <v>4</v>
      </c>
      <c r="J17346" s="7">
        <v>8</v>
      </c>
      <c r="K17346" s="7" t="s">
        <v>18</v>
      </c>
      <c r="L17346" s="8">
        <v>39987.315405092595</v>
      </c>
      <c r="M17346" s="9" t="s">
        <v>19</v>
      </c>
      <c r="N17346" s="9" t="s">
        <v>20</v>
      </c>
      <c r="O17346" s="6" t="str">
        <f>HYPERLINK("https://pbs.twimg.com/profile_images/962471262747529216/Uo8lOkRJ_normal.jpg","View")</f>
        <v>View</v>
      </c>
      <c r="P17346" s="7"/>
    </row>
    <row r="17347" spans="1:16">
      <c r="A17347" s="3">
        <v>44540.729780092588</v>
      </c>
      <c r="B17347" s="4" t="str">
        <f>HYPERLINK("https://twitter.com/petrogustavo","@petrogustavo")</f>
        <v>@petrogustavo</v>
      </c>
      <c r="C17347" s="5" t="s">
        <v>16</v>
      </c>
      <c r="D17347" s="5" t="s">
        <v>16696</v>
      </c>
      <c r="E17347" s="6" t="str">
        <f>HYPERLINK("https://twitter.com/petrogustavo/status/1469275925850243076","1469275925850243076")</f>
        <v>1469275925850243076</v>
      </c>
      <c r="F17347" s="7" t="s">
        <v>17</v>
      </c>
      <c r="G17347" s="7">
        <v>4421956</v>
      </c>
      <c r="H17347" s="7">
        <v>2577</v>
      </c>
      <c r="I17347" s="7">
        <v>4</v>
      </c>
      <c r="J17347" s="7">
        <v>9</v>
      </c>
      <c r="K17347" s="7" t="s">
        <v>18</v>
      </c>
      <c r="L17347" s="8">
        <v>39987.315405092595</v>
      </c>
      <c r="M17347" s="9" t="s">
        <v>19</v>
      </c>
      <c r="N17347" s="9" t="s">
        <v>20</v>
      </c>
      <c r="O17347" s="6" t="str">
        <f>HYPERLINK("https://pbs.twimg.com/profile_images/962471262747529216/Uo8lOkRJ_normal.jpg","View")</f>
        <v>View</v>
      </c>
      <c r="P17347" s="7"/>
    </row>
    <row r="17348" spans="1:16">
      <c r="A17348" s="3">
        <v>44540.826006944444</v>
      </c>
      <c r="B17348" s="4" t="str">
        <f>HYPERLINK("https://twitter.com/petrogustavo","@petrogustavo")</f>
        <v>@petrogustavo</v>
      </c>
      <c r="C17348" s="5" t="s">
        <v>16</v>
      </c>
      <c r="D17348" s="5" t="s">
        <v>16688</v>
      </c>
      <c r="E17348" s="6" t="str">
        <f>HYPERLINK("https://twitter.com/petrogustavo/status/1469310798480740358","1469310798480740358")</f>
        <v>1469310798480740358</v>
      </c>
      <c r="F17348" s="7" t="s">
        <v>17</v>
      </c>
      <c r="G17348" s="7">
        <v>4422093</v>
      </c>
      <c r="H17348" s="7">
        <v>2577</v>
      </c>
      <c r="I17348" s="7">
        <v>391</v>
      </c>
      <c r="J17348" s="7">
        <v>0</v>
      </c>
      <c r="K17348" s="7" t="s">
        <v>18</v>
      </c>
      <c r="L17348" s="8">
        <v>39987.315405092595</v>
      </c>
      <c r="M17348" s="9" t="s">
        <v>19</v>
      </c>
      <c r="N17348" s="9" t="s">
        <v>20</v>
      </c>
      <c r="O17348" s="6" t="str">
        <f>HYPERLINK("https://pbs.twimg.com/profile_images/962471262747529216/Uo8lOkRJ_normal.jpg","View")</f>
        <v>View</v>
      </c>
      <c r="P17348" s="7"/>
    </row>
    <row r="17349" spans="1:16">
      <c r="A17349" s="3">
        <v>44540.873124999998</v>
      </c>
      <c r="B17349" s="4" t="str">
        <f>HYPERLINK("https://twitter.com/petrogustavo","@petrogustavo")</f>
        <v>@petrogustavo</v>
      </c>
      <c r="C17349" s="5" t="s">
        <v>16</v>
      </c>
      <c r="D17349" s="5" t="s">
        <v>16697</v>
      </c>
      <c r="E17349" s="6" t="str">
        <f>HYPERLINK("https://twitter.com/petrogustavo/status/1469327874389946369","1469327874389946369")</f>
        <v>1469327874389946369</v>
      </c>
      <c r="F17349" s="7" t="s">
        <v>17</v>
      </c>
      <c r="G17349" s="7">
        <v>4422114</v>
      </c>
      <c r="H17349" s="7">
        <v>2577</v>
      </c>
      <c r="I17349" s="7">
        <v>73</v>
      </c>
      <c r="J17349" s="7">
        <v>186</v>
      </c>
      <c r="K17349" s="7" t="s">
        <v>18</v>
      </c>
      <c r="L17349" s="8">
        <v>39987.315405092595</v>
      </c>
      <c r="M17349" s="9" t="s">
        <v>19</v>
      </c>
      <c r="N17349" s="9" t="s">
        <v>20</v>
      </c>
      <c r="O17349" s="6" t="str">
        <f>HYPERLINK("https://pbs.twimg.com/profile_images/962471262747529216/Uo8lOkRJ_normal.jpg","View")</f>
        <v>View</v>
      </c>
      <c r="P17349" s="7"/>
    </row>
    <row r="17350" spans="1:16">
      <c r="A17350" s="3">
        <v>44540.873831018514</v>
      </c>
      <c r="B17350" s="4" t="str">
        <f>HYPERLINK("https://twitter.com/petrogustavo","@petrogustavo")</f>
        <v>@petrogustavo</v>
      </c>
      <c r="C17350" s="5" t="s">
        <v>16</v>
      </c>
      <c r="D17350" s="5" t="s">
        <v>16688</v>
      </c>
      <c r="E17350" s="6" t="str">
        <f>HYPERLINK("https://twitter.com/petrogustavo/status/1469328129273606147","1469328129273606147")</f>
        <v>1469328129273606147</v>
      </c>
      <c r="F17350" s="7" t="s">
        <v>17</v>
      </c>
      <c r="G17350" s="7">
        <v>4422114</v>
      </c>
      <c r="H17350" s="7">
        <v>2577</v>
      </c>
      <c r="I17350" s="7">
        <v>401</v>
      </c>
      <c r="J17350" s="7">
        <v>0</v>
      </c>
      <c r="K17350" s="7" t="s">
        <v>18</v>
      </c>
      <c r="L17350" s="8">
        <v>39987.315405092595</v>
      </c>
      <c r="M17350" s="9" t="s">
        <v>19</v>
      </c>
      <c r="N17350" s="9" t="s">
        <v>20</v>
      </c>
      <c r="O17350" s="6" t="str">
        <f>HYPERLINK("https://pbs.twimg.com/profile_images/962471262747529216/Uo8lOkRJ_normal.jpg","View")</f>
        <v>View</v>
      </c>
      <c r="P17350" s="7"/>
    </row>
    <row r="17351" spans="1:16">
      <c r="A17351" s="3">
        <v>44540.912997685184</v>
      </c>
      <c r="B17351" s="4" t="str">
        <f>HYPERLINK("https://twitter.com/petrogustavo","@petrogustavo")</f>
        <v>@petrogustavo</v>
      </c>
      <c r="C17351" s="5" t="s">
        <v>16</v>
      </c>
      <c r="D17351" s="5" t="s">
        <v>16698</v>
      </c>
      <c r="E17351" s="6" t="str">
        <f>HYPERLINK("https://twitter.com/petrogustavo/status/1469342324912181251","1469342324912181251")</f>
        <v>1469342324912181251</v>
      </c>
      <c r="F17351" s="7" t="s">
        <v>17</v>
      </c>
      <c r="G17351" s="7">
        <v>4422167</v>
      </c>
      <c r="H17351" s="7">
        <v>2577</v>
      </c>
      <c r="I17351" s="7">
        <v>58</v>
      </c>
      <c r="J17351" s="7">
        <v>101</v>
      </c>
      <c r="K17351" s="7" t="s">
        <v>18</v>
      </c>
      <c r="L17351" s="8">
        <v>39987.315405092595</v>
      </c>
      <c r="M17351" s="9" t="s">
        <v>19</v>
      </c>
      <c r="N17351" s="9" t="s">
        <v>20</v>
      </c>
      <c r="O17351" s="6" t="str">
        <f>HYPERLINK("https://pbs.twimg.com/profile_images/962471262747529216/Uo8lOkRJ_normal.jpg","View")</f>
        <v>View</v>
      </c>
      <c r="P17351" s="7"/>
    </row>
    <row r="17352" spans="1:16">
      <c r="A17352" s="3">
        <v>44540.989571759259</v>
      </c>
      <c r="B17352" s="4" t="str">
        <f>HYPERLINK("https://twitter.com/petrogustavo","@petrogustavo")</f>
        <v>@petrogustavo</v>
      </c>
      <c r="C17352" s="5" t="s">
        <v>16</v>
      </c>
      <c r="D17352" s="5" t="s">
        <v>16699</v>
      </c>
      <c r="E17352" s="6" t="str">
        <f>HYPERLINK("https://twitter.com/petrogustavo/status/1469370073924046849","1469370073924046849")</f>
        <v>1469370073924046849</v>
      </c>
      <c r="F17352" s="7" t="s">
        <v>17</v>
      </c>
      <c r="G17352" s="7">
        <v>4422240</v>
      </c>
      <c r="H17352" s="7">
        <v>2577</v>
      </c>
      <c r="I17352" s="7">
        <v>52</v>
      </c>
      <c r="J17352" s="7">
        <v>0</v>
      </c>
      <c r="K17352" s="7" t="s">
        <v>18</v>
      </c>
      <c r="L17352" s="8">
        <v>39987.315405092595</v>
      </c>
      <c r="M17352" s="9" t="s">
        <v>19</v>
      </c>
      <c r="N17352" s="9" t="s">
        <v>20</v>
      </c>
      <c r="O17352" s="6" t="str">
        <f>HYPERLINK("https://pbs.twimg.com/profile_images/962471262747529216/Uo8lOkRJ_normal.jpg","View")</f>
        <v>View</v>
      </c>
      <c r="P17352" s="7"/>
    </row>
    <row r="17353" spans="1:16">
      <c r="A17353" s="3">
        <v>44541.01635416667</v>
      </c>
      <c r="B17353" s="4" t="str">
        <f>HYPERLINK("https://twitter.com/petrogustavo","@petrogustavo")</f>
        <v>@petrogustavo</v>
      </c>
      <c r="C17353" s="5" t="s">
        <v>16</v>
      </c>
      <c r="D17353" s="5" t="s">
        <v>16700</v>
      </c>
      <c r="E17353" s="6" t="str">
        <f>HYPERLINK("https://twitter.com/petrogustavo/status/1469379779967205385","1469379779967205385")</f>
        <v>1469379779967205385</v>
      </c>
      <c r="F17353" s="7" t="s">
        <v>17</v>
      </c>
      <c r="G17353" s="7">
        <v>4422255</v>
      </c>
      <c r="H17353" s="7">
        <v>2577</v>
      </c>
      <c r="I17353" s="7">
        <v>62</v>
      </c>
      <c r="J17353" s="7">
        <v>280</v>
      </c>
      <c r="K17353" s="7" t="s">
        <v>18</v>
      </c>
      <c r="L17353" s="8">
        <v>39987.315405092595</v>
      </c>
      <c r="M17353" s="9" t="s">
        <v>19</v>
      </c>
      <c r="N17353" s="9" t="s">
        <v>20</v>
      </c>
      <c r="O17353" s="6" t="str">
        <f>HYPERLINK("https://pbs.twimg.com/profile_images/962471262747529216/Uo8lOkRJ_normal.jpg","View")</f>
        <v>View</v>
      </c>
      <c r="P17353" s="7"/>
    </row>
    <row r="17354" spans="1:16">
      <c r="A17354" s="3">
        <v>44541.020312499997</v>
      </c>
      <c r="B17354" s="4" t="str">
        <f>HYPERLINK("https://twitter.com/petrogustavo","@petrogustavo")</f>
        <v>@petrogustavo</v>
      </c>
      <c r="C17354" s="5" t="s">
        <v>16</v>
      </c>
      <c r="D17354" s="5" t="s">
        <v>16701</v>
      </c>
      <c r="E17354" s="6" t="str">
        <f>HYPERLINK("https://twitter.com/petrogustavo/status/1469381212871479300","1469381212871479300")</f>
        <v>1469381212871479300</v>
      </c>
      <c r="F17354" s="7" t="s">
        <v>17</v>
      </c>
      <c r="G17354" s="7">
        <v>4422255</v>
      </c>
      <c r="H17354" s="7">
        <v>2577</v>
      </c>
      <c r="I17354" s="7">
        <v>59</v>
      </c>
      <c r="J17354" s="7">
        <v>134</v>
      </c>
      <c r="K17354" s="7" t="s">
        <v>18</v>
      </c>
      <c r="L17354" s="8">
        <v>39987.315405092595</v>
      </c>
      <c r="M17354" s="9" t="s">
        <v>19</v>
      </c>
      <c r="N17354" s="9" t="s">
        <v>20</v>
      </c>
      <c r="O17354" s="6" t="str">
        <f>HYPERLINK("https://pbs.twimg.com/profile_images/962471262747529216/Uo8lOkRJ_normal.jpg","View")</f>
        <v>View</v>
      </c>
      <c r="P17354" s="7"/>
    </row>
    <row r="17355" spans="1:16">
      <c r="A17355" s="3">
        <v>44541.047337962962</v>
      </c>
      <c r="B17355" s="4" t="str">
        <f>HYPERLINK("https://twitter.com/petrogustavo","@petrogustavo")</f>
        <v>@petrogustavo</v>
      </c>
      <c r="C17355" s="5" t="s">
        <v>16</v>
      </c>
      <c r="D17355" s="5" t="s">
        <v>16702</v>
      </c>
      <c r="E17355" s="6" t="str">
        <f>HYPERLINK("https://twitter.com/petrogustavo/status/1469391008152571908","1469391008152571908")</f>
        <v>1469391008152571908</v>
      </c>
      <c r="F17355" s="7" t="s">
        <v>17</v>
      </c>
      <c r="G17355" s="7">
        <v>4422311</v>
      </c>
      <c r="H17355" s="7">
        <v>2577</v>
      </c>
      <c r="I17355" s="7">
        <v>234</v>
      </c>
      <c r="J17355" s="7">
        <v>0</v>
      </c>
      <c r="K17355" s="7" t="s">
        <v>18</v>
      </c>
      <c r="L17355" s="8">
        <v>39987.315405092595</v>
      </c>
      <c r="M17355" s="9" t="s">
        <v>19</v>
      </c>
      <c r="N17355" s="9" t="s">
        <v>20</v>
      </c>
      <c r="O17355" s="6" t="str">
        <f>HYPERLINK("https://pbs.twimg.com/profile_images/962471262747529216/Uo8lOkRJ_normal.jpg","View")</f>
        <v>View</v>
      </c>
      <c r="P17355" s="7"/>
    </row>
    <row r="17356" spans="1:16">
      <c r="A17356" s="3">
        <v>44541.056122685186</v>
      </c>
      <c r="B17356" s="4" t="str">
        <f>HYPERLINK("https://twitter.com/petrogustavo","@petrogustavo")</f>
        <v>@petrogustavo</v>
      </c>
      <c r="C17356" s="5" t="s">
        <v>16</v>
      </c>
      <c r="D17356" s="5" t="s">
        <v>16703</v>
      </c>
      <c r="E17356" s="6" t="str">
        <f>HYPERLINK("https://twitter.com/petrogustavo/status/1469394190404661257","1469394190404661257")</f>
        <v>1469394190404661257</v>
      </c>
      <c r="F17356" s="7" t="s">
        <v>17</v>
      </c>
      <c r="G17356" s="7">
        <v>4422311</v>
      </c>
      <c r="H17356" s="7">
        <v>2577</v>
      </c>
      <c r="I17356" s="7">
        <v>102</v>
      </c>
      <c r="J17356" s="7">
        <v>427</v>
      </c>
      <c r="K17356" s="7" t="s">
        <v>18</v>
      </c>
      <c r="L17356" s="8">
        <v>39987.315405092595</v>
      </c>
      <c r="M17356" s="9" t="s">
        <v>19</v>
      </c>
      <c r="N17356" s="9" t="s">
        <v>20</v>
      </c>
      <c r="O17356" s="6" t="str">
        <f>HYPERLINK("https://pbs.twimg.com/profile_images/962471262747529216/Uo8lOkRJ_normal.jpg","View")</f>
        <v>View</v>
      </c>
      <c r="P17356" s="7"/>
    </row>
    <row r="17357" spans="1:16">
      <c r="A17357" s="3">
        <v>44541.062314814815</v>
      </c>
      <c r="B17357" s="4" t="str">
        <f>HYPERLINK("https://twitter.com/petrogustavo","@petrogustavo")</f>
        <v>@petrogustavo</v>
      </c>
      <c r="C17357" s="5" t="s">
        <v>16</v>
      </c>
      <c r="D17357" s="5" t="s">
        <v>16704</v>
      </c>
      <c r="E17357" s="6" t="str">
        <f>HYPERLINK("https://twitter.com/petrogustavo/status/1469396434843803649","1469396434843803649")</f>
        <v>1469396434843803649</v>
      </c>
      <c r="F17357" s="7" t="s">
        <v>17</v>
      </c>
      <c r="G17357" s="7">
        <v>4422311</v>
      </c>
      <c r="H17357" s="7">
        <v>2577</v>
      </c>
      <c r="I17357" s="7">
        <v>19</v>
      </c>
      <c r="J17357" s="7">
        <v>70</v>
      </c>
      <c r="K17357" s="7" t="s">
        <v>18</v>
      </c>
      <c r="L17357" s="8">
        <v>39987.315405092595</v>
      </c>
      <c r="M17357" s="9" t="s">
        <v>19</v>
      </c>
      <c r="N17357" s="9" t="s">
        <v>20</v>
      </c>
      <c r="O17357" s="6" t="str">
        <f>HYPERLINK("https://pbs.twimg.com/profile_images/962471262747529216/Uo8lOkRJ_normal.jpg","View")</f>
        <v>View</v>
      </c>
      <c r="P17357" s="7"/>
    </row>
    <row r="17358" spans="1:16">
      <c r="A17358" s="3">
        <v>44541.092546296291</v>
      </c>
      <c r="B17358" s="4" t="str">
        <f>HYPERLINK("https://twitter.com/petrogustavo","@petrogustavo")</f>
        <v>@petrogustavo</v>
      </c>
      <c r="C17358" s="5" t="s">
        <v>16</v>
      </c>
      <c r="D17358" s="5" t="s">
        <v>16705</v>
      </c>
      <c r="E17358" s="6" t="str">
        <f>HYPERLINK("https://twitter.com/petrogustavo/status/1469407388566536193","1469407388566536193")</f>
        <v>1469407388566536193</v>
      </c>
      <c r="F17358" s="7" t="s">
        <v>17</v>
      </c>
      <c r="G17358" s="7">
        <v>4422344</v>
      </c>
      <c r="H17358" s="7">
        <v>2577</v>
      </c>
      <c r="I17358" s="7">
        <v>204</v>
      </c>
      <c r="J17358" s="7">
        <v>0</v>
      </c>
      <c r="K17358" s="7" t="s">
        <v>18</v>
      </c>
      <c r="L17358" s="8">
        <v>39987.315405092595</v>
      </c>
      <c r="M17358" s="9" t="s">
        <v>19</v>
      </c>
      <c r="N17358" s="9" t="s">
        <v>20</v>
      </c>
      <c r="O17358" s="6" t="str">
        <f>HYPERLINK("https://pbs.twimg.com/profile_images/962471262747529216/Uo8lOkRJ_normal.jpg","View")</f>
        <v>View</v>
      </c>
      <c r="P17358" s="7"/>
    </row>
    <row r="17359" spans="1:16">
      <c r="A17359" s="3">
        <v>44541.11650462963</v>
      </c>
      <c r="B17359" s="4" t="str">
        <f>HYPERLINK("https://twitter.com/petrogustavo","@petrogustavo")</f>
        <v>@petrogustavo</v>
      </c>
      <c r="C17359" s="5" t="s">
        <v>16</v>
      </c>
      <c r="D17359" s="5" t="s">
        <v>16706</v>
      </c>
      <c r="E17359" s="6" t="str">
        <f>HYPERLINK("https://twitter.com/petrogustavo/status/1469416072226951170","1469416072226951170")</f>
        <v>1469416072226951170</v>
      </c>
      <c r="F17359" s="7" t="s">
        <v>17</v>
      </c>
      <c r="G17359" s="7">
        <v>4422367</v>
      </c>
      <c r="H17359" s="7">
        <v>2577</v>
      </c>
      <c r="I17359" s="7">
        <v>129</v>
      </c>
      <c r="J17359" s="7">
        <v>537</v>
      </c>
      <c r="K17359" s="7" t="s">
        <v>18</v>
      </c>
      <c r="L17359" s="8">
        <v>39987.315405092595</v>
      </c>
      <c r="M17359" s="9" t="s">
        <v>19</v>
      </c>
      <c r="N17359" s="9" t="s">
        <v>20</v>
      </c>
      <c r="O17359" s="6" t="str">
        <f>HYPERLINK("https://pbs.twimg.com/profile_images/962471262747529216/Uo8lOkRJ_normal.jpg","View")</f>
        <v>View</v>
      </c>
      <c r="P17359" s="7"/>
    </row>
    <row r="17360" spans="1:16">
      <c r="A17360" s="3">
        <v>44541.184236111112</v>
      </c>
      <c r="B17360" s="4" t="str">
        <f>HYPERLINK("https://twitter.com/petrogustavo","@petrogustavo")</f>
        <v>@petrogustavo</v>
      </c>
      <c r="C17360" s="5" t="s">
        <v>16</v>
      </c>
      <c r="D17360" s="5" t="s">
        <v>16707</v>
      </c>
      <c r="E17360" s="6" t="str">
        <f>HYPERLINK("https://twitter.com/petrogustavo/status/1469440616736210945","1469440616736210945")</f>
        <v>1469440616736210945</v>
      </c>
      <c r="F17360" s="7" t="s">
        <v>17</v>
      </c>
      <c r="G17360" s="7">
        <v>4422454</v>
      </c>
      <c r="H17360" s="7">
        <v>2577</v>
      </c>
      <c r="I17360" s="7">
        <v>29</v>
      </c>
      <c r="J17360" s="7">
        <v>0</v>
      </c>
      <c r="K17360" s="7" t="s">
        <v>18</v>
      </c>
      <c r="L17360" s="8">
        <v>39987.315405092595</v>
      </c>
      <c r="M17360" s="9" t="s">
        <v>19</v>
      </c>
      <c r="N17360" s="9" t="s">
        <v>20</v>
      </c>
      <c r="O17360" s="6" t="str">
        <f>HYPERLINK("https://pbs.twimg.com/profile_images/962471262747529216/Uo8lOkRJ_normal.jpg","View")</f>
        <v>View</v>
      </c>
      <c r="P17360" s="7"/>
    </row>
    <row r="17361" spans="1:16">
      <c r="A17361" s="3">
        <v>44541.192743055552</v>
      </c>
      <c r="B17361" s="4" t="str">
        <f>HYPERLINK("https://twitter.com/petrogustavo","@petrogustavo")</f>
        <v>@petrogustavo</v>
      </c>
      <c r="C17361" s="5" t="s">
        <v>16</v>
      </c>
      <c r="D17361" s="5" t="s">
        <v>16708</v>
      </c>
      <c r="E17361" s="6" t="str">
        <f>HYPERLINK("https://twitter.com/petrogustavo/status/1469443700522684432","1469443700522684432")</f>
        <v>1469443700522684432</v>
      </c>
      <c r="F17361" s="7" t="s">
        <v>17</v>
      </c>
      <c r="G17361" s="7">
        <v>4422490</v>
      </c>
      <c r="H17361" s="7">
        <v>2577</v>
      </c>
      <c r="I17361" s="7">
        <v>16</v>
      </c>
      <c r="J17361" s="7">
        <v>0</v>
      </c>
      <c r="K17361" s="7" t="s">
        <v>18</v>
      </c>
      <c r="L17361" s="8">
        <v>39987.315405092595</v>
      </c>
      <c r="M17361" s="9" t="s">
        <v>19</v>
      </c>
      <c r="N17361" s="9" t="s">
        <v>20</v>
      </c>
      <c r="O17361" s="6" t="str">
        <f>HYPERLINK("https://pbs.twimg.com/profile_images/962471262747529216/Uo8lOkRJ_normal.jpg","View")</f>
        <v>View</v>
      </c>
      <c r="P17361" s="7"/>
    </row>
    <row r="17362" spans="1:16">
      <c r="A17362" s="3">
        <v>44541.25980324074</v>
      </c>
      <c r="B17362" s="4" t="str">
        <f>HYPERLINK("https://twitter.com/petrogustavo","@petrogustavo")</f>
        <v>@petrogustavo</v>
      </c>
      <c r="C17362" s="5" t="s">
        <v>16</v>
      </c>
      <c r="D17362" s="5" t="s">
        <v>16709</v>
      </c>
      <c r="E17362" s="6" t="str">
        <f>HYPERLINK("https://twitter.com/petrogustavo/status/1469468002487840781","1469468002487840781")</f>
        <v>1469468002487840781</v>
      </c>
      <c r="F17362" s="7" t="s">
        <v>17</v>
      </c>
      <c r="G17362" s="7">
        <v>4422567</v>
      </c>
      <c r="H17362" s="7">
        <v>2577</v>
      </c>
      <c r="I17362" s="7">
        <v>821</v>
      </c>
      <c r="J17362" s="7">
        <v>0</v>
      </c>
      <c r="K17362" s="7" t="s">
        <v>18</v>
      </c>
      <c r="L17362" s="8">
        <v>39987.315405092595</v>
      </c>
      <c r="M17362" s="9" t="s">
        <v>19</v>
      </c>
      <c r="N17362" s="9" t="s">
        <v>20</v>
      </c>
      <c r="O17362" s="6" t="str">
        <f>HYPERLINK("https://pbs.twimg.com/profile_images/962471262747529216/Uo8lOkRJ_normal.jpg","View")</f>
        <v>View</v>
      </c>
      <c r="P17362" s="7"/>
    </row>
    <row r="17363" spans="1:16">
      <c r="A17363" s="3">
        <v>44541.261203703703</v>
      </c>
      <c r="B17363" s="4" t="str">
        <f>HYPERLINK("https://twitter.com/petrogustavo","@petrogustavo")</f>
        <v>@petrogustavo</v>
      </c>
      <c r="C17363" s="5" t="s">
        <v>16</v>
      </c>
      <c r="D17363" s="5" t="s">
        <v>16710</v>
      </c>
      <c r="E17363" s="6" t="str">
        <f>HYPERLINK("https://twitter.com/petrogustavo/status/1469468506504712194","1469468506504712194")</f>
        <v>1469468506504712194</v>
      </c>
      <c r="F17363" s="7" t="s">
        <v>17</v>
      </c>
      <c r="G17363" s="7">
        <v>4422567</v>
      </c>
      <c r="H17363" s="7">
        <v>2577</v>
      </c>
      <c r="I17363" s="7">
        <v>201</v>
      </c>
      <c r="J17363" s="7">
        <v>1146</v>
      </c>
      <c r="K17363" s="7" t="s">
        <v>18</v>
      </c>
      <c r="L17363" s="8">
        <v>39987.315405092595</v>
      </c>
      <c r="M17363" s="9" t="s">
        <v>19</v>
      </c>
      <c r="N17363" s="9" t="s">
        <v>20</v>
      </c>
      <c r="O17363" s="6" t="str">
        <f>HYPERLINK("https://pbs.twimg.com/profile_images/962471262747529216/Uo8lOkRJ_normal.jpg","View")</f>
        <v>View</v>
      </c>
      <c r="P17363" s="7"/>
    </row>
    <row r="17364" spans="1:16">
      <c r="A17364" s="3">
        <v>44541.332013888888</v>
      </c>
      <c r="B17364" s="4" t="str">
        <f>HYPERLINK("https://twitter.com/petrogustavo","@petrogustavo")</f>
        <v>@petrogustavo</v>
      </c>
      <c r="C17364" s="5" t="s">
        <v>16</v>
      </c>
      <c r="D17364" s="5" t="s">
        <v>16711</v>
      </c>
      <c r="E17364" s="6" t="str">
        <f>HYPERLINK("https://twitter.com/petrogustavo/status/1469494169454489601","1469494169454489601")</f>
        <v>1469494169454489601</v>
      </c>
      <c r="F17364" s="7" t="s">
        <v>17</v>
      </c>
      <c r="G17364" s="7">
        <v>4422711</v>
      </c>
      <c r="H17364" s="7">
        <v>2577</v>
      </c>
      <c r="I17364" s="7">
        <v>1197</v>
      </c>
      <c r="J17364" s="7">
        <v>0</v>
      </c>
      <c r="K17364" s="7" t="s">
        <v>18</v>
      </c>
      <c r="L17364" s="8">
        <v>39987.315405092595</v>
      </c>
      <c r="M17364" s="9" t="s">
        <v>19</v>
      </c>
      <c r="N17364" s="9" t="s">
        <v>20</v>
      </c>
      <c r="O17364" s="6" t="str">
        <f>HYPERLINK("https://pbs.twimg.com/profile_images/962471262747529216/Uo8lOkRJ_normal.jpg","View")</f>
        <v>View</v>
      </c>
      <c r="P17364" s="7"/>
    </row>
    <row r="17365" spans="1:16">
      <c r="A17365" s="3">
        <v>44541.332962962959</v>
      </c>
      <c r="B17365" s="4" t="str">
        <f>HYPERLINK("https://twitter.com/petrogustavo","@petrogustavo")</f>
        <v>@petrogustavo</v>
      </c>
      <c r="C17365" s="5" t="s">
        <v>16</v>
      </c>
      <c r="D17365" s="5" t="s">
        <v>16712</v>
      </c>
      <c r="E17365" s="6" t="str">
        <f>HYPERLINK("https://twitter.com/petrogustavo/status/1469494515279056896","1469494515279056896")</f>
        <v>1469494515279056896</v>
      </c>
      <c r="F17365" s="7" t="s">
        <v>17</v>
      </c>
      <c r="G17365" s="7">
        <v>4422711</v>
      </c>
      <c r="H17365" s="7">
        <v>2577</v>
      </c>
      <c r="I17365" s="7">
        <v>9</v>
      </c>
      <c r="J17365" s="7">
        <v>0</v>
      </c>
      <c r="K17365" s="7" t="s">
        <v>18</v>
      </c>
      <c r="L17365" s="8">
        <v>39987.315405092595</v>
      </c>
      <c r="M17365" s="9" t="s">
        <v>19</v>
      </c>
      <c r="N17365" s="9" t="s">
        <v>20</v>
      </c>
      <c r="O17365" s="6" t="str">
        <f>HYPERLINK("https://pbs.twimg.com/profile_images/962471262747529216/Uo8lOkRJ_normal.jpg","View")</f>
        <v>View</v>
      </c>
      <c r="P17365" s="7"/>
    </row>
    <row r="17366" spans="1:16">
      <c r="A17366" s="3">
        <v>44541.336643518516</v>
      </c>
      <c r="B17366" s="4" t="str">
        <f>HYPERLINK("https://twitter.com/petrogustavo","@petrogustavo")</f>
        <v>@petrogustavo</v>
      </c>
      <c r="C17366" s="5" t="s">
        <v>16</v>
      </c>
      <c r="D17366" s="5" t="s">
        <v>16713</v>
      </c>
      <c r="E17366" s="6" t="str">
        <f>HYPERLINK("https://twitter.com/petrogustavo/status/1469495846010073096","1469495846010073096")</f>
        <v>1469495846010073096</v>
      </c>
      <c r="F17366" s="7" t="s">
        <v>17</v>
      </c>
      <c r="G17366" s="7">
        <v>4422749</v>
      </c>
      <c r="H17366" s="7">
        <v>2577</v>
      </c>
      <c r="I17366" s="7">
        <v>904</v>
      </c>
      <c r="J17366" s="7">
        <v>0</v>
      </c>
      <c r="K17366" s="7" t="s">
        <v>18</v>
      </c>
      <c r="L17366" s="8">
        <v>39987.315405092595</v>
      </c>
      <c r="M17366" s="9" t="s">
        <v>19</v>
      </c>
      <c r="N17366" s="9" t="s">
        <v>20</v>
      </c>
      <c r="O17366" s="6" t="str">
        <f>HYPERLINK("https://pbs.twimg.com/profile_images/962471262747529216/Uo8lOkRJ_normal.jpg","View")</f>
        <v>View</v>
      </c>
      <c r="P17366" s="7"/>
    </row>
    <row r="17367" spans="1:16">
      <c r="A17367" s="3">
        <v>44541.341620370367</v>
      </c>
      <c r="B17367" s="4" t="str">
        <f>HYPERLINK("https://twitter.com/petrogustavo","@petrogustavo")</f>
        <v>@petrogustavo</v>
      </c>
      <c r="C17367" s="5" t="s">
        <v>16</v>
      </c>
      <c r="D17367" s="5" t="s">
        <v>16714</v>
      </c>
      <c r="E17367" s="6" t="str">
        <f>HYPERLINK("https://twitter.com/petrogustavo/status/1469497650953310209","1469497650953310209")</f>
        <v>1469497650953310209</v>
      </c>
      <c r="F17367" s="7" t="s">
        <v>17</v>
      </c>
      <c r="G17367" s="7">
        <v>4422749</v>
      </c>
      <c r="H17367" s="7">
        <v>2577</v>
      </c>
      <c r="I17367" s="7">
        <v>83</v>
      </c>
      <c r="J17367" s="7">
        <v>265</v>
      </c>
      <c r="K17367" s="7" t="s">
        <v>18</v>
      </c>
      <c r="L17367" s="8">
        <v>39987.315405092595</v>
      </c>
      <c r="M17367" s="9" t="s">
        <v>19</v>
      </c>
      <c r="N17367" s="9" t="s">
        <v>20</v>
      </c>
      <c r="O17367" s="6" t="str">
        <f>HYPERLINK("https://pbs.twimg.com/profile_images/962471262747529216/Uo8lOkRJ_normal.jpg","View")</f>
        <v>View</v>
      </c>
      <c r="P17367" s="7"/>
    </row>
    <row r="17368" spans="1:16">
      <c r="A17368" s="3">
        <v>44541.373148148152</v>
      </c>
      <c r="B17368" s="4" t="str">
        <f>HYPERLINK("https://twitter.com/petrogustavo","@petrogustavo")</f>
        <v>@petrogustavo</v>
      </c>
      <c r="C17368" s="5" t="s">
        <v>16</v>
      </c>
      <c r="D17368" s="5" t="s">
        <v>16715</v>
      </c>
      <c r="E17368" s="6" t="str">
        <f>HYPERLINK("https://twitter.com/petrogustavo/status/1469509077525057545","1469509077525057545")</f>
        <v>1469509077525057545</v>
      </c>
      <c r="F17368" s="7" t="s">
        <v>17</v>
      </c>
      <c r="G17368" s="7">
        <v>4422777</v>
      </c>
      <c r="H17368" s="7">
        <v>2577</v>
      </c>
      <c r="I17368" s="7">
        <v>1073</v>
      </c>
      <c r="J17368" s="7">
        <v>0</v>
      </c>
      <c r="K17368" s="7" t="s">
        <v>18</v>
      </c>
      <c r="L17368" s="8">
        <v>39987.315405092595</v>
      </c>
      <c r="M17368" s="9" t="s">
        <v>19</v>
      </c>
      <c r="N17368" s="9" t="s">
        <v>20</v>
      </c>
      <c r="O17368" s="6" t="str">
        <f>HYPERLINK("https://pbs.twimg.com/profile_images/962471262747529216/Uo8lOkRJ_normal.jpg","View")</f>
        <v>View</v>
      </c>
      <c r="P17368" s="7"/>
    </row>
    <row r="17369" spans="1:16">
      <c r="A17369" s="3">
        <v>44541.823680555557</v>
      </c>
      <c r="B17369" s="4" t="str">
        <f>HYPERLINK("https://twitter.com/petrogustavo","@petrogustavo")</f>
        <v>@petrogustavo</v>
      </c>
      <c r="C17369" s="5" t="s">
        <v>16</v>
      </c>
      <c r="D17369" s="5" t="s">
        <v>16716</v>
      </c>
      <c r="E17369" s="6" t="str">
        <f>HYPERLINK("https://twitter.com/petrogustavo/status/1469672345140961281","1469672345140961281")</f>
        <v>1469672345140961281</v>
      </c>
      <c r="F17369" s="7" t="s">
        <v>17</v>
      </c>
      <c r="G17369" s="7">
        <v>4423028</v>
      </c>
      <c r="H17369" s="7">
        <v>2577</v>
      </c>
      <c r="I17369" s="7">
        <v>42</v>
      </c>
      <c r="J17369" s="7">
        <v>169</v>
      </c>
      <c r="K17369" s="7" t="s">
        <v>18</v>
      </c>
      <c r="L17369" s="8">
        <v>39987.315405092595</v>
      </c>
      <c r="M17369" s="9" t="s">
        <v>19</v>
      </c>
      <c r="N17369" s="9" t="s">
        <v>20</v>
      </c>
      <c r="O17369" s="6" t="str">
        <f>HYPERLINK("https://pbs.twimg.com/profile_images/962471262747529216/Uo8lOkRJ_normal.jpg","View")</f>
        <v>View</v>
      </c>
      <c r="P17369" s="7"/>
    </row>
    <row r="17370" spans="1:16">
      <c r="A17370" s="3">
        <v>44541.825717592597</v>
      </c>
      <c r="B17370" s="4" t="str">
        <f>HYPERLINK("https://twitter.com/petrogustavo","@petrogustavo")</f>
        <v>@petrogustavo</v>
      </c>
      <c r="C17370" s="5" t="s">
        <v>16</v>
      </c>
      <c r="D17370" s="5" t="s">
        <v>16717</v>
      </c>
      <c r="E17370" s="6" t="str">
        <f>HYPERLINK("https://twitter.com/petrogustavo/status/1469673081560088580","1469673081560088580")</f>
        <v>1469673081560088580</v>
      </c>
      <c r="F17370" s="7" t="s">
        <v>17</v>
      </c>
      <c r="G17370" s="7">
        <v>4423056</v>
      </c>
      <c r="H17370" s="7">
        <v>2577</v>
      </c>
      <c r="I17370" s="7">
        <v>152</v>
      </c>
      <c r="J17370" s="7">
        <v>368</v>
      </c>
      <c r="K17370" s="7" t="s">
        <v>18</v>
      </c>
      <c r="L17370" s="8">
        <v>39987.315405092595</v>
      </c>
      <c r="M17370" s="9" t="s">
        <v>19</v>
      </c>
      <c r="N17370" s="9" t="s">
        <v>20</v>
      </c>
      <c r="O17370" s="6" t="str">
        <f>HYPERLINK("https://pbs.twimg.com/profile_images/962471262747529216/Uo8lOkRJ_normal.jpg","View")</f>
        <v>View</v>
      </c>
      <c r="P17370" s="7"/>
    </row>
    <row r="17371" spans="1:16">
      <c r="A17371" s="3">
        <v>44541.85628472222</v>
      </c>
      <c r="B17371" s="4" t="str">
        <f>HYPERLINK("https://twitter.com/petrogustavo","@petrogustavo")</f>
        <v>@petrogustavo</v>
      </c>
      <c r="C17371" s="5" t="s">
        <v>16</v>
      </c>
      <c r="D17371" s="5" t="s">
        <v>16718</v>
      </c>
      <c r="E17371" s="6" t="str">
        <f>HYPERLINK("https://twitter.com/petrogustavo/status/1469684159354478593","1469684159354478593")</f>
        <v>1469684159354478593</v>
      </c>
      <c r="F17371" s="7" t="s">
        <v>17</v>
      </c>
      <c r="G17371" s="7">
        <v>4423088</v>
      </c>
      <c r="H17371" s="7">
        <v>2577</v>
      </c>
      <c r="I17371" s="7">
        <v>124</v>
      </c>
      <c r="J17371" s="7">
        <v>355</v>
      </c>
      <c r="K17371" s="7" t="s">
        <v>18</v>
      </c>
      <c r="L17371" s="8">
        <v>39987.315405092595</v>
      </c>
      <c r="M17371" s="9" t="s">
        <v>19</v>
      </c>
      <c r="N17371" s="9" t="s">
        <v>20</v>
      </c>
      <c r="O17371" s="6" t="str">
        <f>HYPERLINK("https://pbs.twimg.com/profile_images/962471262747529216/Uo8lOkRJ_normal.jpg","View")</f>
        <v>View</v>
      </c>
      <c r="P17371" s="7"/>
    </row>
    <row r="17372" spans="1:16">
      <c r="A17372" s="3">
        <v>44541.85633101852</v>
      </c>
      <c r="B17372" s="4" t="str">
        <f>HYPERLINK("https://twitter.com/petrogustavo","@petrogustavo")</f>
        <v>@petrogustavo</v>
      </c>
      <c r="C17372" s="5" t="s">
        <v>16</v>
      </c>
      <c r="D17372" s="5" t="s">
        <v>16719</v>
      </c>
      <c r="E17372" s="6" t="str">
        <f>HYPERLINK("https://twitter.com/petrogustavo/status/1469684173464031235","1469684173464031235")</f>
        <v>1469684173464031235</v>
      </c>
      <c r="F17372" s="7" t="s">
        <v>17</v>
      </c>
      <c r="G17372" s="7">
        <v>4423088</v>
      </c>
      <c r="H17372" s="7">
        <v>2577</v>
      </c>
      <c r="I17372" s="7">
        <v>55</v>
      </c>
      <c r="J17372" s="7">
        <v>178</v>
      </c>
      <c r="K17372" s="7" t="s">
        <v>18</v>
      </c>
      <c r="L17372" s="8">
        <v>39987.315405092595</v>
      </c>
      <c r="M17372" s="9" t="s">
        <v>19</v>
      </c>
      <c r="N17372" s="9" t="s">
        <v>20</v>
      </c>
      <c r="O17372" s="6" t="str">
        <f>HYPERLINK("https://pbs.twimg.com/profile_images/962471262747529216/Uo8lOkRJ_normal.jpg","View")</f>
        <v>View</v>
      </c>
      <c r="P17372" s="7"/>
    </row>
    <row r="17373" spans="1:16">
      <c r="A17373" s="3">
        <v>44541.856342592597</v>
      </c>
      <c r="B17373" s="4" t="str">
        <f>HYPERLINK("https://twitter.com/petrogustavo","@petrogustavo")</f>
        <v>@petrogustavo</v>
      </c>
      <c r="C17373" s="5" t="s">
        <v>16</v>
      </c>
      <c r="D17373" s="5" t="s">
        <v>16720</v>
      </c>
      <c r="E17373" s="6" t="str">
        <f>HYPERLINK("https://twitter.com/petrogustavo/status/1469684179478716416","1469684179478716416")</f>
        <v>1469684179478716416</v>
      </c>
      <c r="F17373" s="7" t="s">
        <v>17</v>
      </c>
      <c r="G17373" s="7">
        <v>4423088</v>
      </c>
      <c r="H17373" s="7">
        <v>2577</v>
      </c>
      <c r="I17373" s="7">
        <v>48</v>
      </c>
      <c r="J17373" s="7">
        <v>172</v>
      </c>
      <c r="K17373" s="7" t="s">
        <v>18</v>
      </c>
      <c r="L17373" s="8">
        <v>39987.315405092595</v>
      </c>
      <c r="M17373" s="9" t="s">
        <v>19</v>
      </c>
      <c r="N17373" s="9" t="s">
        <v>20</v>
      </c>
      <c r="O17373" s="6" t="str">
        <f>HYPERLINK("https://pbs.twimg.com/profile_images/962471262747529216/Uo8lOkRJ_normal.jpg","View")</f>
        <v>View</v>
      </c>
      <c r="P17373" s="7"/>
    </row>
    <row r="17374" spans="1:16">
      <c r="A17374" s="3">
        <v>44541.888657407406</v>
      </c>
      <c r="B17374" s="4" t="str">
        <f>HYPERLINK("https://twitter.com/petrogustavo","@petrogustavo")</f>
        <v>@petrogustavo</v>
      </c>
      <c r="C17374" s="5" t="s">
        <v>16</v>
      </c>
      <c r="D17374" s="5" t="s">
        <v>16721</v>
      </c>
      <c r="E17374" s="6" t="str">
        <f>HYPERLINK("https://twitter.com/petrogustavo/status/1469695890789179398","1469695890789179398")</f>
        <v>1469695890789179398</v>
      </c>
      <c r="F17374" s="7" t="s">
        <v>17</v>
      </c>
      <c r="G17374" s="7">
        <v>4423118</v>
      </c>
      <c r="H17374" s="7">
        <v>2577</v>
      </c>
      <c r="I17374" s="7">
        <v>67</v>
      </c>
      <c r="J17374" s="7">
        <v>0</v>
      </c>
      <c r="K17374" s="7" t="s">
        <v>18</v>
      </c>
      <c r="L17374" s="8">
        <v>39987.315405092595</v>
      </c>
      <c r="M17374" s="9" t="s">
        <v>19</v>
      </c>
      <c r="N17374" s="9" t="s">
        <v>20</v>
      </c>
      <c r="O17374" s="6" t="str">
        <f>HYPERLINK("https://pbs.twimg.com/profile_images/962471262747529216/Uo8lOkRJ_normal.jpg","View")</f>
        <v>View</v>
      </c>
      <c r="P17374" s="7"/>
    </row>
    <row r="17375" spans="1:16">
      <c r="A17375" s="3">
        <v>44541.895000000004</v>
      </c>
      <c r="B17375" s="4" t="str">
        <f>HYPERLINK("https://twitter.com/petrogustavo","@petrogustavo")</f>
        <v>@petrogustavo</v>
      </c>
      <c r="C17375" s="5" t="s">
        <v>16</v>
      </c>
      <c r="D17375" s="5" t="s">
        <v>16722</v>
      </c>
      <c r="E17375" s="6" t="str">
        <f>HYPERLINK("https://twitter.com/petrogustavo/status/1469698188680601609","1469698188680601609")</f>
        <v>1469698188680601609</v>
      </c>
      <c r="F17375" s="7" t="s">
        <v>17</v>
      </c>
      <c r="G17375" s="7">
        <v>4423118</v>
      </c>
      <c r="H17375" s="7">
        <v>2577</v>
      </c>
      <c r="I17375" s="7">
        <v>71</v>
      </c>
      <c r="J17375" s="7">
        <v>0</v>
      </c>
      <c r="K17375" s="7" t="s">
        <v>18</v>
      </c>
      <c r="L17375" s="8">
        <v>39987.315405092595</v>
      </c>
      <c r="M17375" s="9" t="s">
        <v>19</v>
      </c>
      <c r="N17375" s="9" t="s">
        <v>20</v>
      </c>
      <c r="O17375" s="6" t="str">
        <f>HYPERLINK("https://pbs.twimg.com/profile_images/962471262747529216/Uo8lOkRJ_normal.jpg","View")</f>
        <v>View</v>
      </c>
      <c r="P17375" s="7"/>
    </row>
    <row r="17376" spans="1:16">
      <c r="A17376" s="3">
        <v>44541.895127314812</v>
      </c>
      <c r="B17376" s="4" t="str">
        <f>HYPERLINK("https://twitter.com/petrogustavo","@petrogustavo")</f>
        <v>@petrogustavo</v>
      </c>
      <c r="C17376" s="5" t="s">
        <v>16</v>
      </c>
      <c r="D17376" s="5" t="s">
        <v>16723</v>
      </c>
      <c r="E17376" s="6" t="str">
        <f>HYPERLINK("https://twitter.com/petrogustavo/status/1469698233681252361","1469698233681252361")</f>
        <v>1469698233681252361</v>
      </c>
      <c r="F17376" s="7" t="s">
        <v>17</v>
      </c>
      <c r="G17376" s="7">
        <v>4423118</v>
      </c>
      <c r="H17376" s="7">
        <v>2577</v>
      </c>
      <c r="I17376" s="7">
        <v>176</v>
      </c>
      <c r="J17376" s="7">
        <v>0</v>
      </c>
      <c r="K17376" s="7" t="s">
        <v>18</v>
      </c>
      <c r="L17376" s="8">
        <v>39987.315405092595</v>
      </c>
      <c r="M17376" s="9" t="s">
        <v>19</v>
      </c>
      <c r="N17376" s="9" t="s">
        <v>20</v>
      </c>
      <c r="O17376" s="6" t="str">
        <f>HYPERLINK("https://pbs.twimg.com/profile_images/962471262747529216/Uo8lOkRJ_normal.jpg","View")</f>
        <v>View</v>
      </c>
      <c r="P17376" s="7"/>
    </row>
    <row r="17377" spans="1:16">
      <c r="A17377" s="3">
        <v>44541.978472222225</v>
      </c>
      <c r="B17377" s="4" t="str">
        <f>HYPERLINK("https://twitter.com/petrogustavo","@petrogustavo")</f>
        <v>@petrogustavo</v>
      </c>
      <c r="C17377" s="5" t="s">
        <v>16</v>
      </c>
      <c r="D17377" s="5" t="s">
        <v>16724</v>
      </c>
      <c r="E17377" s="6" t="str">
        <f>HYPERLINK("https://twitter.com/petrogustavo/status/1469728439162884109","1469728439162884109")</f>
        <v>1469728439162884109</v>
      </c>
      <c r="F17377" s="7" t="s">
        <v>17</v>
      </c>
      <c r="G17377" s="7">
        <v>4423211</v>
      </c>
      <c r="H17377" s="7">
        <v>2577</v>
      </c>
      <c r="I17377" s="7">
        <v>38</v>
      </c>
      <c r="J17377" s="7">
        <v>305</v>
      </c>
      <c r="K17377" s="7" t="s">
        <v>18</v>
      </c>
      <c r="L17377" s="8">
        <v>39987.315405092595</v>
      </c>
      <c r="M17377" s="9" t="s">
        <v>19</v>
      </c>
      <c r="N17377" s="9" t="s">
        <v>20</v>
      </c>
      <c r="O17377" s="6" t="str">
        <f>HYPERLINK("https://pbs.twimg.com/profile_images/962471262747529216/Uo8lOkRJ_normal.jpg","View")</f>
        <v>View</v>
      </c>
      <c r="P17377" s="7"/>
    </row>
    <row r="17378" spans="1:16">
      <c r="A17378" s="3">
        <v>44542.309687500005</v>
      </c>
      <c r="B17378" s="4" t="str">
        <f>HYPERLINK("https://twitter.com/petrogustavo","@petrogustavo")</f>
        <v>@petrogustavo</v>
      </c>
      <c r="C17378" s="5" t="s">
        <v>16</v>
      </c>
      <c r="D17378" s="5" t="s">
        <v>16725</v>
      </c>
      <c r="E17378" s="6" t="str">
        <f>HYPERLINK("https://twitter.com/petrogustavo/status/1469848465815609351","1469848465815609351")</f>
        <v>1469848465815609351</v>
      </c>
      <c r="F17378" s="7" t="s">
        <v>17</v>
      </c>
      <c r="G17378" s="7">
        <v>4423603</v>
      </c>
      <c r="H17378" s="7">
        <v>2577</v>
      </c>
      <c r="I17378" s="7">
        <v>156</v>
      </c>
      <c r="J17378" s="7">
        <v>371</v>
      </c>
      <c r="K17378" s="7" t="s">
        <v>18</v>
      </c>
      <c r="L17378" s="8">
        <v>39987.315405092595</v>
      </c>
      <c r="M17378" s="9" t="s">
        <v>19</v>
      </c>
      <c r="N17378" s="9" t="s">
        <v>20</v>
      </c>
      <c r="O17378" s="6" t="str">
        <f>HYPERLINK("https://pbs.twimg.com/profile_images/962471262747529216/Uo8lOkRJ_normal.jpg","View")</f>
        <v>View</v>
      </c>
      <c r="P17378" s="7"/>
    </row>
    <row r="17379" spans="1:16">
      <c r="A17379" s="3">
        <v>44542.326932870375</v>
      </c>
      <c r="B17379" s="4" t="str">
        <f>HYPERLINK("https://twitter.com/petrogustavo","@petrogustavo")</f>
        <v>@petrogustavo</v>
      </c>
      <c r="C17379" s="5" t="s">
        <v>16</v>
      </c>
      <c r="D17379" s="5" t="s">
        <v>16726</v>
      </c>
      <c r="E17379" s="6" t="str">
        <f>HYPERLINK("https://twitter.com/petrogustavo/status/1469854717538930691","1469854717538930691")</f>
        <v>1469854717538930691</v>
      </c>
      <c r="F17379" s="7" t="s">
        <v>17</v>
      </c>
      <c r="G17379" s="7">
        <v>4423629</v>
      </c>
      <c r="H17379" s="7">
        <v>2577</v>
      </c>
      <c r="I17379" s="7">
        <v>221</v>
      </c>
      <c r="J17379" s="7">
        <v>0</v>
      </c>
      <c r="K17379" s="7" t="s">
        <v>18</v>
      </c>
      <c r="L17379" s="8">
        <v>39987.315405092595</v>
      </c>
      <c r="M17379" s="9" t="s">
        <v>19</v>
      </c>
      <c r="N17379" s="9" t="s">
        <v>20</v>
      </c>
      <c r="O17379" s="6" t="str">
        <f>HYPERLINK("https://pbs.twimg.com/profile_images/962471262747529216/Uo8lOkRJ_normal.jpg","View")</f>
        <v>View</v>
      </c>
      <c r="P17379" s="7"/>
    </row>
    <row r="17380" spans="1:16">
      <c r="A17380" s="3">
        <v>44542.33079861111</v>
      </c>
      <c r="B17380" s="4" t="str">
        <f>HYPERLINK("https://twitter.com/petrogustavo","@petrogustavo")</f>
        <v>@petrogustavo</v>
      </c>
      <c r="C17380" s="5" t="s">
        <v>16</v>
      </c>
      <c r="D17380" s="5" t="s">
        <v>16727</v>
      </c>
      <c r="E17380" s="6" t="str">
        <f>HYPERLINK("https://twitter.com/petrogustavo/status/1469856117194956800","1469856117194956800")</f>
        <v>1469856117194956800</v>
      </c>
      <c r="F17380" s="7" t="s">
        <v>17</v>
      </c>
      <c r="G17380" s="7">
        <v>4423629</v>
      </c>
      <c r="H17380" s="7">
        <v>2577</v>
      </c>
      <c r="I17380" s="7">
        <v>245</v>
      </c>
      <c r="J17380" s="7">
        <v>1405</v>
      </c>
      <c r="K17380" s="7" t="s">
        <v>18</v>
      </c>
      <c r="L17380" s="8">
        <v>39987.315405092595</v>
      </c>
      <c r="M17380" s="9" t="s">
        <v>19</v>
      </c>
      <c r="N17380" s="9" t="s">
        <v>20</v>
      </c>
      <c r="O17380" s="6" t="str">
        <f>HYPERLINK("https://pbs.twimg.com/profile_images/962471262747529216/Uo8lOkRJ_normal.jpg","View")</f>
        <v>View</v>
      </c>
      <c r="P17380" s="7"/>
    </row>
    <row r="17381" spans="1:16">
      <c r="A17381" s="3">
        <v>44542.367303240739</v>
      </c>
      <c r="B17381" s="4" t="str">
        <f>HYPERLINK("https://twitter.com/petrogustavo","@petrogustavo")</f>
        <v>@petrogustavo</v>
      </c>
      <c r="C17381" s="5" t="s">
        <v>16</v>
      </c>
      <c r="D17381" s="5" t="s">
        <v>16728</v>
      </c>
      <c r="E17381" s="6" t="str">
        <f>HYPERLINK("https://twitter.com/petrogustavo/status/1469869344683405314","1469869344683405314")</f>
        <v>1469869344683405314</v>
      </c>
      <c r="F17381" s="7" t="s">
        <v>17</v>
      </c>
      <c r="G17381" s="7">
        <v>4423606</v>
      </c>
      <c r="H17381" s="7">
        <v>2577</v>
      </c>
      <c r="I17381" s="7">
        <v>447</v>
      </c>
      <c r="J17381" s="7">
        <v>0</v>
      </c>
      <c r="K17381" s="7" t="s">
        <v>18</v>
      </c>
      <c r="L17381" s="8">
        <v>39987.315405092595</v>
      </c>
      <c r="M17381" s="9" t="s">
        <v>19</v>
      </c>
      <c r="N17381" s="9" t="s">
        <v>20</v>
      </c>
      <c r="O17381" s="6" t="str">
        <f>HYPERLINK("https://pbs.twimg.com/profile_images/962471262747529216/Uo8lOkRJ_normal.jpg","View")</f>
        <v>View</v>
      </c>
      <c r="P17381" s="7"/>
    </row>
    <row r="17382" spans="1:16">
      <c r="A17382" s="3">
        <v>44542.368692129632</v>
      </c>
      <c r="B17382" s="4" t="str">
        <f>HYPERLINK("https://twitter.com/petrogustavo","@petrogustavo")</f>
        <v>@petrogustavo</v>
      </c>
      <c r="C17382" s="5" t="s">
        <v>16</v>
      </c>
      <c r="D17382" s="5" t="s">
        <v>16729</v>
      </c>
      <c r="E17382" s="6" t="str">
        <f>HYPERLINK("https://twitter.com/petrogustavo/status/1469869848067031041","1469869848067031041")</f>
        <v>1469869848067031041</v>
      </c>
      <c r="F17382" s="7" t="s">
        <v>17</v>
      </c>
      <c r="G17382" s="7">
        <v>4423606</v>
      </c>
      <c r="H17382" s="7">
        <v>2577</v>
      </c>
      <c r="I17382" s="7">
        <v>671</v>
      </c>
      <c r="J17382" s="7">
        <v>0</v>
      </c>
      <c r="K17382" s="7" t="s">
        <v>18</v>
      </c>
      <c r="L17382" s="8">
        <v>39987.315405092595</v>
      </c>
      <c r="M17382" s="9" t="s">
        <v>19</v>
      </c>
      <c r="N17382" s="9" t="s">
        <v>20</v>
      </c>
      <c r="O17382" s="6" t="str">
        <f>HYPERLINK("https://pbs.twimg.com/profile_images/962471262747529216/Uo8lOkRJ_normal.jpg","View")</f>
        <v>View</v>
      </c>
      <c r="P17382" s="7"/>
    </row>
    <row r="17383" spans="1:16">
      <c r="A17383" s="3">
        <v>44542.735081018516</v>
      </c>
      <c r="B17383" s="4" t="str">
        <f>HYPERLINK("https://twitter.com/petrogustavo","@petrogustavo")</f>
        <v>@petrogustavo</v>
      </c>
      <c r="C17383" s="5" t="s">
        <v>16</v>
      </c>
      <c r="D17383" s="5" t="s">
        <v>16730</v>
      </c>
      <c r="E17383" s="6" t="str">
        <f>HYPERLINK("https://twitter.com/petrogustavo/status/1470002625097650177","1470002625097650177")</f>
        <v>1470002625097650177</v>
      </c>
      <c r="F17383" s="7" t="s">
        <v>17</v>
      </c>
      <c r="G17383" s="7">
        <v>4423740</v>
      </c>
      <c r="H17383" s="7">
        <v>2577</v>
      </c>
      <c r="I17383" s="7">
        <v>70</v>
      </c>
      <c r="J17383" s="7">
        <v>200</v>
      </c>
      <c r="K17383" s="7" t="s">
        <v>18</v>
      </c>
      <c r="L17383" s="8">
        <v>39987.315405092595</v>
      </c>
      <c r="M17383" s="9" t="s">
        <v>19</v>
      </c>
      <c r="N17383" s="9" t="s">
        <v>20</v>
      </c>
      <c r="O17383" s="6" t="str">
        <f>HYPERLINK("https://pbs.twimg.com/profile_images/962471262747529216/Uo8lOkRJ_normal.jpg","View")</f>
        <v>View</v>
      </c>
      <c r="P17383" s="7"/>
    </row>
    <row r="17384" spans="1:16">
      <c r="A17384" s="3">
        <v>44542.750532407408</v>
      </c>
      <c r="B17384" s="4" t="str">
        <f>HYPERLINK("https://twitter.com/petrogustavo","@petrogustavo")</f>
        <v>@petrogustavo</v>
      </c>
      <c r="C17384" s="5" t="s">
        <v>16</v>
      </c>
      <c r="D17384" s="5" t="s">
        <v>16731</v>
      </c>
      <c r="E17384" s="6" t="str">
        <f>HYPERLINK("https://twitter.com/petrogustavo/status/1470008224300601355","1470008224300601355")</f>
        <v>1470008224300601355</v>
      </c>
      <c r="F17384" s="7" t="s">
        <v>17</v>
      </c>
      <c r="G17384" s="7">
        <v>4423757</v>
      </c>
      <c r="H17384" s="7">
        <v>2577</v>
      </c>
      <c r="I17384" s="7">
        <v>248</v>
      </c>
      <c r="J17384" s="7">
        <v>0</v>
      </c>
      <c r="K17384" s="7" t="s">
        <v>18</v>
      </c>
      <c r="L17384" s="8">
        <v>39987.315405092595</v>
      </c>
      <c r="M17384" s="9" t="s">
        <v>19</v>
      </c>
      <c r="N17384" s="9" t="s">
        <v>20</v>
      </c>
      <c r="O17384" s="6" t="str">
        <f>HYPERLINK("https://pbs.twimg.com/profile_images/962471262747529216/Uo8lOkRJ_normal.jpg","View")</f>
        <v>View</v>
      </c>
      <c r="P17384" s="7"/>
    </row>
    <row r="17385" spans="1:16">
      <c r="A17385" s="3">
        <v>44542.759201388893</v>
      </c>
      <c r="B17385" s="4" t="str">
        <f>HYPERLINK("https://twitter.com/petrogustavo","@petrogustavo")</f>
        <v>@petrogustavo</v>
      </c>
      <c r="C17385" s="5" t="s">
        <v>16</v>
      </c>
      <c r="D17385" s="5" t="s">
        <v>16732</v>
      </c>
      <c r="E17385" s="6" t="str">
        <f>HYPERLINK("https://twitter.com/petrogustavo/status/1470011365091954692","1470011365091954692")</f>
        <v>1470011365091954692</v>
      </c>
      <c r="F17385" s="7" t="s">
        <v>17</v>
      </c>
      <c r="G17385" s="7">
        <v>4423757</v>
      </c>
      <c r="H17385" s="7">
        <v>2577</v>
      </c>
      <c r="I17385" s="7">
        <v>77</v>
      </c>
      <c r="J17385" s="7">
        <v>0</v>
      </c>
      <c r="K17385" s="7" t="s">
        <v>18</v>
      </c>
      <c r="L17385" s="8">
        <v>39987.315405092595</v>
      </c>
      <c r="M17385" s="9" t="s">
        <v>19</v>
      </c>
      <c r="N17385" s="9" t="s">
        <v>20</v>
      </c>
      <c r="O17385" s="6" t="str">
        <f>HYPERLINK("https://pbs.twimg.com/profile_images/962471262747529216/Uo8lOkRJ_normal.jpg","View")</f>
        <v>View</v>
      </c>
      <c r="P17385" s="7"/>
    </row>
    <row r="17386" spans="1:16">
      <c r="A17386" s="3">
        <v>44542.760127314818</v>
      </c>
      <c r="B17386" s="4" t="str">
        <f>HYPERLINK("https://twitter.com/petrogustavo","@petrogustavo")</f>
        <v>@petrogustavo</v>
      </c>
      <c r="C17386" s="5" t="s">
        <v>16</v>
      </c>
      <c r="D17386" s="5" t="s">
        <v>16733</v>
      </c>
      <c r="E17386" s="6" t="str">
        <f>HYPERLINK("https://twitter.com/petrogustavo/status/1470011699021365250","1470011699021365250")</f>
        <v>1470011699021365250</v>
      </c>
      <c r="F17386" s="7" t="s">
        <v>17</v>
      </c>
      <c r="G17386" s="7">
        <v>4423757</v>
      </c>
      <c r="H17386" s="7">
        <v>2577</v>
      </c>
      <c r="I17386" s="7">
        <v>11</v>
      </c>
      <c r="J17386" s="7">
        <v>58</v>
      </c>
      <c r="K17386" s="7" t="s">
        <v>18</v>
      </c>
      <c r="L17386" s="8">
        <v>39987.315405092595</v>
      </c>
      <c r="M17386" s="9" t="s">
        <v>19</v>
      </c>
      <c r="N17386" s="9" t="s">
        <v>20</v>
      </c>
      <c r="O17386" s="6" t="str">
        <f>HYPERLINK("https://pbs.twimg.com/profile_images/962471262747529216/Uo8lOkRJ_normal.jpg","View")</f>
        <v>View</v>
      </c>
      <c r="P17386" s="7"/>
    </row>
    <row r="17387" spans="1:16">
      <c r="A17387" s="3">
        <v>44542.786990740744</v>
      </c>
      <c r="B17387" s="4" t="str">
        <f>HYPERLINK("https://twitter.com/petrogustavo","@petrogustavo")</f>
        <v>@petrogustavo</v>
      </c>
      <c r="C17387" s="5" t="s">
        <v>16</v>
      </c>
      <c r="D17387" s="5" t="s">
        <v>16734</v>
      </c>
      <c r="E17387" s="6" t="str">
        <f>HYPERLINK("https://twitter.com/petrogustavo/status/1470021435104104450","1470021435104104450")</f>
        <v>1470021435104104450</v>
      </c>
      <c r="F17387" s="7" t="s">
        <v>17</v>
      </c>
      <c r="G17387" s="7">
        <v>4423801</v>
      </c>
      <c r="H17387" s="7">
        <v>2578</v>
      </c>
      <c r="I17387" s="7">
        <v>87</v>
      </c>
      <c r="J17387" s="7">
        <v>644</v>
      </c>
      <c r="K17387" s="7" t="s">
        <v>18</v>
      </c>
      <c r="L17387" s="8">
        <v>39987.315405092595</v>
      </c>
      <c r="M17387" s="9" t="s">
        <v>19</v>
      </c>
      <c r="N17387" s="9" t="s">
        <v>20</v>
      </c>
      <c r="O17387" s="6" t="str">
        <f>HYPERLINK("https://pbs.twimg.com/profile_images/962471262747529216/Uo8lOkRJ_normal.jpg","View")</f>
        <v>View</v>
      </c>
      <c r="P17387" s="7"/>
    </row>
    <row r="17388" spans="1:16">
      <c r="A17388" s="3">
        <v>44542.886018518519</v>
      </c>
      <c r="B17388" s="4" t="str">
        <f>HYPERLINK("https://twitter.com/petrogustavo","@petrogustavo")</f>
        <v>@petrogustavo</v>
      </c>
      <c r="C17388" s="5" t="s">
        <v>16</v>
      </c>
      <c r="D17388" s="5" t="s">
        <v>16735</v>
      </c>
      <c r="E17388" s="6" t="str">
        <f>HYPERLINK("https://twitter.com/petrogustavo/status/1470057322630287366","1470057322630287366")</f>
        <v>1470057322630287366</v>
      </c>
      <c r="F17388" s="7" t="s">
        <v>17</v>
      </c>
      <c r="G17388" s="7">
        <v>4423940</v>
      </c>
      <c r="H17388" s="7">
        <v>2578</v>
      </c>
      <c r="I17388" s="7">
        <v>30</v>
      </c>
      <c r="J17388" s="7">
        <v>85</v>
      </c>
      <c r="K17388" s="7" t="s">
        <v>18</v>
      </c>
      <c r="L17388" s="8">
        <v>39987.315405092595</v>
      </c>
      <c r="M17388" s="9" t="s">
        <v>19</v>
      </c>
      <c r="N17388" s="9" t="s">
        <v>20</v>
      </c>
      <c r="O17388" s="6" t="str">
        <f>HYPERLINK("https://pbs.twimg.com/profile_images/962471262747529216/Uo8lOkRJ_normal.jpg","View")</f>
        <v>View</v>
      </c>
      <c r="P17388" s="7"/>
    </row>
    <row r="17389" spans="1:16">
      <c r="A17389" s="3">
        <v>44542.938275462962</v>
      </c>
      <c r="B17389" s="4" t="str">
        <f>HYPERLINK("https://twitter.com/petrogustavo","@petrogustavo")</f>
        <v>@petrogustavo</v>
      </c>
      <c r="C17389" s="5" t="s">
        <v>16</v>
      </c>
      <c r="D17389" s="5" t="s">
        <v>16736</v>
      </c>
      <c r="E17389" s="6" t="str">
        <f>HYPERLINK("https://twitter.com/petrogustavo/status/1470076260562911236","1470076260562911236")</f>
        <v>1470076260562911236</v>
      </c>
      <c r="F17389" s="7" t="s">
        <v>17</v>
      </c>
      <c r="G17389" s="7">
        <v>4423333</v>
      </c>
      <c r="H17389" s="7">
        <v>2578</v>
      </c>
      <c r="I17389" s="7">
        <v>29</v>
      </c>
      <c r="J17389" s="7">
        <v>0</v>
      </c>
      <c r="K17389" s="7" t="s">
        <v>18</v>
      </c>
      <c r="L17389" s="8">
        <v>39987.315405092595</v>
      </c>
      <c r="M17389" s="9" t="s">
        <v>19</v>
      </c>
      <c r="N17389" s="9" t="s">
        <v>20</v>
      </c>
      <c r="O17389" s="6" t="str">
        <f>HYPERLINK("https://pbs.twimg.com/profile_images/962471262747529216/Uo8lOkRJ_normal.jpg","View")</f>
        <v>View</v>
      </c>
      <c r="P17389" s="7"/>
    </row>
    <row r="17390" spans="1:16">
      <c r="A17390" s="3">
        <v>44542.979270833333</v>
      </c>
      <c r="B17390" s="4" t="str">
        <f>HYPERLINK("https://twitter.com/petrogustavo","@petrogustavo")</f>
        <v>@petrogustavo</v>
      </c>
      <c r="C17390" s="5" t="s">
        <v>16</v>
      </c>
      <c r="D17390" s="5" t="s">
        <v>16737</v>
      </c>
      <c r="E17390" s="6" t="str">
        <f>HYPERLINK("https://twitter.com/petrogustavo/status/1470091114359271433","1470091114359271433")</f>
        <v>1470091114359271433</v>
      </c>
      <c r="F17390" s="7" t="s">
        <v>17</v>
      </c>
      <c r="G17390" s="7">
        <v>4424064</v>
      </c>
      <c r="H17390" s="7">
        <v>2579</v>
      </c>
      <c r="I17390" s="7">
        <v>631</v>
      </c>
      <c r="J17390" s="7">
        <v>0</v>
      </c>
      <c r="K17390" s="7" t="s">
        <v>18</v>
      </c>
      <c r="L17390" s="8">
        <v>39987.315405092595</v>
      </c>
      <c r="M17390" s="9" t="s">
        <v>19</v>
      </c>
      <c r="N17390" s="9" t="s">
        <v>20</v>
      </c>
      <c r="O17390" s="6" t="str">
        <f>HYPERLINK("https://pbs.twimg.com/profile_images/962471262747529216/Uo8lOkRJ_normal.jpg","View")</f>
        <v>View</v>
      </c>
      <c r="P17390" s="7"/>
    </row>
    <row r="17391" spans="1:16">
      <c r="A17391" s="3">
        <v>44542.989930555559</v>
      </c>
      <c r="B17391" s="4" t="str">
        <f>HYPERLINK("https://twitter.com/petrogustavo","@petrogustavo")</f>
        <v>@petrogustavo</v>
      </c>
      <c r="C17391" s="5" t="s">
        <v>16</v>
      </c>
      <c r="D17391" s="5" t="s">
        <v>16738</v>
      </c>
      <c r="E17391" s="6" t="str">
        <f>HYPERLINK("https://twitter.com/petrogustavo/status/1470094976193343498","1470094976193343498")</f>
        <v>1470094976193343498</v>
      </c>
      <c r="F17391" s="7" t="s">
        <v>17</v>
      </c>
      <c r="G17391" s="7">
        <v>4424064</v>
      </c>
      <c r="H17391" s="7">
        <v>2579</v>
      </c>
      <c r="I17391" s="7">
        <v>17</v>
      </c>
      <c r="J17391" s="7">
        <v>90</v>
      </c>
      <c r="K17391" s="7" t="s">
        <v>18</v>
      </c>
      <c r="L17391" s="8">
        <v>39987.315405092595</v>
      </c>
      <c r="M17391" s="9" t="s">
        <v>19</v>
      </c>
      <c r="N17391" s="9" t="s">
        <v>20</v>
      </c>
      <c r="O17391" s="6" t="str">
        <f>HYPERLINK("https://pbs.twimg.com/profile_images/962471262747529216/Uo8lOkRJ_normal.jpg","View")</f>
        <v>View</v>
      </c>
      <c r="P17391" s="7"/>
    </row>
    <row r="17392" spans="1:16">
      <c r="A17392" s="3">
        <v>44542.993159722224</v>
      </c>
      <c r="B17392" s="4" t="str">
        <f>HYPERLINK("https://twitter.com/petrogustavo","@petrogustavo")</f>
        <v>@petrogustavo</v>
      </c>
      <c r="C17392" s="5" t="s">
        <v>16</v>
      </c>
      <c r="D17392" s="5" t="s">
        <v>16739</v>
      </c>
      <c r="E17392" s="6" t="str">
        <f>HYPERLINK("https://twitter.com/petrogustavo/status/1470096146639073304","1470096146639073304")</f>
        <v>1470096146639073304</v>
      </c>
      <c r="F17392" s="7" t="s">
        <v>17</v>
      </c>
      <c r="G17392" s="7">
        <v>4424078</v>
      </c>
      <c r="H17392" s="7">
        <v>2578</v>
      </c>
      <c r="I17392" s="7">
        <v>157</v>
      </c>
      <c r="J17392" s="7">
        <v>443</v>
      </c>
      <c r="K17392" s="7" t="s">
        <v>18</v>
      </c>
      <c r="L17392" s="8">
        <v>39987.315405092595</v>
      </c>
      <c r="M17392" s="9" t="s">
        <v>19</v>
      </c>
      <c r="N17392" s="9" t="s">
        <v>20</v>
      </c>
      <c r="O17392" s="6" t="str">
        <f>HYPERLINK("https://pbs.twimg.com/profile_images/962471262747529216/Uo8lOkRJ_normal.jpg","View")</f>
        <v>View</v>
      </c>
      <c r="P17392" s="7"/>
    </row>
    <row r="17393" spans="1:16">
      <c r="A17393" s="3">
        <v>44542.994745370372</v>
      </c>
      <c r="B17393" s="4" t="str">
        <f>HYPERLINK("https://twitter.com/petrogustavo","@petrogustavo")</f>
        <v>@petrogustavo</v>
      </c>
      <c r="C17393" s="5" t="s">
        <v>16</v>
      </c>
      <c r="D17393" s="5" t="s">
        <v>16740</v>
      </c>
      <c r="E17393" s="6" t="str">
        <f>HYPERLINK("https://twitter.com/petrogustavo/status/1470096723485892612","1470096723485892612")</f>
        <v>1470096723485892612</v>
      </c>
      <c r="F17393" s="7" t="s">
        <v>17</v>
      </c>
      <c r="G17393" s="7">
        <v>4424078</v>
      </c>
      <c r="H17393" s="7">
        <v>2578</v>
      </c>
      <c r="I17393" s="7">
        <v>208</v>
      </c>
      <c r="J17393" s="7">
        <v>667</v>
      </c>
      <c r="K17393" s="7" t="s">
        <v>18</v>
      </c>
      <c r="L17393" s="8">
        <v>39987.315405092595</v>
      </c>
      <c r="M17393" s="9" t="s">
        <v>19</v>
      </c>
      <c r="N17393" s="9" t="s">
        <v>20</v>
      </c>
      <c r="O17393" s="6" t="str">
        <f>HYPERLINK("https://pbs.twimg.com/profile_images/962471262747529216/Uo8lOkRJ_normal.jpg","View")</f>
        <v>View</v>
      </c>
      <c r="P17393" s="7"/>
    </row>
    <row r="17394" spans="1:16">
      <c r="A17394" s="3">
        <v>44542.998032407406</v>
      </c>
      <c r="B17394" s="4" t="str">
        <f>HYPERLINK("https://twitter.com/petrogustavo","@petrogustavo")</f>
        <v>@petrogustavo</v>
      </c>
      <c r="C17394" s="5" t="s">
        <v>16</v>
      </c>
      <c r="D17394" s="5" t="s">
        <v>16741</v>
      </c>
      <c r="E17394" s="6" t="str">
        <f>HYPERLINK("https://twitter.com/petrogustavo/status/1470097912927563787","1470097912927563787")</f>
        <v>1470097912927563787</v>
      </c>
      <c r="F17394" s="7" t="s">
        <v>17</v>
      </c>
      <c r="G17394" s="7">
        <v>4424078</v>
      </c>
      <c r="H17394" s="7">
        <v>2578</v>
      </c>
      <c r="I17394" s="7">
        <v>89</v>
      </c>
      <c r="J17394" s="7">
        <v>240</v>
      </c>
      <c r="K17394" s="7" t="s">
        <v>18</v>
      </c>
      <c r="L17394" s="8">
        <v>39987.315405092595</v>
      </c>
      <c r="M17394" s="9" t="s">
        <v>19</v>
      </c>
      <c r="N17394" s="9" t="s">
        <v>20</v>
      </c>
      <c r="O17394" s="6" t="str">
        <f>HYPERLINK("https://pbs.twimg.com/profile_images/962471262747529216/Uo8lOkRJ_normal.jpg","View")</f>
        <v>View</v>
      </c>
      <c r="P17394" s="7"/>
    </row>
    <row r="17395" spans="1:16">
      <c r="A17395" s="3">
        <v>44543.065162037034</v>
      </c>
      <c r="B17395" s="4" t="str">
        <f>HYPERLINK("https://twitter.com/petrogustavo","@petrogustavo")</f>
        <v>@petrogustavo</v>
      </c>
      <c r="C17395" s="5" t="s">
        <v>16</v>
      </c>
      <c r="D17395" s="5" t="s">
        <v>16742</v>
      </c>
      <c r="E17395" s="6" t="str">
        <f>HYPERLINK("https://twitter.com/petrogustavo/status/1470122239437774849","1470122239437774849")</f>
        <v>1470122239437774849</v>
      </c>
      <c r="F17395" s="7" t="s">
        <v>17</v>
      </c>
      <c r="G17395" s="7">
        <v>4424162</v>
      </c>
      <c r="H17395" s="7">
        <v>2579</v>
      </c>
      <c r="I17395" s="7">
        <v>193</v>
      </c>
      <c r="J17395" s="7">
        <v>532</v>
      </c>
      <c r="K17395" s="7" t="s">
        <v>18</v>
      </c>
      <c r="L17395" s="8">
        <v>39987.315405092595</v>
      </c>
      <c r="M17395" s="9" t="s">
        <v>19</v>
      </c>
      <c r="N17395" s="9" t="s">
        <v>20</v>
      </c>
      <c r="O17395" s="6" t="str">
        <f>HYPERLINK("https://pbs.twimg.com/profile_images/962471262747529216/Uo8lOkRJ_normal.jpg","View")</f>
        <v>View</v>
      </c>
      <c r="P17395" s="7"/>
    </row>
    <row r="17396" spans="1:16">
      <c r="A17396" s="3">
        <v>44543.073159722218</v>
      </c>
      <c r="B17396" s="4" t="str">
        <f>HYPERLINK("https://twitter.com/petrogustavo","@petrogustavo")</f>
        <v>@petrogustavo</v>
      </c>
      <c r="C17396" s="5" t="s">
        <v>16</v>
      </c>
      <c r="D17396" s="5" t="s">
        <v>16743</v>
      </c>
      <c r="E17396" s="6" t="str">
        <f>HYPERLINK("https://twitter.com/petrogustavo/status/1470125140797272069","1470125140797272069")</f>
        <v>1470125140797272069</v>
      </c>
      <c r="F17396" s="7" t="s">
        <v>17</v>
      </c>
      <c r="G17396" s="7">
        <v>4424162</v>
      </c>
      <c r="H17396" s="7">
        <v>2579</v>
      </c>
      <c r="I17396" s="7">
        <v>44</v>
      </c>
      <c r="J17396" s="7">
        <v>0</v>
      </c>
      <c r="K17396" s="7" t="s">
        <v>18</v>
      </c>
      <c r="L17396" s="8">
        <v>39987.315405092595</v>
      </c>
      <c r="M17396" s="9" t="s">
        <v>19</v>
      </c>
      <c r="N17396" s="9" t="s">
        <v>20</v>
      </c>
      <c r="O17396" s="6" t="str">
        <f>HYPERLINK("https://pbs.twimg.com/profile_images/962471262747529216/Uo8lOkRJ_normal.jpg","View")</f>
        <v>View</v>
      </c>
      <c r="P17396" s="7"/>
    </row>
    <row r="17397" spans="1:16">
      <c r="A17397" s="3">
        <v>44543.073530092588</v>
      </c>
      <c r="B17397" s="4" t="str">
        <f>HYPERLINK("https://twitter.com/petrogustavo","@petrogustavo")</f>
        <v>@petrogustavo</v>
      </c>
      <c r="C17397" s="5" t="s">
        <v>16</v>
      </c>
      <c r="D17397" s="5" t="s">
        <v>16744</v>
      </c>
      <c r="E17397" s="6" t="str">
        <f>HYPERLINK("https://twitter.com/petrogustavo/status/1470125274184433669","1470125274184433669")</f>
        <v>1470125274184433669</v>
      </c>
      <c r="F17397" s="7" t="s">
        <v>17</v>
      </c>
      <c r="G17397" s="7">
        <v>4424162</v>
      </c>
      <c r="H17397" s="7">
        <v>2579</v>
      </c>
      <c r="I17397" s="7">
        <v>8</v>
      </c>
      <c r="J17397" s="7">
        <v>0</v>
      </c>
      <c r="K17397" s="7" t="s">
        <v>18</v>
      </c>
      <c r="L17397" s="8">
        <v>39987.315405092595</v>
      </c>
      <c r="M17397" s="9" t="s">
        <v>19</v>
      </c>
      <c r="N17397" s="9" t="s">
        <v>20</v>
      </c>
      <c r="O17397" s="6" t="str">
        <f>HYPERLINK("https://pbs.twimg.com/profile_images/962471262747529216/Uo8lOkRJ_normal.jpg","View")</f>
        <v>View</v>
      </c>
      <c r="P17397" s="7"/>
    </row>
    <row r="17398" spans="1:16">
      <c r="A17398" s="3">
        <v>44543.09375</v>
      </c>
      <c r="B17398" s="4" t="str">
        <f>HYPERLINK("https://twitter.com/petrogustavo","@petrogustavo")</f>
        <v>@petrogustavo</v>
      </c>
      <c r="C17398" s="5" t="s">
        <v>16</v>
      </c>
      <c r="D17398" s="5" t="s">
        <v>16745</v>
      </c>
      <c r="E17398" s="6" t="str">
        <f>HYPERLINK("https://twitter.com/petrogustavo/status/1470132601105039360","1470132601105039360")</f>
        <v>1470132601105039360</v>
      </c>
      <c r="F17398" s="7" t="s">
        <v>17</v>
      </c>
      <c r="G17398" s="7">
        <v>4424187</v>
      </c>
      <c r="H17398" s="7">
        <v>2579</v>
      </c>
      <c r="I17398" s="7">
        <v>448</v>
      </c>
      <c r="J17398" s="7">
        <v>0</v>
      </c>
      <c r="K17398" s="7" t="s">
        <v>18</v>
      </c>
      <c r="L17398" s="8">
        <v>39987.315405092595</v>
      </c>
      <c r="M17398" s="9" t="s">
        <v>19</v>
      </c>
      <c r="N17398" s="9" t="s">
        <v>20</v>
      </c>
      <c r="O17398" s="6" t="str">
        <f>HYPERLINK("https://pbs.twimg.com/profile_images/962471262747529216/Uo8lOkRJ_normal.jpg","View")</f>
        <v>View</v>
      </c>
      <c r="P17398" s="7"/>
    </row>
    <row r="17399" spans="1:16">
      <c r="A17399" s="3">
        <v>44543.258530092593</v>
      </c>
      <c r="B17399" s="4" t="str">
        <f>HYPERLINK("https://twitter.com/petrogustavo","@petrogustavo")</f>
        <v>@petrogustavo</v>
      </c>
      <c r="C17399" s="5" t="s">
        <v>16</v>
      </c>
      <c r="D17399" s="5" t="s">
        <v>16746</v>
      </c>
      <c r="E17399" s="6" t="str">
        <f>HYPERLINK("https://twitter.com/petrogustavo/status/1470192315696398339","1470192315696398339")</f>
        <v>1470192315696398339</v>
      </c>
      <c r="F17399" s="7" t="s">
        <v>17</v>
      </c>
      <c r="G17399" s="7">
        <v>4424424</v>
      </c>
      <c r="H17399" s="7">
        <v>2579</v>
      </c>
      <c r="I17399" s="7">
        <v>59</v>
      </c>
      <c r="J17399" s="7">
        <v>0</v>
      </c>
      <c r="K17399" s="7" t="s">
        <v>18</v>
      </c>
      <c r="L17399" s="8">
        <v>39987.315405092595</v>
      </c>
      <c r="M17399" s="9" t="s">
        <v>19</v>
      </c>
      <c r="N17399" s="9" t="s">
        <v>20</v>
      </c>
      <c r="O17399" s="6" t="str">
        <f>HYPERLINK("https://pbs.twimg.com/profile_images/962471262747529216/Uo8lOkRJ_normal.jpg","View")</f>
        <v>View</v>
      </c>
      <c r="P17399" s="7"/>
    </row>
    <row r="17400" spans="1:16">
      <c r="A17400" s="3">
        <v>44543.327094907407</v>
      </c>
      <c r="B17400" s="4" t="str">
        <f>HYPERLINK("https://twitter.com/petrogustavo","@petrogustavo")</f>
        <v>@petrogustavo</v>
      </c>
      <c r="C17400" s="5" t="s">
        <v>16</v>
      </c>
      <c r="D17400" s="5" t="s">
        <v>16747</v>
      </c>
      <c r="E17400" s="6" t="str">
        <f>HYPERLINK("https://twitter.com/petrogustavo/status/1470217163399217155","1470217163399217155")</f>
        <v>1470217163399217155</v>
      </c>
      <c r="F17400" s="7" t="s">
        <v>17</v>
      </c>
      <c r="G17400" s="7">
        <v>4424533</v>
      </c>
      <c r="H17400" s="7">
        <v>2579</v>
      </c>
      <c r="I17400" s="7">
        <v>148</v>
      </c>
      <c r="J17400" s="7">
        <v>0</v>
      </c>
      <c r="K17400" s="7" t="s">
        <v>18</v>
      </c>
      <c r="L17400" s="8">
        <v>39987.315405092595</v>
      </c>
      <c r="M17400" s="9" t="s">
        <v>19</v>
      </c>
      <c r="N17400" s="9" t="s">
        <v>20</v>
      </c>
      <c r="O17400" s="6" t="str">
        <f>HYPERLINK("https://pbs.twimg.com/profile_images/962471262747529216/Uo8lOkRJ_normal.jpg","View")</f>
        <v>View</v>
      </c>
      <c r="P17400" s="7"/>
    </row>
    <row r="17401" spans="1:16">
      <c r="A17401" s="3">
        <v>44543.335787037038</v>
      </c>
      <c r="B17401" s="4" t="str">
        <f>HYPERLINK("https://twitter.com/petrogustavo","@petrogustavo")</f>
        <v>@petrogustavo</v>
      </c>
      <c r="C17401" s="5" t="s">
        <v>16</v>
      </c>
      <c r="D17401" s="5" t="s">
        <v>16748</v>
      </c>
      <c r="E17401" s="6" t="str">
        <f>HYPERLINK("https://twitter.com/petrogustavo/status/1470220313203986436","1470220313203986436")</f>
        <v>1470220313203986436</v>
      </c>
      <c r="F17401" s="7" t="s">
        <v>17</v>
      </c>
      <c r="G17401" s="7">
        <v>4424577</v>
      </c>
      <c r="H17401" s="7">
        <v>2579</v>
      </c>
      <c r="I17401" s="7">
        <v>313</v>
      </c>
      <c r="J17401" s="7">
        <v>0</v>
      </c>
      <c r="K17401" s="7" t="s">
        <v>18</v>
      </c>
      <c r="L17401" s="8">
        <v>39987.315405092595</v>
      </c>
      <c r="M17401" s="9" t="s">
        <v>19</v>
      </c>
      <c r="N17401" s="9" t="s">
        <v>20</v>
      </c>
      <c r="O17401" s="6" t="str">
        <f>HYPERLINK("https://pbs.twimg.com/profile_images/962471262747529216/Uo8lOkRJ_normal.jpg","View")</f>
        <v>View</v>
      </c>
      <c r="P17401" s="7"/>
    </row>
    <row r="17402" spans="1:16">
      <c r="A17402" s="3">
        <v>44543.716319444444</v>
      </c>
      <c r="B17402" s="4" t="str">
        <f>HYPERLINK("https://twitter.com/petrogustavo","@petrogustavo")</f>
        <v>@petrogustavo</v>
      </c>
      <c r="C17402" s="5" t="s">
        <v>16</v>
      </c>
      <c r="D17402" s="5" t="s">
        <v>16749</v>
      </c>
      <c r="E17402" s="6" t="str">
        <f>HYPERLINK("https://twitter.com/petrogustavo/status/1470358213342248963","1470358213342248963")</f>
        <v>1470358213342248963</v>
      </c>
      <c r="F17402" s="7" t="s">
        <v>17</v>
      </c>
      <c r="G17402" s="7">
        <v>4424776</v>
      </c>
      <c r="H17402" s="7">
        <v>2578</v>
      </c>
      <c r="I17402" s="7">
        <v>72</v>
      </c>
      <c r="J17402" s="7">
        <v>0</v>
      </c>
      <c r="K17402" s="7" t="s">
        <v>18</v>
      </c>
      <c r="L17402" s="8">
        <v>39987.315405092595</v>
      </c>
      <c r="M17402" s="9" t="s">
        <v>19</v>
      </c>
      <c r="N17402" s="9" t="s">
        <v>20</v>
      </c>
      <c r="O17402" s="6" t="str">
        <f>HYPERLINK("https://pbs.twimg.com/profile_images/962471262747529216/Uo8lOkRJ_normal.jpg","View")</f>
        <v>View</v>
      </c>
      <c r="P17402" s="7"/>
    </row>
    <row r="17403" spans="1:16">
      <c r="A17403" s="3">
        <v>44543.736458333333</v>
      </c>
      <c r="B17403" s="4" t="str">
        <f>HYPERLINK("https://twitter.com/petrogustavo","@petrogustavo")</f>
        <v>@petrogustavo</v>
      </c>
      <c r="C17403" s="5" t="s">
        <v>16</v>
      </c>
      <c r="D17403" s="5" t="s">
        <v>16750</v>
      </c>
      <c r="E17403" s="6" t="str">
        <f>HYPERLINK("https://twitter.com/petrogustavo/status/1470365511888297987","1470365511888297987")</f>
        <v>1470365511888297987</v>
      </c>
      <c r="F17403" s="7" t="s">
        <v>17</v>
      </c>
      <c r="G17403" s="7">
        <v>4424795</v>
      </c>
      <c r="H17403" s="7">
        <v>2578</v>
      </c>
      <c r="I17403" s="7">
        <v>226</v>
      </c>
      <c r="J17403" s="7">
        <v>549</v>
      </c>
      <c r="K17403" s="7" t="s">
        <v>18</v>
      </c>
      <c r="L17403" s="8">
        <v>39987.315405092595</v>
      </c>
      <c r="M17403" s="9" t="s">
        <v>19</v>
      </c>
      <c r="N17403" s="9" t="s">
        <v>20</v>
      </c>
      <c r="O17403" s="6" t="str">
        <f>HYPERLINK("https://pbs.twimg.com/profile_images/962471262747529216/Uo8lOkRJ_normal.jpg","View")</f>
        <v>View</v>
      </c>
      <c r="P17403" s="7"/>
    </row>
    <row r="17404" spans="1:16">
      <c r="A17404" s="3">
        <v>44543.740543981483</v>
      </c>
      <c r="B17404" s="4" t="str">
        <f>HYPERLINK("https://twitter.com/petrogustavo","@petrogustavo")</f>
        <v>@petrogustavo</v>
      </c>
      <c r="C17404" s="5" t="s">
        <v>16</v>
      </c>
      <c r="D17404" s="5" t="s">
        <v>16751</v>
      </c>
      <c r="E17404" s="6" t="str">
        <f>HYPERLINK("https://twitter.com/petrogustavo/status/1470366992498573314","1470366992498573314")</f>
        <v>1470366992498573314</v>
      </c>
      <c r="F17404" s="7" t="s">
        <v>17</v>
      </c>
      <c r="G17404" s="7">
        <v>4424795</v>
      </c>
      <c r="H17404" s="7">
        <v>2578</v>
      </c>
      <c r="I17404" s="7">
        <v>13</v>
      </c>
      <c r="J17404" s="7">
        <v>0</v>
      </c>
      <c r="K17404" s="7" t="s">
        <v>18</v>
      </c>
      <c r="L17404" s="8">
        <v>39987.315405092595</v>
      </c>
      <c r="M17404" s="9" t="s">
        <v>19</v>
      </c>
      <c r="N17404" s="9" t="s">
        <v>20</v>
      </c>
      <c r="O17404" s="6" t="str">
        <f>HYPERLINK("https://pbs.twimg.com/profile_images/962471262747529216/Uo8lOkRJ_normal.jpg","View")</f>
        <v>View</v>
      </c>
      <c r="P17404" s="7"/>
    </row>
    <row r="17405" spans="1:16">
      <c r="A17405" s="3">
        <v>44543.742974537032</v>
      </c>
      <c r="B17405" s="4" t="str">
        <f>HYPERLINK("https://twitter.com/petrogustavo","@petrogustavo")</f>
        <v>@petrogustavo</v>
      </c>
      <c r="C17405" s="5" t="s">
        <v>16</v>
      </c>
      <c r="D17405" s="5" t="s">
        <v>16752</v>
      </c>
      <c r="E17405" s="6" t="str">
        <f>HYPERLINK("https://twitter.com/petrogustavo/status/1470367872019046410","1470367872019046410")</f>
        <v>1470367872019046410</v>
      </c>
      <c r="F17405" s="7" t="s">
        <v>17</v>
      </c>
      <c r="G17405" s="7">
        <v>4424795</v>
      </c>
      <c r="H17405" s="7">
        <v>2578</v>
      </c>
      <c r="I17405" s="7">
        <v>1169</v>
      </c>
      <c r="J17405" s="7">
        <v>0</v>
      </c>
      <c r="K17405" s="7" t="s">
        <v>18</v>
      </c>
      <c r="L17405" s="8">
        <v>39987.315405092595</v>
      </c>
      <c r="M17405" s="9" t="s">
        <v>19</v>
      </c>
      <c r="N17405" s="9" t="s">
        <v>20</v>
      </c>
      <c r="O17405" s="6" t="str">
        <f>HYPERLINK("https://pbs.twimg.com/profile_images/962471262747529216/Uo8lOkRJ_normal.jpg","View")</f>
        <v>View</v>
      </c>
      <c r="P17405" s="7"/>
    </row>
    <row r="17406" spans="1:16">
      <c r="A17406" s="3">
        <v>44543.743854166663</v>
      </c>
      <c r="B17406" s="4" t="str">
        <f>HYPERLINK("https://twitter.com/petrogustavo","@petrogustavo")</f>
        <v>@petrogustavo</v>
      </c>
      <c r="C17406" s="5" t="s">
        <v>16</v>
      </c>
      <c r="D17406" s="5" t="s">
        <v>16753</v>
      </c>
      <c r="E17406" s="6" t="str">
        <f>HYPERLINK("https://twitter.com/petrogustavo/status/1470368192673558532","1470368192673558532")</f>
        <v>1470368192673558532</v>
      </c>
      <c r="F17406" s="7" t="s">
        <v>17</v>
      </c>
      <c r="G17406" s="7">
        <v>4424795</v>
      </c>
      <c r="H17406" s="7">
        <v>2578</v>
      </c>
      <c r="I17406" s="7">
        <v>1399</v>
      </c>
      <c r="J17406" s="7">
        <v>0</v>
      </c>
      <c r="K17406" s="7" t="s">
        <v>18</v>
      </c>
      <c r="L17406" s="8">
        <v>39987.315405092595</v>
      </c>
      <c r="M17406" s="9" t="s">
        <v>19</v>
      </c>
      <c r="N17406" s="9" t="s">
        <v>20</v>
      </c>
      <c r="O17406" s="6" t="str">
        <f>HYPERLINK("https://pbs.twimg.com/profile_images/962471262747529216/Uo8lOkRJ_normal.jpg","View")</f>
        <v>View</v>
      </c>
      <c r="P17406" s="7"/>
    </row>
    <row r="17407" spans="1:16">
      <c r="A17407" s="3">
        <v>44543.746157407411</v>
      </c>
      <c r="B17407" s="4" t="str">
        <f>HYPERLINK("https://twitter.com/petrogustavo","@petrogustavo")</f>
        <v>@petrogustavo</v>
      </c>
      <c r="C17407" s="5" t="s">
        <v>16</v>
      </c>
      <c r="D17407" s="5" t="s">
        <v>16754</v>
      </c>
      <c r="E17407" s="6" t="str">
        <f>HYPERLINK("https://twitter.com/petrogustavo/status/1470369026249564162","1470369026249564162")</f>
        <v>1470369026249564162</v>
      </c>
      <c r="F17407" s="7" t="s">
        <v>17</v>
      </c>
      <c r="G17407" s="7">
        <v>4424795</v>
      </c>
      <c r="H17407" s="7">
        <v>2578</v>
      </c>
      <c r="I17407" s="7">
        <v>1102</v>
      </c>
      <c r="J17407" s="7">
        <v>0</v>
      </c>
      <c r="K17407" s="7" t="s">
        <v>18</v>
      </c>
      <c r="L17407" s="8">
        <v>39987.315405092595</v>
      </c>
      <c r="M17407" s="9" t="s">
        <v>19</v>
      </c>
      <c r="N17407" s="9" t="s">
        <v>20</v>
      </c>
      <c r="O17407" s="6" t="str">
        <f>HYPERLINK("https://pbs.twimg.com/profile_images/962471262747529216/Uo8lOkRJ_normal.jpg","View")</f>
        <v>View</v>
      </c>
      <c r="P17407" s="7"/>
    </row>
    <row r="17408" spans="1:16">
      <c r="A17408" s="3">
        <v>44543.750960648147</v>
      </c>
      <c r="B17408" s="4" t="str">
        <f>HYPERLINK("https://twitter.com/petrogustavo","@petrogustavo")</f>
        <v>@petrogustavo</v>
      </c>
      <c r="C17408" s="5" t="s">
        <v>16</v>
      </c>
      <c r="D17408" s="5" t="s">
        <v>16755</v>
      </c>
      <c r="E17408" s="6" t="str">
        <f>HYPERLINK("https://twitter.com/petrogustavo/status/1470370767418400777","1470370767418400777")</f>
        <v>1470370767418400777</v>
      </c>
      <c r="F17408" s="7" t="s">
        <v>17</v>
      </c>
      <c r="G17408" s="7">
        <v>4424795</v>
      </c>
      <c r="H17408" s="7">
        <v>2578</v>
      </c>
      <c r="I17408" s="7">
        <v>15</v>
      </c>
      <c r="J17408" s="7">
        <v>40</v>
      </c>
      <c r="K17408" s="7" t="s">
        <v>18</v>
      </c>
      <c r="L17408" s="8">
        <v>39987.315405092595</v>
      </c>
      <c r="M17408" s="9" t="s">
        <v>19</v>
      </c>
      <c r="N17408" s="9" t="s">
        <v>20</v>
      </c>
      <c r="O17408" s="6" t="str">
        <f>HYPERLINK("https://pbs.twimg.com/profile_images/962471262747529216/Uo8lOkRJ_normal.jpg","View")</f>
        <v>View</v>
      </c>
      <c r="P17408" s="7"/>
    </row>
    <row r="17409" spans="1:16">
      <c r="A17409" s="3">
        <v>44543.753912037035</v>
      </c>
      <c r="B17409" s="4" t="str">
        <f>HYPERLINK("https://twitter.com/petrogustavo","@petrogustavo")</f>
        <v>@petrogustavo</v>
      </c>
      <c r="C17409" s="5" t="s">
        <v>16</v>
      </c>
      <c r="D17409" s="5" t="s">
        <v>16756</v>
      </c>
      <c r="E17409" s="6" t="str">
        <f>HYPERLINK("https://twitter.com/petrogustavo/status/1470371834696814594","1470371834696814594")</f>
        <v>1470371834696814594</v>
      </c>
      <c r="F17409" s="7" t="s">
        <v>17</v>
      </c>
      <c r="G17409" s="7">
        <v>4424808</v>
      </c>
      <c r="H17409" s="7">
        <v>2578</v>
      </c>
      <c r="I17409" s="7">
        <v>60</v>
      </c>
      <c r="J17409" s="7">
        <v>160</v>
      </c>
      <c r="K17409" s="7" t="s">
        <v>18</v>
      </c>
      <c r="L17409" s="8">
        <v>39987.315405092595</v>
      </c>
      <c r="M17409" s="9" t="s">
        <v>19</v>
      </c>
      <c r="N17409" s="9" t="s">
        <v>20</v>
      </c>
      <c r="O17409" s="6" t="str">
        <f>HYPERLINK("https://pbs.twimg.com/profile_images/962471262747529216/Uo8lOkRJ_normal.jpg","View")</f>
        <v>View</v>
      </c>
      <c r="P17409" s="7"/>
    </row>
    <row r="17410" spans="1:16">
      <c r="A17410" s="3">
        <v>44543.802129629628</v>
      </c>
      <c r="B17410" s="4" t="str">
        <f>HYPERLINK("https://twitter.com/petrogustavo","@petrogustavo")</f>
        <v>@petrogustavo</v>
      </c>
      <c r="C17410" s="5" t="s">
        <v>16</v>
      </c>
      <c r="D17410" s="5" t="s">
        <v>16757</v>
      </c>
      <c r="E17410" s="6" t="str">
        <f>HYPERLINK("https://twitter.com/petrogustavo/status/1470389310448939016","1470389310448939016")</f>
        <v>1470389310448939016</v>
      </c>
      <c r="F17410" s="7" t="s">
        <v>17</v>
      </c>
      <c r="G17410" s="7">
        <v>4424861</v>
      </c>
      <c r="H17410" s="7">
        <v>2578</v>
      </c>
      <c r="I17410" s="7">
        <v>25</v>
      </c>
      <c r="J17410" s="7">
        <v>0</v>
      </c>
      <c r="K17410" s="7" t="s">
        <v>18</v>
      </c>
      <c r="L17410" s="8">
        <v>39987.315405092595</v>
      </c>
      <c r="M17410" s="9" t="s">
        <v>19</v>
      </c>
      <c r="N17410" s="9" t="s">
        <v>20</v>
      </c>
      <c r="O17410" s="6" t="str">
        <f>HYPERLINK("https://pbs.twimg.com/profile_images/962471262747529216/Uo8lOkRJ_normal.jpg","View")</f>
        <v>View</v>
      </c>
      <c r="P17410" s="7"/>
    </row>
    <row r="17411" spans="1:16">
      <c r="A17411" s="3">
        <v>44543.802986111114</v>
      </c>
      <c r="B17411" s="4" t="str">
        <f>HYPERLINK("https://twitter.com/petrogustavo","@petrogustavo")</f>
        <v>@petrogustavo</v>
      </c>
      <c r="C17411" s="5" t="s">
        <v>16</v>
      </c>
      <c r="D17411" s="5" t="s">
        <v>16758</v>
      </c>
      <c r="E17411" s="6" t="str">
        <f>HYPERLINK("https://twitter.com/petrogustavo/status/1470389620865220616","1470389620865220616")</f>
        <v>1470389620865220616</v>
      </c>
      <c r="F17411" s="7" t="s">
        <v>17</v>
      </c>
      <c r="G17411" s="7">
        <v>4424861</v>
      </c>
      <c r="H17411" s="7">
        <v>2578</v>
      </c>
      <c r="I17411" s="7">
        <v>33</v>
      </c>
      <c r="J17411" s="7">
        <v>0</v>
      </c>
      <c r="K17411" s="7" t="s">
        <v>18</v>
      </c>
      <c r="L17411" s="8">
        <v>39987.315405092595</v>
      </c>
      <c r="M17411" s="9" t="s">
        <v>19</v>
      </c>
      <c r="N17411" s="9" t="s">
        <v>20</v>
      </c>
      <c r="O17411" s="6" t="str">
        <f>HYPERLINK("https://pbs.twimg.com/profile_images/962471262747529216/Uo8lOkRJ_normal.jpg","View")</f>
        <v>View</v>
      </c>
      <c r="P17411" s="7"/>
    </row>
    <row r="17412" spans="1:16">
      <c r="A17412" s="3">
        <v>44543.894687499997</v>
      </c>
      <c r="B17412" s="4" t="str">
        <f>HYPERLINK("https://twitter.com/petrogustavo","@petrogustavo")</f>
        <v>@petrogustavo</v>
      </c>
      <c r="C17412" s="5" t="s">
        <v>16</v>
      </c>
      <c r="D17412" s="5" t="s">
        <v>16759</v>
      </c>
      <c r="E17412" s="6" t="str">
        <f>HYPERLINK("https://twitter.com/petrogustavo/status/1470422850502811655","1470422850502811655")</f>
        <v>1470422850502811655</v>
      </c>
      <c r="F17412" s="7" t="s">
        <v>17</v>
      </c>
      <c r="G17412" s="7">
        <v>4424914</v>
      </c>
      <c r="H17412" s="7">
        <v>2578</v>
      </c>
      <c r="I17412" s="7">
        <v>47</v>
      </c>
      <c r="J17412" s="7">
        <v>0</v>
      </c>
      <c r="K17412" s="7" t="s">
        <v>18</v>
      </c>
      <c r="L17412" s="8">
        <v>39987.315405092595</v>
      </c>
      <c r="M17412" s="9" t="s">
        <v>19</v>
      </c>
      <c r="N17412" s="9" t="s">
        <v>20</v>
      </c>
      <c r="O17412" s="6" t="str">
        <f>HYPERLINK("https://pbs.twimg.com/profile_images/962471262747529216/Uo8lOkRJ_normal.jpg","View")</f>
        <v>View</v>
      </c>
      <c r="P17412" s="7"/>
    </row>
    <row r="17413" spans="1:16">
      <c r="A17413" s="3">
        <v>44543.96092592593</v>
      </c>
      <c r="B17413" s="4" t="str">
        <f>HYPERLINK("https://twitter.com/petrogustavo","@petrogustavo")</f>
        <v>@petrogustavo</v>
      </c>
      <c r="C17413" s="5" t="s">
        <v>16</v>
      </c>
      <c r="D17413" s="5" t="s">
        <v>16760</v>
      </c>
      <c r="E17413" s="6" t="str">
        <f>HYPERLINK("https://twitter.com/petrogustavo/status/1470446856492785669","1470446856492785669")</f>
        <v>1470446856492785669</v>
      </c>
      <c r="F17413" s="7" t="s">
        <v>32</v>
      </c>
      <c r="G17413" s="7">
        <v>4424999</v>
      </c>
      <c r="H17413" s="7">
        <v>2578</v>
      </c>
      <c r="I17413" s="7">
        <v>3</v>
      </c>
      <c r="J17413" s="7">
        <v>5</v>
      </c>
      <c r="K17413" s="7" t="s">
        <v>18</v>
      </c>
      <c r="L17413" s="8">
        <v>39987.315405092595</v>
      </c>
      <c r="M17413" s="9" t="s">
        <v>19</v>
      </c>
      <c r="N17413" s="9" t="s">
        <v>20</v>
      </c>
      <c r="O17413" s="6" t="str">
        <f>HYPERLINK("https://pbs.twimg.com/profile_images/962471262747529216/Uo8lOkRJ_normal.jpg","View")</f>
        <v>View</v>
      </c>
      <c r="P17413" s="7"/>
    </row>
    <row r="17414" spans="1:16">
      <c r="A17414" s="3">
        <v>44543.9609375</v>
      </c>
      <c r="B17414" s="4" t="str">
        <f>HYPERLINK("https://twitter.com/petrogustavo","@petrogustavo")</f>
        <v>@petrogustavo</v>
      </c>
      <c r="C17414" s="5" t="s">
        <v>16</v>
      </c>
      <c r="D17414" s="5" t="s">
        <v>16761</v>
      </c>
      <c r="E17414" s="6" t="str">
        <f>HYPERLINK("https://twitter.com/petrogustavo/status/1470446858581549061","1470446858581549061")</f>
        <v>1470446858581549061</v>
      </c>
      <c r="F17414" s="7" t="s">
        <v>32</v>
      </c>
      <c r="G17414" s="7">
        <v>4424999</v>
      </c>
      <c r="H17414" s="7">
        <v>2578</v>
      </c>
      <c r="I17414" s="7">
        <v>0</v>
      </c>
      <c r="J17414" s="7">
        <v>0</v>
      </c>
      <c r="K17414" s="7" t="s">
        <v>18</v>
      </c>
      <c r="L17414" s="8">
        <v>39987.315405092595</v>
      </c>
      <c r="M17414" s="9" t="s">
        <v>19</v>
      </c>
      <c r="N17414" s="9" t="s">
        <v>20</v>
      </c>
      <c r="O17414" s="6" t="str">
        <f>HYPERLINK("https://pbs.twimg.com/profile_images/962471262747529216/Uo8lOkRJ_normal.jpg","View")</f>
        <v>View</v>
      </c>
      <c r="P17414" s="7"/>
    </row>
    <row r="17415" spans="1:16">
      <c r="A17415" s="3">
        <v>44543.9609375</v>
      </c>
      <c r="B17415" s="4" t="str">
        <f>HYPERLINK("https://twitter.com/petrogustavo","@petrogustavo")</f>
        <v>@petrogustavo</v>
      </c>
      <c r="C17415" s="5" t="s">
        <v>16</v>
      </c>
      <c r="D17415" s="5" t="s">
        <v>16762</v>
      </c>
      <c r="E17415" s="6" t="str">
        <f>HYPERLINK("https://twitter.com/petrogustavo/status/1470446860217331715","1470446860217331715")</f>
        <v>1470446860217331715</v>
      </c>
      <c r="F17415" s="7" t="s">
        <v>32</v>
      </c>
      <c r="G17415" s="7">
        <v>4424999</v>
      </c>
      <c r="H17415" s="7">
        <v>2578</v>
      </c>
      <c r="I17415" s="7">
        <v>0</v>
      </c>
      <c r="J17415" s="7">
        <v>0</v>
      </c>
      <c r="K17415" s="7" t="s">
        <v>18</v>
      </c>
      <c r="L17415" s="8">
        <v>39987.315405092595</v>
      </c>
      <c r="M17415" s="9" t="s">
        <v>19</v>
      </c>
      <c r="N17415" s="9" t="s">
        <v>20</v>
      </c>
      <c r="O17415" s="6" t="str">
        <f>HYPERLINK("https://pbs.twimg.com/profile_images/962471262747529216/Uo8lOkRJ_normal.jpg","View")</f>
        <v>View</v>
      </c>
      <c r="P17415" s="7"/>
    </row>
    <row r="17416" spans="1:16">
      <c r="A17416" s="3">
        <v>44543.962407407409</v>
      </c>
      <c r="B17416" s="4" t="str">
        <f>HYPERLINK("https://twitter.com/petrogustavo","@petrogustavo")</f>
        <v>@petrogustavo</v>
      </c>
      <c r="C17416" s="5" t="s">
        <v>16</v>
      </c>
      <c r="D17416" s="5" t="s">
        <v>16763</v>
      </c>
      <c r="E17416" s="6" t="str">
        <f>HYPERLINK("https://twitter.com/petrogustavo/status/1470447391446818819","1470447391446818819")</f>
        <v>1470447391446818819</v>
      </c>
      <c r="F17416" s="7" t="s">
        <v>17</v>
      </c>
      <c r="G17416" s="7">
        <v>4425027</v>
      </c>
      <c r="H17416" s="7">
        <v>2578</v>
      </c>
      <c r="I17416" s="7">
        <v>125</v>
      </c>
      <c r="J17416" s="7">
        <v>364</v>
      </c>
      <c r="K17416" s="7" t="s">
        <v>18</v>
      </c>
      <c r="L17416" s="8">
        <v>39987.315405092595</v>
      </c>
      <c r="M17416" s="9" t="s">
        <v>19</v>
      </c>
      <c r="N17416" s="9" t="s">
        <v>20</v>
      </c>
      <c r="O17416" s="6" t="str">
        <f>HYPERLINK("https://pbs.twimg.com/profile_images/962471262747529216/Uo8lOkRJ_normal.jpg","View")</f>
        <v>View</v>
      </c>
      <c r="P17416" s="7"/>
    </row>
    <row r="17417" spans="1:16">
      <c r="A17417" s="3">
        <v>44543.972662037035</v>
      </c>
      <c r="B17417" s="4" t="str">
        <f>HYPERLINK("https://twitter.com/petrogustavo","@petrogustavo")</f>
        <v>@petrogustavo</v>
      </c>
      <c r="C17417" s="5" t="s">
        <v>16</v>
      </c>
      <c r="D17417" s="5" t="s">
        <v>16764</v>
      </c>
      <c r="E17417" s="6" t="str">
        <f>HYPERLINK("https://twitter.com/petrogustavo/status/1470451106836889601","1470451106836889601")</f>
        <v>1470451106836889601</v>
      </c>
      <c r="F17417" s="7" t="s">
        <v>32</v>
      </c>
      <c r="G17417" s="7">
        <v>4425027</v>
      </c>
      <c r="H17417" s="7">
        <v>2578</v>
      </c>
      <c r="I17417" s="7">
        <v>65</v>
      </c>
      <c r="J17417" s="7">
        <v>197</v>
      </c>
      <c r="K17417" s="7" t="s">
        <v>18</v>
      </c>
      <c r="L17417" s="8">
        <v>39987.315405092595</v>
      </c>
      <c r="M17417" s="9" t="s">
        <v>19</v>
      </c>
      <c r="N17417" s="9" t="s">
        <v>20</v>
      </c>
      <c r="O17417" s="6" t="str">
        <f>HYPERLINK("https://pbs.twimg.com/profile_images/962471262747529216/Uo8lOkRJ_normal.jpg","View")</f>
        <v>View</v>
      </c>
      <c r="P17417" s="7"/>
    </row>
    <row r="17418" spans="1:16">
      <c r="A17418" s="3">
        <v>44543.973043981481</v>
      </c>
      <c r="B17418" s="4" t="str">
        <f>HYPERLINK("https://twitter.com/petrogustavo","@petrogustavo")</f>
        <v>@petrogustavo</v>
      </c>
      <c r="C17418" s="5" t="s">
        <v>16</v>
      </c>
      <c r="D17418" s="5" t="s">
        <v>16765</v>
      </c>
      <c r="E17418" s="6" t="str">
        <f>HYPERLINK("https://twitter.com/petrogustavo/status/1470451247069204483","1470451247069204483")</f>
        <v>1470451247069204483</v>
      </c>
      <c r="F17418" s="7" t="s">
        <v>32</v>
      </c>
      <c r="G17418" s="7">
        <v>4425027</v>
      </c>
      <c r="H17418" s="7">
        <v>2578</v>
      </c>
      <c r="I17418" s="7">
        <v>179</v>
      </c>
      <c r="J17418" s="7">
        <v>0</v>
      </c>
      <c r="K17418" s="7" t="s">
        <v>18</v>
      </c>
      <c r="L17418" s="8">
        <v>39987.315405092595</v>
      </c>
      <c r="M17418" s="9" t="s">
        <v>19</v>
      </c>
      <c r="N17418" s="9" t="s">
        <v>20</v>
      </c>
      <c r="O17418" s="6" t="str">
        <f>HYPERLINK("https://pbs.twimg.com/profile_images/962471262747529216/Uo8lOkRJ_normal.jpg","View")</f>
        <v>View</v>
      </c>
      <c r="P17418" s="7"/>
    </row>
    <row r="17419" spans="1:16">
      <c r="A17419" s="3">
        <v>44544.284004629633</v>
      </c>
      <c r="B17419" s="4" t="str">
        <f>HYPERLINK("https://twitter.com/petrogustavo","@petrogustavo")</f>
        <v>@petrogustavo</v>
      </c>
      <c r="C17419" s="5" t="s">
        <v>16</v>
      </c>
      <c r="D17419" s="5" t="s">
        <v>16766</v>
      </c>
      <c r="E17419" s="6" t="str">
        <f>HYPERLINK("https://twitter.com/petrogustavo/status/1470563933039779841","1470563933039779841")</f>
        <v>1470563933039779841</v>
      </c>
      <c r="F17419" s="7" t="s">
        <v>17</v>
      </c>
      <c r="G17419" s="7">
        <v>4425342</v>
      </c>
      <c r="H17419" s="7">
        <v>2576</v>
      </c>
      <c r="I17419" s="7">
        <v>503</v>
      </c>
      <c r="J17419" s="7">
        <v>0</v>
      </c>
      <c r="K17419" s="7" t="s">
        <v>18</v>
      </c>
      <c r="L17419" s="8">
        <v>39987.315405092595</v>
      </c>
      <c r="M17419" s="9" t="s">
        <v>19</v>
      </c>
      <c r="N17419" s="9" t="s">
        <v>20</v>
      </c>
      <c r="O17419" s="6" t="str">
        <f>HYPERLINK("https://pbs.twimg.com/profile_images/962471262747529216/Uo8lOkRJ_normal.jpg","View")</f>
        <v>View</v>
      </c>
      <c r="P17419" s="7"/>
    </row>
    <row r="17420" spans="1:16">
      <c r="A17420" s="3">
        <v>44544.286365740743</v>
      </c>
      <c r="B17420" s="4" t="str">
        <f>HYPERLINK("https://twitter.com/petrogustavo","@petrogustavo")</f>
        <v>@petrogustavo</v>
      </c>
      <c r="C17420" s="5" t="s">
        <v>16</v>
      </c>
      <c r="D17420" s="5" t="s">
        <v>16767</v>
      </c>
      <c r="E17420" s="6" t="str">
        <f>HYPERLINK("https://twitter.com/petrogustavo/status/1470564791248957445","1470564791248957445")</f>
        <v>1470564791248957445</v>
      </c>
      <c r="F17420" s="7" t="s">
        <v>17</v>
      </c>
      <c r="G17420" s="7">
        <v>4425342</v>
      </c>
      <c r="H17420" s="7">
        <v>2576</v>
      </c>
      <c r="I17420" s="7">
        <v>82</v>
      </c>
      <c r="J17420" s="7">
        <v>0</v>
      </c>
      <c r="K17420" s="7" t="s">
        <v>18</v>
      </c>
      <c r="L17420" s="8">
        <v>39987.315405092595</v>
      </c>
      <c r="M17420" s="9" t="s">
        <v>19</v>
      </c>
      <c r="N17420" s="9" t="s">
        <v>20</v>
      </c>
      <c r="O17420" s="6" t="str">
        <f>HYPERLINK("https://pbs.twimg.com/profile_images/962471262747529216/Uo8lOkRJ_normal.jpg","View")</f>
        <v>View</v>
      </c>
      <c r="P17420" s="7"/>
    </row>
    <row r="17421" spans="1:16">
      <c r="A17421" s="3">
        <v>44544.287766203706</v>
      </c>
      <c r="B17421" s="4" t="str">
        <f>HYPERLINK("https://twitter.com/petrogustavo","@petrogustavo")</f>
        <v>@petrogustavo</v>
      </c>
      <c r="C17421" s="5" t="s">
        <v>16</v>
      </c>
      <c r="D17421" s="5" t="s">
        <v>16768</v>
      </c>
      <c r="E17421" s="6" t="str">
        <f>HYPERLINK("https://twitter.com/petrogustavo/status/1470565296343859201","1470565296343859201")</f>
        <v>1470565296343859201</v>
      </c>
      <c r="F17421" s="7" t="s">
        <v>17</v>
      </c>
      <c r="G17421" s="7">
        <v>4425342</v>
      </c>
      <c r="H17421" s="7">
        <v>2576</v>
      </c>
      <c r="I17421" s="7">
        <v>103</v>
      </c>
      <c r="J17421" s="7">
        <v>247</v>
      </c>
      <c r="K17421" s="7" t="s">
        <v>18</v>
      </c>
      <c r="L17421" s="8">
        <v>39987.315405092595</v>
      </c>
      <c r="M17421" s="9" t="s">
        <v>19</v>
      </c>
      <c r="N17421" s="9" t="s">
        <v>20</v>
      </c>
      <c r="O17421" s="6" t="str">
        <f>HYPERLINK("https://pbs.twimg.com/profile_images/962471262747529216/Uo8lOkRJ_normal.jpg","View")</f>
        <v>View</v>
      </c>
      <c r="P17421" s="7"/>
    </row>
    <row r="17422" spans="1:16">
      <c r="A17422" s="3">
        <v>44544.302314814813</v>
      </c>
      <c r="B17422" s="4" t="str">
        <f>HYPERLINK("https://twitter.com/petrogustavo","@petrogustavo")</f>
        <v>@petrogustavo</v>
      </c>
      <c r="C17422" s="5" t="s">
        <v>16</v>
      </c>
      <c r="D17422" s="5" t="s">
        <v>16769</v>
      </c>
      <c r="E17422" s="6" t="str">
        <f>HYPERLINK("https://twitter.com/petrogustavo/status/1470570572006539264","1470570572006539264")</f>
        <v>1470570572006539264</v>
      </c>
      <c r="F17422" s="7" t="s">
        <v>17</v>
      </c>
      <c r="G17422" s="7">
        <v>4425380</v>
      </c>
      <c r="H17422" s="7">
        <v>2576</v>
      </c>
      <c r="I17422" s="7">
        <v>41</v>
      </c>
      <c r="J17422" s="7">
        <v>0</v>
      </c>
      <c r="K17422" s="7" t="s">
        <v>18</v>
      </c>
      <c r="L17422" s="8">
        <v>39987.315405092595</v>
      </c>
      <c r="M17422" s="9" t="s">
        <v>19</v>
      </c>
      <c r="N17422" s="9" t="s">
        <v>20</v>
      </c>
      <c r="O17422" s="6" t="str">
        <f>HYPERLINK("https://pbs.twimg.com/profile_images/962471262747529216/Uo8lOkRJ_normal.jpg","View")</f>
        <v>View</v>
      </c>
      <c r="P17422" s="7"/>
    </row>
    <row r="17423" spans="1:16">
      <c r="A17423" s="3">
        <v>44544.302384259259</v>
      </c>
      <c r="B17423" s="4" t="str">
        <f>HYPERLINK("https://twitter.com/petrogustavo","@petrogustavo")</f>
        <v>@petrogustavo</v>
      </c>
      <c r="C17423" s="5" t="s">
        <v>16</v>
      </c>
      <c r="D17423" s="5" t="s">
        <v>16770</v>
      </c>
      <c r="E17423" s="6" t="str">
        <f>HYPERLINK("https://twitter.com/petrogustavo/status/1470570593779081221","1470570593779081221")</f>
        <v>1470570593779081221</v>
      </c>
      <c r="F17423" s="7" t="s">
        <v>17</v>
      </c>
      <c r="G17423" s="7">
        <v>4425380</v>
      </c>
      <c r="H17423" s="7">
        <v>2576</v>
      </c>
      <c r="I17423" s="7">
        <v>34</v>
      </c>
      <c r="J17423" s="7">
        <v>0</v>
      </c>
      <c r="K17423" s="7" t="s">
        <v>18</v>
      </c>
      <c r="L17423" s="8">
        <v>39987.315405092595</v>
      </c>
      <c r="M17423" s="9" t="s">
        <v>19</v>
      </c>
      <c r="N17423" s="9" t="s">
        <v>20</v>
      </c>
      <c r="O17423" s="6" t="str">
        <f>HYPERLINK("https://pbs.twimg.com/profile_images/962471262747529216/Uo8lOkRJ_normal.jpg","View")</f>
        <v>View</v>
      </c>
      <c r="P17423" s="7"/>
    </row>
    <row r="17424" spans="1:16">
      <c r="A17424" s="3">
        <v>44544.312002314815</v>
      </c>
      <c r="B17424" s="4" t="str">
        <f>HYPERLINK("https://twitter.com/petrogustavo","@petrogustavo")</f>
        <v>@petrogustavo</v>
      </c>
      <c r="C17424" s="5" t="s">
        <v>16</v>
      </c>
      <c r="D17424" s="5" t="s">
        <v>16771</v>
      </c>
      <c r="E17424" s="6" t="str">
        <f>HYPERLINK("https://twitter.com/petrogustavo/status/1470574079384170497","1470574079384170497")</f>
        <v>1470574079384170497</v>
      </c>
      <c r="F17424" s="7" t="s">
        <v>17</v>
      </c>
      <c r="G17424" s="7">
        <v>4425380</v>
      </c>
      <c r="H17424" s="7">
        <v>2576</v>
      </c>
      <c r="I17424" s="7">
        <v>105</v>
      </c>
      <c r="J17424" s="7">
        <v>0</v>
      </c>
      <c r="K17424" s="7" t="s">
        <v>18</v>
      </c>
      <c r="L17424" s="8">
        <v>39987.315405092595</v>
      </c>
      <c r="M17424" s="9" t="s">
        <v>19</v>
      </c>
      <c r="N17424" s="9" t="s">
        <v>20</v>
      </c>
      <c r="O17424" s="6" t="str">
        <f>HYPERLINK("https://pbs.twimg.com/profile_images/962471262747529216/Uo8lOkRJ_normal.jpg","View")</f>
        <v>View</v>
      </c>
      <c r="P17424" s="7"/>
    </row>
    <row r="17425" spans="1:16">
      <c r="A17425" s="3">
        <v>44544.354224537034</v>
      </c>
      <c r="B17425" s="4" t="str">
        <f>HYPERLINK("https://twitter.com/petrogustavo","@petrogustavo")</f>
        <v>@petrogustavo</v>
      </c>
      <c r="C17425" s="5" t="s">
        <v>16</v>
      </c>
      <c r="D17425" s="5" t="s">
        <v>16772</v>
      </c>
      <c r="E17425" s="6" t="str">
        <f>HYPERLINK("https://twitter.com/petrogustavo/status/1470589380184223744","1470589380184223744")</f>
        <v>1470589380184223744</v>
      </c>
      <c r="F17425" s="7" t="s">
        <v>17</v>
      </c>
      <c r="G17425" s="7">
        <v>4425468</v>
      </c>
      <c r="H17425" s="7">
        <v>2576</v>
      </c>
      <c r="I17425" s="7">
        <v>9</v>
      </c>
      <c r="J17425" s="7">
        <v>54</v>
      </c>
      <c r="K17425" s="7" t="s">
        <v>18</v>
      </c>
      <c r="L17425" s="8">
        <v>39987.315405092595</v>
      </c>
      <c r="M17425" s="9" t="s">
        <v>19</v>
      </c>
      <c r="N17425" s="9" t="s">
        <v>20</v>
      </c>
      <c r="O17425" s="6" t="str">
        <f>HYPERLINK("https://pbs.twimg.com/profile_images/962471262747529216/Uo8lOkRJ_normal.jpg","View")</f>
        <v>View</v>
      </c>
      <c r="P17425" s="7"/>
    </row>
    <row r="17426" spans="1:16">
      <c r="A17426" s="3">
        <v>44544.371122685188</v>
      </c>
      <c r="B17426" s="4" t="str">
        <f>HYPERLINK("https://twitter.com/petrogustavo","@petrogustavo")</f>
        <v>@petrogustavo</v>
      </c>
      <c r="C17426" s="5" t="s">
        <v>16</v>
      </c>
      <c r="D17426" s="5" t="s">
        <v>16773</v>
      </c>
      <c r="E17426" s="6" t="str">
        <f>HYPERLINK("https://twitter.com/petrogustavo/status/1470595504304267269","1470595504304267269")</f>
        <v>1470595504304267269</v>
      </c>
      <c r="F17426" s="7" t="s">
        <v>17</v>
      </c>
      <c r="G17426" s="7">
        <v>4425498</v>
      </c>
      <c r="H17426" s="7">
        <v>2576</v>
      </c>
      <c r="I17426" s="7">
        <v>130</v>
      </c>
      <c r="J17426" s="7">
        <v>0</v>
      </c>
      <c r="K17426" s="7" t="s">
        <v>18</v>
      </c>
      <c r="L17426" s="8">
        <v>39987.315405092595</v>
      </c>
      <c r="M17426" s="9" t="s">
        <v>19</v>
      </c>
      <c r="N17426" s="9" t="s">
        <v>20</v>
      </c>
      <c r="O17426" s="6" t="str">
        <f>HYPERLINK("https://pbs.twimg.com/profile_images/962471262747529216/Uo8lOkRJ_normal.jpg","View")</f>
        <v>View</v>
      </c>
      <c r="P17426" s="7"/>
    </row>
    <row r="17427" spans="1:16">
      <c r="A17427" s="3">
        <v>44544.371331018519</v>
      </c>
      <c r="B17427" s="4" t="str">
        <f>HYPERLINK("https://twitter.com/petrogustavo","@petrogustavo")</f>
        <v>@petrogustavo</v>
      </c>
      <c r="C17427" s="5" t="s">
        <v>16</v>
      </c>
      <c r="D17427" s="5" t="s">
        <v>16774</v>
      </c>
      <c r="E17427" s="6" t="str">
        <f>HYPERLINK("https://twitter.com/petrogustavo/status/1470595581118758914","1470595581118758914")</f>
        <v>1470595581118758914</v>
      </c>
      <c r="F17427" s="7" t="s">
        <v>17</v>
      </c>
      <c r="G17427" s="7">
        <v>4425498</v>
      </c>
      <c r="H17427" s="7">
        <v>2576</v>
      </c>
      <c r="I17427" s="7">
        <v>715</v>
      </c>
      <c r="J17427" s="7">
        <v>0</v>
      </c>
      <c r="K17427" s="7" t="s">
        <v>18</v>
      </c>
      <c r="L17427" s="8">
        <v>39987.315405092595</v>
      </c>
      <c r="M17427" s="9" t="s">
        <v>19</v>
      </c>
      <c r="N17427" s="9" t="s">
        <v>20</v>
      </c>
      <c r="O17427" s="6" t="str">
        <f>HYPERLINK("https://pbs.twimg.com/profile_images/962471262747529216/Uo8lOkRJ_normal.jpg","View")</f>
        <v>View</v>
      </c>
      <c r="P17427" s="7"/>
    </row>
    <row r="17428" spans="1:16">
      <c r="A17428" s="3">
        <v>44544.699791666666</v>
      </c>
      <c r="B17428" s="4" t="str">
        <f>HYPERLINK("https://twitter.com/petrogustavo","@petrogustavo")</f>
        <v>@petrogustavo</v>
      </c>
      <c r="C17428" s="5" t="s">
        <v>16</v>
      </c>
      <c r="D17428" s="5" t="s">
        <v>16775</v>
      </c>
      <c r="E17428" s="6" t="str">
        <f>HYPERLINK("https://twitter.com/petrogustavo/status/1470714609111900165","1470714609111900165")</f>
        <v>1470714609111900165</v>
      </c>
      <c r="F17428" s="7" t="s">
        <v>17</v>
      </c>
      <c r="G17428" s="7">
        <v>4425681</v>
      </c>
      <c r="H17428" s="7">
        <v>2576</v>
      </c>
      <c r="I17428" s="7">
        <v>53</v>
      </c>
      <c r="J17428" s="7">
        <v>93</v>
      </c>
      <c r="K17428" s="7" t="s">
        <v>18</v>
      </c>
      <c r="L17428" s="8">
        <v>39987.315405092595</v>
      </c>
      <c r="M17428" s="9" t="s">
        <v>19</v>
      </c>
      <c r="N17428" s="9" t="s">
        <v>20</v>
      </c>
      <c r="O17428" s="6" t="str">
        <f>HYPERLINK("https://pbs.twimg.com/profile_images/962471262747529216/Uo8lOkRJ_normal.jpg","View")</f>
        <v>View</v>
      </c>
      <c r="P17428" s="7"/>
    </row>
    <row r="17429" spans="1:16">
      <c r="A17429" s="3">
        <v>44544.703159722223</v>
      </c>
      <c r="B17429" s="4" t="str">
        <f>HYPERLINK("https://twitter.com/petrogustavo","@petrogustavo")</f>
        <v>@petrogustavo</v>
      </c>
      <c r="C17429" s="5" t="s">
        <v>16</v>
      </c>
      <c r="D17429" s="5" t="s">
        <v>16776</v>
      </c>
      <c r="E17429" s="6" t="str">
        <f>HYPERLINK("https://twitter.com/petrogustavo/status/1470715833357942786","1470715833357942786")</f>
        <v>1470715833357942786</v>
      </c>
      <c r="F17429" s="7" t="s">
        <v>17</v>
      </c>
      <c r="G17429" s="7">
        <v>4425681</v>
      </c>
      <c r="H17429" s="7">
        <v>2576</v>
      </c>
      <c r="I17429" s="7">
        <v>91</v>
      </c>
      <c r="J17429" s="7">
        <v>144</v>
      </c>
      <c r="K17429" s="7" t="s">
        <v>18</v>
      </c>
      <c r="L17429" s="8">
        <v>39987.315405092595</v>
      </c>
      <c r="M17429" s="9" t="s">
        <v>19</v>
      </c>
      <c r="N17429" s="9" t="s">
        <v>20</v>
      </c>
      <c r="O17429" s="6" t="str">
        <f>HYPERLINK("https://pbs.twimg.com/profile_images/962471262747529216/Uo8lOkRJ_normal.jpg","View")</f>
        <v>View</v>
      </c>
      <c r="P17429" s="7"/>
    </row>
    <row r="17430" spans="1:16">
      <c r="A17430" s="3">
        <v>44544.711643518516</v>
      </c>
      <c r="B17430" s="4" t="str">
        <f>HYPERLINK("https://twitter.com/petrogustavo","@petrogustavo")</f>
        <v>@petrogustavo</v>
      </c>
      <c r="C17430" s="5" t="s">
        <v>16</v>
      </c>
      <c r="D17430" s="5" t="s">
        <v>16777</v>
      </c>
      <c r="E17430" s="6" t="str">
        <f>HYPERLINK("https://twitter.com/petrogustavo/status/1470718905014497289","1470718905014497289")</f>
        <v>1470718905014497289</v>
      </c>
      <c r="F17430" s="7" t="s">
        <v>17</v>
      </c>
      <c r="G17430" s="7">
        <v>4425698</v>
      </c>
      <c r="H17430" s="7">
        <v>2576</v>
      </c>
      <c r="I17430" s="7">
        <v>203</v>
      </c>
      <c r="J17430" s="7">
        <v>0</v>
      </c>
      <c r="K17430" s="7" t="s">
        <v>18</v>
      </c>
      <c r="L17430" s="8">
        <v>39987.315405092595</v>
      </c>
      <c r="M17430" s="9" t="s">
        <v>19</v>
      </c>
      <c r="N17430" s="9" t="s">
        <v>20</v>
      </c>
      <c r="O17430" s="6" t="str">
        <f>HYPERLINK("https://pbs.twimg.com/profile_images/962471262747529216/Uo8lOkRJ_normal.jpg","View")</f>
        <v>View</v>
      </c>
      <c r="P17430" s="7"/>
    </row>
    <row r="17431" spans="1:16">
      <c r="A17431" s="3">
        <v>44544.7190625</v>
      </c>
      <c r="B17431" s="4" t="str">
        <f>HYPERLINK("https://twitter.com/petrogustavo","@petrogustavo")</f>
        <v>@petrogustavo</v>
      </c>
      <c r="C17431" s="5" t="s">
        <v>16</v>
      </c>
      <c r="D17431" s="5" t="s">
        <v>16778</v>
      </c>
      <c r="E17431" s="6" t="str">
        <f>HYPERLINK("https://twitter.com/petrogustavo/status/1470721594687467522","1470721594687467522")</f>
        <v>1470721594687467522</v>
      </c>
      <c r="F17431" s="7" t="s">
        <v>17</v>
      </c>
      <c r="G17431" s="7">
        <v>4425698</v>
      </c>
      <c r="H17431" s="7">
        <v>2576</v>
      </c>
      <c r="I17431" s="7">
        <v>353</v>
      </c>
      <c r="J17431" s="7">
        <v>0</v>
      </c>
      <c r="K17431" s="7" t="s">
        <v>18</v>
      </c>
      <c r="L17431" s="8">
        <v>39987.315405092595</v>
      </c>
      <c r="M17431" s="9" t="s">
        <v>19</v>
      </c>
      <c r="N17431" s="9" t="s">
        <v>20</v>
      </c>
      <c r="O17431" s="6" t="str">
        <f>HYPERLINK("https://pbs.twimg.com/profile_images/962471262747529216/Uo8lOkRJ_normal.jpg","View")</f>
        <v>View</v>
      </c>
      <c r="P17431" s="7"/>
    </row>
    <row r="17432" spans="1:16">
      <c r="A17432" s="3">
        <v>44544.719444444447</v>
      </c>
      <c r="B17432" s="4" t="str">
        <f>HYPERLINK("https://twitter.com/petrogustavo","@petrogustavo")</f>
        <v>@petrogustavo</v>
      </c>
      <c r="C17432" s="5" t="s">
        <v>16</v>
      </c>
      <c r="D17432" s="5" t="s">
        <v>16771</v>
      </c>
      <c r="E17432" s="6" t="str">
        <f>HYPERLINK("https://twitter.com/petrogustavo/status/1470721731648184320","1470721731648184320")</f>
        <v>1470721731648184320</v>
      </c>
      <c r="F17432" s="7" t="s">
        <v>17</v>
      </c>
      <c r="G17432" s="7">
        <v>4425698</v>
      </c>
      <c r="H17432" s="7">
        <v>2576</v>
      </c>
      <c r="I17432" s="7">
        <v>453</v>
      </c>
      <c r="J17432" s="7">
        <v>0</v>
      </c>
      <c r="K17432" s="7" t="s">
        <v>18</v>
      </c>
      <c r="L17432" s="8">
        <v>39987.315405092595</v>
      </c>
      <c r="M17432" s="9" t="s">
        <v>19</v>
      </c>
      <c r="N17432" s="9" t="s">
        <v>20</v>
      </c>
      <c r="O17432" s="6" t="str">
        <f>HYPERLINK("https://pbs.twimg.com/profile_images/962471262747529216/Uo8lOkRJ_normal.jpg","View")</f>
        <v>View</v>
      </c>
      <c r="P17432" s="7"/>
    </row>
    <row r="17433" spans="1:16">
      <c r="A17433" s="3">
        <v>44544.733796296292</v>
      </c>
      <c r="B17433" s="4" t="str">
        <f>HYPERLINK("https://twitter.com/petrogustavo","@petrogustavo")</f>
        <v>@petrogustavo</v>
      </c>
      <c r="C17433" s="5" t="s">
        <v>16</v>
      </c>
      <c r="D17433" s="5" t="s">
        <v>16779</v>
      </c>
      <c r="E17433" s="6" t="str">
        <f>HYPERLINK("https://twitter.com/petrogustavo/status/1470726935672147970","1470726935672147970")</f>
        <v>1470726935672147970</v>
      </c>
      <c r="F17433" s="7" t="s">
        <v>17</v>
      </c>
      <c r="G17433" s="7">
        <v>4425719</v>
      </c>
      <c r="H17433" s="7">
        <v>2575</v>
      </c>
      <c r="I17433" s="7">
        <v>71</v>
      </c>
      <c r="J17433" s="7">
        <v>275</v>
      </c>
      <c r="K17433" s="7" t="s">
        <v>18</v>
      </c>
      <c r="L17433" s="8">
        <v>39987.315405092595</v>
      </c>
      <c r="M17433" s="9" t="s">
        <v>19</v>
      </c>
      <c r="N17433" s="9" t="s">
        <v>20</v>
      </c>
      <c r="O17433" s="6" t="str">
        <f>HYPERLINK("https://pbs.twimg.com/profile_images/962471262747529216/Uo8lOkRJ_normal.jpg","View")</f>
        <v>View</v>
      </c>
      <c r="P17433" s="7"/>
    </row>
    <row r="17434" spans="1:16">
      <c r="A17434" s="3">
        <v>44544.739780092597</v>
      </c>
      <c r="B17434" s="4" t="str">
        <f>HYPERLINK("https://twitter.com/petrogustavo","@petrogustavo")</f>
        <v>@petrogustavo</v>
      </c>
      <c r="C17434" s="5" t="s">
        <v>16</v>
      </c>
      <c r="D17434" s="5" t="s">
        <v>16780</v>
      </c>
      <c r="E17434" s="6" t="str">
        <f>HYPERLINK("https://twitter.com/petrogustavo/status/1470729103812747268","1470729103812747268")</f>
        <v>1470729103812747268</v>
      </c>
      <c r="F17434" s="7" t="s">
        <v>17</v>
      </c>
      <c r="G17434" s="7">
        <v>4425719</v>
      </c>
      <c r="H17434" s="7">
        <v>2575</v>
      </c>
      <c r="I17434" s="7">
        <v>42</v>
      </c>
      <c r="J17434" s="7">
        <v>86</v>
      </c>
      <c r="K17434" s="7" t="s">
        <v>18</v>
      </c>
      <c r="L17434" s="8">
        <v>39987.315405092595</v>
      </c>
      <c r="M17434" s="9" t="s">
        <v>19</v>
      </c>
      <c r="N17434" s="9" t="s">
        <v>20</v>
      </c>
      <c r="O17434" s="6" t="str">
        <f>HYPERLINK("https://pbs.twimg.com/profile_images/962471262747529216/Uo8lOkRJ_normal.jpg","View")</f>
        <v>View</v>
      </c>
      <c r="P17434" s="7"/>
    </row>
    <row r="17435" spans="1:16">
      <c r="A17435" s="3">
        <v>44544.755185185189</v>
      </c>
      <c r="B17435" s="4" t="str">
        <f>HYPERLINK("https://twitter.com/petrogustavo","@petrogustavo")</f>
        <v>@petrogustavo</v>
      </c>
      <c r="C17435" s="5" t="s">
        <v>16</v>
      </c>
      <c r="D17435" s="5" t="s">
        <v>16781</v>
      </c>
      <c r="E17435" s="6" t="str">
        <f>HYPERLINK("https://twitter.com/petrogustavo/status/1470734685651312643","1470734685651312643")</f>
        <v>1470734685651312643</v>
      </c>
      <c r="F17435" s="7" t="s">
        <v>17</v>
      </c>
      <c r="G17435" s="7">
        <v>4425738</v>
      </c>
      <c r="H17435" s="7">
        <v>2575</v>
      </c>
      <c r="I17435" s="7">
        <v>371</v>
      </c>
      <c r="J17435" s="7">
        <v>1109</v>
      </c>
      <c r="K17435" s="7" t="s">
        <v>18</v>
      </c>
      <c r="L17435" s="8">
        <v>39987.315405092595</v>
      </c>
      <c r="M17435" s="9" t="s">
        <v>19</v>
      </c>
      <c r="N17435" s="9" t="s">
        <v>20</v>
      </c>
      <c r="O17435" s="6" t="str">
        <f>HYPERLINK("https://pbs.twimg.com/profile_images/962471262747529216/Uo8lOkRJ_normal.jpg","View")</f>
        <v>View</v>
      </c>
      <c r="P17435" s="7"/>
    </row>
    <row r="17436" spans="1:16">
      <c r="A17436" s="3">
        <v>44544.836469907408</v>
      </c>
      <c r="B17436" s="4" t="str">
        <f>HYPERLINK("https://twitter.com/petrogustavo","@petrogustavo")</f>
        <v>@petrogustavo</v>
      </c>
      <c r="C17436" s="5" t="s">
        <v>16</v>
      </c>
      <c r="D17436" s="5" t="s">
        <v>16782</v>
      </c>
      <c r="E17436" s="6" t="str">
        <f>HYPERLINK("https://twitter.com/petrogustavo/status/1470764140537028616","1470764140537028616")</f>
        <v>1470764140537028616</v>
      </c>
      <c r="F17436" s="7" t="s">
        <v>32</v>
      </c>
      <c r="G17436" s="7">
        <v>4425826</v>
      </c>
      <c r="H17436" s="7">
        <v>2575</v>
      </c>
      <c r="I17436" s="7">
        <v>77</v>
      </c>
      <c r="J17436" s="7">
        <v>451</v>
      </c>
      <c r="K17436" s="7" t="s">
        <v>18</v>
      </c>
      <c r="L17436" s="8">
        <v>39987.315405092595</v>
      </c>
      <c r="M17436" s="9" t="s">
        <v>19</v>
      </c>
      <c r="N17436" s="9" t="s">
        <v>20</v>
      </c>
      <c r="O17436" s="6" t="str">
        <f>HYPERLINK("https://pbs.twimg.com/profile_images/962471262747529216/Uo8lOkRJ_normal.jpg","View")</f>
        <v>View</v>
      </c>
      <c r="P17436" s="7"/>
    </row>
    <row r="17437" spans="1:16">
      <c r="A17437" s="3">
        <v>44544.852523148147</v>
      </c>
      <c r="B17437" s="4" t="str">
        <f>HYPERLINK("https://twitter.com/petrogustavo","@petrogustavo")</f>
        <v>@petrogustavo</v>
      </c>
      <c r="C17437" s="5" t="s">
        <v>16</v>
      </c>
      <c r="D17437" s="5" t="s">
        <v>16783</v>
      </c>
      <c r="E17437" s="6" t="str">
        <f>HYPERLINK("https://twitter.com/petrogustavo/status/1470769960758784005","1470769960758784005")</f>
        <v>1470769960758784005</v>
      </c>
      <c r="F17437" s="7" t="s">
        <v>17</v>
      </c>
      <c r="G17437" s="7">
        <v>4425846</v>
      </c>
      <c r="H17437" s="7">
        <v>2575</v>
      </c>
      <c r="I17437" s="7">
        <v>59</v>
      </c>
      <c r="J17437" s="7">
        <v>158</v>
      </c>
      <c r="K17437" s="7" t="s">
        <v>18</v>
      </c>
      <c r="L17437" s="8">
        <v>39987.315405092595</v>
      </c>
      <c r="M17437" s="9" t="s">
        <v>19</v>
      </c>
      <c r="N17437" s="9" t="s">
        <v>20</v>
      </c>
      <c r="O17437" s="6" t="str">
        <f>HYPERLINK("https://pbs.twimg.com/profile_images/962471262747529216/Uo8lOkRJ_normal.jpg","View")</f>
        <v>View</v>
      </c>
      <c r="P17437" s="7"/>
    </row>
    <row r="17438" spans="1:16">
      <c r="A17438" s="3">
        <v>44544.874155092592</v>
      </c>
      <c r="B17438" s="4" t="str">
        <f>HYPERLINK("https://twitter.com/petrogustavo","@petrogustavo")</f>
        <v>@petrogustavo</v>
      </c>
      <c r="C17438" s="5" t="s">
        <v>16</v>
      </c>
      <c r="D17438" s="5" t="s">
        <v>16774</v>
      </c>
      <c r="E17438" s="6" t="str">
        <f>HYPERLINK("https://twitter.com/petrogustavo/status/1470777797719347205","1470777797719347205")</f>
        <v>1470777797719347205</v>
      </c>
      <c r="F17438" s="7" t="s">
        <v>32</v>
      </c>
      <c r="G17438" s="7">
        <v>4425864</v>
      </c>
      <c r="H17438" s="7">
        <v>2575</v>
      </c>
      <c r="I17438" s="7">
        <v>1453</v>
      </c>
      <c r="J17438" s="7">
        <v>0</v>
      </c>
      <c r="K17438" s="7" t="s">
        <v>18</v>
      </c>
      <c r="L17438" s="8">
        <v>39987.315405092595</v>
      </c>
      <c r="M17438" s="9" t="s">
        <v>19</v>
      </c>
      <c r="N17438" s="9" t="s">
        <v>20</v>
      </c>
      <c r="O17438" s="6" t="str">
        <f>HYPERLINK("https://pbs.twimg.com/profile_images/962471262747529216/Uo8lOkRJ_normal.jpg","View")</f>
        <v>View</v>
      </c>
      <c r="P17438" s="7"/>
    </row>
    <row r="17439" spans="1:16">
      <c r="A17439" s="3">
        <v>44544.978773148148</v>
      </c>
      <c r="B17439" s="4" t="str">
        <f>HYPERLINK("https://twitter.com/petrogustavo","@petrogustavo")</f>
        <v>@petrogustavo</v>
      </c>
      <c r="C17439" s="5" t="s">
        <v>16</v>
      </c>
      <c r="D17439" s="5" t="s">
        <v>16784</v>
      </c>
      <c r="E17439" s="6" t="str">
        <f>HYPERLINK("https://twitter.com/petrogustavo/status/1470815709294993408","1470815709294993408")</f>
        <v>1470815709294993408</v>
      </c>
      <c r="F17439" s="7" t="s">
        <v>17</v>
      </c>
      <c r="G17439" s="7">
        <v>4426022</v>
      </c>
      <c r="H17439" s="7">
        <v>2576</v>
      </c>
      <c r="I17439" s="7">
        <v>165</v>
      </c>
      <c r="J17439" s="7">
        <v>0</v>
      </c>
      <c r="K17439" s="7" t="s">
        <v>18</v>
      </c>
      <c r="L17439" s="8">
        <v>39987.315405092595</v>
      </c>
      <c r="M17439" s="9" t="s">
        <v>19</v>
      </c>
      <c r="N17439" s="9" t="s">
        <v>20</v>
      </c>
      <c r="O17439" s="6" t="str">
        <f>HYPERLINK("https://pbs.twimg.com/profile_images/962471262747529216/Uo8lOkRJ_normal.jpg","View")</f>
        <v>View</v>
      </c>
      <c r="P17439" s="7"/>
    </row>
    <row r="17440" spans="1:16">
      <c r="A17440" s="3">
        <v>44545.014652777776</v>
      </c>
      <c r="B17440" s="4" t="str">
        <f>HYPERLINK("https://twitter.com/petrogustavo","@petrogustavo")</f>
        <v>@petrogustavo</v>
      </c>
      <c r="C17440" s="5" t="s">
        <v>16</v>
      </c>
      <c r="D17440" s="5" t="s">
        <v>16785</v>
      </c>
      <c r="E17440" s="6" t="str">
        <f>HYPERLINK("https://twitter.com/petrogustavo/status/1470828712006406144","1470828712006406144")</f>
        <v>1470828712006406144</v>
      </c>
      <c r="F17440" s="7" t="s">
        <v>17</v>
      </c>
      <c r="G17440" s="7">
        <v>4426072</v>
      </c>
      <c r="H17440" s="7">
        <v>2576</v>
      </c>
      <c r="I17440" s="7">
        <v>205</v>
      </c>
      <c r="J17440" s="7">
        <v>505</v>
      </c>
      <c r="K17440" s="7" t="s">
        <v>18</v>
      </c>
      <c r="L17440" s="8">
        <v>39987.315405092595</v>
      </c>
      <c r="M17440" s="9" t="s">
        <v>19</v>
      </c>
      <c r="N17440" s="9" t="s">
        <v>20</v>
      </c>
      <c r="O17440" s="6" t="str">
        <f>HYPERLINK("https://pbs.twimg.com/profile_images/962471262747529216/Uo8lOkRJ_normal.jpg","View")</f>
        <v>View</v>
      </c>
      <c r="P17440" s="7"/>
    </row>
    <row r="17441" spans="1:16">
      <c r="A17441" s="3">
        <v>44545.024548611109</v>
      </c>
      <c r="B17441" s="4" t="str">
        <f>HYPERLINK("https://twitter.com/petrogustavo","@petrogustavo")</f>
        <v>@petrogustavo</v>
      </c>
      <c r="C17441" s="5" t="s">
        <v>16</v>
      </c>
      <c r="D17441" s="5" t="s">
        <v>16786</v>
      </c>
      <c r="E17441" s="6" t="str">
        <f>HYPERLINK("https://twitter.com/petrogustavo/status/1470832300812296195","1470832300812296195")</f>
        <v>1470832300812296195</v>
      </c>
      <c r="F17441" s="7" t="s">
        <v>17</v>
      </c>
      <c r="G17441" s="7">
        <v>4426072</v>
      </c>
      <c r="H17441" s="7">
        <v>2576</v>
      </c>
      <c r="I17441" s="7">
        <v>10</v>
      </c>
      <c r="J17441" s="7">
        <v>0</v>
      </c>
      <c r="K17441" s="7" t="s">
        <v>18</v>
      </c>
      <c r="L17441" s="8">
        <v>39987.315405092595</v>
      </c>
      <c r="M17441" s="9" t="s">
        <v>19</v>
      </c>
      <c r="N17441" s="9" t="s">
        <v>20</v>
      </c>
      <c r="O17441" s="6" t="str">
        <f>HYPERLINK("https://pbs.twimg.com/profile_images/962471262747529216/Uo8lOkRJ_normal.jpg","View")</f>
        <v>View</v>
      </c>
      <c r="P17441" s="7"/>
    </row>
    <row r="17442" spans="1:16">
      <c r="A17442" s="3">
        <v>44545.024699074071</v>
      </c>
      <c r="B17442" s="4" t="str">
        <f>HYPERLINK("https://twitter.com/petrogustavo","@petrogustavo")</f>
        <v>@petrogustavo</v>
      </c>
      <c r="C17442" s="5" t="s">
        <v>16</v>
      </c>
      <c r="D17442" s="5" t="s">
        <v>16787</v>
      </c>
      <c r="E17442" s="6" t="str">
        <f>HYPERLINK("https://twitter.com/petrogustavo/status/1470832354268753928","1470832354268753928")</f>
        <v>1470832354268753928</v>
      </c>
      <c r="F17442" s="7" t="s">
        <v>17</v>
      </c>
      <c r="G17442" s="7">
        <v>4426072</v>
      </c>
      <c r="H17442" s="7">
        <v>2576</v>
      </c>
      <c r="I17442" s="7">
        <v>14</v>
      </c>
      <c r="J17442" s="7">
        <v>0</v>
      </c>
      <c r="K17442" s="7" t="s">
        <v>18</v>
      </c>
      <c r="L17442" s="8">
        <v>39987.315405092595</v>
      </c>
      <c r="M17442" s="9" t="s">
        <v>19</v>
      </c>
      <c r="N17442" s="9" t="s">
        <v>20</v>
      </c>
      <c r="O17442" s="6" t="str">
        <f>HYPERLINK("https://pbs.twimg.com/profile_images/962471262747529216/Uo8lOkRJ_normal.jpg","View")</f>
        <v>View</v>
      </c>
      <c r="P17442" s="7"/>
    </row>
    <row r="17443" spans="1:16">
      <c r="A17443" s="3">
        <v>44545.251111111109</v>
      </c>
      <c r="B17443" s="4" t="str">
        <f>HYPERLINK("https://twitter.com/petrogustavo","@petrogustavo")</f>
        <v>@petrogustavo</v>
      </c>
      <c r="C17443" s="5" t="s">
        <v>16</v>
      </c>
      <c r="D17443" s="5" t="s">
        <v>16788</v>
      </c>
      <c r="E17443" s="6" t="str">
        <f>HYPERLINK("https://twitter.com/petrogustavo/status/1470914400768962570","1470914400768962570")</f>
        <v>1470914400768962570</v>
      </c>
      <c r="F17443" s="7" t="s">
        <v>17</v>
      </c>
      <c r="G17443" s="7">
        <v>4426244</v>
      </c>
      <c r="H17443" s="7">
        <v>2575</v>
      </c>
      <c r="I17443" s="7">
        <v>45</v>
      </c>
      <c r="J17443" s="7">
        <v>0</v>
      </c>
      <c r="K17443" s="7" t="s">
        <v>18</v>
      </c>
      <c r="L17443" s="8">
        <v>39987.315405092595</v>
      </c>
      <c r="M17443" s="9" t="s">
        <v>19</v>
      </c>
      <c r="N17443" s="9" t="s">
        <v>20</v>
      </c>
      <c r="O17443" s="6" t="str">
        <f>HYPERLINK("https://pbs.twimg.com/profile_images/962471262747529216/Uo8lOkRJ_normal.jpg","View")</f>
        <v>View</v>
      </c>
      <c r="P17443" s="7"/>
    </row>
    <row r="17444" spans="1:16">
      <c r="A17444" s="3">
        <v>44545.274872685186</v>
      </c>
      <c r="B17444" s="4" t="str">
        <f>HYPERLINK("https://twitter.com/petrogustavo","@petrogustavo")</f>
        <v>@petrogustavo</v>
      </c>
      <c r="C17444" s="5" t="s">
        <v>16</v>
      </c>
      <c r="D17444" s="5" t="s">
        <v>16789</v>
      </c>
      <c r="E17444" s="6" t="str">
        <f>HYPERLINK("https://twitter.com/petrogustavo/status/1470923014124589062","1470923014124589062")</f>
        <v>1470923014124589062</v>
      </c>
      <c r="F17444" s="7" t="s">
        <v>17</v>
      </c>
      <c r="G17444" s="7">
        <v>4426293</v>
      </c>
      <c r="H17444" s="7">
        <v>2575</v>
      </c>
      <c r="I17444" s="7">
        <v>97</v>
      </c>
      <c r="J17444" s="7">
        <v>249</v>
      </c>
      <c r="K17444" s="7" t="s">
        <v>18</v>
      </c>
      <c r="L17444" s="8">
        <v>39987.315405092595</v>
      </c>
      <c r="M17444" s="9" t="s">
        <v>19</v>
      </c>
      <c r="N17444" s="9" t="s">
        <v>20</v>
      </c>
      <c r="O17444" s="6" t="str">
        <f>HYPERLINK("https://pbs.twimg.com/profile_images/962471262747529216/Uo8lOkRJ_normal.jpg","View")</f>
        <v>View</v>
      </c>
      <c r="P17444" s="7"/>
    </row>
    <row r="17445" spans="1:16">
      <c r="A17445" s="3">
        <v>44545.316157407404</v>
      </c>
      <c r="B17445" s="4" t="str">
        <f>HYPERLINK("https://twitter.com/petrogustavo","@petrogustavo")</f>
        <v>@petrogustavo</v>
      </c>
      <c r="C17445" s="5" t="s">
        <v>16</v>
      </c>
      <c r="D17445" s="5" t="s">
        <v>16790</v>
      </c>
      <c r="E17445" s="6" t="str">
        <f>HYPERLINK("https://twitter.com/petrogustavo/status/1470937975102099460","1470937975102099460")</f>
        <v>1470937975102099460</v>
      </c>
      <c r="F17445" s="7" t="s">
        <v>17</v>
      </c>
      <c r="G17445" s="7">
        <v>4426355</v>
      </c>
      <c r="H17445" s="7">
        <v>2575</v>
      </c>
      <c r="I17445" s="7">
        <v>163</v>
      </c>
      <c r="J17445" s="7">
        <v>440</v>
      </c>
      <c r="K17445" s="7" t="s">
        <v>18</v>
      </c>
      <c r="L17445" s="8">
        <v>39987.315405092595</v>
      </c>
      <c r="M17445" s="9" t="s">
        <v>19</v>
      </c>
      <c r="N17445" s="9" t="s">
        <v>20</v>
      </c>
      <c r="O17445" s="6" t="str">
        <f>HYPERLINK("https://pbs.twimg.com/profile_images/962471262747529216/Uo8lOkRJ_normal.jpg","View")</f>
        <v>View</v>
      </c>
      <c r="P17445" s="7"/>
    </row>
    <row r="17446" spans="1:16">
      <c r="A17446" s="3">
        <v>44545.324178240742</v>
      </c>
      <c r="B17446" s="4" t="str">
        <f>HYPERLINK("https://twitter.com/petrogustavo","@petrogustavo")</f>
        <v>@petrogustavo</v>
      </c>
      <c r="C17446" s="5" t="s">
        <v>16</v>
      </c>
      <c r="D17446" s="5" t="s">
        <v>16791</v>
      </c>
      <c r="E17446" s="6" t="str">
        <f>HYPERLINK("https://twitter.com/petrogustavo/status/1470940882971074566","1470940882971074566")</f>
        <v>1470940882971074566</v>
      </c>
      <c r="F17446" s="7" t="s">
        <v>17</v>
      </c>
      <c r="G17446" s="7">
        <v>4426355</v>
      </c>
      <c r="H17446" s="7">
        <v>2575</v>
      </c>
      <c r="I17446" s="7">
        <v>142</v>
      </c>
      <c r="J17446" s="7">
        <v>0</v>
      </c>
      <c r="K17446" s="7" t="s">
        <v>18</v>
      </c>
      <c r="L17446" s="8">
        <v>39987.315405092595</v>
      </c>
      <c r="M17446" s="9" t="s">
        <v>19</v>
      </c>
      <c r="N17446" s="9" t="s">
        <v>20</v>
      </c>
      <c r="O17446" s="6" t="str">
        <f>HYPERLINK("https://pbs.twimg.com/profile_images/962471262747529216/Uo8lOkRJ_normal.jpg","View")</f>
        <v>View</v>
      </c>
      <c r="P17446" s="7"/>
    </row>
    <row r="17447" spans="1:16">
      <c r="A17447" s="3">
        <v>44545.324513888889</v>
      </c>
      <c r="B17447" s="4" t="str">
        <f>HYPERLINK("https://twitter.com/petrogustavo","@petrogustavo")</f>
        <v>@petrogustavo</v>
      </c>
      <c r="C17447" s="5" t="s">
        <v>16</v>
      </c>
      <c r="D17447" s="5" t="s">
        <v>16792</v>
      </c>
      <c r="E17447" s="6" t="str">
        <f>HYPERLINK("https://twitter.com/petrogustavo/status/1470941004589117442","1470941004589117442")</f>
        <v>1470941004589117442</v>
      </c>
      <c r="F17447" s="7" t="s">
        <v>17</v>
      </c>
      <c r="G17447" s="7">
        <v>4426355</v>
      </c>
      <c r="H17447" s="7">
        <v>2575</v>
      </c>
      <c r="I17447" s="7">
        <v>8</v>
      </c>
      <c r="J17447" s="7">
        <v>0</v>
      </c>
      <c r="K17447" s="7" t="s">
        <v>18</v>
      </c>
      <c r="L17447" s="8">
        <v>39987.315405092595</v>
      </c>
      <c r="M17447" s="9" t="s">
        <v>19</v>
      </c>
      <c r="N17447" s="9" t="s">
        <v>20</v>
      </c>
      <c r="O17447" s="6" t="str">
        <f>HYPERLINK("https://pbs.twimg.com/profile_images/962471262747529216/Uo8lOkRJ_normal.jpg","View")</f>
        <v>View</v>
      </c>
      <c r="P17447" s="7"/>
    </row>
    <row r="17448" spans="1:16">
      <c r="A17448" s="3">
        <v>44545.326435185183</v>
      </c>
      <c r="B17448" s="4" t="str">
        <f>HYPERLINK("https://twitter.com/petrogustavo","@petrogustavo")</f>
        <v>@petrogustavo</v>
      </c>
      <c r="C17448" s="5" t="s">
        <v>16</v>
      </c>
      <c r="D17448" s="5" t="s">
        <v>16793</v>
      </c>
      <c r="E17448" s="6" t="str">
        <f>HYPERLINK("https://twitter.com/petrogustavo/status/1470941697194528769","1470941697194528769")</f>
        <v>1470941697194528769</v>
      </c>
      <c r="F17448" s="7" t="s">
        <v>17</v>
      </c>
      <c r="G17448" s="7">
        <v>4426376</v>
      </c>
      <c r="H17448" s="7">
        <v>2575</v>
      </c>
      <c r="I17448" s="7">
        <v>261</v>
      </c>
      <c r="J17448" s="7">
        <v>960</v>
      </c>
      <c r="K17448" s="7" t="s">
        <v>18</v>
      </c>
      <c r="L17448" s="8">
        <v>39987.315405092595</v>
      </c>
      <c r="M17448" s="9" t="s">
        <v>19</v>
      </c>
      <c r="N17448" s="9" t="s">
        <v>20</v>
      </c>
      <c r="O17448" s="6" t="str">
        <f>HYPERLINK("https://pbs.twimg.com/profile_images/962471262747529216/Uo8lOkRJ_normal.jpg","View")</f>
        <v>View</v>
      </c>
      <c r="P17448" s="7"/>
    </row>
    <row r="17449" spans="1:16">
      <c r="A17449" s="3">
        <v>44545.363379629634</v>
      </c>
      <c r="B17449" s="4" t="str">
        <f>HYPERLINK("https://twitter.com/petrogustavo","@petrogustavo")</f>
        <v>@petrogustavo</v>
      </c>
      <c r="C17449" s="5" t="s">
        <v>16</v>
      </c>
      <c r="D17449" s="5" t="s">
        <v>16794</v>
      </c>
      <c r="E17449" s="6" t="str">
        <f>HYPERLINK("https://twitter.com/petrogustavo/status/1470955089263304713","1470955089263304713")</f>
        <v>1470955089263304713</v>
      </c>
      <c r="F17449" s="7" t="s">
        <v>17</v>
      </c>
      <c r="G17449" s="7">
        <v>4426399</v>
      </c>
      <c r="H17449" s="7">
        <v>2576</v>
      </c>
      <c r="I17449" s="7">
        <v>461</v>
      </c>
      <c r="J17449" s="7">
        <v>0</v>
      </c>
      <c r="K17449" s="7" t="s">
        <v>18</v>
      </c>
      <c r="L17449" s="8">
        <v>39987.315405092595</v>
      </c>
      <c r="M17449" s="9" t="s">
        <v>19</v>
      </c>
      <c r="N17449" s="9" t="s">
        <v>20</v>
      </c>
      <c r="O17449" s="6" t="str">
        <f>HYPERLINK("https://pbs.twimg.com/profile_images/962471262747529216/Uo8lOkRJ_normal.jpg","View")</f>
        <v>View</v>
      </c>
      <c r="P17449" s="7"/>
    </row>
    <row r="17450" spans="1:16">
      <c r="A17450" s="3">
        <v>44545.369513888887</v>
      </c>
      <c r="B17450" s="4" t="str">
        <f>HYPERLINK("https://twitter.com/petrogustavo","@petrogustavo")</f>
        <v>@petrogustavo</v>
      </c>
      <c r="C17450" s="5" t="s">
        <v>16</v>
      </c>
      <c r="D17450" s="5" t="s">
        <v>16795</v>
      </c>
      <c r="E17450" s="6" t="str">
        <f>HYPERLINK("https://twitter.com/petrogustavo/status/1470957311367819265","1470957311367819265")</f>
        <v>1470957311367819265</v>
      </c>
      <c r="F17450" s="7" t="s">
        <v>17</v>
      </c>
      <c r="G17450" s="7">
        <v>4426418</v>
      </c>
      <c r="H17450" s="7">
        <v>2576</v>
      </c>
      <c r="I17450" s="7">
        <v>626</v>
      </c>
      <c r="J17450" s="7">
        <v>0</v>
      </c>
      <c r="K17450" s="7" t="s">
        <v>18</v>
      </c>
      <c r="L17450" s="8">
        <v>39987.315405092595</v>
      </c>
      <c r="M17450" s="9" t="s">
        <v>19</v>
      </c>
      <c r="N17450" s="9" t="s">
        <v>20</v>
      </c>
      <c r="O17450" s="6" t="str">
        <f>HYPERLINK("https://pbs.twimg.com/profile_images/962471262747529216/Uo8lOkRJ_normal.jpg","View")</f>
        <v>View</v>
      </c>
      <c r="P17450" s="7"/>
    </row>
    <row r="17451" spans="1:16">
      <c r="A17451" s="3">
        <v>44545.706585648149</v>
      </c>
      <c r="B17451" s="4" t="str">
        <f>HYPERLINK("https://twitter.com/petrogustavo","@petrogustavo")</f>
        <v>@petrogustavo</v>
      </c>
      <c r="C17451" s="5" t="s">
        <v>16</v>
      </c>
      <c r="D17451" s="5" t="s">
        <v>16796</v>
      </c>
      <c r="E17451" s="6" t="str">
        <f>HYPERLINK("https://twitter.com/petrogustavo/status/1471079460313210882","1471079460313210882")</f>
        <v>1471079460313210882</v>
      </c>
      <c r="F17451" s="7" t="s">
        <v>17</v>
      </c>
      <c r="G17451" s="7">
        <v>4426556</v>
      </c>
      <c r="H17451" s="7">
        <v>2576</v>
      </c>
      <c r="I17451" s="7">
        <v>93</v>
      </c>
      <c r="J17451" s="7">
        <v>162</v>
      </c>
      <c r="K17451" s="7" t="s">
        <v>18</v>
      </c>
      <c r="L17451" s="8">
        <v>39987.315405092595</v>
      </c>
      <c r="M17451" s="9" t="s">
        <v>19</v>
      </c>
      <c r="N17451" s="9" t="s">
        <v>20</v>
      </c>
      <c r="O17451" s="6" t="str">
        <f>HYPERLINK("https://pbs.twimg.com/profile_images/962471262747529216/Uo8lOkRJ_normal.jpg","View")</f>
        <v>View</v>
      </c>
      <c r="P17451" s="7"/>
    </row>
    <row r="17452" spans="1:16">
      <c r="A17452" s="3">
        <v>44545.709513888884</v>
      </c>
      <c r="B17452" s="4" t="str">
        <f>HYPERLINK("https://twitter.com/petrogustavo","@petrogustavo")</f>
        <v>@petrogustavo</v>
      </c>
      <c r="C17452" s="5" t="s">
        <v>16</v>
      </c>
      <c r="D17452" s="5" t="s">
        <v>16797</v>
      </c>
      <c r="E17452" s="6" t="str">
        <f>HYPERLINK("https://twitter.com/petrogustavo/status/1471080521061048324","1471080521061048324")</f>
        <v>1471080521061048324</v>
      </c>
      <c r="F17452" s="7" t="s">
        <v>17</v>
      </c>
      <c r="G17452" s="7">
        <v>4426556</v>
      </c>
      <c r="H17452" s="7">
        <v>2576</v>
      </c>
      <c r="I17452" s="7">
        <v>50</v>
      </c>
      <c r="J17452" s="7">
        <v>130</v>
      </c>
      <c r="K17452" s="7" t="s">
        <v>18</v>
      </c>
      <c r="L17452" s="8">
        <v>39987.315405092595</v>
      </c>
      <c r="M17452" s="9" t="s">
        <v>19</v>
      </c>
      <c r="N17452" s="9" t="s">
        <v>20</v>
      </c>
      <c r="O17452" s="6" t="str">
        <f>HYPERLINK("https://pbs.twimg.com/profile_images/962471262747529216/Uo8lOkRJ_normal.jpg","View")</f>
        <v>View</v>
      </c>
      <c r="P17452" s="7"/>
    </row>
    <row r="17453" spans="1:16">
      <c r="A17453" s="3">
        <v>44545.735983796301</v>
      </c>
      <c r="B17453" s="4" t="str">
        <f>HYPERLINK("https://twitter.com/petrogustavo","@petrogustavo")</f>
        <v>@petrogustavo</v>
      </c>
      <c r="C17453" s="5" t="s">
        <v>16</v>
      </c>
      <c r="D17453" s="5" t="s">
        <v>16798</v>
      </c>
      <c r="E17453" s="6" t="str">
        <f>HYPERLINK("https://twitter.com/petrogustavo/status/1471090114524856320","1471090114524856320")</f>
        <v>1471090114524856320</v>
      </c>
      <c r="F17453" s="7" t="s">
        <v>17</v>
      </c>
      <c r="G17453" s="7">
        <v>4426583</v>
      </c>
      <c r="H17453" s="7">
        <v>2576</v>
      </c>
      <c r="I17453" s="7">
        <v>56</v>
      </c>
      <c r="J17453" s="7">
        <v>127</v>
      </c>
      <c r="K17453" s="7" t="s">
        <v>18</v>
      </c>
      <c r="L17453" s="8">
        <v>39987.315405092595</v>
      </c>
      <c r="M17453" s="9" t="s">
        <v>19</v>
      </c>
      <c r="N17453" s="9" t="s">
        <v>20</v>
      </c>
      <c r="O17453" s="6" t="str">
        <f>HYPERLINK("https://pbs.twimg.com/profile_images/962471262747529216/Uo8lOkRJ_normal.jpg","View")</f>
        <v>View</v>
      </c>
      <c r="P17453" s="7"/>
    </row>
    <row r="17454" spans="1:16">
      <c r="A17454" s="3">
        <v>44545.952280092592</v>
      </c>
      <c r="B17454" s="4" t="str">
        <f>HYPERLINK("https://twitter.com/petrogustavo","@petrogustavo")</f>
        <v>@petrogustavo</v>
      </c>
      <c r="C17454" s="5" t="s">
        <v>16</v>
      </c>
      <c r="D17454" s="5" t="s">
        <v>16799</v>
      </c>
      <c r="E17454" s="6" t="str">
        <f>HYPERLINK("https://twitter.com/petrogustavo/status/1471168498093207553","1471168498093207553")</f>
        <v>1471168498093207553</v>
      </c>
      <c r="F17454" s="7" t="s">
        <v>17</v>
      </c>
      <c r="G17454" s="7">
        <v>4426878</v>
      </c>
      <c r="H17454" s="7">
        <v>2576</v>
      </c>
      <c r="I17454" s="7">
        <v>187</v>
      </c>
      <c r="J17454" s="7">
        <v>611</v>
      </c>
      <c r="K17454" s="7" t="s">
        <v>18</v>
      </c>
      <c r="L17454" s="8">
        <v>39987.315405092595</v>
      </c>
      <c r="M17454" s="9" t="s">
        <v>19</v>
      </c>
      <c r="N17454" s="9" t="s">
        <v>20</v>
      </c>
      <c r="O17454" s="6" t="str">
        <f>HYPERLINK("https://pbs.twimg.com/profile_images/962471262747529216/Uo8lOkRJ_normal.jpg","View")</f>
        <v>View</v>
      </c>
      <c r="P17454" s="7"/>
    </row>
    <row r="17455" spans="1:16">
      <c r="A17455" s="3">
        <v>44545.957974537036</v>
      </c>
      <c r="B17455" s="4" t="str">
        <f>HYPERLINK("https://twitter.com/petrogustavo","@petrogustavo")</f>
        <v>@petrogustavo</v>
      </c>
      <c r="C17455" s="5" t="s">
        <v>16</v>
      </c>
      <c r="D17455" s="5" t="s">
        <v>16800</v>
      </c>
      <c r="E17455" s="6" t="str">
        <f>HYPERLINK("https://twitter.com/petrogustavo/status/1471170560180817923","1471170560180817923")</f>
        <v>1471170560180817923</v>
      </c>
      <c r="F17455" s="7" t="s">
        <v>17</v>
      </c>
      <c r="G17455" s="7">
        <v>4426878</v>
      </c>
      <c r="H17455" s="7">
        <v>2576</v>
      </c>
      <c r="I17455" s="7">
        <v>219</v>
      </c>
      <c r="J17455" s="7">
        <v>541</v>
      </c>
      <c r="K17455" s="7" t="s">
        <v>18</v>
      </c>
      <c r="L17455" s="8">
        <v>39987.315405092595</v>
      </c>
      <c r="M17455" s="9" t="s">
        <v>19</v>
      </c>
      <c r="N17455" s="9" t="s">
        <v>20</v>
      </c>
      <c r="O17455" s="6" t="str">
        <f>HYPERLINK("https://pbs.twimg.com/profile_images/962471262747529216/Uo8lOkRJ_normal.jpg","View")</f>
        <v>View</v>
      </c>
      <c r="P17455" s="7"/>
    </row>
    <row r="17456" spans="1:16">
      <c r="A17456" s="3">
        <v>44546.140590277777</v>
      </c>
      <c r="B17456" s="4" t="str">
        <f>HYPERLINK("https://twitter.com/petrogustavo","@petrogustavo")</f>
        <v>@petrogustavo</v>
      </c>
      <c r="C17456" s="5" t="s">
        <v>16</v>
      </c>
      <c r="D17456" s="5" t="s">
        <v>16801</v>
      </c>
      <c r="E17456" s="6" t="str">
        <f>HYPERLINK("https://twitter.com/petrogustavo/status/1471236739700297731","1471236739700297731")</f>
        <v>1471236739700297731</v>
      </c>
      <c r="F17456" s="7" t="s">
        <v>17</v>
      </c>
      <c r="G17456" s="7">
        <v>4427089</v>
      </c>
      <c r="H17456" s="7">
        <v>2575</v>
      </c>
      <c r="I17456" s="7">
        <v>86</v>
      </c>
      <c r="J17456" s="7">
        <v>333</v>
      </c>
      <c r="K17456" s="7" t="s">
        <v>18</v>
      </c>
      <c r="L17456" s="8">
        <v>39987.315405092595</v>
      </c>
      <c r="M17456" s="9" t="s">
        <v>19</v>
      </c>
      <c r="N17456" s="9" t="s">
        <v>20</v>
      </c>
      <c r="O17456" s="6" t="str">
        <f>HYPERLINK("https://pbs.twimg.com/profile_images/962471262747529216/Uo8lOkRJ_normal.jpg","View")</f>
        <v>View</v>
      </c>
      <c r="P17456" s="7"/>
    </row>
    <row r="17457" spans="1:16">
      <c r="A17457" s="3">
        <v>44546.257731481484</v>
      </c>
      <c r="B17457" s="4" t="str">
        <f>HYPERLINK("https://twitter.com/petrogustavo","@petrogustavo")</f>
        <v>@petrogustavo</v>
      </c>
      <c r="C17457" s="5" t="s">
        <v>16</v>
      </c>
      <c r="D17457" s="5" t="s">
        <v>16802</v>
      </c>
      <c r="E17457" s="6" t="str">
        <f>HYPERLINK("https://twitter.com/petrogustavo/status/1471279189831651330","1471279189831651330")</f>
        <v>1471279189831651330</v>
      </c>
      <c r="F17457" s="7" t="s">
        <v>17</v>
      </c>
      <c r="G17457" s="7">
        <v>4427196</v>
      </c>
      <c r="H17457" s="7">
        <v>2575</v>
      </c>
      <c r="I17457" s="7">
        <v>57</v>
      </c>
      <c r="J17457" s="7">
        <v>247</v>
      </c>
      <c r="K17457" s="7" t="s">
        <v>18</v>
      </c>
      <c r="L17457" s="8">
        <v>39987.315405092595</v>
      </c>
      <c r="M17457" s="9" t="s">
        <v>19</v>
      </c>
      <c r="N17457" s="9" t="s">
        <v>20</v>
      </c>
      <c r="O17457" s="6" t="str">
        <f>HYPERLINK("https://pbs.twimg.com/profile_images/962471262747529216/Uo8lOkRJ_normal.jpg","View")</f>
        <v>View</v>
      </c>
      <c r="P17457" s="7"/>
    </row>
    <row r="17458" spans="1:16">
      <c r="A17458" s="3">
        <v>44546.269513888888</v>
      </c>
      <c r="B17458" s="4" t="str">
        <f>HYPERLINK("https://twitter.com/petrogustavo","@petrogustavo")</f>
        <v>@petrogustavo</v>
      </c>
      <c r="C17458" s="5" t="s">
        <v>16</v>
      </c>
      <c r="D17458" s="5" t="s">
        <v>16803</v>
      </c>
      <c r="E17458" s="6" t="str">
        <f>HYPERLINK("https://twitter.com/petrogustavo/status/1471283458869805056","1471283458869805056")</f>
        <v>1471283458869805056</v>
      </c>
      <c r="F17458" s="7" t="s">
        <v>17</v>
      </c>
      <c r="G17458" s="7">
        <v>4427202</v>
      </c>
      <c r="H17458" s="7">
        <v>2575</v>
      </c>
      <c r="I17458" s="7">
        <v>54</v>
      </c>
      <c r="J17458" s="7">
        <v>116</v>
      </c>
      <c r="K17458" s="7" t="s">
        <v>18</v>
      </c>
      <c r="L17458" s="8">
        <v>39987.315405092595</v>
      </c>
      <c r="M17458" s="9" t="s">
        <v>19</v>
      </c>
      <c r="N17458" s="9" t="s">
        <v>20</v>
      </c>
      <c r="O17458" s="6" t="str">
        <f>HYPERLINK("https://pbs.twimg.com/profile_images/962471262747529216/Uo8lOkRJ_normal.jpg","View")</f>
        <v>View</v>
      </c>
      <c r="P17458" s="7"/>
    </row>
    <row r="17459" spans="1:16">
      <c r="A17459" s="3">
        <v>44546.390011574069</v>
      </c>
      <c r="B17459" s="4" t="str">
        <f>HYPERLINK("https://twitter.com/petrogustavo","@petrogustavo")</f>
        <v>@petrogustavo</v>
      </c>
      <c r="C17459" s="5" t="s">
        <v>16</v>
      </c>
      <c r="D17459" s="5" t="s">
        <v>16804</v>
      </c>
      <c r="E17459" s="6" t="str">
        <f>HYPERLINK("https://twitter.com/petrogustavo/status/1471327125890285569","1471327125890285569")</f>
        <v>1471327125890285569</v>
      </c>
      <c r="F17459" s="7" t="s">
        <v>17</v>
      </c>
      <c r="G17459" s="7">
        <v>4427391</v>
      </c>
      <c r="H17459" s="7">
        <v>2575</v>
      </c>
      <c r="I17459" s="7">
        <v>35</v>
      </c>
      <c r="J17459" s="7">
        <v>0</v>
      </c>
      <c r="K17459" s="7" t="s">
        <v>18</v>
      </c>
      <c r="L17459" s="8">
        <v>39987.315405092595</v>
      </c>
      <c r="M17459" s="9" t="s">
        <v>19</v>
      </c>
      <c r="N17459" s="9" t="s">
        <v>20</v>
      </c>
      <c r="O17459" s="6" t="str">
        <f>HYPERLINK("https://pbs.twimg.com/profile_images/962471262747529216/Uo8lOkRJ_normal.jpg","View")</f>
        <v>View</v>
      </c>
      <c r="P17459" s="7"/>
    </row>
    <row r="17460" spans="1:16">
      <c r="A17460" s="3">
        <v>44546.393425925926</v>
      </c>
      <c r="B17460" s="4" t="str">
        <f>HYPERLINK("https://twitter.com/petrogustavo","@petrogustavo")</f>
        <v>@petrogustavo</v>
      </c>
      <c r="C17460" s="5" t="s">
        <v>16</v>
      </c>
      <c r="D17460" s="5" t="s">
        <v>16805</v>
      </c>
      <c r="E17460" s="6" t="str">
        <f>HYPERLINK("https://twitter.com/petrogustavo/status/1471328365143543813","1471328365143543813")</f>
        <v>1471328365143543813</v>
      </c>
      <c r="F17460" s="7" t="s">
        <v>17</v>
      </c>
      <c r="G17460" s="7">
        <v>4427391</v>
      </c>
      <c r="H17460" s="7">
        <v>2575</v>
      </c>
      <c r="I17460" s="7">
        <v>64</v>
      </c>
      <c r="J17460" s="7">
        <v>0</v>
      </c>
      <c r="K17460" s="7" t="s">
        <v>18</v>
      </c>
      <c r="L17460" s="8">
        <v>39987.315405092595</v>
      </c>
      <c r="M17460" s="9" t="s">
        <v>19</v>
      </c>
      <c r="N17460" s="9" t="s">
        <v>20</v>
      </c>
      <c r="O17460" s="6" t="str">
        <f>HYPERLINK("https://pbs.twimg.com/profile_images/962471262747529216/Uo8lOkRJ_normal.jpg","View")</f>
        <v>View</v>
      </c>
      <c r="P17460" s="7"/>
    </row>
    <row r="17461" spans="1:16">
      <c r="A17461" s="3">
        <v>44546.395775462966</v>
      </c>
      <c r="B17461" s="4" t="str">
        <f>HYPERLINK("https://twitter.com/petrogustavo","@petrogustavo")</f>
        <v>@petrogustavo</v>
      </c>
      <c r="C17461" s="5" t="s">
        <v>16</v>
      </c>
      <c r="D17461" s="5" t="s">
        <v>16806</v>
      </c>
      <c r="E17461" s="6" t="str">
        <f>HYPERLINK("https://twitter.com/petrogustavo/status/1471329216037801984","1471329216037801984")</f>
        <v>1471329216037801984</v>
      </c>
      <c r="F17461" s="7" t="s">
        <v>17</v>
      </c>
      <c r="G17461" s="7">
        <v>4427391</v>
      </c>
      <c r="H17461" s="7">
        <v>2575</v>
      </c>
      <c r="I17461" s="7">
        <v>23</v>
      </c>
      <c r="J17461" s="7">
        <v>0</v>
      </c>
      <c r="K17461" s="7" t="s">
        <v>18</v>
      </c>
      <c r="L17461" s="8">
        <v>39987.315405092595</v>
      </c>
      <c r="M17461" s="9" t="s">
        <v>19</v>
      </c>
      <c r="N17461" s="9" t="s">
        <v>20</v>
      </c>
      <c r="O17461" s="6" t="str">
        <f>HYPERLINK("https://pbs.twimg.com/profile_images/962471262747529216/Uo8lOkRJ_normal.jpg","View")</f>
        <v>View</v>
      </c>
      <c r="P17461" s="7"/>
    </row>
    <row r="17462" spans="1:16">
      <c r="A17462" s="3">
        <v>44546.728263888886</v>
      </c>
      <c r="B17462" s="4" t="str">
        <f>HYPERLINK("https://twitter.com/petrogustavo","@petrogustavo")</f>
        <v>@petrogustavo</v>
      </c>
      <c r="C17462" s="5" t="s">
        <v>16</v>
      </c>
      <c r="D17462" s="5" t="s">
        <v>16807</v>
      </c>
      <c r="E17462" s="6" t="str">
        <f>HYPERLINK("https://twitter.com/petrogustavo/status/1471449704219254789","1471449704219254789")</f>
        <v>1471449704219254789</v>
      </c>
      <c r="F17462" s="7" t="s">
        <v>17</v>
      </c>
      <c r="G17462" s="7">
        <v>4427512</v>
      </c>
      <c r="H17462" s="7">
        <v>2575</v>
      </c>
      <c r="I17462" s="7">
        <v>297</v>
      </c>
      <c r="J17462" s="7">
        <v>0</v>
      </c>
      <c r="K17462" s="7" t="s">
        <v>18</v>
      </c>
      <c r="L17462" s="8">
        <v>39987.315405092595</v>
      </c>
      <c r="M17462" s="9" t="s">
        <v>19</v>
      </c>
      <c r="N17462" s="9" t="s">
        <v>20</v>
      </c>
      <c r="O17462" s="6" t="str">
        <f>HYPERLINK("https://pbs.twimg.com/profile_images/962471262747529216/Uo8lOkRJ_normal.jpg","View")</f>
        <v>View</v>
      </c>
      <c r="P17462" s="7"/>
    </row>
    <row r="17463" spans="1:16">
      <c r="A17463" s="3">
        <v>44546.729988425926</v>
      </c>
      <c r="B17463" s="4" t="str">
        <f>HYPERLINK("https://twitter.com/petrogustavo","@petrogustavo")</f>
        <v>@petrogustavo</v>
      </c>
      <c r="C17463" s="5" t="s">
        <v>16</v>
      </c>
      <c r="D17463" s="5" t="s">
        <v>16808</v>
      </c>
      <c r="E17463" s="6" t="str">
        <f>HYPERLINK("https://twitter.com/petrogustavo/status/1471450328549801992","1471450328549801992")</f>
        <v>1471450328549801992</v>
      </c>
      <c r="F17463" s="7" t="s">
        <v>17</v>
      </c>
      <c r="G17463" s="7">
        <v>4427512</v>
      </c>
      <c r="H17463" s="7">
        <v>2575</v>
      </c>
      <c r="I17463" s="7">
        <v>58</v>
      </c>
      <c r="J17463" s="7">
        <v>0</v>
      </c>
      <c r="K17463" s="7" t="s">
        <v>18</v>
      </c>
      <c r="L17463" s="8">
        <v>39987.315405092595</v>
      </c>
      <c r="M17463" s="9" t="s">
        <v>19</v>
      </c>
      <c r="N17463" s="9" t="s">
        <v>20</v>
      </c>
      <c r="O17463" s="6" t="str">
        <f>HYPERLINK("https://pbs.twimg.com/profile_images/962471262747529216/Uo8lOkRJ_normal.jpg","View")</f>
        <v>View</v>
      </c>
      <c r="P17463" s="7"/>
    </row>
    <row r="17464" spans="1:16">
      <c r="A17464" s="3">
        <v>44546.731631944444</v>
      </c>
      <c r="B17464" s="4" t="str">
        <f>HYPERLINK("https://twitter.com/petrogustavo","@petrogustavo")</f>
        <v>@petrogustavo</v>
      </c>
      <c r="C17464" s="5" t="s">
        <v>16</v>
      </c>
      <c r="D17464" s="5" t="s">
        <v>16809</v>
      </c>
      <c r="E17464" s="6" t="str">
        <f>HYPERLINK("https://twitter.com/petrogustavo/status/1471450926905008135","1471450926905008135")</f>
        <v>1471450926905008135</v>
      </c>
      <c r="F17464" s="7" t="s">
        <v>17</v>
      </c>
      <c r="G17464" s="7">
        <v>4427512</v>
      </c>
      <c r="H17464" s="7">
        <v>2575</v>
      </c>
      <c r="I17464" s="7">
        <v>260</v>
      </c>
      <c r="J17464" s="7">
        <v>0</v>
      </c>
      <c r="K17464" s="7" t="s">
        <v>18</v>
      </c>
      <c r="L17464" s="8">
        <v>39987.315405092595</v>
      </c>
      <c r="M17464" s="9" t="s">
        <v>19</v>
      </c>
      <c r="N17464" s="9" t="s">
        <v>20</v>
      </c>
      <c r="O17464" s="6" t="str">
        <f>HYPERLINK("https://pbs.twimg.com/profile_images/962471262747529216/Uo8lOkRJ_normal.jpg","View")</f>
        <v>View</v>
      </c>
      <c r="P17464" s="7"/>
    </row>
    <row r="17465" spans="1:16">
      <c r="A17465" s="3">
        <v>44546.731979166667</v>
      </c>
      <c r="B17465" s="4" t="str">
        <f>HYPERLINK("https://twitter.com/petrogustavo","@petrogustavo")</f>
        <v>@petrogustavo</v>
      </c>
      <c r="C17465" s="5" t="s">
        <v>16</v>
      </c>
      <c r="D17465" s="5" t="s">
        <v>16810</v>
      </c>
      <c r="E17465" s="6" t="str">
        <f>HYPERLINK("https://twitter.com/petrogustavo/status/1471451053036032009","1471451053036032009")</f>
        <v>1471451053036032009</v>
      </c>
      <c r="F17465" s="7" t="s">
        <v>17</v>
      </c>
      <c r="G17465" s="7">
        <v>4427512</v>
      </c>
      <c r="H17465" s="7">
        <v>2575</v>
      </c>
      <c r="I17465" s="7">
        <v>43</v>
      </c>
      <c r="J17465" s="7">
        <v>0</v>
      </c>
      <c r="K17465" s="7" t="s">
        <v>18</v>
      </c>
      <c r="L17465" s="8">
        <v>39987.315405092595</v>
      </c>
      <c r="M17465" s="9" t="s">
        <v>19</v>
      </c>
      <c r="N17465" s="9" t="s">
        <v>20</v>
      </c>
      <c r="O17465" s="6" t="str">
        <f>HYPERLINK("https://pbs.twimg.com/profile_images/962471262747529216/Uo8lOkRJ_normal.jpg","View")</f>
        <v>View</v>
      </c>
      <c r="P17465" s="7"/>
    </row>
    <row r="17466" spans="1:16">
      <c r="A17466" s="3">
        <v>44546.749872685185</v>
      </c>
      <c r="B17466" s="4" t="str">
        <f>HYPERLINK("https://twitter.com/petrogustavo","@petrogustavo")</f>
        <v>@petrogustavo</v>
      </c>
      <c r="C17466" s="5" t="s">
        <v>16</v>
      </c>
      <c r="D17466" s="5" t="s">
        <v>16811</v>
      </c>
      <c r="E17466" s="6" t="str">
        <f>HYPERLINK("https://twitter.com/petrogustavo/status/1471457536381489155","1471457536381489155")</f>
        <v>1471457536381489155</v>
      </c>
      <c r="F17466" s="7" t="s">
        <v>17</v>
      </c>
      <c r="G17466" s="7">
        <v>4427522</v>
      </c>
      <c r="H17466" s="7">
        <v>2575</v>
      </c>
      <c r="I17466" s="7">
        <v>11</v>
      </c>
      <c r="J17466" s="7">
        <v>0</v>
      </c>
      <c r="K17466" s="7" t="s">
        <v>18</v>
      </c>
      <c r="L17466" s="8">
        <v>39987.315405092595</v>
      </c>
      <c r="M17466" s="9" t="s">
        <v>19</v>
      </c>
      <c r="N17466" s="9" t="s">
        <v>20</v>
      </c>
      <c r="O17466" s="6" t="str">
        <f>HYPERLINK("https://pbs.twimg.com/profile_images/962471262747529216/Uo8lOkRJ_normal.jpg","View")</f>
        <v>View</v>
      </c>
      <c r="P17466" s="7"/>
    </row>
    <row r="17467" spans="1:16">
      <c r="A17467" s="3">
        <v>44546.752372685187</v>
      </c>
      <c r="B17467" s="4" t="str">
        <f>HYPERLINK("https://twitter.com/petrogustavo","@petrogustavo")</f>
        <v>@petrogustavo</v>
      </c>
      <c r="C17467" s="5" t="s">
        <v>16</v>
      </c>
      <c r="D17467" s="5" t="s">
        <v>16812</v>
      </c>
      <c r="E17467" s="6" t="str">
        <f>HYPERLINK("https://twitter.com/petrogustavo/status/1471458442359496706","1471458442359496706")</f>
        <v>1471458442359496706</v>
      </c>
      <c r="F17467" s="7" t="s">
        <v>17</v>
      </c>
      <c r="G17467" s="7">
        <v>4427522</v>
      </c>
      <c r="H17467" s="7">
        <v>2575</v>
      </c>
      <c r="I17467" s="7">
        <v>9</v>
      </c>
      <c r="J17467" s="7">
        <v>0</v>
      </c>
      <c r="K17467" s="7" t="s">
        <v>18</v>
      </c>
      <c r="L17467" s="8">
        <v>39987.315405092595</v>
      </c>
      <c r="M17467" s="9" t="s">
        <v>19</v>
      </c>
      <c r="N17467" s="9" t="s">
        <v>20</v>
      </c>
      <c r="O17467" s="6" t="str">
        <f>HYPERLINK("https://pbs.twimg.com/profile_images/962471262747529216/Uo8lOkRJ_normal.jpg","View")</f>
        <v>View</v>
      </c>
      <c r="P17467" s="7"/>
    </row>
    <row r="17468" spans="1:16">
      <c r="A17468" s="3">
        <v>44546.754988425921</v>
      </c>
      <c r="B17468" s="4" t="str">
        <f>HYPERLINK("https://twitter.com/petrogustavo","@petrogustavo")</f>
        <v>@petrogustavo</v>
      </c>
      <c r="C17468" s="5" t="s">
        <v>16</v>
      </c>
      <c r="D17468" s="5" t="s">
        <v>16813</v>
      </c>
      <c r="E17468" s="6" t="str">
        <f>HYPERLINK("https://twitter.com/petrogustavo/status/1471459391396368385","1471459391396368385")</f>
        <v>1471459391396368385</v>
      </c>
      <c r="F17468" s="7" t="s">
        <v>17</v>
      </c>
      <c r="G17468" s="7">
        <v>4427522</v>
      </c>
      <c r="H17468" s="7">
        <v>2575</v>
      </c>
      <c r="I17468" s="7">
        <v>879</v>
      </c>
      <c r="J17468" s="7">
        <v>0</v>
      </c>
      <c r="K17468" s="7" t="s">
        <v>18</v>
      </c>
      <c r="L17468" s="8">
        <v>39987.315405092595</v>
      </c>
      <c r="M17468" s="9" t="s">
        <v>19</v>
      </c>
      <c r="N17468" s="9" t="s">
        <v>20</v>
      </c>
      <c r="O17468" s="6" t="str">
        <f>HYPERLINK("https://pbs.twimg.com/profile_images/962471262747529216/Uo8lOkRJ_normal.jpg","View")</f>
        <v>View</v>
      </c>
      <c r="P17468" s="7"/>
    </row>
    <row r="17469" spans="1:16">
      <c r="A17469" s="3">
        <v>44546.755243055552</v>
      </c>
      <c r="B17469" s="4" t="str">
        <f>HYPERLINK("https://twitter.com/petrogustavo","@petrogustavo")</f>
        <v>@petrogustavo</v>
      </c>
      <c r="C17469" s="5" t="s">
        <v>16</v>
      </c>
      <c r="D17469" s="5" t="s">
        <v>16814</v>
      </c>
      <c r="E17469" s="6" t="str">
        <f>HYPERLINK("https://twitter.com/petrogustavo/status/1471459481527590913","1471459481527590913")</f>
        <v>1471459481527590913</v>
      </c>
      <c r="F17469" s="7" t="s">
        <v>17</v>
      </c>
      <c r="G17469" s="7">
        <v>4427522</v>
      </c>
      <c r="H17469" s="7">
        <v>2575</v>
      </c>
      <c r="I17469" s="7">
        <v>30</v>
      </c>
      <c r="J17469" s="7">
        <v>0</v>
      </c>
      <c r="K17469" s="7" t="s">
        <v>18</v>
      </c>
      <c r="L17469" s="8">
        <v>39987.315405092595</v>
      </c>
      <c r="M17469" s="9" t="s">
        <v>19</v>
      </c>
      <c r="N17469" s="9" t="s">
        <v>20</v>
      </c>
      <c r="O17469" s="6" t="str">
        <f>HYPERLINK("https://pbs.twimg.com/profile_images/962471262747529216/Uo8lOkRJ_normal.jpg","View")</f>
        <v>View</v>
      </c>
      <c r="P17469" s="7"/>
    </row>
    <row r="17470" spans="1:16">
      <c r="A17470" s="3">
        <v>44546.757476851853</v>
      </c>
      <c r="B17470" s="4" t="str">
        <f>HYPERLINK("https://twitter.com/petrogustavo","@petrogustavo")</f>
        <v>@petrogustavo</v>
      </c>
      <c r="C17470" s="5" t="s">
        <v>16</v>
      </c>
      <c r="D17470" s="5" t="s">
        <v>16815</v>
      </c>
      <c r="E17470" s="6" t="str">
        <f>HYPERLINK("https://twitter.com/petrogustavo/status/1471460290491555842","1471460290491555842")</f>
        <v>1471460290491555842</v>
      </c>
      <c r="F17470" s="7" t="s">
        <v>17</v>
      </c>
      <c r="G17470" s="7">
        <v>4427522</v>
      </c>
      <c r="H17470" s="7">
        <v>2575</v>
      </c>
      <c r="I17470" s="7">
        <v>7</v>
      </c>
      <c r="J17470" s="7">
        <v>0</v>
      </c>
      <c r="K17470" s="7" t="s">
        <v>18</v>
      </c>
      <c r="L17470" s="8">
        <v>39987.315405092595</v>
      </c>
      <c r="M17470" s="9" t="s">
        <v>19</v>
      </c>
      <c r="N17470" s="9" t="s">
        <v>20</v>
      </c>
      <c r="O17470" s="6" t="str">
        <f>HYPERLINK("https://pbs.twimg.com/profile_images/962471262747529216/Uo8lOkRJ_normal.jpg","View")</f>
        <v>View</v>
      </c>
      <c r="P17470" s="7"/>
    </row>
    <row r="17471" spans="1:16">
      <c r="A17471" s="3">
        <v>44546.758750000001</v>
      </c>
      <c r="B17471" s="4" t="str">
        <f>HYPERLINK("https://twitter.com/petrogustavo","@petrogustavo")</f>
        <v>@petrogustavo</v>
      </c>
      <c r="C17471" s="5" t="s">
        <v>16</v>
      </c>
      <c r="D17471" s="5" t="s">
        <v>16816</v>
      </c>
      <c r="E17471" s="6" t="str">
        <f>HYPERLINK("https://twitter.com/petrogustavo/status/1471460751399399434","1471460751399399434")</f>
        <v>1471460751399399434</v>
      </c>
      <c r="F17471" s="7" t="s">
        <v>17</v>
      </c>
      <c r="G17471" s="7">
        <v>4427522</v>
      </c>
      <c r="H17471" s="7">
        <v>2575</v>
      </c>
      <c r="I17471" s="7">
        <v>207</v>
      </c>
      <c r="J17471" s="7">
        <v>0</v>
      </c>
      <c r="K17471" s="7" t="s">
        <v>18</v>
      </c>
      <c r="L17471" s="8">
        <v>39987.315405092595</v>
      </c>
      <c r="M17471" s="9" t="s">
        <v>19</v>
      </c>
      <c r="N17471" s="9" t="s">
        <v>20</v>
      </c>
      <c r="O17471" s="6" t="str">
        <f>HYPERLINK("https://pbs.twimg.com/profile_images/962471262747529216/Uo8lOkRJ_normal.jpg","View")</f>
        <v>View</v>
      </c>
      <c r="P17471" s="7"/>
    </row>
    <row r="17472" spans="1:16">
      <c r="A17472" s="3">
        <v>44546.765567129631</v>
      </c>
      <c r="B17472" s="4" t="str">
        <f>HYPERLINK("https://twitter.com/petrogustavo","@petrogustavo")</f>
        <v>@petrogustavo</v>
      </c>
      <c r="C17472" s="5" t="s">
        <v>16</v>
      </c>
      <c r="D17472" s="5" t="s">
        <v>16817</v>
      </c>
      <c r="E17472" s="6" t="str">
        <f>HYPERLINK("https://twitter.com/petrogustavo/status/1471463221085319173","1471463221085319173")</f>
        <v>1471463221085319173</v>
      </c>
      <c r="F17472" s="7" t="s">
        <v>17</v>
      </c>
      <c r="G17472" s="7">
        <v>4427542</v>
      </c>
      <c r="H17472" s="7">
        <v>2575</v>
      </c>
      <c r="I17472" s="7">
        <v>77</v>
      </c>
      <c r="J17472" s="7">
        <v>0</v>
      </c>
      <c r="K17472" s="7" t="s">
        <v>18</v>
      </c>
      <c r="L17472" s="8">
        <v>39987.315405092595</v>
      </c>
      <c r="M17472" s="9" t="s">
        <v>19</v>
      </c>
      <c r="N17472" s="9" t="s">
        <v>20</v>
      </c>
      <c r="O17472" s="6" t="str">
        <f>HYPERLINK("https://pbs.twimg.com/profile_images/962471262747529216/Uo8lOkRJ_normal.jpg","View")</f>
        <v>View</v>
      </c>
      <c r="P17472" s="7"/>
    </row>
    <row r="17473" spans="1:16">
      <c r="A17473" s="3">
        <v>44546.765949074077</v>
      </c>
      <c r="B17473" s="4" t="str">
        <f>HYPERLINK("https://twitter.com/petrogustavo","@petrogustavo")</f>
        <v>@petrogustavo</v>
      </c>
      <c r="C17473" s="5" t="s">
        <v>16</v>
      </c>
      <c r="D17473" s="5" t="s">
        <v>16818</v>
      </c>
      <c r="E17473" s="6" t="str">
        <f>HYPERLINK("https://twitter.com/petrogustavo/status/1471463359610564618","1471463359610564618")</f>
        <v>1471463359610564618</v>
      </c>
      <c r="F17473" s="7" t="s">
        <v>17</v>
      </c>
      <c r="G17473" s="7">
        <v>4427542</v>
      </c>
      <c r="H17473" s="7">
        <v>2575</v>
      </c>
      <c r="I17473" s="7">
        <v>57</v>
      </c>
      <c r="J17473" s="7">
        <v>0</v>
      </c>
      <c r="K17473" s="7" t="s">
        <v>18</v>
      </c>
      <c r="L17473" s="8">
        <v>39987.315405092595</v>
      </c>
      <c r="M17473" s="9" t="s">
        <v>19</v>
      </c>
      <c r="N17473" s="9" t="s">
        <v>20</v>
      </c>
      <c r="O17473" s="6" t="str">
        <f>HYPERLINK("https://pbs.twimg.com/profile_images/962471262747529216/Uo8lOkRJ_normal.jpg","View")</f>
        <v>View</v>
      </c>
      <c r="P17473" s="7"/>
    </row>
    <row r="17474" spans="1:16">
      <c r="A17474" s="3">
        <v>44546.766041666662</v>
      </c>
      <c r="B17474" s="4" t="str">
        <f>HYPERLINK("https://twitter.com/petrogustavo","@petrogustavo")</f>
        <v>@petrogustavo</v>
      </c>
      <c r="C17474" s="5" t="s">
        <v>16</v>
      </c>
      <c r="D17474" s="5" t="s">
        <v>16819</v>
      </c>
      <c r="E17474" s="6" t="str">
        <f>HYPERLINK("https://twitter.com/petrogustavo/status/1471463395924848640","1471463395924848640")</f>
        <v>1471463395924848640</v>
      </c>
      <c r="F17474" s="7" t="s">
        <v>17</v>
      </c>
      <c r="G17474" s="7">
        <v>4427542</v>
      </c>
      <c r="H17474" s="7">
        <v>2575</v>
      </c>
      <c r="I17474" s="7">
        <v>66</v>
      </c>
      <c r="J17474" s="7">
        <v>0</v>
      </c>
      <c r="K17474" s="7" t="s">
        <v>18</v>
      </c>
      <c r="L17474" s="8">
        <v>39987.315405092595</v>
      </c>
      <c r="M17474" s="9" t="s">
        <v>19</v>
      </c>
      <c r="N17474" s="9" t="s">
        <v>20</v>
      </c>
      <c r="O17474" s="6" t="str">
        <f>HYPERLINK("https://pbs.twimg.com/profile_images/962471262747529216/Uo8lOkRJ_normal.jpg","View")</f>
        <v>View</v>
      </c>
      <c r="P17474" s="7"/>
    </row>
    <row r="17475" spans="1:16">
      <c r="A17475" s="3">
        <v>44546.766180555554</v>
      </c>
      <c r="B17475" s="4" t="str">
        <f>HYPERLINK("https://twitter.com/petrogustavo","@petrogustavo")</f>
        <v>@petrogustavo</v>
      </c>
      <c r="C17475" s="5" t="s">
        <v>16</v>
      </c>
      <c r="D17475" s="5" t="s">
        <v>16820</v>
      </c>
      <c r="E17475" s="6" t="str">
        <f>HYPERLINK("https://twitter.com/petrogustavo/status/1471463446118023173","1471463446118023173")</f>
        <v>1471463446118023173</v>
      </c>
      <c r="F17475" s="7" t="s">
        <v>17</v>
      </c>
      <c r="G17475" s="7">
        <v>4427542</v>
      </c>
      <c r="H17475" s="7">
        <v>2575</v>
      </c>
      <c r="I17475" s="7">
        <v>37</v>
      </c>
      <c r="J17475" s="7">
        <v>0</v>
      </c>
      <c r="K17475" s="7" t="s">
        <v>18</v>
      </c>
      <c r="L17475" s="8">
        <v>39987.315405092595</v>
      </c>
      <c r="M17475" s="9" t="s">
        <v>19</v>
      </c>
      <c r="N17475" s="9" t="s">
        <v>20</v>
      </c>
      <c r="O17475" s="6" t="str">
        <f>HYPERLINK("https://pbs.twimg.com/profile_images/962471262747529216/Uo8lOkRJ_normal.jpg","View")</f>
        <v>View</v>
      </c>
      <c r="P17475" s="7"/>
    </row>
    <row r="17476" spans="1:16">
      <c r="A17476" s="3">
        <v>44546.766250000001</v>
      </c>
      <c r="B17476" s="4" t="str">
        <f>HYPERLINK("https://twitter.com/petrogustavo","@petrogustavo")</f>
        <v>@petrogustavo</v>
      </c>
      <c r="C17476" s="5" t="s">
        <v>16</v>
      </c>
      <c r="D17476" s="5" t="s">
        <v>16821</v>
      </c>
      <c r="E17476" s="6" t="str">
        <f>HYPERLINK("https://twitter.com/petrogustavo/status/1471463469450940416","1471463469450940416")</f>
        <v>1471463469450940416</v>
      </c>
      <c r="F17476" s="7" t="s">
        <v>17</v>
      </c>
      <c r="G17476" s="7">
        <v>4427542</v>
      </c>
      <c r="H17476" s="7">
        <v>2575</v>
      </c>
      <c r="I17476" s="7">
        <v>29</v>
      </c>
      <c r="J17476" s="7">
        <v>0</v>
      </c>
      <c r="K17476" s="7" t="s">
        <v>18</v>
      </c>
      <c r="L17476" s="8">
        <v>39987.315405092595</v>
      </c>
      <c r="M17476" s="9" t="s">
        <v>19</v>
      </c>
      <c r="N17476" s="9" t="s">
        <v>20</v>
      </c>
      <c r="O17476" s="6" t="str">
        <f>HYPERLINK("https://pbs.twimg.com/profile_images/962471262747529216/Uo8lOkRJ_normal.jpg","View")</f>
        <v>View</v>
      </c>
      <c r="P17476" s="7"/>
    </row>
    <row r="17477" spans="1:16">
      <c r="A17477" s="3">
        <v>44546.766493055555</v>
      </c>
      <c r="B17477" s="4" t="str">
        <f>HYPERLINK("https://twitter.com/petrogustavo","@petrogustavo")</f>
        <v>@petrogustavo</v>
      </c>
      <c r="C17477" s="5" t="s">
        <v>16</v>
      </c>
      <c r="D17477" s="5" t="s">
        <v>16822</v>
      </c>
      <c r="E17477" s="6" t="str">
        <f>HYPERLINK("https://twitter.com/petrogustavo/status/1471463558273802246","1471463558273802246")</f>
        <v>1471463558273802246</v>
      </c>
      <c r="F17477" s="7" t="s">
        <v>17</v>
      </c>
      <c r="G17477" s="7">
        <v>4427542</v>
      </c>
      <c r="H17477" s="7">
        <v>2575</v>
      </c>
      <c r="I17477" s="7">
        <v>24</v>
      </c>
      <c r="J17477" s="7">
        <v>0</v>
      </c>
      <c r="K17477" s="7" t="s">
        <v>18</v>
      </c>
      <c r="L17477" s="8">
        <v>39987.315405092595</v>
      </c>
      <c r="M17477" s="9" t="s">
        <v>19</v>
      </c>
      <c r="N17477" s="9" t="s">
        <v>20</v>
      </c>
      <c r="O17477" s="6" t="str">
        <f>HYPERLINK("https://pbs.twimg.com/profile_images/962471262747529216/Uo8lOkRJ_normal.jpg","View")</f>
        <v>View</v>
      </c>
      <c r="P17477" s="7"/>
    </row>
    <row r="17478" spans="1:16">
      <c r="A17478" s="3">
        <v>44546.766689814816</v>
      </c>
      <c r="B17478" s="4" t="str">
        <f>HYPERLINK("https://twitter.com/petrogustavo","@petrogustavo")</f>
        <v>@petrogustavo</v>
      </c>
      <c r="C17478" s="5" t="s">
        <v>16</v>
      </c>
      <c r="D17478" s="5" t="s">
        <v>16823</v>
      </c>
      <c r="E17478" s="6" t="str">
        <f>HYPERLINK("https://twitter.com/petrogustavo/status/1471463630600343556","1471463630600343556")</f>
        <v>1471463630600343556</v>
      </c>
      <c r="F17478" s="7" t="s">
        <v>17</v>
      </c>
      <c r="G17478" s="7">
        <v>4427542</v>
      </c>
      <c r="H17478" s="7">
        <v>2575</v>
      </c>
      <c r="I17478" s="7">
        <v>51</v>
      </c>
      <c r="J17478" s="7">
        <v>0</v>
      </c>
      <c r="K17478" s="7" t="s">
        <v>18</v>
      </c>
      <c r="L17478" s="8">
        <v>39987.315405092595</v>
      </c>
      <c r="M17478" s="9" t="s">
        <v>19</v>
      </c>
      <c r="N17478" s="9" t="s">
        <v>20</v>
      </c>
      <c r="O17478" s="6" t="str">
        <f>HYPERLINK("https://pbs.twimg.com/profile_images/962471262747529216/Uo8lOkRJ_normal.jpg","View")</f>
        <v>View</v>
      </c>
      <c r="P17478" s="7"/>
    </row>
    <row r="17479" spans="1:16">
      <c r="A17479" s="3">
        <v>44546.770023148143</v>
      </c>
      <c r="B17479" s="4" t="str">
        <f>HYPERLINK("https://twitter.com/petrogustavo","@petrogustavo")</f>
        <v>@petrogustavo</v>
      </c>
      <c r="C17479" s="5" t="s">
        <v>16</v>
      </c>
      <c r="D17479" s="5" t="s">
        <v>16824</v>
      </c>
      <c r="E17479" s="6" t="str">
        <f>HYPERLINK("https://twitter.com/petrogustavo/status/1471464838257852425","1471464838257852425")</f>
        <v>1471464838257852425</v>
      </c>
      <c r="F17479" s="7" t="s">
        <v>17</v>
      </c>
      <c r="G17479" s="7">
        <v>4427542</v>
      </c>
      <c r="H17479" s="7">
        <v>2575</v>
      </c>
      <c r="I17479" s="7">
        <v>270</v>
      </c>
      <c r="J17479" s="7">
        <v>0</v>
      </c>
      <c r="K17479" s="7" t="s">
        <v>18</v>
      </c>
      <c r="L17479" s="8">
        <v>39987.315405092595</v>
      </c>
      <c r="M17479" s="9" t="s">
        <v>19</v>
      </c>
      <c r="N17479" s="9" t="s">
        <v>20</v>
      </c>
      <c r="O17479" s="6" t="str">
        <f>HYPERLINK("https://pbs.twimg.com/profile_images/962471262747529216/Uo8lOkRJ_normal.jpg","View")</f>
        <v>View</v>
      </c>
      <c r="P17479" s="7"/>
    </row>
    <row r="17480" spans="1:16">
      <c r="A17480" s="3">
        <v>44546.780115740738</v>
      </c>
      <c r="B17480" s="4" t="str">
        <f>HYPERLINK("https://twitter.com/petrogustavo","@petrogustavo")</f>
        <v>@petrogustavo</v>
      </c>
      <c r="C17480" s="5" t="s">
        <v>16</v>
      </c>
      <c r="D17480" s="5" t="s">
        <v>16825</v>
      </c>
      <c r="E17480" s="6" t="str">
        <f>HYPERLINK("https://twitter.com/petrogustavo/status/1471468495120613378","1471468495120613378")</f>
        <v>1471468495120613378</v>
      </c>
      <c r="F17480" s="7" t="s">
        <v>17</v>
      </c>
      <c r="G17480" s="7">
        <v>4427542</v>
      </c>
      <c r="H17480" s="7">
        <v>2575</v>
      </c>
      <c r="I17480" s="7">
        <v>253</v>
      </c>
      <c r="J17480" s="7">
        <v>0</v>
      </c>
      <c r="K17480" s="7" t="s">
        <v>18</v>
      </c>
      <c r="L17480" s="8">
        <v>39987.315405092595</v>
      </c>
      <c r="M17480" s="9" t="s">
        <v>19</v>
      </c>
      <c r="N17480" s="9" t="s">
        <v>20</v>
      </c>
      <c r="O17480" s="6" t="str">
        <f>HYPERLINK("https://pbs.twimg.com/profile_images/962471262747529216/Uo8lOkRJ_normal.jpg","View")</f>
        <v>View</v>
      </c>
      <c r="P17480" s="7"/>
    </row>
    <row r="17481" spans="1:16">
      <c r="A17481" s="3">
        <v>44547.145162037035</v>
      </c>
      <c r="B17481" s="4" t="str">
        <f>HYPERLINK("https://twitter.com/petrogustavo","@petrogustavo")</f>
        <v>@petrogustavo</v>
      </c>
      <c r="C17481" s="5" t="s">
        <v>16</v>
      </c>
      <c r="D17481" s="5" t="s">
        <v>16826</v>
      </c>
      <c r="E17481" s="6" t="str">
        <f>HYPERLINK("https://twitter.com/petrogustavo/status/1471600782877278212","1471600782877278212")</f>
        <v>1471600782877278212</v>
      </c>
      <c r="F17481" s="7" t="s">
        <v>21</v>
      </c>
      <c r="G17481" s="7">
        <v>4427823</v>
      </c>
      <c r="H17481" s="7">
        <v>2575</v>
      </c>
      <c r="I17481" s="7">
        <v>90</v>
      </c>
      <c r="J17481" s="7">
        <v>211</v>
      </c>
      <c r="K17481" s="7" t="s">
        <v>18</v>
      </c>
      <c r="L17481" s="8">
        <v>39987.315405092595</v>
      </c>
      <c r="M17481" s="9" t="s">
        <v>19</v>
      </c>
      <c r="N17481" s="9" t="s">
        <v>20</v>
      </c>
      <c r="O17481" s="6" t="str">
        <f>HYPERLINK("https://pbs.twimg.com/profile_images/962471262747529216/Uo8lOkRJ_normal.jpg","View")</f>
        <v>View</v>
      </c>
      <c r="P17481" s="7"/>
    </row>
    <row r="17482" spans="1:16">
      <c r="A17482" s="3">
        <v>44547.147974537038</v>
      </c>
      <c r="B17482" s="4" t="str">
        <f>HYPERLINK("https://twitter.com/petrogustavo","@petrogustavo")</f>
        <v>@petrogustavo</v>
      </c>
      <c r="C17482" s="5" t="s">
        <v>16</v>
      </c>
      <c r="D17482" s="5" t="s">
        <v>16827</v>
      </c>
      <c r="E17482" s="6" t="str">
        <f>HYPERLINK("https://twitter.com/petrogustavo/status/1471601802974015495","1471601802974015495")</f>
        <v>1471601802974015495</v>
      </c>
      <c r="F17482" s="7" t="s">
        <v>21</v>
      </c>
      <c r="G17482" s="7">
        <v>4427823</v>
      </c>
      <c r="H17482" s="7">
        <v>2575</v>
      </c>
      <c r="I17482" s="7">
        <v>116</v>
      </c>
      <c r="J17482" s="7">
        <v>225</v>
      </c>
      <c r="K17482" s="7" t="s">
        <v>18</v>
      </c>
      <c r="L17482" s="8">
        <v>39987.315405092595</v>
      </c>
      <c r="M17482" s="9" t="s">
        <v>19</v>
      </c>
      <c r="N17482" s="9" t="s">
        <v>20</v>
      </c>
      <c r="O17482" s="6" t="str">
        <f>HYPERLINK("https://pbs.twimg.com/profile_images/962471262747529216/Uo8lOkRJ_normal.jpg","View")</f>
        <v>View</v>
      </c>
      <c r="P17482" s="7"/>
    </row>
    <row r="17483" spans="1:16">
      <c r="A17483" s="3">
        <v>44547.303032407406</v>
      </c>
      <c r="B17483" s="4" t="str">
        <f>HYPERLINK("https://twitter.com/petrogustavo","@petrogustavo")</f>
        <v>@petrogustavo</v>
      </c>
      <c r="C17483" s="5" t="s">
        <v>16</v>
      </c>
      <c r="D17483" s="5" t="s">
        <v>16828</v>
      </c>
      <c r="E17483" s="6" t="str">
        <f>HYPERLINK("https://twitter.com/petrogustavo/status/1471657992722472961","1471657992722472961")</f>
        <v>1471657992722472961</v>
      </c>
      <c r="F17483" s="7" t="s">
        <v>17</v>
      </c>
      <c r="G17483" s="7">
        <v>4427971</v>
      </c>
      <c r="H17483" s="7">
        <v>2575</v>
      </c>
      <c r="I17483" s="7">
        <v>10</v>
      </c>
      <c r="J17483" s="7">
        <v>30</v>
      </c>
      <c r="K17483" s="7" t="s">
        <v>18</v>
      </c>
      <c r="L17483" s="8">
        <v>39987.315405092595</v>
      </c>
      <c r="M17483" s="9" t="s">
        <v>19</v>
      </c>
      <c r="N17483" s="9" t="s">
        <v>20</v>
      </c>
      <c r="O17483" s="6" t="str">
        <f>HYPERLINK("https://pbs.twimg.com/profile_images/962471262747529216/Uo8lOkRJ_normal.jpg","View")</f>
        <v>View</v>
      </c>
      <c r="P17483" s="7"/>
    </row>
    <row r="17484" spans="1:16">
      <c r="A17484" s="3">
        <v>44547.305312500001</v>
      </c>
      <c r="B17484" s="4" t="str">
        <f>HYPERLINK("https://twitter.com/petrogustavo","@petrogustavo")</f>
        <v>@petrogustavo</v>
      </c>
      <c r="C17484" s="5" t="s">
        <v>16</v>
      </c>
      <c r="D17484" s="5" t="s">
        <v>16829</v>
      </c>
      <c r="E17484" s="6" t="str">
        <f>HYPERLINK("https://twitter.com/petrogustavo/status/1471658818392240128","1471658818392240128")</f>
        <v>1471658818392240128</v>
      </c>
      <c r="F17484" s="7" t="s">
        <v>17</v>
      </c>
      <c r="G17484" s="7">
        <v>4427993</v>
      </c>
      <c r="H17484" s="7">
        <v>2575</v>
      </c>
      <c r="I17484" s="7">
        <v>66</v>
      </c>
      <c r="J17484" s="7">
        <v>248</v>
      </c>
      <c r="K17484" s="7" t="s">
        <v>18</v>
      </c>
      <c r="L17484" s="8">
        <v>39987.315405092595</v>
      </c>
      <c r="M17484" s="9" t="s">
        <v>19</v>
      </c>
      <c r="N17484" s="9" t="s">
        <v>20</v>
      </c>
      <c r="O17484" s="6" t="str">
        <f>HYPERLINK("https://pbs.twimg.com/profile_images/962471262747529216/Uo8lOkRJ_normal.jpg","View")</f>
        <v>View</v>
      </c>
      <c r="P17484" s="7"/>
    </row>
    <row r="17485" spans="1:16">
      <c r="A17485" s="3">
        <v>44547.345983796295</v>
      </c>
      <c r="B17485" s="4" t="str">
        <f>HYPERLINK("https://twitter.com/petrogustavo","@petrogustavo")</f>
        <v>@petrogustavo</v>
      </c>
      <c r="C17485" s="5" t="s">
        <v>16</v>
      </c>
      <c r="D17485" s="5" t="s">
        <v>16830</v>
      </c>
      <c r="E17485" s="6" t="str">
        <f>HYPERLINK("https://twitter.com/petrogustavo/status/1471673558493454337","1471673558493454337")</f>
        <v>1471673558493454337</v>
      </c>
      <c r="F17485" s="7" t="s">
        <v>17</v>
      </c>
      <c r="G17485" s="7">
        <v>4428049</v>
      </c>
      <c r="H17485" s="7">
        <v>2575</v>
      </c>
      <c r="I17485" s="7">
        <v>942</v>
      </c>
      <c r="J17485" s="7">
        <v>0</v>
      </c>
      <c r="K17485" s="7" t="s">
        <v>18</v>
      </c>
      <c r="L17485" s="8">
        <v>39987.315405092595</v>
      </c>
      <c r="M17485" s="9" t="s">
        <v>19</v>
      </c>
      <c r="N17485" s="9" t="s">
        <v>20</v>
      </c>
      <c r="O17485" s="6" t="str">
        <f>HYPERLINK("https://pbs.twimg.com/profile_images/962471262747529216/Uo8lOkRJ_normal.jpg","View")</f>
        <v>View</v>
      </c>
      <c r="P17485" s="7"/>
    </row>
    <row r="17486" spans="1:16">
      <c r="A17486" s="3">
        <v>44547.354699074072</v>
      </c>
      <c r="B17486" s="4" t="str">
        <f>HYPERLINK("https://twitter.com/petrogustavo","@petrogustavo")</f>
        <v>@petrogustavo</v>
      </c>
      <c r="C17486" s="5" t="s">
        <v>16</v>
      </c>
      <c r="D17486" s="5" t="s">
        <v>16831</v>
      </c>
      <c r="E17486" s="6" t="str">
        <f>HYPERLINK("https://twitter.com/petrogustavo/status/1471676718465400832","1471676718465400832")</f>
        <v>1471676718465400832</v>
      </c>
      <c r="F17486" s="7" t="s">
        <v>17</v>
      </c>
      <c r="G17486" s="7">
        <v>4428049</v>
      </c>
      <c r="H17486" s="7">
        <v>2575</v>
      </c>
      <c r="I17486" s="7">
        <v>63</v>
      </c>
      <c r="J17486" s="7">
        <v>176</v>
      </c>
      <c r="K17486" s="7" t="s">
        <v>18</v>
      </c>
      <c r="L17486" s="8">
        <v>39987.315405092595</v>
      </c>
      <c r="M17486" s="9" t="s">
        <v>19</v>
      </c>
      <c r="N17486" s="9" t="s">
        <v>20</v>
      </c>
      <c r="O17486" s="6" t="str">
        <f>HYPERLINK("https://pbs.twimg.com/profile_images/962471262747529216/Uo8lOkRJ_normal.jpg","View")</f>
        <v>View</v>
      </c>
      <c r="P17486" s="7"/>
    </row>
    <row r="17487" spans="1:16">
      <c r="A17487" s="3">
        <v>44547.95784722222</v>
      </c>
      <c r="B17487" s="4" t="str">
        <f>HYPERLINK("https://twitter.com/petrogustavo","@petrogustavo")</f>
        <v>@petrogustavo</v>
      </c>
      <c r="C17487" s="5" t="s">
        <v>16</v>
      </c>
      <c r="D17487" s="5" t="s">
        <v>16832</v>
      </c>
      <c r="E17487" s="6" t="str">
        <f>HYPERLINK("https://twitter.com/petrogustavo/status/1471895289485312012","1471895289485312012")</f>
        <v>1471895289485312012</v>
      </c>
      <c r="F17487" s="7" t="s">
        <v>17</v>
      </c>
      <c r="G17487" s="7">
        <v>4428433</v>
      </c>
      <c r="H17487" s="7">
        <v>2575</v>
      </c>
      <c r="I17487" s="7">
        <v>13</v>
      </c>
      <c r="J17487" s="7">
        <v>0</v>
      </c>
      <c r="K17487" s="7" t="s">
        <v>18</v>
      </c>
      <c r="L17487" s="8">
        <v>39987.315405092595</v>
      </c>
      <c r="M17487" s="9" t="s">
        <v>19</v>
      </c>
      <c r="N17487" s="9" t="s">
        <v>20</v>
      </c>
      <c r="O17487" s="6" t="str">
        <f>HYPERLINK("https://pbs.twimg.com/profile_images/962471262747529216/Uo8lOkRJ_normal.jpg","View")</f>
        <v>View</v>
      </c>
      <c r="P17487" s="7"/>
    </row>
    <row r="17488" spans="1:16">
      <c r="A17488" s="3">
        <v>44548.069444444445</v>
      </c>
      <c r="B17488" s="4" t="str">
        <f>HYPERLINK("https://twitter.com/petrogustavo","@petrogustavo")</f>
        <v>@petrogustavo</v>
      </c>
      <c r="C17488" s="5" t="s">
        <v>16</v>
      </c>
      <c r="D17488" s="5" t="s">
        <v>16833</v>
      </c>
      <c r="E17488" s="6" t="str">
        <f>HYPERLINK("https://twitter.com/petrogustavo/status/1471935733980147722","1471935733980147722")</f>
        <v>1471935733980147722</v>
      </c>
      <c r="F17488" s="7" t="s">
        <v>17</v>
      </c>
      <c r="G17488" s="7">
        <v>4428539</v>
      </c>
      <c r="H17488" s="7">
        <v>2574</v>
      </c>
      <c r="I17488" s="7">
        <v>886</v>
      </c>
      <c r="J17488" s="7">
        <v>0</v>
      </c>
      <c r="K17488" s="7" t="s">
        <v>18</v>
      </c>
      <c r="L17488" s="8">
        <v>39987.315405092595</v>
      </c>
      <c r="M17488" s="9" t="s">
        <v>19</v>
      </c>
      <c r="N17488" s="9" t="s">
        <v>20</v>
      </c>
      <c r="O17488" s="6" t="str">
        <f>HYPERLINK("https://pbs.twimg.com/profile_images/962471262747529216/Uo8lOkRJ_normal.jpg","View")</f>
        <v>View</v>
      </c>
      <c r="P17488" s="7"/>
    </row>
    <row r="17489" spans="1:16">
      <c r="A17489" s="3">
        <v>44548.165925925925</v>
      </c>
      <c r="B17489" s="4" t="str">
        <f>HYPERLINK("https://twitter.com/petrogustavo","@petrogustavo")</f>
        <v>@petrogustavo</v>
      </c>
      <c r="C17489" s="5" t="s">
        <v>16</v>
      </c>
      <c r="D17489" s="5" t="s">
        <v>16834</v>
      </c>
      <c r="E17489" s="6" t="str">
        <f>HYPERLINK("https://twitter.com/petrogustavo/status/1471970697970954245","1471970697970954245")</f>
        <v>1471970697970954245</v>
      </c>
      <c r="F17489" s="7" t="s">
        <v>17</v>
      </c>
      <c r="G17489" s="7">
        <v>4428652</v>
      </c>
      <c r="H17489" s="7">
        <v>2575</v>
      </c>
      <c r="I17489" s="7">
        <v>103</v>
      </c>
      <c r="J17489" s="7">
        <v>302</v>
      </c>
      <c r="K17489" s="7" t="s">
        <v>18</v>
      </c>
      <c r="L17489" s="8">
        <v>39987.315405092595</v>
      </c>
      <c r="M17489" s="9" t="s">
        <v>19</v>
      </c>
      <c r="N17489" s="9" t="s">
        <v>20</v>
      </c>
      <c r="O17489" s="6" t="str">
        <f>HYPERLINK("https://pbs.twimg.com/profile_images/962471262747529216/Uo8lOkRJ_normal.jpg","View")</f>
        <v>View</v>
      </c>
      <c r="P17489" s="7"/>
    </row>
    <row r="17490" spans="1:16">
      <c r="A17490" s="3">
        <v>44548.167164351849</v>
      </c>
      <c r="B17490" s="4" t="str">
        <f>HYPERLINK("https://twitter.com/petrogustavo","@petrogustavo")</f>
        <v>@petrogustavo</v>
      </c>
      <c r="C17490" s="5" t="s">
        <v>16</v>
      </c>
      <c r="D17490" s="5" t="s">
        <v>16835</v>
      </c>
      <c r="E17490" s="6" t="str">
        <f>HYPERLINK("https://twitter.com/petrogustavo/status/1471971145129857029","1471971145129857029")</f>
        <v>1471971145129857029</v>
      </c>
      <c r="F17490" s="7" t="s">
        <v>21</v>
      </c>
      <c r="G17490" s="7">
        <v>4428652</v>
      </c>
      <c r="H17490" s="7">
        <v>2575</v>
      </c>
      <c r="I17490" s="7">
        <v>50</v>
      </c>
      <c r="J17490" s="7">
        <v>137</v>
      </c>
      <c r="K17490" s="7" t="s">
        <v>18</v>
      </c>
      <c r="L17490" s="8">
        <v>39987.315405092595</v>
      </c>
      <c r="M17490" s="9" t="s">
        <v>19</v>
      </c>
      <c r="N17490" s="9" t="s">
        <v>20</v>
      </c>
      <c r="O17490" s="6" t="str">
        <f>HYPERLINK("https://pbs.twimg.com/profile_images/962471262747529216/Uo8lOkRJ_normal.jpg","View")</f>
        <v>View</v>
      </c>
      <c r="P17490" s="7"/>
    </row>
    <row r="17491" spans="1:16">
      <c r="A17491" s="3">
        <v>44548.169722222221</v>
      </c>
      <c r="B17491" s="4" t="str">
        <f>HYPERLINK("https://twitter.com/petrogustavo","@petrogustavo")</f>
        <v>@petrogustavo</v>
      </c>
      <c r="C17491" s="5" t="s">
        <v>16</v>
      </c>
      <c r="D17491" s="5" t="s">
        <v>16836</v>
      </c>
      <c r="E17491" s="6" t="str">
        <f>HYPERLINK("https://twitter.com/petrogustavo/status/1471972072645709824","1471972072645709824")</f>
        <v>1471972072645709824</v>
      </c>
      <c r="F17491" s="7" t="s">
        <v>32</v>
      </c>
      <c r="G17491" s="7">
        <v>4428652</v>
      </c>
      <c r="H17491" s="7">
        <v>2575</v>
      </c>
      <c r="I17491" s="7">
        <v>41</v>
      </c>
      <c r="J17491" s="7">
        <v>152</v>
      </c>
      <c r="K17491" s="7" t="s">
        <v>18</v>
      </c>
      <c r="L17491" s="8">
        <v>39987.315405092595</v>
      </c>
      <c r="M17491" s="9" t="s">
        <v>19</v>
      </c>
      <c r="N17491" s="9" t="s">
        <v>20</v>
      </c>
      <c r="O17491" s="6" t="str">
        <f>HYPERLINK("https://pbs.twimg.com/profile_images/962471262747529216/Uo8lOkRJ_normal.jpg","View")</f>
        <v>View</v>
      </c>
      <c r="P17491" s="7"/>
    </row>
    <row r="17492" spans="1:16">
      <c r="A17492" s="3">
        <v>44548.17</v>
      </c>
      <c r="B17492" s="4" t="str">
        <f>HYPERLINK("https://twitter.com/petrogustavo","@petrogustavo")</f>
        <v>@petrogustavo</v>
      </c>
      <c r="C17492" s="5" t="s">
        <v>16</v>
      </c>
      <c r="D17492" s="5" t="s">
        <v>16837</v>
      </c>
      <c r="E17492" s="6" t="str">
        <f>HYPERLINK("https://twitter.com/petrogustavo/status/1471972173208293388","1471972173208293388")</f>
        <v>1471972173208293388</v>
      </c>
      <c r="F17492" s="7" t="s">
        <v>32</v>
      </c>
      <c r="G17492" s="7">
        <v>4428652</v>
      </c>
      <c r="H17492" s="7">
        <v>2575</v>
      </c>
      <c r="I17492" s="7">
        <v>50</v>
      </c>
      <c r="J17492" s="7">
        <v>0</v>
      </c>
      <c r="K17492" s="7" t="s">
        <v>18</v>
      </c>
      <c r="L17492" s="8">
        <v>39987.315405092595</v>
      </c>
      <c r="M17492" s="9" t="s">
        <v>19</v>
      </c>
      <c r="N17492" s="9" t="s">
        <v>20</v>
      </c>
      <c r="O17492" s="6" t="str">
        <f>HYPERLINK("https://pbs.twimg.com/profile_images/962471262747529216/Uo8lOkRJ_normal.jpg","View")</f>
        <v>View</v>
      </c>
      <c r="P17492" s="7"/>
    </row>
    <row r="17493" spans="1:16">
      <c r="A17493" s="3">
        <v>44548.235706018517</v>
      </c>
      <c r="B17493" s="4" t="str">
        <f>HYPERLINK("https://twitter.com/petrogustavo","@petrogustavo")</f>
        <v>@petrogustavo</v>
      </c>
      <c r="C17493" s="5" t="s">
        <v>16</v>
      </c>
      <c r="D17493" s="5" t="s">
        <v>16838</v>
      </c>
      <c r="E17493" s="6" t="str">
        <f>HYPERLINK("https://twitter.com/petrogustavo/status/1471995984595111940","1471995984595111940")</f>
        <v>1471995984595111940</v>
      </c>
      <c r="F17493" s="7" t="s">
        <v>17</v>
      </c>
      <c r="G17493" s="7">
        <v>4428720</v>
      </c>
      <c r="H17493" s="7">
        <v>2575</v>
      </c>
      <c r="I17493" s="7">
        <v>66</v>
      </c>
      <c r="J17493" s="7">
        <v>133</v>
      </c>
      <c r="K17493" s="7" t="s">
        <v>18</v>
      </c>
      <c r="L17493" s="8">
        <v>39987.315405092595</v>
      </c>
      <c r="M17493" s="9" t="s">
        <v>19</v>
      </c>
      <c r="N17493" s="9" t="s">
        <v>20</v>
      </c>
      <c r="O17493" s="6" t="str">
        <f>HYPERLINK("https://pbs.twimg.com/profile_images/962471262747529216/Uo8lOkRJ_normal.jpg","View")</f>
        <v>View</v>
      </c>
      <c r="P17493" s="7"/>
    </row>
    <row r="17494" spans="1:16">
      <c r="A17494" s="3">
        <v>44548.276620370365</v>
      </c>
      <c r="B17494" s="4" t="str">
        <f>HYPERLINK("https://twitter.com/petrogustavo","@petrogustavo")</f>
        <v>@petrogustavo</v>
      </c>
      <c r="C17494" s="5" t="s">
        <v>16</v>
      </c>
      <c r="D17494" s="5" t="s">
        <v>16839</v>
      </c>
      <c r="E17494" s="6" t="str">
        <f>HYPERLINK("https://twitter.com/petrogustavo/status/1472010808603422727","1472010808603422727")</f>
        <v>1472010808603422727</v>
      </c>
      <c r="F17494" s="7" t="s">
        <v>17</v>
      </c>
      <c r="G17494" s="7">
        <v>4428765</v>
      </c>
      <c r="H17494" s="7">
        <v>2575</v>
      </c>
      <c r="I17494" s="7">
        <v>50</v>
      </c>
      <c r="J17494" s="7">
        <v>133</v>
      </c>
      <c r="K17494" s="7" t="s">
        <v>18</v>
      </c>
      <c r="L17494" s="8">
        <v>39987.315405092595</v>
      </c>
      <c r="M17494" s="9" t="s">
        <v>19</v>
      </c>
      <c r="N17494" s="9" t="s">
        <v>20</v>
      </c>
      <c r="O17494" s="6" t="str">
        <f>HYPERLINK("https://pbs.twimg.com/profile_images/962471262747529216/Uo8lOkRJ_normal.jpg","View")</f>
        <v>View</v>
      </c>
      <c r="P17494" s="7"/>
    </row>
    <row r="17495" spans="1:16">
      <c r="A17495" s="3">
        <v>44548.276805555557</v>
      </c>
      <c r="B17495" s="4" t="str">
        <f>HYPERLINK("https://twitter.com/petrogustavo","@petrogustavo")</f>
        <v>@petrogustavo</v>
      </c>
      <c r="C17495" s="5" t="s">
        <v>16</v>
      </c>
      <c r="D17495" s="5" t="s">
        <v>16840</v>
      </c>
      <c r="E17495" s="6" t="str">
        <f>HYPERLINK("https://twitter.com/petrogustavo/status/1472010875645173767","1472010875645173767")</f>
        <v>1472010875645173767</v>
      </c>
      <c r="F17495" s="7" t="s">
        <v>17</v>
      </c>
      <c r="G17495" s="7">
        <v>4428765</v>
      </c>
      <c r="H17495" s="7">
        <v>2575</v>
      </c>
      <c r="I17495" s="7">
        <v>296</v>
      </c>
      <c r="J17495" s="7">
        <v>0</v>
      </c>
      <c r="K17495" s="7" t="s">
        <v>18</v>
      </c>
      <c r="L17495" s="8">
        <v>39987.315405092595</v>
      </c>
      <c r="M17495" s="9" t="s">
        <v>19</v>
      </c>
      <c r="N17495" s="9" t="s">
        <v>20</v>
      </c>
      <c r="O17495" s="6" t="str">
        <f>HYPERLINK("https://pbs.twimg.com/profile_images/962471262747529216/Uo8lOkRJ_normal.jpg","View")</f>
        <v>View</v>
      </c>
      <c r="P17495" s="7"/>
    </row>
    <row r="17496" spans="1:16">
      <c r="A17496" s="3">
        <v>44548.279039351852</v>
      </c>
      <c r="B17496" s="4" t="str">
        <f>HYPERLINK("https://twitter.com/petrogustavo","@petrogustavo")</f>
        <v>@petrogustavo</v>
      </c>
      <c r="C17496" s="5" t="s">
        <v>16</v>
      </c>
      <c r="D17496" s="5" t="s">
        <v>16841</v>
      </c>
      <c r="E17496" s="6" t="str">
        <f>HYPERLINK("https://twitter.com/petrogustavo/status/1472011685292556290","1472011685292556290")</f>
        <v>1472011685292556290</v>
      </c>
      <c r="F17496" s="7" t="s">
        <v>17</v>
      </c>
      <c r="G17496" s="7">
        <v>4428765</v>
      </c>
      <c r="H17496" s="7">
        <v>2575</v>
      </c>
      <c r="I17496" s="7">
        <v>216</v>
      </c>
      <c r="J17496" s="7">
        <v>0</v>
      </c>
      <c r="K17496" s="7" t="s">
        <v>18</v>
      </c>
      <c r="L17496" s="8">
        <v>39987.315405092595</v>
      </c>
      <c r="M17496" s="9" t="s">
        <v>19</v>
      </c>
      <c r="N17496" s="9" t="s">
        <v>20</v>
      </c>
      <c r="O17496" s="6" t="str">
        <f>HYPERLINK("https://pbs.twimg.com/profile_images/962471262747529216/Uo8lOkRJ_normal.jpg","View")</f>
        <v>View</v>
      </c>
      <c r="P17496" s="7"/>
    </row>
    <row r="17497" spans="1:16">
      <c r="A17497" s="3">
        <v>44548.779444444444</v>
      </c>
      <c r="B17497" s="4" t="str">
        <f>HYPERLINK("https://twitter.com/petrogustavo","@petrogustavo")</f>
        <v>@petrogustavo</v>
      </c>
      <c r="C17497" s="5" t="s">
        <v>16</v>
      </c>
      <c r="D17497" s="5" t="s">
        <v>16842</v>
      </c>
      <c r="E17497" s="6" t="str">
        <f>HYPERLINK("https://twitter.com/petrogustavo/status/1472193028643295239","1472193028643295239")</f>
        <v>1472193028643295239</v>
      </c>
      <c r="F17497" s="7" t="s">
        <v>17</v>
      </c>
      <c r="G17497" s="7">
        <v>4429006</v>
      </c>
      <c r="H17497" s="7">
        <v>2574</v>
      </c>
      <c r="I17497" s="7">
        <v>560</v>
      </c>
      <c r="J17497" s="7">
        <v>0</v>
      </c>
      <c r="K17497" s="7" t="s">
        <v>18</v>
      </c>
      <c r="L17497" s="8">
        <v>39987.315405092595</v>
      </c>
      <c r="M17497" s="9" t="s">
        <v>19</v>
      </c>
      <c r="N17497" s="9" t="s">
        <v>20</v>
      </c>
      <c r="O17497" s="6" t="str">
        <f>HYPERLINK("https://pbs.twimg.com/profile_images/962471262747529216/Uo8lOkRJ_normal.jpg","View")</f>
        <v>View</v>
      </c>
      <c r="P17497" s="7"/>
    </row>
    <row r="17498" spans="1:16">
      <c r="A17498" s="3">
        <v>44548.780381944445</v>
      </c>
      <c r="B17498" s="4" t="str">
        <f>HYPERLINK("https://twitter.com/petrogustavo","@petrogustavo")</f>
        <v>@petrogustavo</v>
      </c>
      <c r="C17498" s="5" t="s">
        <v>16</v>
      </c>
      <c r="D17498" s="5" t="s">
        <v>16843</v>
      </c>
      <c r="E17498" s="6" t="str">
        <f>HYPERLINK("https://twitter.com/petrogustavo/status/1472193367366901760","1472193367366901760")</f>
        <v>1472193367366901760</v>
      </c>
      <c r="F17498" s="7" t="s">
        <v>17</v>
      </c>
      <c r="G17498" s="7">
        <v>4429006</v>
      </c>
      <c r="H17498" s="7">
        <v>2574</v>
      </c>
      <c r="I17498" s="7">
        <v>252</v>
      </c>
      <c r="J17498" s="7">
        <v>0</v>
      </c>
      <c r="K17498" s="7" t="s">
        <v>18</v>
      </c>
      <c r="L17498" s="8">
        <v>39987.315405092595</v>
      </c>
      <c r="M17498" s="9" t="s">
        <v>19</v>
      </c>
      <c r="N17498" s="9" t="s">
        <v>20</v>
      </c>
      <c r="O17498" s="6" t="str">
        <f>HYPERLINK("https://pbs.twimg.com/profile_images/962471262747529216/Uo8lOkRJ_normal.jpg","View")</f>
        <v>View</v>
      </c>
      <c r="P17498" s="7"/>
    </row>
    <row r="17499" spans="1:16">
      <c r="A17499" s="3">
        <v>44548.895243055551</v>
      </c>
      <c r="B17499" s="4" t="str">
        <f>HYPERLINK("https://twitter.com/petrogustavo","@petrogustavo")</f>
        <v>@petrogustavo</v>
      </c>
      <c r="C17499" s="5" t="s">
        <v>16</v>
      </c>
      <c r="D17499" s="5" t="s">
        <v>16844</v>
      </c>
      <c r="E17499" s="6" t="str">
        <f>HYPERLINK("https://twitter.com/petrogustavo/status/1472234992759619592","1472234992759619592")</f>
        <v>1472234992759619592</v>
      </c>
      <c r="F17499" s="7" t="s">
        <v>17</v>
      </c>
      <c r="G17499" s="7">
        <v>4429087</v>
      </c>
      <c r="H17499" s="7">
        <v>2574</v>
      </c>
      <c r="I17499" s="7">
        <v>149</v>
      </c>
      <c r="J17499" s="7">
        <v>421</v>
      </c>
      <c r="K17499" s="7" t="s">
        <v>18</v>
      </c>
      <c r="L17499" s="8">
        <v>39987.315405092595</v>
      </c>
      <c r="M17499" s="9" t="s">
        <v>19</v>
      </c>
      <c r="N17499" s="9" t="s">
        <v>20</v>
      </c>
      <c r="O17499" s="6" t="str">
        <f>HYPERLINK("https://pbs.twimg.com/profile_images/962471262747529216/Uo8lOkRJ_normal.jpg","View")</f>
        <v>View</v>
      </c>
      <c r="P17499" s="7"/>
    </row>
    <row r="17500" spans="1:16">
      <c r="A17500" s="3">
        <v>44548.913969907408</v>
      </c>
      <c r="B17500" s="4" t="str">
        <f>HYPERLINK("https://twitter.com/petrogustavo","@petrogustavo")</f>
        <v>@petrogustavo</v>
      </c>
      <c r="C17500" s="5" t="s">
        <v>16</v>
      </c>
      <c r="D17500" s="5" t="s">
        <v>16845</v>
      </c>
      <c r="E17500" s="6" t="str">
        <f>HYPERLINK("https://twitter.com/petrogustavo/status/1472241779911151625","1472241779911151625")</f>
        <v>1472241779911151625</v>
      </c>
      <c r="F17500" s="7" t="s">
        <v>17</v>
      </c>
      <c r="G17500" s="7">
        <v>4429087</v>
      </c>
      <c r="H17500" s="7">
        <v>2574</v>
      </c>
      <c r="I17500" s="7">
        <v>149</v>
      </c>
      <c r="J17500" s="7">
        <v>0</v>
      </c>
      <c r="K17500" s="7" t="s">
        <v>18</v>
      </c>
      <c r="L17500" s="8">
        <v>39987.315405092595</v>
      </c>
      <c r="M17500" s="9" t="s">
        <v>19</v>
      </c>
      <c r="N17500" s="9" t="s">
        <v>20</v>
      </c>
      <c r="O17500" s="6" t="str">
        <f>HYPERLINK("https://pbs.twimg.com/profile_images/962471262747529216/Uo8lOkRJ_normal.jpg","View")</f>
        <v>View</v>
      </c>
      <c r="P17500" s="7"/>
    </row>
    <row r="17501" spans="1:16">
      <c r="A17501" s="3">
        <v>44548.965613425928</v>
      </c>
      <c r="B17501" s="4" t="str">
        <f>HYPERLINK("https://twitter.com/petrogustavo","@petrogustavo")</f>
        <v>@petrogustavo</v>
      </c>
      <c r="C17501" s="5" t="s">
        <v>16</v>
      </c>
      <c r="D17501" s="5" t="s">
        <v>16846</v>
      </c>
      <c r="E17501" s="6" t="str">
        <f>HYPERLINK("https://twitter.com/petrogustavo/status/1472260494060888069","1472260494060888069")</f>
        <v>1472260494060888069</v>
      </c>
      <c r="F17501" s="7" t="s">
        <v>17</v>
      </c>
      <c r="G17501" s="7">
        <v>4429142</v>
      </c>
      <c r="H17501" s="7">
        <v>2574</v>
      </c>
      <c r="I17501" s="7">
        <v>152</v>
      </c>
      <c r="J17501" s="7">
        <v>499</v>
      </c>
      <c r="K17501" s="7" t="s">
        <v>18</v>
      </c>
      <c r="L17501" s="8">
        <v>39987.315405092595</v>
      </c>
      <c r="M17501" s="9" t="s">
        <v>19</v>
      </c>
      <c r="N17501" s="9" t="s">
        <v>20</v>
      </c>
      <c r="O17501" s="6" t="str">
        <f>HYPERLINK("https://pbs.twimg.com/profile_images/962471262747529216/Uo8lOkRJ_normal.jpg","View")</f>
        <v>View</v>
      </c>
      <c r="P17501" s="7"/>
    </row>
    <row r="17502" spans="1:16">
      <c r="A17502" s="3">
        <v>44548.97084490741</v>
      </c>
      <c r="B17502" s="4" t="str">
        <f>HYPERLINK("https://twitter.com/petrogustavo","@petrogustavo")</f>
        <v>@petrogustavo</v>
      </c>
      <c r="C17502" s="5" t="s">
        <v>16</v>
      </c>
      <c r="D17502" s="5" t="s">
        <v>16845</v>
      </c>
      <c r="E17502" s="6" t="str">
        <f>HYPERLINK("https://twitter.com/petrogustavo/status/1472262390242844680","1472262390242844680")</f>
        <v>1472262390242844680</v>
      </c>
      <c r="F17502" s="7" t="s">
        <v>17</v>
      </c>
      <c r="G17502" s="7">
        <v>4429142</v>
      </c>
      <c r="H17502" s="7">
        <v>2574</v>
      </c>
      <c r="I17502" s="7">
        <v>278</v>
      </c>
      <c r="J17502" s="7">
        <v>0</v>
      </c>
      <c r="K17502" s="7" t="s">
        <v>18</v>
      </c>
      <c r="L17502" s="8">
        <v>39987.315405092595</v>
      </c>
      <c r="M17502" s="9" t="s">
        <v>19</v>
      </c>
      <c r="N17502" s="9" t="s">
        <v>20</v>
      </c>
      <c r="O17502" s="6" t="str">
        <f>HYPERLINK("https://pbs.twimg.com/profile_images/962471262747529216/Uo8lOkRJ_normal.jpg","View")</f>
        <v>View</v>
      </c>
      <c r="P17502" s="7"/>
    </row>
    <row r="17503" spans="1:16">
      <c r="A17503" s="3">
        <v>44549.034050925926</v>
      </c>
      <c r="B17503" s="4" t="str">
        <f>HYPERLINK("https://twitter.com/petrogustavo","@petrogustavo")</f>
        <v>@petrogustavo</v>
      </c>
      <c r="C17503" s="5" t="s">
        <v>16</v>
      </c>
      <c r="D17503" s="5" t="s">
        <v>16847</v>
      </c>
      <c r="E17503" s="6" t="str">
        <f>HYPERLINK("https://twitter.com/petrogustavo/status/1472285295768920065","1472285295768920065")</f>
        <v>1472285295768920065</v>
      </c>
      <c r="F17503" s="7" t="s">
        <v>17</v>
      </c>
      <c r="G17503" s="7">
        <v>4429139</v>
      </c>
      <c r="H17503" s="7">
        <v>2574</v>
      </c>
      <c r="I17503" s="7">
        <v>147</v>
      </c>
      <c r="J17503" s="7">
        <v>449</v>
      </c>
      <c r="K17503" s="7" t="s">
        <v>18</v>
      </c>
      <c r="L17503" s="8">
        <v>39987.315405092595</v>
      </c>
      <c r="M17503" s="9" t="s">
        <v>19</v>
      </c>
      <c r="N17503" s="9" t="s">
        <v>20</v>
      </c>
      <c r="O17503" s="6" t="str">
        <f>HYPERLINK("https://pbs.twimg.com/profile_images/962471262747529216/Uo8lOkRJ_normal.jpg","View")</f>
        <v>View</v>
      </c>
      <c r="P17503" s="7"/>
    </row>
    <row r="17504" spans="1:16">
      <c r="A17504" s="3">
        <v>44549.044108796297</v>
      </c>
      <c r="B17504" s="4" t="str">
        <f>HYPERLINK("https://twitter.com/petrogustavo","@petrogustavo")</f>
        <v>@petrogustavo</v>
      </c>
      <c r="C17504" s="5" t="s">
        <v>16</v>
      </c>
      <c r="D17504" s="5" t="s">
        <v>16848</v>
      </c>
      <c r="E17504" s="6" t="str">
        <f>HYPERLINK("https://twitter.com/petrogustavo/status/1472288940946247680","1472288940946247680")</f>
        <v>1472288940946247680</v>
      </c>
      <c r="F17504" s="7" t="s">
        <v>17</v>
      </c>
      <c r="G17504" s="7">
        <v>4429139</v>
      </c>
      <c r="H17504" s="7">
        <v>2574</v>
      </c>
      <c r="I17504" s="7">
        <v>61</v>
      </c>
      <c r="J17504" s="7">
        <v>162</v>
      </c>
      <c r="K17504" s="7" t="s">
        <v>18</v>
      </c>
      <c r="L17504" s="8">
        <v>39987.315405092595</v>
      </c>
      <c r="M17504" s="9" t="s">
        <v>19</v>
      </c>
      <c r="N17504" s="9" t="s">
        <v>20</v>
      </c>
      <c r="O17504" s="6" t="str">
        <f>HYPERLINK("https://pbs.twimg.com/profile_images/962471262747529216/Uo8lOkRJ_normal.jpg","View")</f>
        <v>View</v>
      </c>
      <c r="P17504" s="7"/>
    </row>
    <row r="17505" spans="1:16">
      <c r="A17505" s="3">
        <v>44549.063900462963</v>
      </c>
      <c r="B17505" s="4" t="str">
        <f>HYPERLINK("https://twitter.com/petrogustavo","@petrogustavo")</f>
        <v>@petrogustavo</v>
      </c>
      <c r="C17505" s="5" t="s">
        <v>16</v>
      </c>
      <c r="D17505" s="5" t="s">
        <v>16849</v>
      </c>
      <c r="E17505" s="6" t="str">
        <f>HYPERLINK("https://twitter.com/petrogustavo/status/1472296112140783620","1472296112140783620")</f>
        <v>1472296112140783620</v>
      </c>
      <c r="F17505" s="7" t="s">
        <v>17</v>
      </c>
      <c r="G17505" s="7">
        <v>4429148</v>
      </c>
      <c r="H17505" s="7">
        <v>2574</v>
      </c>
      <c r="I17505" s="7">
        <v>59</v>
      </c>
      <c r="J17505" s="7">
        <v>184</v>
      </c>
      <c r="K17505" s="7" t="s">
        <v>18</v>
      </c>
      <c r="L17505" s="8">
        <v>39987.315405092595</v>
      </c>
      <c r="M17505" s="9" t="s">
        <v>19</v>
      </c>
      <c r="N17505" s="9" t="s">
        <v>20</v>
      </c>
      <c r="O17505" s="6" t="str">
        <f>HYPERLINK("https://pbs.twimg.com/profile_images/962471262747529216/Uo8lOkRJ_normal.jpg","View")</f>
        <v>View</v>
      </c>
      <c r="P17505" s="7"/>
    </row>
    <row r="17506" spans="1:16">
      <c r="A17506" s="3">
        <v>44549.071261574078</v>
      </c>
      <c r="B17506" s="4" t="str">
        <f>HYPERLINK("https://twitter.com/petrogustavo","@petrogustavo")</f>
        <v>@petrogustavo</v>
      </c>
      <c r="C17506" s="5" t="s">
        <v>16</v>
      </c>
      <c r="D17506" s="5" t="s">
        <v>16850</v>
      </c>
      <c r="E17506" s="6" t="str">
        <f>HYPERLINK("https://twitter.com/petrogustavo/status/1472298778736611335","1472298778736611335")</f>
        <v>1472298778736611335</v>
      </c>
      <c r="F17506" s="7" t="s">
        <v>17</v>
      </c>
      <c r="G17506" s="7">
        <v>4429148</v>
      </c>
      <c r="H17506" s="7">
        <v>2574</v>
      </c>
      <c r="I17506" s="7">
        <v>29</v>
      </c>
      <c r="J17506" s="7">
        <v>68</v>
      </c>
      <c r="K17506" s="7" t="s">
        <v>18</v>
      </c>
      <c r="L17506" s="8">
        <v>39987.315405092595</v>
      </c>
      <c r="M17506" s="9" t="s">
        <v>19</v>
      </c>
      <c r="N17506" s="9" t="s">
        <v>20</v>
      </c>
      <c r="O17506" s="6" t="str">
        <f>HYPERLINK("https://pbs.twimg.com/profile_images/962471262747529216/Uo8lOkRJ_normal.jpg","View")</f>
        <v>View</v>
      </c>
      <c r="P17506" s="7"/>
    </row>
    <row r="17507" spans="1:16">
      <c r="A17507" s="3">
        <v>44549.073113425926</v>
      </c>
      <c r="B17507" s="4" t="str">
        <f>HYPERLINK("https://twitter.com/petrogustavo","@petrogustavo")</f>
        <v>@petrogustavo</v>
      </c>
      <c r="C17507" s="5" t="s">
        <v>16</v>
      </c>
      <c r="D17507" s="5" t="s">
        <v>16851</v>
      </c>
      <c r="E17507" s="6" t="str">
        <f>HYPERLINK("https://twitter.com/petrogustavo/status/1472299450924244996","1472299450924244996")</f>
        <v>1472299450924244996</v>
      </c>
      <c r="F17507" s="7" t="s">
        <v>17</v>
      </c>
      <c r="G17507" s="7">
        <v>4429148</v>
      </c>
      <c r="H17507" s="7">
        <v>2574</v>
      </c>
      <c r="I17507" s="7">
        <v>34</v>
      </c>
      <c r="J17507" s="7">
        <v>101</v>
      </c>
      <c r="K17507" s="7" t="s">
        <v>18</v>
      </c>
      <c r="L17507" s="8">
        <v>39987.315405092595</v>
      </c>
      <c r="M17507" s="9" t="s">
        <v>19</v>
      </c>
      <c r="N17507" s="9" t="s">
        <v>20</v>
      </c>
      <c r="O17507" s="6" t="str">
        <f>HYPERLINK("https://pbs.twimg.com/profile_images/962471262747529216/Uo8lOkRJ_normal.jpg","View")</f>
        <v>View</v>
      </c>
      <c r="P17507" s="7"/>
    </row>
    <row r="17508" spans="1:16">
      <c r="A17508" s="3">
        <v>44549.07503472222</v>
      </c>
      <c r="B17508" s="4" t="str">
        <f>HYPERLINK("https://twitter.com/petrogustavo","@petrogustavo")</f>
        <v>@petrogustavo</v>
      </c>
      <c r="C17508" s="5" t="s">
        <v>16</v>
      </c>
      <c r="D17508" s="5" t="s">
        <v>16852</v>
      </c>
      <c r="E17508" s="6" t="str">
        <f>HYPERLINK("https://twitter.com/petrogustavo/status/1472300144364240900","1472300144364240900")</f>
        <v>1472300144364240900</v>
      </c>
      <c r="F17508" s="7" t="s">
        <v>17</v>
      </c>
      <c r="G17508" s="7">
        <v>4429148</v>
      </c>
      <c r="H17508" s="7">
        <v>2574</v>
      </c>
      <c r="I17508" s="7">
        <v>0</v>
      </c>
      <c r="J17508" s="7">
        <v>0</v>
      </c>
      <c r="K17508" s="7" t="s">
        <v>18</v>
      </c>
      <c r="L17508" s="8">
        <v>39987.315405092595</v>
      </c>
      <c r="M17508" s="9" t="s">
        <v>19</v>
      </c>
      <c r="N17508" s="9" t="s">
        <v>20</v>
      </c>
      <c r="O17508" s="6" t="str">
        <f>HYPERLINK("https://pbs.twimg.com/profile_images/962471262747529216/Uo8lOkRJ_normal.jpg","View")</f>
        <v>View</v>
      </c>
      <c r="P17508" s="7"/>
    </row>
    <row r="17509" spans="1:16">
      <c r="A17509" s="3">
        <v>44549.085717592592</v>
      </c>
      <c r="B17509" s="4" t="str">
        <f>HYPERLINK("https://twitter.com/petrogustavo","@petrogustavo")</f>
        <v>@petrogustavo</v>
      </c>
      <c r="C17509" s="5" t="s">
        <v>16</v>
      </c>
      <c r="D17509" s="5" t="s">
        <v>16853</v>
      </c>
      <c r="E17509" s="6" t="str">
        <f>HYPERLINK("https://twitter.com/petrogustavo/status/1472304015987953677","1472304015987953677")</f>
        <v>1472304015987953677</v>
      </c>
      <c r="F17509" s="7" t="s">
        <v>17</v>
      </c>
      <c r="G17509" s="7">
        <v>4429152</v>
      </c>
      <c r="H17509" s="7">
        <v>2574</v>
      </c>
      <c r="I17509" s="7">
        <v>28</v>
      </c>
      <c r="J17509" s="7">
        <v>99</v>
      </c>
      <c r="K17509" s="7" t="s">
        <v>18</v>
      </c>
      <c r="L17509" s="8">
        <v>39987.315405092595</v>
      </c>
      <c r="M17509" s="9" t="s">
        <v>19</v>
      </c>
      <c r="N17509" s="9" t="s">
        <v>20</v>
      </c>
      <c r="O17509" s="6" t="str">
        <f>HYPERLINK("https://pbs.twimg.com/profile_images/962471262747529216/Uo8lOkRJ_normal.jpg","View")</f>
        <v>View</v>
      </c>
      <c r="P17509" s="7"/>
    </row>
    <row r="17510" spans="1:16">
      <c r="A17510" s="3">
        <v>44549.099537037036</v>
      </c>
      <c r="B17510" s="4" t="str">
        <f>HYPERLINK("https://twitter.com/petrogustavo","@petrogustavo")</f>
        <v>@petrogustavo</v>
      </c>
      <c r="C17510" s="5" t="s">
        <v>16</v>
      </c>
      <c r="D17510" s="5" t="s">
        <v>16854</v>
      </c>
      <c r="E17510" s="6" t="str">
        <f>HYPERLINK("https://twitter.com/petrogustavo/status/1472309025433919503","1472309025433919503")</f>
        <v>1472309025433919503</v>
      </c>
      <c r="F17510" s="7" t="s">
        <v>17</v>
      </c>
      <c r="G17510" s="7">
        <v>4429170</v>
      </c>
      <c r="H17510" s="7">
        <v>2574</v>
      </c>
      <c r="I17510" s="7">
        <v>349</v>
      </c>
      <c r="J17510" s="7">
        <v>0</v>
      </c>
      <c r="K17510" s="7" t="s">
        <v>18</v>
      </c>
      <c r="L17510" s="8">
        <v>39987.315405092595</v>
      </c>
      <c r="M17510" s="9" t="s">
        <v>19</v>
      </c>
      <c r="N17510" s="9" t="s">
        <v>20</v>
      </c>
      <c r="O17510" s="6" t="str">
        <f>HYPERLINK("https://pbs.twimg.com/profile_images/962471262747529216/Uo8lOkRJ_normal.jpg","View")</f>
        <v>View</v>
      </c>
      <c r="P17510" s="7"/>
    </row>
    <row r="17511" spans="1:16">
      <c r="A17511" s="3">
        <v>44549.121203703704</v>
      </c>
      <c r="B17511" s="4" t="str">
        <f>HYPERLINK("https://twitter.com/petrogustavo","@petrogustavo")</f>
        <v>@petrogustavo</v>
      </c>
      <c r="C17511" s="5" t="s">
        <v>16</v>
      </c>
      <c r="D17511" s="5" t="s">
        <v>16855</v>
      </c>
      <c r="E17511" s="6" t="str">
        <f>HYPERLINK("https://twitter.com/petrogustavo/status/1472316877569466369","1472316877569466369")</f>
        <v>1472316877569466369</v>
      </c>
      <c r="F17511" s="7" t="s">
        <v>17</v>
      </c>
      <c r="G17511" s="7">
        <v>4429190</v>
      </c>
      <c r="H17511" s="7">
        <v>2574</v>
      </c>
      <c r="I17511" s="7">
        <v>67</v>
      </c>
      <c r="J17511" s="7">
        <v>232</v>
      </c>
      <c r="K17511" s="7" t="s">
        <v>18</v>
      </c>
      <c r="L17511" s="8">
        <v>39987.315405092595</v>
      </c>
      <c r="M17511" s="9" t="s">
        <v>19</v>
      </c>
      <c r="N17511" s="9" t="s">
        <v>20</v>
      </c>
      <c r="O17511" s="6" t="str">
        <f>HYPERLINK("https://pbs.twimg.com/profile_images/962471262747529216/Uo8lOkRJ_normal.jpg","View")</f>
        <v>View</v>
      </c>
      <c r="P17511" s="7"/>
    </row>
    <row r="17512" spans="1:16">
      <c r="A17512" s="3">
        <v>44549.134502314817</v>
      </c>
      <c r="B17512" s="4" t="str">
        <f>HYPERLINK("https://twitter.com/petrogustavo","@petrogustavo")</f>
        <v>@petrogustavo</v>
      </c>
      <c r="C17512" s="5" t="s">
        <v>16</v>
      </c>
      <c r="D17512" s="5" t="s">
        <v>16856</v>
      </c>
      <c r="E17512" s="6" t="str">
        <f>HYPERLINK("https://twitter.com/petrogustavo/status/1472321697617485825","1472321697617485825")</f>
        <v>1472321697617485825</v>
      </c>
      <c r="F17512" s="7" t="s">
        <v>21</v>
      </c>
      <c r="G17512" s="7">
        <v>4429190</v>
      </c>
      <c r="H17512" s="7">
        <v>2574</v>
      </c>
      <c r="I17512" s="7">
        <v>22</v>
      </c>
      <c r="J17512" s="7">
        <v>79</v>
      </c>
      <c r="K17512" s="7" t="s">
        <v>18</v>
      </c>
      <c r="L17512" s="8">
        <v>39987.315405092595</v>
      </c>
      <c r="M17512" s="9" t="s">
        <v>19</v>
      </c>
      <c r="N17512" s="9" t="s">
        <v>20</v>
      </c>
      <c r="O17512" s="6" t="str">
        <f>HYPERLINK("https://pbs.twimg.com/profile_images/962471262747529216/Uo8lOkRJ_normal.jpg","View")</f>
        <v>View</v>
      </c>
      <c r="P17512" s="7"/>
    </row>
    <row r="17513" spans="1:16">
      <c r="A17513" s="3">
        <v>44549.146481481483</v>
      </c>
      <c r="B17513" s="4" t="str">
        <f>HYPERLINK("https://twitter.com/petrogustavo","@petrogustavo")</f>
        <v>@petrogustavo</v>
      </c>
      <c r="C17513" s="5" t="s">
        <v>16</v>
      </c>
      <c r="D17513" s="5" t="s">
        <v>16857</v>
      </c>
      <c r="E17513" s="6" t="str">
        <f>HYPERLINK("https://twitter.com/petrogustavo/status/1472326037451288578","1472326037451288578")</f>
        <v>1472326037451288578</v>
      </c>
      <c r="F17513" s="7" t="s">
        <v>17</v>
      </c>
      <c r="G17513" s="7">
        <v>4429203</v>
      </c>
      <c r="H17513" s="7">
        <v>2574</v>
      </c>
      <c r="I17513" s="7">
        <v>69</v>
      </c>
      <c r="J17513" s="7">
        <v>260</v>
      </c>
      <c r="K17513" s="7" t="s">
        <v>18</v>
      </c>
      <c r="L17513" s="8">
        <v>39987.315405092595</v>
      </c>
      <c r="M17513" s="9" t="s">
        <v>19</v>
      </c>
      <c r="N17513" s="9" t="s">
        <v>20</v>
      </c>
      <c r="O17513" s="6" t="str">
        <f>HYPERLINK("https://pbs.twimg.com/profile_images/962471262747529216/Uo8lOkRJ_normal.jpg","View")</f>
        <v>View</v>
      </c>
      <c r="P17513" s="7"/>
    </row>
    <row r="17514" spans="1:16">
      <c r="A17514" s="3">
        <v>44549.148032407407</v>
      </c>
      <c r="B17514" s="4" t="str">
        <f>HYPERLINK("https://twitter.com/petrogustavo","@petrogustavo")</f>
        <v>@petrogustavo</v>
      </c>
      <c r="C17514" s="5" t="s">
        <v>16</v>
      </c>
      <c r="D17514" s="5" t="s">
        <v>16858</v>
      </c>
      <c r="E17514" s="6" t="str">
        <f>HYPERLINK("https://twitter.com/petrogustavo/status/1472326597613170695","1472326597613170695")</f>
        <v>1472326597613170695</v>
      </c>
      <c r="F17514" s="7" t="s">
        <v>17</v>
      </c>
      <c r="G17514" s="7">
        <v>4429203</v>
      </c>
      <c r="H17514" s="7">
        <v>2574</v>
      </c>
      <c r="I17514" s="7">
        <v>30</v>
      </c>
      <c r="J17514" s="7">
        <v>84</v>
      </c>
      <c r="K17514" s="7" t="s">
        <v>18</v>
      </c>
      <c r="L17514" s="8">
        <v>39987.315405092595</v>
      </c>
      <c r="M17514" s="9" t="s">
        <v>19</v>
      </c>
      <c r="N17514" s="9" t="s">
        <v>20</v>
      </c>
      <c r="O17514" s="6" t="str">
        <f>HYPERLINK("https://pbs.twimg.com/profile_images/962471262747529216/Uo8lOkRJ_normal.jpg","View")</f>
        <v>View</v>
      </c>
      <c r="P17514" s="7"/>
    </row>
    <row r="17515" spans="1:16">
      <c r="A17515" s="3">
        <v>44549.170277777783</v>
      </c>
      <c r="B17515" s="4" t="str">
        <f>HYPERLINK("https://twitter.com/petrogustavo","@petrogustavo")</f>
        <v>@petrogustavo</v>
      </c>
      <c r="C17515" s="5" t="s">
        <v>16</v>
      </c>
      <c r="D17515" s="5" t="s">
        <v>16859</v>
      </c>
      <c r="E17515" s="6" t="str">
        <f>HYPERLINK("https://twitter.com/petrogustavo/status/1472334660533370890","1472334660533370890")</f>
        <v>1472334660533370890</v>
      </c>
      <c r="F17515" s="7" t="s">
        <v>17</v>
      </c>
      <c r="G17515" s="7">
        <v>4429205</v>
      </c>
      <c r="H17515" s="7">
        <v>2575</v>
      </c>
      <c r="I17515" s="7">
        <v>76</v>
      </c>
      <c r="J17515" s="7">
        <v>0</v>
      </c>
      <c r="K17515" s="7" t="s">
        <v>18</v>
      </c>
      <c r="L17515" s="8">
        <v>39987.315405092595</v>
      </c>
      <c r="M17515" s="9" t="s">
        <v>19</v>
      </c>
      <c r="N17515" s="9" t="s">
        <v>20</v>
      </c>
      <c r="O17515" s="6" t="str">
        <f>HYPERLINK("https://pbs.twimg.com/profile_images/962471262747529216/Uo8lOkRJ_normal.jpg","View")</f>
        <v>View</v>
      </c>
      <c r="P17515" s="7"/>
    </row>
    <row r="17516" spans="1:16">
      <c r="A17516" s="3">
        <v>44549.170393518521</v>
      </c>
      <c r="B17516" s="4" t="str">
        <f>HYPERLINK("https://twitter.com/petrogustavo","@petrogustavo")</f>
        <v>@petrogustavo</v>
      </c>
      <c r="C17516" s="5" t="s">
        <v>16</v>
      </c>
      <c r="D17516" s="5" t="s">
        <v>16860</v>
      </c>
      <c r="E17516" s="6" t="str">
        <f>HYPERLINK("https://twitter.com/petrogustavo/status/1472334702598053888","1472334702598053888")</f>
        <v>1472334702598053888</v>
      </c>
      <c r="F17516" s="7" t="s">
        <v>17</v>
      </c>
      <c r="G17516" s="7">
        <v>4429205</v>
      </c>
      <c r="H17516" s="7">
        <v>2575</v>
      </c>
      <c r="I17516" s="7">
        <v>135</v>
      </c>
      <c r="J17516" s="7">
        <v>0</v>
      </c>
      <c r="K17516" s="7" t="s">
        <v>18</v>
      </c>
      <c r="L17516" s="8">
        <v>39987.315405092595</v>
      </c>
      <c r="M17516" s="9" t="s">
        <v>19</v>
      </c>
      <c r="N17516" s="9" t="s">
        <v>20</v>
      </c>
      <c r="O17516" s="6" t="str">
        <f>HYPERLINK("https://pbs.twimg.com/profile_images/962471262747529216/Uo8lOkRJ_normal.jpg","View")</f>
        <v>View</v>
      </c>
      <c r="P17516" s="7"/>
    </row>
    <row r="17517" spans="1:16">
      <c r="A17517" s="3">
        <v>44549.281087962961</v>
      </c>
      <c r="B17517" s="4" t="str">
        <f>HYPERLINK("https://twitter.com/petrogustavo","@petrogustavo")</f>
        <v>@petrogustavo</v>
      </c>
      <c r="C17517" s="5" t="s">
        <v>16</v>
      </c>
      <c r="D17517" s="5" t="s">
        <v>16861</v>
      </c>
      <c r="E17517" s="6" t="str">
        <f>HYPERLINK("https://twitter.com/petrogustavo/status/1472374817001201664","1472374817001201664")</f>
        <v>1472374817001201664</v>
      </c>
      <c r="F17517" s="7" t="s">
        <v>17</v>
      </c>
      <c r="G17517" s="7">
        <v>4429305</v>
      </c>
      <c r="H17517" s="7">
        <v>2576</v>
      </c>
      <c r="I17517" s="7">
        <v>140</v>
      </c>
      <c r="J17517" s="7">
        <v>0</v>
      </c>
      <c r="K17517" s="7" t="s">
        <v>18</v>
      </c>
      <c r="L17517" s="8">
        <v>39987.315405092595</v>
      </c>
      <c r="M17517" s="9" t="s">
        <v>19</v>
      </c>
      <c r="N17517" s="9" t="s">
        <v>20</v>
      </c>
      <c r="O17517" s="6" t="str">
        <f>HYPERLINK("https://pbs.twimg.com/profile_images/962471262747529216/Uo8lOkRJ_normal.jpg","View")</f>
        <v>View</v>
      </c>
      <c r="P17517" s="7"/>
    </row>
    <row r="17518" spans="1:16">
      <c r="A17518" s="3">
        <v>44549.282407407409</v>
      </c>
      <c r="B17518" s="4" t="str">
        <f>HYPERLINK("https://twitter.com/petrogustavo","@petrogustavo")</f>
        <v>@petrogustavo</v>
      </c>
      <c r="C17518" s="5" t="s">
        <v>16</v>
      </c>
      <c r="D17518" s="5" t="s">
        <v>16862</v>
      </c>
      <c r="E17518" s="6" t="str">
        <f>HYPERLINK("https://twitter.com/petrogustavo/status/1472375295940378625","1472375295940378625")</f>
        <v>1472375295940378625</v>
      </c>
      <c r="F17518" s="7" t="s">
        <v>17</v>
      </c>
      <c r="G17518" s="7">
        <v>4429305</v>
      </c>
      <c r="H17518" s="7">
        <v>2576</v>
      </c>
      <c r="I17518" s="7">
        <v>4</v>
      </c>
      <c r="J17518" s="7">
        <v>20</v>
      </c>
      <c r="K17518" s="7" t="s">
        <v>18</v>
      </c>
      <c r="L17518" s="8">
        <v>39987.315405092595</v>
      </c>
      <c r="M17518" s="9" t="s">
        <v>19</v>
      </c>
      <c r="N17518" s="9" t="s">
        <v>20</v>
      </c>
      <c r="O17518" s="6" t="str">
        <f>HYPERLINK("https://pbs.twimg.com/profile_images/962471262747529216/Uo8lOkRJ_normal.jpg","View")</f>
        <v>View</v>
      </c>
      <c r="P17518" s="7"/>
    </row>
    <row r="17519" spans="1:16">
      <c r="A17519" s="3">
        <v>44549.307569444441</v>
      </c>
      <c r="B17519" s="4" t="str">
        <f>HYPERLINK("https://twitter.com/petrogustavo","@petrogustavo")</f>
        <v>@petrogustavo</v>
      </c>
      <c r="C17519" s="5" t="s">
        <v>16</v>
      </c>
      <c r="D17519" s="5" t="s">
        <v>16863</v>
      </c>
      <c r="E17519" s="6" t="str">
        <f>HYPERLINK("https://twitter.com/petrogustavo/status/1472384411924578307","1472384411924578307")</f>
        <v>1472384411924578307</v>
      </c>
      <c r="F17519" s="7" t="s">
        <v>17</v>
      </c>
      <c r="G17519" s="7">
        <v>4429352</v>
      </c>
      <c r="H17519" s="7">
        <v>2576</v>
      </c>
      <c r="I17519" s="7">
        <v>359</v>
      </c>
      <c r="J17519" s="7">
        <v>0</v>
      </c>
      <c r="K17519" s="7" t="s">
        <v>18</v>
      </c>
      <c r="L17519" s="8">
        <v>39987.315405092595</v>
      </c>
      <c r="M17519" s="9" t="s">
        <v>19</v>
      </c>
      <c r="N17519" s="9" t="s">
        <v>20</v>
      </c>
      <c r="O17519" s="6" t="str">
        <f>HYPERLINK("https://pbs.twimg.com/profile_images/962471262747529216/Uo8lOkRJ_normal.jpg","View")</f>
        <v>View</v>
      </c>
      <c r="P17519" s="7"/>
    </row>
    <row r="17520" spans="1:16">
      <c r="A17520" s="3">
        <v>44549.796851851846</v>
      </c>
      <c r="B17520" s="4" t="str">
        <f>HYPERLINK("https://twitter.com/petrogustavo","@petrogustavo")</f>
        <v>@petrogustavo</v>
      </c>
      <c r="C17520" s="5" t="s">
        <v>16</v>
      </c>
      <c r="D17520" s="5" t="s">
        <v>16864</v>
      </c>
      <c r="E17520" s="6" t="str">
        <f>HYPERLINK("https://twitter.com/petrogustavo/status/1472561724498886661","1472561724498886661")</f>
        <v>1472561724498886661</v>
      </c>
      <c r="F17520" s="7" t="s">
        <v>17</v>
      </c>
      <c r="G17520" s="7">
        <v>4429563</v>
      </c>
      <c r="H17520" s="7">
        <v>2578</v>
      </c>
      <c r="I17520" s="7">
        <v>45</v>
      </c>
      <c r="J17520" s="7">
        <v>0</v>
      </c>
      <c r="K17520" s="7" t="s">
        <v>18</v>
      </c>
      <c r="L17520" s="8">
        <v>39987.315405092595</v>
      </c>
      <c r="M17520" s="9" t="s">
        <v>19</v>
      </c>
      <c r="N17520" s="9" t="s">
        <v>20</v>
      </c>
      <c r="O17520" s="6" t="str">
        <f>HYPERLINK("https://pbs.twimg.com/profile_images/962471262747529216/Uo8lOkRJ_normal.jpg","View")</f>
        <v>View</v>
      </c>
      <c r="P17520" s="7"/>
    </row>
    <row r="17521" spans="1:16">
      <c r="A17521" s="3">
        <v>44549.829085648147</v>
      </c>
      <c r="B17521" s="4" t="str">
        <f>HYPERLINK("https://twitter.com/petrogustavo","@petrogustavo")</f>
        <v>@petrogustavo</v>
      </c>
      <c r="C17521" s="5" t="s">
        <v>16</v>
      </c>
      <c r="D17521" s="5" t="s">
        <v>16865</v>
      </c>
      <c r="E17521" s="6" t="str">
        <f>HYPERLINK("https://twitter.com/petrogustavo/status/1472573404331003912","1472573404331003912")</f>
        <v>1472573404331003912</v>
      </c>
      <c r="F17521" s="7" t="s">
        <v>17</v>
      </c>
      <c r="G17521" s="7">
        <v>4429573</v>
      </c>
      <c r="H17521" s="7">
        <v>2578</v>
      </c>
      <c r="I17521" s="7">
        <v>74</v>
      </c>
      <c r="J17521" s="7">
        <v>180</v>
      </c>
      <c r="K17521" s="7" t="s">
        <v>18</v>
      </c>
      <c r="L17521" s="8">
        <v>39987.315405092595</v>
      </c>
      <c r="M17521" s="9" t="s">
        <v>19</v>
      </c>
      <c r="N17521" s="9" t="s">
        <v>20</v>
      </c>
      <c r="O17521" s="6" t="str">
        <f>HYPERLINK("https://pbs.twimg.com/profile_images/962471262747529216/Uo8lOkRJ_normal.jpg","View")</f>
        <v>View</v>
      </c>
      <c r="P17521" s="7"/>
    </row>
    <row r="17522" spans="1:16">
      <c r="A17522" s="3">
        <v>44549.844513888893</v>
      </c>
      <c r="B17522" s="4" t="str">
        <f>HYPERLINK("https://twitter.com/petrogustavo","@petrogustavo")</f>
        <v>@petrogustavo</v>
      </c>
      <c r="C17522" s="5" t="s">
        <v>16</v>
      </c>
      <c r="D17522" s="5" t="s">
        <v>16866</v>
      </c>
      <c r="E17522" s="6" t="str">
        <f>HYPERLINK("https://twitter.com/petrogustavo/status/1472578997812924433","1472578997812924433")</f>
        <v>1472578997812924433</v>
      </c>
      <c r="F17522" s="7" t="s">
        <v>17</v>
      </c>
      <c r="G17522" s="7">
        <v>4429589</v>
      </c>
      <c r="H17522" s="7">
        <v>2578</v>
      </c>
      <c r="I17522" s="7">
        <v>161</v>
      </c>
      <c r="J17522" s="7">
        <v>519</v>
      </c>
      <c r="K17522" s="7" t="s">
        <v>18</v>
      </c>
      <c r="L17522" s="8">
        <v>39987.315405092595</v>
      </c>
      <c r="M17522" s="9" t="s">
        <v>19</v>
      </c>
      <c r="N17522" s="9" t="s">
        <v>20</v>
      </c>
      <c r="O17522" s="6" t="str">
        <f>HYPERLINK("https://pbs.twimg.com/profile_images/962471262747529216/Uo8lOkRJ_normal.jpg","View")</f>
        <v>View</v>
      </c>
      <c r="P17522" s="7"/>
    </row>
    <row r="17523" spans="1:16">
      <c r="A17523" s="3">
        <v>44549.962395833332</v>
      </c>
      <c r="B17523" s="4" t="str">
        <f>HYPERLINK("https://twitter.com/petrogustavo","@petrogustavo")</f>
        <v>@petrogustavo</v>
      </c>
      <c r="C17523" s="5" t="s">
        <v>16</v>
      </c>
      <c r="D17523" s="5" t="s">
        <v>16867</v>
      </c>
      <c r="E17523" s="6" t="str">
        <f>HYPERLINK("https://twitter.com/petrogustavo/status/1472621716446842891","1472621716446842891")</f>
        <v>1472621716446842891</v>
      </c>
      <c r="F17523" s="7" t="s">
        <v>17</v>
      </c>
      <c r="G17523" s="7">
        <v>4429911</v>
      </c>
      <c r="H17523" s="7">
        <v>2578</v>
      </c>
      <c r="I17523" s="7">
        <v>103</v>
      </c>
      <c r="J17523" s="7">
        <v>304</v>
      </c>
      <c r="K17523" s="7" t="s">
        <v>18</v>
      </c>
      <c r="L17523" s="8">
        <v>39987.315405092595</v>
      </c>
      <c r="M17523" s="9" t="s">
        <v>19</v>
      </c>
      <c r="N17523" s="9" t="s">
        <v>20</v>
      </c>
      <c r="O17523" s="6" t="str">
        <f>HYPERLINK("https://pbs.twimg.com/profile_images/962471262747529216/Uo8lOkRJ_normal.jpg","View")</f>
        <v>View</v>
      </c>
      <c r="P17523" s="7"/>
    </row>
    <row r="17524" spans="1:16">
      <c r="A17524" s="3">
        <v>44549.968634259261</v>
      </c>
      <c r="B17524" s="4" t="str">
        <f>HYPERLINK("https://twitter.com/petrogustavo","@petrogustavo")</f>
        <v>@petrogustavo</v>
      </c>
      <c r="C17524" s="5" t="s">
        <v>16</v>
      </c>
      <c r="D17524" s="5" t="s">
        <v>16868</v>
      </c>
      <c r="E17524" s="6" t="str">
        <f>HYPERLINK("https://twitter.com/petrogustavo/status/1472623976178409479","1472623976178409479")</f>
        <v>1472623976178409479</v>
      </c>
      <c r="F17524" s="7" t="s">
        <v>17</v>
      </c>
      <c r="G17524" s="7">
        <v>4429911</v>
      </c>
      <c r="H17524" s="7">
        <v>2578</v>
      </c>
      <c r="I17524" s="7">
        <v>18</v>
      </c>
      <c r="J17524" s="7">
        <v>42</v>
      </c>
      <c r="K17524" s="7" t="s">
        <v>18</v>
      </c>
      <c r="L17524" s="8">
        <v>39987.315405092595</v>
      </c>
      <c r="M17524" s="9" t="s">
        <v>19</v>
      </c>
      <c r="N17524" s="9" t="s">
        <v>20</v>
      </c>
      <c r="O17524" s="6" t="str">
        <f>HYPERLINK("https://pbs.twimg.com/profile_images/962471262747529216/Uo8lOkRJ_normal.jpg","View")</f>
        <v>View</v>
      </c>
      <c r="P17524" s="7"/>
    </row>
    <row r="17525" spans="1:16">
      <c r="A17525" s="3">
        <v>44549.974918981483</v>
      </c>
      <c r="B17525" s="4" t="str">
        <f>HYPERLINK("https://twitter.com/petrogustavo","@petrogustavo")</f>
        <v>@petrogustavo</v>
      </c>
      <c r="C17525" s="5" t="s">
        <v>16</v>
      </c>
      <c r="D17525" s="5" t="s">
        <v>16869</v>
      </c>
      <c r="E17525" s="6" t="str">
        <f>HYPERLINK("https://twitter.com/petrogustavo/status/1472626251659677696","1472626251659677696")</f>
        <v>1472626251659677696</v>
      </c>
      <c r="F17525" s="7" t="s">
        <v>17</v>
      </c>
      <c r="G17525" s="7">
        <v>4429956</v>
      </c>
      <c r="H17525" s="7">
        <v>2578</v>
      </c>
      <c r="I17525" s="7">
        <v>99</v>
      </c>
      <c r="J17525" s="7">
        <v>261</v>
      </c>
      <c r="K17525" s="7" t="s">
        <v>18</v>
      </c>
      <c r="L17525" s="8">
        <v>39987.315405092595</v>
      </c>
      <c r="M17525" s="9" t="s">
        <v>19</v>
      </c>
      <c r="N17525" s="9" t="s">
        <v>20</v>
      </c>
      <c r="O17525" s="6" t="str">
        <f>HYPERLINK("https://pbs.twimg.com/profile_images/962471262747529216/Uo8lOkRJ_normal.jpg","View")</f>
        <v>View</v>
      </c>
      <c r="P17525" s="7"/>
    </row>
    <row r="17526" spans="1:16">
      <c r="A17526" s="3">
        <v>44549.977395833332</v>
      </c>
      <c r="B17526" s="4" t="str">
        <f>HYPERLINK("https://twitter.com/petrogustavo","@petrogustavo")</f>
        <v>@petrogustavo</v>
      </c>
      <c r="C17526" s="5" t="s">
        <v>16</v>
      </c>
      <c r="D17526" s="5" t="s">
        <v>16870</v>
      </c>
      <c r="E17526" s="6" t="str">
        <f>HYPERLINK("https://twitter.com/petrogustavo/status/1472627150050283521","1472627150050283521")</f>
        <v>1472627150050283521</v>
      </c>
      <c r="F17526" s="7" t="s">
        <v>17</v>
      </c>
      <c r="G17526" s="7">
        <v>4429956</v>
      </c>
      <c r="H17526" s="7">
        <v>2578</v>
      </c>
      <c r="I17526" s="7">
        <v>331</v>
      </c>
      <c r="J17526" s="7">
        <v>0</v>
      </c>
      <c r="K17526" s="7" t="s">
        <v>18</v>
      </c>
      <c r="L17526" s="8">
        <v>39987.315405092595</v>
      </c>
      <c r="M17526" s="9" t="s">
        <v>19</v>
      </c>
      <c r="N17526" s="9" t="s">
        <v>20</v>
      </c>
      <c r="O17526" s="6" t="str">
        <f>HYPERLINK("https://pbs.twimg.com/profile_images/962471262747529216/Uo8lOkRJ_normal.jpg","View")</f>
        <v>View</v>
      </c>
      <c r="P17526" s="7"/>
    </row>
    <row r="17527" spans="1:16">
      <c r="A17527" s="3">
        <v>44549.980543981481</v>
      </c>
      <c r="B17527" s="4" t="str">
        <f>HYPERLINK("https://twitter.com/petrogustavo","@petrogustavo")</f>
        <v>@petrogustavo</v>
      </c>
      <c r="C17527" s="5" t="s">
        <v>16</v>
      </c>
      <c r="D17527" s="5" t="s">
        <v>16871</v>
      </c>
      <c r="E17527" s="6" t="str">
        <f>HYPERLINK("https://twitter.com/petrogustavo/status/1472628293329465349","1472628293329465349")</f>
        <v>1472628293329465349</v>
      </c>
      <c r="F17527" s="7" t="s">
        <v>17</v>
      </c>
      <c r="G17527" s="7">
        <v>4429956</v>
      </c>
      <c r="H17527" s="7">
        <v>2578</v>
      </c>
      <c r="I17527" s="7">
        <v>58</v>
      </c>
      <c r="J17527" s="7">
        <v>121</v>
      </c>
      <c r="K17527" s="7" t="s">
        <v>18</v>
      </c>
      <c r="L17527" s="8">
        <v>39987.315405092595</v>
      </c>
      <c r="M17527" s="9" t="s">
        <v>19</v>
      </c>
      <c r="N17527" s="9" t="s">
        <v>20</v>
      </c>
      <c r="O17527" s="6" t="str">
        <f>HYPERLINK("https://pbs.twimg.com/profile_images/962471262747529216/Uo8lOkRJ_normal.jpg","View")</f>
        <v>View</v>
      </c>
      <c r="P17527" s="7"/>
    </row>
    <row r="17528" spans="1:16">
      <c r="A17528" s="3">
        <v>44549.983263888891</v>
      </c>
      <c r="B17528" s="4" t="str">
        <f>HYPERLINK("https://twitter.com/petrogustavo","@petrogustavo")</f>
        <v>@petrogustavo</v>
      </c>
      <c r="C17528" s="5" t="s">
        <v>16</v>
      </c>
      <c r="D17528" s="5" t="s">
        <v>16872</v>
      </c>
      <c r="E17528" s="6" t="str">
        <f>HYPERLINK("https://twitter.com/petrogustavo/status/1472629275270467584","1472629275270467584")</f>
        <v>1472629275270467584</v>
      </c>
      <c r="F17528" s="7" t="s">
        <v>17</v>
      </c>
      <c r="G17528" s="7">
        <v>4429956</v>
      </c>
      <c r="H17528" s="7">
        <v>2578</v>
      </c>
      <c r="I17528" s="7">
        <v>147</v>
      </c>
      <c r="J17528" s="7">
        <v>498</v>
      </c>
      <c r="K17528" s="7" t="s">
        <v>18</v>
      </c>
      <c r="L17528" s="8">
        <v>39987.315405092595</v>
      </c>
      <c r="M17528" s="9" t="s">
        <v>19</v>
      </c>
      <c r="N17528" s="9" t="s">
        <v>20</v>
      </c>
      <c r="O17528" s="6" t="str">
        <f>HYPERLINK("https://pbs.twimg.com/profile_images/962471262747529216/Uo8lOkRJ_normal.jpg","View")</f>
        <v>View</v>
      </c>
      <c r="P17528" s="7"/>
    </row>
    <row r="17529" spans="1:16">
      <c r="A17529" s="3">
        <v>44550.009594907402</v>
      </c>
      <c r="B17529" s="4" t="str">
        <f>HYPERLINK("https://twitter.com/petrogustavo","@petrogustavo")</f>
        <v>@petrogustavo</v>
      </c>
      <c r="C17529" s="5" t="s">
        <v>16</v>
      </c>
      <c r="D17529" s="5" t="s">
        <v>16873</v>
      </c>
      <c r="E17529" s="6" t="str">
        <f>HYPERLINK("https://twitter.com/petrogustavo/status/1472638819749011457","1472638819749011457")</f>
        <v>1472638819749011457</v>
      </c>
      <c r="F17529" s="7" t="s">
        <v>17</v>
      </c>
      <c r="G17529" s="7">
        <v>4429994</v>
      </c>
      <c r="H17529" s="7">
        <v>2578</v>
      </c>
      <c r="I17529" s="7">
        <v>149</v>
      </c>
      <c r="J17529" s="7">
        <v>0</v>
      </c>
      <c r="K17529" s="7" t="s">
        <v>18</v>
      </c>
      <c r="L17529" s="8">
        <v>39987.315405092595</v>
      </c>
      <c r="M17529" s="9" t="s">
        <v>19</v>
      </c>
      <c r="N17529" s="9" t="s">
        <v>20</v>
      </c>
      <c r="O17529" s="6" t="str">
        <f>HYPERLINK("https://pbs.twimg.com/profile_images/962471262747529216/Uo8lOkRJ_normal.jpg","View")</f>
        <v>View</v>
      </c>
      <c r="P17529" s="7"/>
    </row>
    <row r="17530" spans="1:16">
      <c r="A17530" s="3">
        <v>44550.267777777779</v>
      </c>
      <c r="B17530" s="4" t="str">
        <f>HYPERLINK("https://twitter.com/petrogustavo","@petrogustavo")</f>
        <v>@petrogustavo</v>
      </c>
      <c r="C17530" s="5" t="s">
        <v>16</v>
      </c>
      <c r="D17530" s="5" t="s">
        <v>16874</v>
      </c>
      <c r="E17530" s="6" t="str">
        <f>HYPERLINK("https://twitter.com/petrogustavo/status/1472732379907346434","1472732379907346434")</f>
        <v>1472732379907346434</v>
      </c>
      <c r="F17530" s="7" t="s">
        <v>21</v>
      </c>
      <c r="G17530" s="7">
        <v>4430488</v>
      </c>
      <c r="H17530" s="7">
        <v>2578</v>
      </c>
      <c r="I17530" s="7">
        <v>60</v>
      </c>
      <c r="J17530" s="7">
        <v>160</v>
      </c>
      <c r="K17530" s="7" t="s">
        <v>18</v>
      </c>
      <c r="L17530" s="8">
        <v>39987.315405092595</v>
      </c>
      <c r="M17530" s="9" t="s">
        <v>19</v>
      </c>
      <c r="N17530" s="9" t="s">
        <v>20</v>
      </c>
      <c r="O17530" s="6" t="str">
        <f>HYPERLINK("https://pbs.twimg.com/profile_images/962471262747529216/Uo8lOkRJ_normal.jpg","View")</f>
        <v>View</v>
      </c>
      <c r="P17530" s="7"/>
    </row>
    <row r="17531" spans="1:16">
      <c r="A17531" s="3">
        <v>44550.270914351851</v>
      </c>
      <c r="B17531" s="4" t="str">
        <f>HYPERLINK("https://twitter.com/petrogustavo","@petrogustavo")</f>
        <v>@petrogustavo</v>
      </c>
      <c r="C17531" s="5" t="s">
        <v>16</v>
      </c>
      <c r="D17531" s="5" t="s">
        <v>16875</v>
      </c>
      <c r="E17531" s="6" t="str">
        <f>HYPERLINK("https://twitter.com/petrogustavo/status/1472733518253989888","1472733518253989888")</f>
        <v>1472733518253989888</v>
      </c>
      <c r="F17531" s="7" t="s">
        <v>21</v>
      </c>
      <c r="G17531" s="7">
        <v>4430488</v>
      </c>
      <c r="H17531" s="7">
        <v>2578</v>
      </c>
      <c r="I17531" s="7">
        <v>20</v>
      </c>
      <c r="J17531" s="7">
        <v>72</v>
      </c>
      <c r="K17531" s="7" t="s">
        <v>18</v>
      </c>
      <c r="L17531" s="8">
        <v>39987.315405092595</v>
      </c>
      <c r="M17531" s="9" t="s">
        <v>19</v>
      </c>
      <c r="N17531" s="9" t="s">
        <v>20</v>
      </c>
      <c r="O17531" s="6" t="str">
        <f>HYPERLINK("https://pbs.twimg.com/profile_images/962471262747529216/Uo8lOkRJ_normal.jpg","View")</f>
        <v>View</v>
      </c>
      <c r="P17531" s="7"/>
    </row>
    <row r="17532" spans="1:16">
      <c r="A17532" s="3">
        <v>44550.738807870366</v>
      </c>
      <c r="B17532" s="4" t="str">
        <f>HYPERLINK("https://twitter.com/petrogustavo","@petrogustavo")</f>
        <v>@petrogustavo</v>
      </c>
      <c r="C17532" s="5" t="s">
        <v>16</v>
      </c>
      <c r="D17532" s="5" t="s">
        <v>16876</v>
      </c>
      <c r="E17532" s="6" t="str">
        <f>HYPERLINK("https://twitter.com/petrogustavo/status/1472903077397213184","1472903077397213184")</f>
        <v>1472903077397213184</v>
      </c>
      <c r="F17532" s="7" t="s">
        <v>17</v>
      </c>
      <c r="G17532" s="7">
        <v>4430895</v>
      </c>
      <c r="H17532" s="7">
        <v>2576</v>
      </c>
      <c r="I17532" s="7">
        <v>23</v>
      </c>
      <c r="J17532" s="7">
        <v>107</v>
      </c>
      <c r="K17532" s="7" t="s">
        <v>18</v>
      </c>
      <c r="L17532" s="8">
        <v>39987.315405092595</v>
      </c>
      <c r="M17532" s="9" t="s">
        <v>19</v>
      </c>
      <c r="N17532" s="9" t="s">
        <v>20</v>
      </c>
      <c r="O17532" s="6" t="str">
        <f>HYPERLINK("https://pbs.twimg.com/profile_images/962471262747529216/Uo8lOkRJ_normal.jpg","View")</f>
        <v>View</v>
      </c>
      <c r="P17532" s="7"/>
    </row>
    <row r="17533" spans="1:16">
      <c r="A17533" s="3">
        <v>44550.738807870366</v>
      </c>
      <c r="B17533" s="4" t="str">
        <f>HYPERLINK("https://twitter.com/petrogustavo","@petrogustavo")</f>
        <v>@petrogustavo</v>
      </c>
      <c r="C17533" s="5" t="s">
        <v>16</v>
      </c>
      <c r="D17533" s="5" t="s">
        <v>16877</v>
      </c>
      <c r="E17533" s="6" t="str">
        <f>HYPERLINK("https://twitter.com/petrogustavo/status/1472903078936461314","1472903078936461314")</f>
        <v>1472903078936461314</v>
      </c>
      <c r="F17533" s="7" t="s">
        <v>17</v>
      </c>
      <c r="G17533" s="7">
        <v>4430895</v>
      </c>
      <c r="H17533" s="7">
        <v>2576</v>
      </c>
      <c r="I17533" s="7">
        <v>11</v>
      </c>
      <c r="J17533" s="7">
        <v>49</v>
      </c>
      <c r="K17533" s="7" t="s">
        <v>18</v>
      </c>
      <c r="L17533" s="8">
        <v>39987.315405092595</v>
      </c>
      <c r="M17533" s="9" t="s">
        <v>19</v>
      </c>
      <c r="N17533" s="9" t="s">
        <v>20</v>
      </c>
      <c r="O17533" s="6" t="str">
        <f>HYPERLINK("https://pbs.twimg.com/profile_images/962471262747529216/Uo8lOkRJ_normal.jpg","View")</f>
        <v>View</v>
      </c>
      <c r="P17533" s="7"/>
    </row>
    <row r="17534" spans="1:16">
      <c r="A17534" s="3">
        <v>44550.738819444443</v>
      </c>
      <c r="B17534" s="4" t="str">
        <f>HYPERLINK("https://twitter.com/petrogustavo","@petrogustavo")</f>
        <v>@petrogustavo</v>
      </c>
      <c r="C17534" s="5" t="s">
        <v>16</v>
      </c>
      <c r="D17534" s="5" t="s">
        <v>16878</v>
      </c>
      <c r="E17534" s="6" t="str">
        <f>HYPERLINK("https://twitter.com/petrogustavo/status/1472903080136085510","1472903080136085510")</f>
        <v>1472903080136085510</v>
      </c>
      <c r="F17534" s="7" t="s">
        <v>17</v>
      </c>
      <c r="G17534" s="7">
        <v>4430895</v>
      </c>
      <c r="H17534" s="7">
        <v>2576</v>
      </c>
      <c r="I17534" s="7">
        <v>17</v>
      </c>
      <c r="J17534" s="7">
        <v>68</v>
      </c>
      <c r="K17534" s="7" t="s">
        <v>18</v>
      </c>
      <c r="L17534" s="8">
        <v>39987.315405092595</v>
      </c>
      <c r="M17534" s="9" t="s">
        <v>19</v>
      </c>
      <c r="N17534" s="9" t="s">
        <v>20</v>
      </c>
      <c r="O17534" s="6" t="str">
        <f>HYPERLINK("https://pbs.twimg.com/profile_images/962471262747529216/Uo8lOkRJ_normal.jpg","View")</f>
        <v>View</v>
      </c>
      <c r="P17534" s="7"/>
    </row>
    <row r="17535" spans="1:16">
      <c r="A17535" s="3">
        <v>44550.778773148151</v>
      </c>
      <c r="B17535" s="4" t="str">
        <f>HYPERLINK("https://twitter.com/petrogustavo","@petrogustavo")</f>
        <v>@petrogustavo</v>
      </c>
      <c r="C17535" s="5" t="s">
        <v>16</v>
      </c>
      <c r="D17535" s="5" t="s">
        <v>16879</v>
      </c>
      <c r="E17535" s="6" t="str">
        <f>HYPERLINK("https://twitter.com/petrogustavo/status/1472917558290530304","1472917558290530304")</f>
        <v>1472917558290530304</v>
      </c>
      <c r="F17535" s="7" t="s">
        <v>17</v>
      </c>
      <c r="G17535" s="7">
        <v>4430936</v>
      </c>
      <c r="H17535" s="7">
        <v>2576</v>
      </c>
      <c r="I17535" s="7">
        <v>14816</v>
      </c>
      <c r="J17535" s="7">
        <v>0</v>
      </c>
      <c r="K17535" s="7" t="s">
        <v>18</v>
      </c>
      <c r="L17535" s="8">
        <v>39987.315405092595</v>
      </c>
      <c r="M17535" s="9" t="s">
        <v>19</v>
      </c>
      <c r="N17535" s="9" t="s">
        <v>20</v>
      </c>
      <c r="O17535" s="6" t="str">
        <f>HYPERLINK("https://pbs.twimg.com/profile_images/962471262747529216/Uo8lOkRJ_normal.jpg","View")</f>
        <v>View</v>
      </c>
      <c r="P17535" s="7"/>
    </row>
    <row r="17536" spans="1:16">
      <c r="A17536" s="3">
        <v>44550.788483796292</v>
      </c>
      <c r="B17536" s="4" t="str">
        <f>HYPERLINK("https://twitter.com/petrogustavo","@petrogustavo")</f>
        <v>@petrogustavo</v>
      </c>
      <c r="C17536" s="5" t="s">
        <v>16</v>
      </c>
      <c r="D17536" s="5" t="s">
        <v>16880</v>
      </c>
      <c r="E17536" s="6" t="str">
        <f>HYPERLINK("https://twitter.com/petrogustavo/status/1472921081329733634","1472921081329733634")</f>
        <v>1472921081329733634</v>
      </c>
      <c r="F17536" s="7" t="s">
        <v>17</v>
      </c>
      <c r="G17536" s="7">
        <v>4430965</v>
      </c>
      <c r="H17536" s="7">
        <v>2576</v>
      </c>
      <c r="I17536" s="7">
        <v>848</v>
      </c>
      <c r="J17536" s="7">
        <v>0</v>
      </c>
      <c r="K17536" s="7" t="s">
        <v>18</v>
      </c>
      <c r="L17536" s="8">
        <v>39987.315405092595</v>
      </c>
      <c r="M17536" s="9" t="s">
        <v>19</v>
      </c>
      <c r="N17536" s="9" t="s">
        <v>20</v>
      </c>
      <c r="O17536" s="6" t="str">
        <f>HYPERLINK("https://pbs.twimg.com/profile_images/962471262747529216/Uo8lOkRJ_normal.jpg","View")</f>
        <v>View</v>
      </c>
      <c r="P17536" s="7"/>
    </row>
    <row r="17537" spans="1:16">
      <c r="A17537" s="3">
        <v>44550.78869212963</v>
      </c>
      <c r="B17537" s="4" t="str">
        <f>HYPERLINK("https://twitter.com/petrogustavo","@petrogustavo")</f>
        <v>@petrogustavo</v>
      </c>
      <c r="C17537" s="5" t="s">
        <v>16</v>
      </c>
      <c r="D17537" s="5" t="s">
        <v>16881</v>
      </c>
      <c r="E17537" s="6" t="str">
        <f>HYPERLINK("https://twitter.com/petrogustavo/status/1472921156600549378","1472921156600549378")</f>
        <v>1472921156600549378</v>
      </c>
      <c r="F17537" s="7" t="s">
        <v>17</v>
      </c>
      <c r="G17537" s="7">
        <v>4430965</v>
      </c>
      <c r="H17537" s="7">
        <v>2576</v>
      </c>
      <c r="I17537" s="7">
        <v>1864</v>
      </c>
      <c r="J17537" s="7">
        <v>0</v>
      </c>
      <c r="K17537" s="7" t="s">
        <v>18</v>
      </c>
      <c r="L17537" s="8">
        <v>39987.315405092595</v>
      </c>
      <c r="M17537" s="9" t="s">
        <v>19</v>
      </c>
      <c r="N17537" s="9" t="s">
        <v>20</v>
      </c>
      <c r="O17537" s="6" t="str">
        <f>HYPERLINK("https://pbs.twimg.com/profile_images/962471262747529216/Uo8lOkRJ_normal.jpg","View")</f>
        <v>View</v>
      </c>
      <c r="P17537" s="7"/>
    </row>
    <row r="17538" spans="1:16">
      <c r="A17538" s="3">
        <v>44550.797812500001</v>
      </c>
      <c r="B17538" s="4" t="str">
        <f>HYPERLINK("https://twitter.com/petrogustavo","@petrogustavo")</f>
        <v>@petrogustavo</v>
      </c>
      <c r="C17538" s="5" t="s">
        <v>16</v>
      </c>
      <c r="D17538" s="5" t="s">
        <v>16882</v>
      </c>
      <c r="E17538" s="6" t="str">
        <f>HYPERLINK("https://twitter.com/petrogustavo/status/1472924460957192199","1472924460957192199")</f>
        <v>1472924460957192199</v>
      </c>
      <c r="F17538" s="7" t="s">
        <v>17</v>
      </c>
      <c r="G17538" s="7">
        <v>4430965</v>
      </c>
      <c r="H17538" s="7">
        <v>2576</v>
      </c>
      <c r="I17538" s="7">
        <v>32</v>
      </c>
      <c r="J17538" s="7">
        <v>0</v>
      </c>
      <c r="K17538" s="7" t="s">
        <v>18</v>
      </c>
      <c r="L17538" s="8">
        <v>39987.315405092595</v>
      </c>
      <c r="M17538" s="9" t="s">
        <v>19</v>
      </c>
      <c r="N17538" s="9" t="s">
        <v>20</v>
      </c>
      <c r="O17538" s="6" t="str">
        <f>HYPERLINK("https://pbs.twimg.com/profile_images/962471262747529216/Uo8lOkRJ_normal.jpg","View")</f>
        <v>View</v>
      </c>
      <c r="P17538" s="7"/>
    </row>
    <row r="17539" spans="1:16">
      <c r="A17539" s="3">
        <v>44550.798078703709</v>
      </c>
      <c r="B17539" s="4" t="str">
        <f>HYPERLINK("https://twitter.com/petrogustavo","@petrogustavo")</f>
        <v>@petrogustavo</v>
      </c>
      <c r="C17539" s="5" t="s">
        <v>16</v>
      </c>
      <c r="D17539" s="5" t="s">
        <v>16883</v>
      </c>
      <c r="E17539" s="6" t="str">
        <f>HYPERLINK("https://twitter.com/petrogustavo/status/1472924557824729091","1472924557824729091")</f>
        <v>1472924557824729091</v>
      </c>
      <c r="F17539" s="7" t="s">
        <v>17</v>
      </c>
      <c r="G17539" s="7">
        <v>4430965</v>
      </c>
      <c r="H17539" s="7">
        <v>2576</v>
      </c>
      <c r="I17539" s="7">
        <v>279</v>
      </c>
      <c r="J17539" s="7">
        <v>0</v>
      </c>
      <c r="K17539" s="7" t="s">
        <v>18</v>
      </c>
      <c r="L17539" s="8">
        <v>39987.315405092595</v>
      </c>
      <c r="M17539" s="9" t="s">
        <v>19</v>
      </c>
      <c r="N17539" s="9" t="s">
        <v>20</v>
      </c>
      <c r="O17539" s="6" t="str">
        <f>HYPERLINK("https://pbs.twimg.com/profile_images/962471262747529216/Uo8lOkRJ_normal.jpg","View")</f>
        <v>View</v>
      </c>
      <c r="P17539" s="7"/>
    </row>
    <row r="17540" spans="1:16">
      <c r="A17540" s="3">
        <v>44550.868715277778</v>
      </c>
      <c r="B17540" s="4" t="str">
        <f>HYPERLINK("https://twitter.com/petrogustavo","@petrogustavo")</f>
        <v>@petrogustavo</v>
      </c>
      <c r="C17540" s="5" t="s">
        <v>16</v>
      </c>
      <c r="D17540" s="5" t="s">
        <v>16884</v>
      </c>
      <c r="E17540" s="6" t="str">
        <f>HYPERLINK("https://twitter.com/petrogustavo/status/1472950155989168129","1472950155989168129")</f>
        <v>1472950155989168129</v>
      </c>
      <c r="F17540" s="7" t="s">
        <v>17</v>
      </c>
      <c r="G17540" s="7">
        <v>4431092</v>
      </c>
      <c r="H17540" s="7">
        <v>2576</v>
      </c>
      <c r="I17540" s="7">
        <v>424</v>
      </c>
      <c r="J17540" s="7">
        <v>1357</v>
      </c>
      <c r="K17540" s="7" t="s">
        <v>18</v>
      </c>
      <c r="L17540" s="8">
        <v>39987.315405092595</v>
      </c>
      <c r="M17540" s="9" t="s">
        <v>19</v>
      </c>
      <c r="N17540" s="9" t="s">
        <v>20</v>
      </c>
      <c r="O17540" s="6" t="str">
        <f>HYPERLINK("https://pbs.twimg.com/profile_images/962471262747529216/Uo8lOkRJ_normal.jpg","View")</f>
        <v>View</v>
      </c>
      <c r="P17540" s="7"/>
    </row>
    <row r="17541" spans="1:16">
      <c r="A17541" s="3">
        <v>44550.877650462964</v>
      </c>
      <c r="B17541" s="4" t="str">
        <f>HYPERLINK("https://twitter.com/petrogustavo","@petrogustavo")</f>
        <v>@petrogustavo</v>
      </c>
      <c r="C17541" s="5" t="s">
        <v>16</v>
      </c>
      <c r="D17541" s="5" t="s">
        <v>16885</v>
      </c>
      <c r="E17541" s="6" t="str">
        <f>HYPERLINK("https://twitter.com/petrogustavo/status/1472953391651426319","1472953391651426319")</f>
        <v>1472953391651426319</v>
      </c>
      <c r="F17541" s="7" t="s">
        <v>17</v>
      </c>
      <c r="G17541" s="7">
        <v>4431092</v>
      </c>
      <c r="H17541" s="7">
        <v>2576</v>
      </c>
      <c r="I17541" s="7">
        <v>348</v>
      </c>
      <c r="J17541" s="7">
        <v>1251</v>
      </c>
      <c r="K17541" s="7" t="s">
        <v>18</v>
      </c>
      <c r="L17541" s="8">
        <v>39987.315405092595</v>
      </c>
      <c r="M17541" s="9" t="s">
        <v>19</v>
      </c>
      <c r="N17541" s="9" t="s">
        <v>20</v>
      </c>
      <c r="O17541" s="6" t="str">
        <f>HYPERLINK("https://pbs.twimg.com/profile_images/962471262747529216/Uo8lOkRJ_normal.jpg","View")</f>
        <v>View</v>
      </c>
      <c r="P17541" s="7"/>
    </row>
    <row r="17542" spans="1:16">
      <c r="A17542" s="3">
        <v>44550.88680555555</v>
      </c>
      <c r="B17542" s="4" t="str">
        <f>HYPERLINK("https://twitter.com/petrogustavo","@petrogustavo")</f>
        <v>@petrogustavo</v>
      </c>
      <c r="C17542" s="5" t="s">
        <v>16</v>
      </c>
      <c r="D17542" s="5" t="s">
        <v>16886</v>
      </c>
      <c r="E17542" s="6" t="str">
        <f>HYPERLINK("https://twitter.com/petrogustavo/status/1472956711505956866","1472956711505956866")</f>
        <v>1472956711505956866</v>
      </c>
      <c r="F17542" s="7" t="s">
        <v>17</v>
      </c>
      <c r="G17542" s="7">
        <v>4431092</v>
      </c>
      <c r="H17542" s="7">
        <v>2576</v>
      </c>
      <c r="I17542" s="7">
        <v>21</v>
      </c>
      <c r="J17542" s="7">
        <v>86</v>
      </c>
      <c r="K17542" s="7" t="s">
        <v>18</v>
      </c>
      <c r="L17542" s="8">
        <v>39987.315405092595</v>
      </c>
      <c r="M17542" s="9" t="s">
        <v>19</v>
      </c>
      <c r="N17542" s="9" t="s">
        <v>20</v>
      </c>
      <c r="O17542" s="6" t="str">
        <f>HYPERLINK("https://pbs.twimg.com/profile_images/962471262747529216/Uo8lOkRJ_normal.jpg","View")</f>
        <v>View</v>
      </c>
      <c r="P17542" s="7"/>
    </row>
    <row r="17543" spans="1:16">
      <c r="A17543" s="3">
        <v>44550.902592592596</v>
      </c>
      <c r="B17543" s="4" t="str">
        <f>HYPERLINK("https://twitter.com/petrogustavo","@petrogustavo")</f>
        <v>@petrogustavo</v>
      </c>
      <c r="C17543" s="5" t="s">
        <v>16</v>
      </c>
      <c r="D17543" s="5" t="s">
        <v>16887</v>
      </c>
      <c r="E17543" s="6" t="str">
        <f>HYPERLINK("https://twitter.com/petrogustavo/status/1472962430468866055","1472962430468866055")</f>
        <v>1472962430468866055</v>
      </c>
      <c r="F17543" s="7" t="s">
        <v>17</v>
      </c>
      <c r="G17543" s="7">
        <v>4431145</v>
      </c>
      <c r="H17543" s="7">
        <v>2576</v>
      </c>
      <c r="I17543" s="7">
        <v>70</v>
      </c>
      <c r="J17543" s="7">
        <v>233</v>
      </c>
      <c r="K17543" s="7" t="s">
        <v>18</v>
      </c>
      <c r="L17543" s="8">
        <v>39987.315405092595</v>
      </c>
      <c r="M17543" s="9" t="s">
        <v>19</v>
      </c>
      <c r="N17543" s="9" t="s">
        <v>20</v>
      </c>
      <c r="O17543" s="6" t="str">
        <f>HYPERLINK("https://pbs.twimg.com/profile_images/962471262747529216/Uo8lOkRJ_normal.jpg","View")</f>
        <v>View</v>
      </c>
      <c r="P17543" s="7"/>
    </row>
    <row r="17544" spans="1:16">
      <c r="A17544" s="3">
        <v>44550.902592592596</v>
      </c>
      <c r="B17544" s="4" t="str">
        <f>HYPERLINK("https://twitter.com/petrogustavo","@petrogustavo")</f>
        <v>@petrogustavo</v>
      </c>
      <c r="C17544" s="5" t="s">
        <v>16</v>
      </c>
      <c r="D17544" s="5" t="s">
        <v>16888</v>
      </c>
      <c r="E17544" s="6" t="str">
        <f>HYPERLINK("https://twitter.com/petrogustavo/status/1472962432129769479","1472962432129769479")</f>
        <v>1472962432129769479</v>
      </c>
      <c r="F17544" s="7" t="s">
        <v>17</v>
      </c>
      <c r="G17544" s="7">
        <v>4431145</v>
      </c>
      <c r="H17544" s="7">
        <v>2576</v>
      </c>
      <c r="I17544" s="7">
        <v>64</v>
      </c>
      <c r="J17544" s="7">
        <v>210</v>
      </c>
      <c r="K17544" s="7" t="s">
        <v>18</v>
      </c>
      <c r="L17544" s="8">
        <v>39987.315405092595</v>
      </c>
      <c r="M17544" s="9" t="s">
        <v>19</v>
      </c>
      <c r="N17544" s="9" t="s">
        <v>20</v>
      </c>
      <c r="O17544" s="6" t="str">
        <f>HYPERLINK("https://pbs.twimg.com/profile_images/962471262747529216/Uo8lOkRJ_normal.jpg","View")</f>
        <v>View</v>
      </c>
      <c r="P17544" s="7"/>
    </row>
    <row r="17545" spans="1:16">
      <c r="A17545" s="3">
        <v>44550.976331018523</v>
      </c>
      <c r="B17545" s="4" t="str">
        <f>HYPERLINK("https://twitter.com/petrogustavo","@petrogustavo")</f>
        <v>@petrogustavo</v>
      </c>
      <c r="C17545" s="5" t="s">
        <v>16</v>
      </c>
      <c r="D17545" s="5" t="s">
        <v>16889</v>
      </c>
      <c r="E17545" s="6" t="str">
        <f>HYPERLINK("https://twitter.com/petrogustavo/status/1472989154447441920","1472989154447441920")</f>
        <v>1472989154447441920</v>
      </c>
      <c r="F17545" s="7" t="s">
        <v>17</v>
      </c>
      <c r="G17545" s="7">
        <v>4431309</v>
      </c>
      <c r="H17545" s="7">
        <v>2577</v>
      </c>
      <c r="I17545" s="7">
        <v>1932</v>
      </c>
      <c r="J17545" s="7">
        <v>0</v>
      </c>
      <c r="K17545" s="7" t="s">
        <v>18</v>
      </c>
      <c r="L17545" s="8">
        <v>39987.315405092595</v>
      </c>
      <c r="M17545" s="9" t="s">
        <v>19</v>
      </c>
      <c r="N17545" s="9" t="s">
        <v>20</v>
      </c>
      <c r="O17545" s="6" t="str">
        <f>HYPERLINK("https://pbs.twimg.com/profile_images/962471262747529216/Uo8lOkRJ_normal.jpg","View")</f>
        <v>View</v>
      </c>
      <c r="P17545" s="7"/>
    </row>
    <row r="17546" spans="1:16">
      <c r="A17546" s="3">
        <v>44551.207199074073</v>
      </c>
      <c r="B17546" s="4" t="str">
        <f>HYPERLINK("https://twitter.com/petrogustavo","@petrogustavo")</f>
        <v>@petrogustavo</v>
      </c>
      <c r="C17546" s="5" t="s">
        <v>16</v>
      </c>
      <c r="D17546" s="5" t="s">
        <v>16890</v>
      </c>
      <c r="E17546" s="6" t="str">
        <f>HYPERLINK("https://twitter.com/petrogustavo/status/1473072818657107976","1473072818657107976")</f>
        <v>1473072818657107976</v>
      </c>
      <c r="F17546" s="7" t="s">
        <v>17</v>
      </c>
      <c r="G17546" s="7">
        <v>4431631</v>
      </c>
      <c r="H17546" s="7">
        <v>2577</v>
      </c>
      <c r="I17546" s="7">
        <v>472</v>
      </c>
      <c r="J17546" s="7">
        <v>1649</v>
      </c>
      <c r="K17546" s="7" t="s">
        <v>18</v>
      </c>
      <c r="L17546" s="8">
        <v>39987.315405092595</v>
      </c>
      <c r="M17546" s="9" t="s">
        <v>19</v>
      </c>
      <c r="N17546" s="9" t="s">
        <v>20</v>
      </c>
      <c r="O17546" s="6" t="str">
        <f>HYPERLINK("https://pbs.twimg.com/profile_images/962471262747529216/Uo8lOkRJ_normal.jpg","View")</f>
        <v>View</v>
      </c>
      <c r="P17546" s="7"/>
    </row>
    <row r="17547" spans="1:16">
      <c r="A17547" s="3">
        <v>44551.214259259257</v>
      </c>
      <c r="B17547" s="4" t="str">
        <f>HYPERLINK("https://twitter.com/petrogustavo","@petrogustavo")</f>
        <v>@petrogustavo</v>
      </c>
      <c r="C17547" s="5" t="s">
        <v>16</v>
      </c>
      <c r="D17547" s="5" t="s">
        <v>16891</v>
      </c>
      <c r="E17547" s="6" t="str">
        <f>HYPERLINK("https://twitter.com/petrogustavo/status/1473075374242287623","1473075374242287623")</f>
        <v>1473075374242287623</v>
      </c>
      <c r="F17547" s="7" t="s">
        <v>17</v>
      </c>
      <c r="G17547" s="7">
        <v>4431631</v>
      </c>
      <c r="H17547" s="7">
        <v>2577</v>
      </c>
      <c r="I17547" s="7">
        <v>639</v>
      </c>
      <c r="J17547" s="7">
        <v>0</v>
      </c>
      <c r="K17547" s="7" t="s">
        <v>18</v>
      </c>
      <c r="L17547" s="8">
        <v>39987.315405092595</v>
      </c>
      <c r="M17547" s="9" t="s">
        <v>19</v>
      </c>
      <c r="N17547" s="9" t="s">
        <v>20</v>
      </c>
      <c r="O17547" s="6" t="str">
        <f>HYPERLINK("https://pbs.twimg.com/profile_images/962471262747529216/Uo8lOkRJ_normal.jpg","View")</f>
        <v>View</v>
      </c>
      <c r="P17547" s="7"/>
    </row>
    <row r="17548" spans="1:16">
      <c r="A17548" s="3">
        <v>44551.291932870372</v>
      </c>
      <c r="B17548" s="4" t="str">
        <f>HYPERLINK("https://twitter.com/petrogustavo","@petrogustavo")</f>
        <v>@petrogustavo</v>
      </c>
      <c r="C17548" s="5" t="s">
        <v>16</v>
      </c>
      <c r="D17548" s="5" t="s">
        <v>16892</v>
      </c>
      <c r="E17548" s="6" t="str">
        <f>HYPERLINK("https://twitter.com/petrogustavo/status/1473103522413649928","1473103522413649928")</f>
        <v>1473103522413649928</v>
      </c>
      <c r="F17548" s="7" t="s">
        <v>17</v>
      </c>
      <c r="G17548" s="7">
        <v>4431766</v>
      </c>
      <c r="H17548" s="7">
        <v>2577</v>
      </c>
      <c r="I17548" s="7">
        <v>159</v>
      </c>
      <c r="J17548" s="7">
        <v>0</v>
      </c>
      <c r="K17548" s="7" t="s">
        <v>18</v>
      </c>
      <c r="L17548" s="8">
        <v>39987.315405092595</v>
      </c>
      <c r="M17548" s="9" t="s">
        <v>19</v>
      </c>
      <c r="N17548" s="9" t="s">
        <v>20</v>
      </c>
      <c r="O17548" s="6" t="str">
        <f>HYPERLINK("https://pbs.twimg.com/profile_images/962471262747529216/Uo8lOkRJ_normal.jpg","View")</f>
        <v>View</v>
      </c>
      <c r="P17548" s="7"/>
    </row>
    <row r="17549" spans="1:16">
      <c r="A17549" s="3">
        <v>44551.308738425927</v>
      </c>
      <c r="B17549" s="4" t="str">
        <f>HYPERLINK("https://twitter.com/petrogustavo","@petrogustavo")</f>
        <v>@petrogustavo</v>
      </c>
      <c r="C17549" s="5" t="s">
        <v>16</v>
      </c>
      <c r="D17549" s="5" t="s">
        <v>16891</v>
      </c>
      <c r="E17549" s="6" t="str">
        <f>HYPERLINK("https://twitter.com/petrogustavo/status/1473109615281950724","1473109615281950724")</f>
        <v>1473109615281950724</v>
      </c>
      <c r="F17549" s="7" t="s">
        <v>17</v>
      </c>
      <c r="G17549" s="7">
        <v>4431804</v>
      </c>
      <c r="H17549" s="7">
        <v>2577</v>
      </c>
      <c r="I17549" s="7">
        <v>876</v>
      </c>
      <c r="J17549" s="7">
        <v>0</v>
      </c>
      <c r="K17549" s="7" t="s">
        <v>18</v>
      </c>
      <c r="L17549" s="8">
        <v>39987.315405092595</v>
      </c>
      <c r="M17549" s="9" t="s">
        <v>19</v>
      </c>
      <c r="N17549" s="9" t="s">
        <v>20</v>
      </c>
      <c r="O17549" s="6" t="str">
        <f>HYPERLINK("https://pbs.twimg.com/profile_images/962471262747529216/Uo8lOkRJ_normal.jpg","View")</f>
        <v>View</v>
      </c>
      <c r="P17549" s="7"/>
    </row>
    <row r="17550" spans="1:16">
      <c r="A17550" s="3">
        <v>44551.320393518516</v>
      </c>
      <c r="B17550" s="4" t="str">
        <f>HYPERLINK("https://twitter.com/petrogustavo","@petrogustavo")</f>
        <v>@petrogustavo</v>
      </c>
      <c r="C17550" s="5" t="s">
        <v>16</v>
      </c>
      <c r="D17550" s="5" t="s">
        <v>16893</v>
      </c>
      <c r="E17550" s="6" t="str">
        <f>HYPERLINK("https://twitter.com/petrogustavo/status/1473113836907552768","1473113836907552768")</f>
        <v>1473113836907552768</v>
      </c>
      <c r="F17550" s="7" t="s">
        <v>21</v>
      </c>
      <c r="G17550" s="7">
        <v>4431804</v>
      </c>
      <c r="H17550" s="7">
        <v>2577</v>
      </c>
      <c r="I17550" s="7">
        <v>38</v>
      </c>
      <c r="J17550" s="7">
        <v>152</v>
      </c>
      <c r="K17550" s="7" t="s">
        <v>18</v>
      </c>
      <c r="L17550" s="8">
        <v>39987.315405092595</v>
      </c>
      <c r="M17550" s="9" t="s">
        <v>19</v>
      </c>
      <c r="N17550" s="9" t="s">
        <v>20</v>
      </c>
      <c r="O17550" s="6" t="str">
        <f>HYPERLINK("https://pbs.twimg.com/profile_images/962471262747529216/Uo8lOkRJ_normal.jpg","View")</f>
        <v>View</v>
      </c>
      <c r="P17550" s="7"/>
    </row>
    <row r="17551" spans="1:16">
      <c r="A17551" s="3">
        <v>44551.414675925931</v>
      </c>
      <c r="B17551" s="4" t="str">
        <f>HYPERLINK("https://twitter.com/petrogustavo","@petrogustavo")</f>
        <v>@petrogustavo</v>
      </c>
      <c r="C17551" s="5" t="s">
        <v>16</v>
      </c>
      <c r="D17551" s="5" t="s">
        <v>16894</v>
      </c>
      <c r="E17551" s="6" t="str">
        <f>HYPERLINK("https://twitter.com/petrogustavo/status/1473148004907589638","1473148004907589638")</f>
        <v>1473148004907589638</v>
      </c>
      <c r="F17551" s="7" t="s">
        <v>17</v>
      </c>
      <c r="G17551" s="7">
        <v>4431955</v>
      </c>
      <c r="H17551" s="7">
        <v>2577</v>
      </c>
      <c r="I17551" s="7">
        <v>142</v>
      </c>
      <c r="J17551" s="7">
        <v>427</v>
      </c>
      <c r="K17551" s="7" t="s">
        <v>18</v>
      </c>
      <c r="L17551" s="8">
        <v>39987.315405092595</v>
      </c>
      <c r="M17551" s="9" t="s">
        <v>19</v>
      </c>
      <c r="N17551" s="9" t="s">
        <v>20</v>
      </c>
      <c r="O17551" s="6" t="str">
        <f>HYPERLINK("https://pbs.twimg.com/profile_images/962471262747529216/Uo8lOkRJ_normal.jpg","View")</f>
        <v>View</v>
      </c>
      <c r="P17551" s="7"/>
    </row>
    <row r="17552" spans="1:16">
      <c r="A17552" s="3">
        <v>44551.414687500001</v>
      </c>
      <c r="B17552" s="4" t="str">
        <f>HYPERLINK("https://twitter.com/petrogustavo","@petrogustavo")</f>
        <v>@petrogustavo</v>
      </c>
      <c r="C17552" s="5" t="s">
        <v>16</v>
      </c>
      <c r="D17552" s="5" t="s">
        <v>16895</v>
      </c>
      <c r="E17552" s="6" t="str">
        <f>HYPERLINK("https://twitter.com/petrogustavo/status/1473148006916632578","1473148006916632578")</f>
        <v>1473148006916632578</v>
      </c>
      <c r="F17552" s="7" t="s">
        <v>17</v>
      </c>
      <c r="G17552" s="7">
        <v>4431955</v>
      </c>
      <c r="H17552" s="7">
        <v>2577</v>
      </c>
      <c r="I17552" s="7">
        <v>76</v>
      </c>
      <c r="J17552" s="7">
        <v>245</v>
      </c>
      <c r="K17552" s="7" t="s">
        <v>18</v>
      </c>
      <c r="L17552" s="8">
        <v>39987.315405092595</v>
      </c>
      <c r="M17552" s="9" t="s">
        <v>19</v>
      </c>
      <c r="N17552" s="9" t="s">
        <v>20</v>
      </c>
      <c r="O17552" s="6" t="str">
        <f>HYPERLINK("https://pbs.twimg.com/profile_images/962471262747529216/Uo8lOkRJ_normal.jpg","View")</f>
        <v>View</v>
      </c>
      <c r="P17552" s="7"/>
    </row>
    <row r="17553" spans="1:16">
      <c r="A17553" s="3">
        <v>44551.414687500001</v>
      </c>
      <c r="B17553" s="4" t="str">
        <f>HYPERLINK("https://twitter.com/petrogustavo","@petrogustavo")</f>
        <v>@petrogustavo</v>
      </c>
      <c r="C17553" s="5" t="s">
        <v>16</v>
      </c>
      <c r="D17553" s="5" t="s">
        <v>16896</v>
      </c>
      <c r="E17553" s="6" t="str">
        <f>HYPERLINK("https://twitter.com/petrogustavo/status/1473148008481046531","1473148008481046531")</f>
        <v>1473148008481046531</v>
      </c>
      <c r="F17553" s="7" t="s">
        <v>17</v>
      </c>
      <c r="G17553" s="7">
        <v>4431955</v>
      </c>
      <c r="H17553" s="7">
        <v>2577</v>
      </c>
      <c r="I17553" s="7">
        <v>78</v>
      </c>
      <c r="J17553" s="7">
        <v>245</v>
      </c>
      <c r="K17553" s="7" t="s">
        <v>18</v>
      </c>
      <c r="L17553" s="8">
        <v>39987.315405092595</v>
      </c>
      <c r="M17553" s="9" t="s">
        <v>19</v>
      </c>
      <c r="N17553" s="9" t="s">
        <v>20</v>
      </c>
      <c r="O17553" s="6" t="str">
        <f>HYPERLINK("https://pbs.twimg.com/profile_images/962471262747529216/Uo8lOkRJ_normal.jpg","View")</f>
        <v>View</v>
      </c>
      <c r="P17553" s="7"/>
    </row>
    <row r="17554" spans="1:16">
      <c r="A17554" s="3">
        <v>44551.42324074074</v>
      </c>
      <c r="B17554" s="4" t="str">
        <f>HYPERLINK("https://twitter.com/petrogustavo","@petrogustavo")</f>
        <v>@petrogustavo</v>
      </c>
      <c r="C17554" s="5" t="s">
        <v>16</v>
      </c>
      <c r="D17554" s="5" t="s">
        <v>16897</v>
      </c>
      <c r="E17554" s="6" t="str">
        <f>HYPERLINK("https://twitter.com/petrogustavo/status/1473151107065131014","1473151107065131014")</f>
        <v>1473151107065131014</v>
      </c>
      <c r="F17554" s="7" t="s">
        <v>17</v>
      </c>
      <c r="G17554" s="7">
        <v>4431955</v>
      </c>
      <c r="H17554" s="7">
        <v>2577</v>
      </c>
      <c r="I17554" s="7">
        <v>65</v>
      </c>
      <c r="J17554" s="7">
        <v>247</v>
      </c>
      <c r="K17554" s="7" t="s">
        <v>18</v>
      </c>
      <c r="L17554" s="8">
        <v>39987.315405092595</v>
      </c>
      <c r="M17554" s="9" t="s">
        <v>19</v>
      </c>
      <c r="N17554" s="9" t="s">
        <v>20</v>
      </c>
      <c r="O17554" s="6" t="str">
        <f>HYPERLINK("https://pbs.twimg.com/profile_images/962471262747529216/Uo8lOkRJ_normal.jpg","View")</f>
        <v>View</v>
      </c>
      <c r="P17554" s="7"/>
    </row>
    <row r="17555" spans="1:16">
      <c r="A17555" s="3">
        <v>44551.440243055556</v>
      </c>
      <c r="B17555" s="4" t="str">
        <f>HYPERLINK("https://twitter.com/petrogustavo","@petrogustavo")</f>
        <v>@petrogustavo</v>
      </c>
      <c r="C17555" s="5" t="s">
        <v>16</v>
      </c>
      <c r="D17555" s="5" t="s">
        <v>16898</v>
      </c>
      <c r="E17555" s="6" t="str">
        <f>HYPERLINK("https://twitter.com/petrogustavo/status/1473157268258668549","1473157268258668549")</f>
        <v>1473157268258668549</v>
      </c>
      <c r="F17555" s="7" t="s">
        <v>17</v>
      </c>
      <c r="G17555" s="7">
        <v>4431964</v>
      </c>
      <c r="H17555" s="7">
        <v>2577</v>
      </c>
      <c r="I17555" s="7">
        <v>71</v>
      </c>
      <c r="J17555" s="7">
        <v>325</v>
      </c>
      <c r="K17555" s="7" t="s">
        <v>18</v>
      </c>
      <c r="L17555" s="8">
        <v>39987.315405092595</v>
      </c>
      <c r="M17555" s="9" t="s">
        <v>19</v>
      </c>
      <c r="N17555" s="9" t="s">
        <v>20</v>
      </c>
      <c r="O17555" s="6" t="str">
        <f>HYPERLINK("https://pbs.twimg.com/profile_images/962471262747529216/Uo8lOkRJ_normal.jpg","View")</f>
        <v>View</v>
      </c>
      <c r="P17555" s="7"/>
    </row>
    <row r="17556" spans="1:16">
      <c r="A17556" s="3">
        <v>44551.713229166664</v>
      </c>
      <c r="B17556" s="4" t="str">
        <f>HYPERLINK("https://twitter.com/petrogustavo","@petrogustavo")</f>
        <v>@petrogustavo</v>
      </c>
      <c r="C17556" s="5" t="s">
        <v>16</v>
      </c>
      <c r="D17556" s="5" t="s">
        <v>16899</v>
      </c>
      <c r="E17556" s="6" t="str">
        <f>HYPERLINK("https://twitter.com/petrogustavo/status/1473256196928950277","1473256196928950277")</f>
        <v>1473256196928950277</v>
      </c>
      <c r="F17556" s="7" t="s">
        <v>17</v>
      </c>
      <c r="G17556" s="7">
        <v>4432119</v>
      </c>
      <c r="H17556" s="7">
        <v>2577</v>
      </c>
      <c r="I17556" s="7">
        <v>479</v>
      </c>
      <c r="J17556" s="7">
        <v>0</v>
      </c>
      <c r="K17556" s="7" t="s">
        <v>18</v>
      </c>
      <c r="L17556" s="8">
        <v>39987.315405092595</v>
      </c>
      <c r="M17556" s="9" t="s">
        <v>19</v>
      </c>
      <c r="N17556" s="9" t="s">
        <v>20</v>
      </c>
      <c r="O17556" s="6" t="str">
        <f>HYPERLINK("https://pbs.twimg.com/profile_images/962471262747529216/Uo8lOkRJ_normal.jpg","View")</f>
        <v>View</v>
      </c>
      <c r="P17556" s="7"/>
    </row>
    <row r="17557" spans="1:16">
      <c r="A17557" s="3">
        <v>44551.784687499996</v>
      </c>
      <c r="B17557" s="4" t="str">
        <f>HYPERLINK("https://twitter.com/petrogustavo","@petrogustavo")</f>
        <v>@petrogustavo</v>
      </c>
      <c r="C17557" s="5" t="s">
        <v>16</v>
      </c>
      <c r="D17557" s="5" t="s">
        <v>16900</v>
      </c>
      <c r="E17557" s="6" t="str">
        <f>HYPERLINK("https://twitter.com/petrogustavo/status/1473282092033359878","1473282092033359878")</f>
        <v>1473282092033359878</v>
      </c>
      <c r="F17557" s="7" t="s">
        <v>21</v>
      </c>
      <c r="G17557" s="7">
        <v>4432193</v>
      </c>
      <c r="H17557" s="7">
        <v>2577</v>
      </c>
      <c r="I17557" s="7">
        <v>79</v>
      </c>
      <c r="J17557" s="7">
        <v>210</v>
      </c>
      <c r="K17557" s="7" t="s">
        <v>18</v>
      </c>
      <c r="L17557" s="8">
        <v>39987.315405092595</v>
      </c>
      <c r="M17557" s="9" t="s">
        <v>19</v>
      </c>
      <c r="N17557" s="9" t="s">
        <v>20</v>
      </c>
      <c r="O17557" s="6" t="str">
        <f>HYPERLINK("https://pbs.twimg.com/profile_images/962471262747529216/Uo8lOkRJ_normal.jpg","View")</f>
        <v>View</v>
      </c>
      <c r="P17557" s="7"/>
    </row>
    <row r="17558" spans="1:16">
      <c r="A17558" s="3">
        <v>44551.788842592592</v>
      </c>
      <c r="B17558" s="4" t="str">
        <f>HYPERLINK("https://twitter.com/petrogustavo","@petrogustavo")</f>
        <v>@petrogustavo</v>
      </c>
      <c r="C17558" s="5" t="s">
        <v>16</v>
      </c>
      <c r="D17558" s="5" t="s">
        <v>16901</v>
      </c>
      <c r="E17558" s="6" t="str">
        <f>HYPERLINK("https://twitter.com/petrogustavo/status/1473283595347415045","1473283595347415045")</f>
        <v>1473283595347415045</v>
      </c>
      <c r="F17558" s="7" t="s">
        <v>17</v>
      </c>
      <c r="G17558" s="7">
        <v>4432193</v>
      </c>
      <c r="H17558" s="7">
        <v>2577</v>
      </c>
      <c r="I17558" s="7">
        <v>59</v>
      </c>
      <c r="J17558" s="7">
        <v>140</v>
      </c>
      <c r="K17558" s="7" t="s">
        <v>18</v>
      </c>
      <c r="L17558" s="8">
        <v>39987.315405092595</v>
      </c>
      <c r="M17558" s="9" t="s">
        <v>19</v>
      </c>
      <c r="N17558" s="9" t="s">
        <v>20</v>
      </c>
      <c r="O17558" s="6" t="str">
        <f>HYPERLINK("https://pbs.twimg.com/profile_images/962471262747529216/Uo8lOkRJ_normal.jpg","View")</f>
        <v>View</v>
      </c>
      <c r="P17558" s="7"/>
    </row>
    <row r="17559" spans="1:16">
      <c r="A17559" s="3">
        <v>44551.831782407404</v>
      </c>
      <c r="B17559" s="4" t="str">
        <f>HYPERLINK("https://twitter.com/petrogustavo","@petrogustavo")</f>
        <v>@petrogustavo</v>
      </c>
      <c r="C17559" s="5" t="s">
        <v>16</v>
      </c>
      <c r="D17559" s="5" t="s">
        <v>16899</v>
      </c>
      <c r="E17559" s="6" t="str">
        <f>HYPERLINK("https://twitter.com/petrogustavo/status/1473299158081675267","1473299158081675267")</f>
        <v>1473299158081675267</v>
      </c>
      <c r="F17559" s="7" t="s">
        <v>17</v>
      </c>
      <c r="G17559" s="7">
        <v>4432266</v>
      </c>
      <c r="H17559" s="7">
        <v>2578</v>
      </c>
      <c r="I17559" s="7">
        <v>926</v>
      </c>
      <c r="J17559" s="7">
        <v>0</v>
      </c>
      <c r="K17559" s="7" t="s">
        <v>18</v>
      </c>
      <c r="L17559" s="8">
        <v>39987.315405092595</v>
      </c>
      <c r="M17559" s="9" t="s">
        <v>19</v>
      </c>
      <c r="N17559" s="9" t="s">
        <v>20</v>
      </c>
      <c r="O17559" s="6" t="str">
        <f>HYPERLINK("https://pbs.twimg.com/profile_images/962471262747529216/Uo8lOkRJ_normal.jpg","View")</f>
        <v>View</v>
      </c>
      <c r="P17559" s="7"/>
    </row>
    <row r="17560" spans="1:16">
      <c r="A17560" s="3">
        <v>44551.833877314813</v>
      </c>
      <c r="B17560" s="4" t="str">
        <f>HYPERLINK("https://twitter.com/petrogustavo","@petrogustavo")</f>
        <v>@petrogustavo</v>
      </c>
      <c r="C17560" s="5" t="s">
        <v>16</v>
      </c>
      <c r="D17560" s="5" t="s">
        <v>16902</v>
      </c>
      <c r="E17560" s="6" t="str">
        <f>HYPERLINK("https://twitter.com/petrogustavo/status/1473299917531758595","1473299917531758595")</f>
        <v>1473299917531758595</v>
      </c>
      <c r="F17560" s="7" t="s">
        <v>17</v>
      </c>
      <c r="G17560" s="7">
        <v>4432266</v>
      </c>
      <c r="H17560" s="7">
        <v>2578</v>
      </c>
      <c r="I17560" s="7">
        <v>435</v>
      </c>
      <c r="J17560" s="7">
        <v>0</v>
      </c>
      <c r="K17560" s="7" t="s">
        <v>18</v>
      </c>
      <c r="L17560" s="8">
        <v>39987.315405092595</v>
      </c>
      <c r="M17560" s="9" t="s">
        <v>19</v>
      </c>
      <c r="N17560" s="9" t="s">
        <v>20</v>
      </c>
      <c r="O17560" s="6" t="str">
        <f>HYPERLINK("https://pbs.twimg.com/profile_images/962471262747529216/Uo8lOkRJ_normal.jpg","View")</f>
        <v>View</v>
      </c>
      <c r="P17560" s="7"/>
    </row>
    <row r="17561" spans="1:16">
      <c r="A17561" s="3">
        <v>44551.936979166669</v>
      </c>
      <c r="B17561" s="4" t="str">
        <f>HYPERLINK("https://twitter.com/petrogustavo","@petrogustavo")</f>
        <v>@petrogustavo</v>
      </c>
      <c r="C17561" s="5" t="s">
        <v>16</v>
      </c>
      <c r="D17561" s="5" t="s">
        <v>16903</v>
      </c>
      <c r="E17561" s="6" t="str">
        <f>HYPERLINK("https://twitter.com/petrogustavo/status/1473337279150268431","1473337279150268431")</f>
        <v>1473337279150268431</v>
      </c>
      <c r="F17561" s="7" t="s">
        <v>17</v>
      </c>
      <c r="G17561" s="7">
        <v>4432447</v>
      </c>
      <c r="H17561" s="7">
        <v>2578</v>
      </c>
      <c r="I17561" s="7">
        <v>70</v>
      </c>
      <c r="J17561" s="7">
        <v>0</v>
      </c>
      <c r="K17561" s="7" t="s">
        <v>18</v>
      </c>
      <c r="L17561" s="8">
        <v>39987.315405092595</v>
      </c>
      <c r="M17561" s="9" t="s">
        <v>19</v>
      </c>
      <c r="N17561" s="9" t="s">
        <v>20</v>
      </c>
      <c r="O17561" s="6" t="str">
        <f>HYPERLINK("https://pbs.twimg.com/profile_images/962471262747529216/Uo8lOkRJ_normal.jpg","View")</f>
        <v>View</v>
      </c>
      <c r="P17561" s="7"/>
    </row>
    <row r="17562" spans="1:16">
      <c r="A17562" s="3">
        <v>44551.941087962958</v>
      </c>
      <c r="B17562" s="4" t="str">
        <f>HYPERLINK("https://twitter.com/petrogustavo","@petrogustavo")</f>
        <v>@petrogustavo</v>
      </c>
      <c r="C17562" s="5" t="s">
        <v>16</v>
      </c>
      <c r="D17562" s="5" t="s">
        <v>16904</v>
      </c>
      <c r="E17562" s="6" t="str">
        <f>HYPERLINK("https://twitter.com/petrogustavo/status/1473338769885573124","1473338769885573124")</f>
        <v>1473338769885573124</v>
      </c>
      <c r="F17562" s="7" t="s">
        <v>17</v>
      </c>
      <c r="G17562" s="7">
        <v>4432447</v>
      </c>
      <c r="H17562" s="7">
        <v>2578</v>
      </c>
      <c r="I17562" s="7">
        <v>141</v>
      </c>
      <c r="J17562" s="7">
        <v>419</v>
      </c>
      <c r="K17562" s="7" t="s">
        <v>18</v>
      </c>
      <c r="L17562" s="8">
        <v>39987.315405092595</v>
      </c>
      <c r="M17562" s="9" t="s">
        <v>19</v>
      </c>
      <c r="N17562" s="9" t="s">
        <v>20</v>
      </c>
      <c r="O17562" s="6" t="str">
        <f>HYPERLINK("https://pbs.twimg.com/profile_images/962471262747529216/Uo8lOkRJ_normal.jpg","View")</f>
        <v>View</v>
      </c>
      <c r="P17562" s="7"/>
    </row>
    <row r="17563" spans="1:16">
      <c r="A17563" s="3">
        <v>44551.950046296297</v>
      </c>
      <c r="B17563" s="4" t="str">
        <f>HYPERLINK("https://twitter.com/petrogustavo","@petrogustavo")</f>
        <v>@petrogustavo</v>
      </c>
      <c r="C17563" s="5" t="s">
        <v>16</v>
      </c>
      <c r="D17563" s="5" t="s">
        <v>16905</v>
      </c>
      <c r="E17563" s="6" t="str">
        <f>HYPERLINK("https://twitter.com/petrogustavo/status/1473342015735803917","1473342015735803917")</f>
        <v>1473342015735803917</v>
      </c>
      <c r="F17563" s="7" t="s">
        <v>17</v>
      </c>
      <c r="G17563" s="7">
        <v>4432447</v>
      </c>
      <c r="H17563" s="7">
        <v>2578</v>
      </c>
      <c r="I17563" s="7">
        <v>0</v>
      </c>
      <c r="J17563" s="7">
        <v>2</v>
      </c>
      <c r="K17563" s="7" t="s">
        <v>18</v>
      </c>
      <c r="L17563" s="8">
        <v>39987.315405092595</v>
      </c>
      <c r="M17563" s="9" t="s">
        <v>19</v>
      </c>
      <c r="N17563" s="9" t="s">
        <v>20</v>
      </c>
      <c r="O17563" s="6" t="str">
        <f>HYPERLINK("https://pbs.twimg.com/profile_images/962471262747529216/Uo8lOkRJ_normal.jpg","View")</f>
        <v>View</v>
      </c>
      <c r="P17563" s="7"/>
    </row>
    <row r="17564" spans="1:16">
      <c r="A17564" s="3">
        <v>44551.958969907406</v>
      </c>
      <c r="B17564" s="4" t="str">
        <f>HYPERLINK("https://twitter.com/petrogustavo","@petrogustavo")</f>
        <v>@petrogustavo</v>
      </c>
      <c r="C17564" s="5" t="s">
        <v>16</v>
      </c>
      <c r="D17564" s="5" t="s">
        <v>16906</v>
      </c>
      <c r="E17564" s="6" t="str">
        <f>HYPERLINK("https://twitter.com/petrogustavo/status/1473345247828656128","1473345247828656128")</f>
        <v>1473345247828656128</v>
      </c>
      <c r="F17564" s="7" t="s">
        <v>17</v>
      </c>
      <c r="G17564" s="7">
        <v>4432483</v>
      </c>
      <c r="H17564" s="7">
        <v>2579</v>
      </c>
      <c r="I17564" s="7">
        <v>60</v>
      </c>
      <c r="J17564" s="7">
        <v>0</v>
      </c>
      <c r="K17564" s="7" t="s">
        <v>18</v>
      </c>
      <c r="L17564" s="8">
        <v>39987.315405092595</v>
      </c>
      <c r="M17564" s="9" t="s">
        <v>19</v>
      </c>
      <c r="N17564" s="9" t="s">
        <v>20</v>
      </c>
      <c r="O17564" s="6" t="str">
        <f>HYPERLINK("https://pbs.twimg.com/profile_images/962471262747529216/Uo8lOkRJ_normal.jpg","View")</f>
        <v>View</v>
      </c>
      <c r="P17564" s="7"/>
    </row>
    <row r="17565" spans="1:16">
      <c r="A17565" s="3">
        <v>44551.975486111114</v>
      </c>
      <c r="B17565" s="4" t="str">
        <f>HYPERLINK("https://twitter.com/petrogustavo","@petrogustavo")</f>
        <v>@petrogustavo</v>
      </c>
      <c r="C17565" s="5" t="s">
        <v>16</v>
      </c>
      <c r="D17565" s="5" t="s">
        <v>16907</v>
      </c>
      <c r="E17565" s="6" t="str">
        <f>HYPERLINK("https://twitter.com/petrogustavo/status/1473351236351152138","1473351236351152138")</f>
        <v>1473351236351152138</v>
      </c>
      <c r="F17565" s="7" t="s">
        <v>17</v>
      </c>
      <c r="G17565" s="7">
        <v>4432483</v>
      </c>
      <c r="H17565" s="7">
        <v>2579</v>
      </c>
      <c r="I17565" s="7">
        <v>40</v>
      </c>
      <c r="J17565" s="7">
        <v>0</v>
      </c>
      <c r="K17565" s="7" t="s">
        <v>18</v>
      </c>
      <c r="L17565" s="8">
        <v>39987.315405092595</v>
      </c>
      <c r="M17565" s="9" t="s">
        <v>19</v>
      </c>
      <c r="N17565" s="9" t="s">
        <v>20</v>
      </c>
      <c r="O17565" s="6" t="str">
        <f>HYPERLINK("https://pbs.twimg.com/profile_images/962471262747529216/Uo8lOkRJ_normal.jpg","View")</f>
        <v>View</v>
      </c>
      <c r="P17565" s="7"/>
    </row>
    <row r="17566" spans="1:16">
      <c r="A17566" s="3">
        <v>44551.981435185182</v>
      </c>
      <c r="B17566" s="4" t="str">
        <f>HYPERLINK("https://twitter.com/petrogustavo","@petrogustavo")</f>
        <v>@petrogustavo</v>
      </c>
      <c r="C17566" s="5" t="s">
        <v>16</v>
      </c>
      <c r="D17566" s="5" t="s">
        <v>16908</v>
      </c>
      <c r="E17566" s="6" t="str">
        <f>HYPERLINK("https://twitter.com/petrogustavo/status/1473353388666638341","1473353388666638341")</f>
        <v>1473353388666638341</v>
      </c>
      <c r="F17566" s="7" t="s">
        <v>17</v>
      </c>
      <c r="G17566" s="7">
        <v>4432483</v>
      </c>
      <c r="H17566" s="7">
        <v>2579</v>
      </c>
      <c r="I17566" s="7">
        <v>24</v>
      </c>
      <c r="J17566" s="7">
        <v>75</v>
      </c>
      <c r="K17566" s="7" t="s">
        <v>18</v>
      </c>
      <c r="L17566" s="8">
        <v>39987.315405092595</v>
      </c>
      <c r="M17566" s="9" t="s">
        <v>19</v>
      </c>
      <c r="N17566" s="9" t="s">
        <v>20</v>
      </c>
      <c r="O17566" s="6" t="str">
        <f>HYPERLINK("https://pbs.twimg.com/profile_images/962471262747529216/Uo8lOkRJ_normal.jpg","View")</f>
        <v>View</v>
      </c>
      <c r="P17566" s="7"/>
    </row>
    <row r="17567" spans="1:16">
      <c r="A17567" s="3">
        <v>44551.981435185182</v>
      </c>
      <c r="B17567" s="4" t="str">
        <f>HYPERLINK("https://twitter.com/petrogustavo","@petrogustavo")</f>
        <v>@petrogustavo</v>
      </c>
      <c r="C17567" s="5" t="s">
        <v>16</v>
      </c>
      <c r="D17567" s="5" t="s">
        <v>16909</v>
      </c>
      <c r="E17567" s="6" t="str">
        <f>HYPERLINK("https://twitter.com/petrogustavo/status/1473353389924917252","1473353389924917252")</f>
        <v>1473353389924917252</v>
      </c>
      <c r="F17567" s="7" t="s">
        <v>17</v>
      </c>
      <c r="G17567" s="7">
        <v>4432483</v>
      </c>
      <c r="H17567" s="7">
        <v>2579</v>
      </c>
      <c r="I17567" s="7">
        <v>8</v>
      </c>
      <c r="J17567" s="7">
        <v>41</v>
      </c>
      <c r="K17567" s="7" t="s">
        <v>18</v>
      </c>
      <c r="L17567" s="8">
        <v>39987.315405092595</v>
      </c>
      <c r="M17567" s="9" t="s">
        <v>19</v>
      </c>
      <c r="N17567" s="9" t="s">
        <v>20</v>
      </c>
      <c r="O17567" s="6" t="str">
        <f>HYPERLINK("https://pbs.twimg.com/profile_images/962471262747529216/Uo8lOkRJ_normal.jpg","View")</f>
        <v>View</v>
      </c>
      <c r="P17567" s="7"/>
    </row>
    <row r="17568" spans="1:16">
      <c r="A17568" s="3">
        <v>44552.00545138889</v>
      </c>
      <c r="B17568" s="4" t="str">
        <f>HYPERLINK("https://twitter.com/petrogustavo","@petrogustavo")</f>
        <v>@petrogustavo</v>
      </c>
      <c r="C17568" s="5" t="s">
        <v>16</v>
      </c>
      <c r="D17568" s="5" t="s">
        <v>16910</v>
      </c>
      <c r="E17568" s="6" t="str">
        <f>HYPERLINK("https://twitter.com/petrogustavo/status/1473362093722247175","1473362093722247175")</f>
        <v>1473362093722247175</v>
      </c>
      <c r="F17568" s="7" t="s">
        <v>32</v>
      </c>
      <c r="G17568" s="7">
        <v>4432560</v>
      </c>
      <c r="H17568" s="7">
        <v>2578</v>
      </c>
      <c r="I17568" s="7">
        <v>479</v>
      </c>
      <c r="J17568" s="7">
        <v>0</v>
      </c>
      <c r="K17568" s="7" t="s">
        <v>18</v>
      </c>
      <c r="L17568" s="8">
        <v>39987.315405092595</v>
      </c>
      <c r="M17568" s="9" t="s">
        <v>19</v>
      </c>
      <c r="N17568" s="9" t="s">
        <v>20</v>
      </c>
      <c r="O17568" s="6" t="str">
        <f>HYPERLINK("https://pbs.twimg.com/profile_images/962471262747529216/Uo8lOkRJ_normal.jpg","View")</f>
        <v>View</v>
      </c>
      <c r="P17568" s="7"/>
    </row>
    <row r="17569" spans="1:16">
      <c r="A17569" s="3">
        <v>44552.008472222224</v>
      </c>
      <c r="B17569" s="4" t="str">
        <f>HYPERLINK("https://twitter.com/petrogustavo","@petrogustavo")</f>
        <v>@petrogustavo</v>
      </c>
      <c r="C17569" s="5" t="s">
        <v>16</v>
      </c>
      <c r="D17569" s="5" t="s">
        <v>16911</v>
      </c>
      <c r="E17569" s="6" t="str">
        <f>HYPERLINK("https://twitter.com/petrogustavo/status/1473363187957481472","1473363187957481472")</f>
        <v>1473363187957481472</v>
      </c>
      <c r="F17569" s="7" t="s">
        <v>32</v>
      </c>
      <c r="G17569" s="7">
        <v>4432560</v>
      </c>
      <c r="H17569" s="7">
        <v>2578</v>
      </c>
      <c r="I17569" s="7">
        <v>196</v>
      </c>
      <c r="J17569" s="7">
        <v>656</v>
      </c>
      <c r="K17569" s="7" t="s">
        <v>18</v>
      </c>
      <c r="L17569" s="8">
        <v>39987.315405092595</v>
      </c>
      <c r="M17569" s="9" t="s">
        <v>19</v>
      </c>
      <c r="N17569" s="9" t="s">
        <v>20</v>
      </c>
      <c r="O17569" s="6" t="str">
        <f>HYPERLINK("https://pbs.twimg.com/profile_images/962471262747529216/Uo8lOkRJ_normal.jpg","View")</f>
        <v>View</v>
      </c>
      <c r="P17569" s="7"/>
    </row>
    <row r="17570" spans="1:16">
      <c r="A17570" s="3">
        <v>44552.01525462963</v>
      </c>
      <c r="B17570" s="4" t="str">
        <f>HYPERLINK("https://twitter.com/petrogustavo","@petrogustavo")</f>
        <v>@petrogustavo</v>
      </c>
      <c r="C17570" s="5" t="s">
        <v>16</v>
      </c>
      <c r="D17570" s="5" t="s">
        <v>16912</v>
      </c>
      <c r="E17570" s="6" t="str">
        <f>HYPERLINK("https://twitter.com/petrogustavo/status/1473365647698575366","1473365647698575366")</f>
        <v>1473365647698575366</v>
      </c>
      <c r="F17570" s="7" t="s">
        <v>21</v>
      </c>
      <c r="G17570" s="7">
        <v>4432560</v>
      </c>
      <c r="H17570" s="7">
        <v>2578</v>
      </c>
      <c r="I17570" s="7">
        <v>92</v>
      </c>
      <c r="J17570" s="7">
        <v>236</v>
      </c>
      <c r="K17570" s="7" t="s">
        <v>18</v>
      </c>
      <c r="L17570" s="8">
        <v>39987.315405092595</v>
      </c>
      <c r="M17570" s="9" t="s">
        <v>19</v>
      </c>
      <c r="N17570" s="9" t="s">
        <v>20</v>
      </c>
      <c r="O17570" s="6" t="str">
        <f>HYPERLINK("https://pbs.twimg.com/profile_images/962471262747529216/Uo8lOkRJ_normal.jpg","View")</f>
        <v>View</v>
      </c>
      <c r="P17570" s="7"/>
    </row>
    <row r="17571" spans="1:16">
      <c r="A17571" s="3">
        <v>44552.03670138889</v>
      </c>
      <c r="B17571" s="4" t="str">
        <f>HYPERLINK("https://twitter.com/petrogustavo","@petrogustavo")</f>
        <v>@petrogustavo</v>
      </c>
      <c r="C17571" s="5" t="s">
        <v>16</v>
      </c>
      <c r="D17571" s="5" t="s">
        <v>16913</v>
      </c>
      <c r="E17571" s="6" t="str">
        <f>HYPERLINK("https://twitter.com/petrogustavo/status/1473373418120691715","1473373418120691715")</f>
        <v>1473373418120691715</v>
      </c>
      <c r="F17571" s="7" t="s">
        <v>32</v>
      </c>
      <c r="G17571" s="7">
        <v>4432560</v>
      </c>
      <c r="H17571" s="7">
        <v>2578</v>
      </c>
      <c r="I17571" s="7">
        <v>703</v>
      </c>
      <c r="J17571" s="7">
        <v>0</v>
      </c>
      <c r="K17571" s="7" t="s">
        <v>18</v>
      </c>
      <c r="L17571" s="8">
        <v>39987.315405092595</v>
      </c>
      <c r="M17571" s="9" t="s">
        <v>19</v>
      </c>
      <c r="N17571" s="9" t="s">
        <v>20</v>
      </c>
      <c r="O17571" s="6" t="str">
        <f>HYPERLINK("https://pbs.twimg.com/profile_images/962471262747529216/Uo8lOkRJ_normal.jpg","View")</f>
        <v>View</v>
      </c>
      <c r="P17571" s="7"/>
    </row>
    <row r="17572" spans="1:16">
      <c r="A17572" s="3">
        <v>44552.055613425924</v>
      </c>
      <c r="B17572" s="4" t="str">
        <f>HYPERLINK("https://twitter.com/petrogustavo","@petrogustavo")</f>
        <v>@petrogustavo</v>
      </c>
      <c r="C17572" s="5" t="s">
        <v>16</v>
      </c>
      <c r="D17572" s="5" t="s">
        <v>16914</v>
      </c>
      <c r="E17572" s="6" t="str">
        <f>HYPERLINK("https://twitter.com/petrogustavo/status/1473380271286329350","1473380271286329350")</f>
        <v>1473380271286329350</v>
      </c>
      <c r="F17572" s="7" t="s">
        <v>32</v>
      </c>
      <c r="G17572" s="7">
        <v>4432579</v>
      </c>
      <c r="H17572" s="7">
        <v>2578</v>
      </c>
      <c r="I17572" s="7">
        <v>72</v>
      </c>
      <c r="J17572" s="7">
        <v>0</v>
      </c>
      <c r="K17572" s="7" t="s">
        <v>18</v>
      </c>
      <c r="L17572" s="8">
        <v>39987.315405092595</v>
      </c>
      <c r="M17572" s="9" t="s">
        <v>19</v>
      </c>
      <c r="N17572" s="9" t="s">
        <v>20</v>
      </c>
      <c r="O17572" s="6" t="str">
        <f>HYPERLINK("https://pbs.twimg.com/profile_images/962471262747529216/Uo8lOkRJ_normal.jpg","View")</f>
        <v>View</v>
      </c>
      <c r="P17572" s="7"/>
    </row>
    <row r="17573" spans="1:16">
      <c r="A17573" s="3">
        <v>44552.055891203709</v>
      </c>
      <c r="B17573" s="4" t="str">
        <f>HYPERLINK("https://twitter.com/petrogustavo","@petrogustavo")</f>
        <v>@petrogustavo</v>
      </c>
      <c r="C17573" s="5" t="s">
        <v>16</v>
      </c>
      <c r="D17573" s="5" t="s">
        <v>16915</v>
      </c>
      <c r="E17573" s="6" t="str">
        <f>HYPERLINK("https://twitter.com/petrogustavo/status/1473380370431287299","1473380370431287299")</f>
        <v>1473380370431287299</v>
      </c>
      <c r="F17573" s="7" t="s">
        <v>32</v>
      </c>
      <c r="G17573" s="7">
        <v>4432579</v>
      </c>
      <c r="H17573" s="7">
        <v>2578</v>
      </c>
      <c r="I17573" s="7">
        <v>306</v>
      </c>
      <c r="J17573" s="7">
        <v>0</v>
      </c>
      <c r="K17573" s="7" t="s">
        <v>18</v>
      </c>
      <c r="L17573" s="8">
        <v>39987.315405092595</v>
      </c>
      <c r="M17573" s="9" t="s">
        <v>19</v>
      </c>
      <c r="N17573" s="9" t="s">
        <v>20</v>
      </c>
      <c r="O17573" s="6" t="str">
        <f>HYPERLINK("https://pbs.twimg.com/profile_images/962471262747529216/Uo8lOkRJ_normal.jpg","View")</f>
        <v>View</v>
      </c>
      <c r="P17573" s="7"/>
    </row>
    <row r="17574" spans="1:16">
      <c r="A17574" s="3">
        <v>44552.060902777783</v>
      </c>
      <c r="B17574" s="4" t="str">
        <f>HYPERLINK("https://twitter.com/petrogustavo","@petrogustavo")</f>
        <v>@petrogustavo</v>
      </c>
      <c r="C17574" s="5" t="s">
        <v>16</v>
      </c>
      <c r="D17574" s="5" t="s">
        <v>16916</v>
      </c>
      <c r="E17574" s="6" t="str">
        <f>HYPERLINK("https://twitter.com/petrogustavo/status/1473382188704014341","1473382188704014341")</f>
        <v>1473382188704014341</v>
      </c>
      <c r="F17574" s="7" t="s">
        <v>32</v>
      </c>
      <c r="G17574" s="7">
        <v>4432579</v>
      </c>
      <c r="H17574" s="7">
        <v>2578</v>
      </c>
      <c r="I17574" s="7">
        <v>121</v>
      </c>
      <c r="J17574" s="7">
        <v>0</v>
      </c>
      <c r="K17574" s="7" t="s">
        <v>18</v>
      </c>
      <c r="L17574" s="8">
        <v>39987.315405092595</v>
      </c>
      <c r="M17574" s="9" t="s">
        <v>19</v>
      </c>
      <c r="N17574" s="9" t="s">
        <v>20</v>
      </c>
      <c r="O17574" s="6" t="str">
        <f>HYPERLINK("https://pbs.twimg.com/profile_images/962471262747529216/Uo8lOkRJ_normal.jpg","View")</f>
        <v>View</v>
      </c>
      <c r="P17574" s="7"/>
    </row>
    <row r="17575" spans="1:16">
      <c r="A17575" s="3">
        <v>44552.066608796296</v>
      </c>
      <c r="B17575" s="4" t="str">
        <f>HYPERLINK("https://twitter.com/petrogustavo","@petrogustavo")</f>
        <v>@petrogustavo</v>
      </c>
      <c r="C17575" s="5" t="s">
        <v>16</v>
      </c>
      <c r="D17575" s="5" t="s">
        <v>16917</v>
      </c>
      <c r="E17575" s="6" t="str">
        <f>HYPERLINK("https://twitter.com/petrogustavo/status/1473384256323960832","1473384256323960832")</f>
        <v>1473384256323960832</v>
      </c>
      <c r="F17575" s="7" t="s">
        <v>17</v>
      </c>
      <c r="G17575" s="7">
        <v>4432598</v>
      </c>
      <c r="H17575" s="7">
        <v>2580</v>
      </c>
      <c r="I17575" s="7">
        <v>44</v>
      </c>
      <c r="J17575" s="7">
        <v>162</v>
      </c>
      <c r="K17575" s="7" t="s">
        <v>18</v>
      </c>
      <c r="L17575" s="8">
        <v>39987.315405092595</v>
      </c>
      <c r="M17575" s="9" t="s">
        <v>19</v>
      </c>
      <c r="N17575" s="9" t="s">
        <v>20</v>
      </c>
      <c r="O17575" s="6" t="str">
        <f>HYPERLINK("https://pbs.twimg.com/profile_images/962471262747529216/Uo8lOkRJ_normal.jpg","View")</f>
        <v>View</v>
      </c>
      <c r="P17575" s="7"/>
    </row>
    <row r="17576" spans="1:16">
      <c r="A17576" s="3">
        <v>44552.071203703701</v>
      </c>
      <c r="B17576" s="4" t="str">
        <f>HYPERLINK("https://twitter.com/petrogustavo","@petrogustavo")</f>
        <v>@petrogustavo</v>
      </c>
      <c r="C17576" s="5" t="s">
        <v>16</v>
      </c>
      <c r="D17576" s="5" t="s">
        <v>16918</v>
      </c>
      <c r="E17576" s="6" t="str">
        <f>HYPERLINK("https://twitter.com/petrogustavo/status/1473385921932414983","1473385921932414983")</f>
        <v>1473385921932414983</v>
      </c>
      <c r="F17576" s="7" t="s">
        <v>32</v>
      </c>
      <c r="G17576" s="7">
        <v>4432598</v>
      </c>
      <c r="H17576" s="7">
        <v>2580</v>
      </c>
      <c r="I17576" s="7">
        <v>102</v>
      </c>
      <c r="J17576" s="7">
        <v>363</v>
      </c>
      <c r="K17576" s="7" t="s">
        <v>18</v>
      </c>
      <c r="L17576" s="8">
        <v>39987.315405092595</v>
      </c>
      <c r="M17576" s="9" t="s">
        <v>19</v>
      </c>
      <c r="N17576" s="9" t="s">
        <v>20</v>
      </c>
      <c r="O17576" s="6" t="str">
        <f>HYPERLINK("https://pbs.twimg.com/profile_images/962471262747529216/Uo8lOkRJ_normal.jpg","View")</f>
        <v>View</v>
      </c>
      <c r="P17576" s="7"/>
    </row>
    <row r="17577" spans="1:16">
      <c r="A17577" s="3">
        <v>44552.091469907406</v>
      </c>
      <c r="B17577" s="4" t="str">
        <f>HYPERLINK("https://twitter.com/petrogustavo","@petrogustavo")</f>
        <v>@petrogustavo</v>
      </c>
      <c r="C17577" s="5" t="s">
        <v>16</v>
      </c>
      <c r="D17577" s="5" t="s">
        <v>16919</v>
      </c>
      <c r="E17577" s="6" t="str">
        <f>HYPERLINK("https://twitter.com/petrogustavo/status/1473393267362480140","1473393267362480140")</f>
        <v>1473393267362480140</v>
      </c>
      <c r="F17577" s="7" t="s">
        <v>32</v>
      </c>
      <c r="G17577" s="7">
        <v>4432611</v>
      </c>
      <c r="H17577" s="7">
        <v>2579</v>
      </c>
      <c r="I17577" s="7">
        <v>192</v>
      </c>
      <c r="J17577" s="7">
        <v>602</v>
      </c>
      <c r="K17577" s="7" t="s">
        <v>18</v>
      </c>
      <c r="L17577" s="8">
        <v>39987.315405092595</v>
      </c>
      <c r="M17577" s="9" t="s">
        <v>19</v>
      </c>
      <c r="N17577" s="9" t="s">
        <v>20</v>
      </c>
      <c r="O17577" s="6" t="str">
        <f>HYPERLINK("https://pbs.twimg.com/profile_images/962471262747529216/Uo8lOkRJ_normal.jpg","View")</f>
        <v>View</v>
      </c>
      <c r="P17577" s="7"/>
    </row>
    <row r="17578" spans="1:16">
      <c r="A17578" s="3">
        <v>44552.095810185187</v>
      </c>
      <c r="B17578" s="4" t="str">
        <f>HYPERLINK("https://twitter.com/petrogustavo","@petrogustavo")</f>
        <v>@petrogustavo</v>
      </c>
      <c r="C17578" s="5" t="s">
        <v>16</v>
      </c>
      <c r="D17578" s="5" t="s">
        <v>16920</v>
      </c>
      <c r="E17578" s="6" t="str">
        <f>HYPERLINK("https://twitter.com/petrogustavo/status/1473394840264232968","1473394840264232968")</f>
        <v>1473394840264232968</v>
      </c>
      <c r="F17578" s="7" t="s">
        <v>32</v>
      </c>
      <c r="G17578" s="7">
        <v>4432611</v>
      </c>
      <c r="H17578" s="7">
        <v>2579</v>
      </c>
      <c r="I17578" s="7">
        <v>44</v>
      </c>
      <c r="J17578" s="7">
        <v>0</v>
      </c>
      <c r="K17578" s="7" t="s">
        <v>18</v>
      </c>
      <c r="L17578" s="8">
        <v>39987.315405092595</v>
      </c>
      <c r="M17578" s="9" t="s">
        <v>19</v>
      </c>
      <c r="N17578" s="9" t="s">
        <v>20</v>
      </c>
      <c r="O17578" s="6" t="str">
        <f>HYPERLINK("https://pbs.twimg.com/profile_images/962471262747529216/Uo8lOkRJ_normal.jpg","View")</f>
        <v>View</v>
      </c>
      <c r="P17578" s="7"/>
    </row>
    <row r="17579" spans="1:16">
      <c r="A17579" s="3">
        <v>44552.096990740742</v>
      </c>
      <c r="B17579" s="4" t="str">
        <f>HYPERLINK("https://twitter.com/petrogustavo","@petrogustavo")</f>
        <v>@petrogustavo</v>
      </c>
      <c r="C17579" s="5" t="s">
        <v>16</v>
      </c>
      <c r="D17579" s="5" t="s">
        <v>16921</v>
      </c>
      <c r="E17579" s="6" t="str">
        <f>HYPERLINK("https://twitter.com/petrogustavo/status/1473395266682343437","1473395266682343437")</f>
        <v>1473395266682343437</v>
      </c>
      <c r="F17579" s="7" t="s">
        <v>32</v>
      </c>
      <c r="G17579" s="7">
        <v>4432611</v>
      </c>
      <c r="H17579" s="7">
        <v>2579</v>
      </c>
      <c r="I17579" s="7">
        <v>192</v>
      </c>
      <c r="J17579" s="7">
        <v>0</v>
      </c>
      <c r="K17579" s="7" t="s">
        <v>18</v>
      </c>
      <c r="L17579" s="8">
        <v>39987.315405092595</v>
      </c>
      <c r="M17579" s="9" t="s">
        <v>19</v>
      </c>
      <c r="N17579" s="9" t="s">
        <v>20</v>
      </c>
      <c r="O17579" s="6" t="str">
        <f>HYPERLINK("https://pbs.twimg.com/profile_images/962471262747529216/Uo8lOkRJ_normal.jpg","View")</f>
        <v>View</v>
      </c>
      <c r="P17579" s="7"/>
    </row>
    <row r="17580" spans="1:16">
      <c r="A17580" s="3">
        <v>44552.104907407411</v>
      </c>
      <c r="B17580" s="4" t="str">
        <f>HYPERLINK("https://twitter.com/petrogustavo","@petrogustavo")</f>
        <v>@petrogustavo</v>
      </c>
      <c r="C17580" s="5" t="s">
        <v>16</v>
      </c>
      <c r="D17580" s="5" t="s">
        <v>16922</v>
      </c>
      <c r="E17580" s="6" t="str">
        <f>HYPERLINK("https://twitter.com/petrogustavo/status/1473398133128368138","1473398133128368138")</f>
        <v>1473398133128368138</v>
      </c>
      <c r="F17580" s="7" t="s">
        <v>32</v>
      </c>
      <c r="G17580" s="7">
        <v>4432611</v>
      </c>
      <c r="H17580" s="7">
        <v>2579</v>
      </c>
      <c r="I17580" s="7">
        <v>4</v>
      </c>
      <c r="J17580" s="7">
        <v>14</v>
      </c>
      <c r="K17580" s="7" t="s">
        <v>18</v>
      </c>
      <c r="L17580" s="8">
        <v>39987.315405092595</v>
      </c>
      <c r="M17580" s="9" t="s">
        <v>19</v>
      </c>
      <c r="N17580" s="9" t="s">
        <v>20</v>
      </c>
      <c r="O17580" s="6" t="str">
        <f>HYPERLINK("https://pbs.twimg.com/profile_images/962471262747529216/Uo8lOkRJ_normal.jpg","View")</f>
        <v>View</v>
      </c>
      <c r="P17580" s="7"/>
    </row>
    <row r="17581" spans="1:16">
      <c r="A17581" s="3">
        <v>44552.111064814817</v>
      </c>
      <c r="B17581" s="4" t="str">
        <f>HYPERLINK("https://twitter.com/petrogustavo","@petrogustavo")</f>
        <v>@petrogustavo</v>
      </c>
      <c r="C17581" s="5" t="s">
        <v>16</v>
      </c>
      <c r="D17581" s="5" t="s">
        <v>16923</v>
      </c>
      <c r="E17581" s="6" t="str">
        <f>HYPERLINK("https://twitter.com/petrogustavo/status/1473400368331694092","1473400368331694092")</f>
        <v>1473400368331694092</v>
      </c>
      <c r="F17581" s="7" t="s">
        <v>17</v>
      </c>
      <c r="G17581" s="7">
        <v>4432635</v>
      </c>
      <c r="H17581" s="7">
        <v>2579</v>
      </c>
      <c r="I17581" s="7">
        <v>239</v>
      </c>
      <c r="J17581" s="7">
        <v>1085</v>
      </c>
      <c r="K17581" s="7" t="s">
        <v>18</v>
      </c>
      <c r="L17581" s="8">
        <v>39987.315405092595</v>
      </c>
      <c r="M17581" s="9" t="s">
        <v>19</v>
      </c>
      <c r="N17581" s="9" t="s">
        <v>20</v>
      </c>
      <c r="O17581" s="6" t="str">
        <f>HYPERLINK("https://pbs.twimg.com/profile_images/962471262747529216/Uo8lOkRJ_normal.jpg","View")</f>
        <v>View</v>
      </c>
      <c r="P17581" s="7"/>
    </row>
    <row r="17582" spans="1:16">
      <c r="A17582" s="3">
        <v>44552.133599537032</v>
      </c>
      <c r="B17582" s="4" t="str">
        <f>HYPERLINK("https://twitter.com/petrogustavo","@petrogustavo")</f>
        <v>@petrogustavo</v>
      </c>
      <c r="C17582" s="5" t="s">
        <v>16</v>
      </c>
      <c r="D17582" s="5" t="s">
        <v>16924</v>
      </c>
      <c r="E17582" s="6" t="str">
        <f>HYPERLINK("https://twitter.com/petrogustavo/status/1473408532741767174","1473408532741767174")</f>
        <v>1473408532741767174</v>
      </c>
      <c r="F17582" s="7" t="s">
        <v>17</v>
      </c>
      <c r="G17582" s="7">
        <v>4432654</v>
      </c>
      <c r="H17582" s="7">
        <v>2579</v>
      </c>
      <c r="I17582" s="7">
        <v>320</v>
      </c>
      <c r="J17582" s="7">
        <v>1065</v>
      </c>
      <c r="K17582" s="7" t="s">
        <v>18</v>
      </c>
      <c r="L17582" s="8">
        <v>39987.315405092595</v>
      </c>
      <c r="M17582" s="9" t="s">
        <v>19</v>
      </c>
      <c r="N17582" s="9" t="s">
        <v>20</v>
      </c>
      <c r="O17582" s="6" t="str">
        <f>HYPERLINK("https://pbs.twimg.com/profile_images/962471262747529216/Uo8lOkRJ_normal.jpg","View")</f>
        <v>View</v>
      </c>
      <c r="P17582" s="7"/>
    </row>
    <row r="17583" spans="1:16">
      <c r="A17583" s="3">
        <v>44552.152962962966</v>
      </c>
      <c r="B17583" s="4" t="str">
        <f>HYPERLINK("https://twitter.com/petrogustavo","@petrogustavo")</f>
        <v>@petrogustavo</v>
      </c>
      <c r="C17583" s="5" t="s">
        <v>16</v>
      </c>
      <c r="D17583" s="5" t="s">
        <v>16925</v>
      </c>
      <c r="E17583" s="6" t="str">
        <f>HYPERLINK("https://twitter.com/petrogustavo/status/1473415551447965701","1473415551447965701")</f>
        <v>1473415551447965701</v>
      </c>
      <c r="F17583" s="7" t="s">
        <v>17</v>
      </c>
      <c r="G17583" s="7">
        <v>4432672</v>
      </c>
      <c r="H17583" s="7">
        <v>2578</v>
      </c>
      <c r="I17583" s="7">
        <v>86</v>
      </c>
      <c r="J17583" s="7">
        <v>0</v>
      </c>
      <c r="K17583" s="7" t="s">
        <v>18</v>
      </c>
      <c r="L17583" s="8">
        <v>39987.315405092595</v>
      </c>
      <c r="M17583" s="9" t="s">
        <v>19</v>
      </c>
      <c r="N17583" s="9" t="s">
        <v>20</v>
      </c>
      <c r="O17583" s="6" t="str">
        <f>HYPERLINK("https://pbs.twimg.com/profile_images/962471262747529216/Uo8lOkRJ_normal.jpg","View")</f>
        <v>View</v>
      </c>
      <c r="P17583" s="7"/>
    </row>
    <row r="17584" spans="1:16">
      <c r="A17584" s="3">
        <v>44552.157013888893</v>
      </c>
      <c r="B17584" s="4" t="str">
        <f>HYPERLINK("https://twitter.com/petrogustavo","@petrogustavo")</f>
        <v>@petrogustavo</v>
      </c>
      <c r="C17584" s="5" t="s">
        <v>16</v>
      </c>
      <c r="D17584" s="5" t="s">
        <v>16926</v>
      </c>
      <c r="E17584" s="6" t="str">
        <f>HYPERLINK("https://twitter.com/petrogustavo/status/1473417019672473603","1473417019672473603")</f>
        <v>1473417019672473603</v>
      </c>
      <c r="F17584" s="7" t="s">
        <v>17</v>
      </c>
      <c r="G17584" s="7">
        <v>4432672</v>
      </c>
      <c r="H17584" s="7">
        <v>2578</v>
      </c>
      <c r="I17584" s="7">
        <v>32</v>
      </c>
      <c r="J17584" s="7">
        <v>0</v>
      </c>
      <c r="K17584" s="7" t="s">
        <v>18</v>
      </c>
      <c r="L17584" s="8">
        <v>39987.315405092595</v>
      </c>
      <c r="M17584" s="9" t="s">
        <v>19</v>
      </c>
      <c r="N17584" s="9" t="s">
        <v>20</v>
      </c>
      <c r="O17584" s="6" t="str">
        <f>HYPERLINK("https://pbs.twimg.com/profile_images/962471262747529216/Uo8lOkRJ_normal.jpg","View")</f>
        <v>View</v>
      </c>
      <c r="P17584" s="7"/>
    </row>
    <row r="17585" spans="1:16">
      <c r="A17585" s="3">
        <v>44552.157407407409</v>
      </c>
      <c r="B17585" s="4" t="str">
        <f>HYPERLINK("https://twitter.com/petrogustavo","@petrogustavo")</f>
        <v>@petrogustavo</v>
      </c>
      <c r="C17585" s="5" t="s">
        <v>16</v>
      </c>
      <c r="D17585" s="5" t="s">
        <v>16927</v>
      </c>
      <c r="E17585" s="6" t="str">
        <f>HYPERLINK("https://twitter.com/petrogustavo/status/1473417162635333640","1473417162635333640")</f>
        <v>1473417162635333640</v>
      </c>
      <c r="F17585" s="7" t="s">
        <v>17</v>
      </c>
      <c r="G17585" s="7">
        <v>4432672</v>
      </c>
      <c r="H17585" s="7">
        <v>2578</v>
      </c>
      <c r="I17585" s="7">
        <v>558</v>
      </c>
      <c r="J17585" s="7">
        <v>0</v>
      </c>
      <c r="K17585" s="7" t="s">
        <v>18</v>
      </c>
      <c r="L17585" s="8">
        <v>39987.315405092595</v>
      </c>
      <c r="M17585" s="9" t="s">
        <v>19</v>
      </c>
      <c r="N17585" s="9" t="s">
        <v>20</v>
      </c>
      <c r="O17585" s="6" t="str">
        <f>HYPERLINK("https://pbs.twimg.com/profile_images/962471262747529216/Uo8lOkRJ_normal.jpg","View")</f>
        <v>View</v>
      </c>
      <c r="P17585" s="7"/>
    </row>
    <row r="17586" spans="1:16">
      <c r="A17586" s="3">
        <v>44552.158090277779</v>
      </c>
      <c r="B17586" s="4" t="str">
        <f>HYPERLINK("https://twitter.com/petrogustavo","@petrogustavo")</f>
        <v>@petrogustavo</v>
      </c>
      <c r="C17586" s="5" t="s">
        <v>16</v>
      </c>
      <c r="D17586" s="5" t="s">
        <v>16928</v>
      </c>
      <c r="E17586" s="6" t="str">
        <f>HYPERLINK("https://twitter.com/petrogustavo/status/1473417408866140167","1473417408866140167")</f>
        <v>1473417408866140167</v>
      </c>
      <c r="F17586" s="7" t="s">
        <v>17</v>
      </c>
      <c r="G17586" s="7">
        <v>4432672</v>
      </c>
      <c r="H17586" s="7">
        <v>2578</v>
      </c>
      <c r="I17586" s="7">
        <v>689</v>
      </c>
      <c r="J17586" s="7">
        <v>0</v>
      </c>
      <c r="K17586" s="7" t="s">
        <v>18</v>
      </c>
      <c r="L17586" s="8">
        <v>39987.315405092595</v>
      </c>
      <c r="M17586" s="9" t="s">
        <v>19</v>
      </c>
      <c r="N17586" s="9" t="s">
        <v>20</v>
      </c>
      <c r="O17586" s="6" t="str">
        <f>HYPERLINK("https://pbs.twimg.com/profile_images/962471262747529216/Uo8lOkRJ_normal.jpg","View")</f>
        <v>View</v>
      </c>
      <c r="P17586" s="7"/>
    </row>
    <row r="17587" spans="1:16">
      <c r="A17587" s="3">
        <v>44552.168252314819</v>
      </c>
      <c r="B17587" s="4" t="str">
        <f>HYPERLINK("https://twitter.com/petrogustavo","@petrogustavo")</f>
        <v>@petrogustavo</v>
      </c>
      <c r="C17587" s="5" t="s">
        <v>16</v>
      </c>
      <c r="D17587" s="5" t="s">
        <v>16929</v>
      </c>
      <c r="E17587" s="6" t="str">
        <f>HYPERLINK("https://twitter.com/petrogustavo/status/1473421089711738886","1473421089711738886")</f>
        <v>1473421089711738886</v>
      </c>
      <c r="F17587" s="7" t="s">
        <v>17</v>
      </c>
      <c r="G17587" s="7">
        <v>4432672</v>
      </c>
      <c r="H17587" s="7">
        <v>2578</v>
      </c>
      <c r="I17587" s="7">
        <v>18</v>
      </c>
      <c r="J17587" s="7">
        <v>0</v>
      </c>
      <c r="K17587" s="7" t="s">
        <v>18</v>
      </c>
      <c r="L17587" s="8">
        <v>39987.315405092595</v>
      </c>
      <c r="M17587" s="9" t="s">
        <v>19</v>
      </c>
      <c r="N17587" s="9" t="s">
        <v>20</v>
      </c>
      <c r="O17587" s="6" t="str">
        <f>HYPERLINK("https://pbs.twimg.com/profile_images/962471262747529216/Uo8lOkRJ_normal.jpg","View")</f>
        <v>View</v>
      </c>
      <c r="P17587" s="7"/>
    </row>
    <row r="17588" spans="1:16">
      <c r="A17588" s="3">
        <v>44552.170023148152</v>
      </c>
      <c r="B17588" s="4" t="str">
        <f>HYPERLINK("https://twitter.com/petrogustavo","@petrogustavo")</f>
        <v>@petrogustavo</v>
      </c>
      <c r="C17588" s="5" t="s">
        <v>16</v>
      </c>
      <c r="D17588" s="5" t="s">
        <v>16930</v>
      </c>
      <c r="E17588" s="6" t="str">
        <f>HYPERLINK("https://twitter.com/petrogustavo/status/1473421731671031814","1473421731671031814")</f>
        <v>1473421731671031814</v>
      </c>
      <c r="F17588" s="7" t="s">
        <v>17</v>
      </c>
      <c r="G17588" s="7">
        <v>4432690</v>
      </c>
      <c r="H17588" s="7">
        <v>2578</v>
      </c>
      <c r="I17588" s="7">
        <v>64</v>
      </c>
      <c r="J17588" s="7">
        <v>219</v>
      </c>
      <c r="K17588" s="7" t="s">
        <v>18</v>
      </c>
      <c r="L17588" s="8">
        <v>39987.315405092595</v>
      </c>
      <c r="M17588" s="9" t="s">
        <v>19</v>
      </c>
      <c r="N17588" s="9" t="s">
        <v>20</v>
      </c>
      <c r="O17588" s="6" t="str">
        <f>HYPERLINK("https://pbs.twimg.com/profile_images/962471262747529216/Uo8lOkRJ_normal.jpg","View")</f>
        <v>View</v>
      </c>
      <c r="P17588" s="7"/>
    </row>
    <row r="17589" spans="1:16">
      <c r="A17589" s="3">
        <v>44552.179085648153</v>
      </c>
      <c r="B17589" s="4" t="str">
        <f>HYPERLINK("https://twitter.com/petrogustavo","@petrogustavo")</f>
        <v>@petrogustavo</v>
      </c>
      <c r="C17589" s="5" t="s">
        <v>16</v>
      </c>
      <c r="D17589" s="5" t="s">
        <v>16931</v>
      </c>
      <c r="E17589" s="6" t="str">
        <f>HYPERLINK("https://twitter.com/petrogustavo/status/1473425018151395331","1473425018151395331")</f>
        <v>1473425018151395331</v>
      </c>
      <c r="F17589" s="7" t="s">
        <v>17</v>
      </c>
      <c r="G17589" s="7">
        <v>4432690</v>
      </c>
      <c r="H17589" s="7">
        <v>2578</v>
      </c>
      <c r="I17589" s="7">
        <v>268</v>
      </c>
      <c r="J17589" s="7">
        <v>906</v>
      </c>
      <c r="K17589" s="7" t="s">
        <v>18</v>
      </c>
      <c r="L17589" s="8">
        <v>39987.315405092595</v>
      </c>
      <c r="M17589" s="9" t="s">
        <v>19</v>
      </c>
      <c r="N17589" s="9" t="s">
        <v>20</v>
      </c>
      <c r="O17589" s="6" t="str">
        <f>HYPERLINK("https://pbs.twimg.com/profile_images/962471262747529216/Uo8lOkRJ_normal.jpg","View")</f>
        <v>View</v>
      </c>
      <c r="P17589" s="7"/>
    </row>
    <row r="17590" spans="1:16">
      <c r="A17590" s="3">
        <v>44552.212824074071</v>
      </c>
      <c r="B17590" s="4" t="str">
        <f>HYPERLINK("https://twitter.com/petrogustavo","@petrogustavo")</f>
        <v>@petrogustavo</v>
      </c>
      <c r="C17590" s="5" t="s">
        <v>16</v>
      </c>
      <c r="D17590" s="5" t="s">
        <v>16932</v>
      </c>
      <c r="E17590" s="6" t="str">
        <f>HYPERLINK("https://twitter.com/petrogustavo/status/1473437241963864070","1473437241963864070")</f>
        <v>1473437241963864070</v>
      </c>
      <c r="F17590" s="7" t="s">
        <v>17</v>
      </c>
      <c r="G17590" s="7">
        <v>4432753</v>
      </c>
      <c r="H17590" s="7">
        <v>2578</v>
      </c>
      <c r="I17590" s="7">
        <v>953</v>
      </c>
      <c r="J17590" s="7">
        <v>0</v>
      </c>
      <c r="K17590" s="7" t="s">
        <v>18</v>
      </c>
      <c r="L17590" s="8">
        <v>39987.315405092595</v>
      </c>
      <c r="M17590" s="9" t="s">
        <v>19</v>
      </c>
      <c r="N17590" s="9" t="s">
        <v>20</v>
      </c>
      <c r="O17590" s="6" t="str">
        <f>HYPERLINK("https://pbs.twimg.com/profile_images/962471262747529216/Uo8lOkRJ_normal.jpg","View")</f>
        <v>View</v>
      </c>
      <c r="P17590" s="7"/>
    </row>
    <row r="17591" spans="1:16">
      <c r="A17591" s="3">
        <v>44552.266851851848</v>
      </c>
      <c r="B17591" s="4" t="str">
        <f>HYPERLINK("https://twitter.com/petrogustavo","@petrogustavo")</f>
        <v>@petrogustavo</v>
      </c>
      <c r="C17591" s="5" t="s">
        <v>16</v>
      </c>
      <c r="D17591" s="5" t="s">
        <v>16933</v>
      </c>
      <c r="E17591" s="6" t="str">
        <f>HYPERLINK("https://twitter.com/petrogustavo/status/1473456821671276548","1473456821671276548")</f>
        <v>1473456821671276548</v>
      </c>
      <c r="F17591" s="7" t="s">
        <v>17</v>
      </c>
      <c r="G17591" s="7">
        <v>4432803</v>
      </c>
      <c r="H17591" s="7">
        <v>2579</v>
      </c>
      <c r="I17591" s="7">
        <v>35</v>
      </c>
      <c r="J17591" s="7">
        <v>0</v>
      </c>
      <c r="K17591" s="7" t="s">
        <v>18</v>
      </c>
      <c r="L17591" s="8">
        <v>39987.315405092595</v>
      </c>
      <c r="M17591" s="9" t="s">
        <v>19</v>
      </c>
      <c r="N17591" s="9" t="s">
        <v>20</v>
      </c>
      <c r="O17591" s="6" t="str">
        <f>HYPERLINK("https://pbs.twimg.com/profile_images/962471262747529216/Uo8lOkRJ_normal.jpg","View")</f>
        <v>View</v>
      </c>
      <c r="P17591" s="7"/>
    </row>
    <row r="17592" spans="1:16">
      <c r="A17592" s="3">
        <v>44552.266932870371</v>
      </c>
      <c r="B17592" s="4" t="str">
        <f>HYPERLINK("https://twitter.com/petrogustavo","@petrogustavo")</f>
        <v>@petrogustavo</v>
      </c>
      <c r="C17592" s="5" t="s">
        <v>16</v>
      </c>
      <c r="D17592" s="5" t="s">
        <v>16934</v>
      </c>
      <c r="E17592" s="6" t="str">
        <f>HYPERLINK("https://twitter.com/petrogustavo/status/1473456853027807233","1473456853027807233")</f>
        <v>1473456853027807233</v>
      </c>
      <c r="F17592" s="7" t="s">
        <v>17</v>
      </c>
      <c r="G17592" s="7">
        <v>4432803</v>
      </c>
      <c r="H17592" s="7">
        <v>2579</v>
      </c>
      <c r="I17592" s="7">
        <v>785</v>
      </c>
      <c r="J17592" s="7">
        <v>0</v>
      </c>
      <c r="K17592" s="7" t="s">
        <v>18</v>
      </c>
      <c r="L17592" s="8">
        <v>39987.315405092595</v>
      </c>
      <c r="M17592" s="9" t="s">
        <v>19</v>
      </c>
      <c r="N17592" s="9" t="s">
        <v>20</v>
      </c>
      <c r="O17592" s="6" t="str">
        <f>HYPERLINK("https://pbs.twimg.com/profile_images/962471262747529216/Uo8lOkRJ_normal.jpg","View")</f>
        <v>View</v>
      </c>
      <c r="P17592" s="7"/>
    </row>
    <row r="17593" spans="1:16">
      <c r="A17593" s="3">
        <v>44552.300509259258</v>
      </c>
      <c r="B17593" s="4" t="str">
        <f>HYPERLINK("https://twitter.com/petrogustavo","@petrogustavo")</f>
        <v>@petrogustavo</v>
      </c>
      <c r="C17593" s="5" t="s">
        <v>16</v>
      </c>
      <c r="D17593" s="5" t="s">
        <v>16935</v>
      </c>
      <c r="E17593" s="6" t="str">
        <f>HYPERLINK("https://twitter.com/petrogustavo/status/1473469020414300161","1473469020414300161")</f>
        <v>1473469020414300161</v>
      </c>
      <c r="F17593" s="7" t="s">
        <v>17</v>
      </c>
      <c r="G17593" s="7">
        <v>4432855</v>
      </c>
      <c r="H17593" s="7">
        <v>2579</v>
      </c>
      <c r="I17593" s="7">
        <v>379</v>
      </c>
      <c r="J17593" s="7">
        <v>1092</v>
      </c>
      <c r="K17593" s="7" t="s">
        <v>18</v>
      </c>
      <c r="L17593" s="8">
        <v>39987.315405092595</v>
      </c>
      <c r="M17593" s="9" t="s">
        <v>19</v>
      </c>
      <c r="N17593" s="9" t="s">
        <v>20</v>
      </c>
      <c r="O17593" s="6" t="str">
        <f>HYPERLINK("https://pbs.twimg.com/profile_images/962471262747529216/Uo8lOkRJ_normal.jpg","View")</f>
        <v>View</v>
      </c>
      <c r="P17593" s="7"/>
    </row>
    <row r="17594" spans="1:16">
      <c r="A17594" s="3">
        <v>44552.301620370374</v>
      </c>
      <c r="B17594" s="4" t="str">
        <f>HYPERLINK("https://twitter.com/petrogustavo","@petrogustavo")</f>
        <v>@petrogustavo</v>
      </c>
      <c r="C17594" s="5" t="s">
        <v>16</v>
      </c>
      <c r="D17594" s="5" t="s">
        <v>16936</v>
      </c>
      <c r="E17594" s="6" t="str">
        <f>HYPERLINK("https://twitter.com/petrogustavo/status/1473469421939310598","1473469421939310598")</f>
        <v>1473469421939310598</v>
      </c>
      <c r="F17594" s="7" t="s">
        <v>17</v>
      </c>
      <c r="G17594" s="7">
        <v>4432855</v>
      </c>
      <c r="H17594" s="7">
        <v>2579</v>
      </c>
      <c r="I17594" s="7">
        <v>29</v>
      </c>
      <c r="J17594" s="7">
        <v>0</v>
      </c>
      <c r="K17594" s="7" t="s">
        <v>18</v>
      </c>
      <c r="L17594" s="8">
        <v>39987.315405092595</v>
      </c>
      <c r="M17594" s="9" t="s">
        <v>19</v>
      </c>
      <c r="N17594" s="9" t="s">
        <v>20</v>
      </c>
      <c r="O17594" s="6" t="str">
        <f>HYPERLINK("https://pbs.twimg.com/profile_images/962471262747529216/Uo8lOkRJ_normal.jpg","View")</f>
        <v>View</v>
      </c>
      <c r="P17594" s="7"/>
    </row>
    <row r="17595" spans="1:16">
      <c r="A17595" s="3">
        <v>44552.305289351847</v>
      </c>
      <c r="B17595" s="4" t="str">
        <f>HYPERLINK("https://twitter.com/petrogustavo","@petrogustavo")</f>
        <v>@petrogustavo</v>
      </c>
      <c r="C17595" s="5" t="s">
        <v>16</v>
      </c>
      <c r="D17595" s="5" t="s">
        <v>16937</v>
      </c>
      <c r="E17595" s="6" t="str">
        <f>HYPERLINK("https://twitter.com/petrogustavo/status/1473470752301240335","1473470752301240335")</f>
        <v>1473470752301240335</v>
      </c>
      <c r="F17595" s="7" t="s">
        <v>17</v>
      </c>
      <c r="G17595" s="7">
        <v>4432855</v>
      </c>
      <c r="H17595" s="7">
        <v>2579</v>
      </c>
      <c r="I17595" s="7">
        <v>68</v>
      </c>
      <c r="J17595" s="7">
        <v>0</v>
      </c>
      <c r="K17595" s="7" t="s">
        <v>18</v>
      </c>
      <c r="L17595" s="8">
        <v>39987.315405092595</v>
      </c>
      <c r="M17595" s="9" t="s">
        <v>19</v>
      </c>
      <c r="N17595" s="9" t="s">
        <v>20</v>
      </c>
      <c r="O17595" s="6" t="str">
        <f>HYPERLINK("https://pbs.twimg.com/profile_images/962471262747529216/Uo8lOkRJ_normal.jpg","View")</f>
        <v>View</v>
      </c>
      <c r="P17595" s="7"/>
    </row>
    <row r="17596" spans="1:16">
      <c r="A17596" s="3">
        <v>44552.312557870369</v>
      </c>
      <c r="B17596" s="4" t="str">
        <f>HYPERLINK("https://twitter.com/petrogustavo","@petrogustavo")</f>
        <v>@petrogustavo</v>
      </c>
      <c r="C17596" s="5" t="s">
        <v>16</v>
      </c>
      <c r="D17596" s="5" t="s">
        <v>16938</v>
      </c>
      <c r="E17596" s="6" t="str">
        <f>HYPERLINK("https://twitter.com/petrogustavo/status/1473473383920812032","1473473383920812032")</f>
        <v>1473473383920812032</v>
      </c>
      <c r="F17596" s="7" t="s">
        <v>17</v>
      </c>
      <c r="G17596" s="7">
        <v>4432855</v>
      </c>
      <c r="H17596" s="7">
        <v>2579</v>
      </c>
      <c r="I17596" s="7">
        <v>27</v>
      </c>
      <c r="J17596" s="7">
        <v>79</v>
      </c>
      <c r="K17596" s="7" t="s">
        <v>18</v>
      </c>
      <c r="L17596" s="8">
        <v>39987.315405092595</v>
      </c>
      <c r="M17596" s="9" t="s">
        <v>19</v>
      </c>
      <c r="N17596" s="9" t="s">
        <v>20</v>
      </c>
      <c r="O17596" s="6" t="str">
        <f>HYPERLINK("https://pbs.twimg.com/profile_images/962471262747529216/Uo8lOkRJ_normal.jpg","View")</f>
        <v>View</v>
      </c>
      <c r="P17596" s="7"/>
    </row>
    <row r="17597" spans="1:16">
      <c r="A17597" s="3">
        <v>44552.347962962958</v>
      </c>
      <c r="B17597" s="4" t="str">
        <f>HYPERLINK("https://twitter.com/petrogustavo","@petrogustavo")</f>
        <v>@petrogustavo</v>
      </c>
      <c r="C17597" s="5" t="s">
        <v>16</v>
      </c>
      <c r="D17597" s="5" t="s">
        <v>16939</v>
      </c>
      <c r="E17597" s="6" t="str">
        <f>HYPERLINK("https://twitter.com/petrogustavo/status/1473486216913903620","1473486216913903620")</f>
        <v>1473486216913903620</v>
      </c>
      <c r="F17597" s="7" t="s">
        <v>17</v>
      </c>
      <c r="G17597" s="7">
        <v>4432912</v>
      </c>
      <c r="H17597" s="7">
        <v>2579</v>
      </c>
      <c r="I17597" s="7">
        <v>548</v>
      </c>
      <c r="J17597" s="7">
        <v>0</v>
      </c>
      <c r="K17597" s="7" t="s">
        <v>18</v>
      </c>
      <c r="L17597" s="8">
        <v>39987.315405092595</v>
      </c>
      <c r="M17597" s="9" t="s">
        <v>19</v>
      </c>
      <c r="N17597" s="9" t="s">
        <v>20</v>
      </c>
      <c r="O17597" s="6" t="str">
        <f>HYPERLINK("https://pbs.twimg.com/profile_images/962471262747529216/Uo8lOkRJ_normal.jpg","View")</f>
        <v>View</v>
      </c>
      <c r="P17597" s="7"/>
    </row>
    <row r="17598" spans="1:16">
      <c r="A17598" s="3">
        <v>44552.351226851853</v>
      </c>
      <c r="B17598" s="4" t="str">
        <f>HYPERLINK("https://twitter.com/petrogustavo","@petrogustavo")</f>
        <v>@petrogustavo</v>
      </c>
      <c r="C17598" s="5" t="s">
        <v>16</v>
      </c>
      <c r="D17598" s="5" t="s">
        <v>16940</v>
      </c>
      <c r="E17598" s="6" t="str">
        <f>HYPERLINK("https://twitter.com/petrogustavo/status/1473487399590273028","1473487399590273028")</f>
        <v>1473487399590273028</v>
      </c>
      <c r="F17598" s="7" t="s">
        <v>17</v>
      </c>
      <c r="G17598" s="7">
        <v>4432912</v>
      </c>
      <c r="H17598" s="7">
        <v>2579</v>
      </c>
      <c r="I17598" s="7">
        <v>479</v>
      </c>
      <c r="J17598" s="7">
        <v>0</v>
      </c>
      <c r="K17598" s="7" t="s">
        <v>18</v>
      </c>
      <c r="L17598" s="8">
        <v>39987.315405092595</v>
      </c>
      <c r="M17598" s="9" t="s">
        <v>19</v>
      </c>
      <c r="N17598" s="9" t="s">
        <v>20</v>
      </c>
      <c r="O17598" s="6" t="str">
        <f>HYPERLINK("https://pbs.twimg.com/profile_images/962471262747529216/Uo8lOkRJ_normal.jpg","View")</f>
        <v>View</v>
      </c>
      <c r="P17598" s="7"/>
    </row>
    <row r="17599" spans="1:16">
      <c r="A17599" s="3">
        <v>44552.351365740746</v>
      </c>
      <c r="B17599" s="4" t="str">
        <f>HYPERLINK("https://twitter.com/petrogustavo","@petrogustavo")</f>
        <v>@petrogustavo</v>
      </c>
      <c r="C17599" s="5" t="s">
        <v>16</v>
      </c>
      <c r="D17599" s="5" t="s">
        <v>16941</v>
      </c>
      <c r="E17599" s="6" t="str">
        <f>HYPERLINK("https://twitter.com/petrogustavo/status/1473487450261569536","1473487450261569536")</f>
        <v>1473487450261569536</v>
      </c>
      <c r="F17599" s="7" t="s">
        <v>17</v>
      </c>
      <c r="G17599" s="7">
        <v>4432912</v>
      </c>
      <c r="H17599" s="7">
        <v>2579</v>
      </c>
      <c r="I17599" s="7">
        <v>1026</v>
      </c>
      <c r="J17599" s="7">
        <v>0</v>
      </c>
      <c r="K17599" s="7" t="s">
        <v>18</v>
      </c>
      <c r="L17599" s="8">
        <v>39987.315405092595</v>
      </c>
      <c r="M17599" s="9" t="s">
        <v>19</v>
      </c>
      <c r="N17599" s="9" t="s">
        <v>20</v>
      </c>
      <c r="O17599" s="6" t="str">
        <f>HYPERLINK("https://pbs.twimg.com/profile_images/962471262747529216/Uo8lOkRJ_normal.jpg","View")</f>
        <v>View</v>
      </c>
      <c r="P17599" s="7"/>
    </row>
    <row r="17600" spans="1:16">
      <c r="A17600" s="3">
        <v>44552.352314814816</v>
      </c>
      <c r="B17600" s="4" t="str">
        <f>HYPERLINK("https://twitter.com/petrogustavo","@petrogustavo")</f>
        <v>@petrogustavo</v>
      </c>
      <c r="C17600" s="5" t="s">
        <v>16</v>
      </c>
      <c r="D17600" s="5" t="s">
        <v>16942</v>
      </c>
      <c r="E17600" s="6" t="str">
        <f>HYPERLINK("https://twitter.com/petrogustavo/status/1473487793716445190","1473487793716445190")</f>
        <v>1473487793716445190</v>
      </c>
      <c r="F17600" s="7" t="s">
        <v>17</v>
      </c>
      <c r="G17600" s="7">
        <v>4432912</v>
      </c>
      <c r="H17600" s="7">
        <v>2579</v>
      </c>
      <c r="I17600" s="7">
        <v>1077</v>
      </c>
      <c r="J17600" s="7">
        <v>0</v>
      </c>
      <c r="K17600" s="7" t="s">
        <v>18</v>
      </c>
      <c r="L17600" s="8">
        <v>39987.315405092595</v>
      </c>
      <c r="M17600" s="9" t="s">
        <v>19</v>
      </c>
      <c r="N17600" s="9" t="s">
        <v>20</v>
      </c>
      <c r="O17600" s="6" t="str">
        <f>HYPERLINK("https://pbs.twimg.com/profile_images/962471262747529216/Uo8lOkRJ_normal.jpg","View")</f>
        <v>View</v>
      </c>
      <c r="P17600" s="7"/>
    </row>
    <row r="17601" spans="1:16">
      <c r="A17601" s="3">
        <v>44552.928622685184</v>
      </c>
      <c r="B17601" s="4" t="str">
        <f>HYPERLINK("https://twitter.com/petrogustavo","@petrogustavo")</f>
        <v>@petrogustavo</v>
      </c>
      <c r="C17601" s="5" t="s">
        <v>16</v>
      </c>
      <c r="D17601" s="5" t="s">
        <v>16943</v>
      </c>
      <c r="E17601" s="6" t="str">
        <f>HYPERLINK("https://twitter.com/petrogustavo/status/1473696639365824520","1473696639365824520")</f>
        <v>1473696639365824520</v>
      </c>
      <c r="F17601" s="7" t="s">
        <v>17</v>
      </c>
      <c r="G17601" s="7">
        <v>4433272</v>
      </c>
      <c r="H17601" s="7">
        <v>2579</v>
      </c>
      <c r="I17601" s="7">
        <v>6</v>
      </c>
      <c r="J17601" s="7">
        <v>28</v>
      </c>
      <c r="K17601" s="7" t="s">
        <v>18</v>
      </c>
      <c r="L17601" s="8">
        <v>39987.315405092595</v>
      </c>
      <c r="M17601" s="9" t="s">
        <v>19</v>
      </c>
      <c r="N17601" s="9" t="s">
        <v>20</v>
      </c>
      <c r="O17601" s="6" t="str">
        <f>HYPERLINK("https://pbs.twimg.com/profile_images/962471262747529216/Uo8lOkRJ_normal.jpg","View")</f>
        <v>View</v>
      </c>
      <c r="P17601" s="7"/>
    </row>
    <row r="17602" spans="1:16">
      <c r="A17602" s="3">
        <v>44552.928622685184</v>
      </c>
      <c r="B17602" s="4" t="str">
        <f>HYPERLINK("https://twitter.com/petrogustavo","@petrogustavo")</f>
        <v>@petrogustavo</v>
      </c>
      <c r="C17602" s="5" t="s">
        <v>16</v>
      </c>
      <c r="D17602" s="5" t="s">
        <v>16944</v>
      </c>
      <c r="E17602" s="6" t="str">
        <f>HYPERLINK("https://twitter.com/petrogustavo/status/1473696641299402764","1473696641299402764")</f>
        <v>1473696641299402764</v>
      </c>
      <c r="F17602" s="7" t="s">
        <v>17</v>
      </c>
      <c r="G17602" s="7">
        <v>4433272</v>
      </c>
      <c r="H17602" s="7">
        <v>2579</v>
      </c>
      <c r="I17602" s="7">
        <v>1</v>
      </c>
      <c r="J17602" s="7">
        <v>13</v>
      </c>
      <c r="K17602" s="7" t="s">
        <v>18</v>
      </c>
      <c r="L17602" s="8">
        <v>39987.315405092595</v>
      </c>
      <c r="M17602" s="9" t="s">
        <v>19</v>
      </c>
      <c r="N17602" s="9" t="s">
        <v>20</v>
      </c>
      <c r="O17602" s="6" t="str">
        <f>HYPERLINK("https://pbs.twimg.com/profile_images/962471262747529216/Uo8lOkRJ_normal.jpg","View")</f>
        <v>View</v>
      </c>
      <c r="P17602" s="7"/>
    </row>
    <row r="17603" spans="1:16">
      <c r="A17603" s="3">
        <v>44552.92863425926</v>
      </c>
      <c r="B17603" s="4" t="str">
        <f>HYPERLINK("https://twitter.com/petrogustavo","@petrogustavo")</f>
        <v>@petrogustavo</v>
      </c>
      <c r="C17603" s="5" t="s">
        <v>16</v>
      </c>
      <c r="D17603" s="5" t="s">
        <v>16945</v>
      </c>
      <c r="E17603" s="6" t="str">
        <f>HYPERLINK("https://twitter.com/petrogustavo/status/1473696642675220497","1473696642675220497")</f>
        <v>1473696642675220497</v>
      </c>
      <c r="F17603" s="7" t="s">
        <v>17</v>
      </c>
      <c r="G17603" s="7">
        <v>4433272</v>
      </c>
      <c r="H17603" s="7">
        <v>2579</v>
      </c>
      <c r="I17603" s="7">
        <v>2</v>
      </c>
      <c r="J17603" s="7">
        <v>15</v>
      </c>
      <c r="K17603" s="7" t="s">
        <v>18</v>
      </c>
      <c r="L17603" s="8">
        <v>39987.315405092595</v>
      </c>
      <c r="M17603" s="9" t="s">
        <v>19</v>
      </c>
      <c r="N17603" s="9" t="s">
        <v>20</v>
      </c>
      <c r="O17603" s="6" t="str">
        <f>HYPERLINK("https://pbs.twimg.com/profile_images/962471262747529216/Uo8lOkRJ_normal.jpg","View")</f>
        <v>View</v>
      </c>
      <c r="P17603" s="7"/>
    </row>
    <row r="17604" spans="1:16">
      <c r="A17604" s="3">
        <v>44552.996249999997</v>
      </c>
      <c r="B17604" s="4" t="str">
        <f>HYPERLINK("https://twitter.com/petrogustavo","@petrogustavo")</f>
        <v>@petrogustavo</v>
      </c>
      <c r="C17604" s="5" t="s">
        <v>16</v>
      </c>
      <c r="D17604" s="5" t="s">
        <v>16946</v>
      </c>
      <c r="E17604" s="6" t="str">
        <f>HYPERLINK("https://twitter.com/petrogustavo/status/1473721148882010113","1473721148882010113")</f>
        <v>1473721148882010113</v>
      </c>
      <c r="F17604" s="7" t="s">
        <v>17</v>
      </c>
      <c r="G17604" s="7">
        <v>4433367</v>
      </c>
      <c r="H17604" s="7">
        <v>2579</v>
      </c>
      <c r="I17604" s="7">
        <v>378</v>
      </c>
      <c r="J17604" s="7">
        <v>1012</v>
      </c>
      <c r="K17604" s="7" t="s">
        <v>18</v>
      </c>
      <c r="L17604" s="8">
        <v>39987.315405092595</v>
      </c>
      <c r="M17604" s="9" t="s">
        <v>19</v>
      </c>
      <c r="N17604" s="9" t="s">
        <v>20</v>
      </c>
      <c r="O17604" s="6" t="str">
        <f>HYPERLINK("https://pbs.twimg.com/profile_images/962471262747529216/Uo8lOkRJ_normal.jpg","View")</f>
        <v>View</v>
      </c>
      <c r="P17604" s="7"/>
    </row>
    <row r="17605" spans="1:16">
      <c r="A17605" s="3">
        <v>44553.199976851851</v>
      </c>
      <c r="B17605" s="4" t="str">
        <f>HYPERLINK("https://twitter.com/petrogustavo","@petrogustavo")</f>
        <v>@petrogustavo</v>
      </c>
      <c r="C17605" s="5" t="s">
        <v>16</v>
      </c>
      <c r="D17605" s="5" t="s">
        <v>16947</v>
      </c>
      <c r="E17605" s="6" t="str">
        <f>HYPERLINK("https://twitter.com/petrogustavo/status/1473794975485861898","1473794975485861898")</f>
        <v>1473794975485861898</v>
      </c>
      <c r="F17605" s="7" t="s">
        <v>17</v>
      </c>
      <c r="G17605" s="7">
        <v>4433860</v>
      </c>
      <c r="H17605" s="7">
        <v>2579</v>
      </c>
      <c r="I17605" s="7">
        <v>316</v>
      </c>
      <c r="J17605" s="7">
        <v>0</v>
      </c>
      <c r="K17605" s="7" t="s">
        <v>18</v>
      </c>
      <c r="L17605" s="8">
        <v>39987.315405092595</v>
      </c>
      <c r="M17605" s="9" t="s">
        <v>19</v>
      </c>
      <c r="N17605" s="9" t="s">
        <v>20</v>
      </c>
      <c r="O17605" s="6" t="str">
        <f>HYPERLINK("https://pbs.twimg.com/profile_images/962471262747529216/Uo8lOkRJ_normal.jpg","View")</f>
        <v>View</v>
      </c>
      <c r="P17605" s="7"/>
    </row>
    <row r="17606" spans="1:16">
      <c r="A17606" s="3">
        <v>44553.200844907406</v>
      </c>
      <c r="B17606" s="4" t="str">
        <f>HYPERLINK("https://twitter.com/petrogustavo","@petrogustavo")</f>
        <v>@petrogustavo</v>
      </c>
      <c r="C17606" s="5" t="s">
        <v>16</v>
      </c>
      <c r="D17606" s="5" t="s">
        <v>16948</v>
      </c>
      <c r="E17606" s="6" t="str">
        <f>HYPERLINK("https://twitter.com/petrogustavo/status/1473795287835631625","1473795287835631625")</f>
        <v>1473795287835631625</v>
      </c>
      <c r="F17606" s="7" t="s">
        <v>17</v>
      </c>
      <c r="G17606" s="7">
        <v>4433912</v>
      </c>
      <c r="H17606" s="7">
        <v>2578</v>
      </c>
      <c r="I17606" s="7">
        <v>92</v>
      </c>
      <c r="J17606" s="7">
        <v>0</v>
      </c>
      <c r="K17606" s="7" t="s">
        <v>18</v>
      </c>
      <c r="L17606" s="8">
        <v>39987.315405092595</v>
      </c>
      <c r="M17606" s="9" t="s">
        <v>19</v>
      </c>
      <c r="N17606" s="9" t="s">
        <v>20</v>
      </c>
      <c r="O17606" s="6" t="str">
        <f>HYPERLINK("https://pbs.twimg.com/profile_images/962471262747529216/Uo8lOkRJ_normal.jpg","View")</f>
        <v>View</v>
      </c>
      <c r="P17606" s="7"/>
    </row>
    <row r="17607" spans="1:16">
      <c r="A17607" s="3">
        <v>44553.216331018513</v>
      </c>
      <c r="B17607" s="4" t="str">
        <f>HYPERLINK("https://twitter.com/petrogustavo","@petrogustavo")</f>
        <v>@petrogustavo</v>
      </c>
      <c r="C17607" s="5" t="s">
        <v>16</v>
      </c>
      <c r="D17607" s="5" t="s">
        <v>16949</v>
      </c>
      <c r="E17607" s="6" t="str">
        <f>HYPERLINK("https://twitter.com/petrogustavo/status/1473800899990536207","1473800899990536207")</f>
        <v>1473800899990536207</v>
      </c>
      <c r="F17607" s="7" t="s">
        <v>17</v>
      </c>
      <c r="G17607" s="7">
        <v>4433912</v>
      </c>
      <c r="H17607" s="7">
        <v>2578</v>
      </c>
      <c r="I17607" s="7">
        <v>57</v>
      </c>
      <c r="J17607" s="7">
        <v>0</v>
      </c>
      <c r="K17607" s="7" t="s">
        <v>18</v>
      </c>
      <c r="L17607" s="8">
        <v>39987.315405092595</v>
      </c>
      <c r="M17607" s="9" t="s">
        <v>19</v>
      </c>
      <c r="N17607" s="9" t="s">
        <v>20</v>
      </c>
      <c r="O17607" s="6" t="str">
        <f>HYPERLINK("https://pbs.twimg.com/profile_images/962471262747529216/Uo8lOkRJ_normal.jpg","View")</f>
        <v>View</v>
      </c>
      <c r="P17607" s="7"/>
    </row>
    <row r="17608" spans="1:16">
      <c r="A17608" s="3">
        <v>44553.223090277781</v>
      </c>
      <c r="B17608" s="4" t="str">
        <f>HYPERLINK("https://twitter.com/petrogustavo","@petrogustavo")</f>
        <v>@petrogustavo</v>
      </c>
      <c r="C17608" s="5" t="s">
        <v>16</v>
      </c>
      <c r="D17608" s="5" t="s">
        <v>16950</v>
      </c>
      <c r="E17608" s="6" t="str">
        <f>HYPERLINK("https://twitter.com/petrogustavo/status/1473803351624142849","1473803351624142849")</f>
        <v>1473803351624142849</v>
      </c>
      <c r="F17608" s="7" t="s">
        <v>17</v>
      </c>
      <c r="G17608" s="7">
        <v>4433944</v>
      </c>
      <c r="H17608" s="7">
        <v>2578</v>
      </c>
      <c r="I17608" s="7">
        <v>555</v>
      </c>
      <c r="J17608" s="7">
        <v>1948</v>
      </c>
      <c r="K17608" s="7" t="s">
        <v>18</v>
      </c>
      <c r="L17608" s="8">
        <v>39987.315405092595</v>
      </c>
      <c r="M17608" s="9" t="s">
        <v>19</v>
      </c>
      <c r="N17608" s="9" t="s">
        <v>20</v>
      </c>
      <c r="O17608" s="6" t="str">
        <f>HYPERLINK("https://pbs.twimg.com/profile_images/962471262747529216/Uo8lOkRJ_normal.jpg","View")</f>
        <v>View</v>
      </c>
      <c r="P17608" s="7"/>
    </row>
    <row r="17609" spans="1:16">
      <c r="A17609" s="3">
        <v>44553.711655092593</v>
      </c>
      <c r="B17609" s="4" t="str">
        <f>HYPERLINK("https://twitter.com/petrogustavo","@petrogustavo")</f>
        <v>@petrogustavo</v>
      </c>
      <c r="C17609" s="5" t="s">
        <v>16</v>
      </c>
      <c r="D17609" s="5" t="s">
        <v>16951</v>
      </c>
      <c r="E17609" s="6" t="str">
        <f>HYPERLINK("https://twitter.com/petrogustavo/status/1473980401312018436","1473980401312018436")</f>
        <v>1473980401312018436</v>
      </c>
      <c r="F17609" s="7" t="s">
        <v>17</v>
      </c>
      <c r="G17609" s="7">
        <v>4434361</v>
      </c>
      <c r="H17609" s="7">
        <v>2578</v>
      </c>
      <c r="I17609" s="7">
        <v>53</v>
      </c>
      <c r="J17609" s="7">
        <v>232</v>
      </c>
      <c r="K17609" s="7" t="s">
        <v>18</v>
      </c>
      <c r="L17609" s="8">
        <v>39987.315405092595</v>
      </c>
      <c r="M17609" s="9" t="s">
        <v>19</v>
      </c>
      <c r="N17609" s="9" t="s">
        <v>20</v>
      </c>
      <c r="O17609" s="6" t="str">
        <f>HYPERLINK("https://pbs.twimg.com/profile_images/962471262747529216/Uo8lOkRJ_normal.jpg","View")</f>
        <v>View</v>
      </c>
      <c r="P17609" s="7"/>
    </row>
    <row r="17610" spans="1:16">
      <c r="A17610" s="3">
        <v>44553.726863425924</v>
      </c>
      <c r="B17610" s="4" t="str">
        <f>HYPERLINK("https://twitter.com/petrogustavo","@petrogustavo")</f>
        <v>@petrogustavo</v>
      </c>
      <c r="C17610" s="5" t="s">
        <v>16</v>
      </c>
      <c r="D17610" s="5" t="s">
        <v>16952</v>
      </c>
      <c r="E17610" s="6" t="str">
        <f>HYPERLINK("https://twitter.com/petrogustavo/status/1473985910341615618","1473985910341615618")</f>
        <v>1473985910341615618</v>
      </c>
      <c r="F17610" s="7" t="s">
        <v>17</v>
      </c>
      <c r="G17610" s="7">
        <v>4434379</v>
      </c>
      <c r="H17610" s="7">
        <v>2578</v>
      </c>
      <c r="I17610" s="7">
        <v>51</v>
      </c>
      <c r="J17610" s="7">
        <v>165</v>
      </c>
      <c r="K17610" s="7" t="s">
        <v>18</v>
      </c>
      <c r="L17610" s="8">
        <v>39987.315405092595</v>
      </c>
      <c r="M17610" s="9" t="s">
        <v>19</v>
      </c>
      <c r="N17610" s="9" t="s">
        <v>20</v>
      </c>
      <c r="O17610" s="6" t="str">
        <f>HYPERLINK("https://pbs.twimg.com/profile_images/962471262747529216/Uo8lOkRJ_normal.jpg","View")</f>
        <v>View</v>
      </c>
      <c r="P17610" s="7"/>
    </row>
    <row r="17611" spans="1:16">
      <c r="A17611" s="3">
        <v>44553.726863425924</v>
      </c>
      <c r="B17611" s="4" t="str">
        <f>HYPERLINK("https://twitter.com/petrogustavo","@petrogustavo")</f>
        <v>@petrogustavo</v>
      </c>
      <c r="C17611" s="5" t="s">
        <v>16</v>
      </c>
      <c r="D17611" s="5" t="s">
        <v>16953</v>
      </c>
      <c r="E17611" s="6" t="str">
        <f>HYPERLINK("https://twitter.com/petrogustavo/status/1473985911872540672","1473985911872540672")</f>
        <v>1473985911872540672</v>
      </c>
      <c r="F17611" s="7" t="s">
        <v>17</v>
      </c>
      <c r="G17611" s="7">
        <v>4434379</v>
      </c>
      <c r="H17611" s="7">
        <v>2578</v>
      </c>
      <c r="I17611" s="7">
        <v>18</v>
      </c>
      <c r="J17611" s="7">
        <v>34</v>
      </c>
      <c r="K17611" s="7" t="s">
        <v>18</v>
      </c>
      <c r="L17611" s="8">
        <v>39987.315405092595</v>
      </c>
      <c r="M17611" s="9" t="s">
        <v>19</v>
      </c>
      <c r="N17611" s="9" t="s">
        <v>20</v>
      </c>
      <c r="O17611" s="6" t="str">
        <f>HYPERLINK("https://pbs.twimg.com/profile_images/962471262747529216/Uo8lOkRJ_normal.jpg","View")</f>
        <v>View</v>
      </c>
      <c r="P17611" s="7"/>
    </row>
    <row r="17612" spans="1:16">
      <c r="A17612" s="3">
        <v>44553.726863425924</v>
      </c>
      <c r="B17612" s="4" t="str">
        <f>HYPERLINK("https://twitter.com/petrogustavo","@petrogustavo")</f>
        <v>@petrogustavo</v>
      </c>
      <c r="C17612" s="5" t="s">
        <v>16</v>
      </c>
      <c r="D17612" s="5" t="s">
        <v>16954</v>
      </c>
      <c r="E17612" s="6" t="str">
        <f>HYPERLINK("https://twitter.com/petrogustavo/status/1473985913244028929","1473985913244028929")</f>
        <v>1473985913244028929</v>
      </c>
      <c r="F17612" s="7" t="s">
        <v>17</v>
      </c>
      <c r="G17612" s="7">
        <v>4434379</v>
      </c>
      <c r="H17612" s="7">
        <v>2578</v>
      </c>
      <c r="I17612" s="7">
        <v>29</v>
      </c>
      <c r="J17612" s="7">
        <v>87</v>
      </c>
      <c r="K17612" s="7" t="s">
        <v>18</v>
      </c>
      <c r="L17612" s="8">
        <v>39987.315405092595</v>
      </c>
      <c r="M17612" s="9" t="s">
        <v>19</v>
      </c>
      <c r="N17612" s="9" t="s">
        <v>20</v>
      </c>
      <c r="O17612" s="6" t="str">
        <f>HYPERLINK("https://pbs.twimg.com/profile_images/962471262747529216/Uo8lOkRJ_normal.jpg","View")</f>
        <v>View</v>
      </c>
      <c r="P17612" s="7"/>
    </row>
    <row r="17613" spans="1:16">
      <c r="A17613" s="3">
        <v>44553.726875</v>
      </c>
      <c r="B17613" s="4" t="str">
        <f>HYPERLINK("https://twitter.com/petrogustavo","@petrogustavo")</f>
        <v>@petrogustavo</v>
      </c>
      <c r="C17613" s="5" t="s">
        <v>16</v>
      </c>
      <c r="D17613" s="5" t="s">
        <v>16955</v>
      </c>
      <c r="E17613" s="6" t="str">
        <f>HYPERLINK("https://twitter.com/petrogustavo/status/1473985914653356036","1473985914653356036")</f>
        <v>1473985914653356036</v>
      </c>
      <c r="F17613" s="7" t="s">
        <v>17</v>
      </c>
      <c r="G17613" s="7">
        <v>4434379</v>
      </c>
      <c r="H17613" s="7">
        <v>2578</v>
      </c>
      <c r="I17613" s="7">
        <v>45</v>
      </c>
      <c r="J17613" s="7">
        <v>135</v>
      </c>
      <c r="K17613" s="7" t="s">
        <v>18</v>
      </c>
      <c r="L17613" s="8">
        <v>39987.315405092595</v>
      </c>
      <c r="M17613" s="9" t="s">
        <v>19</v>
      </c>
      <c r="N17613" s="9" t="s">
        <v>20</v>
      </c>
      <c r="O17613" s="6" t="str">
        <f>HYPERLINK("https://pbs.twimg.com/profile_images/962471262747529216/Uo8lOkRJ_normal.jpg","View")</f>
        <v>View</v>
      </c>
      <c r="P17613" s="7"/>
    </row>
    <row r="17614" spans="1:16">
      <c r="A17614" s="3">
        <v>44553.754837962959</v>
      </c>
      <c r="B17614" s="4" t="str">
        <f>HYPERLINK("https://twitter.com/petrogustavo","@petrogustavo")</f>
        <v>@petrogustavo</v>
      </c>
      <c r="C17614" s="5" t="s">
        <v>16</v>
      </c>
      <c r="D17614" s="5" t="s">
        <v>16956</v>
      </c>
      <c r="E17614" s="6" t="str">
        <f>HYPERLINK("https://twitter.com/petrogustavo/status/1473996050130214913","1473996050130214913")</f>
        <v>1473996050130214913</v>
      </c>
      <c r="F17614" s="7" t="s">
        <v>17</v>
      </c>
      <c r="G17614" s="7">
        <v>4434383</v>
      </c>
      <c r="H17614" s="7">
        <v>2578</v>
      </c>
      <c r="I17614" s="7">
        <v>62</v>
      </c>
      <c r="J17614" s="7">
        <v>176</v>
      </c>
      <c r="K17614" s="7" t="s">
        <v>18</v>
      </c>
      <c r="L17614" s="8">
        <v>39987.315405092595</v>
      </c>
      <c r="M17614" s="9" t="s">
        <v>19</v>
      </c>
      <c r="N17614" s="9" t="s">
        <v>20</v>
      </c>
      <c r="O17614" s="6" t="str">
        <f>HYPERLINK("https://pbs.twimg.com/profile_images/962471262747529216/Uo8lOkRJ_normal.jpg","View")</f>
        <v>View</v>
      </c>
      <c r="P17614" s="7"/>
    </row>
    <row r="17615" spans="1:16">
      <c r="A17615" s="3">
        <v>44553.754837962959</v>
      </c>
      <c r="B17615" s="4" t="str">
        <f>HYPERLINK("https://twitter.com/petrogustavo","@petrogustavo")</f>
        <v>@petrogustavo</v>
      </c>
      <c r="C17615" s="5" t="s">
        <v>16</v>
      </c>
      <c r="D17615" s="5" t="s">
        <v>16957</v>
      </c>
      <c r="E17615" s="6" t="str">
        <f>HYPERLINK("https://twitter.com/petrogustavo/status/1473996051988328453","1473996051988328453")</f>
        <v>1473996051988328453</v>
      </c>
      <c r="F17615" s="7" t="s">
        <v>17</v>
      </c>
      <c r="G17615" s="7">
        <v>4434383</v>
      </c>
      <c r="H17615" s="7">
        <v>2578</v>
      </c>
      <c r="I17615" s="7">
        <v>42</v>
      </c>
      <c r="J17615" s="7">
        <v>131</v>
      </c>
      <c r="K17615" s="7" t="s">
        <v>18</v>
      </c>
      <c r="L17615" s="8">
        <v>39987.315405092595</v>
      </c>
      <c r="M17615" s="9" t="s">
        <v>19</v>
      </c>
      <c r="N17615" s="9" t="s">
        <v>20</v>
      </c>
      <c r="O17615" s="6" t="str">
        <f>HYPERLINK("https://pbs.twimg.com/profile_images/962471262747529216/Uo8lOkRJ_normal.jpg","View")</f>
        <v>View</v>
      </c>
      <c r="P17615" s="7"/>
    </row>
    <row r="17616" spans="1:16">
      <c r="A17616" s="3">
        <v>44553.76053240741</v>
      </c>
      <c r="B17616" s="4" t="str">
        <f>HYPERLINK("https://twitter.com/petrogustavo","@petrogustavo")</f>
        <v>@petrogustavo</v>
      </c>
      <c r="C17616" s="5" t="s">
        <v>16</v>
      </c>
      <c r="D17616" s="5" t="s">
        <v>16958</v>
      </c>
      <c r="E17616" s="6" t="str">
        <f>HYPERLINK("https://twitter.com/petrogustavo/status/1473998113660674050","1473998113660674050")</f>
        <v>1473998113660674050</v>
      </c>
      <c r="F17616" s="7" t="s">
        <v>17</v>
      </c>
      <c r="G17616" s="7">
        <v>4434383</v>
      </c>
      <c r="H17616" s="7">
        <v>2578</v>
      </c>
      <c r="I17616" s="7">
        <v>8</v>
      </c>
      <c r="J17616" s="7">
        <v>27</v>
      </c>
      <c r="K17616" s="7" t="s">
        <v>18</v>
      </c>
      <c r="L17616" s="8">
        <v>39987.315405092595</v>
      </c>
      <c r="M17616" s="9" t="s">
        <v>19</v>
      </c>
      <c r="N17616" s="9" t="s">
        <v>20</v>
      </c>
      <c r="O17616" s="6" t="str">
        <f>HYPERLINK("https://pbs.twimg.com/profile_images/962471262747529216/Uo8lOkRJ_normal.jpg","View")</f>
        <v>View</v>
      </c>
      <c r="P17616" s="7"/>
    </row>
    <row r="17617" spans="1:16">
      <c r="A17617" s="3">
        <v>44553.760914351849</v>
      </c>
      <c r="B17617" s="4" t="str">
        <f>HYPERLINK("https://twitter.com/petrogustavo","@petrogustavo")</f>
        <v>@petrogustavo</v>
      </c>
      <c r="C17617" s="5" t="s">
        <v>16</v>
      </c>
      <c r="D17617" s="5" t="s">
        <v>16959</v>
      </c>
      <c r="E17617" s="6" t="str">
        <f>HYPERLINK("https://twitter.com/petrogustavo/status/1473998252320206851","1473998252320206851")</f>
        <v>1473998252320206851</v>
      </c>
      <c r="F17617" s="7" t="s">
        <v>17</v>
      </c>
      <c r="G17617" s="7">
        <v>4434383</v>
      </c>
      <c r="H17617" s="7">
        <v>2578</v>
      </c>
      <c r="I17617" s="7">
        <v>62</v>
      </c>
      <c r="J17617" s="7">
        <v>0</v>
      </c>
      <c r="K17617" s="7" t="s">
        <v>18</v>
      </c>
      <c r="L17617" s="8">
        <v>39987.315405092595</v>
      </c>
      <c r="M17617" s="9" t="s">
        <v>19</v>
      </c>
      <c r="N17617" s="9" t="s">
        <v>20</v>
      </c>
      <c r="O17617" s="6" t="str">
        <f>HYPERLINK("https://pbs.twimg.com/profile_images/962471262747529216/Uo8lOkRJ_normal.jpg","View")</f>
        <v>View</v>
      </c>
      <c r="P17617" s="7"/>
    </row>
    <row r="17618" spans="1:16">
      <c r="A17618" s="3">
        <v>44553.773819444439</v>
      </c>
      <c r="B17618" s="4" t="str">
        <f>HYPERLINK("https://twitter.com/petrogustavo","@petrogustavo")</f>
        <v>@petrogustavo</v>
      </c>
      <c r="C17618" s="5" t="s">
        <v>16</v>
      </c>
      <c r="D17618" s="5" t="s">
        <v>16960</v>
      </c>
      <c r="E17618" s="6" t="str">
        <f>HYPERLINK("https://twitter.com/petrogustavo/status/1474002927035498510","1474002927035498510")</f>
        <v>1474002927035498510</v>
      </c>
      <c r="F17618" s="7" t="s">
        <v>17</v>
      </c>
      <c r="G17618" s="7">
        <v>4434398</v>
      </c>
      <c r="H17618" s="7">
        <v>2579</v>
      </c>
      <c r="I17618" s="7">
        <v>152</v>
      </c>
      <c r="J17618" s="7">
        <v>0</v>
      </c>
      <c r="K17618" s="7" t="s">
        <v>18</v>
      </c>
      <c r="L17618" s="8">
        <v>39987.315405092595</v>
      </c>
      <c r="M17618" s="9" t="s">
        <v>19</v>
      </c>
      <c r="N17618" s="9" t="s">
        <v>20</v>
      </c>
      <c r="O17618" s="6" t="str">
        <f>HYPERLINK("https://pbs.twimg.com/profile_images/962471262747529216/Uo8lOkRJ_normal.jpg","View")</f>
        <v>View</v>
      </c>
      <c r="P17618" s="7"/>
    </row>
    <row r="17619" spans="1:16">
      <c r="A17619" s="3">
        <v>44553.773969907408</v>
      </c>
      <c r="B17619" s="4" t="str">
        <f>HYPERLINK("https://twitter.com/petrogustavo","@petrogustavo")</f>
        <v>@petrogustavo</v>
      </c>
      <c r="C17619" s="5" t="s">
        <v>16</v>
      </c>
      <c r="D17619" s="5" t="s">
        <v>16961</v>
      </c>
      <c r="E17619" s="6" t="str">
        <f>HYPERLINK("https://twitter.com/petrogustavo/status/1474002984447131649","1474002984447131649")</f>
        <v>1474002984447131649</v>
      </c>
      <c r="F17619" s="7" t="s">
        <v>17</v>
      </c>
      <c r="G17619" s="7">
        <v>4434398</v>
      </c>
      <c r="H17619" s="7">
        <v>2579</v>
      </c>
      <c r="I17619" s="7">
        <v>397</v>
      </c>
      <c r="J17619" s="7">
        <v>0</v>
      </c>
      <c r="K17619" s="7" t="s">
        <v>18</v>
      </c>
      <c r="L17619" s="8">
        <v>39987.315405092595</v>
      </c>
      <c r="M17619" s="9" t="s">
        <v>19</v>
      </c>
      <c r="N17619" s="9" t="s">
        <v>20</v>
      </c>
      <c r="O17619" s="6" t="str">
        <f>HYPERLINK("https://pbs.twimg.com/profile_images/962471262747529216/Uo8lOkRJ_normal.jpg","View")</f>
        <v>View</v>
      </c>
      <c r="P17619" s="7"/>
    </row>
    <row r="17620" spans="1:16">
      <c r="A17620" s="3">
        <v>44553.994467592594</v>
      </c>
      <c r="B17620" s="4" t="str">
        <f>HYPERLINK("https://twitter.com/petrogustavo","@petrogustavo")</f>
        <v>@petrogustavo</v>
      </c>
      <c r="C17620" s="5" t="s">
        <v>16</v>
      </c>
      <c r="D17620" s="5" t="s">
        <v>16962</v>
      </c>
      <c r="E17620" s="6" t="str">
        <f>HYPERLINK("https://twitter.com/petrogustavo/status/1474082888434032640","1474082888434032640")</f>
        <v>1474082888434032640</v>
      </c>
      <c r="F17620" s="7" t="s">
        <v>17</v>
      </c>
      <c r="G17620" s="7">
        <v>4434611</v>
      </c>
      <c r="H17620" s="7">
        <v>2578</v>
      </c>
      <c r="I17620" s="7">
        <v>132</v>
      </c>
      <c r="J17620" s="7">
        <v>409</v>
      </c>
      <c r="K17620" s="7" t="s">
        <v>18</v>
      </c>
      <c r="L17620" s="8">
        <v>39987.315405092595</v>
      </c>
      <c r="M17620" s="9" t="s">
        <v>19</v>
      </c>
      <c r="N17620" s="9" t="s">
        <v>20</v>
      </c>
      <c r="O17620" s="6" t="str">
        <f>HYPERLINK("https://pbs.twimg.com/profile_images/962471262747529216/Uo8lOkRJ_normal.jpg","View")</f>
        <v>View</v>
      </c>
      <c r="P17620" s="7"/>
    </row>
    <row r="17621" spans="1:16">
      <c r="A17621" s="3">
        <v>44553.996238425927</v>
      </c>
      <c r="B17621" s="4" t="str">
        <f>HYPERLINK("https://twitter.com/petrogustavo","@petrogustavo")</f>
        <v>@petrogustavo</v>
      </c>
      <c r="C17621" s="5" t="s">
        <v>16</v>
      </c>
      <c r="D17621" s="5" t="s">
        <v>16963</v>
      </c>
      <c r="E17621" s="6" t="str">
        <f>HYPERLINK("https://twitter.com/petrogustavo/status/1474083528866414600","1474083528866414600")</f>
        <v>1474083528866414600</v>
      </c>
      <c r="F17621" s="7" t="s">
        <v>17</v>
      </c>
      <c r="G17621" s="7">
        <v>4434611</v>
      </c>
      <c r="H17621" s="7">
        <v>2578</v>
      </c>
      <c r="I17621" s="7">
        <v>216</v>
      </c>
      <c r="J17621" s="7">
        <v>0</v>
      </c>
      <c r="K17621" s="7" t="s">
        <v>18</v>
      </c>
      <c r="L17621" s="8">
        <v>39987.315405092595</v>
      </c>
      <c r="M17621" s="9" t="s">
        <v>19</v>
      </c>
      <c r="N17621" s="9" t="s">
        <v>20</v>
      </c>
      <c r="O17621" s="6" t="str">
        <f>HYPERLINK("https://pbs.twimg.com/profile_images/962471262747529216/Uo8lOkRJ_normal.jpg","View")</f>
        <v>View</v>
      </c>
      <c r="P17621" s="7"/>
    </row>
    <row r="17622" spans="1:16">
      <c r="A17622" s="3">
        <v>44554.093217592592</v>
      </c>
      <c r="B17622" s="4" t="str">
        <f>HYPERLINK("https://twitter.com/petrogustavo","@petrogustavo")</f>
        <v>@petrogustavo</v>
      </c>
      <c r="C17622" s="5" t="s">
        <v>16</v>
      </c>
      <c r="D17622" s="5" t="s">
        <v>16964</v>
      </c>
      <c r="E17622" s="6" t="str">
        <f>HYPERLINK("https://twitter.com/petrogustavo/status/1474118675405983753","1474118675405983753")</f>
        <v>1474118675405983753</v>
      </c>
      <c r="F17622" s="7" t="s">
        <v>17</v>
      </c>
      <c r="G17622" s="7">
        <v>4434706</v>
      </c>
      <c r="H17622" s="7">
        <v>2578</v>
      </c>
      <c r="I17622" s="7">
        <v>20</v>
      </c>
      <c r="J17622" s="7">
        <v>0</v>
      </c>
      <c r="K17622" s="7" t="s">
        <v>18</v>
      </c>
      <c r="L17622" s="8">
        <v>39987.315405092595</v>
      </c>
      <c r="M17622" s="9" t="s">
        <v>19</v>
      </c>
      <c r="N17622" s="9" t="s">
        <v>20</v>
      </c>
      <c r="O17622" s="6" t="str">
        <f>HYPERLINK("https://pbs.twimg.com/profile_images/962471262747529216/Uo8lOkRJ_normal.jpg","View")</f>
        <v>View</v>
      </c>
      <c r="P17622" s="7"/>
    </row>
    <row r="17623" spans="1:16">
      <c r="A17623" s="3">
        <v>44554.09412037037</v>
      </c>
      <c r="B17623" s="4" t="str">
        <f>HYPERLINK("https://twitter.com/petrogustavo","@petrogustavo")</f>
        <v>@petrogustavo</v>
      </c>
      <c r="C17623" s="5" t="s">
        <v>16</v>
      </c>
      <c r="D17623" s="5" t="s">
        <v>16960</v>
      </c>
      <c r="E17623" s="6" t="str">
        <f>HYPERLINK("https://twitter.com/petrogustavo/status/1474119002981027848","1474119002981027848")</f>
        <v>1474119002981027848</v>
      </c>
      <c r="F17623" s="7" t="s">
        <v>17</v>
      </c>
      <c r="G17623" s="7">
        <v>4434706</v>
      </c>
      <c r="H17623" s="7">
        <v>2578</v>
      </c>
      <c r="I17623" s="7">
        <v>359</v>
      </c>
      <c r="J17623" s="7">
        <v>0</v>
      </c>
      <c r="K17623" s="7" t="s">
        <v>18</v>
      </c>
      <c r="L17623" s="8">
        <v>39987.315405092595</v>
      </c>
      <c r="M17623" s="9" t="s">
        <v>19</v>
      </c>
      <c r="N17623" s="9" t="s">
        <v>20</v>
      </c>
      <c r="O17623" s="6" t="str">
        <f>HYPERLINK("https://pbs.twimg.com/profile_images/962471262747529216/Uo8lOkRJ_normal.jpg","View")</f>
        <v>View</v>
      </c>
      <c r="P17623" s="7"/>
    </row>
    <row r="17624" spans="1:16">
      <c r="A17624" s="3">
        <v>44554.09648148148</v>
      </c>
      <c r="B17624" s="4" t="str">
        <f>HYPERLINK("https://twitter.com/petrogustavo","@petrogustavo")</f>
        <v>@petrogustavo</v>
      </c>
      <c r="C17624" s="5" t="s">
        <v>16</v>
      </c>
      <c r="D17624" s="5" t="s">
        <v>16965</v>
      </c>
      <c r="E17624" s="6" t="str">
        <f>HYPERLINK("https://twitter.com/petrogustavo/status/1474119858539352070","1474119858539352070")</f>
        <v>1474119858539352070</v>
      </c>
      <c r="F17624" s="7" t="s">
        <v>17</v>
      </c>
      <c r="G17624" s="7">
        <v>4434706</v>
      </c>
      <c r="H17624" s="7">
        <v>2578</v>
      </c>
      <c r="I17624" s="7">
        <v>180</v>
      </c>
      <c r="J17624" s="7">
        <v>552</v>
      </c>
      <c r="K17624" s="7" t="s">
        <v>18</v>
      </c>
      <c r="L17624" s="8">
        <v>39987.315405092595</v>
      </c>
      <c r="M17624" s="9" t="s">
        <v>19</v>
      </c>
      <c r="N17624" s="9" t="s">
        <v>20</v>
      </c>
      <c r="O17624" s="6" t="str">
        <f>HYPERLINK("https://pbs.twimg.com/profile_images/962471262747529216/Uo8lOkRJ_normal.jpg","View")</f>
        <v>View</v>
      </c>
      <c r="P17624" s="7"/>
    </row>
    <row r="17625" spans="1:16">
      <c r="A17625" s="3">
        <v>44554.09783564815</v>
      </c>
      <c r="B17625" s="4" t="str">
        <f>HYPERLINK("https://twitter.com/petrogustavo","@petrogustavo")</f>
        <v>@petrogustavo</v>
      </c>
      <c r="C17625" s="5" t="s">
        <v>16</v>
      </c>
      <c r="D17625" s="5" t="s">
        <v>16966</v>
      </c>
      <c r="E17625" s="6" t="str">
        <f>HYPERLINK("https://twitter.com/petrogustavo/status/1474120347813351426","1474120347813351426")</f>
        <v>1474120347813351426</v>
      </c>
      <c r="F17625" s="7" t="s">
        <v>17</v>
      </c>
      <c r="G17625" s="7">
        <v>4434706</v>
      </c>
      <c r="H17625" s="7">
        <v>2578</v>
      </c>
      <c r="I17625" s="7">
        <v>112</v>
      </c>
      <c r="J17625" s="7">
        <v>302</v>
      </c>
      <c r="K17625" s="7" t="s">
        <v>18</v>
      </c>
      <c r="L17625" s="8">
        <v>39987.315405092595</v>
      </c>
      <c r="M17625" s="9" t="s">
        <v>19</v>
      </c>
      <c r="N17625" s="9" t="s">
        <v>20</v>
      </c>
      <c r="O17625" s="6" t="str">
        <f>HYPERLINK("https://pbs.twimg.com/profile_images/962471262747529216/Uo8lOkRJ_normal.jpg","View")</f>
        <v>View</v>
      </c>
      <c r="P17625" s="7"/>
    </row>
    <row r="17626" spans="1:16">
      <c r="A17626" s="3">
        <v>44554.097962962958</v>
      </c>
      <c r="B17626" s="4" t="str">
        <f>HYPERLINK("https://twitter.com/petrogustavo","@petrogustavo")</f>
        <v>@petrogustavo</v>
      </c>
      <c r="C17626" s="5" t="s">
        <v>16</v>
      </c>
      <c r="D17626" s="5" t="s">
        <v>16967</v>
      </c>
      <c r="E17626" s="6" t="str">
        <f>HYPERLINK("https://twitter.com/petrogustavo/status/1474120393183186950","1474120393183186950")</f>
        <v>1474120393183186950</v>
      </c>
      <c r="F17626" s="7" t="s">
        <v>17</v>
      </c>
      <c r="G17626" s="7">
        <v>4434706</v>
      </c>
      <c r="H17626" s="7">
        <v>2578</v>
      </c>
      <c r="I17626" s="7">
        <v>180</v>
      </c>
      <c r="J17626" s="7">
        <v>0</v>
      </c>
      <c r="K17626" s="7" t="s">
        <v>18</v>
      </c>
      <c r="L17626" s="8">
        <v>39987.315405092595</v>
      </c>
      <c r="M17626" s="9" t="s">
        <v>19</v>
      </c>
      <c r="N17626" s="9" t="s">
        <v>20</v>
      </c>
      <c r="O17626" s="6" t="str">
        <f>HYPERLINK("https://pbs.twimg.com/profile_images/962471262747529216/Uo8lOkRJ_normal.jpg","View")</f>
        <v>View</v>
      </c>
      <c r="P17626" s="7"/>
    </row>
    <row r="17627" spans="1:16">
      <c r="A17627" s="3">
        <v>44554.102835648147</v>
      </c>
      <c r="B17627" s="4" t="str">
        <f>HYPERLINK("https://twitter.com/petrogustavo","@petrogustavo")</f>
        <v>@petrogustavo</v>
      </c>
      <c r="C17627" s="5" t="s">
        <v>16</v>
      </c>
      <c r="D17627" s="5" t="s">
        <v>16968</v>
      </c>
      <c r="E17627" s="6" t="str">
        <f>HYPERLINK("https://twitter.com/petrogustavo/status/1474122159358455815","1474122159358455815")</f>
        <v>1474122159358455815</v>
      </c>
      <c r="F17627" s="7" t="s">
        <v>17</v>
      </c>
      <c r="G17627" s="7">
        <v>4434706</v>
      </c>
      <c r="H17627" s="7">
        <v>2578</v>
      </c>
      <c r="I17627" s="7">
        <v>112</v>
      </c>
      <c r="J17627" s="7">
        <v>0</v>
      </c>
      <c r="K17627" s="7" t="s">
        <v>18</v>
      </c>
      <c r="L17627" s="8">
        <v>39987.315405092595</v>
      </c>
      <c r="M17627" s="9" t="s">
        <v>19</v>
      </c>
      <c r="N17627" s="9" t="s">
        <v>20</v>
      </c>
      <c r="O17627" s="6" t="str">
        <f>HYPERLINK("https://pbs.twimg.com/profile_images/962471262747529216/Uo8lOkRJ_normal.jpg","View")</f>
        <v>View</v>
      </c>
      <c r="P17627" s="7"/>
    </row>
    <row r="17628" spans="1:16">
      <c r="A17628" s="3">
        <v>44554.115416666667</v>
      </c>
      <c r="B17628" s="4" t="str">
        <f>HYPERLINK("https://twitter.com/petrogustavo","@petrogustavo")</f>
        <v>@petrogustavo</v>
      </c>
      <c r="C17628" s="5" t="s">
        <v>16</v>
      </c>
      <c r="D17628" s="5" t="s">
        <v>16969</v>
      </c>
      <c r="E17628" s="6" t="str">
        <f>HYPERLINK("https://twitter.com/petrogustavo/status/1474126718298427394","1474126718298427394")</f>
        <v>1474126718298427394</v>
      </c>
      <c r="F17628" s="7" t="s">
        <v>17</v>
      </c>
      <c r="G17628" s="7">
        <v>4434735</v>
      </c>
      <c r="H17628" s="7">
        <v>2578</v>
      </c>
      <c r="I17628" s="7">
        <v>212</v>
      </c>
      <c r="J17628" s="7">
        <v>641</v>
      </c>
      <c r="K17628" s="7" t="s">
        <v>18</v>
      </c>
      <c r="L17628" s="8">
        <v>39987.315405092595</v>
      </c>
      <c r="M17628" s="9" t="s">
        <v>19</v>
      </c>
      <c r="N17628" s="9" t="s">
        <v>20</v>
      </c>
      <c r="O17628" s="6" t="str">
        <f>HYPERLINK("https://pbs.twimg.com/profile_images/962471262747529216/Uo8lOkRJ_normal.jpg","View")</f>
        <v>View</v>
      </c>
      <c r="P17628" s="7"/>
    </row>
    <row r="17629" spans="1:16">
      <c r="A17629" s="3">
        <v>44554.115486111114</v>
      </c>
      <c r="B17629" s="4" t="str">
        <f>HYPERLINK("https://twitter.com/petrogustavo","@petrogustavo")</f>
        <v>@petrogustavo</v>
      </c>
      <c r="C17629" s="5" t="s">
        <v>16</v>
      </c>
      <c r="D17629" s="5" t="s">
        <v>16970</v>
      </c>
      <c r="E17629" s="6" t="str">
        <f>HYPERLINK("https://twitter.com/petrogustavo/status/1474126743854272531","1474126743854272531")</f>
        <v>1474126743854272531</v>
      </c>
      <c r="F17629" s="7" t="s">
        <v>17</v>
      </c>
      <c r="G17629" s="7">
        <v>4434735</v>
      </c>
      <c r="H17629" s="7">
        <v>2578</v>
      </c>
      <c r="I17629" s="7">
        <v>114</v>
      </c>
      <c r="J17629" s="7">
        <v>465</v>
      </c>
      <c r="K17629" s="7" t="s">
        <v>18</v>
      </c>
      <c r="L17629" s="8">
        <v>39987.315405092595</v>
      </c>
      <c r="M17629" s="9" t="s">
        <v>19</v>
      </c>
      <c r="N17629" s="9" t="s">
        <v>20</v>
      </c>
      <c r="O17629" s="6" t="str">
        <f>HYPERLINK("https://pbs.twimg.com/profile_images/962471262747529216/Uo8lOkRJ_normal.jpg","View")</f>
        <v>View</v>
      </c>
      <c r="P17629" s="7"/>
    </row>
    <row r="17630" spans="1:16">
      <c r="A17630" s="3">
        <v>44554.115486111114</v>
      </c>
      <c r="B17630" s="4" t="str">
        <f>HYPERLINK("https://twitter.com/petrogustavo","@petrogustavo")</f>
        <v>@petrogustavo</v>
      </c>
      <c r="C17630" s="5" t="s">
        <v>16</v>
      </c>
      <c r="D17630" s="5" t="s">
        <v>16971</v>
      </c>
      <c r="E17630" s="6" t="str">
        <f>HYPERLINK("https://twitter.com/petrogustavo/status/1474126745548857346","1474126745548857346")</f>
        <v>1474126745548857346</v>
      </c>
      <c r="F17630" s="7" t="s">
        <v>17</v>
      </c>
      <c r="G17630" s="7">
        <v>4434735</v>
      </c>
      <c r="H17630" s="7">
        <v>2578</v>
      </c>
      <c r="I17630" s="7">
        <v>167</v>
      </c>
      <c r="J17630" s="7">
        <v>635</v>
      </c>
      <c r="K17630" s="7" t="s">
        <v>18</v>
      </c>
      <c r="L17630" s="8">
        <v>39987.315405092595</v>
      </c>
      <c r="M17630" s="9" t="s">
        <v>19</v>
      </c>
      <c r="N17630" s="9" t="s">
        <v>20</v>
      </c>
      <c r="O17630" s="6" t="str">
        <f>HYPERLINK("https://pbs.twimg.com/profile_images/962471262747529216/Uo8lOkRJ_normal.jpg","View")</f>
        <v>View</v>
      </c>
      <c r="P17630" s="7"/>
    </row>
    <row r="17631" spans="1:16">
      <c r="A17631" s="3">
        <v>44554.132210648153</v>
      </c>
      <c r="B17631" s="4" t="str">
        <f>HYPERLINK("https://twitter.com/petrogustavo","@petrogustavo")</f>
        <v>@petrogustavo</v>
      </c>
      <c r="C17631" s="5" t="s">
        <v>16</v>
      </c>
      <c r="D17631" s="5" t="s">
        <v>16972</v>
      </c>
      <c r="E17631" s="6" t="str">
        <f>HYPERLINK("https://twitter.com/petrogustavo/status/1474132803977678848","1474132803977678848")</f>
        <v>1474132803977678848</v>
      </c>
      <c r="F17631" s="7" t="s">
        <v>17</v>
      </c>
      <c r="G17631" s="7">
        <v>4434749</v>
      </c>
      <c r="H17631" s="7">
        <v>2579</v>
      </c>
      <c r="I17631" s="7">
        <v>76</v>
      </c>
      <c r="J17631" s="7">
        <v>317</v>
      </c>
      <c r="K17631" s="7" t="s">
        <v>18</v>
      </c>
      <c r="L17631" s="8">
        <v>39987.315405092595</v>
      </c>
      <c r="M17631" s="9" t="s">
        <v>19</v>
      </c>
      <c r="N17631" s="9" t="s">
        <v>20</v>
      </c>
      <c r="O17631" s="6" t="str">
        <f>HYPERLINK("https://pbs.twimg.com/profile_images/962471262747529216/Uo8lOkRJ_normal.jpg","View")</f>
        <v>View</v>
      </c>
      <c r="P17631" s="7"/>
    </row>
    <row r="17632" spans="1:16">
      <c r="A17632" s="3">
        <v>44554.141817129625</v>
      </c>
      <c r="B17632" s="4" t="str">
        <f>HYPERLINK("https://twitter.com/petrogustavo","@petrogustavo")</f>
        <v>@petrogustavo</v>
      </c>
      <c r="C17632" s="5" t="s">
        <v>16</v>
      </c>
      <c r="D17632" s="5" t="s">
        <v>16973</v>
      </c>
      <c r="E17632" s="6" t="str">
        <f>HYPERLINK("https://twitter.com/petrogustavo/status/1474136287233912840","1474136287233912840")</f>
        <v>1474136287233912840</v>
      </c>
      <c r="F17632" s="7" t="s">
        <v>17</v>
      </c>
      <c r="G17632" s="7">
        <v>4434749</v>
      </c>
      <c r="H17632" s="7">
        <v>2579</v>
      </c>
      <c r="I17632" s="7">
        <v>59</v>
      </c>
      <c r="J17632" s="7">
        <v>164</v>
      </c>
      <c r="K17632" s="7" t="s">
        <v>18</v>
      </c>
      <c r="L17632" s="8">
        <v>39987.315405092595</v>
      </c>
      <c r="M17632" s="9" t="s">
        <v>19</v>
      </c>
      <c r="N17632" s="9" t="s">
        <v>20</v>
      </c>
      <c r="O17632" s="6" t="str">
        <f>HYPERLINK("https://pbs.twimg.com/profile_images/962471262747529216/Uo8lOkRJ_normal.jpg","View")</f>
        <v>View</v>
      </c>
      <c r="P17632" s="7"/>
    </row>
    <row r="17633" spans="1:16">
      <c r="A17633" s="3">
        <v>44554.142199074078</v>
      </c>
      <c r="B17633" s="4" t="str">
        <f>HYPERLINK("https://twitter.com/petrogustavo","@petrogustavo")</f>
        <v>@petrogustavo</v>
      </c>
      <c r="C17633" s="5" t="s">
        <v>16</v>
      </c>
      <c r="D17633" s="5" t="s">
        <v>16974</v>
      </c>
      <c r="E17633" s="6" t="str">
        <f>HYPERLINK("https://twitter.com/petrogustavo/status/1474136423892672521","1474136423892672521")</f>
        <v>1474136423892672521</v>
      </c>
      <c r="F17633" s="7" t="s">
        <v>17</v>
      </c>
      <c r="G17633" s="7">
        <v>4434749</v>
      </c>
      <c r="H17633" s="7">
        <v>2579</v>
      </c>
      <c r="I17633" s="7">
        <v>410</v>
      </c>
      <c r="J17633" s="7">
        <v>0</v>
      </c>
      <c r="K17633" s="7" t="s">
        <v>18</v>
      </c>
      <c r="L17633" s="8">
        <v>39987.315405092595</v>
      </c>
      <c r="M17633" s="9" t="s">
        <v>19</v>
      </c>
      <c r="N17633" s="9" t="s">
        <v>20</v>
      </c>
      <c r="O17633" s="6" t="str">
        <f>HYPERLINK("https://pbs.twimg.com/profile_images/962471262747529216/Uo8lOkRJ_normal.jpg","View")</f>
        <v>View</v>
      </c>
      <c r="P17633" s="7"/>
    </row>
    <row r="17634" spans="1:16">
      <c r="A17634" s="3">
        <v>44554.17931712963</v>
      </c>
      <c r="B17634" s="4" t="str">
        <f>HYPERLINK("https://twitter.com/petrogustavo","@petrogustavo")</f>
        <v>@petrogustavo</v>
      </c>
      <c r="C17634" s="5" t="s">
        <v>16</v>
      </c>
      <c r="D17634" s="5" t="s">
        <v>16975</v>
      </c>
      <c r="E17634" s="6" t="str">
        <f>HYPERLINK("https://twitter.com/petrogustavo/status/1474149877881970688","1474149877881970688")</f>
        <v>1474149877881970688</v>
      </c>
      <c r="F17634" s="7" t="s">
        <v>17</v>
      </c>
      <c r="G17634" s="7">
        <v>4434785</v>
      </c>
      <c r="H17634" s="7">
        <v>2579</v>
      </c>
      <c r="I17634" s="7">
        <v>86</v>
      </c>
      <c r="J17634" s="7">
        <v>243</v>
      </c>
      <c r="K17634" s="7" t="s">
        <v>18</v>
      </c>
      <c r="L17634" s="8">
        <v>39987.315405092595</v>
      </c>
      <c r="M17634" s="9" t="s">
        <v>19</v>
      </c>
      <c r="N17634" s="9" t="s">
        <v>20</v>
      </c>
      <c r="O17634" s="6" t="str">
        <f>HYPERLINK("https://pbs.twimg.com/profile_images/962471262747529216/Uo8lOkRJ_normal.jpg","View")</f>
        <v>View</v>
      </c>
      <c r="P17634" s="7"/>
    </row>
    <row r="17635" spans="1:16">
      <c r="A17635" s="3">
        <v>44554.1793287037</v>
      </c>
      <c r="B17635" s="4" t="str">
        <f>HYPERLINK("https://twitter.com/petrogustavo","@petrogustavo")</f>
        <v>@petrogustavo</v>
      </c>
      <c r="C17635" s="5" t="s">
        <v>16</v>
      </c>
      <c r="D17635" s="5" t="s">
        <v>16976</v>
      </c>
      <c r="E17635" s="6" t="str">
        <f>HYPERLINK("https://twitter.com/petrogustavo/status/1474149879882649605","1474149879882649605")</f>
        <v>1474149879882649605</v>
      </c>
      <c r="F17635" s="7" t="s">
        <v>17</v>
      </c>
      <c r="G17635" s="7">
        <v>4434785</v>
      </c>
      <c r="H17635" s="7">
        <v>2579</v>
      </c>
      <c r="I17635" s="7">
        <v>61</v>
      </c>
      <c r="J17635" s="7">
        <v>222</v>
      </c>
      <c r="K17635" s="7" t="s">
        <v>18</v>
      </c>
      <c r="L17635" s="8">
        <v>39987.315405092595</v>
      </c>
      <c r="M17635" s="9" t="s">
        <v>19</v>
      </c>
      <c r="N17635" s="9" t="s">
        <v>20</v>
      </c>
      <c r="O17635" s="6" t="str">
        <f>HYPERLINK("https://pbs.twimg.com/profile_images/962471262747529216/Uo8lOkRJ_normal.jpg","View")</f>
        <v>View</v>
      </c>
      <c r="P17635" s="7"/>
    </row>
    <row r="17636" spans="1:16">
      <c r="A17636" s="3">
        <v>44554.194456018522</v>
      </c>
      <c r="B17636" s="4" t="str">
        <f>HYPERLINK("https://twitter.com/petrogustavo","@petrogustavo")</f>
        <v>@petrogustavo</v>
      </c>
      <c r="C17636" s="5" t="s">
        <v>16</v>
      </c>
      <c r="D17636" s="5" t="s">
        <v>16974</v>
      </c>
      <c r="E17636" s="6" t="str">
        <f>HYPERLINK("https://twitter.com/petrogustavo/status/1474155363473702914","1474155363473702914")</f>
        <v>1474155363473702914</v>
      </c>
      <c r="F17636" s="7" t="s">
        <v>17</v>
      </c>
      <c r="G17636" s="7">
        <v>4434812</v>
      </c>
      <c r="H17636" s="7">
        <v>2579</v>
      </c>
      <c r="I17636" s="7">
        <v>828</v>
      </c>
      <c r="J17636" s="7">
        <v>0</v>
      </c>
      <c r="K17636" s="7" t="s">
        <v>18</v>
      </c>
      <c r="L17636" s="8">
        <v>39987.315405092595</v>
      </c>
      <c r="M17636" s="9" t="s">
        <v>19</v>
      </c>
      <c r="N17636" s="9" t="s">
        <v>20</v>
      </c>
      <c r="O17636" s="6" t="str">
        <f>HYPERLINK("https://pbs.twimg.com/profile_images/962471262747529216/Uo8lOkRJ_normal.jpg","View")</f>
        <v>View</v>
      </c>
      <c r="P17636" s="7"/>
    </row>
    <row r="17637" spans="1:16">
      <c r="A17637" s="3">
        <v>44554.226689814815</v>
      </c>
      <c r="B17637" s="4" t="str">
        <f>HYPERLINK("https://twitter.com/petrogustavo","@petrogustavo")</f>
        <v>@petrogustavo</v>
      </c>
      <c r="C17637" s="5" t="s">
        <v>16</v>
      </c>
      <c r="D17637" s="5" t="s">
        <v>16977</v>
      </c>
      <c r="E17637" s="6" t="str">
        <f>HYPERLINK("https://twitter.com/petrogustavo/status/1474167044585238528","1474167044585238528")</f>
        <v>1474167044585238528</v>
      </c>
      <c r="F17637" s="7" t="s">
        <v>17</v>
      </c>
      <c r="G17637" s="7">
        <v>4434840</v>
      </c>
      <c r="H17637" s="7">
        <v>2579</v>
      </c>
      <c r="I17637" s="7">
        <v>76</v>
      </c>
      <c r="J17637" s="7">
        <v>0</v>
      </c>
      <c r="K17637" s="7" t="s">
        <v>18</v>
      </c>
      <c r="L17637" s="8">
        <v>39987.315405092595</v>
      </c>
      <c r="M17637" s="9" t="s">
        <v>19</v>
      </c>
      <c r="N17637" s="9" t="s">
        <v>20</v>
      </c>
      <c r="O17637" s="6" t="str">
        <f>HYPERLINK("https://pbs.twimg.com/profile_images/962471262747529216/Uo8lOkRJ_normal.jpg","View")</f>
        <v>View</v>
      </c>
      <c r="P17637" s="7"/>
    </row>
    <row r="17638" spans="1:16">
      <c r="A17638" s="3">
        <v>44554.245601851857</v>
      </c>
      <c r="B17638" s="4" t="str">
        <f>HYPERLINK("https://twitter.com/petrogustavo","@petrogustavo")</f>
        <v>@petrogustavo</v>
      </c>
      <c r="C17638" s="5" t="s">
        <v>16</v>
      </c>
      <c r="D17638" s="5" t="s">
        <v>16978</v>
      </c>
      <c r="E17638" s="6" t="str">
        <f>HYPERLINK("https://twitter.com/petrogustavo/status/1474173898589622275","1474173898589622275")</f>
        <v>1474173898589622275</v>
      </c>
      <c r="F17638" s="7" t="s">
        <v>17</v>
      </c>
      <c r="G17638" s="7">
        <v>4434857</v>
      </c>
      <c r="H17638" s="7">
        <v>2579</v>
      </c>
      <c r="I17638" s="7">
        <v>64</v>
      </c>
      <c r="J17638" s="7">
        <v>174</v>
      </c>
      <c r="K17638" s="7" t="s">
        <v>18</v>
      </c>
      <c r="L17638" s="8">
        <v>39987.315405092595</v>
      </c>
      <c r="M17638" s="9" t="s">
        <v>19</v>
      </c>
      <c r="N17638" s="9" t="s">
        <v>20</v>
      </c>
      <c r="O17638" s="6" t="str">
        <f>HYPERLINK("https://pbs.twimg.com/profile_images/962471262747529216/Uo8lOkRJ_normal.jpg","View")</f>
        <v>View</v>
      </c>
      <c r="P17638" s="7"/>
    </row>
    <row r="17639" spans="1:16">
      <c r="A17639" s="3">
        <v>44554.245613425926</v>
      </c>
      <c r="B17639" s="4" t="str">
        <f>HYPERLINK("https://twitter.com/petrogustavo","@petrogustavo")</f>
        <v>@petrogustavo</v>
      </c>
      <c r="C17639" s="5" t="s">
        <v>16</v>
      </c>
      <c r="D17639" s="5" t="s">
        <v>16979</v>
      </c>
      <c r="E17639" s="6" t="str">
        <f>HYPERLINK("https://twitter.com/petrogustavo/status/1474173900275781638","1474173900275781638")</f>
        <v>1474173900275781638</v>
      </c>
      <c r="F17639" s="7" t="s">
        <v>17</v>
      </c>
      <c r="G17639" s="7">
        <v>4434857</v>
      </c>
      <c r="H17639" s="7">
        <v>2579</v>
      </c>
      <c r="I17639" s="7">
        <v>44</v>
      </c>
      <c r="J17639" s="7">
        <v>141</v>
      </c>
      <c r="K17639" s="7" t="s">
        <v>18</v>
      </c>
      <c r="L17639" s="8">
        <v>39987.315405092595</v>
      </c>
      <c r="M17639" s="9" t="s">
        <v>19</v>
      </c>
      <c r="N17639" s="9" t="s">
        <v>20</v>
      </c>
      <c r="O17639" s="6" t="str">
        <f>HYPERLINK("https://pbs.twimg.com/profile_images/962471262747529216/Uo8lOkRJ_normal.jpg","View")</f>
        <v>View</v>
      </c>
      <c r="P17639" s="7"/>
    </row>
    <row r="17640" spans="1:16">
      <c r="A17640" s="3">
        <v>44554.249699074076</v>
      </c>
      <c r="B17640" s="4" t="str">
        <f>HYPERLINK("https://twitter.com/petrogustavo","@petrogustavo")</f>
        <v>@petrogustavo</v>
      </c>
      <c r="C17640" s="5" t="s">
        <v>16</v>
      </c>
      <c r="D17640" s="5" t="s">
        <v>16980</v>
      </c>
      <c r="E17640" s="6" t="str">
        <f>HYPERLINK("https://twitter.com/petrogustavo/status/1474175381347393538","1474175381347393538")</f>
        <v>1474175381347393538</v>
      </c>
      <c r="F17640" s="7" t="s">
        <v>17</v>
      </c>
      <c r="G17640" s="7">
        <v>4434857</v>
      </c>
      <c r="H17640" s="7">
        <v>2579</v>
      </c>
      <c r="I17640" s="7">
        <v>3</v>
      </c>
      <c r="J17640" s="7">
        <v>35</v>
      </c>
      <c r="K17640" s="7" t="s">
        <v>18</v>
      </c>
      <c r="L17640" s="8">
        <v>39987.315405092595</v>
      </c>
      <c r="M17640" s="9" t="s">
        <v>19</v>
      </c>
      <c r="N17640" s="9" t="s">
        <v>20</v>
      </c>
      <c r="O17640" s="6" t="str">
        <f>HYPERLINK("https://pbs.twimg.com/profile_images/962471262747529216/Uo8lOkRJ_normal.jpg","View")</f>
        <v>View</v>
      </c>
      <c r="P17640" s="7"/>
    </row>
    <row r="17641" spans="1:16">
      <c r="A17641" s="3">
        <v>44554.249699074076</v>
      </c>
      <c r="B17641" s="4" t="str">
        <f>HYPERLINK("https://twitter.com/petrogustavo","@petrogustavo")</f>
        <v>@petrogustavo</v>
      </c>
      <c r="C17641" s="5" t="s">
        <v>16</v>
      </c>
      <c r="D17641" s="5" t="s">
        <v>16981</v>
      </c>
      <c r="E17641" s="6" t="str">
        <f>HYPERLINK("https://twitter.com/petrogustavo/status/1474175382714785797","1474175382714785797")</f>
        <v>1474175382714785797</v>
      </c>
      <c r="F17641" s="7" t="s">
        <v>17</v>
      </c>
      <c r="G17641" s="7">
        <v>4434857</v>
      </c>
      <c r="H17641" s="7">
        <v>2579</v>
      </c>
      <c r="I17641" s="7">
        <v>4</v>
      </c>
      <c r="J17641" s="7">
        <v>35</v>
      </c>
      <c r="K17641" s="7" t="s">
        <v>18</v>
      </c>
      <c r="L17641" s="8">
        <v>39987.315405092595</v>
      </c>
      <c r="M17641" s="9" t="s">
        <v>19</v>
      </c>
      <c r="N17641" s="9" t="s">
        <v>20</v>
      </c>
      <c r="O17641" s="6" t="str">
        <f>HYPERLINK("https://pbs.twimg.com/profile_images/962471262747529216/Uo8lOkRJ_normal.jpg","View")</f>
        <v>View</v>
      </c>
      <c r="P17641" s="7"/>
    </row>
    <row r="17642" spans="1:16">
      <c r="A17642" s="3">
        <v>44554.250173611115</v>
      </c>
      <c r="B17642" s="4" t="str">
        <f>HYPERLINK("https://twitter.com/petrogustavo","@petrogustavo")</f>
        <v>@petrogustavo</v>
      </c>
      <c r="C17642" s="5" t="s">
        <v>16</v>
      </c>
      <c r="D17642" s="5" t="s">
        <v>16982</v>
      </c>
      <c r="E17642" s="6" t="str">
        <f>HYPERLINK("https://twitter.com/petrogustavo/status/1474175553800491013","1474175553800491013")</f>
        <v>1474175553800491013</v>
      </c>
      <c r="F17642" s="7" t="s">
        <v>17</v>
      </c>
      <c r="G17642" s="7">
        <v>4434857</v>
      </c>
      <c r="H17642" s="7">
        <v>2579</v>
      </c>
      <c r="I17642" s="7">
        <v>64</v>
      </c>
      <c r="J17642" s="7">
        <v>0</v>
      </c>
      <c r="K17642" s="7" t="s">
        <v>18</v>
      </c>
      <c r="L17642" s="8">
        <v>39987.315405092595</v>
      </c>
      <c r="M17642" s="9" t="s">
        <v>19</v>
      </c>
      <c r="N17642" s="9" t="s">
        <v>20</v>
      </c>
      <c r="O17642" s="6" t="str">
        <f>HYPERLINK("https://pbs.twimg.com/profile_images/962471262747529216/Uo8lOkRJ_normal.jpg","View")</f>
        <v>View</v>
      </c>
      <c r="P17642" s="7"/>
    </row>
    <row r="17643" spans="1:16">
      <c r="A17643" s="3">
        <v>44554.250833333332</v>
      </c>
      <c r="B17643" s="4" t="str">
        <f>HYPERLINK("https://twitter.com/petrogustavo","@petrogustavo")</f>
        <v>@petrogustavo</v>
      </c>
      <c r="C17643" s="5" t="s">
        <v>16</v>
      </c>
      <c r="D17643" s="5" t="s">
        <v>16983</v>
      </c>
      <c r="E17643" s="6" t="str">
        <f>HYPERLINK("https://twitter.com/petrogustavo/status/1474175791944638464","1474175791944638464")</f>
        <v>1474175791944638464</v>
      </c>
      <c r="F17643" s="7" t="s">
        <v>17</v>
      </c>
      <c r="G17643" s="7">
        <v>4434857</v>
      </c>
      <c r="H17643" s="7">
        <v>2579</v>
      </c>
      <c r="I17643" s="7">
        <v>600</v>
      </c>
      <c r="J17643" s="7">
        <v>0</v>
      </c>
      <c r="K17643" s="7" t="s">
        <v>18</v>
      </c>
      <c r="L17643" s="8">
        <v>39987.315405092595</v>
      </c>
      <c r="M17643" s="9" t="s">
        <v>19</v>
      </c>
      <c r="N17643" s="9" t="s">
        <v>20</v>
      </c>
      <c r="O17643" s="6" t="str">
        <f>HYPERLINK("https://pbs.twimg.com/profile_images/962471262747529216/Uo8lOkRJ_normal.jpg","View")</f>
        <v>View</v>
      </c>
      <c r="P17643" s="7"/>
    </row>
    <row r="17644" spans="1:16">
      <c r="A17644" s="3">
        <v>44554.250960648147</v>
      </c>
      <c r="B17644" s="4" t="str">
        <f>HYPERLINK("https://twitter.com/petrogustavo","@petrogustavo")</f>
        <v>@petrogustavo</v>
      </c>
      <c r="C17644" s="5" t="s">
        <v>16</v>
      </c>
      <c r="D17644" s="5" t="s">
        <v>16963</v>
      </c>
      <c r="E17644" s="6" t="str">
        <f>HYPERLINK("https://twitter.com/petrogustavo/status/1474175839537438720","1474175839537438720")</f>
        <v>1474175839537438720</v>
      </c>
      <c r="F17644" s="7" t="s">
        <v>17</v>
      </c>
      <c r="G17644" s="7">
        <v>4434857</v>
      </c>
      <c r="H17644" s="7">
        <v>2579</v>
      </c>
      <c r="I17644" s="7">
        <v>305</v>
      </c>
      <c r="J17644" s="7">
        <v>0</v>
      </c>
      <c r="K17644" s="7" t="s">
        <v>18</v>
      </c>
      <c r="L17644" s="8">
        <v>39987.315405092595</v>
      </c>
      <c r="M17644" s="9" t="s">
        <v>19</v>
      </c>
      <c r="N17644" s="9" t="s">
        <v>20</v>
      </c>
      <c r="O17644" s="6" t="str">
        <f>HYPERLINK("https://pbs.twimg.com/profile_images/962471262747529216/Uo8lOkRJ_normal.jpg","View")</f>
        <v>View</v>
      </c>
      <c r="P17644" s="7"/>
    </row>
    <row r="17645" spans="1:16">
      <c r="A17645" s="3">
        <v>44554.674803240741</v>
      </c>
      <c r="B17645" s="4" t="str">
        <f>HYPERLINK("https://twitter.com/petrogustavo","@petrogustavo")</f>
        <v>@petrogustavo</v>
      </c>
      <c r="C17645" s="5" t="s">
        <v>16</v>
      </c>
      <c r="D17645" s="5" t="s">
        <v>16984</v>
      </c>
      <c r="E17645" s="6" t="str">
        <f>HYPERLINK("https://twitter.com/petrogustavo/status/1474329435658764325","1474329435658764325")</f>
        <v>1474329435658764325</v>
      </c>
      <c r="F17645" s="7" t="s">
        <v>32</v>
      </c>
      <c r="G17645" s="7">
        <v>4435230</v>
      </c>
      <c r="H17645" s="7">
        <v>2581</v>
      </c>
      <c r="I17645" s="7">
        <v>150</v>
      </c>
      <c r="J17645" s="7">
        <v>668</v>
      </c>
      <c r="K17645" s="7" t="s">
        <v>18</v>
      </c>
      <c r="L17645" s="8">
        <v>39987.315405092595</v>
      </c>
      <c r="M17645" s="9" t="s">
        <v>19</v>
      </c>
      <c r="N17645" s="9" t="s">
        <v>20</v>
      </c>
      <c r="O17645" s="6" t="str">
        <f>HYPERLINK("https://pbs.twimg.com/profile_images/962471262747529216/Uo8lOkRJ_normal.jpg","View")</f>
        <v>View</v>
      </c>
      <c r="P17645" s="7"/>
    </row>
    <row r="17646" spans="1:16">
      <c r="A17646" s="3">
        <v>44554.72483796296</v>
      </c>
      <c r="B17646" s="4" t="str">
        <f>HYPERLINK("https://twitter.com/petrogustavo","@petrogustavo")</f>
        <v>@petrogustavo</v>
      </c>
      <c r="C17646" s="5" t="s">
        <v>16</v>
      </c>
      <c r="D17646" s="5" t="s">
        <v>16985</v>
      </c>
      <c r="E17646" s="6" t="str">
        <f>HYPERLINK("https://twitter.com/petrogustavo/status/1474347564195528704","1474347564195528704")</f>
        <v>1474347564195528704</v>
      </c>
      <c r="F17646" s="7" t="s">
        <v>17</v>
      </c>
      <c r="G17646" s="7">
        <v>4435253</v>
      </c>
      <c r="H17646" s="7">
        <v>2581</v>
      </c>
      <c r="I17646" s="7">
        <v>59</v>
      </c>
      <c r="J17646" s="7">
        <v>376</v>
      </c>
      <c r="K17646" s="7" t="s">
        <v>18</v>
      </c>
      <c r="L17646" s="8">
        <v>39987.315405092595</v>
      </c>
      <c r="M17646" s="9" t="s">
        <v>19</v>
      </c>
      <c r="N17646" s="9" t="s">
        <v>20</v>
      </c>
      <c r="O17646" s="6" t="str">
        <f>HYPERLINK("https://pbs.twimg.com/profile_images/962471262747529216/Uo8lOkRJ_normal.jpg","View")</f>
        <v>View</v>
      </c>
      <c r="P17646" s="7"/>
    </row>
    <row r="17647" spans="1:16">
      <c r="A17647" s="3">
        <v>44555.076296296298</v>
      </c>
      <c r="B17647" s="4" t="str">
        <f>HYPERLINK("https://twitter.com/petrogustavo","@petrogustavo")</f>
        <v>@petrogustavo</v>
      </c>
      <c r="C17647" s="5" t="s">
        <v>16</v>
      </c>
      <c r="D17647" s="5" t="s">
        <v>16986</v>
      </c>
      <c r="E17647" s="6" t="str">
        <f>HYPERLINK("https://twitter.com/petrogustavo/status/1474474928753807362","1474474928753807362")</f>
        <v>1474474928753807362</v>
      </c>
      <c r="F17647" s="7" t="s">
        <v>17</v>
      </c>
      <c r="G17647" s="7">
        <v>4435708</v>
      </c>
      <c r="H17647" s="7">
        <v>2582</v>
      </c>
      <c r="I17647" s="7">
        <v>50</v>
      </c>
      <c r="J17647" s="7">
        <v>0</v>
      </c>
      <c r="K17647" s="7" t="s">
        <v>18</v>
      </c>
      <c r="L17647" s="8">
        <v>39987.315405092595</v>
      </c>
      <c r="M17647" s="9" t="s">
        <v>19</v>
      </c>
      <c r="N17647" s="9" t="s">
        <v>20</v>
      </c>
      <c r="O17647" s="6" t="str">
        <f>HYPERLINK("https://pbs.twimg.com/profile_images/962471262747529216/Uo8lOkRJ_normal.jpg","View")</f>
        <v>View</v>
      </c>
      <c r="P17647" s="7"/>
    </row>
    <row r="17648" spans="1:16">
      <c r="A17648" s="3">
        <v>44555.082986111112</v>
      </c>
      <c r="B17648" s="4" t="str">
        <f>HYPERLINK("https://twitter.com/petrogustavo","@petrogustavo")</f>
        <v>@petrogustavo</v>
      </c>
      <c r="C17648" s="5" t="s">
        <v>16</v>
      </c>
      <c r="D17648" s="5" t="s">
        <v>16987</v>
      </c>
      <c r="E17648" s="6" t="str">
        <f>HYPERLINK("https://twitter.com/petrogustavo/status/1474477354055577606","1474477354055577606")</f>
        <v>1474477354055577606</v>
      </c>
      <c r="F17648" s="7" t="s">
        <v>17</v>
      </c>
      <c r="G17648" s="7">
        <v>4435708</v>
      </c>
      <c r="H17648" s="7">
        <v>2582</v>
      </c>
      <c r="I17648" s="7">
        <v>207</v>
      </c>
      <c r="J17648" s="7">
        <v>817</v>
      </c>
      <c r="K17648" s="7" t="s">
        <v>18</v>
      </c>
      <c r="L17648" s="8">
        <v>39987.315405092595</v>
      </c>
      <c r="M17648" s="9" t="s">
        <v>19</v>
      </c>
      <c r="N17648" s="9" t="s">
        <v>20</v>
      </c>
      <c r="O17648" s="6" t="str">
        <f>HYPERLINK("https://pbs.twimg.com/profile_images/962471262747529216/Uo8lOkRJ_normal.jpg","View")</f>
        <v>View</v>
      </c>
      <c r="P17648" s="7"/>
    </row>
    <row r="17649" spans="1:16">
      <c r="A17649" s="3">
        <v>44555.092280092591</v>
      </c>
      <c r="B17649" s="4" t="str">
        <f>HYPERLINK("https://twitter.com/petrogustavo","@petrogustavo")</f>
        <v>@petrogustavo</v>
      </c>
      <c r="C17649" s="5" t="s">
        <v>16</v>
      </c>
      <c r="D17649" s="5" t="s">
        <v>16988</v>
      </c>
      <c r="E17649" s="6" t="str">
        <f>HYPERLINK("https://twitter.com/petrogustavo/status/1474480723516084236","1474480723516084236")</f>
        <v>1474480723516084236</v>
      </c>
      <c r="F17649" s="7" t="s">
        <v>17</v>
      </c>
      <c r="G17649" s="7">
        <v>4435708</v>
      </c>
      <c r="H17649" s="7">
        <v>2582</v>
      </c>
      <c r="I17649" s="7">
        <v>67</v>
      </c>
      <c r="J17649" s="7">
        <v>0</v>
      </c>
      <c r="K17649" s="7" t="s">
        <v>18</v>
      </c>
      <c r="L17649" s="8">
        <v>39987.315405092595</v>
      </c>
      <c r="M17649" s="9" t="s">
        <v>19</v>
      </c>
      <c r="N17649" s="9" t="s">
        <v>20</v>
      </c>
      <c r="O17649" s="6" t="str">
        <f>HYPERLINK("https://pbs.twimg.com/profile_images/962471262747529216/Uo8lOkRJ_normal.jpg","View")</f>
        <v>View</v>
      </c>
      <c r="P17649" s="7"/>
    </row>
    <row r="17650" spans="1:16">
      <c r="A17650" s="3">
        <v>44555.095520833333</v>
      </c>
      <c r="B17650" s="4" t="str">
        <f>HYPERLINK("https://twitter.com/petrogustavo","@petrogustavo")</f>
        <v>@petrogustavo</v>
      </c>
      <c r="C17650" s="5" t="s">
        <v>16</v>
      </c>
      <c r="D17650" s="5" t="s">
        <v>16989</v>
      </c>
      <c r="E17650" s="6" t="str">
        <f>HYPERLINK("https://twitter.com/petrogustavo/status/1474481897954856962","1474481897954856962")</f>
        <v>1474481897954856962</v>
      </c>
      <c r="F17650" s="7" t="s">
        <v>17</v>
      </c>
      <c r="G17650" s="7">
        <v>4435708</v>
      </c>
      <c r="H17650" s="7">
        <v>2582</v>
      </c>
      <c r="I17650" s="7">
        <v>4</v>
      </c>
      <c r="J17650" s="7">
        <v>0</v>
      </c>
      <c r="K17650" s="7" t="s">
        <v>18</v>
      </c>
      <c r="L17650" s="8">
        <v>39987.315405092595</v>
      </c>
      <c r="M17650" s="9" t="s">
        <v>19</v>
      </c>
      <c r="N17650" s="9" t="s">
        <v>20</v>
      </c>
      <c r="O17650" s="6" t="str">
        <f>HYPERLINK("https://pbs.twimg.com/profile_images/962471262747529216/Uo8lOkRJ_normal.jpg","View")</f>
        <v>View</v>
      </c>
      <c r="P17650" s="7"/>
    </row>
    <row r="17651" spans="1:16">
      <c r="A17651" s="3">
        <v>44555.112245370372</v>
      </c>
      <c r="B17651" s="4" t="str">
        <f>HYPERLINK("https://twitter.com/petrogustavo","@petrogustavo")</f>
        <v>@petrogustavo</v>
      </c>
      <c r="C17651" s="5" t="s">
        <v>16</v>
      </c>
      <c r="D17651" s="5" t="s">
        <v>16990</v>
      </c>
      <c r="E17651" s="6" t="str">
        <f>HYPERLINK("https://twitter.com/petrogustavo/status/1474487958422147072","1474487958422147072")</f>
        <v>1474487958422147072</v>
      </c>
      <c r="F17651" s="7" t="s">
        <v>17</v>
      </c>
      <c r="G17651" s="7">
        <v>4435660</v>
      </c>
      <c r="H17651" s="7">
        <v>2582</v>
      </c>
      <c r="I17651" s="7">
        <v>132</v>
      </c>
      <c r="J17651" s="7">
        <v>500</v>
      </c>
      <c r="K17651" s="7" t="s">
        <v>18</v>
      </c>
      <c r="L17651" s="8">
        <v>39987.315405092595</v>
      </c>
      <c r="M17651" s="9" t="s">
        <v>19</v>
      </c>
      <c r="N17651" s="9" t="s">
        <v>20</v>
      </c>
      <c r="O17651" s="6" t="str">
        <f>HYPERLINK("https://pbs.twimg.com/profile_images/962471262747529216/Uo8lOkRJ_normal.jpg","View")</f>
        <v>View</v>
      </c>
      <c r="P17651" s="7"/>
    </row>
    <row r="17652" spans="1:16">
      <c r="A17652" s="3">
        <v>44555.231249999997</v>
      </c>
      <c r="B17652" s="4" t="str">
        <f>HYPERLINK("https://twitter.com/petrogustavo","@petrogustavo")</f>
        <v>@petrogustavo</v>
      </c>
      <c r="C17652" s="5" t="s">
        <v>16</v>
      </c>
      <c r="D17652" s="5" t="s">
        <v>16991</v>
      </c>
      <c r="E17652" s="6" t="str">
        <f>HYPERLINK("https://twitter.com/petrogustavo/status/1474531082745823237","1474531082745823237")</f>
        <v>1474531082745823237</v>
      </c>
      <c r="F17652" s="7" t="s">
        <v>17</v>
      </c>
      <c r="G17652" s="7">
        <v>4435786</v>
      </c>
      <c r="H17652" s="7">
        <v>2582</v>
      </c>
      <c r="I17652" s="7">
        <v>59</v>
      </c>
      <c r="J17652" s="7">
        <v>175</v>
      </c>
      <c r="K17652" s="7" t="s">
        <v>18</v>
      </c>
      <c r="L17652" s="8">
        <v>39987.315405092595</v>
      </c>
      <c r="M17652" s="9" t="s">
        <v>19</v>
      </c>
      <c r="N17652" s="9" t="s">
        <v>20</v>
      </c>
      <c r="O17652" s="6" t="str">
        <f>HYPERLINK("https://pbs.twimg.com/profile_images/962471262747529216/Uo8lOkRJ_normal.jpg","View")</f>
        <v>View</v>
      </c>
      <c r="P17652" s="7"/>
    </row>
    <row r="17653" spans="1:16">
      <c r="A17653" s="3">
        <v>44555.704560185186</v>
      </c>
      <c r="B17653" s="4" t="str">
        <f>HYPERLINK("https://twitter.com/petrogustavo","@petrogustavo")</f>
        <v>@petrogustavo</v>
      </c>
      <c r="C17653" s="5" t="s">
        <v>16</v>
      </c>
      <c r="D17653" s="5" t="s">
        <v>16992</v>
      </c>
      <c r="E17653" s="6" t="str">
        <f>HYPERLINK("https://twitter.com/petrogustavo/status/1474702605133754369","1474702605133754369")</f>
        <v>1474702605133754369</v>
      </c>
      <c r="F17653" s="7" t="s">
        <v>17</v>
      </c>
      <c r="G17653" s="7">
        <v>4435976</v>
      </c>
      <c r="H17653" s="7">
        <v>2582</v>
      </c>
      <c r="I17653" s="7">
        <v>23</v>
      </c>
      <c r="J17653" s="7">
        <v>71</v>
      </c>
      <c r="K17653" s="7" t="s">
        <v>18</v>
      </c>
      <c r="L17653" s="8">
        <v>39987.315405092595</v>
      </c>
      <c r="M17653" s="9" t="s">
        <v>19</v>
      </c>
      <c r="N17653" s="9" t="s">
        <v>20</v>
      </c>
      <c r="O17653" s="6" t="str">
        <f>HYPERLINK("https://pbs.twimg.com/profile_images/962471262747529216/Uo8lOkRJ_normal.jpg","View")</f>
        <v>View</v>
      </c>
      <c r="P17653" s="7"/>
    </row>
    <row r="17654" spans="1:16">
      <c r="A17654" s="3">
        <v>44555.836805555555</v>
      </c>
      <c r="B17654" s="4" t="str">
        <f>HYPERLINK("https://twitter.com/petrogustavo","@petrogustavo")</f>
        <v>@petrogustavo</v>
      </c>
      <c r="C17654" s="5" t="s">
        <v>16</v>
      </c>
      <c r="D17654" s="5" t="s">
        <v>16993</v>
      </c>
      <c r="E17654" s="6" t="str">
        <f>HYPERLINK("https://twitter.com/petrogustavo/status/1474750530438238219","1474750530438238219")</f>
        <v>1474750530438238219</v>
      </c>
      <c r="F17654" s="7" t="s">
        <v>17</v>
      </c>
      <c r="G17654" s="7">
        <v>4435988</v>
      </c>
      <c r="H17654" s="7">
        <v>2582</v>
      </c>
      <c r="I17654" s="7">
        <v>283</v>
      </c>
      <c r="J17654" s="7">
        <v>0</v>
      </c>
      <c r="K17654" s="7" t="s">
        <v>18</v>
      </c>
      <c r="L17654" s="8">
        <v>39987.315405092595</v>
      </c>
      <c r="M17654" s="9" t="s">
        <v>19</v>
      </c>
      <c r="N17654" s="9" t="s">
        <v>20</v>
      </c>
      <c r="O17654" s="6" t="str">
        <f>HYPERLINK("https://pbs.twimg.com/profile_images/962471262747529216/Uo8lOkRJ_normal.jpg","View")</f>
        <v>View</v>
      </c>
      <c r="P17654" s="7"/>
    </row>
    <row r="17655" spans="1:16">
      <c r="A17655" s="3">
        <v>44555.894097222219</v>
      </c>
      <c r="B17655" s="4" t="str">
        <f>HYPERLINK("https://twitter.com/petrogustavo","@petrogustavo")</f>
        <v>@petrogustavo</v>
      </c>
      <c r="C17655" s="5" t="s">
        <v>16</v>
      </c>
      <c r="D17655" s="5" t="s">
        <v>16994</v>
      </c>
      <c r="E17655" s="6" t="str">
        <f>HYPERLINK("https://twitter.com/petrogustavo/status/1474771292775665664","1474771292775665664")</f>
        <v>1474771292775665664</v>
      </c>
      <c r="F17655" s="7" t="s">
        <v>17</v>
      </c>
      <c r="G17655" s="7">
        <v>4435991</v>
      </c>
      <c r="H17655" s="7">
        <v>2582</v>
      </c>
      <c r="I17655" s="7">
        <v>55</v>
      </c>
      <c r="J17655" s="7">
        <v>283</v>
      </c>
      <c r="K17655" s="7" t="s">
        <v>18</v>
      </c>
      <c r="L17655" s="8">
        <v>39987.315405092595</v>
      </c>
      <c r="M17655" s="9" t="s">
        <v>19</v>
      </c>
      <c r="N17655" s="9" t="s">
        <v>20</v>
      </c>
      <c r="O17655" s="6" t="str">
        <f>HYPERLINK("https://pbs.twimg.com/profile_images/962471262747529216/Uo8lOkRJ_normal.jpg","View")</f>
        <v>View</v>
      </c>
      <c r="P17655" s="7"/>
    </row>
    <row r="17656" spans="1:16">
      <c r="A17656" s="3">
        <v>44555.897523148145</v>
      </c>
      <c r="B17656" s="4" t="str">
        <f>HYPERLINK("https://twitter.com/petrogustavo","@petrogustavo")</f>
        <v>@petrogustavo</v>
      </c>
      <c r="C17656" s="5" t="s">
        <v>16</v>
      </c>
      <c r="D17656" s="5" t="s">
        <v>16995</v>
      </c>
      <c r="E17656" s="6" t="str">
        <f>HYPERLINK("https://twitter.com/petrogustavo/status/1474772531882176513","1474772531882176513")</f>
        <v>1474772531882176513</v>
      </c>
      <c r="F17656" s="7" t="s">
        <v>17</v>
      </c>
      <c r="G17656" s="7">
        <v>4435991</v>
      </c>
      <c r="H17656" s="7">
        <v>2582</v>
      </c>
      <c r="I17656" s="7">
        <v>0</v>
      </c>
      <c r="J17656" s="7">
        <v>0</v>
      </c>
      <c r="K17656" s="7" t="s">
        <v>18</v>
      </c>
      <c r="L17656" s="8">
        <v>39987.315405092595</v>
      </c>
      <c r="M17656" s="9" t="s">
        <v>19</v>
      </c>
      <c r="N17656" s="9" t="s">
        <v>20</v>
      </c>
      <c r="O17656" s="6" t="str">
        <f>HYPERLINK("https://pbs.twimg.com/profile_images/962471262747529216/Uo8lOkRJ_normal.jpg","View")</f>
        <v>View</v>
      </c>
      <c r="P17656" s="7"/>
    </row>
    <row r="17657" spans="1:16">
      <c r="A17657" s="3">
        <v>44556.154652777783</v>
      </c>
      <c r="B17657" s="4" t="str">
        <f>HYPERLINK("https://twitter.com/petrogustavo","@petrogustavo")</f>
        <v>@petrogustavo</v>
      </c>
      <c r="C17657" s="5" t="s">
        <v>16</v>
      </c>
      <c r="D17657" s="5" t="s">
        <v>16996</v>
      </c>
      <c r="E17657" s="6" t="str">
        <f>HYPERLINK("https://twitter.com/petrogustavo/status/1474865712179159051","1474865712179159051")</f>
        <v>1474865712179159051</v>
      </c>
      <c r="F17657" s="7" t="s">
        <v>17</v>
      </c>
      <c r="G17657" s="7">
        <v>4436236</v>
      </c>
      <c r="H17657" s="7">
        <v>2583</v>
      </c>
      <c r="I17657" s="7">
        <v>36</v>
      </c>
      <c r="J17657" s="7">
        <v>0</v>
      </c>
      <c r="K17657" s="7" t="s">
        <v>18</v>
      </c>
      <c r="L17657" s="8">
        <v>39987.315405092595</v>
      </c>
      <c r="M17657" s="9" t="s">
        <v>19</v>
      </c>
      <c r="N17657" s="9" t="s">
        <v>20</v>
      </c>
      <c r="O17657" s="6" t="str">
        <f>HYPERLINK("https://pbs.twimg.com/profile_images/962471262747529216/Uo8lOkRJ_normal.jpg","View")</f>
        <v>View</v>
      </c>
      <c r="P17657" s="7"/>
    </row>
    <row r="17658" spans="1:16">
      <c r="A17658" s="3">
        <v>44556.160821759258</v>
      </c>
      <c r="B17658" s="4" t="str">
        <f>HYPERLINK("https://twitter.com/petrogustavo","@petrogustavo")</f>
        <v>@petrogustavo</v>
      </c>
      <c r="C17658" s="5" t="s">
        <v>16</v>
      </c>
      <c r="D17658" s="5" t="s">
        <v>16997</v>
      </c>
      <c r="E17658" s="6" t="str">
        <f>HYPERLINK("https://twitter.com/petrogustavo/status/1474867949123080199","1474867949123080199")</f>
        <v>1474867949123080199</v>
      </c>
      <c r="F17658" s="7" t="s">
        <v>17</v>
      </c>
      <c r="G17658" s="7">
        <v>4436236</v>
      </c>
      <c r="H17658" s="7">
        <v>2583</v>
      </c>
      <c r="I17658" s="7">
        <v>118</v>
      </c>
      <c r="J17658" s="7">
        <v>335</v>
      </c>
      <c r="K17658" s="7" t="s">
        <v>18</v>
      </c>
      <c r="L17658" s="8">
        <v>39987.315405092595</v>
      </c>
      <c r="M17658" s="9" t="s">
        <v>19</v>
      </c>
      <c r="N17658" s="9" t="s">
        <v>20</v>
      </c>
      <c r="O17658" s="6" t="str">
        <f>HYPERLINK("https://pbs.twimg.com/profile_images/962471262747529216/Uo8lOkRJ_normal.jpg","View")</f>
        <v>View</v>
      </c>
      <c r="P17658" s="7"/>
    </row>
    <row r="17659" spans="1:16">
      <c r="A17659" s="3">
        <v>44556.169108796297</v>
      </c>
      <c r="B17659" s="4" t="str">
        <f>HYPERLINK("https://twitter.com/petrogustavo","@petrogustavo")</f>
        <v>@petrogustavo</v>
      </c>
      <c r="C17659" s="5" t="s">
        <v>16</v>
      </c>
      <c r="D17659" s="5" t="s">
        <v>16998</v>
      </c>
      <c r="E17659" s="6" t="str">
        <f>HYPERLINK("https://twitter.com/petrogustavo/status/1474870952144117760","1474870952144117760")</f>
        <v>1474870952144117760</v>
      </c>
      <c r="F17659" s="7" t="s">
        <v>17</v>
      </c>
      <c r="G17659" s="7">
        <v>4436253</v>
      </c>
      <c r="H17659" s="7">
        <v>2583</v>
      </c>
      <c r="I17659" s="7">
        <v>97</v>
      </c>
      <c r="J17659" s="7">
        <v>254</v>
      </c>
      <c r="K17659" s="7" t="s">
        <v>18</v>
      </c>
      <c r="L17659" s="8">
        <v>39987.315405092595</v>
      </c>
      <c r="M17659" s="9" t="s">
        <v>19</v>
      </c>
      <c r="N17659" s="9" t="s">
        <v>20</v>
      </c>
      <c r="O17659" s="6" t="str">
        <f>HYPERLINK("https://pbs.twimg.com/profile_images/962471262747529216/Uo8lOkRJ_normal.jpg","View")</f>
        <v>View</v>
      </c>
      <c r="P17659" s="7"/>
    </row>
    <row r="17660" spans="1:16">
      <c r="A17660" s="3">
        <v>44556.180763888886</v>
      </c>
      <c r="B17660" s="4" t="str">
        <f>HYPERLINK("https://twitter.com/petrogustavo","@petrogustavo")</f>
        <v>@petrogustavo</v>
      </c>
      <c r="C17660" s="5" t="s">
        <v>16</v>
      </c>
      <c r="D17660" s="5" t="s">
        <v>16999</v>
      </c>
      <c r="E17660" s="6" t="str">
        <f>HYPERLINK("https://twitter.com/petrogustavo/status/1474875174105272322","1474875174105272322")</f>
        <v>1474875174105272322</v>
      </c>
      <c r="F17660" s="7" t="s">
        <v>17</v>
      </c>
      <c r="G17660" s="7">
        <v>4436253</v>
      </c>
      <c r="H17660" s="7">
        <v>2583</v>
      </c>
      <c r="I17660" s="7">
        <v>92</v>
      </c>
      <c r="J17660" s="7">
        <v>306</v>
      </c>
      <c r="K17660" s="7" t="s">
        <v>18</v>
      </c>
      <c r="L17660" s="8">
        <v>39987.315405092595</v>
      </c>
      <c r="M17660" s="9" t="s">
        <v>19</v>
      </c>
      <c r="N17660" s="9" t="s">
        <v>20</v>
      </c>
      <c r="O17660" s="6" t="str">
        <f>HYPERLINK("https://pbs.twimg.com/profile_images/962471262747529216/Uo8lOkRJ_normal.jpg","View")</f>
        <v>View</v>
      </c>
      <c r="P17660" s="7"/>
    </row>
    <row r="17661" spans="1:16">
      <c r="A17661" s="3">
        <v>44556.19604166667</v>
      </c>
      <c r="B17661" s="4" t="str">
        <f>HYPERLINK("https://twitter.com/petrogustavo","@petrogustavo")</f>
        <v>@petrogustavo</v>
      </c>
      <c r="C17661" s="5" t="s">
        <v>16</v>
      </c>
      <c r="D17661" s="5" t="s">
        <v>17000</v>
      </c>
      <c r="E17661" s="6" t="str">
        <f>HYPERLINK("https://twitter.com/petrogustavo/status/1474880712306270218","1474880712306270218")</f>
        <v>1474880712306270218</v>
      </c>
      <c r="F17661" s="7" t="s">
        <v>17</v>
      </c>
      <c r="G17661" s="7">
        <v>4436260</v>
      </c>
      <c r="H17661" s="7">
        <v>2583</v>
      </c>
      <c r="I17661" s="7">
        <v>142</v>
      </c>
      <c r="J17661" s="7">
        <v>405</v>
      </c>
      <c r="K17661" s="7" t="s">
        <v>18</v>
      </c>
      <c r="L17661" s="8">
        <v>39987.315405092595</v>
      </c>
      <c r="M17661" s="9" t="s">
        <v>19</v>
      </c>
      <c r="N17661" s="9" t="s">
        <v>20</v>
      </c>
      <c r="O17661" s="6" t="str">
        <f>HYPERLINK("https://pbs.twimg.com/profile_images/962471262747529216/Uo8lOkRJ_normal.jpg","View")</f>
        <v>View</v>
      </c>
      <c r="P17661" s="7"/>
    </row>
    <row r="17662" spans="1:16">
      <c r="A17662" s="3">
        <v>44556.19604166667</v>
      </c>
      <c r="B17662" s="4" t="str">
        <f>HYPERLINK("https://twitter.com/petrogustavo","@petrogustavo")</f>
        <v>@petrogustavo</v>
      </c>
      <c r="C17662" s="5" t="s">
        <v>16</v>
      </c>
      <c r="D17662" s="5" t="s">
        <v>17001</v>
      </c>
      <c r="E17662" s="6" t="str">
        <f>HYPERLINK("https://twitter.com/petrogustavo/status/1474880714034364423","1474880714034364423")</f>
        <v>1474880714034364423</v>
      </c>
      <c r="F17662" s="7" t="s">
        <v>17</v>
      </c>
      <c r="G17662" s="7">
        <v>4436260</v>
      </c>
      <c r="H17662" s="7">
        <v>2583</v>
      </c>
      <c r="I17662" s="7">
        <v>55</v>
      </c>
      <c r="J17662" s="7">
        <v>189</v>
      </c>
      <c r="K17662" s="7" t="s">
        <v>18</v>
      </c>
      <c r="L17662" s="8">
        <v>39987.315405092595</v>
      </c>
      <c r="M17662" s="9" t="s">
        <v>19</v>
      </c>
      <c r="N17662" s="9" t="s">
        <v>20</v>
      </c>
      <c r="O17662" s="6" t="str">
        <f>HYPERLINK("https://pbs.twimg.com/profile_images/962471262747529216/Uo8lOkRJ_normal.jpg","View")</f>
        <v>View</v>
      </c>
      <c r="P17662" s="7"/>
    </row>
    <row r="17663" spans="1:16">
      <c r="A17663" s="3">
        <v>44556.196053240739</v>
      </c>
      <c r="B17663" s="4" t="str">
        <f>HYPERLINK("https://twitter.com/petrogustavo","@petrogustavo")</f>
        <v>@petrogustavo</v>
      </c>
      <c r="C17663" s="5" t="s">
        <v>16</v>
      </c>
      <c r="D17663" s="5" t="s">
        <v>17002</v>
      </c>
      <c r="E17663" s="6" t="str">
        <f>HYPERLINK("https://twitter.com/petrogustavo/status/1474880715460386817","1474880715460386817")</f>
        <v>1474880715460386817</v>
      </c>
      <c r="F17663" s="7" t="s">
        <v>17</v>
      </c>
      <c r="G17663" s="7">
        <v>4436260</v>
      </c>
      <c r="H17663" s="7">
        <v>2583</v>
      </c>
      <c r="I17663" s="7">
        <v>70</v>
      </c>
      <c r="J17663" s="7">
        <v>295</v>
      </c>
      <c r="K17663" s="7" t="s">
        <v>18</v>
      </c>
      <c r="L17663" s="8">
        <v>39987.315405092595</v>
      </c>
      <c r="M17663" s="9" t="s">
        <v>19</v>
      </c>
      <c r="N17663" s="9" t="s">
        <v>20</v>
      </c>
      <c r="O17663" s="6" t="str">
        <f>HYPERLINK("https://pbs.twimg.com/profile_images/962471262747529216/Uo8lOkRJ_normal.jpg","View")</f>
        <v>View</v>
      </c>
      <c r="P17663" s="7"/>
    </row>
    <row r="17664" spans="1:16">
      <c r="A17664" s="3">
        <v>44556.201817129629</v>
      </c>
      <c r="B17664" s="4" t="str">
        <f>HYPERLINK("https://twitter.com/petrogustavo","@petrogustavo")</f>
        <v>@petrogustavo</v>
      </c>
      <c r="C17664" s="5" t="s">
        <v>16</v>
      </c>
      <c r="D17664" s="4" t="s">
        <v>17003</v>
      </c>
      <c r="E17664" s="6" t="str">
        <f>HYPERLINK("https://twitter.com/petrogustavo/status/1474882804022484993","1474882804022484993")</f>
        <v>1474882804022484993</v>
      </c>
      <c r="F17664" s="7" t="s">
        <v>17</v>
      </c>
      <c r="G17664" s="7">
        <v>4436260</v>
      </c>
      <c r="H17664" s="7">
        <v>2583</v>
      </c>
      <c r="I17664" s="7">
        <v>35</v>
      </c>
      <c r="J17664" s="7">
        <v>91</v>
      </c>
      <c r="K17664" s="7" t="s">
        <v>18</v>
      </c>
      <c r="L17664" s="8">
        <v>39987.315405092595</v>
      </c>
      <c r="M17664" s="9" t="s">
        <v>19</v>
      </c>
      <c r="N17664" s="9" t="s">
        <v>20</v>
      </c>
      <c r="O17664" s="6" t="str">
        <f>HYPERLINK("https://pbs.twimg.com/profile_images/962471262747529216/Uo8lOkRJ_normal.jpg","View")</f>
        <v>View</v>
      </c>
      <c r="P17664" s="7"/>
    </row>
    <row r="17665" spans="1:16">
      <c r="A17665" s="3">
        <v>44556.702615740738</v>
      </c>
      <c r="B17665" s="4" t="str">
        <f>HYPERLINK("https://twitter.com/petrogustavo","@petrogustavo")</f>
        <v>@petrogustavo</v>
      </c>
      <c r="C17665" s="5" t="s">
        <v>16</v>
      </c>
      <c r="D17665" s="5" t="s">
        <v>17004</v>
      </c>
      <c r="E17665" s="6" t="str">
        <f>HYPERLINK("https://twitter.com/petrogustavo/status/1475064288637247489","1475064288637247489")</f>
        <v>1475064288637247489</v>
      </c>
      <c r="F17665" s="7" t="s">
        <v>17</v>
      </c>
      <c r="G17665" s="7">
        <v>4436568</v>
      </c>
      <c r="H17665" s="7">
        <v>2584</v>
      </c>
      <c r="I17665" s="7">
        <v>26</v>
      </c>
      <c r="J17665" s="7">
        <v>89</v>
      </c>
      <c r="K17665" s="7" t="s">
        <v>18</v>
      </c>
      <c r="L17665" s="8">
        <v>39987.315405092595</v>
      </c>
      <c r="M17665" s="9" t="s">
        <v>19</v>
      </c>
      <c r="N17665" s="9" t="s">
        <v>20</v>
      </c>
      <c r="O17665" s="6" t="str">
        <f>HYPERLINK("https://pbs.twimg.com/profile_images/962471262747529216/Uo8lOkRJ_normal.jpg","View")</f>
        <v>View</v>
      </c>
      <c r="P17665" s="7"/>
    </row>
    <row r="17666" spans="1:16">
      <c r="A17666" s="3">
        <v>44556.708344907413</v>
      </c>
      <c r="B17666" s="4" t="str">
        <f>HYPERLINK("https://twitter.com/petrogustavo","@petrogustavo")</f>
        <v>@petrogustavo</v>
      </c>
      <c r="C17666" s="5" t="s">
        <v>16</v>
      </c>
      <c r="D17666" s="5" t="s">
        <v>17005</v>
      </c>
      <c r="E17666" s="6" t="str">
        <f>HYPERLINK("https://twitter.com/petrogustavo/status/1475066365589561344","1475066365589561344")</f>
        <v>1475066365589561344</v>
      </c>
      <c r="F17666" s="7" t="s">
        <v>17</v>
      </c>
      <c r="G17666" s="7">
        <v>4436568</v>
      </c>
      <c r="H17666" s="7">
        <v>2584</v>
      </c>
      <c r="I17666" s="7">
        <v>5284</v>
      </c>
      <c r="J17666" s="7">
        <v>0</v>
      </c>
      <c r="K17666" s="7" t="s">
        <v>18</v>
      </c>
      <c r="L17666" s="8">
        <v>39987.315405092595</v>
      </c>
      <c r="M17666" s="9" t="s">
        <v>19</v>
      </c>
      <c r="N17666" s="9" t="s">
        <v>20</v>
      </c>
      <c r="O17666" s="6" t="str">
        <f>HYPERLINK("https://pbs.twimg.com/profile_images/962471262747529216/Uo8lOkRJ_normal.jpg","View")</f>
        <v>View</v>
      </c>
      <c r="P17666" s="7"/>
    </row>
    <row r="17667" spans="1:16">
      <c r="A17667" s="3">
        <v>44556.711412037039</v>
      </c>
      <c r="B17667" s="4" t="str">
        <f>HYPERLINK("https://twitter.com/petrogustavo","@petrogustavo")</f>
        <v>@petrogustavo</v>
      </c>
      <c r="C17667" s="5" t="s">
        <v>16</v>
      </c>
      <c r="D17667" s="5" t="s">
        <v>17006</v>
      </c>
      <c r="E17667" s="6" t="str">
        <f>HYPERLINK("https://twitter.com/petrogustavo/status/1475067477625352193","1475067477625352193")</f>
        <v>1475067477625352193</v>
      </c>
      <c r="F17667" s="7" t="s">
        <v>17</v>
      </c>
      <c r="G17667" s="7">
        <v>4436586</v>
      </c>
      <c r="H17667" s="7">
        <v>2584</v>
      </c>
      <c r="I17667" s="7">
        <v>94</v>
      </c>
      <c r="J17667" s="7">
        <v>270</v>
      </c>
      <c r="K17667" s="7" t="s">
        <v>18</v>
      </c>
      <c r="L17667" s="8">
        <v>39987.315405092595</v>
      </c>
      <c r="M17667" s="9" t="s">
        <v>19</v>
      </c>
      <c r="N17667" s="9" t="s">
        <v>20</v>
      </c>
      <c r="O17667" s="6" t="str">
        <f>HYPERLINK("https://pbs.twimg.com/profile_images/962471262747529216/Uo8lOkRJ_normal.jpg","View")</f>
        <v>View</v>
      </c>
      <c r="P17667" s="7"/>
    </row>
    <row r="17668" spans="1:16">
      <c r="A17668" s="3">
        <v>44556.717916666668</v>
      </c>
      <c r="B17668" s="4" t="str">
        <f>HYPERLINK("https://twitter.com/petrogustavo","@petrogustavo")</f>
        <v>@petrogustavo</v>
      </c>
      <c r="C17668" s="5" t="s">
        <v>16</v>
      </c>
      <c r="D17668" s="5" t="s">
        <v>17007</v>
      </c>
      <c r="E17668" s="6" t="str">
        <f>HYPERLINK("https://twitter.com/petrogustavo/status/1475069834689978369","1475069834689978369")</f>
        <v>1475069834689978369</v>
      </c>
      <c r="F17668" s="7" t="s">
        <v>17</v>
      </c>
      <c r="G17668" s="7">
        <v>4436586</v>
      </c>
      <c r="H17668" s="7">
        <v>2584</v>
      </c>
      <c r="I17668" s="7">
        <v>137</v>
      </c>
      <c r="J17668" s="7">
        <v>310</v>
      </c>
      <c r="K17668" s="7" t="s">
        <v>18</v>
      </c>
      <c r="L17668" s="8">
        <v>39987.315405092595</v>
      </c>
      <c r="M17668" s="9" t="s">
        <v>19</v>
      </c>
      <c r="N17668" s="9" t="s">
        <v>20</v>
      </c>
      <c r="O17668" s="6" t="str">
        <f>HYPERLINK("https://pbs.twimg.com/profile_images/962471262747529216/Uo8lOkRJ_normal.jpg","View")</f>
        <v>View</v>
      </c>
      <c r="P17668" s="7"/>
    </row>
    <row r="17669" spans="1:16">
      <c r="A17669" s="3">
        <v>44557.074571759258</v>
      </c>
      <c r="B17669" s="4" t="str">
        <f>HYPERLINK("https://twitter.com/petrogustavo","@petrogustavo")</f>
        <v>@petrogustavo</v>
      </c>
      <c r="C17669" s="5" t="s">
        <v>16</v>
      </c>
      <c r="D17669" s="5" t="s">
        <v>17008</v>
      </c>
      <c r="E17669" s="6" t="str">
        <f>HYPERLINK("https://twitter.com/petrogustavo/status/1475199079571505153","1475199079571505153")</f>
        <v>1475199079571505153</v>
      </c>
      <c r="F17669" s="7" t="s">
        <v>17</v>
      </c>
      <c r="G17669" s="7">
        <v>4436912</v>
      </c>
      <c r="H17669" s="7">
        <v>2584</v>
      </c>
      <c r="I17669" s="7">
        <v>39</v>
      </c>
      <c r="J17669" s="7">
        <v>0</v>
      </c>
      <c r="K17669" s="7" t="s">
        <v>18</v>
      </c>
      <c r="L17669" s="8">
        <v>39987.315405092595</v>
      </c>
      <c r="M17669" s="9" t="s">
        <v>19</v>
      </c>
      <c r="N17669" s="9" t="s">
        <v>20</v>
      </c>
      <c r="O17669" s="6" t="str">
        <f>HYPERLINK("https://pbs.twimg.com/profile_images/962471262747529216/Uo8lOkRJ_normal.jpg","View")</f>
        <v>View</v>
      </c>
      <c r="P17669" s="7"/>
    </row>
    <row r="17670" spans="1:16">
      <c r="A17670" s="3">
        <v>44557.12300925926</v>
      </c>
      <c r="B17670" s="4" t="str">
        <f>HYPERLINK("https://twitter.com/petrogustavo","@petrogustavo")</f>
        <v>@petrogustavo</v>
      </c>
      <c r="C17670" s="5" t="s">
        <v>16</v>
      </c>
      <c r="D17670" s="5" t="s">
        <v>17009</v>
      </c>
      <c r="E17670" s="6" t="str">
        <f>HYPERLINK("https://twitter.com/petrogustavo/status/1475216632704294919","1475216632704294919")</f>
        <v>1475216632704294919</v>
      </c>
      <c r="F17670" s="7" t="s">
        <v>17</v>
      </c>
      <c r="G17670" s="7">
        <v>4436957</v>
      </c>
      <c r="H17670" s="7">
        <v>2584</v>
      </c>
      <c r="I17670" s="7">
        <v>27</v>
      </c>
      <c r="J17670" s="7">
        <v>0</v>
      </c>
      <c r="K17670" s="7" t="s">
        <v>18</v>
      </c>
      <c r="L17670" s="8">
        <v>39987.315405092595</v>
      </c>
      <c r="M17670" s="9" t="s">
        <v>19</v>
      </c>
      <c r="N17670" s="9" t="s">
        <v>20</v>
      </c>
      <c r="O17670" s="6" t="str">
        <f>HYPERLINK("https://pbs.twimg.com/profile_images/962471262747529216/Uo8lOkRJ_normal.jpg","View")</f>
        <v>View</v>
      </c>
      <c r="P17670" s="7"/>
    </row>
    <row r="17671" spans="1:16">
      <c r="A17671" s="3">
        <v>44557.127743055556</v>
      </c>
      <c r="B17671" s="4" t="str">
        <f>HYPERLINK("https://twitter.com/petrogustavo","@petrogustavo")</f>
        <v>@petrogustavo</v>
      </c>
      <c r="C17671" s="5" t="s">
        <v>16</v>
      </c>
      <c r="D17671" s="5" t="s">
        <v>16588</v>
      </c>
      <c r="E17671" s="6" t="str">
        <f>HYPERLINK("https://twitter.com/petrogustavo/status/1475218350070505476","1475218350070505476")</f>
        <v>1475218350070505476</v>
      </c>
      <c r="F17671" s="7" t="s">
        <v>17</v>
      </c>
      <c r="G17671" s="7">
        <v>4436972</v>
      </c>
      <c r="H17671" s="7">
        <v>2585</v>
      </c>
      <c r="I17671" s="7">
        <v>449</v>
      </c>
      <c r="J17671" s="7">
        <v>0</v>
      </c>
      <c r="K17671" s="7" t="s">
        <v>18</v>
      </c>
      <c r="L17671" s="8">
        <v>39987.315405092595</v>
      </c>
      <c r="M17671" s="9" t="s">
        <v>19</v>
      </c>
      <c r="N17671" s="9" t="s">
        <v>20</v>
      </c>
      <c r="O17671" s="6" t="str">
        <f>HYPERLINK("https://pbs.twimg.com/profile_images/962471262747529216/Uo8lOkRJ_normal.jpg","View")</f>
        <v>View</v>
      </c>
      <c r="P17671" s="7"/>
    </row>
    <row r="17672" spans="1:16">
      <c r="A17672" s="3">
        <v>44557.130231481482</v>
      </c>
      <c r="B17672" s="4" t="str">
        <f>HYPERLINK("https://twitter.com/petrogustavo","@petrogustavo")</f>
        <v>@petrogustavo</v>
      </c>
      <c r="C17672" s="5" t="s">
        <v>16</v>
      </c>
      <c r="D17672" s="5" t="s">
        <v>17010</v>
      </c>
      <c r="E17672" s="6" t="str">
        <f>HYPERLINK("https://twitter.com/petrogustavo/status/1475219250784649219","1475219250784649219")</f>
        <v>1475219250784649219</v>
      </c>
      <c r="F17672" s="7" t="s">
        <v>17</v>
      </c>
      <c r="G17672" s="7">
        <v>4436972</v>
      </c>
      <c r="H17672" s="7">
        <v>2585</v>
      </c>
      <c r="I17672" s="7">
        <v>30</v>
      </c>
      <c r="J17672" s="7">
        <v>0</v>
      </c>
      <c r="K17672" s="7" t="s">
        <v>18</v>
      </c>
      <c r="L17672" s="8">
        <v>39987.315405092595</v>
      </c>
      <c r="M17672" s="9" t="s">
        <v>19</v>
      </c>
      <c r="N17672" s="9" t="s">
        <v>20</v>
      </c>
      <c r="O17672" s="6" t="str">
        <f>HYPERLINK("https://pbs.twimg.com/profile_images/962471262747529216/Uo8lOkRJ_normal.jpg","View")</f>
        <v>View</v>
      </c>
      <c r="P17672" s="7"/>
    </row>
    <row r="17673" spans="1:16">
      <c r="A17673" s="3">
        <v>44557.133043981477</v>
      </c>
      <c r="B17673" s="4" t="str">
        <f>HYPERLINK("https://twitter.com/petrogustavo","@petrogustavo")</f>
        <v>@petrogustavo</v>
      </c>
      <c r="C17673" s="5" t="s">
        <v>16</v>
      </c>
      <c r="D17673" s="5" t="s">
        <v>17011</v>
      </c>
      <c r="E17673" s="6" t="str">
        <f>HYPERLINK("https://twitter.com/petrogustavo/status/1475220272475217927","1475220272475217927")</f>
        <v>1475220272475217927</v>
      </c>
      <c r="F17673" s="7" t="s">
        <v>17</v>
      </c>
      <c r="G17673" s="7">
        <v>4436972</v>
      </c>
      <c r="H17673" s="7">
        <v>2585</v>
      </c>
      <c r="I17673" s="7">
        <v>154</v>
      </c>
      <c r="J17673" s="7">
        <v>508</v>
      </c>
      <c r="K17673" s="7" t="s">
        <v>18</v>
      </c>
      <c r="L17673" s="8">
        <v>39987.315405092595</v>
      </c>
      <c r="M17673" s="9" t="s">
        <v>19</v>
      </c>
      <c r="N17673" s="9" t="s">
        <v>20</v>
      </c>
      <c r="O17673" s="6" t="str">
        <f>HYPERLINK("https://pbs.twimg.com/profile_images/962471262747529216/Uo8lOkRJ_normal.jpg","View")</f>
        <v>View</v>
      </c>
      <c r="P17673" s="7"/>
    </row>
    <row r="17674" spans="1:16">
      <c r="A17674" s="3">
        <v>44557.133391203708</v>
      </c>
      <c r="B17674" s="4" t="str">
        <f>HYPERLINK("https://twitter.com/petrogustavo","@petrogustavo")</f>
        <v>@petrogustavo</v>
      </c>
      <c r="C17674" s="5" t="s">
        <v>16</v>
      </c>
      <c r="D17674" s="5" t="s">
        <v>17012</v>
      </c>
      <c r="E17674" s="6" t="str">
        <f>HYPERLINK("https://twitter.com/petrogustavo/status/1475220394965676045","1475220394965676045")</f>
        <v>1475220394965676045</v>
      </c>
      <c r="F17674" s="7" t="s">
        <v>17</v>
      </c>
      <c r="G17674" s="7">
        <v>4436972</v>
      </c>
      <c r="H17674" s="7">
        <v>2585</v>
      </c>
      <c r="I17674" s="7">
        <v>199</v>
      </c>
      <c r="J17674" s="7">
        <v>0</v>
      </c>
      <c r="K17674" s="7" t="s">
        <v>18</v>
      </c>
      <c r="L17674" s="8">
        <v>39987.315405092595</v>
      </c>
      <c r="M17674" s="9" t="s">
        <v>19</v>
      </c>
      <c r="N17674" s="9" t="s">
        <v>20</v>
      </c>
      <c r="O17674" s="6" t="str">
        <f>HYPERLINK("https://pbs.twimg.com/profile_images/962471262747529216/Uo8lOkRJ_normal.jpg","View")</f>
        <v>View</v>
      </c>
      <c r="P17674" s="7"/>
    </row>
    <row r="17675" spans="1:16">
      <c r="A17675" s="3">
        <v>44557.149016203708</v>
      </c>
      <c r="B17675" s="4" t="str">
        <f>HYPERLINK("https://twitter.com/petrogustavo","@petrogustavo")</f>
        <v>@petrogustavo</v>
      </c>
      <c r="C17675" s="5" t="s">
        <v>16</v>
      </c>
      <c r="D17675" s="5" t="s">
        <v>17013</v>
      </c>
      <c r="E17675" s="6" t="str">
        <f>HYPERLINK("https://twitter.com/petrogustavo/status/1475226059851374593","1475226059851374593")</f>
        <v>1475226059851374593</v>
      </c>
      <c r="F17675" s="7" t="s">
        <v>17</v>
      </c>
      <c r="G17675" s="7">
        <v>4436990</v>
      </c>
      <c r="H17675" s="7">
        <v>2585</v>
      </c>
      <c r="I17675" s="7">
        <v>310</v>
      </c>
      <c r="J17675" s="7">
        <v>0</v>
      </c>
      <c r="K17675" s="7" t="s">
        <v>18</v>
      </c>
      <c r="L17675" s="8">
        <v>39987.315405092595</v>
      </c>
      <c r="M17675" s="9" t="s">
        <v>19</v>
      </c>
      <c r="N17675" s="9" t="s">
        <v>20</v>
      </c>
      <c r="O17675" s="6" t="str">
        <f>HYPERLINK("https://pbs.twimg.com/profile_images/962471262747529216/Uo8lOkRJ_normal.jpg","View")</f>
        <v>View</v>
      </c>
      <c r="P17675" s="7"/>
    </row>
    <row r="17676" spans="1:16">
      <c r="A17676" s="3">
        <v>44557.149270833332</v>
      </c>
      <c r="B17676" s="4" t="str">
        <f>HYPERLINK("https://twitter.com/petrogustavo","@petrogustavo")</f>
        <v>@petrogustavo</v>
      </c>
      <c r="C17676" s="5" t="s">
        <v>16</v>
      </c>
      <c r="D17676" s="5" t="s">
        <v>17014</v>
      </c>
      <c r="E17676" s="6" t="str">
        <f>HYPERLINK("https://twitter.com/petrogustavo/status/1475226150318362629","1475226150318362629")</f>
        <v>1475226150318362629</v>
      </c>
      <c r="F17676" s="7" t="s">
        <v>17</v>
      </c>
      <c r="G17676" s="7">
        <v>4436990</v>
      </c>
      <c r="H17676" s="7">
        <v>2585</v>
      </c>
      <c r="I17676" s="7">
        <v>81</v>
      </c>
      <c r="J17676" s="7">
        <v>0</v>
      </c>
      <c r="K17676" s="7" t="s">
        <v>18</v>
      </c>
      <c r="L17676" s="8">
        <v>39987.315405092595</v>
      </c>
      <c r="M17676" s="9" t="s">
        <v>19</v>
      </c>
      <c r="N17676" s="9" t="s">
        <v>20</v>
      </c>
      <c r="O17676" s="6" t="str">
        <f>HYPERLINK("https://pbs.twimg.com/profile_images/962471262747529216/Uo8lOkRJ_normal.jpg","View")</f>
        <v>View</v>
      </c>
      <c r="P17676" s="7"/>
    </row>
    <row r="17677" spans="1:16">
      <c r="A17677" s="3">
        <v>44557.151956018519</v>
      </c>
      <c r="B17677" s="4" t="str">
        <f>HYPERLINK("https://twitter.com/petrogustavo","@petrogustavo")</f>
        <v>@petrogustavo</v>
      </c>
      <c r="C17677" s="5" t="s">
        <v>16</v>
      </c>
      <c r="D17677" s="5" t="s">
        <v>17015</v>
      </c>
      <c r="E17677" s="6" t="str">
        <f>HYPERLINK("https://twitter.com/petrogustavo/status/1475227126169223172","1475227126169223172")</f>
        <v>1475227126169223172</v>
      </c>
      <c r="F17677" s="7" t="s">
        <v>17</v>
      </c>
      <c r="G17677" s="7">
        <v>4436990</v>
      </c>
      <c r="H17677" s="7">
        <v>2585</v>
      </c>
      <c r="I17677" s="7">
        <v>279</v>
      </c>
      <c r="J17677" s="7">
        <v>701</v>
      </c>
      <c r="K17677" s="7" t="s">
        <v>18</v>
      </c>
      <c r="L17677" s="8">
        <v>39987.315405092595</v>
      </c>
      <c r="M17677" s="9" t="s">
        <v>19</v>
      </c>
      <c r="N17677" s="9" t="s">
        <v>20</v>
      </c>
      <c r="O17677" s="6" t="str">
        <f>HYPERLINK("https://pbs.twimg.com/profile_images/962471262747529216/Uo8lOkRJ_normal.jpg","View")</f>
        <v>View</v>
      </c>
      <c r="P17677" s="7"/>
    </row>
    <row r="17678" spans="1:16">
      <c r="A17678" s="3">
        <v>44557.789282407408</v>
      </c>
      <c r="B17678" s="4" t="str">
        <f>HYPERLINK("https://twitter.com/petrogustavo","@petrogustavo")</f>
        <v>@petrogustavo</v>
      </c>
      <c r="C17678" s="5" t="s">
        <v>16</v>
      </c>
      <c r="D17678" s="5" t="s">
        <v>17016</v>
      </c>
      <c r="E17678" s="6" t="str">
        <f>HYPERLINK("https://twitter.com/petrogustavo/status/1475458082562101256","1475458082562101256")</f>
        <v>1475458082562101256</v>
      </c>
      <c r="F17678" s="7" t="s">
        <v>17</v>
      </c>
      <c r="G17678" s="7">
        <v>4437422</v>
      </c>
      <c r="H17678" s="7">
        <v>2584</v>
      </c>
      <c r="I17678" s="7">
        <v>14</v>
      </c>
      <c r="J17678" s="7">
        <v>0</v>
      </c>
      <c r="K17678" s="7" t="s">
        <v>18</v>
      </c>
      <c r="L17678" s="8">
        <v>39987.315405092595</v>
      </c>
      <c r="M17678" s="9" t="s">
        <v>19</v>
      </c>
      <c r="N17678" s="9" t="s">
        <v>20</v>
      </c>
      <c r="O17678" s="6" t="str">
        <f>HYPERLINK("https://pbs.twimg.com/profile_images/962471262747529216/Uo8lOkRJ_normal.jpg","View")</f>
        <v>View</v>
      </c>
      <c r="P17678" s="7"/>
    </row>
    <row r="17679" spans="1:16">
      <c r="A17679" s="3">
        <v>44557.842708333337</v>
      </c>
      <c r="B17679" s="4" t="str">
        <f>HYPERLINK("https://twitter.com/petrogustavo","@petrogustavo")</f>
        <v>@petrogustavo</v>
      </c>
      <c r="C17679" s="5" t="s">
        <v>16</v>
      </c>
      <c r="D17679" s="5" t="s">
        <v>17017</v>
      </c>
      <c r="E17679" s="6" t="str">
        <f>HYPERLINK("https://twitter.com/petrogustavo/status/1475477444316516361","1475477444316516361")</f>
        <v>1475477444316516361</v>
      </c>
      <c r="F17679" s="7" t="s">
        <v>17</v>
      </c>
      <c r="G17679" s="7">
        <v>4437476</v>
      </c>
      <c r="H17679" s="7">
        <v>2584</v>
      </c>
      <c r="I17679" s="7">
        <v>2348</v>
      </c>
      <c r="J17679" s="7">
        <v>0</v>
      </c>
      <c r="K17679" s="7" t="s">
        <v>18</v>
      </c>
      <c r="L17679" s="8">
        <v>39987.315405092595</v>
      </c>
      <c r="M17679" s="9" t="s">
        <v>19</v>
      </c>
      <c r="N17679" s="9" t="s">
        <v>20</v>
      </c>
      <c r="O17679" s="6" t="str">
        <f>HYPERLINK("https://pbs.twimg.com/profile_images/962471262747529216/Uo8lOkRJ_normal.jpg","View")</f>
        <v>View</v>
      </c>
      <c r="P17679" s="7"/>
    </row>
    <row r="17680" spans="1:16">
      <c r="A17680" s="3">
        <v>44557.869999999995</v>
      </c>
      <c r="B17680" s="4" t="str">
        <f>HYPERLINK("https://twitter.com/petrogustavo","@petrogustavo")</f>
        <v>@petrogustavo</v>
      </c>
      <c r="C17680" s="5" t="s">
        <v>16</v>
      </c>
      <c r="D17680" s="5" t="s">
        <v>17018</v>
      </c>
      <c r="E17680" s="6" t="str">
        <f>HYPERLINK("https://twitter.com/petrogustavo/status/1475487335877955586","1475487335877955586")</f>
        <v>1475487335877955586</v>
      </c>
      <c r="F17680" s="7" t="s">
        <v>17</v>
      </c>
      <c r="G17680" s="7">
        <v>4437506</v>
      </c>
      <c r="H17680" s="7">
        <v>2584</v>
      </c>
      <c r="I17680" s="7">
        <v>26</v>
      </c>
      <c r="J17680" s="7">
        <v>0</v>
      </c>
      <c r="K17680" s="7" t="s">
        <v>18</v>
      </c>
      <c r="L17680" s="8">
        <v>39987.315405092595</v>
      </c>
      <c r="M17680" s="9" t="s">
        <v>19</v>
      </c>
      <c r="N17680" s="9" t="s">
        <v>20</v>
      </c>
      <c r="O17680" s="6" t="str">
        <f>HYPERLINK("https://pbs.twimg.com/profile_images/962471262747529216/Uo8lOkRJ_normal.jpg","View")</f>
        <v>View</v>
      </c>
      <c r="P17680" s="7"/>
    </row>
    <row r="17681" spans="1:16">
      <c r="A17681" s="3">
        <v>44557.885115740741</v>
      </c>
      <c r="B17681" s="4" t="str">
        <f>HYPERLINK("https://twitter.com/petrogustavo","@petrogustavo")</f>
        <v>@petrogustavo</v>
      </c>
      <c r="C17681" s="5" t="s">
        <v>16</v>
      </c>
      <c r="D17681" s="5" t="s">
        <v>17019</v>
      </c>
      <c r="E17681" s="6" t="str">
        <f>HYPERLINK("https://twitter.com/petrogustavo/status/1475492814142246923","1475492814142246923")</f>
        <v>1475492814142246923</v>
      </c>
      <c r="F17681" s="7" t="s">
        <v>17</v>
      </c>
      <c r="G17681" s="7">
        <v>4437522</v>
      </c>
      <c r="H17681" s="7">
        <v>2584</v>
      </c>
      <c r="I17681" s="7">
        <v>701</v>
      </c>
      <c r="J17681" s="7">
        <v>0</v>
      </c>
      <c r="K17681" s="7" t="s">
        <v>18</v>
      </c>
      <c r="L17681" s="8">
        <v>39987.315405092595</v>
      </c>
      <c r="M17681" s="9" t="s">
        <v>19</v>
      </c>
      <c r="N17681" s="9" t="s">
        <v>20</v>
      </c>
      <c r="O17681" s="6" t="str">
        <f>HYPERLINK("https://pbs.twimg.com/profile_images/962471262747529216/Uo8lOkRJ_normal.jpg","View")</f>
        <v>View</v>
      </c>
      <c r="P17681" s="7"/>
    </row>
    <row r="17682" spans="1:16">
      <c r="A17682" s="3">
        <v>44557.886215277773</v>
      </c>
      <c r="B17682" s="4" t="str">
        <f>HYPERLINK("https://twitter.com/petrogustavo","@petrogustavo")</f>
        <v>@petrogustavo</v>
      </c>
      <c r="C17682" s="5" t="s">
        <v>16</v>
      </c>
      <c r="D17682" s="5" t="s">
        <v>17020</v>
      </c>
      <c r="E17682" s="6" t="str">
        <f>HYPERLINK("https://twitter.com/petrogustavo/status/1475493212211056641","1475493212211056641")</f>
        <v>1475493212211056641</v>
      </c>
      <c r="F17682" s="7" t="s">
        <v>17</v>
      </c>
      <c r="G17682" s="7">
        <v>4437522</v>
      </c>
      <c r="H17682" s="7">
        <v>2584</v>
      </c>
      <c r="I17682" s="7">
        <v>141</v>
      </c>
      <c r="J17682" s="7">
        <v>431</v>
      </c>
      <c r="K17682" s="7" t="s">
        <v>18</v>
      </c>
      <c r="L17682" s="8">
        <v>39987.315405092595</v>
      </c>
      <c r="M17682" s="9" t="s">
        <v>19</v>
      </c>
      <c r="N17682" s="9" t="s">
        <v>20</v>
      </c>
      <c r="O17682" s="6" t="str">
        <f>HYPERLINK("https://pbs.twimg.com/profile_images/962471262747529216/Uo8lOkRJ_normal.jpg","View")</f>
        <v>View</v>
      </c>
      <c r="P17682" s="7"/>
    </row>
    <row r="17683" spans="1:16">
      <c r="A17683" s="3">
        <v>44557.897326388891</v>
      </c>
      <c r="B17683" s="4" t="str">
        <f>HYPERLINK("https://twitter.com/petrogustavo","@petrogustavo")</f>
        <v>@petrogustavo</v>
      </c>
      <c r="C17683" s="5" t="s">
        <v>16</v>
      </c>
      <c r="D17683" s="5" t="s">
        <v>17021</v>
      </c>
      <c r="E17683" s="6" t="str">
        <f>HYPERLINK("https://twitter.com/petrogustavo/status/1475497236054351877","1475497236054351877")</f>
        <v>1475497236054351877</v>
      </c>
      <c r="F17683" s="7" t="s">
        <v>17</v>
      </c>
      <c r="G17683" s="7">
        <v>4437522</v>
      </c>
      <c r="H17683" s="7">
        <v>2584</v>
      </c>
      <c r="I17683" s="7">
        <v>30</v>
      </c>
      <c r="J17683" s="7">
        <v>0</v>
      </c>
      <c r="K17683" s="7" t="s">
        <v>18</v>
      </c>
      <c r="L17683" s="8">
        <v>39987.315405092595</v>
      </c>
      <c r="M17683" s="9" t="s">
        <v>19</v>
      </c>
      <c r="N17683" s="9" t="s">
        <v>20</v>
      </c>
      <c r="O17683" s="6" t="str">
        <f>HYPERLINK("https://pbs.twimg.com/profile_images/962471262747529216/Uo8lOkRJ_normal.jpg","View")</f>
        <v>View</v>
      </c>
      <c r="P17683" s="7"/>
    </row>
    <row r="17684" spans="1:16">
      <c r="A17684" s="3">
        <v>44557.897569444445</v>
      </c>
      <c r="B17684" s="4" t="str">
        <f>HYPERLINK("https://twitter.com/petrogustavo","@petrogustavo")</f>
        <v>@petrogustavo</v>
      </c>
      <c r="C17684" s="5" t="s">
        <v>16</v>
      </c>
      <c r="D17684" s="5" t="s">
        <v>17022</v>
      </c>
      <c r="E17684" s="6" t="str">
        <f>HYPERLINK("https://twitter.com/petrogustavo/status/1475497326416384001","1475497326416384001")</f>
        <v>1475497326416384001</v>
      </c>
      <c r="F17684" s="7" t="s">
        <v>17</v>
      </c>
      <c r="G17684" s="7">
        <v>4437522</v>
      </c>
      <c r="H17684" s="7">
        <v>2584</v>
      </c>
      <c r="I17684" s="7">
        <v>6</v>
      </c>
      <c r="J17684" s="7">
        <v>0</v>
      </c>
      <c r="K17684" s="7" t="s">
        <v>18</v>
      </c>
      <c r="L17684" s="8">
        <v>39987.315405092595</v>
      </c>
      <c r="M17684" s="9" t="s">
        <v>19</v>
      </c>
      <c r="N17684" s="9" t="s">
        <v>20</v>
      </c>
      <c r="O17684" s="6" t="str">
        <f>HYPERLINK("https://pbs.twimg.com/profile_images/962471262747529216/Uo8lOkRJ_normal.jpg","View")</f>
        <v>View</v>
      </c>
      <c r="P17684" s="7"/>
    </row>
    <row r="17685" spans="1:16">
      <c r="A17685" s="3">
        <v>44557.897893518515</v>
      </c>
      <c r="B17685" s="4" t="str">
        <f>HYPERLINK("https://twitter.com/petrogustavo","@petrogustavo")</f>
        <v>@petrogustavo</v>
      </c>
      <c r="C17685" s="5" t="s">
        <v>16</v>
      </c>
      <c r="D17685" s="5" t="s">
        <v>17023</v>
      </c>
      <c r="E17685" s="6" t="str">
        <f>HYPERLINK("https://twitter.com/petrogustavo/status/1475497444964278277","1475497444964278277")</f>
        <v>1475497444964278277</v>
      </c>
      <c r="F17685" s="7" t="s">
        <v>17</v>
      </c>
      <c r="G17685" s="7">
        <v>4437522</v>
      </c>
      <c r="H17685" s="7">
        <v>2584</v>
      </c>
      <c r="I17685" s="7">
        <v>4</v>
      </c>
      <c r="J17685" s="7">
        <v>0</v>
      </c>
      <c r="K17685" s="7" t="s">
        <v>18</v>
      </c>
      <c r="L17685" s="8">
        <v>39987.315405092595</v>
      </c>
      <c r="M17685" s="9" t="s">
        <v>19</v>
      </c>
      <c r="N17685" s="9" t="s">
        <v>20</v>
      </c>
      <c r="O17685" s="6" t="str">
        <f>HYPERLINK("https://pbs.twimg.com/profile_images/962471262747529216/Uo8lOkRJ_normal.jpg","View")</f>
        <v>View</v>
      </c>
      <c r="P17685" s="7"/>
    </row>
    <row r="17686" spans="1:16">
      <c r="A17686" s="3">
        <v>44557.898136574076</v>
      </c>
      <c r="B17686" s="4" t="str">
        <f>HYPERLINK("https://twitter.com/petrogustavo","@petrogustavo")</f>
        <v>@petrogustavo</v>
      </c>
      <c r="C17686" s="5" t="s">
        <v>16</v>
      </c>
      <c r="D17686" s="5" t="s">
        <v>17024</v>
      </c>
      <c r="E17686" s="6" t="str">
        <f>HYPERLINK("https://twitter.com/petrogustavo/status/1475497532465766411","1475497532465766411")</f>
        <v>1475497532465766411</v>
      </c>
      <c r="F17686" s="7" t="s">
        <v>17</v>
      </c>
      <c r="G17686" s="7">
        <v>4437542</v>
      </c>
      <c r="H17686" s="7">
        <v>2584</v>
      </c>
      <c r="I17686" s="7">
        <v>31</v>
      </c>
      <c r="J17686" s="7">
        <v>0</v>
      </c>
      <c r="K17686" s="7" t="s">
        <v>18</v>
      </c>
      <c r="L17686" s="8">
        <v>39987.315405092595</v>
      </c>
      <c r="M17686" s="9" t="s">
        <v>19</v>
      </c>
      <c r="N17686" s="9" t="s">
        <v>20</v>
      </c>
      <c r="O17686" s="6" t="str">
        <f>HYPERLINK("https://pbs.twimg.com/profile_images/962471262747529216/Uo8lOkRJ_normal.jpg","View")</f>
        <v>View</v>
      </c>
      <c r="P17686" s="7"/>
    </row>
    <row r="17687" spans="1:16">
      <c r="A17687" s="3">
        <v>44558.057013888887</v>
      </c>
      <c r="B17687" s="4" t="str">
        <f>HYPERLINK("https://twitter.com/petrogustavo","@petrogustavo")</f>
        <v>@petrogustavo</v>
      </c>
      <c r="C17687" s="5" t="s">
        <v>16</v>
      </c>
      <c r="D17687" s="5" t="s">
        <v>17017</v>
      </c>
      <c r="E17687" s="6" t="str">
        <f>HYPERLINK("https://twitter.com/petrogustavo/status/1475555105269288968","1475555105269288968")</f>
        <v>1475555105269288968</v>
      </c>
      <c r="F17687" s="7" t="s">
        <v>17</v>
      </c>
      <c r="G17687" s="7">
        <v>4437686</v>
      </c>
      <c r="H17687" s="7">
        <v>2584</v>
      </c>
      <c r="I17687" s="7">
        <v>2592</v>
      </c>
      <c r="J17687" s="7">
        <v>0</v>
      </c>
      <c r="K17687" s="7" t="s">
        <v>18</v>
      </c>
      <c r="L17687" s="8">
        <v>39987.315405092595</v>
      </c>
      <c r="M17687" s="9" t="s">
        <v>19</v>
      </c>
      <c r="N17687" s="9" t="s">
        <v>20</v>
      </c>
      <c r="O17687" s="6" t="str">
        <f>HYPERLINK("https://pbs.twimg.com/profile_images/962471262747529216/Uo8lOkRJ_normal.jpg","View")</f>
        <v>View</v>
      </c>
      <c r="P17687" s="7"/>
    </row>
    <row r="17688" spans="1:16">
      <c r="A17688" s="3">
        <v>44558.235752314809</v>
      </c>
      <c r="B17688" s="4" t="str">
        <f>HYPERLINK("https://twitter.com/petrogustavo","@petrogustavo")</f>
        <v>@petrogustavo</v>
      </c>
      <c r="C17688" s="5" t="s">
        <v>16</v>
      </c>
      <c r="D17688" s="5" t="s">
        <v>17025</v>
      </c>
      <c r="E17688" s="6" t="str">
        <f>HYPERLINK("https://twitter.com/petrogustavo/status/1475619879474630668","1475619879474630668")</f>
        <v>1475619879474630668</v>
      </c>
      <c r="F17688" s="7" t="s">
        <v>17</v>
      </c>
      <c r="G17688" s="7">
        <v>4437867</v>
      </c>
      <c r="H17688" s="7">
        <v>2584</v>
      </c>
      <c r="I17688" s="7">
        <v>139</v>
      </c>
      <c r="J17688" s="7">
        <v>380</v>
      </c>
      <c r="K17688" s="7" t="s">
        <v>18</v>
      </c>
      <c r="L17688" s="8">
        <v>39987.315405092595</v>
      </c>
      <c r="M17688" s="9" t="s">
        <v>19</v>
      </c>
      <c r="N17688" s="9" t="s">
        <v>20</v>
      </c>
      <c r="O17688" s="6" t="str">
        <f>HYPERLINK("https://pbs.twimg.com/profile_images/962471262747529216/Uo8lOkRJ_normal.jpg","View")</f>
        <v>View</v>
      </c>
      <c r="P17688" s="7"/>
    </row>
    <row r="17689" spans="1:16">
      <c r="A17689" s="3">
        <v>44558.235763888893</v>
      </c>
      <c r="B17689" s="4" t="str">
        <f>HYPERLINK("https://twitter.com/petrogustavo","@petrogustavo")</f>
        <v>@petrogustavo</v>
      </c>
      <c r="C17689" s="5" t="s">
        <v>16</v>
      </c>
      <c r="D17689" s="5" t="s">
        <v>17026</v>
      </c>
      <c r="E17689" s="6" t="str">
        <f>HYPERLINK("https://twitter.com/petrogustavo/status/1475619881127190528","1475619881127190528")</f>
        <v>1475619881127190528</v>
      </c>
      <c r="F17689" s="7" t="s">
        <v>17</v>
      </c>
      <c r="G17689" s="7">
        <v>4437867</v>
      </c>
      <c r="H17689" s="7">
        <v>2584</v>
      </c>
      <c r="I17689" s="7">
        <v>66</v>
      </c>
      <c r="J17689" s="7">
        <v>238</v>
      </c>
      <c r="K17689" s="7" t="s">
        <v>18</v>
      </c>
      <c r="L17689" s="8">
        <v>39987.315405092595</v>
      </c>
      <c r="M17689" s="9" t="s">
        <v>19</v>
      </c>
      <c r="N17689" s="9" t="s">
        <v>20</v>
      </c>
      <c r="O17689" s="6" t="str">
        <f>HYPERLINK("https://pbs.twimg.com/profile_images/962471262747529216/Uo8lOkRJ_normal.jpg","View")</f>
        <v>View</v>
      </c>
      <c r="P17689" s="7"/>
    </row>
    <row r="17690" spans="1:16">
      <c r="A17690" s="3">
        <v>44558.235763888893</v>
      </c>
      <c r="B17690" s="4" t="str">
        <f>HYPERLINK("https://twitter.com/petrogustavo","@petrogustavo")</f>
        <v>@petrogustavo</v>
      </c>
      <c r="C17690" s="5" t="s">
        <v>16</v>
      </c>
      <c r="D17690" s="5" t="s">
        <v>17027</v>
      </c>
      <c r="E17690" s="6" t="str">
        <f>HYPERLINK("https://twitter.com/petrogustavo/status/1475619883224530946","1475619883224530946")</f>
        <v>1475619883224530946</v>
      </c>
      <c r="F17690" s="7" t="s">
        <v>17</v>
      </c>
      <c r="G17690" s="7">
        <v>4437867</v>
      </c>
      <c r="H17690" s="7">
        <v>2584</v>
      </c>
      <c r="I17690" s="7">
        <v>72</v>
      </c>
      <c r="J17690" s="7">
        <v>266</v>
      </c>
      <c r="K17690" s="7" t="s">
        <v>18</v>
      </c>
      <c r="L17690" s="8">
        <v>39987.315405092595</v>
      </c>
      <c r="M17690" s="9" t="s">
        <v>19</v>
      </c>
      <c r="N17690" s="9" t="s">
        <v>20</v>
      </c>
      <c r="O17690" s="6" t="str">
        <f>HYPERLINK("https://pbs.twimg.com/profile_images/962471262747529216/Uo8lOkRJ_normal.jpg","View")</f>
        <v>View</v>
      </c>
      <c r="P17690" s="7"/>
    </row>
    <row r="17691" spans="1:16">
      <c r="A17691" s="3">
        <v>44558.253252314811</v>
      </c>
      <c r="B17691" s="4" t="str">
        <f>HYPERLINK("https://twitter.com/petrogustavo","@petrogustavo")</f>
        <v>@petrogustavo</v>
      </c>
      <c r="C17691" s="5" t="s">
        <v>16</v>
      </c>
      <c r="D17691" s="5" t="s">
        <v>17028</v>
      </c>
      <c r="E17691" s="6" t="str">
        <f>HYPERLINK("https://twitter.com/petrogustavo/status/1475626222298271746","1475626222298271746")</f>
        <v>1475626222298271746</v>
      </c>
      <c r="F17691" s="7" t="s">
        <v>17</v>
      </c>
      <c r="G17691" s="7">
        <v>4437894</v>
      </c>
      <c r="H17691" s="7">
        <v>2584</v>
      </c>
      <c r="I17691" s="7">
        <v>25</v>
      </c>
      <c r="J17691" s="7">
        <v>50</v>
      </c>
      <c r="K17691" s="7" t="s">
        <v>18</v>
      </c>
      <c r="L17691" s="8">
        <v>39987.315405092595</v>
      </c>
      <c r="M17691" s="9" t="s">
        <v>19</v>
      </c>
      <c r="N17691" s="9" t="s">
        <v>20</v>
      </c>
      <c r="O17691" s="6" t="str">
        <f>HYPERLINK("https://pbs.twimg.com/profile_images/962471262747529216/Uo8lOkRJ_normal.jpg","View")</f>
        <v>View</v>
      </c>
      <c r="P17691" s="7"/>
    </row>
    <row r="17692" spans="1:16">
      <c r="A17692" s="3">
        <v>44558.253263888888</v>
      </c>
      <c r="B17692" s="4" t="str">
        <f>HYPERLINK("https://twitter.com/petrogustavo","@petrogustavo")</f>
        <v>@petrogustavo</v>
      </c>
      <c r="C17692" s="5" t="s">
        <v>16</v>
      </c>
      <c r="D17692" s="5" t="s">
        <v>17029</v>
      </c>
      <c r="E17692" s="6" t="str">
        <f>HYPERLINK("https://twitter.com/petrogustavo/status/1475626223644647428","1475626223644647428")</f>
        <v>1475626223644647428</v>
      </c>
      <c r="F17692" s="7" t="s">
        <v>17</v>
      </c>
      <c r="G17692" s="7">
        <v>4437894</v>
      </c>
      <c r="H17692" s="7">
        <v>2584</v>
      </c>
      <c r="I17692" s="7">
        <v>56</v>
      </c>
      <c r="J17692" s="7">
        <v>149</v>
      </c>
      <c r="K17692" s="7" t="s">
        <v>18</v>
      </c>
      <c r="L17692" s="8">
        <v>39987.315405092595</v>
      </c>
      <c r="M17692" s="9" t="s">
        <v>19</v>
      </c>
      <c r="N17692" s="9" t="s">
        <v>20</v>
      </c>
      <c r="O17692" s="6" t="str">
        <f>HYPERLINK("https://pbs.twimg.com/profile_images/962471262747529216/Uo8lOkRJ_normal.jpg","View")</f>
        <v>View</v>
      </c>
      <c r="P17692" s="7"/>
    </row>
    <row r="17693" spans="1:16">
      <c r="A17693" s="3">
        <v>44558.253263888888</v>
      </c>
      <c r="B17693" s="4" t="str">
        <f>HYPERLINK("https://twitter.com/petrogustavo","@petrogustavo")</f>
        <v>@petrogustavo</v>
      </c>
      <c r="C17693" s="5" t="s">
        <v>16</v>
      </c>
      <c r="D17693" s="5" t="s">
        <v>17030</v>
      </c>
      <c r="E17693" s="6" t="str">
        <f>HYPERLINK("https://twitter.com/petrogustavo/status/1475626224861032450","1475626224861032450")</f>
        <v>1475626224861032450</v>
      </c>
      <c r="F17693" s="7" t="s">
        <v>17</v>
      </c>
      <c r="G17693" s="7">
        <v>4437894</v>
      </c>
      <c r="H17693" s="7">
        <v>2584</v>
      </c>
      <c r="I17693" s="7">
        <v>52</v>
      </c>
      <c r="J17693" s="7">
        <v>153</v>
      </c>
      <c r="K17693" s="7" t="s">
        <v>18</v>
      </c>
      <c r="L17693" s="8">
        <v>39987.315405092595</v>
      </c>
      <c r="M17693" s="9" t="s">
        <v>19</v>
      </c>
      <c r="N17693" s="9" t="s">
        <v>20</v>
      </c>
      <c r="O17693" s="6" t="str">
        <f>HYPERLINK("https://pbs.twimg.com/profile_images/962471262747529216/Uo8lOkRJ_normal.jpg","View")</f>
        <v>View</v>
      </c>
      <c r="P17693" s="7"/>
    </row>
    <row r="17694" spans="1:16">
      <c r="A17694" s="3">
        <v>44558.254583333328</v>
      </c>
      <c r="B17694" s="4" t="str">
        <f>HYPERLINK("https://twitter.com/petrogustavo","@petrogustavo")</f>
        <v>@petrogustavo</v>
      </c>
      <c r="C17694" s="5" t="s">
        <v>16</v>
      </c>
      <c r="D17694" s="5" t="s">
        <v>17031</v>
      </c>
      <c r="E17694" s="6" t="str">
        <f>HYPERLINK("https://twitter.com/petrogustavo/status/1475626703498133515","1475626703498133515")</f>
        <v>1475626703498133515</v>
      </c>
      <c r="F17694" s="7" t="s">
        <v>17</v>
      </c>
      <c r="G17694" s="7">
        <v>4437894</v>
      </c>
      <c r="H17694" s="7">
        <v>2584</v>
      </c>
      <c r="I17694" s="7">
        <v>251</v>
      </c>
      <c r="J17694" s="7">
        <v>0</v>
      </c>
      <c r="K17694" s="7" t="s">
        <v>18</v>
      </c>
      <c r="L17694" s="8">
        <v>39987.315405092595</v>
      </c>
      <c r="M17694" s="9" t="s">
        <v>19</v>
      </c>
      <c r="N17694" s="9" t="s">
        <v>20</v>
      </c>
      <c r="O17694" s="6" t="str">
        <f>HYPERLINK("https://pbs.twimg.com/profile_images/962471262747529216/Uo8lOkRJ_normal.jpg","View")</f>
        <v>View</v>
      </c>
      <c r="P17694" s="7"/>
    </row>
    <row r="17695" spans="1:16">
      <c r="A17695" s="3">
        <v>44558.838865740741</v>
      </c>
      <c r="B17695" s="4" t="str">
        <f>HYPERLINK("https://twitter.com/petrogustavo","@petrogustavo")</f>
        <v>@petrogustavo</v>
      </c>
      <c r="C17695" s="5" t="s">
        <v>16</v>
      </c>
      <c r="D17695" s="5" t="s">
        <v>17032</v>
      </c>
      <c r="E17695" s="6" t="str">
        <f>HYPERLINK("https://twitter.com/petrogustavo/status/1475838438859587591","1475838438859587591")</f>
        <v>1475838438859587591</v>
      </c>
      <c r="F17695" s="7" t="s">
        <v>17</v>
      </c>
      <c r="G17695" s="7">
        <v>4438335</v>
      </c>
      <c r="H17695" s="7">
        <v>2584</v>
      </c>
      <c r="I17695" s="7">
        <v>79</v>
      </c>
      <c r="J17695" s="7">
        <v>236</v>
      </c>
      <c r="K17695" s="7" t="s">
        <v>18</v>
      </c>
      <c r="L17695" s="8">
        <v>39987.315405092595</v>
      </c>
      <c r="M17695" s="9" t="s">
        <v>19</v>
      </c>
      <c r="N17695" s="9" t="s">
        <v>20</v>
      </c>
      <c r="O17695" s="6" t="str">
        <f>HYPERLINK("https://pbs.twimg.com/profile_images/962471262747529216/Uo8lOkRJ_normal.jpg","View")</f>
        <v>View</v>
      </c>
      <c r="P17695" s="7"/>
    </row>
    <row r="17696" spans="1:16">
      <c r="A17696" s="3">
        <v>44558.881215277783</v>
      </c>
      <c r="B17696" s="4" t="str">
        <f>HYPERLINK("https://twitter.com/petrogustavo","@petrogustavo")</f>
        <v>@petrogustavo</v>
      </c>
      <c r="C17696" s="5" t="s">
        <v>16</v>
      </c>
      <c r="D17696" s="5" t="s">
        <v>17033</v>
      </c>
      <c r="E17696" s="6" t="str">
        <f>HYPERLINK("https://twitter.com/petrogustavo/status/1475853785452978178","1475853785452978178")</f>
        <v>1475853785452978178</v>
      </c>
      <c r="F17696" s="7" t="s">
        <v>17</v>
      </c>
      <c r="G17696" s="7">
        <v>4438381</v>
      </c>
      <c r="H17696" s="7">
        <v>2584</v>
      </c>
      <c r="I17696" s="7">
        <v>100</v>
      </c>
      <c r="J17696" s="7">
        <v>254</v>
      </c>
      <c r="K17696" s="7" t="s">
        <v>18</v>
      </c>
      <c r="L17696" s="8">
        <v>39987.315405092595</v>
      </c>
      <c r="M17696" s="9" t="s">
        <v>19</v>
      </c>
      <c r="N17696" s="9" t="s">
        <v>20</v>
      </c>
      <c r="O17696" s="6" t="str">
        <f>HYPERLINK("https://pbs.twimg.com/profile_images/962471262747529216/Uo8lOkRJ_normal.jpg","View")</f>
        <v>View</v>
      </c>
      <c r="P17696" s="7"/>
    </row>
    <row r="17697" spans="1:16">
      <c r="A17697" s="3">
        <v>44558.881215277783</v>
      </c>
      <c r="B17697" s="4" t="str">
        <f>HYPERLINK("https://twitter.com/petrogustavo","@petrogustavo")</f>
        <v>@petrogustavo</v>
      </c>
      <c r="C17697" s="5" t="s">
        <v>16</v>
      </c>
      <c r="D17697" s="5" t="s">
        <v>17034</v>
      </c>
      <c r="E17697" s="6" t="str">
        <f>HYPERLINK("https://twitter.com/petrogustavo/status/1475853787285929992","1475853787285929992")</f>
        <v>1475853787285929992</v>
      </c>
      <c r="F17697" s="7" t="s">
        <v>17</v>
      </c>
      <c r="G17697" s="7">
        <v>4438381</v>
      </c>
      <c r="H17697" s="7">
        <v>2584</v>
      </c>
      <c r="I17697" s="7">
        <v>68</v>
      </c>
      <c r="J17697" s="7">
        <v>187</v>
      </c>
      <c r="K17697" s="7" t="s">
        <v>18</v>
      </c>
      <c r="L17697" s="8">
        <v>39987.315405092595</v>
      </c>
      <c r="M17697" s="9" t="s">
        <v>19</v>
      </c>
      <c r="N17697" s="9" t="s">
        <v>20</v>
      </c>
      <c r="O17697" s="6" t="str">
        <f>HYPERLINK("https://pbs.twimg.com/profile_images/962471262747529216/Uo8lOkRJ_normal.jpg","View")</f>
        <v>View</v>
      </c>
      <c r="P17697" s="7"/>
    </row>
    <row r="17698" spans="1:16">
      <c r="A17698" s="3">
        <v>44558.935787037037</v>
      </c>
      <c r="B17698" s="4" t="str">
        <f>HYPERLINK("https://twitter.com/petrogustavo","@petrogustavo")</f>
        <v>@petrogustavo</v>
      </c>
      <c r="C17698" s="5" t="s">
        <v>16</v>
      </c>
      <c r="D17698" s="5" t="s">
        <v>17035</v>
      </c>
      <c r="E17698" s="6" t="str">
        <f>HYPERLINK("https://twitter.com/petrogustavo/status/1475873564976947208","1475873564976947208")</f>
        <v>1475873564976947208</v>
      </c>
      <c r="F17698" s="7" t="s">
        <v>17</v>
      </c>
      <c r="G17698" s="7">
        <v>4438470</v>
      </c>
      <c r="H17698" s="7">
        <v>2584</v>
      </c>
      <c r="I17698" s="7">
        <v>122</v>
      </c>
      <c r="J17698" s="7">
        <v>379</v>
      </c>
      <c r="K17698" s="7" t="s">
        <v>18</v>
      </c>
      <c r="L17698" s="8">
        <v>39987.315405092595</v>
      </c>
      <c r="M17698" s="9" t="s">
        <v>19</v>
      </c>
      <c r="N17698" s="9" t="s">
        <v>20</v>
      </c>
      <c r="O17698" s="6" t="str">
        <f>HYPERLINK("https://pbs.twimg.com/profile_images/962471262747529216/Uo8lOkRJ_normal.jpg","View")</f>
        <v>View</v>
      </c>
      <c r="P17698" s="7"/>
    </row>
    <row r="17699" spans="1:16">
      <c r="A17699" s="3">
        <v>44558.983194444445</v>
      </c>
      <c r="B17699" s="4" t="str">
        <f>HYPERLINK("https://twitter.com/petrogustavo","@petrogustavo")</f>
        <v>@petrogustavo</v>
      </c>
      <c r="C17699" s="5" t="s">
        <v>16</v>
      </c>
      <c r="D17699" s="5" t="s">
        <v>17036</v>
      </c>
      <c r="E17699" s="6" t="str">
        <f>HYPERLINK("https://twitter.com/petrogustavo/status/1475890744955187203","1475890744955187203")</f>
        <v>1475890744955187203</v>
      </c>
      <c r="F17699" s="7" t="s">
        <v>17</v>
      </c>
      <c r="G17699" s="7">
        <v>4438524</v>
      </c>
      <c r="H17699" s="7">
        <v>2586</v>
      </c>
      <c r="I17699" s="7">
        <v>69</v>
      </c>
      <c r="J17699" s="7">
        <v>244</v>
      </c>
      <c r="K17699" s="7" t="s">
        <v>18</v>
      </c>
      <c r="L17699" s="8">
        <v>39987.315405092595</v>
      </c>
      <c r="M17699" s="9" t="s">
        <v>19</v>
      </c>
      <c r="N17699" s="9" t="s">
        <v>20</v>
      </c>
      <c r="O17699" s="6" t="str">
        <f>HYPERLINK("https://pbs.twimg.com/profile_images/962471262747529216/Uo8lOkRJ_normal.jpg","View")</f>
        <v>View</v>
      </c>
      <c r="P17699" s="7"/>
    </row>
    <row r="17700" spans="1:16">
      <c r="A17700" s="3">
        <v>44558.98841435185</v>
      </c>
      <c r="B17700" s="4" t="str">
        <f>HYPERLINK("https://twitter.com/petrogustavo","@petrogustavo")</f>
        <v>@petrogustavo</v>
      </c>
      <c r="C17700" s="5" t="s">
        <v>16</v>
      </c>
      <c r="D17700" s="5" t="s">
        <v>17037</v>
      </c>
      <c r="E17700" s="6" t="str">
        <f>HYPERLINK("https://twitter.com/petrogustavo/status/1475892634573209600","1475892634573209600")</f>
        <v>1475892634573209600</v>
      </c>
      <c r="F17700" s="7" t="s">
        <v>17</v>
      </c>
      <c r="G17700" s="7">
        <v>4438524</v>
      </c>
      <c r="H17700" s="7">
        <v>2586</v>
      </c>
      <c r="I17700" s="7">
        <v>9</v>
      </c>
      <c r="J17700" s="7">
        <v>0</v>
      </c>
      <c r="K17700" s="7" t="s">
        <v>18</v>
      </c>
      <c r="L17700" s="8">
        <v>39987.315405092595</v>
      </c>
      <c r="M17700" s="9" t="s">
        <v>19</v>
      </c>
      <c r="N17700" s="9" t="s">
        <v>20</v>
      </c>
      <c r="O17700" s="6" t="str">
        <f>HYPERLINK("https://pbs.twimg.com/profile_images/962471262747529216/Uo8lOkRJ_normal.jpg","View")</f>
        <v>View</v>
      </c>
      <c r="P17700" s="7"/>
    </row>
    <row r="17701" spans="1:16">
      <c r="A17701" s="3">
        <v>44558.996550925927</v>
      </c>
      <c r="B17701" s="4" t="str">
        <f>HYPERLINK("https://twitter.com/petrogustavo","@petrogustavo")</f>
        <v>@petrogustavo</v>
      </c>
      <c r="C17701" s="5" t="s">
        <v>16</v>
      </c>
      <c r="D17701" s="5" t="s">
        <v>17038</v>
      </c>
      <c r="E17701" s="6" t="str">
        <f>HYPERLINK("https://twitter.com/petrogustavo/status/1475895584615813129","1475895584615813129")</f>
        <v>1475895584615813129</v>
      </c>
      <c r="F17701" s="7" t="s">
        <v>17</v>
      </c>
      <c r="G17701" s="7">
        <v>4438549</v>
      </c>
      <c r="H17701" s="7">
        <v>2586</v>
      </c>
      <c r="I17701" s="7">
        <v>165</v>
      </c>
      <c r="J17701" s="7">
        <v>0</v>
      </c>
      <c r="K17701" s="7" t="s">
        <v>18</v>
      </c>
      <c r="L17701" s="8">
        <v>39987.315405092595</v>
      </c>
      <c r="M17701" s="9" t="s">
        <v>19</v>
      </c>
      <c r="N17701" s="9" t="s">
        <v>20</v>
      </c>
      <c r="O17701" s="6" t="str">
        <f>HYPERLINK("https://pbs.twimg.com/profile_images/962471262747529216/Uo8lOkRJ_normal.jpg","View")</f>
        <v>View</v>
      </c>
      <c r="P17701" s="7"/>
    </row>
    <row r="17702" spans="1:16">
      <c r="A17702" s="3">
        <v>44558.999594907407</v>
      </c>
      <c r="B17702" s="4" t="str">
        <f>HYPERLINK("https://twitter.com/petrogustavo","@petrogustavo")</f>
        <v>@petrogustavo</v>
      </c>
      <c r="C17702" s="5" t="s">
        <v>16</v>
      </c>
      <c r="D17702" s="5" t="s">
        <v>17039</v>
      </c>
      <c r="E17702" s="6" t="str">
        <f>HYPERLINK("https://twitter.com/petrogustavo/status/1475896687680008194","1475896687680008194")</f>
        <v>1475896687680008194</v>
      </c>
      <c r="F17702" s="7" t="s">
        <v>17</v>
      </c>
      <c r="G17702" s="7">
        <v>4438549</v>
      </c>
      <c r="H17702" s="7">
        <v>2586</v>
      </c>
      <c r="I17702" s="7">
        <v>234</v>
      </c>
      <c r="J17702" s="7">
        <v>414</v>
      </c>
      <c r="K17702" s="7" t="s">
        <v>18</v>
      </c>
      <c r="L17702" s="8">
        <v>39987.315405092595</v>
      </c>
      <c r="M17702" s="9" t="s">
        <v>19</v>
      </c>
      <c r="N17702" s="9" t="s">
        <v>20</v>
      </c>
      <c r="O17702" s="6" t="str">
        <f>HYPERLINK("https://pbs.twimg.com/profile_images/962471262747529216/Uo8lOkRJ_normal.jpg","View")</f>
        <v>View</v>
      </c>
      <c r="P17702" s="7"/>
    </row>
    <row r="17703" spans="1:16">
      <c r="A17703" s="3">
        <v>44559.01829861111</v>
      </c>
      <c r="B17703" s="4" t="str">
        <f>HYPERLINK("https://twitter.com/petrogustavo","@petrogustavo")</f>
        <v>@petrogustavo</v>
      </c>
      <c r="C17703" s="5" t="s">
        <v>16</v>
      </c>
      <c r="D17703" s="5" t="s">
        <v>17040</v>
      </c>
      <c r="E17703" s="6" t="str">
        <f>HYPERLINK("https://twitter.com/petrogustavo/status/1475903462999273474","1475903462999273474")</f>
        <v>1475903462999273474</v>
      </c>
      <c r="F17703" s="7" t="s">
        <v>17</v>
      </c>
      <c r="G17703" s="7">
        <v>4438579</v>
      </c>
      <c r="H17703" s="7">
        <v>2586</v>
      </c>
      <c r="I17703" s="7">
        <v>359</v>
      </c>
      <c r="J17703" s="7">
        <v>0</v>
      </c>
      <c r="K17703" s="7" t="s">
        <v>18</v>
      </c>
      <c r="L17703" s="8">
        <v>39987.315405092595</v>
      </c>
      <c r="M17703" s="9" t="s">
        <v>19</v>
      </c>
      <c r="N17703" s="9" t="s">
        <v>20</v>
      </c>
      <c r="O17703" s="6" t="str">
        <f>HYPERLINK("https://pbs.twimg.com/profile_images/962471262747529216/Uo8lOkRJ_normal.jpg","View")</f>
        <v>View</v>
      </c>
      <c r="P17703" s="7"/>
    </row>
    <row r="17704" spans="1:16">
      <c r="A17704" s="3">
        <v>44559.129363425927</v>
      </c>
      <c r="B17704" s="4" t="str">
        <f>HYPERLINK("https://twitter.com/petrogustavo","@petrogustavo")</f>
        <v>@petrogustavo</v>
      </c>
      <c r="C17704" s="5" t="s">
        <v>16</v>
      </c>
      <c r="D17704" s="5" t="s">
        <v>17041</v>
      </c>
      <c r="E17704" s="6" t="str">
        <f>HYPERLINK("https://twitter.com/petrogustavo/status/1475943712329019398","1475943712329019398")</f>
        <v>1475943712329019398</v>
      </c>
      <c r="F17704" s="7" t="s">
        <v>17</v>
      </c>
      <c r="G17704" s="7">
        <v>4438669</v>
      </c>
      <c r="H17704" s="7">
        <v>2586</v>
      </c>
      <c r="I17704" s="7">
        <v>125</v>
      </c>
      <c r="J17704" s="7">
        <v>337</v>
      </c>
      <c r="K17704" s="7" t="s">
        <v>18</v>
      </c>
      <c r="L17704" s="8">
        <v>39987.315405092595</v>
      </c>
      <c r="M17704" s="9" t="s">
        <v>19</v>
      </c>
      <c r="N17704" s="9" t="s">
        <v>20</v>
      </c>
      <c r="O17704" s="6" t="str">
        <f>HYPERLINK("https://pbs.twimg.com/profile_images/962471262747529216/Uo8lOkRJ_normal.jpg","View")</f>
        <v>View</v>
      </c>
      <c r="P17704" s="7"/>
    </row>
    <row r="17705" spans="1:16">
      <c r="A17705" s="3">
        <v>44559.839768518519</v>
      </c>
      <c r="B17705" s="4" t="str">
        <f>HYPERLINK("https://twitter.com/petrogustavo","@petrogustavo")</f>
        <v>@petrogustavo</v>
      </c>
      <c r="C17705" s="5" t="s">
        <v>16</v>
      </c>
      <c r="D17705" s="5" t="s">
        <v>17042</v>
      </c>
      <c r="E17705" s="6" t="str">
        <f>HYPERLINK("https://twitter.com/petrogustavo/status/1476201156594520065","1476201156594520065")</f>
        <v>1476201156594520065</v>
      </c>
      <c r="F17705" s="7" t="s">
        <v>17</v>
      </c>
      <c r="G17705" s="7">
        <v>4439363</v>
      </c>
      <c r="H17705" s="7">
        <v>2586</v>
      </c>
      <c r="I17705" s="7">
        <v>67</v>
      </c>
      <c r="J17705" s="7">
        <v>262</v>
      </c>
      <c r="K17705" s="7" t="s">
        <v>18</v>
      </c>
      <c r="L17705" s="8">
        <v>39987.315405092595</v>
      </c>
      <c r="M17705" s="9" t="s">
        <v>19</v>
      </c>
      <c r="N17705" s="9" t="s">
        <v>20</v>
      </c>
      <c r="O17705" s="6" t="str">
        <f>HYPERLINK("https://pbs.twimg.com/profile_images/962471262747529216/Uo8lOkRJ_normal.jpg","View")</f>
        <v>View</v>
      </c>
      <c r="P17705" s="7"/>
    </row>
    <row r="17706" spans="1:16">
      <c r="A17706" s="3">
        <v>44560.060150462959</v>
      </c>
      <c r="B17706" s="4" t="str">
        <f>HYPERLINK("https://twitter.com/petrogustavo","@petrogustavo")</f>
        <v>@petrogustavo</v>
      </c>
      <c r="C17706" s="5" t="s">
        <v>16</v>
      </c>
      <c r="D17706" s="5" t="s">
        <v>17043</v>
      </c>
      <c r="E17706" s="6" t="str">
        <f>HYPERLINK("https://twitter.com/petrogustavo/status/1476281020580306946","1476281020580306946")</f>
        <v>1476281020580306946</v>
      </c>
      <c r="F17706" s="7" t="s">
        <v>17</v>
      </c>
      <c r="G17706" s="7">
        <v>4439503</v>
      </c>
      <c r="H17706" s="7">
        <v>2586</v>
      </c>
      <c r="I17706" s="7">
        <v>348</v>
      </c>
      <c r="J17706" s="7">
        <v>1065</v>
      </c>
      <c r="K17706" s="7" t="s">
        <v>18</v>
      </c>
      <c r="L17706" s="8">
        <v>39987.315405092595</v>
      </c>
      <c r="M17706" s="9" t="s">
        <v>19</v>
      </c>
      <c r="N17706" s="9" t="s">
        <v>20</v>
      </c>
      <c r="O17706" s="6" t="str">
        <f>HYPERLINK("https://pbs.twimg.com/profile_images/962471262747529216/Uo8lOkRJ_normal.jpg","View")</f>
        <v>View</v>
      </c>
      <c r="P17706" s="7"/>
    </row>
    <row r="17707" spans="1:16">
      <c r="A17707" s="3">
        <v>44560.060162037036</v>
      </c>
      <c r="B17707" s="4" t="str">
        <f>HYPERLINK("https://twitter.com/petrogustavo","@petrogustavo")</f>
        <v>@petrogustavo</v>
      </c>
      <c r="C17707" s="5" t="s">
        <v>16</v>
      </c>
      <c r="D17707" s="5" t="s">
        <v>17044</v>
      </c>
      <c r="E17707" s="6" t="str">
        <f>HYPERLINK("https://twitter.com/petrogustavo/status/1476281022488666123","1476281022488666123")</f>
        <v>1476281022488666123</v>
      </c>
      <c r="F17707" s="7" t="s">
        <v>17</v>
      </c>
      <c r="G17707" s="7">
        <v>4439503</v>
      </c>
      <c r="H17707" s="7">
        <v>2586</v>
      </c>
      <c r="I17707" s="7">
        <v>158</v>
      </c>
      <c r="J17707" s="7">
        <v>618</v>
      </c>
      <c r="K17707" s="7" t="s">
        <v>18</v>
      </c>
      <c r="L17707" s="8">
        <v>39987.315405092595</v>
      </c>
      <c r="M17707" s="9" t="s">
        <v>19</v>
      </c>
      <c r="N17707" s="9" t="s">
        <v>20</v>
      </c>
      <c r="O17707" s="6" t="str">
        <f>HYPERLINK("https://pbs.twimg.com/profile_images/962471262747529216/Uo8lOkRJ_normal.jpg","View")</f>
        <v>View</v>
      </c>
      <c r="P17707" s="7"/>
    </row>
    <row r="17708" spans="1:16">
      <c r="A17708" s="3">
        <v>44560.076851851853</v>
      </c>
      <c r="B17708" s="4" t="str">
        <f>HYPERLINK("https://twitter.com/petrogustavo","@petrogustavo")</f>
        <v>@petrogustavo</v>
      </c>
      <c r="C17708" s="5" t="s">
        <v>16</v>
      </c>
      <c r="D17708" s="5" t="s">
        <v>17045</v>
      </c>
      <c r="E17708" s="6" t="str">
        <f>HYPERLINK("https://twitter.com/petrogustavo/status/1476287072126357506","1476287072126357506")</f>
        <v>1476287072126357506</v>
      </c>
      <c r="F17708" s="7" t="s">
        <v>17</v>
      </c>
      <c r="G17708" s="7">
        <v>4439534</v>
      </c>
      <c r="H17708" s="7">
        <v>2586</v>
      </c>
      <c r="I17708" s="7">
        <v>288</v>
      </c>
      <c r="J17708" s="7">
        <v>890</v>
      </c>
      <c r="K17708" s="7" t="s">
        <v>18</v>
      </c>
      <c r="L17708" s="8">
        <v>39987.315405092595</v>
      </c>
      <c r="M17708" s="9" t="s">
        <v>19</v>
      </c>
      <c r="N17708" s="9" t="s">
        <v>20</v>
      </c>
      <c r="O17708" s="6" t="str">
        <f>HYPERLINK("https://pbs.twimg.com/profile_images/962471262747529216/Uo8lOkRJ_normal.jpg","View")</f>
        <v>View</v>
      </c>
      <c r="P17708" s="7"/>
    </row>
    <row r="17709" spans="1:16">
      <c r="A17709" s="3">
        <v>44560.076863425929</v>
      </c>
      <c r="B17709" s="4" t="str">
        <f>HYPERLINK("https://twitter.com/petrogustavo","@petrogustavo")</f>
        <v>@petrogustavo</v>
      </c>
      <c r="C17709" s="5" t="s">
        <v>16</v>
      </c>
      <c r="D17709" s="5" t="s">
        <v>17046</v>
      </c>
      <c r="E17709" s="6" t="str">
        <f>HYPERLINK("https://twitter.com/petrogustavo/status/1476287073984421900","1476287073984421900")</f>
        <v>1476287073984421900</v>
      </c>
      <c r="F17709" s="7" t="s">
        <v>17</v>
      </c>
      <c r="G17709" s="7">
        <v>4439534</v>
      </c>
      <c r="H17709" s="7">
        <v>2586</v>
      </c>
      <c r="I17709" s="7">
        <v>377</v>
      </c>
      <c r="J17709" s="7">
        <v>1276</v>
      </c>
      <c r="K17709" s="7" t="s">
        <v>18</v>
      </c>
      <c r="L17709" s="8">
        <v>39987.315405092595</v>
      </c>
      <c r="M17709" s="9" t="s">
        <v>19</v>
      </c>
      <c r="N17709" s="9" t="s">
        <v>20</v>
      </c>
      <c r="O17709" s="6" t="str">
        <f>HYPERLINK("https://pbs.twimg.com/profile_images/962471262747529216/Uo8lOkRJ_normal.jpg","View")</f>
        <v>View</v>
      </c>
      <c r="P17709" s="7"/>
    </row>
    <row r="17710" spans="1:16">
      <c r="A17710" s="3">
        <v>44560.163634259261</v>
      </c>
      <c r="B17710" s="4" t="str">
        <f>HYPERLINK("https://twitter.com/petrogustavo","@petrogustavo")</f>
        <v>@petrogustavo</v>
      </c>
      <c r="C17710" s="5" t="s">
        <v>16</v>
      </c>
      <c r="D17710" s="5" t="s">
        <v>17047</v>
      </c>
      <c r="E17710" s="6" t="str">
        <f>HYPERLINK("https://twitter.com/petrogustavo/status/1476318518069112837","1476318518069112837")</f>
        <v>1476318518069112837</v>
      </c>
      <c r="F17710" s="7" t="s">
        <v>32</v>
      </c>
      <c r="G17710" s="7">
        <v>4439592</v>
      </c>
      <c r="H17710" s="7">
        <v>2586</v>
      </c>
      <c r="I17710" s="7">
        <v>1371</v>
      </c>
      <c r="J17710" s="7">
        <v>0</v>
      </c>
      <c r="K17710" s="7" t="s">
        <v>18</v>
      </c>
      <c r="L17710" s="8">
        <v>39987.315405092595</v>
      </c>
      <c r="M17710" s="9" t="s">
        <v>19</v>
      </c>
      <c r="N17710" s="9" t="s">
        <v>20</v>
      </c>
      <c r="O17710" s="6" t="str">
        <f>HYPERLINK("https://pbs.twimg.com/profile_images/962471262747529216/Uo8lOkRJ_normal.jpg","View")</f>
        <v>View</v>
      </c>
      <c r="P17710" s="7"/>
    </row>
    <row r="17711" spans="1:16">
      <c r="A17711" s="3">
        <v>44560.657152777778</v>
      </c>
      <c r="B17711" s="4" t="str">
        <f>HYPERLINK("https://twitter.com/petrogustavo","@petrogustavo")</f>
        <v>@petrogustavo</v>
      </c>
      <c r="C17711" s="5" t="s">
        <v>16</v>
      </c>
      <c r="D17711" s="5" t="s">
        <v>17048</v>
      </c>
      <c r="E17711" s="6" t="str">
        <f>HYPERLINK("https://twitter.com/petrogustavo/status/1476497364852482048","1476497364852482048")</f>
        <v>1476497364852482048</v>
      </c>
      <c r="F17711" s="7" t="s">
        <v>17</v>
      </c>
      <c r="G17711" s="7">
        <v>4439913</v>
      </c>
      <c r="H17711" s="7">
        <v>2586</v>
      </c>
      <c r="I17711" s="7">
        <v>63</v>
      </c>
      <c r="J17711" s="7">
        <v>108</v>
      </c>
      <c r="K17711" s="7" t="s">
        <v>18</v>
      </c>
      <c r="L17711" s="8">
        <v>39987.315405092595</v>
      </c>
      <c r="M17711" s="9" t="s">
        <v>19</v>
      </c>
      <c r="N17711" s="9" t="s">
        <v>20</v>
      </c>
      <c r="O17711" s="6" t="str">
        <f>HYPERLINK("https://pbs.twimg.com/profile_images/962471262747529216/Uo8lOkRJ_normal.jpg","View")</f>
        <v>View</v>
      </c>
      <c r="P17711" s="7"/>
    </row>
    <row r="17712" spans="1:16">
      <c r="A17712" s="3">
        <v>44560.657164351855</v>
      </c>
      <c r="B17712" s="4" t="str">
        <f>HYPERLINK("https://twitter.com/petrogustavo","@petrogustavo")</f>
        <v>@petrogustavo</v>
      </c>
      <c r="C17712" s="5" t="s">
        <v>16</v>
      </c>
      <c r="D17712" s="5" t="s">
        <v>17049</v>
      </c>
      <c r="E17712" s="6" t="str">
        <f>HYPERLINK("https://twitter.com/petrogustavo/status/1476497367843094533","1476497367843094533")</f>
        <v>1476497367843094533</v>
      </c>
      <c r="F17712" s="7" t="s">
        <v>17</v>
      </c>
      <c r="G17712" s="7">
        <v>4439913</v>
      </c>
      <c r="H17712" s="7">
        <v>2586</v>
      </c>
      <c r="I17712" s="7">
        <v>40</v>
      </c>
      <c r="J17712" s="7">
        <v>89</v>
      </c>
      <c r="K17712" s="7" t="s">
        <v>18</v>
      </c>
      <c r="L17712" s="8">
        <v>39987.315405092595</v>
      </c>
      <c r="M17712" s="9" t="s">
        <v>19</v>
      </c>
      <c r="N17712" s="9" t="s">
        <v>20</v>
      </c>
      <c r="O17712" s="6" t="str">
        <f>HYPERLINK("https://pbs.twimg.com/profile_images/962471262747529216/Uo8lOkRJ_normal.jpg","View")</f>
        <v>View</v>
      </c>
      <c r="P17712" s="7"/>
    </row>
    <row r="17713" spans="1:16">
      <c r="A17713" s="3">
        <v>44560.860578703709</v>
      </c>
      <c r="B17713" s="4" t="str">
        <f>HYPERLINK("https://twitter.com/petrogustavo","@petrogustavo")</f>
        <v>@petrogustavo</v>
      </c>
      <c r="C17713" s="5" t="s">
        <v>16</v>
      </c>
      <c r="D17713" s="5" t="s">
        <v>17050</v>
      </c>
      <c r="E17713" s="6" t="str">
        <f>HYPERLINK("https://twitter.com/petrogustavo/status/1476571082438201347","1476571082438201347")</f>
        <v>1476571082438201347</v>
      </c>
      <c r="F17713" s="7" t="s">
        <v>17</v>
      </c>
      <c r="G17713" s="7">
        <v>4440068</v>
      </c>
      <c r="H17713" s="7">
        <v>2586</v>
      </c>
      <c r="I17713" s="7">
        <v>1332</v>
      </c>
      <c r="J17713" s="7">
        <v>0</v>
      </c>
      <c r="K17713" s="7" t="s">
        <v>18</v>
      </c>
      <c r="L17713" s="8">
        <v>39987.315405092595</v>
      </c>
      <c r="M17713" s="9" t="s">
        <v>19</v>
      </c>
      <c r="N17713" s="9" t="s">
        <v>20</v>
      </c>
      <c r="O17713" s="6" t="str">
        <f>HYPERLINK("https://pbs.twimg.com/profile_images/962471262747529216/Uo8lOkRJ_normal.jpg","View")</f>
        <v>View</v>
      </c>
      <c r="P17713" s="7"/>
    </row>
    <row r="17714" spans="1:16">
      <c r="A17714" s="3">
        <v>44561.031944444447</v>
      </c>
      <c r="B17714" s="4" t="str">
        <f>HYPERLINK("https://twitter.com/petrogustavo","@petrogustavo")</f>
        <v>@petrogustavo</v>
      </c>
      <c r="C17714" s="5" t="s">
        <v>16</v>
      </c>
      <c r="D17714" s="5" t="s">
        <v>17051</v>
      </c>
      <c r="E17714" s="6" t="str">
        <f>HYPERLINK("https://twitter.com/petrogustavo/status/1476633185320673280","1476633185320673280")</f>
        <v>1476633185320673280</v>
      </c>
      <c r="F17714" s="7" t="s">
        <v>17</v>
      </c>
      <c r="G17714" s="7">
        <v>4440198</v>
      </c>
      <c r="H17714" s="7">
        <v>2587</v>
      </c>
      <c r="I17714" s="7">
        <v>358</v>
      </c>
      <c r="J17714" s="7">
        <v>996</v>
      </c>
      <c r="K17714" s="7" t="s">
        <v>18</v>
      </c>
      <c r="L17714" s="8">
        <v>39987.315405092595</v>
      </c>
      <c r="M17714" s="9" t="s">
        <v>19</v>
      </c>
      <c r="N17714" s="9" t="s">
        <v>20</v>
      </c>
      <c r="O17714" s="6" t="str">
        <f>HYPERLINK("https://pbs.twimg.com/profile_images/962471262747529216/Uo8lOkRJ_normal.jpg","View")</f>
        <v>View</v>
      </c>
      <c r="P17714" s="7"/>
    </row>
    <row r="17715" spans="1:16">
      <c r="A17715" s="3">
        <v>44561.111284722225</v>
      </c>
      <c r="B17715" s="4" t="str">
        <f>HYPERLINK("https://twitter.com/petrogustavo","@petrogustavo")</f>
        <v>@petrogustavo</v>
      </c>
      <c r="C17715" s="5" t="s">
        <v>16</v>
      </c>
      <c r="D17715" s="5" t="s">
        <v>17052</v>
      </c>
      <c r="E17715" s="6" t="str">
        <f>HYPERLINK("https://twitter.com/petrogustavo/status/1476661938167889924","1476661938167889924")</f>
        <v>1476661938167889924</v>
      </c>
      <c r="F17715" s="7" t="s">
        <v>17</v>
      </c>
      <c r="G17715" s="7">
        <v>4440258</v>
      </c>
      <c r="H17715" s="7">
        <v>2587</v>
      </c>
      <c r="I17715" s="7">
        <v>194</v>
      </c>
      <c r="J17715" s="7">
        <v>585</v>
      </c>
      <c r="K17715" s="7" t="s">
        <v>18</v>
      </c>
      <c r="L17715" s="8">
        <v>39987.315405092595</v>
      </c>
      <c r="M17715" s="9" t="s">
        <v>19</v>
      </c>
      <c r="N17715" s="9" t="s">
        <v>20</v>
      </c>
      <c r="O17715" s="6" t="str">
        <f>HYPERLINK("https://pbs.twimg.com/profile_images/962471262747529216/Uo8lOkRJ_normal.jpg","View")</f>
        <v>View</v>
      </c>
      <c r="P17715" s="7"/>
    </row>
    <row r="17716" spans="1:16">
      <c r="A17716" s="3">
        <v>44561.656712962962</v>
      </c>
      <c r="B17716" s="4" t="str">
        <f>HYPERLINK("https://twitter.com/petrogustavo","@petrogustavo")</f>
        <v>@petrogustavo</v>
      </c>
      <c r="C17716" s="5" t="s">
        <v>16</v>
      </c>
      <c r="D17716" s="5" t="s">
        <v>17053</v>
      </c>
      <c r="E17716" s="6" t="str">
        <f>HYPERLINK("https://twitter.com/petrogustavo/status/1476859592231501824","1476859592231501824")</f>
        <v>1476859592231501824</v>
      </c>
      <c r="F17716" s="7" t="s">
        <v>17</v>
      </c>
      <c r="G17716" s="7">
        <v>4440512</v>
      </c>
      <c r="H17716" s="7">
        <v>2589</v>
      </c>
      <c r="I17716" s="7">
        <v>47</v>
      </c>
      <c r="J17716" s="7">
        <v>111</v>
      </c>
      <c r="K17716" s="7" t="s">
        <v>18</v>
      </c>
      <c r="L17716" s="8">
        <v>39987.315405092595</v>
      </c>
      <c r="M17716" s="9" t="s">
        <v>19</v>
      </c>
      <c r="N17716" s="9" t="s">
        <v>20</v>
      </c>
      <c r="O17716" s="6" t="str">
        <f>HYPERLINK("https://pbs.twimg.com/profile_images/962471262747529216/Uo8lOkRJ_normal.jpg","View")</f>
        <v>View</v>
      </c>
      <c r="P17716" s="7"/>
    </row>
    <row r="17717" spans="1:16">
      <c r="A17717" s="3">
        <v>44561.919386574074</v>
      </c>
      <c r="B17717" s="4" t="str">
        <f>HYPERLINK("https://twitter.com/petrogustavo","@petrogustavo")</f>
        <v>@petrogustavo</v>
      </c>
      <c r="C17717" s="5" t="s">
        <v>16</v>
      </c>
      <c r="D17717" s="5" t="s">
        <v>17054</v>
      </c>
      <c r="E17717" s="6" t="str">
        <f>HYPERLINK("https://twitter.com/petrogustavo/status/1476954781394612225","1476954781394612225")</f>
        <v>1476954781394612225</v>
      </c>
      <c r="F17717" s="7" t="s">
        <v>17</v>
      </c>
      <c r="G17717" s="7">
        <v>4440665</v>
      </c>
      <c r="H17717" s="7">
        <v>2590</v>
      </c>
      <c r="I17717" s="7">
        <v>228</v>
      </c>
      <c r="J17717" s="7">
        <v>744</v>
      </c>
      <c r="K17717" s="7" t="s">
        <v>18</v>
      </c>
      <c r="L17717" s="8">
        <v>39987.315405092595</v>
      </c>
      <c r="M17717" s="9" t="s">
        <v>19</v>
      </c>
      <c r="N17717" s="9" t="s">
        <v>20</v>
      </c>
      <c r="O17717" s="6" t="str">
        <f>HYPERLINK("https://pbs.twimg.com/profile_images/962471262747529216/Uo8lOkRJ_normal.jpg","View")</f>
        <v>View</v>
      </c>
      <c r="P17717" s="7"/>
    </row>
    <row r="17718" spans="1:16">
      <c r="A17718" s="3">
        <v>44562.002337962964</v>
      </c>
      <c r="B17718" s="4" t="str">
        <f>HYPERLINK("https://twitter.com/petrogustavo","@petrogustavo")</f>
        <v>@petrogustavo</v>
      </c>
      <c r="C17718" s="5" t="s">
        <v>16</v>
      </c>
      <c r="D17718" s="5" t="s">
        <v>17055</v>
      </c>
      <c r="E17718" s="6" t="str">
        <f>HYPERLINK("https://twitter.com/petrogustavo/status/1476984845448396802","1476984845448396802")</f>
        <v>1476984845448396802</v>
      </c>
      <c r="F17718" s="7" t="s">
        <v>17</v>
      </c>
      <c r="G17718" s="7">
        <v>4440721</v>
      </c>
      <c r="H17718" s="7">
        <v>2590</v>
      </c>
      <c r="I17718" s="7">
        <v>1817</v>
      </c>
      <c r="J17718" s="7">
        <v>0</v>
      </c>
      <c r="K17718" s="7" t="s">
        <v>18</v>
      </c>
      <c r="L17718" s="8">
        <v>39987.315405092595</v>
      </c>
      <c r="M17718" s="9" t="s">
        <v>19</v>
      </c>
      <c r="N17718" s="9" t="s">
        <v>20</v>
      </c>
      <c r="O17718" s="6" t="str">
        <f>HYPERLINK("https://pbs.twimg.com/profile_images/962471262747529216/Uo8lOkRJ_normal.jpg","View")</f>
        <v>View</v>
      </c>
      <c r="P17718" s="7"/>
    </row>
    <row r="17719" spans="1:16">
      <c r="A17719" s="3">
        <v>44562.002407407403</v>
      </c>
      <c r="B17719" s="4" t="str">
        <f>HYPERLINK("https://twitter.com/petrogustavo","@petrogustavo")</f>
        <v>@petrogustavo</v>
      </c>
      <c r="C17719" s="5" t="s">
        <v>16</v>
      </c>
      <c r="D17719" s="5" t="s">
        <v>17056</v>
      </c>
      <c r="E17719" s="6" t="str">
        <f>HYPERLINK("https://twitter.com/petrogustavo/status/1476984869918019588","1476984869918019588")</f>
        <v>1476984869918019588</v>
      </c>
      <c r="F17719" s="7" t="s">
        <v>17</v>
      </c>
      <c r="G17719" s="7">
        <v>4440721</v>
      </c>
      <c r="H17719" s="7">
        <v>2590</v>
      </c>
      <c r="I17719" s="7">
        <v>711</v>
      </c>
      <c r="J17719" s="7">
        <v>0</v>
      </c>
      <c r="K17719" s="7" t="s">
        <v>18</v>
      </c>
      <c r="L17719" s="8">
        <v>39987.315405092595</v>
      </c>
      <c r="M17719" s="9" t="s">
        <v>19</v>
      </c>
      <c r="N17719" s="9" t="s">
        <v>20</v>
      </c>
      <c r="O17719" s="6" t="str">
        <f>HYPERLINK("https://pbs.twimg.com/profile_images/962471262747529216/Uo8lOkRJ_normal.jpg","View")</f>
        <v>View</v>
      </c>
      <c r="P17719" s="7"/>
    </row>
    <row r="17720" spans="1:16">
      <c r="A17720" s="3">
        <v>44562.094039351854</v>
      </c>
      <c r="B17720" s="4" t="str">
        <f>HYPERLINK("https://twitter.com/petrogustavo","@petrogustavo")</f>
        <v>@petrogustavo</v>
      </c>
      <c r="C17720" s="5" t="s">
        <v>16</v>
      </c>
      <c r="D17720" s="5" t="s">
        <v>17057</v>
      </c>
      <c r="E17720" s="6" t="str">
        <f>HYPERLINK("https://twitter.com/petrogustavo/status/1477018074838614017","1477018074838614017")</f>
        <v>1477018074838614017</v>
      </c>
      <c r="F17720" s="7" t="s">
        <v>17</v>
      </c>
      <c r="G17720" s="7">
        <v>4440729</v>
      </c>
      <c r="H17720" s="7">
        <v>2590</v>
      </c>
      <c r="I17720" s="7">
        <v>18</v>
      </c>
      <c r="J17720" s="7">
        <v>0</v>
      </c>
      <c r="K17720" s="7" t="s">
        <v>18</v>
      </c>
      <c r="L17720" s="8">
        <v>39987.315405092595</v>
      </c>
      <c r="M17720" s="9" t="s">
        <v>19</v>
      </c>
      <c r="N17720" s="9" t="s">
        <v>20</v>
      </c>
      <c r="O17720" s="6" t="str">
        <f>HYPERLINK("https://pbs.twimg.com/profile_images/962471262747529216/Uo8lOkRJ_normal.jpg","View")</f>
        <v>View</v>
      </c>
      <c r="P17720" s="7"/>
    </row>
    <row r="17721" spans="1:16">
      <c r="A17721" s="3">
        <v>44562.09447916667</v>
      </c>
      <c r="B17721" s="4" t="str">
        <f>HYPERLINK("https://twitter.com/petrogustavo","@petrogustavo")</f>
        <v>@petrogustavo</v>
      </c>
      <c r="C17721" s="5" t="s">
        <v>16</v>
      </c>
      <c r="D17721" s="5" t="s">
        <v>17058</v>
      </c>
      <c r="E17721" s="6" t="str">
        <f>HYPERLINK("https://twitter.com/petrogustavo/status/1477018236835217417","1477018236835217417")</f>
        <v>1477018236835217417</v>
      </c>
      <c r="F17721" s="7" t="s">
        <v>17</v>
      </c>
      <c r="G17721" s="7">
        <v>4440729</v>
      </c>
      <c r="H17721" s="7">
        <v>2590</v>
      </c>
      <c r="I17721" s="7">
        <v>20</v>
      </c>
      <c r="J17721" s="7">
        <v>0</v>
      </c>
      <c r="K17721" s="7" t="s">
        <v>18</v>
      </c>
      <c r="L17721" s="8">
        <v>39987.315405092595</v>
      </c>
      <c r="M17721" s="9" t="s">
        <v>19</v>
      </c>
      <c r="N17721" s="9" t="s">
        <v>20</v>
      </c>
      <c r="O17721" s="6" t="str">
        <f>HYPERLINK("https://pbs.twimg.com/profile_images/962471262747529216/Uo8lOkRJ_normal.jpg","View")</f>
        <v>View</v>
      </c>
      <c r="P17721" s="7"/>
    </row>
    <row r="17722" spans="1:16">
      <c r="A17722" s="3">
        <v>44562.095914351856</v>
      </c>
      <c r="B17722" s="4" t="str">
        <f>HYPERLINK("https://twitter.com/petrogustavo","@petrogustavo")</f>
        <v>@petrogustavo</v>
      </c>
      <c r="C17722" s="5" t="s">
        <v>16</v>
      </c>
      <c r="D17722" s="5" t="s">
        <v>17059</v>
      </c>
      <c r="E17722" s="6" t="str">
        <f>HYPERLINK("https://twitter.com/petrogustavo/status/1477018754227781632","1477018754227781632")</f>
        <v>1477018754227781632</v>
      </c>
      <c r="F17722" s="7" t="s">
        <v>17</v>
      </c>
      <c r="G17722" s="7">
        <v>4440729</v>
      </c>
      <c r="H17722" s="7">
        <v>2590</v>
      </c>
      <c r="I17722" s="7">
        <v>142</v>
      </c>
      <c r="J17722" s="7">
        <v>900</v>
      </c>
      <c r="K17722" s="7" t="s">
        <v>18</v>
      </c>
      <c r="L17722" s="8">
        <v>39987.315405092595</v>
      </c>
      <c r="M17722" s="9" t="s">
        <v>19</v>
      </c>
      <c r="N17722" s="9" t="s">
        <v>20</v>
      </c>
      <c r="O17722" s="6" t="str">
        <f>HYPERLINK("https://pbs.twimg.com/profile_images/962471262747529216/Uo8lOkRJ_normal.jpg","View")</f>
        <v>View</v>
      </c>
      <c r="P17722" s="7"/>
    </row>
    <row r="17723" spans="1:16">
      <c r="A17723" s="3">
        <v>44562.136562500003</v>
      </c>
      <c r="B17723" s="4" t="str">
        <f>HYPERLINK("https://twitter.com/petrogustavo","@petrogustavo")</f>
        <v>@petrogustavo</v>
      </c>
      <c r="C17723" s="5" t="s">
        <v>16</v>
      </c>
      <c r="D17723" s="5" t="s">
        <v>17060</v>
      </c>
      <c r="E17723" s="6" t="str">
        <f>HYPERLINK("https://twitter.com/petrogustavo/status/1477033483335778308","1477033483335778308")</f>
        <v>1477033483335778308</v>
      </c>
      <c r="F17723" s="7" t="s">
        <v>17</v>
      </c>
      <c r="G17723" s="7">
        <v>4440767</v>
      </c>
      <c r="H17723" s="7">
        <v>2590</v>
      </c>
      <c r="I17723" s="7">
        <v>64</v>
      </c>
      <c r="J17723" s="7">
        <v>200</v>
      </c>
      <c r="K17723" s="7" t="s">
        <v>18</v>
      </c>
      <c r="L17723" s="8">
        <v>39987.315405092595</v>
      </c>
      <c r="M17723" s="9" t="s">
        <v>19</v>
      </c>
      <c r="N17723" s="9" t="s">
        <v>20</v>
      </c>
      <c r="O17723" s="6" t="str">
        <f>HYPERLINK("https://pbs.twimg.com/profile_images/962471262747529216/Uo8lOkRJ_normal.jpg","View")</f>
        <v>View</v>
      </c>
      <c r="P17723" s="7"/>
    </row>
    <row r="17724" spans="1:16">
      <c r="A17724" s="3">
        <v>44562.137349537035</v>
      </c>
      <c r="B17724" s="4" t="str">
        <f>HYPERLINK("https://twitter.com/petrogustavo","@petrogustavo")</f>
        <v>@petrogustavo</v>
      </c>
      <c r="C17724" s="5" t="s">
        <v>16</v>
      </c>
      <c r="D17724" s="5" t="s">
        <v>17061</v>
      </c>
      <c r="E17724" s="6" t="str">
        <f>HYPERLINK("https://twitter.com/petrogustavo/status/1477033770998018051","1477033770998018051")</f>
        <v>1477033770998018051</v>
      </c>
      <c r="F17724" s="7" t="s">
        <v>17</v>
      </c>
      <c r="G17724" s="7">
        <v>4440767</v>
      </c>
      <c r="H17724" s="7">
        <v>2590</v>
      </c>
      <c r="I17724" s="7">
        <v>541</v>
      </c>
      <c r="J17724" s="7">
        <v>0</v>
      </c>
      <c r="K17724" s="7" t="s">
        <v>18</v>
      </c>
      <c r="L17724" s="8">
        <v>39987.315405092595</v>
      </c>
      <c r="M17724" s="9" t="s">
        <v>19</v>
      </c>
      <c r="N17724" s="9" t="s">
        <v>20</v>
      </c>
      <c r="O17724" s="6" t="str">
        <f>HYPERLINK("https://pbs.twimg.com/profile_images/962471262747529216/Uo8lOkRJ_normal.jpg","View")</f>
        <v>View</v>
      </c>
      <c r="P17724" s="7"/>
    </row>
    <row r="17725" spans="1:16">
      <c r="A17725" s="3">
        <v>44562.687337962961</v>
      </c>
      <c r="B17725" s="4" t="str">
        <f>HYPERLINK("https://twitter.com/petrogustavo","@petrogustavo")</f>
        <v>@petrogustavo</v>
      </c>
      <c r="C17725" s="5" t="s">
        <v>16</v>
      </c>
      <c r="D17725" s="5" t="s">
        <v>17062</v>
      </c>
      <c r="E17725" s="6" t="str">
        <f>HYPERLINK("https://twitter.com/petrogustavo/status/1477233077915115521","1477233077915115521")</f>
        <v>1477233077915115521</v>
      </c>
      <c r="F17725" s="7" t="s">
        <v>17</v>
      </c>
      <c r="G17725" s="7">
        <v>4440928</v>
      </c>
      <c r="H17725" s="7">
        <v>2591</v>
      </c>
      <c r="I17725" s="7">
        <v>28</v>
      </c>
      <c r="J17725" s="7">
        <v>82</v>
      </c>
      <c r="K17725" s="7" t="s">
        <v>18</v>
      </c>
      <c r="L17725" s="8">
        <v>39987.315405092595</v>
      </c>
      <c r="M17725" s="9" t="s">
        <v>19</v>
      </c>
      <c r="N17725" s="9" t="s">
        <v>20</v>
      </c>
      <c r="O17725" s="6" t="str">
        <f>HYPERLINK("https://pbs.twimg.com/profile_images/962471262747529216/Uo8lOkRJ_normal.jpg","View")</f>
        <v>View</v>
      </c>
      <c r="P17725" s="7"/>
    </row>
    <row r="17726" spans="1:16">
      <c r="A17726" s="3">
        <v>44562.874918981484</v>
      </c>
      <c r="B17726" s="4" t="str">
        <f>HYPERLINK("https://twitter.com/petrogustavo","@petrogustavo")</f>
        <v>@petrogustavo</v>
      </c>
      <c r="C17726" s="5" t="s">
        <v>16</v>
      </c>
      <c r="D17726" s="5" t="s">
        <v>17063</v>
      </c>
      <c r="E17726" s="6" t="str">
        <f>HYPERLINK("https://twitter.com/petrogustavo/status/1477301055331446791","1477301055331446791")</f>
        <v>1477301055331446791</v>
      </c>
      <c r="F17726" s="7" t="s">
        <v>17</v>
      </c>
      <c r="G17726" s="7">
        <v>4441005</v>
      </c>
      <c r="H17726" s="7">
        <v>2592</v>
      </c>
      <c r="I17726" s="7">
        <v>566</v>
      </c>
      <c r="J17726" s="7">
        <v>0</v>
      </c>
      <c r="K17726" s="7" t="s">
        <v>18</v>
      </c>
      <c r="L17726" s="8">
        <v>39987.315405092595</v>
      </c>
      <c r="M17726" s="9" t="s">
        <v>19</v>
      </c>
      <c r="N17726" s="9" t="s">
        <v>20</v>
      </c>
      <c r="O17726" s="6" t="str">
        <f>HYPERLINK("https://pbs.twimg.com/profile_images/962471262747529216/Uo8lOkRJ_normal.jpg","View")</f>
        <v>View</v>
      </c>
      <c r="P17726" s="7"/>
    </row>
    <row r="17727" spans="1:16">
      <c r="A17727" s="3">
        <v>44563.136307870373</v>
      </c>
      <c r="B17727" s="4" t="str">
        <f>HYPERLINK("https://twitter.com/petrogustavo","@petrogustavo")</f>
        <v>@petrogustavo</v>
      </c>
      <c r="C17727" s="5" t="s">
        <v>16</v>
      </c>
      <c r="D17727" s="5" t="s">
        <v>17064</v>
      </c>
      <c r="E17727" s="6" t="str">
        <f>HYPERLINK("https://twitter.com/petrogustavo/status/1477395782932340742","1477395782932340742")</f>
        <v>1477395782932340742</v>
      </c>
      <c r="F17727" s="7" t="s">
        <v>17</v>
      </c>
      <c r="G17727" s="7">
        <v>4441122</v>
      </c>
      <c r="H17727" s="7">
        <v>2592</v>
      </c>
      <c r="I17727" s="7">
        <v>66</v>
      </c>
      <c r="J17727" s="7">
        <v>214</v>
      </c>
      <c r="K17727" s="7" t="s">
        <v>18</v>
      </c>
      <c r="L17727" s="8">
        <v>39987.315405092595</v>
      </c>
      <c r="M17727" s="9" t="s">
        <v>19</v>
      </c>
      <c r="N17727" s="9" t="s">
        <v>20</v>
      </c>
      <c r="O17727" s="6" t="str">
        <f>HYPERLINK("https://pbs.twimg.com/profile_images/962471262747529216/Uo8lOkRJ_normal.jpg","View")</f>
        <v>View</v>
      </c>
      <c r="P17727" s="7"/>
    </row>
    <row r="17728" spans="1:16">
      <c r="A17728" s="3">
        <v>44563.13826388889</v>
      </c>
      <c r="B17728" s="4" t="str">
        <f>HYPERLINK("https://twitter.com/petrogustavo","@petrogustavo")</f>
        <v>@petrogustavo</v>
      </c>
      <c r="C17728" s="5" t="s">
        <v>16</v>
      </c>
      <c r="D17728" s="5" t="s">
        <v>17065</v>
      </c>
      <c r="E17728" s="6" t="str">
        <f>HYPERLINK("https://twitter.com/petrogustavo/status/1477396487856431107","1477396487856431107")</f>
        <v>1477396487856431107</v>
      </c>
      <c r="F17728" s="7" t="s">
        <v>17</v>
      </c>
      <c r="G17728" s="7">
        <v>4441122</v>
      </c>
      <c r="H17728" s="7">
        <v>2592</v>
      </c>
      <c r="I17728" s="7">
        <v>384</v>
      </c>
      <c r="J17728" s="7">
        <v>0</v>
      </c>
      <c r="K17728" s="7" t="s">
        <v>18</v>
      </c>
      <c r="L17728" s="8">
        <v>39987.315405092595</v>
      </c>
      <c r="M17728" s="9" t="s">
        <v>19</v>
      </c>
      <c r="N17728" s="9" t="s">
        <v>20</v>
      </c>
      <c r="O17728" s="6" t="str">
        <f>HYPERLINK("https://pbs.twimg.com/profile_images/962471262747529216/Uo8lOkRJ_normal.jpg","View")</f>
        <v>View</v>
      </c>
      <c r="P17728" s="7"/>
    </row>
    <row r="17729" spans="1:16">
      <c r="A17729" s="3">
        <v>44563.143125000002</v>
      </c>
      <c r="B17729" s="4" t="str">
        <f>HYPERLINK("https://twitter.com/petrogustavo","@petrogustavo")</f>
        <v>@petrogustavo</v>
      </c>
      <c r="C17729" s="5" t="s">
        <v>16</v>
      </c>
      <c r="D17729" s="5" t="s">
        <v>17066</v>
      </c>
      <c r="E17729" s="6" t="str">
        <f>HYPERLINK("https://twitter.com/petrogustavo/status/1477398252202954758","1477398252202954758")</f>
        <v>1477398252202954758</v>
      </c>
      <c r="F17729" s="7" t="s">
        <v>17</v>
      </c>
      <c r="G17729" s="7">
        <v>4441122</v>
      </c>
      <c r="H17729" s="7">
        <v>2592</v>
      </c>
      <c r="I17729" s="7">
        <v>85</v>
      </c>
      <c r="J17729" s="7">
        <v>209</v>
      </c>
      <c r="K17729" s="7" t="s">
        <v>18</v>
      </c>
      <c r="L17729" s="8">
        <v>39987.315405092595</v>
      </c>
      <c r="M17729" s="9" t="s">
        <v>19</v>
      </c>
      <c r="N17729" s="9" t="s">
        <v>20</v>
      </c>
      <c r="O17729" s="6" t="str">
        <f>HYPERLINK("https://pbs.twimg.com/profile_images/962471262747529216/Uo8lOkRJ_normal.jpg","View")</f>
        <v>View</v>
      </c>
      <c r="P17729" s="7"/>
    </row>
    <row r="17730" spans="1:16">
      <c r="A17730" s="3">
        <v>44563.158391203702</v>
      </c>
      <c r="B17730" s="4" t="str">
        <f>HYPERLINK("https://twitter.com/petrogustavo","@petrogustavo")</f>
        <v>@petrogustavo</v>
      </c>
      <c r="C17730" s="5" t="s">
        <v>16</v>
      </c>
      <c r="D17730" s="5" t="s">
        <v>17067</v>
      </c>
      <c r="E17730" s="6" t="str">
        <f>HYPERLINK("https://twitter.com/petrogustavo/status/1477403782849904645","1477403782849904645")</f>
        <v>1477403782849904645</v>
      </c>
      <c r="F17730" s="7" t="s">
        <v>17</v>
      </c>
      <c r="G17730" s="7">
        <v>4441124</v>
      </c>
      <c r="H17730" s="7">
        <v>2593</v>
      </c>
      <c r="I17730" s="7">
        <v>130</v>
      </c>
      <c r="J17730" s="7">
        <v>0</v>
      </c>
      <c r="K17730" s="7" t="s">
        <v>18</v>
      </c>
      <c r="L17730" s="8">
        <v>39987.315405092595</v>
      </c>
      <c r="M17730" s="9" t="s">
        <v>19</v>
      </c>
      <c r="N17730" s="9" t="s">
        <v>20</v>
      </c>
      <c r="O17730" s="6" t="str">
        <f>HYPERLINK("https://pbs.twimg.com/profile_images/962471262747529216/Uo8lOkRJ_normal.jpg","View")</f>
        <v>View</v>
      </c>
      <c r="P17730" s="7"/>
    </row>
    <row r="17731" spans="1:16">
      <c r="A17731" s="3">
        <v>44563.160162037035</v>
      </c>
      <c r="B17731" s="4" t="str">
        <f>HYPERLINK("https://twitter.com/petrogustavo","@petrogustavo")</f>
        <v>@petrogustavo</v>
      </c>
      <c r="C17731" s="5" t="s">
        <v>16</v>
      </c>
      <c r="D17731" s="4" t="s">
        <v>17068</v>
      </c>
      <c r="E17731" s="6" t="str">
        <f>HYPERLINK("https://twitter.com/petrogustavo/status/1477404425207652355","1477404425207652355")</f>
        <v>1477404425207652355</v>
      </c>
      <c r="F17731" s="7" t="s">
        <v>17</v>
      </c>
      <c r="G17731" s="7">
        <v>4441124</v>
      </c>
      <c r="H17731" s="7">
        <v>2593</v>
      </c>
      <c r="I17731" s="7">
        <v>53</v>
      </c>
      <c r="J17731" s="7">
        <v>223</v>
      </c>
      <c r="K17731" s="7" t="s">
        <v>18</v>
      </c>
      <c r="L17731" s="8">
        <v>39987.315405092595</v>
      </c>
      <c r="M17731" s="9" t="s">
        <v>19</v>
      </c>
      <c r="N17731" s="9" t="s">
        <v>20</v>
      </c>
      <c r="O17731" s="6" t="str">
        <f>HYPERLINK("https://pbs.twimg.com/profile_images/962471262747529216/Uo8lOkRJ_normal.jpg","View")</f>
        <v>View</v>
      </c>
      <c r="P17731" s="7"/>
    </row>
    <row r="17732" spans="1:16">
      <c r="A17732" s="3">
        <v>44563.552465277782</v>
      </c>
      <c r="B17732" s="4" t="str">
        <f>HYPERLINK("https://twitter.com/petrogustavo","@petrogustavo")</f>
        <v>@petrogustavo</v>
      </c>
      <c r="C17732" s="5" t="s">
        <v>16</v>
      </c>
      <c r="D17732" s="5" t="s">
        <v>17069</v>
      </c>
      <c r="E17732" s="6" t="str">
        <f>HYPERLINK("https://twitter.com/petrogustavo/status/1477546591884095488","1477546591884095488")</f>
        <v>1477546591884095488</v>
      </c>
      <c r="F17732" s="7" t="s">
        <v>17</v>
      </c>
      <c r="G17732" s="7">
        <v>4441375</v>
      </c>
      <c r="H17732" s="7">
        <v>2593</v>
      </c>
      <c r="I17732" s="7">
        <v>22</v>
      </c>
      <c r="J17732" s="7">
        <v>58</v>
      </c>
      <c r="K17732" s="7" t="s">
        <v>18</v>
      </c>
      <c r="L17732" s="8">
        <v>39987.315405092595</v>
      </c>
      <c r="M17732" s="9" t="s">
        <v>19</v>
      </c>
      <c r="N17732" s="9" t="s">
        <v>20</v>
      </c>
      <c r="O17732" s="6" t="str">
        <f>HYPERLINK("https://pbs.twimg.com/profile_images/962471262747529216/Uo8lOkRJ_normal.jpg","View")</f>
        <v>View</v>
      </c>
      <c r="P17732" s="7"/>
    </row>
    <row r="17733" spans="1:16">
      <c r="A17733" s="3">
        <v>44563.557858796295</v>
      </c>
      <c r="B17733" s="4" t="str">
        <f>HYPERLINK("https://twitter.com/petrogustavo","@petrogustavo")</f>
        <v>@petrogustavo</v>
      </c>
      <c r="C17733" s="5" t="s">
        <v>16</v>
      </c>
      <c r="D17733" s="5" t="s">
        <v>17070</v>
      </c>
      <c r="E17733" s="6" t="str">
        <f>HYPERLINK("https://twitter.com/petrogustavo/status/1477548543950962691","1477548543950962691")</f>
        <v>1477548543950962691</v>
      </c>
      <c r="F17733" s="7" t="s">
        <v>17</v>
      </c>
      <c r="G17733" s="7">
        <v>4441375</v>
      </c>
      <c r="H17733" s="7">
        <v>2593</v>
      </c>
      <c r="I17733" s="7">
        <v>27</v>
      </c>
      <c r="J17733" s="7">
        <v>80</v>
      </c>
      <c r="K17733" s="7" t="s">
        <v>18</v>
      </c>
      <c r="L17733" s="8">
        <v>39987.315405092595</v>
      </c>
      <c r="M17733" s="9" t="s">
        <v>19</v>
      </c>
      <c r="N17733" s="9" t="s">
        <v>20</v>
      </c>
      <c r="O17733" s="6" t="str">
        <f>HYPERLINK("https://pbs.twimg.com/profile_images/962471262747529216/Uo8lOkRJ_normal.jpg","View")</f>
        <v>View</v>
      </c>
      <c r="P17733" s="7"/>
    </row>
    <row r="17734" spans="1:16">
      <c r="A17734" s="3">
        <v>44563.600358796291</v>
      </c>
      <c r="B17734" s="4" t="str">
        <f>HYPERLINK("https://twitter.com/petrogustavo","@petrogustavo")</f>
        <v>@petrogustavo</v>
      </c>
      <c r="C17734" s="5" t="s">
        <v>16</v>
      </c>
      <c r="D17734" s="5" t="s">
        <v>17071</v>
      </c>
      <c r="E17734" s="6" t="str">
        <f>HYPERLINK("https://twitter.com/petrogustavo/status/1477563948631302144","1477563948631302144")</f>
        <v>1477563948631302144</v>
      </c>
      <c r="F17734" s="7" t="s">
        <v>17</v>
      </c>
      <c r="G17734" s="7">
        <v>4441383</v>
      </c>
      <c r="H17734" s="7">
        <v>2593</v>
      </c>
      <c r="I17734" s="7">
        <v>758</v>
      </c>
      <c r="J17734" s="7">
        <v>0</v>
      </c>
      <c r="K17734" s="7" t="s">
        <v>18</v>
      </c>
      <c r="L17734" s="8">
        <v>39987.315405092595</v>
      </c>
      <c r="M17734" s="9" t="s">
        <v>19</v>
      </c>
      <c r="N17734" s="9" t="s">
        <v>20</v>
      </c>
      <c r="O17734" s="6" t="str">
        <f>HYPERLINK("https://pbs.twimg.com/profile_images/962471262747529216/Uo8lOkRJ_normal.jpg","View")</f>
        <v>View</v>
      </c>
      <c r="P17734" s="7"/>
    </row>
    <row r="17735" spans="1:16">
      <c r="A17735" s="3">
        <v>44563.600416666668</v>
      </c>
      <c r="B17735" s="4" t="str">
        <f>HYPERLINK("https://twitter.com/petrogustavo","@petrogustavo")</f>
        <v>@petrogustavo</v>
      </c>
      <c r="C17735" s="5" t="s">
        <v>16</v>
      </c>
      <c r="D17735" s="5" t="s">
        <v>17072</v>
      </c>
      <c r="E17735" s="6" t="str">
        <f>HYPERLINK("https://twitter.com/petrogustavo/status/1477563970278014976","1477563970278014976")</f>
        <v>1477563970278014976</v>
      </c>
      <c r="F17735" s="7" t="s">
        <v>17</v>
      </c>
      <c r="G17735" s="7">
        <v>4441383</v>
      </c>
      <c r="H17735" s="7">
        <v>2593</v>
      </c>
      <c r="I17735" s="7">
        <v>109</v>
      </c>
      <c r="J17735" s="7">
        <v>0</v>
      </c>
      <c r="K17735" s="7" t="s">
        <v>18</v>
      </c>
      <c r="L17735" s="8">
        <v>39987.315405092595</v>
      </c>
      <c r="M17735" s="9" t="s">
        <v>19</v>
      </c>
      <c r="N17735" s="9" t="s">
        <v>20</v>
      </c>
      <c r="O17735" s="6" t="str">
        <f>HYPERLINK("https://pbs.twimg.com/profile_images/962471262747529216/Uo8lOkRJ_normal.jpg","View")</f>
        <v>View</v>
      </c>
      <c r="P17735" s="7"/>
    </row>
    <row r="17736" spans="1:16">
      <c r="A17736" s="3">
        <v>44564.042395833334</v>
      </c>
      <c r="B17736" s="4" t="str">
        <f>HYPERLINK("https://twitter.com/petrogustavo","@petrogustavo")</f>
        <v>@petrogustavo</v>
      </c>
      <c r="C17736" s="5" t="s">
        <v>16</v>
      </c>
      <c r="D17736" s="5" t="s">
        <v>17073</v>
      </c>
      <c r="E17736" s="6" t="str">
        <f>HYPERLINK("https://twitter.com/petrogustavo/status/1477724137770696709","1477724137770696709")</f>
        <v>1477724137770696709</v>
      </c>
      <c r="F17736" s="7" t="s">
        <v>17</v>
      </c>
      <c r="G17736" s="7">
        <v>4441659</v>
      </c>
      <c r="H17736" s="7">
        <v>2593</v>
      </c>
      <c r="I17736" s="7">
        <v>22</v>
      </c>
      <c r="J17736" s="7">
        <v>0</v>
      </c>
      <c r="K17736" s="7" t="s">
        <v>18</v>
      </c>
      <c r="L17736" s="8">
        <v>39987.315405092595</v>
      </c>
      <c r="M17736" s="9" t="s">
        <v>19</v>
      </c>
      <c r="N17736" s="9" t="s">
        <v>20</v>
      </c>
      <c r="O17736" s="6" t="str">
        <f>HYPERLINK("https://pbs.twimg.com/profile_images/962471262747529216/Uo8lOkRJ_normal.jpg","View")</f>
        <v>View</v>
      </c>
      <c r="P17736" s="7"/>
    </row>
    <row r="17737" spans="1:16">
      <c r="A17737" s="3">
        <v>44564.052870370375</v>
      </c>
      <c r="B17737" s="4" t="str">
        <f>HYPERLINK("https://twitter.com/petrogustavo","@petrogustavo")</f>
        <v>@petrogustavo</v>
      </c>
      <c r="C17737" s="5" t="s">
        <v>16</v>
      </c>
      <c r="D17737" s="5" t="s">
        <v>17072</v>
      </c>
      <c r="E17737" s="6" t="str">
        <f>HYPERLINK("https://twitter.com/petrogustavo/status/1477727933276033031","1477727933276033031")</f>
        <v>1477727933276033031</v>
      </c>
      <c r="F17737" s="7" t="s">
        <v>17</v>
      </c>
      <c r="G17737" s="7">
        <v>4441659</v>
      </c>
      <c r="H17737" s="7">
        <v>2593</v>
      </c>
      <c r="I17737" s="7">
        <v>2261</v>
      </c>
      <c r="J17737" s="7">
        <v>0</v>
      </c>
      <c r="K17737" s="7" t="s">
        <v>18</v>
      </c>
      <c r="L17737" s="8">
        <v>39987.315405092595</v>
      </c>
      <c r="M17737" s="9" t="s">
        <v>19</v>
      </c>
      <c r="N17737" s="9" t="s">
        <v>20</v>
      </c>
      <c r="O17737" s="6" t="str">
        <f>HYPERLINK("https://pbs.twimg.com/profile_images/962471262747529216/Uo8lOkRJ_normal.jpg","View")</f>
        <v>View</v>
      </c>
      <c r="P17737" s="7"/>
    </row>
    <row r="17738" spans="1:16">
      <c r="A17738" s="3">
        <v>44564.097777777773</v>
      </c>
      <c r="B17738" s="4" t="str">
        <f>HYPERLINK("https://twitter.com/petrogustavo","@petrogustavo")</f>
        <v>@petrogustavo</v>
      </c>
      <c r="C17738" s="5" t="s">
        <v>16</v>
      </c>
      <c r="D17738" s="5" t="s">
        <v>17074</v>
      </c>
      <c r="E17738" s="6" t="str">
        <f>HYPERLINK("https://twitter.com/petrogustavo/status/1477744204755447810","1477744204755447810")</f>
        <v>1477744204755447810</v>
      </c>
      <c r="F17738" s="7" t="s">
        <v>17</v>
      </c>
      <c r="G17738" s="7">
        <v>4441690</v>
      </c>
      <c r="H17738" s="7">
        <v>2593</v>
      </c>
      <c r="I17738" s="7">
        <v>127</v>
      </c>
      <c r="J17738" s="7">
        <v>190</v>
      </c>
      <c r="K17738" s="7" t="s">
        <v>18</v>
      </c>
      <c r="L17738" s="8">
        <v>39987.315405092595</v>
      </c>
      <c r="M17738" s="9" t="s">
        <v>19</v>
      </c>
      <c r="N17738" s="9" t="s">
        <v>20</v>
      </c>
      <c r="O17738" s="6" t="str">
        <f>HYPERLINK("https://pbs.twimg.com/profile_images/962471262747529216/Uo8lOkRJ_normal.jpg","View")</f>
        <v>View</v>
      </c>
      <c r="P17738" s="7"/>
    </row>
    <row r="17739" spans="1:16">
      <c r="A17739" s="3">
        <v>44564.110451388886</v>
      </c>
      <c r="B17739" s="4" t="str">
        <f>HYPERLINK("https://twitter.com/petrogustavo","@petrogustavo")</f>
        <v>@petrogustavo</v>
      </c>
      <c r="C17739" s="5" t="s">
        <v>16</v>
      </c>
      <c r="D17739" s="5" t="s">
        <v>17075</v>
      </c>
      <c r="E17739" s="6" t="str">
        <f>HYPERLINK("https://twitter.com/petrogustavo/status/1477748799204384768","1477748799204384768")</f>
        <v>1477748799204384768</v>
      </c>
      <c r="F17739" s="7" t="s">
        <v>17</v>
      </c>
      <c r="G17739" s="7">
        <v>4441705</v>
      </c>
      <c r="H17739" s="7">
        <v>2594</v>
      </c>
      <c r="I17739" s="7">
        <v>208</v>
      </c>
      <c r="J17739" s="7">
        <v>0</v>
      </c>
      <c r="K17739" s="7" t="s">
        <v>18</v>
      </c>
      <c r="L17739" s="8">
        <v>39987.315405092595</v>
      </c>
      <c r="M17739" s="9" t="s">
        <v>19</v>
      </c>
      <c r="N17739" s="9" t="s">
        <v>20</v>
      </c>
      <c r="O17739" s="6" t="str">
        <f>HYPERLINK("https://pbs.twimg.com/profile_images/962471262747529216/Uo8lOkRJ_normal.jpg","View")</f>
        <v>View</v>
      </c>
      <c r="P17739" s="7"/>
    </row>
    <row r="17740" spans="1:16">
      <c r="A17740" s="3">
        <v>44564.119942129633</v>
      </c>
      <c r="B17740" s="4" t="str">
        <f>HYPERLINK("https://twitter.com/petrogustavo","@petrogustavo")</f>
        <v>@petrogustavo</v>
      </c>
      <c r="C17740" s="5" t="s">
        <v>16</v>
      </c>
      <c r="D17740" s="5" t="s">
        <v>17076</v>
      </c>
      <c r="E17740" s="6" t="str">
        <f>HYPERLINK("https://twitter.com/petrogustavo/status/1477752238844096514","1477752238844096514")</f>
        <v>1477752238844096514</v>
      </c>
      <c r="F17740" s="7" t="s">
        <v>17</v>
      </c>
      <c r="G17740" s="7">
        <v>4441705</v>
      </c>
      <c r="H17740" s="7">
        <v>2594</v>
      </c>
      <c r="I17740" s="7">
        <v>95</v>
      </c>
      <c r="J17740" s="7">
        <v>219</v>
      </c>
      <c r="K17740" s="7" t="s">
        <v>18</v>
      </c>
      <c r="L17740" s="8">
        <v>39987.315405092595</v>
      </c>
      <c r="M17740" s="9" t="s">
        <v>19</v>
      </c>
      <c r="N17740" s="9" t="s">
        <v>20</v>
      </c>
      <c r="O17740" s="6" t="str">
        <f>HYPERLINK("https://pbs.twimg.com/profile_images/962471262747529216/Uo8lOkRJ_normal.jpg","View")</f>
        <v>View</v>
      </c>
      <c r="P17740" s="7"/>
    </row>
    <row r="17741" spans="1:16">
      <c r="A17741" s="3">
        <v>44564.119953703703</v>
      </c>
      <c r="B17741" s="4" t="str">
        <f>HYPERLINK("https://twitter.com/petrogustavo","@petrogustavo")</f>
        <v>@petrogustavo</v>
      </c>
      <c r="C17741" s="5" t="s">
        <v>16</v>
      </c>
      <c r="D17741" s="5" t="s">
        <v>17077</v>
      </c>
      <c r="E17741" s="6" t="str">
        <f>HYPERLINK("https://twitter.com/petrogustavo/status/1477752240836390917","1477752240836390917")</f>
        <v>1477752240836390917</v>
      </c>
      <c r="F17741" s="7" t="s">
        <v>17</v>
      </c>
      <c r="G17741" s="7">
        <v>4441705</v>
      </c>
      <c r="H17741" s="7">
        <v>2594</v>
      </c>
      <c r="I17741" s="7">
        <v>12</v>
      </c>
      <c r="J17741" s="7">
        <v>32</v>
      </c>
      <c r="K17741" s="7" t="s">
        <v>18</v>
      </c>
      <c r="L17741" s="8">
        <v>39987.315405092595</v>
      </c>
      <c r="M17741" s="9" t="s">
        <v>19</v>
      </c>
      <c r="N17741" s="9" t="s">
        <v>20</v>
      </c>
      <c r="O17741" s="6" t="str">
        <f>HYPERLINK("https://pbs.twimg.com/profile_images/962471262747529216/Uo8lOkRJ_normal.jpg","View")</f>
        <v>View</v>
      </c>
      <c r="P17741" s="7"/>
    </row>
    <row r="17742" spans="1:16">
      <c r="A17742" s="3">
        <v>44564.119953703703</v>
      </c>
      <c r="B17742" s="4" t="str">
        <f>HYPERLINK("https://twitter.com/petrogustavo","@petrogustavo")</f>
        <v>@petrogustavo</v>
      </c>
      <c r="C17742" s="5" t="s">
        <v>16</v>
      </c>
      <c r="D17742" s="5" t="s">
        <v>17078</v>
      </c>
      <c r="E17742" s="6" t="str">
        <f>HYPERLINK("https://twitter.com/petrogustavo/status/1477752243768246279","1477752243768246279")</f>
        <v>1477752243768246279</v>
      </c>
      <c r="F17742" s="7" t="s">
        <v>17</v>
      </c>
      <c r="G17742" s="7">
        <v>4441705</v>
      </c>
      <c r="H17742" s="7">
        <v>2594</v>
      </c>
      <c r="I17742" s="7">
        <v>34</v>
      </c>
      <c r="J17742" s="7">
        <v>120</v>
      </c>
      <c r="K17742" s="7" t="s">
        <v>18</v>
      </c>
      <c r="L17742" s="8">
        <v>39987.315405092595</v>
      </c>
      <c r="M17742" s="9" t="s">
        <v>19</v>
      </c>
      <c r="N17742" s="9" t="s">
        <v>20</v>
      </c>
      <c r="O17742" s="6" t="str">
        <f>HYPERLINK("https://pbs.twimg.com/profile_images/962471262747529216/Uo8lOkRJ_normal.jpg","View")</f>
        <v>View</v>
      </c>
      <c r="P17742" s="7"/>
    </row>
    <row r="17743" spans="1:16">
      <c r="A17743" s="3">
        <v>44564.119976851856</v>
      </c>
      <c r="B17743" s="4" t="str">
        <f>HYPERLINK("https://twitter.com/petrogustavo","@petrogustavo")</f>
        <v>@petrogustavo</v>
      </c>
      <c r="C17743" s="5" t="s">
        <v>16</v>
      </c>
      <c r="D17743" s="5" t="s">
        <v>17079</v>
      </c>
      <c r="E17743" s="6" t="str">
        <f>HYPERLINK("https://twitter.com/petrogustavo/status/1477752252106485763","1477752252106485763")</f>
        <v>1477752252106485763</v>
      </c>
      <c r="F17743" s="7" t="s">
        <v>17</v>
      </c>
      <c r="G17743" s="7">
        <v>4441705</v>
      </c>
      <c r="H17743" s="7">
        <v>2594</v>
      </c>
      <c r="I17743" s="7">
        <v>33</v>
      </c>
      <c r="J17743" s="7">
        <v>111</v>
      </c>
      <c r="K17743" s="7" t="s">
        <v>18</v>
      </c>
      <c r="L17743" s="8">
        <v>39987.315405092595</v>
      </c>
      <c r="M17743" s="9" t="s">
        <v>19</v>
      </c>
      <c r="N17743" s="9" t="s">
        <v>20</v>
      </c>
      <c r="O17743" s="6" t="str">
        <f>HYPERLINK("https://pbs.twimg.com/profile_images/962471262747529216/Uo8lOkRJ_normal.jpg","View")</f>
        <v>View</v>
      </c>
      <c r="P17743" s="7"/>
    </row>
    <row r="17744" spans="1:16">
      <c r="A17744" s="3">
        <v>44564.968229166669</v>
      </c>
      <c r="B17744" s="4" t="str">
        <f>HYPERLINK("https://twitter.com/petrogustavo","@petrogustavo")</f>
        <v>@petrogustavo</v>
      </c>
      <c r="C17744" s="5" t="s">
        <v>16</v>
      </c>
      <c r="D17744" s="5" t="s">
        <v>17080</v>
      </c>
      <c r="E17744" s="6" t="str">
        <f>HYPERLINK("https://twitter.com/petrogustavo/status/1478059647890333699","1478059647890333699")</f>
        <v>1478059647890333699</v>
      </c>
      <c r="F17744" s="7" t="s">
        <v>17</v>
      </c>
      <c r="G17744" s="7">
        <v>4442436</v>
      </c>
      <c r="H17744" s="7">
        <v>2594</v>
      </c>
      <c r="I17744" s="7">
        <v>171</v>
      </c>
      <c r="J17744" s="7">
        <v>394</v>
      </c>
      <c r="K17744" s="7" t="s">
        <v>18</v>
      </c>
      <c r="L17744" s="8">
        <v>39987.315405092595</v>
      </c>
      <c r="M17744" s="9" t="s">
        <v>19</v>
      </c>
      <c r="N17744" s="9" t="s">
        <v>20</v>
      </c>
      <c r="O17744" s="6" t="str">
        <f>HYPERLINK("https://pbs.twimg.com/profile_images/962471262747529216/Uo8lOkRJ_normal.jpg","View")</f>
        <v>View</v>
      </c>
      <c r="P17744" s="7"/>
    </row>
    <row r="17745" spans="1:16">
      <c r="A17745" s="3">
        <v>44565.121053240742</v>
      </c>
      <c r="B17745" s="4" t="str">
        <f>HYPERLINK("https://twitter.com/petrogustavo","@petrogustavo")</f>
        <v>@petrogustavo</v>
      </c>
      <c r="C17745" s="5" t="s">
        <v>16</v>
      </c>
      <c r="D17745" s="5" t="s">
        <v>17081</v>
      </c>
      <c r="E17745" s="6" t="str">
        <f>HYPERLINK("https://twitter.com/petrogustavo/status/1478115029190905857","1478115029190905857")</f>
        <v>1478115029190905857</v>
      </c>
      <c r="F17745" s="7" t="s">
        <v>17</v>
      </c>
      <c r="G17745" s="7">
        <v>4442654</v>
      </c>
      <c r="H17745" s="7">
        <v>2594</v>
      </c>
      <c r="I17745" s="7">
        <v>21</v>
      </c>
      <c r="J17745" s="7">
        <v>0</v>
      </c>
      <c r="K17745" s="7" t="s">
        <v>18</v>
      </c>
      <c r="L17745" s="8">
        <v>39987.315405092595</v>
      </c>
      <c r="M17745" s="9" t="s">
        <v>19</v>
      </c>
      <c r="N17745" s="9" t="s">
        <v>20</v>
      </c>
      <c r="O17745" s="6" t="str">
        <f>HYPERLINK("https://pbs.twimg.com/profile_images/962471262747529216/Uo8lOkRJ_normal.jpg","View")</f>
        <v>View</v>
      </c>
      <c r="P17745" s="7"/>
    </row>
    <row r="17746" spans="1:16">
      <c r="A17746" s="3">
        <v>44565.126747685186</v>
      </c>
      <c r="B17746" s="4" t="str">
        <f>HYPERLINK("https://twitter.com/petrogustavo","@petrogustavo")</f>
        <v>@petrogustavo</v>
      </c>
      <c r="C17746" s="5" t="s">
        <v>16</v>
      </c>
      <c r="D17746" s="5" t="s">
        <v>17082</v>
      </c>
      <c r="E17746" s="6" t="str">
        <f>HYPERLINK("https://twitter.com/petrogustavo/status/1478117090238377984","1478117090238377984")</f>
        <v>1478117090238377984</v>
      </c>
      <c r="F17746" s="7" t="s">
        <v>17</v>
      </c>
      <c r="G17746" s="7">
        <v>4442654</v>
      </c>
      <c r="H17746" s="7">
        <v>2594</v>
      </c>
      <c r="I17746" s="7">
        <v>6</v>
      </c>
      <c r="J17746" s="7">
        <v>23</v>
      </c>
      <c r="K17746" s="7" t="s">
        <v>18</v>
      </c>
      <c r="L17746" s="8">
        <v>39987.315405092595</v>
      </c>
      <c r="M17746" s="9" t="s">
        <v>19</v>
      </c>
      <c r="N17746" s="9" t="s">
        <v>20</v>
      </c>
      <c r="O17746" s="6" t="str">
        <f>HYPERLINK("https://pbs.twimg.com/profile_images/962471262747529216/Uo8lOkRJ_normal.jpg","View")</f>
        <v>View</v>
      </c>
      <c r="P17746" s="7"/>
    </row>
    <row r="17747" spans="1:16">
      <c r="A17747" s="3">
        <v>44565.136261574073</v>
      </c>
      <c r="B17747" s="4" t="str">
        <f>HYPERLINK("https://twitter.com/petrogustavo","@petrogustavo")</f>
        <v>@petrogustavo</v>
      </c>
      <c r="C17747" s="5" t="s">
        <v>16</v>
      </c>
      <c r="D17747" s="5" t="s">
        <v>17083</v>
      </c>
      <c r="E17747" s="6" t="str">
        <f>HYPERLINK("https://twitter.com/petrogustavo/status/1478120540225347587","1478120540225347587")</f>
        <v>1478120540225347587</v>
      </c>
      <c r="F17747" s="7" t="s">
        <v>17</v>
      </c>
      <c r="G17747" s="7">
        <v>4442685</v>
      </c>
      <c r="H17747" s="7">
        <v>2594</v>
      </c>
      <c r="I17747" s="7">
        <v>62</v>
      </c>
      <c r="J17747" s="7">
        <v>116</v>
      </c>
      <c r="K17747" s="7" t="s">
        <v>18</v>
      </c>
      <c r="L17747" s="8">
        <v>39987.315405092595</v>
      </c>
      <c r="M17747" s="9" t="s">
        <v>19</v>
      </c>
      <c r="N17747" s="9" t="s">
        <v>20</v>
      </c>
      <c r="O17747" s="6" t="str">
        <f>HYPERLINK("https://pbs.twimg.com/profile_images/962471262747529216/Uo8lOkRJ_normal.jpg","View")</f>
        <v>View</v>
      </c>
      <c r="P17747" s="7"/>
    </row>
    <row r="17748" spans="1:16">
      <c r="A17748" s="3">
        <v>44565.136458333334</v>
      </c>
      <c r="B17748" s="4" t="str">
        <f>HYPERLINK("https://twitter.com/petrogustavo","@petrogustavo")</f>
        <v>@petrogustavo</v>
      </c>
      <c r="C17748" s="5" t="s">
        <v>16</v>
      </c>
      <c r="D17748" s="5" t="s">
        <v>17084</v>
      </c>
      <c r="E17748" s="6" t="str">
        <f>HYPERLINK("https://twitter.com/petrogustavo/status/1478120611914436612","1478120611914436612")</f>
        <v>1478120611914436612</v>
      </c>
      <c r="F17748" s="7" t="s">
        <v>17</v>
      </c>
      <c r="G17748" s="7">
        <v>4442685</v>
      </c>
      <c r="H17748" s="7">
        <v>2594</v>
      </c>
      <c r="I17748" s="7">
        <v>272</v>
      </c>
      <c r="J17748" s="7">
        <v>0</v>
      </c>
      <c r="K17748" s="7" t="s">
        <v>18</v>
      </c>
      <c r="L17748" s="8">
        <v>39987.315405092595</v>
      </c>
      <c r="M17748" s="9" t="s">
        <v>19</v>
      </c>
      <c r="N17748" s="9" t="s">
        <v>20</v>
      </c>
      <c r="O17748" s="6" t="str">
        <f>HYPERLINK("https://pbs.twimg.com/profile_images/962471262747529216/Uo8lOkRJ_normal.jpg","View")</f>
        <v>View</v>
      </c>
      <c r="P17748" s="7"/>
    </row>
    <row r="17749" spans="1:16">
      <c r="A17749" s="3">
        <v>44565.564953703702</v>
      </c>
      <c r="B17749" s="4" t="str">
        <f>HYPERLINK("https://twitter.com/petrogustavo","@petrogustavo")</f>
        <v>@petrogustavo</v>
      </c>
      <c r="C17749" s="5" t="s">
        <v>16</v>
      </c>
      <c r="D17749" s="5" t="s">
        <v>17085</v>
      </c>
      <c r="E17749" s="6" t="str">
        <f>HYPERLINK("https://twitter.com/petrogustavo/status/1478275894372356096","1478275894372356096")</f>
        <v>1478275894372356096</v>
      </c>
      <c r="F17749" s="7" t="s">
        <v>17</v>
      </c>
      <c r="G17749" s="7">
        <v>4443108</v>
      </c>
      <c r="H17749" s="7">
        <v>2594</v>
      </c>
      <c r="I17749" s="7">
        <v>26</v>
      </c>
      <c r="J17749" s="7">
        <v>93</v>
      </c>
      <c r="K17749" s="7" t="s">
        <v>18</v>
      </c>
      <c r="L17749" s="8">
        <v>39987.315405092595</v>
      </c>
      <c r="M17749" s="9" t="s">
        <v>19</v>
      </c>
      <c r="N17749" s="9" t="s">
        <v>20</v>
      </c>
      <c r="O17749" s="6" t="str">
        <f>HYPERLINK("https://pbs.twimg.com/profile_images/962471262747529216/Uo8lOkRJ_normal.jpg","View")</f>
        <v>View</v>
      </c>
      <c r="P17749" s="7"/>
    </row>
    <row r="17750" spans="1:16">
      <c r="A17750" s="3">
        <v>44565.774363425924</v>
      </c>
      <c r="B17750" s="4" t="str">
        <f>HYPERLINK("https://twitter.com/petrogustavo","@petrogustavo")</f>
        <v>@petrogustavo</v>
      </c>
      <c r="C17750" s="5" t="s">
        <v>16</v>
      </c>
      <c r="D17750" s="5" t="s">
        <v>17086</v>
      </c>
      <c r="E17750" s="6" t="str">
        <f>HYPERLINK("https://twitter.com/petrogustavo/status/1478351780270559238","1478351780270559238")</f>
        <v>1478351780270559238</v>
      </c>
      <c r="F17750" s="7" t="s">
        <v>17</v>
      </c>
      <c r="G17750" s="7">
        <v>4443213</v>
      </c>
      <c r="H17750" s="7">
        <v>2594</v>
      </c>
      <c r="I17750" s="7">
        <v>71</v>
      </c>
      <c r="J17750" s="7">
        <v>176</v>
      </c>
      <c r="K17750" s="7" t="s">
        <v>18</v>
      </c>
      <c r="L17750" s="8">
        <v>39987.315405092595</v>
      </c>
      <c r="M17750" s="9" t="s">
        <v>19</v>
      </c>
      <c r="N17750" s="9" t="s">
        <v>20</v>
      </c>
      <c r="O17750" s="6" t="str">
        <f>HYPERLINK("https://pbs.twimg.com/profile_images/962471262747529216/Uo8lOkRJ_normal.jpg","View")</f>
        <v>View</v>
      </c>
      <c r="P17750" s="7"/>
    </row>
    <row r="17751" spans="1:16">
      <c r="A17751" s="3">
        <v>44565.774363425924</v>
      </c>
      <c r="B17751" s="4" t="str">
        <f>HYPERLINK("https://twitter.com/petrogustavo","@petrogustavo")</f>
        <v>@petrogustavo</v>
      </c>
      <c r="C17751" s="5" t="s">
        <v>16</v>
      </c>
      <c r="D17751" s="5" t="s">
        <v>17087</v>
      </c>
      <c r="E17751" s="6" t="str">
        <f>HYPERLINK("https://twitter.com/petrogustavo/status/1478351782267047936","1478351782267047936")</f>
        <v>1478351782267047936</v>
      </c>
      <c r="F17751" s="7" t="s">
        <v>17</v>
      </c>
      <c r="G17751" s="7">
        <v>4443213</v>
      </c>
      <c r="H17751" s="7">
        <v>2594</v>
      </c>
      <c r="I17751" s="7">
        <v>36</v>
      </c>
      <c r="J17751" s="7">
        <v>114</v>
      </c>
      <c r="K17751" s="7" t="s">
        <v>18</v>
      </c>
      <c r="L17751" s="8">
        <v>39987.315405092595</v>
      </c>
      <c r="M17751" s="9" t="s">
        <v>19</v>
      </c>
      <c r="N17751" s="9" t="s">
        <v>20</v>
      </c>
      <c r="O17751" s="6" t="str">
        <f>HYPERLINK("https://pbs.twimg.com/profile_images/962471262747529216/Uo8lOkRJ_normal.jpg","View")</f>
        <v>View</v>
      </c>
      <c r="P17751" s="7"/>
    </row>
    <row r="17752" spans="1:16">
      <c r="A17752" s="3">
        <v>44565.774375000001</v>
      </c>
      <c r="B17752" s="4" t="str">
        <f>HYPERLINK("https://twitter.com/petrogustavo","@petrogustavo")</f>
        <v>@petrogustavo</v>
      </c>
      <c r="C17752" s="5" t="s">
        <v>16</v>
      </c>
      <c r="D17752" s="5" t="s">
        <v>17088</v>
      </c>
      <c r="E17752" s="6" t="str">
        <f>HYPERLINK("https://twitter.com/petrogustavo/status/1478351783726665732","1478351783726665732")</f>
        <v>1478351783726665732</v>
      </c>
      <c r="F17752" s="7" t="s">
        <v>17</v>
      </c>
      <c r="G17752" s="7">
        <v>4443213</v>
      </c>
      <c r="H17752" s="7">
        <v>2594</v>
      </c>
      <c r="I17752" s="7">
        <v>39</v>
      </c>
      <c r="J17752" s="7">
        <v>128</v>
      </c>
      <c r="K17752" s="7" t="s">
        <v>18</v>
      </c>
      <c r="L17752" s="8">
        <v>39987.315405092595</v>
      </c>
      <c r="M17752" s="9" t="s">
        <v>19</v>
      </c>
      <c r="N17752" s="9" t="s">
        <v>20</v>
      </c>
      <c r="O17752" s="6" t="str">
        <f>HYPERLINK("https://pbs.twimg.com/profile_images/962471262747529216/Uo8lOkRJ_normal.jpg","View")</f>
        <v>View</v>
      </c>
      <c r="P17752" s="7"/>
    </row>
    <row r="17753" spans="1:16">
      <c r="A17753" s="3">
        <v>44565.987303240741</v>
      </c>
      <c r="B17753" s="4" t="str">
        <f>HYPERLINK("https://twitter.com/petrogustavo","@petrogustavo")</f>
        <v>@petrogustavo</v>
      </c>
      <c r="C17753" s="5" t="s">
        <v>16</v>
      </c>
      <c r="D17753" s="5" t="s">
        <v>17089</v>
      </c>
      <c r="E17753" s="6" t="str">
        <f>HYPERLINK("https://twitter.com/petrogustavo/status/1478428947444649989","1478428947444649989")</f>
        <v>1478428947444649989</v>
      </c>
      <c r="F17753" s="7" t="s">
        <v>17</v>
      </c>
      <c r="G17753" s="7">
        <v>4443487</v>
      </c>
      <c r="H17753" s="7">
        <v>2594</v>
      </c>
      <c r="I17753" s="7">
        <v>48</v>
      </c>
      <c r="J17753" s="7">
        <v>118</v>
      </c>
      <c r="K17753" s="7" t="s">
        <v>18</v>
      </c>
      <c r="L17753" s="8">
        <v>39987.315405092595</v>
      </c>
      <c r="M17753" s="9" t="s">
        <v>19</v>
      </c>
      <c r="N17753" s="9" t="s">
        <v>20</v>
      </c>
      <c r="O17753" s="6" t="str">
        <f>HYPERLINK("https://pbs.twimg.com/profile_images/962471262747529216/Uo8lOkRJ_normal.jpg","View")</f>
        <v>View</v>
      </c>
      <c r="P17753" s="7"/>
    </row>
    <row r="17754" spans="1:16">
      <c r="A17754" s="3">
        <v>44566.135300925926</v>
      </c>
      <c r="B17754" s="4" t="str">
        <f>HYPERLINK("https://twitter.com/petrogustavo","@petrogustavo")</f>
        <v>@petrogustavo</v>
      </c>
      <c r="C17754" s="5" t="s">
        <v>16</v>
      </c>
      <c r="D17754" s="5" t="s">
        <v>17090</v>
      </c>
      <c r="E17754" s="6" t="str">
        <f>HYPERLINK("https://twitter.com/petrogustavo/status/1478482577929478146","1478482577929478146")</f>
        <v>1478482577929478146</v>
      </c>
      <c r="F17754" s="7" t="s">
        <v>17</v>
      </c>
      <c r="G17754" s="7">
        <v>4443715</v>
      </c>
      <c r="H17754" s="7">
        <v>2594</v>
      </c>
      <c r="I17754" s="7">
        <v>650</v>
      </c>
      <c r="J17754" s="7">
        <v>0</v>
      </c>
      <c r="K17754" s="7" t="s">
        <v>18</v>
      </c>
      <c r="L17754" s="8">
        <v>39987.315405092595</v>
      </c>
      <c r="M17754" s="9" t="s">
        <v>19</v>
      </c>
      <c r="N17754" s="9" t="s">
        <v>20</v>
      </c>
      <c r="O17754" s="6" t="str">
        <f>HYPERLINK("https://pbs.twimg.com/profile_images/962471262747529216/Uo8lOkRJ_normal.jpg","View")</f>
        <v>View</v>
      </c>
      <c r="P17754" s="7"/>
    </row>
    <row r="17755" spans="1:16">
      <c r="A17755" s="3">
        <v>44566.156921296293</v>
      </c>
      <c r="B17755" s="4" t="str">
        <f>HYPERLINK("https://twitter.com/petrogustavo","@petrogustavo")</f>
        <v>@petrogustavo</v>
      </c>
      <c r="C17755" s="5" t="s">
        <v>16</v>
      </c>
      <c r="D17755" s="5" t="s">
        <v>17091</v>
      </c>
      <c r="E17755" s="6" t="str">
        <f>HYPERLINK("https://twitter.com/petrogustavo/status/1478490413677912067","1478490413677912067")</f>
        <v>1478490413677912067</v>
      </c>
      <c r="F17755" s="7" t="s">
        <v>17</v>
      </c>
      <c r="G17755" s="7">
        <v>4443747</v>
      </c>
      <c r="H17755" s="7">
        <v>2594</v>
      </c>
      <c r="I17755" s="7">
        <v>155</v>
      </c>
      <c r="J17755" s="7">
        <v>315</v>
      </c>
      <c r="K17755" s="7" t="s">
        <v>18</v>
      </c>
      <c r="L17755" s="8">
        <v>39987.315405092595</v>
      </c>
      <c r="M17755" s="9" t="s">
        <v>19</v>
      </c>
      <c r="N17755" s="9" t="s">
        <v>20</v>
      </c>
      <c r="O17755" s="6" t="str">
        <f>HYPERLINK("https://pbs.twimg.com/profile_images/962471262747529216/Uo8lOkRJ_normal.jpg","View")</f>
        <v>View</v>
      </c>
      <c r="P17755" s="7"/>
    </row>
    <row r="17756" spans="1:16">
      <c r="A17756" s="3">
        <v>44566.156921296293</v>
      </c>
      <c r="B17756" s="4" t="str">
        <f>HYPERLINK("https://twitter.com/petrogustavo","@petrogustavo")</f>
        <v>@petrogustavo</v>
      </c>
      <c r="C17756" s="5" t="s">
        <v>16</v>
      </c>
      <c r="D17756" s="5" t="s">
        <v>17092</v>
      </c>
      <c r="E17756" s="6" t="str">
        <f>HYPERLINK("https://twitter.com/petrogustavo/status/1478490416538398727","1478490416538398727")</f>
        <v>1478490416538398727</v>
      </c>
      <c r="F17756" s="7" t="s">
        <v>17</v>
      </c>
      <c r="G17756" s="7">
        <v>4443747</v>
      </c>
      <c r="H17756" s="7">
        <v>2594</v>
      </c>
      <c r="I17756" s="7">
        <v>47</v>
      </c>
      <c r="J17756" s="7">
        <v>128</v>
      </c>
      <c r="K17756" s="7" t="s">
        <v>18</v>
      </c>
      <c r="L17756" s="8">
        <v>39987.315405092595</v>
      </c>
      <c r="M17756" s="9" t="s">
        <v>19</v>
      </c>
      <c r="N17756" s="9" t="s">
        <v>20</v>
      </c>
      <c r="O17756" s="6" t="str">
        <f>HYPERLINK("https://pbs.twimg.com/profile_images/962471262747529216/Uo8lOkRJ_normal.jpg","View")</f>
        <v>View</v>
      </c>
      <c r="P17756" s="7"/>
    </row>
    <row r="17757" spans="1:16">
      <c r="A17757" s="3">
        <v>44566.15693287037</v>
      </c>
      <c r="B17757" s="4" t="str">
        <f>HYPERLINK("https://twitter.com/petrogustavo","@petrogustavo")</f>
        <v>@petrogustavo</v>
      </c>
      <c r="C17757" s="5" t="s">
        <v>16</v>
      </c>
      <c r="D17757" s="5" t="s">
        <v>17093</v>
      </c>
      <c r="E17757" s="6" t="str">
        <f>HYPERLINK("https://twitter.com/petrogustavo/status/1478490418165829635","1478490418165829635")</f>
        <v>1478490418165829635</v>
      </c>
      <c r="F17757" s="7" t="s">
        <v>17</v>
      </c>
      <c r="G17757" s="7">
        <v>4443747</v>
      </c>
      <c r="H17757" s="7">
        <v>2594</v>
      </c>
      <c r="I17757" s="7">
        <v>52</v>
      </c>
      <c r="J17757" s="7">
        <v>151</v>
      </c>
      <c r="K17757" s="7" t="s">
        <v>18</v>
      </c>
      <c r="L17757" s="8">
        <v>39987.315405092595</v>
      </c>
      <c r="M17757" s="9" t="s">
        <v>19</v>
      </c>
      <c r="N17757" s="9" t="s">
        <v>20</v>
      </c>
      <c r="O17757" s="6" t="str">
        <f>HYPERLINK("https://pbs.twimg.com/profile_images/962471262747529216/Uo8lOkRJ_normal.jpg","View")</f>
        <v>View</v>
      </c>
      <c r="P17757" s="7"/>
    </row>
    <row r="17758" spans="1:16">
      <c r="A17758" s="3">
        <v>44566.159884259258</v>
      </c>
      <c r="B17758" s="4" t="str">
        <f>HYPERLINK("https://twitter.com/petrogustavo","@petrogustavo")</f>
        <v>@petrogustavo</v>
      </c>
      <c r="C17758" s="5" t="s">
        <v>16</v>
      </c>
      <c r="D17758" s="5" t="s">
        <v>17094</v>
      </c>
      <c r="E17758" s="6" t="str">
        <f>HYPERLINK("https://twitter.com/petrogustavo/status/1478491487495237635","1478491487495237635")</f>
        <v>1478491487495237635</v>
      </c>
      <c r="F17758" s="7" t="s">
        <v>17</v>
      </c>
      <c r="G17758" s="7">
        <v>4443747</v>
      </c>
      <c r="H17758" s="7">
        <v>2594</v>
      </c>
      <c r="I17758" s="7">
        <v>40</v>
      </c>
      <c r="J17758" s="7">
        <v>117</v>
      </c>
      <c r="K17758" s="7" t="s">
        <v>18</v>
      </c>
      <c r="L17758" s="8">
        <v>39987.315405092595</v>
      </c>
      <c r="M17758" s="9" t="s">
        <v>19</v>
      </c>
      <c r="N17758" s="9" t="s">
        <v>20</v>
      </c>
      <c r="O17758" s="6" t="str">
        <f>HYPERLINK("https://pbs.twimg.com/profile_images/962471262747529216/Uo8lOkRJ_normal.jpg","View")</f>
        <v>View</v>
      </c>
      <c r="P17758" s="7"/>
    </row>
    <row r="17759" spans="1:16">
      <c r="A17759" s="3">
        <v>44566.159884259258</v>
      </c>
      <c r="B17759" s="4" t="str">
        <f>HYPERLINK("https://twitter.com/petrogustavo","@petrogustavo")</f>
        <v>@petrogustavo</v>
      </c>
      <c r="C17759" s="5" t="s">
        <v>16</v>
      </c>
      <c r="D17759" s="5" t="s">
        <v>17095</v>
      </c>
      <c r="E17759" s="6" t="str">
        <f>HYPERLINK("https://twitter.com/petrogustavo/status/1478491489533669385","1478491489533669385")</f>
        <v>1478491489533669385</v>
      </c>
      <c r="F17759" s="7" t="s">
        <v>17</v>
      </c>
      <c r="G17759" s="7">
        <v>4443747</v>
      </c>
      <c r="H17759" s="7">
        <v>2594</v>
      </c>
      <c r="I17759" s="7">
        <v>43</v>
      </c>
      <c r="J17759" s="7">
        <v>132</v>
      </c>
      <c r="K17759" s="7" t="s">
        <v>18</v>
      </c>
      <c r="L17759" s="8">
        <v>39987.315405092595</v>
      </c>
      <c r="M17759" s="9" t="s">
        <v>19</v>
      </c>
      <c r="N17759" s="9" t="s">
        <v>20</v>
      </c>
      <c r="O17759" s="6" t="str">
        <f>HYPERLINK("https://pbs.twimg.com/profile_images/962471262747529216/Uo8lOkRJ_normal.jpg","View")</f>
        <v>View</v>
      </c>
      <c r="P17759" s="7"/>
    </row>
    <row r="17760" spans="1:16">
      <c r="A17760" s="3">
        <v>44566.160011574073</v>
      </c>
      <c r="B17760" s="4" t="str">
        <f>HYPERLINK("https://twitter.com/petrogustavo","@petrogustavo")</f>
        <v>@petrogustavo</v>
      </c>
      <c r="C17760" s="5" t="s">
        <v>16</v>
      </c>
      <c r="D17760" s="5" t="s">
        <v>17096</v>
      </c>
      <c r="E17760" s="6" t="str">
        <f>HYPERLINK("https://twitter.com/petrogustavo/status/1478491534764957699","1478491534764957699")</f>
        <v>1478491534764957699</v>
      </c>
      <c r="F17760" s="7" t="s">
        <v>17</v>
      </c>
      <c r="G17760" s="7">
        <v>4443747</v>
      </c>
      <c r="H17760" s="7">
        <v>2594</v>
      </c>
      <c r="I17760" s="7">
        <v>155</v>
      </c>
      <c r="J17760" s="7">
        <v>0</v>
      </c>
      <c r="K17760" s="7" t="s">
        <v>18</v>
      </c>
      <c r="L17760" s="8">
        <v>39987.315405092595</v>
      </c>
      <c r="M17760" s="9" t="s">
        <v>19</v>
      </c>
      <c r="N17760" s="9" t="s">
        <v>20</v>
      </c>
      <c r="O17760" s="6" t="str">
        <f>HYPERLINK("https://pbs.twimg.com/profile_images/962471262747529216/Uo8lOkRJ_normal.jpg","View")</f>
        <v>View</v>
      </c>
      <c r="P17760" s="7"/>
    </row>
    <row r="17761" spans="1:16">
      <c r="A17761" s="3">
        <v>44566.192465277782</v>
      </c>
      <c r="B17761" s="4" t="str">
        <f>HYPERLINK("https://twitter.com/petrogustavo","@petrogustavo")</f>
        <v>@petrogustavo</v>
      </c>
      <c r="C17761" s="5" t="s">
        <v>16</v>
      </c>
      <c r="D17761" s="5" t="s">
        <v>17097</v>
      </c>
      <c r="E17761" s="6" t="str">
        <f>HYPERLINK("https://twitter.com/petrogustavo/status/1478503293202669577","1478503293202669577")</f>
        <v>1478503293202669577</v>
      </c>
      <c r="F17761" s="7" t="s">
        <v>17</v>
      </c>
      <c r="G17761" s="7">
        <v>4443808</v>
      </c>
      <c r="H17761" s="7">
        <v>2594</v>
      </c>
      <c r="I17761" s="7">
        <v>220</v>
      </c>
      <c r="J17761" s="7">
        <v>451</v>
      </c>
      <c r="K17761" s="7" t="s">
        <v>18</v>
      </c>
      <c r="L17761" s="8">
        <v>39987.315405092595</v>
      </c>
      <c r="M17761" s="9" t="s">
        <v>19</v>
      </c>
      <c r="N17761" s="9" t="s">
        <v>20</v>
      </c>
      <c r="O17761" s="6" t="str">
        <f>HYPERLINK("https://pbs.twimg.com/profile_images/962471262747529216/Uo8lOkRJ_normal.jpg","View")</f>
        <v>View</v>
      </c>
      <c r="P17761" s="7"/>
    </row>
    <row r="17762" spans="1:16">
      <c r="A17762" s="3">
        <v>44566.192465277782</v>
      </c>
      <c r="B17762" s="4" t="str">
        <f>HYPERLINK("https://twitter.com/petrogustavo","@petrogustavo")</f>
        <v>@petrogustavo</v>
      </c>
      <c r="C17762" s="5" t="s">
        <v>16</v>
      </c>
      <c r="D17762" s="5" t="s">
        <v>17098</v>
      </c>
      <c r="E17762" s="6" t="str">
        <f>HYPERLINK("https://twitter.com/petrogustavo/status/1478503295157260289","1478503295157260289")</f>
        <v>1478503295157260289</v>
      </c>
      <c r="F17762" s="7" t="s">
        <v>17</v>
      </c>
      <c r="G17762" s="7">
        <v>4443808</v>
      </c>
      <c r="H17762" s="7">
        <v>2594</v>
      </c>
      <c r="I17762" s="7">
        <v>99</v>
      </c>
      <c r="J17762" s="7">
        <v>262</v>
      </c>
      <c r="K17762" s="7" t="s">
        <v>18</v>
      </c>
      <c r="L17762" s="8">
        <v>39987.315405092595</v>
      </c>
      <c r="M17762" s="9" t="s">
        <v>19</v>
      </c>
      <c r="N17762" s="9" t="s">
        <v>20</v>
      </c>
      <c r="O17762" s="6" t="str">
        <f>HYPERLINK("https://pbs.twimg.com/profile_images/962471262747529216/Uo8lOkRJ_normal.jpg","View")</f>
        <v>View</v>
      </c>
      <c r="P17762" s="7"/>
    </row>
    <row r="17763" spans="1:16">
      <c r="A17763" s="3">
        <v>44566.208298611113</v>
      </c>
      <c r="B17763" s="4" t="str">
        <f>HYPERLINK("https://twitter.com/petrogustavo","@petrogustavo")</f>
        <v>@petrogustavo</v>
      </c>
      <c r="C17763" s="5" t="s">
        <v>16</v>
      </c>
      <c r="D17763" s="5" t="s">
        <v>17096</v>
      </c>
      <c r="E17763" s="6" t="str">
        <f>HYPERLINK("https://twitter.com/petrogustavo/status/1478509031409004546","1478509031409004546")</f>
        <v>1478509031409004546</v>
      </c>
      <c r="F17763" s="7" t="s">
        <v>17</v>
      </c>
      <c r="G17763" s="7">
        <v>4443808</v>
      </c>
      <c r="H17763" s="7">
        <v>2594</v>
      </c>
      <c r="I17763" s="7">
        <v>418</v>
      </c>
      <c r="J17763" s="7">
        <v>0</v>
      </c>
      <c r="K17763" s="7" t="s">
        <v>18</v>
      </c>
      <c r="L17763" s="8">
        <v>39987.315405092595</v>
      </c>
      <c r="M17763" s="9" t="s">
        <v>19</v>
      </c>
      <c r="N17763" s="9" t="s">
        <v>20</v>
      </c>
      <c r="O17763" s="6" t="str">
        <f>HYPERLINK("https://pbs.twimg.com/profile_images/962471262747529216/Uo8lOkRJ_normal.jpg","View")</f>
        <v>View</v>
      </c>
      <c r="P17763" s="7"/>
    </row>
    <row r="17764" spans="1:16">
      <c r="A17764" s="3">
        <v>44566.883136574077</v>
      </c>
      <c r="B17764" s="4" t="str">
        <f>HYPERLINK("https://twitter.com/petrogustavo","@petrogustavo")</f>
        <v>@petrogustavo</v>
      </c>
      <c r="C17764" s="5" t="s">
        <v>16</v>
      </c>
      <c r="D17764" s="5" t="s">
        <v>17099</v>
      </c>
      <c r="E17764" s="6" t="str">
        <f>HYPERLINK("https://twitter.com/petrogustavo/status/1478753586809122818","1478753586809122818")</f>
        <v>1478753586809122818</v>
      </c>
      <c r="F17764" s="7" t="s">
        <v>17</v>
      </c>
      <c r="G17764" s="7">
        <v>4444429</v>
      </c>
      <c r="H17764" s="7">
        <v>2594</v>
      </c>
      <c r="I17764" s="7">
        <v>1814</v>
      </c>
      <c r="J17764" s="7">
        <v>0</v>
      </c>
      <c r="K17764" s="7" t="s">
        <v>18</v>
      </c>
      <c r="L17764" s="8">
        <v>39987.315405092595</v>
      </c>
      <c r="M17764" s="9" t="s">
        <v>19</v>
      </c>
      <c r="N17764" s="9" t="s">
        <v>20</v>
      </c>
      <c r="O17764" s="6" t="str">
        <f>HYPERLINK("https://pbs.twimg.com/profile_images/962471262747529216/Uo8lOkRJ_normal.jpg","View")</f>
        <v>View</v>
      </c>
      <c r="P17764" s="7"/>
    </row>
    <row r="17765" spans="1:16">
      <c r="A17765" s="3">
        <v>44566.992858796293</v>
      </c>
      <c r="B17765" s="4" t="str">
        <f>HYPERLINK("https://twitter.com/petrogustavo","@petrogustavo")</f>
        <v>@petrogustavo</v>
      </c>
      <c r="C17765" s="5" t="s">
        <v>16</v>
      </c>
      <c r="D17765" s="5" t="s">
        <v>17100</v>
      </c>
      <c r="E17765" s="6" t="str">
        <f>HYPERLINK("https://twitter.com/petrogustavo/status/1478793346948685828","1478793346948685828")</f>
        <v>1478793346948685828</v>
      </c>
      <c r="F17765" s="7" t="s">
        <v>17</v>
      </c>
      <c r="G17765" s="7">
        <v>4444665</v>
      </c>
      <c r="H17765" s="7">
        <v>2594</v>
      </c>
      <c r="I17765" s="7">
        <v>200</v>
      </c>
      <c r="J17765" s="7">
        <v>605</v>
      </c>
      <c r="K17765" s="7" t="s">
        <v>18</v>
      </c>
      <c r="L17765" s="8">
        <v>39987.315405092595</v>
      </c>
      <c r="M17765" s="9" t="s">
        <v>19</v>
      </c>
      <c r="N17765" s="9" t="s">
        <v>20</v>
      </c>
      <c r="O17765" s="6" t="str">
        <f>HYPERLINK("https://pbs.twimg.com/profile_images/962471262747529216/Uo8lOkRJ_normal.jpg","View")</f>
        <v>View</v>
      </c>
      <c r="P17765" s="7"/>
    </row>
    <row r="17766" spans="1:16">
      <c r="A17766" s="3">
        <v>44567.015381944446</v>
      </c>
      <c r="B17766" s="4" t="str">
        <f>HYPERLINK("https://twitter.com/petrogustavo","@petrogustavo")</f>
        <v>@petrogustavo</v>
      </c>
      <c r="C17766" s="5" t="s">
        <v>16</v>
      </c>
      <c r="D17766" s="5" t="s">
        <v>17101</v>
      </c>
      <c r="E17766" s="6" t="str">
        <f>HYPERLINK("https://twitter.com/petrogustavo/status/1478801511874498569","1478801511874498569")</f>
        <v>1478801511874498569</v>
      </c>
      <c r="F17766" s="7" t="s">
        <v>17</v>
      </c>
      <c r="G17766" s="7">
        <v>4444687</v>
      </c>
      <c r="H17766" s="7">
        <v>2594</v>
      </c>
      <c r="I17766" s="7">
        <v>388</v>
      </c>
      <c r="J17766" s="7">
        <v>1067</v>
      </c>
      <c r="K17766" s="7" t="s">
        <v>18</v>
      </c>
      <c r="L17766" s="8">
        <v>39987.315405092595</v>
      </c>
      <c r="M17766" s="9" t="s">
        <v>19</v>
      </c>
      <c r="N17766" s="9" t="s">
        <v>20</v>
      </c>
      <c r="O17766" s="6" t="str">
        <f>HYPERLINK("https://pbs.twimg.com/profile_images/962471262747529216/Uo8lOkRJ_normal.jpg","View")</f>
        <v>View</v>
      </c>
      <c r="P17766" s="7"/>
    </row>
    <row r="17767" spans="1:16">
      <c r="A17767" s="3">
        <v>44567.813321759255</v>
      </c>
      <c r="B17767" s="4" t="str">
        <f>HYPERLINK("https://twitter.com/petrogustavo","@petrogustavo")</f>
        <v>@petrogustavo</v>
      </c>
      <c r="C17767" s="5" t="s">
        <v>16</v>
      </c>
      <c r="D17767" s="5" t="s">
        <v>17102</v>
      </c>
      <c r="E17767" s="6" t="str">
        <f>HYPERLINK("https://twitter.com/petrogustavo/status/1479090672128958467","1479090672128958467")</f>
        <v>1479090672128958467</v>
      </c>
      <c r="F17767" s="7" t="s">
        <v>17</v>
      </c>
      <c r="G17767" s="7">
        <v>4445569</v>
      </c>
      <c r="H17767" s="7">
        <v>2594</v>
      </c>
      <c r="I17767" s="7">
        <v>138</v>
      </c>
      <c r="J17767" s="7">
        <v>342</v>
      </c>
      <c r="K17767" s="7" t="s">
        <v>18</v>
      </c>
      <c r="L17767" s="8">
        <v>39987.315405092595</v>
      </c>
      <c r="M17767" s="9" t="s">
        <v>19</v>
      </c>
      <c r="N17767" s="9" t="s">
        <v>20</v>
      </c>
      <c r="O17767" s="6" t="str">
        <f>HYPERLINK("https://pbs.twimg.com/profile_images/962471262747529216/Uo8lOkRJ_normal.jpg","View")</f>
        <v>View</v>
      </c>
      <c r="P17767" s="7"/>
    </row>
    <row r="17768" spans="1:16">
      <c r="A17768" s="3">
        <v>44567.813321759255</v>
      </c>
      <c r="B17768" s="4" t="str">
        <f>HYPERLINK("https://twitter.com/petrogustavo","@petrogustavo")</f>
        <v>@petrogustavo</v>
      </c>
      <c r="C17768" s="5" t="s">
        <v>16</v>
      </c>
      <c r="D17768" s="5" t="s">
        <v>17103</v>
      </c>
      <c r="E17768" s="6" t="str">
        <f>HYPERLINK("https://twitter.com/petrogustavo/status/1479090674305806339","1479090674305806339")</f>
        <v>1479090674305806339</v>
      </c>
      <c r="F17768" s="7" t="s">
        <v>17</v>
      </c>
      <c r="G17768" s="7">
        <v>4445569</v>
      </c>
      <c r="H17768" s="7">
        <v>2594</v>
      </c>
      <c r="I17768" s="7">
        <v>72</v>
      </c>
      <c r="J17768" s="7">
        <v>209</v>
      </c>
      <c r="K17768" s="7" t="s">
        <v>18</v>
      </c>
      <c r="L17768" s="8">
        <v>39987.315405092595</v>
      </c>
      <c r="M17768" s="9" t="s">
        <v>19</v>
      </c>
      <c r="N17768" s="9" t="s">
        <v>20</v>
      </c>
      <c r="O17768" s="6" t="str">
        <f>HYPERLINK("https://pbs.twimg.com/profile_images/962471262747529216/Uo8lOkRJ_normal.jpg","View")</f>
        <v>View</v>
      </c>
      <c r="P17768" s="7"/>
    </row>
    <row r="17769" spans="1:16">
      <c r="A17769" s="3">
        <v>44567.813333333332</v>
      </c>
      <c r="B17769" s="4" t="str">
        <f>HYPERLINK("https://twitter.com/petrogustavo","@petrogustavo")</f>
        <v>@petrogustavo</v>
      </c>
      <c r="C17769" s="5" t="s">
        <v>16</v>
      </c>
      <c r="D17769" s="5" t="s">
        <v>17104</v>
      </c>
      <c r="E17769" s="6" t="str">
        <f>HYPERLINK("https://twitter.com/petrogustavo/status/1479090676050673672","1479090676050673672")</f>
        <v>1479090676050673672</v>
      </c>
      <c r="F17769" s="7" t="s">
        <v>17</v>
      </c>
      <c r="G17769" s="7">
        <v>4445569</v>
      </c>
      <c r="H17769" s="7">
        <v>2594</v>
      </c>
      <c r="I17769" s="7">
        <v>69</v>
      </c>
      <c r="J17769" s="7">
        <v>200</v>
      </c>
      <c r="K17769" s="7" t="s">
        <v>18</v>
      </c>
      <c r="L17769" s="8">
        <v>39987.315405092595</v>
      </c>
      <c r="M17769" s="9" t="s">
        <v>19</v>
      </c>
      <c r="N17769" s="9" t="s">
        <v>20</v>
      </c>
      <c r="O17769" s="6" t="str">
        <f>HYPERLINK("https://pbs.twimg.com/profile_images/962471262747529216/Uo8lOkRJ_normal.jpg","View")</f>
        <v>View</v>
      </c>
      <c r="P17769" s="7"/>
    </row>
    <row r="17770" spans="1:16">
      <c r="A17770" s="3">
        <v>44567.940925925926</v>
      </c>
      <c r="B17770" s="4" t="str">
        <f>HYPERLINK("https://twitter.com/petrogustavo","@petrogustavo")</f>
        <v>@petrogustavo</v>
      </c>
      <c r="C17770" s="5" t="s">
        <v>16</v>
      </c>
      <c r="D17770" s="5" t="s">
        <v>17105</v>
      </c>
      <c r="E17770" s="6" t="str">
        <f>HYPERLINK("https://twitter.com/petrogustavo/status/1479136915236470784","1479136915236470784")</f>
        <v>1479136915236470784</v>
      </c>
      <c r="F17770" s="7" t="s">
        <v>17</v>
      </c>
      <c r="G17770" s="7">
        <v>4445744</v>
      </c>
      <c r="H17770" s="7">
        <v>2593</v>
      </c>
      <c r="I17770" s="7">
        <v>769</v>
      </c>
      <c r="J17770" s="7">
        <v>0</v>
      </c>
      <c r="K17770" s="7" t="s">
        <v>18</v>
      </c>
      <c r="L17770" s="8">
        <v>39987.315405092595</v>
      </c>
      <c r="M17770" s="9" t="s">
        <v>19</v>
      </c>
      <c r="N17770" s="9" t="s">
        <v>20</v>
      </c>
      <c r="O17770" s="6" t="str">
        <f>HYPERLINK("https://pbs.twimg.com/profile_images/962471262747529216/Uo8lOkRJ_normal.jpg","View")</f>
        <v>View</v>
      </c>
      <c r="P17770" s="7"/>
    </row>
    <row r="17771" spans="1:16">
      <c r="A17771" s="3">
        <v>44567.959467592591</v>
      </c>
      <c r="B17771" s="4" t="str">
        <f>HYPERLINK("https://twitter.com/petrogustavo","@petrogustavo")</f>
        <v>@petrogustavo</v>
      </c>
      <c r="C17771" s="5" t="s">
        <v>16</v>
      </c>
      <c r="D17771" s="5" t="s">
        <v>17106</v>
      </c>
      <c r="E17771" s="6" t="str">
        <f>HYPERLINK("https://twitter.com/petrogustavo/status/1479143633983057924","1479143633983057924")</f>
        <v>1479143633983057924</v>
      </c>
      <c r="F17771" s="7" t="s">
        <v>17</v>
      </c>
      <c r="G17771" s="7">
        <v>4445772</v>
      </c>
      <c r="H17771" s="7">
        <v>2593</v>
      </c>
      <c r="I17771" s="7">
        <v>123</v>
      </c>
      <c r="J17771" s="7">
        <v>397</v>
      </c>
      <c r="K17771" s="7" t="s">
        <v>18</v>
      </c>
      <c r="L17771" s="8">
        <v>39987.315405092595</v>
      </c>
      <c r="M17771" s="9" t="s">
        <v>19</v>
      </c>
      <c r="N17771" s="9" t="s">
        <v>20</v>
      </c>
      <c r="O17771" s="6" t="str">
        <f>HYPERLINK("https://pbs.twimg.com/profile_images/962471262747529216/Uo8lOkRJ_normal.jpg","View")</f>
        <v>View</v>
      </c>
      <c r="P17771" s="7"/>
    </row>
    <row r="17772" spans="1:16">
      <c r="A17772" s="3">
        <v>44568.040324074071</v>
      </c>
      <c r="B17772" s="4" t="str">
        <f>HYPERLINK("https://twitter.com/petrogustavo","@petrogustavo")</f>
        <v>@petrogustavo</v>
      </c>
      <c r="C17772" s="5" t="s">
        <v>16</v>
      </c>
      <c r="D17772" s="5" t="s">
        <v>17107</v>
      </c>
      <c r="E17772" s="6" t="str">
        <f>HYPERLINK("https://twitter.com/petrogustavo/status/1479172936070275081","1479172936070275081")</f>
        <v>1479172936070275081</v>
      </c>
      <c r="F17772" s="7" t="s">
        <v>17</v>
      </c>
      <c r="G17772" s="7">
        <v>4445901</v>
      </c>
      <c r="H17772" s="7">
        <v>2593</v>
      </c>
      <c r="I17772" s="7">
        <v>556</v>
      </c>
      <c r="J17772" s="7">
        <v>0</v>
      </c>
      <c r="K17772" s="7" t="s">
        <v>18</v>
      </c>
      <c r="L17772" s="8">
        <v>39987.315405092595</v>
      </c>
      <c r="M17772" s="9" t="s">
        <v>19</v>
      </c>
      <c r="N17772" s="9" t="s">
        <v>20</v>
      </c>
      <c r="O17772" s="6" t="str">
        <f>HYPERLINK("https://pbs.twimg.com/profile_images/962471262747529216/Uo8lOkRJ_normal.jpg","View")</f>
        <v>View</v>
      </c>
      <c r="P17772" s="7"/>
    </row>
    <row r="17773" spans="1:16">
      <c r="A17773" s="3">
        <v>44568.047175925924</v>
      </c>
      <c r="B17773" s="4" t="str">
        <f>HYPERLINK("https://twitter.com/petrogustavo","@petrogustavo")</f>
        <v>@petrogustavo</v>
      </c>
      <c r="C17773" s="5" t="s">
        <v>16</v>
      </c>
      <c r="D17773" s="5" t="s">
        <v>17108</v>
      </c>
      <c r="E17773" s="6" t="str">
        <f>HYPERLINK("https://twitter.com/petrogustavo/status/1479175420926959622","1479175420926959622")</f>
        <v>1479175420926959622</v>
      </c>
      <c r="F17773" s="7" t="s">
        <v>17</v>
      </c>
      <c r="G17773" s="7">
        <v>4445901</v>
      </c>
      <c r="H17773" s="7">
        <v>2593</v>
      </c>
      <c r="I17773" s="7">
        <v>47</v>
      </c>
      <c r="J17773" s="7">
        <v>128</v>
      </c>
      <c r="K17773" s="7" t="s">
        <v>18</v>
      </c>
      <c r="L17773" s="8">
        <v>39987.315405092595</v>
      </c>
      <c r="M17773" s="9" t="s">
        <v>19</v>
      </c>
      <c r="N17773" s="9" t="s">
        <v>20</v>
      </c>
      <c r="O17773" s="6" t="str">
        <f>HYPERLINK("https://pbs.twimg.com/profile_images/962471262747529216/Uo8lOkRJ_normal.jpg","View")</f>
        <v>View</v>
      </c>
      <c r="P17773" s="7"/>
    </row>
    <row r="17774" spans="1:16">
      <c r="A17774" s="3">
        <v>44568.0471875</v>
      </c>
      <c r="B17774" s="4" t="str">
        <f>HYPERLINK("https://twitter.com/petrogustavo","@petrogustavo")</f>
        <v>@petrogustavo</v>
      </c>
      <c r="C17774" s="5" t="s">
        <v>16</v>
      </c>
      <c r="D17774" s="5" t="s">
        <v>17109</v>
      </c>
      <c r="E17774" s="6" t="str">
        <f>HYPERLINK("https://twitter.com/petrogustavo/status/1479175422801850368","1479175422801850368")</f>
        <v>1479175422801850368</v>
      </c>
      <c r="F17774" s="7" t="s">
        <v>17</v>
      </c>
      <c r="G17774" s="7">
        <v>4445901</v>
      </c>
      <c r="H17774" s="7">
        <v>2593</v>
      </c>
      <c r="I17774" s="7">
        <v>37</v>
      </c>
      <c r="J17774" s="7">
        <v>118</v>
      </c>
      <c r="K17774" s="7" t="s">
        <v>18</v>
      </c>
      <c r="L17774" s="8">
        <v>39987.315405092595</v>
      </c>
      <c r="M17774" s="9" t="s">
        <v>19</v>
      </c>
      <c r="N17774" s="9" t="s">
        <v>20</v>
      </c>
      <c r="O17774" s="6" t="str">
        <f>HYPERLINK("https://pbs.twimg.com/profile_images/962471262747529216/Uo8lOkRJ_normal.jpg","View")</f>
        <v>View</v>
      </c>
      <c r="P17774" s="7"/>
    </row>
    <row r="17775" spans="1:16">
      <c r="A17775" s="3">
        <v>44568.0471875</v>
      </c>
      <c r="B17775" s="4" t="str">
        <f>HYPERLINK("https://twitter.com/petrogustavo","@petrogustavo")</f>
        <v>@petrogustavo</v>
      </c>
      <c r="C17775" s="5" t="s">
        <v>16</v>
      </c>
      <c r="D17775" s="5" t="s">
        <v>17110</v>
      </c>
      <c r="E17775" s="6" t="str">
        <f>HYPERLINK("https://twitter.com/petrogustavo/status/1479175424408272900","1479175424408272900")</f>
        <v>1479175424408272900</v>
      </c>
      <c r="F17775" s="7" t="s">
        <v>17</v>
      </c>
      <c r="G17775" s="7">
        <v>4445901</v>
      </c>
      <c r="H17775" s="7">
        <v>2593</v>
      </c>
      <c r="I17775" s="7">
        <v>31</v>
      </c>
      <c r="J17775" s="7">
        <v>99</v>
      </c>
      <c r="K17775" s="7" t="s">
        <v>18</v>
      </c>
      <c r="L17775" s="8">
        <v>39987.315405092595</v>
      </c>
      <c r="M17775" s="9" t="s">
        <v>19</v>
      </c>
      <c r="N17775" s="9" t="s">
        <v>20</v>
      </c>
      <c r="O17775" s="6" t="str">
        <f>HYPERLINK("https://pbs.twimg.com/profile_images/962471262747529216/Uo8lOkRJ_normal.jpg","View")</f>
        <v>View</v>
      </c>
      <c r="P17775" s="7"/>
    </row>
    <row r="17776" spans="1:16">
      <c r="A17776" s="3">
        <v>44568.072581018518</v>
      </c>
      <c r="B17776" s="4" t="str">
        <f>HYPERLINK("https://twitter.com/petrogustavo","@petrogustavo")</f>
        <v>@petrogustavo</v>
      </c>
      <c r="C17776" s="5" t="s">
        <v>16</v>
      </c>
      <c r="D17776" s="5" t="s">
        <v>17111</v>
      </c>
      <c r="E17776" s="6" t="str">
        <f>HYPERLINK("https://twitter.com/petrogustavo/status/1479184627067670538","1479184627067670538")</f>
        <v>1479184627067670538</v>
      </c>
      <c r="F17776" s="7" t="s">
        <v>17</v>
      </c>
      <c r="G17776" s="7">
        <v>4445929</v>
      </c>
      <c r="H17776" s="7">
        <v>2593</v>
      </c>
      <c r="I17776" s="7">
        <v>49</v>
      </c>
      <c r="J17776" s="7">
        <v>175</v>
      </c>
      <c r="K17776" s="7" t="s">
        <v>18</v>
      </c>
      <c r="L17776" s="8">
        <v>39987.315405092595</v>
      </c>
      <c r="M17776" s="9" t="s">
        <v>19</v>
      </c>
      <c r="N17776" s="9" t="s">
        <v>20</v>
      </c>
      <c r="O17776" s="6" t="str">
        <f>HYPERLINK("https://pbs.twimg.com/profile_images/962471262747529216/Uo8lOkRJ_normal.jpg","View")</f>
        <v>View</v>
      </c>
      <c r="P17776" s="7"/>
    </row>
    <row r="17777" spans="1:16">
      <c r="A17777" s="3">
        <v>44568.63013888889</v>
      </c>
      <c r="B17777" s="4" t="str">
        <f>HYPERLINK("https://twitter.com/petrogustavo","@petrogustavo")</f>
        <v>@petrogustavo</v>
      </c>
      <c r="C17777" s="5" t="s">
        <v>16</v>
      </c>
      <c r="D17777" s="5" t="s">
        <v>17112</v>
      </c>
      <c r="E17777" s="6" t="str">
        <f>HYPERLINK("https://twitter.com/petrogustavo/status/1479386679832190978","1479386679832190978")</f>
        <v>1479386679832190978</v>
      </c>
      <c r="F17777" s="7" t="s">
        <v>17</v>
      </c>
      <c r="G17777" s="7">
        <v>4446492</v>
      </c>
      <c r="H17777" s="7">
        <v>2592</v>
      </c>
      <c r="I17777" s="7">
        <v>23</v>
      </c>
      <c r="J17777" s="7">
        <v>0</v>
      </c>
      <c r="K17777" s="7" t="s">
        <v>18</v>
      </c>
      <c r="L17777" s="8">
        <v>39987.315405092595</v>
      </c>
      <c r="M17777" s="9" t="s">
        <v>19</v>
      </c>
      <c r="N17777" s="9" t="s">
        <v>20</v>
      </c>
      <c r="O17777" s="6" t="str">
        <f>HYPERLINK("https://pbs.twimg.com/profile_images/962471262747529216/Uo8lOkRJ_normal.jpg","View")</f>
        <v>View</v>
      </c>
      <c r="P17777" s="7"/>
    </row>
    <row r="17778" spans="1:16">
      <c r="A17778" s="3">
        <v>44568.657800925925</v>
      </c>
      <c r="B17778" s="4" t="str">
        <f>HYPERLINK("https://twitter.com/petrogustavo","@petrogustavo")</f>
        <v>@petrogustavo</v>
      </c>
      <c r="C17778" s="5" t="s">
        <v>16</v>
      </c>
      <c r="D17778" s="5" t="s">
        <v>17113</v>
      </c>
      <c r="E17778" s="6" t="str">
        <f>HYPERLINK("https://twitter.com/petrogustavo/status/1479396704969445376","1479396704969445376")</f>
        <v>1479396704969445376</v>
      </c>
      <c r="F17778" s="7" t="s">
        <v>17</v>
      </c>
      <c r="G17778" s="7">
        <v>4446499</v>
      </c>
      <c r="H17778" s="7">
        <v>2592</v>
      </c>
      <c r="I17778" s="7">
        <v>26</v>
      </c>
      <c r="J17778" s="7">
        <v>0</v>
      </c>
      <c r="K17778" s="7" t="s">
        <v>18</v>
      </c>
      <c r="L17778" s="8">
        <v>39987.315405092595</v>
      </c>
      <c r="M17778" s="9" t="s">
        <v>19</v>
      </c>
      <c r="N17778" s="9" t="s">
        <v>20</v>
      </c>
      <c r="O17778" s="6" t="str">
        <f>HYPERLINK("https://pbs.twimg.com/profile_images/962471262747529216/Uo8lOkRJ_normal.jpg","View")</f>
        <v>View</v>
      </c>
      <c r="P17778" s="7"/>
    </row>
    <row r="17779" spans="1:16">
      <c r="A17779" s="3">
        <v>44568.660844907412</v>
      </c>
      <c r="B17779" s="4" t="str">
        <f>HYPERLINK("https://twitter.com/petrogustavo","@petrogustavo")</f>
        <v>@petrogustavo</v>
      </c>
      <c r="C17779" s="5" t="s">
        <v>16</v>
      </c>
      <c r="D17779" s="5" t="s">
        <v>17114</v>
      </c>
      <c r="E17779" s="6" t="str">
        <f>HYPERLINK("https://twitter.com/petrogustavo/status/1479397806154596353","1479397806154596353")</f>
        <v>1479397806154596353</v>
      </c>
      <c r="F17779" s="7" t="s">
        <v>17</v>
      </c>
      <c r="G17779" s="7">
        <v>4446507</v>
      </c>
      <c r="H17779" s="7">
        <v>2592</v>
      </c>
      <c r="I17779" s="7">
        <v>83</v>
      </c>
      <c r="J17779" s="7">
        <v>247</v>
      </c>
      <c r="K17779" s="7" t="s">
        <v>18</v>
      </c>
      <c r="L17779" s="8">
        <v>39987.315405092595</v>
      </c>
      <c r="M17779" s="9" t="s">
        <v>19</v>
      </c>
      <c r="N17779" s="9" t="s">
        <v>20</v>
      </c>
      <c r="O17779" s="6" t="str">
        <f>HYPERLINK("https://pbs.twimg.com/profile_images/962471262747529216/Uo8lOkRJ_normal.jpg","View")</f>
        <v>View</v>
      </c>
      <c r="P17779" s="7"/>
    </row>
    <row r="17780" spans="1:16">
      <c r="A17780" s="3">
        <v>44568.815428240741</v>
      </c>
      <c r="B17780" s="4" t="str">
        <f>HYPERLINK("https://twitter.com/petrogustavo","@petrogustavo")</f>
        <v>@petrogustavo</v>
      </c>
      <c r="C17780" s="5" t="s">
        <v>16</v>
      </c>
      <c r="D17780" s="5" t="s">
        <v>17115</v>
      </c>
      <c r="E17780" s="6" t="str">
        <f>HYPERLINK("https://twitter.com/petrogustavo/status/1479453823492100106","1479453823492100106")</f>
        <v>1479453823492100106</v>
      </c>
      <c r="F17780" s="7" t="s">
        <v>17</v>
      </c>
      <c r="G17780" s="7">
        <v>4446665</v>
      </c>
      <c r="H17780" s="7">
        <v>2592</v>
      </c>
      <c r="I17780" s="7">
        <v>131</v>
      </c>
      <c r="J17780" s="7">
        <v>531</v>
      </c>
      <c r="K17780" s="7" t="s">
        <v>18</v>
      </c>
      <c r="L17780" s="8">
        <v>39987.315405092595</v>
      </c>
      <c r="M17780" s="9" t="s">
        <v>19</v>
      </c>
      <c r="N17780" s="9" t="s">
        <v>20</v>
      </c>
      <c r="O17780" s="6" t="str">
        <f>HYPERLINK("https://pbs.twimg.com/profile_images/962471262747529216/Uo8lOkRJ_normal.jpg","View")</f>
        <v>View</v>
      </c>
      <c r="P17780" s="7"/>
    </row>
    <row r="17781" spans="1:16">
      <c r="A17781" s="3">
        <v>44568.823449074072</v>
      </c>
      <c r="B17781" s="4" t="str">
        <f>HYPERLINK("https://twitter.com/petrogustavo","@petrogustavo")</f>
        <v>@petrogustavo</v>
      </c>
      <c r="C17781" s="5" t="s">
        <v>16</v>
      </c>
      <c r="D17781" s="5" t="s">
        <v>17116</v>
      </c>
      <c r="E17781" s="6" t="str">
        <f>HYPERLINK("https://twitter.com/petrogustavo/status/1479456731143057412","1479456731143057412")</f>
        <v>1479456731143057412</v>
      </c>
      <c r="F17781" s="7" t="s">
        <v>17</v>
      </c>
      <c r="G17781" s="7">
        <v>4446665</v>
      </c>
      <c r="H17781" s="7">
        <v>2592</v>
      </c>
      <c r="I17781" s="7">
        <v>115</v>
      </c>
      <c r="J17781" s="7">
        <v>230</v>
      </c>
      <c r="K17781" s="7" t="s">
        <v>18</v>
      </c>
      <c r="L17781" s="8">
        <v>39987.315405092595</v>
      </c>
      <c r="M17781" s="9" t="s">
        <v>19</v>
      </c>
      <c r="N17781" s="9" t="s">
        <v>20</v>
      </c>
      <c r="O17781" s="6" t="str">
        <f>HYPERLINK("https://pbs.twimg.com/profile_images/962471262747529216/Uo8lOkRJ_normal.jpg","View")</f>
        <v>View</v>
      </c>
      <c r="P17781" s="7"/>
    </row>
    <row r="17782" spans="1:16">
      <c r="A17782" s="3">
        <v>44568.850312499999</v>
      </c>
      <c r="B17782" s="4" t="str">
        <f>HYPERLINK("https://twitter.com/petrogustavo","@petrogustavo")</f>
        <v>@petrogustavo</v>
      </c>
      <c r="C17782" s="5" t="s">
        <v>16</v>
      </c>
      <c r="D17782" s="5" t="s">
        <v>17117</v>
      </c>
      <c r="E17782" s="6" t="str">
        <f>HYPERLINK("https://twitter.com/petrogustavo/status/1479466468580417537","1479466468580417537")</f>
        <v>1479466468580417537</v>
      </c>
      <c r="F17782" s="7" t="s">
        <v>17</v>
      </c>
      <c r="G17782" s="7">
        <v>4446704</v>
      </c>
      <c r="H17782" s="7">
        <v>2592</v>
      </c>
      <c r="I17782" s="7">
        <v>58</v>
      </c>
      <c r="J17782" s="7">
        <v>289</v>
      </c>
      <c r="K17782" s="7" t="s">
        <v>18</v>
      </c>
      <c r="L17782" s="8">
        <v>39987.315405092595</v>
      </c>
      <c r="M17782" s="9" t="s">
        <v>19</v>
      </c>
      <c r="N17782" s="9" t="s">
        <v>20</v>
      </c>
      <c r="O17782" s="6" t="str">
        <f>HYPERLINK("https://pbs.twimg.com/profile_images/962471262747529216/Uo8lOkRJ_normal.jpg","View")</f>
        <v>View</v>
      </c>
      <c r="P17782" s="7"/>
    </row>
    <row r="17783" spans="1:16">
      <c r="A17783" s="3">
        <v>44568.851851851854</v>
      </c>
      <c r="B17783" s="4" t="str">
        <f>HYPERLINK("https://twitter.com/petrogustavo","@petrogustavo")</f>
        <v>@petrogustavo</v>
      </c>
      <c r="C17783" s="5" t="s">
        <v>16</v>
      </c>
      <c r="D17783" s="5" t="s">
        <v>17118</v>
      </c>
      <c r="E17783" s="6" t="str">
        <f>HYPERLINK("https://twitter.com/petrogustavo/status/1479467025579847687","1479467025579847687")</f>
        <v>1479467025579847687</v>
      </c>
      <c r="F17783" s="7" t="s">
        <v>17</v>
      </c>
      <c r="G17783" s="7">
        <v>4446704</v>
      </c>
      <c r="H17783" s="7">
        <v>2592</v>
      </c>
      <c r="I17783" s="7">
        <v>45</v>
      </c>
      <c r="J17783" s="7">
        <v>153</v>
      </c>
      <c r="K17783" s="7" t="s">
        <v>18</v>
      </c>
      <c r="L17783" s="8">
        <v>39987.315405092595</v>
      </c>
      <c r="M17783" s="9" t="s">
        <v>19</v>
      </c>
      <c r="N17783" s="9" t="s">
        <v>20</v>
      </c>
      <c r="O17783" s="6" t="str">
        <f>HYPERLINK("https://pbs.twimg.com/profile_images/962471262747529216/Uo8lOkRJ_normal.jpg","View")</f>
        <v>View</v>
      </c>
      <c r="P17783" s="7"/>
    </row>
    <row r="17784" spans="1:16">
      <c r="A17784" s="3">
        <v>44568.956817129627</v>
      </c>
      <c r="B17784" s="4" t="str">
        <f>HYPERLINK("https://twitter.com/petrogustavo","@petrogustavo")</f>
        <v>@petrogustavo</v>
      </c>
      <c r="C17784" s="5" t="s">
        <v>16</v>
      </c>
      <c r="D17784" s="5" t="s">
        <v>17119</v>
      </c>
      <c r="E17784" s="6" t="str">
        <f>HYPERLINK("https://twitter.com/petrogustavo/status/1479505064645570561","1479505064645570561")</f>
        <v>1479505064645570561</v>
      </c>
      <c r="F17784" s="7" t="s">
        <v>17</v>
      </c>
      <c r="G17784" s="7">
        <v>4446837</v>
      </c>
      <c r="H17784" s="7">
        <v>2592</v>
      </c>
      <c r="I17784" s="7">
        <v>55</v>
      </c>
      <c r="J17784" s="7">
        <v>0</v>
      </c>
      <c r="K17784" s="7" t="s">
        <v>18</v>
      </c>
      <c r="L17784" s="8">
        <v>39987.315405092595</v>
      </c>
      <c r="M17784" s="9" t="s">
        <v>19</v>
      </c>
      <c r="N17784" s="9" t="s">
        <v>20</v>
      </c>
      <c r="O17784" s="6" t="str">
        <f>HYPERLINK("https://pbs.twimg.com/profile_images/962471262747529216/Uo8lOkRJ_normal.jpg","View")</f>
        <v>View</v>
      </c>
      <c r="P17784" s="7"/>
    </row>
    <row r="17785" spans="1:16">
      <c r="A17785" s="3">
        <v>44568.959155092598</v>
      </c>
      <c r="B17785" s="4" t="str">
        <f>HYPERLINK("https://twitter.com/petrogustavo","@petrogustavo")</f>
        <v>@petrogustavo</v>
      </c>
      <c r="C17785" s="5" t="s">
        <v>16</v>
      </c>
      <c r="D17785" s="5" t="s">
        <v>17120</v>
      </c>
      <c r="E17785" s="6" t="str">
        <f>HYPERLINK("https://twitter.com/petrogustavo/status/1479505908166180864","1479505908166180864")</f>
        <v>1479505908166180864</v>
      </c>
      <c r="F17785" s="7" t="s">
        <v>17</v>
      </c>
      <c r="G17785" s="7">
        <v>4446837</v>
      </c>
      <c r="H17785" s="7">
        <v>2592</v>
      </c>
      <c r="I17785" s="7">
        <v>346</v>
      </c>
      <c r="J17785" s="7">
        <v>0</v>
      </c>
      <c r="K17785" s="7" t="s">
        <v>18</v>
      </c>
      <c r="L17785" s="8">
        <v>39987.315405092595</v>
      </c>
      <c r="M17785" s="9" t="s">
        <v>19</v>
      </c>
      <c r="N17785" s="9" t="s">
        <v>20</v>
      </c>
      <c r="O17785" s="6" t="str">
        <f>HYPERLINK("https://pbs.twimg.com/profile_images/962471262747529216/Uo8lOkRJ_normal.jpg","View")</f>
        <v>View</v>
      </c>
      <c r="P17785" s="7"/>
    </row>
    <row r="17786" spans="1:16">
      <c r="A17786" s="3">
        <v>44568.967314814814</v>
      </c>
      <c r="B17786" s="4" t="str">
        <f>HYPERLINK("https://twitter.com/petrogustavo","@petrogustavo")</f>
        <v>@petrogustavo</v>
      </c>
      <c r="C17786" s="5" t="s">
        <v>16</v>
      </c>
      <c r="D17786" s="5" t="s">
        <v>17121</v>
      </c>
      <c r="E17786" s="6" t="str">
        <f>HYPERLINK("https://twitter.com/petrogustavo/status/1479508868048764932","1479508868048764932")</f>
        <v>1479508868048764932</v>
      </c>
      <c r="F17786" s="7" t="s">
        <v>17</v>
      </c>
      <c r="G17786" s="7">
        <v>4446877</v>
      </c>
      <c r="H17786" s="7">
        <v>2592</v>
      </c>
      <c r="I17786" s="7">
        <v>37</v>
      </c>
      <c r="J17786" s="7">
        <v>0</v>
      </c>
      <c r="K17786" s="7" t="s">
        <v>18</v>
      </c>
      <c r="L17786" s="8">
        <v>39987.315405092595</v>
      </c>
      <c r="M17786" s="9" t="s">
        <v>19</v>
      </c>
      <c r="N17786" s="9" t="s">
        <v>20</v>
      </c>
      <c r="O17786" s="6" t="str">
        <f>HYPERLINK("https://pbs.twimg.com/profile_images/962471262747529216/Uo8lOkRJ_normal.jpg","View")</f>
        <v>View</v>
      </c>
      <c r="P17786" s="7"/>
    </row>
    <row r="17787" spans="1:16">
      <c r="A17787" s="3">
        <v>44568.967499999999</v>
      </c>
      <c r="B17787" s="4" t="str">
        <f>HYPERLINK("https://twitter.com/petrogustavo","@petrogustavo")</f>
        <v>@petrogustavo</v>
      </c>
      <c r="C17787" s="5" t="s">
        <v>16</v>
      </c>
      <c r="D17787" s="5" t="s">
        <v>17122</v>
      </c>
      <c r="E17787" s="6" t="str">
        <f>HYPERLINK("https://twitter.com/petrogustavo/status/1479508932838232065","1479508932838232065")</f>
        <v>1479508932838232065</v>
      </c>
      <c r="F17787" s="7" t="s">
        <v>17</v>
      </c>
      <c r="G17787" s="7">
        <v>4446877</v>
      </c>
      <c r="H17787" s="7">
        <v>2592</v>
      </c>
      <c r="I17787" s="7">
        <v>40</v>
      </c>
      <c r="J17787" s="7">
        <v>0</v>
      </c>
      <c r="K17787" s="7" t="s">
        <v>18</v>
      </c>
      <c r="L17787" s="8">
        <v>39987.315405092595</v>
      </c>
      <c r="M17787" s="9" t="s">
        <v>19</v>
      </c>
      <c r="N17787" s="9" t="s">
        <v>20</v>
      </c>
      <c r="O17787" s="6" t="str">
        <f>HYPERLINK("https://pbs.twimg.com/profile_images/962471262747529216/Uo8lOkRJ_normal.jpg","View")</f>
        <v>View</v>
      </c>
      <c r="P17787" s="7"/>
    </row>
    <row r="17788" spans="1:16">
      <c r="A17788" s="3">
        <v>44568.967673611114</v>
      </c>
      <c r="B17788" s="4" t="str">
        <f>HYPERLINK("https://twitter.com/petrogustavo","@petrogustavo")</f>
        <v>@petrogustavo</v>
      </c>
      <c r="C17788" s="5" t="s">
        <v>16</v>
      </c>
      <c r="D17788" s="5" t="s">
        <v>17123</v>
      </c>
      <c r="E17788" s="6" t="str">
        <f>HYPERLINK("https://twitter.com/petrogustavo/status/1479508996172267521","1479508996172267521")</f>
        <v>1479508996172267521</v>
      </c>
      <c r="F17788" s="7" t="s">
        <v>17</v>
      </c>
      <c r="G17788" s="7">
        <v>4446877</v>
      </c>
      <c r="H17788" s="7">
        <v>2592</v>
      </c>
      <c r="I17788" s="7">
        <v>50</v>
      </c>
      <c r="J17788" s="7">
        <v>0</v>
      </c>
      <c r="K17788" s="7" t="s">
        <v>18</v>
      </c>
      <c r="L17788" s="8">
        <v>39987.315405092595</v>
      </c>
      <c r="M17788" s="9" t="s">
        <v>19</v>
      </c>
      <c r="N17788" s="9" t="s">
        <v>20</v>
      </c>
      <c r="O17788" s="6" t="str">
        <f>HYPERLINK("https://pbs.twimg.com/profile_images/962471262747529216/Uo8lOkRJ_normal.jpg","View")</f>
        <v>View</v>
      </c>
      <c r="P17788" s="7"/>
    </row>
    <row r="17789" spans="1:16">
      <c r="A17789" s="3">
        <v>44568.967777777776</v>
      </c>
      <c r="B17789" s="4" t="str">
        <f>HYPERLINK("https://twitter.com/petrogustavo","@petrogustavo")</f>
        <v>@petrogustavo</v>
      </c>
      <c r="C17789" s="5" t="s">
        <v>16</v>
      </c>
      <c r="D17789" s="5" t="s">
        <v>17124</v>
      </c>
      <c r="E17789" s="6" t="str">
        <f>HYPERLINK("https://twitter.com/petrogustavo/status/1479509036827656199","1479509036827656199")</f>
        <v>1479509036827656199</v>
      </c>
      <c r="F17789" s="7" t="s">
        <v>17</v>
      </c>
      <c r="G17789" s="7">
        <v>4446877</v>
      </c>
      <c r="H17789" s="7">
        <v>2592</v>
      </c>
      <c r="I17789" s="7">
        <v>69</v>
      </c>
      <c r="J17789" s="7">
        <v>0</v>
      </c>
      <c r="K17789" s="7" t="s">
        <v>18</v>
      </c>
      <c r="L17789" s="8">
        <v>39987.315405092595</v>
      </c>
      <c r="M17789" s="9" t="s">
        <v>19</v>
      </c>
      <c r="N17789" s="9" t="s">
        <v>20</v>
      </c>
      <c r="O17789" s="6" t="str">
        <f>HYPERLINK("https://pbs.twimg.com/profile_images/962471262747529216/Uo8lOkRJ_normal.jpg","View")</f>
        <v>View</v>
      </c>
      <c r="P17789" s="7"/>
    </row>
    <row r="17790" spans="1:16">
      <c r="A17790" s="3">
        <v>44568.967951388884</v>
      </c>
      <c r="B17790" s="4" t="str">
        <f>HYPERLINK("https://twitter.com/petrogustavo","@petrogustavo")</f>
        <v>@petrogustavo</v>
      </c>
      <c r="C17790" s="5" t="s">
        <v>16</v>
      </c>
      <c r="D17790" s="5" t="s">
        <v>17125</v>
      </c>
      <c r="E17790" s="6" t="str">
        <f>HYPERLINK("https://twitter.com/petrogustavo/status/1479509095686279174","1479509095686279174")</f>
        <v>1479509095686279174</v>
      </c>
      <c r="F17790" s="7" t="s">
        <v>17</v>
      </c>
      <c r="G17790" s="7">
        <v>4446877</v>
      </c>
      <c r="H17790" s="7">
        <v>2592</v>
      </c>
      <c r="I17790" s="7">
        <v>125</v>
      </c>
      <c r="J17790" s="7">
        <v>0</v>
      </c>
      <c r="K17790" s="7" t="s">
        <v>18</v>
      </c>
      <c r="L17790" s="8">
        <v>39987.315405092595</v>
      </c>
      <c r="M17790" s="9" t="s">
        <v>19</v>
      </c>
      <c r="N17790" s="9" t="s">
        <v>20</v>
      </c>
      <c r="O17790" s="6" t="str">
        <f>HYPERLINK("https://pbs.twimg.com/profile_images/962471262747529216/Uo8lOkRJ_normal.jpg","View")</f>
        <v>View</v>
      </c>
      <c r="P17790" s="7"/>
    </row>
    <row r="17791" spans="1:16">
      <c r="A17791" s="3">
        <v>44568.968090277776</v>
      </c>
      <c r="B17791" s="4" t="str">
        <f>HYPERLINK("https://twitter.com/petrogustavo","@petrogustavo")</f>
        <v>@petrogustavo</v>
      </c>
      <c r="C17791" s="5" t="s">
        <v>16</v>
      </c>
      <c r="D17791" s="5" t="s">
        <v>17126</v>
      </c>
      <c r="E17791" s="6" t="str">
        <f>HYPERLINK("https://twitter.com/petrogustavo/status/1479509150128300048","1479509150128300048")</f>
        <v>1479509150128300048</v>
      </c>
      <c r="F17791" s="7" t="s">
        <v>17</v>
      </c>
      <c r="G17791" s="7">
        <v>4446877</v>
      </c>
      <c r="H17791" s="7">
        <v>2592</v>
      </c>
      <c r="I17791" s="7">
        <v>33</v>
      </c>
      <c r="J17791" s="7">
        <v>0</v>
      </c>
      <c r="K17791" s="7" t="s">
        <v>18</v>
      </c>
      <c r="L17791" s="8">
        <v>39987.315405092595</v>
      </c>
      <c r="M17791" s="9" t="s">
        <v>19</v>
      </c>
      <c r="N17791" s="9" t="s">
        <v>20</v>
      </c>
      <c r="O17791" s="6" t="str">
        <f>HYPERLINK("https://pbs.twimg.com/profile_images/962471262747529216/Uo8lOkRJ_normal.jpg","View")</f>
        <v>View</v>
      </c>
      <c r="P17791" s="7"/>
    </row>
    <row r="17792" spans="1:16">
      <c r="A17792" s="3">
        <v>44568.968194444446</v>
      </c>
      <c r="B17792" s="4" t="str">
        <f>HYPERLINK("https://twitter.com/petrogustavo","@petrogustavo")</f>
        <v>@petrogustavo</v>
      </c>
      <c r="C17792" s="5" t="s">
        <v>16</v>
      </c>
      <c r="D17792" s="5" t="s">
        <v>17127</v>
      </c>
      <c r="E17792" s="6" t="str">
        <f>HYPERLINK("https://twitter.com/petrogustavo/status/1479509184119021573","1479509184119021573")</f>
        <v>1479509184119021573</v>
      </c>
      <c r="F17792" s="7" t="s">
        <v>17</v>
      </c>
      <c r="G17792" s="7">
        <v>4446877</v>
      </c>
      <c r="H17792" s="7">
        <v>2592</v>
      </c>
      <c r="I17792" s="7">
        <v>28</v>
      </c>
      <c r="J17792" s="7">
        <v>0</v>
      </c>
      <c r="K17792" s="7" t="s">
        <v>18</v>
      </c>
      <c r="L17792" s="8">
        <v>39987.315405092595</v>
      </c>
      <c r="M17792" s="9" t="s">
        <v>19</v>
      </c>
      <c r="N17792" s="9" t="s">
        <v>20</v>
      </c>
      <c r="O17792" s="6" t="str">
        <f>HYPERLINK("https://pbs.twimg.com/profile_images/962471262747529216/Uo8lOkRJ_normal.jpg","View")</f>
        <v>View</v>
      </c>
      <c r="P17792" s="7"/>
    </row>
    <row r="17793" spans="1:16">
      <c r="A17793" s="3">
        <v>44568.968287037038</v>
      </c>
      <c r="B17793" s="4" t="str">
        <f>HYPERLINK("https://twitter.com/petrogustavo","@petrogustavo")</f>
        <v>@petrogustavo</v>
      </c>
      <c r="C17793" s="5" t="s">
        <v>16</v>
      </c>
      <c r="D17793" s="5" t="s">
        <v>17128</v>
      </c>
      <c r="E17793" s="6" t="str">
        <f>HYPERLINK("https://twitter.com/petrogustavo/status/1479509217627316231","1479509217627316231")</f>
        <v>1479509217627316231</v>
      </c>
      <c r="F17793" s="7" t="s">
        <v>17</v>
      </c>
      <c r="G17793" s="7">
        <v>4446877</v>
      </c>
      <c r="H17793" s="7">
        <v>2592</v>
      </c>
      <c r="I17793" s="7">
        <v>53</v>
      </c>
      <c r="J17793" s="7">
        <v>0</v>
      </c>
      <c r="K17793" s="7" t="s">
        <v>18</v>
      </c>
      <c r="L17793" s="8">
        <v>39987.315405092595</v>
      </c>
      <c r="M17793" s="9" t="s">
        <v>19</v>
      </c>
      <c r="N17793" s="9" t="s">
        <v>20</v>
      </c>
      <c r="O17793" s="6" t="str">
        <f>HYPERLINK("https://pbs.twimg.com/profile_images/962471262747529216/Uo8lOkRJ_normal.jpg","View")</f>
        <v>View</v>
      </c>
      <c r="P17793" s="7"/>
    </row>
    <row r="17794" spans="1:16">
      <c r="A17794" s="3">
        <v>44568.971979166672</v>
      </c>
      <c r="B17794" s="4" t="str">
        <f>HYPERLINK("https://twitter.com/petrogustavo","@petrogustavo")</f>
        <v>@petrogustavo</v>
      </c>
      <c r="C17794" s="5" t="s">
        <v>16</v>
      </c>
      <c r="D17794" s="5" t="s">
        <v>17129</v>
      </c>
      <c r="E17794" s="6" t="str">
        <f>HYPERLINK("https://twitter.com/petrogustavo/status/1479510556767920130","1479510556767920130")</f>
        <v>1479510556767920130</v>
      </c>
      <c r="F17794" s="7" t="s">
        <v>17</v>
      </c>
      <c r="G17794" s="7">
        <v>4446877</v>
      </c>
      <c r="H17794" s="7">
        <v>2592</v>
      </c>
      <c r="I17794" s="7">
        <v>904</v>
      </c>
      <c r="J17794" s="7">
        <v>0</v>
      </c>
      <c r="K17794" s="7" t="s">
        <v>18</v>
      </c>
      <c r="L17794" s="8">
        <v>39987.315405092595</v>
      </c>
      <c r="M17794" s="9" t="s">
        <v>19</v>
      </c>
      <c r="N17794" s="9" t="s">
        <v>20</v>
      </c>
      <c r="O17794" s="6" t="str">
        <f>HYPERLINK("https://pbs.twimg.com/profile_images/962471262747529216/Uo8lOkRJ_normal.jpg","View")</f>
        <v>View</v>
      </c>
      <c r="P17794" s="7"/>
    </row>
    <row r="17795" spans="1:16">
      <c r="A17795" s="3">
        <v>44568.975717592592</v>
      </c>
      <c r="B17795" s="4" t="str">
        <f>HYPERLINK("https://twitter.com/petrogustavo","@petrogustavo")</f>
        <v>@petrogustavo</v>
      </c>
      <c r="C17795" s="5" t="s">
        <v>16</v>
      </c>
      <c r="D17795" s="5" t="s">
        <v>17130</v>
      </c>
      <c r="E17795" s="6" t="str">
        <f>HYPERLINK("https://twitter.com/petrogustavo/status/1479511911028899843","1479511911028899843")</f>
        <v>1479511911028899843</v>
      </c>
      <c r="F17795" s="7" t="s">
        <v>17</v>
      </c>
      <c r="G17795" s="7">
        <v>4446877</v>
      </c>
      <c r="H17795" s="7">
        <v>2592</v>
      </c>
      <c r="I17795" s="7">
        <v>45</v>
      </c>
      <c r="J17795" s="7">
        <v>0</v>
      </c>
      <c r="K17795" s="7" t="s">
        <v>18</v>
      </c>
      <c r="L17795" s="8">
        <v>39987.315405092595</v>
      </c>
      <c r="M17795" s="9" t="s">
        <v>19</v>
      </c>
      <c r="N17795" s="9" t="s">
        <v>20</v>
      </c>
      <c r="O17795" s="6" t="str">
        <f>HYPERLINK("https://pbs.twimg.com/profile_images/962471262747529216/Uo8lOkRJ_normal.jpg","View")</f>
        <v>View</v>
      </c>
      <c r="P17795" s="7"/>
    </row>
    <row r="17796" spans="1:16">
      <c r="A17796" s="3">
        <v>44569.054479166662</v>
      </c>
      <c r="B17796" s="4" t="str">
        <f>HYPERLINK("https://twitter.com/petrogustavo","@petrogustavo")</f>
        <v>@petrogustavo</v>
      </c>
      <c r="C17796" s="5" t="s">
        <v>16</v>
      </c>
      <c r="D17796" s="5" t="s">
        <v>17131</v>
      </c>
      <c r="E17796" s="6" t="str">
        <f>HYPERLINK("https://twitter.com/petrogustavo/status/1479540452487536652","1479540452487536652")</f>
        <v>1479540452487536652</v>
      </c>
      <c r="F17796" s="7" t="s">
        <v>17</v>
      </c>
      <c r="G17796" s="7">
        <v>4447005</v>
      </c>
      <c r="H17796" s="7">
        <v>2594</v>
      </c>
      <c r="I17796" s="7">
        <v>40</v>
      </c>
      <c r="J17796" s="7">
        <v>0</v>
      </c>
      <c r="K17796" s="7" t="s">
        <v>18</v>
      </c>
      <c r="L17796" s="8">
        <v>39987.315405092595</v>
      </c>
      <c r="M17796" s="9" t="s">
        <v>19</v>
      </c>
      <c r="N17796" s="9" t="s">
        <v>20</v>
      </c>
      <c r="O17796" s="6" t="str">
        <f>HYPERLINK("https://pbs.twimg.com/profile_images/962471262747529216/Uo8lOkRJ_normal.jpg","View")</f>
        <v>View</v>
      </c>
      <c r="P17796" s="7"/>
    </row>
    <row r="17797" spans="1:16">
      <c r="A17797" s="3">
        <v>44569.056388888886</v>
      </c>
      <c r="B17797" s="4" t="str">
        <f>HYPERLINK("https://twitter.com/petrogustavo","@petrogustavo")</f>
        <v>@petrogustavo</v>
      </c>
      <c r="C17797" s="5" t="s">
        <v>16</v>
      </c>
      <c r="D17797" s="5" t="s">
        <v>17132</v>
      </c>
      <c r="E17797" s="6" t="str">
        <f>HYPERLINK("https://twitter.com/petrogustavo/status/1479541147332665344","1479541147332665344")</f>
        <v>1479541147332665344</v>
      </c>
      <c r="F17797" s="7" t="s">
        <v>17</v>
      </c>
      <c r="G17797" s="7">
        <v>4447005</v>
      </c>
      <c r="H17797" s="7">
        <v>2594</v>
      </c>
      <c r="I17797" s="7">
        <v>147</v>
      </c>
      <c r="J17797" s="7">
        <v>780</v>
      </c>
      <c r="K17797" s="7" t="s">
        <v>18</v>
      </c>
      <c r="L17797" s="8">
        <v>39987.315405092595</v>
      </c>
      <c r="M17797" s="9" t="s">
        <v>19</v>
      </c>
      <c r="N17797" s="9" t="s">
        <v>20</v>
      </c>
      <c r="O17797" s="6" t="str">
        <f>HYPERLINK("https://pbs.twimg.com/profile_images/962471262747529216/Uo8lOkRJ_normal.jpg","View")</f>
        <v>View</v>
      </c>
      <c r="P17797" s="7"/>
    </row>
    <row r="17798" spans="1:16">
      <c r="A17798" s="3">
        <v>44569.064976851849</v>
      </c>
      <c r="B17798" s="4" t="str">
        <f>HYPERLINK("https://twitter.com/petrogustavo","@petrogustavo")</f>
        <v>@petrogustavo</v>
      </c>
      <c r="C17798" s="5" t="s">
        <v>16</v>
      </c>
      <c r="D17798" s="5" t="s">
        <v>17133</v>
      </c>
      <c r="E17798" s="6" t="str">
        <f>HYPERLINK("https://twitter.com/petrogustavo/status/1479544258021498881","1479544258021498881")</f>
        <v>1479544258021498881</v>
      </c>
      <c r="F17798" s="7" t="s">
        <v>17</v>
      </c>
      <c r="G17798" s="7">
        <v>4447032</v>
      </c>
      <c r="H17798" s="7">
        <v>2594</v>
      </c>
      <c r="I17798" s="7">
        <v>45</v>
      </c>
      <c r="J17798" s="7">
        <v>0</v>
      </c>
      <c r="K17798" s="7" t="s">
        <v>18</v>
      </c>
      <c r="L17798" s="8">
        <v>39987.315405092595</v>
      </c>
      <c r="M17798" s="9" t="s">
        <v>19</v>
      </c>
      <c r="N17798" s="9" t="s">
        <v>20</v>
      </c>
      <c r="O17798" s="6" t="str">
        <f>HYPERLINK("https://pbs.twimg.com/profile_images/962471262747529216/Uo8lOkRJ_normal.jpg","View")</f>
        <v>View</v>
      </c>
      <c r="P17798" s="7"/>
    </row>
    <row r="17799" spans="1:16">
      <c r="A17799" s="3">
        <v>44569.069166666668</v>
      </c>
      <c r="B17799" s="4" t="str">
        <f>HYPERLINK("https://twitter.com/petrogustavo","@petrogustavo")</f>
        <v>@petrogustavo</v>
      </c>
      <c r="C17799" s="5" t="s">
        <v>16</v>
      </c>
      <c r="D17799" s="5" t="s">
        <v>17134</v>
      </c>
      <c r="E17799" s="6" t="str">
        <f>HYPERLINK("https://twitter.com/petrogustavo/status/1479545777135443970","1479545777135443970")</f>
        <v>1479545777135443970</v>
      </c>
      <c r="F17799" s="7" t="s">
        <v>17</v>
      </c>
      <c r="G17799" s="7">
        <v>4447032</v>
      </c>
      <c r="H17799" s="7">
        <v>2594</v>
      </c>
      <c r="I17799" s="7">
        <v>132</v>
      </c>
      <c r="J17799" s="7">
        <v>678</v>
      </c>
      <c r="K17799" s="7" t="s">
        <v>18</v>
      </c>
      <c r="L17799" s="8">
        <v>39987.315405092595</v>
      </c>
      <c r="M17799" s="9" t="s">
        <v>19</v>
      </c>
      <c r="N17799" s="9" t="s">
        <v>20</v>
      </c>
      <c r="O17799" s="6" t="str">
        <f>HYPERLINK("https://pbs.twimg.com/profile_images/962471262747529216/Uo8lOkRJ_normal.jpg","View")</f>
        <v>View</v>
      </c>
      <c r="P17799" s="7"/>
    </row>
    <row r="17800" spans="1:16">
      <c r="A17800" s="3">
        <v>44569.074259259258</v>
      </c>
      <c r="B17800" s="4" t="str">
        <f>HYPERLINK("https://twitter.com/petrogustavo","@petrogustavo")</f>
        <v>@petrogustavo</v>
      </c>
      <c r="C17800" s="5" t="s">
        <v>16</v>
      </c>
      <c r="D17800" s="5" t="s">
        <v>17135</v>
      </c>
      <c r="E17800" s="6" t="str">
        <f>HYPERLINK("https://twitter.com/petrogustavo/status/1479547623468060674","1479547623468060674")</f>
        <v>1479547623468060674</v>
      </c>
      <c r="F17800" s="7" t="s">
        <v>17</v>
      </c>
      <c r="G17800" s="7">
        <v>4447032</v>
      </c>
      <c r="H17800" s="7">
        <v>2594</v>
      </c>
      <c r="I17800" s="7">
        <v>126</v>
      </c>
      <c r="J17800" s="7">
        <v>0</v>
      </c>
      <c r="K17800" s="7" t="s">
        <v>18</v>
      </c>
      <c r="L17800" s="8">
        <v>39987.315405092595</v>
      </c>
      <c r="M17800" s="9" t="s">
        <v>19</v>
      </c>
      <c r="N17800" s="9" t="s">
        <v>20</v>
      </c>
      <c r="O17800" s="6" t="str">
        <f>HYPERLINK("https://pbs.twimg.com/profile_images/962471262747529216/Uo8lOkRJ_normal.jpg","View")</f>
        <v>View</v>
      </c>
      <c r="P17800" s="7"/>
    </row>
    <row r="17801" spans="1:16">
      <c r="A17801" s="3">
        <v>44569.078506944439</v>
      </c>
      <c r="B17801" s="4" t="str">
        <f>HYPERLINK("https://twitter.com/petrogustavo","@petrogustavo")</f>
        <v>@petrogustavo</v>
      </c>
      <c r="C17801" s="5" t="s">
        <v>16</v>
      </c>
      <c r="D17801" s="5" t="s">
        <v>17130</v>
      </c>
      <c r="E17801" s="6" t="str">
        <f>HYPERLINK("https://twitter.com/petrogustavo/status/1479549162547032069","1479549162547032069")</f>
        <v>1479549162547032069</v>
      </c>
      <c r="F17801" s="7" t="s">
        <v>17</v>
      </c>
      <c r="G17801" s="7">
        <v>4447032</v>
      </c>
      <c r="H17801" s="7">
        <v>2594</v>
      </c>
      <c r="I17801" s="7">
        <v>163</v>
      </c>
      <c r="J17801" s="7">
        <v>0</v>
      </c>
      <c r="K17801" s="7" t="s">
        <v>18</v>
      </c>
      <c r="L17801" s="8">
        <v>39987.315405092595</v>
      </c>
      <c r="M17801" s="9" t="s">
        <v>19</v>
      </c>
      <c r="N17801" s="9" t="s">
        <v>20</v>
      </c>
      <c r="O17801" s="6" t="str">
        <f>HYPERLINK("https://pbs.twimg.com/profile_images/962471262747529216/Uo8lOkRJ_normal.jpg","View")</f>
        <v>View</v>
      </c>
      <c r="P17801" s="7"/>
    </row>
    <row r="17802" spans="1:16">
      <c r="A17802" s="3">
        <v>44569.079872685186</v>
      </c>
      <c r="B17802" s="4" t="str">
        <f>HYPERLINK("https://twitter.com/petrogustavo","@petrogustavo")</f>
        <v>@petrogustavo</v>
      </c>
      <c r="C17802" s="5" t="s">
        <v>16</v>
      </c>
      <c r="D17802" s="5" t="s">
        <v>17136</v>
      </c>
      <c r="E17802" s="6" t="str">
        <f>HYPERLINK("https://twitter.com/petrogustavo/status/1479549655193161729","1479549655193161729")</f>
        <v>1479549655193161729</v>
      </c>
      <c r="F17802" s="7" t="s">
        <v>17</v>
      </c>
      <c r="G17802" s="7">
        <v>4447032</v>
      </c>
      <c r="H17802" s="7">
        <v>2594</v>
      </c>
      <c r="I17802" s="7">
        <v>103</v>
      </c>
      <c r="J17802" s="7">
        <v>0</v>
      </c>
      <c r="K17802" s="7" t="s">
        <v>18</v>
      </c>
      <c r="L17802" s="8">
        <v>39987.315405092595</v>
      </c>
      <c r="M17802" s="9" t="s">
        <v>19</v>
      </c>
      <c r="N17802" s="9" t="s">
        <v>20</v>
      </c>
      <c r="O17802" s="6" t="str">
        <f>HYPERLINK("https://pbs.twimg.com/profile_images/962471262747529216/Uo8lOkRJ_normal.jpg","View")</f>
        <v>View</v>
      </c>
      <c r="P17802" s="7"/>
    </row>
    <row r="17803" spans="1:16">
      <c r="A17803" s="3">
        <v>44569.09438657407</v>
      </c>
      <c r="B17803" s="4" t="str">
        <f>HYPERLINK("https://twitter.com/petrogustavo","@petrogustavo")</f>
        <v>@petrogustavo</v>
      </c>
      <c r="C17803" s="5" t="s">
        <v>16</v>
      </c>
      <c r="D17803" s="5" t="s">
        <v>17137</v>
      </c>
      <c r="E17803" s="6" t="str">
        <f>HYPERLINK("https://twitter.com/petrogustavo/status/1479554915043323908","1479554915043323908")</f>
        <v>1479554915043323908</v>
      </c>
      <c r="F17803" s="7" t="s">
        <v>17</v>
      </c>
      <c r="G17803" s="7">
        <v>4447070</v>
      </c>
      <c r="H17803" s="7">
        <v>2594</v>
      </c>
      <c r="I17803" s="7">
        <v>27</v>
      </c>
      <c r="J17803" s="7">
        <v>0</v>
      </c>
      <c r="K17803" s="7" t="s">
        <v>18</v>
      </c>
      <c r="L17803" s="8">
        <v>39987.315405092595</v>
      </c>
      <c r="M17803" s="9" t="s">
        <v>19</v>
      </c>
      <c r="N17803" s="9" t="s">
        <v>20</v>
      </c>
      <c r="O17803" s="6" t="str">
        <f>HYPERLINK("https://pbs.twimg.com/profile_images/962471262747529216/Uo8lOkRJ_normal.jpg","View")</f>
        <v>View</v>
      </c>
      <c r="P17803" s="7"/>
    </row>
    <row r="17804" spans="1:16">
      <c r="A17804" s="3">
        <v>44569.095659722225</v>
      </c>
      <c r="B17804" s="4" t="str">
        <f>HYPERLINK("https://twitter.com/petrogustavo","@petrogustavo")</f>
        <v>@petrogustavo</v>
      </c>
      <c r="C17804" s="5" t="s">
        <v>16</v>
      </c>
      <c r="D17804" s="5" t="s">
        <v>17138</v>
      </c>
      <c r="E17804" s="6" t="str">
        <f>HYPERLINK("https://twitter.com/petrogustavo/status/1479555378778157062","1479555378778157062")</f>
        <v>1479555378778157062</v>
      </c>
      <c r="F17804" s="7" t="s">
        <v>17</v>
      </c>
      <c r="G17804" s="7">
        <v>4447070</v>
      </c>
      <c r="H17804" s="7">
        <v>2594</v>
      </c>
      <c r="I17804" s="7">
        <v>17</v>
      </c>
      <c r="J17804" s="7">
        <v>0</v>
      </c>
      <c r="K17804" s="7" t="s">
        <v>18</v>
      </c>
      <c r="L17804" s="8">
        <v>39987.315405092595</v>
      </c>
      <c r="M17804" s="9" t="s">
        <v>19</v>
      </c>
      <c r="N17804" s="9" t="s">
        <v>20</v>
      </c>
      <c r="O17804" s="6" t="str">
        <f>HYPERLINK("https://pbs.twimg.com/profile_images/962471262747529216/Uo8lOkRJ_normal.jpg","View")</f>
        <v>View</v>
      </c>
      <c r="P17804" s="7"/>
    </row>
    <row r="17805" spans="1:16">
      <c r="A17805" s="3">
        <v>44569.096342592587</v>
      </c>
      <c r="B17805" s="4" t="str">
        <f>HYPERLINK("https://twitter.com/petrogustavo","@petrogustavo")</f>
        <v>@petrogustavo</v>
      </c>
      <c r="C17805" s="5" t="s">
        <v>16</v>
      </c>
      <c r="D17805" s="5" t="s">
        <v>17139</v>
      </c>
      <c r="E17805" s="6" t="str">
        <f>HYPERLINK("https://twitter.com/petrogustavo/status/1479555625361321984","1479555625361321984")</f>
        <v>1479555625361321984</v>
      </c>
      <c r="F17805" s="7" t="s">
        <v>17</v>
      </c>
      <c r="G17805" s="7">
        <v>4447070</v>
      </c>
      <c r="H17805" s="7">
        <v>2594</v>
      </c>
      <c r="I17805" s="7">
        <v>42</v>
      </c>
      <c r="J17805" s="7">
        <v>0</v>
      </c>
      <c r="K17805" s="7" t="s">
        <v>18</v>
      </c>
      <c r="L17805" s="8">
        <v>39987.315405092595</v>
      </c>
      <c r="M17805" s="9" t="s">
        <v>19</v>
      </c>
      <c r="N17805" s="9" t="s">
        <v>20</v>
      </c>
      <c r="O17805" s="6" t="str">
        <f>HYPERLINK("https://pbs.twimg.com/profile_images/962471262747529216/Uo8lOkRJ_normal.jpg","View")</f>
        <v>View</v>
      </c>
      <c r="P17805" s="7"/>
    </row>
    <row r="17806" spans="1:16">
      <c r="A17806" s="3">
        <v>44569.099212962959</v>
      </c>
      <c r="B17806" s="4" t="str">
        <f>HYPERLINK("https://twitter.com/petrogustavo","@petrogustavo")</f>
        <v>@petrogustavo</v>
      </c>
      <c r="C17806" s="5" t="s">
        <v>16</v>
      </c>
      <c r="D17806" s="5" t="s">
        <v>17140</v>
      </c>
      <c r="E17806" s="6" t="str">
        <f>HYPERLINK("https://twitter.com/petrogustavo/status/1479556664705564680","1479556664705564680")</f>
        <v>1479556664705564680</v>
      </c>
      <c r="F17806" s="7" t="s">
        <v>17</v>
      </c>
      <c r="G17806" s="7">
        <v>4447070</v>
      </c>
      <c r="H17806" s="7">
        <v>2594</v>
      </c>
      <c r="I17806" s="7">
        <v>33</v>
      </c>
      <c r="J17806" s="7">
        <v>0</v>
      </c>
      <c r="K17806" s="7" t="s">
        <v>18</v>
      </c>
      <c r="L17806" s="8">
        <v>39987.315405092595</v>
      </c>
      <c r="M17806" s="9" t="s">
        <v>19</v>
      </c>
      <c r="N17806" s="9" t="s">
        <v>20</v>
      </c>
      <c r="O17806" s="6" t="str">
        <f>HYPERLINK("https://pbs.twimg.com/profile_images/962471262747529216/Uo8lOkRJ_normal.jpg","View")</f>
        <v>View</v>
      </c>
      <c r="P17806" s="7"/>
    </row>
    <row r="17807" spans="1:16">
      <c r="A17807" s="3">
        <v>44569.10261574074</v>
      </c>
      <c r="B17807" s="4" t="str">
        <f>HYPERLINK("https://twitter.com/petrogustavo","@petrogustavo")</f>
        <v>@petrogustavo</v>
      </c>
      <c r="C17807" s="5" t="s">
        <v>16</v>
      </c>
      <c r="D17807" s="5" t="s">
        <v>17141</v>
      </c>
      <c r="E17807" s="6" t="str">
        <f>HYPERLINK("https://twitter.com/petrogustavo/status/1479557897709400070","1479557897709400070")</f>
        <v>1479557897709400070</v>
      </c>
      <c r="F17807" s="7" t="s">
        <v>17</v>
      </c>
      <c r="G17807" s="7">
        <v>4447070</v>
      </c>
      <c r="H17807" s="7">
        <v>2594</v>
      </c>
      <c r="I17807" s="7">
        <v>10</v>
      </c>
      <c r="J17807" s="7">
        <v>0</v>
      </c>
      <c r="K17807" s="7" t="s">
        <v>18</v>
      </c>
      <c r="L17807" s="8">
        <v>39987.315405092595</v>
      </c>
      <c r="M17807" s="9" t="s">
        <v>19</v>
      </c>
      <c r="N17807" s="9" t="s">
        <v>20</v>
      </c>
      <c r="O17807" s="6" t="str">
        <f>HYPERLINK("https://pbs.twimg.com/profile_images/962471262747529216/Uo8lOkRJ_normal.jpg","View")</f>
        <v>View</v>
      </c>
      <c r="P17807" s="7"/>
    </row>
    <row r="17808" spans="1:16">
      <c r="A17808" s="3">
        <v>44569.104155092587</v>
      </c>
      <c r="B17808" s="4" t="str">
        <f>HYPERLINK("https://twitter.com/petrogustavo","@petrogustavo")</f>
        <v>@petrogustavo</v>
      </c>
      <c r="C17808" s="5" t="s">
        <v>16</v>
      </c>
      <c r="D17808" s="5" t="s">
        <v>17142</v>
      </c>
      <c r="E17808" s="6" t="str">
        <f>HYPERLINK("https://twitter.com/petrogustavo/status/1479558456709373954","1479558456709373954")</f>
        <v>1479558456709373954</v>
      </c>
      <c r="F17808" s="7" t="s">
        <v>17</v>
      </c>
      <c r="G17808" s="7">
        <v>4447070</v>
      </c>
      <c r="H17808" s="7">
        <v>2594</v>
      </c>
      <c r="I17808" s="7">
        <v>17</v>
      </c>
      <c r="J17808" s="7">
        <v>62</v>
      </c>
      <c r="K17808" s="7" t="s">
        <v>18</v>
      </c>
      <c r="L17808" s="8">
        <v>39987.315405092595</v>
      </c>
      <c r="M17808" s="9" t="s">
        <v>19</v>
      </c>
      <c r="N17808" s="9" t="s">
        <v>20</v>
      </c>
      <c r="O17808" s="6" t="str">
        <f>HYPERLINK("https://pbs.twimg.com/profile_images/962471262747529216/Uo8lOkRJ_normal.jpg","View")</f>
        <v>View</v>
      </c>
      <c r="P17808" s="7"/>
    </row>
    <row r="17809" spans="1:16">
      <c r="A17809" s="3">
        <v>44569.491423611107</v>
      </c>
      <c r="B17809" s="4" t="str">
        <f>HYPERLINK("https://twitter.com/petrogustavo","@petrogustavo")</f>
        <v>@petrogustavo</v>
      </c>
      <c r="C17809" s="5" t="s">
        <v>16</v>
      </c>
      <c r="D17809" s="5" t="s">
        <v>17143</v>
      </c>
      <c r="E17809" s="6" t="str">
        <f>HYPERLINK("https://twitter.com/petrogustavo/status/1479698796410032129","1479698796410032129")</f>
        <v>1479698796410032129</v>
      </c>
      <c r="F17809" s="7" t="s">
        <v>32</v>
      </c>
      <c r="G17809" s="7">
        <v>4447683</v>
      </c>
      <c r="H17809" s="7">
        <v>2594</v>
      </c>
      <c r="I17809" s="7">
        <v>81</v>
      </c>
      <c r="J17809" s="7">
        <v>318</v>
      </c>
      <c r="K17809" s="7" t="s">
        <v>18</v>
      </c>
      <c r="L17809" s="8">
        <v>39987.315405092595</v>
      </c>
      <c r="M17809" s="9" t="s">
        <v>19</v>
      </c>
      <c r="N17809" s="9" t="s">
        <v>20</v>
      </c>
      <c r="O17809" s="6" t="str">
        <f>HYPERLINK("https://pbs.twimg.com/profile_images/962471262747529216/Uo8lOkRJ_normal.jpg","View")</f>
        <v>View</v>
      </c>
      <c r="P17809" s="7"/>
    </row>
    <row r="17810" spans="1:16">
      <c r="A17810" s="3">
        <v>44569.682430555556</v>
      </c>
      <c r="B17810" s="4" t="str">
        <f>HYPERLINK("https://twitter.com/petrogustavo","@petrogustavo")</f>
        <v>@petrogustavo</v>
      </c>
      <c r="C17810" s="5" t="s">
        <v>16</v>
      </c>
      <c r="D17810" s="5" t="s">
        <v>17144</v>
      </c>
      <c r="E17810" s="6" t="str">
        <f>HYPERLINK("https://twitter.com/petrogustavo/status/1479768017500311553","1479768017500311553")</f>
        <v>1479768017500311553</v>
      </c>
      <c r="F17810" s="7" t="s">
        <v>17</v>
      </c>
      <c r="G17810" s="7">
        <v>4447764</v>
      </c>
      <c r="H17810" s="7">
        <v>2595</v>
      </c>
      <c r="I17810" s="7">
        <v>21</v>
      </c>
      <c r="J17810" s="7">
        <v>70</v>
      </c>
      <c r="K17810" s="7" t="s">
        <v>18</v>
      </c>
      <c r="L17810" s="8">
        <v>39987.315405092595</v>
      </c>
      <c r="M17810" s="9" t="s">
        <v>19</v>
      </c>
      <c r="N17810" s="9" t="s">
        <v>20</v>
      </c>
      <c r="O17810" s="6" t="str">
        <f>HYPERLINK("https://pbs.twimg.com/profile_images/962471262747529216/Uo8lOkRJ_normal.jpg","View")</f>
        <v>View</v>
      </c>
      <c r="P17810" s="7"/>
    </row>
    <row r="17811" spans="1:16">
      <c r="A17811" s="3">
        <v>44569.682442129633</v>
      </c>
      <c r="B17811" s="4" t="str">
        <f>HYPERLINK("https://twitter.com/petrogustavo","@petrogustavo")</f>
        <v>@petrogustavo</v>
      </c>
      <c r="C17811" s="5" t="s">
        <v>16</v>
      </c>
      <c r="D17811" s="5" t="s">
        <v>17145</v>
      </c>
      <c r="E17811" s="6" t="str">
        <f>HYPERLINK("https://twitter.com/petrogustavo/status/1479768019043770370","1479768019043770370")</f>
        <v>1479768019043770370</v>
      </c>
      <c r="F17811" s="7" t="s">
        <v>17</v>
      </c>
      <c r="G17811" s="7">
        <v>4447764</v>
      </c>
      <c r="H17811" s="7">
        <v>2595</v>
      </c>
      <c r="I17811" s="7">
        <v>16</v>
      </c>
      <c r="J17811" s="7">
        <v>48</v>
      </c>
      <c r="K17811" s="7" t="s">
        <v>18</v>
      </c>
      <c r="L17811" s="8">
        <v>39987.315405092595</v>
      </c>
      <c r="M17811" s="9" t="s">
        <v>19</v>
      </c>
      <c r="N17811" s="9" t="s">
        <v>20</v>
      </c>
      <c r="O17811" s="6" t="str">
        <f>HYPERLINK("https://pbs.twimg.com/profile_images/962471262747529216/Uo8lOkRJ_normal.jpg","View")</f>
        <v>View</v>
      </c>
      <c r="P17811" s="7"/>
    </row>
    <row r="17812" spans="1:16">
      <c r="A17812" s="3">
        <v>44569.682442129633</v>
      </c>
      <c r="B17812" s="4" t="str">
        <f>HYPERLINK("https://twitter.com/petrogustavo","@petrogustavo")</f>
        <v>@petrogustavo</v>
      </c>
      <c r="C17812" s="5" t="s">
        <v>16</v>
      </c>
      <c r="D17812" s="5" t="s">
        <v>17146</v>
      </c>
      <c r="E17812" s="6" t="str">
        <f>HYPERLINK("https://twitter.com/petrogustavo/status/1479768020436369408","1479768020436369408")</f>
        <v>1479768020436369408</v>
      </c>
      <c r="F17812" s="7" t="s">
        <v>17</v>
      </c>
      <c r="G17812" s="7">
        <v>4447764</v>
      </c>
      <c r="H17812" s="7">
        <v>2595</v>
      </c>
      <c r="I17812" s="7">
        <v>15</v>
      </c>
      <c r="J17812" s="7">
        <v>48</v>
      </c>
      <c r="K17812" s="7" t="s">
        <v>18</v>
      </c>
      <c r="L17812" s="8">
        <v>39987.315405092595</v>
      </c>
      <c r="M17812" s="9" t="s">
        <v>19</v>
      </c>
      <c r="N17812" s="9" t="s">
        <v>20</v>
      </c>
      <c r="O17812" s="6" t="str">
        <f>HYPERLINK("https://pbs.twimg.com/profile_images/962471262747529216/Uo8lOkRJ_normal.jpg","View")</f>
        <v>View</v>
      </c>
      <c r="P17812" s="7"/>
    </row>
    <row r="17813" spans="1:16">
      <c r="A17813" s="3">
        <v>44569.782638888893</v>
      </c>
      <c r="B17813" s="4" t="str">
        <f>HYPERLINK("https://twitter.com/petrogustavo","@petrogustavo")</f>
        <v>@petrogustavo</v>
      </c>
      <c r="C17813" s="5" t="s">
        <v>16</v>
      </c>
      <c r="D17813" s="5" t="s">
        <v>17147</v>
      </c>
      <c r="E17813" s="6" t="str">
        <f>HYPERLINK("https://twitter.com/petrogustavo/status/1479804329943052288","1479804329943052288")</f>
        <v>1479804329943052288</v>
      </c>
      <c r="F17813" s="7" t="s">
        <v>17</v>
      </c>
      <c r="G17813" s="7">
        <v>4447860</v>
      </c>
      <c r="H17813" s="7">
        <v>2595</v>
      </c>
      <c r="I17813" s="7">
        <v>902</v>
      </c>
      <c r="J17813" s="7">
        <v>0</v>
      </c>
      <c r="K17813" s="7" t="s">
        <v>18</v>
      </c>
      <c r="L17813" s="8">
        <v>39987.315405092595</v>
      </c>
      <c r="M17813" s="9" t="s">
        <v>19</v>
      </c>
      <c r="N17813" s="9" t="s">
        <v>20</v>
      </c>
      <c r="O17813" s="6" t="str">
        <f>HYPERLINK("https://pbs.twimg.com/profile_images/962471262747529216/Uo8lOkRJ_normal.jpg","View")</f>
        <v>View</v>
      </c>
      <c r="P17813" s="7"/>
    </row>
    <row r="17814" spans="1:16">
      <c r="A17814" s="3">
        <v>44569.784918981481</v>
      </c>
      <c r="B17814" s="4" t="str">
        <f>HYPERLINK("https://twitter.com/petrogustavo","@petrogustavo")</f>
        <v>@petrogustavo</v>
      </c>
      <c r="C17814" s="5" t="s">
        <v>16</v>
      </c>
      <c r="D17814" s="5" t="s">
        <v>17148</v>
      </c>
      <c r="E17814" s="6" t="str">
        <f>HYPERLINK("https://twitter.com/petrogustavo/status/1479805157248544772","1479805157248544772")</f>
        <v>1479805157248544772</v>
      </c>
      <c r="F17814" s="7" t="s">
        <v>17</v>
      </c>
      <c r="G17814" s="7">
        <v>4447860</v>
      </c>
      <c r="H17814" s="7">
        <v>2595</v>
      </c>
      <c r="I17814" s="7">
        <v>305</v>
      </c>
      <c r="J17814" s="7">
        <v>905</v>
      </c>
      <c r="K17814" s="7" t="s">
        <v>18</v>
      </c>
      <c r="L17814" s="8">
        <v>39987.315405092595</v>
      </c>
      <c r="M17814" s="9" t="s">
        <v>19</v>
      </c>
      <c r="N17814" s="9" t="s">
        <v>20</v>
      </c>
      <c r="O17814" s="6" t="str">
        <f>HYPERLINK("https://pbs.twimg.com/profile_images/962471262747529216/Uo8lOkRJ_normal.jpg","View")</f>
        <v>View</v>
      </c>
      <c r="P17814" s="7"/>
    </row>
    <row r="17815" spans="1:16">
      <c r="A17815" s="3">
        <v>44569.788541666669</v>
      </c>
      <c r="B17815" s="4" t="str">
        <f>HYPERLINK("https://twitter.com/petrogustavo","@petrogustavo")</f>
        <v>@petrogustavo</v>
      </c>
      <c r="C17815" s="5" t="s">
        <v>16</v>
      </c>
      <c r="D17815" s="5" t="s">
        <v>17149</v>
      </c>
      <c r="E17815" s="6" t="str">
        <f>HYPERLINK("https://twitter.com/petrogustavo/status/1479806467855331328","1479806467855331328")</f>
        <v>1479806467855331328</v>
      </c>
      <c r="F17815" s="7" t="s">
        <v>17</v>
      </c>
      <c r="G17815" s="7">
        <v>4447860</v>
      </c>
      <c r="H17815" s="7">
        <v>2595</v>
      </c>
      <c r="I17815" s="7">
        <v>2098</v>
      </c>
      <c r="J17815" s="7">
        <v>0</v>
      </c>
      <c r="K17815" s="7" t="s">
        <v>18</v>
      </c>
      <c r="L17815" s="8">
        <v>39987.315405092595</v>
      </c>
      <c r="M17815" s="9" t="s">
        <v>19</v>
      </c>
      <c r="N17815" s="9" t="s">
        <v>20</v>
      </c>
      <c r="O17815" s="6" t="str">
        <f>HYPERLINK("https://pbs.twimg.com/profile_images/962471262747529216/Uo8lOkRJ_normal.jpg","View")</f>
        <v>View</v>
      </c>
      <c r="P17815" s="7"/>
    </row>
    <row r="17816" spans="1:16">
      <c r="A17816" s="3">
        <v>44569.788726851853</v>
      </c>
      <c r="B17816" s="4" t="str">
        <f>HYPERLINK("https://twitter.com/petrogustavo","@petrogustavo")</f>
        <v>@petrogustavo</v>
      </c>
      <c r="C17816" s="5" t="s">
        <v>16</v>
      </c>
      <c r="D17816" s="5" t="s">
        <v>17150</v>
      </c>
      <c r="E17816" s="6" t="str">
        <f>HYPERLINK("https://twitter.com/petrogustavo/status/1479806535786057733","1479806535786057733")</f>
        <v>1479806535786057733</v>
      </c>
      <c r="F17816" s="7" t="s">
        <v>17</v>
      </c>
      <c r="G17816" s="7">
        <v>4447860</v>
      </c>
      <c r="H17816" s="7">
        <v>2595</v>
      </c>
      <c r="I17816" s="7">
        <v>305</v>
      </c>
      <c r="J17816" s="7">
        <v>0</v>
      </c>
      <c r="K17816" s="7" t="s">
        <v>18</v>
      </c>
      <c r="L17816" s="8">
        <v>39987.315405092595</v>
      </c>
      <c r="M17816" s="9" t="s">
        <v>19</v>
      </c>
      <c r="N17816" s="9" t="s">
        <v>20</v>
      </c>
      <c r="O17816" s="6" t="str">
        <f>HYPERLINK("https://pbs.twimg.com/profile_images/962471262747529216/Uo8lOkRJ_normal.jpg","View")</f>
        <v>View</v>
      </c>
      <c r="P17816" s="7"/>
    </row>
    <row r="17817" spans="1:16">
      <c r="A17817" s="3">
        <v>44569.907280092593</v>
      </c>
      <c r="B17817" s="4" t="str">
        <f>HYPERLINK("https://twitter.com/petrogustavo","@petrogustavo")</f>
        <v>@petrogustavo</v>
      </c>
      <c r="C17817" s="5" t="s">
        <v>16</v>
      </c>
      <c r="D17817" s="5" t="s">
        <v>17151</v>
      </c>
      <c r="E17817" s="6" t="str">
        <f>HYPERLINK("https://twitter.com/petrogustavo/status/1479849497849212928","1479849497849212928")</f>
        <v>1479849497849212928</v>
      </c>
      <c r="F17817" s="7" t="s">
        <v>17</v>
      </c>
      <c r="G17817" s="7">
        <v>4448053</v>
      </c>
      <c r="H17817" s="7">
        <v>2595</v>
      </c>
      <c r="I17817" s="7">
        <v>39</v>
      </c>
      <c r="J17817" s="7">
        <v>0</v>
      </c>
      <c r="K17817" s="7" t="s">
        <v>18</v>
      </c>
      <c r="L17817" s="8">
        <v>39987.315405092595</v>
      </c>
      <c r="M17817" s="9" t="s">
        <v>19</v>
      </c>
      <c r="N17817" s="9" t="s">
        <v>20</v>
      </c>
      <c r="O17817" s="6" t="str">
        <f>HYPERLINK("https://pbs.twimg.com/profile_images/962471262747529216/Uo8lOkRJ_normal.jpg","View")</f>
        <v>View</v>
      </c>
      <c r="P17817" s="7"/>
    </row>
    <row r="17818" spans="1:16">
      <c r="A17818" s="3">
        <v>44569.968645833331</v>
      </c>
      <c r="B17818" s="4" t="str">
        <f>HYPERLINK("https://twitter.com/petrogustavo","@petrogustavo")</f>
        <v>@petrogustavo</v>
      </c>
      <c r="C17818" s="5" t="s">
        <v>16</v>
      </c>
      <c r="D17818" s="5" t="s">
        <v>17152</v>
      </c>
      <c r="E17818" s="6" t="str">
        <f>HYPERLINK("https://twitter.com/petrogustavo/status/1479871739047915521","1479871739047915521")</f>
        <v>1479871739047915521</v>
      </c>
      <c r="F17818" s="7" t="s">
        <v>17</v>
      </c>
      <c r="G17818" s="7">
        <v>4448166</v>
      </c>
      <c r="H17818" s="7">
        <v>2595</v>
      </c>
      <c r="I17818" s="7">
        <v>80</v>
      </c>
      <c r="J17818" s="7">
        <v>226</v>
      </c>
      <c r="K17818" s="7" t="s">
        <v>18</v>
      </c>
      <c r="L17818" s="8">
        <v>39987.315405092595</v>
      </c>
      <c r="M17818" s="9" t="s">
        <v>19</v>
      </c>
      <c r="N17818" s="9" t="s">
        <v>20</v>
      </c>
      <c r="O17818" s="6" t="str">
        <f>HYPERLINK("https://pbs.twimg.com/profile_images/962471262747529216/Uo8lOkRJ_normal.jpg","View")</f>
        <v>View</v>
      </c>
      <c r="P17818" s="7"/>
    </row>
    <row r="17819" spans="1:16">
      <c r="A17819" s="3">
        <v>44569.97587962963</v>
      </c>
      <c r="B17819" s="4" t="str">
        <f>HYPERLINK("https://twitter.com/petrogustavo","@petrogustavo")</f>
        <v>@petrogustavo</v>
      </c>
      <c r="C17819" s="5" t="s">
        <v>16</v>
      </c>
      <c r="D17819" s="5" t="s">
        <v>17153</v>
      </c>
      <c r="E17819" s="6" t="str">
        <f>HYPERLINK("https://twitter.com/petrogustavo/status/1479874358529216514","1479874358529216514")</f>
        <v>1479874358529216514</v>
      </c>
      <c r="F17819" s="7" t="s">
        <v>17</v>
      </c>
      <c r="G17819" s="7">
        <v>4448166</v>
      </c>
      <c r="H17819" s="7">
        <v>2595</v>
      </c>
      <c r="I17819" s="7">
        <v>121</v>
      </c>
      <c r="J17819" s="7">
        <v>336</v>
      </c>
      <c r="K17819" s="7" t="s">
        <v>18</v>
      </c>
      <c r="L17819" s="8">
        <v>39987.315405092595</v>
      </c>
      <c r="M17819" s="9" t="s">
        <v>19</v>
      </c>
      <c r="N17819" s="9" t="s">
        <v>20</v>
      </c>
      <c r="O17819" s="6" t="str">
        <f>HYPERLINK("https://pbs.twimg.com/profile_images/962471262747529216/Uo8lOkRJ_normal.jpg","View")</f>
        <v>View</v>
      </c>
      <c r="P17819" s="7"/>
    </row>
    <row r="17820" spans="1:16">
      <c r="A17820" s="3">
        <v>44569.97587962963</v>
      </c>
      <c r="B17820" s="4" t="str">
        <f>HYPERLINK("https://twitter.com/petrogustavo","@petrogustavo")</f>
        <v>@petrogustavo</v>
      </c>
      <c r="C17820" s="5" t="s">
        <v>16</v>
      </c>
      <c r="D17820" s="5" t="s">
        <v>17154</v>
      </c>
      <c r="E17820" s="6" t="str">
        <f>HYPERLINK("https://twitter.com/petrogustavo/status/1479874360034967552","1479874360034967552")</f>
        <v>1479874360034967552</v>
      </c>
      <c r="F17820" s="7" t="s">
        <v>17</v>
      </c>
      <c r="G17820" s="7">
        <v>4448166</v>
      </c>
      <c r="H17820" s="7">
        <v>2595</v>
      </c>
      <c r="I17820" s="7">
        <v>63</v>
      </c>
      <c r="J17820" s="7">
        <v>218</v>
      </c>
      <c r="K17820" s="7" t="s">
        <v>18</v>
      </c>
      <c r="L17820" s="8">
        <v>39987.315405092595</v>
      </c>
      <c r="M17820" s="9" t="s">
        <v>19</v>
      </c>
      <c r="N17820" s="9" t="s">
        <v>20</v>
      </c>
      <c r="O17820" s="6" t="str">
        <f>HYPERLINK("https://pbs.twimg.com/profile_images/962471262747529216/Uo8lOkRJ_normal.jpg","View")</f>
        <v>View</v>
      </c>
      <c r="P17820" s="7"/>
    </row>
    <row r="17821" spans="1:16">
      <c r="A17821" s="3">
        <v>44569.975891203707</v>
      </c>
      <c r="B17821" s="4" t="str">
        <f>HYPERLINK("https://twitter.com/petrogustavo","@petrogustavo")</f>
        <v>@petrogustavo</v>
      </c>
      <c r="C17821" s="5" t="s">
        <v>16</v>
      </c>
      <c r="D17821" s="5" t="s">
        <v>17155</v>
      </c>
      <c r="E17821" s="6" t="str">
        <f>HYPERLINK("https://twitter.com/petrogustavo/status/1479874361398018058","1479874361398018058")</f>
        <v>1479874361398018058</v>
      </c>
      <c r="F17821" s="7" t="s">
        <v>17</v>
      </c>
      <c r="G17821" s="7">
        <v>4448166</v>
      </c>
      <c r="H17821" s="7">
        <v>2595</v>
      </c>
      <c r="I17821" s="7">
        <v>75</v>
      </c>
      <c r="J17821" s="7">
        <v>242</v>
      </c>
      <c r="K17821" s="7" t="s">
        <v>18</v>
      </c>
      <c r="L17821" s="8">
        <v>39987.315405092595</v>
      </c>
      <c r="M17821" s="9" t="s">
        <v>19</v>
      </c>
      <c r="N17821" s="9" t="s">
        <v>20</v>
      </c>
      <c r="O17821" s="6" t="str">
        <f>HYPERLINK("https://pbs.twimg.com/profile_images/962471262747529216/Uo8lOkRJ_normal.jpg","View")</f>
        <v>View</v>
      </c>
      <c r="P17821" s="7"/>
    </row>
    <row r="17822" spans="1:16">
      <c r="A17822" s="3">
        <v>44569.98642361111</v>
      </c>
      <c r="B17822" s="4" t="str">
        <f>HYPERLINK("https://twitter.com/petrogustavo","@petrogustavo")</f>
        <v>@petrogustavo</v>
      </c>
      <c r="C17822" s="5" t="s">
        <v>16</v>
      </c>
      <c r="D17822" s="5" t="s">
        <v>17156</v>
      </c>
      <c r="E17822" s="6" t="str">
        <f>HYPERLINK("https://twitter.com/petrogustavo/status/1479878180664131592","1479878180664131592")</f>
        <v>1479878180664131592</v>
      </c>
      <c r="F17822" s="7" t="s">
        <v>17</v>
      </c>
      <c r="G17822" s="7">
        <v>4448198</v>
      </c>
      <c r="H17822" s="7">
        <v>2595</v>
      </c>
      <c r="I17822" s="7">
        <v>253</v>
      </c>
      <c r="J17822" s="7">
        <v>0</v>
      </c>
      <c r="K17822" s="7" t="s">
        <v>18</v>
      </c>
      <c r="L17822" s="8">
        <v>39987.315405092595</v>
      </c>
      <c r="M17822" s="9" t="s">
        <v>19</v>
      </c>
      <c r="N17822" s="9" t="s">
        <v>20</v>
      </c>
      <c r="O17822" s="6" t="str">
        <f>HYPERLINK("https://pbs.twimg.com/profile_images/962471262747529216/Uo8lOkRJ_normal.jpg","View")</f>
        <v>View</v>
      </c>
      <c r="P17822" s="7"/>
    </row>
    <row r="17823" spans="1:16">
      <c r="A17823" s="3">
        <v>44569.986828703702</v>
      </c>
      <c r="B17823" s="4" t="str">
        <f>HYPERLINK("https://twitter.com/petrogustavo","@petrogustavo")</f>
        <v>@petrogustavo</v>
      </c>
      <c r="C17823" s="5" t="s">
        <v>16</v>
      </c>
      <c r="D17823" s="5" t="s">
        <v>17157</v>
      </c>
      <c r="E17823" s="6" t="str">
        <f>HYPERLINK("https://twitter.com/petrogustavo/status/1479878324478488578","1479878324478488578")</f>
        <v>1479878324478488578</v>
      </c>
      <c r="F17823" s="7" t="s">
        <v>17</v>
      </c>
      <c r="G17823" s="7">
        <v>4448198</v>
      </c>
      <c r="H17823" s="7">
        <v>2595</v>
      </c>
      <c r="I17823" s="7">
        <v>444</v>
      </c>
      <c r="J17823" s="7">
        <v>0</v>
      </c>
      <c r="K17823" s="7" t="s">
        <v>18</v>
      </c>
      <c r="L17823" s="8">
        <v>39987.315405092595</v>
      </c>
      <c r="M17823" s="9" t="s">
        <v>19</v>
      </c>
      <c r="N17823" s="9" t="s">
        <v>20</v>
      </c>
      <c r="O17823" s="6" t="str">
        <f>HYPERLINK("https://pbs.twimg.com/profile_images/962471262747529216/Uo8lOkRJ_normal.jpg","View")</f>
        <v>View</v>
      </c>
      <c r="P17823" s="7"/>
    </row>
    <row r="17824" spans="1:16">
      <c r="A17824" s="3">
        <v>44570.040439814809</v>
      </c>
      <c r="B17824" s="4" t="str">
        <f>HYPERLINK("https://twitter.com/petrogustavo","@petrogustavo")</f>
        <v>@petrogustavo</v>
      </c>
      <c r="C17824" s="5" t="s">
        <v>16</v>
      </c>
      <c r="D17824" s="5" t="s">
        <v>17158</v>
      </c>
      <c r="E17824" s="6" t="str">
        <f>HYPERLINK("https://twitter.com/petrogustavo/status/1479897754520506371","1479897754520506371")</f>
        <v>1479897754520506371</v>
      </c>
      <c r="F17824" s="7" t="s">
        <v>32</v>
      </c>
      <c r="G17824" s="7">
        <v>4448246</v>
      </c>
      <c r="H17824" s="7">
        <v>2595</v>
      </c>
      <c r="I17824" s="7">
        <v>31</v>
      </c>
      <c r="J17824" s="7">
        <v>72</v>
      </c>
      <c r="K17824" s="7" t="s">
        <v>18</v>
      </c>
      <c r="L17824" s="8">
        <v>39987.315405092595</v>
      </c>
      <c r="M17824" s="9" t="s">
        <v>19</v>
      </c>
      <c r="N17824" s="9" t="s">
        <v>20</v>
      </c>
      <c r="O17824" s="6" t="str">
        <f>HYPERLINK("https://pbs.twimg.com/profile_images/962471262747529216/Uo8lOkRJ_normal.jpg","View")</f>
        <v>View</v>
      </c>
      <c r="P17824" s="7"/>
    </row>
    <row r="17825" spans="1:16">
      <c r="A17825" s="3">
        <v>44570.049282407403</v>
      </c>
      <c r="B17825" s="4" t="str">
        <f>HYPERLINK("https://twitter.com/petrogustavo","@petrogustavo")</f>
        <v>@petrogustavo</v>
      </c>
      <c r="C17825" s="5" t="s">
        <v>16</v>
      </c>
      <c r="D17825" s="5" t="s">
        <v>17159</v>
      </c>
      <c r="E17825" s="6" t="str">
        <f>HYPERLINK("https://twitter.com/petrogustavo/status/1479900958159249410","1479900958159249410")</f>
        <v>1479900958159249410</v>
      </c>
      <c r="F17825" s="7" t="s">
        <v>32</v>
      </c>
      <c r="G17825" s="7">
        <v>4448258</v>
      </c>
      <c r="H17825" s="7">
        <v>2594</v>
      </c>
      <c r="I17825" s="7">
        <v>49</v>
      </c>
      <c r="J17825" s="7">
        <v>138</v>
      </c>
      <c r="K17825" s="7" t="s">
        <v>18</v>
      </c>
      <c r="L17825" s="8">
        <v>39987.315405092595</v>
      </c>
      <c r="M17825" s="9" t="s">
        <v>19</v>
      </c>
      <c r="N17825" s="9" t="s">
        <v>20</v>
      </c>
      <c r="O17825" s="6" t="str">
        <f>HYPERLINK("https://pbs.twimg.com/profile_images/962471262747529216/Uo8lOkRJ_normal.jpg","View")</f>
        <v>View</v>
      </c>
      <c r="P17825" s="7"/>
    </row>
    <row r="17826" spans="1:16">
      <c r="A17826" s="3">
        <v>44570.208807870367</v>
      </c>
      <c r="B17826" s="4" t="str">
        <f>HYPERLINK("https://twitter.com/petrogustavo","@petrogustavo")</f>
        <v>@petrogustavo</v>
      </c>
      <c r="C17826" s="5" t="s">
        <v>16</v>
      </c>
      <c r="D17826" s="5" t="s">
        <v>17160</v>
      </c>
      <c r="E17826" s="6" t="str">
        <f>HYPERLINK("https://twitter.com/petrogustavo/status/1479958768116920320","1479958768116920320")</f>
        <v>1479958768116920320</v>
      </c>
      <c r="F17826" s="7" t="s">
        <v>17</v>
      </c>
      <c r="G17826" s="7">
        <v>4448528</v>
      </c>
      <c r="H17826" s="7">
        <v>2595</v>
      </c>
      <c r="I17826" s="7">
        <v>135</v>
      </c>
      <c r="J17826" s="7">
        <v>284</v>
      </c>
      <c r="K17826" s="7" t="s">
        <v>18</v>
      </c>
      <c r="L17826" s="8">
        <v>39987.315405092595</v>
      </c>
      <c r="M17826" s="9" t="s">
        <v>19</v>
      </c>
      <c r="N17826" s="9" t="s">
        <v>20</v>
      </c>
      <c r="O17826" s="6" t="str">
        <f>HYPERLINK("https://pbs.twimg.com/profile_images/962471262747529216/Uo8lOkRJ_normal.jpg","View")</f>
        <v>View</v>
      </c>
      <c r="P17826" s="7"/>
    </row>
    <row r="17827" spans="1:16">
      <c r="A17827" s="3">
        <v>44570.21256944444</v>
      </c>
      <c r="B17827" s="4" t="str">
        <f>HYPERLINK("https://twitter.com/petrogustavo","@petrogustavo")</f>
        <v>@petrogustavo</v>
      </c>
      <c r="C17827" s="5" t="s">
        <v>16</v>
      </c>
      <c r="D17827" s="5" t="s">
        <v>17147</v>
      </c>
      <c r="E17827" s="6" t="str">
        <f>HYPERLINK("https://twitter.com/petrogustavo/status/1479960130317918210","1479960130317918210")</f>
        <v>1479960130317918210</v>
      </c>
      <c r="F17827" s="7" t="s">
        <v>17</v>
      </c>
      <c r="G17827" s="7">
        <v>4448528</v>
      </c>
      <c r="H17827" s="7">
        <v>2595</v>
      </c>
      <c r="I17827" s="7">
        <v>1120</v>
      </c>
      <c r="J17827" s="7">
        <v>0</v>
      </c>
      <c r="K17827" s="7" t="s">
        <v>18</v>
      </c>
      <c r="L17827" s="8">
        <v>39987.315405092595</v>
      </c>
      <c r="M17827" s="9" t="s">
        <v>19</v>
      </c>
      <c r="N17827" s="9" t="s">
        <v>20</v>
      </c>
      <c r="O17827" s="6" t="str">
        <f>HYPERLINK("https://pbs.twimg.com/profile_images/962471262747529216/Uo8lOkRJ_normal.jpg","View")</f>
        <v>View</v>
      </c>
      <c r="P17827" s="7"/>
    </row>
    <row r="17828" spans="1:16">
      <c r="A17828" s="3">
        <v>44570.604120370372</v>
      </c>
      <c r="B17828" s="4" t="str">
        <f>HYPERLINK("https://twitter.com/petrogustavo","@petrogustavo")</f>
        <v>@petrogustavo</v>
      </c>
      <c r="C17828" s="5" t="s">
        <v>16</v>
      </c>
      <c r="D17828" s="5" t="s">
        <v>17161</v>
      </c>
      <c r="E17828" s="6" t="str">
        <f>HYPERLINK("https://twitter.com/petrogustavo/status/1480102025828388864","1480102025828388864")</f>
        <v>1480102025828388864</v>
      </c>
      <c r="F17828" s="7" t="s">
        <v>17</v>
      </c>
      <c r="G17828" s="7">
        <v>4448901</v>
      </c>
      <c r="H17828" s="7">
        <v>2595</v>
      </c>
      <c r="I17828" s="7">
        <v>36</v>
      </c>
      <c r="J17828" s="7">
        <v>98</v>
      </c>
      <c r="K17828" s="7" t="s">
        <v>18</v>
      </c>
      <c r="L17828" s="8">
        <v>39987.315405092595</v>
      </c>
      <c r="M17828" s="9" t="s">
        <v>19</v>
      </c>
      <c r="N17828" s="9" t="s">
        <v>20</v>
      </c>
      <c r="O17828" s="6" t="str">
        <f>HYPERLINK("https://pbs.twimg.com/profile_images/962471262747529216/Uo8lOkRJ_normal.jpg","View")</f>
        <v>View</v>
      </c>
      <c r="P17828" s="7"/>
    </row>
    <row r="17829" spans="1:16">
      <c r="A17829" s="3">
        <v>44570.789594907408</v>
      </c>
      <c r="B17829" s="4" t="str">
        <f>HYPERLINK("https://twitter.com/petrogustavo","@petrogustavo")</f>
        <v>@petrogustavo</v>
      </c>
      <c r="C17829" s="5" t="s">
        <v>16</v>
      </c>
      <c r="D17829" s="5" t="s">
        <v>17162</v>
      </c>
      <c r="E17829" s="6" t="str">
        <f>HYPERLINK("https://twitter.com/petrogustavo/status/1480169238220480514","1480169238220480514")</f>
        <v>1480169238220480514</v>
      </c>
      <c r="F17829" s="7" t="s">
        <v>17</v>
      </c>
      <c r="G17829" s="7">
        <v>4449010</v>
      </c>
      <c r="H17829" s="7">
        <v>2595</v>
      </c>
      <c r="I17829" s="7">
        <v>480</v>
      </c>
      <c r="J17829" s="7">
        <v>0</v>
      </c>
      <c r="K17829" s="7" t="s">
        <v>18</v>
      </c>
      <c r="L17829" s="8">
        <v>39987.315405092595</v>
      </c>
      <c r="M17829" s="9" t="s">
        <v>19</v>
      </c>
      <c r="N17829" s="9" t="s">
        <v>20</v>
      </c>
      <c r="O17829" s="6" t="str">
        <f>HYPERLINK("https://pbs.twimg.com/profile_images/962471262747529216/Uo8lOkRJ_normal.jpg","View")</f>
        <v>View</v>
      </c>
      <c r="P17829" s="7"/>
    </row>
    <row r="17830" spans="1:16">
      <c r="A17830" s="3">
        <v>44570.814108796301</v>
      </c>
      <c r="B17830" s="4" t="str">
        <f>HYPERLINK("https://twitter.com/petrogustavo","@petrogustavo")</f>
        <v>@petrogustavo</v>
      </c>
      <c r="C17830" s="5" t="s">
        <v>16</v>
      </c>
      <c r="D17830" s="5" t="s">
        <v>17163</v>
      </c>
      <c r="E17830" s="6" t="str">
        <f>HYPERLINK("https://twitter.com/petrogustavo/status/1480178123949891584","1480178123949891584")</f>
        <v>1480178123949891584</v>
      </c>
      <c r="F17830" s="7" t="s">
        <v>17</v>
      </c>
      <c r="G17830" s="7">
        <v>4449035</v>
      </c>
      <c r="H17830" s="7">
        <v>2595</v>
      </c>
      <c r="I17830" s="7">
        <v>179</v>
      </c>
      <c r="J17830" s="7">
        <v>590</v>
      </c>
      <c r="K17830" s="7" t="s">
        <v>18</v>
      </c>
      <c r="L17830" s="8">
        <v>39987.315405092595</v>
      </c>
      <c r="M17830" s="9" t="s">
        <v>19</v>
      </c>
      <c r="N17830" s="9" t="s">
        <v>20</v>
      </c>
      <c r="O17830" s="6" t="str">
        <f>HYPERLINK("https://pbs.twimg.com/profile_images/962471262747529216/Uo8lOkRJ_normal.jpg","View")</f>
        <v>View</v>
      </c>
      <c r="P17830" s="7"/>
    </row>
    <row r="17831" spans="1:16">
      <c r="A17831" s="3">
        <v>44570.817962962959</v>
      </c>
      <c r="B17831" s="4" t="str">
        <f>HYPERLINK("https://twitter.com/petrogustavo","@petrogustavo")</f>
        <v>@petrogustavo</v>
      </c>
      <c r="C17831" s="5" t="s">
        <v>16</v>
      </c>
      <c r="D17831" s="5" t="s">
        <v>17164</v>
      </c>
      <c r="E17831" s="6" t="str">
        <f>HYPERLINK("https://twitter.com/petrogustavo/status/1480179517855612935","1480179517855612935")</f>
        <v>1480179517855612935</v>
      </c>
      <c r="F17831" s="7" t="s">
        <v>17</v>
      </c>
      <c r="G17831" s="7">
        <v>4449035</v>
      </c>
      <c r="H17831" s="7">
        <v>2595</v>
      </c>
      <c r="I17831" s="7">
        <v>32</v>
      </c>
      <c r="J17831" s="7">
        <v>0</v>
      </c>
      <c r="K17831" s="7" t="s">
        <v>18</v>
      </c>
      <c r="L17831" s="8">
        <v>39987.315405092595</v>
      </c>
      <c r="M17831" s="9" t="s">
        <v>19</v>
      </c>
      <c r="N17831" s="9" t="s">
        <v>20</v>
      </c>
      <c r="O17831" s="6" t="str">
        <f>HYPERLINK("https://pbs.twimg.com/profile_images/962471262747529216/Uo8lOkRJ_normal.jpg","View")</f>
        <v>View</v>
      </c>
      <c r="P17831" s="7"/>
    </row>
    <row r="17832" spans="1:16">
      <c r="A17832" s="3">
        <v>44570.824224537035</v>
      </c>
      <c r="B17832" s="4" t="str">
        <f>HYPERLINK("https://twitter.com/petrogustavo","@petrogustavo")</f>
        <v>@petrogustavo</v>
      </c>
      <c r="C17832" s="5" t="s">
        <v>16</v>
      </c>
      <c r="D17832" s="5" t="s">
        <v>17165</v>
      </c>
      <c r="E17832" s="6" t="str">
        <f>HYPERLINK("https://twitter.com/petrogustavo/status/1480181787154423811","1480181787154423811")</f>
        <v>1480181787154423811</v>
      </c>
      <c r="F17832" s="7" t="s">
        <v>17</v>
      </c>
      <c r="G17832" s="7">
        <v>4449035</v>
      </c>
      <c r="H17832" s="7">
        <v>2595</v>
      </c>
      <c r="I17832" s="7">
        <v>0</v>
      </c>
      <c r="J17832" s="7">
        <v>2</v>
      </c>
      <c r="K17832" s="7" t="s">
        <v>18</v>
      </c>
      <c r="L17832" s="8">
        <v>39987.315405092595</v>
      </c>
      <c r="M17832" s="9" t="s">
        <v>19</v>
      </c>
      <c r="N17832" s="9" t="s">
        <v>20</v>
      </c>
      <c r="O17832" s="6" t="str">
        <f>HYPERLINK("https://pbs.twimg.com/profile_images/962471262747529216/Uo8lOkRJ_normal.jpg","View")</f>
        <v>View</v>
      </c>
      <c r="P17832" s="7"/>
    </row>
    <row r="17833" spans="1:16">
      <c r="A17833" s="3">
        <v>44570.824224537035</v>
      </c>
      <c r="B17833" s="4" t="str">
        <f>HYPERLINK("https://twitter.com/petrogustavo","@petrogustavo")</f>
        <v>@petrogustavo</v>
      </c>
      <c r="C17833" s="5" t="s">
        <v>16</v>
      </c>
      <c r="D17833" s="5" t="s">
        <v>17166</v>
      </c>
      <c r="E17833" s="6" t="str">
        <f>HYPERLINK("https://twitter.com/petrogustavo/status/1480181788928532480","1480181788928532480")</f>
        <v>1480181788928532480</v>
      </c>
      <c r="F17833" s="7" t="s">
        <v>17</v>
      </c>
      <c r="G17833" s="7">
        <v>4449035</v>
      </c>
      <c r="H17833" s="7">
        <v>2595</v>
      </c>
      <c r="I17833" s="7">
        <v>0</v>
      </c>
      <c r="J17833" s="7">
        <v>0</v>
      </c>
      <c r="K17833" s="7" t="s">
        <v>18</v>
      </c>
      <c r="L17833" s="8">
        <v>39987.315405092595</v>
      </c>
      <c r="M17833" s="9" t="s">
        <v>19</v>
      </c>
      <c r="N17833" s="9" t="s">
        <v>20</v>
      </c>
      <c r="O17833" s="6" t="str">
        <f>HYPERLINK("https://pbs.twimg.com/profile_images/962471262747529216/Uo8lOkRJ_normal.jpg","View")</f>
        <v>View</v>
      </c>
      <c r="P17833" s="7"/>
    </row>
    <row r="17834" spans="1:16">
      <c r="A17834" s="3">
        <v>44570.824236111112</v>
      </c>
      <c r="B17834" s="4" t="str">
        <f>HYPERLINK("https://twitter.com/petrogustavo","@petrogustavo")</f>
        <v>@petrogustavo</v>
      </c>
      <c r="C17834" s="5" t="s">
        <v>16</v>
      </c>
      <c r="D17834" s="5" t="s">
        <v>17167</v>
      </c>
      <c r="E17834" s="6" t="str">
        <f>HYPERLINK("https://twitter.com/petrogustavo/status/1480181791617077249","1480181791617077249")</f>
        <v>1480181791617077249</v>
      </c>
      <c r="F17834" s="7" t="s">
        <v>17</v>
      </c>
      <c r="G17834" s="7">
        <v>4449035</v>
      </c>
      <c r="H17834" s="7">
        <v>2595</v>
      </c>
      <c r="I17834" s="7">
        <v>0</v>
      </c>
      <c r="J17834" s="7">
        <v>0</v>
      </c>
      <c r="K17834" s="7" t="s">
        <v>18</v>
      </c>
      <c r="L17834" s="8">
        <v>39987.315405092595</v>
      </c>
      <c r="M17834" s="9" t="s">
        <v>19</v>
      </c>
      <c r="N17834" s="9" t="s">
        <v>20</v>
      </c>
      <c r="O17834" s="6" t="str">
        <f>HYPERLINK("https://pbs.twimg.com/profile_images/962471262747529216/Uo8lOkRJ_normal.jpg","View")</f>
        <v>View</v>
      </c>
      <c r="P17834" s="7"/>
    </row>
    <row r="17835" spans="1:16">
      <c r="A17835" s="3">
        <v>44570.83284722222</v>
      </c>
      <c r="B17835" s="4" t="str">
        <f>HYPERLINK("https://twitter.com/petrogustavo","@petrogustavo")</f>
        <v>@petrogustavo</v>
      </c>
      <c r="C17835" s="5" t="s">
        <v>16</v>
      </c>
      <c r="D17835" s="5" t="s">
        <v>17168</v>
      </c>
      <c r="E17835" s="6" t="str">
        <f>HYPERLINK("https://twitter.com/petrogustavo/status/1480184913290739719","1480184913290739719")</f>
        <v>1480184913290739719</v>
      </c>
      <c r="F17835" s="7" t="s">
        <v>17</v>
      </c>
      <c r="G17835" s="7">
        <v>4449032</v>
      </c>
      <c r="H17835" s="7">
        <v>2595</v>
      </c>
      <c r="I17835" s="7">
        <v>12</v>
      </c>
      <c r="J17835" s="7">
        <v>0</v>
      </c>
      <c r="K17835" s="7" t="s">
        <v>18</v>
      </c>
      <c r="L17835" s="8">
        <v>39987.315405092595</v>
      </c>
      <c r="M17835" s="9" t="s">
        <v>19</v>
      </c>
      <c r="N17835" s="9" t="s">
        <v>20</v>
      </c>
      <c r="O17835" s="6" t="str">
        <f>HYPERLINK("https://pbs.twimg.com/profile_images/962471262747529216/Uo8lOkRJ_normal.jpg","View")</f>
        <v>View</v>
      </c>
      <c r="P17835" s="7"/>
    </row>
    <row r="17836" spans="1:16">
      <c r="A17836" s="3">
        <v>44570.842708333337</v>
      </c>
      <c r="B17836" s="4" t="str">
        <f>HYPERLINK("https://twitter.com/petrogustavo","@petrogustavo")</f>
        <v>@petrogustavo</v>
      </c>
      <c r="C17836" s="5" t="s">
        <v>16</v>
      </c>
      <c r="D17836" s="5" t="s">
        <v>17169</v>
      </c>
      <c r="E17836" s="6" t="str">
        <f>HYPERLINK("https://twitter.com/petrogustavo/status/1480188487701827588","1480188487701827588")</f>
        <v>1480188487701827588</v>
      </c>
      <c r="F17836" s="7" t="s">
        <v>17</v>
      </c>
      <c r="G17836" s="7">
        <v>4449032</v>
      </c>
      <c r="H17836" s="7">
        <v>2595</v>
      </c>
      <c r="I17836" s="7">
        <v>79</v>
      </c>
      <c r="J17836" s="7">
        <v>0</v>
      </c>
      <c r="K17836" s="7" t="s">
        <v>18</v>
      </c>
      <c r="L17836" s="8">
        <v>39987.315405092595</v>
      </c>
      <c r="M17836" s="9" t="s">
        <v>19</v>
      </c>
      <c r="N17836" s="9" t="s">
        <v>20</v>
      </c>
      <c r="O17836" s="6" t="str">
        <f>HYPERLINK("https://pbs.twimg.com/profile_images/962471262747529216/Uo8lOkRJ_normal.jpg","View")</f>
        <v>View</v>
      </c>
      <c r="P17836" s="7"/>
    </row>
    <row r="17837" spans="1:16">
      <c r="A17837" s="3">
        <v>44570.843182870369</v>
      </c>
      <c r="B17837" s="4" t="str">
        <f>HYPERLINK("https://twitter.com/petrogustavo","@petrogustavo")</f>
        <v>@petrogustavo</v>
      </c>
      <c r="C17837" s="5" t="s">
        <v>16</v>
      </c>
      <c r="D17837" s="5" t="s">
        <v>17170</v>
      </c>
      <c r="E17837" s="6" t="str">
        <f>HYPERLINK("https://twitter.com/petrogustavo/status/1480188656824594439","1480188656824594439")</f>
        <v>1480188656824594439</v>
      </c>
      <c r="F17837" s="7" t="s">
        <v>17</v>
      </c>
      <c r="G17837" s="7">
        <v>4449032</v>
      </c>
      <c r="H17837" s="7">
        <v>2595</v>
      </c>
      <c r="I17837" s="7">
        <v>630</v>
      </c>
      <c r="J17837" s="7">
        <v>0</v>
      </c>
      <c r="K17837" s="7" t="s">
        <v>18</v>
      </c>
      <c r="L17837" s="8">
        <v>39987.315405092595</v>
      </c>
      <c r="M17837" s="9" t="s">
        <v>19</v>
      </c>
      <c r="N17837" s="9" t="s">
        <v>20</v>
      </c>
      <c r="O17837" s="6" t="str">
        <f>HYPERLINK("https://pbs.twimg.com/profile_images/962471262747529216/Uo8lOkRJ_normal.jpg","View")</f>
        <v>View</v>
      </c>
      <c r="P17837" s="7"/>
    </row>
    <row r="17838" spans="1:16">
      <c r="A17838" s="3">
        <v>44570.882337962961</v>
      </c>
      <c r="B17838" s="4" t="str">
        <f>HYPERLINK("https://twitter.com/petrogustavo","@petrogustavo")</f>
        <v>@petrogustavo</v>
      </c>
      <c r="C17838" s="5" t="s">
        <v>16</v>
      </c>
      <c r="D17838" s="5" t="s">
        <v>17171</v>
      </c>
      <c r="E17838" s="6" t="str">
        <f>HYPERLINK("https://twitter.com/petrogustavo/status/1480202849162342404","1480202849162342404")</f>
        <v>1480202849162342404</v>
      </c>
      <c r="F17838" s="7" t="s">
        <v>17</v>
      </c>
      <c r="G17838" s="7">
        <v>4449089</v>
      </c>
      <c r="H17838" s="7">
        <v>2595</v>
      </c>
      <c r="I17838" s="7">
        <v>27</v>
      </c>
      <c r="J17838" s="7">
        <v>0</v>
      </c>
      <c r="K17838" s="7" t="s">
        <v>18</v>
      </c>
      <c r="L17838" s="8">
        <v>39987.315405092595</v>
      </c>
      <c r="M17838" s="9" t="s">
        <v>19</v>
      </c>
      <c r="N17838" s="9" t="s">
        <v>20</v>
      </c>
      <c r="O17838" s="6" t="str">
        <f>HYPERLINK("https://pbs.twimg.com/profile_images/962471262747529216/Uo8lOkRJ_normal.jpg","View")</f>
        <v>View</v>
      </c>
      <c r="P17838" s="7"/>
    </row>
    <row r="17839" spans="1:16">
      <c r="A17839" s="3">
        <v>44570.894166666665</v>
      </c>
      <c r="B17839" s="4" t="str">
        <f>HYPERLINK("https://twitter.com/petrogustavo","@petrogustavo")</f>
        <v>@petrogustavo</v>
      </c>
      <c r="C17839" s="5" t="s">
        <v>16</v>
      </c>
      <c r="D17839" s="5" t="s">
        <v>17170</v>
      </c>
      <c r="E17839" s="6" t="str">
        <f>HYPERLINK("https://twitter.com/petrogustavo/status/1480207135485173762","1480207135485173762")</f>
        <v>1480207135485173762</v>
      </c>
      <c r="F17839" s="7" t="s">
        <v>17</v>
      </c>
      <c r="G17839" s="7">
        <v>4449103</v>
      </c>
      <c r="H17839" s="7">
        <v>2595</v>
      </c>
      <c r="I17839" s="7">
        <v>772</v>
      </c>
      <c r="J17839" s="7">
        <v>0</v>
      </c>
      <c r="K17839" s="7" t="s">
        <v>18</v>
      </c>
      <c r="L17839" s="8">
        <v>39987.315405092595</v>
      </c>
      <c r="M17839" s="9" t="s">
        <v>19</v>
      </c>
      <c r="N17839" s="9" t="s">
        <v>20</v>
      </c>
      <c r="O17839" s="6" t="str">
        <f>HYPERLINK("https://pbs.twimg.com/profile_images/962471262747529216/Uo8lOkRJ_normal.jpg","View")</f>
        <v>View</v>
      </c>
      <c r="P17839" s="7"/>
    </row>
    <row r="17840" spans="1:16">
      <c r="A17840" s="3">
        <v>44570.948900462958</v>
      </c>
      <c r="B17840" s="4" t="str">
        <f>HYPERLINK("https://twitter.com/petrogustavo","@petrogustavo")</f>
        <v>@petrogustavo</v>
      </c>
      <c r="C17840" s="5" t="s">
        <v>16</v>
      </c>
      <c r="D17840" s="5" t="s">
        <v>17172</v>
      </c>
      <c r="E17840" s="6" t="str">
        <f>HYPERLINK("https://twitter.com/petrogustavo/status/1480226970789163010","1480226970789163010")</f>
        <v>1480226970789163010</v>
      </c>
      <c r="F17840" s="7" t="s">
        <v>17</v>
      </c>
      <c r="G17840" s="7">
        <v>4449154</v>
      </c>
      <c r="H17840" s="7">
        <v>2595</v>
      </c>
      <c r="I17840" s="7">
        <v>1369</v>
      </c>
      <c r="J17840" s="7">
        <v>0</v>
      </c>
      <c r="K17840" s="7" t="s">
        <v>18</v>
      </c>
      <c r="L17840" s="8">
        <v>39987.315405092595</v>
      </c>
      <c r="M17840" s="9" t="s">
        <v>19</v>
      </c>
      <c r="N17840" s="9" t="s">
        <v>20</v>
      </c>
      <c r="O17840" s="6" t="str">
        <f>HYPERLINK("https://pbs.twimg.com/profile_images/962471262747529216/Uo8lOkRJ_normal.jpg","View")</f>
        <v>View</v>
      </c>
      <c r="P17840" s="7"/>
    </row>
    <row r="17841" spans="1:16">
      <c r="A17841" s="3">
        <v>44570.953692129631</v>
      </c>
      <c r="B17841" s="4" t="str">
        <f>HYPERLINK("https://twitter.com/petrogustavo","@petrogustavo")</f>
        <v>@petrogustavo</v>
      </c>
      <c r="C17841" s="5" t="s">
        <v>16</v>
      </c>
      <c r="D17841" s="5" t="s">
        <v>17173</v>
      </c>
      <c r="E17841" s="6" t="str">
        <f>HYPERLINK("https://twitter.com/petrogustavo/status/1480228705775534092","1480228705775534092")</f>
        <v>1480228705775534092</v>
      </c>
      <c r="F17841" s="7" t="s">
        <v>17</v>
      </c>
      <c r="G17841" s="7">
        <v>4449186</v>
      </c>
      <c r="H17841" s="7">
        <v>2596</v>
      </c>
      <c r="I17841" s="7">
        <v>257</v>
      </c>
      <c r="J17841" s="7">
        <v>526</v>
      </c>
      <c r="K17841" s="7" t="s">
        <v>18</v>
      </c>
      <c r="L17841" s="8">
        <v>39987.315405092595</v>
      </c>
      <c r="M17841" s="9" t="s">
        <v>19</v>
      </c>
      <c r="N17841" s="9" t="s">
        <v>20</v>
      </c>
      <c r="O17841" s="6" t="str">
        <f>HYPERLINK("https://pbs.twimg.com/profile_images/962471262747529216/Uo8lOkRJ_normal.jpg","View")</f>
        <v>View</v>
      </c>
      <c r="P17841" s="7"/>
    </row>
    <row r="17842" spans="1:16">
      <c r="A17842" s="3">
        <v>44570.958831018521</v>
      </c>
      <c r="B17842" s="4" t="str">
        <f>HYPERLINK("https://twitter.com/petrogustavo","@petrogustavo")</f>
        <v>@petrogustavo</v>
      </c>
      <c r="C17842" s="5" t="s">
        <v>16</v>
      </c>
      <c r="D17842" s="5" t="s">
        <v>17174</v>
      </c>
      <c r="E17842" s="6" t="str">
        <f>HYPERLINK("https://twitter.com/petrogustavo/status/1480230569040650240","1480230569040650240")</f>
        <v>1480230569040650240</v>
      </c>
      <c r="F17842" s="7" t="s">
        <v>17</v>
      </c>
      <c r="G17842" s="7">
        <v>4449186</v>
      </c>
      <c r="H17842" s="7">
        <v>2596</v>
      </c>
      <c r="I17842" s="7">
        <v>71</v>
      </c>
      <c r="J17842" s="7">
        <v>0</v>
      </c>
      <c r="K17842" s="7" t="s">
        <v>18</v>
      </c>
      <c r="L17842" s="8">
        <v>39987.315405092595</v>
      </c>
      <c r="M17842" s="9" t="s">
        <v>19</v>
      </c>
      <c r="N17842" s="9" t="s">
        <v>20</v>
      </c>
      <c r="O17842" s="6" t="str">
        <f>HYPERLINK("https://pbs.twimg.com/profile_images/962471262747529216/Uo8lOkRJ_normal.jpg","View")</f>
        <v>View</v>
      </c>
      <c r="P17842" s="7"/>
    </row>
    <row r="17843" spans="1:16">
      <c r="A17843" s="3">
        <v>44570.958912037036</v>
      </c>
      <c r="B17843" s="4" t="str">
        <f>HYPERLINK("https://twitter.com/petrogustavo","@petrogustavo")</f>
        <v>@petrogustavo</v>
      </c>
      <c r="C17843" s="5" t="s">
        <v>16</v>
      </c>
      <c r="D17843" s="5" t="s">
        <v>17175</v>
      </c>
      <c r="E17843" s="6" t="str">
        <f>HYPERLINK("https://twitter.com/petrogustavo/status/1480230599172448260","1480230599172448260")</f>
        <v>1480230599172448260</v>
      </c>
      <c r="F17843" s="7" t="s">
        <v>17</v>
      </c>
      <c r="G17843" s="7">
        <v>4449186</v>
      </c>
      <c r="H17843" s="7">
        <v>2596</v>
      </c>
      <c r="I17843" s="7">
        <v>29</v>
      </c>
      <c r="J17843" s="7">
        <v>0</v>
      </c>
      <c r="K17843" s="7" t="s">
        <v>18</v>
      </c>
      <c r="L17843" s="8">
        <v>39987.315405092595</v>
      </c>
      <c r="M17843" s="9" t="s">
        <v>19</v>
      </c>
      <c r="N17843" s="9" t="s">
        <v>20</v>
      </c>
      <c r="O17843" s="6" t="str">
        <f>HYPERLINK("https://pbs.twimg.com/profile_images/962471262747529216/Uo8lOkRJ_normal.jpg","View")</f>
        <v>View</v>
      </c>
      <c r="P17843" s="7"/>
    </row>
    <row r="17844" spans="1:16">
      <c r="A17844" s="3">
        <v>44570.970162037032</v>
      </c>
      <c r="B17844" s="4" t="str">
        <f>HYPERLINK("https://twitter.com/petrogustavo","@petrogustavo")</f>
        <v>@petrogustavo</v>
      </c>
      <c r="C17844" s="5" t="s">
        <v>16</v>
      </c>
      <c r="D17844" s="5" t="s">
        <v>17176</v>
      </c>
      <c r="E17844" s="6" t="str">
        <f>HYPERLINK("https://twitter.com/petrogustavo/status/1480234676476329984","1480234676476329984")</f>
        <v>1480234676476329984</v>
      </c>
      <c r="F17844" s="7" t="s">
        <v>17</v>
      </c>
      <c r="G17844" s="7">
        <v>4449186</v>
      </c>
      <c r="H17844" s="7">
        <v>2596</v>
      </c>
      <c r="I17844" s="7">
        <v>1</v>
      </c>
      <c r="J17844" s="7">
        <v>0</v>
      </c>
      <c r="K17844" s="7" t="s">
        <v>18</v>
      </c>
      <c r="L17844" s="8">
        <v>39987.315405092595</v>
      </c>
      <c r="M17844" s="9" t="s">
        <v>19</v>
      </c>
      <c r="N17844" s="9" t="s">
        <v>20</v>
      </c>
      <c r="O17844" s="6" t="str">
        <f>HYPERLINK("https://pbs.twimg.com/profile_images/962471262747529216/Uo8lOkRJ_normal.jpg","View")</f>
        <v>View</v>
      </c>
      <c r="P17844" s="7"/>
    </row>
    <row r="17845" spans="1:16">
      <c r="A17845" s="3">
        <v>44570.971458333333</v>
      </c>
      <c r="B17845" s="4" t="str">
        <f>HYPERLINK("https://twitter.com/petrogustavo","@petrogustavo")</f>
        <v>@petrogustavo</v>
      </c>
      <c r="C17845" s="5" t="s">
        <v>16</v>
      </c>
      <c r="D17845" s="5" t="s">
        <v>17176</v>
      </c>
      <c r="E17845" s="6" t="str">
        <f>HYPERLINK("https://twitter.com/petrogustavo/status/1480235146368401412","1480235146368401412")</f>
        <v>1480235146368401412</v>
      </c>
      <c r="F17845" s="7" t="s">
        <v>17</v>
      </c>
      <c r="G17845" s="7">
        <v>4449204</v>
      </c>
      <c r="H17845" s="7">
        <v>2596</v>
      </c>
      <c r="I17845" s="7">
        <v>31</v>
      </c>
      <c r="J17845" s="7">
        <v>0</v>
      </c>
      <c r="K17845" s="7" t="s">
        <v>18</v>
      </c>
      <c r="L17845" s="8">
        <v>39987.315405092595</v>
      </c>
      <c r="M17845" s="9" t="s">
        <v>19</v>
      </c>
      <c r="N17845" s="9" t="s">
        <v>20</v>
      </c>
      <c r="O17845" s="6" t="str">
        <f>HYPERLINK("https://pbs.twimg.com/profile_images/962471262747529216/Uo8lOkRJ_normal.jpg","View")</f>
        <v>View</v>
      </c>
      <c r="P17845" s="7"/>
    </row>
    <row r="17846" spans="1:16">
      <c r="A17846" s="3">
        <v>44570.972164351857</v>
      </c>
      <c r="B17846" s="4" t="str">
        <f>HYPERLINK("https://twitter.com/petrogustavo","@petrogustavo")</f>
        <v>@petrogustavo</v>
      </c>
      <c r="C17846" s="5" t="s">
        <v>16</v>
      </c>
      <c r="D17846" s="5" t="s">
        <v>17177</v>
      </c>
      <c r="E17846" s="6" t="str">
        <f>HYPERLINK("https://twitter.com/petrogustavo/status/1480235400757231622","1480235400757231622")</f>
        <v>1480235400757231622</v>
      </c>
      <c r="F17846" s="7" t="s">
        <v>17</v>
      </c>
      <c r="G17846" s="7">
        <v>4449204</v>
      </c>
      <c r="H17846" s="7">
        <v>2596</v>
      </c>
      <c r="I17846" s="7">
        <v>32</v>
      </c>
      <c r="J17846" s="7">
        <v>0</v>
      </c>
      <c r="K17846" s="7" t="s">
        <v>18</v>
      </c>
      <c r="L17846" s="8">
        <v>39987.315405092595</v>
      </c>
      <c r="M17846" s="9" t="s">
        <v>19</v>
      </c>
      <c r="N17846" s="9" t="s">
        <v>20</v>
      </c>
      <c r="O17846" s="6" t="str">
        <f>HYPERLINK("https://pbs.twimg.com/profile_images/962471262747529216/Uo8lOkRJ_normal.jpg","View")</f>
        <v>View</v>
      </c>
      <c r="P17846" s="7"/>
    </row>
    <row r="17847" spans="1:16">
      <c r="A17847" s="3">
        <v>44570.9769212963</v>
      </c>
      <c r="B17847" s="4" t="str">
        <f>HYPERLINK("https://twitter.com/petrogustavo","@petrogustavo")</f>
        <v>@petrogustavo</v>
      </c>
      <c r="C17847" s="5" t="s">
        <v>16</v>
      </c>
      <c r="D17847" s="5" t="s">
        <v>17178</v>
      </c>
      <c r="E17847" s="6" t="str">
        <f>HYPERLINK("https://twitter.com/petrogustavo/status/1480237124683247619","1480237124683247619")</f>
        <v>1480237124683247619</v>
      </c>
      <c r="F17847" s="7" t="s">
        <v>17</v>
      </c>
      <c r="G17847" s="7">
        <v>4449204</v>
      </c>
      <c r="H17847" s="7">
        <v>2596</v>
      </c>
      <c r="I17847" s="7">
        <v>61</v>
      </c>
      <c r="J17847" s="7">
        <v>0</v>
      </c>
      <c r="K17847" s="7" t="s">
        <v>18</v>
      </c>
      <c r="L17847" s="8">
        <v>39987.315405092595</v>
      </c>
      <c r="M17847" s="9" t="s">
        <v>19</v>
      </c>
      <c r="N17847" s="9" t="s">
        <v>20</v>
      </c>
      <c r="O17847" s="6" t="str">
        <f>HYPERLINK("https://pbs.twimg.com/profile_images/962471262747529216/Uo8lOkRJ_normal.jpg","View")</f>
        <v>View</v>
      </c>
      <c r="P17847" s="7"/>
    </row>
    <row r="17848" spans="1:16">
      <c r="A17848" s="3">
        <v>44570.979756944449</v>
      </c>
      <c r="B17848" s="4" t="str">
        <f>HYPERLINK("https://twitter.com/petrogustavo","@petrogustavo")</f>
        <v>@petrogustavo</v>
      </c>
      <c r="C17848" s="5" t="s">
        <v>16</v>
      </c>
      <c r="D17848" s="5" t="s">
        <v>17176</v>
      </c>
      <c r="E17848" s="6" t="str">
        <f>HYPERLINK("https://twitter.com/petrogustavo/status/1480238151616671746","1480238151616671746")</f>
        <v>1480238151616671746</v>
      </c>
      <c r="F17848" s="7" t="s">
        <v>17</v>
      </c>
      <c r="G17848" s="7">
        <v>4449204</v>
      </c>
      <c r="H17848" s="7">
        <v>2596</v>
      </c>
      <c r="I17848" s="7">
        <v>25</v>
      </c>
      <c r="J17848" s="7">
        <v>0</v>
      </c>
      <c r="K17848" s="7" t="s">
        <v>18</v>
      </c>
      <c r="L17848" s="8">
        <v>39987.315405092595</v>
      </c>
      <c r="M17848" s="9" t="s">
        <v>19</v>
      </c>
      <c r="N17848" s="9" t="s">
        <v>20</v>
      </c>
      <c r="O17848" s="6" t="str">
        <f>HYPERLINK("https://pbs.twimg.com/profile_images/962471262747529216/Uo8lOkRJ_normal.jpg","View")</f>
        <v>View</v>
      </c>
      <c r="P17848" s="7"/>
    </row>
    <row r="17849" spans="1:16">
      <c r="A17849" s="3">
        <v>44570.979849537034</v>
      </c>
      <c r="B17849" s="4" t="str">
        <f>HYPERLINK("https://twitter.com/petrogustavo","@petrogustavo")</f>
        <v>@petrogustavo</v>
      </c>
      <c r="C17849" s="5" t="s">
        <v>16</v>
      </c>
      <c r="D17849" s="5" t="s">
        <v>17176</v>
      </c>
      <c r="E17849" s="6" t="str">
        <f>HYPERLINK("https://twitter.com/petrogustavo/status/1480238186219585552","1480238186219585552")</f>
        <v>1480238186219585552</v>
      </c>
      <c r="F17849" s="7" t="s">
        <v>17</v>
      </c>
      <c r="G17849" s="7">
        <v>4449204</v>
      </c>
      <c r="H17849" s="7">
        <v>2596</v>
      </c>
      <c r="I17849" s="7">
        <v>22</v>
      </c>
      <c r="J17849" s="7">
        <v>0</v>
      </c>
      <c r="K17849" s="7" t="s">
        <v>18</v>
      </c>
      <c r="L17849" s="8">
        <v>39987.315405092595</v>
      </c>
      <c r="M17849" s="9" t="s">
        <v>19</v>
      </c>
      <c r="N17849" s="9" t="s">
        <v>20</v>
      </c>
      <c r="O17849" s="6" t="str">
        <f>HYPERLINK("https://pbs.twimg.com/profile_images/962471262747529216/Uo8lOkRJ_normal.jpg","View")</f>
        <v>View</v>
      </c>
      <c r="P17849" s="7"/>
    </row>
    <row r="17850" spans="1:16">
      <c r="A17850" s="3">
        <v>44570.980034722219</v>
      </c>
      <c r="B17850" s="4" t="str">
        <f>HYPERLINK("https://twitter.com/petrogustavo","@petrogustavo")</f>
        <v>@petrogustavo</v>
      </c>
      <c r="C17850" s="5" t="s">
        <v>16</v>
      </c>
      <c r="D17850" s="5" t="s">
        <v>17176</v>
      </c>
      <c r="E17850" s="6" t="str">
        <f>HYPERLINK("https://twitter.com/petrogustavo/status/1480238253127127047","1480238253127127047")</f>
        <v>1480238253127127047</v>
      </c>
      <c r="F17850" s="7" t="s">
        <v>17</v>
      </c>
      <c r="G17850" s="7">
        <v>4449204</v>
      </c>
      <c r="H17850" s="7">
        <v>2596</v>
      </c>
      <c r="I17850" s="7">
        <v>22</v>
      </c>
      <c r="J17850" s="7">
        <v>0</v>
      </c>
      <c r="K17850" s="7" t="s">
        <v>18</v>
      </c>
      <c r="L17850" s="8">
        <v>39987.315405092595</v>
      </c>
      <c r="M17850" s="9" t="s">
        <v>19</v>
      </c>
      <c r="N17850" s="9" t="s">
        <v>20</v>
      </c>
      <c r="O17850" s="6" t="str">
        <f>HYPERLINK("https://pbs.twimg.com/profile_images/962471262747529216/Uo8lOkRJ_normal.jpg","View")</f>
        <v>View</v>
      </c>
      <c r="P17850" s="7"/>
    </row>
    <row r="17851" spans="1:16">
      <c r="A17851" s="3">
        <v>44570.980208333334</v>
      </c>
      <c r="B17851" s="4" t="str">
        <f>HYPERLINK("https://twitter.com/petrogustavo","@petrogustavo")</f>
        <v>@petrogustavo</v>
      </c>
      <c r="C17851" s="5" t="s">
        <v>16</v>
      </c>
      <c r="D17851" s="5" t="s">
        <v>17176</v>
      </c>
      <c r="E17851" s="6" t="str">
        <f>HYPERLINK("https://twitter.com/petrogustavo/status/1480238315622252549","1480238315622252549")</f>
        <v>1480238315622252549</v>
      </c>
      <c r="F17851" s="7" t="s">
        <v>17</v>
      </c>
      <c r="G17851" s="7">
        <v>4449204</v>
      </c>
      <c r="H17851" s="7">
        <v>2596</v>
      </c>
      <c r="I17851" s="7">
        <v>27</v>
      </c>
      <c r="J17851" s="7">
        <v>0</v>
      </c>
      <c r="K17851" s="7" t="s">
        <v>18</v>
      </c>
      <c r="L17851" s="8">
        <v>39987.315405092595</v>
      </c>
      <c r="M17851" s="9" t="s">
        <v>19</v>
      </c>
      <c r="N17851" s="9" t="s">
        <v>20</v>
      </c>
      <c r="O17851" s="6" t="str">
        <f>HYPERLINK("https://pbs.twimg.com/profile_images/962471262747529216/Uo8lOkRJ_normal.jpg","View")</f>
        <v>View</v>
      </c>
      <c r="P17851" s="7"/>
    </row>
    <row r="17852" spans="1:16">
      <c r="A17852" s="3">
        <v>44570.980821759258</v>
      </c>
      <c r="B17852" s="4" t="str">
        <f>HYPERLINK("https://twitter.com/petrogustavo","@petrogustavo")</f>
        <v>@petrogustavo</v>
      </c>
      <c r="C17852" s="5" t="s">
        <v>16</v>
      </c>
      <c r="D17852" s="5" t="s">
        <v>17176</v>
      </c>
      <c r="E17852" s="6" t="str">
        <f>HYPERLINK("https://twitter.com/petrogustavo/status/1480238539065511938","1480238539065511938")</f>
        <v>1480238539065511938</v>
      </c>
      <c r="F17852" s="7" t="s">
        <v>17</v>
      </c>
      <c r="G17852" s="7">
        <v>4449204</v>
      </c>
      <c r="H17852" s="7">
        <v>2596</v>
      </c>
      <c r="I17852" s="7">
        <v>29</v>
      </c>
      <c r="J17852" s="7">
        <v>0</v>
      </c>
      <c r="K17852" s="7" t="s">
        <v>18</v>
      </c>
      <c r="L17852" s="8">
        <v>39987.315405092595</v>
      </c>
      <c r="M17852" s="9" t="s">
        <v>19</v>
      </c>
      <c r="N17852" s="9" t="s">
        <v>20</v>
      </c>
      <c r="O17852" s="6" t="str">
        <f>HYPERLINK("https://pbs.twimg.com/profile_images/962471262747529216/Uo8lOkRJ_normal.jpg","View")</f>
        <v>View</v>
      </c>
      <c r="P17852" s="7"/>
    </row>
    <row r="17853" spans="1:16">
      <c r="A17853" s="3">
        <v>44570.983460648145</v>
      </c>
      <c r="B17853" s="4" t="str">
        <f>HYPERLINK("https://twitter.com/petrogustavo","@petrogustavo")</f>
        <v>@petrogustavo</v>
      </c>
      <c r="C17853" s="5" t="s">
        <v>16</v>
      </c>
      <c r="D17853" s="5" t="s">
        <v>17176</v>
      </c>
      <c r="E17853" s="6" t="str">
        <f>HYPERLINK("https://twitter.com/petrogustavo/status/1480239492745383939","1480239492745383939")</f>
        <v>1480239492745383939</v>
      </c>
      <c r="F17853" s="7" t="s">
        <v>17</v>
      </c>
      <c r="G17853" s="7">
        <v>4449204</v>
      </c>
      <c r="H17853" s="7">
        <v>2596</v>
      </c>
      <c r="I17853" s="7">
        <v>28</v>
      </c>
      <c r="J17853" s="7">
        <v>0</v>
      </c>
      <c r="K17853" s="7" t="s">
        <v>18</v>
      </c>
      <c r="L17853" s="8">
        <v>39987.315405092595</v>
      </c>
      <c r="M17853" s="9" t="s">
        <v>19</v>
      </c>
      <c r="N17853" s="9" t="s">
        <v>20</v>
      </c>
      <c r="O17853" s="6" t="str">
        <f>HYPERLINK("https://pbs.twimg.com/profile_images/962471262747529216/Uo8lOkRJ_normal.jpg","View")</f>
        <v>View</v>
      </c>
      <c r="P17853" s="7"/>
    </row>
    <row r="17854" spans="1:16">
      <c r="A17854" s="3">
        <v>44570.983553240745</v>
      </c>
      <c r="B17854" s="4" t="str">
        <f>HYPERLINK("https://twitter.com/petrogustavo","@petrogustavo")</f>
        <v>@petrogustavo</v>
      </c>
      <c r="C17854" s="5" t="s">
        <v>16</v>
      </c>
      <c r="D17854" s="5" t="s">
        <v>17176</v>
      </c>
      <c r="E17854" s="6" t="str">
        <f>HYPERLINK("https://twitter.com/petrogustavo/status/1480239527818141698","1480239527818141698")</f>
        <v>1480239527818141698</v>
      </c>
      <c r="F17854" s="7" t="s">
        <v>17</v>
      </c>
      <c r="G17854" s="7">
        <v>4449204</v>
      </c>
      <c r="H17854" s="7">
        <v>2596</v>
      </c>
      <c r="I17854" s="7">
        <v>32</v>
      </c>
      <c r="J17854" s="7">
        <v>0</v>
      </c>
      <c r="K17854" s="7" t="s">
        <v>18</v>
      </c>
      <c r="L17854" s="8">
        <v>39987.315405092595</v>
      </c>
      <c r="M17854" s="9" t="s">
        <v>19</v>
      </c>
      <c r="N17854" s="9" t="s">
        <v>20</v>
      </c>
      <c r="O17854" s="6" t="str">
        <f>HYPERLINK("https://pbs.twimg.com/profile_images/962471262747529216/Uo8lOkRJ_normal.jpg","View")</f>
        <v>View</v>
      </c>
      <c r="P17854" s="7"/>
    </row>
    <row r="17855" spans="1:16">
      <c r="A17855" s="3">
        <v>44570.986805555556</v>
      </c>
      <c r="B17855" s="4" t="str">
        <f>HYPERLINK("https://twitter.com/petrogustavo","@petrogustavo")</f>
        <v>@petrogustavo</v>
      </c>
      <c r="C17855" s="5" t="s">
        <v>16</v>
      </c>
      <c r="D17855" s="5" t="s">
        <v>17179</v>
      </c>
      <c r="E17855" s="6" t="str">
        <f>HYPERLINK("https://twitter.com/petrogustavo/status/1480240706044186632","1480240706044186632")</f>
        <v>1480240706044186632</v>
      </c>
      <c r="F17855" s="7" t="s">
        <v>17</v>
      </c>
      <c r="G17855" s="7">
        <v>4449204</v>
      </c>
      <c r="H17855" s="7">
        <v>2596</v>
      </c>
      <c r="I17855" s="7">
        <v>47</v>
      </c>
      <c r="J17855" s="7">
        <v>161</v>
      </c>
      <c r="K17855" s="7" t="s">
        <v>18</v>
      </c>
      <c r="L17855" s="8">
        <v>39987.315405092595</v>
      </c>
      <c r="M17855" s="9" t="s">
        <v>19</v>
      </c>
      <c r="N17855" s="9" t="s">
        <v>20</v>
      </c>
      <c r="O17855" s="6" t="str">
        <f>HYPERLINK("https://pbs.twimg.com/profile_images/962471262747529216/Uo8lOkRJ_normal.jpg","View")</f>
        <v>View</v>
      </c>
      <c r="P17855" s="7"/>
    </row>
  </sheetData>
  <autoFilter ref="A1:P17855" xr:uid="{00C19D94-D964-4E1A-BA26-99D29878746C}">
    <sortState xmlns:xlrd2="http://schemas.microsoft.com/office/spreadsheetml/2017/richdata2" ref="A2:P17855">
      <sortCondition ref="A2:A17855"/>
    </sortState>
  </autoFilter>
  <sortState xmlns:xlrd2="http://schemas.microsoft.com/office/spreadsheetml/2017/richdata2" ref="A2:P17855">
    <sortCondition descending="1" ref="A2:A17855"/>
  </sortState>
  <hyperlinks>
    <hyperlink ref="D3876" r:id="rId1" xr:uid="{543CD9F0-625B-47ED-B6FF-4B3E131C2828}"/>
    <hyperlink ref="D3877" r:id="rId2" xr:uid="{D2183273-BC9D-46AC-950E-C4D80A9C69F4}"/>
    <hyperlink ref="D3878" r:id="rId3" xr:uid="{99C7A6B4-5B11-4E0B-8A39-5E7166B1617D}"/>
    <hyperlink ref="D3879" r:id="rId4" xr:uid="{1ED54673-8F7A-474B-95C7-DEEA1EF113E8}"/>
    <hyperlink ref="D3880" r:id="rId5" xr:uid="{853CCF9A-FFE4-4AD0-9F73-AA8D69DA298D}"/>
    <hyperlink ref="D3881" r:id="rId6" xr:uid="{F18881AC-883F-4D48-820B-98E51F30EC4B}"/>
    <hyperlink ref="D3882" r:id="rId7" xr:uid="{5A5C5518-F905-4DFD-8599-2916EDDB10D6}"/>
    <hyperlink ref="D3883" r:id="rId8" xr:uid="{7B226D69-DD04-45D7-9F5B-39056FEA9BBF}"/>
    <hyperlink ref="D3884" r:id="rId9" xr:uid="{5B6357E7-02BE-4FDA-A01E-3A682BD2B8A1}"/>
    <hyperlink ref="D5218" r:id="rId10" xr:uid="{E3941DA0-95CD-4B16-B849-04A599B59AC7}"/>
    <hyperlink ref="D5415" r:id="rId11" xr:uid="{14123EF3-BFF3-4D74-B926-4921D20DB0A3}"/>
    <hyperlink ref="D9023" r:id="rId12" xr:uid="{0CE0C8ED-B9D8-4134-8307-A1508B49DC98}"/>
    <hyperlink ref="D11277" r:id="rId13" xr:uid="{D5B522A5-8F0E-44F8-8176-4B0D659DE6F2}"/>
    <hyperlink ref="D13504" r:id="rId14" xr:uid="{06435012-0223-4D8D-A9F8-66BE1DD45D9E}"/>
    <hyperlink ref="D15451" r:id="rId15" xr:uid="{6273FC3C-4EEE-4AE7-9AB2-25E832FAE2D3}"/>
    <hyperlink ref="D15452" r:id="rId16" xr:uid="{C6F80676-4B6B-4529-870B-08AC149F6EFA}"/>
    <hyperlink ref="D15453" r:id="rId17" xr:uid="{939F5E4B-E45C-47B0-A0EB-4E823442770C}"/>
    <hyperlink ref="D15454" r:id="rId18" xr:uid="{63919B75-CCE9-4D4B-8B0B-A4279F16BCCD}"/>
    <hyperlink ref="D15705" r:id="rId19" xr:uid="{2EFF3A53-DC4F-4B9F-BBA3-C89A2897F140}"/>
    <hyperlink ref="D15895" r:id="rId20" xr:uid="{18A5C952-82DB-4F2A-9B4E-36756033B968}"/>
    <hyperlink ref="D16166" r:id="rId21" xr:uid="{1BDE5DF0-EB9E-4A8C-9F00-FA6BC309D0D6}"/>
    <hyperlink ref="D16282" r:id="rId22" xr:uid="{68EE36E8-9477-480E-8AD0-AF4C84782467}"/>
    <hyperlink ref="D16400" r:id="rId23" xr:uid="{CC7DC3B2-3964-4AA1-8DC9-4599F69B961B}"/>
    <hyperlink ref="D16402" r:id="rId24" xr:uid="{BCF634E1-82D9-4D1E-8D25-5AF5B101B226}"/>
    <hyperlink ref="D16495" r:id="rId25" xr:uid="{F225CDA5-8570-4918-A5EE-766DF0FC0428}"/>
    <hyperlink ref="D16505" r:id="rId26" xr:uid="{109CDA83-5941-4F75-96CD-12A835590D0C}"/>
    <hyperlink ref="D16506" r:id="rId27" xr:uid="{4D5BD068-1499-4DA5-B6DC-0C0986EBD9E1}"/>
    <hyperlink ref="D16752" r:id="rId28" xr:uid="{3F9AC19C-FE5B-4DC7-A8BE-BDEDD171F332}"/>
    <hyperlink ref="D16862" r:id="rId29" xr:uid="{E2ADF381-0E71-4EA1-8EC2-08A2FEBADCD7}"/>
    <hyperlink ref="D17045" r:id="rId30" xr:uid="{7929520E-3E4D-4C3D-AD51-9308D1AF9CFE}"/>
    <hyperlink ref="D17315" r:id="rId31" xr:uid="{CC6DD27D-5914-40C8-9599-51A3C16F4D1E}"/>
    <hyperlink ref="D17664" r:id="rId32" xr:uid="{CB24CB23-0E3D-4533-BEB6-28BF37FC16E3}"/>
    <hyperlink ref="D17731" r:id="rId33" xr:uid="{D03DF8BE-4AB1-4211-93AA-51B37DC23A7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Gamboa</dc:creator>
  <cp:lastModifiedBy>Andrea Gamboa</cp:lastModifiedBy>
  <dcterms:created xsi:type="dcterms:W3CDTF">2022-01-10T12:02:25Z</dcterms:created>
  <dcterms:modified xsi:type="dcterms:W3CDTF">2022-01-10T12:15:59Z</dcterms:modified>
</cp:coreProperties>
</file>